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ckpit" sheetId="1" state="visible" r:id="rId3"/>
    <sheet name="Szenarien" sheetId="2" state="visible" r:id="rId4"/>
    <sheet name="Artikel" sheetId="3" state="visible" r:id="rId5"/>
    <sheet name="Parameter" sheetId="4" state="visible" r:id="rId6"/>
    <sheet name="Neue Artikel" sheetId="5" state="visible" r:id="rId7"/>
    <sheet name="Gebinde-Kategorie" sheetId="6" state="visible" r:id="rId8"/>
    <sheet name="Liftbericht" sheetId="7" state="visible" r:id="rId9"/>
    <sheet name="Anleitung" sheetId="8" state="visible" r:id="rId10"/>
  </sheets>
  <definedNames>
    <definedName function="false" hidden="true" localSheetId="2" name="_xlnm._FilterDatabase" vbProcedure="false">Artikel!$A$6:$BJ$1843</definedName>
    <definedName function="false" hidden="false" localSheetId="0" name="_xlnm.Print_Area" vbProcedure="false">Cockpit!$A$1:$S$70</definedName>
    <definedName function="false" hidden="false" localSheetId="1" name="_xlnm.Print_Area" vbProcedure="false">Szenarien!$A$1:$P$45</definedName>
    <definedName function="false" hidden="false" name="A_FACH" vbProcedure="false">Artikel!$CH$7:$CH$1843</definedName>
    <definedName function="false" hidden="false" name="A_FINF" vbProcedure="false">Artikel!$CA$7:$CA$1843</definedName>
    <definedName function="false" hidden="false" name="A_FINN" vbProcedure="false">Artikel!$CE$7:$CE$1843</definedName>
    <definedName function="false" hidden="false" name="A_FINV" vbProcedure="false">Artikel!$CB$7:$CB$1843</definedName>
    <definedName function="false" hidden="false" name="A_GPT" vbProcedure="false">Artikel!$R$7:$R$1843</definedName>
    <definedName function="false" hidden="false" name="A_IST" vbProcedure="false">Artikel!$H$7:$H$1843</definedName>
    <definedName function="false" hidden="false" name="A_ISTN" vbProcedure="false">Artikel!$CD$7:$CD$1843</definedName>
    <definedName function="false" hidden="false" name="A_KAPR" vbProcedure="false">Artikel!$X$7:$X$1843</definedName>
    <definedName function="false" hidden="false" name="A_LA" vbProcedure="false">Artikel!$BW$7:$BW$1843</definedName>
    <definedName function="false" hidden="false" name="A_LIFT" vbProcedure="false">Artikel!$BX$7:$BX$1843</definedName>
    <definedName function="false" hidden="false" name="A_LOSE" vbProcedure="false">Artikel!$BT$7:$BT$1843</definedName>
    <definedName function="false" hidden="false" name="A_LUO" vbProcedure="false">Artikel!$BZ$7:$BZ$1843</definedName>
    <definedName function="false" hidden="false" name="A_MBLG" vbProcedure="false">Artikel!$CC$7:$CC$1843</definedName>
    <definedName function="false" hidden="false" name="A_MPG_E" vbProcedure="false">Artikel!$BS$7:$BS$1843</definedName>
    <definedName function="false" hidden="false" name="A_PREIS" vbProcedure="false">Artikel!$G$7:$G$1843</definedName>
    <definedName function="false" hidden="false" name="A_VERB" vbProcedure="false">Artikel!$J$7:$J$1843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<sst xmlns="http://schemas.openxmlformats.org/spreadsheetml/2006/main" count="12968" uniqueCount="3193">
  <si>
    <t xml:space="preserve">Cockpit – Lagerlift-Belegung &amp; MAX-Bestand nach Lagerumschlag</t>
  </si>
  <si>
    <t xml:space="preserve">Gelbe Felder = Regler. Auslastung: grün &lt; 85 %, orange 85–100 %, rot &gt; 100 %.</t>
  </si>
  <si>
    <t xml:space="preserve">Ansicht 1</t>
  </si>
  <si>
    <t xml:space="preserve">Ansicht 2</t>
  </si>
  <si>
    <t xml:space="preserve">Ansicht 3</t>
  </si>
  <si>
    <t xml:space="preserve">Variante</t>
  </si>
  <si>
    <t xml:space="preserve">A – Ist-Bestand</t>
  </si>
  <si>
    <t xml:space="preserve">C – Ziel-LU oder Ist</t>
  </si>
  <si>
    <t xml:space="preserve">Ziel-LU</t>
  </si>
  <si>
    <t xml:space="preserve">(bei A ohne Wirkung)</t>
  </si>
  <si>
    <t xml:space="preserve">Bereich</t>
  </si>
  <si>
    <t xml:space="preserve">Tablare Bedarf</t>
  </si>
  <si>
    <t xml:space="preserve">Tablare vorhanden</t>
  </si>
  <si>
    <t xml:space="preserve">Tablare frei</t>
  </si>
  <si>
    <t xml:space="preserve">Füllgrad</t>
  </si>
  <si>
    <t xml:space="preserve">Lift 1 – Schwer</t>
  </si>
  <si>
    <t xml:space="preserve">Lift 2 – Mittel</t>
  </si>
  <si>
    <t xml:space="preserve">Lift 3 – Klein</t>
  </si>
  <si>
    <t xml:space="preserve">Lift 2 + 3 gemeinsam (KTL/PAL)</t>
  </si>
  <si>
    <t xml:space="preserve">Total 3 Lifte</t>
  </si>
  <si>
    <t xml:space="preserve">Nicht im Lift (andere Hauptlager)</t>
  </si>
  <si>
    <t xml:space="preserve">Manuell «Aussen» zugeteilt</t>
  </si>
  <si>
    <t xml:space="preserve">Passt alles in die 3 Lifte?</t>
  </si>
  <si>
    <t xml:space="preserve">Lift 1 (schwer, separat)</t>
  </si>
  <si>
    <t xml:space="preserve">Lift 2 + 3 gemeinsam</t>
  </si>
  <si>
    <t xml:space="preserve">Aussenlager nötig (Tablare)</t>
  </si>
  <si>
    <t xml:space="preserve">Artikel im Aussenlager (ganz/teilweise)</t>
  </si>
  <si>
    <t xml:space="preserve">Lagerwert CHF gesamt</t>
  </si>
  <si>
    <t xml:space="preserve">   davon in den Liften</t>
  </si>
  <si>
    <t xml:space="preserve">   davon im Aussenlager</t>
  </si>
  <si>
    <t xml:space="preserve">   davon nicht im Lift (andere Lager)</t>
  </si>
  <si>
    <t xml:space="preserve">Artikel mit Überbestand (Ist &gt; MAX B)</t>
  </si>
  <si>
    <t xml:space="preserve">(LU dieser Ansicht)</t>
  </si>
  <si>
    <t xml:space="preserve">Überbestandswert CHF</t>
  </si>
  <si>
    <t xml:space="preserve">Tablare je Lift</t>
  </si>
  <si>
    <t xml:space="preserve">aus Gebinden (Stammdaten)</t>
  </si>
  <si>
    <t xml:space="preserve">Fächer lt. Liftbericht</t>
  </si>
  <si>
    <t xml:space="preserve">lose (grob geschätzt)</t>
  </si>
  <si>
    <t xml:space="preserve">Anteil geschätzt</t>
  </si>
  <si>
    <t xml:space="preserve">Total</t>
  </si>
  <si>
    <t xml:space="preserve">Diagrammdaten (Auslastung %)</t>
  </si>
  <si>
    <t xml:space="preserve">100 %</t>
  </si>
  <si>
    <t xml:space="preserve">Lift 1</t>
  </si>
  <si>
    <t xml:space="preserve">Lift 2</t>
  </si>
  <si>
    <t xml:space="preserve">Lift 3</t>
  </si>
  <si>
    <t xml:space="preserve">Lift 2+3</t>
  </si>
  <si>
    <t xml:space="preserve">Szenarien – alle LU-Werte auf einen Blick</t>
  </si>
  <si>
    <t xml:space="preserve">Berechnung direkt über das Blatt «Artikel» (SUMPRODUCT). Berücksichtigt Lift-Zuordnung, Gebinde-Anpassungen, Ziel-LU je Artikel und MAX final. LU-Werte aus Parameter A23:A30.</t>
  </si>
  <si>
    <t xml:space="preserve">Lift 1 %</t>
  </si>
  <si>
    <t xml:space="preserve">Lift 2 %</t>
  </si>
  <si>
    <t xml:space="preserve">Lift 3 %</t>
  </si>
  <si>
    <t xml:space="preserve">Lift 2+3 %</t>
  </si>
  <si>
    <t xml:space="preserve">Total %</t>
  </si>
  <si>
    <t xml:space="preserve">Passt alles?</t>
  </si>
  <si>
    <t xml:space="preserve">Aussenlager Tablare</t>
  </si>
  <si>
    <t xml:space="preserve">Lagerwert CHF</t>
  </si>
  <si>
    <t xml:space="preserve">Δ zum Ist CHF</t>
  </si>
  <si>
    <t xml:space="preserve">Δ zum Ist Tablare</t>
  </si>
  <si>
    <t xml:space="preserve">Lift 1 Tablare</t>
  </si>
  <si>
    <t xml:space="preserve">Lift 2 Tablare</t>
  </si>
  <si>
    <t xml:space="preserve">Lift 3 Tablare</t>
  </si>
  <si>
    <t xml:space="preserve">Aussen manuell Tablare</t>
  </si>
  <si>
    <t xml:space="preserve">Ist-Bestand</t>
  </si>
  <si>
    <t xml:space="preserve">–</t>
  </si>
  <si>
    <t xml:space="preserve">B – Ziel-LU</t>
  </si>
  <si>
    <t xml:space="preserve">Ab welchem LU passt alles in die Lifte?</t>
  </si>
  <si>
    <t xml:space="preserve">Variante B (nach Abbau Überbestand):</t>
  </si>
  <si>
    <t xml:space="preserve">Variante C (Überbestand bleibt):</t>
  </si>
  <si>
    <t xml:space="preserve">(Annahme: LU-Liste aufsteigend sortiert. Ist-Bestand: siehe Zeile 5.)</t>
  </si>
  <si>
    <t xml:space="preserve">Diagrammdaten</t>
  </si>
  <si>
    <t xml:space="preserve">B – Total %</t>
  </si>
  <si>
    <t xml:space="preserve">C – Total %</t>
  </si>
  <si>
    <t xml:space="preserve">Ist – Total %</t>
  </si>
  <si>
    <t xml:space="preserve">Artikel – eine Zeile pro Artikel</t>
  </si>
  <si>
    <t xml:space="preserve">Gelb = Eingabe (leer lassen = Vorschlag gilt). Weiss = Formel. Spalten A1–A3 = Cockpit-Ansichten 1–3 (Gruppen mit + / – auf- und zuklappen). Ganz rechts: Hilfsspalten.</t>
  </si>
  <si>
    <t xml:space="preserve">Datenstand: Kennzahlen-Auszug (Kennzahlen_Lager_Auszug.xlsx), Gebinde aus Artikelstamm_mit_Verbrauch_und_Gebinde_Umschlag_2_20260520.xlsx. Erzeugt 05.10.2026.</t>
  </si>
  <si>
    <t xml:space="preserve">Hilfsspalten (nicht ändern)</t>
  </si>
  <si>
    <t xml:space="preserve">Artikelnummer</t>
  </si>
  <si>
    <t xml:space="preserve">Bezeichnung</t>
  </si>
  <si>
    <t xml:space="preserve">Status</t>
  </si>
  <si>
    <t xml:space="preserve">Hauptlager</t>
  </si>
  <si>
    <t xml:space="preserve">Lager in Zukunft</t>
  </si>
  <si>
    <t xml:space="preserve">ABC</t>
  </si>
  <si>
    <t xml:space="preserve">Preis CHF</t>
  </si>
  <si>
    <t xml:space="preserve">Ist-Wert CHF</t>
  </si>
  <si>
    <t xml:space="preserve">Verbrauch 12 Monate</t>
  </si>
  <si>
    <t xml:space="preserve">Ø-Bestand</t>
  </si>
  <si>
    <t xml:space="preserve">IST-LU</t>
  </si>
  <si>
    <t xml:space="preserve">Mindestbestand (MB)</t>
  </si>
  <si>
    <t xml:space="preserve">Losgrösse (LG)</t>
  </si>
  <si>
    <t xml:space="preserve">WBZ Tage</t>
  </si>
  <si>
    <t xml:space="preserve">Gebindekategorie</t>
  </si>
  <si>
    <t xml:space="preserve">Menge pro Gebinde</t>
  </si>
  <si>
    <t xml:space="preserve">Gebinde je Tablar</t>
  </si>
  <si>
    <t xml:space="preserve">Tablare lose (ganzer Bestand)</t>
  </si>
  <si>
    <t xml:space="preserve">Schätzklasse lose</t>
  </si>
  <si>
    <t xml:space="preserve">Gebindekategorie neu</t>
  </si>
  <si>
    <t xml:space="preserve">Menge pro Gebinde neu</t>
  </si>
  <si>
    <t xml:space="preserve">Lift lt. Liftbericht</t>
  </si>
  <si>
    <t xml:space="preserve">Fach-Kapazität Stk (Liftbericht)</t>
  </si>
  <si>
    <t xml:space="preserve">Bestand lt. Liftbericht</t>
  </si>
  <si>
    <t xml:space="preserve">Lift Vorschlag</t>
  </si>
  <si>
    <t xml:space="preserve">Lift manuell</t>
  </si>
  <si>
    <t xml:space="preserve">Ziel-LU Artikel</t>
  </si>
  <si>
    <t xml:space="preserve">MAX Variante B (Ansicht 2)</t>
  </si>
  <si>
    <t xml:space="preserve">MAX Variante C (Ansicht 2)</t>
  </si>
  <si>
    <t xml:space="preserve">MAX final</t>
  </si>
  <si>
    <t xml:space="preserve">A1 Menge</t>
  </si>
  <si>
    <t xml:space="preserve">A1 Anzahl Gebinde</t>
  </si>
  <si>
    <t xml:space="preserve">A1 Tablare</t>
  </si>
  <si>
    <t xml:space="preserve">A1 Wert CHF</t>
  </si>
  <si>
    <t xml:space="preserve">A1 MAX B (Hilfe)</t>
  </si>
  <si>
    <t xml:space="preserve">A1 Priorität Verbr./Tablar (Hilfe)</t>
  </si>
  <si>
    <t xml:space="preserve">A1 Fläche kumuliert (Hilfe)</t>
  </si>
  <si>
    <t xml:space="preserve">A1 Anteil im Lift (Hilfe)</t>
  </si>
  <si>
    <t xml:space="preserve">A2 Menge</t>
  </si>
  <si>
    <t xml:space="preserve">A2 Anzahl Gebinde</t>
  </si>
  <si>
    <t xml:space="preserve">A2 Tablare</t>
  </si>
  <si>
    <t xml:space="preserve">A2 Wert CHF</t>
  </si>
  <si>
    <t xml:space="preserve">A2 MAX B (Hilfe)</t>
  </si>
  <si>
    <t xml:space="preserve">A2 Priorität Verbr./Tablar (Hilfe)</t>
  </si>
  <si>
    <t xml:space="preserve">A2 Fläche kumuliert (Hilfe)</t>
  </si>
  <si>
    <t xml:space="preserve">A2 Anteil im Lift (Hilfe)</t>
  </si>
  <si>
    <t xml:space="preserve">A3 Menge</t>
  </si>
  <si>
    <t xml:space="preserve">A3 Anzahl Gebinde</t>
  </si>
  <si>
    <t xml:space="preserve">A3 Tablare</t>
  </si>
  <si>
    <t xml:space="preserve">A3 Wert CHF</t>
  </si>
  <si>
    <t xml:space="preserve">A3 MAX B (Hilfe)</t>
  </si>
  <si>
    <t xml:space="preserve">A3 Priorität Verbr./Tablar (Hilfe)</t>
  </si>
  <si>
    <t xml:space="preserve">A3 Fläche kumuliert (Hilfe)</t>
  </si>
  <si>
    <t xml:space="preserve">A3 Anteil im Lift (Hilfe)</t>
  </si>
  <si>
    <t xml:space="preserve">Lagerort Ansicht 1</t>
  </si>
  <si>
    <t xml:space="preserve">Lagerort Ansicht 2</t>
  </si>
  <si>
    <t xml:space="preserve">Lagerort Ansicht 3</t>
  </si>
  <si>
    <t xml:space="preserve">Hinweise</t>
  </si>
  <si>
    <t xml:space="preserve">Ursache (Kennzahlen)</t>
  </si>
  <si>
    <t xml:space="preserve">Aktion (Kennzahlen)</t>
  </si>
  <si>
    <t xml:space="preserve">Kommentar Diskussion</t>
  </si>
  <si>
    <t xml:space="preserve">Export Bestandsmenge (G)</t>
  </si>
  <si>
    <t xml:space="preserve">Export Jahresanfang 2025 (T)</t>
  </si>
  <si>
    <t xml:space="preserve">Export Bestandswert (H)</t>
  </si>
  <si>
    <t xml:space="preserve">Verbrauch Export (Zeitraum)</t>
  </si>
  <si>
    <t xml:space="preserve">Bemerkungen Artikelstamm</t>
  </si>
  <si>
    <t xml:space="preserve">Neu (1/0)</t>
  </si>
  <si>
    <t xml:space="preserve">Zeile</t>
  </si>
  <si>
    <t xml:space="preserve">Gebinde wirksam</t>
  </si>
  <si>
    <t xml:space="preserve">Menge/Gebinde wirksam</t>
  </si>
  <si>
    <t xml:space="preserve">Lose (1/0)</t>
  </si>
  <si>
    <t xml:space="preserve">Gebinde geschätzt (1/0)</t>
  </si>
  <si>
    <t xml:space="preserve">Liftregel (LiZ/Hauptlager)</t>
  </si>
  <si>
    <t xml:space="preserve">Tablare lose wirksam</t>
  </si>
  <si>
    <t xml:space="preserve">Lift wirksam</t>
  </si>
  <si>
    <t xml:space="preserve">Liftgruppe</t>
  </si>
  <si>
    <t xml:space="preserve">Ziel-LU Artikel (0=keiner)</t>
  </si>
  <si>
    <t xml:space="preserve">MAX final gesetzt</t>
  </si>
  <si>
    <t xml:space="preserve">MAX final Wert</t>
  </si>
  <si>
    <t xml:space="preserve">MB + LG</t>
  </si>
  <si>
    <t xml:space="preserve">Gebinde bei Ist</t>
  </si>
  <si>
    <t xml:space="preserve">Gebinde bei MAX final</t>
  </si>
  <si>
    <t xml:space="preserve">Gebindehöhe cm</t>
  </si>
  <si>
    <t xml:space="preserve">max. Ladehöhe Lift mm</t>
  </si>
  <si>
    <t xml:space="preserve">Fach lt. Liftbericht (Tablare)</t>
  </si>
  <si>
    <t xml:space="preserve">101749</t>
  </si>
  <si>
    <t xml:space="preserve">Austrittsdüse</t>
  </si>
  <si>
    <t xml:space="preserve">F</t>
  </si>
  <si>
    <t xml:space="preserve">LIFT1</t>
  </si>
  <si>
    <t xml:space="preserve">Kardex Schwer</t>
  </si>
  <si>
    <t xml:space="preserve">A</t>
  </si>
  <si>
    <t xml:space="preserve">LOSE</t>
  </si>
  <si>
    <t xml:space="preserve">W20000453 - Umarbeit von 107817 zu 101749 (Plan: 09/2025, Gelief.: 01.2026) + Bestellung 80017631 9 Stk. 10/2025. Bedarf durch FC vorher erhöht, daraufhin wurde zwischendurch bestellt, da Liefertermine unklar gewesen sind: https://www.meistertask.com/app/task/x119P4tZ -&gt; MB keine Veränderung</t>
  </si>
  <si>
    <t xml:space="preserve">Weitere Umarbeit möglich? 101411 - möglich, falls ja wie Nachbestellung verhindern? Auslaufartikel + Info in Artikel mit Alternativartikel?</t>
  </si>
  <si>
    <t xml:space="preserve">110390</t>
  </si>
  <si>
    <t xml:space="preserve">Elektro-Set - Aufrüstung SPC800 V3.0.0</t>
  </si>
  <si>
    <t xml:space="preserve">PAL</t>
  </si>
  <si>
    <t xml:space="preserve">S71</t>
  </si>
  <si>
    <t xml:space="preserve">Bedarf durch Upgrade auf V3.2 - Vorproduktion</t>
  </si>
  <si>
    <t xml:space="preserve">Abklären, wann diese gebraucht werden</t>
  </si>
  <si>
    <t xml:space="preserve">111326</t>
  </si>
  <si>
    <t xml:space="preserve">Luftblock BASE/SUB Spezial</t>
  </si>
  <si>
    <t xml:space="preserve">Mittel</t>
  </si>
  <si>
    <t xml:space="preserve">110337</t>
  </si>
  <si>
    <t xml:space="preserve">Ventilpanel SPGr BASE komplett</t>
  </si>
  <si>
    <t xml:space="preserve">005086</t>
  </si>
  <si>
    <t xml:space="preserve">SPS Grundgerät EG101</t>
  </si>
  <si>
    <t xml:space="preserve">KTL</t>
  </si>
  <si>
    <t xml:space="preserve">Kardex Kleinteil</t>
  </si>
  <si>
    <t xml:space="preserve">S61</t>
  </si>
  <si>
    <t xml:space="preserve">106185_MAT</t>
  </si>
  <si>
    <t xml:space="preserve">Rohmaterial zu 106185</t>
  </si>
  <si>
    <t xml:space="preserve">Gross</t>
  </si>
  <si>
    <t xml:space="preserve">101411</t>
  </si>
  <si>
    <t xml:space="preserve">106184_MAT</t>
  </si>
  <si>
    <t xml:space="preserve">Rohmaterial zu 106184</t>
  </si>
  <si>
    <t xml:space="preserve">Bedarf Niederurnen 8 Stk. + FC Bedarf war höher + WBZ 70 Tage, führten zu Bestellungen, Bedarf hat sich verschoben, Bestellungen wurden nicht angepasst.</t>
  </si>
  <si>
    <t xml:space="preserve">Umarbeit möglich?</t>
  </si>
  <si>
    <t xml:space="preserve">110338</t>
  </si>
  <si>
    <t xml:space="preserve">Ventilpanel SPGr SUB komplett</t>
  </si>
  <si>
    <t xml:space="preserve">104232</t>
  </si>
  <si>
    <t xml:space="preserve">Ventilpanel komplett</t>
  </si>
  <si>
    <t xml:space="preserve">105315_MAT</t>
  </si>
  <si>
    <t xml:space="preserve">Rohmaterial zu 105315</t>
  </si>
  <si>
    <t xml:space="preserve">B</t>
  </si>
  <si>
    <t xml:space="preserve">107309</t>
  </si>
  <si>
    <t xml:space="preserve">Verbrennungszylinder EG10</t>
  </si>
  <si>
    <t xml:space="preserve">110339</t>
  </si>
  <si>
    <t xml:space="preserve">107829</t>
  </si>
  <si>
    <t xml:space="preserve">Austrittsdüse SPGr16</t>
  </si>
  <si>
    <t xml:space="preserve">100389</t>
  </si>
  <si>
    <t xml:space="preserve">Mischgehäuse</t>
  </si>
  <si>
    <t xml:space="preserve">106177</t>
  </si>
  <si>
    <t xml:space="preserve">Kolbengehäuse SPGr10</t>
  </si>
  <si>
    <t xml:space="preserve">?</t>
  </si>
  <si>
    <t xml:space="preserve">106099</t>
  </si>
  <si>
    <t xml:space="preserve">Druckleitungsgehäuse SPGr</t>
  </si>
  <si>
    <t xml:space="preserve">Twin</t>
  </si>
  <si>
    <t xml:space="preserve">Reduzieren / Mit PM/SV anschauen?</t>
  </si>
  <si>
    <t xml:space="preserve">109088_MAT</t>
  </si>
  <si>
    <t xml:space="preserve">Rohmaterial zu 109088</t>
  </si>
  <si>
    <t xml:space="preserve">C</t>
  </si>
  <si>
    <t xml:space="preserve">106184</t>
  </si>
  <si>
    <t xml:space="preserve">Ventilsitzgehäuse SPGr16</t>
  </si>
  <si>
    <t xml:space="preserve">108126</t>
  </si>
  <si>
    <t xml:space="preserve">Hochtemperatur-Hydraulikschlauch</t>
  </si>
  <si>
    <t xml:space="preserve">S81</t>
  </si>
  <si>
    <t xml:space="preserve">105838</t>
  </si>
  <si>
    <t xml:space="preserve">Dämpfer</t>
  </si>
  <si>
    <t xml:space="preserve">S63</t>
  </si>
  <si>
    <t xml:space="preserve">Angebote wurden spät neu terminiert, dadurch ergab sich ein Verbrauch innerhalb der WBZ - daher wurden weitere bestellt</t>
  </si>
  <si>
    <t xml:space="preserve">106821</t>
  </si>
  <si>
    <t xml:space="preserve">Transfer Gehäuse SPGr komplett</t>
  </si>
  <si>
    <t xml:space="preserve">nicht im KTL vorhanden</t>
  </si>
  <si>
    <t xml:space="preserve">106446</t>
  </si>
  <si>
    <t xml:space="preserve">Proportionalventil komplett</t>
  </si>
  <si>
    <t xml:space="preserve">S52</t>
  </si>
  <si>
    <t xml:space="preserve">Auslaufartikel - letzte Entnahme 2022</t>
  </si>
  <si>
    <t xml:space="preserve">Umarbeit / Verschrotten? - Betsand bei Schmobi wurde bereits verschrottet</t>
  </si>
  <si>
    <t xml:space="preserve">106098</t>
  </si>
  <si>
    <t xml:space="preserve">Druckleitungsblock SPGr</t>
  </si>
  <si>
    <t xml:space="preserve">Bedarf durch Angebote getriggert, MB 5 zu dem zeitpunkt und Losgrösse 8 mit hoher WBZ -&gt; Auslaufteil</t>
  </si>
  <si>
    <t xml:space="preserve">Retourverkauf an Lieferant?</t>
  </si>
  <si>
    <t xml:space="preserve">106185</t>
  </si>
  <si>
    <t xml:space="preserve">Kolbengehäuse SPGr16</t>
  </si>
  <si>
    <t xml:space="preserve">Letzter Zugang W20000056 2022</t>
  </si>
  <si>
    <t xml:space="preserve">Rückverkauf/Umbau auf anderes VP?</t>
  </si>
  <si>
    <t xml:space="preserve">110978</t>
  </si>
  <si>
    <t xml:space="preserve">Austrittsdüsenschauglas komplett</t>
  </si>
  <si>
    <t xml:space="preserve">MB war auf 35 Stk. + Losgrösse 35 Stk. Letzter WE 07/2025 + Feldaustausch war vorgesehen und ist daraufhin nicht zustande gekommen (Zeitfestigkeit)</t>
  </si>
  <si>
    <t xml:space="preserve">Keine</t>
  </si>
  <si>
    <t xml:space="preserve">111495</t>
  </si>
  <si>
    <t xml:space="preserve">Verpackung Service Kit 7k, SPGr10</t>
  </si>
  <si>
    <t xml:space="preserve">Bedarf durch Angebote getrieben, welche verschoben wurden WBZ ist zu lang - Verbraucht bis ca Ende 2026</t>
  </si>
  <si>
    <t xml:space="preserve">109651</t>
  </si>
  <si>
    <t xml:space="preserve">105961</t>
  </si>
  <si>
    <t xml:space="preserve">Konstanthänger</t>
  </si>
  <si>
    <t xml:space="preserve">MB von 2 hat Bedarf ausgelöst, allerdings wurden 5 geliefert, anstatt den MB mit 1 Stk. aufzufüllen? Losgrösse angepasst? -&gt; Aufgrund voin Preis wurden 5 bestellt</t>
  </si>
  <si>
    <t xml:space="preserve">Festhalten ob kleinere Mengen für teurer eingekauft werden sollen, oder ob Mehr und besserer Preis attraktiver ist -&gt; 1 Stk. 5500 und bei 5 3500 CHF / Stk.</t>
  </si>
  <si>
    <t xml:space="preserve">110336</t>
  </si>
  <si>
    <t xml:space="preserve">107867</t>
  </si>
  <si>
    <t xml:space="preserve">Ventilsitz SPGr16</t>
  </si>
  <si>
    <t xml:space="preserve">S72</t>
  </si>
  <si>
    <t xml:space="preserve">Wurdne in 2024 zu grösserer Menge Beschafft, seither kein WE</t>
  </si>
  <si>
    <t xml:space="preserve">grosser Artikel &amp; nicht im KTL</t>
  </si>
  <si>
    <t xml:space="preserve">100049</t>
  </si>
  <si>
    <t xml:space="preserve">Dosierzylinder O2</t>
  </si>
  <si>
    <t xml:space="preserve">108138</t>
  </si>
  <si>
    <t xml:space="preserve">Spülluftmodul komplett</t>
  </si>
  <si>
    <t xml:space="preserve">Losgrösse 10, mit Hoher WBZ Anfang 2024 bestellt seither unberührt</t>
  </si>
  <si>
    <t xml:space="preserve">Warum soi viel bestellt wurde muss rausgefunden werden?</t>
  </si>
  <si>
    <t xml:space="preserve">111000</t>
  </si>
  <si>
    <t xml:space="preserve">107420</t>
  </si>
  <si>
    <t xml:space="preserve">Horizontalwagen</t>
  </si>
  <si>
    <t xml:space="preserve">Losgrösse 10 auf 20 Stk. + lange WBZ -&gt; MB war 15 Stk.</t>
  </si>
  <si>
    <t xml:space="preserve">WBZ war nicht passend zum Rahmen?</t>
  </si>
  <si>
    <t xml:space="preserve">111885</t>
  </si>
  <si>
    <t xml:space="preserve">Magnetventil mit Spule</t>
  </si>
  <si>
    <t xml:space="preserve">Klein</t>
  </si>
  <si>
    <t xml:space="preserve">111497</t>
  </si>
  <si>
    <t xml:space="preserve">Verpackung Service Kit 7k, SPGr16</t>
  </si>
  <si>
    <t xml:space="preserve">Hoher Bedarf durch Angebote, welche verschoben wurden. Daher grosse Bestellungen getätigt</t>
  </si>
  <si>
    <t xml:space="preserve">Retourverkaufen?</t>
  </si>
  <si>
    <t xml:space="preserve">108135</t>
  </si>
  <si>
    <t xml:space="preserve">Kabel Spülluftmodul</t>
  </si>
  <si>
    <t xml:space="preserve">100363</t>
  </si>
  <si>
    <t xml:space="preserve">Dosierzylinder CH4</t>
  </si>
  <si>
    <t xml:space="preserve">111227</t>
  </si>
  <si>
    <t xml:space="preserve">Sehr hohe WBZ, daher Bedarf wurde vermutlich Angepasst und nicht weiter verfolgt -&gt; Vielleichtmusste auch ein Rahmen abgenommen werden? Abgekündigt?</t>
  </si>
  <si>
    <t xml:space="preserve">110334</t>
  </si>
  <si>
    <t xml:space="preserve">Luftblock BASE komplett</t>
  </si>
  <si>
    <t xml:space="preserve">111226</t>
  </si>
  <si>
    <t xml:space="preserve">005061</t>
  </si>
  <si>
    <t xml:space="preserve">Ringwellschlauch</t>
  </si>
  <si>
    <t xml:space="preserve">106792</t>
  </si>
  <si>
    <t xml:space="preserve">Pilotventil</t>
  </si>
  <si>
    <t xml:space="preserve">S62</t>
  </si>
  <si>
    <t xml:space="preserve">106100</t>
  </si>
  <si>
    <t xml:space="preserve">Deckel zu Druckleitungsgehäuse SPGr</t>
  </si>
  <si>
    <t xml:space="preserve">107124</t>
  </si>
  <si>
    <t xml:space="preserve">Federhänger</t>
  </si>
  <si>
    <t xml:space="preserve">Zugänge aus 2023?</t>
  </si>
  <si>
    <t xml:space="preserve">T&amp;E: Benötigt/Alternative? // Preis hat hier auch eine Rolle gespielt</t>
  </si>
  <si>
    <t xml:space="preserve">100362</t>
  </si>
  <si>
    <t xml:space="preserve">Magnetventil</t>
  </si>
  <si>
    <t xml:space="preserve">S51</t>
  </si>
  <si>
    <t xml:space="preserve">103763</t>
  </si>
  <si>
    <t xml:space="preserve">111498</t>
  </si>
  <si>
    <t xml:space="preserve">Verpackung Service Kit 14k, SPGr16</t>
  </si>
  <si>
    <t xml:space="preserve">Vermutlich Lieferungen aus Rahmen ? Abgekündigt?</t>
  </si>
  <si>
    <t xml:space="preserve">111496</t>
  </si>
  <si>
    <t xml:space="preserve">Verpackung Service Kit 28k, SPGr10</t>
  </si>
  <si>
    <t xml:space="preserve">106791</t>
  </si>
  <si>
    <t xml:space="preserve">Gasventil SPG</t>
  </si>
  <si>
    <t xml:space="preserve">106270</t>
  </si>
  <si>
    <t xml:space="preserve">Ablassschraube</t>
  </si>
  <si>
    <t xml:space="preserve">110335</t>
  </si>
  <si>
    <t xml:space="preserve">Luftblock SUB komplett</t>
  </si>
  <si>
    <t xml:space="preserve">100133</t>
  </si>
  <si>
    <t xml:space="preserve">Gehäuse Gasdruckspeicher</t>
  </si>
  <si>
    <t xml:space="preserve">Letzte WE 2023</t>
  </si>
  <si>
    <t xml:space="preserve">109689 Nachfolgeartikel - Technisches Büro sperren? Ggf. Abklären mit T&amp;E?</t>
  </si>
  <si>
    <t xml:space="preserve">107415</t>
  </si>
  <si>
    <t xml:space="preserve">Rohr Anschweissstück Øi206</t>
  </si>
  <si>
    <t xml:space="preserve">112022</t>
  </si>
  <si>
    <t xml:space="preserve">Ventilblock Ausgang</t>
  </si>
  <si>
    <t xml:space="preserve">100179</t>
  </si>
  <si>
    <t xml:space="preserve">Einschraubstutzen</t>
  </si>
  <si>
    <t xml:space="preserve">Neu-Teil daher schlechter LU</t>
  </si>
  <si>
    <t xml:space="preserve">001090</t>
  </si>
  <si>
    <t xml:space="preserve">Gleitmo 599</t>
  </si>
  <si>
    <t xml:space="preserve">S41</t>
  </si>
  <si>
    <t xml:space="preserve">Losgrösse war auf 10 Stk. neu auf 5 Stk. -&gt; Sollte sich von alleine aufbrauchen</t>
  </si>
  <si>
    <t xml:space="preserve">111982</t>
  </si>
  <si>
    <t xml:space="preserve">Heizschlauch</t>
  </si>
  <si>
    <t xml:space="preserve">Letzter WE 2024? Verbrauch sehr wenig (10-20 Stk. pro Jahr) Rahmen war über 100 Stk. und musste abgenommen werden</t>
  </si>
  <si>
    <t xml:space="preserve">108523</t>
  </si>
  <si>
    <t xml:space="preserve">Brenngasblock BASE komplett</t>
  </si>
  <si>
    <t xml:space="preserve">111901</t>
  </si>
  <si>
    <t xml:space="preserve">Ventilblock Eingang</t>
  </si>
  <si>
    <t xml:space="preserve">111765</t>
  </si>
  <si>
    <t xml:space="preserve">106154</t>
  </si>
  <si>
    <t xml:space="preserve">Federflansch</t>
  </si>
  <si>
    <t xml:space="preserve">108540</t>
  </si>
  <si>
    <t xml:space="preserve">Brenngasblock SUB komplett</t>
  </si>
  <si>
    <t xml:space="preserve">106308</t>
  </si>
  <si>
    <t xml:space="preserve">Rohrflansch</t>
  </si>
  <si>
    <t xml:space="preserve">Letzter WE 2023?</t>
  </si>
  <si>
    <t xml:space="preserve">T&amp;E: Benötigt/Alternative?</t>
  </si>
  <si>
    <t xml:space="preserve">106723</t>
  </si>
  <si>
    <t xml:space="preserve">PTFE Schlauch DN6</t>
  </si>
  <si>
    <t xml:space="preserve">S82</t>
  </si>
  <si>
    <t xml:space="preserve">In 2023 gekauft, eine Entnahme ohne Auftrag in 2024, seither keine Bewegung mehr -&gt; Ersastzteil zu Ibeda Druckregelstrecke (109144 109143 Beide mittlerwiele gesperrt).</t>
  </si>
  <si>
    <t xml:space="preserve">005266</t>
  </si>
  <si>
    <t xml:space="preserve">OC-106175</t>
  </si>
  <si>
    <t xml:space="preserve">SPGr10</t>
  </si>
  <si>
    <t xml:space="preserve">OCC</t>
  </si>
  <si>
    <t xml:space="preserve">111900</t>
  </si>
  <si>
    <t xml:space="preserve">Ausgleichsvolumen 40l</t>
  </si>
  <si>
    <t xml:space="preserve">Kleinere Mengen eingekauft 2022-2024 - keine Entnahmen</t>
  </si>
  <si>
    <t xml:space="preserve">106730</t>
  </si>
  <si>
    <t xml:space="preserve">Glühkerzenkabel SPGr</t>
  </si>
  <si>
    <t xml:space="preserve">Überbestand; grosser Artikel &amp; nicht im KTL</t>
  </si>
  <si>
    <t xml:space="preserve">109374</t>
  </si>
  <si>
    <t xml:space="preserve">Kolben SPGr16 T2</t>
  </si>
  <si>
    <t xml:space="preserve">110057</t>
  </si>
  <si>
    <t xml:space="preserve">HMI - Power Panel T80</t>
  </si>
  <si>
    <t xml:space="preserve">Wird bereits an Bürki verkauft?</t>
  </si>
  <si>
    <t xml:space="preserve">106482</t>
  </si>
  <si>
    <t xml:space="preserve">100770</t>
  </si>
  <si>
    <t xml:space="preserve">Rohr</t>
  </si>
  <si>
    <t xml:space="preserve">001123</t>
  </si>
  <si>
    <t xml:space="preserve">Holzkiste mit Zwischenboden / SPG</t>
  </si>
  <si>
    <t xml:space="preserve">Kisten Leer</t>
  </si>
  <si>
    <t xml:space="preserve">107253</t>
  </si>
  <si>
    <t xml:space="preserve">Transfermagnetventil Spule O2</t>
  </si>
  <si>
    <t xml:space="preserve">100423</t>
  </si>
  <si>
    <t xml:space="preserve">Verschlussstopfen</t>
  </si>
  <si>
    <t xml:space="preserve">106101</t>
  </si>
  <si>
    <t xml:space="preserve">Flammsperre</t>
  </si>
  <si>
    <t xml:space="preserve">108121</t>
  </si>
  <si>
    <t xml:space="preserve">110822</t>
  </si>
  <si>
    <t xml:space="preserve">Kolben SPGr10 T2</t>
  </si>
  <si>
    <t xml:space="preserve">Vemutlich durch Bedarf angefordert und hohe WBZ, nicht auf Veränderung reagiert. Bestand reicht bis Ende 2026 - Artikelpflege Lücke: Losgrösse durch Einkauf gepflegt -&gt; Bessere Bedarfsabklärung?</t>
  </si>
  <si>
    <t xml:space="preserve">Lücke in Artikelpflege prüfen und ggf. schliessen so gut wie es möglich ist?</t>
  </si>
  <si>
    <t xml:space="preserve">005239</t>
  </si>
  <si>
    <t xml:space="preserve">Drehmomentschlüssel</t>
  </si>
  <si>
    <t xml:space="preserve">106108</t>
  </si>
  <si>
    <t xml:space="preserve">Flammsperre zu Transferblock SPGr</t>
  </si>
  <si>
    <t xml:space="preserve">108524</t>
  </si>
  <si>
    <t xml:space="preserve">Stickstoffblock BASE komplett</t>
  </si>
  <si>
    <t xml:space="preserve">Letzte WE 2021 -&gt; 106869?</t>
  </si>
  <si>
    <t xml:space="preserve">Ersatzartikel</t>
  </si>
  <si>
    <t xml:space="preserve">103524</t>
  </si>
  <si>
    <t xml:space="preserve">Kugelhahn N2</t>
  </si>
  <si>
    <t xml:space="preserve">Überbestand</t>
  </si>
  <si>
    <t xml:space="preserve">106583</t>
  </si>
  <si>
    <t xml:space="preserve">Anschlussflansch</t>
  </si>
  <si>
    <t xml:space="preserve">112026</t>
  </si>
  <si>
    <t xml:space="preserve">Berstscheibe 60 - 66 bar</t>
  </si>
  <si>
    <t xml:space="preserve">111499</t>
  </si>
  <si>
    <t xml:space="preserve">Verpackung Service Kit 28k, SPGr16</t>
  </si>
  <si>
    <t xml:space="preserve">106044</t>
  </si>
  <si>
    <t xml:space="preserve">Rohrstück mit Blende</t>
  </si>
  <si>
    <t xml:space="preserve">S21</t>
  </si>
  <si>
    <t xml:space="preserve">107212</t>
  </si>
  <si>
    <t xml:space="preserve">Sechskantschraube</t>
  </si>
  <si>
    <t xml:space="preserve">105456</t>
  </si>
  <si>
    <t xml:space="preserve">Zylinderschraube mit Innensechskant</t>
  </si>
  <si>
    <t xml:space="preserve">103489</t>
  </si>
  <si>
    <t xml:space="preserve">Sicherungsscheibe</t>
  </si>
  <si>
    <t xml:space="preserve">106752</t>
  </si>
  <si>
    <t xml:space="preserve">Beschriftungsset</t>
  </si>
  <si>
    <t xml:space="preserve">106635</t>
  </si>
  <si>
    <t xml:space="preserve">Leiste zu SPGr16</t>
  </si>
  <si>
    <t xml:space="preserve">107868</t>
  </si>
  <si>
    <t xml:space="preserve">Kolben SPGr10</t>
  </si>
  <si>
    <t xml:space="preserve">109995</t>
  </si>
  <si>
    <t xml:space="preserve">Industrie Mobilfunk Router (global)</t>
  </si>
  <si>
    <t xml:space="preserve">107971</t>
  </si>
  <si>
    <t xml:space="preserve">Entleerungsschlauch</t>
  </si>
  <si>
    <t xml:space="preserve">107995</t>
  </si>
  <si>
    <t xml:space="preserve">Radialventilator</t>
  </si>
  <si>
    <t xml:space="preserve">100155</t>
  </si>
  <si>
    <t xml:space="preserve">S32</t>
  </si>
  <si>
    <t xml:space="preserve">107197</t>
  </si>
  <si>
    <t xml:space="preserve">Kompressoröl zu AC260</t>
  </si>
  <si>
    <t xml:space="preserve">106619</t>
  </si>
  <si>
    <t xml:space="preserve">Rückschlagventil</t>
  </si>
  <si>
    <t xml:space="preserve">S22</t>
  </si>
  <si>
    <t xml:space="preserve">005260</t>
  </si>
  <si>
    <t xml:space="preserve">110024</t>
  </si>
  <si>
    <t xml:space="preserve">Zuleitungskabel Temperatursensor</t>
  </si>
  <si>
    <t xml:space="preserve">106458</t>
  </si>
  <si>
    <t xml:space="preserve">Drucktransmitter</t>
  </si>
  <si>
    <t xml:space="preserve">110875</t>
  </si>
  <si>
    <t xml:space="preserve">Digitalmanometer</t>
  </si>
  <si>
    <t xml:space="preserve">101679</t>
  </si>
  <si>
    <t xml:space="preserve">Ringschraube</t>
  </si>
  <si>
    <t xml:space="preserve">105321</t>
  </si>
  <si>
    <t xml:space="preserve">Ventilsitzadapter SPGr10</t>
  </si>
  <si>
    <t xml:space="preserve">103917</t>
  </si>
  <si>
    <t xml:space="preserve">106794</t>
  </si>
  <si>
    <t xml:space="preserve">Magnetspule</t>
  </si>
  <si>
    <t xml:space="preserve">005497</t>
  </si>
  <si>
    <t xml:space="preserve">Schlauchbündelung mit Klettverschluss</t>
  </si>
  <si>
    <t xml:space="preserve">101538</t>
  </si>
  <si>
    <t xml:space="preserve">111953</t>
  </si>
  <si>
    <t xml:space="preserve">PTFE Schlauch DN10</t>
  </si>
  <si>
    <t xml:space="preserve">109381</t>
  </si>
  <si>
    <t xml:space="preserve">Gateway Modbus TCP Server / CAN</t>
  </si>
  <si>
    <t xml:space="preserve">101634</t>
  </si>
  <si>
    <t xml:space="preserve">100852</t>
  </si>
  <si>
    <t xml:space="preserve">Ventilsitzeinsatz D70</t>
  </si>
  <si>
    <t xml:space="preserve">106904</t>
  </si>
  <si>
    <t xml:space="preserve">Sirenenelement</t>
  </si>
  <si>
    <t xml:space="preserve">106727</t>
  </si>
  <si>
    <t xml:space="preserve">001207</t>
  </si>
  <si>
    <t xml:space="preserve">Holzkiste Luftkompressor See</t>
  </si>
  <si>
    <t xml:space="preserve">G</t>
  </si>
  <si>
    <t xml:space="preserve">106984</t>
  </si>
  <si>
    <t xml:space="preserve">Patch-Panel, RJ45-Buchse</t>
  </si>
  <si>
    <t xml:space="preserve">108527</t>
  </si>
  <si>
    <t xml:space="preserve">Spülluftblock BASE / SUB komplett</t>
  </si>
  <si>
    <t xml:space="preserve">108945</t>
  </si>
  <si>
    <t xml:space="preserve">Kranbahnprofil</t>
  </si>
  <si>
    <t xml:space="preserve">001114</t>
  </si>
  <si>
    <t xml:space="preserve">Palette Typ 0</t>
  </si>
  <si>
    <t xml:space="preserve">Verpackungsmaterial</t>
  </si>
  <si>
    <t xml:space="preserve">103918</t>
  </si>
  <si>
    <t xml:space="preserve">105457</t>
  </si>
  <si>
    <t xml:space="preserve">O-Ring</t>
  </si>
  <si>
    <t xml:space="preserve">100762</t>
  </si>
  <si>
    <t xml:space="preserve">100893</t>
  </si>
  <si>
    <t xml:space="preserve">Druckfeder</t>
  </si>
  <si>
    <t xml:space="preserve">gehört dieser Artikel ins KTL ?</t>
  </si>
  <si>
    <t xml:space="preserve">106009</t>
  </si>
  <si>
    <t xml:space="preserve">100187</t>
  </si>
  <si>
    <t xml:space="preserve">Dichtscheibe</t>
  </si>
  <si>
    <t xml:space="preserve">S33</t>
  </si>
  <si>
    <t xml:space="preserve">106496</t>
  </si>
  <si>
    <t xml:space="preserve">005541</t>
  </si>
  <si>
    <t xml:space="preserve">109378</t>
  </si>
  <si>
    <t xml:space="preserve">Spülluftmodul Gehäuse komplett</t>
  </si>
  <si>
    <t xml:space="preserve">005040</t>
  </si>
  <si>
    <t xml:space="preserve">109495</t>
  </si>
  <si>
    <t xml:space="preserve">Nadelventil</t>
  </si>
  <si>
    <t xml:space="preserve">109201</t>
  </si>
  <si>
    <t xml:space="preserve">Fahrwerk GISKB II</t>
  </si>
  <si>
    <t xml:space="preserve">005101</t>
  </si>
  <si>
    <t xml:space="preserve">SPS Ethernet-Kommunikationsmodul</t>
  </si>
  <si>
    <t xml:space="preserve">101574</t>
  </si>
  <si>
    <t xml:space="preserve">Stützring</t>
  </si>
  <si>
    <t xml:space="preserve">001124</t>
  </si>
  <si>
    <t xml:space="preserve">Holzkiste Steuerschrank gross</t>
  </si>
  <si>
    <t xml:space="preserve">110106</t>
  </si>
  <si>
    <t xml:space="preserve">Faltenfilter</t>
  </si>
  <si>
    <t xml:space="preserve">110866</t>
  </si>
  <si>
    <t xml:space="preserve">Verbunddichtring</t>
  </si>
  <si>
    <t xml:space="preserve">106622</t>
  </si>
  <si>
    <t xml:space="preserve">Bolzen</t>
  </si>
  <si>
    <t xml:space="preserve">108541</t>
  </si>
  <si>
    <t xml:space="preserve">Stickstoffblock SUB komplett</t>
  </si>
  <si>
    <t xml:space="preserve">110991</t>
  </si>
  <si>
    <t xml:space="preserve">Distanzhülse</t>
  </si>
  <si>
    <t xml:space="preserve">005102</t>
  </si>
  <si>
    <t xml:space="preserve">SPS Profibus DP-Slavemodul</t>
  </si>
  <si>
    <t xml:space="preserve">101477</t>
  </si>
  <si>
    <t xml:space="preserve">Befestigungsring</t>
  </si>
  <si>
    <t xml:space="preserve">107997</t>
  </si>
  <si>
    <t xml:space="preserve">Adapter Stahl verzinkt</t>
  </si>
  <si>
    <t xml:space="preserve">005069</t>
  </si>
  <si>
    <t xml:space="preserve">Hochdruck-Ganzmetallschlauch CH4</t>
  </si>
  <si>
    <t xml:space="preserve">107713</t>
  </si>
  <si>
    <t xml:space="preserve">Spannungsüberwachung</t>
  </si>
  <si>
    <t xml:space="preserve">Neuer Art.</t>
  </si>
  <si>
    <t xml:space="preserve">005201</t>
  </si>
  <si>
    <t xml:space="preserve">Druckregelstrecke O2</t>
  </si>
  <si>
    <t xml:space="preserve">109124</t>
  </si>
  <si>
    <t xml:space="preserve">Verpackung Spülluftmodul</t>
  </si>
  <si>
    <t xml:space="preserve">106385</t>
  </si>
  <si>
    <t xml:space="preserve">Zugstange</t>
  </si>
  <si>
    <t xml:space="preserve">109189</t>
  </si>
  <si>
    <t xml:space="preserve">Einschraubadapter Edelstahl</t>
  </si>
  <si>
    <t xml:space="preserve">108322</t>
  </si>
  <si>
    <t xml:space="preserve">Gasvorwärmer</t>
  </si>
  <si>
    <t xml:space="preserve">102884</t>
  </si>
  <si>
    <t xml:space="preserve">Rapid Kettenglied</t>
  </si>
  <si>
    <t xml:space="preserve">109376</t>
  </si>
  <si>
    <t xml:space="preserve">Unterstützungsblech Spülluftmodul</t>
  </si>
  <si>
    <t xml:space="preserve">101916</t>
  </si>
  <si>
    <t xml:space="preserve">länger als die Kisten</t>
  </si>
  <si>
    <t xml:space="preserve">111957</t>
  </si>
  <si>
    <t xml:space="preserve">Flaschenanschluss Ventil</t>
  </si>
  <si>
    <t xml:space="preserve">109924</t>
  </si>
  <si>
    <t xml:space="preserve">Sensorkabel</t>
  </si>
  <si>
    <t xml:space="preserve">102501</t>
  </si>
  <si>
    <t xml:space="preserve">106944</t>
  </si>
  <si>
    <t xml:space="preserve">Busmodul</t>
  </si>
  <si>
    <t xml:space="preserve">i.o</t>
  </si>
  <si>
    <t xml:space="preserve">109172</t>
  </si>
  <si>
    <t xml:space="preserve">Basisschlauch für Bündelanschluss</t>
  </si>
  <si>
    <t xml:space="preserve">002003</t>
  </si>
  <si>
    <t xml:space="preserve">Holzkiste Austrittsdüse 2m</t>
  </si>
  <si>
    <t xml:space="preserve">107360</t>
  </si>
  <si>
    <t xml:space="preserve">Seilrolle</t>
  </si>
  <si>
    <t xml:space="preserve">108805</t>
  </si>
  <si>
    <t xml:space="preserve">Typenschild</t>
  </si>
  <si>
    <t xml:space="preserve">111904</t>
  </si>
  <si>
    <t xml:space="preserve">Einschraubverschraubung</t>
  </si>
  <si>
    <t xml:space="preserve">111770</t>
  </si>
  <si>
    <t xml:space="preserve">Manometer</t>
  </si>
  <si>
    <t xml:space="preserve">111762</t>
  </si>
  <si>
    <t xml:space="preserve">005498</t>
  </si>
  <si>
    <t xml:space="preserve">Nylonband mit Klettverschluss</t>
  </si>
  <si>
    <t xml:space="preserve">107996</t>
  </si>
  <si>
    <t xml:space="preserve">Doppelnippel mit Blendenbohrung</t>
  </si>
  <si>
    <t xml:space="preserve">005747</t>
  </si>
  <si>
    <t xml:space="preserve">Hochdruck-Ganzmetallschlauch O2,UK</t>
  </si>
  <si>
    <t xml:space="preserve">108039</t>
  </si>
  <si>
    <t xml:space="preserve">HEAVYCON Anbaugehäuse B6</t>
  </si>
  <si>
    <t xml:space="preserve">108036</t>
  </si>
  <si>
    <t xml:space="preserve">Kontakteinsatzmodul 12 polig</t>
  </si>
  <si>
    <t xml:space="preserve">101568</t>
  </si>
  <si>
    <t xml:space="preserve">100409</t>
  </si>
  <si>
    <t xml:space="preserve">Spülluftblock</t>
  </si>
  <si>
    <t xml:space="preserve">106903</t>
  </si>
  <si>
    <t xml:space="preserve">Joch</t>
  </si>
  <si>
    <t xml:space="preserve">005701</t>
  </si>
  <si>
    <t xml:space="preserve">Leistungsschütz</t>
  </si>
  <si>
    <t xml:space="preserve">103487</t>
  </si>
  <si>
    <t xml:space="preserve">112023</t>
  </si>
  <si>
    <t xml:space="preserve">Entlüftungsrohr</t>
  </si>
  <si>
    <t xml:space="preserve">100419</t>
  </si>
  <si>
    <t xml:space="preserve">Flammschutz</t>
  </si>
  <si>
    <t xml:space="preserve">104210</t>
  </si>
  <si>
    <t xml:space="preserve">Temperatursensor mit Stecker</t>
  </si>
  <si>
    <t xml:space="preserve">109666</t>
  </si>
  <si>
    <t xml:space="preserve">109147</t>
  </si>
  <si>
    <t xml:space="preserve">Druckregler</t>
  </si>
  <si>
    <t xml:space="preserve">106629</t>
  </si>
  <si>
    <t xml:space="preserve">Leiste zu SPGr10</t>
  </si>
  <si>
    <t xml:space="preserve">106313</t>
  </si>
  <si>
    <t xml:space="preserve">Endflansch</t>
  </si>
  <si>
    <t xml:space="preserve">100140</t>
  </si>
  <si>
    <t xml:space="preserve">Glühkerzenhalter</t>
  </si>
  <si>
    <t xml:space="preserve">107994</t>
  </si>
  <si>
    <t xml:space="preserve">111125</t>
  </si>
  <si>
    <t xml:space="preserve">Hohlschraube mit Anschluss</t>
  </si>
  <si>
    <t xml:space="preserve">100159</t>
  </si>
  <si>
    <t xml:space="preserve">Klemmhülse</t>
  </si>
  <si>
    <t xml:space="preserve">110885</t>
  </si>
  <si>
    <t xml:space="preserve">Blende</t>
  </si>
  <si>
    <t xml:space="preserve">108573</t>
  </si>
  <si>
    <t xml:space="preserve">Aufkleber SPGr</t>
  </si>
  <si>
    <t xml:space="preserve">101566</t>
  </si>
  <si>
    <t xml:space="preserve">111987</t>
  </si>
  <si>
    <t xml:space="preserve">Sicherheitsventil 50 bar</t>
  </si>
  <si>
    <t xml:space="preserve">106721</t>
  </si>
  <si>
    <t xml:space="preserve">Glühkerzenhalter SPGr</t>
  </si>
  <si>
    <t xml:space="preserve">100126</t>
  </si>
  <si>
    <t xml:space="preserve">Adapter Edelstahl</t>
  </si>
  <si>
    <t xml:space="preserve">005145</t>
  </si>
  <si>
    <t xml:space="preserve">Relais komplett</t>
  </si>
  <si>
    <t xml:space="preserve">101560</t>
  </si>
  <si>
    <t xml:space="preserve">Aufhängung starr</t>
  </si>
  <si>
    <t xml:space="preserve">104211</t>
  </si>
  <si>
    <t xml:space="preserve">Glühkerzenkabel inkl. Stecker zu VP</t>
  </si>
  <si>
    <t xml:space="preserve">100337</t>
  </si>
  <si>
    <t xml:space="preserve">110204</t>
  </si>
  <si>
    <t xml:space="preserve">Aufsteckringschlüssel</t>
  </si>
  <si>
    <t xml:space="preserve">111959</t>
  </si>
  <si>
    <t xml:space="preserve">T-Verschraubung</t>
  </si>
  <si>
    <t xml:space="preserve">109826</t>
  </si>
  <si>
    <t xml:space="preserve">108571</t>
  </si>
  <si>
    <t xml:space="preserve">Puffer</t>
  </si>
  <si>
    <t xml:space="preserve">100143</t>
  </si>
  <si>
    <t xml:space="preserve">Quetschring</t>
  </si>
  <si>
    <t xml:space="preserve">100335</t>
  </si>
  <si>
    <t xml:space="preserve">106424</t>
  </si>
  <si>
    <t xml:space="preserve">110900</t>
  </si>
  <si>
    <t xml:space="preserve">105950</t>
  </si>
  <si>
    <t xml:space="preserve">Nutmutter</t>
  </si>
  <si>
    <t xml:space="preserve">106917</t>
  </si>
  <si>
    <t xml:space="preserve">Beschriftungsset zu SPGr</t>
  </si>
  <si>
    <t xml:space="preserve">108027</t>
  </si>
  <si>
    <t xml:space="preserve">111961</t>
  </si>
  <si>
    <t xml:space="preserve">005323</t>
  </si>
  <si>
    <t xml:space="preserve">108125</t>
  </si>
  <si>
    <t xml:space="preserve">Neu</t>
  </si>
  <si>
    <t xml:space="preserve">109096</t>
  </si>
  <si>
    <t xml:space="preserve">Steckschlüssel-Adapter</t>
  </si>
  <si>
    <t xml:space="preserve">105389</t>
  </si>
  <si>
    <t xml:space="preserve">110009</t>
  </si>
  <si>
    <t xml:space="preserve">Doppelnippel</t>
  </si>
  <si>
    <t xml:space="preserve">005159</t>
  </si>
  <si>
    <t xml:space="preserve">Gestell mit Fuss</t>
  </si>
  <si>
    <t xml:space="preserve">110093</t>
  </si>
  <si>
    <t xml:space="preserve">LED-Dauerlichtelement</t>
  </si>
  <si>
    <t xml:space="preserve">108034</t>
  </si>
  <si>
    <t xml:space="preserve">Kontakteinsatzmodul 5 polig</t>
  </si>
  <si>
    <t xml:space="preserve">005706</t>
  </si>
  <si>
    <t xml:space="preserve">Schutzkragen</t>
  </si>
  <si>
    <t xml:space="preserve">100417</t>
  </si>
  <si>
    <t xml:space="preserve">110863</t>
  </si>
  <si>
    <t xml:space="preserve">Zwischenflansch Spülluft</t>
  </si>
  <si>
    <t xml:space="preserve">107722</t>
  </si>
  <si>
    <t xml:space="preserve">Stahldrahtseil</t>
  </si>
  <si>
    <t xml:space="preserve">001170</t>
  </si>
  <si>
    <t xml:space="preserve">Holzkiste Austrittsdüse</t>
  </si>
  <si>
    <t xml:space="preserve">112028</t>
  </si>
  <si>
    <t xml:space="preserve">107123</t>
  </si>
  <si>
    <t xml:space="preserve">108035</t>
  </si>
  <si>
    <t xml:space="preserve">Modulträgerrahmen B6</t>
  </si>
  <si>
    <t xml:space="preserve">107413</t>
  </si>
  <si>
    <t xml:space="preserve">Rohr Anschweissstück Øi154</t>
  </si>
  <si>
    <t xml:space="preserve">106877</t>
  </si>
  <si>
    <t xml:space="preserve">Sechskantmutter</t>
  </si>
  <si>
    <t xml:space="preserve">005749</t>
  </si>
  <si>
    <t xml:space="preserve">Hochdruck-Ganzmetallschlauch N2,UK</t>
  </si>
  <si>
    <t xml:space="preserve">005748</t>
  </si>
  <si>
    <t xml:space="preserve">Hochdruck-Ganzmetallschlauch CH4,UK</t>
  </si>
  <si>
    <t xml:space="preserve">111977</t>
  </si>
  <si>
    <t xml:space="preserve">005257</t>
  </si>
  <si>
    <t xml:space="preserve">Stopfen</t>
  </si>
  <si>
    <t xml:space="preserve">105452</t>
  </si>
  <si>
    <t xml:space="preserve">107048</t>
  </si>
  <si>
    <t xml:space="preserve">Werkzeugtasche</t>
  </si>
  <si>
    <t xml:space="preserve">108008</t>
  </si>
  <si>
    <t xml:space="preserve">Klammer</t>
  </si>
  <si>
    <t xml:space="preserve">109634</t>
  </si>
  <si>
    <t xml:space="preserve">Kranbahnprofil GISKB II</t>
  </si>
  <si>
    <t xml:space="preserve">104236</t>
  </si>
  <si>
    <t xml:space="preserve">Dach</t>
  </si>
  <si>
    <t xml:space="preserve">106432</t>
  </si>
  <si>
    <t xml:space="preserve">103492</t>
  </si>
  <si>
    <t xml:space="preserve">Heizpatrone</t>
  </si>
  <si>
    <t xml:space="preserve">100123</t>
  </si>
  <si>
    <t xml:space="preserve">106949</t>
  </si>
  <si>
    <t xml:space="preserve">Busmodul für Safe I/O-Module</t>
  </si>
  <si>
    <t xml:space="preserve">101829</t>
  </si>
  <si>
    <t xml:space="preserve">105244</t>
  </si>
  <si>
    <t xml:space="preserve">Huelse</t>
  </si>
  <si>
    <t xml:space="preserve">108410</t>
  </si>
  <si>
    <t xml:space="preserve">Sechskant-Distanzbolzen</t>
  </si>
  <si>
    <t xml:space="preserve">107196</t>
  </si>
  <si>
    <t xml:space="preserve">100265</t>
  </si>
  <si>
    <t xml:space="preserve">Klappsplint</t>
  </si>
  <si>
    <t xml:space="preserve">112051</t>
  </si>
  <si>
    <t xml:space="preserve">Flaschenanschluss Luft</t>
  </si>
  <si>
    <t xml:space="preserve">103823</t>
  </si>
  <si>
    <t xml:space="preserve">Blinddeckel</t>
  </si>
  <si>
    <t xml:space="preserve">112021</t>
  </si>
  <si>
    <t xml:space="preserve">Montageblech</t>
  </si>
  <si>
    <t xml:space="preserve">110882</t>
  </si>
  <si>
    <t xml:space="preserve">Koffer</t>
  </si>
  <si>
    <t xml:space="preserve">109329</t>
  </si>
  <si>
    <t xml:space="preserve">Traglastkleber 630kg</t>
  </si>
  <si>
    <t xml:space="preserve">005094</t>
  </si>
  <si>
    <t xml:space="preserve">SPS Erweiterungsmodul</t>
  </si>
  <si>
    <t xml:space="preserve">005075</t>
  </si>
  <si>
    <t xml:space="preserve">Hochdruck-Ganzmetallschlauch N2</t>
  </si>
  <si>
    <t xml:space="preserve">101561</t>
  </si>
  <si>
    <t xml:space="preserve">Fahrwerk</t>
  </si>
  <si>
    <t xml:space="preserve">100147</t>
  </si>
  <si>
    <t xml:space="preserve">101253</t>
  </si>
  <si>
    <t xml:space="preserve">Federkonsole</t>
  </si>
  <si>
    <t xml:space="preserve">108818</t>
  </si>
  <si>
    <t xml:space="preserve">Rohrschelle</t>
  </si>
  <si>
    <t xml:space="preserve">110123</t>
  </si>
  <si>
    <t xml:space="preserve">111932</t>
  </si>
  <si>
    <t xml:space="preserve">Aufschraubverschraubung</t>
  </si>
  <si>
    <t xml:space="preserve">106419</t>
  </si>
  <si>
    <t xml:space="preserve">100411</t>
  </si>
  <si>
    <t xml:space="preserve">110887</t>
  </si>
  <si>
    <t xml:space="preserve">107723</t>
  </si>
  <si>
    <t xml:space="preserve">Drahtseillklemme</t>
  </si>
  <si>
    <t xml:space="preserve">106900</t>
  </si>
  <si>
    <t xml:space="preserve">Anschlusselement</t>
  </si>
  <si>
    <t xml:space="preserve">105395</t>
  </si>
  <si>
    <t xml:space="preserve">Flansch</t>
  </si>
  <si>
    <t xml:space="preserve">111897</t>
  </si>
  <si>
    <t xml:space="preserve">Steckverbinder</t>
  </si>
  <si>
    <t xml:space="preserve">110682</t>
  </si>
  <si>
    <t xml:space="preserve">005341</t>
  </si>
  <si>
    <t xml:space="preserve">Montageschlüssel</t>
  </si>
  <si>
    <t xml:space="preserve">107102</t>
  </si>
  <si>
    <t xml:space="preserve">Sechskant Stifteinsatz</t>
  </si>
  <si>
    <t xml:space="preserve">001086</t>
  </si>
  <si>
    <t xml:space="preserve">Loctite 243</t>
  </si>
  <si>
    <t xml:space="preserve">109665</t>
  </si>
  <si>
    <t xml:space="preserve">111991</t>
  </si>
  <si>
    <t xml:space="preserve">108513</t>
  </si>
  <si>
    <t xml:space="preserve">Typenschild Servicetechniker-Set SPGr16</t>
  </si>
  <si>
    <t xml:space="preserve">106470</t>
  </si>
  <si>
    <t xml:space="preserve">Magnetventil komplett</t>
  </si>
  <si>
    <t xml:space="preserve">107358</t>
  </si>
  <si>
    <t xml:space="preserve">Achse</t>
  </si>
  <si>
    <t xml:space="preserve">110095</t>
  </si>
  <si>
    <t xml:space="preserve">Sensor-/Aktor-Kabel</t>
  </si>
  <si>
    <t xml:space="preserve">101639</t>
  </si>
  <si>
    <t xml:space="preserve">107872</t>
  </si>
  <si>
    <t xml:space="preserve">108001</t>
  </si>
  <si>
    <t xml:space="preserve">Ventilatorkabel mit Stecker</t>
  </si>
  <si>
    <t xml:space="preserve">100146</t>
  </si>
  <si>
    <t xml:space="preserve">107585</t>
  </si>
  <si>
    <t xml:space="preserve">Indikator</t>
  </si>
  <si>
    <t xml:space="preserve">100318</t>
  </si>
  <si>
    <t xml:space="preserve">Leitungsdruckregler LT2000</t>
  </si>
  <si>
    <t xml:space="preserve">005459</t>
  </si>
  <si>
    <t xml:space="preserve">Heizung Steuerschrank</t>
  </si>
  <si>
    <t xml:space="preserve">109613</t>
  </si>
  <si>
    <t xml:space="preserve">Adapter Bündelanschluss Druckluft</t>
  </si>
  <si>
    <t xml:space="preserve">107714</t>
  </si>
  <si>
    <t xml:space="preserve">Sechskant Stifteinsatz lang</t>
  </si>
  <si>
    <t xml:space="preserve">107161</t>
  </si>
  <si>
    <t xml:space="preserve">Unterlage SPGr10</t>
  </si>
  <si>
    <t xml:space="preserve">109177</t>
  </si>
  <si>
    <t xml:space="preserve">Adapter Bündelanschluss Brenngas</t>
  </si>
  <si>
    <t xml:space="preserve">100181</t>
  </si>
  <si>
    <t xml:space="preserve">Dummy Glühkerzenhalter</t>
  </si>
  <si>
    <t xml:space="preserve">107694</t>
  </si>
  <si>
    <t xml:space="preserve">Kabellasche</t>
  </si>
  <si>
    <t xml:space="preserve">005407</t>
  </si>
  <si>
    <t xml:space="preserve">Anker zu Magnetventil Parker</t>
  </si>
  <si>
    <t xml:space="preserve">111976</t>
  </si>
  <si>
    <t xml:space="preserve">Einschraub-Schaft Adapter</t>
  </si>
  <si>
    <t xml:space="preserve">109149</t>
  </si>
  <si>
    <t xml:space="preserve">005395</t>
  </si>
  <si>
    <t xml:space="preserve">Putzstock komplett</t>
  </si>
  <si>
    <t xml:space="preserve">108643</t>
  </si>
  <si>
    <t xml:space="preserve">Ventilkabel SPC800 - VP</t>
  </si>
  <si>
    <t xml:space="preserve">104209</t>
  </si>
  <si>
    <t xml:space="preserve">005797</t>
  </si>
  <si>
    <t xml:space="preserve">Rohrverschraubung</t>
  </si>
  <si>
    <t xml:space="preserve">001029</t>
  </si>
  <si>
    <t xml:space="preserve">Kupferpaste</t>
  </si>
  <si>
    <t xml:space="preserve">105913</t>
  </si>
  <si>
    <t xml:space="preserve">005729</t>
  </si>
  <si>
    <t xml:space="preserve">Schiebemutter M6</t>
  </si>
  <si>
    <t xml:space="preserve">005304</t>
  </si>
  <si>
    <t xml:space="preserve">112024</t>
  </si>
  <si>
    <t xml:space="preserve">Schutzblech</t>
  </si>
  <si>
    <t xml:space="preserve">100085</t>
  </si>
  <si>
    <t xml:space="preserve">108431</t>
  </si>
  <si>
    <t xml:space="preserve">Schaumstoff-Rastereinsatz</t>
  </si>
  <si>
    <t xml:space="preserve">107866</t>
  </si>
  <si>
    <t xml:space="preserve">Kolben SPGr16</t>
  </si>
  <si>
    <t xml:space="preserve">005745</t>
  </si>
  <si>
    <t xml:space="preserve">Kabel-Verlängerung mit Stecker</t>
  </si>
  <si>
    <t xml:space="preserve">109757</t>
  </si>
  <si>
    <t xml:space="preserve">Transfer Gehäuse SPGr</t>
  </si>
  <si>
    <t xml:space="preserve">002035</t>
  </si>
  <si>
    <t xml:space="preserve">Flachzange</t>
  </si>
  <si>
    <t xml:space="preserve">111918</t>
  </si>
  <si>
    <t xml:space="preserve">Manometer Aufschraub-Schaft Adapter</t>
  </si>
  <si>
    <t xml:space="preserve">107431</t>
  </si>
  <si>
    <t xml:space="preserve">Drahtseil</t>
  </si>
  <si>
    <t xml:space="preserve">107304</t>
  </si>
  <si>
    <t xml:space="preserve">Silikon Dichtungsmasse</t>
  </si>
  <si>
    <t xml:space="preserve">107729</t>
  </si>
  <si>
    <t xml:space="preserve">111917</t>
  </si>
  <si>
    <t xml:space="preserve">110873</t>
  </si>
  <si>
    <t xml:space="preserve">Schlauch</t>
  </si>
  <si>
    <t xml:space="preserve">111469</t>
  </si>
  <si>
    <t xml:space="preserve">Patch-Panel</t>
  </si>
  <si>
    <t xml:space="preserve">106957</t>
  </si>
  <si>
    <t xml:space="preserve">Einspeisemodul für X2X Link</t>
  </si>
  <si>
    <t xml:space="preserve">106856</t>
  </si>
  <si>
    <t xml:space="preserve">Leiste</t>
  </si>
  <si>
    <t xml:space="preserve">106454</t>
  </si>
  <si>
    <t xml:space="preserve">Sinterfilter</t>
  </si>
  <si>
    <t xml:space="preserve">111960</t>
  </si>
  <si>
    <t xml:space="preserve">100800</t>
  </si>
  <si>
    <t xml:space="preserve">101636</t>
  </si>
  <si>
    <t xml:space="preserve">Verschlusskappe</t>
  </si>
  <si>
    <t xml:space="preserve">005320</t>
  </si>
  <si>
    <t xml:space="preserve">Spezial Inbusschlüsseleinsatz</t>
  </si>
  <si>
    <t xml:space="preserve">106386</t>
  </si>
  <si>
    <t xml:space="preserve">Glühkerzen-Dummy</t>
  </si>
  <si>
    <t xml:space="preserve">005686</t>
  </si>
  <si>
    <t xml:space="preserve">Schaltschrank Etikette</t>
  </si>
  <si>
    <t xml:space="preserve">107863</t>
  </si>
  <si>
    <t xml:space="preserve">111969</t>
  </si>
  <si>
    <t xml:space="preserve">101559</t>
  </si>
  <si>
    <t xml:space="preserve">Deckel</t>
  </si>
  <si>
    <t xml:space="preserve">005713</t>
  </si>
  <si>
    <t xml:space="preserve">Etikette EG10 Rückschlagventil Patrone</t>
  </si>
  <si>
    <t xml:space="preserve">001030</t>
  </si>
  <si>
    <t xml:space="preserve">Loctite 542</t>
  </si>
  <si>
    <t xml:space="preserve">108804</t>
  </si>
  <si>
    <t xml:space="preserve">Ersatzfilterpatrone</t>
  </si>
  <si>
    <t xml:space="preserve">102867</t>
  </si>
  <si>
    <t xml:space="preserve">005700</t>
  </si>
  <si>
    <t xml:space="preserve">Relaiskoppler</t>
  </si>
  <si>
    <t xml:space="preserve">108481</t>
  </si>
  <si>
    <t xml:space="preserve">111919</t>
  </si>
  <si>
    <t xml:space="preserve">001197</t>
  </si>
  <si>
    <t xml:space="preserve">VCI Klebeband</t>
  </si>
  <si>
    <t xml:space="preserve">107583</t>
  </si>
  <si>
    <t xml:space="preserve">106090</t>
  </si>
  <si>
    <t xml:space="preserve">002009</t>
  </si>
  <si>
    <t xml:space="preserve">Nylonhammer</t>
  </si>
  <si>
    <t xml:space="preserve">110026</t>
  </si>
  <si>
    <t xml:space="preserve">selbstklebende Dokumententasche</t>
  </si>
  <si>
    <t xml:space="preserve">109987</t>
  </si>
  <si>
    <t xml:space="preserve">Hauptschalter</t>
  </si>
  <si>
    <t xml:space="preserve">111913</t>
  </si>
  <si>
    <t xml:space="preserve">Kontakteinsatz</t>
  </si>
  <si>
    <t xml:space="preserve">107050</t>
  </si>
  <si>
    <t xml:space="preserve">Inbusschlüssel lang</t>
  </si>
  <si>
    <t xml:space="preserve">001116</t>
  </si>
  <si>
    <t xml:space="preserve">Putzpapier Ecoline</t>
  </si>
  <si>
    <t xml:space="preserve">VERB-P</t>
  </si>
  <si>
    <t xml:space="preserve">001175</t>
  </si>
  <si>
    <t xml:space="preserve">Abdeckklebeband</t>
  </si>
  <si>
    <t xml:space="preserve">111978</t>
  </si>
  <si>
    <t xml:space="preserve">001130</t>
  </si>
  <si>
    <t xml:space="preserve">Holzschraube</t>
  </si>
  <si>
    <t xml:space="preserve">109175</t>
  </si>
  <si>
    <t xml:space="preserve">Adapter Bündelanschluss Stickstoff</t>
  </si>
  <si>
    <t xml:space="preserve">108727</t>
  </si>
  <si>
    <t xml:space="preserve">Schutzdeckel</t>
  </si>
  <si>
    <t xml:space="preserve">109369</t>
  </si>
  <si>
    <t xml:space="preserve">Adapter</t>
  </si>
  <si>
    <t xml:space="preserve">103439</t>
  </si>
  <si>
    <t xml:space="preserve">100408</t>
  </si>
  <si>
    <t xml:space="preserve">Konsole</t>
  </si>
  <si>
    <t xml:space="preserve">100789</t>
  </si>
  <si>
    <t xml:space="preserve">001169</t>
  </si>
  <si>
    <t xml:space="preserve">Handreiniger N-Super</t>
  </si>
  <si>
    <t xml:space="preserve">100415</t>
  </si>
  <si>
    <t xml:space="preserve">108041</t>
  </si>
  <si>
    <t xml:space="preserve">106899</t>
  </si>
  <si>
    <t xml:space="preserve">Montagewinkel</t>
  </si>
  <si>
    <t xml:space="preserve">100148</t>
  </si>
  <si>
    <t xml:space="preserve">111909</t>
  </si>
  <si>
    <t xml:space="preserve">109282</t>
  </si>
  <si>
    <t xml:space="preserve">Verpackung Servicepaket LKE SVC11</t>
  </si>
  <si>
    <t xml:space="preserve">109178</t>
  </si>
  <si>
    <t xml:space="preserve">111903</t>
  </si>
  <si>
    <t xml:space="preserve">107957</t>
  </si>
  <si>
    <t xml:space="preserve">Hakenschlüssel Spezial</t>
  </si>
  <si>
    <t xml:space="preserve">110876</t>
  </si>
  <si>
    <t xml:space="preserve">Muffe</t>
  </si>
  <si>
    <t xml:space="preserve">107232</t>
  </si>
  <si>
    <t xml:space="preserve">Schraubenzieher-Satz</t>
  </si>
  <si>
    <t xml:space="preserve">101121</t>
  </si>
  <si>
    <t xml:space="preserve">005387</t>
  </si>
  <si>
    <t xml:space="preserve">Übergangsteil</t>
  </si>
  <si>
    <t xml:space="preserve">108366</t>
  </si>
  <si>
    <t xml:space="preserve">Stellfuss mit Dämpfer</t>
  </si>
  <si>
    <t xml:space="preserve">103375</t>
  </si>
  <si>
    <t xml:space="preserve">103103</t>
  </si>
  <si>
    <t xml:space="preserve">107052</t>
  </si>
  <si>
    <t xml:space="preserve">Steckschlüsseleinsatz</t>
  </si>
  <si>
    <t xml:space="preserve">005227</t>
  </si>
  <si>
    <t xml:space="preserve">Pressverbinder isoliert blau</t>
  </si>
  <si>
    <t xml:space="preserve">Handlager</t>
  </si>
  <si>
    <t xml:space="preserve">105773</t>
  </si>
  <si>
    <t xml:space="preserve">109097</t>
  </si>
  <si>
    <t xml:space="preserve">Kleber A-Mass</t>
  </si>
  <si>
    <t xml:space="preserve">107302</t>
  </si>
  <si>
    <t xml:space="preserve">Ringschlüssel</t>
  </si>
  <si>
    <t xml:space="preserve">002041</t>
  </si>
  <si>
    <t xml:space="preserve">Kunststoff-Schutznetze orange</t>
  </si>
  <si>
    <t xml:space="preserve">105861</t>
  </si>
  <si>
    <t xml:space="preserve">111914</t>
  </si>
  <si>
    <t xml:space="preserve">Kupplungsgehäuse</t>
  </si>
  <si>
    <t xml:space="preserve">109327</t>
  </si>
  <si>
    <t xml:space="preserve">Kegelpfanne</t>
  </si>
  <si>
    <t xml:space="preserve">108032</t>
  </si>
  <si>
    <t xml:space="preserve">Anbauflansch - HC-B-AF</t>
  </si>
  <si>
    <t xml:space="preserve">005705</t>
  </si>
  <si>
    <t xml:space="preserve">Not-Halt-Pilzdrucktaster</t>
  </si>
  <si>
    <t xml:space="preserve">107306</t>
  </si>
  <si>
    <t xml:space="preserve">Montagepaste</t>
  </si>
  <si>
    <t xml:space="preserve">106276</t>
  </si>
  <si>
    <t xml:space="preserve">109160</t>
  </si>
  <si>
    <t xml:space="preserve">107721</t>
  </si>
  <si>
    <t xml:space="preserve">Karabiner</t>
  </si>
  <si>
    <t xml:space="preserve">109437</t>
  </si>
  <si>
    <t xml:space="preserve">107359</t>
  </si>
  <si>
    <t xml:space="preserve">107540</t>
  </si>
  <si>
    <t xml:space="preserve">Begleitschreiben, SPGr10</t>
  </si>
  <si>
    <t xml:space="preserve">005242</t>
  </si>
  <si>
    <t xml:space="preserve">SPS Analog-Eingangsmodul</t>
  </si>
  <si>
    <t xml:space="preserve">102012</t>
  </si>
  <si>
    <t xml:space="preserve">105575</t>
  </si>
  <si>
    <t xml:space="preserve">Wasserfester Filzstift</t>
  </si>
  <si>
    <t xml:space="preserve">107060</t>
  </si>
  <si>
    <t xml:space="preserve">Ringmagnet</t>
  </si>
  <si>
    <t xml:space="preserve">110683</t>
  </si>
  <si>
    <t xml:space="preserve">105862</t>
  </si>
  <si>
    <t xml:space="preserve">106244</t>
  </si>
  <si>
    <t xml:space="preserve">005397</t>
  </si>
  <si>
    <t xml:space="preserve">Putzlappen</t>
  </si>
  <si>
    <t xml:space="preserve">110096</t>
  </si>
  <si>
    <t xml:space="preserve">107104</t>
  </si>
  <si>
    <t xml:space="preserve">001043</t>
  </si>
  <si>
    <t xml:space="preserve">Verschlussbeutel klein</t>
  </si>
  <si>
    <t xml:space="preserve">103253</t>
  </si>
  <si>
    <t xml:space="preserve">Abpresszapfen</t>
  </si>
  <si>
    <t xml:space="preserve">001125</t>
  </si>
  <si>
    <t xml:space="preserve">Holzkiste Steuerschrank klein / Gestell</t>
  </si>
  <si>
    <t xml:space="preserve">002022</t>
  </si>
  <si>
    <t xml:space="preserve">Schlosserhammer</t>
  </si>
  <si>
    <t xml:space="preserve">VM00013</t>
  </si>
  <si>
    <t xml:space="preserve">P-touch Beschriftungsband TZE-641</t>
  </si>
  <si>
    <t xml:space="preserve">111912</t>
  </si>
  <si>
    <t xml:space="preserve">Kabelverschraubung</t>
  </si>
  <si>
    <t xml:space="preserve">102442</t>
  </si>
  <si>
    <t xml:space="preserve">Unterlagsscheibe</t>
  </si>
  <si>
    <t xml:space="preserve">108120</t>
  </si>
  <si>
    <t xml:space="preserve">Wartungskleber AC260</t>
  </si>
  <si>
    <t xml:space="preserve">005656</t>
  </si>
  <si>
    <t xml:space="preserve">Pop-Niete</t>
  </si>
  <si>
    <t xml:space="preserve">106989</t>
  </si>
  <si>
    <t xml:space="preserve">Austrittsfilter</t>
  </si>
  <si>
    <t xml:space="preserve">001118</t>
  </si>
  <si>
    <t xml:space="preserve">Destilliertes Wasser 20L</t>
  </si>
  <si>
    <t xml:space="preserve">109435</t>
  </si>
  <si>
    <t xml:space="preserve">107880</t>
  </si>
  <si>
    <t xml:space="preserve">108026</t>
  </si>
  <si>
    <t xml:space="preserve">105348</t>
  </si>
  <si>
    <t xml:space="preserve">100185</t>
  </si>
  <si>
    <t xml:space="preserve">Zylinderstift</t>
  </si>
  <si>
    <t xml:space="preserve">005699</t>
  </si>
  <si>
    <t xml:space="preserve">Leuchtmelder</t>
  </si>
  <si>
    <t xml:space="preserve">108204</t>
  </si>
  <si>
    <t xml:space="preserve">111031</t>
  </si>
  <si>
    <t xml:space="preserve">110883</t>
  </si>
  <si>
    <t xml:space="preserve">109061</t>
  </si>
  <si>
    <t xml:space="preserve">Adapterplatte 2. Spülluftmodul</t>
  </si>
  <si>
    <t xml:space="preserve">107160</t>
  </si>
  <si>
    <t xml:space="preserve">Unterlage SPGr16</t>
  </si>
  <si>
    <t xml:space="preserve">001033</t>
  </si>
  <si>
    <t xml:space="preserve">WD-40</t>
  </si>
  <si>
    <t xml:space="preserve">liegend gelagert</t>
  </si>
  <si>
    <t xml:space="preserve">108018</t>
  </si>
  <si>
    <t xml:space="preserve">Adapter Messing vernickelt</t>
  </si>
  <si>
    <t xml:space="preserve">002049</t>
  </si>
  <si>
    <t xml:space="preserve">Füllmaterial flo-pak</t>
  </si>
  <si>
    <t xml:space="preserve">001142</t>
  </si>
  <si>
    <t xml:space="preserve">UV-beständiger Verschlussbeutel klein</t>
  </si>
  <si>
    <t xml:space="preserve">002028</t>
  </si>
  <si>
    <t xml:space="preserve">Rollgabelschlüssel</t>
  </si>
  <si>
    <t xml:space="preserve">107244</t>
  </si>
  <si>
    <t xml:space="preserve">111907</t>
  </si>
  <si>
    <t xml:space="preserve">100413</t>
  </si>
  <si>
    <t xml:space="preserve">107126</t>
  </si>
  <si>
    <t xml:space="preserve">005676</t>
  </si>
  <si>
    <t xml:space="preserve">Industrie SD-Karte</t>
  </si>
  <si>
    <t xml:space="preserve">001031</t>
  </si>
  <si>
    <t xml:space="preserve">Lecksuchspray</t>
  </si>
  <si>
    <t xml:space="preserve">VM00012</t>
  </si>
  <si>
    <t xml:space="preserve">P-touch Beschriftungsband TZE-621</t>
  </si>
  <si>
    <t xml:space="preserve">110819</t>
  </si>
  <si>
    <t xml:space="preserve">A-BEZ</t>
  </si>
  <si>
    <t xml:space="preserve">001129</t>
  </si>
  <si>
    <t xml:space="preserve">106990</t>
  </si>
  <si>
    <t xml:space="preserve">Dichtung</t>
  </si>
  <si>
    <t xml:space="preserve">005121</t>
  </si>
  <si>
    <t xml:space="preserve">Sicherungs-Automat SC 1x16+N</t>
  </si>
  <si>
    <t xml:space="preserve">104391</t>
  </si>
  <si>
    <t xml:space="preserve">Tüllengehäuse D7</t>
  </si>
  <si>
    <t xml:space="preserve">106941</t>
  </si>
  <si>
    <t xml:space="preserve">Einspeisebusmodul</t>
  </si>
  <si>
    <t xml:space="preserve">005133</t>
  </si>
  <si>
    <t xml:space="preserve">SPS Stromversorgung 24VDC / 2.5A</t>
  </si>
  <si>
    <t xml:space="preserve">107109</t>
  </si>
  <si>
    <t xml:space="preserve">106968</t>
  </si>
  <si>
    <t xml:space="preserve">Feldklemme</t>
  </si>
  <si>
    <t xml:space="preserve">110022</t>
  </si>
  <si>
    <t xml:space="preserve">105306</t>
  </si>
  <si>
    <t xml:space="preserve">005203</t>
  </si>
  <si>
    <t xml:space="preserve">Druckregelstrecke CH4</t>
  </si>
  <si>
    <t xml:space="preserve">001041</t>
  </si>
  <si>
    <t xml:space="preserve">Verschlussbeutel mittel</t>
  </si>
  <si>
    <t xml:space="preserve">001131</t>
  </si>
  <si>
    <t xml:space="preserve">101003</t>
  </si>
  <si>
    <t xml:space="preserve">101539</t>
  </si>
  <si>
    <t xml:space="preserve">109283</t>
  </si>
  <si>
    <t xml:space="preserve">Verpackung Servicepaket LKE SVC12</t>
  </si>
  <si>
    <t xml:space="preserve">001195</t>
  </si>
  <si>
    <t xml:space="preserve">Abdrückschraube</t>
  </si>
  <si>
    <t xml:space="preserve">001113</t>
  </si>
  <si>
    <t xml:space="preserve">Faltrahmen</t>
  </si>
  <si>
    <t xml:space="preserve">103486</t>
  </si>
  <si>
    <t xml:space="preserve">Schild EP</t>
  </si>
  <si>
    <t xml:space="preserve">108943</t>
  </si>
  <si>
    <t xml:space="preserve">001158</t>
  </si>
  <si>
    <t xml:space="preserve">Industrie Etikett PVC, weiss 100x45mm</t>
  </si>
  <si>
    <t xml:space="preserve">Verb.Lager</t>
  </si>
  <si>
    <t xml:space="preserve">108698</t>
  </si>
  <si>
    <t xml:space="preserve">Schwenkstutzen</t>
  </si>
  <si>
    <t xml:space="preserve">005140</t>
  </si>
  <si>
    <t xml:space="preserve">Leuchtdrucktaster</t>
  </si>
  <si>
    <t xml:space="preserve">001153</t>
  </si>
  <si>
    <t xml:space="preserve">Kabelbinder transparent (weiss)</t>
  </si>
  <si>
    <t xml:space="preserve">106136</t>
  </si>
  <si>
    <t xml:space="preserve">107134</t>
  </si>
  <si>
    <t xml:space="preserve">Führungsbüchse</t>
  </si>
  <si>
    <t xml:space="preserve">108069</t>
  </si>
  <si>
    <t xml:space="preserve">Sicherheitsventil 1. Stufe AC260</t>
  </si>
  <si>
    <t xml:space="preserve">109481</t>
  </si>
  <si>
    <t xml:space="preserve">108030</t>
  </si>
  <si>
    <t xml:space="preserve">111768</t>
  </si>
  <si>
    <t xml:space="preserve">100040</t>
  </si>
  <si>
    <t xml:space="preserve">106115</t>
  </si>
  <si>
    <t xml:space="preserve">005632</t>
  </si>
  <si>
    <t xml:space="preserve">Schaltschrank-Schlüssel</t>
  </si>
  <si>
    <t xml:space="preserve">110649</t>
  </si>
  <si>
    <t xml:space="preserve">106907</t>
  </si>
  <si>
    <t xml:space="preserve">Basis Busmodul</t>
  </si>
  <si>
    <t xml:space="preserve">109174</t>
  </si>
  <si>
    <t xml:space="preserve">002072</t>
  </si>
  <si>
    <t xml:space="preserve">Nylon-Strickhandschuh</t>
  </si>
  <si>
    <t xml:space="preserve">110869</t>
  </si>
  <si>
    <t xml:space="preserve">002065</t>
  </si>
  <si>
    <t xml:space="preserve">Batterie AA</t>
  </si>
  <si>
    <t xml:space="preserve">110955</t>
  </si>
  <si>
    <t xml:space="preserve">Stiftschraube</t>
  </si>
  <si>
    <t xml:space="preserve">100402</t>
  </si>
  <si>
    <t xml:space="preserve">Rohrleitung</t>
  </si>
  <si>
    <t xml:space="preserve">108368</t>
  </si>
  <si>
    <t xml:space="preserve">Lenkrolle mit Feststeller</t>
  </si>
  <si>
    <t xml:space="preserve">107234</t>
  </si>
  <si>
    <t xml:space="preserve">Klingenmesser</t>
  </si>
  <si>
    <t xml:space="preserve">108044</t>
  </si>
  <si>
    <t xml:space="preserve">111992</t>
  </si>
  <si>
    <t xml:space="preserve">Aufkleber Gehörschutzsymbol</t>
  </si>
  <si>
    <t xml:space="preserve">107701</t>
  </si>
  <si>
    <t xml:space="preserve">Ringeinsatz</t>
  </si>
  <si>
    <t xml:space="preserve">111916</t>
  </si>
  <si>
    <t xml:space="preserve">002048</t>
  </si>
  <si>
    <t xml:space="preserve">Metallsägeband</t>
  </si>
  <si>
    <t xml:space="preserve">110130</t>
  </si>
  <si>
    <t xml:space="preserve">005633</t>
  </si>
  <si>
    <t xml:space="preserve">Schiebemutter M8</t>
  </si>
  <si>
    <t xml:space="preserve">005451</t>
  </si>
  <si>
    <t xml:space="preserve">Aderendhülse isoliert pink</t>
  </si>
  <si>
    <t xml:space="preserve">111908</t>
  </si>
  <si>
    <t xml:space="preserve">Reduzieradapter</t>
  </si>
  <si>
    <t xml:space="preserve">106746</t>
  </si>
  <si>
    <t xml:space="preserve">107661</t>
  </si>
  <si>
    <t xml:space="preserve">Etikette Ölwechsel</t>
  </si>
  <si>
    <t xml:space="preserve">103765</t>
  </si>
  <si>
    <t xml:space="preserve">103266</t>
  </si>
  <si>
    <t xml:space="preserve">107198</t>
  </si>
  <si>
    <t xml:space="preserve">Abdeckung</t>
  </si>
  <si>
    <t xml:space="preserve">001152</t>
  </si>
  <si>
    <t xml:space="preserve">110867</t>
  </si>
  <si>
    <t xml:space="preserve">L-Adapter</t>
  </si>
  <si>
    <t xml:space="preserve">002008</t>
  </si>
  <si>
    <t xml:space="preserve">Schraubenzieher flach</t>
  </si>
  <si>
    <t xml:space="preserve">104265</t>
  </si>
  <si>
    <t xml:space="preserve">110871</t>
  </si>
  <si>
    <t xml:space="preserve">Winkelverschraubung</t>
  </si>
  <si>
    <t xml:space="preserve">001132</t>
  </si>
  <si>
    <t xml:space="preserve">107715</t>
  </si>
  <si>
    <t xml:space="preserve">106947</t>
  </si>
  <si>
    <t xml:space="preserve">Busmodul für X20 SafeIO Module</t>
  </si>
  <si>
    <t xml:space="preserve">100175</t>
  </si>
  <si>
    <t xml:space="preserve">005709</t>
  </si>
  <si>
    <t xml:space="preserve">Thermischer Geräteschutzschalter</t>
  </si>
  <si>
    <t xml:space="preserve">108272</t>
  </si>
  <si>
    <t xml:space="preserve">Etikette Ölwechsel AC215</t>
  </si>
  <si>
    <t xml:space="preserve">001139</t>
  </si>
  <si>
    <t xml:space="preserve">Klammern Typ G</t>
  </si>
  <si>
    <t xml:space="preserve">108346</t>
  </si>
  <si>
    <t xml:space="preserve">Blech zu PAM Verteilerbox</t>
  </si>
  <si>
    <t xml:space="preserve">110311</t>
  </si>
  <si>
    <t xml:space="preserve">107399</t>
  </si>
  <si>
    <t xml:space="preserve">Ventilkabel Luft</t>
  </si>
  <si>
    <t xml:space="preserve">105850</t>
  </si>
  <si>
    <t xml:space="preserve">Dummy Ersatz</t>
  </si>
  <si>
    <t xml:space="preserve">100266</t>
  </si>
  <si>
    <t xml:space="preserve">111239</t>
  </si>
  <si>
    <t xml:space="preserve">105989</t>
  </si>
  <si>
    <t xml:space="preserve">005710</t>
  </si>
  <si>
    <t xml:space="preserve">Steuerschalter</t>
  </si>
  <si>
    <t xml:space="preserve">101496</t>
  </si>
  <si>
    <t xml:space="preserve">005622</t>
  </si>
  <si>
    <t xml:space="preserve">Kantenschutzband schwarz</t>
  </si>
  <si>
    <t xml:space="preserve">001194</t>
  </si>
  <si>
    <t xml:space="preserve">PVC Klebeband</t>
  </si>
  <si>
    <t xml:space="preserve">105349</t>
  </si>
  <si>
    <t xml:space="preserve">109752</t>
  </si>
  <si>
    <t xml:space="preserve">110286</t>
  </si>
  <si>
    <t xml:space="preserve">Pinsel gross</t>
  </si>
  <si>
    <t xml:space="preserve">110771</t>
  </si>
  <si>
    <t xml:space="preserve">111224</t>
  </si>
  <si>
    <t xml:space="preserve">Korrosionsschutzmittel</t>
  </si>
  <si>
    <t xml:space="preserve">111090</t>
  </si>
  <si>
    <t xml:space="preserve">100044</t>
  </si>
  <si>
    <t xml:space="preserve">005500</t>
  </si>
  <si>
    <t xml:space="preserve">Einphasen-Sicherheitstrafo</t>
  </si>
  <si>
    <t xml:space="preserve">005642</t>
  </si>
  <si>
    <t xml:space="preserve">Netzwerkkabel</t>
  </si>
  <si>
    <t xml:space="preserve">107213</t>
  </si>
  <si>
    <t xml:space="preserve">100286</t>
  </si>
  <si>
    <t xml:space="preserve">105341</t>
  </si>
  <si>
    <t xml:space="preserve">111650</t>
  </si>
  <si>
    <t xml:space="preserve">Körner</t>
  </si>
  <si>
    <t xml:space="preserve">111728</t>
  </si>
  <si>
    <t xml:space="preserve">Kardangelenk</t>
  </si>
  <si>
    <t xml:space="preserve">110879</t>
  </si>
  <si>
    <t xml:space="preserve">Prüfadapter</t>
  </si>
  <si>
    <t xml:space="preserve">111729</t>
  </si>
  <si>
    <t xml:space="preserve">Scotch-Brite Handpad</t>
  </si>
  <si>
    <t xml:space="preserve">005389</t>
  </si>
  <si>
    <t xml:space="preserve">108149</t>
  </si>
  <si>
    <t xml:space="preserve">100642</t>
  </si>
  <si>
    <t xml:space="preserve">Winkelverschraubung Edelstahl</t>
  </si>
  <si>
    <t xml:space="preserve">110821</t>
  </si>
  <si>
    <t xml:space="preserve">100903</t>
  </si>
  <si>
    <t xml:space="preserve">001200</t>
  </si>
  <si>
    <t xml:space="preserve">Luftpolsterfolie</t>
  </si>
  <si>
    <t xml:space="preserve">VM00014</t>
  </si>
  <si>
    <t xml:space="preserve">Versand-Etiketten</t>
  </si>
  <si>
    <t xml:space="preserve">106451</t>
  </si>
  <si>
    <t xml:space="preserve">109952</t>
  </si>
  <si>
    <t xml:space="preserve">Klemmenblock X6.2</t>
  </si>
  <si>
    <t xml:space="preserve">106742</t>
  </si>
  <si>
    <t xml:space="preserve">Ventilkabel</t>
  </si>
  <si>
    <t xml:space="preserve">106703</t>
  </si>
  <si>
    <t xml:space="preserve">002032</t>
  </si>
  <si>
    <t xml:space="preserve">Ringgabelschlüssel</t>
  </si>
  <si>
    <t xml:space="preserve">005597</t>
  </si>
  <si>
    <t xml:space="preserve">Schraubkappe</t>
  </si>
  <si>
    <t xml:space="preserve">109179</t>
  </si>
  <si>
    <t xml:space="preserve">107312</t>
  </si>
  <si>
    <t xml:space="preserve">Begleitschreiben</t>
  </si>
  <si>
    <t xml:space="preserve">107301</t>
  </si>
  <si>
    <t xml:space="preserve">Ventilkopfschlüssel</t>
  </si>
  <si>
    <t xml:space="preserve">110870</t>
  </si>
  <si>
    <t xml:space="preserve">005393</t>
  </si>
  <si>
    <t xml:space="preserve">005396</t>
  </si>
  <si>
    <t xml:space="preserve">Verlängerungsrohr</t>
  </si>
  <si>
    <t xml:space="preserve">108025</t>
  </si>
  <si>
    <t xml:space="preserve">005462</t>
  </si>
  <si>
    <t xml:space="preserve">101453</t>
  </si>
  <si>
    <t xml:space="preserve">106291</t>
  </si>
  <si>
    <t xml:space="preserve">109180</t>
  </si>
  <si>
    <t xml:space="preserve">111057</t>
  </si>
  <si>
    <t xml:space="preserve">Stossverbinder</t>
  </si>
  <si>
    <t xml:space="preserve">108413</t>
  </si>
  <si>
    <t xml:space="preserve">Box für Kleinmaterial</t>
  </si>
  <si>
    <t xml:space="preserve">005437</t>
  </si>
  <si>
    <t xml:space="preserve">Halteschrauben zu Filterhülse</t>
  </si>
  <si>
    <t xml:space="preserve">005228</t>
  </si>
  <si>
    <t xml:space="preserve">Presskabelschuh blau</t>
  </si>
  <si>
    <t xml:space="preserve">110872</t>
  </si>
  <si>
    <t xml:space="preserve">106617</t>
  </si>
  <si>
    <t xml:space="preserve">107113</t>
  </si>
  <si>
    <t xml:space="preserve">Teflonband</t>
  </si>
  <si>
    <t xml:space="preserve">005439</t>
  </si>
  <si>
    <t xml:space="preserve">Halteschrauben zu Filterscheiben</t>
  </si>
  <si>
    <t xml:space="preserve">100089</t>
  </si>
  <si>
    <t xml:space="preserve">005635</t>
  </si>
  <si>
    <t xml:space="preserve">108143</t>
  </si>
  <si>
    <t xml:space="preserve">106095</t>
  </si>
  <si>
    <t xml:space="preserve">106491</t>
  </si>
  <si>
    <t xml:space="preserve">107664</t>
  </si>
  <si>
    <t xml:space="preserve">107667</t>
  </si>
  <si>
    <t xml:space="preserve">103753</t>
  </si>
  <si>
    <t xml:space="preserve">100157</t>
  </si>
  <si>
    <t xml:space="preserve">Halbrund-Kerbnagel</t>
  </si>
  <si>
    <t xml:space="preserve">111730</t>
  </si>
  <si>
    <t xml:space="preserve">Gurtrohrzange</t>
  </si>
  <si>
    <t xml:space="preserve">005453</t>
  </si>
  <si>
    <t xml:space="preserve">Aderendhülse ohne Isolation</t>
  </si>
  <si>
    <t xml:space="preserve">005762</t>
  </si>
  <si>
    <t xml:space="preserve">Zugfederklemme</t>
  </si>
  <si>
    <t xml:space="preserve">107538</t>
  </si>
  <si>
    <t xml:space="preserve">005456</t>
  </si>
  <si>
    <t xml:space="preserve">Aderendhülse isoliert rot</t>
  </si>
  <si>
    <t xml:space="preserve">102438</t>
  </si>
  <si>
    <t xml:space="preserve">111723</t>
  </si>
  <si>
    <t xml:space="preserve">Verlaengerung</t>
  </si>
  <si>
    <t xml:space="preserve">111646</t>
  </si>
  <si>
    <t xml:space="preserve">110868</t>
  </si>
  <si>
    <t xml:space="preserve">108040</t>
  </si>
  <si>
    <t xml:space="preserve">110889</t>
  </si>
  <si>
    <t xml:space="preserve">Flachdichtring</t>
  </si>
  <si>
    <t xml:space="preserve">105339</t>
  </si>
  <si>
    <t xml:space="preserve">108642</t>
  </si>
  <si>
    <t xml:space="preserve">Sensor-/Aktor -Kabel</t>
  </si>
  <si>
    <t xml:space="preserve">100896</t>
  </si>
  <si>
    <t xml:space="preserve">111647</t>
  </si>
  <si>
    <t xml:space="preserve">107543</t>
  </si>
  <si>
    <t xml:space="preserve">108498</t>
  </si>
  <si>
    <t xml:space="preserve">100385</t>
  </si>
  <si>
    <t xml:space="preserve">111240</t>
  </si>
  <si>
    <t xml:space="preserve">002026</t>
  </si>
  <si>
    <t xml:space="preserve">Schraubenzieher</t>
  </si>
  <si>
    <t xml:space="preserve">005255</t>
  </si>
  <si>
    <t xml:space="preserve">100263</t>
  </si>
  <si>
    <t xml:space="preserve">Gewindestift</t>
  </si>
  <si>
    <t xml:space="preserve">001156</t>
  </si>
  <si>
    <t xml:space="preserve">Kabelbinder schwarz</t>
  </si>
  <si>
    <t xml:space="preserve">107313</t>
  </si>
  <si>
    <t xml:space="preserve">111648</t>
  </si>
  <si>
    <t xml:space="preserve">106478</t>
  </si>
  <si>
    <t xml:space="preserve">106969</t>
  </si>
  <si>
    <t xml:space="preserve">001143</t>
  </si>
  <si>
    <t xml:space="preserve">UV-beständiger Verschlussbeutel mittel</t>
  </si>
  <si>
    <t xml:space="preserve">005708</t>
  </si>
  <si>
    <t xml:space="preserve">Kontaktmodul</t>
  </si>
  <si>
    <t xml:space="preserve">110985</t>
  </si>
  <si>
    <t xml:space="preserve">106999</t>
  </si>
  <si>
    <t xml:space="preserve">Leuchtmelder Kunststoff, weiss</t>
  </si>
  <si>
    <t xml:space="preserve">überbestand</t>
  </si>
  <si>
    <t xml:space="preserve">102445</t>
  </si>
  <si>
    <t xml:space="preserve">005261</t>
  </si>
  <si>
    <t xml:space="preserve">108047</t>
  </si>
  <si>
    <t xml:space="preserve">Halbrundkopfschraube mit Innensechskant</t>
  </si>
  <si>
    <t xml:space="preserve">100172</t>
  </si>
  <si>
    <t xml:space="preserve">005761</t>
  </si>
  <si>
    <t xml:space="preserve">102437</t>
  </si>
  <si>
    <t xml:space="preserve">110966</t>
  </si>
  <si>
    <t xml:space="preserve">Batterie</t>
  </si>
  <si>
    <t xml:space="preserve">108568</t>
  </si>
  <si>
    <t xml:space="preserve">102436</t>
  </si>
  <si>
    <t xml:space="preserve">Etikett</t>
  </si>
  <si>
    <t xml:space="preserve">108269</t>
  </si>
  <si>
    <t xml:space="preserve">Wartungskleber AC200</t>
  </si>
  <si>
    <t xml:space="preserve">110815</t>
  </si>
  <si>
    <t xml:space="preserve">Senkschraube mit Innensechskant</t>
  </si>
  <si>
    <t xml:space="preserve">101657</t>
  </si>
  <si>
    <t xml:space="preserve">Überwurfmutter</t>
  </si>
  <si>
    <t xml:space="preserve">101449</t>
  </si>
  <si>
    <t xml:space="preserve">Twin; grosse  Artikelmenge</t>
  </si>
  <si>
    <t xml:space="preserve">105882</t>
  </si>
  <si>
    <t xml:space="preserve">110127</t>
  </si>
  <si>
    <t xml:space="preserve">Beiblatt</t>
  </si>
  <si>
    <t xml:space="preserve">110820</t>
  </si>
  <si>
    <t xml:space="preserve">111470</t>
  </si>
  <si>
    <t xml:space="preserve">Patchkabel</t>
  </si>
  <si>
    <t xml:space="preserve">005637</t>
  </si>
  <si>
    <t xml:space="preserve">001133</t>
  </si>
  <si>
    <t xml:space="preserve">Schraubendreher Einsatz SPAX T-Plus</t>
  </si>
  <si>
    <t xml:space="preserve">101656</t>
  </si>
  <si>
    <t xml:space="preserve">Schlauchnippel</t>
  </si>
  <si>
    <t xml:space="preserve">105881</t>
  </si>
  <si>
    <t xml:space="preserve">110970</t>
  </si>
  <si>
    <t xml:space="preserve">101646</t>
  </si>
  <si>
    <t xml:space="preserve">102398</t>
  </si>
  <si>
    <t xml:space="preserve">005641</t>
  </si>
  <si>
    <t xml:space="preserve">002021</t>
  </si>
  <si>
    <t xml:space="preserve">Schraubenzieher kreuz</t>
  </si>
  <si>
    <t xml:space="preserve">005809</t>
  </si>
  <si>
    <t xml:space="preserve">Schutzkappe</t>
  </si>
  <si>
    <t xml:space="preserve">109722</t>
  </si>
  <si>
    <t xml:space="preserve">110287</t>
  </si>
  <si>
    <t xml:space="preserve">Pinsel klein</t>
  </si>
  <si>
    <t xml:space="preserve">005614</t>
  </si>
  <si>
    <t xml:space="preserve">103681</t>
  </si>
  <si>
    <t xml:space="preserve">102509</t>
  </si>
  <si>
    <t xml:space="preserve">105454</t>
  </si>
  <si>
    <t xml:space="preserve">111576</t>
  </si>
  <si>
    <t xml:space="preserve">Checkliste Service 7k, SPGr10</t>
  </si>
  <si>
    <t xml:space="preserve">111580</t>
  </si>
  <si>
    <t xml:space="preserve">Checkliste Service 28k, SPGr16</t>
  </si>
  <si>
    <t xml:space="preserve">104476</t>
  </si>
  <si>
    <t xml:space="preserve">111579</t>
  </si>
  <si>
    <t xml:space="preserve">Checkliste Service 14k, SPGr16</t>
  </si>
  <si>
    <t xml:space="preserve">106623</t>
  </si>
  <si>
    <t xml:space="preserve">Splint</t>
  </si>
  <si>
    <t xml:space="preserve">111577</t>
  </si>
  <si>
    <t xml:space="preserve">Checkliste Service 28k, SPGr10</t>
  </si>
  <si>
    <t xml:space="preserve">106614</t>
  </si>
  <si>
    <t xml:space="preserve">100704</t>
  </si>
  <si>
    <t xml:space="preserve">110969</t>
  </si>
  <si>
    <t xml:space="preserve">111578</t>
  </si>
  <si>
    <t xml:space="preserve">Checkliste Service 7k, SPGr16</t>
  </si>
  <si>
    <t xml:space="preserve">109069</t>
  </si>
  <si>
    <t xml:space="preserve">106343</t>
  </si>
  <si>
    <t xml:space="preserve">109937</t>
  </si>
  <si>
    <t xml:space="preserve">102477</t>
  </si>
  <si>
    <t xml:space="preserve">005374</t>
  </si>
  <si>
    <t xml:space="preserve">110124</t>
  </si>
  <si>
    <t xml:space="preserve">110818</t>
  </si>
  <si>
    <t xml:space="preserve">Plattenschieber Petrobras SPGr16</t>
  </si>
  <si>
    <t xml:space="preserve">110760</t>
  </si>
  <si>
    <t xml:space="preserve">110965</t>
  </si>
  <si>
    <t xml:space="preserve">Durchgangsprüfgerät</t>
  </si>
  <si>
    <t xml:space="preserve">005072</t>
  </si>
  <si>
    <t xml:space="preserve">005080</t>
  </si>
  <si>
    <t xml:space="preserve">110897</t>
  </si>
  <si>
    <t xml:space="preserve">Gewindestange</t>
  </si>
  <si>
    <t xml:space="preserve">110881</t>
  </si>
  <si>
    <t xml:space="preserve">Messleitung</t>
  </si>
  <si>
    <t xml:space="preserve">110880</t>
  </si>
  <si>
    <t xml:space="preserve">110791</t>
  </si>
  <si>
    <t xml:space="preserve">110898</t>
  </si>
  <si>
    <t xml:space="preserve">ZE-000001</t>
  </si>
  <si>
    <t xml:space="preserve">EP Zertifikat</t>
  </si>
  <si>
    <t xml:space="preserve">110789</t>
  </si>
  <si>
    <t xml:space="preserve">VM00016</t>
  </si>
  <si>
    <t xml:space="preserve">Rohrschutzkappe</t>
  </si>
  <si>
    <t xml:space="preserve">EK-TV</t>
  </si>
  <si>
    <t xml:space="preserve">VM-000001</t>
  </si>
  <si>
    <t xml:space="preserve">AVERY ZWECKFORM ultragrip Etiketten</t>
  </si>
  <si>
    <t xml:space="preserve">110902</t>
  </si>
  <si>
    <t xml:space="preserve">110778</t>
  </si>
  <si>
    <t xml:space="preserve">Adapter SPGr10 geschweisst Petrobras</t>
  </si>
  <si>
    <t xml:space="preserve">110998</t>
  </si>
  <si>
    <t xml:space="preserve">110844</t>
  </si>
  <si>
    <t xml:space="preserve">Dichtung externe Stahlstruktur SPGr16</t>
  </si>
  <si>
    <t xml:space="preserve">111010</t>
  </si>
  <si>
    <t xml:space="preserve">Dichtung externe Stahlstruktur SPGr10</t>
  </si>
  <si>
    <t xml:space="preserve">109872</t>
  </si>
  <si>
    <t xml:space="preserve">111370</t>
  </si>
  <si>
    <t xml:space="preserve">SPC800 Coupler</t>
  </si>
  <si>
    <t xml:space="preserve">110764</t>
  </si>
  <si>
    <t xml:space="preserve">111719</t>
  </si>
  <si>
    <t xml:space="preserve">Führungsstange verlängert</t>
  </si>
  <si>
    <t xml:space="preserve">110788</t>
  </si>
  <si>
    <t xml:space="preserve">Kompensator Petrobras SPGr10</t>
  </si>
  <si>
    <t xml:space="preserve">110790</t>
  </si>
  <si>
    <t xml:space="preserve">Plattenschieber Petrobras SPGr10</t>
  </si>
  <si>
    <t xml:space="preserve">109977</t>
  </si>
  <si>
    <t xml:space="preserve">110816</t>
  </si>
  <si>
    <t xml:space="preserve">Adapter SPGr16 geschweisst Petrobras</t>
  </si>
  <si>
    <t xml:space="preserve">110831</t>
  </si>
  <si>
    <t xml:space="preserve">110651</t>
  </si>
  <si>
    <t xml:space="preserve">Temperatursensor PT100</t>
  </si>
  <si>
    <t xml:space="preserve">OC-108317</t>
  </si>
  <si>
    <t xml:space="preserve">Ventilpanel SPGr 4 Block oDT Spezial</t>
  </si>
  <si>
    <t xml:space="preserve">110688</t>
  </si>
  <si>
    <t xml:space="preserve">Austrittsdüse SPGr10 Strasbourg</t>
  </si>
  <si>
    <t xml:space="preserve">VM00011</t>
  </si>
  <si>
    <t xml:space="preserve">Umreifungsband</t>
  </si>
  <si>
    <t xml:space="preserve">110724</t>
  </si>
  <si>
    <t xml:space="preserve">Zwischenrohr SPGr16</t>
  </si>
  <si>
    <t xml:space="preserve">VM00015</t>
  </si>
  <si>
    <t xml:space="preserve">110753</t>
  </si>
  <si>
    <t xml:space="preserve">110759</t>
  </si>
  <si>
    <t xml:space="preserve">Kompensator Petrobras SPGr16</t>
  </si>
  <si>
    <t xml:space="preserve">109910</t>
  </si>
  <si>
    <t xml:space="preserve">DIN Schienen-Kit</t>
  </si>
  <si>
    <t xml:space="preserve">109148</t>
  </si>
  <si>
    <t xml:space="preserve">108444</t>
  </si>
  <si>
    <t xml:space="preserve">107896</t>
  </si>
  <si>
    <t xml:space="preserve">Luftkompressor AC260</t>
  </si>
  <si>
    <t xml:space="preserve">107668</t>
  </si>
  <si>
    <t xml:space="preserve">Tasche</t>
  </si>
  <si>
    <t xml:space="preserve">107984</t>
  </si>
  <si>
    <t xml:space="preserve">Spülluftmodul</t>
  </si>
  <si>
    <t xml:space="preserve">(leer)</t>
  </si>
  <si>
    <t xml:space="preserve">106293</t>
  </si>
  <si>
    <t xml:space="preserve">106364</t>
  </si>
  <si>
    <t xml:space="preserve">Temperaturfühler PT100</t>
  </si>
  <si>
    <t xml:space="preserve">106993</t>
  </si>
  <si>
    <t xml:space="preserve">Leitungsschutzschalter 4A</t>
  </si>
  <si>
    <t xml:space="preserve">105675</t>
  </si>
  <si>
    <t xml:space="preserve">Gestell mit Boden</t>
  </si>
  <si>
    <t xml:space="preserve">107199</t>
  </si>
  <si>
    <t xml:space="preserve">Klemmkasten</t>
  </si>
  <si>
    <t xml:space="preserve">106467</t>
  </si>
  <si>
    <t xml:space="preserve">Proportionalventil</t>
  </si>
  <si>
    <t xml:space="preserve">107225</t>
  </si>
  <si>
    <t xml:space="preserve">Werkzeugkiste</t>
  </si>
  <si>
    <t xml:space="preserve">106472</t>
  </si>
  <si>
    <t xml:space="preserve">Kugelhahn</t>
  </si>
  <si>
    <t xml:space="preserve">106260</t>
  </si>
  <si>
    <t xml:space="preserve">Neu; gehört nicht ins KTL</t>
  </si>
  <si>
    <t xml:space="preserve">106887</t>
  </si>
  <si>
    <t xml:space="preserve">Gestell ohne Fuss</t>
  </si>
  <si>
    <t xml:space="preserve">Steuerschrank &amp; Gestell</t>
  </si>
  <si>
    <t xml:space="preserve">105718</t>
  </si>
  <si>
    <t xml:space="preserve">Steuerschrank BASE</t>
  </si>
  <si>
    <t xml:space="preserve">106886</t>
  </si>
  <si>
    <t xml:space="preserve">105719</t>
  </si>
  <si>
    <t xml:space="preserve">Steuerschrank SUB</t>
  </si>
  <si>
    <t xml:space="preserve">101652</t>
  </si>
  <si>
    <t xml:space="preserve">104473</t>
  </si>
  <si>
    <t xml:space="preserve">103269</t>
  </si>
  <si>
    <t xml:space="preserve">Aufhängung zu vertikaler Aufhängung</t>
  </si>
  <si>
    <t xml:space="preserve">005791</t>
  </si>
  <si>
    <t xml:space="preserve">2/2 Wege Magnetventil NO</t>
  </si>
  <si>
    <t xml:space="preserve">103730</t>
  </si>
  <si>
    <t xml:space="preserve">101750</t>
  </si>
  <si>
    <t xml:space="preserve">Rohr Anschweissstück DN125</t>
  </si>
  <si>
    <t xml:space="preserve">104212</t>
  </si>
  <si>
    <t xml:space="preserve">104169</t>
  </si>
  <si>
    <t xml:space="preserve">Steuerschrank EG101-DF ADV</t>
  </si>
  <si>
    <t xml:space="preserve">102520</t>
  </si>
  <si>
    <t xml:space="preserve">104238</t>
  </si>
  <si>
    <t xml:space="preserve">Steckerset (Kabel Kundenseitig)</t>
  </si>
  <si>
    <t xml:space="preserve">100152</t>
  </si>
  <si>
    <t xml:space="preserve">104474</t>
  </si>
  <si>
    <t xml:space="preserve">102835</t>
  </si>
  <si>
    <t xml:space="preserve">103265</t>
  </si>
  <si>
    <t xml:space="preserve">Platte, vertikale Aufhängung EG10 Serie</t>
  </si>
  <si>
    <t xml:space="preserve">102522</t>
  </si>
  <si>
    <t xml:space="preserve">002073</t>
  </si>
  <si>
    <t xml:space="preserve">001203</t>
  </si>
  <si>
    <t xml:space="preserve">Holzkiste SPGr10 + SPC800 Luft &amp; See</t>
  </si>
  <si>
    <t xml:space="preserve">005599</t>
  </si>
  <si>
    <t xml:space="preserve">Blitzleuchte (ohne Schallgeber)</t>
  </si>
  <si>
    <t xml:space="preserve">005067</t>
  </si>
  <si>
    <t xml:space="preserve">Hochdruck-Ganzmetallschlauch O2</t>
  </si>
  <si>
    <t xml:space="preserve">005661</t>
  </si>
  <si>
    <t xml:space="preserve">Drahtwirbelzange</t>
  </si>
  <si>
    <t xml:space="preserve">005567</t>
  </si>
  <si>
    <t xml:space="preserve">Adapter G-1/2"-a auf NPT 1/4"i</t>
  </si>
  <si>
    <t xml:space="preserve">002071</t>
  </si>
  <si>
    <t xml:space="preserve">005486</t>
  </si>
  <si>
    <t xml:space="preserve">Reduzierverschraubung</t>
  </si>
  <si>
    <t xml:space="preserve">001193</t>
  </si>
  <si>
    <t xml:space="preserve">Werkzeugkiste PM&amp;SV</t>
  </si>
  <si>
    <t xml:space="preserve">005391</t>
  </si>
  <si>
    <t xml:space="preserve">005106</t>
  </si>
  <si>
    <t xml:space="preserve">CF-Karte</t>
  </si>
  <si>
    <t xml:space="preserve">005066</t>
  </si>
  <si>
    <t xml:space="preserve">005568</t>
  </si>
  <si>
    <t xml:space="preserve">Eingangsadapter 1/4"NPT-a/G1/2"-a konus</t>
  </si>
  <si>
    <t xml:space="preserve">002064</t>
  </si>
  <si>
    <t xml:space="preserve">Sichtlagerkasten gross</t>
  </si>
  <si>
    <t xml:space="preserve">005085</t>
  </si>
  <si>
    <t xml:space="preserve">SPS Grundgerät EG104/EG106</t>
  </si>
  <si>
    <t xml:space="preserve">Ohne Fuss</t>
  </si>
  <si>
    <t xml:space="preserve">005283</t>
  </si>
  <si>
    <t xml:space="preserve">Durchgangsventil</t>
  </si>
  <si>
    <t xml:space="preserve">005183</t>
  </si>
  <si>
    <t xml:space="preserve">Ventilsteuerschrank</t>
  </si>
  <si>
    <t xml:space="preserve">110030</t>
  </si>
  <si>
    <t xml:space="preserve">Service Checklist SPGr16 SVC2</t>
  </si>
  <si>
    <t xml:space="preserve">106851</t>
  </si>
  <si>
    <t xml:space="preserve">gehört nicht ins KTL</t>
  </si>
  <si>
    <t xml:space="preserve">001018_0XL</t>
  </si>
  <si>
    <t xml:space="preserve">Kapuzen-Sweatshirt</t>
  </si>
  <si>
    <t xml:space="preserve">BEKLEI</t>
  </si>
  <si>
    <t xml:space="preserve">Kleidung</t>
  </si>
  <si>
    <t xml:space="preserve">110901</t>
  </si>
  <si>
    <t xml:space="preserve">107861</t>
  </si>
  <si>
    <t xml:space="preserve">109501</t>
  </si>
  <si>
    <t xml:space="preserve">107193</t>
  </si>
  <si>
    <t xml:space="preserve">Servicepaket SPGr16 SVC1</t>
  </si>
  <si>
    <t xml:space="preserve">SVC Verpackung</t>
  </si>
  <si>
    <t xml:space="preserve">107191</t>
  </si>
  <si>
    <t xml:space="preserve">Servicepaket SPGr10 SVC1</t>
  </si>
  <si>
    <t xml:space="preserve">104049</t>
  </si>
  <si>
    <t xml:space="preserve">109966</t>
  </si>
  <si>
    <t xml:space="preserve">Handbuch Luftkompressor AC260 DE</t>
  </si>
  <si>
    <t xml:space="preserve">110028</t>
  </si>
  <si>
    <t xml:space="preserve">Service Checklist SPGr10 SVC2</t>
  </si>
  <si>
    <t xml:space="preserve">109967</t>
  </si>
  <si>
    <t xml:space="preserve">Handbuch Luftkompressor AC260 IT</t>
  </si>
  <si>
    <t xml:space="preserve">109970</t>
  </si>
  <si>
    <t xml:space="preserve">Handbuch Luftkompressor AC260 EN</t>
  </si>
  <si>
    <t xml:space="preserve">106485</t>
  </si>
  <si>
    <t xml:space="preserve">102377</t>
  </si>
  <si>
    <t xml:space="preserve">101632</t>
  </si>
  <si>
    <t xml:space="preserve">100899</t>
  </si>
  <si>
    <t xml:space="preserve">Federring</t>
  </si>
  <si>
    <t xml:space="preserve">106344</t>
  </si>
  <si>
    <t xml:space="preserve">107852</t>
  </si>
  <si>
    <t xml:space="preserve">102093</t>
  </si>
  <si>
    <t xml:space="preserve">102439</t>
  </si>
  <si>
    <t xml:space="preserve">110027</t>
  </si>
  <si>
    <t xml:space="preserve">Service Checklist SPGr10 SVC1</t>
  </si>
  <si>
    <t xml:space="preserve">101631</t>
  </si>
  <si>
    <t xml:space="preserve">106606</t>
  </si>
  <si>
    <t xml:space="preserve">005226</t>
  </si>
  <si>
    <t xml:space="preserve">Zündkabel schwarz</t>
  </si>
  <si>
    <t xml:space="preserve">100262</t>
  </si>
  <si>
    <t xml:space="preserve">110029</t>
  </si>
  <si>
    <t xml:space="preserve">Service Checklist SPGr16 SVC1</t>
  </si>
  <si>
    <t xml:space="preserve">001159</t>
  </si>
  <si>
    <t xml:space="preserve">Sicherheitsfäden regulierbar, weiss</t>
  </si>
  <si>
    <t xml:space="preserve">005634</t>
  </si>
  <si>
    <t xml:space="preserve">107960</t>
  </si>
  <si>
    <t xml:space="preserve">102067</t>
  </si>
  <si>
    <t xml:space="preserve">101098</t>
  </si>
  <si>
    <t xml:space="preserve">005636</t>
  </si>
  <si>
    <t xml:space="preserve">103374</t>
  </si>
  <si>
    <t xml:space="preserve">105578</t>
  </si>
  <si>
    <t xml:space="preserve">101914</t>
  </si>
  <si>
    <t xml:space="preserve">005714</t>
  </si>
  <si>
    <t xml:space="preserve">Etikette TwinL Rückschlagventil Patrone</t>
  </si>
  <si>
    <t xml:space="preserve">106445</t>
  </si>
  <si>
    <t xml:space="preserve">100938</t>
  </si>
  <si>
    <t xml:space="preserve">107107</t>
  </si>
  <si>
    <t xml:space="preserve">106140</t>
  </si>
  <si>
    <t xml:space="preserve">Sechskantmutter kugelig</t>
  </si>
  <si>
    <t xml:space="preserve">OC-108305</t>
  </si>
  <si>
    <t xml:space="preserve">Ventilpanel SPGr 4 Block mDT Spezial</t>
  </si>
  <si>
    <t xml:space="preserve">105400</t>
  </si>
  <si>
    <t xml:space="preserve">106139</t>
  </si>
  <si>
    <t xml:space="preserve">005142</t>
  </si>
  <si>
    <t xml:space="preserve">Gerätesicherung</t>
  </si>
  <si>
    <t xml:space="preserve">105866</t>
  </si>
  <si>
    <t xml:space="preserve">104306</t>
  </si>
  <si>
    <t xml:space="preserve">100042</t>
  </si>
  <si>
    <t xml:space="preserve">Braucht es diesen Artikel ?</t>
  </si>
  <si>
    <t xml:space="preserve">102375</t>
  </si>
  <si>
    <t xml:space="preserve">Deckplatte</t>
  </si>
  <si>
    <t xml:space="preserve">105411</t>
  </si>
  <si>
    <t xml:space="preserve">106455</t>
  </si>
  <si>
    <t xml:space="preserve">102086</t>
  </si>
  <si>
    <t xml:space="preserve">108252</t>
  </si>
  <si>
    <t xml:space="preserve">Klemmenbeschriftungsset unbeschriftet</t>
  </si>
  <si>
    <t xml:space="preserve">001155</t>
  </si>
  <si>
    <t xml:space="preserve">Kabelbinder</t>
  </si>
  <si>
    <t xml:space="preserve">105369</t>
  </si>
  <si>
    <t xml:space="preserve">109769</t>
  </si>
  <si>
    <t xml:space="preserve">107007</t>
  </si>
  <si>
    <t xml:space="preserve">Halter für 3 Module, Kunststoff</t>
  </si>
  <si>
    <t xml:space="preserve">107142</t>
  </si>
  <si>
    <t xml:space="preserve">Presskabelschuh</t>
  </si>
  <si>
    <t xml:space="preserve">005457</t>
  </si>
  <si>
    <t xml:space="preserve">Aderendhülse isoliert blau</t>
  </si>
  <si>
    <t xml:space="preserve">001047</t>
  </si>
  <si>
    <t xml:space="preserve">Karton</t>
  </si>
  <si>
    <t xml:space="preserve">108570</t>
  </si>
  <si>
    <t xml:space="preserve">001036</t>
  </si>
  <si>
    <t xml:space="preserve">Fächerschleifer</t>
  </si>
  <si>
    <t xml:space="preserve">005149</t>
  </si>
  <si>
    <t xml:space="preserve">Distanzplatte zu Reihenklemme klein</t>
  </si>
  <si>
    <t xml:space="preserve">107246</t>
  </si>
  <si>
    <t xml:space="preserve">103169</t>
  </si>
  <si>
    <t xml:space="preserve">002024</t>
  </si>
  <si>
    <t xml:space="preserve">106477</t>
  </si>
  <si>
    <t xml:space="preserve">002068</t>
  </si>
  <si>
    <t xml:space="preserve">Batterie 6F22 9V</t>
  </si>
  <si>
    <t xml:space="preserve">109923</t>
  </si>
  <si>
    <t xml:space="preserve">Kleber Service Verpackung</t>
  </si>
  <si>
    <t xml:space="preserve">105885</t>
  </si>
  <si>
    <t xml:space="preserve">001157</t>
  </si>
  <si>
    <t xml:space="preserve">005704</t>
  </si>
  <si>
    <t xml:space="preserve">Klemmenabdeckung Hauptschalter</t>
  </si>
  <si>
    <t xml:space="preserve">107004</t>
  </si>
  <si>
    <t xml:space="preserve">LED-Modul mit integrierter LED</t>
  </si>
  <si>
    <t xml:space="preserve">105867</t>
  </si>
  <si>
    <t xml:space="preserve">005384</t>
  </si>
  <si>
    <t xml:space="preserve">102440</t>
  </si>
  <si>
    <t xml:space="preserve">108043</t>
  </si>
  <si>
    <t xml:space="preserve">Tüllengehäuse B6</t>
  </si>
  <si>
    <t xml:space="preserve">001154</t>
  </si>
  <si>
    <t xml:space="preserve">005640</t>
  </si>
  <si>
    <t xml:space="preserve">106273</t>
  </si>
  <si>
    <t xml:space="preserve">107851</t>
  </si>
  <si>
    <t xml:space="preserve">Schalldämpfer</t>
  </si>
  <si>
    <t xml:space="preserve">100528</t>
  </si>
  <si>
    <t xml:space="preserve">005148</t>
  </si>
  <si>
    <t xml:space="preserve">Reihenklemme</t>
  </si>
  <si>
    <t xml:space="preserve">005754</t>
  </si>
  <si>
    <t xml:space="preserve">105399</t>
  </si>
  <si>
    <t xml:space="preserve">109099</t>
  </si>
  <si>
    <t xml:space="preserve">Kleber Oben Federkonsole</t>
  </si>
  <si>
    <t xml:space="preserve">001138</t>
  </si>
  <si>
    <t xml:space="preserve">Ablösbare Markierungspunkte grün</t>
  </si>
  <si>
    <t xml:space="preserve">106862</t>
  </si>
  <si>
    <t xml:space="preserve">Schlauchschelle</t>
  </si>
  <si>
    <t xml:space="preserve">100137</t>
  </si>
  <si>
    <t xml:space="preserve">100429</t>
  </si>
  <si>
    <t xml:space="preserve">107310</t>
  </si>
  <si>
    <t xml:space="preserve">Kugelkette vernickelt</t>
  </si>
  <si>
    <t xml:space="preserve">106489</t>
  </si>
  <si>
    <t xml:space="preserve">002074</t>
  </si>
  <si>
    <t xml:space="preserve">Batterie AAA</t>
  </si>
  <si>
    <t xml:space="preserve">005639</t>
  </si>
  <si>
    <t xml:space="preserve">107103</t>
  </si>
  <si>
    <t xml:space="preserve">106905</t>
  </si>
  <si>
    <t xml:space="preserve">Gewindebolzen</t>
  </si>
  <si>
    <t xml:space="preserve">106591</t>
  </si>
  <si>
    <t xml:space="preserve">grosse  Artikelmenge</t>
  </si>
  <si>
    <t xml:space="preserve">106745</t>
  </si>
  <si>
    <t xml:space="preserve">101570</t>
  </si>
  <si>
    <t xml:space="preserve">105855</t>
  </si>
  <si>
    <t xml:space="preserve">102444</t>
  </si>
  <si>
    <t xml:space="preserve">100381</t>
  </si>
  <si>
    <t xml:space="preserve">100041</t>
  </si>
  <si>
    <t xml:space="preserve">108520</t>
  </si>
  <si>
    <t xml:space="preserve">001135</t>
  </si>
  <si>
    <t xml:space="preserve">005258</t>
  </si>
  <si>
    <t xml:space="preserve">107765</t>
  </si>
  <si>
    <t xml:space="preserve">Unterlage</t>
  </si>
  <si>
    <t xml:space="preserve">107542</t>
  </si>
  <si>
    <t xml:space="preserve">106824</t>
  </si>
  <si>
    <t xml:space="preserve">108544</t>
  </si>
  <si>
    <t xml:space="preserve">103031</t>
  </si>
  <si>
    <t xml:space="preserve">005452</t>
  </si>
  <si>
    <t xml:space="preserve">Aderendhülse isoliert gelb</t>
  </si>
  <si>
    <t xml:space="preserve">103517</t>
  </si>
  <si>
    <t xml:space="preserve">T-Griff</t>
  </si>
  <si>
    <t xml:space="preserve">102441</t>
  </si>
  <si>
    <t xml:space="preserve">100895</t>
  </si>
  <si>
    <t xml:space="preserve">005398</t>
  </si>
  <si>
    <t xml:space="preserve">Korundtuch</t>
  </si>
  <si>
    <t xml:space="preserve">Überbestand; nicht im KTL vorhanden</t>
  </si>
  <si>
    <t xml:space="preserve">005808</t>
  </si>
  <si>
    <t xml:space="preserve">109200</t>
  </si>
  <si>
    <t xml:space="preserve">Deckel GISKB II</t>
  </si>
  <si>
    <t xml:space="preserve">108512</t>
  </si>
  <si>
    <t xml:space="preserve">Typenschild Servicetechniker-Set SPGr10</t>
  </si>
  <si>
    <t xml:space="preserve">108910</t>
  </si>
  <si>
    <t xml:space="preserve">Splint / Vorsteckfeder</t>
  </si>
  <si>
    <t xml:space="preserve">109624</t>
  </si>
  <si>
    <t xml:space="preserve">Einfach - Rohrschelle PP</t>
  </si>
  <si>
    <t xml:space="preserve">002006</t>
  </si>
  <si>
    <t xml:space="preserve">005343</t>
  </si>
  <si>
    <t xml:space="preserve">Durchschlag</t>
  </si>
  <si>
    <t xml:space="preserve">100038</t>
  </si>
  <si>
    <t xml:space="preserve">107095</t>
  </si>
  <si>
    <t xml:space="preserve">108732</t>
  </si>
  <si>
    <t xml:space="preserve">109770</t>
  </si>
  <si>
    <t xml:space="preserve">106945</t>
  </si>
  <si>
    <t xml:space="preserve">002007</t>
  </si>
  <si>
    <t xml:space="preserve">Wasserpumpenzange</t>
  </si>
  <si>
    <t xml:space="preserve">109612</t>
  </si>
  <si>
    <t xml:space="preserve">109319</t>
  </si>
  <si>
    <t xml:space="preserve">101762</t>
  </si>
  <si>
    <t xml:space="preserve">Schäkel</t>
  </si>
  <si>
    <t xml:space="preserve">104282</t>
  </si>
  <si>
    <t xml:space="preserve">109037</t>
  </si>
  <si>
    <t xml:space="preserve">109791</t>
  </si>
  <si>
    <t xml:space="preserve">109911</t>
  </si>
  <si>
    <t xml:space="preserve">Stecker verdrahtet</t>
  </si>
  <si>
    <t xml:space="preserve">002031</t>
  </si>
  <si>
    <t xml:space="preserve">105868</t>
  </si>
  <si>
    <t xml:space="preserve">005760</t>
  </si>
  <si>
    <t xml:space="preserve">100443</t>
  </si>
  <si>
    <t xml:space="preserve">102279</t>
  </si>
  <si>
    <t xml:space="preserve">Spannschloss</t>
  </si>
  <si>
    <t xml:space="preserve">001042</t>
  </si>
  <si>
    <t xml:space="preserve">Verschlussbeutel gross</t>
  </si>
  <si>
    <t xml:space="preserve">101573</t>
  </si>
  <si>
    <t xml:space="preserve">108132</t>
  </si>
  <si>
    <t xml:space="preserve">Verschlussplatte zu Ventilblock</t>
  </si>
  <si>
    <t xml:space="preserve">005324</t>
  </si>
  <si>
    <t xml:space="preserve">002023</t>
  </si>
  <si>
    <t xml:space="preserve">106823</t>
  </si>
  <si>
    <t xml:space="preserve">110267</t>
  </si>
  <si>
    <t xml:space="preserve">Dichtring</t>
  </si>
  <si>
    <t xml:space="preserve">107118</t>
  </si>
  <si>
    <t xml:space="preserve">Rohrbürste</t>
  </si>
  <si>
    <t xml:space="preserve">108715</t>
  </si>
  <si>
    <t xml:space="preserve">Adapter für Sinterscheibe</t>
  </si>
  <si>
    <t xml:space="preserve">110007</t>
  </si>
  <si>
    <t xml:space="preserve">Aufschraubadapter</t>
  </si>
  <si>
    <t xml:space="preserve">005616</t>
  </si>
  <si>
    <t xml:space="preserve">001191</t>
  </si>
  <si>
    <t xml:space="preserve">Litzendraht</t>
  </si>
  <si>
    <t xml:space="preserve">108031</t>
  </si>
  <si>
    <t xml:space="preserve">001144</t>
  </si>
  <si>
    <t xml:space="preserve">UV-beständiger Verschlussbeutel gross</t>
  </si>
  <si>
    <t xml:space="preserve">100173</t>
  </si>
  <si>
    <t xml:space="preserve">005385</t>
  </si>
  <si>
    <t xml:space="preserve">109368</t>
  </si>
  <si>
    <t xml:space="preserve">002025</t>
  </si>
  <si>
    <t xml:space="preserve">102374</t>
  </si>
  <si>
    <t xml:space="preserve">107965</t>
  </si>
  <si>
    <t xml:space="preserve">Schnellverschluss-Schelle</t>
  </si>
  <si>
    <t xml:space="preserve">107967</t>
  </si>
  <si>
    <t xml:space="preserve">106967</t>
  </si>
  <si>
    <t xml:space="preserve">107092</t>
  </si>
  <si>
    <t xml:space="preserve">100287</t>
  </si>
  <si>
    <t xml:space="preserve">005455</t>
  </si>
  <si>
    <t xml:space="preserve">Aderendhülse isoliert orange</t>
  </si>
  <si>
    <t xml:space="preserve">103094</t>
  </si>
  <si>
    <t xml:space="preserve">001179</t>
  </si>
  <si>
    <t xml:space="preserve">106933</t>
  </si>
  <si>
    <t xml:space="preserve">Lithiumbatterie</t>
  </si>
  <si>
    <t xml:space="preserve">005707</t>
  </si>
  <si>
    <t xml:space="preserve">109090</t>
  </si>
  <si>
    <t xml:space="preserve">005297</t>
  </si>
  <si>
    <t xml:space="preserve">Magnetspule ohne Kabel</t>
  </si>
  <si>
    <t xml:space="preserve">109630</t>
  </si>
  <si>
    <t xml:space="preserve">102443</t>
  </si>
  <si>
    <t xml:space="preserve">108873</t>
  </si>
  <si>
    <t xml:space="preserve">Einrastschildchen -A51.1</t>
  </si>
  <si>
    <t xml:space="preserve">VM00007</t>
  </si>
  <si>
    <t xml:space="preserve">Seitenfaltenbeutel Haube für 1/2 Eurobox</t>
  </si>
  <si>
    <t xml:space="preserve">005229</t>
  </si>
  <si>
    <t xml:space="preserve">Schrumpfschlauch schwarz</t>
  </si>
  <si>
    <t xml:space="preserve">107589</t>
  </si>
  <si>
    <t xml:space="preserve">108251</t>
  </si>
  <si>
    <t xml:space="preserve">Endklammer mit Schraube</t>
  </si>
  <si>
    <t xml:space="preserve">107119</t>
  </si>
  <si>
    <t xml:space="preserve">100036</t>
  </si>
  <si>
    <t xml:space="preserve">005386</t>
  </si>
  <si>
    <t xml:space="preserve">001045</t>
  </si>
  <si>
    <t xml:space="preserve">005244</t>
  </si>
  <si>
    <t xml:space="preserve">Zündkabel</t>
  </si>
  <si>
    <t xml:space="preserve">106618</t>
  </si>
  <si>
    <t xml:space="preserve">005325</t>
  </si>
  <si>
    <t xml:space="preserve">005129</t>
  </si>
  <si>
    <t xml:space="preserve">Relais C09-A41DX... ohne Sockel</t>
  </si>
  <si>
    <t xml:space="preserve">005322</t>
  </si>
  <si>
    <t xml:space="preserve">108471</t>
  </si>
  <si>
    <t xml:space="preserve">005582</t>
  </si>
  <si>
    <t xml:space="preserve">Verlängerung</t>
  </si>
  <si>
    <t xml:space="preserve">106970</t>
  </si>
  <si>
    <t xml:space="preserve">USB Datenspeicher</t>
  </si>
  <si>
    <t xml:space="preserve">B&amp;R; nicht im KTL vorhanden</t>
  </si>
  <si>
    <t xml:space="preserve">001097</t>
  </si>
  <si>
    <t xml:space="preserve">Dose</t>
  </si>
  <si>
    <t xml:space="preserve">101257</t>
  </si>
  <si>
    <t xml:space="preserve">Magnetventiladapter</t>
  </si>
  <si>
    <t xml:space="preserve">twin</t>
  </si>
  <si>
    <t xml:space="preserve">005450</t>
  </si>
  <si>
    <t xml:space="preserve">Mutter-Klemmringsatz</t>
  </si>
  <si>
    <t xml:space="preserve">107536</t>
  </si>
  <si>
    <t xml:space="preserve">106974</t>
  </si>
  <si>
    <t xml:space="preserve">Datensteckverbinder</t>
  </si>
  <si>
    <t xml:space="preserve">001119</t>
  </si>
  <si>
    <t xml:space="preserve">Aceton Reiniger</t>
  </si>
  <si>
    <t xml:space="preserve">005732</t>
  </si>
  <si>
    <t xml:space="preserve">Ersatzklingen MARTOR Trapez</t>
  </si>
  <si>
    <t xml:space="preserve">Verb.Lager; nicht im KTL vorhanden</t>
  </si>
  <si>
    <t xml:space="preserve">101862</t>
  </si>
  <si>
    <t xml:space="preserve">102435</t>
  </si>
  <si>
    <t xml:space="preserve">109645</t>
  </si>
  <si>
    <t xml:space="preserve">Gummibuchse</t>
  </si>
  <si>
    <t xml:space="preserve">104438</t>
  </si>
  <si>
    <t xml:space="preserve">107094</t>
  </si>
  <si>
    <t xml:space="preserve">109519</t>
  </si>
  <si>
    <t xml:space="preserve">Gerade Einschraub-Verschraubung</t>
  </si>
  <si>
    <t xml:space="preserve">109506</t>
  </si>
  <si>
    <t xml:space="preserve">T-Stück</t>
  </si>
  <si>
    <t xml:space="preserve">005310</t>
  </si>
  <si>
    <t xml:space="preserve">Zugplatte</t>
  </si>
  <si>
    <t xml:space="preserve">002040</t>
  </si>
  <si>
    <t xml:space="preserve">103232</t>
  </si>
  <si>
    <t xml:space="preserve">Halter, vertikale Aufhängung EG10 Serie</t>
  </si>
  <si>
    <t xml:space="preserve">001032</t>
  </si>
  <si>
    <t xml:space="preserve">Vaseline</t>
  </si>
  <si>
    <t xml:space="preserve">005303</t>
  </si>
  <si>
    <t xml:space="preserve">005696</t>
  </si>
  <si>
    <t xml:space="preserve">Selektivitätsmodul</t>
  </si>
  <si>
    <t xml:space="preserve">107001</t>
  </si>
  <si>
    <t xml:space="preserve">Knebelschalter, beleuchtbar</t>
  </si>
  <si>
    <t xml:space="preserve">005117</t>
  </si>
  <si>
    <t xml:space="preserve">Kartenleser USB 2.0</t>
  </si>
  <si>
    <t xml:space="preserve">109054</t>
  </si>
  <si>
    <t xml:space="preserve">005103</t>
  </si>
  <si>
    <t xml:space="preserve">SPS Ethernet Switch</t>
  </si>
  <si>
    <t xml:space="preserve">107106</t>
  </si>
  <si>
    <t xml:space="preserve">Sechskant-Schraubenzieher</t>
  </si>
  <si>
    <t xml:space="preserve">100791</t>
  </si>
  <si>
    <t xml:space="preserve">005400</t>
  </si>
  <si>
    <t xml:space="preserve">001199</t>
  </si>
  <si>
    <t xml:space="preserve">Abisolierzange</t>
  </si>
  <si>
    <t xml:space="preserve">001035</t>
  </si>
  <si>
    <t xml:space="preserve">Kombi-Faservliesbürste</t>
  </si>
  <si>
    <t xml:space="preserve">005139</t>
  </si>
  <si>
    <t xml:space="preserve">108487</t>
  </si>
  <si>
    <t xml:space="preserve">Patchkabel Prüfgerät</t>
  </si>
  <si>
    <t xml:space="preserve">107226</t>
  </si>
  <si>
    <t xml:space="preserve">Ring-Gabelschlüssel-Satz</t>
  </si>
  <si>
    <t xml:space="preserve">101495</t>
  </si>
  <si>
    <t xml:space="preserve">101572</t>
  </si>
  <si>
    <t xml:space="preserve">100862</t>
  </si>
  <si>
    <t xml:space="preserve">OC-101558</t>
  </si>
  <si>
    <t xml:space="preserve">Kranbahn-Profil</t>
  </si>
  <si>
    <t xml:space="preserve">001134</t>
  </si>
  <si>
    <t xml:space="preserve">107231</t>
  </si>
  <si>
    <t xml:space="preserve">Zangen-Set</t>
  </si>
  <si>
    <t xml:space="preserve">110094</t>
  </si>
  <si>
    <t xml:space="preserve">107562</t>
  </si>
  <si>
    <t xml:space="preserve">005615</t>
  </si>
  <si>
    <t xml:space="preserve">Temperatursensor ohne Stecker</t>
  </si>
  <si>
    <t xml:space="preserve">101575</t>
  </si>
  <si>
    <t xml:space="preserve">101861</t>
  </si>
  <si>
    <t xml:space="preserve">107300</t>
  </si>
  <si>
    <t xml:space="preserve">Ventilschlüssel</t>
  </si>
  <si>
    <t xml:space="preserve">005805</t>
  </si>
  <si>
    <t xml:space="preserve">100364</t>
  </si>
  <si>
    <t xml:space="preserve">107105</t>
  </si>
  <si>
    <t xml:space="preserve">105455</t>
  </si>
  <si>
    <t xml:space="preserve">005746</t>
  </si>
  <si>
    <t xml:space="preserve">Set Blockierelemente</t>
  </si>
  <si>
    <t xml:space="preserve">002037</t>
  </si>
  <si>
    <t xml:space="preserve">Ersatzklingen zu Universalmesser</t>
  </si>
  <si>
    <t xml:space="preserve">110008</t>
  </si>
  <si>
    <t xml:space="preserve">101395</t>
  </si>
  <si>
    <t xml:space="preserve">106616</t>
  </si>
  <si>
    <t xml:space="preserve">005485</t>
  </si>
  <si>
    <t xml:space="preserve">Einschraubadapter</t>
  </si>
  <si>
    <t xml:space="preserve">108869</t>
  </si>
  <si>
    <t xml:space="preserve">Klebeetikette -F200.2</t>
  </si>
  <si>
    <t xml:space="preserve">108870</t>
  </si>
  <si>
    <t xml:space="preserve">Klebeetikette -G200.2</t>
  </si>
  <si>
    <t xml:space="preserve">002001</t>
  </si>
  <si>
    <t xml:space="preserve">Multimeter 250V</t>
  </si>
  <si>
    <t xml:space="preserve">103477</t>
  </si>
  <si>
    <t xml:space="preserve">101658</t>
  </si>
  <si>
    <t xml:space="preserve">Reduzierverschraubung Edelstahl</t>
  </si>
  <si>
    <t xml:space="preserve">102395</t>
  </si>
  <si>
    <t xml:space="preserve">107307</t>
  </si>
  <si>
    <t xml:space="preserve">Universalschmierpaste</t>
  </si>
  <si>
    <t xml:space="preserve">103394</t>
  </si>
  <si>
    <t xml:space="preserve">Gewindebohrer</t>
  </si>
  <si>
    <t xml:space="preserve">107707</t>
  </si>
  <si>
    <t xml:space="preserve">005161</t>
  </si>
  <si>
    <t xml:space="preserve">Schutzleiterklemme</t>
  </si>
  <si>
    <t xml:space="preserve">005342</t>
  </si>
  <si>
    <t xml:space="preserve">109749</t>
  </si>
  <si>
    <t xml:space="preserve">005715</t>
  </si>
  <si>
    <t xml:space="preserve">Hinweisschild</t>
  </si>
  <si>
    <t xml:space="preserve">002046</t>
  </si>
  <si>
    <t xml:space="preserve">100366</t>
  </si>
  <si>
    <t xml:space="preserve">109751</t>
  </si>
  <si>
    <t xml:space="preserve">Bügel</t>
  </si>
  <si>
    <t xml:space="preserve">107716</t>
  </si>
  <si>
    <t xml:space="preserve">001115</t>
  </si>
  <si>
    <t xml:space="preserve">Schutzbrett Typ 0</t>
  </si>
  <si>
    <t xml:space="preserve">104233</t>
  </si>
  <si>
    <t xml:space="preserve">Ventilpanel Grundplatte</t>
  </si>
  <si>
    <t xml:space="preserve">109623</t>
  </si>
  <si>
    <t xml:space="preserve">Halterungswinkel</t>
  </si>
  <si>
    <t xml:space="preserve">107163</t>
  </si>
  <si>
    <t xml:space="preserve">SPGr Logo zu SPGr</t>
  </si>
  <si>
    <t xml:space="preserve">110312</t>
  </si>
  <si>
    <t xml:space="preserve">VNC Server Funktionslizenz</t>
  </si>
  <si>
    <t xml:space="preserve">102500</t>
  </si>
  <si>
    <t xml:space="preserve">Dichtungssatz</t>
  </si>
  <si>
    <t xml:space="preserve">OC-103382</t>
  </si>
  <si>
    <t xml:space="preserve">109152</t>
  </si>
  <si>
    <t xml:space="preserve">Verteilerblock</t>
  </si>
  <si>
    <t xml:space="preserve">106443</t>
  </si>
  <si>
    <t xml:space="preserve">005415</t>
  </si>
  <si>
    <t xml:space="preserve">Deckenlasche</t>
  </si>
  <si>
    <t xml:space="preserve">101683</t>
  </si>
  <si>
    <t xml:space="preserve">109696</t>
  </si>
  <si>
    <t xml:space="preserve">005164</t>
  </si>
  <si>
    <t xml:space="preserve">Leitungsschutzschalter</t>
  </si>
  <si>
    <t xml:space="preserve">107097</t>
  </si>
  <si>
    <t xml:space="preserve">110041</t>
  </si>
  <si>
    <t xml:space="preserve">Ordner</t>
  </si>
  <si>
    <t xml:space="preserve">107108</t>
  </si>
  <si>
    <t xml:space="preserve">108081</t>
  </si>
  <si>
    <t xml:space="preserve">Innenbox SPGr10 SVC2 3/4</t>
  </si>
  <si>
    <t xml:space="preserve">101571</t>
  </si>
  <si>
    <t xml:space="preserve">107112</t>
  </si>
  <si>
    <t xml:space="preserve">Seitenschneider</t>
  </si>
  <si>
    <t xml:space="preserve">101396</t>
  </si>
  <si>
    <t xml:space="preserve">109759</t>
  </si>
  <si>
    <t xml:space="preserve">107195</t>
  </si>
  <si>
    <t xml:space="preserve">Keilriemen zu AC260</t>
  </si>
  <si>
    <t xml:space="preserve">105470</t>
  </si>
  <si>
    <t xml:space="preserve">Anzugslehre</t>
  </si>
  <si>
    <t xml:space="preserve">109365</t>
  </si>
  <si>
    <t xml:space="preserve">Aufsteckmaulschlüssel</t>
  </si>
  <si>
    <t xml:space="preserve">005702</t>
  </si>
  <si>
    <t xml:space="preserve">Widerstand</t>
  </si>
  <si>
    <t xml:space="preserve">110309</t>
  </si>
  <si>
    <t xml:space="preserve">Verteiler</t>
  </si>
  <si>
    <t xml:space="preserve">107130</t>
  </si>
  <si>
    <t xml:space="preserve">101795</t>
  </si>
  <si>
    <t xml:space="preserve">Flammschutz TwinL</t>
  </si>
  <si>
    <t xml:space="preserve">100357</t>
  </si>
  <si>
    <t xml:space="preserve">Rohrstück Edelstahl</t>
  </si>
  <si>
    <t xml:space="preserve">108082</t>
  </si>
  <si>
    <t xml:space="preserve">Innenbox SPGr10 SVC2 4/4</t>
  </si>
  <si>
    <t xml:space="preserve">107865</t>
  </si>
  <si>
    <t xml:space="preserve">Inbusschlüssel-Satz lang</t>
  </si>
  <si>
    <t xml:space="preserve">108445</t>
  </si>
  <si>
    <t xml:space="preserve">106753</t>
  </si>
  <si>
    <t xml:space="preserve">108671</t>
  </si>
  <si>
    <t xml:space="preserve">Sensorkabel SPC800 - VP</t>
  </si>
  <si>
    <t xml:space="preserve">001034</t>
  </si>
  <si>
    <t xml:space="preserve">005694</t>
  </si>
  <si>
    <t xml:space="preserve">108080</t>
  </si>
  <si>
    <t xml:space="preserve">Innenbox SPGr10 SVC2 2/4</t>
  </si>
  <si>
    <t xml:space="preserve">005394</t>
  </si>
  <si>
    <t xml:space="preserve">106861</t>
  </si>
  <si>
    <t xml:space="preserve">108033</t>
  </si>
  <si>
    <t xml:space="preserve">Tüllengehäuse</t>
  </si>
  <si>
    <t xml:space="preserve">109164</t>
  </si>
  <si>
    <t xml:space="preserve">Winkelverschraubung Stahl verzinkt</t>
  </si>
  <si>
    <t xml:space="preserve">100350</t>
  </si>
  <si>
    <t xml:space="preserve">Filtergehäuse</t>
  </si>
  <si>
    <t xml:space="preserve">005125</t>
  </si>
  <si>
    <t xml:space="preserve">Schütz</t>
  </si>
  <si>
    <t xml:space="preserve">002075</t>
  </si>
  <si>
    <t xml:space="preserve">Brother P-touch Schriftband</t>
  </si>
  <si>
    <t xml:space="preserve">005759</t>
  </si>
  <si>
    <t xml:space="preserve">100629</t>
  </si>
  <si>
    <t xml:space="preserve">005162</t>
  </si>
  <si>
    <t xml:space="preserve">005280</t>
  </si>
  <si>
    <t xml:space="preserve">110646</t>
  </si>
  <si>
    <t xml:space="preserve">109183</t>
  </si>
  <si>
    <t xml:space="preserve">108536</t>
  </si>
  <si>
    <t xml:space="preserve">001046</t>
  </si>
  <si>
    <t xml:space="preserve">108646</t>
  </si>
  <si>
    <t xml:space="preserve">Kondensatablassventil</t>
  </si>
  <si>
    <t xml:space="preserve">108079</t>
  </si>
  <si>
    <t xml:space="preserve">Innenbox SPGr10 SVC2 1/4</t>
  </si>
  <si>
    <t xml:space="preserve">109909</t>
  </si>
  <si>
    <t xml:space="preserve">Industrie Mobilfunk Router (US)</t>
  </si>
  <si>
    <t xml:space="preserve">105478</t>
  </si>
  <si>
    <t xml:space="preserve">108528</t>
  </si>
  <si>
    <t xml:space="preserve">Sinterscheibe</t>
  </si>
  <si>
    <t xml:space="preserve">001209</t>
  </si>
  <si>
    <t xml:space="preserve">107049</t>
  </si>
  <si>
    <t xml:space="preserve">005100</t>
  </si>
  <si>
    <t xml:space="preserve">SPS Schnittstellenadapter</t>
  </si>
  <si>
    <t xml:space="preserve">109617</t>
  </si>
  <si>
    <t xml:space="preserve">005750</t>
  </si>
  <si>
    <t xml:space="preserve">T-Stück Edelstahl</t>
  </si>
  <si>
    <t xml:space="preserve">109165</t>
  </si>
  <si>
    <t xml:space="preserve">Verbindungsnippel</t>
  </si>
  <si>
    <t xml:space="preserve">107587</t>
  </si>
  <si>
    <t xml:space="preserve">Begleitschreiben, SPGr16</t>
  </si>
  <si>
    <t xml:space="preserve">109530</t>
  </si>
  <si>
    <t xml:space="preserve">Rohr komplett</t>
  </si>
  <si>
    <t xml:space="preserve">107014</t>
  </si>
  <si>
    <t xml:space="preserve">Feinfiltermatte</t>
  </si>
  <si>
    <t xml:space="preserve">107128</t>
  </si>
  <si>
    <t xml:space="preserve">106992</t>
  </si>
  <si>
    <t xml:space="preserve">Hilfsstromschalter</t>
  </si>
  <si>
    <t xml:space="preserve">001150</t>
  </si>
  <si>
    <t xml:space="preserve">Schleifvlies SCOTCH-BRITE</t>
  </si>
  <si>
    <t xml:space="preserve">001053</t>
  </si>
  <si>
    <t xml:space="preserve">Tauschdeckel SBB</t>
  </si>
  <si>
    <t xml:space="preserve">104213</t>
  </si>
  <si>
    <t xml:space="preserve">Transfermagnetventil Spule CH4</t>
  </si>
  <si>
    <t xml:space="preserve">104274</t>
  </si>
  <si>
    <t xml:space="preserve">005542</t>
  </si>
  <si>
    <t xml:space="preserve">107249</t>
  </si>
  <si>
    <t xml:space="preserve">Servicepaket AC260 Endabscheider</t>
  </si>
  <si>
    <t xml:space="preserve">106896</t>
  </si>
  <si>
    <t xml:space="preserve">106444</t>
  </si>
  <si>
    <t xml:space="preserve">Verbindungsbolzen</t>
  </si>
  <si>
    <t xml:space="preserve">107223</t>
  </si>
  <si>
    <t xml:space="preserve">Befestigungsplatte Haltevorrichtung SPGr</t>
  </si>
  <si>
    <t xml:space="preserve">100043</t>
  </si>
  <si>
    <t xml:space="preserve">005793</t>
  </si>
  <si>
    <t xml:space="preserve">106133</t>
  </si>
  <si>
    <t xml:space="preserve">101103</t>
  </si>
  <si>
    <t xml:space="preserve">106427</t>
  </si>
  <si>
    <t xml:space="preserve">109750</t>
  </si>
  <si>
    <t xml:space="preserve">107695</t>
  </si>
  <si>
    <t xml:space="preserve">Anschweisslasche</t>
  </si>
  <si>
    <t xml:space="preserve">106991</t>
  </si>
  <si>
    <t xml:space="preserve">Filterlüfter</t>
  </si>
  <si>
    <t xml:space="preserve">107051</t>
  </si>
  <si>
    <t xml:space="preserve">001051</t>
  </si>
  <si>
    <t xml:space="preserve">Tauschpalette EPAL</t>
  </si>
  <si>
    <t xml:space="preserve">106481</t>
  </si>
  <si>
    <t xml:space="preserve">SPGr</t>
  </si>
  <si>
    <t xml:space="preserve">005449</t>
  </si>
  <si>
    <t xml:space="preserve">108938</t>
  </si>
  <si>
    <t xml:space="preserve">Markierungspunkt rot</t>
  </si>
  <si>
    <t xml:space="preserve">001128</t>
  </si>
  <si>
    <t xml:space="preserve">108070</t>
  </si>
  <si>
    <t xml:space="preserve">Sicherheitsventil 2. Stufe AC260</t>
  </si>
  <si>
    <t xml:space="preserve">103608</t>
  </si>
  <si>
    <t xml:space="preserve">Verbindungselement</t>
  </si>
  <si>
    <t xml:space="preserve">005248</t>
  </si>
  <si>
    <t xml:space="preserve">Kette</t>
  </si>
  <si>
    <t xml:space="preserve">108552</t>
  </si>
  <si>
    <t xml:space="preserve">Saugventil 2. Stufe AC260</t>
  </si>
  <si>
    <t xml:space="preserve">005545</t>
  </si>
  <si>
    <t xml:space="preserve">Signalhorn mit Blitzleuchte</t>
  </si>
  <si>
    <t xml:space="preserve">100347</t>
  </si>
  <si>
    <t xml:space="preserve">109162</t>
  </si>
  <si>
    <t xml:space="preserve">Hochdruck-Ganzmetallschlauch Luft DN6</t>
  </si>
  <si>
    <t xml:space="preserve">005238</t>
  </si>
  <si>
    <t xml:space="preserve">Sicherung</t>
  </si>
  <si>
    <t xml:space="preserve">005348</t>
  </si>
  <si>
    <t xml:space="preserve">106959</t>
  </si>
  <si>
    <t xml:space="preserve">Sicheres digtales Eingangsmodul</t>
  </si>
  <si>
    <t xml:space="preserve">109342</t>
  </si>
  <si>
    <t xml:space="preserve">109382</t>
  </si>
  <si>
    <t xml:space="preserve">106853</t>
  </si>
  <si>
    <t xml:space="preserve">107858</t>
  </si>
  <si>
    <t xml:space="preserve">103275</t>
  </si>
  <si>
    <t xml:space="preserve">Halter für 3 Kettenaufhänger</t>
  </si>
  <si>
    <t xml:space="preserve">100359</t>
  </si>
  <si>
    <t xml:space="preserve">Signalhorn / Blitzleuchte</t>
  </si>
  <si>
    <t xml:space="preserve">109755</t>
  </si>
  <si>
    <t xml:space="preserve">005659</t>
  </si>
  <si>
    <t xml:space="preserve">Swibox LED Leuchte T5</t>
  </si>
  <si>
    <t xml:space="preserve">109181</t>
  </si>
  <si>
    <t xml:space="preserve">109363</t>
  </si>
  <si>
    <t xml:space="preserve">Rohrstück</t>
  </si>
  <si>
    <t xml:space="preserve">100401</t>
  </si>
  <si>
    <t xml:space="preserve">001166</t>
  </si>
  <si>
    <t xml:space="preserve">Presszange "crimp"</t>
  </si>
  <si>
    <t xml:space="preserve">005424</t>
  </si>
  <si>
    <t xml:space="preserve">Rohrstück gerade</t>
  </si>
  <si>
    <t xml:space="preserve">001122</t>
  </si>
  <si>
    <t xml:space="preserve">Tauschrahmen SBB</t>
  </si>
  <si>
    <t xml:space="preserve">001052</t>
  </si>
  <si>
    <t xml:space="preserve">101589</t>
  </si>
  <si>
    <t xml:space="preserve">105957</t>
  </si>
  <si>
    <t xml:space="preserve">108862</t>
  </si>
  <si>
    <t xml:space="preserve">Nachrüst Litzenset 2. SLM</t>
  </si>
  <si>
    <t xml:space="preserve">105858</t>
  </si>
  <si>
    <t xml:space="preserve">103476</t>
  </si>
  <si>
    <t xml:space="preserve">Montagehilfe</t>
  </si>
  <si>
    <t xml:space="preserve">005703</t>
  </si>
  <si>
    <t xml:space="preserve">Lasttrennschalter</t>
  </si>
  <si>
    <t xml:space="preserve">106901</t>
  </si>
  <si>
    <t xml:space="preserve">LED Blitzlichtelement</t>
  </si>
  <si>
    <t xml:space="preserve">109616</t>
  </si>
  <si>
    <t xml:space="preserve">005405</t>
  </si>
  <si>
    <t xml:space="preserve">Rohrleitung für Drucktransmitter</t>
  </si>
  <si>
    <t xml:space="preserve">109176</t>
  </si>
  <si>
    <t xml:space="preserve">100336</t>
  </si>
  <si>
    <t xml:space="preserve">109762</t>
  </si>
  <si>
    <t xml:space="preserve">Koaleszenz-Filerelement</t>
  </si>
  <si>
    <t xml:space="preserve">109516</t>
  </si>
  <si>
    <t xml:space="preserve">Kreuz Verschraubung</t>
  </si>
  <si>
    <t xml:space="preserve">110306</t>
  </si>
  <si>
    <t xml:space="preserve">101590</t>
  </si>
  <si>
    <t xml:space="preserve">Platte für 3 Kettenaufhänger</t>
  </si>
  <si>
    <t xml:space="preserve">108085</t>
  </si>
  <si>
    <t xml:space="preserve">Innenbox SPGr16 SVC1 3/3</t>
  </si>
  <si>
    <t xml:space="preserve">107010</t>
  </si>
  <si>
    <t xml:space="preserve">106859</t>
  </si>
  <si>
    <t xml:space="preserve">108610</t>
  </si>
  <si>
    <t xml:space="preserve">109648</t>
  </si>
  <si>
    <t xml:space="preserve">Federhänger Spezial Vanetto</t>
  </si>
  <si>
    <t xml:space="preserve">109523</t>
  </si>
  <si>
    <t xml:space="preserve">005097</t>
  </si>
  <si>
    <t xml:space="preserve">SPS Analog-Modul PT100</t>
  </si>
  <si>
    <t xml:space="preserve">107248</t>
  </si>
  <si>
    <t xml:space="preserve">Servicepaket AC260 Zwischenabscheider</t>
  </si>
  <si>
    <t xml:space="preserve">109157</t>
  </si>
  <si>
    <t xml:space="preserve">Sicherheitsventil 45 bar</t>
  </si>
  <si>
    <t xml:space="preserve">102855</t>
  </si>
  <si>
    <t xml:space="preserve">Kronenmutter</t>
  </si>
  <si>
    <t xml:space="preserve">104216</t>
  </si>
  <si>
    <t xml:space="preserve">108037</t>
  </si>
  <si>
    <t xml:space="preserve">107252</t>
  </si>
  <si>
    <t xml:space="preserve">Neu; grosser Artikel &amp; nicht im KTL</t>
  </si>
  <si>
    <t xml:space="preserve">107254</t>
  </si>
  <si>
    <t xml:space="preserve">109756</t>
  </si>
  <si>
    <t xml:space="preserve">109859</t>
  </si>
  <si>
    <t xml:space="preserve">HMI T50mobile USB-Adapter</t>
  </si>
  <si>
    <t xml:space="preserve">109161</t>
  </si>
  <si>
    <t xml:space="preserve">Gasfilter</t>
  </si>
  <si>
    <t xml:space="preserve">107224</t>
  </si>
  <si>
    <t xml:space="preserve">107250</t>
  </si>
  <si>
    <t xml:space="preserve">Servicepaket AC260 Druckhalteventil</t>
  </si>
  <si>
    <t xml:space="preserve">107240</t>
  </si>
  <si>
    <t xml:space="preserve">108647</t>
  </si>
  <si>
    <t xml:space="preserve">Temperatursensor LKE</t>
  </si>
  <si>
    <t xml:space="preserve">005355</t>
  </si>
  <si>
    <t xml:space="preserve">Brauchgasventil</t>
  </si>
  <si>
    <t xml:space="preserve">104305</t>
  </si>
  <si>
    <t xml:space="preserve">Bügelschloss</t>
  </si>
  <si>
    <t xml:space="preserve">109525</t>
  </si>
  <si>
    <t xml:space="preserve">005220</t>
  </si>
  <si>
    <t xml:space="preserve">Sicherheitsventil 45bar, N2</t>
  </si>
  <si>
    <t xml:space="preserve">107117</t>
  </si>
  <si>
    <t xml:space="preserve">101638</t>
  </si>
  <si>
    <t xml:space="preserve">VM00008</t>
  </si>
  <si>
    <t xml:space="preserve">Seitenfaltenbeutel, Einsatz für Euroboc</t>
  </si>
  <si>
    <t xml:space="preserve">101100</t>
  </si>
  <si>
    <t xml:space="preserve">108078</t>
  </si>
  <si>
    <t xml:space="preserve">Innenbox SPGr10 SVC1 3/3</t>
  </si>
  <si>
    <t xml:space="preserve">100130</t>
  </si>
  <si>
    <t xml:space="preserve">Blende Gasdruckspeicher</t>
  </si>
  <si>
    <t xml:space="preserve">101796</t>
  </si>
  <si>
    <t xml:space="preserve">109760</t>
  </si>
  <si>
    <t xml:space="preserve">101558</t>
  </si>
  <si>
    <t xml:space="preserve">102278</t>
  </si>
  <si>
    <t xml:space="preserve">106955</t>
  </si>
  <si>
    <t xml:space="preserve">Schnittstellenmodul</t>
  </si>
  <si>
    <t xml:space="preserve">106942</t>
  </si>
  <si>
    <t xml:space="preserve">105959</t>
  </si>
  <si>
    <t xml:space="preserve">Adapter Messing</t>
  </si>
  <si>
    <t xml:space="preserve">101616</t>
  </si>
  <si>
    <t xml:space="preserve">Transfermagnetventil CH4 komplett</t>
  </si>
  <si>
    <t xml:space="preserve">108480</t>
  </si>
  <si>
    <t xml:space="preserve">Reduktions Adapter</t>
  </si>
  <si>
    <t xml:space="preserve">107235</t>
  </si>
  <si>
    <t xml:space="preserve">005282</t>
  </si>
  <si>
    <t xml:space="preserve">Leitungsregler LT2000</t>
  </si>
  <si>
    <t xml:space="preserve">109318</t>
  </si>
  <si>
    <t xml:space="preserve">Leuchtmelder rot</t>
  </si>
  <si>
    <t xml:space="preserve">005091</t>
  </si>
  <si>
    <t xml:space="preserve">SPS Ethernet Kommunikationsmodul</t>
  </si>
  <si>
    <t xml:space="preserve">005225</t>
  </si>
  <si>
    <t xml:space="preserve">Glühkerzenstecker Ersatzteil</t>
  </si>
  <si>
    <t xml:space="preserve">109480</t>
  </si>
  <si>
    <t xml:space="preserve">Sicherheitsventil</t>
  </si>
  <si>
    <t xml:space="preserve">103488</t>
  </si>
  <si>
    <t xml:space="preserve">005499</t>
  </si>
  <si>
    <t xml:space="preserve">105351</t>
  </si>
  <si>
    <t xml:space="preserve">106425</t>
  </si>
  <si>
    <t xml:space="preserve">Kolbenring SPGr10</t>
  </si>
  <si>
    <t xml:space="preserve">005693</t>
  </si>
  <si>
    <t xml:space="preserve">Sicherheitsrelais</t>
  </si>
  <si>
    <t xml:space="preserve">110642</t>
  </si>
  <si>
    <t xml:space="preserve">Aufschraubadapter Edelstahl</t>
  </si>
  <si>
    <t xml:space="preserve">109170</t>
  </si>
  <si>
    <t xml:space="preserve">Bündelanschlussschlauch Brenngas</t>
  </si>
  <si>
    <t xml:space="preserve">109169</t>
  </si>
  <si>
    <t xml:space="preserve">Bündelanschlussschlauch Stickstoff</t>
  </si>
  <si>
    <t xml:space="preserve">109695</t>
  </si>
  <si>
    <t xml:space="preserve">Ansaugfilter zu Spülluftmodul</t>
  </si>
  <si>
    <t xml:space="preserve">001069</t>
  </si>
  <si>
    <t xml:space="preserve">VCI-Folie</t>
  </si>
  <si>
    <t xml:space="preserve">100383</t>
  </si>
  <si>
    <t xml:space="preserve">002063</t>
  </si>
  <si>
    <t xml:space="preserve">Sichtlagerkasten klein</t>
  </si>
  <si>
    <t xml:space="preserve">106956</t>
  </si>
  <si>
    <t xml:space="preserve">Schnittstellenmodul für PROFIBUS DP</t>
  </si>
  <si>
    <t xml:space="preserve">005644</t>
  </si>
  <si>
    <t xml:space="preserve">005359</t>
  </si>
  <si>
    <t xml:space="preserve">Abzweigdose</t>
  </si>
  <si>
    <t xml:space="preserve">100628</t>
  </si>
  <si>
    <t xml:space="preserve">106889</t>
  </si>
  <si>
    <t xml:space="preserve">PTFE-Schlauch DN6</t>
  </si>
  <si>
    <t xml:space="preserve">103254</t>
  </si>
  <si>
    <t xml:space="preserve">Abpressplatte</t>
  </si>
  <si>
    <t xml:space="preserve">001044</t>
  </si>
  <si>
    <t xml:space="preserve">108084</t>
  </si>
  <si>
    <t xml:space="preserve">Innenbox SPGr16 SVC1 2/3</t>
  </si>
  <si>
    <t xml:space="preserve">103766</t>
  </si>
  <si>
    <t xml:space="preserve">100372</t>
  </si>
  <si>
    <t xml:space="preserve">107164</t>
  </si>
  <si>
    <t xml:space="preserve">Hochdruck-Ganzmetallschlauch Luft</t>
  </si>
  <si>
    <t xml:space="preserve">100039</t>
  </si>
  <si>
    <t xml:space="preserve">002076</t>
  </si>
  <si>
    <t xml:space="preserve">103606</t>
  </si>
  <si>
    <t xml:space="preserve">Hochdruck-Ganzmetallschlauch</t>
  </si>
  <si>
    <t xml:space="preserve">107135</t>
  </si>
  <si>
    <t xml:space="preserve">Führungsstange</t>
  </si>
  <si>
    <t xml:space="preserve">107298</t>
  </si>
  <si>
    <t xml:space="preserve">Vorrichtung zu Ventilmontage</t>
  </si>
  <si>
    <t xml:space="preserve">005658</t>
  </si>
  <si>
    <t xml:space="preserve">Servicemagnet</t>
  </si>
  <si>
    <t xml:space="preserve">101769</t>
  </si>
  <si>
    <t xml:space="preserve">106895</t>
  </si>
  <si>
    <t xml:space="preserve">SPS Zentraleinheit</t>
  </si>
  <si>
    <t xml:space="preserve">109163</t>
  </si>
  <si>
    <t xml:space="preserve">108865</t>
  </si>
  <si>
    <t xml:space="preserve">Aufrüst Litzenset 1. SLM</t>
  </si>
  <si>
    <t xml:space="preserve">106953</t>
  </si>
  <si>
    <t xml:space="preserve">Digitales Relaismodul Ausgang</t>
  </si>
  <si>
    <t xml:space="preserve">102490</t>
  </si>
  <si>
    <t xml:space="preserve">002043</t>
  </si>
  <si>
    <t xml:space="preserve">Holzfaltkiste Premium</t>
  </si>
  <si>
    <t xml:space="preserve">108083</t>
  </si>
  <si>
    <t xml:space="preserve">Innenbox SPGr16 SVC1 1/3</t>
  </si>
  <si>
    <t xml:space="preserve">109156</t>
  </si>
  <si>
    <t xml:space="preserve">106137</t>
  </si>
  <si>
    <t xml:space="preserve">109787</t>
  </si>
  <si>
    <t xml:space="preserve">108046</t>
  </si>
  <si>
    <t xml:space="preserve">106704</t>
  </si>
  <si>
    <t xml:space="preserve">109074</t>
  </si>
  <si>
    <t xml:space="preserve">106934</t>
  </si>
  <si>
    <t xml:space="preserve">Sicherheitssteuerung</t>
  </si>
  <si>
    <t xml:space="preserve">005423</t>
  </si>
  <si>
    <t xml:space="preserve">005440</t>
  </si>
  <si>
    <t xml:space="preserve">Bis auf 10stk?</t>
  </si>
  <si>
    <t xml:space="preserve">109364</t>
  </si>
  <si>
    <t xml:space="preserve">100403</t>
  </si>
  <si>
    <t xml:space="preserve">Ventilblock</t>
  </si>
  <si>
    <t xml:space="preserve">005309</t>
  </si>
  <si>
    <t xml:space="preserve">Kolbenabzug komplett</t>
  </si>
  <si>
    <t xml:space="preserve">101159</t>
  </si>
  <si>
    <t xml:space="preserve">108077</t>
  </si>
  <si>
    <t xml:space="preserve">Innenbox SPGr10 SVC1 2/3</t>
  </si>
  <si>
    <t xml:space="preserve">108076</t>
  </si>
  <si>
    <t xml:space="preserve">Innenbox SPGr10 SVC1 1/3</t>
  </si>
  <si>
    <t xml:space="preserve">106973</t>
  </si>
  <si>
    <t xml:space="preserve">108088</t>
  </si>
  <si>
    <t xml:space="preserve">Innenbox SPGr16 SVC2 3/4</t>
  </si>
  <si>
    <t xml:space="preserve">108430</t>
  </si>
  <si>
    <t xml:space="preserve">Koffer Servicetechniker Set SPGr</t>
  </si>
  <si>
    <t xml:space="preserve">108087</t>
  </si>
  <si>
    <t xml:space="preserve">Innenbox SPGr16 SVC2 2/4</t>
  </si>
  <si>
    <t xml:space="preserve">106426</t>
  </si>
  <si>
    <t xml:space="preserve">108074</t>
  </si>
  <si>
    <t xml:space="preserve">Palettenbox SPGr16 SVC1</t>
  </si>
  <si>
    <t xml:space="preserve">109199</t>
  </si>
  <si>
    <t xml:space="preserve">109173</t>
  </si>
  <si>
    <t xml:space="preserve">106994</t>
  </si>
  <si>
    <t xml:space="preserve">B&amp;R</t>
  </si>
  <si>
    <t xml:space="preserve">106962</t>
  </si>
  <si>
    <t xml:space="preserve">Sicheres digtales Ausgangsmodul</t>
  </si>
  <si>
    <t xml:space="preserve">109788</t>
  </si>
  <si>
    <t xml:space="preserve">109155</t>
  </si>
  <si>
    <t xml:space="preserve">106939</t>
  </si>
  <si>
    <t xml:space="preserve">109154</t>
  </si>
  <si>
    <t xml:space="preserve">Drehabsperr-Ventil</t>
  </si>
  <si>
    <t xml:space="preserve">005279</t>
  </si>
  <si>
    <t xml:space="preserve">Schallsensor</t>
  </si>
  <si>
    <t xml:space="preserve">Überbestand; Braucht es diesen Artikel ?</t>
  </si>
  <si>
    <t xml:space="preserve">108073</t>
  </si>
  <si>
    <t xml:space="preserve">Palettenbox SPGr10 SVC2</t>
  </si>
  <si>
    <t xml:space="preserve">108119</t>
  </si>
  <si>
    <t xml:space="preserve">HMI GT2505-VTBD</t>
  </si>
  <si>
    <t xml:space="preserve">107251</t>
  </si>
  <si>
    <t xml:space="preserve">108089</t>
  </si>
  <si>
    <t xml:space="preserve">Innenbox SPGr16 SVC2 4/4</t>
  </si>
  <si>
    <t xml:space="preserve">100788</t>
  </si>
  <si>
    <t xml:space="preserve">Pilot Magnetventil CH4 komplett</t>
  </si>
  <si>
    <t xml:space="preserve">107367</t>
  </si>
  <si>
    <t xml:space="preserve">109328</t>
  </si>
  <si>
    <t xml:space="preserve">108849</t>
  </si>
  <si>
    <t xml:space="preserve">005084</t>
  </si>
  <si>
    <t xml:space="preserve">108220</t>
  </si>
  <si>
    <t xml:space="preserve">Zwischenflansch SPGr10</t>
  </si>
  <si>
    <t xml:space="preserve">103919</t>
  </si>
  <si>
    <t xml:space="preserve">109158</t>
  </si>
  <si>
    <t xml:space="preserve">Sicherheitsventil 40 bar</t>
  </si>
  <si>
    <t xml:space="preserve">110378</t>
  </si>
  <si>
    <t xml:space="preserve">OC-107710</t>
  </si>
  <si>
    <t xml:space="preserve">-</t>
  </si>
  <si>
    <t xml:space="preserve">001126</t>
  </si>
  <si>
    <t xml:space="preserve">Holzkiste Steuerschrank klein</t>
  </si>
  <si>
    <t xml:space="preserve">107110</t>
  </si>
  <si>
    <t xml:space="preserve">Montageschlüssel Rückschlagventile</t>
  </si>
  <si>
    <t xml:space="preserve">101624</t>
  </si>
  <si>
    <t xml:space="preserve">Grundplatte zu Aufhängung</t>
  </si>
  <si>
    <t xml:space="preserve">100348</t>
  </si>
  <si>
    <t xml:space="preserve">Filterelement</t>
  </si>
  <si>
    <t xml:space="preserve">104221</t>
  </si>
  <si>
    <t xml:space="preserve">Kabel Set EG101 - VP auf Gestell</t>
  </si>
  <si>
    <t xml:space="preserve">005583</t>
  </si>
  <si>
    <t xml:space="preserve">Sicherungsdraht</t>
  </si>
  <si>
    <t xml:space="preserve">110379</t>
  </si>
  <si>
    <t xml:space="preserve">Blindmodul</t>
  </si>
  <si>
    <t xml:space="preserve">OC-107047</t>
  </si>
  <si>
    <t xml:space="preserve">Konstanthänger komplett</t>
  </si>
  <si>
    <t xml:space="preserve">108086</t>
  </si>
  <si>
    <t xml:space="preserve">Innenbox SPGr16 SVC2 1/4</t>
  </si>
  <si>
    <t xml:space="preserve">108497</t>
  </si>
  <si>
    <t xml:space="preserve">Etikette KKS EG10-Serie/SPGr</t>
  </si>
  <si>
    <t xml:space="preserve">BEI MARIO</t>
  </si>
  <si>
    <t xml:space="preserve">109738</t>
  </si>
  <si>
    <t xml:space="preserve">108697</t>
  </si>
  <si>
    <t xml:space="preserve">Ventilkopf</t>
  </si>
  <si>
    <t xml:space="preserve">109168</t>
  </si>
  <si>
    <t xml:space="preserve">Bündelanschlussschlauch Druckluft</t>
  </si>
  <si>
    <t xml:space="preserve">106997</t>
  </si>
  <si>
    <t xml:space="preserve">Halbleiterschütz 1-phasig</t>
  </si>
  <si>
    <t xml:space="preserve">101231</t>
  </si>
  <si>
    <t xml:space="preserve">005698</t>
  </si>
  <si>
    <t xml:space="preserve">Stromversorgung</t>
  </si>
  <si>
    <t xml:space="preserve">107648</t>
  </si>
  <si>
    <t xml:space="preserve">Reserve Save Key</t>
  </si>
  <si>
    <t xml:space="preserve">103247</t>
  </si>
  <si>
    <t xml:space="preserve">Abpressdeckel</t>
  </si>
  <si>
    <t xml:space="preserve">104215</t>
  </si>
  <si>
    <t xml:space="preserve">105224</t>
  </si>
  <si>
    <t xml:space="preserve">108488</t>
  </si>
  <si>
    <t xml:space="preserve">106961</t>
  </si>
  <si>
    <t xml:space="preserve">109323</t>
  </si>
  <si>
    <t xml:space="preserve">Set bedruckte Einlagen SPGr16 SVC 1</t>
  </si>
  <si>
    <t xml:space="preserve">108357</t>
  </si>
  <si>
    <t xml:space="preserve">OC-107737</t>
  </si>
  <si>
    <t xml:space="preserve">005230</t>
  </si>
  <si>
    <t xml:space="preserve">Sicherheitsventil 40bar, CH4</t>
  </si>
  <si>
    <t xml:space="preserve">106964</t>
  </si>
  <si>
    <t xml:space="preserve">005219</t>
  </si>
  <si>
    <t xml:space="preserve">Sicherheitsventil 40bar, O2</t>
  </si>
  <si>
    <t xml:space="preserve">103752</t>
  </si>
  <si>
    <t xml:space="preserve">107684</t>
  </si>
  <si>
    <t xml:space="preserve">OC-106572</t>
  </si>
  <si>
    <t xml:space="preserve">103761</t>
  </si>
  <si>
    <t xml:space="preserve">005128</t>
  </si>
  <si>
    <t xml:space="preserve">108045</t>
  </si>
  <si>
    <t xml:space="preserve">106377</t>
  </si>
  <si>
    <t xml:space="preserve">110187</t>
  </si>
  <si>
    <t xml:space="preserve">005319</t>
  </si>
  <si>
    <t xml:space="preserve">108075</t>
  </si>
  <si>
    <t xml:space="preserve">Palettenbox SPGr16 SVC2</t>
  </si>
  <si>
    <t xml:space="preserve">109321</t>
  </si>
  <si>
    <t xml:space="preserve">Set bedruckte Einlagen SPGr10 SVC1</t>
  </si>
  <si>
    <t xml:space="preserve">106795</t>
  </si>
  <si>
    <t xml:space="preserve">001205</t>
  </si>
  <si>
    <t xml:space="preserve">Holzkiste Luftkompressor Luft &amp; See</t>
  </si>
  <si>
    <t xml:space="preserve">106946</t>
  </si>
  <si>
    <t xml:space="preserve">101454</t>
  </si>
  <si>
    <t xml:space="preserve">106864</t>
  </si>
  <si>
    <t xml:space="preserve">Site Manager 3539</t>
  </si>
  <si>
    <t xml:space="preserve">100398</t>
  </si>
  <si>
    <t xml:space="preserve">Stickstoffblock</t>
  </si>
  <si>
    <t xml:space="preserve">108877</t>
  </si>
  <si>
    <t xml:space="preserve">101452</t>
  </si>
  <si>
    <t xml:space="preserve">002044</t>
  </si>
  <si>
    <t xml:space="preserve">108821</t>
  </si>
  <si>
    <t xml:space="preserve">Klemmhalter</t>
  </si>
  <si>
    <t xml:space="preserve">100354</t>
  </si>
  <si>
    <t xml:space="preserve">105443</t>
  </si>
  <si>
    <t xml:space="preserve">109324</t>
  </si>
  <si>
    <t xml:space="preserve">Set bedruckte Einlagen SPGr16 SVC 2</t>
  </si>
  <si>
    <t xml:space="preserve">109322</t>
  </si>
  <si>
    <t xml:space="preserve">Set bedruckte Einlagen SPGr10 SVC 2</t>
  </si>
  <si>
    <t xml:space="preserve">OC-100396</t>
  </si>
  <si>
    <t xml:space="preserve">Ventilpanel komplett, Grundpanel</t>
  </si>
  <si>
    <t xml:space="preserve">110023</t>
  </si>
  <si>
    <t xml:space="preserve">Kugelschreiber</t>
  </si>
  <si>
    <t xml:space="preserve">100787</t>
  </si>
  <si>
    <t xml:space="preserve">Pilot Magnetventil O2 komplett</t>
  </si>
  <si>
    <t xml:space="preserve">005118</t>
  </si>
  <si>
    <t xml:space="preserve">Rundstrahlantenne</t>
  </si>
  <si>
    <t xml:space="preserve">107410</t>
  </si>
  <si>
    <t xml:space="preserve">105980</t>
  </si>
  <si>
    <t xml:space="preserve">Gasdruckspeicher Gehäuse SPGr16</t>
  </si>
  <si>
    <t xml:space="preserve">001204</t>
  </si>
  <si>
    <t xml:space="preserve">Holzkiste SPGr16 + SPC800 Luft &amp; See</t>
  </si>
  <si>
    <t xml:space="preserve">107137</t>
  </si>
  <si>
    <t xml:space="preserve">Servicepaket AC260-SVC12</t>
  </si>
  <si>
    <t xml:space="preserve">106373</t>
  </si>
  <si>
    <t xml:space="preserve">108507</t>
  </si>
  <si>
    <t xml:space="preserve">HMI GT2708-VTBD</t>
  </si>
  <si>
    <t xml:space="preserve">005233</t>
  </si>
  <si>
    <t xml:space="preserve">Secomea SiteManager</t>
  </si>
  <si>
    <t xml:space="preserve">106706</t>
  </si>
  <si>
    <t xml:space="preserve">100156</t>
  </si>
  <si>
    <t xml:space="preserve">Glühkerze</t>
  </si>
  <si>
    <t xml:space="preserve">109042</t>
  </si>
  <si>
    <t xml:space="preserve">Sensorkabel mit Tüllengehäuse</t>
  </si>
  <si>
    <t xml:space="preserve">100132</t>
  </si>
  <si>
    <t xml:space="preserve">Deckel Gasdruckspeicher</t>
  </si>
  <si>
    <t xml:space="preserve">OC-106435</t>
  </si>
  <si>
    <t xml:space="preserve">Federkonsole komplett</t>
  </si>
  <si>
    <t xml:space="preserve">101451</t>
  </si>
  <si>
    <t xml:space="preserve">105250</t>
  </si>
  <si>
    <t xml:space="preserve">106952</t>
  </si>
  <si>
    <t xml:space="preserve">Digitales I/O-Modul Ausgang</t>
  </si>
  <si>
    <t xml:space="preserve">101450</t>
  </si>
  <si>
    <t xml:space="preserve">106965</t>
  </si>
  <si>
    <t xml:space="preserve">103490</t>
  </si>
  <si>
    <t xml:space="preserve">005695</t>
  </si>
  <si>
    <t xml:space="preserve">107989</t>
  </si>
  <si>
    <t xml:space="preserve">100356</t>
  </si>
  <si>
    <t xml:space="preserve">110021</t>
  </si>
  <si>
    <t xml:space="preserve">107091</t>
  </si>
  <si>
    <t xml:space="preserve">106176</t>
  </si>
  <si>
    <t xml:space="preserve">Ventilsitzgehäuse SPGr10</t>
  </si>
  <si>
    <t xml:space="preserve">105317</t>
  </si>
  <si>
    <t xml:space="preserve">106958</t>
  </si>
  <si>
    <t xml:space="preserve">Einspeisemodul für Bus-Leiterplatte</t>
  </si>
  <si>
    <t xml:space="preserve">107401</t>
  </si>
  <si>
    <t xml:space="preserve">108741</t>
  </si>
  <si>
    <t xml:space="preserve">108670</t>
  </si>
  <si>
    <t xml:space="preserve">103382</t>
  </si>
  <si>
    <t xml:space="preserve">107992</t>
  </si>
  <si>
    <t xml:space="preserve">109171</t>
  </si>
  <si>
    <t xml:space="preserve">OC-105719</t>
  </si>
  <si>
    <t xml:space="preserve">107710</t>
  </si>
  <si>
    <t xml:space="preserve">Austrittsdüse SPGr10</t>
  </si>
  <si>
    <t xml:space="preserve">108475</t>
  </si>
  <si>
    <t xml:space="preserve">106948</t>
  </si>
  <si>
    <t xml:space="preserve">108798</t>
  </si>
  <si>
    <t xml:space="preserve">100118</t>
  </si>
  <si>
    <t xml:space="preserve">Ventilsitzeinsatz D40</t>
  </si>
  <si>
    <t xml:space="preserve">107685</t>
  </si>
  <si>
    <t xml:space="preserve">005205</t>
  </si>
  <si>
    <t xml:space="preserve">Druckregelstrecke N2</t>
  </si>
  <si>
    <t xml:space="preserve">108068</t>
  </si>
  <si>
    <t xml:space="preserve">Sicherheitsventil letzte Stufe AC260</t>
  </si>
  <si>
    <t xml:space="preserve">005052</t>
  </si>
  <si>
    <t xml:space="preserve">106705</t>
  </si>
  <si>
    <t xml:space="preserve">107825</t>
  </si>
  <si>
    <t xml:space="preserve">Standartdüse</t>
  </si>
  <si>
    <t xml:space="preserve">100353</t>
  </si>
  <si>
    <t xml:space="preserve">101249</t>
  </si>
  <si>
    <t xml:space="preserve">01C</t>
  </si>
  <si>
    <t xml:space="preserve">107402</t>
  </si>
  <si>
    <t xml:space="preserve">Ventilkabel Brenngas</t>
  </si>
  <si>
    <t xml:space="preserve">106943</t>
  </si>
  <si>
    <t xml:space="preserve">106940</t>
  </si>
  <si>
    <t xml:space="preserve">Bus Controller</t>
  </si>
  <si>
    <t xml:space="preserve">101169</t>
  </si>
  <si>
    <t xml:space="preserve">106951</t>
  </si>
  <si>
    <t xml:space="preserve">Digitales I/O-Modul Eingang</t>
  </si>
  <si>
    <t xml:space="preserve">109689</t>
  </si>
  <si>
    <t xml:space="preserve">OC-107514</t>
  </si>
  <si>
    <t xml:space="preserve">108072</t>
  </si>
  <si>
    <t xml:space="preserve">Palettenbox SPGr10 SVC1</t>
  </si>
  <si>
    <t xml:space="preserve">107136</t>
  </si>
  <si>
    <t xml:space="preserve">Servicepaket AC260-SVC11</t>
  </si>
  <si>
    <t xml:space="preserve">107016</t>
  </si>
  <si>
    <t xml:space="preserve">Speichereinheit SU80-2</t>
  </si>
  <si>
    <t xml:space="preserve">Kompressor</t>
  </si>
  <si>
    <t xml:space="preserve">005711</t>
  </si>
  <si>
    <t xml:space="preserve">Temperaturmessumformer</t>
  </si>
  <si>
    <t xml:space="preserve">100151</t>
  </si>
  <si>
    <t xml:space="preserve">Ventilgehäuse</t>
  </si>
  <si>
    <t xml:space="preserve">101428</t>
  </si>
  <si>
    <t xml:space="preserve">Rohr Anschweissstück</t>
  </si>
  <si>
    <t xml:space="preserve">100050</t>
  </si>
  <si>
    <t xml:space="preserve">Deckel zu Dosierzylinder</t>
  </si>
  <si>
    <t xml:space="preserve">OC-107560</t>
  </si>
  <si>
    <t xml:space="preserve">106729</t>
  </si>
  <si>
    <t xml:space="preserve">100317</t>
  </si>
  <si>
    <t xml:space="preserve">106985</t>
  </si>
  <si>
    <t xml:space="preserve">100277</t>
  </si>
  <si>
    <t xml:space="preserve">109754</t>
  </si>
  <si>
    <t xml:space="preserve">101448</t>
  </si>
  <si>
    <t xml:space="preserve">100888</t>
  </si>
  <si>
    <t xml:space="preserve">Rückschlagventil-Patrone</t>
  </si>
  <si>
    <t xml:space="preserve">005089</t>
  </si>
  <si>
    <t xml:space="preserve">Bedienpanel MMI Touch</t>
  </si>
  <si>
    <t xml:space="preserve">OC-106804</t>
  </si>
  <si>
    <t xml:space="preserve">107093</t>
  </si>
  <si>
    <t xml:space="preserve">Werkzeugkiste (Behälter)</t>
  </si>
  <si>
    <t xml:space="preserve">100343</t>
  </si>
  <si>
    <t xml:space="preserve">Kugelhahn CH4/N2</t>
  </si>
  <si>
    <t xml:space="preserve">107400</t>
  </si>
  <si>
    <t xml:space="preserve">106725</t>
  </si>
  <si>
    <t xml:space="preserve">107951</t>
  </si>
  <si>
    <t xml:space="preserve">Verpackung Servicepaket SPGr16 SVC2</t>
  </si>
  <si>
    <t xml:space="preserve">106960</t>
  </si>
  <si>
    <t xml:space="preserve">109095</t>
  </si>
  <si>
    <t xml:space="preserve">Zentrierscheibe</t>
  </si>
  <si>
    <t xml:space="preserve">005206</t>
  </si>
  <si>
    <t xml:space="preserve">Entspannungsstation</t>
  </si>
  <si>
    <t xml:space="preserve">106954</t>
  </si>
  <si>
    <t xml:space="preserve">Digitales Modul IO-Link</t>
  </si>
  <si>
    <t xml:space="preserve">107065</t>
  </si>
  <si>
    <t xml:space="preserve">Rohr Anschweissstück DN200</t>
  </si>
  <si>
    <t xml:space="preserve">107764</t>
  </si>
  <si>
    <t xml:space="preserve">105714</t>
  </si>
  <si>
    <t xml:space="preserve">Zündplatte</t>
  </si>
  <si>
    <t xml:space="preserve">102305</t>
  </si>
  <si>
    <t xml:space="preserve">Mischgehäuse TwinL</t>
  </si>
  <si>
    <t xml:space="preserve">005349</t>
  </si>
  <si>
    <t xml:space="preserve">107999</t>
  </si>
  <si>
    <t xml:space="preserve">106938</t>
  </si>
  <si>
    <t xml:space="preserve">Analoges Ausgangsmodul</t>
  </si>
  <si>
    <t xml:space="preserve">109326</t>
  </si>
  <si>
    <t xml:space="preserve">107862</t>
  </si>
  <si>
    <t xml:space="preserve">100054</t>
  </si>
  <si>
    <t xml:space="preserve">Kolbenring</t>
  </si>
  <si>
    <t xml:space="preserve">105266</t>
  </si>
  <si>
    <t xml:space="preserve">Zündplatte TwinL, komplett</t>
  </si>
  <si>
    <t xml:space="preserve">107640</t>
  </si>
  <si>
    <t xml:space="preserve">OC-100444</t>
  </si>
  <si>
    <t xml:space="preserve">Shock Pulse Generator EG10XL komplett</t>
  </si>
  <si>
    <t xml:space="preserve">107516</t>
  </si>
  <si>
    <t xml:space="preserve">101617</t>
  </si>
  <si>
    <t xml:space="preserve">Transfermagnetventil O2 komplett</t>
  </si>
  <si>
    <t xml:space="preserve">100120</t>
  </si>
  <si>
    <t xml:space="preserve">Flansch Ventilsitz</t>
  </si>
  <si>
    <t xml:space="preserve">OC-105718</t>
  </si>
  <si>
    <t xml:space="preserve">SPC800 Base</t>
  </si>
  <si>
    <t xml:space="preserve">106422</t>
  </si>
  <si>
    <t xml:space="preserve">Kolbenring SPGr16</t>
  </si>
  <si>
    <t xml:space="preserve">109320</t>
  </si>
  <si>
    <t xml:space="preserve">108759</t>
  </si>
  <si>
    <t xml:space="preserve">005087</t>
  </si>
  <si>
    <t xml:space="preserve">110392</t>
  </si>
  <si>
    <t xml:space="preserve">Litzensatz - Aufrüstung SPC800 V3.0.0</t>
  </si>
  <si>
    <t xml:space="preserve">105985</t>
  </si>
  <si>
    <t xml:space="preserve">Ventilsitzadapter SPGr16</t>
  </si>
  <si>
    <t xml:space="preserve">109292</t>
  </si>
  <si>
    <t xml:space="preserve">Elektroschema - Nacharbeit</t>
  </si>
  <si>
    <t xml:space="preserve">106950</t>
  </si>
  <si>
    <t xml:space="preserve">Temperatur Eingangsmodul</t>
  </si>
  <si>
    <t xml:space="preserve">106936</t>
  </si>
  <si>
    <t xml:space="preserve">Power Panel T50</t>
  </si>
  <si>
    <t xml:space="preserve">108168</t>
  </si>
  <si>
    <t xml:space="preserve">105962</t>
  </si>
  <si>
    <t xml:space="preserve">109737</t>
  </si>
  <si>
    <t xml:space="preserve">Druckregelstrecke SPGr Luft</t>
  </si>
  <si>
    <t xml:space="preserve">109758</t>
  </si>
  <si>
    <t xml:space="preserve">107950</t>
  </si>
  <si>
    <t xml:space="preserve">Verpackung Servicepaket SPGr16 SVC1</t>
  </si>
  <si>
    <t xml:space="preserve">100055</t>
  </si>
  <si>
    <t xml:space="preserve">106423</t>
  </si>
  <si>
    <t xml:space="preserve">108800</t>
  </si>
  <si>
    <t xml:space="preserve">106937</t>
  </si>
  <si>
    <t xml:space="preserve">Analoges Eingangsmodul</t>
  </si>
  <si>
    <t xml:space="preserve">105305</t>
  </si>
  <si>
    <t xml:space="preserve">101828</t>
  </si>
  <si>
    <t xml:space="preserve">OC-100168</t>
  </si>
  <si>
    <t xml:space="preserve">Shock Pulse Generator TwinL komplett</t>
  </si>
  <si>
    <t xml:space="preserve">106888</t>
  </si>
  <si>
    <t xml:space="preserve">107949</t>
  </si>
  <si>
    <t xml:space="preserve">Verpackung Servicepaket SPGr10 SVC2</t>
  </si>
  <si>
    <t xml:space="preserve">109089</t>
  </si>
  <si>
    <t xml:space="preserve">Gasdruckspeicher Flansch SPGr16</t>
  </si>
  <si>
    <t xml:space="preserve">105315</t>
  </si>
  <si>
    <t xml:space="preserve">Gasdruckspeicher Gehäuse SPGr10</t>
  </si>
  <si>
    <t xml:space="preserve">107870</t>
  </si>
  <si>
    <t xml:space="preserve">Ventilsitz SPGr10</t>
  </si>
  <si>
    <t xml:space="preserve">103764</t>
  </si>
  <si>
    <t xml:space="preserve">OC-106183</t>
  </si>
  <si>
    <t xml:space="preserve">Shock Pulse Generator SPGr16 komplett</t>
  </si>
  <si>
    <t xml:space="preserve">106075</t>
  </si>
  <si>
    <t xml:space="preserve">Deckel zu Verbrennungszylinder</t>
  </si>
  <si>
    <t xml:space="preserve">109146</t>
  </si>
  <si>
    <t xml:space="preserve">Druckregelstrecke Stickstoff</t>
  </si>
  <si>
    <t xml:space="preserve">110333</t>
  </si>
  <si>
    <t xml:space="preserve">106076</t>
  </si>
  <si>
    <t xml:space="preserve">Verbrennungszylinder EG10XL</t>
  </si>
  <si>
    <t xml:space="preserve">106798</t>
  </si>
  <si>
    <t xml:space="preserve">Druckregelstrecke Luft</t>
  </si>
  <si>
    <t xml:space="preserve">109094</t>
  </si>
  <si>
    <t xml:space="preserve">108329</t>
  </si>
  <si>
    <t xml:space="preserve">Kugelhahn Brenngas Ventilpanel</t>
  </si>
  <si>
    <t xml:space="preserve">106590</t>
  </si>
  <si>
    <t xml:space="preserve">107821</t>
  </si>
  <si>
    <t xml:space="preserve">106579</t>
  </si>
  <si>
    <t xml:space="preserve">100058</t>
  </si>
  <si>
    <t xml:space="preserve">Kolben</t>
  </si>
  <si>
    <t xml:space="preserve">107568</t>
  </si>
  <si>
    <t xml:space="preserve">106931</t>
  </si>
  <si>
    <t xml:space="preserve">106963</t>
  </si>
  <si>
    <t xml:space="preserve">107192</t>
  </si>
  <si>
    <t xml:space="preserve">Servicepaket SPGr10 SVC2</t>
  </si>
  <si>
    <t xml:space="preserve">109145</t>
  </si>
  <si>
    <t xml:space="preserve">Druckregelstrecke Brenngas</t>
  </si>
  <si>
    <t xml:space="preserve">108491</t>
  </si>
  <si>
    <t xml:space="preserve">106239</t>
  </si>
  <si>
    <t xml:space="preserve">Verbrennungszylinder EG10L</t>
  </si>
  <si>
    <t xml:space="preserve">109088</t>
  </si>
  <si>
    <t xml:space="preserve">Gasdruckspeicher Flansch SPGr10</t>
  </si>
  <si>
    <t xml:space="preserve">108624</t>
  </si>
  <si>
    <t xml:space="preserve">107948</t>
  </si>
  <si>
    <t xml:space="preserve">Verpackung Servicepaket SPGr10 SVC1</t>
  </si>
  <si>
    <t xml:space="preserve">107817</t>
  </si>
  <si>
    <t xml:space="preserve">107194</t>
  </si>
  <si>
    <t xml:space="preserve">Servicepaket SPGr16 SVC2</t>
  </si>
  <si>
    <t xml:space="preserve">109194</t>
  </si>
  <si>
    <t xml:space="preserve">101245</t>
  </si>
  <si>
    <t xml:space="preserve">108494</t>
  </si>
  <si>
    <t xml:space="preserve">110377</t>
  </si>
  <si>
    <t xml:space="preserve">Sicheres Strom-Eingangsmodul</t>
  </si>
  <si>
    <t xml:space="preserve">108495</t>
  </si>
  <si>
    <t xml:space="preserve">106819</t>
  </si>
  <si>
    <t xml:space="preserve">108496</t>
  </si>
  <si>
    <t xml:space="preserve">001145</t>
  </si>
  <si>
    <t xml:space="preserve">Atemschutzmaske</t>
  </si>
  <si>
    <t xml:space="preserve">nur im Artikelstamm (Bestand 23.06.2026); Verb.Lager</t>
  </si>
  <si>
    <t xml:space="preserve">001167</t>
  </si>
  <si>
    <t xml:space="preserve">Einsteck Knarre</t>
  </si>
  <si>
    <t xml:space="preserve">nur im Artikelstamm (Bestand 23.06.2026); Überbestand</t>
  </si>
  <si>
    <t xml:space="preserve">002036</t>
  </si>
  <si>
    <t xml:space="preserve">Universalmesser</t>
  </si>
  <si>
    <t xml:space="preserve">nur im Artikelstamm (Bestand 23.06.2026)</t>
  </si>
  <si>
    <t xml:space="preserve">002050</t>
  </si>
  <si>
    <t xml:space="preserve">Gewindebohrer M16</t>
  </si>
  <si>
    <t xml:space="preserve">005090</t>
  </si>
  <si>
    <t xml:space="preserve">SPS Konverter MMI</t>
  </si>
  <si>
    <t xml:space="preserve">005092</t>
  </si>
  <si>
    <t xml:space="preserve">SPS Kabel zu MMI 3m</t>
  </si>
  <si>
    <t xml:space="preserve">005095</t>
  </si>
  <si>
    <t xml:space="preserve">SPS Erweiterungs-Modul</t>
  </si>
  <si>
    <t xml:space="preserve">005124</t>
  </si>
  <si>
    <t xml:space="preserve">Hilfskontakt zu LS</t>
  </si>
  <si>
    <t xml:space="preserve">005126</t>
  </si>
  <si>
    <t xml:space="preserve">Hilfskontakt AB 4P. zu K-Schütz</t>
  </si>
  <si>
    <t xml:space="preserve">005134</t>
  </si>
  <si>
    <t xml:space="preserve">Phönix DC Speisegerät 10A</t>
  </si>
  <si>
    <t xml:space="preserve">005135</t>
  </si>
  <si>
    <t xml:space="preserve">005137</t>
  </si>
  <si>
    <t xml:space="preserve">Schalter Kraus &amp; Naimer stand.</t>
  </si>
  <si>
    <t xml:space="preserve">005138</t>
  </si>
  <si>
    <t xml:space="preserve">Telemecanique Not-Aus Taster komplett</t>
  </si>
  <si>
    <t xml:space="preserve">005141</t>
  </si>
  <si>
    <t xml:space="preserve">Sicherungsklemme mit LED für 5x20</t>
  </si>
  <si>
    <t xml:space="preserve">005237</t>
  </si>
  <si>
    <t xml:space="preserve">005275</t>
  </si>
  <si>
    <t xml:space="preserve">Magnetspule Parker</t>
  </si>
  <si>
    <t xml:space="preserve">005340</t>
  </si>
  <si>
    <t xml:space="preserve">005353</t>
  </si>
  <si>
    <t xml:space="preserve">005368</t>
  </si>
  <si>
    <t xml:space="preserve">SPS USB-Schnittstellenadapter</t>
  </si>
  <si>
    <t xml:space="preserve">005399</t>
  </si>
  <si>
    <t xml:space="preserve">Pinsel klein/gross</t>
  </si>
  <si>
    <t xml:space="preserve">005404</t>
  </si>
  <si>
    <t xml:space="preserve">Sicherheits-Hilfsschütz</t>
  </si>
  <si>
    <t xml:space="preserve">005413</t>
  </si>
  <si>
    <t xml:space="preserve">005414</t>
  </si>
  <si>
    <t xml:space="preserve">Klemmbügel</t>
  </si>
  <si>
    <t xml:space="preserve">005416</t>
  </si>
  <si>
    <t xml:space="preserve">005436</t>
  </si>
  <si>
    <t xml:space="preserve">Eingangsfilter Absperrventil DRS</t>
  </si>
  <si>
    <t xml:space="preserve">005438</t>
  </si>
  <si>
    <t xml:space="preserve">Filterscheibe DRS</t>
  </si>
  <si>
    <t xml:space="preserve">005550</t>
  </si>
  <si>
    <t xml:space="preserve">Filterscheibe BT2000</t>
  </si>
  <si>
    <t xml:space="preserve">005551</t>
  </si>
  <si>
    <t xml:space="preserve">Filterhülse BT2000</t>
  </si>
  <si>
    <t xml:space="preserve">005638</t>
  </si>
  <si>
    <t xml:space="preserve">Netzwerkkabel 2.0m</t>
  </si>
  <si>
    <t xml:space="preserve">005643</t>
  </si>
  <si>
    <t xml:space="preserve">Netzwerkkabel 20.0m</t>
  </si>
  <si>
    <t xml:space="preserve">005697</t>
  </si>
  <si>
    <t xml:space="preserve">Stromversorgung 230AC/24VDC</t>
  </si>
  <si>
    <t xml:space="preserve">005752</t>
  </si>
  <si>
    <t xml:space="preserve">Stecker komplett zu Heizpatrone</t>
  </si>
  <si>
    <t xml:space="preserve">005787</t>
  </si>
  <si>
    <t xml:space="preserve">Eingangsfilter komplett</t>
  </si>
  <si>
    <t xml:space="preserve">005802</t>
  </si>
  <si>
    <t xml:space="preserve">Schütz AB 100-K05DJ10</t>
  </si>
  <si>
    <t xml:space="preserve">005807</t>
  </si>
  <si>
    <t xml:space="preserve">nur im Artikelstamm (Bestand 23.06.2026); Handlager</t>
  </si>
  <si>
    <t xml:space="preserve">100344</t>
  </si>
  <si>
    <t xml:space="preserve">Kugelhahn O2</t>
  </si>
  <si>
    <t xml:space="preserve">100355</t>
  </si>
  <si>
    <t xml:space="preserve">102478</t>
  </si>
  <si>
    <t xml:space="preserve">nur im Artikelstamm (Bestand 23.06.2026); Twin</t>
  </si>
  <si>
    <t xml:space="preserve">102923</t>
  </si>
  <si>
    <t xml:space="preserve">Heizplatte</t>
  </si>
  <si>
    <t xml:space="preserve">103030</t>
  </si>
  <si>
    <t xml:space="preserve">103032</t>
  </si>
  <si>
    <t xml:space="preserve">Isolationsplatte</t>
  </si>
  <si>
    <t xml:space="preserve">103493</t>
  </si>
  <si>
    <t xml:space="preserve">Heizpatrone, spritzwassergeschützt</t>
  </si>
  <si>
    <t xml:space="preserve">103571</t>
  </si>
  <si>
    <t xml:space="preserve">Kartenleser USB 3.0</t>
  </si>
  <si>
    <t xml:space="preserve">104054</t>
  </si>
  <si>
    <t xml:space="preserve">Inbus Einsatz SW10</t>
  </si>
  <si>
    <t xml:space="preserve">104055</t>
  </si>
  <si>
    <t xml:space="preserve">Inbus Einsatz SW12</t>
  </si>
  <si>
    <t xml:space="preserve">104056</t>
  </si>
  <si>
    <t xml:space="preserve">Inbus Einsatz SW14</t>
  </si>
  <si>
    <t xml:space="preserve">105427</t>
  </si>
  <si>
    <t xml:space="preserve">Distanzring</t>
  </si>
  <si>
    <t xml:space="preserve">105852</t>
  </si>
  <si>
    <t xml:space="preserve">106216</t>
  </si>
  <si>
    <t xml:space="preserve">Aufhängung</t>
  </si>
  <si>
    <t xml:space="preserve">106365</t>
  </si>
  <si>
    <t xml:space="preserve">Temperaturfühler PT100, einschraubbar</t>
  </si>
  <si>
    <t xml:space="preserve">106439</t>
  </si>
  <si>
    <t xml:space="preserve">106440</t>
  </si>
  <si>
    <t xml:space="preserve">Brenngasblock</t>
  </si>
  <si>
    <t xml:space="preserve">106441</t>
  </si>
  <si>
    <t xml:space="preserve">106442</t>
  </si>
  <si>
    <t xml:space="preserve">106456</t>
  </si>
  <si>
    <t xml:space="preserve">nur im Artikelstamm (Bestand 23.06.2026); Neu</t>
  </si>
  <si>
    <t xml:space="preserve">106498</t>
  </si>
  <si>
    <t xml:space="preserve">Platte N2-Ablass komplett</t>
  </si>
  <si>
    <t xml:space="preserve">106537</t>
  </si>
  <si>
    <t xml:space="preserve">106553</t>
  </si>
  <si>
    <t xml:space="preserve">106568</t>
  </si>
  <si>
    <t xml:space="preserve">106740</t>
  </si>
  <si>
    <t xml:space="preserve">Druckreglerkabel</t>
  </si>
  <si>
    <t xml:space="preserve">106793</t>
  </si>
  <si>
    <t xml:space="preserve">Magnetventil Grundsockel</t>
  </si>
  <si>
    <t xml:space="preserve">106982</t>
  </si>
  <si>
    <t xml:space="preserve">Ethernet Switch, 5 TP-RJ45-Ports</t>
  </si>
  <si>
    <t xml:space="preserve">nur im Artikelstamm (Bestand 23.06.2026); B&amp;R</t>
  </si>
  <si>
    <t xml:space="preserve">106983</t>
  </si>
  <si>
    <t xml:space="preserve">Ethernet Switch, 8 TP-RJ45-Ports</t>
  </si>
  <si>
    <t xml:space="preserve">106987</t>
  </si>
  <si>
    <t xml:space="preserve">Innentemperaturregler</t>
  </si>
  <si>
    <t xml:space="preserve">106995</t>
  </si>
  <si>
    <t xml:space="preserve">Leitungsschutzschalter 10kA, 2-polig</t>
  </si>
  <si>
    <t xml:space="preserve">107210</t>
  </si>
  <si>
    <t xml:space="preserve">107366</t>
  </si>
  <si>
    <t xml:space="preserve">107615</t>
  </si>
  <si>
    <t xml:space="preserve">Scheibe Vertikale Aufhängung SPGr</t>
  </si>
  <si>
    <t xml:space="preserve">107643</t>
  </si>
  <si>
    <t xml:space="preserve">107649</t>
  </si>
  <si>
    <t xml:space="preserve">Leitungsschutzschalter 3P+N</t>
  </si>
  <si>
    <t xml:space="preserve">107651</t>
  </si>
  <si>
    <t xml:space="preserve">Lasche</t>
  </si>
  <si>
    <t xml:space="preserve">107689</t>
  </si>
  <si>
    <t xml:space="preserve">Honbürste DN16</t>
  </si>
  <si>
    <t xml:space="preserve">107690</t>
  </si>
  <si>
    <t xml:space="preserve">Honbürste DN20</t>
  </si>
  <si>
    <t xml:space="preserve">107794</t>
  </si>
  <si>
    <t xml:space="preserve">Sicherungsklemme</t>
  </si>
  <si>
    <t xml:space="preserve">107856</t>
  </si>
  <si>
    <t xml:space="preserve">SN-Schild Luftkompressor AC200</t>
  </si>
  <si>
    <t xml:space="preserve">108006</t>
  </si>
  <si>
    <t xml:space="preserve">108144</t>
  </si>
  <si>
    <t xml:space="preserve">108163</t>
  </si>
  <si>
    <t xml:space="preserve">Ersatzteilset für Druckregler HSD-U15</t>
  </si>
  <si>
    <t xml:space="preserve">108447</t>
  </si>
  <si>
    <t xml:space="preserve">Radialventilator 8-pol</t>
  </si>
  <si>
    <t xml:space="preserve">108490</t>
  </si>
  <si>
    <t xml:space="preserve">Anschweissstück Swagelok 10mm</t>
  </si>
  <si>
    <t xml:space="preserve">108505</t>
  </si>
  <si>
    <t xml:space="preserve">108537</t>
  </si>
  <si>
    <t xml:space="preserve">108645</t>
  </si>
  <si>
    <t xml:space="preserve">Drucktransmitterkabel SPC800 - VP</t>
  </si>
  <si>
    <t xml:space="preserve">108648</t>
  </si>
  <si>
    <t xml:space="preserve">Flexhon 320</t>
  </si>
  <si>
    <t xml:space="preserve">108649</t>
  </si>
  <si>
    <t xml:space="preserve">109188</t>
  </si>
  <si>
    <t xml:space="preserve">001037</t>
  </si>
  <si>
    <t xml:space="preserve">Schraubensicherung hochfest</t>
  </si>
  <si>
    <t xml:space="preserve">001198</t>
  </si>
  <si>
    <t xml:space="preserve">Ablösbare Markierungspunkte orange</t>
  </si>
  <si>
    <t xml:space="preserve">001201</t>
  </si>
  <si>
    <t xml:space="preserve">Holzkiste SPGr10 + SPC800 See</t>
  </si>
  <si>
    <t xml:space="preserve">001202</t>
  </si>
  <si>
    <t xml:space="preserve">Holzkiste SPGr16 + SPC800 See</t>
  </si>
  <si>
    <t xml:space="preserve">002059</t>
  </si>
  <si>
    <t xml:space="preserve">Windeisen</t>
  </si>
  <si>
    <t xml:space="preserve">002066</t>
  </si>
  <si>
    <t xml:space="preserve">Markierspray</t>
  </si>
  <si>
    <t xml:space="preserve">005041</t>
  </si>
  <si>
    <t xml:space="preserve">Ringwellschlauch O2/CH4</t>
  </si>
  <si>
    <t xml:space="preserve">005049</t>
  </si>
  <si>
    <t xml:space="preserve">005064</t>
  </si>
  <si>
    <t xml:space="preserve">005093</t>
  </si>
  <si>
    <t xml:space="preserve">SPS Kabel GT15 (GT16) zu Konverter</t>
  </si>
  <si>
    <t xml:space="preserve">005096</t>
  </si>
  <si>
    <t xml:space="preserve">SPS Analog-Modul</t>
  </si>
  <si>
    <t xml:space="preserve">005098</t>
  </si>
  <si>
    <t xml:space="preserve">JUMPFLEX Messumformer</t>
  </si>
  <si>
    <t xml:space="preserve">005099</t>
  </si>
  <si>
    <t xml:space="preserve">SPS RS485-Schnittstellenadapter</t>
  </si>
  <si>
    <t xml:space="preserve">005127</t>
  </si>
  <si>
    <t xml:space="preserve">Hilfsschütz AB 700-Kxxx 24VDC</t>
  </si>
  <si>
    <t xml:space="preserve">005146</t>
  </si>
  <si>
    <t xml:space="preserve">Reihenklemme gross</t>
  </si>
  <si>
    <t xml:space="preserve">005147</t>
  </si>
  <si>
    <t xml:space="preserve">Distanzplatte zu Reihenklemme gross</t>
  </si>
  <si>
    <t xml:space="preserve">005153</t>
  </si>
  <si>
    <t xml:space="preserve">005160</t>
  </si>
  <si>
    <t xml:space="preserve">005265</t>
  </si>
  <si>
    <t xml:space="preserve">005270</t>
  </si>
  <si>
    <t xml:space="preserve">Spulen-Montageset Parker</t>
  </si>
  <si>
    <t xml:space="preserve">005272</t>
  </si>
  <si>
    <t xml:space="preserve">PUR-PUR-Kabel</t>
  </si>
  <si>
    <t xml:space="preserve">nur im Artikelstamm (Bestand 23.06.2026); Überbestand; grosser Artikel &amp; nicht im KTL</t>
  </si>
  <si>
    <t xml:space="preserve">005301</t>
  </si>
  <si>
    <t xml:space="preserve">005382</t>
  </si>
  <si>
    <t xml:space="preserve">005408</t>
  </si>
  <si>
    <t xml:space="preserve">Magnetventil 4mm Spülluft</t>
  </si>
  <si>
    <t xml:space="preserve">005420</t>
  </si>
  <si>
    <t xml:space="preserve">005421</t>
  </si>
  <si>
    <t xml:space="preserve">005426</t>
  </si>
  <si>
    <t xml:space="preserve">Leitungsregler LM51</t>
  </si>
  <si>
    <t xml:space="preserve">005427</t>
  </si>
  <si>
    <t xml:space="preserve">005428</t>
  </si>
  <si>
    <t xml:space="preserve">005429</t>
  </si>
  <si>
    <t xml:space="preserve">005430</t>
  </si>
  <si>
    <t xml:space="preserve">005431</t>
  </si>
  <si>
    <t xml:space="preserve">005432</t>
  </si>
  <si>
    <t xml:space="preserve">Anschlussstück O2</t>
  </si>
  <si>
    <t xml:space="preserve">005433</t>
  </si>
  <si>
    <t xml:space="preserve">Anschlussstück CH4</t>
  </si>
  <si>
    <t xml:space="preserve">005434</t>
  </si>
  <si>
    <t xml:space="preserve">Anschlussstück N2</t>
  </si>
  <si>
    <t xml:space="preserve">005454</t>
  </si>
  <si>
    <t xml:space="preserve">005487</t>
  </si>
  <si>
    <t xml:space="preserve">Steuerkabel zu Drucksensoren</t>
  </si>
  <si>
    <t xml:space="preserve">005488</t>
  </si>
  <si>
    <t xml:space="preserve">Steuerkabel zu Blitzleuchte</t>
  </si>
  <si>
    <t xml:space="preserve">005493</t>
  </si>
  <si>
    <t xml:space="preserve">005494</t>
  </si>
  <si>
    <t xml:space="preserve">005547</t>
  </si>
  <si>
    <t xml:space="preserve">Drucktransmitter Wika O2</t>
  </si>
  <si>
    <t xml:space="preserve">005570</t>
  </si>
  <si>
    <t xml:space="preserve">Dichtung/CU</t>
  </si>
  <si>
    <t xml:space="preserve">005577</t>
  </si>
  <si>
    <t xml:space="preserve">Drucktransmitter Wika CH4</t>
  </si>
  <si>
    <t xml:space="preserve">005578</t>
  </si>
  <si>
    <t xml:space="preserve">Drucktransmitter Wika</t>
  </si>
  <si>
    <t xml:space="preserve">005579</t>
  </si>
  <si>
    <t xml:space="preserve">005591</t>
  </si>
  <si>
    <t xml:space="preserve">005598</t>
  </si>
  <si>
    <t xml:space="preserve">Telemecanique Taster / Lampe rot</t>
  </si>
  <si>
    <t xml:space="preserve">005600</t>
  </si>
  <si>
    <t xml:space="preserve">Zwillings-Aderendhülse isoliert</t>
  </si>
  <si>
    <t xml:space="preserve">005620</t>
  </si>
  <si>
    <t xml:space="preserve">Steuerkabel</t>
  </si>
  <si>
    <t xml:space="preserve">005630</t>
  </si>
  <si>
    <t xml:space="preserve">Aderendhülse in Streudose</t>
  </si>
  <si>
    <t xml:space="preserve">005653</t>
  </si>
  <si>
    <t xml:space="preserve">Blindstopfen mit Mutter</t>
  </si>
  <si>
    <t xml:space="preserve">005654</t>
  </si>
  <si>
    <t xml:space="preserve">Kabelverschraubung Progress</t>
  </si>
  <si>
    <t xml:space="preserve">005655</t>
  </si>
  <si>
    <t xml:space="preserve">005666</t>
  </si>
  <si>
    <t xml:space="preserve">005667</t>
  </si>
  <si>
    <t xml:space="preserve">005680</t>
  </si>
  <si>
    <t xml:space="preserve">Kranbahn-Stopper</t>
  </si>
  <si>
    <t xml:space="preserve">005685</t>
  </si>
  <si>
    <t xml:space="preserve">Adapter für Schlauchprüfung</t>
  </si>
  <si>
    <t xml:space="preserve">005718</t>
  </si>
  <si>
    <t xml:space="preserve">Vebindungsnippel</t>
  </si>
  <si>
    <t xml:space="preserve">005751</t>
  </si>
  <si>
    <t xml:space="preserve">005781</t>
  </si>
  <si>
    <t xml:space="preserve">Bolzenklemmen</t>
  </si>
  <si>
    <t xml:space="preserve">005800</t>
  </si>
  <si>
    <t xml:space="preserve">Gerade Aufschraubverschraubung</t>
  </si>
  <si>
    <t xml:space="preserve">005810</t>
  </si>
  <si>
    <t xml:space="preserve">005811</t>
  </si>
  <si>
    <t xml:space="preserve">100322</t>
  </si>
  <si>
    <t xml:space="preserve">100351</t>
  </si>
  <si>
    <t xml:space="preserve">Filterelementsatz für Filter Serien</t>
  </si>
  <si>
    <t xml:space="preserve">100373</t>
  </si>
  <si>
    <t xml:space="preserve">100396</t>
  </si>
  <si>
    <t xml:space="preserve">100425</t>
  </si>
  <si>
    <t xml:space="preserve">100685</t>
  </si>
  <si>
    <t xml:space="preserve">101491</t>
  </si>
  <si>
    <t xml:space="preserve">Hülse</t>
  </si>
  <si>
    <t xml:space="preserve">101519</t>
  </si>
  <si>
    <t xml:space="preserve">Quetschhülse</t>
  </si>
  <si>
    <t xml:space="preserve">101612</t>
  </si>
  <si>
    <t xml:space="preserve">Verdrahtungskanal</t>
  </si>
  <si>
    <t xml:space="preserve">103190</t>
  </si>
  <si>
    <t xml:space="preserve">Wagen komplett</t>
  </si>
  <si>
    <t xml:space="preserve">103498</t>
  </si>
  <si>
    <t xml:space="preserve">Zwischenplatte TwinXL</t>
  </si>
  <si>
    <t xml:space="preserve">103683</t>
  </si>
  <si>
    <t xml:space="preserve">Kranbahn-Profil (PB)</t>
  </si>
  <si>
    <t xml:space="preserve">103727</t>
  </si>
  <si>
    <t xml:space="preserve">103728</t>
  </si>
  <si>
    <t xml:space="preserve">103770</t>
  </si>
  <si>
    <t xml:space="preserve">Ablassbogen</t>
  </si>
  <si>
    <t xml:space="preserve">103787</t>
  </si>
  <si>
    <t xml:space="preserve">Druckregel-Strecke</t>
  </si>
  <si>
    <t xml:space="preserve">104246</t>
  </si>
  <si>
    <t xml:space="preserve">Klappe</t>
  </si>
  <si>
    <t xml:space="preserve">105259</t>
  </si>
  <si>
    <t xml:space="preserve">105347</t>
  </si>
  <si>
    <t xml:space="preserve">105373</t>
  </si>
  <si>
    <t xml:space="preserve">Blende Ø1.2 / M6</t>
  </si>
  <si>
    <t xml:space="preserve">105460</t>
  </si>
  <si>
    <t xml:space="preserve">GDS Flansch SPGr10</t>
  </si>
  <si>
    <t xml:space="preserve">105983</t>
  </si>
  <si>
    <t xml:space="preserve">GDS Flansch SPGr16</t>
  </si>
  <si>
    <t xml:space="preserve">106183</t>
  </si>
  <si>
    <t xml:space="preserve">SPGr16</t>
  </si>
  <si>
    <t xml:space="preserve">106582</t>
  </si>
  <si>
    <t xml:space="preserve">nur im Artikelstamm (Bestand 23.06.2026); grosser Artikel &amp; nicht im KTL</t>
  </si>
  <si>
    <t xml:space="preserve">106848</t>
  </si>
  <si>
    <t xml:space="preserve">107000</t>
  </si>
  <si>
    <t xml:space="preserve">Leuchtdrucktaster, 22 mm, rund</t>
  </si>
  <si>
    <t xml:space="preserve">107064</t>
  </si>
  <si>
    <t xml:space="preserve">107140</t>
  </si>
  <si>
    <t xml:space="preserve">Erdungskabel</t>
  </si>
  <si>
    <t xml:space="preserve">nur im Artikelstamm (Bestand 23.06.2026); Neu; nicht im KTL vorhanden</t>
  </si>
  <si>
    <t xml:space="preserve">107173</t>
  </si>
  <si>
    <t xml:space="preserve">Blende Ø1.3 / M6</t>
  </si>
  <si>
    <t xml:space="preserve">107412</t>
  </si>
  <si>
    <t xml:space="preserve">107414</t>
  </si>
  <si>
    <t xml:space="preserve">107674</t>
  </si>
  <si>
    <t xml:space="preserve">107738</t>
  </si>
  <si>
    <t xml:space="preserve">nur im Artikelstamm (Bestand 23.06.2026); Neuer Art.</t>
  </si>
  <si>
    <t xml:space="preserve">107955</t>
  </si>
  <si>
    <t xml:space="preserve">Hochdruck-Ganzmetallschlauch für Luft</t>
  </si>
  <si>
    <t xml:space="preserve">108448</t>
  </si>
  <si>
    <t xml:space="preserve">Ventilatorkabel mit Stecker 8-pol</t>
  </si>
  <si>
    <t xml:space="preserve">nur im Artikelstamm (Bestand 23.06.2026); nicht im KTL vorhanden</t>
  </si>
  <si>
    <t xml:space="preserve">108522</t>
  </si>
  <si>
    <t xml:space="preserve">108526</t>
  </si>
  <si>
    <t xml:space="preserve">108539</t>
  </si>
  <si>
    <t xml:space="preserve">108673</t>
  </si>
  <si>
    <t xml:space="preserve">Kabel</t>
  </si>
  <si>
    <t xml:space="preserve">108767</t>
  </si>
  <si>
    <t xml:space="preserve">108770</t>
  </si>
  <si>
    <t xml:space="preserve">108778</t>
  </si>
  <si>
    <t xml:space="preserve">108883</t>
  </si>
  <si>
    <t xml:space="preserve">109210</t>
  </si>
  <si>
    <t xml:space="preserve">109211</t>
  </si>
  <si>
    <t xml:space="preserve">ALT106813</t>
  </si>
  <si>
    <t xml:space="preserve">ALT106836</t>
  </si>
  <si>
    <t xml:space="preserve">MESSEGERAET SPGR16</t>
  </si>
  <si>
    <t xml:space="preserve">SPGr16 für Ausstellung</t>
  </si>
  <si>
    <t xml:space="preserve">104272</t>
  </si>
  <si>
    <t xml:space="preserve">TMV Spule O2, 100V - 110V</t>
  </si>
  <si>
    <t xml:space="preserve">104214</t>
  </si>
  <si>
    <t xml:space="preserve">TMV Spule CH4, 100V - 110V</t>
  </si>
  <si>
    <t xml:space="preserve">104273</t>
  </si>
  <si>
    <t xml:space="preserve">107069</t>
  </si>
  <si>
    <t xml:space="preserve">Rohr Anschweissstück DN80</t>
  </si>
  <si>
    <t xml:space="preserve">108503</t>
  </si>
  <si>
    <t xml:space="preserve">Steuerschrankkühlung EG101-DF</t>
  </si>
  <si>
    <t xml:space="preserve">102525</t>
  </si>
  <si>
    <t xml:space="preserve">107067</t>
  </si>
  <si>
    <t xml:space="preserve">104275</t>
  </si>
  <si>
    <t xml:space="preserve">TMV Spule O2, 230V</t>
  </si>
  <si>
    <t xml:space="preserve">109198</t>
  </si>
  <si>
    <t xml:space="preserve">107066</t>
  </si>
  <si>
    <t xml:space="preserve">005544</t>
  </si>
  <si>
    <t xml:space="preserve">108644</t>
  </si>
  <si>
    <t xml:space="preserve">108156</t>
  </si>
  <si>
    <t xml:space="preserve">Zwischenflansch SPGr16</t>
  </si>
  <si>
    <t xml:space="preserve">108766</t>
  </si>
  <si>
    <t xml:space="preserve">107068</t>
  </si>
  <si>
    <t xml:space="preserve">106908</t>
  </si>
  <si>
    <t xml:space="preserve">107617</t>
  </si>
  <si>
    <t xml:space="preserve">Holm Vertikale Aufhängung SPGr10</t>
  </si>
  <si>
    <t xml:space="preserve">103908</t>
  </si>
  <si>
    <t xml:space="preserve">Blinddeckel für Kessel, DN125 / PN16</t>
  </si>
  <si>
    <t xml:space="preserve">107748</t>
  </si>
  <si>
    <t xml:space="preserve">Systemleuchte LED</t>
  </si>
  <si>
    <t xml:space="preserve">107751</t>
  </si>
  <si>
    <t xml:space="preserve">Holm Vertikale Aufhängung SPGr16</t>
  </si>
  <si>
    <t xml:space="preserve">107752</t>
  </si>
  <si>
    <t xml:space="preserve">Träger Vertikale Aufhängung SPGr16</t>
  </si>
  <si>
    <t xml:space="preserve">103909</t>
  </si>
  <si>
    <t xml:space="preserve">Blinddeckel für Kessel, DN200 / PN6</t>
  </si>
  <si>
    <t xml:space="preserve">107618</t>
  </si>
  <si>
    <t xml:space="preserve">Träger Vertikale Aufhängung SPGr10</t>
  </si>
  <si>
    <t xml:space="preserve">103449</t>
  </si>
  <si>
    <t xml:space="preserve">005675</t>
  </si>
  <si>
    <t xml:space="preserve">108765</t>
  </si>
  <si>
    <t xml:space="preserve">002010</t>
  </si>
  <si>
    <t xml:space="preserve">Bolzenausdrehersatz</t>
  </si>
  <si>
    <t xml:space="preserve">107670</t>
  </si>
  <si>
    <t xml:space="preserve">Deckel SPGr10</t>
  </si>
  <si>
    <t xml:space="preserve">107841</t>
  </si>
  <si>
    <t xml:space="preserve">109092</t>
  </si>
  <si>
    <t xml:space="preserve">005564</t>
  </si>
  <si>
    <t xml:space="preserve">Vorfilter DRS komplett</t>
  </si>
  <si>
    <t xml:space="preserve">108546</t>
  </si>
  <si>
    <t xml:space="preserve">Miniatur-Leistungsschalter</t>
  </si>
  <si>
    <t xml:space="preserve">108547</t>
  </si>
  <si>
    <t xml:space="preserve">Leistungsschalter</t>
  </si>
  <si>
    <t xml:space="preserve">108548</t>
  </si>
  <si>
    <t xml:space="preserve">005315</t>
  </si>
  <si>
    <t xml:space="preserve">005388</t>
  </si>
  <si>
    <t xml:space="preserve">005111</t>
  </si>
  <si>
    <t xml:space="preserve">SPS Puffer-Batterie</t>
  </si>
  <si>
    <t xml:space="preserve">108271</t>
  </si>
  <si>
    <t xml:space="preserve">Wartungskleber AC215</t>
  </si>
  <si>
    <t xml:space="preserve">108874</t>
  </si>
  <si>
    <t xml:space="preserve">Einrastschildchen -A53.1</t>
  </si>
  <si>
    <t xml:space="preserve">002027</t>
  </si>
  <si>
    <t xml:space="preserve">107860</t>
  </si>
  <si>
    <t xml:space="preserve">Papierfiltereinsatz</t>
  </si>
  <si>
    <t xml:space="preserve">001196</t>
  </si>
  <si>
    <t xml:space="preserve">005136</t>
  </si>
  <si>
    <t xml:space="preserve">Schalter Siemens stand.</t>
  </si>
  <si>
    <t xml:space="preserve">nur im Artikelstamm (Bestand 23.06.2026); i.o</t>
  </si>
  <si>
    <t xml:space="preserve">005571</t>
  </si>
  <si>
    <t xml:space="preserve">Filtereinsatz F10</t>
  </si>
  <si>
    <t xml:space="preserve">107840</t>
  </si>
  <si>
    <t xml:space="preserve">107215</t>
  </si>
  <si>
    <t xml:space="preserve">108504</t>
  </si>
  <si>
    <t xml:space="preserve">Türpositionsschalter</t>
  </si>
  <si>
    <t xml:space="preserve">107712</t>
  </si>
  <si>
    <t xml:space="preserve">Local / Remote switch</t>
  </si>
  <si>
    <t xml:space="preserve">107299</t>
  </si>
  <si>
    <t xml:space="preserve">Bohrerset</t>
  </si>
  <si>
    <t xml:space="preserve">107452</t>
  </si>
  <si>
    <t xml:space="preserve">Taschenlampe 320 lm</t>
  </si>
  <si>
    <t xml:space="preserve">001140</t>
  </si>
  <si>
    <t xml:space="preserve">Ablösbare Markierungspunkte gelb</t>
  </si>
  <si>
    <t xml:space="preserve">005295</t>
  </si>
  <si>
    <t xml:space="preserve">Dichtscheibe zu Rohrverschraubung</t>
  </si>
  <si>
    <t xml:space="preserve">102898</t>
  </si>
  <si>
    <t xml:space="preserve">Sicherungsscheibe Nord-Lock X-series</t>
  </si>
  <si>
    <t xml:space="preserve">103440</t>
  </si>
  <si>
    <t xml:space="preserve">103539</t>
  </si>
  <si>
    <t xml:space="preserve">106135</t>
  </si>
  <si>
    <t xml:space="preserve">Dichtscheibe zu Adapter</t>
  </si>
  <si>
    <t xml:space="preserve">108189</t>
  </si>
  <si>
    <t xml:space="preserve">Typenschild AC215</t>
  </si>
  <si>
    <t xml:space="preserve">108190</t>
  </si>
  <si>
    <t xml:space="preserve">Typenschild SU42-2</t>
  </si>
  <si>
    <t xml:space="preserve">103441</t>
  </si>
  <si>
    <t xml:space="preserve">103442</t>
  </si>
  <si>
    <t xml:space="preserve">106932</t>
  </si>
  <si>
    <t xml:space="preserve">CompactFlash</t>
  </si>
  <si>
    <t xml:space="preserve">005425</t>
  </si>
  <si>
    <t xml:space="preserve">Gerade Einschraubverschraubung</t>
  </si>
  <si>
    <t xml:space="preserve">109072</t>
  </si>
  <si>
    <t xml:space="preserve">005356</t>
  </si>
  <si>
    <t xml:space="preserve">Eingangsadapter</t>
  </si>
  <si>
    <t xml:space="preserve">103396</t>
  </si>
  <si>
    <t xml:space="preserve">104057</t>
  </si>
  <si>
    <t xml:space="preserve">Inbus Einsatz SW8</t>
  </si>
  <si>
    <t xml:space="preserve">107127</t>
  </si>
  <si>
    <t xml:space="preserve">Blende Ø0.7 M10</t>
  </si>
  <si>
    <t xml:space="preserve">002034</t>
  </si>
  <si>
    <t xml:space="preserve">005298</t>
  </si>
  <si>
    <t xml:space="preserve">005422</t>
  </si>
  <si>
    <t xml:space="preserve">107005</t>
  </si>
  <si>
    <t xml:space="preserve">LED-Modul mit LED AC/DC 24V, weiss</t>
  </si>
  <si>
    <t xml:space="preserve">107006</t>
  </si>
  <si>
    <t xml:space="preserve">LED-Modul mit LED AC 230V weiss</t>
  </si>
  <si>
    <t xml:space="preserve">107743</t>
  </si>
  <si>
    <t xml:space="preserve">108427</t>
  </si>
  <si>
    <t xml:space="preserve">Halter Vertikale Aufhängung SPGr10</t>
  </si>
  <si>
    <t xml:space="preserve">108426</t>
  </si>
  <si>
    <t xml:space="preserve">Halter Vertikale Aufhängung SPGr16</t>
  </si>
  <si>
    <t xml:space="preserve">108768</t>
  </si>
  <si>
    <t xml:space="preserve">nur im Liftbericht (nicht im Kennzahlen-Auszug)</t>
  </si>
  <si>
    <t xml:space="preserve">NEU</t>
  </si>
  <si>
    <t xml:space="preserve">Parameter</t>
  </si>
  <si>
    <t xml:space="preserve">v3-bestand</t>
  </si>
  <si>
    <t xml:space="preserve">Gelbe Felder dürfen geändert werden. Alles andere rechnet automatisch.</t>
  </si>
  <si>
    <t xml:space="preserve">Lagerlifte</t>
  </si>
  <si>
    <t xml:space="preserve">Lift</t>
  </si>
  <si>
    <t xml:space="preserve">Name</t>
  </si>
  <si>
    <t xml:space="preserve">Typ</t>
  </si>
  <si>
    <t xml:space="preserve">Anzahl Tablare</t>
  </si>
  <si>
    <t xml:space="preserve">Tablar Breite mm</t>
  </si>
  <si>
    <t xml:space="preserve">Tablar Tiefe mm</t>
  </si>
  <si>
    <t xml:space="preserve">Lifthöhe mm</t>
  </si>
  <si>
    <t xml:space="preserve">max. Ladehöhe je Tablar mm (optional)</t>
  </si>
  <si>
    <t xml:space="preserve">Tablarfläche m²</t>
  </si>
  <si>
    <t xml:space="preserve">Kapazität m²</t>
  </si>
  <si>
    <t xml:space="preserve">Belegung heute gemessen % (leer = schätzen)</t>
  </si>
  <si>
    <t xml:space="preserve">ausfahrbar, schwere Teile</t>
  </si>
  <si>
    <t xml:space="preserve">ausfahrbar, mittelschwere Teile</t>
  </si>
  <si>
    <t xml:space="preserve">KTL + PAL (mit Lift 3)</t>
  </si>
  <si>
    <t xml:space="preserve">nicht ausfahrbar, Kleinteile</t>
  </si>
  <si>
    <t xml:space="preserve">KTL + PAL (mit Lift 2)</t>
  </si>
  <si>
    <t xml:space="preserve">Ampel Auslastung</t>
  </si>
  <si>
    <t xml:space="preserve">Kontrolle Datenstand</t>
  </si>
  <si>
    <t xml:space="preserve">grün unter</t>
  </si>
  <si>
    <t xml:space="preserve">dazwischen orange</t>
  </si>
  <si>
    <t xml:space="preserve">H4 «Total Bestandswert» im Export (= SUM(H7:H1440))</t>
  </si>
  <si>
    <t xml:space="preserve">rot über</t>
  </si>
  <si>
    <t xml:space="preserve">Summe Bestandswert Export, alle Zeilen (inkl. negative)</t>
  </si>
  <si>
    <t xml:space="preserve">Summe Bestandswert Export, nur Artikel mit Bestand &gt; 0</t>
  </si>
  <si>
    <t xml:space="preserve">Verbrauchszeitraum</t>
  </si>
  <si>
    <t xml:space="preserve">Ist-Wert im Tool (Ist-Bestand × Preis)</t>
  </si>
  <si>
    <t xml:space="preserve">Verbrauch von</t>
  </si>
  <si>
    <t xml:space="preserve">Export-Filter «Auswertung Verbrauch»!B2 = 2025</t>
  </si>
  <si>
    <t xml:space="preserve">Artikel mit negativer Bestandsmenge im Export</t>
  </si>
  <si>
    <t xml:space="preserve">Verbrauch bis</t>
  </si>
  <si>
    <t xml:space="preserve">Artikel im Tool (ohne neue)</t>
  </si>
  <si>
    <t xml:space="preserve">Anzahl Monate</t>
  </si>
  <si>
    <t xml:space="preserve">Artikel im Liftbericht / davon nicht im Kennzahlen-Auszug</t>
  </si>
  <si>
    <t xml:space="preserve">Faktor auf 12 Monate</t>
  </si>
  <si>
    <t xml:space="preserve">Ist-Belegung Lift 1 lt. Tool (Kontrolle gegen L5)</t>
  </si>
  <si>
    <t xml:space="preserve">Lager in Zukunft verwenden</t>
  </si>
  <si>
    <t xml:space="preserve">Ja</t>
  </si>
  <si>
    <t xml:space="preserve">Ja = Lift nach Spalte «Lager in Zukunft» (Tabelle I34). Leer = Regel nach Hauptlager.</t>
  </si>
  <si>
    <t xml:space="preserve">Ergänzt aus Artikelstamm (Bestand, nicht im Kennzahlen-Auszug)</t>
  </si>
  <si>
    <t xml:space="preserve">Ist-Bestand aus</t>
  </si>
  <si>
    <t xml:space="preserve">Jahresanfang 2025 + Export</t>
  </si>
  <si>
    <t xml:space="preserve">Export (Bestandsmenge) = Spalte G wie geliefert, negativ = 0.  «Jahresanfang 2025 + Export» = Spalte T + Spalte G (falls G die Bewegung seit 01.01.2025 ist).</t>
  </si>
  <si>
    <t xml:space="preserve">Optionen Tablar-Berechnung</t>
  </si>
  <si>
    <t xml:space="preserve">Liftbericht verwenden</t>
  </si>
  <si>
    <t xml:space="preserve">Ja = für Artikel im Liftbericht gelten dessen Bestand und Lift. Die Fachflächen werden so verteilt, dass «Ist» der gemessenen Belegung (Spalte L) entspricht.</t>
  </si>
  <si>
    <t xml:space="preserve">Tablar-Ausnutzung (Gebinde passen nie lückenlos; 90 % = 10 % Reserve)</t>
  </si>
  <si>
    <t xml:space="preserve">Ziel-LU Auswahl</t>
  </si>
  <si>
    <t xml:space="preserve">Varianten (nicht ändern)</t>
  </si>
  <si>
    <t xml:space="preserve">Gebinde je Tablar berechnen mit Tablarmass von Lift</t>
  </si>
  <si>
    <t xml:space="preserve">Stapeln (Lagen je Gebinde) und manuelle Anzahl je Tablar: Blatt «Gebinde-Kategorie»</t>
  </si>
  <si>
    <t xml:space="preserve">Grobe Schätzung lose Artikel (ohne Gebinde, KTL/PAL)</t>
  </si>
  <si>
    <t xml:space="preserve">Klasse</t>
  </si>
  <si>
    <t xml:space="preserve">Schätz-Gebinde</t>
  </si>
  <si>
    <t xml:space="preserve">Typische Artikel</t>
  </si>
  <si>
    <t xml:space="preserve">Schrauben, Muttern, Kabel, Ventile, Sensoren, Etiketten … (Eurobox 400×300, 20 Stk)</t>
  </si>
  <si>
    <t xml:space="preserve">Panels, Gehäuse, Module, Schläuche, Sets, Service-Kits … (Eurobox 600×400, 4 Stk)</t>
  </si>
  <si>
    <t xml:space="preserve">Holzkisten, Rahmen, Rohre, Profile, Wagen, Kartons, Füllmaterial … (Trennblech 1200×800, 2 Stk)</t>
  </si>
  <si>
    <t xml:space="preserve">Zuordnung je Artikel: Blatt «Artikel», Spalte «Schätzklasse lose» (Vorschlag aus der Bezeichnung, änderbar). Eigene Werte in «Gebindekategorie neu» oder «Tablare lose» haben Vorrang.</t>
  </si>
  <si>
    <t xml:space="preserve">Zuordnung Hauptlager → Lift  (1 / 2 / 3 / 2+3 / Nein)</t>
  </si>
  <si>
    <t xml:space="preserve">Zuordnung Gebinde → Lift (nur Liftgruppe 2+3)</t>
  </si>
  <si>
    <t xml:space="preserve">Zuordnung «Lager in Zukunft» → Lift  (1 / 2 / 3 / 2+3 / Nein)</t>
  </si>
  <si>
    <t xml:space="preserve">«Nein» = zählt nicht zu den Liften (Zeile «Nicht im Lift»). ENTSORGEN!/DUMMY standardmässig «Nein».</t>
  </si>
  <si>
    <t xml:space="preserve">Bemerkung «grosser Artikel …» im Artikelstamm → immer Lift 2</t>
  </si>
  <si>
    <t xml:space="preserve">Tablare je loser Artikel (Startwert)</t>
  </si>
  <si>
    <t xml:space="preserve">Gebinde</t>
  </si>
  <si>
    <t xml:space="preserve">2+3</t>
  </si>
  <si>
    <t xml:space="preserve">Nein</t>
  </si>
  <si>
    <t xml:space="preserve">Nicht NLZ</t>
  </si>
  <si>
    <t xml:space="preserve">GK</t>
  </si>
  <si>
    <t xml:space="preserve">VERPAC</t>
  </si>
  <si>
    <t xml:space="preserve">GERAET</t>
  </si>
  <si>
    <t xml:space="preserve">ENTSORGEN!</t>
  </si>
  <si>
    <t xml:space="preserve">S73</t>
  </si>
  <si>
    <t xml:space="preserve">DUMMY</t>
  </si>
  <si>
    <t xml:space="preserve">S83</t>
  </si>
  <si>
    <t xml:space="preserve">P20</t>
  </si>
  <si>
    <t xml:space="preserve">P21</t>
  </si>
  <si>
    <t xml:space="preserve">P22</t>
  </si>
  <si>
    <t xml:space="preserve">P23</t>
  </si>
  <si>
    <t xml:space="preserve">P24</t>
  </si>
  <si>
    <t xml:space="preserve">P25</t>
  </si>
  <si>
    <t xml:space="preserve">Neue Artikel</t>
  </si>
  <si>
    <t xml:space="preserve">Bis 100 Artikel erfassen. Sie werden im Blatt «Artikel» (unterste Zeilen) automatisch mitgerechnet und als «Neu» markiert.</t>
  </si>
  <si>
    <t xml:space="preserve">Beispiel: 112345 | Dichtung DN50 | 120 | 0 | 10 | 50 | 4.20 | S41 | 25 | 3   (Lift leer = Vorschlag nach Gebinde)</t>
  </si>
  <si>
    <t xml:space="preserve">erwarteter Jahresverbrauch</t>
  </si>
  <si>
    <t xml:space="preserve">Gebindekategorie (leer = lose)</t>
  </si>
  <si>
    <t xml:space="preserve">Lift (1/2/3/Aussen)</t>
  </si>
  <si>
    <t xml:space="preserve">Gebinde-Kategorie</t>
  </si>
  <si>
    <t xml:space="preserve">Masse in cm (gelb). Stellmass = Aussenmass auf dem Tablar in mm. Gebinde je Tablar = beste Anordnung (längs/quer) auf dem Tablar × Lagen. Manuelle Anzahl je Tablar überschreibt die Berechnung. Neue Kategorien unten ergänzen.</t>
  </si>
  <si>
    <t xml:space="preserve">Länge cm</t>
  </si>
  <si>
    <t xml:space="preserve">Breite cm</t>
  </si>
  <si>
    <t xml:space="preserve">Höhe cm</t>
  </si>
  <si>
    <t xml:space="preserve">Grundfläche m²</t>
  </si>
  <si>
    <t xml:space="preserve">Volumen m³</t>
  </si>
  <si>
    <t xml:space="preserve">Stellmass L mm</t>
  </si>
  <si>
    <t xml:space="preserve">Stellmass B mm</t>
  </si>
  <si>
    <t xml:space="preserve">Lagen (stapeln)</t>
  </si>
  <si>
    <t xml:space="preserve">Gebinde je Tablar (berechnet)</t>
  </si>
  <si>
    <t xml:space="preserve">Gebinde je Tablar (manuell)</t>
  </si>
  <si>
    <t xml:space="preserve">Gebinde je Tablar (wirksam)</t>
  </si>
  <si>
    <t xml:space="preserve">BITO 117 H8 4er Teilung</t>
  </si>
  <si>
    <t xml:space="preserve">BITO 117 H8 2er Teilung</t>
  </si>
  <si>
    <t xml:space="preserve">BITO 156 H9 2er Teilung</t>
  </si>
  <si>
    <t xml:space="preserve">BITO 156 H9 1er Teilung</t>
  </si>
  <si>
    <t xml:space="preserve">Eurobox 300 x 200 x 120mm</t>
  </si>
  <si>
    <t xml:space="preserve">Eurobox 400 x 300 x 120mm</t>
  </si>
  <si>
    <t xml:space="preserve">Eurobox 400 x 300 x 220mm</t>
  </si>
  <si>
    <t xml:space="preserve">Eurobox 600 x 400 x 120mm</t>
  </si>
  <si>
    <t xml:space="preserve">Eurobox 600 x 400 x 220mm</t>
  </si>
  <si>
    <t xml:space="preserve">Eurobox 600 x 400 x 320mm</t>
  </si>
  <si>
    <t xml:space="preserve">Trennblech 800 x 600 x 200</t>
  </si>
  <si>
    <t xml:space="preserve">Trennblech 800 x 600 x 400</t>
  </si>
  <si>
    <t xml:space="preserve">Trennblech 800 x 600 x 600</t>
  </si>
  <si>
    <t xml:space="preserve">Trennblech 1200 x 800 x 200mm</t>
  </si>
  <si>
    <t xml:space="preserve">Trennblech 1200 x 800 x 400mm</t>
  </si>
  <si>
    <t xml:space="preserve">Trennblech 1200 x 800 x 600mm</t>
  </si>
  <si>
    <t xml:space="preserve">Euro-Palett 1/2 Rahmen, 20 cm hoch</t>
  </si>
  <si>
    <t xml:space="preserve">Euro-Palett 1 Rahmen, 40 cm hoch</t>
  </si>
  <si>
    <t xml:space="preserve">Euro-Palett 2 Rahmen, 80 cm hoch</t>
  </si>
  <si>
    <t xml:space="preserve">Euro-Palett 3 Rahmen, 120 cm hoch</t>
  </si>
  <si>
    <t xml:space="preserve">Euro-Palett 4 Rahmen, 160 cm hoch</t>
  </si>
  <si>
    <t xml:space="preserve">Euro-Palett 5 Rahmen, 200 cm hoch</t>
  </si>
  <si>
    <t xml:space="preserve">Liftbericht (Modula «Artikelbestand für Maschine»)</t>
  </si>
  <si>
    <t xml:space="preserve">Nur zur Kontrolle – wird von build_tool.py aus input/*.prnx eingelesen. Fach-Kapazität = reservierter Platz im Lift.</t>
  </si>
  <si>
    <t xml:space="preserve">Artikel</t>
  </si>
  <si>
    <t xml:space="preserve">Fach-Kapazität Stk</t>
  </si>
  <si>
    <t xml:space="preserve">Bestand Lift</t>
  </si>
  <si>
    <t xml:space="preserve">Hauptlager Export</t>
  </si>
  <si>
    <t xml:space="preserve">Bestandsmenge Export (G)</t>
  </si>
  <si>
    <t xml:space="preserve">Jahresanfang 2025 + G</t>
  </si>
  <si>
    <t xml:space="preserve">Fach (Tablare, Tool)</t>
  </si>
  <si>
    <t xml:space="preserve">– fehlt –</t>
  </si>
  <si>
    <t xml:space="preserve">Austrittsdüse EG</t>
  </si>
  <si>
    <t xml:space="preserve">Austrittsdüse EG10</t>
  </si>
  <si>
    <t xml:space="preserve">Kranbahnprofil 2 Meter</t>
  </si>
  <si>
    <t xml:space="preserve">Kranbahnprofil 1.5 Meter</t>
  </si>
  <si>
    <t xml:space="preserve">Kranbahnprofil 1 Meter</t>
  </si>
  <si>
    <t xml:space="preserve">Konstanhänger</t>
  </si>
  <si>
    <t xml:space="preserve">Anleitung – Lagerumschlag-Tool</t>
  </si>
  <si>
    <t xml:space="preserve">Was ändere ich? Nur gelbe Felder.</t>
  </si>
  <si>
    <t xml:space="preserve">• Cockpit: je Ansicht «Variante» und «Ziel-LU» (Dropdown, freie Eingabe erlaubt). Alles rechnet sofort neu.</t>
  </si>
  <si>
    <t xml:space="preserve">• Artikel: Fläche lose, Gebinde neu / Menge pro Gebinde neu, Lift manuell (1/2/3/Aussen), Ziel-LU Artikel, MAX final, Kommentar. Leer = Vorschlag gilt.</t>
  </si>
  <si>
    <t xml:space="preserve">• Parameter: Lifte (Tablare, Tablarmass, max. Ladehöhe), Ampel, Verbrauchszeitraum, Ist-Bestand-Quelle, LU-Liste, Zuordnung Hauptlager → Lift, Gebinde → Lift, Startwerte lose.</t>
  </si>
  <si>
    <t xml:space="preserve">• Neue Artikel: werden automatisch unten im Blatt «Artikel» mitgerechnet («Neu»). • Gebinde-Kategorie: Masse, neue Kategorien unten ergänzen.</t>
  </si>
  <si>
    <t xml:space="preserve">Liftbericht (Modula)</t>
  </si>
  <si>
    <t xml:space="preserve">Artikel im Liftbericht (input/*.prnx) bekommen dessen Lift und Bestand. Ihr Platz = reserviertes Fach: Die gemessene Belegung (Parameter L5:L7, z. B. Lift 1 = 85 % der Tablare) wird im Verhältnis der Fach-Kapazität (Stk) auf die Artikel verteilt. In B/C wächst der Bedarf erst, wenn MAX &gt; Fach-Kapazität.</t>
  </si>
  <si>
    <t xml:space="preserve">Lose Artikel grob geschätzt</t>
  </si>
  <si>
    <t xml:space="preserve">Artikel ohne Gebinde (KTL/PAL) bekommen aus der Bezeichnung eine Schätzklasse: Klein = Eurobox S51 à 20 Stk, Mittel = S61 à 4 Stk, Gross = Trennblech S81 à 2 Stk (Parameter I27:K29); mindestens der Ist-Bestand bzw. eine Losgrösse passt in 1 Gebinde. Damit rechnen sie wie Gebinde-Artikel. Klasse im Blatt Artikel änderbar; «Gebindekategorie neu» oder «Tablare lose» haben Vorrang. Kein Stapeln.</t>
  </si>
  <si>
    <t xml:space="preserve">Varianten</t>
  </si>
  <si>
    <t xml:space="preserve">A – Ist-Bestand: heutiger Bestand (unabhängig vom LU).</t>
  </si>
  <si>
    <t xml:space="preserve">B – Ziel-LU: MAX = Jahresverbrauch / Ziel-LU, mindestens MB + Losgrösse, aufgerundet auf ganze Gebinde. Zielzustand nach Abbau des Überbestands.</t>
  </si>
  <si>
    <t xml:space="preserve">C – Ziel-LU oder Ist (Hauptvariante): der höhere Wert aus B und Ist-Bestand. Platzbedarf, solange der Überbestand noch nicht abgebaut ist.</t>
  </si>
  <si>
    <t xml:space="preserve">MAX final (gelb) ersetzt in B und C den berechneten Wert. Ziel-LU Artikel ersetzt den LU der Ansicht für diesen Artikel. Jahresverbrauch = Verbrauch Export × 12 / Anzahl Monate.</t>
  </si>
  <si>
    <t xml:space="preserve">Lift-Auslastung</t>
  </si>
  <si>
    <t xml:space="preserve">Anzahl Gebinde = AUFRUNDEN(Menge / Menge pro Gebinde). Stapeln nur, wenn im Blatt «Gebinde-Kategorie» Lagen &gt; 1 eingetragen sind.</t>
  </si>
  <si>
    <t xml:space="preserve">Lose Artikel: Tablare = Startwert je Hauptlager (Parameter) oder eigener Wert; in B/C skaliert mit Menge / Ist-Menge, mindestens Startwert.</t>
  </si>
  <si>
    <t xml:space="preserve">Füllgrad über Gebinde: Gebinde je Tablar = beste Anordnung des Gebindes (Stellmass, längs/quer) auf dem Tablar × Lagen (Blatt «Gebinde-Kategorie», manuell überschreibbar). Tablare je Artikel = Anzahl Gebinde / Gebinde je Tablar. Füllgrad = Tablare Bedarf / Tablare vorhanden (Parameter E5:E7). Tablar-Ausnutzung (Parameter M21) gibt Reserve für Lücken.</t>
  </si>
  <si>
    <t xml:space="preserve">Zuordnung zuerst nach «Lager in Zukunft» (Artikelstamm, Parameter I34): Kardex Schwer → Lift 1, Kardex Kleinteil → Lift 2/3 nach Gebinde, Verpackung/Leerkisten/PAL/Nicht NLZ → nicht im Lift. Leer → Regel nach Hauptlager: </t>
  </si>
  <si>
    <t xml:space="preserve">LIFT1 → Lift 1. KTL/PAL → Lift 3 (BITO S21–S33, Eurobox S41–S52) oder Lift 2 (S61–S63, Trennbleche S71–S83, lose, «grosser Artikel»). Andere Hauptlager → «Nicht im Lift».</t>
  </si>
  <si>
    <t xml:space="preserve">«Passt?» wird für Lift 1 und Lift 2 + 3 gemeinsam beurteilt. Aussenlager: je Liftgruppe Artikel nach Verbrauch pro Tablar sortiert (Schnelldreher zuerst), Fläche kumuliert; was die Kapazität überschreitet = «Aussenlager», der Artikel an der Grenze = «teilweise».</t>
  </si>
  <si>
    <t xml:space="preserve">Kein Verbrauch · Lose – Fläche geschätzt · Überbestand (Ist &gt; MAX B, Menge und CHF, LU Ansicht 2) · MAX &lt; MB+LG (MAX final zu tief) · zu hoch für Tablar (Gebindehöhe &gt; max. Ladehöhe) · manuell übersteuert · Neu · negativer Bestand (Export, als 0 gerechnet) · Gebinde unbekannt · + Bemerkungen aus dem Artikelstamm.</t>
  </si>
  <si>
    <t xml:space="preserve">Annahmen</t>
  </si>
  <si>
    <t xml:space="preserve">1. Ist-Bestand = Jahresanfangsbestand 2025 (Spalte T) + Spalte G «Bestandsmenge» (= Bewegung seit 01.01.2025). KTL/PAL-Artikel mit Bestand, die im Kennzahlen-Auszug fehlen, sind aus dem Artikelstamm ergänzt (Bestand 23.06.2026). Lagerwert ≈ 3.55 Mio. CHF. Lift 1: Bestand aus Liftbericht. Umschaltbar in Parameter B20.</t>
  </si>
  <si>
    <t xml:space="preserve">2. Verbrauch = Pivot «Auswertung Verbrauch» Spalte C (Kalenderjahr 2025), negativ = 0; fehlt ein Artikel dort, Spalte Y «Wareneinsatz».</t>
  </si>
  <si>
    <t xml:space="preserve">3. MB = Spalte AK; wenn leer, Blatt «Auswertung MB» (Lager = Hauptlager). Losgrösse = Spalte D.</t>
  </si>
  <si>
    <t xml:space="preserve">4. Gebinde aus «Artikelstamm Umschlag 2», sonst «Artikelstamm mit Verbrauch»; ohne Gebinde = LOSE. Menge pro Gebinde fehlt → ganzer Ist-Bestand = 1 Gebinde.</t>
  </si>
  <si>
    <t xml:space="preserve">5. Startwerte lose (Tablare je Artikel): KTL 0.03, PAL 0.15, LIFT1 1.0, andere 0.15 – unabhängig von der Menge.</t>
  </si>
  <si>
    <t xml:space="preserve">6. Lagerwert = Menge × Preis GLD Aktuell. Hauptlager aus dem Kennzahlen-Auszug (nicht aus dem Artikelstamm).</t>
  </si>
  <si>
    <t xml:space="preserve">7. Artikel ohne Verbrauch: B = MB + LG (sonst 0). Aussenlager-Priorität: Verbrauch pro Tablar absteigend.</t>
  </si>
  <si>
    <t xml:space="preserve">Schieberegler statt Dropdown (optional)</t>
  </si>
  <si>
    <t xml:space="preserve">Entwicklertools → Einfügen → Formularsteuerelemente → Bildlaufleiste. Rechtsklick → Steuerelement formatieren: Min 10, Max 60, Schrittweite 5, Zellverknüpfung z. B. Cockpit!Z6. In Cockpit!C6 dann =Z6/10 eintragen (LU 1.0 – 6.0).</t>
  </si>
  <si>
    <t xml:space="preserve">Aktualisieren</t>
  </si>
  <si>
    <t xml:space="preserve">Neue Exporte in den Ordner «input» legen, Dateinamen oben in build_tool.py anpassen, «python build_tool.py» ausführen. Alle gelben Eingaben werden übernommen (Zuordnung über Artikelnummer).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</si>
</sst>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"/>
    <numFmt numFmtId="166" formatCode="#,##0.0"/>
    <numFmt numFmtId="167" formatCode="0"/>
    <numFmt numFmtId="168" formatCode="#,##0.0;[RED]\-#,##0.0"/>
    <numFmt numFmtId="169" formatCode="0%"/>
    <numFmt numFmtId="170" formatCode="#,##0"/>
    <numFmt numFmtId="171" formatCode="#,##0;\-#,##0"/>
    <numFmt numFmtId="172" formatCode="#,##0.0;\-#,##0.0"/>
    <numFmt numFmtId="173" formatCode="#,##0.00"/>
    <numFmt numFmtId="174" formatCode="0.00"/>
    <numFmt numFmtId="175" formatCode="0.000"/>
    <numFmt numFmtId="176" formatCode="dd\.mm\.yyyy"/>
    <numFmt numFmtId="177" formatCode="0.00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20"/>
      <color rgb="FF00000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9"/>
      <name val="Arial"/>
      <family val="0"/>
      <charset val="1"/>
    </font>
    <font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A6"/>
        <bgColor rgb="FFFFFFCC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ont>
        <color rgb="FF808080"/>
      </font>
      <fill>
        <patternFill>
          <bgColor rgb="FFD9D9D9"/>
        </patternFill>
      </fill>
    </dxf>
    <dxf>
      <fill>
        <patternFill>
          <bgColor rgb="FFF4B084"/>
        </patternFill>
      </fill>
    </dxf>
    <dxf>
      <fill>
        <patternFill>
          <bgColor rgb="FFFFD966"/>
        </patternFill>
      </fill>
    </dxf>
    <dxf>
      <fill>
        <patternFill>
          <bgColor rgb="FFC6EF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4B084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A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FD96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4F81BD"/>
      <rgbColor rgb="FFBFBFBF"/>
      <rgbColor rgb="FF808080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2A6"/>
      <rgbColor rgb="FF99CCFF"/>
      <rgbColor rgb="FFF4B084"/>
      <rgbColor rgb="FFCC99FF"/>
      <rgbColor rgb="FFFFD966"/>
      <rgbColor rgb="FF2E75B6"/>
      <rgbColor rgb="FF33CCCC"/>
      <rgbColor rgb="FF9BBB59"/>
      <rgbColor rgb="FFFFC000"/>
      <rgbColor rgb="FFFF9900"/>
      <rgbColor rgb="FFC55A11"/>
      <rgbColor rgb="FF595959"/>
      <rgbColor rgb="FF878787"/>
      <rgbColor rgb="FF1F3864"/>
      <rgbColor rgb="FF4A7EBB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Auslastung je Lift – 3 Ansichten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Cockpit!C40</c:f>
              <c:strCache>
                <c:ptCount val="1"/>
                <c:pt idx="0">
                  <c:v>A1: 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Cockpit!$B$41:$B$45</c:f>
              <c:strCache>
                <c:ptCount val="5"/>
                <c:pt idx="0">
                  <c:v>Lift 1</c:v>
                </c:pt>
                <c:pt idx="1">
                  <c:v>Lift 2</c:v>
                </c:pt>
                <c:pt idx="2">
                  <c:v>Lift 3</c:v>
                </c:pt>
                <c:pt idx="3">
                  <c:v>Lift 2+3</c:v>
                </c:pt>
                <c:pt idx="4">
                  <c:v>Total</c:v>
                </c:pt>
              </c:strCache>
            </c:strRef>
          </c:cat>
          <c:val>
            <c:numRef>
              <c:f>Cockpit!$C$41:$C$45</c:f>
              <c:numCache>
                <c:formatCode>0%</c:formatCode>
                <c:ptCount val="5"/>
                <c:pt idx="0">
                  <c:v>1.08065774804905</c:v>
                </c:pt>
                <c:pt idx="1">
                  <c:v>1.33348484848485</c:v>
                </c:pt>
                <c:pt idx="2">
                  <c:v>0.604149184149184</c:v>
                </c:pt>
                <c:pt idx="3">
                  <c:v>0.968817016317016</c:v>
                </c:pt>
                <c:pt idx="4">
                  <c:v>1.0060972602277</c:v>
                </c:pt>
              </c:numCache>
            </c:numRef>
          </c:val>
        </c:ser>
        <c:ser>
          <c:idx val="1"/>
          <c:order val="1"/>
          <c:tx>
            <c:strRef>
              <c:f>Cockpit!D40</c:f>
              <c:strCache>
                <c:ptCount val="1"/>
                <c:pt idx="0">
                  <c:v>A2: C LU 2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Cockpit!$B$41:$B$45</c:f>
              <c:strCache>
                <c:ptCount val="5"/>
                <c:pt idx="0">
                  <c:v>Lift 1</c:v>
                </c:pt>
                <c:pt idx="1">
                  <c:v>Lift 2</c:v>
                </c:pt>
                <c:pt idx="2">
                  <c:v>Lift 3</c:v>
                </c:pt>
                <c:pt idx="3">
                  <c:v>Lift 2+3</c:v>
                </c:pt>
                <c:pt idx="4">
                  <c:v>Total</c:v>
                </c:pt>
              </c:strCache>
            </c:strRef>
          </c:cat>
          <c:val>
            <c:numRef>
              <c:f>Cockpit!$D$41:$D$45</c:f>
              <c:numCache>
                <c:formatCode>0%</c:formatCode>
                <c:ptCount val="5"/>
                <c:pt idx="0">
                  <c:v>1.41986099301501</c:v>
                </c:pt>
                <c:pt idx="1">
                  <c:v>2.06348484848485</c:v>
                </c:pt>
                <c:pt idx="2">
                  <c:v>0.781458058849363</c:v>
                </c:pt>
                <c:pt idx="3">
                  <c:v>1.42247145366711</c:v>
                </c:pt>
                <c:pt idx="4">
                  <c:v>1.42160130011641</c:v>
                </c:pt>
              </c:numCache>
            </c:numRef>
          </c:val>
        </c:ser>
        <c:ser>
          <c:idx val="2"/>
          <c:order val="2"/>
          <c:tx>
            <c:strRef>
              <c:f>Cockpit!E40</c:f>
              <c:strCache>
                <c:ptCount val="1"/>
                <c:pt idx="0">
                  <c:v>A3: C LU 3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Cockpit!$B$41:$B$45</c:f>
              <c:strCache>
                <c:ptCount val="5"/>
                <c:pt idx="0">
                  <c:v>Lift 1</c:v>
                </c:pt>
                <c:pt idx="1">
                  <c:v>Lift 2</c:v>
                </c:pt>
                <c:pt idx="2">
                  <c:v>Lift 3</c:v>
                </c:pt>
                <c:pt idx="3">
                  <c:v>Lift 2+3</c:v>
                </c:pt>
                <c:pt idx="4">
                  <c:v>Total</c:v>
                </c:pt>
              </c:strCache>
            </c:strRef>
          </c:cat>
          <c:val>
            <c:numRef>
              <c:f>Cockpit!$E$41:$E$45</c:f>
              <c:numCache>
                <c:formatCode>0%</c:formatCode>
                <c:ptCount val="5"/>
                <c:pt idx="0">
                  <c:v>1.29319722363938</c:v>
                </c:pt>
                <c:pt idx="1">
                  <c:v>1.90015151515152</c:v>
                </c:pt>
                <c:pt idx="2">
                  <c:v>0.761388128779433</c:v>
                </c:pt>
                <c:pt idx="3">
                  <c:v>1.33076982196547</c:v>
                </c:pt>
                <c:pt idx="4">
                  <c:v>1.31824562252344</c:v>
                </c:pt>
              </c:numCache>
            </c:numRef>
          </c:val>
        </c:ser>
        <c:gapWidth val="150"/>
        <c:overlap val="0"/>
        <c:axId val="57908590"/>
        <c:axId val="61551540"/>
      </c:barChart>
      <c:lineChart>
        <c:grouping val="standard"/>
        <c:varyColors val="0"/>
        <c:ser>
          <c:idx val="3"/>
          <c:order val="3"/>
          <c:tx>
            <c:strRef>
              <c:f>Cockpit!F40</c:f>
              <c:strCache>
                <c:ptCount val="1"/>
                <c:pt idx="0">
                  <c:v>100 %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Cockpit!$B$41:$B$45</c:f>
              <c:strCache>
                <c:ptCount val="5"/>
                <c:pt idx="0">
                  <c:v>Lift 1</c:v>
                </c:pt>
                <c:pt idx="1">
                  <c:v>Lift 2</c:v>
                </c:pt>
                <c:pt idx="2">
                  <c:v>Lift 3</c:v>
                </c:pt>
                <c:pt idx="3">
                  <c:v>Lift 2+3</c:v>
                </c:pt>
                <c:pt idx="4">
                  <c:v>Total</c:v>
                </c:pt>
              </c:strCache>
            </c:strRef>
          </c:cat>
          <c:val>
            <c:numRef>
              <c:f>Cockpit!$F$41:$F$45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908590"/>
        <c:axId val="61551540"/>
      </c:lineChart>
      <c:catAx>
        <c:axId val="579085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551540"/>
        <c:crosses val="autoZero"/>
        <c:auto val="1"/>
        <c:lblAlgn val="ctr"/>
        <c:lblOffset val="100"/>
        <c:noMultiLvlLbl val="0"/>
      </c:catAx>
      <c:valAx>
        <c:axId val="615515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Auslastung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9085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Auslastung Total % je Ziel-LU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Szenarien!B29</c:f>
              <c:strCache>
                <c:ptCount val="1"/>
                <c:pt idx="0">
                  <c:v>B – Total %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Szenarien!$A$30:$A$37</c:f>
              <c:strCache>
                <c:ptCount val="8"/>
                <c:pt idx="0">
                  <c:v>1.0</c:v>
                </c:pt>
                <c:pt idx="1">
                  <c:v>1.5</c:v>
                </c:pt>
                <c:pt idx="2">
                  <c:v>2.0</c:v>
                </c:pt>
                <c:pt idx="3">
                  <c:v>2.5</c:v>
                </c:pt>
                <c:pt idx="4">
                  <c:v>3.0</c:v>
                </c:pt>
                <c:pt idx="5">
                  <c:v>4.0</c:v>
                </c:pt>
                <c:pt idx="6">
                  <c:v>5.0</c:v>
                </c:pt>
                <c:pt idx="7">
                  <c:v>6.0</c:v>
                </c:pt>
              </c:strCache>
            </c:strRef>
          </c:cat>
          <c:val>
            <c:numRef>
              <c:f>Szenarien!$B$30:$B$37</c:f>
              <c:numCache>
                <c:formatCode>0%</c:formatCode>
                <c:ptCount val="8"/>
                <c:pt idx="0">
                  <c:v>1.77969238709106</c:v>
                </c:pt>
                <c:pt idx="1">
                  <c:v>1.45936108625129</c:v>
                </c:pt>
                <c:pt idx="2">
                  <c:v>1.30838046298253</c:v>
                </c:pt>
                <c:pt idx="3">
                  <c:v>1.24649625804747</c:v>
                </c:pt>
                <c:pt idx="4">
                  <c:v>1.20143504179982</c:v>
                </c:pt>
                <c:pt idx="5">
                  <c:v>1.15854152602495</c:v>
                </c:pt>
                <c:pt idx="6">
                  <c:v>1.13820206009226</c:v>
                </c:pt>
                <c:pt idx="7">
                  <c:v>1.12805429824958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Szenarien!C29</c:f>
              <c:strCache>
                <c:ptCount val="1"/>
                <c:pt idx="0">
                  <c:v>C – Total 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Szenarien!$A$30:$A$37</c:f>
              <c:strCache>
                <c:ptCount val="8"/>
                <c:pt idx="0">
                  <c:v>1.0</c:v>
                </c:pt>
                <c:pt idx="1">
                  <c:v>1.5</c:v>
                </c:pt>
                <c:pt idx="2">
                  <c:v>2.0</c:v>
                </c:pt>
                <c:pt idx="3">
                  <c:v>2.5</c:v>
                </c:pt>
                <c:pt idx="4">
                  <c:v>3.0</c:v>
                </c:pt>
                <c:pt idx="5">
                  <c:v>4.0</c:v>
                </c:pt>
                <c:pt idx="6">
                  <c:v>5.0</c:v>
                </c:pt>
                <c:pt idx="7">
                  <c:v>6.0</c:v>
                </c:pt>
              </c:strCache>
            </c:strRef>
          </c:cat>
          <c:val>
            <c:numRef>
              <c:f>Szenarien!$C$30:$C$37</c:f>
              <c:numCache>
                <c:formatCode>0%</c:formatCode>
                <c:ptCount val="8"/>
                <c:pt idx="0">
                  <c:v>1.88463816594988</c:v>
                </c:pt>
                <c:pt idx="1">
                  <c:v>1.56987407567732</c:v>
                </c:pt>
                <c:pt idx="2">
                  <c:v>1.42160130011641</c:v>
                </c:pt>
                <c:pt idx="3">
                  <c:v>1.36193931740358</c:v>
                </c:pt>
                <c:pt idx="4">
                  <c:v>1.31824562252344</c:v>
                </c:pt>
                <c:pt idx="5">
                  <c:v>1.2778307392272</c:v>
                </c:pt>
                <c:pt idx="6">
                  <c:v>1.25885879466204</c:v>
                </c:pt>
                <c:pt idx="7">
                  <c:v>1.24871103281936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Szenarien!D29</c:f>
              <c:strCache>
                <c:ptCount val="1"/>
                <c:pt idx="0">
                  <c:v>100 %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Szenarien!$A$30:$A$37</c:f>
              <c:strCache>
                <c:ptCount val="8"/>
                <c:pt idx="0">
                  <c:v>1.0</c:v>
                </c:pt>
                <c:pt idx="1">
                  <c:v>1.5</c:v>
                </c:pt>
                <c:pt idx="2">
                  <c:v>2.0</c:v>
                </c:pt>
                <c:pt idx="3">
                  <c:v>2.5</c:v>
                </c:pt>
                <c:pt idx="4">
                  <c:v>3.0</c:v>
                </c:pt>
                <c:pt idx="5">
                  <c:v>4.0</c:v>
                </c:pt>
                <c:pt idx="6">
                  <c:v>5.0</c:v>
                </c:pt>
                <c:pt idx="7">
                  <c:v>6.0</c:v>
                </c:pt>
              </c:strCache>
            </c:strRef>
          </c:cat>
          <c:val>
            <c:numRef>
              <c:f>Szenarien!$D$30:$D$37</c:f>
              <c:numCache>
                <c:formatCode>0%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Szenarien!E29</c:f>
              <c:strCache>
                <c:ptCount val="1"/>
                <c:pt idx="0">
                  <c:v>Ist – Total %</c:v>
                </c:pt>
              </c:strCache>
            </c:strRef>
          </c:tx>
          <c:spPr>
            <a:solidFill>
              <a:srgbClr val="808080"/>
            </a:solidFill>
            <a:ln w="28440">
              <a:solidFill>
                <a:srgbClr val="80808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Szenarien!$A$30:$A$37</c:f>
              <c:strCache>
                <c:ptCount val="8"/>
                <c:pt idx="0">
                  <c:v>1.0</c:v>
                </c:pt>
                <c:pt idx="1">
                  <c:v>1.5</c:v>
                </c:pt>
                <c:pt idx="2">
                  <c:v>2.0</c:v>
                </c:pt>
                <c:pt idx="3">
                  <c:v>2.5</c:v>
                </c:pt>
                <c:pt idx="4">
                  <c:v>3.0</c:v>
                </c:pt>
                <c:pt idx="5">
                  <c:v>4.0</c:v>
                </c:pt>
                <c:pt idx="6">
                  <c:v>5.0</c:v>
                </c:pt>
                <c:pt idx="7">
                  <c:v>6.0</c:v>
                </c:pt>
              </c:strCache>
            </c:strRef>
          </c:cat>
          <c:val>
            <c:numRef>
              <c:f>Szenarien!$E$30:$E$37</c:f>
              <c:numCache>
                <c:formatCode>0%</c:formatCode>
                <c:ptCount val="8"/>
                <c:pt idx="0">
                  <c:v>1.0060972602277</c:v>
                </c:pt>
                <c:pt idx="1">
                  <c:v>1.0060972602277</c:v>
                </c:pt>
                <c:pt idx="2">
                  <c:v>1.0060972602277</c:v>
                </c:pt>
                <c:pt idx="3">
                  <c:v>1.0060972602277</c:v>
                </c:pt>
                <c:pt idx="4">
                  <c:v>1.0060972602277</c:v>
                </c:pt>
                <c:pt idx="5">
                  <c:v>1.0060972602277</c:v>
                </c:pt>
                <c:pt idx="6">
                  <c:v>1.0060972602277</c:v>
                </c:pt>
                <c:pt idx="7">
                  <c:v>1.0060972602277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529207"/>
        <c:axId val="46645294"/>
      </c:lineChart>
      <c:catAx>
        <c:axId val="525292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Ziel-LU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45294"/>
        <c:crosses val="autoZero"/>
        <c:auto val="1"/>
        <c:lblAlgn val="ctr"/>
        <c:lblOffset val="100"/>
        <c:noMultiLvlLbl val="0"/>
      </c:catAx>
      <c:valAx>
        <c:axId val="466452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Auslastung 3 Lifte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5292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37</xdr:row>
      <xdr:rowOff>18360</xdr:rowOff>
    </xdr:from>
    <xdr:to>
      <xdr:col>13</xdr:col>
      <xdr:colOff>718560</xdr:colOff>
      <xdr:row>54</xdr:row>
      <xdr:rowOff>19800</xdr:rowOff>
    </xdr:to>
    <xdr:graphicFrame>
      <xdr:nvGraphicFramePr>
        <xdr:cNvPr id="0" name="Chart 1"/>
        <xdr:cNvGraphicFramePr/>
      </xdr:nvGraphicFramePr>
      <xdr:xfrm>
        <a:off x="7467480" y="760104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21</xdr:row>
      <xdr:rowOff>160560</xdr:rowOff>
    </xdr:from>
    <xdr:to>
      <xdr:col>13</xdr:col>
      <xdr:colOff>532080</xdr:colOff>
      <xdr:row>38</xdr:row>
      <xdr:rowOff>162000</xdr:rowOff>
    </xdr:to>
    <xdr:graphicFrame>
      <xdr:nvGraphicFramePr>
        <xdr:cNvPr id="1" name="Chart 1"/>
        <xdr:cNvGraphicFramePr/>
      </xdr:nvGraphicFramePr>
      <xdr:xfrm>
        <a:off x="6134040" y="438156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R4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2"/>
    <col collapsed="false" customWidth="true" hidden="false" outlineLevel="0" max="7" min="7" style="0" width="3"/>
    <col collapsed="false" customWidth="true" hidden="false" outlineLevel="0" max="8" min="8" style="0" width="30"/>
    <col collapsed="false" customWidth="true" hidden="false" outlineLevel="0" max="12" min="9" style="0" width="12"/>
    <col collapsed="false" customWidth="true" hidden="false" outlineLevel="0" max="13" min="13" style="0" width="3"/>
    <col collapsed="false" customWidth="true" hidden="false" outlineLevel="0" max="14" min="14" style="0" width="30"/>
    <col collapsed="false" customWidth="true" hidden="false" outlineLevel="0" max="19" min="15" style="0" width="12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tr">
        <f aca="false">"Verbrauchsbasis: "&amp;TEXT(MONTH(Parameter!B15),"00")&amp;"."&amp;YEAR(Parameter!B15)&amp;" – "&amp;TEXT(MONTH(Parameter!B16),"00")&amp;"."&amp;YEAR(Parameter!B16)&amp;"   ·   Ist-Bestand: "&amp;Parameter!B20&amp;"   ·   Kapazität "&amp;Parameter!E8&amp;" Tablare (Füllgrad über Gebinde je Tablar)"</f>
        <v>Verbrauchsbasis: 01.2025 – 12.2025   ·   Ist-Bestand: Jahresanfang 2025 + Export   ·   Kapazität 150 Tablare (Füllgrad über Gebinde je Tablar)</v>
      </c>
    </row>
    <row r="3" customFormat="false" ht="15" hidden="false" customHeight="false" outlineLevel="0" collapsed="false">
      <c r="B3" s="3" t="s">
        <v>1</v>
      </c>
    </row>
    <row r="4" customFormat="false" ht="15" hidden="false" customHeight="false" outlineLevel="0" collapsed="false">
      <c r="B4" s="4" t="s">
        <v>2</v>
      </c>
      <c r="C4" s="4"/>
      <c r="D4" s="4"/>
      <c r="E4" s="4"/>
      <c r="F4" s="4"/>
      <c r="H4" s="4" t="s">
        <v>3</v>
      </c>
      <c r="I4" s="4"/>
      <c r="J4" s="4"/>
      <c r="K4" s="4"/>
      <c r="L4" s="4"/>
      <c r="N4" s="4" t="s">
        <v>4</v>
      </c>
      <c r="O4" s="4"/>
      <c r="P4" s="4"/>
      <c r="Q4" s="4"/>
      <c r="R4" s="4"/>
    </row>
    <row r="5" customFormat="false" ht="15" hidden="false" customHeight="false" outlineLevel="0" collapsed="false">
      <c r="B5" s="5" t="s">
        <v>5</v>
      </c>
      <c r="C5" s="6" t="s">
        <v>6</v>
      </c>
      <c r="D5" s="6"/>
      <c r="E5" s="6"/>
      <c r="F5" s="6"/>
      <c r="H5" s="5" t="s">
        <v>5</v>
      </c>
      <c r="I5" s="6" t="s">
        <v>7</v>
      </c>
      <c r="J5" s="6"/>
      <c r="K5" s="6"/>
      <c r="L5" s="6"/>
      <c r="N5" s="5" t="s">
        <v>5</v>
      </c>
      <c r="O5" s="6" t="s">
        <v>7</v>
      </c>
      <c r="P5" s="6"/>
      <c r="Q5" s="6"/>
      <c r="R5" s="6"/>
    </row>
    <row r="6" customFormat="false" ht="15" hidden="false" customHeight="false" outlineLevel="0" collapsed="false">
      <c r="B6" s="5" t="s">
        <v>8</v>
      </c>
      <c r="C6" s="7" t="n">
        <v>2</v>
      </c>
      <c r="D6" s="8" t="s">
        <v>9</v>
      </c>
      <c r="H6" s="5" t="s">
        <v>8</v>
      </c>
      <c r="I6" s="7" t="n">
        <v>2</v>
      </c>
      <c r="J6" s="8" t="s">
        <v>9</v>
      </c>
      <c r="N6" s="5" t="s">
        <v>8</v>
      </c>
      <c r="O6" s="7" t="n">
        <v>3</v>
      </c>
      <c r="P6" s="8" t="s">
        <v>9</v>
      </c>
    </row>
    <row r="8" customFormat="false" ht="23.85" hidden="false" customHeight="false" outlineLevel="0" collapsed="false">
      <c r="B8" s="9" t="s">
        <v>10</v>
      </c>
      <c r="C8" s="9" t="s">
        <v>11</v>
      </c>
      <c r="D8" s="9" t="s">
        <v>12</v>
      </c>
      <c r="E8" s="9" t="s">
        <v>13</v>
      </c>
      <c r="F8" s="9" t="s">
        <v>14</v>
      </c>
      <c r="H8" s="9" t="s">
        <v>10</v>
      </c>
      <c r="I8" s="9" t="s">
        <v>11</v>
      </c>
      <c r="J8" s="9" t="s">
        <v>12</v>
      </c>
      <c r="K8" s="9" t="s">
        <v>13</v>
      </c>
      <c r="L8" s="9" t="s">
        <v>14</v>
      </c>
      <c r="N8" s="9" t="s">
        <v>10</v>
      </c>
      <c r="O8" s="9" t="s">
        <v>11</v>
      </c>
      <c r="P8" s="9" t="s">
        <v>12</v>
      </c>
      <c r="Q8" s="9" t="s">
        <v>13</v>
      </c>
      <c r="R8" s="9" t="s">
        <v>14</v>
      </c>
    </row>
    <row r="9" customFormat="false" ht="15" hidden="false" customHeight="false" outlineLevel="0" collapsed="false">
      <c r="B9" s="10" t="s">
        <v>15</v>
      </c>
      <c r="C9" s="11" t="n">
        <f aca="false">SUMIFS(Artikel!$AH$7:$AH$1843,Artikel!$BX$7:$BX$1843,1)</f>
        <v>54.0328874024526</v>
      </c>
      <c r="D9" s="12" t="n">
        <f aca="false">Parameter!$E$5</f>
        <v>50</v>
      </c>
      <c r="E9" s="13" t="n">
        <f aca="false">D9-C9</f>
        <v>-4.03288740245262</v>
      </c>
      <c r="F9" s="14" t="n">
        <f aca="false">IF(D9&gt;0,C9/D9,0)</f>
        <v>1.08065774804905</v>
      </c>
      <c r="H9" s="10" t="s">
        <v>15</v>
      </c>
      <c r="I9" s="11" t="n">
        <f aca="false">SUMIFS(Artikel!$AP$7:$AP$1843,Artikel!$BX$7:$BX$1843,1)</f>
        <v>70.9930496507505</v>
      </c>
      <c r="J9" s="12" t="n">
        <f aca="false">Parameter!$E$5</f>
        <v>50</v>
      </c>
      <c r="K9" s="13" t="n">
        <f aca="false">J9-I9</f>
        <v>-20.9930496507505</v>
      </c>
      <c r="L9" s="14" t="n">
        <f aca="false">IF(J9&gt;0,I9/J9,0)</f>
        <v>1.41986099301501</v>
      </c>
      <c r="N9" s="10" t="s">
        <v>15</v>
      </c>
      <c r="O9" s="11" t="n">
        <f aca="false">SUMIFS(Artikel!$AX$7:$AX$1843,Artikel!$BX$7:$BX$1843,1)</f>
        <v>64.6598611819688</v>
      </c>
      <c r="P9" s="12" t="n">
        <f aca="false">Parameter!$E$5</f>
        <v>50</v>
      </c>
      <c r="Q9" s="13" t="n">
        <f aca="false">P9-O9</f>
        <v>-14.6598611819688</v>
      </c>
      <c r="R9" s="14" t="n">
        <f aca="false">IF(P9&gt;0,O9/P9,0)</f>
        <v>1.29319722363938</v>
      </c>
    </row>
    <row r="10" customFormat="false" ht="15" hidden="false" customHeight="false" outlineLevel="0" collapsed="false">
      <c r="B10" s="10" t="s">
        <v>16</v>
      </c>
      <c r="C10" s="11" t="n">
        <f aca="false">SUMIFS(Artikel!$AH$7:$AH$1843,Artikel!$BX$7:$BX$1843,2)</f>
        <v>66.6742424242424</v>
      </c>
      <c r="D10" s="12" t="n">
        <f aca="false">Parameter!$E$6</f>
        <v>50</v>
      </c>
      <c r="E10" s="13" t="n">
        <f aca="false">D10-C10</f>
        <v>-16.6742424242424</v>
      </c>
      <c r="F10" s="14" t="n">
        <f aca="false">IF(D10&gt;0,C10/D10,0)</f>
        <v>1.33348484848485</v>
      </c>
      <c r="H10" s="10" t="s">
        <v>16</v>
      </c>
      <c r="I10" s="11" t="n">
        <f aca="false">SUMIFS(Artikel!$AP$7:$AP$1843,Artikel!$BX$7:$BX$1843,2)</f>
        <v>103.174242424242</v>
      </c>
      <c r="J10" s="12" t="n">
        <f aca="false">Parameter!$E$6</f>
        <v>50</v>
      </c>
      <c r="K10" s="13" t="n">
        <f aca="false">J10-I10</f>
        <v>-53.1742424242424</v>
      </c>
      <c r="L10" s="14" t="n">
        <f aca="false">IF(J10&gt;0,I10/J10,0)</f>
        <v>2.06348484848485</v>
      </c>
      <c r="N10" s="10" t="s">
        <v>16</v>
      </c>
      <c r="O10" s="11" t="n">
        <f aca="false">SUMIFS(Artikel!$AX$7:$AX$1843,Artikel!$BX$7:$BX$1843,2)</f>
        <v>95.0075757575758</v>
      </c>
      <c r="P10" s="12" t="n">
        <f aca="false">Parameter!$E$6</f>
        <v>50</v>
      </c>
      <c r="Q10" s="13" t="n">
        <f aca="false">P10-O10</f>
        <v>-45.0075757575758</v>
      </c>
      <c r="R10" s="14" t="n">
        <f aca="false">IF(P10&gt;0,O10/P10,0)</f>
        <v>1.90015151515152</v>
      </c>
    </row>
    <row r="11" customFormat="false" ht="15" hidden="false" customHeight="false" outlineLevel="0" collapsed="false">
      <c r="B11" s="10" t="s">
        <v>17</v>
      </c>
      <c r="C11" s="11" t="n">
        <f aca="false">SUMIFS(Artikel!$AH$7:$AH$1843,Artikel!$BX$7:$BX$1843,3)</f>
        <v>30.2074592074592</v>
      </c>
      <c r="D11" s="12" t="n">
        <f aca="false">Parameter!$E$7</f>
        <v>50</v>
      </c>
      <c r="E11" s="13" t="n">
        <f aca="false">D11-C11</f>
        <v>19.7925407925408</v>
      </c>
      <c r="F11" s="14" t="n">
        <f aca="false">IF(D11&gt;0,C11/D11,0)</f>
        <v>0.604149184149184</v>
      </c>
      <c r="H11" s="10" t="s">
        <v>17</v>
      </c>
      <c r="I11" s="11" t="n">
        <f aca="false">SUMIFS(Artikel!$AP$7:$AP$1843,Artikel!$BX$7:$BX$1843,3)</f>
        <v>39.0729029424682</v>
      </c>
      <c r="J11" s="12" t="n">
        <f aca="false">Parameter!$E$7</f>
        <v>50</v>
      </c>
      <c r="K11" s="13" t="n">
        <f aca="false">J11-I11</f>
        <v>10.9270970575318</v>
      </c>
      <c r="L11" s="14" t="n">
        <f aca="false">IF(J11&gt;0,I11/J11,0)</f>
        <v>0.781458058849363</v>
      </c>
      <c r="N11" s="10" t="s">
        <v>17</v>
      </c>
      <c r="O11" s="11" t="n">
        <f aca="false">SUMIFS(Artikel!$AX$7:$AX$1843,Artikel!$BX$7:$BX$1843,3)</f>
        <v>38.0694064389717</v>
      </c>
      <c r="P11" s="12" t="n">
        <f aca="false">Parameter!$E$7</f>
        <v>50</v>
      </c>
      <c r="Q11" s="13" t="n">
        <f aca="false">P11-O11</f>
        <v>11.9305935610283</v>
      </c>
      <c r="R11" s="14" t="n">
        <f aca="false">IF(P11&gt;0,O11/P11,0)</f>
        <v>0.761388128779433</v>
      </c>
    </row>
    <row r="12" customFormat="false" ht="15" hidden="false" customHeight="false" outlineLevel="0" collapsed="false">
      <c r="B12" s="15" t="s">
        <v>18</v>
      </c>
      <c r="C12" s="16" t="n">
        <f aca="false">C10+C11</f>
        <v>96.8817016317016</v>
      </c>
      <c r="D12" s="17" t="n">
        <f aca="false">D10+D11</f>
        <v>100</v>
      </c>
      <c r="E12" s="18" t="n">
        <f aca="false">D12-C12</f>
        <v>3.11829836829837</v>
      </c>
      <c r="F12" s="14" t="n">
        <f aca="false">IF(D12&gt;0,C12/D12,0)</f>
        <v>0.968817016317016</v>
      </c>
      <c r="H12" s="15" t="s">
        <v>18</v>
      </c>
      <c r="I12" s="16" t="n">
        <f aca="false">I10+I11</f>
        <v>142.247145366711</v>
      </c>
      <c r="J12" s="17" t="n">
        <f aca="false">J10+J11</f>
        <v>100</v>
      </c>
      <c r="K12" s="18" t="n">
        <f aca="false">J12-I12</f>
        <v>-42.2471453667106</v>
      </c>
      <c r="L12" s="14" t="n">
        <f aca="false">IF(J12&gt;0,I12/J12,0)</f>
        <v>1.42247145366711</v>
      </c>
      <c r="N12" s="15" t="s">
        <v>18</v>
      </c>
      <c r="O12" s="16" t="n">
        <f aca="false">O10+O11</f>
        <v>133.076982196547</v>
      </c>
      <c r="P12" s="17" t="n">
        <f aca="false">P10+P11</f>
        <v>100</v>
      </c>
      <c r="Q12" s="18" t="n">
        <f aca="false">P12-O12</f>
        <v>-33.0769821965474</v>
      </c>
      <c r="R12" s="14" t="n">
        <f aca="false">IF(P12&gt;0,O12/P12,0)</f>
        <v>1.33076982196547</v>
      </c>
    </row>
    <row r="13" customFormat="false" ht="15" hidden="false" customHeight="false" outlineLevel="0" collapsed="false">
      <c r="B13" s="15" t="s">
        <v>19</v>
      </c>
      <c r="C13" s="16" t="n">
        <f aca="false">C9+C12</f>
        <v>150.914589034154</v>
      </c>
      <c r="D13" s="17" t="n">
        <f aca="false">D9+D12</f>
        <v>150</v>
      </c>
      <c r="E13" s="18" t="n">
        <f aca="false">D13-C13</f>
        <v>-0.914589034154261</v>
      </c>
      <c r="F13" s="14" t="n">
        <f aca="false">IF(D13&gt;0,C13/D13,0)</f>
        <v>1.0060972602277</v>
      </c>
      <c r="H13" s="15" t="s">
        <v>19</v>
      </c>
      <c r="I13" s="16" t="n">
        <f aca="false">I9+I12</f>
        <v>213.240195017461</v>
      </c>
      <c r="J13" s="17" t="n">
        <f aca="false">J9+J12</f>
        <v>150</v>
      </c>
      <c r="K13" s="18" t="n">
        <f aca="false">J13-I13</f>
        <v>-63.2401950174611</v>
      </c>
      <c r="L13" s="14" t="n">
        <f aca="false">IF(J13&gt;0,I13/J13,0)</f>
        <v>1.42160130011641</v>
      </c>
      <c r="N13" s="15" t="s">
        <v>19</v>
      </c>
      <c r="O13" s="16" t="n">
        <f aca="false">O9+O12</f>
        <v>197.736843378516</v>
      </c>
      <c r="P13" s="17" t="n">
        <f aca="false">P9+P12</f>
        <v>150</v>
      </c>
      <c r="Q13" s="18" t="n">
        <f aca="false">P13-O13</f>
        <v>-47.7368433785162</v>
      </c>
      <c r="R13" s="14" t="n">
        <f aca="false">IF(P13&gt;0,O13/P13,0)</f>
        <v>1.31824562252344</v>
      </c>
    </row>
    <row r="14" customFormat="false" ht="15" hidden="false" customHeight="false" outlineLevel="0" collapsed="false">
      <c r="B14" s="19" t="s">
        <v>20</v>
      </c>
      <c r="C14" s="20" t="n">
        <f aca="false">SUMIFS(Artikel!$AH$7:$AH$1843,Artikel!$BY$7:$BY$1843,"-")</f>
        <v>15.3484848484848</v>
      </c>
      <c r="H14" s="19" t="s">
        <v>20</v>
      </c>
      <c r="I14" s="20" t="n">
        <f aca="false">SUMIFS(Artikel!$AP$7:$AP$1843,Artikel!$BY$7:$BY$1843,"-")</f>
        <v>77.309273538961</v>
      </c>
      <c r="N14" s="19" t="s">
        <v>20</v>
      </c>
      <c r="O14" s="20" t="n">
        <f aca="false">SUMIFS(Artikel!$AX$7:$AX$1843,Artikel!$BY$7:$BY$1843,"-")</f>
        <v>72.8504193722944</v>
      </c>
    </row>
    <row r="15" customFormat="false" ht="15" hidden="false" customHeight="false" outlineLevel="0" collapsed="false">
      <c r="B15" s="19" t="s">
        <v>21</v>
      </c>
      <c r="C15" s="20" t="n">
        <f aca="false">SUMIFS(Artikel!$AH$7:$AH$1843,Artikel!$BY$7:$BY$1843,"Aussen")</f>
        <v>0</v>
      </c>
      <c r="H15" s="19" t="s">
        <v>21</v>
      </c>
      <c r="I15" s="20" t="n">
        <f aca="false">SUMIFS(Artikel!$AP$7:$AP$1843,Artikel!$BY$7:$BY$1843,"Aussen")</f>
        <v>0</v>
      </c>
      <c r="N15" s="19" t="s">
        <v>21</v>
      </c>
      <c r="O15" s="20" t="n">
        <f aca="false">SUMIFS(Artikel!$AX$7:$AX$1843,Artikel!$BY$7:$BY$1843,"Aussen")</f>
        <v>0</v>
      </c>
    </row>
    <row r="17" customFormat="false" ht="21.75" hidden="false" customHeight="true" outlineLevel="0" collapsed="false">
      <c r="B17" s="21" t="s">
        <v>22</v>
      </c>
      <c r="E17" s="22" t="str">
        <f aca="false">IF(AND(C9&lt;=D9,C12&lt;=D12),"JA","NEIN")</f>
        <v>NEIN</v>
      </c>
      <c r="F17" s="22"/>
      <c r="H17" s="21" t="s">
        <v>22</v>
      </c>
      <c r="K17" s="22" t="str">
        <f aca="false">IF(AND(I9&lt;=J9,I12&lt;=J12),"JA","NEIN")</f>
        <v>NEIN</v>
      </c>
      <c r="L17" s="22"/>
      <c r="N17" s="21" t="s">
        <v>22</v>
      </c>
      <c r="Q17" s="22" t="str">
        <f aca="false">IF(AND(O9&lt;=P9,O12&lt;=P12),"JA","NEIN")</f>
        <v>NEIN</v>
      </c>
      <c r="R17" s="22"/>
    </row>
    <row r="18" customFormat="false" ht="21.75" hidden="false" customHeight="true" outlineLevel="0" collapsed="false">
      <c r="B18" s="23" t="s">
        <v>23</v>
      </c>
      <c r="D18" s="24" t="str">
        <f aca="false">IF(C9&lt;=D9,"JA","NEIN")</f>
        <v>NEIN</v>
      </c>
      <c r="E18" s="22"/>
      <c r="F18" s="22"/>
      <c r="H18" s="23" t="s">
        <v>23</v>
      </c>
      <c r="J18" s="24" t="str">
        <f aca="false">IF(I9&lt;=J9,"JA","NEIN")</f>
        <v>NEIN</v>
      </c>
      <c r="K18" s="22"/>
      <c r="L18" s="22"/>
      <c r="N18" s="23" t="s">
        <v>23</v>
      </c>
      <c r="P18" s="24" t="str">
        <f aca="false">IF(O9&lt;=P9,"JA","NEIN")</f>
        <v>NEIN</v>
      </c>
      <c r="Q18" s="22"/>
      <c r="R18" s="22"/>
    </row>
    <row r="19" customFormat="false" ht="15" hidden="false" customHeight="false" outlineLevel="0" collapsed="false">
      <c r="B19" s="23" t="s">
        <v>24</v>
      </c>
      <c r="D19" s="24" t="str">
        <f aca="false">IF(C12&lt;=D12,"JA","NEIN")</f>
        <v>JA</v>
      </c>
      <c r="H19" s="23" t="s">
        <v>24</v>
      </c>
      <c r="J19" s="24" t="str">
        <f aca="false">IF(I12&lt;=J12,"JA","NEIN")</f>
        <v>NEIN</v>
      </c>
      <c r="N19" s="23" t="s">
        <v>24</v>
      </c>
      <c r="P19" s="24" t="str">
        <f aca="false">IF(O12&lt;=P12,"JA","NEIN")</f>
        <v>NEIN</v>
      </c>
    </row>
    <row r="20" customFormat="false" ht="15" hidden="false" customHeight="false" outlineLevel="0" collapsed="false">
      <c r="B20" s="25" t="str">
        <f aca="false">IF(OR(AND(C10&gt;D10,C11&lt;D11),AND(C11&gt;D11,C10&lt;D10)),"Ausgleich Lift 2 ↔ 3 möglich: "&amp;ROUNDUP(MIN(MAX(C10-D10,C11-D11),MAX(D10-C10,D11-C11)),0)&amp;" Tablare","")</f>
        <v>Ausgleich Lift 2 ↔ 3 möglich: 17 Tablare</v>
      </c>
      <c r="C20" s="25"/>
      <c r="D20" s="25"/>
      <c r="E20" s="25"/>
      <c r="F20" s="25"/>
      <c r="H20" s="25" t="str">
        <f aca="false">IF(OR(AND(I10&gt;J10,I11&lt;J11),AND(I11&gt;J11,I10&lt;J10)),"Ausgleich Lift 2 ↔ 3 möglich: "&amp;ROUNDUP(MIN(MAX(I10-J10,I11-J11),MAX(J10-I10,J11-I11)),0)&amp;" Tablare","")</f>
        <v>Ausgleich Lift 2 ↔ 3 möglich: 11 Tablare</v>
      </c>
      <c r="I20" s="25"/>
      <c r="J20" s="25"/>
      <c r="K20" s="25"/>
      <c r="L20" s="25"/>
      <c r="N20" s="25" t="str">
        <f aca="false">IF(OR(AND(O10&gt;P10,O11&lt;P11),AND(O11&gt;P11,O10&lt;P10)),"Ausgleich Lift 2 ↔ 3 möglich: "&amp;ROUNDUP(MIN(MAX(O10-P10,O11-P11),MAX(P10-O10,P11-O11)),0)&amp;" Tablare","")</f>
        <v>Ausgleich Lift 2 ↔ 3 möglich: 12 Tablare</v>
      </c>
      <c r="O20" s="25"/>
      <c r="P20" s="25"/>
      <c r="Q20" s="25"/>
      <c r="R20" s="25"/>
    </row>
    <row r="22" customFormat="false" ht="15" hidden="false" customHeight="false" outlineLevel="0" collapsed="false">
      <c r="B22" s="5" t="s">
        <v>25</v>
      </c>
      <c r="D22" s="26" t="n">
        <f aca="false">MAX(0,C9-D9)+MAX(0,C12-D12)+C15</f>
        <v>4.03288740245262</v>
      </c>
      <c r="H22" s="5" t="s">
        <v>25</v>
      </c>
      <c r="J22" s="26" t="n">
        <f aca="false">MAX(0,I9-J9)+MAX(0,I12-J12)+I15</f>
        <v>63.2401950174611</v>
      </c>
      <c r="N22" s="5" t="s">
        <v>25</v>
      </c>
      <c r="P22" s="26" t="n">
        <f aca="false">MAX(0,O9-P9)+MAX(0,O12-P12)+O15</f>
        <v>47.7368433785162</v>
      </c>
    </row>
    <row r="23" customFormat="false" ht="15" hidden="false" customHeight="false" outlineLevel="0" collapsed="false">
      <c r="B23" s="23" t="s">
        <v>26</v>
      </c>
      <c r="D23" s="27" t="n">
        <f aca="false">COUNTIF(Artikel!$BD$7:$BD$1843,"Aussenlager")+COUNTIF(Artikel!$BD$7:$BD$1843,"teilweise")</f>
        <v>21</v>
      </c>
      <c r="H23" s="23" t="s">
        <v>26</v>
      </c>
      <c r="J23" s="27" t="n">
        <f aca="false">COUNTIF(Artikel!$BE$7:$BE$1843,"Aussenlager")+COUNTIF(Artikel!$BE$7:$BE$1843,"teilweise")</f>
        <v>602</v>
      </c>
      <c r="N23" s="23" t="s">
        <v>26</v>
      </c>
      <c r="P23" s="27" t="n">
        <f aca="false">COUNTIF(Artikel!$BF$7:$BF$1843,"Aussenlager")+COUNTIF(Artikel!$BF$7:$BF$1843,"teilweise")</f>
        <v>563</v>
      </c>
    </row>
    <row r="25" customFormat="false" ht="15" hidden="false" customHeight="false" outlineLevel="0" collapsed="false">
      <c r="B25" s="5" t="s">
        <v>27</v>
      </c>
      <c r="D25" s="28" t="n">
        <f aca="false">SUM(Artikel!$AI$7:$AI$1843)</f>
        <v>3451046.21423</v>
      </c>
      <c r="H25" s="5" t="s">
        <v>27</v>
      </c>
      <c r="J25" s="28" t="n">
        <f aca="false">SUM(Artikel!$AQ$7:$AQ$1843)</f>
        <v>7904043.04405</v>
      </c>
      <c r="N25" s="5" t="s">
        <v>27</v>
      </c>
      <c r="P25" s="28" t="n">
        <f aca="false">SUM(Artikel!$AY$7:$AY$1843)</f>
        <v>6965579.74584</v>
      </c>
    </row>
    <row r="26" customFormat="false" ht="15" hidden="false" customHeight="false" outlineLevel="0" collapsed="false">
      <c r="B26" s="23" t="s">
        <v>28</v>
      </c>
      <c r="D26" s="29" t="n">
        <f aca="false">SUMPRODUCT(Artikel!$AI$7:$AI$1843,Artikel!$AM$7:$AM$1843)</f>
        <v>3063330.57271542</v>
      </c>
      <c r="H26" s="23" t="s">
        <v>28</v>
      </c>
      <c r="J26" s="29" t="n">
        <f aca="false">SUMPRODUCT(Artikel!$AQ$7:$AQ$1843,Artikel!$AU$7:$AU$1843)</f>
        <v>5451203.79779171</v>
      </c>
      <c r="N26" s="23" t="s">
        <v>28</v>
      </c>
      <c r="P26" s="29" t="n">
        <f aca="false">SUMPRODUCT(Artikel!$AY$7:$AY$1843,Artikel!$BC$7:$BC$1843)</f>
        <v>5161476.91231689</v>
      </c>
    </row>
    <row r="27" customFormat="false" ht="15" hidden="false" customHeight="false" outlineLevel="0" collapsed="false">
      <c r="B27" s="23" t="s">
        <v>29</v>
      </c>
      <c r="D27" s="29" t="n">
        <f aca="false">SUMIFS(Artikel!$AI$7:$AI$1843,Artikel!$BY$7:$BY$1843,"L1")+SUMIFS(Artikel!$AI$7:$AI$1843,Artikel!$BY$7:$BY$1843,"L23")-D26+SUMIFS(Artikel!$AI$7:$AI$1843,Artikel!$BY$7:$BY$1843,"Aussen")</f>
        <v>105254.537314578</v>
      </c>
      <c r="H27" s="23" t="s">
        <v>29</v>
      </c>
      <c r="J27" s="29" t="n">
        <f aca="false">SUMIFS(Artikel!$AQ$7:$AQ$1843,Artikel!$BY$7:$BY$1843,"L1")+SUMIFS(Artikel!$AQ$7:$AQ$1843,Artikel!$BY$7:$BY$1843,"L23")-J26+SUMIFS(Artikel!$AQ$7:$AQ$1843,Artikel!$BY$7:$BY$1843,"Aussen")</f>
        <v>1447481.26625829</v>
      </c>
      <c r="N27" s="23" t="s">
        <v>29</v>
      </c>
      <c r="P27" s="29" t="n">
        <f aca="false">SUMIFS(Artikel!$AY$7:$AY$1843,Artikel!$BY$7:$BY$1843,"L1")+SUMIFS(Artikel!$AY$7:$AY$1843,Artikel!$BY$7:$BY$1843,"L23")-P26+SUMIFS(Artikel!$AY$7:$AY$1843,Artikel!$BY$7:$BY$1843,"Aussen")</f>
        <v>1022449.28352311</v>
      </c>
    </row>
    <row r="28" customFormat="false" ht="15" hidden="false" customHeight="false" outlineLevel="0" collapsed="false">
      <c r="B28" s="23" t="s">
        <v>30</v>
      </c>
      <c r="D28" s="29" t="n">
        <f aca="false">SUMIFS(Artikel!$AI$7:$AI$1843,Artikel!$BY$7:$BY$1843,"-")</f>
        <v>282461.1042</v>
      </c>
      <c r="H28" s="23" t="s">
        <v>30</v>
      </c>
      <c r="J28" s="29" t="n">
        <f aca="false">SUMIFS(Artikel!$AQ$7:$AQ$1843,Artikel!$BY$7:$BY$1843,"-")</f>
        <v>1005357.98</v>
      </c>
      <c r="N28" s="23" t="s">
        <v>30</v>
      </c>
      <c r="P28" s="29" t="n">
        <f aca="false">SUMIFS(Artikel!$AY$7:$AY$1843,Artikel!$BY$7:$BY$1843,"-")</f>
        <v>781653.55</v>
      </c>
    </row>
    <row r="30" customFormat="false" ht="15" hidden="false" customHeight="false" outlineLevel="0" collapsed="false">
      <c r="B30" s="5" t="s">
        <v>31</v>
      </c>
      <c r="D30" s="27" t="n">
        <f aca="false">SUMPRODUCT((Artikel!$H$7:$H$1843&gt;Artikel!$AJ$7:$AJ$1843)*1)</f>
        <v>174</v>
      </c>
      <c r="E30" s="8" t="s">
        <v>32</v>
      </c>
      <c r="H30" s="5" t="s">
        <v>31</v>
      </c>
      <c r="J30" s="27" t="n">
        <f aca="false">SUMPRODUCT((Artikel!$H$7:$H$1843&gt;Artikel!$AR$7:$AR$1843)*1)</f>
        <v>174</v>
      </c>
      <c r="K30" s="8" t="s">
        <v>32</v>
      </c>
      <c r="N30" s="5" t="s">
        <v>31</v>
      </c>
      <c r="P30" s="27" t="n">
        <f aca="false">SUMPRODUCT((Artikel!$H$7:$H$1843&gt;Artikel!$AZ$7:$AZ$1843)*1)</f>
        <v>178</v>
      </c>
      <c r="Q30" s="8" t="s">
        <v>32</v>
      </c>
    </row>
    <row r="31" customFormat="false" ht="15" hidden="false" customHeight="false" outlineLevel="0" collapsed="false">
      <c r="B31" s="23" t="s">
        <v>33</v>
      </c>
      <c r="D31" s="29" t="n">
        <f aca="false">SUMPRODUCT((Artikel!$H$7:$H$1843&gt;Artikel!$AJ$7:$AJ$1843)*(Artikel!$H$7:$H$1843-Artikel!$AJ$7:$AJ$1843)*Artikel!$G$7:$G$1843)</f>
        <v>355656.612</v>
      </c>
      <c r="H31" s="23" t="s">
        <v>33</v>
      </c>
      <c r="J31" s="29" t="n">
        <f aca="false">SUMPRODUCT((Artikel!$H$7:$H$1843&gt;Artikel!$AR$7:$AR$1843)*(Artikel!$H$7:$H$1843-Artikel!$AR$7:$AR$1843)*Artikel!$G$7:$G$1843)</f>
        <v>355656.612</v>
      </c>
      <c r="N31" s="23" t="s">
        <v>33</v>
      </c>
      <c r="P31" s="29" t="n">
        <f aca="false">SUMPRODUCT((Artikel!$H$7:$H$1843&gt;Artikel!$AZ$7:$AZ$1843)*(Artikel!$H$7:$H$1843-Artikel!$AZ$7:$AZ$1843)*Artikel!$G$7:$G$1843)</f>
        <v>368368.422</v>
      </c>
    </row>
    <row r="33" customFormat="false" ht="30" hidden="false" customHeight="true" outlineLevel="0" collapsed="false">
      <c r="B33" s="9" t="s">
        <v>34</v>
      </c>
      <c r="C33" s="9" t="s">
        <v>35</v>
      </c>
      <c r="D33" s="9" t="s">
        <v>36</v>
      </c>
      <c r="E33" s="9" t="s">
        <v>37</v>
      </c>
      <c r="F33" s="9" t="s">
        <v>38</v>
      </c>
      <c r="H33" s="9" t="s">
        <v>34</v>
      </c>
      <c r="I33" s="9" t="s">
        <v>35</v>
      </c>
      <c r="J33" s="9" t="s">
        <v>36</v>
      </c>
      <c r="K33" s="9" t="s">
        <v>37</v>
      </c>
      <c r="L33" s="9" t="s">
        <v>38</v>
      </c>
      <c r="N33" s="9" t="s">
        <v>34</v>
      </c>
      <c r="O33" s="9" t="s">
        <v>35</v>
      </c>
      <c r="P33" s="9" t="s">
        <v>36</v>
      </c>
      <c r="Q33" s="9" t="s">
        <v>37</v>
      </c>
      <c r="R33" s="9" t="s">
        <v>38</v>
      </c>
    </row>
    <row r="34" customFormat="false" ht="15" hidden="false" customHeight="false" outlineLevel="0" collapsed="false">
      <c r="B34" s="10" t="s">
        <v>15</v>
      </c>
      <c r="C34" s="11" t="n">
        <f aca="false">SUMIFS(Artikel!$AH$7:$AH$1843,Artikel!$BX$7:$BX$1843,1,Artikel!$BT$7:$BT$1843,0,Artikel!$CH$7:$CH$1843,0,Artikel!$BU$7:$BU$1843,0)</f>
        <v>11.0328874024526</v>
      </c>
      <c r="D34" s="11" t="n">
        <f aca="false">SUMIFS(Artikel!$AH$7:$AH$1843,Artikel!$BX$7:$BX$1843,1,Artikel!$CH$7:$CH$1843,"&gt;0")</f>
        <v>42.5</v>
      </c>
      <c r="E34" s="11" t="n">
        <f aca="false">SUMIFS(Artikel!$AH$7:$AH$1843,Artikel!$BX$7:$BX$1843,1,Artikel!$BT$7:$BT$1843,1,Artikel!$CH$7:$CH$1843,0)+SUMIFS(Artikel!$AH$7:$AH$1843,Artikel!$BX$7:$BX$1843,1,Artikel!$BU$7:$BU$1843,1,Artikel!$CH$7:$CH$1843,0)</f>
        <v>0.5</v>
      </c>
      <c r="F34" s="30" t="n">
        <f aca="false">IF(SUM(C34:E34)&gt;0,E34/SUM(C34:E34),0)</f>
        <v>0.00925362356218084</v>
      </c>
      <c r="H34" s="10" t="s">
        <v>15</v>
      </c>
      <c r="I34" s="11" t="n">
        <f aca="false">SUMIFS(Artikel!$AP$7:$AP$1843,Artikel!$BX$7:$BX$1843,1,Artikel!$BT$7:$BT$1843,0,Artikel!$CH$7:$CH$1843,0,Artikel!$BU$7:$BU$1843,0)</f>
        <v>19.3213489409142</v>
      </c>
      <c r="J34" s="11" t="n">
        <f aca="false">SUMIFS(Artikel!$AP$7:$AP$1843,Artikel!$BX$7:$BX$1843,1,Artikel!$CH$7:$CH$1843,"&gt;0")</f>
        <v>49.3832391713748</v>
      </c>
      <c r="K34" s="11" t="n">
        <f aca="false">SUMIFS(Artikel!$AP$7:$AP$1843,Artikel!$BX$7:$BX$1843,1,Artikel!$BT$7:$BT$1843,1,Artikel!$CH$7:$CH$1843,0)+SUMIFS(Artikel!$AP$7:$AP$1843,Artikel!$BX$7:$BX$1843,1,Artikel!$BU$7:$BU$1843,1,Artikel!$CH$7:$CH$1843,0)</f>
        <v>2.28846153846154</v>
      </c>
      <c r="L34" s="30" t="n">
        <f aca="false">IF(SUM(I34:K34)&gt;0,K34/SUM(I34:K34),0)</f>
        <v>0.0322350082116433</v>
      </c>
      <c r="N34" s="10" t="s">
        <v>15</v>
      </c>
      <c r="O34" s="11" t="n">
        <f aca="false">SUMIFS(Artikel!$AX$7:$AX$1843,Artikel!$BX$7:$BX$1843,1,Artikel!$BT$7:$BT$1843,0,Artikel!$CH$7:$CH$1843,0,Artikel!$BU$7:$BU$1843,0)</f>
        <v>16.2828874024526</v>
      </c>
      <c r="P34" s="11" t="n">
        <f aca="false">SUMIFS(Artikel!$AX$7:$AX$1843,Artikel!$BX$7:$BX$1843,1,Artikel!$CH$7:$CH$1843,"&gt;0")</f>
        <v>46.4218455743879</v>
      </c>
      <c r="Q34" s="11" t="n">
        <f aca="false">SUMIFS(Artikel!$AX$7:$AX$1843,Artikel!$BX$7:$BX$1843,1,Artikel!$BT$7:$BT$1843,1,Artikel!$CH$7:$CH$1843,0)+SUMIFS(Artikel!$AX$7:$AX$1843,Artikel!$BX$7:$BX$1843,1,Artikel!$BU$7:$BU$1843,1,Artikel!$CH$7:$CH$1843,0)</f>
        <v>1.95512820512821</v>
      </c>
      <c r="R34" s="30" t="n">
        <f aca="false">IF(SUM(O34:Q34)&gt;0,Q34/SUM(O34:Q34),0)</f>
        <v>0.0302371234547812</v>
      </c>
    </row>
    <row r="35" customFormat="false" ht="15" hidden="false" customHeight="false" outlineLevel="0" collapsed="false">
      <c r="B35" s="10" t="s">
        <v>16</v>
      </c>
      <c r="C35" s="11" t="n">
        <f aca="false">SUMIFS(Artikel!$AH$7:$AH$1843,Artikel!$BX$7:$BX$1843,2,Artikel!$BT$7:$BT$1843,0,Artikel!$CH$7:$CH$1843,0,Artikel!$BU$7:$BU$1843,0)</f>
        <v>49.3409090909091</v>
      </c>
      <c r="D35" s="11" t="n">
        <f aca="false">SUMIFS(Artikel!$AH$7:$AH$1843,Artikel!$BX$7:$BX$1843,2,Artikel!$CH$7:$CH$1843,"&gt;0")</f>
        <v>0</v>
      </c>
      <c r="E35" s="11" t="n">
        <f aca="false">SUMIFS(Artikel!$AH$7:$AH$1843,Artikel!$BX$7:$BX$1843,2,Artikel!$BT$7:$BT$1843,1,Artikel!$CH$7:$CH$1843,0)+SUMIFS(Artikel!$AH$7:$AH$1843,Artikel!$BX$7:$BX$1843,2,Artikel!$BU$7:$BU$1843,1,Artikel!$CH$7:$CH$1843,0)</f>
        <v>17.3333333333333</v>
      </c>
      <c r="F35" s="30" t="n">
        <f aca="false">IF(SUM(C35:E35)&gt;0,E35/SUM(C35:E35),0)</f>
        <v>0.259970457902511</v>
      </c>
      <c r="H35" s="10" t="s">
        <v>16</v>
      </c>
      <c r="I35" s="11" t="n">
        <f aca="false">SUMIFS(Artikel!$AP$7:$AP$1843,Artikel!$BX$7:$BX$1843,2,Artikel!$BT$7:$BT$1843,0,Artikel!$CH$7:$CH$1843,0,Artikel!$BU$7:$BU$1843,0)</f>
        <v>63.7575757575758</v>
      </c>
      <c r="J35" s="11" t="n">
        <f aca="false">SUMIFS(Artikel!$AP$7:$AP$1843,Artikel!$BX$7:$BX$1843,2,Artikel!$CH$7:$CH$1843,"&gt;0")</f>
        <v>0</v>
      </c>
      <c r="K35" s="11" t="n">
        <f aca="false">SUMIFS(Artikel!$AP$7:$AP$1843,Artikel!$BX$7:$BX$1843,2,Artikel!$BT$7:$BT$1843,1,Artikel!$CH$7:$CH$1843,0)+SUMIFS(Artikel!$AP$7:$AP$1843,Artikel!$BX$7:$BX$1843,2,Artikel!$BU$7:$BU$1843,1,Artikel!$CH$7:$CH$1843,0)</f>
        <v>39.4166666666667</v>
      </c>
      <c r="L35" s="30" t="n">
        <f aca="false">IF(SUM(I35:K35)&gt;0,K35/SUM(I35:K35),0)</f>
        <v>0.382039797341949</v>
      </c>
      <c r="N35" s="10" t="s">
        <v>16</v>
      </c>
      <c r="O35" s="11" t="n">
        <f aca="false">SUMIFS(Artikel!$AX$7:$AX$1843,Artikel!$BX$7:$BX$1843,2,Artikel!$BT$7:$BT$1843,0,Artikel!$CH$7:$CH$1843,0,Artikel!$BU$7:$BU$1843,0)</f>
        <v>60.6742424242424</v>
      </c>
      <c r="P35" s="11" t="n">
        <f aca="false">SUMIFS(Artikel!$AX$7:$AX$1843,Artikel!$BX$7:$BX$1843,2,Artikel!$CH$7:$CH$1843,"&gt;0")</f>
        <v>0</v>
      </c>
      <c r="Q35" s="11" t="n">
        <f aca="false">SUMIFS(Artikel!$AX$7:$AX$1843,Artikel!$BX$7:$BX$1843,2,Artikel!$BT$7:$BT$1843,1,Artikel!$CH$7:$CH$1843,0)+SUMIFS(Artikel!$AX$7:$AX$1843,Artikel!$BX$7:$BX$1843,2,Artikel!$BU$7:$BU$1843,1,Artikel!$CH$7:$CH$1843,0)</f>
        <v>34.3333333333333</v>
      </c>
      <c r="R35" s="30" t="n">
        <f aca="false">IF(SUM(O35:Q35)&gt;0,Q35/SUM(O35:Q35),0)</f>
        <v>0.361374691013476</v>
      </c>
    </row>
    <row r="36" customFormat="false" ht="15" hidden="false" customHeight="false" outlineLevel="0" collapsed="false">
      <c r="B36" s="10" t="s">
        <v>17</v>
      </c>
      <c r="C36" s="11" t="n">
        <f aca="false">SUMIFS(Artikel!$AH$7:$AH$1843,Artikel!$BX$7:$BX$1843,3,Artikel!$BT$7:$BT$1843,0,Artikel!$CH$7:$CH$1843,0,Artikel!$BU$7:$BU$1843,0)</f>
        <v>24.4382284382284</v>
      </c>
      <c r="D36" s="11" t="n">
        <f aca="false">SUMIFS(Artikel!$AH$7:$AH$1843,Artikel!$BX$7:$BX$1843,3,Artikel!$CH$7:$CH$1843,"&gt;0")</f>
        <v>0</v>
      </c>
      <c r="E36" s="11" t="n">
        <f aca="false">SUMIFS(Artikel!$AH$7:$AH$1843,Artikel!$BX$7:$BX$1843,3,Artikel!$BT$7:$BT$1843,1,Artikel!$CH$7:$CH$1843,0)+SUMIFS(Artikel!$AH$7:$AH$1843,Artikel!$BX$7:$BX$1843,3,Artikel!$BU$7:$BU$1843,1,Artikel!$CH$7:$CH$1843,0)</f>
        <v>5.76923076923077</v>
      </c>
      <c r="F36" s="30" t="n">
        <f aca="false">IF(SUM(C36:E36)&gt;0,E36/SUM(C36:E36),0)</f>
        <v>0.190986958870283</v>
      </c>
      <c r="H36" s="10" t="s">
        <v>17</v>
      </c>
      <c r="I36" s="11" t="n">
        <f aca="false">SUMIFS(Artikel!$AP$7:$AP$1843,Artikel!$BX$7:$BX$1843,3,Artikel!$BT$7:$BT$1843,0,Artikel!$CH$7:$CH$1843,0,Artikel!$BU$7:$BU$1843,0)</f>
        <v>29.4959798655451</v>
      </c>
      <c r="J36" s="11" t="n">
        <f aca="false">SUMIFS(Artikel!$AP$7:$AP$1843,Artikel!$BX$7:$BX$1843,3,Artikel!$CH$7:$CH$1843,"&gt;0")</f>
        <v>0</v>
      </c>
      <c r="K36" s="11" t="n">
        <f aca="false">SUMIFS(Artikel!$AP$7:$AP$1843,Artikel!$BX$7:$BX$1843,3,Artikel!$BT$7:$BT$1843,1,Artikel!$CH$7:$CH$1843,0)+SUMIFS(Artikel!$AP$7:$AP$1843,Artikel!$BX$7:$BX$1843,3,Artikel!$BU$7:$BU$1843,1,Artikel!$CH$7:$CH$1843,0)</f>
        <v>9.57692307692308</v>
      </c>
      <c r="L36" s="30" t="n">
        <f aca="false">IF(SUM(I36:K36)&gt;0,K36/SUM(I36:K36),0)</f>
        <v>0.24510395582904</v>
      </c>
      <c r="N36" s="10" t="s">
        <v>17</v>
      </c>
      <c r="O36" s="11" t="n">
        <f aca="false">SUMIFS(Artikel!$AX$7:$AX$1843,Artikel!$BX$7:$BX$1843,3,Artikel!$BT$7:$BT$1843,0,Artikel!$CH$7:$CH$1843,0,Artikel!$BU$7:$BU$1843,0)</f>
        <v>29.1463295158947</v>
      </c>
      <c r="P36" s="11" t="n">
        <f aca="false">SUMIFS(Artikel!$AX$7:$AX$1843,Artikel!$BX$7:$BX$1843,3,Artikel!$CH$7:$CH$1843,"&gt;0")</f>
        <v>0</v>
      </c>
      <c r="Q36" s="11" t="n">
        <f aca="false">SUMIFS(Artikel!$AX$7:$AX$1843,Artikel!$BX$7:$BX$1843,3,Artikel!$BT$7:$BT$1843,1,Artikel!$CH$7:$CH$1843,0)+SUMIFS(Artikel!$AX$7:$AX$1843,Artikel!$BX$7:$BX$1843,3,Artikel!$BU$7:$BU$1843,1,Artikel!$CH$7:$CH$1843,0)</f>
        <v>8.92307692307692</v>
      </c>
      <c r="R36" s="30" t="n">
        <f aca="false">IF(SUM(O36:Q36)&gt;0,Q36/SUM(O36:Q36),0)</f>
        <v>0.234389704430547</v>
      </c>
    </row>
    <row r="37" customFormat="false" ht="15" hidden="false" customHeight="false" outlineLevel="0" collapsed="false">
      <c r="B37" s="15" t="s">
        <v>39</v>
      </c>
      <c r="C37" s="16" t="n">
        <f aca="false">SUM(C34:C36)</f>
        <v>84.8120249315901</v>
      </c>
      <c r="D37" s="16" t="n">
        <f aca="false">SUM(D34:D36)</f>
        <v>42.5</v>
      </c>
      <c r="E37" s="16" t="n">
        <f aca="false">SUM(E34:E36)</f>
        <v>23.6025641025641</v>
      </c>
      <c r="F37" s="14" t="n">
        <f aca="false">IF(SUM(C37:E37)&gt;0,E37/SUM(C37:E37),0)</f>
        <v>0.156396835147744</v>
      </c>
      <c r="H37" s="15" t="s">
        <v>39</v>
      </c>
      <c r="I37" s="16" t="n">
        <f aca="false">SUM(I34:I36)</f>
        <v>112.574904564035</v>
      </c>
      <c r="J37" s="16" t="n">
        <f aca="false">SUM(J34:J36)</f>
        <v>49.3832391713748</v>
      </c>
      <c r="K37" s="16" t="n">
        <f aca="false">SUM(K34:K36)</f>
        <v>51.2820512820513</v>
      </c>
      <c r="L37" s="14" t="n">
        <f aca="false">IF(SUM(I37:K37)&gt;0,K37/SUM(I37:K37),0)</f>
        <v>0.240489609746662</v>
      </c>
      <c r="N37" s="15" t="s">
        <v>39</v>
      </c>
      <c r="O37" s="16" t="n">
        <f aca="false">SUM(O34:O36)</f>
        <v>106.10345934259</v>
      </c>
      <c r="P37" s="16" t="n">
        <f aca="false">SUM(P34:P36)</f>
        <v>46.4218455743879</v>
      </c>
      <c r="Q37" s="16" t="n">
        <f aca="false">SUM(Q34:Q36)</f>
        <v>45.2115384615385</v>
      </c>
      <c r="R37" s="14" t="n">
        <f aca="false">IF(SUM(O37:Q37)&gt;0,Q37/SUM(O37:Q37),0)</f>
        <v>0.228644989416528</v>
      </c>
    </row>
    <row r="40" customFormat="false" ht="15" hidden="false" customHeight="false" outlineLevel="0" collapsed="false">
      <c r="B40" s="5" t="s">
        <v>40</v>
      </c>
      <c r="C40" s="5" t="str">
        <f aca="false">"A1: "&amp;LEFT(C5,1)&amp;IF(LEFT(C5,1)="A",""," LU "&amp;C6)</f>
        <v>A1: A</v>
      </c>
      <c r="D40" s="5" t="str">
        <f aca="false">"A2: "&amp;LEFT(I5,1)&amp;IF(LEFT(I5,1)="A",""," LU "&amp;I6)</f>
        <v>A2: C LU 2</v>
      </c>
      <c r="E40" s="5" t="str">
        <f aca="false">"A3: "&amp;LEFT(O5,1)&amp;IF(LEFT(O5,1)="A",""," LU "&amp;O6)</f>
        <v>A3: C LU 3</v>
      </c>
      <c r="F40" s="5" t="s">
        <v>41</v>
      </c>
    </row>
    <row r="41" customFormat="false" ht="15" hidden="false" customHeight="false" outlineLevel="0" collapsed="false">
      <c r="B41" s="23" t="s">
        <v>42</v>
      </c>
      <c r="C41" s="31" t="n">
        <f aca="false">F9</f>
        <v>1.08065774804905</v>
      </c>
      <c r="D41" s="31" t="n">
        <f aca="false">L9</f>
        <v>1.41986099301501</v>
      </c>
      <c r="E41" s="31" t="n">
        <f aca="false">R9</f>
        <v>1.29319722363938</v>
      </c>
      <c r="F41" s="31" t="n">
        <v>1</v>
      </c>
    </row>
    <row r="42" customFormat="false" ht="15" hidden="false" customHeight="false" outlineLevel="0" collapsed="false">
      <c r="B42" s="23" t="s">
        <v>43</v>
      </c>
      <c r="C42" s="31" t="n">
        <f aca="false">F10</f>
        <v>1.33348484848485</v>
      </c>
      <c r="D42" s="31" t="n">
        <f aca="false">L10</f>
        <v>2.06348484848485</v>
      </c>
      <c r="E42" s="31" t="n">
        <f aca="false">R10</f>
        <v>1.90015151515152</v>
      </c>
      <c r="F42" s="31" t="n">
        <v>1</v>
      </c>
    </row>
    <row r="43" customFormat="false" ht="15" hidden="false" customHeight="false" outlineLevel="0" collapsed="false">
      <c r="B43" s="23" t="s">
        <v>44</v>
      </c>
      <c r="C43" s="31" t="n">
        <f aca="false">F11</f>
        <v>0.604149184149184</v>
      </c>
      <c r="D43" s="31" t="n">
        <f aca="false">L11</f>
        <v>0.781458058849363</v>
      </c>
      <c r="E43" s="31" t="n">
        <f aca="false">R11</f>
        <v>0.761388128779433</v>
      </c>
      <c r="F43" s="31" t="n">
        <v>1</v>
      </c>
    </row>
    <row r="44" customFormat="false" ht="15" hidden="false" customHeight="false" outlineLevel="0" collapsed="false">
      <c r="B44" s="23" t="s">
        <v>45</v>
      </c>
      <c r="C44" s="31" t="n">
        <f aca="false">F12</f>
        <v>0.968817016317016</v>
      </c>
      <c r="D44" s="31" t="n">
        <f aca="false">L12</f>
        <v>1.42247145366711</v>
      </c>
      <c r="E44" s="31" t="n">
        <f aca="false">R12</f>
        <v>1.33076982196547</v>
      </c>
      <c r="F44" s="31" t="n">
        <v>1</v>
      </c>
    </row>
    <row r="45" customFormat="false" ht="15" hidden="false" customHeight="false" outlineLevel="0" collapsed="false">
      <c r="B45" s="23" t="s">
        <v>39</v>
      </c>
      <c r="C45" s="31" t="n">
        <f aca="false">F13</f>
        <v>1.0060972602277</v>
      </c>
      <c r="D45" s="31" t="n">
        <f aca="false">L13</f>
        <v>1.42160130011641</v>
      </c>
      <c r="E45" s="31" t="n">
        <f aca="false">R13</f>
        <v>1.31824562252344</v>
      </c>
      <c r="F45" s="31" t="n">
        <v>1</v>
      </c>
    </row>
  </sheetData>
  <mergeCells count="12">
    <mergeCell ref="B4:F4"/>
    <mergeCell ref="H4:L4"/>
    <mergeCell ref="N4:R4"/>
    <mergeCell ref="C5:F5"/>
    <mergeCell ref="I5:L5"/>
    <mergeCell ref="O5:R5"/>
    <mergeCell ref="E17:F18"/>
    <mergeCell ref="K17:L18"/>
    <mergeCell ref="Q17:R18"/>
    <mergeCell ref="B20:F20"/>
    <mergeCell ref="H20:L20"/>
    <mergeCell ref="N20:R20"/>
  </mergeCells>
  <conditionalFormatting sqref="C6">
    <cfRule type="expression" priority="2" aboveAverage="0" equalAverage="0" bottom="0" percent="0" rank="0" text="" dxfId="0">
      <formula>LEFT($C$5,1)="A"</formula>
    </cfRule>
  </conditionalFormatting>
  <conditionalFormatting sqref="F9:F13">
    <cfRule type="dataBar" priority="3">
      <dataBar showValue="1" minLength="10" maxLength="90">
        <cfvo type="num" val="0"/>
        <cfvo type="num" val="1.5"/>
        <color rgb="FF5B9BD5"/>
      </dataBar>
      <extLst>
        <ext xmlns:x14="http://schemas.microsoft.com/office/spreadsheetml/2009/9/main" uri="{B025F937-C7B1-47D3-B67F-A62EFF666E3E}">
          <x14:id>{2351D349-FD66-47FD-8C5D-60DE58F3D940}</x14:id>
        </ext>
      </extLst>
    </cfRule>
    <cfRule type="cellIs" priority="4" operator="greaterThan" aboveAverage="0" equalAverage="0" bottom="0" percent="0" rank="0" text="" dxfId="1">
      <formula>Parameter!$B$12</formula>
    </cfRule>
    <cfRule type="cellIs" priority="5" operator="greaterThanOrEqual" aboveAverage="0" equalAverage="0" bottom="0" percent="0" rank="0" text="" dxfId="2">
      <formula>Parameter!$B$11</formula>
    </cfRule>
    <cfRule type="cellIs" priority="6" operator="lessThan" aboveAverage="0" equalAverage="0" bottom="0" percent="0" rank="0" text="" dxfId="3">
      <formula>Parameter!$B$11</formula>
    </cfRule>
  </conditionalFormatting>
  <conditionalFormatting sqref="E17">
    <cfRule type="cellIs" priority="7" operator="equal" aboveAverage="0" equalAverage="0" bottom="0" percent="0" rank="0" text="" dxfId="4">
      <formula>"JA"</formula>
    </cfRule>
    <cfRule type="cellIs" priority="8" operator="equal" aboveAverage="0" equalAverage="0" bottom="0" percent="0" rank="0" text="" dxfId="5">
      <formula>"NEIN"</formula>
    </cfRule>
  </conditionalFormatting>
  <conditionalFormatting sqref="D18">
    <cfRule type="cellIs" priority="9" operator="equal" aboveAverage="0" equalAverage="0" bottom="0" percent="0" rank="0" text="" dxfId="4">
      <formula>"JA"</formula>
    </cfRule>
    <cfRule type="cellIs" priority="10" operator="equal" aboveAverage="0" equalAverage="0" bottom="0" percent="0" rank="0" text="" dxfId="5">
      <formula>"NEIN"</formula>
    </cfRule>
  </conditionalFormatting>
  <conditionalFormatting sqref="D19">
    <cfRule type="cellIs" priority="11" operator="equal" aboveAverage="0" equalAverage="0" bottom="0" percent="0" rank="0" text="" dxfId="4">
      <formula>"JA"</formula>
    </cfRule>
    <cfRule type="cellIs" priority="12" operator="equal" aboveAverage="0" equalAverage="0" bottom="0" percent="0" rank="0" text="" dxfId="5">
      <formula>"NEIN"</formula>
    </cfRule>
  </conditionalFormatting>
  <conditionalFormatting sqref="I6">
    <cfRule type="expression" priority="13" aboveAverage="0" equalAverage="0" bottom="0" percent="0" rank="0" text="" dxfId="0">
      <formula>LEFT($I$5,1)="A"</formula>
    </cfRule>
  </conditionalFormatting>
  <conditionalFormatting sqref="L9:L13">
    <cfRule type="dataBar" priority="14">
      <dataBar showValue="1" minLength="10" maxLength="90">
        <cfvo type="num" val="0"/>
        <cfvo type="num" val="1.5"/>
        <color rgb="FF5B9BD5"/>
      </dataBar>
      <extLst>
        <ext xmlns:x14="http://schemas.microsoft.com/office/spreadsheetml/2009/9/main" uri="{B025F937-C7B1-47D3-B67F-A62EFF666E3E}">
          <x14:id>{98CC978A-9057-4552-AFD6-87BC1D1FB1B6}</x14:id>
        </ext>
      </extLst>
    </cfRule>
    <cfRule type="cellIs" priority="15" operator="greaterThan" aboveAverage="0" equalAverage="0" bottom="0" percent="0" rank="0" text="" dxfId="1">
      <formula>Parameter!$B$12</formula>
    </cfRule>
    <cfRule type="cellIs" priority="16" operator="greaterThanOrEqual" aboveAverage="0" equalAverage="0" bottom="0" percent="0" rank="0" text="" dxfId="2">
      <formula>Parameter!$B$11</formula>
    </cfRule>
    <cfRule type="cellIs" priority="17" operator="lessThan" aboveAverage="0" equalAverage="0" bottom="0" percent="0" rank="0" text="" dxfId="3">
      <formula>Parameter!$B$11</formula>
    </cfRule>
  </conditionalFormatting>
  <conditionalFormatting sqref="K17">
    <cfRule type="cellIs" priority="18" operator="equal" aboveAverage="0" equalAverage="0" bottom="0" percent="0" rank="0" text="" dxfId="4">
      <formula>"JA"</formula>
    </cfRule>
    <cfRule type="cellIs" priority="19" operator="equal" aboveAverage="0" equalAverage="0" bottom="0" percent="0" rank="0" text="" dxfId="5">
      <formula>"NEIN"</formula>
    </cfRule>
  </conditionalFormatting>
  <conditionalFormatting sqref="J18">
    <cfRule type="cellIs" priority="20" operator="equal" aboveAverage="0" equalAverage="0" bottom="0" percent="0" rank="0" text="" dxfId="4">
      <formula>"JA"</formula>
    </cfRule>
    <cfRule type="cellIs" priority="21" operator="equal" aboveAverage="0" equalAverage="0" bottom="0" percent="0" rank="0" text="" dxfId="5">
      <formula>"NEIN"</formula>
    </cfRule>
  </conditionalFormatting>
  <conditionalFormatting sqref="J19">
    <cfRule type="cellIs" priority="22" operator="equal" aboveAverage="0" equalAverage="0" bottom="0" percent="0" rank="0" text="" dxfId="4">
      <formula>"JA"</formula>
    </cfRule>
    <cfRule type="cellIs" priority="23" operator="equal" aboveAverage="0" equalAverage="0" bottom="0" percent="0" rank="0" text="" dxfId="5">
      <formula>"NEIN"</formula>
    </cfRule>
  </conditionalFormatting>
  <conditionalFormatting sqref="O6">
    <cfRule type="expression" priority="24" aboveAverage="0" equalAverage="0" bottom="0" percent="0" rank="0" text="" dxfId="0">
      <formula>LEFT($O$5,1)="A"</formula>
    </cfRule>
  </conditionalFormatting>
  <conditionalFormatting sqref="R9:R13">
    <cfRule type="dataBar" priority="25">
      <dataBar showValue="1" minLength="10" maxLength="90">
        <cfvo type="num" val="0"/>
        <cfvo type="num" val="1.5"/>
        <color rgb="FF5B9BD5"/>
      </dataBar>
      <extLst>
        <ext xmlns:x14="http://schemas.microsoft.com/office/spreadsheetml/2009/9/main" uri="{B025F937-C7B1-47D3-B67F-A62EFF666E3E}">
          <x14:id>{56E3F977-A955-469B-964E-826460B54018}</x14:id>
        </ext>
      </extLst>
    </cfRule>
    <cfRule type="cellIs" priority="26" operator="greaterThan" aboveAverage="0" equalAverage="0" bottom="0" percent="0" rank="0" text="" dxfId="1">
      <formula>Parameter!$B$12</formula>
    </cfRule>
    <cfRule type="cellIs" priority="27" operator="greaterThanOrEqual" aboveAverage="0" equalAverage="0" bottom="0" percent="0" rank="0" text="" dxfId="2">
      <formula>Parameter!$B$11</formula>
    </cfRule>
    <cfRule type="cellIs" priority="28" operator="lessThan" aboveAverage="0" equalAverage="0" bottom="0" percent="0" rank="0" text="" dxfId="3">
      <formula>Parameter!$B$11</formula>
    </cfRule>
  </conditionalFormatting>
  <conditionalFormatting sqref="Q17">
    <cfRule type="cellIs" priority="29" operator="equal" aboveAverage="0" equalAverage="0" bottom="0" percent="0" rank="0" text="" dxfId="4">
      <formula>"JA"</formula>
    </cfRule>
    <cfRule type="cellIs" priority="30" operator="equal" aboveAverage="0" equalAverage="0" bottom="0" percent="0" rank="0" text="" dxfId="5">
      <formula>"NEIN"</formula>
    </cfRule>
  </conditionalFormatting>
  <conditionalFormatting sqref="P18">
    <cfRule type="cellIs" priority="31" operator="equal" aboveAverage="0" equalAverage="0" bottom="0" percent="0" rank="0" text="" dxfId="4">
      <formula>"JA"</formula>
    </cfRule>
    <cfRule type="cellIs" priority="32" operator="equal" aboveAverage="0" equalAverage="0" bottom="0" percent="0" rank="0" text="" dxfId="5">
      <formula>"NEIN"</formula>
    </cfRule>
  </conditionalFormatting>
  <conditionalFormatting sqref="P19">
    <cfRule type="cellIs" priority="33" operator="equal" aboveAverage="0" equalAverage="0" bottom="0" percent="0" rank="0" text="" dxfId="4">
      <formula>"JA"</formula>
    </cfRule>
    <cfRule type="cellIs" priority="34" operator="equal" aboveAverage="0" equalAverage="0" bottom="0" percent="0" rank="0" text="" dxfId="5">
      <formula>"NEIN"</formula>
    </cfRule>
  </conditionalFormatting>
  <dataValidations count="2">
    <dataValidation allowBlank="false" errorStyle="stop" operator="between" showDropDown="false" showErrorMessage="false" showInputMessage="false" sqref="C5 I5 O5" type="list">
      <formula1>Parameter!$D$23:$D$25</formula1>
      <formula2>0</formula2>
    </dataValidation>
    <dataValidation allowBlank="false" errorStyle="stop" operator="between" showDropDown="false" showErrorMessage="false" showInputMessage="false" sqref="C6 I6 O6" type="list">
      <formula1>Parameter!$A$23:$A$30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51D349-FD66-47FD-8C5D-60DE58F3D940}">
            <x14:dataBar minLength="10" maxLength="90" axisPosition="none" gradient="true">
              <x14:cfvo type="num">
                <xm:f>0</xm:f>
              </x14:cfvo>
              <x14:cfvo type="num">
                <xm:f>1.5</xm:f>
              </x14:cfvo>
              <x14:negativeFillColor rgb="FF5B9BD5"/>
              <x14:axisColor rgb="FF000000"/>
            </x14:dataBar>
          </x14:cfRule>
          <xm:sqref>F9:F13</xm:sqref>
        </x14:conditionalFormatting>
        <x14:conditionalFormatting xmlns:xm="http://schemas.microsoft.com/office/excel/2006/main">
          <x14:cfRule type="dataBar" id="{98CC978A-9057-4552-AFD6-87BC1D1FB1B6}">
            <x14:dataBar minLength="10" maxLength="90" axisPosition="none" gradient="true">
              <x14:cfvo type="num">
                <xm:f>0</xm:f>
              </x14:cfvo>
              <x14:cfvo type="num">
                <xm:f>1.5</xm:f>
              </x14:cfvo>
              <x14:negativeFillColor rgb="FF5B9BD5"/>
              <x14:axisColor rgb="FF000000"/>
            </x14:dataBar>
          </x14:cfRule>
          <xm:sqref>L9:L13</xm:sqref>
        </x14:conditionalFormatting>
        <x14:conditionalFormatting xmlns:xm="http://schemas.microsoft.com/office/excel/2006/main">
          <x14:cfRule type="dataBar" id="{56E3F977-A955-469B-964E-826460B54018}">
            <x14:dataBar minLength="10" maxLength="90" axisPosition="none" gradient="true">
              <x14:cfvo type="num">
                <xm:f>0</xm:f>
              </x14:cfvo>
              <x14:cfvo type="num">
                <xm:f>1.5</xm:f>
              </x14:cfvo>
              <x14:negativeFillColor rgb="FF5B9BD5"/>
              <x14:axisColor rgb="FF000000"/>
            </x14:dataBar>
          </x14:cfRule>
          <xm:sqref>R9:R13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P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5" min="3" style="0" width="9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5" min="13" style="0" width="10"/>
    <col collapsed="false" customWidth="true" hidden="false" outlineLevel="0" max="16" min="16" style="0" width="11"/>
  </cols>
  <sheetData>
    <row r="1" customFormat="false" ht="17.35" hidden="false" customHeight="false" outlineLevel="0" collapsed="false">
      <c r="A1" s="32" t="s">
        <v>46</v>
      </c>
    </row>
    <row r="2" customFormat="false" ht="15" hidden="false" customHeight="false" outlineLevel="0" collapsed="false">
      <c r="A2" s="33" t="s">
        <v>47</v>
      </c>
    </row>
    <row r="4" customFormat="false" ht="30" hidden="false" customHeight="true" outlineLevel="0" collapsed="false">
      <c r="A4" s="9" t="s">
        <v>5</v>
      </c>
      <c r="B4" s="9" t="s">
        <v>8</v>
      </c>
      <c r="C4" s="9" t="s">
        <v>48</v>
      </c>
      <c r="D4" s="9" t="s">
        <v>49</v>
      </c>
      <c r="E4" s="9" t="s">
        <v>50</v>
      </c>
      <c r="F4" s="9" t="s">
        <v>51</v>
      </c>
      <c r="G4" s="9" t="s">
        <v>52</v>
      </c>
      <c r="H4" s="9" t="s">
        <v>53</v>
      </c>
      <c r="I4" s="9" t="s">
        <v>54</v>
      </c>
      <c r="J4" s="9" t="s">
        <v>55</v>
      </c>
      <c r="K4" s="9" t="s">
        <v>56</v>
      </c>
      <c r="L4" s="9" t="s">
        <v>57</v>
      </c>
      <c r="M4" s="9" t="s">
        <v>58</v>
      </c>
      <c r="N4" s="9" t="s">
        <v>59</v>
      </c>
      <c r="O4" s="9" t="s">
        <v>60</v>
      </c>
      <c r="P4" s="9" t="s">
        <v>61</v>
      </c>
    </row>
    <row r="5" customFormat="false" ht="15" hidden="false" customHeight="false" outlineLevel="0" collapsed="false">
      <c r="A5" s="34" t="s">
        <v>62</v>
      </c>
      <c r="B5" s="35" t="s">
        <v>63</v>
      </c>
      <c r="C5" s="36" t="n">
        <f aca="false">M5/Parameter!$E$5</f>
        <v>1.08065774804905</v>
      </c>
      <c r="D5" s="36" t="n">
        <f aca="false">N5/Parameter!$E$6</f>
        <v>1.33348484848485</v>
      </c>
      <c r="E5" s="36" t="n">
        <f aca="false">O5/Parameter!$E$7</f>
        <v>0.604149184149184</v>
      </c>
      <c r="F5" s="37" t="n">
        <f aca="false">(N5+O5)/(Parameter!$E$6+Parameter!$E$7)</f>
        <v>0.968817016317016</v>
      </c>
      <c r="G5" s="37" t="n">
        <f aca="false">(M5+N5+O5)/Parameter!$E$8</f>
        <v>1.0060972602277</v>
      </c>
      <c r="H5" s="38" t="str">
        <f aca="false">IF(AND(M5&lt;=Parameter!$E$5,N5+O5&lt;=Parameter!$E$6+Parameter!$E$7),"JA","NEIN")</f>
        <v>NEIN</v>
      </c>
      <c r="I5" s="39" t="n">
        <f aca="false">MAX(0,M5-Parameter!$E$5)+MAX(0,N5+O5-Parameter!$E$6-Parameter!$E$7)+P5</f>
        <v>4.03288740245262</v>
      </c>
      <c r="J5" s="40" t="n">
        <f aca="false">SUMPRODUCT(A_IST*A_PREIS)</f>
        <v>3451046.21423</v>
      </c>
      <c r="K5" s="41" t="n">
        <f aca="false">J5-$J$5</f>
        <v>0</v>
      </c>
      <c r="L5" s="42" t="n">
        <f aca="false">(M5+N5+O5+P5)-($M$5+$N$5+$O$5+$P$5)</f>
        <v>0</v>
      </c>
      <c r="M5" s="11" t="n">
        <f aca="false">SUMPRODUCT((A_LIFT=1)*((A_FACH&gt;0)*A_FACH*(1+(A_KAPR&gt;0)*(A_IST&gt;A_KAPR)*(A_IST/(A_KAPR+(A_KAPR=0))-1))+(A_FACH=0)*((1-A_LOSE)*(A_GPT&gt;0)*A_ISTN/(A_GPT+(A_GPT=0))+A_LOSE*(A_IST&gt;0)*A_LA*(1+(A_IST&gt;0)*(A_IST&gt;A_IST)*(A_IST/(A_IST+(A_IST=0))-1)))/MAX(0.1,N(Parameter!$M$21))))</f>
        <v>54.0328874024526</v>
      </c>
      <c r="N5" s="11" t="n">
        <f aca="false">SUMPRODUCT((A_LIFT=2)*((A_FACH&gt;0)*A_FACH*(1+(A_KAPR&gt;0)*(A_IST&gt;A_KAPR)*(A_IST/(A_KAPR+(A_KAPR=0))-1))+(A_FACH=0)*((1-A_LOSE)*(A_GPT&gt;0)*A_ISTN/(A_GPT+(A_GPT=0))+A_LOSE*(A_IST&gt;0)*A_LA*(1+(A_IST&gt;0)*(A_IST&gt;A_IST)*(A_IST/(A_IST+(A_IST=0))-1)))/MAX(0.1,N(Parameter!$M$21))))</f>
        <v>66.6742424242424</v>
      </c>
      <c r="O5" s="11" t="n">
        <f aca="false">SUMPRODUCT((A_LIFT=3)*((A_FACH&gt;0)*A_FACH*(1+(A_KAPR&gt;0)*(A_IST&gt;A_KAPR)*(A_IST/(A_KAPR+(A_KAPR=0))-1))+(A_FACH=0)*((1-A_LOSE)*(A_GPT&gt;0)*A_ISTN/(A_GPT+(A_GPT=0))+A_LOSE*(A_IST&gt;0)*A_LA*(1+(A_IST&gt;0)*(A_IST&gt;A_IST)*(A_IST/(A_IST+(A_IST=0))-1)))/MAX(0.1,N(Parameter!$M$21))))</f>
        <v>30.2074592074592</v>
      </c>
      <c r="P5" s="11" t="n">
        <f aca="false">SUMPRODUCT((A_LIFT="Aussen")*((A_FACH&gt;0)*A_FACH*(1+(A_KAPR&gt;0)*(A_IST&gt;A_KAPR)*(A_IST/(A_KAPR+(A_KAPR=0))-1))+(A_FACH=0)*((1-A_LOSE)*(A_GPT&gt;0)*A_ISTN/(A_GPT+(A_GPT=0))+A_LOSE*(A_IST&gt;0)*A_LA*(1+(A_IST&gt;0)*(A_IST&gt;A_IST)*(A_IST/(A_IST+(A_IST=0))-1)))/MAX(0.1,N(Parameter!$M$21))))</f>
        <v>0</v>
      </c>
    </row>
    <row r="6" customFormat="false" ht="15" hidden="false" customHeight="false" outlineLevel="0" collapsed="false">
      <c r="A6" s="10" t="s">
        <v>64</v>
      </c>
      <c r="B6" s="43" t="n">
        <f aca="false">Parameter!$A$23</f>
        <v>1</v>
      </c>
      <c r="C6" s="30" t="n">
        <f aca="false">M6/Parameter!$E$5</f>
        <v>2.07071207225592</v>
      </c>
      <c r="D6" s="30" t="n">
        <f aca="false">N6/Parameter!$E$6</f>
        <v>2.45681818181818</v>
      </c>
      <c r="E6" s="30" t="n">
        <f aca="false">O6/Parameter!$E$7</f>
        <v>0.811546907199081</v>
      </c>
      <c r="F6" s="14" t="n">
        <f aca="false">(N6+O6)/(Parameter!$E$6+Parameter!$E$7)</f>
        <v>1.63418254450863</v>
      </c>
      <c r="G6" s="14" t="n">
        <f aca="false">(M6+N6+O6)/Parameter!$E$8</f>
        <v>1.77969238709106</v>
      </c>
      <c r="H6" s="44" t="str">
        <f aca="false">IF(AND(M6&lt;=Parameter!$E$5,N6+O6&lt;=Parameter!$E$6+Parameter!$E$7),"JA","NEIN")</f>
        <v>NEIN</v>
      </c>
      <c r="I6" s="11" t="n">
        <f aca="false">MAX(0,M6-Parameter!$E$5)+MAX(0,N6+O6-Parameter!$E$6-Parameter!$E$7)+P6</f>
        <v>116.953858063659</v>
      </c>
      <c r="J6" s="45" t="n">
        <f aca="false">SUMPRODUCT((A_FINF*A_FINV+(1-A_FINF)*ROUNDUP((A_VERB/(A_LUO+(A_LUO=0)*$B6)+(A_MBLG&gt;A_VERB/(A_LUO+(A_LUO=0)*$B6))*(A_MBLG-A_VERB/(A_LUO+(A_LUO=0)*$B6)))/A_MPG_E,0)*A_MPG_E)*A_PREIS)</f>
        <v>11203695.32489</v>
      </c>
      <c r="K6" s="46" t="n">
        <f aca="false">J6-$J$5</f>
        <v>7752649.11066</v>
      </c>
      <c r="L6" s="47" t="n">
        <f aca="false">(M6+N6+O6+P6)-($M$5+$N$5+$O$5+$P$5)</f>
        <v>116.039269029505</v>
      </c>
      <c r="M6" s="11" t="n">
        <f aca="false">SUMPRODUCT((A_LIFT=1)*((A_FACH&gt;0)*A_FACH*(1+(A_KAPR&gt;0)*((A_FINF*A_FINV+(1-A_FINF)*ROUNDUP((A_VERB/(A_LUO+(A_LUO=0)*$B6)+(A_MBLG&gt;A_VERB/(A_LUO+(A_LUO=0)*$B6))*(A_MBLG-A_VERB/(A_LUO+(A_LUO=0)*$B6)))/A_MPG_E,0)*A_MPG_E)&gt;A_KAPR)*((A_FINF*A_FINV+(1-A_FINF)*ROUNDUP((A_VERB/(A_LUO+(A_LUO=0)*$B6)+(A_MBLG&gt;A_VERB/(A_LUO+(A_LUO=0)*$B6))*(A_MBLG-A_VERB/(A_LUO+(A_LUO=0)*$B6)))/A_MPG_E,0)*A_MPG_E)/(A_KAPR+(A_KAPR=0))-1))+(A_FACH=0)*((1-A_LOSE)*(A_GPT&gt;0)*(A_FINF*A_FINN+(1-A_FINF)*ROUNDUP((A_VERB/(A_LUO+(A_LUO=0)*$B6)+(A_MBLG&gt;A_VERB/(A_LUO+(A_LUO=0)*$B6))*(A_MBLG-A_VERB/(A_LUO+(A_LUO=0)*$B6)))/A_MPG_E,0))/(A_GPT+(A_GPT=0))+A_LOSE*((A_FINF*A_FINN+(1-A_FINF)*ROUNDUP((A_VERB/(A_LUO+(A_LUO=0)*$B6)+(A_MBLG&gt;A_VERB/(A_LUO+(A_LUO=0)*$B6))*(A_MBLG-A_VERB/(A_LUO+(A_LUO=0)*$B6)))/A_MPG_E,0))&gt;0)*A_LA*(1+(A_IST&gt;0)*((A_FINF*A_FINN+(1-A_FINF)*ROUNDUP((A_VERB/(A_LUO+(A_LUO=0)*$B6)+(A_MBLG&gt;A_VERB/(A_LUO+(A_LUO=0)*$B6))*(A_MBLG-A_VERB/(A_LUO+(A_LUO=0)*$B6)))/A_MPG_E,0))&gt;A_IST)*((A_FINF*A_FINN+(1-A_FINF)*ROUNDUP((A_VERB/(A_LUO+(A_LUO=0)*$B6)+(A_MBLG&gt;A_VERB/(A_LUO+(A_LUO=0)*$B6))*(A_MBLG-A_VERB/(A_LUO+(A_LUO=0)*$B6)))/A_MPG_E,0))/(A_IST+(A_IST=0))-1)))/MAX(0.1,N(Parameter!$M$21))))</f>
        <v>103.535603612796</v>
      </c>
      <c r="N6" s="11" t="n">
        <f aca="false">SUMPRODUCT((A_LIFT=2)*((A_FACH&gt;0)*A_FACH*(1+(A_KAPR&gt;0)*((A_FINF*A_FINV+(1-A_FINF)*ROUNDUP((A_VERB/(A_LUO+(A_LUO=0)*$B6)+(A_MBLG&gt;A_VERB/(A_LUO+(A_LUO=0)*$B6))*(A_MBLG-A_VERB/(A_LUO+(A_LUO=0)*$B6)))/A_MPG_E,0)*A_MPG_E)&gt;A_KAPR)*((A_FINF*A_FINV+(1-A_FINF)*ROUNDUP((A_VERB/(A_LUO+(A_LUO=0)*$B6)+(A_MBLG&gt;A_VERB/(A_LUO+(A_LUO=0)*$B6))*(A_MBLG-A_VERB/(A_LUO+(A_LUO=0)*$B6)))/A_MPG_E,0)*A_MPG_E)/(A_KAPR+(A_KAPR=0))-1))+(A_FACH=0)*((1-A_LOSE)*(A_GPT&gt;0)*(A_FINF*A_FINN+(1-A_FINF)*ROUNDUP((A_VERB/(A_LUO+(A_LUO=0)*$B6)+(A_MBLG&gt;A_VERB/(A_LUO+(A_LUO=0)*$B6))*(A_MBLG-A_VERB/(A_LUO+(A_LUO=0)*$B6)))/A_MPG_E,0))/(A_GPT+(A_GPT=0))+A_LOSE*((A_FINF*A_FINN+(1-A_FINF)*ROUNDUP((A_VERB/(A_LUO+(A_LUO=0)*$B6)+(A_MBLG&gt;A_VERB/(A_LUO+(A_LUO=0)*$B6))*(A_MBLG-A_VERB/(A_LUO+(A_LUO=0)*$B6)))/A_MPG_E,0))&gt;0)*A_LA*(1+(A_IST&gt;0)*((A_FINF*A_FINN+(1-A_FINF)*ROUNDUP((A_VERB/(A_LUO+(A_LUO=0)*$B6)+(A_MBLG&gt;A_VERB/(A_LUO+(A_LUO=0)*$B6))*(A_MBLG-A_VERB/(A_LUO+(A_LUO=0)*$B6)))/A_MPG_E,0))&gt;A_IST)*((A_FINF*A_FINN+(1-A_FINF)*ROUNDUP((A_VERB/(A_LUO+(A_LUO=0)*$B6)+(A_MBLG&gt;A_VERB/(A_LUO+(A_LUO=0)*$B6))*(A_MBLG-A_VERB/(A_LUO+(A_LUO=0)*$B6)))/A_MPG_E,0))/(A_IST+(A_IST=0))-1)))/MAX(0.1,N(Parameter!$M$21))))</f>
        <v>122.840909090909</v>
      </c>
      <c r="O6" s="11" t="n">
        <f aca="false">SUMPRODUCT((A_LIFT=3)*((A_FACH&gt;0)*A_FACH*(1+(A_KAPR&gt;0)*((A_FINF*A_FINV+(1-A_FINF)*ROUNDUP((A_VERB/(A_LUO+(A_LUO=0)*$B6)+(A_MBLG&gt;A_VERB/(A_LUO+(A_LUO=0)*$B6))*(A_MBLG-A_VERB/(A_LUO+(A_LUO=0)*$B6)))/A_MPG_E,0)*A_MPG_E)&gt;A_KAPR)*((A_FINF*A_FINV+(1-A_FINF)*ROUNDUP((A_VERB/(A_LUO+(A_LUO=0)*$B6)+(A_MBLG&gt;A_VERB/(A_LUO+(A_LUO=0)*$B6))*(A_MBLG-A_VERB/(A_LUO+(A_LUO=0)*$B6)))/A_MPG_E,0)*A_MPG_E)/(A_KAPR+(A_KAPR=0))-1))+(A_FACH=0)*((1-A_LOSE)*(A_GPT&gt;0)*(A_FINF*A_FINN+(1-A_FINF)*ROUNDUP((A_VERB/(A_LUO+(A_LUO=0)*$B6)+(A_MBLG&gt;A_VERB/(A_LUO+(A_LUO=0)*$B6))*(A_MBLG-A_VERB/(A_LUO+(A_LUO=0)*$B6)))/A_MPG_E,0))/(A_GPT+(A_GPT=0))+A_LOSE*((A_FINF*A_FINN+(1-A_FINF)*ROUNDUP((A_VERB/(A_LUO+(A_LUO=0)*$B6)+(A_MBLG&gt;A_VERB/(A_LUO+(A_LUO=0)*$B6))*(A_MBLG-A_VERB/(A_LUO+(A_LUO=0)*$B6)))/A_MPG_E,0))&gt;0)*A_LA*(1+(A_IST&gt;0)*((A_FINF*A_FINN+(1-A_FINF)*ROUNDUP((A_VERB/(A_LUO+(A_LUO=0)*$B6)+(A_MBLG&gt;A_VERB/(A_LUO+(A_LUO=0)*$B6))*(A_MBLG-A_VERB/(A_LUO+(A_LUO=0)*$B6)))/A_MPG_E,0))&gt;A_IST)*((A_FINF*A_FINN+(1-A_FINF)*ROUNDUP((A_VERB/(A_LUO+(A_LUO=0)*$B6)+(A_MBLG&gt;A_VERB/(A_LUO+(A_LUO=0)*$B6))*(A_MBLG-A_VERB/(A_LUO+(A_LUO=0)*$B6)))/A_MPG_E,0))/(A_IST+(A_IST=0))-1)))/MAX(0.1,N(Parameter!$M$21))))</f>
        <v>40.5773453599541</v>
      </c>
      <c r="P6" s="11" t="n">
        <f aca="false">SUMPRODUCT((A_LIFT="Aussen")*((A_FACH&gt;0)*A_FACH*(1+(A_KAPR&gt;0)*((A_FINF*A_FINV+(1-A_FINF)*ROUNDUP((A_VERB/(A_LUO+(A_LUO=0)*$B6)+(A_MBLG&gt;A_VERB/(A_LUO+(A_LUO=0)*$B6))*(A_MBLG-A_VERB/(A_LUO+(A_LUO=0)*$B6)))/A_MPG_E,0)*A_MPG_E)&gt;A_KAPR)*((A_FINF*A_FINV+(1-A_FINF)*ROUNDUP((A_VERB/(A_LUO+(A_LUO=0)*$B6)+(A_MBLG&gt;A_VERB/(A_LUO+(A_LUO=0)*$B6))*(A_MBLG-A_VERB/(A_LUO+(A_LUO=0)*$B6)))/A_MPG_E,0)*A_MPG_E)/(A_KAPR+(A_KAPR=0))-1))+(A_FACH=0)*((1-A_LOSE)*(A_GPT&gt;0)*(A_FINF*A_FINN+(1-A_FINF)*ROUNDUP((A_VERB/(A_LUO+(A_LUO=0)*$B6)+(A_MBLG&gt;A_VERB/(A_LUO+(A_LUO=0)*$B6))*(A_MBLG-A_VERB/(A_LUO+(A_LUO=0)*$B6)))/A_MPG_E,0))/(A_GPT+(A_GPT=0))+A_LOSE*((A_FINF*A_FINN+(1-A_FINF)*ROUNDUP((A_VERB/(A_LUO+(A_LUO=0)*$B6)+(A_MBLG&gt;A_VERB/(A_LUO+(A_LUO=0)*$B6))*(A_MBLG-A_VERB/(A_LUO+(A_LUO=0)*$B6)))/A_MPG_E,0))&gt;0)*A_LA*(1+(A_IST&gt;0)*((A_FINF*A_FINN+(1-A_FINF)*ROUNDUP((A_VERB/(A_LUO+(A_LUO=0)*$B6)+(A_MBLG&gt;A_VERB/(A_LUO+(A_LUO=0)*$B6))*(A_MBLG-A_VERB/(A_LUO+(A_LUO=0)*$B6)))/A_MPG_E,0))&gt;A_IST)*((A_FINF*A_FINN+(1-A_FINF)*ROUNDUP((A_VERB/(A_LUO+(A_LUO=0)*$B6)+(A_MBLG&gt;A_VERB/(A_LUO+(A_LUO=0)*$B6))*(A_MBLG-A_VERB/(A_LUO+(A_LUO=0)*$B6)))/A_MPG_E,0))/(A_IST+(A_IST=0))-1)))/MAX(0.1,N(Parameter!$M$21))))</f>
        <v>0</v>
      </c>
    </row>
    <row r="7" customFormat="false" ht="15" hidden="false" customHeight="false" outlineLevel="0" collapsed="false">
      <c r="A7" s="10" t="s">
        <v>64</v>
      </c>
      <c r="B7" s="43" t="n">
        <f aca="false">Parameter!$A$24</f>
        <v>1.5</v>
      </c>
      <c r="C7" s="30" t="n">
        <f aca="false">M7/Parameter!$E$5</f>
        <v>1.6096132746317</v>
      </c>
      <c r="D7" s="30" t="n">
        <f aca="false">N7/Parameter!$E$6</f>
        <v>2.02848484848485</v>
      </c>
      <c r="E7" s="30" t="n">
        <f aca="false">O7/Parameter!$E$7</f>
        <v>0.73998513563731</v>
      </c>
      <c r="F7" s="14" t="n">
        <f aca="false">(N7+O7)/(Parameter!$E$6+Parameter!$E$7)</f>
        <v>1.38423499206108</v>
      </c>
      <c r="G7" s="14" t="n">
        <f aca="false">(M7+N7+O7)/Parameter!$E$8</f>
        <v>1.45936108625129</v>
      </c>
      <c r="H7" s="44" t="str">
        <f aca="false">IF(AND(M7&lt;=Parameter!$E$5,N7+O7&lt;=Parameter!$E$6+Parameter!$E$7),"JA","NEIN")</f>
        <v>NEIN</v>
      </c>
      <c r="I7" s="11" t="n">
        <f aca="false">MAX(0,M7-Parameter!$E$5)+MAX(0,N7+O7-Parameter!$E$6-Parameter!$E$7)+P7</f>
        <v>68.9041629376928</v>
      </c>
      <c r="J7" s="45" t="n">
        <f aca="false">SUMPRODUCT((A_FINF*A_FINV+(1-A_FINF)*ROUNDUP((A_VERB/(A_LUO+(A_LUO=0)*$B7)+(A_MBLG&gt;A_VERB/(A_LUO+(A_LUO=0)*$B7))*(A_MBLG-A_VERB/(A_LUO+(A_LUO=0)*$B7)))/A_MPG_E,0)*A_MPG_E)*A_PREIS)</f>
        <v>8790985.13026</v>
      </c>
      <c r="K7" s="46" t="n">
        <f aca="false">J7-$J$5</f>
        <v>5339938.91603</v>
      </c>
      <c r="L7" s="47" t="n">
        <f aca="false">(M7+N7+O7+P7)-($M$5+$N$5+$O$5+$P$5)</f>
        <v>67.9895739035385</v>
      </c>
      <c r="M7" s="11" t="n">
        <f aca="false">SUMPRODUCT((A_LIFT=1)*((A_FACH&gt;0)*A_FACH*(1+(A_KAPR&gt;0)*((A_FINF*A_FINV+(1-A_FINF)*ROUNDUP((A_VERB/(A_LUO+(A_LUO=0)*$B7)+(A_MBLG&gt;A_VERB/(A_LUO+(A_LUO=0)*$B7))*(A_MBLG-A_VERB/(A_LUO+(A_LUO=0)*$B7)))/A_MPG_E,0)*A_MPG_E)&gt;A_KAPR)*((A_FINF*A_FINV+(1-A_FINF)*ROUNDUP((A_VERB/(A_LUO+(A_LUO=0)*$B7)+(A_MBLG&gt;A_VERB/(A_LUO+(A_LUO=0)*$B7))*(A_MBLG-A_VERB/(A_LUO+(A_LUO=0)*$B7)))/A_MPG_E,0)*A_MPG_E)/(A_KAPR+(A_KAPR=0))-1))+(A_FACH=0)*((1-A_LOSE)*(A_GPT&gt;0)*(A_FINF*A_FINN+(1-A_FINF)*ROUNDUP((A_VERB/(A_LUO+(A_LUO=0)*$B7)+(A_MBLG&gt;A_VERB/(A_LUO+(A_LUO=0)*$B7))*(A_MBLG-A_VERB/(A_LUO+(A_LUO=0)*$B7)))/A_MPG_E,0))/(A_GPT+(A_GPT=0))+A_LOSE*((A_FINF*A_FINN+(1-A_FINF)*ROUNDUP((A_VERB/(A_LUO+(A_LUO=0)*$B7)+(A_MBLG&gt;A_VERB/(A_LUO+(A_LUO=0)*$B7))*(A_MBLG-A_VERB/(A_LUO+(A_LUO=0)*$B7)))/A_MPG_E,0))&gt;0)*A_LA*(1+(A_IST&gt;0)*((A_FINF*A_FINN+(1-A_FINF)*ROUNDUP((A_VERB/(A_LUO+(A_LUO=0)*$B7)+(A_MBLG&gt;A_VERB/(A_LUO+(A_LUO=0)*$B7))*(A_MBLG-A_VERB/(A_LUO+(A_LUO=0)*$B7)))/A_MPG_E,0))&gt;A_IST)*((A_FINF*A_FINN+(1-A_FINF)*ROUNDUP((A_VERB/(A_LUO+(A_LUO=0)*$B7)+(A_MBLG&gt;A_VERB/(A_LUO+(A_LUO=0)*$B7))*(A_MBLG-A_VERB/(A_LUO+(A_LUO=0)*$B7)))/A_MPG_E,0))/(A_IST+(A_IST=0))-1)))/MAX(0.1,N(Parameter!$M$21))))</f>
        <v>80.4806637315849</v>
      </c>
      <c r="N7" s="11" t="n">
        <f aca="false">SUMPRODUCT((A_LIFT=2)*((A_FACH&gt;0)*A_FACH*(1+(A_KAPR&gt;0)*((A_FINF*A_FINV+(1-A_FINF)*ROUNDUP((A_VERB/(A_LUO+(A_LUO=0)*$B7)+(A_MBLG&gt;A_VERB/(A_LUO+(A_LUO=0)*$B7))*(A_MBLG-A_VERB/(A_LUO+(A_LUO=0)*$B7)))/A_MPG_E,0)*A_MPG_E)&gt;A_KAPR)*((A_FINF*A_FINV+(1-A_FINF)*ROUNDUP((A_VERB/(A_LUO+(A_LUO=0)*$B7)+(A_MBLG&gt;A_VERB/(A_LUO+(A_LUO=0)*$B7))*(A_MBLG-A_VERB/(A_LUO+(A_LUO=0)*$B7)))/A_MPG_E,0)*A_MPG_E)/(A_KAPR+(A_KAPR=0))-1))+(A_FACH=0)*((1-A_LOSE)*(A_GPT&gt;0)*(A_FINF*A_FINN+(1-A_FINF)*ROUNDUP((A_VERB/(A_LUO+(A_LUO=0)*$B7)+(A_MBLG&gt;A_VERB/(A_LUO+(A_LUO=0)*$B7))*(A_MBLG-A_VERB/(A_LUO+(A_LUO=0)*$B7)))/A_MPG_E,0))/(A_GPT+(A_GPT=0))+A_LOSE*((A_FINF*A_FINN+(1-A_FINF)*ROUNDUP((A_VERB/(A_LUO+(A_LUO=0)*$B7)+(A_MBLG&gt;A_VERB/(A_LUO+(A_LUO=0)*$B7))*(A_MBLG-A_VERB/(A_LUO+(A_LUO=0)*$B7)))/A_MPG_E,0))&gt;0)*A_LA*(1+(A_IST&gt;0)*((A_FINF*A_FINN+(1-A_FINF)*ROUNDUP((A_VERB/(A_LUO+(A_LUO=0)*$B7)+(A_MBLG&gt;A_VERB/(A_LUO+(A_LUO=0)*$B7))*(A_MBLG-A_VERB/(A_LUO+(A_LUO=0)*$B7)))/A_MPG_E,0))&gt;A_IST)*((A_FINF*A_FINN+(1-A_FINF)*ROUNDUP((A_VERB/(A_LUO+(A_LUO=0)*$B7)+(A_MBLG&gt;A_VERB/(A_LUO+(A_LUO=0)*$B7))*(A_MBLG-A_VERB/(A_LUO+(A_LUO=0)*$B7)))/A_MPG_E,0))/(A_IST+(A_IST=0))-1)))/MAX(0.1,N(Parameter!$M$21))))</f>
        <v>101.424242424242</v>
      </c>
      <c r="O7" s="11" t="n">
        <f aca="false">SUMPRODUCT((A_LIFT=3)*((A_FACH&gt;0)*A_FACH*(1+(A_KAPR&gt;0)*((A_FINF*A_FINV+(1-A_FINF)*ROUNDUP((A_VERB/(A_LUO+(A_LUO=0)*$B7)+(A_MBLG&gt;A_VERB/(A_LUO+(A_LUO=0)*$B7))*(A_MBLG-A_VERB/(A_LUO+(A_LUO=0)*$B7)))/A_MPG_E,0)*A_MPG_E)&gt;A_KAPR)*((A_FINF*A_FINV+(1-A_FINF)*ROUNDUP((A_VERB/(A_LUO+(A_LUO=0)*$B7)+(A_MBLG&gt;A_VERB/(A_LUO+(A_LUO=0)*$B7))*(A_MBLG-A_VERB/(A_LUO+(A_LUO=0)*$B7)))/A_MPG_E,0)*A_MPG_E)/(A_KAPR+(A_KAPR=0))-1))+(A_FACH=0)*((1-A_LOSE)*(A_GPT&gt;0)*(A_FINF*A_FINN+(1-A_FINF)*ROUNDUP((A_VERB/(A_LUO+(A_LUO=0)*$B7)+(A_MBLG&gt;A_VERB/(A_LUO+(A_LUO=0)*$B7))*(A_MBLG-A_VERB/(A_LUO+(A_LUO=0)*$B7)))/A_MPG_E,0))/(A_GPT+(A_GPT=0))+A_LOSE*((A_FINF*A_FINN+(1-A_FINF)*ROUNDUP((A_VERB/(A_LUO+(A_LUO=0)*$B7)+(A_MBLG&gt;A_VERB/(A_LUO+(A_LUO=0)*$B7))*(A_MBLG-A_VERB/(A_LUO+(A_LUO=0)*$B7)))/A_MPG_E,0))&gt;0)*A_LA*(1+(A_IST&gt;0)*((A_FINF*A_FINN+(1-A_FINF)*ROUNDUP((A_VERB/(A_LUO+(A_LUO=0)*$B7)+(A_MBLG&gt;A_VERB/(A_LUO+(A_LUO=0)*$B7))*(A_MBLG-A_VERB/(A_LUO+(A_LUO=0)*$B7)))/A_MPG_E,0))&gt;A_IST)*((A_FINF*A_FINN+(1-A_FINF)*ROUNDUP((A_VERB/(A_LUO+(A_LUO=0)*$B7)+(A_MBLG&gt;A_VERB/(A_LUO+(A_LUO=0)*$B7))*(A_MBLG-A_VERB/(A_LUO+(A_LUO=0)*$B7)))/A_MPG_E,0))/(A_IST+(A_IST=0))-1)))/MAX(0.1,N(Parameter!$M$21))))</f>
        <v>36.9992567818655</v>
      </c>
      <c r="P7" s="11" t="n">
        <f aca="false">SUMPRODUCT((A_LIFT="Aussen")*((A_FACH&gt;0)*A_FACH*(1+(A_KAPR&gt;0)*((A_FINF*A_FINV+(1-A_FINF)*ROUNDUP((A_VERB/(A_LUO+(A_LUO=0)*$B7)+(A_MBLG&gt;A_VERB/(A_LUO+(A_LUO=0)*$B7))*(A_MBLG-A_VERB/(A_LUO+(A_LUO=0)*$B7)))/A_MPG_E,0)*A_MPG_E)&gt;A_KAPR)*((A_FINF*A_FINV+(1-A_FINF)*ROUNDUP((A_VERB/(A_LUO+(A_LUO=0)*$B7)+(A_MBLG&gt;A_VERB/(A_LUO+(A_LUO=0)*$B7))*(A_MBLG-A_VERB/(A_LUO+(A_LUO=0)*$B7)))/A_MPG_E,0)*A_MPG_E)/(A_KAPR+(A_KAPR=0))-1))+(A_FACH=0)*((1-A_LOSE)*(A_GPT&gt;0)*(A_FINF*A_FINN+(1-A_FINF)*ROUNDUP((A_VERB/(A_LUO+(A_LUO=0)*$B7)+(A_MBLG&gt;A_VERB/(A_LUO+(A_LUO=0)*$B7))*(A_MBLG-A_VERB/(A_LUO+(A_LUO=0)*$B7)))/A_MPG_E,0))/(A_GPT+(A_GPT=0))+A_LOSE*((A_FINF*A_FINN+(1-A_FINF)*ROUNDUP((A_VERB/(A_LUO+(A_LUO=0)*$B7)+(A_MBLG&gt;A_VERB/(A_LUO+(A_LUO=0)*$B7))*(A_MBLG-A_VERB/(A_LUO+(A_LUO=0)*$B7)))/A_MPG_E,0))&gt;0)*A_LA*(1+(A_IST&gt;0)*((A_FINF*A_FINN+(1-A_FINF)*ROUNDUP((A_VERB/(A_LUO+(A_LUO=0)*$B7)+(A_MBLG&gt;A_VERB/(A_LUO+(A_LUO=0)*$B7))*(A_MBLG-A_VERB/(A_LUO+(A_LUO=0)*$B7)))/A_MPG_E,0))&gt;A_IST)*((A_FINF*A_FINN+(1-A_FINF)*ROUNDUP((A_VERB/(A_LUO+(A_LUO=0)*$B7)+(A_MBLG&gt;A_VERB/(A_LUO+(A_LUO=0)*$B7))*(A_MBLG-A_VERB/(A_LUO+(A_LUO=0)*$B7)))/A_MPG_E,0))/(A_IST+(A_IST=0))-1)))/MAX(0.1,N(Parameter!$M$21))))</f>
        <v>0</v>
      </c>
    </row>
    <row r="8" customFormat="false" ht="15" hidden="false" customHeight="false" outlineLevel="0" collapsed="false">
      <c r="A8" s="10" t="s">
        <v>64</v>
      </c>
      <c r="B8" s="43" t="n">
        <f aca="false">Parameter!$A$25</f>
        <v>2</v>
      </c>
      <c r="C8" s="30" t="n">
        <f aca="false">M8/Parameter!$E$5</f>
        <v>1.40986099301501</v>
      </c>
      <c r="D8" s="30" t="n">
        <f aca="false">N8/Parameter!$E$6</f>
        <v>1.80515151515152</v>
      </c>
      <c r="E8" s="30" t="n">
        <f aca="false">O8/Parameter!$E$7</f>
        <v>0.710128880781055</v>
      </c>
      <c r="F8" s="14" t="n">
        <f aca="false">(N8+O8)/(Parameter!$E$6+Parameter!$E$7)</f>
        <v>1.25764019796628</v>
      </c>
      <c r="G8" s="14" t="n">
        <f aca="false">(M8+N8+O8)/Parameter!$E$8</f>
        <v>1.30838046298253</v>
      </c>
      <c r="H8" s="44" t="str">
        <f aca="false">IF(AND(M8&lt;=Parameter!$E$5,N8+O8&lt;=Parameter!$E$6+Parameter!$E$7),"JA","NEIN")</f>
        <v>NEIN</v>
      </c>
      <c r="I8" s="11" t="n">
        <f aca="false">MAX(0,M8-Parameter!$E$5)+MAX(0,N8+O8-Parameter!$E$6-Parameter!$E$7)+P8</f>
        <v>46.257069447379</v>
      </c>
      <c r="J8" s="45" t="n">
        <f aca="false">SUMPRODUCT((A_FINF*A_FINV+(1-A_FINF)*ROUNDUP((A_VERB/(A_LUO+(A_LUO=0)*$B8)+(A_MBLG&gt;A_VERB/(A_LUO+(A_LUO=0)*$B8))*(A_MBLG-A_VERB/(A_LUO+(A_LUO=0)*$B8)))/A_MPG_E,0)*A_MPG_E)*A_PREIS)</f>
        <v>7548386.43205</v>
      </c>
      <c r="K8" s="46" t="n">
        <f aca="false">J8-$J$5</f>
        <v>4097340.21782</v>
      </c>
      <c r="L8" s="47" t="n">
        <f aca="false">(M8+N8+O8+P8)-($M$5+$N$5+$O$5+$P$5)</f>
        <v>45.3424804132247</v>
      </c>
      <c r="M8" s="11" t="n">
        <f aca="false">SUMPRODUCT((A_LIFT=1)*((A_FACH&gt;0)*A_FACH*(1+(A_KAPR&gt;0)*((A_FINF*A_FINV+(1-A_FINF)*ROUNDUP((A_VERB/(A_LUO+(A_LUO=0)*$B8)+(A_MBLG&gt;A_VERB/(A_LUO+(A_LUO=0)*$B8))*(A_MBLG-A_VERB/(A_LUO+(A_LUO=0)*$B8)))/A_MPG_E,0)*A_MPG_E)&gt;A_KAPR)*((A_FINF*A_FINV+(1-A_FINF)*ROUNDUP((A_VERB/(A_LUO+(A_LUO=0)*$B8)+(A_MBLG&gt;A_VERB/(A_LUO+(A_LUO=0)*$B8))*(A_MBLG-A_VERB/(A_LUO+(A_LUO=0)*$B8)))/A_MPG_E,0)*A_MPG_E)/(A_KAPR+(A_KAPR=0))-1))+(A_FACH=0)*((1-A_LOSE)*(A_GPT&gt;0)*(A_FINF*A_FINN+(1-A_FINF)*ROUNDUP((A_VERB/(A_LUO+(A_LUO=0)*$B8)+(A_MBLG&gt;A_VERB/(A_LUO+(A_LUO=0)*$B8))*(A_MBLG-A_VERB/(A_LUO+(A_LUO=0)*$B8)))/A_MPG_E,0))/(A_GPT+(A_GPT=0))+A_LOSE*((A_FINF*A_FINN+(1-A_FINF)*ROUNDUP((A_VERB/(A_LUO+(A_LUO=0)*$B8)+(A_MBLG&gt;A_VERB/(A_LUO+(A_LUO=0)*$B8))*(A_MBLG-A_VERB/(A_LUO+(A_LUO=0)*$B8)))/A_MPG_E,0))&gt;0)*A_LA*(1+(A_IST&gt;0)*((A_FINF*A_FINN+(1-A_FINF)*ROUNDUP((A_VERB/(A_LUO+(A_LUO=0)*$B8)+(A_MBLG&gt;A_VERB/(A_LUO+(A_LUO=0)*$B8))*(A_MBLG-A_VERB/(A_LUO+(A_LUO=0)*$B8)))/A_MPG_E,0))&gt;A_IST)*((A_FINF*A_FINN+(1-A_FINF)*ROUNDUP((A_VERB/(A_LUO+(A_LUO=0)*$B8)+(A_MBLG&gt;A_VERB/(A_LUO+(A_LUO=0)*$B8))*(A_MBLG-A_VERB/(A_LUO+(A_LUO=0)*$B8)))/A_MPG_E,0))/(A_IST+(A_IST=0))-1)))/MAX(0.1,N(Parameter!$M$21))))</f>
        <v>70.4930496507505</v>
      </c>
      <c r="N8" s="11" t="n">
        <f aca="false">SUMPRODUCT((A_LIFT=2)*((A_FACH&gt;0)*A_FACH*(1+(A_KAPR&gt;0)*((A_FINF*A_FINV+(1-A_FINF)*ROUNDUP((A_VERB/(A_LUO+(A_LUO=0)*$B8)+(A_MBLG&gt;A_VERB/(A_LUO+(A_LUO=0)*$B8))*(A_MBLG-A_VERB/(A_LUO+(A_LUO=0)*$B8)))/A_MPG_E,0)*A_MPG_E)&gt;A_KAPR)*((A_FINF*A_FINV+(1-A_FINF)*ROUNDUP((A_VERB/(A_LUO+(A_LUO=0)*$B8)+(A_MBLG&gt;A_VERB/(A_LUO+(A_LUO=0)*$B8))*(A_MBLG-A_VERB/(A_LUO+(A_LUO=0)*$B8)))/A_MPG_E,0)*A_MPG_E)/(A_KAPR+(A_KAPR=0))-1))+(A_FACH=0)*((1-A_LOSE)*(A_GPT&gt;0)*(A_FINF*A_FINN+(1-A_FINF)*ROUNDUP((A_VERB/(A_LUO+(A_LUO=0)*$B8)+(A_MBLG&gt;A_VERB/(A_LUO+(A_LUO=0)*$B8))*(A_MBLG-A_VERB/(A_LUO+(A_LUO=0)*$B8)))/A_MPG_E,0))/(A_GPT+(A_GPT=0))+A_LOSE*((A_FINF*A_FINN+(1-A_FINF)*ROUNDUP((A_VERB/(A_LUO+(A_LUO=0)*$B8)+(A_MBLG&gt;A_VERB/(A_LUO+(A_LUO=0)*$B8))*(A_MBLG-A_VERB/(A_LUO+(A_LUO=0)*$B8)))/A_MPG_E,0))&gt;0)*A_LA*(1+(A_IST&gt;0)*((A_FINF*A_FINN+(1-A_FINF)*ROUNDUP((A_VERB/(A_LUO+(A_LUO=0)*$B8)+(A_MBLG&gt;A_VERB/(A_LUO+(A_LUO=0)*$B8))*(A_MBLG-A_VERB/(A_LUO+(A_LUO=0)*$B8)))/A_MPG_E,0))&gt;A_IST)*((A_FINF*A_FINN+(1-A_FINF)*ROUNDUP((A_VERB/(A_LUO+(A_LUO=0)*$B8)+(A_MBLG&gt;A_VERB/(A_LUO+(A_LUO=0)*$B8))*(A_MBLG-A_VERB/(A_LUO+(A_LUO=0)*$B8)))/A_MPG_E,0))/(A_IST+(A_IST=0))-1)))/MAX(0.1,N(Parameter!$M$21))))</f>
        <v>90.2575757575758</v>
      </c>
      <c r="O8" s="11" t="n">
        <f aca="false">SUMPRODUCT((A_LIFT=3)*((A_FACH&gt;0)*A_FACH*(1+(A_KAPR&gt;0)*((A_FINF*A_FINV+(1-A_FINF)*ROUNDUP((A_VERB/(A_LUO+(A_LUO=0)*$B8)+(A_MBLG&gt;A_VERB/(A_LUO+(A_LUO=0)*$B8))*(A_MBLG-A_VERB/(A_LUO+(A_LUO=0)*$B8)))/A_MPG_E,0)*A_MPG_E)&gt;A_KAPR)*((A_FINF*A_FINV+(1-A_FINF)*ROUNDUP((A_VERB/(A_LUO+(A_LUO=0)*$B8)+(A_MBLG&gt;A_VERB/(A_LUO+(A_LUO=0)*$B8))*(A_MBLG-A_VERB/(A_LUO+(A_LUO=0)*$B8)))/A_MPG_E,0)*A_MPG_E)/(A_KAPR+(A_KAPR=0))-1))+(A_FACH=0)*((1-A_LOSE)*(A_GPT&gt;0)*(A_FINF*A_FINN+(1-A_FINF)*ROUNDUP((A_VERB/(A_LUO+(A_LUO=0)*$B8)+(A_MBLG&gt;A_VERB/(A_LUO+(A_LUO=0)*$B8))*(A_MBLG-A_VERB/(A_LUO+(A_LUO=0)*$B8)))/A_MPG_E,0))/(A_GPT+(A_GPT=0))+A_LOSE*((A_FINF*A_FINN+(1-A_FINF)*ROUNDUP((A_VERB/(A_LUO+(A_LUO=0)*$B8)+(A_MBLG&gt;A_VERB/(A_LUO+(A_LUO=0)*$B8))*(A_MBLG-A_VERB/(A_LUO+(A_LUO=0)*$B8)))/A_MPG_E,0))&gt;0)*A_LA*(1+(A_IST&gt;0)*((A_FINF*A_FINN+(1-A_FINF)*ROUNDUP((A_VERB/(A_LUO+(A_LUO=0)*$B8)+(A_MBLG&gt;A_VERB/(A_LUO+(A_LUO=0)*$B8))*(A_MBLG-A_VERB/(A_LUO+(A_LUO=0)*$B8)))/A_MPG_E,0))&gt;A_IST)*((A_FINF*A_FINN+(1-A_FINF)*ROUNDUP((A_VERB/(A_LUO+(A_LUO=0)*$B8)+(A_MBLG&gt;A_VERB/(A_LUO+(A_LUO=0)*$B8))*(A_MBLG-A_VERB/(A_LUO+(A_LUO=0)*$B8)))/A_MPG_E,0))/(A_IST+(A_IST=0))-1)))/MAX(0.1,N(Parameter!$M$21))))</f>
        <v>35.5064440390527</v>
      </c>
      <c r="P8" s="11" t="n">
        <f aca="false">SUMPRODUCT((A_LIFT="Aussen")*((A_FACH&gt;0)*A_FACH*(1+(A_KAPR&gt;0)*((A_FINF*A_FINV+(1-A_FINF)*ROUNDUP((A_VERB/(A_LUO+(A_LUO=0)*$B8)+(A_MBLG&gt;A_VERB/(A_LUO+(A_LUO=0)*$B8))*(A_MBLG-A_VERB/(A_LUO+(A_LUO=0)*$B8)))/A_MPG_E,0)*A_MPG_E)&gt;A_KAPR)*((A_FINF*A_FINV+(1-A_FINF)*ROUNDUP((A_VERB/(A_LUO+(A_LUO=0)*$B8)+(A_MBLG&gt;A_VERB/(A_LUO+(A_LUO=0)*$B8))*(A_MBLG-A_VERB/(A_LUO+(A_LUO=0)*$B8)))/A_MPG_E,0)*A_MPG_E)/(A_KAPR+(A_KAPR=0))-1))+(A_FACH=0)*((1-A_LOSE)*(A_GPT&gt;0)*(A_FINF*A_FINN+(1-A_FINF)*ROUNDUP((A_VERB/(A_LUO+(A_LUO=0)*$B8)+(A_MBLG&gt;A_VERB/(A_LUO+(A_LUO=0)*$B8))*(A_MBLG-A_VERB/(A_LUO+(A_LUO=0)*$B8)))/A_MPG_E,0))/(A_GPT+(A_GPT=0))+A_LOSE*((A_FINF*A_FINN+(1-A_FINF)*ROUNDUP((A_VERB/(A_LUO+(A_LUO=0)*$B8)+(A_MBLG&gt;A_VERB/(A_LUO+(A_LUO=0)*$B8))*(A_MBLG-A_VERB/(A_LUO+(A_LUO=0)*$B8)))/A_MPG_E,0))&gt;0)*A_LA*(1+(A_IST&gt;0)*((A_FINF*A_FINN+(1-A_FINF)*ROUNDUP((A_VERB/(A_LUO+(A_LUO=0)*$B8)+(A_MBLG&gt;A_VERB/(A_LUO+(A_LUO=0)*$B8))*(A_MBLG-A_VERB/(A_LUO+(A_LUO=0)*$B8)))/A_MPG_E,0))&gt;A_IST)*((A_FINF*A_FINN+(1-A_FINF)*ROUNDUP((A_VERB/(A_LUO+(A_LUO=0)*$B8)+(A_MBLG&gt;A_VERB/(A_LUO+(A_LUO=0)*$B8))*(A_MBLG-A_VERB/(A_LUO+(A_LUO=0)*$B8)))/A_MPG_E,0))/(A_IST+(A_IST=0))-1)))/MAX(0.1,N(Parameter!$M$21))))</f>
        <v>0</v>
      </c>
    </row>
    <row r="9" customFormat="false" ht="15" hidden="false" customHeight="false" outlineLevel="0" collapsed="false">
      <c r="A9" s="10" t="s">
        <v>64</v>
      </c>
      <c r="B9" s="43" t="n">
        <f aca="false">Parameter!$A$26</f>
        <v>2.5</v>
      </c>
      <c r="C9" s="30" t="n">
        <f aca="false">M9/Parameter!$E$5</f>
        <v>1.33100325000472</v>
      </c>
      <c r="D9" s="30" t="n">
        <f aca="false">N9/Parameter!$E$6</f>
        <v>1.71181818181818</v>
      </c>
      <c r="E9" s="30" t="n">
        <f aca="false">O9/Parameter!$E$7</f>
        <v>0.696667342319516</v>
      </c>
      <c r="F9" s="14" t="n">
        <f aca="false">(N9+O9)/(Parameter!$E$6+Parameter!$E$7)</f>
        <v>1.20424276206885</v>
      </c>
      <c r="G9" s="14" t="n">
        <f aca="false">(M9+N9+O9)/Parameter!$E$8</f>
        <v>1.24649625804747</v>
      </c>
      <c r="H9" s="44" t="str">
        <f aca="false">IF(AND(M9&lt;=Parameter!$E$5,N9+O9&lt;=Parameter!$E$6+Parameter!$E$7),"JA","NEIN")</f>
        <v>NEIN</v>
      </c>
      <c r="I9" s="11" t="n">
        <f aca="false">MAX(0,M9-Parameter!$E$5)+MAX(0,N9+O9-Parameter!$E$6-Parameter!$E$7)+P9</f>
        <v>36.9744387071211</v>
      </c>
      <c r="J9" s="45" t="n">
        <f aca="false">SUMPRODUCT((A_FINF*A_FINV+(1-A_FINF)*ROUNDUP((A_VERB/(A_LUO+(A_LUO=0)*$B9)+(A_MBLG&gt;A_VERB/(A_LUO+(A_LUO=0)*$B9))*(A_MBLG-A_VERB/(A_LUO+(A_LUO=0)*$B9)))/A_MPG_E,0)*A_MPG_E)*A_PREIS)</f>
        <v>6973175.69384</v>
      </c>
      <c r="K9" s="46" t="n">
        <f aca="false">J9-$J$5</f>
        <v>3522129.47961</v>
      </c>
      <c r="L9" s="47" t="n">
        <f aca="false">(M9+N9+O9+P9)-($M$5+$N$5+$O$5+$P$5)</f>
        <v>36.0598496729669</v>
      </c>
      <c r="M9" s="11" t="n">
        <f aca="false">SUMPRODUCT((A_LIFT=1)*((A_FACH&gt;0)*A_FACH*(1+(A_KAPR&gt;0)*((A_FINF*A_FINV+(1-A_FINF)*ROUNDUP((A_VERB/(A_LUO+(A_LUO=0)*$B9)+(A_MBLG&gt;A_VERB/(A_LUO+(A_LUO=0)*$B9))*(A_MBLG-A_VERB/(A_LUO+(A_LUO=0)*$B9)))/A_MPG_E,0)*A_MPG_E)&gt;A_KAPR)*((A_FINF*A_FINV+(1-A_FINF)*ROUNDUP((A_VERB/(A_LUO+(A_LUO=0)*$B9)+(A_MBLG&gt;A_VERB/(A_LUO+(A_LUO=0)*$B9))*(A_MBLG-A_VERB/(A_LUO+(A_LUO=0)*$B9)))/A_MPG_E,0)*A_MPG_E)/(A_KAPR+(A_KAPR=0))-1))+(A_FACH=0)*((1-A_LOSE)*(A_GPT&gt;0)*(A_FINF*A_FINN+(1-A_FINF)*ROUNDUP((A_VERB/(A_LUO+(A_LUO=0)*$B9)+(A_MBLG&gt;A_VERB/(A_LUO+(A_LUO=0)*$B9))*(A_MBLG-A_VERB/(A_LUO+(A_LUO=0)*$B9)))/A_MPG_E,0))/(A_GPT+(A_GPT=0))+A_LOSE*((A_FINF*A_FINN+(1-A_FINF)*ROUNDUP((A_VERB/(A_LUO+(A_LUO=0)*$B9)+(A_MBLG&gt;A_VERB/(A_LUO+(A_LUO=0)*$B9))*(A_MBLG-A_VERB/(A_LUO+(A_LUO=0)*$B9)))/A_MPG_E,0))&gt;0)*A_LA*(1+(A_IST&gt;0)*((A_FINF*A_FINN+(1-A_FINF)*ROUNDUP((A_VERB/(A_LUO+(A_LUO=0)*$B9)+(A_MBLG&gt;A_VERB/(A_LUO+(A_LUO=0)*$B9))*(A_MBLG-A_VERB/(A_LUO+(A_LUO=0)*$B9)))/A_MPG_E,0))&gt;A_IST)*((A_FINF*A_FINN+(1-A_FINF)*ROUNDUP((A_VERB/(A_LUO+(A_LUO=0)*$B9)+(A_MBLG&gt;A_VERB/(A_LUO+(A_LUO=0)*$B9))*(A_MBLG-A_VERB/(A_LUO+(A_LUO=0)*$B9)))/A_MPG_E,0))/(A_IST+(A_IST=0))-1)))/MAX(0.1,N(Parameter!$M$21))))</f>
        <v>66.5501625002362</v>
      </c>
      <c r="N9" s="11" t="n">
        <f aca="false">SUMPRODUCT((A_LIFT=2)*((A_FACH&gt;0)*A_FACH*(1+(A_KAPR&gt;0)*((A_FINF*A_FINV+(1-A_FINF)*ROUNDUP((A_VERB/(A_LUO+(A_LUO=0)*$B9)+(A_MBLG&gt;A_VERB/(A_LUO+(A_LUO=0)*$B9))*(A_MBLG-A_VERB/(A_LUO+(A_LUO=0)*$B9)))/A_MPG_E,0)*A_MPG_E)&gt;A_KAPR)*((A_FINF*A_FINV+(1-A_FINF)*ROUNDUP((A_VERB/(A_LUO+(A_LUO=0)*$B9)+(A_MBLG&gt;A_VERB/(A_LUO+(A_LUO=0)*$B9))*(A_MBLG-A_VERB/(A_LUO+(A_LUO=0)*$B9)))/A_MPG_E,0)*A_MPG_E)/(A_KAPR+(A_KAPR=0))-1))+(A_FACH=0)*((1-A_LOSE)*(A_GPT&gt;0)*(A_FINF*A_FINN+(1-A_FINF)*ROUNDUP((A_VERB/(A_LUO+(A_LUO=0)*$B9)+(A_MBLG&gt;A_VERB/(A_LUO+(A_LUO=0)*$B9))*(A_MBLG-A_VERB/(A_LUO+(A_LUO=0)*$B9)))/A_MPG_E,0))/(A_GPT+(A_GPT=0))+A_LOSE*((A_FINF*A_FINN+(1-A_FINF)*ROUNDUP((A_VERB/(A_LUO+(A_LUO=0)*$B9)+(A_MBLG&gt;A_VERB/(A_LUO+(A_LUO=0)*$B9))*(A_MBLG-A_VERB/(A_LUO+(A_LUO=0)*$B9)))/A_MPG_E,0))&gt;0)*A_LA*(1+(A_IST&gt;0)*((A_FINF*A_FINN+(1-A_FINF)*ROUNDUP((A_VERB/(A_LUO+(A_LUO=0)*$B9)+(A_MBLG&gt;A_VERB/(A_LUO+(A_LUO=0)*$B9))*(A_MBLG-A_VERB/(A_LUO+(A_LUO=0)*$B9)))/A_MPG_E,0))&gt;A_IST)*((A_FINF*A_FINN+(1-A_FINF)*ROUNDUP((A_VERB/(A_LUO+(A_LUO=0)*$B9)+(A_MBLG&gt;A_VERB/(A_LUO+(A_LUO=0)*$B9))*(A_MBLG-A_VERB/(A_LUO+(A_LUO=0)*$B9)))/A_MPG_E,0))/(A_IST+(A_IST=0))-1)))/MAX(0.1,N(Parameter!$M$21))))</f>
        <v>85.5909090909091</v>
      </c>
      <c r="O9" s="11" t="n">
        <f aca="false">SUMPRODUCT((A_LIFT=3)*((A_FACH&gt;0)*A_FACH*(1+(A_KAPR&gt;0)*((A_FINF*A_FINV+(1-A_FINF)*ROUNDUP((A_VERB/(A_LUO+(A_LUO=0)*$B9)+(A_MBLG&gt;A_VERB/(A_LUO+(A_LUO=0)*$B9))*(A_MBLG-A_VERB/(A_LUO+(A_LUO=0)*$B9)))/A_MPG_E,0)*A_MPG_E)&gt;A_KAPR)*((A_FINF*A_FINV+(1-A_FINF)*ROUNDUP((A_VERB/(A_LUO+(A_LUO=0)*$B9)+(A_MBLG&gt;A_VERB/(A_LUO+(A_LUO=0)*$B9))*(A_MBLG-A_VERB/(A_LUO+(A_LUO=0)*$B9)))/A_MPG_E,0)*A_MPG_E)/(A_KAPR+(A_KAPR=0))-1))+(A_FACH=0)*((1-A_LOSE)*(A_GPT&gt;0)*(A_FINF*A_FINN+(1-A_FINF)*ROUNDUP((A_VERB/(A_LUO+(A_LUO=0)*$B9)+(A_MBLG&gt;A_VERB/(A_LUO+(A_LUO=0)*$B9))*(A_MBLG-A_VERB/(A_LUO+(A_LUO=0)*$B9)))/A_MPG_E,0))/(A_GPT+(A_GPT=0))+A_LOSE*((A_FINF*A_FINN+(1-A_FINF)*ROUNDUP((A_VERB/(A_LUO+(A_LUO=0)*$B9)+(A_MBLG&gt;A_VERB/(A_LUO+(A_LUO=0)*$B9))*(A_MBLG-A_VERB/(A_LUO+(A_LUO=0)*$B9)))/A_MPG_E,0))&gt;0)*A_LA*(1+(A_IST&gt;0)*((A_FINF*A_FINN+(1-A_FINF)*ROUNDUP((A_VERB/(A_LUO+(A_LUO=0)*$B9)+(A_MBLG&gt;A_VERB/(A_LUO+(A_LUO=0)*$B9))*(A_MBLG-A_VERB/(A_LUO+(A_LUO=0)*$B9)))/A_MPG_E,0))&gt;A_IST)*((A_FINF*A_FINN+(1-A_FINF)*ROUNDUP((A_VERB/(A_LUO+(A_LUO=0)*$B9)+(A_MBLG&gt;A_VERB/(A_LUO+(A_LUO=0)*$B9))*(A_MBLG-A_VERB/(A_LUO+(A_LUO=0)*$B9)))/A_MPG_E,0))/(A_IST+(A_IST=0))-1)))/MAX(0.1,N(Parameter!$M$21))))</f>
        <v>34.8333671159758</v>
      </c>
      <c r="P9" s="11" t="n">
        <f aca="false">SUMPRODUCT((A_LIFT="Aussen")*((A_FACH&gt;0)*A_FACH*(1+(A_KAPR&gt;0)*((A_FINF*A_FINV+(1-A_FINF)*ROUNDUP((A_VERB/(A_LUO+(A_LUO=0)*$B9)+(A_MBLG&gt;A_VERB/(A_LUO+(A_LUO=0)*$B9))*(A_MBLG-A_VERB/(A_LUO+(A_LUO=0)*$B9)))/A_MPG_E,0)*A_MPG_E)&gt;A_KAPR)*((A_FINF*A_FINV+(1-A_FINF)*ROUNDUP((A_VERB/(A_LUO+(A_LUO=0)*$B9)+(A_MBLG&gt;A_VERB/(A_LUO+(A_LUO=0)*$B9))*(A_MBLG-A_VERB/(A_LUO+(A_LUO=0)*$B9)))/A_MPG_E,0)*A_MPG_E)/(A_KAPR+(A_KAPR=0))-1))+(A_FACH=0)*((1-A_LOSE)*(A_GPT&gt;0)*(A_FINF*A_FINN+(1-A_FINF)*ROUNDUP((A_VERB/(A_LUO+(A_LUO=0)*$B9)+(A_MBLG&gt;A_VERB/(A_LUO+(A_LUO=0)*$B9))*(A_MBLG-A_VERB/(A_LUO+(A_LUO=0)*$B9)))/A_MPG_E,0))/(A_GPT+(A_GPT=0))+A_LOSE*((A_FINF*A_FINN+(1-A_FINF)*ROUNDUP((A_VERB/(A_LUO+(A_LUO=0)*$B9)+(A_MBLG&gt;A_VERB/(A_LUO+(A_LUO=0)*$B9))*(A_MBLG-A_VERB/(A_LUO+(A_LUO=0)*$B9)))/A_MPG_E,0))&gt;0)*A_LA*(1+(A_IST&gt;0)*((A_FINF*A_FINN+(1-A_FINF)*ROUNDUP((A_VERB/(A_LUO+(A_LUO=0)*$B9)+(A_MBLG&gt;A_VERB/(A_LUO+(A_LUO=0)*$B9))*(A_MBLG-A_VERB/(A_LUO+(A_LUO=0)*$B9)))/A_MPG_E,0))&gt;A_IST)*((A_FINF*A_FINN+(1-A_FINF)*ROUNDUP((A_VERB/(A_LUO+(A_LUO=0)*$B9)+(A_MBLG&gt;A_VERB/(A_LUO+(A_LUO=0)*$B9))*(A_MBLG-A_VERB/(A_LUO+(A_LUO=0)*$B9)))/A_MPG_E,0))/(A_IST+(A_IST=0))-1)))/MAX(0.1,N(Parameter!$M$21))))</f>
        <v>0</v>
      </c>
    </row>
    <row r="10" customFormat="false" ht="15" hidden="false" customHeight="false" outlineLevel="0" collapsed="false">
      <c r="A10" s="10" t="s">
        <v>64</v>
      </c>
      <c r="B10" s="43" t="n">
        <f aca="false">Parameter!$A$27</f>
        <v>3</v>
      </c>
      <c r="C10" s="30" t="n">
        <f aca="false">M10/Parameter!$E$5</f>
        <v>1.28319722363938</v>
      </c>
      <c r="D10" s="30" t="n">
        <f aca="false">N10/Parameter!$E$6</f>
        <v>1.63181818181818</v>
      </c>
      <c r="E10" s="30" t="n">
        <f aca="false">O10/Parameter!$E$7</f>
        <v>0.689289719941894</v>
      </c>
      <c r="F10" s="14" t="n">
        <f aca="false">(N10+O10)/(Parameter!$E$6+Parameter!$E$7)</f>
        <v>1.16055395088004</v>
      </c>
      <c r="G10" s="14" t="n">
        <f aca="false">(M10+N10+O10)/Parameter!$E$8</f>
        <v>1.20143504179982</v>
      </c>
      <c r="H10" s="44" t="str">
        <f aca="false">IF(AND(M10&lt;=Parameter!$E$5,N10+O10&lt;=Parameter!$E$6+Parameter!$E$7),"JA","NEIN")</f>
        <v>NEIN</v>
      </c>
      <c r="I10" s="11" t="n">
        <f aca="false">MAX(0,M10-Parameter!$E$5)+MAX(0,N10+O10-Parameter!$E$6-Parameter!$E$7)+P10</f>
        <v>30.2152562699726</v>
      </c>
      <c r="J10" s="45" t="n">
        <f aca="false">SUMPRODUCT((A_FINF*A_FINV+(1-A_FINF)*ROUNDUP((A_VERB/(A_LUO+(A_LUO=0)*$B10)+(A_MBLG&gt;A_VERB/(A_LUO+(A_LUO=0)*$B10))*(A_MBLG-A_VERB/(A_LUO+(A_LUO=0)*$B10)))/A_MPG_E,0)*A_MPG_E)*A_PREIS)</f>
        <v>6597211.32384</v>
      </c>
      <c r="K10" s="46" t="n">
        <f aca="false">J10-$J$5</f>
        <v>3146165.10961</v>
      </c>
      <c r="L10" s="47" t="n">
        <f aca="false">(M10+N10+O10+P10)-($M$5+$N$5+$O$5+$P$5)</f>
        <v>29.3006672358183</v>
      </c>
      <c r="M10" s="11" t="n">
        <f aca="false">SUMPRODUCT((A_LIFT=1)*((A_FACH&gt;0)*A_FACH*(1+(A_KAPR&gt;0)*((A_FINF*A_FINV+(1-A_FINF)*ROUNDUP((A_VERB/(A_LUO+(A_LUO=0)*$B10)+(A_MBLG&gt;A_VERB/(A_LUO+(A_LUO=0)*$B10))*(A_MBLG-A_VERB/(A_LUO+(A_LUO=0)*$B10)))/A_MPG_E,0)*A_MPG_E)&gt;A_KAPR)*((A_FINF*A_FINV+(1-A_FINF)*ROUNDUP((A_VERB/(A_LUO+(A_LUO=0)*$B10)+(A_MBLG&gt;A_VERB/(A_LUO+(A_LUO=0)*$B10))*(A_MBLG-A_VERB/(A_LUO+(A_LUO=0)*$B10)))/A_MPG_E,0)*A_MPG_E)/(A_KAPR+(A_KAPR=0))-1))+(A_FACH=0)*((1-A_LOSE)*(A_GPT&gt;0)*(A_FINF*A_FINN+(1-A_FINF)*ROUNDUP((A_VERB/(A_LUO+(A_LUO=0)*$B10)+(A_MBLG&gt;A_VERB/(A_LUO+(A_LUO=0)*$B10))*(A_MBLG-A_VERB/(A_LUO+(A_LUO=0)*$B10)))/A_MPG_E,0))/(A_GPT+(A_GPT=0))+A_LOSE*((A_FINF*A_FINN+(1-A_FINF)*ROUNDUP((A_VERB/(A_LUO+(A_LUO=0)*$B10)+(A_MBLG&gt;A_VERB/(A_LUO+(A_LUO=0)*$B10))*(A_MBLG-A_VERB/(A_LUO+(A_LUO=0)*$B10)))/A_MPG_E,0))&gt;0)*A_LA*(1+(A_IST&gt;0)*((A_FINF*A_FINN+(1-A_FINF)*ROUNDUP((A_VERB/(A_LUO+(A_LUO=0)*$B10)+(A_MBLG&gt;A_VERB/(A_LUO+(A_LUO=0)*$B10))*(A_MBLG-A_VERB/(A_LUO+(A_LUO=0)*$B10)))/A_MPG_E,0))&gt;A_IST)*((A_FINF*A_FINN+(1-A_FINF)*ROUNDUP((A_VERB/(A_LUO+(A_LUO=0)*$B10)+(A_MBLG&gt;A_VERB/(A_LUO+(A_LUO=0)*$B10))*(A_MBLG-A_VERB/(A_LUO+(A_LUO=0)*$B10)))/A_MPG_E,0))/(A_IST+(A_IST=0))-1)))/MAX(0.1,N(Parameter!$M$21))))</f>
        <v>64.1598611819688</v>
      </c>
      <c r="N10" s="11" t="n">
        <f aca="false">SUMPRODUCT((A_LIFT=2)*((A_FACH&gt;0)*A_FACH*(1+(A_KAPR&gt;0)*((A_FINF*A_FINV+(1-A_FINF)*ROUNDUP((A_VERB/(A_LUO+(A_LUO=0)*$B10)+(A_MBLG&gt;A_VERB/(A_LUO+(A_LUO=0)*$B10))*(A_MBLG-A_VERB/(A_LUO+(A_LUO=0)*$B10)))/A_MPG_E,0)*A_MPG_E)&gt;A_KAPR)*((A_FINF*A_FINV+(1-A_FINF)*ROUNDUP((A_VERB/(A_LUO+(A_LUO=0)*$B10)+(A_MBLG&gt;A_VERB/(A_LUO+(A_LUO=0)*$B10))*(A_MBLG-A_VERB/(A_LUO+(A_LUO=0)*$B10)))/A_MPG_E,0)*A_MPG_E)/(A_KAPR+(A_KAPR=0))-1))+(A_FACH=0)*((1-A_LOSE)*(A_GPT&gt;0)*(A_FINF*A_FINN+(1-A_FINF)*ROUNDUP((A_VERB/(A_LUO+(A_LUO=0)*$B10)+(A_MBLG&gt;A_VERB/(A_LUO+(A_LUO=0)*$B10))*(A_MBLG-A_VERB/(A_LUO+(A_LUO=0)*$B10)))/A_MPG_E,0))/(A_GPT+(A_GPT=0))+A_LOSE*((A_FINF*A_FINN+(1-A_FINF)*ROUNDUP((A_VERB/(A_LUO+(A_LUO=0)*$B10)+(A_MBLG&gt;A_VERB/(A_LUO+(A_LUO=0)*$B10))*(A_MBLG-A_VERB/(A_LUO+(A_LUO=0)*$B10)))/A_MPG_E,0))&gt;0)*A_LA*(1+(A_IST&gt;0)*((A_FINF*A_FINN+(1-A_FINF)*ROUNDUP((A_VERB/(A_LUO+(A_LUO=0)*$B10)+(A_MBLG&gt;A_VERB/(A_LUO+(A_LUO=0)*$B10))*(A_MBLG-A_VERB/(A_LUO+(A_LUO=0)*$B10)))/A_MPG_E,0))&gt;A_IST)*((A_FINF*A_FINN+(1-A_FINF)*ROUNDUP((A_VERB/(A_LUO+(A_LUO=0)*$B10)+(A_MBLG&gt;A_VERB/(A_LUO+(A_LUO=0)*$B10))*(A_MBLG-A_VERB/(A_LUO+(A_LUO=0)*$B10)))/A_MPG_E,0))/(A_IST+(A_IST=0))-1)))/MAX(0.1,N(Parameter!$M$21))))</f>
        <v>81.5909090909091</v>
      </c>
      <c r="O10" s="11" t="n">
        <f aca="false">SUMPRODUCT((A_LIFT=3)*((A_FACH&gt;0)*A_FACH*(1+(A_KAPR&gt;0)*((A_FINF*A_FINV+(1-A_FINF)*ROUNDUP((A_VERB/(A_LUO+(A_LUO=0)*$B10)+(A_MBLG&gt;A_VERB/(A_LUO+(A_LUO=0)*$B10))*(A_MBLG-A_VERB/(A_LUO+(A_LUO=0)*$B10)))/A_MPG_E,0)*A_MPG_E)&gt;A_KAPR)*((A_FINF*A_FINV+(1-A_FINF)*ROUNDUP((A_VERB/(A_LUO+(A_LUO=0)*$B10)+(A_MBLG&gt;A_VERB/(A_LUO+(A_LUO=0)*$B10))*(A_MBLG-A_VERB/(A_LUO+(A_LUO=0)*$B10)))/A_MPG_E,0)*A_MPG_E)/(A_KAPR+(A_KAPR=0))-1))+(A_FACH=0)*((1-A_LOSE)*(A_GPT&gt;0)*(A_FINF*A_FINN+(1-A_FINF)*ROUNDUP((A_VERB/(A_LUO+(A_LUO=0)*$B10)+(A_MBLG&gt;A_VERB/(A_LUO+(A_LUO=0)*$B10))*(A_MBLG-A_VERB/(A_LUO+(A_LUO=0)*$B10)))/A_MPG_E,0))/(A_GPT+(A_GPT=0))+A_LOSE*((A_FINF*A_FINN+(1-A_FINF)*ROUNDUP((A_VERB/(A_LUO+(A_LUO=0)*$B10)+(A_MBLG&gt;A_VERB/(A_LUO+(A_LUO=0)*$B10))*(A_MBLG-A_VERB/(A_LUO+(A_LUO=0)*$B10)))/A_MPG_E,0))&gt;0)*A_LA*(1+(A_IST&gt;0)*((A_FINF*A_FINN+(1-A_FINF)*ROUNDUP((A_VERB/(A_LUO+(A_LUO=0)*$B10)+(A_MBLG&gt;A_VERB/(A_LUO+(A_LUO=0)*$B10))*(A_MBLG-A_VERB/(A_LUO+(A_LUO=0)*$B10)))/A_MPG_E,0))&gt;A_IST)*((A_FINF*A_FINN+(1-A_FINF)*ROUNDUP((A_VERB/(A_LUO+(A_LUO=0)*$B10)+(A_MBLG&gt;A_VERB/(A_LUO+(A_LUO=0)*$B10))*(A_MBLG-A_VERB/(A_LUO+(A_LUO=0)*$B10)))/A_MPG_E,0))/(A_IST+(A_IST=0))-1)))/MAX(0.1,N(Parameter!$M$21))))</f>
        <v>34.4644859970947</v>
      </c>
      <c r="P10" s="11" t="n">
        <f aca="false">SUMPRODUCT((A_LIFT="Aussen")*((A_FACH&gt;0)*A_FACH*(1+(A_KAPR&gt;0)*((A_FINF*A_FINV+(1-A_FINF)*ROUNDUP((A_VERB/(A_LUO+(A_LUO=0)*$B10)+(A_MBLG&gt;A_VERB/(A_LUO+(A_LUO=0)*$B10))*(A_MBLG-A_VERB/(A_LUO+(A_LUO=0)*$B10)))/A_MPG_E,0)*A_MPG_E)&gt;A_KAPR)*((A_FINF*A_FINV+(1-A_FINF)*ROUNDUP((A_VERB/(A_LUO+(A_LUO=0)*$B10)+(A_MBLG&gt;A_VERB/(A_LUO+(A_LUO=0)*$B10))*(A_MBLG-A_VERB/(A_LUO+(A_LUO=0)*$B10)))/A_MPG_E,0)*A_MPG_E)/(A_KAPR+(A_KAPR=0))-1))+(A_FACH=0)*((1-A_LOSE)*(A_GPT&gt;0)*(A_FINF*A_FINN+(1-A_FINF)*ROUNDUP((A_VERB/(A_LUO+(A_LUO=0)*$B10)+(A_MBLG&gt;A_VERB/(A_LUO+(A_LUO=0)*$B10))*(A_MBLG-A_VERB/(A_LUO+(A_LUO=0)*$B10)))/A_MPG_E,0))/(A_GPT+(A_GPT=0))+A_LOSE*((A_FINF*A_FINN+(1-A_FINF)*ROUNDUP((A_VERB/(A_LUO+(A_LUO=0)*$B10)+(A_MBLG&gt;A_VERB/(A_LUO+(A_LUO=0)*$B10))*(A_MBLG-A_VERB/(A_LUO+(A_LUO=0)*$B10)))/A_MPG_E,0))&gt;0)*A_LA*(1+(A_IST&gt;0)*((A_FINF*A_FINN+(1-A_FINF)*ROUNDUP((A_VERB/(A_LUO+(A_LUO=0)*$B10)+(A_MBLG&gt;A_VERB/(A_LUO+(A_LUO=0)*$B10))*(A_MBLG-A_VERB/(A_LUO+(A_LUO=0)*$B10)))/A_MPG_E,0))&gt;A_IST)*((A_FINF*A_FINN+(1-A_FINF)*ROUNDUP((A_VERB/(A_LUO+(A_LUO=0)*$B10)+(A_MBLG&gt;A_VERB/(A_LUO+(A_LUO=0)*$B10))*(A_MBLG-A_VERB/(A_LUO+(A_LUO=0)*$B10)))/A_MPG_E,0))/(A_IST+(A_IST=0))-1)))/MAX(0.1,N(Parameter!$M$21))))</f>
        <v>0</v>
      </c>
    </row>
    <row r="11" customFormat="false" ht="15" hidden="false" customHeight="false" outlineLevel="0" collapsed="false">
      <c r="A11" s="10" t="s">
        <v>64</v>
      </c>
      <c r="B11" s="43" t="n">
        <f aca="false">Parameter!$A$28</f>
        <v>4</v>
      </c>
      <c r="C11" s="30" t="n">
        <f aca="false">M11/Parameter!$E$5</f>
        <v>1.24392227072035</v>
      </c>
      <c r="D11" s="30" t="n">
        <f aca="false">N11/Parameter!$E$6</f>
        <v>1.55348484848485</v>
      </c>
      <c r="E11" s="30" t="n">
        <f aca="false">O11/Parameter!$E$7</f>
        <v>0.678217458869633</v>
      </c>
      <c r="F11" s="14" t="n">
        <f aca="false">(N11+O11)/(Parameter!$E$6+Parameter!$E$7)</f>
        <v>1.11585115367724</v>
      </c>
      <c r="G11" s="14" t="n">
        <f aca="false">(M11+N11+O11)/Parameter!$E$8</f>
        <v>1.15854152602495</v>
      </c>
      <c r="H11" s="44" t="str">
        <f aca="false">IF(AND(M11&lt;=Parameter!$E$5,N11+O11&lt;=Parameter!$E$6+Parameter!$E$7),"JA","NEIN")</f>
        <v>NEIN</v>
      </c>
      <c r="I11" s="11" t="n">
        <f aca="false">MAX(0,M11-Parameter!$E$5)+MAX(0,N11+O11-Parameter!$E$6-Parameter!$E$7)+P11</f>
        <v>23.7812289037418</v>
      </c>
      <c r="J11" s="45" t="n">
        <f aca="false">SUMPRODUCT((A_FINF*A_FINV+(1-A_FINF)*ROUNDUP((A_VERB/(A_LUO+(A_LUO=0)*$B11)+(A_MBLG&gt;A_VERB/(A_LUO+(A_LUO=0)*$B11))*(A_MBLG-A_VERB/(A_LUO+(A_LUO=0)*$B11)))/A_MPG_E,0)*A_MPG_E)*A_PREIS)</f>
        <v>6188765.12384</v>
      </c>
      <c r="K11" s="46" t="n">
        <f aca="false">J11-$J$5</f>
        <v>2737718.90961</v>
      </c>
      <c r="L11" s="47" t="n">
        <f aca="false">(M11+N11+O11+P11)-($M$5+$N$5+$O$5+$P$5)</f>
        <v>22.8666398695875</v>
      </c>
      <c r="M11" s="11" t="n">
        <f aca="false">SUMPRODUCT((A_LIFT=1)*((A_FACH&gt;0)*A_FACH*(1+(A_KAPR&gt;0)*((A_FINF*A_FINV+(1-A_FINF)*ROUNDUP((A_VERB/(A_LUO+(A_LUO=0)*$B11)+(A_MBLG&gt;A_VERB/(A_LUO+(A_LUO=0)*$B11))*(A_MBLG-A_VERB/(A_LUO+(A_LUO=0)*$B11)))/A_MPG_E,0)*A_MPG_E)&gt;A_KAPR)*((A_FINF*A_FINV+(1-A_FINF)*ROUNDUP((A_VERB/(A_LUO+(A_LUO=0)*$B11)+(A_MBLG&gt;A_VERB/(A_LUO+(A_LUO=0)*$B11))*(A_MBLG-A_VERB/(A_LUO+(A_LUO=0)*$B11)))/A_MPG_E,0)*A_MPG_E)/(A_KAPR+(A_KAPR=0))-1))+(A_FACH=0)*((1-A_LOSE)*(A_GPT&gt;0)*(A_FINF*A_FINN+(1-A_FINF)*ROUNDUP((A_VERB/(A_LUO+(A_LUO=0)*$B11)+(A_MBLG&gt;A_VERB/(A_LUO+(A_LUO=0)*$B11))*(A_MBLG-A_VERB/(A_LUO+(A_LUO=0)*$B11)))/A_MPG_E,0))/(A_GPT+(A_GPT=0))+A_LOSE*((A_FINF*A_FINN+(1-A_FINF)*ROUNDUP((A_VERB/(A_LUO+(A_LUO=0)*$B11)+(A_MBLG&gt;A_VERB/(A_LUO+(A_LUO=0)*$B11))*(A_MBLG-A_VERB/(A_LUO+(A_LUO=0)*$B11)))/A_MPG_E,0))&gt;0)*A_LA*(1+(A_IST&gt;0)*((A_FINF*A_FINN+(1-A_FINF)*ROUNDUP((A_VERB/(A_LUO+(A_LUO=0)*$B11)+(A_MBLG&gt;A_VERB/(A_LUO+(A_LUO=0)*$B11))*(A_MBLG-A_VERB/(A_LUO+(A_LUO=0)*$B11)))/A_MPG_E,0))&gt;A_IST)*((A_FINF*A_FINN+(1-A_FINF)*ROUNDUP((A_VERB/(A_LUO+(A_LUO=0)*$B11)+(A_MBLG&gt;A_VERB/(A_LUO+(A_LUO=0)*$B11))*(A_MBLG-A_VERB/(A_LUO+(A_LUO=0)*$B11)))/A_MPG_E,0))/(A_IST+(A_IST=0))-1)))/MAX(0.1,N(Parameter!$M$21))))</f>
        <v>62.1961135360177</v>
      </c>
      <c r="N11" s="11" t="n">
        <f aca="false">SUMPRODUCT((A_LIFT=2)*((A_FACH&gt;0)*A_FACH*(1+(A_KAPR&gt;0)*((A_FINF*A_FINV+(1-A_FINF)*ROUNDUP((A_VERB/(A_LUO+(A_LUO=0)*$B11)+(A_MBLG&gt;A_VERB/(A_LUO+(A_LUO=0)*$B11))*(A_MBLG-A_VERB/(A_LUO+(A_LUO=0)*$B11)))/A_MPG_E,0)*A_MPG_E)&gt;A_KAPR)*((A_FINF*A_FINV+(1-A_FINF)*ROUNDUP((A_VERB/(A_LUO+(A_LUO=0)*$B11)+(A_MBLG&gt;A_VERB/(A_LUO+(A_LUO=0)*$B11))*(A_MBLG-A_VERB/(A_LUO+(A_LUO=0)*$B11)))/A_MPG_E,0)*A_MPG_E)/(A_KAPR+(A_KAPR=0))-1))+(A_FACH=0)*((1-A_LOSE)*(A_GPT&gt;0)*(A_FINF*A_FINN+(1-A_FINF)*ROUNDUP((A_VERB/(A_LUO+(A_LUO=0)*$B11)+(A_MBLG&gt;A_VERB/(A_LUO+(A_LUO=0)*$B11))*(A_MBLG-A_VERB/(A_LUO+(A_LUO=0)*$B11)))/A_MPG_E,0))/(A_GPT+(A_GPT=0))+A_LOSE*((A_FINF*A_FINN+(1-A_FINF)*ROUNDUP((A_VERB/(A_LUO+(A_LUO=0)*$B11)+(A_MBLG&gt;A_VERB/(A_LUO+(A_LUO=0)*$B11))*(A_MBLG-A_VERB/(A_LUO+(A_LUO=0)*$B11)))/A_MPG_E,0))&gt;0)*A_LA*(1+(A_IST&gt;0)*((A_FINF*A_FINN+(1-A_FINF)*ROUNDUP((A_VERB/(A_LUO+(A_LUO=0)*$B11)+(A_MBLG&gt;A_VERB/(A_LUO+(A_LUO=0)*$B11))*(A_MBLG-A_VERB/(A_LUO+(A_LUO=0)*$B11)))/A_MPG_E,0))&gt;A_IST)*((A_FINF*A_FINN+(1-A_FINF)*ROUNDUP((A_VERB/(A_LUO+(A_LUO=0)*$B11)+(A_MBLG&gt;A_VERB/(A_LUO+(A_LUO=0)*$B11))*(A_MBLG-A_VERB/(A_LUO+(A_LUO=0)*$B11)))/A_MPG_E,0))/(A_IST+(A_IST=0))-1)))/MAX(0.1,N(Parameter!$M$21))))</f>
        <v>77.6742424242424</v>
      </c>
      <c r="O11" s="11" t="n">
        <f aca="false">SUMPRODUCT((A_LIFT=3)*((A_FACH&gt;0)*A_FACH*(1+(A_KAPR&gt;0)*((A_FINF*A_FINV+(1-A_FINF)*ROUNDUP((A_VERB/(A_LUO+(A_LUO=0)*$B11)+(A_MBLG&gt;A_VERB/(A_LUO+(A_LUO=0)*$B11))*(A_MBLG-A_VERB/(A_LUO+(A_LUO=0)*$B11)))/A_MPG_E,0)*A_MPG_E)&gt;A_KAPR)*((A_FINF*A_FINV+(1-A_FINF)*ROUNDUP((A_VERB/(A_LUO+(A_LUO=0)*$B11)+(A_MBLG&gt;A_VERB/(A_LUO+(A_LUO=0)*$B11))*(A_MBLG-A_VERB/(A_LUO+(A_LUO=0)*$B11)))/A_MPG_E,0)*A_MPG_E)/(A_KAPR+(A_KAPR=0))-1))+(A_FACH=0)*((1-A_LOSE)*(A_GPT&gt;0)*(A_FINF*A_FINN+(1-A_FINF)*ROUNDUP((A_VERB/(A_LUO+(A_LUO=0)*$B11)+(A_MBLG&gt;A_VERB/(A_LUO+(A_LUO=0)*$B11))*(A_MBLG-A_VERB/(A_LUO+(A_LUO=0)*$B11)))/A_MPG_E,0))/(A_GPT+(A_GPT=0))+A_LOSE*((A_FINF*A_FINN+(1-A_FINF)*ROUNDUP((A_VERB/(A_LUO+(A_LUO=0)*$B11)+(A_MBLG&gt;A_VERB/(A_LUO+(A_LUO=0)*$B11))*(A_MBLG-A_VERB/(A_LUO+(A_LUO=0)*$B11)))/A_MPG_E,0))&gt;0)*A_LA*(1+(A_IST&gt;0)*((A_FINF*A_FINN+(1-A_FINF)*ROUNDUP((A_VERB/(A_LUO+(A_LUO=0)*$B11)+(A_MBLG&gt;A_VERB/(A_LUO+(A_LUO=0)*$B11))*(A_MBLG-A_VERB/(A_LUO+(A_LUO=0)*$B11)))/A_MPG_E,0))&gt;A_IST)*((A_FINF*A_FINN+(1-A_FINF)*ROUNDUP((A_VERB/(A_LUO+(A_LUO=0)*$B11)+(A_MBLG&gt;A_VERB/(A_LUO+(A_LUO=0)*$B11))*(A_MBLG-A_VERB/(A_LUO+(A_LUO=0)*$B11)))/A_MPG_E,0))/(A_IST+(A_IST=0))-1)))/MAX(0.1,N(Parameter!$M$21))))</f>
        <v>33.9108729434816</v>
      </c>
      <c r="P11" s="11" t="n">
        <f aca="false">SUMPRODUCT((A_LIFT="Aussen")*((A_FACH&gt;0)*A_FACH*(1+(A_KAPR&gt;0)*((A_FINF*A_FINV+(1-A_FINF)*ROUNDUP((A_VERB/(A_LUO+(A_LUO=0)*$B11)+(A_MBLG&gt;A_VERB/(A_LUO+(A_LUO=0)*$B11))*(A_MBLG-A_VERB/(A_LUO+(A_LUO=0)*$B11)))/A_MPG_E,0)*A_MPG_E)&gt;A_KAPR)*((A_FINF*A_FINV+(1-A_FINF)*ROUNDUP((A_VERB/(A_LUO+(A_LUO=0)*$B11)+(A_MBLG&gt;A_VERB/(A_LUO+(A_LUO=0)*$B11))*(A_MBLG-A_VERB/(A_LUO+(A_LUO=0)*$B11)))/A_MPG_E,0)*A_MPG_E)/(A_KAPR+(A_KAPR=0))-1))+(A_FACH=0)*((1-A_LOSE)*(A_GPT&gt;0)*(A_FINF*A_FINN+(1-A_FINF)*ROUNDUP((A_VERB/(A_LUO+(A_LUO=0)*$B11)+(A_MBLG&gt;A_VERB/(A_LUO+(A_LUO=0)*$B11))*(A_MBLG-A_VERB/(A_LUO+(A_LUO=0)*$B11)))/A_MPG_E,0))/(A_GPT+(A_GPT=0))+A_LOSE*((A_FINF*A_FINN+(1-A_FINF)*ROUNDUP((A_VERB/(A_LUO+(A_LUO=0)*$B11)+(A_MBLG&gt;A_VERB/(A_LUO+(A_LUO=0)*$B11))*(A_MBLG-A_VERB/(A_LUO+(A_LUO=0)*$B11)))/A_MPG_E,0))&gt;0)*A_LA*(1+(A_IST&gt;0)*((A_FINF*A_FINN+(1-A_FINF)*ROUNDUP((A_VERB/(A_LUO+(A_LUO=0)*$B11)+(A_MBLG&gt;A_VERB/(A_LUO+(A_LUO=0)*$B11))*(A_MBLG-A_VERB/(A_LUO+(A_LUO=0)*$B11)))/A_MPG_E,0))&gt;A_IST)*((A_FINF*A_FINN+(1-A_FINF)*ROUNDUP((A_VERB/(A_LUO+(A_LUO=0)*$B11)+(A_MBLG&gt;A_VERB/(A_LUO+(A_LUO=0)*$B11))*(A_MBLG-A_VERB/(A_LUO+(A_LUO=0)*$B11)))/A_MPG_E,0))/(A_IST+(A_IST=0))-1)))/MAX(0.1,N(Parameter!$M$21))))</f>
        <v>0</v>
      </c>
    </row>
    <row r="12" customFormat="false" ht="15" hidden="false" customHeight="false" outlineLevel="0" collapsed="false">
      <c r="A12" s="10" t="s">
        <v>64</v>
      </c>
      <c r="B12" s="43" t="n">
        <f aca="false">Parameter!$A$29</f>
        <v>5</v>
      </c>
      <c r="C12" s="30" t="n">
        <f aca="false">M12/Parameter!$E$5</f>
        <v>1.22841669343512</v>
      </c>
      <c r="D12" s="30" t="n">
        <f aca="false">N12/Parameter!$E$6</f>
        <v>1.51181818181818</v>
      </c>
      <c r="E12" s="30" t="n">
        <f aca="false">O12/Parameter!$E$7</f>
        <v>0.674371305023479</v>
      </c>
      <c r="F12" s="14" t="n">
        <f aca="false">(N12+O12)/(Parameter!$E$6+Parameter!$E$7)</f>
        <v>1.09309474342083</v>
      </c>
      <c r="G12" s="14" t="n">
        <f aca="false">(M12+N12+O12)/Parameter!$E$8</f>
        <v>1.13820206009226</v>
      </c>
      <c r="H12" s="44" t="str">
        <f aca="false">IF(AND(M12&lt;=Parameter!$E$5,N12+O12&lt;=Parameter!$E$6+Parameter!$E$7),"JA","NEIN")</f>
        <v>NEIN</v>
      </c>
      <c r="I12" s="11" t="n">
        <f aca="false">MAX(0,M12-Parameter!$E$5)+MAX(0,N12+O12-Parameter!$E$6-Parameter!$E$7)+P12</f>
        <v>20.7303090138389</v>
      </c>
      <c r="J12" s="45" t="n">
        <f aca="false">SUMPRODUCT((A_FINF*A_FINV+(1-A_FINF)*ROUNDUP((A_VERB/(A_LUO+(A_LUO=0)*$B12)+(A_MBLG&gt;A_VERB/(A_LUO+(A_LUO=0)*$B12))*(A_MBLG-A_VERB/(A_LUO+(A_LUO=0)*$B12)))/A_MPG_E,0)*A_MPG_E)*A_PREIS)</f>
        <v>5942935.05384</v>
      </c>
      <c r="K12" s="46" t="n">
        <f aca="false">J12-$J$5</f>
        <v>2491888.83961</v>
      </c>
      <c r="L12" s="47" t="n">
        <f aca="false">(M12+N12+O12+P12)-($M$5+$N$5+$O$5+$P$5)</f>
        <v>19.8157199796846</v>
      </c>
      <c r="M12" s="11" t="n">
        <f aca="false">SUMPRODUCT((A_LIFT=1)*((A_FACH&gt;0)*A_FACH*(1+(A_KAPR&gt;0)*((A_FINF*A_FINV+(1-A_FINF)*ROUNDUP((A_VERB/(A_LUO+(A_LUO=0)*$B12)+(A_MBLG&gt;A_VERB/(A_LUO+(A_LUO=0)*$B12))*(A_MBLG-A_VERB/(A_LUO+(A_LUO=0)*$B12)))/A_MPG_E,0)*A_MPG_E)&gt;A_KAPR)*((A_FINF*A_FINV+(1-A_FINF)*ROUNDUP((A_VERB/(A_LUO+(A_LUO=0)*$B12)+(A_MBLG&gt;A_VERB/(A_LUO+(A_LUO=0)*$B12))*(A_MBLG-A_VERB/(A_LUO+(A_LUO=0)*$B12)))/A_MPG_E,0)*A_MPG_E)/(A_KAPR+(A_KAPR=0))-1))+(A_FACH=0)*((1-A_LOSE)*(A_GPT&gt;0)*(A_FINF*A_FINN+(1-A_FINF)*ROUNDUP((A_VERB/(A_LUO+(A_LUO=0)*$B12)+(A_MBLG&gt;A_VERB/(A_LUO+(A_LUO=0)*$B12))*(A_MBLG-A_VERB/(A_LUO+(A_LUO=0)*$B12)))/A_MPG_E,0))/(A_GPT+(A_GPT=0))+A_LOSE*((A_FINF*A_FINN+(1-A_FINF)*ROUNDUP((A_VERB/(A_LUO+(A_LUO=0)*$B12)+(A_MBLG&gt;A_VERB/(A_LUO+(A_LUO=0)*$B12))*(A_MBLG-A_VERB/(A_LUO+(A_LUO=0)*$B12)))/A_MPG_E,0))&gt;0)*A_LA*(1+(A_IST&gt;0)*((A_FINF*A_FINN+(1-A_FINF)*ROUNDUP((A_VERB/(A_LUO+(A_LUO=0)*$B12)+(A_MBLG&gt;A_VERB/(A_LUO+(A_LUO=0)*$B12))*(A_MBLG-A_VERB/(A_LUO+(A_LUO=0)*$B12)))/A_MPG_E,0))&gt;A_IST)*((A_FINF*A_FINN+(1-A_FINF)*ROUNDUP((A_VERB/(A_LUO+(A_LUO=0)*$B12)+(A_MBLG&gt;A_VERB/(A_LUO+(A_LUO=0)*$B12))*(A_MBLG-A_VERB/(A_LUO+(A_LUO=0)*$B12)))/A_MPG_E,0))/(A_IST+(A_IST=0))-1)))/MAX(0.1,N(Parameter!$M$21))))</f>
        <v>61.4208346717558</v>
      </c>
      <c r="N12" s="11" t="n">
        <f aca="false">SUMPRODUCT((A_LIFT=2)*((A_FACH&gt;0)*A_FACH*(1+(A_KAPR&gt;0)*((A_FINF*A_FINV+(1-A_FINF)*ROUNDUP((A_VERB/(A_LUO+(A_LUO=0)*$B12)+(A_MBLG&gt;A_VERB/(A_LUO+(A_LUO=0)*$B12))*(A_MBLG-A_VERB/(A_LUO+(A_LUO=0)*$B12)))/A_MPG_E,0)*A_MPG_E)&gt;A_KAPR)*((A_FINF*A_FINV+(1-A_FINF)*ROUNDUP((A_VERB/(A_LUO+(A_LUO=0)*$B12)+(A_MBLG&gt;A_VERB/(A_LUO+(A_LUO=0)*$B12))*(A_MBLG-A_VERB/(A_LUO+(A_LUO=0)*$B12)))/A_MPG_E,0)*A_MPG_E)/(A_KAPR+(A_KAPR=0))-1))+(A_FACH=0)*((1-A_LOSE)*(A_GPT&gt;0)*(A_FINF*A_FINN+(1-A_FINF)*ROUNDUP((A_VERB/(A_LUO+(A_LUO=0)*$B12)+(A_MBLG&gt;A_VERB/(A_LUO+(A_LUO=0)*$B12))*(A_MBLG-A_VERB/(A_LUO+(A_LUO=0)*$B12)))/A_MPG_E,0))/(A_GPT+(A_GPT=0))+A_LOSE*((A_FINF*A_FINN+(1-A_FINF)*ROUNDUP((A_VERB/(A_LUO+(A_LUO=0)*$B12)+(A_MBLG&gt;A_VERB/(A_LUO+(A_LUO=0)*$B12))*(A_MBLG-A_VERB/(A_LUO+(A_LUO=0)*$B12)))/A_MPG_E,0))&gt;0)*A_LA*(1+(A_IST&gt;0)*((A_FINF*A_FINN+(1-A_FINF)*ROUNDUP((A_VERB/(A_LUO+(A_LUO=0)*$B12)+(A_MBLG&gt;A_VERB/(A_LUO+(A_LUO=0)*$B12))*(A_MBLG-A_VERB/(A_LUO+(A_LUO=0)*$B12)))/A_MPG_E,0))&gt;A_IST)*((A_FINF*A_FINN+(1-A_FINF)*ROUNDUP((A_VERB/(A_LUO+(A_LUO=0)*$B12)+(A_MBLG&gt;A_VERB/(A_LUO+(A_LUO=0)*$B12))*(A_MBLG-A_VERB/(A_LUO+(A_LUO=0)*$B12)))/A_MPG_E,0))/(A_IST+(A_IST=0))-1)))/MAX(0.1,N(Parameter!$M$21))))</f>
        <v>75.5909090909091</v>
      </c>
      <c r="O12" s="11" t="n">
        <f aca="false">SUMPRODUCT((A_LIFT=3)*((A_FACH&gt;0)*A_FACH*(1+(A_KAPR&gt;0)*((A_FINF*A_FINV+(1-A_FINF)*ROUNDUP((A_VERB/(A_LUO+(A_LUO=0)*$B12)+(A_MBLG&gt;A_VERB/(A_LUO+(A_LUO=0)*$B12))*(A_MBLG-A_VERB/(A_LUO+(A_LUO=0)*$B12)))/A_MPG_E,0)*A_MPG_E)&gt;A_KAPR)*((A_FINF*A_FINV+(1-A_FINF)*ROUNDUP((A_VERB/(A_LUO+(A_LUO=0)*$B12)+(A_MBLG&gt;A_VERB/(A_LUO+(A_LUO=0)*$B12))*(A_MBLG-A_VERB/(A_LUO+(A_LUO=0)*$B12)))/A_MPG_E,0)*A_MPG_E)/(A_KAPR+(A_KAPR=0))-1))+(A_FACH=0)*((1-A_LOSE)*(A_GPT&gt;0)*(A_FINF*A_FINN+(1-A_FINF)*ROUNDUP((A_VERB/(A_LUO+(A_LUO=0)*$B12)+(A_MBLG&gt;A_VERB/(A_LUO+(A_LUO=0)*$B12))*(A_MBLG-A_VERB/(A_LUO+(A_LUO=0)*$B12)))/A_MPG_E,0))/(A_GPT+(A_GPT=0))+A_LOSE*((A_FINF*A_FINN+(1-A_FINF)*ROUNDUP((A_VERB/(A_LUO+(A_LUO=0)*$B12)+(A_MBLG&gt;A_VERB/(A_LUO+(A_LUO=0)*$B12))*(A_MBLG-A_VERB/(A_LUO+(A_LUO=0)*$B12)))/A_MPG_E,0))&gt;0)*A_LA*(1+(A_IST&gt;0)*((A_FINF*A_FINN+(1-A_FINF)*ROUNDUP((A_VERB/(A_LUO+(A_LUO=0)*$B12)+(A_MBLG&gt;A_VERB/(A_LUO+(A_LUO=0)*$B12))*(A_MBLG-A_VERB/(A_LUO+(A_LUO=0)*$B12)))/A_MPG_E,0))&gt;A_IST)*((A_FINF*A_FINN+(1-A_FINF)*ROUNDUP((A_VERB/(A_LUO+(A_LUO=0)*$B12)+(A_MBLG&gt;A_VERB/(A_LUO+(A_LUO=0)*$B12))*(A_MBLG-A_VERB/(A_LUO+(A_LUO=0)*$B12)))/A_MPG_E,0))/(A_IST+(A_IST=0))-1)))/MAX(0.1,N(Parameter!$M$21))))</f>
        <v>33.718565251174</v>
      </c>
      <c r="P12" s="11" t="n">
        <f aca="false">SUMPRODUCT((A_LIFT="Aussen")*((A_FACH&gt;0)*A_FACH*(1+(A_KAPR&gt;0)*((A_FINF*A_FINV+(1-A_FINF)*ROUNDUP((A_VERB/(A_LUO+(A_LUO=0)*$B12)+(A_MBLG&gt;A_VERB/(A_LUO+(A_LUO=0)*$B12))*(A_MBLG-A_VERB/(A_LUO+(A_LUO=0)*$B12)))/A_MPG_E,0)*A_MPG_E)&gt;A_KAPR)*((A_FINF*A_FINV+(1-A_FINF)*ROUNDUP((A_VERB/(A_LUO+(A_LUO=0)*$B12)+(A_MBLG&gt;A_VERB/(A_LUO+(A_LUO=0)*$B12))*(A_MBLG-A_VERB/(A_LUO+(A_LUO=0)*$B12)))/A_MPG_E,0)*A_MPG_E)/(A_KAPR+(A_KAPR=0))-1))+(A_FACH=0)*((1-A_LOSE)*(A_GPT&gt;0)*(A_FINF*A_FINN+(1-A_FINF)*ROUNDUP((A_VERB/(A_LUO+(A_LUO=0)*$B12)+(A_MBLG&gt;A_VERB/(A_LUO+(A_LUO=0)*$B12))*(A_MBLG-A_VERB/(A_LUO+(A_LUO=0)*$B12)))/A_MPG_E,0))/(A_GPT+(A_GPT=0))+A_LOSE*((A_FINF*A_FINN+(1-A_FINF)*ROUNDUP((A_VERB/(A_LUO+(A_LUO=0)*$B12)+(A_MBLG&gt;A_VERB/(A_LUO+(A_LUO=0)*$B12))*(A_MBLG-A_VERB/(A_LUO+(A_LUO=0)*$B12)))/A_MPG_E,0))&gt;0)*A_LA*(1+(A_IST&gt;0)*((A_FINF*A_FINN+(1-A_FINF)*ROUNDUP((A_VERB/(A_LUO+(A_LUO=0)*$B12)+(A_MBLG&gt;A_VERB/(A_LUO+(A_LUO=0)*$B12))*(A_MBLG-A_VERB/(A_LUO+(A_LUO=0)*$B12)))/A_MPG_E,0))&gt;A_IST)*((A_FINF*A_FINN+(1-A_FINF)*ROUNDUP((A_VERB/(A_LUO+(A_LUO=0)*$B12)+(A_MBLG&gt;A_VERB/(A_LUO+(A_LUO=0)*$B12))*(A_MBLG-A_VERB/(A_LUO+(A_LUO=0)*$B12)))/A_MPG_E,0))/(A_IST+(A_IST=0))-1)))/MAX(0.1,N(Parameter!$M$21))))</f>
        <v>0</v>
      </c>
    </row>
    <row r="13" customFormat="false" ht="15" hidden="false" customHeight="false" outlineLevel="0" collapsed="false">
      <c r="A13" s="10" t="s">
        <v>64</v>
      </c>
      <c r="B13" s="43" t="n">
        <f aca="false">Parameter!$A$30</f>
        <v>6</v>
      </c>
      <c r="C13" s="30" t="n">
        <f aca="false">M13/Parameter!$E$5</f>
        <v>1.22194776688144</v>
      </c>
      <c r="D13" s="30" t="n">
        <f aca="false">N13/Parameter!$E$6</f>
        <v>1.49015151515152</v>
      </c>
      <c r="E13" s="30" t="n">
        <f aca="false">O13/Parameter!$E$7</f>
        <v>0.672063612715787</v>
      </c>
      <c r="F13" s="14" t="n">
        <f aca="false">(N13+O13)/(Parameter!$E$6+Parameter!$E$7)</f>
        <v>1.08110756393365</v>
      </c>
      <c r="G13" s="14" t="n">
        <f aca="false">(M13+N13+O13)/Parameter!$E$8</f>
        <v>1.12805429824958</v>
      </c>
      <c r="H13" s="44" t="str">
        <f aca="false">IF(AND(M13&lt;=Parameter!$E$5,N13+O13&lt;=Parameter!$E$6+Parameter!$E$7),"JA","NEIN")</f>
        <v>NEIN</v>
      </c>
      <c r="I13" s="11" t="n">
        <f aca="false">MAX(0,M13-Parameter!$E$5)+MAX(0,N13+O13-Parameter!$E$6-Parameter!$E$7)+P13</f>
        <v>19.2081447374373</v>
      </c>
      <c r="J13" s="45" t="n">
        <f aca="false">SUMPRODUCT((A_FINF*A_FINV+(1-A_FINF)*ROUNDUP((A_VERB/(A_LUO+(A_LUO=0)*$B13)+(A_MBLG&gt;A_VERB/(A_LUO+(A_LUO=0)*$B13))*(A_MBLG-A_VERB/(A_LUO+(A_LUO=0)*$B13)))/A_MPG_E,0)*A_MPG_E)*A_PREIS)</f>
        <v>5886962.44384</v>
      </c>
      <c r="K13" s="46" t="n">
        <f aca="false">J13-$J$5</f>
        <v>2435916.22961</v>
      </c>
      <c r="L13" s="47" t="n">
        <f aca="false">(M13+N13+O13+P13)-($M$5+$N$5+$O$5+$P$5)</f>
        <v>18.293555703283</v>
      </c>
      <c r="M13" s="11" t="n">
        <f aca="false">SUMPRODUCT((A_LIFT=1)*((A_FACH&gt;0)*A_FACH*(1+(A_KAPR&gt;0)*((A_FINF*A_FINV+(1-A_FINF)*ROUNDUP((A_VERB/(A_LUO+(A_LUO=0)*$B13)+(A_MBLG&gt;A_VERB/(A_LUO+(A_LUO=0)*$B13))*(A_MBLG-A_VERB/(A_LUO+(A_LUO=0)*$B13)))/A_MPG_E,0)*A_MPG_E)&gt;A_KAPR)*((A_FINF*A_FINV+(1-A_FINF)*ROUNDUP((A_VERB/(A_LUO+(A_LUO=0)*$B13)+(A_MBLG&gt;A_VERB/(A_LUO+(A_LUO=0)*$B13))*(A_MBLG-A_VERB/(A_LUO+(A_LUO=0)*$B13)))/A_MPG_E,0)*A_MPG_E)/(A_KAPR+(A_KAPR=0))-1))+(A_FACH=0)*((1-A_LOSE)*(A_GPT&gt;0)*(A_FINF*A_FINN+(1-A_FINF)*ROUNDUP((A_VERB/(A_LUO+(A_LUO=0)*$B13)+(A_MBLG&gt;A_VERB/(A_LUO+(A_LUO=0)*$B13))*(A_MBLG-A_VERB/(A_LUO+(A_LUO=0)*$B13)))/A_MPG_E,0))/(A_GPT+(A_GPT=0))+A_LOSE*((A_FINF*A_FINN+(1-A_FINF)*ROUNDUP((A_VERB/(A_LUO+(A_LUO=0)*$B13)+(A_MBLG&gt;A_VERB/(A_LUO+(A_LUO=0)*$B13))*(A_MBLG-A_VERB/(A_LUO+(A_LUO=0)*$B13)))/A_MPG_E,0))&gt;0)*A_LA*(1+(A_IST&gt;0)*((A_FINF*A_FINN+(1-A_FINF)*ROUNDUP((A_VERB/(A_LUO+(A_LUO=0)*$B13)+(A_MBLG&gt;A_VERB/(A_LUO+(A_LUO=0)*$B13))*(A_MBLG-A_VERB/(A_LUO+(A_LUO=0)*$B13)))/A_MPG_E,0))&gt;A_IST)*((A_FINF*A_FINN+(1-A_FINF)*ROUNDUP((A_VERB/(A_LUO+(A_LUO=0)*$B13)+(A_MBLG&gt;A_VERB/(A_LUO+(A_LUO=0)*$B13))*(A_MBLG-A_VERB/(A_LUO+(A_LUO=0)*$B13)))/A_MPG_E,0))/(A_IST+(A_IST=0))-1)))/MAX(0.1,N(Parameter!$M$21))))</f>
        <v>61.0973883440722</v>
      </c>
      <c r="N13" s="11" t="n">
        <f aca="false">SUMPRODUCT((A_LIFT=2)*((A_FACH&gt;0)*A_FACH*(1+(A_KAPR&gt;0)*((A_FINF*A_FINV+(1-A_FINF)*ROUNDUP((A_VERB/(A_LUO+(A_LUO=0)*$B13)+(A_MBLG&gt;A_VERB/(A_LUO+(A_LUO=0)*$B13))*(A_MBLG-A_VERB/(A_LUO+(A_LUO=0)*$B13)))/A_MPG_E,0)*A_MPG_E)&gt;A_KAPR)*((A_FINF*A_FINV+(1-A_FINF)*ROUNDUP((A_VERB/(A_LUO+(A_LUO=0)*$B13)+(A_MBLG&gt;A_VERB/(A_LUO+(A_LUO=0)*$B13))*(A_MBLG-A_VERB/(A_LUO+(A_LUO=0)*$B13)))/A_MPG_E,0)*A_MPG_E)/(A_KAPR+(A_KAPR=0))-1))+(A_FACH=0)*((1-A_LOSE)*(A_GPT&gt;0)*(A_FINF*A_FINN+(1-A_FINF)*ROUNDUP((A_VERB/(A_LUO+(A_LUO=0)*$B13)+(A_MBLG&gt;A_VERB/(A_LUO+(A_LUO=0)*$B13))*(A_MBLG-A_VERB/(A_LUO+(A_LUO=0)*$B13)))/A_MPG_E,0))/(A_GPT+(A_GPT=0))+A_LOSE*((A_FINF*A_FINN+(1-A_FINF)*ROUNDUP((A_VERB/(A_LUO+(A_LUO=0)*$B13)+(A_MBLG&gt;A_VERB/(A_LUO+(A_LUO=0)*$B13))*(A_MBLG-A_VERB/(A_LUO+(A_LUO=0)*$B13)))/A_MPG_E,0))&gt;0)*A_LA*(1+(A_IST&gt;0)*((A_FINF*A_FINN+(1-A_FINF)*ROUNDUP((A_VERB/(A_LUO+(A_LUO=0)*$B13)+(A_MBLG&gt;A_VERB/(A_LUO+(A_LUO=0)*$B13))*(A_MBLG-A_VERB/(A_LUO+(A_LUO=0)*$B13)))/A_MPG_E,0))&gt;A_IST)*((A_FINF*A_FINN+(1-A_FINF)*ROUNDUP((A_VERB/(A_LUO+(A_LUO=0)*$B13)+(A_MBLG&gt;A_VERB/(A_LUO+(A_LUO=0)*$B13))*(A_MBLG-A_VERB/(A_LUO+(A_LUO=0)*$B13)))/A_MPG_E,0))/(A_IST+(A_IST=0))-1)))/MAX(0.1,N(Parameter!$M$21))))</f>
        <v>74.5075757575758</v>
      </c>
      <c r="O13" s="11" t="n">
        <f aca="false">SUMPRODUCT((A_LIFT=3)*((A_FACH&gt;0)*A_FACH*(1+(A_KAPR&gt;0)*((A_FINF*A_FINV+(1-A_FINF)*ROUNDUP((A_VERB/(A_LUO+(A_LUO=0)*$B13)+(A_MBLG&gt;A_VERB/(A_LUO+(A_LUO=0)*$B13))*(A_MBLG-A_VERB/(A_LUO+(A_LUO=0)*$B13)))/A_MPG_E,0)*A_MPG_E)&gt;A_KAPR)*((A_FINF*A_FINV+(1-A_FINF)*ROUNDUP((A_VERB/(A_LUO+(A_LUO=0)*$B13)+(A_MBLG&gt;A_VERB/(A_LUO+(A_LUO=0)*$B13))*(A_MBLG-A_VERB/(A_LUO+(A_LUO=0)*$B13)))/A_MPG_E,0)*A_MPG_E)/(A_KAPR+(A_KAPR=0))-1))+(A_FACH=0)*((1-A_LOSE)*(A_GPT&gt;0)*(A_FINF*A_FINN+(1-A_FINF)*ROUNDUP((A_VERB/(A_LUO+(A_LUO=0)*$B13)+(A_MBLG&gt;A_VERB/(A_LUO+(A_LUO=0)*$B13))*(A_MBLG-A_VERB/(A_LUO+(A_LUO=0)*$B13)))/A_MPG_E,0))/(A_GPT+(A_GPT=0))+A_LOSE*((A_FINF*A_FINN+(1-A_FINF)*ROUNDUP((A_VERB/(A_LUO+(A_LUO=0)*$B13)+(A_MBLG&gt;A_VERB/(A_LUO+(A_LUO=0)*$B13))*(A_MBLG-A_VERB/(A_LUO+(A_LUO=0)*$B13)))/A_MPG_E,0))&gt;0)*A_LA*(1+(A_IST&gt;0)*((A_FINF*A_FINN+(1-A_FINF)*ROUNDUP((A_VERB/(A_LUO+(A_LUO=0)*$B13)+(A_MBLG&gt;A_VERB/(A_LUO+(A_LUO=0)*$B13))*(A_MBLG-A_VERB/(A_LUO+(A_LUO=0)*$B13)))/A_MPG_E,0))&gt;A_IST)*((A_FINF*A_FINN+(1-A_FINF)*ROUNDUP((A_VERB/(A_LUO+(A_LUO=0)*$B13)+(A_MBLG&gt;A_VERB/(A_LUO+(A_LUO=0)*$B13))*(A_MBLG-A_VERB/(A_LUO+(A_LUO=0)*$B13)))/A_MPG_E,0))/(A_IST+(A_IST=0))-1)))/MAX(0.1,N(Parameter!$M$21))))</f>
        <v>33.6031806357893</v>
      </c>
      <c r="P13" s="11" t="n">
        <f aca="false">SUMPRODUCT((A_LIFT="Aussen")*((A_FACH&gt;0)*A_FACH*(1+(A_KAPR&gt;0)*((A_FINF*A_FINV+(1-A_FINF)*ROUNDUP((A_VERB/(A_LUO+(A_LUO=0)*$B13)+(A_MBLG&gt;A_VERB/(A_LUO+(A_LUO=0)*$B13))*(A_MBLG-A_VERB/(A_LUO+(A_LUO=0)*$B13)))/A_MPG_E,0)*A_MPG_E)&gt;A_KAPR)*((A_FINF*A_FINV+(1-A_FINF)*ROUNDUP((A_VERB/(A_LUO+(A_LUO=0)*$B13)+(A_MBLG&gt;A_VERB/(A_LUO+(A_LUO=0)*$B13))*(A_MBLG-A_VERB/(A_LUO+(A_LUO=0)*$B13)))/A_MPG_E,0)*A_MPG_E)/(A_KAPR+(A_KAPR=0))-1))+(A_FACH=0)*((1-A_LOSE)*(A_GPT&gt;0)*(A_FINF*A_FINN+(1-A_FINF)*ROUNDUP((A_VERB/(A_LUO+(A_LUO=0)*$B13)+(A_MBLG&gt;A_VERB/(A_LUO+(A_LUO=0)*$B13))*(A_MBLG-A_VERB/(A_LUO+(A_LUO=0)*$B13)))/A_MPG_E,0))/(A_GPT+(A_GPT=0))+A_LOSE*((A_FINF*A_FINN+(1-A_FINF)*ROUNDUP((A_VERB/(A_LUO+(A_LUO=0)*$B13)+(A_MBLG&gt;A_VERB/(A_LUO+(A_LUO=0)*$B13))*(A_MBLG-A_VERB/(A_LUO+(A_LUO=0)*$B13)))/A_MPG_E,0))&gt;0)*A_LA*(1+(A_IST&gt;0)*((A_FINF*A_FINN+(1-A_FINF)*ROUNDUP((A_VERB/(A_LUO+(A_LUO=0)*$B13)+(A_MBLG&gt;A_VERB/(A_LUO+(A_LUO=0)*$B13))*(A_MBLG-A_VERB/(A_LUO+(A_LUO=0)*$B13)))/A_MPG_E,0))&gt;A_IST)*((A_FINF*A_FINN+(1-A_FINF)*ROUNDUP((A_VERB/(A_LUO+(A_LUO=0)*$B13)+(A_MBLG&gt;A_VERB/(A_LUO+(A_LUO=0)*$B13))*(A_MBLG-A_VERB/(A_LUO+(A_LUO=0)*$B13)))/A_MPG_E,0))/(A_IST+(A_IST=0))-1)))/MAX(0.1,N(Parameter!$M$21))))</f>
        <v>0</v>
      </c>
    </row>
    <row r="14" customFormat="false" ht="15" hidden="false" customHeight="false" outlineLevel="0" collapsed="false">
      <c r="A14" s="10" t="s">
        <v>7</v>
      </c>
      <c r="B14" s="43" t="n">
        <f aca="false">Parameter!$A$23</f>
        <v>1</v>
      </c>
      <c r="C14" s="30" t="n">
        <f aca="false">M14/Parameter!$E$5</f>
        <v>2.07071207225592</v>
      </c>
      <c r="D14" s="30" t="n">
        <f aca="false">N14/Parameter!$E$6</f>
        <v>2.70515151515152</v>
      </c>
      <c r="E14" s="30" t="n">
        <f aca="false">O14/Parameter!$E$7</f>
        <v>0.878050910442215</v>
      </c>
      <c r="F14" s="14" t="n">
        <f aca="false">(N14+O14)/(Parameter!$E$6+Parameter!$E$7)</f>
        <v>1.79160121279687</v>
      </c>
      <c r="G14" s="14" t="n">
        <f aca="false">(M14+N14+O14)/Parameter!$E$8</f>
        <v>1.88463816594988</v>
      </c>
      <c r="H14" s="44" t="str">
        <f aca="false">IF(AND(M14&lt;=Parameter!$E$5,N14+O14&lt;=Parameter!$E$6+Parameter!$E$7),"JA","NEIN")</f>
        <v>NEIN</v>
      </c>
      <c r="I14" s="11" t="n">
        <f aca="false">MAX(0,M14-Parameter!$E$5)+MAX(0,N14+O14-Parameter!$E$6-Parameter!$E$7)+P14</f>
        <v>132.695724892482</v>
      </c>
      <c r="J14" s="45" t="n">
        <f aca="false">SUMPRODUCT((A_FINF*A_FINV+(1-A_FINF)*(ROUNDUP((A_VERB/(A_LUO+(A_LUO=0)*$B14)+(A_MBLG&gt;A_VERB/(A_LUO+(A_LUO=0)*$B14))*(A_MBLG-A_VERB/(A_LUO+(A_LUO=0)*$B14)))/A_MPG_E,0)*A_MPG_E+(A_IST&gt;ROUNDUP((A_VERB/(A_LUO+(A_LUO=0)*$B14)+(A_MBLG&gt;A_VERB/(A_LUO+(A_LUO=0)*$B14))*(A_MBLG-A_VERB/(A_LUO+(A_LUO=0)*$B14)))/A_MPG_E,0)*A_MPG_E)*(A_IST-ROUNDUP((A_VERB/(A_LUO+(A_LUO=0)*$B14)+(A_MBLG&gt;A_VERB/(A_LUO+(A_LUO=0)*$B14))*(A_MBLG-A_VERB/(A_LUO+(A_LUO=0)*$B14)))/A_MPG_E,0)*A_MPG_E)))*A_PREIS)</f>
        <v>11524541.30689</v>
      </c>
      <c r="K14" s="46" t="n">
        <f aca="false">J14-$J$5</f>
        <v>8073495.09266</v>
      </c>
      <c r="L14" s="47" t="n">
        <f aca="false">(M14+N14+O14+P14)-($M$5+$N$5+$O$5+$P$5)</f>
        <v>131.781135858328</v>
      </c>
      <c r="M14" s="11" t="n">
        <f aca="false">SUMPRODUCT((A_LIFT=1)*((A_FACH&gt;0)*A_FACH*(1+(A_KAPR&gt;0)*((A_FINF*A_FINV+(1-A_FINF)*(ROUNDUP((A_VERB/(A_LUO+(A_LUO=0)*$B14)+(A_MBLG&gt;A_VERB/(A_LUO+(A_LUO=0)*$B14))*(A_MBLG-A_VERB/(A_LUO+(A_LUO=0)*$B14)))/A_MPG_E,0)*A_MPG_E+(A_IST&gt;ROUNDUP((A_VERB/(A_LUO+(A_LUO=0)*$B14)+(A_MBLG&gt;A_VERB/(A_LUO+(A_LUO=0)*$B14))*(A_MBLG-A_VERB/(A_LUO+(A_LUO=0)*$B14)))/A_MPG_E,0)*A_MPG_E)*(A_IST-ROUNDUP((A_VERB/(A_LUO+(A_LUO=0)*$B14)+(A_MBLG&gt;A_VERB/(A_LUO+(A_LUO=0)*$B14))*(A_MBLG-A_VERB/(A_LUO+(A_LUO=0)*$B14)))/A_MPG_E,0)*A_MPG_E)))&gt;A_KAPR)*((A_FINF*A_FINV+(1-A_FINF)*(ROUNDUP((A_VERB/(A_LUO+(A_LUO=0)*$B14)+(A_MBLG&gt;A_VERB/(A_LUO+(A_LUO=0)*$B14))*(A_MBLG-A_VERB/(A_LUO+(A_LUO=0)*$B14)))/A_MPG_E,0)*A_MPG_E+(A_IST&gt;ROUNDUP((A_VERB/(A_LUO+(A_LUO=0)*$B14)+(A_MBLG&gt;A_VERB/(A_LUO+(A_LUO=0)*$B14))*(A_MBLG-A_VERB/(A_LUO+(A_LUO=0)*$B14)))/A_MPG_E,0)*A_MPG_E)*(A_IST-ROUNDUP((A_VERB/(A_LUO+(A_LUO=0)*$B14)+(A_MBLG&gt;A_VERB/(A_LUO+(A_LUO=0)*$B14))*(A_MBLG-A_VERB/(A_LUO+(A_LUO=0)*$B14)))/A_MPG_E,0)*A_MPG_E)))/(A_KAPR+(A_KAPR=0))-1))+(A_FACH=0)*((1-A_LOSE)*(A_GPT&gt;0)*(A_FINF*A_FINN+(1-A_FINF)*(ROUNDUP((A_VERB/(A_LUO+(A_LUO=0)*$B14)+(A_MBLG&gt;A_VERB/(A_LUO+(A_LUO=0)*$B14))*(A_MBLG-A_VERB/(A_LUO+(A_LUO=0)*$B14)))/A_MPG_E,0)+(A_ISTN&gt;ROUNDUP((A_VERB/(A_LUO+(A_LUO=0)*$B14)+(A_MBLG&gt;A_VERB/(A_LUO+(A_LUO=0)*$B14))*(A_MBLG-A_VERB/(A_LUO+(A_LUO=0)*$B14)))/A_MPG_E,0))*(A_ISTN-ROUNDUP((A_VERB/(A_LUO+(A_LUO=0)*$B14)+(A_MBLG&gt;A_VERB/(A_LUO+(A_LUO=0)*$B14))*(A_MBLG-A_VERB/(A_LUO+(A_LUO=0)*$B14)))/A_MPG_E,0))))/(A_GPT+(A_GPT=0))+A_LOSE*((A_FINF*A_FINN+(1-A_FINF)*(ROUNDUP((A_VERB/(A_LUO+(A_LUO=0)*$B14)+(A_MBLG&gt;A_VERB/(A_LUO+(A_LUO=0)*$B14))*(A_MBLG-A_VERB/(A_LUO+(A_LUO=0)*$B14)))/A_MPG_E,0)+(A_ISTN&gt;ROUNDUP((A_VERB/(A_LUO+(A_LUO=0)*$B14)+(A_MBLG&gt;A_VERB/(A_LUO+(A_LUO=0)*$B14))*(A_MBLG-A_VERB/(A_LUO+(A_LUO=0)*$B14)))/A_MPG_E,0))*(A_ISTN-ROUNDUP((A_VERB/(A_LUO+(A_LUO=0)*$B14)+(A_MBLG&gt;A_VERB/(A_LUO+(A_LUO=0)*$B14))*(A_MBLG-A_VERB/(A_LUO+(A_LUO=0)*$B14)))/A_MPG_E,0))))&gt;0)*A_LA*(1+(A_IST&gt;0)*((A_FINF*A_FINN+(1-A_FINF)*(ROUNDUP((A_VERB/(A_LUO+(A_LUO=0)*$B14)+(A_MBLG&gt;A_VERB/(A_LUO+(A_LUO=0)*$B14))*(A_MBLG-A_VERB/(A_LUO+(A_LUO=0)*$B14)))/A_MPG_E,0)+(A_ISTN&gt;ROUNDUP((A_VERB/(A_LUO+(A_LUO=0)*$B14)+(A_MBLG&gt;A_VERB/(A_LUO+(A_LUO=0)*$B14))*(A_MBLG-A_VERB/(A_LUO+(A_LUO=0)*$B14)))/A_MPG_E,0))*(A_ISTN-ROUNDUP((A_VERB/(A_LUO+(A_LUO=0)*$B14)+(A_MBLG&gt;A_VERB/(A_LUO+(A_LUO=0)*$B14))*(A_MBLG-A_VERB/(A_LUO+(A_LUO=0)*$B14)))/A_MPG_E,0))))&gt;A_IST)*((A_FINF*A_FINN+(1-A_FINF)*(ROUNDUP((A_VERB/(A_LUO+(A_LUO=0)*$B14)+(A_MBLG&gt;A_VERB/(A_LUO+(A_LUO=0)*$B14))*(A_MBLG-A_VERB/(A_LUO+(A_LUO=0)*$B14)))/A_MPG_E,0)+(A_ISTN&gt;ROUNDUP((A_VERB/(A_LUO+(A_LUO=0)*$B14)+(A_MBLG&gt;A_VERB/(A_LUO+(A_LUO=0)*$B14))*(A_MBLG-A_VERB/(A_LUO+(A_LUO=0)*$B14)))/A_MPG_E,0))*(A_ISTN-ROUNDUP((A_VERB/(A_LUO+(A_LUO=0)*$B14)+(A_MBLG&gt;A_VERB/(A_LUO+(A_LUO=0)*$B14))*(A_MBLG-A_VERB/(A_LUO+(A_LUO=0)*$B14)))/A_MPG_E,0))))/(A_IST+(A_IST=0))-1)))/MAX(0.1,N(Parameter!$M$21))))</f>
        <v>103.535603612796</v>
      </c>
      <c r="N14" s="11" t="n">
        <f aca="false">SUMPRODUCT((A_LIFT=2)*((A_FACH&gt;0)*A_FACH*(1+(A_KAPR&gt;0)*((A_FINF*A_FINV+(1-A_FINF)*(ROUNDUP((A_VERB/(A_LUO+(A_LUO=0)*$B14)+(A_MBLG&gt;A_VERB/(A_LUO+(A_LUO=0)*$B14))*(A_MBLG-A_VERB/(A_LUO+(A_LUO=0)*$B14)))/A_MPG_E,0)*A_MPG_E+(A_IST&gt;ROUNDUP((A_VERB/(A_LUO+(A_LUO=0)*$B14)+(A_MBLG&gt;A_VERB/(A_LUO+(A_LUO=0)*$B14))*(A_MBLG-A_VERB/(A_LUO+(A_LUO=0)*$B14)))/A_MPG_E,0)*A_MPG_E)*(A_IST-ROUNDUP((A_VERB/(A_LUO+(A_LUO=0)*$B14)+(A_MBLG&gt;A_VERB/(A_LUO+(A_LUO=0)*$B14))*(A_MBLG-A_VERB/(A_LUO+(A_LUO=0)*$B14)))/A_MPG_E,0)*A_MPG_E)))&gt;A_KAPR)*((A_FINF*A_FINV+(1-A_FINF)*(ROUNDUP((A_VERB/(A_LUO+(A_LUO=0)*$B14)+(A_MBLG&gt;A_VERB/(A_LUO+(A_LUO=0)*$B14))*(A_MBLG-A_VERB/(A_LUO+(A_LUO=0)*$B14)))/A_MPG_E,0)*A_MPG_E+(A_IST&gt;ROUNDUP((A_VERB/(A_LUO+(A_LUO=0)*$B14)+(A_MBLG&gt;A_VERB/(A_LUO+(A_LUO=0)*$B14))*(A_MBLG-A_VERB/(A_LUO+(A_LUO=0)*$B14)))/A_MPG_E,0)*A_MPG_E)*(A_IST-ROUNDUP((A_VERB/(A_LUO+(A_LUO=0)*$B14)+(A_MBLG&gt;A_VERB/(A_LUO+(A_LUO=0)*$B14))*(A_MBLG-A_VERB/(A_LUO+(A_LUO=0)*$B14)))/A_MPG_E,0)*A_MPG_E)))/(A_KAPR+(A_KAPR=0))-1))+(A_FACH=0)*((1-A_LOSE)*(A_GPT&gt;0)*(A_FINF*A_FINN+(1-A_FINF)*(ROUNDUP((A_VERB/(A_LUO+(A_LUO=0)*$B14)+(A_MBLG&gt;A_VERB/(A_LUO+(A_LUO=0)*$B14))*(A_MBLG-A_VERB/(A_LUO+(A_LUO=0)*$B14)))/A_MPG_E,0)+(A_ISTN&gt;ROUNDUP((A_VERB/(A_LUO+(A_LUO=0)*$B14)+(A_MBLG&gt;A_VERB/(A_LUO+(A_LUO=0)*$B14))*(A_MBLG-A_VERB/(A_LUO+(A_LUO=0)*$B14)))/A_MPG_E,0))*(A_ISTN-ROUNDUP((A_VERB/(A_LUO+(A_LUO=0)*$B14)+(A_MBLG&gt;A_VERB/(A_LUO+(A_LUO=0)*$B14))*(A_MBLG-A_VERB/(A_LUO+(A_LUO=0)*$B14)))/A_MPG_E,0))))/(A_GPT+(A_GPT=0))+A_LOSE*((A_FINF*A_FINN+(1-A_FINF)*(ROUNDUP((A_VERB/(A_LUO+(A_LUO=0)*$B14)+(A_MBLG&gt;A_VERB/(A_LUO+(A_LUO=0)*$B14))*(A_MBLG-A_VERB/(A_LUO+(A_LUO=0)*$B14)))/A_MPG_E,0)+(A_ISTN&gt;ROUNDUP((A_VERB/(A_LUO+(A_LUO=0)*$B14)+(A_MBLG&gt;A_VERB/(A_LUO+(A_LUO=0)*$B14))*(A_MBLG-A_VERB/(A_LUO+(A_LUO=0)*$B14)))/A_MPG_E,0))*(A_ISTN-ROUNDUP((A_VERB/(A_LUO+(A_LUO=0)*$B14)+(A_MBLG&gt;A_VERB/(A_LUO+(A_LUO=0)*$B14))*(A_MBLG-A_VERB/(A_LUO+(A_LUO=0)*$B14)))/A_MPG_E,0))))&gt;0)*A_LA*(1+(A_IST&gt;0)*((A_FINF*A_FINN+(1-A_FINF)*(ROUNDUP((A_VERB/(A_LUO+(A_LUO=0)*$B14)+(A_MBLG&gt;A_VERB/(A_LUO+(A_LUO=0)*$B14))*(A_MBLG-A_VERB/(A_LUO+(A_LUO=0)*$B14)))/A_MPG_E,0)+(A_ISTN&gt;ROUNDUP((A_VERB/(A_LUO+(A_LUO=0)*$B14)+(A_MBLG&gt;A_VERB/(A_LUO+(A_LUO=0)*$B14))*(A_MBLG-A_VERB/(A_LUO+(A_LUO=0)*$B14)))/A_MPG_E,0))*(A_ISTN-ROUNDUP((A_VERB/(A_LUO+(A_LUO=0)*$B14)+(A_MBLG&gt;A_VERB/(A_LUO+(A_LUO=0)*$B14))*(A_MBLG-A_VERB/(A_LUO+(A_LUO=0)*$B14)))/A_MPG_E,0))))&gt;A_IST)*((A_FINF*A_FINN+(1-A_FINF)*(ROUNDUP((A_VERB/(A_LUO+(A_LUO=0)*$B14)+(A_MBLG&gt;A_VERB/(A_LUO+(A_LUO=0)*$B14))*(A_MBLG-A_VERB/(A_LUO+(A_LUO=0)*$B14)))/A_MPG_E,0)+(A_ISTN&gt;ROUNDUP((A_VERB/(A_LUO+(A_LUO=0)*$B14)+(A_MBLG&gt;A_VERB/(A_LUO+(A_LUO=0)*$B14))*(A_MBLG-A_VERB/(A_LUO+(A_LUO=0)*$B14)))/A_MPG_E,0))*(A_ISTN-ROUNDUP((A_VERB/(A_LUO+(A_LUO=0)*$B14)+(A_MBLG&gt;A_VERB/(A_LUO+(A_LUO=0)*$B14))*(A_MBLG-A_VERB/(A_LUO+(A_LUO=0)*$B14)))/A_MPG_E,0))))/(A_IST+(A_IST=0))-1)))/MAX(0.1,N(Parameter!$M$21))))</f>
        <v>135.257575757576</v>
      </c>
      <c r="O14" s="11" t="n">
        <f aca="false">SUMPRODUCT((A_LIFT=3)*((A_FACH&gt;0)*A_FACH*(1+(A_KAPR&gt;0)*((A_FINF*A_FINV+(1-A_FINF)*(ROUNDUP((A_VERB/(A_LUO+(A_LUO=0)*$B14)+(A_MBLG&gt;A_VERB/(A_LUO+(A_LUO=0)*$B14))*(A_MBLG-A_VERB/(A_LUO+(A_LUO=0)*$B14)))/A_MPG_E,0)*A_MPG_E+(A_IST&gt;ROUNDUP((A_VERB/(A_LUO+(A_LUO=0)*$B14)+(A_MBLG&gt;A_VERB/(A_LUO+(A_LUO=0)*$B14))*(A_MBLG-A_VERB/(A_LUO+(A_LUO=0)*$B14)))/A_MPG_E,0)*A_MPG_E)*(A_IST-ROUNDUP((A_VERB/(A_LUO+(A_LUO=0)*$B14)+(A_MBLG&gt;A_VERB/(A_LUO+(A_LUO=0)*$B14))*(A_MBLG-A_VERB/(A_LUO+(A_LUO=0)*$B14)))/A_MPG_E,0)*A_MPG_E)))&gt;A_KAPR)*((A_FINF*A_FINV+(1-A_FINF)*(ROUNDUP((A_VERB/(A_LUO+(A_LUO=0)*$B14)+(A_MBLG&gt;A_VERB/(A_LUO+(A_LUO=0)*$B14))*(A_MBLG-A_VERB/(A_LUO+(A_LUO=0)*$B14)))/A_MPG_E,0)*A_MPG_E+(A_IST&gt;ROUNDUP((A_VERB/(A_LUO+(A_LUO=0)*$B14)+(A_MBLG&gt;A_VERB/(A_LUO+(A_LUO=0)*$B14))*(A_MBLG-A_VERB/(A_LUO+(A_LUO=0)*$B14)))/A_MPG_E,0)*A_MPG_E)*(A_IST-ROUNDUP((A_VERB/(A_LUO+(A_LUO=0)*$B14)+(A_MBLG&gt;A_VERB/(A_LUO+(A_LUO=0)*$B14))*(A_MBLG-A_VERB/(A_LUO+(A_LUO=0)*$B14)))/A_MPG_E,0)*A_MPG_E)))/(A_KAPR+(A_KAPR=0))-1))+(A_FACH=0)*((1-A_LOSE)*(A_GPT&gt;0)*(A_FINF*A_FINN+(1-A_FINF)*(ROUNDUP((A_VERB/(A_LUO+(A_LUO=0)*$B14)+(A_MBLG&gt;A_VERB/(A_LUO+(A_LUO=0)*$B14))*(A_MBLG-A_VERB/(A_LUO+(A_LUO=0)*$B14)))/A_MPG_E,0)+(A_ISTN&gt;ROUNDUP((A_VERB/(A_LUO+(A_LUO=0)*$B14)+(A_MBLG&gt;A_VERB/(A_LUO+(A_LUO=0)*$B14))*(A_MBLG-A_VERB/(A_LUO+(A_LUO=0)*$B14)))/A_MPG_E,0))*(A_ISTN-ROUNDUP((A_VERB/(A_LUO+(A_LUO=0)*$B14)+(A_MBLG&gt;A_VERB/(A_LUO+(A_LUO=0)*$B14))*(A_MBLG-A_VERB/(A_LUO+(A_LUO=0)*$B14)))/A_MPG_E,0))))/(A_GPT+(A_GPT=0))+A_LOSE*((A_FINF*A_FINN+(1-A_FINF)*(ROUNDUP((A_VERB/(A_LUO+(A_LUO=0)*$B14)+(A_MBLG&gt;A_VERB/(A_LUO+(A_LUO=0)*$B14))*(A_MBLG-A_VERB/(A_LUO+(A_LUO=0)*$B14)))/A_MPG_E,0)+(A_ISTN&gt;ROUNDUP((A_VERB/(A_LUO+(A_LUO=0)*$B14)+(A_MBLG&gt;A_VERB/(A_LUO+(A_LUO=0)*$B14))*(A_MBLG-A_VERB/(A_LUO+(A_LUO=0)*$B14)))/A_MPG_E,0))*(A_ISTN-ROUNDUP((A_VERB/(A_LUO+(A_LUO=0)*$B14)+(A_MBLG&gt;A_VERB/(A_LUO+(A_LUO=0)*$B14))*(A_MBLG-A_VERB/(A_LUO+(A_LUO=0)*$B14)))/A_MPG_E,0))))&gt;0)*A_LA*(1+(A_IST&gt;0)*((A_FINF*A_FINN+(1-A_FINF)*(ROUNDUP((A_VERB/(A_LUO+(A_LUO=0)*$B14)+(A_MBLG&gt;A_VERB/(A_LUO+(A_LUO=0)*$B14))*(A_MBLG-A_VERB/(A_LUO+(A_LUO=0)*$B14)))/A_MPG_E,0)+(A_ISTN&gt;ROUNDUP((A_VERB/(A_LUO+(A_LUO=0)*$B14)+(A_MBLG&gt;A_VERB/(A_LUO+(A_LUO=0)*$B14))*(A_MBLG-A_VERB/(A_LUO+(A_LUO=0)*$B14)))/A_MPG_E,0))*(A_ISTN-ROUNDUP((A_VERB/(A_LUO+(A_LUO=0)*$B14)+(A_MBLG&gt;A_VERB/(A_LUO+(A_LUO=0)*$B14))*(A_MBLG-A_VERB/(A_LUO+(A_LUO=0)*$B14)))/A_MPG_E,0))))&gt;A_IST)*((A_FINF*A_FINN+(1-A_FINF)*(ROUNDUP((A_VERB/(A_LUO+(A_LUO=0)*$B14)+(A_MBLG&gt;A_VERB/(A_LUO+(A_LUO=0)*$B14))*(A_MBLG-A_VERB/(A_LUO+(A_LUO=0)*$B14)))/A_MPG_E,0)+(A_ISTN&gt;ROUNDUP((A_VERB/(A_LUO+(A_LUO=0)*$B14)+(A_MBLG&gt;A_VERB/(A_LUO+(A_LUO=0)*$B14))*(A_MBLG-A_VERB/(A_LUO+(A_LUO=0)*$B14)))/A_MPG_E,0))*(A_ISTN-ROUNDUP((A_VERB/(A_LUO+(A_LUO=0)*$B14)+(A_MBLG&gt;A_VERB/(A_LUO+(A_LUO=0)*$B14))*(A_MBLG-A_VERB/(A_LUO+(A_LUO=0)*$B14)))/A_MPG_E,0))))/(A_IST+(A_IST=0))-1)))/MAX(0.1,N(Parameter!$M$21))))</f>
        <v>43.9025455221107</v>
      </c>
      <c r="P14" s="11" t="n">
        <f aca="false">SUMPRODUCT((A_LIFT="Aussen")*((A_FACH&gt;0)*A_FACH*(1+(A_KAPR&gt;0)*((A_FINF*A_FINV+(1-A_FINF)*(ROUNDUP((A_VERB/(A_LUO+(A_LUO=0)*$B14)+(A_MBLG&gt;A_VERB/(A_LUO+(A_LUO=0)*$B14))*(A_MBLG-A_VERB/(A_LUO+(A_LUO=0)*$B14)))/A_MPG_E,0)*A_MPG_E+(A_IST&gt;ROUNDUP((A_VERB/(A_LUO+(A_LUO=0)*$B14)+(A_MBLG&gt;A_VERB/(A_LUO+(A_LUO=0)*$B14))*(A_MBLG-A_VERB/(A_LUO+(A_LUO=0)*$B14)))/A_MPG_E,0)*A_MPG_E)*(A_IST-ROUNDUP((A_VERB/(A_LUO+(A_LUO=0)*$B14)+(A_MBLG&gt;A_VERB/(A_LUO+(A_LUO=0)*$B14))*(A_MBLG-A_VERB/(A_LUO+(A_LUO=0)*$B14)))/A_MPG_E,0)*A_MPG_E)))&gt;A_KAPR)*((A_FINF*A_FINV+(1-A_FINF)*(ROUNDUP((A_VERB/(A_LUO+(A_LUO=0)*$B14)+(A_MBLG&gt;A_VERB/(A_LUO+(A_LUO=0)*$B14))*(A_MBLG-A_VERB/(A_LUO+(A_LUO=0)*$B14)))/A_MPG_E,0)*A_MPG_E+(A_IST&gt;ROUNDUP((A_VERB/(A_LUO+(A_LUO=0)*$B14)+(A_MBLG&gt;A_VERB/(A_LUO+(A_LUO=0)*$B14))*(A_MBLG-A_VERB/(A_LUO+(A_LUO=0)*$B14)))/A_MPG_E,0)*A_MPG_E)*(A_IST-ROUNDUP((A_VERB/(A_LUO+(A_LUO=0)*$B14)+(A_MBLG&gt;A_VERB/(A_LUO+(A_LUO=0)*$B14))*(A_MBLG-A_VERB/(A_LUO+(A_LUO=0)*$B14)))/A_MPG_E,0)*A_MPG_E)))/(A_KAPR+(A_KAPR=0))-1))+(A_FACH=0)*((1-A_LOSE)*(A_GPT&gt;0)*(A_FINF*A_FINN+(1-A_FINF)*(ROUNDUP((A_VERB/(A_LUO+(A_LUO=0)*$B14)+(A_MBLG&gt;A_VERB/(A_LUO+(A_LUO=0)*$B14))*(A_MBLG-A_VERB/(A_LUO+(A_LUO=0)*$B14)))/A_MPG_E,0)+(A_ISTN&gt;ROUNDUP((A_VERB/(A_LUO+(A_LUO=0)*$B14)+(A_MBLG&gt;A_VERB/(A_LUO+(A_LUO=0)*$B14))*(A_MBLG-A_VERB/(A_LUO+(A_LUO=0)*$B14)))/A_MPG_E,0))*(A_ISTN-ROUNDUP((A_VERB/(A_LUO+(A_LUO=0)*$B14)+(A_MBLG&gt;A_VERB/(A_LUO+(A_LUO=0)*$B14))*(A_MBLG-A_VERB/(A_LUO+(A_LUO=0)*$B14)))/A_MPG_E,0))))/(A_GPT+(A_GPT=0))+A_LOSE*((A_FINF*A_FINN+(1-A_FINF)*(ROUNDUP((A_VERB/(A_LUO+(A_LUO=0)*$B14)+(A_MBLG&gt;A_VERB/(A_LUO+(A_LUO=0)*$B14))*(A_MBLG-A_VERB/(A_LUO+(A_LUO=0)*$B14)))/A_MPG_E,0)+(A_ISTN&gt;ROUNDUP((A_VERB/(A_LUO+(A_LUO=0)*$B14)+(A_MBLG&gt;A_VERB/(A_LUO+(A_LUO=0)*$B14))*(A_MBLG-A_VERB/(A_LUO+(A_LUO=0)*$B14)))/A_MPG_E,0))*(A_ISTN-ROUNDUP((A_VERB/(A_LUO+(A_LUO=0)*$B14)+(A_MBLG&gt;A_VERB/(A_LUO+(A_LUO=0)*$B14))*(A_MBLG-A_VERB/(A_LUO+(A_LUO=0)*$B14)))/A_MPG_E,0))))&gt;0)*A_LA*(1+(A_IST&gt;0)*((A_FINF*A_FINN+(1-A_FINF)*(ROUNDUP((A_VERB/(A_LUO+(A_LUO=0)*$B14)+(A_MBLG&gt;A_VERB/(A_LUO+(A_LUO=0)*$B14))*(A_MBLG-A_VERB/(A_LUO+(A_LUO=0)*$B14)))/A_MPG_E,0)+(A_ISTN&gt;ROUNDUP((A_VERB/(A_LUO+(A_LUO=0)*$B14)+(A_MBLG&gt;A_VERB/(A_LUO+(A_LUO=0)*$B14))*(A_MBLG-A_VERB/(A_LUO+(A_LUO=0)*$B14)))/A_MPG_E,0))*(A_ISTN-ROUNDUP((A_VERB/(A_LUO+(A_LUO=0)*$B14)+(A_MBLG&gt;A_VERB/(A_LUO+(A_LUO=0)*$B14))*(A_MBLG-A_VERB/(A_LUO+(A_LUO=0)*$B14)))/A_MPG_E,0))))&gt;A_IST)*((A_FINF*A_FINN+(1-A_FINF)*(ROUNDUP((A_VERB/(A_LUO+(A_LUO=0)*$B14)+(A_MBLG&gt;A_VERB/(A_LUO+(A_LUO=0)*$B14))*(A_MBLG-A_VERB/(A_LUO+(A_LUO=0)*$B14)))/A_MPG_E,0)+(A_ISTN&gt;ROUNDUP((A_VERB/(A_LUO+(A_LUO=0)*$B14)+(A_MBLG&gt;A_VERB/(A_LUO+(A_LUO=0)*$B14))*(A_MBLG-A_VERB/(A_LUO+(A_LUO=0)*$B14)))/A_MPG_E,0))*(A_ISTN-ROUNDUP((A_VERB/(A_LUO+(A_LUO=0)*$B14)+(A_MBLG&gt;A_VERB/(A_LUO+(A_LUO=0)*$B14))*(A_MBLG-A_VERB/(A_LUO+(A_LUO=0)*$B14)))/A_MPG_E,0))))/(A_IST+(A_IST=0))-1)))/MAX(0.1,N(Parameter!$M$21))))</f>
        <v>0</v>
      </c>
    </row>
    <row r="15" customFormat="false" ht="15" hidden="false" customHeight="false" outlineLevel="0" collapsed="false">
      <c r="A15" s="10" t="s">
        <v>7</v>
      </c>
      <c r="B15" s="43" t="n">
        <f aca="false">Parameter!$A$24</f>
        <v>1.5</v>
      </c>
      <c r="C15" s="30" t="n">
        <f aca="false">M15/Parameter!$E$5</f>
        <v>1.6196132746317</v>
      </c>
      <c r="D15" s="30" t="n">
        <f aca="false">N15/Parameter!$E$6</f>
        <v>2.28015151515152</v>
      </c>
      <c r="E15" s="30" t="n">
        <f aca="false">O15/Parameter!$E$7</f>
        <v>0.809857437248742</v>
      </c>
      <c r="F15" s="14" t="n">
        <f aca="false">(N15+O15)/(Parameter!$E$6+Parameter!$E$7)</f>
        <v>1.54500447620013</v>
      </c>
      <c r="G15" s="14" t="n">
        <f aca="false">(M15+N15+O15)/Parameter!$E$8</f>
        <v>1.56987407567732</v>
      </c>
      <c r="H15" s="44" t="str">
        <f aca="false">IF(AND(M15&lt;=Parameter!$E$5,N15+O15&lt;=Parameter!$E$6+Parameter!$E$7),"JA","NEIN")</f>
        <v>NEIN</v>
      </c>
      <c r="I15" s="11" t="n">
        <f aca="false">MAX(0,M15-Parameter!$E$5)+MAX(0,N15+O15-Parameter!$E$6-Parameter!$E$7)+P15</f>
        <v>85.4811113515977</v>
      </c>
      <c r="J15" s="45" t="n">
        <f aca="false">SUMPRODUCT((A_FINF*A_FINV+(1-A_FINF)*(ROUNDUP((A_VERB/(A_LUO+(A_LUO=0)*$B15)+(A_MBLG&gt;A_VERB/(A_LUO+(A_LUO=0)*$B15))*(A_MBLG-A_VERB/(A_LUO+(A_LUO=0)*$B15)))/A_MPG_E,0)*A_MPG_E+(A_IST&gt;ROUNDUP((A_VERB/(A_LUO+(A_LUO=0)*$B15)+(A_MBLG&gt;A_VERB/(A_LUO+(A_LUO=0)*$B15))*(A_MBLG-A_VERB/(A_LUO+(A_LUO=0)*$B15)))/A_MPG_E,0)*A_MPG_E)*(A_IST-ROUNDUP((A_VERB/(A_LUO+(A_LUO=0)*$B15)+(A_MBLG&gt;A_VERB/(A_LUO+(A_LUO=0)*$B15))*(A_MBLG-A_VERB/(A_LUO+(A_LUO=0)*$B15)))/A_MPG_E,0)*A_MPG_E)))*A_PREIS)</f>
        <v>9129995.26226</v>
      </c>
      <c r="K15" s="46" t="n">
        <f aca="false">J15-$J$5</f>
        <v>5678949.04803</v>
      </c>
      <c r="L15" s="47" t="n">
        <f aca="false">(M15+N15+O15+P15)-($M$5+$N$5+$O$5+$P$5)</f>
        <v>84.5665223174435</v>
      </c>
      <c r="M15" s="11" t="n">
        <f aca="false">SUMPRODUCT((A_LIFT=1)*((A_FACH&gt;0)*A_FACH*(1+(A_KAPR&gt;0)*((A_FINF*A_FINV+(1-A_FINF)*(ROUNDUP((A_VERB/(A_LUO+(A_LUO=0)*$B15)+(A_MBLG&gt;A_VERB/(A_LUO+(A_LUO=0)*$B15))*(A_MBLG-A_VERB/(A_LUO+(A_LUO=0)*$B15)))/A_MPG_E,0)*A_MPG_E+(A_IST&gt;ROUNDUP((A_VERB/(A_LUO+(A_LUO=0)*$B15)+(A_MBLG&gt;A_VERB/(A_LUO+(A_LUO=0)*$B15))*(A_MBLG-A_VERB/(A_LUO+(A_LUO=0)*$B15)))/A_MPG_E,0)*A_MPG_E)*(A_IST-ROUNDUP((A_VERB/(A_LUO+(A_LUO=0)*$B15)+(A_MBLG&gt;A_VERB/(A_LUO+(A_LUO=0)*$B15))*(A_MBLG-A_VERB/(A_LUO+(A_LUO=0)*$B15)))/A_MPG_E,0)*A_MPG_E)))&gt;A_KAPR)*((A_FINF*A_FINV+(1-A_FINF)*(ROUNDUP((A_VERB/(A_LUO+(A_LUO=0)*$B15)+(A_MBLG&gt;A_VERB/(A_LUO+(A_LUO=0)*$B15))*(A_MBLG-A_VERB/(A_LUO+(A_LUO=0)*$B15)))/A_MPG_E,0)*A_MPG_E+(A_IST&gt;ROUNDUP((A_VERB/(A_LUO+(A_LUO=0)*$B15)+(A_MBLG&gt;A_VERB/(A_LUO+(A_LUO=0)*$B15))*(A_MBLG-A_VERB/(A_LUO+(A_LUO=0)*$B15)))/A_MPG_E,0)*A_MPG_E)*(A_IST-ROUNDUP((A_VERB/(A_LUO+(A_LUO=0)*$B15)+(A_MBLG&gt;A_VERB/(A_LUO+(A_LUO=0)*$B15))*(A_MBLG-A_VERB/(A_LUO+(A_LUO=0)*$B15)))/A_MPG_E,0)*A_MPG_E)))/(A_KAPR+(A_KAPR=0))-1))+(A_FACH=0)*((1-A_LOSE)*(A_GPT&gt;0)*(A_FINF*A_FINN+(1-A_FINF)*(ROUNDUP((A_VERB/(A_LUO+(A_LUO=0)*$B15)+(A_MBLG&gt;A_VERB/(A_LUO+(A_LUO=0)*$B15))*(A_MBLG-A_VERB/(A_LUO+(A_LUO=0)*$B15)))/A_MPG_E,0)+(A_ISTN&gt;ROUNDUP((A_VERB/(A_LUO+(A_LUO=0)*$B15)+(A_MBLG&gt;A_VERB/(A_LUO+(A_LUO=0)*$B15))*(A_MBLG-A_VERB/(A_LUO+(A_LUO=0)*$B15)))/A_MPG_E,0))*(A_ISTN-ROUNDUP((A_VERB/(A_LUO+(A_LUO=0)*$B15)+(A_MBLG&gt;A_VERB/(A_LUO+(A_LUO=0)*$B15))*(A_MBLG-A_VERB/(A_LUO+(A_LUO=0)*$B15)))/A_MPG_E,0))))/(A_GPT+(A_GPT=0))+A_LOSE*((A_FINF*A_FINN+(1-A_FINF)*(ROUNDUP((A_VERB/(A_LUO+(A_LUO=0)*$B15)+(A_MBLG&gt;A_VERB/(A_LUO+(A_LUO=0)*$B15))*(A_MBLG-A_VERB/(A_LUO+(A_LUO=0)*$B15)))/A_MPG_E,0)+(A_ISTN&gt;ROUNDUP((A_VERB/(A_LUO+(A_LUO=0)*$B15)+(A_MBLG&gt;A_VERB/(A_LUO+(A_LUO=0)*$B15))*(A_MBLG-A_VERB/(A_LUO+(A_LUO=0)*$B15)))/A_MPG_E,0))*(A_ISTN-ROUNDUP((A_VERB/(A_LUO+(A_LUO=0)*$B15)+(A_MBLG&gt;A_VERB/(A_LUO+(A_LUO=0)*$B15))*(A_MBLG-A_VERB/(A_LUO+(A_LUO=0)*$B15)))/A_MPG_E,0))))&gt;0)*A_LA*(1+(A_IST&gt;0)*((A_FINF*A_FINN+(1-A_FINF)*(ROUNDUP((A_VERB/(A_LUO+(A_LUO=0)*$B15)+(A_MBLG&gt;A_VERB/(A_LUO+(A_LUO=0)*$B15))*(A_MBLG-A_VERB/(A_LUO+(A_LUO=0)*$B15)))/A_MPG_E,0)+(A_ISTN&gt;ROUNDUP((A_VERB/(A_LUO+(A_LUO=0)*$B15)+(A_MBLG&gt;A_VERB/(A_LUO+(A_LUO=0)*$B15))*(A_MBLG-A_VERB/(A_LUO+(A_LUO=0)*$B15)))/A_MPG_E,0))*(A_ISTN-ROUNDUP((A_VERB/(A_LUO+(A_LUO=0)*$B15)+(A_MBLG&gt;A_VERB/(A_LUO+(A_LUO=0)*$B15))*(A_MBLG-A_VERB/(A_LUO+(A_LUO=0)*$B15)))/A_MPG_E,0))))&gt;A_IST)*((A_FINF*A_FINN+(1-A_FINF)*(ROUNDUP((A_VERB/(A_LUO+(A_LUO=0)*$B15)+(A_MBLG&gt;A_VERB/(A_LUO+(A_LUO=0)*$B15))*(A_MBLG-A_VERB/(A_LUO+(A_LUO=0)*$B15)))/A_MPG_E,0)+(A_ISTN&gt;ROUNDUP((A_VERB/(A_LUO+(A_LUO=0)*$B15)+(A_MBLG&gt;A_VERB/(A_LUO+(A_LUO=0)*$B15))*(A_MBLG-A_VERB/(A_LUO+(A_LUO=0)*$B15)))/A_MPG_E,0))*(A_ISTN-ROUNDUP((A_VERB/(A_LUO+(A_LUO=0)*$B15)+(A_MBLG&gt;A_VERB/(A_LUO+(A_LUO=0)*$B15))*(A_MBLG-A_VERB/(A_LUO+(A_LUO=0)*$B15)))/A_MPG_E,0))))/(A_IST+(A_IST=0))-1)))/MAX(0.1,N(Parameter!$M$21))))</f>
        <v>80.9806637315849</v>
      </c>
      <c r="N15" s="11" t="n">
        <f aca="false">SUMPRODUCT((A_LIFT=2)*((A_FACH&gt;0)*A_FACH*(1+(A_KAPR&gt;0)*((A_FINF*A_FINV+(1-A_FINF)*(ROUNDUP((A_VERB/(A_LUO+(A_LUO=0)*$B15)+(A_MBLG&gt;A_VERB/(A_LUO+(A_LUO=0)*$B15))*(A_MBLG-A_VERB/(A_LUO+(A_LUO=0)*$B15)))/A_MPG_E,0)*A_MPG_E+(A_IST&gt;ROUNDUP((A_VERB/(A_LUO+(A_LUO=0)*$B15)+(A_MBLG&gt;A_VERB/(A_LUO+(A_LUO=0)*$B15))*(A_MBLG-A_VERB/(A_LUO+(A_LUO=0)*$B15)))/A_MPG_E,0)*A_MPG_E)*(A_IST-ROUNDUP((A_VERB/(A_LUO+(A_LUO=0)*$B15)+(A_MBLG&gt;A_VERB/(A_LUO+(A_LUO=0)*$B15))*(A_MBLG-A_VERB/(A_LUO+(A_LUO=0)*$B15)))/A_MPG_E,0)*A_MPG_E)))&gt;A_KAPR)*((A_FINF*A_FINV+(1-A_FINF)*(ROUNDUP((A_VERB/(A_LUO+(A_LUO=0)*$B15)+(A_MBLG&gt;A_VERB/(A_LUO+(A_LUO=0)*$B15))*(A_MBLG-A_VERB/(A_LUO+(A_LUO=0)*$B15)))/A_MPG_E,0)*A_MPG_E+(A_IST&gt;ROUNDUP((A_VERB/(A_LUO+(A_LUO=0)*$B15)+(A_MBLG&gt;A_VERB/(A_LUO+(A_LUO=0)*$B15))*(A_MBLG-A_VERB/(A_LUO+(A_LUO=0)*$B15)))/A_MPG_E,0)*A_MPG_E)*(A_IST-ROUNDUP((A_VERB/(A_LUO+(A_LUO=0)*$B15)+(A_MBLG&gt;A_VERB/(A_LUO+(A_LUO=0)*$B15))*(A_MBLG-A_VERB/(A_LUO+(A_LUO=0)*$B15)))/A_MPG_E,0)*A_MPG_E)))/(A_KAPR+(A_KAPR=0))-1))+(A_FACH=0)*((1-A_LOSE)*(A_GPT&gt;0)*(A_FINF*A_FINN+(1-A_FINF)*(ROUNDUP((A_VERB/(A_LUO+(A_LUO=0)*$B15)+(A_MBLG&gt;A_VERB/(A_LUO+(A_LUO=0)*$B15))*(A_MBLG-A_VERB/(A_LUO+(A_LUO=0)*$B15)))/A_MPG_E,0)+(A_ISTN&gt;ROUNDUP((A_VERB/(A_LUO+(A_LUO=0)*$B15)+(A_MBLG&gt;A_VERB/(A_LUO+(A_LUO=0)*$B15))*(A_MBLG-A_VERB/(A_LUO+(A_LUO=0)*$B15)))/A_MPG_E,0))*(A_ISTN-ROUNDUP((A_VERB/(A_LUO+(A_LUO=0)*$B15)+(A_MBLG&gt;A_VERB/(A_LUO+(A_LUO=0)*$B15))*(A_MBLG-A_VERB/(A_LUO+(A_LUO=0)*$B15)))/A_MPG_E,0))))/(A_GPT+(A_GPT=0))+A_LOSE*((A_FINF*A_FINN+(1-A_FINF)*(ROUNDUP((A_VERB/(A_LUO+(A_LUO=0)*$B15)+(A_MBLG&gt;A_VERB/(A_LUO+(A_LUO=0)*$B15))*(A_MBLG-A_VERB/(A_LUO+(A_LUO=0)*$B15)))/A_MPG_E,0)+(A_ISTN&gt;ROUNDUP((A_VERB/(A_LUO+(A_LUO=0)*$B15)+(A_MBLG&gt;A_VERB/(A_LUO+(A_LUO=0)*$B15))*(A_MBLG-A_VERB/(A_LUO+(A_LUO=0)*$B15)))/A_MPG_E,0))*(A_ISTN-ROUNDUP((A_VERB/(A_LUO+(A_LUO=0)*$B15)+(A_MBLG&gt;A_VERB/(A_LUO+(A_LUO=0)*$B15))*(A_MBLG-A_VERB/(A_LUO+(A_LUO=0)*$B15)))/A_MPG_E,0))))&gt;0)*A_LA*(1+(A_IST&gt;0)*((A_FINF*A_FINN+(1-A_FINF)*(ROUNDUP((A_VERB/(A_LUO+(A_LUO=0)*$B15)+(A_MBLG&gt;A_VERB/(A_LUO+(A_LUO=0)*$B15))*(A_MBLG-A_VERB/(A_LUO+(A_LUO=0)*$B15)))/A_MPG_E,0)+(A_ISTN&gt;ROUNDUP((A_VERB/(A_LUO+(A_LUO=0)*$B15)+(A_MBLG&gt;A_VERB/(A_LUO+(A_LUO=0)*$B15))*(A_MBLG-A_VERB/(A_LUO+(A_LUO=0)*$B15)))/A_MPG_E,0))*(A_ISTN-ROUNDUP((A_VERB/(A_LUO+(A_LUO=0)*$B15)+(A_MBLG&gt;A_VERB/(A_LUO+(A_LUO=0)*$B15))*(A_MBLG-A_VERB/(A_LUO+(A_LUO=0)*$B15)))/A_MPG_E,0))))&gt;A_IST)*((A_FINF*A_FINN+(1-A_FINF)*(ROUNDUP((A_VERB/(A_LUO+(A_LUO=0)*$B15)+(A_MBLG&gt;A_VERB/(A_LUO+(A_LUO=0)*$B15))*(A_MBLG-A_VERB/(A_LUO+(A_LUO=0)*$B15)))/A_MPG_E,0)+(A_ISTN&gt;ROUNDUP((A_VERB/(A_LUO+(A_LUO=0)*$B15)+(A_MBLG&gt;A_VERB/(A_LUO+(A_LUO=0)*$B15))*(A_MBLG-A_VERB/(A_LUO+(A_LUO=0)*$B15)))/A_MPG_E,0))*(A_ISTN-ROUNDUP((A_VERB/(A_LUO+(A_LUO=0)*$B15)+(A_MBLG&gt;A_VERB/(A_LUO+(A_LUO=0)*$B15))*(A_MBLG-A_VERB/(A_LUO+(A_LUO=0)*$B15)))/A_MPG_E,0))))/(A_IST+(A_IST=0))-1)))/MAX(0.1,N(Parameter!$M$21))))</f>
        <v>114.007575757576</v>
      </c>
      <c r="O15" s="11" t="n">
        <f aca="false">SUMPRODUCT((A_LIFT=3)*((A_FACH&gt;0)*A_FACH*(1+(A_KAPR&gt;0)*((A_FINF*A_FINV+(1-A_FINF)*(ROUNDUP((A_VERB/(A_LUO+(A_LUO=0)*$B15)+(A_MBLG&gt;A_VERB/(A_LUO+(A_LUO=0)*$B15))*(A_MBLG-A_VERB/(A_LUO+(A_LUO=0)*$B15)))/A_MPG_E,0)*A_MPG_E+(A_IST&gt;ROUNDUP((A_VERB/(A_LUO+(A_LUO=0)*$B15)+(A_MBLG&gt;A_VERB/(A_LUO+(A_LUO=0)*$B15))*(A_MBLG-A_VERB/(A_LUO+(A_LUO=0)*$B15)))/A_MPG_E,0)*A_MPG_E)*(A_IST-ROUNDUP((A_VERB/(A_LUO+(A_LUO=0)*$B15)+(A_MBLG&gt;A_VERB/(A_LUO+(A_LUO=0)*$B15))*(A_MBLG-A_VERB/(A_LUO+(A_LUO=0)*$B15)))/A_MPG_E,0)*A_MPG_E)))&gt;A_KAPR)*((A_FINF*A_FINV+(1-A_FINF)*(ROUNDUP((A_VERB/(A_LUO+(A_LUO=0)*$B15)+(A_MBLG&gt;A_VERB/(A_LUO+(A_LUO=0)*$B15))*(A_MBLG-A_VERB/(A_LUO+(A_LUO=0)*$B15)))/A_MPG_E,0)*A_MPG_E+(A_IST&gt;ROUNDUP((A_VERB/(A_LUO+(A_LUO=0)*$B15)+(A_MBLG&gt;A_VERB/(A_LUO+(A_LUO=0)*$B15))*(A_MBLG-A_VERB/(A_LUO+(A_LUO=0)*$B15)))/A_MPG_E,0)*A_MPG_E)*(A_IST-ROUNDUP((A_VERB/(A_LUO+(A_LUO=0)*$B15)+(A_MBLG&gt;A_VERB/(A_LUO+(A_LUO=0)*$B15))*(A_MBLG-A_VERB/(A_LUO+(A_LUO=0)*$B15)))/A_MPG_E,0)*A_MPG_E)))/(A_KAPR+(A_KAPR=0))-1))+(A_FACH=0)*((1-A_LOSE)*(A_GPT&gt;0)*(A_FINF*A_FINN+(1-A_FINF)*(ROUNDUP((A_VERB/(A_LUO+(A_LUO=0)*$B15)+(A_MBLG&gt;A_VERB/(A_LUO+(A_LUO=0)*$B15))*(A_MBLG-A_VERB/(A_LUO+(A_LUO=0)*$B15)))/A_MPG_E,0)+(A_ISTN&gt;ROUNDUP((A_VERB/(A_LUO+(A_LUO=0)*$B15)+(A_MBLG&gt;A_VERB/(A_LUO+(A_LUO=0)*$B15))*(A_MBLG-A_VERB/(A_LUO+(A_LUO=0)*$B15)))/A_MPG_E,0))*(A_ISTN-ROUNDUP((A_VERB/(A_LUO+(A_LUO=0)*$B15)+(A_MBLG&gt;A_VERB/(A_LUO+(A_LUO=0)*$B15))*(A_MBLG-A_VERB/(A_LUO+(A_LUO=0)*$B15)))/A_MPG_E,0))))/(A_GPT+(A_GPT=0))+A_LOSE*((A_FINF*A_FINN+(1-A_FINF)*(ROUNDUP((A_VERB/(A_LUO+(A_LUO=0)*$B15)+(A_MBLG&gt;A_VERB/(A_LUO+(A_LUO=0)*$B15))*(A_MBLG-A_VERB/(A_LUO+(A_LUO=0)*$B15)))/A_MPG_E,0)+(A_ISTN&gt;ROUNDUP((A_VERB/(A_LUO+(A_LUO=0)*$B15)+(A_MBLG&gt;A_VERB/(A_LUO+(A_LUO=0)*$B15))*(A_MBLG-A_VERB/(A_LUO+(A_LUO=0)*$B15)))/A_MPG_E,0))*(A_ISTN-ROUNDUP((A_VERB/(A_LUO+(A_LUO=0)*$B15)+(A_MBLG&gt;A_VERB/(A_LUO+(A_LUO=0)*$B15))*(A_MBLG-A_VERB/(A_LUO+(A_LUO=0)*$B15)))/A_MPG_E,0))))&gt;0)*A_LA*(1+(A_IST&gt;0)*((A_FINF*A_FINN+(1-A_FINF)*(ROUNDUP((A_VERB/(A_LUO+(A_LUO=0)*$B15)+(A_MBLG&gt;A_VERB/(A_LUO+(A_LUO=0)*$B15))*(A_MBLG-A_VERB/(A_LUO+(A_LUO=0)*$B15)))/A_MPG_E,0)+(A_ISTN&gt;ROUNDUP((A_VERB/(A_LUO+(A_LUO=0)*$B15)+(A_MBLG&gt;A_VERB/(A_LUO+(A_LUO=0)*$B15))*(A_MBLG-A_VERB/(A_LUO+(A_LUO=0)*$B15)))/A_MPG_E,0))*(A_ISTN-ROUNDUP((A_VERB/(A_LUO+(A_LUO=0)*$B15)+(A_MBLG&gt;A_VERB/(A_LUO+(A_LUO=0)*$B15))*(A_MBLG-A_VERB/(A_LUO+(A_LUO=0)*$B15)))/A_MPG_E,0))))&gt;A_IST)*((A_FINF*A_FINN+(1-A_FINF)*(ROUNDUP((A_VERB/(A_LUO+(A_LUO=0)*$B15)+(A_MBLG&gt;A_VERB/(A_LUO+(A_LUO=0)*$B15))*(A_MBLG-A_VERB/(A_LUO+(A_LUO=0)*$B15)))/A_MPG_E,0)+(A_ISTN&gt;ROUNDUP((A_VERB/(A_LUO+(A_LUO=0)*$B15)+(A_MBLG&gt;A_VERB/(A_LUO+(A_LUO=0)*$B15))*(A_MBLG-A_VERB/(A_LUO+(A_LUO=0)*$B15)))/A_MPG_E,0))*(A_ISTN-ROUNDUP((A_VERB/(A_LUO+(A_LUO=0)*$B15)+(A_MBLG&gt;A_VERB/(A_LUO+(A_LUO=0)*$B15))*(A_MBLG-A_VERB/(A_LUO+(A_LUO=0)*$B15)))/A_MPG_E,0))))/(A_IST+(A_IST=0))-1)))/MAX(0.1,N(Parameter!$M$21))))</f>
        <v>40.4928718624371</v>
      </c>
      <c r="P15" s="11" t="n">
        <f aca="false">SUMPRODUCT((A_LIFT="Aussen")*((A_FACH&gt;0)*A_FACH*(1+(A_KAPR&gt;0)*((A_FINF*A_FINV+(1-A_FINF)*(ROUNDUP((A_VERB/(A_LUO+(A_LUO=0)*$B15)+(A_MBLG&gt;A_VERB/(A_LUO+(A_LUO=0)*$B15))*(A_MBLG-A_VERB/(A_LUO+(A_LUO=0)*$B15)))/A_MPG_E,0)*A_MPG_E+(A_IST&gt;ROUNDUP((A_VERB/(A_LUO+(A_LUO=0)*$B15)+(A_MBLG&gt;A_VERB/(A_LUO+(A_LUO=0)*$B15))*(A_MBLG-A_VERB/(A_LUO+(A_LUO=0)*$B15)))/A_MPG_E,0)*A_MPG_E)*(A_IST-ROUNDUP((A_VERB/(A_LUO+(A_LUO=0)*$B15)+(A_MBLG&gt;A_VERB/(A_LUO+(A_LUO=0)*$B15))*(A_MBLG-A_VERB/(A_LUO+(A_LUO=0)*$B15)))/A_MPG_E,0)*A_MPG_E)))&gt;A_KAPR)*((A_FINF*A_FINV+(1-A_FINF)*(ROUNDUP((A_VERB/(A_LUO+(A_LUO=0)*$B15)+(A_MBLG&gt;A_VERB/(A_LUO+(A_LUO=0)*$B15))*(A_MBLG-A_VERB/(A_LUO+(A_LUO=0)*$B15)))/A_MPG_E,0)*A_MPG_E+(A_IST&gt;ROUNDUP((A_VERB/(A_LUO+(A_LUO=0)*$B15)+(A_MBLG&gt;A_VERB/(A_LUO+(A_LUO=0)*$B15))*(A_MBLG-A_VERB/(A_LUO+(A_LUO=0)*$B15)))/A_MPG_E,0)*A_MPG_E)*(A_IST-ROUNDUP((A_VERB/(A_LUO+(A_LUO=0)*$B15)+(A_MBLG&gt;A_VERB/(A_LUO+(A_LUO=0)*$B15))*(A_MBLG-A_VERB/(A_LUO+(A_LUO=0)*$B15)))/A_MPG_E,0)*A_MPG_E)))/(A_KAPR+(A_KAPR=0))-1))+(A_FACH=0)*((1-A_LOSE)*(A_GPT&gt;0)*(A_FINF*A_FINN+(1-A_FINF)*(ROUNDUP((A_VERB/(A_LUO+(A_LUO=0)*$B15)+(A_MBLG&gt;A_VERB/(A_LUO+(A_LUO=0)*$B15))*(A_MBLG-A_VERB/(A_LUO+(A_LUO=0)*$B15)))/A_MPG_E,0)+(A_ISTN&gt;ROUNDUP((A_VERB/(A_LUO+(A_LUO=0)*$B15)+(A_MBLG&gt;A_VERB/(A_LUO+(A_LUO=0)*$B15))*(A_MBLG-A_VERB/(A_LUO+(A_LUO=0)*$B15)))/A_MPG_E,0))*(A_ISTN-ROUNDUP((A_VERB/(A_LUO+(A_LUO=0)*$B15)+(A_MBLG&gt;A_VERB/(A_LUO+(A_LUO=0)*$B15))*(A_MBLG-A_VERB/(A_LUO+(A_LUO=0)*$B15)))/A_MPG_E,0))))/(A_GPT+(A_GPT=0))+A_LOSE*((A_FINF*A_FINN+(1-A_FINF)*(ROUNDUP((A_VERB/(A_LUO+(A_LUO=0)*$B15)+(A_MBLG&gt;A_VERB/(A_LUO+(A_LUO=0)*$B15))*(A_MBLG-A_VERB/(A_LUO+(A_LUO=0)*$B15)))/A_MPG_E,0)+(A_ISTN&gt;ROUNDUP((A_VERB/(A_LUO+(A_LUO=0)*$B15)+(A_MBLG&gt;A_VERB/(A_LUO+(A_LUO=0)*$B15))*(A_MBLG-A_VERB/(A_LUO+(A_LUO=0)*$B15)))/A_MPG_E,0))*(A_ISTN-ROUNDUP((A_VERB/(A_LUO+(A_LUO=0)*$B15)+(A_MBLG&gt;A_VERB/(A_LUO+(A_LUO=0)*$B15))*(A_MBLG-A_VERB/(A_LUO+(A_LUO=0)*$B15)))/A_MPG_E,0))))&gt;0)*A_LA*(1+(A_IST&gt;0)*((A_FINF*A_FINN+(1-A_FINF)*(ROUNDUP((A_VERB/(A_LUO+(A_LUO=0)*$B15)+(A_MBLG&gt;A_VERB/(A_LUO+(A_LUO=0)*$B15))*(A_MBLG-A_VERB/(A_LUO+(A_LUO=0)*$B15)))/A_MPG_E,0)+(A_ISTN&gt;ROUNDUP((A_VERB/(A_LUO+(A_LUO=0)*$B15)+(A_MBLG&gt;A_VERB/(A_LUO+(A_LUO=0)*$B15))*(A_MBLG-A_VERB/(A_LUO+(A_LUO=0)*$B15)))/A_MPG_E,0))*(A_ISTN-ROUNDUP((A_VERB/(A_LUO+(A_LUO=0)*$B15)+(A_MBLG&gt;A_VERB/(A_LUO+(A_LUO=0)*$B15))*(A_MBLG-A_VERB/(A_LUO+(A_LUO=0)*$B15)))/A_MPG_E,0))))&gt;A_IST)*((A_FINF*A_FINN+(1-A_FINF)*(ROUNDUP((A_VERB/(A_LUO+(A_LUO=0)*$B15)+(A_MBLG&gt;A_VERB/(A_LUO+(A_LUO=0)*$B15))*(A_MBLG-A_VERB/(A_LUO+(A_LUO=0)*$B15)))/A_MPG_E,0)+(A_ISTN&gt;ROUNDUP((A_VERB/(A_LUO+(A_LUO=0)*$B15)+(A_MBLG&gt;A_VERB/(A_LUO+(A_LUO=0)*$B15))*(A_MBLG-A_VERB/(A_LUO+(A_LUO=0)*$B15)))/A_MPG_E,0))*(A_ISTN-ROUNDUP((A_VERB/(A_LUO+(A_LUO=0)*$B15)+(A_MBLG&gt;A_VERB/(A_LUO+(A_LUO=0)*$B15))*(A_MBLG-A_VERB/(A_LUO+(A_LUO=0)*$B15)))/A_MPG_E,0))))/(A_IST+(A_IST=0))-1)))/MAX(0.1,N(Parameter!$M$21))))</f>
        <v>0</v>
      </c>
    </row>
    <row r="16" customFormat="false" ht="15" hidden="false" customHeight="false" outlineLevel="0" collapsed="false">
      <c r="A16" s="10" t="s">
        <v>7</v>
      </c>
      <c r="B16" s="43" t="n">
        <f aca="false">Parameter!$A$25</f>
        <v>2</v>
      </c>
      <c r="C16" s="30" t="n">
        <f aca="false">M16/Parameter!$E$5</f>
        <v>1.41986099301501</v>
      </c>
      <c r="D16" s="30" t="n">
        <f aca="false">N16/Parameter!$E$6</f>
        <v>2.06348484848485</v>
      </c>
      <c r="E16" s="30" t="n">
        <f aca="false">O16/Parameter!$E$7</f>
        <v>0.781458058849363</v>
      </c>
      <c r="F16" s="14" t="n">
        <f aca="false">(N16+O16)/(Parameter!$E$6+Parameter!$E$7)</f>
        <v>1.42247145366711</v>
      </c>
      <c r="G16" s="14" t="n">
        <f aca="false">(M16+N16+O16)/Parameter!$E$8</f>
        <v>1.42160130011641</v>
      </c>
      <c r="H16" s="44" t="str">
        <f aca="false">IF(AND(M16&lt;=Parameter!$E$5,N16+O16&lt;=Parameter!$E$6+Parameter!$E$7),"JA","NEIN")</f>
        <v>NEIN</v>
      </c>
      <c r="I16" s="11" t="n">
        <f aca="false">MAX(0,M16-Parameter!$E$5)+MAX(0,N16+O16-Parameter!$E$6-Parameter!$E$7)+P16</f>
        <v>63.2401950174611</v>
      </c>
      <c r="J16" s="45" t="n">
        <f aca="false">SUMPRODUCT((A_FINF*A_FINV+(1-A_FINF)*(ROUNDUP((A_VERB/(A_LUO+(A_LUO=0)*$B16)+(A_MBLG&gt;A_VERB/(A_LUO+(A_LUO=0)*$B16))*(A_MBLG-A_VERB/(A_LUO+(A_LUO=0)*$B16)))/A_MPG_E,0)*A_MPG_E+(A_IST&gt;ROUNDUP((A_VERB/(A_LUO+(A_LUO=0)*$B16)+(A_MBLG&gt;A_VERB/(A_LUO+(A_LUO=0)*$B16))*(A_MBLG-A_VERB/(A_LUO+(A_LUO=0)*$B16)))/A_MPG_E,0)*A_MPG_E)*(A_IST-ROUNDUP((A_VERB/(A_LUO+(A_LUO=0)*$B16)+(A_MBLG&gt;A_VERB/(A_LUO+(A_LUO=0)*$B16))*(A_MBLG-A_VERB/(A_LUO+(A_LUO=0)*$B16)))/A_MPG_E,0)*A_MPG_E)))*A_PREIS)</f>
        <v>7904043.04405</v>
      </c>
      <c r="K16" s="46" t="n">
        <f aca="false">J16-$J$5</f>
        <v>4452996.82982</v>
      </c>
      <c r="L16" s="47" t="n">
        <f aca="false">(M16+N16+O16+P16)-($M$5+$N$5+$O$5+$P$5)</f>
        <v>62.3256059833068</v>
      </c>
      <c r="M16" s="11" t="n">
        <f aca="false">SUMPRODUCT((A_LIFT=1)*((A_FACH&gt;0)*A_FACH*(1+(A_KAPR&gt;0)*((A_FINF*A_FINV+(1-A_FINF)*(ROUNDUP((A_VERB/(A_LUO+(A_LUO=0)*$B16)+(A_MBLG&gt;A_VERB/(A_LUO+(A_LUO=0)*$B16))*(A_MBLG-A_VERB/(A_LUO+(A_LUO=0)*$B16)))/A_MPG_E,0)*A_MPG_E+(A_IST&gt;ROUNDUP((A_VERB/(A_LUO+(A_LUO=0)*$B16)+(A_MBLG&gt;A_VERB/(A_LUO+(A_LUO=0)*$B16))*(A_MBLG-A_VERB/(A_LUO+(A_LUO=0)*$B16)))/A_MPG_E,0)*A_MPG_E)*(A_IST-ROUNDUP((A_VERB/(A_LUO+(A_LUO=0)*$B16)+(A_MBLG&gt;A_VERB/(A_LUO+(A_LUO=0)*$B16))*(A_MBLG-A_VERB/(A_LUO+(A_LUO=0)*$B16)))/A_MPG_E,0)*A_MPG_E)))&gt;A_KAPR)*((A_FINF*A_FINV+(1-A_FINF)*(ROUNDUP((A_VERB/(A_LUO+(A_LUO=0)*$B16)+(A_MBLG&gt;A_VERB/(A_LUO+(A_LUO=0)*$B16))*(A_MBLG-A_VERB/(A_LUO+(A_LUO=0)*$B16)))/A_MPG_E,0)*A_MPG_E+(A_IST&gt;ROUNDUP((A_VERB/(A_LUO+(A_LUO=0)*$B16)+(A_MBLG&gt;A_VERB/(A_LUO+(A_LUO=0)*$B16))*(A_MBLG-A_VERB/(A_LUO+(A_LUO=0)*$B16)))/A_MPG_E,0)*A_MPG_E)*(A_IST-ROUNDUP((A_VERB/(A_LUO+(A_LUO=0)*$B16)+(A_MBLG&gt;A_VERB/(A_LUO+(A_LUO=0)*$B16))*(A_MBLG-A_VERB/(A_LUO+(A_LUO=0)*$B16)))/A_MPG_E,0)*A_MPG_E)))/(A_KAPR+(A_KAPR=0))-1))+(A_FACH=0)*((1-A_LOSE)*(A_GPT&gt;0)*(A_FINF*A_FINN+(1-A_FINF)*(ROUNDUP((A_VERB/(A_LUO+(A_LUO=0)*$B16)+(A_MBLG&gt;A_VERB/(A_LUO+(A_LUO=0)*$B16))*(A_MBLG-A_VERB/(A_LUO+(A_LUO=0)*$B16)))/A_MPG_E,0)+(A_ISTN&gt;ROUNDUP((A_VERB/(A_LUO+(A_LUO=0)*$B16)+(A_MBLG&gt;A_VERB/(A_LUO+(A_LUO=0)*$B16))*(A_MBLG-A_VERB/(A_LUO+(A_LUO=0)*$B16)))/A_MPG_E,0))*(A_ISTN-ROUNDUP((A_VERB/(A_LUO+(A_LUO=0)*$B16)+(A_MBLG&gt;A_VERB/(A_LUO+(A_LUO=0)*$B16))*(A_MBLG-A_VERB/(A_LUO+(A_LUO=0)*$B16)))/A_MPG_E,0))))/(A_GPT+(A_GPT=0))+A_LOSE*((A_FINF*A_FINN+(1-A_FINF)*(ROUNDUP((A_VERB/(A_LUO+(A_LUO=0)*$B16)+(A_MBLG&gt;A_VERB/(A_LUO+(A_LUO=0)*$B16))*(A_MBLG-A_VERB/(A_LUO+(A_LUO=0)*$B16)))/A_MPG_E,0)+(A_ISTN&gt;ROUNDUP((A_VERB/(A_LUO+(A_LUO=0)*$B16)+(A_MBLG&gt;A_VERB/(A_LUO+(A_LUO=0)*$B16))*(A_MBLG-A_VERB/(A_LUO+(A_LUO=0)*$B16)))/A_MPG_E,0))*(A_ISTN-ROUNDUP((A_VERB/(A_LUO+(A_LUO=0)*$B16)+(A_MBLG&gt;A_VERB/(A_LUO+(A_LUO=0)*$B16))*(A_MBLG-A_VERB/(A_LUO+(A_LUO=0)*$B16)))/A_MPG_E,0))))&gt;0)*A_LA*(1+(A_IST&gt;0)*((A_FINF*A_FINN+(1-A_FINF)*(ROUNDUP((A_VERB/(A_LUO+(A_LUO=0)*$B16)+(A_MBLG&gt;A_VERB/(A_LUO+(A_LUO=0)*$B16))*(A_MBLG-A_VERB/(A_LUO+(A_LUO=0)*$B16)))/A_MPG_E,0)+(A_ISTN&gt;ROUNDUP((A_VERB/(A_LUO+(A_LUO=0)*$B16)+(A_MBLG&gt;A_VERB/(A_LUO+(A_LUO=0)*$B16))*(A_MBLG-A_VERB/(A_LUO+(A_LUO=0)*$B16)))/A_MPG_E,0))*(A_ISTN-ROUNDUP((A_VERB/(A_LUO+(A_LUO=0)*$B16)+(A_MBLG&gt;A_VERB/(A_LUO+(A_LUO=0)*$B16))*(A_MBLG-A_VERB/(A_LUO+(A_LUO=0)*$B16)))/A_MPG_E,0))))&gt;A_IST)*((A_FINF*A_FINN+(1-A_FINF)*(ROUNDUP((A_VERB/(A_LUO+(A_LUO=0)*$B16)+(A_MBLG&gt;A_VERB/(A_LUO+(A_LUO=0)*$B16))*(A_MBLG-A_VERB/(A_LUO+(A_LUO=0)*$B16)))/A_MPG_E,0)+(A_ISTN&gt;ROUNDUP((A_VERB/(A_LUO+(A_LUO=0)*$B16)+(A_MBLG&gt;A_VERB/(A_LUO+(A_LUO=0)*$B16))*(A_MBLG-A_VERB/(A_LUO+(A_LUO=0)*$B16)))/A_MPG_E,0))*(A_ISTN-ROUNDUP((A_VERB/(A_LUO+(A_LUO=0)*$B16)+(A_MBLG&gt;A_VERB/(A_LUO+(A_LUO=0)*$B16))*(A_MBLG-A_VERB/(A_LUO+(A_LUO=0)*$B16)))/A_MPG_E,0))))/(A_IST+(A_IST=0))-1)))/MAX(0.1,N(Parameter!$M$21))))</f>
        <v>70.9930496507505</v>
      </c>
      <c r="N16" s="11" t="n">
        <f aca="false">SUMPRODUCT((A_LIFT=2)*((A_FACH&gt;0)*A_FACH*(1+(A_KAPR&gt;0)*((A_FINF*A_FINV+(1-A_FINF)*(ROUNDUP((A_VERB/(A_LUO+(A_LUO=0)*$B16)+(A_MBLG&gt;A_VERB/(A_LUO+(A_LUO=0)*$B16))*(A_MBLG-A_VERB/(A_LUO+(A_LUO=0)*$B16)))/A_MPG_E,0)*A_MPG_E+(A_IST&gt;ROUNDUP((A_VERB/(A_LUO+(A_LUO=0)*$B16)+(A_MBLG&gt;A_VERB/(A_LUO+(A_LUO=0)*$B16))*(A_MBLG-A_VERB/(A_LUO+(A_LUO=0)*$B16)))/A_MPG_E,0)*A_MPG_E)*(A_IST-ROUNDUP((A_VERB/(A_LUO+(A_LUO=0)*$B16)+(A_MBLG&gt;A_VERB/(A_LUO+(A_LUO=0)*$B16))*(A_MBLG-A_VERB/(A_LUO+(A_LUO=0)*$B16)))/A_MPG_E,0)*A_MPG_E)))&gt;A_KAPR)*((A_FINF*A_FINV+(1-A_FINF)*(ROUNDUP((A_VERB/(A_LUO+(A_LUO=0)*$B16)+(A_MBLG&gt;A_VERB/(A_LUO+(A_LUO=0)*$B16))*(A_MBLG-A_VERB/(A_LUO+(A_LUO=0)*$B16)))/A_MPG_E,0)*A_MPG_E+(A_IST&gt;ROUNDUP((A_VERB/(A_LUO+(A_LUO=0)*$B16)+(A_MBLG&gt;A_VERB/(A_LUO+(A_LUO=0)*$B16))*(A_MBLG-A_VERB/(A_LUO+(A_LUO=0)*$B16)))/A_MPG_E,0)*A_MPG_E)*(A_IST-ROUNDUP((A_VERB/(A_LUO+(A_LUO=0)*$B16)+(A_MBLG&gt;A_VERB/(A_LUO+(A_LUO=0)*$B16))*(A_MBLG-A_VERB/(A_LUO+(A_LUO=0)*$B16)))/A_MPG_E,0)*A_MPG_E)))/(A_KAPR+(A_KAPR=0))-1))+(A_FACH=0)*((1-A_LOSE)*(A_GPT&gt;0)*(A_FINF*A_FINN+(1-A_FINF)*(ROUNDUP((A_VERB/(A_LUO+(A_LUO=0)*$B16)+(A_MBLG&gt;A_VERB/(A_LUO+(A_LUO=0)*$B16))*(A_MBLG-A_VERB/(A_LUO+(A_LUO=0)*$B16)))/A_MPG_E,0)+(A_ISTN&gt;ROUNDUP((A_VERB/(A_LUO+(A_LUO=0)*$B16)+(A_MBLG&gt;A_VERB/(A_LUO+(A_LUO=0)*$B16))*(A_MBLG-A_VERB/(A_LUO+(A_LUO=0)*$B16)))/A_MPG_E,0))*(A_ISTN-ROUNDUP((A_VERB/(A_LUO+(A_LUO=0)*$B16)+(A_MBLG&gt;A_VERB/(A_LUO+(A_LUO=0)*$B16))*(A_MBLG-A_VERB/(A_LUO+(A_LUO=0)*$B16)))/A_MPG_E,0))))/(A_GPT+(A_GPT=0))+A_LOSE*((A_FINF*A_FINN+(1-A_FINF)*(ROUNDUP((A_VERB/(A_LUO+(A_LUO=0)*$B16)+(A_MBLG&gt;A_VERB/(A_LUO+(A_LUO=0)*$B16))*(A_MBLG-A_VERB/(A_LUO+(A_LUO=0)*$B16)))/A_MPG_E,0)+(A_ISTN&gt;ROUNDUP((A_VERB/(A_LUO+(A_LUO=0)*$B16)+(A_MBLG&gt;A_VERB/(A_LUO+(A_LUO=0)*$B16))*(A_MBLG-A_VERB/(A_LUO+(A_LUO=0)*$B16)))/A_MPG_E,0))*(A_ISTN-ROUNDUP((A_VERB/(A_LUO+(A_LUO=0)*$B16)+(A_MBLG&gt;A_VERB/(A_LUO+(A_LUO=0)*$B16))*(A_MBLG-A_VERB/(A_LUO+(A_LUO=0)*$B16)))/A_MPG_E,0))))&gt;0)*A_LA*(1+(A_IST&gt;0)*((A_FINF*A_FINN+(1-A_FINF)*(ROUNDUP((A_VERB/(A_LUO+(A_LUO=0)*$B16)+(A_MBLG&gt;A_VERB/(A_LUO+(A_LUO=0)*$B16))*(A_MBLG-A_VERB/(A_LUO+(A_LUO=0)*$B16)))/A_MPG_E,0)+(A_ISTN&gt;ROUNDUP((A_VERB/(A_LUO+(A_LUO=0)*$B16)+(A_MBLG&gt;A_VERB/(A_LUO+(A_LUO=0)*$B16))*(A_MBLG-A_VERB/(A_LUO+(A_LUO=0)*$B16)))/A_MPG_E,0))*(A_ISTN-ROUNDUP((A_VERB/(A_LUO+(A_LUO=0)*$B16)+(A_MBLG&gt;A_VERB/(A_LUO+(A_LUO=0)*$B16))*(A_MBLG-A_VERB/(A_LUO+(A_LUO=0)*$B16)))/A_MPG_E,0))))&gt;A_IST)*((A_FINF*A_FINN+(1-A_FINF)*(ROUNDUP((A_VERB/(A_LUO+(A_LUO=0)*$B16)+(A_MBLG&gt;A_VERB/(A_LUO+(A_LUO=0)*$B16))*(A_MBLG-A_VERB/(A_LUO+(A_LUO=0)*$B16)))/A_MPG_E,0)+(A_ISTN&gt;ROUNDUP((A_VERB/(A_LUO+(A_LUO=0)*$B16)+(A_MBLG&gt;A_VERB/(A_LUO+(A_LUO=0)*$B16))*(A_MBLG-A_VERB/(A_LUO+(A_LUO=0)*$B16)))/A_MPG_E,0))*(A_ISTN-ROUNDUP((A_VERB/(A_LUO+(A_LUO=0)*$B16)+(A_MBLG&gt;A_VERB/(A_LUO+(A_LUO=0)*$B16))*(A_MBLG-A_VERB/(A_LUO+(A_LUO=0)*$B16)))/A_MPG_E,0))))/(A_IST+(A_IST=0))-1)))/MAX(0.1,N(Parameter!$M$21))))</f>
        <v>103.174242424242</v>
      </c>
      <c r="O16" s="11" t="n">
        <f aca="false">SUMPRODUCT((A_LIFT=3)*((A_FACH&gt;0)*A_FACH*(1+(A_KAPR&gt;0)*((A_FINF*A_FINV+(1-A_FINF)*(ROUNDUP((A_VERB/(A_LUO+(A_LUO=0)*$B16)+(A_MBLG&gt;A_VERB/(A_LUO+(A_LUO=0)*$B16))*(A_MBLG-A_VERB/(A_LUO+(A_LUO=0)*$B16)))/A_MPG_E,0)*A_MPG_E+(A_IST&gt;ROUNDUP((A_VERB/(A_LUO+(A_LUO=0)*$B16)+(A_MBLG&gt;A_VERB/(A_LUO+(A_LUO=0)*$B16))*(A_MBLG-A_VERB/(A_LUO+(A_LUO=0)*$B16)))/A_MPG_E,0)*A_MPG_E)*(A_IST-ROUNDUP((A_VERB/(A_LUO+(A_LUO=0)*$B16)+(A_MBLG&gt;A_VERB/(A_LUO+(A_LUO=0)*$B16))*(A_MBLG-A_VERB/(A_LUO+(A_LUO=0)*$B16)))/A_MPG_E,0)*A_MPG_E)))&gt;A_KAPR)*((A_FINF*A_FINV+(1-A_FINF)*(ROUNDUP((A_VERB/(A_LUO+(A_LUO=0)*$B16)+(A_MBLG&gt;A_VERB/(A_LUO+(A_LUO=0)*$B16))*(A_MBLG-A_VERB/(A_LUO+(A_LUO=0)*$B16)))/A_MPG_E,0)*A_MPG_E+(A_IST&gt;ROUNDUP((A_VERB/(A_LUO+(A_LUO=0)*$B16)+(A_MBLG&gt;A_VERB/(A_LUO+(A_LUO=0)*$B16))*(A_MBLG-A_VERB/(A_LUO+(A_LUO=0)*$B16)))/A_MPG_E,0)*A_MPG_E)*(A_IST-ROUNDUP((A_VERB/(A_LUO+(A_LUO=0)*$B16)+(A_MBLG&gt;A_VERB/(A_LUO+(A_LUO=0)*$B16))*(A_MBLG-A_VERB/(A_LUO+(A_LUO=0)*$B16)))/A_MPG_E,0)*A_MPG_E)))/(A_KAPR+(A_KAPR=0))-1))+(A_FACH=0)*((1-A_LOSE)*(A_GPT&gt;0)*(A_FINF*A_FINN+(1-A_FINF)*(ROUNDUP((A_VERB/(A_LUO+(A_LUO=0)*$B16)+(A_MBLG&gt;A_VERB/(A_LUO+(A_LUO=0)*$B16))*(A_MBLG-A_VERB/(A_LUO+(A_LUO=0)*$B16)))/A_MPG_E,0)+(A_ISTN&gt;ROUNDUP((A_VERB/(A_LUO+(A_LUO=0)*$B16)+(A_MBLG&gt;A_VERB/(A_LUO+(A_LUO=0)*$B16))*(A_MBLG-A_VERB/(A_LUO+(A_LUO=0)*$B16)))/A_MPG_E,0))*(A_ISTN-ROUNDUP((A_VERB/(A_LUO+(A_LUO=0)*$B16)+(A_MBLG&gt;A_VERB/(A_LUO+(A_LUO=0)*$B16))*(A_MBLG-A_VERB/(A_LUO+(A_LUO=0)*$B16)))/A_MPG_E,0))))/(A_GPT+(A_GPT=0))+A_LOSE*((A_FINF*A_FINN+(1-A_FINF)*(ROUNDUP((A_VERB/(A_LUO+(A_LUO=0)*$B16)+(A_MBLG&gt;A_VERB/(A_LUO+(A_LUO=0)*$B16))*(A_MBLG-A_VERB/(A_LUO+(A_LUO=0)*$B16)))/A_MPG_E,0)+(A_ISTN&gt;ROUNDUP((A_VERB/(A_LUO+(A_LUO=0)*$B16)+(A_MBLG&gt;A_VERB/(A_LUO+(A_LUO=0)*$B16))*(A_MBLG-A_VERB/(A_LUO+(A_LUO=0)*$B16)))/A_MPG_E,0))*(A_ISTN-ROUNDUP((A_VERB/(A_LUO+(A_LUO=0)*$B16)+(A_MBLG&gt;A_VERB/(A_LUO+(A_LUO=0)*$B16))*(A_MBLG-A_VERB/(A_LUO+(A_LUO=0)*$B16)))/A_MPG_E,0))))&gt;0)*A_LA*(1+(A_IST&gt;0)*((A_FINF*A_FINN+(1-A_FINF)*(ROUNDUP((A_VERB/(A_LUO+(A_LUO=0)*$B16)+(A_MBLG&gt;A_VERB/(A_LUO+(A_LUO=0)*$B16))*(A_MBLG-A_VERB/(A_LUO+(A_LUO=0)*$B16)))/A_MPG_E,0)+(A_ISTN&gt;ROUNDUP((A_VERB/(A_LUO+(A_LUO=0)*$B16)+(A_MBLG&gt;A_VERB/(A_LUO+(A_LUO=0)*$B16))*(A_MBLG-A_VERB/(A_LUO+(A_LUO=0)*$B16)))/A_MPG_E,0))*(A_ISTN-ROUNDUP((A_VERB/(A_LUO+(A_LUO=0)*$B16)+(A_MBLG&gt;A_VERB/(A_LUO+(A_LUO=0)*$B16))*(A_MBLG-A_VERB/(A_LUO+(A_LUO=0)*$B16)))/A_MPG_E,0))))&gt;A_IST)*((A_FINF*A_FINN+(1-A_FINF)*(ROUNDUP((A_VERB/(A_LUO+(A_LUO=0)*$B16)+(A_MBLG&gt;A_VERB/(A_LUO+(A_LUO=0)*$B16))*(A_MBLG-A_VERB/(A_LUO+(A_LUO=0)*$B16)))/A_MPG_E,0)+(A_ISTN&gt;ROUNDUP((A_VERB/(A_LUO+(A_LUO=0)*$B16)+(A_MBLG&gt;A_VERB/(A_LUO+(A_LUO=0)*$B16))*(A_MBLG-A_VERB/(A_LUO+(A_LUO=0)*$B16)))/A_MPG_E,0))*(A_ISTN-ROUNDUP((A_VERB/(A_LUO+(A_LUO=0)*$B16)+(A_MBLG&gt;A_VERB/(A_LUO+(A_LUO=0)*$B16))*(A_MBLG-A_VERB/(A_LUO+(A_LUO=0)*$B16)))/A_MPG_E,0))))/(A_IST+(A_IST=0))-1)))/MAX(0.1,N(Parameter!$M$21))))</f>
        <v>39.0729029424682</v>
      </c>
      <c r="P16" s="11" t="n">
        <f aca="false">SUMPRODUCT((A_LIFT="Aussen")*((A_FACH&gt;0)*A_FACH*(1+(A_KAPR&gt;0)*((A_FINF*A_FINV+(1-A_FINF)*(ROUNDUP((A_VERB/(A_LUO+(A_LUO=0)*$B16)+(A_MBLG&gt;A_VERB/(A_LUO+(A_LUO=0)*$B16))*(A_MBLG-A_VERB/(A_LUO+(A_LUO=0)*$B16)))/A_MPG_E,0)*A_MPG_E+(A_IST&gt;ROUNDUP((A_VERB/(A_LUO+(A_LUO=0)*$B16)+(A_MBLG&gt;A_VERB/(A_LUO+(A_LUO=0)*$B16))*(A_MBLG-A_VERB/(A_LUO+(A_LUO=0)*$B16)))/A_MPG_E,0)*A_MPG_E)*(A_IST-ROUNDUP((A_VERB/(A_LUO+(A_LUO=0)*$B16)+(A_MBLG&gt;A_VERB/(A_LUO+(A_LUO=0)*$B16))*(A_MBLG-A_VERB/(A_LUO+(A_LUO=0)*$B16)))/A_MPG_E,0)*A_MPG_E)))&gt;A_KAPR)*((A_FINF*A_FINV+(1-A_FINF)*(ROUNDUP((A_VERB/(A_LUO+(A_LUO=0)*$B16)+(A_MBLG&gt;A_VERB/(A_LUO+(A_LUO=0)*$B16))*(A_MBLG-A_VERB/(A_LUO+(A_LUO=0)*$B16)))/A_MPG_E,0)*A_MPG_E+(A_IST&gt;ROUNDUP((A_VERB/(A_LUO+(A_LUO=0)*$B16)+(A_MBLG&gt;A_VERB/(A_LUO+(A_LUO=0)*$B16))*(A_MBLG-A_VERB/(A_LUO+(A_LUO=0)*$B16)))/A_MPG_E,0)*A_MPG_E)*(A_IST-ROUNDUP((A_VERB/(A_LUO+(A_LUO=0)*$B16)+(A_MBLG&gt;A_VERB/(A_LUO+(A_LUO=0)*$B16))*(A_MBLG-A_VERB/(A_LUO+(A_LUO=0)*$B16)))/A_MPG_E,0)*A_MPG_E)))/(A_KAPR+(A_KAPR=0))-1))+(A_FACH=0)*((1-A_LOSE)*(A_GPT&gt;0)*(A_FINF*A_FINN+(1-A_FINF)*(ROUNDUP((A_VERB/(A_LUO+(A_LUO=0)*$B16)+(A_MBLG&gt;A_VERB/(A_LUO+(A_LUO=0)*$B16))*(A_MBLG-A_VERB/(A_LUO+(A_LUO=0)*$B16)))/A_MPG_E,0)+(A_ISTN&gt;ROUNDUP((A_VERB/(A_LUO+(A_LUO=0)*$B16)+(A_MBLG&gt;A_VERB/(A_LUO+(A_LUO=0)*$B16))*(A_MBLG-A_VERB/(A_LUO+(A_LUO=0)*$B16)))/A_MPG_E,0))*(A_ISTN-ROUNDUP((A_VERB/(A_LUO+(A_LUO=0)*$B16)+(A_MBLG&gt;A_VERB/(A_LUO+(A_LUO=0)*$B16))*(A_MBLG-A_VERB/(A_LUO+(A_LUO=0)*$B16)))/A_MPG_E,0))))/(A_GPT+(A_GPT=0))+A_LOSE*((A_FINF*A_FINN+(1-A_FINF)*(ROUNDUP((A_VERB/(A_LUO+(A_LUO=0)*$B16)+(A_MBLG&gt;A_VERB/(A_LUO+(A_LUO=0)*$B16))*(A_MBLG-A_VERB/(A_LUO+(A_LUO=0)*$B16)))/A_MPG_E,0)+(A_ISTN&gt;ROUNDUP((A_VERB/(A_LUO+(A_LUO=0)*$B16)+(A_MBLG&gt;A_VERB/(A_LUO+(A_LUO=0)*$B16))*(A_MBLG-A_VERB/(A_LUO+(A_LUO=0)*$B16)))/A_MPG_E,0))*(A_ISTN-ROUNDUP((A_VERB/(A_LUO+(A_LUO=0)*$B16)+(A_MBLG&gt;A_VERB/(A_LUO+(A_LUO=0)*$B16))*(A_MBLG-A_VERB/(A_LUO+(A_LUO=0)*$B16)))/A_MPG_E,0))))&gt;0)*A_LA*(1+(A_IST&gt;0)*((A_FINF*A_FINN+(1-A_FINF)*(ROUNDUP((A_VERB/(A_LUO+(A_LUO=0)*$B16)+(A_MBLG&gt;A_VERB/(A_LUO+(A_LUO=0)*$B16))*(A_MBLG-A_VERB/(A_LUO+(A_LUO=0)*$B16)))/A_MPG_E,0)+(A_ISTN&gt;ROUNDUP((A_VERB/(A_LUO+(A_LUO=0)*$B16)+(A_MBLG&gt;A_VERB/(A_LUO+(A_LUO=0)*$B16))*(A_MBLG-A_VERB/(A_LUO+(A_LUO=0)*$B16)))/A_MPG_E,0))*(A_ISTN-ROUNDUP((A_VERB/(A_LUO+(A_LUO=0)*$B16)+(A_MBLG&gt;A_VERB/(A_LUO+(A_LUO=0)*$B16))*(A_MBLG-A_VERB/(A_LUO+(A_LUO=0)*$B16)))/A_MPG_E,0))))&gt;A_IST)*((A_FINF*A_FINN+(1-A_FINF)*(ROUNDUP((A_VERB/(A_LUO+(A_LUO=0)*$B16)+(A_MBLG&gt;A_VERB/(A_LUO+(A_LUO=0)*$B16))*(A_MBLG-A_VERB/(A_LUO+(A_LUO=0)*$B16)))/A_MPG_E,0)+(A_ISTN&gt;ROUNDUP((A_VERB/(A_LUO+(A_LUO=0)*$B16)+(A_MBLG&gt;A_VERB/(A_LUO+(A_LUO=0)*$B16))*(A_MBLG-A_VERB/(A_LUO+(A_LUO=0)*$B16)))/A_MPG_E,0))*(A_ISTN-ROUNDUP((A_VERB/(A_LUO+(A_LUO=0)*$B16)+(A_MBLG&gt;A_VERB/(A_LUO+(A_LUO=0)*$B16))*(A_MBLG-A_VERB/(A_LUO+(A_LUO=0)*$B16)))/A_MPG_E,0))))/(A_IST+(A_IST=0))-1)))/MAX(0.1,N(Parameter!$M$21))))</f>
        <v>0</v>
      </c>
    </row>
    <row r="17" customFormat="false" ht="15" hidden="false" customHeight="false" outlineLevel="0" collapsed="false">
      <c r="A17" s="10" t="s">
        <v>7</v>
      </c>
      <c r="B17" s="43" t="n">
        <f aca="false">Parameter!$A$26</f>
        <v>2.5</v>
      </c>
      <c r="C17" s="30" t="n">
        <f aca="false">M17/Parameter!$E$5</f>
        <v>1.34100325000472</v>
      </c>
      <c r="D17" s="30" t="n">
        <f aca="false">N17/Parameter!$E$6</f>
        <v>1.97681818181818</v>
      </c>
      <c r="E17" s="30" t="n">
        <f aca="false">O17/Parameter!$E$7</f>
        <v>0.767996520387825</v>
      </c>
      <c r="F17" s="14" t="n">
        <f aca="false">(N17+O17)/(Parameter!$E$6+Parameter!$E$7)</f>
        <v>1.372407351103</v>
      </c>
      <c r="G17" s="14" t="n">
        <f aca="false">(M17+N17+O17)/Parameter!$E$8</f>
        <v>1.36193931740358</v>
      </c>
      <c r="H17" s="44" t="str">
        <f aca="false">IF(AND(M17&lt;=Parameter!$E$5,N17+O17&lt;=Parameter!$E$6+Parameter!$E$7),"JA","NEIN")</f>
        <v>NEIN</v>
      </c>
      <c r="I17" s="11" t="n">
        <f aca="false">MAX(0,M17-Parameter!$E$5)+MAX(0,N17+O17-Parameter!$E$6-Parameter!$E$7)+P17</f>
        <v>54.2908976105365</v>
      </c>
      <c r="J17" s="45" t="n">
        <f aca="false">SUMPRODUCT((A_FINF*A_FINV+(1-A_FINF)*(ROUNDUP((A_VERB/(A_LUO+(A_LUO=0)*$B17)+(A_MBLG&gt;A_VERB/(A_LUO+(A_LUO=0)*$B17))*(A_MBLG-A_VERB/(A_LUO+(A_LUO=0)*$B17)))/A_MPG_E,0)*A_MPG_E+(A_IST&gt;ROUNDUP((A_VERB/(A_LUO+(A_LUO=0)*$B17)+(A_MBLG&gt;A_VERB/(A_LUO+(A_LUO=0)*$B17))*(A_MBLG-A_VERB/(A_LUO+(A_LUO=0)*$B17)))/A_MPG_E,0)*A_MPG_E)*(A_IST-ROUNDUP((A_VERB/(A_LUO+(A_LUO=0)*$B17)+(A_MBLG&gt;A_VERB/(A_LUO+(A_LUO=0)*$B17))*(A_MBLG-A_VERB/(A_LUO+(A_LUO=0)*$B17)))/A_MPG_E,0)*A_MPG_E)))*A_PREIS)</f>
        <v>7338691.80584</v>
      </c>
      <c r="K17" s="46" t="n">
        <f aca="false">J17-$J$5</f>
        <v>3887645.59161</v>
      </c>
      <c r="L17" s="47" t="n">
        <f aca="false">(M17+N17+O17+P17)-($M$5+$N$5+$O$5+$P$5)</f>
        <v>53.3763085763823</v>
      </c>
      <c r="M17" s="11" t="n">
        <f aca="false">SUMPRODUCT((A_LIFT=1)*((A_FACH&gt;0)*A_FACH*(1+(A_KAPR&gt;0)*((A_FINF*A_FINV+(1-A_FINF)*(ROUNDUP((A_VERB/(A_LUO+(A_LUO=0)*$B17)+(A_MBLG&gt;A_VERB/(A_LUO+(A_LUO=0)*$B17))*(A_MBLG-A_VERB/(A_LUO+(A_LUO=0)*$B17)))/A_MPG_E,0)*A_MPG_E+(A_IST&gt;ROUNDUP((A_VERB/(A_LUO+(A_LUO=0)*$B17)+(A_MBLG&gt;A_VERB/(A_LUO+(A_LUO=0)*$B17))*(A_MBLG-A_VERB/(A_LUO+(A_LUO=0)*$B17)))/A_MPG_E,0)*A_MPG_E)*(A_IST-ROUNDUP((A_VERB/(A_LUO+(A_LUO=0)*$B17)+(A_MBLG&gt;A_VERB/(A_LUO+(A_LUO=0)*$B17))*(A_MBLG-A_VERB/(A_LUO+(A_LUO=0)*$B17)))/A_MPG_E,0)*A_MPG_E)))&gt;A_KAPR)*((A_FINF*A_FINV+(1-A_FINF)*(ROUNDUP((A_VERB/(A_LUO+(A_LUO=0)*$B17)+(A_MBLG&gt;A_VERB/(A_LUO+(A_LUO=0)*$B17))*(A_MBLG-A_VERB/(A_LUO+(A_LUO=0)*$B17)))/A_MPG_E,0)*A_MPG_E+(A_IST&gt;ROUNDUP((A_VERB/(A_LUO+(A_LUO=0)*$B17)+(A_MBLG&gt;A_VERB/(A_LUO+(A_LUO=0)*$B17))*(A_MBLG-A_VERB/(A_LUO+(A_LUO=0)*$B17)))/A_MPG_E,0)*A_MPG_E)*(A_IST-ROUNDUP((A_VERB/(A_LUO+(A_LUO=0)*$B17)+(A_MBLG&gt;A_VERB/(A_LUO+(A_LUO=0)*$B17))*(A_MBLG-A_VERB/(A_LUO+(A_LUO=0)*$B17)))/A_MPG_E,0)*A_MPG_E)))/(A_KAPR+(A_KAPR=0))-1))+(A_FACH=0)*((1-A_LOSE)*(A_GPT&gt;0)*(A_FINF*A_FINN+(1-A_FINF)*(ROUNDUP((A_VERB/(A_LUO+(A_LUO=0)*$B17)+(A_MBLG&gt;A_VERB/(A_LUO+(A_LUO=0)*$B17))*(A_MBLG-A_VERB/(A_LUO+(A_LUO=0)*$B17)))/A_MPG_E,0)+(A_ISTN&gt;ROUNDUP((A_VERB/(A_LUO+(A_LUO=0)*$B17)+(A_MBLG&gt;A_VERB/(A_LUO+(A_LUO=0)*$B17))*(A_MBLG-A_VERB/(A_LUO+(A_LUO=0)*$B17)))/A_MPG_E,0))*(A_ISTN-ROUNDUP((A_VERB/(A_LUO+(A_LUO=0)*$B17)+(A_MBLG&gt;A_VERB/(A_LUO+(A_LUO=0)*$B17))*(A_MBLG-A_VERB/(A_LUO+(A_LUO=0)*$B17)))/A_MPG_E,0))))/(A_GPT+(A_GPT=0))+A_LOSE*((A_FINF*A_FINN+(1-A_FINF)*(ROUNDUP((A_VERB/(A_LUO+(A_LUO=0)*$B17)+(A_MBLG&gt;A_VERB/(A_LUO+(A_LUO=0)*$B17))*(A_MBLG-A_VERB/(A_LUO+(A_LUO=0)*$B17)))/A_MPG_E,0)+(A_ISTN&gt;ROUNDUP((A_VERB/(A_LUO+(A_LUO=0)*$B17)+(A_MBLG&gt;A_VERB/(A_LUO+(A_LUO=0)*$B17))*(A_MBLG-A_VERB/(A_LUO+(A_LUO=0)*$B17)))/A_MPG_E,0))*(A_ISTN-ROUNDUP((A_VERB/(A_LUO+(A_LUO=0)*$B17)+(A_MBLG&gt;A_VERB/(A_LUO+(A_LUO=0)*$B17))*(A_MBLG-A_VERB/(A_LUO+(A_LUO=0)*$B17)))/A_MPG_E,0))))&gt;0)*A_LA*(1+(A_IST&gt;0)*((A_FINF*A_FINN+(1-A_FINF)*(ROUNDUP((A_VERB/(A_LUO+(A_LUO=0)*$B17)+(A_MBLG&gt;A_VERB/(A_LUO+(A_LUO=0)*$B17))*(A_MBLG-A_VERB/(A_LUO+(A_LUO=0)*$B17)))/A_MPG_E,0)+(A_ISTN&gt;ROUNDUP((A_VERB/(A_LUO+(A_LUO=0)*$B17)+(A_MBLG&gt;A_VERB/(A_LUO+(A_LUO=0)*$B17))*(A_MBLG-A_VERB/(A_LUO+(A_LUO=0)*$B17)))/A_MPG_E,0))*(A_ISTN-ROUNDUP((A_VERB/(A_LUO+(A_LUO=0)*$B17)+(A_MBLG&gt;A_VERB/(A_LUO+(A_LUO=0)*$B17))*(A_MBLG-A_VERB/(A_LUO+(A_LUO=0)*$B17)))/A_MPG_E,0))))&gt;A_IST)*((A_FINF*A_FINN+(1-A_FINF)*(ROUNDUP((A_VERB/(A_LUO+(A_LUO=0)*$B17)+(A_MBLG&gt;A_VERB/(A_LUO+(A_LUO=0)*$B17))*(A_MBLG-A_VERB/(A_LUO+(A_LUO=0)*$B17)))/A_MPG_E,0)+(A_ISTN&gt;ROUNDUP((A_VERB/(A_LUO+(A_LUO=0)*$B17)+(A_MBLG&gt;A_VERB/(A_LUO+(A_LUO=0)*$B17))*(A_MBLG-A_VERB/(A_LUO+(A_LUO=0)*$B17)))/A_MPG_E,0))*(A_ISTN-ROUNDUP((A_VERB/(A_LUO+(A_LUO=0)*$B17)+(A_MBLG&gt;A_VERB/(A_LUO+(A_LUO=0)*$B17))*(A_MBLG-A_VERB/(A_LUO+(A_LUO=0)*$B17)))/A_MPG_E,0))))/(A_IST+(A_IST=0))-1)))/MAX(0.1,N(Parameter!$M$21))))</f>
        <v>67.0501625002362</v>
      </c>
      <c r="N17" s="11" t="n">
        <f aca="false">SUMPRODUCT((A_LIFT=2)*((A_FACH&gt;0)*A_FACH*(1+(A_KAPR&gt;0)*((A_FINF*A_FINV+(1-A_FINF)*(ROUNDUP((A_VERB/(A_LUO+(A_LUO=0)*$B17)+(A_MBLG&gt;A_VERB/(A_LUO+(A_LUO=0)*$B17))*(A_MBLG-A_VERB/(A_LUO+(A_LUO=0)*$B17)))/A_MPG_E,0)*A_MPG_E+(A_IST&gt;ROUNDUP((A_VERB/(A_LUO+(A_LUO=0)*$B17)+(A_MBLG&gt;A_VERB/(A_LUO+(A_LUO=0)*$B17))*(A_MBLG-A_VERB/(A_LUO+(A_LUO=0)*$B17)))/A_MPG_E,0)*A_MPG_E)*(A_IST-ROUNDUP((A_VERB/(A_LUO+(A_LUO=0)*$B17)+(A_MBLG&gt;A_VERB/(A_LUO+(A_LUO=0)*$B17))*(A_MBLG-A_VERB/(A_LUO+(A_LUO=0)*$B17)))/A_MPG_E,0)*A_MPG_E)))&gt;A_KAPR)*((A_FINF*A_FINV+(1-A_FINF)*(ROUNDUP((A_VERB/(A_LUO+(A_LUO=0)*$B17)+(A_MBLG&gt;A_VERB/(A_LUO+(A_LUO=0)*$B17))*(A_MBLG-A_VERB/(A_LUO+(A_LUO=0)*$B17)))/A_MPG_E,0)*A_MPG_E+(A_IST&gt;ROUNDUP((A_VERB/(A_LUO+(A_LUO=0)*$B17)+(A_MBLG&gt;A_VERB/(A_LUO+(A_LUO=0)*$B17))*(A_MBLG-A_VERB/(A_LUO+(A_LUO=0)*$B17)))/A_MPG_E,0)*A_MPG_E)*(A_IST-ROUNDUP((A_VERB/(A_LUO+(A_LUO=0)*$B17)+(A_MBLG&gt;A_VERB/(A_LUO+(A_LUO=0)*$B17))*(A_MBLG-A_VERB/(A_LUO+(A_LUO=0)*$B17)))/A_MPG_E,0)*A_MPG_E)))/(A_KAPR+(A_KAPR=0))-1))+(A_FACH=0)*((1-A_LOSE)*(A_GPT&gt;0)*(A_FINF*A_FINN+(1-A_FINF)*(ROUNDUP((A_VERB/(A_LUO+(A_LUO=0)*$B17)+(A_MBLG&gt;A_VERB/(A_LUO+(A_LUO=0)*$B17))*(A_MBLG-A_VERB/(A_LUO+(A_LUO=0)*$B17)))/A_MPG_E,0)+(A_ISTN&gt;ROUNDUP((A_VERB/(A_LUO+(A_LUO=0)*$B17)+(A_MBLG&gt;A_VERB/(A_LUO+(A_LUO=0)*$B17))*(A_MBLG-A_VERB/(A_LUO+(A_LUO=0)*$B17)))/A_MPG_E,0))*(A_ISTN-ROUNDUP((A_VERB/(A_LUO+(A_LUO=0)*$B17)+(A_MBLG&gt;A_VERB/(A_LUO+(A_LUO=0)*$B17))*(A_MBLG-A_VERB/(A_LUO+(A_LUO=0)*$B17)))/A_MPG_E,0))))/(A_GPT+(A_GPT=0))+A_LOSE*((A_FINF*A_FINN+(1-A_FINF)*(ROUNDUP((A_VERB/(A_LUO+(A_LUO=0)*$B17)+(A_MBLG&gt;A_VERB/(A_LUO+(A_LUO=0)*$B17))*(A_MBLG-A_VERB/(A_LUO+(A_LUO=0)*$B17)))/A_MPG_E,0)+(A_ISTN&gt;ROUNDUP((A_VERB/(A_LUO+(A_LUO=0)*$B17)+(A_MBLG&gt;A_VERB/(A_LUO+(A_LUO=0)*$B17))*(A_MBLG-A_VERB/(A_LUO+(A_LUO=0)*$B17)))/A_MPG_E,0))*(A_ISTN-ROUNDUP((A_VERB/(A_LUO+(A_LUO=0)*$B17)+(A_MBLG&gt;A_VERB/(A_LUO+(A_LUO=0)*$B17))*(A_MBLG-A_VERB/(A_LUO+(A_LUO=0)*$B17)))/A_MPG_E,0))))&gt;0)*A_LA*(1+(A_IST&gt;0)*((A_FINF*A_FINN+(1-A_FINF)*(ROUNDUP((A_VERB/(A_LUO+(A_LUO=0)*$B17)+(A_MBLG&gt;A_VERB/(A_LUO+(A_LUO=0)*$B17))*(A_MBLG-A_VERB/(A_LUO+(A_LUO=0)*$B17)))/A_MPG_E,0)+(A_ISTN&gt;ROUNDUP((A_VERB/(A_LUO+(A_LUO=0)*$B17)+(A_MBLG&gt;A_VERB/(A_LUO+(A_LUO=0)*$B17))*(A_MBLG-A_VERB/(A_LUO+(A_LUO=0)*$B17)))/A_MPG_E,0))*(A_ISTN-ROUNDUP((A_VERB/(A_LUO+(A_LUO=0)*$B17)+(A_MBLG&gt;A_VERB/(A_LUO+(A_LUO=0)*$B17))*(A_MBLG-A_VERB/(A_LUO+(A_LUO=0)*$B17)))/A_MPG_E,0))))&gt;A_IST)*((A_FINF*A_FINN+(1-A_FINF)*(ROUNDUP((A_VERB/(A_LUO+(A_LUO=0)*$B17)+(A_MBLG&gt;A_VERB/(A_LUO+(A_LUO=0)*$B17))*(A_MBLG-A_VERB/(A_LUO+(A_LUO=0)*$B17)))/A_MPG_E,0)+(A_ISTN&gt;ROUNDUP((A_VERB/(A_LUO+(A_LUO=0)*$B17)+(A_MBLG&gt;A_VERB/(A_LUO+(A_LUO=0)*$B17))*(A_MBLG-A_VERB/(A_LUO+(A_LUO=0)*$B17)))/A_MPG_E,0))*(A_ISTN-ROUNDUP((A_VERB/(A_LUO+(A_LUO=0)*$B17)+(A_MBLG&gt;A_VERB/(A_LUO+(A_LUO=0)*$B17))*(A_MBLG-A_VERB/(A_LUO+(A_LUO=0)*$B17)))/A_MPG_E,0))))/(A_IST+(A_IST=0))-1)))/MAX(0.1,N(Parameter!$M$21))))</f>
        <v>98.8409090909091</v>
      </c>
      <c r="O17" s="11" t="n">
        <f aca="false">SUMPRODUCT((A_LIFT=3)*((A_FACH&gt;0)*A_FACH*(1+(A_KAPR&gt;0)*((A_FINF*A_FINV+(1-A_FINF)*(ROUNDUP((A_VERB/(A_LUO+(A_LUO=0)*$B17)+(A_MBLG&gt;A_VERB/(A_LUO+(A_LUO=0)*$B17))*(A_MBLG-A_VERB/(A_LUO+(A_LUO=0)*$B17)))/A_MPG_E,0)*A_MPG_E+(A_IST&gt;ROUNDUP((A_VERB/(A_LUO+(A_LUO=0)*$B17)+(A_MBLG&gt;A_VERB/(A_LUO+(A_LUO=0)*$B17))*(A_MBLG-A_VERB/(A_LUO+(A_LUO=0)*$B17)))/A_MPG_E,0)*A_MPG_E)*(A_IST-ROUNDUP((A_VERB/(A_LUO+(A_LUO=0)*$B17)+(A_MBLG&gt;A_VERB/(A_LUO+(A_LUO=0)*$B17))*(A_MBLG-A_VERB/(A_LUO+(A_LUO=0)*$B17)))/A_MPG_E,0)*A_MPG_E)))&gt;A_KAPR)*((A_FINF*A_FINV+(1-A_FINF)*(ROUNDUP((A_VERB/(A_LUO+(A_LUO=0)*$B17)+(A_MBLG&gt;A_VERB/(A_LUO+(A_LUO=0)*$B17))*(A_MBLG-A_VERB/(A_LUO+(A_LUO=0)*$B17)))/A_MPG_E,0)*A_MPG_E+(A_IST&gt;ROUNDUP((A_VERB/(A_LUO+(A_LUO=0)*$B17)+(A_MBLG&gt;A_VERB/(A_LUO+(A_LUO=0)*$B17))*(A_MBLG-A_VERB/(A_LUO+(A_LUO=0)*$B17)))/A_MPG_E,0)*A_MPG_E)*(A_IST-ROUNDUP((A_VERB/(A_LUO+(A_LUO=0)*$B17)+(A_MBLG&gt;A_VERB/(A_LUO+(A_LUO=0)*$B17))*(A_MBLG-A_VERB/(A_LUO+(A_LUO=0)*$B17)))/A_MPG_E,0)*A_MPG_E)))/(A_KAPR+(A_KAPR=0))-1))+(A_FACH=0)*((1-A_LOSE)*(A_GPT&gt;0)*(A_FINF*A_FINN+(1-A_FINF)*(ROUNDUP((A_VERB/(A_LUO+(A_LUO=0)*$B17)+(A_MBLG&gt;A_VERB/(A_LUO+(A_LUO=0)*$B17))*(A_MBLG-A_VERB/(A_LUO+(A_LUO=0)*$B17)))/A_MPG_E,0)+(A_ISTN&gt;ROUNDUP((A_VERB/(A_LUO+(A_LUO=0)*$B17)+(A_MBLG&gt;A_VERB/(A_LUO+(A_LUO=0)*$B17))*(A_MBLG-A_VERB/(A_LUO+(A_LUO=0)*$B17)))/A_MPG_E,0))*(A_ISTN-ROUNDUP((A_VERB/(A_LUO+(A_LUO=0)*$B17)+(A_MBLG&gt;A_VERB/(A_LUO+(A_LUO=0)*$B17))*(A_MBLG-A_VERB/(A_LUO+(A_LUO=0)*$B17)))/A_MPG_E,0))))/(A_GPT+(A_GPT=0))+A_LOSE*((A_FINF*A_FINN+(1-A_FINF)*(ROUNDUP((A_VERB/(A_LUO+(A_LUO=0)*$B17)+(A_MBLG&gt;A_VERB/(A_LUO+(A_LUO=0)*$B17))*(A_MBLG-A_VERB/(A_LUO+(A_LUO=0)*$B17)))/A_MPG_E,0)+(A_ISTN&gt;ROUNDUP((A_VERB/(A_LUO+(A_LUO=0)*$B17)+(A_MBLG&gt;A_VERB/(A_LUO+(A_LUO=0)*$B17))*(A_MBLG-A_VERB/(A_LUO+(A_LUO=0)*$B17)))/A_MPG_E,0))*(A_ISTN-ROUNDUP((A_VERB/(A_LUO+(A_LUO=0)*$B17)+(A_MBLG&gt;A_VERB/(A_LUO+(A_LUO=0)*$B17))*(A_MBLG-A_VERB/(A_LUO+(A_LUO=0)*$B17)))/A_MPG_E,0))))&gt;0)*A_LA*(1+(A_IST&gt;0)*((A_FINF*A_FINN+(1-A_FINF)*(ROUNDUP((A_VERB/(A_LUO+(A_LUO=0)*$B17)+(A_MBLG&gt;A_VERB/(A_LUO+(A_LUO=0)*$B17))*(A_MBLG-A_VERB/(A_LUO+(A_LUO=0)*$B17)))/A_MPG_E,0)+(A_ISTN&gt;ROUNDUP((A_VERB/(A_LUO+(A_LUO=0)*$B17)+(A_MBLG&gt;A_VERB/(A_LUO+(A_LUO=0)*$B17))*(A_MBLG-A_VERB/(A_LUO+(A_LUO=0)*$B17)))/A_MPG_E,0))*(A_ISTN-ROUNDUP((A_VERB/(A_LUO+(A_LUO=0)*$B17)+(A_MBLG&gt;A_VERB/(A_LUO+(A_LUO=0)*$B17))*(A_MBLG-A_VERB/(A_LUO+(A_LUO=0)*$B17)))/A_MPG_E,0))))&gt;A_IST)*((A_FINF*A_FINN+(1-A_FINF)*(ROUNDUP((A_VERB/(A_LUO+(A_LUO=0)*$B17)+(A_MBLG&gt;A_VERB/(A_LUO+(A_LUO=0)*$B17))*(A_MBLG-A_VERB/(A_LUO+(A_LUO=0)*$B17)))/A_MPG_E,0)+(A_ISTN&gt;ROUNDUP((A_VERB/(A_LUO+(A_LUO=0)*$B17)+(A_MBLG&gt;A_VERB/(A_LUO+(A_LUO=0)*$B17))*(A_MBLG-A_VERB/(A_LUO+(A_LUO=0)*$B17)))/A_MPG_E,0))*(A_ISTN-ROUNDUP((A_VERB/(A_LUO+(A_LUO=0)*$B17)+(A_MBLG&gt;A_VERB/(A_LUO+(A_LUO=0)*$B17))*(A_MBLG-A_VERB/(A_LUO+(A_LUO=0)*$B17)))/A_MPG_E,0))))/(A_IST+(A_IST=0))-1)))/MAX(0.1,N(Parameter!$M$21))))</f>
        <v>38.3998260193912</v>
      </c>
      <c r="P17" s="11" t="n">
        <f aca="false">SUMPRODUCT((A_LIFT="Aussen")*((A_FACH&gt;0)*A_FACH*(1+(A_KAPR&gt;0)*((A_FINF*A_FINV+(1-A_FINF)*(ROUNDUP((A_VERB/(A_LUO+(A_LUO=0)*$B17)+(A_MBLG&gt;A_VERB/(A_LUO+(A_LUO=0)*$B17))*(A_MBLG-A_VERB/(A_LUO+(A_LUO=0)*$B17)))/A_MPG_E,0)*A_MPG_E+(A_IST&gt;ROUNDUP((A_VERB/(A_LUO+(A_LUO=0)*$B17)+(A_MBLG&gt;A_VERB/(A_LUO+(A_LUO=0)*$B17))*(A_MBLG-A_VERB/(A_LUO+(A_LUO=0)*$B17)))/A_MPG_E,0)*A_MPG_E)*(A_IST-ROUNDUP((A_VERB/(A_LUO+(A_LUO=0)*$B17)+(A_MBLG&gt;A_VERB/(A_LUO+(A_LUO=0)*$B17))*(A_MBLG-A_VERB/(A_LUO+(A_LUO=0)*$B17)))/A_MPG_E,0)*A_MPG_E)))&gt;A_KAPR)*((A_FINF*A_FINV+(1-A_FINF)*(ROUNDUP((A_VERB/(A_LUO+(A_LUO=0)*$B17)+(A_MBLG&gt;A_VERB/(A_LUO+(A_LUO=0)*$B17))*(A_MBLG-A_VERB/(A_LUO+(A_LUO=0)*$B17)))/A_MPG_E,0)*A_MPG_E+(A_IST&gt;ROUNDUP((A_VERB/(A_LUO+(A_LUO=0)*$B17)+(A_MBLG&gt;A_VERB/(A_LUO+(A_LUO=0)*$B17))*(A_MBLG-A_VERB/(A_LUO+(A_LUO=0)*$B17)))/A_MPG_E,0)*A_MPG_E)*(A_IST-ROUNDUP((A_VERB/(A_LUO+(A_LUO=0)*$B17)+(A_MBLG&gt;A_VERB/(A_LUO+(A_LUO=0)*$B17))*(A_MBLG-A_VERB/(A_LUO+(A_LUO=0)*$B17)))/A_MPG_E,0)*A_MPG_E)))/(A_KAPR+(A_KAPR=0))-1))+(A_FACH=0)*((1-A_LOSE)*(A_GPT&gt;0)*(A_FINF*A_FINN+(1-A_FINF)*(ROUNDUP((A_VERB/(A_LUO+(A_LUO=0)*$B17)+(A_MBLG&gt;A_VERB/(A_LUO+(A_LUO=0)*$B17))*(A_MBLG-A_VERB/(A_LUO+(A_LUO=0)*$B17)))/A_MPG_E,0)+(A_ISTN&gt;ROUNDUP((A_VERB/(A_LUO+(A_LUO=0)*$B17)+(A_MBLG&gt;A_VERB/(A_LUO+(A_LUO=0)*$B17))*(A_MBLG-A_VERB/(A_LUO+(A_LUO=0)*$B17)))/A_MPG_E,0))*(A_ISTN-ROUNDUP((A_VERB/(A_LUO+(A_LUO=0)*$B17)+(A_MBLG&gt;A_VERB/(A_LUO+(A_LUO=0)*$B17))*(A_MBLG-A_VERB/(A_LUO+(A_LUO=0)*$B17)))/A_MPG_E,0))))/(A_GPT+(A_GPT=0))+A_LOSE*((A_FINF*A_FINN+(1-A_FINF)*(ROUNDUP((A_VERB/(A_LUO+(A_LUO=0)*$B17)+(A_MBLG&gt;A_VERB/(A_LUO+(A_LUO=0)*$B17))*(A_MBLG-A_VERB/(A_LUO+(A_LUO=0)*$B17)))/A_MPG_E,0)+(A_ISTN&gt;ROUNDUP((A_VERB/(A_LUO+(A_LUO=0)*$B17)+(A_MBLG&gt;A_VERB/(A_LUO+(A_LUO=0)*$B17))*(A_MBLG-A_VERB/(A_LUO+(A_LUO=0)*$B17)))/A_MPG_E,0))*(A_ISTN-ROUNDUP((A_VERB/(A_LUO+(A_LUO=0)*$B17)+(A_MBLG&gt;A_VERB/(A_LUO+(A_LUO=0)*$B17))*(A_MBLG-A_VERB/(A_LUO+(A_LUO=0)*$B17)))/A_MPG_E,0))))&gt;0)*A_LA*(1+(A_IST&gt;0)*((A_FINF*A_FINN+(1-A_FINF)*(ROUNDUP((A_VERB/(A_LUO+(A_LUO=0)*$B17)+(A_MBLG&gt;A_VERB/(A_LUO+(A_LUO=0)*$B17))*(A_MBLG-A_VERB/(A_LUO+(A_LUO=0)*$B17)))/A_MPG_E,0)+(A_ISTN&gt;ROUNDUP((A_VERB/(A_LUO+(A_LUO=0)*$B17)+(A_MBLG&gt;A_VERB/(A_LUO+(A_LUO=0)*$B17))*(A_MBLG-A_VERB/(A_LUO+(A_LUO=0)*$B17)))/A_MPG_E,0))*(A_ISTN-ROUNDUP((A_VERB/(A_LUO+(A_LUO=0)*$B17)+(A_MBLG&gt;A_VERB/(A_LUO+(A_LUO=0)*$B17))*(A_MBLG-A_VERB/(A_LUO+(A_LUO=0)*$B17)))/A_MPG_E,0))))&gt;A_IST)*((A_FINF*A_FINN+(1-A_FINF)*(ROUNDUP((A_VERB/(A_LUO+(A_LUO=0)*$B17)+(A_MBLG&gt;A_VERB/(A_LUO+(A_LUO=0)*$B17))*(A_MBLG-A_VERB/(A_LUO+(A_LUO=0)*$B17)))/A_MPG_E,0)+(A_ISTN&gt;ROUNDUP((A_VERB/(A_LUO+(A_LUO=0)*$B17)+(A_MBLG&gt;A_VERB/(A_LUO+(A_LUO=0)*$B17))*(A_MBLG-A_VERB/(A_LUO+(A_LUO=0)*$B17)))/A_MPG_E,0))*(A_ISTN-ROUNDUP((A_VERB/(A_LUO+(A_LUO=0)*$B17)+(A_MBLG&gt;A_VERB/(A_LUO+(A_LUO=0)*$B17))*(A_MBLG-A_VERB/(A_LUO+(A_LUO=0)*$B17)))/A_MPG_E,0))))/(A_IST+(A_IST=0))-1)))/MAX(0.1,N(Parameter!$M$21))))</f>
        <v>0</v>
      </c>
    </row>
    <row r="18" customFormat="false" ht="15" hidden="false" customHeight="false" outlineLevel="0" collapsed="false">
      <c r="A18" s="10" t="s">
        <v>7</v>
      </c>
      <c r="B18" s="43" t="n">
        <f aca="false">Parameter!$A$27</f>
        <v>3</v>
      </c>
      <c r="C18" s="30" t="n">
        <f aca="false">M18/Parameter!$E$5</f>
        <v>1.29319722363938</v>
      </c>
      <c r="D18" s="30" t="n">
        <f aca="false">N18/Parameter!$E$6</f>
        <v>1.90015151515152</v>
      </c>
      <c r="E18" s="30" t="n">
        <f aca="false">O18/Parameter!$E$7</f>
        <v>0.761388128779433</v>
      </c>
      <c r="F18" s="14" t="n">
        <f aca="false">(N18+O18)/(Parameter!$E$6+Parameter!$E$7)</f>
        <v>1.33076982196547</v>
      </c>
      <c r="G18" s="14" t="n">
        <f aca="false">(M18+N18+O18)/Parameter!$E$8</f>
        <v>1.31824562252344</v>
      </c>
      <c r="H18" s="44" t="str">
        <f aca="false">IF(AND(M18&lt;=Parameter!$E$5,N18+O18&lt;=Parameter!$E$6+Parameter!$E$7),"JA","NEIN")</f>
        <v>NEIN</v>
      </c>
      <c r="I18" s="11" t="n">
        <f aca="false">MAX(0,M18-Parameter!$E$5)+MAX(0,N18+O18-Parameter!$E$6-Parameter!$E$7)+P18</f>
        <v>47.7368433785162</v>
      </c>
      <c r="J18" s="45" t="n">
        <f aca="false">SUMPRODUCT((A_FINF*A_FINV+(1-A_FINF)*(ROUNDUP((A_VERB/(A_LUO+(A_LUO=0)*$B18)+(A_MBLG&gt;A_VERB/(A_LUO+(A_LUO=0)*$B18))*(A_MBLG-A_VERB/(A_LUO+(A_LUO=0)*$B18)))/A_MPG_E,0)*A_MPG_E+(A_IST&gt;ROUNDUP((A_VERB/(A_LUO+(A_LUO=0)*$B18)+(A_MBLG&gt;A_VERB/(A_LUO+(A_LUO=0)*$B18))*(A_MBLG-A_VERB/(A_LUO+(A_LUO=0)*$B18)))/A_MPG_E,0)*A_MPG_E)*(A_IST-ROUNDUP((A_VERB/(A_LUO+(A_LUO=0)*$B18)+(A_MBLG&gt;A_VERB/(A_LUO+(A_LUO=0)*$B18))*(A_MBLG-A_VERB/(A_LUO+(A_LUO=0)*$B18)))/A_MPG_E,0)*A_MPG_E)))*A_PREIS)</f>
        <v>6965579.74584</v>
      </c>
      <c r="K18" s="46" t="n">
        <f aca="false">J18-$J$5</f>
        <v>3514533.53161</v>
      </c>
      <c r="L18" s="47" t="n">
        <f aca="false">(M18+N18+O18+P18)-($M$5+$N$5+$O$5+$P$5)</f>
        <v>46.8222543443619</v>
      </c>
      <c r="M18" s="11" t="n">
        <f aca="false">SUMPRODUCT((A_LIFT=1)*((A_FACH&gt;0)*A_FACH*(1+(A_KAPR&gt;0)*((A_FINF*A_FINV+(1-A_FINF)*(ROUNDUP((A_VERB/(A_LUO+(A_LUO=0)*$B18)+(A_MBLG&gt;A_VERB/(A_LUO+(A_LUO=0)*$B18))*(A_MBLG-A_VERB/(A_LUO+(A_LUO=0)*$B18)))/A_MPG_E,0)*A_MPG_E+(A_IST&gt;ROUNDUP((A_VERB/(A_LUO+(A_LUO=0)*$B18)+(A_MBLG&gt;A_VERB/(A_LUO+(A_LUO=0)*$B18))*(A_MBLG-A_VERB/(A_LUO+(A_LUO=0)*$B18)))/A_MPG_E,0)*A_MPG_E)*(A_IST-ROUNDUP((A_VERB/(A_LUO+(A_LUO=0)*$B18)+(A_MBLG&gt;A_VERB/(A_LUO+(A_LUO=0)*$B18))*(A_MBLG-A_VERB/(A_LUO+(A_LUO=0)*$B18)))/A_MPG_E,0)*A_MPG_E)))&gt;A_KAPR)*((A_FINF*A_FINV+(1-A_FINF)*(ROUNDUP((A_VERB/(A_LUO+(A_LUO=0)*$B18)+(A_MBLG&gt;A_VERB/(A_LUO+(A_LUO=0)*$B18))*(A_MBLG-A_VERB/(A_LUO+(A_LUO=0)*$B18)))/A_MPG_E,0)*A_MPG_E+(A_IST&gt;ROUNDUP((A_VERB/(A_LUO+(A_LUO=0)*$B18)+(A_MBLG&gt;A_VERB/(A_LUO+(A_LUO=0)*$B18))*(A_MBLG-A_VERB/(A_LUO+(A_LUO=0)*$B18)))/A_MPG_E,0)*A_MPG_E)*(A_IST-ROUNDUP((A_VERB/(A_LUO+(A_LUO=0)*$B18)+(A_MBLG&gt;A_VERB/(A_LUO+(A_LUO=0)*$B18))*(A_MBLG-A_VERB/(A_LUO+(A_LUO=0)*$B18)))/A_MPG_E,0)*A_MPG_E)))/(A_KAPR+(A_KAPR=0))-1))+(A_FACH=0)*((1-A_LOSE)*(A_GPT&gt;0)*(A_FINF*A_FINN+(1-A_FINF)*(ROUNDUP((A_VERB/(A_LUO+(A_LUO=0)*$B18)+(A_MBLG&gt;A_VERB/(A_LUO+(A_LUO=0)*$B18))*(A_MBLG-A_VERB/(A_LUO+(A_LUO=0)*$B18)))/A_MPG_E,0)+(A_ISTN&gt;ROUNDUP((A_VERB/(A_LUO+(A_LUO=0)*$B18)+(A_MBLG&gt;A_VERB/(A_LUO+(A_LUO=0)*$B18))*(A_MBLG-A_VERB/(A_LUO+(A_LUO=0)*$B18)))/A_MPG_E,0))*(A_ISTN-ROUNDUP((A_VERB/(A_LUO+(A_LUO=0)*$B18)+(A_MBLG&gt;A_VERB/(A_LUO+(A_LUO=0)*$B18))*(A_MBLG-A_VERB/(A_LUO+(A_LUO=0)*$B18)))/A_MPG_E,0))))/(A_GPT+(A_GPT=0))+A_LOSE*((A_FINF*A_FINN+(1-A_FINF)*(ROUNDUP((A_VERB/(A_LUO+(A_LUO=0)*$B18)+(A_MBLG&gt;A_VERB/(A_LUO+(A_LUO=0)*$B18))*(A_MBLG-A_VERB/(A_LUO+(A_LUO=0)*$B18)))/A_MPG_E,0)+(A_ISTN&gt;ROUNDUP((A_VERB/(A_LUO+(A_LUO=0)*$B18)+(A_MBLG&gt;A_VERB/(A_LUO+(A_LUO=0)*$B18))*(A_MBLG-A_VERB/(A_LUO+(A_LUO=0)*$B18)))/A_MPG_E,0))*(A_ISTN-ROUNDUP((A_VERB/(A_LUO+(A_LUO=0)*$B18)+(A_MBLG&gt;A_VERB/(A_LUO+(A_LUO=0)*$B18))*(A_MBLG-A_VERB/(A_LUO+(A_LUO=0)*$B18)))/A_MPG_E,0))))&gt;0)*A_LA*(1+(A_IST&gt;0)*((A_FINF*A_FINN+(1-A_FINF)*(ROUNDUP((A_VERB/(A_LUO+(A_LUO=0)*$B18)+(A_MBLG&gt;A_VERB/(A_LUO+(A_LUO=0)*$B18))*(A_MBLG-A_VERB/(A_LUO+(A_LUO=0)*$B18)))/A_MPG_E,0)+(A_ISTN&gt;ROUNDUP((A_VERB/(A_LUO+(A_LUO=0)*$B18)+(A_MBLG&gt;A_VERB/(A_LUO+(A_LUO=0)*$B18))*(A_MBLG-A_VERB/(A_LUO+(A_LUO=0)*$B18)))/A_MPG_E,0))*(A_ISTN-ROUNDUP((A_VERB/(A_LUO+(A_LUO=0)*$B18)+(A_MBLG&gt;A_VERB/(A_LUO+(A_LUO=0)*$B18))*(A_MBLG-A_VERB/(A_LUO+(A_LUO=0)*$B18)))/A_MPG_E,0))))&gt;A_IST)*((A_FINF*A_FINN+(1-A_FINF)*(ROUNDUP((A_VERB/(A_LUO+(A_LUO=0)*$B18)+(A_MBLG&gt;A_VERB/(A_LUO+(A_LUO=0)*$B18))*(A_MBLG-A_VERB/(A_LUO+(A_LUO=0)*$B18)))/A_MPG_E,0)+(A_ISTN&gt;ROUNDUP((A_VERB/(A_LUO+(A_LUO=0)*$B18)+(A_MBLG&gt;A_VERB/(A_LUO+(A_LUO=0)*$B18))*(A_MBLG-A_VERB/(A_LUO+(A_LUO=0)*$B18)))/A_MPG_E,0))*(A_ISTN-ROUNDUP((A_VERB/(A_LUO+(A_LUO=0)*$B18)+(A_MBLG&gt;A_VERB/(A_LUO+(A_LUO=0)*$B18))*(A_MBLG-A_VERB/(A_LUO+(A_LUO=0)*$B18)))/A_MPG_E,0))))/(A_IST+(A_IST=0))-1)))/MAX(0.1,N(Parameter!$M$21))))</f>
        <v>64.6598611819688</v>
      </c>
      <c r="N18" s="11" t="n">
        <f aca="false">SUMPRODUCT((A_LIFT=2)*((A_FACH&gt;0)*A_FACH*(1+(A_KAPR&gt;0)*((A_FINF*A_FINV+(1-A_FINF)*(ROUNDUP((A_VERB/(A_LUO+(A_LUO=0)*$B18)+(A_MBLG&gt;A_VERB/(A_LUO+(A_LUO=0)*$B18))*(A_MBLG-A_VERB/(A_LUO+(A_LUO=0)*$B18)))/A_MPG_E,0)*A_MPG_E+(A_IST&gt;ROUNDUP((A_VERB/(A_LUO+(A_LUO=0)*$B18)+(A_MBLG&gt;A_VERB/(A_LUO+(A_LUO=0)*$B18))*(A_MBLG-A_VERB/(A_LUO+(A_LUO=0)*$B18)))/A_MPG_E,0)*A_MPG_E)*(A_IST-ROUNDUP((A_VERB/(A_LUO+(A_LUO=0)*$B18)+(A_MBLG&gt;A_VERB/(A_LUO+(A_LUO=0)*$B18))*(A_MBLG-A_VERB/(A_LUO+(A_LUO=0)*$B18)))/A_MPG_E,0)*A_MPG_E)))&gt;A_KAPR)*((A_FINF*A_FINV+(1-A_FINF)*(ROUNDUP((A_VERB/(A_LUO+(A_LUO=0)*$B18)+(A_MBLG&gt;A_VERB/(A_LUO+(A_LUO=0)*$B18))*(A_MBLG-A_VERB/(A_LUO+(A_LUO=0)*$B18)))/A_MPG_E,0)*A_MPG_E+(A_IST&gt;ROUNDUP((A_VERB/(A_LUO+(A_LUO=0)*$B18)+(A_MBLG&gt;A_VERB/(A_LUO+(A_LUO=0)*$B18))*(A_MBLG-A_VERB/(A_LUO+(A_LUO=0)*$B18)))/A_MPG_E,0)*A_MPG_E)*(A_IST-ROUNDUP((A_VERB/(A_LUO+(A_LUO=0)*$B18)+(A_MBLG&gt;A_VERB/(A_LUO+(A_LUO=0)*$B18))*(A_MBLG-A_VERB/(A_LUO+(A_LUO=0)*$B18)))/A_MPG_E,0)*A_MPG_E)))/(A_KAPR+(A_KAPR=0))-1))+(A_FACH=0)*((1-A_LOSE)*(A_GPT&gt;0)*(A_FINF*A_FINN+(1-A_FINF)*(ROUNDUP((A_VERB/(A_LUO+(A_LUO=0)*$B18)+(A_MBLG&gt;A_VERB/(A_LUO+(A_LUO=0)*$B18))*(A_MBLG-A_VERB/(A_LUO+(A_LUO=0)*$B18)))/A_MPG_E,0)+(A_ISTN&gt;ROUNDUP((A_VERB/(A_LUO+(A_LUO=0)*$B18)+(A_MBLG&gt;A_VERB/(A_LUO+(A_LUO=0)*$B18))*(A_MBLG-A_VERB/(A_LUO+(A_LUO=0)*$B18)))/A_MPG_E,0))*(A_ISTN-ROUNDUP((A_VERB/(A_LUO+(A_LUO=0)*$B18)+(A_MBLG&gt;A_VERB/(A_LUO+(A_LUO=0)*$B18))*(A_MBLG-A_VERB/(A_LUO+(A_LUO=0)*$B18)))/A_MPG_E,0))))/(A_GPT+(A_GPT=0))+A_LOSE*((A_FINF*A_FINN+(1-A_FINF)*(ROUNDUP((A_VERB/(A_LUO+(A_LUO=0)*$B18)+(A_MBLG&gt;A_VERB/(A_LUO+(A_LUO=0)*$B18))*(A_MBLG-A_VERB/(A_LUO+(A_LUO=0)*$B18)))/A_MPG_E,0)+(A_ISTN&gt;ROUNDUP((A_VERB/(A_LUO+(A_LUO=0)*$B18)+(A_MBLG&gt;A_VERB/(A_LUO+(A_LUO=0)*$B18))*(A_MBLG-A_VERB/(A_LUO+(A_LUO=0)*$B18)))/A_MPG_E,0))*(A_ISTN-ROUNDUP((A_VERB/(A_LUO+(A_LUO=0)*$B18)+(A_MBLG&gt;A_VERB/(A_LUO+(A_LUO=0)*$B18))*(A_MBLG-A_VERB/(A_LUO+(A_LUO=0)*$B18)))/A_MPG_E,0))))&gt;0)*A_LA*(1+(A_IST&gt;0)*((A_FINF*A_FINN+(1-A_FINF)*(ROUNDUP((A_VERB/(A_LUO+(A_LUO=0)*$B18)+(A_MBLG&gt;A_VERB/(A_LUO+(A_LUO=0)*$B18))*(A_MBLG-A_VERB/(A_LUO+(A_LUO=0)*$B18)))/A_MPG_E,0)+(A_ISTN&gt;ROUNDUP((A_VERB/(A_LUO+(A_LUO=0)*$B18)+(A_MBLG&gt;A_VERB/(A_LUO+(A_LUO=0)*$B18))*(A_MBLG-A_VERB/(A_LUO+(A_LUO=0)*$B18)))/A_MPG_E,0))*(A_ISTN-ROUNDUP((A_VERB/(A_LUO+(A_LUO=0)*$B18)+(A_MBLG&gt;A_VERB/(A_LUO+(A_LUO=0)*$B18))*(A_MBLG-A_VERB/(A_LUO+(A_LUO=0)*$B18)))/A_MPG_E,0))))&gt;A_IST)*((A_FINF*A_FINN+(1-A_FINF)*(ROUNDUP((A_VERB/(A_LUO+(A_LUO=0)*$B18)+(A_MBLG&gt;A_VERB/(A_LUO+(A_LUO=0)*$B18))*(A_MBLG-A_VERB/(A_LUO+(A_LUO=0)*$B18)))/A_MPG_E,0)+(A_ISTN&gt;ROUNDUP((A_VERB/(A_LUO+(A_LUO=0)*$B18)+(A_MBLG&gt;A_VERB/(A_LUO+(A_LUO=0)*$B18))*(A_MBLG-A_VERB/(A_LUO+(A_LUO=0)*$B18)))/A_MPG_E,0))*(A_ISTN-ROUNDUP((A_VERB/(A_LUO+(A_LUO=0)*$B18)+(A_MBLG&gt;A_VERB/(A_LUO+(A_LUO=0)*$B18))*(A_MBLG-A_VERB/(A_LUO+(A_LUO=0)*$B18)))/A_MPG_E,0))))/(A_IST+(A_IST=0))-1)))/MAX(0.1,N(Parameter!$M$21))))</f>
        <v>95.0075757575758</v>
      </c>
      <c r="O18" s="11" t="n">
        <f aca="false">SUMPRODUCT((A_LIFT=3)*((A_FACH&gt;0)*A_FACH*(1+(A_KAPR&gt;0)*((A_FINF*A_FINV+(1-A_FINF)*(ROUNDUP((A_VERB/(A_LUO+(A_LUO=0)*$B18)+(A_MBLG&gt;A_VERB/(A_LUO+(A_LUO=0)*$B18))*(A_MBLG-A_VERB/(A_LUO+(A_LUO=0)*$B18)))/A_MPG_E,0)*A_MPG_E+(A_IST&gt;ROUNDUP((A_VERB/(A_LUO+(A_LUO=0)*$B18)+(A_MBLG&gt;A_VERB/(A_LUO+(A_LUO=0)*$B18))*(A_MBLG-A_VERB/(A_LUO+(A_LUO=0)*$B18)))/A_MPG_E,0)*A_MPG_E)*(A_IST-ROUNDUP((A_VERB/(A_LUO+(A_LUO=0)*$B18)+(A_MBLG&gt;A_VERB/(A_LUO+(A_LUO=0)*$B18))*(A_MBLG-A_VERB/(A_LUO+(A_LUO=0)*$B18)))/A_MPG_E,0)*A_MPG_E)))&gt;A_KAPR)*((A_FINF*A_FINV+(1-A_FINF)*(ROUNDUP((A_VERB/(A_LUO+(A_LUO=0)*$B18)+(A_MBLG&gt;A_VERB/(A_LUO+(A_LUO=0)*$B18))*(A_MBLG-A_VERB/(A_LUO+(A_LUO=0)*$B18)))/A_MPG_E,0)*A_MPG_E+(A_IST&gt;ROUNDUP((A_VERB/(A_LUO+(A_LUO=0)*$B18)+(A_MBLG&gt;A_VERB/(A_LUO+(A_LUO=0)*$B18))*(A_MBLG-A_VERB/(A_LUO+(A_LUO=0)*$B18)))/A_MPG_E,0)*A_MPG_E)*(A_IST-ROUNDUP((A_VERB/(A_LUO+(A_LUO=0)*$B18)+(A_MBLG&gt;A_VERB/(A_LUO+(A_LUO=0)*$B18))*(A_MBLG-A_VERB/(A_LUO+(A_LUO=0)*$B18)))/A_MPG_E,0)*A_MPG_E)))/(A_KAPR+(A_KAPR=0))-1))+(A_FACH=0)*((1-A_LOSE)*(A_GPT&gt;0)*(A_FINF*A_FINN+(1-A_FINF)*(ROUNDUP((A_VERB/(A_LUO+(A_LUO=0)*$B18)+(A_MBLG&gt;A_VERB/(A_LUO+(A_LUO=0)*$B18))*(A_MBLG-A_VERB/(A_LUO+(A_LUO=0)*$B18)))/A_MPG_E,0)+(A_ISTN&gt;ROUNDUP((A_VERB/(A_LUO+(A_LUO=0)*$B18)+(A_MBLG&gt;A_VERB/(A_LUO+(A_LUO=0)*$B18))*(A_MBLG-A_VERB/(A_LUO+(A_LUO=0)*$B18)))/A_MPG_E,0))*(A_ISTN-ROUNDUP((A_VERB/(A_LUO+(A_LUO=0)*$B18)+(A_MBLG&gt;A_VERB/(A_LUO+(A_LUO=0)*$B18))*(A_MBLG-A_VERB/(A_LUO+(A_LUO=0)*$B18)))/A_MPG_E,0))))/(A_GPT+(A_GPT=0))+A_LOSE*((A_FINF*A_FINN+(1-A_FINF)*(ROUNDUP((A_VERB/(A_LUO+(A_LUO=0)*$B18)+(A_MBLG&gt;A_VERB/(A_LUO+(A_LUO=0)*$B18))*(A_MBLG-A_VERB/(A_LUO+(A_LUO=0)*$B18)))/A_MPG_E,0)+(A_ISTN&gt;ROUNDUP((A_VERB/(A_LUO+(A_LUO=0)*$B18)+(A_MBLG&gt;A_VERB/(A_LUO+(A_LUO=0)*$B18))*(A_MBLG-A_VERB/(A_LUO+(A_LUO=0)*$B18)))/A_MPG_E,0))*(A_ISTN-ROUNDUP((A_VERB/(A_LUO+(A_LUO=0)*$B18)+(A_MBLG&gt;A_VERB/(A_LUO+(A_LUO=0)*$B18))*(A_MBLG-A_VERB/(A_LUO+(A_LUO=0)*$B18)))/A_MPG_E,0))))&gt;0)*A_LA*(1+(A_IST&gt;0)*((A_FINF*A_FINN+(1-A_FINF)*(ROUNDUP((A_VERB/(A_LUO+(A_LUO=0)*$B18)+(A_MBLG&gt;A_VERB/(A_LUO+(A_LUO=0)*$B18))*(A_MBLG-A_VERB/(A_LUO+(A_LUO=0)*$B18)))/A_MPG_E,0)+(A_ISTN&gt;ROUNDUP((A_VERB/(A_LUO+(A_LUO=0)*$B18)+(A_MBLG&gt;A_VERB/(A_LUO+(A_LUO=0)*$B18))*(A_MBLG-A_VERB/(A_LUO+(A_LUO=0)*$B18)))/A_MPG_E,0))*(A_ISTN-ROUNDUP((A_VERB/(A_LUO+(A_LUO=0)*$B18)+(A_MBLG&gt;A_VERB/(A_LUO+(A_LUO=0)*$B18))*(A_MBLG-A_VERB/(A_LUO+(A_LUO=0)*$B18)))/A_MPG_E,0))))&gt;A_IST)*((A_FINF*A_FINN+(1-A_FINF)*(ROUNDUP((A_VERB/(A_LUO+(A_LUO=0)*$B18)+(A_MBLG&gt;A_VERB/(A_LUO+(A_LUO=0)*$B18))*(A_MBLG-A_VERB/(A_LUO+(A_LUO=0)*$B18)))/A_MPG_E,0)+(A_ISTN&gt;ROUNDUP((A_VERB/(A_LUO+(A_LUO=0)*$B18)+(A_MBLG&gt;A_VERB/(A_LUO+(A_LUO=0)*$B18))*(A_MBLG-A_VERB/(A_LUO+(A_LUO=0)*$B18)))/A_MPG_E,0))*(A_ISTN-ROUNDUP((A_VERB/(A_LUO+(A_LUO=0)*$B18)+(A_MBLG&gt;A_VERB/(A_LUO+(A_LUO=0)*$B18))*(A_MBLG-A_VERB/(A_LUO+(A_LUO=0)*$B18)))/A_MPG_E,0))))/(A_IST+(A_IST=0))-1)))/MAX(0.1,N(Parameter!$M$21))))</f>
        <v>38.0694064389717</v>
      </c>
      <c r="P18" s="11" t="n">
        <f aca="false">SUMPRODUCT((A_LIFT="Aussen")*((A_FACH&gt;0)*A_FACH*(1+(A_KAPR&gt;0)*((A_FINF*A_FINV+(1-A_FINF)*(ROUNDUP((A_VERB/(A_LUO+(A_LUO=0)*$B18)+(A_MBLG&gt;A_VERB/(A_LUO+(A_LUO=0)*$B18))*(A_MBLG-A_VERB/(A_LUO+(A_LUO=0)*$B18)))/A_MPG_E,0)*A_MPG_E+(A_IST&gt;ROUNDUP((A_VERB/(A_LUO+(A_LUO=0)*$B18)+(A_MBLG&gt;A_VERB/(A_LUO+(A_LUO=0)*$B18))*(A_MBLG-A_VERB/(A_LUO+(A_LUO=0)*$B18)))/A_MPG_E,0)*A_MPG_E)*(A_IST-ROUNDUP((A_VERB/(A_LUO+(A_LUO=0)*$B18)+(A_MBLG&gt;A_VERB/(A_LUO+(A_LUO=0)*$B18))*(A_MBLG-A_VERB/(A_LUO+(A_LUO=0)*$B18)))/A_MPG_E,0)*A_MPG_E)))&gt;A_KAPR)*((A_FINF*A_FINV+(1-A_FINF)*(ROUNDUP((A_VERB/(A_LUO+(A_LUO=0)*$B18)+(A_MBLG&gt;A_VERB/(A_LUO+(A_LUO=0)*$B18))*(A_MBLG-A_VERB/(A_LUO+(A_LUO=0)*$B18)))/A_MPG_E,0)*A_MPG_E+(A_IST&gt;ROUNDUP((A_VERB/(A_LUO+(A_LUO=0)*$B18)+(A_MBLG&gt;A_VERB/(A_LUO+(A_LUO=0)*$B18))*(A_MBLG-A_VERB/(A_LUO+(A_LUO=0)*$B18)))/A_MPG_E,0)*A_MPG_E)*(A_IST-ROUNDUP((A_VERB/(A_LUO+(A_LUO=0)*$B18)+(A_MBLG&gt;A_VERB/(A_LUO+(A_LUO=0)*$B18))*(A_MBLG-A_VERB/(A_LUO+(A_LUO=0)*$B18)))/A_MPG_E,0)*A_MPG_E)))/(A_KAPR+(A_KAPR=0))-1))+(A_FACH=0)*((1-A_LOSE)*(A_GPT&gt;0)*(A_FINF*A_FINN+(1-A_FINF)*(ROUNDUP((A_VERB/(A_LUO+(A_LUO=0)*$B18)+(A_MBLG&gt;A_VERB/(A_LUO+(A_LUO=0)*$B18))*(A_MBLG-A_VERB/(A_LUO+(A_LUO=0)*$B18)))/A_MPG_E,0)+(A_ISTN&gt;ROUNDUP((A_VERB/(A_LUO+(A_LUO=0)*$B18)+(A_MBLG&gt;A_VERB/(A_LUO+(A_LUO=0)*$B18))*(A_MBLG-A_VERB/(A_LUO+(A_LUO=0)*$B18)))/A_MPG_E,0))*(A_ISTN-ROUNDUP((A_VERB/(A_LUO+(A_LUO=0)*$B18)+(A_MBLG&gt;A_VERB/(A_LUO+(A_LUO=0)*$B18))*(A_MBLG-A_VERB/(A_LUO+(A_LUO=0)*$B18)))/A_MPG_E,0))))/(A_GPT+(A_GPT=0))+A_LOSE*((A_FINF*A_FINN+(1-A_FINF)*(ROUNDUP((A_VERB/(A_LUO+(A_LUO=0)*$B18)+(A_MBLG&gt;A_VERB/(A_LUO+(A_LUO=0)*$B18))*(A_MBLG-A_VERB/(A_LUO+(A_LUO=0)*$B18)))/A_MPG_E,0)+(A_ISTN&gt;ROUNDUP((A_VERB/(A_LUO+(A_LUO=0)*$B18)+(A_MBLG&gt;A_VERB/(A_LUO+(A_LUO=0)*$B18))*(A_MBLG-A_VERB/(A_LUO+(A_LUO=0)*$B18)))/A_MPG_E,0))*(A_ISTN-ROUNDUP((A_VERB/(A_LUO+(A_LUO=0)*$B18)+(A_MBLG&gt;A_VERB/(A_LUO+(A_LUO=0)*$B18))*(A_MBLG-A_VERB/(A_LUO+(A_LUO=0)*$B18)))/A_MPG_E,0))))&gt;0)*A_LA*(1+(A_IST&gt;0)*((A_FINF*A_FINN+(1-A_FINF)*(ROUNDUP((A_VERB/(A_LUO+(A_LUO=0)*$B18)+(A_MBLG&gt;A_VERB/(A_LUO+(A_LUO=0)*$B18))*(A_MBLG-A_VERB/(A_LUO+(A_LUO=0)*$B18)))/A_MPG_E,0)+(A_ISTN&gt;ROUNDUP((A_VERB/(A_LUO+(A_LUO=0)*$B18)+(A_MBLG&gt;A_VERB/(A_LUO+(A_LUO=0)*$B18))*(A_MBLG-A_VERB/(A_LUO+(A_LUO=0)*$B18)))/A_MPG_E,0))*(A_ISTN-ROUNDUP((A_VERB/(A_LUO+(A_LUO=0)*$B18)+(A_MBLG&gt;A_VERB/(A_LUO+(A_LUO=0)*$B18))*(A_MBLG-A_VERB/(A_LUO+(A_LUO=0)*$B18)))/A_MPG_E,0))))&gt;A_IST)*((A_FINF*A_FINN+(1-A_FINF)*(ROUNDUP((A_VERB/(A_LUO+(A_LUO=0)*$B18)+(A_MBLG&gt;A_VERB/(A_LUO+(A_LUO=0)*$B18))*(A_MBLG-A_VERB/(A_LUO+(A_LUO=0)*$B18)))/A_MPG_E,0)+(A_ISTN&gt;ROUNDUP((A_VERB/(A_LUO+(A_LUO=0)*$B18)+(A_MBLG&gt;A_VERB/(A_LUO+(A_LUO=0)*$B18))*(A_MBLG-A_VERB/(A_LUO+(A_LUO=0)*$B18)))/A_MPG_E,0))*(A_ISTN-ROUNDUP((A_VERB/(A_LUO+(A_LUO=0)*$B18)+(A_MBLG&gt;A_VERB/(A_LUO+(A_LUO=0)*$B18))*(A_MBLG-A_VERB/(A_LUO+(A_LUO=0)*$B18)))/A_MPG_E,0))))/(A_IST+(A_IST=0))-1)))/MAX(0.1,N(Parameter!$M$21))))</f>
        <v>0</v>
      </c>
    </row>
    <row r="19" customFormat="false" ht="15" hidden="false" customHeight="false" outlineLevel="0" collapsed="false">
      <c r="A19" s="10" t="s">
        <v>7</v>
      </c>
      <c r="B19" s="43" t="n">
        <f aca="false">Parameter!$A$28</f>
        <v>4</v>
      </c>
      <c r="C19" s="30" t="n">
        <f aca="false">M19/Parameter!$E$5</f>
        <v>1.25392227072035</v>
      </c>
      <c r="D19" s="30" t="n">
        <f aca="false">N19/Parameter!$E$6</f>
        <v>1.82848484848485</v>
      </c>
      <c r="E19" s="30" t="n">
        <f aca="false">O19/Parameter!$E$7</f>
        <v>0.751085098476403</v>
      </c>
      <c r="F19" s="14" t="n">
        <f aca="false">(N19+O19)/(Parameter!$E$6+Parameter!$E$7)</f>
        <v>1.28978497348063</v>
      </c>
      <c r="G19" s="14" t="n">
        <f aca="false">(M19+N19+O19)/Parameter!$E$8</f>
        <v>1.2778307392272</v>
      </c>
      <c r="H19" s="44" t="str">
        <f aca="false">IF(AND(M19&lt;=Parameter!$E$5,N19+O19&lt;=Parameter!$E$6+Parameter!$E$7),"JA","NEIN")</f>
        <v>NEIN</v>
      </c>
      <c r="I19" s="11" t="n">
        <f aca="false">MAX(0,M19-Parameter!$E$5)+MAX(0,N19+O19-Parameter!$E$6-Parameter!$E$7)+P19</f>
        <v>41.6746108840803</v>
      </c>
      <c r="J19" s="45" t="n">
        <f aca="false">SUMPRODUCT((A_FINF*A_FINV+(1-A_FINF)*(ROUNDUP((A_VERB/(A_LUO+(A_LUO=0)*$B19)+(A_MBLG&gt;A_VERB/(A_LUO+(A_LUO=0)*$B19))*(A_MBLG-A_VERB/(A_LUO+(A_LUO=0)*$B19)))/A_MPG_E,0)*A_MPG_E+(A_IST&gt;ROUNDUP((A_VERB/(A_LUO+(A_LUO=0)*$B19)+(A_MBLG&gt;A_VERB/(A_LUO+(A_LUO=0)*$B19))*(A_MBLG-A_VERB/(A_LUO+(A_LUO=0)*$B19)))/A_MPG_E,0)*A_MPG_E)*(A_IST-ROUNDUP((A_VERB/(A_LUO+(A_LUO=0)*$B19)+(A_MBLG&gt;A_VERB/(A_LUO+(A_LUO=0)*$B19))*(A_MBLG-A_VERB/(A_LUO+(A_LUO=0)*$B19)))/A_MPG_E,0)*A_MPG_E)))*A_PREIS)</f>
        <v>6562129.46584</v>
      </c>
      <c r="K19" s="46" t="n">
        <f aca="false">J19-$J$5</f>
        <v>3111083.25161</v>
      </c>
      <c r="L19" s="47" t="n">
        <f aca="false">(M19+N19+O19+P19)-($M$5+$N$5+$O$5+$P$5)</f>
        <v>40.760021849926</v>
      </c>
      <c r="M19" s="11" t="n">
        <f aca="false">SUMPRODUCT((A_LIFT=1)*((A_FACH&gt;0)*A_FACH*(1+(A_KAPR&gt;0)*((A_FINF*A_FINV+(1-A_FINF)*(ROUNDUP((A_VERB/(A_LUO+(A_LUO=0)*$B19)+(A_MBLG&gt;A_VERB/(A_LUO+(A_LUO=0)*$B19))*(A_MBLG-A_VERB/(A_LUO+(A_LUO=0)*$B19)))/A_MPG_E,0)*A_MPG_E+(A_IST&gt;ROUNDUP((A_VERB/(A_LUO+(A_LUO=0)*$B19)+(A_MBLG&gt;A_VERB/(A_LUO+(A_LUO=0)*$B19))*(A_MBLG-A_VERB/(A_LUO+(A_LUO=0)*$B19)))/A_MPG_E,0)*A_MPG_E)*(A_IST-ROUNDUP((A_VERB/(A_LUO+(A_LUO=0)*$B19)+(A_MBLG&gt;A_VERB/(A_LUO+(A_LUO=0)*$B19))*(A_MBLG-A_VERB/(A_LUO+(A_LUO=0)*$B19)))/A_MPG_E,0)*A_MPG_E)))&gt;A_KAPR)*((A_FINF*A_FINV+(1-A_FINF)*(ROUNDUP((A_VERB/(A_LUO+(A_LUO=0)*$B19)+(A_MBLG&gt;A_VERB/(A_LUO+(A_LUO=0)*$B19))*(A_MBLG-A_VERB/(A_LUO+(A_LUO=0)*$B19)))/A_MPG_E,0)*A_MPG_E+(A_IST&gt;ROUNDUP((A_VERB/(A_LUO+(A_LUO=0)*$B19)+(A_MBLG&gt;A_VERB/(A_LUO+(A_LUO=0)*$B19))*(A_MBLG-A_VERB/(A_LUO+(A_LUO=0)*$B19)))/A_MPG_E,0)*A_MPG_E)*(A_IST-ROUNDUP((A_VERB/(A_LUO+(A_LUO=0)*$B19)+(A_MBLG&gt;A_VERB/(A_LUO+(A_LUO=0)*$B19))*(A_MBLG-A_VERB/(A_LUO+(A_LUO=0)*$B19)))/A_MPG_E,0)*A_MPG_E)))/(A_KAPR+(A_KAPR=0))-1))+(A_FACH=0)*((1-A_LOSE)*(A_GPT&gt;0)*(A_FINF*A_FINN+(1-A_FINF)*(ROUNDUP((A_VERB/(A_LUO+(A_LUO=0)*$B19)+(A_MBLG&gt;A_VERB/(A_LUO+(A_LUO=0)*$B19))*(A_MBLG-A_VERB/(A_LUO+(A_LUO=0)*$B19)))/A_MPG_E,0)+(A_ISTN&gt;ROUNDUP((A_VERB/(A_LUO+(A_LUO=0)*$B19)+(A_MBLG&gt;A_VERB/(A_LUO+(A_LUO=0)*$B19))*(A_MBLG-A_VERB/(A_LUO+(A_LUO=0)*$B19)))/A_MPG_E,0))*(A_ISTN-ROUNDUP((A_VERB/(A_LUO+(A_LUO=0)*$B19)+(A_MBLG&gt;A_VERB/(A_LUO+(A_LUO=0)*$B19))*(A_MBLG-A_VERB/(A_LUO+(A_LUO=0)*$B19)))/A_MPG_E,0))))/(A_GPT+(A_GPT=0))+A_LOSE*((A_FINF*A_FINN+(1-A_FINF)*(ROUNDUP((A_VERB/(A_LUO+(A_LUO=0)*$B19)+(A_MBLG&gt;A_VERB/(A_LUO+(A_LUO=0)*$B19))*(A_MBLG-A_VERB/(A_LUO+(A_LUO=0)*$B19)))/A_MPG_E,0)+(A_ISTN&gt;ROUNDUP((A_VERB/(A_LUO+(A_LUO=0)*$B19)+(A_MBLG&gt;A_VERB/(A_LUO+(A_LUO=0)*$B19))*(A_MBLG-A_VERB/(A_LUO+(A_LUO=0)*$B19)))/A_MPG_E,0))*(A_ISTN-ROUNDUP((A_VERB/(A_LUO+(A_LUO=0)*$B19)+(A_MBLG&gt;A_VERB/(A_LUO+(A_LUO=0)*$B19))*(A_MBLG-A_VERB/(A_LUO+(A_LUO=0)*$B19)))/A_MPG_E,0))))&gt;0)*A_LA*(1+(A_IST&gt;0)*((A_FINF*A_FINN+(1-A_FINF)*(ROUNDUP((A_VERB/(A_LUO+(A_LUO=0)*$B19)+(A_MBLG&gt;A_VERB/(A_LUO+(A_LUO=0)*$B19))*(A_MBLG-A_VERB/(A_LUO+(A_LUO=0)*$B19)))/A_MPG_E,0)+(A_ISTN&gt;ROUNDUP((A_VERB/(A_LUO+(A_LUO=0)*$B19)+(A_MBLG&gt;A_VERB/(A_LUO+(A_LUO=0)*$B19))*(A_MBLG-A_VERB/(A_LUO+(A_LUO=0)*$B19)))/A_MPG_E,0))*(A_ISTN-ROUNDUP((A_VERB/(A_LUO+(A_LUO=0)*$B19)+(A_MBLG&gt;A_VERB/(A_LUO+(A_LUO=0)*$B19))*(A_MBLG-A_VERB/(A_LUO+(A_LUO=0)*$B19)))/A_MPG_E,0))))&gt;A_IST)*((A_FINF*A_FINN+(1-A_FINF)*(ROUNDUP((A_VERB/(A_LUO+(A_LUO=0)*$B19)+(A_MBLG&gt;A_VERB/(A_LUO+(A_LUO=0)*$B19))*(A_MBLG-A_VERB/(A_LUO+(A_LUO=0)*$B19)))/A_MPG_E,0)+(A_ISTN&gt;ROUNDUP((A_VERB/(A_LUO+(A_LUO=0)*$B19)+(A_MBLG&gt;A_VERB/(A_LUO+(A_LUO=0)*$B19))*(A_MBLG-A_VERB/(A_LUO+(A_LUO=0)*$B19)))/A_MPG_E,0))*(A_ISTN-ROUNDUP((A_VERB/(A_LUO+(A_LUO=0)*$B19)+(A_MBLG&gt;A_VERB/(A_LUO+(A_LUO=0)*$B19))*(A_MBLG-A_VERB/(A_LUO+(A_LUO=0)*$B19)))/A_MPG_E,0))))/(A_IST+(A_IST=0))-1)))/MAX(0.1,N(Parameter!$M$21))))</f>
        <v>62.6961135360177</v>
      </c>
      <c r="N19" s="11" t="n">
        <f aca="false">SUMPRODUCT((A_LIFT=2)*((A_FACH&gt;0)*A_FACH*(1+(A_KAPR&gt;0)*((A_FINF*A_FINV+(1-A_FINF)*(ROUNDUP((A_VERB/(A_LUO+(A_LUO=0)*$B19)+(A_MBLG&gt;A_VERB/(A_LUO+(A_LUO=0)*$B19))*(A_MBLG-A_VERB/(A_LUO+(A_LUO=0)*$B19)))/A_MPG_E,0)*A_MPG_E+(A_IST&gt;ROUNDUP((A_VERB/(A_LUO+(A_LUO=0)*$B19)+(A_MBLG&gt;A_VERB/(A_LUO+(A_LUO=0)*$B19))*(A_MBLG-A_VERB/(A_LUO+(A_LUO=0)*$B19)))/A_MPG_E,0)*A_MPG_E)*(A_IST-ROUNDUP((A_VERB/(A_LUO+(A_LUO=0)*$B19)+(A_MBLG&gt;A_VERB/(A_LUO+(A_LUO=0)*$B19))*(A_MBLG-A_VERB/(A_LUO+(A_LUO=0)*$B19)))/A_MPG_E,0)*A_MPG_E)))&gt;A_KAPR)*((A_FINF*A_FINV+(1-A_FINF)*(ROUNDUP((A_VERB/(A_LUO+(A_LUO=0)*$B19)+(A_MBLG&gt;A_VERB/(A_LUO+(A_LUO=0)*$B19))*(A_MBLG-A_VERB/(A_LUO+(A_LUO=0)*$B19)))/A_MPG_E,0)*A_MPG_E+(A_IST&gt;ROUNDUP((A_VERB/(A_LUO+(A_LUO=0)*$B19)+(A_MBLG&gt;A_VERB/(A_LUO+(A_LUO=0)*$B19))*(A_MBLG-A_VERB/(A_LUO+(A_LUO=0)*$B19)))/A_MPG_E,0)*A_MPG_E)*(A_IST-ROUNDUP((A_VERB/(A_LUO+(A_LUO=0)*$B19)+(A_MBLG&gt;A_VERB/(A_LUO+(A_LUO=0)*$B19))*(A_MBLG-A_VERB/(A_LUO+(A_LUO=0)*$B19)))/A_MPG_E,0)*A_MPG_E)))/(A_KAPR+(A_KAPR=0))-1))+(A_FACH=0)*((1-A_LOSE)*(A_GPT&gt;0)*(A_FINF*A_FINN+(1-A_FINF)*(ROUNDUP((A_VERB/(A_LUO+(A_LUO=0)*$B19)+(A_MBLG&gt;A_VERB/(A_LUO+(A_LUO=0)*$B19))*(A_MBLG-A_VERB/(A_LUO+(A_LUO=0)*$B19)))/A_MPG_E,0)+(A_ISTN&gt;ROUNDUP((A_VERB/(A_LUO+(A_LUO=0)*$B19)+(A_MBLG&gt;A_VERB/(A_LUO+(A_LUO=0)*$B19))*(A_MBLG-A_VERB/(A_LUO+(A_LUO=0)*$B19)))/A_MPG_E,0))*(A_ISTN-ROUNDUP((A_VERB/(A_LUO+(A_LUO=0)*$B19)+(A_MBLG&gt;A_VERB/(A_LUO+(A_LUO=0)*$B19))*(A_MBLG-A_VERB/(A_LUO+(A_LUO=0)*$B19)))/A_MPG_E,0))))/(A_GPT+(A_GPT=0))+A_LOSE*((A_FINF*A_FINN+(1-A_FINF)*(ROUNDUP((A_VERB/(A_LUO+(A_LUO=0)*$B19)+(A_MBLG&gt;A_VERB/(A_LUO+(A_LUO=0)*$B19))*(A_MBLG-A_VERB/(A_LUO+(A_LUO=0)*$B19)))/A_MPG_E,0)+(A_ISTN&gt;ROUNDUP((A_VERB/(A_LUO+(A_LUO=0)*$B19)+(A_MBLG&gt;A_VERB/(A_LUO+(A_LUO=0)*$B19))*(A_MBLG-A_VERB/(A_LUO+(A_LUO=0)*$B19)))/A_MPG_E,0))*(A_ISTN-ROUNDUP((A_VERB/(A_LUO+(A_LUO=0)*$B19)+(A_MBLG&gt;A_VERB/(A_LUO+(A_LUO=0)*$B19))*(A_MBLG-A_VERB/(A_LUO+(A_LUO=0)*$B19)))/A_MPG_E,0))))&gt;0)*A_LA*(1+(A_IST&gt;0)*((A_FINF*A_FINN+(1-A_FINF)*(ROUNDUP((A_VERB/(A_LUO+(A_LUO=0)*$B19)+(A_MBLG&gt;A_VERB/(A_LUO+(A_LUO=0)*$B19))*(A_MBLG-A_VERB/(A_LUO+(A_LUO=0)*$B19)))/A_MPG_E,0)+(A_ISTN&gt;ROUNDUP((A_VERB/(A_LUO+(A_LUO=0)*$B19)+(A_MBLG&gt;A_VERB/(A_LUO+(A_LUO=0)*$B19))*(A_MBLG-A_VERB/(A_LUO+(A_LUO=0)*$B19)))/A_MPG_E,0))*(A_ISTN-ROUNDUP((A_VERB/(A_LUO+(A_LUO=0)*$B19)+(A_MBLG&gt;A_VERB/(A_LUO+(A_LUO=0)*$B19))*(A_MBLG-A_VERB/(A_LUO+(A_LUO=0)*$B19)))/A_MPG_E,0))))&gt;A_IST)*((A_FINF*A_FINN+(1-A_FINF)*(ROUNDUP((A_VERB/(A_LUO+(A_LUO=0)*$B19)+(A_MBLG&gt;A_VERB/(A_LUO+(A_LUO=0)*$B19))*(A_MBLG-A_VERB/(A_LUO+(A_LUO=0)*$B19)))/A_MPG_E,0)+(A_ISTN&gt;ROUNDUP((A_VERB/(A_LUO+(A_LUO=0)*$B19)+(A_MBLG&gt;A_VERB/(A_LUO+(A_LUO=0)*$B19))*(A_MBLG-A_VERB/(A_LUO+(A_LUO=0)*$B19)))/A_MPG_E,0))*(A_ISTN-ROUNDUP((A_VERB/(A_LUO+(A_LUO=0)*$B19)+(A_MBLG&gt;A_VERB/(A_LUO+(A_LUO=0)*$B19))*(A_MBLG-A_VERB/(A_LUO+(A_LUO=0)*$B19)))/A_MPG_E,0))))/(A_IST+(A_IST=0))-1)))/MAX(0.1,N(Parameter!$M$21))))</f>
        <v>91.4242424242424</v>
      </c>
      <c r="O19" s="11" t="n">
        <f aca="false">SUMPRODUCT((A_LIFT=3)*((A_FACH&gt;0)*A_FACH*(1+(A_KAPR&gt;0)*((A_FINF*A_FINV+(1-A_FINF)*(ROUNDUP((A_VERB/(A_LUO+(A_LUO=0)*$B19)+(A_MBLG&gt;A_VERB/(A_LUO+(A_LUO=0)*$B19))*(A_MBLG-A_VERB/(A_LUO+(A_LUO=0)*$B19)))/A_MPG_E,0)*A_MPG_E+(A_IST&gt;ROUNDUP((A_VERB/(A_LUO+(A_LUO=0)*$B19)+(A_MBLG&gt;A_VERB/(A_LUO+(A_LUO=0)*$B19))*(A_MBLG-A_VERB/(A_LUO+(A_LUO=0)*$B19)))/A_MPG_E,0)*A_MPG_E)*(A_IST-ROUNDUP((A_VERB/(A_LUO+(A_LUO=0)*$B19)+(A_MBLG&gt;A_VERB/(A_LUO+(A_LUO=0)*$B19))*(A_MBLG-A_VERB/(A_LUO+(A_LUO=0)*$B19)))/A_MPG_E,0)*A_MPG_E)))&gt;A_KAPR)*((A_FINF*A_FINV+(1-A_FINF)*(ROUNDUP((A_VERB/(A_LUO+(A_LUO=0)*$B19)+(A_MBLG&gt;A_VERB/(A_LUO+(A_LUO=0)*$B19))*(A_MBLG-A_VERB/(A_LUO+(A_LUO=0)*$B19)))/A_MPG_E,0)*A_MPG_E+(A_IST&gt;ROUNDUP((A_VERB/(A_LUO+(A_LUO=0)*$B19)+(A_MBLG&gt;A_VERB/(A_LUO+(A_LUO=0)*$B19))*(A_MBLG-A_VERB/(A_LUO+(A_LUO=0)*$B19)))/A_MPG_E,0)*A_MPG_E)*(A_IST-ROUNDUP((A_VERB/(A_LUO+(A_LUO=0)*$B19)+(A_MBLG&gt;A_VERB/(A_LUO+(A_LUO=0)*$B19))*(A_MBLG-A_VERB/(A_LUO+(A_LUO=0)*$B19)))/A_MPG_E,0)*A_MPG_E)))/(A_KAPR+(A_KAPR=0))-1))+(A_FACH=0)*((1-A_LOSE)*(A_GPT&gt;0)*(A_FINF*A_FINN+(1-A_FINF)*(ROUNDUP((A_VERB/(A_LUO+(A_LUO=0)*$B19)+(A_MBLG&gt;A_VERB/(A_LUO+(A_LUO=0)*$B19))*(A_MBLG-A_VERB/(A_LUO+(A_LUO=0)*$B19)))/A_MPG_E,0)+(A_ISTN&gt;ROUNDUP((A_VERB/(A_LUO+(A_LUO=0)*$B19)+(A_MBLG&gt;A_VERB/(A_LUO+(A_LUO=0)*$B19))*(A_MBLG-A_VERB/(A_LUO+(A_LUO=0)*$B19)))/A_MPG_E,0))*(A_ISTN-ROUNDUP((A_VERB/(A_LUO+(A_LUO=0)*$B19)+(A_MBLG&gt;A_VERB/(A_LUO+(A_LUO=0)*$B19))*(A_MBLG-A_VERB/(A_LUO+(A_LUO=0)*$B19)))/A_MPG_E,0))))/(A_GPT+(A_GPT=0))+A_LOSE*((A_FINF*A_FINN+(1-A_FINF)*(ROUNDUP((A_VERB/(A_LUO+(A_LUO=0)*$B19)+(A_MBLG&gt;A_VERB/(A_LUO+(A_LUO=0)*$B19))*(A_MBLG-A_VERB/(A_LUO+(A_LUO=0)*$B19)))/A_MPG_E,0)+(A_ISTN&gt;ROUNDUP((A_VERB/(A_LUO+(A_LUO=0)*$B19)+(A_MBLG&gt;A_VERB/(A_LUO+(A_LUO=0)*$B19))*(A_MBLG-A_VERB/(A_LUO+(A_LUO=0)*$B19)))/A_MPG_E,0))*(A_ISTN-ROUNDUP((A_VERB/(A_LUO+(A_LUO=0)*$B19)+(A_MBLG&gt;A_VERB/(A_LUO+(A_LUO=0)*$B19))*(A_MBLG-A_VERB/(A_LUO+(A_LUO=0)*$B19)))/A_MPG_E,0))))&gt;0)*A_LA*(1+(A_IST&gt;0)*((A_FINF*A_FINN+(1-A_FINF)*(ROUNDUP((A_VERB/(A_LUO+(A_LUO=0)*$B19)+(A_MBLG&gt;A_VERB/(A_LUO+(A_LUO=0)*$B19))*(A_MBLG-A_VERB/(A_LUO+(A_LUO=0)*$B19)))/A_MPG_E,0)+(A_ISTN&gt;ROUNDUP((A_VERB/(A_LUO+(A_LUO=0)*$B19)+(A_MBLG&gt;A_VERB/(A_LUO+(A_LUO=0)*$B19))*(A_MBLG-A_VERB/(A_LUO+(A_LUO=0)*$B19)))/A_MPG_E,0))*(A_ISTN-ROUNDUP((A_VERB/(A_LUO+(A_LUO=0)*$B19)+(A_MBLG&gt;A_VERB/(A_LUO+(A_LUO=0)*$B19))*(A_MBLG-A_VERB/(A_LUO+(A_LUO=0)*$B19)))/A_MPG_E,0))))&gt;A_IST)*((A_FINF*A_FINN+(1-A_FINF)*(ROUNDUP((A_VERB/(A_LUO+(A_LUO=0)*$B19)+(A_MBLG&gt;A_VERB/(A_LUO+(A_LUO=0)*$B19))*(A_MBLG-A_VERB/(A_LUO+(A_LUO=0)*$B19)))/A_MPG_E,0)+(A_ISTN&gt;ROUNDUP((A_VERB/(A_LUO+(A_LUO=0)*$B19)+(A_MBLG&gt;A_VERB/(A_LUO+(A_LUO=0)*$B19))*(A_MBLG-A_VERB/(A_LUO+(A_LUO=0)*$B19)))/A_MPG_E,0))*(A_ISTN-ROUNDUP((A_VERB/(A_LUO+(A_LUO=0)*$B19)+(A_MBLG&gt;A_VERB/(A_LUO+(A_LUO=0)*$B19))*(A_MBLG-A_VERB/(A_LUO+(A_LUO=0)*$B19)))/A_MPG_E,0))))/(A_IST+(A_IST=0))-1)))/MAX(0.1,N(Parameter!$M$21))))</f>
        <v>37.5542549238201</v>
      </c>
      <c r="P19" s="11" t="n">
        <f aca="false">SUMPRODUCT((A_LIFT="Aussen")*((A_FACH&gt;0)*A_FACH*(1+(A_KAPR&gt;0)*((A_FINF*A_FINV+(1-A_FINF)*(ROUNDUP((A_VERB/(A_LUO+(A_LUO=0)*$B19)+(A_MBLG&gt;A_VERB/(A_LUO+(A_LUO=0)*$B19))*(A_MBLG-A_VERB/(A_LUO+(A_LUO=0)*$B19)))/A_MPG_E,0)*A_MPG_E+(A_IST&gt;ROUNDUP((A_VERB/(A_LUO+(A_LUO=0)*$B19)+(A_MBLG&gt;A_VERB/(A_LUO+(A_LUO=0)*$B19))*(A_MBLG-A_VERB/(A_LUO+(A_LUO=0)*$B19)))/A_MPG_E,0)*A_MPG_E)*(A_IST-ROUNDUP((A_VERB/(A_LUO+(A_LUO=0)*$B19)+(A_MBLG&gt;A_VERB/(A_LUO+(A_LUO=0)*$B19))*(A_MBLG-A_VERB/(A_LUO+(A_LUO=0)*$B19)))/A_MPG_E,0)*A_MPG_E)))&gt;A_KAPR)*((A_FINF*A_FINV+(1-A_FINF)*(ROUNDUP((A_VERB/(A_LUO+(A_LUO=0)*$B19)+(A_MBLG&gt;A_VERB/(A_LUO+(A_LUO=0)*$B19))*(A_MBLG-A_VERB/(A_LUO+(A_LUO=0)*$B19)))/A_MPG_E,0)*A_MPG_E+(A_IST&gt;ROUNDUP((A_VERB/(A_LUO+(A_LUO=0)*$B19)+(A_MBLG&gt;A_VERB/(A_LUO+(A_LUO=0)*$B19))*(A_MBLG-A_VERB/(A_LUO+(A_LUO=0)*$B19)))/A_MPG_E,0)*A_MPG_E)*(A_IST-ROUNDUP((A_VERB/(A_LUO+(A_LUO=0)*$B19)+(A_MBLG&gt;A_VERB/(A_LUO+(A_LUO=0)*$B19))*(A_MBLG-A_VERB/(A_LUO+(A_LUO=0)*$B19)))/A_MPG_E,0)*A_MPG_E)))/(A_KAPR+(A_KAPR=0))-1))+(A_FACH=0)*((1-A_LOSE)*(A_GPT&gt;0)*(A_FINF*A_FINN+(1-A_FINF)*(ROUNDUP((A_VERB/(A_LUO+(A_LUO=0)*$B19)+(A_MBLG&gt;A_VERB/(A_LUO+(A_LUO=0)*$B19))*(A_MBLG-A_VERB/(A_LUO+(A_LUO=0)*$B19)))/A_MPG_E,0)+(A_ISTN&gt;ROUNDUP((A_VERB/(A_LUO+(A_LUO=0)*$B19)+(A_MBLG&gt;A_VERB/(A_LUO+(A_LUO=0)*$B19))*(A_MBLG-A_VERB/(A_LUO+(A_LUO=0)*$B19)))/A_MPG_E,0))*(A_ISTN-ROUNDUP((A_VERB/(A_LUO+(A_LUO=0)*$B19)+(A_MBLG&gt;A_VERB/(A_LUO+(A_LUO=0)*$B19))*(A_MBLG-A_VERB/(A_LUO+(A_LUO=0)*$B19)))/A_MPG_E,0))))/(A_GPT+(A_GPT=0))+A_LOSE*((A_FINF*A_FINN+(1-A_FINF)*(ROUNDUP((A_VERB/(A_LUO+(A_LUO=0)*$B19)+(A_MBLG&gt;A_VERB/(A_LUO+(A_LUO=0)*$B19))*(A_MBLG-A_VERB/(A_LUO+(A_LUO=0)*$B19)))/A_MPG_E,0)+(A_ISTN&gt;ROUNDUP((A_VERB/(A_LUO+(A_LUO=0)*$B19)+(A_MBLG&gt;A_VERB/(A_LUO+(A_LUO=0)*$B19))*(A_MBLG-A_VERB/(A_LUO+(A_LUO=0)*$B19)))/A_MPG_E,0))*(A_ISTN-ROUNDUP((A_VERB/(A_LUO+(A_LUO=0)*$B19)+(A_MBLG&gt;A_VERB/(A_LUO+(A_LUO=0)*$B19))*(A_MBLG-A_VERB/(A_LUO+(A_LUO=0)*$B19)))/A_MPG_E,0))))&gt;0)*A_LA*(1+(A_IST&gt;0)*((A_FINF*A_FINN+(1-A_FINF)*(ROUNDUP((A_VERB/(A_LUO+(A_LUO=0)*$B19)+(A_MBLG&gt;A_VERB/(A_LUO+(A_LUO=0)*$B19))*(A_MBLG-A_VERB/(A_LUO+(A_LUO=0)*$B19)))/A_MPG_E,0)+(A_ISTN&gt;ROUNDUP((A_VERB/(A_LUO+(A_LUO=0)*$B19)+(A_MBLG&gt;A_VERB/(A_LUO+(A_LUO=0)*$B19))*(A_MBLG-A_VERB/(A_LUO+(A_LUO=0)*$B19)))/A_MPG_E,0))*(A_ISTN-ROUNDUP((A_VERB/(A_LUO+(A_LUO=0)*$B19)+(A_MBLG&gt;A_VERB/(A_LUO+(A_LUO=0)*$B19))*(A_MBLG-A_VERB/(A_LUO+(A_LUO=0)*$B19)))/A_MPG_E,0))))&gt;A_IST)*((A_FINF*A_FINN+(1-A_FINF)*(ROUNDUP((A_VERB/(A_LUO+(A_LUO=0)*$B19)+(A_MBLG&gt;A_VERB/(A_LUO+(A_LUO=0)*$B19))*(A_MBLG-A_VERB/(A_LUO+(A_LUO=0)*$B19)))/A_MPG_E,0)+(A_ISTN&gt;ROUNDUP((A_VERB/(A_LUO+(A_LUO=0)*$B19)+(A_MBLG&gt;A_VERB/(A_LUO+(A_LUO=0)*$B19))*(A_MBLG-A_VERB/(A_LUO+(A_LUO=0)*$B19)))/A_MPG_E,0))*(A_ISTN-ROUNDUP((A_VERB/(A_LUO+(A_LUO=0)*$B19)+(A_MBLG&gt;A_VERB/(A_LUO+(A_LUO=0)*$B19))*(A_MBLG-A_VERB/(A_LUO+(A_LUO=0)*$B19)))/A_MPG_E,0))))/(A_IST+(A_IST=0))-1)))/MAX(0.1,N(Parameter!$M$21))))</f>
        <v>0</v>
      </c>
    </row>
    <row r="20" customFormat="false" ht="15" hidden="false" customHeight="false" outlineLevel="0" collapsed="false">
      <c r="A20" s="10" t="s">
        <v>7</v>
      </c>
      <c r="B20" s="43" t="n">
        <f aca="false">Parameter!$A$29</f>
        <v>5</v>
      </c>
      <c r="C20" s="30" t="n">
        <f aca="false">M20/Parameter!$E$5</f>
        <v>1.23918592420435</v>
      </c>
      <c r="D20" s="30" t="n">
        <f aca="false">N20/Parameter!$E$6</f>
        <v>1.79015151515152</v>
      </c>
      <c r="E20" s="30" t="n">
        <f aca="false">O20/Parameter!$E$7</f>
        <v>0.747238944630249</v>
      </c>
      <c r="F20" s="14" t="n">
        <f aca="false">(N20+O20)/(Parameter!$E$6+Parameter!$E$7)</f>
        <v>1.26869522989088</v>
      </c>
      <c r="G20" s="14" t="n">
        <f aca="false">(M20+N20+O20)/Parameter!$E$8</f>
        <v>1.25885879466204</v>
      </c>
      <c r="H20" s="44" t="str">
        <f aca="false">IF(AND(M20&lt;=Parameter!$E$5,N20+O20&lt;=Parameter!$E$6+Parameter!$E$7),"JA","NEIN")</f>
        <v>NEIN</v>
      </c>
      <c r="I20" s="11" t="n">
        <f aca="false">MAX(0,M20-Parameter!$E$5)+MAX(0,N20+O20-Parameter!$E$6-Parameter!$E$7)+P20</f>
        <v>38.8288191993056</v>
      </c>
      <c r="J20" s="45" t="n">
        <f aca="false">SUMPRODUCT((A_FINF*A_FINV+(1-A_FINF)*(ROUNDUP((A_VERB/(A_LUO+(A_LUO=0)*$B20)+(A_MBLG&gt;A_VERB/(A_LUO+(A_LUO=0)*$B20))*(A_MBLG-A_VERB/(A_LUO+(A_LUO=0)*$B20)))/A_MPG_E,0)*A_MPG_E+(A_IST&gt;ROUNDUP((A_VERB/(A_LUO+(A_LUO=0)*$B20)+(A_MBLG&gt;A_VERB/(A_LUO+(A_LUO=0)*$B20))*(A_MBLG-A_VERB/(A_LUO+(A_LUO=0)*$B20)))/A_MPG_E,0)*A_MPG_E)*(A_IST-ROUNDUP((A_VERB/(A_LUO+(A_LUO=0)*$B20)+(A_MBLG&gt;A_VERB/(A_LUO+(A_LUO=0)*$B20))*(A_MBLG-A_VERB/(A_LUO+(A_LUO=0)*$B20)))/A_MPG_E,0)*A_MPG_E)))*A_PREIS)</f>
        <v>6326471.07584</v>
      </c>
      <c r="K20" s="46" t="n">
        <f aca="false">J20-$J$5</f>
        <v>2875424.86161</v>
      </c>
      <c r="L20" s="47" t="n">
        <f aca="false">(M20+N20+O20+P20)-($M$5+$N$5+$O$5+$P$5)</f>
        <v>37.9142301651513</v>
      </c>
      <c r="M20" s="11" t="n">
        <f aca="false">SUMPRODUCT((A_LIFT=1)*((A_FACH&gt;0)*A_FACH*(1+(A_KAPR&gt;0)*((A_FINF*A_FINV+(1-A_FINF)*(ROUNDUP((A_VERB/(A_LUO+(A_LUO=0)*$B20)+(A_MBLG&gt;A_VERB/(A_LUO+(A_LUO=0)*$B20))*(A_MBLG-A_VERB/(A_LUO+(A_LUO=0)*$B20)))/A_MPG_E,0)*A_MPG_E+(A_IST&gt;ROUNDUP((A_VERB/(A_LUO+(A_LUO=0)*$B20)+(A_MBLG&gt;A_VERB/(A_LUO+(A_LUO=0)*$B20))*(A_MBLG-A_VERB/(A_LUO+(A_LUO=0)*$B20)))/A_MPG_E,0)*A_MPG_E)*(A_IST-ROUNDUP((A_VERB/(A_LUO+(A_LUO=0)*$B20)+(A_MBLG&gt;A_VERB/(A_LUO+(A_LUO=0)*$B20))*(A_MBLG-A_VERB/(A_LUO+(A_LUO=0)*$B20)))/A_MPG_E,0)*A_MPG_E)))&gt;A_KAPR)*((A_FINF*A_FINV+(1-A_FINF)*(ROUNDUP((A_VERB/(A_LUO+(A_LUO=0)*$B20)+(A_MBLG&gt;A_VERB/(A_LUO+(A_LUO=0)*$B20))*(A_MBLG-A_VERB/(A_LUO+(A_LUO=0)*$B20)))/A_MPG_E,0)*A_MPG_E+(A_IST&gt;ROUNDUP((A_VERB/(A_LUO+(A_LUO=0)*$B20)+(A_MBLG&gt;A_VERB/(A_LUO+(A_LUO=0)*$B20))*(A_MBLG-A_VERB/(A_LUO+(A_LUO=0)*$B20)))/A_MPG_E,0)*A_MPG_E)*(A_IST-ROUNDUP((A_VERB/(A_LUO+(A_LUO=0)*$B20)+(A_MBLG&gt;A_VERB/(A_LUO+(A_LUO=0)*$B20))*(A_MBLG-A_VERB/(A_LUO+(A_LUO=0)*$B20)))/A_MPG_E,0)*A_MPG_E)))/(A_KAPR+(A_KAPR=0))-1))+(A_FACH=0)*((1-A_LOSE)*(A_GPT&gt;0)*(A_FINF*A_FINN+(1-A_FINF)*(ROUNDUP((A_VERB/(A_LUO+(A_LUO=0)*$B20)+(A_MBLG&gt;A_VERB/(A_LUO+(A_LUO=0)*$B20))*(A_MBLG-A_VERB/(A_LUO+(A_LUO=0)*$B20)))/A_MPG_E,0)+(A_ISTN&gt;ROUNDUP((A_VERB/(A_LUO+(A_LUO=0)*$B20)+(A_MBLG&gt;A_VERB/(A_LUO+(A_LUO=0)*$B20))*(A_MBLG-A_VERB/(A_LUO+(A_LUO=0)*$B20)))/A_MPG_E,0))*(A_ISTN-ROUNDUP((A_VERB/(A_LUO+(A_LUO=0)*$B20)+(A_MBLG&gt;A_VERB/(A_LUO+(A_LUO=0)*$B20))*(A_MBLG-A_VERB/(A_LUO+(A_LUO=0)*$B20)))/A_MPG_E,0))))/(A_GPT+(A_GPT=0))+A_LOSE*((A_FINF*A_FINN+(1-A_FINF)*(ROUNDUP((A_VERB/(A_LUO+(A_LUO=0)*$B20)+(A_MBLG&gt;A_VERB/(A_LUO+(A_LUO=0)*$B20))*(A_MBLG-A_VERB/(A_LUO+(A_LUO=0)*$B20)))/A_MPG_E,0)+(A_ISTN&gt;ROUNDUP((A_VERB/(A_LUO+(A_LUO=0)*$B20)+(A_MBLG&gt;A_VERB/(A_LUO+(A_LUO=0)*$B20))*(A_MBLG-A_VERB/(A_LUO+(A_LUO=0)*$B20)))/A_MPG_E,0))*(A_ISTN-ROUNDUP((A_VERB/(A_LUO+(A_LUO=0)*$B20)+(A_MBLG&gt;A_VERB/(A_LUO+(A_LUO=0)*$B20))*(A_MBLG-A_VERB/(A_LUO+(A_LUO=0)*$B20)))/A_MPG_E,0))))&gt;0)*A_LA*(1+(A_IST&gt;0)*((A_FINF*A_FINN+(1-A_FINF)*(ROUNDUP((A_VERB/(A_LUO+(A_LUO=0)*$B20)+(A_MBLG&gt;A_VERB/(A_LUO+(A_LUO=0)*$B20))*(A_MBLG-A_VERB/(A_LUO+(A_LUO=0)*$B20)))/A_MPG_E,0)+(A_ISTN&gt;ROUNDUP((A_VERB/(A_LUO+(A_LUO=0)*$B20)+(A_MBLG&gt;A_VERB/(A_LUO+(A_LUO=0)*$B20))*(A_MBLG-A_VERB/(A_LUO+(A_LUO=0)*$B20)))/A_MPG_E,0))*(A_ISTN-ROUNDUP((A_VERB/(A_LUO+(A_LUO=0)*$B20)+(A_MBLG&gt;A_VERB/(A_LUO+(A_LUO=0)*$B20))*(A_MBLG-A_VERB/(A_LUO+(A_LUO=0)*$B20)))/A_MPG_E,0))))&gt;A_IST)*((A_FINF*A_FINN+(1-A_FINF)*(ROUNDUP((A_VERB/(A_LUO+(A_LUO=0)*$B20)+(A_MBLG&gt;A_VERB/(A_LUO+(A_LUO=0)*$B20))*(A_MBLG-A_VERB/(A_LUO+(A_LUO=0)*$B20)))/A_MPG_E,0)+(A_ISTN&gt;ROUNDUP((A_VERB/(A_LUO+(A_LUO=0)*$B20)+(A_MBLG&gt;A_VERB/(A_LUO+(A_LUO=0)*$B20))*(A_MBLG-A_VERB/(A_LUO+(A_LUO=0)*$B20)))/A_MPG_E,0))*(A_ISTN-ROUNDUP((A_VERB/(A_LUO+(A_LUO=0)*$B20)+(A_MBLG&gt;A_VERB/(A_LUO+(A_LUO=0)*$B20))*(A_MBLG-A_VERB/(A_LUO+(A_LUO=0)*$B20)))/A_MPG_E,0))))/(A_IST+(A_IST=0))-1)))/MAX(0.1,N(Parameter!$M$21))))</f>
        <v>61.9592962102174</v>
      </c>
      <c r="N20" s="11" t="n">
        <f aca="false">SUMPRODUCT((A_LIFT=2)*((A_FACH&gt;0)*A_FACH*(1+(A_KAPR&gt;0)*((A_FINF*A_FINV+(1-A_FINF)*(ROUNDUP((A_VERB/(A_LUO+(A_LUO=0)*$B20)+(A_MBLG&gt;A_VERB/(A_LUO+(A_LUO=0)*$B20))*(A_MBLG-A_VERB/(A_LUO+(A_LUO=0)*$B20)))/A_MPG_E,0)*A_MPG_E+(A_IST&gt;ROUNDUP((A_VERB/(A_LUO+(A_LUO=0)*$B20)+(A_MBLG&gt;A_VERB/(A_LUO+(A_LUO=0)*$B20))*(A_MBLG-A_VERB/(A_LUO+(A_LUO=0)*$B20)))/A_MPG_E,0)*A_MPG_E)*(A_IST-ROUNDUP((A_VERB/(A_LUO+(A_LUO=0)*$B20)+(A_MBLG&gt;A_VERB/(A_LUO+(A_LUO=0)*$B20))*(A_MBLG-A_VERB/(A_LUO+(A_LUO=0)*$B20)))/A_MPG_E,0)*A_MPG_E)))&gt;A_KAPR)*((A_FINF*A_FINV+(1-A_FINF)*(ROUNDUP((A_VERB/(A_LUO+(A_LUO=0)*$B20)+(A_MBLG&gt;A_VERB/(A_LUO+(A_LUO=0)*$B20))*(A_MBLG-A_VERB/(A_LUO+(A_LUO=0)*$B20)))/A_MPG_E,0)*A_MPG_E+(A_IST&gt;ROUNDUP((A_VERB/(A_LUO+(A_LUO=0)*$B20)+(A_MBLG&gt;A_VERB/(A_LUO+(A_LUO=0)*$B20))*(A_MBLG-A_VERB/(A_LUO+(A_LUO=0)*$B20)))/A_MPG_E,0)*A_MPG_E)*(A_IST-ROUNDUP((A_VERB/(A_LUO+(A_LUO=0)*$B20)+(A_MBLG&gt;A_VERB/(A_LUO+(A_LUO=0)*$B20))*(A_MBLG-A_VERB/(A_LUO+(A_LUO=0)*$B20)))/A_MPG_E,0)*A_MPG_E)))/(A_KAPR+(A_KAPR=0))-1))+(A_FACH=0)*((1-A_LOSE)*(A_GPT&gt;0)*(A_FINF*A_FINN+(1-A_FINF)*(ROUNDUP((A_VERB/(A_LUO+(A_LUO=0)*$B20)+(A_MBLG&gt;A_VERB/(A_LUO+(A_LUO=0)*$B20))*(A_MBLG-A_VERB/(A_LUO+(A_LUO=0)*$B20)))/A_MPG_E,0)+(A_ISTN&gt;ROUNDUP((A_VERB/(A_LUO+(A_LUO=0)*$B20)+(A_MBLG&gt;A_VERB/(A_LUO+(A_LUO=0)*$B20))*(A_MBLG-A_VERB/(A_LUO+(A_LUO=0)*$B20)))/A_MPG_E,0))*(A_ISTN-ROUNDUP((A_VERB/(A_LUO+(A_LUO=0)*$B20)+(A_MBLG&gt;A_VERB/(A_LUO+(A_LUO=0)*$B20))*(A_MBLG-A_VERB/(A_LUO+(A_LUO=0)*$B20)))/A_MPG_E,0))))/(A_GPT+(A_GPT=0))+A_LOSE*((A_FINF*A_FINN+(1-A_FINF)*(ROUNDUP((A_VERB/(A_LUO+(A_LUO=0)*$B20)+(A_MBLG&gt;A_VERB/(A_LUO+(A_LUO=0)*$B20))*(A_MBLG-A_VERB/(A_LUO+(A_LUO=0)*$B20)))/A_MPG_E,0)+(A_ISTN&gt;ROUNDUP((A_VERB/(A_LUO+(A_LUO=0)*$B20)+(A_MBLG&gt;A_VERB/(A_LUO+(A_LUO=0)*$B20))*(A_MBLG-A_VERB/(A_LUO+(A_LUO=0)*$B20)))/A_MPG_E,0))*(A_ISTN-ROUNDUP((A_VERB/(A_LUO+(A_LUO=0)*$B20)+(A_MBLG&gt;A_VERB/(A_LUO+(A_LUO=0)*$B20))*(A_MBLG-A_VERB/(A_LUO+(A_LUO=0)*$B20)))/A_MPG_E,0))))&gt;0)*A_LA*(1+(A_IST&gt;0)*((A_FINF*A_FINN+(1-A_FINF)*(ROUNDUP((A_VERB/(A_LUO+(A_LUO=0)*$B20)+(A_MBLG&gt;A_VERB/(A_LUO+(A_LUO=0)*$B20))*(A_MBLG-A_VERB/(A_LUO+(A_LUO=0)*$B20)))/A_MPG_E,0)+(A_ISTN&gt;ROUNDUP((A_VERB/(A_LUO+(A_LUO=0)*$B20)+(A_MBLG&gt;A_VERB/(A_LUO+(A_LUO=0)*$B20))*(A_MBLG-A_VERB/(A_LUO+(A_LUO=0)*$B20)))/A_MPG_E,0))*(A_ISTN-ROUNDUP((A_VERB/(A_LUO+(A_LUO=0)*$B20)+(A_MBLG&gt;A_VERB/(A_LUO+(A_LUO=0)*$B20))*(A_MBLG-A_VERB/(A_LUO+(A_LUO=0)*$B20)))/A_MPG_E,0))))&gt;A_IST)*((A_FINF*A_FINN+(1-A_FINF)*(ROUNDUP((A_VERB/(A_LUO+(A_LUO=0)*$B20)+(A_MBLG&gt;A_VERB/(A_LUO+(A_LUO=0)*$B20))*(A_MBLG-A_VERB/(A_LUO+(A_LUO=0)*$B20)))/A_MPG_E,0)+(A_ISTN&gt;ROUNDUP((A_VERB/(A_LUO+(A_LUO=0)*$B20)+(A_MBLG&gt;A_VERB/(A_LUO+(A_LUO=0)*$B20))*(A_MBLG-A_VERB/(A_LUO+(A_LUO=0)*$B20)))/A_MPG_E,0))*(A_ISTN-ROUNDUP((A_VERB/(A_LUO+(A_LUO=0)*$B20)+(A_MBLG&gt;A_VERB/(A_LUO+(A_LUO=0)*$B20))*(A_MBLG-A_VERB/(A_LUO+(A_LUO=0)*$B20)))/A_MPG_E,0))))/(A_IST+(A_IST=0))-1)))/MAX(0.1,N(Parameter!$M$21))))</f>
        <v>89.5075757575758</v>
      </c>
      <c r="O20" s="11" t="n">
        <f aca="false">SUMPRODUCT((A_LIFT=3)*((A_FACH&gt;0)*A_FACH*(1+(A_KAPR&gt;0)*((A_FINF*A_FINV+(1-A_FINF)*(ROUNDUP((A_VERB/(A_LUO+(A_LUO=0)*$B20)+(A_MBLG&gt;A_VERB/(A_LUO+(A_LUO=0)*$B20))*(A_MBLG-A_VERB/(A_LUO+(A_LUO=0)*$B20)))/A_MPG_E,0)*A_MPG_E+(A_IST&gt;ROUNDUP((A_VERB/(A_LUO+(A_LUO=0)*$B20)+(A_MBLG&gt;A_VERB/(A_LUO+(A_LUO=0)*$B20))*(A_MBLG-A_VERB/(A_LUO+(A_LUO=0)*$B20)))/A_MPG_E,0)*A_MPG_E)*(A_IST-ROUNDUP((A_VERB/(A_LUO+(A_LUO=0)*$B20)+(A_MBLG&gt;A_VERB/(A_LUO+(A_LUO=0)*$B20))*(A_MBLG-A_VERB/(A_LUO+(A_LUO=0)*$B20)))/A_MPG_E,0)*A_MPG_E)))&gt;A_KAPR)*((A_FINF*A_FINV+(1-A_FINF)*(ROUNDUP((A_VERB/(A_LUO+(A_LUO=0)*$B20)+(A_MBLG&gt;A_VERB/(A_LUO+(A_LUO=0)*$B20))*(A_MBLG-A_VERB/(A_LUO+(A_LUO=0)*$B20)))/A_MPG_E,0)*A_MPG_E+(A_IST&gt;ROUNDUP((A_VERB/(A_LUO+(A_LUO=0)*$B20)+(A_MBLG&gt;A_VERB/(A_LUO+(A_LUO=0)*$B20))*(A_MBLG-A_VERB/(A_LUO+(A_LUO=0)*$B20)))/A_MPG_E,0)*A_MPG_E)*(A_IST-ROUNDUP((A_VERB/(A_LUO+(A_LUO=0)*$B20)+(A_MBLG&gt;A_VERB/(A_LUO+(A_LUO=0)*$B20))*(A_MBLG-A_VERB/(A_LUO+(A_LUO=0)*$B20)))/A_MPG_E,0)*A_MPG_E)))/(A_KAPR+(A_KAPR=0))-1))+(A_FACH=0)*((1-A_LOSE)*(A_GPT&gt;0)*(A_FINF*A_FINN+(1-A_FINF)*(ROUNDUP((A_VERB/(A_LUO+(A_LUO=0)*$B20)+(A_MBLG&gt;A_VERB/(A_LUO+(A_LUO=0)*$B20))*(A_MBLG-A_VERB/(A_LUO+(A_LUO=0)*$B20)))/A_MPG_E,0)+(A_ISTN&gt;ROUNDUP((A_VERB/(A_LUO+(A_LUO=0)*$B20)+(A_MBLG&gt;A_VERB/(A_LUO+(A_LUO=0)*$B20))*(A_MBLG-A_VERB/(A_LUO+(A_LUO=0)*$B20)))/A_MPG_E,0))*(A_ISTN-ROUNDUP((A_VERB/(A_LUO+(A_LUO=0)*$B20)+(A_MBLG&gt;A_VERB/(A_LUO+(A_LUO=0)*$B20))*(A_MBLG-A_VERB/(A_LUO+(A_LUO=0)*$B20)))/A_MPG_E,0))))/(A_GPT+(A_GPT=0))+A_LOSE*((A_FINF*A_FINN+(1-A_FINF)*(ROUNDUP((A_VERB/(A_LUO+(A_LUO=0)*$B20)+(A_MBLG&gt;A_VERB/(A_LUO+(A_LUO=0)*$B20))*(A_MBLG-A_VERB/(A_LUO+(A_LUO=0)*$B20)))/A_MPG_E,0)+(A_ISTN&gt;ROUNDUP((A_VERB/(A_LUO+(A_LUO=0)*$B20)+(A_MBLG&gt;A_VERB/(A_LUO+(A_LUO=0)*$B20))*(A_MBLG-A_VERB/(A_LUO+(A_LUO=0)*$B20)))/A_MPG_E,0))*(A_ISTN-ROUNDUP((A_VERB/(A_LUO+(A_LUO=0)*$B20)+(A_MBLG&gt;A_VERB/(A_LUO+(A_LUO=0)*$B20))*(A_MBLG-A_VERB/(A_LUO+(A_LUO=0)*$B20)))/A_MPG_E,0))))&gt;0)*A_LA*(1+(A_IST&gt;0)*((A_FINF*A_FINN+(1-A_FINF)*(ROUNDUP((A_VERB/(A_LUO+(A_LUO=0)*$B20)+(A_MBLG&gt;A_VERB/(A_LUO+(A_LUO=0)*$B20))*(A_MBLG-A_VERB/(A_LUO+(A_LUO=0)*$B20)))/A_MPG_E,0)+(A_ISTN&gt;ROUNDUP((A_VERB/(A_LUO+(A_LUO=0)*$B20)+(A_MBLG&gt;A_VERB/(A_LUO+(A_LUO=0)*$B20))*(A_MBLG-A_VERB/(A_LUO+(A_LUO=0)*$B20)))/A_MPG_E,0))*(A_ISTN-ROUNDUP((A_VERB/(A_LUO+(A_LUO=0)*$B20)+(A_MBLG&gt;A_VERB/(A_LUO+(A_LUO=0)*$B20))*(A_MBLG-A_VERB/(A_LUO+(A_LUO=0)*$B20)))/A_MPG_E,0))))&gt;A_IST)*((A_FINF*A_FINN+(1-A_FINF)*(ROUNDUP((A_VERB/(A_LUO+(A_LUO=0)*$B20)+(A_MBLG&gt;A_VERB/(A_LUO+(A_LUO=0)*$B20))*(A_MBLG-A_VERB/(A_LUO+(A_LUO=0)*$B20)))/A_MPG_E,0)+(A_ISTN&gt;ROUNDUP((A_VERB/(A_LUO+(A_LUO=0)*$B20)+(A_MBLG&gt;A_VERB/(A_LUO+(A_LUO=0)*$B20))*(A_MBLG-A_VERB/(A_LUO+(A_LUO=0)*$B20)))/A_MPG_E,0))*(A_ISTN-ROUNDUP((A_VERB/(A_LUO+(A_LUO=0)*$B20)+(A_MBLG&gt;A_VERB/(A_LUO+(A_LUO=0)*$B20))*(A_MBLG-A_VERB/(A_LUO+(A_LUO=0)*$B20)))/A_MPG_E,0))))/(A_IST+(A_IST=0))-1)))/MAX(0.1,N(Parameter!$M$21))))</f>
        <v>37.3619472315125</v>
      </c>
      <c r="P20" s="11" t="n">
        <f aca="false">SUMPRODUCT((A_LIFT="Aussen")*((A_FACH&gt;0)*A_FACH*(1+(A_KAPR&gt;0)*((A_FINF*A_FINV+(1-A_FINF)*(ROUNDUP((A_VERB/(A_LUO+(A_LUO=0)*$B20)+(A_MBLG&gt;A_VERB/(A_LUO+(A_LUO=0)*$B20))*(A_MBLG-A_VERB/(A_LUO+(A_LUO=0)*$B20)))/A_MPG_E,0)*A_MPG_E+(A_IST&gt;ROUNDUP((A_VERB/(A_LUO+(A_LUO=0)*$B20)+(A_MBLG&gt;A_VERB/(A_LUO+(A_LUO=0)*$B20))*(A_MBLG-A_VERB/(A_LUO+(A_LUO=0)*$B20)))/A_MPG_E,0)*A_MPG_E)*(A_IST-ROUNDUP((A_VERB/(A_LUO+(A_LUO=0)*$B20)+(A_MBLG&gt;A_VERB/(A_LUO+(A_LUO=0)*$B20))*(A_MBLG-A_VERB/(A_LUO+(A_LUO=0)*$B20)))/A_MPG_E,0)*A_MPG_E)))&gt;A_KAPR)*((A_FINF*A_FINV+(1-A_FINF)*(ROUNDUP((A_VERB/(A_LUO+(A_LUO=0)*$B20)+(A_MBLG&gt;A_VERB/(A_LUO+(A_LUO=0)*$B20))*(A_MBLG-A_VERB/(A_LUO+(A_LUO=0)*$B20)))/A_MPG_E,0)*A_MPG_E+(A_IST&gt;ROUNDUP((A_VERB/(A_LUO+(A_LUO=0)*$B20)+(A_MBLG&gt;A_VERB/(A_LUO+(A_LUO=0)*$B20))*(A_MBLG-A_VERB/(A_LUO+(A_LUO=0)*$B20)))/A_MPG_E,0)*A_MPG_E)*(A_IST-ROUNDUP((A_VERB/(A_LUO+(A_LUO=0)*$B20)+(A_MBLG&gt;A_VERB/(A_LUO+(A_LUO=0)*$B20))*(A_MBLG-A_VERB/(A_LUO+(A_LUO=0)*$B20)))/A_MPG_E,0)*A_MPG_E)))/(A_KAPR+(A_KAPR=0))-1))+(A_FACH=0)*((1-A_LOSE)*(A_GPT&gt;0)*(A_FINF*A_FINN+(1-A_FINF)*(ROUNDUP((A_VERB/(A_LUO+(A_LUO=0)*$B20)+(A_MBLG&gt;A_VERB/(A_LUO+(A_LUO=0)*$B20))*(A_MBLG-A_VERB/(A_LUO+(A_LUO=0)*$B20)))/A_MPG_E,0)+(A_ISTN&gt;ROUNDUP((A_VERB/(A_LUO+(A_LUO=0)*$B20)+(A_MBLG&gt;A_VERB/(A_LUO+(A_LUO=0)*$B20))*(A_MBLG-A_VERB/(A_LUO+(A_LUO=0)*$B20)))/A_MPG_E,0))*(A_ISTN-ROUNDUP((A_VERB/(A_LUO+(A_LUO=0)*$B20)+(A_MBLG&gt;A_VERB/(A_LUO+(A_LUO=0)*$B20))*(A_MBLG-A_VERB/(A_LUO+(A_LUO=0)*$B20)))/A_MPG_E,0))))/(A_GPT+(A_GPT=0))+A_LOSE*((A_FINF*A_FINN+(1-A_FINF)*(ROUNDUP((A_VERB/(A_LUO+(A_LUO=0)*$B20)+(A_MBLG&gt;A_VERB/(A_LUO+(A_LUO=0)*$B20))*(A_MBLG-A_VERB/(A_LUO+(A_LUO=0)*$B20)))/A_MPG_E,0)+(A_ISTN&gt;ROUNDUP((A_VERB/(A_LUO+(A_LUO=0)*$B20)+(A_MBLG&gt;A_VERB/(A_LUO+(A_LUO=0)*$B20))*(A_MBLG-A_VERB/(A_LUO+(A_LUO=0)*$B20)))/A_MPG_E,0))*(A_ISTN-ROUNDUP((A_VERB/(A_LUO+(A_LUO=0)*$B20)+(A_MBLG&gt;A_VERB/(A_LUO+(A_LUO=0)*$B20))*(A_MBLG-A_VERB/(A_LUO+(A_LUO=0)*$B20)))/A_MPG_E,0))))&gt;0)*A_LA*(1+(A_IST&gt;0)*((A_FINF*A_FINN+(1-A_FINF)*(ROUNDUP((A_VERB/(A_LUO+(A_LUO=0)*$B20)+(A_MBLG&gt;A_VERB/(A_LUO+(A_LUO=0)*$B20))*(A_MBLG-A_VERB/(A_LUO+(A_LUO=0)*$B20)))/A_MPG_E,0)+(A_ISTN&gt;ROUNDUP((A_VERB/(A_LUO+(A_LUO=0)*$B20)+(A_MBLG&gt;A_VERB/(A_LUO+(A_LUO=0)*$B20))*(A_MBLG-A_VERB/(A_LUO+(A_LUO=0)*$B20)))/A_MPG_E,0))*(A_ISTN-ROUNDUP((A_VERB/(A_LUO+(A_LUO=0)*$B20)+(A_MBLG&gt;A_VERB/(A_LUO+(A_LUO=0)*$B20))*(A_MBLG-A_VERB/(A_LUO+(A_LUO=0)*$B20)))/A_MPG_E,0))))&gt;A_IST)*((A_FINF*A_FINN+(1-A_FINF)*(ROUNDUP((A_VERB/(A_LUO+(A_LUO=0)*$B20)+(A_MBLG&gt;A_VERB/(A_LUO+(A_LUO=0)*$B20))*(A_MBLG-A_VERB/(A_LUO+(A_LUO=0)*$B20)))/A_MPG_E,0)+(A_ISTN&gt;ROUNDUP((A_VERB/(A_LUO+(A_LUO=0)*$B20)+(A_MBLG&gt;A_VERB/(A_LUO+(A_LUO=0)*$B20))*(A_MBLG-A_VERB/(A_LUO+(A_LUO=0)*$B20)))/A_MPG_E,0))*(A_ISTN-ROUNDUP((A_VERB/(A_LUO+(A_LUO=0)*$B20)+(A_MBLG&gt;A_VERB/(A_LUO+(A_LUO=0)*$B20))*(A_MBLG-A_VERB/(A_LUO+(A_LUO=0)*$B20)))/A_MPG_E,0))))/(A_IST+(A_IST=0))-1)))/MAX(0.1,N(Parameter!$M$21))))</f>
        <v>0</v>
      </c>
    </row>
    <row r="21" customFormat="false" ht="15" hidden="false" customHeight="false" outlineLevel="0" collapsed="false">
      <c r="A21" s="10" t="s">
        <v>7</v>
      </c>
      <c r="B21" s="43" t="n">
        <f aca="false">Parameter!$A$30</f>
        <v>6</v>
      </c>
      <c r="C21" s="30" t="n">
        <f aca="false">M21/Parameter!$E$5</f>
        <v>1.23271699765067</v>
      </c>
      <c r="D21" s="30" t="n">
        <f aca="false">N21/Parameter!$E$6</f>
        <v>1.76848484848485</v>
      </c>
      <c r="E21" s="30" t="n">
        <f aca="false">O21/Parameter!$E$7</f>
        <v>0.744931252322557</v>
      </c>
      <c r="F21" s="14" t="n">
        <f aca="false">(N21+O21)/(Parameter!$E$6+Parameter!$E$7)</f>
        <v>1.2567080504037</v>
      </c>
      <c r="G21" s="14" t="n">
        <f aca="false">(M21+N21+O21)/Parameter!$E$8</f>
        <v>1.24871103281936</v>
      </c>
      <c r="H21" s="44" t="str">
        <f aca="false">IF(AND(M21&lt;=Parameter!$E$5,N21+O21&lt;=Parameter!$E$6+Parameter!$E$7),"JA","NEIN")</f>
        <v>NEIN</v>
      </c>
      <c r="I21" s="11" t="n">
        <f aca="false">MAX(0,M21-Parameter!$E$5)+MAX(0,N21+O21-Parameter!$E$6-Parameter!$E$7)+P21</f>
        <v>37.306654922904</v>
      </c>
      <c r="J21" s="45" t="n">
        <f aca="false">SUMPRODUCT((A_FINF*A_FINV+(1-A_FINF)*(ROUNDUP((A_VERB/(A_LUO+(A_LUO=0)*$B21)+(A_MBLG&gt;A_VERB/(A_LUO+(A_LUO=0)*$B21))*(A_MBLG-A_VERB/(A_LUO+(A_LUO=0)*$B21)))/A_MPG_E,0)*A_MPG_E+(A_IST&gt;ROUNDUP((A_VERB/(A_LUO+(A_LUO=0)*$B21)+(A_MBLG&gt;A_VERB/(A_LUO+(A_LUO=0)*$B21))*(A_MBLG-A_VERB/(A_LUO+(A_LUO=0)*$B21)))/A_MPG_E,0)*A_MPG_E)*(A_IST-ROUNDUP((A_VERB/(A_LUO+(A_LUO=0)*$B21)+(A_MBLG&gt;A_VERB/(A_LUO+(A_LUO=0)*$B21))*(A_MBLG-A_VERB/(A_LUO+(A_LUO=0)*$B21)))/A_MPG_E,0)*A_MPG_E)))*A_PREIS)</f>
        <v>6270502.50584</v>
      </c>
      <c r="K21" s="46" t="n">
        <f aca="false">J21-$J$5</f>
        <v>2819456.29161</v>
      </c>
      <c r="L21" s="47" t="n">
        <f aca="false">(M21+N21+O21+P21)-($M$5+$N$5+$O$5+$P$5)</f>
        <v>36.3920658887497</v>
      </c>
      <c r="M21" s="11" t="n">
        <f aca="false">SUMPRODUCT((A_LIFT=1)*((A_FACH&gt;0)*A_FACH*(1+(A_KAPR&gt;0)*((A_FINF*A_FINV+(1-A_FINF)*(ROUNDUP((A_VERB/(A_LUO+(A_LUO=0)*$B21)+(A_MBLG&gt;A_VERB/(A_LUO+(A_LUO=0)*$B21))*(A_MBLG-A_VERB/(A_LUO+(A_LUO=0)*$B21)))/A_MPG_E,0)*A_MPG_E+(A_IST&gt;ROUNDUP((A_VERB/(A_LUO+(A_LUO=0)*$B21)+(A_MBLG&gt;A_VERB/(A_LUO+(A_LUO=0)*$B21))*(A_MBLG-A_VERB/(A_LUO+(A_LUO=0)*$B21)))/A_MPG_E,0)*A_MPG_E)*(A_IST-ROUNDUP((A_VERB/(A_LUO+(A_LUO=0)*$B21)+(A_MBLG&gt;A_VERB/(A_LUO+(A_LUO=0)*$B21))*(A_MBLG-A_VERB/(A_LUO+(A_LUO=0)*$B21)))/A_MPG_E,0)*A_MPG_E)))&gt;A_KAPR)*((A_FINF*A_FINV+(1-A_FINF)*(ROUNDUP((A_VERB/(A_LUO+(A_LUO=0)*$B21)+(A_MBLG&gt;A_VERB/(A_LUO+(A_LUO=0)*$B21))*(A_MBLG-A_VERB/(A_LUO+(A_LUO=0)*$B21)))/A_MPG_E,0)*A_MPG_E+(A_IST&gt;ROUNDUP((A_VERB/(A_LUO+(A_LUO=0)*$B21)+(A_MBLG&gt;A_VERB/(A_LUO+(A_LUO=0)*$B21))*(A_MBLG-A_VERB/(A_LUO+(A_LUO=0)*$B21)))/A_MPG_E,0)*A_MPG_E)*(A_IST-ROUNDUP((A_VERB/(A_LUO+(A_LUO=0)*$B21)+(A_MBLG&gt;A_VERB/(A_LUO+(A_LUO=0)*$B21))*(A_MBLG-A_VERB/(A_LUO+(A_LUO=0)*$B21)))/A_MPG_E,0)*A_MPG_E)))/(A_KAPR+(A_KAPR=0))-1))+(A_FACH=0)*((1-A_LOSE)*(A_GPT&gt;0)*(A_FINF*A_FINN+(1-A_FINF)*(ROUNDUP((A_VERB/(A_LUO+(A_LUO=0)*$B21)+(A_MBLG&gt;A_VERB/(A_LUO+(A_LUO=0)*$B21))*(A_MBLG-A_VERB/(A_LUO+(A_LUO=0)*$B21)))/A_MPG_E,0)+(A_ISTN&gt;ROUNDUP((A_VERB/(A_LUO+(A_LUO=0)*$B21)+(A_MBLG&gt;A_VERB/(A_LUO+(A_LUO=0)*$B21))*(A_MBLG-A_VERB/(A_LUO+(A_LUO=0)*$B21)))/A_MPG_E,0))*(A_ISTN-ROUNDUP((A_VERB/(A_LUO+(A_LUO=0)*$B21)+(A_MBLG&gt;A_VERB/(A_LUO+(A_LUO=0)*$B21))*(A_MBLG-A_VERB/(A_LUO+(A_LUO=0)*$B21)))/A_MPG_E,0))))/(A_GPT+(A_GPT=0))+A_LOSE*((A_FINF*A_FINN+(1-A_FINF)*(ROUNDUP((A_VERB/(A_LUO+(A_LUO=0)*$B21)+(A_MBLG&gt;A_VERB/(A_LUO+(A_LUO=0)*$B21))*(A_MBLG-A_VERB/(A_LUO+(A_LUO=0)*$B21)))/A_MPG_E,0)+(A_ISTN&gt;ROUNDUP((A_VERB/(A_LUO+(A_LUO=0)*$B21)+(A_MBLG&gt;A_VERB/(A_LUO+(A_LUO=0)*$B21))*(A_MBLG-A_VERB/(A_LUO+(A_LUO=0)*$B21)))/A_MPG_E,0))*(A_ISTN-ROUNDUP((A_VERB/(A_LUO+(A_LUO=0)*$B21)+(A_MBLG&gt;A_VERB/(A_LUO+(A_LUO=0)*$B21))*(A_MBLG-A_VERB/(A_LUO+(A_LUO=0)*$B21)))/A_MPG_E,0))))&gt;0)*A_LA*(1+(A_IST&gt;0)*((A_FINF*A_FINN+(1-A_FINF)*(ROUNDUP((A_VERB/(A_LUO+(A_LUO=0)*$B21)+(A_MBLG&gt;A_VERB/(A_LUO+(A_LUO=0)*$B21))*(A_MBLG-A_VERB/(A_LUO+(A_LUO=0)*$B21)))/A_MPG_E,0)+(A_ISTN&gt;ROUNDUP((A_VERB/(A_LUO+(A_LUO=0)*$B21)+(A_MBLG&gt;A_VERB/(A_LUO+(A_LUO=0)*$B21))*(A_MBLG-A_VERB/(A_LUO+(A_LUO=0)*$B21)))/A_MPG_E,0))*(A_ISTN-ROUNDUP((A_VERB/(A_LUO+(A_LUO=0)*$B21)+(A_MBLG&gt;A_VERB/(A_LUO+(A_LUO=0)*$B21))*(A_MBLG-A_VERB/(A_LUO+(A_LUO=0)*$B21)))/A_MPG_E,0))))&gt;A_IST)*((A_FINF*A_FINN+(1-A_FINF)*(ROUNDUP((A_VERB/(A_LUO+(A_LUO=0)*$B21)+(A_MBLG&gt;A_VERB/(A_LUO+(A_LUO=0)*$B21))*(A_MBLG-A_VERB/(A_LUO+(A_LUO=0)*$B21)))/A_MPG_E,0)+(A_ISTN&gt;ROUNDUP((A_VERB/(A_LUO+(A_LUO=0)*$B21)+(A_MBLG&gt;A_VERB/(A_LUO+(A_LUO=0)*$B21))*(A_MBLG-A_VERB/(A_LUO+(A_LUO=0)*$B21)))/A_MPG_E,0))*(A_ISTN-ROUNDUP((A_VERB/(A_LUO+(A_LUO=0)*$B21)+(A_MBLG&gt;A_VERB/(A_LUO+(A_LUO=0)*$B21))*(A_MBLG-A_VERB/(A_LUO+(A_LUO=0)*$B21)))/A_MPG_E,0))))/(A_IST+(A_IST=0))-1)))/MAX(0.1,N(Parameter!$M$21))))</f>
        <v>61.6358498825338</v>
      </c>
      <c r="N21" s="11" t="n">
        <f aca="false">SUMPRODUCT((A_LIFT=2)*((A_FACH&gt;0)*A_FACH*(1+(A_KAPR&gt;0)*((A_FINF*A_FINV+(1-A_FINF)*(ROUNDUP((A_VERB/(A_LUO+(A_LUO=0)*$B21)+(A_MBLG&gt;A_VERB/(A_LUO+(A_LUO=0)*$B21))*(A_MBLG-A_VERB/(A_LUO+(A_LUO=0)*$B21)))/A_MPG_E,0)*A_MPG_E+(A_IST&gt;ROUNDUP((A_VERB/(A_LUO+(A_LUO=0)*$B21)+(A_MBLG&gt;A_VERB/(A_LUO+(A_LUO=0)*$B21))*(A_MBLG-A_VERB/(A_LUO+(A_LUO=0)*$B21)))/A_MPG_E,0)*A_MPG_E)*(A_IST-ROUNDUP((A_VERB/(A_LUO+(A_LUO=0)*$B21)+(A_MBLG&gt;A_VERB/(A_LUO+(A_LUO=0)*$B21))*(A_MBLG-A_VERB/(A_LUO+(A_LUO=0)*$B21)))/A_MPG_E,0)*A_MPG_E)))&gt;A_KAPR)*((A_FINF*A_FINV+(1-A_FINF)*(ROUNDUP((A_VERB/(A_LUO+(A_LUO=0)*$B21)+(A_MBLG&gt;A_VERB/(A_LUO+(A_LUO=0)*$B21))*(A_MBLG-A_VERB/(A_LUO+(A_LUO=0)*$B21)))/A_MPG_E,0)*A_MPG_E+(A_IST&gt;ROUNDUP((A_VERB/(A_LUO+(A_LUO=0)*$B21)+(A_MBLG&gt;A_VERB/(A_LUO+(A_LUO=0)*$B21))*(A_MBLG-A_VERB/(A_LUO+(A_LUO=0)*$B21)))/A_MPG_E,0)*A_MPG_E)*(A_IST-ROUNDUP((A_VERB/(A_LUO+(A_LUO=0)*$B21)+(A_MBLG&gt;A_VERB/(A_LUO+(A_LUO=0)*$B21))*(A_MBLG-A_VERB/(A_LUO+(A_LUO=0)*$B21)))/A_MPG_E,0)*A_MPG_E)))/(A_KAPR+(A_KAPR=0))-1))+(A_FACH=0)*((1-A_LOSE)*(A_GPT&gt;0)*(A_FINF*A_FINN+(1-A_FINF)*(ROUNDUP((A_VERB/(A_LUO+(A_LUO=0)*$B21)+(A_MBLG&gt;A_VERB/(A_LUO+(A_LUO=0)*$B21))*(A_MBLG-A_VERB/(A_LUO+(A_LUO=0)*$B21)))/A_MPG_E,0)+(A_ISTN&gt;ROUNDUP((A_VERB/(A_LUO+(A_LUO=0)*$B21)+(A_MBLG&gt;A_VERB/(A_LUO+(A_LUO=0)*$B21))*(A_MBLG-A_VERB/(A_LUO+(A_LUO=0)*$B21)))/A_MPG_E,0))*(A_ISTN-ROUNDUP((A_VERB/(A_LUO+(A_LUO=0)*$B21)+(A_MBLG&gt;A_VERB/(A_LUO+(A_LUO=0)*$B21))*(A_MBLG-A_VERB/(A_LUO+(A_LUO=0)*$B21)))/A_MPG_E,0))))/(A_GPT+(A_GPT=0))+A_LOSE*((A_FINF*A_FINN+(1-A_FINF)*(ROUNDUP((A_VERB/(A_LUO+(A_LUO=0)*$B21)+(A_MBLG&gt;A_VERB/(A_LUO+(A_LUO=0)*$B21))*(A_MBLG-A_VERB/(A_LUO+(A_LUO=0)*$B21)))/A_MPG_E,0)+(A_ISTN&gt;ROUNDUP((A_VERB/(A_LUO+(A_LUO=0)*$B21)+(A_MBLG&gt;A_VERB/(A_LUO+(A_LUO=0)*$B21))*(A_MBLG-A_VERB/(A_LUO+(A_LUO=0)*$B21)))/A_MPG_E,0))*(A_ISTN-ROUNDUP((A_VERB/(A_LUO+(A_LUO=0)*$B21)+(A_MBLG&gt;A_VERB/(A_LUO+(A_LUO=0)*$B21))*(A_MBLG-A_VERB/(A_LUO+(A_LUO=0)*$B21)))/A_MPG_E,0))))&gt;0)*A_LA*(1+(A_IST&gt;0)*((A_FINF*A_FINN+(1-A_FINF)*(ROUNDUP((A_VERB/(A_LUO+(A_LUO=0)*$B21)+(A_MBLG&gt;A_VERB/(A_LUO+(A_LUO=0)*$B21))*(A_MBLG-A_VERB/(A_LUO+(A_LUO=0)*$B21)))/A_MPG_E,0)+(A_ISTN&gt;ROUNDUP((A_VERB/(A_LUO+(A_LUO=0)*$B21)+(A_MBLG&gt;A_VERB/(A_LUO+(A_LUO=0)*$B21))*(A_MBLG-A_VERB/(A_LUO+(A_LUO=0)*$B21)))/A_MPG_E,0))*(A_ISTN-ROUNDUP((A_VERB/(A_LUO+(A_LUO=0)*$B21)+(A_MBLG&gt;A_VERB/(A_LUO+(A_LUO=0)*$B21))*(A_MBLG-A_VERB/(A_LUO+(A_LUO=0)*$B21)))/A_MPG_E,0))))&gt;A_IST)*((A_FINF*A_FINN+(1-A_FINF)*(ROUNDUP((A_VERB/(A_LUO+(A_LUO=0)*$B21)+(A_MBLG&gt;A_VERB/(A_LUO+(A_LUO=0)*$B21))*(A_MBLG-A_VERB/(A_LUO+(A_LUO=0)*$B21)))/A_MPG_E,0)+(A_ISTN&gt;ROUNDUP((A_VERB/(A_LUO+(A_LUO=0)*$B21)+(A_MBLG&gt;A_VERB/(A_LUO+(A_LUO=0)*$B21))*(A_MBLG-A_VERB/(A_LUO+(A_LUO=0)*$B21)))/A_MPG_E,0))*(A_ISTN-ROUNDUP((A_VERB/(A_LUO+(A_LUO=0)*$B21)+(A_MBLG&gt;A_VERB/(A_LUO+(A_LUO=0)*$B21))*(A_MBLG-A_VERB/(A_LUO+(A_LUO=0)*$B21)))/A_MPG_E,0))))/(A_IST+(A_IST=0))-1)))/MAX(0.1,N(Parameter!$M$21))))</f>
        <v>88.4242424242424</v>
      </c>
      <c r="O21" s="11" t="n">
        <f aca="false">SUMPRODUCT((A_LIFT=3)*((A_FACH&gt;0)*A_FACH*(1+(A_KAPR&gt;0)*((A_FINF*A_FINV+(1-A_FINF)*(ROUNDUP((A_VERB/(A_LUO+(A_LUO=0)*$B21)+(A_MBLG&gt;A_VERB/(A_LUO+(A_LUO=0)*$B21))*(A_MBLG-A_VERB/(A_LUO+(A_LUO=0)*$B21)))/A_MPG_E,0)*A_MPG_E+(A_IST&gt;ROUNDUP((A_VERB/(A_LUO+(A_LUO=0)*$B21)+(A_MBLG&gt;A_VERB/(A_LUO+(A_LUO=0)*$B21))*(A_MBLG-A_VERB/(A_LUO+(A_LUO=0)*$B21)))/A_MPG_E,0)*A_MPG_E)*(A_IST-ROUNDUP((A_VERB/(A_LUO+(A_LUO=0)*$B21)+(A_MBLG&gt;A_VERB/(A_LUO+(A_LUO=0)*$B21))*(A_MBLG-A_VERB/(A_LUO+(A_LUO=0)*$B21)))/A_MPG_E,0)*A_MPG_E)))&gt;A_KAPR)*((A_FINF*A_FINV+(1-A_FINF)*(ROUNDUP((A_VERB/(A_LUO+(A_LUO=0)*$B21)+(A_MBLG&gt;A_VERB/(A_LUO+(A_LUO=0)*$B21))*(A_MBLG-A_VERB/(A_LUO+(A_LUO=0)*$B21)))/A_MPG_E,0)*A_MPG_E+(A_IST&gt;ROUNDUP((A_VERB/(A_LUO+(A_LUO=0)*$B21)+(A_MBLG&gt;A_VERB/(A_LUO+(A_LUO=0)*$B21))*(A_MBLG-A_VERB/(A_LUO+(A_LUO=0)*$B21)))/A_MPG_E,0)*A_MPG_E)*(A_IST-ROUNDUP((A_VERB/(A_LUO+(A_LUO=0)*$B21)+(A_MBLG&gt;A_VERB/(A_LUO+(A_LUO=0)*$B21))*(A_MBLG-A_VERB/(A_LUO+(A_LUO=0)*$B21)))/A_MPG_E,0)*A_MPG_E)))/(A_KAPR+(A_KAPR=0))-1))+(A_FACH=0)*((1-A_LOSE)*(A_GPT&gt;0)*(A_FINF*A_FINN+(1-A_FINF)*(ROUNDUP((A_VERB/(A_LUO+(A_LUO=0)*$B21)+(A_MBLG&gt;A_VERB/(A_LUO+(A_LUO=0)*$B21))*(A_MBLG-A_VERB/(A_LUO+(A_LUO=0)*$B21)))/A_MPG_E,0)+(A_ISTN&gt;ROUNDUP((A_VERB/(A_LUO+(A_LUO=0)*$B21)+(A_MBLG&gt;A_VERB/(A_LUO+(A_LUO=0)*$B21))*(A_MBLG-A_VERB/(A_LUO+(A_LUO=0)*$B21)))/A_MPG_E,0))*(A_ISTN-ROUNDUP((A_VERB/(A_LUO+(A_LUO=0)*$B21)+(A_MBLG&gt;A_VERB/(A_LUO+(A_LUO=0)*$B21))*(A_MBLG-A_VERB/(A_LUO+(A_LUO=0)*$B21)))/A_MPG_E,0))))/(A_GPT+(A_GPT=0))+A_LOSE*((A_FINF*A_FINN+(1-A_FINF)*(ROUNDUP((A_VERB/(A_LUO+(A_LUO=0)*$B21)+(A_MBLG&gt;A_VERB/(A_LUO+(A_LUO=0)*$B21))*(A_MBLG-A_VERB/(A_LUO+(A_LUO=0)*$B21)))/A_MPG_E,0)+(A_ISTN&gt;ROUNDUP((A_VERB/(A_LUO+(A_LUO=0)*$B21)+(A_MBLG&gt;A_VERB/(A_LUO+(A_LUO=0)*$B21))*(A_MBLG-A_VERB/(A_LUO+(A_LUO=0)*$B21)))/A_MPG_E,0))*(A_ISTN-ROUNDUP((A_VERB/(A_LUO+(A_LUO=0)*$B21)+(A_MBLG&gt;A_VERB/(A_LUO+(A_LUO=0)*$B21))*(A_MBLG-A_VERB/(A_LUO+(A_LUO=0)*$B21)))/A_MPG_E,0))))&gt;0)*A_LA*(1+(A_IST&gt;0)*((A_FINF*A_FINN+(1-A_FINF)*(ROUNDUP((A_VERB/(A_LUO+(A_LUO=0)*$B21)+(A_MBLG&gt;A_VERB/(A_LUO+(A_LUO=0)*$B21))*(A_MBLG-A_VERB/(A_LUO+(A_LUO=0)*$B21)))/A_MPG_E,0)+(A_ISTN&gt;ROUNDUP((A_VERB/(A_LUO+(A_LUO=0)*$B21)+(A_MBLG&gt;A_VERB/(A_LUO+(A_LUO=0)*$B21))*(A_MBLG-A_VERB/(A_LUO+(A_LUO=0)*$B21)))/A_MPG_E,0))*(A_ISTN-ROUNDUP((A_VERB/(A_LUO+(A_LUO=0)*$B21)+(A_MBLG&gt;A_VERB/(A_LUO+(A_LUO=0)*$B21))*(A_MBLG-A_VERB/(A_LUO+(A_LUO=0)*$B21)))/A_MPG_E,0))))&gt;A_IST)*((A_FINF*A_FINN+(1-A_FINF)*(ROUNDUP((A_VERB/(A_LUO+(A_LUO=0)*$B21)+(A_MBLG&gt;A_VERB/(A_LUO+(A_LUO=0)*$B21))*(A_MBLG-A_VERB/(A_LUO+(A_LUO=0)*$B21)))/A_MPG_E,0)+(A_ISTN&gt;ROUNDUP((A_VERB/(A_LUO+(A_LUO=0)*$B21)+(A_MBLG&gt;A_VERB/(A_LUO+(A_LUO=0)*$B21))*(A_MBLG-A_VERB/(A_LUO+(A_LUO=0)*$B21)))/A_MPG_E,0))*(A_ISTN-ROUNDUP((A_VERB/(A_LUO+(A_LUO=0)*$B21)+(A_MBLG&gt;A_VERB/(A_LUO+(A_LUO=0)*$B21))*(A_MBLG-A_VERB/(A_LUO+(A_LUO=0)*$B21)))/A_MPG_E,0))))/(A_IST+(A_IST=0))-1)))/MAX(0.1,N(Parameter!$M$21))))</f>
        <v>37.2465626161278</v>
      </c>
      <c r="P21" s="11" t="n">
        <f aca="false">SUMPRODUCT((A_LIFT="Aussen")*((A_FACH&gt;0)*A_FACH*(1+(A_KAPR&gt;0)*((A_FINF*A_FINV+(1-A_FINF)*(ROUNDUP((A_VERB/(A_LUO+(A_LUO=0)*$B21)+(A_MBLG&gt;A_VERB/(A_LUO+(A_LUO=0)*$B21))*(A_MBLG-A_VERB/(A_LUO+(A_LUO=0)*$B21)))/A_MPG_E,0)*A_MPG_E+(A_IST&gt;ROUNDUP((A_VERB/(A_LUO+(A_LUO=0)*$B21)+(A_MBLG&gt;A_VERB/(A_LUO+(A_LUO=0)*$B21))*(A_MBLG-A_VERB/(A_LUO+(A_LUO=0)*$B21)))/A_MPG_E,0)*A_MPG_E)*(A_IST-ROUNDUP((A_VERB/(A_LUO+(A_LUO=0)*$B21)+(A_MBLG&gt;A_VERB/(A_LUO+(A_LUO=0)*$B21))*(A_MBLG-A_VERB/(A_LUO+(A_LUO=0)*$B21)))/A_MPG_E,0)*A_MPG_E)))&gt;A_KAPR)*((A_FINF*A_FINV+(1-A_FINF)*(ROUNDUP((A_VERB/(A_LUO+(A_LUO=0)*$B21)+(A_MBLG&gt;A_VERB/(A_LUO+(A_LUO=0)*$B21))*(A_MBLG-A_VERB/(A_LUO+(A_LUO=0)*$B21)))/A_MPG_E,0)*A_MPG_E+(A_IST&gt;ROUNDUP((A_VERB/(A_LUO+(A_LUO=0)*$B21)+(A_MBLG&gt;A_VERB/(A_LUO+(A_LUO=0)*$B21))*(A_MBLG-A_VERB/(A_LUO+(A_LUO=0)*$B21)))/A_MPG_E,0)*A_MPG_E)*(A_IST-ROUNDUP((A_VERB/(A_LUO+(A_LUO=0)*$B21)+(A_MBLG&gt;A_VERB/(A_LUO+(A_LUO=0)*$B21))*(A_MBLG-A_VERB/(A_LUO+(A_LUO=0)*$B21)))/A_MPG_E,0)*A_MPG_E)))/(A_KAPR+(A_KAPR=0))-1))+(A_FACH=0)*((1-A_LOSE)*(A_GPT&gt;0)*(A_FINF*A_FINN+(1-A_FINF)*(ROUNDUP((A_VERB/(A_LUO+(A_LUO=0)*$B21)+(A_MBLG&gt;A_VERB/(A_LUO+(A_LUO=0)*$B21))*(A_MBLG-A_VERB/(A_LUO+(A_LUO=0)*$B21)))/A_MPG_E,0)+(A_ISTN&gt;ROUNDUP((A_VERB/(A_LUO+(A_LUO=0)*$B21)+(A_MBLG&gt;A_VERB/(A_LUO+(A_LUO=0)*$B21))*(A_MBLG-A_VERB/(A_LUO+(A_LUO=0)*$B21)))/A_MPG_E,0))*(A_ISTN-ROUNDUP((A_VERB/(A_LUO+(A_LUO=0)*$B21)+(A_MBLG&gt;A_VERB/(A_LUO+(A_LUO=0)*$B21))*(A_MBLG-A_VERB/(A_LUO+(A_LUO=0)*$B21)))/A_MPG_E,0))))/(A_GPT+(A_GPT=0))+A_LOSE*((A_FINF*A_FINN+(1-A_FINF)*(ROUNDUP((A_VERB/(A_LUO+(A_LUO=0)*$B21)+(A_MBLG&gt;A_VERB/(A_LUO+(A_LUO=0)*$B21))*(A_MBLG-A_VERB/(A_LUO+(A_LUO=0)*$B21)))/A_MPG_E,0)+(A_ISTN&gt;ROUNDUP((A_VERB/(A_LUO+(A_LUO=0)*$B21)+(A_MBLG&gt;A_VERB/(A_LUO+(A_LUO=0)*$B21))*(A_MBLG-A_VERB/(A_LUO+(A_LUO=0)*$B21)))/A_MPG_E,0))*(A_ISTN-ROUNDUP((A_VERB/(A_LUO+(A_LUO=0)*$B21)+(A_MBLG&gt;A_VERB/(A_LUO+(A_LUO=0)*$B21))*(A_MBLG-A_VERB/(A_LUO+(A_LUO=0)*$B21)))/A_MPG_E,0))))&gt;0)*A_LA*(1+(A_IST&gt;0)*((A_FINF*A_FINN+(1-A_FINF)*(ROUNDUP((A_VERB/(A_LUO+(A_LUO=0)*$B21)+(A_MBLG&gt;A_VERB/(A_LUO+(A_LUO=0)*$B21))*(A_MBLG-A_VERB/(A_LUO+(A_LUO=0)*$B21)))/A_MPG_E,0)+(A_ISTN&gt;ROUNDUP((A_VERB/(A_LUO+(A_LUO=0)*$B21)+(A_MBLG&gt;A_VERB/(A_LUO+(A_LUO=0)*$B21))*(A_MBLG-A_VERB/(A_LUO+(A_LUO=0)*$B21)))/A_MPG_E,0))*(A_ISTN-ROUNDUP((A_VERB/(A_LUO+(A_LUO=0)*$B21)+(A_MBLG&gt;A_VERB/(A_LUO+(A_LUO=0)*$B21))*(A_MBLG-A_VERB/(A_LUO+(A_LUO=0)*$B21)))/A_MPG_E,0))))&gt;A_IST)*((A_FINF*A_FINN+(1-A_FINF)*(ROUNDUP((A_VERB/(A_LUO+(A_LUO=0)*$B21)+(A_MBLG&gt;A_VERB/(A_LUO+(A_LUO=0)*$B21))*(A_MBLG-A_VERB/(A_LUO+(A_LUO=0)*$B21)))/A_MPG_E,0)+(A_ISTN&gt;ROUNDUP((A_VERB/(A_LUO+(A_LUO=0)*$B21)+(A_MBLG&gt;A_VERB/(A_LUO+(A_LUO=0)*$B21))*(A_MBLG-A_VERB/(A_LUO+(A_LUO=0)*$B21)))/A_MPG_E,0))*(A_ISTN-ROUNDUP((A_VERB/(A_LUO+(A_LUO=0)*$B21)+(A_MBLG&gt;A_VERB/(A_LUO+(A_LUO=0)*$B21))*(A_MBLG-A_VERB/(A_LUO+(A_LUO=0)*$B21)))/A_MPG_E,0))))/(A_IST+(A_IST=0))-1)))/MAX(0.1,N(Parameter!$M$21))))</f>
        <v>0</v>
      </c>
    </row>
    <row r="23" customFormat="false" ht="15" hidden="false" customHeight="false" outlineLevel="0" collapsed="false">
      <c r="A23" s="48" t="s">
        <v>65</v>
      </c>
    </row>
    <row r="24" customFormat="false" ht="15" hidden="false" customHeight="false" outlineLevel="0" collapsed="false">
      <c r="A24" s="23" t="s">
        <v>66</v>
      </c>
      <c r="E24" s="49" t="str">
        <f aca="false">IFERROR("ab LU "&amp;INDEX(B6:B13,MATCH("JA",H6:H13,0)),"bei keinem LU der Liste")</f>
        <v>bei keinem LU der Liste</v>
      </c>
    </row>
    <row r="25" customFormat="false" ht="15" hidden="false" customHeight="false" outlineLevel="0" collapsed="false">
      <c r="A25" s="23" t="s">
        <v>67</v>
      </c>
      <c r="E25" s="49" t="str">
        <f aca="false">IFERROR("ab LU "&amp;INDEX(B14:B21,MATCH("JA",H14:H21,0)),"bei keinem LU der Liste")</f>
        <v>bei keinem LU der Liste</v>
      </c>
    </row>
    <row r="26" customFormat="false" ht="15" hidden="false" customHeight="false" outlineLevel="0" collapsed="false">
      <c r="A26" s="8" t="s">
        <v>68</v>
      </c>
    </row>
    <row r="28" customFormat="false" ht="15" hidden="false" customHeight="false" outlineLevel="0" collapsed="false">
      <c r="A28" s="5" t="s">
        <v>69</v>
      </c>
    </row>
    <row r="29" customFormat="false" ht="15" hidden="false" customHeight="false" outlineLevel="0" collapsed="false">
      <c r="A29" s="5" t="s">
        <v>8</v>
      </c>
      <c r="B29" s="5" t="s">
        <v>70</v>
      </c>
      <c r="C29" s="5" t="s">
        <v>71</v>
      </c>
      <c r="D29" s="5" t="s">
        <v>41</v>
      </c>
      <c r="E29" s="5" t="s">
        <v>72</v>
      </c>
    </row>
    <row r="30" customFormat="false" ht="15" hidden="false" customHeight="false" outlineLevel="0" collapsed="false">
      <c r="A30" s="50" t="n">
        <f aca="false">B6</f>
        <v>1</v>
      </c>
      <c r="B30" s="31" t="n">
        <f aca="false">G6</f>
        <v>1.77969238709106</v>
      </c>
      <c r="C30" s="31" t="n">
        <f aca="false">G14</f>
        <v>1.88463816594988</v>
      </c>
      <c r="D30" s="31" t="n">
        <v>1</v>
      </c>
      <c r="E30" s="31" t="n">
        <f aca="false">$G$5</f>
        <v>1.0060972602277</v>
      </c>
    </row>
    <row r="31" customFormat="false" ht="15" hidden="false" customHeight="false" outlineLevel="0" collapsed="false">
      <c r="A31" s="50" t="n">
        <f aca="false">B7</f>
        <v>1.5</v>
      </c>
      <c r="B31" s="31" t="n">
        <f aca="false">G7</f>
        <v>1.45936108625129</v>
      </c>
      <c r="C31" s="31" t="n">
        <f aca="false">G15</f>
        <v>1.56987407567732</v>
      </c>
      <c r="D31" s="31" t="n">
        <v>1</v>
      </c>
      <c r="E31" s="31" t="n">
        <f aca="false">$G$5</f>
        <v>1.0060972602277</v>
      </c>
    </row>
    <row r="32" customFormat="false" ht="15" hidden="false" customHeight="false" outlineLevel="0" collapsed="false">
      <c r="A32" s="50" t="n">
        <f aca="false">B8</f>
        <v>2</v>
      </c>
      <c r="B32" s="31" t="n">
        <f aca="false">G8</f>
        <v>1.30838046298253</v>
      </c>
      <c r="C32" s="31" t="n">
        <f aca="false">G16</f>
        <v>1.42160130011641</v>
      </c>
      <c r="D32" s="31" t="n">
        <v>1</v>
      </c>
      <c r="E32" s="31" t="n">
        <f aca="false">$G$5</f>
        <v>1.0060972602277</v>
      </c>
    </row>
    <row r="33" customFormat="false" ht="15" hidden="false" customHeight="false" outlineLevel="0" collapsed="false">
      <c r="A33" s="50" t="n">
        <f aca="false">B9</f>
        <v>2.5</v>
      </c>
      <c r="B33" s="31" t="n">
        <f aca="false">G9</f>
        <v>1.24649625804747</v>
      </c>
      <c r="C33" s="31" t="n">
        <f aca="false">G17</f>
        <v>1.36193931740358</v>
      </c>
      <c r="D33" s="31" t="n">
        <v>1</v>
      </c>
      <c r="E33" s="31" t="n">
        <f aca="false">$G$5</f>
        <v>1.0060972602277</v>
      </c>
    </row>
    <row r="34" customFormat="false" ht="15" hidden="false" customHeight="false" outlineLevel="0" collapsed="false">
      <c r="A34" s="50" t="n">
        <f aca="false">B10</f>
        <v>3</v>
      </c>
      <c r="B34" s="31" t="n">
        <f aca="false">G10</f>
        <v>1.20143504179982</v>
      </c>
      <c r="C34" s="31" t="n">
        <f aca="false">G18</f>
        <v>1.31824562252344</v>
      </c>
      <c r="D34" s="31" t="n">
        <v>1</v>
      </c>
      <c r="E34" s="31" t="n">
        <f aca="false">$G$5</f>
        <v>1.0060972602277</v>
      </c>
    </row>
    <row r="35" customFormat="false" ht="15" hidden="false" customHeight="false" outlineLevel="0" collapsed="false">
      <c r="A35" s="50" t="n">
        <f aca="false">B11</f>
        <v>4</v>
      </c>
      <c r="B35" s="31" t="n">
        <f aca="false">G11</f>
        <v>1.15854152602495</v>
      </c>
      <c r="C35" s="31" t="n">
        <f aca="false">G19</f>
        <v>1.2778307392272</v>
      </c>
      <c r="D35" s="31" t="n">
        <v>1</v>
      </c>
      <c r="E35" s="31" t="n">
        <f aca="false">$G$5</f>
        <v>1.0060972602277</v>
      </c>
    </row>
    <row r="36" customFormat="false" ht="15" hidden="false" customHeight="false" outlineLevel="0" collapsed="false">
      <c r="A36" s="50" t="n">
        <f aca="false">B12</f>
        <v>5</v>
      </c>
      <c r="B36" s="31" t="n">
        <f aca="false">G12</f>
        <v>1.13820206009226</v>
      </c>
      <c r="C36" s="31" t="n">
        <f aca="false">G20</f>
        <v>1.25885879466204</v>
      </c>
      <c r="D36" s="31" t="n">
        <v>1</v>
      </c>
      <c r="E36" s="31" t="n">
        <f aca="false">$G$5</f>
        <v>1.0060972602277</v>
      </c>
    </row>
    <row r="37" customFormat="false" ht="15" hidden="false" customHeight="false" outlineLevel="0" collapsed="false">
      <c r="A37" s="50" t="n">
        <f aca="false">B13</f>
        <v>6</v>
      </c>
      <c r="B37" s="31" t="n">
        <f aca="false">G13</f>
        <v>1.12805429824958</v>
      </c>
      <c r="C37" s="31" t="n">
        <f aca="false">G21</f>
        <v>1.24871103281936</v>
      </c>
      <c r="D37" s="31" t="n">
        <v>1</v>
      </c>
      <c r="E37" s="31" t="n">
        <f aca="false">$G$5</f>
        <v>1.0060972602277</v>
      </c>
    </row>
  </sheetData>
  <conditionalFormatting sqref="C5:G21">
    <cfRule type="cellIs" priority="2" operator="greaterThan" aboveAverage="0" equalAverage="0" bottom="0" percent="0" rank="0" text="" dxfId="1">
      <formula>Parameter!$B$12</formula>
    </cfRule>
    <cfRule type="cellIs" priority="3" operator="greaterThanOrEqual" aboveAverage="0" equalAverage="0" bottom="0" percent="0" rank="0" text="" dxfId="2">
      <formula>Parameter!$B$11</formula>
    </cfRule>
    <cfRule type="cellIs" priority="4" operator="lessThan" aboveAverage="0" equalAverage="0" bottom="0" percent="0" rank="0" text="" dxfId="3">
      <formula>Parameter!$B$11</formula>
    </cfRule>
  </conditionalFormatting>
  <conditionalFormatting sqref="H5:H21">
    <cfRule type="cellIs" priority="5" operator="equal" aboveAverage="0" equalAverage="0" bottom="0" percent="0" rank="0" text="" dxfId="3">
      <formula>"JA"</formula>
    </cfRule>
    <cfRule type="cellIs" priority="6" operator="equal" aboveAverage="0" equalAverage="0" bottom="0" percent="0" rank="0" text="" dxfId="1">
      <formula>"NEIN"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H18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2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5"/>
    <col collapsed="false" customWidth="true" hidden="false" outlineLevel="0" max="8" min="7" style="0" width="9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7"/>
    <col collapsed="false" customWidth="true" hidden="false" outlineLevel="0" max="14" min="13" style="0" width="9"/>
    <col collapsed="false" customWidth="true" hidden="false" outlineLevel="0" max="15" min="15" style="0" width="7"/>
    <col collapsed="false" customWidth="true" hidden="false" outlineLevel="0" max="16" min="16" style="0" width="9"/>
    <col collapsed="false" customWidth="true" hidden="false" outlineLevel="0" max="18" min="17" style="0" width="8"/>
    <col collapsed="false" customWidth="true" hidden="false" outlineLevel="0" max="19" min="19" style="0" width="10"/>
    <col collapsed="false" customWidth="true" hidden="false" outlineLevel="0" max="20" min="20" style="0" width="8"/>
    <col collapsed="false" customWidth="true" hidden="false" outlineLevel="0" max="22" min="21" style="0" width="9"/>
    <col collapsed="false" customWidth="true" hidden="false" outlineLevel="0" max="23" min="23" style="0" width="7"/>
    <col collapsed="false" customWidth="true" hidden="false" outlineLevel="0" max="25" min="24" style="0" width="8"/>
    <col collapsed="false" customWidth="true" hidden="false" outlineLevel="0" max="28" min="26" style="0" width="7"/>
    <col collapsed="false" customWidth="true" hidden="false" outlineLevel="0" max="30" min="29" style="0" width="10"/>
    <col collapsed="false" customWidth="true" hidden="false" outlineLevel="0" max="31" min="31" style="0" width="9"/>
    <col collapsed="false" customWidth="true" hidden="false" outlineLevel="1" max="35" min="32" style="0" width="9"/>
    <col collapsed="false" customWidth="true" hidden="true" outlineLevel="2" max="39" min="36" style="0" width="8"/>
    <col collapsed="false" customWidth="true" hidden="false" outlineLevel="1" max="43" min="40" style="0" width="9"/>
    <col collapsed="false" customWidth="true" hidden="true" outlineLevel="2" max="47" min="44" style="0" width="8"/>
    <col collapsed="false" customWidth="true" hidden="false" outlineLevel="1" max="51" min="48" style="0" width="9"/>
    <col collapsed="false" customWidth="true" hidden="true" outlineLevel="2" max="55" min="52" style="0" width="8"/>
    <col collapsed="false" customWidth="true" hidden="false" outlineLevel="0" max="58" min="56" style="0" width="11"/>
    <col collapsed="false" customWidth="true" hidden="false" outlineLevel="0" max="59" min="59" style="0" width="45"/>
    <col collapsed="false" customWidth="true" hidden="false" outlineLevel="0" max="62" min="60" style="0" width="30"/>
    <col collapsed="false" customWidth="true" hidden="true" outlineLevel="1" max="86" min="63" style="0" width="9"/>
  </cols>
  <sheetData>
    <row r="1" customFormat="false" ht="17.35" hidden="false" customHeight="false" outlineLevel="0" collapsed="false">
      <c r="A1" s="32" t="s">
        <v>73</v>
      </c>
    </row>
    <row r="2" customFormat="false" ht="15" hidden="false" customHeight="false" outlineLevel="0" collapsed="false">
      <c r="A2" s="33" t="s">
        <v>74</v>
      </c>
    </row>
    <row r="3" customFormat="false" ht="15" hidden="false" customHeight="false" outlineLevel="0" collapsed="false">
      <c r="A3" s="3" t="s">
        <v>75</v>
      </c>
    </row>
    <row r="5" customFormat="false" ht="15" hidden="false" customHeight="false" outlineLevel="0" collapsed="false">
      <c r="AF5" s="51" t="str">
        <f aca="false">"Ansicht 1: "&amp;Cockpit!$C$5&amp;IF(LEFT(Cockpit!$C$5,1)="A",""," / LU "&amp;Cockpit!$C$6)</f>
        <v>Ansicht 1: A – Ist-Bestand</v>
      </c>
      <c r="AN5" s="51" t="str">
        <f aca="false">"Ansicht 2: "&amp;Cockpit!$I$5&amp;IF(LEFT(Cockpit!$I$5,1)="A",""," / LU "&amp;Cockpit!$I$6)</f>
        <v>Ansicht 2: C – Ziel-LU oder Ist / LU 2</v>
      </c>
      <c r="AV5" s="51" t="str">
        <f aca="false">"Ansicht 3: "&amp;Cockpit!$O$5&amp;IF(LEFT(Cockpit!$O$5,1)="A",""," / LU "&amp;Cockpit!$O$6)</f>
        <v>Ansicht 3: C – Ziel-LU oder Ist / LU 3</v>
      </c>
      <c r="BK5" s="52" t="s">
        <v>76</v>
      </c>
    </row>
    <row r="6" customFormat="false" ht="54" hidden="false" customHeight="true" outlineLevel="0" collapsed="false">
      <c r="A6" s="53" t="s">
        <v>77</v>
      </c>
      <c r="B6" s="53" t="s">
        <v>78</v>
      </c>
      <c r="C6" s="53" t="s">
        <v>79</v>
      </c>
      <c r="D6" s="53" t="s">
        <v>80</v>
      </c>
      <c r="E6" s="53" t="s">
        <v>81</v>
      </c>
      <c r="F6" s="53" t="s">
        <v>82</v>
      </c>
      <c r="G6" s="53" t="s">
        <v>83</v>
      </c>
      <c r="H6" s="53" t="s">
        <v>62</v>
      </c>
      <c r="I6" s="53" t="s">
        <v>84</v>
      </c>
      <c r="J6" s="53" t="s">
        <v>85</v>
      </c>
      <c r="K6" s="53" t="s">
        <v>86</v>
      </c>
      <c r="L6" s="53" t="s">
        <v>87</v>
      </c>
      <c r="M6" s="53" t="s">
        <v>88</v>
      </c>
      <c r="N6" s="53" t="s">
        <v>89</v>
      </c>
      <c r="O6" s="53" t="s">
        <v>90</v>
      </c>
      <c r="P6" s="53" t="s">
        <v>91</v>
      </c>
      <c r="Q6" s="53" t="s">
        <v>92</v>
      </c>
      <c r="R6" s="53" t="s">
        <v>93</v>
      </c>
      <c r="S6" s="54" t="s">
        <v>94</v>
      </c>
      <c r="T6" s="54" t="s">
        <v>95</v>
      </c>
      <c r="U6" s="54" t="s">
        <v>96</v>
      </c>
      <c r="V6" s="54" t="s">
        <v>97</v>
      </c>
      <c r="W6" s="53" t="s">
        <v>98</v>
      </c>
      <c r="X6" s="53" t="s">
        <v>99</v>
      </c>
      <c r="Y6" s="53" t="s">
        <v>100</v>
      </c>
      <c r="Z6" s="53" t="s">
        <v>101</v>
      </c>
      <c r="AA6" s="54" t="s">
        <v>102</v>
      </c>
      <c r="AB6" s="54" t="s">
        <v>103</v>
      </c>
      <c r="AC6" s="53" t="s">
        <v>104</v>
      </c>
      <c r="AD6" s="53" t="s">
        <v>105</v>
      </c>
      <c r="AE6" s="54" t="s">
        <v>106</v>
      </c>
      <c r="AF6" s="53" t="s">
        <v>107</v>
      </c>
      <c r="AG6" s="53" t="s">
        <v>108</v>
      </c>
      <c r="AH6" s="53" t="s">
        <v>109</v>
      </c>
      <c r="AI6" s="53" t="s">
        <v>110</v>
      </c>
      <c r="AJ6" s="53" t="s">
        <v>111</v>
      </c>
      <c r="AK6" s="53" t="s">
        <v>112</v>
      </c>
      <c r="AL6" s="53" t="s">
        <v>113</v>
      </c>
      <c r="AM6" s="53" t="s">
        <v>114</v>
      </c>
      <c r="AN6" s="53" t="s">
        <v>115</v>
      </c>
      <c r="AO6" s="53" t="s">
        <v>116</v>
      </c>
      <c r="AP6" s="53" t="s">
        <v>117</v>
      </c>
      <c r="AQ6" s="53" t="s">
        <v>118</v>
      </c>
      <c r="AR6" s="53" t="s">
        <v>119</v>
      </c>
      <c r="AS6" s="53" t="s">
        <v>120</v>
      </c>
      <c r="AT6" s="53" t="s">
        <v>121</v>
      </c>
      <c r="AU6" s="53" t="s">
        <v>122</v>
      </c>
      <c r="AV6" s="53" t="s">
        <v>123</v>
      </c>
      <c r="AW6" s="53" t="s">
        <v>124</v>
      </c>
      <c r="AX6" s="53" t="s">
        <v>125</v>
      </c>
      <c r="AY6" s="53" t="s">
        <v>126</v>
      </c>
      <c r="AZ6" s="53" t="s">
        <v>127</v>
      </c>
      <c r="BA6" s="53" t="s">
        <v>128</v>
      </c>
      <c r="BB6" s="53" t="s">
        <v>129</v>
      </c>
      <c r="BC6" s="53" t="s">
        <v>130</v>
      </c>
      <c r="BD6" s="53" t="s">
        <v>131</v>
      </c>
      <c r="BE6" s="53" t="s">
        <v>132</v>
      </c>
      <c r="BF6" s="53" t="s">
        <v>133</v>
      </c>
      <c r="BG6" s="53" t="s">
        <v>134</v>
      </c>
      <c r="BH6" s="53" t="s">
        <v>135</v>
      </c>
      <c r="BI6" s="53" t="s">
        <v>136</v>
      </c>
      <c r="BJ6" s="54" t="s">
        <v>137</v>
      </c>
      <c r="BK6" s="53" t="s">
        <v>138</v>
      </c>
      <c r="BL6" s="53" t="s">
        <v>139</v>
      </c>
      <c r="BM6" s="53" t="s">
        <v>140</v>
      </c>
      <c r="BN6" s="53" t="s">
        <v>141</v>
      </c>
      <c r="BO6" s="53" t="s">
        <v>142</v>
      </c>
      <c r="BP6" s="53" t="s">
        <v>143</v>
      </c>
      <c r="BQ6" s="53" t="s">
        <v>144</v>
      </c>
      <c r="BR6" s="53" t="s">
        <v>145</v>
      </c>
      <c r="BS6" s="53" t="s">
        <v>146</v>
      </c>
      <c r="BT6" s="53" t="s">
        <v>147</v>
      </c>
      <c r="BU6" s="53" t="s">
        <v>148</v>
      </c>
      <c r="BV6" s="53" t="s">
        <v>149</v>
      </c>
      <c r="BW6" s="53" t="s">
        <v>150</v>
      </c>
      <c r="BX6" s="53" t="s">
        <v>151</v>
      </c>
      <c r="BY6" s="53" t="s">
        <v>152</v>
      </c>
      <c r="BZ6" s="53" t="s">
        <v>153</v>
      </c>
      <c r="CA6" s="53" t="s">
        <v>154</v>
      </c>
      <c r="CB6" s="53" t="s">
        <v>155</v>
      </c>
      <c r="CC6" s="53" t="s">
        <v>156</v>
      </c>
      <c r="CD6" s="53" t="s">
        <v>157</v>
      </c>
      <c r="CE6" s="53" t="s">
        <v>158</v>
      </c>
      <c r="CF6" s="53" t="s">
        <v>159</v>
      </c>
      <c r="CG6" s="53" t="s">
        <v>160</v>
      </c>
      <c r="CH6" s="53" t="s">
        <v>161</v>
      </c>
    </row>
    <row r="7" customFormat="false" ht="15" hidden="false" customHeight="false" outlineLevel="0" collapsed="false">
      <c r="A7" s="55" t="s">
        <v>162</v>
      </c>
      <c r="B7" s="55" t="s">
        <v>163</v>
      </c>
      <c r="C7" s="55" t="s">
        <v>164</v>
      </c>
      <c r="D7" s="55" t="s">
        <v>165</v>
      </c>
      <c r="E7" s="55" t="s">
        <v>166</v>
      </c>
      <c r="F7" s="55" t="s">
        <v>167</v>
      </c>
      <c r="G7" s="56" t="n">
        <v>3724.72</v>
      </c>
      <c r="H7" s="57" t="n">
        <f aca="false">MAX(0,IF(AND(Parameter!$B$21="Ja",ISNUMBER(Y7)),Y7,IF(Parameter!$B$20="Jahresanfang 2025 + Export",BL7+BK7,BK7)))</f>
        <v>18</v>
      </c>
      <c r="I7" s="57" t="n">
        <f aca="false">H7*G7</f>
        <v>67044.96</v>
      </c>
      <c r="J7" s="57" t="n">
        <f aca="false">BN7*Parameter!$B$18</f>
        <v>7</v>
      </c>
      <c r="K7" s="58" t="n">
        <v>12.5</v>
      </c>
      <c r="L7" s="59" t="n">
        <v>0.56</v>
      </c>
      <c r="M7" s="57" t="n">
        <v>2</v>
      </c>
      <c r="N7" s="57" t="n">
        <v>5</v>
      </c>
      <c r="O7" s="60" t="n">
        <v>28</v>
      </c>
      <c r="P7" s="55" t="s">
        <v>168</v>
      </c>
      <c r="Q7" s="57"/>
      <c r="R7" s="60" t="n">
        <f aca="false">IF(BT7=1,0,IFERROR(VLOOKUP(BR7,'Gebinde-Kategorie'!$A$5:$M$45,13,0)+0,0))</f>
        <v>0</v>
      </c>
      <c r="S7" s="61"/>
      <c r="T7" s="62"/>
      <c r="U7" s="62"/>
      <c r="V7" s="62"/>
      <c r="W7" s="55" t="n">
        <v>1</v>
      </c>
      <c r="X7" s="57" t="n">
        <v>22</v>
      </c>
      <c r="Y7" s="57" t="n">
        <v>18</v>
      </c>
      <c r="Z7" s="55" t="n">
        <f aca="false">IF(A7="","",IF(AND(Parameter!$B$21="Ja",ISNUMBER(W7)),W7,IF(BV7="2+3",IF(ISNUMBER(SEARCH("grosser Artikel",BO7)),2,IFERROR(VLOOKUP(BR7,Parameter!$F$35:$G$64,2,0),2)),IF(OR(BV7="Nein",BV7=""),"-",BV7))))</f>
        <v>1</v>
      </c>
      <c r="AA7" s="62"/>
      <c r="AB7" s="63"/>
      <c r="AC7" s="57" t="n">
        <f aca="false">AR7</f>
        <v>7</v>
      </c>
      <c r="AD7" s="57" t="n">
        <f aca="false">MAX(AR7,H7)</f>
        <v>18</v>
      </c>
      <c r="AE7" s="64"/>
      <c r="AF7" s="57" t="n">
        <f aca="false">IF(LEFT(Cockpit!$C$5,1)="A",H7,IF(CA7=1,CB7,IF(LEFT(Cockpit!$C$5,1)="B",AJ7,MAX(AJ7,H7))))</f>
        <v>18</v>
      </c>
      <c r="AG7" s="57" t="n">
        <f aca="false">IF(BT7=1,0,ROUNDUP(AF7/BS7,0))</f>
        <v>0</v>
      </c>
      <c r="AH7" s="59" t="n">
        <f aca="false">IF(CH7&gt;0,CH7*MAX(1,AF7/X7),IF(BT7=1,IF(AF7&lt;=0,0,BW7*MAX(1,IF(H7&gt;0,AF7/H7,1))),IF(R7&gt;0,AG7/R7,0))/MAX(0.1,N(Parameter!$M$21)))</f>
        <v>1.7608286252354</v>
      </c>
      <c r="AI7" s="57" t="n">
        <f aca="false">AF7*G7</f>
        <v>67044.96</v>
      </c>
      <c r="AJ7" s="57" t="n">
        <f aca="false">ROUNDUP(MAX(J7/IF(BZ7&gt;0,BZ7,MAX(0.1,N(Cockpit!$C$6))),CC7)/BS7,0)*BS7</f>
        <v>7</v>
      </c>
      <c r="AK7" s="58" t="n">
        <f aca="false">IF(AH7&gt;0,J7/AH7,-1)</f>
        <v>3.97540106951872</v>
      </c>
      <c r="AL7" s="58" t="n">
        <f aca="false">IF(AND(OR(BY7="L1",BY7="L23"),AH7&gt;0),SUMIFS($AH$7:$AH$1843,$BY$7:$BY$1843,BY7,$AK$7:$AK$1843,"&gt;"&amp;AK7)+SUMIFS($AH$7:$AH$1843,$BY$7:$BY$1843,BY7,$AK$7:$AK$1843,AK7,$BQ$7:$BQ$1843,"&lt;="&amp;BQ7),"")</f>
        <v>46.3412316006273</v>
      </c>
      <c r="AM7" s="65" t="n">
        <f aca="false">IF(AL7="",0,MAX(0,MIN(1,(IF(BY7="L1",Parameter!$E$5,Parameter!$E$6+Parameter!$E$7)-(AL7-AH7))/AH7)))</f>
        <v>1</v>
      </c>
      <c r="AN7" s="57" t="n">
        <f aca="false">IF(LEFT(Cockpit!$I$5,1)="A",H7,IF(CA7=1,CB7,IF(LEFT(Cockpit!$I$5,1)="B",AR7,MAX(AR7,H7))))</f>
        <v>18</v>
      </c>
      <c r="AO7" s="57" t="n">
        <f aca="false">IF(BT7=1,0,ROUNDUP(AN7/BS7,0))</f>
        <v>0</v>
      </c>
      <c r="AP7" s="59" t="n">
        <f aca="false">IF(CH7&gt;0,CH7*MAX(1,AN7/X7),IF(BT7=1,IF(AN7&lt;=0,0,BW7*MAX(1,IF(H7&gt;0,AN7/H7,1))),IF(R7&gt;0,AO7/R7,0))/MAX(0.1,N(Parameter!$M$21)))</f>
        <v>1.7608286252354</v>
      </c>
      <c r="AQ7" s="57" t="n">
        <f aca="false">AN7*G7</f>
        <v>67044.96</v>
      </c>
      <c r="AR7" s="57" t="n">
        <f aca="false">ROUNDUP(MAX(J7/IF(BZ7&gt;0,BZ7,MAX(0.1,N(Cockpit!$I$6))),CC7)/BS7,0)*BS7</f>
        <v>7</v>
      </c>
      <c r="AS7" s="58" t="n">
        <f aca="false">IF(AP7&gt;0,J7/AP7,-1)</f>
        <v>3.97540106951872</v>
      </c>
      <c r="AT7" s="58" t="n">
        <f aca="false">IF(AND(OR(BY7="L1",BY7="L23"),AP7&gt;0),SUMIFS($AP$7:$AP$1843,$BY$7:$BY$1843,BY7,$AS$7:$AS$1843,"&gt;"&amp;AS7)+SUMIFS($AP$7:$AP$1843,$BY$7:$BY$1843,BY7,$AS$7:$AS$1843,AS7,$BQ$7:$BQ$1843,"&lt;="&amp;BQ7),"")</f>
        <v>61.2138232274562</v>
      </c>
      <c r="AU7" s="65" t="n">
        <f aca="false">IF(AT7="",0,MAX(0,MIN(1,(IF(BY7="L1",Parameter!$E$5,Parameter!$E$6+Parameter!$E$7)-(AT7-AP7))/AP7)))</f>
        <v>0</v>
      </c>
      <c r="AV7" s="57" t="n">
        <f aca="false">IF(LEFT(Cockpit!$O$5,1)="A",H7,IF(CA7=1,CB7,IF(LEFT(Cockpit!$O$5,1)="B",AZ7,MAX(AZ7,H7))))</f>
        <v>18</v>
      </c>
      <c r="AW7" s="57" t="n">
        <f aca="false">IF(BT7=1,0,ROUNDUP(AV7/BS7,0))</f>
        <v>0</v>
      </c>
      <c r="AX7" s="59" t="n">
        <f aca="false">IF(CH7&gt;0,CH7*MAX(1,AV7/X7),IF(BT7=1,IF(AV7&lt;=0,0,BW7*MAX(1,IF(H7&gt;0,AV7/H7,1))),IF(R7&gt;0,AW7/R7,0))/MAX(0.1,N(Parameter!$M$21)))</f>
        <v>1.7608286252354</v>
      </c>
      <c r="AY7" s="57" t="n">
        <f aca="false">AV7*G7</f>
        <v>67044.96</v>
      </c>
      <c r="AZ7" s="57" t="n">
        <f aca="false">ROUNDUP(MAX(J7/IF(BZ7&gt;0,BZ7,MAX(0.1,N(Cockpit!$O$6))),CC7)/BS7,0)*BS7</f>
        <v>7</v>
      </c>
      <c r="BA7" s="58" t="n">
        <f aca="false">IF(AX7&gt;0,J7/AX7,-1)</f>
        <v>3.97540106951872</v>
      </c>
      <c r="BB7" s="58" t="n">
        <f aca="false">IF(AND(OR(BY7="L1",BY7="L23"),AX7&gt;0),SUMIFS($AX$7:$AX$1843,$BY$7:$BY$1843,BY7,$BA$7:$BA$1843,"&gt;"&amp;BA7)+SUMIFS($AX$7:$AX$1843,$BY$7:$BY$1843,BY7,$BA$7:$BA$1843,BA7,$BQ$7:$BQ$1843,"&lt;="&amp;BQ7),"")</f>
        <v>54.8806347586746</v>
      </c>
      <c r="BC7" s="65" t="n">
        <f aca="false">IF(BB7="",0,MAX(0,MIN(1,(IF(BY7="L1",Parameter!$E$5,Parameter!$E$6+Parameter!$E$7)-(BB7-AX7))/AX7)))</f>
        <v>0</v>
      </c>
      <c r="BD7" s="55" t="str">
        <f aca="false">IF(AH7&lt;=0,"",IF(BY7="Aussen","Aussenlager",IF(BY7="-","Nicht im Lift",IF(AM7&gt;=1,"Lift",IF(AM7&lt;=0,"Aussenlager","teilweise")))))</f>
        <v>Lift</v>
      </c>
      <c r="BE7" s="55" t="str">
        <f aca="false">IF(AP7&lt;=0,"",IF(BY7="Aussen","Aussenlager",IF(BY7="-","Nicht im Lift",IF(AU7&gt;=1,"Lift",IF(AU7&lt;=0,"Aussenlager","teilweise")))))</f>
        <v>Aussenlager</v>
      </c>
      <c r="BF7" s="55" t="str">
        <f aca="false">IF(AX7&lt;=0,"",IF(BY7="Aussen","Aussenlager",IF(BY7="-","Nicht im Lift",IF(BC7&gt;=1,"Lift",IF(BC7&lt;=0,"Aussenlager","teilweise")))))</f>
        <v>Aussenlager</v>
      </c>
      <c r="BG7" s="55" t="str">
        <f aca="false">IF(A7="","",IF(BP7=1,"Neu; ","")&amp;IF(AND(BP7=0,BK7&lt;0),"negativer Bestand (Export "&amp;BK7&amp;"); ","")&amp;IF(J7&lt;=0,"Kein Verbrauch; ","")&amp;IF(CH7&gt;0,"Lift "&amp;W7&amp;" lt. Liftbericht (Fach "&amp;X7&amp;" Stk); ",IF(BU7=1,"Gebinde geschätzt ("&amp;T7&amp;"); ",IF(BT7=1,"Lose – Tablare geschätzt; ","")))&amp;IF(H7&gt;AR7,"Überbestand "&amp;ROUND(H7-AR7,0)&amp;" Stk / CHF "&amp;ROUND((H7-AR7)*G7,0)&amp;"; ","")&amp;IF(AND(CA7=1,CB7&lt;CC7),"MAX &lt; MB+LG; ","")&amp;IF(AND(CG7&gt;0,CF7*10&gt;CG7),"zu hoch für Tablar; ","")&amp;IF(AND(BP7=0,OR(CA7=1,AA7&lt;&gt;"",U7&lt;&gt;"",V7&lt;&gt;"",AB7&lt;&gt;"")),"manuell übersteuert; ","")&amp;IF(AND(BT7=0,R7=0),"Gebinde unbekannt / Stellmass fehlt; ","")&amp;IF(AND(BT7=0,N(V7)&lt;=0,N(Q7)&lt;=0),"Menge pro Gebinde fehlt (Ist = 1 Gebinde); ","")&amp;BO7)</f>
        <v>Lift 1 lt. Liftbericht (Fach 22 Stk); Überbestand 11 Stk / CHF 40972; </v>
      </c>
      <c r="BH7" s="55" t="s">
        <v>169</v>
      </c>
      <c r="BI7" s="55" t="s">
        <v>170</v>
      </c>
      <c r="BJ7" s="62"/>
      <c r="BK7" s="57" t="n">
        <v>20</v>
      </c>
      <c r="BL7" s="57" t="n">
        <v>7</v>
      </c>
      <c r="BM7" s="56" t="n">
        <v>75034.94</v>
      </c>
      <c r="BN7" s="57" t="n">
        <v>7</v>
      </c>
      <c r="BO7" s="55"/>
      <c r="BP7" s="60" t="n">
        <v>0</v>
      </c>
      <c r="BQ7" s="60" t="n">
        <v>7</v>
      </c>
      <c r="BR7" s="55" t="str">
        <f aca="false">IF(U7&lt;&gt;"",UPPER(TRIM(U7)),IF(BU7=1,UPPER(VLOOKUP(T7,Parameter!$I$27:$K$29,2,0)),IF(P7="","LOSE",P7)))</f>
        <v>LOSE</v>
      </c>
      <c r="BS7" s="57" t="n">
        <f aca="false">IF(BR7="LOSE",1,IF(N(V7)&gt;0,V7,IF(BU7=1,MAX(1,N(VLOOKUP(T7,Parameter!$I$27:$K$29,3,0)),H7,N(N7)),IF(N(Q7)&gt;0,Q7,MAX(1,H7)))))</f>
        <v>1</v>
      </c>
      <c r="BT7" s="60" t="n">
        <f aca="false">IF(BR7="LOSE",1,0)</f>
        <v>1</v>
      </c>
      <c r="BU7" s="60" t="n">
        <f aca="false">IF(AND(U7="",OR(P7="",P7="LOSE"),T7&lt;&gt;"",N(S7)&lt;=0,ISNUMBER(MATCH(T7,Parameter!$I$27:$I$29,0))),1,0)</f>
        <v>0</v>
      </c>
      <c r="BV7" s="55" t="n">
        <f aca="false">IF(AND(Parameter!$B$19="Ja",E7&lt;&gt;"",ISNUMBER(MATCH(E7,Parameter!$I$35:$I$52,0))),VLOOKUP(E7,Parameter!$I$35:$J$52,2,0),IFERROR(VLOOKUP(D7,Parameter!$A$35:$C$64,2,0),"Nein"))</f>
        <v>1</v>
      </c>
      <c r="BW7" s="59" t="n">
        <f aca="false">IF(BT7=0,0,IF(N(S7)&gt;0,S7,IFERROR(VLOOKUP(D7,Parameter!$A$35:$C$64,3,0)+0,0)))</f>
        <v>1</v>
      </c>
      <c r="BX7" s="55" t="n">
        <f aca="false">IF(AA7&lt;&gt;"",AA7,Z7)</f>
        <v>1</v>
      </c>
      <c r="BY7" s="55" t="str">
        <f aca="false">IF(BX7=1,"L1",IF(OR(BX7=2,BX7=3),"L23",IF(BX7="Aussen","Aussen","-")))</f>
        <v>L1</v>
      </c>
      <c r="BZ7" s="66" t="n">
        <f aca="false">IF(N(AB7)&gt;0,AB7,0)</f>
        <v>0</v>
      </c>
      <c r="CA7" s="60" t="n">
        <f aca="false">IF(ISNUMBER(AE7),1,0)</f>
        <v>0</v>
      </c>
      <c r="CB7" s="57" t="n">
        <f aca="false">N(AE7)</f>
        <v>0</v>
      </c>
      <c r="CC7" s="57" t="n">
        <f aca="false">N(M7)+N(N7)</f>
        <v>7</v>
      </c>
      <c r="CD7" s="57" t="n">
        <f aca="false">ROUNDUP(H7/BS7,0)</f>
        <v>18</v>
      </c>
      <c r="CE7" s="57" t="n">
        <f aca="false">ROUNDUP(CB7/BS7,0)</f>
        <v>0</v>
      </c>
      <c r="CF7" s="60" t="n">
        <f aca="false">IF(BT7=1,0,IFERROR(VLOOKUP(BR7,'Gebinde-Kategorie'!$A$5:$M$45,5,0)+0,0))</f>
        <v>0</v>
      </c>
      <c r="CG7" s="60" t="n">
        <f aca="false">IFERROR(IF(OR(BX7=1,BX7=2,BX7=3),N(INDEX(Parameter!$I$5:$I$7,BX7)),0),0)</f>
        <v>0</v>
      </c>
      <c r="CH7" s="59" t="n">
        <f aca="false">IF(AND(Parameter!$B$21="Ja",ISNUMBER(W7),N(X7)&gt;0),IFERROR(N(INDEX(Parameter!$L$5:$L$7,W7))*INDEX(Parameter!$E$5:$E$7,W7)*X7/SUMIFS($X$7:$X$1843,$W$7:$W$1843,W7),0),0)</f>
        <v>1.7608286252354</v>
      </c>
    </row>
    <row r="8" customFormat="false" ht="15" hidden="false" customHeight="false" outlineLevel="0" collapsed="false">
      <c r="A8" s="55" t="s">
        <v>171</v>
      </c>
      <c r="B8" s="55" t="s">
        <v>172</v>
      </c>
      <c r="C8" s="55" t="s">
        <v>167</v>
      </c>
      <c r="D8" s="55" t="s">
        <v>173</v>
      </c>
      <c r="E8" s="55"/>
      <c r="F8" s="55" t="s">
        <v>167</v>
      </c>
      <c r="G8" s="56" t="n">
        <v>718.84</v>
      </c>
      <c r="H8" s="57" t="n">
        <f aca="false">MAX(0,IF(AND(Parameter!$B$21="Ja",ISNUMBER(Y8)),Y8,IF(Parameter!$B$20="Jahresanfang 2025 + Export",BL8+BK8,BK8)))</f>
        <v>94</v>
      </c>
      <c r="I8" s="57" t="n">
        <f aca="false">H8*G8</f>
        <v>67570.96</v>
      </c>
      <c r="J8" s="57" t="n">
        <f aca="false">BN8*Parameter!$B$18</f>
        <v>2</v>
      </c>
      <c r="K8" s="58" t="n">
        <v>74</v>
      </c>
      <c r="L8" s="59" t="n">
        <v>0.027027027027027</v>
      </c>
      <c r="M8" s="57" t="n">
        <v>0</v>
      </c>
      <c r="N8" s="57" t="n">
        <v>1</v>
      </c>
      <c r="O8" s="60" t="n">
        <v>14</v>
      </c>
      <c r="P8" s="55" t="s">
        <v>174</v>
      </c>
      <c r="Q8" s="57" t="n">
        <v>14</v>
      </c>
      <c r="R8" s="60" t="n">
        <f aca="false">IF(BT8=1,0,IFERROR(VLOOKUP(BR8,'Gebinde-Kategorie'!$A$5:$M$45,13,0)+0,0))</f>
        <v>6</v>
      </c>
      <c r="S8" s="61"/>
      <c r="T8" s="62"/>
      <c r="U8" s="62"/>
      <c r="V8" s="62"/>
      <c r="W8" s="55"/>
      <c r="X8" s="57"/>
      <c r="Y8" s="57"/>
      <c r="Z8" s="55" t="n">
        <f aca="false">IF(A8="","",IF(AND(Parameter!$B$21="Ja",ISNUMBER(W8)),W8,IF(BV8="2+3",IF(ISNUMBER(SEARCH("grosser Artikel",BO8)),2,IFERROR(VLOOKUP(BR8,Parameter!$F$35:$G$64,2,0),2)),IF(OR(BV8="Nein",BV8=""),"-",BV8))))</f>
        <v>2</v>
      </c>
      <c r="AA8" s="62"/>
      <c r="AB8" s="63"/>
      <c r="AC8" s="57" t="n">
        <f aca="false">AR8</f>
        <v>14</v>
      </c>
      <c r="AD8" s="57" t="n">
        <f aca="false">MAX(AR8,H8)</f>
        <v>94</v>
      </c>
      <c r="AE8" s="64"/>
      <c r="AF8" s="57" t="n">
        <f aca="false">IF(LEFT(Cockpit!$C$5,1)="A",H8,IF(CA8=1,CB8,IF(LEFT(Cockpit!$C$5,1)="B",AJ8,MAX(AJ8,H8))))</f>
        <v>94</v>
      </c>
      <c r="AG8" s="57" t="n">
        <f aca="false">IF(BT8=1,0,ROUNDUP(AF8/BS8,0))</f>
        <v>7</v>
      </c>
      <c r="AH8" s="59" t="n">
        <f aca="false">IF(CH8&gt;0,CH8*MAX(1,AF8/X8),IF(BT8=1,IF(AF8&lt;=0,0,BW8*MAX(1,IF(H8&gt;0,AF8/H8,1))),IF(R8&gt;0,AG8/R8,0))/MAX(0.1,N(Parameter!$M$21)))</f>
        <v>1.16666666666667</v>
      </c>
      <c r="AI8" s="57" t="n">
        <f aca="false">AF8*G8</f>
        <v>67570.96</v>
      </c>
      <c r="AJ8" s="57" t="n">
        <f aca="false">ROUNDUP(MAX(J8/IF(BZ8&gt;0,BZ8,MAX(0.1,N(Cockpit!$C$6))),CC8)/BS8,0)*BS8</f>
        <v>14</v>
      </c>
      <c r="AK8" s="58" t="n">
        <f aca="false">IF(AH8&gt;0,J8/AH8,-1)</f>
        <v>1.71428571428571</v>
      </c>
      <c r="AL8" s="58" t="n">
        <f aca="false">IF(AND(OR(BY8="L1",BY8="L23"),AH8&gt;0),SUMIFS($AH$7:$AH$1843,$BY$7:$BY$1843,BY8,$AK$7:$AK$1843,"&gt;"&amp;AK8)+SUMIFS($AH$7:$AH$1843,$BY$7:$BY$1843,BY8,$AK$7:$AK$1843,AK8,$BQ$7:$BQ$1843,"&lt;="&amp;BQ8),"")</f>
        <v>59.9920272963751</v>
      </c>
      <c r="AM8" s="65" t="n">
        <f aca="false">IF(AL8="",0,MAX(0,MIN(1,(IF(BY8="L1",Parameter!$E$5,Parameter!$E$6+Parameter!$E$7)-(AL8-AH8))/AH8)))</f>
        <v>1</v>
      </c>
      <c r="AN8" s="57" t="n">
        <f aca="false">IF(LEFT(Cockpit!$I$5,1)="A",H8,IF(CA8=1,CB8,IF(LEFT(Cockpit!$I$5,1)="B",AR8,MAX(AR8,H8))))</f>
        <v>94</v>
      </c>
      <c r="AO8" s="57" t="n">
        <f aca="false">IF(BT8=1,0,ROUNDUP(AN8/BS8,0))</f>
        <v>7</v>
      </c>
      <c r="AP8" s="59" t="n">
        <f aca="false">IF(CH8&gt;0,CH8*MAX(1,AN8/X8),IF(BT8=1,IF(AN8&lt;=0,0,BW8*MAX(1,IF(H8&gt;0,AN8/H8,1))),IF(R8&gt;0,AO8/R8,0))/MAX(0.1,N(Parameter!$M$21)))</f>
        <v>1.16666666666667</v>
      </c>
      <c r="AQ8" s="57" t="n">
        <f aca="false">AN8*G8</f>
        <v>67570.96</v>
      </c>
      <c r="AR8" s="57" t="n">
        <f aca="false">ROUNDUP(MAX(J8/IF(BZ8&gt;0,BZ8,MAX(0.1,N(Cockpit!$I$6))),CC8)/BS8,0)*BS8</f>
        <v>14</v>
      </c>
      <c r="AS8" s="58" t="n">
        <f aca="false">IF(AP8&gt;0,J8/AP8,-1)</f>
        <v>1.71428571428571</v>
      </c>
      <c r="AT8" s="58" t="n">
        <f aca="false">IF(AND(OR(BY8="L1",BY8="L23"),AP8&gt;0),SUMIFS($AP$7:$AP$1843,$BY$7:$BY$1843,BY8,$AS$7:$AS$1843,"&gt;"&amp;AS8)+SUMIFS($AP$7:$AP$1843,$BY$7:$BY$1843,BY8,$AS$7:$AS$1843,AS8,$BQ$7:$BQ$1843,"&lt;="&amp;BQ8),"")</f>
        <v>99.0828181480355</v>
      </c>
      <c r="AU8" s="65" t="n">
        <f aca="false">IF(AT8="",0,MAX(0,MIN(1,(IF(BY8="L1",Parameter!$E$5,Parameter!$E$6+Parameter!$E$7)-(AT8-AP8))/AP8)))</f>
        <v>1</v>
      </c>
      <c r="AV8" s="57" t="n">
        <f aca="false">IF(LEFT(Cockpit!$O$5,1)="A",H8,IF(CA8=1,CB8,IF(LEFT(Cockpit!$O$5,1)="B",AZ8,MAX(AZ8,H8))))</f>
        <v>94</v>
      </c>
      <c r="AW8" s="57" t="n">
        <f aca="false">IF(BT8=1,0,ROUNDUP(AV8/BS8,0))</f>
        <v>7</v>
      </c>
      <c r="AX8" s="59" t="n">
        <f aca="false">IF(CH8&gt;0,CH8*MAX(1,AV8/X8),IF(BT8=1,IF(AV8&lt;=0,0,BW8*MAX(1,IF(H8&gt;0,AV8/H8,1))),IF(R8&gt;0,AW8/R8,0))/MAX(0.1,N(Parameter!$M$21)))</f>
        <v>1.16666666666667</v>
      </c>
      <c r="AY8" s="57" t="n">
        <f aca="false">AV8*G8</f>
        <v>67570.96</v>
      </c>
      <c r="AZ8" s="57" t="n">
        <f aca="false">ROUNDUP(MAX(J8/IF(BZ8&gt;0,BZ8,MAX(0.1,N(Cockpit!$O$6))),CC8)/BS8,0)*BS8</f>
        <v>14</v>
      </c>
      <c r="BA8" s="58" t="n">
        <f aca="false">IF(AX8&gt;0,J8/AX8,-1)</f>
        <v>1.71428571428571</v>
      </c>
      <c r="BB8" s="58" t="n">
        <f aca="false">IF(AND(OR(BY8="L1",BY8="L23"),AX8&gt;0),SUMIFS($AX$7:$AX$1843,$BY$7:$BY$1843,BY8,$BA$7:$BA$1843,"&gt;"&amp;BA8)+SUMIFS($AX$7:$AX$1843,$BY$7:$BY$1843,BY8,$BA$7:$BA$1843,BA8,$BQ$7:$BQ$1843,"&lt;="&amp;BQ8),"")</f>
        <v>89.9126549778724</v>
      </c>
      <c r="BC8" s="65" t="n">
        <f aca="false">IF(BB8="",0,MAX(0,MIN(1,(IF(BY8="L1",Parameter!$E$5,Parameter!$E$6+Parameter!$E$7)-(BB8-AX8))/AX8)))</f>
        <v>1</v>
      </c>
      <c r="BD8" s="55" t="str">
        <f aca="false">IF(AH8&lt;=0,"",IF(BY8="Aussen","Aussenlager",IF(BY8="-","Nicht im Lift",IF(AM8&gt;=1,"Lift",IF(AM8&lt;=0,"Aussenlager","teilweise")))))</f>
        <v>Lift</v>
      </c>
      <c r="BE8" s="55" t="str">
        <f aca="false">IF(AP8&lt;=0,"",IF(BY8="Aussen","Aussenlager",IF(BY8="-","Nicht im Lift",IF(AU8&gt;=1,"Lift",IF(AU8&lt;=0,"Aussenlager","teilweise")))))</f>
        <v>Lift</v>
      </c>
      <c r="BF8" s="55" t="str">
        <f aca="false">IF(AX8&lt;=0,"",IF(BY8="Aussen","Aussenlager",IF(BY8="-","Nicht im Lift",IF(BC8&gt;=1,"Lift",IF(BC8&lt;=0,"Aussenlager","teilweise")))))</f>
        <v>Lift</v>
      </c>
      <c r="BG8" s="55" t="str">
        <f aca="false">IF(A8="","",IF(BP8=1,"Neu; ","")&amp;IF(AND(BP8=0,BK8&lt;0),"negativer Bestand (Export "&amp;BK8&amp;"); ","")&amp;IF(J8&lt;=0,"Kein Verbrauch; ","")&amp;IF(CH8&gt;0,"Lift "&amp;W8&amp;" lt. Liftbericht (Fach "&amp;X8&amp;" Stk); ",IF(BU8=1,"Gebinde geschätzt ("&amp;T8&amp;"); ",IF(BT8=1,"Lose – Tablare geschätzt; ","")))&amp;IF(H8&gt;AR8,"Überbestand "&amp;ROUND(H8-AR8,0)&amp;" Stk / CHF "&amp;ROUND((H8-AR8)*G8,0)&amp;"; ","")&amp;IF(AND(CA8=1,CB8&lt;CC8),"MAX &lt; MB+LG; ","")&amp;IF(AND(CG8&gt;0,CF8*10&gt;CG8),"zu hoch für Tablar; ","")&amp;IF(AND(BP8=0,OR(CA8=1,AA8&lt;&gt;"",U8&lt;&gt;"",V8&lt;&gt;"",AB8&lt;&gt;"")),"manuell übersteuert; ","")&amp;IF(AND(BT8=0,R8=0),"Gebinde unbekannt / Stellmass fehlt; ","")&amp;IF(AND(BT8=0,N(V8)&lt;=0,N(Q8)&lt;=0),"Menge pro Gebinde fehlt (Ist = 1 Gebinde); ","")&amp;BO8)</f>
        <v>Überbestand 80 Stk / CHF 57507; </v>
      </c>
      <c r="BH8" s="55" t="s">
        <v>175</v>
      </c>
      <c r="BI8" s="55" t="s">
        <v>176</v>
      </c>
      <c r="BJ8" s="62"/>
      <c r="BK8" s="57" t="n">
        <v>94</v>
      </c>
      <c r="BL8" s="57" t="n">
        <v>0</v>
      </c>
      <c r="BM8" s="56" t="n">
        <v>67570.96</v>
      </c>
      <c r="BN8" s="57" t="n">
        <v>2</v>
      </c>
      <c r="BO8" s="55"/>
      <c r="BP8" s="60" t="n">
        <v>0</v>
      </c>
      <c r="BQ8" s="60" t="n">
        <v>8</v>
      </c>
      <c r="BR8" s="55" t="str">
        <f aca="false">IF(U8&lt;&gt;"",UPPER(TRIM(U8)),IF(BU8=1,UPPER(VLOOKUP(T8,Parameter!$I$27:$K$29,2,0)),IF(P8="","LOSE",P8)))</f>
        <v>S71</v>
      </c>
      <c r="BS8" s="57" t="n">
        <f aca="false">IF(BR8="LOSE",1,IF(N(V8)&gt;0,V8,IF(BU8=1,MAX(1,N(VLOOKUP(T8,Parameter!$I$27:$K$29,3,0)),H8,N(N8)),IF(N(Q8)&gt;0,Q8,MAX(1,H8)))))</f>
        <v>14</v>
      </c>
      <c r="BT8" s="60" t="n">
        <f aca="false">IF(BR8="LOSE",1,0)</f>
        <v>0</v>
      </c>
      <c r="BU8" s="60" t="n">
        <f aca="false">IF(AND(U8="",OR(P8="",P8="LOSE"),T8&lt;&gt;"",N(S8)&lt;=0,ISNUMBER(MATCH(T8,Parameter!$I$27:$I$29,0))),1,0)</f>
        <v>0</v>
      </c>
      <c r="BV8" s="55" t="str">
        <f aca="false">IF(AND(Parameter!$B$19="Ja",E8&lt;&gt;"",ISNUMBER(MATCH(E8,Parameter!$I$35:$I$52,0))),VLOOKUP(E8,Parameter!$I$35:$J$52,2,0),IFERROR(VLOOKUP(D8,Parameter!$A$35:$C$64,2,0),"Nein"))</f>
        <v>2+3</v>
      </c>
      <c r="BW8" s="59" t="n">
        <f aca="false">IF(BT8=0,0,IF(N(S8)&gt;0,S8,IFERROR(VLOOKUP(D8,Parameter!$A$35:$C$64,3,0)+0,0)))</f>
        <v>0</v>
      </c>
      <c r="BX8" s="55" t="n">
        <f aca="false">IF(AA8&lt;&gt;"",AA8,Z8)</f>
        <v>2</v>
      </c>
      <c r="BY8" s="55" t="str">
        <f aca="false">IF(BX8=1,"L1",IF(OR(BX8=2,BX8=3),"L23",IF(BX8="Aussen","Aussen","-")))</f>
        <v>L23</v>
      </c>
      <c r="BZ8" s="66" t="n">
        <f aca="false">IF(N(AB8)&gt;0,AB8,0)</f>
        <v>0</v>
      </c>
      <c r="CA8" s="60" t="n">
        <f aca="false">IF(ISNUMBER(AE8),1,0)</f>
        <v>0</v>
      </c>
      <c r="CB8" s="57" t="n">
        <f aca="false">N(AE8)</f>
        <v>0</v>
      </c>
      <c r="CC8" s="57" t="n">
        <f aca="false">N(M8)+N(N8)</f>
        <v>1</v>
      </c>
      <c r="CD8" s="57" t="n">
        <f aca="false">ROUNDUP(H8/BS8,0)</f>
        <v>7</v>
      </c>
      <c r="CE8" s="57" t="n">
        <f aca="false">ROUNDUP(CB8/BS8,0)</f>
        <v>0</v>
      </c>
      <c r="CF8" s="60" t="n">
        <f aca="false">IF(BT8=1,0,IFERROR(VLOOKUP(BR8,'Gebinde-Kategorie'!$A$5:$M$45,5,0)+0,0))</f>
        <v>20</v>
      </c>
      <c r="CG8" s="60" t="n">
        <f aca="false">IFERROR(IF(OR(BX8=1,BX8=2,BX8=3),N(INDEX(Parameter!$I$5:$I$7,BX8)),0),0)</f>
        <v>0</v>
      </c>
      <c r="CH8" s="59" t="n">
        <f aca="false">IF(AND(Parameter!$B$21="Ja",ISNUMBER(W8),N(X8)&gt;0),IFERROR(N(INDEX(Parameter!$L$5:$L$7,W8))*INDEX(Parameter!$E$5:$E$7,W8)*X8/SUMIFS($X$7:$X$1843,$W$7:$W$1843,W8),0),0)</f>
        <v>0</v>
      </c>
    </row>
    <row r="9" customFormat="false" ht="15" hidden="false" customHeight="false" outlineLevel="0" collapsed="false">
      <c r="A9" s="55" t="s">
        <v>177</v>
      </c>
      <c r="B9" s="55" t="s">
        <v>178</v>
      </c>
      <c r="C9" s="55" t="s">
        <v>164</v>
      </c>
      <c r="D9" s="55" t="s">
        <v>173</v>
      </c>
      <c r="E9" s="55"/>
      <c r="F9" s="55" t="s">
        <v>167</v>
      </c>
      <c r="G9" s="56" t="n">
        <v>1980</v>
      </c>
      <c r="H9" s="57" t="n">
        <f aca="false">MAX(0,IF(AND(Parameter!$B$21="Ja",ISNUMBER(Y9)),Y9,IF(Parameter!$B$20="Jahresanfang 2025 + Export",BL9+BK9,BK9)))</f>
        <v>32</v>
      </c>
      <c r="I9" s="57" t="n">
        <f aca="false">H9*G9</f>
        <v>63360</v>
      </c>
      <c r="J9" s="57" t="n">
        <f aca="false">BN9*Parameter!$B$18</f>
        <v>11</v>
      </c>
      <c r="K9" s="58" t="n">
        <v>0.5</v>
      </c>
      <c r="L9" s="59" t="n">
        <v>22</v>
      </c>
      <c r="M9" s="57" t="n">
        <v>2</v>
      </c>
      <c r="N9" s="57" t="n">
        <v>5</v>
      </c>
      <c r="O9" s="60" t="n">
        <v>80</v>
      </c>
      <c r="P9" s="55" t="s">
        <v>168</v>
      </c>
      <c r="Q9" s="57"/>
      <c r="R9" s="60" t="n">
        <f aca="false">IF(BT9=1,0,IFERROR(VLOOKUP(BR9,'Gebinde-Kategorie'!$A$5:$M$45,13,0)+0,0))</f>
        <v>12</v>
      </c>
      <c r="S9" s="61"/>
      <c r="T9" s="62" t="s">
        <v>179</v>
      </c>
      <c r="U9" s="62"/>
      <c r="V9" s="62"/>
      <c r="W9" s="55"/>
      <c r="X9" s="57"/>
      <c r="Y9" s="57"/>
      <c r="Z9" s="55" t="n">
        <f aca="false">IF(A9="","",IF(AND(Parameter!$B$21="Ja",ISNUMBER(W9)),W9,IF(BV9="2+3",IF(ISNUMBER(SEARCH("grosser Artikel",BO9)),2,IFERROR(VLOOKUP(BR9,Parameter!$F$35:$G$64,2,0),2)),IF(OR(BV9="Nein",BV9=""),"-",BV9))))</f>
        <v>2</v>
      </c>
      <c r="AA9" s="62"/>
      <c r="AB9" s="63"/>
      <c r="AC9" s="57" t="n">
        <f aca="false">AR9</f>
        <v>32</v>
      </c>
      <c r="AD9" s="57" t="n">
        <f aca="false">MAX(AR9,H9)</f>
        <v>32</v>
      </c>
      <c r="AE9" s="64"/>
      <c r="AF9" s="57" t="n">
        <f aca="false">IF(LEFT(Cockpit!$C$5,1)="A",H9,IF(CA9=1,CB9,IF(LEFT(Cockpit!$C$5,1)="B",AJ9,MAX(AJ9,H9))))</f>
        <v>32</v>
      </c>
      <c r="AG9" s="57" t="n">
        <f aca="false">IF(BT9=1,0,ROUNDUP(AF9/BS9,0))</f>
        <v>1</v>
      </c>
      <c r="AH9" s="59" t="n">
        <f aca="false">IF(CH9&gt;0,CH9*MAX(1,AF9/X9),IF(BT9=1,IF(AF9&lt;=0,0,BW9*MAX(1,IF(H9&gt;0,AF9/H9,1))),IF(R9&gt;0,AG9/R9,0))/MAX(0.1,N(Parameter!$M$21)))</f>
        <v>0.0833333333333333</v>
      </c>
      <c r="AI9" s="57" t="n">
        <f aca="false">AF9*G9</f>
        <v>63360</v>
      </c>
      <c r="AJ9" s="57" t="n">
        <f aca="false">ROUNDUP(MAX(J9/IF(BZ9&gt;0,BZ9,MAX(0.1,N(Cockpit!$C$6))),CC9)/BS9,0)*BS9</f>
        <v>32</v>
      </c>
      <c r="AK9" s="58" t="n">
        <f aca="false">IF(AH9&gt;0,J9/AH9,-1)</f>
        <v>132</v>
      </c>
      <c r="AL9" s="58" t="n">
        <f aca="false">IF(AND(OR(BY9="L1",BY9="L23"),AH9&gt;0),SUMIFS($AH$7:$AH$1843,$BY$7:$BY$1843,BY9,$AK$7:$AK$1843,"&gt;"&amp;AK9)+SUMIFS($AH$7:$AH$1843,$BY$7:$BY$1843,BY9,$AK$7:$AK$1843,AK9,$BQ$7:$BQ$1843,"&lt;="&amp;BQ9),"")</f>
        <v>35.7585385628864</v>
      </c>
      <c r="AM9" s="65" t="n">
        <f aca="false">IF(AL9="",0,MAX(0,MIN(1,(IF(BY9="L1",Parameter!$E$5,Parameter!$E$6+Parameter!$E$7)-(AL9-AH9))/AH9)))</f>
        <v>1</v>
      </c>
      <c r="AN9" s="57" t="n">
        <f aca="false">IF(LEFT(Cockpit!$I$5,1)="A",H9,IF(CA9=1,CB9,IF(LEFT(Cockpit!$I$5,1)="B",AR9,MAX(AR9,H9))))</f>
        <v>32</v>
      </c>
      <c r="AO9" s="57" t="n">
        <f aca="false">IF(BT9=1,0,ROUNDUP(AN9/BS9,0))</f>
        <v>1</v>
      </c>
      <c r="AP9" s="59" t="n">
        <f aca="false">IF(CH9&gt;0,CH9*MAX(1,AN9/X9),IF(BT9=1,IF(AN9&lt;=0,0,BW9*MAX(1,IF(H9&gt;0,AN9/H9,1))),IF(R9&gt;0,AO9/R9,0))/MAX(0.1,N(Parameter!$M$21)))</f>
        <v>0.0833333333333333</v>
      </c>
      <c r="AQ9" s="57" t="n">
        <f aca="false">AN9*G9</f>
        <v>63360</v>
      </c>
      <c r="AR9" s="57" t="n">
        <f aca="false">ROUNDUP(MAX(J9/IF(BZ9&gt;0,BZ9,MAX(0.1,N(Cockpit!$I$6))),CC9)/BS9,0)*BS9</f>
        <v>32</v>
      </c>
      <c r="AS9" s="58" t="n">
        <f aca="false">IF(AP9&gt;0,J9/AP9,-1)</f>
        <v>132</v>
      </c>
      <c r="AT9" s="58" t="n">
        <f aca="false">IF(AND(OR(BY9="L1",BY9="L23"),AP9&gt;0),SUMIFS($AP$7:$AP$1843,$BY$7:$BY$1843,BY9,$AS$7:$AS$1843,"&gt;"&amp;AS9)+SUMIFS($AP$7:$AP$1843,$BY$7:$BY$1843,BY9,$AS$7:$AS$1843,AS9,$BQ$7:$BQ$1843,"&lt;="&amp;BQ9),"")</f>
        <v>51.6576044728219</v>
      </c>
      <c r="AU9" s="65" t="n">
        <f aca="false">IF(AT9="",0,MAX(0,MIN(1,(IF(BY9="L1",Parameter!$E$5,Parameter!$E$6+Parameter!$E$7)-(AT9-AP9))/AP9)))</f>
        <v>1</v>
      </c>
      <c r="AV9" s="57" t="n">
        <f aca="false">IF(LEFT(Cockpit!$O$5,1)="A",H9,IF(CA9=1,CB9,IF(LEFT(Cockpit!$O$5,1)="B",AZ9,MAX(AZ9,H9))))</f>
        <v>32</v>
      </c>
      <c r="AW9" s="57" t="n">
        <f aca="false">IF(BT9=1,0,ROUNDUP(AV9/BS9,0))</f>
        <v>1</v>
      </c>
      <c r="AX9" s="59" t="n">
        <f aca="false">IF(CH9&gt;0,CH9*MAX(1,AV9/X9),IF(BT9=1,IF(AV9&lt;=0,0,BW9*MAX(1,IF(H9&gt;0,AV9/H9,1))),IF(R9&gt;0,AW9/R9,0))/MAX(0.1,N(Parameter!$M$21)))</f>
        <v>0.0833333333333333</v>
      </c>
      <c r="AY9" s="57" t="n">
        <f aca="false">AV9*G9</f>
        <v>63360</v>
      </c>
      <c r="AZ9" s="57" t="n">
        <f aca="false">ROUNDUP(MAX(J9/IF(BZ9&gt;0,BZ9,MAX(0.1,N(Cockpit!$O$6))),CC9)/BS9,0)*BS9</f>
        <v>32</v>
      </c>
      <c r="BA9" s="58" t="n">
        <f aca="false">IF(AX9&gt;0,J9/AX9,-1)</f>
        <v>132</v>
      </c>
      <c r="BB9" s="58" t="n">
        <f aca="false">IF(AND(OR(BY9="L1",BY9="L23"),AX9&gt;0),SUMIFS($AX$7:$AX$1843,$BY$7:$BY$1843,BY9,$BA$7:$BA$1843,"&gt;"&amp;BA9)+SUMIFS($AX$7:$AX$1843,$BY$7:$BY$1843,BY9,$BA$7:$BA$1843,BA9,$BQ$7:$BQ$1843,"&lt;="&amp;BQ9),"")</f>
        <v>48.2374413026587</v>
      </c>
      <c r="BC9" s="65" t="n">
        <f aca="false">IF(BB9="",0,MAX(0,MIN(1,(IF(BY9="L1",Parameter!$E$5,Parameter!$E$6+Parameter!$E$7)-(BB9-AX9))/AX9)))</f>
        <v>1</v>
      </c>
      <c r="BD9" s="55" t="str">
        <f aca="false">IF(AH9&lt;=0,"",IF(BY9="Aussen","Aussenlager",IF(BY9="-","Nicht im Lift",IF(AM9&gt;=1,"Lift",IF(AM9&lt;=0,"Aussenlager","teilweise")))))</f>
        <v>Lift</v>
      </c>
      <c r="BE9" s="55" t="str">
        <f aca="false">IF(AP9&lt;=0,"",IF(BY9="Aussen","Aussenlager",IF(BY9="-","Nicht im Lift",IF(AU9&gt;=1,"Lift",IF(AU9&lt;=0,"Aussenlager","teilweise")))))</f>
        <v>Lift</v>
      </c>
      <c r="BF9" s="55" t="str">
        <f aca="false">IF(AX9&lt;=0,"",IF(BY9="Aussen","Aussenlager",IF(BY9="-","Nicht im Lift",IF(BC9&gt;=1,"Lift",IF(BC9&lt;=0,"Aussenlager","teilweise")))))</f>
        <v>Lift</v>
      </c>
      <c r="BG9" s="55" t="str">
        <f aca="false">IF(A9="","",IF(BP9=1,"Neu; ","")&amp;IF(AND(BP9=0,BK9&lt;0),"negativer Bestand (Export "&amp;BK9&amp;"); ","")&amp;IF(J9&lt;=0,"Kein Verbrauch; ","")&amp;IF(CH9&gt;0,"Lift "&amp;W9&amp;" lt. Liftbericht (Fach "&amp;X9&amp;" Stk); ",IF(BU9=1,"Gebinde geschätzt ("&amp;T9&amp;"); ",IF(BT9=1,"Lose – Tablare geschätzt; ","")))&amp;IF(H9&gt;AR9,"Überbestand "&amp;ROUND(H9-AR9,0)&amp;" Stk / CHF "&amp;ROUND((H9-AR9)*G9,0)&amp;"; ","")&amp;IF(AND(CA9=1,CB9&lt;CC9),"MAX &lt; MB+LG; ","")&amp;IF(AND(CG9&gt;0,CF9*10&gt;CG9),"zu hoch für Tablar; ","")&amp;IF(AND(BP9=0,OR(CA9=1,AA9&lt;&gt;"",U9&lt;&gt;"",V9&lt;&gt;"",AB9&lt;&gt;"")),"manuell übersteuert; ","")&amp;IF(AND(BT9=0,R9=0),"Gebinde unbekannt / Stellmass fehlt; ","")&amp;IF(AND(BT9=0,N(V9)&lt;=0,N(Q9)&lt;=0),"Menge pro Gebinde fehlt (Ist = 1 Gebinde); ","")&amp;BO9)</f>
        <v>Gebinde geschätzt (Mittel); Menge pro Gebinde fehlt (Ist = 1 Gebinde); </v>
      </c>
      <c r="BH9" s="55"/>
      <c r="BI9" s="55"/>
      <c r="BJ9" s="62"/>
      <c r="BK9" s="57" t="n">
        <v>32</v>
      </c>
      <c r="BL9" s="57" t="n">
        <v>0</v>
      </c>
      <c r="BM9" s="56" t="n">
        <v>63360</v>
      </c>
      <c r="BN9" s="57" t="n">
        <v>11</v>
      </c>
      <c r="BO9" s="55"/>
      <c r="BP9" s="60" t="n">
        <v>0</v>
      </c>
      <c r="BQ9" s="60" t="n">
        <v>9</v>
      </c>
      <c r="BR9" s="55" t="str">
        <f aca="false">IF(U9&lt;&gt;"",UPPER(TRIM(U9)),IF(BU9=1,UPPER(VLOOKUP(T9,Parameter!$I$27:$K$29,2,0)),IF(P9="","LOSE",P9)))</f>
        <v>S61</v>
      </c>
      <c r="BS9" s="57" t="n">
        <f aca="false">IF(BR9="LOSE",1,IF(N(V9)&gt;0,V9,IF(BU9=1,MAX(1,N(VLOOKUP(T9,Parameter!$I$27:$K$29,3,0)),H9,N(N9)),IF(N(Q9)&gt;0,Q9,MAX(1,H9)))))</f>
        <v>32</v>
      </c>
      <c r="BT9" s="60" t="n">
        <f aca="false">IF(BR9="LOSE",1,0)</f>
        <v>0</v>
      </c>
      <c r="BU9" s="60" t="n">
        <f aca="false">IF(AND(U9="",OR(P9="",P9="LOSE"),T9&lt;&gt;"",N(S9)&lt;=0,ISNUMBER(MATCH(T9,Parameter!$I$27:$I$29,0))),1,0)</f>
        <v>1</v>
      </c>
      <c r="BV9" s="55" t="str">
        <f aca="false">IF(AND(Parameter!$B$19="Ja",E9&lt;&gt;"",ISNUMBER(MATCH(E9,Parameter!$I$35:$I$52,0))),VLOOKUP(E9,Parameter!$I$35:$J$52,2,0),IFERROR(VLOOKUP(D9,Parameter!$A$35:$C$64,2,0),"Nein"))</f>
        <v>2+3</v>
      </c>
      <c r="BW9" s="59" t="n">
        <f aca="false">IF(BT9=0,0,IF(N(S9)&gt;0,S9,IFERROR(VLOOKUP(D9,Parameter!$A$35:$C$64,3,0)+0,0)))</f>
        <v>0</v>
      </c>
      <c r="BX9" s="55" t="n">
        <f aca="false">IF(AA9&lt;&gt;"",AA9,Z9)</f>
        <v>2</v>
      </c>
      <c r="BY9" s="55" t="str">
        <f aca="false">IF(BX9=1,"L1",IF(OR(BX9=2,BX9=3),"L23",IF(BX9="Aussen","Aussen","-")))</f>
        <v>L23</v>
      </c>
      <c r="BZ9" s="66" t="n">
        <f aca="false">IF(N(AB9)&gt;0,AB9,0)</f>
        <v>0</v>
      </c>
      <c r="CA9" s="60" t="n">
        <f aca="false">IF(ISNUMBER(AE9),1,0)</f>
        <v>0</v>
      </c>
      <c r="CB9" s="57" t="n">
        <f aca="false">N(AE9)</f>
        <v>0</v>
      </c>
      <c r="CC9" s="57" t="n">
        <f aca="false">N(M9)+N(N9)</f>
        <v>7</v>
      </c>
      <c r="CD9" s="57" t="n">
        <f aca="false">ROUNDUP(H9/BS9,0)</f>
        <v>1</v>
      </c>
      <c r="CE9" s="57" t="n">
        <f aca="false">ROUNDUP(CB9/BS9,0)</f>
        <v>0</v>
      </c>
      <c r="CF9" s="60" t="n">
        <f aca="false">IF(BT9=1,0,IFERROR(VLOOKUP(BR9,'Gebinde-Kategorie'!$A$5:$M$45,5,0)+0,0))</f>
        <v>11</v>
      </c>
      <c r="CG9" s="60" t="n">
        <f aca="false">IFERROR(IF(OR(BX9=1,BX9=2,BX9=3),N(INDEX(Parameter!$I$5:$I$7,BX9)),0),0)</f>
        <v>0</v>
      </c>
      <c r="CH9" s="59" t="n">
        <f aca="false">IF(AND(Parameter!$B$21="Ja",ISNUMBER(W9),N(X9)&gt;0),IFERROR(N(INDEX(Parameter!$L$5:$L$7,W9))*INDEX(Parameter!$E$5:$E$7,W9)*X9/SUMIFS($X$7:$X$1843,$W$7:$W$1843,W9),0),0)</f>
        <v>0</v>
      </c>
    </row>
    <row r="10" customFormat="false" ht="15" hidden="false" customHeight="false" outlineLevel="0" collapsed="false">
      <c r="A10" s="55" t="s">
        <v>180</v>
      </c>
      <c r="B10" s="55" t="s">
        <v>181</v>
      </c>
      <c r="C10" s="55" t="s">
        <v>164</v>
      </c>
      <c r="D10" s="55" t="s">
        <v>173</v>
      </c>
      <c r="E10" s="55"/>
      <c r="F10" s="55" t="s">
        <v>167</v>
      </c>
      <c r="G10" s="56" t="n">
        <v>5151.64</v>
      </c>
      <c r="H10" s="57" t="n">
        <f aca="false">MAX(0,IF(AND(Parameter!$B$21="Ja",ISNUMBER(Y10)),Y10,IF(Parameter!$B$20="Jahresanfang 2025 + Export",BL10+BK10,BK10)))</f>
        <v>11</v>
      </c>
      <c r="I10" s="57" t="n">
        <f aca="false">H10*G10</f>
        <v>56668.04</v>
      </c>
      <c r="J10" s="57" t="n">
        <f aca="false">BN10*Parameter!$B$18</f>
        <v>20</v>
      </c>
      <c r="K10" s="58" t="n">
        <v>12</v>
      </c>
      <c r="L10" s="59" t="n">
        <v>1.66666666666667</v>
      </c>
      <c r="M10" s="57" t="n">
        <v>5</v>
      </c>
      <c r="N10" s="57" t="n">
        <v>5</v>
      </c>
      <c r="O10" s="60" t="n">
        <v>28</v>
      </c>
      <c r="P10" s="55" t="s">
        <v>168</v>
      </c>
      <c r="Q10" s="57"/>
      <c r="R10" s="60" t="n">
        <f aca="false">IF(BT10=1,0,IFERROR(VLOOKUP(BR10,'Gebinde-Kategorie'!$A$5:$M$45,13,0)+0,0))</f>
        <v>12</v>
      </c>
      <c r="S10" s="61"/>
      <c r="T10" s="62" t="s">
        <v>179</v>
      </c>
      <c r="U10" s="62"/>
      <c r="V10" s="62"/>
      <c r="W10" s="55"/>
      <c r="X10" s="57"/>
      <c r="Y10" s="57"/>
      <c r="Z10" s="55" t="n">
        <f aca="false">IF(A10="","",IF(AND(Parameter!$B$21="Ja",ISNUMBER(W10)),W10,IF(BV10="2+3",IF(ISNUMBER(SEARCH("grosser Artikel",BO10)),2,IFERROR(VLOOKUP(BR10,Parameter!$F$35:$G$64,2,0),2)),IF(OR(BV10="Nein",BV10=""),"-",BV10))))</f>
        <v>2</v>
      </c>
      <c r="AA10" s="62"/>
      <c r="AB10" s="63"/>
      <c r="AC10" s="57" t="n">
        <f aca="false">AR10</f>
        <v>11</v>
      </c>
      <c r="AD10" s="57" t="n">
        <f aca="false">MAX(AR10,H10)</f>
        <v>11</v>
      </c>
      <c r="AE10" s="64"/>
      <c r="AF10" s="57" t="n">
        <f aca="false">IF(LEFT(Cockpit!$C$5,1)="A",H10,IF(CA10=1,CB10,IF(LEFT(Cockpit!$C$5,1)="B",AJ10,MAX(AJ10,H10))))</f>
        <v>11</v>
      </c>
      <c r="AG10" s="57" t="n">
        <f aca="false">IF(BT10=1,0,ROUNDUP(AF10/BS10,0))</f>
        <v>1</v>
      </c>
      <c r="AH10" s="59" t="n">
        <f aca="false">IF(CH10&gt;0,CH10*MAX(1,AF10/X10),IF(BT10=1,IF(AF10&lt;=0,0,BW10*MAX(1,IF(H10&gt;0,AF10/H10,1))),IF(R10&gt;0,AG10/R10,0))/MAX(0.1,N(Parameter!$M$21)))</f>
        <v>0.0833333333333333</v>
      </c>
      <c r="AI10" s="57" t="n">
        <f aca="false">AF10*G10</f>
        <v>56668.04</v>
      </c>
      <c r="AJ10" s="57" t="n">
        <f aca="false">ROUNDUP(MAX(J10/IF(BZ10&gt;0,BZ10,MAX(0.1,N(Cockpit!$C$6))),CC10)/BS10,0)*BS10</f>
        <v>11</v>
      </c>
      <c r="AK10" s="58" t="n">
        <f aca="false">IF(AH10&gt;0,J10/AH10,-1)</f>
        <v>240</v>
      </c>
      <c r="AL10" s="58" t="n">
        <f aca="false">IF(AND(OR(BY10="L1",BY10="L23"),AH10&gt;0),SUMIFS($AH$7:$AH$1843,$BY$7:$BY$1843,BY10,$AK$7:$AK$1843,"&gt;"&amp;AK10)+SUMIFS($AH$7:$AH$1843,$BY$7:$BY$1843,BY10,$AK$7:$AK$1843,AK10,$BQ$7:$BQ$1843,"&lt;="&amp;BQ10),"")</f>
        <v>29.9837758859498</v>
      </c>
      <c r="AM10" s="65" t="n">
        <f aca="false">IF(AL10="",0,MAX(0,MIN(1,(IF(BY10="L1",Parameter!$E$5,Parameter!$E$6+Parameter!$E$7)-(AL10-AH10))/AH10)))</f>
        <v>1</v>
      </c>
      <c r="AN10" s="57" t="n">
        <f aca="false">IF(LEFT(Cockpit!$I$5,1)="A",H10,IF(CA10=1,CB10,IF(LEFT(Cockpit!$I$5,1)="B",AR10,MAX(AR10,H10))))</f>
        <v>11</v>
      </c>
      <c r="AO10" s="57" t="n">
        <f aca="false">IF(BT10=1,0,ROUNDUP(AN10/BS10,0))</f>
        <v>1</v>
      </c>
      <c r="AP10" s="59" t="n">
        <f aca="false">IF(CH10&gt;0,CH10*MAX(1,AN10/X10),IF(BT10=1,IF(AN10&lt;=0,0,BW10*MAX(1,IF(H10&gt;0,AN10/H10,1))),IF(R10&gt;0,AO10/R10,0))/MAX(0.1,N(Parameter!$M$21)))</f>
        <v>0.0833333333333333</v>
      </c>
      <c r="AQ10" s="57" t="n">
        <f aca="false">AN10*G10</f>
        <v>56668.04</v>
      </c>
      <c r="AR10" s="57" t="n">
        <f aca="false">ROUNDUP(MAX(J10/IF(BZ10&gt;0,BZ10,MAX(0.1,N(Cockpit!$I$6))),CC10)/BS10,0)*BS10</f>
        <v>11</v>
      </c>
      <c r="AS10" s="58" t="n">
        <f aca="false">IF(AP10&gt;0,J10/AP10,-1)</f>
        <v>240</v>
      </c>
      <c r="AT10" s="58" t="n">
        <f aca="false">IF(AND(OR(BY10="L1",BY10="L23"),AP10&gt;0),SUMIFS($AP$7:$AP$1843,$BY$7:$BY$1843,BY10,$AS$7:$AS$1843,"&gt;"&amp;AS10)+SUMIFS($AP$7:$AP$1843,$BY$7:$BY$1843,BY10,$AS$7:$AS$1843,AS10,$BQ$7:$BQ$1843,"&lt;="&amp;BQ10),"")</f>
        <v>42.9620958751394</v>
      </c>
      <c r="AU10" s="65" t="n">
        <f aca="false">IF(AT10="",0,MAX(0,MIN(1,(IF(BY10="L1",Parameter!$E$5,Parameter!$E$6+Parameter!$E$7)-(AT10-AP10))/AP10)))</f>
        <v>1</v>
      </c>
      <c r="AV10" s="57" t="n">
        <f aca="false">IF(LEFT(Cockpit!$O$5,1)="A",H10,IF(CA10=1,CB10,IF(LEFT(Cockpit!$O$5,1)="B",AZ10,MAX(AZ10,H10))))</f>
        <v>11</v>
      </c>
      <c r="AW10" s="57" t="n">
        <f aca="false">IF(BT10=1,0,ROUNDUP(AV10/BS10,0))</f>
        <v>1</v>
      </c>
      <c r="AX10" s="59" t="n">
        <f aca="false">IF(CH10&gt;0,CH10*MAX(1,AV10/X10),IF(BT10=1,IF(AV10&lt;=0,0,BW10*MAX(1,IF(H10&gt;0,AV10/H10,1))),IF(R10&gt;0,AW10/R10,0))/MAX(0.1,N(Parameter!$M$21)))</f>
        <v>0.0833333333333333</v>
      </c>
      <c r="AY10" s="57" t="n">
        <f aca="false">AV10*G10</f>
        <v>56668.04</v>
      </c>
      <c r="AZ10" s="57" t="n">
        <f aca="false">ROUNDUP(MAX(J10/IF(BZ10&gt;0,BZ10,MAX(0.1,N(Cockpit!$O$6))),CC10)/BS10,0)*BS10</f>
        <v>11</v>
      </c>
      <c r="BA10" s="58" t="n">
        <f aca="false">IF(AX10&gt;0,J10/AX10,-1)</f>
        <v>240</v>
      </c>
      <c r="BB10" s="58" t="n">
        <f aca="false">IF(AND(OR(BY10="L1",BY10="L23"),AX10&gt;0),SUMIFS($AX$7:$AX$1843,$BY$7:$BY$1843,BY10,$BA$7:$BA$1843,"&gt;"&amp;BA10)+SUMIFS($AX$7:$AX$1843,$BY$7:$BY$1843,BY10,$BA$7:$BA$1843,BA10,$BQ$7:$BQ$1843,"&lt;="&amp;BQ10),"")</f>
        <v>40.2085993716429</v>
      </c>
      <c r="BC10" s="65" t="n">
        <f aca="false">IF(BB10="",0,MAX(0,MIN(1,(IF(BY10="L1",Parameter!$E$5,Parameter!$E$6+Parameter!$E$7)-(BB10-AX10))/AX10)))</f>
        <v>1</v>
      </c>
      <c r="BD10" s="55" t="str">
        <f aca="false">IF(AH10&lt;=0,"",IF(BY10="Aussen","Aussenlager",IF(BY10="-","Nicht im Lift",IF(AM10&gt;=1,"Lift",IF(AM10&lt;=0,"Aussenlager","teilweise")))))</f>
        <v>Lift</v>
      </c>
      <c r="BE10" s="55" t="str">
        <f aca="false">IF(AP10&lt;=0,"",IF(BY10="Aussen","Aussenlager",IF(BY10="-","Nicht im Lift",IF(AU10&gt;=1,"Lift",IF(AU10&lt;=0,"Aussenlager","teilweise")))))</f>
        <v>Lift</v>
      </c>
      <c r="BF10" s="55" t="str">
        <f aca="false">IF(AX10&lt;=0,"",IF(BY10="Aussen","Aussenlager",IF(BY10="-","Nicht im Lift",IF(BC10&gt;=1,"Lift",IF(BC10&lt;=0,"Aussenlager","teilweise")))))</f>
        <v>Lift</v>
      </c>
      <c r="BG10" s="55" t="str">
        <f aca="false">IF(A10="","",IF(BP10=1,"Neu; ","")&amp;IF(AND(BP10=0,BK10&lt;0),"negativer Bestand (Export "&amp;BK10&amp;"); ","")&amp;IF(J10&lt;=0,"Kein Verbrauch; ","")&amp;IF(CH10&gt;0,"Lift "&amp;W10&amp;" lt. Liftbericht (Fach "&amp;X10&amp;" Stk); ",IF(BU10=1,"Gebinde geschätzt ("&amp;T10&amp;"); ",IF(BT10=1,"Lose – Tablare geschätzt; ","")))&amp;IF(H10&gt;AR10,"Überbestand "&amp;ROUND(H10-AR10,0)&amp;" Stk / CHF "&amp;ROUND((H10-AR10)*G10,0)&amp;"; ","")&amp;IF(AND(CA10=1,CB10&lt;CC10),"MAX &lt; MB+LG; ","")&amp;IF(AND(CG10&gt;0,CF10*10&gt;CG10),"zu hoch für Tablar; ","")&amp;IF(AND(BP10=0,OR(CA10=1,AA10&lt;&gt;"",U10&lt;&gt;"",V10&lt;&gt;"",AB10&lt;&gt;"")),"manuell übersteuert; ","")&amp;IF(AND(BT10=0,R10=0),"Gebinde unbekannt / Stellmass fehlt; ","")&amp;IF(AND(BT10=0,N(V10)&lt;=0,N(Q10)&lt;=0),"Menge pro Gebinde fehlt (Ist = 1 Gebinde); ","")&amp;BO10)</f>
        <v>Gebinde geschätzt (Mittel); Menge pro Gebinde fehlt (Ist = 1 Gebinde); </v>
      </c>
      <c r="BH10" s="55"/>
      <c r="BI10" s="55"/>
      <c r="BJ10" s="62"/>
      <c r="BK10" s="57" t="n">
        <v>11</v>
      </c>
      <c r="BL10" s="57" t="n">
        <v>0</v>
      </c>
      <c r="BM10" s="56" t="n">
        <v>56668.07</v>
      </c>
      <c r="BN10" s="57" t="n">
        <v>20</v>
      </c>
      <c r="BO10" s="55"/>
      <c r="BP10" s="60" t="n">
        <v>0</v>
      </c>
      <c r="BQ10" s="60" t="n">
        <v>10</v>
      </c>
      <c r="BR10" s="55" t="str">
        <f aca="false">IF(U10&lt;&gt;"",UPPER(TRIM(U10)),IF(BU10=1,UPPER(VLOOKUP(T10,Parameter!$I$27:$K$29,2,0)),IF(P10="","LOSE",P10)))</f>
        <v>S61</v>
      </c>
      <c r="BS10" s="57" t="n">
        <f aca="false">IF(BR10="LOSE",1,IF(N(V10)&gt;0,V10,IF(BU10=1,MAX(1,N(VLOOKUP(T10,Parameter!$I$27:$K$29,3,0)),H10,N(N10)),IF(N(Q10)&gt;0,Q10,MAX(1,H10)))))</f>
        <v>11</v>
      </c>
      <c r="BT10" s="60" t="n">
        <f aca="false">IF(BR10="LOSE",1,0)</f>
        <v>0</v>
      </c>
      <c r="BU10" s="60" t="n">
        <f aca="false">IF(AND(U10="",OR(P10="",P10="LOSE"),T10&lt;&gt;"",N(S10)&lt;=0,ISNUMBER(MATCH(T10,Parameter!$I$27:$I$29,0))),1,0)</f>
        <v>1</v>
      </c>
      <c r="BV10" s="55" t="str">
        <f aca="false">IF(AND(Parameter!$B$19="Ja",E10&lt;&gt;"",ISNUMBER(MATCH(E10,Parameter!$I$35:$I$52,0))),VLOOKUP(E10,Parameter!$I$35:$J$52,2,0),IFERROR(VLOOKUP(D10,Parameter!$A$35:$C$64,2,0),"Nein"))</f>
        <v>2+3</v>
      </c>
      <c r="BW10" s="59" t="n">
        <f aca="false">IF(BT10=0,0,IF(N(S10)&gt;0,S10,IFERROR(VLOOKUP(D10,Parameter!$A$35:$C$64,3,0)+0,0)))</f>
        <v>0</v>
      </c>
      <c r="BX10" s="55" t="n">
        <f aca="false">IF(AA10&lt;&gt;"",AA10,Z10)</f>
        <v>2</v>
      </c>
      <c r="BY10" s="55" t="str">
        <f aca="false">IF(BX10=1,"L1",IF(OR(BX10=2,BX10=3),"L23",IF(BX10="Aussen","Aussen","-")))</f>
        <v>L23</v>
      </c>
      <c r="BZ10" s="66" t="n">
        <f aca="false">IF(N(AB10)&gt;0,AB10,0)</f>
        <v>0</v>
      </c>
      <c r="CA10" s="60" t="n">
        <f aca="false">IF(ISNUMBER(AE10),1,0)</f>
        <v>0</v>
      </c>
      <c r="CB10" s="57" t="n">
        <f aca="false">N(AE10)</f>
        <v>0</v>
      </c>
      <c r="CC10" s="57" t="n">
        <f aca="false">N(M10)+N(N10)</f>
        <v>10</v>
      </c>
      <c r="CD10" s="57" t="n">
        <f aca="false">ROUNDUP(H10/BS10,0)</f>
        <v>1</v>
      </c>
      <c r="CE10" s="57" t="n">
        <f aca="false">ROUNDUP(CB10/BS10,0)</f>
        <v>0</v>
      </c>
      <c r="CF10" s="60" t="n">
        <f aca="false">IF(BT10=1,0,IFERROR(VLOOKUP(BR10,'Gebinde-Kategorie'!$A$5:$M$45,5,0)+0,0))</f>
        <v>11</v>
      </c>
      <c r="CG10" s="60" t="n">
        <f aca="false">IFERROR(IF(OR(BX10=1,BX10=2,BX10=3),N(INDEX(Parameter!$I$5:$I$7,BX10)),0),0)</f>
        <v>0</v>
      </c>
      <c r="CH10" s="59" t="n">
        <f aca="false">IF(AND(Parameter!$B$21="Ja",ISNUMBER(W10),N(X10)&gt;0),IFERROR(N(INDEX(Parameter!$L$5:$L$7,W10))*INDEX(Parameter!$E$5:$E$7,W10)*X10/SUMIFS($X$7:$X$1843,$W$7:$W$1843,W10),0),0)</f>
        <v>0</v>
      </c>
    </row>
    <row r="11" customFormat="false" ht="15" hidden="false" customHeight="false" outlineLevel="0" collapsed="false">
      <c r="A11" s="55" t="s">
        <v>182</v>
      </c>
      <c r="B11" s="55" t="s">
        <v>183</v>
      </c>
      <c r="C11" s="55" t="s">
        <v>164</v>
      </c>
      <c r="D11" s="55" t="s">
        <v>184</v>
      </c>
      <c r="E11" s="55" t="s">
        <v>185</v>
      </c>
      <c r="F11" s="55" t="s">
        <v>167</v>
      </c>
      <c r="G11" s="56" t="n">
        <v>308.41</v>
      </c>
      <c r="H11" s="57" t="n">
        <f aca="false">MAX(0,IF(AND(Parameter!$B$21="Ja",ISNUMBER(Y11)),Y11,IF(Parameter!$B$20="Jahresanfang 2025 + Export",BL11+BK11,BK11)))</f>
        <v>174</v>
      </c>
      <c r="I11" s="57" t="n">
        <f aca="false">H11*G11</f>
        <v>53663.34</v>
      </c>
      <c r="J11" s="57" t="n">
        <f aca="false">BN11*Parameter!$B$18</f>
        <v>1</v>
      </c>
      <c r="K11" s="58" t="n">
        <v>6</v>
      </c>
      <c r="L11" s="59" t="n">
        <v>0.166666666666667</v>
      </c>
      <c r="M11" s="57" t="n">
        <v>0</v>
      </c>
      <c r="N11" s="57" t="n">
        <v>1</v>
      </c>
      <c r="O11" s="60" t="n">
        <v>14</v>
      </c>
      <c r="P11" s="55" t="s">
        <v>186</v>
      </c>
      <c r="Q11" s="57" t="n">
        <v>6</v>
      </c>
      <c r="R11" s="60" t="n">
        <f aca="false">IF(BT11=1,0,IFERROR(VLOOKUP(BR11,'Gebinde-Kategorie'!$A$5:$M$45,13,0)+0,0))</f>
        <v>12</v>
      </c>
      <c r="S11" s="61"/>
      <c r="T11" s="62"/>
      <c r="U11" s="62"/>
      <c r="V11" s="62"/>
      <c r="W11" s="55"/>
      <c r="X11" s="57"/>
      <c r="Y11" s="57"/>
      <c r="Z11" s="55" t="n">
        <f aca="false">IF(A11="","",IF(AND(Parameter!$B$21="Ja",ISNUMBER(W11)),W11,IF(BV11="2+3",IF(ISNUMBER(SEARCH("grosser Artikel",BO11)),2,IFERROR(VLOOKUP(BR11,Parameter!$F$35:$G$64,2,0),2)),IF(OR(BV11="Nein",BV11=""),"-",BV11))))</f>
        <v>2</v>
      </c>
      <c r="AA11" s="62"/>
      <c r="AB11" s="63"/>
      <c r="AC11" s="57" t="n">
        <f aca="false">AR11</f>
        <v>6</v>
      </c>
      <c r="AD11" s="57" t="n">
        <f aca="false">MAX(AR11,H11)</f>
        <v>174</v>
      </c>
      <c r="AE11" s="64"/>
      <c r="AF11" s="57" t="n">
        <f aca="false">IF(LEFT(Cockpit!$C$5,1)="A",H11,IF(CA11=1,CB11,IF(LEFT(Cockpit!$C$5,1)="B",AJ11,MAX(AJ11,H11))))</f>
        <v>174</v>
      </c>
      <c r="AG11" s="57" t="n">
        <f aca="false">IF(BT11=1,0,ROUNDUP(AF11/BS11,0))</f>
        <v>29</v>
      </c>
      <c r="AH11" s="59" t="n">
        <f aca="false">IF(CH11&gt;0,CH11*MAX(1,AF11/X11),IF(BT11=1,IF(AF11&lt;=0,0,BW11*MAX(1,IF(H11&gt;0,AF11/H11,1))),IF(R11&gt;0,AG11/R11,0))/MAX(0.1,N(Parameter!$M$21)))</f>
        <v>2.41666666666667</v>
      </c>
      <c r="AI11" s="57" t="n">
        <f aca="false">AF11*G11</f>
        <v>53663.34</v>
      </c>
      <c r="AJ11" s="57" t="n">
        <f aca="false">ROUNDUP(MAX(J11/IF(BZ11&gt;0,BZ11,MAX(0.1,N(Cockpit!$C$6))),CC11)/BS11,0)*BS11</f>
        <v>6</v>
      </c>
      <c r="AK11" s="58" t="n">
        <f aca="false">IF(AH11&gt;0,J11/AH11,-1)</f>
        <v>0.413793103448276</v>
      </c>
      <c r="AL11" s="58" t="n">
        <f aca="false">IF(AND(OR(BY11="L1",BY11="L23"),AH11&gt;0),SUMIFS($AH$7:$AH$1843,$BY$7:$BY$1843,BY11,$AK$7:$AK$1843,"&gt;"&amp;AK11)+SUMIFS($AH$7:$AH$1843,$BY$7:$BY$1843,BY11,$AK$7:$AK$1843,AK11,$BQ$7:$BQ$1843,"&lt;="&amp;BQ11),"")</f>
        <v>65.2420272963751</v>
      </c>
      <c r="AM11" s="65" t="n">
        <f aca="false">IF(AL11="",0,MAX(0,MIN(1,(IF(BY11="L1",Parameter!$E$5,Parameter!$E$6+Parameter!$E$7)-(AL11-AH11))/AH11)))</f>
        <v>1</v>
      </c>
      <c r="AN11" s="57" t="n">
        <f aca="false">IF(LEFT(Cockpit!$I$5,1)="A",H11,IF(CA11=1,CB11,IF(LEFT(Cockpit!$I$5,1)="B",AR11,MAX(AR11,H11))))</f>
        <v>174</v>
      </c>
      <c r="AO11" s="57" t="n">
        <f aca="false">IF(BT11=1,0,ROUNDUP(AN11/BS11,0))</f>
        <v>29</v>
      </c>
      <c r="AP11" s="59" t="n">
        <f aca="false">IF(CH11&gt;0,CH11*MAX(1,AN11/X11),IF(BT11=1,IF(AN11&lt;=0,0,BW11*MAX(1,IF(H11&gt;0,AN11/H11,1))),IF(R11&gt;0,AO11/R11,0))/MAX(0.1,N(Parameter!$M$21)))</f>
        <v>2.41666666666667</v>
      </c>
      <c r="AQ11" s="57" t="n">
        <f aca="false">AN11*G11</f>
        <v>53663.34</v>
      </c>
      <c r="AR11" s="57" t="n">
        <f aca="false">ROUNDUP(MAX(J11/IF(BZ11&gt;0,BZ11,MAX(0.1,N(Cockpit!$I$6))),CC11)/BS11,0)*BS11</f>
        <v>6</v>
      </c>
      <c r="AS11" s="58" t="n">
        <f aca="false">IF(AP11&gt;0,J11/AP11,-1)</f>
        <v>0.413793103448276</v>
      </c>
      <c r="AT11" s="58" t="n">
        <f aca="false">IF(AND(OR(BY11="L1",BY11="L23"),AP11&gt;0),SUMIFS($AP$7:$AP$1843,$BY$7:$BY$1843,BY11,$AS$7:$AS$1843,"&gt;"&amp;AS11)+SUMIFS($AP$7:$AP$1843,$BY$7:$BY$1843,BY11,$AS$7:$AS$1843,AS11,$BQ$7:$BQ$1843,"&lt;="&amp;BQ11),"")</f>
        <v>104.332818148036</v>
      </c>
      <c r="AU11" s="65" t="n">
        <f aca="false">IF(AT11="",0,MAX(0,MIN(1,(IF(BY11="L1",Parameter!$E$5,Parameter!$E$6+Parameter!$E$7)-(AT11-AP11))/AP11)))</f>
        <v>0</v>
      </c>
      <c r="AV11" s="57" t="n">
        <f aca="false">IF(LEFT(Cockpit!$O$5,1)="A",H11,IF(CA11=1,CB11,IF(LEFT(Cockpit!$O$5,1)="B",AZ11,MAX(AZ11,H11))))</f>
        <v>174</v>
      </c>
      <c r="AW11" s="57" t="n">
        <f aca="false">IF(BT11=1,0,ROUNDUP(AV11/BS11,0))</f>
        <v>29</v>
      </c>
      <c r="AX11" s="59" t="n">
        <f aca="false">IF(CH11&gt;0,CH11*MAX(1,AV11/X11),IF(BT11=1,IF(AV11&lt;=0,0,BW11*MAX(1,IF(H11&gt;0,AV11/H11,1))),IF(R11&gt;0,AW11/R11,0))/MAX(0.1,N(Parameter!$M$21)))</f>
        <v>2.41666666666667</v>
      </c>
      <c r="AY11" s="57" t="n">
        <f aca="false">AV11*G11</f>
        <v>53663.34</v>
      </c>
      <c r="AZ11" s="57" t="n">
        <f aca="false">ROUNDUP(MAX(J11/IF(BZ11&gt;0,BZ11,MAX(0.1,N(Cockpit!$O$6))),CC11)/BS11,0)*BS11</f>
        <v>6</v>
      </c>
      <c r="BA11" s="58" t="n">
        <f aca="false">IF(AX11&gt;0,J11/AX11,-1)</f>
        <v>0.413793103448276</v>
      </c>
      <c r="BB11" s="58" t="n">
        <f aca="false">IF(AND(OR(BY11="L1",BY11="L23"),AX11&gt;0),SUMIFS($AX$7:$AX$1843,$BY$7:$BY$1843,BY11,$BA$7:$BA$1843,"&gt;"&amp;BA11)+SUMIFS($AX$7:$AX$1843,$BY$7:$BY$1843,BY11,$BA$7:$BA$1843,BA11,$BQ$7:$BQ$1843,"&lt;="&amp;BQ11),"")</f>
        <v>95.1626549778724</v>
      </c>
      <c r="BC11" s="65" t="n">
        <f aca="false">IF(BB11="",0,MAX(0,MIN(1,(IF(BY11="L1",Parameter!$E$5,Parameter!$E$6+Parameter!$E$7)-(BB11-AX11))/AX11)))</f>
        <v>1</v>
      </c>
      <c r="BD11" s="55" t="str">
        <f aca="false">IF(AH11&lt;=0,"",IF(BY11="Aussen","Aussenlager",IF(BY11="-","Nicht im Lift",IF(AM11&gt;=1,"Lift",IF(AM11&lt;=0,"Aussenlager","teilweise")))))</f>
        <v>Lift</v>
      </c>
      <c r="BE11" s="55" t="str">
        <f aca="false">IF(AP11&lt;=0,"",IF(BY11="Aussen","Aussenlager",IF(BY11="-","Nicht im Lift",IF(AU11&gt;=1,"Lift",IF(AU11&lt;=0,"Aussenlager","teilweise")))))</f>
        <v>Aussenlager</v>
      </c>
      <c r="BF11" s="55" t="str">
        <f aca="false">IF(AX11&lt;=0,"",IF(BY11="Aussen","Aussenlager",IF(BY11="-","Nicht im Lift",IF(BC11&gt;=1,"Lift",IF(BC11&lt;=0,"Aussenlager","teilweise")))))</f>
        <v>Lift</v>
      </c>
      <c r="BG11" s="55" t="str">
        <f aca="false">IF(A11="","",IF(BP11=1,"Neu; ","")&amp;IF(AND(BP11=0,BK11&lt;0),"negativer Bestand (Export "&amp;BK11&amp;"); ","")&amp;IF(J11&lt;=0,"Kein Verbrauch; ","")&amp;IF(CH11&gt;0,"Lift "&amp;W11&amp;" lt. Liftbericht (Fach "&amp;X11&amp;" Stk); ",IF(BU11=1,"Gebinde geschätzt ("&amp;T11&amp;"); ",IF(BT11=1,"Lose – Tablare geschätzt; ","")))&amp;IF(H11&gt;AR11,"Überbestand "&amp;ROUND(H11-AR11,0)&amp;" Stk / CHF "&amp;ROUND((H11-AR11)*G11,0)&amp;"; ","")&amp;IF(AND(CA11=1,CB11&lt;CC11),"MAX &lt; MB+LG; ","")&amp;IF(AND(CG11&gt;0,CF11*10&gt;CG11),"zu hoch für Tablar; ","")&amp;IF(AND(BP11=0,OR(CA11=1,AA11&lt;&gt;"",U11&lt;&gt;"",V11&lt;&gt;"",AB11&lt;&gt;"")),"manuell übersteuert; ","")&amp;IF(AND(BT11=0,R11=0),"Gebinde unbekannt / Stellmass fehlt; ","")&amp;IF(AND(BT11=0,N(V11)&lt;=0,N(Q11)&lt;=0),"Menge pro Gebinde fehlt (Ist = 1 Gebinde); ","")&amp;BO11)</f>
        <v>Überbestand 168 Stk / CHF 51813; </v>
      </c>
      <c r="BH11" s="55"/>
      <c r="BI11" s="55"/>
      <c r="BJ11" s="62"/>
      <c r="BK11" s="57" t="n">
        <v>167</v>
      </c>
      <c r="BL11" s="57" t="n">
        <v>7</v>
      </c>
      <c r="BM11" s="56" t="n">
        <v>51492.01</v>
      </c>
      <c r="BN11" s="57" t="n">
        <v>1</v>
      </c>
      <c r="BO11" s="55"/>
      <c r="BP11" s="60" t="n">
        <v>0</v>
      </c>
      <c r="BQ11" s="60" t="n">
        <v>11</v>
      </c>
      <c r="BR11" s="55" t="str">
        <f aca="false">IF(U11&lt;&gt;"",UPPER(TRIM(U11)),IF(BU11=1,UPPER(VLOOKUP(T11,Parameter!$I$27:$K$29,2,0)),IF(P11="","LOSE",P11)))</f>
        <v>S61</v>
      </c>
      <c r="BS11" s="57" t="n">
        <f aca="false">IF(BR11="LOSE",1,IF(N(V11)&gt;0,V11,IF(BU11=1,MAX(1,N(VLOOKUP(T11,Parameter!$I$27:$K$29,3,0)),H11,N(N11)),IF(N(Q11)&gt;0,Q11,MAX(1,H11)))))</f>
        <v>6</v>
      </c>
      <c r="BT11" s="60" t="n">
        <f aca="false">IF(BR11="LOSE",1,0)</f>
        <v>0</v>
      </c>
      <c r="BU11" s="60" t="n">
        <f aca="false">IF(AND(U11="",OR(P11="",P11="LOSE"),T11&lt;&gt;"",N(S11)&lt;=0,ISNUMBER(MATCH(T11,Parameter!$I$27:$I$29,0))),1,0)</f>
        <v>0</v>
      </c>
      <c r="BV11" s="55" t="str">
        <f aca="false">IF(AND(Parameter!$B$19="Ja",E11&lt;&gt;"",ISNUMBER(MATCH(E11,Parameter!$I$35:$I$52,0))),VLOOKUP(E11,Parameter!$I$35:$J$52,2,0),IFERROR(VLOOKUP(D11,Parameter!$A$35:$C$64,2,0),"Nein"))</f>
        <v>2+3</v>
      </c>
      <c r="BW11" s="59" t="n">
        <f aca="false">IF(BT11=0,0,IF(N(S11)&gt;0,S11,IFERROR(VLOOKUP(D11,Parameter!$A$35:$C$64,3,0)+0,0)))</f>
        <v>0</v>
      </c>
      <c r="BX11" s="55" t="n">
        <f aca="false">IF(AA11&lt;&gt;"",AA11,Z11)</f>
        <v>2</v>
      </c>
      <c r="BY11" s="55" t="str">
        <f aca="false">IF(BX11=1,"L1",IF(OR(BX11=2,BX11=3),"L23",IF(BX11="Aussen","Aussen","-")))</f>
        <v>L23</v>
      </c>
      <c r="BZ11" s="66" t="n">
        <f aca="false">IF(N(AB11)&gt;0,AB11,0)</f>
        <v>0</v>
      </c>
      <c r="CA11" s="60" t="n">
        <f aca="false">IF(ISNUMBER(AE11),1,0)</f>
        <v>0</v>
      </c>
      <c r="CB11" s="57" t="n">
        <f aca="false">N(AE11)</f>
        <v>0</v>
      </c>
      <c r="CC11" s="57" t="n">
        <f aca="false">N(M11)+N(N11)</f>
        <v>1</v>
      </c>
      <c r="CD11" s="57" t="n">
        <f aca="false">ROUNDUP(H11/BS11,0)</f>
        <v>29</v>
      </c>
      <c r="CE11" s="57" t="n">
        <f aca="false">ROUNDUP(CB11/BS11,0)</f>
        <v>0</v>
      </c>
      <c r="CF11" s="60" t="n">
        <f aca="false">IF(BT11=1,0,IFERROR(VLOOKUP(BR11,'Gebinde-Kategorie'!$A$5:$M$45,5,0)+0,0))</f>
        <v>11</v>
      </c>
      <c r="CG11" s="60" t="n">
        <f aca="false">IFERROR(IF(OR(BX11=1,BX11=2,BX11=3),N(INDEX(Parameter!$I$5:$I$7,BX11)),0),0)</f>
        <v>0</v>
      </c>
      <c r="CH11" s="59" t="n">
        <f aca="false">IF(AND(Parameter!$B$21="Ja",ISNUMBER(W11),N(X11)&gt;0),IFERROR(N(INDEX(Parameter!$L$5:$L$7,W11))*INDEX(Parameter!$E$5:$E$7,W11)*X11/SUMIFS($X$7:$X$1843,$W$7:$W$1843,W11),0),0)</f>
        <v>0</v>
      </c>
    </row>
    <row r="12" customFormat="false" ht="15" hidden="false" customHeight="false" outlineLevel="0" collapsed="false">
      <c r="A12" s="55" t="s">
        <v>187</v>
      </c>
      <c r="B12" s="55" t="s">
        <v>188</v>
      </c>
      <c r="C12" s="55" t="s">
        <v>164</v>
      </c>
      <c r="D12" s="55" t="s">
        <v>173</v>
      </c>
      <c r="E12" s="55"/>
      <c r="F12" s="55" t="s">
        <v>167</v>
      </c>
      <c r="G12" s="56" t="n">
        <v>2228.65</v>
      </c>
      <c r="H12" s="57" t="n">
        <f aca="false">MAX(0,IF(AND(Parameter!$B$21="Ja",ISNUMBER(Y12)),Y12,IF(Parameter!$B$20="Jahresanfang 2025 + Export",BL12+BK12,BK12)))</f>
        <v>23</v>
      </c>
      <c r="I12" s="57" t="n">
        <f aca="false">H12*G12</f>
        <v>51258.95</v>
      </c>
      <c r="J12" s="57" t="n">
        <f aca="false">BN12*Parameter!$B$18</f>
        <v>0</v>
      </c>
      <c r="K12" s="58" t="n">
        <v>0</v>
      </c>
      <c r="L12" s="59" t="n">
        <v>0</v>
      </c>
      <c r="M12" s="57" t="n">
        <v>0</v>
      </c>
      <c r="N12" s="57" t="n">
        <v>1</v>
      </c>
      <c r="O12" s="60" t="n">
        <v>9999</v>
      </c>
      <c r="P12" s="55" t="s">
        <v>168</v>
      </c>
      <c r="Q12" s="57"/>
      <c r="R12" s="60" t="n">
        <f aca="false">IF(BT12=1,0,IFERROR(VLOOKUP(BR12,'Gebinde-Kategorie'!$A$5:$M$45,13,0)+0,0))</f>
        <v>3</v>
      </c>
      <c r="S12" s="61"/>
      <c r="T12" s="62" t="s">
        <v>189</v>
      </c>
      <c r="U12" s="62"/>
      <c r="V12" s="62"/>
      <c r="W12" s="55"/>
      <c r="X12" s="57"/>
      <c r="Y12" s="57"/>
      <c r="Z12" s="55" t="n">
        <f aca="false">IF(A12="","",IF(AND(Parameter!$B$21="Ja",ISNUMBER(W12)),W12,IF(BV12="2+3",IF(ISNUMBER(SEARCH("grosser Artikel",BO12)),2,IFERROR(VLOOKUP(BR12,Parameter!$F$35:$G$64,2,0),2)),IF(OR(BV12="Nein",BV12=""),"-",BV12))))</f>
        <v>2</v>
      </c>
      <c r="AA12" s="62"/>
      <c r="AB12" s="63"/>
      <c r="AC12" s="57" t="n">
        <f aca="false">AR12</f>
        <v>23</v>
      </c>
      <c r="AD12" s="57" t="n">
        <f aca="false">MAX(AR12,H12)</f>
        <v>23</v>
      </c>
      <c r="AE12" s="64"/>
      <c r="AF12" s="57" t="n">
        <f aca="false">IF(LEFT(Cockpit!$C$5,1)="A",H12,IF(CA12=1,CB12,IF(LEFT(Cockpit!$C$5,1)="B",AJ12,MAX(AJ12,H12))))</f>
        <v>23</v>
      </c>
      <c r="AG12" s="57" t="n">
        <f aca="false">IF(BT12=1,0,ROUNDUP(AF12/BS12,0))</f>
        <v>1</v>
      </c>
      <c r="AH12" s="59" t="n">
        <f aca="false">IF(CH12&gt;0,CH12*MAX(1,AF12/X12),IF(BT12=1,IF(AF12&lt;=0,0,BW12*MAX(1,IF(H12&gt;0,AF12/H12,1))),IF(R12&gt;0,AG12/R12,0))/MAX(0.1,N(Parameter!$M$21)))</f>
        <v>0.333333333333333</v>
      </c>
      <c r="AI12" s="57" t="n">
        <f aca="false">AF12*G12</f>
        <v>51258.95</v>
      </c>
      <c r="AJ12" s="57" t="n">
        <f aca="false">ROUNDUP(MAX(J12/IF(BZ12&gt;0,BZ12,MAX(0.1,N(Cockpit!$C$6))),CC12)/BS12,0)*BS12</f>
        <v>23</v>
      </c>
      <c r="AK12" s="58" t="n">
        <f aca="false">IF(AH12&gt;0,J12/AH12,-1)</f>
        <v>0</v>
      </c>
      <c r="AL12" s="58" t="n">
        <f aca="false">IF(AND(OR(BY12="L1",BY12="L23"),AH12&gt;0),SUMIFS($AH$7:$AH$1843,$BY$7:$BY$1843,BY12,$AK$7:$AK$1843,"&gt;"&amp;AK12)+SUMIFS($AH$7:$AH$1843,$BY$7:$BY$1843,BY12,$AK$7:$AK$1843,AK12,$BQ$7:$BQ$1843,"&lt;="&amp;BQ12),"")</f>
        <v>65.580411134759</v>
      </c>
      <c r="AM12" s="65" t="n">
        <f aca="false">IF(AL12="",0,MAX(0,MIN(1,(IF(BY12="L1",Parameter!$E$5,Parameter!$E$6+Parameter!$E$7)-(AL12-AH12))/AH12)))</f>
        <v>1</v>
      </c>
      <c r="AN12" s="57" t="n">
        <f aca="false">IF(LEFT(Cockpit!$I$5,1)="A",H12,IF(CA12=1,CB12,IF(LEFT(Cockpit!$I$5,1)="B",AR12,MAX(AR12,H12))))</f>
        <v>23</v>
      </c>
      <c r="AO12" s="57" t="n">
        <f aca="false">IF(BT12=1,0,ROUNDUP(AN12/BS12,0))</f>
        <v>1</v>
      </c>
      <c r="AP12" s="59" t="n">
        <f aca="false">IF(CH12&gt;0,CH12*MAX(1,AN12/X12),IF(BT12=1,IF(AN12&lt;=0,0,BW12*MAX(1,IF(H12&gt;0,AN12/H12,1))),IF(R12&gt;0,AO12/R12,0))/MAX(0.1,N(Parameter!$M$21)))</f>
        <v>0.333333333333333</v>
      </c>
      <c r="AQ12" s="57" t="n">
        <f aca="false">AN12*G12</f>
        <v>51258.95</v>
      </c>
      <c r="AR12" s="57" t="n">
        <f aca="false">ROUNDUP(MAX(J12/IF(BZ12&gt;0,BZ12,MAX(0.1,N(Cockpit!$I$6))),CC12)/BS12,0)*BS12</f>
        <v>23</v>
      </c>
      <c r="AS12" s="58" t="n">
        <f aca="false">IF(AP12&gt;0,J12/AP12,-1)</f>
        <v>0</v>
      </c>
      <c r="AT12" s="58" t="n">
        <f aca="false">IF(AND(OR(BY12="L1",BY12="L23"),AP12&gt;0),SUMIFS($AP$7:$AP$1843,$BY$7:$BY$1843,BY12,$AS$7:$AS$1843,"&gt;"&amp;AS12)+SUMIFS($AP$7:$AP$1843,$BY$7:$BY$1843,BY12,$AS$7:$AS$1843,AS12,$BQ$7:$BQ$1843,"&lt;="&amp;BQ12),"")</f>
        <v>104.671201986419</v>
      </c>
      <c r="AU12" s="65" t="n">
        <f aca="false">IF(AT12="",0,MAX(0,MIN(1,(IF(BY12="L1",Parameter!$E$5,Parameter!$E$6+Parameter!$E$7)-(AT12-AP12))/AP12)))</f>
        <v>0</v>
      </c>
      <c r="AV12" s="57" t="n">
        <f aca="false">IF(LEFT(Cockpit!$O$5,1)="A",H12,IF(CA12=1,CB12,IF(LEFT(Cockpit!$O$5,1)="B",AZ12,MAX(AZ12,H12))))</f>
        <v>23</v>
      </c>
      <c r="AW12" s="57" t="n">
        <f aca="false">IF(BT12=1,0,ROUNDUP(AV12/BS12,0))</f>
        <v>1</v>
      </c>
      <c r="AX12" s="59" t="n">
        <f aca="false">IF(CH12&gt;0,CH12*MAX(1,AV12/X12),IF(BT12=1,IF(AV12&lt;=0,0,BW12*MAX(1,IF(H12&gt;0,AV12/H12,1))),IF(R12&gt;0,AW12/R12,0))/MAX(0.1,N(Parameter!$M$21)))</f>
        <v>0.333333333333333</v>
      </c>
      <c r="AY12" s="57" t="n">
        <f aca="false">AV12*G12</f>
        <v>51258.95</v>
      </c>
      <c r="AZ12" s="57" t="n">
        <f aca="false">ROUNDUP(MAX(J12/IF(BZ12&gt;0,BZ12,MAX(0.1,N(Cockpit!$O$6))),CC12)/BS12,0)*BS12</f>
        <v>23</v>
      </c>
      <c r="BA12" s="58" t="n">
        <f aca="false">IF(AX12&gt;0,J12/AX12,-1)</f>
        <v>0</v>
      </c>
      <c r="BB12" s="58" t="n">
        <f aca="false">IF(AND(OR(BY12="L1",BY12="L23"),AX12&gt;0),SUMIFS($AX$7:$AX$1843,$BY$7:$BY$1843,BY12,$BA$7:$BA$1843,"&gt;"&amp;BA12)+SUMIFS($AX$7:$AX$1843,$BY$7:$BY$1843,BY12,$BA$7:$BA$1843,BA12,$BQ$7:$BQ$1843,"&lt;="&amp;BQ12),"")</f>
        <v>95.5010388162562</v>
      </c>
      <c r="BC12" s="65" t="n">
        <f aca="false">IF(BB12="",0,MAX(0,MIN(1,(IF(BY12="L1",Parameter!$E$5,Parameter!$E$6+Parameter!$E$7)-(BB12-AX12))/AX12)))</f>
        <v>1</v>
      </c>
      <c r="BD12" s="55" t="str">
        <f aca="false">IF(AH12&lt;=0,"",IF(BY12="Aussen","Aussenlager",IF(BY12="-","Nicht im Lift",IF(AM12&gt;=1,"Lift",IF(AM12&lt;=0,"Aussenlager","teilweise")))))</f>
        <v>Lift</v>
      </c>
      <c r="BE12" s="55" t="str">
        <f aca="false">IF(AP12&lt;=0,"",IF(BY12="Aussen","Aussenlager",IF(BY12="-","Nicht im Lift",IF(AU12&gt;=1,"Lift",IF(AU12&lt;=0,"Aussenlager","teilweise")))))</f>
        <v>Aussenlager</v>
      </c>
      <c r="BF12" s="55" t="str">
        <f aca="false">IF(AX12&lt;=0,"",IF(BY12="Aussen","Aussenlager",IF(BY12="-","Nicht im Lift",IF(BC12&gt;=1,"Lift",IF(BC12&lt;=0,"Aussenlager","teilweise")))))</f>
        <v>Lift</v>
      </c>
      <c r="BG12" s="55" t="str">
        <f aca="false">IF(A12="","",IF(BP12=1,"Neu; ","")&amp;IF(AND(BP12=0,BK12&lt;0),"negativer Bestand (Export "&amp;BK12&amp;"); ","")&amp;IF(J12&lt;=0,"Kein Verbrauch; ","")&amp;IF(CH12&gt;0,"Lift "&amp;W12&amp;" lt. Liftbericht (Fach "&amp;X12&amp;" Stk); ",IF(BU12=1,"Gebinde geschätzt ("&amp;T12&amp;"); ",IF(BT12=1,"Lose – Tablare geschätzt; ","")))&amp;IF(H12&gt;AR12,"Überbestand "&amp;ROUND(H12-AR12,0)&amp;" Stk / CHF "&amp;ROUND((H12-AR12)*G12,0)&amp;"; ","")&amp;IF(AND(CA12=1,CB12&lt;CC12),"MAX &lt; MB+LG; ","")&amp;IF(AND(CG12&gt;0,CF12*10&gt;CG12),"zu hoch für Tablar; ","")&amp;IF(AND(BP12=0,OR(CA12=1,AA12&lt;&gt;"",U12&lt;&gt;"",V12&lt;&gt;"",AB12&lt;&gt;"")),"manuell übersteuert; ","")&amp;IF(AND(BT12=0,R12=0),"Gebinde unbekannt / Stellmass fehlt; ","")&amp;IF(AND(BT12=0,N(V12)&lt;=0,N(Q12)&lt;=0),"Menge pro Gebinde fehlt (Ist = 1 Gebinde); ","")&amp;BO12)</f>
        <v>Kein Verbrauch; Gebinde geschätzt (Gross); Menge pro Gebinde fehlt (Ist = 1 Gebinde); </v>
      </c>
      <c r="BH12" s="55"/>
      <c r="BI12" s="55"/>
      <c r="BJ12" s="62"/>
      <c r="BK12" s="57" t="n">
        <v>23</v>
      </c>
      <c r="BL12" s="57" t="n">
        <v>0</v>
      </c>
      <c r="BM12" s="56" t="n">
        <v>51258.95</v>
      </c>
      <c r="BN12" s="57" t="n">
        <v>0</v>
      </c>
      <c r="BO12" s="55"/>
      <c r="BP12" s="60" t="n">
        <v>0</v>
      </c>
      <c r="BQ12" s="60" t="n">
        <v>12</v>
      </c>
      <c r="BR12" s="55" t="str">
        <f aca="false">IF(U12&lt;&gt;"",UPPER(TRIM(U12)),IF(BU12=1,UPPER(VLOOKUP(T12,Parameter!$I$27:$K$29,2,0)),IF(P12="","LOSE",P12)))</f>
        <v>S81</v>
      </c>
      <c r="BS12" s="57" t="n">
        <f aca="false">IF(BR12="LOSE",1,IF(N(V12)&gt;0,V12,IF(BU12=1,MAX(1,N(VLOOKUP(T12,Parameter!$I$27:$K$29,3,0)),H12,N(N12)),IF(N(Q12)&gt;0,Q12,MAX(1,H12)))))</f>
        <v>23</v>
      </c>
      <c r="BT12" s="60" t="n">
        <f aca="false">IF(BR12="LOSE",1,0)</f>
        <v>0</v>
      </c>
      <c r="BU12" s="60" t="n">
        <f aca="false">IF(AND(U12="",OR(P12="",P12="LOSE"),T12&lt;&gt;"",N(S12)&lt;=0,ISNUMBER(MATCH(T12,Parameter!$I$27:$I$29,0))),1,0)</f>
        <v>1</v>
      </c>
      <c r="BV12" s="55" t="str">
        <f aca="false">IF(AND(Parameter!$B$19="Ja",E12&lt;&gt;"",ISNUMBER(MATCH(E12,Parameter!$I$35:$I$52,0))),VLOOKUP(E12,Parameter!$I$35:$J$52,2,0),IFERROR(VLOOKUP(D12,Parameter!$A$35:$C$64,2,0),"Nein"))</f>
        <v>2+3</v>
      </c>
      <c r="BW12" s="59" t="n">
        <f aca="false">IF(BT12=0,0,IF(N(S12)&gt;0,S12,IFERROR(VLOOKUP(D12,Parameter!$A$35:$C$64,3,0)+0,0)))</f>
        <v>0</v>
      </c>
      <c r="BX12" s="55" t="n">
        <f aca="false">IF(AA12&lt;&gt;"",AA12,Z12)</f>
        <v>2</v>
      </c>
      <c r="BY12" s="55" t="str">
        <f aca="false">IF(BX12=1,"L1",IF(OR(BX12=2,BX12=3),"L23",IF(BX12="Aussen","Aussen","-")))</f>
        <v>L23</v>
      </c>
      <c r="BZ12" s="66" t="n">
        <f aca="false">IF(N(AB12)&gt;0,AB12,0)</f>
        <v>0</v>
      </c>
      <c r="CA12" s="60" t="n">
        <f aca="false">IF(ISNUMBER(AE12),1,0)</f>
        <v>0</v>
      </c>
      <c r="CB12" s="57" t="n">
        <f aca="false">N(AE12)</f>
        <v>0</v>
      </c>
      <c r="CC12" s="57" t="n">
        <f aca="false">N(M12)+N(N12)</f>
        <v>1</v>
      </c>
      <c r="CD12" s="57" t="n">
        <f aca="false">ROUNDUP(H12/BS12,0)</f>
        <v>1</v>
      </c>
      <c r="CE12" s="57" t="n">
        <f aca="false">ROUNDUP(CB12/BS12,0)</f>
        <v>0</v>
      </c>
      <c r="CF12" s="60" t="n">
        <f aca="false">IF(BT12=1,0,IFERROR(VLOOKUP(BR12,'Gebinde-Kategorie'!$A$5:$M$45,5,0)+0,0))</f>
        <v>20</v>
      </c>
      <c r="CG12" s="60" t="n">
        <f aca="false">IFERROR(IF(OR(BX12=1,BX12=2,BX12=3),N(INDEX(Parameter!$I$5:$I$7,BX12)),0),0)</f>
        <v>0</v>
      </c>
      <c r="CH12" s="59" t="n">
        <f aca="false">IF(AND(Parameter!$B$21="Ja",ISNUMBER(W12),N(X12)&gt;0),IFERROR(N(INDEX(Parameter!$L$5:$L$7,W12))*INDEX(Parameter!$E$5:$E$7,W12)*X12/SUMIFS($X$7:$X$1843,$W$7:$W$1843,W12),0),0)</f>
        <v>0</v>
      </c>
    </row>
    <row r="13" customFormat="false" ht="15" hidden="false" customHeight="false" outlineLevel="0" collapsed="false">
      <c r="A13" s="55" t="s">
        <v>190</v>
      </c>
      <c r="B13" s="55" t="s">
        <v>163</v>
      </c>
      <c r="C13" s="55" t="s">
        <v>164</v>
      </c>
      <c r="D13" s="55" t="s">
        <v>165</v>
      </c>
      <c r="E13" s="55" t="s">
        <v>166</v>
      </c>
      <c r="F13" s="55" t="s">
        <v>167</v>
      </c>
      <c r="G13" s="56" t="n">
        <v>4008.68</v>
      </c>
      <c r="H13" s="57" t="n">
        <f aca="false">MAX(0,IF(AND(Parameter!$B$21="Ja",ISNUMBER(Y13)),Y13,IF(Parameter!$B$20="Jahresanfang 2025 + Export",BL13+BK13,BK13)))</f>
        <v>5</v>
      </c>
      <c r="I13" s="57" t="n">
        <f aca="false">H13*G13</f>
        <v>20043.4</v>
      </c>
      <c r="J13" s="57" t="n">
        <f aca="false">BN13*Parameter!$B$18</f>
        <v>31</v>
      </c>
      <c r="K13" s="58" t="n">
        <v>2.5</v>
      </c>
      <c r="L13" s="59" t="n">
        <v>12.4</v>
      </c>
      <c r="M13" s="57" t="n">
        <v>2</v>
      </c>
      <c r="N13" s="57" t="n">
        <v>10</v>
      </c>
      <c r="O13" s="60" t="n">
        <v>21</v>
      </c>
      <c r="P13" s="55" t="s">
        <v>168</v>
      </c>
      <c r="Q13" s="57"/>
      <c r="R13" s="60" t="n">
        <f aca="false">IF(BT13=1,0,IFERROR(VLOOKUP(BR13,'Gebinde-Kategorie'!$A$5:$M$45,13,0)+0,0))</f>
        <v>0</v>
      </c>
      <c r="S13" s="61"/>
      <c r="T13" s="62"/>
      <c r="U13" s="62"/>
      <c r="V13" s="62"/>
      <c r="W13" s="55" t="n">
        <v>1</v>
      </c>
      <c r="X13" s="57" t="n">
        <v>20</v>
      </c>
      <c r="Y13" s="57" t="n">
        <v>5</v>
      </c>
      <c r="Z13" s="55" t="n">
        <f aca="false">IF(A13="","",IF(AND(Parameter!$B$21="Ja",ISNUMBER(W13)),W13,IF(BV13="2+3",IF(ISNUMBER(SEARCH("grosser Artikel",BO13)),2,IFERROR(VLOOKUP(BR13,Parameter!$F$35:$G$64,2,0),2)),IF(OR(BV13="Nein",BV13=""),"-",BV13))))</f>
        <v>1</v>
      </c>
      <c r="AA13" s="62"/>
      <c r="AB13" s="63"/>
      <c r="AC13" s="57" t="n">
        <f aca="false">AR13</f>
        <v>16</v>
      </c>
      <c r="AD13" s="57" t="n">
        <f aca="false">MAX(AR13,H13)</f>
        <v>16</v>
      </c>
      <c r="AE13" s="64"/>
      <c r="AF13" s="57" t="n">
        <f aca="false">IF(LEFT(Cockpit!$C$5,1)="A",H13,IF(CA13=1,CB13,IF(LEFT(Cockpit!$C$5,1)="B",AJ13,MAX(AJ13,H13))))</f>
        <v>5</v>
      </c>
      <c r="AG13" s="57" t="n">
        <f aca="false">IF(BT13=1,0,ROUNDUP(AF13/BS13,0))</f>
        <v>0</v>
      </c>
      <c r="AH13" s="59" t="n">
        <f aca="false">IF(CH13&gt;0,CH13*MAX(1,AF13/X13),IF(BT13=1,IF(AF13&lt;=0,0,BW13*MAX(1,IF(H13&gt;0,AF13/H13,1))),IF(R13&gt;0,AG13/R13,0))/MAX(0.1,N(Parameter!$M$21)))</f>
        <v>1.60075329566855</v>
      </c>
      <c r="AI13" s="57" t="n">
        <f aca="false">AF13*G13</f>
        <v>20043.4</v>
      </c>
      <c r="AJ13" s="57" t="n">
        <f aca="false">ROUNDUP(MAX(J13/IF(BZ13&gt;0,BZ13,MAX(0.1,N(Cockpit!$C$6))),CC13)/BS13,0)*BS13</f>
        <v>16</v>
      </c>
      <c r="AK13" s="58" t="n">
        <f aca="false">IF(AH13&gt;0,J13/AH13,-1)</f>
        <v>19.3658823529412</v>
      </c>
      <c r="AL13" s="58" t="n">
        <f aca="false">IF(AND(OR(BY13="L1",BY13="L23"),AH13&gt;0),SUMIFS($AH$7:$AH$1843,$BY$7:$BY$1843,BY13,$AK$7:$AK$1843,"&gt;"&amp;AK13)+SUMIFS($AH$7:$AH$1843,$BY$7:$BY$1843,BY13,$AK$7:$AK$1843,AK13,$BQ$7:$BQ$1843,"&lt;="&amp;BQ13),"")</f>
        <v>23.2979170996857</v>
      </c>
      <c r="AM13" s="65" t="n">
        <f aca="false">IF(AL13="",0,MAX(0,MIN(1,(IF(BY13="L1",Parameter!$E$5,Parameter!$E$6+Parameter!$E$7)-(AL13-AH13))/AH13)))</f>
        <v>1</v>
      </c>
      <c r="AN13" s="57" t="n">
        <f aca="false">IF(LEFT(Cockpit!$I$5,1)="A",H13,IF(CA13=1,CB13,IF(LEFT(Cockpit!$I$5,1)="B",AR13,MAX(AR13,H13))))</f>
        <v>16</v>
      </c>
      <c r="AO13" s="57" t="n">
        <f aca="false">IF(BT13=1,0,ROUNDUP(AN13/BS13,0))</f>
        <v>0</v>
      </c>
      <c r="AP13" s="59" t="n">
        <f aca="false">IF(CH13&gt;0,CH13*MAX(1,AN13/X13),IF(BT13=1,IF(AN13&lt;=0,0,BW13*MAX(1,IF(H13&gt;0,AN13/H13,1))),IF(R13&gt;0,AO13/R13,0))/MAX(0.1,N(Parameter!$M$21)))</f>
        <v>1.60075329566855</v>
      </c>
      <c r="AQ13" s="57" t="n">
        <f aca="false">AN13*G13</f>
        <v>64138.88</v>
      </c>
      <c r="AR13" s="57" t="n">
        <f aca="false">ROUNDUP(MAX(J13/IF(BZ13&gt;0,BZ13,MAX(0.1,N(Cockpit!$I$6))),CC13)/BS13,0)*BS13</f>
        <v>16</v>
      </c>
      <c r="AS13" s="58" t="n">
        <f aca="false">IF(AP13&gt;0,J13/AP13,-1)</f>
        <v>19.3658823529412</v>
      </c>
      <c r="AT13" s="58" t="n">
        <f aca="false">IF(AND(OR(BY13="L1",BY13="L23"),AP13&gt;0),SUMIFS($AP$7:$AP$1843,$BY$7:$BY$1843,BY13,$AS$7:$AS$1843,"&gt;"&amp;AS13)+SUMIFS($AP$7:$AP$1843,$BY$7:$BY$1843,BY13,$AS$7:$AS$1843,AS13,$BQ$7:$BQ$1843,"&lt;="&amp;BQ13),"")</f>
        <v>36.5565727566464</v>
      </c>
      <c r="AU13" s="65" t="n">
        <f aca="false">IF(AT13="",0,MAX(0,MIN(1,(IF(BY13="L1",Parameter!$E$5,Parameter!$E$6+Parameter!$E$7)-(AT13-AP13))/AP13)))</f>
        <v>1</v>
      </c>
      <c r="AV13" s="57" t="n">
        <f aca="false">IF(LEFT(Cockpit!$O$5,1)="A",H13,IF(CA13=1,CB13,IF(LEFT(Cockpit!$O$5,1)="B",AZ13,MAX(AZ13,H13))))</f>
        <v>12</v>
      </c>
      <c r="AW13" s="57" t="n">
        <f aca="false">IF(BT13=1,0,ROUNDUP(AV13/BS13,0))</f>
        <v>0</v>
      </c>
      <c r="AX13" s="59" t="n">
        <f aca="false">IF(CH13&gt;0,CH13*MAX(1,AV13/X13),IF(BT13=1,IF(AV13&lt;=0,0,BW13*MAX(1,IF(H13&gt;0,AV13/H13,1))),IF(R13&gt;0,AW13/R13,0))/MAX(0.1,N(Parameter!$M$21)))</f>
        <v>1.60075329566855</v>
      </c>
      <c r="AY13" s="57" t="n">
        <f aca="false">AV13*G13</f>
        <v>48104.16</v>
      </c>
      <c r="AZ13" s="57" t="n">
        <f aca="false">ROUNDUP(MAX(J13/IF(BZ13&gt;0,BZ13,MAX(0.1,N(Cockpit!$O$6))),CC13)/BS13,0)*BS13</f>
        <v>12</v>
      </c>
      <c r="BA13" s="58" t="n">
        <f aca="false">IF(AX13&gt;0,J13/AX13,-1)</f>
        <v>19.3658823529412</v>
      </c>
      <c r="BB13" s="58" t="n">
        <f aca="false">IF(AND(OR(BY13="L1",BY13="L23"),AX13&gt;0),SUMIFS($AX$7:$AX$1843,$BY$7:$BY$1843,BY13,$BA$7:$BA$1843,"&gt;"&amp;BA13)+SUMIFS($AX$7:$AX$1843,$BY$7:$BY$1843,BY13,$BA$7:$BA$1843,BA13,$BQ$7:$BQ$1843,"&lt;="&amp;BQ13),"")</f>
        <v>30.2233842878648</v>
      </c>
      <c r="BC13" s="65" t="n">
        <f aca="false">IF(BB13="",0,MAX(0,MIN(1,(IF(BY13="L1",Parameter!$E$5,Parameter!$E$6+Parameter!$E$7)-(BB13-AX13))/AX13)))</f>
        <v>1</v>
      </c>
      <c r="BD13" s="55" t="str">
        <f aca="false">IF(AH13&lt;=0,"",IF(BY13="Aussen","Aussenlager",IF(BY13="-","Nicht im Lift",IF(AM13&gt;=1,"Lift",IF(AM13&lt;=0,"Aussenlager","teilweise")))))</f>
        <v>Lift</v>
      </c>
      <c r="BE13" s="55" t="str">
        <f aca="false">IF(AP13&lt;=0,"",IF(BY13="Aussen","Aussenlager",IF(BY13="-","Nicht im Lift",IF(AU13&gt;=1,"Lift",IF(AU13&lt;=0,"Aussenlager","teilweise")))))</f>
        <v>Lift</v>
      </c>
      <c r="BF13" s="55" t="str">
        <f aca="false">IF(AX13&lt;=0,"",IF(BY13="Aussen","Aussenlager",IF(BY13="-","Nicht im Lift",IF(BC13&gt;=1,"Lift",IF(BC13&lt;=0,"Aussenlager","teilweise")))))</f>
        <v>Lift</v>
      </c>
      <c r="BG13" s="55" t="str">
        <f aca="false">IF(A13="","",IF(BP13=1,"Neu; ","")&amp;IF(AND(BP13=0,BK13&lt;0),"negativer Bestand (Export "&amp;BK13&amp;"); ","")&amp;IF(J13&lt;=0,"Kein Verbrauch; ","")&amp;IF(CH13&gt;0,"Lift "&amp;W13&amp;" lt. Liftbericht (Fach "&amp;X13&amp;" Stk); ",IF(BU13=1,"Gebinde geschätzt ("&amp;T13&amp;"); ",IF(BT13=1,"Lose – Tablare geschätzt; ","")))&amp;IF(H13&gt;AR13,"Überbestand "&amp;ROUND(H13-AR13,0)&amp;" Stk / CHF "&amp;ROUND((H13-AR13)*G13,0)&amp;"; ","")&amp;IF(AND(CA13=1,CB13&lt;CC13),"MAX &lt; MB+LG; ","")&amp;IF(AND(CG13&gt;0,CF13*10&gt;CG13),"zu hoch für Tablar; ","")&amp;IF(AND(BP13=0,OR(CA13=1,AA13&lt;&gt;"",U13&lt;&gt;"",V13&lt;&gt;"",AB13&lt;&gt;"")),"manuell übersteuert; ","")&amp;IF(AND(BT13=0,R13=0),"Gebinde unbekannt / Stellmass fehlt; ","")&amp;IF(AND(BT13=0,N(V13)&lt;=0,N(Q13)&lt;=0),"Menge pro Gebinde fehlt (Ist = 1 Gebinde); ","")&amp;BO13)</f>
        <v>Lift 1 lt. Liftbericht (Fach 20 Stk); </v>
      </c>
      <c r="BH13" s="55"/>
      <c r="BI13" s="55"/>
      <c r="BJ13" s="62"/>
      <c r="BK13" s="57" t="n">
        <v>12</v>
      </c>
      <c r="BL13" s="57" t="n">
        <v>3</v>
      </c>
      <c r="BM13" s="56" t="n">
        <v>49636.92</v>
      </c>
      <c r="BN13" s="57" t="n">
        <v>31</v>
      </c>
      <c r="BO13" s="55"/>
      <c r="BP13" s="60" t="n">
        <v>0</v>
      </c>
      <c r="BQ13" s="60" t="n">
        <v>13</v>
      </c>
      <c r="BR13" s="55" t="str">
        <f aca="false">IF(U13&lt;&gt;"",UPPER(TRIM(U13)),IF(BU13=1,UPPER(VLOOKUP(T13,Parameter!$I$27:$K$29,2,0)),IF(P13="","LOSE",P13)))</f>
        <v>LOSE</v>
      </c>
      <c r="BS13" s="57" t="n">
        <f aca="false">IF(BR13="LOSE",1,IF(N(V13)&gt;0,V13,IF(BU13=1,MAX(1,N(VLOOKUP(T13,Parameter!$I$27:$K$29,3,0)),H13,N(N13)),IF(N(Q13)&gt;0,Q13,MAX(1,H13)))))</f>
        <v>1</v>
      </c>
      <c r="BT13" s="60" t="n">
        <f aca="false">IF(BR13="LOSE",1,0)</f>
        <v>1</v>
      </c>
      <c r="BU13" s="60" t="n">
        <f aca="false">IF(AND(U13="",OR(P13="",P13="LOSE"),T13&lt;&gt;"",N(S13)&lt;=0,ISNUMBER(MATCH(T13,Parameter!$I$27:$I$29,0))),1,0)</f>
        <v>0</v>
      </c>
      <c r="BV13" s="55" t="n">
        <f aca="false">IF(AND(Parameter!$B$19="Ja",E13&lt;&gt;"",ISNUMBER(MATCH(E13,Parameter!$I$35:$I$52,0))),VLOOKUP(E13,Parameter!$I$35:$J$52,2,0),IFERROR(VLOOKUP(D13,Parameter!$A$35:$C$64,2,0),"Nein"))</f>
        <v>1</v>
      </c>
      <c r="BW13" s="59" t="n">
        <f aca="false">IF(BT13=0,0,IF(N(S13)&gt;0,S13,IFERROR(VLOOKUP(D13,Parameter!$A$35:$C$64,3,0)+0,0)))</f>
        <v>1</v>
      </c>
      <c r="BX13" s="55" t="n">
        <f aca="false">IF(AA13&lt;&gt;"",AA13,Z13)</f>
        <v>1</v>
      </c>
      <c r="BY13" s="55" t="str">
        <f aca="false">IF(BX13=1,"L1",IF(OR(BX13=2,BX13=3),"L23",IF(BX13="Aussen","Aussen","-")))</f>
        <v>L1</v>
      </c>
      <c r="BZ13" s="66" t="n">
        <f aca="false">IF(N(AB13)&gt;0,AB13,0)</f>
        <v>0</v>
      </c>
      <c r="CA13" s="60" t="n">
        <f aca="false">IF(ISNUMBER(AE13),1,0)</f>
        <v>0</v>
      </c>
      <c r="CB13" s="57" t="n">
        <f aca="false">N(AE13)</f>
        <v>0</v>
      </c>
      <c r="CC13" s="57" t="n">
        <f aca="false">N(M13)+N(N13)</f>
        <v>12</v>
      </c>
      <c r="CD13" s="57" t="n">
        <f aca="false">ROUNDUP(H13/BS13,0)</f>
        <v>5</v>
      </c>
      <c r="CE13" s="57" t="n">
        <f aca="false">ROUNDUP(CB13/BS13,0)</f>
        <v>0</v>
      </c>
      <c r="CF13" s="60" t="n">
        <f aca="false">IF(BT13=1,0,IFERROR(VLOOKUP(BR13,'Gebinde-Kategorie'!$A$5:$M$45,5,0)+0,0))</f>
        <v>0</v>
      </c>
      <c r="CG13" s="60" t="n">
        <f aca="false">IFERROR(IF(OR(BX13=1,BX13=2,BX13=3),N(INDEX(Parameter!$I$5:$I$7,BX13)),0),0)</f>
        <v>0</v>
      </c>
      <c r="CH13" s="59" t="n">
        <f aca="false">IF(AND(Parameter!$B$21="Ja",ISNUMBER(W13),N(X13)&gt;0),IFERROR(N(INDEX(Parameter!$L$5:$L$7,W13))*INDEX(Parameter!$E$5:$E$7,W13)*X13/SUMIFS($X$7:$X$1843,$W$7:$W$1843,W13),0),0)</f>
        <v>1.60075329566855</v>
      </c>
    </row>
    <row r="14" customFormat="false" ht="15" hidden="false" customHeight="false" outlineLevel="0" collapsed="false">
      <c r="A14" s="55" t="s">
        <v>191</v>
      </c>
      <c r="B14" s="55" t="s">
        <v>192</v>
      </c>
      <c r="C14" s="55" t="s">
        <v>164</v>
      </c>
      <c r="D14" s="55" t="s">
        <v>173</v>
      </c>
      <c r="E14" s="55"/>
      <c r="F14" s="55" t="s">
        <v>167</v>
      </c>
      <c r="G14" s="56" t="n">
        <v>1751.08</v>
      </c>
      <c r="H14" s="57" t="n">
        <f aca="false">MAX(0,IF(AND(Parameter!$B$21="Ja",ISNUMBER(Y14)),Y14,IF(Parameter!$B$20="Jahresanfang 2025 + Export",BL14+BK14,BK14)))</f>
        <v>23</v>
      </c>
      <c r="I14" s="57" t="n">
        <f aca="false">H14*G14</f>
        <v>40274.84</v>
      </c>
      <c r="J14" s="57" t="n">
        <f aca="false">BN14*Parameter!$B$18</f>
        <v>0</v>
      </c>
      <c r="K14" s="58" t="n">
        <v>0</v>
      </c>
      <c r="L14" s="59" t="n">
        <v>0</v>
      </c>
      <c r="M14" s="57" t="n">
        <v>0</v>
      </c>
      <c r="N14" s="57" t="n">
        <v>1</v>
      </c>
      <c r="O14" s="60" t="n">
        <v>9999</v>
      </c>
      <c r="P14" s="55" t="s">
        <v>168</v>
      </c>
      <c r="Q14" s="57"/>
      <c r="R14" s="60" t="n">
        <f aca="false">IF(BT14=1,0,IFERROR(VLOOKUP(BR14,'Gebinde-Kategorie'!$A$5:$M$45,13,0)+0,0))</f>
        <v>3</v>
      </c>
      <c r="S14" s="61"/>
      <c r="T14" s="62" t="s">
        <v>189</v>
      </c>
      <c r="U14" s="62"/>
      <c r="V14" s="62"/>
      <c r="W14" s="55"/>
      <c r="X14" s="57"/>
      <c r="Y14" s="57"/>
      <c r="Z14" s="55" t="n">
        <f aca="false">IF(A14="","",IF(AND(Parameter!$B$21="Ja",ISNUMBER(W14)),W14,IF(BV14="2+3",IF(ISNUMBER(SEARCH("grosser Artikel",BO14)),2,IFERROR(VLOOKUP(BR14,Parameter!$F$35:$G$64,2,0),2)),IF(OR(BV14="Nein",BV14=""),"-",BV14))))</f>
        <v>2</v>
      </c>
      <c r="AA14" s="62"/>
      <c r="AB14" s="63"/>
      <c r="AC14" s="57" t="n">
        <f aca="false">AR14</f>
        <v>23</v>
      </c>
      <c r="AD14" s="57" t="n">
        <f aca="false">MAX(AR14,H14)</f>
        <v>23</v>
      </c>
      <c r="AE14" s="64"/>
      <c r="AF14" s="57" t="n">
        <f aca="false">IF(LEFT(Cockpit!$C$5,1)="A",H14,IF(CA14=1,CB14,IF(LEFT(Cockpit!$C$5,1)="B",AJ14,MAX(AJ14,H14))))</f>
        <v>23</v>
      </c>
      <c r="AG14" s="57" t="n">
        <f aca="false">IF(BT14=1,0,ROUNDUP(AF14/BS14,0))</f>
        <v>1</v>
      </c>
      <c r="AH14" s="59" t="n">
        <f aca="false">IF(CH14&gt;0,CH14*MAX(1,AF14/X14),IF(BT14=1,IF(AF14&lt;=0,0,BW14*MAX(1,IF(H14&gt;0,AF14/H14,1))),IF(R14&gt;0,AG14/R14,0))/MAX(0.1,N(Parameter!$M$21)))</f>
        <v>0.333333333333333</v>
      </c>
      <c r="AI14" s="57" t="n">
        <f aca="false">AF14*G14</f>
        <v>40274.84</v>
      </c>
      <c r="AJ14" s="57" t="n">
        <f aca="false">ROUNDUP(MAX(J14/IF(BZ14&gt;0,BZ14,MAX(0.1,N(Cockpit!$C$6))),CC14)/BS14,0)*BS14</f>
        <v>23</v>
      </c>
      <c r="AK14" s="58" t="n">
        <f aca="false">IF(AH14&gt;0,J14/AH14,-1)</f>
        <v>0</v>
      </c>
      <c r="AL14" s="58" t="n">
        <f aca="false">IF(AND(OR(BY14="L1",BY14="L23"),AH14&gt;0),SUMIFS($AH$7:$AH$1843,$BY$7:$BY$1843,BY14,$AK$7:$AK$1843,"&gt;"&amp;AK14)+SUMIFS($AH$7:$AH$1843,$BY$7:$BY$1843,BY14,$AK$7:$AK$1843,AK14,$BQ$7:$BQ$1843,"&lt;="&amp;BQ14),"")</f>
        <v>65.9137444680923</v>
      </c>
      <c r="AM14" s="65" t="n">
        <f aca="false">IF(AL14="",0,MAX(0,MIN(1,(IF(BY14="L1",Parameter!$E$5,Parameter!$E$6+Parameter!$E$7)-(AL14-AH14))/AH14)))</f>
        <v>1</v>
      </c>
      <c r="AN14" s="57" t="n">
        <f aca="false">IF(LEFT(Cockpit!$I$5,1)="A",H14,IF(CA14=1,CB14,IF(LEFT(Cockpit!$I$5,1)="B",AR14,MAX(AR14,H14))))</f>
        <v>23</v>
      </c>
      <c r="AO14" s="57" t="n">
        <f aca="false">IF(BT14=1,0,ROUNDUP(AN14/BS14,0))</f>
        <v>1</v>
      </c>
      <c r="AP14" s="59" t="n">
        <f aca="false">IF(CH14&gt;0,CH14*MAX(1,AN14/X14),IF(BT14=1,IF(AN14&lt;=0,0,BW14*MAX(1,IF(H14&gt;0,AN14/H14,1))),IF(R14&gt;0,AO14/R14,0))/MAX(0.1,N(Parameter!$M$21)))</f>
        <v>0.333333333333333</v>
      </c>
      <c r="AQ14" s="57" t="n">
        <f aca="false">AN14*G14</f>
        <v>40274.84</v>
      </c>
      <c r="AR14" s="57" t="n">
        <f aca="false">ROUNDUP(MAX(J14/IF(BZ14&gt;0,BZ14,MAX(0.1,N(Cockpit!$I$6))),CC14)/BS14,0)*BS14</f>
        <v>23</v>
      </c>
      <c r="AS14" s="58" t="n">
        <f aca="false">IF(AP14&gt;0,J14/AP14,-1)</f>
        <v>0</v>
      </c>
      <c r="AT14" s="58" t="n">
        <f aca="false">IF(AND(OR(BY14="L1",BY14="L23"),AP14&gt;0),SUMIFS($AP$7:$AP$1843,$BY$7:$BY$1843,BY14,$AS$7:$AS$1843,"&gt;"&amp;AS14)+SUMIFS($AP$7:$AP$1843,$BY$7:$BY$1843,BY14,$AS$7:$AS$1843,AS14,$BQ$7:$BQ$1843,"&lt;="&amp;BQ14),"")</f>
        <v>105.004535319753</v>
      </c>
      <c r="AU14" s="65" t="n">
        <f aca="false">IF(AT14="",0,MAX(0,MIN(1,(IF(BY14="L1",Parameter!$E$5,Parameter!$E$6+Parameter!$E$7)-(AT14-AP14))/AP14)))</f>
        <v>0</v>
      </c>
      <c r="AV14" s="57" t="n">
        <f aca="false">IF(LEFT(Cockpit!$O$5,1)="A",H14,IF(CA14=1,CB14,IF(LEFT(Cockpit!$O$5,1)="B",AZ14,MAX(AZ14,H14))))</f>
        <v>23</v>
      </c>
      <c r="AW14" s="57" t="n">
        <f aca="false">IF(BT14=1,0,ROUNDUP(AV14/BS14,0))</f>
        <v>1</v>
      </c>
      <c r="AX14" s="59" t="n">
        <f aca="false">IF(CH14&gt;0,CH14*MAX(1,AV14/X14),IF(BT14=1,IF(AV14&lt;=0,0,BW14*MAX(1,IF(H14&gt;0,AV14/H14,1))),IF(R14&gt;0,AW14/R14,0))/MAX(0.1,N(Parameter!$M$21)))</f>
        <v>0.333333333333333</v>
      </c>
      <c r="AY14" s="57" t="n">
        <f aca="false">AV14*G14</f>
        <v>40274.84</v>
      </c>
      <c r="AZ14" s="57" t="n">
        <f aca="false">ROUNDUP(MAX(J14/IF(BZ14&gt;0,BZ14,MAX(0.1,N(Cockpit!$O$6))),CC14)/BS14,0)*BS14</f>
        <v>23</v>
      </c>
      <c r="BA14" s="58" t="n">
        <f aca="false">IF(AX14&gt;0,J14/AX14,-1)</f>
        <v>0</v>
      </c>
      <c r="BB14" s="58" t="n">
        <f aca="false">IF(AND(OR(BY14="L1",BY14="L23"),AX14&gt;0),SUMIFS($AX$7:$AX$1843,$BY$7:$BY$1843,BY14,$BA$7:$BA$1843,"&gt;"&amp;BA14)+SUMIFS($AX$7:$AX$1843,$BY$7:$BY$1843,BY14,$BA$7:$BA$1843,BA14,$BQ$7:$BQ$1843,"&lt;="&amp;BQ14),"")</f>
        <v>95.8343721495895</v>
      </c>
      <c r="BC14" s="65" t="n">
        <f aca="false">IF(BB14="",0,MAX(0,MIN(1,(IF(BY14="L1",Parameter!$E$5,Parameter!$E$6+Parameter!$E$7)-(BB14-AX14))/AX14)))</f>
        <v>1</v>
      </c>
      <c r="BD14" s="55" t="str">
        <f aca="false">IF(AH14&lt;=0,"",IF(BY14="Aussen","Aussenlager",IF(BY14="-","Nicht im Lift",IF(AM14&gt;=1,"Lift",IF(AM14&lt;=0,"Aussenlager","teilweise")))))</f>
        <v>Lift</v>
      </c>
      <c r="BE14" s="55" t="str">
        <f aca="false">IF(AP14&lt;=0,"",IF(BY14="Aussen","Aussenlager",IF(BY14="-","Nicht im Lift",IF(AU14&gt;=1,"Lift",IF(AU14&lt;=0,"Aussenlager","teilweise")))))</f>
        <v>Aussenlager</v>
      </c>
      <c r="BF14" s="55" t="str">
        <f aca="false">IF(AX14&lt;=0,"",IF(BY14="Aussen","Aussenlager",IF(BY14="-","Nicht im Lift",IF(BC14&gt;=1,"Lift",IF(BC14&lt;=0,"Aussenlager","teilweise")))))</f>
        <v>Lift</v>
      </c>
      <c r="BG14" s="55" t="str">
        <f aca="false">IF(A14="","",IF(BP14=1,"Neu; ","")&amp;IF(AND(BP14=0,BK14&lt;0),"negativer Bestand (Export "&amp;BK14&amp;"); ","")&amp;IF(J14&lt;=0,"Kein Verbrauch; ","")&amp;IF(CH14&gt;0,"Lift "&amp;W14&amp;" lt. Liftbericht (Fach "&amp;X14&amp;" Stk); ",IF(BU14=1,"Gebinde geschätzt ("&amp;T14&amp;"); ",IF(BT14=1,"Lose – Tablare geschätzt; ","")))&amp;IF(H14&gt;AR14,"Überbestand "&amp;ROUND(H14-AR14,0)&amp;" Stk / CHF "&amp;ROUND((H14-AR14)*G14,0)&amp;"; ","")&amp;IF(AND(CA14=1,CB14&lt;CC14),"MAX &lt; MB+LG; ","")&amp;IF(AND(CG14&gt;0,CF14*10&gt;CG14),"zu hoch für Tablar; ","")&amp;IF(AND(BP14=0,OR(CA14=1,AA14&lt;&gt;"",U14&lt;&gt;"",V14&lt;&gt;"",AB14&lt;&gt;"")),"manuell übersteuert; ","")&amp;IF(AND(BT14=0,R14=0),"Gebinde unbekannt / Stellmass fehlt; ","")&amp;IF(AND(BT14=0,N(V14)&lt;=0,N(Q14)&lt;=0),"Menge pro Gebinde fehlt (Ist = 1 Gebinde); ","")&amp;BO14)</f>
        <v>Kein Verbrauch; Gebinde geschätzt (Gross); Menge pro Gebinde fehlt (Ist = 1 Gebinde); </v>
      </c>
      <c r="BH14" s="55" t="s">
        <v>193</v>
      </c>
      <c r="BI14" s="55" t="s">
        <v>194</v>
      </c>
      <c r="BJ14" s="62"/>
      <c r="BK14" s="57" t="n">
        <v>23</v>
      </c>
      <c r="BL14" s="57" t="n">
        <v>0</v>
      </c>
      <c r="BM14" s="56" t="n">
        <v>40274.84</v>
      </c>
      <c r="BN14" s="57" t="n">
        <v>0</v>
      </c>
      <c r="BO14" s="55"/>
      <c r="BP14" s="60" t="n">
        <v>0</v>
      </c>
      <c r="BQ14" s="60" t="n">
        <v>14</v>
      </c>
      <c r="BR14" s="55" t="str">
        <f aca="false">IF(U14&lt;&gt;"",UPPER(TRIM(U14)),IF(BU14=1,UPPER(VLOOKUP(T14,Parameter!$I$27:$K$29,2,0)),IF(P14="","LOSE",P14)))</f>
        <v>S81</v>
      </c>
      <c r="BS14" s="57" t="n">
        <f aca="false">IF(BR14="LOSE",1,IF(N(V14)&gt;0,V14,IF(BU14=1,MAX(1,N(VLOOKUP(T14,Parameter!$I$27:$K$29,3,0)),H14,N(N14)),IF(N(Q14)&gt;0,Q14,MAX(1,H14)))))</f>
        <v>23</v>
      </c>
      <c r="BT14" s="60" t="n">
        <f aca="false">IF(BR14="LOSE",1,0)</f>
        <v>0</v>
      </c>
      <c r="BU14" s="60" t="n">
        <f aca="false">IF(AND(U14="",OR(P14="",P14="LOSE"),T14&lt;&gt;"",N(S14)&lt;=0,ISNUMBER(MATCH(T14,Parameter!$I$27:$I$29,0))),1,0)</f>
        <v>1</v>
      </c>
      <c r="BV14" s="55" t="str">
        <f aca="false">IF(AND(Parameter!$B$19="Ja",E14&lt;&gt;"",ISNUMBER(MATCH(E14,Parameter!$I$35:$I$52,0))),VLOOKUP(E14,Parameter!$I$35:$J$52,2,0),IFERROR(VLOOKUP(D14,Parameter!$A$35:$C$64,2,0),"Nein"))</f>
        <v>2+3</v>
      </c>
      <c r="BW14" s="59" t="n">
        <f aca="false">IF(BT14=0,0,IF(N(S14)&gt;0,S14,IFERROR(VLOOKUP(D14,Parameter!$A$35:$C$64,3,0)+0,0)))</f>
        <v>0</v>
      </c>
      <c r="BX14" s="55" t="n">
        <f aca="false">IF(AA14&lt;&gt;"",AA14,Z14)</f>
        <v>2</v>
      </c>
      <c r="BY14" s="55" t="str">
        <f aca="false">IF(BX14=1,"L1",IF(OR(BX14=2,BX14=3),"L23",IF(BX14="Aussen","Aussen","-")))</f>
        <v>L23</v>
      </c>
      <c r="BZ14" s="66" t="n">
        <f aca="false">IF(N(AB14)&gt;0,AB14,0)</f>
        <v>0</v>
      </c>
      <c r="CA14" s="60" t="n">
        <f aca="false">IF(ISNUMBER(AE14),1,0)</f>
        <v>0</v>
      </c>
      <c r="CB14" s="57" t="n">
        <f aca="false">N(AE14)</f>
        <v>0</v>
      </c>
      <c r="CC14" s="57" t="n">
        <f aca="false">N(M14)+N(N14)</f>
        <v>1</v>
      </c>
      <c r="CD14" s="57" t="n">
        <f aca="false">ROUNDUP(H14/BS14,0)</f>
        <v>1</v>
      </c>
      <c r="CE14" s="57" t="n">
        <f aca="false">ROUNDUP(CB14/BS14,0)</f>
        <v>0</v>
      </c>
      <c r="CF14" s="60" t="n">
        <f aca="false">IF(BT14=1,0,IFERROR(VLOOKUP(BR14,'Gebinde-Kategorie'!$A$5:$M$45,5,0)+0,0))</f>
        <v>20</v>
      </c>
      <c r="CG14" s="60" t="n">
        <f aca="false">IFERROR(IF(OR(BX14=1,BX14=2,BX14=3),N(INDEX(Parameter!$I$5:$I$7,BX14)),0),0)</f>
        <v>0</v>
      </c>
      <c r="CH14" s="59" t="n">
        <f aca="false">IF(AND(Parameter!$B$21="Ja",ISNUMBER(W14),N(X14)&gt;0),IFERROR(N(INDEX(Parameter!$L$5:$L$7,W14))*INDEX(Parameter!$E$5:$E$7,W14)*X14/SUMIFS($X$7:$X$1843,$W$7:$W$1843,W14),0),0)</f>
        <v>0</v>
      </c>
    </row>
    <row r="15" customFormat="false" ht="15" hidden="false" customHeight="false" outlineLevel="0" collapsed="false">
      <c r="A15" s="55" t="s">
        <v>195</v>
      </c>
      <c r="B15" s="55" t="s">
        <v>196</v>
      </c>
      <c r="C15" s="55" t="s">
        <v>164</v>
      </c>
      <c r="D15" s="55" t="s">
        <v>173</v>
      </c>
      <c r="E15" s="55"/>
      <c r="F15" s="55" t="s">
        <v>167</v>
      </c>
      <c r="G15" s="56" t="n">
        <v>5356</v>
      </c>
      <c r="H15" s="57" t="n">
        <f aca="false">MAX(0,IF(AND(Parameter!$B$21="Ja",ISNUMBER(Y15)),Y15,IF(Parameter!$B$20="Jahresanfang 2025 + Export",BL15+BK15,BK15)))</f>
        <v>6</v>
      </c>
      <c r="I15" s="57" t="n">
        <f aca="false">H15*G15</f>
        <v>32136</v>
      </c>
      <c r="J15" s="57" t="n">
        <f aca="false">BN15*Parameter!$B$18</f>
        <v>23</v>
      </c>
      <c r="K15" s="58" t="n">
        <v>0.5</v>
      </c>
      <c r="L15" s="59" t="n">
        <v>46</v>
      </c>
      <c r="M15" s="57" t="n">
        <v>6</v>
      </c>
      <c r="N15" s="57" t="n">
        <v>5</v>
      </c>
      <c r="O15" s="60" t="n">
        <v>100</v>
      </c>
      <c r="P15" s="55" t="s">
        <v>168</v>
      </c>
      <c r="Q15" s="57"/>
      <c r="R15" s="60" t="n">
        <f aca="false">IF(BT15=1,0,IFERROR(VLOOKUP(BR15,'Gebinde-Kategorie'!$A$5:$M$45,13,0)+0,0))</f>
        <v>12</v>
      </c>
      <c r="S15" s="61"/>
      <c r="T15" s="62" t="s">
        <v>179</v>
      </c>
      <c r="U15" s="62"/>
      <c r="V15" s="62"/>
      <c r="W15" s="55"/>
      <c r="X15" s="57"/>
      <c r="Y15" s="57"/>
      <c r="Z15" s="55" t="n">
        <f aca="false">IF(A15="","",IF(AND(Parameter!$B$21="Ja",ISNUMBER(W15)),W15,IF(BV15="2+3",IF(ISNUMBER(SEARCH("grosser Artikel",BO15)),2,IFERROR(VLOOKUP(BR15,Parameter!$F$35:$G$64,2,0),2)),IF(OR(BV15="Nein",BV15=""),"-",BV15))))</f>
        <v>2</v>
      </c>
      <c r="AA15" s="62"/>
      <c r="AB15" s="63"/>
      <c r="AC15" s="57" t="n">
        <f aca="false">AR15</f>
        <v>12</v>
      </c>
      <c r="AD15" s="57" t="n">
        <f aca="false">MAX(AR15,H15)</f>
        <v>12</v>
      </c>
      <c r="AE15" s="64"/>
      <c r="AF15" s="57" t="n">
        <f aca="false">IF(LEFT(Cockpit!$C$5,1)="A",H15,IF(CA15=1,CB15,IF(LEFT(Cockpit!$C$5,1)="B",AJ15,MAX(AJ15,H15))))</f>
        <v>6</v>
      </c>
      <c r="AG15" s="57" t="n">
        <f aca="false">IF(BT15=1,0,ROUNDUP(AF15/BS15,0))</f>
        <v>1</v>
      </c>
      <c r="AH15" s="59" t="n">
        <f aca="false">IF(CH15&gt;0,CH15*MAX(1,AF15/X15),IF(BT15=1,IF(AF15&lt;=0,0,BW15*MAX(1,IF(H15&gt;0,AF15/H15,1))),IF(R15&gt;0,AG15/R15,0))/MAX(0.1,N(Parameter!$M$21)))</f>
        <v>0.0833333333333333</v>
      </c>
      <c r="AI15" s="57" t="n">
        <f aca="false">AF15*G15</f>
        <v>32136</v>
      </c>
      <c r="AJ15" s="57" t="n">
        <f aca="false">ROUNDUP(MAX(J15/IF(BZ15&gt;0,BZ15,MAX(0.1,N(Cockpit!$C$6))),CC15)/BS15,0)*BS15</f>
        <v>12</v>
      </c>
      <c r="AK15" s="58" t="n">
        <f aca="false">IF(AH15&gt;0,J15/AH15,-1)</f>
        <v>276</v>
      </c>
      <c r="AL15" s="58" t="n">
        <f aca="false">IF(AND(OR(BY15="L1",BY15="L23"),AH15&gt;0),SUMIFS($AH$7:$AH$1843,$BY$7:$BY$1843,BY15,$AK$7:$AK$1843,"&gt;"&amp;AK15)+SUMIFS($AH$7:$AH$1843,$BY$7:$BY$1843,BY15,$AK$7:$AK$1843,AK15,$BQ$7:$BQ$1843,"&lt;="&amp;BQ15),"")</f>
        <v>28.7477618999358</v>
      </c>
      <c r="AM15" s="65" t="n">
        <f aca="false">IF(AL15="",0,MAX(0,MIN(1,(IF(BY15="L1",Parameter!$E$5,Parameter!$E$6+Parameter!$E$7)-(AL15-AH15))/AH15)))</f>
        <v>1</v>
      </c>
      <c r="AN15" s="57" t="n">
        <f aca="false">IF(LEFT(Cockpit!$I$5,1)="A",H15,IF(CA15=1,CB15,IF(LEFT(Cockpit!$I$5,1)="B",AR15,MAX(AR15,H15))))</f>
        <v>12</v>
      </c>
      <c r="AO15" s="57" t="n">
        <f aca="false">IF(BT15=1,0,ROUNDUP(AN15/BS15,0))</f>
        <v>2</v>
      </c>
      <c r="AP15" s="59" t="n">
        <f aca="false">IF(CH15&gt;0,CH15*MAX(1,AN15/X15),IF(BT15=1,IF(AN15&lt;=0,0,BW15*MAX(1,IF(H15&gt;0,AN15/H15,1))),IF(R15&gt;0,AO15/R15,0))/MAX(0.1,N(Parameter!$M$21)))</f>
        <v>0.166666666666667</v>
      </c>
      <c r="AQ15" s="57" t="n">
        <f aca="false">AN15*G15</f>
        <v>64272</v>
      </c>
      <c r="AR15" s="57" t="n">
        <f aca="false">ROUNDUP(MAX(J15/IF(BZ15&gt;0,BZ15,MAX(0.1,N(Cockpit!$I$6))),CC15)/BS15,0)*BS15</f>
        <v>12</v>
      </c>
      <c r="AS15" s="58" t="n">
        <f aca="false">IF(AP15&gt;0,J15/AP15,-1)</f>
        <v>138</v>
      </c>
      <c r="AT15" s="58" t="n">
        <f aca="false">IF(AND(OR(BY15="L1",BY15="L23"),AP15&gt;0),SUMIFS($AP$7:$AP$1843,$BY$7:$BY$1843,BY15,$AS$7:$AS$1843,"&gt;"&amp;AS15)+SUMIFS($AP$7:$AP$1843,$BY$7:$BY$1843,BY15,$AS$7:$AS$1843,AS15,$BQ$7:$BQ$1843,"&lt;="&amp;BQ15),"")</f>
        <v>50.2217070369244</v>
      </c>
      <c r="AU15" s="65" t="n">
        <f aca="false">IF(AT15="",0,MAX(0,MIN(1,(IF(BY15="L1",Parameter!$E$5,Parameter!$E$6+Parameter!$E$7)-(AT15-AP15))/AP15)))</f>
        <v>1</v>
      </c>
      <c r="AV15" s="57" t="n">
        <f aca="false">IF(LEFT(Cockpit!$O$5,1)="A",H15,IF(CA15=1,CB15,IF(LEFT(Cockpit!$O$5,1)="B",AZ15,MAX(AZ15,H15))))</f>
        <v>12</v>
      </c>
      <c r="AW15" s="57" t="n">
        <f aca="false">IF(BT15=1,0,ROUNDUP(AV15/BS15,0))</f>
        <v>2</v>
      </c>
      <c r="AX15" s="59" t="n">
        <f aca="false">IF(CH15&gt;0,CH15*MAX(1,AV15/X15),IF(BT15=1,IF(AV15&lt;=0,0,BW15*MAX(1,IF(H15&gt;0,AV15/H15,1))),IF(R15&gt;0,AW15/R15,0))/MAX(0.1,N(Parameter!$M$21)))</f>
        <v>0.166666666666667</v>
      </c>
      <c r="AY15" s="57" t="n">
        <f aca="false">AV15*G15</f>
        <v>64272</v>
      </c>
      <c r="AZ15" s="57" t="n">
        <f aca="false">ROUNDUP(MAX(J15/IF(BZ15&gt;0,BZ15,MAX(0.1,N(Cockpit!$O$6))),CC15)/BS15,0)*BS15</f>
        <v>12</v>
      </c>
      <c r="BA15" s="58" t="n">
        <f aca="false">IF(AX15&gt;0,J15/AX15,-1)</f>
        <v>138</v>
      </c>
      <c r="BB15" s="58" t="n">
        <f aca="false">IF(AND(OR(BY15="L1",BY15="L23"),AX15&gt;0),SUMIFS($AX$7:$AX$1843,$BY$7:$BY$1843,BY15,$BA$7:$BA$1843,"&gt;"&amp;BA15)+SUMIFS($AX$7:$AX$1843,$BY$7:$BY$1843,BY15,$BA$7:$BA$1843,BA15,$BQ$7:$BQ$1843,"&lt;="&amp;BQ15),"")</f>
        <v>45.8015438667613</v>
      </c>
      <c r="BC15" s="65" t="n">
        <f aca="false">IF(BB15="",0,MAX(0,MIN(1,(IF(BY15="L1",Parameter!$E$5,Parameter!$E$6+Parameter!$E$7)-(BB15-AX15))/AX15)))</f>
        <v>1</v>
      </c>
      <c r="BD15" s="55" t="str">
        <f aca="false">IF(AH15&lt;=0,"",IF(BY15="Aussen","Aussenlager",IF(BY15="-","Nicht im Lift",IF(AM15&gt;=1,"Lift",IF(AM15&lt;=0,"Aussenlager","teilweise")))))</f>
        <v>Lift</v>
      </c>
      <c r="BE15" s="55" t="str">
        <f aca="false">IF(AP15&lt;=0,"",IF(BY15="Aussen","Aussenlager",IF(BY15="-","Nicht im Lift",IF(AU15&gt;=1,"Lift",IF(AU15&lt;=0,"Aussenlager","teilweise")))))</f>
        <v>Lift</v>
      </c>
      <c r="BF15" s="55" t="str">
        <f aca="false">IF(AX15&lt;=0,"",IF(BY15="Aussen","Aussenlager",IF(BY15="-","Nicht im Lift",IF(BC15&gt;=1,"Lift",IF(BC15&lt;=0,"Aussenlager","teilweise")))))</f>
        <v>Lift</v>
      </c>
      <c r="BG15" s="55" t="str">
        <f aca="false">IF(A15="","",IF(BP15=1,"Neu; ","")&amp;IF(AND(BP15=0,BK15&lt;0),"negativer Bestand (Export "&amp;BK15&amp;"); ","")&amp;IF(J15&lt;=0,"Kein Verbrauch; ","")&amp;IF(CH15&gt;0,"Lift "&amp;W15&amp;" lt. Liftbericht (Fach "&amp;X15&amp;" Stk); ",IF(BU15=1,"Gebinde geschätzt ("&amp;T15&amp;"); ",IF(BT15=1,"Lose – Tablare geschätzt; ","")))&amp;IF(H15&gt;AR15,"Überbestand "&amp;ROUND(H15-AR15,0)&amp;" Stk / CHF "&amp;ROUND((H15-AR15)*G15,0)&amp;"; ","")&amp;IF(AND(CA15=1,CB15&lt;CC15),"MAX &lt; MB+LG; ","")&amp;IF(AND(CG15&gt;0,CF15*10&gt;CG15),"zu hoch für Tablar; ","")&amp;IF(AND(BP15=0,OR(CA15=1,AA15&lt;&gt;"",U15&lt;&gt;"",V15&lt;&gt;"",AB15&lt;&gt;"")),"manuell übersteuert; ","")&amp;IF(AND(BT15=0,R15=0),"Gebinde unbekannt / Stellmass fehlt; ","")&amp;IF(AND(BT15=0,N(V15)&lt;=0,N(Q15)&lt;=0),"Menge pro Gebinde fehlt (Ist = 1 Gebinde); ","")&amp;BO15)</f>
        <v>Gebinde geschätzt (Mittel); Menge pro Gebinde fehlt (Ist = 1 Gebinde); </v>
      </c>
      <c r="BH15" s="55"/>
      <c r="BI15" s="55"/>
      <c r="BJ15" s="62"/>
      <c r="BK15" s="57" t="n">
        <v>6</v>
      </c>
      <c r="BL15" s="57" t="n">
        <v>0</v>
      </c>
      <c r="BM15" s="56" t="n">
        <v>32136</v>
      </c>
      <c r="BN15" s="57" t="n">
        <v>23</v>
      </c>
      <c r="BO15" s="55"/>
      <c r="BP15" s="60" t="n">
        <v>0</v>
      </c>
      <c r="BQ15" s="60" t="n">
        <v>15</v>
      </c>
      <c r="BR15" s="55" t="str">
        <f aca="false">IF(U15&lt;&gt;"",UPPER(TRIM(U15)),IF(BU15=1,UPPER(VLOOKUP(T15,Parameter!$I$27:$K$29,2,0)),IF(P15="","LOSE",P15)))</f>
        <v>S61</v>
      </c>
      <c r="BS15" s="57" t="n">
        <f aca="false">IF(BR15="LOSE",1,IF(N(V15)&gt;0,V15,IF(BU15=1,MAX(1,N(VLOOKUP(T15,Parameter!$I$27:$K$29,3,0)),H15,N(N15)),IF(N(Q15)&gt;0,Q15,MAX(1,H15)))))</f>
        <v>6</v>
      </c>
      <c r="BT15" s="60" t="n">
        <f aca="false">IF(BR15="LOSE",1,0)</f>
        <v>0</v>
      </c>
      <c r="BU15" s="60" t="n">
        <f aca="false">IF(AND(U15="",OR(P15="",P15="LOSE"),T15&lt;&gt;"",N(S15)&lt;=0,ISNUMBER(MATCH(T15,Parameter!$I$27:$I$29,0))),1,0)</f>
        <v>1</v>
      </c>
      <c r="BV15" s="55" t="str">
        <f aca="false">IF(AND(Parameter!$B$19="Ja",E15&lt;&gt;"",ISNUMBER(MATCH(E15,Parameter!$I$35:$I$52,0))),VLOOKUP(E15,Parameter!$I$35:$J$52,2,0),IFERROR(VLOOKUP(D15,Parameter!$A$35:$C$64,2,0),"Nein"))</f>
        <v>2+3</v>
      </c>
      <c r="BW15" s="59" t="n">
        <f aca="false">IF(BT15=0,0,IF(N(S15)&gt;0,S15,IFERROR(VLOOKUP(D15,Parameter!$A$35:$C$64,3,0)+0,0)))</f>
        <v>0</v>
      </c>
      <c r="BX15" s="55" t="n">
        <f aca="false">IF(AA15&lt;&gt;"",AA15,Z15)</f>
        <v>2</v>
      </c>
      <c r="BY15" s="55" t="str">
        <f aca="false">IF(BX15=1,"L1",IF(OR(BX15=2,BX15=3),"L23",IF(BX15="Aussen","Aussen","-")))</f>
        <v>L23</v>
      </c>
      <c r="BZ15" s="66" t="n">
        <f aca="false">IF(N(AB15)&gt;0,AB15,0)</f>
        <v>0</v>
      </c>
      <c r="CA15" s="60" t="n">
        <f aca="false">IF(ISNUMBER(AE15),1,0)</f>
        <v>0</v>
      </c>
      <c r="CB15" s="57" t="n">
        <f aca="false">N(AE15)</f>
        <v>0</v>
      </c>
      <c r="CC15" s="57" t="n">
        <f aca="false">N(M15)+N(N15)</f>
        <v>11</v>
      </c>
      <c r="CD15" s="57" t="n">
        <f aca="false">ROUNDUP(H15/BS15,0)</f>
        <v>1</v>
      </c>
      <c r="CE15" s="57" t="n">
        <f aca="false">ROUNDUP(CB15/BS15,0)</f>
        <v>0</v>
      </c>
      <c r="CF15" s="60" t="n">
        <f aca="false">IF(BT15=1,0,IFERROR(VLOOKUP(BR15,'Gebinde-Kategorie'!$A$5:$M$45,5,0)+0,0))</f>
        <v>11</v>
      </c>
      <c r="CG15" s="60" t="n">
        <f aca="false">IFERROR(IF(OR(BX15=1,BX15=2,BX15=3),N(INDEX(Parameter!$I$5:$I$7,BX15)),0),0)</f>
        <v>0</v>
      </c>
      <c r="CH15" s="59" t="n">
        <f aca="false">IF(AND(Parameter!$B$21="Ja",ISNUMBER(W15),N(X15)&gt;0),IFERROR(N(INDEX(Parameter!$L$5:$L$7,W15))*INDEX(Parameter!$E$5:$E$7,W15)*X15/SUMIFS($X$7:$X$1843,$W$7:$W$1843,W15),0),0)</f>
        <v>0</v>
      </c>
    </row>
    <row r="16" customFormat="false" ht="15" hidden="false" customHeight="false" outlineLevel="0" collapsed="false">
      <c r="A16" s="55" t="s">
        <v>197</v>
      </c>
      <c r="B16" s="55" t="s">
        <v>198</v>
      </c>
      <c r="C16" s="55" t="s">
        <v>164</v>
      </c>
      <c r="D16" s="55" t="s">
        <v>173</v>
      </c>
      <c r="E16" s="55" t="s">
        <v>173</v>
      </c>
      <c r="F16" s="55" t="s">
        <v>167</v>
      </c>
      <c r="G16" s="56" t="n">
        <v>4269.47</v>
      </c>
      <c r="H16" s="57" t="n">
        <f aca="false">MAX(0,IF(AND(Parameter!$B$21="Ja",ISNUMBER(Y16)),Y16,IF(Parameter!$B$20="Jahresanfang 2025 + Export",BL16+BK16,BK16)))</f>
        <v>18</v>
      </c>
      <c r="I16" s="57" t="n">
        <f aca="false">H16*G16</f>
        <v>76850.46</v>
      </c>
      <c r="J16" s="57" t="n">
        <f aca="false">BN16*Parameter!$B$18</f>
        <v>81</v>
      </c>
      <c r="K16" s="58" t="n">
        <v>8</v>
      </c>
      <c r="L16" s="59" t="n">
        <v>10.125</v>
      </c>
      <c r="M16" s="57" t="n">
        <v>12</v>
      </c>
      <c r="N16" s="57" t="n">
        <v>5</v>
      </c>
      <c r="O16" s="60" t="n">
        <v>56</v>
      </c>
      <c r="P16" s="55" t="s">
        <v>168</v>
      </c>
      <c r="Q16" s="57"/>
      <c r="R16" s="60" t="n">
        <f aca="false">IF(BT16=1,0,IFERROR(VLOOKUP(BR16,'Gebinde-Kategorie'!$A$5:$M$45,13,0)+0,0))</f>
        <v>12</v>
      </c>
      <c r="S16" s="61"/>
      <c r="T16" s="62" t="s">
        <v>179</v>
      </c>
      <c r="U16" s="62"/>
      <c r="V16" s="62"/>
      <c r="W16" s="55"/>
      <c r="X16" s="57"/>
      <c r="Y16" s="57"/>
      <c r="Z16" s="55" t="str">
        <f aca="false">IF(A16="","",IF(AND(Parameter!$B$21="Ja",ISNUMBER(W16)),W16,IF(BV16="2+3",IF(ISNUMBER(SEARCH("grosser Artikel",BO16)),2,IFERROR(VLOOKUP(BR16,Parameter!$F$35:$G$64,2,0),2)),IF(OR(BV16="Nein",BV16=""),"-",BV16))))</f>
        <v>-</v>
      </c>
      <c r="AA16" s="62"/>
      <c r="AB16" s="63"/>
      <c r="AC16" s="57" t="n">
        <f aca="false">AR16</f>
        <v>54</v>
      </c>
      <c r="AD16" s="57" t="n">
        <f aca="false">MAX(AR16,H16)</f>
        <v>54</v>
      </c>
      <c r="AE16" s="64"/>
      <c r="AF16" s="57" t="n">
        <f aca="false">IF(LEFT(Cockpit!$C$5,1)="A",H16,IF(CA16=1,CB16,IF(LEFT(Cockpit!$C$5,1)="B",AJ16,MAX(AJ16,H16))))</f>
        <v>18</v>
      </c>
      <c r="AG16" s="57" t="n">
        <f aca="false">IF(BT16=1,0,ROUNDUP(AF16/BS16,0))</f>
        <v>1</v>
      </c>
      <c r="AH16" s="59" t="n">
        <f aca="false">IF(CH16&gt;0,CH16*MAX(1,AF16/X16),IF(BT16=1,IF(AF16&lt;=0,0,BW16*MAX(1,IF(H16&gt;0,AF16/H16,1))),IF(R16&gt;0,AG16/R16,0))/MAX(0.1,N(Parameter!$M$21)))</f>
        <v>0.0833333333333333</v>
      </c>
      <c r="AI16" s="57" t="n">
        <f aca="false">AF16*G16</f>
        <v>76850.46</v>
      </c>
      <c r="AJ16" s="57" t="n">
        <f aca="false">ROUNDUP(MAX(J16/IF(BZ16&gt;0,BZ16,MAX(0.1,N(Cockpit!$C$6))),CC16)/BS16,0)*BS16</f>
        <v>54</v>
      </c>
      <c r="AK16" s="58" t="n">
        <f aca="false">IF(AH16&gt;0,J16/AH16,-1)</f>
        <v>972</v>
      </c>
      <c r="AL16" s="58" t="str">
        <f aca="false">IF(AND(OR(BY16="L1",BY16="L23"),AH16&gt;0),SUMIFS($AH$7:$AH$1843,$BY$7:$BY$1843,BY16,$AK$7:$AK$1843,"&gt;"&amp;AK16)+SUMIFS($AH$7:$AH$1843,$BY$7:$BY$1843,BY16,$AK$7:$AK$1843,AK16,$BQ$7:$BQ$1843,"&lt;="&amp;BQ16),"")</f>
        <v/>
      </c>
      <c r="AM16" s="65" t="n">
        <f aca="false">IF(AL16="",0,MAX(0,MIN(1,(IF(BY16="L1",Parameter!$E$5,Parameter!$E$6+Parameter!$E$7)-(AL16-AH16))/AH16)))</f>
        <v>0</v>
      </c>
      <c r="AN16" s="57" t="n">
        <f aca="false">IF(LEFT(Cockpit!$I$5,1)="A",H16,IF(CA16=1,CB16,IF(LEFT(Cockpit!$I$5,1)="B",AR16,MAX(AR16,H16))))</f>
        <v>54</v>
      </c>
      <c r="AO16" s="57" t="n">
        <f aca="false">IF(BT16=1,0,ROUNDUP(AN16/BS16,0))</f>
        <v>3</v>
      </c>
      <c r="AP16" s="59" t="n">
        <f aca="false">IF(CH16&gt;0,CH16*MAX(1,AN16/X16),IF(BT16=1,IF(AN16&lt;=0,0,BW16*MAX(1,IF(H16&gt;0,AN16/H16,1))),IF(R16&gt;0,AO16/R16,0))/MAX(0.1,N(Parameter!$M$21)))</f>
        <v>0.25</v>
      </c>
      <c r="AQ16" s="57" t="n">
        <f aca="false">AN16*G16</f>
        <v>230551.38</v>
      </c>
      <c r="AR16" s="57" t="n">
        <f aca="false">ROUNDUP(MAX(J16/IF(BZ16&gt;0,BZ16,MAX(0.1,N(Cockpit!$I$6))),CC16)/BS16,0)*BS16</f>
        <v>54</v>
      </c>
      <c r="AS16" s="58" t="n">
        <f aca="false">IF(AP16&gt;0,J16/AP16,-1)</f>
        <v>324</v>
      </c>
      <c r="AT16" s="58" t="str">
        <f aca="false">IF(AND(OR(BY16="L1",BY16="L23"),AP16&gt;0),SUMIFS($AP$7:$AP$1843,$BY$7:$BY$1843,BY16,$AS$7:$AS$1843,"&gt;"&amp;AS16)+SUMIFS($AP$7:$AP$1843,$BY$7:$BY$1843,BY16,$AS$7:$AS$1843,AS16,$BQ$7:$BQ$1843,"&lt;="&amp;BQ16),"")</f>
        <v/>
      </c>
      <c r="AU16" s="65" t="n">
        <f aca="false">IF(AT16="",0,MAX(0,MIN(1,(IF(BY16="L1",Parameter!$E$5,Parameter!$E$6+Parameter!$E$7)-(AT16-AP16))/AP16)))</f>
        <v>0</v>
      </c>
      <c r="AV16" s="57" t="n">
        <f aca="false">IF(LEFT(Cockpit!$O$5,1)="A",H16,IF(CA16=1,CB16,IF(LEFT(Cockpit!$O$5,1)="B",AZ16,MAX(AZ16,H16))))</f>
        <v>36</v>
      </c>
      <c r="AW16" s="57" t="n">
        <f aca="false">IF(BT16=1,0,ROUNDUP(AV16/BS16,0))</f>
        <v>2</v>
      </c>
      <c r="AX16" s="59" t="n">
        <f aca="false">IF(CH16&gt;0,CH16*MAX(1,AV16/X16),IF(BT16=1,IF(AV16&lt;=0,0,BW16*MAX(1,IF(H16&gt;0,AV16/H16,1))),IF(R16&gt;0,AW16/R16,0))/MAX(0.1,N(Parameter!$M$21)))</f>
        <v>0.166666666666667</v>
      </c>
      <c r="AY16" s="57" t="n">
        <f aca="false">AV16*G16</f>
        <v>153700.92</v>
      </c>
      <c r="AZ16" s="57" t="n">
        <f aca="false">ROUNDUP(MAX(J16/IF(BZ16&gt;0,BZ16,MAX(0.1,N(Cockpit!$O$6))),CC16)/BS16,0)*BS16</f>
        <v>36</v>
      </c>
      <c r="BA16" s="58" t="n">
        <f aca="false">IF(AX16&gt;0,J16/AX16,-1)</f>
        <v>486</v>
      </c>
      <c r="BB16" s="58" t="str">
        <f aca="false">IF(AND(OR(BY16="L1",BY16="L23"),AX16&gt;0),SUMIFS($AX$7:$AX$1843,$BY$7:$BY$1843,BY16,$BA$7:$BA$1843,"&gt;"&amp;BA16)+SUMIFS($AX$7:$AX$1843,$BY$7:$BY$1843,BY16,$BA$7:$BA$1843,BA16,$BQ$7:$BQ$1843,"&lt;="&amp;BQ16),"")</f>
        <v/>
      </c>
      <c r="BC16" s="65" t="n">
        <f aca="false">IF(BB16="",0,MAX(0,MIN(1,(IF(BY16="L1",Parameter!$E$5,Parameter!$E$6+Parameter!$E$7)-(BB16-AX16))/AX16)))</f>
        <v>0</v>
      </c>
      <c r="BD16" s="55" t="str">
        <f aca="false">IF(AH16&lt;=0,"",IF(BY16="Aussen","Aussenlager",IF(BY16="-","Nicht im Lift",IF(AM16&gt;=1,"Lift",IF(AM16&lt;=0,"Aussenlager","teilweise")))))</f>
        <v>Nicht im Lift</v>
      </c>
      <c r="BE16" s="55" t="str">
        <f aca="false">IF(AP16&lt;=0,"",IF(BY16="Aussen","Aussenlager",IF(BY16="-","Nicht im Lift",IF(AU16&gt;=1,"Lift",IF(AU16&lt;=0,"Aussenlager","teilweise")))))</f>
        <v>Nicht im Lift</v>
      </c>
      <c r="BF16" s="55" t="str">
        <f aca="false">IF(AX16&lt;=0,"",IF(BY16="Aussen","Aussenlager",IF(BY16="-","Nicht im Lift",IF(BC16&gt;=1,"Lift",IF(BC16&lt;=0,"Aussenlager","teilweise")))))</f>
        <v>Nicht im Lift</v>
      </c>
      <c r="BG16" s="55" t="str">
        <f aca="false">IF(A16="","",IF(BP16=1,"Neu; ","")&amp;IF(AND(BP16=0,BK16&lt;0),"negativer Bestand (Export "&amp;BK16&amp;"); ","")&amp;IF(J16&lt;=0,"Kein Verbrauch; ","")&amp;IF(CH16&gt;0,"Lift "&amp;W16&amp;" lt. Liftbericht (Fach "&amp;X16&amp;" Stk); ",IF(BU16=1,"Gebinde geschätzt ("&amp;T16&amp;"); ",IF(BT16=1,"Lose – Tablare geschätzt; ","")))&amp;IF(H16&gt;AR16,"Überbestand "&amp;ROUND(H16-AR16,0)&amp;" Stk / CHF "&amp;ROUND((H16-AR16)*G16,0)&amp;"; ","")&amp;IF(AND(CA16=1,CB16&lt;CC16),"MAX &lt; MB+LG; ","")&amp;IF(AND(CG16&gt;0,CF16*10&gt;CG16),"zu hoch für Tablar; ","")&amp;IF(AND(BP16=0,OR(CA16=1,AA16&lt;&gt;"",U16&lt;&gt;"",V16&lt;&gt;"",AB16&lt;&gt;"")),"manuell übersteuert; ","")&amp;IF(AND(BT16=0,R16=0),"Gebinde unbekannt / Stellmass fehlt; ","")&amp;IF(AND(BT16=0,N(V16)&lt;=0,N(Q16)&lt;=0),"Menge pro Gebinde fehlt (Ist = 1 Gebinde); ","")&amp;BO16)</f>
        <v>Gebinde geschätzt (Mittel); Menge pro Gebinde fehlt (Ist = 1 Gebinde); </v>
      </c>
      <c r="BH16" s="55"/>
      <c r="BI16" s="55"/>
      <c r="BJ16" s="62"/>
      <c r="BK16" s="57" t="n">
        <v>8</v>
      </c>
      <c r="BL16" s="57" t="n">
        <v>10</v>
      </c>
      <c r="BM16" s="56" t="n">
        <v>31710.4700000001</v>
      </c>
      <c r="BN16" s="57" t="n">
        <v>81</v>
      </c>
      <c r="BO16" s="55"/>
      <c r="BP16" s="60" t="n">
        <v>0</v>
      </c>
      <c r="BQ16" s="60" t="n">
        <v>16</v>
      </c>
      <c r="BR16" s="55" t="str">
        <f aca="false">IF(U16&lt;&gt;"",UPPER(TRIM(U16)),IF(BU16=1,UPPER(VLOOKUP(T16,Parameter!$I$27:$K$29,2,0)),IF(P16="","LOSE",P16)))</f>
        <v>S61</v>
      </c>
      <c r="BS16" s="57" t="n">
        <f aca="false">IF(BR16="LOSE",1,IF(N(V16)&gt;0,V16,IF(BU16=1,MAX(1,N(VLOOKUP(T16,Parameter!$I$27:$K$29,3,0)),H16,N(N16)),IF(N(Q16)&gt;0,Q16,MAX(1,H16)))))</f>
        <v>18</v>
      </c>
      <c r="BT16" s="60" t="n">
        <f aca="false">IF(BR16="LOSE",1,0)</f>
        <v>0</v>
      </c>
      <c r="BU16" s="60" t="n">
        <f aca="false">IF(AND(U16="",OR(P16="",P16="LOSE"),T16&lt;&gt;"",N(S16)&lt;=0,ISNUMBER(MATCH(T16,Parameter!$I$27:$I$29,0))),1,0)</f>
        <v>1</v>
      </c>
      <c r="BV16" s="55" t="str">
        <f aca="false">IF(AND(Parameter!$B$19="Ja",E16&lt;&gt;"",ISNUMBER(MATCH(E16,Parameter!$I$35:$I$52,0))),VLOOKUP(E16,Parameter!$I$35:$J$52,2,0),IFERROR(VLOOKUP(D16,Parameter!$A$35:$C$64,2,0),"Nein"))</f>
        <v>Nein</v>
      </c>
      <c r="BW16" s="59" t="n">
        <f aca="false">IF(BT16=0,0,IF(N(S16)&gt;0,S16,IFERROR(VLOOKUP(D16,Parameter!$A$35:$C$64,3,0)+0,0)))</f>
        <v>0</v>
      </c>
      <c r="BX16" s="55" t="str">
        <f aca="false">IF(AA16&lt;&gt;"",AA16,Z16)</f>
        <v>-</v>
      </c>
      <c r="BY16" s="55" t="str">
        <f aca="false">IF(BX16=1,"L1",IF(OR(BX16=2,BX16=3),"L23",IF(BX16="Aussen","Aussen","-")))</f>
        <v>-</v>
      </c>
      <c r="BZ16" s="66" t="n">
        <f aca="false">IF(N(AB16)&gt;0,AB16,0)</f>
        <v>0</v>
      </c>
      <c r="CA16" s="60" t="n">
        <f aca="false">IF(ISNUMBER(AE16),1,0)</f>
        <v>0</v>
      </c>
      <c r="CB16" s="57" t="n">
        <f aca="false">N(AE16)</f>
        <v>0</v>
      </c>
      <c r="CC16" s="57" t="n">
        <f aca="false">N(M16)+N(N16)</f>
        <v>17</v>
      </c>
      <c r="CD16" s="57" t="n">
        <f aca="false">ROUNDUP(H16/BS16,0)</f>
        <v>1</v>
      </c>
      <c r="CE16" s="57" t="n">
        <f aca="false">ROUNDUP(CB16/BS16,0)</f>
        <v>0</v>
      </c>
      <c r="CF16" s="60" t="n">
        <f aca="false">IF(BT16=1,0,IFERROR(VLOOKUP(BR16,'Gebinde-Kategorie'!$A$5:$M$45,5,0)+0,0))</f>
        <v>11</v>
      </c>
      <c r="CG16" s="60" t="n">
        <f aca="false">IFERROR(IF(OR(BX16=1,BX16=2,BX16=3),N(INDEX(Parameter!$I$5:$I$7,BX16)),0),0)</f>
        <v>0</v>
      </c>
      <c r="CH16" s="59" t="n">
        <f aca="false">IF(AND(Parameter!$B$21="Ja",ISNUMBER(W16),N(X16)&gt;0),IFERROR(N(INDEX(Parameter!$L$5:$L$7,W16))*INDEX(Parameter!$E$5:$E$7,W16)*X16/SUMIFS($X$7:$X$1843,$W$7:$W$1843,W16),0),0)</f>
        <v>0</v>
      </c>
    </row>
    <row r="17" customFormat="false" ht="15" hidden="false" customHeight="false" outlineLevel="0" collapsed="false">
      <c r="A17" s="55" t="s">
        <v>199</v>
      </c>
      <c r="B17" s="55" t="s">
        <v>200</v>
      </c>
      <c r="C17" s="55" t="s">
        <v>164</v>
      </c>
      <c r="D17" s="55" t="s">
        <v>173</v>
      </c>
      <c r="E17" s="55"/>
      <c r="F17" s="55" t="s">
        <v>201</v>
      </c>
      <c r="G17" s="56" t="n">
        <v>399.17</v>
      </c>
      <c r="H17" s="57" t="n">
        <f aca="false">MAX(0,IF(AND(Parameter!$B$21="Ja",ISNUMBER(Y17)),Y17,IF(Parameter!$B$20="Jahresanfang 2025 + Export",BL17+BK17,BK17)))</f>
        <v>75</v>
      </c>
      <c r="I17" s="57" t="n">
        <f aca="false">H17*G17</f>
        <v>29937.75</v>
      </c>
      <c r="J17" s="57" t="n">
        <f aca="false">BN17*Parameter!$B$18</f>
        <v>0</v>
      </c>
      <c r="K17" s="58" t="n">
        <v>0</v>
      </c>
      <c r="L17" s="59" t="n">
        <v>0</v>
      </c>
      <c r="M17" s="57" t="n">
        <v>0</v>
      </c>
      <c r="N17" s="57" t="n">
        <v>1</v>
      </c>
      <c r="O17" s="60" t="n">
        <v>9999</v>
      </c>
      <c r="P17" s="55" t="s">
        <v>168</v>
      </c>
      <c r="Q17" s="57"/>
      <c r="R17" s="60" t="n">
        <f aca="false">IF(BT17=1,0,IFERROR(VLOOKUP(BR17,'Gebinde-Kategorie'!$A$5:$M$45,13,0)+0,0))</f>
        <v>3</v>
      </c>
      <c r="S17" s="61"/>
      <c r="T17" s="62" t="s">
        <v>189</v>
      </c>
      <c r="U17" s="62"/>
      <c r="V17" s="62"/>
      <c r="W17" s="55"/>
      <c r="X17" s="57"/>
      <c r="Y17" s="57"/>
      <c r="Z17" s="55" t="n">
        <f aca="false">IF(A17="","",IF(AND(Parameter!$B$21="Ja",ISNUMBER(W17)),W17,IF(BV17="2+3",IF(ISNUMBER(SEARCH("grosser Artikel",BO17)),2,IFERROR(VLOOKUP(BR17,Parameter!$F$35:$G$64,2,0),2)),IF(OR(BV17="Nein",BV17=""),"-",BV17))))</f>
        <v>2</v>
      </c>
      <c r="AA17" s="62"/>
      <c r="AB17" s="63"/>
      <c r="AC17" s="57" t="n">
        <f aca="false">AR17</f>
        <v>75</v>
      </c>
      <c r="AD17" s="57" t="n">
        <f aca="false">MAX(AR17,H17)</f>
        <v>75</v>
      </c>
      <c r="AE17" s="64"/>
      <c r="AF17" s="57" t="n">
        <f aca="false">IF(LEFT(Cockpit!$C$5,1)="A",H17,IF(CA17=1,CB17,IF(LEFT(Cockpit!$C$5,1)="B",AJ17,MAX(AJ17,H17))))</f>
        <v>75</v>
      </c>
      <c r="AG17" s="57" t="n">
        <f aca="false">IF(BT17=1,0,ROUNDUP(AF17/BS17,0))</f>
        <v>1</v>
      </c>
      <c r="AH17" s="59" t="n">
        <f aca="false">IF(CH17&gt;0,CH17*MAX(1,AF17/X17),IF(BT17=1,IF(AF17&lt;=0,0,BW17*MAX(1,IF(H17&gt;0,AF17/H17,1))),IF(R17&gt;0,AG17/R17,0))/MAX(0.1,N(Parameter!$M$21)))</f>
        <v>0.333333333333333</v>
      </c>
      <c r="AI17" s="57" t="n">
        <f aca="false">AF17*G17</f>
        <v>29937.75</v>
      </c>
      <c r="AJ17" s="57" t="n">
        <f aca="false">ROUNDUP(MAX(J17/IF(BZ17&gt;0,BZ17,MAX(0.1,N(Cockpit!$C$6))),CC17)/BS17,0)*BS17</f>
        <v>75</v>
      </c>
      <c r="AK17" s="58" t="n">
        <f aca="false">IF(AH17&gt;0,J17/AH17,-1)</f>
        <v>0</v>
      </c>
      <c r="AL17" s="58" t="n">
        <f aca="false">IF(AND(OR(BY17="L1",BY17="L23"),AH17&gt;0),SUMIFS($AH$7:$AH$1843,$BY$7:$BY$1843,BY17,$AK$7:$AK$1843,"&gt;"&amp;AK17)+SUMIFS($AH$7:$AH$1843,$BY$7:$BY$1843,BY17,$AK$7:$AK$1843,AK17,$BQ$7:$BQ$1843,"&lt;="&amp;BQ17),"")</f>
        <v>66.2470778014256</v>
      </c>
      <c r="AM17" s="65" t="n">
        <f aca="false">IF(AL17="",0,MAX(0,MIN(1,(IF(BY17="L1",Parameter!$E$5,Parameter!$E$6+Parameter!$E$7)-(AL17-AH17))/AH17)))</f>
        <v>1</v>
      </c>
      <c r="AN17" s="57" t="n">
        <f aca="false">IF(LEFT(Cockpit!$I$5,1)="A",H17,IF(CA17=1,CB17,IF(LEFT(Cockpit!$I$5,1)="B",AR17,MAX(AR17,H17))))</f>
        <v>75</v>
      </c>
      <c r="AO17" s="57" t="n">
        <f aca="false">IF(BT17=1,0,ROUNDUP(AN17/BS17,0))</f>
        <v>1</v>
      </c>
      <c r="AP17" s="59" t="n">
        <f aca="false">IF(CH17&gt;0,CH17*MAX(1,AN17/X17),IF(BT17=1,IF(AN17&lt;=0,0,BW17*MAX(1,IF(H17&gt;0,AN17/H17,1))),IF(R17&gt;0,AO17/R17,0))/MAX(0.1,N(Parameter!$M$21)))</f>
        <v>0.333333333333333</v>
      </c>
      <c r="AQ17" s="57" t="n">
        <f aca="false">AN17*G17</f>
        <v>29937.75</v>
      </c>
      <c r="AR17" s="57" t="n">
        <f aca="false">ROUNDUP(MAX(J17/IF(BZ17&gt;0,BZ17,MAX(0.1,N(Cockpit!$I$6))),CC17)/BS17,0)*BS17</f>
        <v>75</v>
      </c>
      <c r="AS17" s="58" t="n">
        <f aca="false">IF(AP17&gt;0,J17/AP17,-1)</f>
        <v>0</v>
      </c>
      <c r="AT17" s="58" t="n">
        <f aca="false">IF(AND(OR(BY17="L1",BY17="L23"),AP17&gt;0),SUMIFS($AP$7:$AP$1843,$BY$7:$BY$1843,BY17,$AS$7:$AS$1843,"&gt;"&amp;AS17)+SUMIFS($AP$7:$AP$1843,$BY$7:$BY$1843,BY17,$AS$7:$AS$1843,AS17,$BQ$7:$BQ$1843,"&lt;="&amp;BQ17),"")</f>
        <v>105.337868653086</v>
      </c>
      <c r="AU17" s="65" t="n">
        <f aca="false">IF(AT17="",0,MAX(0,MIN(1,(IF(BY17="L1",Parameter!$E$5,Parameter!$E$6+Parameter!$E$7)-(AT17-AP17))/AP17)))</f>
        <v>0</v>
      </c>
      <c r="AV17" s="57" t="n">
        <f aca="false">IF(LEFT(Cockpit!$O$5,1)="A",H17,IF(CA17=1,CB17,IF(LEFT(Cockpit!$O$5,1)="B",AZ17,MAX(AZ17,H17))))</f>
        <v>75</v>
      </c>
      <c r="AW17" s="57" t="n">
        <f aca="false">IF(BT17=1,0,ROUNDUP(AV17/BS17,0))</f>
        <v>1</v>
      </c>
      <c r="AX17" s="59" t="n">
        <f aca="false">IF(CH17&gt;0,CH17*MAX(1,AV17/X17),IF(BT17=1,IF(AV17&lt;=0,0,BW17*MAX(1,IF(H17&gt;0,AV17/H17,1))),IF(R17&gt;0,AW17/R17,0))/MAX(0.1,N(Parameter!$M$21)))</f>
        <v>0.333333333333333</v>
      </c>
      <c r="AY17" s="57" t="n">
        <f aca="false">AV17*G17</f>
        <v>29937.75</v>
      </c>
      <c r="AZ17" s="57" t="n">
        <f aca="false">ROUNDUP(MAX(J17/IF(BZ17&gt;0,BZ17,MAX(0.1,N(Cockpit!$O$6))),CC17)/BS17,0)*BS17</f>
        <v>75</v>
      </c>
      <c r="BA17" s="58" t="n">
        <f aca="false">IF(AX17&gt;0,J17/AX17,-1)</f>
        <v>0</v>
      </c>
      <c r="BB17" s="58" t="n">
        <f aca="false">IF(AND(OR(BY17="L1",BY17="L23"),AX17&gt;0),SUMIFS($AX$7:$AX$1843,$BY$7:$BY$1843,BY17,$BA$7:$BA$1843,"&gt;"&amp;BA17)+SUMIFS($AX$7:$AX$1843,$BY$7:$BY$1843,BY17,$BA$7:$BA$1843,BA17,$BQ$7:$BQ$1843,"&lt;="&amp;BQ17),"")</f>
        <v>96.1677054829229</v>
      </c>
      <c r="BC17" s="65" t="n">
        <f aca="false">IF(BB17="",0,MAX(0,MIN(1,(IF(BY17="L1",Parameter!$E$5,Parameter!$E$6+Parameter!$E$7)-(BB17-AX17))/AX17)))</f>
        <v>1</v>
      </c>
      <c r="BD17" s="55" t="str">
        <f aca="false">IF(AH17&lt;=0,"",IF(BY17="Aussen","Aussenlager",IF(BY17="-","Nicht im Lift",IF(AM17&gt;=1,"Lift",IF(AM17&lt;=0,"Aussenlager","teilweise")))))</f>
        <v>Lift</v>
      </c>
      <c r="BE17" s="55" t="str">
        <f aca="false">IF(AP17&lt;=0,"",IF(BY17="Aussen","Aussenlager",IF(BY17="-","Nicht im Lift",IF(AU17&gt;=1,"Lift",IF(AU17&lt;=0,"Aussenlager","teilweise")))))</f>
        <v>Aussenlager</v>
      </c>
      <c r="BF17" s="55" t="str">
        <f aca="false">IF(AX17&lt;=0,"",IF(BY17="Aussen","Aussenlager",IF(BY17="-","Nicht im Lift",IF(BC17&gt;=1,"Lift",IF(BC17&lt;=0,"Aussenlager","teilweise")))))</f>
        <v>Lift</v>
      </c>
      <c r="BG17" s="55" t="str">
        <f aca="false">IF(A17="","",IF(BP17=1,"Neu; ","")&amp;IF(AND(BP17=0,BK17&lt;0),"negativer Bestand (Export "&amp;BK17&amp;"); ","")&amp;IF(J17&lt;=0,"Kein Verbrauch; ","")&amp;IF(CH17&gt;0,"Lift "&amp;W17&amp;" lt. Liftbericht (Fach "&amp;X17&amp;" Stk); ",IF(BU17=1,"Gebinde geschätzt ("&amp;T17&amp;"); ",IF(BT17=1,"Lose – Tablare geschätzt; ","")))&amp;IF(H17&gt;AR17,"Überbestand "&amp;ROUND(H17-AR17,0)&amp;" Stk / CHF "&amp;ROUND((H17-AR17)*G17,0)&amp;"; ","")&amp;IF(AND(CA17=1,CB17&lt;CC17),"MAX &lt; MB+LG; ","")&amp;IF(AND(CG17&gt;0,CF17*10&gt;CG17),"zu hoch für Tablar; ","")&amp;IF(AND(BP17=0,OR(CA17=1,AA17&lt;&gt;"",U17&lt;&gt;"",V17&lt;&gt;"",AB17&lt;&gt;"")),"manuell übersteuert; ","")&amp;IF(AND(BT17=0,R17=0),"Gebinde unbekannt / Stellmass fehlt; ","")&amp;IF(AND(BT17=0,N(V17)&lt;=0,N(Q17)&lt;=0),"Menge pro Gebinde fehlt (Ist = 1 Gebinde); ","")&amp;BO17)</f>
        <v>Kein Verbrauch; Gebinde geschätzt (Gross); Menge pro Gebinde fehlt (Ist = 1 Gebinde); </v>
      </c>
      <c r="BH17" s="55"/>
      <c r="BI17" s="55"/>
      <c r="BJ17" s="62"/>
      <c r="BK17" s="57" t="n">
        <v>75</v>
      </c>
      <c r="BL17" s="57" t="n">
        <v>0</v>
      </c>
      <c r="BM17" s="56" t="n">
        <v>29937.75</v>
      </c>
      <c r="BN17" s="57" t="n">
        <v>0</v>
      </c>
      <c r="BO17" s="55"/>
      <c r="BP17" s="60" t="n">
        <v>0</v>
      </c>
      <c r="BQ17" s="60" t="n">
        <v>17</v>
      </c>
      <c r="BR17" s="55" t="str">
        <f aca="false">IF(U17&lt;&gt;"",UPPER(TRIM(U17)),IF(BU17=1,UPPER(VLOOKUP(T17,Parameter!$I$27:$K$29,2,0)),IF(P17="","LOSE",P17)))</f>
        <v>S81</v>
      </c>
      <c r="BS17" s="57" t="n">
        <f aca="false">IF(BR17="LOSE",1,IF(N(V17)&gt;0,V17,IF(BU17=1,MAX(1,N(VLOOKUP(T17,Parameter!$I$27:$K$29,3,0)),H17,N(N17)),IF(N(Q17)&gt;0,Q17,MAX(1,H17)))))</f>
        <v>75</v>
      </c>
      <c r="BT17" s="60" t="n">
        <f aca="false">IF(BR17="LOSE",1,0)</f>
        <v>0</v>
      </c>
      <c r="BU17" s="60" t="n">
        <f aca="false">IF(AND(U17="",OR(P17="",P17="LOSE"),T17&lt;&gt;"",N(S17)&lt;=0,ISNUMBER(MATCH(T17,Parameter!$I$27:$I$29,0))),1,0)</f>
        <v>1</v>
      </c>
      <c r="BV17" s="55" t="str">
        <f aca="false">IF(AND(Parameter!$B$19="Ja",E17&lt;&gt;"",ISNUMBER(MATCH(E17,Parameter!$I$35:$I$52,0))),VLOOKUP(E17,Parameter!$I$35:$J$52,2,0),IFERROR(VLOOKUP(D17,Parameter!$A$35:$C$64,2,0),"Nein"))</f>
        <v>2+3</v>
      </c>
      <c r="BW17" s="59" t="n">
        <f aca="false">IF(BT17=0,0,IF(N(S17)&gt;0,S17,IFERROR(VLOOKUP(D17,Parameter!$A$35:$C$64,3,0)+0,0)))</f>
        <v>0</v>
      </c>
      <c r="BX17" s="55" t="n">
        <f aca="false">IF(AA17&lt;&gt;"",AA17,Z17)</f>
        <v>2</v>
      </c>
      <c r="BY17" s="55" t="str">
        <f aca="false">IF(BX17=1,"L1",IF(OR(BX17=2,BX17=3),"L23",IF(BX17="Aussen","Aussen","-")))</f>
        <v>L23</v>
      </c>
      <c r="BZ17" s="66" t="n">
        <f aca="false">IF(N(AB17)&gt;0,AB17,0)</f>
        <v>0</v>
      </c>
      <c r="CA17" s="60" t="n">
        <f aca="false">IF(ISNUMBER(AE17),1,0)</f>
        <v>0</v>
      </c>
      <c r="CB17" s="57" t="n">
        <f aca="false">N(AE17)</f>
        <v>0</v>
      </c>
      <c r="CC17" s="57" t="n">
        <f aca="false">N(M17)+N(N17)</f>
        <v>1</v>
      </c>
      <c r="CD17" s="57" t="n">
        <f aca="false">ROUNDUP(H17/BS17,0)</f>
        <v>1</v>
      </c>
      <c r="CE17" s="57" t="n">
        <f aca="false">ROUNDUP(CB17/BS17,0)</f>
        <v>0</v>
      </c>
      <c r="CF17" s="60" t="n">
        <f aca="false">IF(BT17=1,0,IFERROR(VLOOKUP(BR17,'Gebinde-Kategorie'!$A$5:$M$45,5,0)+0,0))</f>
        <v>20</v>
      </c>
      <c r="CG17" s="60" t="n">
        <f aca="false">IFERROR(IF(OR(BX17=1,BX17=2,BX17=3),N(INDEX(Parameter!$I$5:$I$7,BX17)),0),0)</f>
        <v>0</v>
      </c>
      <c r="CH17" s="59" t="n">
        <f aca="false">IF(AND(Parameter!$B$21="Ja",ISNUMBER(W17),N(X17)&gt;0),IFERROR(N(INDEX(Parameter!$L$5:$L$7,W17))*INDEX(Parameter!$E$5:$E$7,W17)*X17/SUMIFS($X$7:$X$1843,$W$7:$W$1843,W17),0),0)</f>
        <v>0</v>
      </c>
    </row>
    <row r="18" customFormat="false" ht="15" hidden="false" customHeight="false" outlineLevel="0" collapsed="false">
      <c r="A18" s="55" t="s">
        <v>202</v>
      </c>
      <c r="B18" s="55" t="s">
        <v>203</v>
      </c>
      <c r="C18" s="55" t="s">
        <v>164</v>
      </c>
      <c r="D18" s="55" t="s">
        <v>173</v>
      </c>
      <c r="E18" s="55" t="s">
        <v>166</v>
      </c>
      <c r="F18" s="55" t="s">
        <v>201</v>
      </c>
      <c r="G18" s="56" t="n">
        <v>1120.91</v>
      </c>
      <c r="H18" s="57" t="n">
        <f aca="false">MAX(0,IF(AND(Parameter!$B$21="Ja",ISNUMBER(Y18)),Y18,IF(Parameter!$B$20="Jahresanfang 2025 + Export",BL18+BK18,BK18)))</f>
        <v>26</v>
      </c>
      <c r="I18" s="57" t="n">
        <f aca="false">H18*G18</f>
        <v>29143.66</v>
      </c>
      <c r="J18" s="57" t="n">
        <f aca="false">BN18*Parameter!$B$18</f>
        <v>25</v>
      </c>
      <c r="K18" s="58" t="n">
        <v>9.5</v>
      </c>
      <c r="L18" s="59" t="n">
        <v>2.63157894736842</v>
      </c>
      <c r="M18" s="57" t="n">
        <v>10</v>
      </c>
      <c r="N18" s="57" t="n">
        <v>10</v>
      </c>
      <c r="O18" s="60" t="n">
        <v>126</v>
      </c>
      <c r="P18" s="55" t="s">
        <v>174</v>
      </c>
      <c r="Q18" s="57" t="n">
        <v>8</v>
      </c>
      <c r="R18" s="60" t="n">
        <f aca="false">IF(BT18=1,0,IFERROR(VLOOKUP(BR18,'Gebinde-Kategorie'!$A$5:$M$45,13,0)+0,0))</f>
        <v>6</v>
      </c>
      <c r="S18" s="61"/>
      <c r="T18" s="62"/>
      <c r="U18" s="62"/>
      <c r="V18" s="62"/>
      <c r="W18" s="55"/>
      <c r="X18" s="57"/>
      <c r="Y18" s="57"/>
      <c r="Z18" s="55" t="n">
        <f aca="false">IF(A18="","",IF(AND(Parameter!$B$21="Ja",ISNUMBER(W18)),W18,IF(BV18="2+3",IF(ISNUMBER(SEARCH("grosser Artikel",BO18)),2,IFERROR(VLOOKUP(BR18,Parameter!$F$35:$G$64,2,0),2)),IF(OR(BV18="Nein",BV18=""),"-",BV18))))</f>
        <v>1</v>
      </c>
      <c r="AA18" s="62"/>
      <c r="AB18" s="63"/>
      <c r="AC18" s="57" t="n">
        <f aca="false">AR18</f>
        <v>24</v>
      </c>
      <c r="AD18" s="57" t="n">
        <f aca="false">MAX(AR18,H18)</f>
        <v>26</v>
      </c>
      <c r="AE18" s="64"/>
      <c r="AF18" s="57" t="n">
        <f aca="false">IF(LEFT(Cockpit!$C$5,1)="A",H18,IF(CA18=1,CB18,IF(LEFT(Cockpit!$C$5,1)="B",AJ18,MAX(AJ18,H18))))</f>
        <v>26</v>
      </c>
      <c r="AG18" s="57" t="n">
        <f aca="false">IF(BT18=1,0,ROUNDUP(AF18/BS18,0))</f>
        <v>4</v>
      </c>
      <c r="AH18" s="59" t="n">
        <f aca="false">IF(CH18&gt;0,CH18*MAX(1,AF18/X18),IF(BT18=1,IF(AF18&lt;=0,0,BW18*MAX(1,IF(H18&gt;0,AF18/H18,1))),IF(R18&gt;0,AG18/R18,0))/MAX(0.1,N(Parameter!$M$21)))</f>
        <v>0.666666666666667</v>
      </c>
      <c r="AI18" s="57" t="n">
        <f aca="false">AF18*G18</f>
        <v>29143.66</v>
      </c>
      <c r="AJ18" s="57" t="n">
        <f aca="false">ROUNDUP(MAX(J18/IF(BZ18&gt;0,BZ18,MAX(0.1,N(Cockpit!$C$6))),CC18)/BS18,0)*BS18</f>
        <v>24</v>
      </c>
      <c r="AK18" s="58" t="n">
        <f aca="false">IF(AH18&gt;0,J18/AH18,-1)</f>
        <v>37.5</v>
      </c>
      <c r="AL18" s="58" t="n">
        <f aca="false">IF(AND(OR(BY18="L1",BY18="L23"),AH18&gt;0),SUMIFS($AH$7:$AH$1843,$BY$7:$BY$1843,BY18,$AK$7:$AK$1843,"&gt;"&amp;AK18)+SUMIFS($AH$7:$AH$1843,$BY$7:$BY$1843,BY18,$AK$7:$AK$1843,AK18,$BQ$7:$BQ$1843,"&lt;="&amp;BQ18),"")</f>
        <v>10.251777739987</v>
      </c>
      <c r="AM18" s="65" t="n">
        <f aca="false">IF(AL18="",0,MAX(0,MIN(1,(IF(BY18="L1",Parameter!$E$5,Parameter!$E$6+Parameter!$E$7)-(AL18-AH18))/AH18)))</f>
        <v>1</v>
      </c>
      <c r="AN18" s="57" t="n">
        <f aca="false">IF(LEFT(Cockpit!$I$5,1)="A",H18,IF(CA18=1,CB18,IF(LEFT(Cockpit!$I$5,1)="B",AR18,MAX(AR18,H18))))</f>
        <v>26</v>
      </c>
      <c r="AO18" s="57" t="n">
        <f aca="false">IF(BT18=1,0,ROUNDUP(AN18/BS18,0))</f>
        <v>4</v>
      </c>
      <c r="AP18" s="59" t="n">
        <f aca="false">IF(CH18&gt;0,CH18*MAX(1,AN18/X18),IF(BT18=1,IF(AN18&lt;=0,0,BW18*MAX(1,IF(H18&gt;0,AN18/H18,1))),IF(R18&gt;0,AO18/R18,0))/MAX(0.1,N(Parameter!$M$21)))</f>
        <v>0.666666666666667</v>
      </c>
      <c r="AQ18" s="57" t="n">
        <f aca="false">AN18*G18</f>
        <v>29143.66</v>
      </c>
      <c r="AR18" s="57" t="n">
        <f aca="false">ROUNDUP(MAX(J18/IF(BZ18&gt;0,BZ18,MAX(0.1,N(Cockpit!$I$6))),CC18)/BS18,0)*BS18</f>
        <v>24</v>
      </c>
      <c r="AS18" s="58" t="n">
        <f aca="false">IF(AP18&gt;0,J18/AP18,-1)</f>
        <v>37.5</v>
      </c>
      <c r="AT18" s="58" t="n">
        <f aca="false">IF(AND(OR(BY18="L1",BY18="L23"),AP18&gt;0),SUMIFS($AP$7:$AP$1843,$BY$7:$BY$1843,BY18,$AS$7:$AS$1843,"&gt;"&amp;AS18)+SUMIFS($AP$7:$AP$1843,$BY$7:$BY$1843,BY18,$AS$7:$AS$1843,AS18,$BQ$7:$BQ$1843,"&lt;="&amp;BQ18),"")</f>
        <v>17.4944258639911</v>
      </c>
      <c r="AU18" s="65" t="n">
        <f aca="false">IF(AT18="",0,MAX(0,MIN(1,(IF(BY18="L1",Parameter!$E$5,Parameter!$E$6+Parameter!$E$7)-(AT18-AP18))/AP18)))</f>
        <v>1</v>
      </c>
      <c r="AV18" s="57" t="n">
        <f aca="false">IF(LEFT(Cockpit!$O$5,1)="A",H18,IF(CA18=1,CB18,IF(LEFT(Cockpit!$O$5,1)="B",AZ18,MAX(AZ18,H18))))</f>
        <v>26</v>
      </c>
      <c r="AW18" s="57" t="n">
        <f aca="false">IF(BT18=1,0,ROUNDUP(AV18/BS18,0))</f>
        <v>4</v>
      </c>
      <c r="AX18" s="59" t="n">
        <f aca="false">IF(CH18&gt;0,CH18*MAX(1,AV18/X18),IF(BT18=1,IF(AV18&lt;=0,0,BW18*MAX(1,IF(H18&gt;0,AV18/H18,1))),IF(R18&gt;0,AW18/R18,0))/MAX(0.1,N(Parameter!$M$21)))</f>
        <v>0.666666666666667</v>
      </c>
      <c r="AY18" s="57" t="n">
        <f aca="false">AV18*G18</f>
        <v>29143.66</v>
      </c>
      <c r="AZ18" s="57" t="n">
        <f aca="false">ROUNDUP(MAX(J18/IF(BZ18&gt;0,BZ18,MAX(0.1,N(Cockpit!$O$6))),CC18)/BS18,0)*BS18</f>
        <v>24</v>
      </c>
      <c r="BA18" s="58" t="n">
        <f aca="false">IF(AX18&gt;0,J18/AX18,-1)</f>
        <v>37.5</v>
      </c>
      <c r="BB18" s="58" t="n">
        <f aca="false">IF(AND(OR(BY18="L1",BY18="L23"),AX18&gt;0),SUMIFS($AX$7:$AX$1843,$BY$7:$BY$1843,BY18,$BA$7:$BA$1843,"&gt;"&amp;BA18)+SUMIFS($AX$7:$AX$1843,$BY$7:$BY$1843,BY18,$BA$7:$BA$1843,BA18,$BQ$7:$BQ$1843,"&lt;="&amp;BQ18),"")</f>
        <v>14.1226309921962</v>
      </c>
      <c r="BC18" s="65" t="n">
        <f aca="false">IF(BB18="",0,MAX(0,MIN(1,(IF(BY18="L1",Parameter!$E$5,Parameter!$E$6+Parameter!$E$7)-(BB18-AX18))/AX18)))</f>
        <v>1</v>
      </c>
      <c r="BD18" s="55" t="str">
        <f aca="false">IF(AH18&lt;=0,"",IF(BY18="Aussen","Aussenlager",IF(BY18="-","Nicht im Lift",IF(AM18&gt;=1,"Lift",IF(AM18&lt;=0,"Aussenlager","teilweise")))))</f>
        <v>Lift</v>
      </c>
      <c r="BE18" s="55" t="str">
        <f aca="false">IF(AP18&lt;=0,"",IF(BY18="Aussen","Aussenlager",IF(BY18="-","Nicht im Lift",IF(AU18&gt;=1,"Lift",IF(AU18&lt;=0,"Aussenlager","teilweise")))))</f>
        <v>Lift</v>
      </c>
      <c r="BF18" s="55" t="str">
        <f aca="false">IF(AX18&lt;=0,"",IF(BY18="Aussen","Aussenlager",IF(BY18="-","Nicht im Lift",IF(BC18&gt;=1,"Lift",IF(BC18&lt;=0,"Aussenlager","teilweise")))))</f>
        <v>Lift</v>
      </c>
      <c r="BG18" s="55" t="str">
        <f aca="false">IF(A18="","",IF(BP18=1,"Neu; ","")&amp;IF(AND(BP18=0,BK18&lt;0),"negativer Bestand (Export "&amp;BK18&amp;"); ","")&amp;IF(J18&lt;=0,"Kein Verbrauch; ","")&amp;IF(CH18&gt;0,"Lift "&amp;W18&amp;" lt. Liftbericht (Fach "&amp;X18&amp;" Stk); ",IF(BU18=1,"Gebinde geschätzt ("&amp;T18&amp;"); ",IF(BT18=1,"Lose – Tablare geschätzt; ","")))&amp;IF(H18&gt;AR18,"Überbestand "&amp;ROUND(H18-AR18,0)&amp;" Stk / CHF "&amp;ROUND((H18-AR18)*G18,0)&amp;"; ","")&amp;IF(AND(CA18=1,CB18&lt;CC18),"MAX &lt; MB+LG; ","")&amp;IF(AND(CG18&gt;0,CF18*10&gt;CG18),"zu hoch für Tablar; ","")&amp;IF(AND(BP18=0,OR(CA18=1,AA18&lt;&gt;"",U18&lt;&gt;"",V18&lt;&gt;"",AB18&lt;&gt;"")),"manuell übersteuert; ","")&amp;IF(AND(BT18=0,R18=0),"Gebinde unbekannt / Stellmass fehlt; ","")&amp;IF(AND(BT18=0,N(V18)&lt;=0,N(Q18)&lt;=0),"Menge pro Gebinde fehlt (Ist = 1 Gebinde); ","")&amp;BO18)</f>
        <v>Überbestand 2 Stk / CHF 2242; </v>
      </c>
      <c r="BH18" s="55"/>
      <c r="BI18" s="55"/>
      <c r="BJ18" s="62"/>
      <c r="BK18" s="57" t="n">
        <v>16</v>
      </c>
      <c r="BL18" s="57" t="n">
        <v>10</v>
      </c>
      <c r="BM18" s="56" t="n">
        <v>21618.66</v>
      </c>
      <c r="BN18" s="57" t="n">
        <v>25</v>
      </c>
      <c r="BO18" s="55"/>
      <c r="BP18" s="60" t="n">
        <v>0</v>
      </c>
      <c r="BQ18" s="60" t="n">
        <v>18</v>
      </c>
      <c r="BR18" s="55" t="str">
        <f aca="false">IF(U18&lt;&gt;"",UPPER(TRIM(U18)),IF(BU18=1,UPPER(VLOOKUP(T18,Parameter!$I$27:$K$29,2,0)),IF(P18="","LOSE",P18)))</f>
        <v>S71</v>
      </c>
      <c r="BS18" s="57" t="n">
        <f aca="false">IF(BR18="LOSE",1,IF(N(V18)&gt;0,V18,IF(BU18=1,MAX(1,N(VLOOKUP(T18,Parameter!$I$27:$K$29,3,0)),H18,N(N18)),IF(N(Q18)&gt;0,Q18,MAX(1,H18)))))</f>
        <v>8</v>
      </c>
      <c r="BT18" s="60" t="n">
        <f aca="false">IF(BR18="LOSE",1,0)</f>
        <v>0</v>
      </c>
      <c r="BU18" s="60" t="n">
        <f aca="false">IF(AND(U18="",OR(P18="",P18="LOSE"),T18&lt;&gt;"",N(S18)&lt;=0,ISNUMBER(MATCH(T18,Parameter!$I$27:$I$29,0))),1,0)</f>
        <v>0</v>
      </c>
      <c r="BV18" s="55" t="n">
        <f aca="false">IF(AND(Parameter!$B$19="Ja",E18&lt;&gt;"",ISNUMBER(MATCH(E18,Parameter!$I$35:$I$52,0))),VLOOKUP(E18,Parameter!$I$35:$J$52,2,0),IFERROR(VLOOKUP(D18,Parameter!$A$35:$C$64,2,0),"Nein"))</f>
        <v>1</v>
      </c>
      <c r="BW18" s="59" t="n">
        <f aca="false">IF(BT18=0,0,IF(N(S18)&gt;0,S18,IFERROR(VLOOKUP(D18,Parameter!$A$35:$C$64,3,0)+0,0)))</f>
        <v>0</v>
      </c>
      <c r="BX18" s="55" t="n">
        <f aca="false">IF(AA18&lt;&gt;"",AA18,Z18)</f>
        <v>1</v>
      </c>
      <c r="BY18" s="55" t="str">
        <f aca="false">IF(BX18=1,"L1",IF(OR(BX18=2,BX18=3),"L23",IF(BX18="Aussen","Aussen","-")))</f>
        <v>L1</v>
      </c>
      <c r="BZ18" s="66" t="n">
        <f aca="false">IF(N(AB18)&gt;0,AB18,0)</f>
        <v>0</v>
      </c>
      <c r="CA18" s="60" t="n">
        <f aca="false">IF(ISNUMBER(AE18),1,0)</f>
        <v>0</v>
      </c>
      <c r="CB18" s="57" t="n">
        <f aca="false">N(AE18)</f>
        <v>0</v>
      </c>
      <c r="CC18" s="57" t="n">
        <f aca="false">N(M18)+N(N18)</f>
        <v>20</v>
      </c>
      <c r="CD18" s="57" t="n">
        <f aca="false">ROUNDUP(H18/BS18,0)</f>
        <v>4</v>
      </c>
      <c r="CE18" s="57" t="n">
        <f aca="false">ROUNDUP(CB18/BS18,0)</f>
        <v>0</v>
      </c>
      <c r="CF18" s="60" t="n">
        <f aca="false">IF(BT18=1,0,IFERROR(VLOOKUP(BR18,'Gebinde-Kategorie'!$A$5:$M$45,5,0)+0,0))</f>
        <v>20</v>
      </c>
      <c r="CG18" s="60" t="n">
        <f aca="false">IFERROR(IF(OR(BX18=1,BX18=2,BX18=3),N(INDEX(Parameter!$I$5:$I$7,BX18)),0),0)</f>
        <v>0</v>
      </c>
      <c r="CH18" s="59" t="n">
        <f aca="false">IF(AND(Parameter!$B$21="Ja",ISNUMBER(W18),N(X18)&gt;0),IFERROR(N(INDEX(Parameter!$L$5:$L$7,W18))*INDEX(Parameter!$E$5:$E$7,W18)*X18/SUMIFS($X$7:$X$1843,$W$7:$W$1843,W18),0),0)</f>
        <v>0</v>
      </c>
    </row>
    <row r="19" customFormat="false" ht="15" hidden="false" customHeight="false" outlineLevel="0" collapsed="false">
      <c r="A19" s="55" t="s">
        <v>204</v>
      </c>
      <c r="B19" s="55" t="s">
        <v>196</v>
      </c>
      <c r="C19" s="55" t="s">
        <v>164</v>
      </c>
      <c r="D19" s="55" t="s">
        <v>173</v>
      </c>
      <c r="E19" s="55"/>
      <c r="F19" s="55" t="s">
        <v>201</v>
      </c>
      <c r="G19" s="56" t="n">
        <v>4740.37</v>
      </c>
      <c r="H19" s="57" t="n">
        <f aca="false">MAX(0,IF(AND(Parameter!$B$21="Ja",ISNUMBER(Y19)),Y19,IF(Parameter!$B$20="Jahresanfang 2025 + Export",BL19+BK19,BK19)))</f>
        <v>4</v>
      </c>
      <c r="I19" s="57" t="n">
        <f aca="false">H19*G19</f>
        <v>18961.48</v>
      </c>
      <c r="J19" s="57" t="n">
        <f aca="false">BN19*Parameter!$B$18</f>
        <v>40</v>
      </c>
      <c r="K19" s="58" t="n">
        <v>13</v>
      </c>
      <c r="L19" s="59" t="n">
        <v>3.07692307692308</v>
      </c>
      <c r="M19" s="57" t="n">
        <v>5</v>
      </c>
      <c r="N19" s="57" t="n">
        <v>1</v>
      </c>
      <c r="O19" s="60" t="n">
        <v>28</v>
      </c>
      <c r="P19" s="55" t="s">
        <v>168</v>
      </c>
      <c r="Q19" s="57"/>
      <c r="R19" s="60" t="n">
        <f aca="false">IF(BT19=1,0,IFERROR(VLOOKUP(BR19,'Gebinde-Kategorie'!$A$5:$M$45,13,0)+0,0))</f>
        <v>12</v>
      </c>
      <c r="S19" s="61"/>
      <c r="T19" s="62" t="s">
        <v>179</v>
      </c>
      <c r="U19" s="62"/>
      <c r="V19" s="62"/>
      <c r="W19" s="55"/>
      <c r="X19" s="57"/>
      <c r="Y19" s="57"/>
      <c r="Z19" s="55" t="n">
        <f aca="false">IF(A19="","",IF(AND(Parameter!$B$21="Ja",ISNUMBER(W19)),W19,IF(BV19="2+3",IF(ISNUMBER(SEARCH("grosser Artikel",BO19)),2,IFERROR(VLOOKUP(BR19,Parameter!$F$35:$G$64,2,0),2)),IF(OR(BV19="Nein",BV19=""),"-",BV19))))</f>
        <v>2</v>
      </c>
      <c r="AA19" s="62"/>
      <c r="AB19" s="63"/>
      <c r="AC19" s="57" t="n">
        <f aca="false">AR19</f>
        <v>20</v>
      </c>
      <c r="AD19" s="57" t="n">
        <f aca="false">MAX(AR19,H19)</f>
        <v>20</v>
      </c>
      <c r="AE19" s="64"/>
      <c r="AF19" s="57" t="n">
        <f aca="false">IF(LEFT(Cockpit!$C$5,1)="A",H19,IF(CA19=1,CB19,IF(LEFT(Cockpit!$C$5,1)="B",AJ19,MAX(AJ19,H19))))</f>
        <v>4</v>
      </c>
      <c r="AG19" s="57" t="n">
        <f aca="false">IF(BT19=1,0,ROUNDUP(AF19/BS19,0))</f>
        <v>1</v>
      </c>
      <c r="AH19" s="59" t="n">
        <f aca="false">IF(CH19&gt;0,CH19*MAX(1,AF19/X19),IF(BT19=1,IF(AF19&lt;=0,0,BW19*MAX(1,IF(H19&gt;0,AF19/H19,1))),IF(R19&gt;0,AG19/R19,0))/MAX(0.1,N(Parameter!$M$21)))</f>
        <v>0.0833333333333333</v>
      </c>
      <c r="AI19" s="57" t="n">
        <f aca="false">AF19*G19</f>
        <v>18961.48</v>
      </c>
      <c r="AJ19" s="57" t="n">
        <f aca="false">ROUNDUP(MAX(J19/IF(BZ19&gt;0,BZ19,MAX(0.1,N(Cockpit!$C$6))),CC19)/BS19,0)*BS19</f>
        <v>20</v>
      </c>
      <c r="AK19" s="58" t="n">
        <f aca="false">IF(AH19&gt;0,J19/AH19,-1)</f>
        <v>480</v>
      </c>
      <c r="AL19" s="58" t="n">
        <f aca="false">IF(AND(OR(BY19="L1",BY19="L23"),AH19&gt;0),SUMIFS($AH$7:$AH$1843,$BY$7:$BY$1843,BY19,$AK$7:$AK$1843,"&gt;"&amp;AK19)+SUMIFS($AH$7:$AH$1843,$BY$7:$BY$1843,BY19,$AK$7:$AK$1843,AK19,$BQ$7:$BQ$1843,"&lt;="&amp;BQ19),"")</f>
        <v>24.0751748251748</v>
      </c>
      <c r="AM19" s="65" t="n">
        <f aca="false">IF(AL19="",0,MAX(0,MIN(1,(IF(BY19="L1",Parameter!$E$5,Parameter!$E$6+Parameter!$E$7)-(AL19-AH19))/AH19)))</f>
        <v>1</v>
      </c>
      <c r="AN19" s="57" t="n">
        <f aca="false">IF(LEFT(Cockpit!$I$5,1)="A",H19,IF(CA19=1,CB19,IF(LEFT(Cockpit!$I$5,1)="B",AR19,MAX(AR19,H19))))</f>
        <v>20</v>
      </c>
      <c r="AO19" s="57" t="n">
        <f aca="false">IF(BT19=1,0,ROUNDUP(AN19/BS19,0))</f>
        <v>5</v>
      </c>
      <c r="AP19" s="59" t="n">
        <f aca="false">IF(CH19&gt;0,CH19*MAX(1,AN19/X19),IF(BT19=1,IF(AN19&lt;=0,0,BW19*MAX(1,IF(H19&gt;0,AN19/H19,1))),IF(R19&gt;0,AO19/R19,0))/MAX(0.1,N(Parameter!$M$21)))</f>
        <v>0.416666666666667</v>
      </c>
      <c r="AQ19" s="57" t="n">
        <f aca="false">AN19*G19</f>
        <v>94807.4</v>
      </c>
      <c r="AR19" s="57" t="n">
        <f aca="false">ROUNDUP(MAX(J19/IF(BZ19&gt;0,BZ19,MAX(0.1,N(Cockpit!$I$6))),CC19)/BS19,0)*BS19</f>
        <v>20</v>
      </c>
      <c r="AS19" s="58" t="n">
        <f aca="false">IF(AP19&gt;0,J19/AP19,-1)</f>
        <v>96</v>
      </c>
      <c r="AT19" s="58" t="n">
        <f aca="false">IF(AND(OR(BY19="L1",BY19="L23"),AP19&gt;0),SUMIFS($AP$7:$AP$1843,$BY$7:$BY$1843,BY19,$AS$7:$AS$1843,"&gt;"&amp;AS19)+SUMIFS($AP$7:$AP$1843,$BY$7:$BY$1843,BY19,$AS$7:$AS$1843,AS19,$BQ$7:$BQ$1843,"&lt;="&amp;BQ19),"")</f>
        <v>57.3572936725111</v>
      </c>
      <c r="AU19" s="65" t="n">
        <f aca="false">IF(AT19="",0,MAX(0,MIN(1,(IF(BY19="L1",Parameter!$E$5,Parameter!$E$6+Parameter!$E$7)-(AT19-AP19))/AP19)))</f>
        <v>1</v>
      </c>
      <c r="AV19" s="57" t="n">
        <f aca="false">IF(LEFT(Cockpit!$O$5,1)="A",H19,IF(CA19=1,CB19,IF(LEFT(Cockpit!$O$5,1)="B",AZ19,MAX(AZ19,H19))))</f>
        <v>16</v>
      </c>
      <c r="AW19" s="57" t="n">
        <f aca="false">IF(BT19=1,0,ROUNDUP(AV19/BS19,0))</f>
        <v>4</v>
      </c>
      <c r="AX19" s="59" t="n">
        <f aca="false">IF(CH19&gt;0,CH19*MAX(1,AV19/X19),IF(BT19=1,IF(AV19&lt;=0,0,BW19*MAX(1,IF(H19&gt;0,AV19/H19,1))),IF(R19&gt;0,AW19/R19,0))/MAX(0.1,N(Parameter!$M$21)))</f>
        <v>0.333333333333333</v>
      </c>
      <c r="AY19" s="57" t="n">
        <f aca="false">AV19*G19</f>
        <v>75845.92</v>
      </c>
      <c r="AZ19" s="57" t="n">
        <f aca="false">ROUNDUP(MAX(J19/IF(BZ19&gt;0,BZ19,MAX(0.1,N(Cockpit!$O$6))),CC19)/BS19,0)*BS19</f>
        <v>16</v>
      </c>
      <c r="BA19" s="58" t="n">
        <f aca="false">IF(AX19&gt;0,J19/AX19,-1)</f>
        <v>120</v>
      </c>
      <c r="BB19" s="58" t="n">
        <f aca="false">IF(AND(OR(BY19="L1",BY19="L23"),AX19&gt;0),SUMIFS($AX$7:$AX$1843,$BY$7:$BY$1843,BY19,$BA$7:$BA$1843,"&gt;"&amp;BA19)+SUMIFS($AX$7:$AX$1843,$BY$7:$BY$1843,BY19,$BA$7:$BA$1843,BA19,$BQ$7:$BQ$1843,"&lt;="&amp;BQ19),"")</f>
        <v>51.6412874565049</v>
      </c>
      <c r="BC19" s="65" t="n">
        <f aca="false">IF(BB19="",0,MAX(0,MIN(1,(IF(BY19="L1",Parameter!$E$5,Parameter!$E$6+Parameter!$E$7)-(BB19-AX19))/AX19)))</f>
        <v>1</v>
      </c>
      <c r="BD19" s="55" t="str">
        <f aca="false">IF(AH19&lt;=0,"",IF(BY19="Aussen","Aussenlager",IF(BY19="-","Nicht im Lift",IF(AM19&gt;=1,"Lift",IF(AM19&lt;=0,"Aussenlager","teilweise")))))</f>
        <v>Lift</v>
      </c>
      <c r="BE19" s="55" t="str">
        <f aca="false">IF(AP19&lt;=0,"",IF(BY19="Aussen","Aussenlager",IF(BY19="-","Nicht im Lift",IF(AU19&gt;=1,"Lift",IF(AU19&lt;=0,"Aussenlager","teilweise")))))</f>
        <v>Lift</v>
      </c>
      <c r="BF19" s="55" t="str">
        <f aca="false">IF(AX19&lt;=0,"",IF(BY19="Aussen","Aussenlager",IF(BY19="-","Nicht im Lift",IF(BC19&gt;=1,"Lift",IF(BC19&lt;=0,"Aussenlager","teilweise")))))</f>
        <v>Lift</v>
      </c>
      <c r="BG19" s="55" t="str">
        <f aca="false">IF(A19="","",IF(BP19=1,"Neu; ","")&amp;IF(AND(BP19=0,BK19&lt;0),"negativer Bestand (Export "&amp;BK19&amp;"); ","")&amp;IF(J19&lt;=0,"Kein Verbrauch; ","")&amp;IF(CH19&gt;0,"Lift "&amp;W19&amp;" lt. Liftbericht (Fach "&amp;X19&amp;" Stk); ",IF(BU19=1,"Gebinde geschätzt ("&amp;T19&amp;"); ",IF(BT19=1,"Lose – Tablare geschätzt; ","")))&amp;IF(H19&gt;AR19,"Überbestand "&amp;ROUND(H19-AR19,0)&amp;" Stk / CHF "&amp;ROUND((H19-AR19)*G19,0)&amp;"; ","")&amp;IF(AND(CA19=1,CB19&lt;CC19),"MAX &lt; MB+LG; ","")&amp;IF(AND(CG19&gt;0,CF19*10&gt;CG19),"zu hoch für Tablar; ","")&amp;IF(AND(BP19=0,OR(CA19=1,AA19&lt;&gt;"",U19&lt;&gt;"",V19&lt;&gt;"",AB19&lt;&gt;"")),"manuell übersteuert; ","")&amp;IF(AND(BT19=0,R19=0),"Gebinde unbekannt / Stellmass fehlt; ","")&amp;IF(AND(BT19=0,N(V19)&lt;=0,N(Q19)&lt;=0),"Menge pro Gebinde fehlt (Ist = 1 Gebinde); ","")&amp;BO19)</f>
        <v>Gebinde geschätzt (Mittel); Menge pro Gebinde fehlt (Ist = 1 Gebinde); </v>
      </c>
      <c r="BH19" s="55"/>
      <c r="BI19" s="55"/>
      <c r="BJ19" s="62"/>
      <c r="BK19" s="57" t="n">
        <v>4</v>
      </c>
      <c r="BL19" s="57" t="n">
        <v>0</v>
      </c>
      <c r="BM19" s="56" t="n">
        <v>18961.4799999999</v>
      </c>
      <c r="BN19" s="57" t="n">
        <v>40</v>
      </c>
      <c r="BO19" s="55"/>
      <c r="BP19" s="60" t="n">
        <v>0</v>
      </c>
      <c r="BQ19" s="60" t="n">
        <v>19</v>
      </c>
      <c r="BR19" s="55" t="str">
        <f aca="false">IF(U19&lt;&gt;"",UPPER(TRIM(U19)),IF(BU19=1,UPPER(VLOOKUP(T19,Parameter!$I$27:$K$29,2,0)),IF(P19="","LOSE",P19)))</f>
        <v>S61</v>
      </c>
      <c r="BS19" s="57" t="n">
        <f aca="false">IF(BR19="LOSE",1,IF(N(V19)&gt;0,V19,IF(BU19=1,MAX(1,N(VLOOKUP(T19,Parameter!$I$27:$K$29,3,0)),H19,N(N19)),IF(N(Q19)&gt;0,Q19,MAX(1,H19)))))</f>
        <v>4</v>
      </c>
      <c r="BT19" s="60" t="n">
        <f aca="false">IF(BR19="LOSE",1,0)</f>
        <v>0</v>
      </c>
      <c r="BU19" s="60" t="n">
        <f aca="false">IF(AND(U19="",OR(P19="",P19="LOSE"),T19&lt;&gt;"",N(S19)&lt;=0,ISNUMBER(MATCH(T19,Parameter!$I$27:$I$29,0))),1,0)</f>
        <v>1</v>
      </c>
      <c r="BV19" s="55" t="str">
        <f aca="false">IF(AND(Parameter!$B$19="Ja",E19&lt;&gt;"",ISNUMBER(MATCH(E19,Parameter!$I$35:$I$52,0))),VLOOKUP(E19,Parameter!$I$35:$J$52,2,0),IFERROR(VLOOKUP(D19,Parameter!$A$35:$C$64,2,0),"Nein"))</f>
        <v>2+3</v>
      </c>
      <c r="BW19" s="59" t="n">
        <f aca="false">IF(BT19=0,0,IF(N(S19)&gt;0,S19,IFERROR(VLOOKUP(D19,Parameter!$A$35:$C$64,3,0)+0,0)))</f>
        <v>0</v>
      </c>
      <c r="BX19" s="55" t="n">
        <f aca="false">IF(AA19&lt;&gt;"",AA19,Z19)</f>
        <v>2</v>
      </c>
      <c r="BY19" s="55" t="str">
        <f aca="false">IF(BX19=1,"L1",IF(OR(BX19=2,BX19=3),"L23",IF(BX19="Aussen","Aussen","-")))</f>
        <v>L23</v>
      </c>
      <c r="BZ19" s="66" t="n">
        <f aca="false">IF(N(AB19)&gt;0,AB19,0)</f>
        <v>0</v>
      </c>
      <c r="CA19" s="60" t="n">
        <f aca="false">IF(ISNUMBER(AE19),1,0)</f>
        <v>0</v>
      </c>
      <c r="CB19" s="57" t="n">
        <f aca="false">N(AE19)</f>
        <v>0</v>
      </c>
      <c r="CC19" s="57" t="n">
        <f aca="false">N(M19)+N(N19)</f>
        <v>6</v>
      </c>
      <c r="CD19" s="57" t="n">
        <f aca="false">ROUNDUP(H19/BS19,0)</f>
        <v>1</v>
      </c>
      <c r="CE19" s="57" t="n">
        <f aca="false">ROUNDUP(CB19/BS19,0)</f>
        <v>0</v>
      </c>
      <c r="CF19" s="60" t="n">
        <f aca="false">IF(BT19=1,0,IFERROR(VLOOKUP(BR19,'Gebinde-Kategorie'!$A$5:$M$45,5,0)+0,0))</f>
        <v>11</v>
      </c>
      <c r="CG19" s="60" t="n">
        <f aca="false">IFERROR(IF(OR(BX19=1,BX19=2,BX19=3),N(INDEX(Parameter!$I$5:$I$7,BX19)),0),0)</f>
        <v>0</v>
      </c>
      <c r="CH19" s="59" t="n">
        <f aca="false">IF(AND(Parameter!$B$21="Ja",ISNUMBER(W19),N(X19)&gt;0),IFERROR(N(INDEX(Parameter!$L$5:$L$7,W19))*INDEX(Parameter!$E$5:$E$7,W19)*X19/SUMIFS($X$7:$X$1843,$W$7:$W$1843,W19),0),0)</f>
        <v>0</v>
      </c>
    </row>
    <row r="20" customFormat="false" ht="15" hidden="false" customHeight="false" outlineLevel="0" collapsed="false">
      <c r="A20" s="55" t="s">
        <v>205</v>
      </c>
      <c r="B20" s="55" t="s">
        <v>206</v>
      </c>
      <c r="C20" s="55" t="s">
        <v>164</v>
      </c>
      <c r="D20" s="55" t="s">
        <v>165</v>
      </c>
      <c r="E20" s="55" t="s">
        <v>166</v>
      </c>
      <c r="F20" s="55" t="s">
        <v>201</v>
      </c>
      <c r="G20" s="56" t="n">
        <v>3611.62</v>
      </c>
      <c r="H20" s="57" t="n">
        <f aca="false">MAX(0,IF(AND(Parameter!$B$21="Ja",ISNUMBER(Y20)),Y20,IF(Parameter!$B$20="Jahresanfang 2025 + Export",BL20+BK20,BK20)))</f>
        <v>0</v>
      </c>
      <c r="I20" s="57" t="n">
        <f aca="false">H20*G20</f>
        <v>0</v>
      </c>
      <c r="J20" s="57" t="n">
        <f aca="false">BN20*Parameter!$B$18</f>
        <v>21</v>
      </c>
      <c r="K20" s="58" t="n">
        <v>6.5</v>
      </c>
      <c r="L20" s="59" t="n">
        <v>3.23076923076923</v>
      </c>
      <c r="M20" s="57" t="n">
        <v>1</v>
      </c>
      <c r="N20" s="57" t="n">
        <v>5</v>
      </c>
      <c r="O20" s="60" t="n">
        <v>21</v>
      </c>
      <c r="P20" s="55" t="s">
        <v>168</v>
      </c>
      <c r="Q20" s="57"/>
      <c r="R20" s="60" t="n">
        <f aca="false">IF(BT20=1,0,IFERROR(VLOOKUP(BR20,'Gebinde-Kategorie'!$A$5:$M$45,13,0)+0,0))</f>
        <v>0</v>
      </c>
      <c r="S20" s="61"/>
      <c r="T20" s="62"/>
      <c r="U20" s="62"/>
      <c r="V20" s="62"/>
      <c r="W20" s="55" t="n">
        <v>1</v>
      </c>
      <c r="X20" s="57" t="n">
        <v>10</v>
      </c>
      <c r="Y20" s="57" t="n">
        <v>0</v>
      </c>
      <c r="Z20" s="55" t="n">
        <f aca="false">IF(A20="","",IF(AND(Parameter!$B$21="Ja",ISNUMBER(W20)),W20,IF(BV20="2+3",IF(ISNUMBER(SEARCH("grosser Artikel",BO20)),2,IFERROR(VLOOKUP(BR20,Parameter!$F$35:$G$64,2,0),2)),IF(OR(BV20="Nein",BV20=""),"-",BV20))))</f>
        <v>1</v>
      </c>
      <c r="AA20" s="62"/>
      <c r="AB20" s="63"/>
      <c r="AC20" s="57" t="n">
        <f aca="false">AR20</f>
        <v>11</v>
      </c>
      <c r="AD20" s="57" t="n">
        <f aca="false">MAX(AR20,H20)</f>
        <v>11</v>
      </c>
      <c r="AE20" s="64"/>
      <c r="AF20" s="57" t="n">
        <f aca="false">IF(LEFT(Cockpit!$C$5,1)="A",H20,IF(CA20=1,CB20,IF(LEFT(Cockpit!$C$5,1)="B",AJ20,MAX(AJ20,H20))))</f>
        <v>0</v>
      </c>
      <c r="AG20" s="57" t="n">
        <f aca="false">IF(BT20=1,0,ROUNDUP(AF20/BS20,0))</f>
        <v>0</v>
      </c>
      <c r="AH20" s="59" t="n">
        <f aca="false">IF(CH20&gt;0,CH20*MAX(1,AF20/X20),IF(BT20=1,IF(AF20&lt;=0,0,BW20*MAX(1,IF(H20&gt;0,AF20/H20,1))),IF(R20&gt;0,AG20/R20,0))/MAX(0.1,N(Parameter!$M$21)))</f>
        <v>0.800376647834275</v>
      </c>
      <c r="AI20" s="57" t="n">
        <f aca="false">AF20*G20</f>
        <v>0</v>
      </c>
      <c r="AJ20" s="57" t="n">
        <f aca="false">ROUNDUP(MAX(J20/IF(BZ20&gt;0,BZ20,MAX(0.1,N(Cockpit!$C$6))),CC20)/BS20,0)*BS20</f>
        <v>11</v>
      </c>
      <c r="AK20" s="58" t="n">
        <f aca="false">IF(AH20&gt;0,J20/AH20,-1)</f>
        <v>26.2376470588235</v>
      </c>
      <c r="AL20" s="58" t="n">
        <f aca="false">IF(AND(OR(BY20="L1",BY20="L23"),AH20&gt;0),SUMIFS($AH$7:$AH$1843,$BY$7:$BY$1843,BY20,$AK$7:$AK$1843,"&gt;"&amp;AK20)+SUMIFS($AH$7:$AH$1843,$BY$7:$BY$1843,BY20,$AK$7:$AK$1843,AK20,$BQ$7:$BQ$1843,"&lt;="&amp;BQ20),"")</f>
        <v>16.5747532578778</v>
      </c>
      <c r="AM20" s="65" t="n">
        <f aca="false">IF(AL20="",0,MAX(0,MIN(1,(IF(BY20="L1",Parameter!$E$5,Parameter!$E$6+Parameter!$E$7)-(AL20-AH20))/AH20)))</f>
        <v>1</v>
      </c>
      <c r="AN20" s="57" t="n">
        <f aca="false">IF(LEFT(Cockpit!$I$5,1)="A",H20,IF(CA20=1,CB20,IF(LEFT(Cockpit!$I$5,1)="B",AR20,MAX(AR20,H20))))</f>
        <v>11</v>
      </c>
      <c r="AO20" s="57" t="n">
        <f aca="false">IF(BT20=1,0,ROUNDUP(AN20/BS20,0))</f>
        <v>0</v>
      </c>
      <c r="AP20" s="59" t="n">
        <f aca="false">IF(CH20&gt;0,CH20*MAX(1,AN20/X20),IF(BT20=1,IF(AN20&lt;=0,0,BW20*MAX(1,IF(H20&gt;0,AN20/H20,1))),IF(R20&gt;0,AO20/R20,0))/MAX(0.1,N(Parameter!$M$21)))</f>
        <v>0.880414312617703</v>
      </c>
      <c r="AQ20" s="57" t="n">
        <f aca="false">AN20*G20</f>
        <v>39727.82</v>
      </c>
      <c r="AR20" s="57" t="n">
        <f aca="false">ROUNDUP(MAX(J20/IF(BZ20&gt;0,BZ20,MAX(0.1,N(Cockpit!$I$6))),CC20)/BS20,0)*BS20</f>
        <v>11</v>
      </c>
      <c r="AS20" s="58" t="n">
        <f aca="false">IF(AP20&gt;0,J20/AP20,-1)</f>
        <v>23.8524064171123</v>
      </c>
      <c r="AT20" s="58" t="n">
        <f aca="false">IF(AND(OR(BY20="L1",BY20="L23"),AP20&gt;0),SUMIFS($AP$7:$AP$1843,$BY$7:$BY$1843,BY20,$AS$7:$AS$1843,"&gt;"&amp;AS20)+SUMIFS($AP$7:$AP$1843,$BY$7:$BY$1843,BY20,$AS$7:$AS$1843,AS20,$BQ$7:$BQ$1843,"&lt;="&amp;BQ20),"")</f>
        <v>32.6347271822585</v>
      </c>
      <c r="AU20" s="65" t="n">
        <f aca="false">IF(AT20="",0,MAX(0,MIN(1,(IF(BY20="L1",Parameter!$E$5,Parameter!$E$6+Parameter!$E$7)-(AT20-AP20))/AP20)))</f>
        <v>1</v>
      </c>
      <c r="AV20" s="57" t="n">
        <f aca="false">IF(LEFT(Cockpit!$O$5,1)="A",H20,IF(CA20=1,CB20,IF(LEFT(Cockpit!$O$5,1)="B",AZ20,MAX(AZ20,H20))))</f>
        <v>7</v>
      </c>
      <c r="AW20" s="57" t="n">
        <f aca="false">IF(BT20=1,0,ROUNDUP(AV20/BS20,0))</f>
        <v>0</v>
      </c>
      <c r="AX20" s="59" t="n">
        <f aca="false">IF(CH20&gt;0,CH20*MAX(1,AV20/X20),IF(BT20=1,IF(AV20&lt;=0,0,BW20*MAX(1,IF(H20&gt;0,AV20/H20,1))),IF(R20&gt;0,AW20/R20,0))/MAX(0.1,N(Parameter!$M$21)))</f>
        <v>0.800376647834275</v>
      </c>
      <c r="AY20" s="57" t="n">
        <f aca="false">AV20*G20</f>
        <v>25281.34</v>
      </c>
      <c r="AZ20" s="57" t="n">
        <f aca="false">ROUNDUP(MAX(J20/IF(BZ20&gt;0,BZ20,MAX(0.1,N(Cockpit!$O$6))),CC20)/BS20,0)*BS20</f>
        <v>7</v>
      </c>
      <c r="BA20" s="58" t="n">
        <f aca="false">IF(AX20&gt;0,J20/AX20,-1)</f>
        <v>26.2376470588235</v>
      </c>
      <c r="BB20" s="58" t="n">
        <f aca="false">IF(AND(OR(BY20="L1",BY20="L23"),AX20&gt;0),SUMIFS($AX$7:$AX$1843,$BY$7:$BY$1843,BY20,$BA$7:$BA$1843,"&gt;"&amp;BA20)+SUMIFS($AX$7:$AX$1843,$BY$7:$BY$1843,BY20,$BA$7:$BA$1843,BA20,$BQ$7:$BQ$1843,"&lt;="&amp;BQ20),"")</f>
        <v>24.2874144196915</v>
      </c>
      <c r="BC20" s="65" t="n">
        <f aca="false">IF(BB20="",0,MAX(0,MIN(1,(IF(BY20="L1",Parameter!$E$5,Parameter!$E$6+Parameter!$E$7)-(BB20-AX20))/AX20)))</f>
        <v>1</v>
      </c>
      <c r="BD20" s="55" t="str">
        <f aca="false">IF(AH20&lt;=0,"",IF(BY20="Aussen","Aussenlager",IF(BY20="-","Nicht im Lift",IF(AM20&gt;=1,"Lift",IF(AM20&lt;=0,"Aussenlager","teilweise")))))</f>
        <v>Lift</v>
      </c>
      <c r="BE20" s="55" t="str">
        <f aca="false">IF(AP20&lt;=0,"",IF(BY20="Aussen","Aussenlager",IF(BY20="-","Nicht im Lift",IF(AU20&gt;=1,"Lift",IF(AU20&lt;=0,"Aussenlager","teilweise")))))</f>
        <v>Lift</v>
      </c>
      <c r="BF20" s="55" t="str">
        <f aca="false">IF(AX20&lt;=0,"",IF(BY20="Aussen","Aussenlager",IF(BY20="-","Nicht im Lift",IF(BC20&gt;=1,"Lift",IF(BC20&lt;=0,"Aussenlager","teilweise")))))</f>
        <v>Lift</v>
      </c>
      <c r="BG20" s="55" t="str">
        <f aca="false">IF(A20="","",IF(BP20=1,"Neu; ","")&amp;IF(AND(BP20=0,BK20&lt;0),"negativer Bestand (Export "&amp;BK20&amp;"); ","")&amp;IF(J20&lt;=0,"Kein Verbrauch; ","")&amp;IF(CH20&gt;0,"Lift "&amp;W20&amp;" lt. Liftbericht (Fach "&amp;X20&amp;" Stk); ",IF(BU20=1,"Gebinde geschätzt ("&amp;T20&amp;"); ",IF(BT20=1,"Lose – Tablare geschätzt; ","")))&amp;IF(H20&gt;AR20,"Überbestand "&amp;ROUND(H20-AR20,0)&amp;" Stk / CHF "&amp;ROUND((H20-AR20)*G20,0)&amp;"; ","")&amp;IF(AND(CA20=1,CB20&lt;CC20),"MAX &lt; MB+LG; ","")&amp;IF(AND(CG20&gt;0,CF20*10&gt;CG20),"zu hoch für Tablar; ","")&amp;IF(AND(BP20=0,OR(CA20=1,AA20&lt;&gt;"",U20&lt;&gt;"",V20&lt;&gt;"",AB20&lt;&gt;"")),"manuell übersteuert; ","")&amp;IF(AND(BT20=0,R20=0),"Gebinde unbekannt / Stellmass fehlt; ","")&amp;IF(AND(BT20=0,N(V20)&lt;=0,N(Q20)&lt;=0),"Menge pro Gebinde fehlt (Ist = 1 Gebinde); ","")&amp;BO20)</f>
        <v>Lift 1 lt. Liftbericht (Fach 10 Stk); </v>
      </c>
      <c r="BH20" s="55"/>
      <c r="BI20" s="55"/>
      <c r="BJ20" s="62"/>
      <c r="BK20" s="57" t="n">
        <v>5</v>
      </c>
      <c r="BL20" s="57" t="n">
        <v>6</v>
      </c>
      <c r="BM20" s="56" t="n">
        <v>18957.62</v>
      </c>
      <c r="BN20" s="57" t="n">
        <v>21</v>
      </c>
      <c r="BO20" s="55"/>
      <c r="BP20" s="60" t="n">
        <v>0</v>
      </c>
      <c r="BQ20" s="60" t="n">
        <v>20</v>
      </c>
      <c r="BR20" s="55" t="str">
        <f aca="false">IF(U20&lt;&gt;"",UPPER(TRIM(U20)),IF(BU20=1,UPPER(VLOOKUP(T20,Parameter!$I$27:$K$29,2,0)),IF(P20="","LOSE",P20)))</f>
        <v>LOSE</v>
      </c>
      <c r="BS20" s="57" t="n">
        <f aca="false">IF(BR20="LOSE",1,IF(N(V20)&gt;0,V20,IF(BU20=1,MAX(1,N(VLOOKUP(T20,Parameter!$I$27:$K$29,3,0)),H20,N(N20)),IF(N(Q20)&gt;0,Q20,MAX(1,H20)))))</f>
        <v>1</v>
      </c>
      <c r="BT20" s="60" t="n">
        <f aca="false">IF(BR20="LOSE",1,0)</f>
        <v>1</v>
      </c>
      <c r="BU20" s="60" t="n">
        <f aca="false">IF(AND(U20="",OR(P20="",P20="LOSE"),T20&lt;&gt;"",N(S20)&lt;=0,ISNUMBER(MATCH(T20,Parameter!$I$27:$I$29,0))),1,0)</f>
        <v>0</v>
      </c>
      <c r="BV20" s="55" t="n">
        <f aca="false">IF(AND(Parameter!$B$19="Ja",E20&lt;&gt;"",ISNUMBER(MATCH(E20,Parameter!$I$35:$I$52,0))),VLOOKUP(E20,Parameter!$I$35:$J$52,2,0),IFERROR(VLOOKUP(D20,Parameter!$A$35:$C$64,2,0),"Nein"))</f>
        <v>1</v>
      </c>
      <c r="BW20" s="59" t="n">
        <f aca="false">IF(BT20=0,0,IF(N(S20)&gt;0,S20,IFERROR(VLOOKUP(D20,Parameter!$A$35:$C$64,3,0)+0,0)))</f>
        <v>1</v>
      </c>
      <c r="BX20" s="55" t="n">
        <f aca="false">IF(AA20&lt;&gt;"",AA20,Z20)</f>
        <v>1</v>
      </c>
      <c r="BY20" s="55" t="str">
        <f aca="false">IF(BX20=1,"L1",IF(OR(BX20=2,BX20=3),"L23",IF(BX20="Aussen","Aussen","-")))</f>
        <v>L1</v>
      </c>
      <c r="BZ20" s="66" t="n">
        <f aca="false">IF(N(AB20)&gt;0,AB20,0)</f>
        <v>0</v>
      </c>
      <c r="CA20" s="60" t="n">
        <f aca="false">IF(ISNUMBER(AE20),1,0)</f>
        <v>0</v>
      </c>
      <c r="CB20" s="57" t="n">
        <f aca="false">N(AE20)</f>
        <v>0</v>
      </c>
      <c r="CC20" s="57" t="n">
        <f aca="false">N(M20)+N(N20)</f>
        <v>6</v>
      </c>
      <c r="CD20" s="57" t="n">
        <f aca="false">ROUNDUP(H20/BS20,0)</f>
        <v>0</v>
      </c>
      <c r="CE20" s="57" t="n">
        <f aca="false">ROUNDUP(CB20/BS20,0)</f>
        <v>0</v>
      </c>
      <c r="CF20" s="60" t="n">
        <f aca="false">IF(BT20=1,0,IFERROR(VLOOKUP(BR20,'Gebinde-Kategorie'!$A$5:$M$45,5,0)+0,0))</f>
        <v>0</v>
      </c>
      <c r="CG20" s="60" t="n">
        <f aca="false">IFERROR(IF(OR(BX20=1,BX20=2,BX20=3),N(INDEX(Parameter!$I$5:$I$7,BX20)),0),0)</f>
        <v>0</v>
      </c>
      <c r="CH20" s="59" t="n">
        <f aca="false">IF(AND(Parameter!$B$21="Ja",ISNUMBER(W20),N(X20)&gt;0),IFERROR(N(INDEX(Parameter!$L$5:$L$7,W20))*INDEX(Parameter!$E$5:$E$7,W20)*X20/SUMIFS($X$7:$X$1843,$W$7:$W$1843,W20),0),0)</f>
        <v>0.800376647834275</v>
      </c>
    </row>
    <row r="21" customFormat="false" ht="15" hidden="false" customHeight="false" outlineLevel="0" collapsed="false">
      <c r="A21" s="55" t="s">
        <v>207</v>
      </c>
      <c r="B21" s="55" t="s">
        <v>208</v>
      </c>
      <c r="C21" s="55" t="s">
        <v>164</v>
      </c>
      <c r="D21" s="55" t="s">
        <v>173</v>
      </c>
      <c r="E21" s="55" t="s">
        <v>166</v>
      </c>
      <c r="F21" s="55" t="s">
        <v>201</v>
      </c>
      <c r="G21" s="56" t="n">
        <v>1647.88</v>
      </c>
      <c r="H21" s="57" t="n">
        <f aca="false">MAX(0,IF(AND(Parameter!$B$21="Ja",ISNUMBER(Y21)),Y21,IF(Parameter!$B$20="Jahresanfang 2025 + Export",BL21+BK21,BK21)))</f>
        <v>23</v>
      </c>
      <c r="I21" s="57" t="n">
        <f aca="false">H21*G21</f>
        <v>37901.24</v>
      </c>
      <c r="J21" s="57" t="n">
        <f aca="false">BN21*Parameter!$B$18</f>
        <v>95</v>
      </c>
      <c r="K21" s="58" t="n">
        <v>24.5</v>
      </c>
      <c r="L21" s="59" t="n">
        <v>3.87755102040816</v>
      </c>
      <c r="M21" s="57" t="n">
        <v>5</v>
      </c>
      <c r="N21" s="57" t="n">
        <v>15</v>
      </c>
      <c r="O21" s="60" t="n">
        <v>21</v>
      </c>
      <c r="P21" s="55" t="s">
        <v>174</v>
      </c>
      <c r="Q21" s="57" t="n">
        <v>12</v>
      </c>
      <c r="R21" s="60" t="n">
        <f aca="false">IF(BT21=1,0,IFERROR(VLOOKUP(BR21,'Gebinde-Kategorie'!$A$5:$M$45,13,0)+0,0))</f>
        <v>6</v>
      </c>
      <c r="S21" s="61"/>
      <c r="T21" s="62"/>
      <c r="U21" s="62"/>
      <c r="V21" s="62"/>
      <c r="W21" s="55"/>
      <c r="X21" s="57"/>
      <c r="Y21" s="57"/>
      <c r="Z21" s="55" t="n">
        <f aca="false">IF(A21="","",IF(AND(Parameter!$B$21="Ja",ISNUMBER(W21)),W21,IF(BV21="2+3",IF(ISNUMBER(SEARCH("grosser Artikel",BO21)),2,IFERROR(VLOOKUP(BR21,Parameter!$F$35:$G$64,2,0),2)),IF(OR(BV21="Nein",BV21=""),"-",BV21))))</f>
        <v>1</v>
      </c>
      <c r="AA21" s="62"/>
      <c r="AB21" s="63"/>
      <c r="AC21" s="57" t="n">
        <f aca="false">AR21</f>
        <v>48</v>
      </c>
      <c r="AD21" s="57" t="n">
        <f aca="false">MAX(AR21,H21)</f>
        <v>48</v>
      </c>
      <c r="AE21" s="64"/>
      <c r="AF21" s="57" t="n">
        <f aca="false">IF(LEFT(Cockpit!$C$5,1)="A",H21,IF(CA21=1,CB21,IF(LEFT(Cockpit!$C$5,1)="B",AJ21,MAX(AJ21,H21))))</f>
        <v>23</v>
      </c>
      <c r="AG21" s="57" t="n">
        <f aca="false">IF(BT21=1,0,ROUNDUP(AF21/BS21,0))</f>
        <v>2</v>
      </c>
      <c r="AH21" s="59" t="n">
        <f aca="false">IF(CH21&gt;0,CH21*MAX(1,AF21/X21),IF(BT21=1,IF(AF21&lt;=0,0,BW21*MAX(1,IF(H21&gt;0,AF21/H21,1))),IF(R21&gt;0,AG21/R21,0))/MAX(0.1,N(Parameter!$M$21)))</f>
        <v>0.333333333333333</v>
      </c>
      <c r="AI21" s="57" t="n">
        <f aca="false">AF21*G21</f>
        <v>37901.24</v>
      </c>
      <c r="AJ21" s="57" t="n">
        <f aca="false">ROUNDUP(MAX(J21/IF(BZ21&gt;0,BZ21,MAX(0.1,N(Cockpit!$C$6))),CC21)/BS21,0)*BS21</f>
        <v>48</v>
      </c>
      <c r="AK21" s="58" t="n">
        <f aca="false">IF(AH21&gt;0,J21/AH21,-1)</f>
        <v>285</v>
      </c>
      <c r="AL21" s="58" t="n">
        <f aca="false">IF(AND(OR(BY21="L1",BY21="L23"),AH21&gt;0),SUMIFS($AH$7:$AH$1843,$BY$7:$BY$1843,BY21,$AK$7:$AK$1843,"&gt;"&amp;AK21)+SUMIFS($AH$7:$AH$1843,$BY$7:$BY$1843,BY21,$AK$7:$AK$1843,AK21,$BQ$7:$BQ$1843,"&lt;="&amp;BQ21),"")</f>
        <v>2.00083612040134</v>
      </c>
      <c r="AM21" s="65" t="n">
        <f aca="false">IF(AL21="",0,MAX(0,MIN(1,(IF(BY21="L1",Parameter!$E$5,Parameter!$E$6+Parameter!$E$7)-(AL21-AH21))/AH21)))</f>
        <v>1</v>
      </c>
      <c r="AN21" s="57" t="n">
        <f aca="false">IF(LEFT(Cockpit!$I$5,1)="A",H21,IF(CA21=1,CB21,IF(LEFT(Cockpit!$I$5,1)="B",AR21,MAX(AR21,H21))))</f>
        <v>48</v>
      </c>
      <c r="AO21" s="57" t="n">
        <f aca="false">IF(BT21=1,0,ROUNDUP(AN21/BS21,0))</f>
        <v>4</v>
      </c>
      <c r="AP21" s="59" t="n">
        <f aca="false">IF(CH21&gt;0,CH21*MAX(1,AN21/X21),IF(BT21=1,IF(AN21&lt;=0,0,BW21*MAX(1,IF(H21&gt;0,AN21/H21,1))),IF(R21&gt;0,AO21/R21,0))/MAX(0.1,N(Parameter!$M$21)))</f>
        <v>0.666666666666667</v>
      </c>
      <c r="AQ21" s="57" t="n">
        <f aca="false">AN21*G21</f>
        <v>79098.24</v>
      </c>
      <c r="AR21" s="57" t="n">
        <f aca="false">ROUNDUP(MAX(J21/IF(BZ21&gt;0,BZ21,MAX(0.1,N(Cockpit!$I$6))),CC21)/BS21,0)*BS21</f>
        <v>48</v>
      </c>
      <c r="AS21" s="58" t="n">
        <f aca="false">IF(AP21&gt;0,J21/AP21,-1)</f>
        <v>142.5</v>
      </c>
      <c r="AT21" s="58" t="n">
        <f aca="false">IF(AND(OR(BY21="L1",BY21="L23"),AP21&gt;0),SUMIFS($AP$7:$AP$1843,$BY$7:$BY$1843,BY21,$AS$7:$AS$1843,"&gt;"&amp;AS21)+SUMIFS($AP$7:$AP$1843,$BY$7:$BY$1843,BY21,$AS$7:$AS$1843,AS21,$BQ$7:$BQ$1843,"&lt;="&amp;BQ21),"")</f>
        <v>5.41109253065775</v>
      </c>
      <c r="AU21" s="65" t="n">
        <f aca="false">IF(AT21="",0,MAX(0,MIN(1,(IF(BY21="L1",Parameter!$E$5,Parameter!$E$6+Parameter!$E$7)-(AT21-AP21))/AP21)))</f>
        <v>1</v>
      </c>
      <c r="AV21" s="57" t="n">
        <f aca="false">IF(LEFT(Cockpit!$O$5,1)="A",H21,IF(CA21=1,CB21,IF(LEFT(Cockpit!$O$5,1)="B",AZ21,MAX(AZ21,H21))))</f>
        <v>36</v>
      </c>
      <c r="AW21" s="57" t="n">
        <f aca="false">IF(BT21=1,0,ROUNDUP(AV21/BS21,0))</f>
        <v>3</v>
      </c>
      <c r="AX21" s="59" t="n">
        <f aca="false">IF(CH21&gt;0,CH21*MAX(1,AV21/X21),IF(BT21=1,IF(AV21&lt;=0,0,BW21*MAX(1,IF(H21&gt;0,AV21/H21,1))),IF(R21&gt;0,AW21/R21,0))/MAX(0.1,N(Parameter!$M$21)))</f>
        <v>0.5</v>
      </c>
      <c r="AY21" s="57" t="n">
        <f aca="false">AV21*G21</f>
        <v>59323.68</v>
      </c>
      <c r="AZ21" s="57" t="n">
        <f aca="false">ROUNDUP(MAX(J21/IF(BZ21&gt;0,BZ21,MAX(0.1,N(Cockpit!$O$6))),CC21)/BS21,0)*BS21</f>
        <v>36</v>
      </c>
      <c r="BA21" s="58" t="n">
        <f aca="false">IF(AX21&gt;0,J21/AX21,-1)</f>
        <v>190</v>
      </c>
      <c r="BB21" s="58" t="n">
        <f aca="false">IF(AND(OR(BY21="L1",BY21="L23"),AX21&gt;0),SUMIFS($AX$7:$AX$1843,$BY$7:$BY$1843,BY21,$BA$7:$BA$1843,"&gt;"&amp;BA21)+SUMIFS($AX$7:$AX$1843,$BY$7:$BY$1843,BY21,$BA$7:$BA$1843,BA21,$BQ$7:$BQ$1843,"&lt;="&amp;BQ21),"")</f>
        <v>3.37263099219621</v>
      </c>
      <c r="BC21" s="65" t="n">
        <f aca="false">IF(BB21="",0,MAX(0,MIN(1,(IF(BY21="L1",Parameter!$E$5,Parameter!$E$6+Parameter!$E$7)-(BB21-AX21))/AX21)))</f>
        <v>1</v>
      </c>
      <c r="BD21" s="55" t="str">
        <f aca="false">IF(AH21&lt;=0,"",IF(BY21="Aussen","Aussenlager",IF(BY21="-","Nicht im Lift",IF(AM21&gt;=1,"Lift",IF(AM21&lt;=0,"Aussenlager","teilweise")))))</f>
        <v>Lift</v>
      </c>
      <c r="BE21" s="55" t="str">
        <f aca="false">IF(AP21&lt;=0,"",IF(BY21="Aussen","Aussenlager",IF(BY21="-","Nicht im Lift",IF(AU21&gt;=1,"Lift",IF(AU21&lt;=0,"Aussenlager","teilweise")))))</f>
        <v>Lift</v>
      </c>
      <c r="BF21" s="55" t="str">
        <f aca="false">IF(AX21&lt;=0,"",IF(BY21="Aussen","Aussenlager",IF(BY21="-","Nicht im Lift",IF(BC21&gt;=1,"Lift",IF(BC21&lt;=0,"Aussenlager","teilweise")))))</f>
        <v>Lift</v>
      </c>
      <c r="BG21" s="55" t="str">
        <f aca="false">IF(A21="","",IF(BP21=1,"Neu; ","")&amp;IF(AND(BP21=0,BK21&lt;0),"negativer Bestand (Export "&amp;BK21&amp;"); ","")&amp;IF(J21&lt;=0,"Kein Verbrauch; ","")&amp;IF(CH21&gt;0,"Lift "&amp;W21&amp;" lt. Liftbericht (Fach "&amp;X21&amp;" Stk); ",IF(BU21=1,"Gebinde geschätzt ("&amp;T21&amp;"); ",IF(BT21=1,"Lose – Tablare geschätzt; ","")))&amp;IF(H21&gt;AR21,"Überbestand "&amp;ROUND(H21-AR21,0)&amp;" Stk / CHF "&amp;ROUND((H21-AR21)*G21,0)&amp;"; ","")&amp;IF(AND(CA21=1,CB21&lt;CC21),"MAX &lt; MB+LG; ","")&amp;IF(AND(CG21&gt;0,CF21*10&gt;CG21),"zu hoch für Tablar; ","")&amp;IF(AND(BP21=0,OR(CA21=1,AA21&lt;&gt;"",U21&lt;&gt;"",V21&lt;&gt;"",AB21&lt;&gt;"")),"manuell übersteuert; ","")&amp;IF(AND(BT21=0,R21=0),"Gebinde unbekannt / Stellmass fehlt; ","")&amp;IF(AND(BT21=0,N(V21)&lt;=0,N(Q21)&lt;=0),"Menge pro Gebinde fehlt (Ist = 1 Gebinde); ","")&amp;BO21)</f>
        <v/>
      </c>
      <c r="BH21" s="55"/>
      <c r="BI21" s="55"/>
      <c r="BJ21" s="62"/>
      <c r="BK21" s="57" t="n">
        <v>12</v>
      </c>
      <c r="BL21" s="57" t="n">
        <v>11</v>
      </c>
      <c r="BM21" s="56" t="n">
        <v>17892.56</v>
      </c>
      <c r="BN21" s="57" t="n">
        <v>95</v>
      </c>
      <c r="BO21" s="55"/>
      <c r="BP21" s="60" t="n">
        <v>0</v>
      </c>
      <c r="BQ21" s="60" t="n">
        <v>21</v>
      </c>
      <c r="BR21" s="55" t="str">
        <f aca="false">IF(U21&lt;&gt;"",UPPER(TRIM(U21)),IF(BU21=1,UPPER(VLOOKUP(T21,Parameter!$I$27:$K$29,2,0)),IF(P21="","LOSE",P21)))</f>
        <v>S71</v>
      </c>
      <c r="BS21" s="57" t="n">
        <f aca="false">IF(BR21="LOSE",1,IF(N(V21)&gt;0,V21,IF(BU21=1,MAX(1,N(VLOOKUP(T21,Parameter!$I$27:$K$29,3,0)),H21,N(N21)),IF(N(Q21)&gt;0,Q21,MAX(1,H21)))))</f>
        <v>12</v>
      </c>
      <c r="BT21" s="60" t="n">
        <f aca="false">IF(BR21="LOSE",1,0)</f>
        <v>0</v>
      </c>
      <c r="BU21" s="60" t="n">
        <f aca="false">IF(AND(U21="",OR(P21="",P21="LOSE"),T21&lt;&gt;"",N(S21)&lt;=0,ISNUMBER(MATCH(T21,Parameter!$I$27:$I$29,0))),1,0)</f>
        <v>0</v>
      </c>
      <c r="BV21" s="55" t="n">
        <f aca="false">IF(AND(Parameter!$B$19="Ja",E21&lt;&gt;"",ISNUMBER(MATCH(E21,Parameter!$I$35:$I$52,0))),VLOOKUP(E21,Parameter!$I$35:$J$52,2,0),IFERROR(VLOOKUP(D21,Parameter!$A$35:$C$64,2,0),"Nein"))</f>
        <v>1</v>
      </c>
      <c r="BW21" s="59" t="n">
        <f aca="false">IF(BT21=0,0,IF(N(S21)&gt;0,S21,IFERROR(VLOOKUP(D21,Parameter!$A$35:$C$64,3,0)+0,0)))</f>
        <v>0</v>
      </c>
      <c r="BX21" s="55" t="n">
        <f aca="false">IF(AA21&lt;&gt;"",AA21,Z21)</f>
        <v>1</v>
      </c>
      <c r="BY21" s="55" t="str">
        <f aca="false">IF(BX21=1,"L1",IF(OR(BX21=2,BX21=3),"L23",IF(BX21="Aussen","Aussen","-")))</f>
        <v>L1</v>
      </c>
      <c r="BZ21" s="66" t="n">
        <f aca="false">IF(N(AB21)&gt;0,AB21,0)</f>
        <v>0</v>
      </c>
      <c r="CA21" s="60" t="n">
        <f aca="false">IF(ISNUMBER(AE21),1,0)</f>
        <v>0</v>
      </c>
      <c r="CB21" s="57" t="n">
        <f aca="false">N(AE21)</f>
        <v>0</v>
      </c>
      <c r="CC21" s="57" t="n">
        <f aca="false">N(M21)+N(N21)</f>
        <v>20</v>
      </c>
      <c r="CD21" s="57" t="n">
        <f aca="false">ROUNDUP(H21/BS21,0)</f>
        <v>2</v>
      </c>
      <c r="CE21" s="57" t="n">
        <f aca="false">ROUNDUP(CB21/BS21,0)</f>
        <v>0</v>
      </c>
      <c r="CF21" s="60" t="n">
        <f aca="false">IF(BT21=1,0,IFERROR(VLOOKUP(BR21,'Gebinde-Kategorie'!$A$5:$M$45,5,0)+0,0))</f>
        <v>20</v>
      </c>
      <c r="CG21" s="60" t="n">
        <f aca="false">IFERROR(IF(OR(BX21=1,BX21=2,BX21=3),N(INDEX(Parameter!$I$5:$I$7,BX21)),0),0)</f>
        <v>0</v>
      </c>
      <c r="CH21" s="59" t="n">
        <f aca="false">IF(AND(Parameter!$B$21="Ja",ISNUMBER(W21),N(X21)&gt;0),IFERROR(N(INDEX(Parameter!$L$5:$L$7,W21))*INDEX(Parameter!$E$5:$E$7,W21)*X21/SUMIFS($X$7:$X$1843,$W$7:$W$1843,W21),0),0)</f>
        <v>0</v>
      </c>
    </row>
    <row r="22" customFormat="false" ht="15" hidden="false" customHeight="false" outlineLevel="0" collapsed="false">
      <c r="A22" s="55" t="s">
        <v>209</v>
      </c>
      <c r="B22" s="55" t="s">
        <v>210</v>
      </c>
      <c r="C22" s="55" t="s">
        <v>164</v>
      </c>
      <c r="D22" s="55" t="s">
        <v>165</v>
      </c>
      <c r="E22" s="55" t="s">
        <v>166</v>
      </c>
      <c r="F22" s="55" t="s">
        <v>201</v>
      </c>
      <c r="G22" s="56" t="n">
        <v>2587.56</v>
      </c>
      <c r="H22" s="57" t="n">
        <f aca="false">MAX(0,IF(AND(Parameter!$B$21="Ja",ISNUMBER(Y22)),Y22,IF(Parameter!$B$20="Jahresanfang 2025 + Export",BL22+BK22,BK22)))</f>
        <v>16</v>
      </c>
      <c r="I22" s="57" t="n">
        <f aca="false">H22*G22</f>
        <v>41400.96</v>
      </c>
      <c r="J22" s="57" t="n">
        <f aca="false">BN22*Parameter!$B$18</f>
        <v>29</v>
      </c>
      <c r="K22" s="58" t="n">
        <v>9.5</v>
      </c>
      <c r="L22" s="59" t="n">
        <v>3.05263157894737</v>
      </c>
      <c r="M22" s="57" t="n">
        <v>3</v>
      </c>
      <c r="N22" s="57" t="n">
        <v>10</v>
      </c>
      <c r="O22" s="60" t="n">
        <v>21</v>
      </c>
      <c r="P22" s="55" t="s">
        <v>168</v>
      </c>
      <c r="Q22" s="57"/>
      <c r="R22" s="60" t="n">
        <f aca="false">IF(BT22=1,0,IFERROR(VLOOKUP(BR22,'Gebinde-Kategorie'!$A$5:$M$45,13,0)+0,0))</f>
        <v>0</v>
      </c>
      <c r="S22" s="61"/>
      <c r="T22" s="62"/>
      <c r="U22" s="62"/>
      <c r="V22" s="62"/>
      <c r="W22" s="55" t="n">
        <v>1</v>
      </c>
      <c r="X22" s="57" t="n">
        <v>22</v>
      </c>
      <c r="Y22" s="57" t="n">
        <v>16</v>
      </c>
      <c r="Z22" s="55" t="n">
        <f aca="false">IF(A22="","",IF(AND(Parameter!$B$21="Ja",ISNUMBER(W22)),W22,IF(BV22="2+3",IF(ISNUMBER(SEARCH("grosser Artikel",BO22)),2,IFERROR(VLOOKUP(BR22,Parameter!$F$35:$G$64,2,0),2)),IF(OR(BV22="Nein",BV22=""),"-",BV22))))</f>
        <v>1</v>
      </c>
      <c r="AA22" s="62"/>
      <c r="AB22" s="63"/>
      <c r="AC22" s="57" t="n">
        <f aca="false">AR22</f>
        <v>15</v>
      </c>
      <c r="AD22" s="57" t="n">
        <f aca="false">MAX(AR22,H22)</f>
        <v>16</v>
      </c>
      <c r="AE22" s="64"/>
      <c r="AF22" s="57" t="n">
        <f aca="false">IF(LEFT(Cockpit!$C$5,1)="A",H22,IF(CA22=1,CB22,IF(LEFT(Cockpit!$C$5,1)="B",AJ22,MAX(AJ22,H22))))</f>
        <v>16</v>
      </c>
      <c r="AG22" s="57" t="n">
        <f aca="false">IF(BT22=1,0,ROUNDUP(AF22/BS22,0))</f>
        <v>0</v>
      </c>
      <c r="AH22" s="59" t="n">
        <f aca="false">IF(CH22&gt;0,CH22*MAX(1,AF22/X22),IF(BT22=1,IF(AF22&lt;=0,0,BW22*MAX(1,IF(H22&gt;0,AF22/H22,1))),IF(R22&gt;0,AG22/R22,0))/MAX(0.1,N(Parameter!$M$21)))</f>
        <v>1.7608286252354</v>
      </c>
      <c r="AI22" s="57" t="n">
        <f aca="false">AF22*G22</f>
        <v>41400.96</v>
      </c>
      <c r="AJ22" s="57" t="n">
        <f aca="false">ROUNDUP(MAX(J22/IF(BZ22&gt;0,BZ22,MAX(0.1,N(Cockpit!$C$6))),CC22)/BS22,0)*BS22</f>
        <v>15</v>
      </c>
      <c r="AK22" s="58" t="n">
        <f aca="false">IF(AH22&gt;0,J22/AH22,-1)</f>
        <v>16.4695187165775</v>
      </c>
      <c r="AL22" s="58" t="n">
        <f aca="false">IF(AND(OR(BY22="L1",BY22="L23"),AH22&gt;0),SUMIFS($AH$7:$AH$1843,$BY$7:$BY$1843,BY22,$AK$7:$AK$1843,"&gt;"&amp;AK22)+SUMIFS($AH$7:$AH$1843,$BY$7:$BY$1843,BY22,$AK$7:$AK$1843,AK22,$BQ$7:$BQ$1843,"&lt;="&amp;BQ22),"")</f>
        <v>28.1001769866914</v>
      </c>
      <c r="AM22" s="65" t="n">
        <f aca="false">IF(AL22="",0,MAX(0,MIN(1,(IF(BY22="L1",Parameter!$E$5,Parameter!$E$6+Parameter!$E$7)-(AL22-AH22))/AH22)))</f>
        <v>1</v>
      </c>
      <c r="AN22" s="57" t="n">
        <f aca="false">IF(LEFT(Cockpit!$I$5,1)="A",H22,IF(CA22=1,CB22,IF(LEFT(Cockpit!$I$5,1)="B",AR22,MAX(AR22,H22))))</f>
        <v>16</v>
      </c>
      <c r="AO22" s="57" t="n">
        <f aca="false">IF(BT22=1,0,ROUNDUP(AN22/BS22,0))</f>
        <v>0</v>
      </c>
      <c r="AP22" s="59" t="n">
        <f aca="false">IF(CH22&gt;0,CH22*MAX(1,AN22/X22),IF(BT22=1,IF(AN22&lt;=0,0,BW22*MAX(1,IF(H22&gt;0,AN22/H22,1))),IF(R22&gt;0,AO22/R22,0))/MAX(0.1,N(Parameter!$M$21)))</f>
        <v>1.7608286252354</v>
      </c>
      <c r="AQ22" s="57" t="n">
        <f aca="false">AN22*G22</f>
        <v>41400.96</v>
      </c>
      <c r="AR22" s="57" t="n">
        <f aca="false">ROUNDUP(MAX(J22/IF(BZ22&gt;0,BZ22,MAX(0.1,N(Cockpit!$I$6))),CC22)/BS22,0)*BS22</f>
        <v>15</v>
      </c>
      <c r="AS22" s="58" t="n">
        <f aca="false">IF(AP22&gt;0,J22/AP22,-1)</f>
        <v>16.4695187165775</v>
      </c>
      <c r="AT22" s="58" t="n">
        <f aca="false">IF(AND(OR(BY22="L1",BY22="L23"),AP22&gt;0),SUMIFS($AP$7:$AP$1843,$BY$7:$BY$1843,BY22,$AS$7:$AS$1843,"&gt;"&amp;AS22)+SUMIFS($AP$7:$AP$1843,$BY$7:$BY$1843,BY22,$AS$7:$AS$1843,AS22,$BQ$7:$BQ$1843,"&lt;="&amp;BQ22),"")</f>
        <v>41.3588326436521</v>
      </c>
      <c r="AU22" s="65" t="n">
        <f aca="false">IF(AT22="",0,MAX(0,MIN(1,(IF(BY22="L1",Parameter!$E$5,Parameter!$E$6+Parameter!$E$7)-(AT22-AP22))/AP22)))</f>
        <v>1</v>
      </c>
      <c r="AV22" s="57" t="n">
        <f aca="false">IF(LEFT(Cockpit!$O$5,1)="A",H22,IF(CA22=1,CB22,IF(LEFT(Cockpit!$O$5,1)="B",AZ22,MAX(AZ22,H22))))</f>
        <v>16</v>
      </c>
      <c r="AW22" s="57" t="n">
        <f aca="false">IF(BT22=1,0,ROUNDUP(AV22/BS22,0))</f>
        <v>0</v>
      </c>
      <c r="AX22" s="59" t="n">
        <f aca="false">IF(CH22&gt;0,CH22*MAX(1,AV22/X22),IF(BT22=1,IF(AV22&lt;=0,0,BW22*MAX(1,IF(H22&gt;0,AV22/H22,1))),IF(R22&gt;0,AW22/R22,0))/MAX(0.1,N(Parameter!$M$21)))</f>
        <v>1.7608286252354</v>
      </c>
      <c r="AY22" s="57" t="n">
        <f aca="false">AV22*G22</f>
        <v>41400.96</v>
      </c>
      <c r="AZ22" s="57" t="n">
        <f aca="false">ROUNDUP(MAX(J22/IF(BZ22&gt;0,BZ22,MAX(0.1,N(Cockpit!$O$6))),CC22)/BS22,0)*BS22</f>
        <v>13</v>
      </c>
      <c r="BA22" s="58" t="n">
        <f aca="false">IF(AX22&gt;0,J22/AX22,-1)</f>
        <v>16.4695187165775</v>
      </c>
      <c r="BB22" s="58" t="n">
        <f aca="false">IF(AND(OR(BY22="L1",BY22="L23"),AX22&gt;0),SUMIFS($AX$7:$AX$1843,$BY$7:$BY$1843,BY22,$BA$7:$BA$1843,"&gt;"&amp;BA22)+SUMIFS($AX$7:$AX$1843,$BY$7:$BY$1843,BY22,$BA$7:$BA$1843,BA22,$BQ$7:$BQ$1843,"&lt;="&amp;BQ22),"")</f>
        <v>35.0256441748704</v>
      </c>
      <c r="BC22" s="65" t="n">
        <f aca="false">IF(BB22="",0,MAX(0,MIN(1,(IF(BY22="L1",Parameter!$E$5,Parameter!$E$6+Parameter!$E$7)-(BB22-AX22))/AX22)))</f>
        <v>1</v>
      </c>
      <c r="BD22" s="55" t="str">
        <f aca="false">IF(AH22&lt;=0,"",IF(BY22="Aussen","Aussenlager",IF(BY22="-","Nicht im Lift",IF(AM22&gt;=1,"Lift",IF(AM22&lt;=0,"Aussenlager","teilweise")))))</f>
        <v>Lift</v>
      </c>
      <c r="BE22" s="55" t="str">
        <f aca="false">IF(AP22&lt;=0,"",IF(BY22="Aussen","Aussenlager",IF(BY22="-","Nicht im Lift",IF(AU22&gt;=1,"Lift",IF(AU22&lt;=0,"Aussenlager","teilweise")))))</f>
        <v>Lift</v>
      </c>
      <c r="BF22" s="55" t="str">
        <f aca="false">IF(AX22&lt;=0,"",IF(BY22="Aussen","Aussenlager",IF(BY22="-","Nicht im Lift",IF(BC22&gt;=1,"Lift",IF(BC22&lt;=0,"Aussenlager","teilweise")))))</f>
        <v>Lift</v>
      </c>
      <c r="BG22" s="55" t="str">
        <f aca="false">IF(A22="","",IF(BP22=1,"Neu; ","")&amp;IF(AND(BP22=0,BK22&lt;0),"negativer Bestand (Export "&amp;BK22&amp;"); ","")&amp;IF(J22&lt;=0,"Kein Verbrauch; ","")&amp;IF(CH22&gt;0,"Lift "&amp;W22&amp;" lt. Liftbericht (Fach "&amp;X22&amp;" Stk); ",IF(BU22=1,"Gebinde geschätzt ("&amp;T22&amp;"); ",IF(BT22=1,"Lose – Tablare geschätzt; ","")))&amp;IF(H22&gt;AR22,"Überbestand "&amp;ROUND(H22-AR22,0)&amp;" Stk / CHF "&amp;ROUND((H22-AR22)*G22,0)&amp;"; ","")&amp;IF(AND(CA22=1,CB22&lt;CC22),"MAX &lt; MB+LG; ","")&amp;IF(AND(CG22&gt;0,CF22*10&gt;CG22),"zu hoch für Tablar; ","")&amp;IF(AND(BP22=0,OR(CA22=1,AA22&lt;&gt;"",U22&lt;&gt;"",V22&lt;&gt;"",AB22&lt;&gt;"")),"manuell übersteuert; ","")&amp;IF(AND(BT22=0,R22=0),"Gebinde unbekannt / Stellmass fehlt; ","")&amp;IF(AND(BT22=0,N(V22)&lt;=0,N(Q22)&lt;=0),"Menge pro Gebinde fehlt (Ist = 1 Gebinde); ","")&amp;BO22)</f>
        <v>Lift 1 lt. Liftbericht (Fach 22 Stk); Überbestand 1 Stk / CHF 2588; </v>
      </c>
      <c r="BH22" s="55" t="s">
        <v>211</v>
      </c>
      <c r="BI22" s="55"/>
      <c r="BJ22" s="62"/>
      <c r="BK22" s="57" t="n">
        <v>7</v>
      </c>
      <c r="BL22" s="57" t="n">
        <v>3</v>
      </c>
      <c r="BM22" s="56" t="n">
        <v>17583.76</v>
      </c>
      <c r="BN22" s="57" t="n">
        <v>29</v>
      </c>
      <c r="BO22" s="55"/>
      <c r="BP22" s="60" t="n">
        <v>0</v>
      </c>
      <c r="BQ22" s="60" t="n">
        <v>22</v>
      </c>
      <c r="BR22" s="55" t="str">
        <f aca="false">IF(U22&lt;&gt;"",UPPER(TRIM(U22)),IF(BU22=1,UPPER(VLOOKUP(T22,Parameter!$I$27:$K$29,2,0)),IF(P22="","LOSE",P22)))</f>
        <v>LOSE</v>
      </c>
      <c r="BS22" s="57" t="n">
        <f aca="false">IF(BR22="LOSE",1,IF(N(V22)&gt;0,V22,IF(BU22=1,MAX(1,N(VLOOKUP(T22,Parameter!$I$27:$K$29,3,0)),H22,N(N22)),IF(N(Q22)&gt;0,Q22,MAX(1,H22)))))</f>
        <v>1</v>
      </c>
      <c r="BT22" s="60" t="n">
        <f aca="false">IF(BR22="LOSE",1,0)</f>
        <v>1</v>
      </c>
      <c r="BU22" s="60" t="n">
        <f aca="false">IF(AND(U22="",OR(P22="",P22="LOSE"),T22&lt;&gt;"",N(S22)&lt;=0,ISNUMBER(MATCH(T22,Parameter!$I$27:$I$29,0))),1,0)</f>
        <v>0</v>
      </c>
      <c r="BV22" s="55" t="n">
        <f aca="false">IF(AND(Parameter!$B$19="Ja",E22&lt;&gt;"",ISNUMBER(MATCH(E22,Parameter!$I$35:$I$52,0))),VLOOKUP(E22,Parameter!$I$35:$J$52,2,0),IFERROR(VLOOKUP(D22,Parameter!$A$35:$C$64,2,0),"Nein"))</f>
        <v>1</v>
      </c>
      <c r="BW22" s="59" t="n">
        <f aca="false">IF(BT22=0,0,IF(N(S22)&gt;0,S22,IFERROR(VLOOKUP(D22,Parameter!$A$35:$C$64,3,0)+0,0)))</f>
        <v>1</v>
      </c>
      <c r="BX22" s="55" t="n">
        <f aca="false">IF(AA22&lt;&gt;"",AA22,Z22)</f>
        <v>1</v>
      </c>
      <c r="BY22" s="55" t="str">
        <f aca="false">IF(BX22=1,"L1",IF(OR(BX22=2,BX22=3),"L23",IF(BX22="Aussen","Aussen","-")))</f>
        <v>L1</v>
      </c>
      <c r="BZ22" s="66" t="n">
        <f aca="false">IF(N(AB22)&gt;0,AB22,0)</f>
        <v>0</v>
      </c>
      <c r="CA22" s="60" t="n">
        <f aca="false">IF(ISNUMBER(AE22),1,0)</f>
        <v>0</v>
      </c>
      <c r="CB22" s="57" t="n">
        <f aca="false">N(AE22)</f>
        <v>0</v>
      </c>
      <c r="CC22" s="57" t="n">
        <f aca="false">N(M22)+N(N22)</f>
        <v>13</v>
      </c>
      <c r="CD22" s="57" t="n">
        <f aca="false">ROUNDUP(H22/BS22,0)</f>
        <v>16</v>
      </c>
      <c r="CE22" s="57" t="n">
        <f aca="false">ROUNDUP(CB22/BS22,0)</f>
        <v>0</v>
      </c>
      <c r="CF22" s="60" t="n">
        <f aca="false">IF(BT22=1,0,IFERROR(VLOOKUP(BR22,'Gebinde-Kategorie'!$A$5:$M$45,5,0)+0,0))</f>
        <v>0</v>
      </c>
      <c r="CG22" s="60" t="n">
        <f aca="false">IFERROR(IF(OR(BX22=1,BX22=2,BX22=3),N(INDEX(Parameter!$I$5:$I$7,BX22)),0),0)</f>
        <v>0</v>
      </c>
      <c r="CH22" s="59" t="n">
        <f aca="false">IF(AND(Parameter!$B$21="Ja",ISNUMBER(W22),N(X22)&gt;0),IFERROR(N(INDEX(Parameter!$L$5:$L$7,W22))*INDEX(Parameter!$E$5:$E$7,W22)*X22/SUMIFS($X$7:$X$1843,$W$7:$W$1843,W22),0),0)</f>
        <v>1.7608286252354</v>
      </c>
    </row>
    <row r="23" customFormat="false" ht="15" hidden="false" customHeight="false" outlineLevel="0" collapsed="false">
      <c r="A23" s="55" t="s">
        <v>212</v>
      </c>
      <c r="B23" s="55" t="s">
        <v>213</v>
      </c>
      <c r="C23" s="55" t="s">
        <v>164</v>
      </c>
      <c r="D23" s="55" t="s">
        <v>173</v>
      </c>
      <c r="E23" s="55" t="s">
        <v>185</v>
      </c>
      <c r="F23" s="55" t="s">
        <v>201</v>
      </c>
      <c r="G23" s="56" t="n">
        <v>211.01</v>
      </c>
      <c r="H23" s="57" t="n">
        <f aca="false">MAX(0,IF(AND(Parameter!$B$21="Ja",ISNUMBER(Y23)),Y23,IF(Parameter!$B$20="Jahresanfang 2025 + Export",BL23+BK23,BK23)))</f>
        <v>131</v>
      </c>
      <c r="I23" s="57" t="n">
        <f aca="false">H23*G23</f>
        <v>27642.31</v>
      </c>
      <c r="J23" s="57" t="n">
        <f aca="false">BN23*Parameter!$B$18</f>
        <v>337</v>
      </c>
      <c r="K23" s="58" t="n">
        <v>52.5</v>
      </c>
      <c r="L23" s="59" t="n">
        <v>6.41904761904762</v>
      </c>
      <c r="M23" s="57" t="n">
        <v>19</v>
      </c>
      <c r="N23" s="57" t="n">
        <v>60</v>
      </c>
      <c r="O23" s="60" t="n">
        <v>21</v>
      </c>
      <c r="P23" s="55" t="s">
        <v>186</v>
      </c>
      <c r="Q23" s="57" t="n">
        <v>42</v>
      </c>
      <c r="R23" s="60" t="n">
        <f aca="false">IF(BT23=1,0,IFERROR(VLOOKUP(BR23,'Gebinde-Kategorie'!$A$5:$M$45,13,0)+0,0))</f>
        <v>12</v>
      </c>
      <c r="S23" s="61"/>
      <c r="T23" s="62"/>
      <c r="U23" s="62"/>
      <c r="V23" s="62"/>
      <c r="W23" s="55"/>
      <c r="X23" s="57"/>
      <c r="Y23" s="57"/>
      <c r="Z23" s="55" t="n">
        <f aca="false">IF(A23="","",IF(AND(Parameter!$B$21="Ja",ISNUMBER(W23)),W23,IF(BV23="2+3",IF(ISNUMBER(SEARCH("grosser Artikel",BO23)),2,IFERROR(VLOOKUP(BR23,Parameter!$F$35:$G$64,2,0),2)),IF(OR(BV23="Nein",BV23=""),"-",BV23))))</f>
        <v>2</v>
      </c>
      <c r="AA23" s="62"/>
      <c r="AB23" s="63"/>
      <c r="AC23" s="57" t="n">
        <f aca="false">AR23</f>
        <v>210</v>
      </c>
      <c r="AD23" s="57" t="n">
        <f aca="false">MAX(AR23,H23)</f>
        <v>210</v>
      </c>
      <c r="AE23" s="64"/>
      <c r="AF23" s="57" t="n">
        <f aca="false">IF(LEFT(Cockpit!$C$5,1)="A",H23,IF(CA23=1,CB23,IF(LEFT(Cockpit!$C$5,1)="B",AJ23,MAX(AJ23,H23))))</f>
        <v>131</v>
      </c>
      <c r="AG23" s="57" t="n">
        <f aca="false">IF(BT23=1,0,ROUNDUP(AF23/BS23,0))</f>
        <v>4</v>
      </c>
      <c r="AH23" s="59" t="n">
        <f aca="false">IF(CH23&gt;0,CH23*MAX(1,AF23/X23),IF(BT23=1,IF(AF23&lt;=0,0,BW23*MAX(1,IF(H23&gt;0,AF23/H23,1))),IF(R23&gt;0,AG23/R23,0))/MAX(0.1,N(Parameter!$M$21)))</f>
        <v>0.333333333333333</v>
      </c>
      <c r="AI23" s="57" t="n">
        <f aca="false">AF23*G23</f>
        <v>27642.31</v>
      </c>
      <c r="AJ23" s="57" t="n">
        <f aca="false">ROUNDUP(MAX(J23/IF(BZ23&gt;0,BZ23,MAX(0.1,N(Cockpit!$C$6))),CC23)/BS23,0)*BS23</f>
        <v>210</v>
      </c>
      <c r="AK23" s="58" t="n">
        <f aca="false">IF(AH23&gt;0,J23/AH23,-1)</f>
        <v>1011</v>
      </c>
      <c r="AL23" s="58" t="n">
        <f aca="false">IF(AND(OR(BY23="L1",BY23="L23"),AH23&gt;0),SUMIFS($AH$7:$AH$1843,$BY$7:$BY$1843,BY23,$AK$7:$AK$1843,"&gt;"&amp;AK23)+SUMIFS($AH$7:$AH$1843,$BY$7:$BY$1843,BY23,$AK$7:$AK$1843,AK23,$BQ$7:$BQ$1843,"&lt;="&amp;BQ23),"")</f>
        <v>17.7177713590757</v>
      </c>
      <c r="AM23" s="65" t="n">
        <f aca="false">IF(AL23="",0,MAX(0,MIN(1,(IF(BY23="L1",Parameter!$E$5,Parameter!$E$6+Parameter!$E$7)-(AL23-AH23))/AH23)))</f>
        <v>1</v>
      </c>
      <c r="AN23" s="57" t="n">
        <f aca="false">IF(LEFT(Cockpit!$I$5,1)="A",H23,IF(CA23=1,CB23,IF(LEFT(Cockpit!$I$5,1)="B",AR23,MAX(AR23,H23))))</f>
        <v>210</v>
      </c>
      <c r="AO23" s="57" t="n">
        <f aca="false">IF(BT23=1,0,ROUNDUP(AN23/BS23,0))</f>
        <v>5</v>
      </c>
      <c r="AP23" s="59" t="n">
        <f aca="false">IF(CH23&gt;0,CH23*MAX(1,AN23/X23),IF(BT23=1,IF(AN23&lt;=0,0,BW23*MAX(1,IF(H23&gt;0,AN23/H23,1))),IF(R23&gt;0,AO23/R23,0))/MAX(0.1,N(Parameter!$M$21)))</f>
        <v>0.416666666666667</v>
      </c>
      <c r="AQ23" s="57" t="n">
        <f aca="false">AN23*G23</f>
        <v>44312.1</v>
      </c>
      <c r="AR23" s="57" t="n">
        <f aca="false">ROUNDUP(MAX(J23/IF(BZ23&gt;0,BZ23,MAX(0.1,N(Cockpit!$I$6))),CC23)/BS23,0)*BS23</f>
        <v>210</v>
      </c>
      <c r="AS23" s="58" t="n">
        <f aca="false">IF(AP23&gt;0,J23/AP23,-1)</f>
        <v>808.8</v>
      </c>
      <c r="AT23" s="58" t="n">
        <f aca="false">IF(AND(OR(BY23="L1",BY23="L23"),AP23&gt;0),SUMIFS($AP$7:$AP$1843,$BY$7:$BY$1843,BY23,$AS$7:$AS$1843,"&gt;"&amp;AS23)+SUMIFS($AP$7:$AP$1843,$BY$7:$BY$1843,BY23,$AS$7:$AS$1843,AS23,$BQ$7:$BQ$1843,"&lt;="&amp;BQ23),"")</f>
        <v>26.37159217594</v>
      </c>
      <c r="AU23" s="65" t="n">
        <f aca="false">IF(AT23="",0,MAX(0,MIN(1,(IF(BY23="L1",Parameter!$E$5,Parameter!$E$6+Parameter!$E$7)-(AT23-AP23))/AP23)))</f>
        <v>1</v>
      </c>
      <c r="AV23" s="57" t="n">
        <f aca="false">IF(LEFT(Cockpit!$O$5,1)="A",H23,IF(CA23=1,CB23,IF(LEFT(Cockpit!$O$5,1)="B",AZ23,MAX(AZ23,H23))))</f>
        <v>131</v>
      </c>
      <c r="AW23" s="57" t="n">
        <f aca="false">IF(BT23=1,0,ROUNDUP(AV23/BS23,0))</f>
        <v>4</v>
      </c>
      <c r="AX23" s="59" t="n">
        <f aca="false">IF(CH23&gt;0,CH23*MAX(1,AV23/X23),IF(BT23=1,IF(AV23&lt;=0,0,BW23*MAX(1,IF(H23&gt;0,AV23/H23,1))),IF(R23&gt;0,AW23/R23,0))/MAX(0.1,N(Parameter!$M$21)))</f>
        <v>0.333333333333333</v>
      </c>
      <c r="AY23" s="57" t="n">
        <f aca="false">AV23*G23</f>
        <v>27642.31</v>
      </c>
      <c r="AZ23" s="57" t="n">
        <f aca="false">ROUNDUP(MAX(J23/IF(BZ23&gt;0,BZ23,MAX(0.1,N(Cockpit!$O$6))),CC23)/BS23,0)*BS23</f>
        <v>126</v>
      </c>
      <c r="BA23" s="58" t="n">
        <f aca="false">IF(AX23&gt;0,J23/AX23,-1)</f>
        <v>1011</v>
      </c>
      <c r="BB23" s="58" t="n">
        <f aca="false">IF(AND(OR(BY23="L1",BY23="L23"),AX23&gt;0),SUMIFS($AX$7:$AX$1843,$BY$7:$BY$1843,BY23,$BA$7:$BA$1843,"&gt;"&amp;BA23)+SUMIFS($AX$7:$AX$1843,$BY$7:$BY$1843,BY23,$BA$7:$BA$1843,BA23,$BQ$7:$BQ$1843,"&lt;="&amp;BQ23),"")</f>
        <v>23.08069828722</v>
      </c>
      <c r="BC23" s="65" t="n">
        <f aca="false">IF(BB23="",0,MAX(0,MIN(1,(IF(BY23="L1",Parameter!$E$5,Parameter!$E$6+Parameter!$E$7)-(BB23-AX23))/AX23)))</f>
        <v>1</v>
      </c>
      <c r="BD23" s="55" t="str">
        <f aca="false">IF(AH23&lt;=0,"",IF(BY23="Aussen","Aussenlager",IF(BY23="-","Nicht im Lift",IF(AM23&gt;=1,"Lift",IF(AM23&lt;=0,"Aussenlager","teilweise")))))</f>
        <v>Lift</v>
      </c>
      <c r="BE23" s="55" t="str">
        <f aca="false">IF(AP23&lt;=0,"",IF(BY23="Aussen","Aussenlager",IF(BY23="-","Nicht im Lift",IF(AU23&gt;=1,"Lift",IF(AU23&lt;=0,"Aussenlager","teilweise")))))</f>
        <v>Lift</v>
      </c>
      <c r="BF23" s="55" t="str">
        <f aca="false">IF(AX23&lt;=0,"",IF(BY23="Aussen","Aussenlager",IF(BY23="-","Nicht im Lift",IF(BC23&gt;=1,"Lift",IF(BC23&lt;=0,"Aussenlager","teilweise")))))</f>
        <v>Lift</v>
      </c>
      <c r="BG23" s="55" t="str">
        <f aca="false">IF(A23="","",IF(BP23=1,"Neu; ","")&amp;IF(AND(BP23=0,BK23&lt;0),"negativer Bestand (Export "&amp;BK23&amp;"); ","")&amp;IF(J23&lt;=0,"Kein Verbrauch; ","")&amp;IF(CH23&gt;0,"Lift "&amp;W23&amp;" lt. Liftbericht (Fach "&amp;X23&amp;" Stk); ",IF(BU23=1,"Gebinde geschätzt ("&amp;T23&amp;"); ",IF(BT23=1,"Lose – Tablare geschätzt; ","")))&amp;IF(H23&gt;AR23,"Überbestand "&amp;ROUND(H23-AR23,0)&amp;" Stk / CHF "&amp;ROUND((H23-AR23)*G23,0)&amp;"; ","")&amp;IF(AND(CA23=1,CB23&lt;CC23),"MAX &lt; MB+LG; ","")&amp;IF(AND(CG23&gt;0,CF23*10&gt;CG23),"zu hoch für Tablar; ","")&amp;IF(AND(BP23=0,OR(CA23=1,AA23&lt;&gt;"",U23&lt;&gt;"",V23&lt;&gt;"",AB23&lt;&gt;"")),"manuell übersteuert; ","")&amp;IF(AND(BT23=0,R23=0),"Gebinde unbekannt / Stellmass fehlt; ","")&amp;IF(AND(BT23=0,N(V23)&lt;=0,N(Q23)&lt;=0),"Menge pro Gebinde fehlt (Ist = 1 Gebinde); ","")&amp;BO23)</f>
        <v/>
      </c>
      <c r="BH23" s="55" t="s">
        <v>214</v>
      </c>
      <c r="BI23" s="55" t="s">
        <v>215</v>
      </c>
      <c r="BJ23" s="62"/>
      <c r="BK23" s="57" t="n">
        <v>90</v>
      </c>
      <c r="BL23" s="57" t="n">
        <v>41</v>
      </c>
      <c r="BM23" s="56" t="n">
        <v>17462.83</v>
      </c>
      <c r="BN23" s="57" t="n">
        <v>337</v>
      </c>
      <c r="BO23" s="55"/>
      <c r="BP23" s="60" t="n">
        <v>0</v>
      </c>
      <c r="BQ23" s="60" t="n">
        <v>23</v>
      </c>
      <c r="BR23" s="55" t="str">
        <f aca="false">IF(U23&lt;&gt;"",UPPER(TRIM(U23)),IF(BU23=1,UPPER(VLOOKUP(T23,Parameter!$I$27:$K$29,2,0)),IF(P23="","LOSE",P23)))</f>
        <v>S61</v>
      </c>
      <c r="BS23" s="57" t="n">
        <f aca="false">IF(BR23="LOSE",1,IF(N(V23)&gt;0,V23,IF(BU23=1,MAX(1,N(VLOOKUP(T23,Parameter!$I$27:$K$29,3,0)),H23,N(N23)),IF(N(Q23)&gt;0,Q23,MAX(1,H23)))))</f>
        <v>42</v>
      </c>
      <c r="BT23" s="60" t="n">
        <f aca="false">IF(BR23="LOSE",1,0)</f>
        <v>0</v>
      </c>
      <c r="BU23" s="60" t="n">
        <f aca="false">IF(AND(U23="",OR(P23="",P23="LOSE"),T23&lt;&gt;"",N(S23)&lt;=0,ISNUMBER(MATCH(T23,Parameter!$I$27:$I$29,0))),1,0)</f>
        <v>0</v>
      </c>
      <c r="BV23" s="55" t="str">
        <f aca="false">IF(AND(Parameter!$B$19="Ja",E23&lt;&gt;"",ISNUMBER(MATCH(E23,Parameter!$I$35:$I$52,0))),VLOOKUP(E23,Parameter!$I$35:$J$52,2,0),IFERROR(VLOOKUP(D23,Parameter!$A$35:$C$64,2,0),"Nein"))</f>
        <v>2+3</v>
      </c>
      <c r="BW23" s="59" t="n">
        <f aca="false">IF(BT23=0,0,IF(N(S23)&gt;0,S23,IFERROR(VLOOKUP(D23,Parameter!$A$35:$C$64,3,0)+0,0)))</f>
        <v>0</v>
      </c>
      <c r="BX23" s="55" t="n">
        <f aca="false">IF(AA23&lt;&gt;"",AA23,Z23)</f>
        <v>2</v>
      </c>
      <c r="BY23" s="55" t="str">
        <f aca="false">IF(BX23=1,"L1",IF(OR(BX23=2,BX23=3),"L23",IF(BX23="Aussen","Aussen","-")))</f>
        <v>L23</v>
      </c>
      <c r="BZ23" s="66" t="n">
        <f aca="false">IF(N(AB23)&gt;0,AB23,0)</f>
        <v>0</v>
      </c>
      <c r="CA23" s="60" t="n">
        <f aca="false">IF(ISNUMBER(AE23),1,0)</f>
        <v>0</v>
      </c>
      <c r="CB23" s="57" t="n">
        <f aca="false">N(AE23)</f>
        <v>0</v>
      </c>
      <c r="CC23" s="57" t="n">
        <f aca="false">N(M23)+N(N23)</f>
        <v>79</v>
      </c>
      <c r="CD23" s="57" t="n">
        <f aca="false">ROUNDUP(H23/BS23,0)</f>
        <v>4</v>
      </c>
      <c r="CE23" s="57" t="n">
        <f aca="false">ROUNDUP(CB23/BS23,0)</f>
        <v>0</v>
      </c>
      <c r="CF23" s="60" t="n">
        <f aca="false">IF(BT23=1,0,IFERROR(VLOOKUP(BR23,'Gebinde-Kategorie'!$A$5:$M$45,5,0)+0,0))</f>
        <v>11</v>
      </c>
      <c r="CG23" s="60" t="n">
        <f aca="false">IFERROR(IF(OR(BX23=1,BX23=2,BX23=3),N(INDEX(Parameter!$I$5:$I$7,BX23)),0),0)</f>
        <v>0</v>
      </c>
      <c r="CH23" s="59" t="n">
        <f aca="false">IF(AND(Parameter!$B$21="Ja",ISNUMBER(W23),N(X23)&gt;0),IFERROR(N(INDEX(Parameter!$L$5:$L$7,W23))*INDEX(Parameter!$E$5:$E$7,W23)*X23/SUMIFS($X$7:$X$1843,$W$7:$W$1843,W23),0),0)</f>
        <v>0</v>
      </c>
    </row>
    <row r="24" customFormat="false" ht="15" hidden="false" customHeight="false" outlineLevel="0" collapsed="false">
      <c r="A24" s="55" t="s">
        <v>216</v>
      </c>
      <c r="B24" s="55" t="s">
        <v>217</v>
      </c>
      <c r="C24" s="55" t="s">
        <v>164</v>
      </c>
      <c r="D24" s="55" t="s">
        <v>173</v>
      </c>
      <c r="E24" s="55"/>
      <c r="F24" s="55" t="s">
        <v>218</v>
      </c>
      <c r="G24" s="56" t="n">
        <v>146.39</v>
      </c>
      <c r="H24" s="57" t="n">
        <f aca="false">MAX(0,IF(AND(Parameter!$B$21="Ja",ISNUMBER(Y24)),Y24,IF(Parameter!$B$20="Jahresanfang 2025 + Export",BL24+BK24,BK24)))</f>
        <v>114</v>
      </c>
      <c r="I24" s="57" t="n">
        <f aca="false">H24*G24</f>
        <v>16688.46</v>
      </c>
      <c r="J24" s="57" t="n">
        <f aca="false">BN24*Parameter!$B$18</f>
        <v>0</v>
      </c>
      <c r="K24" s="58" t="n">
        <v>19.5</v>
      </c>
      <c r="L24" s="59" t="n">
        <v>0</v>
      </c>
      <c r="M24" s="57" t="n">
        <v>0</v>
      </c>
      <c r="N24" s="57" t="n">
        <v>1</v>
      </c>
      <c r="O24" s="60" t="n">
        <v>0</v>
      </c>
      <c r="P24" s="55" t="s">
        <v>168</v>
      </c>
      <c r="Q24" s="57"/>
      <c r="R24" s="60" t="n">
        <f aca="false">IF(BT24=1,0,IFERROR(VLOOKUP(BR24,'Gebinde-Kategorie'!$A$5:$M$45,13,0)+0,0))</f>
        <v>3</v>
      </c>
      <c r="S24" s="61"/>
      <c r="T24" s="62" t="s">
        <v>189</v>
      </c>
      <c r="U24" s="62"/>
      <c r="V24" s="62"/>
      <c r="W24" s="55"/>
      <c r="X24" s="57"/>
      <c r="Y24" s="57"/>
      <c r="Z24" s="55" t="n">
        <f aca="false">IF(A24="","",IF(AND(Parameter!$B$21="Ja",ISNUMBER(W24)),W24,IF(BV24="2+3",IF(ISNUMBER(SEARCH("grosser Artikel",BO24)),2,IFERROR(VLOOKUP(BR24,Parameter!$F$35:$G$64,2,0),2)),IF(OR(BV24="Nein",BV24=""),"-",BV24))))</f>
        <v>2</v>
      </c>
      <c r="AA24" s="62"/>
      <c r="AB24" s="63"/>
      <c r="AC24" s="57" t="n">
        <f aca="false">AR24</f>
        <v>114</v>
      </c>
      <c r="AD24" s="57" t="n">
        <f aca="false">MAX(AR24,H24)</f>
        <v>114</v>
      </c>
      <c r="AE24" s="64"/>
      <c r="AF24" s="57" t="n">
        <f aca="false">IF(LEFT(Cockpit!$C$5,1)="A",H24,IF(CA24=1,CB24,IF(LEFT(Cockpit!$C$5,1)="B",AJ24,MAX(AJ24,H24))))</f>
        <v>114</v>
      </c>
      <c r="AG24" s="57" t="n">
        <f aca="false">IF(BT24=1,0,ROUNDUP(AF24/BS24,0))</f>
        <v>1</v>
      </c>
      <c r="AH24" s="59" t="n">
        <f aca="false">IF(CH24&gt;0,CH24*MAX(1,AF24/X24),IF(BT24=1,IF(AF24&lt;=0,0,BW24*MAX(1,IF(H24&gt;0,AF24/H24,1))),IF(R24&gt;0,AG24/R24,0))/MAX(0.1,N(Parameter!$M$21)))</f>
        <v>0.333333333333333</v>
      </c>
      <c r="AI24" s="57" t="n">
        <f aca="false">AF24*G24</f>
        <v>16688.46</v>
      </c>
      <c r="AJ24" s="57" t="n">
        <f aca="false">ROUNDUP(MAX(J24/IF(BZ24&gt;0,BZ24,MAX(0.1,N(Cockpit!$C$6))),CC24)/BS24,0)*BS24</f>
        <v>114</v>
      </c>
      <c r="AK24" s="58" t="n">
        <f aca="false">IF(AH24&gt;0,J24/AH24,-1)</f>
        <v>0</v>
      </c>
      <c r="AL24" s="58" t="n">
        <f aca="false">IF(AND(OR(BY24="L1",BY24="L23"),AH24&gt;0),SUMIFS($AH$7:$AH$1843,$BY$7:$BY$1843,BY24,$AK$7:$AK$1843,"&gt;"&amp;AK24)+SUMIFS($AH$7:$AH$1843,$BY$7:$BY$1843,BY24,$AK$7:$AK$1843,AK24,$BQ$7:$BQ$1843,"&lt;="&amp;BQ24),"")</f>
        <v>66.580411134759</v>
      </c>
      <c r="AM24" s="65" t="n">
        <f aca="false">IF(AL24="",0,MAX(0,MIN(1,(IF(BY24="L1",Parameter!$E$5,Parameter!$E$6+Parameter!$E$7)-(AL24-AH24))/AH24)))</f>
        <v>1</v>
      </c>
      <c r="AN24" s="57" t="n">
        <f aca="false">IF(LEFT(Cockpit!$I$5,1)="A",H24,IF(CA24=1,CB24,IF(LEFT(Cockpit!$I$5,1)="B",AR24,MAX(AR24,H24))))</f>
        <v>114</v>
      </c>
      <c r="AO24" s="57" t="n">
        <f aca="false">IF(BT24=1,0,ROUNDUP(AN24/BS24,0))</f>
        <v>1</v>
      </c>
      <c r="AP24" s="59" t="n">
        <f aca="false">IF(CH24&gt;0,CH24*MAX(1,AN24/X24),IF(BT24=1,IF(AN24&lt;=0,0,BW24*MAX(1,IF(H24&gt;0,AN24/H24,1))),IF(R24&gt;0,AO24/R24,0))/MAX(0.1,N(Parameter!$M$21)))</f>
        <v>0.333333333333333</v>
      </c>
      <c r="AQ24" s="57" t="n">
        <f aca="false">AN24*G24</f>
        <v>16688.46</v>
      </c>
      <c r="AR24" s="57" t="n">
        <f aca="false">ROUNDUP(MAX(J24/IF(BZ24&gt;0,BZ24,MAX(0.1,N(Cockpit!$I$6))),CC24)/BS24,0)*BS24</f>
        <v>114</v>
      </c>
      <c r="AS24" s="58" t="n">
        <f aca="false">IF(AP24&gt;0,J24/AP24,-1)</f>
        <v>0</v>
      </c>
      <c r="AT24" s="58" t="n">
        <f aca="false">IF(AND(OR(BY24="L1",BY24="L23"),AP24&gt;0),SUMIFS($AP$7:$AP$1843,$BY$7:$BY$1843,BY24,$AS$7:$AS$1843,"&gt;"&amp;AS24)+SUMIFS($AP$7:$AP$1843,$BY$7:$BY$1843,BY24,$AS$7:$AS$1843,AS24,$BQ$7:$BQ$1843,"&lt;="&amp;BQ24),"")</f>
        <v>105.671201986419</v>
      </c>
      <c r="AU24" s="65" t="n">
        <f aca="false">IF(AT24="",0,MAX(0,MIN(1,(IF(BY24="L1",Parameter!$E$5,Parameter!$E$6+Parameter!$E$7)-(AT24-AP24))/AP24)))</f>
        <v>0</v>
      </c>
      <c r="AV24" s="57" t="n">
        <f aca="false">IF(LEFT(Cockpit!$O$5,1)="A",H24,IF(CA24=1,CB24,IF(LEFT(Cockpit!$O$5,1)="B",AZ24,MAX(AZ24,H24))))</f>
        <v>114</v>
      </c>
      <c r="AW24" s="57" t="n">
        <f aca="false">IF(BT24=1,0,ROUNDUP(AV24/BS24,0))</f>
        <v>1</v>
      </c>
      <c r="AX24" s="59" t="n">
        <f aca="false">IF(CH24&gt;0,CH24*MAX(1,AV24/X24),IF(BT24=1,IF(AV24&lt;=0,0,BW24*MAX(1,IF(H24&gt;0,AV24/H24,1))),IF(R24&gt;0,AW24/R24,0))/MAX(0.1,N(Parameter!$M$21)))</f>
        <v>0.333333333333333</v>
      </c>
      <c r="AY24" s="57" t="n">
        <f aca="false">AV24*G24</f>
        <v>16688.46</v>
      </c>
      <c r="AZ24" s="57" t="n">
        <f aca="false">ROUNDUP(MAX(J24/IF(BZ24&gt;0,BZ24,MAX(0.1,N(Cockpit!$O$6))),CC24)/BS24,0)*BS24</f>
        <v>114</v>
      </c>
      <c r="BA24" s="58" t="n">
        <f aca="false">IF(AX24&gt;0,J24/AX24,-1)</f>
        <v>0</v>
      </c>
      <c r="BB24" s="58" t="n">
        <f aca="false">IF(AND(OR(BY24="L1",BY24="L23"),AX24&gt;0),SUMIFS($AX$7:$AX$1843,$BY$7:$BY$1843,BY24,$BA$7:$BA$1843,"&gt;"&amp;BA24)+SUMIFS($AX$7:$AX$1843,$BY$7:$BY$1843,BY24,$BA$7:$BA$1843,BA24,$BQ$7:$BQ$1843,"&lt;="&amp;BQ24),"")</f>
        <v>96.5010388162562</v>
      </c>
      <c r="BC24" s="65" t="n">
        <f aca="false">IF(BB24="",0,MAX(0,MIN(1,(IF(BY24="L1",Parameter!$E$5,Parameter!$E$6+Parameter!$E$7)-(BB24-AX24))/AX24)))</f>
        <v>1</v>
      </c>
      <c r="BD24" s="55" t="str">
        <f aca="false">IF(AH24&lt;=0,"",IF(BY24="Aussen","Aussenlager",IF(BY24="-","Nicht im Lift",IF(AM24&gt;=1,"Lift",IF(AM24&lt;=0,"Aussenlager","teilweise")))))</f>
        <v>Lift</v>
      </c>
      <c r="BE24" s="55" t="str">
        <f aca="false">IF(AP24&lt;=0,"",IF(BY24="Aussen","Aussenlager",IF(BY24="-","Nicht im Lift",IF(AU24&gt;=1,"Lift",IF(AU24&lt;=0,"Aussenlager","teilweise")))))</f>
        <v>Aussenlager</v>
      </c>
      <c r="BF24" s="55" t="str">
        <f aca="false">IF(AX24&lt;=0,"",IF(BY24="Aussen","Aussenlager",IF(BY24="-","Nicht im Lift",IF(BC24&gt;=1,"Lift",IF(BC24&lt;=0,"Aussenlager","teilweise")))))</f>
        <v>Lift</v>
      </c>
      <c r="BG24" s="55" t="str">
        <f aca="false">IF(A24="","",IF(BP24=1,"Neu; ","")&amp;IF(AND(BP24=0,BK24&lt;0),"negativer Bestand (Export "&amp;BK24&amp;"); ","")&amp;IF(J24&lt;=0,"Kein Verbrauch; ","")&amp;IF(CH24&gt;0,"Lift "&amp;W24&amp;" lt. Liftbericht (Fach "&amp;X24&amp;" Stk); ",IF(BU24=1,"Gebinde geschätzt ("&amp;T24&amp;"); ",IF(BT24=1,"Lose – Tablare geschätzt; ","")))&amp;IF(H24&gt;AR24,"Überbestand "&amp;ROUND(H24-AR24,0)&amp;" Stk / CHF "&amp;ROUND((H24-AR24)*G24,0)&amp;"; ","")&amp;IF(AND(CA24=1,CB24&lt;CC24),"MAX &lt; MB+LG; ","")&amp;IF(AND(CG24&gt;0,CF24*10&gt;CG24),"zu hoch für Tablar; ","")&amp;IF(AND(BP24=0,OR(CA24=1,AA24&lt;&gt;"",U24&lt;&gt;"",V24&lt;&gt;"",AB24&lt;&gt;"")),"manuell übersteuert; ","")&amp;IF(AND(BT24=0,R24=0),"Gebinde unbekannt / Stellmass fehlt; ","")&amp;IF(AND(BT24=0,N(V24)&lt;=0,N(Q24)&lt;=0),"Menge pro Gebinde fehlt (Ist = 1 Gebinde); ","")&amp;BO24)</f>
        <v>Kein Verbrauch; Gebinde geschätzt (Gross); Menge pro Gebinde fehlt (Ist = 1 Gebinde); </v>
      </c>
      <c r="BH24" s="55"/>
      <c r="BI24" s="55"/>
      <c r="BJ24" s="62"/>
      <c r="BK24" s="57" t="n">
        <v>114</v>
      </c>
      <c r="BL24" s="57" t="n">
        <v>0</v>
      </c>
      <c r="BM24" s="56" t="n">
        <v>16688.46</v>
      </c>
      <c r="BN24" s="57" t="n">
        <v>0</v>
      </c>
      <c r="BO24" s="55"/>
      <c r="BP24" s="60" t="n">
        <v>0</v>
      </c>
      <c r="BQ24" s="60" t="n">
        <v>24</v>
      </c>
      <c r="BR24" s="55" t="str">
        <f aca="false">IF(U24&lt;&gt;"",UPPER(TRIM(U24)),IF(BU24=1,UPPER(VLOOKUP(T24,Parameter!$I$27:$K$29,2,0)),IF(P24="","LOSE",P24)))</f>
        <v>S81</v>
      </c>
      <c r="BS24" s="57" t="n">
        <f aca="false">IF(BR24="LOSE",1,IF(N(V24)&gt;0,V24,IF(BU24=1,MAX(1,N(VLOOKUP(T24,Parameter!$I$27:$K$29,3,0)),H24,N(N24)),IF(N(Q24)&gt;0,Q24,MAX(1,H24)))))</f>
        <v>114</v>
      </c>
      <c r="BT24" s="60" t="n">
        <f aca="false">IF(BR24="LOSE",1,0)</f>
        <v>0</v>
      </c>
      <c r="BU24" s="60" t="n">
        <f aca="false">IF(AND(U24="",OR(P24="",P24="LOSE"),T24&lt;&gt;"",N(S24)&lt;=0,ISNUMBER(MATCH(T24,Parameter!$I$27:$I$29,0))),1,0)</f>
        <v>1</v>
      </c>
      <c r="BV24" s="55" t="str">
        <f aca="false">IF(AND(Parameter!$B$19="Ja",E24&lt;&gt;"",ISNUMBER(MATCH(E24,Parameter!$I$35:$I$52,0))),VLOOKUP(E24,Parameter!$I$35:$J$52,2,0),IFERROR(VLOOKUP(D24,Parameter!$A$35:$C$64,2,0),"Nein"))</f>
        <v>2+3</v>
      </c>
      <c r="BW24" s="59" t="n">
        <f aca="false">IF(BT24=0,0,IF(N(S24)&gt;0,S24,IFERROR(VLOOKUP(D24,Parameter!$A$35:$C$64,3,0)+0,0)))</f>
        <v>0</v>
      </c>
      <c r="BX24" s="55" t="n">
        <f aca="false">IF(AA24&lt;&gt;"",AA24,Z24)</f>
        <v>2</v>
      </c>
      <c r="BY24" s="55" t="str">
        <f aca="false">IF(BX24=1,"L1",IF(OR(BX24=2,BX24=3),"L23",IF(BX24="Aussen","Aussen","-")))</f>
        <v>L23</v>
      </c>
      <c r="BZ24" s="66" t="n">
        <f aca="false">IF(N(AB24)&gt;0,AB24,0)</f>
        <v>0</v>
      </c>
      <c r="CA24" s="60" t="n">
        <f aca="false">IF(ISNUMBER(AE24),1,0)</f>
        <v>0</v>
      </c>
      <c r="CB24" s="57" t="n">
        <f aca="false">N(AE24)</f>
        <v>0</v>
      </c>
      <c r="CC24" s="57" t="n">
        <f aca="false">N(M24)+N(N24)</f>
        <v>1</v>
      </c>
      <c r="CD24" s="57" t="n">
        <f aca="false">ROUNDUP(H24/BS24,0)</f>
        <v>1</v>
      </c>
      <c r="CE24" s="57" t="n">
        <f aca="false">ROUNDUP(CB24/BS24,0)</f>
        <v>0</v>
      </c>
      <c r="CF24" s="60" t="n">
        <f aca="false">IF(BT24=1,0,IFERROR(VLOOKUP(BR24,'Gebinde-Kategorie'!$A$5:$M$45,5,0)+0,0))</f>
        <v>20</v>
      </c>
      <c r="CG24" s="60" t="n">
        <f aca="false">IFERROR(IF(OR(BX24=1,BX24=2,BX24=3),N(INDEX(Parameter!$I$5:$I$7,BX24)),0),0)</f>
        <v>0</v>
      </c>
      <c r="CH24" s="59" t="n">
        <f aca="false">IF(AND(Parameter!$B$21="Ja",ISNUMBER(W24),N(X24)&gt;0),IFERROR(N(INDEX(Parameter!$L$5:$L$7,W24))*INDEX(Parameter!$E$5:$E$7,W24)*X24/SUMIFS($X$7:$X$1843,$W$7:$W$1843,W24),0),0)</f>
        <v>0</v>
      </c>
    </row>
    <row r="25" customFormat="false" ht="15" hidden="false" customHeight="false" outlineLevel="0" collapsed="false">
      <c r="A25" s="55" t="s">
        <v>219</v>
      </c>
      <c r="B25" s="55" t="s">
        <v>220</v>
      </c>
      <c r="C25" s="55" t="s">
        <v>164</v>
      </c>
      <c r="D25" s="55" t="s">
        <v>165</v>
      </c>
      <c r="E25" s="55" t="s">
        <v>166</v>
      </c>
      <c r="F25" s="55" t="s">
        <v>218</v>
      </c>
      <c r="G25" s="56" t="n">
        <v>3268.12</v>
      </c>
      <c r="H25" s="57" t="n">
        <f aca="false">MAX(0,IF(AND(Parameter!$B$21="Ja",ISNUMBER(Y25)),Y25,IF(Parameter!$B$20="Jahresanfang 2025 + Export",BL25+BK25,BK25)))</f>
        <v>9</v>
      </c>
      <c r="I25" s="57" t="n">
        <f aca="false">H25*G25</f>
        <v>29413.08</v>
      </c>
      <c r="J25" s="57" t="n">
        <f aca="false">BN25*Parameter!$B$18</f>
        <v>24</v>
      </c>
      <c r="K25" s="58" t="n">
        <v>5.5</v>
      </c>
      <c r="L25" s="59" t="n">
        <v>4.36363636363636</v>
      </c>
      <c r="M25" s="57" t="n">
        <v>3</v>
      </c>
      <c r="N25" s="57" t="n">
        <v>6</v>
      </c>
      <c r="O25" s="60" t="n">
        <v>49</v>
      </c>
      <c r="P25" s="55" t="s">
        <v>168</v>
      </c>
      <c r="Q25" s="57"/>
      <c r="R25" s="60" t="n">
        <f aca="false">IF(BT25=1,0,IFERROR(VLOOKUP(BR25,'Gebinde-Kategorie'!$A$5:$M$45,13,0)+0,0))</f>
        <v>0</v>
      </c>
      <c r="S25" s="61"/>
      <c r="T25" s="62"/>
      <c r="U25" s="62"/>
      <c r="V25" s="62"/>
      <c r="W25" s="55" t="n">
        <v>1</v>
      </c>
      <c r="X25" s="57" t="n">
        <v>12</v>
      </c>
      <c r="Y25" s="57" t="n">
        <v>9</v>
      </c>
      <c r="Z25" s="55" t="n">
        <f aca="false">IF(A25="","",IF(AND(Parameter!$B$21="Ja",ISNUMBER(W25)),W25,IF(BV25="2+3",IF(ISNUMBER(SEARCH("grosser Artikel",BO25)),2,IFERROR(VLOOKUP(BR25,Parameter!$F$35:$G$64,2,0),2)),IF(OR(BV25="Nein",BV25=""),"-",BV25))))</f>
        <v>1</v>
      </c>
      <c r="AA25" s="62"/>
      <c r="AB25" s="63"/>
      <c r="AC25" s="57" t="n">
        <f aca="false">AR25</f>
        <v>12</v>
      </c>
      <c r="AD25" s="57" t="n">
        <f aca="false">MAX(AR25,H25)</f>
        <v>12</v>
      </c>
      <c r="AE25" s="64"/>
      <c r="AF25" s="57" t="n">
        <f aca="false">IF(LEFT(Cockpit!$C$5,1)="A",H25,IF(CA25=1,CB25,IF(LEFT(Cockpit!$C$5,1)="B",AJ25,MAX(AJ25,H25))))</f>
        <v>9</v>
      </c>
      <c r="AG25" s="57" t="n">
        <f aca="false">IF(BT25=1,0,ROUNDUP(AF25/BS25,0))</f>
        <v>0</v>
      </c>
      <c r="AH25" s="59" t="n">
        <f aca="false">IF(CH25&gt;0,CH25*MAX(1,AF25/X25),IF(BT25=1,IF(AF25&lt;=0,0,BW25*MAX(1,IF(H25&gt;0,AF25/H25,1))),IF(R25&gt;0,AG25/R25,0))/MAX(0.1,N(Parameter!$M$21)))</f>
        <v>0.96045197740113</v>
      </c>
      <c r="AI25" s="57" t="n">
        <f aca="false">AF25*G25</f>
        <v>29413.08</v>
      </c>
      <c r="AJ25" s="57" t="n">
        <f aca="false">ROUNDUP(MAX(J25/IF(BZ25&gt;0,BZ25,MAX(0.1,N(Cockpit!$C$6))),CC25)/BS25,0)*BS25</f>
        <v>12</v>
      </c>
      <c r="AK25" s="58" t="n">
        <f aca="false">IF(AH25&gt;0,J25/AH25,-1)</f>
        <v>24.9882352941176</v>
      </c>
      <c r="AL25" s="58" t="n">
        <f aca="false">IF(AND(OR(BY25="L1",BY25="L23"),AH25&gt;0),SUMIFS($AH$7:$AH$1843,$BY$7:$BY$1843,BY25,$AK$7:$AK$1843,"&gt;"&amp;AK25)+SUMIFS($AH$7:$AH$1843,$BY$7:$BY$1843,BY25,$AK$7:$AK$1843,AK25,$BQ$7:$BQ$1843,"&lt;="&amp;BQ25),"")</f>
        <v>18.6557325422469</v>
      </c>
      <c r="AM25" s="65" t="n">
        <f aca="false">IF(AL25="",0,MAX(0,MIN(1,(IF(BY25="L1",Parameter!$E$5,Parameter!$E$6+Parameter!$E$7)-(AL25-AH25))/AH25)))</f>
        <v>1</v>
      </c>
      <c r="AN25" s="57" t="n">
        <f aca="false">IF(LEFT(Cockpit!$I$5,1)="A",H25,IF(CA25=1,CB25,IF(LEFT(Cockpit!$I$5,1)="B",AR25,MAX(AR25,H25))))</f>
        <v>12</v>
      </c>
      <c r="AO25" s="57" t="n">
        <f aca="false">IF(BT25=1,0,ROUNDUP(AN25/BS25,0))</f>
        <v>0</v>
      </c>
      <c r="AP25" s="59" t="n">
        <f aca="false">IF(CH25&gt;0,CH25*MAX(1,AN25/X25),IF(BT25=1,IF(AN25&lt;=0,0,BW25*MAX(1,IF(H25&gt;0,AN25/H25,1))),IF(R25&gt;0,AO25/R25,0))/MAX(0.1,N(Parameter!$M$21)))</f>
        <v>0.96045197740113</v>
      </c>
      <c r="AQ25" s="57" t="n">
        <f aca="false">AN25*G25</f>
        <v>39217.44</v>
      </c>
      <c r="AR25" s="57" t="n">
        <f aca="false">ROUNDUP(MAX(J25/IF(BZ25&gt;0,BZ25,MAX(0.1,N(Cockpit!$I$6))),CC25)/BS25,0)*BS25</f>
        <v>12</v>
      </c>
      <c r="AS25" s="58" t="n">
        <f aca="false">IF(AP25&gt;0,J25/AP25,-1)</f>
        <v>24.9882352941176</v>
      </c>
      <c r="AT25" s="58" t="n">
        <f aca="false">IF(AND(OR(BY25="L1",BY25="L23"),AP25&gt;0),SUMIFS($AP$7:$AP$1843,$BY$7:$BY$1843,BY25,$AS$7:$AS$1843,"&gt;"&amp;AS25)+SUMIFS($AP$7:$AP$1843,$BY$7:$BY$1843,BY25,$AS$7:$AS$1843,AS25,$BQ$7:$BQ$1843,"&lt;="&amp;BQ25),"")</f>
        <v>18.4548778413922</v>
      </c>
      <c r="AU25" s="65" t="n">
        <f aca="false">IF(AT25="",0,MAX(0,MIN(1,(IF(BY25="L1",Parameter!$E$5,Parameter!$E$6+Parameter!$E$7)-(AT25-AP25))/AP25)))</f>
        <v>1</v>
      </c>
      <c r="AV25" s="57" t="n">
        <f aca="false">IF(LEFT(Cockpit!$O$5,1)="A",H25,IF(CA25=1,CB25,IF(LEFT(Cockpit!$O$5,1)="B",AZ25,MAX(AZ25,H25))))</f>
        <v>9</v>
      </c>
      <c r="AW25" s="57" t="n">
        <f aca="false">IF(BT25=1,0,ROUNDUP(AV25/BS25,0))</f>
        <v>0</v>
      </c>
      <c r="AX25" s="59" t="n">
        <f aca="false">IF(CH25&gt;0,CH25*MAX(1,AV25/X25),IF(BT25=1,IF(AV25&lt;=0,0,BW25*MAX(1,IF(H25&gt;0,AV25/H25,1))),IF(R25&gt;0,AW25/R25,0))/MAX(0.1,N(Parameter!$M$21)))</f>
        <v>0.96045197740113</v>
      </c>
      <c r="AY25" s="57" t="n">
        <f aca="false">AV25*G25</f>
        <v>29413.08</v>
      </c>
      <c r="AZ25" s="57" t="n">
        <f aca="false">ROUNDUP(MAX(J25/IF(BZ25&gt;0,BZ25,MAX(0.1,N(Cockpit!$O$6))),CC25)/BS25,0)*BS25</f>
        <v>9</v>
      </c>
      <c r="BA25" s="58" t="n">
        <f aca="false">IF(AX25&gt;0,J25/AX25,-1)</f>
        <v>24.9882352941176</v>
      </c>
      <c r="BB25" s="58" t="n">
        <f aca="false">IF(AND(OR(BY25="L1",BY25="L23"),AX25&gt;0),SUMIFS($AX$7:$AX$1843,$BY$7:$BY$1843,BY25,$BA$7:$BA$1843,"&gt;"&amp;BA25)+SUMIFS($AX$7:$AX$1843,$BY$7:$BY$1843,BY25,$BA$7:$BA$1843,BA25,$BQ$7:$BQ$1843,"&lt;="&amp;BQ25),"")</f>
        <v>25.2478663970926</v>
      </c>
      <c r="BC25" s="65" t="n">
        <f aca="false">IF(BB25="",0,MAX(0,MIN(1,(IF(BY25="L1",Parameter!$E$5,Parameter!$E$6+Parameter!$E$7)-(BB25-AX25))/AX25)))</f>
        <v>1</v>
      </c>
      <c r="BD25" s="55" t="str">
        <f aca="false">IF(AH25&lt;=0,"",IF(BY25="Aussen","Aussenlager",IF(BY25="-","Nicht im Lift",IF(AM25&gt;=1,"Lift",IF(AM25&lt;=0,"Aussenlager","teilweise")))))</f>
        <v>Lift</v>
      </c>
      <c r="BE25" s="55" t="str">
        <f aca="false">IF(AP25&lt;=0,"",IF(BY25="Aussen","Aussenlager",IF(BY25="-","Nicht im Lift",IF(AU25&gt;=1,"Lift",IF(AU25&lt;=0,"Aussenlager","teilweise")))))</f>
        <v>Lift</v>
      </c>
      <c r="BF25" s="55" t="str">
        <f aca="false">IF(AX25&lt;=0,"",IF(BY25="Aussen","Aussenlager",IF(BY25="-","Nicht im Lift",IF(BC25&gt;=1,"Lift",IF(BC25&lt;=0,"Aussenlager","teilweise")))))</f>
        <v>Lift</v>
      </c>
      <c r="BG25" s="55" t="str">
        <f aca="false">IF(A25="","",IF(BP25=1,"Neu; ","")&amp;IF(AND(BP25=0,BK25&lt;0),"negativer Bestand (Export "&amp;BK25&amp;"); ","")&amp;IF(J25&lt;=0,"Kein Verbrauch; ","")&amp;IF(CH25&gt;0,"Lift "&amp;W25&amp;" lt. Liftbericht (Fach "&amp;X25&amp;" Stk); ",IF(BU25=1,"Gebinde geschätzt ("&amp;T25&amp;"); ",IF(BT25=1,"Lose – Tablare geschätzt; ","")))&amp;IF(H25&gt;AR25,"Überbestand "&amp;ROUND(H25-AR25,0)&amp;" Stk / CHF "&amp;ROUND((H25-AR25)*G25,0)&amp;"; ","")&amp;IF(AND(CA25=1,CB25&lt;CC25),"MAX &lt; MB+LG; ","")&amp;IF(AND(CG25&gt;0,CF25*10&gt;CG25),"zu hoch für Tablar; ","")&amp;IF(AND(BP25=0,OR(CA25=1,AA25&lt;&gt;"",U25&lt;&gt;"",V25&lt;&gt;"",AB25&lt;&gt;"")),"manuell übersteuert; ","")&amp;IF(AND(BT25=0,R25=0),"Gebinde unbekannt / Stellmass fehlt; ","")&amp;IF(AND(BT25=0,N(V25)&lt;=0,N(Q25)&lt;=0),"Menge pro Gebinde fehlt (Ist = 1 Gebinde); ","")&amp;BO25)</f>
        <v>Lift 1 lt. Liftbericht (Fach 12 Stk); </v>
      </c>
      <c r="BH25" s="55"/>
      <c r="BI25" s="55"/>
      <c r="BJ25" s="62"/>
      <c r="BK25" s="57" t="n">
        <v>5</v>
      </c>
      <c r="BL25" s="57" t="n">
        <v>0</v>
      </c>
      <c r="BM25" s="56" t="n">
        <v>16340.6</v>
      </c>
      <c r="BN25" s="57" t="n">
        <v>24</v>
      </c>
      <c r="BO25" s="55"/>
      <c r="BP25" s="60" t="n">
        <v>0</v>
      </c>
      <c r="BQ25" s="60" t="n">
        <v>25</v>
      </c>
      <c r="BR25" s="55" t="str">
        <f aca="false">IF(U25&lt;&gt;"",UPPER(TRIM(U25)),IF(BU25=1,UPPER(VLOOKUP(T25,Parameter!$I$27:$K$29,2,0)),IF(P25="","LOSE",P25)))</f>
        <v>LOSE</v>
      </c>
      <c r="BS25" s="57" t="n">
        <f aca="false">IF(BR25="LOSE",1,IF(N(V25)&gt;0,V25,IF(BU25=1,MAX(1,N(VLOOKUP(T25,Parameter!$I$27:$K$29,3,0)),H25,N(N25)),IF(N(Q25)&gt;0,Q25,MAX(1,H25)))))</f>
        <v>1</v>
      </c>
      <c r="BT25" s="60" t="n">
        <f aca="false">IF(BR25="LOSE",1,0)</f>
        <v>1</v>
      </c>
      <c r="BU25" s="60" t="n">
        <f aca="false">IF(AND(U25="",OR(P25="",P25="LOSE"),T25&lt;&gt;"",N(S25)&lt;=0,ISNUMBER(MATCH(T25,Parameter!$I$27:$I$29,0))),1,0)</f>
        <v>0</v>
      </c>
      <c r="BV25" s="55" t="n">
        <f aca="false">IF(AND(Parameter!$B$19="Ja",E25&lt;&gt;"",ISNUMBER(MATCH(E25,Parameter!$I$35:$I$52,0))),VLOOKUP(E25,Parameter!$I$35:$J$52,2,0),IFERROR(VLOOKUP(D25,Parameter!$A$35:$C$64,2,0),"Nein"))</f>
        <v>1</v>
      </c>
      <c r="BW25" s="59" t="n">
        <f aca="false">IF(BT25=0,0,IF(N(S25)&gt;0,S25,IFERROR(VLOOKUP(D25,Parameter!$A$35:$C$64,3,0)+0,0)))</f>
        <v>1</v>
      </c>
      <c r="BX25" s="55" t="n">
        <f aca="false">IF(AA25&lt;&gt;"",AA25,Z25)</f>
        <v>1</v>
      </c>
      <c r="BY25" s="55" t="str">
        <f aca="false">IF(BX25=1,"L1",IF(OR(BX25=2,BX25=3),"L23",IF(BX25="Aussen","Aussen","-")))</f>
        <v>L1</v>
      </c>
      <c r="BZ25" s="66" t="n">
        <f aca="false">IF(N(AB25)&gt;0,AB25,0)</f>
        <v>0</v>
      </c>
      <c r="CA25" s="60" t="n">
        <f aca="false">IF(ISNUMBER(AE25),1,0)</f>
        <v>0</v>
      </c>
      <c r="CB25" s="57" t="n">
        <f aca="false">N(AE25)</f>
        <v>0</v>
      </c>
      <c r="CC25" s="57" t="n">
        <f aca="false">N(M25)+N(N25)</f>
        <v>9</v>
      </c>
      <c r="CD25" s="57" t="n">
        <f aca="false">ROUNDUP(H25/BS25,0)</f>
        <v>9</v>
      </c>
      <c r="CE25" s="57" t="n">
        <f aca="false">ROUNDUP(CB25/BS25,0)</f>
        <v>0</v>
      </c>
      <c r="CF25" s="60" t="n">
        <f aca="false">IF(BT25=1,0,IFERROR(VLOOKUP(BR25,'Gebinde-Kategorie'!$A$5:$M$45,5,0)+0,0))</f>
        <v>0</v>
      </c>
      <c r="CG25" s="60" t="n">
        <f aca="false">IFERROR(IF(OR(BX25=1,BX25=2,BX25=3),N(INDEX(Parameter!$I$5:$I$7,BX25)),0),0)</f>
        <v>0</v>
      </c>
      <c r="CH25" s="59" t="n">
        <f aca="false">IF(AND(Parameter!$B$21="Ja",ISNUMBER(W25),N(X25)&gt;0),IFERROR(N(INDEX(Parameter!$L$5:$L$7,W25))*INDEX(Parameter!$E$5:$E$7,W25)*X25/SUMIFS($X$7:$X$1843,$W$7:$W$1843,W25),0),0)</f>
        <v>0.96045197740113</v>
      </c>
    </row>
    <row r="26" customFormat="false" ht="15" hidden="false" customHeight="false" outlineLevel="0" collapsed="false">
      <c r="A26" s="55" t="s">
        <v>221</v>
      </c>
      <c r="B26" s="55" t="s">
        <v>222</v>
      </c>
      <c r="C26" s="55" t="s">
        <v>164</v>
      </c>
      <c r="D26" s="55" t="s">
        <v>173</v>
      </c>
      <c r="E26" s="55" t="s">
        <v>173</v>
      </c>
      <c r="F26" s="55" t="s">
        <v>218</v>
      </c>
      <c r="G26" s="56" t="n">
        <v>120.44</v>
      </c>
      <c r="H26" s="57" t="n">
        <f aca="false">MAX(0,IF(AND(Parameter!$B$21="Ja",ISNUMBER(Y26)),Y26,IF(Parameter!$B$20="Jahresanfang 2025 + Export",BL26+BK26,BK26)))</f>
        <v>167</v>
      </c>
      <c r="I26" s="57" t="n">
        <f aca="false">H26*G26</f>
        <v>20113.48</v>
      </c>
      <c r="J26" s="57" t="n">
        <f aca="false">BN26*Parameter!$B$18</f>
        <v>62</v>
      </c>
      <c r="K26" s="58" t="n">
        <v>32.5</v>
      </c>
      <c r="L26" s="59" t="n">
        <v>1.90769230769231</v>
      </c>
      <c r="M26" s="57" t="n">
        <v>4</v>
      </c>
      <c r="N26" s="57" t="n">
        <v>35</v>
      </c>
      <c r="O26" s="60" t="n">
        <v>21</v>
      </c>
      <c r="P26" s="55" t="s">
        <v>223</v>
      </c>
      <c r="Q26" s="57" t="n">
        <v>31</v>
      </c>
      <c r="R26" s="60" t="n">
        <f aca="false">IF(BT26=1,0,IFERROR(VLOOKUP(BR26,'Gebinde-Kategorie'!$A$5:$M$45,13,0)+0,0))</f>
        <v>3</v>
      </c>
      <c r="S26" s="61"/>
      <c r="T26" s="62"/>
      <c r="U26" s="62"/>
      <c r="V26" s="62"/>
      <c r="W26" s="55"/>
      <c r="X26" s="57"/>
      <c r="Y26" s="57"/>
      <c r="Z26" s="55" t="str">
        <f aca="false">IF(A26="","",IF(AND(Parameter!$B$21="Ja",ISNUMBER(W26)),W26,IF(BV26="2+3",IF(ISNUMBER(SEARCH("grosser Artikel",BO26)),2,IFERROR(VLOOKUP(BR26,Parameter!$F$35:$G$64,2,0),2)),IF(OR(BV26="Nein",BV26=""),"-",BV26))))</f>
        <v>-</v>
      </c>
      <c r="AA26" s="62"/>
      <c r="AB26" s="63"/>
      <c r="AC26" s="57" t="n">
        <f aca="false">AR26</f>
        <v>62</v>
      </c>
      <c r="AD26" s="57" t="n">
        <f aca="false">MAX(AR26,H26)</f>
        <v>167</v>
      </c>
      <c r="AE26" s="64"/>
      <c r="AF26" s="57" t="n">
        <f aca="false">IF(LEFT(Cockpit!$C$5,1)="A",H26,IF(CA26=1,CB26,IF(LEFT(Cockpit!$C$5,1)="B",AJ26,MAX(AJ26,H26))))</f>
        <v>167</v>
      </c>
      <c r="AG26" s="57" t="n">
        <f aca="false">IF(BT26=1,0,ROUNDUP(AF26/BS26,0))</f>
        <v>6</v>
      </c>
      <c r="AH26" s="59" t="n">
        <f aca="false">IF(CH26&gt;0,CH26*MAX(1,AF26/X26),IF(BT26=1,IF(AF26&lt;=0,0,BW26*MAX(1,IF(H26&gt;0,AF26/H26,1))),IF(R26&gt;0,AG26/R26,0))/MAX(0.1,N(Parameter!$M$21)))</f>
        <v>2</v>
      </c>
      <c r="AI26" s="57" t="n">
        <f aca="false">AF26*G26</f>
        <v>20113.48</v>
      </c>
      <c r="AJ26" s="57" t="n">
        <f aca="false">ROUNDUP(MAX(J26/IF(BZ26&gt;0,BZ26,MAX(0.1,N(Cockpit!$C$6))),CC26)/BS26,0)*BS26</f>
        <v>62</v>
      </c>
      <c r="AK26" s="58" t="n">
        <f aca="false">IF(AH26&gt;0,J26/AH26,-1)</f>
        <v>31</v>
      </c>
      <c r="AL26" s="58" t="str">
        <f aca="false">IF(AND(OR(BY26="L1",BY26="L23"),AH26&gt;0),SUMIFS($AH$7:$AH$1843,$BY$7:$BY$1843,BY26,$AK$7:$AK$1843,"&gt;"&amp;AK26)+SUMIFS($AH$7:$AH$1843,$BY$7:$BY$1843,BY26,$AK$7:$AK$1843,AK26,$BQ$7:$BQ$1843,"&lt;="&amp;BQ26),"")</f>
        <v/>
      </c>
      <c r="AM26" s="65" t="n">
        <f aca="false">IF(AL26="",0,MAX(0,MIN(1,(IF(BY26="L1",Parameter!$E$5,Parameter!$E$6+Parameter!$E$7)-(AL26-AH26))/AH26)))</f>
        <v>0</v>
      </c>
      <c r="AN26" s="57" t="n">
        <f aca="false">IF(LEFT(Cockpit!$I$5,1)="A",H26,IF(CA26=1,CB26,IF(LEFT(Cockpit!$I$5,1)="B",AR26,MAX(AR26,H26))))</f>
        <v>167</v>
      </c>
      <c r="AO26" s="57" t="n">
        <f aca="false">IF(BT26=1,0,ROUNDUP(AN26/BS26,0))</f>
        <v>6</v>
      </c>
      <c r="AP26" s="59" t="n">
        <f aca="false">IF(CH26&gt;0,CH26*MAX(1,AN26/X26),IF(BT26=1,IF(AN26&lt;=0,0,BW26*MAX(1,IF(H26&gt;0,AN26/H26,1))),IF(R26&gt;0,AO26/R26,0))/MAX(0.1,N(Parameter!$M$21)))</f>
        <v>2</v>
      </c>
      <c r="AQ26" s="57" t="n">
        <f aca="false">AN26*G26</f>
        <v>20113.48</v>
      </c>
      <c r="AR26" s="57" t="n">
        <f aca="false">ROUNDUP(MAX(J26/IF(BZ26&gt;0,BZ26,MAX(0.1,N(Cockpit!$I$6))),CC26)/BS26,0)*BS26</f>
        <v>62</v>
      </c>
      <c r="AS26" s="58" t="n">
        <f aca="false">IF(AP26&gt;0,J26/AP26,-1)</f>
        <v>31</v>
      </c>
      <c r="AT26" s="58" t="str">
        <f aca="false">IF(AND(OR(BY26="L1",BY26="L23"),AP26&gt;0),SUMIFS($AP$7:$AP$1843,$BY$7:$BY$1843,BY26,$AS$7:$AS$1843,"&gt;"&amp;AS26)+SUMIFS($AP$7:$AP$1843,$BY$7:$BY$1843,BY26,$AS$7:$AS$1843,AS26,$BQ$7:$BQ$1843,"&lt;="&amp;BQ26),"")</f>
        <v/>
      </c>
      <c r="AU26" s="65" t="n">
        <f aca="false">IF(AT26="",0,MAX(0,MIN(1,(IF(BY26="L1",Parameter!$E$5,Parameter!$E$6+Parameter!$E$7)-(AT26-AP26))/AP26)))</f>
        <v>0</v>
      </c>
      <c r="AV26" s="57" t="n">
        <f aca="false">IF(LEFT(Cockpit!$O$5,1)="A",H26,IF(CA26=1,CB26,IF(LEFT(Cockpit!$O$5,1)="B",AZ26,MAX(AZ26,H26))))</f>
        <v>167</v>
      </c>
      <c r="AW26" s="57" t="n">
        <f aca="false">IF(BT26=1,0,ROUNDUP(AV26/BS26,0))</f>
        <v>6</v>
      </c>
      <c r="AX26" s="59" t="n">
        <f aca="false">IF(CH26&gt;0,CH26*MAX(1,AV26/X26),IF(BT26=1,IF(AV26&lt;=0,0,BW26*MAX(1,IF(H26&gt;0,AV26/H26,1))),IF(R26&gt;0,AW26/R26,0))/MAX(0.1,N(Parameter!$M$21)))</f>
        <v>2</v>
      </c>
      <c r="AY26" s="57" t="n">
        <f aca="false">AV26*G26</f>
        <v>20113.48</v>
      </c>
      <c r="AZ26" s="57" t="n">
        <f aca="false">ROUNDUP(MAX(J26/IF(BZ26&gt;0,BZ26,MAX(0.1,N(Cockpit!$O$6))),CC26)/BS26,0)*BS26</f>
        <v>62</v>
      </c>
      <c r="BA26" s="58" t="n">
        <f aca="false">IF(AX26&gt;0,J26/AX26,-1)</f>
        <v>31</v>
      </c>
      <c r="BB26" s="58" t="str">
        <f aca="false">IF(AND(OR(BY26="L1",BY26="L23"),AX26&gt;0),SUMIFS($AX$7:$AX$1843,$BY$7:$BY$1843,BY26,$BA$7:$BA$1843,"&gt;"&amp;BA26)+SUMIFS($AX$7:$AX$1843,$BY$7:$BY$1843,BY26,$BA$7:$BA$1843,BA26,$BQ$7:$BQ$1843,"&lt;="&amp;BQ26),"")</f>
        <v/>
      </c>
      <c r="BC26" s="65" t="n">
        <f aca="false">IF(BB26="",0,MAX(0,MIN(1,(IF(BY26="L1",Parameter!$E$5,Parameter!$E$6+Parameter!$E$7)-(BB26-AX26))/AX26)))</f>
        <v>0</v>
      </c>
      <c r="BD26" s="55" t="str">
        <f aca="false">IF(AH26&lt;=0,"",IF(BY26="Aussen","Aussenlager",IF(BY26="-","Nicht im Lift",IF(AM26&gt;=1,"Lift",IF(AM26&lt;=0,"Aussenlager","teilweise")))))</f>
        <v>Nicht im Lift</v>
      </c>
      <c r="BE26" s="55" t="str">
        <f aca="false">IF(AP26&lt;=0,"",IF(BY26="Aussen","Aussenlager",IF(BY26="-","Nicht im Lift",IF(AU26&gt;=1,"Lift",IF(AU26&lt;=0,"Aussenlager","teilweise")))))</f>
        <v>Nicht im Lift</v>
      </c>
      <c r="BF26" s="55" t="str">
        <f aca="false">IF(AX26&lt;=0,"",IF(BY26="Aussen","Aussenlager",IF(BY26="-","Nicht im Lift",IF(BC26&gt;=1,"Lift",IF(BC26&lt;=0,"Aussenlager","teilweise")))))</f>
        <v>Nicht im Lift</v>
      </c>
      <c r="BG26" s="55" t="str">
        <f aca="false">IF(A26="","",IF(BP26=1,"Neu; ","")&amp;IF(AND(BP26=0,BK26&lt;0),"negativer Bestand (Export "&amp;BK26&amp;"); ","")&amp;IF(J26&lt;=0,"Kein Verbrauch; ","")&amp;IF(CH26&gt;0,"Lift "&amp;W26&amp;" lt. Liftbericht (Fach "&amp;X26&amp;" Stk); ",IF(BU26=1,"Gebinde geschätzt ("&amp;T26&amp;"); ",IF(BT26=1,"Lose – Tablare geschätzt; ","")))&amp;IF(H26&gt;AR26,"Überbestand "&amp;ROUND(H26-AR26,0)&amp;" Stk / CHF "&amp;ROUND((H26-AR26)*G26,0)&amp;"; ","")&amp;IF(AND(CA26=1,CB26&lt;CC26),"MAX &lt; MB+LG; ","")&amp;IF(AND(CG26&gt;0,CF26*10&gt;CG26),"zu hoch für Tablar; ","")&amp;IF(AND(BP26=0,OR(CA26=1,AA26&lt;&gt;"",U26&lt;&gt;"",V26&lt;&gt;"",AB26&lt;&gt;"")),"manuell übersteuert; ","")&amp;IF(AND(BT26=0,R26=0),"Gebinde unbekannt / Stellmass fehlt; ","")&amp;IF(AND(BT26=0,N(V26)&lt;=0,N(Q26)&lt;=0),"Menge pro Gebinde fehlt (Ist = 1 Gebinde); ","")&amp;BO26)</f>
        <v>Überbestand 105 Stk / CHF 12646; </v>
      </c>
      <c r="BH26" s="55" t="s">
        <v>211</v>
      </c>
      <c r="BI26" s="55"/>
      <c r="BJ26" s="62"/>
      <c r="BK26" s="57" t="n">
        <v>137</v>
      </c>
      <c r="BL26" s="57" t="n">
        <v>30</v>
      </c>
      <c r="BM26" s="56" t="n">
        <v>15460.06</v>
      </c>
      <c r="BN26" s="57" t="n">
        <v>62</v>
      </c>
      <c r="BO26" s="55"/>
      <c r="BP26" s="60" t="n">
        <v>0</v>
      </c>
      <c r="BQ26" s="60" t="n">
        <v>26</v>
      </c>
      <c r="BR26" s="55" t="str">
        <f aca="false">IF(U26&lt;&gt;"",UPPER(TRIM(U26)),IF(BU26=1,UPPER(VLOOKUP(T26,Parameter!$I$27:$K$29,2,0)),IF(P26="","LOSE",P26)))</f>
        <v>S81</v>
      </c>
      <c r="BS26" s="57" t="n">
        <f aca="false">IF(BR26="LOSE",1,IF(N(V26)&gt;0,V26,IF(BU26=1,MAX(1,N(VLOOKUP(T26,Parameter!$I$27:$K$29,3,0)),H26,N(N26)),IF(N(Q26)&gt;0,Q26,MAX(1,H26)))))</f>
        <v>31</v>
      </c>
      <c r="BT26" s="60" t="n">
        <f aca="false">IF(BR26="LOSE",1,0)</f>
        <v>0</v>
      </c>
      <c r="BU26" s="60" t="n">
        <f aca="false">IF(AND(U26="",OR(P26="",P26="LOSE"),T26&lt;&gt;"",N(S26)&lt;=0,ISNUMBER(MATCH(T26,Parameter!$I$27:$I$29,0))),1,0)</f>
        <v>0</v>
      </c>
      <c r="BV26" s="55" t="str">
        <f aca="false">IF(AND(Parameter!$B$19="Ja",E26&lt;&gt;"",ISNUMBER(MATCH(E26,Parameter!$I$35:$I$52,0))),VLOOKUP(E26,Parameter!$I$35:$J$52,2,0),IFERROR(VLOOKUP(D26,Parameter!$A$35:$C$64,2,0),"Nein"))</f>
        <v>Nein</v>
      </c>
      <c r="BW26" s="59" t="n">
        <f aca="false">IF(BT26=0,0,IF(N(S26)&gt;0,S26,IFERROR(VLOOKUP(D26,Parameter!$A$35:$C$64,3,0)+0,0)))</f>
        <v>0</v>
      </c>
      <c r="BX26" s="55" t="str">
        <f aca="false">IF(AA26&lt;&gt;"",AA26,Z26)</f>
        <v>-</v>
      </c>
      <c r="BY26" s="55" t="str">
        <f aca="false">IF(BX26=1,"L1",IF(OR(BX26=2,BX26=3),"L23",IF(BX26="Aussen","Aussen","-")))</f>
        <v>-</v>
      </c>
      <c r="BZ26" s="66" t="n">
        <f aca="false">IF(N(AB26)&gt;0,AB26,0)</f>
        <v>0</v>
      </c>
      <c r="CA26" s="60" t="n">
        <f aca="false">IF(ISNUMBER(AE26),1,0)</f>
        <v>0</v>
      </c>
      <c r="CB26" s="57" t="n">
        <f aca="false">N(AE26)</f>
        <v>0</v>
      </c>
      <c r="CC26" s="57" t="n">
        <f aca="false">N(M26)+N(N26)</f>
        <v>39</v>
      </c>
      <c r="CD26" s="57" t="n">
        <f aca="false">ROUNDUP(H26/BS26,0)</f>
        <v>6</v>
      </c>
      <c r="CE26" s="57" t="n">
        <f aca="false">ROUNDUP(CB26/BS26,0)</f>
        <v>0</v>
      </c>
      <c r="CF26" s="60" t="n">
        <f aca="false">IF(BT26=1,0,IFERROR(VLOOKUP(BR26,'Gebinde-Kategorie'!$A$5:$M$45,5,0)+0,0))</f>
        <v>20</v>
      </c>
      <c r="CG26" s="60" t="n">
        <f aca="false">IFERROR(IF(OR(BX26=1,BX26=2,BX26=3),N(INDEX(Parameter!$I$5:$I$7,BX26)),0),0)</f>
        <v>0</v>
      </c>
      <c r="CH26" s="59" t="n">
        <f aca="false">IF(AND(Parameter!$B$21="Ja",ISNUMBER(W26),N(X26)&gt;0),IFERROR(N(INDEX(Parameter!$L$5:$L$7,W26))*INDEX(Parameter!$E$5:$E$7,W26)*X26/SUMIFS($X$7:$X$1843,$W$7:$W$1843,W26),0),0)</f>
        <v>0</v>
      </c>
    </row>
    <row r="27" customFormat="false" ht="15" hidden="false" customHeight="false" outlineLevel="0" collapsed="false">
      <c r="A27" s="55" t="s">
        <v>224</v>
      </c>
      <c r="B27" s="55" t="s">
        <v>225</v>
      </c>
      <c r="C27" s="55" t="s">
        <v>164</v>
      </c>
      <c r="D27" s="55" t="s">
        <v>184</v>
      </c>
      <c r="E27" s="55" t="s">
        <v>185</v>
      </c>
      <c r="F27" s="55" t="s">
        <v>218</v>
      </c>
      <c r="G27" s="56" t="n">
        <v>177.9</v>
      </c>
      <c r="H27" s="57" t="n">
        <f aca="false">MAX(0,IF(AND(Parameter!$B$21="Ja",ISNUMBER(Y27)),Y27,IF(Parameter!$B$20="Jahresanfang 2025 + Export",BL27+BK27,BK27)))</f>
        <v>115</v>
      </c>
      <c r="I27" s="57" t="n">
        <f aca="false">H27*G27</f>
        <v>20458.5</v>
      </c>
      <c r="J27" s="57" t="n">
        <f aca="false">BN27*Parameter!$B$18</f>
        <v>401</v>
      </c>
      <c r="K27" s="58" t="n">
        <v>80.5</v>
      </c>
      <c r="L27" s="59" t="n">
        <v>4.98136645962733</v>
      </c>
      <c r="M27" s="57" t="n">
        <v>23</v>
      </c>
      <c r="N27" s="57" t="n">
        <v>100</v>
      </c>
      <c r="O27" s="60" t="n">
        <v>21</v>
      </c>
      <c r="P27" s="55" t="s">
        <v>226</v>
      </c>
      <c r="Q27" s="57" t="n">
        <v>204</v>
      </c>
      <c r="R27" s="60" t="n">
        <f aca="false">IF(BT27=1,0,IFERROR(VLOOKUP(BR27,'Gebinde-Kategorie'!$A$5:$M$45,13,0)+0,0))</f>
        <v>12</v>
      </c>
      <c r="S27" s="61"/>
      <c r="T27" s="62"/>
      <c r="U27" s="62"/>
      <c r="V27" s="62"/>
      <c r="W27" s="55"/>
      <c r="X27" s="57"/>
      <c r="Y27" s="57"/>
      <c r="Z27" s="55" t="n">
        <f aca="false">IF(A27="","",IF(AND(Parameter!$B$21="Ja",ISNUMBER(W27)),W27,IF(BV27="2+3",IF(ISNUMBER(SEARCH("grosser Artikel",BO27)),2,IFERROR(VLOOKUP(BR27,Parameter!$F$35:$G$64,2,0),2)),IF(OR(BV27="Nein",BV27=""),"-",BV27))))</f>
        <v>2</v>
      </c>
      <c r="AA27" s="62"/>
      <c r="AB27" s="63"/>
      <c r="AC27" s="57" t="n">
        <f aca="false">AR27</f>
        <v>204</v>
      </c>
      <c r="AD27" s="57" t="n">
        <f aca="false">MAX(AR27,H27)</f>
        <v>204</v>
      </c>
      <c r="AE27" s="64"/>
      <c r="AF27" s="57" t="n">
        <f aca="false">IF(LEFT(Cockpit!$C$5,1)="A",H27,IF(CA27=1,CB27,IF(LEFT(Cockpit!$C$5,1)="B",AJ27,MAX(AJ27,H27))))</f>
        <v>115</v>
      </c>
      <c r="AG27" s="57" t="n">
        <f aca="false">IF(BT27=1,0,ROUNDUP(AF27/BS27,0))</f>
        <v>1</v>
      </c>
      <c r="AH27" s="59" t="n">
        <f aca="false">IF(CH27&gt;0,CH27*MAX(1,AF27/X27),IF(BT27=1,IF(AF27&lt;=0,0,BW27*MAX(1,IF(H27&gt;0,AF27/H27,1))),IF(R27&gt;0,AG27/R27,0))/MAX(0.1,N(Parameter!$M$21)))</f>
        <v>0.0833333333333333</v>
      </c>
      <c r="AI27" s="57" t="n">
        <f aca="false">AF27*G27</f>
        <v>20458.5</v>
      </c>
      <c r="AJ27" s="57" t="n">
        <f aca="false">ROUNDUP(MAX(J27/IF(BZ27&gt;0,BZ27,MAX(0.1,N(Cockpit!$C$6))),CC27)/BS27,0)*BS27</f>
        <v>204</v>
      </c>
      <c r="AK27" s="58" t="n">
        <f aca="false">IF(AH27&gt;0,J27/AH27,-1)</f>
        <v>4812</v>
      </c>
      <c r="AL27" s="58" t="n">
        <f aca="false">IF(AND(OR(BY27="L1",BY27="L23"),AH27&gt;0),SUMIFS($AH$7:$AH$1843,$BY$7:$BY$1843,BY27,$AK$7:$AK$1843,"&gt;"&amp;AK27)+SUMIFS($AH$7:$AH$1843,$BY$7:$BY$1843,BY27,$AK$7:$AK$1843,AK27,$BQ$7:$BQ$1843,"&lt;="&amp;BQ27),"")</f>
        <v>7.5264940373636</v>
      </c>
      <c r="AM27" s="65" t="n">
        <f aca="false">IF(AL27="",0,MAX(0,MIN(1,(IF(BY27="L1",Parameter!$E$5,Parameter!$E$6+Parameter!$E$7)-(AL27-AH27))/AH27)))</f>
        <v>1</v>
      </c>
      <c r="AN27" s="57" t="n">
        <f aca="false">IF(LEFT(Cockpit!$I$5,1)="A",H27,IF(CA27=1,CB27,IF(LEFT(Cockpit!$I$5,1)="B",AR27,MAX(AR27,H27))))</f>
        <v>204</v>
      </c>
      <c r="AO27" s="57" t="n">
        <f aca="false">IF(BT27=1,0,ROUNDUP(AN27/BS27,0))</f>
        <v>1</v>
      </c>
      <c r="AP27" s="59" t="n">
        <f aca="false">IF(CH27&gt;0,CH27*MAX(1,AN27/X27),IF(BT27=1,IF(AN27&lt;=0,0,BW27*MAX(1,IF(H27&gt;0,AN27/H27,1))),IF(R27&gt;0,AO27/R27,0))/MAX(0.1,N(Parameter!$M$21)))</f>
        <v>0.0833333333333333</v>
      </c>
      <c r="AQ27" s="57" t="n">
        <f aca="false">AN27*G27</f>
        <v>36291.6</v>
      </c>
      <c r="AR27" s="57" t="n">
        <f aca="false">ROUNDUP(MAX(J27/IF(BZ27&gt;0,BZ27,MAX(0.1,N(Cockpit!$I$6))),CC27)/BS27,0)*BS27</f>
        <v>204</v>
      </c>
      <c r="AS27" s="58" t="n">
        <f aca="false">IF(AP27&gt;0,J27/AP27,-1)</f>
        <v>4812</v>
      </c>
      <c r="AT27" s="58" t="n">
        <f aca="false">IF(AND(OR(BY27="L1",BY27="L23"),AP27&gt;0),SUMIFS($AP$7:$AP$1843,$BY$7:$BY$1843,BY27,$AS$7:$AS$1843,"&gt;"&amp;AS27)+SUMIFS($AP$7:$AP$1843,$BY$7:$BY$1843,BY27,$AS$7:$AS$1843,AS27,$BQ$7:$BQ$1843,"&lt;="&amp;BQ27),"")</f>
        <v>12.0883078274383</v>
      </c>
      <c r="AU27" s="65" t="n">
        <f aca="false">IF(AT27="",0,MAX(0,MIN(1,(IF(BY27="L1",Parameter!$E$5,Parameter!$E$6+Parameter!$E$7)-(AT27-AP27))/AP27)))</f>
        <v>1</v>
      </c>
      <c r="AV27" s="57" t="n">
        <f aca="false">IF(LEFT(Cockpit!$O$5,1)="A",H27,IF(CA27=1,CB27,IF(LEFT(Cockpit!$O$5,1)="B",AZ27,MAX(AZ27,H27))))</f>
        <v>204</v>
      </c>
      <c r="AW27" s="57" t="n">
        <f aca="false">IF(BT27=1,0,ROUNDUP(AV27/BS27,0))</f>
        <v>1</v>
      </c>
      <c r="AX27" s="59" t="n">
        <f aca="false">IF(CH27&gt;0,CH27*MAX(1,AV27/X27),IF(BT27=1,IF(AV27&lt;=0,0,BW27*MAX(1,IF(H27&gt;0,AV27/H27,1))),IF(R27&gt;0,AW27/R27,0))/MAX(0.1,N(Parameter!$M$21)))</f>
        <v>0.0833333333333333</v>
      </c>
      <c r="AY27" s="57" t="n">
        <f aca="false">AV27*G27</f>
        <v>36291.6</v>
      </c>
      <c r="AZ27" s="57" t="n">
        <f aca="false">ROUNDUP(MAX(J27/IF(BZ27&gt;0,BZ27,MAX(0.1,N(Cockpit!$O$6))),CC27)/BS27,0)*BS27</f>
        <v>204</v>
      </c>
      <c r="BA27" s="58" t="n">
        <f aca="false">IF(AX27&gt;0,J27/AX27,-1)</f>
        <v>4812</v>
      </c>
      <c r="BB27" s="58" t="n">
        <f aca="false">IF(AND(OR(BY27="L1",BY27="L23"),AX27&gt;0),SUMIFS($AX$7:$AX$1843,$BY$7:$BY$1843,BY27,$BA$7:$BA$1843,"&gt;"&amp;BA27)+SUMIFS($AX$7:$AX$1843,$BY$7:$BY$1843,BY27,$BA$7:$BA$1843,BA27,$BQ$7:$BQ$1843,"&lt;="&amp;BQ27),"")</f>
        <v>10.8091702983007</v>
      </c>
      <c r="BC27" s="65" t="n">
        <f aca="false">IF(BB27="",0,MAX(0,MIN(1,(IF(BY27="L1",Parameter!$E$5,Parameter!$E$6+Parameter!$E$7)-(BB27-AX27))/AX27)))</f>
        <v>1</v>
      </c>
      <c r="BD27" s="55" t="str">
        <f aca="false">IF(AH27&lt;=0,"",IF(BY27="Aussen","Aussenlager",IF(BY27="-","Nicht im Lift",IF(AM27&gt;=1,"Lift",IF(AM27&lt;=0,"Aussenlager","teilweise")))))</f>
        <v>Lift</v>
      </c>
      <c r="BE27" s="55" t="str">
        <f aca="false">IF(AP27&lt;=0,"",IF(BY27="Aussen","Aussenlager",IF(BY27="-","Nicht im Lift",IF(AU27&gt;=1,"Lift",IF(AU27&lt;=0,"Aussenlager","teilweise")))))</f>
        <v>Lift</v>
      </c>
      <c r="BF27" s="55" t="str">
        <f aca="false">IF(AX27&lt;=0,"",IF(BY27="Aussen","Aussenlager",IF(BY27="-","Nicht im Lift",IF(BC27&gt;=1,"Lift",IF(BC27&lt;=0,"Aussenlager","teilweise")))))</f>
        <v>Lift</v>
      </c>
      <c r="BG27" s="55" t="str">
        <f aca="false">IF(A27="","",IF(BP27=1,"Neu; ","")&amp;IF(AND(BP27=0,BK27&lt;0),"negativer Bestand (Export "&amp;BK27&amp;"); ","")&amp;IF(J27&lt;=0,"Kein Verbrauch; ","")&amp;IF(CH27&gt;0,"Lift "&amp;W27&amp;" lt. Liftbericht (Fach "&amp;X27&amp;" Stk); ",IF(BU27=1,"Gebinde geschätzt ("&amp;T27&amp;"); ",IF(BT27=1,"Lose – Tablare geschätzt; ","")))&amp;IF(H27&gt;AR27,"Überbestand "&amp;ROUND(H27-AR27,0)&amp;" Stk / CHF "&amp;ROUND((H27-AR27)*G27,0)&amp;"; ","")&amp;IF(AND(CA27=1,CB27&lt;CC27),"MAX &lt; MB+LG; ","")&amp;IF(AND(CG27&gt;0,CF27*10&gt;CG27),"zu hoch für Tablar; ","")&amp;IF(AND(BP27=0,OR(CA27=1,AA27&lt;&gt;"",U27&lt;&gt;"",V27&lt;&gt;"",AB27&lt;&gt;"")),"manuell übersteuert; ","")&amp;IF(AND(BT27=0,R27=0),"Gebinde unbekannt / Stellmass fehlt; ","")&amp;IF(AND(BT27=0,N(V27)&lt;=0,N(Q27)&lt;=0),"Menge pro Gebinde fehlt (Ist = 1 Gebinde); ","")&amp;BO27)</f>
        <v/>
      </c>
      <c r="BH27" s="55" t="s">
        <v>227</v>
      </c>
      <c r="BI27" s="55"/>
      <c r="BJ27" s="62"/>
      <c r="BK27" s="57" t="n">
        <v>84</v>
      </c>
      <c r="BL27" s="57" t="n">
        <v>31</v>
      </c>
      <c r="BM27" s="56" t="n">
        <v>14939.18</v>
      </c>
      <c r="BN27" s="57" t="n">
        <v>401</v>
      </c>
      <c r="BO27" s="55"/>
      <c r="BP27" s="60" t="n">
        <v>0</v>
      </c>
      <c r="BQ27" s="60" t="n">
        <v>27</v>
      </c>
      <c r="BR27" s="55" t="str">
        <f aca="false">IF(U27&lt;&gt;"",UPPER(TRIM(U27)),IF(BU27=1,UPPER(VLOOKUP(T27,Parameter!$I$27:$K$29,2,0)),IF(P27="","LOSE",P27)))</f>
        <v>S63</v>
      </c>
      <c r="BS27" s="57" t="n">
        <f aca="false">IF(BR27="LOSE",1,IF(N(V27)&gt;0,V27,IF(BU27=1,MAX(1,N(VLOOKUP(T27,Parameter!$I$27:$K$29,3,0)),H27,N(N27)),IF(N(Q27)&gt;0,Q27,MAX(1,H27)))))</f>
        <v>204</v>
      </c>
      <c r="BT27" s="60" t="n">
        <f aca="false">IF(BR27="LOSE",1,0)</f>
        <v>0</v>
      </c>
      <c r="BU27" s="60" t="n">
        <f aca="false">IF(AND(U27="",OR(P27="",P27="LOSE"),T27&lt;&gt;"",N(S27)&lt;=0,ISNUMBER(MATCH(T27,Parameter!$I$27:$I$29,0))),1,0)</f>
        <v>0</v>
      </c>
      <c r="BV27" s="55" t="str">
        <f aca="false">IF(AND(Parameter!$B$19="Ja",E27&lt;&gt;"",ISNUMBER(MATCH(E27,Parameter!$I$35:$I$52,0))),VLOOKUP(E27,Parameter!$I$35:$J$52,2,0),IFERROR(VLOOKUP(D27,Parameter!$A$35:$C$64,2,0),"Nein"))</f>
        <v>2+3</v>
      </c>
      <c r="BW27" s="59" t="n">
        <f aca="false">IF(BT27=0,0,IF(N(S27)&gt;0,S27,IFERROR(VLOOKUP(D27,Parameter!$A$35:$C$64,3,0)+0,0)))</f>
        <v>0</v>
      </c>
      <c r="BX27" s="55" t="n">
        <f aca="false">IF(AA27&lt;&gt;"",AA27,Z27)</f>
        <v>2</v>
      </c>
      <c r="BY27" s="55" t="str">
        <f aca="false">IF(BX27=1,"L1",IF(OR(BX27=2,BX27=3),"L23",IF(BX27="Aussen","Aussen","-")))</f>
        <v>L23</v>
      </c>
      <c r="BZ27" s="66" t="n">
        <f aca="false">IF(N(AB27)&gt;0,AB27,0)</f>
        <v>0</v>
      </c>
      <c r="CA27" s="60" t="n">
        <f aca="false">IF(ISNUMBER(AE27),1,0)</f>
        <v>0</v>
      </c>
      <c r="CB27" s="57" t="n">
        <f aca="false">N(AE27)</f>
        <v>0</v>
      </c>
      <c r="CC27" s="57" t="n">
        <f aca="false">N(M27)+N(N27)</f>
        <v>123</v>
      </c>
      <c r="CD27" s="57" t="n">
        <f aca="false">ROUNDUP(H27/BS27,0)</f>
        <v>1</v>
      </c>
      <c r="CE27" s="57" t="n">
        <f aca="false">ROUNDUP(CB27/BS27,0)</f>
        <v>0</v>
      </c>
      <c r="CF27" s="60" t="n">
        <f aca="false">IF(BT27=1,0,IFERROR(VLOOKUP(BR27,'Gebinde-Kategorie'!$A$5:$M$45,5,0)+0,0))</f>
        <v>31</v>
      </c>
      <c r="CG27" s="60" t="n">
        <f aca="false">IFERROR(IF(OR(BX27=1,BX27=2,BX27=3),N(INDEX(Parameter!$I$5:$I$7,BX27)),0),0)</f>
        <v>0</v>
      </c>
      <c r="CH27" s="59" t="n">
        <f aca="false">IF(AND(Parameter!$B$21="Ja",ISNUMBER(W27),N(X27)&gt;0),IFERROR(N(INDEX(Parameter!$L$5:$L$7,W27))*INDEX(Parameter!$E$5:$E$7,W27)*X27/SUMIFS($X$7:$X$1843,$W$7:$W$1843,W27),0),0)</f>
        <v>0</v>
      </c>
    </row>
    <row r="28" customFormat="false" ht="15" hidden="false" customHeight="false" outlineLevel="0" collapsed="false">
      <c r="A28" s="55" t="s">
        <v>228</v>
      </c>
      <c r="B28" s="55" t="s">
        <v>229</v>
      </c>
      <c r="C28" s="55" t="s">
        <v>164</v>
      </c>
      <c r="D28" s="55" t="s">
        <v>173</v>
      </c>
      <c r="E28" s="55" t="s">
        <v>185</v>
      </c>
      <c r="F28" s="55" t="s">
        <v>218</v>
      </c>
      <c r="G28" s="56" t="n">
        <v>400.55</v>
      </c>
      <c r="H28" s="57" t="n">
        <f aca="false">MAX(0,IF(AND(Parameter!$B$21="Ja",ISNUMBER(Y28)),Y28,IF(Parameter!$B$20="Jahresanfang 2025 + Export",BL28+BK28,BK28)))</f>
        <v>41</v>
      </c>
      <c r="I28" s="57" t="n">
        <f aca="false">H28*G28</f>
        <v>16422.55</v>
      </c>
      <c r="J28" s="57" t="n">
        <f aca="false">BN28*Parameter!$B$18</f>
        <v>276</v>
      </c>
      <c r="K28" s="58" t="n">
        <v>24.5</v>
      </c>
      <c r="L28" s="59" t="n">
        <v>11.265306122449</v>
      </c>
      <c r="M28" s="57" t="n">
        <v>21</v>
      </c>
      <c r="N28" s="57" t="n">
        <v>35</v>
      </c>
      <c r="O28" s="60" t="n">
        <v>28</v>
      </c>
      <c r="P28" s="55" t="s">
        <v>168</v>
      </c>
      <c r="Q28" s="57"/>
      <c r="R28" s="60" t="n">
        <f aca="false">IF(BT28=1,0,IFERROR(VLOOKUP(BR28,'Gebinde-Kategorie'!$A$5:$M$45,13,0)+0,0))</f>
        <v>12</v>
      </c>
      <c r="S28" s="61"/>
      <c r="T28" s="62" t="s">
        <v>179</v>
      </c>
      <c r="U28" s="62"/>
      <c r="V28" s="62"/>
      <c r="W28" s="55"/>
      <c r="X28" s="57"/>
      <c r="Y28" s="57"/>
      <c r="Z28" s="55" t="n">
        <f aca="false">IF(A28="","",IF(AND(Parameter!$B$21="Ja",ISNUMBER(W28)),W28,IF(BV28="2+3",IF(ISNUMBER(SEARCH("grosser Artikel",BO28)),2,IFERROR(VLOOKUP(BR28,Parameter!$F$35:$G$64,2,0),2)),IF(OR(BV28="Nein",BV28=""),"-",BV28))))</f>
        <v>2</v>
      </c>
      <c r="AA28" s="62"/>
      <c r="AB28" s="63"/>
      <c r="AC28" s="57" t="n">
        <f aca="false">AR28</f>
        <v>164</v>
      </c>
      <c r="AD28" s="57" t="n">
        <f aca="false">MAX(AR28,H28)</f>
        <v>164</v>
      </c>
      <c r="AE28" s="64"/>
      <c r="AF28" s="57" t="n">
        <f aca="false">IF(LEFT(Cockpit!$C$5,1)="A",H28,IF(CA28=1,CB28,IF(LEFT(Cockpit!$C$5,1)="B",AJ28,MAX(AJ28,H28))))</f>
        <v>41</v>
      </c>
      <c r="AG28" s="57" t="n">
        <f aca="false">IF(BT28=1,0,ROUNDUP(AF28/BS28,0))</f>
        <v>1</v>
      </c>
      <c r="AH28" s="59" t="n">
        <f aca="false">IF(CH28&gt;0,CH28*MAX(1,AF28/X28),IF(BT28=1,IF(AF28&lt;=0,0,BW28*MAX(1,IF(H28&gt;0,AF28/H28,1))),IF(R28&gt;0,AG28/R28,0))/MAX(0.1,N(Parameter!$M$21)))</f>
        <v>0.0833333333333333</v>
      </c>
      <c r="AI28" s="57" t="n">
        <f aca="false">AF28*G28</f>
        <v>16422.55</v>
      </c>
      <c r="AJ28" s="57" t="n">
        <f aca="false">ROUNDUP(MAX(J28/IF(BZ28&gt;0,BZ28,MAX(0.1,N(Cockpit!$C$6))),CC28)/BS28,0)*BS28</f>
        <v>164</v>
      </c>
      <c r="AK28" s="58" t="n">
        <f aca="false">IF(AH28&gt;0,J28/AH28,-1)</f>
        <v>3312</v>
      </c>
      <c r="AL28" s="58" t="n">
        <f aca="false">IF(AND(OR(BY28="L1",BY28="L23"),AH28&gt;0),SUMIFS($AH$7:$AH$1843,$BY$7:$BY$1843,BY28,$AK$7:$AK$1843,"&gt;"&amp;AK28)+SUMIFS($AH$7:$AH$1843,$BY$7:$BY$1843,BY28,$AK$7:$AK$1843,AK28,$BQ$7:$BQ$1843,"&lt;="&amp;BQ28),"")</f>
        <v>10.5434529238877</v>
      </c>
      <c r="AM28" s="65" t="n">
        <f aca="false">IF(AL28="",0,MAX(0,MIN(1,(IF(BY28="L1",Parameter!$E$5,Parameter!$E$6+Parameter!$E$7)-(AL28-AH28))/AH28)))</f>
        <v>1</v>
      </c>
      <c r="AN28" s="57" t="n">
        <f aca="false">IF(LEFT(Cockpit!$I$5,1)="A",H28,IF(CA28=1,CB28,IF(LEFT(Cockpit!$I$5,1)="B",AR28,MAX(AR28,H28))))</f>
        <v>164</v>
      </c>
      <c r="AO28" s="57" t="n">
        <f aca="false">IF(BT28=1,0,ROUNDUP(AN28/BS28,0))</f>
        <v>4</v>
      </c>
      <c r="AP28" s="59" t="n">
        <f aca="false">IF(CH28&gt;0,CH28*MAX(1,AN28/X28),IF(BT28=1,IF(AN28&lt;=0,0,BW28*MAX(1,IF(H28&gt;0,AN28/H28,1))),IF(R28&gt;0,AO28/R28,0))/MAX(0.1,N(Parameter!$M$21)))</f>
        <v>0.333333333333333</v>
      </c>
      <c r="AQ28" s="57" t="n">
        <f aca="false">AN28*G28</f>
        <v>65690.2</v>
      </c>
      <c r="AR28" s="57" t="n">
        <f aca="false">ROUNDUP(MAX(J28/IF(BZ28&gt;0,BZ28,MAX(0.1,N(Cockpit!$I$6))),CC28)/BS28,0)*BS28</f>
        <v>164</v>
      </c>
      <c r="AS28" s="58" t="n">
        <f aca="false">IF(AP28&gt;0,J28/AP28,-1)</f>
        <v>828</v>
      </c>
      <c r="AT28" s="58" t="n">
        <f aca="false">IF(AND(OR(BY28="L1",BY28="L23"),AP28&gt;0),SUMIFS($AP$7:$AP$1843,$BY$7:$BY$1843,BY28,$AS$7:$AS$1843,"&gt;"&amp;AS28)+SUMIFS($AP$7:$AP$1843,$BY$7:$BY$1843,BY28,$AS$7:$AS$1843,AS28,$BQ$7:$BQ$1843,"&lt;="&amp;BQ28),"")</f>
        <v>25.9186936252154</v>
      </c>
      <c r="AU28" s="65" t="n">
        <f aca="false">IF(AT28="",0,MAX(0,MIN(1,(IF(BY28="L1",Parameter!$E$5,Parameter!$E$6+Parameter!$E$7)-(AT28-AP28))/AP28)))</f>
        <v>1</v>
      </c>
      <c r="AV28" s="57" t="n">
        <f aca="false">IF(LEFT(Cockpit!$O$5,1)="A",H28,IF(CA28=1,CB28,IF(LEFT(Cockpit!$O$5,1)="B",AZ28,MAX(AZ28,H28))))</f>
        <v>123</v>
      </c>
      <c r="AW28" s="57" t="n">
        <f aca="false">IF(BT28=1,0,ROUNDUP(AV28/BS28,0))</f>
        <v>3</v>
      </c>
      <c r="AX28" s="59" t="n">
        <f aca="false">IF(CH28&gt;0,CH28*MAX(1,AV28/X28),IF(BT28=1,IF(AV28&lt;=0,0,BW28*MAX(1,IF(H28&gt;0,AV28/H28,1))),IF(R28&gt;0,AW28/R28,0))/MAX(0.1,N(Parameter!$M$21)))</f>
        <v>0.25</v>
      </c>
      <c r="AY28" s="57" t="n">
        <f aca="false">AV28*G28</f>
        <v>49267.65</v>
      </c>
      <c r="AZ28" s="57" t="n">
        <f aca="false">ROUNDUP(MAX(J28/IF(BZ28&gt;0,BZ28,MAX(0.1,N(Cockpit!$O$6))),CC28)/BS28,0)*BS28</f>
        <v>123</v>
      </c>
      <c r="BA28" s="58" t="n">
        <f aca="false">IF(AX28&gt;0,J28/AX28,-1)</f>
        <v>1104</v>
      </c>
      <c r="BB28" s="58" t="n">
        <f aca="false">IF(AND(OR(BY28="L1",BY28="L23"),AX28&gt;0),SUMIFS($AX$7:$AX$1843,$BY$7:$BY$1843,BY28,$BA$7:$BA$1843,"&gt;"&amp;BA28)+SUMIFS($AX$7:$AX$1843,$BY$7:$BY$1843,BY28,$BA$7:$BA$1843,BA28,$BQ$7:$BQ$1843,"&lt;="&amp;BQ28),"")</f>
        <v>22.5424563359346</v>
      </c>
      <c r="BC28" s="65" t="n">
        <f aca="false">IF(BB28="",0,MAX(0,MIN(1,(IF(BY28="L1",Parameter!$E$5,Parameter!$E$6+Parameter!$E$7)-(BB28-AX28))/AX28)))</f>
        <v>1</v>
      </c>
      <c r="BD28" s="55" t="str">
        <f aca="false">IF(AH28&lt;=0,"",IF(BY28="Aussen","Aussenlager",IF(BY28="-","Nicht im Lift",IF(AM28&gt;=1,"Lift",IF(AM28&lt;=0,"Aussenlager","teilweise")))))</f>
        <v>Lift</v>
      </c>
      <c r="BE28" s="55" t="str">
        <f aca="false">IF(AP28&lt;=0,"",IF(BY28="Aussen","Aussenlager",IF(BY28="-","Nicht im Lift",IF(AU28&gt;=1,"Lift",IF(AU28&lt;=0,"Aussenlager","teilweise")))))</f>
        <v>Lift</v>
      </c>
      <c r="BF28" s="55" t="str">
        <f aca="false">IF(AX28&lt;=0,"",IF(BY28="Aussen","Aussenlager",IF(BY28="-","Nicht im Lift",IF(BC28&gt;=1,"Lift",IF(BC28&lt;=0,"Aussenlager","teilweise")))))</f>
        <v>Lift</v>
      </c>
      <c r="BG28" s="55" t="str">
        <f aca="false">IF(A28="","",IF(BP28=1,"Neu; ","")&amp;IF(AND(BP28=0,BK28&lt;0),"negativer Bestand (Export "&amp;BK28&amp;"); ","")&amp;IF(J28&lt;=0,"Kein Verbrauch; ","")&amp;IF(CH28&gt;0,"Lift "&amp;W28&amp;" lt. Liftbericht (Fach "&amp;X28&amp;" Stk); ",IF(BU28=1,"Gebinde geschätzt ("&amp;T28&amp;"); ",IF(BT28=1,"Lose – Tablare geschätzt; ","")))&amp;IF(H28&gt;AR28,"Überbestand "&amp;ROUND(H28-AR28,0)&amp;" Stk / CHF "&amp;ROUND((H28-AR28)*G28,0)&amp;"; ","")&amp;IF(AND(CA28=1,CB28&lt;CC28),"MAX &lt; MB+LG; ","")&amp;IF(AND(CG28&gt;0,CF28*10&gt;CG28),"zu hoch für Tablar; ","")&amp;IF(AND(BP28=0,OR(CA28=1,AA28&lt;&gt;"",U28&lt;&gt;"",V28&lt;&gt;"",AB28&lt;&gt;"")),"manuell übersteuert; ","")&amp;IF(AND(BT28=0,R28=0),"Gebinde unbekannt / Stellmass fehlt; ","")&amp;IF(AND(BT28=0,N(V28)&lt;=0,N(Q28)&lt;=0),"Menge pro Gebinde fehlt (Ist = 1 Gebinde); ","")&amp;BO28)</f>
        <v>Gebinde geschätzt (Mittel); Menge pro Gebinde fehlt (Ist = 1 Gebinde); nicht im KTL vorhanden</v>
      </c>
      <c r="BH28" s="55"/>
      <c r="BI28" s="55"/>
      <c r="BJ28" s="62"/>
      <c r="BK28" s="57" t="n">
        <v>35</v>
      </c>
      <c r="BL28" s="57" t="n">
        <v>6</v>
      </c>
      <c r="BM28" s="56" t="n">
        <v>13842.61</v>
      </c>
      <c r="BN28" s="57" t="n">
        <v>276</v>
      </c>
      <c r="BO28" s="55" t="s">
        <v>230</v>
      </c>
      <c r="BP28" s="60" t="n">
        <v>0</v>
      </c>
      <c r="BQ28" s="60" t="n">
        <v>28</v>
      </c>
      <c r="BR28" s="55" t="str">
        <f aca="false">IF(U28&lt;&gt;"",UPPER(TRIM(U28)),IF(BU28=1,UPPER(VLOOKUP(T28,Parameter!$I$27:$K$29,2,0)),IF(P28="","LOSE",P28)))</f>
        <v>S61</v>
      </c>
      <c r="BS28" s="57" t="n">
        <f aca="false">IF(BR28="LOSE",1,IF(N(V28)&gt;0,V28,IF(BU28=1,MAX(1,N(VLOOKUP(T28,Parameter!$I$27:$K$29,3,0)),H28,N(N28)),IF(N(Q28)&gt;0,Q28,MAX(1,H28)))))</f>
        <v>41</v>
      </c>
      <c r="BT28" s="60" t="n">
        <f aca="false">IF(BR28="LOSE",1,0)</f>
        <v>0</v>
      </c>
      <c r="BU28" s="60" t="n">
        <f aca="false">IF(AND(U28="",OR(P28="",P28="LOSE"),T28&lt;&gt;"",N(S28)&lt;=0,ISNUMBER(MATCH(T28,Parameter!$I$27:$I$29,0))),1,0)</f>
        <v>1</v>
      </c>
      <c r="BV28" s="55" t="str">
        <f aca="false">IF(AND(Parameter!$B$19="Ja",E28&lt;&gt;"",ISNUMBER(MATCH(E28,Parameter!$I$35:$I$52,0))),VLOOKUP(E28,Parameter!$I$35:$J$52,2,0),IFERROR(VLOOKUP(D28,Parameter!$A$35:$C$64,2,0),"Nein"))</f>
        <v>2+3</v>
      </c>
      <c r="BW28" s="59" t="n">
        <f aca="false">IF(BT28=0,0,IF(N(S28)&gt;0,S28,IFERROR(VLOOKUP(D28,Parameter!$A$35:$C$64,3,0)+0,0)))</f>
        <v>0</v>
      </c>
      <c r="BX28" s="55" t="n">
        <f aca="false">IF(AA28&lt;&gt;"",AA28,Z28)</f>
        <v>2</v>
      </c>
      <c r="BY28" s="55" t="str">
        <f aca="false">IF(BX28=1,"L1",IF(OR(BX28=2,BX28=3),"L23",IF(BX28="Aussen","Aussen","-")))</f>
        <v>L23</v>
      </c>
      <c r="BZ28" s="66" t="n">
        <f aca="false">IF(N(AB28)&gt;0,AB28,0)</f>
        <v>0</v>
      </c>
      <c r="CA28" s="60" t="n">
        <f aca="false">IF(ISNUMBER(AE28),1,0)</f>
        <v>0</v>
      </c>
      <c r="CB28" s="57" t="n">
        <f aca="false">N(AE28)</f>
        <v>0</v>
      </c>
      <c r="CC28" s="57" t="n">
        <f aca="false">N(M28)+N(N28)</f>
        <v>56</v>
      </c>
      <c r="CD28" s="57" t="n">
        <f aca="false">ROUNDUP(H28/BS28,0)</f>
        <v>1</v>
      </c>
      <c r="CE28" s="57" t="n">
        <f aca="false">ROUNDUP(CB28/BS28,0)</f>
        <v>0</v>
      </c>
      <c r="CF28" s="60" t="n">
        <f aca="false">IF(BT28=1,0,IFERROR(VLOOKUP(BR28,'Gebinde-Kategorie'!$A$5:$M$45,5,0)+0,0))</f>
        <v>11</v>
      </c>
      <c r="CG28" s="60" t="n">
        <f aca="false">IFERROR(IF(OR(BX28=1,BX28=2,BX28=3),N(INDEX(Parameter!$I$5:$I$7,BX28)),0),0)</f>
        <v>0</v>
      </c>
      <c r="CH28" s="59" t="n">
        <f aca="false">IF(AND(Parameter!$B$21="Ja",ISNUMBER(W28),N(X28)&gt;0),IFERROR(N(INDEX(Parameter!$L$5:$L$7,W28))*INDEX(Parameter!$E$5:$E$7,W28)*X28/SUMIFS($X$7:$X$1843,$W$7:$W$1843,W28),0),0)</f>
        <v>0</v>
      </c>
    </row>
    <row r="29" customFormat="false" ht="15" hidden="false" customHeight="false" outlineLevel="0" collapsed="false">
      <c r="A29" s="55" t="s">
        <v>231</v>
      </c>
      <c r="B29" s="55" t="s">
        <v>232</v>
      </c>
      <c r="C29" s="55" t="s">
        <v>164</v>
      </c>
      <c r="D29" s="55" t="s">
        <v>184</v>
      </c>
      <c r="E29" s="55"/>
      <c r="F29" s="55" t="s">
        <v>218</v>
      </c>
      <c r="G29" s="56" t="n">
        <v>1048.6</v>
      </c>
      <c r="H29" s="57" t="n">
        <f aca="false">MAX(0,IF(AND(Parameter!$B$21="Ja",ISNUMBER(Y29)),Y29,IF(Parameter!$B$20="Jahresanfang 2025 + Export",BL29+BK29,BK29)))</f>
        <v>12</v>
      </c>
      <c r="I29" s="57" t="n">
        <f aca="false">H29*G29</f>
        <v>12583.2</v>
      </c>
      <c r="J29" s="57" t="n">
        <f aca="false">BN29*Parameter!$B$18</f>
        <v>23</v>
      </c>
      <c r="K29" s="58" t="n">
        <v>1.5</v>
      </c>
      <c r="L29" s="59" t="n">
        <v>15.3333333333333</v>
      </c>
      <c r="M29" s="57" t="n">
        <v>6</v>
      </c>
      <c r="N29" s="57" t="n">
        <v>5</v>
      </c>
      <c r="O29" s="60" t="n">
        <v>100</v>
      </c>
      <c r="P29" s="55" t="s">
        <v>233</v>
      </c>
      <c r="Q29" s="57" t="n">
        <v>20</v>
      </c>
      <c r="R29" s="60" t="n">
        <f aca="false">IF(BT29=1,0,IFERROR(VLOOKUP(BR29,'Gebinde-Kategorie'!$A$5:$M$45,13,0)+0,0))</f>
        <v>26</v>
      </c>
      <c r="S29" s="61"/>
      <c r="T29" s="62"/>
      <c r="U29" s="62"/>
      <c r="V29" s="62"/>
      <c r="W29" s="55"/>
      <c r="X29" s="57"/>
      <c r="Y29" s="57"/>
      <c r="Z29" s="55" t="n">
        <f aca="false">IF(A29="","",IF(AND(Parameter!$B$21="Ja",ISNUMBER(W29)),W29,IF(BV29="2+3",IF(ISNUMBER(SEARCH("grosser Artikel",BO29)),2,IFERROR(VLOOKUP(BR29,Parameter!$F$35:$G$64,2,0),2)),IF(OR(BV29="Nein",BV29=""),"-",BV29))))</f>
        <v>3</v>
      </c>
      <c r="AA29" s="62"/>
      <c r="AB29" s="63"/>
      <c r="AC29" s="57" t="n">
        <f aca="false">AR29</f>
        <v>20</v>
      </c>
      <c r="AD29" s="57" t="n">
        <f aca="false">MAX(AR29,H29)</f>
        <v>20</v>
      </c>
      <c r="AE29" s="64"/>
      <c r="AF29" s="57" t="n">
        <f aca="false">IF(LEFT(Cockpit!$C$5,1)="A",H29,IF(CA29=1,CB29,IF(LEFT(Cockpit!$C$5,1)="B",AJ29,MAX(AJ29,H29))))</f>
        <v>12</v>
      </c>
      <c r="AG29" s="57" t="n">
        <f aca="false">IF(BT29=1,0,ROUNDUP(AF29/BS29,0))</f>
        <v>1</v>
      </c>
      <c r="AH29" s="59" t="n">
        <f aca="false">IF(CH29&gt;0,CH29*MAX(1,AF29/X29),IF(BT29=1,IF(AF29&lt;=0,0,BW29*MAX(1,IF(H29&gt;0,AF29/H29,1))),IF(R29&gt;0,AG29/R29,0))/MAX(0.1,N(Parameter!$M$21)))</f>
        <v>0.0384615384615385</v>
      </c>
      <c r="AI29" s="57" t="n">
        <f aca="false">AF29*G29</f>
        <v>12583.2</v>
      </c>
      <c r="AJ29" s="57" t="n">
        <f aca="false">ROUNDUP(MAX(J29/IF(BZ29&gt;0,BZ29,MAX(0.1,N(Cockpit!$C$6))),CC29)/BS29,0)*BS29</f>
        <v>20</v>
      </c>
      <c r="AK29" s="58" t="n">
        <f aca="false">IF(AH29&gt;0,J29/AH29,-1)</f>
        <v>598</v>
      </c>
      <c r="AL29" s="58" t="n">
        <f aca="false">IF(AND(OR(BY29="L1",BY29="L23"),AH29&gt;0),SUMIFS($AH$7:$AH$1843,$BY$7:$BY$1843,BY29,$AK$7:$AK$1843,"&gt;"&amp;AK29)+SUMIFS($AH$7:$AH$1843,$BY$7:$BY$1843,BY29,$AK$7:$AK$1843,AK29,$BQ$7:$BQ$1843,"&lt;="&amp;BQ29),"")</f>
        <v>23.1925019425019</v>
      </c>
      <c r="AM29" s="65" t="n">
        <f aca="false">IF(AL29="",0,MAX(0,MIN(1,(IF(BY29="L1",Parameter!$E$5,Parameter!$E$6+Parameter!$E$7)-(AL29-AH29))/AH29)))</f>
        <v>1</v>
      </c>
      <c r="AN29" s="57" t="n">
        <f aca="false">IF(LEFT(Cockpit!$I$5,1)="A",H29,IF(CA29=1,CB29,IF(LEFT(Cockpit!$I$5,1)="B",AR29,MAX(AR29,H29))))</f>
        <v>20</v>
      </c>
      <c r="AO29" s="57" t="n">
        <f aca="false">IF(BT29=1,0,ROUNDUP(AN29/BS29,0))</f>
        <v>1</v>
      </c>
      <c r="AP29" s="59" t="n">
        <f aca="false">IF(CH29&gt;0,CH29*MAX(1,AN29/X29),IF(BT29=1,IF(AN29&lt;=0,0,BW29*MAX(1,IF(H29&gt;0,AN29/H29,1))),IF(R29&gt;0,AO29/R29,0))/MAX(0.1,N(Parameter!$M$21)))</f>
        <v>0.0384615384615385</v>
      </c>
      <c r="AQ29" s="57" t="n">
        <f aca="false">AN29*G29</f>
        <v>20972</v>
      </c>
      <c r="AR29" s="57" t="n">
        <f aca="false">ROUNDUP(MAX(J29/IF(BZ29&gt;0,BZ29,MAX(0.1,N(Cockpit!$I$6))),CC29)/BS29,0)*BS29</f>
        <v>20</v>
      </c>
      <c r="AS29" s="58" t="n">
        <f aca="false">IF(AP29&gt;0,J29/AP29,-1)</f>
        <v>598</v>
      </c>
      <c r="AT29" s="58" t="n">
        <f aca="false">IF(AND(OR(BY29="L1",BY29="L23"),AP29&gt;0),SUMIFS($AP$7:$AP$1843,$BY$7:$BY$1843,BY29,$AS$7:$AS$1843,"&gt;"&amp;AS29)+SUMIFS($AP$7:$AP$1843,$BY$7:$BY$1843,BY29,$AS$7:$AS$1843,AS29,$BQ$7:$BQ$1843,"&lt;="&amp;BQ29),"")</f>
        <v>30.569533123881</v>
      </c>
      <c r="AU29" s="65" t="n">
        <f aca="false">IF(AT29="",0,MAX(0,MIN(1,(IF(BY29="L1",Parameter!$E$5,Parameter!$E$6+Parameter!$E$7)-(AT29-AP29))/AP29)))</f>
        <v>1</v>
      </c>
      <c r="AV29" s="57" t="n">
        <f aca="false">IF(LEFT(Cockpit!$O$5,1)="A",H29,IF(CA29=1,CB29,IF(LEFT(Cockpit!$O$5,1)="B",AZ29,MAX(AZ29,H29))))</f>
        <v>20</v>
      </c>
      <c r="AW29" s="57" t="n">
        <f aca="false">IF(BT29=1,0,ROUNDUP(AV29/BS29,0))</f>
        <v>1</v>
      </c>
      <c r="AX29" s="59" t="n">
        <f aca="false">IF(CH29&gt;0,CH29*MAX(1,AV29/X29),IF(BT29=1,IF(AV29&lt;=0,0,BW29*MAX(1,IF(H29&gt;0,AV29/H29,1))),IF(R29&gt;0,AW29/R29,0))/MAX(0.1,N(Parameter!$M$21)))</f>
        <v>0.0384615384615385</v>
      </c>
      <c r="AY29" s="57" t="n">
        <f aca="false">AV29*G29</f>
        <v>20972</v>
      </c>
      <c r="AZ29" s="57" t="n">
        <f aca="false">ROUNDUP(MAX(J29/IF(BZ29&gt;0,BZ29,MAX(0.1,N(Cockpit!$O$6))),CC29)/BS29,0)*BS29</f>
        <v>20</v>
      </c>
      <c r="BA29" s="58" t="n">
        <f aca="false">IF(AX29&gt;0,J29/AX29,-1)</f>
        <v>598</v>
      </c>
      <c r="BB29" s="58" t="n">
        <f aca="false">IF(AND(OR(BY29="L1",BY29="L23"),AX29&gt;0),SUMIFS($AX$7:$AX$1843,$BY$7:$BY$1843,BY29,$BA$7:$BA$1843,"&gt;"&amp;BA29)+SUMIFS($AX$7:$AX$1843,$BY$7:$BY$1843,BY29,$BA$7:$BA$1843,BA29,$BQ$7:$BQ$1843,"&lt;="&amp;BQ29),"")</f>
        <v>29.2711648255127</v>
      </c>
      <c r="BC29" s="65" t="n">
        <f aca="false">IF(BB29="",0,MAX(0,MIN(1,(IF(BY29="L1",Parameter!$E$5,Parameter!$E$6+Parameter!$E$7)-(BB29-AX29))/AX29)))</f>
        <v>1</v>
      </c>
      <c r="BD29" s="55" t="str">
        <f aca="false">IF(AH29&lt;=0,"",IF(BY29="Aussen","Aussenlager",IF(BY29="-","Nicht im Lift",IF(AM29&gt;=1,"Lift",IF(AM29&lt;=0,"Aussenlager","teilweise")))))</f>
        <v>Lift</v>
      </c>
      <c r="BE29" s="55" t="str">
        <f aca="false">IF(AP29&lt;=0,"",IF(BY29="Aussen","Aussenlager",IF(BY29="-","Nicht im Lift",IF(AU29&gt;=1,"Lift",IF(AU29&lt;=0,"Aussenlager","teilweise")))))</f>
        <v>Lift</v>
      </c>
      <c r="BF29" s="55" t="str">
        <f aca="false">IF(AX29&lt;=0,"",IF(BY29="Aussen","Aussenlager",IF(BY29="-","Nicht im Lift",IF(BC29&gt;=1,"Lift",IF(BC29&lt;=0,"Aussenlager","teilweise")))))</f>
        <v>Lift</v>
      </c>
      <c r="BG29" s="55" t="str">
        <f aca="false">IF(A29="","",IF(BP29=1,"Neu; ","")&amp;IF(AND(BP29=0,BK29&lt;0),"negativer Bestand (Export "&amp;BK29&amp;"); ","")&amp;IF(J29&lt;=0,"Kein Verbrauch; ","")&amp;IF(CH29&gt;0,"Lift "&amp;W29&amp;" lt. Liftbericht (Fach "&amp;X29&amp;" Stk); ",IF(BU29=1,"Gebinde geschätzt ("&amp;T29&amp;"); ",IF(BT29=1,"Lose – Tablare geschätzt; ","")))&amp;IF(H29&gt;AR29,"Überbestand "&amp;ROUND(H29-AR29,0)&amp;" Stk / CHF "&amp;ROUND((H29-AR29)*G29,0)&amp;"; ","")&amp;IF(AND(CA29=1,CB29&lt;CC29),"MAX &lt; MB+LG; ","")&amp;IF(AND(CG29&gt;0,CF29*10&gt;CG29),"zu hoch für Tablar; ","")&amp;IF(AND(BP29=0,OR(CA29=1,AA29&lt;&gt;"",U29&lt;&gt;"",V29&lt;&gt;"",AB29&lt;&gt;"")),"manuell übersteuert; ","")&amp;IF(AND(BT29=0,R29=0),"Gebinde unbekannt / Stellmass fehlt; ","")&amp;IF(AND(BT29=0,N(V29)&lt;=0,N(Q29)&lt;=0),"Menge pro Gebinde fehlt (Ist = 1 Gebinde); ","")&amp;BO29)</f>
        <v/>
      </c>
      <c r="BH29" s="55" t="s">
        <v>234</v>
      </c>
      <c r="BI29" s="55" t="s">
        <v>235</v>
      </c>
      <c r="BJ29" s="62"/>
      <c r="BK29" s="57" t="n">
        <v>11</v>
      </c>
      <c r="BL29" s="57" t="n">
        <v>1</v>
      </c>
      <c r="BM29" s="56" t="n">
        <v>12583.19</v>
      </c>
      <c r="BN29" s="57" t="n">
        <v>23</v>
      </c>
      <c r="BO29" s="55"/>
      <c r="BP29" s="60" t="n">
        <v>0</v>
      </c>
      <c r="BQ29" s="60" t="n">
        <v>29</v>
      </c>
      <c r="BR29" s="55" t="str">
        <f aca="false">IF(U29&lt;&gt;"",UPPER(TRIM(U29)),IF(BU29=1,UPPER(VLOOKUP(T29,Parameter!$I$27:$K$29,2,0)),IF(P29="","LOSE",P29)))</f>
        <v>S52</v>
      </c>
      <c r="BS29" s="57" t="n">
        <f aca="false">IF(BR29="LOSE",1,IF(N(V29)&gt;0,V29,IF(BU29=1,MAX(1,N(VLOOKUP(T29,Parameter!$I$27:$K$29,3,0)),H29,N(N29)),IF(N(Q29)&gt;0,Q29,MAX(1,H29)))))</f>
        <v>20</v>
      </c>
      <c r="BT29" s="60" t="n">
        <f aca="false">IF(BR29="LOSE",1,0)</f>
        <v>0</v>
      </c>
      <c r="BU29" s="60" t="n">
        <f aca="false">IF(AND(U29="",OR(P29="",P29="LOSE"),T29&lt;&gt;"",N(S29)&lt;=0,ISNUMBER(MATCH(T29,Parameter!$I$27:$I$29,0))),1,0)</f>
        <v>0</v>
      </c>
      <c r="BV29" s="55" t="str">
        <f aca="false">IF(AND(Parameter!$B$19="Ja",E29&lt;&gt;"",ISNUMBER(MATCH(E29,Parameter!$I$35:$I$52,0))),VLOOKUP(E29,Parameter!$I$35:$J$52,2,0),IFERROR(VLOOKUP(D29,Parameter!$A$35:$C$64,2,0),"Nein"))</f>
        <v>2+3</v>
      </c>
      <c r="BW29" s="59" t="n">
        <f aca="false">IF(BT29=0,0,IF(N(S29)&gt;0,S29,IFERROR(VLOOKUP(D29,Parameter!$A$35:$C$64,3,0)+0,0)))</f>
        <v>0</v>
      </c>
      <c r="BX29" s="55" t="n">
        <f aca="false">IF(AA29&lt;&gt;"",AA29,Z29)</f>
        <v>3</v>
      </c>
      <c r="BY29" s="55" t="str">
        <f aca="false">IF(BX29=1,"L1",IF(OR(BX29=2,BX29=3),"L23",IF(BX29="Aussen","Aussen","-")))</f>
        <v>L23</v>
      </c>
      <c r="BZ29" s="66" t="n">
        <f aca="false">IF(N(AB29)&gt;0,AB29,0)</f>
        <v>0</v>
      </c>
      <c r="CA29" s="60" t="n">
        <f aca="false">IF(ISNUMBER(AE29),1,0)</f>
        <v>0</v>
      </c>
      <c r="CB29" s="57" t="n">
        <f aca="false">N(AE29)</f>
        <v>0</v>
      </c>
      <c r="CC29" s="57" t="n">
        <f aca="false">N(M29)+N(N29)</f>
        <v>11</v>
      </c>
      <c r="CD29" s="57" t="n">
        <f aca="false">ROUNDUP(H29/BS29,0)</f>
        <v>1</v>
      </c>
      <c r="CE29" s="57" t="n">
        <f aca="false">ROUNDUP(CB29/BS29,0)</f>
        <v>0</v>
      </c>
      <c r="CF29" s="60" t="n">
        <f aca="false">IF(BT29=1,0,IFERROR(VLOOKUP(BR29,'Gebinde-Kategorie'!$A$5:$M$45,5,0)+0,0))</f>
        <v>21</v>
      </c>
      <c r="CG29" s="60" t="n">
        <f aca="false">IFERROR(IF(OR(BX29=1,BX29=2,BX29=3),N(INDEX(Parameter!$I$5:$I$7,BX29)),0),0)</f>
        <v>0</v>
      </c>
      <c r="CH29" s="59" t="n">
        <f aca="false">IF(AND(Parameter!$B$21="Ja",ISNUMBER(W29),N(X29)&gt;0),IFERROR(N(INDEX(Parameter!$L$5:$L$7,W29))*INDEX(Parameter!$E$5:$E$7,W29)*X29/SUMIFS($X$7:$X$1843,$W$7:$W$1843,W29),0),0)</f>
        <v>0</v>
      </c>
    </row>
    <row r="30" customFormat="false" ht="15" hidden="false" customHeight="false" outlineLevel="0" collapsed="false">
      <c r="A30" s="55" t="s">
        <v>236</v>
      </c>
      <c r="B30" s="55" t="s">
        <v>237</v>
      </c>
      <c r="C30" s="55" t="s">
        <v>164</v>
      </c>
      <c r="D30" s="55" t="s">
        <v>173</v>
      </c>
      <c r="E30" s="55" t="s">
        <v>185</v>
      </c>
      <c r="F30" s="55" t="s">
        <v>218</v>
      </c>
      <c r="G30" s="56" t="n">
        <v>306.57</v>
      </c>
      <c r="H30" s="57" t="n">
        <f aca="false">MAX(0,IF(AND(Parameter!$B$21="Ja",ISNUMBER(Y30)),Y30,IF(Parameter!$B$20="Jahresanfang 2025 + Export",BL30+BK30,BK30)))</f>
        <v>45</v>
      </c>
      <c r="I30" s="57" t="n">
        <f aca="false">H30*G30</f>
        <v>13795.65</v>
      </c>
      <c r="J30" s="57" t="n">
        <f aca="false">BN30*Parameter!$B$18</f>
        <v>297</v>
      </c>
      <c r="K30" s="58" t="n">
        <v>25</v>
      </c>
      <c r="L30" s="59" t="n">
        <v>11.88</v>
      </c>
      <c r="M30" s="57" t="n">
        <v>23</v>
      </c>
      <c r="N30" s="57" t="n">
        <v>45</v>
      </c>
      <c r="O30" s="60" t="n">
        <v>28</v>
      </c>
      <c r="P30" s="55" t="s">
        <v>226</v>
      </c>
      <c r="Q30" s="57" t="n">
        <v>34</v>
      </c>
      <c r="R30" s="60" t="n">
        <f aca="false">IF(BT30=1,0,IFERROR(VLOOKUP(BR30,'Gebinde-Kategorie'!$A$5:$M$45,13,0)+0,0))</f>
        <v>12</v>
      </c>
      <c r="S30" s="61"/>
      <c r="T30" s="62"/>
      <c r="U30" s="62"/>
      <c r="V30" s="62"/>
      <c r="W30" s="55"/>
      <c r="X30" s="57"/>
      <c r="Y30" s="57"/>
      <c r="Z30" s="55" t="n">
        <f aca="false">IF(A30="","",IF(AND(Parameter!$B$21="Ja",ISNUMBER(W30)),W30,IF(BV30="2+3",IF(ISNUMBER(SEARCH("grosser Artikel",BO30)),2,IFERROR(VLOOKUP(BR30,Parameter!$F$35:$G$64,2,0),2)),IF(OR(BV30="Nein",BV30=""),"-",BV30))))</f>
        <v>2</v>
      </c>
      <c r="AA30" s="62"/>
      <c r="AB30" s="63"/>
      <c r="AC30" s="57" t="n">
        <f aca="false">AR30</f>
        <v>170</v>
      </c>
      <c r="AD30" s="57" t="n">
        <f aca="false">MAX(AR30,H30)</f>
        <v>170</v>
      </c>
      <c r="AE30" s="64"/>
      <c r="AF30" s="57" t="n">
        <f aca="false">IF(LEFT(Cockpit!$C$5,1)="A",H30,IF(CA30=1,CB30,IF(LEFT(Cockpit!$C$5,1)="B",AJ30,MAX(AJ30,H30))))</f>
        <v>45</v>
      </c>
      <c r="AG30" s="57" t="n">
        <f aca="false">IF(BT30=1,0,ROUNDUP(AF30/BS30,0))</f>
        <v>2</v>
      </c>
      <c r="AH30" s="59" t="n">
        <f aca="false">IF(CH30&gt;0,CH30*MAX(1,AF30/X30),IF(BT30=1,IF(AF30&lt;=0,0,BW30*MAX(1,IF(H30&gt;0,AF30/H30,1))),IF(R30&gt;0,AG30/R30,0))/MAX(0.1,N(Parameter!$M$21)))</f>
        <v>0.166666666666667</v>
      </c>
      <c r="AI30" s="57" t="n">
        <f aca="false">AF30*G30</f>
        <v>13795.65</v>
      </c>
      <c r="AJ30" s="57" t="n">
        <f aca="false">ROUNDUP(MAX(J30/IF(BZ30&gt;0,BZ30,MAX(0.1,N(Cockpit!$C$6))),CC30)/BS30,0)*BS30</f>
        <v>170</v>
      </c>
      <c r="AK30" s="58" t="n">
        <f aca="false">IF(AH30&gt;0,J30/AH30,-1)</f>
        <v>1782</v>
      </c>
      <c r="AL30" s="58" t="n">
        <f aca="false">IF(AND(OR(BY30="L1",BY30="L23"),AH30&gt;0),SUMIFS($AH$7:$AH$1843,$BY$7:$BY$1843,BY30,$AK$7:$AK$1843,"&gt;"&amp;AK30)+SUMIFS($AH$7:$AH$1843,$BY$7:$BY$1843,BY30,$AK$7:$AK$1843,AK30,$BQ$7:$BQ$1843,"&lt;="&amp;BQ30),"")</f>
        <v>14.9326289652377</v>
      </c>
      <c r="AM30" s="65" t="n">
        <f aca="false">IF(AL30="",0,MAX(0,MIN(1,(IF(BY30="L1",Parameter!$E$5,Parameter!$E$6+Parameter!$E$7)-(AL30-AH30))/AH30)))</f>
        <v>1</v>
      </c>
      <c r="AN30" s="57" t="n">
        <f aca="false">IF(LEFT(Cockpit!$I$5,1)="A",H30,IF(CA30=1,CB30,IF(LEFT(Cockpit!$I$5,1)="B",AR30,MAX(AR30,H30))))</f>
        <v>170</v>
      </c>
      <c r="AO30" s="57" t="n">
        <f aca="false">IF(BT30=1,0,ROUNDUP(AN30/BS30,0))</f>
        <v>5</v>
      </c>
      <c r="AP30" s="59" t="n">
        <f aca="false">IF(CH30&gt;0,CH30*MAX(1,AN30/X30),IF(BT30=1,IF(AN30&lt;=0,0,BW30*MAX(1,IF(H30&gt;0,AN30/H30,1))),IF(R30&gt;0,AO30/R30,0))/MAX(0.1,N(Parameter!$M$21)))</f>
        <v>0.416666666666667</v>
      </c>
      <c r="AQ30" s="57" t="n">
        <f aca="false">AN30*G30</f>
        <v>52116.9</v>
      </c>
      <c r="AR30" s="57" t="n">
        <f aca="false">ROUNDUP(MAX(J30/IF(BZ30&gt;0,BZ30,MAX(0.1,N(Cockpit!$I$6))),CC30)/BS30,0)*BS30</f>
        <v>170</v>
      </c>
      <c r="AS30" s="58" t="n">
        <f aca="false">IF(AP30&gt;0,J30/AP30,-1)</f>
        <v>712.8</v>
      </c>
      <c r="AT30" s="58" t="n">
        <f aca="false">IF(AND(OR(BY30="L1",BY30="L23"),AP30&gt;0),SUMIFS($AP$7:$AP$1843,$BY$7:$BY$1843,BY30,$AS$7:$AS$1843,"&gt;"&amp;AS30)+SUMIFS($AP$7:$AP$1843,$BY$7:$BY$1843,BY30,$AS$7:$AS$1843,AS30,$BQ$7:$BQ$1843,"&lt;="&amp;BQ30),"")</f>
        <v>28.2338687882166</v>
      </c>
      <c r="AU30" s="65" t="n">
        <f aca="false">IF(AT30="",0,MAX(0,MIN(1,(IF(BY30="L1",Parameter!$E$5,Parameter!$E$6+Parameter!$E$7)-(AT30-AP30))/AP30)))</f>
        <v>1</v>
      </c>
      <c r="AV30" s="57" t="n">
        <f aca="false">IF(LEFT(Cockpit!$O$5,1)="A",H30,IF(CA30=1,CB30,IF(LEFT(Cockpit!$O$5,1)="B",AZ30,MAX(AZ30,H30))))</f>
        <v>102</v>
      </c>
      <c r="AW30" s="57" t="n">
        <f aca="false">IF(BT30=1,0,ROUNDUP(AV30/BS30,0))</f>
        <v>3</v>
      </c>
      <c r="AX30" s="59" t="n">
        <f aca="false">IF(CH30&gt;0,CH30*MAX(1,AV30/X30),IF(BT30=1,IF(AV30&lt;=0,0,BW30*MAX(1,IF(H30&gt;0,AV30/H30,1))),IF(R30&gt;0,AW30/R30,0))/MAX(0.1,N(Parameter!$M$21)))</f>
        <v>0.25</v>
      </c>
      <c r="AY30" s="57" t="n">
        <f aca="false">AV30*G30</f>
        <v>31270.14</v>
      </c>
      <c r="AZ30" s="57" t="n">
        <f aca="false">ROUNDUP(MAX(J30/IF(BZ30&gt;0,BZ30,MAX(0.1,N(Cockpit!$O$6))),CC30)/BS30,0)*BS30</f>
        <v>102</v>
      </c>
      <c r="BA30" s="58" t="n">
        <f aca="false">IF(AX30&gt;0,J30/AX30,-1)</f>
        <v>1188</v>
      </c>
      <c r="BB30" s="58" t="n">
        <f aca="false">IF(AND(OR(BY30="L1",BY30="L23"),AX30&gt;0),SUMIFS($AX$7:$AX$1843,$BY$7:$BY$1843,BY30,$BA$7:$BA$1843,"&gt;"&amp;BA30)+SUMIFS($AX$7:$AX$1843,$BY$7:$BY$1843,BY30,$BA$7:$BA$1843,BA30,$BQ$7:$BQ$1843,"&lt;="&amp;BQ30),"")</f>
        <v>21.2217492652275</v>
      </c>
      <c r="BC30" s="65" t="n">
        <f aca="false">IF(BB30="",0,MAX(0,MIN(1,(IF(BY30="L1",Parameter!$E$5,Parameter!$E$6+Parameter!$E$7)-(BB30-AX30))/AX30)))</f>
        <v>1</v>
      </c>
      <c r="BD30" s="55" t="str">
        <f aca="false">IF(AH30&lt;=0,"",IF(BY30="Aussen","Aussenlager",IF(BY30="-","Nicht im Lift",IF(AM30&gt;=1,"Lift",IF(AM30&lt;=0,"Aussenlager","teilweise")))))</f>
        <v>Lift</v>
      </c>
      <c r="BE30" s="55" t="str">
        <f aca="false">IF(AP30&lt;=0,"",IF(BY30="Aussen","Aussenlager",IF(BY30="-","Nicht im Lift",IF(AU30&gt;=1,"Lift",IF(AU30&lt;=0,"Aussenlager","teilweise")))))</f>
        <v>Lift</v>
      </c>
      <c r="BF30" s="55" t="str">
        <f aca="false">IF(AX30&lt;=0,"",IF(BY30="Aussen","Aussenlager",IF(BY30="-","Nicht im Lift",IF(BC30&gt;=1,"Lift",IF(BC30&lt;=0,"Aussenlager","teilweise")))))</f>
        <v>Lift</v>
      </c>
      <c r="BG30" s="55" t="str">
        <f aca="false">IF(A30="","",IF(BP30=1,"Neu; ","")&amp;IF(AND(BP30=0,BK30&lt;0),"negativer Bestand (Export "&amp;BK30&amp;"); ","")&amp;IF(J30&lt;=0,"Kein Verbrauch; ","")&amp;IF(CH30&gt;0,"Lift "&amp;W30&amp;" lt. Liftbericht (Fach "&amp;X30&amp;" Stk); ",IF(BU30=1,"Gebinde geschätzt ("&amp;T30&amp;"); ",IF(BT30=1,"Lose – Tablare geschätzt; ","")))&amp;IF(H30&gt;AR30,"Überbestand "&amp;ROUND(H30-AR30,0)&amp;" Stk / CHF "&amp;ROUND((H30-AR30)*G30,0)&amp;"; ","")&amp;IF(AND(CA30=1,CB30&lt;CC30),"MAX &lt; MB+LG; ","")&amp;IF(AND(CG30&gt;0,CF30*10&gt;CG30),"zu hoch für Tablar; ","")&amp;IF(AND(BP30=0,OR(CA30=1,AA30&lt;&gt;"",U30&lt;&gt;"",V30&lt;&gt;"",AB30&lt;&gt;"")),"manuell übersteuert; ","")&amp;IF(AND(BT30=0,R30=0),"Gebinde unbekannt / Stellmass fehlt; ","")&amp;IF(AND(BT30=0,N(V30)&lt;=0,N(Q30)&lt;=0),"Menge pro Gebinde fehlt (Ist = 1 Gebinde); ","")&amp;BO30)</f>
        <v/>
      </c>
      <c r="BH30" s="55" t="s">
        <v>238</v>
      </c>
      <c r="BI30" s="55" t="s">
        <v>239</v>
      </c>
      <c r="BJ30" s="62"/>
      <c r="BK30" s="57" t="n">
        <v>41</v>
      </c>
      <c r="BL30" s="57" t="n">
        <v>4</v>
      </c>
      <c r="BM30" s="56" t="n">
        <v>12491.91</v>
      </c>
      <c r="BN30" s="57" t="n">
        <v>297</v>
      </c>
      <c r="BO30" s="55"/>
      <c r="BP30" s="60" t="n">
        <v>0</v>
      </c>
      <c r="BQ30" s="60" t="n">
        <v>30</v>
      </c>
      <c r="BR30" s="55" t="str">
        <f aca="false">IF(U30&lt;&gt;"",UPPER(TRIM(U30)),IF(BU30=1,UPPER(VLOOKUP(T30,Parameter!$I$27:$K$29,2,0)),IF(P30="","LOSE",P30)))</f>
        <v>S63</v>
      </c>
      <c r="BS30" s="57" t="n">
        <f aca="false">IF(BR30="LOSE",1,IF(N(V30)&gt;0,V30,IF(BU30=1,MAX(1,N(VLOOKUP(T30,Parameter!$I$27:$K$29,3,0)),H30,N(N30)),IF(N(Q30)&gt;0,Q30,MAX(1,H30)))))</f>
        <v>34</v>
      </c>
      <c r="BT30" s="60" t="n">
        <f aca="false">IF(BR30="LOSE",1,0)</f>
        <v>0</v>
      </c>
      <c r="BU30" s="60" t="n">
        <f aca="false">IF(AND(U30="",OR(P30="",P30="LOSE"),T30&lt;&gt;"",N(S30)&lt;=0,ISNUMBER(MATCH(T30,Parameter!$I$27:$I$29,0))),1,0)</f>
        <v>0</v>
      </c>
      <c r="BV30" s="55" t="str">
        <f aca="false">IF(AND(Parameter!$B$19="Ja",E30&lt;&gt;"",ISNUMBER(MATCH(E30,Parameter!$I$35:$I$52,0))),VLOOKUP(E30,Parameter!$I$35:$J$52,2,0),IFERROR(VLOOKUP(D30,Parameter!$A$35:$C$64,2,0),"Nein"))</f>
        <v>2+3</v>
      </c>
      <c r="BW30" s="59" t="n">
        <f aca="false">IF(BT30=0,0,IF(N(S30)&gt;0,S30,IFERROR(VLOOKUP(D30,Parameter!$A$35:$C$64,3,0)+0,0)))</f>
        <v>0</v>
      </c>
      <c r="BX30" s="55" t="n">
        <f aca="false">IF(AA30&lt;&gt;"",AA30,Z30)</f>
        <v>2</v>
      </c>
      <c r="BY30" s="55" t="str">
        <f aca="false">IF(BX30=1,"L1",IF(OR(BX30=2,BX30=3),"L23",IF(BX30="Aussen","Aussen","-")))</f>
        <v>L23</v>
      </c>
      <c r="BZ30" s="66" t="n">
        <f aca="false">IF(N(AB30)&gt;0,AB30,0)</f>
        <v>0</v>
      </c>
      <c r="CA30" s="60" t="n">
        <f aca="false">IF(ISNUMBER(AE30),1,0)</f>
        <v>0</v>
      </c>
      <c r="CB30" s="57" t="n">
        <f aca="false">N(AE30)</f>
        <v>0</v>
      </c>
      <c r="CC30" s="57" t="n">
        <f aca="false">N(M30)+N(N30)</f>
        <v>68</v>
      </c>
      <c r="CD30" s="57" t="n">
        <f aca="false">ROUNDUP(H30/BS30,0)</f>
        <v>2</v>
      </c>
      <c r="CE30" s="57" t="n">
        <f aca="false">ROUNDUP(CB30/BS30,0)</f>
        <v>0</v>
      </c>
      <c r="CF30" s="60" t="n">
        <f aca="false">IF(BT30=1,0,IFERROR(VLOOKUP(BR30,'Gebinde-Kategorie'!$A$5:$M$45,5,0)+0,0))</f>
        <v>31</v>
      </c>
      <c r="CG30" s="60" t="n">
        <f aca="false">IFERROR(IF(OR(BX30=1,BX30=2,BX30=3),N(INDEX(Parameter!$I$5:$I$7,BX30)),0),0)</f>
        <v>0</v>
      </c>
      <c r="CH30" s="59" t="n">
        <f aca="false">IF(AND(Parameter!$B$21="Ja",ISNUMBER(W30),N(X30)&gt;0),IFERROR(N(INDEX(Parameter!$L$5:$L$7,W30))*INDEX(Parameter!$E$5:$E$7,W30)*X30/SUMIFS($X$7:$X$1843,$W$7:$W$1843,W30),0),0)</f>
        <v>0</v>
      </c>
    </row>
    <row r="31" customFormat="false" ht="15" hidden="false" customHeight="false" outlineLevel="0" collapsed="false">
      <c r="A31" s="55" t="s">
        <v>240</v>
      </c>
      <c r="B31" s="55" t="s">
        <v>241</v>
      </c>
      <c r="C31" s="55" t="s">
        <v>164</v>
      </c>
      <c r="D31" s="55" t="s">
        <v>165</v>
      </c>
      <c r="E31" s="55" t="s">
        <v>166</v>
      </c>
      <c r="F31" s="55" t="s">
        <v>218</v>
      </c>
      <c r="G31" s="56" t="n">
        <v>4074.91</v>
      </c>
      <c r="H31" s="57" t="n">
        <f aca="false">MAX(0,IF(AND(Parameter!$B$21="Ja",ISNUMBER(Y31)),Y31,IF(Parameter!$B$20="Jahresanfang 2025 + Export",BL31+BK31,BK31)))</f>
        <v>8</v>
      </c>
      <c r="I31" s="57" t="n">
        <f aca="false">H31*G31</f>
        <v>32599.28</v>
      </c>
      <c r="J31" s="57" t="n">
        <f aca="false">BN31*Parameter!$B$18</f>
        <v>24</v>
      </c>
      <c r="K31" s="58" t="n">
        <v>6.5</v>
      </c>
      <c r="L31" s="59" t="n">
        <v>3.69230769230769</v>
      </c>
      <c r="M31" s="57" t="n">
        <v>3</v>
      </c>
      <c r="N31" s="57" t="n">
        <v>6</v>
      </c>
      <c r="O31" s="60" t="n">
        <v>49</v>
      </c>
      <c r="P31" s="55" t="s">
        <v>168</v>
      </c>
      <c r="Q31" s="57"/>
      <c r="R31" s="60" t="n">
        <f aca="false">IF(BT31=1,0,IFERROR(VLOOKUP(BR31,'Gebinde-Kategorie'!$A$5:$M$45,13,0)+0,0))</f>
        <v>0</v>
      </c>
      <c r="S31" s="61"/>
      <c r="T31" s="62"/>
      <c r="U31" s="62"/>
      <c r="V31" s="62"/>
      <c r="W31" s="55" t="n">
        <v>1</v>
      </c>
      <c r="X31" s="57" t="n">
        <v>10</v>
      </c>
      <c r="Y31" s="57" t="n">
        <v>8</v>
      </c>
      <c r="Z31" s="55" t="n">
        <f aca="false">IF(A31="","",IF(AND(Parameter!$B$21="Ja",ISNUMBER(W31)),W31,IF(BV31="2+3",IF(ISNUMBER(SEARCH("grosser Artikel",BO31)),2,IFERROR(VLOOKUP(BR31,Parameter!$F$35:$G$64,2,0),2)),IF(OR(BV31="Nein",BV31=""),"-",BV31))))</f>
        <v>1</v>
      </c>
      <c r="AA31" s="62"/>
      <c r="AB31" s="63"/>
      <c r="AC31" s="57" t="n">
        <f aca="false">AR31</f>
        <v>12</v>
      </c>
      <c r="AD31" s="57" t="n">
        <f aca="false">MAX(AR31,H31)</f>
        <v>12</v>
      </c>
      <c r="AE31" s="64"/>
      <c r="AF31" s="57" t="n">
        <f aca="false">IF(LEFT(Cockpit!$C$5,1)="A",H31,IF(CA31=1,CB31,IF(LEFT(Cockpit!$C$5,1)="B",AJ31,MAX(AJ31,H31))))</f>
        <v>8</v>
      </c>
      <c r="AG31" s="57" t="n">
        <f aca="false">IF(BT31=1,0,ROUNDUP(AF31/BS31,0))</f>
        <v>0</v>
      </c>
      <c r="AH31" s="59" t="n">
        <f aca="false">IF(CH31&gt;0,CH31*MAX(1,AF31/X31),IF(BT31=1,IF(AF31&lt;=0,0,BW31*MAX(1,IF(H31&gt;0,AF31/H31,1))),IF(R31&gt;0,AG31/R31,0))/MAX(0.1,N(Parameter!$M$21)))</f>
        <v>0.800376647834275</v>
      </c>
      <c r="AI31" s="57" t="n">
        <f aca="false">AF31*G31</f>
        <v>32599.28</v>
      </c>
      <c r="AJ31" s="57" t="n">
        <f aca="false">ROUNDUP(MAX(J31/IF(BZ31&gt;0,BZ31,MAX(0.1,N(Cockpit!$C$6))),CC31)/BS31,0)*BS31</f>
        <v>12</v>
      </c>
      <c r="AK31" s="58" t="n">
        <f aca="false">IF(AH31&gt;0,J31/AH31,-1)</f>
        <v>29.9858823529412</v>
      </c>
      <c r="AL31" s="58" t="n">
        <f aca="false">IF(AND(OR(BY31="L1",BY31="L23"),AH31&gt;0),SUMIFS($AH$7:$AH$1843,$BY$7:$BY$1843,BY31,$AK$7:$AK$1843,"&gt;"&amp;AK31)+SUMIFS($AH$7:$AH$1843,$BY$7:$BY$1843,BY31,$AK$7:$AK$1843,AK31,$BQ$7:$BQ$1843,"&lt;="&amp;BQ31),"")</f>
        <v>13.2932090017573</v>
      </c>
      <c r="AM31" s="65" t="n">
        <f aca="false">IF(AL31="",0,MAX(0,MIN(1,(IF(BY31="L1",Parameter!$E$5,Parameter!$E$6+Parameter!$E$7)-(AL31-AH31))/AH31)))</f>
        <v>1</v>
      </c>
      <c r="AN31" s="57" t="n">
        <f aca="false">IF(LEFT(Cockpit!$I$5,1)="A",H31,IF(CA31=1,CB31,IF(LEFT(Cockpit!$I$5,1)="B",AR31,MAX(AR31,H31))))</f>
        <v>12</v>
      </c>
      <c r="AO31" s="57" t="n">
        <f aca="false">IF(BT31=1,0,ROUNDUP(AN31/BS31,0))</f>
        <v>0</v>
      </c>
      <c r="AP31" s="59" t="n">
        <f aca="false">IF(CH31&gt;0,CH31*MAX(1,AN31/X31),IF(BT31=1,IF(AN31&lt;=0,0,BW31*MAX(1,IF(H31&gt;0,AN31/H31,1))),IF(R31&gt;0,AO31/R31,0))/MAX(0.1,N(Parameter!$M$21)))</f>
        <v>0.96045197740113</v>
      </c>
      <c r="AQ31" s="57" t="n">
        <f aca="false">AN31*G31</f>
        <v>48898.92</v>
      </c>
      <c r="AR31" s="57" t="n">
        <f aca="false">ROUNDUP(MAX(J31/IF(BZ31&gt;0,BZ31,MAX(0.1,N(Cockpit!$I$6))),CC31)/BS31,0)*BS31</f>
        <v>12</v>
      </c>
      <c r="AS31" s="58" t="n">
        <f aca="false">IF(AP31&gt;0,J31/AP31,-1)</f>
        <v>24.9882352941176</v>
      </c>
      <c r="AT31" s="58" t="n">
        <f aca="false">IF(AND(OR(BY31="L1",BY31="L23"),AP31&gt;0),SUMIFS($AP$7:$AP$1843,$BY$7:$BY$1843,BY31,$AS$7:$AS$1843,"&gt;"&amp;AS31)+SUMIFS($AP$7:$AP$1843,$BY$7:$BY$1843,BY31,$AS$7:$AS$1843,AS31,$BQ$7:$BQ$1843,"&lt;="&amp;BQ31),"")</f>
        <v>19.4153298187933</v>
      </c>
      <c r="AU31" s="65" t="n">
        <f aca="false">IF(AT31="",0,MAX(0,MIN(1,(IF(BY31="L1",Parameter!$E$5,Parameter!$E$6+Parameter!$E$7)-(AT31-AP31))/AP31)))</f>
        <v>1</v>
      </c>
      <c r="AV31" s="57" t="n">
        <f aca="false">IF(LEFT(Cockpit!$O$5,1)="A",H31,IF(CA31=1,CB31,IF(LEFT(Cockpit!$O$5,1)="B",AZ31,MAX(AZ31,H31))))</f>
        <v>9</v>
      </c>
      <c r="AW31" s="57" t="n">
        <f aca="false">IF(BT31=1,0,ROUNDUP(AV31/BS31,0))</f>
        <v>0</v>
      </c>
      <c r="AX31" s="59" t="n">
        <f aca="false">IF(CH31&gt;0,CH31*MAX(1,AV31/X31),IF(BT31=1,IF(AV31&lt;=0,0,BW31*MAX(1,IF(H31&gt;0,AV31/H31,1))),IF(R31&gt;0,AW31/R31,0))/MAX(0.1,N(Parameter!$M$21)))</f>
        <v>0.800376647834275</v>
      </c>
      <c r="AY31" s="57" t="n">
        <f aca="false">AV31*G31</f>
        <v>36674.19</v>
      </c>
      <c r="AZ31" s="57" t="n">
        <f aca="false">ROUNDUP(MAX(J31/IF(BZ31&gt;0,BZ31,MAX(0.1,N(Cockpit!$O$6))),CC31)/BS31,0)*BS31</f>
        <v>9</v>
      </c>
      <c r="BA31" s="58" t="n">
        <f aca="false">IF(AX31&gt;0,J31/AX31,-1)</f>
        <v>29.9858823529412</v>
      </c>
      <c r="BB31" s="58" t="n">
        <f aca="false">IF(AND(OR(BY31="L1",BY31="L23"),AX31&gt;0),SUMIFS($AX$7:$AX$1843,$BY$7:$BY$1843,BY31,$BA$7:$BA$1843,"&gt;"&amp;BA31)+SUMIFS($AX$7:$AX$1843,$BY$7:$BY$1843,BY31,$BA$7:$BA$1843,BA31,$BQ$7:$BQ$1843,"&lt;="&amp;BQ31),"")</f>
        <v>20.6056818396538</v>
      </c>
      <c r="BC31" s="65" t="n">
        <f aca="false">IF(BB31="",0,MAX(0,MIN(1,(IF(BY31="L1",Parameter!$E$5,Parameter!$E$6+Parameter!$E$7)-(BB31-AX31))/AX31)))</f>
        <v>1</v>
      </c>
      <c r="BD31" s="55" t="str">
        <f aca="false">IF(AH31&lt;=0,"",IF(BY31="Aussen","Aussenlager",IF(BY31="-","Nicht im Lift",IF(AM31&gt;=1,"Lift",IF(AM31&lt;=0,"Aussenlager","teilweise")))))</f>
        <v>Lift</v>
      </c>
      <c r="BE31" s="55" t="str">
        <f aca="false">IF(AP31&lt;=0,"",IF(BY31="Aussen","Aussenlager",IF(BY31="-","Nicht im Lift",IF(AU31&gt;=1,"Lift",IF(AU31&lt;=0,"Aussenlager","teilweise")))))</f>
        <v>Lift</v>
      </c>
      <c r="BF31" s="55" t="str">
        <f aca="false">IF(AX31&lt;=0,"",IF(BY31="Aussen","Aussenlager",IF(BY31="-","Nicht im Lift",IF(BC31&gt;=1,"Lift",IF(BC31&lt;=0,"Aussenlager","teilweise")))))</f>
        <v>Lift</v>
      </c>
      <c r="BG31" s="55" t="str">
        <f aca="false">IF(A31="","",IF(BP31=1,"Neu; ","")&amp;IF(AND(BP31=0,BK31&lt;0),"negativer Bestand (Export "&amp;BK31&amp;"); ","")&amp;IF(J31&lt;=0,"Kein Verbrauch; ","")&amp;IF(CH31&gt;0,"Lift "&amp;W31&amp;" lt. Liftbericht (Fach "&amp;X31&amp;" Stk); ",IF(BU31=1,"Gebinde geschätzt ("&amp;T31&amp;"); ",IF(BT31=1,"Lose – Tablare geschätzt; ","")))&amp;IF(H31&gt;AR31,"Überbestand "&amp;ROUND(H31-AR31,0)&amp;" Stk / CHF "&amp;ROUND((H31-AR31)*G31,0)&amp;"; ","")&amp;IF(AND(CA31=1,CB31&lt;CC31),"MAX &lt; MB+LG; ","")&amp;IF(AND(CG31&gt;0,CF31*10&gt;CG31),"zu hoch für Tablar; ","")&amp;IF(AND(BP31=0,OR(CA31=1,AA31&lt;&gt;"",U31&lt;&gt;"",V31&lt;&gt;"",AB31&lt;&gt;"")),"manuell übersteuert; ","")&amp;IF(AND(BT31=0,R31=0),"Gebinde unbekannt / Stellmass fehlt; ","")&amp;IF(AND(BT31=0,N(V31)&lt;=0,N(Q31)&lt;=0),"Menge pro Gebinde fehlt (Ist = 1 Gebinde); ","")&amp;BO31)</f>
        <v>Lift 1 lt. Liftbericht (Fach 10 Stk); </v>
      </c>
      <c r="BH31" s="55" t="s">
        <v>242</v>
      </c>
      <c r="BI31" s="55" t="s">
        <v>243</v>
      </c>
      <c r="BJ31" s="62"/>
      <c r="BK31" s="57" t="n">
        <v>3</v>
      </c>
      <c r="BL31" s="57" t="n">
        <v>7</v>
      </c>
      <c r="BM31" s="56" t="n">
        <v>12035.71</v>
      </c>
      <c r="BN31" s="57" t="n">
        <v>24</v>
      </c>
      <c r="BO31" s="55"/>
      <c r="BP31" s="60" t="n">
        <v>0</v>
      </c>
      <c r="BQ31" s="60" t="n">
        <v>31</v>
      </c>
      <c r="BR31" s="55" t="str">
        <f aca="false">IF(U31&lt;&gt;"",UPPER(TRIM(U31)),IF(BU31=1,UPPER(VLOOKUP(T31,Parameter!$I$27:$K$29,2,0)),IF(P31="","LOSE",P31)))</f>
        <v>LOSE</v>
      </c>
      <c r="BS31" s="57" t="n">
        <f aca="false">IF(BR31="LOSE",1,IF(N(V31)&gt;0,V31,IF(BU31=1,MAX(1,N(VLOOKUP(T31,Parameter!$I$27:$K$29,3,0)),H31,N(N31)),IF(N(Q31)&gt;0,Q31,MAX(1,H31)))))</f>
        <v>1</v>
      </c>
      <c r="BT31" s="60" t="n">
        <f aca="false">IF(BR31="LOSE",1,0)</f>
        <v>1</v>
      </c>
      <c r="BU31" s="60" t="n">
        <f aca="false">IF(AND(U31="",OR(P31="",P31="LOSE"),T31&lt;&gt;"",N(S31)&lt;=0,ISNUMBER(MATCH(T31,Parameter!$I$27:$I$29,0))),1,0)</f>
        <v>0</v>
      </c>
      <c r="BV31" s="55" t="n">
        <f aca="false">IF(AND(Parameter!$B$19="Ja",E31&lt;&gt;"",ISNUMBER(MATCH(E31,Parameter!$I$35:$I$52,0))),VLOOKUP(E31,Parameter!$I$35:$J$52,2,0),IFERROR(VLOOKUP(D31,Parameter!$A$35:$C$64,2,0),"Nein"))</f>
        <v>1</v>
      </c>
      <c r="BW31" s="59" t="n">
        <f aca="false">IF(BT31=0,0,IF(N(S31)&gt;0,S31,IFERROR(VLOOKUP(D31,Parameter!$A$35:$C$64,3,0)+0,0)))</f>
        <v>1</v>
      </c>
      <c r="BX31" s="55" t="n">
        <f aca="false">IF(AA31&lt;&gt;"",AA31,Z31)</f>
        <v>1</v>
      </c>
      <c r="BY31" s="55" t="str">
        <f aca="false">IF(BX31=1,"L1",IF(OR(BX31=2,BX31=3),"L23",IF(BX31="Aussen","Aussen","-")))</f>
        <v>L1</v>
      </c>
      <c r="BZ31" s="66" t="n">
        <f aca="false">IF(N(AB31)&gt;0,AB31,0)</f>
        <v>0</v>
      </c>
      <c r="CA31" s="60" t="n">
        <f aca="false">IF(ISNUMBER(AE31),1,0)</f>
        <v>0</v>
      </c>
      <c r="CB31" s="57" t="n">
        <f aca="false">N(AE31)</f>
        <v>0</v>
      </c>
      <c r="CC31" s="57" t="n">
        <f aca="false">N(M31)+N(N31)</f>
        <v>9</v>
      </c>
      <c r="CD31" s="57" t="n">
        <f aca="false">ROUNDUP(H31/BS31,0)</f>
        <v>8</v>
      </c>
      <c r="CE31" s="57" t="n">
        <f aca="false">ROUNDUP(CB31/BS31,0)</f>
        <v>0</v>
      </c>
      <c r="CF31" s="60" t="n">
        <f aca="false">IF(BT31=1,0,IFERROR(VLOOKUP(BR31,'Gebinde-Kategorie'!$A$5:$M$45,5,0)+0,0))</f>
        <v>0</v>
      </c>
      <c r="CG31" s="60" t="n">
        <f aca="false">IFERROR(IF(OR(BX31=1,BX31=2,BX31=3),N(INDEX(Parameter!$I$5:$I$7,BX31)),0),0)</f>
        <v>0</v>
      </c>
      <c r="CH31" s="59" t="n">
        <f aca="false">IF(AND(Parameter!$B$21="Ja",ISNUMBER(W31),N(X31)&gt;0),IFERROR(N(INDEX(Parameter!$L$5:$L$7,W31))*INDEX(Parameter!$E$5:$E$7,W31)*X31/SUMIFS($X$7:$X$1843,$W$7:$W$1843,W31),0),0)</f>
        <v>0.800376647834275</v>
      </c>
    </row>
    <row r="32" customFormat="false" ht="15" hidden="false" customHeight="false" outlineLevel="0" collapsed="false">
      <c r="A32" s="55" t="s">
        <v>244</v>
      </c>
      <c r="B32" s="55" t="s">
        <v>245</v>
      </c>
      <c r="C32" s="55" t="s">
        <v>164</v>
      </c>
      <c r="D32" s="55" t="s">
        <v>173</v>
      </c>
      <c r="E32" s="55"/>
      <c r="F32" s="55" t="s">
        <v>218</v>
      </c>
      <c r="G32" s="56" t="n">
        <v>2801</v>
      </c>
      <c r="H32" s="57" t="n">
        <f aca="false">MAX(0,IF(AND(Parameter!$B$21="Ja",ISNUMBER(Y32)),Y32,IF(Parameter!$B$20="Jahresanfang 2025 + Export",BL32+BK32,BK32)))</f>
        <v>4</v>
      </c>
      <c r="I32" s="57" t="n">
        <f aca="false">H32*G32</f>
        <v>11204</v>
      </c>
      <c r="J32" s="57" t="n">
        <f aca="false">BN32*Parameter!$B$18</f>
        <v>0</v>
      </c>
      <c r="K32" s="58" t="n">
        <v>0.5</v>
      </c>
      <c r="L32" s="59" t="n">
        <v>0</v>
      </c>
      <c r="M32" s="57" t="n">
        <v>0</v>
      </c>
      <c r="N32" s="57" t="n">
        <v>1</v>
      </c>
      <c r="O32" s="60" t="n">
        <v>56</v>
      </c>
      <c r="P32" s="55" t="s">
        <v>168</v>
      </c>
      <c r="Q32" s="57"/>
      <c r="R32" s="60" t="n">
        <f aca="false">IF(BT32=1,0,IFERROR(VLOOKUP(BR32,'Gebinde-Kategorie'!$A$5:$M$45,13,0)+0,0))</f>
        <v>12</v>
      </c>
      <c r="S32" s="61"/>
      <c r="T32" s="62" t="s">
        <v>179</v>
      </c>
      <c r="U32" s="62"/>
      <c r="V32" s="62"/>
      <c r="W32" s="55"/>
      <c r="X32" s="57"/>
      <c r="Y32" s="57"/>
      <c r="Z32" s="55" t="n">
        <f aca="false">IF(A32="","",IF(AND(Parameter!$B$21="Ja",ISNUMBER(W32)),W32,IF(BV32="2+3",IF(ISNUMBER(SEARCH("grosser Artikel",BO32)),2,IFERROR(VLOOKUP(BR32,Parameter!$F$35:$G$64,2,0),2)),IF(OR(BV32="Nein",BV32=""),"-",BV32))))</f>
        <v>2</v>
      </c>
      <c r="AA32" s="62"/>
      <c r="AB32" s="63"/>
      <c r="AC32" s="57" t="n">
        <f aca="false">AR32</f>
        <v>4</v>
      </c>
      <c r="AD32" s="57" t="n">
        <f aca="false">MAX(AR32,H32)</f>
        <v>4</v>
      </c>
      <c r="AE32" s="64"/>
      <c r="AF32" s="57" t="n">
        <f aca="false">IF(LEFT(Cockpit!$C$5,1)="A",H32,IF(CA32=1,CB32,IF(LEFT(Cockpit!$C$5,1)="B",AJ32,MAX(AJ32,H32))))</f>
        <v>4</v>
      </c>
      <c r="AG32" s="57" t="n">
        <f aca="false">IF(BT32=1,0,ROUNDUP(AF32/BS32,0))</f>
        <v>1</v>
      </c>
      <c r="AH32" s="59" t="n">
        <f aca="false">IF(CH32&gt;0,CH32*MAX(1,AF32/X32),IF(BT32=1,IF(AF32&lt;=0,0,BW32*MAX(1,IF(H32&gt;0,AF32/H32,1))),IF(R32&gt;0,AG32/R32,0))/MAX(0.1,N(Parameter!$M$21)))</f>
        <v>0.0833333333333333</v>
      </c>
      <c r="AI32" s="57" t="n">
        <f aca="false">AF32*G32</f>
        <v>11204</v>
      </c>
      <c r="AJ32" s="57" t="n">
        <f aca="false">ROUNDUP(MAX(J32/IF(BZ32&gt;0,BZ32,MAX(0.1,N(Cockpit!$C$6))),CC32)/BS32,0)*BS32</f>
        <v>4</v>
      </c>
      <c r="AK32" s="58" t="n">
        <f aca="false">IF(AH32&gt;0,J32/AH32,-1)</f>
        <v>0</v>
      </c>
      <c r="AL32" s="58" t="n">
        <f aca="false">IF(AND(OR(BY32="L1",BY32="L23"),AH32&gt;0),SUMIFS($AH$7:$AH$1843,$BY$7:$BY$1843,BY32,$AK$7:$AK$1843,"&gt;"&amp;AK32)+SUMIFS($AH$7:$AH$1843,$BY$7:$BY$1843,BY32,$AK$7:$AK$1843,AK32,$BQ$7:$BQ$1843,"&lt;="&amp;BQ32),"")</f>
        <v>66.6637444680923</v>
      </c>
      <c r="AM32" s="65" t="n">
        <f aca="false">IF(AL32="",0,MAX(0,MIN(1,(IF(BY32="L1",Parameter!$E$5,Parameter!$E$6+Parameter!$E$7)-(AL32-AH32))/AH32)))</f>
        <v>1</v>
      </c>
      <c r="AN32" s="57" t="n">
        <f aca="false">IF(LEFT(Cockpit!$I$5,1)="A",H32,IF(CA32=1,CB32,IF(LEFT(Cockpit!$I$5,1)="B",AR32,MAX(AR32,H32))))</f>
        <v>4</v>
      </c>
      <c r="AO32" s="57" t="n">
        <f aca="false">IF(BT32=1,0,ROUNDUP(AN32/BS32,0))</f>
        <v>1</v>
      </c>
      <c r="AP32" s="59" t="n">
        <f aca="false">IF(CH32&gt;0,CH32*MAX(1,AN32/X32),IF(BT32=1,IF(AN32&lt;=0,0,BW32*MAX(1,IF(H32&gt;0,AN32/H32,1))),IF(R32&gt;0,AO32/R32,0))/MAX(0.1,N(Parameter!$M$21)))</f>
        <v>0.0833333333333333</v>
      </c>
      <c r="AQ32" s="57" t="n">
        <f aca="false">AN32*G32</f>
        <v>11204</v>
      </c>
      <c r="AR32" s="57" t="n">
        <f aca="false">ROUNDUP(MAX(J32/IF(BZ32&gt;0,BZ32,MAX(0.1,N(Cockpit!$I$6))),CC32)/BS32,0)*BS32</f>
        <v>4</v>
      </c>
      <c r="AS32" s="58" t="n">
        <f aca="false">IF(AP32&gt;0,J32/AP32,-1)</f>
        <v>0</v>
      </c>
      <c r="AT32" s="58" t="n">
        <f aca="false">IF(AND(OR(BY32="L1",BY32="L23"),AP32&gt;0),SUMIFS($AP$7:$AP$1843,$BY$7:$BY$1843,BY32,$AS$7:$AS$1843,"&gt;"&amp;AS32)+SUMIFS($AP$7:$AP$1843,$BY$7:$BY$1843,BY32,$AS$7:$AS$1843,AS32,$BQ$7:$BQ$1843,"&lt;="&amp;BQ32),"")</f>
        <v>105.754535319753</v>
      </c>
      <c r="AU32" s="65" t="n">
        <f aca="false">IF(AT32="",0,MAX(0,MIN(1,(IF(BY32="L1",Parameter!$E$5,Parameter!$E$6+Parameter!$E$7)-(AT32-AP32))/AP32)))</f>
        <v>0</v>
      </c>
      <c r="AV32" s="57" t="n">
        <f aca="false">IF(LEFT(Cockpit!$O$5,1)="A",H32,IF(CA32=1,CB32,IF(LEFT(Cockpit!$O$5,1)="B",AZ32,MAX(AZ32,H32))))</f>
        <v>4</v>
      </c>
      <c r="AW32" s="57" t="n">
        <f aca="false">IF(BT32=1,0,ROUNDUP(AV32/BS32,0))</f>
        <v>1</v>
      </c>
      <c r="AX32" s="59" t="n">
        <f aca="false">IF(CH32&gt;0,CH32*MAX(1,AV32/X32),IF(BT32=1,IF(AV32&lt;=0,0,BW32*MAX(1,IF(H32&gt;0,AV32/H32,1))),IF(R32&gt;0,AW32/R32,0))/MAX(0.1,N(Parameter!$M$21)))</f>
        <v>0.0833333333333333</v>
      </c>
      <c r="AY32" s="57" t="n">
        <f aca="false">AV32*G32</f>
        <v>11204</v>
      </c>
      <c r="AZ32" s="57" t="n">
        <f aca="false">ROUNDUP(MAX(J32/IF(BZ32&gt;0,BZ32,MAX(0.1,N(Cockpit!$O$6))),CC32)/BS32,0)*BS32</f>
        <v>4</v>
      </c>
      <c r="BA32" s="58" t="n">
        <f aca="false">IF(AX32&gt;0,J32/AX32,-1)</f>
        <v>0</v>
      </c>
      <c r="BB32" s="58" t="n">
        <f aca="false">IF(AND(OR(BY32="L1",BY32="L23"),AX32&gt;0),SUMIFS($AX$7:$AX$1843,$BY$7:$BY$1843,BY32,$BA$7:$BA$1843,"&gt;"&amp;BA32)+SUMIFS($AX$7:$AX$1843,$BY$7:$BY$1843,BY32,$BA$7:$BA$1843,BA32,$BQ$7:$BQ$1843,"&lt;="&amp;BQ32),"")</f>
        <v>96.5843721495895</v>
      </c>
      <c r="BC32" s="65" t="n">
        <f aca="false">IF(BB32="",0,MAX(0,MIN(1,(IF(BY32="L1",Parameter!$E$5,Parameter!$E$6+Parameter!$E$7)-(BB32-AX32))/AX32)))</f>
        <v>1</v>
      </c>
      <c r="BD32" s="55" t="str">
        <f aca="false">IF(AH32&lt;=0,"",IF(BY32="Aussen","Aussenlager",IF(BY32="-","Nicht im Lift",IF(AM32&gt;=1,"Lift",IF(AM32&lt;=0,"Aussenlager","teilweise")))))</f>
        <v>Lift</v>
      </c>
      <c r="BE32" s="55" t="str">
        <f aca="false">IF(AP32&lt;=0,"",IF(BY32="Aussen","Aussenlager",IF(BY32="-","Nicht im Lift",IF(AU32&gt;=1,"Lift",IF(AU32&lt;=0,"Aussenlager","teilweise")))))</f>
        <v>Aussenlager</v>
      </c>
      <c r="BF32" s="55" t="str">
        <f aca="false">IF(AX32&lt;=0,"",IF(BY32="Aussen","Aussenlager",IF(BY32="-","Nicht im Lift",IF(BC32&gt;=1,"Lift",IF(BC32&lt;=0,"Aussenlager","teilweise")))))</f>
        <v>Lift</v>
      </c>
      <c r="BG32" s="55" t="str">
        <f aca="false">IF(A32="","",IF(BP32=1,"Neu; ","")&amp;IF(AND(BP32=0,BK32&lt;0),"negativer Bestand (Export "&amp;BK32&amp;"); ","")&amp;IF(J32&lt;=0,"Kein Verbrauch; ","")&amp;IF(CH32&gt;0,"Lift "&amp;W32&amp;" lt. Liftbericht (Fach "&amp;X32&amp;" Stk); ",IF(BU32=1,"Gebinde geschätzt ("&amp;T32&amp;"); ",IF(BT32=1,"Lose – Tablare geschätzt; ","")))&amp;IF(H32&gt;AR32,"Überbestand "&amp;ROUND(H32-AR32,0)&amp;" Stk / CHF "&amp;ROUND((H32-AR32)*G32,0)&amp;"; ","")&amp;IF(AND(CA32=1,CB32&lt;CC32),"MAX &lt; MB+LG; ","")&amp;IF(AND(CG32&gt;0,CF32*10&gt;CG32),"zu hoch für Tablar; ","")&amp;IF(AND(BP32=0,OR(CA32=1,AA32&lt;&gt;"",U32&lt;&gt;"",V32&lt;&gt;"",AB32&lt;&gt;"")),"manuell übersteuert; ","")&amp;IF(AND(BT32=0,R32=0),"Gebinde unbekannt / Stellmass fehlt; ","")&amp;IF(AND(BT32=0,N(V32)&lt;=0,N(Q32)&lt;=0),"Menge pro Gebinde fehlt (Ist = 1 Gebinde); ","")&amp;BO32)</f>
        <v>Kein Verbrauch; Gebinde geschätzt (Mittel); Menge pro Gebinde fehlt (Ist = 1 Gebinde); </v>
      </c>
      <c r="BH32" s="55" t="s">
        <v>246</v>
      </c>
      <c r="BI32" s="55" t="s">
        <v>247</v>
      </c>
      <c r="BJ32" s="62"/>
      <c r="BK32" s="57" t="n">
        <v>4</v>
      </c>
      <c r="BL32" s="57" t="n">
        <v>0</v>
      </c>
      <c r="BM32" s="56" t="n">
        <v>11204</v>
      </c>
      <c r="BN32" s="57" t="n">
        <v>0</v>
      </c>
      <c r="BO32" s="55"/>
      <c r="BP32" s="60" t="n">
        <v>0</v>
      </c>
      <c r="BQ32" s="60" t="n">
        <v>32</v>
      </c>
      <c r="BR32" s="55" t="str">
        <f aca="false">IF(U32&lt;&gt;"",UPPER(TRIM(U32)),IF(BU32=1,UPPER(VLOOKUP(T32,Parameter!$I$27:$K$29,2,0)),IF(P32="","LOSE",P32)))</f>
        <v>S61</v>
      </c>
      <c r="BS32" s="57" t="n">
        <f aca="false">IF(BR32="LOSE",1,IF(N(V32)&gt;0,V32,IF(BU32=1,MAX(1,N(VLOOKUP(T32,Parameter!$I$27:$K$29,3,0)),H32,N(N32)),IF(N(Q32)&gt;0,Q32,MAX(1,H32)))))</f>
        <v>4</v>
      </c>
      <c r="BT32" s="60" t="n">
        <f aca="false">IF(BR32="LOSE",1,0)</f>
        <v>0</v>
      </c>
      <c r="BU32" s="60" t="n">
        <f aca="false">IF(AND(U32="",OR(P32="",P32="LOSE"),T32&lt;&gt;"",N(S32)&lt;=0,ISNUMBER(MATCH(T32,Parameter!$I$27:$I$29,0))),1,0)</f>
        <v>1</v>
      </c>
      <c r="BV32" s="55" t="str">
        <f aca="false">IF(AND(Parameter!$B$19="Ja",E32&lt;&gt;"",ISNUMBER(MATCH(E32,Parameter!$I$35:$I$52,0))),VLOOKUP(E32,Parameter!$I$35:$J$52,2,0),IFERROR(VLOOKUP(D32,Parameter!$A$35:$C$64,2,0),"Nein"))</f>
        <v>2+3</v>
      </c>
      <c r="BW32" s="59" t="n">
        <f aca="false">IF(BT32=0,0,IF(N(S32)&gt;0,S32,IFERROR(VLOOKUP(D32,Parameter!$A$35:$C$64,3,0)+0,0)))</f>
        <v>0</v>
      </c>
      <c r="BX32" s="55" t="n">
        <f aca="false">IF(AA32&lt;&gt;"",AA32,Z32)</f>
        <v>2</v>
      </c>
      <c r="BY32" s="55" t="str">
        <f aca="false">IF(BX32=1,"L1",IF(OR(BX32=2,BX32=3),"L23",IF(BX32="Aussen","Aussen","-")))</f>
        <v>L23</v>
      </c>
      <c r="BZ32" s="66" t="n">
        <f aca="false">IF(N(AB32)&gt;0,AB32,0)</f>
        <v>0</v>
      </c>
      <c r="CA32" s="60" t="n">
        <f aca="false">IF(ISNUMBER(AE32),1,0)</f>
        <v>0</v>
      </c>
      <c r="CB32" s="57" t="n">
        <f aca="false">N(AE32)</f>
        <v>0</v>
      </c>
      <c r="CC32" s="57" t="n">
        <f aca="false">N(M32)+N(N32)</f>
        <v>1</v>
      </c>
      <c r="CD32" s="57" t="n">
        <f aca="false">ROUNDUP(H32/BS32,0)</f>
        <v>1</v>
      </c>
      <c r="CE32" s="57" t="n">
        <f aca="false">ROUNDUP(CB32/BS32,0)</f>
        <v>0</v>
      </c>
      <c r="CF32" s="60" t="n">
        <f aca="false">IF(BT32=1,0,IFERROR(VLOOKUP(BR32,'Gebinde-Kategorie'!$A$5:$M$45,5,0)+0,0))</f>
        <v>11</v>
      </c>
      <c r="CG32" s="60" t="n">
        <f aca="false">IFERROR(IF(OR(BX32=1,BX32=2,BX32=3),N(INDEX(Parameter!$I$5:$I$7,BX32)),0),0)</f>
        <v>0</v>
      </c>
      <c r="CH32" s="59" t="n">
        <f aca="false">IF(AND(Parameter!$B$21="Ja",ISNUMBER(W32),N(X32)&gt;0),IFERROR(N(INDEX(Parameter!$L$5:$L$7,W32))*INDEX(Parameter!$E$5:$E$7,W32)*X32/SUMIFS($X$7:$X$1843,$W$7:$W$1843,W32),0),0)</f>
        <v>0</v>
      </c>
    </row>
    <row r="33" customFormat="false" ht="15" hidden="false" customHeight="false" outlineLevel="0" collapsed="false">
      <c r="A33" s="55" t="s">
        <v>248</v>
      </c>
      <c r="B33" s="55" t="s">
        <v>249</v>
      </c>
      <c r="C33" s="55" t="s">
        <v>164</v>
      </c>
      <c r="D33" s="55" t="s">
        <v>173</v>
      </c>
      <c r="E33" s="55"/>
      <c r="F33" s="55" t="s">
        <v>218</v>
      </c>
      <c r="G33" s="56" t="n">
        <v>256.88</v>
      </c>
      <c r="H33" s="57" t="n">
        <f aca="false">MAX(0,IF(AND(Parameter!$B$21="Ja",ISNUMBER(Y33)),Y33,IF(Parameter!$B$20="Jahresanfang 2025 + Export",BL33+BK33,BK33)))</f>
        <v>43</v>
      </c>
      <c r="I33" s="57" t="n">
        <f aca="false">H33*G33</f>
        <v>11045.84</v>
      </c>
      <c r="J33" s="57" t="n">
        <f aca="false">BN33*Parameter!$B$18</f>
        <v>0</v>
      </c>
      <c r="K33" s="58" t="n">
        <v>0</v>
      </c>
      <c r="L33" s="59" t="n">
        <v>0</v>
      </c>
      <c r="M33" s="57" t="n">
        <v>12</v>
      </c>
      <c r="N33" s="57" t="n">
        <v>48</v>
      </c>
      <c r="O33" s="60" t="n">
        <v>28</v>
      </c>
      <c r="P33" s="55" t="s">
        <v>168</v>
      </c>
      <c r="Q33" s="57"/>
      <c r="R33" s="60" t="n">
        <f aca="false">IF(BT33=1,0,IFERROR(VLOOKUP(BR33,'Gebinde-Kategorie'!$A$5:$M$45,13,0)+0,0))</f>
        <v>12</v>
      </c>
      <c r="S33" s="61"/>
      <c r="T33" s="62" t="s">
        <v>179</v>
      </c>
      <c r="U33" s="62"/>
      <c r="V33" s="62"/>
      <c r="W33" s="55"/>
      <c r="X33" s="57"/>
      <c r="Y33" s="57"/>
      <c r="Z33" s="55" t="n">
        <f aca="false">IF(A33="","",IF(AND(Parameter!$B$21="Ja",ISNUMBER(W33)),W33,IF(BV33="2+3",IF(ISNUMBER(SEARCH("grosser Artikel",BO33)),2,IFERROR(VLOOKUP(BR33,Parameter!$F$35:$G$64,2,0),2)),IF(OR(BV33="Nein",BV33=""),"-",BV33))))</f>
        <v>2</v>
      </c>
      <c r="AA33" s="62"/>
      <c r="AB33" s="63"/>
      <c r="AC33" s="57" t="n">
        <f aca="false">AR33</f>
        <v>96</v>
      </c>
      <c r="AD33" s="57" t="n">
        <f aca="false">MAX(AR33,H33)</f>
        <v>96</v>
      </c>
      <c r="AE33" s="64"/>
      <c r="AF33" s="57" t="n">
        <f aca="false">IF(LEFT(Cockpit!$C$5,1)="A",H33,IF(CA33=1,CB33,IF(LEFT(Cockpit!$C$5,1)="B",AJ33,MAX(AJ33,H33))))</f>
        <v>43</v>
      </c>
      <c r="AG33" s="57" t="n">
        <f aca="false">IF(BT33=1,0,ROUNDUP(AF33/BS33,0))</f>
        <v>1</v>
      </c>
      <c r="AH33" s="59" t="n">
        <f aca="false">IF(CH33&gt;0,CH33*MAX(1,AF33/X33),IF(BT33=1,IF(AF33&lt;=0,0,BW33*MAX(1,IF(H33&gt;0,AF33/H33,1))),IF(R33&gt;0,AG33/R33,0))/MAX(0.1,N(Parameter!$M$21)))</f>
        <v>0.0833333333333333</v>
      </c>
      <c r="AI33" s="57" t="n">
        <f aca="false">AF33*G33</f>
        <v>11045.84</v>
      </c>
      <c r="AJ33" s="57" t="n">
        <f aca="false">ROUNDUP(MAX(J33/IF(BZ33&gt;0,BZ33,MAX(0.1,N(Cockpit!$C$6))),CC33)/BS33,0)*BS33</f>
        <v>96</v>
      </c>
      <c r="AK33" s="58" t="n">
        <f aca="false">IF(AH33&gt;0,J33/AH33,-1)</f>
        <v>0</v>
      </c>
      <c r="AL33" s="58" t="n">
        <f aca="false">IF(AND(OR(BY33="L1",BY33="L23"),AH33&gt;0),SUMIFS($AH$7:$AH$1843,$BY$7:$BY$1843,BY33,$AK$7:$AK$1843,"&gt;"&amp;AK33)+SUMIFS($AH$7:$AH$1843,$BY$7:$BY$1843,BY33,$AK$7:$AK$1843,AK33,$BQ$7:$BQ$1843,"&lt;="&amp;BQ33),"")</f>
        <v>66.7470778014256</v>
      </c>
      <c r="AM33" s="65" t="n">
        <f aca="false">IF(AL33="",0,MAX(0,MIN(1,(IF(BY33="L1",Parameter!$E$5,Parameter!$E$6+Parameter!$E$7)-(AL33-AH33))/AH33)))</f>
        <v>1</v>
      </c>
      <c r="AN33" s="57" t="n">
        <f aca="false">IF(LEFT(Cockpit!$I$5,1)="A",H33,IF(CA33=1,CB33,IF(LEFT(Cockpit!$I$5,1)="B",AR33,MAX(AR33,H33))))</f>
        <v>96</v>
      </c>
      <c r="AO33" s="57" t="n">
        <f aca="false">IF(BT33=1,0,ROUNDUP(AN33/BS33,0))</f>
        <v>2</v>
      </c>
      <c r="AP33" s="59" t="n">
        <f aca="false">IF(CH33&gt;0,CH33*MAX(1,AN33/X33),IF(BT33=1,IF(AN33&lt;=0,0,BW33*MAX(1,IF(H33&gt;0,AN33/H33,1))),IF(R33&gt;0,AO33/R33,0))/MAX(0.1,N(Parameter!$M$21)))</f>
        <v>0.166666666666667</v>
      </c>
      <c r="AQ33" s="57" t="n">
        <f aca="false">AN33*G33</f>
        <v>24660.48</v>
      </c>
      <c r="AR33" s="57" t="n">
        <f aca="false">ROUNDUP(MAX(J33/IF(BZ33&gt;0,BZ33,MAX(0.1,N(Cockpit!$I$6))),CC33)/BS33,0)*BS33</f>
        <v>96</v>
      </c>
      <c r="AS33" s="58" t="n">
        <f aca="false">IF(AP33&gt;0,J33/AP33,-1)</f>
        <v>0</v>
      </c>
      <c r="AT33" s="58" t="n">
        <f aca="false">IF(AND(OR(BY33="L1",BY33="L23"),AP33&gt;0),SUMIFS($AP$7:$AP$1843,$BY$7:$BY$1843,BY33,$AS$7:$AS$1843,"&gt;"&amp;AS33)+SUMIFS($AP$7:$AP$1843,$BY$7:$BY$1843,BY33,$AS$7:$AS$1843,AS33,$BQ$7:$BQ$1843,"&lt;="&amp;BQ33),"")</f>
        <v>105.921201986419</v>
      </c>
      <c r="AU33" s="65" t="n">
        <f aca="false">IF(AT33="",0,MAX(0,MIN(1,(IF(BY33="L1",Parameter!$E$5,Parameter!$E$6+Parameter!$E$7)-(AT33-AP33))/AP33)))</f>
        <v>0</v>
      </c>
      <c r="AV33" s="57" t="n">
        <f aca="false">IF(LEFT(Cockpit!$O$5,1)="A",H33,IF(CA33=1,CB33,IF(LEFT(Cockpit!$O$5,1)="B",AZ33,MAX(AZ33,H33))))</f>
        <v>96</v>
      </c>
      <c r="AW33" s="57" t="n">
        <f aca="false">IF(BT33=1,0,ROUNDUP(AV33/BS33,0))</f>
        <v>2</v>
      </c>
      <c r="AX33" s="59" t="n">
        <f aca="false">IF(CH33&gt;0,CH33*MAX(1,AV33/X33),IF(BT33=1,IF(AV33&lt;=0,0,BW33*MAX(1,IF(H33&gt;0,AV33/H33,1))),IF(R33&gt;0,AW33/R33,0))/MAX(0.1,N(Parameter!$M$21)))</f>
        <v>0.166666666666667</v>
      </c>
      <c r="AY33" s="57" t="n">
        <f aca="false">AV33*G33</f>
        <v>24660.48</v>
      </c>
      <c r="AZ33" s="57" t="n">
        <f aca="false">ROUNDUP(MAX(J33/IF(BZ33&gt;0,BZ33,MAX(0.1,N(Cockpit!$O$6))),CC33)/BS33,0)*BS33</f>
        <v>96</v>
      </c>
      <c r="BA33" s="58" t="n">
        <f aca="false">IF(AX33&gt;0,J33/AX33,-1)</f>
        <v>0</v>
      </c>
      <c r="BB33" s="58" t="n">
        <f aca="false">IF(AND(OR(BY33="L1",BY33="L23"),AX33&gt;0),SUMIFS($AX$7:$AX$1843,$BY$7:$BY$1843,BY33,$BA$7:$BA$1843,"&gt;"&amp;BA33)+SUMIFS($AX$7:$AX$1843,$BY$7:$BY$1843,BY33,$BA$7:$BA$1843,BA33,$BQ$7:$BQ$1843,"&lt;="&amp;BQ33),"")</f>
        <v>96.7510388162562</v>
      </c>
      <c r="BC33" s="65" t="n">
        <f aca="false">IF(BB33="",0,MAX(0,MIN(1,(IF(BY33="L1",Parameter!$E$5,Parameter!$E$6+Parameter!$E$7)-(BB33-AX33))/AX33)))</f>
        <v>1</v>
      </c>
      <c r="BD33" s="55" t="str">
        <f aca="false">IF(AH33&lt;=0,"",IF(BY33="Aussen","Aussenlager",IF(BY33="-","Nicht im Lift",IF(AM33&gt;=1,"Lift",IF(AM33&lt;=0,"Aussenlager","teilweise")))))</f>
        <v>Lift</v>
      </c>
      <c r="BE33" s="55" t="str">
        <f aca="false">IF(AP33&lt;=0,"",IF(BY33="Aussen","Aussenlager",IF(BY33="-","Nicht im Lift",IF(AU33&gt;=1,"Lift",IF(AU33&lt;=0,"Aussenlager","teilweise")))))</f>
        <v>Aussenlager</v>
      </c>
      <c r="BF33" s="55" t="str">
        <f aca="false">IF(AX33&lt;=0,"",IF(BY33="Aussen","Aussenlager",IF(BY33="-","Nicht im Lift",IF(BC33&gt;=1,"Lift",IF(BC33&lt;=0,"Aussenlager","teilweise")))))</f>
        <v>Lift</v>
      </c>
      <c r="BG33" s="55" t="str">
        <f aca="false">IF(A33="","",IF(BP33=1,"Neu; ","")&amp;IF(AND(BP33=0,BK33&lt;0),"negativer Bestand (Export "&amp;BK33&amp;"); ","")&amp;IF(J33&lt;=0,"Kein Verbrauch; ","")&amp;IF(CH33&gt;0,"Lift "&amp;W33&amp;" lt. Liftbericht (Fach "&amp;X33&amp;" Stk); ",IF(BU33=1,"Gebinde geschätzt ("&amp;T33&amp;"); ",IF(BT33=1,"Lose – Tablare geschätzt; ","")))&amp;IF(H33&gt;AR33,"Überbestand "&amp;ROUND(H33-AR33,0)&amp;" Stk / CHF "&amp;ROUND((H33-AR33)*G33,0)&amp;"; ","")&amp;IF(AND(CA33=1,CB33&lt;CC33),"MAX &lt; MB+LG; ","")&amp;IF(AND(CG33&gt;0,CF33*10&gt;CG33),"zu hoch für Tablar; ","")&amp;IF(AND(BP33=0,OR(CA33=1,AA33&lt;&gt;"",U33&lt;&gt;"",V33&lt;&gt;"",AB33&lt;&gt;"")),"manuell übersteuert; ","")&amp;IF(AND(BT33=0,R33=0),"Gebinde unbekannt / Stellmass fehlt; ","")&amp;IF(AND(BT33=0,N(V33)&lt;=0,N(Q33)&lt;=0),"Menge pro Gebinde fehlt (Ist = 1 Gebinde); ","")&amp;BO33)</f>
        <v>Kein Verbrauch; Gebinde geschätzt (Mittel); Menge pro Gebinde fehlt (Ist = 1 Gebinde); </v>
      </c>
      <c r="BH33" s="55" t="s">
        <v>250</v>
      </c>
      <c r="BI33" s="55" t="s">
        <v>247</v>
      </c>
      <c r="BJ33" s="62"/>
      <c r="BK33" s="57" t="n">
        <v>43</v>
      </c>
      <c r="BL33" s="57" t="n">
        <v>0</v>
      </c>
      <c r="BM33" s="56" t="n">
        <v>11045.84</v>
      </c>
      <c r="BN33" s="57" t="n">
        <v>0</v>
      </c>
      <c r="BO33" s="55"/>
      <c r="BP33" s="60" t="n">
        <v>0</v>
      </c>
      <c r="BQ33" s="60" t="n">
        <v>33</v>
      </c>
      <c r="BR33" s="55" t="str">
        <f aca="false">IF(U33&lt;&gt;"",UPPER(TRIM(U33)),IF(BU33=1,UPPER(VLOOKUP(T33,Parameter!$I$27:$K$29,2,0)),IF(P33="","LOSE",P33)))</f>
        <v>S61</v>
      </c>
      <c r="BS33" s="57" t="n">
        <f aca="false">IF(BR33="LOSE",1,IF(N(V33)&gt;0,V33,IF(BU33=1,MAX(1,N(VLOOKUP(T33,Parameter!$I$27:$K$29,3,0)),H33,N(N33)),IF(N(Q33)&gt;0,Q33,MAX(1,H33)))))</f>
        <v>48</v>
      </c>
      <c r="BT33" s="60" t="n">
        <f aca="false">IF(BR33="LOSE",1,0)</f>
        <v>0</v>
      </c>
      <c r="BU33" s="60" t="n">
        <f aca="false">IF(AND(U33="",OR(P33="",P33="LOSE"),T33&lt;&gt;"",N(S33)&lt;=0,ISNUMBER(MATCH(T33,Parameter!$I$27:$I$29,0))),1,0)</f>
        <v>1</v>
      </c>
      <c r="BV33" s="55" t="str">
        <f aca="false">IF(AND(Parameter!$B$19="Ja",E33&lt;&gt;"",ISNUMBER(MATCH(E33,Parameter!$I$35:$I$52,0))),VLOOKUP(E33,Parameter!$I$35:$J$52,2,0),IFERROR(VLOOKUP(D33,Parameter!$A$35:$C$64,2,0),"Nein"))</f>
        <v>2+3</v>
      </c>
      <c r="BW33" s="59" t="n">
        <f aca="false">IF(BT33=0,0,IF(N(S33)&gt;0,S33,IFERROR(VLOOKUP(D33,Parameter!$A$35:$C$64,3,0)+0,0)))</f>
        <v>0</v>
      </c>
      <c r="BX33" s="55" t="n">
        <f aca="false">IF(AA33&lt;&gt;"",AA33,Z33)</f>
        <v>2</v>
      </c>
      <c r="BY33" s="55" t="str">
        <f aca="false">IF(BX33=1,"L1",IF(OR(BX33=2,BX33=3),"L23",IF(BX33="Aussen","Aussen","-")))</f>
        <v>L23</v>
      </c>
      <c r="BZ33" s="66" t="n">
        <f aca="false">IF(N(AB33)&gt;0,AB33,0)</f>
        <v>0</v>
      </c>
      <c r="CA33" s="60" t="n">
        <f aca="false">IF(ISNUMBER(AE33),1,0)</f>
        <v>0</v>
      </c>
      <c r="CB33" s="57" t="n">
        <f aca="false">N(AE33)</f>
        <v>0</v>
      </c>
      <c r="CC33" s="57" t="n">
        <f aca="false">N(M33)+N(N33)</f>
        <v>60</v>
      </c>
      <c r="CD33" s="57" t="n">
        <f aca="false">ROUNDUP(H33/BS33,0)</f>
        <v>1</v>
      </c>
      <c r="CE33" s="57" t="n">
        <f aca="false">ROUNDUP(CB33/BS33,0)</f>
        <v>0</v>
      </c>
      <c r="CF33" s="60" t="n">
        <f aca="false">IF(BT33=1,0,IFERROR(VLOOKUP(BR33,'Gebinde-Kategorie'!$A$5:$M$45,5,0)+0,0))</f>
        <v>11</v>
      </c>
      <c r="CG33" s="60" t="n">
        <f aca="false">IFERROR(IF(OR(BX33=1,BX33=2,BX33=3),N(INDEX(Parameter!$I$5:$I$7,BX33)),0),0)</f>
        <v>0</v>
      </c>
      <c r="CH33" s="59" t="n">
        <f aca="false">IF(AND(Parameter!$B$21="Ja",ISNUMBER(W33),N(X33)&gt;0),IFERROR(N(INDEX(Parameter!$L$5:$L$7,W33))*INDEX(Parameter!$E$5:$E$7,W33)*X33/SUMIFS($X$7:$X$1843,$W$7:$W$1843,W33),0),0)</f>
        <v>0</v>
      </c>
    </row>
    <row r="34" customFormat="false" ht="15" hidden="false" customHeight="false" outlineLevel="0" collapsed="false">
      <c r="A34" s="55" t="s">
        <v>251</v>
      </c>
      <c r="B34" s="55" t="s">
        <v>206</v>
      </c>
      <c r="C34" s="55" t="s">
        <v>164</v>
      </c>
      <c r="D34" s="55" t="s">
        <v>173</v>
      </c>
      <c r="E34" s="55"/>
      <c r="F34" s="55" t="s">
        <v>218</v>
      </c>
      <c r="G34" s="56" t="n">
        <v>3576.83</v>
      </c>
      <c r="H34" s="57" t="n">
        <f aca="false">MAX(0,IF(AND(Parameter!$B$21="Ja",ISNUMBER(Y34)),Y34,IF(Parameter!$B$20="Jahresanfang 2025 + Export",BL34+BK34,BK34)))</f>
        <v>5</v>
      </c>
      <c r="I34" s="57" t="n">
        <f aca="false">H34*G34</f>
        <v>17884.15</v>
      </c>
      <c r="J34" s="57" t="n">
        <f aca="false">BN34*Parameter!$B$18</f>
        <v>2</v>
      </c>
      <c r="K34" s="58" t="n">
        <v>4.5</v>
      </c>
      <c r="L34" s="59" t="n">
        <v>0.444444444444444</v>
      </c>
      <c r="M34" s="57" t="n">
        <v>2</v>
      </c>
      <c r="N34" s="57" t="n">
        <v>5</v>
      </c>
      <c r="O34" s="60" t="n">
        <v>84</v>
      </c>
      <c r="P34" s="55" t="s">
        <v>168</v>
      </c>
      <c r="Q34" s="57"/>
      <c r="R34" s="60" t="n">
        <f aca="false">IF(BT34=1,0,IFERROR(VLOOKUP(BR34,'Gebinde-Kategorie'!$A$5:$M$45,13,0)+0,0))</f>
        <v>0</v>
      </c>
      <c r="S34" s="61"/>
      <c r="T34" s="62"/>
      <c r="U34" s="62"/>
      <c r="V34" s="62"/>
      <c r="W34" s="55" t="n">
        <v>1</v>
      </c>
      <c r="X34" s="57" t="n">
        <v>6</v>
      </c>
      <c r="Y34" s="57" t="n">
        <v>5</v>
      </c>
      <c r="Z34" s="55" t="n">
        <f aca="false">IF(A34="","",IF(AND(Parameter!$B$21="Ja",ISNUMBER(W34)),W34,IF(BV34="2+3",IF(ISNUMBER(SEARCH("grosser Artikel",BO34)),2,IFERROR(VLOOKUP(BR34,Parameter!$F$35:$G$64,2,0),2)),IF(OR(BV34="Nein",BV34=""),"-",BV34))))</f>
        <v>1</v>
      </c>
      <c r="AA34" s="62"/>
      <c r="AB34" s="63"/>
      <c r="AC34" s="57" t="n">
        <f aca="false">AR34</f>
        <v>7</v>
      </c>
      <c r="AD34" s="57" t="n">
        <f aca="false">MAX(AR34,H34)</f>
        <v>7</v>
      </c>
      <c r="AE34" s="64"/>
      <c r="AF34" s="57" t="n">
        <f aca="false">IF(LEFT(Cockpit!$C$5,1)="A",H34,IF(CA34=1,CB34,IF(LEFT(Cockpit!$C$5,1)="B",AJ34,MAX(AJ34,H34))))</f>
        <v>5</v>
      </c>
      <c r="AG34" s="57" t="n">
        <f aca="false">IF(BT34=1,0,ROUNDUP(AF34/BS34,0))</f>
        <v>0</v>
      </c>
      <c r="AH34" s="59" t="n">
        <f aca="false">IF(CH34&gt;0,CH34*MAX(1,AF34/X34),IF(BT34=1,IF(AF34&lt;=0,0,BW34*MAX(1,IF(H34&gt;0,AF34/H34,1))),IF(R34&gt;0,AG34/R34,0))/MAX(0.1,N(Parameter!$M$21)))</f>
        <v>0.480225988700565</v>
      </c>
      <c r="AI34" s="57" t="n">
        <f aca="false">AF34*G34</f>
        <v>17884.15</v>
      </c>
      <c r="AJ34" s="57" t="n">
        <f aca="false">ROUNDUP(MAX(J34/IF(BZ34&gt;0,BZ34,MAX(0.1,N(Cockpit!$C$6))),CC34)/BS34,0)*BS34</f>
        <v>7</v>
      </c>
      <c r="AK34" s="58" t="n">
        <f aca="false">IF(AH34&gt;0,J34/AH34,-1)</f>
        <v>4.16470588235294</v>
      </c>
      <c r="AL34" s="58" t="n">
        <f aca="false">IF(AND(OR(BY34="L1",BY34="L23"),AH34&gt;0),SUMIFS($AH$7:$AH$1843,$BY$7:$BY$1843,BY34,$AK$7:$AK$1843,"&gt;"&amp;AK34)+SUMIFS($AH$7:$AH$1843,$BY$7:$BY$1843,BY34,$AK$7:$AK$1843,AK34,$BQ$7:$BQ$1843,"&lt;="&amp;BQ34),"")</f>
        <v>43.8600639923411</v>
      </c>
      <c r="AM34" s="65" t="n">
        <f aca="false">IF(AL34="",0,MAX(0,MIN(1,(IF(BY34="L1",Parameter!$E$5,Parameter!$E$6+Parameter!$E$7)-(AL34-AH34))/AH34)))</f>
        <v>1</v>
      </c>
      <c r="AN34" s="57" t="n">
        <f aca="false">IF(LEFT(Cockpit!$I$5,1)="A",H34,IF(CA34=1,CB34,IF(LEFT(Cockpit!$I$5,1)="B",AR34,MAX(AR34,H34))))</f>
        <v>7</v>
      </c>
      <c r="AO34" s="57" t="n">
        <f aca="false">IF(BT34=1,0,ROUNDUP(AN34/BS34,0))</f>
        <v>0</v>
      </c>
      <c r="AP34" s="59" t="n">
        <f aca="false">IF(CH34&gt;0,CH34*MAX(1,AN34/X34),IF(BT34=1,IF(AN34&lt;=0,0,BW34*MAX(1,IF(H34&gt;0,AN34/H34,1))),IF(R34&gt;0,AO34/R34,0))/MAX(0.1,N(Parameter!$M$21)))</f>
        <v>0.560263653483993</v>
      </c>
      <c r="AQ34" s="57" t="n">
        <f aca="false">AN34*G34</f>
        <v>25037.81</v>
      </c>
      <c r="AR34" s="57" t="n">
        <f aca="false">ROUNDUP(MAX(J34/IF(BZ34&gt;0,BZ34,MAX(0.1,N(Cockpit!$I$6))),CC34)/BS34,0)*BS34</f>
        <v>7</v>
      </c>
      <c r="AS34" s="58" t="n">
        <f aca="false">IF(AP34&gt;0,J34/AP34,-1)</f>
        <v>3.56974789915966</v>
      </c>
      <c r="AT34" s="58" t="n">
        <f aca="false">IF(AND(OR(BY34="L1",BY34="L23"),AP34&gt;0),SUMIFS($AP$7:$AP$1843,$BY$7:$BY$1843,BY34,$AS$7:$AS$1843,"&gt;"&amp;AS34)+SUMIFS($AP$7:$AP$1843,$BY$7:$BY$1843,BY34,$AS$7:$AS$1843,AS34,$BQ$7:$BQ$1843,"&lt;="&amp;BQ34),"")</f>
        <v>61.7740868809402</v>
      </c>
      <c r="AU34" s="65" t="n">
        <f aca="false">IF(AT34="",0,MAX(0,MIN(1,(IF(BY34="L1",Parameter!$E$5,Parameter!$E$6+Parameter!$E$7)-(AT34-AP34))/AP34)))</f>
        <v>0</v>
      </c>
      <c r="AV34" s="57" t="n">
        <f aca="false">IF(LEFT(Cockpit!$O$5,1)="A",H34,IF(CA34=1,CB34,IF(LEFT(Cockpit!$O$5,1)="B",AZ34,MAX(AZ34,H34))))</f>
        <v>7</v>
      </c>
      <c r="AW34" s="57" t="n">
        <f aca="false">IF(BT34=1,0,ROUNDUP(AV34/BS34,0))</f>
        <v>0</v>
      </c>
      <c r="AX34" s="59" t="n">
        <f aca="false">IF(CH34&gt;0,CH34*MAX(1,AV34/X34),IF(BT34=1,IF(AV34&lt;=0,0,BW34*MAX(1,IF(H34&gt;0,AV34/H34,1))),IF(R34&gt;0,AW34/R34,0))/MAX(0.1,N(Parameter!$M$21)))</f>
        <v>0.560263653483993</v>
      </c>
      <c r="AY34" s="57" t="n">
        <f aca="false">AV34*G34</f>
        <v>25037.81</v>
      </c>
      <c r="AZ34" s="57" t="n">
        <f aca="false">ROUNDUP(MAX(J34/IF(BZ34&gt;0,BZ34,MAX(0.1,N(Cockpit!$O$6))),CC34)/BS34,0)*BS34</f>
        <v>7</v>
      </c>
      <c r="BA34" s="58" t="n">
        <f aca="false">IF(AX34&gt;0,J34/AX34,-1)</f>
        <v>3.56974789915966</v>
      </c>
      <c r="BB34" s="58" t="n">
        <f aca="false">IF(AND(OR(BY34="L1",BY34="L23"),AX34&gt;0),SUMIFS($AX$7:$AX$1843,$BY$7:$BY$1843,BY34,$BA$7:$BA$1843,"&gt;"&amp;BA34)+SUMIFS($AX$7:$AX$1843,$BY$7:$BY$1843,BY34,$BA$7:$BA$1843,BA34,$BQ$7:$BQ$1843,"&lt;="&amp;BQ34),"")</f>
        <v>55.4408984121585</v>
      </c>
      <c r="BC34" s="65" t="n">
        <f aca="false">IF(BB34="",0,MAX(0,MIN(1,(IF(BY34="L1",Parameter!$E$5,Parameter!$E$6+Parameter!$E$7)-(BB34-AX34))/AX34)))</f>
        <v>0</v>
      </c>
      <c r="BD34" s="55" t="str">
        <f aca="false">IF(AH34&lt;=0,"",IF(BY34="Aussen","Aussenlager",IF(BY34="-","Nicht im Lift",IF(AM34&gt;=1,"Lift",IF(AM34&lt;=0,"Aussenlager","teilweise")))))</f>
        <v>Lift</v>
      </c>
      <c r="BE34" s="55" t="str">
        <f aca="false">IF(AP34&lt;=0,"",IF(BY34="Aussen","Aussenlager",IF(BY34="-","Nicht im Lift",IF(AU34&gt;=1,"Lift",IF(AU34&lt;=0,"Aussenlager","teilweise")))))</f>
        <v>Aussenlager</v>
      </c>
      <c r="BF34" s="55" t="str">
        <f aca="false">IF(AX34&lt;=0,"",IF(BY34="Aussen","Aussenlager",IF(BY34="-","Nicht im Lift",IF(BC34&gt;=1,"Lift",IF(BC34&lt;=0,"Aussenlager","teilweise")))))</f>
        <v>Aussenlager</v>
      </c>
      <c r="BG34" s="55" t="str">
        <f aca="false">IF(A34="","",IF(BP34=1,"Neu; ","")&amp;IF(AND(BP34=0,BK34&lt;0),"negativer Bestand (Export "&amp;BK34&amp;"); ","")&amp;IF(J34&lt;=0,"Kein Verbrauch; ","")&amp;IF(CH34&gt;0,"Lift "&amp;W34&amp;" lt. Liftbericht (Fach "&amp;X34&amp;" Stk); ",IF(BU34=1,"Gebinde geschätzt ("&amp;T34&amp;"); ",IF(BT34=1,"Lose – Tablare geschätzt; ","")))&amp;IF(H34&gt;AR34,"Überbestand "&amp;ROUND(H34-AR34,0)&amp;" Stk / CHF "&amp;ROUND((H34-AR34)*G34,0)&amp;"; ","")&amp;IF(AND(CA34=1,CB34&lt;CC34),"MAX &lt; MB+LG; ","")&amp;IF(AND(CG34&gt;0,CF34*10&gt;CG34),"zu hoch für Tablar; ","")&amp;IF(AND(BP34=0,OR(CA34=1,AA34&lt;&gt;"",U34&lt;&gt;"",V34&lt;&gt;"",AB34&lt;&gt;"")),"manuell übersteuert; ","")&amp;IF(AND(BT34=0,R34=0),"Gebinde unbekannt / Stellmass fehlt; ","")&amp;IF(AND(BT34=0,N(V34)&lt;=0,N(Q34)&lt;=0),"Menge pro Gebinde fehlt (Ist = 1 Gebinde); ","")&amp;BO34)</f>
        <v>Lift 1 lt. Liftbericht (Fach 6 Stk); </v>
      </c>
      <c r="BH34" s="55"/>
      <c r="BI34" s="55"/>
      <c r="BJ34" s="62"/>
      <c r="BK34" s="57" t="n">
        <v>3</v>
      </c>
      <c r="BL34" s="57" t="n">
        <v>3</v>
      </c>
      <c r="BM34" s="56" t="n">
        <v>10844.04</v>
      </c>
      <c r="BN34" s="57" t="n">
        <v>2</v>
      </c>
      <c r="BO34" s="55"/>
      <c r="BP34" s="60" t="n">
        <v>0</v>
      </c>
      <c r="BQ34" s="60" t="n">
        <v>34</v>
      </c>
      <c r="BR34" s="55" t="str">
        <f aca="false">IF(U34&lt;&gt;"",UPPER(TRIM(U34)),IF(BU34=1,UPPER(VLOOKUP(T34,Parameter!$I$27:$K$29,2,0)),IF(P34="","LOSE",P34)))</f>
        <v>LOSE</v>
      </c>
      <c r="BS34" s="57" t="n">
        <f aca="false">IF(BR34="LOSE",1,IF(N(V34)&gt;0,V34,IF(BU34=1,MAX(1,N(VLOOKUP(T34,Parameter!$I$27:$K$29,3,0)),H34,N(N34)),IF(N(Q34)&gt;0,Q34,MAX(1,H34)))))</f>
        <v>1</v>
      </c>
      <c r="BT34" s="60" t="n">
        <f aca="false">IF(BR34="LOSE",1,0)</f>
        <v>1</v>
      </c>
      <c r="BU34" s="60" t="n">
        <f aca="false">IF(AND(U34="",OR(P34="",P34="LOSE"),T34&lt;&gt;"",N(S34)&lt;=0,ISNUMBER(MATCH(T34,Parameter!$I$27:$I$29,0))),1,0)</f>
        <v>0</v>
      </c>
      <c r="BV34" s="55" t="str">
        <f aca="false">IF(AND(Parameter!$B$19="Ja",E34&lt;&gt;"",ISNUMBER(MATCH(E34,Parameter!$I$35:$I$52,0))),VLOOKUP(E34,Parameter!$I$35:$J$52,2,0),IFERROR(VLOOKUP(D34,Parameter!$A$35:$C$64,2,0),"Nein"))</f>
        <v>2+3</v>
      </c>
      <c r="BW34" s="59" t="n">
        <f aca="false">IF(BT34=0,0,IF(N(S34)&gt;0,S34,IFERROR(VLOOKUP(D34,Parameter!$A$35:$C$64,3,0)+0,0)))</f>
        <v>0.15</v>
      </c>
      <c r="BX34" s="55" t="n">
        <f aca="false">IF(AA34&lt;&gt;"",AA34,Z34)</f>
        <v>1</v>
      </c>
      <c r="BY34" s="55" t="str">
        <f aca="false">IF(BX34=1,"L1",IF(OR(BX34=2,BX34=3),"L23",IF(BX34="Aussen","Aussen","-")))</f>
        <v>L1</v>
      </c>
      <c r="BZ34" s="66" t="n">
        <f aca="false">IF(N(AB34)&gt;0,AB34,0)</f>
        <v>0</v>
      </c>
      <c r="CA34" s="60" t="n">
        <f aca="false">IF(ISNUMBER(AE34),1,0)</f>
        <v>0</v>
      </c>
      <c r="CB34" s="57" t="n">
        <f aca="false">N(AE34)</f>
        <v>0</v>
      </c>
      <c r="CC34" s="57" t="n">
        <f aca="false">N(M34)+N(N34)</f>
        <v>7</v>
      </c>
      <c r="CD34" s="57" t="n">
        <f aca="false">ROUNDUP(H34/BS34,0)</f>
        <v>5</v>
      </c>
      <c r="CE34" s="57" t="n">
        <f aca="false">ROUNDUP(CB34/BS34,0)</f>
        <v>0</v>
      </c>
      <c r="CF34" s="60" t="n">
        <f aca="false">IF(BT34=1,0,IFERROR(VLOOKUP(BR34,'Gebinde-Kategorie'!$A$5:$M$45,5,0)+0,0))</f>
        <v>0</v>
      </c>
      <c r="CG34" s="60" t="n">
        <f aca="false">IFERROR(IF(OR(BX34=1,BX34=2,BX34=3),N(INDEX(Parameter!$I$5:$I$7,BX34)),0),0)</f>
        <v>0</v>
      </c>
      <c r="CH34" s="59" t="n">
        <f aca="false">IF(AND(Parameter!$B$21="Ja",ISNUMBER(W34),N(X34)&gt;0),IFERROR(N(INDEX(Parameter!$L$5:$L$7,W34))*INDEX(Parameter!$E$5:$E$7,W34)*X34/SUMIFS($X$7:$X$1843,$W$7:$W$1843,W34),0),0)</f>
        <v>0.480225988700565</v>
      </c>
    </row>
    <row r="35" customFormat="false" ht="15" hidden="false" customHeight="false" outlineLevel="0" collapsed="false">
      <c r="A35" s="55" t="s">
        <v>252</v>
      </c>
      <c r="B35" s="55" t="s">
        <v>253</v>
      </c>
      <c r="C35" s="55" t="s">
        <v>164</v>
      </c>
      <c r="D35" s="55" t="s">
        <v>165</v>
      </c>
      <c r="E35" s="55" t="s">
        <v>166</v>
      </c>
      <c r="F35" s="55" t="s">
        <v>218</v>
      </c>
      <c r="G35" s="56" t="n">
        <v>1373.75</v>
      </c>
      <c r="H35" s="57" t="n">
        <f aca="false">MAX(0,IF(AND(Parameter!$B$21="Ja",ISNUMBER(Y35)),Y35,IF(Parameter!$B$20="Jahresanfang 2025 + Export",BL35+BK35,BK35)))</f>
        <v>19</v>
      </c>
      <c r="I35" s="57" t="n">
        <f aca="false">H35*G35</f>
        <v>26101.25</v>
      </c>
      <c r="J35" s="57" t="n">
        <f aca="false">BN35*Parameter!$B$18</f>
        <v>17</v>
      </c>
      <c r="K35" s="58" t="n">
        <v>26</v>
      </c>
      <c r="L35" s="59" t="n">
        <v>0.653846153846154</v>
      </c>
      <c r="M35" s="57" t="n">
        <v>4</v>
      </c>
      <c r="N35" s="57" t="n">
        <v>5</v>
      </c>
      <c r="O35" s="60" t="n">
        <v>70</v>
      </c>
      <c r="P35" s="55" t="s">
        <v>168</v>
      </c>
      <c r="Q35" s="57"/>
      <c r="R35" s="60" t="n">
        <f aca="false">IF(BT35=1,0,IFERROR(VLOOKUP(BR35,'Gebinde-Kategorie'!$A$5:$M$45,13,0)+0,0))</f>
        <v>0</v>
      </c>
      <c r="S35" s="61"/>
      <c r="T35" s="62"/>
      <c r="U35" s="62"/>
      <c r="V35" s="62"/>
      <c r="W35" s="55" t="n">
        <v>1</v>
      </c>
      <c r="X35" s="57" t="n">
        <v>34</v>
      </c>
      <c r="Y35" s="57" t="n">
        <v>19</v>
      </c>
      <c r="Z35" s="55" t="n">
        <f aca="false">IF(A35="","",IF(AND(Parameter!$B$21="Ja",ISNUMBER(W35)),W35,IF(BV35="2+3",IF(ISNUMBER(SEARCH("grosser Artikel",BO35)),2,IFERROR(VLOOKUP(BR35,Parameter!$F$35:$G$64,2,0),2)),IF(OR(BV35="Nein",BV35=""),"-",BV35))))</f>
        <v>1</v>
      </c>
      <c r="AA35" s="62"/>
      <c r="AB35" s="63"/>
      <c r="AC35" s="57" t="n">
        <f aca="false">AR35</f>
        <v>9</v>
      </c>
      <c r="AD35" s="57" t="n">
        <f aca="false">MAX(AR35,H35)</f>
        <v>19</v>
      </c>
      <c r="AE35" s="64"/>
      <c r="AF35" s="57" t="n">
        <f aca="false">IF(LEFT(Cockpit!$C$5,1)="A",H35,IF(CA35=1,CB35,IF(LEFT(Cockpit!$C$5,1)="B",AJ35,MAX(AJ35,H35))))</f>
        <v>19</v>
      </c>
      <c r="AG35" s="57" t="n">
        <f aca="false">IF(BT35=1,0,ROUNDUP(AF35/BS35,0))</f>
        <v>0</v>
      </c>
      <c r="AH35" s="59" t="n">
        <f aca="false">IF(CH35&gt;0,CH35*MAX(1,AF35/X35),IF(BT35=1,IF(AF35&lt;=0,0,BW35*MAX(1,IF(H35&gt;0,AF35/H35,1))),IF(R35&gt;0,AG35/R35,0))/MAX(0.1,N(Parameter!$M$21)))</f>
        <v>2.72128060263654</v>
      </c>
      <c r="AI35" s="57" t="n">
        <f aca="false">AF35*G35</f>
        <v>26101.25</v>
      </c>
      <c r="AJ35" s="57" t="n">
        <f aca="false">ROUNDUP(MAX(J35/IF(BZ35&gt;0,BZ35,MAX(0.1,N(Cockpit!$C$6))),CC35)/BS35,0)*BS35</f>
        <v>9</v>
      </c>
      <c r="AK35" s="58" t="n">
        <f aca="false">IF(AH35&gt;0,J35/AH35,-1)</f>
        <v>6.24705882352941</v>
      </c>
      <c r="AL35" s="58" t="n">
        <f aca="false">IF(AND(OR(BY35="L1",BY35="L23"),AH35&gt;0),SUMIFS($AH$7:$AH$1843,$BY$7:$BY$1843,BY35,$AK$7:$AK$1843,"&gt;"&amp;AK35)+SUMIFS($AH$7:$AH$1843,$BY$7:$BY$1843,BY35,$AK$7:$AK$1843,AK35,$BQ$7:$BQ$1843,"&lt;="&amp;BQ35),"")</f>
        <v>37.7772014688006</v>
      </c>
      <c r="AM35" s="65" t="n">
        <f aca="false">IF(AL35="",0,MAX(0,MIN(1,(IF(BY35="L1",Parameter!$E$5,Parameter!$E$6+Parameter!$E$7)-(AL35-AH35))/AH35)))</f>
        <v>1</v>
      </c>
      <c r="AN35" s="57" t="n">
        <f aca="false">IF(LEFT(Cockpit!$I$5,1)="A",H35,IF(CA35=1,CB35,IF(LEFT(Cockpit!$I$5,1)="B",AR35,MAX(AR35,H35))))</f>
        <v>19</v>
      </c>
      <c r="AO35" s="57" t="n">
        <f aca="false">IF(BT35=1,0,ROUNDUP(AN35/BS35,0))</f>
        <v>0</v>
      </c>
      <c r="AP35" s="59" t="n">
        <f aca="false">IF(CH35&gt;0,CH35*MAX(1,AN35/X35),IF(BT35=1,IF(AN35&lt;=0,0,BW35*MAX(1,IF(H35&gt;0,AN35/H35,1))),IF(R35&gt;0,AO35/R35,0))/MAX(0.1,N(Parameter!$M$21)))</f>
        <v>2.72128060263654</v>
      </c>
      <c r="AQ35" s="57" t="n">
        <f aca="false">AN35*G35</f>
        <v>26101.25</v>
      </c>
      <c r="AR35" s="57" t="n">
        <f aca="false">ROUNDUP(MAX(J35/IF(BZ35&gt;0,BZ35,MAX(0.1,N(Cockpit!$I$6))),CC35)/BS35,0)*BS35</f>
        <v>9</v>
      </c>
      <c r="AS35" s="58" t="n">
        <f aca="false">IF(AP35&gt;0,J35/AP35,-1)</f>
        <v>6.24705882352941</v>
      </c>
      <c r="AT35" s="58" t="n">
        <f aca="false">IF(AND(OR(BY35="L1",BY35="L23"),AP35&gt;0),SUMIFS($AP$7:$AP$1843,$BY$7:$BY$1843,BY35,$AS$7:$AS$1843,"&gt;"&amp;AS35)+SUMIFS($AP$7:$AP$1843,$BY$7:$BY$1843,BY35,$AS$7:$AS$1843,AS35,$BQ$7:$BQ$1843,"&lt;="&amp;BQ35),"")</f>
        <v>53.1300190843301</v>
      </c>
      <c r="AU35" s="65" t="n">
        <f aca="false">IF(AT35="",0,MAX(0,MIN(1,(IF(BY35="L1",Parameter!$E$5,Parameter!$E$6+Parameter!$E$7)-(AT35-AP35))/AP35)))</f>
        <v>0</v>
      </c>
      <c r="AV35" s="57" t="n">
        <f aca="false">IF(LEFT(Cockpit!$O$5,1)="A",H35,IF(CA35=1,CB35,IF(LEFT(Cockpit!$O$5,1)="B",AZ35,MAX(AZ35,H35))))</f>
        <v>19</v>
      </c>
      <c r="AW35" s="57" t="n">
        <f aca="false">IF(BT35=1,0,ROUNDUP(AV35/BS35,0))</f>
        <v>0</v>
      </c>
      <c r="AX35" s="59" t="n">
        <f aca="false">IF(CH35&gt;0,CH35*MAX(1,AV35/X35),IF(BT35=1,IF(AV35&lt;=0,0,BW35*MAX(1,IF(H35&gt;0,AV35/H35,1))),IF(R35&gt;0,AW35/R35,0))/MAX(0.1,N(Parameter!$M$21)))</f>
        <v>2.72128060263654</v>
      </c>
      <c r="AY35" s="57" t="n">
        <f aca="false">AV35*G35</f>
        <v>26101.25</v>
      </c>
      <c r="AZ35" s="57" t="n">
        <f aca="false">ROUNDUP(MAX(J35/IF(BZ35&gt;0,BZ35,MAX(0.1,N(Cockpit!$O$6))),CC35)/BS35,0)*BS35</f>
        <v>9</v>
      </c>
      <c r="BA35" s="58" t="n">
        <f aca="false">IF(AX35&gt;0,J35/AX35,-1)</f>
        <v>6.24705882352941</v>
      </c>
      <c r="BB35" s="58" t="n">
        <f aca="false">IF(AND(OR(BY35="L1",BY35="L23"),AX35&gt;0),SUMIFS($AX$7:$AX$1843,$BY$7:$BY$1843,BY35,$BA$7:$BA$1843,"&gt;"&amp;BA35)+SUMIFS($AX$7:$AX$1843,$BY$7:$BY$1843,BY35,$BA$7:$BA$1843,BA35,$BQ$7:$BQ$1843,"&lt;="&amp;BQ35),"")</f>
        <v>46.7968306155484</v>
      </c>
      <c r="BC35" s="65" t="n">
        <f aca="false">IF(BB35="",0,MAX(0,MIN(1,(IF(BY35="L1",Parameter!$E$5,Parameter!$E$6+Parameter!$E$7)-(BB35-AX35))/AX35)))</f>
        <v>1</v>
      </c>
      <c r="BD35" s="55" t="str">
        <f aca="false">IF(AH35&lt;=0,"",IF(BY35="Aussen","Aussenlager",IF(BY35="-","Nicht im Lift",IF(AM35&gt;=1,"Lift",IF(AM35&lt;=0,"Aussenlager","teilweise")))))</f>
        <v>Lift</v>
      </c>
      <c r="BE35" s="55" t="str">
        <f aca="false">IF(AP35&lt;=0,"",IF(BY35="Aussen","Aussenlager",IF(BY35="-","Nicht im Lift",IF(AU35&gt;=1,"Lift",IF(AU35&lt;=0,"Aussenlager","teilweise")))))</f>
        <v>Aussenlager</v>
      </c>
      <c r="BF35" s="55" t="str">
        <f aca="false">IF(AX35&lt;=0,"",IF(BY35="Aussen","Aussenlager",IF(BY35="-","Nicht im Lift",IF(BC35&gt;=1,"Lift",IF(BC35&lt;=0,"Aussenlager","teilweise")))))</f>
        <v>Lift</v>
      </c>
      <c r="BG35" s="55" t="str">
        <f aca="false">IF(A35="","",IF(BP35=1,"Neu; ","")&amp;IF(AND(BP35=0,BK35&lt;0),"negativer Bestand (Export "&amp;BK35&amp;"); ","")&amp;IF(J35&lt;=0,"Kein Verbrauch; ","")&amp;IF(CH35&gt;0,"Lift "&amp;W35&amp;" lt. Liftbericht (Fach "&amp;X35&amp;" Stk); ",IF(BU35=1,"Gebinde geschätzt ("&amp;T35&amp;"); ",IF(BT35=1,"Lose – Tablare geschätzt; ","")))&amp;IF(H35&gt;AR35,"Überbestand "&amp;ROUND(H35-AR35,0)&amp;" Stk / CHF "&amp;ROUND((H35-AR35)*G35,0)&amp;"; ","")&amp;IF(AND(CA35=1,CB35&lt;CC35),"MAX &lt; MB+LG; ","")&amp;IF(AND(CG35&gt;0,CF35*10&gt;CG35),"zu hoch für Tablar; ","")&amp;IF(AND(BP35=0,OR(CA35=1,AA35&lt;&gt;"",U35&lt;&gt;"",V35&lt;&gt;"",AB35&lt;&gt;"")),"manuell übersteuert; ","")&amp;IF(AND(BT35=0,R35=0),"Gebinde unbekannt / Stellmass fehlt; ","")&amp;IF(AND(BT35=0,N(V35)&lt;=0,N(Q35)&lt;=0),"Menge pro Gebinde fehlt (Ist = 1 Gebinde); ","")&amp;BO35)</f>
        <v>Lift 1 lt. Liftbericht (Fach 34 Stk); Überbestand 10 Stk / CHF 13738; </v>
      </c>
      <c r="BH35" s="55" t="s">
        <v>254</v>
      </c>
      <c r="BI35" s="55" t="s">
        <v>255</v>
      </c>
      <c r="BJ35" s="62"/>
      <c r="BK35" s="57" t="n">
        <v>7</v>
      </c>
      <c r="BL35" s="57" t="n">
        <v>18</v>
      </c>
      <c r="BM35" s="56" t="n">
        <v>10801.01</v>
      </c>
      <c r="BN35" s="57" t="n">
        <v>17</v>
      </c>
      <c r="BO35" s="55"/>
      <c r="BP35" s="60" t="n">
        <v>0</v>
      </c>
      <c r="BQ35" s="60" t="n">
        <v>35</v>
      </c>
      <c r="BR35" s="55" t="str">
        <f aca="false">IF(U35&lt;&gt;"",UPPER(TRIM(U35)),IF(BU35=1,UPPER(VLOOKUP(T35,Parameter!$I$27:$K$29,2,0)),IF(P35="","LOSE",P35)))</f>
        <v>LOSE</v>
      </c>
      <c r="BS35" s="57" t="n">
        <f aca="false">IF(BR35="LOSE",1,IF(N(V35)&gt;0,V35,IF(BU35=1,MAX(1,N(VLOOKUP(T35,Parameter!$I$27:$K$29,3,0)),H35,N(N35)),IF(N(Q35)&gt;0,Q35,MAX(1,H35)))))</f>
        <v>1</v>
      </c>
      <c r="BT35" s="60" t="n">
        <f aca="false">IF(BR35="LOSE",1,0)</f>
        <v>1</v>
      </c>
      <c r="BU35" s="60" t="n">
        <f aca="false">IF(AND(U35="",OR(P35="",P35="LOSE"),T35&lt;&gt;"",N(S35)&lt;=0,ISNUMBER(MATCH(T35,Parameter!$I$27:$I$29,0))),1,0)</f>
        <v>0</v>
      </c>
      <c r="BV35" s="55" t="n">
        <f aca="false">IF(AND(Parameter!$B$19="Ja",E35&lt;&gt;"",ISNUMBER(MATCH(E35,Parameter!$I$35:$I$52,0))),VLOOKUP(E35,Parameter!$I$35:$J$52,2,0),IFERROR(VLOOKUP(D35,Parameter!$A$35:$C$64,2,0),"Nein"))</f>
        <v>1</v>
      </c>
      <c r="BW35" s="59" t="n">
        <f aca="false">IF(BT35=0,0,IF(N(S35)&gt;0,S35,IFERROR(VLOOKUP(D35,Parameter!$A$35:$C$64,3,0)+0,0)))</f>
        <v>1</v>
      </c>
      <c r="BX35" s="55" t="n">
        <f aca="false">IF(AA35&lt;&gt;"",AA35,Z35)</f>
        <v>1</v>
      </c>
      <c r="BY35" s="55" t="str">
        <f aca="false">IF(BX35=1,"L1",IF(OR(BX35=2,BX35=3),"L23",IF(BX35="Aussen","Aussen","-")))</f>
        <v>L1</v>
      </c>
      <c r="BZ35" s="66" t="n">
        <f aca="false">IF(N(AB35)&gt;0,AB35,0)</f>
        <v>0</v>
      </c>
      <c r="CA35" s="60" t="n">
        <f aca="false">IF(ISNUMBER(AE35),1,0)</f>
        <v>0</v>
      </c>
      <c r="CB35" s="57" t="n">
        <f aca="false">N(AE35)</f>
        <v>0</v>
      </c>
      <c r="CC35" s="57" t="n">
        <f aca="false">N(M35)+N(N35)</f>
        <v>9</v>
      </c>
      <c r="CD35" s="57" t="n">
        <f aca="false">ROUNDUP(H35/BS35,0)</f>
        <v>19</v>
      </c>
      <c r="CE35" s="57" t="n">
        <f aca="false">ROUNDUP(CB35/BS35,0)</f>
        <v>0</v>
      </c>
      <c r="CF35" s="60" t="n">
        <f aca="false">IF(BT35=1,0,IFERROR(VLOOKUP(BR35,'Gebinde-Kategorie'!$A$5:$M$45,5,0)+0,0))</f>
        <v>0</v>
      </c>
      <c r="CG35" s="60" t="n">
        <f aca="false">IFERROR(IF(OR(BX35=1,BX35=2,BX35=3),N(INDEX(Parameter!$I$5:$I$7,BX35)),0),0)</f>
        <v>0</v>
      </c>
      <c r="CH35" s="59" t="n">
        <f aca="false">IF(AND(Parameter!$B$21="Ja",ISNUMBER(W35),N(X35)&gt;0),IFERROR(N(INDEX(Parameter!$L$5:$L$7,W35))*INDEX(Parameter!$E$5:$E$7,W35)*X35/SUMIFS($X$7:$X$1843,$W$7:$W$1843,W35),0),0)</f>
        <v>2.72128060263654</v>
      </c>
    </row>
    <row r="36" customFormat="false" ht="15" hidden="false" customHeight="false" outlineLevel="0" collapsed="false">
      <c r="A36" s="55" t="s">
        <v>256</v>
      </c>
      <c r="B36" s="55" t="s">
        <v>181</v>
      </c>
      <c r="C36" s="55" t="s">
        <v>164</v>
      </c>
      <c r="D36" s="55" t="s">
        <v>173</v>
      </c>
      <c r="E36" s="55"/>
      <c r="F36" s="55" t="s">
        <v>218</v>
      </c>
      <c r="G36" s="56" t="n">
        <v>5350.29</v>
      </c>
      <c r="H36" s="57" t="n">
        <f aca="false">MAX(0,IF(AND(Parameter!$B$21="Ja",ISNUMBER(Y36)),Y36,IF(Parameter!$B$20="Jahresanfang 2025 + Export",BL36+BK36,BK36)))</f>
        <v>2</v>
      </c>
      <c r="I36" s="57" t="n">
        <f aca="false">H36*G36</f>
        <v>10700.58</v>
      </c>
      <c r="J36" s="57" t="n">
        <f aca="false">BN36*Parameter!$B$18</f>
        <v>6</v>
      </c>
      <c r="K36" s="58" t="n">
        <v>1</v>
      </c>
      <c r="L36" s="59" t="n">
        <v>6</v>
      </c>
      <c r="M36" s="57" t="n">
        <v>1</v>
      </c>
      <c r="N36" s="57" t="n">
        <v>1</v>
      </c>
      <c r="O36" s="60" t="n">
        <v>100</v>
      </c>
      <c r="P36" s="55" t="s">
        <v>168</v>
      </c>
      <c r="Q36" s="57"/>
      <c r="R36" s="60" t="n">
        <f aca="false">IF(BT36=1,0,IFERROR(VLOOKUP(BR36,'Gebinde-Kategorie'!$A$5:$M$45,13,0)+0,0))</f>
        <v>12</v>
      </c>
      <c r="S36" s="61"/>
      <c r="T36" s="62" t="s">
        <v>179</v>
      </c>
      <c r="U36" s="62"/>
      <c r="V36" s="62"/>
      <c r="W36" s="55"/>
      <c r="X36" s="57"/>
      <c r="Y36" s="57"/>
      <c r="Z36" s="55" t="n">
        <f aca="false">IF(A36="","",IF(AND(Parameter!$B$21="Ja",ISNUMBER(W36)),W36,IF(BV36="2+3",IF(ISNUMBER(SEARCH("grosser Artikel",BO36)),2,IFERROR(VLOOKUP(BR36,Parameter!$F$35:$G$64,2,0),2)),IF(OR(BV36="Nein",BV36=""),"-",BV36))))</f>
        <v>2</v>
      </c>
      <c r="AA36" s="62"/>
      <c r="AB36" s="63"/>
      <c r="AC36" s="57" t="n">
        <f aca="false">AR36</f>
        <v>4</v>
      </c>
      <c r="AD36" s="57" t="n">
        <f aca="false">MAX(AR36,H36)</f>
        <v>4</v>
      </c>
      <c r="AE36" s="64"/>
      <c r="AF36" s="57" t="n">
        <f aca="false">IF(LEFT(Cockpit!$C$5,1)="A",H36,IF(CA36=1,CB36,IF(LEFT(Cockpit!$C$5,1)="B",AJ36,MAX(AJ36,H36))))</f>
        <v>2</v>
      </c>
      <c r="AG36" s="57" t="n">
        <f aca="false">IF(BT36=1,0,ROUNDUP(AF36/BS36,0))</f>
        <v>1</v>
      </c>
      <c r="AH36" s="59" t="n">
        <f aca="false">IF(CH36&gt;0,CH36*MAX(1,AF36/X36),IF(BT36=1,IF(AF36&lt;=0,0,BW36*MAX(1,IF(H36&gt;0,AF36/H36,1))),IF(R36&gt;0,AG36/R36,0))/MAX(0.1,N(Parameter!$M$21)))</f>
        <v>0.0833333333333333</v>
      </c>
      <c r="AI36" s="57" t="n">
        <f aca="false">AF36*G36</f>
        <v>10700.58</v>
      </c>
      <c r="AJ36" s="57" t="n">
        <f aca="false">ROUNDUP(MAX(J36/IF(BZ36&gt;0,BZ36,MAX(0.1,N(Cockpit!$C$6))),CC36)/BS36,0)*BS36</f>
        <v>4</v>
      </c>
      <c r="AK36" s="58" t="n">
        <f aca="false">IF(AH36&gt;0,J36/AH36,-1)</f>
        <v>72</v>
      </c>
      <c r="AL36" s="58" t="n">
        <f aca="false">IF(AND(OR(BY36="L1",BY36="L23"),AH36&gt;0),SUMIFS($AH$7:$AH$1843,$BY$7:$BY$1843,BY36,$AK$7:$AK$1843,"&gt;"&amp;AK36)+SUMIFS($AH$7:$AH$1843,$BY$7:$BY$1843,BY36,$AK$7:$AK$1843,AK36,$BQ$7:$BQ$1843,"&lt;="&amp;BQ36),"")</f>
        <v>41.5963396506875</v>
      </c>
      <c r="AM36" s="65" t="n">
        <f aca="false">IF(AL36="",0,MAX(0,MIN(1,(IF(BY36="L1",Parameter!$E$5,Parameter!$E$6+Parameter!$E$7)-(AL36-AH36))/AH36)))</f>
        <v>1</v>
      </c>
      <c r="AN36" s="57" t="n">
        <f aca="false">IF(LEFT(Cockpit!$I$5,1)="A",H36,IF(CA36=1,CB36,IF(LEFT(Cockpit!$I$5,1)="B",AR36,MAX(AR36,H36))))</f>
        <v>4</v>
      </c>
      <c r="AO36" s="57" t="n">
        <f aca="false">IF(BT36=1,0,ROUNDUP(AN36/BS36,0))</f>
        <v>1</v>
      </c>
      <c r="AP36" s="59" t="n">
        <f aca="false">IF(CH36&gt;0,CH36*MAX(1,AN36/X36),IF(BT36=1,IF(AN36&lt;=0,0,BW36*MAX(1,IF(H36&gt;0,AN36/H36,1))),IF(R36&gt;0,AO36/R36,0))/MAX(0.1,N(Parameter!$M$21)))</f>
        <v>0.0833333333333333</v>
      </c>
      <c r="AQ36" s="57" t="n">
        <f aca="false">AN36*G36</f>
        <v>21401.16</v>
      </c>
      <c r="AR36" s="57" t="n">
        <f aca="false">ROUNDUP(MAX(J36/IF(BZ36&gt;0,BZ36,MAX(0.1,N(Cockpit!$I$6))),CC36)/BS36,0)*BS36</f>
        <v>4</v>
      </c>
      <c r="AS36" s="58" t="n">
        <f aca="false">IF(AP36&gt;0,J36/AP36,-1)</f>
        <v>72</v>
      </c>
      <c r="AT36" s="58" t="n">
        <f aca="false">IF(AND(OR(BY36="L1",BY36="L23"),AP36&gt;0),SUMIFS($AP$7:$AP$1843,$BY$7:$BY$1843,BY36,$AS$7:$AS$1843,"&gt;"&amp;AS36)+SUMIFS($AP$7:$AP$1843,$BY$7:$BY$1843,BY36,$AS$7:$AS$1843,AS36,$BQ$7:$BQ$1843,"&lt;="&amp;BQ36),"")</f>
        <v>63.6358484510659</v>
      </c>
      <c r="AU36" s="65" t="n">
        <f aca="false">IF(AT36="",0,MAX(0,MIN(1,(IF(BY36="L1",Parameter!$E$5,Parameter!$E$6+Parameter!$E$7)-(AT36-AP36))/AP36)))</f>
        <v>1</v>
      </c>
      <c r="AV36" s="57" t="n">
        <f aca="false">IF(LEFT(Cockpit!$O$5,1)="A",H36,IF(CA36=1,CB36,IF(LEFT(Cockpit!$O$5,1)="B",AZ36,MAX(AZ36,H36))))</f>
        <v>4</v>
      </c>
      <c r="AW36" s="57" t="n">
        <f aca="false">IF(BT36=1,0,ROUNDUP(AV36/BS36,0))</f>
        <v>1</v>
      </c>
      <c r="AX36" s="59" t="n">
        <f aca="false">IF(CH36&gt;0,CH36*MAX(1,AV36/X36),IF(BT36=1,IF(AV36&lt;=0,0,BW36*MAX(1,IF(H36&gt;0,AV36/H36,1))),IF(R36&gt;0,AW36/R36,0))/MAX(0.1,N(Parameter!$M$21)))</f>
        <v>0.0833333333333333</v>
      </c>
      <c r="AY36" s="57" t="n">
        <f aca="false">AV36*G36</f>
        <v>21401.16</v>
      </c>
      <c r="AZ36" s="57" t="n">
        <f aca="false">ROUNDUP(MAX(J36/IF(BZ36&gt;0,BZ36,MAX(0.1,N(Cockpit!$O$6))),CC36)/BS36,0)*BS36</f>
        <v>4</v>
      </c>
      <c r="BA36" s="58" t="n">
        <f aca="false">IF(AX36&gt;0,J36/AX36,-1)</f>
        <v>72</v>
      </c>
      <c r="BB36" s="58" t="n">
        <f aca="false">IF(AND(OR(BY36="L1",BY36="L23"),AX36&gt;0),SUMIFS($AX$7:$AX$1843,$BY$7:$BY$1843,BY36,$BA$7:$BA$1843,"&gt;"&amp;BA36)+SUMIFS($AX$7:$AX$1843,$BY$7:$BY$1843,BY36,$BA$7:$BA$1843,BA36,$BQ$7:$BQ$1843,"&lt;="&amp;BQ36),"")</f>
        <v>58.1323519475693</v>
      </c>
      <c r="BC36" s="65" t="n">
        <f aca="false">IF(BB36="",0,MAX(0,MIN(1,(IF(BY36="L1",Parameter!$E$5,Parameter!$E$6+Parameter!$E$7)-(BB36-AX36))/AX36)))</f>
        <v>1</v>
      </c>
      <c r="BD36" s="55" t="str">
        <f aca="false">IF(AH36&lt;=0,"",IF(BY36="Aussen","Aussenlager",IF(BY36="-","Nicht im Lift",IF(AM36&gt;=1,"Lift",IF(AM36&lt;=0,"Aussenlager","teilweise")))))</f>
        <v>Lift</v>
      </c>
      <c r="BE36" s="55" t="str">
        <f aca="false">IF(AP36&lt;=0,"",IF(BY36="Aussen","Aussenlager",IF(BY36="-","Nicht im Lift",IF(AU36&gt;=1,"Lift",IF(AU36&lt;=0,"Aussenlager","teilweise")))))</f>
        <v>Lift</v>
      </c>
      <c r="BF36" s="55" t="str">
        <f aca="false">IF(AX36&lt;=0,"",IF(BY36="Aussen","Aussenlager",IF(BY36="-","Nicht im Lift",IF(BC36&gt;=1,"Lift",IF(BC36&lt;=0,"Aussenlager","teilweise")))))</f>
        <v>Lift</v>
      </c>
      <c r="BG36" s="55" t="str">
        <f aca="false">IF(A36="","",IF(BP36=1,"Neu; ","")&amp;IF(AND(BP36=0,BK36&lt;0),"negativer Bestand (Export "&amp;BK36&amp;"); ","")&amp;IF(J36&lt;=0,"Kein Verbrauch; ","")&amp;IF(CH36&gt;0,"Lift "&amp;W36&amp;" lt. Liftbericht (Fach "&amp;X36&amp;" Stk); ",IF(BU36=1,"Gebinde geschätzt ("&amp;T36&amp;"); ",IF(BT36=1,"Lose – Tablare geschätzt; ","")))&amp;IF(H36&gt;AR36,"Überbestand "&amp;ROUND(H36-AR36,0)&amp;" Stk / CHF "&amp;ROUND((H36-AR36)*G36,0)&amp;"; ","")&amp;IF(AND(CA36=1,CB36&lt;CC36),"MAX &lt; MB+LG; ","")&amp;IF(AND(CG36&gt;0,CF36*10&gt;CG36),"zu hoch für Tablar; ","")&amp;IF(AND(BP36=0,OR(CA36=1,AA36&lt;&gt;"",U36&lt;&gt;"",V36&lt;&gt;"",AB36&lt;&gt;"")),"manuell übersteuert; ","")&amp;IF(AND(BT36=0,R36=0),"Gebinde unbekannt / Stellmass fehlt; ","")&amp;IF(AND(BT36=0,N(V36)&lt;=0,N(Q36)&lt;=0),"Menge pro Gebinde fehlt (Ist = 1 Gebinde); ","")&amp;BO36)</f>
        <v>Gebinde geschätzt (Mittel); Menge pro Gebinde fehlt (Ist = 1 Gebinde); </v>
      </c>
      <c r="BH36" s="55"/>
      <c r="BI36" s="55"/>
      <c r="BJ36" s="62"/>
      <c r="BK36" s="57" t="n">
        <v>2</v>
      </c>
      <c r="BL36" s="57" t="n">
        <v>0</v>
      </c>
      <c r="BM36" s="56" t="n">
        <v>10700.58</v>
      </c>
      <c r="BN36" s="57" t="n">
        <v>6</v>
      </c>
      <c r="BO36" s="55"/>
      <c r="BP36" s="60" t="n">
        <v>0</v>
      </c>
      <c r="BQ36" s="60" t="n">
        <v>36</v>
      </c>
      <c r="BR36" s="55" t="str">
        <f aca="false">IF(U36&lt;&gt;"",UPPER(TRIM(U36)),IF(BU36=1,UPPER(VLOOKUP(T36,Parameter!$I$27:$K$29,2,0)),IF(P36="","LOSE",P36)))</f>
        <v>S61</v>
      </c>
      <c r="BS36" s="57" t="n">
        <f aca="false">IF(BR36="LOSE",1,IF(N(V36)&gt;0,V36,IF(BU36=1,MAX(1,N(VLOOKUP(T36,Parameter!$I$27:$K$29,3,0)),H36,N(N36)),IF(N(Q36)&gt;0,Q36,MAX(1,H36)))))</f>
        <v>4</v>
      </c>
      <c r="BT36" s="60" t="n">
        <f aca="false">IF(BR36="LOSE",1,0)</f>
        <v>0</v>
      </c>
      <c r="BU36" s="60" t="n">
        <f aca="false">IF(AND(U36="",OR(P36="",P36="LOSE"),T36&lt;&gt;"",N(S36)&lt;=0,ISNUMBER(MATCH(T36,Parameter!$I$27:$I$29,0))),1,0)</f>
        <v>1</v>
      </c>
      <c r="BV36" s="55" t="str">
        <f aca="false">IF(AND(Parameter!$B$19="Ja",E36&lt;&gt;"",ISNUMBER(MATCH(E36,Parameter!$I$35:$I$52,0))),VLOOKUP(E36,Parameter!$I$35:$J$52,2,0),IFERROR(VLOOKUP(D36,Parameter!$A$35:$C$64,2,0),"Nein"))</f>
        <v>2+3</v>
      </c>
      <c r="BW36" s="59" t="n">
        <f aca="false">IF(BT36=0,0,IF(N(S36)&gt;0,S36,IFERROR(VLOOKUP(D36,Parameter!$A$35:$C$64,3,0)+0,0)))</f>
        <v>0</v>
      </c>
      <c r="BX36" s="55" t="n">
        <f aca="false">IF(AA36&lt;&gt;"",AA36,Z36)</f>
        <v>2</v>
      </c>
      <c r="BY36" s="55" t="str">
        <f aca="false">IF(BX36=1,"L1",IF(OR(BX36=2,BX36=3),"L23",IF(BX36="Aussen","Aussen","-")))</f>
        <v>L23</v>
      </c>
      <c r="BZ36" s="66" t="n">
        <f aca="false">IF(N(AB36)&gt;0,AB36,0)</f>
        <v>0</v>
      </c>
      <c r="CA36" s="60" t="n">
        <f aca="false">IF(ISNUMBER(AE36),1,0)</f>
        <v>0</v>
      </c>
      <c r="CB36" s="57" t="n">
        <f aca="false">N(AE36)</f>
        <v>0</v>
      </c>
      <c r="CC36" s="57" t="n">
        <f aca="false">N(M36)+N(N36)</f>
        <v>2</v>
      </c>
      <c r="CD36" s="57" t="n">
        <f aca="false">ROUNDUP(H36/BS36,0)</f>
        <v>1</v>
      </c>
      <c r="CE36" s="57" t="n">
        <f aca="false">ROUNDUP(CB36/BS36,0)</f>
        <v>0</v>
      </c>
      <c r="CF36" s="60" t="n">
        <f aca="false">IF(BT36=1,0,IFERROR(VLOOKUP(BR36,'Gebinde-Kategorie'!$A$5:$M$45,5,0)+0,0))</f>
        <v>11</v>
      </c>
      <c r="CG36" s="60" t="n">
        <f aca="false">IFERROR(IF(OR(BX36=1,BX36=2,BX36=3),N(INDEX(Parameter!$I$5:$I$7,BX36)),0),0)</f>
        <v>0</v>
      </c>
      <c r="CH36" s="59" t="n">
        <f aca="false">IF(AND(Parameter!$B$21="Ja",ISNUMBER(W36),N(X36)&gt;0),IFERROR(N(INDEX(Parameter!$L$5:$L$7,W36))*INDEX(Parameter!$E$5:$E$7,W36)*X36/SUMIFS($X$7:$X$1843,$W$7:$W$1843,W36),0),0)</f>
        <v>0</v>
      </c>
    </row>
    <row r="37" customFormat="false" ht="15" hidden="false" customHeight="false" outlineLevel="0" collapsed="false">
      <c r="A37" s="55" t="s">
        <v>257</v>
      </c>
      <c r="B37" s="55" t="s">
        <v>258</v>
      </c>
      <c r="C37" s="55" t="s">
        <v>164</v>
      </c>
      <c r="D37" s="55" t="s">
        <v>173</v>
      </c>
      <c r="E37" s="55" t="s">
        <v>185</v>
      </c>
      <c r="F37" s="55" t="s">
        <v>218</v>
      </c>
      <c r="G37" s="56" t="n">
        <v>225.19</v>
      </c>
      <c r="H37" s="57" t="n">
        <f aca="false">MAX(0,IF(AND(Parameter!$B$21="Ja",ISNUMBER(Y37)),Y37,IF(Parameter!$B$20="Jahresanfang 2025 + Export",BL37+BK37,BK37)))</f>
        <v>62</v>
      </c>
      <c r="I37" s="57" t="n">
        <f aca="false">H37*G37</f>
        <v>13961.78</v>
      </c>
      <c r="J37" s="57" t="n">
        <f aca="false">BN37*Parameter!$B$18</f>
        <v>131</v>
      </c>
      <c r="K37" s="58" t="n">
        <v>24</v>
      </c>
      <c r="L37" s="59" t="n">
        <v>5.45833333333333</v>
      </c>
      <c r="M37" s="57" t="n">
        <v>12</v>
      </c>
      <c r="N37" s="57" t="n">
        <v>35</v>
      </c>
      <c r="O37" s="60" t="n">
        <v>84</v>
      </c>
      <c r="P37" s="55" t="s">
        <v>259</v>
      </c>
      <c r="Q37" s="57" t="n">
        <v>61</v>
      </c>
      <c r="R37" s="60" t="n">
        <f aca="false">IF(BT37=1,0,IFERROR(VLOOKUP(BR37,'Gebinde-Kategorie'!$A$5:$M$45,13,0)+0,0))</f>
        <v>6</v>
      </c>
      <c r="S37" s="61"/>
      <c r="T37" s="62"/>
      <c r="U37" s="62"/>
      <c r="V37" s="62"/>
      <c r="W37" s="55"/>
      <c r="X37" s="57"/>
      <c r="Y37" s="57"/>
      <c r="Z37" s="55" t="n">
        <f aca="false">IF(A37="","",IF(AND(Parameter!$B$21="Ja",ISNUMBER(W37)),W37,IF(BV37="2+3",IF(ISNUMBER(SEARCH("grosser Artikel",BO37)),2,IFERROR(VLOOKUP(BR37,Parameter!$F$35:$G$64,2,0),2)),IF(OR(BV37="Nein",BV37=""),"-",BV37))))</f>
        <v>2</v>
      </c>
      <c r="AA37" s="62"/>
      <c r="AB37" s="63"/>
      <c r="AC37" s="57" t="n">
        <f aca="false">AR37</f>
        <v>122</v>
      </c>
      <c r="AD37" s="57" t="n">
        <f aca="false">MAX(AR37,H37)</f>
        <v>122</v>
      </c>
      <c r="AE37" s="64"/>
      <c r="AF37" s="57" t="n">
        <f aca="false">IF(LEFT(Cockpit!$C$5,1)="A",H37,IF(CA37=1,CB37,IF(LEFT(Cockpit!$C$5,1)="B",AJ37,MAX(AJ37,H37))))</f>
        <v>62</v>
      </c>
      <c r="AG37" s="57" t="n">
        <f aca="false">IF(BT37=1,0,ROUNDUP(AF37/BS37,0))</f>
        <v>2</v>
      </c>
      <c r="AH37" s="59" t="n">
        <f aca="false">IF(CH37&gt;0,CH37*MAX(1,AF37/X37),IF(BT37=1,IF(AF37&lt;=0,0,BW37*MAX(1,IF(H37&gt;0,AF37/H37,1))),IF(R37&gt;0,AG37/R37,0))/MAX(0.1,N(Parameter!$M$21)))</f>
        <v>0.333333333333333</v>
      </c>
      <c r="AI37" s="57" t="n">
        <f aca="false">AF37*G37</f>
        <v>13961.78</v>
      </c>
      <c r="AJ37" s="57" t="n">
        <f aca="false">ROUNDUP(MAX(J37/IF(BZ37&gt;0,BZ37,MAX(0.1,N(Cockpit!$C$6))),CC37)/BS37,0)*BS37</f>
        <v>122</v>
      </c>
      <c r="AK37" s="58" t="n">
        <f aca="false">IF(AH37&gt;0,J37/AH37,-1)</f>
        <v>393</v>
      </c>
      <c r="AL37" s="58" t="n">
        <f aca="false">IF(AND(OR(BY37="L1",BY37="L23"),AH37&gt;0),SUMIFS($AH$7:$AH$1843,$BY$7:$BY$1843,BY37,$AK$7:$AK$1843,"&gt;"&amp;AK37)+SUMIFS($AH$7:$AH$1843,$BY$7:$BY$1843,BY37,$AK$7:$AK$1843,AK37,$BQ$7:$BQ$1843,"&lt;="&amp;BQ37),"")</f>
        <v>26.450559102733</v>
      </c>
      <c r="AM37" s="65" t="n">
        <f aca="false">IF(AL37="",0,MAX(0,MIN(1,(IF(BY37="L1",Parameter!$E$5,Parameter!$E$6+Parameter!$E$7)-(AL37-AH37))/AH37)))</f>
        <v>1</v>
      </c>
      <c r="AN37" s="57" t="n">
        <f aca="false">IF(LEFT(Cockpit!$I$5,1)="A",H37,IF(CA37=1,CB37,IF(LEFT(Cockpit!$I$5,1)="B",AR37,MAX(AR37,H37))))</f>
        <v>122</v>
      </c>
      <c r="AO37" s="57" t="n">
        <f aca="false">IF(BT37=1,0,ROUNDUP(AN37/BS37,0))</f>
        <v>2</v>
      </c>
      <c r="AP37" s="59" t="n">
        <f aca="false">IF(CH37&gt;0,CH37*MAX(1,AN37/X37),IF(BT37=1,IF(AN37&lt;=0,0,BW37*MAX(1,IF(H37&gt;0,AN37/H37,1))),IF(R37&gt;0,AO37/R37,0))/MAX(0.1,N(Parameter!$M$21)))</f>
        <v>0.333333333333333</v>
      </c>
      <c r="AQ37" s="57" t="n">
        <f aca="false">AN37*G37</f>
        <v>27473.18</v>
      </c>
      <c r="AR37" s="57" t="n">
        <f aca="false">ROUNDUP(MAX(J37/IF(BZ37&gt;0,BZ37,MAX(0.1,N(Cockpit!$I$6))),CC37)/BS37,0)*BS37</f>
        <v>122</v>
      </c>
      <c r="AS37" s="58" t="n">
        <f aca="false">IF(AP37&gt;0,J37/AP37,-1)</f>
        <v>393</v>
      </c>
      <c r="AT37" s="58" t="n">
        <f aca="false">IF(AND(OR(BY37="L1",BY37="L23"),AP37&gt;0),SUMIFS($AP$7:$AP$1843,$BY$7:$BY$1843,BY37,$AS$7:$AS$1843,"&gt;"&amp;AS37)+SUMIFS($AP$7:$AP$1843,$BY$7:$BY$1843,BY37,$AS$7:$AS$1843,AS37,$BQ$7:$BQ$1843,"&lt;="&amp;BQ37),"")</f>
        <v>35.8939140569575</v>
      </c>
      <c r="AU37" s="65" t="n">
        <f aca="false">IF(AT37="",0,MAX(0,MIN(1,(IF(BY37="L1",Parameter!$E$5,Parameter!$E$6+Parameter!$E$7)-(AT37-AP37))/AP37)))</f>
        <v>1</v>
      </c>
      <c r="AV37" s="57" t="n">
        <f aca="false">IF(LEFT(Cockpit!$O$5,1)="A",H37,IF(CA37=1,CB37,IF(LEFT(Cockpit!$O$5,1)="B",AZ37,MAX(AZ37,H37))))</f>
        <v>62</v>
      </c>
      <c r="AW37" s="57" t="n">
        <f aca="false">IF(BT37=1,0,ROUNDUP(AV37/BS37,0))</f>
        <v>2</v>
      </c>
      <c r="AX37" s="59" t="n">
        <f aca="false">IF(CH37&gt;0,CH37*MAX(1,AV37/X37),IF(BT37=1,IF(AV37&lt;=0,0,BW37*MAX(1,IF(H37&gt;0,AV37/H37,1))),IF(R37&gt;0,AW37/R37,0))/MAX(0.1,N(Parameter!$M$21)))</f>
        <v>0.333333333333333</v>
      </c>
      <c r="AY37" s="57" t="n">
        <f aca="false">AV37*G37</f>
        <v>13961.78</v>
      </c>
      <c r="AZ37" s="57" t="n">
        <f aca="false">ROUNDUP(MAX(J37/IF(BZ37&gt;0,BZ37,MAX(0.1,N(Cockpit!$O$6))),CC37)/BS37,0)*BS37</f>
        <v>61</v>
      </c>
      <c r="BA37" s="58" t="n">
        <f aca="false">IF(AX37&gt;0,J37/AX37,-1)</f>
        <v>393</v>
      </c>
      <c r="BB37" s="58" t="n">
        <f aca="false">IF(AND(OR(BY37="L1",BY37="L23"),AX37&gt;0),SUMIFS($AX$7:$AX$1843,$BY$7:$BY$1843,BY37,$BA$7:$BA$1843,"&gt;"&amp;BA37)+SUMIFS($AX$7:$AX$1843,$BY$7:$BY$1843,BY37,$BA$7:$BA$1843,BA37,$BQ$7:$BQ$1843,"&lt;="&amp;BQ37),"")</f>
        <v>35.140417553461</v>
      </c>
      <c r="BC37" s="65" t="n">
        <f aca="false">IF(BB37="",0,MAX(0,MIN(1,(IF(BY37="L1",Parameter!$E$5,Parameter!$E$6+Parameter!$E$7)-(BB37-AX37))/AX37)))</f>
        <v>1</v>
      </c>
      <c r="BD37" s="55" t="str">
        <f aca="false">IF(AH37&lt;=0,"",IF(BY37="Aussen","Aussenlager",IF(BY37="-","Nicht im Lift",IF(AM37&gt;=1,"Lift",IF(AM37&lt;=0,"Aussenlager","teilweise")))))</f>
        <v>Lift</v>
      </c>
      <c r="BE37" s="55" t="str">
        <f aca="false">IF(AP37&lt;=0,"",IF(BY37="Aussen","Aussenlager",IF(BY37="-","Nicht im Lift",IF(AU37&gt;=1,"Lift",IF(AU37&lt;=0,"Aussenlager","teilweise")))))</f>
        <v>Lift</v>
      </c>
      <c r="BF37" s="55" t="str">
        <f aca="false">IF(AX37&lt;=0,"",IF(BY37="Aussen","Aussenlager",IF(BY37="-","Nicht im Lift",IF(BC37&gt;=1,"Lift",IF(BC37&lt;=0,"Aussenlager","teilweise")))))</f>
        <v>Lift</v>
      </c>
      <c r="BG37" s="55" t="str">
        <f aca="false">IF(A37="","",IF(BP37=1,"Neu; ","")&amp;IF(AND(BP37=0,BK37&lt;0),"negativer Bestand (Export "&amp;BK37&amp;"); ","")&amp;IF(J37&lt;=0,"Kein Verbrauch; ","")&amp;IF(CH37&gt;0,"Lift "&amp;W37&amp;" lt. Liftbericht (Fach "&amp;X37&amp;" Stk); ",IF(BU37=1,"Gebinde geschätzt ("&amp;T37&amp;"); ",IF(BT37=1,"Lose – Tablare geschätzt; ","")))&amp;IF(H37&gt;AR37,"Überbestand "&amp;ROUND(H37-AR37,0)&amp;" Stk / CHF "&amp;ROUND((H37-AR37)*G37,0)&amp;"; ","")&amp;IF(AND(CA37=1,CB37&lt;CC37),"MAX &lt; MB+LG; ","")&amp;IF(AND(CG37&gt;0,CF37*10&gt;CG37),"zu hoch für Tablar; ","")&amp;IF(AND(BP37=0,OR(CA37=1,AA37&lt;&gt;"",U37&lt;&gt;"",V37&lt;&gt;"",AB37&lt;&gt;"")),"manuell übersteuert; ","")&amp;IF(AND(BT37=0,R37=0),"Gebinde unbekannt / Stellmass fehlt; ","")&amp;IF(AND(BT37=0,N(V37)&lt;=0,N(Q37)&lt;=0),"Menge pro Gebinde fehlt (Ist = 1 Gebinde); ","")&amp;BO37)</f>
        <v>grosser Artikel &amp; nicht im KTL</v>
      </c>
      <c r="BH37" s="55" t="s">
        <v>260</v>
      </c>
      <c r="BI37" s="55"/>
      <c r="BJ37" s="62"/>
      <c r="BK37" s="57" t="n">
        <v>44</v>
      </c>
      <c r="BL37" s="57" t="n">
        <v>18</v>
      </c>
      <c r="BM37" s="56" t="n">
        <v>10677.68</v>
      </c>
      <c r="BN37" s="57" t="n">
        <v>131</v>
      </c>
      <c r="BO37" s="55" t="s">
        <v>261</v>
      </c>
      <c r="BP37" s="60" t="n">
        <v>0</v>
      </c>
      <c r="BQ37" s="60" t="n">
        <v>37</v>
      </c>
      <c r="BR37" s="55" t="str">
        <f aca="false">IF(U37&lt;&gt;"",UPPER(TRIM(U37)),IF(BU37=1,UPPER(VLOOKUP(T37,Parameter!$I$27:$K$29,2,0)),IF(P37="","LOSE",P37)))</f>
        <v>S72</v>
      </c>
      <c r="BS37" s="57" t="n">
        <f aca="false">IF(BR37="LOSE",1,IF(N(V37)&gt;0,V37,IF(BU37=1,MAX(1,N(VLOOKUP(T37,Parameter!$I$27:$K$29,3,0)),H37,N(N37)),IF(N(Q37)&gt;0,Q37,MAX(1,H37)))))</f>
        <v>61</v>
      </c>
      <c r="BT37" s="60" t="n">
        <f aca="false">IF(BR37="LOSE",1,0)</f>
        <v>0</v>
      </c>
      <c r="BU37" s="60" t="n">
        <f aca="false">IF(AND(U37="",OR(P37="",P37="LOSE"),T37&lt;&gt;"",N(S37)&lt;=0,ISNUMBER(MATCH(T37,Parameter!$I$27:$I$29,0))),1,0)</f>
        <v>0</v>
      </c>
      <c r="BV37" s="55" t="str">
        <f aca="false">IF(AND(Parameter!$B$19="Ja",E37&lt;&gt;"",ISNUMBER(MATCH(E37,Parameter!$I$35:$I$52,0))),VLOOKUP(E37,Parameter!$I$35:$J$52,2,0),IFERROR(VLOOKUP(D37,Parameter!$A$35:$C$64,2,0),"Nein"))</f>
        <v>2+3</v>
      </c>
      <c r="BW37" s="59" t="n">
        <f aca="false">IF(BT37=0,0,IF(N(S37)&gt;0,S37,IFERROR(VLOOKUP(D37,Parameter!$A$35:$C$64,3,0)+0,0)))</f>
        <v>0</v>
      </c>
      <c r="BX37" s="55" t="n">
        <f aca="false">IF(AA37&lt;&gt;"",AA37,Z37)</f>
        <v>2</v>
      </c>
      <c r="BY37" s="55" t="str">
        <f aca="false">IF(BX37=1,"L1",IF(OR(BX37=2,BX37=3),"L23",IF(BX37="Aussen","Aussen","-")))</f>
        <v>L23</v>
      </c>
      <c r="BZ37" s="66" t="n">
        <f aca="false">IF(N(AB37)&gt;0,AB37,0)</f>
        <v>0</v>
      </c>
      <c r="CA37" s="60" t="n">
        <f aca="false">IF(ISNUMBER(AE37),1,0)</f>
        <v>0</v>
      </c>
      <c r="CB37" s="57" t="n">
        <f aca="false">N(AE37)</f>
        <v>0</v>
      </c>
      <c r="CC37" s="57" t="n">
        <f aca="false">N(M37)+N(N37)</f>
        <v>47</v>
      </c>
      <c r="CD37" s="57" t="n">
        <f aca="false">ROUNDUP(H37/BS37,0)</f>
        <v>2</v>
      </c>
      <c r="CE37" s="57" t="n">
        <f aca="false">ROUNDUP(CB37/BS37,0)</f>
        <v>0</v>
      </c>
      <c r="CF37" s="60" t="n">
        <f aca="false">IF(BT37=1,0,IFERROR(VLOOKUP(BR37,'Gebinde-Kategorie'!$A$5:$M$45,5,0)+0,0))</f>
        <v>40</v>
      </c>
      <c r="CG37" s="60" t="n">
        <f aca="false">IFERROR(IF(OR(BX37=1,BX37=2,BX37=3),N(INDEX(Parameter!$I$5:$I$7,BX37)),0),0)</f>
        <v>0</v>
      </c>
      <c r="CH37" s="59" t="n">
        <f aca="false">IF(AND(Parameter!$B$21="Ja",ISNUMBER(W37),N(X37)&gt;0),IFERROR(N(INDEX(Parameter!$L$5:$L$7,W37))*INDEX(Parameter!$E$5:$E$7,W37)*X37/SUMIFS($X$7:$X$1843,$W$7:$W$1843,W37),0),0)</f>
        <v>0</v>
      </c>
    </row>
    <row r="38" customFormat="false" ht="15" hidden="false" customHeight="false" outlineLevel="0" collapsed="false">
      <c r="A38" s="55" t="s">
        <v>262</v>
      </c>
      <c r="B38" s="55" t="s">
        <v>263</v>
      </c>
      <c r="C38" s="55" t="s">
        <v>164</v>
      </c>
      <c r="D38" s="55" t="s">
        <v>173</v>
      </c>
      <c r="E38" s="55" t="s">
        <v>166</v>
      </c>
      <c r="F38" s="55" t="s">
        <v>218</v>
      </c>
      <c r="G38" s="56" t="n">
        <v>630.41</v>
      </c>
      <c r="H38" s="57" t="n">
        <f aca="false">MAX(0,IF(AND(Parameter!$B$21="Ja",ISNUMBER(Y38)),Y38,IF(Parameter!$B$20="Jahresanfang 2025 + Export",BL38+BK38,BK38)))</f>
        <v>16</v>
      </c>
      <c r="I38" s="57" t="n">
        <f aca="false">H38*G38</f>
        <v>10086.56</v>
      </c>
      <c r="J38" s="57" t="n">
        <f aca="false">BN38*Parameter!$B$18</f>
        <v>72</v>
      </c>
      <c r="K38" s="58" t="n">
        <v>13</v>
      </c>
      <c r="L38" s="59" t="n">
        <v>5.53846153846154</v>
      </c>
      <c r="M38" s="57" t="n">
        <v>4</v>
      </c>
      <c r="N38" s="57" t="n">
        <v>15</v>
      </c>
      <c r="O38" s="60" t="n">
        <v>21</v>
      </c>
      <c r="P38" s="55" t="s">
        <v>223</v>
      </c>
      <c r="Q38" s="57" t="n">
        <v>8</v>
      </c>
      <c r="R38" s="60" t="n">
        <f aca="false">IF(BT38=1,0,IFERROR(VLOOKUP(BR38,'Gebinde-Kategorie'!$A$5:$M$45,13,0)+0,0))</f>
        <v>3</v>
      </c>
      <c r="S38" s="61"/>
      <c r="T38" s="62"/>
      <c r="U38" s="62"/>
      <c r="V38" s="62"/>
      <c r="W38" s="55"/>
      <c r="X38" s="57"/>
      <c r="Y38" s="57"/>
      <c r="Z38" s="55" t="n">
        <f aca="false">IF(A38="","",IF(AND(Parameter!$B$21="Ja",ISNUMBER(W38)),W38,IF(BV38="2+3",IF(ISNUMBER(SEARCH("grosser Artikel",BO38)),2,IFERROR(VLOOKUP(BR38,Parameter!$F$35:$G$64,2,0),2)),IF(OR(BV38="Nein",BV38=""),"-",BV38))))</f>
        <v>1</v>
      </c>
      <c r="AA38" s="62"/>
      <c r="AB38" s="63"/>
      <c r="AC38" s="57" t="n">
        <f aca="false">AR38</f>
        <v>40</v>
      </c>
      <c r="AD38" s="57" t="n">
        <f aca="false">MAX(AR38,H38)</f>
        <v>40</v>
      </c>
      <c r="AE38" s="64"/>
      <c r="AF38" s="57" t="n">
        <f aca="false">IF(LEFT(Cockpit!$C$5,1)="A",H38,IF(CA38=1,CB38,IF(LEFT(Cockpit!$C$5,1)="B",AJ38,MAX(AJ38,H38))))</f>
        <v>16</v>
      </c>
      <c r="AG38" s="57" t="n">
        <f aca="false">IF(BT38=1,0,ROUNDUP(AF38/BS38,0))</f>
        <v>2</v>
      </c>
      <c r="AH38" s="59" t="n">
        <f aca="false">IF(CH38&gt;0,CH38*MAX(1,AF38/X38),IF(BT38=1,IF(AF38&lt;=0,0,BW38*MAX(1,IF(H38&gt;0,AF38/H38,1))),IF(R38&gt;0,AG38/R38,0))/MAX(0.1,N(Parameter!$M$21)))</f>
        <v>0.666666666666667</v>
      </c>
      <c r="AI38" s="57" t="n">
        <f aca="false">AF38*G38</f>
        <v>10086.56</v>
      </c>
      <c r="AJ38" s="57" t="n">
        <f aca="false">ROUNDUP(MAX(J38/IF(BZ38&gt;0,BZ38,MAX(0.1,N(Cockpit!$C$6))),CC38)/BS38,0)*BS38</f>
        <v>40</v>
      </c>
      <c r="AK38" s="58" t="n">
        <f aca="false">IF(AH38&gt;0,J38/AH38,-1)</f>
        <v>108</v>
      </c>
      <c r="AL38" s="58" t="n">
        <f aca="false">IF(AND(OR(BY38="L1",BY38="L23"),AH38&gt;0),SUMIFS($AH$7:$AH$1843,$BY$7:$BY$1843,BY38,$AK$7:$AK$1843,"&gt;"&amp;AK38)+SUMIFS($AH$7:$AH$1843,$BY$7:$BY$1843,BY38,$AK$7:$AK$1843,AK38,$BQ$7:$BQ$1843,"&lt;="&amp;BQ38),"")</f>
        <v>5.83087378518477</v>
      </c>
      <c r="AM38" s="65" t="n">
        <f aca="false">IF(AL38="",0,MAX(0,MIN(1,(IF(BY38="L1",Parameter!$E$5,Parameter!$E$6+Parameter!$E$7)-(AL38-AH38))/AH38)))</f>
        <v>1</v>
      </c>
      <c r="AN38" s="57" t="n">
        <f aca="false">IF(LEFT(Cockpit!$I$5,1)="A",H38,IF(CA38=1,CB38,IF(LEFT(Cockpit!$I$5,1)="B",AR38,MAX(AR38,H38))))</f>
        <v>40</v>
      </c>
      <c r="AO38" s="57" t="n">
        <f aca="false">IF(BT38=1,0,ROUNDUP(AN38/BS38,0))</f>
        <v>5</v>
      </c>
      <c r="AP38" s="59" t="n">
        <f aca="false">IF(CH38&gt;0,CH38*MAX(1,AN38/X38),IF(BT38=1,IF(AN38&lt;=0,0,BW38*MAX(1,IF(H38&gt;0,AN38/H38,1))),IF(R38&gt;0,AO38/R38,0))/MAX(0.1,N(Parameter!$M$21)))</f>
        <v>1.66666666666667</v>
      </c>
      <c r="AQ38" s="57" t="n">
        <f aca="false">AN38*G38</f>
        <v>25216.4</v>
      </c>
      <c r="AR38" s="57" t="n">
        <f aca="false">ROUNDUP(MAX(J38/IF(BZ38&gt;0,BZ38,MAX(0.1,N(Cockpit!$I$6))),CC38)/BS38,0)*BS38</f>
        <v>40</v>
      </c>
      <c r="AS38" s="58" t="n">
        <f aca="false">IF(AP38&gt;0,J38/AP38,-1)</f>
        <v>43.2</v>
      </c>
      <c r="AT38" s="58" t="n">
        <f aca="false">IF(AND(OR(BY38="L1",BY38="L23"),AP38&gt;0),SUMIFS($AP$7:$AP$1843,$BY$7:$BY$1843,BY38,$AS$7:$AS$1843,"&gt;"&amp;AS38)+SUMIFS($AP$7:$AP$1843,$BY$7:$BY$1843,BY38,$AS$7:$AS$1843,AS38,$BQ$7:$BQ$1843,"&lt;="&amp;BQ38),"")</f>
        <v>16.8277591973244</v>
      </c>
      <c r="AU38" s="65" t="n">
        <f aca="false">IF(AT38="",0,MAX(0,MIN(1,(IF(BY38="L1",Parameter!$E$5,Parameter!$E$6+Parameter!$E$7)-(AT38-AP38))/AP38)))</f>
        <v>1</v>
      </c>
      <c r="AV38" s="57" t="n">
        <f aca="false">IF(LEFT(Cockpit!$O$5,1)="A",H38,IF(CA38=1,CB38,IF(LEFT(Cockpit!$O$5,1)="B",AZ38,MAX(AZ38,H38))))</f>
        <v>24</v>
      </c>
      <c r="AW38" s="57" t="n">
        <f aca="false">IF(BT38=1,0,ROUNDUP(AV38/BS38,0))</f>
        <v>3</v>
      </c>
      <c r="AX38" s="59" t="n">
        <f aca="false">IF(CH38&gt;0,CH38*MAX(1,AV38/X38),IF(BT38=1,IF(AV38&lt;=0,0,BW38*MAX(1,IF(H38&gt;0,AV38/H38,1))),IF(R38&gt;0,AW38/R38,0))/MAX(0.1,N(Parameter!$M$21)))</f>
        <v>1</v>
      </c>
      <c r="AY38" s="57" t="n">
        <f aca="false">AV38*G38</f>
        <v>15129.84</v>
      </c>
      <c r="AZ38" s="57" t="n">
        <f aca="false">ROUNDUP(MAX(J38/IF(BZ38&gt;0,BZ38,MAX(0.1,N(Cockpit!$O$6))),CC38)/BS38,0)*BS38</f>
        <v>24</v>
      </c>
      <c r="BA38" s="58" t="n">
        <f aca="false">IF(AX38&gt;0,J38/AX38,-1)</f>
        <v>72</v>
      </c>
      <c r="BB38" s="58" t="n">
        <f aca="false">IF(AND(OR(BY38="L1",BY38="L23"),AX38&gt;0),SUMIFS($AX$7:$AX$1843,$BY$7:$BY$1843,BY38,$BA$7:$BA$1843,"&gt;"&amp;BA38)+SUMIFS($AX$7:$AX$1843,$BY$7:$BY$1843,BY38,$BA$7:$BA$1843,BA38,$BQ$7:$BQ$1843,"&lt;="&amp;BQ38),"")</f>
        <v>10.2892976588629</v>
      </c>
      <c r="BC38" s="65" t="n">
        <f aca="false">IF(BB38="",0,MAX(0,MIN(1,(IF(BY38="L1",Parameter!$E$5,Parameter!$E$6+Parameter!$E$7)-(BB38-AX38))/AX38)))</f>
        <v>1</v>
      </c>
      <c r="BD38" s="55" t="str">
        <f aca="false">IF(AH38&lt;=0,"",IF(BY38="Aussen","Aussenlager",IF(BY38="-","Nicht im Lift",IF(AM38&gt;=1,"Lift",IF(AM38&lt;=0,"Aussenlager","teilweise")))))</f>
        <v>Lift</v>
      </c>
      <c r="BE38" s="55" t="str">
        <f aca="false">IF(AP38&lt;=0,"",IF(BY38="Aussen","Aussenlager",IF(BY38="-","Nicht im Lift",IF(AU38&gt;=1,"Lift",IF(AU38&lt;=0,"Aussenlager","teilweise")))))</f>
        <v>Lift</v>
      </c>
      <c r="BF38" s="55" t="str">
        <f aca="false">IF(AX38&lt;=0,"",IF(BY38="Aussen","Aussenlager",IF(BY38="-","Nicht im Lift",IF(BC38&gt;=1,"Lift",IF(BC38&lt;=0,"Aussenlager","teilweise")))))</f>
        <v>Lift</v>
      </c>
      <c r="BG38" s="55" t="str">
        <f aca="false">IF(A38="","",IF(BP38=1,"Neu; ","")&amp;IF(AND(BP38=0,BK38&lt;0),"negativer Bestand (Export "&amp;BK38&amp;"); ","")&amp;IF(J38&lt;=0,"Kein Verbrauch; ","")&amp;IF(CH38&gt;0,"Lift "&amp;W38&amp;" lt. Liftbericht (Fach "&amp;X38&amp;" Stk); ",IF(BU38=1,"Gebinde geschätzt ("&amp;T38&amp;"); ",IF(BT38=1,"Lose – Tablare geschätzt; ","")))&amp;IF(H38&gt;AR38,"Überbestand "&amp;ROUND(H38-AR38,0)&amp;" Stk / CHF "&amp;ROUND((H38-AR38)*G38,0)&amp;"; ","")&amp;IF(AND(CA38=1,CB38&lt;CC38),"MAX &lt; MB+LG; ","")&amp;IF(AND(CG38&gt;0,CF38*10&gt;CG38),"zu hoch für Tablar; ","")&amp;IF(AND(BP38=0,OR(CA38=1,AA38&lt;&gt;"",U38&lt;&gt;"",V38&lt;&gt;"",AB38&lt;&gt;"")),"manuell übersteuert; ","")&amp;IF(AND(BT38=0,R38=0),"Gebinde unbekannt / Stellmass fehlt; ","")&amp;IF(AND(BT38=0,N(V38)&lt;=0,N(Q38)&lt;=0),"Menge pro Gebinde fehlt (Ist = 1 Gebinde); ","")&amp;BO38)</f>
        <v/>
      </c>
      <c r="BH38" s="55"/>
      <c r="BI38" s="55"/>
      <c r="BJ38" s="62"/>
      <c r="BK38" s="57" t="n">
        <v>16</v>
      </c>
      <c r="BL38" s="57" t="n">
        <v>0</v>
      </c>
      <c r="BM38" s="56" t="n">
        <v>10086.58</v>
      </c>
      <c r="BN38" s="57" t="n">
        <v>72</v>
      </c>
      <c r="BO38" s="55"/>
      <c r="BP38" s="60" t="n">
        <v>0</v>
      </c>
      <c r="BQ38" s="60" t="n">
        <v>38</v>
      </c>
      <c r="BR38" s="55" t="str">
        <f aca="false">IF(U38&lt;&gt;"",UPPER(TRIM(U38)),IF(BU38=1,UPPER(VLOOKUP(T38,Parameter!$I$27:$K$29,2,0)),IF(P38="","LOSE",P38)))</f>
        <v>S81</v>
      </c>
      <c r="BS38" s="57" t="n">
        <f aca="false">IF(BR38="LOSE",1,IF(N(V38)&gt;0,V38,IF(BU38=1,MAX(1,N(VLOOKUP(T38,Parameter!$I$27:$K$29,3,0)),H38,N(N38)),IF(N(Q38)&gt;0,Q38,MAX(1,H38)))))</f>
        <v>8</v>
      </c>
      <c r="BT38" s="60" t="n">
        <f aca="false">IF(BR38="LOSE",1,0)</f>
        <v>0</v>
      </c>
      <c r="BU38" s="60" t="n">
        <f aca="false">IF(AND(U38="",OR(P38="",P38="LOSE"),T38&lt;&gt;"",N(S38)&lt;=0,ISNUMBER(MATCH(T38,Parameter!$I$27:$I$29,0))),1,0)</f>
        <v>0</v>
      </c>
      <c r="BV38" s="55" t="n">
        <f aca="false">IF(AND(Parameter!$B$19="Ja",E38&lt;&gt;"",ISNUMBER(MATCH(E38,Parameter!$I$35:$I$52,0))),VLOOKUP(E38,Parameter!$I$35:$J$52,2,0),IFERROR(VLOOKUP(D38,Parameter!$A$35:$C$64,2,0),"Nein"))</f>
        <v>1</v>
      </c>
      <c r="BW38" s="59" t="n">
        <f aca="false">IF(BT38=0,0,IF(N(S38)&gt;0,S38,IFERROR(VLOOKUP(D38,Parameter!$A$35:$C$64,3,0)+0,0)))</f>
        <v>0</v>
      </c>
      <c r="BX38" s="55" t="n">
        <f aca="false">IF(AA38&lt;&gt;"",AA38,Z38)</f>
        <v>1</v>
      </c>
      <c r="BY38" s="55" t="str">
        <f aca="false">IF(BX38=1,"L1",IF(OR(BX38=2,BX38=3),"L23",IF(BX38="Aussen","Aussen","-")))</f>
        <v>L1</v>
      </c>
      <c r="BZ38" s="66" t="n">
        <f aca="false">IF(N(AB38)&gt;0,AB38,0)</f>
        <v>0</v>
      </c>
      <c r="CA38" s="60" t="n">
        <f aca="false">IF(ISNUMBER(AE38),1,0)</f>
        <v>0</v>
      </c>
      <c r="CB38" s="57" t="n">
        <f aca="false">N(AE38)</f>
        <v>0</v>
      </c>
      <c r="CC38" s="57" t="n">
        <f aca="false">N(M38)+N(N38)</f>
        <v>19</v>
      </c>
      <c r="CD38" s="57" t="n">
        <f aca="false">ROUNDUP(H38/BS38,0)</f>
        <v>2</v>
      </c>
      <c r="CE38" s="57" t="n">
        <f aca="false">ROUNDUP(CB38/BS38,0)</f>
        <v>0</v>
      </c>
      <c r="CF38" s="60" t="n">
        <f aca="false">IF(BT38=1,0,IFERROR(VLOOKUP(BR38,'Gebinde-Kategorie'!$A$5:$M$45,5,0)+0,0))</f>
        <v>20</v>
      </c>
      <c r="CG38" s="60" t="n">
        <f aca="false">IFERROR(IF(OR(BX38=1,BX38=2,BX38=3),N(INDEX(Parameter!$I$5:$I$7,BX38)),0),0)</f>
        <v>0</v>
      </c>
      <c r="CH38" s="59" t="n">
        <f aca="false">IF(AND(Parameter!$B$21="Ja",ISNUMBER(W38),N(X38)&gt;0),IFERROR(N(INDEX(Parameter!$L$5:$L$7,W38))*INDEX(Parameter!$E$5:$E$7,W38)*X38/SUMIFS($X$7:$X$1843,$W$7:$W$1843,W38),0),0)</f>
        <v>0</v>
      </c>
    </row>
    <row r="39" customFormat="false" ht="15" hidden="false" customHeight="false" outlineLevel="0" collapsed="false">
      <c r="A39" s="55" t="s">
        <v>264</v>
      </c>
      <c r="B39" s="55" t="s">
        <v>265</v>
      </c>
      <c r="C39" s="55" t="s">
        <v>164</v>
      </c>
      <c r="D39" s="55" t="s">
        <v>173</v>
      </c>
      <c r="E39" s="55" t="s">
        <v>166</v>
      </c>
      <c r="F39" s="55" t="s">
        <v>218</v>
      </c>
      <c r="G39" s="56" t="n">
        <v>914.52</v>
      </c>
      <c r="H39" s="57" t="n">
        <f aca="false">MAX(0,IF(AND(Parameter!$B$21="Ja",ISNUMBER(Y39)),Y39,IF(Parameter!$B$20="Jahresanfang 2025 + Export",BL39+BK39,BK39)))</f>
        <v>13</v>
      </c>
      <c r="I39" s="57" t="n">
        <f aca="false">H39*G39</f>
        <v>11888.76</v>
      </c>
      <c r="J39" s="57" t="n">
        <f aca="false">BN39*Parameter!$B$18</f>
        <v>147</v>
      </c>
      <c r="K39" s="58" t="n">
        <v>4</v>
      </c>
      <c r="L39" s="59" t="n">
        <v>36.75</v>
      </c>
      <c r="M39" s="57" t="n">
        <v>11</v>
      </c>
      <c r="N39" s="57" t="n">
        <v>20</v>
      </c>
      <c r="O39" s="60" t="n">
        <v>28</v>
      </c>
      <c r="P39" s="55" t="s">
        <v>168</v>
      </c>
      <c r="Q39" s="57"/>
      <c r="R39" s="60" t="n">
        <f aca="false">IF(BT39=1,0,IFERROR(VLOOKUP(BR39,'Gebinde-Kategorie'!$A$5:$M$45,13,0)+0,0))</f>
        <v>12</v>
      </c>
      <c r="S39" s="61"/>
      <c r="T39" s="62" t="s">
        <v>179</v>
      </c>
      <c r="U39" s="62"/>
      <c r="V39" s="62"/>
      <c r="W39" s="55"/>
      <c r="X39" s="57"/>
      <c r="Y39" s="57"/>
      <c r="Z39" s="55" t="n">
        <f aca="false">IF(A39="","",IF(AND(Parameter!$B$21="Ja",ISNUMBER(W39)),W39,IF(BV39="2+3",IF(ISNUMBER(SEARCH("grosser Artikel",BO39)),2,IFERROR(VLOOKUP(BR39,Parameter!$F$35:$G$64,2,0),2)),IF(OR(BV39="Nein",BV39=""),"-",BV39))))</f>
        <v>1</v>
      </c>
      <c r="AA39" s="62"/>
      <c r="AB39" s="63"/>
      <c r="AC39" s="57" t="n">
        <f aca="false">AR39</f>
        <v>80</v>
      </c>
      <c r="AD39" s="57" t="n">
        <f aca="false">MAX(AR39,H39)</f>
        <v>80</v>
      </c>
      <c r="AE39" s="64"/>
      <c r="AF39" s="57" t="n">
        <f aca="false">IF(LEFT(Cockpit!$C$5,1)="A",H39,IF(CA39=1,CB39,IF(LEFT(Cockpit!$C$5,1)="B",AJ39,MAX(AJ39,H39))))</f>
        <v>13</v>
      </c>
      <c r="AG39" s="57" t="n">
        <f aca="false">IF(BT39=1,0,ROUNDUP(AF39/BS39,0))</f>
        <v>1</v>
      </c>
      <c r="AH39" s="59" t="n">
        <f aca="false">IF(CH39&gt;0,CH39*MAX(1,AF39/X39),IF(BT39=1,IF(AF39&lt;=0,0,BW39*MAX(1,IF(H39&gt;0,AF39/H39,1))),IF(R39&gt;0,AG39/R39,0))/MAX(0.1,N(Parameter!$M$21)))</f>
        <v>0.0833333333333333</v>
      </c>
      <c r="AI39" s="57" t="n">
        <f aca="false">AF39*G39</f>
        <v>11888.76</v>
      </c>
      <c r="AJ39" s="57" t="n">
        <f aca="false">ROUNDUP(MAX(J39/IF(BZ39&gt;0,BZ39,MAX(0.1,N(Cockpit!$C$6))),CC39)/BS39,0)*BS39</f>
        <v>80</v>
      </c>
      <c r="AK39" s="58" t="n">
        <f aca="false">IF(AH39&gt;0,J39/AH39,-1)</f>
        <v>1764</v>
      </c>
      <c r="AL39" s="58" t="n">
        <f aca="false">IF(AND(OR(BY39="L1",BY39="L23"),AH39&gt;0),SUMIFS($AH$7:$AH$1843,$BY$7:$BY$1843,BY39,$AK$7:$AK$1843,"&gt;"&amp;AK39)+SUMIFS($AH$7:$AH$1843,$BY$7:$BY$1843,BY39,$AK$7:$AK$1843,AK39,$BQ$7:$BQ$1843,"&lt;="&amp;BQ39),"")</f>
        <v>0.167502787068004</v>
      </c>
      <c r="AM39" s="65" t="n">
        <f aca="false">IF(AL39="",0,MAX(0,MIN(1,(IF(BY39="L1",Parameter!$E$5,Parameter!$E$6+Parameter!$E$7)-(AL39-AH39))/AH39)))</f>
        <v>1</v>
      </c>
      <c r="AN39" s="57" t="n">
        <f aca="false">IF(LEFT(Cockpit!$I$5,1)="A",H39,IF(CA39=1,CB39,IF(LEFT(Cockpit!$I$5,1)="B",AR39,MAX(AR39,H39))))</f>
        <v>80</v>
      </c>
      <c r="AO39" s="57" t="n">
        <f aca="false">IF(BT39=1,0,ROUNDUP(AN39/BS39,0))</f>
        <v>4</v>
      </c>
      <c r="AP39" s="59" t="n">
        <f aca="false">IF(CH39&gt;0,CH39*MAX(1,AN39/X39),IF(BT39=1,IF(AN39&lt;=0,0,BW39*MAX(1,IF(H39&gt;0,AN39/H39,1))),IF(R39&gt;0,AO39/R39,0))/MAX(0.1,N(Parameter!$M$21)))</f>
        <v>0.333333333333333</v>
      </c>
      <c r="AQ39" s="57" t="n">
        <f aca="false">AN39*G39</f>
        <v>73161.6</v>
      </c>
      <c r="AR39" s="57" t="n">
        <f aca="false">ROUNDUP(MAX(J39/IF(BZ39&gt;0,BZ39,MAX(0.1,N(Cockpit!$I$6))),CC39)/BS39,0)*BS39</f>
        <v>80</v>
      </c>
      <c r="AS39" s="58" t="n">
        <f aca="false">IF(AP39&gt;0,J39/AP39,-1)</f>
        <v>441</v>
      </c>
      <c r="AT39" s="58" t="n">
        <f aca="false">IF(AND(OR(BY39="L1",BY39="L23"),AP39&gt;0),SUMIFS($AP$7:$AP$1843,$BY$7:$BY$1843,BY39,$AS$7:$AS$1843,"&gt;"&amp;AS39)+SUMIFS($AP$7:$AP$1843,$BY$7:$BY$1843,BY39,$AS$7:$AS$1843,AS39,$BQ$7:$BQ$1843,"&lt;="&amp;BQ39),"")</f>
        <v>1.12263099219621</v>
      </c>
      <c r="AU39" s="65" t="n">
        <f aca="false">IF(AT39="",0,MAX(0,MIN(1,(IF(BY39="L1",Parameter!$E$5,Parameter!$E$6+Parameter!$E$7)-(AT39-AP39))/AP39)))</f>
        <v>1</v>
      </c>
      <c r="AV39" s="57" t="n">
        <f aca="false">IF(LEFT(Cockpit!$O$5,1)="A",H39,IF(CA39=1,CB39,IF(LEFT(Cockpit!$O$5,1)="B",AZ39,MAX(AZ39,H39))))</f>
        <v>60</v>
      </c>
      <c r="AW39" s="57" t="n">
        <f aca="false">IF(BT39=1,0,ROUNDUP(AV39/BS39,0))</f>
        <v>3</v>
      </c>
      <c r="AX39" s="59" t="n">
        <f aca="false">IF(CH39&gt;0,CH39*MAX(1,AV39/X39),IF(BT39=1,IF(AV39&lt;=0,0,BW39*MAX(1,IF(H39&gt;0,AV39/H39,1))),IF(R39&gt;0,AW39/R39,0))/MAX(0.1,N(Parameter!$M$21)))</f>
        <v>0.25</v>
      </c>
      <c r="AY39" s="57" t="n">
        <f aca="false">AV39*G39</f>
        <v>54871.2</v>
      </c>
      <c r="AZ39" s="57" t="n">
        <f aca="false">ROUNDUP(MAX(J39/IF(BZ39&gt;0,BZ39,MAX(0.1,N(Cockpit!$O$6))),CC39)/BS39,0)*BS39</f>
        <v>60</v>
      </c>
      <c r="BA39" s="58" t="n">
        <f aca="false">IF(AX39&gt;0,J39/AX39,-1)</f>
        <v>588</v>
      </c>
      <c r="BB39" s="58" t="n">
        <f aca="false">IF(AND(OR(BY39="L1",BY39="L23"),AX39&gt;0),SUMIFS($AX$7:$AX$1843,$BY$7:$BY$1843,BY39,$BA$7:$BA$1843,"&gt;"&amp;BA39)+SUMIFS($AX$7:$AX$1843,$BY$7:$BY$1843,BY39,$BA$7:$BA$1843,BA39,$BQ$7:$BQ$1843,"&lt;="&amp;BQ39),"")</f>
        <v>0.834169453734671</v>
      </c>
      <c r="BC39" s="65" t="n">
        <f aca="false">IF(BB39="",0,MAX(0,MIN(1,(IF(BY39="L1",Parameter!$E$5,Parameter!$E$6+Parameter!$E$7)-(BB39-AX39))/AX39)))</f>
        <v>1</v>
      </c>
      <c r="BD39" s="55" t="str">
        <f aca="false">IF(AH39&lt;=0,"",IF(BY39="Aussen","Aussenlager",IF(BY39="-","Nicht im Lift",IF(AM39&gt;=1,"Lift",IF(AM39&lt;=0,"Aussenlager","teilweise")))))</f>
        <v>Lift</v>
      </c>
      <c r="BE39" s="55" t="str">
        <f aca="false">IF(AP39&lt;=0,"",IF(BY39="Aussen","Aussenlager",IF(BY39="-","Nicht im Lift",IF(AU39&gt;=1,"Lift",IF(AU39&lt;=0,"Aussenlager","teilweise")))))</f>
        <v>Lift</v>
      </c>
      <c r="BF39" s="55" t="str">
        <f aca="false">IF(AX39&lt;=0,"",IF(BY39="Aussen","Aussenlager",IF(BY39="-","Nicht im Lift",IF(BC39&gt;=1,"Lift",IF(BC39&lt;=0,"Aussenlager","teilweise")))))</f>
        <v>Lift</v>
      </c>
      <c r="BG39" s="55" t="str">
        <f aca="false">IF(A39="","",IF(BP39=1,"Neu; ","")&amp;IF(AND(BP39=0,BK39&lt;0),"negativer Bestand (Export "&amp;BK39&amp;"); ","")&amp;IF(J39&lt;=0,"Kein Verbrauch; ","")&amp;IF(CH39&gt;0,"Lift "&amp;W39&amp;" lt. Liftbericht (Fach "&amp;X39&amp;" Stk); ",IF(BU39=1,"Gebinde geschätzt ("&amp;T39&amp;"); ",IF(BT39=1,"Lose – Tablare geschätzt; ","")))&amp;IF(H39&gt;AR39,"Überbestand "&amp;ROUND(H39-AR39,0)&amp;" Stk / CHF "&amp;ROUND((H39-AR39)*G39,0)&amp;"; ","")&amp;IF(AND(CA39=1,CB39&lt;CC39),"MAX &lt; MB+LG; ","")&amp;IF(AND(CG39&gt;0,CF39*10&gt;CG39),"zu hoch für Tablar; ","")&amp;IF(AND(BP39=0,OR(CA39=1,AA39&lt;&gt;"",U39&lt;&gt;"",V39&lt;&gt;"",AB39&lt;&gt;"")),"manuell übersteuert; ","")&amp;IF(AND(BT39=0,R39=0),"Gebinde unbekannt / Stellmass fehlt; ","")&amp;IF(AND(BT39=0,N(V39)&lt;=0,N(Q39)&lt;=0),"Menge pro Gebinde fehlt (Ist = 1 Gebinde); ","")&amp;BO39)</f>
        <v>Gebinde geschätzt (Mittel); Menge pro Gebinde fehlt (Ist = 1 Gebinde); </v>
      </c>
      <c r="BH39" s="55" t="s">
        <v>266</v>
      </c>
      <c r="BI39" s="55" t="s">
        <v>267</v>
      </c>
      <c r="BJ39" s="62"/>
      <c r="BK39" s="57" t="n">
        <v>11</v>
      </c>
      <c r="BL39" s="57" t="n">
        <v>2</v>
      </c>
      <c r="BM39" s="56" t="n">
        <v>10019.94</v>
      </c>
      <c r="BN39" s="57" t="n">
        <v>147</v>
      </c>
      <c r="BO39" s="55"/>
      <c r="BP39" s="60" t="n">
        <v>0</v>
      </c>
      <c r="BQ39" s="60" t="n">
        <v>39</v>
      </c>
      <c r="BR39" s="55" t="str">
        <f aca="false">IF(U39&lt;&gt;"",UPPER(TRIM(U39)),IF(BU39=1,UPPER(VLOOKUP(T39,Parameter!$I$27:$K$29,2,0)),IF(P39="","LOSE",P39)))</f>
        <v>S61</v>
      </c>
      <c r="BS39" s="57" t="n">
        <f aca="false">IF(BR39="LOSE",1,IF(N(V39)&gt;0,V39,IF(BU39=1,MAX(1,N(VLOOKUP(T39,Parameter!$I$27:$K$29,3,0)),H39,N(N39)),IF(N(Q39)&gt;0,Q39,MAX(1,H39)))))</f>
        <v>20</v>
      </c>
      <c r="BT39" s="60" t="n">
        <f aca="false">IF(BR39="LOSE",1,0)</f>
        <v>0</v>
      </c>
      <c r="BU39" s="60" t="n">
        <f aca="false">IF(AND(U39="",OR(P39="",P39="LOSE"),T39&lt;&gt;"",N(S39)&lt;=0,ISNUMBER(MATCH(T39,Parameter!$I$27:$I$29,0))),1,0)</f>
        <v>1</v>
      </c>
      <c r="BV39" s="55" t="n">
        <f aca="false">IF(AND(Parameter!$B$19="Ja",E39&lt;&gt;"",ISNUMBER(MATCH(E39,Parameter!$I$35:$I$52,0))),VLOOKUP(E39,Parameter!$I$35:$J$52,2,0),IFERROR(VLOOKUP(D39,Parameter!$A$35:$C$64,2,0),"Nein"))</f>
        <v>1</v>
      </c>
      <c r="BW39" s="59" t="n">
        <f aca="false">IF(BT39=0,0,IF(N(S39)&gt;0,S39,IFERROR(VLOOKUP(D39,Parameter!$A$35:$C$64,3,0)+0,0)))</f>
        <v>0</v>
      </c>
      <c r="BX39" s="55" t="n">
        <f aca="false">IF(AA39&lt;&gt;"",AA39,Z39)</f>
        <v>1</v>
      </c>
      <c r="BY39" s="55" t="str">
        <f aca="false">IF(BX39=1,"L1",IF(OR(BX39=2,BX39=3),"L23",IF(BX39="Aussen","Aussen","-")))</f>
        <v>L1</v>
      </c>
      <c r="BZ39" s="66" t="n">
        <f aca="false">IF(N(AB39)&gt;0,AB39,0)</f>
        <v>0</v>
      </c>
      <c r="CA39" s="60" t="n">
        <f aca="false">IF(ISNUMBER(AE39),1,0)</f>
        <v>0</v>
      </c>
      <c r="CB39" s="57" t="n">
        <f aca="false">N(AE39)</f>
        <v>0</v>
      </c>
      <c r="CC39" s="57" t="n">
        <f aca="false">N(M39)+N(N39)</f>
        <v>31</v>
      </c>
      <c r="CD39" s="57" t="n">
        <f aca="false">ROUNDUP(H39/BS39,0)</f>
        <v>1</v>
      </c>
      <c r="CE39" s="57" t="n">
        <f aca="false">ROUNDUP(CB39/BS39,0)</f>
        <v>0</v>
      </c>
      <c r="CF39" s="60" t="n">
        <f aca="false">IF(BT39=1,0,IFERROR(VLOOKUP(BR39,'Gebinde-Kategorie'!$A$5:$M$45,5,0)+0,0))</f>
        <v>11</v>
      </c>
      <c r="CG39" s="60" t="n">
        <f aca="false">IFERROR(IF(OR(BX39=1,BX39=2,BX39=3),N(INDEX(Parameter!$I$5:$I$7,BX39)),0),0)</f>
        <v>0</v>
      </c>
      <c r="CH39" s="59" t="n">
        <f aca="false">IF(AND(Parameter!$B$21="Ja",ISNUMBER(W39),N(X39)&gt;0),IFERROR(N(INDEX(Parameter!$L$5:$L$7,W39))*INDEX(Parameter!$E$5:$E$7,W39)*X39/SUMIFS($X$7:$X$1843,$W$7:$W$1843,W39),0),0)</f>
        <v>0</v>
      </c>
    </row>
    <row r="40" customFormat="false" ht="15" hidden="false" customHeight="false" outlineLevel="0" collapsed="false">
      <c r="A40" s="55" t="s">
        <v>268</v>
      </c>
      <c r="B40" s="55" t="s">
        <v>245</v>
      </c>
      <c r="C40" s="55" t="s">
        <v>164</v>
      </c>
      <c r="D40" s="55" t="s">
        <v>173</v>
      </c>
      <c r="E40" s="55"/>
      <c r="F40" s="55" t="s">
        <v>218</v>
      </c>
      <c r="G40" s="56" t="n">
        <v>3123</v>
      </c>
      <c r="H40" s="57" t="n">
        <f aca="false">MAX(0,IF(AND(Parameter!$B$21="Ja",ISNUMBER(Y40)),Y40,IF(Parameter!$B$20="Jahresanfang 2025 + Export",BL40+BK40,BK40)))</f>
        <v>3</v>
      </c>
      <c r="I40" s="57" t="n">
        <f aca="false">H40*G40</f>
        <v>9369</v>
      </c>
      <c r="J40" s="57" t="n">
        <f aca="false">BN40*Parameter!$B$18</f>
        <v>0</v>
      </c>
      <c r="K40" s="58" t="n">
        <v>0.5</v>
      </c>
      <c r="L40" s="59" t="n">
        <v>0</v>
      </c>
      <c r="M40" s="57" t="n">
        <v>0</v>
      </c>
      <c r="N40" s="57" t="n">
        <v>1</v>
      </c>
      <c r="O40" s="60" t="n">
        <v>56</v>
      </c>
      <c r="P40" s="55" t="s">
        <v>168</v>
      </c>
      <c r="Q40" s="57"/>
      <c r="R40" s="60" t="n">
        <f aca="false">IF(BT40=1,0,IFERROR(VLOOKUP(BR40,'Gebinde-Kategorie'!$A$5:$M$45,13,0)+0,0))</f>
        <v>12</v>
      </c>
      <c r="S40" s="61"/>
      <c r="T40" s="62" t="s">
        <v>179</v>
      </c>
      <c r="U40" s="62"/>
      <c r="V40" s="62"/>
      <c r="W40" s="55"/>
      <c r="X40" s="57"/>
      <c r="Y40" s="57"/>
      <c r="Z40" s="55" t="n">
        <f aca="false">IF(A40="","",IF(AND(Parameter!$B$21="Ja",ISNUMBER(W40)),W40,IF(BV40="2+3",IF(ISNUMBER(SEARCH("grosser Artikel",BO40)),2,IFERROR(VLOOKUP(BR40,Parameter!$F$35:$G$64,2,0),2)),IF(OR(BV40="Nein",BV40=""),"-",BV40))))</f>
        <v>2</v>
      </c>
      <c r="AA40" s="62"/>
      <c r="AB40" s="63"/>
      <c r="AC40" s="57" t="n">
        <f aca="false">AR40</f>
        <v>4</v>
      </c>
      <c r="AD40" s="57" t="n">
        <f aca="false">MAX(AR40,H40)</f>
        <v>4</v>
      </c>
      <c r="AE40" s="64"/>
      <c r="AF40" s="57" t="n">
        <f aca="false">IF(LEFT(Cockpit!$C$5,1)="A",H40,IF(CA40=1,CB40,IF(LEFT(Cockpit!$C$5,1)="B",AJ40,MAX(AJ40,H40))))</f>
        <v>3</v>
      </c>
      <c r="AG40" s="57" t="n">
        <f aca="false">IF(BT40=1,0,ROUNDUP(AF40/BS40,0))</f>
        <v>1</v>
      </c>
      <c r="AH40" s="59" t="n">
        <f aca="false">IF(CH40&gt;0,CH40*MAX(1,AF40/X40),IF(BT40=1,IF(AF40&lt;=0,0,BW40*MAX(1,IF(H40&gt;0,AF40/H40,1))),IF(R40&gt;0,AG40/R40,0))/MAX(0.1,N(Parameter!$M$21)))</f>
        <v>0.0833333333333333</v>
      </c>
      <c r="AI40" s="57" t="n">
        <f aca="false">AF40*G40</f>
        <v>9369</v>
      </c>
      <c r="AJ40" s="57" t="n">
        <f aca="false">ROUNDUP(MAX(J40/IF(BZ40&gt;0,BZ40,MAX(0.1,N(Cockpit!$C$6))),CC40)/BS40,0)*BS40</f>
        <v>4</v>
      </c>
      <c r="AK40" s="58" t="n">
        <f aca="false">IF(AH40&gt;0,J40/AH40,-1)</f>
        <v>0</v>
      </c>
      <c r="AL40" s="58" t="n">
        <f aca="false">IF(AND(OR(BY40="L1",BY40="L23"),AH40&gt;0),SUMIFS($AH$7:$AH$1843,$BY$7:$BY$1843,BY40,$AK$7:$AK$1843,"&gt;"&amp;AK40)+SUMIFS($AH$7:$AH$1843,$BY$7:$BY$1843,BY40,$AK$7:$AK$1843,AK40,$BQ$7:$BQ$1843,"&lt;="&amp;BQ40),"")</f>
        <v>66.830411134759</v>
      </c>
      <c r="AM40" s="65" t="n">
        <f aca="false">IF(AL40="",0,MAX(0,MIN(1,(IF(BY40="L1",Parameter!$E$5,Parameter!$E$6+Parameter!$E$7)-(AL40-AH40))/AH40)))</f>
        <v>1</v>
      </c>
      <c r="AN40" s="57" t="n">
        <f aca="false">IF(LEFT(Cockpit!$I$5,1)="A",H40,IF(CA40=1,CB40,IF(LEFT(Cockpit!$I$5,1)="B",AR40,MAX(AR40,H40))))</f>
        <v>4</v>
      </c>
      <c r="AO40" s="57" t="n">
        <f aca="false">IF(BT40=1,0,ROUNDUP(AN40/BS40,0))</f>
        <v>1</v>
      </c>
      <c r="AP40" s="59" t="n">
        <f aca="false">IF(CH40&gt;0,CH40*MAX(1,AN40/X40),IF(BT40=1,IF(AN40&lt;=0,0,BW40*MAX(1,IF(H40&gt;0,AN40/H40,1))),IF(R40&gt;0,AO40/R40,0))/MAX(0.1,N(Parameter!$M$21)))</f>
        <v>0.0833333333333333</v>
      </c>
      <c r="AQ40" s="57" t="n">
        <f aca="false">AN40*G40</f>
        <v>12492</v>
      </c>
      <c r="AR40" s="57" t="n">
        <f aca="false">ROUNDUP(MAX(J40/IF(BZ40&gt;0,BZ40,MAX(0.1,N(Cockpit!$I$6))),CC40)/BS40,0)*BS40</f>
        <v>4</v>
      </c>
      <c r="AS40" s="58" t="n">
        <f aca="false">IF(AP40&gt;0,J40/AP40,-1)</f>
        <v>0</v>
      </c>
      <c r="AT40" s="58" t="n">
        <f aca="false">IF(AND(OR(BY40="L1",BY40="L23"),AP40&gt;0),SUMIFS($AP$7:$AP$1843,$BY$7:$BY$1843,BY40,$AS$7:$AS$1843,"&gt;"&amp;AS40)+SUMIFS($AP$7:$AP$1843,$BY$7:$BY$1843,BY40,$AS$7:$AS$1843,AS40,$BQ$7:$BQ$1843,"&lt;="&amp;BQ40),"")</f>
        <v>106.004535319753</v>
      </c>
      <c r="AU40" s="65" t="n">
        <f aca="false">IF(AT40="",0,MAX(0,MIN(1,(IF(BY40="L1",Parameter!$E$5,Parameter!$E$6+Parameter!$E$7)-(AT40-AP40))/AP40)))</f>
        <v>0</v>
      </c>
      <c r="AV40" s="57" t="n">
        <f aca="false">IF(LEFT(Cockpit!$O$5,1)="A",H40,IF(CA40=1,CB40,IF(LEFT(Cockpit!$O$5,1)="B",AZ40,MAX(AZ40,H40))))</f>
        <v>4</v>
      </c>
      <c r="AW40" s="57" t="n">
        <f aca="false">IF(BT40=1,0,ROUNDUP(AV40/BS40,0))</f>
        <v>1</v>
      </c>
      <c r="AX40" s="59" t="n">
        <f aca="false">IF(CH40&gt;0,CH40*MAX(1,AV40/X40),IF(BT40=1,IF(AV40&lt;=0,0,BW40*MAX(1,IF(H40&gt;0,AV40/H40,1))),IF(R40&gt;0,AW40/R40,0))/MAX(0.1,N(Parameter!$M$21)))</f>
        <v>0.0833333333333333</v>
      </c>
      <c r="AY40" s="57" t="n">
        <f aca="false">AV40*G40</f>
        <v>12492</v>
      </c>
      <c r="AZ40" s="57" t="n">
        <f aca="false">ROUNDUP(MAX(J40/IF(BZ40&gt;0,BZ40,MAX(0.1,N(Cockpit!$O$6))),CC40)/BS40,0)*BS40</f>
        <v>4</v>
      </c>
      <c r="BA40" s="58" t="n">
        <f aca="false">IF(AX40&gt;0,J40/AX40,-1)</f>
        <v>0</v>
      </c>
      <c r="BB40" s="58" t="n">
        <f aca="false">IF(AND(OR(BY40="L1",BY40="L23"),AX40&gt;0),SUMIFS($AX$7:$AX$1843,$BY$7:$BY$1843,BY40,$BA$7:$BA$1843,"&gt;"&amp;BA40)+SUMIFS($AX$7:$AX$1843,$BY$7:$BY$1843,BY40,$BA$7:$BA$1843,BA40,$BQ$7:$BQ$1843,"&lt;="&amp;BQ40),"")</f>
        <v>96.8343721495895</v>
      </c>
      <c r="BC40" s="65" t="n">
        <f aca="false">IF(BB40="",0,MAX(0,MIN(1,(IF(BY40="L1",Parameter!$E$5,Parameter!$E$6+Parameter!$E$7)-(BB40-AX40))/AX40)))</f>
        <v>1</v>
      </c>
      <c r="BD40" s="55" t="str">
        <f aca="false">IF(AH40&lt;=0,"",IF(BY40="Aussen","Aussenlager",IF(BY40="-","Nicht im Lift",IF(AM40&gt;=1,"Lift",IF(AM40&lt;=0,"Aussenlager","teilweise")))))</f>
        <v>Lift</v>
      </c>
      <c r="BE40" s="55" t="str">
        <f aca="false">IF(AP40&lt;=0,"",IF(BY40="Aussen","Aussenlager",IF(BY40="-","Nicht im Lift",IF(AU40&gt;=1,"Lift",IF(AU40&lt;=0,"Aussenlager","teilweise")))))</f>
        <v>Aussenlager</v>
      </c>
      <c r="BF40" s="55" t="str">
        <f aca="false">IF(AX40&lt;=0,"",IF(BY40="Aussen","Aussenlager",IF(BY40="-","Nicht im Lift",IF(BC40&gt;=1,"Lift",IF(BC40&lt;=0,"Aussenlager","teilweise")))))</f>
        <v>Lift</v>
      </c>
      <c r="BG40" s="55" t="str">
        <f aca="false">IF(A40="","",IF(BP40=1,"Neu; ","")&amp;IF(AND(BP40=0,BK40&lt;0),"negativer Bestand (Export "&amp;BK40&amp;"); ","")&amp;IF(J40&lt;=0,"Kein Verbrauch; ","")&amp;IF(CH40&gt;0,"Lift "&amp;W40&amp;" lt. Liftbericht (Fach "&amp;X40&amp;" Stk); ",IF(BU40=1,"Gebinde geschätzt ("&amp;T40&amp;"); ",IF(BT40=1,"Lose – Tablare geschätzt; ","")))&amp;IF(H40&gt;AR40,"Überbestand "&amp;ROUND(H40-AR40,0)&amp;" Stk / CHF "&amp;ROUND((H40-AR40)*G40,0)&amp;"; ","")&amp;IF(AND(CA40=1,CB40&lt;CC40),"MAX &lt; MB+LG; ","")&amp;IF(AND(CG40&gt;0,CF40*10&gt;CG40),"zu hoch für Tablar; ","")&amp;IF(AND(BP40=0,OR(CA40=1,AA40&lt;&gt;"",U40&lt;&gt;"",V40&lt;&gt;"",AB40&lt;&gt;"")),"manuell übersteuert; ","")&amp;IF(AND(BT40=0,R40=0),"Gebinde unbekannt / Stellmass fehlt; ","")&amp;IF(AND(BT40=0,N(V40)&lt;=0,N(Q40)&lt;=0),"Menge pro Gebinde fehlt (Ist = 1 Gebinde); ","")&amp;BO40)</f>
        <v>Kein Verbrauch; Gebinde geschätzt (Mittel); Menge pro Gebinde fehlt (Ist = 1 Gebinde); </v>
      </c>
      <c r="BH40" s="55"/>
      <c r="BI40" s="55"/>
      <c r="BJ40" s="62"/>
      <c r="BK40" s="57" t="n">
        <v>3</v>
      </c>
      <c r="BL40" s="57" t="n">
        <v>0</v>
      </c>
      <c r="BM40" s="56" t="n">
        <v>9369</v>
      </c>
      <c r="BN40" s="57" t="n">
        <v>0</v>
      </c>
      <c r="BO40" s="55"/>
      <c r="BP40" s="60" t="n">
        <v>0</v>
      </c>
      <c r="BQ40" s="60" t="n">
        <v>40</v>
      </c>
      <c r="BR40" s="55" t="str">
        <f aca="false">IF(U40&lt;&gt;"",UPPER(TRIM(U40)),IF(BU40=1,UPPER(VLOOKUP(T40,Parameter!$I$27:$K$29,2,0)),IF(P40="","LOSE",P40)))</f>
        <v>S61</v>
      </c>
      <c r="BS40" s="57" t="n">
        <f aca="false">IF(BR40="LOSE",1,IF(N(V40)&gt;0,V40,IF(BU40=1,MAX(1,N(VLOOKUP(T40,Parameter!$I$27:$K$29,3,0)),H40,N(N40)),IF(N(Q40)&gt;0,Q40,MAX(1,H40)))))</f>
        <v>4</v>
      </c>
      <c r="BT40" s="60" t="n">
        <f aca="false">IF(BR40="LOSE",1,0)</f>
        <v>0</v>
      </c>
      <c r="BU40" s="60" t="n">
        <f aca="false">IF(AND(U40="",OR(P40="",P40="LOSE"),T40&lt;&gt;"",N(S40)&lt;=0,ISNUMBER(MATCH(T40,Parameter!$I$27:$I$29,0))),1,0)</f>
        <v>1</v>
      </c>
      <c r="BV40" s="55" t="str">
        <f aca="false">IF(AND(Parameter!$B$19="Ja",E40&lt;&gt;"",ISNUMBER(MATCH(E40,Parameter!$I$35:$I$52,0))),VLOOKUP(E40,Parameter!$I$35:$J$52,2,0),IFERROR(VLOOKUP(D40,Parameter!$A$35:$C$64,2,0),"Nein"))</f>
        <v>2+3</v>
      </c>
      <c r="BW40" s="59" t="n">
        <f aca="false">IF(BT40=0,0,IF(N(S40)&gt;0,S40,IFERROR(VLOOKUP(D40,Parameter!$A$35:$C$64,3,0)+0,0)))</f>
        <v>0</v>
      </c>
      <c r="BX40" s="55" t="n">
        <f aca="false">IF(AA40&lt;&gt;"",AA40,Z40)</f>
        <v>2</v>
      </c>
      <c r="BY40" s="55" t="str">
        <f aca="false">IF(BX40=1,"L1",IF(OR(BX40=2,BX40=3),"L23",IF(BX40="Aussen","Aussen","-")))</f>
        <v>L23</v>
      </c>
      <c r="BZ40" s="66" t="n">
        <f aca="false">IF(N(AB40)&gt;0,AB40,0)</f>
        <v>0</v>
      </c>
      <c r="CA40" s="60" t="n">
        <f aca="false">IF(ISNUMBER(AE40),1,0)</f>
        <v>0</v>
      </c>
      <c r="CB40" s="57" t="n">
        <f aca="false">N(AE40)</f>
        <v>0</v>
      </c>
      <c r="CC40" s="57" t="n">
        <f aca="false">N(M40)+N(N40)</f>
        <v>1</v>
      </c>
      <c r="CD40" s="57" t="n">
        <f aca="false">ROUNDUP(H40/BS40,0)</f>
        <v>1</v>
      </c>
      <c r="CE40" s="57" t="n">
        <f aca="false">ROUNDUP(CB40/BS40,0)</f>
        <v>0</v>
      </c>
      <c r="CF40" s="60" t="n">
        <f aca="false">IF(BT40=1,0,IFERROR(VLOOKUP(BR40,'Gebinde-Kategorie'!$A$5:$M$45,5,0)+0,0))</f>
        <v>11</v>
      </c>
      <c r="CG40" s="60" t="n">
        <f aca="false">IFERROR(IF(OR(BX40=1,BX40=2,BX40=3),N(INDEX(Parameter!$I$5:$I$7,BX40)),0),0)</f>
        <v>0</v>
      </c>
      <c r="CH40" s="59" t="n">
        <f aca="false">IF(AND(Parameter!$B$21="Ja",ISNUMBER(W40),N(X40)&gt;0),IFERROR(N(INDEX(Parameter!$L$5:$L$7,W40))*INDEX(Parameter!$E$5:$E$7,W40)*X40/SUMIFS($X$7:$X$1843,$W$7:$W$1843,W40),0),0)</f>
        <v>0</v>
      </c>
    </row>
    <row r="41" customFormat="false" ht="15" hidden="false" customHeight="false" outlineLevel="0" collapsed="false">
      <c r="A41" s="55" t="s">
        <v>269</v>
      </c>
      <c r="B41" s="55" t="s">
        <v>270</v>
      </c>
      <c r="C41" s="55" t="s">
        <v>164</v>
      </c>
      <c r="D41" s="55" t="s">
        <v>173</v>
      </c>
      <c r="E41" s="55" t="s">
        <v>166</v>
      </c>
      <c r="F41" s="55" t="s">
        <v>218</v>
      </c>
      <c r="G41" s="56" t="n">
        <v>530</v>
      </c>
      <c r="H41" s="57" t="n">
        <f aca="false">MAX(0,IF(AND(Parameter!$B$21="Ja",ISNUMBER(Y41)),Y41,IF(Parameter!$B$20="Jahresanfang 2025 + Export",BL41+BK41,BK41)))</f>
        <v>19</v>
      </c>
      <c r="I41" s="57" t="n">
        <f aca="false">H41*G41</f>
        <v>10070</v>
      </c>
      <c r="J41" s="57" t="n">
        <f aca="false">BN41*Parameter!$B$18</f>
        <v>23</v>
      </c>
      <c r="K41" s="58" t="n">
        <v>9.5</v>
      </c>
      <c r="L41" s="59" t="n">
        <v>2.42105263157895</v>
      </c>
      <c r="M41" s="57" t="n">
        <v>5</v>
      </c>
      <c r="N41" s="57" t="n">
        <v>10</v>
      </c>
      <c r="O41" s="60" t="n">
        <v>70</v>
      </c>
      <c r="P41" s="55" t="s">
        <v>223</v>
      </c>
      <c r="Q41" s="57" t="n">
        <v>4</v>
      </c>
      <c r="R41" s="60" t="n">
        <f aca="false">IF(BT41=1,0,IFERROR(VLOOKUP(BR41,'Gebinde-Kategorie'!$A$5:$M$45,13,0)+0,0))</f>
        <v>3</v>
      </c>
      <c r="S41" s="61"/>
      <c r="T41" s="62"/>
      <c r="U41" s="62"/>
      <c r="V41" s="62"/>
      <c r="W41" s="55"/>
      <c r="X41" s="57"/>
      <c r="Y41" s="57"/>
      <c r="Z41" s="55" t="n">
        <f aca="false">IF(A41="","",IF(AND(Parameter!$B$21="Ja",ISNUMBER(W41)),W41,IF(BV41="2+3",IF(ISNUMBER(SEARCH("grosser Artikel",BO41)),2,IFERROR(VLOOKUP(BR41,Parameter!$F$35:$G$64,2,0),2)),IF(OR(BV41="Nein",BV41=""),"-",BV41))))</f>
        <v>1</v>
      </c>
      <c r="AA41" s="62"/>
      <c r="AB41" s="63"/>
      <c r="AC41" s="57" t="n">
        <f aca="false">AR41</f>
        <v>16</v>
      </c>
      <c r="AD41" s="57" t="n">
        <f aca="false">MAX(AR41,H41)</f>
        <v>19</v>
      </c>
      <c r="AE41" s="64"/>
      <c r="AF41" s="57" t="n">
        <f aca="false">IF(LEFT(Cockpit!$C$5,1)="A",H41,IF(CA41=1,CB41,IF(LEFT(Cockpit!$C$5,1)="B",AJ41,MAX(AJ41,H41))))</f>
        <v>19</v>
      </c>
      <c r="AG41" s="57" t="n">
        <f aca="false">IF(BT41=1,0,ROUNDUP(AF41/BS41,0))</f>
        <v>5</v>
      </c>
      <c r="AH41" s="59" t="n">
        <f aca="false">IF(CH41&gt;0,CH41*MAX(1,AF41/X41),IF(BT41=1,IF(AF41&lt;=0,0,BW41*MAX(1,IF(H41&gt;0,AF41/H41,1))),IF(R41&gt;0,AG41/R41,0))/MAX(0.1,N(Parameter!$M$21)))</f>
        <v>1.66666666666667</v>
      </c>
      <c r="AI41" s="57" t="n">
        <f aca="false">AF41*G41</f>
        <v>10070</v>
      </c>
      <c r="AJ41" s="57" t="n">
        <f aca="false">ROUNDUP(MAX(J41/IF(BZ41&gt;0,BZ41,MAX(0.1,N(Cockpit!$C$6))),CC41)/BS41,0)*BS41</f>
        <v>16</v>
      </c>
      <c r="AK41" s="58" t="n">
        <f aca="false">IF(AH41&gt;0,J41/AH41,-1)</f>
        <v>13.8</v>
      </c>
      <c r="AL41" s="58" t="n">
        <f aca="false">IF(AND(OR(BY41="L1",BY41="L23"),AH41&gt;0),SUMIFS($AH$7:$AH$1843,$BY$7:$BY$1843,BY41,$AK$7:$AK$1843,"&gt;"&amp;AK41)+SUMIFS($AH$7:$AH$1843,$BY$7:$BY$1843,BY41,$AK$7:$AK$1843,AK41,$BQ$7:$BQ$1843,"&lt;="&amp;BQ41),"")</f>
        <v>29.766843653358</v>
      </c>
      <c r="AM41" s="65" t="n">
        <f aca="false">IF(AL41="",0,MAX(0,MIN(1,(IF(BY41="L1",Parameter!$E$5,Parameter!$E$6+Parameter!$E$7)-(AL41-AH41))/AH41)))</f>
        <v>1</v>
      </c>
      <c r="AN41" s="57" t="n">
        <f aca="false">IF(LEFT(Cockpit!$I$5,1)="A",H41,IF(CA41=1,CB41,IF(LEFT(Cockpit!$I$5,1)="B",AR41,MAX(AR41,H41))))</f>
        <v>19</v>
      </c>
      <c r="AO41" s="57" t="n">
        <f aca="false">IF(BT41=1,0,ROUNDUP(AN41/BS41,0))</f>
        <v>5</v>
      </c>
      <c r="AP41" s="59" t="n">
        <f aca="false">IF(CH41&gt;0,CH41*MAX(1,AN41/X41),IF(BT41=1,IF(AN41&lt;=0,0,BW41*MAX(1,IF(H41&gt;0,AN41/H41,1))),IF(R41&gt;0,AO41/R41,0))/MAX(0.1,N(Parameter!$M$21)))</f>
        <v>1.66666666666667</v>
      </c>
      <c r="AQ41" s="57" t="n">
        <f aca="false">AN41*G41</f>
        <v>10070</v>
      </c>
      <c r="AR41" s="57" t="n">
        <f aca="false">ROUNDUP(MAX(J41/IF(BZ41&gt;0,BZ41,MAX(0.1,N(Cockpit!$I$6))),CC41)/BS41,0)*BS41</f>
        <v>16</v>
      </c>
      <c r="AS41" s="58" t="n">
        <f aca="false">IF(AP41&gt;0,J41/AP41,-1)</f>
        <v>13.8</v>
      </c>
      <c r="AT41" s="58" t="n">
        <f aca="false">IF(AND(OR(BY41="L1",BY41="L23"),AP41&gt;0),SUMIFS($AP$7:$AP$1843,$BY$7:$BY$1843,BY41,$AS$7:$AS$1843,"&gt;"&amp;AS41)+SUMIFS($AP$7:$AP$1843,$BY$7:$BY$1843,BY41,$AS$7:$AS$1843,AS41,$BQ$7:$BQ$1843,"&lt;="&amp;BQ41),"")</f>
        <v>44.7863279355542</v>
      </c>
      <c r="AU41" s="65" t="n">
        <f aca="false">IF(AT41="",0,MAX(0,MIN(1,(IF(BY41="L1",Parameter!$E$5,Parameter!$E$6+Parameter!$E$7)-(AT41-AP41))/AP41)))</f>
        <v>1</v>
      </c>
      <c r="AV41" s="57" t="n">
        <f aca="false">IF(LEFT(Cockpit!$O$5,1)="A",H41,IF(CA41=1,CB41,IF(LEFT(Cockpit!$O$5,1)="B",AZ41,MAX(AZ41,H41))))</f>
        <v>19</v>
      </c>
      <c r="AW41" s="57" t="n">
        <f aca="false">IF(BT41=1,0,ROUNDUP(AV41/BS41,0))</f>
        <v>5</v>
      </c>
      <c r="AX41" s="59" t="n">
        <f aca="false">IF(CH41&gt;0,CH41*MAX(1,AV41/X41),IF(BT41=1,IF(AV41&lt;=0,0,BW41*MAX(1,IF(H41&gt;0,AV41/H41,1))),IF(R41&gt;0,AW41/R41,0))/MAX(0.1,N(Parameter!$M$21)))</f>
        <v>1.66666666666667</v>
      </c>
      <c r="AY41" s="57" t="n">
        <f aca="false">AV41*G41</f>
        <v>10070</v>
      </c>
      <c r="AZ41" s="57" t="n">
        <f aca="false">ROUNDUP(MAX(J41/IF(BZ41&gt;0,BZ41,MAX(0.1,N(Cockpit!$O$6))),CC41)/BS41,0)*BS41</f>
        <v>16</v>
      </c>
      <c r="BA41" s="58" t="n">
        <f aca="false">IF(AX41&gt;0,J41/AX41,-1)</f>
        <v>13.8</v>
      </c>
      <c r="BB41" s="58" t="n">
        <f aca="false">IF(AND(OR(BY41="L1",BY41="L23"),AX41&gt;0),SUMIFS($AX$7:$AX$1843,$BY$7:$BY$1843,BY41,$BA$7:$BA$1843,"&gt;"&amp;BA41)+SUMIFS($AX$7:$AX$1843,$BY$7:$BY$1843,BY41,$BA$7:$BA$1843,BA41,$BQ$7:$BQ$1843,"&lt;="&amp;BQ41),"")</f>
        <v>38.4531394667725</v>
      </c>
      <c r="BC41" s="65" t="n">
        <f aca="false">IF(BB41="",0,MAX(0,MIN(1,(IF(BY41="L1",Parameter!$E$5,Parameter!$E$6+Parameter!$E$7)-(BB41-AX41))/AX41)))</f>
        <v>1</v>
      </c>
      <c r="BD41" s="55" t="str">
        <f aca="false">IF(AH41&lt;=0,"",IF(BY41="Aussen","Aussenlager",IF(BY41="-","Nicht im Lift",IF(AM41&gt;=1,"Lift",IF(AM41&lt;=0,"Aussenlager","teilweise")))))</f>
        <v>Lift</v>
      </c>
      <c r="BE41" s="55" t="str">
        <f aca="false">IF(AP41&lt;=0,"",IF(BY41="Aussen","Aussenlager",IF(BY41="-","Nicht im Lift",IF(AU41&gt;=1,"Lift",IF(AU41&lt;=0,"Aussenlager","teilweise")))))</f>
        <v>Lift</v>
      </c>
      <c r="BF41" s="55" t="str">
        <f aca="false">IF(AX41&lt;=0,"",IF(BY41="Aussen","Aussenlager",IF(BY41="-","Nicht im Lift",IF(BC41&gt;=1,"Lift",IF(BC41&lt;=0,"Aussenlager","teilweise")))))</f>
        <v>Lift</v>
      </c>
      <c r="BG41" s="55" t="str">
        <f aca="false">IF(A41="","",IF(BP41=1,"Neu; ","")&amp;IF(AND(BP41=0,BK41&lt;0),"negativer Bestand (Export "&amp;BK41&amp;"); ","")&amp;IF(J41&lt;=0,"Kein Verbrauch; ","")&amp;IF(CH41&gt;0,"Lift "&amp;W41&amp;" lt. Liftbericht (Fach "&amp;X41&amp;" Stk); ",IF(BU41=1,"Gebinde geschätzt ("&amp;T41&amp;"); ",IF(BT41=1,"Lose – Tablare geschätzt; ","")))&amp;IF(H41&gt;AR41,"Überbestand "&amp;ROUND(H41-AR41,0)&amp;" Stk / CHF "&amp;ROUND((H41-AR41)*G41,0)&amp;"; ","")&amp;IF(AND(CA41=1,CB41&lt;CC41),"MAX &lt; MB+LG; ","")&amp;IF(AND(CG41&gt;0,CF41*10&gt;CG41),"zu hoch für Tablar; ","")&amp;IF(AND(BP41=0,OR(CA41=1,AA41&lt;&gt;"",U41&lt;&gt;"",V41&lt;&gt;"",AB41&lt;&gt;"")),"manuell übersteuert; ","")&amp;IF(AND(BT41=0,R41=0),"Gebinde unbekannt / Stellmass fehlt; ","")&amp;IF(AND(BT41=0,N(V41)&lt;=0,N(Q41)&lt;=0),"Menge pro Gebinde fehlt (Ist = 1 Gebinde); ","")&amp;BO41)</f>
        <v>Überbestand 3 Stk / CHF 1590; </v>
      </c>
      <c r="BH41" s="55" t="s">
        <v>271</v>
      </c>
      <c r="BI41" s="55" t="s">
        <v>272</v>
      </c>
      <c r="BJ41" s="62"/>
      <c r="BK41" s="57" t="n">
        <v>16</v>
      </c>
      <c r="BL41" s="57" t="n">
        <v>3</v>
      </c>
      <c r="BM41" s="56" t="n">
        <v>8480</v>
      </c>
      <c r="BN41" s="57" t="n">
        <v>23</v>
      </c>
      <c r="BO41" s="55"/>
      <c r="BP41" s="60" t="n">
        <v>0</v>
      </c>
      <c r="BQ41" s="60" t="n">
        <v>41</v>
      </c>
      <c r="BR41" s="55" t="str">
        <f aca="false">IF(U41&lt;&gt;"",UPPER(TRIM(U41)),IF(BU41=1,UPPER(VLOOKUP(T41,Parameter!$I$27:$K$29,2,0)),IF(P41="","LOSE",P41)))</f>
        <v>S81</v>
      </c>
      <c r="BS41" s="57" t="n">
        <f aca="false">IF(BR41="LOSE",1,IF(N(V41)&gt;0,V41,IF(BU41=1,MAX(1,N(VLOOKUP(T41,Parameter!$I$27:$K$29,3,0)),H41,N(N41)),IF(N(Q41)&gt;0,Q41,MAX(1,H41)))))</f>
        <v>4</v>
      </c>
      <c r="BT41" s="60" t="n">
        <f aca="false">IF(BR41="LOSE",1,0)</f>
        <v>0</v>
      </c>
      <c r="BU41" s="60" t="n">
        <f aca="false">IF(AND(U41="",OR(P41="",P41="LOSE"),T41&lt;&gt;"",N(S41)&lt;=0,ISNUMBER(MATCH(T41,Parameter!$I$27:$I$29,0))),1,0)</f>
        <v>0</v>
      </c>
      <c r="BV41" s="55" t="n">
        <f aca="false">IF(AND(Parameter!$B$19="Ja",E41&lt;&gt;"",ISNUMBER(MATCH(E41,Parameter!$I$35:$I$52,0))),VLOOKUP(E41,Parameter!$I$35:$J$52,2,0),IFERROR(VLOOKUP(D41,Parameter!$A$35:$C$64,2,0),"Nein"))</f>
        <v>1</v>
      </c>
      <c r="BW41" s="59" t="n">
        <f aca="false">IF(BT41=0,0,IF(N(S41)&gt;0,S41,IFERROR(VLOOKUP(D41,Parameter!$A$35:$C$64,3,0)+0,0)))</f>
        <v>0</v>
      </c>
      <c r="BX41" s="55" t="n">
        <f aca="false">IF(AA41&lt;&gt;"",AA41,Z41)</f>
        <v>1</v>
      </c>
      <c r="BY41" s="55" t="str">
        <f aca="false">IF(BX41=1,"L1",IF(OR(BX41=2,BX41=3),"L23",IF(BX41="Aussen","Aussen","-")))</f>
        <v>L1</v>
      </c>
      <c r="BZ41" s="66" t="n">
        <f aca="false">IF(N(AB41)&gt;0,AB41,0)</f>
        <v>0</v>
      </c>
      <c r="CA41" s="60" t="n">
        <f aca="false">IF(ISNUMBER(AE41),1,0)</f>
        <v>0</v>
      </c>
      <c r="CB41" s="57" t="n">
        <f aca="false">N(AE41)</f>
        <v>0</v>
      </c>
      <c r="CC41" s="57" t="n">
        <f aca="false">N(M41)+N(N41)</f>
        <v>15</v>
      </c>
      <c r="CD41" s="57" t="n">
        <f aca="false">ROUNDUP(H41/BS41,0)</f>
        <v>5</v>
      </c>
      <c r="CE41" s="57" t="n">
        <f aca="false">ROUNDUP(CB41/BS41,0)</f>
        <v>0</v>
      </c>
      <c r="CF41" s="60" t="n">
        <f aca="false">IF(BT41=1,0,IFERROR(VLOOKUP(BR41,'Gebinde-Kategorie'!$A$5:$M$45,5,0)+0,0))</f>
        <v>20</v>
      </c>
      <c r="CG41" s="60" t="n">
        <f aca="false">IFERROR(IF(OR(BX41=1,BX41=2,BX41=3),N(INDEX(Parameter!$I$5:$I$7,BX41)),0),0)</f>
        <v>0</v>
      </c>
      <c r="CH41" s="59" t="n">
        <f aca="false">IF(AND(Parameter!$B$21="Ja",ISNUMBER(W41),N(X41)&gt;0),IFERROR(N(INDEX(Parameter!$L$5:$L$7,W41))*INDEX(Parameter!$E$5:$E$7,W41)*X41/SUMIFS($X$7:$X$1843,$W$7:$W$1843,W41),0),0)</f>
        <v>0</v>
      </c>
    </row>
    <row r="42" customFormat="false" ht="15" hidden="false" customHeight="false" outlineLevel="0" collapsed="false">
      <c r="A42" s="55" t="s">
        <v>273</v>
      </c>
      <c r="B42" s="55" t="s">
        <v>274</v>
      </c>
      <c r="C42" s="55" t="s">
        <v>164</v>
      </c>
      <c r="D42" s="55" t="s">
        <v>184</v>
      </c>
      <c r="E42" s="55"/>
      <c r="F42" s="55" t="s">
        <v>218</v>
      </c>
      <c r="G42" s="56" t="n">
        <v>1121.43</v>
      </c>
      <c r="H42" s="57" t="n">
        <f aca="false">MAX(0,IF(AND(Parameter!$B$21="Ja",ISNUMBER(Y42)),Y42,IF(Parameter!$B$20="Jahresanfang 2025 + Export",BL42+BK42,BK42)))</f>
        <v>7</v>
      </c>
      <c r="I42" s="57" t="n">
        <f aca="false">H42*G42</f>
        <v>7850.01</v>
      </c>
      <c r="J42" s="57" t="n">
        <f aca="false">BN42*Parameter!$B$18</f>
        <v>0</v>
      </c>
      <c r="K42" s="58" t="n">
        <v>0</v>
      </c>
      <c r="L42" s="59" t="n">
        <v>0</v>
      </c>
      <c r="M42" s="57" t="n">
        <v>0</v>
      </c>
      <c r="N42" s="57" t="n">
        <v>1</v>
      </c>
      <c r="O42" s="60" t="n">
        <v>9999</v>
      </c>
      <c r="P42" s="55" t="s">
        <v>168</v>
      </c>
      <c r="Q42" s="57"/>
      <c r="R42" s="60" t="n">
        <f aca="false">IF(BT42=1,0,IFERROR(VLOOKUP(BR42,'Gebinde-Kategorie'!$A$5:$M$45,13,0)+0,0))</f>
        <v>26</v>
      </c>
      <c r="S42" s="61"/>
      <c r="T42" s="62" t="s">
        <v>275</v>
      </c>
      <c r="U42" s="62"/>
      <c r="V42" s="62"/>
      <c r="W42" s="55"/>
      <c r="X42" s="57"/>
      <c r="Y42" s="57"/>
      <c r="Z42" s="55" t="n">
        <f aca="false">IF(A42="","",IF(AND(Parameter!$B$21="Ja",ISNUMBER(W42)),W42,IF(BV42="2+3",IF(ISNUMBER(SEARCH("grosser Artikel",BO42)),2,IFERROR(VLOOKUP(BR42,Parameter!$F$35:$G$64,2,0),2)),IF(OR(BV42="Nein",BV42=""),"-",BV42))))</f>
        <v>3</v>
      </c>
      <c r="AA42" s="62"/>
      <c r="AB42" s="63"/>
      <c r="AC42" s="57" t="n">
        <f aca="false">AR42</f>
        <v>20</v>
      </c>
      <c r="AD42" s="57" t="n">
        <f aca="false">MAX(AR42,H42)</f>
        <v>20</v>
      </c>
      <c r="AE42" s="64"/>
      <c r="AF42" s="57" t="n">
        <f aca="false">IF(LEFT(Cockpit!$C$5,1)="A",H42,IF(CA42=1,CB42,IF(LEFT(Cockpit!$C$5,1)="B",AJ42,MAX(AJ42,H42))))</f>
        <v>7</v>
      </c>
      <c r="AG42" s="57" t="n">
        <f aca="false">IF(BT42=1,0,ROUNDUP(AF42/BS42,0))</f>
        <v>1</v>
      </c>
      <c r="AH42" s="59" t="n">
        <f aca="false">IF(CH42&gt;0,CH42*MAX(1,AF42/X42),IF(BT42=1,IF(AF42&lt;=0,0,BW42*MAX(1,IF(H42&gt;0,AF42/H42,1))),IF(R42&gt;0,AG42/R42,0))/MAX(0.1,N(Parameter!$M$21)))</f>
        <v>0.0384615384615385</v>
      </c>
      <c r="AI42" s="57" t="n">
        <f aca="false">AF42*G42</f>
        <v>7850.01</v>
      </c>
      <c r="AJ42" s="57" t="n">
        <f aca="false">ROUNDUP(MAX(J42/IF(BZ42&gt;0,BZ42,MAX(0.1,N(Cockpit!$C$6))),CC42)/BS42,0)*BS42</f>
        <v>20</v>
      </c>
      <c r="AK42" s="58" t="n">
        <f aca="false">IF(AH42&gt;0,J42/AH42,-1)</f>
        <v>0</v>
      </c>
      <c r="AL42" s="58" t="n">
        <f aca="false">IF(AND(OR(BY42="L1",BY42="L23"),AH42&gt;0),SUMIFS($AH$7:$AH$1843,$BY$7:$BY$1843,BY42,$AK$7:$AK$1843,"&gt;"&amp;AK42)+SUMIFS($AH$7:$AH$1843,$BY$7:$BY$1843,BY42,$AK$7:$AK$1843,AK42,$BQ$7:$BQ$1843,"&lt;="&amp;BQ42),"")</f>
        <v>66.8688726732205</v>
      </c>
      <c r="AM42" s="65" t="n">
        <f aca="false">IF(AL42="",0,MAX(0,MIN(1,(IF(BY42="L1",Parameter!$E$5,Parameter!$E$6+Parameter!$E$7)-(AL42-AH42))/AH42)))</f>
        <v>1</v>
      </c>
      <c r="AN42" s="57" t="n">
        <f aca="false">IF(LEFT(Cockpit!$I$5,1)="A",H42,IF(CA42=1,CB42,IF(LEFT(Cockpit!$I$5,1)="B",AR42,MAX(AR42,H42))))</f>
        <v>20</v>
      </c>
      <c r="AO42" s="57" t="n">
        <f aca="false">IF(BT42=1,0,ROUNDUP(AN42/BS42,0))</f>
        <v>1</v>
      </c>
      <c r="AP42" s="59" t="n">
        <f aca="false">IF(CH42&gt;0,CH42*MAX(1,AN42/X42),IF(BT42=1,IF(AN42&lt;=0,0,BW42*MAX(1,IF(H42&gt;0,AN42/H42,1))),IF(R42&gt;0,AO42/R42,0))/MAX(0.1,N(Parameter!$M$21)))</f>
        <v>0.0384615384615385</v>
      </c>
      <c r="AQ42" s="57" t="n">
        <f aca="false">AN42*G42</f>
        <v>22428.6</v>
      </c>
      <c r="AR42" s="57" t="n">
        <f aca="false">ROUNDUP(MAX(J42/IF(BZ42&gt;0,BZ42,MAX(0.1,N(Cockpit!$I$6))),CC42)/BS42,0)*BS42</f>
        <v>20</v>
      </c>
      <c r="AS42" s="58" t="n">
        <f aca="false">IF(AP42&gt;0,J42/AP42,-1)</f>
        <v>0</v>
      </c>
      <c r="AT42" s="58" t="n">
        <f aca="false">IF(AND(OR(BY42="L1",BY42="L23"),AP42&gt;0),SUMIFS($AP$7:$AP$1843,$BY$7:$BY$1843,BY42,$AS$7:$AS$1843,"&gt;"&amp;AS42)+SUMIFS($AP$7:$AP$1843,$BY$7:$BY$1843,BY42,$AS$7:$AS$1843,AS42,$BQ$7:$BQ$1843,"&lt;="&amp;BQ42),"")</f>
        <v>106.042996858214</v>
      </c>
      <c r="AU42" s="65" t="n">
        <f aca="false">IF(AT42="",0,MAX(0,MIN(1,(IF(BY42="L1",Parameter!$E$5,Parameter!$E$6+Parameter!$E$7)-(AT42-AP42))/AP42)))</f>
        <v>0</v>
      </c>
      <c r="AV42" s="57" t="n">
        <f aca="false">IF(LEFT(Cockpit!$O$5,1)="A",H42,IF(CA42=1,CB42,IF(LEFT(Cockpit!$O$5,1)="B",AZ42,MAX(AZ42,H42))))</f>
        <v>20</v>
      </c>
      <c r="AW42" s="57" t="n">
        <f aca="false">IF(BT42=1,0,ROUNDUP(AV42/BS42,0))</f>
        <v>1</v>
      </c>
      <c r="AX42" s="59" t="n">
        <f aca="false">IF(CH42&gt;0,CH42*MAX(1,AV42/X42),IF(BT42=1,IF(AV42&lt;=0,0,BW42*MAX(1,IF(H42&gt;0,AV42/H42,1))),IF(R42&gt;0,AW42/R42,0))/MAX(0.1,N(Parameter!$M$21)))</f>
        <v>0.0384615384615385</v>
      </c>
      <c r="AY42" s="57" t="n">
        <f aca="false">AV42*G42</f>
        <v>22428.6</v>
      </c>
      <c r="AZ42" s="57" t="n">
        <f aca="false">ROUNDUP(MAX(J42/IF(BZ42&gt;0,BZ42,MAX(0.1,N(Cockpit!$O$6))),CC42)/BS42,0)*BS42</f>
        <v>20</v>
      </c>
      <c r="BA42" s="58" t="n">
        <f aca="false">IF(AX42&gt;0,J42/AX42,-1)</f>
        <v>0</v>
      </c>
      <c r="BB42" s="58" t="n">
        <f aca="false">IF(AND(OR(BY42="L1",BY42="L23"),AX42&gt;0),SUMIFS($AX$7:$AX$1843,$BY$7:$BY$1843,BY42,$BA$7:$BA$1843,"&gt;"&amp;BA42)+SUMIFS($AX$7:$AX$1843,$BY$7:$BY$1843,BY42,$BA$7:$BA$1843,BA42,$BQ$7:$BQ$1843,"&lt;="&amp;BQ42),"")</f>
        <v>96.8728336880511</v>
      </c>
      <c r="BC42" s="65" t="n">
        <f aca="false">IF(BB42="",0,MAX(0,MIN(1,(IF(BY42="L1",Parameter!$E$5,Parameter!$E$6+Parameter!$E$7)-(BB42-AX42))/AX42)))</f>
        <v>1</v>
      </c>
      <c r="BD42" s="55" t="str">
        <f aca="false">IF(AH42&lt;=0,"",IF(BY42="Aussen","Aussenlager",IF(BY42="-","Nicht im Lift",IF(AM42&gt;=1,"Lift",IF(AM42&lt;=0,"Aussenlager","teilweise")))))</f>
        <v>Lift</v>
      </c>
      <c r="BE42" s="55" t="str">
        <f aca="false">IF(AP42&lt;=0,"",IF(BY42="Aussen","Aussenlager",IF(BY42="-","Nicht im Lift",IF(AU42&gt;=1,"Lift",IF(AU42&lt;=0,"Aussenlager","teilweise")))))</f>
        <v>Aussenlager</v>
      </c>
      <c r="BF42" s="55" t="str">
        <f aca="false">IF(AX42&lt;=0,"",IF(BY42="Aussen","Aussenlager",IF(BY42="-","Nicht im Lift",IF(BC42&gt;=1,"Lift",IF(BC42&lt;=0,"Aussenlager","teilweise")))))</f>
        <v>Lift</v>
      </c>
      <c r="BG42" s="55" t="str">
        <f aca="false">IF(A42="","",IF(BP42=1,"Neu; ","")&amp;IF(AND(BP42=0,BK42&lt;0),"negativer Bestand (Export "&amp;BK42&amp;"); ","")&amp;IF(J42&lt;=0,"Kein Verbrauch; ","")&amp;IF(CH42&gt;0,"Lift "&amp;W42&amp;" lt. Liftbericht (Fach "&amp;X42&amp;" Stk); ",IF(BU42=1,"Gebinde geschätzt ("&amp;T42&amp;"); ",IF(BT42=1,"Lose – Tablare geschätzt; ","")))&amp;IF(H42&gt;AR42,"Überbestand "&amp;ROUND(H42-AR42,0)&amp;" Stk / CHF "&amp;ROUND((H42-AR42)*G42,0)&amp;"; ","")&amp;IF(AND(CA42=1,CB42&lt;CC42),"MAX &lt; MB+LG; ","")&amp;IF(AND(CG42&gt;0,CF42*10&gt;CG42),"zu hoch für Tablar; ","")&amp;IF(AND(BP42=0,OR(CA42=1,AA42&lt;&gt;"",U42&lt;&gt;"",V42&lt;&gt;"",AB42&lt;&gt;"")),"manuell übersteuert; ","")&amp;IF(AND(BT42=0,R42=0),"Gebinde unbekannt / Stellmass fehlt; ","")&amp;IF(AND(BT42=0,N(V42)&lt;=0,N(Q42)&lt;=0),"Menge pro Gebinde fehlt (Ist = 1 Gebinde); ","")&amp;BO42)</f>
        <v>Kein Verbrauch; Gebinde geschätzt (Klein); Menge pro Gebinde fehlt (Ist = 1 Gebinde); </v>
      </c>
      <c r="BH42" s="55"/>
      <c r="BI42" s="55"/>
      <c r="BJ42" s="62"/>
      <c r="BK42" s="57" t="n">
        <v>7</v>
      </c>
      <c r="BL42" s="57" t="n">
        <v>0</v>
      </c>
      <c r="BM42" s="56" t="n">
        <v>7850</v>
      </c>
      <c r="BN42" s="57" t="n">
        <v>0</v>
      </c>
      <c r="BO42" s="55"/>
      <c r="BP42" s="60" t="n">
        <v>0</v>
      </c>
      <c r="BQ42" s="60" t="n">
        <v>42</v>
      </c>
      <c r="BR42" s="55" t="str">
        <f aca="false">IF(U42&lt;&gt;"",UPPER(TRIM(U42)),IF(BU42=1,UPPER(VLOOKUP(T42,Parameter!$I$27:$K$29,2,0)),IF(P42="","LOSE",P42)))</f>
        <v>S51</v>
      </c>
      <c r="BS42" s="57" t="n">
        <f aca="false">IF(BR42="LOSE",1,IF(N(V42)&gt;0,V42,IF(BU42=1,MAX(1,N(VLOOKUP(T42,Parameter!$I$27:$K$29,3,0)),H42,N(N42)),IF(N(Q42)&gt;0,Q42,MAX(1,H42)))))</f>
        <v>20</v>
      </c>
      <c r="BT42" s="60" t="n">
        <f aca="false">IF(BR42="LOSE",1,0)</f>
        <v>0</v>
      </c>
      <c r="BU42" s="60" t="n">
        <f aca="false">IF(AND(U42="",OR(P42="",P42="LOSE"),T42&lt;&gt;"",N(S42)&lt;=0,ISNUMBER(MATCH(T42,Parameter!$I$27:$I$29,0))),1,0)</f>
        <v>1</v>
      </c>
      <c r="BV42" s="55" t="str">
        <f aca="false">IF(AND(Parameter!$B$19="Ja",E42&lt;&gt;"",ISNUMBER(MATCH(E42,Parameter!$I$35:$I$52,0))),VLOOKUP(E42,Parameter!$I$35:$J$52,2,0),IFERROR(VLOOKUP(D42,Parameter!$A$35:$C$64,2,0),"Nein"))</f>
        <v>2+3</v>
      </c>
      <c r="BW42" s="59" t="n">
        <f aca="false">IF(BT42=0,0,IF(N(S42)&gt;0,S42,IFERROR(VLOOKUP(D42,Parameter!$A$35:$C$64,3,0)+0,0)))</f>
        <v>0</v>
      </c>
      <c r="BX42" s="55" t="n">
        <f aca="false">IF(AA42&lt;&gt;"",AA42,Z42)</f>
        <v>3</v>
      </c>
      <c r="BY42" s="55" t="str">
        <f aca="false">IF(BX42=1,"L1",IF(OR(BX42=2,BX42=3),"L23",IF(BX42="Aussen","Aussen","-")))</f>
        <v>L23</v>
      </c>
      <c r="BZ42" s="66" t="n">
        <f aca="false">IF(N(AB42)&gt;0,AB42,0)</f>
        <v>0</v>
      </c>
      <c r="CA42" s="60" t="n">
        <f aca="false">IF(ISNUMBER(AE42),1,0)</f>
        <v>0</v>
      </c>
      <c r="CB42" s="57" t="n">
        <f aca="false">N(AE42)</f>
        <v>0</v>
      </c>
      <c r="CC42" s="57" t="n">
        <f aca="false">N(M42)+N(N42)</f>
        <v>1</v>
      </c>
      <c r="CD42" s="57" t="n">
        <f aca="false">ROUNDUP(H42/BS42,0)</f>
        <v>1</v>
      </c>
      <c r="CE42" s="57" t="n">
        <f aca="false">ROUNDUP(CB42/BS42,0)</f>
        <v>0</v>
      </c>
      <c r="CF42" s="60" t="n">
        <f aca="false">IF(BT42=1,0,IFERROR(VLOOKUP(BR42,'Gebinde-Kategorie'!$A$5:$M$45,5,0)+0,0))</f>
        <v>11</v>
      </c>
      <c r="CG42" s="60" t="n">
        <f aca="false">IFERROR(IF(OR(BX42=1,BX42=2,BX42=3),N(INDEX(Parameter!$I$5:$I$7,BX42)),0),0)</f>
        <v>0</v>
      </c>
      <c r="CH42" s="59" t="n">
        <f aca="false">IF(AND(Parameter!$B$21="Ja",ISNUMBER(W42),N(X42)&gt;0),IFERROR(N(INDEX(Parameter!$L$5:$L$7,W42))*INDEX(Parameter!$E$5:$E$7,W42)*X42/SUMIFS($X$7:$X$1843,$W$7:$W$1843,W42),0),0)</f>
        <v>0</v>
      </c>
    </row>
    <row r="43" customFormat="false" ht="15" hidden="false" customHeight="false" outlineLevel="0" collapsed="false">
      <c r="A43" s="55" t="s">
        <v>276</v>
      </c>
      <c r="B43" s="55" t="s">
        <v>277</v>
      </c>
      <c r="C43" s="55" t="s">
        <v>164</v>
      </c>
      <c r="D43" s="55" t="s">
        <v>173</v>
      </c>
      <c r="E43" s="55"/>
      <c r="F43" s="55" t="s">
        <v>218</v>
      </c>
      <c r="G43" s="56" t="n">
        <v>280.46</v>
      </c>
      <c r="H43" s="57" t="n">
        <f aca="false">MAX(0,IF(AND(Parameter!$B$21="Ja",ISNUMBER(Y43)),Y43,IF(Parameter!$B$20="Jahresanfang 2025 + Export",BL43+BK43,BK43)))</f>
        <v>27</v>
      </c>
      <c r="I43" s="57" t="n">
        <f aca="false">H43*G43</f>
        <v>7572.42</v>
      </c>
      <c r="J43" s="57" t="n">
        <f aca="false">BN43*Parameter!$B$18</f>
        <v>0</v>
      </c>
      <c r="K43" s="58" t="n">
        <v>0</v>
      </c>
      <c r="L43" s="59" t="n">
        <v>0</v>
      </c>
      <c r="M43" s="57" t="n">
        <v>6</v>
      </c>
      <c r="N43" s="57" t="n">
        <v>24</v>
      </c>
      <c r="O43" s="60" t="n">
        <v>28</v>
      </c>
      <c r="P43" s="55" t="s">
        <v>168</v>
      </c>
      <c r="Q43" s="57"/>
      <c r="R43" s="60" t="n">
        <f aca="false">IF(BT43=1,0,IFERROR(VLOOKUP(BR43,'Gebinde-Kategorie'!$A$5:$M$45,13,0)+0,0))</f>
        <v>12</v>
      </c>
      <c r="S43" s="61"/>
      <c r="T43" s="62" t="s">
        <v>179</v>
      </c>
      <c r="U43" s="62"/>
      <c r="V43" s="62"/>
      <c r="W43" s="55"/>
      <c r="X43" s="57"/>
      <c r="Y43" s="57"/>
      <c r="Z43" s="55" t="n">
        <f aca="false">IF(A43="","",IF(AND(Parameter!$B$21="Ja",ISNUMBER(W43)),W43,IF(BV43="2+3",IF(ISNUMBER(SEARCH("grosser Artikel",BO43)),2,IFERROR(VLOOKUP(BR43,Parameter!$F$35:$G$64,2,0),2)),IF(OR(BV43="Nein",BV43=""),"-",BV43))))</f>
        <v>2</v>
      </c>
      <c r="AA43" s="62"/>
      <c r="AB43" s="63"/>
      <c r="AC43" s="57" t="n">
        <f aca="false">AR43</f>
        <v>54</v>
      </c>
      <c r="AD43" s="57" t="n">
        <f aca="false">MAX(AR43,H43)</f>
        <v>54</v>
      </c>
      <c r="AE43" s="64"/>
      <c r="AF43" s="57" t="n">
        <f aca="false">IF(LEFT(Cockpit!$C$5,1)="A",H43,IF(CA43=1,CB43,IF(LEFT(Cockpit!$C$5,1)="B",AJ43,MAX(AJ43,H43))))</f>
        <v>27</v>
      </c>
      <c r="AG43" s="57" t="n">
        <f aca="false">IF(BT43=1,0,ROUNDUP(AF43/BS43,0))</f>
        <v>1</v>
      </c>
      <c r="AH43" s="59" t="n">
        <f aca="false">IF(CH43&gt;0,CH43*MAX(1,AF43/X43),IF(BT43=1,IF(AF43&lt;=0,0,BW43*MAX(1,IF(H43&gt;0,AF43/H43,1))),IF(R43&gt;0,AG43/R43,0))/MAX(0.1,N(Parameter!$M$21)))</f>
        <v>0.0833333333333333</v>
      </c>
      <c r="AI43" s="57" t="n">
        <f aca="false">AF43*G43</f>
        <v>7572.42</v>
      </c>
      <c r="AJ43" s="57" t="n">
        <f aca="false">ROUNDUP(MAX(J43/IF(BZ43&gt;0,BZ43,MAX(0.1,N(Cockpit!$C$6))),CC43)/BS43,0)*BS43</f>
        <v>54</v>
      </c>
      <c r="AK43" s="58" t="n">
        <f aca="false">IF(AH43&gt;0,J43/AH43,-1)</f>
        <v>0</v>
      </c>
      <c r="AL43" s="58" t="n">
        <f aca="false">IF(AND(OR(BY43="L1",BY43="L23"),AH43&gt;0),SUMIFS($AH$7:$AH$1843,$BY$7:$BY$1843,BY43,$AK$7:$AK$1843,"&gt;"&amp;AK43)+SUMIFS($AH$7:$AH$1843,$BY$7:$BY$1843,BY43,$AK$7:$AK$1843,AK43,$BQ$7:$BQ$1843,"&lt;="&amp;BQ43),"")</f>
        <v>66.9522060065538</v>
      </c>
      <c r="AM43" s="65" t="n">
        <f aca="false">IF(AL43="",0,MAX(0,MIN(1,(IF(BY43="L1",Parameter!$E$5,Parameter!$E$6+Parameter!$E$7)-(AL43-AH43))/AH43)))</f>
        <v>1</v>
      </c>
      <c r="AN43" s="57" t="n">
        <f aca="false">IF(LEFT(Cockpit!$I$5,1)="A",H43,IF(CA43=1,CB43,IF(LEFT(Cockpit!$I$5,1)="B",AR43,MAX(AR43,H43))))</f>
        <v>54</v>
      </c>
      <c r="AO43" s="57" t="n">
        <f aca="false">IF(BT43=1,0,ROUNDUP(AN43/BS43,0))</f>
        <v>2</v>
      </c>
      <c r="AP43" s="59" t="n">
        <f aca="false">IF(CH43&gt;0,CH43*MAX(1,AN43/X43),IF(BT43=1,IF(AN43&lt;=0,0,BW43*MAX(1,IF(H43&gt;0,AN43/H43,1))),IF(R43&gt;0,AO43/R43,0))/MAX(0.1,N(Parameter!$M$21)))</f>
        <v>0.166666666666667</v>
      </c>
      <c r="AQ43" s="57" t="n">
        <f aca="false">AN43*G43</f>
        <v>15144.84</v>
      </c>
      <c r="AR43" s="57" t="n">
        <f aca="false">ROUNDUP(MAX(J43/IF(BZ43&gt;0,BZ43,MAX(0.1,N(Cockpit!$I$6))),CC43)/BS43,0)*BS43</f>
        <v>54</v>
      </c>
      <c r="AS43" s="58" t="n">
        <f aca="false">IF(AP43&gt;0,J43/AP43,-1)</f>
        <v>0</v>
      </c>
      <c r="AT43" s="58" t="n">
        <f aca="false">IF(AND(OR(BY43="L1",BY43="L23"),AP43&gt;0),SUMIFS($AP$7:$AP$1843,$BY$7:$BY$1843,BY43,$AS$7:$AS$1843,"&gt;"&amp;AS43)+SUMIFS($AP$7:$AP$1843,$BY$7:$BY$1843,BY43,$AS$7:$AS$1843,AS43,$BQ$7:$BQ$1843,"&lt;="&amp;BQ43),"")</f>
        <v>106.209663524881</v>
      </c>
      <c r="AU43" s="65" t="n">
        <f aca="false">IF(AT43="",0,MAX(0,MIN(1,(IF(BY43="L1",Parameter!$E$5,Parameter!$E$6+Parameter!$E$7)-(AT43-AP43))/AP43)))</f>
        <v>0</v>
      </c>
      <c r="AV43" s="57" t="n">
        <f aca="false">IF(LEFT(Cockpit!$O$5,1)="A",H43,IF(CA43=1,CB43,IF(LEFT(Cockpit!$O$5,1)="B",AZ43,MAX(AZ43,H43))))</f>
        <v>54</v>
      </c>
      <c r="AW43" s="57" t="n">
        <f aca="false">IF(BT43=1,0,ROUNDUP(AV43/BS43,0))</f>
        <v>2</v>
      </c>
      <c r="AX43" s="59" t="n">
        <f aca="false">IF(CH43&gt;0,CH43*MAX(1,AV43/X43),IF(BT43=1,IF(AV43&lt;=0,0,BW43*MAX(1,IF(H43&gt;0,AV43/H43,1))),IF(R43&gt;0,AW43/R43,0))/MAX(0.1,N(Parameter!$M$21)))</f>
        <v>0.166666666666667</v>
      </c>
      <c r="AY43" s="57" t="n">
        <f aca="false">AV43*G43</f>
        <v>15144.84</v>
      </c>
      <c r="AZ43" s="57" t="n">
        <f aca="false">ROUNDUP(MAX(J43/IF(BZ43&gt;0,BZ43,MAX(0.1,N(Cockpit!$O$6))),CC43)/BS43,0)*BS43</f>
        <v>54</v>
      </c>
      <c r="BA43" s="58" t="n">
        <f aca="false">IF(AX43&gt;0,J43/AX43,-1)</f>
        <v>0</v>
      </c>
      <c r="BB43" s="58" t="n">
        <f aca="false">IF(AND(OR(BY43="L1",BY43="L23"),AX43&gt;0),SUMIFS($AX$7:$AX$1843,$BY$7:$BY$1843,BY43,$BA$7:$BA$1843,"&gt;"&amp;BA43)+SUMIFS($AX$7:$AX$1843,$BY$7:$BY$1843,BY43,$BA$7:$BA$1843,BA43,$BQ$7:$BQ$1843,"&lt;="&amp;BQ43),"")</f>
        <v>97.0395003547178</v>
      </c>
      <c r="BC43" s="65" t="n">
        <f aca="false">IF(BB43="",0,MAX(0,MIN(1,(IF(BY43="L1",Parameter!$E$5,Parameter!$E$6+Parameter!$E$7)-(BB43-AX43))/AX43)))</f>
        <v>1</v>
      </c>
      <c r="BD43" s="55" t="str">
        <f aca="false">IF(AH43&lt;=0,"",IF(BY43="Aussen","Aussenlager",IF(BY43="-","Nicht im Lift",IF(AM43&gt;=1,"Lift",IF(AM43&lt;=0,"Aussenlager","teilweise")))))</f>
        <v>Lift</v>
      </c>
      <c r="BE43" s="55" t="str">
        <f aca="false">IF(AP43&lt;=0,"",IF(BY43="Aussen","Aussenlager",IF(BY43="-","Nicht im Lift",IF(AU43&gt;=1,"Lift",IF(AU43&lt;=0,"Aussenlager","teilweise")))))</f>
        <v>Aussenlager</v>
      </c>
      <c r="BF43" s="55" t="str">
        <f aca="false">IF(AX43&lt;=0,"",IF(BY43="Aussen","Aussenlager",IF(BY43="-","Nicht im Lift",IF(BC43&gt;=1,"Lift",IF(BC43&lt;=0,"Aussenlager","teilweise")))))</f>
        <v>Lift</v>
      </c>
      <c r="BG43" s="55" t="str">
        <f aca="false">IF(A43="","",IF(BP43=1,"Neu; ","")&amp;IF(AND(BP43=0,BK43&lt;0),"negativer Bestand (Export "&amp;BK43&amp;"); ","")&amp;IF(J43&lt;=0,"Kein Verbrauch; ","")&amp;IF(CH43&gt;0,"Lift "&amp;W43&amp;" lt. Liftbericht (Fach "&amp;X43&amp;" Stk); ",IF(BU43=1,"Gebinde geschätzt ("&amp;T43&amp;"); ",IF(BT43=1,"Lose – Tablare geschätzt; ","")))&amp;IF(H43&gt;AR43,"Überbestand "&amp;ROUND(H43-AR43,0)&amp;" Stk / CHF "&amp;ROUND((H43-AR43)*G43,0)&amp;"; ","")&amp;IF(AND(CA43=1,CB43&lt;CC43),"MAX &lt; MB+LG; ","")&amp;IF(AND(CG43&gt;0,CF43*10&gt;CG43),"zu hoch für Tablar; ","")&amp;IF(AND(BP43=0,OR(CA43=1,AA43&lt;&gt;"",U43&lt;&gt;"",V43&lt;&gt;"",AB43&lt;&gt;"")),"manuell übersteuert; ","")&amp;IF(AND(BT43=0,R43=0),"Gebinde unbekannt / Stellmass fehlt; ","")&amp;IF(AND(BT43=0,N(V43)&lt;=0,N(Q43)&lt;=0),"Menge pro Gebinde fehlt (Ist = 1 Gebinde); ","")&amp;BO43)</f>
        <v>Kein Verbrauch; Gebinde geschätzt (Mittel); Menge pro Gebinde fehlt (Ist = 1 Gebinde); </v>
      </c>
      <c r="BH43" s="55" t="s">
        <v>278</v>
      </c>
      <c r="BI43" s="55" t="s">
        <v>279</v>
      </c>
      <c r="BJ43" s="62"/>
      <c r="BK43" s="57" t="n">
        <v>27</v>
      </c>
      <c r="BL43" s="57" t="n">
        <v>0</v>
      </c>
      <c r="BM43" s="56" t="n">
        <v>7572.42</v>
      </c>
      <c r="BN43" s="57" t="n">
        <v>0</v>
      </c>
      <c r="BO43" s="55"/>
      <c r="BP43" s="60" t="n">
        <v>0</v>
      </c>
      <c r="BQ43" s="60" t="n">
        <v>43</v>
      </c>
      <c r="BR43" s="55" t="str">
        <f aca="false">IF(U43&lt;&gt;"",UPPER(TRIM(U43)),IF(BU43=1,UPPER(VLOOKUP(T43,Parameter!$I$27:$K$29,2,0)),IF(P43="","LOSE",P43)))</f>
        <v>S61</v>
      </c>
      <c r="BS43" s="57" t="n">
        <f aca="false">IF(BR43="LOSE",1,IF(N(V43)&gt;0,V43,IF(BU43=1,MAX(1,N(VLOOKUP(T43,Parameter!$I$27:$K$29,3,0)),H43,N(N43)),IF(N(Q43)&gt;0,Q43,MAX(1,H43)))))</f>
        <v>27</v>
      </c>
      <c r="BT43" s="60" t="n">
        <f aca="false">IF(BR43="LOSE",1,0)</f>
        <v>0</v>
      </c>
      <c r="BU43" s="60" t="n">
        <f aca="false">IF(AND(U43="",OR(P43="",P43="LOSE"),T43&lt;&gt;"",N(S43)&lt;=0,ISNUMBER(MATCH(T43,Parameter!$I$27:$I$29,0))),1,0)</f>
        <v>1</v>
      </c>
      <c r="BV43" s="55" t="str">
        <f aca="false">IF(AND(Parameter!$B$19="Ja",E43&lt;&gt;"",ISNUMBER(MATCH(E43,Parameter!$I$35:$I$52,0))),VLOOKUP(E43,Parameter!$I$35:$J$52,2,0),IFERROR(VLOOKUP(D43,Parameter!$A$35:$C$64,2,0),"Nein"))</f>
        <v>2+3</v>
      </c>
      <c r="BW43" s="59" t="n">
        <f aca="false">IF(BT43=0,0,IF(N(S43)&gt;0,S43,IFERROR(VLOOKUP(D43,Parameter!$A$35:$C$64,3,0)+0,0)))</f>
        <v>0</v>
      </c>
      <c r="BX43" s="55" t="n">
        <f aca="false">IF(AA43&lt;&gt;"",AA43,Z43)</f>
        <v>2</v>
      </c>
      <c r="BY43" s="55" t="str">
        <f aca="false">IF(BX43=1,"L1",IF(OR(BX43=2,BX43=3),"L23",IF(BX43="Aussen","Aussen","-")))</f>
        <v>L23</v>
      </c>
      <c r="BZ43" s="66" t="n">
        <f aca="false">IF(N(AB43)&gt;0,AB43,0)</f>
        <v>0</v>
      </c>
      <c r="CA43" s="60" t="n">
        <f aca="false">IF(ISNUMBER(AE43),1,0)</f>
        <v>0</v>
      </c>
      <c r="CB43" s="57" t="n">
        <f aca="false">N(AE43)</f>
        <v>0</v>
      </c>
      <c r="CC43" s="57" t="n">
        <f aca="false">N(M43)+N(N43)</f>
        <v>30</v>
      </c>
      <c r="CD43" s="57" t="n">
        <f aca="false">ROUNDUP(H43/BS43,0)</f>
        <v>1</v>
      </c>
      <c r="CE43" s="57" t="n">
        <f aca="false">ROUNDUP(CB43/BS43,0)</f>
        <v>0</v>
      </c>
      <c r="CF43" s="60" t="n">
        <f aca="false">IF(BT43=1,0,IFERROR(VLOOKUP(BR43,'Gebinde-Kategorie'!$A$5:$M$45,5,0)+0,0))</f>
        <v>11</v>
      </c>
      <c r="CG43" s="60" t="n">
        <f aca="false">IFERROR(IF(OR(BX43=1,BX43=2,BX43=3),N(INDEX(Parameter!$I$5:$I$7,BX43)),0),0)</f>
        <v>0</v>
      </c>
      <c r="CH43" s="59" t="n">
        <f aca="false">IF(AND(Parameter!$B$21="Ja",ISNUMBER(W43),N(X43)&gt;0),IFERROR(N(INDEX(Parameter!$L$5:$L$7,W43))*INDEX(Parameter!$E$5:$E$7,W43)*X43/SUMIFS($X$7:$X$1843,$W$7:$W$1843,W43),0),0)</f>
        <v>0</v>
      </c>
    </row>
    <row r="44" customFormat="false" ht="15" hidden="false" customHeight="false" outlineLevel="0" collapsed="false">
      <c r="A44" s="55" t="s">
        <v>280</v>
      </c>
      <c r="B44" s="55" t="s">
        <v>281</v>
      </c>
      <c r="C44" s="55" t="s">
        <v>164</v>
      </c>
      <c r="D44" s="55" t="s">
        <v>173</v>
      </c>
      <c r="E44" s="55" t="s">
        <v>185</v>
      </c>
      <c r="F44" s="55" t="s">
        <v>218</v>
      </c>
      <c r="G44" s="56" t="n">
        <v>180.4</v>
      </c>
      <c r="H44" s="57" t="n">
        <f aca="false">MAX(0,IF(AND(Parameter!$B$21="Ja",ISNUMBER(Y44)),Y44,IF(Parameter!$B$20="Jahresanfang 2025 + Export",BL44+BK44,BK44)))</f>
        <v>98</v>
      </c>
      <c r="I44" s="57" t="n">
        <f aca="false">H44*G44</f>
        <v>17679.2</v>
      </c>
      <c r="J44" s="57" t="n">
        <f aca="false">BN44*Parameter!$B$18</f>
        <v>25</v>
      </c>
      <c r="K44" s="58" t="n">
        <v>44</v>
      </c>
      <c r="L44" s="59" t="n">
        <v>0.568181818181818</v>
      </c>
      <c r="M44" s="57" t="n">
        <v>10</v>
      </c>
      <c r="N44" s="57" t="n">
        <v>20</v>
      </c>
      <c r="O44" s="60" t="n">
        <v>98</v>
      </c>
      <c r="P44" s="55" t="s">
        <v>259</v>
      </c>
      <c r="Q44" s="57" t="n">
        <v>24</v>
      </c>
      <c r="R44" s="60" t="n">
        <f aca="false">IF(BT44=1,0,IFERROR(VLOOKUP(BR44,'Gebinde-Kategorie'!$A$5:$M$45,13,0)+0,0))</f>
        <v>6</v>
      </c>
      <c r="S44" s="61"/>
      <c r="T44" s="62"/>
      <c r="U44" s="62"/>
      <c r="V44" s="62"/>
      <c r="W44" s="55"/>
      <c r="X44" s="57"/>
      <c r="Y44" s="57"/>
      <c r="Z44" s="55" t="n">
        <f aca="false">IF(A44="","",IF(AND(Parameter!$B$21="Ja",ISNUMBER(W44)),W44,IF(BV44="2+3",IF(ISNUMBER(SEARCH("grosser Artikel",BO44)),2,IFERROR(VLOOKUP(BR44,Parameter!$F$35:$G$64,2,0),2)),IF(OR(BV44="Nein",BV44=""),"-",BV44))))</f>
        <v>2</v>
      </c>
      <c r="AA44" s="62"/>
      <c r="AB44" s="63"/>
      <c r="AC44" s="57" t="n">
        <f aca="false">AR44</f>
        <v>48</v>
      </c>
      <c r="AD44" s="57" t="n">
        <f aca="false">MAX(AR44,H44)</f>
        <v>98</v>
      </c>
      <c r="AE44" s="64"/>
      <c r="AF44" s="57" t="n">
        <f aca="false">IF(LEFT(Cockpit!$C$5,1)="A",H44,IF(CA44=1,CB44,IF(LEFT(Cockpit!$C$5,1)="B",AJ44,MAX(AJ44,H44))))</f>
        <v>98</v>
      </c>
      <c r="AG44" s="57" t="n">
        <f aca="false">IF(BT44=1,0,ROUNDUP(AF44/BS44,0))</f>
        <v>5</v>
      </c>
      <c r="AH44" s="59" t="n">
        <f aca="false">IF(CH44&gt;0,CH44*MAX(1,AF44/X44),IF(BT44=1,IF(AF44&lt;=0,0,BW44*MAX(1,IF(H44&gt;0,AF44/H44,1))),IF(R44&gt;0,AG44/R44,0))/MAX(0.1,N(Parameter!$M$21)))</f>
        <v>0.833333333333333</v>
      </c>
      <c r="AI44" s="57" t="n">
        <f aca="false">AF44*G44</f>
        <v>17679.2</v>
      </c>
      <c r="AJ44" s="57" t="n">
        <f aca="false">ROUNDUP(MAX(J44/IF(BZ44&gt;0,BZ44,MAX(0.1,N(Cockpit!$C$6))),CC44)/BS44,0)*BS44</f>
        <v>48</v>
      </c>
      <c r="AK44" s="58" t="n">
        <f aca="false">IF(AH44&gt;0,J44/AH44,-1)</f>
        <v>30</v>
      </c>
      <c r="AL44" s="58" t="n">
        <f aca="false">IF(AND(OR(BY44="L1",BY44="L23"),AH44&gt;0),SUMIFS($AH$7:$AH$1843,$BY$7:$BY$1843,BY44,$AK$7:$AK$1843,"&gt;"&amp;AK44)+SUMIFS($AH$7:$AH$1843,$BY$7:$BY$1843,BY44,$AK$7:$AK$1843,AK44,$BQ$7:$BQ$1843,"&lt;="&amp;BQ44),"")</f>
        <v>48.0625401168879</v>
      </c>
      <c r="AM44" s="65" t="n">
        <f aca="false">IF(AL44="",0,MAX(0,MIN(1,(IF(BY44="L1",Parameter!$E$5,Parameter!$E$6+Parameter!$E$7)-(AL44-AH44))/AH44)))</f>
        <v>1</v>
      </c>
      <c r="AN44" s="57" t="n">
        <f aca="false">IF(LEFT(Cockpit!$I$5,1)="A",H44,IF(CA44=1,CB44,IF(LEFT(Cockpit!$I$5,1)="B",AR44,MAX(AR44,H44))))</f>
        <v>98</v>
      </c>
      <c r="AO44" s="57" t="n">
        <f aca="false">IF(BT44=1,0,ROUNDUP(AN44/BS44,0))</f>
        <v>5</v>
      </c>
      <c r="AP44" s="59" t="n">
        <f aca="false">IF(CH44&gt;0,CH44*MAX(1,AN44/X44),IF(BT44=1,IF(AN44&lt;=0,0,BW44*MAX(1,IF(H44&gt;0,AN44/H44,1))),IF(R44&gt;0,AO44/R44,0))/MAX(0.1,N(Parameter!$M$21)))</f>
        <v>0.833333333333333</v>
      </c>
      <c r="AQ44" s="57" t="n">
        <f aca="false">AN44*G44</f>
        <v>17679.2</v>
      </c>
      <c r="AR44" s="57" t="n">
        <f aca="false">ROUNDUP(MAX(J44/IF(BZ44&gt;0,BZ44,MAX(0.1,N(Cockpit!$I$6))),CC44)/BS44,0)*BS44</f>
        <v>48</v>
      </c>
      <c r="AS44" s="58" t="n">
        <f aca="false">IF(AP44&gt;0,J44/AP44,-1)</f>
        <v>30</v>
      </c>
      <c r="AT44" s="58" t="n">
        <f aca="false">IF(AND(OR(BY44="L1",BY44="L23"),AP44&gt;0),SUMIFS($AP$7:$AP$1843,$BY$7:$BY$1843,BY44,$AS$7:$AS$1843,"&gt;"&amp;AS44)+SUMIFS($AP$7:$AP$1843,$BY$7:$BY$1843,BY44,$AS$7:$AS$1843,AS44,$BQ$7:$BQ$1843,"&lt;="&amp;BQ44),"")</f>
        <v>72.493074558292</v>
      </c>
      <c r="AU44" s="65" t="n">
        <f aca="false">IF(AT44="",0,MAX(0,MIN(1,(IF(BY44="L1",Parameter!$E$5,Parameter!$E$6+Parameter!$E$7)-(AT44-AP44))/AP44)))</f>
        <v>1</v>
      </c>
      <c r="AV44" s="57" t="n">
        <f aca="false">IF(LEFT(Cockpit!$O$5,1)="A",H44,IF(CA44=1,CB44,IF(LEFT(Cockpit!$O$5,1)="B",AZ44,MAX(AZ44,H44))))</f>
        <v>98</v>
      </c>
      <c r="AW44" s="57" t="n">
        <f aca="false">IF(BT44=1,0,ROUNDUP(AV44/BS44,0))</f>
        <v>5</v>
      </c>
      <c r="AX44" s="59" t="n">
        <f aca="false">IF(CH44&gt;0,CH44*MAX(1,AV44/X44),IF(BT44=1,IF(AV44&lt;=0,0,BW44*MAX(1,IF(H44&gt;0,AV44/H44,1))),IF(R44&gt;0,AW44/R44,0))/MAX(0.1,N(Parameter!$M$21)))</f>
        <v>0.833333333333333</v>
      </c>
      <c r="AY44" s="57" t="n">
        <f aca="false">AV44*G44</f>
        <v>17679.2</v>
      </c>
      <c r="AZ44" s="57" t="n">
        <f aca="false">ROUNDUP(MAX(J44/IF(BZ44&gt;0,BZ44,MAX(0.1,N(Cockpit!$O$6))),CC44)/BS44,0)*BS44</f>
        <v>48</v>
      </c>
      <c r="BA44" s="58" t="n">
        <f aca="false">IF(AX44&gt;0,J44/AX44,-1)</f>
        <v>30</v>
      </c>
      <c r="BB44" s="58" t="n">
        <f aca="false">IF(AND(OR(BY44="L1",BY44="L23"),AX44&gt;0),SUMIFS($AX$7:$AX$1843,$BY$7:$BY$1843,BY44,$BA$7:$BA$1843,"&gt;"&amp;BA44)+SUMIFS($AX$7:$AX$1843,$BY$7:$BY$1843,BY44,$BA$7:$BA$1843,BA44,$BQ$7:$BQ$1843,"&lt;="&amp;BQ44),"")</f>
        <v>66.9895780547954</v>
      </c>
      <c r="BC44" s="65" t="n">
        <f aca="false">IF(BB44="",0,MAX(0,MIN(1,(IF(BY44="L1",Parameter!$E$5,Parameter!$E$6+Parameter!$E$7)-(BB44-AX44))/AX44)))</f>
        <v>1</v>
      </c>
      <c r="BD44" s="55" t="str">
        <f aca="false">IF(AH44&lt;=0,"",IF(BY44="Aussen","Aussenlager",IF(BY44="-","Nicht im Lift",IF(AM44&gt;=1,"Lift",IF(AM44&lt;=0,"Aussenlager","teilweise")))))</f>
        <v>Lift</v>
      </c>
      <c r="BE44" s="55" t="str">
        <f aca="false">IF(AP44&lt;=0,"",IF(BY44="Aussen","Aussenlager",IF(BY44="-","Nicht im Lift",IF(AU44&gt;=1,"Lift",IF(AU44&lt;=0,"Aussenlager","teilweise")))))</f>
        <v>Lift</v>
      </c>
      <c r="BF44" s="55" t="str">
        <f aca="false">IF(AX44&lt;=0,"",IF(BY44="Aussen","Aussenlager",IF(BY44="-","Nicht im Lift",IF(BC44&gt;=1,"Lift",IF(BC44&lt;=0,"Aussenlager","teilweise")))))</f>
        <v>Lift</v>
      </c>
      <c r="BG44" s="55" t="str">
        <f aca="false">IF(A44="","",IF(BP44=1,"Neu; ","")&amp;IF(AND(BP44=0,BK44&lt;0),"negativer Bestand (Export "&amp;BK44&amp;"); ","")&amp;IF(J44&lt;=0,"Kein Verbrauch; ","")&amp;IF(CH44&gt;0,"Lift "&amp;W44&amp;" lt. Liftbericht (Fach "&amp;X44&amp;" Stk); ",IF(BU44=1,"Gebinde geschätzt ("&amp;T44&amp;"); ",IF(BT44=1,"Lose – Tablare geschätzt; ","")))&amp;IF(H44&gt;AR44,"Überbestand "&amp;ROUND(H44-AR44,0)&amp;" Stk / CHF "&amp;ROUND((H44-AR44)*G44,0)&amp;"; ","")&amp;IF(AND(CA44=1,CB44&lt;CC44),"MAX &lt; MB+LG; ","")&amp;IF(AND(CG44&gt;0,CF44*10&gt;CG44),"zu hoch für Tablar; ","")&amp;IF(AND(BP44=0,OR(CA44=1,AA44&lt;&gt;"",U44&lt;&gt;"",V44&lt;&gt;"",AB44&lt;&gt;"")),"manuell übersteuert; ","")&amp;IF(AND(BT44=0,R44=0),"Gebinde unbekannt / Stellmass fehlt; ","")&amp;IF(AND(BT44=0,N(V44)&lt;=0,N(Q44)&lt;=0),"Menge pro Gebinde fehlt (Ist = 1 Gebinde); ","")&amp;BO44)</f>
        <v>Überbestand 50 Stk / CHF 9020; grosser Artikel &amp; nicht im KTL</v>
      </c>
      <c r="BH44" s="55"/>
      <c r="BI44" s="55"/>
      <c r="BJ44" s="62"/>
      <c r="BK44" s="57" t="n">
        <v>43</v>
      </c>
      <c r="BL44" s="57" t="n">
        <v>55</v>
      </c>
      <c r="BM44" s="56" t="n">
        <v>7381.23</v>
      </c>
      <c r="BN44" s="57" t="n">
        <v>25</v>
      </c>
      <c r="BO44" s="55" t="s">
        <v>261</v>
      </c>
      <c r="BP44" s="60" t="n">
        <v>0</v>
      </c>
      <c r="BQ44" s="60" t="n">
        <v>44</v>
      </c>
      <c r="BR44" s="55" t="str">
        <f aca="false">IF(U44&lt;&gt;"",UPPER(TRIM(U44)),IF(BU44=1,UPPER(VLOOKUP(T44,Parameter!$I$27:$K$29,2,0)),IF(P44="","LOSE",P44)))</f>
        <v>S72</v>
      </c>
      <c r="BS44" s="57" t="n">
        <f aca="false">IF(BR44="LOSE",1,IF(N(V44)&gt;0,V44,IF(BU44=1,MAX(1,N(VLOOKUP(T44,Parameter!$I$27:$K$29,3,0)),H44,N(N44)),IF(N(Q44)&gt;0,Q44,MAX(1,H44)))))</f>
        <v>24</v>
      </c>
      <c r="BT44" s="60" t="n">
        <f aca="false">IF(BR44="LOSE",1,0)</f>
        <v>0</v>
      </c>
      <c r="BU44" s="60" t="n">
        <f aca="false">IF(AND(U44="",OR(P44="",P44="LOSE"),T44&lt;&gt;"",N(S44)&lt;=0,ISNUMBER(MATCH(T44,Parameter!$I$27:$I$29,0))),1,0)</f>
        <v>0</v>
      </c>
      <c r="BV44" s="55" t="str">
        <f aca="false">IF(AND(Parameter!$B$19="Ja",E44&lt;&gt;"",ISNUMBER(MATCH(E44,Parameter!$I$35:$I$52,0))),VLOOKUP(E44,Parameter!$I$35:$J$52,2,0),IFERROR(VLOOKUP(D44,Parameter!$A$35:$C$64,2,0),"Nein"))</f>
        <v>2+3</v>
      </c>
      <c r="BW44" s="59" t="n">
        <f aca="false">IF(BT44=0,0,IF(N(S44)&gt;0,S44,IFERROR(VLOOKUP(D44,Parameter!$A$35:$C$64,3,0)+0,0)))</f>
        <v>0</v>
      </c>
      <c r="BX44" s="55" t="n">
        <f aca="false">IF(AA44&lt;&gt;"",AA44,Z44)</f>
        <v>2</v>
      </c>
      <c r="BY44" s="55" t="str">
        <f aca="false">IF(BX44=1,"L1",IF(OR(BX44=2,BX44=3),"L23",IF(BX44="Aussen","Aussen","-")))</f>
        <v>L23</v>
      </c>
      <c r="BZ44" s="66" t="n">
        <f aca="false">IF(N(AB44)&gt;0,AB44,0)</f>
        <v>0</v>
      </c>
      <c r="CA44" s="60" t="n">
        <f aca="false">IF(ISNUMBER(AE44),1,0)</f>
        <v>0</v>
      </c>
      <c r="CB44" s="57" t="n">
        <f aca="false">N(AE44)</f>
        <v>0</v>
      </c>
      <c r="CC44" s="57" t="n">
        <f aca="false">N(M44)+N(N44)</f>
        <v>30</v>
      </c>
      <c r="CD44" s="57" t="n">
        <f aca="false">ROUNDUP(H44/BS44,0)</f>
        <v>5</v>
      </c>
      <c r="CE44" s="57" t="n">
        <f aca="false">ROUNDUP(CB44/BS44,0)</f>
        <v>0</v>
      </c>
      <c r="CF44" s="60" t="n">
        <f aca="false">IF(BT44=1,0,IFERROR(VLOOKUP(BR44,'Gebinde-Kategorie'!$A$5:$M$45,5,0)+0,0))</f>
        <v>40</v>
      </c>
      <c r="CG44" s="60" t="n">
        <f aca="false">IFERROR(IF(OR(BX44=1,BX44=2,BX44=3),N(INDEX(Parameter!$I$5:$I$7,BX44)),0),0)</f>
        <v>0</v>
      </c>
      <c r="CH44" s="59" t="n">
        <f aca="false">IF(AND(Parameter!$B$21="Ja",ISNUMBER(W44),N(X44)&gt;0),IFERROR(N(INDEX(Parameter!$L$5:$L$7,W44))*INDEX(Parameter!$E$5:$E$7,W44)*X44/SUMIFS($X$7:$X$1843,$W$7:$W$1843,W44),0),0)</f>
        <v>0</v>
      </c>
    </row>
    <row r="45" customFormat="false" ht="15" hidden="false" customHeight="false" outlineLevel="0" collapsed="false">
      <c r="A45" s="55" t="s">
        <v>282</v>
      </c>
      <c r="B45" s="55" t="s">
        <v>283</v>
      </c>
      <c r="C45" s="55" t="s">
        <v>164</v>
      </c>
      <c r="D45" s="55" t="s">
        <v>173</v>
      </c>
      <c r="E45" s="55" t="s">
        <v>166</v>
      </c>
      <c r="F45" s="55" t="s">
        <v>218</v>
      </c>
      <c r="G45" s="56" t="n">
        <v>618.8</v>
      </c>
      <c r="H45" s="57" t="n">
        <f aca="false">MAX(0,IF(AND(Parameter!$B$21="Ja",ISNUMBER(Y45)),Y45,IF(Parameter!$B$20="Jahresanfang 2025 + Export",BL45+BK45,BK45)))</f>
        <v>13</v>
      </c>
      <c r="I45" s="57" t="n">
        <f aca="false">H45*G45</f>
        <v>8044.4</v>
      </c>
      <c r="J45" s="57" t="n">
        <f aca="false">BN45*Parameter!$B$18</f>
        <v>72</v>
      </c>
      <c r="K45" s="58" t="n">
        <v>13</v>
      </c>
      <c r="L45" s="59" t="n">
        <v>5.53846153846154</v>
      </c>
      <c r="M45" s="57" t="n">
        <v>4</v>
      </c>
      <c r="N45" s="57" t="n">
        <v>15</v>
      </c>
      <c r="O45" s="60" t="n">
        <v>21</v>
      </c>
      <c r="P45" s="55" t="s">
        <v>223</v>
      </c>
      <c r="Q45" s="57" t="n">
        <v>9</v>
      </c>
      <c r="R45" s="60" t="n">
        <f aca="false">IF(BT45=1,0,IFERROR(VLOOKUP(BR45,'Gebinde-Kategorie'!$A$5:$M$45,13,0)+0,0))</f>
        <v>3</v>
      </c>
      <c r="S45" s="61"/>
      <c r="T45" s="62"/>
      <c r="U45" s="62"/>
      <c r="V45" s="62"/>
      <c r="W45" s="55"/>
      <c r="X45" s="57"/>
      <c r="Y45" s="57"/>
      <c r="Z45" s="55" t="n">
        <f aca="false">IF(A45="","",IF(AND(Parameter!$B$21="Ja",ISNUMBER(W45)),W45,IF(BV45="2+3",IF(ISNUMBER(SEARCH("grosser Artikel",BO45)),2,IFERROR(VLOOKUP(BR45,Parameter!$F$35:$G$64,2,0),2)),IF(OR(BV45="Nein",BV45=""),"-",BV45))))</f>
        <v>1</v>
      </c>
      <c r="AA45" s="62"/>
      <c r="AB45" s="63"/>
      <c r="AC45" s="57" t="n">
        <f aca="false">AR45</f>
        <v>36</v>
      </c>
      <c r="AD45" s="57" t="n">
        <f aca="false">MAX(AR45,H45)</f>
        <v>36</v>
      </c>
      <c r="AE45" s="64"/>
      <c r="AF45" s="57" t="n">
        <f aca="false">IF(LEFT(Cockpit!$C$5,1)="A",H45,IF(CA45=1,CB45,IF(LEFT(Cockpit!$C$5,1)="B",AJ45,MAX(AJ45,H45))))</f>
        <v>13</v>
      </c>
      <c r="AG45" s="57" t="n">
        <f aca="false">IF(BT45=1,0,ROUNDUP(AF45/BS45,0))</f>
        <v>2</v>
      </c>
      <c r="AH45" s="59" t="n">
        <f aca="false">IF(CH45&gt;0,CH45*MAX(1,AF45/X45),IF(BT45=1,IF(AF45&lt;=0,0,BW45*MAX(1,IF(H45&gt;0,AF45/H45,1))),IF(R45&gt;0,AG45/R45,0))/MAX(0.1,N(Parameter!$M$21)))</f>
        <v>0.666666666666667</v>
      </c>
      <c r="AI45" s="57" t="n">
        <f aca="false">AF45*G45</f>
        <v>8044.4</v>
      </c>
      <c r="AJ45" s="57" t="n">
        <f aca="false">ROUNDUP(MAX(J45/IF(BZ45&gt;0,BZ45,MAX(0.1,N(Cockpit!$C$6))),CC45)/BS45,0)*BS45</f>
        <v>36</v>
      </c>
      <c r="AK45" s="58" t="n">
        <f aca="false">IF(AH45&gt;0,J45/AH45,-1)</f>
        <v>108</v>
      </c>
      <c r="AL45" s="58" t="n">
        <f aca="false">IF(AND(OR(BY45="L1",BY45="L23"),AH45&gt;0),SUMIFS($AH$7:$AH$1843,$BY$7:$BY$1843,BY45,$AK$7:$AK$1843,"&gt;"&amp;AK45)+SUMIFS($AH$7:$AH$1843,$BY$7:$BY$1843,BY45,$AK$7:$AK$1843,AK45,$BQ$7:$BQ$1843,"&lt;="&amp;BQ45),"")</f>
        <v>6.49754045185143</v>
      </c>
      <c r="AM45" s="65" t="n">
        <f aca="false">IF(AL45="",0,MAX(0,MIN(1,(IF(BY45="L1",Parameter!$E$5,Parameter!$E$6+Parameter!$E$7)-(AL45-AH45))/AH45)))</f>
        <v>1</v>
      </c>
      <c r="AN45" s="57" t="n">
        <f aca="false">IF(LEFT(Cockpit!$I$5,1)="A",H45,IF(CA45=1,CB45,IF(LEFT(Cockpit!$I$5,1)="B",AR45,MAX(AR45,H45))))</f>
        <v>36</v>
      </c>
      <c r="AO45" s="57" t="n">
        <f aca="false">IF(BT45=1,0,ROUNDUP(AN45/BS45,0))</f>
        <v>4</v>
      </c>
      <c r="AP45" s="59" t="n">
        <f aca="false">IF(CH45&gt;0,CH45*MAX(1,AN45/X45),IF(BT45=1,IF(AN45&lt;=0,0,BW45*MAX(1,IF(H45&gt;0,AN45/H45,1))),IF(R45&gt;0,AO45/R45,0))/MAX(0.1,N(Parameter!$M$21)))</f>
        <v>1.33333333333333</v>
      </c>
      <c r="AQ45" s="57" t="n">
        <f aca="false">AN45*G45</f>
        <v>22276.8</v>
      </c>
      <c r="AR45" s="57" t="n">
        <f aca="false">ROUNDUP(MAX(J45/IF(BZ45&gt;0,BZ45,MAX(0.1,N(Cockpit!$I$6))),CC45)/BS45,0)*BS45</f>
        <v>36</v>
      </c>
      <c r="AS45" s="58" t="n">
        <f aca="false">IF(AP45&gt;0,J45/AP45,-1)</f>
        <v>54</v>
      </c>
      <c r="AT45" s="58" t="n">
        <f aca="false">IF(AND(OR(BY45="L1",BY45="L23"),AP45&gt;0),SUMIFS($AP$7:$AP$1843,$BY$7:$BY$1843,BY45,$AS$7:$AS$1843,"&gt;"&amp;AS45)+SUMIFS($AP$7:$AP$1843,$BY$7:$BY$1843,BY45,$AS$7:$AS$1843,AS45,$BQ$7:$BQ$1843,"&lt;="&amp;BQ45),"")</f>
        <v>12.4944258639911</v>
      </c>
      <c r="AU45" s="65" t="n">
        <f aca="false">IF(AT45="",0,MAX(0,MIN(1,(IF(BY45="L1",Parameter!$E$5,Parameter!$E$6+Parameter!$E$7)-(AT45-AP45))/AP45)))</f>
        <v>1</v>
      </c>
      <c r="AV45" s="57" t="n">
        <f aca="false">IF(LEFT(Cockpit!$O$5,1)="A",H45,IF(CA45=1,CB45,IF(LEFT(Cockpit!$O$5,1)="B",AZ45,MAX(AZ45,H45))))</f>
        <v>27</v>
      </c>
      <c r="AW45" s="57" t="n">
        <f aca="false">IF(BT45=1,0,ROUNDUP(AV45/BS45,0))</f>
        <v>3</v>
      </c>
      <c r="AX45" s="59" t="n">
        <f aca="false">IF(CH45&gt;0,CH45*MAX(1,AV45/X45),IF(BT45=1,IF(AV45&lt;=0,0,BW45*MAX(1,IF(H45&gt;0,AV45/H45,1))),IF(R45&gt;0,AW45/R45,0))/MAX(0.1,N(Parameter!$M$21)))</f>
        <v>1</v>
      </c>
      <c r="AY45" s="57" t="n">
        <f aca="false">AV45*G45</f>
        <v>16707.6</v>
      </c>
      <c r="AZ45" s="57" t="n">
        <f aca="false">ROUNDUP(MAX(J45/IF(BZ45&gt;0,BZ45,MAX(0.1,N(Cockpit!$O$6))),CC45)/BS45,0)*BS45</f>
        <v>27</v>
      </c>
      <c r="BA45" s="58" t="n">
        <f aca="false">IF(AX45&gt;0,J45/AX45,-1)</f>
        <v>72</v>
      </c>
      <c r="BB45" s="58" t="n">
        <f aca="false">IF(AND(OR(BY45="L1",BY45="L23"),AX45&gt;0),SUMIFS($AX$7:$AX$1843,$BY$7:$BY$1843,BY45,$BA$7:$BA$1843,"&gt;"&amp;BA45)+SUMIFS($AX$7:$AX$1843,$BY$7:$BY$1843,BY45,$BA$7:$BA$1843,BA45,$BQ$7:$BQ$1843,"&lt;="&amp;BQ45),"")</f>
        <v>11.2892976588629</v>
      </c>
      <c r="BC45" s="65" t="n">
        <f aca="false">IF(BB45="",0,MAX(0,MIN(1,(IF(BY45="L1",Parameter!$E$5,Parameter!$E$6+Parameter!$E$7)-(BB45-AX45))/AX45)))</f>
        <v>1</v>
      </c>
      <c r="BD45" s="55" t="str">
        <f aca="false">IF(AH45&lt;=0,"",IF(BY45="Aussen","Aussenlager",IF(BY45="-","Nicht im Lift",IF(AM45&gt;=1,"Lift",IF(AM45&lt;=0,"Aussenlager","teilweise")))))</f>
        <v>Lift</v>
      </c>
      <c r="BE45" s="55" t="str">
        <f aca="false">IF(AP45&lt;=0,"",IF(BY45="Aussen","Aussenlager",IF(BY45="-","Nicht im Lift",IF(AU45&gt;=1,"Lift",IF(AU45&lt;=0,"Aussenlager","teilweise")))))</f>
        <v>Lift</v>
      </c>
      <c r="BF45" s="55" t="str">
        <f aca="false">IF(AX45&lt;=0,"",IF(BY45="Aussen","Aussenlager",IF(BY45="-","Nicht im Lift",IF(BC45&gt;=1,"Lift",IF(BC45&lt;=0,"Aussenlager","teilweise")))))</f>
        <v>Lift</v>
      </c>
      <c r="BG45" s="55" t="str">
        <f aca="false">IF(A45="","",IF(BP45=1,"Neu; ","")&amp;IF(AND(BP45=0,BK45&lt;0),"negativer Bestand (Export "&amp;BK45&amp;"); ","")&amp;IF(J45&lt;=0,"Kein Verbrauch; ","")&amp;IF(CH45&gt;0,"Lift "&amp;W45&amp;" lt. Liftbericht (Fach "&amp;X45&amp;" Stk); ",IF(BU45=1,"Gebinde geschätzt ("&amp;T45&amp;"); ",IF(BT45=1,"Lose – Tablare geschätzt; ","")))&amp;IF(H45&gt;AR45,"Überbestand "&amp;ROUND(H45-AR45,0)&amp;" Stk / CHF "&amp;ROUND((H45-AR45)*G45,0)&amp;"; ","")&amp;IF(AND(CA45=1,CB45&lt;CC45),"MAX &lt; MB+LG; ","")&amp;IF(AND(CG45&gt;0,CF45*10&gt;CG45),"zu hoch für Tablar; ","")&amp;IF(AND(BP45=0,OR(CA45=1,AA45&lt;&gt;"",U45&lt;&gt;"",V45&lt;&gt;"",AB45&lt;&gt;"")),"manuell übersteuert; ","")&amp;IF(AND(BT45=0,R45=0),"Gebinde unbekannt / Stellmass fehlt; ","")&amp;IF(AND(BT45=0,N(V45)&lt;=0,N(Q45)&lt;=0),"Menge pro Gebinde fehlt (Ist = 1 Gebinde); ","")&amp;BO45)</f>
        <v/>
      </c>
      <c r="BH45" s="55"/>
      <c r="BI45" s="55"/>
      <c r="BJ45" s="62"/>
      <c r="BK45" s="57" t="n">
        <v>12</v>
      </c>
      <c r="BL45" s="57" t="n">
        <v>1</v>
      </c>
      <c r="BM45" s="56" t="n">
        <v>7364.52</v>
      </c>
      <c r="BN45" s="57" t="n">
        <v>72</v>
      </c>
      <c r="BO45" s="55"/>
      <c r="BP45" s="60" t="n">
        <v>0</v>
      </c>
      <c r="BQ45" s="60" t="n">
        <v>45</v>
      </c>
      <c r="BR45" s="55" t="str">
        <f aca="false">IF(U45&lt;&gt;"",UPPER(TRIM(U45)),IF(BU45=1,UPPER(VLOOKUP(T45,Parameter!$I$27:$K$29,2,0)),IF(P45="","LOSE",P45)))</f>
        <v>S81</v>
      </c>
      <c r="BS45" s="57" t="n">
        <f aca="false">IF(BR45="LOSE",1,IF(N(V45)&gt;0,V45,IF(BU45=1,MAX(1,N(VLOOKUP(T45,Parameter!$I$27:$K$29,3,0)),H45,N(N45)),IF(N(Q45)&gt;0,Q45,MAX(1,H45)))))</f>
        <v>9</v>
      </c>
      <c r="BT45" s="60" t="n">
        <f aca="false">IF(BR45="LOSE",1,0)</f>
        <v>0</v>
      </c>
      <c r="BU45" s="60" t="n">
        <f aca="false">IF(AND(U45="",OR(P45="",P45="LOSE"),T45&lt;&gt;"",N(S45)&lt;=0,ISNUMBER(MATCH(T45,Parameter!$I$27:$I$29,0))),1,0)</f>
        <v>0</v>
      </c>
      <c r="BV45" s="55" t="n">
        <f aca="false">IF(AND(Parameter!$B$19="Ja",E45&lt;&gt;"",ISNUMBER(MATCH(E45,Parameter!$I$35:$I$52,0))),VLOOKUP(E45,Parameter!$I$35:$J$52,2,0),IFERROR(VLOOKUP(D45,Parameter!$A$35:$C$64,2,0),"Nein"))</f>
        <v>1</v>
      </c>
      <c r="BW45" s="59" t="n">
        <f aca="false">IF(BT45=0,0,IF(N(S45)&gt;0,S45,IFERROR(VLOOKUP(D45,Parameter!$A$35:$C$64,3,0)+0,0)))</f>
        <v>0</v>
      </c>
      <c r="BX45" s="55" t="n">
        <f aca="false">IF(AA45&lt;&gt;"",AA45,Z45)</f>
        <v>1</v>
      </c>
      <c r="BY45" s="55" t="str">
        <f aca="false">IF(BX45=1,"L1",IF(OR(BX45=2,BX45=3),"L23",IF(BX45="Aussen","Aussen","-")))</f>
        <v>L1</v>
      </c>
      <c r="BZ45" s="66" t="n">
        <f aca="false">IF(N(AB45)&gt;0,AB45,0)</f>
        <v>0</v>
      </c>
      <c r="CA45" s="60" t="n">
        <f aca="false">IF(ISNUMBER(AE45),1,0)</f>
        <v>0</v>
      </c>
      <c r="CB45" s="57" t="n">
        <f aca="false">N(AE45)</f>
        <v>0</v>
      </c>
      <c r="CC45" s="57" t="n">
        <f aca="false">N(M45)+N(N45)</f>
        <v>19</v>
      </c>
      <c r="CD45" s="57" t="n">
        <f aca="false">ROUNDUP(H45/BS45,0)</f>
        <v>2</v>
      </c>
      <c r="CE45" s="57" t="n">
        <f aca="false">ROUNDUP(CB45/BS45,0)</f>
        <v>0</v>
      </c>
      <c r="CF45" s="60" t="n">
        <f aca="false">IF(BT45=1,0,IFERROR(VLOOKUP(BR45,'Gebinde-Kategorie'!$A$5:$M$45,5,0)+0,0))</f>
        <v>20</v>
      </c>
      <c r="CG45" s="60" t="n">
        <f aca="false">IFERROR(IF(OR(BX45=1,BX45=2,BX45=3),N(INDEX(Parameter!$I$5:$I$7,BX45)),0),0)</f>
        <v>0</v>
      </c>
      <c r="CH45" s="59" t="n">
        <f aca="false">IF(AND(Parameter!$B$21="Ja",ISNUMBER(W45),N(X45)&gt;0),IFERROR(N(INDEX(Parameter!$L$5:$L$7,W45))*INDEX(Parameter!$E$5:$E$7,W45)*X45/SUMIFS($X$7:$X$1843,$W$7:$W$1843,W45),0),0)</f>
        <v>0</v>
      </c>
    </row>
    <row r="46" customFormat="false" ht="15" hidden="false" customHeight="false" outlineLevel="0" collapsed="false">
      <c r="A46" s="55" t="s">
        <v>284</v>
      </c>
      <c r="B46" s="55" t="s">
        <v>253</v>
      </c>
      <c r="C46" s="55" t="s">
        <v>164</v>
      </c>
      <c r="D46" s="55" t="s">
        <v>173</v>
      </c>
      <c r="E46" s="55"/>
      <c r="F46" s="55" t="s">
        <v>218</v>
      </c>
      <c r="G46" s="56" t="n">
        <v>1426.78</v>
      </c>
      <c r="H46" s="57" t="n">
        <f aca="false">MAX(0,IF(AND(Parameter!$B$21="Ja",ISNUMBER(Y46)),Y46,IF(Parameter!$B$20="Jahresanfang 2025 + Export",BL46+BK46,BK46)))</f>
        <v>4</v>
      </c>
      <c r="I46" s="57" t="n">
        <f aca="false">H46*G46</f>
        <v>5707.12</v>
      </c>
      <c r="J46" s="57" t="n">
        <f aca="false">BN46*Parameter!$B$18</f>
        <v>0</v>
      </c>
      <c r="K46" s="58" t="n">
        <v>2</v>
      </c>
      <c r="L46" s="59" t="n">
        <v>0</v>
      </c>
      <c r="M46" s="57" t="n">
        <v>2</v>
      </c>
      <c r="N46" s="57" t="n">
        <v>2</v>
      </c>
      <c r="O46" s="60" t="n">
        <v>70</v>
      </c>
      <c r="P46" s="55" t="s">
        <v>168</v>
      </c>
      <c r="Q46" s="57"/>
      <c r="R46" s="60" t="n">
        <f aca="false">IF(BT46=1,0,IFERROR(VLOOKUP(BR46,'Gebinde-Kategorie'!$A$5:$M$45,13,0)+0,0))</f>
        <v>0</v>
      </c>
      <c r="S46" s="61"/>
      <c r="T46" s="62"/>
      <c r="U46" s="62"/>
      <c r="V46" s="62"/>
      <c r="W46" s="55" t="n">
        <v>1</v>
      </c>
      <c r="X46" s="57" t="n">
        <v>8</v>
      </c>
      <c r="Y46" s="57" t="n">
        <v>4</v>
      </c>
      <c r="Z46" s="55" t="n">
        <f aca="false">IF(A46="","",IF(AND(Parameter!$B$21="Ja",ISNUMBER(W46)),W46,IF(BV46="2+3",IF(ISNUMBER(SEARCH("grosser Artikel",BO46)),2,IFERROR(VLOOKUP(BR46,Parameter!$F$35:$G$64,2,0),2)),IF(OR(BV46="Nein",BV46=""),"-",BV46))))</f>
        <v>1</v>
      </c>
      <c r="AA46" s="62"/>
      <c r="AB46" s="63"/>
      <c r="AC46" s="57" t="n">
        <f aca="false">AR46</f>
        <v>4</v>
      </c>
      <c r="AD46" s="57" t="n">
        <f aca="false">MAX(AR46,H46)</f>
        <v>4</v>
      </c>
      <c r="AE46" s="64"/>
      <c r="AF46" s="57" t="n">
        <f aca="false">IF(LEFT(Cockpit!$C$5,1)="A",H46,IF(CA46=1,CB46,IF(LEFT(Cockpit!$C$5,1)="B",AJ46,MAX(AJ46,H46))))</f>
        <v>4</v>
      </c>
      <c r="AG46" s="57" t="n">
        <f aca="false">IF(BT46=1,0,ROUNDUP(AF46/BS46,0))</f>
        <v>0</v>
      </c>
      <c r="AH46" s="59" t="n">
        <f aca="false">IF(CH46&gt;0,CH46*MAX(1,AF46/X46),IF(BT46=1,IF(AF46&lt;=0,0,BW46*MAX(1,IF(H46&gt;0,AF46/H46,1))),IF(R46&gt;0,AG46/R46,0))/MAX(0.1,N(Parameter!$M$21)))</f>
        <v>0.64030131826742</v>
      </c>
      <c r="AI46" s="57" t="n">
        <f aca="false">AF46*G46</f>
        <v>5707.12</v>
      </c>
      <c r="AJ46" s="57" t="n">
        <f aca="false">ROUNDUP(MAX(J46/IF(BZ46&gt;0,BZ46,MAX(0.1,N(Cockpit!$C$6))),CC46)/BS46,0)*BS46</f>
        <v>4</v>
      </c>
      <c r="AK46" s="58" t="n">
        <f aca="false">IF(AH46&gt;0,J46/AH46,-1)</f>
        <v>0</v>
      </c>
      <c r="AL46" s="58" t="n">
        <f aca="false">IF(AND(OR(BY46="L1",BY46="L23"),AH46&gt;0),SUMIFS($AH$7:$AH$1843,$BY$7:$BY$1843,BY46,$AK$7:$AK$1843,"&gt;"&amp;AK46)+SUMIFS($AH$7:$AH$1843,$BY$7:$BY$1843,BY46,$AK$7:$AK$1843,AK46,$BQ$7:$BQ$1843,"&lt;="&amp;BQ46),"")</f>
        <v>46.9815329188947</v>
      </c>
      <c r="AM46" s="65" t="n">
        <f aca="false">IF(AL46="",0,MAX(0,MIN(1,(IF(BY46="L1",Parameter!$E$5,Parameter!$E$6+Parameter!$E$7)-(AL46-AH46))/AH46)))</f>
        <v>1</v>
      </c>
      <c r="AN46" s="57" t="n">
        <f aca="false">IF(LEFT(Cockpit!$I$5,1)="A",H46,IF(CA46=1,CB46,IF(LEFT(Cockpit!$I$5,1)="B",AR46,MAX(AR46,H46))))</f>
        <v>4</v>
      </c>
      <c r="AO46" s="57" t="n">
        <f aca="false">IF(BT46=1,0,ROUNDUP(AN46/BS46,0))</f>
        <v>0</v>
      </c>
      <c r="AP46" s="59" t="n">
        <f aca="false">IF(CH46&gt;0,CH46*MAX(1,AN46/X46),IF(BT46=1,IF(AN46&lt;=0,0,BW46*MAX(1,IF(H46&gt;0,AN46/H46,1))),IF(R46&gt;0,AO46/R46,0))/MAX(0.1,N(Parameter!$M$21)))</f>
        <v>0.64030131826742</v>
      </c>
      <c r="AQ46" s="57" t="n">
        <f aca="false">AN46*G46</f>
        <v>5707.12</v>
      </c>
      <c r="AR46" s="57" t="n">
        <f aca="false">ROUNDUP(MAX(J46/IF(BZ46&gt;0,BZ46,MAX(0.1,N(Cockpit!$I$6))),CC46)/BS46,0)*BS46</f>
        <v>4</v>
      </c>
      <c r="AS46" s="58" t="n">
        <f aca="false">IF(AP46&gt;0,J46/AP46,-1)</f>
        <v>0</v>
      </c>
      <c r="AT46" s="58" t="n">
        <f aca="false">IF(AND(OR(BY46="L1",BY46="L23"),AP46&gt;0),SUMIFS($AP$7:$AP$1843,$BY$7:$BY$1843,BY46,$AS$7:$AS$1843,"&gt;"&amp;AS46)+SUMIFS($AP$7:$AP$1843,$BY$7:$BY$1843,BY46,$AS$7:$AS$1843,AS46,$BQ$7:$BQ$1843,"&lt;="&amp;BQ46),"")</f>
        <v>62.4143881992077</v>
      </c>
      <c r="AU46" s="65" t="n">
        <f aca="false">IF(AT46="",0,MAX(0,MIN(1,(IF(BY46="L1",Parameter!$E$5,Parameter!$E$6+Parameter!$E$7)-(AT46-AP46))/AP46)))</f>
        <v>0</v>
      </c>
      <c r="AV46" s="57" t="n">
        <f aca="false">IF(LEFT(Cockpit!$O$5,1)="A",H46,IF(CA46=1,CB46,IF(LEFT(Cockpit!$O$5,1)="B",AZ46,MAX(AZ46,H46))))</f>
        <v>4</v>
      </c>
      <c r="AW46" s="57" t="n">
        <f aca="false">IF(BT46=1,0,ROUNDUP(AV46/BS46,0))</f>
        <v>0</v>
      </c>
      <c r="AX46" s="59" t="n">
        <f aca="false">IF(CH46&gt;0,CH46*MAX(1,AV46/X46),IF(BT46=1,IF(AV46&lt;=0,0,BW46*MAX(1,IF(H46&gt;0,AV46/H46,1))),IF(R46&gt;0,AW46/R46,0))/MAX(0.1,N(Parameter!$M$21)))</f>
        <v>0.64030131826742</v>
      </c>
      <c r="AY46" s="57" t="n">
        <f aca="false">AV46*G46</f>
        <v>5707.12</v>
      </c>
      <c r="AZ46" s="57" t="n">
        <f aca="false">ROUNDUP(MAX(J46/IF(BZ46&gt;0,BZ46,MAX(0.1,N(Cockpit!$O$6))),CC46)/BS46,0)*BS46</f>
        <v>4</v>
      </c>
      <c r="BA46" s="58" t="n">
        <f aca="false">IF(AX46&gt;0,J46/AX46,-1)</f>
        <v>0</v>
      </c>
      <c r="BB46" s="58" t="n">
        <f aca="false">IF(AND(OR(BY46="L1",BY46="L23"),AX46&gt;0),SUMIFS($AX$7:$AX$1843,$BY$7:$BY$1843,BY46,$BA$7:$BA$1843,"&gt;"&amp;BA46)+SUMIFS($AX$7:$AX$1843,$BY$7:$BY$1843,BY46,$BA$7:$BA$1843,BA46,$BQ$7:$BQ$1843,"&lt;="&amp;BQ46),"")</f>
        <v>56.081199730426</v>
      </c>
      <c r="BC46" s="65" t="n">
        <f aca="false">IF(BB46="",0,MAX(0,MIN(1,(IF(BY46="L1",Parameter!$E$5,Parameter!$E$6+Parameter!$E$7)-(BB46-AX46))/AX46)))</f>
        <v>0</v>
      </c>
      <c r="BD46" s="55" t="str">
        <f aca="false">IF(AH46&lt;=0,"",IF(BY46="Aussen","Aussenlager",IF(BY46="-","Nicht im Lift",IF(AM46&gt;=1,"Lift",IF(AM46&lt;=0,"Aussenlager","teilweise")))))</f>
        <v>Lift</v>
      </c>
      <c r="BE46" s="55" t="str">
        <f aca="false">IF(AP46&lt;=0,"",IF(BY46="Aussen","Aussenlager",IF(BY46="-","Nicht im Lift",IF(AU46&gt;=1,"Lift",IF(AU46&lt;=0,"Aussenlager","teilweise")))))</f>
        <v>Aussenlager</v>
      </c>
      <c r="BF46" s="55" t="str">
        <f aca="false">IF(AX46&lt;=0,"",IF(BY46="Aussen","Aussenlager",IF(BY46="-","Nicht im Lift",IF(BC46&gt;=1,"Lift",IF(BC46&lt;=0,"Aussenlager","teilweise")))))</f>
        <v>Aussenlager</v>
      </c>
      <c r="BG46" s="55" t="str">
        <f aca="false">IF(A46="","",IF(BP46=1,"Neu; ","")&amp;IF(AND(BP46=0,BK46&lt;0),"negativer Bestand (Export "&amp;BK46&amp;"); ","")&amp;IF(J46&lt;=0,"Kein Verbrauch; ","")&amp;IF(CH46&gt;0,"Lift "&amp;W46&amp;" lt. Liftbericht (Fach "&amp;X46&amp;" Stk); ",IF(BU46=1,"Gebinde geschätzt ("&amp;T46&amp;"); ",IF(BT46=1,"Lose – Tablare geschätzt; ","")))&amp;IF(H46&gt;AR46,"Überbestand "&amp;ROUND(H46-AR46,0)&amp;" Stk / CHF "&amp;ROUND((H46-AR46)*G46,0)&amp;"; ","")&amp;IF(AND(CA46=1,CB46&lt;CC46),"MAX &lt; MB+LG; ","")&amp;IF(AND(CG46&gt;0,CF46*10&gt;CG46),"zu hoch für Tablar; ","")&amp;IF(AND(BP46=0,OR(CA46=1,AA46&lt;&gt;"",U46&lt;&gt;"",V46&lt;&gt;"",AB46&lt;&gt;"")),"manuell übersteuert; ","")&amp;IF(AND(BT46=0,R46=0),"Gebinde unbekannt / Stellmass fehlt; ","")&amp;IF(AND(BT46=0,N(V46)&lt;=0,N(Q46)&lt;=0),"Menge pro Gebinde fehlt (Ist = 1 Gebinde); ","")&amp;BO46)</f>
        <v>Kein Verbrauch; Lift 1 lt. Liftbericht (Fach 8 Stk); </v>
      </c>
      <c r="BH46" s="55" t="s">
        <v>285</v>
      </c>
      <c r="BI46" s="55"/>
      <c r="BJ46" s="62"/>
      <c r="BK46" s="57" t="n">
        <v>5</v>
      </c>
      <c r="BL46" s="57" t="n">
        <v>0</v>
      </c>
      <c r="BM46" s="56" t="n">
        <v>7133.9</v>
      </c>
      <c r="BN46" s="57" t="n">
        <v>0</v>
      </c>
      <c r="BO46" s="55"/>
      <c r="BP46" s="60" t="n">
        <v>0</v>
      </c>
      <c r="BQ46" s="60" t="n">
        <v>46</v>
      </c>
      <c r="BR46" s="55" t="str">
        <f aca="false">IF(U46&lt;&gt;"",UPPER(TRIM(U46)),IF(BU46=1,UPPER(VLOOKUP(T46,Parameter!$I$27:$K$29,2,0)),IF(P46="","LOSE",P46)))</f>
        <v>LOSE</v>
      </c>
      <c r="BS46" s="57" t="n">
        <f aca="false">IF(BR46="LOSE",1,IF(N(V46)&gt;0,V46,IF(BU46=1,MAX(1,N(VLOOKUP(T46,Parameter!$I$27:$K$29,3,0)),H46,N(N46)),IF(N(Q46)&gt;0,Q46,MAX(1,H46)))))</f>
        <v>1</v>
      </c>
      <c r="BT46" s="60" t="n">
        <f aca="false">IF(BR46="LOSE",1,0)</f>
        <v>1</v>
      </c>
      <c r="BU46" s="60" t="n">
        <f aca="false">IF(AND(U46="",OR(P46="",P46="LOSE"),T46&lt;&gt;"",N(S46)&lt;=0,ISNUMBER(MATCH(T46,Parameter!$I$27:$I$29,0))),1,0)</f>
        <v>0</v>
      </c>
      <c r="BV46" s="55" t="str">
        <f aca="false">IF(AND(Parameter!$B$19="Ja",E46&lt;&gt;"",ISNUMBER(MATCH(E46,Parameter!$I$35:$I$52,0))),VLOOKUP(E46,Parameter!$I$35:$J$52,2,0),IFERROR(VLOOKUP(D46,Parameter!$A$35:$C$64,2,0),"Nein"))</f>
        <v>2+3</v>
      </c>
      <c r="BW46" s="59" t="n">
        <f aca="false">IF(BT46=0,0,IF(N(S46)&gt;0,S46,IFERROR(VLOOKUP(D46,Parameter!$A$35:$C$64,3,0)+0,0)))</f>
        <v>0.15</v>
      </c>
      <c r="BX46" s="55" t="n">
        <f aca="false">IF(AA46&lt;&gt;"",AA46,Z46)</f>
        <v>1</v>
      </c>
      <c r="BY46" s="55" t="str">
        <f aca="false">IF(BX46=1,"L1",IF(OR(BX46=2,BX46=3),"L23",IF(BX46="Aussen","Aussen","-")))</f>
        <v>L1</v>
      </c>
      <c r="BZ46" s="66" t="n">
        <f aca="false">IF(N(AB46)&gt;0,AB46,0)</f>
        <v>0</v>
      </c>
      <c r="CA46" s="60" t="n">
        <f aca="false">IF(ISNUMBER(AE46),1,0)</f>
        <v>0</v>
      </c>
      <c r="CB46" s="57" t="n">
        <f aca="false">N(AE46)</f>
        <v>0</v>
      </c>
      <c r="CC46" s="57" t="n">
        <f aca="false">N(M46)+N(N46)</f>
        <v>4</v>
      </c>
      <c r="CD46" s="57" t="n">
        <f aca="false">ROUNDUP(H46/BS46,0)</f>
        <v>4</v>
      </c>
      <c r="CE46" s="57" t="n">
        <f aca="false">ROUNDUP(CB46/BS46,0)</f>
        <v>0</v>
      </c>
      <c r="CF46" s="60" t="n">
        <f aca="false">IF(BT46=1,0,IFERROR(VLOOKUP(BR46,'Gebinde-Kategorie'!$A$5:$M$45,5,0)+0,0))</f>
        <v>0</v>
      </c>
      <c r="CG46" s="60" t="n">
        <f aca="false">IFERROR(IF(OR(BX46=1,BX46=2,BX46=3),N(INDEX(Parameter!$I$5:$I$7,BX46)),0),0)</f>
        <v>0</v>
      </c>
      <c r="CH46" s="59" t="n">
        <f aca="false">IF(AND(Parameter!$B$21="Ja",ISNUMBER(W46),N(X46)&gt;0),IFERROR(N(INDEX(Parameter!$L$5:$L$7,W46))*INDEX(Parameter!$E$5:$E$7,W46)*X46/SUMIFS($X$7:$X$1843,$W$7:$W$1843,W46),0),0)</f>
        <v>0.64030131826742</v>
      </c>
    </row>
    <row r="47" customFormat="false" ht="15" hidden="false" customHeight="false" outlineLevel="0" collapsed="false">
      <c r="A47" s="55" t="s">
        <v>286</v>
      </c>
      <c r="B47" s="55" t="s">
        <v>287</v>
      </c>
      <c r="C47" s="55" t="s">
        <v>164</v>
      </c>
      <c r="D47" s="55" t="s">
        <v>173</v>
      </c>
      <c r="E47" s="55"/>
      <c r="F47" s="55" t="s">
        <v>218</v>
      </c>
      <c r="G47" s="56" t="n">
        <v>2358</v>
      </c>
      <c r="H47" s="57" t="n">
        <f aca="false">MAX(0,IF(AND(Parameter!$B$21="Ja",ISNUMBER(Y47)),Y47,IF(Parameter!$B$20="Jahresanfang 2025 + Export",BL47+BK47,BK47)))</f>
        <v>3</v>
      </c>
      <c r="I47" s="57" t="n">
        <f aca="false">H47*G47</f>
        <v>7074</v>
      </c>
      <c r="J47" s="57" t="n">
        <f aca="false">BN47*Parameter!$B$18</f>
        <v>0</v>
      </c>
      <c r="K47" s="58" t="n">
        <v>1</v>
      </c>
      <c r="L47" s="59" t="n">
        <v>0</v>
      </c>
      <c r="M47" s="57" t="n">
        <v>0</v>
      </c>
      <c r="N47" s="57" t="n">
        <v>1</v>
      </c>
      <c r="O47" s="60" t="n">
        <v>120</v>
      </c>
      <c r="P47" s="55" t="s">
        <v>168</v>
      </c>
      <c r="Q47" s="57"/>
      <c r="R47" s="60" t="n">
        <f aca="false">IF(BT47=1,0,IFERROR(VLOOKUP(BR47,'Gebinde-Kategorie'!$A$5:$M$45,13,0)+0,0))</f>
        <v>12</v>
      </c>
      <c r="S47" s="61"/>
      <c r="T47" s="62" t="s">
        <v>179</v>
      </c>
      <c r="U47" s="62"/>
      <c r="V47" s="62"/>
      <c r="W47" s="55"/>
      <c r="X47" s="57"/>
      <c r="Y47" s="57"/>
      <c r="Z47" s="55" t="n">
        <f aca="false">IF(A47="","",IF(AND(Parameter!$B$21="Ja",ISNUMBER(W47)),W47,IF(BV47="2+3",IF(ISNUMBER(SEARCH("grosser Artikel",BO47)),2,IFERROR(VLOOKUP(BR47,Parameter!$F$35:$G$64,2,0),2)),IF(OR(BV47="Nein",BV47=""),"-",BV47))))</f>
        <v>2</v>
      </c>
      <c r="AA47" s="62"/>
      <c r="AB47" s="63"/>
      <c r="AC47" s="57" t="n">
        <f aca="false">AR47</f>
        <v>4</v>
      </c>
      <c r="AD47" s="57" t="n">
        <f aca="false">MAX(AR47,H47)</f>
        <v>4</v>
      </c>
      <c r="AE47" s="64"/>
      <c r="AF47" s="57" t="n">
        <f aca="false">IF(LEFT(Cockpit!$C$5,1)="A",H47,IF(CA47=1,CB47,IF(LEFT(Cockpit!$C$5,1)="B",AJ47,MAX(AJ47,H47))))</f>
        <v>3</v>
      </c>
      <c r="AG47" s="57" t="n">
        <f aca="false">IF(BT47=1,0,ROUNDUP(AF47/BS47,0))</f>
        <v>1</v>
      </c>
      <c r="AH47" s="59" t="n">
        <f aca="false">IF(CH47&gt;0,CH47*MAX(1,AF47/X47),IF(BT47=1,IF(AF47&lt;=0,0,BW47*MAX(1,IF(H47&gt;0,AF47/H47,1))),IF(R47&gt;0,AG47/R47,0))/MAX(0.1,N(Parameter!$M$21)))</f>
        <v>0.0833333333333333</v>
      </c>
      <c r="AI47" s="57" t="n">
        <f aca="false">AF47*G47</f>
        <v>7074</v>
      </c>
      <c r="AJ47" s="57" t="n">
        <f aca="false">ROUNDUP(MAX(J47/IF(BZ47&gt;0,BZ47,MAX(0.1,N(Cockpit!$C$6))),CC47)/BS47,0)*BS47</f>
        <v>4</v>
      </c>
      <c r="AK47" s="58" t="n">
        <f aca="false">IF(AH47&gt;0,J47/AH47,-1)</f>
        <v>0</v>
      </c>
      <c r="AL47" s="58" t="n">
        <f aca="false">IF(AND(OR(BY47="L1",BY47="L23"),AH47&gt;0),SUMIFS($AH$7:$AH$1843,$BY$7:$BY$1843,BY47,$AK$7:$AK$1843,"&gt;"&amp;AK47)+SUMIFS($AH$7:$AH$1843,$BY$7:$BY$1843,BY47,$AK$7:$AK$1843,AK47,$BQ$7:$BQ$1843,"&lt;="&amp;BQ47),"")</f>
        <v>67.0355393398872</v>
      </c>
      <c r="AM47" s="65" t="n">
        <f aca="false">IF(AL47="",0,MAX(0,MIN(1,(IF(BY47="L1",Parameter!$E$5,Parameter!$E$6+Parameter!$E$7)-(AL47-AH47))/AH47)))</f>
        <v>1</v>
      </c>
      <c r="AN47" s="57" t="n">
        <f aca="false">IF(LEFT(Cockpit!$I$5,1)="A",H47,IF(CA47=1,CB47,IF(LEFT(Cockpit!$I$5,1)="B",AR47,MAX(AR47,H47))))</f>
        <v>4</v>
      </c>
      <c r="AO47" s="57" t="n">
        <f aca="false">IF(BT47=1,0,ROUNDUP(AN47/BS47,0))</f>
        <v>1</v>
      </c>
      <c r="AP47" s="59" t="n">
        <f aca="false">IF(CH47&gt;0,CH47*MAX(1,AN47/X47),IF(BT47=1,IF(AN47&lt;=0,0,BW47*MAX(1,IF(H47&gt;0,AN47/H47,1))),IF(R47&gt;0,AO47/R47,0))/MAX(0.1,N(Parameter!$M$21)))</f>
        <v>0.0833333333333333</v>
      </c>
      <c r="AQ47" s="57" t="n">
        <f aca="false">AN47*G47</f>
        <v>9432</v>
      </c>
      <c r="AR47" s="57" t="n">
        <f aca="false">ROUNDUP(MAX(J47/IF(BZ47&gt;0,BZ47,MAX(0.1,N(Cockpit!$I$6))),CC47)/BS47,0)*BS47</f>
        <v>4</v>
      </c>
      <c r="AS47" s="58" t="n">
        <f aca="false">IF(AP47&gt;0,J47/AP47,-1)</f>
        <v>0</v>
      </c>
      <c r="AT47" s="58" t="n">
        <f aca="false">IF(AND(OR(BY47="L1",BY47="L23"),AP47&gt;0),SUMIFS($AP$7:$AP$1843,$BY$7:$BY$1843,BY47,$AS$7:$AS$1843,"&gt;"&amp;AS47)+SUMIFS($AP$7:$AP$1843,$BY$7:$BY$1843,BY47,$AS$7:$AS$1843,AS47,$BQ$7:$BQ$1843,"&lt;="&amp;BQ47),"")</f>
        <v>106.292996858214</v>
      </c>
      <c r="AU47" s="65" t="n">
        <f aca="false">IF(AT47="",0,MAX(0,MIN(1,(IF(BY47="L1",Parameter!$E$5,Parameter!$E$6+Parameter!$E$7)-(AT47-AP47))/AP47)))</f>
        <v>0</v>
      </c>
      <c r="AV47" s="57" t="n">
        <f aca="false">IF(LEFT(Cockpit!$O$5,1)="A",H47,IF(CA47=1,CB47,IF(LEFT(Cockpit!$O$5,1)="B",AZ47,MAX(AZ47,H47))))</f>
        <v>4</v>
      </c>
      <c r="AW47" s="57" t="n">
        <f aca="false">IF(BT47=1,0,ROUNDUP(AV47/BS47,0))</f>
        <v>1</v>
      </c>
      <c r="AX47" s="59" t="n">
        <f aca="false">IF(CH47&gt;0,CH47*MAX(1,AV47/X47),IF(BT47=1,IF(AV47&lt;=0,0,BW47*MAX(1,IF(H47&gt;0,AV47/H47,1))),IF(R47&gt;0,AW47/R47,0))/MAX(0.1,N(Parameter!$M$21)))</f>
        <v>0.0833333333333333</v>
      </c>
      <c r="AY47" s="57" t="n">
        <f aca="false">AV47*G47</f>
        <v>9432</v>
      </c>
      <c r="AZ47" s="57" t="n">
        <f aca="false">ROUNDUP(MAX(J47/IF(BZ47&gt;0,BZ47,MAX(0.1,N(Cockpit!$O$6))),CC47)/BS47,0)*BS47</f>
        <v>4</v>
      </c>
      <c r="BA47" s="58" t="n">
        <f aca="false">IF(AX47&gt;0,J47/AX47,-1)</f>
        <v>0</v>
      </c>
      <c r="BB47" s="58" t="n">
        <f aca="false">IF(AND(OR(BY47="L1",BY47="L23"),AX47&gt;0),SUMIFS($AX$7:$AX$1843,$BY$7:$BY$1843,BY47,$BA$7:$BA$1843,"&gt;"&amp;BA47)+SUMIFS($AX$7:$AX$1843,$BY$7:$BY$1843,BY47,$BA$7:$BA$1843,BA47,$BQ$7:$BQ$1843,"&lt;="&amp;BQ47),"")</f>
        <v>97.1228336880511</v>
      </c>
      <c r="BC47" s="65" t="n">
        <f aca="false">IF(BB47="",0,MAX(0,MIN(1,(IF(BY47="L1",Parameter!$E$5,Parameter!$E$6+Parameter!$E$7)-(BB47-AX47))/AX47)))</f>
        <v>1</v>
      </c>
      <c r="BD47" s="55" t="str">
        <f aca="false">IF(AH47&lt;=0,"",IF(BY47="Aussen","Aussenlager",IF(BY47="-","Nicht im Lift",IF(AM47&gt;=1,"Lift",IF(AM47&lt;=0,"Aussenlager","teilweise")))))</f>
        <v>Lift</v>
      </c>
      <c r="BE47" s="55" t="str">
        <f aca="false">IF(AP47&lt;=0,"",IF(BY47="Aussen","Aussenlager",IF(BY47="-","Nicht im Lift",IF(AU47&gt;=1,"Lift",IF(AU47&lt;=0,"Aussenlager","teilweise")))))</f>
        <v>Aussenlager</v>
      </c>
      <c r="BF47" s="55" t="str">
        <f aca="false">IF(AX47&lt;=0,"",IF(BY47="Aussen","Aussenlager",IF(BY47="-","Nicht im Lift",IF(BC47&gt;=1,"Lift",IF(BC47&lt;=0,"Aussenlager","teilweise")))))</f>
        <v>Lift</v>
      </c>
      <c r="BG47" s="55" t="str">
        <f aca="false">IF(A47="","",IF(BP47=1,"Neu; ","")&amp;IF(AND(BP47=0,BK47&lt;0),"negativer Bestand (Export "&amp;BK47&amp;"); ","")&amp;IF(J47&lt;=0,"Kein Verbrauch; ","")&amp;IF(CH47&gt;0,"Lift "&amp;W47&amp;" lt. Liftbericht (Fach "&amp;X47&amp;" Stk); ",IF(BU47=1,"Gebinde geschätzt ("&amp;T47&amp;"); ",IF(BT47=1,"Lose – Tablare geschätzt; ","")))&amp;IF(H47&gt;AR47,"Überbestand "&amp;ROUND(H47-AR47,0)&amp;" Stk / CHF "&amp;ROUND((H47-AR47)*G47,0)&amp;"; ","")&amp;IF(AND(CA47=1,CB47&lt;CC47),"MAX &lt; MB+LG; ","")&amp;IF(AND(CG47&gt;0,CF47*10&gt;CG47),"zu hoch für Tablar; ","")&amp;IF(AND(BP47=0,OR(CA47=1,AA47&lt;&gt;"",U47&lt;&gt;"",V47&lt;&gt;"",AB47&lt;&gt;"")),"manuell übersteuert; ","")&amp;IF(AND(BT47=0,R47=0),"Gebinde unbekannt / Stellmass fehlt; ","")&amp;IF(AND(BT47=0,N(V47)&lt;=0,N(Q47)&lt;=0),"Menge pro Gebinde fehlt (Ist = 1 Gebinde); ","")&amp;BO47)</f>
        <v>Kein Verbrauch; Gebinde geschätzt (Mittel); Menge pro Gebinde fehlt (Ist = 1 Gebinde); </v>
      </c>
      <c r="BH47" s="55"/>
      <c r="BI47" s="55"/>
      <c r="BJ47" s="62"/>
      <c r="BK47" s="57" t="n">
        <v>3</v>
      </c>
      <c r="BL47" s="57" t="n">
        <v>0</v>
      </c>
      <c r="BM47" s="56" t="n">
        <v>7074</v>
      </c>
      <c r="BN47" s="57" t="n">
        <v>0</v>
      </c>
      <c r="BO47" s="55"/>
      <c r="BP47" s="60" t="n">
        <v>0</v>
      </c>
      <c r="BQ47" s="60" t="n">
        <v>47</v>
      </c>
      <c r="BR47" s="55" t="str">
        <f aca="false">IF(U47&lt;&gt;"",UPPER(TRIM(U47)),IF(BU47=1,UPPER(VLOOKUP(T47,Parameter!$I$27:$K$29,2,0)),IF(P47="","LOSE",P47)))</f>
        <v>S61</v>
      </c>
      <c r="BS47" s="57" t="n">
        <f aca="false">IF(BR47="LOSE",1,IF(N(V47)&gt;0,V47,IF(BU47=1,MAX(1,N(VLOOKUP(T47,Parameter!$I$27:$K$29,3,0)),H47,N(N47)),IF(N(Q47)&gt;0,Q47,MAX(1,H47)))))</f>
        <v>4</v>
      </c>
      <c r="BT47" s="60" t="n">
        <f aca="false">IF(BR47="LOSE",1,0)</f>
        <v>0</v>
      </c>
      <c r="BU47" s="60" t="n">
        <f aca="false">IF(AND(U47="",OR(P47="",P47="LOSE"),T47&lt;&gt;"",N(S47)&lt;=0,ISNUMBER(MATCH(T47,Parameter!$I$27:$I$29,0))),1,0)</f>
        <v>1</v>
      </c>
      <c r="BV47" s="55" t="str">
        <f aca="false">IF(AND(Parameter!$B$19="Ja",E47&lt;&gt;"",ISNUMBER(MATCH(E47,Parameter!$I$35:$I$52,0))),VLOOKUP(E47,Parameter!$I$35:$J$52,2,0),IFERROR(VLOOKUP(D47,Parameter!$A$35:$C$64,2,0),"Nein"))</f>
        <v>2+3</v>
      </c>
      <c r="BW47" s="59" t="n">
        <f aca="false">IF(BT47=0,0,IF(N(S47)&gt;0,S47,IFERROR(VLOOKUP(D47,Parameter!$A$35:$C$64,3,0)+0,0)))</f>
        <v>0</v>
      </c>
      <c r="BX47" s="55" t="n">
        <f aca="false">IF(AA47&lt;&gt;"",AA47,Z47)</f>
        <v>2</v>
      </c>
      <c r="BY47" s="55" t="str">
        <f aca="false">IF(BX47=1,"L1",IF(OR(BX47=2,BX47=3),"L23",IF(BX47="Aussen","Aussen","-")))</f>
        <v>L23</v>
      </c>
      <c r="BZ47" s="66" t="n">
        <f aca="false">IF(N(AB47)&gt;0,AB47,0)</f>
        <v>0</v>
      </c>
      <c r="CA47" s="60" t="n">
        <f aca="false">IF(ISNUMBER(AE47),1,0)</f>
        <v>0</v>
      </c>
      <c r="CB47" s="57" t="n">
        <f aca="false">N(AE47)</f>
        <v>0</v>
      </c>
      <c r="CC47" s="57" t="n">
        <f aca="false">N(M47)+N(N47)</f>
        <v>1</v>
      </c>
      <c r="CD47" s="57" t="n">
        <f aca="false">ROUNDUP(H47/BS47,0)</f>
        <v>1</v>
      </c>
      <c r="CE47" s="57" t="n">
        <f aca="false">ROUNDUP(CB47/BS47,0)</f>
        <v>0</v>
      </c>
      <c r="CF47" s="60" t="n">
        <f aca="false">IF(BT47=1,0,IFERROR(VLOOKUP(BR47,'Gebinde-Kategorie'!$A$5:$M$45,5,0)+0,0))</f>
        <v>11</v>
      </c>
      <c r="CG47" s="60" t="n">
        <f aca="false">IFERROR(IF(OR(BX47=1,BX47=2,BX47=3),N(INDEX(Parameter!$I$5:$I$7,BX47)),0),0)</f>
        <v>0</v>
      </c>
      <c r="CH47" s="59" t="n">
        <f aca="false">IF(AND(Parameter!$B$21="Ja",ISNUMBER(W47),N(X47)&gt;0),IFERROR(N(INDEX(Parameter!$L$5:$L$7,W47))*INDEX(Parameter!$E$5:$E$7,W47)*X47/SUMIFS($X$7:$X$1843,$W$7:$W$1843,W47),0),0)</f>
        <v>0</v>
      </c>
    </row>
    <row r="48" customFormat="false" ht="15" hidden="false" customHeight="false" outlineLevel="0" collapsed="false">
      <c r="A48" s="55" t="s">
        <v>288</v>
      </c>
      <c r="B48" s="55" t="s">
        <v>253</v>
      </c>
      <c r="C48" s="55" t="s">
        <v>164</v>
      </c>
      <c r="D48" s="55" t="s">
        <v>165</v>
      </c>
      <c r="E48" s="55"/>
      <c r="F48" s="55" t="s">
        <v>218</v>
      </c>
      <c r="G48" s="56" t="n">
        <v>1380.43</v>
      </c>
      <c r="H48" s="57" t="n">
        <f aca="false">MAX(0,IF(AND(Parameter!$B$21="Ja",ISNUMBER(Y48)),Y48,IF(Parameter!$B$20="Jahresanfang 2025 + Export",BL48+BK48,BK48)))</f>
        <v>3</v>
      </c>
      <c r="I48" s="57" t="n">
        <f aca="false">H48*G48</f>
        <v>4141.29</v>
      </c>
      <c r="J48" s="57" t="n">
        <f aca="false">BN48*Parameter!$B$18</f>
        <v>0</v>
      </c>
      <c r="K48" s="58" t="n">
        <v>3</v>
      </c>
      <c r="L48" s="59" t="n">
        <v>0</v>
      </c>
      <c r="M48" s="57" t="n">
        <v>0</v>
      </c>
      <c r="N48" s="57" t="n">
        <v>2</v>
      </c>
      <c r="O48" s="60" t="n">
        <v>70</v>
      </c>
      <c r="P48" s="55" t="s">
        <v>168</v>
      </c>
      <c r="Q48" s="57"/>
      <c r="R48" s="60" t="n">
        <f aca="false">IF(BT48=1,0,IFERROR(VLOOKUP(BR48,'Gebinde-Kategorie'!$A$5:$M$45,13,0)+0,0))</f>
        <v>0</v>
      </c>
      <c r="S48" s="61"/>
      <c r="T48" s="62"/>
      <c r="U48" s="62"/>
      <c r="V48" s="62"/>
      <c r="W48" s="55" t="n">
        <v>1</v>
      </c>
      <c r="X48" s="57" t="n">
        <v>16</v>
      </c>
      <c r="Y48" s="57" t="n">
        <v>3</v>
      </c>
      <c r="Z48" s="55" t="n">
        <f aca="false">IF(A48="","",IF(AND(Parameter!$B$21="Ja",ISNUMBER(W48)),W48,IF(BV48="2+3",IF(ISNUMBER(SEARCH("grosser Artikel",BO48)),2,IFERROR(VLOOKUP(BR48,Parameter!$F$35:$G$64,2,0),2)),IF(OR(BV48="Nein",BV48=""),"-",BV48))))</f>
        <v>1</v>
      </c>
      <c r="AA48" s="62"/>
      <c r="AB48" s="63"/>
      <c r="AC48" s="57" t="n">
        <f aca="false">AR48</f>
        <v>2</v>
      </c>
      <c r="AD48" s="57" t="n">
        <f aca="false">MAX(AR48,H48)</f>
        <v>3</v>
      </c>
      <c r="AE48" s="64"/>
      <c r="AF48" s="57" t="n">
        <f aca="false">IF(LEFT(Cockpit!$C$5,1)="A",H48,IF(CA48=1,CB48,IF(LEFT(Cockpit!$C$5,1)="B",AJ48,MAX(AJ48,H48))))</f>
        <v>3</v>
      </c>
      <c r="AG48" s="57" t="n">
        <f aca="false">IF(BT48=1,0,ROUNDUP(AF48/BS48,0))</f>
        <v>0</v>
      </c>
      <c r="AH48" s="59" t="n">
        <f aca="false">IF(CH48&gt;0,CH48*MAX(1,AF48/X48),IF(BT48=1,IF(AF48&lt;=0,0,BW48*MAX(1,IF(H48&gt;0,AF48/H48,1))),IF(R48&gt;0,AG48/R48,0))/MAX(0.1,N(Parameter!$M$21)))</f>
        <v>1.28060263653484</v>
      </c>
      <c r="AI48" s="57" t="n">
        <f aca="false">AF48*G48</f>
        <v>4141.29</v>
      </c>
      <c r="AJ48" s="57" t="n">
        <f aca="false">ROUNDUP(MAX(J48/IF(BZ48&gt;0,BZ48,MAX(0.1,N(Cockpit!$C$6))),CC48)/BS48,0)*BS48</f>
        <v>2</v>
      </c>
      <c r="AK48" s="58" t="n">
        <f aca="false">IF(AH48&gt;0,J48/AH48,-1)</f>
        <v>0</v>
      </c>
      <c r="AL48" s="58" t="n">
        <f aca="false">IF(AND(OR(BY48="L1",BY48="L23"),AH48&gt;0),SUMIFS($AH$7:$AH$1843,$BY$7:$BY$1843,BY48,$AK$7:$AK$1843,"&gt;"&amp;AK48)+SUMIFS($AH$7:$AH$1843,$BY$7:$BY$1843,BY48,$AK$7:$AK$1843,AK48,$BQ$7:$BQ$1843,"&lt;="&amp;BQ48),"")</f>
        <v>48.2621355554296</v>
      </c>
      <c r="AM48" s="65" t="n">
        <f aca="false">IF(AL48="",0,MAX(0,MIN(1,(IF(BY48="L1",Parameter!$E$5,Parameter!$E$6+Parameter!$E$7)-(AL48-AH48))/AH48)))</f>
        <v>1</v>
      </c>
      <c r="AN48" s="57" t="n">
        <f aca="false">IF(LEFT(Cockpit!$I$5,1)="A",H48,IF(CA48=1,CB48,IF(LEFT(Cockpit!$I$5,1)="B",AR48,MAX(AR48,H48))))</f>
        <v>3</v>
      </c>
      <c r="AO48" s="57" t="n">
        <f aca="false">IF(BT48=1,0,ROUNDUP(AN48/BS48,0))</f>
        <v>0</v>
      </c>
      <c r="AP48" s="59" t="n">
        <f aca="false">IF(CH48&gt;0,CH48*MAX(1,AN48/X48),IF(BT48=1,IF(AN48&lt;=0,0,BW48*MAX(1,IF(H48&gt;0,AN48/H48,1))),IF(R48&gt;0,AO48/R48,0))/MAX(0.1,N(Parameter!$M$21)))</f>
        <v>1.28060263653484</v>
      </c>
      <c r="AQ48" s="57" t="n">
        <f aca="false">AN48*G48</f>
        <v>4141.29</v>
      </c>
      <c r="AR48" s="57" t="n">
        <f aca="false">ROUNDUP(MAX(J48/IF(BZ48&gt;0,BZ48,MAX(0.1,N(Cockpit!$I$6))),CC48)/BS48,0)*BS48</f>
        <v>2</v>
      </c>
      <c r="AS48" s="58" t="n">
        <f aca="false">IF(AP48&gt;0,J48/AP48,-1)</f>
        <v>0</v>
      </c>
      <c r="AT48" s="58" t="n">
        <f aca="false">IF(AND(OR(BY48="L1",BY48="L23"),AP48&gt;0),SUMIFS($AP$7:$AP$1843,$BY$7:$BY$1843,BY48,$AS$7:$AS$1843,"&gt;"&amp;AS48)+SUMIFS($AP$7:$AP$1843,$BY$7:$BY$1843,BY48,$AS$7:$AS$1843,AS48,$BQ$7:$BQ$1843,"&lt;="&amp;BQ48),"")</f>
        <v>63.6949908357425</v>
      </c>
      <c r="AU48" s="65" t="n">
        <f aca="false">IF(AT48="",0,MAX(0,MIN(1,(IF(BY48="L1",Parameter!$E$5,Parameter!$E$6+Parameter!$E$7)-(AT48-AP48))/AP48)))</f>
        <v>0</v>
      </c>
      <c r="AV48" s="57" t="n">
        <f aca="false">IF(LEFT(Cockpit!$O$5,1)="A",H48,IF(CA48=1,CB48,IF(LEFT(Cockpit!$O$5,1)="B",AZ48,MAX(AZ48,H48))))</f>
        <v>3</v>
      </c>
      <c r="AW48" s="57" t="n">
        <f aca="false">IF(BT48=1,0,ROUNDUP(AV48/BS48,0))</f>
        <v>0</v>
      </c>
      <c r="AX48" s="59" t="n">
        <f aca="false">IF(CH48&gt;0,CH48*MAX(1,AV48/X48),IF(BT48=1,IF(AV48&lt;=0,0,BW48*MAX(1,IF(H48&gt;0,AV48/H48,1))),IF(R48&gt;0,AW48/R48,0))/MAX(0.1,N(Parameter!$M$21)))</f>
        <v>1.28060263653484</v>
      </c>
      <c r="AY48" s="57" t="n">
        <f aca="false">AV48*G48</f>
        <v>4141.29</v>
      </c>
      <c r="AZ48" s="57" t="n">
        <f aca="false">ROUNDUP(MAX(J48/IF(BZ48&gt;0,BZ48,MAX(0.1,N(Cockpit!$O$6))),CC48)/BS48,0)*BS48</f>
        <v>2</v>
      </c>
      <c r="BA48" s="58" t="n">
        <f aca="false">IF(AX48&gt;0,J48/AX48,-1)</f>
        <v>0</v>
      </c>
      <c r="BB48" s="58" t="n">
        <f aca="false">IF(AND(OR(BY48="L1",BY48="L23"),AX48&gt;0),SUMIFS($AX$7:$AX$1843,$BY$7:$BY$1843,BY48,$BA$7:$BA$1843,"&gt;"&amp;BA48)+SUMIFS($AX$7:$AX$1843,$BY$7:$BY$1843,BY48,$BA$7:$BA$1843,BA48,$BQ$7:$BQ$1843,"&lt;="&amp;BQ48),"")</f>
        <v>57.3618023669608</v>
      </c>
      <c r="BC48" s="65" t="n">
        <f aca="false">IF(BB48="",0,MAX(0,MIN(1,(IF(BY48="L1",Parameter!$E$5,Parameter!$E$6+Parameter!$E$7)-(BB48-AX48))/AX48)))</f>
        <v>0</v>
      </c>
      <c r="BD48" s="55" t="str">
        <f aca="false">IF(AH48&lt;=0,"",IF(BY48="Aussen","Aussenlager",IF(BY48="-","Nicht im Lift",IF(AM48&gt;=1,"Lift",IF(AM48&lt;=0,"Aussenlager","teilweise")))))</f>
        <v>Lift</v>
      </c>
      <c r="BE48" s="55" t="str">
        <f aca="false">IF(AP48&lt;=0,"",IF(BY48="Aussen","Aussenlager",IF(BY48="-","Nicht im Lift",IF(AU48&gt;=1,"Lift",IF(AU48&lt;=0,"Aussenlager","teilweise")))))</f>
        <v>Aussenlager</v>
      </c>
      <c r="BF48" s="55" t="str">
        <f aca="false">IF(AX48&lt;=0,"",IF(BY48="Aussen","Aussenlager",IF(BY48="-","Nicht im Lift",IF(BC48&gt;=1,"Lift",IF(BC48&lt;=0,"Aussenlager","teilweise")))))</f>
        <v>Aussenlager</v>
      </c>
      <c r="BG48" s="55" t="str">
        <f aca="false">IF(A48="","",IF(BP48=1,"Neu; ","")&amp;IF(AND(BP48=0,BK48&lt;0),"negativer Bestand (Export "&amp;BK48&amp;"); ","")&amp;IF(J48&lt;=0,"Kein Verbrauch; ","")&amp;IF(CH48&gt;0,"Lift "&amp;W48&amp;" lt. Liftbericht (Fach "&amp;X48&amp;" Stk); ",IF(BU48=1,"Gebinde geschätzt ("&amp;T48&amp;"); ",IF(BT48=1,"Lose – Tablare geschätzt; ","")))&amp;IF(H48&gt;AR48,"Überbestand "&amp;ROUND(H48-AR48,0)&amp;" Stk / CHF "&amp;ROUND((H48-AR48)*G48,0)&amp;"; ","")&amp;IF(AND(CA48=1,CB48&lt;CC48),"MAX &lt; MB+LG; ","")&amp;IF(AND(CG48&gt;0,CF48*10&gt;CG48),"zu hoch für Tablar; ","")&amp;IF(AND(BP48=0,OR(CA48=1,AA48&lt;&gt;"",U48&lt;&gt;"",V48&lt;&gt;"",AB48&lt;&gt;"")),"manuell übersteuert; ","")&amp;IF(AND(BT48=0,R48=0),"Gebinde unbekannt / Stellmass fehlt; ","")&amp;IF(AND(BT48=0,N(V48)&lt;=0,N(Q48)&lt;=0),"Menge pro Gebinde fehlt (Ist = 1 Gebinde); ","")&amp;BO48)</f>
        <v>Kein Verbrauch; Lift 1 lt. Liftbericht (Fach 16 Stk); Überbestand 1 Stk / CHF 1380; </v>
      </c>
      <c r="BH48" s="55"/>
      <c r="BI48" s="55"/>
      <c r="BJ48" s="62"/>
      <c r="BK48" s="57" t="n">
        <v>5</v>
      </c>
      <c r="BL48" s="57" t="n">
        <v>0</v>
      </c>
      <c r="BM48" s="56" t="n">
        <v>6902.15</v>
      </c>
      <c r="BN48" s="57" t="n">
        <v>0</v>
      </c>
      <c r="BO48" s="55"/>
      <c r="BP48" s="60" t="n">
        <v>0</v>
      </c>
      <c r="BQ48" s="60" t="n">
        <v>48</v>
      </c>
      <c r="BR48" s="55" t="str">
        <f aca="false">IF(U48&lt;&gt;"",UPPER(TRIM(U48)),IF(BU48=1,UPPER(VLOOKUP(T48,Parameter!$I$27:$K$29,2,0)),IF(P48="","LOSE",P48)))</f>
        <v>LOSE</v>
      </c>
      <c r="BS48" s="57" t="n">
        <f aca="false">IF(BR48="LOSE",1,IF(N(V48)&gt;0,V48,IF(BU48=1,MAX(1,N(VLOOKUP(T48,Parameter!$I$27:$K$29,3,0)),H48,N(N48)),IF(N(Q48)&gt;0,Q48,MAX(1,H48)))))</f>
        <v>1</v>
      </c>
      <c r="BT48" s="60" t="n">
        <f aca="false">IF(BR48="LOSE",1,0)</f>
        <v>1</v>
      </c>
      <c r="BU48" s="60" t="n">
        <f aca="false">IF(AND(U48="",OR(P48="",P48="LOSE"),T48&lt;&gt;"",N(S48)&lt;=0,ISNUMBER(MATCH(T48,Parameter!$I$27:$I$29,0))),1,0)</f>
        <v>0</v>
      </c>
      <c r="BV48" s="55" t="n">
        <f aca="false">IF(AND(Parameter!$B$19="Ja",E48&lt;&gt;"",ISNUMBER(MATCH(E48,Parameter!$I$35:$I$52,0))),VLOOKUP(E48,Parameter!$I$35:$J$52,2,0),IFERROR(VLOOKUP(D48,Parameter!$A$35:$C$64,2,0),"Nein"))</f>
        <v>1</v>
      </c>
      <c r="BW48" s="59" t="n">
        <f aca="false">IF(BT48=0,0,IF(N(S48)&gt;0,S48,IFERROR(VLOOKUP(D48,Parameter!$A$35:$C$64,3,0)+0,0)))</f>
        <v>1</v>
      </c>
      <c r="BX48" s="55" t="n">
        <f aca="false">IF(AA48&lt;&gt;"",AA48,Z48)</f>
        <v>1</v>
      </c>
      <c r="BY48" s="55" t="str">
        <f aca="false">IF(BX48=1,"L1",IF(OR(BX48=2,BX48=3),"L23",IF(BX48="Aussen","Aussen","-")))</f>
        <v>L1</v>
      </c>
      <c r="BZ48" s="66" t="n">
        <f aca="false">IF(N(AB48)&gt;0,AB48,0)</f>
        <v>0</v>
      </c>
      <c r="CA48" s="60" t="n">
        <f aca="false">IF(ISNUMBER(AE48),1,0)</f>
        <v>0</v>
      </c>
      <c r="CB48" s="57" t="n">
        <f aca="false">N(AE48)</f>
        <v>0</v>
      </c>
      <c r="CC48" s="57" t="n">
        <f aca="false">N(M48)+N(N48)</f>
        <v>2</v>
      </c>
      <c r="CD48" s="57" t="n">
        <f aca="false">ROUNDUP(H48/BS48,0)</f>
        <v>3</v>
      </c>
      <c r="CE48" s="57" t="n">
        <f aca="false">ROUNDUP(CB48/BS48,0)</f>
        <v>0</v>
      </c>
      <c r="CF48" s="60" t="n">
        <f aca="false">IF(BT48=1,0,IFERROR(VLOOKUP(BR48,'Gebinde-Kategorie'!$A$5:$M$45,5,0)+0,0))</f>
        <v>0</v>
      </c>
      <c r="CG48" s="60" t="n">
        <f aca="false">IFERROR(IF(OR(BX48=1,BX48=2,BX48=3),N(INDEX(Parameter!$I$5:$I$7,BX48)),0),0)</f>
        <v>0</v>
      </c>
      <c r="CH48" s="59" t="n">
        <f aca="false">IF(AND(Parameter!$B$21="Ja",ISNUMBER(W48),N(X48)&gt;0),IFERROR(N(INDEX(Parameter!$L$5:$L$7,W48))*INDEX(Parameter!$E$5:$E$7,W48)*X48/SUMIFS($X$7:$X$1843,$W$7:$W$1843,W48),0),0)</f>
        <v>1.28060263653484</v>
      </c>
    </row>
    <row r="49" customFormat="false" ht="15" hidden="false" customHeight="false" outlineLevel="0" collapsed="false">
      <c r="A49" s="55" t="s">
        <v>289</v>
      </c>
      <c r="B49" s="55" t="s">
        <v>290</v>
      </c>
      <c r="C49" s="55" t="s">
        <v>164</v>
      </c>
      <c r="D49" s="55" t="s">
        <v>173</v>
      </c>
      <c r="E49" s="55"/>
      <c r="F49" s="55" t="s">
        <v>218</v>
      </c>
      <c r="G49" s="56" t="n">
        <v>196.56</v>
      </c>
      <c r="H49" s="57" t="n">
        <f aca="false">MAX(0,IF(AND(Parameter!$B$21="Ja",ISNUMBER(Y49)),Y49,IF(Parameter!$B$20="Jahresanfang 2025 + Export",BL49+BK49,BK49)))</f>
        <v>66</v>
      </c>
      <c r="I49" s="57" t="n">
        <f aca="false">H49*G49</f>
        <v>12972.96</v>
      </c>
      <c r="J49" s="57" t="n">
        <f aca="false">BN49*Parameter!$B$18</f>
        <v>0</v>
      </c>
      <c r="K49" s="58" t="n">
        <v>33</v>
      </c>
      <c r="L49" s="59" t="n">
        <v>0</v>
      </c>
      <c r="M49" s="57" t="n">
        <v>0</v>
      </c>
      <c r="N49" s="57" t="n">
        <v>1</v>
      </c>
      <c r="O49" s="60" t="n">
        <v>77</v>
      </c>
      <c r="P49" s="55" t="s">
        <v>223</v>
      </c>
      <c r="Q49" s="57" t="n">
        <v>34</v>
      </c>
      <c r="R49" s="60" t="n">
        <f aca="false">IF(BT49=1,0,IFERROR(VLOOKUP(BR49,'Gebinde-Kategorie'!$A$5:$M$45,13,0)+0,0))</f>
        <v>3</v>
      </c>
      <c r="S49" s="61"/>
      <c r="T49" s="62"/>
      <c r="U49" s="62"/>
      <c r="V49" s="62"/>
      <c r="W49" s="55"/>
      <c r="X49" s="57"/>
      <c r="Y49" s="57"/>
      <c r="Z49" s="55" t="n">
        <f aca="false">IF(A49="","",IF(AND(Parameter!$B$21="Ja",ISNUMBER(W49)),W49,IF(BV49="2+3",IF(ISNUMBER(SEARCH("grosser Artikel",BO49)),2,IFERROR(VLOOKUP(BR49,Parameter!$F$35:$G$64,2,0),2)),IF(OR(BV49="Nein",BV49=""),"-",BV49))))</f>
        <v>2</v>
      </c>
      <c r="AA49" s="62"/>
      <c r="AB49" s="63"/>
      <c r="AC49" s="57" t="n">
        <f aca="false">AR49</f>
        <v>34</v>
      </c>
      <c r="AD49" s="57" t="n">
        <f aca="false">MAX(AR49,H49)</f>
        <v>66</v>
      </c>
      <c r="AE49" s="64"/>
      <c r="AF49" s="57" t="n">
        <f aca="false">IF(LEFT(Cockpit!$C$5,1)="A",H49,IF(CA49=1,CB49,IF(LEFT(Cockpit!$C$5,1)="B",AJ49,MAX(AJ49,H49))))</f>
        <v>66</v>
      </c>
      <c r="AG49" s="57" t="n">
        <f aca="false">IF(BT49=1,0,ROUNDUP(AF49/BS49,0))</f>
        <v>2</v>
      </c>
      <c r="AH49" s="59" t="n">
        <f aca="false">IF(CH49&gt;0,CH49*MAX(1,AF49/X49),IF(BT49=1,IF(AF49&lt;=0,0,BW49*MAX(1,IF(H49&gt;0,AF49/H49,1))),IF(R49&gt;0,AG49/R49,0))/MAX(0.1,N(Parameter!$M$21)))</f>
        <v>0.666666666666667</v>
      </c>
      <c r="AI49" s="57" t="n">
        <f aca="false">AF49*G49</f>
        <v>12972.96</v>
      </c>
      <c r="AJ49" s="57" t="n">
        <f aca="false">ROUNDUP(MAX(J49/IF(BZ49&gt;0,BZ49,MAX(0.1,N(Cockpit!$C$6))),CC49)/BS49,0)*BS49</f>
        <v>34</v>
      </c>
      <c r="AK49" s="58" t="n">
        <f aca="false">IF(AH49&gt;0,J49/AH49,-1)</f>
        <v>0</v>
      </c>
      <c r="AL49" s="58" t="n">
        <f aca="false">IF(AND(OR(BY49="L1",BY49="L23"),AH49&gt;0),SUMIFS($AH$7:$AH$1843,$BY$7:$BY$1843,BY49,$AK$7:$AK$1843,"&gt;"&amp;AK49)+SUMIFS($AH$7:$AH$1843,$BY$7:$BY$1843,BY49,$AK$7:$AK$1843,AK49,$BQ$7:$BQ$1843,"&lt;="&amp;BQ49),"")</f>
        <v>67.7022060065538</v>
      </c>
      <c r="AM49" s="65" t="n">
        <f aca="false">IF(AL49="",0,MAX(0,MIN(1,(IF(BY49="L1",Parameter!$E$5,Parameter!$E$6+Parameter!$E$7)-(AL49-AH49))/AH49)))</f>
        <v>1</v>
      </c>
      <c r="AN49" s="57" t="n">
        <f aca="false">IF(LEFT(Cockpit!$I$5,1)="A",H49,IF(CA49=1,CB49,IF(LEFT(Cockpit!$I$5,1)="B",AR49,MAX(AR49,H49))))</f>
        <v>66</v>
      </c>
      <c r="AO49" s="57" t="n">
        <f aca="false">IF(BT49=1,0,ROUNDUP(AN49/BS49,0))</f>
        <v>2</v>
      </c>
      <c r="AP49" s="59" t="n">
        <f aca="false">IF(CH49&gt;0,CH49*MAX(1,AN49/X49),IF(BT49=1,IF(AN49&lt;=0,0,BW49*MAX(1,IF(H49&gt;0,AN49/H49,1))),IF(R49&gt;0,AO49/R49,0))/MAX(0.1,N(Parameter!$M$21)))</f>
        <v>0.666666666666667</v>
      </c>
      <c r="AQ49" s="57" t="n">
        <f aca="false">AN49*G49</f>
        <v>12972.96</v>
      </c>
      <c r="AR49" s="57" t="n">
        <f aca="false">ROUNDUP(MAX(J49/IF(BZ49&gt;0,BZ49,MAX(0.1,N(Cockpit!$I$6))),CC49)/BS49,0)*BS49</f>
        <v>34</v>
      </c>
      <c r="AS49" s="58" t="n">
        <f aca="false">IF(AP49&gt;0,J49/AP49,-1)</f>
        <v>0</v>
      </c>
      <c r="AT49" s="58" t="n">
        <f aca="false">IF(AND(OR(BY49="L1",BY49="L23"),AP49&gt;0),SUMIFS($AP$7:$AP$1843,$BY$7:$BY$1843,BY49,$AS$7:$AS$1843,"&gt;"&amp;AS49)+SUMIFS($AP$7:$AP$1843,$BY$7:$BY$1843,BY49,$AS$7:$AS$1843,AS49,$BQ$7:$BQ$1843,"&lt;="&amp;BQ49),"")</f>
        <v>106.959663524881</v>
      </c>
      <c r="AU49" s="65" t="n">
        <f aca="false">IF(AT49="",0,MAX(0,MIN(1,(IF(BY49="L1",Parameter!$E$5,Parameter!$E$6+Parameter!$E$7)-(AT49-AP49))/AP49)))</f>
        <v>0</v>
      </c>
      <c r="AV49" s="57" t="n">
        <f aca="false">IF(LEFT(Cockpit!$O$5,1)="A",H49,IF(CA49=1,CB49,IF(LEFT(Cockpit!$O$5,1)="B",AZ49,MAX(AZ49,H49))))</f>
        <v>66</v>
      </c>
      <c r="AW49" s="57" t="n">
        <f aca="false">IF(BT49=1,0,ROUNDUP(AV49/BS49,0))</f>
        <v>2</v>
      </c>
      <c r="AX49" s="59" t="n">
        <f aca="false">IF(CH49&gt;0,CH49*MAX(1,AV49/X49),IF(BT49=1,IF(AV49&lt;=0,0,BW49*MAX(1,IF(H49&gt;0,AV49/H49,1))),IF(R49&gt;0,AW49/R49,0))/MAX(0.1,N(Parameter!$M$21)))</f>
        <v>0.666666666666667</v>
      </c>
      <c r="AY49" s="57" t="n">
        <f aca="false">AV49*G49</f>
        <v>12972.96</v>
      </c>
      <c r="AZ49" s="57" t="n">
        <f aca="false">ROUNDUP(MAX(J49/IF(BZ49&gt;0,BZ49,MAX(0.1,N(Cockpit!$O$6))),CC49)/BS49,0)*BS49</f>
        <v>34</v>
      </c>
      <c r="BA49" s="58" t="n">
        <f aca="false">IF(AX49&gt;0,J49/AX49,-1)</f>
        <v>0</v>
      </c>
      <c r="BB49" s="58" t="n">
        <f aca="false">IF(AND(OR(BY49="L1",BY49="L23"),AX49&gt;0),SUMIFS($AX$7:$AX$1843,$BY$7:$BY$1843,BY49,$BA$7:$BA$1843,"&gt;"&amp;BA49)+SUMIFS($AX$7:$AX$1843,$BY$7:$BY$1843,BY49,$BA$7:$BA$1843,BA49,$BQ$7:$BQ$1843,"&lt;="&amp;BQ49),"")</f>
        <v>97.7895003547178</v>
      </c>
      <c r="BC49" s="65" t="n">
        <f aca="false">IF(BB49="",0,MAX(0,MIN(1,(IF(BY49="L1",Parameter!$E$5,Parameter!$E$6+Parameter!$E$7)-(BB49-AX49))/AX49)))</f>
        <v>1</v>
      </c>
      <c r="BD49" s="55" t="str">
        <f aca="false">IF(AH49&lt;=0,"",IF(BY49="Aussen","Aussenlager",IF(BY49="-","Nicht im Lift",IF(AM49&gt;=1,"Lift",IF(AM49&lt;=0,"Aussenlager","teilweise")))))</f>
        <v>Lift</v>
      </c>
      <c r="BE49" s="55" t="str">
        <f aca="false">IF(AP49&lt;=0,"",IF(BY49="Aussen","Aussenlager",IF(BY49="-","Nicht im Lift",IF(AU49&gt;=1,"Lift",IF(AU49&lt;=0,"Aussenlager","teilweise")))))</f>
        <v>Aussenlager</v>
      </c>
      <c r="BF49" s="55" t="str">
        <f aca="false">IF(AX49&lt;=0,"",IF(BY49="Aussen","Aussenlager",IF(BY49="-","Nicht im Lift",IF(BC49&gt;=1,"Lift",IF(BC49&lt;=0,"Aussenlager","teilweise")))))</f>
        <v>Lift</v>
      </c>
      <c r="BG49" s="55" t="str">
        <f aca="false">IF(A49="","",IF(BP49=1,"Neu; ","")&amp;IF(AND(BP49=0,BK49&lt;0),"negativer Bestand (Export "&amp;BK49&amp;"); ","")&amp;IF(J49&lt;=0,"Kein Verbrauch; ","")&amp;IF(CH49&gt;0,"Lift "&amp;W49&amp;" lt. Liftbericht (Fach "&amp;X49&amp;" Stk); ",IF(BU49=1,"Gebinde geschätzt ("&amp;T49&amp;"); ",IF(BT49=1,"Lose – Tablare geschätzt; ","")))&amp;IF(H49&gt;AR49,"Überbestand "&amp;ROUND(H49-AR49,0)&amp;" Stk / CHF "&amp;ROUND((H49-AR49)*G49,0)&amp;"; ","")&amp;IF(AND(CA49=1,CB49&lt;CC49),"MAX &lt; MB+LG; ","")&amp;IF(AND(CG49&gt;0,CF49*10&gt;CG49),"zu hoch für Tablar; ","")&amp;IF(AND(BP49=0,OR(CA49=1,AA49&lt;&gt;"",U49&lt;&gt;"",V49&lt;&gt;"",AB49&lt;&gt;"")),"manuell übersteuert; ","")&amp;IF(AND(BT49=0,R49=0),"Gebinde unbekannt / Stellmass fehlt; ","")&amp;IF(AND(BT49=0,N(V49)&lt;=0,N(Q49)&lt;=0),"Menge pro Gebinde fehlt (Ist = 1 Gebinde); ","")&amp;BO49)</f>
        <v>Kein Verbrauch; Überbestand 32 Stk / CHF 6290; </v>
      </c>
      <c r="BH49" s="55"/>
      <c r="BI49" s="55"/>
      <c r="BJ49" s="62"/>
      <c r="BK49" s="57" t="n">
        <v>34</v>
      </c>
      <c r="BL49" s="57" t="n">
        <v>32</v>
      </c>
      <c r="BM49" s="56" t="n">
        <v>6683.04</v>
      </c>
      <c r="BN49" s="57" t="n">
        <v>0</v>
      </c>
      <c r="BO49" s="55"/>
      <c r="BP49" s="60" t="n">
        <v>0</v>
      </c>
      <c r="BQ49" s="60" t="n">
        <v>49</v>
      </c>
      <c r="BR49" s="55" t="str">
        <f aca="false">IF(U49&lt;&gt;"",UPPER(TRIM(U49)),IF(BU49=1,UPPER(VLOOKUP(T49,Parameter!$I$27:$K$29,2,0)),IF(P49="","LOSE",P49)))</f>
        <v>S81</v>
      </c>
      <c r="BS49" s="57" t="n">
        <f aca="false">IF(BR49="LOSE",1,IF(N(V49)&gt;0,V49,IF(BU49=1,MAX(1,N(VLOOKUP(T49,Parameter!$I$27:$K$29,3,0)),H49,N(N49)),IF(N(Q49)&gt;0,Q49,MAX(1,H49)))))</f>
        <v>34</v>
      </c>
      <c r="BT49" s="60" t="n">
        <f aca="false">IF(BR49="LOSE",1,0)</f>
        <v>0</v>
      </c>
      <c r="BU49" s="60" t="n">
        <f aca="false">IF(AND(U49="",OR(P49="",P49="LOSE"),T49&lt;&gt;"",N(S49)&lt;=0,ISNUMBER(MATCH(T49,Parameter!$I$27:$I$29,0))),1,0)</f>
        <v>0</v>
      </c>
      <c r="BV49" s="55" t="str">
        <f aca="false">IF(AND(Parameter!$B$19="Ja",E49&lt;&gt;"",ISNUMBER(MATCH(E49,Parameter!$I$35:$I$52,0))),VLOOKUP(E49,Parameter!$I$35:$J$52,2,0),IFERROR(VLOOKUP(D49,Parameter!$A$35:$C$64,2,0),"Nein"))</f>
        <v>2+3</v>
      </c>
      <c r="BW49" s="59" t="n">
        <f aca="false">IF(BT49=0,0,IF(N(S49)&gt;0,S49,IFERROR(VLOOKUP(D49,Parameter!$A$35:$C$64,3,0)+0,0)))</f>
        <v>0</v>
      </c>
      <c r="BX49" s="55" t="n">
        <f aca="false">IF(AA49&lt;&gt;"",AA49,Z49)</f>
        <v>2</v>
      </c>
      <c r="BY49" s="55" t="str">
        <f aca="false">IF(BX49=1,"L1",IF(OR(BX49=2,BX49=3),"L23",IF(BX49="Aussen","Aussen","-")))</f>
        <v>L23</v>
      </c>
      <c r="BZ49" s="66" t="n">
        <f aca="false">IF(N(AB49)&gt;0,AB49,0)</f>
        <v>0</v>
      </c>
      <c r="CA49" s="60" t="n">
        <f aca="false">IF(ISNUMBER(AE49),1,0)</f>
        <v>0</v>
      </c>
      <c r="CB49" s="57" t="n">
        <f aca="false">N(AE49)</f>
        <v>0</v>
      </c>
      <c r="CC49" s="57" t="n">
        <f aca="false">N(M49)+N(N49)</f>
        <v>1</v>
      </c>
      <c r="CD49" s="57" t="n">
        <f aca="false">ROUNDUP(H49/BS49,0)</f>
        <v>2</v>
      </c>
      <c r="CE49" s="57" t="n">
        <f aca="false">ROUNDUP(CB49/BS49,0)</f>
        <v>0</v>
      </c>
      <c r="CF49" s="60" t="n">
        <f aca="false">IF(BT49=1,0,IFERROR(VLOOKUP(BR49,'Gebinde-Kategorie'!$A$5:$M$45,5,0)+0,0))</f>
        <v>20</v>
      </c>
      <c r="CG49" s="60" t="n">
        <f aca="false">IFERROR(IF(OR(BX49=1,BX49=2,BX49=3),N(INDEX(Parameter!$I$5:$I$7,BX49)),0),0)</f>
        <v>0</v>
      </c>
      <c r="CH49" s="59" t="n">
        <f aca="false">IF(AND(Parameter!$B$21="Ja",ISNUMBER(W49),N(X49)&gt;0),IFERROR(N(INDEX(Parameter!$L$5:$L$7,W49))*INDEX(Parameter!$E$5:$E$7,W49)*X49/SUMIFS($X$7:$X$1843,$W$7:$W$1843,W49),0),0)</f>
        <v>0</v>
      </c>
    </row>
    <row r="50" customFormat="false" ht="15" hidden="false" customHeight="false" outlineLevel="0" collapsed="false">
      <c r="A50" s="55" t="s">
        <v>291</v>
      </c>
      <c r="B50" s="55" t="s">
        <v>292</v>
      </c>
      <c r="C50" s="55" t="s">
        <v>164</v>
      </c>
      <c r="D50" s="55" t="s">
        <v>184</v>
      </c>
      <c r="E50" s="55" t="s">
        <v>185</v>
      </c>
      <c r="F50" s="55" t="s">
        <v>218</v>
      </c>
      <c r="G50" s="56" t="n">
        <v>177.93</v>
      </c>
      <c r="H50" s="57" t="n">
        <f aca="false">MAX(0,IF(AND(Parameter!$B$21="Ja",ISNUMBER(Y50)),Y50,IF(Parameter!$B$20="Jahresanfang 2025 + Export",BL50+BK50,BK50)))</f>
        <v>55</v>
      </c>
      <c r="I50" s="57" t="n">
        <f aca="false">H50*G50</f>
        <v>9786.15</v>
      </c>
      <c r="J50" s="57" t="n">
        <f aca="false">BN50*Parameter!$B$18</f>
        <v>125</v>
      </c>
      <c r="K50" s="58" t="n">
        <v>31</v>
      </c>
      <c r="L50" s="59" t="n">
        <v>4.03225806451613</v>
      </c>
      <c r="M50" s="57" t="n">
        <v>20</v>
      </c>
      <c r="N50" s="57" t="n">
        <v>40</v>
      </c>
      <c r="O50" s="60" t="n">
        <v>30</v>
      </c>
      <c r="P50" s="55" t="s">
        <v>293</v>
      </c>
      <c r="Q50" s="57" t="n">
        <v>80</v>
      </c>
      <c r="R50" s="60" t="n">
        <f aca="false">IF(BT50=1,0,IFERROR(VLOOKUP(BR50,'Gebinde-Kategorie'!$A$5:$M$45,13,0)+0,0))</f>
        <v>12</v>
      </c>
      <c r="S50" s="61"/>
      <c r="T50" s="62"/>
      <c r="U50" s="62"/>
      <c r="V50" s="62"/>
      <c r="W50" s="55"/>
      <c r="X50" s="57"/>
      <c r="Y50" s="57"/>
      <c r="Z50" s="55" t="n">
        <f aca="false">IF(A50="","",IF(AND(Parameter!$B$21="Ja",ISNUMBER(W50)),W50,IF(BV50="2+3",IF(ISNUMBER(SEARCH("grosser Artikel",BO50)),2,IFERROR(VLOOKUP(BR50,Parameter!$F$35:$G$64,2,0),2)),IF(OR(BV50="Nein",BV50=""),"-",BV50))))</f>
        <v>2</v>
      </c>
      <c r="AA50" s="62"/>
      <c r="AB50" s="63"/>
      <c r="AC50" s="57" t="n">
        <f aca="false">AR50</f>
        <v>80</v>
      </c>
      <c r="AD50" s="57" t="n">
        <f aca="false">MAX(AR50,H50)</f>
        <v>80</v>
      </c>
      <c r="AE50" s="64"/>
      <c r="AF50" s="57" t="n">
        <f aca="false">IF(LEFT(Cockpit!$C$5,1)="A",H50,IF(CA50=1,CB50,IF(LEFT(Cockpit!$C$5,1)="B",AJ50,MAX(AJ50,H50))))</f>
        <v>55</v>
      </c>
      <c r="AG50" s="57" t="n">
        <f aca="false">IF(BT50=1,0,ROUNDUP(AF50/BS50,0))</f>
        <v>1</v>
      </c>
      <c r="AH50" s="59" t="n">
        <f aca="false">IF(CH50&gt;0,CH50*MAX(1,AF50/X50),IF(BT50=1,IF(AF50&lt;=0,0,BW50*MAX(1,IF(H50&gt;0,AF50/H50,1))),IF(R50&gt;0,AG50/R50,0))/MAX(0.1,N(Parameter!$M$21)))</f>
        <v>0.0833333333333333</v>
      </c>
      <c r="AI50" s="57" t="n">
        <f aca="false">AF50*G50</f>
        <v>9786.15</v>
      </c>
      <c r="AJ50" s="57" t="n">
        <f aca="false">ROUNDUP(MAX(J50/IF(BZ50&gt;0,BZ50,MAX(0.1,N(Cockpit!$C$6))),CC50)/BS50,0)*BS50</f>
        <v>80</v>
      </c>
      <c r="AK50" s="58" t="n">
        <f aca="false">IF(AH50&gt;0,J50/AH50,-1)</f>
        <v>1500</v>
      </c>
      <c r="AL50" s="58" t="n">
        <f aca="false">IF(AND(OR(BY50="L1",BY50="L23"),AH50&gt;0),SUMIFS($AH$7:$AH$1843,$BY$7:$BY$1843,BY50,$AK$7:$AK$1843,"&gt;"&amp;AK50)+SUMIFS($AH$7:$AH$1843,$BY$7:$BY$1843,BY50,$AK$7:$AK$1843,AK50,$BQ$7:$BQ$1843,"&lt;="&amp;BQ50),"")</f>
        <v>15.9329414546806</v>
      </c>
      <c r="AM50" s="65" t="n">
        <f aca="false">IF(AL50="",0,MAX(0,MIN(1,(IF(BY50="L1",Parameter!$E$5,Parameter!$E$6+Parameter!$E$7)-(AL50-AH50))/AH50)))</f>
        <v>1</v>
      </c>
      <c r="AN50" s="57" t="n">
        <f aca="false">IF(LEFT(Cockpit!$I$5,1)="A",H50,IF(CA50=1,CB50,IF(LEFT(Cockpit!$I$5,1)="B",AR50,MAX(AR50,H50))))</f>
        <v>80</v>
      </c>
      <c r="AO50" s="57" t="n">
        <f aca="false">IF(BT50=1,0,ROUNDUP(AN50/BS50,0))</f>
        <v>1</v>
      </c>
      <c r="AP50" s="59" t="n">
        <f aca="false">IF(CH50&gt;0,CH50*MAX(1,AN50/X50),IF(BT50=1,IF(AN50&lt;=0,0,BW50*MAX(1,IF(H50&gt;0,AN50/H50,1))),IF(R50&gt;0,AO50/R50,0))/MAX(0.1,N(Parameter!$M$21)))</f>
        <v>0.0833333333333333</v>
      </c>
      <c r="AQ50" s="57" t="n">
        <f aca="false">AN50*G50</f>
        <v>14234.4</v>
      </c>
      <c r="AR50" s="57" t="n">
        <f aca="false">ROUNDUP(MAX(J50/IF(BZ50&gt;0,BZ50,MAX(0.1,N(Cockpit!$I$6))),CC50)/BS50,0)*BS50</f>
        <v>80</v>
      </c>
      <c r="AS50" s="58" t="n">
        <f aca="false">IF(AP50&gt;0,J50/AP50,-1)</f>
        <v>1500</v>
      </c>
      <c r="AT50" s="58" t="n">
        <f aca="false">IF(AND(OR(BY50="L1",BY50="L23"),AP50&gt;0),SUMIFS($AP$7:$AP$1843,$BY$7:$BY$1843,BY50,$AS$7:$AS$1843,"&gt;"&amp;AS50)+SUMIFS($AP$7:$AP$1843,$BY$7:$BY$1843,BY50,$AS$7:$AS$1843,AS50,$BQ$7:$BQ$1843,"&lt;="&amp;BQ50),"")</f>
        <v>20.5425914665045</v>
      </c>
      <c r="AU50" s="65" t="n">
        <f aca="false">IF(AT50="",0,MAX(0,MIN(1,(IF(BY50="L1",Parameter!$E$5,Parameter!$E$6+Parameter!$E$7)-(AT50-AP50))/AP50)))</f>
        <v>1</v>
      </c>
      <c r="AV50" s="57" t="n">
        <f aca="false">IF(LEFT(Cockpit!$O$5,1)="A",H50,IF(CA50=1,CB50,IF(LEFT(Cockpit!$O$5,1)="B",AZ50,MAX(AZ50,H50))))</f>
        <v>80</v>
      </c>
      <c r="AW50" s="57" t="n">
        <f aca="false">IF(BT50=1,0,ROUNDUP(AV50/BS50,0))</f>
        <v>1</v>
      </c>
      <c r="AX50" s="59" t="n">
        <f aca="false">IF(CH50&gt;0,CH50*MAX(1,AV50/X50),IF(BT50=1,IF(AV50&lt;=0,0,BW50*MAX(1,IF(H50&gt;0,AV50/H50,1))),IF(R50&gt;0,AW50/R50,0))/MAX(0.1,N(Parameter!$M$21)))</f>
        <v>0.0833333333333333</v>
      </c>
      <c r="AY50" s="57" t="n">
        <f aca="false">AV50*G50</f>
        <v>14234.4</v>
      </c>
      <c r="AZ50" s="57" t="n">
        <f aca="false">ROUNDUP(MAX(J50/IF(BZ50&gt;0,BZ50,MAX(0.1,N(Cockpit!$O$6))),CC50)/BS50,0)*BS50</f>
        <v>80</v>
      </c>
      <c r="BA50" s="58" t="n">
        <f aca="false">IF(AX50&gt;0,J50/AX50,-1)</f>
        <v>1500</v>
      </c>
      <c r="BB50" s="58" t="n">
        <f aca="false">IF(AND(OR(BY50="L1",BY50="L23"),AX50&gt;0),SUMIFS($AX$7:$AX$1843,$BY$7:$BY$1843,BY50,$BA$7:$BA$1843,"&gt;"&amp;BA50)+SUMIFS($AX$7:$AX$1843,$BY$7:$BY$1843,BY50,$BA$7:$BA$1843,BA50,$BQ$7:$BQ$1843,"&lt;="&amp;BQ50),"")</f>
        <v>19.4044795783926</v>
      </c>
      <c r="BC50" s="65" t="n">
        <f aca="false">IF(BB50="",0,MAX(0,MIN(1,(IF(BY50="L1",Parameter!$E$5,Parameter!$E$6+Parameter!$E$7)-(BB50-AX50))/AX50)))</f>
        <v>1</v>
      </c>
      <c r="BD50" s="55" t="str">
        <f aca="false">IF(AH50&lt;=0,"",IF(BY50="Aussen","Aussenlager",IF(BY50="-","Nicht im Lift",IF(AM50&gt;=1,"Lift",IF(AM50&lt;=0,"Aussenlager","teilweise")))))</f>
        <v>Lift</v>
      </c>
      <c r="BE50" s="55" t="str">
        <f aca="false">IF(AP50&lt;=0,"",IF(BY50="Aussen","Aussenlager",IF(BY50="-","Nicht im Lift",IF(AU50&gt;=1,"Lift",IF(AU50&lt;=0,"Aussenlager","teilweise")))))</f>
        <v>Lift</v>
      </c>
      <c r="BF50" s="55" t="str">
        <f aca="false">IF(AX50&lt;=0,"",IF(BY50="Aussen","Aussenlager",IF(BY50="-","Nicht im Lift",IF(BC50&gt;=1,"Lift",IF(BC50&lt;=0,"Aussenlager","teilweise")))))</f>
        <v>Lift</v>
      </c>
      <c r="BG50" s="55" t="str">
        <f aca="false">IF(A50="","",IF(BP50=1,"Neu; ","")&amp;IF(AND(BP50=0,BK50&lt;0),"negativer Bestand (Export "&amp;BK50&amp;"); ","")&amp;IF(J50&lt;=0,"Kein Verbrauch; ","")&amp;IF(CH50&gt;0,"Lift "&amp;W50&amp;" lt. Liftbericht (Fach "&amp;X50&amp;" Stk); ",IF(BU50=1,"Gebinde geschätzt ("&amp;T50&amp;"); ",IF(BT50=1,"Lose – Tablare geschätzt; ","")))&amp;IF(H50&gt;AR50,"Überbestand "&amp;ROUND(H50-AR50,0)&amp;" Stk / CHF "&amp;ROUND((H50-AR50)*G50,0)&amp;"; ","")&amp;IF(AND(CA50=1,CB50&lt;CC50),"MAX &lt; MB+LG; ","")&amp;IF(AND(CG50&gt;0,CF50*10&gt;CG50),"zu hoch für Tablar; ","")&amp;IF(AND(BP50=0,OR(CA50=1,AA50&lt;&gt;"",U50&lt;&gt;"",V50&lt;&gt;"",AB50&lt;&gt;"")),"manuell übersteuert; ","")&amp;IF(AND(BT50=0,R50=0),"Gebinde unbekannt / Stellmass fehlt; ","")&amp;IF(AND(BT50=0,N(V50)&lt;=0,N(Q50)&lt;=0),"Menge pro Gebinde fehlt (Ist = 1 Gebinde); ","")&amp;BO50)</f>
        <v/>
      </c>
      <c r="BH50" s="55"/>
      <c r="BI50" s="55"/>
      <c r="BJ50" s="62"/>
      <c r="BK50" s="57" t="n">
        <v>36</v>
      </c>
      <c r="BL50" s="57" t="n">
        <v>19</v>
      </c>
      <c r="BM50" s="56" t="n">
        <v>6622.65</v>
      </c>
      <c r="BN50" s="57" t="n">
        <v>125</v>
      </c>
      <c r="BO50" s="55"/>
      <c r="BP50" s="60" t="n">
        <v>0</v>
      </c>
      <c r="BQ50" s="60" t="n">
        <v>50</v>
      </c>
      <c r="BR50" s="55" t="str">
        <f aca="false">IF(U50&lt;&gt;"",UPPER(TRIM(U50)),IF(BU50=1,UPPER(VLOOKUP(T50,Parameter!$I$27:$K$29,2,0)),IF(P50="","LOSE",P50)))</f>
        <v>S62</v>
      </c>
      <c r="BS50" s="57" t="n">
        <f aca="false">IF(BR50="LOSE",1,IF(N(V50)&gt;0,V50,IF(BU50=1,MAX(1,N(VLOOKUP(T50,Parameter!$I$27:$K$29,3,0)),H50,N(N50)),IF(N(Q50)&gt;0,Q50,MAX(1,H50)))))</f>
        <v>80</v>
      </c>
      <c r="BT50" s="60" t="n">
        <f aca="false">IF(BR50="LOSE",1,0)</f>
        <v>0</v>
      </c>
      <c r="BU50" s="60" t="n">
        <f aca="false">IF(AND(U50="",OR(P50="",P50="LOSE"),T50&lt;&gt;"",N(S50)&lt;=0,ISNUMBER(MATCH(T50,Parameter!$I$27:$I$29,0))),1,0)</f>
        <v>0</v>
      </c>
      <c r="BV50" s="55" t="str">
        <f aca="false">IF(AND(Parameter!$B$19="Ja",E50&lt;&gt;"",ISNUMBER(MATCH(E50,Parameter!$I$35:$I$52,0))),VLOOKUP(E50,Parameter!$I$35:$J$52,2,0),IFERROR(VLOOKUP(D50,Parameter!$A$35:$C$64,2,0),"Nein"))</f>
        <v>2+3</v>
      </c>
      <c r="BW50" s="59" t="n">
        <f aca="false">IF(BT50=0,0,IF(N(S50)&gt;0,S50,IFERROR(VLOOKUP(D50,Parameter!$A$35:$C$64,3,0)+0,0)))</f>
        <v>0</v>
      </c>
      <c r="BX50" s="55" t="n">
        <f aca="false">IF(AA50&lt;&gt;"",AA50,Z50)</f>
        <v>2</v>
      </c>
      <c r="BY50" s="55" t="str">
        <f aca="false">IF(BX50=1,"L1",IF(OR(BX50=2,BX50=3),"L23",IF(BX50="Aussen","Aussen","-")))</f>
        <v>L23</v>
      </c>
      <c r="BZ50" s="66" t="n">
        <f aca="false">IF(N(AB50)&gt;0,AB50,0)</f>
        <v>0</v>
      </c>
      <c r="CA50" s="60" t="n">
        <f aca="false">IF(ISNUMBER(AE50),1,0)</f>
        <v>0</v>
      </c>
      <c r="CB50" s="57" t="n">
        <f aca="false">N(AE50)</f>
        <v>0</v>
      </c>
      <c r="CC50" s="57" t="n">
        <f aca="false">N(M50)+N(N50)</f>
        <v>60</v>
      </c>
      <c r="CD50" s="57" t="n">
        <f aca="false">ROUNDUP(H50/BS50,0)</f>
        <v>1</v>
      </c>
      <c r="CE50" s="57" t="n">
        <f aca="false">ROUNDUP(CB50/BS50,0)</f>
        <v>0</v>
      </c>
      <c r="CF50" s="60" t="n">
        <f aca="false">IF(BT50=1,0,IFERROR(VLOOKUP(BR50,'Gebinde-Kategorie'!$A$5:$M$45,5,0)+0,0))</f>
        <v>21</v>
      </c>
      <c r="CG50" s="60" t="n">
        <f aca="false">IFERROR(IF(OR(BX50=1,BX50=2,BX50=3),N(INDEX(Parameter!$I$5:$I$7,BX50)),0),0)</f>
        <v>0</v>
      </c>
      <c r="CH50" s="59" t="n">
        <f aca="false">IF(AND(Parameter!$B$21="Ja",ISNUMBER(W50),N(X50)&gt;0),IFERROR(N(INDEX(Parameter!$L$5:$L$7,W50))*INDEX(Parameter!$E$5:$E$7,W50)*X50/SUMIFS($X$7:$X$1843,$W$7:$W$1843,W50),0),0)</f>
        <v>0</v>
      </c>
    </row>
    <row r="51" customFormat="false" ht="15" hidden="false" customHeight="false" outlineLevel="0" collapsed="false">
      <c r="A51" s="55" t="s">
        <v>294</v>
      </c>
      <c r="B51" s="55" t="s">
        <v>295</v>
      </c>
      <c r="C51" s="55" t="s">
        <v>164</v>
      </c>
      <c r="D51" s="55" t="s">
        <v>184</v>
      </c>
      <c r="E51" s="55" t="s">
        <v>185</v>
      </c>
      <c r="F51" s="55" t="s">
        <v>218</v>
      </c>
      <c r="G51" s="56" t="n">
        <v>16.16</v>
      </c>
      <c r="H51" s="57" t="n">
        <f aca="false">MAX(0,IF(AND(Parameter!$B$21="Ja",ISNUMBER(Y51)),Y51,IF(Parameter!$B$20="Jahresanfang 2025 + Export",BL51+BK51,BK51)))</f>
        <v>444</v>
      </c>
      <c r="I51" s="57" t="n">
        <f aca="false">H51*G51</f>
        <v>7175.04</v>
      </c>
      <c r="J51" s="57" t="n">
        <f aca="false">BN51*Parameter!$B$18</f>
        <v>714</v>
      </c>
      <c r="K51" s="58" t="n">
        <v>155.5</v>
      </c>
      <c r="L51" s="59" t="n">
        <v>4.59163987138264</v>
      </c>
      <c r="M51" s="57" t="n">
        <v>110</v>
      </c>
      <c r="N51" s="57" t="n">
        <v>330</v>
      </c>
      <c r="O51" s="60" t="n">
        <v>56</v>
      </c>
      <c r="P51" s="55" t="s">
        <v>233</v>
      </c>
      <c r="Q51" s="57" t="n">
        <v>174</v>
      </c>
      <c r="R51" s="60" t="n">
        <f aca="false">IF(BT51=1,0,IFERROR(VLOOKUP(BR51,'Gebinde-Kategorie'!$A$5:$M$45,13,0)+0,0))</f>
        <v>26</v>
      </c>
      <c r="S51" s="61"/>
      <c r="T51" s="62"/>
      <c r="U51" s="62"/>
      <c r="V51" s="62"/>
      <c r="W51" s="55"/>
      <c r="X51" s="57"/>
      <c r="Y51" s="57"/>
      <c r="Z51" s="55" t="n">
        <f aca="false">IF(A51="","",IF(AND(Parameter!$B$21="Ja",ISNUMBER(W51)),W51,IF(BV51="2+3",IF(ISNUMBER(SEARCH("grosser Artikel",BO51)),2,IFERROR(VLOOKUP(BR51,Parameter!$F$35:$G$64,2,0),2)),IF(OR(BV51="Nein",BV51=""),"-",BV51))))</f>
        <v>3</v>
      </c>
      <c r="AA51" s="62"/>
      <c r="AB51" s="63"/>
      <c r="AC51" s="57" t="n">
        <f aca="false">AR51</f>
        <v>522</v>
      </c>
      <c r="AD51" s="57" t="n">
        <f aca="false">MAX(AR51,H51)</f>
        <v>522</v>
      </c>
      <c r="AE51" s="64"/>
      <c r="AF51" s="57" t="n">
        <f aca="false">IF(LEFT(Cockpit!$C$5,1)="A",H51,IF(CA51=1,CB51,IF(LEFT(Cockpit!$C$5,1)="B",AJ51,MAX(AJ51,H51))))</f>
        <v>444</v>
      </c>
      <c r="AG51" s="57" t="n">
        <f aca="false">IF(BT51=1,0,ROUNDUP(AF51/BS51,0))</f>
        <v>3</v>
      </c>
      <c r="AH51" s="59" t="n">
        <f aca="false">IF(CH51&gt;0,CH51*MAX(1,AF51/X51),IF(BT51=1,IF(AF51&lt;=0,0,BW51*MAX(1,IF(H51&gt;0,AF51/H51,1))),IF(R51&gt;0,AG51/R51,0))/MAX(0.1,N(Parameter!$M$21)))</f>
        <v>0.115384615384615</v>
      </c>
      <c r="AI51" s="57" t="n">
        <f aca="false">AF51*G51</f>
        <v>7175.04</v>
      </c>
      <c r="AJ51" s="57" t="n">
        <f aca="false">ROUNDUP(MAX(J51/IF(BZ51&gt;0,BZ51,MAX(0.1,N(Cockpit!$C$6))),CC51)/BS51,0)*BS51</f>
        <v>522</v>
      </c>
      <c r="AK51" s="58" t="n">
        <f aca="false">IF(AH51&gt;0,J51/AH51,-1)</f>
        <v>6188</v>
      </c>
      <c r="AL51" s="58" t="n">
        <f aca="false">IF(AND(OR(BY51="L1",BY51="L23"),AH51&gt;0),SUMIFS($AH$7:$AH$1843,$BY$7:$BY$1843,BY51,$AK$7:$AK$1843,"&gt;"&amp;AK51)+SUMIFS($AH$7:$AH$1843,$BY$7:$BY$1843,BY51,$AK$7:$AK$1843,AK51,$BQ$7:$BQ$1843,"&lt;="&amp;BQ51),"")</f>
        <v>6.58859497989933</v>
      </c>
      <c r="AM51" s="65" t="n">
        <f aca="false">IF(AL51="",0,MAX(0,MIN(1,(IF(BY51="L1",Parameter!$E$5,Parameter!$E$6+Parameter!$E$7)-(AL51-AH51))/AH51)))</f>
        <v>1</v>
      </c>
      <c r="AN51" s="57" t="n">
        <f aca="false">IF(LEFT(Cockpit!$I$5,1)="A",H51,IF(CA51=1,CB51,IF(LEFT(Cockpit!$I$5,1)="B",AR51,MAX(AR51,H51))))</f>
        <v>522</v>
      </c>
      <c r="AO51" s="57" t="n">
        <f aca="false">IF(BT51=1,0,ROUNDUP(AN51/BS51,0))</f>
        <v>3</v>
      </c>
      <c r="AP51" s="59" t="n">
        <f aca="false">IF(CH51&gt;0,CH51*MAX(1,AN51/X51),IF(BT51=1,IF(AN51&lt;=0,0,BW51*MAX(1,IF(H51&gt;0,AN51/H51,1))),IF(R51&gt;0,AO51/R51,0))/MAX(0.1,N(Parameter!$M$21)))</f>
        <v>0.115384615384615</v>
      </c>
      <c r="AQ51" s="57" t="n">
        <f aca="false">AN51*G51</f>
        <v>8435.52</v>
      </c>
      <c r="AR51" s="57" t="n">
        <f aca="false">ROUNDUP(MAX(J51/IF(BZ51&gt;0,BZ51,MAX(0.1,N(Cockpit!$I$6))),CC51)/BS51,0)*BS51</f>
        <v>522</v>
      </c>
      <c r="AS51" s="58" t="n">
        <f aca="false">IF(AP51&gt;0,J51/AP51,-1)</f>
        <v>6188</v>
      </c>
      <c r="AT51" s="58" t="n">
        <f aca="false">IF(AND(OR(BY51="L1",BY51="L23"),AP51&gt;0),SUMIFS($AP$7:$AP$1843,$BY$7:$BY$1843,BY51,$AS$7:$AS$1843,"&gt;"&amp;AS51)+SUMIFS($AP$7:$AP$1843,$BY$7:$BY$1843,BY51,$AS$7:$AS$1843,AS51,$BQ$7:$BQ$1843,"&lt;="&amp;BQ51),"")</f>
        <v>11.2419006114658</v>
      </c>
      <c r="AU51" s="65" t="n">
        <f aca="false">IF(AT51="",0,MAX(0,MIN(1,(IF(BY51="L1",Parameter!$E$5,Parameter!$E$6+Parameter!$E$7)-(AT51-AP51))/AP51)))</f>
        <v>1</v>
      </c>
      <c r="AV51" s="57" t="n">
        <f aca="false">IF(LEFT(Cockpit!$O$5,1)="A",H51,IF(CA51=1,CB51,IF(LEFT(Cockpit!$O$5,1)="B",AZ51,MAX(AZ51,H51))))</f>
        <v>522</v>
      </c>
      <c r="AW51" s="57" t="n">
        <f aca="false">IF(BT51=1,0,ROUNDUP(AV51/BS51,0))</f>
        <v>3</v>
      </c>
      <c r="AX51" s="59" t="n">
        <f aca="false">IF(CH51&gt;0,CH51*MAX(1,AV51/X51),IF(BT51=1,IF(AV51&lt;=0,0,BW51*MAX(1,IF(H51&gt;0,AV51/H51,1))),IF(R51&gt;0,AW51/R51,0))/MAX(0.1,N(Parameter!$M$21)))</f>
        <v>0.115384615384615</v>
      </c>
      <c r="AY51" s="57" t="n">
        <f aca="false">AV51*G51</f>
        <v>8435.52</v>
      </c>
      <c r="AZ51" s="57" t="n">
        <f aca="false">ROUNDUP(MAX(J51/IF(BZ51&gt;0,BZ51,MAX(0.1,N(Cockpit!$O$6))),CC51)/BS51,0)*BS51</f>
        <v>522</v>
      </c>
      <c r="BA51" s="58" t="n">
        <f aca="false">IF(AX51&gt;0,J51/AX51,-1)</f>
        <v>6188</v>
      </c>
      <c r="BB51" s="58" t="n">
        <f aca="false">IF(AND(OR(BY51="L1",BY51="L23"),AX51&gt;0),SUMIFS($AX$7:$AX$1843,$BY$7:$BY$1843,BY51,$BA$7:$BA$1843,"&gt;"&amp;BA51)+SUMIFS($AX$7:$AX$1843,$BY$7:$BY$1843,BY51,$BA$7:$BA$1843,BA51,$BQ$7:$BQ$1843,"&lt;="&amp;BQ51),"")</f>
        <v>9.92430154386676</v>
      </c>
      <c r="BC51" s="65" t="n">
        <f aca="false">IF(BB51="",0,MAX(0,MIN(1,(IF(BY51="L1",Parameter!$E$5,Parameter!$E$6+Parameter!$E$7)-(BB51-AX51))/AX51)))</f>
        <v>1</v>
      </c>
      <c r="BD51" s="55" t="str">
        <f aca="false">IF(AH51&lt;=0,"",IF(BY51="Aussen","Aussenlager",IF(BY51="-","Nicht im Lift",IF(AM51&gt;=1,"Lift",IF(AM51&lt;=0,"Aussenlager","teilweise")))))</f>
        <v>Lift</v>
      </c>
      <c r="BE51" s="55" t="str">
        <f aca="false">IF(AP51&lt;=0,"",IF(BY51="Aussen","Aussenlager",IF(BY51="-","Nicht im Lift",IF(AU51&gt;=1,"Lift",IF(AU51&lt;=0,"Aussenlager","teilweise")))))</f>
        <v>Lift</v>
      </c>
      <c r="BF51" s="55" t="str">
        <f aca="false">IF(AX51&lt;=0,"",IF(BY51="Aussen","Aussenlager",IF(BY51="-","Nicht im Lift",IF(BC51&gt;=1,"Lift",IF(BC51&lt;=0,"Aussenlager","teilweise")))))</f>
        <v>Lift</v>
      </c>
      <c r="BG51" s="55" t="str">
        <f aca="false">IF(A51="","",IF(BP51=1,"Neu; ","")&amp;IF(AND(BP51=0,BK51&lt;0),"negativer Bestand (Export "&amp;BK51&amp;"); ","")&amp;IF(J51&lt;=0,"Kein Verbrauch; ","")&amp;IF(CH51&gt;0,"Lift "&amp;W51&amp;" lt. Liftbericht (Fach "&amp;X51&amp;" Stk); ",IF(BU51=1,"Gebinde geschätzt ("&amp;T51&amp;"); ",IF(BT51=1,"Lose – Tablare geschätzt; ","")))&amp;IF(H51&gt;AR51,"Überbestand "&amp;ROUND(H51-AR51,0)&amp;" Stk / CHF "&amp;ROUND((H51-AR51)*G51,0)&amp;"; ","")&amp;IF(AND(CA51=1,CB51&lt;CC51),"MAX &lt; MB+LG; ","")&amp;IF(AND(CG51&gt;0,CF51*10&gt;CG51),"zu hoch für Tablar; ","")&amp;IF(AND(BP51=0,OR(CA51=1,AA51&lt;&gt;"",U51&lt;&gt;"",V51&lt;&gt;"",AB51&lt;&gt;"")),"manuell übersteuert; ","")&amp;IF(AND(BT51=0,R51=0),"Gebinde unbekannt / Stellmass fehlt; ","")&amp;IF(AND(BT51=0,N(V51)&lt;=0,N(Q51)&lt;=0),"Menge pro Gebinde fehlt (Ist = 1 Gebinde); ","")&amp;BO51)</f>
        <v/>
      </c>
      <c r="BH51" s="55"/>
      <c r="BI51" s="55"/>
      <c r="BJ51" s="62"/>
      <c r="BK51" s="57" t="n">
        <v>399</v>
      </c>
      <c r="BL51" s="57" t="n">
        <v>45</v>
      </c>
      <c r="BM51" s="56" t="n">
        <v>6570.69</v>
      </c>
      <c r="BN51" s="57" t="n">
        <v>714</v>
      </c>
      <c r="BO51" s="55"/>
      <c r="BP51" s="60" t="n">
        <v>0</v>
      </c>
      <c r="BQ51" s="60" t="n">
        <v>51</v>
      </c>
      <c r="BR51" s="55" t="str">
        <f aca="false">IF(U51&lt;&gt;"",UPPER(TRIM(U51)),IF(BU51=1,UPPER(VLOOKUP(T51,Parameter!$I$27:$K$29,2,0)),IF(P51="","LOSE",P51)))</f>
        <v>S52</v>
      </c>
      <c r="BS51" s="57" t="n">
        <f aca="false">IF(BR51="LOSE",1,IF(N(V51)&gt;0,V51,IF(BU51=1,MAX(1,N(VLOOKUP(T51,Parameter!$I$27:$K$29,3,0)),H51,N(N51)),IF(N(Q51)&gt;0,Q51,MAX(1,H51)))))</f>
        <v>174</v>
      </c>
      <c r="BT51" s="60" t="n">
        <f aca="false">IF(BR51="LOSE",1,0)</f>
        <v>0</v>
      </c>
      <c r="BU51" s="60" t="n">
        <f aca="false">IF(AND(U51="",OR(P51="",P51="LOSE"),T51&lt;&gt;"",N(S51)&lt;=0,ISNUMBER(MATCH(T51,Parameter!$I$27:$I$29,0))),1,0)</f>
        <v>0</v>
      </c>
      <c r="BV51" s="55" t="str">
        <f aca="false">IF(AND(Parameter!$B$19="Ja",E51&lt;&gt;"",ISNUMBER(MATCH(E51,Parameter!$I$35:$I$52,0))),VLOOKUP(E51,Parameter!$I$35:$J$52,2,0),IFERROR(VLOOKUP(D51,Parameter!$A$35:$C$64,2,0),"Nein"))</f>
        <v>2+3</v>
      </c>
      <c r="BW51" s="59" t="n">
        <f aca="false">IF(BT51=0,0,IF(N(S51)&gt;0,S51,IFERROR(VLOOKUP(D51,Parameter!$A$35:$C$64,3,0)+0,0)))</f>
        <v>0</v>
      </c>
      <c r="BX51" s="55" t="n">
        <f aca="false">IF(AA51&lt;&gt;"",AA51,Z51)</f>
        <v>3</v>
      </c>
      <c r="BY51" s="55" t="str">
        <f aca="false">IF(BX51=1,"L1",IF(OR(BX51=2,BX51=3),"L23",IF(BX51="Aussen","Aussen","-")))</f>
        <v>L23</v>
      </c>
      <c r="BZ51" s="66" t="n">
        <f aca="false">IF(N(AB51)&gt;0,AB51,0)</f>
        <v>0</v>
      </c>
      <c r="CA51" s="60" t="n">
        <f aca="false">IF(ISNUMBER(AE51),1,0)</f>
        <v>0</v>
      </c>
      <c r="CB51" s="57" t="n">
        <f aca="false">N(AE51)</f>
        <v>0</v>
      </c>
      <c r="CC51" s="57" t="n">
        <f aca="false">N(M51)+N(N51)</f>
        <v>440</v>
      </c>
      <c r="CD51" s="57" t="n">
        <f aca="false">ROUNDUP(H51/BS51,0)</f>
        <v>3</v>
      </c>
      <c r="CE51" s="57" t="n">
        <f aca="false">ROUNDUP(CB51/BS51,0)</f>
        <v>0</v>
      </c>
      <c r="CF51" s="60" t="n">
        <f aca="false">IF(BT51=1,0,IFERROR(VLOOKUP(BR51,'Gebinde-Kategorie'!$A$5:$M$45,5,0)+0,0))</f>
        <v>21</v>
      </c>
      <c r="CG51" s="60" t="n">
        <f aca="false">IFERROR(IF(OR(BX51=1,BX51=2,BX51=3),N(INDEX(Parameter!$I$5:$I$7,BX51)),0),0)</f>
        <v>0</v>
      </c>
      <c r="CH51" s="59" t="n">
        <f aca="false">IF(AND(Parameter!$B$21="Ja",ISNUMBER(W51),N(X51)&gt;0),IFERROR(N(INDEX(Parameter!$L$5:$L$7,W51))*INDEX(Parameter!$E$5:$E$7,W51)*X51/SUMIFS($X$7:$X$1843,$W$7:$W$1843,W51),0),0)</f>
        <v>0</v>
      </c>
    </row>
    <row r="52" customFormat="false" ht="15" hidden="false" customHeight="false" outlineLevel="0" collapsed="false">
      <c r="A52" s="55" t="s">
        <v>296</v>
      </c>
      <c r="B52" s="55" t="s">
        <v>297</v>
      </c>
      <c r="C52" s="55" t="s">
        <v>164</v>
      </c>
      <c r="D52" s="55" t="s">
        <v>165</v>
      </c>
      <c r="E52" s="55" t="s">
        <v>166</v>
      </c>
      <c r="F52" s="55" t="s">
        <v>218</v>
      </c>
      <c r="G52" s="56" t="n">
        <v>197.24</v>
      </c>
      <c r="H52" s="57" t="n">
        <f aca="false">MAX(0,IF(AND(Parameter!$B$21="Ja",ISNUMBER(Y52)),Y52,IF(Parameter!$B$20="Jahresanfang 2025 + Export",BL52+BK52,BK52)))</f>
        <v>34</v>
      </c>
      <c r="I52" s="57" t="n">
        <f aca="false">H52*G52</f>
        <v>6706.16</v>
      </c>
      <c r="J52" s="57" t="n">
        <f aca="false">BN52*Parameter!$B$18</f>
        <v>48</v>
      </c>
      <c r="K52" s="58" t="n">
        <v>10.5</v>
      </c>
      <c r="L52" s="59" t="n">
        <v>4.57142857142857</v>
      </c>
      <c r="M52" s="57" t="n">
        <v>10</v>
      </c>
      <c r="N52" s="57" t="n">
        <v>12</v>
      </c>
      <c r="O52" s="60" t="n">
        <v>70</v>
      </c>
      <c r="P52" s="55" t="s">
        <v>168</v>
      </c>
      <c r="Q52" s="57"/>
      <c r="R52" s="60" t="n">
        <f aca="false">IF(BT52=1,0,IFERROR(VLOOKUP(BR52,'Gebinde-Kategorie'!$A$5:$M$45,13,0)+0,0))</f>
        <v>0</v>
      </c>
      <c r="S52" s="61"/>
      <c r="T52" s="62"/>
      <c r="U52" s="62"/>
      <c r="V52" s="62"/>
      <c r="W52" s="55" t="n">
        <v>1</v>
      </c>
      <c r="X52" s="57" t="n">
        <v>36</v>
      </c>
      <c r="Y52" s="57" t="n">
        <v>34</v>
      </c>
      <c r="Z52" s="55" t="n">
        <f aca="false">IF(A52="","",IF(AND(Parameter!$B$21="Ja",ISNUMBER(W52)),W52,IF(BV52="2+3",IF(ISNUMBER(SEARCH("grosser Artikel",BO52)),2,IFERROR(VLOOKUP(BR52,Parameter!$F$35:$G$64,2,0),2)),IF(OR(BV52="Nein",BV52=""),"-",BV52))))</f>
        <v>1</v>
      </c>
      <c r="AA52" s="62"/>
      <c r="AB52" s="63"/>
      <c r="AC52" s="57" t="n">
        <f aca="false">AR52</f>
        <v>24</v>
      </c>
      <c r="AD52" s="57" t="n">
        <f aca="false">MAX(AR52,H52)</f>
        <v>34</v>
      </c>
      <c r="AE52" s="64"/>
      <c r="AF52" s="57" t="n">
        <f aca="false">IF(LEFT(Cockpit!$C$5,1)="A",H52,IF(CA52=1,CB52,IF(LEFT(Cockpit!$C$5,1)="B",AJ52,MAX(AJ52,H52))))</f>
        <v>34</v>
      </c>
      <c r="AG52" s="57" t="n">
        <f aca="false">IF(BT52=1,0,ROUNDUP(AF52/BS52,0))</f>
        <v>0</v>
      </c>
      <c r="AH52" s="59" t="n">
        <f aca="false">IF(CH52&gt;0,CH52*MAX(1,AF52/X52),IF(BT52=1,IF(AF52&lt;=0,0,BW52*MAX(1,IF(H52&gt;0,AF52/H52,1))),IF(R52&gt;0,AG52/R52,0))/MAX(0.1,N(Parameter!$M$21)))</f>
        <v>2.88135593220339</v>
      </c>
      <c r="AI52" s="57" t="n">
        <f aca="false">AF52*G52</f>
        <v>6706.16</v>
      </c>
      <c r="AJ52" s="57" t="n">
        <f aca="false">ROUNDUP(MAX(J52/IF(BZ52&gt;0,BZ52,MAX(0.1,N(Cockpit!$C$6))),CC52)/BS52,0)*BS52</f>
        <v>24</v>
      </c>
      <c r="AK52" s="58" t="n">
        <f aca="false">IF(AH52&gt;0,J52/AH52,-1)</f>
        <v>16.6588235294118</v>
      </c>
      <c r="AL52" s="58" t="n">
        <f aca="false">IF(AND(OR(BY52="L1",BY52="L23"),AH52&gt;0),SUMIFS($AH$7:$AH$1843,$BY$7:$BY$1843,BY52,$AK$7:$AK$1843,"&gt;"&amp;AK52)+SUMIFS($AH$7:$AH$1843,$BY$7:$BY$1843,BY52,$AK$7:$AK$1843,AK52,$BQ$7:$BQ$1843,"&lt;="&amp;BQ52),"")</f>
        <v>26.339348361456</v>
      </c>
      <c r="AM52" s="65" t="n">
        <f aca="false">IF(AL52="",0,MAX(0,MIN(1,(IF(BY52="L1",Parameter!$E$5,Parameter!$E$6+Parameter!$E$7)-(AL52-AH52))/AH52)))</f>
        <v>1</v>
      </c>
      <c r="AN52" s="57" t="n">
        <f aca="false">IF(LEFT(Cockpit!$I$5,1)="A",H52,IF(CA52=1,CB52,IF(LEFT(Cockpit!$I$5,1)="B",AR52,MAX(AR52,H52))))</f>
        <v>34</v>
      </c>
      <c r="AO52" s="57" t="n">
        <f aca="false">IF(BT52=1,0,ROUNDUP(AN52/BS52,0))</f>
        <v>0</v>
      </c>
      <c r="AP52" s="59" t="n">
        <f aca="false">IF(CH52&gt;0,CH52*MAX(1,AN52/X52),IF(BT52=1,IF(AN52&lt;=0,0,BW52*MAX(1,IF(H52&gt;0,AN52/H52,1))),IF(R52&gt;0,AO52/R52,0))/MAX(0.1,N(Parameter!$M$21)))</f>
        <v>2.88135593220339</v>
      </c>
      <c r="AQ52" s="57" t="n">
        <f aca="false">AN52*G52</f>
        <v>6706.16</v>
      </c>
      <c r="AR52" s="57" t="n">
        <f aca="false">ROUNDUP(MAX(J52/IF(BZ52&gt;0,BZ52,MAX(0.1,N(Cockpit!$I$6))),CC52)/BS52,0)*BS52</f>
        <v>24</v>
      </c>
      <c r="AS52" s="58" t="n">
        <f aca="false">IF(AP52&gt;0,J52/AP52,-1)</f>
        <v>16.6588235294118</v>
      </c>
      <c r="AT52" s="58" t="n">
        <f aca="false">IF(AND(OR(BY52="L1",BY52="L23"),AP52&gt;0),SUMIFS($AP$7:$AP$1843,$BY$7:$BY$1843,BY52,$AS$7:$AS$1843,"&gt;"&amp;AS52)+SUMIFS($AP$7:$AP$1843,$BY$7:$BY$1843,BY52,$AS$7:$AS$1843,AS52,$BQ$7:$BQ$1843,"&lt;="&amp;BQ52),"")</f>
        <v>39.5980040184167</v>
      </c>
      <c r="AU52" s="65" t="n">
        <f aca="false">IF(AT52="",0,MAX(0,MIN(1,(IF(BY52="L1",Parameter!$E$5,Parameter!$E$6+Parameter!$E$7)-(AT52-AP52))/AP52)))</f>
        <v>1</v>
      </c>
      <c r="AV52" s="57" t="n">
        <f aca="false">IF(LEFT(Cockpit!$O$5,1)="A",H52,IF(CA52=1,CB52,IF(LEFT(Cockpit!$O$5,1)="B",AZ52,MAX(AZ52,H52))))</f>
        <v>34</v>
      </c>
      <c r="AW52" s="57" t="n">
        <f aca="false">IF(BT52=1,0,ROUNDUP(AV52/BS52,0))</f>
        <v>0</v>
      </c>
      <c r="AX52" s="59" t="n">
        <f aca="false">IF(CH52&gt;0,CH52*MAX(1,AV52/X52),IF(BT52=1,IF(AV52&lt;=0,0,BW52*MAX(1,IF(H52&gt;0,AV52/H52,1))),IF(R52&gt;0,AW52/R52,0))/MAX(0.1,N(Parameter!$M$21)))</f>
        <v>2.88135593220339</v>
      </c>
      <c r="AY52" s="57" t="n">
        <f aca="false">AV52*G52</f>
        <v>6706.16</v>
      </c>
      <c r="AZ52" s="57" t="n">
        <f aca="false">ROUNDUP(MAX(J52/IF(BZ52&gt;0,BZ52,MAX(0.1,N(Cockpit!$O$6))),CC52)/BS52,0)*BS52</f>
        <v>22</v>
      </c>
      <c r="BA52" s="58" t="n">
        <f aca="false">IF(AX52&gt;0,J52/AX52,-1)</f>
        <v>16.6588235294118</v>
      </c>
      <c r="BB52" s="58" t="n">
        <f aca="false">IF(AND(OR(BY52="L1",BY52="L23"),AX52&gt;0),SUMIFS($AX$7:$AX$1843,$BY$7:$BY$1843,BY52,$BA$7:$BA$1843,"&gt;"&amp;BA52)+SUMIFS($AX$7:$AX$1843,$BY$7:$BY$1843,BY52,$BA$7:$BA$1843,BA52,$BQ$7:$BQ$1843,"&lt;="&amp;BQ52),"")</f>
        <v>33.264815549635</v>
      </c>
      <c r="BC52" s="65" t="n">
        <f aca="false">IF(BB52="",0,MAX(0,MIN(1,(IF(BY52="L1",Parameter!$E$5,Parameter!$E$6+Parameter!$E$7)-(BB52-AX52))/AX52)))</f>
        <v>1</v>
      </c>
      <c r="BD52" s="55" t="str">
        <f aca="false">IF(AH52&lt;=0,"",IF(BY52="Aussen","Aussenlager",IF(BY52="-","Nicht im Lift",IF(AM52&gt;=1,"Lift",IF(AM52&lt;=0,"Aussenlager","teilweise")))))</f>
        <v>Lift</v>
      </c>
      <c r="BE52" s="55" t="str">
        <f aca="false">IF(AP52&lt;=0,"",IF(BY52="Aussen","Aussenlager",IF(BY52="-","Nicht im Lift",IF(AU52&gt;=1,"Lift",IF(AU52&lt;=0,"Aussenlager","teilweise")))))</f>
        <v>Lift</v>
      </c>
      <c r="BF52" s="55" t="str">
        <f aca="false">IF(AX52&lt;=0,"",IF(BY52="Aussen","Aussenlager",IF(BY52="-","Nicht im Lift",IF(BC52&gt;=1,"Lift",IF(BC52&lt;=0,"Aussenlager","teilweise")))))</f>
        <v>Lift</v>
      </c>
      <c r="BG52" s="55" t="str">
        <f aca="false">IF(A52="","",IF(BP52=1,"Neu; ","")&amp;IF(AND(BP52=0,BK52&lt;0),"negativer Bestand (Export "&amp;BK52&amp;"); ","")&amp;IF(J52&lt;=0,"Kein Verbrauch; ","")&amp;IF(CH52&gt;0,"Lift "&amp;W52&amp;" lt. Liftbericht (Fach "&amp;X52&amp;" Stk); ",IF(BU52=1,"Gebinde geschätzt ("&amp;T52&amp;"); ",IF(BT52=1,"Lose – Tablare geschätzt; ","")))&amp;IF(H52&gt;AR52,"Überbestand "&amp;ROUND(H52-AR52,0)&amp;" Stk / CHF "&amp;ROUND((H52-AR52)*G52,0)&amp;"; ","")&amp;IF(AND(CA52=1,CB52&lt;CC52),"MAX &lt; MB+LG; ","")&amp;IF(AND(CG52&gt;0,CF52*10&gt;CG52),"zu hoch für Tablar; ","")&amp;IF(AND(BP52=0,OR(CA52=1,AA52&lt;&gt;"",U52&lt;&gt;"",V52&lt;&gt;"",AB52&lt;&gt;"")),"manuell übersteuert; ","")&amp;IF(AND(BT52=0,R52=0),"Gebinde unbekannt / Stellmass fehlt; ","")&amp;IF(AND(BT52=0,N(V52)&lt;=0,N(Q52)&lt;=0),"Menge pro Gebinde fehlt (Ist = 1 Gebinde); ","")&amp;BO52)</f>
        <v>Lift 1 lt. Liftbericht (Fach 36 Stk); Überbestand 10 Stk / CHF 1972; </v>
      </c>
      <c r="BH52" s="55" t="s">
        <v>298</v>
      </c>
      <c r="BI52" s="55" t="s">
        <v>299</v>
      </c>
      <c r="BJ52" s="62"/>
      <c r="BK52" s="57" t="n">
        <v>29</v>
      </c>
      <c r="BL52" s="57" t="n">
        <v>5</v>
      </c>
      <c r="BM52" s="56" t="n">
        <v>5927.21</v>
      </c>
      <c r="BN52" s="57" t="n">
        <v>48</v>
      </c>
      <c r="BO52" s="55"/>
      <c r="BP52" s="60" t="n">
        <v>0</v>
      </c>
      <c r="BQ52" s="60" t="n">
        <v>52</v>
      </c>
      <c r="BR52" s="55" t="str">
        <f aca="false">IF(U52&lt;&gt;"",UPPER(TRIM(U52)),IF(BU52=1,UPPER(VLOOKUP(T52,Parameter!$I$27:$K$29,2,0)),IF(P52="","LOSE",P52)))</f>
        <v>LOSE</v>
      </c>
      <c r="BS52" s="57" t="n">
        <f aca="false">IF(BR52="LOSE",1,IF(N(V52)&gt;0,V52,IF(BU52=1,MAX(1,N(VLOOKUP(T52,Parameter!$I$27:$K$29,3,0)),H52,N(N52)),IF(N(Q52)&gt;0,Q52,MAX(1,H52)))))</f>
        <v>1</v>
      </c>
      <c r="BT52" s="60" t="n">
        <f aca="false">IF(BR52="LOSE",1,0)</f>
        <v>1</v>
      </c>
      <c r="BU52" s="60" t="n">
        <f aca="false">IF(AND(U52="",OR(P52="",P52="LOSE"),T52&lt;&gt;"",N(S52)&lt;=0,ISNUMBER(MATCH(T52,Parameter!$I$27:$I$29,0))),1,0)</f>
        <v>0</v>
      </c>
      <c r="BV52" s="55" t="n">
        <f aca="false">IF(AND(Parameter!$B$19="Ja",E52&lt;&gt;"",ISNUMBER(MATCH(E52,Parameter!$I$35:$I$52,0))),VLOOKUP(E52,Parameter!$I$35:$J$52,2,0),IFERROR(VLOOKUP(D52,Parameter!$A$35:$C$64,2,0),"Nein"))</f>
        <v>1</v>
      </c>
      <c r="BW52" s="59" t="n">
        <f aca="false">IF(BT52=0,0,IF(N(S52)&gt;0,S52,IFERROR(VLOOKUP(D52,Parameter!$A$35:$C$64,3,0)+0,0)))</f>
        <v>1</v>
      </c>
      <c r="BX52" s="55" t="n">
        <f aca="false">IF(AA52&lt;&gt;"",AA52,Z52)</f>
        <v>1</v>
      </c>
      <c r="BY52" s="55" t="str">
        <f aca="false">IF(BX52=1,"L1",IF(OR(BX52=2,BX52=3),"L23",IF(BX52="Aussen","Aussen","-")))</f>
        <v>L1</v>
      </c>
      <c r="BZ52" s="66" t="n">
        <f aca="false">IF(N(AB52)&gt;0,AB52,0)</f>
        <v>0</v>
      </c>
      <c r="CA52" s="60" t="n">
        <f aca="false">IF(ISNUMBER(AE52),1,0)</f>
        <v>0</v>
      </c>
      <c r="CB52" s="57" t="n">
        <f aca="false">N(AE52)</f>
        <v>0</v>
      </c>
      <c r="CC52" s="57" t="n">
        <f aca="false">N(M52)+N(N52)</f>
        <v>22</v>
      </c>
      <c r="CD52" s="57" t="n">
        <f aca="false">ROUNDUP(H52/BS52,0)</f>
        <v>34</v>
      </c>
      <c r="CE52" s="57" t="n">
        <f aca="false">ROUNDUP(CB52/BS52,0)</f>
        <v>0</v>
      </c>
      <c r="CF52" s="60" t="n">
        <f aca="false">IF(BT52=1,0,IFERROR(VLOOKUP(BR52,'Gebinde-Kategorie'!$A$5:$M$45,5,0)+0,0))</f>
        <v>0</v>
      </c>
      <c r="CG52" s="60" t="n">
        <f aca="false">IFERROR(IF(OR(BX52=1,BX52=2,BX52=3),N(INDEX(Parameter!$I$5:$I$7,BX52)),0),0)</f>
        <v>0</v>
      </c>
      <c r="CH52" s="59" t="n">
        <f aca="false">IF(AND(Parameter!$B$21="Ja",ISNUMBER(W52),N(X52)&gt;0),IFERROR(N(INDEX(Parameter!$L$5:$L$7,W52))*INDEX(Parameter!$E$5:$E$7,W52)*X52/SUMIFS($X$7:$X$1843,$W$7:$W$1843,W52),0),0)</f>
        <v>2.88135593220339</v>
      </c>
    </row>
    <row r="53" customFormat="false" ht="15" hidden="false" customHeight="false" outlineLevel="0" collapsed="false">
      <c r="A53" s="55" t="s">
        <v>300</v>
      </c>
      <c r="B53" s="55" t="s">
        <v>301</v>
      </c>
      <c r="C53" s="55" t="s">
        <v>164</v>
      </c>
      <c r="D53" s="55" t="s">
        <v>184</v>
      </c>
      <c r="E53" s="55" t="s">
        <v>185</v>
      </c>
      <c r="F53" s="55" t="s">
        <v>218</v>
      </c>
      <c r="G53" s="56" t="n">
        <v>113.85</v>
      </c>
      <c r="H53" s="57" t="n">
        <f aca="false">MAX(0,IF(AND(Parameter!$B$21="Ja",ISNUMBER(Y53)),Y53,IF(Parameter!$B$20="Jahresanfang 2025 + Export",BL53+BK53,BK53)))</f>
        <v>67</v>
      </c>
      <c r="I53" s="57" t="n">
        <f aca="false">H53*G53</f>
        <v>7627.95</v>
      </c>
      <c r="J53" s="57" t="n">
        <f aca="false">BN53*Parameter!$B$18</f>
        <v>82</v>
      </c>
      <c r="K53" s="58" t="n">
        <v>30.5</v>
      </c>
      <c r="L53" s="59" t="n">
        <v>2.68852459016393</v>
      </c>
      <c r="M53" s="57" t="n">
        <v>30</v>
      </c>
      <c r="N53" s="57" t="n">
        <v>40</v>
      </c>
      <c r="O53" s="60" t="n">
        <v>126</v>
      </c>
      <c r="P53" s="55" t="s">
        <v>302</v>
      </c>
      <c r="Q53" s="57" t="n">
        <v>91</v>
      </c>
      <c r="R53" s="60" t="n">
        <f aca="false">IF(BT53=1,0,IFERROR(VLOOKUP(BR53,'Gebinde-Kategorie'!$A$5:$M$45,13,0)+0,0))</f>
        <v>26</v>
      </c>
      <c r="S53" s="61"/>
      <c r="T53" s="62"/>
      <c r="U53" s="62"/>
      <c r="V53" s="62"/>
      <c r="W53" s="55"/>
      <c r="X53" s="57"/>
      <c r="Y53" s="57"/>
      <c r="Z53" s="55" t="n">
        <f aca="false">IF(A53="","",IF(AND(Parameter!$B$21="Ja",ISNUMBER(W53)),W53,IF(BV53="2+3",IF(ISNUMBER(SEARCH("grosser Artikel",BO53)),2,IFERROR(VLOOKUP(BR53,Parameter!$F$35:$G$64,2,0),2)),IF(OR(BV53="Nein",BV53=""),"-",BV53))))</f>
        <v>3</v>
      </c>
      <c r="AA53" s="62"/>
      <c r="AB53" s="63"/>
      <c r="AC53" s="57" t="n">
        <f aca="false">AR53</f>
        <v>91</v>
      </c>
      <c r="AD53" s="57" t="n">
        <f aca="false">MAX(AR53,H53)</f>
        <v>91</v>
      </c>
      <c r="AE53" s="64"/>
      <c r="AF53" s="57" t="n">
        <f aca="false">IF(LEFT(Cockpit!$C$5,1)="A",H53,IF(CA53=1,CB53,IF(LEFT(Cockpit!$C$5,1)="B",AJ53,MAX(AJ53,H53))))</f>
        <v>67</v>
      </c>
      <c r="AG53" s="57" t="n">
        <f aca="false">IF(BT53=1,0,ROUNDUP(AF53/BS53,0))</f>
        <v>1</v>
      </c>
      <c r="AH53" s="59" t="n">
        <f aca="false">IF(CH53&gt;0,CH53*MAX(1,AF53/X53),IF(BT53=1,IF(AF53&lt;=0,0,BW53*MAX(1,IF(H53&gt;0,AF53/H53,1))),IF(R53&gt;0,AG53/R53,0))/MAX(0.1,N(Parameter!$M$21)))</f>
        <v>0.0384615384615385</v>
      </c>
      <c r="AI53" s="57" t="n">
        <f aca="false">AF53*G53</f>
        <v>7627.95</v>
      </c>
      <c r="AJ53" s="57" t="n">
        <f aca="false">ROUNDUP(MAX(J53/IF(BZ53&gt;0,BZ53,MAX(0.1,N(Cockpit!$C$6))),CC53)/BS53,0)*BS53</f>
        <v>91</v>
      </c>
      <c r="AK53" s="58" t="n">
        <f aca="false">IF(AH53&gt;0,J53/AH53,-1)</f>
        <v>2132</v>
      </c>
      <c r="AL53" s="58" t="n">
        <f aca="false">IF(AND(OR(BY53="L1",BY53="L23"),AH53&gt;0),SUMIFS($AH$7:$AH$1843,$BY$7:$BY$1843,BY53,$AK$7:$AK$1843,"&gt;"&amp;AK53)+SUMIFS($AH$7:$AH$1843,$BY$7:$BY$1843,BY53,$AK$7:$AK$1843,AK53,$BQ$7:$BQ$1843,"&lt;="&amp;BQ53),"")</f>
        <v>12.7218083848519</v>
      </c>
      <c r="AM53" s="65" t="n">
        <f aca="false">IF(AL53="",0,MAX(0,MIN(1,(IF(BY53="L1",Parameter!$E$5,Parameter!$E$6+Parameter!$E$7)-(AL53-AH53))/AH53)))</f>
        <v>1</v>
      </c>
      <c r="AN53" s="57" t="n">
        <f aca="false">IF(LEFT(Cockpit!$I$5,1)="A",H53,IF(CA53=1,CB53,IF(LEFT(Cockpit!$I$5,1)="B",AR53,MAX(AR53,H53))))</f>
        <v>91</v>
      </c>
      <c r="AO53" s="57" t="n">
        <f aca="false">IF(BT53=1,0,ROUNDUP(AN53/BS53,0))</f>
        <v>1</v>
      </c>
      <c r="AP53" s="59" t="n">
        <f aca="false">IF(CH53&gt;0,CH53*MAX(1,AN53/X53),IF(BT53=1,IF(AN53&lt;=0,0,BW53*MAX(1,IF(H53&gt;0,AN53/H53,1))),IF(R53&gt;0,AO53/R53,0))/MAX(0.1,N(Parameter!$M$21)))</f>
        <v>0.0384615384615385</v>
      </c>
      <c r="AQ53" s="57" t="n">
        <f aca="false">AN53*G53</f>
        <v>10360.35</v>
      </c>
      <c r="AR53" s="57" t="n">
        <f aca="false">ROUNDUP(MAX(J53/IF(BZ53&gt;0,BZ53,MAX(0.1,N(Cockpit!$I$6))),CC53)/BS53,0)*BS53</f>
        <v>91</v>
      </c>
      <c r="AS53" s="58" t="n">
        <f aca="false">IF(AP53&gt;0,J53/AP53,-1)</f>
        <v>2132</v>
      </c>
      <c r="AT53" s="58" t="n">
        <f aca="false">IF(AND(OR(BY53="L1",BY53="L23"),AP53&gt;0),SUMIFS($AP$7:$AP$1843,$BY$7:$BY$1843,BY53,$AS$7:$AS$1843,"&gt;"&amp;AS53)+SUMIFS($AP$7:$AP$1843,$BY$7:$BY$1843,BY53,$AS$7:$AS$1843,AS53,$BQ$7:$BQ$1843,"&lt;="&amp;BQ53),"")</f>
        <v>18.3541349954393</v>
      </c>
      <c r="AU53" s="65" t="n">
        <f aca="false">IF(AT53="",0,MAX(0,MIN(1,(IF(BY53="L1",Parameter!$E$5,Parameter!$E$6+Parameter!$E$7)-(AT53-AP53))/AP53)))</f>
        <v>1</v>
      </c>
      <c r="AV53" s="57" t="n">
        <f aca="false">IF(LEFT(Cockpit!$O$5,1)="A",H53,IF(CA53=1,CB53,IF(LEFT(Cockpit!$O$5,1)="B",AZ53,MAX(AZ53,H53))))</f>
        <v>91</v>
      </c>
      <c r="AW53" s="57" t="n">
        <f aca="false">IF(BT53=1,0,ROUNDUP(AV53/BS53,0))</f>
        <v>1</v>
      </c>
      <c r="AX53" s="59" t="n">
        <f aca="false">IF(CH53&gt;0,CH53*MAX(1,AV53/X53),IF(BT53=1,IF(AV53&lt;=0,0,BW53*MAX(1,IF(H53&gt;0,AV53/H53,1))),IF(R53&gt;0,AW53/R53,0))/MAX(0.1,N(Parameter!$M$21)))</f>
        <v>0.0384615384615385</v>
      </c>
      <c r="AY53" s="57" t="n">
        <f aca="false">AV53*G53</f>
        <v>10360.35</v>
      </c>
      <c r="AZ53" s="57" t="n">
        <f aca="false">ROUNDUP(MAX(J53/IF(BZ53&gt;0,BZ53,MAX(0.1,N(Cockpit!$O$6))),CC53)/BS53,0)*BS53</f>
        <v>91</v>
      </c>
      <c r="BA53" s="58" t="n">
        <f aca="false">IF(AX53&gt;0,J53/AX53,-1)</f>
        <v>2132</v>
      </c>
      <c r="BB53" s="58" t="n">
        <f aca="false">IF(AND(OR(BY53="L1",BY53="L23"),AX53&gt;0),SUMIFS($AX$7:$AX$1843,$BY$7:$BY$1843,BY53,$BA$7:$BA$1843,"&gt;"&amp;BA53)+SUMIFS($AX$7:$AX$1843,$BY$7:$BY$1843,BY53,$BA$7:$BA$1843,BA53,$BQ$7:$BQ$1843,"&lt;="&amp;BQ53),"")</f>
        <v>16.9275615688659</v>
      </c>
      <c r="BC53" s="65" t="n">
        <f aca="false">IF(BB53="",0,MAX(0,MIN(1,(IF(BY53="L1",Parameter!$E$5,Parameter!$E$6+Parameter!$E$7)-(BB53-AX53))/AX53)))</f>
        <v>1</v>
      </c>
      <c r="BD53" s="55" t="str">
        <f aca="false">IF(AH53&lt;=0,"",IF(BY53="Aussen","Aussenlager",IF(BY53="-","Nicht im Lift",IF(AM53&gt;=1,"Lift",IF(AM53&lt;=0,"Aussenlager","teilweise")))))</f>
        <v>Lift</v>
      </c>
      <c r="BE53" s="55" t="str">
        <f aca="false">IF(AP53&lt;=0,"",IF(BY53="Aussen","Aussenlager",IF(BY53="-","Nicht im Lift",IF(AU53&gt;=1,"Lift",IF(AU53&lt;=0,"Aussenlager","teilweise")))))</f>
        <v>Lift</v>
      </c>
      <c r="BF53" s="55" t="str">
        <f aca="false">IF(AX53&lt;=0,"",IF(BY53="Aussen","Aussenlager",IF(BY53="-","Nicht im Lift",IF(BC53&gt;=1,"Lift",IF(BC53&lt;=0,"Aussenlager","teilweise")))))</f>
        <v>Lift</v>
      </c>
      <c r="BG53" s="55" t="str">
        <f aca="false">IF(A53="","",IF(BP53=1,"Neu; ","")&amp;IF(AND(BP53=0,BK53&lt;0),"negativer Bestand (Export "&amp;BK53&amp;"); ","")&amp;IF(J53&lt;=0,"Kein Verbrauch; ","")&amp;IF(CH53&gt;0,"Lift "&amp;W53&amp;" lt. Liftbericht (Fach "&amp;X53&amp;" Stk); ",IF(BU53=1,"Gebinde geschätzt ("&amp;T53&amp;"); ",IF(BT53=1,"Lose – Tablare geschätzt; ","")))&amp;IF(H53&gt;AR53,"Überbestand "&amp;ROUND(H53-AR53,0)&amp;" Stk / CHF "&amp;ROUND((H53-AR53)*G53,0)&amp;"; ","")&amp;IF(AND(CA53=1,CB53&lt;CC53),"MAX &lt; MB+LG; ","")&amp;IF(AND(CG53&gt;0,CF53*10&gt;CG53),"zu hoch für Tablar; ","")&amp;IF(AND(BP53=0,OR(CA53=1,AA53&lt;&gt;"",U53&lt;&gt;"",V53&lt;&gt;"",AB53&lt;&gt;"")),"manuell übersteuert; ","")&amp;IF(AND(BT53=0,R53=0),"Gebinde unbekannt / Stellmass fehlt; ","")&amp;IF(AND(BT53=0,N(V53)&lt;=0,N(Q53)&lt;=0),"Menge pro Gebinde fehlt (Ist = 1 Gebinde); ","")&amp;BO53)</f>
        <v/>
      </c>
      <c r="BH53" s="55"/>
      <c r="BI53" s="55"/>
      <c r="BJ53" s="62"/>
      <c r="BK53" s="57" t="n">
        <v>45</v>
      </c>
      <c r="BL53" s="57" t="n">
        <v>22</v>
      </c>
      <c r="BM53" s="56" t="n">
        <v>5261.13</v>
      </c>
      <c r="BN53" s="57" t="n">
        <v>82</v>
      </c>
      <c r="BO53" s="55"/>
      <c r="BP53" s="60" t="n">
        <v>0</v>
      </c>
      <c r="BQ53" s="60" t="n">
        <v>53</v>
      </c>
      <c r="BR53" s="55" t="str">
        <f aca="false">IF(U53&lt;&gt;"",UPPER(TRIM(U53)),IF(BU53=1,UPPER(VLOOKUP(T53,Parameter!$I$27:$K$29,2,0)),IF(P53="","LOSE",P53)))</f>
        <v>S51</v>
      </c>
      <c r="BS53" s="57" t="n">
        <f aca="false">IF(BR53="LOSE",1,IF(N(V53)&gt;0,V53,IF(BU53=1,MAX(1,N(VLOOKUP(T53,Parameter!$I$27:$K$29,3,0)),H53,N(N53)),IF(N(Q53)&gt;0,Q53,MAX(1,H53)))))</f>
        <v>91</v>
      </c>
      <c r="BT53" s="60" t="n">
        <f aca="false">IF(BR53="LOSE",1,0)</f>
        <v>0</v>
      </c>
      <c r="BU53" s="60" t="n">
        <f aca="false">IF(AND(U53="",OR(P53="",P53="LOSE"),T53&lt;&gt;"",N(S53)&lt;=0,ISNUMBER(MATCH(T53,Parameter!$I$27:$I$29,0))),1,0)</f>
        <v>0</v>
      </c>
      <c r="BV53" s="55" t="str">
        <f aca="false">IF(AND(Parameter!$B$19="Ja",E53&lt;&gt;"",ISNUMBER(MATCH(E53,Parameter!$I$35:$I$52,0))),VLOOKUP(E53,Parameter!$I$35:$J$52,2,0),IFERROR(VLOOKUP(D53,Parameter!$A$35:$C$64,2,0),"Nein"))</f>
        <v>2+3</v>
      </c>
      <c r="BW53" s="59" t="n">
        <f aca="false">IF(BT53=0,0,IF(N(S53)&gt;0,S53,IFERROR(VLOOKUP(D53,Parameter!$A$35:$C$64,3,0)+0,0)))</f>
        <v>0</v>
      </c>
      <c r="BX53" s="55" t="n">
        <f aca="false">IF(AA53&lt;&gt;"",AA53,Z53)</f>
        <v>3</v>
      </c>
      <c r="BY53" s="55" t="str">
        <f aca="false">IF(BX53=1,"L1",IF(OR(BX53=2,BX53=3),"L23",IF(BX53="Aussen","Aussen","-")))</f>
        <v>L23</v>
      </c>
      <c r="BZ53" s="66" t="n">
        <f aca="false">IF(N(AB53)&gt;0,AB53,0)</f>
        <v>0</v>
      </c>
      <c r="CA53" s="60" t="n">
        <f aca="false">IF(ISNUMBER(AE53),1,0)</f>
        <v>0</v>
      </c>
      <c r="CB53" s="57" t="n">
        <f aca="false">N(AE53)</f>
        <v>0</v>
      </c>
      <c r="CC53" s="57" t="n">
        <f aca="false">N(M53)+N(N53)</f>
        <v>70</v>
      </c>
      <c r="CD53" s="57" t="n">
        <f aca="false">ROUNDUP(H53/BS53,0)</f>
        <v>1</v>
      </c>
      <c r="CE53" s="57" t="n">
        <f aca="false">ROUNDUP(CB53/BS53,0)</f>
        <v>0</v>
      </c>
      <c r="CF53" s="60" t="n">
        <f aca="false">IF(BT53=1,0,IFERROR(VLOOKUP(BR53,'Gebinde-Kategorie'!$A$5:$M$45,5,0)+0,0))</f>
        <v>11</v>
      </c>
      <c r="CG53" s="60" t="n">
        <f aca="false">IFERROR(IF(OR(BX53=1,BX53=2,BX53=3),N(INDEX(Parameter!$I$5:$I$7,BX53)),0),0)</f>
        <v>0</v>
      </c>
      <c r="CH53" s="59" t="n">
        <f aca="false">IF(AND(Parameter!$B$21="Ja",ISNUMBER(W53),N(X53)&gt;0),IFERROR(N(INDEX(Parameter!$L$5:$L$7,W53))*INDEX(Parameter!$E$5:$E$7,W53)*X53/SUMIFS($X$7:$X$1843,$W$7:$W$1843,W53),0),0)</f>
        <v>0</v>
      </c>
    </row>
    <row r="54" customFormat="false" ht="15" hidden="false" customHeight="false" outlineLevel="0" collapsed="false">
      <c r="A54" s="55" t="s">
        <v>303</v>
      </c>
      <c r="B54" s="55" t="s">
        <v>290</v>
      </c>
      <c r="C54" s="55" t="s">
        <v>164</v>
      </c>
      <c r="D54" s="55" t="s">
        <v>173</v>
      </c>
      <c r="E54" s="55" t="s">
        <v>173</v>
      </c>
      <c r="F54" s="55" t="s">
        <v>218</v>
      </c>
      <c r="G54" s="56" t="n">
        <v>189.42</v>
      </c>
      <c r="H54" s="57" t="n">
        <f aca="false">MAX(0,IF(AND(Parameter!$B$21="Ja",ISNUMBER(Y54)),Y54,IF(Parameter!$B$20="Jahresanfang 2025 + Export",BL54+BK54,BK54)))</f>
        <v>65</v>
      </c>
      <c r="I54" s="57" t="n">
        <f aca="false">H54*G54</f>
        <v>12312.3</v>
      </c>
      <c r="J54" s="57" t="n">
        <f aca="false">BN54*Parameter!$B$18</f>
        <v>90</v>
      </c>
      <c r="K54" s="58" t="n">
        <v>40.5</v>
      </c>
      <c r="L54" s="59" t="n">
        <v>2.22222222222222</v>
      </c>
      <c r="M54" s="57" t="n">
        <v>4</v>
      </c>
      <c r="N54" s="57" t="n">
        <v>35</v>
      </c>
      <c r="O54" s="60" t="n">
        <v>14</v>
      </c>
      <c r="P54" s="55" t="s">
        <v>223</v>
      </c>
      <c r="Q54" s="57" t="n">
        <v>76</v>
      </c>
      <c r="R54" s="60" t="n">
        <f aca="false">IF(BT54=1,0,IFERROR(VLOOKUP(BR54,'Gebinde-Kategorie'!$A$5:$M$45,13,0)+0,0))</f>
        <v>3</v>
      </c>
      <c r="S54" s="61"/>
      <c r="T54" s="62"/>
      <c r="U54" s="62"/>
      <c r="V54" s="62"/>
      <c r="W54" s="55"/>
      <c r="X54" s="57"/>
      <c r="Y54" s="57"/>
      <c r="Z54" s="55" t="str">
        <f aca="false">IF(A54="","",IF(AND(Parameter!$B$21="Ja",ISNUMBER(W54)),W54,IF(BV54="2+3",IF(ISNUMBER(SEARCH("grosser Artikel",BO54)),2,IFERROR(VLOOKUP(BR54,Parameter!$F$35:$G$64,2,0),2)),IF(OR(BV54="Nein",BV54=""),"-",BV54))))</f>
        <v>-</v>
      </c>
      <c r="AA54" s="62"/>
      <c r="AB54" s="63"/>
      <c r="AC54" s="57" t="n">
        <f aca="false">AR54</f>
        <v>76</v>
      </c>
      <c r="AD54" s="57" t="n">
        <f aca="false">MAX(AR54,H54)</f>
        <v>76</v>
      </c>
      <c r="AE54" s="64"/>
      <c r="AF54" s="57" t="n">
        <f aca="false">IF(LEFT(Cockpit!$C$5,1)="A",H54,IF(CA54=1,CB54,IF(LEFT(Cockpit!$C$5,1)="B",AJ54,MAX(AJ54,H54))))</f>
        <v>65</v>
      </c>
      <c r="AG54" s="57" t="n">
        <f aca="false">IF(BT54=1,0,ROUNDUP(AF54/BS54,0))</f>
        <v>1</v>
      </c>
      <c r="AH54" s="59" t="n">
        <f aca="false">IF(CH54&gt;0,CH54*MAX(1,AF54/X54),IF(BT54=1,IF(AF54&lt;=0,0,BW54*MAX(1,IF(H54&gt;0,AF54/H54,1))),IF(R54&gt;0,AG54/R54,0))/MAX(0.1,N(Parameter!$M$21)))</f>
        <v>0.333333333333333</v>
      </c>
      <c r="AI54" s="57" t="n">
        <f aca="false">AF54*G54</f>
        <v>12312.3</v>
      </c>
      <c r="AJ54" s="57" t="n">
        <f aca="false">ROUNDUP(MAX(J54/IF(BZ54&gt;0,BZ54,MAX(0.1,N(Cockpit!$C$6))),CC54)/BS54,0)*BS54</f>
        <v>76</v>
      </c>
      <c r="AK54" s="58" t="n">
        <f aca="false">IF(AH54&gt;0,J54/AH54,-1)</f>
        <v>270</v>
      </c>
      <c r="AL54" s="58" t="str">
        <f aca="false">IF(AND(OR(BY54="L1",BY54="L23"),AH54&gt;0),SUMIFS($AH$7:$AH$1843,$BY$7:$BY$1843,BY54,$AK$7:$AK$1843,"&gt;"&amp;AK54)+SUMIFS($AH$7:$AH$1843,$BY$7:$BY$1843,BY54,$AK$7:$AK$1843,AK54,$BQ$7:$BQ$1843,"&lt;="&amp;BQ54),"")</f>
        <v/>
      </c>
      <c r="AM54" s="65" t="n">
        <f aca="false">IF(AL54="",0,MAX(0,MIN(1,(IF(BY54="L1",Parameter!$E$5,Parameter!$E$6+Parameter!$E$7)-(AL54-AH54))/AH54)))</f>
        <v>0</v>
      </c>
      <c r="AN54" s="57" t="n">
        <f aca="false">IF(LEFT(Cockpit!$I$5,1)="A",H54,IF(CA54=1,CB54,IF(LEFT(Cockpit!$I$5,1)="B",AR54,MAX(AR54,H54))))</f>
        <v>76</v>
      </c>
      <c r="AO54" s="57" t="n">
        <f aca="false">IF(BT54=1,0,ROUNDUP(AN54/BS54,0))</f>
        <v>1</v>
      </c>
      <c r="AP54" s="59" t="n">
        <f aca="false">IF(CH54&gt;0,CH54*MAX(1,AN54/X54),IF(BT54=1,IF(AN54&lt;=0,0,BW54*MAX(1,IF(H54&gt;0,AN54/H54,1))),IF(R54&gt;0,AO54/R54,0))/MAX(0.1,N(Parameter!$M$21)))</f>
        <v>0.333333333333333</v>
      </c>
      <c r="AQ54" s="57" t="n">
        <f aca="false">AN54*G54</f>
        <v>14395.92</v>
      </c>
      <c r="AR54" s="57" t="n">
        <f aca="false">ROUNDUP(MAX(J54/IF(BZ54&gt;0,BZ54,MAX(0.1,N(Cockpit!$I$6))),CC54)/BS54,0)*BS54</f>
        <v>76</v>
      </c>
      <c r="AS54" s="58" t="n">
        <f aca="false">IF(AP54&gt;0,J54/AP54,-1)</f>
        <v>270</v>
      </c>
      <c r="AT54" s="58" t="str">
        <f aca="false">IF(AND(OR(BY54="L1",BY54="L23"),AP54&gt;0),SUMIFS($AP$7:$AP$1843,$BY$7:$BY$1843,BY54,$AS$7:$AS$1843,"&gt;"&amp;AS54)+SUMIFS($AP$7:$AP$1843,$BY$7:$BY$1843,BY54,$AS$7:$AS$1843,AS54,$BQ$7:$BQ$1843,"&lt;="&amp;BQ54),"")</f>
        <v/>
      </c>
      <c r="AU54" s="65" t="n">
        <f aca="false">IF(AT54="",0,MAX(0,MIN(1,(IF(BY54="L1",Parameter!$E$5,Parameter!$E$6+Parameter!$E$7)-(AT54-AP54))/AP54)))</f>
        <v>0</v>
      </c>
      <c r="AV54" s="57" t="n">
        <f aca="false">IF(LEFT(Cockpit!$O$5,1)="A",H54,IF(CA54=1,CB54,IF(LEFT(Cockpit!$O$5,1)="B",AZ54,MAX(AZ54,H54))))</f>
        <v>76</v>
      </c>
      <c r="AW54" s="57" t="n">
        <f aca="false">IF(BT54=1,0,ROUNDUP(AV54/BS54,0))</f>
        <v>1</v>
      </c>
      <c r="AX54" s="59" t="n">
        <f aca="false">IF(CH54&gt;0,CH54*MAX(1,AV54/X54),IF(BT54=1,IF(AV54&lt;=0,0,BW54*MAX(1,IF(H54&gt;0,AV54/H54,1))),IF(R54&gt;0,AW54/R54,0))/MAX(0.1,N(Parameter!$M$21)))</f>
        <v>0.333333333333333</v>
      </c>
      <c r="AY54" s="57" t="n">
        <f aca="false">AV54*G54</f>
        <v>14395.92</v>
      </c>
      <c r="AZ54" s="57" t="n">
        <f aca="false">ROUNDUP(MAX(J54/IF(BZ54&gt;0,BZ54,MAX(0.1,N(Cockpit!$O$6))),CC54)/BS54,0)*BS54</f>
        <v>76</v>
      </c>
      <c r="BA54" s="58" t="n">
        <f aca="false">IF(AX54&gt;0,J54/AX54,-1)</f>
        <v>270</v>
      </c>
      <c r="BB54" s="58" t="str">
        <f aca="false">IF(AND(OR(BY54="L1",BY54="L23"),AX54&gt;0),SUMIFS($AX$7:$AX$1843,$BY$7:$BY$1843,BY54,$BA$7:$BA$1843,"&gt;"&amp;BA54)+SUMIFS($AX$7:$AX$1843,$BY$7:$BY$1843,BY54,$BA$7:$BA$1843,BA54,$BQ$7:$BQ$1843,"&lt;="&amp;BQ54),"")</f>
        <v/>
      </c>
      <c r="BC54" s="65" t="n">
        <f aca="false">IF(BB54="",0,MAX(0,MIN(1,(IF(BY54="L1",Parameter!$E$5,Parameter!$E$6+Parameter!$E$7)-(BB54-AX54))/AX54)))</f>
        <v>0</v>
      </c>
      <c r="BD54" s="55" t="str">
        <f aca="false">IF(AH54&lt;=0,"",IF(BY54="Aussen","Aussenlager",IF(BY54="-","Nicht im Lift",IF(AM54&gt;=1,"Lift",IF(AM54&lt;=0,"Aussenlager","teilweise")))))</f>
        <v>Nicht im Lift</v>
      </c>
      <c r="BE54" s="55" t="str">
        <f aca="false">IF(AP54&lt;=0,"",IF(BY54="Aussen","Aussenlager",IF(BY54="-","Nicht im Lift",IF(AU54&gt;=1,"Lift",IF(AU54&lt;=0,"Aussenlager","teilweise")))))</f>
        <v>Nicht im Lift</v>
      </c>
      <c r="BF54" s="55" t="str">
        <f aca="false">IF(AX54&lt;=0,"",IF(BY54="Aussen","Aussenlager",IF(BY54="-","Nicht im Lift",IF(BC54&gt;=1,"Lift",IF(BC54&lt;=0,"Aussenlager","teilweise")))))</f>
        <v>Nicht im Lift</v>
      </c>
      <c r="BG54" s="55" t="str">
        <f aca="false">IF(A54="","",IF(BP54=1,"Neu; ","")&amp;IF(AND(BP54=0,BK54&lt;0),"negativer Bestand (Export "&amp;BK54&amp;"); ","")&amp;IF(J54&lt;=0,"Kein Verbrauch; ","")&amp;IF(CH54&gt;0,"Lift "&amp;W54&amp;" lt. Liftbericht (Fach "&amp;X54&amp;" Stk); ",IF(BU54=1,"Gebinde geschätzt ("&amp;T54&amp;"); ",IF(BT54=1,"Lose – Tablare geschätzt; ","")))&amp;IF(H54&gt;AR54,"Überbestand "&amp;ROUND(H54-AR54,0)&amp;" Stk / CHF "&amp;ROUND((H54-AR54)*G54,0)&amp;"; ","")&amp;IF(AND(CA54=1,CB54&lt;CC54),"MAX &lt; MB+LG; ","")&amp;IF(AND(CG54&gt;0,CF54*10&gt;CG54),"zu hoch für Tablar; ","")&amp;IF(AND(BP54=0,OR(CA54=1,AA54&lt;&gt;"",U54&lt;&gt;"",V54&lt;&gt;"",AB54&lt;&gt;"")),"manuell übersteuert; ","")&amp;IF(AND(BT54=0,R54=0),"Gebinde unbekannt / Stellmass fehlt; ","")&amp;IF(AND(BT54=0,N(V54)&lt;=0,N(Q54)&lt;=0),"Menge pro Gebinde fehlt (Ist = 1 Gebinde); ","")&amp;BO54)</f>
        <v/>
      </c>
      <c r="BH54" s="55"/>
      <c r="BI54" s="55"/>
      <c r="BJ54" s="62"/>
      <c r="BK54" s="57" t="n">
        <v>25</v>
      </c>
      <c r="BL54" s="57" t="n">
        <v>40</v>
      </c>
      <c r="BM54" s="56" t="n">
        <v>4952.3</v>
      </c>
      <c r="BN54" s="57" t="n">
        <v>90</v>
      </c>
      <c r="BO54" s="55"/>
      <c r="BP54" s="60" t="n">
        <v>0</v>
      </c>
      <c r="BQ54" s="60" t="n">
        <v>54</v>
      </c>
      <c r="BR54" s="55" t="str">
        <f aca="false">IF(U54&lt;&gt;"",UPPER(TRIM(U54)),IF(BU54=1,UPPER(VLOOKUP(T54,Parameter!$I$27:$K$29,2,0)),IF(P54="","LOSE",P54)))</f>
        <v>S81</v>
      </c>
      <c r="BS54" s="57" t="n">
        <f aca="false">IF(BR54="LOSE",1,IF(N(V54)&gt;0,V54,IF(BU54=1,MAX(1,N(VLOOKUP(T54,Parameter!$I$27:$K$29,3,0)),H54,N(N54)),IF(N(Q54)&gt;0,Q54,MAX(1,H54)))))</f>
        <v>76</v>
      </c>
      <c r="BT54" s="60" t="n">
        <f aca="false">IF(BR54="LOSE",1,0)</f>
        <v>0</v>
      </c>
      <c r="BU54" s="60" t="n">
        <f aca="false">IF(AND(U54="",OR(P54="",P54="LOSE"),T54&lt;&gt;"",N(S54)&lt;=0,ISNUMBER(MATCH(T54,Parameter!$I$27:$I$29,0))),1,0)</f>
        <v>0</v>
      </c>
      <c r="BV54" s="55" t="str">
        <f aca="false">IF(AND(Parameter!$B$19="Ja",E54&lt;&gt;"",ISNUMBER(MATCH(E54,Parameter!$I$35:$I$52,0))),VLOOKUP(E54,Parameter!$I$35:$J$52,2,0),IFERROR(VLOOKUP(D54,Parameter!$A$35:$C$64,2,0),"Nein"))</f>
        <v>Nein</v>
      </c>
      <c r="BW54" s="59" t="n">
        <f aca="false">IF(BT54=0,0,IF(N(S54)&gt;0,S54,IFERROR(VLOOKUP(D54,Parameter!$A$35:$C$64,3,0)+0,0)))</f>
        <v>0</v>
      </c>
      <c r="BX54" s="55" t="str">
        <f aca="false">IF(AA54&lt;&gt;"",AA54,Z54)</f>
        <v>-</v>
      </c>
      <c r="BY54" s="55" t="str">
        <f aca="false">IF(BX54=1,"L1",IF(OR(BX54=2,BX54=3),"L23",IF(BX54="Aussen","Aussen","-")))</f>
        <v>-</v>
      </c>
      <c r="BZ54" s="66" t="n">
        <f aca="false">IF(N(AB54)&gt;0,AB54,0)</f>
        <v>0</v>
      </c>
      <c r="CA54" s="60" t="n">
        <f aca="false">IF(ISNUMBER(AE54),1,0)</f>
        <v>0</v>
      </c>
      <c r="CB54" s="57" t="n">
        <f aca="false">N(AE54)</f>
        <v>0</v>
      </c>
      <c r="CC54" s="57" t="n">
        <f aca="false">N(M54)+N(N54)</f>
        <v>39</v>
      </c>
      <c r="CD54" s="57" t="n">
        <f aca="false">ROUNDUP(H54/BS54,0)</f>
        <v>1</v>
      </c>
      <c r="CE54" s="57" t="n">
        <f aca="false">ROUNDUP(CB54/BS54,0)</f>
        <v>0</v>
      </c>
      <c r="CF54" s="60" t="n">
        <f aca="false">IF(BT54=1,0,IFERROR(VLOOKUP(BR54,'Gebinde-Kategorie'!$A$5:$M$45,5,0)+0,0))</f>
        <v>20</v>
      </c>
      <c r="CG54" s="60" t="n">
        <f aca="false">IFERROR(IF(OR(BX54=1,BX54=2,BX54=3),N(INDEX(Parameter!$I$5:$I$7,BX54)),0),0)</f>
        <v>0</v>
      </c>
      <c r="CH54" s="59" t="n">
        <f aca="false">IF(AND(Parameter!$B$21="Ja",ISNUMBER(W54),N(X54)&gt;0),IFERROR(N(INDEX(Parameter!$L$5:$L$7,W54))*INDEX(Parameter!$E$5:$E$7,W54)*X54/SUMIFS($X$7:$X$1843,$W$7:$W$1843,W54),0),0)</f>
        <v>0</v>
      </c>
    </row>
    <row r="55" customFormat="false" ht="15" hidden="false" customHeight="false" outlineLevel="0" collapsed="false">
      <c r="A55" s="55" t="s">
        <v>304</v>
      </c>
      <c r="B55" s="55" t="s">
        <v>305</v>
      </c>
      <c r="C55" s="55" t="s">
        <v>164</v>
      </c>
      <c r="D55" s="55" t="s">
        <v>173</v>
      </c>
      <c r="E55" s="55"/>
      <c r="F55" s="55" t="s">
        <v>218</v>
      </c>
      <c r="G55" s="56" t="n">
        <v>431.48</v>
      </c>
      <c r="H55" s="57" t="n">
        <f aca="false">MAX(0,IF(AND(Parameter!$B$21="Ja",ISNUMBER(Y55)),Y55,IF(Parameter!$B$20="Jahresanfang 2025 + Export",BL55+BK55,BK55)))</f>
        <v>11</v>
      </c>
      <c r="I55" s="57" t="n">
        <f aca="false">H55*G55</f>
        <v>4746.28</v>
      </c>
      <c r="J55" s="57" t="n">
        <f aca="false">BN55*Parameter!$B$18</f>
        <v>0</v>
      </c>
      <c r="K55" s="58" t="n">
        <v>0</v>
      </c>
      <c r="L55" s="59" t="n">
        <v>0</v>
      </c>
      <c r="M55" s="57" t="n">
        <v>2</v>
      </c>
      <c r="N55" s="57" t="n">
        <v>4</v>
      </c>
      <c r="O55" s="60" t="n">
        <v>28</v>
      </c>
      <c r="P55" s="55" t="s">
        <v>168</v>
      </c>
      <c r="Q55" s="57"/>
      <c r="R55" s="60" t="n">
        <f aca="false">IF(BT55=1,0,IFERROR(VLOOKUP(BR55,'Gebinde-Kategorie'!$A$5:$M$45,13,0)+0,0))</f>
        <v>12</v>
      </c>
      <c r="S55" s="61"/>
      <c r="T55" s="62" t="s">
        <v>179</v>
      </c>
      <c r="U55" s="62"/>
      <c r="V55" s="62"/>
      <c r="W55" s="55"/>
      <c r="X55" s="57"/>
      <c r="Y55" s="57"/>
      <c r="Z55" s="55" t="n">
        <f aca="false">IF(A55="","",IF(AND(Parameter!$B$21="Ja",ISNUMBER(W55)),W55,IF(BV55="2+3",IF(ISNUMBER(SEARCH("grosser Artikel",BO55)),2,IFERROR(VLOOKUP(BR55,Parameter!$F$35:$G$64,2,0),2)),IF(OR(BV55="Nein",BV55=""),"-",BV55))))</f>
        <v>2</v>
      </c>
      <c r="AA55" s="62"/>
      <c r="AB55" s="63"/>
      <c r="AC55" s="57" t="n">
        <f aca="false">AR55</f>
        <v>11</v>
      </c>
      <c r="AD55" s="57" t="n">
        <f aca="false">MAX(AR55,H55)</f>
        <v>11</v>
      </c>
      <c r="AE55" s="64"/>
      <c r="AF55" s="57" t="n">
        <f aca="false">IF(LEFT(Cockpit!$C$5,1)="A",H55,IF(CA55=1,CB55,IF(LEFT(Cockpit!$C$5,1)="B",AJ55,MAX(AJ55,H55))))</f>
        <v>11</v>
      </c>
      <c r="AG55" s="57" t="n">
        <f aca="false">IF(BT55=1,0,ROUNDUP(AF55/BS55,0))</f>
        <v>1</v>
      </c>
      <c r="AH55" s="59" t="n">
        <f aca="false">IF(CH55&gt;0,CH55*MAX(1,AF55/X55),IF(BT55=1,IF(AF55&lt;=0,0,BW55*MAX(1,IF(H55&gt;0,AF55/H55,1))),IF(R55&gt;0,AG55/R55,0))/MAX(0.1,N(Parameter!$M$21)))</f>
        <v>0.0833333333333333</v>
      </c>
      <c r="AI55" s="57" t="n">
        <f aca="false">AF55*G55</f>
        <v>4746.28</v>
      </c>
      <c r="AJ55" s="57" t="n">
        <f aca="false">ROUNDUP(MAX(J55/IF(BZ55&gt;0,BZ55,MAX(0.1,N(Cockpit!$C$6))),CC55)/BS55,0)*BS55</f>
        <v>11</v>
      </c>
      <c r="AK55" s="58" t="n">
        <f aca="false">IF(AH55&gt;0,J55/AH55,-1)</f>
        <v>0</v>
      </c>
      <c r="AL55" s="58" t="n">
        <f aca="false">IF(AND(OR(BY55="L1",BY55="L23"),AH55&gt;0),SUMIFS($AH$7:$AH$1843,$BY$7:$BY$1843,BY55,$AK$7:$AK$1843,"&gt;"&amp;AK55)+SUMIFS($AH$7:$AH$1843,$BY$7:$BY$1843,BY55,$AK$7:$AK$1843,AK55,$BQ$7:$BQ$1843,"&lt;="&amp;BQ55),"")</f>
        <v>67.7855393398872</v>
      </c>
      <c r="AM55" s="65" t="n">
        <f aca="false">IF(AL55="",0,MAX(0,MIN(1,(IF(BY55="L1",Parameter!$E$5,Parameter!$E$6+Parameter!$E$7)-(AL55-AH55))/AH55)))</f>
        <v>1</v>
      </c>
      <c r="AN55" s="57" t="n">
        <f aca="false">IF(LEFT(Cockpit!$I$5,1)="A",H55,IF(CA55=1,CB55,IF(LEFT(Cockpit!$I$5,1)="B",AR55,MAX(AR55,H55))))</f>
        <v>11</v>
      </c>
      <c r="AO55" s="57" t="n">
        <f aca="false">IF(BT55=1,0,ROUNDUP(AN55/BS55,0))</f>
        <v>1</v>
      </c>
      <c r="AP55" s="59" t="n">
        <f aca="false">IF(CH55&gt;0,CH55*MAX(1,AN55/X55),IF(BT55=1,IF(AN55&lt;=0,0,BW55*MAX(1,IF(H55&gt;0,AN55/H55,1))),IF(R55&gt;0,AO55/R55,0))/MAX(0.1,N(Parameter!$M$21)))</f>
        <v>0.0833333333333333</v>
      </c>
      <c r="AQ55" s="57" t="n">
        <f aca="false">AN55*G55</f>
        <v>4746.28</v>
      </c>
      <c r="AR55" s="57" t="n">
        <f aca="false">ROUNDUP(MAX(J55/IF(BZ55&gt;0,BZ55,MAX(0.1,N(Cockpit!$I$6))),CC55)/BS55,0)*BS55</f>
        <v>11</v>
      </c>
      <c r="AS55" s="58" t="n">
        <f aca="false">IF(AP55&gt;0,J55/AP55,-1)</f>
        <v>0</v>
      </c>
      <c r="AT55" s="58" t="n">
        <f aca="false">IF(AND(OR(BY55="L1",BY55="L23"),AP55&gt;0),SUMIFS($AP$7:$AP$1843,$BY$7:$BY$1843,BY55,$AS$7:$AS$1843,"&gt;"&amp;AS55)+SUMIFS($AP$7:$AP$1843,$BY$7:$BY$1843,BY55,$AS$7:$AS$1843,AS55,$BQ$7:$BQ$1843,"&lt;="&amp;BQ55),"")</f>
        <v>107.042996858214</v>
      </c>
      <c r="AU55" s="65" t="n">
        <f aca="false">IF(AT55="",0,MAX(0,MIN(1,(IF(BY55="L1",Parameter!$E$5,Parameter!$E$6+Parameter!$E$7)-(AT55-AP55))/AP55)))</f>
        <v>0</v>
      </c>
      <c r="AV55" s="57" t="n">
        <f aca="false">IF(LEFT(Cockpit!$O$5,1)="A",H55,IF(CA55=1,CB55,IF(LEFT(Cockpit!$O$5,1)="B",AZ55,MAX(AZ55,H55))))</f>
        <v>11</v>
      </c>
      <c r="AW55" s="57" t="n">
        <f aca="false">IF(BT55=1,0,ROUNDUP(AV55/BS55,0))</f>
        <v>1</v>
      </c>
      <c r="AX55" s="59" t="n">
        <f aca="false">IF(CH55&gt;0,CH55*MAX(1,AV55/X55),IF(BT55=1,IF(AV55&lt;=0,0,BW55*MAX(1,IF(H55&gt;0,AV55/H55,1))),IF(R55&gt;0,AW55/R55,0))/MAX(0.1,N(Parameter!$M$21)))</f>
        <v>0.0833333333333333</v>
      </c>
      <c r="AY55" s="57" t="n">
        <f aca="false">AV55*G55</f>
        <v>4746.28</v>
      </c>
      <c r="AZ55" s="57" t="n">
        <f aca="false">ROUNDUP(MAX(J55/IF(BZ55&gt;0,BZ55,MAX(0.1,N(Cockpit!$O$6))),CC55)/BS55,0)*BS55</f>
        <v>11</v>
      </c>
      <c r="BA55" s="58" t="n">
        <f aca="false">IF(AX55&gt;0,J55/AX55,-1)</f>
        <v>0</v>
      </c>
      <c r="BB55" s="58" t="n">
        <f aca="false">IF(AND(OR(BY55="L1",BY55="L23"),AX55&gt;0),SUMIFS($AX$7:$AX$1843,$BY$7:$BY$1843,BY55,$BA$7:$BA$1843,"&gt;"&amp;BA55)+SUMIFS($AX$7:$AX$1843,$BY$7:$BY$1843,BY55,$BA$7:$BA$1843,BA55,$BQ$7:$BQ$1843,"&lt;="&amp;BQ55),"")</f>
        <v>97.8728336880511</v>
      </c>
      <c r="BC55" s="65" t="n">
        <f aca="false">IF(BB55="",0,MAX(0,MIN(1,(IF(BY55="L1",Parameter!$E$5,Parameter!$E$6+Parameter!$E$7)-(BB55-AX55))/AX55)))</f>
        <v>1</v>
      </c>
      <c r="BD55" s="55" t="str">
        <f aca="false">IF(AH55&lt;=0,"",IF(BY55="Aussen","Aussenlager",IF(BY55="-","Nicht im Lift",IF(AM55&gt;=1,"Lift",IF(AM55&lt;=0,"Aussenlager","teilweise")))))</f>
        <v>Lift</v>
      </c>
      <c r="BE55" s="55" t="str">
        <f aca="false">IF(AP55&lt;=0,"",IF(BY55="Aussen","Aussenlager",IF(BY55="-","Nicht im Lift",IF(AU55&gt;=1,"Lift",IF(AU55&lt;=0,"Aussenlager","teilweise")))))</f>
        <v>Aussenlager</v>
      </c>
      <c r="BF55" s="55" t="str">
        <f aca="false">IF(AX55&lt;=0,"",IF(BY55="Aussen","Aussenlager",IF(BY55="-","Nicht im Lift",IF(BC55&gt;=1,"Lift",IF(BC55&lt;=0,"Aussenlager","teilweise")))))</f>
        <v>Lift</v>
      </c>
      <c r="BG55" s="55" t="str">
        <f aca="false">IF(A55="","",IF(BP55=1,"Neu; ","")&amp;IF(AND(BP55=0,BK55&lt;0),"negativer Bestand (Export "&amp;BK55&amp;"); ","")&amp;IF(J55&lt;=0,"Kein Verbrauch; ","")&amp;IF(CH55&gt;0,"Lift "&amp;W55&amp;" lt. Liftbericht (Fach "&amp;X55&amp;" Stk); ",IF(BU55=1,"Gebinde geschätzt ("&amp;T55&amp;"); ",IF(BT55=1,"Lose – Tablare geschätzt; ","")))&amp;IF(H55&gt;AR55,"Überbestand "&amp;ROUND(H55-AR55,0)&amp;" Stk / CHF "&amp;ROUND((H55-AR55)*G55,0)&amp;"; ","")&amp;IF(AND(CA55=1,CB55&lt;CC55),"MAX &lt; MB+LG; ","")&amp;IF(AND(CG55&gt;0,CF55*10&gt;CG55),"zu hoch für Tablar; ","")&amp;IF(AND(BP55=0,OR(CA55=1,AA55&lt;&gt;"",U55&lt;&gt;"",V55&lt;&gt;"",AB55&lt;&gt;"")),"manuell übersteuert; ","")&amp;IF(AND(BT55=0,R55=0),"Gebinde unbekannt / Stellmass fehlt; ","")&amp;IF(AND(BT55=0,N(V55)&lt;=0,N(Q55)&lt;=0),"Menge pro Gebinde fehlt (Ist = 1 Gebinde); ","")&amp;BO55)</f>
        <v>Kein Verbrauch; Gebinde geschätzt (Mittel); Menge pro Gebinde fehlt (Ist = 1 Gebinde); </v>
      </c>
      <c r="BH55" s="55" t="s">
        <v>306</v>
      </c>
      <c r="BI55" s="55"/>
      <c r="BJ55" s="62"/>
      <c r="BK55" s="57" t="n">
        <v>11</v>
      </c>
      <c r="BL55" s="57" t="n">
        <v>0</v>
      </c>
      <c r="BM55" s="56" t="n">
        <v>4746.28</v>
      </c>
      <c r="BN55" s="57" t="n">
        <v>0</v>
      </c>
      <c r="BO55" s="55"/>
      <c r="BP55" s="60" t="n">
        <v>0</v>
      </c>
      <c r="BQ55" s="60" t="n">
        <v>55</v>
      </c>
      <c r="BR55" s="55" t="str">
        <f aca="false">IF(U55&lt;&gt;"",UPPER(TRIM(U55)),IF(BU55=1,UPPER(VLOOKUP(T55,Parameter!$I$27:$K$29,2,0)),IF(P55="","LOSE",P55)))</f>
        <v>S61</v>
      </c>
      <c r="BS55" s="57" t="n">
        <f aca="false">IF(BR55="LOSE",1,IF(N(V55)&gt;0,V55,IF(BU55=1,MAX(1,N(VLOOKUP(T55,Parameter!$I$27:$K$29,3,0)),H55,N(N55)),IF(N(Q55)&gt;0,Q55,MAX(1,H55)))))</f>
        <v>11</v>
      </c>
      <c r="BT55" s="60" t="n">
        <f aca="false">IF(BR55="LOSE",1,0)</f>
        <v>0</v>
      </c>
      <c r="BU55" s="60" t="n">
        <f aca="false">IF(AND(U55="",OR(P55="",P55="LOSE"),T55&lt;&gt;"",N(S55)&lt;=0,ISNUMBER(MATCH(T55,Parameter!$I$27:$I$29,0))),1,0)</f>
        <v>1</v>
      </c>
      <c r="BV55" s="55" t="str">
        <f aca="false">IF(AND(Parameter!$B$19="Ja",E55&lt;&gt;"",ISNUMBER(MATCH(E55,Parameter!$I$35:$I$52,0))),VLOOKUP(E55,Parameter!$I$35:$J$52,2,0),IFERROR(VLOOKUP(D55,Parameter!$A$35:$C$64,2,0),"Nein"))</f>
        <v>2+3</v>
      </c>
      <c r="BW55" s="59" t="n">
        <f aca="false">IF(BT55=0,0,IF(N(S55)&gt;0,S55,IFERROR(VLOOKUP(D55,Parameter!$A$35:$C$64,3,0)+0,0)))</f>
        <v>0</v>
      </c>
      <c r="BX55" s="55" t="n">
        <f aca="false">IF(AA55&lt;&gt;"",AA55,Z55)</f>
        <v>2</v>
      </c>
      <c r="BY55" s="55" t="str">
        <f aca="false">IF(BX55=1,"L1",IF(OR(BX55=2,BX55=3),"L23",IF(BX55="Aussen","Aussen","-")))</f>
        <v>L23</v>
      </c>
      <c r="BZ55" s="66" t="n">
        <f aca="false">IF(N(AB55)&gt;0,AB55,0)</f>
        <v>0</v>
      </c>
      <c r="CA55" s="60" t="n">
        <f aca="false">IF(ISNUMBER(AE55),1,0)</f>
        <v>0</v>
      </c>
      <c r="CB55" s="57" t="n">
        <f aca="false">N(AE55)</f>
        <v>0</v>
      </c>
      <c r="CC55" s="57" t="n">
        <f aca="false">N(M55)+N(N55)</f>
        <v>6</v>
      </c>
      <c r="CD55" s="57" t="n">
        <f aca="false">ROUNDUP(H55/BS55,0)</f>
        <v>1</v>
      </c>
      <c r="CE55" s="57" t="n">
        <f aca="false">ROUNDUP(CB55/BS55,0)</f>
        <v>0</v>
      </c>
      <c r="CF55" s="60" t="n">
        <f aca="false">IF(BT55=1,0,IFERROR(VLOOKUP(BR55,'Gebinde-Kategorie'!$A$5:$M$45,5,0)+0,0))</f>
        <v>11</v>
      </c>
      <c r="CG55" s="60" t="n">
        <f aca="false">IFERROR(IF(OR(BX55=1,BX55=2,BX55=3),N(INDEX(Parameter!$I$5:$I$7,BX55)),0),0)</f>
        <v>0</v>
      </c>
      <c r="CH55" s="59" t="n">
        <f aca="false">IF(AND(Parameter!$B$21="Ja",ISNUMBER(W55),N(X55)&gt;0),IFERROR(N(INDEX(Parameter!$L$5:$L$7,W55))*INDEX(Parameter!$E$5:$E$7,W55)*X55/SUMIFS($X$7:$X$1843,$W$7:$W$1843,W55),0),0)</f>
        <v>0</v>
      </c>
    </row>
    <row r="56" customFormat="false" ht="15" hidden="false" customHeight="false" outlineLevel="0" collapsed="false">
      <c r="A56" s="55" t="s">
        <v>307</v>
      </c>
      <c r="B56" s="55" t="s">
        <v>308</v>
      </c>
      <c r="C56" s="55" t="s">
        <v>164</v>
      </c>
      <c r="D56" s="55" t="s">
        <v>173</v>
      </c>
      <c r="E56" s="55"/>
      <c r="F56" s="55" t="s">
        <v>218</v>
      </c>
      <c r="G56" s="56" t="n">
        <v>455.63</v>
      </c>
      <c r="H56" s="57" t="n">
        <f aca="false">MAX(0,IF(AND(Parameter!$B$21="Ja",ISNUMBER(Y56)),Y56,IF(Parameter!$B$20="Jahresanfang 2025 + Export",BL56+BK56,BK56)))</f>
        <v>10</v>
      </c>
      <c r="I56" s="57" t="n">
        <f aca="false">H56*G56</f>
        <v>4556.3</v>
      </c>
      <c r="J56" s="57" t="n">
        <f aca="false">BN56*Parameter!$B$18</f>
        <v>0</v>
      </c>
      <c r="K56" s="58" t="n">
        <v>0</v>
      </c>
      <c r="L56" s="59" t="n">
        <v>0</v>
      </c>
      <c r="M56" s="57" t="n">
        <v>4</v>
      </c>
      <c r="N56" s="57" t="n">
        <v>16</v>
      </c>
      <c r="O56" s="60" t="n">
        <v>28</v>
      </c>
      <c r="P56" s="55" t="s">
        <v>168</v>
      </c>
      <c r="Q56" s="57"/>
      <c r="R56" s="60" t="n">
        <f aca="false">IF(BT56=1,0,IFERROR(VLOOKUP(BR56,'Gebinde-Kategorie'!$A$5:$M$45,13,0)+0,0))</f>
        <v>12</v>
      </c>
      <c r="S56" s="61"/>
      <c r="T56" s="62" t="s">
        <v>179</v>
      </c>
      <c r="U56" s="62"/>
      <c r="V56" s="62"/>
      <c r="W56" s="55"/>
      <c r="X56" s="57"/>
      <c r="Y56" s="57"/>
      <c r="Z56" s="55" t="n">
        <f aca="false">IF(A56="","",IF(AND(Parameter!$B$21="Ja",ISNUMBER(W56)),W56,IF(BV56="2+3",IF(ISNUMBER(SEARCH("grosser Artikel",BO56)),2,IFERROR(VLOOKUP(BR56,Parameter!$F$35:$G$64,2,0),2)),IF(OR(BV56="Nein",BV56=""),"-",BV56))))</f>
        <v>2</v>
      </c>
      <c r="AA56" s="62"/>
      <c r="AB56" s="63"/>
      <c r="AC56" s="57" t="n">
        <f aca="false">AR56</f>
        <v>32</v>
      </c>
      <c r="AD56" s="57" t="n">
        <f aca="false">MAX(AR56,H56)</f>
        <v>32</v>
      </c>
      <c r="AE56" s="64"/>
      <c r="AF56" s="57" t="n">
        <f aca="false">IF(LEFT(Cockpit!$C$5,1)="A",H56,IF(CA56=1,CB56,IF(LEFT(Cockpit!$C$5,1)="B",AJ56,MAX(AJ56,H56))))</f>
        <v>10</v>
      </c>
      <c r="AG56" s="57" t="n">
        <f aca="false">IF(BT56=1,0,ROUNDUP(AF56/BS56,0))</f>
        <v>1</v>
      </c>
      <c r="AH56" s="59" t="n">
        <f aca="false">IF(CH56&gt;0,CH56*MAX(1,AF56/X56),IF(BT56=1,IF(AF56&lt;=0,0,BW56*MAX(1,IF(H56&gt;0,AF56/H56,1))),IF(R56&gt;0,AG56/R56,0))/MAX(0.1,N(Parameter!$M$21)))</f>
        <v>0.0833333333333333</v>
      </c>
      <c r="AI56" s="57" t="n">
        <f aca="false">AF56*G56</f>
        <v>4556.3</v>
      </c>
      <c r="AJ56" s="57" t="n">
        <f aca="false">ROUNDUP(MAX(J56/IF(BZ56&gt;0,BZ56,MAX(0.1,N(Cockpit!$C$6))),CC56)/BS56,0)*BS56</f>
        <v>32</v>
      </c>
      <c r="AK56" s="58" t="n">
        <f aca="false">IF(AH56&gt;0,J56/AH56,-1)</f>
        <v>0</v>
      </c>
      <c r="AL56" s="58" t="n">
        <f aca="false">IF(AND(OR(BY56="L1",BY56="L23"),AH56&gt;0),SUMIFS($AH$7:$AH$1843,$BY$7:$BY$1843,BY56,$AK$7:$AK$1843,"&gt;"&amp;AK56)+SUMIFS($AH$7:$AH$1843,$BY$7:$BY$1843,BY56,$AK$7:$AK$1843,AK56,$BQ$7:$BQ$1843,"&lt;="&amp;BQ56),"")</f>
        <v>67.8688726732205</v>
      </c>
      <c r="AM56" s="65" t="n">
        <f aca="false">IF(AL56="",0,MAX(0,MIN(1,(IF(BY56="L1",Parameter!$E$5,Parameter!$E$6+Parameter!$E$7)-(AL56-AH56))/AH56)))</f>
        <v>1</v>
      </c>
      <c r="AN56" s="57" t="n">
        <f aca="false">IF(LEFT(Cockpit!$I$5,1)="A",H56,IF(CA56=1,CB56,IF(LEFT(Cockpit!$I$5,1)="B",AR56,MAX(AR56,H56))))</f>
        <v>32</v>
      </c>
      <c r="AO56" s="57" t="n">
        <f aca="false">IF(BT56=1,0,ROUNDUP(AN56/BS56,0))</f>
        <v>2</v>
      </c>
      <c r="AP56" s="59" t="n">
        <f aca="false">IF(CH56&gt;0,CH56*MAX(1,AN56/X56),IF(BT56=1,IF(AN56&lt;=0,0,BW56*MAX(1,IF(H56&gt;0,AN56/H56,1))),IF(R56&gt;0,AO56/R56,0))/MAX(0.1,N(Parameter!$M$21)))</f>
        <v>0.166666666666667</v>
      </c>
      <c r="AQ56" s="57" t="n">
        <f aca="false">AN56*G56</f>
        <v>14580.16</v>
      </c>
      <c r="AR56" s="57" t="n">
        <f aca="false">ROUNDUP(MAX(J56/IF(BZ56&gt;0,BZ56,MAX(0.1,N(Cockpit!$I$6))),CC56)/BS56,0)*BS56</f>
        <v>32</v>
      </c>
      <c r="AS56" s="58" t="n">
        <f aca="false">IF(AP56&gt;0,J56/AP56,-1)</f>
        <v>0</v>
      </c>
      <c r="AT56" s="58" t="n">
        <f aca="false">IF(AND(OR(BY56="L1",BY56="L23"),AP56&gt;0),SUMIFS($AP$7:$AP$1843,$BY$7:$BY$1843,BY56,$AS$7:$AS$1843,"&gt;"&amp;AS56)+SUMIFS($AP$7:$AP$1843,$BY$7:$BY$1843,BY56,$AS$7:$AS$1843,AS56,$BQ$7:$BQ$1843,"&lt;="&amp;BQ56),"")</f>
        <v>107.209663524881</v>
      </c>
      <c r="AU56" s="65" t="n">
        <f aca="false">IF(AT56="",0,MAX(0,MIN(1,(IF(BY56="L1",Parameter!$E$5,Parameter!$E$6+Parameter!$E$7)-(AT56-AP56))/AP56)))</f>
        <v>0</v>
      </c>
      <c r="AV56" s="57" t="n">
        <f aca="false">IF(LEFT(Cockpit!$O$5,1)="A",H56,IF(CA56=1,CB56,IF(LEFT(Cockpit!$O$5,1)="B",AZ56,MAX(AZ56,H56))))</f>
        <v>32</v>
      </c>
      <c r="AW56" s="57" t="n">
        <f aca="false">IF(BT56=1,0,ROUNDUP(AV56/BS56,0))</f>
        <v>2</v>
      </c>
      <c r="AX56" s="59" t="n">
        <f aca="false">IF(CH56&gt;0,CH56*MAX(1,AV56/X56),IF(BT56=1,IF(AV56&lt;=0,0,BW56*MAX(1,IF(H56&gt;0,AV56/H56,1))),IF(R56&gt;0,AW56/R56,0))/MAX(0.1,N(Parameter!$M$21)))</f>
        <v>0.166666666666667</v>
      </c>
      <c r="AY56" s="57" t="n">
        <f aca="false">AV56*G56</f>
        <v>14580.16</v>
      </c>
      <c r="AZ56" s="57" t="n">
        <f aca="false">ROUNDUP(MAX(J56/IF(BZ56&gt;0,BZ56,MAX(0.1,N(Cockpit!$O$6))),CC56)/BS56,0)*BS56</f>
        <v>32</v>
      </c>
      <c r="BA56" s="58" t="n">
        <f aca="false">IF(AX56&gt;0,J56/AX56,-1)</f>
        <v>0</v>
      </c>
      <c r="BB56" s="58" t="n">
        <f aca="false">IF(AND(OR(BY56="L1",BY56="L23"),AX56&gt;0),SUMIFS($AX$7:$AX$1843,$BY$7:$BY$1843,BY56,$BA$7:$BA$1843,"&gt;"&amp;BA56)+SUMIFS($AX$7:$AX$1843,$BY$7:$BY$1843,BY56,$BA$7:$BA$1843,BA56,$BQ$7:$BQ$1843,"&lt;="&amp;BQ56),"")</f>
        <v>98.0395003547178</v>
      </c>
      <c r="BC56" s="65" t="n">
        <f aca="false">IF(BB56="",0,MAX(0,MIN(1,(IF(BY56="L1",Parameter!$E$5,Parameter!$E$6+Parameter!$E$7)-(BB56-AX56))/AX56)))</f>
        <v>1</v>
      </c>
      <c r="BD56" s="55" t="str">
        <f aca="false">IF(AH56&lt;=0,"",IF(BY56="Aussen","Aussenlager",IF(BY56="-","Nicht im Lift",IF(AM56&gt;=1,"Lift",IF(AM56&lt;=0,"Aussenlager","teilweise")))))</f>
        <v>Lift</v>
      </c>
      <c r="BE56" s="55" t="str">
        <f aca="false">IF(AP56&lt;=0,"",IF(BY56="Aussen","Aussenlager",IF(BY56="-","Nicht im Lift",IF(AU56&gt;=1,"Lift",IF(AU56&lt;=0,"Aussenlager","teilweise")))))</f>
        <v>Aussenlager</v>
      </c>
      <c r="BF56" s="55" t="str">
        <f aca="false">IF(AX56&lt;=0,"",IF(BY56="Aussen","Aussenlager",IF(BY56="-","Nicht im Lift",IF(BC56&gt;=1,"Lift",IF(BC56&lt;=0,"Aussenlager","teilweise")))))</f>
        <v>Lift</v>
      </c>
      <c r="BG56" s="55" t="str">
        <f aca="false">IF(A56="","",IF(BP56=1,"Neu; ","")&amp;IF(AND(BP56=0,BK56&lt;0),"negativer Bestand (Export "&amp;BK56&amp;"); ","")&amp;IF(J56&lt;=0,"Kein Verbrauch; ","")&amp;IF(CH56&gt;0,"Lift "&amp;W56&amp;" lt. Liftbericht (Fach "&amp;X56&amp;" Stk); ",IF(BU56=1,"Gebinde geschätzt ("&amp;T56&amp;"); ",IF(BT56=1,"Lose – Tablare geschätzt; ","")))&amp;IF(H56&gt;AR56,"Überbestand "&amp;ROUND(H56-AR56,0)&amp;" Stk / CHF "&amp;ROUND((H56-AR56)*G56,0)&amp;"; ","")&amp;IF(AND(CA56=1,CB56&lt;CC56),"MAX &lt; MB+LG; ","")&amp;IF(AND(CG56&gt;0,CF56*10&gt;CG56),"zu hoch für Tablar; ","")&amp;IF(AND(BP56=0,OR(CA56=1,AA56&lt;&gt;"",U56&lt;&gt;"",V56&lt;&gt;"",AB56&lt;&gt;"")),"manuell übersteuert; ","")&amp;IF(AND(BT56=0,R56=0),"Gebinde unbekannt / Stellmass fehlt; ","")&amp;IF(AND(BT56=0,N(V56)&lt;=0,N(Q56)&lt;=0),"Menge pro Gebinde fehlt (Ist = 1 Gebinde); ","")&amp;BO56)</f>
        <v>Kein Verbrauch; Gebinde geschätzt (Mittel); Menge pro Gebinde fehlt (Ist = 1 Gebinde); </v>
      </c>
      <c r="BH56" s="55" t="s">
        <v>214</v>
      </c>
      <c r="BI56" s="55"/>
      <c r="BJ56" s="62"/>
      <c r="BK56" s="57" t="n">
        <v>10</v>
      </c>
      <c r="BL56" s="57" t="n">
        <v>0</v>
      </c>
      <c r="BM56" s="56" t="n">
        <v>4556.3</v>
      </c>
      <c r="BN56" s="57" t="n">
        <v>0</v>
      </c>
      <c r="BO56" s="55"/>
      <c r="BP56" s="60" t="n">
        <v>0</v>
      </c>
      <c r="BQ56" s="60" t="n">
        <v>56</v>
      </c>
      <c r="BR56" s="55" t="str">
        <f aca="false">IF(U56&lt;&gt;"",UPPER(TRIM(U56)),IF(BU56=1,UPPER(VLOOKUP(T56,Parameter!$I$27:$K$29,2,0)),IF(P56="","LOSE",P56)))</f>
        <v>S61</v>
      </c>
      <c r="BS56" s="57" t="n">
        <f aca="false">IF(BR56="LOSE",1,IF(N(V56)&gt;0,V56,IF(BU56=1,MAX(1,N(VLOOKUP(T56,Parameter!$I$27:$K$29,3,0)),H56,N(N56)),IF(N(Q56)&gt;0,Q56,MAX(1,H56)))))</f>
        <v>16</v>
      </c>
      <c r="BT56" s="60" t="n">
        <f aca="false">IF(BR56="LOSE",1,0)</f>
        <v>0</v>
      </c>
      <c r="BU56" s="60" t="n">
        <f aca="false">IF(AND(U56="",OR(P56="",P56="LOSE"),T56&lt;&gt;"",N(S56)&lt;=0,ISNUMBER(MATCH(T56,Parameter!$I$27:$I$29,0))),1,0)</f>
        <v>1</v>
      </c>
      <c r="BV56" s="55" t="str">
        <f aca="false">IF(AND(Parameter!$B$19="Ja",E56&lt;&gt;"",ISNUMBER(MATCH(E56,Parameter!$I$35:$I$52,0))),VLOOKUP(E56,Parameter!$I$35:$J$52,2,0),IFERROR(VLOOKUP(D56,Parameter!$A$35:$C$64,2,0),"Nein"))</f>
        <v>2+3</v>
      </c>
      <c r="BW56" s="59" t="n">
        <f aca="false">IF(BT56=0,0,IF(N(S56)&gt;0,S56,IFERROR(VLOOKUP(D56,Parameter!$A$35:$C$64,3,0)+0,0)))</f>
        <v>0</v>
      </c>
      <c r="BX56" s="55" t="n">
        <f aca="false">IF(AA56&lt;&gt;"",AA56,Z56)</f>
        <v>2</v>
      </c>
      <c r="BY56" s="55" t="str">
        <f aca="false">IF(BX56=1,"L1",IF(OR(BX56=2,BX56=3),"L23",IF(BX56="Aussen","Aussen","-")))</f>
        <v>L23</v>
      </c>
      <c r="BZ56" s="66" t="n">
        <f aca="false">IF(N(AB56)&gt;0,AB56,0)</f>
        <v>0</v>
      </c>
      <c r="CA56" s="60" t="n">
        <f aca="false">IF(ISNUMBER(AE56),1,0)</f>
        <v>0</v>
      </c>
      <c r="CB56" s="57" t="n">
        <f aca="false">N(AE56)</f>
        <v>0</v>
      </c>
      <c r="CC56" s="57" t="n">
        <f aca="false">N(M56)+N(N56)</f>
        <v>20</v>
      </c>
      <c r="CD56" s="57" t="n">
        <f aca="false">ROUNDUP(H56/BS56,0)</f>
        <v>1</v>
      </c>
      <c r="CE56" s="57" t="n">
        <f aca="false">ROUNDUP(CB56/BS56,0)</f>
        <v>0</v>
      </c>
      <c r="CF56" s="60" t="n">
        <f aca="false">IF(BT56=1,0,IFERROR(VLOOKUP(BR56,'Gebinde-Kategorie'!$A$5:$M$45,5,0)+0,0))</f>
        <v>11</v>
      </c>
      <c r="CG56" s="60" t="n">
        <f aca="false">IFERROR(IF(OR(BX56=1,BX56=2,BX56=3),N(INDEX(Parameter!$I$5:$I$7,BX56)),0),0)</f>
        <v>0</v>
      </c>
      <c r="CH56" s="59" t="n">
        <f aca="false">IF(AND(Parameter!$B$21="Ja",ISNUMBER(W56),N(X56)&gt;0),IFERROR(N(INDEX(Parameter!$L$5:$L$7,W56))*INDEX(Parameter!$E$5:$E$7,W56)*X56/SUMIFS($X$7:$X$1843,$W$7:$W$1843,W56),0),0)</f>
        <v>0</v>
      </c>
    </row>
    <row r="57" customFormat="false" ht="15" hidden="false" customHeight="false" outlineLevel="0" collapsed="false">
      <c r="A57" s="55" t="s">
        <v>309</v>
      </c>
      <c r="B57" s="55" t="s">
        <v>310</v>
      </c>
      <c r="C57" s="55" t="s">
        <v>164</v>
      </c>
      <c r="D57" s="55" t="s">
        <v>184</v>
      </c>
      <c r="E57" s="55" t="s">
        <v>185</v>
      </c>
      <c r="F57" s="55" t="s">
        <v>218</v>
      </c>
      <c r="G57" s="56" t="n">
        <v>280.9</v>
      </c>
      <c r="H57" s="57" t="n">
        <f aca="false">MAX(0,IF(AND(Parameter!$B$21="Ja",ISNUMBER(Y57)),Y57,IF(Parameter!$B$20="Jahresanfang 2025 + Export",BL57+BK57,BK57)))</f>
        <v>64</v>
      </c>
      <c r="I57" s="57" t="n">
        <f aca="false">H57*G57</f>
        <v>17977.6</v>
      </c>
      <c r="J57" s="57" t="n">
        <f aca="false">BN57*Parameter!$B$18</f>
        <v>232</v>
      </c>
      <c r="K57" s="58" t="n">
        <v>71</v>
      </c>
      <c r="L57" s="59" t="n">
        <v>3.26760563380282</v>
      </c>
      <c r="M57" s="57" t="n">
        <v>13</v>
      </c>
      <c r="N57" s="57" t="n">
        <v>25</v>
      </c>
      <c r="O57" s="60" t="n">
        <v>21</v>
      </c>
      <c r="P57" s="55" t="s">
        <v>293</v>
      </c>
      <c r="Q57" s="57" t="n">
        <v>89</v>
      </c>
      <c r="R57" s="60" t="n">
        <f aca="false">IF(BT57=1,0,IFERROR(VLOOKUP(BR57,'Gebinde-Kategorie'!$A$5:$M$45,13,0)+0,0))</f>
        <v>12</v>
      </c>
      <c r="S57" s="61"/>
      <c r="T57" s="62"/>
      <c r="U57" s="62"/>
      <c r="V57" s="62"/>
      <c r="W57" s="55"/>
      <c r="X57" s="57"/>
      <c r="Y57" s="57"/>
      <c r="Z57" s="55" t="n">
        <f aca="false">IF(A57="","",IF(AND(Parameter!$B$21="Ja",ISNUMBER(W57)),W57,IF(BV57="2+3",IF(ISNUMBER(SEARCH("grosser Artikel",BO57)),2,IFERROR(VLOOKUP(BR57,Parameter!$F$35:$G$64,2,0),2)),IF(OR(BV57="Nein",BV57=""),"-",BV57))))</f>
        <v>2</v>
      </c>
      <c r="AA57" s="62"/>
      <c r="AB57" s="63"/>
      <c r="AC57" s="57" t="n">
        <f aca="false">AR57</f>
        <v>178</v>
      </c>
      <c r="AD57" s="57" t="n">
        <f aca="false">MAX(AR57,H57)</f>
        <v>178</v>
      </c>
      <c r="AE57" s="64"/>
      <c r="AF57" s="57" t="n">
        <f aca="false">IF(LEFT(Cockpit!$C$5,1)="A",H57,IF(CA57=1,CB57,IF(LEFT(Cockpit!$C$5,1)="B",AJ57,MAX(AJ57,H57))))</f>
        <v>64</v>
      </c>
      <c r="AG57" s="57" t="n">
        <f aca="false">IF(BT57=1,0,ROUNDUP(AF57/BS57,0))</f>
        <v>1</v>
      </c>
      <c r="AH57" s="59" t="n">
        <f aca="false">IF(CH57&gt;0,CH57*MAX(1,AF57/X57),IF(BT57=1,IF(AF57&lt;=0,0,BW57*MAX(1,IF(H57&gt;0,AF57/H57,1))),IF(R57&gt;0,AG57/R57,0))/MAX(0.1,N(Parameter!$M$21)))</f>
        <v>0.0833333333333333</v>
      </c>
      <c r="AI57" s="57" t="n">
        <f aca="false">AF57*G57</f>
        <v>17977.6</v>
      </c>
      <c r="AJ57" s="57" t="n">
        <f aca="false">ROUNDUP(MAX(J57/IF(BZ57&gt;0,BZ57,MAX(0.1,N(Cockpit!$C$6))),CC57)/BS57,0)*BS57</f>
        <v>178</v>
      </c>
      <c r="AK57" s="58" t="n">
        <f aca="false">IF(AH57&gt;0,J57/AH57,-1)</f>
        <v>2784</v>
      </c>
      <c r="AL57" s="58" t="n">
        <f aca="false">IF(AND(OR(BY57="L1",BY57="L23"),AH57&gt;0),SUMIFS($AH$7:$AH$1843,$BY$7:$BY$1843,BY57,$AK$7:$AK$1843,"&gt;"&amp;AK57)+SUMIFS($AH$7:$AH$1843,$BY$7:$BY$1843,BY57,$AK$7:$AK$1843,AK57,$BQ$7:$BQ$1843,"&lt;="&amp;BQ57),"")</f>
        <v>10.8951302320868</v>
      </c>
      <c r="AM57" s="65" t="n">
        <f aca="false">IF(AL57="",0,MAX(0,MIN(1,(IF(BY57="L1",Parameter!$E$5,Parameter!$E$6+Parameter!$E$7)-(AL57-AH57))/AH57)))</f>
        <v>1</v>
      </c>
      <c r="AN57" s="57" t="n">
        <f aca="false">IF(LEFT(Cockpit!$I$5,1)="A",H57,IF(CA57=1,CB57,IF(LEFT(Cockpit!$I$5,1)="B",AR57,MAX(AR57,H57))))</f>
        <v>178</v>
      </c>
      <c r="AO57" s="57" t="n">
        <f aca="false">IF(BT57=1,0,ROUNDUP(AN57/BS57,0))</f>
        <v>2</v>
      </c>
      <c r="AP57" s="59" t="n">
        <f aca="false">IF(CH57&gt;0,CH57*MAX(1,AN57/X57),IF(BT57=1,IF(AN57&lt;=0,0,BW57*MAX(1,IF(H57&gt;0,AN57/H57,1))),IF(R57&gt;0,AO57/R57,0))/MAX(0.1,N(Parameter!$M$21)))</f>
        <v>0.166666666666667</v>
      </c>
      <c r="AQ57" s="57" t="n">
        <f aca="false">AN57*G57</f>
        <v>50000.2</v>
      </c>
      <c r="AR57" s="57" t="n">
        <f aca="false">ROUNDUP(MAX(J57/IF(BZ57&gt;0,BZ57,MAX(0.1,N(Cockpit!$I$6))),CC57)/BS57,0)*BS57</f>
        <v>178</v>
      </c>
      <c r="AS57" s="58" t="n">
        <f aca="false">IF(AP57&gt;0,J57/AP57,-1)</f>
        <v>1392</v>
      </c>
      <c r="AT57" s="58" t="n">
        <f aca="false">IF(AND(OR(BY57="L1",BY57="L23"),AP57&gt;0),SUMIFS($AP$7:$AP$1843,$BY$7:$BY$1843,BY57,$AS$7:$AS$1843,"&gt;"&amp;AS57)+SUMIFS($AP$7:$AP$1843,$BY$7:$BY$1843,BY57,$AS$7:$AS$1843,AS57,$BQ$7:$BQ$1843,"&lt;="&amp;BQ57),"")</f>
        <v>21.2012938752069</v>
      </c>
      <c r="AU57" s="65" t="n">
        <f aca="false">IF(AT57="",0,MAX(0,MIN(1,(IF(BY57="L1",Parameter!$E$5,Parameter!$E$6+Parameter!$E$7)-(AT57-AP57))/AP57)))</f>
        <v>1</v>
      </c>
      <c r="AV57" s="57" t="n">
        <f aca="false">IF(LEFT(Cockpit!$O$5,1)="A",H57,IF(CA57=1,CB57,IF(LEFT(Cockpit!$O$5,1)="B",AZ57,MAX(AZ57,H57))))</f>
        <v>89</v>
      </c>
      <c r="AW57" s="57" t="n">
        <f aca="false">IF(BT57=1,0,ROUNDUP(AV57/BS57,0))</f>
        <v>1</v>
      </c>
      <c r="AX57" s="59" t="n">
        <f aca="false">IF(CH57&gt;0,CH57*MAX(1,AV57/X57),IF(BT57=1,IF(AV57&lt;=0,0,BW57*MAX(1,IF(H57&gt;0,AV57/H57,1))),IF(R57&gt;0,AW57/R57,0))/MAX(0.1,N(Parameter!$M$21)))</f>
        <v>0.0833333333333333</v>
      </c>
      <c r="AY57" s="57" t="n">
        <f aca="false">AV57*G57</f>
        <v>25000.1</v>
      </c>
      <c r="AZ57" s="57" t="n">
        <f aca="false">ROUNDUP(MAX(J57/IF(BZ57&gt;0,BZ57,MAX(0.1,N(Cockpit!$O$6))),CC57)/BS57,0)*BS57</f>
        <v>89</v>
      </c>
      <c r="BA57" s="58" t="n">
        <f aca="false">IF(AX57&gt;0,J57/AX57,-1)</f>
        <v>2784</v>
      </c>
      <c r="BB57" s="58" t="n">
        <f aca="false">IF(AND(OR(BY57="L1",BY57="L23"),AX57&gt;0),SUMIFS($AX$7:$AX$1843,$BY$7:$BY$1843,BY57,$BA$7:$BA$1843,"&gt;"&amp;BA57)+SUMIFS($AX$7:$AX$1843,$BY$7:$BY$1843,BY57,$BA$7:$BA$1843,BA57,$BQ$7:$BQ$1843,"&lt;="&amp;BQ57),"")</f>
        <v>14.3590419242593</v>
      </c>
      <c r="BC57" s="65" t="n">
        <f aca="false">IF(BB57="",0,MAX(0,MIN(1,(IF(BY57="L1",Parameter!$E$5,Parameter!$E$6+Parameter!$E$7)-(BB57-AX57))/AX57)))</f>
        <v>1</v>
      </c>
      <c r="BD57" s="55" t="str">
        <f aca="false">IF(AH57&lt;=0,"",IF(BY57="Aussen","Aussenlager",IF(BY57="-","Nicht im Lift",IF(AM57&gt;=1,"Lift",IF(AM57&lt;=0,"Aussenlager","teilweise")))))</f>
        <v>Lift</v>
      </c>
      <c r="BE57" s="55" t="str">
        <f aca="false">IF(AP57&lt;=0,"",IF(BY57="Aussen","Aussenlager",IF(BY57="-","Nicht im Lift",IF(AU57&gt;=1,"Lift",IF(AU57&lt;=0,"Aussenlager","teilweise")))))</f>
        <v>Lift</v>
      </c>
      <c r="BF57" s="55" t="str">
        <f aca="false">IF(AX57&lt;=0,"",IF(BY57="Aussen","Aussenlager",IF(BY57="-","Nicht im Lift",IF(BC57&gt;=1,"Lift",IF(BC57&lt;=0,"Aussenlager","teilweise")))))</f>
        <v>Lift</v>
      </c>
      <c r="BG57" s="55" t="str">
        <f aca="false">IF(A57="","",IF(BP57=1,"Neu; ","")&amp;IF(AND(BP57=0,BK57&lt;0),"negativer Bestand (Export "&amp;BK57&amp;"); ","")&amp;IF(J57&lt;=0,"Kein Verbrauch; ","")&amp;IF(CH57&gt;0,"Lift "&amp;W57&amp;" lt. Liftbericht (Fach "&amp;X57&amp;" Stk); ",IF(BU57=1,"Gebinde geschätzt ("&amp;T57&amp;"); ",IF(BT57=1,"Lose – Tablare geschätzt; ","")))&amp;IF(H57&gt;AR57,"Überbestand "&amp;ROUND(H57-AR57,0)&amp;" Stk / CHF "&amp;ROUND((H57-AR57)*G57,0)&amp;"; ","")&amp;IF(AND(CA57=1,CB57&lt;CC57),"MAX &lt; MB+LG; ","")&amp;IF(AND(CG57&gt;0,CF57*10&gt;CG57),"zu hoch für Tablar; ","")&amp;IF(AND(BP57=0,OR(CA57=1,AA57&lt;&gt;"",U57&lt;&gt;"",V57&lt;&gt;"",AB57&lt;&gt;"")),"manuell übersteuert; ","")&amp;IF(AND(BT57=0,R57=0),"Gebinde unbekannt / Stellmass fehlt; ","")&amp;IF(AND(BT57=0,N(V57)&lt;=0,N(Q57)&lt;=0),"Menge pro Gebinde fehlt (Ist = 1 Gebinde); ","")&amp;BO57)</f>
        <v/>
      </c>
      <c r="BH57" s="55"/>
      <c r="BI57" s="55"/>
      <c r="BJ57" s="62"/>
      <c r="BK57" s="57" t="n">
        <v>13</v>
      </c>
      <c r="BL57" s="57" t="n">
        <v>51</v>
      </c>
      <c r="BM57" s="56" t="n">
        <v>4516.17999999989</v>
      </c>
      <c r="BN57" s="57" t="n">
        <v>232</v>
      </c>
      <c r="BO57" s="55"/>
      <c r="BP57" s="60" t="n">
        <v>0</v>
      </c>
      <c r="BQ57" s="60" t="n">
        <v>57</v>
      </c>
      <c r="BR57" s="55" t="str">
        <f aca="false">IF(U57&lt;&gt;"",UPPER(TRIM(U57)),IF(BU57=1,UPPER(VLOOKUP(T57,Parameter!$I$27:$K$29,2,0)),IF(P57="","LOSE",P57)))</f>
        <v>S62</v>
      </c>
      <c r="BS57" s="57" t="n">
        <f aca="false">IF(BR57="LOSE",1,IF(N(V57)&gt;0,V57,IF(BU57=1,MAX(1,N(VLOOKUP(T57,Parameter!$I$27:$K$29,3,0)),H57,N(N57)),IF(N(Q57)&gt;0,Q57,MAX(1,H57)))))</f>
        <v>89</v>
      </c>
      <c r="BT57" s="60" t="n">
        <f aca="false">IF(BR57="LOSE",1,0)</f>
        <v>0</v>
      </c>
      <c r="BU57" s="60" t="n">
        <f aca="false">IF(AND(U57="",OR(P57="",P57="LOSE"),T57&lt;&gt;"",N(S57)&lt;=0,ISNUMBER(MATCH(T57,Parameter!$I$27:$I$29,0))),1,0)</f>
        <v>0</v>
      </c>
      <c r="BV57" s="55" t="str">
        <f aca="false">IF(AND(Parameter!$B$19="Ja",E57&lt;&gt;"",ISNUMBER(MATCH(E57,Parameter!$I$35:$I$52,0))),VLOOKUP(E57,Parameter!$I$35:$J$52,2,0),IFERROR(VLOOKUP(D57,Parameter!$A$35:$C$64,2,0),"Nein"))</f>
        <v>2+3</v>
      </c>
      <c r="BW57" s="59" t="n">
        <f aca="false">IF(BT57=0,0,IF(N(S57)&gt;0,S57,IFERROR(VLOOKUP(D57,Parameter!$A$35:$C$64,3,0)+0,0)))</f>
        <v>0</v>
      </c>
      <c r="BX57" s="55" t="n">
        <f aca="false">IF(AA57&lt;&gt;"",AA57,Z57)</f>
        <v>2</v>
      </c>
      <c r="BY57" s="55" t="str">
        <f aca="false">IF(BX57=1,"L1",IF(OR(BX57=2,BX57=3),"L23",IF(BX57="Aussen","Aussen","-")))</f>
        <v>L23</v>
      </c>
      <c r="BZ57" s="66" t="n">
        <f aca="false">IF(N(AB57)&gt;0,AB57,0)</f>
        <v>0</v>
      </c>
      <c r="CA57" s="60" t="n">
        <f aca="false">IF(ISNUMBER(AE57),1,0)</f>
        <v>0</v>
      </c>
      <c r="CB57" s="57" t="n">
        <f aca="false">N(AE57)</f>
        <v>0</v>
      </c>
      <c r="CC57" s="57" t="n">
        <f aca="false">N(M57)+N(N57)</f>
        <v>38</v>
      </c>
      <c r="CD57" s="57" t="n">
        <f aca="false">ROUNDUP(H57/BS57,0)</f>
        <v>1</v>
      </c>
      <c r="CE57" s="57" t="n">
        <f aca="false">ROUNDUP(CB57/BS57,0)</f>
        <v>0</v>
      </c>
      <c r="CF57" s="60" t="n">
        <f aca="false">IF(BT57=1,0,IFERROR(VLOOKUP(BR57,'Gebinde-Kategorie'!$A$5:$M$45,5,0)+0,0))</f>
        <v>21</v>
      </c>
      <c r="CG57" s="60" t="n">
        <f aca="false">IFERROR(IF(OR(BX57=1,BX57=2,BX57=3),N(INDEX(Parameter!$I$5:$I$7,BX57)),0),0)</f>
        <v>0</v>
      </c>
      <c r="CH57" s="59" t="n">
        <f aca="false">IF(AND(Parameter!$B$21="Ja",ISNUMBER(W57),N(X57)&gt;0),IFERROR(N(INDEX(Parameter!$L$5:$L$7,W57))*INDEX(Parameter!$E$5:$E$7,W57)*X57/SUMIFS($X$7:$X$1843,$W$7:$W$1843,W57),0),0)</f>
        <v>0</v>
      </c>
    </row>
    <row r="58" customFormat="false" ht="15" hidden="false" customHeight="false" outlineLevel="0" collapsed="false">
      <c r="A58" s="55" t="s">
        <v>311</v>
      </c>
      <c r="B58" s="55" t="s">
        <v>312</v>
      </c>
      <c r="C58" s="55" t="s">
        <v>164</v>
      </c>
      <c r="D58" s="55" t="s">
        <v>184</v>
      </c>
      <c r="E58" s="55" t="s">
        <v>185</v>
      </c>
      <c r="F58" s="55" t="s">
        <v>218</v>
      </c>
      <c r="G58" s="56" t="n">
        <v>15.95</v>
      </c>
      <c r="H58" s="57" t="n">
        <f aca="false">MAX(0,IF(AND(Parameter!$B$21="Ja",ISNUMBER(Y58)),Y58,IF(Parameter!$B$20="Jahresanfang 2025 + Export",BL58+BK58,BK58)))</f>
        <v>309</v>
      </c>
      <c r="I58" s="57" t="n">
        <f aca="false">H58*G58</f>
        <v>4928.55</v>
      </c>
      <c r="J58" s="57" t="n">
        <f aca="false">BN58*Parameter!$B$18</f>
        <v>310</v>
      </c>
      <c r="K58" s="58" t="n">
        <v>94.5</v>
      </c>
      <c r="L58" s="59" t="n">
        <v>3.28042328042328</v>
      </c>
      <c r="M58" s="57" t="n">
        <v>50</v>
      </c>
      <c r="N58" s="57" t="n">
        <v>225</v>
      </c>
      <c r="O58" s="60" t="n">
        <v>56</v>
      </c>
      <c r="P58" s="55" t="s">
        <v>302</v>
      </c>
      <c r="Q58" s="57" t="n">
        <v>142</v>
      </c>
      <c r="R58" s="60" t="n">
        <f aca="false">IF(BT58=1,0,IFERROR(VLOOKUP(BR58,'Gebinde-Kategorie'!$A$5:$M$45,13,0)+0,0))</f>
        <v>26</v>
      </c>
      <c r="S58" s="61"/>
      <c r="T58" s="62"/>
      <c r="U58" s="62"/>
      <c r="V58" s="62"/>
      <c r="W58" s="55"/>
      <c r="X58" s="57"/>
      <c r="Y58" s="57"/>
      <c r="Z58" s="55" t="n">
        <f aca="false">IF(A58="","",IF(AND(Parameter!$B$21="Ja",ISNUMBER(W58)),W58,IF(BV58="2+3",IF(ISNUMBER(SEARCH("grosser Artikel",BO58)),2,IFERROR(VLOOKUP(BR58,Parameter!$F$35:$G$64,2,0),2)),IF(OR(BV58="Nein",BV58=""),"-",BV58))))</f>
        <v>3</v>
      </c>
      <c r="AA58" s="62"/>
      <c r="AB58" s="63"/>
      <c r="AC58" s="57" t="n">
        <f aca="false">AR58</f>
        <v>284</v>
      </c>
      <c r="AD58" s="57" t="n">
        <f aca="false">MAX(AR58,H58)</f>
        <v>309</v>
      </c>
      <c r="AE58" s="64"/>
      <c r="AF58" s="57" t="n">
        <f aca="false">IF(LEFT(Cockpit!$C$5,1)="A",H58,IF(CA58=1,CB58,IF(LEFT(Cockpit!$C$5,1)="B",AJ58,MAX(AJ58,H58))))</f>
        <v>309</v>
      </c>
      <c r="AG58" s="57" t="n">
        <f aca="false">IF(BT58=1,0,ROUNDUP(AF58/BS58,0))</f>
        <v>3</v>
      </c>
      <c r="AH58" s="59" t="n">
        <f aca="false">IF(CH58&gt;0,CH58*MAX(1,AF58/X58),IF(BT58=1,IF(AF58&lt;=0,0,BW58*MAX(1,IF(H58&gt;0,AF58/H58,1))),IF(R58&gt;0,AG58/R58,0))/MAX(0.1,N(Parameter!$M$21)))</f>
        <v>0.115384615384615</v>
      </c>
      <c r="AI58" s="57" t="n">
        <f aca="false">AF58*G58</f>
        <v>4928.55</v>
      </c>
      <c r="AJ58" s="57" t="n">
        <f aca="false">ROUNDUP(MAX(J58/IF(BZ58&gt;0,BZ58,MAX(0.1,N(Cockpit!$C$6))),CC58)/BS58,0)*BS58</f>
        <v>284</v>
      </c>
      <c r="AK58" s="58" t="n">
        <f aca="false">IF(AH58&gt;0,J58/AH58,-1)</f>
        <v>2686.66666666667</v>
      </c>
      <c r="AL58" s="58" t="n">
        <f aca="false">IF(AND(OR(BY58="L1",BY58="L23"),AH58&gt;0),SUMIFS($AH$7:$AH$1843,$BY$7:$BY$1843,BY58,$AK$7:$AK$1843,"&gt;"&amp;AK58)+SUMIFS($AH$7:$AH$1843,$BY$7:$BY$1843,BY58,$AK$7:$AK$1843,AK58,$BQ$7:$BQ$1843,"&lt;="&amp;BQ58),"")</f>
        <v>11.3422688422688</v>
      </c>
      <c r="AM58" s="65" t="n">
        <f aca="false">IF(AL58="",0,MAX(0,MIN(1,(IF(BY58="L1",Parameter!$E$5,Parameter!$E$6+Parameter!$E$7)-(AL58-AH58))/AH58)))</f>
        <v>1</v>
      </c>
      <c r="AN58" s="57" t="n">
        <f aca="false">IF(LEFT(Cockpit!$I$5,1)="A",H58,IF(CA58=1,CB58,IF(LEFT(Cockpit!$I$5,1)="B",AR58,MAX(AR58,H58))))</f>
        <v>309</v>
      </c>
      <c r="AO58" s="57" t="n">
        <f aca="false">IF(BT58=1,0,ROUNDUP(AN58/BS58,0))</f>
        <v>3</v>
      </c>
      <c r="AP58" s="59" t="n">
        <f aca="false">IF(CH58&gt;0,CH58*MAX(1,AN58/X58),IF(BT58=1,IF(AN58&lt;=0,0,BW58*MAX(1,IF(H58&gt;0,AN58/H58,1))),IF(R58&gt;0,AO58/R58,0))/MAX(0.1,N(Parameter!$M$21)))</f>
        <v>0.115384615384615</v>
      </c>
      <c r="AQ58" s="57" t="n">
        <f aca="false">AN58*G58</f>
        <v>4928.55</v>
      </c>
      <c r="AR58" s="57" t="n">
        <f aca="false">ROUNDUP(MAX(J58/IF(BZ58&gt;0,BZ58,MAX(0.1,N(Cockpit!$I$6))),CC58)/BS58,0)*BS58</f>
        <v>284</v>
      </c>
      <c r="AS58" s="58" t="n">
        <f aca="false">IF(AP58&gt;0,J58/AP58,-1)</f>
        <v>2686.66666666667</v>
      </c>
      <c r="AT58" s="58" t="n">
        <f aca="false">IF(AND(OR(BY58="L1",BY58="L23"),AP58&gt;0),SUMIFS($AP$7:$AP$1843,$BY$7:$BY$1843,BY58,$AS$7:$AS$1843,"&gt;"&amp;AS58)+SUMIFS($AP$7:$AP$1843,$BY$7:$BY$1843,BY58,$AS$7:$AS$1843,AS58,$BQ$7:$BQ$1843,"&lt;="&amp;BQ58),"")</f>
        <v>16.0981385763994</v>
      </c>
      <c r="AU58" s="65" t="n">
        <f aca="false">IF(AT58="",0,MAX(0,MIN(1,(IF(BY58="L1",Parameter!$E$5,Parameter!$E$6+Parameter!$E$7)-(AT58-AP58))/AP58)))</f>
        <v>1</v>
      </c>
      <c r="AV58" s="57" t="n">
        <f aca="false">IF(LEFT(Cockpit!$O$5,1)="A",H58,IF(CA58=1,CB58,IF(LEFT(Cockpit!$O$5,1)="B",AZ58,MAX(AZ58,H58))))</f>
        <v>309</v>
      </c>
      <c r="AW58" s="57" t="n">
        <f aca="false">IF(BT58=1,0,ROUNDUP(AV58/BS58,0))</f>
        <v>3</v>
      </c>
      <c r="AX58" s="59" t="n">
        <f aca="false">IF(CH58&gt;0,CH58*MAX(1,AV58/X58),IF(BT58=1,IF(AV58&lt;=0,0,BW58*MAX(1,IF(H58&gt;0,AV58/H58,1))),IF(R58&gt;0,AW58/R58,0))/MAX(0.1,N(Parameter!$M$21)))</f>
        <v>0.115384615384615</v>
      </c>
      <c r="AY58" s="57" t="n">
        <f aca="false">AV58*G58</f>
        <v>4928.55</v>
      </c>
      <c r="AZ58" s="57" t="n">
        <f aca="false">ROUNDUP(MAX(J58/IF(BZ58&gt;0,BZ58,MAX(0.1,N(Cockpit!$O$6))),CC58)/BS58,0)*BS58</f>
        <v>284</v>
      </c>
      <c r="BA58" s="58" t="n">
        <f aca="false">IF(AX58&gt;0,J58/AX58,-1)</f>
        <v>2686.66666666667</v>
      </c>
      <c r="BB58" s="58" t="n">
        <f aca="false">IF(AND(OR(BY58="L1",BY58="L23"),AX58&gt;0),SUMIFS($AX$7:$AX$1843,$BY$7:$BY$1843,BY58,$BA$7:$BA$1843,"&gt;"&amp;BA58)+SUMIFS($AX$7:$AX$1843,$BY$7:$BY$1843,BY58,$BA$7:$BA$1843,BA58,$BQ$7:$BQ$1843,"&lt;="&amp;BQ58),"")</f>
        <v>14.671565149826</v>
      </c>
      <c r="BC58" s="65" t="n">
        <f aca="false">IF(BB58="",0,MAX(0,MIN(1,(IF(BY58="L1",Parameter!$E$5,Parameter!$E$6+Parameter!$E$7)-(BB58-AX58))/AX58)))</f>
        <v>1</v>
      </c>
      <c r="BD58" s="55" t="str">
        <f aca="false">IF(AH58&lt;=0,"",IF(BY58="Aussen","Aussenlager",IF(BY58="-","Nicht im Lift",IF(AM58&gt;=1,"Lift",IF(AM58&lt;=0,"Aussenlager","teilweise")))))</f>
        <v>Lift</v>
      </c>
      <c r="BE58" s="55" t="str">
        <f aca="false">IF(AP58&lt;=0,"",IF(BY58="Aussen","Aussenlager",IF(BY58="-","Nicht im Lift",IF(AU58&gt;=1,"Lift",IF(AU58&lt;=0,"Aussenlager","teilweise")))))</f>
        <v>Lift</v>
      </c>
      <c r="BF58" s="55" t="str">
        <f aca="false">IF(AX58&lt;=0,"",IF(BY58="Aussen","Aussenlager",IF(BY58="-","Nicht im Lift",IF(BC58&gt;=1,"Lift",IF(BC58&lt;=0,"Aussenlager","teilweise")))))</f>
        <v>Lift</v>
      </c>
      <c r="BG58" s="55" t="str">
        <f aca="false">IF(A58="","",IF(BP58=1,"Neu; ","")&amp;IF(AND(BP58=0,BK58&lt;0),"negativer Bestand (Export "&amp;BK58&amp;"); ","")&amp;IF(J58&lt;=0,"Kein Verbrauch; ","")&amp;IF(CH58&gt;0,"Lift "&amp;W58&amp;" lt. Liftbericht (Fach "&amp;X58&amp;" Stk); ",IF(BU58=1,"Gebinde geschätzt ("&amp;T58&amp;"); ",IF(BT58=1,"Lose – Tablare geschätzt; ","")))&amp;IF(H58&gt;AR58,"Überbestand "&amp;ROUND(H58-AR58,0)&amp;" Stk / CHF "&amp;ROUND((H58-AR58)*G58,0)&amp;"; ","")&amp;IF(AND(CA58=1,CB58&lt;CC58),"MAX &lt; MB+LG; ","")&amp;IF(AND(CG58&gt;0,CF58*10&gt;CG58),"zu hoch für Tablar; ","")&amp;IF(AND(BP58=0,OR(CA58=1,AA58&lt;&gt;"",U58&lt;&gt;"",V58&lt;&gt;"",AB58&lt;&gt;"")),"manuell übersteuert; ","")&amp;IF(AND(BT58=0,R58=0),"Gebinde unbekannt / Stellmass fehlt; ","")&amp;IF(AND(BT58=0,N(V58)&lt;=0,N(Q58)&lt;=0),"Menge pro Gebinde fehlt (Ist = 1 Gebinde); ","")&amp;BO58)</f>
        <v>Überbestand 25 Stk / CHF 399; </v>
      </c>
      <c r="BH58" s="55"/>
      <c r="BI58" s="55"/>
      <c r="BJ58" s="62"/>
      <c r="BK58" s="57" t="n">
        <v>279</v>
      </c>
      <c r="BL58" s="57" t="n">
        <v>30</v>
      </c>
      <c r="BM58" s="56" t="n">
        <v>4460.25</v>
      </c>
      <c r="BN58" s="57" t="n">
        <v>310</v>
      </c>
      <c r="BO58" s="55"/>
      <c r="BP58" s="60" t="n">
        <v>0</v>
      </c>
      <c r="BQ58" s="60" t="n">
        <v>58</v>
      </c>
      <c r="BR58" s="55" t="str">
        <f aca="false">IF(U58&lt;&gt;"",UPPER(TRIM(U58)),IF(BU58=1,UPPER(VLOOKUP(T58,Parameter!$I$27:$K$29,2,0)),IF(P58="","LOSE",P58)))</f>
        <v>S51</v>
      </c>
      <c r="BS58" s="57" t="n">
        <f aca="false">IF(BR58="LOSE",1,IF(N(V58)&gt;0,V58,IF(BU58=1,MAX(1,N(VLOOKUP(T58,Parameter!$I$27:$K$29,3,0)),H58,N(N58)),IF(N(Q58)&gt;0,Q58,MAX(1,H58)))))</f>
        <v>142</v>
      </c>
      <c r="BT58" s="60" t="n">
        <f aca="false">IF(BR58="LOSE",1,0)</f>
        <v>0</v>
      </c>
      <c r="BU58" s="60" t="n">
        <f aca="false">IF(AND(U58="",OR(P58="",P58="LOSE"),T58&lt;&gt;"",N(S58)&lt;=0,ISNUMBER(MATCH(T58,Parameter!$I$27:$I$29,0))),1,0)</f>
        <v>0</v>
      </c>
      <c r="BV58" s="55" t="str">
        <f aca="false">IF(AND(Parameter!$B$19="Ja",E58&lt;&gt;"",ISNUMBER(MATCH(E58,Parameter!$I$35:$I$52,0))),VLOOKUP(E58,Parameter!$I$35:$J$52,2,0),IFERROR(VLOOKUP(D58,Parameter!$A$35:$C$64,2,0),"Nein"))</f>
        <v>2+3</v>
      </c>
      <c r="BW58" s="59" t="n">
        <f aca="false">IF(BT58=0,0,IF(N(S58)&gt;0,S58,IFERROR(VLOOKUP(D58,Parameter!$A$35:$C$64,3,0)+0,0)))</f>
        <v>0</v>
      </c>
      <c r="BX58" s="55" t="n">
        <f aca="false">IF(AA58&lt;&gt;"",AA58,Z58)</f>
        <v>3</v>
      </c>
      <c r="BY58" s="55" t="str">
        <f aca="false">IF(BX58=1,"L1",IF(OR(BX58=2,BX58=3),"L23",IF(BX58="Aussen","Aussen","-")))</f>
        <v>L23</v>
      </c>
      <c r="BZ58" s="66" t="n">
        <f aca="false">IF(N(AB58)&gt;0,AB58,0)</f>
        <v>0</v>
      </c>
      <c r="CA58" s="60" t="n">
        <f aca="false">IF(ISNUMBER(AE58),1,0)</f>
        <v>0</v>
      </c>
      <c r="CB58" s="57" t="n">
        <f aca="false">N(AE58)</f>
        <v>0</v>
      </c>
      <c r="CC58" s="57" t="n">
        <f aca="false">N(M58)+N(N58)</f>
        <v>275</v>
      </c>
      <c r="CD58" s="57" t="n">
        <f aca="false">ROUNDUP(H58/BS58,0)</f>
        <v>3</v>
      </c>
      <c r="CE58" s="57" t="n">
        <f aca="false">ROUNDUP(CB58/BS58,0)</f>
        <v>0</v>
      </c>
      <c r="CF58" s="60" t="n">
        <f aca="false">IF(BT58=1,0,IFERROR(VLOOKUP(BR58,'Gebinde-Kategorie'!$A$5:$M$45,5,0)+0,0))</f>
        <v>11</v>
      </c>
      <c r="CG58" s="60" t="n">
        <f aca="false">IFERROR(IF(OR(BX58=1,BX58=2,BX58=3),N(INDEX(Parameter!$I$5:$I$7,BX58)),0),0)</f>
        <v>0</v>
      </c>
      <c r="CH58" s="59" t="n">
        <f aca="false">IF(AND(Parameter!$B$21="Ja",ISNUMBER(W58),N(X58)&gt;0),IFERROR(N(INDEX(Parameter!$L$5:$L$7,W58))*INDEX(Parameter!$E$5:$E$7,W58)*X58/SUMIFS($X$7:$X$1843,$W$7:$W$1843,W58),0),0)</f>
        <v>0</v>
      </c>
    </row>
    <row r="59" customFormat="false" ht="15" hidden="false" customHeight="false" outlineLevel="0" collapsed="false">
      <c r="A59" s="55" t="s">
        <v>313</v>
      </c>
      <c r="B59" s="55" t="s">
        <v>314</v>
      </c>
      <c r="C59" s="55" t="s">
        <v>164</v>
      </c>
      <c r="D59" s="55" t="s">
        <v>173</v>
      </c>
      <c r="E59" s="55"/>
      <c r="F59" s="55" t="s">
        <v>218</v>
      </c>
      <c r="G59" s="56" t="n">
        <v>2168</v>
      </c>
      <c r="H59" s="57" t="n">
        <f aca="false">MAX(0,IF(AND(Parameter!$B$21="Ja",ISNUMBER(Y59)),Y59,IF(Parameter!$B$20="Jahresanfang 2025 + Export",BL59+BK59,BK59)))</f>
        <v>2</v>
      </c>
      <c r="I59" s="57" t="n">
        <f aca="false">H59*G59</f>
        <v>4336</v>
      </c>
      <c r="J59" s="57" t="n">
        <f aca="false">BN59*Parameter!$B$18</f>
        <v>1</v>
      </c>
      <c r="K59" s="58" t="n">
        <v>1</v>
      </c>
      <c r="L59" s="59" t="n">
        <v>1</v>
      </c>
      <c r="M59" s="57" t="n">
        <v>0</v>
      </c>
      <c r="N59" s="57" t="n">
        <v>1</v>
      </c>
      <c r="O59" s="60" t="n">
        <v>120</v>
      </c>
      <c r="P59" s="55" t="s">
        <v>168</v>
      </c>
      <c r="Q59" s="57"/>
      <c r="R59" s="60" t="n">
        <f aca="false">IF(BT59=1,0,IFERROR(VLOOKUP(BR59,'Gebinde-Kategorie'!$A$5:$M$45,13,0)+0,0))</f>
        <v>12</v>
      </c>
      <c r="S59" s="61"/>
      <c r="T59" s="62" t="s">
        <v>179</v>
      </c>
      <c r="U59" s="62"/>
      <c r="V59" s="62"/>
      <c r="W59" s="55"/>
      <c r="X59" s="57"/>
      <c r="Y59" s="57"/>
      <c r="Z59" s="55" t="n">
        <f aca="false">IF(A59="","",IF(AND(Parameter!$B$21="Ja",ISNUMBER(W59)),W59,IF(BV59="2+3",IF(ISNUMBER(SEARCH("grosser Artikel",BO59)),2,IFERROR(VLOOKUP(BR59,Parameter!$F$35:$G$64,2,0),2)),IF(OR(BV59="Nein",BV59=""),"-",BV59))))</f>
        <v>2</v>
      </c>
      <c r="AA59" s="62"/>
      <c r="AB59" s="63"/>
      <c r="AC59" s="57" t="n">
        <f aca="false">AR59</f>
        <v>4</v>
      </c>
      <c r="AD59" s="57" t="n">
        <f aca="false">MAX(AR59,H59)</f>
        <v>4</v>
      </c>
      <c r="AE59" s="64"/>
      <c r="AF59" s="57" t="n">
        <f aca="false">IF(LEFT(Cockpit!$C$5,1)="A",H59,IF(CA59=1,CB59,IF(LEFT(Cockpit!$C$5,1)="B",AJ59,MAX(AJ59,H59))))</f>
        <v>2</v>
      </c>
      <c r="AG59" s="57" t="n">
        <f aca="false">IF(BT59=1,0,ROUNDUP(AF59/BS59,0))</f>
        <v>1</v>
      </c>
      <c r="AH59" s="59" t="n">
        <f aca="false">IF(CH59&gt;0,CH59*MAX(1,AF59/X59),IF(BT59=1,IF(AF59&lt;=0,0,BW59*MAX(1,IF(H59&gt;0,AF59/H59,1))),IF(R59&gt;0,AG59/R59,0))/MAX(0.1,N(Parameter!$M$21)))</f>
        <v>0.0833333333333333</v>
      </c>
      <c r="AI59" s="57" t="n">
        <f aca="false">AF59*G59</f>
        <v>4336</v>
      </c>
      <c r="AJ59" s="57" t="n">
        <f aca="false">ROUNDUP(MAX(J59/IF(BZ59&gt;0,BZ59,MAX(0.1,N(Cockpit!$C$6))),CC59)/BS59,0)*BS59</f>
        <v>4</v>
      </c>
      <c r="AK59" s="58" t="n">
        <f aca="false">IF(AH59&gt;0,J59/AH59,-1)</f>
        <v>12</v>
      </c>
      <c r="AL59" s="58" t="n">
        <f aca="false">IF(AND(OR(BY59="L1",BY59="L23"),AH59&gt;0),SUMIFS($AH$7:$AH$1843,$BY$7:$BY$1843,BY59,$AK$7:$AK$1843,"&gt;"&amp;AK59)+SUMIFS($AH$7:$AH$1843,$BY$7:$BY$1843,BY59,$AK$7:$AK$1843,AK59,$BQ$7:$BQ$1843,"&lt;="&amp;BQ59),"")</f>
        <v>53.9407452450931</v>
      </c>
      <c r="AM59" s="65" t="n">
        <f aca="false">IF(AL59="",0,MAX(0,MIN(1,(IF(BY59="L1",Parameter!$E$5,Parameter!$E$6+Parameter!$E$7)-(AL59-AH59))/AH59)))</f>
        <v>1</v>
      </c>
      <c r="AN59" s="57" t="n">
        <f aca="false">IF(LEFT(Cockpit!$I$5,1)="A",H59,IF(CA59=1,CB59,IF(LEFT(Cockpit!$I$5,1)="B",AR59,MAX(AR59,H59))))</f>
        <v>4</v>
      </c>
      <c r="AO59" s="57" t="n">
        <f aca="false">IF(BT59=1,0,ROUNDUP(AN59/BS59,0))</f>
        <v>1</v>
      </c>
      <c r="AP59" s="59" t="n">
        <f aca="false">IF(CH59&gt;0,CH59*MAX(1,AN59/X59),IF(BT59=1,IF(AN59&lt;=0,0,BW59*MAX(1,IF(H59&gt;0,AN59/H59,1))),IF(R59&gt;0,AO59/R59,0))/MAX(0.1,N(Parameter!$M$21)))</f>
        <v>0.0833333333333333</v>
      </c>
      <c r="AQ59" s="57" t="n">
        <f aca="false">AN59*G59</f>
        <v>8672</v>
      </c>
      <c r="AR59" s="57" t="n">
        <f aca="false">ROUNDUP(MAX(J59/IF(BZ59&gt;0,BZ59,MAX(0.1,N(Cockpit!$I$6))),CC59)/BS59,0)*BS59</f>
        <v>4</v>
      </c>
      <c r="AS59" s="58" t="n">
        <f aca="false">IF(AP59&gt;0,J59/AP59,-1)</f>
        <v>12</v>
      </c>
      <c r="AT59" s="58" t="n">
        <f aca="false">IF(AND(OR(BY59="L1",BY59="L23"),AP59&gt;0),SUMIFS($AP$7:$AP$1843,$BY$7:$BY$1843,BY59,$AS$7:$AS$1843,"&gt;"&amp;AS59)+SUMIFS($AP$7:$AP$1843,$BY$7:$BY$1843,BY59,$AS$7:$AS$1843,AS59,$BQ$7:$BQ$1843,"&lt;="&amp;BQ59),"")</f>
        <v>80.9482027634202</v>
      </c>
      <c r="AU59" s="65" t="n">
        <f aca="false">IF(AT59="",0,MAX(0,MIN(1,(IF(BY59="L1",Parameter!$E$5,Parameter!$E$6+Parameter!$E$7)-(AT59-AP59))/AP59)))</f>
        <v>1</v>
      </c>
      <c r="AV59" s="57" t="n">
        <f aca="false">IF(LEFT(Cockpit!$O$5,1)="A",H59,IF(CA59=1,CB59,IF(LEFT(Cockpit!$O$5,1)="B",AZ59,MAX(AZ59,H59))))</f>
        <v>4</v>
      </c>
      <c r="AW59" s="57" t="n">
        <f aca="false">IF(BT59=1,0,ROUNDUP(AV59/BS59,0))</f>
        <v>1</v>
      </c>
      <c r="AX59" s="59" t="n">
        <f aca="false">IF(CH59&gt;0,CH59*MAX(1,AV59/X59),IF(BT59=1,IF(AV59&lt;=0,0,BW59*MAX(1,IF(H59&gt;0,AV59/H59,1))),IF(R59&gt;0,AW59/R59,0))/MAX(0.1,N(Parameter!$M$21)))</f>
        <v>0.0833333333333333</v>
      </c>
      <c r="AY59" s="57" t="n">
        <f aca="false">AV59*G59</f>
        <v>8672</v>
      </c>
      <c r="AZ59" s="57" t="n">
        <f aca="false">ROUNDUP(MAX(J59/IF(BZ59&gt;0,BZ59,MAX(0.1,N(Cockpit!$O$6))),CC59)/BS59,0)*BS59</f>
        <v>4</v>
      </c>
      <c r="BA59" s="58" t="n">
        <f aca="false">IF(AX59&gt;0,J59/AX59,-1)</f>
        <v>12</v>
      </c>
      <c r="BB59" s="58" t="n">
        <f aca="false">IF(AND(OR(BY59="L1",BY59="L23"),AX59&gt;0),SUMIFS($AX$7:$AX$1843,$BY$7:$BY$1843,BY59,$BA$7:$BA$1843,"&gt;"&amp;BA59)+SUMIFS($AX$7:$AX$1843,$BY$7:$BY$1843,BY59,$BA$7:$BA$1843,BA59,$BQ$7:$BQ$1843,"&lt;="&amp;BQ59),"")</f>
        <v>80.4447062599237</v>
      </c>
      <c r="BC59" s="65" t="n">
        <f aca="false">IF(BB59="",0,MAX(0,MIN(1,(IF(BY59="L1",Parameter!$E$5,Parameter!$E$6+Parameter!$E$7)-(BB59-AX59))/AX59)))</f>
        <v>1</v>
      </c>
      <c r="BD59" s="55" t="str">
        <f aca="false">IF(AH59&lt;=0,"",IF(BY59="Aussen","Aussenlager",IF(BY59="-","Nicht im Lift",IF(AM59&gt;=1,"Lift",IF(AM59&lt;=0,"Aussenlager","teilweise")))))</f>
        <v>Lift</v>
      </c>
      <c r="BE59" s="55" t="str">
        <f aca="false">IF(AP59&lt;=0,"",IF(BY59="Aussen","Aussenlager",IF(BY59="-","Nicht im Lift",IF(AU59&gt;=1,"Lift",IF(AU59&lt;=0,"Aussenlager","teilweise")))))</f>
        <v>Lift</v>
      </c>
      <c r="BF59" s="55" t="str">
        <f aca="false">IF(AX59&lt;=0,"",IF(BY59="Aussen","Aussenlager",IF(BY59="-","Nicht im Lift",IF(BC59&gt;=1,"Lift",IF(BC59&lt;=0,"Aussenlager","teilweise")))))</f>
        <v>Lift</v>
      </c>
      <c r="BG59" s="55" t="str">
        <f aca="false">IF(A59="","",IF(BP59=1,"Neu; ","")&amp;IF(AND(BP59=0,BK59&lt;0),"negativer Bestand (Export "&amp;BK59&amp;"); ","")&amp;IF(J59&lt;=0,"Kein Verbrauch; ","")&amp;IF(CH59&gt;0,"Lift "&amp;W59&amp;" lt. Liftbericht (Fach "&amp;X59&amp;" Stk); ",IF(BU59=1,"Gebinde geschätzt ("&amp;T59&amp;"); ",IF(BT59=1,"Lose – Tablare geschätzt; ","")))&amp;IF(H59&gt;AR59,"Überbestand "&amp;ROUND(H59-AR59,0)&amp;" Stk / CHF "&amp;ROUND((H59-AR59)*G59,0)&amp;"; ","")&amp;IF(AND(CA59=1,CB59&lt;CC59),"MAX &lt; MB+LG; ","")&amp;IF(AND(CG59&gt;0,CF59*10&gt;CG59),"zu hoch für Tablar; ","")&amp;IF(AND(BP59=0,OR(CA59=1,AA59&lt;&gt;"",U59&lt;&gt;"",V59&lt;&gt;"",AB59&lt;&gt;"")),"manuell übersteuert; ","")&amp;IF(AND(BT59=0,R59=0),"Gebinde unbekannt / Stellmass fehlt; ","")&amp;IF(AND(BT59=0,N(V59)&lt;=0,N(Q59)&lt;=0),"Menge pro Gebinde fehlt (Ist = 1 Gebinde); ","")&amp;BO59)</f>
        <v>Gebinde geschätzt (Mittel); Menge pro Gebinde fehlt (Ist = 1 Gebinde); </v>
      </c>
      <c r="BH59" s="55"/>
      <c r="BI59" s="55"/>
      <c r="BJ59" s="62"/>
      <c r="BK59" s="57" t="n">
        <v>2</v>
      </c>
      <c r="BL59" s="57" t="n">
        <v>0</v>
      </c>
      <c r="BM59" s="56" t="n">
        <v>4336</v>
      </c>
      <c r="BN59" s="57" t="n">
        <v>1</v>
      </c>
      <c r="BO59" s="55"/>
      <c r="BP59" s="60" t="n">
        <v>0</v>
      </c>
      <c r="BQ59" s="60" t="n">
        <v>59</v>
      </c>
      <c r="BR59" s="55" t="str">
        <f aca="false">IF(U59&lt;&gt;"",UPPER(TRIM(U59)),IF(BU59=1,UPPER(VLOOKUP(T59,Parameter!$I$27:$K$29,2,0)),IF(P59="","LOSE",P59)))</f>
        <v>S61</v>
      </c>
      <c r="BS59" s="57" t="n">
        <f aca="false">IF(BR59="LOSE",1,IF(N(V59)&gt;0,V59,IF(BU59=1,MAX(1,N(VLOOKUP(T59,Parameter!$I$27:$K$29,3,0)),H59,N(N59)),IF(N(Q59)&gt;0,Q59,MAX(1,H59)))))</f>
        <v>4</v>
      </c>
      <c r="BT59" s="60" t="n">
        <f aca="false">IF(BR59="LOSE",1,0)</f>
        <v>0</v>
      </c>
      <c r="BU59" s="60" t="n">
        <f aca="false">IF(AND(U59="",OR(P59="",P59="LOSE"),T59&lt;&gt;"",N(S59)&lt;=0,ISNUMBER(MATCH(T59,Parameter!$I$27:$I$29,0))),1,0)</f>
        <v>1</v>
      </c>
      <c r="BV59" s="55" t="str">
        <f aca="false">IF(AND(Parameter!$B$19="Ja",E59&lt;&gt;"",ISNUMBER(MATCH(E59,Parameter!$I$35:$I$52,0))),VLOOKUP(E59,Parameter!$I$35:$J$52,2,0),IFERROR(VLOOKUP(D59,Parameter!$A$35:$C$64,2,0),"Nein"))</f>
        <v>2+3</v>
      </c>
      <c r="BW59" s="59" t="n">
        <f aca="false">IF(BT59=0,0,IF(N(S59)&gt;0,S59,IFERROR(VLOOKUP(D59,Parameter!$A$35:$C$64,3,0)+0,0)))</f>
        <v>0</v>
      </c>
      <c r="BX59" s="55" t="n">
        <f aca="false">IF(AA59&lt;&gt;"",AA59,Z59)</f>
        <v>2</v>
      </c>
      <c r="BY59" s="55" t="str">
        <f aca="false">IF(BX59=1,"L1",IF(OR(BX59=2,BX59=3),"L23",IF(BX59="Aussen","Aussen","-")))</f>
        <v>L23</v>
      </c>
      <c r="BZ59" s="66" t="n">
        <f aca="false">IF(N(AB59)&gt;0,AB59,0)</f>
        <v>0</v>
      </c>
      <c r="CA59" s="60" t="n">
        <f aca="false">IF(ISNUMBER(AE59),1,0)</f>
        <v>0</v>
      </c>
      <c r="CB59" s="57" t="n">
        <f aca="false">N(AE59)</f>
        <v>0</v>
      </c>
      <c r="CC59" s="57" t="n">
        <f aca="false">N(M59)+N(N59)</f>
        <v>1</v>
      </c>
      <c r="CD59" s="57" t="n">
        <f aca="false">ROUNDUP(H59/BS59,0)</f>
        <v>1</v>
      </c>
      <c r="CE59" s="57" t="n">
        <f aca="false">ROUNDUP(CB59/BS59,0)</f>
        <v>0</v>
      </c>
      <c r="CF59" s="60" t="n">
        <f aca="false">IF(BT59=1,0,IFERROR(VLOOKUP(BR59,'Gebinde-Kategorie'!$A$5:$M$45,5,0)+0,0))</f>
        <v>11</v>
      </c>
      <c r="CG59" s="60" t="n">
        <f aca="false">IFERROR(IF(OR(BX59=1,BX59=2,BX59=3),N(INDEX(Parameter!$I$5:$I$7,BX59)),0),0)</f>
        <v>0</v>
      </c>
      <c r="CH59" s="59" t="n">
        <f aca="false">IF(AND(Parameter!$B$21="Ja",ISNUMBER(W59),N(X59)&gt;0),IFERROR(N(INDEX(Parameter!$L$5:$L$7,W59))*INDEX(Parameter!$E$5:$E$7,W59)*X59/SUMIFS($X$7:$X$1843,$W$7:$W$1843,W59),0),0)</f>
        <v>0</v>
      </c>
    </row>
    <row r="60" customFormat="false" ht="15" hidden="false" customHeight="false" outlineLevel="0" collapsed="false">
      <c r="A60" s="55" t="s">
        <v>315</v>
      </c>
      <c r="B60" s="55" t="s">
        <v>316</v>
      </c>
      <c r="C60" s="55" t="s">
        <v>164</v>
      </c>
      <c r="D60" s="55" t="s">
        <v>173</v>
      </c>
      <c r="E60" s="55" t="s">
        <v>166</v>
      </c>
      <c r="F60" s="55" t="s">
        <v>218</v>
      </c>
      <c r="G60" s="56" t="n">
        <v>605.97</v>
      </c>
      <c r="H60" s="57" t="n">
        <f aca="false">MAX(0,IF(AND(Parameter!$B$21="Ja",ISNUMBER(Y60)),Y60,IF(Parameter!$B$20="Jahresanfang 2025 + Export",BL60+BK60,BK60)))</f>
        <v>24</v>
      </c>
      <c r="I60" s="57" t="n">
        <f aca="false">H60*G60</f>
        <v>14543.28</v>
      </c>
      <c r="J60" s="57" t="n">
        <f aca="false">BN60*Parameter!$B$18</f>
        <v>80</v>
      </c>
      <c r="K60" s="58" t="n">
        <v>23.5</v>
      </c>
      <c r="L60" s="59" t="n">
        <v>3.40425531914894</v>
      </c>
      <c r="M60" s="57" t="n">
        <v>4</v>
      </c>
      <c r="N60" s="57" t="n">
        <v>25</v>
      </c>
      <c r="O60" s="60" t="n">
        <v>21</v>
      </c>
      <c r="P60" s="55" t="s">
        <v>223</v>
      </c>
      <c r="Q60" s="57" t="n">
        <v>20</v>
      </c>
      <c r="R60" s="60" t="n">
        <f aca="false">IF(BT60=1,0,IFERROR(VLOOKUP(BR60,'Gebinde-Kategorie'!$A$5:$M$45,13,0)+0,0))</f>
        <v>3</v>
      </c>
      <c r="S60" s="61"/>
      <c r="T60" s="62"/>
      <c r="U60" s="62"/>
      <c r="V60" s="62"/>
      <c r="W60" s="55"/>
      <c r="X60" s="57"/>
      <c r="Y60" s="57"/>
      <c r="Z60" s="55" t="n">
        <f aca="false">IF(A60="","",IF(AND(Parameter!$B$21="Ja",ISNUMBER(W60)),W60,IF(BV60="2+3",IF(ISNUMBER(SEARCH("grosser Artikel",BO60)),2,IFERROR(VLOOKUP(BR60,Parameter!$F$35:$G$64,2,0),2)),IF(OR(BV60="Nein",BV60=""),"-",BV60))))</f>
        <v>1</v>
      </c>
      <c r="AA60" s="62"/>
      <c r="AB60" s="63"/>
      <c r="AC60" s="57" t="n">
        <f aca="false">AR60</f>
        <v>40</v>
      </c>
      <c r="AD60" s="57" t="n">
        <f aca="false">MAX(AR60,H60)</f>
        <v>40</v>
      </c>
      <c r="AE60" s="64"/>
      <c r="AF60" s="57" t="n">
        <f aca="false">IF(LEFT(Cockpit!$C$5,1)="A",H60,IF(CA60=1,CB60,IF(LEFT(Cockpit!$C$5,1)="B",AJ60,MAX(AJ60,H60))))</f>
        <v>24</v>
      </c>
      <c r="AG60" s="57" t="n">
        <f aca="false">IF(BT60=1,0,ROUNDUP(AF60/BS60,0))</f>
        <v>2</v>
      </c>
      <c r="AH60" s="59" t="n">
        <f aca="false">IF(CH60&gt;0,CH60*MAX(1,AF60/X60),IF(BT60=1,IF(AF60&lt;=0,0,BW60*MAX(1,IF(H60&gt;0,AF60/H60,1))),IF(R60&gt;0,AG60/R60,0))/MAX(0.1,N(Parameter!$M$21)))</f>
        <v>0.666666666666667</v>
      </c>
      <c r="AI60" s="57" t="n">
        <f aca="false">AF60*G60</f>
        <v>14543.28</v>
      </c>
      <c r="AJ60" s="57" t="n">
        <f aca="false">ROUNDUP(MAX(J60/IF(BZ60&gt;0,BZ60,MAX(0.1,N(Cockpit!$C$6))),CC60)/BS60,0)*BS60</f>
        <v>40</v>
      </c>
      <c r="AK60" s="58" t="n">
        <f aca="false">IF(AH60&gt;0,J60/AH60,-1)</f>
        <v>120</v>
      </c>
      <c r="AL60" s="58" t="n">
        <f aca="false">IF(AND(OR(BY60="L1",BY60="L23"),AH60&gt;0),SUMIFS($AH$7:$AH$1843,$BY$7:$BY$1843,BY60,$AK$7:$AK$1843,"&gt;"&amp;AK60)+SUMIFS($AH$7:$AH$1843,$BY$7:$BY$1843,BY60,$AK$7:$AK$1843,AK60,$BQ$7:$BQ$1843,"&lt;="&amp;BQ60),"")</f>
        <v>4.83087378518477</v>
      </c>
      <c r="AM60" s="65" t="n">
        <f aca="false">IF(AL60="",0,MAX(0,MIN(1,(IF(BY60="L1",Parameter!$E$5,Parameter!$E$6+Parameter!$E$7)-(AL60-AH60))/AH60)))</f>
        <v>1</v>
      </c>
      <c r="AN60" s="57" t="n">
        <f aca="false">IF(LEFT(Cockpit!$I$5,1)="A",H60,IF(CA60=1,CB60,IF(LEFT(Cockpit!$I$5,1)="B",AR60,MAX(AR60,H60))))</f>
        <v>40</v>
      </c>
      <c r="AO60" s="57" t="n">
        <f aca="false">IF(BT60=1,0,ROUNDUP(AN60/BS60,0))</f>
        <v>2</v>
      </c>
      <c r="AP60" s="59" t="n">
        <f aca="false">IF(CH60&gt;0,CH60*MAX(1,AN60/X60),IF(BT60=1,IF(AN60&lt;=0,0,BW60*MAX(1,IF(H60&gt;0,AN60/H60,1))),IF(R60&gt;0,AO60/R60,0))/MAX(0.1,N(Parameter!$M$21)))</f>
        <v>0.666666666666667</v>
      </c>
      <c r="AQ60" s="57" t="n">
        <f aca="false">AN60*G60</f>
        <v>24238.8</v>
      </c>
      <c r="AR60" s="57" t="n">
        <f aca="false">ROUNDUP(MAX(J60/IF(BZ60&gt;0,BZ60,MAX(0.1,N(Cockpit!$I$6))),CC60)/BS60,0)*BS60</f>
        <v>40</v>
      </c>
      <c r="AS60" s="58" t="n">
        <f aca="false">IF(AP60&gt;0,J60/AP60,-1)</f>
        <v>120</v>
      </c>
      <c r="AT60" s="58" t="n">
        <f aca="false">IF(AND(OR(BY60="L1",BY60="L23"),AP60&gt;0),SUMIFS($AP$7:$AP$1843,$BY$7:$BY$1843,BY60,$AS$7:$AS$1843,"&gt;"&amp;AS60)+SUMIFS($AP$7:$AP$1843,$BY$7:$BY$1843,BY60,$AS$7:$AS$1843,AS60,$BQ$7:$BQ$1843,"&lt;="&amp;BQ60),"")</f>
        <v>6.41109253065775</v>
      </c>
      <c r="AU60" s="65" t="n">
        <f aca="false">IF(AT60="",0,MAX(0,MIN(1,(IF(BY60="L1",Parameter!$E$5,Parameter!$E$6+Parameter!$E$7)-(AT60-AP60))/AP60)))</f>
        <v>1</v>
      </c>
      <c r="AV60" s="57" t="n">
        <f aca="false">IF(LEFT(Cockpit!$O$5,1)="A",H60,IF(CA60=1,CB60,IF(LEFT(Cockpit!$O$5,1)="B",AZ60,MAX(AZ60,H60))))</f>
        <v>40</v>
      </c>
      <c r="AW60" s="57" t="n">
        <f aca="false">IF(BT60=1,0,ROUNDUP(AV60/BS60,0))</f>
        <v>2</v>
      </c>
      <c r="AX60" s="59" t="n">
        <f aca="false">IF(CH60&gt;0,CH60*MAX(1,AV60/X60),IF(BT60=1,IF(AV60&lt;=0,0,BW60*MAX(1,IF(H60&gt;0,AV60/H60,1))),IF(R60&gt;0,AW60/R60,0))/MAX(0.1,N(Parameter!$M$21)))</f>
        <v>0.666666666666667</v>
      </c>
      <c r="AY60" s="57" t="n">
        <f aca="false">AV60*G60</f>
        <v>24238.8</v>
      </c>
      <c r="AZ60" s="57" t="n">
        <f aca="false">ROUNDUP(MAX(J60/IF(BZ60&gt;0,BZ60,MAX(0.1,N(Cockpit!$O$6))),CC60)/BS60,0)*BS60</f>
        <v>40</v>
      </c>
      <c r="BA60" s="58" t="n">
        <f aca="false">IF(AX60&gt;0,J60/AX60,-1)</f>
        <v>120</v>
      </c>
      <c r="BB60" s="58" t="n">
        <f aca="false">IF(AND(OR(BY60="L1",BY60="L23"),AX60&gt;0),SUMIFS($AX$7:$AX$1843,$BY$7:$BY$1843,BY60,$BA$7:$BA$1843,"&gt;"&amp;BA60)+SUMIFS($AX$7:$AX$1843,$BY$7:$BY$1843,BY60,$BA$7:$BA$1843,BA60,$BQ$7:$BQ$1843,"&lt;="&amp;BQ60),"")</f>
        <v>6.28929765886288</v>
      </c>
      <c r="BC60" s="65" t="n">
        <f aca="false">IF(BB60="",0,MAX(0,MIN(1,(IF(BY60="L1",Parameter!$E$5,Parameter!$E$6+Parameter!$E$7)-(BB60-AX60))/AX60)))</f>
        <v>1</v>
      </c>
      <c r="BD60" s="55" t="str">
        <f aca="false">IF(AH60&lt;=0,"",IF(BY60="Aussen","Aussenlager",IF(BY60="-","Nicht im Lift",IF(AM60&gt;=1,"Lift",IF(AM60&lt;=0,"Aussenlager","teilweise")))))</f>
        <v>Lift</v>
      </c>
      <c r="BE60" s="55" t="str">
        <f aca="false">IF(AP60&lt;=0,"",IF(BY60="Aussen","Aussenlager",IF(BY60="-","Nicht im Lift",IF(AU60&gt;=1,"Lift",IF(AU60&lt;=0,"Aussenlager","teilweise")))))</f>
        <v>Lift</v>
      </c>
      <c r="BF60" s="55" t="str">
        <f aca="false">IF(AX60&lt;=0,"",IF(BY60="Aussen","Aussenlager",IF(BY60="-","Nicht im Lift",IF(BC60&gt;=1,"Lift",IF(BC60&lt;=0,"Aussenlager","teilweise")))))</f>
        <v>Lift</v>
      </c>
      <c r="BG60" s="55" t="str">
        <f aca="false">IF(A60="","",IF(BP60=1,"Neu; ","")&amp;IF(AND(BP60=0,BK60&lt;0),"negativer Bestand (Export "&amp;BK60&amp;"); ","")&amp;IF(J60&lt;=0,"Kein Verbrauch; ","")&amp;IF(CH60&gt;0,"Lift "&amp;W60&amp;" lt. Liftbericht (Fach "&amp;X60&amp;" Stk); ",IF(BU60=1,"Gebinde geschätzt ("&amp;T60&amp;"); ",IF(BT60=1,"Lose – Tablare geschätzt; ","")))&amp;IF(H60&gt;AR60,"Überbestand "&amp;ROUND(H60-AR60,0)&amp;" Stk / CHF "&amp;ROUND((H60-AR60)*G60,0)&amp;"; ","")&amp;IF(AND(CA60=1,CB60&lt;CC60),"MAX &lt; MB+LG; ","")&amp;IF(AND(CG60&gt;0,CF60*10&gt;CG60),"zu hoch für Tablar; ","")&amp;IF(AND(BP60=0,OR(CA60=1,AA60&lt;&gt;"",U60&lt;&gt;"",V60&lt;&gt;"",AB60&lt;&gt;"")),"manuell übersteuert; ","")&amp;IF(AND(BT60=0,R60=0),"Gebinde unbekannt / Stellmass fehlt; ","")&amp;IF(AND(BT60=0,N(V60)&lt;=0,N(Q60)&lt;=0),"Menge pro Gebinde fehlt (Ist = 1 Gebinde); ","")&amp;BO60)</f>
        <v/>
      </c>
      <c r="BH60" s="55" t="s">
        <v>317</v>
      </c>
      <c r="BI60" s="55" t="s">
        <v>318</v>
      </c>
      <c r="BJ60" s="62"/>
      <c r="BK60" s="57" t="n">
        <v>13</v>
      </c>
      <c r="BL60" s="57" t="n">
        <v>11</v>
      </c>
      <c r="BM60" s="56" t="n">
        <v>4297.99000000001</v>
      </c>
      <c r="BN60" s="57" t="n">
        <v>80</v>
      </c>
      <c r="BO60" s="55"/>
      <c r="BP60" s="60" t="n">
        <v>0</v>
      </c>
      <c r="BQ60" s="60" t="n">
        <v>60</v>
      </c>
      <c r="BR60" s="55" t="str">
        <f aca="false">IF(U60&lt;&gt;"",UPPER(TRIM(U60)),IF(BU60=1,UPPER(VLOOKUP(T60,Parameter!$I$27:$K$29,2,0)),IF(P60="","LOSE",P60)))</f>
        <v>S81</v>
      </c>
      <c r="BS60" s="57" t="n">
        <f aca="false">IF(BR60="LOSE",1,IF(N(V60)&gt;0,V60,IF(BU60=1,MAX(1,N(VLOOKUP(T60,Parameter!$I$27:$K$29,3,0)),H60,N(N60)),IF(N(Q60)&gt;0,Q60,MAX(1,H60)))))</f>
        <v>20</v>
      </c>
      <c r="BT60" s="60" t="n">
        <f aca="false">IF(BR60="LOSE",1,0)</f>
        <v>0</v>
      </c>
      <c r="BU60" s="60" t="n">
        <f aca="false">IF(AND(U60="",OR(P60="",P60="LOSE"),T60&lt;&gt;"",N(S60)&lt;=0,ISNUMBER(MATCH(T60,Parameter!$I$27:$I$29,0))),1,0)</f>
        <v>0</v>
      </c>
      <c r="BV60" s="55" t="n">
        <f aca="false">IF(AND(Parameter!$B$19="Ja",E60&lt;&gt;"",ISNUMBER(MATCH(E60,Parameter!$I$35:$I$52,0))),VLOOKUP(E60,Parameter!$I$35:$J$52,2,0),IFERROR(VLOOKUP(D60,Parameter!$A$35:$C$64,2,0),"Nein"))</f>
        <v>1</v>
      </c>
      <c r="BW60" s="59" t="n">
        <f aca="false">IF(BT60=0,0,IF(N(S60)&gt;0,S60,IFERROR(VLOOKUP(D60,Parameter!$A$35:$C$64,3,0)+0,0)))</f>
        <v>0</v>
      </c>
      <c r="BX60" s="55" t="n">
        <f aca="false">IF(AA60&lt;&gt;"",AA60,Z60)</f>
        <v>1</v>
      </c>
      <c r="BY60" s="55" t="str">
        <f aca="false">IF(BX60=1,"L1",IF(OR(BX60=2,BX60=3),"L23",IF(BX60="Aussen","Aussen","-")))</f>
        <v>L1</v>
      </c>
      <c r="BZ60" s="66" t="n">
        <f aca="false">IF(N(AB60)&gt;0,AB60,0)</f>
        <v>0</v>
      </c>
      <c r="CA60" s="60" t="n">
        <f aca="false">IF(ISNUMBER(AE60),1,0)</f>
        <v>0</v>
      </c>
      <c r="CB60" s="57" t="n">
        <f aca="false">N(AE60)</f>
        <v>0</v>
      </c>
      <c r="CC60" s="57" t="n">
        <f aca="false">N(M60)+N(N60)</f>
        <v>29</v>
      </c>
      <c r="CD60" s="57" t="n">
        <f aca="false">ROUNDUP(H60/BS60,0)</f>
        <v>2</v>
      </c>
      <c r="CE60" s="57" t="n">
        <f aca="false">ROUNDUP(CB60/BS60,0)</f>
        <v>0</v>
      </c>
      <c r="CF60" s="60" t="n">
        <f aca="false">IF(BT60=1,0,IFERROR(VLOOKUP(BR60,'Gebinde-Kategorie'!$A$5:$M$45,5,0)+0,0))</f>
        <v>20</v>
      </c>
      <c r="CG60" s="60" t="n">
        <f aca="false">IFERROR(IF(OR(BX60=1,BX60=2,BX60=3),N(INDEX(Parameter!$I$5:$I$7,BX60)),0),0)</f>
        <v>0</v>
      </c>
      <c r="CH60" s="59" t="n">
        <f aca="false">IF(AND(Parameter!$B$21="Ja",ISNUMBER(W60),N(X60)&gt;0),IFERROR(N(INDEX(Parameter!$L$5:$L$7,W60))*INDEX(Parameter!$E$5:$E$7,W60)*X60/SUMIFS($X$7:$X$1843,$W$7:$W$1843,W60),0),0)</f>
        <v>0</v>
      </c>
    </row>
    <row r="61" customFormat="false" ht="15" hidden="false" customHeight="false" outlineLevel="0" collapsed="false">
      <c r="A61" s="55" t="s">
        <v>319</v>
      </c>
      <c r="B61" s="55" t="s">
        <v>320</v>
      </c>
      <c r="C61" s="55" t="s">
        <v>164</v>
      </c>
      <c r="D61" s="55" t="s">
        <v>165</v>
      </c>
      <c r="E61" s="55"/>
      <c r="F61" s="55" t="s">
        <v>218</v>
      </c>
      <c r="G61" s="56" t="n">
        <v>832.7</v>
      </c>
      <c r="H61" s="57" t="n">
        <f aca="false">MAX(0,IF(AND(Parameter!$B$21="Ja",ISNUMBER(Y61)),Y61,IF(Parameter!$B$20="Jahresanfang 2025 + Export",BL61+BK61,BK61)))</f>
        <v>5</v>
      </c>
      <c r="I61" s="57" t="n">
        <f aca="false">H61*G61</f>
        <v>4163.5</v>
      </c>
      <c r="J61" s="57" t="n">
        <f aca="false">BN61*Parameter!$B$18</f>
        <v>0</v>
      </c>
      <c r="K61" s="58" t="n">
        <v>2.5</v>
      </c>
      <c r="L61" s="59" t="n">
        <v>0</v>
      </c>
      <c r="M61" s="57" t="n">
        <v>1</v>
      </c>
      <c r="N61" s="57" t="n">
        <v>5</v>
      </c>
      <c r="O61" s="60" t="n">
        <v>14</v>
      </c>
      <c r="P61" s="55" t="s">
        <v>223</v>
      </c>
      <c r="Q61" s="57" t="n">
        <v>3</v>
      </c>
      <c r="R61" s="60" t="n">
        <f aca="false">IF(BT61=1,0,IFERROR(VLOOKUP(BR61,'Gebinde-Kategorie'!$A$5:$M$45,13,0)+0,0))</f>
        <v>3</v>
      </c>
      <c r="S61" s="61"/>
      <c r="T61" s="62"/>
      <c r="U61" s="62"/>
      <c r="V61" s="62"/>
      <c r="W61" s="55"/>
      <c r="X61" s="57"/>
      <c r="Y61" s="57"/>
      <c r="Z61" s="55" t="n">
        <f aca="false">IF(A61="","",IF(AND(Parameter!$B$21="Ja",ISNUMBER(W61)),W61,IF(BV61="2+3",IF(ISNUMBER(SEARCH("grosser Artikel",BO61)),2,IFERROR(VLOOKUP(BR61,Parameter!$F$35:$G$64,2,0),2)),IF(OR(BV61="Nein",BV61=""),"-",BV61))))</f>
        <v>1</v>
      </c>
      <c r="AA61" s="62"/>
      <c r="AB61" s="63"/>
      <c r="AC61" s="57" t="n">
        <f aca="false">AR61</f>
        <v>6</v>
      </c>
      <c r="AD61" s="57" t="n">
        <f aca="false">MAX(AR61,H61)</f>
        <v>6</v>
      </c>
      <c r="AE61" s="64"/>
      <c r="AF61" s="57" t="n">
        <f aca="false">IF(LEFT(Cockpit!$C$5,1)="A",H61,IF(CA61=1,CB61,IF(LEFT(Cockpit!$C$5,1)="B",AJ61,MAX(AJ61,H61))))</f>
        <v>5</v>
      </c>
      <c r="AG61" s="57" t="n">
        <f aca="false">IF(BT61=1,0,ROUNDUP(AF61/BS61,0))</f>
        <v>2</v>
      </c>
      <c r="AH61" s="59" t="n">
        <f aca="false">IF(CH61&gt;0,CH61*MAX(1,AF61/X61),IF(BT61=1,IF(AF61&lt;=0,0,BW61*MAX(1,IF(H61&gt;0,AF61/H61,1))),IF(R61&gt;0,AG61/R61,0))/MAX(0.1,N(Parameter!$M$21)))</f>
        <v>0.666666666666667</v>
      </c>
      <c r="AI61" s="57" t="n">
        <f aca="false">AF61*G61</f>
        <v>4163.5</v>
      </c>
      <c r="AJ61" s="57" t="n">
        <f aca="false">ROUNDUP(MAX(J61/IF(BZ61&gt;0,BZ61,MAX(0.1,N(Cockpit!$C$6))),CC61)/BS61,0)*BS61</f>
        <v>6</v>
      </c>
      <c r="AK61" s="58" t="n">
        <f aca="false">IF(AH61&gt;0,J61/AH61,-1)</f>
        <v>0</v>
      </c>
      <c r="AL61" s="58" t="n">
        <f aca="false">IF(AND(OR(BY61="L1",BY61="L23"),AH61&gt;0),SUMIFS($AH$7:$AH$1843,$BY$7:$BY$1843,BY61,$AK$7:$AK$1843,"&gt;"&amp;AK61)+SUMIFS($AH$7:$AH$1843,$BY$7:$BY$1843,BY61,$AK$7:$AK$1843,AK61,$BQ$7:$BQ$1843,"&lt;="&amp;BQ61),"")</f>
        <v>48.9288022220963</v>
      </c>
      <c r="AM61" s="65" t="n">
        <f aca="false">IF(AL61="",0,MAX(0,MIN(1,(IF(BY61="L1",Parameter!$E$5,Parameter!$E$6+Parameter!$E$7)-(AL61-AH61))/AH61)))</f>
        <v>1</v>
      </c>
      <c r="AN61" s="57" t="n">
        <f aca="false">IF(LEFT(Cockpit!$I$5,1)="A",H61,IF(CA61=1,CB61,IF(LEFT(Cockpit!$I$5,1)="B",AR61,MAX(AR61,H61))))</f>
        <v>6</v>
      </c>
      <c r="AO61" s="57" t="n">
        <f aca="false">IF(BT61=1,0,ROUNDUP(AN61/BS61,0))</f>
        <v>2</v>
      </c>
      <c r="AP61" s="59" t="n">
        <f aca="false">IF(CH61&gt;0,CH61*MAX(1,AN61/X61),IF(BT61=1,IF(AN61&lt;=0,0,BW61*MAX(1,IF(H61&gt;0,AN61/H61,1))),IF(R61&gt;0,AO61/R61,0))/MAX(0.1,N(Parameter!$M$21)))</f>
        <v>0.666666666666667</v>
      </c>
      <c r="AQ61" s="57" t="n">
        <f aca="false">AN61*G61</f>
        <v>4996.2</v>
      </c>
      <c r="AR61" s="57" t="n">
        <f aca="false">ROUNDUP(MAX(J61/IF(BZ61&gt;0,BZ61,MAX(0.1,N(Cockpit!$I$6))),CC61)/BS61,0)*BS61</f>
        <v>6</v>
      </c>
      <c r="AS61" s="58" t="n">
        <f aca="false">IF(AP61&gt;0,J61/AP61,-1)</f>
        <v>0</v>
      </c>
      <c r="AT61" s="58" t="n">
        <f aca="false">IF(AND(OR(BY61="L1",BY61="L23"),AP61&gt;0),SUMIFS($AP$7:$AP$1843,$BY$7:$BY$1843,BY61,$AS$7:$AS$1843,"&gt;"&amp;AS61)+SUMIFS($AP$7:$AP$1843,$BY$7:$BY$1843,BY61,$AS$7:$AS$1843,AS61,$BQ$7:$BQ$1843,"&lt;="&amp;BQ61),"")</f>
        <v>64.3616575024092</v>
      </c>
      <c r="AU61" s="65" t="n">
        <f aca="false">IF(AT61="",0,MAX(0,MIN(1,(IF(BY61="L1",Parameter!$E$5,Parameter!$E$6+Parameter!$E$7)-(AT61-AP61))/AP61)))</f>
        <v>0</v>
      </c>
      <c r="AV61" s="57" t="n">
        <f aca="false">IF(LEFT(Cockpit!$O$5,1)="A",H61,IF(CA61=1,CB61,IF(LEFT(Cockpit!$O$5,1)="B",AZ61,MAX(AZ61,H61))))</f>
        <v>6</v>
      </c>
      <c r="AW61" s="57" t="n">
        <f aca="false">IF(BT61=1,0,ROUNDUP(AV61/BS61,0))</f>
        <v>2</v>
      </c>
      <c r="AX61" s="59" t="n">
        <f aca="false">IF(CH61&gt;0,CH61*MAX(1,AV61/X61),IF(BT61=1,IF(AV61&lt;=0,0,BW61*MAX(1,IF(H61&gt;0,AV61/H61,1))),IF(R61&gt;0,AW61/R61,0))/MAX(0.1,N(Parameter!$M$21)))</f>
        <v>0.666666666666667</v>
      </c>
      <c r="AY61" s="57" t="n">
        <f aca="false">AV61*G61</f>
        <v>4996.2</v>
      </c>
      <c r="AZ61" s="57" t="n">
        <f aca="false">ROUNDUP(MAX(J61/IF(BZ61&gt;0,BZ61,MAX(0.1,N(Cockpit!$O$6))),CC61)/BS61,0)*BS61</f>
        <v>6</v>
      </c>
      <c r="BA61" s="58" t="n">
        <f aca="false">IF(AX61&gt;0,J61/AX61,-1)</f>
        <v>0</v>
      </c>
      <c r="BB61" s="58" t="n">
        <f aca="false">IF(AND(OR(BY61="L1",BY61="L23"),AX61&gt;0),SUMIFS($AX$7:$AX$1843,$BY$7:$BY$1843,BY61,$BA$7:$BA$1843,"&gt;"&amp;BA61)+SUMIFS($AX$7:$AX$1843,$BY$7:$BY$1843,BY61,$BA$7:$BA$1843,BA61,$BQ$7:$BQ$1843,"&lt;="&amp;BQ61),"")</f>
        <v>58.0284690336275</v>
      </c>
      <c r="BC61" s="65" t="n">
        <f aca="false">IF(BB61="",0,MAX(0,MIN(1,(IF(BY61="L1",Parameter!$E$5,Parameter!$E$6+Parameter!$E$7)-(BB61-AX61))/AX61)))</f>
        <v>0</v>
      </c>
      <c r="BD61" s="55" t="str">
        <f aca="false">IF(AH61&lt;=0,"",IF(BY61="Aussen","Aussenlager",IF(BY61="-","Nicht im Lift",IF(AM61&gt;=1,"Lift",IF(AM61&lt;=0,"Aussenlager","teilweise")))))</f>
        <v>Lift</v>
      </c>
      <c r="BE61" s="55" t="str">
        <f aca="false">IF(AP61&lt;=0,"",IF(BY61="Aussen","Aussenlager",IF(BY61="-","Nicht im Lift",IF(AU61&gt;=1,"Lift",IF(AU61&lt;=0,"Aussenlager","teilweise")))))</f>
        <v>Aussenlager</v>
      </c>
      <c r="BF61" s="55" t="str">
        <f aca="false">IF(AX61&lt;=0,"",IF(BY61="Aussen","Aussenlager",IF(BY61="-","Nicht im Lift",IF(BC61&gt;=1,"Lift",IF(BC61&lt;=0,"Aussenlager","teilweise")))))</f>
        <v>Aussenlager</v>
      </c>
      <c r="BG61" s="55" t="str">
        <f aca="false">IF(A61="","",IF(BP61=1,"Neu; ","")&amp;IF(AND(BP61=0,BK61&lt;0),"negativer Bestand (Export "&amp;BK61&amp;"); ","")&amp;IF(J61&lt;=0,"Kein Verbrauch; ","")&amp;IF(CH61&gt;0,"Lift "&amp;W61&amp;" lt. Liftbericht (Fach "&amp;X61&amp;" Stk); ",IF(BU61=1,"Gebinde geschätzt ("&amp;T61&amp;"); ",IF(BT61=1,"Lose – Tablare geschätzt; ","")))&amp;IF(H61&gt;AR61,"Überbestand "&amp;ROUND(H61-AR61,0)&amp;" Stk / CHF "&amp;ROUND((H61-AR61)*G61,0)&amp;"; ","")&amp;IF(AND(CA61=1,CB61&lt;CC61),"MAX &lt; MB+LG; ","")&amp;IF(AND(CG61&gt;0,CF61*10&gt;CG61),"zu hoch für Tablar; ","")&amp;IF(AND(BP61=0,OR(CA61=1,AA61&lt;&gt;"",U61&lt;&gt;"",V61&lt;&gt;"",AB61&lt;&gt;"")),"manuell übersteuert; ","")&amp;IF(AND(BT61=0,R61=0),"Gebinde unbekannt / Stellmass fehlt; ","")&amp;IF(AND(BT61=0,N(V61)&lt;=0,N(Q61)&lt;=0),"Menge pro Gebinde fehlt (Ist = 1 Gebinde); ","")&amp;BO61)</f>
        <v>Kein Verbrauch; </v>
      </c>
      <c r="BH61" s="55"/>
      <c r="BI61" s="55"/>
      <c r="BJ61" s="62"/>
      <c r="BK61" s="57" t="n">
        <v>5</v>
      </c>
      <c r="BL61" s="57" t="n">
        <v>0</v>
      </c>
      <c r="BM61" s="56" t="n">
        <v>4163.5</v>
      </c>
      <c r="BN61" s="57" t="n">
        <v>0</v>
      </c>
      <c r="BO61" s="55"/>
      <c r="BP61" s="60" t="n">
        <v>0</v>
      </c>
      <c r="BQ61" s="60" t="n">
        <v>61</v>
      </c>
      <c r="BR61" s="55" t="str">
        <f aca="false">IF(U61&lt;&gt;"",UPPER(TRIM(U61)),IF(BU61=1,UPPER(VLOOKUP(T61,Parameter!$I$27:$K$29,2,0)),IF(P61="","LOSE",P61)))</f>
        <v>S81</v>
      </c>
      <c r="BS61" s="57" t="n">
        <f aca="false">IF(BR61="LOSE",1,IF(N(V61)&gt;0,V61,IF(BU61=1,MAX(1,N(VLOOKUP(T61,Parameter!$I$27:$K$29,3,0)),H61,N(N61)),IF(N(Q61)&gt;0,Q61,MAX(1,H61)))))</f>
        <v>3</v>
      </c>
      <c r="BT61" s="60" t="n">
        <f aca="false">IF(BR61="LOSE",1,0)</f>
        <v>0</v>
      </c>
      <c r="BU61" s="60" t="n">
        <f aca="false">IF(AND(U61="",OR(P61="",P61="LOSE"),T61&lt;&gt;"",N(S61)&lt;=0,ISNUMBER(MATCH(T61,Parameter!$I$27:$I$29,0))),1,0)</f>
        <v>0</v>
      </c>
      <c r="BV61" s="55" t="n">
        <f aca="false">IF(AND(Parameter!$B$19="Ja",E61&lt;&gt;"",ISNUMBER(MATCH(E61,Parameter!$I$35:$I$52,0))),VLOOKUP(E61,Parameter!$I$35:$J$52,2,0),IFERROR(VLOOKUP(D61,Parameter!$A$35:$C$64,2,0),"Nein"))</f>
        <v>1</v>
      </c>
      <c r="BW61" s="59" t="n">
        <f aca="false">IF(BT61=0,0,IF(N(S61)&gt;0,S61,IFERROR(VLOOKUP(D61,Parameter!$A$35:$C$64,3,0)+0,0)))</f>
        <v>0</v>
      </c>
      <c r="BX61" s="55" t="n">
        <f aca="false">IF(AA61&lt;&gt;"",AA61,Z61)</f>
        <v>1</v>
      </c>
      <c r="BY61" s="55" t="str">
        <f aca="false">IF(BX61=1,"L1",IF(OR(BX61=2,BX61=3),"L23",IF(BX61="Aussen","Aussen","-")))</f>
        <v>L1</v>
      </c>
      <c r="BZ61" s="66" t="n">
        <f aca="false">IF(N(AB61)&gt;0,AB61,0)</f>
        <v>0</v>
      </c>
      <c r="CA61" s="60" t="n">
        <f aca="false">IF(ISNUMBER(AE61),1,0)</f>
        <v>0</v>
      </c>
      <c r="CB61" s="57" t="n">
        <f aca="false">N(AE61)</f>
        <v>0</v>
      </c>
      <c r="CC61" s="57" t="n">
        <f aca="false">N(M61)+N(N61)</f>
        <v>6</v>
      </c>
      <c r="CD61" s="57" t="n">
        <f aca="false">ROUNDUP(H61/BS61,0)</f>
        <v>2</v>
      </c>
      <c r="CE61" s="57" t="n">
        <f aca="false">ROUNDUP(CB61/BS61,0)</f>
        <v>0</v>
      </c>
      <c r="CF61" s="60" t="n">
        <f aca="false">IF(BT61=1,0,IFERROR(VLOOKUP(BR61,'Gebinde-Kategorie'!$A$5:$M$45,5,0)+0,0))</f>
        <v>20</v>
      </c>
      <c r="CG61" s="60" t="n">
        <f aca="false">IFERROR(IF(OR(BX61=1,BX61=2,BX61=3),N(INDEX(Parameter!$I$5:$I$7,BX61)),0),0)</f>
        <v>0</v>
      </c>
      <c r="CH61" s="59" t="n">
        <f aca="false">IF(AND(Parameter!$B$21="Ja",ISNUMBER(W61),N(X61)&gt;0),IFERROR(N(INDEX(Parameter!$L$5:$L$7,W61))*INDEX(Parameter!$E$5:$E$7,W61)*X61/SUMIFS($X$7:$X$1843,$W$7:$W$1843,W61),0),0)</f>
        <v>0</v>
      </c>
    </row>
    <row r="62" customFormat="false" ht="15" hidden="false" customHeight="false" outlineLevel="0" collapsed="false">
      <c r="A62" s="55" t="s">
        <v>321</v>
      </c>
      <c r="B62" s="55" t="s">
        <v>322</v>
      </c>
      <c r="C62" s="55" t="s">
        <v>164</v>
      </c>
      <c r="D62" s="55" t="s">
        <v>184</v>
      </c>
      <c r="E62" s="55"/>
      <c r="F62" s="55" t="s">
        <v>218</v>
      </c>
      <c r="G62" s="56" t="n">
        <v>513</v>
      </c>
      <c r="H62" s="57" t="n">
        <f aca="false">MAX(0,IF(AND(Parameter!$B$21="Ja",ISNUMBER(Y62)),Y62,IF(Parameter!$B$20="Jahresanfang 2025 + Export",BL62+BK62,BK62)))</f>
        <v>8</v>
      </c>
      <c r="I62" s="57" t="n">
        <f aca="false">H62*G62</f>
        <v>4104</v>
      </c>
      <c r="J62" s="57" t="n">
        <f aca="false">BN62*Parameter!$B$18</f>
        <v>0</v>
      </c>
      <c r="K62" s="58" t="n">
        <v>0</v>
      </c>
      <c r="L62" s="59" t="n">
        <v>0</v>
      </c>
      <c r="M62" s="57" t="n">
        <v>0</v>
      </c>
      <c r="N62" s="57" t="n">
        <v>1</v>
      </c>
      <c r="O62" s="60" t="n">
        <v>9999</v>
      </c>
      <c r="P62" s="55" t="s">
        <v>168</v>
      </c>
      <c r="Q62" s="57"/>
      <c r="R62" s="60" t="n">
        <f aca="false">IF(BT62=1,0,IFERROR(VLOOKUP(BR62,'Gebinde-Kategorie'!$A$5:$M$45,13,0)+0,0))</f>
        <v>12</v>
      </c>
      <c r="S62" s="61"/>
      <c r="T62" s="62" t="s">
        <v>179</v>
      </c>
      <c r="U62" s="62"/>
      <c r="V62" s="62"/>
      <c r="W62" s="55"/>
      <c r="X62" s="57"/>
      <c r="Y62" s="57"/>
      <c r="Z62" s="55" t="n">
        <f aca="false">IF(A62="","",IF(AND(Parameter!$B$21="Ja",ISNUMBER(W62)),W62,IF(BV62="2+3",IF(ISNUMBER(SEARCH("grosser Artikel",BO62)),2,IFERROR(VLOOKUP(BR62,Parameter!$F$35:$G$64,2,0),2)),IF(OR(BV62="Nein",BV62=""),"-",BV62))))</f>
        <v>2</v>
      </c>
      <c r="AA62" s="62"/>
      <c r="AB62" s="63"/>
      <c r="AC62" s="57" t="n">
        <f aca="false">AR62</f>
        <v>8</v>
      </c>
      <c r="AD62" s="57" t="n">
        <f aca="false">MAX(AR62,H62)</f>
        <v>8</v>
      </c>
      <c r="AE62" s="64"/>
      <c r="AF62" s="57" t="n">
        <f aca="false">IF(LEFT(Cockpit!$C$5,1)="A",H62,IF(CA62=1,CB62,IF(LEFT(Cockpit!$C$5,1)="B",AJ62,MAX(AJ62,H62))))</f>
        <v>8</v>
      </c>
      <c r="AG62" s="57" t="n">
        <f aca="false">IF(BT62=1,0,ROUNDUP(AF62/BS62,0))</f>
        <v>1</v>
      </c>
      <c r="AH62" s="59" t="n">
        <f aca="false">IF(CH62&gt;0,CH62*MAX(1,AF62/X62),IF(BT62=1,IF(AF62&lt;=0,0,BW62*MAX(1,IF(H62&gt;0,AF62/H62,1))),IF(R62&gt;0,AG62/R62,0))/MAX(0.1,N(Parameter!$M$21)))</f>
        <v>0.0833333333333333</v>
      </c>
      <c r="AI62" s="57" t="n">
        <f aca="false">AF62*G62</f>
        <v>4104</v>
      </c>
      <c r="AJ62" s="57" t="n">
        <f aca="false">ROUNDUP(MAX(J62/IF(BZ62&gt;0,BZ62,MAX(0.1,N(Cockpit!$C$6))),CC62)/BS62,0)*BS62</f>
        <v>8</v>
      </c>
      <c r="AK62" s="58" t="n">
        <f aca="false">IF(AH62&gt;0,J62/AH62,-1)</f>
        <v>0</v>
      </c>
      <c r="AL62" s="58" t="n">
        <f aca="false">IF(AND(OR(BY62="L1",BY62="L23"),AH62&gt;0),SUMIFS($AH$7:$AH$1843,$BY$7:$BY$1843,BY62,$AK$7:$AK$1843,"&gt;"&amp;AK62)+SUMIFS($AH$7:$AH$1843,$BY$7:$BY$1843,BY62,$AK$7:$AK$1843,AK62,$BQ$7:$BQ$1843,"&lt;="&amp;BQ62),"")</f>
        <v>67.9522060065538</v>
      </c>
      <c r="AM62" s="65" t="n">
        <f aca="false">IF(AL62="",0,MAX(0,MIN(1,(IF(BY62="L1",Parameter!$E$5,Parameter!$E$6+Parameter!$E$7)-(AL62-AH62))/AH62)))</f>
        <v>1</v>
      </c>
      <c r="AN62" s="57" t="n">
        <f aca="false">IF(LEFT(Cockpit!$I$5,1)="A",H62,IF(CA62=1,CB62,IF(LEFT(Cockpit!$I$5,1)="B",AR62,MAX(AR62,H62))))</f>
        <v>8</v>
      </c>
      <c r="AO62" s="57" t="n">
        <f aca="false">IF(BT62=1,0,ROUNDUP(AN62/BS62,0))</f>
        <v>1</v>
      </c>
      <c r="AP62" s="59" t="n">
        <f aca="false">IF(CH62&gt;0,CH62*MAX(1,AN62/X62),IF(BT62=1,IF(AN62&lt;=0,0,BW62*MAX(1,IF(H62&gt;0,AN62/H62,1))),IF(R62&gt;0,AO62/R62,0))/MAX(0.1,N(Parameter!$M$21)))</f>
        <v>0.0833333333333333</v>
      </c>
      <c r="AQ62" s="57" t="n">
        <f aca="false">AN62*G62</f>
        <v>4104</v>
      </c>
      <c r="AR62" s="57" t="n">
        <f aca="false">ROUNDUP(MAX(J62/IF(BZ62&gt;0,BZ62,MAX(0.1,N(Cockpit!$I$6))),CC62)/BS62,0)*BS62</f>
        <v>8</v>
      </c>
      <c r="AS62" s="58" t="n">
        <f aca="false">IF(AP62&gt;0,J62/AP62,-1)</f>
        <v>0</v>
      </c>
      <c r="AT62" s="58" t="n">
        <f aca="false">IF(AND(OR(BY62="L1",BY62="L23"),AP62&gt;0),SUMIFS($AP$7:$AP$1843,$BY$7:$BY$1843,BY62,$AS$7:$AS$1843,"&gt;"&amp;AS62)+SUMIFS($AP$7:$AP$1843,$BY$7:$BY$1843,BY62,$AS$7:$AS$1843,AS62,$BQ$7:$BQ$1843,"&lt;="&amp;BQ62),"")</f>
        <v>107.292996858214</v>
      </c>
      <c r="AU62" s="65" t="n">
        <f aca="false">IF(AT62="",0,MAX(0,MIN(1,(IF(BY62="L1",Parameter!$E$5,Parameter!$E$6+Parameter!$E$7)-(AT62-AP62))/AP62)))</f>
        <v>0</v>
      </c>
      <c r="AV62" s="57" t="n">
        <f aca="false">IF(LEFT(Cockpit!$O$5,1)="A",H62,IF(CA62=1,CB62,IF(LEFT(Cockpit!$O$5,1)="B",AZ62,MAX(AZ62,H62))))</f>
        <v>8</v>
      </c>
      <c r="AW62" s="57" t="n">
        <f aca="false">IF(BT62=1,0,ROUNDUP(AV62/BS62,0))</f>
        <v>1</v>
      </c>
      <c r="AX62" s="59" t="n">
        <f aca="false">IF(CH62&gt;0,CH62*MAX(1,AV62/X62),IF(BT62=1,IF(AV62&lt;=0,0,BW62*MAX(1,IF(H62&gt;0,AV62/H62,1))),IF(R62&gt;0,AW62/R62,0))/MAX(0.1,N(Parameter!$M$21)))</f>
        <v>0.0833333333333333</v>
      </c>
      <c r="AY62" s="57" t="n">
        <f aca="false">AV62*G62</f>
        <v>4104</v>
      </c>
      <c r="AZ62" s="57" t="n">
        <f aca="false">ROUNDUP(MAX(J62/IF(BZ62&gt;0,BZ62,MAX(0.1,N(Cockpit!$O$6))),CC62)/BS62,0)*BS62</f>
        <v>8</v>
      </c>
      <c r="BA62" s="58" t="n">
        <f aca="false">IF(AX62&gt;0,J62/AX62,-1)</f>
        <v>0</v>
      </c>
      <c r="BB62" s="58" t="n">
        <f aca="false">IF(AND(OR(BY62="L1",BY62="L23"),AX62&gt;0),SUMIFS($AX$7:$AX$1843,$BY$7:$BY$1843,BY62,$BA$7:$BA$1843,"&gt;"&amp;BA62)+SUMIFS($AX$7:$AX$1843,$BY$7:$BY$1843,BY62,$BA$7:$BA$1843,BA62,$BQ$7:$BQ$1843,"&lt;="&amp;BQ62),"")</f>
        <v>98.1228336880511</v>
      </c>
      <c r="BC62" s="65" t="n">
        <f aca="false">IF(BB62="",0,MAX(0,MIN(1,(IF(BY62="L1",Parameter!$E$5,Parameter!$E$6+Parameter!$E$7)-(BB62-AX62))/AX62)))</f>
        <v>1</v>
      </c>
      <c r="BD62" s="55" t="str">
        <f aca="false">IF(AH62&lt;=0,"",IF(BY62="Aussen","Aussenlager",IF(BY62="-","Nicht im Lift",IF(AM62&gt;=1,"Lift",IF(AM62&lt;=0,"Aussenlager","teilweise")))))</f>
        <v>Lift</v>
      </c>
      <c r="BE62" s="55" t="str">
        <f aca="false">IF(AP62&lt;=0,"",IF(BY62="Aussen","Aussenlager",IF(BY62="-","Nicht im Lift",IF(AU62&gt;=1,"Lift",IF(AU62&lt;=0,"Aussenlager","teilweise")))))</f>
        <v>Aussenlager</v>
      </c>
      <c r="BF62" s="55" t="str">
        <f aca="false">IF(AX62&lt;=0,"",IF(BY62="Aussen","Aussenlager",IF(BY62="-","Nicht im Lift",IF(BC62&gt;=1,"Lift",IF(BC62&lt;=0,"Aussenlager","teilweise")))))</f>
        <v>Lift</v>
      </c>
      <c r="BG62" s="55" t="str">
        <f aca="false">IF(A62="","",IF(BP62=1,"Neu; ","")&amp;IF(AND(BP62=0,BK62&lt;0),"negativer Bestand (Export "&amp;BK62&amp;"); ","")&amp;IF(J62&lt;=0,"Kein Verbrauch; ","")&amp;IF(CH62&gt;0,"Lift "&amp;W62&amp;" lt. Liftbericht (Fach "&amp;X62&amp;" Stk); ",IF(BU62=1,"Gebinde geschätzt ("&amp;T62&amp;"); ",IF(BT62=1,"Lose – Tablare geschätzt; ","")))&amp;IF(H62&gt;AR62,"Überbestand "&amp;ROUND(H62-AR62,0)&amp;" Stk / CHF "&amp;ROUND((H62-AR62)*G62,0)&amp;"; ","")&amp;IF(AND(CA62=1,CB62&lt;CC62),"MAX &lt; MB+LG; ","")&amp;IF(AND(CG62&gt;0,CF62*10&gt;CG62),"zu hoch für Tablar; ","")&amp;IF(AND(BP62=0,OR(CA62=1,AA62&lt;&gt;"",U62&lt;&gt;"",V62&lt;&gt;"",AB62&lt;&gt;"")),"manuell übersteuert; ","")&amp;IF(AND(BT62=0,R62=0),"Gebinde unbekannt / Stellmass fehlt; ","")&amp;IF(AND(BT62=0,N(V62)&lt;=0,N(Q62)&lt;=0),"Menge pro Gebinde fehlt (Ist = 1 Gebinde); ","")&amp;BO62)</f>
        <v>Kein Verbrauch; Gebinde geschätzt (Mittel); Menge pro Gebinde fehlt (Ist = 1 Gebinde); </v>
      </c>
      <c r="BH62" s="55"/>
      <c r="BI62" s="55"/>
      <c r="BJ62" s="62"/>
      <c r="BK62" s="57" t="n">
        <v>8</v>
      </c>
      <c r="BL62" s="57" t="n">
        <v>0</v>
      </c>
      <c r="BM62" s="56" t="n">
        <v>4104</v>
      </c>
      <c r="BN62" s="57" t="n">
        <v>0</v>
      </c>
      <c r="BO62" s="55"/>
      <c r="BP62" s="60" t="n">
        <v>0</v>
      </c>
      <c r="BQ62" s="60" t="n">
        <v>62</v>
      </c>
      <c r="BR62" s="55" t="str">
        <f aca="false">IF(U62&lt;&gt;"",UPPER(TRIM(U62)),IF(BU62=1,UPPER(VLOOKUP(T62,Parameter!$I$27:$K$29,2,0)),IF(P62="","LOSE",P62)))</f>
        <v>S61</v>
      </c>
      <c r="BS62" s="57" t="n">
        <f aca="false">IF(BR62="LOSE",1,IF(N(V62)&gt;0,V62,IF(BU62=1,MAX(1,N(VLOOKUP(T62,Parameter!$I$27:$K$29,3,0)),H62,N(N62)),IF(N(Q62)&gt;0,Q62,MAX(1,H62)))))</f>
        <v>8</v>
      </c>
      <c r="BT62" s="60" t="n">
        <f aca="false">IF(BR62="LOSE",1,0)</f>
        <v>0</v>
      </c>
      <c r="BU62" s="60" t="n">
        <f aca="false">IF(AND(U62="",OR(P62="",P62="LOSE"),T62&lt;&gt;"",N(S62)&lt;=0,ISNUMBER(MATCH(T62,Parameter!$I$27:$I$29,0))),1,0)</f>
        <v>1</v>
      </c>
      <c r="BV62" s="55" t="str">
        <f aca="false">IF(AND(Parameter!$B$19="Ja",E62&lt;&gt;"",ISNUMBER(MATCH(E62,Parameter!$I$35:$I$52,0))),VLOOKUP(E62,Parameter!$I$35:$J$52,2,0),IFERROR(VLOOKUP(D62,Parameter!$A$35:$C$64,2,0),"Nein"))</f>
        <v>2+3</v>
      </c>
      <c r="BW62" s="59" t="n">
        <f aca="false">IF(BT62=0,0,IF(N(S62)&gt;0,S62,IFERROR(VLOOKUP(D62,Parameter!$A$35:$C$64,3,0)+0,0)))</f>
        <v>0</v>
      </c>
      <c r="BX62" s="55" t="n">
        <f aca="false">IF(AA62&lt;&gt;"",AA62,Z62)</f>
        <v>2</v>
      </c>
      <c r="BY62" s="55" t="str">
        <f aca="false">IF(BX62=1,"L1",IF(OR(BX62=2,BX62=3),"L23",IF(BX62="Aussen","Aussen","-")))</f>
        <v>L23</v>
      </c>
      <c r="BZ62" s="66" t="n">
        <f aca="false">IF(N(AB62)&gt;0,AB62,0)</f>
        <v>0</v>
      </c>
      <c r="CA62" s="60" t="n">
        <f aca="false">IF(ISNUMBER(AE62),1,0)</f>
        <v>0</v>
      </c>
      <c r="CB62" s="57" t="n">
        <f aca="false">N(AE62)</f>
        <v>0</v>
      </c>
      <c r="CC62" s="57" t="n">
        <f aca="false">N(M62)+N(N62)</f>
        <v>1</v>
      </c>
      <c r="CD62" s="57" t="n">
        <f aca="false">ROUNDUP(H62/BS62,0)</f>
        <v>1</v>
      </c>
      <c r="CE62" s="57" t="n">
        <f aca="false">ROUNDUP(CB62/BS62,0)</f>
        <v>0</v>
      </c>
      <c r="CF62" s="60" t="n">
        <f aca="false">IF(BT62=1,0,IFERROR(VLOOKUP(BR62,'Gebinde-Kategorie'!$A$5:$M$45,5,0)+0,0))</f>
        <v>11</v>
      </c>
      <c r="CG62" s="60" t="n">
        <f aca="false">IFERROR(IF(OR(BX62=1,BX62=2,BX62=3),N(INDEX(Parameter!$I$5:$I$7,BX62)),0),0)</f>
        <v>0</v>
      </c>
      <c r="CH62" s="59" t="n">
        <f aca="false">IF(AND(Parameter!$B$21="Ja",ISNUMBER(W62),N(X62)&gt;0),IFERROR(N(INDEX(Parameter!$L$5:$L$7,W62))*INDEX(Parameter!$E$5:$E$7,W62)*X62/SUMIFS($X$7:$X$1843,$W$7:$W$1843,W62),0),0)</f>
        <v>0</v>
      </c>
    </row>
    <row r="63" customFormat="false" ht="15" hidden="false" customHeight="false" outlineLevel="0" collapsed="false">
      <c r="A63" s="55" t="s">
        <v>323</v>
      </c>
      <c r="B63" s="55" t="s">
        <v>324</v>
      </c>
      <c r="C63" s="55" t="s">
        <v>164</v>
      </c>
      <c r="D63" s="55" t="s">
        <v>184</v>
      </c>
      <c r="E63" s="55" t="s">
        <v>185</v>
      </c>
      <c r="F63" s="55" t="s">
        <v>218</v>
      </c>
      <c r="G63" s="56" t="n">
        <v>34.21</v>
      </c>
      <c r="H63" s="57" t="n">
        <f aca="false">MAX(0,IF(AND(Parameter!$B$21="Ja",ISNUMBER(Y63)),Y63,IF(Parameter!$B$20="Jahresanfang 2025 + Export",BL63+BK63,BK63)))</f>
        <v>174</v>
      </c>
      <c r="I63" s="57" t="n">
        <f aca="false">H63*G63</f>
        <v>5952.54</v>
      </c>
      <c r="J63" s="57" t="n">
        <f aca="false">BN63*Parameter!$B$18</f>
        <v>262</v>
      </c>
      <c r="K63" s="58" t="n">
        <v>102</v>
      </c>
      <c r="L63" s="59" t="n">
        <v>2.56862745098039</v>
      </c>
      <c r="M63" s="57" t="n">
        <v>45</v>
      </c>
      <c r="N63" s="57" t="n">
        <v>135</v>
      </c>
      <c r="O63" s="60" t="n">
        <v>56</v>
      </c>
      <c r="P63" s="55" t="s">
        <v>233</v>
      </c>
      <c r="Q63" s="57" t="n">
        <v>150</v>
      </c>
      <c r="R63" s="60" t="n">
        <f aca="false">IF(BT63=1,0,IFERROR(VLOOKUP(BR63,'Gebinde-Kategorie'!$A$5:$M$45,13,0)+0,0))</f>
        <v>26</v>
      </c>
      <c r="S63" s="61"/>
      <c r="T63" s="62"/>
      <c r="U63" s="62"/>
      <c r="V63" s="62"/>
      <c r="W63" s="55"/>
      <c r="X63" s="57"/>
      <c r="Y63" s="57"/>
      <c r="Z63" s="55" t="n">
        <f aca="false">IF(A63="","",IF(AND(Parameter!$B$21="Ja",ISNUMBER(W63)),W63,IF(BV63="2+3",IF(ISNUMBER(SEARCH("grosser Artikel",BO63)),2,IFERROR(VLOOKUP(BR63,Parameter!$F$35:$G$64,2,0),2)),IF(OR(BV63="Nein",BV63=""),"-",BV63))))</f>
        <v>3</v>
      </c>
      <c r="AA63" s="62"/>
      <c r="AB63" s="63"/>
      <c r="AC63" s="57" t="n">
        <f aca="false">AR63</f>
        <v>300</v>
      </c>
      <c r="AD63" s="57" t="n">
        <f aca="false">MAX(AR63,H63)</f>
        <v>300</v>
      </c>
      <c r="AE63" s="64"/>
      <c r="AF63" s="57" t="n">
        <f aca="false">IF(LEFT(Cockpit!$C$5,1)="A",H63,IF(CA63=1,CB63,IF(LEFT(Cockpit!$C$5,1)="B",AJ63,MAX(AJ63,H63))))</f>
        <v>174</v>
      </c>
      <c r="AG63" s="57" t="n">
        <f aca="false">IF(BT63=1,0,ROUNDUP(AF63/BS63,0))</f>
        <v>2</v>
      </c>
      <c r="AH63" s="59" t="n">
        <f aca="false">IF(CH63&gt;0,CH63*MAX(1,AF63/X63),IF(BT63=1,IF(AF63&lt;=0,0,BW63*MAX(1,IF(H63&gt;0,AF63/H63,1))),IF(R63&gt;0,AG63/R63,0))/MAX(0.1,N(Parameter!$M$21)))</f>
        <v>0.0769230769230769</v>
      </c>
      <c r="AI63" s="57" t="n">
        <f aca="false">AF63*G63</f>
        <v>5952.54</v>
      </c>
      <c r="AJ63" s="57" t="n">
        <f aca="false">ROUNDUP(MAX(J63/IF(BZ63&gt;0,BZ63,MAX(0.1,N(Cockpit!$C$6))),CC63)/BS63,0)*BS63</f>
        <v>300</v>
      </c>
      <c r="AK63" s="58" t="n">
        <f aca="false">IF(AH63&gt;0,J63/AH63,-1)</f>
        <v>3406</v>
      </c>
      <c r="AL63" s="58" t="n">
        <f aca="false">IF(AND(OR(BY63="L1",BY63="L23"),AH63&gt;0),SUMIFS($AH$7:$AH$1843,$BY$7:$BY$1843,BY63,$AK$7:$AK$1843,"&gt;"&amp;AK63)+SUMIFS($AH$7:$AH$1843,$BY$7:$BY$1843,BY63,$AK$7:$AK$1843,AK63,$BQ$7:$BQ$1843,"&lt;="&amp;BQ63),"")</f>
        <v>9.9857606161954</v>
      </c>
      <c r="AM63" s="65" t="n">
        <f aca="false">IF(AL63="",0,MAX(0,MIN(1,(IF(BY63="L1",Parameter!$E$5,Parameter!$E$6+Parameter!$E$7)-(AL63-AH63))/AH63)))</f>
        <v>1</v>
      </c>
      <c r="AN63" s="57" t="n">
        <f aca="false">IF(LEFT(Cockpit!$I$5,1)="A",H63,IF(CA63=1,CB63,IF(LEFT(Cockpit!$I$5,1)="B",AR63,MAX(AR63,H63))))</f>
        <v>300</v>
      </c>
      <c r="AO63" s="57" t="n">
        <f aca="false">IF(BT63=1,0,ROUNDUP(AN63/BS63,0))</f>
        <v>2</v>
      </c>
      <c r="AP63" s="59" t="n">
        <f aca="false">IF(CH63&gt;0,CH63*MAX(1,AN63/X63),IF(BT63=1,IF(AN63&lt;=0,0,BW63*MAX(1,IF(H63&gt;0,AN63/H63,1))),IF(R63&gt;0,AO63/R63,0))/MAX(0.1,N(Parameter!$M$21)))</f>
        <v>0.0769230769230769</v>
      </c>
      <c r="AQ63" s="57" t="n">
        <f aca="false">AN63*G63</f>
        <v>10263</v>
      </c>
      <c r="AR63" s="57" t="n">
        <f aca="false">ROUNDUP(MAX(J63/IF(BZ63&gt;0,BZ63,MAX(0.1,N(Cockpit!$I$6))),CC63)/BS63,0)*BS63</f>
        <v>300</v>
      </c>
      <c r="AS63" s="58" t="n">
        <f aca="false">IF(AP63&gt;0,J63/AP63,-1)</f>
        <v>3406</v>
      </c>
      <c r="AT63" s="58" t="n">
        <f aca="false">IF(AND(OR(BY63="L1",BY63="L23"),AP63&gt;0),SUMIFS($AP$7:$AP$1843,$BY$7:$BY$1843,BY63,$AS$7:$AS$1843,"&gt;"&amp;AS63)+SUMIFS($AP$7:$AP$1843,$BY$7:$BY$1843,BY63,$AS$7:$AS$1843,AS63,$BQ$7:$BQ$1843,"&lt;="&amp;BQ63),"")</f>
        <v>14.9290817877774</v>
      </c>
      <c r="AU63" s="65" t="n">
        <f aca="false">IF(AT63="",0,MAX(0,MIN(1,(IF(BY63="L1",Parameter!$E$5,Parameter!$E$6+Parameter!$E$7)-(AT63-AP63))/AP63)))</f>
        <v>1</v>
      </c>
      <c r="AV63" s="57" t="n">
        <f aca="false">IF(LEFT(Cockpit!$O$5,1)="A",H63,IF(CA63=1,CB63,IF(LEFT(Cockpit!$O$5,1)="B",AZ63,MAX(AZ63,H63))))</f>
        <v>300</v>
      </c>
      <c r="AW63" s="57" t="n">
        <f aca="false">IF(BT63=1,0,ROUNDUP(AV63/BS63,0))</f>
        <v>2</v>
      </c>
      <c r="AX63" s="59" t="n">
        <f aca="false">IF(CH63&gt;0,CH63*MAX(1,AV63/X63),IF(BT63=1,IF(AV63&lt;=0,0,BW63*MAX(1,IF(H63&gt;0,AV63/H63,1))),IF(R63&gt;0,AW63/R63,0))/MAX(0.1,N(Parameter!$M$21)))</f>
        <v>0.0769230769230769</v>
      </c>
      <c r="AY63" s="57" t="n">
        <f aca="false">AV63*G63</f>
        <v>10263</v>
      </c>
      <c r="AZ63" s="57" t="n">
        <f aca="false">ROUNDUP(MAX(J63/IF(BZ63&gt;0,BZ63,MAX(0.1,N(Cockpit!$O$6))),CC63)/BS63,0)*BS63</f>
        <v>300</v>
      </c>
      <c r="BA63" s="58" t="n">
        <f aca="false">IF(AX63&gt;0,J63/AX63,-1)</f>
        <v>3406</v>
      </c>
      <c r="BB63" s="58" t="n">
        <f aca="false">IF(AND(OR(BY63="L1",BY63="L23"),AX63&gt;0),SUMIFS($AX$7:$AX$1843,$BY$7:$BY$1843,BY63,$BA$7:$BA$1843,"&gt;"&amp;BA63)+SUMIFS($AX$7:$AX$1843,$BY$7:$BY$1843,BY63,$BA$7:$BA$1843,BA63,$BQ$7:$BQ$1843,"&lt;="&amp;BQ63),"")</f>
        <v>13.4960981047938</v>
      </c>
      <c r="BC63" s="65" t="n">
        <f aca="false">IF(BB63="",0,MAX(0,MIN(1,(IF(BY63="L1",Parameter!$E$5,Parameter!$E$6+Parameter!$E$7)-(BB63-AX63))/AX63)))</f>
        <v>1</v>
      </c>
      <c r="BD63" s="55" t="str">
        <f aca="false">IF(AH63&lt;=0,"",IF(BY63="Aussen","Aussenlager",IF(BY63="-","Nicht im Lift",IF(AM63&gt;=1,"Lift",IF(AM63&lt;=0,"Aussenlager","teilweise")))))</f>
        <v>Lift</v>
      </c>
      <c r="BE63" s="55" t="str">
        <f aca="false">IF(AP63&lt;=0,"",IF(BY63="Aussen","Aussenlager",IF(BY63="-","Nicht im Lift",IF(AU63&gt;=1,"Lift",IF(AU63&lt;=0,"Aussenlager","teilweise")))))</f>
        <v>Lift</v>
      </c>
      <c r="BF63" s="55" t="str">
        <f aca="false">IF(AX63&lt;=0,"",IF(BY63="Aussen","Aussenlager",IF(BY63="-","Nicht im Lift",IF(BC63&gt;=1,"Lift",IF(BC63&lt;=0,"Aussenlager","teilweise")))))</f>
        <v>Lift</v>
      </c>
      <c r="BG63" s="55" t="str">
        <f aca="false">IF(A63="","",IF(BP63=1,"Neu; ","")&amp;IF(AND(BP63=0,BK63&lt;0),"negativer Bestand (Export "&amp;BK63&amp;"); ","")&amp;IF(J63&lt;=0,"Kein Verbrauch; ","")&amp;IF(CH63&gt;0,"Lift "&amp;W63&amp;" lt. Liftbericht (Fach "&amp;X63&amp;" Stk); ",IF(BU63=1,"Gebinde geschätzt ("&amp;T63&amp;"); ",IF(BT63=1,"Lose – Tablare geschätzt; ","")))&amp;IF(H63&gt;AR63,"Überbestand "&amp;ROUND(H63-AR63,0)&amp;" Stk / CHF "&amp;ROUND((H63-AR63)*G63,0)&amp;"; ","")&amp;IF(AND(CA63=1,CB63&lt;CC63),"MAX &lt; MB+LG; ","")&amp;IF(AND(CG63&gt;0,CF63*10&gt;CG63),"zu hoch für Tablar; ","")&amp;IF(AND(BP63=0,OR(CA63=1,AA63&lt;&gt;"",U63&lt;&gt;"",V63&lt;&gt;"",AB63&lt;&gt;"")),"manuell übersteuert; ","")&amp;IF(AND(BT63=0,R63=0),"Gebinde unbekannt / Stellmass fehlt; ","")&amp;IF(AND(BT63=0,N(V63)&lt;=0,N(Q63)&lt;=0),"Menge pro Gebinde fehlt (Ist = 1 Gebinde); ","")&amp;BO63)</f>
        <v/>
      </c>
      <c r="BH63" s="55" t="s">
        <v>325</v>
      </c>
      <c r="BI63" s="55"/>
      <c r="BJ63" s="62"/>
      <c r="BK63" s="57" t="n">
        <v>141</v>
      </c>
      <c r="BL63" s="57" t="n">
        <v>33</v>
      </c>
      <c r="BM63" s="56" t="n">
        <v>4088.73</v>
      </c>
      <c r="BN63" s="57" t="n">
        <v>262</v>
      </c>
      <c r="BO63" s="55"/>
      <c r="BP63" s="60" t="n">
        <v>0</v>
      </c>
      <c r="BQ63" s="60" t="n">
        <v>63</v>
      </c>
      <c r="BR63" s="55" t="str">
        <f aca="false">IF(U63&lt;&gt;"",UPPER(TRIM(U63)),IF(BU63=1,UPPER(VLOOKUP(T63,Parameter!$I$27:$K$29,2,0)),IF(P63="","LOSE",P63)))</f>
        <v>S52</v>
      </c>
      <c r="BS63" s="57" t="n">
        <f aca="false">IF(BR63="LOSE",1,IF(N(V63)&gt;0,V63,IF(BU63=1,MAX(1,N(VLOOKUP(T63,Parameter!$I$27:$K$29,3,0)),H63,N(N63)),IF(N(Q63)&gt;0,Q63,MAX(1,H63)))))</f>
        <v>150</v>
      </c>
      <c r="BT63" s="60" t="n">
        <f aca="false">IF(BR63="LOSE",1,0)</f>
        <v>0</v>
      </c>
      <c r="BU63" s="60" t="n">
        <f aca="false">IF(AND(U63="",OR(P63="",P63="LOSE"),T63&lt;&gt;"",N(S63)&lt;=0,ISNUMBER(MATCH(T63,Parameter!$I$27:$I$29,0))),1,0)</f>
        <v>0</v>
      </c>
      <c r="BV63" s="55" t="str">
        <f aca="false">IF(AND(Parameter!$B$19="Ja",E63&lt;&gt;"",ISNUMBER(MATCH(E63,Parameter!$I$35:$I$52,0))),VLOOKUP(E63,Parameter!$I$35:$J$52,2,0),IFERROR(VLOOKUP(D63,Parameter!$A$35:$C$64,2,0),"Nein"))</f>
        <v>2+3</v>
      </c>
      <c r="BW63" s="59" t="n">
        <f aca="false">IF(BT63=0,0,IF(N(S63)&gt;0,S63,IFERROR(VLOOKUP(D63,Parameter!$A$35:$C$64,3,0)+0,0)))</f>
        <v>0</v>
      </c>
      <c r="BX63" s="55" t="n">
        <f aca="false">IF(AA63&lt;&gt;"",AA63,Z63)</f>
        <v>3</v>
      </c>
      <c r="BY63" s="55" t="str">
        <f aca="false">IF(BX63=1,"L1",IF(OR(BX63=2,BX63=3),"L23",IF(BX63="Aussen","Aussen","-")))</f>
        <v>L23</v>
      </c>
      <c r="BZ63" s="66" t="n">
        <f aca="false">IF(N(AB63)&gt;0,AB63,0)</f>
        <v>0</v>
      </c>
      <c r="CA63" s="60" t="n">
        <f aca="false">IF(ISNUMBER(AE63),1,0)</f>
        <v>0</v>
      </c>
      <c r="CB63" s="57" t="n">
        <f aca="false">N(AE63)</f>
        <v>0</v>
      </c>
      <c r="CC63" s="57" t="n">
        <f aca="false">N(M63)+N(N63)</f>
        <v>180</v>
      </c>
      <c r="CD63" s="57" t="n">
        <f aca="false">ROUNDUP(H63/BS63,0)</f>
        <v>2</v>
      </c>
      <c r="CE63" s="57" t="n">
        <f aca="false">ROUNDUP(CB63/BS63,0)</f>
        <v>0</v>
      </c>
      <c r="CF63" s="60" t="n">
        <f aca="false">IF(BT63=1,0,IFERROR(VLOOKUP(BR63,'Gebinde-Kategorie'!$A$5:$M$45,5,0)+0,0))</f>
        <v>21</v>
      </c>
      <c r="CG63" s="60" t="n">
        <f aca="false">IFERROR(IF(OR(BX63=1,BX63=2,BX63=3),N(INDEX(Parameter!$I$5:$I$7,BX63)),0),0)</f>
        <v>0</v>
      </c>
      <c r="CH63" s="59" t="n">
        <f aca="false">IF(AND(Parameter!$B$21="Ja",ISNUMBER(W63),N(X63)&gt;0),IFERROR(N(INDEX(Parameter!$L$5:$L$7,W63))*INDEX(Parameter!$E$5:$E$7,W63)*X63/SUMIFS($X$7:$X$1843,$W$7:$W$1843,W63),0),0)</f>
        <v>0</v>
      </c>
    </row>
    <row r="64" customFormat="false" ht="15" hidden="false" customHeight="false" outlineLevel="0" collapsed="false">
      <c r="A64" s="55" t="s">
        <v>326</v>
      </c>
      <c r="B64" s="55" t="s">
        <v>327</v>
      </c>
      <c r="C64" s="55" t="s">
        <v>164</v>
      </c>
      <c r="D64" s="55" t="s">
        <v>184</v>
      </c>
      <c r="E64" s="55" t="s">
        <v>185</v>
      </c>
      <c r="F64" s="55" t="s">
        <v>218</v>
      </c>
      <c r="G64" s="56" t="n">
        <v>2181.57</v>
      </c>
      <c r="H64" s="57" t="n">
        <f aca="false">MAX(0,IF(AND(Parameter!$B$21="Ja",ISNUMBER(Y64)),Y64,IF(Parameter!$B$20="Jahresanfang 2025 + Export",BL64+BK64,BK64)))</f>
        <v>2.15000000000001</v>
      </c>
      <c r="I64" s="57" t="n">
        <f aca="false">H64*G64</f>
        <v>4690.37550000001</v>
      </c>
      <c r="J64" s="57" t="n">
        <f aca="false">BN64*Parameter!$B$18</f>
        <v>2.605</v>
      </c>
      <c r="K64" s="58" t="n">
        <v>0.447500000000003</v>
      </c>
      <c r="L64" s="59" t="n">
        <v>5.82122905027929</v>
      </c>
      <c r="M64" s="57" t="n">
        <v>0</v>
      </c>
      <c r="N64" s="57" t="n">
        <v>1</v>
      </c>
      <c r="O64" s="60" t="n">
        <v>60</v>
      </c>
      <c r="P64" s="55" t="s">
        <v>328</v>
      </c>
      <c r="Q64" s="57" t="n">
        <v>3.3</v>
      </c>
      <c r="R64" s="60" t="n">
        <f aca="false">IF(BT64=1,0,IFERROR(VLOOKUP(BR64,'Gebinde-Kategorie'!$A$5:$M$45,13,0)+0,0))</f>
        <v>52</v>
      </c>
      <c r="S64" s="61"/>
      <c r="T64" s="62"/>
      <c r="U64" s="62"/>
      <c r="V64" s="62"/>
      <c r="W64" s="55"/>
      <c r="X64" s="57"/>
      <c r="Y64" s="57"/>
      <c r="Z64" s="55" t="n">
        <f aca="false">IF(A64="","",IF(AND(Parameter!$B$21="Ja",ISNUMBER(W64)),W64,IF(BV64="2+3",IF(ISNUMBER(SEARCH("grosser Artikel",BO64)),2,IFERROR(VLOOKUP(BR64,Parameter!$F$35:$G$64,2,0),2)),IF(OR(BV64="Nein",BV64=""),"-",BV64))))</f>
        <v>3</v>
      </c>
      <c r="AA64" s="62"/>
      <c r="AB64" s="63"/>
      <c r="AC64" s="57" t="n">
        <f aca="false">AR64</f>
        <v>3.3</v>
      </c>
      <c r="AD64" s="57" t="n">
        <f aca="false">MAX(AR64,H64)</f>
        <v>3.3</v>
      </c>
      <c r="AE64" s="64"/>
      <c r="AF64" s="57" t="n">
        <f aca="false">IF(LEFT(Cockpit!$C$5,1)="A",H64,IF(CA64=1,CB64,IF(LEFT(Cockpit!$C$5,1)="B",AJ64,MAX(AJ64,H64))))</f>
        <v>2.15000000000001</v>
      </c>
      <c r="AG64" s="57" t="n">
        <f aca="false">IF(BT64=1,0,ROUNDUP(AF64/BS64,0))</f>
        <v>1</v>
      </c>
      <c r="AH64" s="59" t="n">
        <f aca="false">IF(CH64&gt;0,CH64*MAX(1,AF64/X64),IF(BT64=1,IF(AF64&lt;=0,0,BW64*MAX(1,IF(H64&gt;0,AF64/H64,1))),IF(R64&gt;0,AG64/R64,0))/MAX(0.1,N(Parameter!$M$21)))</f>
        <v>0.0192307692307692</v>
      </c>
      <c r="AI64" s="57" t="n">
        <f aca="false">AF64*G64</f>
        <v>4690.37550000001</v>
      </c>
      <c r="AJ64" s="57" t="n">
        <f aca="false">ROUNDUP(MAX(J64/IF(BZ64&gt;0,BZ64,MAX(0.1,N(Cockpit!$C$6))),CC64)/BS64,0)*BS64</f>
        <v>3.3</v>
      </c>
      <c r="AK64" s="58" t="n">
        <f aca="false">IF(AH64&gt;0,J64/AH64,-1)</f>
        <v>135.46</v>
      </c>
      <c r="AL64" s="58" t="n">
        <f aca="false">IF(AND(OR(BY64="L1",BY64="L23"),AH64&gt;0),SUMIFS($AH$7:$AH$1843,$BY$7:$BY$1843,BY64,$AK$7:$AK$1843,"&gt;"&amp;AK64)+SUMIFS($AH$7:$AH$1843,$BY$7:$BY$1843,BY64,$AK$7:$AK$1843,AK64,$BQ$7:$BQ$1843,"&lt;="&amp;BQ64),"")</f>
        <v>35.6752052295531</v>
      </c>
      <c r="AM64" s="65" t="n">
        <f aca="false">IF(AL64="",0,MAX(0,MIN(1,(IF(BY64="L1",Parameter!$E$5,Parameter!$E$6+Parameter!$E$7)-(AL64-AH64))/AH64)))</f>
        <v>1</v>
      </c>
      <c r="AN64" s="57" t="n">
        <f aca="false">IF(LEFT(Cockpit!$I$5,1)="A",H64,IF(CA64=1,CB64,IF(LEFT(Cockpit!$I$5,1)="B",AR64,MAX(AR64,H64))))</f>
        <v>3.3</v>
      </c>
      <c r="AO64" s="57" t="n">
        <f aca="false">IF(BT64=1,0,ROUNDUP(AN64/BS64,0))</f>
        <v>1</v>
      </c>
      <c r="AP64" s="59" t="n">
        <f aca="false">IF(CH64&gt;0,CH64*MAX(1,AN64/X64),IF(BT64=1,IF(AN64&lt;=0,0,BW64*MAX(1,IF(H64&gt;0,AN64/H64,1))),IF(R64&gt;0,AO64/R64,0))/MAX(0.1,N(Parameter!$M$21)))</f>
        <v>0.0192307692307692</v>
      </c>
      <c r="AQ64" s="57" t="n">
        <f aca="false">AN64*G64</f>
        <v>7199.181</v>
      </c>
      <c r="AR64" s="57" t="n">
        <f aca="false">ROUNDUP(MAX(J64/IF(BZ64&gt;0,BZ64,MAX(0.1,N(Cockpit!$I$6))),CC64)/BS64,0)*BS64</f>
        <v>3.3</v>
      </c>
      <c r="AS64" s="58" t="n">
        <f aca="false">IF(AP64&gt;0,J64/AP64,-1)</f>
        <v>135.46</v>
      </c>
      <c r="AT64" s="58" t="n">
        <f aca="false">IF(AND(OR(BY64="L1",BY64="L23"),AP64&gt;0),SUMIFS($AP$7:$AP$1843,$BY$7:$BY$1843,BY64,$AS$7:$AS$1843,"&gt;"&amp;AS64)+SUMIFS($AP$7:$AP$1843,$BY$7:$BY$1843,BY64,$AS$7:$AS$1843,AS64,$BQ$7:$BQ$1843,"&lt;="&amp;BQ64),"")</f>
        <v>50.5742711394885</v>
      </c>
      <c r="AU64" s="65" t="n">
        <f aca="false">IF(AT64="",0,MAX(0,MIN(1,(IF(BY64="L1",Parameter!$E$5,Parameter!$E$6+Parameter!$E$7)-(AT64-AP64))/AP64)))</f>
        <v>1</v>
      </c>
      <c r="AV64" s="57" t="n">
        <f aca="false">IF(LEFT(Cockpit!$O$5,1)="A",H64,IF(CA64=1,CB64,IF(LEFT(Cockpit!$O$5,1)="B",AZ64,MAX(AZ64,H64))))</f>
        <v>3.3</v>
      </c>
      <c r="AW64" s="57" t="n">
        <f aca="false">IF(BT64=1,0,ROUNDUP(AV64/BS64,0))</f>
        <v>1</v>
      </c>
      <c r="AX64" s="59" t="n">
        <f aca="false">IF(CH64&gt;0,CH64*MAX(1,AV64/X64),IF(BT64=1,IF(AV64&lt;=0,0,BW64*MAX(1,IF(H64&gt;0,AV64/H64,1))),IF(R64&gt;0,AW64/R64,0))/MAX(0.1,N(Parameter!$M$21)))</f>
        <v>0.0192307692307692</v>
      </c>
      <c r="AY64" s="57" t="n">
        <f aca="false">AV64*G64</f>
        <v>7199.181</v>
      </c>
      <c r="AZ64" s="57" t="n">
        <f aca="false">ROUNDUP(MAX(J64/IF(BZ64&gt;0,BZ64,MAX(0.1,N(Cockpit!$O$6))),CC64)/BS64,0)*BS64</f>
        <v>3.3</v>
      </c>
      <c r="BA64" s="58" t="n">
        <f aca="false">IF(AX64&gt;0,J64/AX64,-1)</f>
        <v>135.46</v>
      </c>
      <c r="BB64" s="58" t="n">
        <f aca="false">IF(AND(OR(BY64="L1",BY64="L23"),AX64&gt;0),SUMIFS($AX$7:$AX$1843,$BY$7:$BY$1843,BY64,$BA$7:$BA$1843,"&gt;"&amp;BA64)+SUMIFS($AX$7:$AX$1843,$BY$7:$BY$1843,BY64,$BA$7:$BA$1843,BA64,$BQ$7:$BQ$1843,"&lt;="&amp;BQ64),"")</f>
        <v>46.1541079693254</v>
      </c>
      <c r="BC64" s="65" t="n">
        <f aca="false">IF(BB64="",0,MAX(0,MIN(1,(IF(BY64="L1",Parameter!$E$5,Parameter!$E$6+Parameter!$E$7)-(BB64-AX64))/AX64)))</f>
        <v>1</v>
      </c>
      <c r="BD64" s="55" t="str">
        <f aca="false">IF(AH64&lt;=0,"",IF(BY64="Aussen","Aussenlager",IF(BY64="-","Nicht im Lift",IF(AM64&gt;=1,"Lift",IF(AM64&lt;=0,"Aussenlager","teilweise")))))</f>
        <v>Lift</v>
      </c>
      <c r="BE64" s="55" t="str">
        <f aca="false">IF(AP64&lt;=0,"",IF(BY64="Aussen","Aussenlager",IF(BY64="-","Nicht im Lift",IF(AU64&gt;=1,"Lift",IF(AU64&lt;=0,"Aussenlager","teilweise")))))</f>
        <v>Lift</v>
      </c>
      <c r="BF64" s="55" t="str">
        <f aca="false">IF(AX64&lt;=0,"",IF(BY64="Aussen","Aussenlager",IF(BY64="-","Nicht im Lift",IF(BC64&gt;=1,"Lift",IF(BC64&lt;=0,"Aussenlager","teilweise")))))</f>
        <v>Lift</v>
      </c>
      <c r="BG64" s="55" t="str">
        <f aca="false">IF(A64="","",IF(BP64=1,"Neu; ","")&amp;IF(AND(BP64=0,BK64&lt;0),"negativer Bestand (Export "&amp;BK64&amp;"); ","")&amp;IF(J64&lt;=0,"Kein Verbrauch; ","")&amp;IF(CH64&gt;0,"Lift "&amp;W64&amp;" lt. Liftbericht (Fach "&amp;X64&amp;" Stk); ",IF(BU64=1,"Gebinde geschätzt ("&amp;T64&amp;"); ",IF(BT64=1,"Lose – Tablare geschätzt; ","")))&amp;IF(H64&gt;AR64,"Überbestand "&amp;ROUND(H64-AR64,0)&amp;" Stk / CHF "&amp;ROUND((H64-AR64)*G64,0)&amp;"; ","")&amp;IF(AND(CA64=1,CB64&lt;CC64),"MAX &lt; MB+LG; ","")&amp;IF(AND(CG64&gt;0,CF64*10&gt;CG64),"zu hoch für Tablar; ","")&amp;IF(AND(BP64=0,OR(CA64=1,AA64&lt;&gt;"",U64&lt;&gt;"",V64&lt;&gt;"",AB64&lt;&gt;"")),"manuell übersteuert; ","")&amp;IF(AND(BT64=0,R64=0),"Gebinde unbekannt / Stellmass fehlt; ","")&amp;IF(AND(BT64=0,N(V64)&lt;=0,N(Q64)&lt;=0),"Menge pro Gebinde fehlt (Ist = 1 Gebinde); ","")&amp;BO64)</f>
        <v/>
      </c>
      <c r="BH64" s="55" t="s">
        <v>329</v>
      </c>
      <c r="BI64" s="55"/>
      <c r="BJ64" s="62"/>
      <c r="BK64" s="57" t="n">
        <v>1.9</v>
      </c>
      <c r="BL64" s="57" t="n">
        <v>0.250000000000004</v>
      </c>
      <c r="BM64" s="56" t="n">
        <v>3955.6</v>
      </c>
      <c r="BN64" s="57" t="n">
        <v>2.605</v>
      </c>
      <c r="BO64" s="55"/>
      <c r="BP64" s="60" t="n">
        <v>0</v>
      </c>
      <c r="BQ64" s="60" t="n">
        <v>64</v>
      </c>
      <c r="BR64" s="55" t="str">
        <f aca="false">IF(U64&lt;&gt;"",UPPER(TRIM(U64)),IF(BU64=1,UPPER(VLOOKUP(T64,Parameter!$I$27:$K$29,2,0)),IF(P64="","LOSE",P64)))</f>
        <v>S41</v>
      </c>
      <c r="BS64" s="57" t="n">
        <f aca="false">IF(BR64="LOSE",1,IF(N(V64)&gt;0,V64,IF(BU64=1,MAX(1,N(VLOOKUP(T64,Parameter!$I$27:$K$29,3,0)),H64,N(N64)),IF(N(Q64)&gt;0,Q64,MAX(1,H64)))))</f>
        <v>3.3</v>
      </c>
      <c r="BT64" s="60" t="n">
        <f aca="false">IF(BR64="LOSE",1,0)</f>
        <v>0</v>
      </c>
      <c r="BU64" s="60" t="n">
        <f aca="false">IF(AND(U64="",OR(P64="",P64="LOSE"),T64&lt;&gt;"",N(S64)&lt;=0,ISNUMBER(MATCH(T64,Parameter!$I$27:$I$29,0))),1,0)</f>
        <v>0</v>
      </c>
      <c r="BV64" s="55" t="str">
        <f aca="false">IF(AND(Parameter!$B$19="Ja",E64&lt;&gt;"",ISNUMBER(MATCH(E64,Parameter!$I$35:$I$52,0))),VLOOKUP(E64,Parameter!$I$35:$J$52,2,0),IFERROR(VLOOKUP(D64,Parameter!$A$35:$C$64,2,0),"Nein"))</f>
        <v>2+3</v>
      </c>
      <c r="BW64" s="59" t="n">
        <f aca="false">IF(BT64=0,0,IF(N(S64)&gt;0,S64,IFERROR(VLOOKUP(D64,Parameter!$A$35:$C$64,3,0)+0,0)))</f>
        <v>0</v>
      </c>
      <c r="BX64" s="55" t="n">
        <f aca="false">IF(AA64&lt;&gt;"",AA64,Z64)</f>
        <v>3</v>
      </c>
      <c r="BY64" s="55" t="str">
        <f aca="false">IF(BX64=1,"L1",IF(OR(BX64=2,BX64=3),"L23",IF(BX64="Aussen","Aussen","-")))</f>
        <v>L23</v>
      </c>
      <c r="BZ64" s="66" t="n">
        <f aca="false">IF(N(AB64)&gt;0,AB64,0)</f>
        <v>0</v>
      </c>
      <c r="CA64" s="60" t="n">
        <f aca="false">IF(ISNUMBER(AE64),1,0)</f>
        <v>0</v>
      </c>
      <c r="CB64" s="57" t="n">
        <f aca="false">N(AE64)</f>
        <v>0</v>
      </c>
      <c r="CC64" s="57" t="n">
        <f aca="false">N(M64)+N(N64)</f>
        <v>1</v>
      </c>
      <c r="CD64" s="57" t="n">
        <f aca="false">ROUNDUP(H64/BS64,0)</f>
        <v>1</v>
      </c>
      <c r="CE64" s="57" t="n">
        <f aca="false">ROUNDUP(CB64/BS64,0)</f>
        <v>0</v>
      </c>
      <c r="CF64" s="60" t="n">
        <f aca="false">IF(BT64=1,0,IFERROR(VLOOKUP(BR64,'Gebinde-Kategorie'!$A$5:$M$45,5,0)+0,0))</f>
        <v>11</v>
      </c>
      <c r="CG64" s="60" t="n">
        <f aca="false">IFERROR(IF(OR(BX64=1,BX64=2,BX64=3),N(INDEX(Parameter!$I$5:$I$7,BX64)),0),0)</f>
        <v>0</v>
      </c>
      <c r="CH64" s="59" t="n">
        <f aca="false">IF(AND(Parameter!$B$21="Ja",ISNUMBER(W64),N(X64)&gt;0),IFERROR(N(INDEX(Parameter!$L$5:$L$7,W64))*INDEX(Parameter!$E$5:$E$7,W64)*X64/SUMIFS($X$7:$X$1843,$W$7:$W$1843,W64),0),0)</f>
        <v>0</v>
      </c>
    </row>
    <row r="65" customFormat="false" ht="15" hidden="false" customHeight="false" outlineLevel="0" collapsed="false">
      <c r="A65" s="55" t="s">
        <v>330</v>
      </c>
      <c r="B65" s="55" t="s">
        <v>331</v>
      </c>
      <c r="C65" s="55" t="s">
        <v>164</v>
      </c>
      <c r="D65" s="55" t="s">
        <v>173</v>
      </c>
      <c r="E65" s="55"/>
      <c r="F65" s="55" t="s">
        <v>218</v>
      </c>
      <c r="G65" s="56" t="n">
        <v>788.31</v>
      </c>
      <c r="H65" s="57" t="n">
        <f aca="false">MAX(0,IF(AND(Parameter!$B$21="Ja",ISNUMBER(Y65)),Y65,IF(Parameter!$B$20="Jahresanfang 2025 + Export",BL65+BK65,BK65)))</f>
        <v>5</v>
      </c>
      <c r="I65" s="57" t="n">
        <f aca="false">H65*G65</f>
        <v>3941.55</v>
      </c>
      <c r="J65" s="57" t="n">
        <f aca="false">BN65*Parameter!$B$18</f>
        <v>0</v>
      </c>
      <c r="K65" s="58" t="n">
        <v>0</v>
      </c>
      <c r="L65" s="59" t="n">
        <v>0</v>
      </c>
      <c r="M65" s="57" t="n">
        <v>0</v>
      </c>
      <c r="N65" s="57" t="n">
        <v>5</v>
      </c>
      <c r="O65" s="60" t="n">
        <v>9999</v>
      </c>
      <c r="P65" s="55" t="s">
        <v>168</v>
      </c>
      <c r="Q65" s="57"/>
      <c r="R65" s="60" t="n">
        <f aca="false">IF(BT65=1,0,IFERROR(VLOOKUP(BR65,'Gebinde-Kategorie'!$A$5:$M$45,13,0)+0,0))</f>
        <v>12</v>
      </c>
      <c r="S65" s="61"/>
      <c r="T65" s="62" t="s">
        <v>179</v>
      </c>
      <c r="U65" s="62"/>
      <c r="V65" s="62"/>
      <c r="W65" s="55"/>
      <c r="X65" s="57"/>
      <c r="Y65" s="57"/>
      <c r="Z65" s="55" t="n">
        <f aca="false">IF(A65="","",IF(AND(Parameter!$B$21="Ja",ISNUMBER(W65)),W65,IF(BV65="2+3",IF(ISNUMBER(SEARCH("grosser Artikel",BO65)),2,IFERROR(VLOOKUP(BR65,Parameter!$F$35:$G$64,2,0),2)),IF(OR(BV65="Nein",BV65=""),"-",BV65))))</f>
        <v>2</v>
      </c>
      <c r="AA65" s="62"/>
      <c r="AB65" s="63"/>
      <c r="AC65" s="57" t="n">
        <f aca="false">AR65</f>
        <v>5</v>
      </c>
      <c r="AD65" s="57" t="n">
        <f aca="false">MAX(AR65,H65)</f>
        <v>5</v>
      </c>
      <c r="AE65" s="64"/>
      <c r="AF65" s="57" t="n">
        <f aca="false">IF(LEFT(Cockpit!$C$5,1)="A",H65,IF(CA65=1,CB65,IF(LEFT(Cockpit!$C$5,1)="B",AJ65,MAX(AJ65,H65))))</f>
        <v>5</v>
      </c>
      <c r="AG65" s="57" t="n">
        <f aca="false">IF(BT65=1,0,ROUNDUP(AF65/BS65,0))</f>
        <v>1</v>
      </c>
      <c r="AH65" s="59" t="n">
        <f aca="false">IF(CH65&gt;0,CH65*MAX(1,AF65/X65),IF(BT65=1,IF(AF65&lt;=0,0,BW65*MAX(1,IF(H65&gt;0,AF65/H65,1))),IF(R65&gt;0,AG65/R65,0))/MAX(0.1,N(Parameter!$M$21)))</f>
        <v>0.0833333333333333</v>
      </c>
      <c r="AI65" s="57" t="n">
        <f aca="false">AF65*G65</f>
        <v>3941.55</v>
      </c>
      <c r="AJ65" s="57" t="n">
        <f aca="false">ROUNDUP(MAX(J65/IF(BZ65&gt;0,BZ65,MAX(0.1,N(Cockpit!$C$6))),CC65)/BS65,0)*BS65</f>
        <v>5</v>
      </c>
      <c r="AK65" s="58" t="n">
        <f aca="false">IF(AH65&gt;0,J65/AH65,-1)</f>
        <v>0</v>
      </c>
      <c r="AL65" s="58" t="n">
        <f aca="false">IF(AND(OR(BY65="L1",BY65="L23"),AH65&gt;0),SUMIFS($AH$7:$AH$1843,$BY$7:$BY$1843,BY65,$AK$7:$AK$1843,"&gt;"&amp;AK65)+SUMIFS($AH$7:$AH$1843,$BY$7:$BY$1843,BY65,$AK$7:$AK$1843,AK65,$BQ$7:$BQ$1843,"&lt;="&amp;BQ65),"")</f>
        <v>68.0355393398872</v>
      </c>
      <c r="AM65" s="65" t="n">
        <f aca="false">IF(AL65="",0,MAX(0,MIN(1,(IF(BY65="L1",Parameter!$E$5,Parameter!$E$6+Parameter!$E$7)-(AL65-AH65))/AH65)))</f>
        <v>1</v>
      </c>
      <c r="AN65" s="57" t="n">
        <f aca="false">IF(LEFT(Cockpit!$I$5,1)="A",H65,IF(CA65=1,CB65,IF(LEFT(Cockpit!$I$5,1)="B",AR65,MAX(AR65,H65))))</f>
        <v>5</v>
      </c>
      <c r="AO65" s="57" t="n">
        <f aca="false">IF(BT65=1,0,ROUNDUP(AN65/BS65,0))</f>
        <v>1</v>
      </c>
      <c r="AP65" s="59" t="n">
        <f aca="false">IF(CH65&gt;0,CH65*MAX(1,AN65/X65),IF(BT65=1,IF(AN65&lt;=0,0,BW65*MAX(1,IF(H65&gt;0,AN65/H65,1))),IF(R65&gt;0,AO65/R65,0))/MAX(0.1,N(Parameter!$M$21)))</f>
        <v>0.0833333333333333</v>
      </c>
      <c r="AQ65" s="57" t="n">
        <f aca="false">AN65*G65</f>
        <v>3941.55</v>
      </c>
      <c r="AR65" s="57" t="n">
        <f aca="false">ROUNDUP(MAX(J65/IF(BZ65&gt;0,BZ65,MAX(0.1,N(Cockpit!$I$6))),CC65)/BS65,0)*BS65</f>
        <v>5</v>
      </c>
      <c r="AS65" s="58" t="n">
        <f aca="false">IF(AP65&gt;0,J65/AP65,-1)</f>
        <v>0</v>
      </c>
      <c r="AT65" s="58" t="n">
        <f aca="false">IF(AND(OR(BY65="L1",BY65="L23"),AP65&gt;0),SUMIFS($AP$7:$AP$1843,$BY$7:$BY$1843,BY65,$AS$7:$AS$1843,"&gt;"&amp;AS65)+SUMIFS($AP$7:$AP$1843,$BY$7:$BY$1843,BY65,$AS$7:$AS$1843,AS65,$BQ$7:$BQ$1843,"&lt;="&amp;BQ65),"")</f>
        <v>107.376330191548</v>
      </c>
      <c r="AU65" s="65" t="n">
        <f aca="false">IF(AT65="",0,MAX(0,MIN(1,(IF(BY65="L1",Parameter!$E$5,Parameter!$E$6+Parameter!$E$7)-(AT65-AP65))/AP65)))</f>
        <v>0</v>
      </c>
      <c r="AV65" s="57" t="n">
        <f aca="false">IF(LEFT(Cockpit!$O$5,1)="A",H65,IF(CA65=1,CB65,IF(LEFT(Cockpit!$O$5,1)="B",AZ65,MAX(AZ65,H65))))</f>
        <v>5</v>
      </c>
      <c r="AW65" s="57" t="n">
        <f aca="false">IF(BT65=1,0,ROUNDUP(AV65/BS65,0))</f>
        <v>1</v>
      </c>
      <c r="AX65" s="59" t="n">
        <f aca="false">IF(CH65&gt;0,CH65*MAX(1,AV65/X65),IF(BT65=1,IF(AV65&lt;=0,0,BW65*MAX(1,IF(H65&gt;0,AV65/H65,1))),IF(R65&gt;0,AW65/R65,0))/MAX(0.1,N(Parameter!$M$21)))</f>
        <v>0.0833333333333333</v>
      </c>
      <c r="AY65" s="57" t="n">
        <f aca="false">AV65*G65</f>
        <v>3941.55</v>
      </c>
      <c r="AZ65" s="57" t="n">
        <f aca="false">ROUNDUP(MAX(J65/IF(BZ65&gt;0,BZ65,MAX(0.1,N(Cockpit!$O$6))),CC65)/BS65,0)*BS65</f>
        <v>5</v>
      </c>
      <c r="BA65" s="58" t="n">
        <f aca="false">IF(AX65&gt;0,J65/AX65,-1)</f>
        <v>0</v>
      </c>
      <c r="BB65" s="58" t="n">
        <f aca="false">IF(AND(OR(BY65="L1",BY65="L23"),AX65&gt;0),SUMIFS($AX$7:$AX$1843,$BY$7:$BY$1843,BY65,$BA$7:$BA$1843,"&gt;"&amp;BA65)+SUMIFS($AX$7:$AX$1843,$BY$7:$BY$1843,BY65,$BA$7:$BA$1843,BA65,$BQ$7:$BQ$1843,"&lt;="&amp;BQ65),"")</f>
        <v>98.2061670213844</v>
      </c>
      <c r="BC65" s="65" t="n">
        <f aca="false">IF(BB65="",0,MAX(0,MIN(1,(IF(BY65="L1",Parameter!$E$5,Parameter!$E$6+Parameter!$E$7)-(BB65-AX65))/AX65)))</f>
        <v>1</v>
      </c>
      <c r="BD65" s="55" t="str">
        <f aca="false">IF(AH65&lt;=0,"",IF(BY65="Aussen","Aussenlager",IF(BY65="-","Nicht im Lift",IF(AM65&gt;=1,"Lift",IF(AM65&lt;=0,"Aussenlager","teilweise")))))</f>
        <v>Lift</v>
      </c>
      <c r="BE65" s="55" t="str">
        <f aca="false">IF(AP65&lt;=0,"",IF(BY65="Aussen","Aussenlager",IF(BY65="-","Nicht im Lift",IF(AU65&gt;=1,"Lift",IF(AU65&lt;=0,"Aussenlager","teilweise")))))</f>
        <v>Aussenlager</v>
      </c>
      <c r="BF65" s="55" t="str">
        <f aca="false">IF(AX65&lt;=0,"",IF(BY65="Aussen","Aussenlager",IF(BY65="-","Nicht im Lift",IF(BC65&gt;=1,"Lift",IF(BC65&lt;=0,"Aussenlager","teilweise")))))</f>
        <v>Lift</v>
      </c>
      <c r="BG65" s="55" t="str">
        <f aca="false">IF(A65="","",IF(BP65=1,"Neu; ","")&amp;IF(AND(BP65=0,BK65&lt;0),"negativer Bestand (Export "&amp;BK65&amp;"); ","")&amp;IF(J65&lt;=0,"Kein Verbrauch; ","")&amp;IF(CH65&gt;0,"Lift "&amp;W65&amp;" lt. Liftbericht (Fach "&amp;X65&amp;" Stk); ",IF(BU65=1,"Gebinde geschätzt ("&amp;T65&amp;"); ",IF(BT65=1,"Lose – Tablare geschätzt; ","")))&amp;IF(H65&gt;AR65,"Überbestand "&amp;ROUND(H65-AR65,0)&amp;" Stk / CHF "&amp;ROUND((H65-AR65)*G65,0)&amp;"; ","")&amp;IF(AND(CA65=1,CB65&lt;CC65),"MAX &lt; MB+LG; ","")&amp;IF(AND(CG65&gt;0,CF65*10&gt;CG65),"zu hoch für Tablar; ","")&amp;IF(AND(BP65=0,OR(CA65=1,AA65&lt;&gt;"",U65&lt;&gt;"",V65&lt;&gt;"",AB65&lt;&gt;"")),"manuell übersteuert; ","")&amp;IF(AND(BT65=0,R65=0),"Gebinde unbekannt / Stellmass fehlt; ","")&amp;IF(AND(BT65=0,N(V65)&lt;=0,N(Q65)&lt;=0),"Menge pro Gebinde fehlt (Ist = 1 Gebinde); ","")&amp;BO65)</f>
        <v>Kein Verbrauch; Gebinde geschätzt (Mittel); Menge pro Gebinde fehlt (Ist = 1 Gebinde); </v>
      </c>
      <c r="BH65" s="55" t="s">
        <v>332</v>
      </c>
      <c r="BI65" s="55"/>
      <c r="BJ65" s="62"/>
      <c r="BK65" s="57" t="n">
        <v>5</v>
      </c>
      <c r="BL65" s="57" t="n">
        <v>0</v>
      </c>
      <c r="BM65" s="56" t="n">
        <v>3941.55</v>
      </c>
      <c r="BN65" s="57" t="n">
        <v>0</v>
      </c>
      <c r="BO65" s="55"/>
      <c r="BP65" s="60" t="n">
        <v>0</v>
      </c>
      <c r="BQ65" s="60" t="n">
        <v>65</v>
      </c>
      <c r="BR65" s="55" t="str">
        <f aca="false">IF(U65&lt;&gt;"",UPPER(TRIM(U65)),IF(BU65=1,UPPER(VLOOKUP(T65,Parameter!$I$27:$K$29,2,0)),IF(P65="","LOSE",P65)))</f>
        <v>S61</v>
      </c>
      <c r="BS65" s="57" t="n">
        <f aca="false">IF(BR65="LOSE",1,IF(N(V65)&gt;0,V65,IF(BU65=1,MAX(1,N(VLOOKUP(T65,Parameter!$I$27:$K$29,3,0)),H65,N(N65)),IF(N(Q65)&gt;0,Q65,MAX(1,H65)))))</f>
        <v>5</v>
      </c>
      <c r="BT65" s="60" t="n">
        <f aca="false">IF(BR65="LOSE",1,0)</f>
        <v>0</v>
      </c>
      <c r="BU65" s="60" t="n">
        <f aca="false">IF(AND(U65="",OR(P65="",P65="LOSE"),T65&lt;&gt;"",N(S65)&lt;=0,ISNUMBER(MATCH(T65,Parameter!$I$27:$I$29,0))),1,0)</f>
        <v>1</v>
      </c>
      <c r="BV65" s="55" t="str">
        <f aca="false">IF(AND(Parameter!$B$19="Ja",E65&lt;&gt;"",ISNUMBER(MATCH(E65,Parameter!$I$35:$I$52,0))),VLOOKUP(E65,Parameter!$I$35:$J$52,2,0),IFERROR(VLOOKUP(D65,Parameter!$A$35:$C$64,2,0),"Nein"))</f>
        <v>2+3</v>
      </c>
      <c r="BW65" s="59" t="n">
        <f aca="false">IF(BT65=0,0,IF(N(S65)&gt;0,S65,IFERROR(VLOOKUP(D65,Parameter!$A$35:$C$64,3,0)+0,0)))</f>
        <v>0</v>
      </c>
      <c r="BX65" s="55" t="n">
        <f aca="false">IF(AA65&lt;&gt;"",AA65,Z65)</f>
        <v>2</v>
      </c>
      <c r="BY65" s="55" t="str">
        <f aca="false">IF(BX65=1,"L1",IF(OR(BX65=2,BX65=3),"L23",IF(BX65="Aussen","Aussen","-")))</f>
        <v>L23</v>
      </c>
      <c r="BZ65" s="66" t="n">
        <f aca="false">IF(N(AB65)&gt;0,AB65,0)</f>
        <v>0</v>
      </c>
      <c r="CA65" s="60" t="n">
        <f aca="false">IF(ISNUMBER(AE65),1,0)</f>
        <v>0</v>
      </c>
      <c r="CB65" s="57" t="n">
        <f aca="false">N(AE65)</f>
        <v>0</v>
      </c>
      <c r="CC65" s="57" t="n">
        <f aca="false">N(M65)+N(N65)</f>
        <v>5</v>
      </c>
      <c r="CD65" s="57" t="n">
        <f aca="false">ROUNDUP(H65/BS65,0)</f>
        <v>1</v>
      </c>
      <c r="CE65" s="57" t="n">
        <f aca="false">ROUNDUP(CB65/BS65,0)</f>
        <v>0</v>
      </c>
      <c r="CF65" s="60" t="n">
        <f aca="false">IF(BT65=1,0,IFERROR(VLOOKUP(BR65,'Gebinde-Kategorie'!$A$5:$M$45,5,0)+0,0))</f>
        <v>11</v>
      </c>
      <c r="CG65" s="60" t="n">
        <f aca="false">IFERROR(IF(OR(BX65=1,BX65=2,BX65=3),N(INDEX(Parameter!$I$5:$I$7,BX65)),0),0)</f>
        <v>0</v>
      </c>
      <c r="CH65" s="59" t="n">
        <f aca="false">IF(AND(Parameter!$B$21="Ja",ISNUMBER(W65),N(X65)&gt;0),IFERROR(N(INDEX(Parameter!$L$5:$L$7,W65))*INDEX(Parameter!$E$5:$E$7,W65)*X65/SUMIFS($X$7:$X$1843,$W$7:$W$1843,W65),0),0)</f>
        <v>0</v>
      </c>
    </row>
    <row r="66" customFormat="false" ht="15" hidden="false" customHeight="false" outlineLevel="0" collapsed="false">
      <c r="A66" s="55" t="s">
        <v>333</v>
      </c>
      <c r="B66" s="55" t="s">
        <v>334</v>
      </c>
      <c r="C66" s="55" t="s">
        <v>164</v>
      </c>
      <c r="D66" s="55" t="s">
        <v>173</v>
      </c>
      <c r="E66" s="55"/>
      <c r="F66" s="55" t="s">
        <v>218</v>
      </c>
      <c r="G66" s="56" t="n">
        <v>1947</v>
      </c>
      <c r="H66" s="57" t="n">
        <f aca="false">MAX(0,IF(AND(Parameter!$B$21="Ja",ISNUMBER(Y66)),Y66,IF(Parameter!$B$20="Jahresanfang 2025 + Export",BL66+BK66,BK66)))</f>
        <v>2</v>
      </c>
      <c r="I66" s="57" t="n">
        <f aca="false">H66*G66</f>
        <v>3894</v>
      </c>
      <c r="J66" s="57" t="n">
        <f aca="false">BN66*Parameter!$B$18</f>
        <v>0</v>
      </c>
      <c r="K66" s="58" t="n">
        <v>1</v>
      </c>
      <c r="L66" s="59" t="n">
        <v>0</v>
      </c>
      <c r="M66" s="57" t="n">
        <v>0</v>
      </c>
      <c r="N66" s="57" t="n">
        <v>1</v>
      </c>
      <c r="O66" s="60" t="n">
        <v>70</v>
      </c>
      <c r="P66" s="55" t="s">
        <v>302</v>
      </c>
      <c r="Q66" s="57" t="n">
        <v>2</v>
      </c>
      <c r="R66" s="60" t="n">
        <f aca="false">IF(BT66=1,0,IFERROR(VLOOKUP(BR66,'Gebinde-Kategorie'!$A$5:$M$45,13,0)+0,0))</f>
        <v>26</v>
      </c>
      <c r="S66" s="61"/>
      <c r="T66" s="62"/>
      <c r="U66" s="62"/>
      <c r="V66" s="62"/>
      <c r="W66" s="55"/>
      <c r="X66" s="57"/>
      <c r="Y66" s="57"/>
      <c r="Z66" s="55" t="n">
        <f aca="false">IF(A66="","",IF(AND(Parameter!$B$21="Ja",ISNUMBER(W66)),W66,IF(BV66="2+3",IF(ISNUMBER(SEARCH("grosser Artikel",BO66)),2,IFERROR(VLOOKUP(BR66,Parameter!$F$35:$G$64,2,0),2)),IF(OR(BV66="Nein",BV66=""),"-",BV66))))</f>
        <v>3</v>
      </c>
      <c r="AA66" s="62"/>
      <c r="AB66" s="63"/>
      <c r="AC66" s="57" t="n">
        <f aca="false">AR66</f>
        <v>2</v>
      </c>
      <c r="AD66" s="57" t="n">
        <f aca="false">MAX(AR66,H66)</f>
        <v>2</v>
      </c>
      <c r="AE66" s="64"/>
      <c r="AF66" s="57" t="n">
        <f aca="false">IF(LEFT(Cockpit!$C$5,1)="A",H66,IF(CA66=1,CB66,IF(LEFT(Cockpit!$C$5,1)="B",AJ66,MAX(AJ66,H66))))</f>
        <v>2</v>
      </c>
      <c r="AG66" s="57" t="n">
        <f aca="false">IF(BT66=1,0,ROUNDUP(AF66/BS66,0))</f>
        <v>1</v>
      </c>
      <c r="AH66" s="59" t="n">
        <f aca="false">IF(CH66&gt;0,CH66*MAX(1,AF66/X66),IF(BT66=1,IF(AF66&lt;=0,0,BW66*MAX(1,IF(H66&gt;0,AF66/H66,1))),IF(R66&gt;0,AG66/R66,0))/MAX(0.1,N(Parameter!$M$21)))</f>
        <v>0.0384615384615385</v>
      </c>
      <c r="AI66" s="57" t="n">
        <f aca="false">AF66*G66</f>
        <v>3894</v>
      </c>
      <c r="AJ66" s="57" t="n">
        <f aca="false">ROUNDUP(MAX(J66/IF(BZ66&gt;0,BZ66,MAX(0.1,N(Cockpit!$C$6))),CC66)/BS66,0)*BS66</f>
        <v>2</v>
      </c>
      <c r="AK66" s="58" t="n">
        <f aca="false">IF(AH66&gt;0,J66/AH66,-1)</f>
        <v>0</v>
      </c>
      <c r="AL66" s="58" t="n">
        <f aca="false">IF(AND(OR(BY66="L1",BY66="L23"),AH66&gt;0),SUMIFS($AH$7:$AH$1843,$BY$7:$BY$1843,BY66,$AK$7:$AK$1843,"&gt;"&amp;AK66)+SUMIFS($AH$7:$AH$1843,$BY$7:$BY$1843,BY66,$AK$7:$AK$1843,AK66,$BQ$7:$BQ$1843,"&lt;="&amp;BQ66),"")</f>
        <v>68.0740008783487</v>
      </c>
      <c r="AM66" s="65" t="n">
        <f aca="false">IF(AL66="",0,MAX(0,MIN(1,(IF(BY66="L1",Parameter!$E$5,Parameter!$E$6+Parameter!$E$7)-(AL66-AH66))/AH66)))</f>
        <v>1</v>
      </c>
      <c r="AN66" s="57" t="n">
        <f aca="false">IF(LEFT(Cockpit!$I$5,1)="A",H66,IF(CA66=1,CB66,IF(LEFT(Cockpit!$I$5,1)="B",AR66,MAX(AR66,H66))))</f>
        <v>2</v>
      </c>
      <c r="AO66" s="57" t="n">
        <f aca="false">IF(BT66=1,0,ROUNDUP(AN66/BS66,0))</f>
        <v>1</v>
      </c>
      <c r="AP66" s="59" t="n">
        <f aca="false">IF(CH66&gt;0,CH66*MAX(1,AN66/X66),IF(BT66=1,IF(AN66&lt;=0,0,BW66*MAX(1,IF(H66&gt;0,AN66/H66,1))),IF(R66&gt;0,AO66/R66,0))/MAX(0.1,N(Parameter!$M$21)))</f>
        <v>0.0384615384615385</v>
      </c>
      <c r="AQ66" s="57" t="n">
        <f aca="false">AN66*G66</f>
        <v>3894</v>
      </c>
      <c r="AR66" s="57" t="n">
        <f aca="false">ROUNDUP(MAX(J66/IF(BZ66&gt;0,BZ66,MAX(0.1,N(Cockpit!$I$6))),CC66)/BS66,0)*BS66</f>
        <v>2</v>
      </c>
      <c r="AS66" s="58" t="n">
        <f aca="false">IF(AP66&gt;0,J66/AP66,-1)</f>
        <v>0</v>
      </c>
      <c r="AT66" s="58" t="n">
        <f aca="false">IF(AND(OR(BY66="L1",BY66="L23"),AP66&gt;0),SUMIFS($AP$7:$AP$1843,$BY$7:$BY$1843,BY66,$AS$7:$AS$1843,"&gt;"&amp;AS66)+SUMIFS($AP$7:$AP$1843,$BY$7:$BY$1843,BY66,$AS$7:$AS$1843,AS66,$BQ$7:$BQ$1843,"&lt;="&amp;BQ66),"")</f>
        <v>107.414791730009</v>
      </c>
      <c r="AU66" s="65" t="n">
        <f aca="false">IF(AT66="",0,MAX(0,MIN(1,(IF(BY66="L1",Parameter!$E$5,Parameter!$E$6+Parameter!$E$7)-(AT66-AP66))/AP66)))</f>
        <v>0</v>
      </c>
      <c r="AV66" s="57" t="n">
        <f aca="false">IF(LEFT(Cockpit!$O$5,1)="A",H66,IF(CA66=1,CB66,IF(LEFT(Cockpit!$O$5,1)="B",AZ66,MAX(AZ66,H66))))</f>
        <v>2</v>
      </c>
      <c r="AW66" s="57" t="n">
        <f aca="false">IF(BT66=1,0,ROUNDUP(AV66/BS66,0))</f>
        <v>1</v>
      </c>
      <c r="AX66" s="59" t="n">
        <f aca="false">IF(CH66&gt;0,CH66*MAX(1,AV66/X66),IF(BT66=1,IF(AV66&lt;=0,0,BW66*MAX(1,IF(H66&gt;0,AV66/H66,1))),IF(R66&gt;0,AW66/R66,0))/MAX(0.1,N(Parameter!$M$21)))</f>
        <v>0.0384615384615385</v>
      </c>
      <c r="AY66" s="57" t="n">
        <f aca="false">AV66*G66</f>
        <v>3894</v>
      </c>
      <c r="AZ66" s="57" t="n">
        <f aca="false">ROUNDUP(MAX(J66/IF(BZ66&gt;0,BZ66,MAX(0.1,N(Cockpit!$O$6))),CC66)/BS66,0)*BS66</f>
        <v>2</v>
      </c>
      <c r="BA66" s="58" t="n">
        <f aca="false">IF(AX66&gt;0,J66/AX66,-1)</f>
        <v>0</v>
      </c>
      <c r="BB66" s="58" t="n">
        <f aca="false">IF(AND(OR(BY66="L1",BY66="L23"),AX66&gt;0),SUMIFS($AX$7:$AX$1843,$BY$7:$BY$1843,BY66,$BA$7:$BA$1843,"&gt;"&amp;BA66)+SUMIFS($AX$7:$AX$1843,$BY$7:$BY$1843,BY66,$BA$7:$BA$1843,BA66,$BQ$7:$BQ$1843,"&lt;="&amp;BQ66),"")</f>
        <v>98.244628559846</v>
      </c>
      <c r="BC66" s="65" t="n">
        <f aca="false">IF(BB66="",0,MAX(0,MIN(1,(IF(BY66="L1",Parameter!$E$5,Parameter!$E$6+Parameter!$E$7)-(BB66-AX66))/AX66)))</f>
        <v>1</v>
      </c>
      <c r="BD66" s="55" t="str">
        <f aca="false">IF(AH66&lt;=0,"",IF(BY66="Aussen","Aussenlager",IF(BY66="-","Nicht im Lift",IF(AM66&gt;=1,"Lift",IF(AM66&lt;=0,"Aussenlager","teilweise")))))</f>
        <v>Lift</v>
      </c>
      <c r="BE66" s="55" t="str">
        <f aca="false">IF(AP66&lt;=0,"",IF(BY66="Aussen","Aussenlager",IF(BY66="-","Nicht im Lift",IF(AU66&gt;=1,"Lift",IF(AU66&lt;=0,"Aussenlager","teilweise")))))</f>
        <v>Aussenlager</v>
      </c>
      <c r="BF66" s="55" t="str">
        <f aca="false">IF(AX66&lt;=0,"",IF(BY66="Aussen","Aussenlager",IF(BY66="-","Nicht im Lift",IF(BC66&gt;=1,"Lift",IF(BC66&lt;=0,"Aussenlager","teilweise")))))</f>
        <v>Lift</v>
      </c>
      <c r="BG66" s="55" t="str">
        <f aca="false">IF(A66="","",IF(BP66=1,"Neu; ","")&amp;IF(AND(BP66=0,BK66&lt;0),"negativer Bestand (Export "&amp;BK66&amp;"); ","")&amp;IF(J66&lt;=0,"Kein Verbrauch; ","")&amp;IF(CH66&gt;0,"Lift "&amp;W66&amp;" lt. Liftbericht (Fach "&amp;X66&amp;" Stk); ",IF(BU66=1,"Gebinde geschätzt ("&amp;T66&amp;"); ",IF(BT66=1,"Lose – Tablare geschätzt; ","")))&amp;IF(H66&gt;AR66,"Überbestand "&amp;ROUND(H66-AR66,0)&amp;" Stk / CHF "&amp;ROUND((H66-AR66)*G66,0)&amp;"; ","")&amp;IF(AND(CA66=1,CB66&lt;CC66),"MAX &lt; MB+LG; ","")&amp;IF(AND(CG66&gt;0,CF66*10&gt;CG66),"zu hoch für Tablar; ","")&amp;IF(AND(BP66=0,OR(CA66=1,AA66&lt;&gt;"",U66&lt;&gt;"",V66&lt;&gt;"",AB66&lt;&gt;"")),"manuell übersteuert; ","")&amp;IF(AND(BT66=0,R66=0),"Gebinde unbekannt / Stellmass fehlt; ","")&amp;IF(AND(BT66=0,N(V66)&lt;=0,N(Q66)&lt;=0),"Menge pro Gebinde fehlt (Ist = 1 Gebinde); ","")&amp;BO66)</f>
        <v>Kein Verbrauch; </v>
      </c>
      <c r="BH66" s="55"/>
      <c r="BI66" s="55"/>
      <c r="BJ66" s="62"/>
      <c r="BK66" s="57" t="n">
        <v>2</v>
      </c>
      <c r="BL66" s="57" t="n">
        <v>0</v>
      </c>
      <c r="BM66" s="56" t="n">
        <v>3894</v>
      </c>
      <c r="BN66" s="57" t="n">
        <v>0</v>
      </c>
      <c r="BO66" s="55"/>
      <c r="BP66" s="60" t="n">
        <v>0</v>
      </c>
      <c r="BQ66" s="60" t="n">
        <v>66</v>
      </c>
      <c r="BR66" s="55" t="str">
        <f aca="false">IF(U66&lt;&gt;"",UPPER(TRIM(U66)),IF(BU66=1,UPPER(VLOOKUP(T66,Parameter!$I$27:$K$29,2,0)),IF(P66="","LOSE",P66)))</f>
        <v>S51</v>
      </c>
      <c r="BS66" s="57" t="n">
        <f aca="false">IF(BR66="LOSE",1,IF(N(V66)&gt;0,V66,IF(BU66=1,MAX(1,N(VLOOKUP(T66,Parameter!$I$27:$K$29,3,0)),H66,N(N66)),IF(N(Q66)&gt;0,Q66,MAX(1,H66)))))</f>
        <v>2</v>
      </c>
      <c r="BT66" s="60" t="n">
        <f aca="false">IF(BR66="LOSE",1,0)</f>
        <v>0</v>
      </c>
      <c r="BU66" s="60" t="n">
        <f aca="false">IF(AND(U66="",OR(P66="",P66="LOSE"),T66&lt;&gt;"",N(S66)&lt;=0,ISNUMBER(MATCH(T66,Parameter!$I$27:$I$29,0))),1,0)</f>
        <v>0</v>
      </c>
      <c r="BV66" s="55" t="str">
        <f aca="false">IF(AND(Parameter!$B$19="Ja",E66&lt;&gt;"",ISNUMBER(MATCH(E66,Parameter!$I$35:$I$52,0))),VLOOKUP(E66,Parameter!$I$35:$J$52,2,0),IFERROR(VLOOKUP(D66,Parameter!$A$35:$C$64,2,0),"Nein"))</f>
        <v>2+3</v>
      </c>
      <c r="BW66" s="59" t="n">
        <f aca="false">IF(BT66=0,0,IF(N(S66)&gt;0,S66,IFERROR(VLOOKUP(D66,Parameter!$A$35:$C$64,3,0)+0,0)))</f>
        <v>0</v>
      </c>
      <c r="BX66" s="55" t="n">
        <f aca="false">IF(AA66&lt;&gt;"",AA66,Z66)</f>
        <v>3</v>
      </c>
      <c r="BY66" s="55" t="str">
        <f aca="false">IF(BX66=1,"L1",IF(OR(BX66=2,BX66=3),"L23",IF(BX66="Aussen","Aussen","-")))</f>
        <v>L23</v>
      </c>
      <c r="BZ66" s="66" t="n">
        <f aca="false">IF(N(AB66)&gt;0,AB66,0)</f>
        <v>0</v>
      </c>
      <c r="CA66" s="60" t="n">
        <f aca="false">IF(ISNUMBER(AE66),1,0)</f>
        <v>0</v>
      </c>
      <c r="CB66" s="57" t="n">
        <f aca="false">N(AE66)</f>
        <v>0</v>
      </c>
      <c r="CC66" s="57" t="n">
        <f aca="false">N(M66)+N(N66)</f>
        <v>1</v>
      </c>
      <c r="CD66" s="57" t="n">
        <f aca="false">ROUNDUP(H66/BS66,0)</f>
        <v>1</v>
      </c>
      <c r="CE66" s="57" t="n">
        <f aca="false">ROUNDUP(CB66/BS66,0)</f>
        <v>0</v>
      </c>
      <c r="CF66" s="60" t="n">
        <f aca="false">IF(BT66=1,0,IFERROR(VLOOKUP(BR66,'Gebinde-Kategorie'!$A$5:$M$45,5,0)+0,0))</f>
        <v>11</v>
      </c>
      <c r="CG66" s="60" t="n">
        <f aca="false">IFERROR(IF(OR(BX66=1,BX66=2,BX66=3),N(INDEX(Parameter!$I$5:$I$7,BX66)),0),0)</f>
        <v>0</v>
      </c>
      <c r="CH66" s="59" t="n">
        <f aca="false">IF(AND(Parameter!$B$21="Ja",ISNUMBER(W66),N(X66)&gt;0),IFERROR(N(INDEX(Parameter!$L$5:$L$7,W66))*INDEX(Parameter!$E$5:$E$7,W66)*X66/SUMIFS($X$7:$X$1843,$W$7:$W$1843,W66),0),0)</f>
        <v>0</v>
      </c>
    </row>
    <row r="67" customFormat="false" ht="15" hidden="false" customHeight="false" outlineLevel="0" collapsed="false">
      <c r="A67" s="55" t="s">
        <v>335</v>
      </c>
      <c r="B67" s="55" t="s">
        <v>336</v>
      </c>
      <c r="C67" s="55" t="s">
        <v>164</v>
      </c>
      <c r="D67" s="55" t="s">
        <v>184</v>
      </c>
      <c r="E67" s="55"/>
      <c r="F67" s="55" t="s">
        <v>218</v>
      </c>
      <c r="G67" s="56" t="n">
        <v>477</v>
      </c>
      <c r="H67" s="57" t="n">
        <f aca="false">MAX(0,IF(AND(Parameter!$B$21="Ja",ISNUMBER(Y67)),Y67,IF(Parameter!$B$20="Jahresanfang 2025 + Export",BL67+BK67,BK67)))</f>
        <v>8</v>
      </c>
      <c r="I67" s="57" t="n">
        <f aca="false">H67*G67</f>
        <v>3816</v>
      </c>
      <c r="J67" s="57" t="n">
        <f aca="false">BN67*Parameter!$B$18</f>
        <v>0</v>
      </c>
      <c r="K67" s="58" t="n">
        <v>0</v>
      </c>
      <c r="L67" s="59" t="n">
        <v>0</v>
      </c>
      <c r="M67" s="57" t="n">
        <v>0</v>
      </c>
      <c r="N67" s="57" t="n">
        <v>5</v>
      </c>
      <c r="O67" s="60" t="n">
        <v>9999</v>
      </c>
      <c r="P67" s="55" t="s">
        <v>168</v>
      </c>
      <c r="Q67" s="57"/>
      <c r="R67" s="60" t="n">
        <f aca="false">IF(BT67=1,0,IFERROR(VLOOKUP(BR67,'Gebinde-Kategorie'!$A$5:$M$45,13,0)+0,0))</f>
        <v>12</v>
      </c>
      <c r="S67" s="61"/>
      <c r="T67" s="62" t="s">
        <v>179</v>
      </c>
      <c r="U67" s="62"/>
      <c r="V67" s="62"/>
      <c r="W67" s="55"/>
      <c r="X67" s="57"/>
      <c r="Y67" s="57"/>
      <c r="Z67" s="55" t="n">
        <f aca="false">IF(A67="","",IF(AND(Parameter!$B$21="Ja",ISNUMBER(W67)),W67,IF(BV67="2+3",IF(ISNUMBER(SEARCH("grosser Artikel",BO67)),2,IFERROR(VLOOKUP(BR67,Parameter!$F$35:$G$64,2,0),2)),IF(OR(BV67="Nein",BV67=""),"-",BV67))))</f>
        <v>2</v>
      </c>
      <c r="AA67" s="62"/>
      <c r="AB67" s="63"/>
      <c r="AC67" s="57" t="n">
        <f aca="false">AR67</f>
        <v>8</v>
      </c>
      <c r="AD67" s="57" t="n">
        <f aca="false">MAX(AR67,H67)</f>
        <v>8</v>
      </c>
      <c r="AE67" s="64"/>
      <c r="AF67" s="57" t="n">
        <f aca="false">IF(LEFT(Cockpit!$C$5,1)="A",H67,IF(CA67=1,CB67,IF(LEFT(Cockpit!$C$5,1)="B",AJ67,MAX(AJ67,H67))))</f>
        <v>8</v>
      </c>
      <c r="AG67" s="57" t="n">
        <f aca="false">IF(BT67=1,0,ROUNDUP(AF67/BS67,0))</f>
        <v>1</v>
      </c>
      <c r="AH67" s="59" t="n">
        <f aca="false">IF(CH67&gt;0,CH67*MAX(1,AF67/X67),IF(BT67=1,IF(AF67&lt;=0,0,BW67*MAX(1,IF(H67&gt;0,AF67/H67,1))),IF(R67&gt;0,AG67/R67,0))/MAX(0.1,N(Parameter!$M$21)))</f>
        <v>0.0833333333333333</v>
      </c>
      <c r="AI67" s="57" t="n">
        <f aca="false">AF67*G67</f>
        <v>3816</v>
      </c>
      <c r="AJ67" s="57" t="n">
        <f aca="false">ROUNDUP(MAX(J67/IF(BZ67&gt;0,BZ67,MAX(0.1,N(Cockpit!$C$6))),CC67)/BS67,0)*BS67</f>
        <v>8</v>
      </c>
      <c r="AK67" s="58" t="n">
        <f aca="false">IF(AH67&gt;0,J67/AH67,-1)</f>
        <v>0</v>
      </c>
      <c r="AL67" s="58" t="n">
        <f aca="false">IF(AND(OR(BY67="L1",BY67="L23"),AH67&gt;0),SUMIFS($AH$7:$AH$1843,$BY$7:$BY$1843,BY67,$AK$7:$AK$1843,"&gt;"&amp;AK67)+SUMIFS($AH$7:$AH$1843,$BY$7:$BY$1843,BY67,$AK$7:$AK$1843,AK67,$BQ$7:$BQ$1843,"&lt;="&amp;BQ67),"")</f>
        <v>68.157334211682</v>
      </c>
      <c r="AM67" s="65" t="n">
        <f aca="false">IF(AL67="",0,MAX(0,MIN(1,(IF(BY67="L1",Parameter!$E$5,Parameter!$E$6+Parameter!$E$7)-(AL67-AH67))/AH67)))</f>
        <v>1</v>
      </c>
      <c r="AN67" s="57" t="n">
        <f aca="false">IF(LEFT(Cockpit!$I$5,1)="A",H67,IF(CA67=1,CB67,IF(LEFT(Cockpit!$I$5,1)="B",AR67,MAX(AR67,H67))))</f>
        <v>8</v>
      </c>
      <c r="AO67" s="57" t="n">
        <f aca="false">IF(BT67=1,0,ROUNDUP(AN67/BS67,0))</f>
        <v>1</v>
      </c>
      <c r="AP67" s="59" t="n">
        <f aca="false">IF(CH67&gt;0,CH67*MAX(1,AN67/X67),IF(BT67=1,IF(AN67&lt;=0,0,BW67*MAX(1,IF(H67&gt;0,AN67/H67,1))),IF(R67&gt;0,AO67/R67,0))/MAX(0.1,N(Parameter!$M$21)))</f>
        <v>0.0833333333333333</v>
      </c>
      <c r="AQ67" s="57" t="n">
        <f aca="false">AN67*G67</f>
        <v>3816</v>
      </c>
      <c r="AR67" s="57" t="n">
        <f aca="false">ROUNDUP(MAX(J67/IF(BZ67&gt;0,BZ67,MAX(0.1,N(Cockpit!$I$6))),CC67)/BS67,0)*BS67</f>
        <v>8</v>
      </c>
      <c r="AS67" s="58" t="n">
        <f aca="false">IF(AP67&gt;0,J67/AP67,-1)</f>
        <v>0</v>
      </c>
      <c r="AT67" s="58" t="n">
        <f aca="false">IF(AND(OR(BY67="L1",BY67="L23"),AP67&gt;0),SUMIFS($AP$7:$AP$1843,$BY$7:$BY$1843,BY67,$AS$7:$AS$1843,"&gt;"&amp;AS67)+SUMIFS($AP$7:$AP$1843,$BY$7:$BY$1843,BY67,$AS$7:$AS$1843,AS67,$BQ$7:$BQ$1843,"&lt;="&amp;BQ67),"")</f>
        <v>107.498125063342</v>
      </c>
      <c r="AU67" s="65" t="n">
        <f aca="false">IF(AT67="",0,MAX(0,MIN(1,(IF(BY67="L1",Parameter!$E$5,Parameter!$E$6+Parameter!$E$7)-(AT67-AP67))/AP67)))</f>
        <v>0</v>
      </c>
      <c r="AV67" s="57" t="n">
        <f aca="false">IF(LEFT(Cockpit!$O$5,1)="A",H67,IF(CA67=1,CB67,IF(LEFT(Cockpit!$O$5,1)="B",AZ67,MAX(AZ67,H67))))</f>
        <v>8</v>
      </c>
      <c r="AW67" s="57" t="n">
        <f aca="false">IF(BT67=1,0,ROUNDUP(AV67/BS67,0))</f>
        <v>1</v>
      </c>
      <c r="AX67" s="59" t="n">
        <f aca="false">IF(CH67&gt;0,CH67*MAX(1,AV67/X67),IF(BT67=1,IF(AV67&lt;=0,0,BW67*MAX(1,IF(H67&gt;0,AV67/H67,1))),IF(R67&gt;0,AW67/R67,0))/MAX(0.1,N(Parameter!$M$21)))</f>
        <v>0.0833333333333333</v>
      </c>
      <c r="AY67" s="57" t="n">
        <f aca="false">AV67*G67</f>
        <v>3816</v>
      </c>
      <c r="AZ67" s="57" t="n">
        <f aca="false">ROUNDUP(MAX(J67/IF(BZ67&gt;0,BZ67,MAX(0.1,N(Cockpit!$O$6))),CC67)/BS67,0)*BS67</f>
        <v>8</v>
      </c>
      <c r="BA67" s="58" t="n">
        <f aca="false">IF(AX67&gt;0,J67/AX67,-1)</f>
        <v>0</v>
      </c>
      <c r="BB67" s="58" t="n">
        <f aca="false">IF(AND(OR(BY67="L1",BY67="L23"),AX67&gt;0),SUMIFS($AX$7:$AX$1843,$BY$7:$BY$1843,BY67,$BA$7:$BA$1843,"&gt;"&amp;BA67)+SUMIFS($AX$7:$AX$1843,$BY$7:$BY$1843,BY67,$BA$7:$BA$1843,BA67,$BQ$7:$BQ$1843,"&lt;="&amp;BQ67),"")</f>
        <v>98.3279618931793</v>
      </c>
      <c r="BC67" s="65" t="n">
        <f aca="false">IF(BB67="",0,MAX(0,MIN(1,(IF(BY67="L1",Parameter!$E$5,Parameter!$E$6+Parameter!$E$7)-(BB67-AX67))/AX67)))</f>
        <v>1</v>
      </c>
      <c r="BD67" s="55" t="str">
        <f aca="false">IF(AH67&lt;=0,"",IF(BY67="Aussen","Aussenlager",IF(BY67="-","Nicht im Lift",IF(AM67&gt;=1,"Lift",IF(AM67&lt;=0,"Aussenlager","teilweise")))))</f>
        <v>Lift</v>
      </c>
      <c r="BE67" s="55" t="str">
        <f aca="false">IF(AP67&lt;=0,"",IF(BY67="Aussen","Aussenlager",IF(BY67="-","Nicht im Lift",IF(AU67&gt;=1,"Lift",IF(AU67&lt;=0,"Aussenlager","teilweise")))))</f>
        <v>Aussenlager</v>
      </c>
      <c r="BF67" s="55" t="str">
        <f aca="false">IF(AX67&lt;=0,"",IF(BY67="Aussen","Aussenlager",IF(BY67="-","Nicht im Lift",IF(BC67&gt;=1,"Lift",IF(BC67&lt;=0,"Aussenlager","teilweise")))))</f>
        <v>Lift</v>
      </c>
      <c r="BG67" s="55" t="str">
        <f aca="false">IF(A67="","",IF(BP67=1,"Neu; ","")&amp;IF(AND(BP67=0,BK67&lt;0),"negativer Bestand (Export "&amp;BK67&amp;"); ","")&amp;IF(J67&lt;=0,"Kein Verbrauch; ","")&amp;IF(CH67&gt;0,"Lift "&amp;W67&amp;" lt. Liftbericht (Fach "&amp;X67&amp;" Stk); ",IF(BU67=1,"Gebinde geschätzt ("&amp;T67&amp;"); ",IF(BT67=1,"Lose – Tablare geschätzt; ","")))&amp;IF(H67&gt;AR67,"Überbestand "&amp;ROUND(H67-AR67,0)&amp;" Stk / CHF "&amp;ROUND((H67-AR67)*G67,0)&amp;"; ","")&amp;IF(AND(CA67=1,CB67&lt;CC67),"MAX &lt; MB+LG; ","")&amp;IF(AND(CG67&gt;0,CF67*10&gt;CG67),"zu hoch für Tablar; ","")&amp;IF(AND(BP67=0,OR(CA67=1,AA67&lt;&gt;"",U67&lt;&gt;"",V67&lt;&gt;"",AB67&lt;&gt;"")),"manuell übersteuert; ","")&amp;IF(AND(BT67=0,R67=0),"Gebinde unbekannt / Stellmass fehlt; ","")&amp;IF(AND(BT67=0,N(V67)&lt;=0,N(Q67)&lt;=0),"Menge pro Gebinde fehlt (Ist = 1 Gebinde); ","")&amp;BO67)</f>
        <v>Kein Verbrauch; Gebinde geschätzt (Mittel); Menge pro Gebinde fehlt (Ist = 1 Gebinde); </v>
      </c>
      <c r="BH67" s="55"/>
      <c r="BI67" s="55"/>
      <c r="BJ67" s="62"/>
      <c r="BK67" s="57" t="n">
        <v>8</v>
      </c>
      <c r="BL67" s="57" t="n">
        <v>0</v>
      </c>
      <c r="BM67" s="56" t="n">
        <v>3816</v>
      </c>
      <c r="BN67" s="57" t="n">
        <v>0</v>
      </c>
      <c r="BO67" s="55"/>
      <c r="BP67" s="60" t="n">
        <v>0</v>
      </c>
      <c r="BQ67" s="60" t="n">
        <v>67</v>
      </c>
      <c r="BR67" s="55" t="str">
        <f aca="false">IF(U67&lt;&gt;"",UPPER(TRIM(U67)),IF(BU67=1,UPPER(VLOOKUP(T67,Parameter!$I$27:$K$29,2,0)),IF(P67="","LOSE",P67)))</f>
        <v>S61</v>
      </c>
      <c r="BS67" s="57" t="n">
        <f aca="false">IF(BR67="LOSE",1,IF(N(V67)&gt;0,V67,IF(BU67=1,MAX(1,N(VLOOKUP(T67,Parameter!$I$27:$K$29,3,0)),H67,N(N67)),IF(N(Q67)&gt;0,Q67,MAX(1,H67)))))</f>
        <v>8</v>
      </c>
      <c r="BT67" s="60" t="n">
        <f aca="false">IF(BR67="LOSE",1,0)</f>
        <v>0</v>
      </c>
      <c r="BU67" s="60" t="n">
        <f aca="false">IF(AND(U67="",OR(P67="",P67="LOSE"),T67&lt;&gt;"",N(S67)&lt;=0,ISNUMBER(MATCH(T67,Parameter!$I$27:$I$29,0))),1,0)</f>
        <v>1</v>
      </c>
      <c r="BV67" s="55" t="str">
        <f aca="false">IF(AND(Parameter!$B$19="Ja",E67&lt;&gt;"",ISNUMBER(MATCH(E67,Parameter!$I$35:$I$52,0))),VLOOKUP(E67,Parameter!$I$35:$J$52,2,0),IFERROR(VLOOKUP(D67,Parameter!$A$35:$C$64,2,0),"Nein"))</f>
        <v>2+3</v>
      </c>
      <c r="BW67" s="59" t="n">
        <f aca="false">IF(BT67=0,0,IF(N(S67)&gt;0,S67,IFERROR(VLOOKUP(D67,Parameter!$A$35:$C$64,3,0)+0,0)))</f>
        <v>0</v>
      </c>
      <c r="BX67" s="55" t="n">
        <f aca="false">IF(AA67&lt;&gt;"",AA67,Z67)</f>
        <v>2</v>
      </c>
      <c r="BY67" s="55" t="str">
        <f aca="false">IF(BX67=1,"L1",IF(OR(BX67=2,BX67=3),"L23",IF(BX67="Aussen","Aussen","-")))</f>
        <v>L23</v>
      </c>
      <c r="BZ67" s="66" t="n">
        <f aca="false">IF(N(AB67)&gt;0,AB67,0)</f>
        <v>0</v>
      </c>
      <c r="CA67" s="60" t="n">
        <f aca="false">IF(ISNUMBER(AE67),1,0)</f>
        <v>0</v>
      </c>
      <c r="CB67" s="57" t="n">
        <f aca="false">N(AE67)</f>
        <v>0</v>
      </c>
      <c r="CC67" s="57" t="n">
        <f aca="false">N(M67)+N(N67)</f>
        <v>5</v>
      </c>
      <c r="CD67" s="57" t="n">
        <f aca="false">ROUNDUP(H67/BS67,0)</f>
        <v>1</v>
      </c>
      <c r="CE67" s="57" t="n">
        <f aca="false">ROUNDUP(CB67/BS67,0)</f>
        <v>0</v>
      </c>
      <c r="CF67" s="60" t="n">
        <f aca="false">IF(BT67=1,0,IFERROR(VLOOKUP(BR67,'Gebinde-Kategorie'!$A$5:$M$45,5,0)+0,0))</f>
        <v>11</v>
      </c>
      <c r="CG67" s="60" t="n">
        <f aca="false">IFERROR(IF(OR(BX67=1,BX67=2,BX67=3),N(INDEX(Parameter!$I$5:$I$7,BX67)),0),0)</f>
        <v>0</v>
      </c>
      <c r="CH67" s="59" t="n">
        <f aca="false">IF(AND(Parameter!$B$21="Ja",ISNUMBER(W67),N(X67)&gt;0),IFERROR(N(INDEX(Parameter!$L$5:$L$7,W67))*INDEX(Parameter!$E$5:$E$7,W67)*X67/SUMIFS($X$7:$X$1843,$W$7:$W$1843,W67),0),0)</f>
        <v>0</v>
      </c>
    </row>
    <row r="68" customFormat="false" ht="15" hidden="false" customHeight="false" outlineLevel="0" collapsed="false">
      <c r="A68" s="55" t="s">
        <v>337</v>
      </c>
      <c r="B68" s="55" t="s">
        <v>331</v>
      </c>
      <c r="C68" s="55" t="s">
        <v>164</v>
      </c>
      <c r="D68" s="55" t="s">
        <v>173</v>
      </c>
      <c r="E68" s="55"/>
      <c r="F68" s="55" t="s">
        <v>218</v>
      </c>
      <c r="G68" s="56" t="n">
        <v>758.09</v>
      </c>
      <c r="H68" s="57" t="n">
        <f aca="false">MAX(0,IF(AND(Parameter!$B$21="Ja",ISNUMBER(Y68)),Y68,IF(Parameter!$B$20="Jahresanfang 2025 + Export",BL68+BK68,BK68)))</f>
        <v>5</v>
      </c>
      <c r="I68" s="57" t="n">
        <f aca="false">H68*G68</f>
        <v>3790.45</v>
      </c>
      <c r="J68" s="57" t="n">
        <f aca="false">BN68*Parameter!$B$18</f>
        <v>0</v>
      </c>
      <c r="K68" s="58" t="n">
        <v>0</v>
      </c>
      <c r="L68" s="59" t="n">
        <v>0</v>
      </c>
      <c r="M68" s="57" t="n">
        <v>0</v>
      </c>
      <c r="N68" s="57" t="n">
        <v>5</v>
      </c>
      <c r="O68" s="60" t="n">
        <v>9999</v>
      </c>
      <c r="P68" s="55" t="s">
        <v>168</v>
      </c>
      <c r="Q68" s="57"/>
      <c r="R68" s="60" t="n">
        <f aca="false">IF(BT68=1,0,IFERROR(VLOOKUP(BR68,'Gebinde-Kategorie'!$A$5:$M$45,13,0)+0,0))</f>
        <v>12</v>
      </c>
      <c r="S68" s="61"/>
      <c r="T68" s="62" t="s">
        <v>179</v>
      </c>
      <c r="U68" s="62"/>
      <c r="V68" s="62"/>
      <c r="W68" s="55"/>
      <c r="X68" s="57"/>
      <c r="Y68" s="57"/>
      <c r="Z68" s="55" t="n">
        <f aca="false">IF(A68="","",IF(AND(Parameter!$B$21="Ja",ISNUMBER(W68)),W68,IF(BV68="2+3",IF(ISNUMBER(SEARCH("grosser Artikel",BO68)),2,IFERROR(VLOOKUP(BR68,Parameter!$F$35:$G$64,2,0),2)),IF(OR(BV68="Nein",BV68=""),"-",BV68))))</f>
        <v>2</v>
      </c>
      <c r="AA68" s="62"/>
      <c r="AB68" s="63"/>
      <c r="AC68" s="57" t="n">
        <f aca="false">AR68</f>
        <v>5</v>
      </c>
      <c r="AD68" s="57" t="n">
        <f aca="false">MAX(AR68,H68)</f>
        <v>5</v>
      </c>
      <c r="AE68" s="64"/>
      <c r="AF68" s="57" t="n">
        <f aca="false">IF(LEFT(Cockpit!$C$5,1)="A",H68,IF(CA68=1,CB68,IF(LEFT(Cockpit!$C$5,1)="B",AJ68,MAX(AJ68,H68))))</f>
        <v>5</v>
      </c>
      <c r="AG68" s="57" t="n">
        <f aca="false">IF(BT68=1,0,ROUNDUP(AF68/BS68,0))</f>
        <v>1</v>
      </c>
      <c r="AH68" s="59" t="n">
        <f aca="false">IF(CH68&gt;0,CH68*MAX(1,AF68/X68),IF(BT68=1,IF(AF68&lt;=0,0,BW68*MAX(1,IF(H68&gt;0,AF68/H68,1))),IF(R68&gt;0,AG68/R68,0))/MAX(0.1,N(Parameter!$M$21)))</f>
        <v>0.0833333333333333</v>
      </c>
      <c r="AI68" s="57" t="n">
        <f aca="false">AF68*G68</f>
        <v>3790.45</v>
      </c>
      <c r="AJ68" s="57" t="n">
        <f aca="false">ROUNDUP(MAX(J68/IF(BZ68&gt;0,BZ68,MAX(0.1,N(Cockpit!$C$6))),CC68)/BS68,0)*BS68</f>
        <v>5</v>
      </c>
      <c r="AK68" s="58" t="n">
        <f aca="false">IF(AH68&gt;0,J68/AH68,-1)</f>
        <v>0</v>
      </c>
      <c r="AL68" s="58" t="n">
        <f aca="false">IF(AND(OR(BY68="L1",BY68="L23"),AH68&gt;0),SUMIFS($AH$7:$AH$1843,$BY$7:$BY$1843,BY68,$AK$7:$AK$1843,"&gt;"&amp;AK68)+SUMIFS($AH$7:$AH$1843,$BY$7:$BY$1843,BY68,$AK$7:$AK$1843,AK68,$BQ$7:$BQ$1843,"&lt;="&amp;BQ68),"")</f>
        <v>68.2406675450154</v>
      </c>
      <c r="AM68" s="65" t="n">
        <f aca="false">IF(AL68="",0,MAX(0,MIN(1,(IF(BY68="L1",Parameter!$E$5,Parameter!$E$6+Parameter!$E$7)-(AL68-AH68))/AH68)))</f>
        <v>1</v>
      </c>
      <c r="AN68" s="57" t="n">
        <f aca="false">IF(LEFT(Cockpit!$I$5,1)="A",H68,IF(CA68=1,CB68,IF(LEFT(Cockpit!$I$5,1)="B",AR68,MAX(AR68,H68))))</f>
        <v>5</v>
      </c>
      <c r="AO68" s="57" t="n">
        <f aca="false">IF(BT68=1,0,ROUNDUP(AN68/BS68,0))</f>
        <v>1</v>
      </c>
      <c r="AP68" s="59" t="n">
        <f aca="false">IF(CH68&gt;0,CH68*MAX(1,AN68/X68),IF(BT68=1,IF(AN68&lt;=0,0,BW68*MAX(1,IF(H68&gt;0,AN68/H68,1))),IF(R68&gt;0,AO68/R68,0))/MAX(0.1,N(Parameter!$M$21)))</f>
        <v>0.0833333333333333</v>
      </c>
      <c r="AQ68" s="57" t="n">
        <f aca="false">AN68*G68</f>
        <v>3790.45</v>
      </c>
      <c r="AR68" s="57" t="n">
        <f aca="false">ROUNDUP(MAX(J68/IF(BZ68&gt;0,BZ68,MAX(0.1,N(Cockpit!$I$6))),CC68)/BS68,0)*BS68</f>
        <v>5</v>
      </c>
      <c r="AS68" s="58" t="n">
        <f aca="false">IF(AP68&gt;0,J68/AP68,-1)</f>
        <v>0</v>
      </c>
      <c r="AT68" s="58" t="n">
        <f aca="false">IF(AND(OR(BY68="L1",BY68="L23"),AP68&gt;0),SUMIFS($AP$7:$AP$1843,$BY$7:$BY$1843,BY68,$AS$7:$AS$1843,"&gt;"&amp;AS68)+SUMIFS($AP$7:$AP$1843,$BY$7:$BY$1843,BY68,$AS$7:$AS$1843,AS68,$BQ$7:$BQ$1843,"&lt;="&amp;BQ68),"")</f>
        <v>107.581458396676</v>
      </c>
      <c r="AU68" s="65" t="n">
        <f aca="false">IF(AT68="",0,MAX(0,MIN(1,(IF(BY68="L1",Parameter!$E$5,Parameter!$E$6+Parameter!$E$7)-(AT68-AP68))/AP68)))</f>
        <v>0</v>
      </c>
      <c r="AV68" s="57" t="n">
        <f aca="false">IF(LEFT(Cockpit!$O$5,1)="A",H68,IF(CA68=1,CB68,IF(LEFT(Cockpit!$O$5,1)="B",AZ68,MAX(AZ68,H68))))</f>
        <v>5</v>
      </c>
      <c r="AW68" s="57" t="n">
        <f aca="false">IF(BT68=1,0,ROUNDUP(AV68/BS68,0))</f>
        <v>1</v>
      </c>
      <c r="AX68" s="59" t="n">
        <f aca="false">IF(CH68&gt;0,CH68*MAX(1,AV68/X68),IF(BT68=1,IF(AV68&lt;=0,0,BW68*MAX(1,IF(H68&gt;0,AV68/H68,1))),IF(R68&gt;0,AW68/R68,0))/MAX(0.1,N(Parameter!$M$21)))</f>
        <v>0.0833333333333333</v>
      </c>
      <c r="AY68" s="57" t="n">
        <f aca="false">AV68*G68</f>
        <v>3790.45</v>
      </c>
      <c r="AZ68" s="57" t="n">
        <f aca="false">ROUNDUP(MAX(J68/IF(BZ68&gt;0,BZ68,MAX(0.1,N(Cockpit!$O$6))),CC68)/BS68,0)*BS68</f>
        <v>5</v>
      </c>
      <c r="BA68" s="58" t="n">
        <f aca="false">IF(AX68&gt;0,J68/AX68,-1)</f>
        <v>0</v>
      </c>
      <c r="BB68" s="58" t="n">
        <f aca="false">IF(AND(OR(BY68="L1",BY68="L23"),AX68&gt;0),SUMIFS($AX$7:$AX$1843,$BY$7:$BY$1843,BY68,$BA$7:$BA$1843,"&gt;"&amp;BA68)+SUMIFS($AX$7:$AX$1843,$BY$7:$BY$1843,BY68,$BA$7:$BA$1843,BA68,$BQ$7:$BQ$1843,"&lt;="&amp;BQ68),"")</f>
        <v>98.4112952265126</v>
      </c>
      <c r="BC68" s="65" t="n">
        <f aca="false">IF(BB68="",0,MAX(0,MIN(1,(IF(BY68="L1",Parameter!$E$5,Parameter!$E$6+Parameter!$E$7)-(BB68-AX68))/AX68)))</f>
        <v>1</v>
      </c>
      <c r="BD68" s="55" t="str">
        <f aca="false">IF(AH68&lt;=0,"",IF(BY68="Aussen","Aussenlager",IF(BY68="-","Nicht im Lift",IF(AM68&gt;=1,"Lift",IF(AM68&lt;=0,"Aussenlager","teilweise")))))</f>
        <v>Lift</v>
      </c>
      <c r="BE68" s="55" t="str">
        <f aca="false">IF(AP68&lt;=0,"",IF(BY68="Aussen","Aussenlager",IF(BY68="-","Nicht im Lift",IF(AU68&gt;=1,"Lift",IF(AU68&lt;=0,"Aussenlager","teilweise")))))</f>
        <v>Aussenlager</v>
      </c>
      <c r="BF68" s="55" t="str">
        <f aca="false">IF(AX68&lt;=0,"",IF(BY68="Aussen","Aussenlager",IF(BY68="-","Nicht im Lift",IF(BC68&gt;=1,"Lift",IF(BC68&lt;=0,"Aussenlager","teilweise")))))</f>
        <v>Lift</v>
      </c>
      <c r="BG68" s="55" t="str">
        <f aca="false">IF(A68="","",IF(BP68=1,"Neu; ","")&amp;IF(AND(BP68=0,BK68&lt;0),"negativer Bestand (Export "&amp;BK68&amp;"); ","")&amp;IF(J68&lt;=0,"Kein Verbrauch; ","")&amp;IF(CH68&gt;0,"Lift "&amp;W68&amp;" lt. Liftbericht (Fach "&amp;X68&amp;" Stk); ",IF(BU68=1,"Gebinde geschätzt ("&amp;T68&amp;"); ",IF(BT68=1,"Lose – Tablare geschätzt; ","")))&amp;IF(H68&gt;AR68,"Überbestand "&amp;ROUND(H68-AR68,0)&amp;" Stk / CHF "&amp;ROUND((H68-AR68)*G68,0)&amp;"; ","")&amp;IF(AND(CA68=1,CB68&lt;CC68),"MAX &lt; MB+LG; ","")&amp;IF(AND(CG68&gt;0,CF68*10&gt;CG68),"zu hoch für Tablar; ","")&amp;IF(AND(BP68=0,OR(CA68=1,AA68&lt;&gt;"",U68&lt;&gt;"",V68&lt;&gt;"",AB68&lt;&gt;"")),"manuell übersteuert; ","")&amp;IF(AND(BT68=0,R68=0),"Gebinde unbekannt / Stellmass fehlt; ","")&amp;IF(AND(BT68=0,N(V68)&lt;=0,N(Q68)&lt;=0),"Menge pro Gebinde fehlt (Ist = 1 Gebinde); ","")&amp;BO68)</f>
        <v>Kein Verbrauch; Gebinde geschätzt (Mittel); Menge pro Gebinde fehlt (Ist = 1 Gebinde); </v>
      </c>
      <c r="BH68" s="55"/>
      <c r="BI68" s="55"/>
      <c r="BJ68" s="62"/>
      <c r="BK68" s="57" t="n">
        <v>5</v>
      </c>
      <c r="BL68" s="57" t="n">
        <v>0</v>
      </c>
      <c r="BM68" s="56" t="n">
        <v>3790.45</v>
      </c>
      <c r="BN68" s="57" t="n">
        <v>0</v>
      </c>
      <c r="BO68" s="55"/>
      <c r="BP68" s="60" t="n">
        <v>0</v>
      </c>
      <c r="BQ68" s="60" t="n">
        <v>68</v>
      </c>
      <c r="BR68" s="55" t="str">
        <f aca="false">IF(U68&lt;&gt;"",UPPER(TRIM(U68)),IF(BU68=1,UPPER(VLOOKUP(T68,Parameter!$I$27:$K$29,2,0)),IF(P68="","LOSE",P68)))</f>
        <v>S61</v>
      </c>
      <c r="BS68" s="57" t="n">
        <f aca="false">IF(BR68="LOSE",1,IF(N(V68)&gt;0,V68,IF(BU68=1,MAX(1,N(VLOOKUP(T68,Parameter!$I$27:$K$29,3,0)),H68,N(N68)),IF(N(Q68)&gt;0,Q68,MAX(1,H68)))))</f>
        <v>5</v>
      </c>
      <c r="BT68" s="60" t="n">
        <f aca="false">IF(BR68="LOSE",1,0)</f>
        <v>0</v>
      </c>
      <c r="BU68" s="60" t="n">
        <f aca="false">IF(AND(U68="",OR(P68="",P68="LOSE"),T68&lt;&gt;"",N(S68)&lt;=0,ISNUMBER(MATCH(T68,Parameter!$I$27:$I$29,0))),1,0)</f>
        <v>1</v>
      </c>
      <c r="BV68" s="55" t="str">
        <f aca="false">IF(AND(Parameter!$B$19="Ja",E68&lt;&gt;"",ISNUMBER(MATCH(E68,Parameter!$I$35:$I$52,0))),VLOOKUP(E68,Parameter!$I$35:$J$52,2,0),IFERROR(VLOOKUP(D68,Parameter!$A$35:$C$64,2,0),"Nein"))</f>
        <v>2+3</v>
      </c>
      <c r="BW68" s="59" t="n">
        <f aca="false">IF(BT68=0,0,IF(N(S68)&gt;0,S68,IFERROR(VLOOKUP(D68,Parameter!$A$35:$C$64,3,0)+0,0)))</f>
        <v>0</v>
      </c>
      <c r="BX68" s="55" t="n">
        <f aca="false">IF(AA68&lt;&gt;"",AA68,Z68)</f>
        <v>2</v>
      </c>
      <c r="BY68" s="55" t="str">
        <f aca="false">IF(BX68=1,"L1",IF(OR(BX68=2,BX68=3),"L23",IF(BX68="Aussen","Aussen","-")))</f>
        <v>L23</v>
      </c>
      <c r="BZ68" s="66" t="n">
        <f aca="false">IF(N(AB68)&gt;0,AB68,0)</f>
        <v>0</v>
      </c>
      <c r="CA68" s="60" t="n">
        <f aca="false">IF(ISNUMBER(AE68),1,0)</f>
        <v>0</v>
      </c>
      <c r="CB68" s="57" t="n">
        <f aca="false">N(AE68)</f>
        <v>0</v>
      </c>
      <c r="CC68" s="57" t="n">
        <f aca="false">N(M68)+N(N68)</f>
        <v>5</v>
      </c>
      <c r="CD68" s="57" t="n">
        <f aca="false">ROUNDUP(H68/BS68,0)</f>
        <v>1</v>
      </c>
      <c r="CE68" s="57" t="n">
        <f aca="false">ROUNDUP(CB68/BS68,0)</f>
        <v>0</v>
      </c>
      <c r="CF68" s="60" t="n">
        <f aca="false">IF(BT68=1,0,IFERROR(VLOOKUP(BR68,'Gebinde-Kategorie'!$A$5:$M$45,5,0)+0,0))</f>
        <v>11</v>
      </c>
      <c r="CG68" s="60" t="n">
        <f aca="false">IFERROR(IF(OR(BX68=1,BX68=2,BX68=3),N(INDEX(Parameter!$I$5:$I$7,BX68)),0),0)</f>
        <v>0</v>
      </c>
      <c r="CH68" s="59" t="n">
        <f aca="false">IF(AND(Parameter!$B$21="Ja",ISNUMBER(W68),N(X68)&gt;0),IFERROR(N(INDEX(Parameter!$L$5:$L$7,W68))*INDEX(Parameter!$E$5:$E$7,W68)*X68/SUMIFS($X$7:$X$1843,$W$7:$W$1843,W68),0),0)</f>
        <v>0</v>
      </c>
    </row>
    <row r="69" customFormat="false" ht="15" hidden="false" customHeight="false" outlineLevel="0" collapsed="false">
      <c r="A69" s="55" t="s">
        <v>338</v>
      </c>
      <c r="B69" s="55" t="s">
        <v>339</v>
      </c>
      <c r="C69" s="55" t="s">
        <v>164</v>
      </c>
      <c r="D69" s="55" t="s">
        <v>173</v>
      </c>
      <c r="E69" s="55" t="s">
        <v>166</v>
      </c>
      <c r="F69" s="55" t="s">
        <v>218</v>
      </c>
      <c r="G69" s="56" t="n">
        <v>223.35</v>
      </c>
      <c r="H69" s="57" t="n">
        <f aca="false">MAX(0,IF(AND(Parameter!$B$21="Ja",ISNUMBER(Y69)),Y69,IF(Parameter!$B$20="Jahresanfang 2025 + Export",BL69+BK69,BK69)))</f>
        <v>25</v>
      </c>
      <c r="I69" s="57" t="n">
        <f aca="false">H69*G69</f>
        <v>5583.75</v>
      </c>
      <c r="J69" s="57" t="n">
        <f aca="false">BN69*Parameter!$B$18</f>
        <v>30</v>
      </c>
      <c r="K69" s="58" t="n">
        <v>17.5</v>
      </c>
      <c r="L69" s="59" t="n">
        <v>1.71428571428571</v>
      </c>
      <c r="M69" s="57" t="n">
        <v>2</v>
      </c>
      <c r="N69" s="57" t="n">
        <v>15</v>
      </c>
      <c r="O69" s="60" t="n">
        <v>21</v>
      </c>
      <c r="P69" s="55" t="s">
        <v>259</v>
      </c>
      <c r="Q69" s="57" t="n">
        <v>28</v>
      </c>
      <c r="R69" s="60" t="n">
        <f aca="false">IF(BT69=1,0,IFERROR(VLOOKUP(BR69,'Gebinde-Kategorie'!$A$5:$M$45,13,0)+0,0))</f>
        <v>6</v>
      </c>
      <c r="S69" s="61"/>
      <c r="T69" s="62"/>
      <c r="U69" s="62"/>
      <c r="V69" s="62"/>
      <c r="W69" s="55"/>
      <c r="X69" s="57"/>
      <c r="Y69" s="57"/>
      <c r="Z69" s="55" t="n">
        <f aca="false">IF(A69="","",IF(AND(Parameter!$B$21="Ja",ISNUMBER(W69)),W69,IF(BV69="2+3",IF(ISNUMBER(SEARCH("grosser Artikel",BO69)),2,IFERROR(VLOOKUP(BR69,Parameter!$F$35:$G$64,2,0),2)),IF(OR(BV69="Nein",BV69=""),"-",BV69))))</f>
        <v>1</v>
      </c>
      <c r="AA69" s="62"/>
      <c r="AB69" s="63"/>
      <c r="AC69" s="57" t="n">
        <f aca="false">AR69</f>
        <v>28</v>
      </c>
      <c r="AD69" s="57" t="n">
        <f aca="false">MAX(AR69,H69)</f>
        <v>28</v>
      </c>
      <c r="AE69" s="64"/>
      <c r="AF69" s="57" t="n">
        <f aca="false">IF(LEFT(Cockpit!$C$5,1)="A",H69,IF(CA69=1,CB69,IF(LEFT(Cockpit!$C$5,1)="B",AJ69,MAX(AJ69,H69))))</f>
        <v>25</v>
      </c>
      <c r="AG69" s="57" t="n">
        <f aca="false">IF(BT69=1,0,ROUNDUP(AF69/BS69,0))</f>
        <v>1</v>
      </c>
      <c r="AH69" s="59" t="n">
        <f aca="false">IF(CH69&gt;0,CH69*MAX(1,AF69/X69),IF(BT69=1,IF(AF69&lt;=0,0,BW69*MAX(1,IF(H69&gt;0,AF69/H69,1))),IF(R69&gt;0,AG69/R69,0))/MAX(0.1,N(Parameter!$M$21)))</f>
        <v>0.166666666666667</v>
      </c>
      <c r="AI69" s="57" t="n">
        <f aca="false">AF69*G69</f>
        <v>5583.75</v>
      </c>
      <c r="AJ69" s="57" t="n">
        <f aca="false">ROUNDUP(MAX(J69/IF(BZ69&gt;0,BZ69,MAX(0.1,N(Cockpit!$C$6))),CC69)/BS69,0)*BS69</f>
        <v>28</v>
      </c>
      <c r="AK69" s="58" t="n">
        <f aca="false">IF(AH69&gt;0,J69/AH69,-1)</f>
        <v>180</v>
      </c>
      <c r="AL69" s="58" t="n">
        <f aca="false">IF(AND(OR(BY69="L1",BY69="L23"),AH69&gt;0),SUMIFS($AH$7:$AH$1843,$BY$7:$BY$1843,BY69,$AK$7:$AK$1843,"&gt;"&amp;AK69)+SUMIFS($AH$7:$AH$1843,$BY$7:$BY$1843,BY69,$AK$7:$AK$1843,AK69,$BQ$7:$BQ$1843,"&lt;="&amp;BQ69),"")</f>
        <v>2.667502787068</v>
      </c>
      <c r="AM69" s="65" t="n">
        <f aca="false">IF(AL69="",0,MAX(0,MIN(1,(IF(BY69="L1",Parameter!$E$5,Parameter!$E$6+Parameter!$E$7)-(AL69-AH69))/AH69)))</f>
        <v>1</v>
      </c>
      <c r="AN69" s="57" t="n">
        <f aca="false">IF(LEFT(Cockpit!$I$5,1)="A",H69,IF(CA69=1,CB69,IF(LEFT(Cockpit!$I$5,1)="B",AR69,MAX(AR69,H69))))</f>
        <v>28</v>
      </c>
      <c r="AO69" s="57" t="n">
        <f aca="false">IF(BT69=1,0,ROUNDUP(AN69/BS69,0))</f>
        <v>1</v>
      </c>
      <c r="AP69" s="59" t="n">
        <f aca="false">IF(CH69&gt;0,CH69*MAX(1,AN69/X69),IF(BT69=1,IF(AN69&lt;=0,0,BW69*MAX(1,IF(H69&gt;0,AN69/H69,1))),IF(R69&gt;0,AO69/R69,0))/MAX(0.1,N(Parameter!$M$21)))</f>
        <v>0.166666666666667</v>
      </c>
      <c r="AQ69" s="57" t="n">
        <f aca="false">AN69*G69</f>
        <v>6253.8</v>
      </c>
      <c r="AR69" s="57" t="n">
        <f aca="false">ROUNDUP(MAX(J69/IF(BZ69&gt;0,BZ69,MAX(0.1,N(Cockpit!$I$6))),CC69)/BS69,0)*BS69</f>
        <v>28</v>
      </c>
      <c r="AS69" s="58" t="n">
        <f aca="false">IF(AP69&gt;0,J69/AP69,-1)</f>
        <v>180</v>
      </c>
      <c r="AT69" s="58" t="n">
        <f aca="false">IF(AND(OR(BY69="L1",BY69="L23"),AP69&gt;0),SUMIFS($AP$7:$AP$1843,$BY$7:$BY$1843,BY69,$AS$7:$AS$1843,"&gt;"&amp;AS69)+SUMIFS($AP$7:$AP$1843,$BY$7:$BY$1843,BY69,$AS$7:$AS$1843,AS69,$BQ$7:$BQ$1843,"&lt;="&amp;BQ69),"")</f>
        <v>3.82775919732441</v>
      </c>
      <c r="AU69" s="65" t="n">
        <f aca="false">IF(AT69="",0,MAX(0,MIN(1,(IF(BY69="L1",Parameter!$E$5,Parameter!$E$6+Parameter!$E$7)-(AT69-AP69))/AP69)))</f>
        <v>1</v>
      </c>
      <c r="AV69" s="57" t="n">
        <f aca="false">IF(LEFT(Cockpit!$O$5,1)="A",H69,IF(CA69=1,CB69,IF(LEFT(Cockpit!$O$5,1)="B",AZ69,MAX(AZ69,H69))))</f>
        <v>28</v>
      </c>
      <c r="AW69" s="57" t="n">
        <f aca="false">IF(BT69=1,0,ROUNDUP(AV69/BS69,0))</f>
        <v>1</v>
      </c>
      <c r="AX69" s="59" t="n">
        <f aca="false">IF(CH69&gt;0,CH69*MAX(1,AV69/X69),IF(BT69=1,IF(AV69&lt;=0,0,BW69*MAX(1,IF(H69&gt;0,AV69/H69,1))),IF(R69&gt;0,AW69/R69,0))/MAX(0.1,N(Parameter!$M$21)))</f>
        <v>0.166666666666667</v>
      </c>
      <c r="AY69" s="57" t="n">
        <f aca="false">AV69*G69</f>
        <v>6253.8</v>
      </c>
      <c r="AZ69" s="57" t="n">
        <f aca="false">ROUNDUP(MAX(J69/IF(BZ69&gt;0,BZ69,MAX(0.1,N(Cockpit!$O$6))),CC69)/BS69,0)*BS69</f>
        <v>28</v>
      </c>
      <c r="BA69" s="58" t="n">
        <f aca="false">IF(AX69&gt;0,J69/AX69,-1)</f>
        <v>180</v>
      </c>
      <c r="BB69" s="58" t="n">
        <f aca="false">IF(AND(OR(BY69="L1",BY69="L23"),AX69&gt;0),SUMIFS($AX$7:$AX$1843,$BY$7:$BY$1843,BY69,$BA$7:$BA$1843,"&gt;"&amp;BA69)+SUMIFS($AX$7:$AX$1843,$BY$7:$BY$1843,BY69,$BA$7:$BA$1843,BA69,$BQ$7:$BQ$1843,"&lt;="&amp;BQ69),"")</f>
        <v>3.53929765886288</v>
      </c>
      <c r="BC69" s="65" t="n">
        <f aca="false">IF(BB69="",0,MAX(0,MIN(1,(IF(BY69="L1",Parameter!$E$5,Parameter!$E$6+Parameter!$E$7)-(BB69-AX69))/AX69)))</f>
        <v>1</v>
      </c>
      <c r="BD69" s="55" t="str">
        <f aca="false">IF(AH69&lt;=0,"",IF(BY69="Aussen","Aussenlager",IF(BY69="-","Nicht im Lift",IF(AM69&gt;=1,"Lift",IF(AM69&lt;=0,"Aussenlager","teilweise")))))</f>
        <v>Lift</v>
      </c>
      <c r="BE69" s="55" t="str">
        <f aca="false">IF(AP69&lt;=0,"",IF(BY69="Aussen","Aussenlager",IF(BY69="-","Nicht im Lift",IF(AU69&gt;=1,"Lift",IF(AU69&lt;=0,"Aussenlager","teilweise")))))</f>
        <v>Lift</v>
      </c>
      <c r="BF69" s="55" t="str">
        <f aca="false">IF(AX69&lt;=0,"",IF(BY69="Aussen","Aussenlager",IF(BY69="-","Nicht im Lift",IF(BC69&gt;=1,"Lift",IF(BC69&lt;=0,"Aussenlager","teilweise")))))</f>
        <v>Lift</v>
      </c>
      <c r="BG69" s="55" t="str">
        <f aca="false">IF(A69="","",IF(BP69=1,"Neu; ","")&amp;IF(AND(BP69=0,BK69&lt;0),"negativer Bestand (Export "&amp;BK69&amp;"); ","")&amp;IF(J69&lt;=0,"Kein Verbrauch; ","")&amp;IF(CH69&gt;0,"Lift "&amp;W69&amp;" lt. Liftbericht (Fach "&amp;X69&amp;" Stk); ",IF(BU69=1,"Gebinde geschätzt ("&amp;T69&amp;"); ",IF(BT69=1,"Lose – Tablare geschätzt; ","")))&amp;IF(H69&gt;AR69,"Überbestand "&amp;ROUND(H69-AR69,0)&amp;" Stk / CHF "&amp;ROUND((H69-AR69)*G69,0)&amp;"; ","")&amp;IF(AND(CA69=1,CB69&lt;CC69),"MAX &lt; MB+LG; ","")&amp;IF(AND(CG69&gt;0,CF69*10&gt;CG69),"zu hoch für Tablar; ","")&amp;IF(AND(BP69=0,OR(CA69=1,AA69&lt;&gt;"",U69&lt;&gt;"",V69&lt;&gt;"",AB69&lt;&gt;"")),"manuell übersteuert; ","")&amp;IF(AND(BT69=0,R69=0),"Gebinde unbekannt / Stellmass fehlt; ","")&amp;IF(AND(BT69=0,N(V69)&lt;=0,N(Q69)&lt;=0),"Menge pro Gebinde fehlt (Ist = 1 Gebinde); ","")&amp;BO69)</f>
        <v/>
      </c>
      <c r="BH69" s="55"/>
      <c r="BI69" s="55"/>
      <c r="BJ69" s="62"/>
      <c r="BK69" s="57" t="n">
        <v>15</v>
      </c>
      <c r="BL69" s="57" t="n">
        <v>10</v>
      </c>
      <c r="BM69" s="56" t="n">
        <v>3779.35000000001</v>
      </c>
      <c r="BN69" s="57" t="n">
        <v>30</v>
      </c>
      <c r="BO69" s="55"/>
      <c r="BP69" s="60" t="n">
        <v>0</v>
      </c>
      <c r="BQ69" s="60" t="n">
        <v>69</v>
      </c>
      <c r="BR69" s="55" t="str">
        <f aca="false">IF(U69&lt;&gt;"",UPPER(TRIM(U69)),IF(BU69=1,UPPER(VLOOKUP(T69,Parameter!$I$27:$K$29,2,0)),IF(P69="","LOSE",P69)))</f>
        <v>S72</v>
      </c>
      <c r="BS69" s="57" t="n">
        <f aca="false">IF(BR69="LOSE",1,IF(N(V69)&gt;0,V69,IF(BU69=1,MAX(1,N(VLOOKUP(T69,Parameter!$I$27:$K$29,3,0)),H69,N(N69)),IF(N(Q69)&gt;0,Q69,MAX(1,H69)))))</f>
        <v>28</v>
      </c>
      <c r="BT69" s="60" t="n">
        <f aca="false">IF(BR69="LOSE",1,0)</f>
        <v>0</v>
      </c>
      <c r="BU69" s="60" t="n">
        <f aca="false">IF(AND(U69="",OR(P69="",P69="LOSE"),T69&lt;&gt;"",N(S69)&lt;=0,ISNUMBER(MATCH(T69,Parameter!$I$27:$I$29,0))),1,0)</f>
        <v>0</v>
      </c>
      <c r="BV69" s="55" t="n">
        <f aca="false">IF(AND(Parameter!$B$19="Ja",E69&lt;&gt;"",ISNUMBER(MATCH(E69,Parameter!$I$35:$I$52,0))),VLOOKUP(E69,Parameter!$I$35:$J$52,2,0),IFERROR(VLOOKUP(D69,Parameter!$A$35:$C$64,2,0),"Nein"))</f>
        <v>1</v>
      </c>
      <c r="BW69" s="59" t="n">
        <f aca="false">IF(BT69=0,0,IF(N(S69)&gt;0,S69,IFERROR(VLOOKUP(D69,Parameter!$A$35:$C$64,3,0)+0,0)))</f>
        <v>0</v>
      </c>
      <c r="BX69" s="55" t="n">
        <f aca="false">IF(AA69&lt;&gt;"",AA69,Z69)</f>
        <v>1</v>
      </c>
      <c r="BY69" s="55" t="str">
        <f aca="false">IF(BX69=1,"L1",IF(OR(BX69=2,BX69=3),"L23",IF(BX69="Aussen","Aussen","-")))</f>
        <v>L1</v>
      </c>
      <c r="BZ69" s="66" t="n">
        <f aca="false">IF(N(AB69)&gt;0,AB69,0)</f>
        <v>0</v>
      </c>
      <c r="CA69" s="60" t="n">
        <f aca="false">IF(ISNUMBER(AE69),1,0)</f>
        <v>0</v>
      </c>
      <c r="CB69" s="57" t="n">
        <f aca="false">N(AE69)</f>
        <v>0</v>
      </c>
      <c r="CC69" s="57" t="n">
        <f aca="false">N(M69)+N(N69)</f>
        <v>17</v>
      </c>
      <c r="CD69" s="57" t="n">
        <f aca="false">ROUNDUP(H69/BS69,0)</f>
        <v>1</v>
      </c>
      <c r="CE69" s="57" t="n">
        <f aca="false">ROUNDUP(CB69/BS69,0)</f>
        <v>0</v>
      </c>
      <c r="CF69" s="60" t="n">
        <f aca="false">IF(BT69=1,0,IFERROR(VLOOKUP(BR69,'Gebinde-Kategorie'!$A$5:$M$45,5,0)+0,0))</f>
        <v>40</v>
      </c>
      <c r="CG69" s="60" t="n">
        <f aca="false">IFERROR(IF(OR(BX69=1,BX69=2,BX69=3),N(INDEX(Parameter!$I$5:$I$7,BX69)),0),0)</f>
        <v>0</v>
      </c>
      <c r="CH69" s="59" t="n">
        <f aca="false">IF(AND(Parameter!$B$21="Ja",ISNUMBER(W69),N(X69)&gt;0),IFERROR(N(INDEX(Parameter!$L$5:$L$7,W69))*INDEX(Parameter!$E$5:$E$7,W69)*X69/SUMIFS($X$7:$X$1843,$W$7:$W$1843,W69),0),0)</f>
        <v>0</v>
      </c>
    </row>
    <row r="70" customFormat="false" ht="15" hidden="false" customHeight="false" outlineLevel="0" collapsed="false">
      <c r="A70" s="55" t="s">
        <v>340</v>
      </c>
      <c r="B70" s="55" t="s">
        <v>341</v>
      </c>
      <c r="C70" s="55" t="s">
        <v>164</v>
      </c>
      <c r="D70" s="55" t="s">
        <v>173</v>
      </c>
      <c r="E70" s="55"/>
      <c r="F70" s="55" t="s">
        <v>218</v>
      </c>
      <c r="G70" s="56" t="n">
        <v>1842</v>
      </c>
      <c r="H70" s="57" t="n">
        <f aca="false">MAX(0,IF(AND(Parameter!$B$21="Ja",ISNUMBER(Y70)),Y70,IF(Parameter!$B$20="Jahresanfang 2025 + Export",BL70+BK70,BK70)))</f>
        <v>2</v>
      </c>
      <c r="I70" s="57" t="n">
        <f aca="false">H70*G70</f>
        <v>3684</v>
      </c>
      <c r="J70" s="57" t="n">
        <f aca="false">BN70*Parameter!$B$18</f>
        <v>0</v>
      </c>
      <c r="K70" s="58" t="n">
        <v>1</v>
      </c>
      <c r="L70" s="59" t="n">
        <v>0</v>
      </c>
      <c r="M70" s="57" t="n">
        <v>0</v>
      </c>
      <c r="N70" s="57" t="n">
        <v>1</v>
      </c>
      <c r="O70" s="60" t="n">
        <v>70</v>
      </c>
      <c r="P70" s="55" t="s">
        <v>302</v>
      </c>
      <c r="Q70" s="57" t="n">
        <v>2</v>
      </c>
      <c r="R70" s="60" t="n">
        <f aca="false">IF(BT70=1,0,IFERROR(VLOOKUP(BR70,'Gebinde-Kategorie'!$A$5:$M$45,13,0)+0,0))</f>
        <v>26</v>
      </c>
      <c r="S70" s="61"/>
      <c r="T70" s="62"/>
      <c r="U70" s="62"/>
      <c r="V70" s="62"/>
      <c r="W70" s="55"/>
      <c r="X70" s="57"/>
      <c r="Y70" s="57"/>
      <c r="Z70" s="55" t="n">
        <f aca="false">IF(A70="","",IF(AND(Parameter!$B$21="Ja",ISNUMBER(W70)),W70,IF(BV70="2+3",IF(ISNUMBER(SEARCH("grosser Artikel",BO70)),2,IFERROR(VLOOKUP(BR70,Parameter!$F$35:$G$64,2,0),2)),IF(OR(BV70="Nein",BV70=""),"-",BV70))))</f>
        <v>3</v>
      </c>
      <c r="AA70" s="62"/>
      <c r="AB70" s="63"/>
      <c r="AC70" s="57" t="n">
        <f aca="false">AR70</f>
        <v>2</v>
      </c>
      <c r="AD70" s="57" t="n">
        <f aca="false">MAX(AR70,H70)</f>
        <v>2</v>
      </c>
      <c r="AE70" s="64"/>
      <c r="AF70" s="57" t="n">
        <f aca="false">IF(LEFT(Cockpit!$C$5,1)="A",H70,IF(CA70=1,CB70,IF(LEFT(Cockpit!$C$5,1)="B",AJ70,MAX(AJ70,H70))))</f>
        <v>2</v>
      </c>
      <c r="AG70" s="57" t="n">
        <f aca="false">IF(BT70=1,0,ROUNDUP(AF70/BS70,0))</f>
        <v>1</v>
      </c>
      <c r="AH70" s="59" t="n">
        <f aca="false">IF(CH70&gt;0,CH70*MAX(1,AF70/X70),IF(BT70=1,IF(AF70&lt;=0,0,BW70*MAX(1,IF(H70&gt;0,AF70/H70,1))),IF(R70&gt;0,AG70/R70,0))/MAX(0.1,N(Parameter!$M$21)))</f>
        <v>0.0384615384615385</v>
      </c>
      <c r="AI70" s="57" t="n">
        <f aca="false">AF70*G70</f>
        <v>3684</v>
      </c>
      <c r="AJ70" s="57" t="n">
        <f aca="false">ROUNDUP(MAX(J70/IF(BZ70&gt;0,BZ70,MAX(0.1,N(Cockpit!$C$6))),CC70)/BS70,0)*BS70</f>
        <v>2</v>
      </c>
      <c r="AK70" s="58" t="n">
        <f aca="false">IF(AH70&gt;0,J70/AH70,-1)</f>
        <v>0</v>
      </c>
      <c r="AL70" s="58" t="n">
        <f aca="false">IF(AND(OR(BY70="L1",BY70="L23"),AH70&gt;0),SUMIFS($AH$7:$AH$1843,$BY$7:$BY$1843,BY70,$AK$7:$AK$1843,"&gt;"&amp;AK70)+SUMIFS($AH$7:$AH$1843,$BY$7:$BY$1843,BY70,$AK$7:$AK$1843,AK70,$BQ$7:$BQ$1843,"&lt;="&amp;BQ70),"")</f>
        <v>68.2791290834769</v>
      </c>
      <c r="AM70" s="65" t="n">
        <f aca="false">IF(AL70="",0,MAX(0,MIN(1,(IF(BY70="L1",Parameter!$E$5,Parameter!$E$6+Parameter!$E$7)-(AL70-AH70))/AH70)))</f>
        <v>1</v>
      </c>
      <c r="AN70" s="57" t="n">
        <f aca="false">IF(LEFT(Cockpit!$I$5,1)="A",H70,IF(CA70=1,CB70,IF(LEFT(Cockpit!$I$5,1)="B",AR70,MAX(AR70,H70))))</f>
        <v>2</v>
      </c>
      <c r="AO70" s="57" t="n">
        <f aca="false">IF(BT70=1,0,ROUNDUP(AN70/BS70,0))</f>
        <v>1</v>
      </c>
      <c r="AP70" s="59" t="n">
        <f aca="false">IF(CH70&gt;0,CH70*MAX(1,AN70/X70),IF(BT70=1,IF(AN70&lt;=0,0,BW70*MAX(1,IF(H70&gt;0,AN70/H70,1))),IF(R70&gt;0,AO70/R70,0))/MAX(0.1,N(Parameter!$M$21)))</f>
        <v>0.0384615384615385</v>
      </c>
      <c r="AQ70" s="57" t="n">
        <f aca="false">AN70*G70</f>
        <v>3684</v>
      </c>
      <c r="AR70" s="57" t="n">
        <f aca="false">ROUNDUP(MAX(J70/IF(BZ70&gt;0,BZ70,MAX(0.1,N(Cockpit!$I$6))),CC70)/BS70,0)*BS70</f>
        <v>2</v>
      </c>
      <c r="AS70" s="58" t="n">
        <f aca="false">IF(AP70&gt;0,J70/AP70,-1)</f>
        <v>0</v>
      </c>
      <c r="AT70" s="58" t="n">
        <f aca="false">IF(AND(OR(BY70="L1",BY70="L23"),AP70&gt;0),SUMIFS($AP$7:$AP$1843,$BY$7:$BY$1843,BY70,$AS$7:$AS$1843,"&gt;"&amp;AS70)+SUMIFS($AP$7:$AP$1843,$BY$7:$BY$1843,BY70,$AS$7:$AS$1843,AS70,$BQ$7:$BQ$1843,"&lt;="&amp;BQ70),"")</f>
        <v>107.619919935137</v>
      </c>
      <c r="AU70" s="65" t="n">
        <f aca="false">IF(AT70="",0,MAX(0,MIN(1,(IF(BY70="L1",Parameter!$E$5,Parameter!$E$6+Parameter!$E$7)-(AT70-AP70))/AP70)))</f>
        <v>0</v>
      </c>
      <c r="AV70" s="57" t="n">
        <f aca="false">IF(LEFT(Cockpit!$O$5,1)="A",H70,IF(CA70=1,CB70,IF(LEFT(Cockpit!$O$5,1)="B",AZ70,MAX(AZ70,H70))))</f>
        <v>2</v>
      </c>
      <c r="AW70" s="57" t="n">
        <f aca="false">IF(BT70=1,0,ROUNDUP(AV70/BS70,0))</f>
        <v>1</v>
      </c>
      <c r="AX70" s="59" t="n">
        <f aca="false">IF(CH70&gt;0,CH70*MAX(1,AV70/X70),IF(BT70=1,IF(AV70&lt;=0,0,BW70*MAX(1,IF(H70&gt;0,AV70/H70,1))),IF(R70&gt;0,AW70/R70,0))/MAX(0.1,N(Parameter!$M$21)))</f>
        <v>0.0384615384615385</v>
      </c>
      <c r="AY70" s="57" t="n">
        <f aca="false">AV70*G70</f>
        <v>3684</v>
      </c>
      <c r="AZ70" s="57" t="n">
        <f aca="false">ROUNDUP(MAX(J70/IF(BZ70&gt;0,BZ70,MAX(0.1,N(Cockpit!$O$6))),CC70)/BS70,0)*BS70</f>
        <v>2</v>
      </c>
      <c r="BA70" s="58" t="n">
        <f aca="false">IF(AX70&gt;0,J70/AX70,-1)</f>
        <v>0</v>
      </c>
      <c r="BB70" s="58" t="n">
        <f aca="false">IF(AND(OR(BY70="L1",BY70="L23"),AX70&gt;0),SUMIFS($AX$7:$AX$1843,$BY$7:$BY$1843,BY70,$BA$7:$BA$1843,"&gt;"&amp;BA70)+SUMIFS($AX$7:$AX$1843,$BY$7:$BY$1843,BY70,$BA$7:$BA$1843,BA70,$BQ$7:$BQ$1843,"&lt;="&amp;BQ70),"")</f>
        <v>98.4497567649742</v>
      </c>
      <c r="BC70" s="65" t="n">
        <f aca="false">IF(BB70="",0,MAX(0,MIN(1,(IF(BY70="L1",Parameter!$E$5,Parameter!$E$6+Parameter!$E$7)-(BB70-AX70))/AX70)))</f>
        <v>1</v>
      </c>
      <c r="BD70" s="55" t="str">
        <f aca="false">IF(AH70&lt;=0,"",IF(BY70="Aussen","Aussenlager",IF(BY70="-","Nicht im Lift",IF(AM70&gt;=1,"Lift",IF(AM70&lt;=0,"Aussenlager","teilweise")))))</f>
        <v>Lift</v>
      </c>
      <c r="BE70" s="55" t="str">
        <f aca="false">IF(AP70&lt;=0,"",IF(BY70="Aussen","Aussenlager",IF(BY70="-","Nicht im Lift",IF(AU70&gt;=1,"Lift",IF(AU70&lt;=0,"Aussenlager","teilweise")))))</f>
        <v>Aussenlager</v>
      </c>
      <c r="BF70" s="55" t="str">
        <f aca="false">IF(AX70&lt;=0,"",IF(BY70="Aussen","Aussenlager",IF(BY70="-","Nicht im Lift",IF(BC70&gt;=1,"Lift",IF(BC70&lt;=0,"Aussenlager","teilweise")))))</f>
        <v>Lift</v>
      </c>
      <c r="BG70" s="55" t="str">
        <f aca="false">IF(A70="","",IF(BP70=1,"Neu; ","")&amp;IF(AND(BP70=0,BK70&lt;0),"negativer Bestand (Export "&amp;BK70&amp;"); ","")&amp;IF(J70&lt;=0,"Kein Verbrauch; ","")&amp;IF(CH70&gt;0,"Lift "&amp;W70&amp;" lt. Liftbericht (Fach "&amp;X70&amp;" Stk); ",IF(BU70=1,"Gebinde geschätzt ("&amp;T70&amp;"); ",IF(BT70=1,"Lose – Tablare geschätzt; ","")))&amp;IF(H70&gt;AR70,"Überbestand "&amp;ROUND(H70-AR70,0)&amp;" Stk / CHF "&amp;ROUND((H70-AR70)*G70,0)&amp;"; ","")&amp;IF(AND(CA70=1,CB70&lt;CC70),"MAX &lt; MB+LG; ","")&amp;IF(AND(CG70&gt;0,CF70*10&gt;CG70),"zu hoch für Tablar; ","")&amp;IF(AND(BP70=0,OR(CA70=1,AA70&lt;&gt;"",U70&lt;&gt;"",V70&lt;&gt;"",AB70&lt;&gt;"")),"manuell übersteuert; ","")&amp;IF(AND(BT70=0,R70=0),"Gebinde unbekannt / Stellmass fehlt; ","")&amp;IF(AND(BT70=0,N(V70)&lt;=0,N(Q70)&lt;=0),"Menge pro Gebinde fehlt (Ist = 1 Gebinde); ","")&amp;BO70)</f>
        <v>Kein Verbrauch; </v>
      </c>
      <c r="BH70" s="55"/>
      <c r="BI70" s="55"/>
      <c r="BJ70" s="62"/>
      <c r="BK70" s="57" t="n">
        <v>2</v>
      </c>
      <c r="BL70" s="57" t="n">
        <v>0</v>
      </c>
      <c r="BM70" s="56" t="n">
        <v>3684</v>
      </c>
      <c r="BN70" s="57" t="n">
        <v>0</v>
      </c>
      <c r="BO70" s="55"/>
      <c r="BP70" s="60" t="n">
        <v>0</v>
      </c>
      <c r="BQ70" s="60" t="n">
        <v>70</v>
      </c>
      <c r="BR70" s="55" t="str">
        <f aca="false">IF(U70&lt;&gt;"",UPPER(TRIM(U70)),IF(BU70=1,UPPER(VLOOKUP(T70,Parameter!$I$27:$K$29,2,0)),IF(P70="","LOSE",P70)))</f>
        <v>S51</v>
      </c>
      <c r="BS70" s="57" t="n">
        <f aca="false">IF(BR70="LOSE",1,IF(N(V70)&gt;0,V70,IF(BU70=1,MAX(1,N(VLOOKUP(T70,Parameter!$I$27:$K$29,3,0)),H70,N(N70)),IF(N(Q70)&gt;0,Q70,MAX(1,H70)))))</f>
        <v>2</v>
      </c>
      <c r="BT70" s="60" t="n">
        <f aca="false">IF(BR70="LOSE",1,0)</f>
        <v>0</v>
      </c>
      <c r="BU70" s="60" t="n">
        <f aca="false">IF(AND(U70="",OR(P70="",P70="LOSE"),T70&lt;&gt;"",N(S70)&lt;=0,ISNUMBER(MATCH(T70,Parameter!$I$27:$I$29,0))),1,0)</f>
        <v>0</v>
      </c>
      <c r="BV70" s="55" t="str">
        <f aca="false">IF(AND(Parameter!$B$19="Ja",E70&lt;&gt;"",ISNUMBER(MATCH(E70,Parameter!$I$35:$I$52,0))),VLOOKUP(E70,Parameter!$I$35:$J$52,2,0),IFERROR(VLOOKUP(D70,Parameter!$A$35:$C$64,2,0),"Nein"))</f>
        <v>2+3</v>
      </c>
      <c r="BW70" s="59" t="n">
        <f aca="false">IF(BT70=0,0,IF(N(S70)&gt;0,S70,IFERROR(VLOOKUP(D70,Parameter!$A$35:$C$64,3,0)+0,0)))</f>
        <v>0</v>
      </c>
      <c r="BX70" s="55" t="n">
        <f aca="false">IF(AA70&lt;&gt;"",AA70,Z70)</f>
        <v>3</v>
      </c>
      <c r="BY70" s="55" t="str">
        <f aca="false">IF(BX70=1,"L1",IF(OR(BX70=2,BX70=3),"L23",IF(BX70="Aussen","Aussen","-")))</f>
        <v>L23</v>
      </c>
      <c r="BZ70" s="66" t="n">
        <f aca="false">IF(N(AB70)&gt;0,AB70,0)</f>
        <v>0</v>
      </c>
      <c r="CA70" s="60" t="n">
        <f aca="false">IF(ISNUMBER(AE70),1,0)</f>
        <v>0</v>
      </c>
      <c r="CB70" s="57" t="n">
        <f aca="false">N(AE70)</f>
        <v>0</v>
      </c>
      <c r="CC70" s="57" t="n">
        <f aca="false">N(M70)+N(N70)</f>
        <v>1</v>
      </c>
      <c r="CD70" s="57" t="n">
        <f aca="false">ROUNDUP(H70/BS70,0)</f>
        <v>1</v>
      </c>
      <c r="CE70" s="57" t="n">
        <f aca="false">ROUNDUP(CB70/BS70,0)</f>
        <v>0</v>
      </c>
      <c r="CF70" s="60" t="n">
        <f aca="false">IF(BT70=1,0,IFERROR(VLOOKUP(BR70,'Gebinde-Kategorie'!$A$5:$M$45,5,0)+0,0))</f>
        <v>11</v>
      </c>
      <c r="CG70" s="60" t="n">
        <f aca="false">IFERROR(IF(OR(BX70=1,BX70=2,BX70=3),N(INDEX(Parameter!$I$5:$I$7,BX70)),0),0)</f>
        <v>0</v>
      </c>
      <c r="CH70" s="59" t="n">
        <f aca="false">IF(AND(Parameter!$B$21="Ja",ISNUMBER(W70),N(X70)&gt;0),IFERROR(N(INDEX(Parameter!$L$5:$L$7,W70))*INDEX(Parameter!$E$5:$E$7,W70)*X70/SUMIFS($X$7:$X$1843,$W$7:$W$1843,W70),0),0)</f>
        <v>0</v>
      </c>
    </row>
    <row r="71" customFormat="false" ht="15" hidden="false" customHeight="false" outlineLevel="0" collapsed="false">
      <c r="A71" s="55" t="s">
        <v>342</v>
      </c>
      <c r="B71" s="55" t="s">
        <v>343</v>
      </c>
      <c r="C71" s="55" t="s">
        <v>164</v>
      </c>
      <c r="D71" s="55" t="s">
        <v>173</v>
      </c>
      <c r="E71" s="55" t="s">
        <v>166</v>
      </c>
      <c r="F71" s="55" t="s">
        <v>218</v>
      </c>
      <c r="G71" s="56" t="n">
        <v>136.73</v>
      </c>
      <c r="H71" s="57" t="n">
        <f aca="false">MAX(0,IF(AND(Parameter!$B$21="Ja",ISNUMBER(Y71)),Y71,IF(Parameter!$B$20="Jahresanfang 2025 + Export",BL71+BK71,BK71)))</f>
        <v>31</v>
      </c>
      <c r="I71" s="57" t="n">
        <f aca="false">H71*G71</f>
        <v>4238.63</v>
      </c>
      <c r="J71" s="57" t="n">
        <f aca="false">BN71*Parameter!$B$18</f>
        <v>30</v>
      </c>
      <c r="K71" s="58" t="n">
        <v>15</v>
      </c>
      <c r="L71" s="59" t="n">
        <v>2</v>
      </c>
      <c r="M71" s="57" t="n">
        <v>1</v>
      </c>
      <c r="N71" s="57" t="n">
        <v>30</v>
      </c>
      <c r="O71" s="60" t="n">
        <v>21</v>
      </c>
      <c r="P71" s="55" t="s">
        <v>174</v>
      </c>
      <c r="Q71" s="57" t="n">
        <v>24</v>
      </c>
      <c r="R71" s="60" t="n">
        <f aca="false">IF(BT71=1,0,IFERROR(VLOOKUP(BR71,'Gebinde-Kategorie'!$A$5:$M$45,13,0)+0,0))</f>
        <v>6</v>
      </c>
      <c r="S71" s="61"/>
      <c r="T71" s="62"/>
      <c r="U71" s="62"/>
      <c r="V71" s="62"/>
      <c r="W71" s="55"/>
      <c r="X71" s="57"/>
      <c r="Y71" s="57"/>
      <c r="Z71" s="55" t="n">
        <f aca="false">IF(A71="","",IF(AND(Parameter!$B$21="Ja",ISNUMBER(W71)),W71,IF(BV71="2+3",IF(ISNUMBER(SEARCH("grosser Artikel",BO71)),2,IFERROR(VLOOKUP(BR71,Parameter!$F$35:$G$64,2,0),2)),IF(OR(BV71="Nein",BV71=""),"-",BV71))))</f>
        <v>1</v>
      </c>
      <c r="AA71" s="62"/>
      <c r="AB71" s="63"/>
      <c r="AC71" s="57" t="n">
        <f aca="false">AR71</f>
        <v>48</v>
      </c>
      <c r="AD71" s="57" t="n">
        <f aca="false">MAX(AR71,H71)</f>
        <v>48</v>
      </c>
      <c r="AE71" s="64"/>
      <c r="AF71" s="57" t="n">
        <f aca="false">IF(LEFT(Cockpit!$C$5,1)="A",H71,IF(CA71=1,CB71,IF(LEFT(Cockpit!$C$5,1)="B",AJ71,MAX(AJ71,H71))))</f>
        <v>31</v>
      </c>
      <c r="AG71" s="57" t="n">
        <f aca="false">IF(BT71=1,0,ROUNDUP(AF71/BS71,0))</f>
        <v>2</v>
      </c>
      <c r="AH71" s="59" t="n">
        <f aca="false">IF(CH71&gt;0,CH71*MAX(1,AF71/X71),IF(BT71=1,IF(AF71&lt;=0,0,BW71*MAX(1,IF(H71&gt;0,AF71/H71,1))),IF(R71&gt;0,AG71/R71,0))/MAX(0.1,N(Parameter!$M$21)))</f>
        <v>0.333333333333333</v>
      </c>
      <c r="AI71" s="57" t="n">
        <f aca="false">AF71*G71</f>
        <v>4238.63</v>
      </c>
      <c r="AJ71" s="57" t="n">
        <f aca="false">ROUNDUP(MAX(J71/IF(BZ71&gt;0,BZ71,MAX(0.1,N(Cockpit!$C$6))),CC71)/BS71,0)*BS71</f>
        <v>48</v>
      </c>
      <c r="AK71" s="58" t="n">
        <f aca="false">IF(AH71&gt;0,J71/AH71,-1)</f>
        <v>90</v>
      </c>
      <c r="AL71" s="58" t="n">
        <f aca="false">IF(AND(OR(BY71="L1",BY71="L23"),AH71&gt;0),SUMIFS($AH$7:$AH$1843,$BY$7:$BY$1843,BY71,$AK$7:$AK$1843,"&gt;"&amp;AK71)+SUMIFS($AH$7:$AH$1843,$BY$7:$BY$1843,BY71,$AK$7:$AK$1843,AK71,$BQ$7:$BQ$1843,"&lt;="&amp;BQ71),"")</f>
        <v>7.1642071185181</v>
      </c>
      <c r="AM71" s="65" t="n">
        <f aca="false">IF(AL71="",0,MAX(0,MIN(1,(IF(BY71="L1",Parameter!$E$5,Parameter!$E$6+Parameter!$E$7)-(AL71-AH71))/AH71)))</f>
        <v>1</v>
      </c>
      <c r="AN71" s="57" t="n">
        <f aca="false">IF(LEFT(Cockpit!$I$5,1)="A",H71,IF(CA71=1,CB71,IF(LEFT(Cockpit!$I$5,1)="B",AR71,MAX(AR71,H71))))</f>
        <v>48</v>
      </c>
      <c r="AO71" s="57" t="n">
        <f aca="false">IF(BT71=1,0,ROUNDUP(AN71/BS71,0))</f>
        <v>2</v>
      </c>
      <c r="AP71" s="59" t="n">
        <f aca="false">IF(CH71&gt;0,CH71*MAX(1,AN71/X71),IF(BT71=1,IF(AN71&lt;=0,0,BW71*MAX(1,IF(H71&gt;0,AN71/H71,1))),IF(R71&gt;0,AO71/R71,0))/MAX(0.1,N(Parameter!$M$21)))</f>
        <v>0.333333333333333</v>
      </c>
      <c r="AQ71" s="57" t="n">
        <f aca="false">AN71*G71</f>
        <v>6563.04</v>
      </c>
      <c r="AR71" s="57" t="n">
        <f aca="false">ROUNDUP(MAX(J71/IF(BZ71&gt;0,BZ71,MAX(0.1,N(Cockpit!$I$6))),CC71)/BS71,0)*BS71</f>
        <v>48</v>
      </c>
      <c r="AS71" s="58" t="n">
        <f aca="false">IF(AP71&gt;0,J71/AP71,-1)</f>
        <v>90</v>
      </c>
      <c r="AT71" s="58" t="n">
        <f aca="false">IF(AND(OR(BY71="L1",BY71="L23"),AP71&gt;0),SUMIFS($AP$7:$AP$1843,$BY$7:$BY$1843,BY71,$AS$7:$AS$1843,"&gt;"&amp;AS71)+SUMIFS($AP$7:$AP$1843,$BY$7:$BY$1843,BY71,$AS$7:$AS$1843,AS71,$BQ$7:$BQ$1843,"&lt;="&amp;BQ71),"")</f>
        <v>8.41109253065775</v>
      </c>
      <c r="AU71" s="65" t="n">
        <f aca="false">IF(AT71="",0,MAX(0,MIN(1,(IF(BY71="L1",Parameter!$E$5,Parameter!$E$6+Parameter!$E$7)-(AT71-AP71))/AP71)))</f>
        <v>1</v>
      </c>
      <c r="AV71" s="57" t="n">
        <f aca="false">IF(LEFT(Cockpit!$O$5,1)="A",H71,IF(CA71=1,CB71,IF(LEFT(Cockpit!$O$5,1)="B",AZ71,MAX(AZ71,H71))))</f>
        <v>48</v>
      </c>
      <c r="AW71" s="57" t="n">
        <f aca="false">IF(BT71=1,0,ROUNDUP(AV71/BS71,0))</f>
        <v>2</v>
      </c>
      <c r="AX71" s="59" t="n">
        <f aca="false">IF(CH71&gt;0,CH71*MAX(1,AV71/X71),IF(BT71=1,IF(AV71&lt;=0,0,BW71*MAX(1,IF(H71&gt;0,AV71/H71,1))),IF(R71&gt;0,AW71/R71,0))/MAX(0.1,N(Parameter!$M$21)))</f>
        <v>0.333333333333333</v>
      </c>
      <c r="AY71" s="57" t="n">
        <f aca="false">AV71*G71</f>
        <v>6563.04</v>
      </c>
      <c r="AZ71" s="57" t="n">
        <f aca="false">ROUNDUP(MAX(J71/IF(BZ71&gt;0,BZ71,MAX(0.1,N(Cockpit!$O$6))),CC71)/BS71,0)*BS71</f>
        <v>48</v>
      </c>
      <c r="BA71" s="58" t="n">
        <f aca="false">IF(AX71&gt;0,J71/AX71,-1)</f>
        <v>90</v>
      </c>
      <c r="BB71" s="58" t="n">
        <f aca="false">IF(AND(OR(BY71="L1",BY71="L23"),AX71&gt;0),SUMIFS($AX$7:$AX$1843,$BY$7:$BY$1843,BY71,$BA$7:$BA$1843,"&gt;"&amp;BA71)+SUMIFS($AX$7:$AX$1843,$BY$7:$BY$1843,BY71,$BA$7:$BA$1843,BA71,$BQ$7:$BQ$1843,"&lt;="&amp;BQ71),"")</f>
        <v>8.45596432552954</v>
      </c>
      <c r="BC71" s="65" t="n">
        <f aca="false">IF(BB71="",0,MAX(0,MIN(1,(IF(BY71="L1",Parameter!$E$5,Parameter!$E$6+Parameter!$E$7)-(BB71-AX71))/AX71)))</f>
        <v>1</v>
      </c>
      <c r="BD71" s="55" t="str">
        <f aca="false">IF(AH71&lt;=0,"",IF(BY71="Aussen","Aussenlager",IF(BY71="-","Nicht im Lift",IF(AM71&gt;=1,"Lift",IF(AM71&lt;=0,"Aussenlager","teilweise")))))</f>
        <v>Lift</v>
      </c>
      <c r="BE71" s="55" t="str">
        <f aca="false">IF(AP71&lt;=0,"",IF(BY71="Aussen","Aussenlager",IF(BY71="-","Nicht im Lift",IF(AU71&gt;=1,"Lift",IF(AU71&lt;=0,"Aussenlager","teilweise")))))</f>
        <v>Lift</v>
      </c>
      <c r="BF71" s="55" t="str">
        <f aca="false">IF(AX71&lt;=0,"",IF(BY71="Aussen","Aussenlager",IF(BY71="-","Nicht im Lift",IF(BC71&gt;=1,"Lift",IF(BC71&lt;=0,"Aussenlager","teilweise")))))</f>
        <v>Lift</v>
      </c>
      <c r="BG71" s="55" t="str">
        <f aca="false">IF(A71="","",IF(BP71=1,"Neu; ","")&amp;IF(AND(BP71=0,BK71&lt;0),"negativer Bestand (Export "&amp;BK71&amp;"); ","")&amp;IF(J71&lt;=0,"Kein Verbrauch; ","")&amp;IF(CH71&gt;0,"Lift "&amp;W71&amp;" lt. Liftbericht (Fach "&amp;X71&amp;" Stk); ",IF(BU71=1,"Gebinde geschätzt ("&amp;T71&amp;"); ",IF(BT71=1,"Lose – Tablare geschätzt; ","")))&amp;IF(H71&gt;AR71,"Überbestand "&amp;ROUND(H71-AR71,0)&amp;" Stk / CHF "&amp;ROUND((H71-AR71)*G71,0)&amp;"; ","")&amp;IF(AND(CA71=1,CB71&lt;CC71),"MAX &lt; MB+LG; ","")&amp;IF(AND(CG71&gt;0,CF71*10&gt;CG71),"zu hoch für Tablar; ","")&amp;IF(AND(BP71=0,OR(CA71=1,AA71&lt;&gt;"",U71&lt;&gt;"",V71&lt;&gt;"",AB71&lt;&gt;"")),"manuell übersteuert; ","")&amp;IF(AND(BT71=0,R71=0),"Gebinde unbekannt / Stellmass fehlt; ","")&amp;IF(AND(BT71=0,N(V71)&lt;=0,N(Q71)&lt;=0),"Menge pro Gebinde fehlt (Ist = 1 Gebinde); ","")&amp;BO71)</f>
        <v/>
      </c>
      <c r="BH71" s="55" t="s">
        <v>344</v>
      </c>
      <c r="BI71" s="55" t="s">
        <v>345</v>
      </c>
      <c r="BJ71" s="62"/>
      <c r="BK71" s="57" t="n">
        <v>26</v>
      </c>
      <c r="BL71" s="57" t="n">
        <v>5</v>
      </c>
      <c r="BM71" s="56" t="n">
        <v>3578.48</v>
      </c>
      <c r="BN71" s="57" t="n">
        <v>30</v>
      </c>
      <c r="BO71" s="55"/>
      <c r="BP71" s="60" t="n">
        <v>0</v>
      </c>
      <c r="BQ71" s="60" t="n">
        <v>71</v>
      </c>
      <c r="BR71" s="55" t="str">
        <f aca="false">IF(U71&lt;&gt;"",UPPER(TRIM(U71)),IF(BU71=1,UPPER(VLOOKUP(T71,Parameter!$I$27:$K$29,2,0)),IF(P71="","LOSE",P71)))</f>
        <v>S71</v>
      </c>
      <c r="BS71" s="57" t="n">
        <f aca="false">IF(BR71="LOSE",1,IF(N(V71)&gt;0,V71,IF(BU71=1,MAX(1,N(VLOOKUP(T71,Parameter!$I$27:$K$29,3,0)),H71,N(N71)),IF(N(Q71)&gt;0,Q71,MAX(1,H71)))))</f>
        <v>24</v>
      </c>
      <c r="BT71" s="60" t="n">
        <f aca="false">IF(BR71="LOSE",1,0)</f>
        <v>0</v>
      </c>
      <c r="BU71" s="60" t="n">
        <f aca="false">IF(AND(U71="",OR(P71="",P71="LOSE"),T71&lt;&gt;"",N(S71)&lt;=0,ISNUMBER(MATCH(T71,Parameter!$I$27:$I$29,0))),1,0)</f>
        <v>0</v>
      </c>
      <c r="BV71" s="55" t="n">
        <f aca="false">IF(AND(Parameter!$B$19="Ja",E71&lt;&gt;"",ISNUMBER(MATCH(E71,Parameter!$I$35:$I$52,0))),VLOOKUP(E71,Parameter!$I$35:$J$52,2,0),IFERROR(VLOOKUP(D71,Parameter!$A$35:$C$64,2,0),"Nein"))</f>
        <v>1</v>
      </c>
      <c r="BW71" s="59" t="n">
        <f aca="false">IF(BT71=0,0,IF(N(S71)&gt;0,S71,IFERROR(VLOOKUP(D71,Parameter!$A$35:$C$64,3,0)+0,0)))</f>
        <v>0</v>
      </c>
      <c r="BX71" s="55" t="n">
        <f aca="false">IF(AA71&lt;&gt;"",AA71,Z71)</f>
        <v>1</v>
      </c>
      <c r="BY71" s="55" t="str">
        <f aca="false">IF(BX71=1,"L1",IF(OR(BX71=2,BX71=3),"L23",IF(BX71="Aussen","Aussen","-")))</f>
        <v>L1</v>
      </c>
      <c r="BZ71" s="66" t="n">
        <f aca="false">IF(N(AB71)&gt;0,AB71,0)</f>
        <v>0</v>
      </c>
      <c r="CA71" s="60" t="n">
        <f aca="false">IF(ISNUMBER(AE71),1,0)</f>
        <v>0</v>
      </c>
      <c r="CB71" s="57" t="n">
        <f aca="false">N(AE71)</f>
        <v>0</v>
      </c>
      <c r="CC71" s="57" t="n">
        <f aca="false">N(M71)+N(N71)</f>
        <v>31</v>
      </c>
      <c r="CD71" s="57" t="n">
        <f aca="false">ROUNDUP(H71/BS71,0)</f>
        <v>2</v>
      </c>
      <c r="CE71" s="57" t="n">
        <f aca="false">ROUNDUP(CB71/BS71,0)</f>
        <v>0</v>
      </c>
      <c r="CF71" s="60" t="n">
        <f aca="false">IF(BT71=1,0,IFERROR(VLOOKUP(BR71,'Gebinde-Kategorie'!$A$5:$M$45,5,0)+0,0))</f>
        <v>20</v>
      </c>
      <c r="CG71" s="60" t="n">
        <f aca="false">IFERROR(IF(OR(BX71=1,BX71=2,BX71=3),N(INDEX(Parameter!$I$5:$I$7,BX71)),0),0)</f>
        <v>0</v>
      </c>
      <c r="CH71" s="59" t="n">
        <f aca="false">IF(AND(Parameter!$B$21="Ja",ISNUMBER(W71),N(X71)&gt;0),IFERROR(N(INDEX(Parameter!$L$5:$L$7,W71))*INDEX(Parameter!$E$5:$E$7,W71)*X71/SUMIFS($X$7:$X$1843,$W$7:$W$1843,W71),0),0)</f>
        <v>0</v>
      </c>
    </row>
    <row r="72" customFormat="false" ht="15" hidden="false" customHeight="false" outlineLevel="0" collapsed="false">
      <c r="A72" s="55" t="s">
        <v>346</v>
      </c>
      <c r="B72" s="55" t="s">
        <v>347</v>
      </c>
      <c r="C72" s="55" t="s">
        <v>164</v>
      </c>
      <c r="D72" s="55" t="s">
        <v>173</v>
      </c>
      <c r="E72" s="55" t="s">
        <v>185</v>
      </c>
      <c r="F72" s="55" t="s">
        <v>218</v>
      </c>
      <c r="G72" s="56" t="n">
        <v>176.61</v>
      </c>
      <c r="H72" s="57" t="n">
        <f aca="false">MAX(0,IF(AND(Parameter!$B$21="Ja",ISNUMBER(Y72)),Y72,IF(Parameter!$B$20="Jahresanfang 2025 + Export",BL72+BK72,BK72)))</f>
        <v>46</v>
      </c>
      <c r="I72" s="57" t="n">
        <f aca="false">H72*G72</f>
        <v>8124.06</v>
      </c>
      <c r="J72" s="57" t="n">
        <f aca="false">BN72*Parameter!$B$18</f>
        <v>75</v>
      </c>
      <c r="K72" s="58" t="n">
        <v>46.5</v>
      </c>
      <c r="L72" s="59" t="n">
        <v>1.61290322580645</v>
      </c>
      <c r="M72" s="57" t="n">
        <v>15</v>
      </c>
      <c r="N72" s="57" t="n">
        <v>35</v>
      </c>
      <c r="O72" s="60" t="n">
        <v>60</v>
      </c>
      <c r="P72" s="55" t="s">
        <v>348</v>
      </c>
      <c r="Q72" s="57" t="n">
        <v>38</v>
      </c>
      <c r="R72" s="60" t="n">
        <f aca="false">IF(BT72=1,0,IFERROR(VLOOKUP(BR72,'Gebinde-Kategorie'!$A$5:$M$45,13,0)+0,0))</f>
        <v>3</v>
      </c>
      <c r="S72" s="61"/>
      <c r="T72" s="62"/>
      <c r="U72" s="62"/>
      <c r="V72" s="62"/>
      <c r="W72" s="55"/>
      <c r="X72" s="57"/>
      <c r="Y72" s="57"/>
      <c r="Z72" s="55" t="n">
        <f aca="false">IF(A72="","",IF(AND(Parameter!$B$21="Ja",ISNUMBER(W72)),W72,IF(BV72="2+3",IF(ISNUMBER(SEARCH("grosser Artikel",BO72)),2,IFERROR(VLOOKUP(BR72,Parameter!$F$35:$G$64,2,0),2)),IF(OR(BV72="Nein",BV72=""),"-",BV72))))</f>
        <v>2</v>
      </c>
      <c r="AA72" s="62"/>
      <c r="AB72" s="63"/>
      <c r="AC72" s="57" t="n">
        <f aca="false">AR72</f>
        <v>76</v>
      </c>
      <c r="AD72" s="57" t="n">
        <f aca="false">MAX(AR72,H72)</f>
        <v>76</v>
      </c>
      <c r="AE72" s="64"/>
      <c r="AF72" s="57" t="n">
        <f aca="false">IF(LEFT(Cockpit!$C$5,1)="A",H72,IF(CA72=1,CB72,IF(LEFT(Cockpit!$C$5,1)="B",AJ72,MAX(AJ72,H72))))</f>
        <v>46</v>
      </c>
      <c r="AG72" s="57" t="n">
        <f aca="false">IF(BT72=1,0,ROUNDUP(AF72/BS72,0))</f>
        <v>2</v>
      </c>
      <c r="AH72" s="59" t="n">
        <f aca="false">IF(CH72&gt;0,CH72*MAX(1,AF72/X72),IF(BT72=1,IF(AF72&lt;=0,0,BW72*MAX(1,IF(H72&gt;0,AF72/H72,1))),IF(R72&gt;0,AG72/R72,0))/MAX(0.1,N(Parameter!$M$21)))</f>
        <v>0.666666666666667</v>
      </c>
      <c r="AI72" s="57" t="n">
        <f aca="false">AF72*G72</f>
        <v>8124.06</v>
      </c>
      <c r="AJ72" s="57" t="n">
        <f aca="false">ROUNDUP(MAX(J72/IF(BZ72&gt;0,BZ72,MAX(0.1,N(Cockpit!$C$6))),CC72)/BS72,0)*BS72</f>
        <v>76</v>
      </c>
      <c r="AK72" s="58" t="n">
        <f aca="false">IF(AH72&gt;0,J72/AH72,-1)</f>
        <v>112.5</v>
      </c>
      <c r="AL72" s="58" t="n">
        <f aca="false">IF(AND(OR(BY72="L1",BY72="L23"),AH72&gt;0),SUMIFS($AH$7:$AH$1843,$BY$7:$BY$1843,BY72,$AK$7:$AK$1843,"&gt;"&amp;AK72)+SUMIFS($AH$7:$AH$1843,$BY$7:$BY$1843,BY72,$AK$7:$AK$1843,AK72,$BQ$7:$BQ$1843,"&lt;="&amp;BQ72),"")</f>
        <v>37.7072565116043</v>
      </c>
      <c r="AM72" s="65" t="n">
        <f aca="false">IF(AL72="",0,MAX(0,MIN(1,(IF(BY72="L1",Parameter!$E$5,Parameter!$E$6+Parameter!$E$7)-(AL72-AH72))/AH72)))</f>
        <v>1</v>
      </c>
      <c r="AN72" s="57" t="n">
        <f aca="false">IF(LEFT(Cockpit!$I$5,1)="A",H72,IF(CA72=1,CB72,IF(LEFT(Cockpit!$I$5,1)="B",AR72,MAX(AR72,H72))))</f>
        <v>76</v>
      </c>
      <c r="AO72" s="57" t="n">
        <f aca="false">IF(BT72=1,0,ROUNDUP(AN72/BS72,0))</f>
        <v>2</v>
      </c>
      <c r="AP72" s="59" t="n">
        <f aca="false">IF(CH72&gt;0,CH72*MAX(1,AN72/X72),IF(BT72=1,IF(AN72&lt;=0,0,BW72*MAX(1,IF(H72&gt;0,AN72/H72,1))),IF(R72&gt;0,AO72/R72,0))/MAX(0.1,N(Parameter!$M$21)))</f>
        <v>0.666666666666667</v>
      </c>
      <c r="AQ72" s="57" t="n">
        <f aca="false">AN72*G72</f>
        <v>13422.36</v>
      </c>
      <c r="AR72" s="57" t="n">
        <f aca="false">ROUNDUP(MAX(J72/IF(BZ72&gt;0,BZ72,MAX(0.1,N(Cockpit!$I$6))),CC72)/BS72,0)*BS72</f>
        <v>76</v>
      </c>
      <c r="AS72" s="58" t="n">
        <f aca="false">IF(AP72&gt;0,J72/AP72,-1)</f>
        <v>112.5</v>
      </c>
      <c r="AT72" s="58" t="n">
        <f aca="false">IF(AND(OR(BY72="L1",BY72="L23"),AP72&gt;0),SUMIFS($AP$7:$AP$1843,$BY$7:$BY$1843,BY72,$AS$7:$AS$1843,"&gt;"&amp;AS72)+SUMIFS($AP$7:$AP$1843,$BY$7:$BY$1843,BY72,$AS$7:$AS$1843,AS72,$BQ$7:$BQ$1843,"&lt;="&amp;BQ72),"")</f>
        <v>55.8947839600014</v>
      </c>
      <c r="AU72" s="65" t="n">
        <f aca="false">IF(AT72="",0,MAX(0,MIN(1,(IF(BY72="L1",Parameter!$E$5,Parameter!$E$6+Parameter!$E$7)-(AT72-AP72))/AP72)))</f>
        <v>1</v>
      </c>
      <c r="AV72" s="57" t="n">
        <f aca="false">IF(LEFT(Cockpit!$O$5,1)="A",H72,IF(CA72=1,CB72,IF(LEFT(Cockpit!$O$5,1)="B",AZ72,MAX(AZ72,H72))))</f>
        <v>76</v>
      </c>
      <c r="AW72" s="57" t="n">
        <f aca="false">IF(BT72=1,0,ROUNDUP(AV72/BS72,0))</f>
        <v>2</v>
      </c>
      <c r="AX72" s="59" t="n">
        <f aca="false">IF(CH72&gt;0,CH72*MAX(1,AV72/X72),IF(BT72=1,IF(AV72&lt;=0,0,BW72*MAX(1,IF(H72&gt;0,AV72/H72,1))),IF(R72&gt;0,AW72/R72,0))/MAX(0.1,N(Parameter!$M$21)))</f>
        <v>0.666666666666667</v>
      </c>
      <c r="AY72" s="57" t="n">
        <f aca="false">AV72*G72</f>
        <v>13422.36</v>
      </c>
      <c r="AZ72" s="57" t="n">
        <f aca="false">ROUNDUP(MAX(J72/IF(BZ72&gt;0,BZ72,MAX(0.1,N(Cockpit!$O$6))),CC72)/BS72,0)*BS72</f>
        <v>76</v>
      </c>
      <c r="BA72" s="58" t="n">
        <f aca="false">IF(AX72&gt;0,J72/AX72,-1)</f>
        <v>112.5</v>
      </c>
      <c r="BB72" s="58" t="n">
        <f aca="false">IF(AND(OR(BY72="L1",BY72="L23"),AX72&gt;0),SUMIFS($AX$7:$AX$1843,$BY$7:$BY$1843,BY72,$BA$7:$BA$1843,"&gt;"&amp;BA72)+SUMIFS($AX$7:$AX$1843,$BY$7:$BY$1843,BY72,$BA$7:$BA$1843,BA72,$BQ$7:$BQ$1843,"&lt;="&amp;BQ72),"")</f>
        <v>53.7246207898382</v>
      </c>
      <c r="BC72" s="65" t="n">
        <f aca="false">IF(BB72="",0,MAX(0,MIN(1,(IF(BY72="L1",Parameter!$E$5,Parameter!$E$6+Parameter!$E$7)-(BB72-AX72))/AX72)))</f>
        <v>1</v>
      </c>
      <c r="BD72" s="55" t="str">
        <f aca="false">IF(AH72&lt;=0,"",IF(BY72="Aussen","Aussenlager",IF(BY72="-","Nicht im Lift",IF(AM72&gt;=1,"Lift",IF(AM72&lt;=0,"Aussenlager","teilweise")))))</f>
        <v>Lift</v>
      </c>
      <c r="BE72" s="55" t="str">
        <f aca="false">IF(AP72&lt;=0,"",IF(BY72="Aussen","Aussenlager",IF(BY72="-","Nicht im Lift",IF(AU72&gt;=1,"Lift",IF(AU72&lt;=0,"Aussenlager","teilweise")))))</f>
        <v>Lift</v>
      </c>
      <c r="BF72" s="55" t="str">
        <f aca="false">IF(AX72&lt;=0,"",IF(BY72="Aussen","Aussenlager",IF(BY72="-","Nicht im Lift",IF(BC72&gt;=1,"Lift",IF(BC72&lt;=0,"Aussenlager","teilweise")))))</f>
        <v>Lift</v>
      </c>
      <c r="BG72" s="55" t="str">
        <f aca="false">IF(A72="","",IF(BP72=1,"Neu; ","")&amp;IF(AND(BP72=0,BK72&lt;0),"negativer Bestand (Export "&amp;BK72&amp;"); ","")&amp;IF(J72&lt;=0,"Kein Verbrauch; ","")&amp;IF(CH72&gt;0,"Lift "&amp;W72&amp;" lt. Liftbericht (Fach "&amp;X72&amp;" Stk); ",IF(BU72=1,"Gebinde geschätzt ("&amp;T72&amp;"); ",IF(BT72=1,"Lose – Tablare geschätzt; ","")))&amp;IF(H72&gt;AR72,"Überbestand "&amp;ROUND(H72-AR72,0)&amp;" Stk / CHF "&amp;ROUND((H72-AR72)*G72,0)&amp;"; ","")&amp;IF(AND(CA72=1,CB72&lt;CC72),"MAX &lt; MB+LG; ","")&amp;IF(AND(CG72&gt;0,CF72*10&gt;CG72),"zu hoch für Tablar; ","")&amp;IF(AND(BP72=0,OR(CA72=1,AA72&lt;&gt;"",U72&lt;&gt;"",V72&lt;&gt;"",AB72&lt;&gt;"")),"manuell übersteuert; ","")&amp;IF(AND(BT72=0,R72=0),"Gebinde unbekannt / Stellmass fehlt; ","")&amp;IF(AND(BT72=0,N(V72)&lt;=0,N(Q72)&lt;=0),"Menge pro Gebinde fehlt (Ist = 1 Gebinde); ","")&amp;BO72)</f>
        <v>grosser Artikel &amp; nicht im KTL</v>
      </c>
      <c r="BH72" s="55" t="s">
        <v>349</v>
      </c>
      <c r="BI72" s="55" t="s">
        <v>345</v>
      </c>
      <c r="BJ72" s="62"/>
      <c r="BK72" s="57" t="n">
        <v>22</v>
      </c>
      <c r="BL72" s="57" t="n">
        <v>24</v>
      </c>
      <c r="BM72" s="56" t="n">
        <v>3534.78</v>
      </c>
      <c r="BN72" s="57" t="n">
        <v>75</v>
      </c>
      <c r="BO72" s="55" t="s">
        <v>261</v>
      </c>
      <c r="BP72" s="60" t="n">
        <v>0</v>
      </c>
      <c r="BQ72" s="60" t="n">
        <v>72</v>
      </c>
      <c r="BR72" s="55" t="str">
        <f aca="false">IF(U72&lt;&gt;"",UPPER(TRIM(U72)),IF(BU72=1,UPPER(VLOOKUP(T72,Parameter!$I$27:$K$29,2,0)),IF(P72="","LOSE",P72)))</f>
        <v>S82</v>
      </c>
      <c r="BS72" s="57" t="n">
        <f aca="false">IF(BR72="LOSE",1,IF(N(V72)&gt;0,V72,IF(BU72=1,MAX(1,N(VLOOKUP(T72,Parameter!$I$27:$K$29,3,0)),H72,N(N72)),IF(N(Q72)&gt;0,Q72,MAX(1,H72)))))</f>
        <v>38</v>
      </c>
      <c r="BT72" s="60" t="n">
        <f aca="false">IF(BR72="LOSE",1,0)</f>
        <v>0</v>
      </c>
      <c r="BU72" s="60" t="n">
        <f aca="false">IF(AND(U72="",OR(P72="",P72="LOSE"),T72&lt;&gt;"",N(S72)&lt;=0,ISNUMBER(MATCH(T72,Parameter!$I$27:$I$29,0))),1,0)</f>
        <v>0</v>
      </c>
      <c r="BV72" s="55" t="str">
        <f aca="false">IF(AND(Parameter!$B$19="Ja",E72&lt;&gt;"",ISNUMBER(MATCH(E72,Parameter!$I$35:$I$52,0))),VLOOKUP(E72,Parameter!$I$35:$J$52,2,0),IFERROR(VLOOKUP(D72,Parameter!$A$35:$C$64,2,0),"Nein"))</f>
        <v>2+3</v>
      </c>
      <c r="BW72" s="59" t="n">
        <f aca="false">IF(BT72=0,0,IF(N(S72)&gt;0,S72,IFERROR(VLOOKUP(D72,Parameter!$A$35:$C$64,3,0)+0,0)))</f>
        <v>0</v>
      </c>
      <c r="BX72" s="55" t="n">
        <f aca="false">IF(AA72&lt;&gt;"",AA72,Z72)</f>
        <v>2</v>
      </c>
      <c r="BY72" s="55" t="str">
        <f aca="false">IF(BX72=1,"L1",IF(OR(BX72=2,BX72=3),"L23",IF(BX72="Aussen","Aussen","-")))</f>
        <v>L23</v>
      </c>
      <c r="BZ72" s="66" t="n">
        <f aca="false">IF(N(AB72)&gt;0,AB72,0)</f>
        <v>0</v>
      </c>
      <c r="CA72" s="60" t="n">
        <f aca="false">IF(ISNUMBER(AE72),1,0)</f>
        <v>0</v>
      </c>
      <c r="CB72" s="57" t="n">
        <f aca="false">N(AE72)</f>
        <v>0</v>
      </c>
      <c r="CC72" s="57" t="n">
        <f aca="false">N(M72)+N(N72)</f>
        <v>50</v>
      </c>
      <c r="CD72" s="57" t="n">
        <f aca="false">ROUNDUP(H72/BS72,0)</f>
        <v>2</v>
      </c>
      <c r="CE72" s="57" t="n">
        <f aca="false">ROUNDUP(CB72/BS72,0)</f>
        <v>0</v>
      </c>
      <c r="CF72" s="60" t="n">
        <f aca="false">IF(BT72=1,0,IFERROR(VLOOKUP(BR72,'Gebinde-Kategorie'!$A$5:$M$45,5,0)+0,0))</f>
        <v>40</v>
      </c>
      <c r="CG72" s="60" t="n">
        <f aca="false">IFERROR(IF(OR(BX72=1,BX72=2,BX72=3),N(INDEX(Parameter!$I$5:$I$7,BX72)),0),0)</f>
        <v>0</v>
      </c>
      <c r="CH72" s="59" t="n">
        <f aca="false">IF(AND(Parameter!$B$21="Ja",ISNUMBER(W72),N(X72)&gt;0),IFERROR(N(INDEX(Parameter!$L$5:$L$7,W72))*INDEX(Parameter!$E$5:$E$7,W72)*X72/SUMIFS($X$7:$X$1843,$W$7:$W$1843,W72),0),0)</f>
        <v>0</v>
      </c>
    </row>
    <row r="73" customFormat="false" ht="15" hidden="false" customHeight="false" outlineLevel="0" collapsed="false">
      <c r="A73" s="55" t="s">
        <v>350</v>
      </c>
      <c r="B73" s="55" t="s">
        <v>292</v>
      </c>
      <c r="C73" s="55" t="s">
        <v>164</v>
      </c>
      <c r="D73" s="55" t="s">
        <v>184</v>
      </c>
      <c r="E73" s="55" t="s">
        <v>185</v>
      </c>
      <c r="F73" s="55" t="s">
        <v>218</v>
      </c>
      <c r="G73" s="56" t="n">
        <v>160.95</v>
      </c>
      <c r="H73" s="57" t="n">
        <f aca="false">MAX(0,IF(AND(Parameter!$B$21="Ja",ISNUMBER(Y73)),Y73,IF(Parameter!$B$20="Jahresanfang 2025 + Export",BL73+BK73,BK73)))</f>
        <v>39</v>
      </c>
      <c r="I73" s="57" t="n">
        <f aca="false">H73*G73</f>
        <v>6277.05</v>
      </c>
      <c r="J73" s="57" t="n">
        <f aca="false">BN73*Parameter!$B$18</f>
        <v>97</v>
      </c>
      <c r="K73" s="58" t="n">
        <v>15.5</v>
      </c>
      <c r="L73" s="59" t="n">
        <v>6.25806451612903</v>
      </c>
      <c r="M73" s="57" t="n">
        <v>10</v>
      </c>
      <c r="N73" s="57" t="n">
        <v>40</v>
      </c>
      <c r="O73" s="60" t="n">
        <v>30</v>
      </c>
      <c r="P73" s="55" t="s">
        <v>302</v>
      </c>
      <c r="Q73" s="57" t="n">
        <v>31</v>
      </c>
      <c r="R73" s="60" t="n">
        <f aca="false">IF(BT73=1,0,IFERROR(VLOOKUP(BR73,'Gebinde-Kategorie'!$A$5:$M$45,13,0)+0,0))</f>
        <v>26</v>
      </c>
      <c r="S73" s="61"/>
      <c r="T73" s="62"/>
      <c r="U73" s="62"/>
      <c r="V73" s="62"/>
      <c r="W73" s="55"/>
      <c r="X73" s="57"/>
      <c r="Y73" s="57"/>
      <c r="Z73" s="55" t="n">
        <f aca="false">IF(A73="","",IF(AND(Parameter!$B$21="Ja",ISNUMBER(W73)),W73,IF(BV73="2+3",IF(ISNUMBER(SEARCH("grosser Artikel",BO73)),2,IFERROR(VLOOKUP(BR73,Parameter!$F$35:$G$64,2,0),2)),IF(OR(BV73="Nein",BV73=""),"-",BV73))))</f>
        <v>3</v>
      </c>
      <c r="AA73" s="62"/>
      <c r="AB73" s="63"/>
      <c r="AC73" s="57" t="n">
        <f aca="false">AR73</f>
        <v>62</v>
      </c>
      <c r="AD73" s="57" t="n">
        <f aca="false">MAX(AR73,H73)</f>
        <v>62</v>
      </c>
      <c r="AE73" s="64"/>
      <c r="AF73" s="57" t="n">
        <f aca="false">IF(LEFT(Cockpit!$C$5,1)="A",H73,IF(CA73=1,CB73,IF(LEFT(Cockpit!$C$5,1)="B",AJ73,MAX(AJ73,H73))))</f>
        <v>39</v>
      </c>
      <c r="AG73" s="57" t="n">
        <f aca="false">IF(BT73=1,0,ROUNDUP(AF73/BS73,0))</f>
        <v>2</v>
      </c>
      <c r="AH73" s="59" t="n">
        <f aca="false">IF(CH73&gt;0,CH73*MAX(1,AF73/X73),IF(BT73=1,IF(AF73&lt;=0,0,BW73*MAX(1,IF(H73&gt;0,AF73/H73,1))),IF(R73&gt;0,AG73/R73,0))/MAX(0.1,N(Parameter!$M$21)))</f>
        <v>0.0769230769230769</v>
      </c>
      <c r="AI73" s="57" t="n">
        <f aca="false">AF73*G73</f>
        <v>6277.05</v>
      </c>
      <c r="AJ73" s="57" t="n">
        <f aca="false">ROUNDUP(MAX(J73/IF(BZ73&gt;0,BZ73,MAX(0.1,N(Cockpit!$C$6))),CC73)/BS73,0)*BS73</f>
        <v>62</v>
      </c>
      <c r="AK73" s="58" t="n">
        <f aca="false">IF(AH73&gt;0,J73/AH73,-1)</f>
        <v>1261</v>
      </c>
      <c r="AL73" s="58" t="n">
        <f aca="false">IF(AND(OR(BY73="L1",BY73="L23"),AH73&gt;0),SUMIFS($AH$7:$AH$1843,$BY$7:$BY$1843,BY73,$AK$7:$AK$1843,"&gt;"&amp;AK73)+SUMIFS($AH$7:$AH$1843,$BY$7:$BY$1843,BY73,$AK$7:$AK$1843,AK73,$BQ$7:$BQ$1843,"&lt;="&amp;BQ73),"")</f>
        <v>16.4484814702206</v>
      </c>
      <c r="AM73" s="65" t="n">
        <f aca="false">IF(AL73="",0,MAX(0,MIN(1,(IF(BY73="L1",Parameter!$E$5,Parameter!$E$6+Parameter!$E$7)-(AL73-AH73))/AH73)))</f>
        <v>1</v>
      </c>
      <c r="AN73" s="57" t="n">
        <f aca="false">IF(LEFT(Cockpit!$I$5,1)="A",H73,IF(CA73=1,CB73,IF(LEFT(Cockpit!$I$5,1)="B",AR73,MAX(AR73,H73))))</f>
        <v>62</v>
      </c>
      <c r="AO73" s="57" t="n">
        <f aca="false">IF(BT73=1,0,ROUNDUP(AN73/BS73,0))</f>
        <v>2</v>
      </c>
      <c r="AP73" s="59" t="n">
        <f aca="false">IF(CH73&gt;0,CH73*MAX(1,AN73/X73),IF(BT73=1,IF(AN73&lt;=0,0,BW73*MAX(1,IF(H73&gt;0,AN73/H73,1))),IF(R73&gt;0,AO73/R73,0))/MAX(0.1,N(Parameter!$M$21)))</f>
        <v>0.0769230769230769</v>
      </c>
      <c r="AQ73" s="57" t="n">
        <f aca="false">AN73*G73</f>
        <v>9978.9</v>
      </c>
      <c r="AR73" s="57" t="n">
        <f aca="false">ROUNDUP(MAX(J73/IF(BZ73&gt;0,BZ73,MAX(0.1,N(Cockpit!$I$6))),CC73)/BS73,0)*BS73</f>
        <v>62</v>
      </c>
      <c r="AS73" s="58" t="n">
        <f aca="false">IF(AP73&gt;0,J73/AP73,-1)</f>
        <v>1261</v>
      </c>
      <c r="AT73" s="58" t="n">
        <f aca="false">IF(AND(OR(BY73="L1",BY73="L23"),AP73&gt;0),SUMIFS($AP$7:$AP$1843,$BY$7:$BY$1843,BY73,$AS$7:$AS$1843,"&gt;"&amp;AS73)+SUMIFS($AP$7:$AP$1843,$BY$7:$BY$1843,BY73,$AS$7:$AS$1843,AS73,$BQ$7:$BQ$1843,"&lt;="&amp;BQ73),"")</f>
        <v>22.057742981656</v>
      </c>
      <c r="AU73" s="65" t="n">
        <f aca="false">IF(AT73="",0,MAX(0,MIN(1,(IF(BY73="L1",Parameter!$E$5,Parameter!$E$6+Parameter!$E$7)-(AT73-AP73))/AP73)))</f>
        <v>1</v>
      </c>
      <c r="AV73" s="57" t="n">
        <f aca="false">IF(LEFT(Cockpit!$O$5,1)="A",H73,IF(CA73=1,CB73,IF(LEFT(Cockpit!$O$5,1)="B",AZ73,MAX(AZ73,H73))))</f>
        <v>62</v>
      </c>
      <c r="AW73" s="57" t="n">
        <f aca="false">IF(BT73=1,0,ROUNDUP(AV73/BS73,0))</f>
        <v>2</v>
      </c>
      <c r="AX73" s="59" t="n">
        <f aca="false">IF(CH73&gt;0,CH73*MAX(1,AV73/X73),IF(BT73=1,IF(AV73&lt;=0,0,BW73*MAX(1,IF(H73&gt;0,AV73/H73,1))),IF(R73&gt;0,AW73/R73,0))/MAX(0.1,N(Parameter!$M$21)))</f>
        <v>0.0769230769230769</v>
      </c>
      <c r="AY73" s="57" t="n">
        <f aca="false">AV73*G73</f>
        <v>9978.9</v>
      </c>
      <c r="AZ73" s="57" t="n">
        <f aca="false">ROUNDUP(MAX(J73/IF(BZ73&gt;0,BZ73,MAX(0.1,N(Cockpit!$O$6))),CC73)/BS73,0)*BS73</f>
        <v>62</v>
      </c>
      <c r="BA73" s="58" t="n">
        <f aca="false">IF(AX73&gt;0,J73/AX73,-1)</f>
        <v>1261</v>
      </c>
      <c r="BB73" s="58" t="n">
        <f aca="false">IF(AND(OR(BY73="L1",BY73="L23"),AX73&gt;0),SUMIFS($AX$7:$AX$1843,$BY$7:$BY$1843,BY73,$BA$7:$BA$1843,"&gt;"&amp;BA73)+SUMIFS($AX$7:$AX$1843,$BY$7:$BY$1843,BY73,$BA$7:$BA$1843,BA73,$BQ$7:$BQ$1843,"&lt;="&amp;BQ73),"")</f>
        <v>20.7529644268775</v>
      </c>
      <c r="BC73" s="65" t="n">
        <f aca="false">IF(BB73="",0,MAX(0,MIN(1,(IF(BY73="L1",Parameter!$E$5,Parameter!$E$6+Parameter!$E$7)-(BB73-AX73))/AX73)))</f>
        <v>1</v>
      </c>
      <c r="BD73" s="55" t="str">
        <f aca="false">IF(AH73&lt;=0,"",IF(BY73="Aussen","Aussenlager",IF(BY73="-","Nicht im Lift",IF(AM73&gt;=1,"Lift",IF(AM73&lt;=0,"Aussenlager","teilweise")))))</f>
        <v>Lift</v>
      </c>
      <c r="BE73" s="55" t="str">
        <f aca="false">IF(AP73&lt;=0,"",IF(BY73="Aussen","Aussenlager",IF(BY73="-","Nicht im Lift",IF(AU73&gt;=1,"Lift",IF(AU73&lt;=0,"Aussenlager","teilweise")))))</f>
        <v>Lift</v>
      </c>
      <c r="BF73" s="55" t="str">
        <f aca="false">IF(AX73&lt;=0,"",IF(BY73="Aussen","Aussenlager",IF(BY73="-","Nicht im Lift",IF(BC73&gt;=1,"Lift",IF(BC73&lt;=0,"Aussenlager","teilweise")))))</f>
        <v>Lift</v>
      </c>
      <c r="BG73" s="55" t="str">
        <f aca="false">IF(A73="","",IF(BP73=1,"Neu; ","")&amp;IF(AND(BP73=0,BK73&lt;0),"negativer Bestand (Export "&amp;BK73&amp;"); ","")&amp;IF(J73&lt;=0,"Kein Verbrauch; ","")&amp;IF(CH73&gt;0,"Lift "&amp;W73&amp;" lt. Liftbericht (Fach "&amp;X73&amp;" Stk); ",IF(BU73=1,"Gebinde geschätzt ("&amp;T73&amp;"); ",IF(BT73=1,"Lose – Tablare geschätzt; ","")))&amp;IF(H73&gt;AR73,"Überbestand "&amp;ROUND(H73-AR73,0)&amp;" Stk / CHF "&amp;ROUND((H73-AR73)*G73,0)&amp;"; ","")&amp;IF(AND(CA73=1,CB73&lt;CC73),"MAX &lt; MB+LG; ","")&amp;IF(AND(CG73&gt;0,CF73*10&gt;CG73),"zu hoch für Tablar; ","")&amp;IF(AND(BP73=0,OR(CA73=1,AA73&lt;&gt;"",U73&lt;&gt;"",V73&lt;&gt;"",AB73&lt;&gt;"")),"manuell übersteuert; ","")&amp;IF(AND(BT73=0,R73=0),"Gebinde unbekannt / Stellmass fehlt; ","")&amp;IF(AND(BT73=0,N(V73)&lt;=0,N(Q73)&lt;=0),"Menge pro Gebinde fehlt (Ist = 1 Gebinde); ","")&amp;BO73)</f>
        <v/>
      </c>
      <c r="BH73" s="55"/>
      <c r="BI73" s="55"/>
      <c r="BJ73" s="62"/>
      <c r="BK73" s="57" t="n">
        <v>20</v>
      </c>
      <c r="BL73" s="57" t="n">
        <v>19</v>
      </c>
      <c r="BM73" s="56" t="n">
        <v>3430.65000000001</v>
      </c>
      <c r="BN73" s="57" t="n">
        <v>97</v>
      </c>
      <c r="BO73" s="55"/>
      <c r="BP73" s="60" t="n">
        <v>0</v>
      </c>
      <c r="BQ73" s="60" t="n">
        <v>73</v>
      </c>
      <c r="BR73" s="55" t="str">
        <f aca="false">IF(U73&lt;&gt;"",UPPER(TRIM(U73)),IF(BU73=1,UPPER(VLOOKUP(T73,Parameter!$I$27:$K$29,2,0)),IF(P73="","LOSE",P73)))</f>
        <v>S51</v>
      </c>
      <c r="BS73" s="57" t="n">
        <f aca="false">IF(BR73="LOSE",1,IF(N(V73)&gt;0,V73,IF(BU73=1,MAX(1,N(VLOOKUP(T73,Parameter!$I$27:$K$29,3,0)),H73,N(N73)),IF(N(Q73)&gt;0,Q73,MAX(1,H73)))))</f>
        <v>31</v>
      </c>
      <c r="BT73" s="60" t="n">
        <f aca="false">IF(BR73="LOSE",1,0)</f>
        <v>0</v>
      </c>
      <c r="BU73" s="60" t="n">
        <f aca="false">IF(AND(U73="",OR(P73="",P73="LOSE"),T73&lt;&gt;"",N(S73)&lt;=0,ISNUMBER(MATCH(T73,Parameter!$I$27:$I$29,0))),1,0)</f>
        <v>0</v>
      </c>
      <c r="BV73" s="55" t="str">
        <f aca="false">IF(AND(Parameter!$B$19="Ja",E73&lt;&gt;"",ISNUMBER(MATCH(E73,Parameter!$I$35:$I$52,0))),VLOOKUP(E73,Parameter!$I$35:$J$52,2,0),IFERROR(VLOOKUP(D73,Parameter!$A$35:$C$64,2,0),"Nein"))</f>
        <v>2+3</v>
      </c>
      <c r="BW73" s="59" t="n">
        <f aca="false">IF(BT73=0,0,IF(N(S73)&gt;0,S73,IFERROR(VLOOKUP(D73,Parameter!$A$35:$C$64,3,0)+0,0)))</f>
        <v>0</v>
      </c>
      <c r="BX73" s="55" t="n">
        <f aca="false">IF(AA73&lt;&gt;"",AA73,Z73)</f>
        <v>3</v>
      </c>
      <c r="BY73" s="55" t="str">
        <f aca="false">IF(BX73=1,"L1",IF(OR(BX73=2,BX73=3),"L23",IF(BX73="Aussen","Aussen","-")))</f>
        <v>L23</v>
      </c>
      <c r="BZ73" s="66" t="n">
        <f aca="false">IF(N(AB73)&gt;0,AB73,0)</f>
        <v>0</v>
      </c>
      <c r="CA73" s="60" t="n">
        <f aca="false">IF(ISNUMBER(AE73),1,0)</f>
        <v>0</v>
      </c>
      <c r="CB73" s="57" t="n">
        <f aca="false">N(AE73)</f>
        <v>0</v>
      </c>
      <c r="CC73" s="57" t="n">
        <f aca="false">N(M73)+N(N73)</f>
        <v>50</v>
      </c>
      <c r="CD73" s="57" t="n">
        <f aca="false">ROUNDUP(H73/BS73,0)</f>
        <v>2</v>
      </c>
      <c r="CE73" s="57" t="n">
        <f aca="false">ROUNDUP(CB73/BS73,0)</f>
        <v>0</v>
      </c>
      <c r="CF73" s="60" t="n">
        <f aca="false">IF(BT73=1,0,IFERROR(VLOOKUP(BR73,'Gebinde-Kategorie'!$A$5:$M$45,5,0)+0,0))</f>
        <v>11</v>
      </c>
      <c r="CG73" s="60" t="n">
        <f aca="false">IFERROR(IF(OR(BX73=1,BX73=2,BX73=3),N(INDEX(Parameter!$I$5:$I$7,BX73)),0),0)</f>
        <v>0</v>
      </c>
      <c r="CH73" s="59" t="n">
        <f aca="false">IF(AND(Parameter!$B$21="Ja",ISNUMBER(W73),N(X73)&gt;0),IFERROR(N(INDEX(Parameter!$L$5:$L$7,W73))*INDEX(Parameter!$E$5:$E$7,W73)*X73/SUMIFS($X$7:$X$1843,$W$7:$W$1843,W73),0),0)</f>
        <v>0</v>
      </c>
    </row>
    <row r="74" customFormat="false" ht="15" hidden="false" customHeight="false" outlineLevel="0" collapsed="false">
      <c r="A74" s="55" t="s">
        <v>351</v>
      </c>
      <c r="B74" s="55" t="s">
        <v>352</v>
      </c>
      <c r="C74" s="55" t="s">
        <v>164</v>
      </c>
      <c r="D74" s="55" t="s">
        <v>353</v>
      </c>
      <c r="E74" s="55"/>
      <c r="F74" s="55" t="s">
        <v>218</v>
      </c>
      <c r="G74" s="56" t="n">
        <v>3398.79</v>
      </c>
      <c r="H74" s="57" t="n">
        <f aca="false">MAX(0,IF(AND(Parameter!$B$21="Ja",ISNUMBER(Y74)),Y74,IF(Parameter!$B$20="Jahresanfang 2025 + Export",BL74+BK74,BK74)))</f>
        <v>1</v>
      </c>
      <c r="I74" s="57" t="n">
        <f aca="false">H74*G74</f>
        <v>3398.79</v>
      </c>
      <c r="J74" s="57" t="n">
        <f aca="false">BN74*Parameter!$B$18</f>
        <v>0</v>
      </c>
      <c r="K74" s="58" t="n">
        <v>0.5</v>
      </c>
      <c r="L74" s="59" t="n">
        <v>0</v>
      </c>
      <c r="M74" s="57" t="n">
        <v>0</v>
      </c>
      <c r="N74" s="57" t="n">
        <v>1</v>
      </c>
      <c r="O74" s="60" t="n">
        <v>0</v>
      </c>
      <c r="P74" s="55" t="s">
        <v>168</v>
      </c>
      <c r="Q74" s="57"/>
      <c r="R74" s="60" t="n">
        <f aca="false">IF(BT74=1,0,IFERROR(VLOOKUP(BR74,'Gebinde-Kategorie'!$A$5:$M$45,13,0)+0,0))</f>
        <v>0</v>
      </c>
      <c r="S74" s="61"/>
      <c r="T74" s="62"/>
      <c r="U74" s="62"/>
      <c r="V74" s="62"/>
      <c r="W74" s="55"/>
      <c r="X74" s="57"/>
      <c r="Y74" s="57"/>
      <c r="Z74" s="55" t="str">
        <f aca="false">IF(A74="","",IF(AND(Parameter!$B$21="Ja",ISNUMBER(W74)),W74,IF(BV74="2+3",IF(ISNUMBER(SEARCH("grosser Artikel",BO74)),2,IFERROR(VLOOKUP(BR74,Parameter!$F$35:$G$64,2,0),2)),IF(OR(BV74="Nein",BV74=""),"-",BV74))))</f>
        <v>-</v>
      </c>
      <c r="AA74" s="62"/>
      <c r="AB74" s="63"/>
      <c r="AC74" s="57" t="n">
        <f aca="false">AR74</f>
        <v>1</v>
      </c>
      <c r="AD74" s="57" t="n">
        <f aca="false">MAX(AR74,H74)</f>
        <v>1</v>
      </c>
      <c r="AE74" s="64"/>
      <c r="AF74" s="57" t="n">
        <f aca="false">IF(LEFT(Cockpit!$C$5,1)="A",H74,IF(CA74=1,CB74,IF(LEFT(Cockpit!$C$5,1)="B",AJ74,MAX(AJ74,H74))))</f>
        <v>1</v>
      </c>
      <c r="AG74" s="57" t="n">
        <f aca="false">IF(BT74=1,0,ROUNDUP(AF74/BS74,0))</f>
        <v>0</v>
      </c>
      <c r="AH74" s="59" t="n">
        <f aca="false">IF(CH74&gt;0,CH74*MAX(1,AF74/X74),IF(BT74=1,IF(AF74&lt;=0,0,BW74*MAX(1,IF(H74&gt;0,AF74/H74,1))),IF(R74&gt;0,AG74/R74,0))/MAX(0.1,N(Parameter!$M$21)))</f>
        <v>0.15</v>
      </c>
      <c r="AI74" s="57" t="n">
        <f aca="false">AF74*G74</f>
        <v>3398.79</v>
      </c>
      <c r="AJ74" s="57" t="n">
        <f aca="false">ROUNDUP(MAX(J74/IF(BZ74&gt;0,BZ74,MAX(0.1,N(Cockpit!$C$6))),CC74)/BS74,0)*BS74</f>
        <v>1</v>
      </c>
      <c r="AK74" s="58" t="n">
        <f aca="false">IF(AH74&gt;0,J74/AH74,-1)</f>
        <v>0</v>
      </c>
      <c r="AL74" s="58" t="str">
        <f aca="false">IF(AND(OR(BY74="L1",BY74="L23"),AH74&gt;0),SUMIFS($AH$7:$AH$1843,$BY$7:$BY$1843,BY74,$AK$7:$AK$1843,"&gt;"&amp;AK74)+SUMIFS($AH$7:$AH$1843,$BY$7:$BY$1843,BY74,$AK$7:$AK$1843,AK74,$BQ$7:$BQ$1843,"&lt;="&amp;BQ74),"")</f>
        <v/>
      </c>
      <c r="AM74" s="65" t="n">
        <f aca="false">IF(AL74="",0,MAX(0,MIN(1,(IF(BY74="L1",Parameter!$E$5,Parameter!$E$6+Parameter!$E$7)-(AL74-AH74))/AH74)))</f>
        <v>0</v>
      </c>
      <c r="AN74" s="57" t="n">
        <f aca="false">IF(LEFT(Cockpit!$I$5,1)="A",H74,IF(CA74=1,CB74,IF(LEFT(Cockpit!$I$5,1)="B",AR74,MAX(AR74,H74))))</f>
        <v>1</v>
      </c>
      <c r="AO74" s="57" t="n">
        <f aca="false">IF(BT74=1,0,ROUNDUP(AN74/BS74,0))</f>
        <v>0</v>
      </c>
      <c r="AP74" s="59" t="n">
        <f aca="false">IF(CH74&gt;0,CH74*MAX(1,AN74/X74),IF(BT74=1,IF(AN74&lt;=0,0,BW74*MAX(1,IF(H74&gt;0,AN74/H74,1))),IF(R74&gt;0,AO74/R74,0))/MAX(0.1,N(Parameter!$M$21)))</f>
        <v>0.15</v>
      </c>
      <c r="AQ74" s="57" t="n">
        <f aca="false">AN74*G74</f>
        <v>3398.79</v>
      </c>
      <c r="AR74" s="57" t="n">
        <f aca="false">ROUNDUP(MAX(J74/IF(BZ74&gt;0,BZ74,MAX(0.1,N(Cockpit!$I$6))),CC74)/BS74,0)*BS74</f>
        <v>1</v>
      </c>
      <c r="AS74" s="58" t="n">
        <f aca="false">IF(AP74&gt;0,J74/AP74,-1)</f>
        <v>0</v>
      </c>
      <c r="AT74" s="58" t="str">
        <f aca="false">IF(AND(OR(BY74="L1",BY74="L23"),AP74&gt;0),SUMIFS($AP$7:$AP$1843,$BY$7:$BY$1843,BY74,$AS$7:$AS$1843,"&gt;"&amp;AS74)+SUMIFS($AP$7:$AP$1843,$BY$7:$BY$1843,BY74,$AS$7:$AS$1843,AS74,$BQ$7:$BQ$1843,"&lt;="&amp;BQ74),"")</f>
        <v/>
      </c>
      <c r="AU74" s="65" t="n">
        <f aca="false">IF(AT74="",0,MAX(0,MIN(1,(IF(BY74="L1",Parameter!$E$5,Parameter!$E$6+Parameter!$E$7)-(AT74-AP74))/AP74)))</f>
        <v>0</v>
      </c>
      <c r="AV74" s="57" t="n">
        <f aca="false">IF(LEFT(Cockpit!$O$5,1)="A",H74,IF(CA74=1,CB74,IF(LEFT(Cockpit!$O$5,1)="B",AZ74,MAX(AZ74,H74))))</f>
        <v>1</v>
      </c>
      <c r="AW74" s="57" t="n">
        <f aca="false">IF(BT74=1,0,ROUNDUP(AV74/BS74,0))</f>
        <v>0</v>
      </c>
      <c r="AX74" s="59" t="n">
        <f aca="false">IF(CH74&gt;0,CH74*MAX(1,AV74/X74),IF(BT74=1,IF(AV74&lt;=0,0,BW74*MAX(1,IF(H74&gt;0,AV74/H74,1))),IF(R74&gt;0,AW74/R74,0))/MAX(0.1,N(Parameter!$M$21)))</f>
        <v>0.15</v>
      </c>
      <c r="AY74" s="57" t="n">
        <f aca="false">AV74*G74</f>
        <v>3398.79</v>
      </c>
      <c r="AZ74" s="57" t="n">
        <f aca="false">ROUNDUP(MAX(J74/IF(BZ74&gt;0,BZ74,MAX(0.1,N(Cockpit!$O$6))),CC74)/BS74,0)*BS74</f>
        <v>1</v>
      </c>
      <c r="BA74" s="58" t="n">
        <f aca="false">IF(AX74&gt;0,J74/AX74,-1)</f>
        <v>0</v>
      </c>
      <c r="BB74" s="58" t="str">
        <f aca="false">IF(AND(OR(BY74="L1",BY74="L23"),AX74&gt;0),SUMIFS($AX$7:$AX$1843,$BY$7:$BY$1843,BY74,$BA$7:$BA$1843,"&gt;"&amp;BA74)+SUMIFS($AX$7:$AX$1843,$BY$7:$BY$1843,BY74,$BA$7:$BA$1843,BA74,$BQ$7:$BQ$1843,"&lt;="&amp;BQ74),"")</f>
        <v/>
      </c>
      <c r="BC74" s="65" t="n">
        <f aca="false">IF(BB74="",0,MAX(0,MIN(1,(IF(BY74="L1",Parameter!$E$5,Parameter!$E$6+Parameter!$E$7)-(BB74-AX74))/AX74)))</f>
        <v>0</v>
      </c>
      <c r="BD74" s="55" t="str">
        <f aca="false">IF(AH74&lt;=0,"",IF(BY74="Aussen","Aussenlager",IF(BY74="-","Nicht im Lift",IF(AM74&gt;=1,"Lift",IF(AM74&lt;=0,"Aussenlager","teilweise")))))</f>
        <v>Nicht im Lift</v>
      </c>
      <c r="BE74" s="55" t="str">
        <f aca="false">IF(AP74&lt;=0,"",IF(BY74="Aussen","Aussenlager",IF(BY74="-","Nicht im Lift",IF(AU74&gt;=1,"Lift",IF(AU74&lt;=0,"Aussenlager","teilweise")))))</f>
        <v>Nicht im Lift</v>
      </c>
      <c r="BF74" s="55" t="str">
        <f aca="false">IF(AX74&lt;=0,"",IF(BY74="Aussen","Aussenlager",IF(BY74="-","Nicht im Lift",IF(BC74&gt;=1,"Lift",IF(BC74&lt;=0,"Aussenlager","teilweise")))))</f>
        <v>Nicht im Lift</v>
      </c>
      <c r="BG74" s="55" t="str">
        <f aca="false">IF(A74="","",IF(BP74=1,"Neu; ","")&amp;IF(AND(BP74=0,BK74&lt;0),"negativer Bestand (Export "&amp;BK74&amp;"); ","")&amp;IF(J74&lt;=0,"Kein Verbrauch; ","")&amp;IF(CH74&gt;0,"Lift "&amp;W74&amp;" lt. Liftbericht (Fach "&amp;X74&amp;" Stk); ",IF(BU74=1,"Gebinde geschätzt ("&amp;T74&amp;"); ",IF(BT74=1,"Lose – Tablare geschätzt; ","")))&amp;IF(H74&gt;AR74,"Überbestand "&amp;ROUND(H74-AR74,0)&amp;" Stk / CHF "&amp;ROUND((H74-AR74)*G74,0)&amp;"; ","")&amp;IF(AND(CA74=1,CB74&lt;CC74),"MAX &lt; MB+LG; ","")&amp;IF(AND(CG74&gt;0,CF74*10&gt;CG74),"zu hoch für Tablar; ","")&amp;IF(AND(BP74=0,OR(CA74=1,AA74&lt;&gt;"",U74&lt;&gt;"",V74&lt;&gt;"",AB74&lt;&gt;"")),"manuell übersteuert; ","")&amp;IF(AND(BT74=0,R74=0),"Gebinde unbekannt / Stellmass fehlt; ","")&amp;IF(AND(BT74=0,N(V74)&lt;=0,N(Q74)&lt;=0),"Menge pro Gebinde fehlt (Ist = 1 Gebinde); ","")&amp;BO74)</f>
        <v>Kein Verbrauch; Lose – Tablare geschätzt; </v>
      </c>
      <c r="BH74" s="55"/>
      <c r="BI74" s="55"/>
      <c r="BJ74" s="62"/>
      <c r="BK74" s="57" t="n">
        <v>1</v>
      </c>
      <c r="BL74" s="57" t="n">
        <v>0</v>
      </c>
      <c r="BM74" s="56" t="n">
        <v>3398.79</v>
      </c>
      <c r="BN74" s="57" t="n">
        <v>0</v>
      </c>
      <c r="BO74" s="55"/>
      <c r="BP74" s="60" t="n">
        <v>0</v>
      </c>
      <c r="BQ74" s="60" t="n">
        <v>74</v>
      </c>
      <c r="BR74" s="55" t="str">
        <f aca="false">IF(U74&lt;&gt;"",UPPER(TRIM(U74)),IF(BU74=1,UPPER(VLOOKUP(T74,Parameter!$I$27:$K$29,2,0)),IF(P74="","LOSE",P74)))</f>
        <v>LOSE</v>
      </c>
      <c r="BS74" s="57" t="n">
        <f aca="false">IF(BR74="LOSE",1,IF(N(V74)&gt;0,V74,IF(BU74=1,MAX(1,N(VLOOKUP(T74,Parameter!$I$27:$K$29,3,0)),H74,N(N74)),IF(N(Q74)&gt;0,Q74,MAX(1,H74)))))</f>
        <v>1</v>
      </c>
      <c r="BT74" s="60" t="n">
        <f aca="false">IF(BR74="LOSE",1,0)</f>
        <v>1</v>
      </c>
      <c r="BU74" s="60" t="n">
        <f aca="false">IF(AND(U74="",OR(P74="",P74="LOSE"),T74&lt;&gt;"",N(S74)&lt;=0,ISNUMBER(MATCH(T74,Parameter!$I$27:$I$29,0))),1,0)</f>
        <v>0</v>
      </c>
      <c r="BV74" s="55" t="str">
        <f aca="false">IF(AND(Parameter!$B$19="Ja",E74&lt;&gt;"",ISNUMBER(MATCH(E74,Parameter!$I$35:$I$52,0))),VLOOKUP(E74,Parameter!$I$35:$J$52,2,0),IFERROR(VLOOKUP(D74,Parameter!$A$35:$C$64,2,0),"Nein"))</f>
        <v>Nein</v>
      </c>
      <c r="BW74" s="59" t="n">
        <f aca="false">IF(BT74=0,0,IF(N(S74)&gt;0,S74,IFERROR(VLOOKUP(D74,Parameter!$A$35:$C$64,3,0)+0,0)))</f>
        <v>0.15</v>
      </c>
      <c r="BX74" s="55" t="str">
        <f aca="false">IF(AA74&lt;&gt;"",AA74,Z74)</f>
        <v>-</v>
      </c>
      <c r="BY74" s="55" t="str">
        <f aca="false">IF(BX74=1,"L1",IF(OR(BX74=2,BX74=3),"L23",IF(BX74="Aussen","Aussen","-")))</f>
        <v>-</v>
      </c>
      <c r="BZ74" s="66" t="n">
        <f aca="false">IF(N(AB74)&gt;0,AB74,0)</f>
        <v>0</v>
      </c>
      <c r="CA74" s="60" t="n">
        <f aca="false">IF(ISNUMBER(AE74),1,0)</f>
        <v>0</v>
      </c>
      <c r="CB74" s="57" t="n">
        <f aca="false">N(AE74)</f>
        <v>0</v>
      </c>
      <c r="CC74" s="57" t="n">
        <f aca="false">N(M74)+N(N74)</f>
        <v>1</v>
      </c>
      <c r="CD74" s="57" t="n">
        <f aca="false">ROUNDUP(H74/BS74,0)</f>
        <v>1</v>
      </c>
      <c r="CE74" s="57" t="n">
        <f aca="false">ROUNDUP(CB74/BS74,0)</f>
        <v>0</v>
      </c>
      <c r="CF74" s="60" t="n">
        <f aca="false">IF(BT74=1,0,IFERROR(VLOOKUP(BR74,'Gebinde-Kategorie'!$A$5:$M$45,5,0)+0,0))</f>
        <v>0</v>
      </c>
      <c r="CG74" s="60" t="n">
        <f aca="false">IFERROR(IF(OR(BX74=1,BX74=2,BX74=3),N(INDEX(Parameter!$I$5:$I$7,BX74)),0),0)</f>
        <v>0</v>
      </c>
      <c r="CH74" s="59" t="n">
        <f aca="false">IF(AND(Parameter!$B$21="Ja",ISNUMBER(W74),N(X74)&gt;0),IFERROR(N(INDEX(Parameter!$L$5:$L$7,W74))*INDEX(Parameter!$E$5:$E$7,W74)*X74/SUMIFS($X$7:$X$1843,$W$7:$W$1843,W74),0),0)</f>
        <v>0</v>
      </c>
    </row>
    <row r="75" customFormat="false" ht="15" hidden="false" customHeight="false" outlineLevel="0" collapsed="false">
      <c r="A75" s="55" t="s">
        <v>354</v>
      </c>
      <c r="B75" s="55" t="s">
        <v>355</v>
      </c>
      <c r="C75" s="55" t="s">
        <v>164</v>
      </c>
      <c r="D75" s="55" t="s">
        <v>173</v>
      </c>
      <c r="E75" s="55"/>
      <c r="F75" s="55" t="s">
        <v>218</v>
      </c>
      <c r="G75" s="56" t="n">
        <v>674.15</v>
      </c>
      <c r="H75" s="57" t="n">
        <f aca="false">MAX(0,IF(AND(Parameter!$B$21="Ja",ISNUMBER(Y75)),Y75,IF(Parameter!$B$20="Jahresanfang 2025 + Export",BL75+BK75,BK75)))</f>
        <v>2</v>
      </c>
      <c r="I75" s="57" t="n">
        <f aca="false">H75*G75</f>
        <v>1348.3</v>
      </c>
      <c r="J75" s="57" t="n">
        <f aca="false">BN75*Parameter!$B$18</f>
        <v>0</v>
      </c>
      <c r="K75" s="58" t="n">
        <v>0</v>
      </c>
      <c r="L75" s="59" t="n">
        <v>0</v>
      </c>
      <c r="M75" s="57" t="n">
        <v>0</v>
      </c>
      <c r="N75" s="57" t="n">
        <v>5</v>
      </c>
      <c r="O75" s="60" t="n">
        <v>9999</v>
      </c>
      <c r="P75" s="55" t="s">
        <v>168</v>
      </c>
      <c r="Q75" s="57"/>
      <c r="R75" s="60" t="n">
        <f aca="false">IF(BT75=1,0,IFERROR(VLOOKUP(BR75,'Gebinde-Kategorie'!$A$5:$M$45,13,0)+0,0))</f>
        <v>0</v>
      </c>
      <c r="S75" s="61"/>
      <c r="T75" s="62"/>
      <c r="U75" s="62"/>
      <c r="V75" s="62"/>
      <c r="W75" s="55" t="n">
        <v>1</v>
      </c>
      <c r="X75" s="57" t="n">
        <v>4</v>
      </c>
      <c r="Y75" s="57" t="n">
        <v>2</v>
      </c>
      <c r="Z75" s="55" t="n">
        <f aca="false">IF(A75="","",IF(AND(Parameter!$B$21="Ja",ISNUMBER(W75)),W75,IF(BV75="2+3",IF(ISNUMBER(SEARCH("grosser Artikel",BO75)),2,IFERROR(VLOOKUP(BR75,Parameter!$F$35:$G$64,2,0),2)),IF(OR(BV75="Nein",BV75=""),"-",BV75))))</f>
        <v>1</v>
      </c>
      <c r="AA75" s="62"/>
      <c r="AB75" s="63"/>
      <c r="AC75" s="57" t="n">
        <f aca="false">AR75</f>
        <v>5</v>
      </c>
      <c r="AD75" s="57" t="n">
        <f aca="false">MAX(AR75,H75)</f>
        <v>5</v>
      </c>
      <c r="AE75" s="64"/>
      <c r="AF75" s="57" t="n">
        <f aca="false">IF(LEFT(Cockpit!$C$5,1)="A",H75,IF(CA75=1,CB75,IF(LEFT(Cockpit!$C$5,1)="B",AJ75,MAX(AJ75,H75))))</f>
        <v>2</v>
      </c>
      <c r="AG75" s="57" t="n">
        <f aca="false">IF(BT75=1,0,ROUNDUP(AF75/BS75,0))</f>
        <v>0</v>
      </c>
      <c r="AH75" s="59" t="n">
        <f aca="false">IF(CH75&gt;0,CH75*MAX(1,AF75/X75),IF(BT75=1,IF(AF75&lt;=0,0,BW75*MAX(1,IF(H75&gt;0,AF75/H75,1))),IF(R75&gt;0,AG75/R75,0))/MAX(0.1,N(Parameter!$M$21)))</f>
        <v>0.32015065913371</v>
      </c>
      <c r="AI75" s="57" t="n">
        <f aca="false">AF75*G75</f>
        <v>1348.3</v>
      </c>
      <c r="AJ75" s="57" t="n">
        <f aca="false">ROUNDUP(MAX(J75/IF(BZ75&gt;0,BZ75,MAX(0.1,N(Cockpit!$C$6))),CC75)/BS75,0)*BS75</f>
        <v>5</v>
      </c>
      <c r="AK75" s="58" t="n">
        <f aca="false">IF(AH75&gt;0,J75/AH75,-1)</f>
        <v>0</v>
      </c>
      <c r="AL75" s="58" t="n">
        <f aca="false">IF(AND(OR(BY75="L1",BY75="L23"),AH75&gt;0),SUMIFS($AH$7:$AH$1843,$BY$7:$BY$1843,BY75,$AK$7:$AK$1843,"&gt;"&amp;AK75)+SUMIFS($AH$7:$AH$1843,$BY$7:$BY$1843,BY75,$AK$7:$AK$1843,AK75,$BQ$7:$BQ$1843,"&lt;="&amp;BQ75),"")</f>
        <v>49.24895288123</v>
      </c>
      <c r="AM75" s="65" t="n">
        <f aca="false">IF(AL75="",0,MAX(0,MIN(1,(IF(BY75="L1",Parameter!$E$5,Parameter!$E$6+Parameter!$E$7)-(AL75-AH75))/AH75)))</f>
        <v>1</v>
      </c>
      <c r="AN75" s="57" t="n">
        <f aca="false">IF(LEFT(Cockpit!$I$5,1)="A",H75,IF(CA75=1,CB75,IF(LEFT(Cockpit!$I$5,1)="B",AR75,MAX(AR75,H75))))</f>
        <v>5</v>
      </c>
      <c r="AO75" s="57" t="n">
        <f aca="false">IF(BT75=1,0,ROUNDUP(AN75/BS75,0))</f>
        <v>0</v>
      </c>
      <c r="AP75" s="59" t="n">
        <f aca="false">IF(CH75&gt;0,CH75*MAX(1,AN75/X75),IF(BT75=1,IF(AN75&lt;=0,0,BW75*MAX(1,IF(H75&gt;0,AN75/H75,1))),IF(R75&gt;0,AO75/R75,0))/MAX(0.1,N(Parameter!$M$21)))</f>
        <v>0.400188323917138</v>
      </c>
      <c r="AQ75" s="57" t="n">
        <f aca="false">AN75*G75</f>
        <v>3370.75</v>
      </c>
      <c r="AR75" s="57" t="n">
        <f aca="false">ROUNDUP(MAX(J75/IF(BZ75&gt;0,BZ75,MAX(0.1,N(Cockpit!$I$6))),CC75)/BS75,0)*BS75</f>
        <v>5</v>
      </c>
      <c r="AS75" s="58" t="n">
        <f aca="false">IF(AP75&gt;0,J75/AP75,-1)</f>
        <v>0</v>
      </c>
      <c r="AT75" s="58" t="n">
        <f aca="false">IF(AND(OR(BY75="L1",BY75="L23"),AP75&gt;0),SUMIFS($AP$7:$AP$1843,$BY$7:$BY$1843,BY75,$AS$7:$AS$1843,"&gt;"&amp;AS75)+SUMIFS($AP$7:$AP$1843,$BY$7:$BY$1843,BY75,$AS$7:$AS$1843,AS75,$BQ$7:$BQ$1843,"&lt;="&amp;BQ75),"")</f>
        <v>64.7618458263263</v>
      </c>
      <c r="AU75" s="65" t="n">
        <f aca="false">IF(AT75="",0,MAX(0,MIN(1,(IF(BY75="L1",Parameter!$E$5,Parameter!$E$6+Parameter!$E$7)-(AT75-AP75))/AP75)))</f>
        <v>0</v>
      </c>
      <c r="AV75" s="57" t="n">
        <f aca="false">IF(LEFT(Cockpit!$O$5,1)="A",H75,IF(CA75=1,CB75,IF(LEFT(Cockpit!$O$5,1)="B",AZ75,MAX(AZ75,H75))))</f>
        <v>5</v>
      </c>
      <c r="AW75" s="57" t="n">
        <f aca="false">IF(BT75=1,0,ROUNDUP(AV75/BS75,0))</f>
        <v>0</v>
      </c>
      <c r="AX75" s="59" t="n">
        <f aca="false">IF(CH75&gt;0,CH75*MAX(1,AV75/X75),IF(BT75=1,IF(AV75&lt;=0,0,BW75*MAX(1,IF(H75&gt;0,AV75/H75,1))),IF(R75&gt;0,AW75/R75,0))/MAX(0.1,N(Parameter!$M$21)))</f>
        <v>0.400188323917138</v>
      </c>
      <c r="AY75" s="57" t="n">
        <f aca="false">AV75*G75</f>
        <v>3370.75</v>
      </c>
      <c r="AZ75" s="57" t="n">
        <f aca="false">ROUNDUP(MAX(J75/IF(BZ75&gt;0,BZ75,MAX(0.1,N(Cockpit!$O$6))),CC75)/BS75,0)*BS75</f>
        <v>5</v>
      </c>
      <c r="BA75" s="58" t="n">
        <f aca="false">IF(AX75&gt;0,J75/AX75,-1)</f>
        <v>0</v>
      </c>
      <c r="BB75" s="58" t="n">
        <f aca="false">IF(AND(OR(BY75="L1",BY75="L23"),AX75&gt;0),SUMIFS($AX$7:$AX$1843,$BY$7:$BY$1843,BY75,$BA$7:$BA$1843,"&gt;"&amp;BA75)+SUMIFS($AX$7:$AX$1843,$BY$7:$BY$1843,BY75,$BA$7:$BA$1843,BA75,$BQ$7:$BQ$1843,"&lt;="&amp;BQ75),"")</f>
        <v>58.4286573575446</v>
      </c>
      <c r="BC75" s="65" t="n">
        <f aca="false">IF(BB75="",0,MAX(0,MIN(1,(IF(BY75="L1",Parameter!$E$5,Parameter!$E$6+Parameter!$E$7)-(BB75-AX75))/AX75)))</f>
        <v>0</v>
      </c>
      <c r="BD75" s="55" t="str">
        <f aca="false">IF(AH75&lt;=0,"",IF(BY75="Aussen","Aussenlager",IF(BY75="-","Nicht im Lift",IF(AM75&gt;=1,"Lift",IF(AM75&lt;=0,"Aussenlager","teilweise")))))</f>
        <v>Lift</v>
      </c>
      <c r="BE75" s="55" t="str">
        <f aca="false">IF(AP75&lt;=0,"",IF(BY75="Aussen","Aussenlager",IF(BY75="-","Nicht im Lift",IF(AU75&gt;=1,"Lift",IF(AU75&lt;=0,"Aussenlager","teilweise")))))</f>
        <v>Aussenlager</v>
      </c>
      <c r="BF75" s="55" t="str">
        <f aca="false">IF(AX75&lt;=0,"",IF(BY75="Aussen","Aussenlager",IF(BY75="-","Nicht im Lift",IF(BC75&gt;=1,"Lift",IF(BC75&lt;=0,"Aussenlager","teilweise")))))</f>
        <v>Aussenlager</v>
      </c>
      <c r="BG75" s="55" t="str">
        <f aca="false">IF(A75="","",IF(BP75=1,"Neu; ","")&amp;IF(AND(BP75=0,BK75&lt;0),"negativer Bestand (Export "&amp;BK75&amp;"); ","")&amp;IF(J75&lt;=0,"Kein Verbrauch; ","")&amp;IF(CH75&gt;0,"Lift "&amp;W75&amp;" lt. Liftbericht (Fach "&amp;X75&amp;" Stk); ",IF(BU75=1,"Gebinde geschätzt ("&amp;T75&amp;"); ",IF(BT75=1,"Lose – Tablare geschätzt; ","")))&amp;IF(H75&gt;AR75,"Überbestand "&amp;ROUND(H75-AR75,0)&amp;" Stk / CHF "&amp;ROUND((H75-AR75)*G75,0)&amp;"; ","")&amp;IF(AND(CA75=1,CB75&lt;CC75),"MAX &lt; MB+LG; ","")&amp;IF(AND(CG75&gt;0,CF75*10&gt;CG75),"zu hoch für Tablar; ","")&amp;IF(AND(BP75=0,OR(CA75=1,AA75&lt;&gt;"",U75&lt;&gt;"",V75&lt;&gt;"",AB75&lt;&gt;"")),"manuell übersteuert; ","")&amp;IF(AND(BT75=0,R75=0),"Gebinde unbekannt / Stellmass fehlt; ","")&amp;IF(AND(BT75=0,N(V75)&lt;=0,N(Q75)&lt;=0),"Menge pro Gebinde fehlt (Ist = 1 Gebinde); ","")&amp;BO75)</f>
        <v>Kein Verbrauch; Lift 1 lt. Liftbericht (Fach 4 Stk); </v>
      </c>
      <c r="BH75" s="55" t="s">
        <v>356</v>
      </c>
      <c r="BI75" s="55" t="s">
        <v>345</v>
      </c>
      <c r="BJ75" s="62"/>
      <c r="BK75" s="57" t="n">
        <v>5</v>
      </c>
      <c r="BL75" s="57" t="n">
        <v>0</v>
      </c>
      <c r="BM75" s="56" t="n">
        <v>3370.75</v>
      </c>
      <c r="BN75" s="57" t="n">
        <v>0</v>
      </c>
      <c r="BO75" s="55"/>
      <c r="BP75" s="60" t="n">
        <v>0</v>
      </c>
      <c r="BQ75" s="60" t="n">
        <v>75</v>
      </c>
      <c r="BR75" s="55" t="str">
        <f aca="false">IF(U75&lt;&gt;"",UPPER(TRIM(U75)),IF(BU75=1,UPPER(VLOOKUP(T75,Parameter!$I$27:$K$29,2,0)),IF(P75="","LOSE",P75)))</f>
        <v>LOSE</v>
      </c>
      <c r="BS75" s="57" t="n">
        <f aca="false">IF(BR75="LOSE",1,IF(N(V75)&gt;0,V75,IF(BU75=1,MAX(1,N(VLOOKUP(T75,Parameter!$I$27:$K$29,3,0)),H75,N(N75)),IF(N(Q75)&gt;0,Q75,MAX(1,H75)))))</f>
        <v>1</v>
      </c>
      <c r="BT75" s="60" t="n">
        <f aca="false">IF(BR75="LOSE",1,0)</f>
        <v>1</v>
      </c>
      <c r="BU75" s="60" t="n">
        <f aca="false">IF(AND(U75="",OR(P75="",P75="LOSE"),T75&lt;&gt;"",N(S75)&lt;=0,ISNUMBER(MATCH(T75,Parameter!$I$27:$I$29,0))),1,0)</f>
        <v>0</v>
      </c>
      <c r="BV75" s="55" t="str">
        <f aca="false">IF(AND(Parameter!$B$19="Ja",E75&lt;&gt;"",ISNUMBER(MATCH(E75,Parameter!$I$35:$I$52,0))),VLOOKUP(E75,Parameter!$I$35:$J$52,2,0),IFERROR(VLOOKUP(D75,Parameter!$A$35:$C$64,2,0),"Nein"))</f>
        <v>2+3</v>
      </c>
      <c r="BW75" s="59" t="n">
        <f aca="false">IF(BT75=0,0,IF(N(S75)&gt;0,S75,IFERROR(VLOOKUP(D75,Parameter!$A$35:$C$64,3,0)+0,0)))</f>
        <v>0.15</v>
      </c>
      <c r="BX75" s="55" t="n">
        <f aca="false">IF(AA75&lt;&gt;"",AA75,Z75)</f>
        <v>1</v>
      </c>
      <c r="BY75" s="55" t="str">
        <f aca="false">IF(BX75=1,"L1",IF(OR(BX75=2,BX75=3),"L23",IF(BX75="Aussen","Aussen","-")))</f>
        <v>L1</v>
      </c>
      <c r="BZ75" s="66" t="n">
        <f aca="false">IF(N(AB75)&gt;0,AB75,0)</f>
        <v>0</v>
      </c>
      <c r="CA75" s="60" t="n">
        <f aca="false">IF(ISNUMBER(AE75),1,0)</f>
        <v>0</v>
      </c>
      <c r="CB75" s="57" t="n">
        <f aca="false">N(AE75)</f>
        <v>0</v>
      </c>
      <c r="CC75" s="57" t="n">
        <f aca="false">N(M75)+N(N75)</f>
        <v>5</v>
      </c>
      <c r="CD75" s="57" t="n">
        <f aca="false">ROUNDUP(H75/BS75,0)</f>
        <v>2</v>
      </c>
      <c r="CE75" s="57" t="n">
        <f aca="false">ROUNDUP(CB75/BS75,0)</f>
        <v>0</v>
      </c>
      <c r="CF75" s="60" t="n">
        <f aca="false">IF(BT75=1,0,IFERROR(VLOOKUP(BR75,'Gebinde-Kategorie'!$A$5:$M$45,5,0)+0,0))</f>
        <v>0</v>
      </c>
      <c r="CG75" s="60" t="n">
        <f aca="false">IFERROR(IF(OR(BX75=1,BX75=2,BX75=3),N(INDEX(Parameter!$I$5:$I$7,BX75)),0),0)</f>
        <v>0</v>
      </c>
      <c r="CH75" s="59" t="n">
        <f aca="false">IF(AND(Parameter!$B$21="Ja",ISNUMBER(W75),N(X75)&gt;0),IFERROR(N(INDEX(Parameter!$L$5:$L$7,W75))*INDEX(Parameter!$E$5:$E$7,W75)*X75/SUMIFS($X$7:$X$1843,$W$7:$W$1843,W75),0),0)</f>
        <v>0.32015065913371</v>
      </c>
    </row>
    <row r="76" customFormat="false" ht="15" hidden="false" customHeight="false" outlineLevel="0" collapsed="false">
      <c r="A76" s="55" t="s">
        <v>357</v>
      </c>
      <c r="B76" s="55" t="s">
        <v>358</v>
      </c>
      <c r="C76" s="55" t="s">
        <v>164</v>
      </c>
      <c r="D76" s="55" t="s">
        <v>173</v>
      </c>
      <c r="E76" s="55" t="s">
        <v>185</v>
      </c>
      <c r="F76" s="55" t="s">
        <v>218</v>
      </c>
      <c r="G76" s="56" t="n">
        <v>186.8</v>
      </c>
      <c r="H76" s="57" t="n">
        <f aca="false">MAX(0,IF(AND(Parameter!$B$21="Ja",ISNUMBER(Y76)),Y76,IF(Parameter!$B$20="Jahresanfang 2025 + Export",BL76+BK76,BK76)))</f>
        <v>19</v>
      </c>
      <c r="I76" s="57" t="n">
        <f aca="false">H76*G76</f>
        <v>3549.2</v>
      </c>
      <c r="J76" s="57" t="n">
        <f aca="false">BN76*Parameter!$B$18</f>
        <v>46</v>
      </c>
      <c r="K76" s="58" t="n">
        <v>8</v>
      </c>
      <c r="L76" s="59" t="n">
        <v>5.75</v>
      </c>
      <c r="M76" s="57" t="n">
        <v>5</v>
      </c>
      <c r="N76" s="57" t="n">
        <v>25</v>
      </c>
      <c r="O76" s="60" t="n">
        <v>49</v>
      </c>
      <c r="P76" s="55" t="s">
        <v>174</v>
      </c>
      <c r="Q76" s="57" t="n">
        <v>13</v>
      </c>
      <c r="R76" s="60" t="n">
        <f aca="false">IF(BT76=1,0,IFERROR(VLOOKUP(BR76,'Gebinde-Kategorie'!$A$5:$M$45,13,0)+0,0))</f>
        <v>6</v>
      </c>
      <c r="S76" s="61"/>
      <c r="T76" s="62"/>
      <c r="U76" s="62"/>
      <c r="V76" s="62"/>
      <c r="W76" s="55"/>
      <c r="X76" s="57"/>
      <c r="Y76" s="57"/>
      <c r="Z76" s="55" t="n">
        <f aca="false">IF(A76="","",IF(AND(Parameter!$B$21="Ja",ISNUMBER(W76)),W76,IF(BV76="2+3",IF(ISNUMBER(SEARCH("grosser Artikel",BO76)),2,IFERROR(VLOOKUP(BR76,Parameter!$F$35:$G$64,2,0),2)),IF(OR(BV76="Nein",BV76=""),"-",BV76))))</f>
        <v>2</v>
      </c>
      <c r="AA76" s="62"/>
      <c r="AB76" s="63"/>
      <c r="AC76" s="57" t="n">
        <f aca="false">AR76</f>
        <v>39</v>
      </c>
      <c r="AD76" s="57" t="n">
        <f aca="false">MAX(AR76,H76)</f>
        <v>39</v>
      </c>
      <c r="AE76" s="64"/>
      <c r="AF76" s="57" t="n">
        <f aca="false">IF(LEFT(Cockpit!$C$5,1)="A",H76,IF(CA76=1,CB76,IF(LEFT(Cockpit!$C$5,1)="B",AJ76,MAX(AJ76,H76))))</f>
        <v>19</v>
      </c>
      <c r="AG76" s="57" t="n">
        <f aca="false">IF(BT76=1,0,ROUNDUP(AF76/BS76,0))</f>
        <v>2</v>
      </c>
      <c r="AH76" s="59" t="n">
        <f aca="false">IF(CH76&gt;0,CH76*MAX(1,AF76/X76),IF(BT76=1,IF(AF76&lt;=0,0,BW76*MAX(1,IF(H76&gt;0,AF76/H76,1))),IF(R76&gt;0,AG76/R76,0))/MAX(0.1,N(Parameter!$M$21)))</f>
        <v>0.333333333333333</v>
      </c>
      <c r="AI76" s="57" t="n">
        <f aca="false">AF76*G76</f>
        <v>3549.2</v>
      </c>
      <c r="AJ76" s="57" t="n">
        <f aca="false">ROUNDUP(MAX(J76/IF(BZ76&gt;0,BZ76,MAX(0.1,N(Cockpit!$C$6))),CC76)/BS76,0)*BS76</f>
        <v>39</v>
      </c>
      <c r="AK76" s="58" t="n">
        <f aca="false">IF(AH76&gt;0,J76/AH76,-1)</f>
        <v>138</v>
      </c>
      <c r="AL76" s="58" t="n">
        <f aca="false">IF(AND(OR(BY76="L1",BY76="L23"),AH76&gt;0),SUMIFS($AH$7:$AH$1843,$BY$7:$BY$1843,BY76,$AK$7:$AK$1843,"&gt;"&amp;AK76)+SUMIFS($AH$7:$AH$1843,$BY$7:$BY$1843,BY76,$AK$7:$AK$1843,AK76,$BQ$7:$BQ$1843,"&lt;="&amp;BQ76),"")</f>
        <v>35.6559744603223</v>
      </c>
      <c r="AM76" s="65" t="n">
        <f aca="false">IF(AL76="",0,MAX(0,MIN(1,(IF(BY76="L1",Parameter!$E$5,Parameter!$E$6+Parameter!$E$7)-(AL76-AH76))/AH76)))</f>
        <v>1</v>
      </c>
      <c r="AN76" s="57" t="n">
        <f aca="false">IF(LEFT(Cockpit!$I$5,1)="A",H76,IF(CA76=1,CB76,IF(LEFT(Cockpit!$I$5,1)="B",AR76,MAX(AR76,H76))))</f>
        <v>39</v>
      </c>
      <c r="AO76" s="57" t="n">
        <f aca="false">IF(BT76=1,0,ROUNDUP(AN76/BS76,0))</f>
        <v>3</v>
      </c>
      <c r="AP76" s="59" t="n">
        <f aca="false">IF(CH76&gt;0,CH76*MAX(1,AN76/X76),IF(BT76=1,IF(AN76&lt;=0,0,BW76*MAX(1,IF(H76&gt;0,AN76/H76,1))),IF(R76&gt;0,AO76/R76,0))/MAX(0.1,N(Parameter!$M$21)))</f>
        <v>0.5</v>
      </c>
      <c r="AQ76" s="57" t="n">
        <f aca="false">AN76*G76</f>
        <v>7285.2</v>
      </c>
      <c r="AR76" s="57" t="n">
        <f aca="false">ROUNDUP(MAX(J76/IF(BZ76&gt;0,BZ76,MAX(0.1,N(Cockpit!$I$6))),CC76)/BS76,0)*BS76</f>
        <v>39</v>
      </c>
      <c r="AS76" s="58" t="n">
        <f aca="false">IF(AP76&gt;0,J76/AP76,-1)</f>
        <v>92</v>
      </c>
      <c r="AT76" s="58" t="n">
        <f aca="false">IF(AND(OR(BY76="L1",BY76="L23"),AP76&gt;0),SUMIFS($AP$7:$AP$1843,$BY$7:$BY$1843,BY76,$AS$7:$AS$1843,"&gt;"&amp;AS76)+SUMIFS($AP$7:$AP$1843,$BY$7:$BY$1843,BY76,$AS$7:$AS$1843,AS76,$BQ$7:$BQ$1843,"&lt;="&amp;BQ76),"")</f>
        <v>60.4406270058444</v>
      </c>
      <c r="AU76" s="65" t="n">
        <f aca="false">IF(AT76="",0,MAX(0,MIN(1,(IF(BY76="L1",Parameter!$E$5,Parameter!$E$6+Parameter!$E$7)-(AT76-AP76))/AP76)))</f>
        <v>1</v>
      </c>
      <c r="AV76" s="57" t="n">
        <f aca="false">IF(LEFT(Cockpit!$O$5,1)="A",H76,IF(CA76=1,CB76,IF(LEFT(Cockpit!$O$5,1)="B",AZ76,MAX(AZ76,H76))))</f>
        <v>39</v>
      </c>
      <c r="AW76" s="57" t="n">
        <f aca="false">IF(BT76=1,0,ROUNDUP(AV76/BS76,0))</f>
        <v>3</v>
      </c>
      <c r="AX76" s="59" t="n">
        <f aca="false">IF(CH76&gt;0,CH76*MAX(1,AV76/X76),IF(BT76=1,IF(AV76&lt;=0,0,BW76*MAX(1,IF(H76&gt;0,AV76/H76,1))),IF(R76&gt;0,AW76/R76,0))/MAX(0.1,N(Parameter!$M$21)))</f>
        <v>0.5</v>
      </c>
      <c r="AY76" s="57" t="n">
        <f aca="false">AV76*G76</f>
        <v>7285.2</v>
      </c>
      <c r="AZ76" s="57" t="n">
        <f aca="false">ROUNDUP(MAX(J76/IF(BZ76&gt;0,BZ76,MAX(0.1,N(Cockpit!$O$6))),CC76)/BS76,0)*BS76</f>
        <v>39</v>
      </c>
      <c r="BA76" s="58" t="n">
        <f aca="false">IF(AX76&gt;0,J76/AX76,-1)</f>
        <v>92</v>
      </c>
      <c r="BB76" s="58" t="n">
        <f aca="false">IF(AND(OR(BY76="L1",BY76="L23"),AX76&gt;0),SUMIFS($AX$7:$AX$1843,$BY$7:$BY$1843,BY76,$BA$7:$BA$1843,"&gt;"&amp;BA76)+SUMIFS($AX$7:$AX$1843,$BY$7:$BY$1843,BY76,$BA$7:$BA$1843,BA76,$BQ$7:$BQ$1843,"&lt;="&amp;BQ76),"")</f>
        <v>56.1037971690146</v>
      </c>
      <c r="BC76" s="65" t="n">
        <f aca="false">IF(BB76="",0,MAX(0,MIN(1,(IF(BY76="L1",Parameter!$E$5,Parameter!$E$6+Parameter!$E$7)-(BB76-AX76))/AX76)))</f>
        <v>1</v>
      </c>
      <c r="BD76" s="55" t="str">
        <f aca="false">IF(AH76&lt;=0,"",IF(BY76="Aussen","Aussenlager",IF(BY76="-","Nicht im Lift",IF(AM76&gt;=1,"Lift",IF(AM76&lt;=0,"Aussenlager","teilweise")))))</f>
        <v>Lift</v>
      </c>
      <c r="BE76" s="55" t="str">
        <f aca="false">IF(AP76&lt;=0,"",IF(BY76="Aussen","Aussenlager",IF(BY76="-","Nicht im Lift",IF(AU76&gt;=1,"Lift",IF(AU76&lt;=0,"Aussenlager","teilweise")))))</f>
        <v>Lift</v>
      </c>
      <c r="BF76" s="55" t="str">
        <f aca="false">IF(AX76&lt;=0,"",IF(BY76="Aussen","Aussenlager",IF(BY76="-","Nicht im Lift",IF(BC76&gt;=1,"Lift",IF(BC76&lt;=0,"Aussenlager","teilweise")))))</f>
        <v>Lift</v>
      </c>
      <c r="BG76" s="55" t="str">
        <f aca="false">IF(A76="","",IF(BP76=1,"Neu; ","")&amp;IF(AND(BP76=0,BK76&lt;0),"negativer Bestand (Export "&amp;BK76&amp;"); ","")&amp;IF(J76&lt;=0,"Kein Verbrauch; ","")&amp;IF(CH76&gt;0,"Lift "&amp;W76&amp;" lt. Liftbericht (Fach "&amp;X76&amp;" Stk); ",IF(BU76=1,"Gebinde geschätzt ("&amp;T76&amp;"); ",IF(BT76=1,"Lose – Tablare geschätzt; ","")))&amp;IF(H76&gt;AR76,"Überbestand "&amp;ROUND(H76-AR76,0)&amp;" Stk / CHF "&amp;ROUND((H76-AR76)*G76,0)&amp;"; ","")&amp;IF(AND(CA76=1,CB76&lt;CC76),"MAX &lt; MB+LG; ","")&amp;IF(AND(CG76&gt;0,CF76*10&gt;CG76),"zu hoch für Tablar; ","")&amp;IF(AND(BP76=0,OR(CA76=1,AA76&lt;&gt;"",U76&lt;&gt;"",V76&lt;&gt;"",AB76&lt;&gt;"")),"manuell übersteuert; ","")&amp;IF(AND(BT76=0,R76=0),"Gebinde unbekannt / Stellmass fehlt; ","")&amp;IF(AND(BT76=0,N(V76)&lt;=0,N(Q76)&lt;=0),"Menge pro Gebinde fehlt (Ist = 1 Gebinde); ","")&amp;BO76)</f>
        <v>Überbestand; grosser Artikel &amp; nicht im KTL</v>
      </c>
      <c r="BH76" s="55"/>
      <c r="BI76" s="55"/>
      <c r="BJ76" s="62"/>
      <c r="BK76" s="57" t="n">
        <v>18</v>
      </c>
      <c r="BL76" s="57" t="n">
        <v>1</v>
      </c>
      <c r="BM76" s="56" t="n">
        <v>3364.03</v>
      </c>
      <c r="BN76" s="57" t="n">
        <v>46</v>
      </c>
      <c r="BO76" s="55" t="s">
        <v>359</v>
      </c>
      <c r="BP76" s="60" t="n">
        <v>0</v>
      </c>
      <c r="BQ76" s="60" t="n">
        <v>76</v>
      </c>
      <c r="BR76" s="55" t="str">
        <f aca="false">IF(U76&lt;&gt;"",UPPER(TRIM(U76)),IF(BU76=1,UPPER(VLOOKUP(T76,Parameter!$I$27:$K$29,2,0)),IF(P76="","LOSE",P76)))</f>
        <v>S71</v>
      </c>
      <c r="BS76" s="57" t="n">
        <f aca="false">IF(BR76="LOSE",1,IF(N(V76)&gt;0,V76,IF(BU76=1,MAX(1,N(VLOOKUP(T76,Parameter!$I$27:$K$29,3,0)),H76,N(N76)),IF(N(Q76)&gt;0,Q76,MAX(1,H76)))))</f>
        <v>13</v>
      </c>
      <c r="BT76" s="60" t="n">
        <f aca="false">IF(BR76="LOSE",1,0)</f>
        <v>0</v>
      </c>
      <c r="BU76" s="60" t="n">
        <f aca="false">IF(AND(U76="",OR(P76="",P76="LOSE"),T76&lt;&gt;"",N(S76)&lt;=0,ISNUMBER(MATCH(T76,Parameter!$I$27:$I$29,0))),1,0)</f>
        <v>0</v>
      </c>
      <c r="BV76" s="55" t="str">
        <f aca="false">IF(AND(Parameter!$B$19="Ja",E76&lt;&gt;"",ISNUMBER(MATCH(E76,Parameter!$I$35:$I$52,0))),VLOOKUP(E76,Parameter!$I$35:$J$52,2,0),IFERROR(VLOOKUP(D76,Parameter!$A$35:$C$64,2,0),"Nein"))</f>
        <v>2+3</v>
      </c>
      <c r="BW76" s="59" t="n">
        <f aca="false">IF(BT76=0,0,IF(N(S76)&gt;0,S76,IFERROR(VLOOKUP(D76,Parameter!$A$35:$C$64,3,0)+0,0)))</f>
        <v>0</v>
      </c>
      <c r="BX76" s="55" t="n">
        <f aca="false">IF(AA76&lt;&gt;"",AA76,Z76)</f>
        <v>2</v>
      </c>
      <c r="BY76" s="55" t="str">
        <f aca="false">IF(BX76=1,"L1",IF(OR(BX76=2,BX76=3),"L23",IF(BX76="Aussen","Aussen","-")))</f>
        <v>L23</v>
      </c>
      <c r="BZ76" s="66" t="n">
        <f aca="false">IF(N(AB76)&gt;0,AB76,0)</f>
        <v>0</v>
      </c>
      <c r="CA76" s="60" t="n">
        <f aca="false">IF(ISNUMBER(AE76),1,0)</f>
        <v>0</v>
      </c>
      <c r="CB76" s="57" t="n">
        <f aca="false">N(AE76)</f>
        <v>0</v>
      </c>
      <c r="CC76" s="57" t="n">
        <f aca="false">N(M76)+N(N76)</f>
        <v>30</v>
      </c>
      <c r="CD76" s="57" t="n">
        <f aca="false">ROUNDUP(H76/BS76,0)</f>
        <v>2</v>
      </c>
      <c r="CE76" s="57" t="n">
        <f aca="false">ROUNDUP(CB76/BS76,0)</f>
        <v>0</v>
      </c>
      <c r="CF76" s="60" t="n">
        <f aca="false">IF(BT76=1,0,IFERROR(VLOOKUP(BR76,'Gebinde-Kategorie'!$A$5:$M$45,5,0)+0,0))</f>
        <v>20</v>
      </c>
      <c r="CG76" s="60" t="n">
        <f aca="false">IFERROR(IF(OR(BX76=1,BX76=2,BX76=3),N(INDEX(Parameter!$I$5:$I$7,BX76)),0),0)</f>
        <v>0</v>
      </c>
      <c r="CH76" s="59" t="n">
        <f aca="false">IF(AND(Parameter!$B$21="Ja",ISNUMBER(W76),N(X76)&gt;0),IFERROR(N(INDEX(Parameter!$L$5:$L$7,W76))*INDEX(Parameter!$E$5:$E$7,W76)*X76/SUMIFS($X$7:$X$1843,$W$7:$W$1843,W76),0),0)</f>
        <v>0</v>
      </c>
    </row>
    <row r="77" customFormat="false" ht="15" hidden="false" customHeight="false" outlineLevel="0" collapsed="false">
      <c r="A77" s="55" t="s">
        <v>360</v>
      </c>
      <c r="B77" s="55" t="s">
        <v>361</v>
      </c>
      <c r="C77" s="55" t="s">
        <v>164</v>
      </c>
      <c r="D77" s="55" t="s">
        <v>173</v>
      </c>
      <c r="E77" s="55"/>
      <c r="F77" s="55" t="s">
        <v>218</v>
      </c>
      <c r="G77" s="56" t="n">
        <v>553.67</v>
      </c>
      <c r="H77" s="57" t="n">
        <f aca="false">MAX(0,IF(AND(Parameter!$B$21="Ja",ISNUMBER(Y77)),Y77,IF(Parameter!$B$20="Jahresanfang 2025 + Export",BL77+BK77,BK77)))</f>
        <v>6</v>
      </c>
      <c r="I77" s="57" t="n">
        <f aca="false">H77*G77</f>
        <v>3322.02</v>
      </c>
      <c r="J77" s="57" t="n">
        <f aca="false">BN77*Parameter!$B$18</f>
        <v>18</v>
      </c>
      <c r="K77" s="58" t="n">
        <v>7</v>
      </c>
      <c r="L77" s="59" t="n">
        <v>2.57142857142857</v>
      </c>
      <c r="M77" s="57" t="n">
        <v>3</v>
      </c>
      <c r="N77" s="57" t="n">
        <v>10</v>
      </c>
      <c r="O77" s="60" t="n">
        <v>63</v>
      </c>
      <c r="P77" s="55" t="s">
        <v>174</v>
      </c>
      <c r="Q77" s="57" t="n">
        <v>20</v>
      </c>
      <c r="R77" s="60" t="n">
        <f aca="false">IF(BT77=1,0,IFERROR(VLOOKUP(BR77,'Gebinde-Kategorie'!$A$5:$M$45,13,0)+0,0))</f>
        <v>6</v>
      </c>
      <c r="S77" s="61"/>
      <c r="T77" s="62"/>
      <c r="U77" s="62"/>
      <c r="V77" s="62"/>
      <c r="W77" s="55"/>
      <c r="X77" s="57"/>
      <c r="Y77" s="57"/>
      <c r="Z77" s="55" t="n">
        <f aca="false">IF(A77="","",IF(AND(Parameter!$B$21="Ja",ISNUMBER(W77)),W77,IF(BV77="2+3",IF(ISNUMBER(SEARCH("grosser Artikel",BO77)),2,IFERROR(VLOOKUP(BR77,Parameter!$F$35:$G$64,2,0),2)),IF(OR(BV77="Nein",BV77=""),"-",BV77))))</f>
        <v>2</v>
      </c>
      <c r="AA77" s="62"/>
      <c r="AB77" s="63"/>
      <c r="AC77" s="57" t="n">
        <f aca="false">AR77</f>
        <v>20</v>
      </c>
      <c r="AD77" s="57" t="n">
        <f aca="false">MAX(AR77,H77)</f>
        <v>20</v>
      </c>
      <c r="AE77" s="64"/>
      <c r="AF77" s="57" t="n">
        <f aca="false">IF(LEFT(Cockpit!$C$5,1)="A",H77,IF(CA77=1,CB77,IF(LEFT(Cockpit!$C$5,1)="B",AJ77,MAX(AJ77,H77))))</f>
        <v>6</v>
      </c>
      <c r="AG77" s="57" t="n">
        <f aca="false">IF(BT77=1,0,ROUNDUP(AF77/BS77,0))</f>
        <v>1</v>
      </c>
      <c r="AH77" s="59" t="n">
        <f aca="false">IF(CH77&gt;0,CH77*MAX(1,AF77/X77),IF(BT77=1,IF(AF77&lt;=0,0,BW77*MAX(1,IF(H77&gt;0,AF77/H77,1))),IF(R77&gt;0,AG77/R77,0))/MAX(0.1,N(Parameter!$M$21)))</f>
        <v>0.166666666666667</v>
      </c>
      <c r="AI77" s="57" t="n">
        <f aca="false">AF77*G77</f>
        <v>3322.02</v>
      </c>
      <c r="AJ77" s="57" t="n">
        <f aca="false">ROUNDUP(MAX(J77/IF(BZ77&gt;0,BZ77,MAX(0.1,N(Cockpit!$C$6))),CC77)/BS77,0)*BS77</f>
        <v>20</v>
      </c>
      <c r="AK77" s="58" t="n">
        <f aca="false">IF(AH77&gt;0,J77/AH77,-1)</f>
        <v>108</v>
      </c>
      <c r="AL77" s="58" t="n">
        <f aca="false">IF(AND(OR(BY77="L1",BY77="L23"),AH77&gt;0),SUMIFS($AH$7:$AH$1843,$BY$7:$BY$1843,BY77,$AK$7:$AK$1843,"&gt;"&amp;AK77)+SUMIFS($AH$7:$AH$1843,$BY$7:$BY$1843,BY77,$AK$7:$AK$1843,AK77,$BQ$7:$BQ$1843,"&lt;="&amp;BQ77),"")</f>
        <v>37.873923178271</v>
      </c>
      <c r="AM77" s="65" t="n">
        <f aca="false">IF(AL77="",0,MAX(0,MIN(1,(IF(BY77="L1",Parameter!$E$5,Parameter!$E$6+Parameter!$E$7)-(AL77-AH77))/AH77)))</f>
        <v>1</v>
      </c>
      <c r="AN77" s="57" t="n">
        <f aca="false">IF(LEFT(Cockpit!$I$5,1)="A",H77,IF(CA77=1,CB77,IF(LEFT(Cockpit!$I$5,1)="B",AR77,MAX(AR77,H77))))</f>
        <v>20</v>
      </c>
      <c r="AO77" s="57" t="n">
        <f aca="false">IF(BT77=1,0,ROUNDUP(AN77/BS77,0))</f>
        <v>1</v>
      </c>
      <c r="AP77" s="59" t="n">
        <f aca="false">IF(CH77&gt;0,CH77*MAX(1,AN77/X77),IF(BT77=1,IF(AN77&lt;=0,0,BW77*MAX(1,IF(H77&gt;0,AN77/H77,1))),IF(R77&gt;0,AO77/R77,0))/MAX(0.1,N(Parameter!$M$21)))</f>
        <v>0.166666666666667</v>
      </c>
      <c r="AQ77" s="57" t="n">
        <f aca="false">AN77*G77</f>
        <v>11073.4</v>
      </c>
      <c r="AR77" s="57" t="n">
        <f aca="false">ROUNDUP(MAX(J77/IF(BZ77&gt;0,BZ77,MAX(0.1,N(Cockpit!$I$6))),CC77)/BS77,0)*BS77</f>
        <v>20</v>
      </c>
      <c r="AS77" s="58" t="n">
        <f aca="false">IF(AP77&gt;0,J77/AP77,-1)</f>
        <v>108</v>
      </c>
      <c r="AT77" s="58" t="n">
        <f aca="false">IF(AND(OR(BY77="L1",BY77="L23"),AP77&gt;0),SUMIFS($AP$7:$AP$1843,$BY$7:$BY$1843,BY77,$AS$7:$AS$1843,"&gt;"&amp;AS77)+SUMIFS($AP$7:$AP$1843,$BY$7:$BY$1843,BY77,$AS$7:$AS$1843,AS77,$BQ$7:$BQ$1843,"&lt;="&amp;BQ77),"")</f>
        <v>56.061450626668</v>
      </c>
      <c r="AU77" s="65" t="n">
        <f aca="false">IF(AT77="",0,MAX(0,MIN(1,(IF(BY77="L1",Parameter!$E$5,Parameter!$E$6+Parameter!$E$7)-(AT77-AP77))/AP77)))</f>
        <v>1</v>
      </c>
      <c r="AV77" s="57" t="n">
        <f aca="false">IF(LEFT(Cockpit!$O$5,1)="A",H77,IF(CA77=1,CB77,IF(LEFT(Cockpit!$O$5,1)="B",AZ77,MAX(AZ77,H77))))</f>
        <v>20</v>
      </c>
      <c r="AW77" s="57" t="n">
        <f aca="false">IF(BT77=1,0,ROUNDUP(AV77/BS77,0))</f>
        <v>1</v>
      </c>
      <c r="AX77" s="59" t="n">
        <f aca="false">IF(CH77&gt;0,CH77*MAX(1,AV77/X77),IF(BT77=1,IF(AV77&lt;=0,0,BW77*MAX(1,IF(H77&gt;0,AV77/H77,1))),IF(R77&gt;0,AW77/R77,0))/MAX(0.1,N(Parameter!$M$21)))</f>
        <v>0.166666666666667</v>
      </c>
      <c r="AY77" s="57" t="n">
        <f aca="false">AV77*G77</f>
        <v>11073.4</v>
      </c>
      <c r="AZ77" s="57" t="n">
        <f aca="false">ROUNDUP(MAX(J77/IF(BZ77&gt;0,BZ77,MAX(0.1,N(Cockpit!$O$6))),CC77)/BS77,0)*BS77</f>
        <v>20</v>
      </c>
      <c r="BA77" s="58" t="n">
        <f aca="false">IF(AX77&gt;0,J77/AX77,-1)</f>
        <v>108</v>
      </c>
      <c r="BB77" s="58" t="n">
        <f aca="false">IF(AND(OR(BY77="L1",BY77="L23"),AX77&gt;0),SUMIFS($AX$7:$AX$1843,$BY$7:$BY$1843,BY77,$BA$7:$BA$1843,"&gt;"&amp;BA77)+SUMIFS($AX$7:$AX$1843,$BY$7:$BY$1843,BY77,$BA$7:$BA$1843,BA77,$BQ$7:$BQ$1843,"&lt;="&amp;BQ77),"")</f>
        <v>53.8912874565049</v>
      </c>
      <c r="BC77" s="65" t="n">
        <f aca="false">IF(BB77="",0,MAX(0,MIN(1,(IF(BY77="L1",Parameter!$E$5,Parameter!$E$6+Parameter!$E$7)-(BB77-AX77))/AX77)))</f>
        <v>1</v>
      </c>
      <c r="BD77" s="55" t="str">
        <f aca="false">IF(AH77&lt;=0,"",IF(BY77="Aussen","Aussenlager",IF(BY77="-","Nicht im Lift",IF(AM77&gt;=1,"Lift",IF(AM77&lt;=0,"Aussenlager","teilweise")))))</f>
        <v>Lift</v>
      </c>
      <c r="BE77" s="55" t="str">
        <f aca="false">IF(AP77&lt;=0,"",IF(BY77="Aussen","Aussenlager",IF(BY77="-","Nicht im Lift",IF(AU77&gt;=1,"Lift",IF(AU77&lt;=0,"Aussenlager","teilweise")))))</f>
        <v>Lift</v>
      </c>
      <c r="BF77" s="55" t="str">
        <f aca="false">IF(AX77&lt;=0,"",IF(BY77="Aussen","Aussenlager",IF(BY77="-","Nicht im Lift",IF(BC77&gt;=1,"Lift",IF(BC77&lt;=0,"Aussenlager","teilweise")))))</f>
        <v>Lift</v>
      </c>
      <c r="BG77" s="55" t="str">
        <f aca="false">IF(A77="","",IF(BP77=1,"Neu; ","")&amp;IF(AND(BP77=0,BK77&lt;0),"negativer Bestand (Export "&amp;BK77&amp;"); ","")&amp;IF(J77&lt;=0,"Kein Verbrauch; ","")&amp;IF(CH77&gt;0,"Lift "&amp;W77&amp;" lt. Liftbericht (Fach "&amp;X77&amp;" Stk); ",IF(BU77=1,"Gebinde geschätzt ("&amp;T77&amp;"); ",IF(BT77=1,"Lose – Tablare geschätzt; ","")))&amp;IF(H77&gt;AR77,"Überbestand "&amp;ROUND(H77-AR77,0)&amp;" Stk / CHF "&amp;ROUND((H77-AR77)*G77,0)&amp;"; ","")&amp;IF(AND(CA77=1,CB77&lt;CC77),"MAX &lt; MB+LG; ","")&amp;IF(AND(CG77&gt;0,CF77*10&gt;CG77),"zu hoch für Tablar; ","")&amp;IF(AND(BP77=0,OR(CA77=1,AA77&lt;&gt;"",U77&lt;&gt;"",V77&lt;&gt;"",AB77&lt;&gt;"")),"manuell übersteuert; ","")&amp;IF(AND(BT77=0,R77=0),"Gebinde unbekannt / Stellmass fehlt; ","")&amp;IF(AND(BT77=0,N(V77)&lt;=0,N(Q77)&lt;=0),"Menge pro Gebinde fehlt (Ist = 1 Gebinde); ","")&amp;BO77)</f>
        <v/>
      </c>
      <c r="BH77" s="55"/>
      <c r="BI77" s="55"/>
      <c r="BJ77" s="62"/>
      <c r="BK77" s="57" t="n">
        <v>6</v>
      </c>
      <c r="BL77" s="57" t="n">
        <v>0</v>
      </c>
      <c r="BM77" s="56" t="n">
        <v>3322.02</v>
      </c>
      <c r="BN77" s="57" t="n">
        <v>18</v>
      </c>
      <c r="BO77" s="55"/>
      <c r="BP77" s="60" t="n">
        <v>0</v>
      </c>
      <c r="BQ77" s="60" t="n">
        <v>77</v>
      </c>
      <c r="BR77" s="55" t="str">
        <f aca="false">IF(U77&lt;&gt;"",UPPER(TRIM(U77)),IF(BU77=1,UPPER(VLOOKUP(T77,Parameter!$I$27:$K$29,2,0)),IF(P77="","LOSE",P77)))</f>
        <v>S71</v>
      </c>
      <c r="BS77" s="57" t="n">
        <f aca="false">IF(BR77="LOSE",1,IF(N(V77)&gt;0,V77,IF(BU77=1,MAX(1,N(VLOOKUP(T77,Parameter!$I$27:$K$29,3,0)),H77,N(N77)),IF(N(Q77)&gt;0,Q77,MAX(1,H77)))))</f>
        <v>20</v>
      </c>
      <c r="BT77" s="60" t="n">
        <f aca="false">IF(BR77="LOSE",1,0)</f>
        <v>0</v>
      </c>
      <c r="BU77" s="60" t="n">
        <f aca="false">IF(AND(U77="",OR(P77="",P77="LOSE"),T77&lt;&gt;"",N(S77)&lt;=0,ISNUMBER(MATCH(T77,Parameter!$I$27:$I$29,0))),1,0)</f>
        <v>0</v>
      </c>
      <c r="BV77" s="55" t="str">
        <f aca="false">IF(AND(Parameter!$B$19="Ja",E77&lt;&gt;"",ISNUMBER(MATCH(E77,Parameter!$I$35:$I$52,0))),VLOOKUP(E77,Parameter!$I$35:$J$52,2,0),IFERROR(VLOOKUP(D77,Parameter!$A$35:$C$64,2,0),"Nein"))</f>
        <v>2+3</v>
      </c>
      <c r="BW77" s="59" t="n">
        <f aca="false">IF(BT77=0,0,IF(N(S77)&gt;0,S77,IFERROR(VLOOKUP(D77,Parameter!$A$35:$C$64,3,0)+0,0)))</f>
        <v>0</v>
      </c>
      <c r="BX77" s="55" t="n">
        <f aca="false">IF(AA77&lt;&gt;"",AA77,Z77)</f>
        <v>2</v>
      </c>
      <c r="BY77" s="55" t="str">
        <f aca="false">IF(BX77=1,"L1",IF(OR(BX77=2,BX77=3),"L23",IF(BX77="Aussen","Aussen","-")))</f>
        <v>L23</v>
      </c>
      <c r="BZ77" s="66" t="n">
        <f aca="false">IF(N(AB77)&gt;0,AB77,0)</f>
        <v>0</v>
      </c>
      <c r="CA77" s="60" t="n">
        <f aca="false">IF(ISNUMBER(AE77),1,0)</f>
        <v>0</v>
      </c>
      <c r="CB77" s="57" t="n">
        <f aca="false">N(AE77)</f>
        <v>0</v>
      </c>
      <c r="CC77" s="57" t="n">
        <f aca="false">N(M77)+N(N77)</f>
        <v>13</v>
      </c>
      <c r="CD77" s="57" t="n">
        <f aca="false">ROUNDUP(H77/BS77,0)</f>
        <v>1</v>
      </c>
      <c r="CE77" s="57" t="n">
        <f aca="false">ROUNDUP(CB77/BS77,0)</f>
        <v>0</v>
      </c>
      <c r="CF77" s="60" t="n">
        <f aca="false">IF(BT77=1,0,IFERROR(VLOOKUP(BR77,'Gebinde-Kategorie'!$A$5:$M$45,5,0)+0,0))</f>
        <v>20</v>
      </c>
      <c r="CG77" s="60" t="n">
        <f aca="false">IFERROR(IF(OR(BX77=1,BX77=2,BX77=3),N(INDEX(Parameter!$I$5:$I$7,BX77)),0),0)</f>
        <v>0</v>
      </c>
      <c r="CH77" s="59" t="n">
        <f aca="false">IF(AND(Parameter!$B$21="Ja",ISNUMBER(W77),N(X77)&gt;0),IFERROR(N(INDEX(Parameter!$L$5:$L$7,W77))*INDEX(Parameter!$E$5:$E$7,W77)*X77/SUMIFS($X$7:$X$1843,$W$7:$W$1843,W77),0),0)</f>
        <v>0</v>
      </c>
    </row>
    <row r="78" customFormat="false" ht="15" hidden="false" customHeight="false" outlineLevel="0" collapsed="false">
      <c r="A78" s="55" t="s">
        <v>362</v>
      </c>
      <c r="B78" s="55" t="s">
        <v>363</v>
      </c>
      <c r="C78" s="55" t="s">
        <v>164</v>
      </c>
      <c r="D78" s="55" t="s">
        <v>184</v>
      </c>
      <c r="E78" s="55"/>
      <c r="F78" s="55" t="s">
        <v>218</v>
      </c>
      <c r="G78" s="56" t="n">
        <v>818.16</v>
      </c>
      <c r="H78" s="57" t="n">
        <f aca="false">MAX(0,IF(AND(Parameter!$B$21="Ja",ISNUMBER(Y78)),Y78,IF(Parameter!$B$20="Jahresanfang 2025 + Export",BL78+BK78,BK78)))</f>
        <v>4</v>
      </c>
      <c r="I78" s="57" t="n">
        <f aca="false">H78*G78</f>
        <v>3272.64</v>
      </c>
      <c r="J78" s="57" t="n">
        <f aca="false">BN78*Parameter!$B$18</f>
        <v>1</v>
      </c>
      <c r="K78" s="58" t="n">
        <v>2</v>
      </c>
      <c r="L78" s="59" t="n">
        <v>0.5</v>
      </c>
      <c r="M78" s="57" t="n">
        <v>0</v>
      </c>
      <c r="N78" s="57" t="n">
        <v>1</v>
      </c>
      <c r="O78" s="60" t="n">
        <v>49</v>
      </c>
      <c r="P78" s="55" t="s">
        <v>293</v>
      </c>
      <c r="Q78" s="57" t="n">
        <v>5</v>
      </c>
      <c r="R78" s="60" t="n">
        <f aca="false">IF(BT78=1,0,IFERROR(VLOOKUP(BR78,'Gebinde-Kategorie'!$A$5:$M$45,13,0)+0,0))</f>
        <v>12</v>
      </c>
      <c r="S78" s="61"/>
      <c r="T78" s="62"/>
      <c r="U78" s="62"/>
      <c r="V78" s="62"/>
      <c r="W78" s="55"/>
      <c r="X78" s="57"/>
      <c r="Y78" s="57"/>
      <c r="Z78" s="55" t="n">
        <f aca="false">IF(A78="","",IF(AND(Parameter!$B$21="Ja",ISNUMBER(W78)),W78,IF(BV78="2+3",IF(ISNUMBER(SEARCH("grosser Artikel",BO78)),2,IFERROR(VLOOKUP(BR78,Parameter!$F$35:$G$64,2,0),2)),IF(OR(BV78="Nein",BV78=""),"-",BV78))))</f>
        <v>2</v>
      </c>
      <c r="AA78" s="62"/>
      <c r="AB78" s="63"/>
      <c r="AC78" s="57" t="n">
        <f aca="false">AR78</f>
        <v>5</v>
      </c>
      <c r="AD78" s="57" t="n">
        <f aca="false">MAX(AR78,H78)</f>
        <v>5</v>
      </c>
      <c r="AE78" s="64"/>
      <c r="AF78" s="57" t="n">
        <f aca="false">IF(LEFT(Cockpit!$C$5,1)="A",H78,IF(CA78=1,CB78,IF(LEFT(Cockpit!$C$5,1)="B",AJ78,MAX(AJ78,H78))))</f>
        <v>4</v>
      </c>
      <c r="AG78" s="57" t="n">
        <f aca="false">IF(BT78=1,0,ROUNDUP(AF78/BS78,0))</f>
        <v>1</v>
      </c>
      <c r="AH78" s="59" t="n">
        <f aca="false">IF(CH78&gt;0,CH78*MAX(1,AF78/X78),IF(BT78=1,IF(AF78&lt;=0,0,BW78*MAX(1,IF(H78&gt;0,AF78/H78,1))),IF(R78&gt;0,AG78/R78,0))/MAX(0.1,N(Parameter!$M$21)))</f>
        <v>0.0833333333333333</v>
      </c>
      <c r="AI78" s="57" t="n">
        <f aca="false">AF78*G78</f>
        <v>3272.64</v>
      </c>
      <c r="AJ78" s="57" t="n">
        <f aca="false">ROUNDUP(MAX(J78/IF(BZ78&gt;0,BZ78,MAX(0.1,N(Cockpit!$C$6))),CC78)/BS78,0)*BS78</f>
        <v>5</v>
      </c>
      <c r="AK78" s="58" t="n">
        <f aca="false">IF(AH78&gt;0,J78/AH78,-1)</f>
        <v>12</v>
      </c>
      <c r="AL78" s="58" t="n">
        <f aca="false">IF(AND(OR(BY78="L1",BY78="L23"),AH78&gt;0),SUMIFS($AH$7:$AH$1843,$BY$7:$BY$1843,BY78,$AK$7:$AK$1843,"&gt;"&amp;AK78)+SUMIFS($AH$7:$AH$1843,$BY$7:$BY$1843,BY78,$AK$7:$AK$1843,AK78,$BQ$7:$BQ$1843,"&lt;="&amp;BQ78),"")</f>
        <v>54.0240785784264</v>
      </c>
      <c r="AM78" s="65" t="n">
        <f aca="false">IF(AL78="",0,MAX(0,MIN(1,(IF(BY78="L1",Parameter!$E$5,Parameter!$E$6+Parameter!$E$7)-(AL78-AH78))/AH78)))</f>
        <v>1</v>
      </c>
      <c r="AN78" s="57" t="n">
        <f aca="false">IF(LEFT(Cockpit!$I$5,1)="A",H78,IF(CA78=1,CB78,IF(LEFT(Cockpit!$I$5,1)="B",AR78,MAX(AR78,H78))))</f>
        <v>5</v>
      </c>
      <c r="AO78" s="57" t="n">
        <f aca="false">IF(BT78=1,0,ROUNDUP(AN78/BS78,0))</f>
        <v>1</v>
      </c>
      <c r="AP78" s="59" t="n">
        <f aca="false">IF(CH78&gt;0,CH78*MAX(1,AN78/X78),IF(BT78=1,IF(AN78&lt;=0,0,BW78*MAX(1,IF(H78&gt;0,AN78/H78,1))),IF(R78&gt;0,AO78/R78,0))/MAX(0.1,N(Parameter!$M$21)))</f>
        <v>0.0833333333333333</v>
      </c>
      <c r="AQ78" s="57" t="n">
        <f aca="false">AN78*G78</f>
        <v>4090.8</v>
      </c>
      <c r="AR78" s="57" t="n">
        <f aca="false">ROUNDUP(MAX(J78/IF(BZ78&gt;0,BZ78,MAX(0.1,N(Cockpit!$I$6))),CC78)/BS78,0)*BS78</f>
        <v>5</v>
      </c>
      <c r="AS78" s="58" t="n">
        <f aca="false">IF(AP78&gt;0,J78/AP78,-1)</f>
        <v>12</v>
      </c>
      <c r="AT78" s="58" t="n">
        <f aca="false">IF(AND(OR(BY78="L1",BY78="L23"),AP78&gt;0),SUMIFS($AP$7:$AP$1843,$BY$7:$BY$1843,BY78,$AS$7:$AS$1843,"&gt;"&amp;AS78)+SUMIFS($AP$7:$AP$1843,$BY$7:$BY$1843,BY78,$AS$7:$AS$1843,AS78,$BQ$7:$BQ$1843,"&lt;="&amp;BQ78),"")</f>
        <v>81.0315360967535</v>
      </c>
      <c r="AU78" s="65" t="n">
        <f aca="false">IF(AT78="",0,MAX(0,MIN(1,(IF(BY78="L1",Parameter!$E$5,Parameter!$E$6+Parameter!$E$7)-(AT78-AP78))/AP78)))</f>
        <v>1</v>
      </c>
      <c r="AV78" s="57" t="n">
        <f aca="false">IF(LEFT(Cockpit!$O$5,1)="A",H78,IF(CA78=1,CB78,IF(LEFT(Cockpit!$O$5,1)="B",AZ78,MAX(AZ78,H78))))</f>
        <v>5</v>
      </c>
      <c r="AW78" s="57" t="n">
        <f aca="false">IF(BT78=1,0,ROUNDUP(AV78/BS78,0))</f>
        <v>1</v>
      </c>
      <c r="AX78" s="59" t="n">
        <f aca="false">IF(CH78&gt;0,CH78*MAX(1,AV78/X78),IF(BT78=1,IF(AV78&lt;=0,0,BW78*MAX(1,IF(H78&gt;0,AV78/H78,1))),IF(R78&gt;0,AW78/R78,0))/MAX(0.1,N(Parameter!$M$21)))</f>
        <v>0.0833333333333333</v>
      </c>
      <c r="AY78" s="57" t="n">
        <f aca="false">AV78*G78</f>
        <v>4090.8</v>
      </c>
      <c r="AZ78" s="57" t="n">
        <f aca="false">ROUNDUP(MAX(J78/IF(BZ78&gt;0,BZ78,MAX(0.1,N(Cockpit!$O$6))),CC78)/BS78,0)*BS78</f>
        <v>5</v>
      </c>
      <c r="BA78" s="58" t="n">
        <f aca="false">IF(AX78&gt;0,J78/AX78,-1)</f>
        <v>12</v>
      </c>
      <c r="BB78" s="58" t="n">
        <f aca="false">IF(AND(OR(BY78="L1",BY78="L23"),AX78&gt;0),SUMIFS($AX$7:$AX$1843,$BY$7:$BY$1843,BY78,$BA$7:$BA$1843,"&gt;"&amp;BA78)+SUMIFS($AX$7:$AX$1843,$BY$7:$BY$1843,BY78,$BA$7:$BA$1843,BA78,$BQ$7:$BQ$1843,"&lt;="&amp;BQ78),"")</f>
        <v>80.528039593257</v>
      </c>
      <c r="BC78" s="65" t="n">
        <f aca="false">IF(BB78="",0,MAX(0,MIN(1,(IF(BY78="L1",Parameter!$E$5,Parameter!$E$6+Parameter!$E$7)-(BB78-AX78))/AX78)))</f>
        <v>1</v>
      </c>
      <c r="BD78" s="55" t="str">
        <f aca="false">IF(AH78&lt;=0,"",IF(BY78="Aussen","Aussenlager",IF(BY78="-","Nicht im Lift",IF(AM78&gt;=1,"Lift",IF(AM78&lt;=0,"Aussenlager","teilweise")))))</f>
        <v>Lift</v>
      </c>
      <c r="BE78" s="55" t="str">
        <f aca="false">IF(AP78&lt;=0,"",IF(BY78="Aussen","Aussenlager",IF(BY78="-","Nicht im Lift",IF(AU78&gt;=1,"Lift",IF(AU78&lt;=0,"Aussenlager","teilweise")))))</f>
        <v>Lift</v>
      </c>
      <c r="BF78" s="55" t="str">
        <f aca="false">IF(AX78&lt;=0,"",IF(BY78="Aussen","Aussenlager",IF(BY78="-","Nicht im Lift",IF(BC78&gt;=1,"Lift",IF(BC78&lt;=0,"Aussenlager","teilweise")))))</f>
        <v>Lift</v>
      </c>
      <c r="BG78" s="55" t="str">
        <f aca="false">IF(A78="","",IF(BP78=1,"Neu; ","")&amp;IF(AND(BP78=0,BK78&lt;0),"negativer Bestand (Export "&amp;BK78&amp;"); ","")&amp;IF(J78&lt;=0,"Kein Verbrauch; ","")&amp;IF(CH78&gt;0,"Lift "&amp;W78&amp;" lt. Liftbericht (Fach "&amp;X78&amp;" Stk); ",IF(BU78=1,"Gebinde geschätzt ("&amp;T78&amp;"); ",IF(BT78=1,"Lose – Tablare geschätzt; ","")))&amp;IF(H78&gt;AR78,"Überbestand "&amp;ROUND(H78-AR78,0)&amp;" Stk / CHF "&amp;ROUND((H78-AR78)*G78,0)&amp;"; ","")&amp;IF(AND(CA78=1,CB78&lt;CC78),"MAX &lt; MB+LG; ","")&amp;IF(AND(CG78&gt;0,CF78*10&gt;CG78),"zu hoch für Tablar; ","")&amp;IF(AND(BP78=0,OR(CA78=1,AA78&lt;&gt;"",U78&lt;&gt;"",V78&lt;&gt;"",AB78&lt;&gt;"")),"manuell übersteuert; ","")&amp;IF(AND(BT78=0,R78=0),"Gebinde unbekannt / Stellmass fehlt; ","")&amp;IF(AND(BT78=0,N(V78)&lt;=0,N(Q78)&lt;=0),"Menge pro Gebinde fehlt (Ist = 1 Gebinde); ","")&amp;BO78)</f>
        <v/>
      </c>
      <c r="BH78" s="55"/>
      <c r="BI78" s="55" t="s">
        <v>364</v>
      </c>
      <c r="BJ78" s="62"/>
      <c r="BK78" s="57" t="n">
        <v>4</v>
      </c>
      <c r="BL78" s="57" t="n">
        <v>0</v>
      </c>
      <c r="BM78" s="56" t="n">
        <v>3272.64</v>
      </c>
      <c r="BN78" s="57" t="n">
        <v>1</v>
      </c>
      <c r="BO78" s="55"/>
      <c r="BP78" s="60" t="n">
        <v>0</v>
      </c>
      <c r="BQ78" s="60" t="n">
        <v>78</v>
      </c>
      <c r="BR78" s="55" t="str">
        <f aca="false">IF(U78&lt;&gt;"",UPPER(TRIM(U78)),IF(BU78=1,UPPER(VLOOKUP(T78,Parameter!$I$27:$K$29,2,0)),IF(P78="","LOSE",P78)))</f>
        <v>S62</v>
      </c>
      <c r="BS78" s="57" t="n">
        <f aca="false">IF(BR78="LOSE",1,IF(N(V78)&gt;0,V78,IF(BU78=1,MAX(1,N(VLOOKUP(T78,Parameter!$I$27:$K$29,3,0)),H78,N(N78)),IF(N(Q78)&gt;0,Q78,MAX(1,H78)))))</f>
        <v>5</v>
      </c>
      <c r="BT78" s="60" t="n">
        <f aca="false">IF(BR78="LOSE",1,0)</f>
        <v>0</v>
      </c>
      <c r="BU78" s="60" t="n">
        <f aca="false">IF(AND(U78="",OR(P78="",P78="LOSE"),T78&lt;&gt;"",N(S78)&lt;=0,ISNUMBER(MATCH(T78,Parameter!$I$27:$I$29,0))),1,0)</f>
        <v>0</v>
      </c>
      <c r="BV78" s="55" t="str">
        <f aca="false">IF(AND(Parameter!$B$19="Ja",E78&lt;&gt;"",ISNUMBER(MATCH(E78,Parameter!$I$35:$I$52,0))),VLOOKUP(E78,Parameter!$I$35:$J$52,2,0),IFERROR(VLOOKUP(D78,Parameter!$A$35:$C$64,2,0),"Nein"))</f>
        <v>2+3</v>
      </c>
      <c r="BW78" s="59" t="n">
        <f aca="false">IF(BT78=0,0,IF(N(S78)&gt;0,S78,IFERROR(VLOOKUP(D78,Parameter!$A$35:$C$64,3,0)+0,0)))</f>
        <v>0</v>
      </c>
      <c r="BX78" s="55" t="n">
        <f aca="false">IF(AA78&lt;&gt;"",AA78,Z78)</f>
        <v>2</v>
      </c>
      <c r="BY78" s="55" t="str">
        <f aca="false">IF(BX78=1,"L1",IF(OR(BX78=2,BX78=3),"L23",IF(BX78="Aussen","Aussen","-")))</f>
        <v>L23</v>
      </c>
      <c r="BZ78" s="66" t="n">
        <f aca="false">IF(N(AB78)&gt;0,AB78,0)</f>
        <v>0</v>
      </c>
      <c r="CA78" s="60" t="n">
        <f aca="false">IF(ISNUMBER(AE78),1,0)</f>
        <v>0</v>
      </c>
      <c r="CB78" s="57" t="n">
        <f aca="false">N(AE78)</f>
        <v>0</v>
      </c>
      <c r="CC78" s="57" t="n">
        <f aca="false">N(M78)+N(N78)</f>
        <v>1</v>
      </c>
      <c r="CD78" s="57" t="n">
        <f aca="false">ROUNDUP(H78/BS78,0)</f>
        <v>1</v>
      </c>
      <c r="CE78" s="57" t="n">
        <f aca="false">ROUNDUP(CB78/BS78,0)</f>
        <v>0</v>
      </c>
      <c r="CF78" s="60" t="n">
        <f aca="false">IF(BT78=1,0,IFERROR(VLOOKUP(BR78,'Gebinde-Kategorie'!$A$5:$M$45,5,0)+0,0))</f>
        <v>21</v>
      </c>
      <c r="CG78" s="60" t="n">
        <f aca="false">IFERROR(IF(OR(BX78=1,BX78=2,BX78=3),N(INDEX(Parameter!$I$5:$I$7,BX78)),0),0)</f>
        <v>0</v>
      </c>
      <c r="CH78" s="59" t="n">
        <f aca="false">IF(AND(Parameter!$B$21="Ja",ISNUMBER(W78),N(X78)&gt;0),IFERROR(N(INDEX(Parameter!$L$5:$L$7,W78))*INDEX(Parameter!$E$5:$E$7,W78)*X78/SUMIFS($X$7:$X$1843,$W$7:$W$1843,W78),0),0)</f>
        <v>0</v>
      </c>
    </row>
    <row r="79" customFormat="false" ht="15" hidden="false" customHeight="false" outlineLevel="0" collapsed="false">
      <c r="A79" s="55" t="s">
        <v>365</v>
      </c>
      <c r="B79" s="55" t="s">
        <v>301</v>
      </c>
      <c r="C79" s="55" t="s">
        <v>164</v>
      </c>
      <c r="D79" s="55" t="s">
        <v>184</v>
      </c>
      <c r="E79" s="55" t="s">
        <v>185</v>
      </c>
      <c r="F79" s="55" t="s">
        <v>218</v>
      </c>
      <c r="G79" s="56" t="n">
        <v>349</v>
      </c>
      <c r="H79" s="57" t="n">
        <f aca="false">MAX(0,IF(AND(Parameter!$B$21="Ja",ISNUMBER(Y79)),Y79,IF(Parameter!$B$20="Jahresanfang 2025 + Export",BL79+BK79,BK79)))</f>
        <v>30</v>
      </c>
      <c r="I79" s="57" t="n">
        <f aca="false">H79*G79</f>
        <v>10470</v>
      </c>
      <c r="J79" s="57" t="n">
        <f aca="false">BN79*Parameter!$B$18</f>
        <v>77</v>
      </c>
      <c r="K79" s="58" t="n">
        <v>23</v>
      </c>
      <c r="L79" s="59" t="n">
        <v>3.34782608695652</v>
      </c>
      <c r="M79" s="57" t="n">
        <v>4</v>
      </c>
      <c r="N79" s="57" t="n">
        <v>10</v>
      </c>
      <c r="O79" s="60" t="n">
        <v>21</v>
      </c>
      <c r="P79" s="55" t="s">
        <v>233</v>
      </c>
      <c r="Q79" s="57" t="n">
        <v>35</v>
      </c>
      <c r="R79" s="60" t="n">
        <f aca="false">IF(BT79=1,0,IFERROR(VLOOKUP(BR79,'Gebinde-Kategorie'!$A$5:$M$45,13,0)+0,0))</f>
        <v>26</v>
      </c>
      <c r="S79" s="61"/>
      <c r="T79" s="62"/>
      <c r="U79" s="62"/>
      <c r="V79" s="62"/>
      <c r="W79" s="55"/>
      <c r="X79" s="57"/>
      <c r="Y79" s="57"/>
      <c r="Z79" s="55" t="n">
        <f aca="false">IF(A79="","",IF(AND(Parameter!$B$21="Ja",ISNUMBER(W79)),W79,IF(BV79="2+3",IF(ISNUMBER(SEARCH("grosser Artikel",BO79)),2,IFERROR(VLOOKUP(BR79,Parameter!$F$35:$G$64,2,0),2)),IF(OR(BV79="Nein",BV79=""),"-",BV79))))</f>
        <v>3</v>
      </c>
      <c r="AA79" s="62"/>
      <c r="AB79" s="63"/>
      <c r="AC79" s="57" t="n">
        <f aca="false">AR79</f>
        <v>70</v>
      </c>
      <c r="AD79" s="57" t="n">
        <f aca="false">MAX(AR79,H79)</f>
        <v>70</v>
      </c>
      <c r="AE79" s="64"/>
      <c r="AF79" s="57" t="n">
        <f aca="false">IF(LEFT(Cockpit!$C$5,1)="A",H79,IF(CA79=1,CB79,IF(LEFT(Cockpit!$C$5,1)="B",AJ79,MAX(AJ79,H79))))</f>
        <v>30</v>
      </c>
      <c r="AG79" s="57" t="n">
        <f aca="false">IF(BT79=1,0,ROUNDUP(AF79/BS79,0))</f>
        <v>1</v>
      </c>
      <c r="AH79" s="59" t="n">
        <f aca="false">IF(CH79&gt;0,CH79*MAX(1,AF79/X79),IF(BT79=1,IF(AF79&lt;=0,0,BW79*MAX(1,IF(H79&gt;0,AF79/H79,1))),IF(R79&gt;0,AG79/R79,0))/MAX(0.1,N(Parameter!$M$21)))</f>
        <v>0.0384615384615385</v>
      </c>
      <c r="AI79" s="57" t="n">
        <f aca="false">AF79*G79</f>
        <v>10470</v>
      </c>
      <c r="AJ79" s="57" t="n">
        <f aca="false">ROUNDUP(MAX(J79/IF(BZ79&gt;0,BZ79,MAX(0.1,N(Cockpit!$C$6))),CC79)/BS79,0)*BS79</f>
        <v>70</v>
      </c>
      <c r="AK79" s="58" t="n">
        <f aca="false">IF(AH79&gt;0,J79/AH79,-1)</f>
        <v>2002</v>
      </c>
      <c r="AL79" s="58" t="n">
        <f aca="false">IF(AND(OR(BY79="L1",BY79="L23"),AH79&gt;0),SUMIFS($AH$7:$AH$1843,$BY$7:$BY$1843,BY79,$AK$7:$AK$1843,"&gt;"&amp;AK79)+SUMIFS($AH$7:$AH$1843,$BY$7:$BY$1843,BY79,$AK$7:$AK$1843,AK79,$BQ$7:$BQ$1843,"&lt;="&amp;BQ79),"")</f>
        <v>13.0285885611973</v>
      </c>
      <c r="AM79" s="65" t="n">
        <f aca="false">IF(AL79="",0,MAX(0,MIN(1,(IF(BY79="L1",Parameter!$E$5,Parameter!$E$6+Parameter!$E$7)-(AL79-AH79))/AH79)))</f>
        <v>1</v>
      </c>
      <c r="AN79" s="57" t="n">
        <f aca="false">IF(LEFT(Cockpit!$I$5,1)="A",H79,IF(CA79=1,CB79,IF(LEFT(Cockpit!$I$5,1)="B",AR79,MAX(AR79,H79))))</f>
        <v>70</v>
      </c>
      <c r="AO79" s="57" t="n">
        <f aca="false">IF(BT79=1,0,ROUNDUP(AN79/BS79,0))</f>
        <v>2</v>
      </c>
      <c r="AP79" s="59" t="n">
        <f aca="false">IF(CH79&gt;0,CH79*MAX(1,AN79/X79),IF(BT79=1,IF(AN79&lt;=0,0,BW79*MAX(1,IF(H79&gt;0,AN79/H79,1))),IF(R79&gt;0,AO79/R79,0))/MAX(0.1,N(Parameter!$M$21)))</f>
        <v>0.0769230769230769</v>
      </c>
      <c r="AQ79" s="57" t="n">
        <f aca="false">AN79*G79</f>
        <v>24430</v>
      </c>
      <c r="AR79" s="57" t="n">
        <f aca="false">ROUNDUP(MAX(J79/IF(BZ79&gt;0,BZ79,MAX(0.1,N(Cockpit!$I$6))),CC79)/BS79,0)*BS79</f>
        <v>70</v>
      </c>
      <c r="AS79" s="58" t="n">
        <f aca="false">IF(AP79&gt;0,J79/AP79,-1)</f>
        <v>1001</v>
      </c>
      <c r="AT79" s="58" t="n">
        <f aca="false">IF(AND(OR(BY79="L1",BY79="L23"),AP79&gt;0),SUMIFS($AP$7:$AP$1843,$BY$7:$BY$1843,BY79,$AS$7:$AS$1843,"&gt;"&amp;AS79)+SUMIFS($AP$7:$AP$1843,$BY$7:$BY$1843,BY79,$AS$7:$AS$1843,AS79,$BQ$7:$BQ$1843,"&lt;="&amp;BQ79),"")</f>
        <v>23.6290665855883</v>
      </c>
      <c r="AU79" s="65" t="n">
        <f aca="false">IF(AT79="",0,MAX(0,MIN(1,(IF(BY79="L1",Parameter!$E$5,Parameter!$E$6+Parameter!$E$7)-(AT79-AP79))/AP79)))</f>
        <v>1</v>
      </c>
      <c r="AV79" s="57" t="n">
        <f aca="false">IF(LEFT(Cockpit!$O$5,1)="A",H79,IF(CA79=1,CB79,IF(LEFT(Cockpit!$O$5,1)="B",AZ79,MAX(AZ79,H79))))</f>
        <v>35</v>
      </c>
      <c r="AW79" s="57" t="n">
        <f aca="false">IF(BT79=1,0,ROUNDUP(AV79/BS79,0))</f>
        <v>1</v>
      </c>
      <c r="AX79" s="59" t="n">
        <f aca="false">IF(CH79&gt;0,CH79*MAX(1,AV79/X79),IF(BT79=1,IF(AV79&lt;=0,0,BW79*MAX(1,IF(H79&gt;0,AV79/H79,1))),IF(R79&gt;0,AW79/R79,0))/MAX(0.1,N(Parameter!$M$21)))</f>
        <v>0.0384615384615385</v>
      </c>
      <c r="AY79" s="57" t="n">
        <f aca="false">AV79*G79</f>
        <v>12215</v>
      </c>
      <c r="AZ79" s="57" t="n">
        <f aca="false">ROUNDUP(MAX(J79/IF(BZ79&gt;0,BZ79,MAX(0.1,N(Cockpit!$O$6))),CC79)/BS79,0)*BS79</f>
        <v>35</v>
      </c>
      <c r="BA79" s="58" t="n">
        <f aca="false">IF(AX79&gt;0,J79/AX79,-1)</f>
        <v>2002</v>
      </c>
      <c r="BB79" s="58" t="n">
        <f aca="false">IF(AND(OR(BY79="L1",BY79="L23"),AX79&gt;0),SUMIFS($AX$7:$AX$1843,$BY$7:$BY$1843,BY79,$BA$7:$BA$1843,"&gt;"&amp;BA79)+SUMIFS($AX$7:$AX$1843,$BY$7:$BY$1843,BY79,$BA$7:$BA$1843,BA79,$BQ$7:$BQ$1843,"&lt;="&amp;BQ79),"")</f>
        <v>17.1934647478126</v>
      </c>
      <c r="BC79" s="65" t="n">
        <f aca="false">IF(BB79="",0,MAX(0,MIN(1,(IF(BY79="L1",Parameter!$E$5,Parameter!$E$6+Parameter!$E$7)-(BB79-AX79))/AX79)))</f>
        <v>1</v>
      </c>
      <c r="BD79" s="55" t="str">
        <f aca="false">IF(AH79&lt;=0,"",IF(BY79="Aussen","Aussenlager",IF(BY79="-","Nicht im Lift",IF(AM79&gt;=1,"Lift",IF(AM79&lt;=0,"Aussenlager","teilweise")))))</f>
        <v>Lift</v>
      </c>
      <c r="BE79" s="55" t="str">
        <f aca="false">IF(AP79&lt;=0,"",IF(BY79="Aussen","Aussenlager",IF(BY79="-","Nicht im Lift",IF(AU79&gt;=1,"Lift",IF(AU79&lt;=0,"Aussenlager","teilweise")))))</f>
        <v>Lift</v>
      </c>
      <c r="BF79" s="55" t="str">
        <f aca="false">IF(AX79&lt;=0,"",IF(BY79="Aussen","Aussenlager",IF(BY79="-","Nicht im Lift",IF(BC79&gt;=1,"Lift",IF(BC79&lt;=0,"Aussenlager","teilweise")))))</f>
        <v>Lift</v>
      </c>
      <c r="BG79" s="55" t="str">
        <f aca="false">IF(A79="","",IF(BP79=1,"Neu; ","")&amp;IF(AND(BP79=0,BK79&lt;0),"negativer Bestand (Export "&amp;BK79&amp;"); ","")&amp;IF(J79&lt;=0,"Kein Verbrauch; ","")&amp;IF(CH79&gt;0,"Lift "&amp;W79&amp;" lt. Liftbericht (Fach "&amp;X79&amp;" Stk); ",IF(BU79=1,"Gebinde geschätzt ("&amp;T79&amp;"); ",IF(BT79=1,"Lose – Tablare geschätzt; ","")))&amp;IF(H79&gt;AR79,"Überbestand "&amp;ROUND(H79-AR79,0)&amp;" Stk / CHF "&amp;ROUND((H79-AR79)*G79,0)&amp;"; ","")&amp;IF(AND(CA79=1,CB79&lt;CC79),"MAX &lt; MB+LG; ","")&amp;IF(AND(CG79&gt;0,CF79*10&gt;CG79),"zu hoch für Tablar; ","")&amp;IF(AND(BP79=0,OR(CA79=1,AA79&lt;&gt;"",U79&lt;&gt;"",V79&lt;&gt;"",AB79&lt;&gt;"")),"manuell übersteuert; ","")&amp;IF(AND(BT79=0,R79=0),"Gebinde unbekannt / Stellmass fehlt; ","")&amp;IF(AND(BT79=0,N(V79)&lt;=0,N(Q79)&lt;=0),"Menge pro Gebinde fehlt (Ist = 1 Gebinde); ","")&amp;BO79)</f>
        <v/>
      </c>
      <c r="BH79" s="55"/>
      <c r="BI79" s="55"/>
      <c r="BJ79" s="62"/>
      <c r="BK79" s="57" t="n">
        <v>9</v>
      </c>
      <c r="BL79" s="57" t="n">
        <v>21</v>
      </c>
      <c r="BM79" s="56" t="n">
        <v>3204.82</v>
      </c>
      <c r="BN79" s="57" t="n">
        <v>77</v>
      </c>
      <c r="BO79" s="55"/>
      <c r="BP79" s="60" t="n">
        <v>0</v>
      </c>
      <c r="BQ79" s="60" t="n">
        <v>79</v>
      </c>
      <c r="BR79" s="55" t="str">
        <f aca="false">IF(U79&lt;&gt;"",UPPER(TRIM(U79)),IF(BU79=1,UPPER(VLOOKUP(T79,Parameter!$I$27:$K$29,2,0)),IF(P79="","LOSE",P79)))</f>
        <v>S52</v>
      </c>
      <c r="BS79" s="57" t="n">
        <f aca="false">IF(BR79="LOSE",1,IF(N(V79)&gt;0,V79,IF(BU79=1,MAX(1,N(VLOOKUP(T79,Parameter!$I$27:$K$29,3,0)),H79,N(N79)),IF(N(Q79)&gt;0,Q79,MAX(1,H79)))))</f>
        <v>35</v>
      </c>
      <c r="BT79" s="60" t="n">
        <f aca="false">IF(BR79="LOSE",1,0)</f>
        <v>0</v>
      </c>
      <c r="BU79" s="60" t="n">
        <f aca="false">IF(AND(U79="",OR(P79="",P79="LOSE"),T79&lt;&gt;"",N(S79)&lt;=0,ISNUMBER(MATCH(T79,Parameter!$I$27:$I$29,0))),1,0)</f>
        <v>0</v>
      </c>
      <c r="BV79" s="55" t="str">
        <f aca="false">IF(AND(Parameter!$B$19="Ja",E79&lt;&gt;"",ISNUMBER(MATCH(E79,Parameter!$I$35:$I$52,0))),VLOOKUP(E79,Parameter!$I$35:$J$52,2,0),IFERROR(VLOOKUP(D79,Parameter!$A$35:$C$64,2,0),"Nein"))</f>
        <v>2+3</v>
      </c>
      <c r="BW79" s="59" t="n">
        <f aca="false">IF(BT79=0,0,IF(N(S79)&gt;0,S79,IFERROR(VLOOKUP(D79,Parameter!$A$35:$C$64,3,0)+0,0)))</f>
        <v>0</v>
      </c>
      <c r="BX79" s="55" t="n">
        <f aca="false">IF(AA79&lt;&gt;"",AA79,Z79)</f>
        <v>3</v>
      </c>
      <c r="BY79" s="55" t="str">
        <f aca="false">IF(BX79=1,"L1",IF(OR(BX79=2,BX79=3),"L23",IF(BX79="Aussen","Aussen","-")))</f>
        <v>L23</v>
      </c>
      <c r="BZ79" s="66" t="n">
        <f aca="false">IF(N(AB79)&gt;0,AB79,0)</f>
        <v>0</v>
      </c>
      <c r="CA79" s="60" t="n">
        <f aca="false">IF(ISNUMBER(AE79),1,0)</f>
        <v>0</v>
      </c>
      <c r="CB79" s="57" t="n">
        <f aca="false">N(AE79)</f>
        <v>0</v>
      </c>
      <c r="CC79" s="57" t="n">
        <f aca="false">N(M79)+N(N79)</f>
        <v>14</v>
      </c>
      <c r="CD79" s="57" t="n">
        <f aca="false">ROUNDUP(H79/BS79,0)</f>
        <v>1</v>
      </c>
      <c r="CE79" s="57" t="n">
        <f aca="false">ROUNDUP(CB79/BS79,0)</f>
        <v>0</v>
      </c>
      <c r="CF79" s="60" t="n">
        <f aca="false">IF(BT79=1,0,IFERROR(VLOOKUP(BR79,'Gebinde-Kategorie'!$A$5:$M$45,5,0)+0,0))</f>
        <v>21</v>
      </c>
      <c r="CG79" s="60" t="n">
        <f aca="false">IFERROR(IF(OR(BX79=1,BX79=2,BX79=3),N(INDEX(Parameter!$I$5:$I$7,BX79)),0),0)</f>
        <v>0</v>
      </c>
      <c r="CH79" s="59" t="n">
        <f aca="false">IF(AND(Parameter!$B$21="Ja",ISNUMBER(W79),N(X79)&gt;0),IFERROR(N(INDEX(Parameter!$L$5:$L$7,W79))*INDEX(Parameter!$E$5:$E$7,W79)*X79/SUMIFS($X$7:$X$1843,$W$7:$W$1843,W79),0),0)</f>
        <v>0</v>
      </c>
    </row>
    <row r="80" customFormat="false" ht="15" hidden="false" customHeight="false" outlineLevel="0" collapsed="false">
      <c r="A80" s="55" t="s">
        <v>366</v>
      </c>
      <c r="B80" s="55" t="s">
        <v>367</v>
      </c>
      <c r="C80" s="55" t="s">
        <v>164</v>
      </c>
      <c r="D80" s="55" t="s">
        <v>173</v>
      </c>
      <c r="E80" s="55"/>
      <c r="F80" s="55" t="s">
        <v>218</v>
      </c>
      <c r="G80" s="56" t="n">
        <v>312</v>
      </c>
      <c r="H80" s="57" t="n">
        <f aca="false">MAX(0,IF(AND(Parameter!$B$21="Ja",ISNUMBER(Y80)),Y80,IF(Parameter!$B$20="Jahresanfang 2025 + Export",BL80+BK80,BK80)))</f>
        <v>10</v>
      </c>
      <c r="I80" s="57" t="n">
        <f aca="false">H80*G80</f>
        <v>3120</v>
      </c>
      <c r="J80" s="57" t="n">
        <f aca="false">BN80*Parameter!$B$18</f>
        <v>0</v>
      </c>
      <c r="K80" s="58" t="n">
        <v>10</v>
      </c>
      <c r="L80" s="59" t="n">
        <v>0</v>
      </c>
      <c r="M80" s="57" t="n">
        <v>0</v>
      </c>
      <c r="N80" s="57" t="n">
        <v>1</v>
      </c>
      <c r="O80" s="60" t="n">
        <v>35</v>
      </c>
      <c r="P80" s="55" t="s">
        <v>168</v>
      </c>
      <c r="Q80" s="57"/>
      <c r="R80" s="60" t="n">
        <f aca="false">IF(BT80=1,0,IFERROR(VLOOKUP(BR80,'Gebinde-Kategorie'!$A$5:$M$45,13,0)+0,0))</f>
        <v>0</v>
      </c>
      <c r="S80" s="61"/>
      <c r="T80" s="62"/>
      <c r="U80" s="62"/>
      <c r="V80" s="62"/>
      <c r="W80" s="55" t="n">
        <v>1</v>
      </c>
      <c r="X80" s="57" t="n">
        <v>20</v>
      </c>
      <c r="Y80" s="57" t="n">
        <v>10</v>
      </c>
      <c r="Z80" s="55" t="n">
        <f aca="false">IF(A80="","",IF(AND(Parameter!$B$21="Ja",ISNUMBER(W80)),W80,IF(BV80="2+3",IF(ISNUMBER(SEARCH("grosser Artikel",BO80)),2,IFERROR(VLOOKUP(BR80,Parameter!$F$35:$G$64,2,0),2)),IF(OR(BV80="Nein",BV80=""),"-",BV80))))</f>
        <v>1</v>
      </c>
      <c r="AA80" s="62"/>
      <c r="AB80" s="63"/>
      <c r="AC80" s="57" t="n">
        <f aca="false">AR80</f>
        <v>1</v>
      </c>
      <c r="AD80" s="57" t="n">
        <f aca="false">MAX(AR80,H80)</f>
        <v>10</v>
      </c>
      <c r="AE80" s="64"/>
      <c r="AF80" s="57" t="n">
        <f aca="false">IF(LEFT(Cockpit!$C$5,1)="A",H80,IF(CA80=1,CB80,IF(LEFT(Cockpit!$C$5,1)="B",AJ80,MAX(AJ80,H80))))</f>
        <v>10</v>
      </c>
      <c r="AG80" s="57" t="n">
        <f aca="false">IF(BT80=1,0,ROUNDUP(AF80/BS80,0))</f>
        <v>0</v>
      </c>
      <c r="AH80" s="59" t="n">
        <f aca="false">IF(CH80&gt;0,CH80*MAX(1,AF80/X80),IF(BT80=1,IF(AF80&lt;=0,0,BW80*MAX(1,IF(H80&gt;0,AF80/H80,1))),IF(R80&gt;0,AG80/R80,0))/MAX(0.1,N(Parameter!$M$21)))</f>
        <v>1.60075329566855</v>
      </c>
      <c r="AI80" s="57" t="n">
        <f aca="false">AF80*G80</f>
        <v>3120</v>
      </c>
      <c r="AJ80" s="57" t="n">
        <f aca="false">ROUNDUP(MAX(J80/IF(BZ80&gt;0,BZ80,MAX(0.1,N(Cockpit!$C$6))),CC80)/BS80,0)*BS80</f>
        <v>1</v>
      </c>
      <c r="AK80" s="58" t="n">
        <f aca="false">IF(AH80&gt;0,J80/AH80,-1)</f>
        <v>0</v>
      </c>
      <c r="AL80" s="58" t="n">
        <f aca="false">IF(AND(OR(BY80="L1",BY80="L23"),AH80&gt;0),SUMIFS($AH$7:$AH$1843,$BY$7:$BY$1843,BY80,$AK$7:$AK$1843,"&gt;"&amp;AK80)+SUMIFS($AH$7:$AH$1843,$BY$7:$BY$1843,BY80,$AK$7:$AK$1843,AK80,$BQ$7:$BQ$1843,"&lt;="&amp;BQ80),"")</f>
        <v>50.8497061768985</v>
      </c>
      <c r="AM80" s="65" t="n">
        <f aca="false">IF(AL80="",0,MAX(0,MIN(1,(IF(BY80="L1",Parameter!$E$5,Parameter!$E$6+Parameter!$E$7)-(AL80-AH80))/AH80)))</f>
        <v>0.469183553019871</v>
      </c>
      <c r="AN80" s="57" t="n">
        <f aca="false">IF(LEFT(Cockpit!$I$5,1)="A",H80,IF(CA80=1,CB80,IF(LEFT(Cockpit!$I$5,1)="B",AR80,MAX(AR80,H80))))</f>
        <v>10</v>
      </c>
      <c r="AO80" s="57" t="n">
        <f aca="false">IF(BT80=1,0,ROUNDUP(AN80/BS80,0))</f>
        <v>0</v>
      </c>
      <c r="AP80" s="59" t="n">
        <f aca="false">IF(CH80&gt;0,CH80*MAX(1,AN80/X80),IF(BT80=1,IF(AN80&lt;=0,0,BW80*MAX(1,IF(H80&gt;0,AN80/H80,1))),IF(R80&gt;0,AO80/R80,0))/MAX(0.1,N(Parameter!$M$21)))</f>
        <v>1.60075329566855</v>
      </c>
      <c r="AQ80" s="57" t="n">
        <f aca="false">AN80*G80</f>
        <v>3120</v>
      </c>
      <c r="AR80" s="57" t="n">
        <f aca="false">ROUNDUP(MAX(J80/IF(BZ80&gt;0,BZ80,MAX(0.1,N(Cockpit!$I$6))),CC80)/BS80,0)*BS80</f>
        <v>1</v>
      </c>
      <c r="AS80" s="58" t="n">
        <f aca="false">IF(AP80&gt;0,J80/AP80,-1)</f>
        <v>0</v>
      </c>
      <c r="AT80" s="58" t="n">
        <f aca="false">IF(AND(OR(BY80="L1",BY80="L23"),AP80&gt;0),SUMIFS($AP$7:$AP$1843,$BY$7:$BY$1843,BY80,$AS$7:$AS$1843,"&gt;"&amp;AS80)+SUMIFS($AP$7:$AP$1843,$BY$7:$BY$1843,BY80,$AS$7:$AS$1843,AS80,$BQ$7:$BQ$1843,"&lt;="&amp;BQ80),"")</f>
        <v>66.3625991219949</v>
      </c>
      <c r="AU80" s="65" t="n">
        <f aca="false">IF(AT80="",0,MAX(0,MIN(1,(IF(BY80="L1",Parameter!$E$5,Parameter!$E$6+Parameter!$E$7)-(AT80-AP80))/AP80)))</f>
        <v>0</v>
      </c>
      <c r="AV80" s="57" t="n">
        <f aca="false">IF(LEFT(Cockpit!$O$5,1)="A",H80,IF(CA80=1,CB80,IF(LEFT(Cockpit!$O$5,1)="B",AZ80,MAX(AZ80,H80))))</f>
        <v>10</v>
      </c>
      <c r="AW80" s="57" t="n">
        <f aca="false">IF(BT80=1,0,ROUNDUP(AV80/BS80,0))</f>
        <v>0</v>
      </c>
      <c r="AX80" s="59" t="n">
        <f aca="false">IF(CH80&gt;0,CH80*MAX(1,AV80/X80),IF(BT80=1,IF(AV80&lt;=0,0,BW80*MAX(1,IF(H80&gt;0,AV80/H80,1))),IF(R80&gt;0,AW80/R80,0))/MAX(0.1,N(Parameter!$M$21)))</f>
        <v>1.60075329566855</v>
      </c>
      <c r="AY80" s="57" t="n">
        <f aca="false">AV80*G80</f>
        <v>3120</v>
      </c>
      <c r="AZ80" s="57" t="n">
        <f aca="false">ROUNDUP(MAX(J80/IF(BZ80&gt;0,BZ80,MAX(0.1,N(Cockpit!$O$6))),CC80)/BS80,0)*BS80</f>
        <v>1</v>
      </c>
      <c r="BA80" s="58" t="n">
        <f aca="false">IF(AX80&gt;0,J80/AX80,-1)</f>
        <v>0</v>
      </c>
      <c r="BB80" s="58" t="n">
        <f aca="false">IF(AND(OR(BY80="L1",BY80="L23"),AX80&gt;0),SUMIFS($AX$7:$AX$1843,$BY$7:$BY$1843,BY80,$BA$7:$BA$1843,"&gt;"&amp;BA80)+SUMIFS($AX$7:$AX$1843,$BY$7:$BY$1843,BY80,$BA$7:$BA$1843,BA80,$BQ$7:$BQ$1843,"&lt;="&amp;BQ80),"")</f>
        <v>60.0294106532132</v>
      </c>
      <c r="BC80" s="65" t="n">
        <f aca="false">IF(BB80="",0,MAX(0,MIN(1,(IF(BY80="L1",Parameter!$E$5,Parameter!$E$6+Parameter!$E$7)-(BB80-AX80))/AX80)))</f>
        <v>0</v>
      </c>
      <c r="BD80" s="55" t="str">
        <f aca="false">IF(AH80&lt;=0,"",IF(BY80="Aussen","Aussenlager",IF(BY80="-","Nicht im Lift",IF(AM80&gt;=1,"Lift",IF(AM80&lt;=0,"Aussenlager","teilweise")))))</f>
        <v>teilweise</v>
      </c>
      <c r="BE80" s="55" t="str">
        <f aca="false">IF(AP80&lt;=0,"",IF(BY80="Aussen","Aussenlager",IF(BY80="-","Nicht im Lift",IF(AU80&gt;=1,"Lift",IF(AU80&lt;=0,"Aussenlager","teilweise")))))</f>
        <v>Aussenlager</v>
      </c>
      <c r="BF80" s="55" t="str">
        <f aca="false">IF(AX80&lt;=0,"",IF(BY80="Aussen","Aussenlager",IF(BY80="-","Nicht im Lift",IF(BC80&gt;=1,"Lift",IF(BC80&lt;=0,"Aussenlager","teilweise")))))</f>
        <v>Aussenlager</v>
      </c>
      <c r="BG80" s="55" t="str">
        <f aca="false">IF(A80="","",IF(BP80=1,"Neu; ","")&amp;IF(AND(BP80=0,BK80&lt;0),"negativer Bestand (Export "&amp;BK80&amp;"); ","")&amp;IF(J80&lt;=0,"Kein Verbrauch; ","")&amp;IF(CH80&gt;0,"Lift "&amp;W80&amp;" lt. Liftbericht (Fach "&amp;X80&amp;" Stk); ",IF(BU80=1,"Gebinde geschätzt ("&amp;T80&amp;"); ",IF(BT80=1,"Lose – Tablare geschätzt; ","")))&amp;IF(H80&gt;AR80,"Überbestand "&amp;ROUND(H80-AR80,0)&amp;" Stk / CHF "&amp;ROUND((H80-AR80)*G80,0)&amp;"; ","")&amp;IF(AND(CA80=1,CB80&lt;CC80),"MAX &lt; MB+LG; ","")&amp;IF(AND(CG80&gt;0,CF80*10&gt;CG80),"zu hoch für Tablar; ","")&amp;IF(AND(BP80=0,OR(CA80=1,AA80&lt;&gt;"",U80&lt;&gt;"",V80&lt;&gt;"",AB80&lt;&gt;"")),"manuell übersteuert; ","")&amp;IF(AND(BT80=0,R80=0),"Gebinde unbekannt / Stellmass fehlt; ","")&amp;IF(AND(BT80=0,N(V80)&lt;=0,N(Q80)&lt;=0),"Menge pro Gebinde fehlt (Ist = 1 Gebinde); ","")&amp;BO80)</f>
        <v>Kein Verbrauch; Lift 1 lt. Liftbericht (Fach 20 Stk); Überbestand 9 Stk / CHF 2808; </v>
      </c>
      <c r="BH80" s="55"/>
      <c r="BI80" s="55"/>
      <c r="BJ80" s="62"/>
      <c r="BK80" s="57" t="n">
        <v>10</v>
      </c>
      <c r="BL80" s="57" t="n">
        <v>10</v>
      </c>
      <c r="BM80" s="56" t="n">
        <v>3120</v>
      </c>
      <c r="BN80" s="57" t="n">
        <v>0</v>
      </c>
      <c r="BO80" s="55"/>
      <c r="BP80" s="60" t="n">
        <v>0</v>
      </c>
      <c r="BQ80" s="60" t="n">
        <v>80</v>
      </c>
      <c r="BR80" s="55" t="str">
        <f aca="false">IF(U80&lt;&gt;"",UPPER(TRIM(U80)),IF(BU80=1,UPPER(VLOOKUP(T80,Parameter!$I$27:$K$29,2,0)),IF(P80="","LOSE",P80)))</f>
        <v>LOSE</v>
      </c>
      <c r="BS80" s="57" t="n">
        <f aca="false">IF(BR80="LOSE",1,IF(N(V80)&gt;0,V80,IF(BU80=1,MAX(1,N(VLOOKUP(T80,Parameter!$I$27:$K$29,3,0)),H80,N(N80)),IF(N(Q80)&gt;0,Q80,MAX(1,H80)))))</f>
        <v>1</v>
      </c>
      <c r="BT80" s="60" t="n">
        <f aca="false">IF(BR80="LOSE",1,0)</f>
        <v>1</v>
      </c>
      <c r="BU80" s="60" t="n">
        <f aca="false">IF(AND(U80="",OR(P80="",P80="LOSE"),T80&lt;&gt;"",N(S80)&lt;=0,ISNUMBER(MATCH(T80,Parameter!$I$27:$I$29,0))),1,0)</f>
        <v>0</v>
      </c>
      <c r="BV80" s="55" t="str">
        <f aca="false">IF(AND(Parameter!$B$19="Ja",E80&lt;&gt;"",ISNUMBER(MATCH(E80,Parameter!$I$35:$I$52,0))),VLOOKUP(E80,Parameter!$I$35:$J$52,2,0),IFERROR(VLOOKUP(D80,Parameter!$A$35:$C$64,2,0),"Nein"))</f>
        <v>2+3</v>
      </c>
      <c r="BW80" s="59" t="n">
        <f aca="false">IF(BT80=0,0,IF(N(S80)&gt;0,S80,IFERROR(VLOOKUP(D80,Parameter!$A$35:$C$64,3,0)+0,0)))</f>
        <v>0.15</v>
      </c>
      <c r="BX80" s="55" t="n">
        <f aca="false">IF(AA80&lt;&gt;"",AA80,Z80)</f>
        <v>1</v>
      </c>
      <c r="BY80" s="55" t="str">
        <f aca="false">IF(BX80=1,"L1",IF(OR(BX80=2,BX80=3),"L23",IF(BX80="Aussen","Aussen","-")))</f>
        <v>L1</v>
      </c>
      <c r="BZ80" s="66" t="n">
        <f aca="false">IF(N(AB80)&gt;0,AB80,0)</f>
        <v>0</v>
      </c>
      <c r="CA80" s="60" t="n">
        <f aca="false">IF(ISNUMBER(AE80),1,0)</f>
        <v>0</v>
      </c>
      <c r="CB80" s="57" t="n">
        <f aca="false">N(AE80)</f>
        <v>0</v>
      </c>
      <c r="CC80" s="57" t="n">
        <f aca="false">N(M80)+N(N80)</f>
        <v>1</v>
      </c>
      <c r="CD80" s="57" t="n">
        <f aca="false">ROUNDUP(H80/BS80,0)</f>
        <v>10</v>
      </c>
      <c r="CE80" s="57" t="n">
        <f aca="false">ROUNDUP(CB80/BS80,0)</f>
        <v>0</v>
      </c>
      <c r="CF80" s="60" t="n">
        <f aca="false">IF(BT80=1,0,IFERROR(VLOOKUP(BR80,'Gebinde-Kategorie'!$A$5:$M$45,5,0)+0,0))</f>
        <v>0</v>
      </c>
      <c r="CG80" s="60" t="n">
        <f aca="false">IFERROR(IF(OR(BX80=1,BX80=2,BX80=3),N(INDEX(Parameter!$I$5:$I$7,BX80)),0),0)</f>
        <v>0</v>
      </c>
      <c r="CH80" s="59" t="n">
        <f aca="false">IF(AND(Parameter!$B$21="Ja",ISNUMBER(W80),N(X80)&gt;0),IFERROR(N(INDEX(Parameter!$L$5:$L$7,W80))*INDEX(Parameter!$E$5:$E$7,W80)*X80/SUMIFS($X$7:$X$1843,$W$7:$W$1843,W80),0),0)</f>
        <v>1.60075329566855</v>
      </c>
    </row>
    <row r="81" customFormat="false" ht="15" hidden="false" customHeight="false" outlineLevel="0" collapsed="false">
      <c r="A81" s="55" t="s">
        <v>368</v>
      </c>
      <c r="B81" s="55" t="s">
        <v>369</v>
      </c>
      <c r="C81" s="55" t="s">
        <v>164</v>
      </c>
      <c r="D81" s="55" t="s">
        <v>173</v>
      </c>
      <c r="E81" s="55" t="s">
        <v>370</v>
      </c>
      <c r="F81" s="55" t="s">
        <v>218</v>
      </c>
      <c r="G81" s="56" t="n">
        <v>760.97</v>
      </c>
      <c r="H81" s="57" t="n">
        <f aca="false">MAX(0,IF(AND(Parameter!$B$21="Ja",ISNUMBER(Y81)),Y81,IF(Parameter!$B$20="Jahresanfang 2025 + Export",BL81+BK81,BK81)))</f>
        <v>4</v>
      </c>
      <c r="I81" s="57" t="n">
        <f aca="false">H81*G81</f>
        <v>3043.88</v>
      </c>
      <c r="J81" s="57" t="n">
        <f aca="false">BN81*Parameter!$B$18</f>
        <v>27</v>
      </c>
      <c r="K81" s="58" t="n">
        <v>0.5</v>
      </c>
      <c r="L81" s="59" t="n">
        <v>54</v>
      </c>
      <c r="M81" s="57" t="n">
        <v>0</v>
      </c>
      <c r="N81" s="57" t="n">
        <v>1</v>
      </c>
      <c r="O81" s="60" t="n">
        <v>21</v>
      </c>
      <c r="P81" s="55" t="s">
        <v>168</v>
      </c>
      <c r="Q81" s="57"/>
      <c r="R81" s="60" t="n">
        <f aca="false">IF(BT81=1,0,IFERROR(VLOOKUP(BR81,'Gebinde-Kategorie'!$A$5:$M$45,13,0)+0,0))</f>
        <v>3</v>
      </c>
      <c r="S81" s="61"/>
      <c r="T81" s="62" t="s">
        <v>189</v>
      </c>
      <c r="U81" s="62"/>
      <c r="V81" s="62"/>
      <c r="W81" s="55"/>
      <c r="X81" s="57"/>
      <c r="Y81" s="57"/>
      <c r="Z81" s="55" t="str">
        <f aca="false">IF(A81="","",IF(AND(Parameter!$B$21="Ja",ISNUMBER(W81)),W81,IF(BV81="2+3",IF(ISNUMBER(SEARCH("grosser Artikel",BO81)),2,IFERROR(VLOOKUP(BR81,Parameter!$F$35:$G$64,2,0),2)),IF(OR(BV81="Nein",BV81=""),"-",BV81))))</f>
        <v>-</v>
      </c>
      <c r="AA81" s="62"/>
      <c r="AB81" s="63"/>
      <c r="AC81" s="57" t="n">
        <f aca="false">AR81</f>
        <v>16</v>
      </c>
      <c r="AD81" s="57" t="n">
        <f aca="false">MAX(AR81,H81)</f>
        <v>16</v>
      </c>
      <c r="AE81" s="64"/>
      <c r="AF81" s="57" t="n">
        <f aca="false">IF(LEFT(Cockpit!$C$5,1)="A",H81,IF(CA81=1,CB81,IF(LEFT(Cockpit!$C$5,1)="B",AJ81,MAX(AJ81,H81))))</f>
        <v>4</v>
      </c>
      <c r="AG81" s="57" t="n">
        <f aca="false">IF(BT81=1,0,ROUNDUP(AF81/BS81,0))</f>
        <v>1</v>
      </c>
      <c r="AH81" s="59" t="n">
        <f aca="false">IF(CH81&gt;0,CH81*MAX(1,AF81/X81),IF(BT81=1,IF(AF81&lt;=0,0,BW81*MAX(1,IF(H81&gt;0,AF81/H81,1))),IF(R81&gt;0,AG81/R81,0))/MAX(0.1,N(Parameter!$M$21)))</f>
        <v>0.333333333333333</v>
      </c>
      <c r="AI81" s="57" t="n">
        <f aca="false">AF81*G81</f>
        <v>3043.88</v>
      </c>
      <c r="AJ81" s="57" t="n">
        <f aca="false">ROUNDUP(MAX(J81/IF(BZ81&gt;0,BZ81,MAX(0.1,N(Cockpit!$C$6))),CC81)/BS81,0)*BS81</f>
        <v>16</v>
      </c>
      <c r="AK81" s="58" t="n">
        <f aca="false">IF(AH81&gt;0,J81/AH81,-1)</f>
        <v>81</v>
      </c>
      <c r="AL81" s="58" t="str">
        <f aca="false">IF(AND(OR(BY81="L1",BY81="L23"),AH81&gt;0),SUMIFS($AH$7:$AH$1843,$BY$7:$BY$1843,BY81,$AK$7:$AK$1843,"&gt;"&amp;AK81)+SUMIFS($AH$7:$AH$1843,$BY$7:$BY$1843,BY81,$AK$7:$AK$1843,AK81,$BQ$7:$BQ$1843,"&lt;="&amp;BQ81),"")</f>
        <v/>
      </c>
      <c r="AM81" s="65" t="n">
        <f aca="false">IF(AL81="",0,MAX(0,MIN(1,(IF(BY81="L1",Parameter!$E$5,Parameter!$E$6+Parameter!$E$7)-(AL81-AH81))/AH81)))</f>
        <v>0</v>
      </c>
      <c r="AN81" s="57" t="n">
        <f aca="false">IF(LEFT(Cockpit!$I$5,1)="A",H81,IF(CA81=1,CB81,IF(LEFT(Cockpit!$I$5,1)="B",AR81,MAX(AR81,H81))))</f>
        <v>16</v>
      </c>
      <c r="AO81" s="57" t="n">
        <f aca="false">IF(BT81=1,0,ROUNDUP(AN81/BS81,0))</f>
        <v>4</v>
      </c>
      <c r="AP81" s="59" t="n">
        <f aca="false">IF(CH81&gt;0,CH81*MAX(1,AN81/X81),IF(BT81=1,IF(AN81&lt;=0,0,BW81*MAX(1,IF(H81&gt;0,AN81/H81,1))),IF(R81&gt;0,AO81/R81,0))/MAX(0.1,N(Parameter!$M$21)))</f>
        <v>1.33333333333333</v>
      </c>
      <c r="AQ81" s="57" t="n">
        <f aca="false">AN81*G81</f>
        <v>12175.52</v>
      </c>
      <c r="AR81" s="57" t="n">
        <f aca="false">ROUNDUP(MAX(J81/IF(BZ81&gt;0,BZ81,MAX(0.1,N(Cockpit!$I$6))),CC81)/BS81,0)*BS81</f>
        <v>16</v>
      </c>
      <c r="AS81" s="58" t="n">
        <f aca="false">IF(AP81&gt;0,J81/AP81,-1)</f>
        <v>20.25</v>
      </c>
      <c r="AT81" s="58" t="str">
        <f aca="false">IF(AND(OR(BY81="L1",BY81="L23"),AP81&gt;0),SUMIFS($AP$7:$AP$1843,$BY$7:$BY$1843,BY81,$AS$7:$AS$1843,"&gt;"&amp;AS81)+SUMIFS($AP$7:$AP$1843,$BY$7:$BY$1843,BY81,$AS$7:$AS$1843,AS81,$BQ$7:$BQ$1843,"&lt;="&amp;BQ81),"")</f>
        <v/>
      </c>
      <c r="AU81" s="65" t="n">
        <f aca="false">IF(AT81="",0,MAX(0,MIN(1,(IF(BY81="L1",Parameter!$E$5,Parameter!$E$6+Parameter!$E$7)-(AT81-AP81))/AP81)))</f>
        <v>0</v>
      </c>
      <c r="AV81" s="57" t="n">
        <f aca="false">IF(LEFT(Cockpit!$O$5,1)="A",H81,IF(CA81=1,CB81,IF(LEFT(Cockpit!$O$5,1)="B",AZ81,MAX(AZ81,H81))))</f>
        <v>12</v>
      </c>
      <c r="AW81" s="57" t="n">
        <f aca="false">IF(BT81=1,0,ROUNDUP(AV81/BS81,0))</f>
        <v>3</v>
      </c>
      <c r="AX81" s="59" t="n">
        <f aca="false">IF(CH81&gt;0,CH81*MAX(1,AV81/X81),IF(BT81=1,IF(AV81&lt;=0,0,BW81*MAX(1,IF(H81&gt;0,AV81/H81,1))),IF(R81&gt;0,AW81/R81,0))/MAX(0.1,N(Parameter!$M$21)))</f>
        <v>1</v>
      </c>
      <c r="AY81" s="57" t="n">
        <f aca="false">AV81*G81</f>
        <v>9131.64</v>
      </c>
      <c r="AZ81" s="57" t="n">
        <f aca="false">ROUNDUP(MAX(J81/IF(BZ81&gt;0,BZ81,MAX(0.1,N(Cockpit!$O$6))),CC81)/BS81,0)*BS81</f>
        <v>12</v>
      </c>
      <c r="BA81" s="58" t="n">
        <f aca="false">IF(AX81&gt;0,J81/AX81,-1)</f>
        <v>27</v>
      </c>
      <c r="BB81" s="58" t="str">
        <f aca="false">IF(AND(OR(BY81="L1",BY81="L23"),AX81&gt;0),SUMIFS($AX$7:$AX$1843,$BY$7:$BY$1843,BY81,$BA$7:$BA$1843,"&gt;"&amp;BA81)+SUMIFS($AX$7:$AX$1843,$BY$7:$BY$1843,BY81,$BA$7:$BA$1843,BA81,$BQ$7:$BQ$1843,"&lt;="&amp;BQ81),"")</f>
        <v/>
      </c>
      <c r="BC81" s="65" t="n">
        <f aca="false">IF(BB81="",0,MAX(0,MIN(1,(IF(BY81="L1",Parameter!$E$5,Parameter!$E$6+Parameter!$E$7)-(BB81-AX81))/AX81)))</f>
        <v>0</v>
      </c>
      <c r="BD81" s="55" t="str">
        <f aca="false">IF(AH81&lt;=0,"",IF(BY81="Aussen","Aussenlager",IF(BY81="-","Nicht im Lift",IF(AM81&gt;=1,"Lift",IF(AM81&lt;=0,"Aussenlager","teilweise")))))</f>
        <v>Nicht im Lift</v>
      </c>
      <c r="BE81" s="55" t="str">
        <f aca="false">IF(AP81&lt;=0,"",IF(BY81="Aussen","Aussenlager",IF(BY81="-","Nicht im Lift",IF(AU81&gt;=1,"Lift",IF(AU81&lt;=0,"Aussenlager","teilweise")))))</f>
        <v>Nicht im Lift</v>
      </c>
      <c r="BF81" s="55" t="str">
        <f aca="false">IF(AX81&lt;=0,"",IF(BY81="Aussen","Aussenlager",IF(BY81="-","Nicht im Lift",IF(BC81&gt;=1,"Lift",IF(BC81&lt;=0,"Aussenlager","teilweise")))))</f>
        <v>Nicht im Lift</v>
      </c>
      <c r="BG81" s="55" t="str">
        <f aca="false">IF(A81="","",IF(BP81=1,"Neu; ","")&amp;IF(AND(BP81=0,BK81&lt;0),"negativer Bestand (Export "&amp;BK81&amp;"); ","")&amp;IF(J81&lt;=0,"Kein Verbrauch; ","")&amp;IF(CH81&gt;0,"Lift "&amp;W81&amp;" lt. Liftbericht (Fach "&amp;X81&amp;" Stk); ",IF(BU81=1,"Gebinde geschätzt ("&amp;T81&amp;"); ",IF(BT81=1,"Lose – Tablare geschätzt; ","")))&amp;IF(H81&gt;AR81,"Überbestand "&amp;ROUND(H81-AR81,0)&amp;" Stk / CHF "&amp;ROUND((H81-AR81)*G81,0)&amp;"; ","")&amp;IF(AND(CA81=1,CB81&lt;CC81),"MAX &lt; MB+LG; ","")&amp;IF(AND(CG81&gt;0,CF81*10&gt;CG81),"zu hoch für Tablar; ","")&amp;IF(AND(BP81=0,OR(CA81=1,AA81&lt;&gt;"",U81&lt;&gt;"",V81&lt;&gt;"",AB81&lt;&gt;"")),"manuell übersteuert; ","")&amp;IF(AND(BT81=0,R81=0),"Gebinde unbekannt / Stellmass fehlt; ","")&amp;IF(AND(BT81=0,N(V81)&lt;=0,N(Q81)&lt;=0),"Menge pro Gebinde fehlt (Ist = 1 Gebinde); ","")&amp;BO81)</f>
        <v>Gebinde geschätzt (Gross); Menge pro Gebinde fehlt (Ist = 1 Gebinde); </v>
      </c>
      <c r="BH81" s="55"/>
      <c r="BI81" s="55"/>
      <c r="BJ81" s="62"/>
      <c r="BK81" s="57" t="n">
        <v>4</v>
      </c>
      <c r="BL81" s="57" t="n">
        <v>0</v>
      </c>
      <c r="BM81" s="56" t="n">
        <v>3043.88</v>
      </c>
      <c r="BN81" s="57" t="n">
        <v>27</v>
      </c>
      <c r="BO81" s="55"/>
      <c r="BP81" s="60" t="n">
        <v>0</v>
      </c>
      <c r="BQ81" s="60" t="n">
        <v>81</v>
      </c>
      <c r="BR81" s="55" t="str">
        <f aca="false">IF(U81&lt;&gt;"",UPPER(TRIM(U81)),IF(BU81=1,UPPER(VLOOKUP(T81,Parameter!$I$27:$K$29,2,0)),IF(P81="","LOSE",P81)))</f>
        <v>S81</v>
      </c>
      <c r="BS81" s="57" t="n">
        <f aca="false">IF(BR81="LOSE",1,IF(N(V81)&gt;0,V81,IF(BU81=1,MAX(1,N(VLOOKUP(T81,Parameter!$I$27:$K$29,3,0)),H81,N(N81)),IF(N(Q81)&gt;0,Q81,MAX(1,H81)))))</f>
        <v>4</v>
      </c>
      <c r="BT81" s="60" t="n">
        <f aca="false">IF(BR81="LOSE",1,0)</f>
        <v>0</v>
      </c>
      <c r="BU81" s="60" t="n">
        <f aca="false">IF(AND(U81="",OR(P81="",P81="LOSE"),T81&lt;&gt;"",N(S81)&lt;=0,ISNUMBER(MATCH(T81,Parameter!$I$27:$I$29,0))),1,0)</f>
        <v>1</v>
      </c>
      <c r="BV81" s="55" t="str">
        <f aca="false">IF(AND(Parameter!$B$19="Ja",E81&lt;&gt;"",ISNUMBER(MATCH(E81,Parameter!$I$35:$I$52,0))),VLOOKUP(E81,Parameter!$I$35:$J$52,2,0),IFERROR(VLOOKUP(D81,Parameter!$A$35:$C$64,2,0),"Nein"))</f>
        <v>Nein</v>
      </c>
      <c r="BW81" s="59" t="n">
        <f aca="false">IF(BT81=0,0,IF(N(S81)&gt;0,S81,IFERROR(VLOOKUP(D81,Parameter!$A$35:$C$64,3,0)+0,0)))</f>
        <v>0</v>
      </c>
      <c r="BX81" s="55" t="str">
        <f aca="false">IF(AA81&lt;&gt;"",AA81,Z81)</f>
        <v>-</v>
      </c>
      <c r="BY81" s="55" t="str">
        <f aca="false">IF(BX81=1,"L1",IF(OR(BX81=2,BX81=3),"L23",IF(BX81="Aussen","Aussen","-")))</f>
        <v>-</v>
      </c>
      <c r="BZ81" s="66" t="n">
        <f aca="false">IF(N(AB81)&gt;0,AB81,0)</f>
        <v>0</v>
      </c>
      <c r="CA81" s="60" t="n">
        <f aca="false">IF(ISNUMBER(AE81),1,0)</f>
        <v>0</v>
      </c>
      <c r="CB81" s="57" t="n">
        <f aca="false">N(AE81)</f>
        <v>0</v>
      </c>
      <c r="CC81" s="57" t="n">
        <f aca="false">N(M81)+N(N81)</f>
        <v>1</v>
      </c>
      <c r="CD81" s="57" t="n">
        <f aca="false">ROUNDUP(H81/BS81,0)</f>
        <v>1</v>
      </c>
      <c r="CE81" s="57" t="n">
        <f aca="false">ROUNDUP(CB81/BS81,0)</f>
        <v>0</v>
      </c>
      <c r="CF81" s="60" t="n">
        <f aca="false">IF(BT81=1,0,IFERROR(VLOOKUP(BR81,'Gebinde-Kategorie'!$A$5:$M$45,5,0)+0,0))</f>
        <v>20</v>
      </c>
      <c r="CG81" s="60" t="n">
        <f aca="false">IFERROR(IF(OR(BX81=1,BX81=2,BX81=3),N(INDEX(Parameter!$I$5:$I$7,BX81)),0),0)</f>
        <v>0</v>
      </c>
      <c r="CH81" s="59" t="n">
        <f aca="false">IF(AND(Parameter!$B$21="Ja",ISNUMBER(W81),N(X81)&gt;0),IFERROR(N(INDEX(Parameter!$L$5:$L$7,W81))*INDEX(Parameter!$E$5:$E$7,W81)*X81/SUMIFS($X$7:$X$1843,$W$7:$W$1843,W81),0),0)</f>
        <v>0</v>
      </c>
    </row>
    <row r="82" customFormat="false" ht="15" hidden="false" customHeight="false" outlineLevel="0" collapsed="false">
      <c r="A82" s="55" t="s">
        <v>371</v>
      </c>
      <c r="B82" s="55" t="s">
        <v>372</v>
      </c>
      <c r="C82" s="55" t="s">
        <v>164</v>
      </c>
      <c r="D82" s="55" t="s">
        <v>173</v>
      </c>
      <c r="E82" s="55" t="s">
        <v>185</v>
      </c>
      <c r="F82" s="55" t="s">
        <v>218</v>
      </c>
      <c r="G82" s="56" t="n">
        <v>185.43</v>
      </c>
      <c r="H82" s="57" t="n">
        <f aca="false">MAX(0,IF(AND(Parameter!$B$21="Ja",ISNUMBER(Y82)),Y82,IF(Parameter!$B$20="Jahresanfang 2025 + Export",BL82+BK82,BK82)))</f>
        <v>28</v>
      </c>
      <c r="I82" s="57" t="n">
        <f aca="false">H82*G82</f>
        <v>5192.04</v>
      </c>
      <c r="J82" s="57" t="n">
        <f aca="false">BN82*Parameter!$B$18</f>
        <v>67</v>
      </c>
      <c r="K82" s="58" t="n">
        <v>14</v>
      </c>
      <c r="L82" s="59" t="n">
        <v>4.78571428571429</v>
      </c>
      <c r="M82" s="57" t="n">
        <v>10</v>
      </c>
      <c r="N82" s="57" t="n">
        <v>30</v>
      </c>
      <c r="O82" s="60" t="n">
        <v>44</v>
      </c>
      <c r="P82" s="55" t="s">
        <v>174</v>
      </c>
      <c r="Q82" s="57" t="n">
        <v>18</v>
      </c>
      <c r="R82" s="60" t="n">
        <f aca="false">IF(BT82=1,0,IFERROR(VLOOKUP(BR82,'Gebinde-Kategorie'!$A$5:$M$45,13,0)+0,0))</f>
        <v>6</v>
      </c>
      <c r="S82" s="61"/>
      <c r="T82" s="62"/>
      <c r="U82" s="62"/>
      <c r="V82" s="62"/>
      <c r="W82" s="55"/>
      <c r="X82" s="57"/>
      <c r="Y82" s="57"/>
      <c r="Z82" s="55" t="n">
        <f aca="false">IF(A82="","",IF(AND(Parameter!$B$21="Ja",ISNUMBER(W82)),W82,IF(BV82="2+3",IF(ISNUMBER(SEARCH("grosser Artikel",BO82)),2,IFERROR(VLOOKUP(BR82,Parameter!$F$35:$G$64,2,0),2)),IF(OR(BV82="Nein",BV82=""),"-",BV82))))</f>
        <v>2</v>
      </c>
      <c r="AA82" s="62"/>
      <c r="AB82" s="63"/>
      <c r="AC82" s="57" t="n">
        <f aca="false">AR82</f>
        <v>54</v>
      </c>
      <c r="AD82" s="57" t="n">
        <f aca="false">MAX(AR82,H82)</f>
        <v>54</v>
      </c>
      <c r="AE82" s="64"/>
      <c r="AF82" s="57" t="n">
        <f aca="false">IF(LEFT(Cockpit!$C$5,1)="A",H82,IF(CA82=1,CB82,IF(LEFT(Cockpit!$C$5,1)="B",AJ82,MAX(AJ82,H82))))</f>
        <v>28</v>
      </c>
      <c r="AG82" s="57" t="n">
        <f aca="false">IF(BT82=1,0,ROUNDUP(AF82/BS82,0))</f>
        <v>2</v>
      </c>
      <c r="AH82" s="59" t="n">
        <f aca="false">IF(CH82&gt;0,CH82*MAX(1,AF82/X82),IF(BT82=1,IF(AF82&lt;=0,0,BW82*MAX(1,IF(H82&gt;0,AF82/H82,1))),IF(R82&gt;0,AG82/R82,0))/MAX(0.1,N(Parameter!$M$21)))</f>
        <v>0.333333333333333</v>
      </c>
      <c r="AI82" s="57" t="n">
        <f aca="false">AF82*G82</f>
        <v>5192.04</v>
      </c>
      <c r="AJ82" s="57" t="n">
        <f aca="false">ROUNDUP(MAX(J82/IF(BZ82&gt;0,BZ82,MAX(0.1,N(Cockpit!$C$6))),CC82)/BS82,0)*BS82</f>
        <v>54</v>
      </c>
      <c r="AK82" s="58" t="n">
        <f aca="false">IF(AH82&gt;0,J82/AH82,-1)</f>
        <v>201</v>
      </c>
      <c r="AL82" s="58" t="n">
        <f aca="false">IF(AND(OR(BY82="L1",BY82="L23"),AH82&gt;0),SUMIFS($AH$7:$AH$1843,$BY$7:$BY$1843,BY82,$AK$7:$AK$1843,"&gt;"&amp;AK82)+SUMIFS($AH$7:$AH$1843,$BY$7:$BY$1843,BY82,$AK$7:$AK$1843,AK82,$BQ$7:$BQ$1843,"&lt;="&amp;BQ82),"")</f>
        <v>32.4506520049998</v>
      </c>
      <c r="AM82" s="65" t="n">
        <f aca="false">IF(AL82="",0,MAX(0,MIN(1,(IF(BY82="L1",Parameter!$E$5,Parameter!$E$6+Parameter!$E$7)-(AL82-AH82))/AH82)))</f>
        <v>1</v>
      </c>
      <c r="AN82" s="57" t="n">
        <f aca="false">IF(LEFT(Cockpit!$I$5,1)="A",H82,IF(CA82=1,CB82,IF(LEFT(Cockpit!$I$5,1)="B",AR82,MAX(AR82,H82))))</f>
        <v>54</v>
      </c>
      <c r="AO82" s="57" t="n">
        <f aca="false">IF(BT82=1,0,ROUNDUP(AN82/BS82,0))</f>
        <v>3</v>
      </c>
      <c r="AP82" s="59" t="n">
        <f aca="false">IF(CH82&gt;0,CH82*MAX(1,AN82/X82),IF(BT82=1,IF(AN82&lt;=0,0,BW82*MAX(1,IF(H82&gt;0,AN82/H82,1))),IF(R82&gt;0,AO82/R82,0))/MAX(0.1,N(Parameter!$M$21)))</f>
        <v>0.5</v>
      </c>
      <c r="AQ82" s="57" t="n">
        <f aca="false">AN82*G82</f>
        <v>10013.22</v>
      </c>
      <c r="AR82" s="57" t="n">
        <f aca="false">ROUNDUP(MAX(J82/IF(BZ82&gt;0,BZ82,MAX(0.1,N(Cockpit!$I$6))),CC82)/BS82,0)*BS82</f>
        <v>54</v>
      </c>
      <c r="AS82" s="58" t="n">
        <f aca="false">IF(AP82&gt;0,J82/AP82,-1)</f>
        <v>134</v>
      </c>
      <c r="AT82" s="58" t="n">
        <f aca="false">IF(AND(OR(BY82="L1",BY82="L23"),AP82&gt;0),SUMIFS($AP$7:$AP$1843,$BY$7:$BY$1843,BY82,$AS$7:$AS$1843,"&gt;"&amp;AS82)+SUMIFS($AP$7:$AP$1843,$BY$7:$BY$1843,BY82,$AS$7:$AS$1843,AS82,$BQ$7:$BQ$1843,"&lt;="&amp;BQ82),"")</f>
        <v>51.0742711394885</v>
      </c>
      <c r="AU82" s="65" t="n">
        <f aca="false">IF(AT82="",0,MAX(0,MIN(1,(IF(BY82="L1",Parameter!$E$5,Parameter!$E$6+Parameter!$E$7)-(AT82-AP82))/AP82)))</f>
        <v>1</v>
      </c>
      <c r="AV82" s="57" t="n">
        <f aca="false">IF(LEFT(Cockpit!$O$5,1)="A",H82,IF(CA82=1,CB82,IF(LEFT(Cockpit!$O$5,1)="B",AZ82,MAX(AZ82,H82))))</f>
        <v>54</v>
      </c>
      <c r="AW82" s="57" t="n">
        <f aca="false">IF(BT82=1,0,ROUNDUP(AV82/BS82,0))</f>
        <v>3</v>
      </c>
      <c r="AX82" s="59" t="n">
        <f aca="false">IF(CH82&gt;0,CH82*MAX(1,AV82/X82),IF(BT82=1,IF(AV82&lt;=0,0,BW82*MAX(1,IF(H82&gt;0,AV82/H82,1))),IF(R82&gt;0,AW82/R82,0))/MAX(0.1,N(Parameter!$M$21)))</f>
        <v>0.5</v>
      </c>
      <c r="AY82" s="57" t="n">
        <f aca="false">AV82*G82</f>
        <v>10013.22</v>
      </c>
      <c r="AZ82" s="57" t="n">
        <f aca="false">ROUNDUP(MAX(J82/IF(BZ82&gt;0,BZ82,MAX(0.1,N(Cockpit!$O$6))),CC82)/BS82,0)*BS82</f>
        <v>54</v>
      </c>
      <c r="BA82" s="58" t="n">
        <f aca="false">IF(AX82&gt;0,J82/AX82,-1)</f>
        <v>134</v>
      </c>
      <c r="BB82" s="58" t="n">
        <f aca="false">IF(AND(OR(BY82="L1",BY82="L23"),AX82&gt;0),SUMIFS($AX$7:$AX$1843,$BY$7:$BY$1843,BY82,$BA$7:$BA$1843,"&gt;"&amp;BA82)+SUMIFS($AX$7:$AX$1843,$BY$7:$BY$1843,BY82,$BA$7:$BA$1843,BA82,$BQ$7:$BQ$1843,"&lt;="&amp;BQ82),"")</f>
        <v>47.6541079693254</v>
      </c>
      <c r="BC82" s="65" t="n">
        <f aca="false">IF(BB82="",0,MAX(0,MIN(1,(IF(BY82="L1",Parameter!$E$5,Parameter!$E$6+Parameter!$E$7)-(BB82-AX82))/AX82)))</f>
        <v>1</v>
      </c>
      <c r="BD82" s="55" t="str">
        <f aca="false">IF(AH82&lt;=0,"",IF(BY82="Aussen","Aussenlager",IF(BY82="-","Nicht im Lift",IF(AM82&gt;=1,"Lift",IF(AM82&lt;=0,"Aussenlager","teilweise")))))</f>
        <v>Lift</v>
      </c>
      <c r="BE82" s="55" t="str">
        <f aca="false">IF(AP82&lt;=0,"",IF(BY82="Aussen","Aussenlager",IF(BY82="-","Nicht im Lift",IF(AU82&gt;=1,"Lift",IF(AU82&lt;=0,"Aussenlager","teilweise")))))</f>
        <v>Lift</v>
      </c>
      <c r="BF82" s="55" t="str">
        <f aca="false">IF(AX82&lt;=0,"",IF(BY82="Aussen","Aussenlager",IF(BY82="-","Nicht im Lift",IF(BC82&gt;=1,"Lift",IF(BC82&lt;=0,"Aussenlager","teilweise")))))</f>
        <v>Lift</v>
      </c>
      <c r="BG82" s="55" t="str">
        <f aca="false">IF(A82="","",IF(BP82=1,"Neu; ","")&amp;IF(AND(BP82=0,BK82&lt;0),"negativer Bestand (Export "&amp;BK82&amp;"); ","")&amp;IF(J82&lt;=0,"Kein Verbrauch; ","")&amp;IF(CH82&gt;0,"Lift "&amp;W82&amp;" lt. Liftbericht (Fach "&amp;X82&amp;" Stk); ",IF(BU82=1,"Gebinde geschätzt ("&amp;T82&amp;"); ",IF(BT82=1,"Lose – Tablare geschätzt; ","")))&amp;IF(H82&gt;AR82,"Überbestand "&amp;ROUND(H82-AR82,0)&amp;" Stk / CHF "&amp;ROUND((H82-AR82)*G82,0)&amp;"; ","")&amp;IF(AND(CA82=1,CB82&lt;CC82),"MAX &lt; MB+LG; ","")&amp;IF(AND(CG82&gt;0,CF82*10&gt;CG82),"zu hoch für Tablar; ","")&amp;IF(AND(BP82=0,OR(CA82=1,AA82&lt;&gt;"",U82&lt;&gt;"",V82&lt;&gt;"",AB82&lt;&gt;"")),"manuell übersteuert; ","")&amp;IF(AND(BT82=0,R82=0),"Gebinde unbekannt / Stellmass fehlt; ","")&amp;IF(AND(BT82=0,N(V82)&lt;=0,N(Q82)&lt;=0),"Menge pro Gebinde fehlt (Ist = 1 Gebinde); ","")&amp;BO82)</f>
        <v>grosser Artikel &amp; nicht im KTL</v>
      </c>
      <c r="BH82" s="55"/>
      <c r="BI82" s="55"/>
      <c r="BJ82" s="62"/>
      <c r="BK82" s="57" t="n">
        <v>15</v>
      </c>
      <c r="BL82" s="57" t="n">
        <v>13</v>
      </c>
      <c r="BM82" s="56" t="n">
        <v>3008.04</v>
      </c>
      <c r="BN82" s="57" t="n">
        <v>67</v>
      </c>
      <c r="BO82" s="55" t="s">
        <v>261</v>
      </c>
      <c r="BP82" s="60" t="n">
        <v>0</v>
      </c>
      <c r="BQ82" s="60" t="n">
        <v>82</v>
      </c>
      <c r="BR82" s="55" t="str">
        <f aca="false">IF(U82&lt;&gt;"",UPPER(TRIM(U82)),IF(BU82=1,UPPER(VLOOKUP(T82,Parameter!$I$27:$K$29,2,0)),IF(P82="","LOSE",P82)))</f>
        <v>S71</v>
      </c>
      <c r="BS82" s="57" t="n">
        <f aca="false">IF(BR82="LOSE",1,IF(N(V82)&gt;0,V82,IF(BU82=1,MAX(1,N(VLOOKUP(T82,Parameter!$I$27:$K$29,3,0)),H82,N(N82)),IF(N(Q82)&gt;0,Q82,MAX(1,H82)))))</f>
        <v>18</v>
      </c>
      <c r="BT82" s="60" t="n">
        <f aca="false">IF(BR82="LOSE",1,0)</f>
        <v>0</v>
      </c>
      <c r="BU82" s="60" t="n">
        <f aca="false">IF(AND(U82="",OR(P82="",P82="LOSE"),T82&lt;&gt;"",N(S82)&lt;=0,ISNUMBER(MATCH(T82,Parameter!$I$27:$I$29,0))),1,0)</f>
        <v>0</v>
      </c>
      <c r="BV82" s="55" t="str">
        <f aca="false">IF(AND(Parameter!$B$19="Ja",E82&lt;&gt;"",ISNUMBER(MATCH(E82,Parameter!$I$35:$I$52,0))),VLOOKUP(E82,Parameter!$I$35:$J$52,2,0),IFERROR(VLOOKUP(D82,Parameter!$A$35:$C$64,2,0),"Nein"))</f>
        <v>2+3</v>
      </c>
      <c r="BW82" s="59" t="n">
        <f aca="false">IF(BT82=0,0,IF(N(S82)&gt;0,S82,IFERROR(VLOOKUP(D82,Parameter!$A$35:$C$64,3,0)+0,0)))</f>
        <v>0</v>
      </c>
      <c r="BX82" s="55" t="n">
        <f aca="false">IF(AA82&lt;&gt;"",AA82,Z82)</f>
        <v>2</v>
      </c>
      <c r="BY82" s="55" t="str">
        <f aca="false">IF(BX82=1,"L1",IF(OR(BX82=2,BX82=3),"L23",IF(BX82="Aussen","Aussen","-")))</f>
        <v>L23</v>
      </c>
      <c r="BZ82" s="66" t="n">
        <f aca="false">IF(N(AB82)&gt;0,AB82,0)</f>
        <v>0</v>
      </c>
      <c r="CA82" s="60" t="n">
        <f aca="false">IF(ISNUMBER(AE82),1,0)</f>
        <v>0</v>
      </c>
      <c r="CB82" s="57" t="n">
        <f aca="false">N(AE82)</f>
        <v>0</v>
      </c>
      <c r="CC82" s="57" t="n">
        <f aca="false">N(M82)+N(N82)</f>
        <v>40</v>
      </c>
      <c r="CD82" s="57" t="n">
        <f aca="false">ROUNDUP(H82/BS82,0)</f>
        <v>2</v>
      </c>
      <c r="CE82" s="57" t="n">
        <f aca="false">ROUNDUP(CB82/BS82,0)</f>
        <v>0</v>
      </c>
      <c r="CF82" s="60" t="n">
        <f aca="false">IF(BT82=1,0,IFERROR(VLOOKUP(BR82,'Gebinde-Kategorie'!$A$5:$M$45,5,0)+0,0))</f>
        <v>20</v>
      </c>
      <c r="CG82" s="60" t="n">
        <f aca="false">IFERROR(IF(OR(BX82=1,BX82=2,BX82=3),N(INDEX(Parameter!$I$5:$I$7,BX82)),0),0)</f>
        <v>0</v>
      </c>
      <c r="CH82" s="59" t="n">
        <f aca="false">IF(AND(Parameter!$B$21="Ja",ISNUMBER(W82),N(X82)&gt;0),IFERROR(N(INDEX(Parameter!$L$5:$L$7,W82))*INDEX(Parameter!$E$5:$E$7,W82)*X82/SUMIFS($X$7:$X$1843,$W$7:$W$1843,W82),0),0)</f>
        <v>0</v>
      </c>
    </row>
    <row r="83" customFormat="false" ht="15" hidden="false" customHeight="false" outlineLevel="0" collapsed="false">
      <c r="A83" s="55" t="s">
        <v>373</v>
      </c>
      <c r="B83" s="55" t="s">
        <v>374</v>
      </c>
      <c r="C83" s="55" t="s">
        <v>164</v>
      </c>
      <c r="D83" s="55" t="s">
        <v>184</v>
      </c>
      <c r="E83" s="55" t="s">
        <v>185</v>
      </c>
      <c r="F83" s="55" t="s">
        <v>218</v>
      </c>
      <c r="G83" s="56" t="n">
        <v>30.36</v>
      </c>
      <c r="H83" s="57" t="n">
        <f aca="false">MAX(0,IF(AND(Parameter!$B$21="Ja",ISNUMBER(Y83)),Y83,IF(Parameter!$B$20="Jahresanfang 2025 + Export",BL83+BK83,BK83)))</f>
        <v>232</v>
      </c>
      <c r="I83" s="57" t="n">
        <f aca="false">H83*G83</f>
        <v>7043.52</v>
      </c>
      <c r="J83" s="57" t="n">
        <f aca="false">BN83*Parameter!$B$18</f>
        <v>1152</v>
      </c>
      <c r="K83" s="58" t="n">
        <v>441.5</v>
      </c>
      <c r="L83" s="59" t="n">
        <v>2.60928652321631</v>
      </c>
      <c r="M83" s="57" t="n">
        <v>106</v>
      </c>
      <c r="N83" s="57" t="n">
        <v>400</v>
      </c>
      <c r="O83" s="60" t="n">
        <v>56</v>
      </c>
      <c r="P83" s="55" t="s">
        <v>328</v>
      </c>
      <c r="Q83" s="57" t="n">
        <v>550</v>
      </c>
      <c r="R83" s="60" t="n">
        <f aca="false">IF(BT83=1,0,IFERROR(VLOOKUP(BR83,'Gebinde-Kategorie'!$A$5:$M$45,13,0)+0,0))</f>
        <v>52</v>
      </c>
      <c r="S83" s="61"/>
      <c r="T83" s="62"/>
      <c r="U83" s="62"/>
      <c r="V83" s="62"/>
      <c r="W83" s="55"/>
      <c r="X83" s="57"/>
      <c r="Y83" s="57"/>
      <c r="Z83" s="55" t="n">
        <f aca="false">IF(A83="","",IF(AND(Parameter!$B$21="Ja",ISNUMBER(W83)),W83,IF(BV83="2+3",IF(ISNUMBER(SEARCH("grosser Artikel",BO83)),2,IFERROR(VLOOKUP(BR83,Parameter!$F$35:$G$64,2,0),2)),IF(OR(BV83="Nein",BV83=""),"-",BV83))))</f>
        <v>3</v>
      </c>
      <c r="AA83" s="62"/>
      <c r="AB83" s="63"/>
      <c r="AC83" s="57" t="n">
        <f aca="false">AR83</f>
        <v>1100</v>
      </c>
      <c r="AD83" s="57" t="n">
        <f aca="false">MAX(AR83,H83)</f>
        <v>1100</v>
      </c>
      <c r="AE83" s="64"/>
      <c r="AF83" s="57" t="n">
        <f aca="false">IF(LEFT(Cockpit!$C$5,1)="A",H83,IF(CA83=1,CB83,IF(LEFT(Cockpit!$C$5,1)="B",AJ83,MAX(AJ83,H83))))</f>
        <v>232</v>
      </c>
      <c r="AG83" s="57" t="n">
        <f aca="false">IF(BT83=1,0,ROUNDUP(AF83/BS83,0))</f>
        <v>1</v>
      </c>
      <c r="AH83" s="59" t="n">
        <f aca="false">IF(CH83&gt;0,CH83*MAX(1,AF83/X83),IF(BT83=1,IF(AF83&lt;=0,0,BW83*MAX(1,IF(H83&gt;0,AF83/H83,1))),IF(R83&gt;0,AG83/R83,0))/MAX(0.1,N(Parameter!$M$21)))</f>
        <v>0.0192307692307692</v>
      </c>
      <c r="AI83" s="57" t="n">
        <f aca="false">AF83*G83</f>
        <v>7043.52</v>
      </c>
      <c r="AJ83" s="57" t="n">
        <f aca="false">ROUNDUP(MAX(J83/IF(BZ83&gt;0,BZ83,MAX(0.1,N(Cockpit!$C$6))),CC83)/BS83,0)*BS83</f>
        <v>1100</v>
      </c>
      <c r="AK83" s="58" t="n">
        <f aca="false">IF(AH83&gt;0,J83/AH83,-1)</f>
        <v>59904</v>
      </c>
      <c r="AL83" s="58" t="n">
        <f aca="false">IF(AND(OR(BY83="L1",BY83="L23"),AH83&gt;0),SUMIFS($AH$7:$AH$1843,$BY$7:$BY$1843,BY83,$AK$7:$AK$1843,"&gt;"&amp;AK83)+SUMIFS($AH$7:$AH$1843,$BY$7:$BY$1843,BY83,$AK$7:$AK$1843,AK83,$BQ$7:$BQ$1843,"&lt;="&amp;BQ83),"")</f>
        <v>0.999155433938043</v>
      </c>
      <c r="AM83" s="65" t="n">
        <f aca="false">IF(AL83="",0,MAX(0,MIN(1,(IF(BY83="L1",Parameter!$E$5,Parameter!$E$6+Parameter!$E$7)-(AL83-AH83))/AH83)))</f>
        <v>1</v>
      </c>
      <c r="AN83" s="57" t="n">
        <f aca="false">IF(LEFT(Cockpit!$I$5,1)="A",H83,IF(CA83=1,CB83,IF(LEFT(Cockpit!$I$5,1)="B",AR83,MAX(AR83,H83))))</f>
        <v>1100</v>
      </c>
      <c r="AO83" s="57" t="n">
        <f aca="false">IF(BT83=1,0,ROUNDUP(AN83/BS83,0))</f>
        <v>2</v>
      </c>
      <c r="AP83" s="59" t="n">
        <f aca="false">IF(CH83&gt;0,CH83*MAX(1,AN83/X83),IF(BT83=1,IF(AN83&lt;=0,0,BW83*MAX(1,IF(H83&gt;0,AN83/H83,1))),IF(R83&gt;0,AO83/R83,0))/MAX(0.1,N(Parameter!$M$21)))</f>
        <v>0.0384615384615385</v>
      </c>
      <c r="AQ83" s="57" t="n">
        <f aca="false">AN83*G83</f>
        <v>33396</v>
      </c>
      <c r="AR83" s="57" t="n">
        <f aca="false">ROUNDUP(MAX(J83/IF(BZ83&gt;0,BZ83,MAX(0.1,N(Cockpit!$I$6))),CC83)/BS83,0)*BS83</f>
        <v>1100</v>
      </c>
      <c r="AS83" s="58" t="n">
        <f aca="false">IF(AP83&gt;0,J83/AP83,-1)</f>
        <v>29952</v>
      </c>
      <c r="AT83" s="58" t="n">
        <f aca="false">IF(AND(OR(BY83="L1",BY83="L23"),AP83&gt;0),SUMIFS($AP$7:$AP$1843,$BY$7:$BY$1843,BY83,$AS$7:$AS$1843,"&gt;"&amp;AS83)+SUMIFS($AP$7:$AP$1843,$BY$7:$BY$1843,BY83,$AS$7:$AS$1843,AS83,$BQ$7:$BQ$1843,"&lt;="&amp;BQ83),"")</f>
        <v>3.05142562751258</v>
      </c>
      <c r="AU83" s="65" t="n">
        <f aca="false">IF(AT83="",0,MAX(0,MIN(1,(IF(BY83="L1",Parameter!$E$5,Parameter!$E$6+Parameter!$E$7)-(AT83-AP83))/AP83)))</f>
        <v>1</v>
      </c>
      <c r="AV83" s="57" t="n">
        <f aca="false">IF(LEFT(Cockpit!$O$5,1)="A",H83,IF(CA83=1,CB83,IF(LEFT(Cockpit!$O$5,1)="B",AZ83,MAX(AZ83,H83))))</f>
        <v>550</v>
      </c>
      <c r="AW83" s="57" t="n">
        <f aca="false">IF(BT83=1,0,ROUNDUP(AV83/BS83,0))</f>
        <v>1</v>
      </c>
      <c r="AX83" s="59" t="n">
        <f aca="false">IF(CH83&gt;0,CH83*MAX(1,AV83/X83),IF(BT83=1,IF(AV83&lt;=0,0,BW83*MAX(1,IF(H83&gt;0,AV83/H83,1))),IF(R83&gt;0,AW83/R83,0))/MAX(0.1,N(Parameter!$M$21)))</f>
        <v>0.0192307692307692</v>
      </c>
      <c r="AY83" s="57" t="n">
        <f aca="false">AV83*G83</f>
        <v>16698</v>
      </c>
      <c r="AZ83" s="57" t="n">
        <f aca="false">ROUNDUP(MAX(J83/IF(BZ83&gt;0,BZ83,MAX(0.1,N(Cockpit!$O$6))),CC83)/BS83,0)*BS83</f>
        <v>550</v>
      </c>
      <c r="BA83" s="58" t="n">
        <f aca="false">IF(AX83&gt;0,J83/AX83,-1)</f>
        <v>59904</v>
      </c>
      <c r="BB83" s="58" t="n">
        <f aca="false">IF(AND(OR(BY83="L1",BY83="L23"),AX83&gt;0),SUMIFS($AX$7:$AX$1843,$BY$7:$BY$1843,BY83,$BA$7:$BA$1843,"&gt;"&amp;BA83)+SUMIFS($AX$7:$AX$1843,$BY$7:$BY$1843,BY83,$BA$7:$BA$1843,BA83,$BQ$7:$BQ$1843,"&lt;="&amp;BQ83),"")</f>
        <v>0.782650923955272</v>
      </c>
      <c r="BC83" s="65" t="n">
        <f aca="false">IF(BB83="",0,MAX(0,MIN(1,(IF(BY83="L1",Parameter!$E$5,Parameter!$E$6+Parameter!$E$7)-(BB83-AX83))/AX83)))</f>
        <v>1</v>
      </c>
      <c r="BD83" s="55" t="str">
        <f aca="false">IF(AH83&lt;=0,"",IF(BY83="Aussen","Aussenlager",IF(BY83="-","Nicht im Lift",IF(AM83&gt;=1,"Lift",IF(AM83&lt;=0,"Aussenlager","teilweise")))))</f>
        <v>Lift</v>
      </c>
      <c r="BE83" s="55" t="str">
        <f aca="false">IF(AP83&lt;=0,"",IF(BY83="Aussen","Aussenlager",IF(BY83="-","Nicht im Lift",IF(AU83&gt;=1,"Lift",IF(AU83&lt;=0,"Aussenlager","teilweise")))))</f>
        <v>Lift</v>
      </c>
      <c r="BF83" s="55" t="str">
        <f aca="false">IF(AX83&lt;=0,"",IF(BY83="Aussen","Aussenlager",IF(BY83="-","Nicht im Lift",IF(BC83&gt;=1,"Lift",IF(BC83&lt;=0,"Aussenlager","teilweise")))))</f>
        <v>Lift</v>
      </c>
      <c r="BG83" s="55" t="str">
        <f aca="false">IF(A83="","",IF(BP83=1,"Neu; ","")&amp;IF(AND(BP83=0,BK83&lt;0),"negativer Bestand (Export "&amp;BK83&amp;"); ","")&amp;IF(J83&lt;=0,"Kein Verbrauch; ","")&amp;IF(CH83&gt;0,"Lift "&amp;W83&amp;" lt. Liftbericht (Fach "&amp;X83&amp;" Stk); ",IF(BU83=1,"Gebinde geschätzt ("&amp;T83&amp;"); ",IF(BT83=1,"Lose – Tablare geschätzt; ","")))&amp;IF(H83&gt;AR83,"Überbestand "&amp;ROUND(H83-AR83,0)&amp;" Stk / CHF "&amp;ROUND((H83-AR83)*G83,0)&amp;"; ","")&amp;IF(AND(CA83=1,CB83&lt;CC83),"MAX &lt; MB+LG; ","")&amp;IF(AND(CG83&gt;0,CF83*10&gt;CG83),"zu hoch für Tablar; ","")&amp;IF(AND(BP83=0,OR(CA83=1,AA83&lt;&gt;"",U83&lt;&gt;"",V83&lt;&gt;"",AB83&lt;&gt;"")),"manuell übersteuert; ","")&amp;IF(AND(BT83=0,R83=0),"Gebinde unbekannt / Stellmass fehlt; ","")&amp;IF(AND(BT83=0,N(V83)&lt;=0,N(Q83)&lt;=0),"Menge pro Gebinde fehlt (Ist = 1 Gebinde); ","")&amp;BO83)</f>
        <v/>
      </c>
      <c r="BH83" s="55"/>
      <c r="BI83" s="55"/>
      <c r="BJ83" s="62"/>
      <c r="BK83" s="57" t="n">
        <v>94</v>
      </c>
      <c r="BL83" s="57" t="n">
        <v>138</v>
      </c>
      <c r="BM83" s="56" t="n">
        <v>2989.54000000002</v>
      </c>
      <c r="BN83" s="57" t="n">
        <v>1152</v>
      </c>
      <c r="BO83" s="55"/>
      <c r="BP83" s="60" t="n">
        <v>0</v>
      </c>
      <c r="BQ83" s="60" t="n">
        <v>83</v>
      </c>
      <c r="BR83" s="55" t="str">
        <f aca="false">IF(U83&lt;&gt;"",UPPER(TRIM(U83)),IF(BU83=1,UPPER(VLOOKUP(T83,Parameter!$I$27:$K$29,2,0)),IF(P83="","LOSE",P83)))</f>
        <v>S41</v>
      </c>
      <c r="BS83" s="57" t="n">
        <f aca="false">IF(BR83="LOSE",1,IF(N(V83)&gt;0,V83,IF(BU83=1,MAX(1,N(VLOOKUP(T83,Parameter!$I$27:$K$29,3,0)),H83,N(N83)),IF(N(Q83)&gt;0,Q83,MAX(1,H83)))))</f>
        <v>550</v>
      </c>
      <c r="BT83" s="60" t="n">
        <f aca="false">IF(BR83="LOSE",1,0)</f>
        <v>0</v>
      </c>
      <c r="BU83" s="60" t="n">
        <f aca="false">IF(AND(U83="",OR(P83="",P83="LOSE"),T83&lt;&gt;"",N(S83)&lt;=0,ISNUMBER(MATCH(T83,Parameter!$I$27:$I$29,0))),1,0)</f>
        <v>0</v>
      </c>
      <c r="BV83" s="55" t="str">
        <f aca="false">IF(AND(Parameter!$B$19="Ja",E83&lt;&gt;"",ISNUMBER(MATCH(E83,Parameter!$I$35:$I$52,0))),VLOOKUP(E83,Parameter!$I$35:$J$52,2,0),IFERROR(VLOOKUP(D83,Parameter!$A$35:$C$64,2,0),"Nein"))</f>
        <v>2+3</v>
      </c>
      <c r="BW83" s="59" t="n">
        <f aca="false">IF(BT83=0,0,IF(N(S83)&gt;0,S83,IFERROR(VLOOKUP(D83,Parameter!$A$35:$C$64,3,0)+0,0)))</f>
        <v>0</v>
      </c>
      <c r="BX83" s="55" t="n">
        <f aca="false">IF(AA83&lt;&gt;"",AA83,Z83)</f>
        <v>3</v>
      </c>
      <c r="BY83" s="55" t="str">
        <f aca="false">IF(BX83=1,"L1",IF(OR(BX83=2,BX83=3),"L23",IF(BX83="Aussen","Aussen","-")))</f>
        <v>L23</v>
      </c>
      <c r="BZ83" s="66" t="n">
        <f aca="false">IF(N(AB83)&gt;0,AB83,0)</f>
        <v>0</v>
      </c>
      <c r="CA83" s="60" t="n">
        <f aca="false">IF(ISNUMBER(AE83),1,0)</f>
        <v>0</v>
      </c>
      <c r="CB83" s="57" t="n">
        <f aca="false">N(AE83)</f>
        <v>0</v>
      </c>
      <c r="CC83" s="57" t="n">
        <f aca="false">N(M83)+N(N83)</f>
        <v>506</v>
      </c>
      <c r="CD83" s="57" t="n">
        <f aca="false">ROUNDUP(H83/BS83,0)</f>
        <v>1</v>
      </c>
      <c r="CE83" s="57" t="n">
        <f aca="false">ROUNDUP(CB83/BS83,0)</f>
        <v>0</v>
      </c>
      <c r="CF83" s="60" t="n">
        <f aca="false">IF(BT83=1,0,IFERROR(VLOOKUP(BR83,'Gebinde-Kategorie'!$A$5:$M$45,5,0)+0,0))</f>
        <v>11</v>
      </c>
      <c r="CG83" s="60" t="n">
        <f aca="false">IFERROR(IF(OR(BX83=1,BX83=2,BX83=3),N(INDEX(Parameter!$I$5:$I$7,BX83)),0),0)</f>
        <v>0</v>
      </c>
      <c r="CH83" s="59" t="n">
        <f aca="false">IF(AND(Parameter!$B$21="Ja",ISNUMBER(W83),N(X83)&gt;0),IFERROR(N(INDEX(Parameter!$L$5:$L$7,W83))*INDEX(Parameter!$E$5:$E$7,W83)*X83/SUMIFS($X$7:$X$1843,$W$7:$W$1843,W83),0),0)</f>
        <v>0</v>
      </c>
    </row>
    <row r="84" customFormat="false" ht="15" hidden="false" customHeight="false" outlineLevel="0" collapsed="false">
      <c r="A84" s="55" t="s">
        <v>375</v>
      </c>
      <c r="B84" s="55" t="s">
        <v>376</v>
      </c>
      <c r="C84" s="55" t="s">
        <v>164</v>
      </c>
      <c r="D84" s="55" t="s">
        <v>184</v>
      </c>
      <c r="E84" s="55" t="s">
        <v>185</v>
      </c>
      <c r="F84" s="55" t="s">
        <v>218</v>
      </c>
      <c r="G84" s="56" t="n">
        <v>58.75</v>
      </c>
      <c r="H84" s="57" t="n">
        <f aca="false">MAX(0,IF(AND(Parameter!$B$21="Ja",ISNUMBER(Y84)),Y84,IF(Parameter!$B$20="Jahresanfang 2025 + Export",BL84+BK84,BK84)))</f>
        <v>161</v>
      </c>
      <c r="I84" s="57" t="n">
        <f aca="false">H84*G84</f>
        <v>9458.75</v>
      </c>
      <c r="J84" s="57" t="n">
        <f aca="false">BN84*Parameter!$B$18</f>
        <v>357</v>
      </c>
      <c r="K84" s="58" t="n">
        <v>91</v>
      </c>
      <c r="L84" s="59" t="n">
        <v>3.92307692307692</v>
      </c>
      <c r="M84" s="57" t="n">
        <v>20</v>
      </c>
      <c r="N84" s="57" t="n">
        <v>80</v>
      </c>
      <c r="O84" s="60" t="n">
        <v>21</v>
      </c>
      <c r="P84" s="55" t="s">
        <v>233</v>
      </c>
      <c r="Q84" s="57" t="n">
        <v>109</v>
      </c>
      <c r="R84" s="60" t="n">
        <f aca="false">IF(BT84=1,0,IFERROR(VLOOKUP(BR84,'Gebinde-Kategorie'!$A$5:$M$45,13,0)+0,0))</f>
        <v>26</v>
      </c>
      <c r="S84" s="61"/>
      <c r="T84" s="62"/>
      <c r="U84" s="62"/>
      <c r="V84" s="62"/>
      <c r="W84" s="55"/>
      <c r="X84" s="57"/>
      <c r="Y84" s="57"/>
      <c r="Z84" s="55" t="n">
        <f aca="false">IF(A84="","",IF(AND(Parameter!$B$21="Ja",ISNUMBER(W84)),W84,IF(BV84="2+3",IF(ISNUMBER(SEARCH("grosser Artikel",BO84)),2,IFERROR(VLOOKUP(BR84,Parameter!$F$35:$G$64,2,0),2)),IF(OR(BV84="Nein",BV84=""),"-",BV84))))</f>
        <v>3</v>
      </c>
      <c r="AA84" s="62"/>
      <c r="AB84" s="63"/>
      <c r="AC84" s="57" t="n">
        <f aca="false">AR84</f>
        <v>218</v>
      </c>
      <c r="AD84" s="57" t="n">
        <f aca="false">MAX(AR84,H84)</f>
        <v>218</v>
      </c>
      <c r="AE84" s="64"/>
      <c r="AF84" s="57" t="n">
        <f aca="false">IF(LEFT(Cockpit!$C$5,1)="A",H84,IF(CA84=1,CB84,IF(LEFT(Cockpit!$C$5,1)="B",AJ84,MAX(AJ84,H84))))</f>
        <v>161</v>
      </c>
      <c r="AG84" s="57" t="n">
        <f aca="false">IF(BT84=1,0,ROUNDUP(AF84/BS84,0))</f>
        <v>2</v>
      </c>
      <c r="AH84" s="59" t="n">
        <f aca="false">IF(CH84&gt;0,CH84*MAX(1,AF84/X84),IF(BT84=1,IF(AF84&lt;=0,0,BW84*MAX(1,IF(H84&gt;0,AF84/H84,1))),IF(R84&gt;0,AG84/R84,0))/MAX(0.1,N(Parameter!$M$21)))</f>
        <v>0.0769230769230769</v>
      </c>
      <c r="AI84" s="57" t="n">
        <f aca="false">AF84*G84</f>
        <v>9458.75</v>
      </c>
      <c r="AJ84" s="57" t="n">
        <f aca="false">ROUNDUP(MAX(J84/IF(BZ84&gt;0,BZ84,MAX(0.1,N(Cockpit!$C$6))),CC84)/BS84,0)*BS84</f>
        <v>218</v>
      </c>
      <c r="AK84" s="58" t="n">
        <f aca="false">IF(AH84&gt;0,J84/AH84,-1)</f>
        <v>4641</v>
      </c>
      <c r="AL84" s="58" t="n">
        <f aca="false">IF(AND(OR(BY84="L1",BY84="L23"),AH84&gt;0),SUMIFS($AH$7:$AH$1843,$BY$7:$BY$1843,BY84,$AK$7:$AK$1843,"&gt;"&amp;AK84)+SUMIFS($AH$7:$AH$1843,$BY$7:$BY$1843,BY84,$AK$7:$AK$1843,AK84,$BQ$7:$BQ$1843,"&lt;="&amp;BQ84),"")</f>
        <v>8.11332387419344</v>
      </c>
      <c r="AM84" s="65" t="n">
        <f aca="false">IF(AL84="",0,MAX(0,MIN(1,(IF(BY84="L1",Parameter!$E$5,Parameter!$E$6+Parameter!$E$7)-(AL84-AH84))/AH84)))</f>
        <v>1</v>
      </c>
      <c r="AN84" s="57" t="n">
        <f aca="false">IF(LEFT(Cockpit!$I$5,1)="A",H84,IF(CA84=1,CB84,IF(LEFT(Cockpit!$I$5,1)="B",AR84,MAX(AR84,H84))))</f>
        <v>218</v>
      </c>
      <c r="AO84" s="57" t="n">
        <f aca="false">IF(BT84=1,0,ROUNDUP(AN84/BS84,0))</f>
        <v>2</v>
      </c>
      <c r="AP84" s="59" t="n">
        <f aca="false">IF(CH84&gt;0,CH84*MAX(1,AN84/X84),IF(BT84=1,IF(AN84&lt;=0,0,BW84*MAX(1,IF(H84&gt;0,AN84/H84,1))),IF(R84&gt;0,AO84/R84,0))/MAX(0.1,N(Parameter!$M$21)))</f>
        <v>0.0769230769230769</v>
      </c>
      <c r="AQ84" s="57" t="n">
        <f aca="false">AN84*G84</f>
        <v>12807.5</v>
      </c>
      <c r="AR84" s="57" t="n">
        <f aca="false">ROUNDUP(MAX(J84/IF(BZ84&gt;0,BZ84,MAX(0.1,N(Cockpit!$I$6))),CC84)/BS84,0)*BS84</f>
        <v>218</v>
      </c>
      <c r="AS84" s="58" t="n">
        <f aca="false">IF(AP84&gt;0,J84/AP84,-1)</f>
        <v>4641</v>
      </c>
      <c r="AT84" s="58" t="n">
        <f aca="false">IF(AND(OR(BY84="L1",BY84="L23"),AP84&gt;0),SUMIFS($AP$7:$AP$1843,$BY$7:$BY$1843,BY84,$AS$7:$AS$1843,"&gt;"&amp;AS84)+SUMIFS($AP$7:$AP$1843,$BY$7:$BY$1843,BY84,$AS$7:$AS$1843,AS84,$BQ$7:$BQ$1843,"&lt;="&amp;BQ84),"")</f>
        <v>12.8289838181143</v>
      </c>
      <c r="AU84" s="65" t="n">
        <f aca="false">IF(AT84="",0,MAX(0,MIN(1,(IF(BY84="L1",Parameter!$E$5,Parameter!$E$6+Parameter!$E$7)-(AT84-AP84))/AP84)))</f>
        <v>1</v>
      </c>
      <c r="AV84" s="57" t="n">
        <f aca="false">IF(LEFT(Cockpit!$O$5,1)="A",H84,IF(CA84=1,CB84,IF(LEFT(Cockpit!$O$5,1)="B",AZ84,MAX(AZ84,H84))))</f>
        <v>218</v>
      </c>
      <c r="AW84" s="57" t="n">
        <f aca="false">IF(BT84=1,0,ROUNDUP(AV84/BS84,0))</f>
        <v>2</v>
      </c>
      <c r="AX84" s="59" t="n">
        <f aca="false">IF(CH84&gt;0,CH84*MAX(1,AV84/X84),IF(BT84=1,IF(AV84&lt;=0,0,BW84*MAX(1,IF(H84&gt;0,AV84/H84,1))),IF(R84&gt;0,AW84/R84,0))/MAX(0.1,N(Parameter!$M$21)))</f>
        <v>0.0769230769230769</v>
      </c>
      <c r="AY84" s="57" t="n">
        <f aca="false">AV84*G84</f>
        <v>12807.5</v>
      </c>
      <c r="AZ84" s="57" t="n">
        <f aca="false">ROUNDUP(MAX(J84/IF(BZ84&gt;0,BZ84,MAX(0.1,N(Cockpit!$O$6))),CC84)/BS84,0)*BS84</f>
        <v>218</v>
      </c>
      <c r="BA84" s="58" t="n">
        <f aca="false">IF(AX84&gt;0,J84/AX84,-1)</f>
        <v>4641</v>
      </c>
      <c r="BB84" s="58" t="n">
        <f aca="false">IF(AND(OR(BY84="L1",BY84="L23"),AX84&gt;0),SUMIFS($AX$7:$AX$1843,$BY$7:$BY$1843,BY84,$BA$7:$BA$1843,"&gt;"&amp;BA84)+SUMIFS($AX$7:$AX$1843,$BY$7:$BY$1843,BY84,$BA$7:$BA$1843,BA84,$BQ$7:$BQ$1843,"&lt;="&amp;BQ84),"")</f>
        <v>11.3960001351306</v>
      </c>
      <c r="BC84" s="65" t="n">
        <f aca="false">IF(BB84="",0,MAX(0,MIN(1,(IF(BY84="L1",Parameter!$E$5,Parameter!$E$6+Parameter!$E$7)-(BB84-AX84))/AX84)))</f>
        <v>1</v>
      </c>
      <c r="BD84" s="55" t="str">
        <f aca="false">IF(AH84&lt;=0,"",IF(BY84="Aussen","Aussenlager",IF(BY84="-","Nicht im Lift",IF(AM84&gt;=1,"Lift",IF(AM84&lt;=0,"Aussenlager","teilweise")))))</f>
        <v>Lift</v>
      </c>
      <c r="BE84" s="55" t="str">
        <f aca="false">IF(AP84&lt;=0,"",IF(BY84="Aussen","Aussenlager",IF(BY84="-","Nicht im Lift",IF(AU84&gt;=1,"Lift",IF(AU84&lt;=0,"Aussenlager","teilweise")))))</f>
        <v>Lift</v>
      </c>
      <c r="BF84" s="55" t="str">
        <f aca="false">IF(AX84&lt;=0,"",IF(BY84="Aussen","Aussenlager",IF(BY84="-","Nicht im Lift",IF(BC84&gt;=1,"Lift",IF(BC84&lt;=0,"Aussenlager","teilweise")))))</f>
        <v>Lift</v>
      </c>
      <c r="BG84" s="55" t="str">
        <f aca="false">IF(A84="","",IF(BP84=1,"Neu; ","")&amp;IF(AND(BP84=0,BK84&lt;0),"negativer Bestand (Export "&amp;BK84&amp;"); ","")&amp;IF(J84&lt;=0,"Kein Verbrauch; ","")&amp;IF(CH84&gt;0,"Lift "&amp;W84&amp;" lt. Liftbericht (Fach "&amp;X84&amp;" Stk); ",IF(BU84=1,"Gebinde geschätzt ("&amp;T84&amp;"); ",IF(BT84=1,"Lose – Tablare geschätzt; ","")))&amp;IF(H84&gt;AR84,"Überbestand "&amp;ROUND(H84-AR84,0)&amp;" Stk / CHF "&amp;ROUND((H84-AR84)*G84,0)&amp;"; ","")&amp;IF(AND(CA84=1,CB84&lt;CC84),"MAX &lt; MB+LG; ","")&amp;IF(AND(CG84&gt;0,CF84*10&gt;CG84),"zu hoch für Tablar; ","")&amp;IF(AND(BP84=0,OR(CA84=1,AA84&lt;&gt;"",U84&lt;&gt;"",V84&lt;&gt;"",AB84&lt;&gt;"")),"manuell übersteuert; ","")&amp;IF(AND(BT84=0,R84=0),"Gebinde unbekannt / Stellmass fehlt; ","")&amp;IF(AND(BT84=0,N(V84)&lt;=0,N(Q84)&lt;=0),"Menge pro Gebinde fehlt (Ist = 1 Gebinde); ","")&amp;BO84)</f>
        <v/>
      </c>
      <c r="BH84" s="55"/>
      <c r="BI84" s="55"/>
      <c r="BJ84" s="62"/>
      <c r="BK84" s="57" t="n">
        <v>50</v>
      </c>
      <c r="BL84" s="57" t="n">
        <v>111</v>
      </c>
      <c r="BM84" s="56" t="n">
        <v>2976.35</v>
      </c>
      <c r="BN84" s="57" t="n">
        <v>357</v>
      </c>
      <c r="BO84" s="55"/>
      <c r="BP84" s="60" t="n">
        <v>0</v>
      </c>
      <c r="BQ84" s="60" t="n">
        <v>84</v>
      </c>
      <c r="BR84" s="55" t="str">
        <f aca="false">IF(U84&lt;&gt;"",UPPER(TRIM(U84)),IF(BU84=1,UPPER(VLOOKUP(T84,Parameter!$I$27:$K$29,2,0)),IF(P84="","LOSE",P84)))</f>
        <v>S52</v>
      </c>
      <c r="BS84" s="57" t="n">
        <f aca="false">IF(BR84="LOSE",1,IF(N(V84)&gt;0,V84,IF(BU84=1,MAX(1,N(VLOOKUP(T84,Parameter!$I$27:$K$29,3,0)),H84,N(N84)),IF(N(Q84)&gt;0,Q84,MAX(1,H84)))))</f>
        <v>109</v>
      </c>
      <c r="BT84" s="60" t="n">
        <f aca="false">IF(BR84="LOSE",1,0)</f>
        <v>0</v>
      </c>
      <c r="BU84" s="60" t="n">
        <f aca="false">IF(AND(U84="",OR(P84="",P84="LOSE"),T84&lt;&gt;"",N(S84)&lt;=0,ISNUMBER(MATCH(T84,Parameter!$I$27:$I$29,0))),1,0)</f>
        <v>0</v>
      </c>
      <c r="BV84" s="55" t="str">
        <f aca="false">IF(AND(Parameter!$B$19="Ja",E84&lt;&gt;"",ISNUMBER(MATCH(E84,Parameter!$I$35:$I$52,0))),VLOOKUP(E84,Parameter!$I$35:$J$52,2,0),IFERROR(VLOOKUP(D84,Parameter!$A$35:$C$64,2,0),"Nein"))</f>
        <v>2+3</v>
      </c>
      <c r="BW84" s="59" t="n">
        <f aca="false">IF(BT84=0,0,IF(N(S84)&gt;0,S84,IFERROR(VLOOKUP(D84,Parameter!$A$35:$C$64,3,0)+0,0)))</f>
        <v>0</v>
      </c>
      <c r="BX84" s="55" t="n">
        <f aca="false">IF(AA84&lt;&gt;"",AA84,Z84)</f>
        <v>3</v>
      </c>
      <c r="BY84" s="55" t="str">
        <f aca="false">IF(BX84=1,"L1",IF(OR(BX84=2,BX84=3),"L23",IF(BX84="Aussen","Aussen","-")))</f>
        <v>L23</v>
      </c>
      <c r="BZ84" s="66" t="n">
        <f aca="false">IF(N(AB84)&gt;0,AB84,0)</f>
        <v>0</v>
      </c>
      <c r="CA84" s="60" t="n">
        <f aca="false">IF(ISNUMBER(AE84),1,0)</f>
        <v>0</v>
      </c>
      <c r="CB84" s="57" t="n">
        <f aca="false">N(AE84)</f>
        <v>0</v>
      </c>
      <c r="CC84" s="57" t="n">
        <f aca="false">N(M84)+N(N84)</f>
        <v>100</v>
      </c>
      <c r="CD84" s="57" t="n">
        <f aca="false">ROUNDUP(H84/BS84,0)</f>
        <v>2</v>
      </c>
      <c r="CE84" s="57" t="n">
        <f aca="false">ROUNDUP(CB84/BS84,0)</f>
        <v>0</v>
      </c>
      <c r="CF84" s="60" t="n">
        <f aca="false">IF(BT84=1,0,IFERROR(VLOOKUP(BR84,'Gebinde-Kategorie'!$A$5:$M$45,5,0)+0,0))</f>
        <v>21</v>
      </c>
      <c r="CG84" s="60" t="n">
        <f aca="false">IFERROR(IF(OR(BX84=1,BX84=2,BX84=3),N(INDEX(Parameter!$I$5:$I$7,BX84)),0),0)</f>
        <v>0</v>
      </c>
      <c r="CH84" s="59" t="n">
        <f aca="false">IF(AND(Parameter!$B$21="Ja",ISNUMBER(W84),N(X84)&gt;0),IFERROR(N(INDEX(Parameter!$L$5:$L$7,W84))*INDEX(Parameter!$E$5:$E$7,W84)*X84/SUMIFS($X$7:$X$1843,$W$7:$W$1843,W84),0),0)</f>
        <v>0</v>
      </c>
    </row>
    <row r="85" customFormat="false" ht="15" hidden="false" customHeight="false" outlineLevel="0" collapsed="false">
      <c r="A85" s="55" t="s">
        <v>377</v>
      </c>
      <c r="B85" s="55" t="s">
        <v>281</v>
      </c>
      <c r="C85" s="55" t="s">
        <v>164</v>
      </c>
      <c r="D85" s="55" t="s">
        <v>173</v>
      </c>
      <c r="E85" s="55" t="s">
        <v>185</v>
      </c>
      <c r="F85" s="55" t="s">
        <v>218</v>
      </c>
      <c r="G85" s="56" t="n">
        <v>249.96</v>
      </c>
      <c r="H85" s="57" t="n">
        <f aca="false">MAX(0,IF(AND(Parameter!$B$21="Ja",ISNUMBER(Y85)),Y85,IF(Parameter!$B$20="Jahresanfang 2025 + Export",BL85+BK85,BK85)))</f>
        <v>29</v>
      </c>
      <c r="I85" s="57" t="n">
        <f aca="false">H85*G85</f>
        <v>7248.84</v>
      </c>
      <c r="J85" s="57" t="n">
        <f aca="false">BN85*Parameter!$B$18</f>
        <v>62</v>
      </c>
      <c r="K85" s="58" t="n">
        <v>22.5</v>
      </c>
      <c r="L85" s="59" t="n">
        <v>2.75555555555556</v>
      </c>
      <c r="M85" s="57" t="n">
        <v>4</v>
      </c>
      <c r="N85" s="57" t="n">
        <v>20</v>
      </c>
      <c r="O85" s="60" t="n">
        <v>21</v>
      </c>
      <c r="P85" s="55" t="s">
        <v>259</v>
      </c>
      <c r="Q85" s="57" t="n">
        <v>31</v>
      </c>
      <c r="R85" s="60" t="n">
        <f aca="false">IF(BT85=1,0,IFERROR(VLOOKUP(BR85,'Gebinde-Kategorie'!$A$5:$M$45,13,0)+0,0))</f>
        <v>6</v>
      </c>
      <c r="S85" s="61"/>
      <c r="T85" s="62"/>
      <c r="U85" s="62"/>
      <c r="V85" s="62"/>
      <c r="W85" s="55"/>
      <c r="X85" s="57"/>
      <c r="Y85" s="57"/>
      <c r="Z85" s="55" t="n">
        <f aca="false">IF(A85="","",IF(AND(Parameter!$B$21="Ja",ISNUMBER(W85)),W85,IF(BV85="2+3",IF(ISNUMBER(SEARCH("grosser Artikel",BO85)),2,IFERROR(VLOOKUP(BR85,Parameter!$F$35:$G$64,2,0),2)),IF(OR(BV85="Nein",BV85=""),"-",BV85))))</f>
        <v>2</v>
      </c>
      <c r="AA85" s="62"/>
      <c r="AB85" s="63"/>
      <c r="AC85" s="57" t="n">
        <f aca="false">AR85</f>
        <v>31</v>
      </c>
      <c r="AD85" s="57" t="n">
        <f aca="false">MAX(AR85,H85)</f>
        <v>31</v>
      </c>
      <c r="AE85" s="64"/>
      <c r="AF85" s="57" t="n">
        <f aca="false">IF(LEFT(Cockpit!$C$5,1)="A",H85,IF(CA85=1,CB85,IF(LEFT(Cockpit!$C$5,1)="B",AJ85,MAX(AJ85,H85))))</f>
        <v>29</v>
      </c>
      <c r="AG85" s="57" t="n">
        <f aca="false">IF(BT85=1,0,ROUNDUP(AF85/BS85,0))</f>
        <v>1</v>
      </c>
      <c r="AH85" s="59" t="n">
        <f aca="false">IF(CH85&gt;0,CH85*MAX(1,AF85/X85),IF(BT85=1,IF(AF85&lt;=0,0,BW85*MAX(1,IF(H85&gt;0,AF85/H85,1))),IF(R85&gt;0,AG85/R85,0))/MAX(0.1,N(Parameter!$M$21)))</f>
        <v>0.166666666666667</v>
      </c>
      <c r="AI85" s="57" t="n">
        <f aca="false">AF85*G85</f>
        <v>7248.84</v>
      </c>
      <c r="AJ85" s="57" t="n">
        <f aca="false">ROUNDUP(MAX(J85/IF(BZ85&gt;0,BZ85,MAX(0.1,N(Cockpit!$C$6))),CC85)/BS85,0)*BS85</f>
        <v>31</v>
      </c>
      <c r="AK85" s="58" t="n">
        <f aca="false">IF(AH85&gt;0,J85/AH85,-1)</f>
        <v>372</v>
      </c>
      <c r="AL85" s="58" t="n">
        <f aca="false">IF(AND(OR(BY85="L1",BY85="L23"),AH85&gt;0),SUMIFS($AH$7:$AH$1843,$BY$7:$BY$1843,BY85,$AK$7:$AK$1843,"&gt;"&amp;AK85)+SUMIFS($AH$7:$AH$1843,$BY$7:$BY$1843,BY85,$AK$7:$AK$1843,AK85,$BQ$7:$BQ$1843,"&lt;="&amp;BQ85),"")</f>
        <v>26.7710719232458</v>
      </c>
      <c r="AM85" s="65" t="n">
        <f aca="false">IF(AL85="",0,MAX(0,MIN(1,(IF(BY85="L1",Parameter!$E$5,Parameter!$E$6+Parameter!$E$7)-(AL85-AH85))/AH85)))</f>
        <v>1</v>
      </c>
      <c r="AN85" s="57" t="n">
        <f aca="false">IF(LEFT(Cockpit!$I$5,1)="A",H85,IF(CA85=1,CB85,IF(LEFT(Cockpit!$I$5,1)="B",AR85,MAX(AR85,H85))))</f>
        <v>31</v>
      </c>
      <c r="AO85" s="57" t="n">
        <f aca="false">IF(BT85=1,0,ROUNDUP(AN85/BS85,0))</f>
        <v>1</v>
      </c>
      <c r="AP85" s="59" t="n">
        <f aca="false">IF(CH85&gt;0,CH85*MAX(1,AN85/X85),IF(BT85=1,IF(AN85&lt;=0,0,BW85*MAX(1,IF(H85&gt;0,AN85/H85,1))),IF(R85&gt;0,AO85/R85,0))/MAX(0.1,N(Parameter!$M$21)))</f>
        <v>0.166666666666667</v>
      </c>
      <c r="AQ85" s="57" t="n">
        <f aca="false">AN85*G85</f>
        <v>7748.76</v>
      </c>
      <c r="AR85" s="57" t="n">
        <f aca="false">ROUNDUP(MAX(J85/IF(BZ85&gt;0,BZ85,MAX(0.1,N(Cockpit!$I$6))),CC85)/BS85,0)*BS85</f>
        <v>31</v>
      </c>
      <c r="AS85" s="58" t="n">
        <f aca="false">IF(AP85&gt;0,J85/AP85,-1)</f>
        <v>372</v>
      </c>
      <c r="AT85" s="58" t="n">
        <f aca="false">IF(AND(OR(BY85="L1",BY85="L23"),AP85&gt;0),SUMIFS($AP$7:$AP$1843,$BY$7:$BY$1843,BY85,$AS$7:$AS$1843,"&gt;"&amp;AS85)+SUMIFS($AP$7:$AP$1843,$BY$7:$BY$1843,BY85,$AS$7:$AS$1843,AS85,$BQ$7:$BQ$1843,"&lt;="&amp;BQ85),"")</f>
        <v>36.406734569778</v>
      </c>
      <c r="AU85" s="65" t="n">
        <f aca="false">IF(AT85="",0,MAX(0,MIN(1,(IF(BY85="L1",Parameter!$E$5,Parameter!$E$6+Parameter!$E$7)-(AT85-AP85))/AP85)))</f>
        <v>1</v>
      </c>
      <c r="AV85" s="57" t="n">
        <f aca="false">IF(LEFT(Cockpit!$O$5,1)="A",H85,IF(CA85=1,CB85,IF(LEFT(Cockpit!$O$5,1)="B",AZ85,MAX(AZ85,H85))))</f>
        <v>31</v>
      </c>
      <c r="AW85" s="57" t="n">
        <f aca="false">IF(BT85=1,0,ROUNDUP(AV85/BS85,0))</f>
        <v>1</v>
      </c>
      <c r="AX85" s="59" t="n">
        <f aca="false">IF(CH85&gt;0,CH85*MAX(1,AV85/X85),IF(BT85=1,IF(AV85&lt;=0,0,BW85*MAX(1,IF(H85&gt;0,AV85/H85,1))),IF(R85&gt;0,AW85/R85,0))/MAX(0.1,N(Parameter!$M$21)))</f>
        <v>0.166666666666667</v>
      </c>
      <c r="AY85" s="57" t="n">
        <f aca="false">AV85*G85</f>
        <v>7748.76</v>
      </c>
      <c r="AZ85" s="57" t="n">
        <f aca="false">ROUNDUP(MAX(J85/IF(BZ85&gt;0,BZ85,MAX(0.1,N(Cockpit!$O$6))),CC85)/BS85,0)*BS85</f>
        <v>31</v>
      </c>
      <c r="BA85" s="58" t="n">
        <f aca="false">IF(AX85&gt;0,J85/AX85,-1)</f>
        <v>372</v>
      </c>
      <c r="BB85" s="58" t="n">
        <f aca="false">IF(AND(OR(BY85="L1",BY85="L23"),AX85&gt;0),SUMIFS($AX$7:$AX$1843,$BY$7:$BY$1843,BY85,$BA$7:$BA$1843,"&gt;"&amp;BA85)+SUMIFS($AX$7:$AX$1843,$BY$7:$BY$1843,BY85,$BA$7:$BA$1843,BA85,$BQ$7:$BQ$1843,"&lt;="&amp;BQ85),"")</f>
        <v>35.6532380662815</v>
      </c>
      <c r="BC85" s="65" t="n">
        <f aca="false">IF(BB85="",0,MAX(0,MIN(1,(IF(BY85="L1",Parameter!$E$5,Parameter!$E$6+Parameter!$E$7)-(BB85-AX85))/AX85)))</f>
        <v>1</v>
      </c>
      <c r="BD85" s="55" t="str">
        <f aca="false">IF(AH85&lt;=0,"",IF(BY85="Aussen","Aussenlager",IF(BY85="-","Nicht im Lift",IF(AM85&gt;=1,"Lift",IF(AM85&lt;=0,"Aussenlager","teilweise")))))</f>
        <v>Lift</v>
      </c>
      <c r="BE85" s="55" t="str">
        <f aca="false">IF(AP85&lt;=0,"",IF(BY85="Aussen","Aussenlager",IF(BY85="-","Nicht im Lift",IF(AU85&gt;=1,"Lift",IF(AU85&lt;=0,"Aussenlager","teilweise")))))</f>
        <v>Lift</v>
      </c>
      <c r="BF85" s="55" t="str">
        <f aca="false">IF(AX85&lt;=0,"",IF(BY85="Aussen","Aussenlager",IF(BY85="-","Nicht im Lift",IF(BC85&gt;=1,"Lift",IF(BC85&lt;=0,"Aussenlager","teilweise")))))</f>
        <v>Lift</v>
      </c>
      <c r="BG85" s="55" t="str">
        <f aca="false">IF(A85="","",IF(BP85=1,"Neu; ","")&amp;IF(AND(BP85=0,BK85&lt;0),"negativer Bestand (Export "&amp;BK85&amp;"); ","")&amp;IF(J85&lt;=0,"Kein Verbrauch; ","")&amp;IF(CH85&gt;0,"Lift "&amp;W85&amp;" lt. Liftbericht (Fach "&amp;X85&amp;" Stk); ",IF(BU85=1,"Gebinde geschätzt ("&amp;T85&amp;"); ",IF(BT85=1,"Lose – Tablare geschätzt; ","")))&amp;IF(H85&gt;AR85,"Überbestand "&amp;ROUND(H85-AR85,0)&amp;" Stk / CHF "&amp;ROUND((H85-AR85)*G85,0)&amp;"; ","")&amp;IF(AND(CA85=1,CB85&lt;CC85),"MAX &lt; MB+LG; ","")&amp;IF(AND(CG85&gt;0,CF85*10&gt;CG85),"zu hoch für Tablar; ","")&amp;IF(AND(BP85=0,OR(CA85=1,AA85&lt;&gt;"",U85&lt;&gt;"",V85&lt;&gt;"",AB85&lt;&gt;"")),"manuell übersteuert; ","")&amp;IF(AND(BT85=0,R85=0),"Gebinde unbekannt / Stellmass fehlt; ","")&amp;IF(AND(BT85=0,N(V85)&lt;=0,N(Q85)&lt;=0),"Menge pro Gebinde fehlt (Ist = 1 Gebinde); ","")&amp;BO85)</f>
        <v>grosser Artikel &amp; nicht im KTL</v>
      </c>
      <c r="BH85" s="55"/>
      <c r="BI85" s="55"/>
      <c r="BJ85" s="62"/>
      <c r="BK85" s="57" t="n">
        <v>15</v>
      </c>
      <c r="BL85" s="57" t="n">
        <v>14</v>
      </c>
      <c r="BM85" s="56" t="n">
        <v>2968.34</v>
      </c>
      <c r="BN85" s="57" t="n">
        <v>62</v>
      </c>
      <c r="BO85" s="55" t="s">
        <v>261</v>
      </c>
      <c r="BP85" s="60" t="n">
        <v>0</v>
      </c>
      <c r="BQ85" s="60" t="n">
        <v>85</v>
      </c>
      <c r="BR85" s="55" t="str">
        <f aca="false">IF(U85&lt;&gt;"",UPPER(TRIM(U85)),IF(BU85=1,UPPER(VLOOKUP(T85,Parameter!$I$27:$K$29,2,0)),IF(P85="","LOSE",P85)))</f>
        <v>S72</v>
      </c>
      <c r="BS85" s="57" t="n">
        <f aca="false">IF(BR85="LOSE",1,IF(N(V85)&gt;0,V85,IF(BU85=1,MAX(1,N(VLOOKUP(T85,Parameter!$I$27:$K$29,3,0)),H85,N(N85)),IF(N(Q85)&gt;0,Q85,MAX(1,H85)))))</f>
        <v>31</v>
      </c>
      <c r="BT85" s="60" t="n">
        <f aca="false">IF(BR85="LOSE",1,0)</f>
        <v>0</v>
      </c>
      <c r="BU85" s="60" t="n">
        <f aca="false">IF(AND(U85="",OR(P85="",P85="LOSE"),T85&lt;&gt;"",N(S85)&lt;=0,ISNUMBER(MATCH(T85,Parameter!$I$27:$I$29,0))),1,0)</f>
        <v>0</v>
      </c>
      <c r="BV85" s="55" t="str">
        <f aca="false">IF(AND(Parameter!$B$19="Ja",E85&lt;&gt;"",ISNUMBER(MATCH(E85,Parameter!$I$35:$I$52,0))),VLOOKUP(E85,Parameter!$I$35:$J$52,2,0),IFERROR(VLOOKUP(D85,Parameter!$A$35:$C$64,2,0),"Nein"))</f>
        <v>2+3</v>
      </c>
      <c r="BW85" s="59" t="n">
        <f aca="false">IF(BT85=0,0,IF(N(S85)&gt;0,S85,IFERROR(VLOOKUP(D85,Parameter!$A$35:$C$64,3,0)+0,0)))</f>
        <v>0</v>
      </c>
      <c r="BX85" s="55" t="n">
        <f aca="false">IF(AA85&lt;&gt;"",AA85,Z85)</f>
        <v>2</v>
      </c>
      <c r="BY85" s="55" t="str">
        <f aca="false">IF(BX85=1,"L1",IF(OR(BX85=2,BX85=3),"L23",IF(BX85="Aussen","Aussen","-")))</f>
        <v>L23</v>
      </c>
      <c r="BZ85" s="66" t="n">
        <f aca="false">IF(N(AB85)&gt;0,AB85,0)</f>
        <v>0</v>
      </c>
      <c r="CA85" s="60" t="n">
        <f aca="false">IF(ISNUMBER(AE85),1,0)</f>
        <v>0</v>
      </c>
      <c r="CB85" s="57" t="n">
        <f aca="false">N(AE85)</f>
        <v>0</v>
      </c>
      <c r="CC85" s="57" t="n">
        <f aca="false">N(M85)+N(N85)</f>
        <v>24</v>
      </c>
      <c r="CD85" s="57" t="n">
        <f aca="false">ROUNDUP(H85/BS85,0)</f>
        <v>1</v>
      </c>
      <c r="CE85" s="57" t="n">
        <f aca="false">ROUNDUP(CB85/BS85,0)</f>
        <v>0</v>
      </c>
      <c r="CF85" s="60" t="n">
        <f aca="false">IF(BT85=1,0,IFERROR(VLOOKUP(BR85,'Gebinde-Kategorie'!$A$5:$M$45,5,0)+0,0))</f>
        <v>40</v>
      </c>
      <c r="CG85" s="60" t="n">
        <f aca="false">IFERROR(IF(OR(BX85=1,BX85=2,BX85=3),N(INDEX(Parameter!$I$5:$I$7,BX85)),0),0)</f>
        <v>0</v>
      </c>
      <c r="CH85" s="59" t="n">
        <f aca="false">IF(AND(Parameter!$B$21="Ja",ISNUMBER(W85),N(X85)&gt;0),IFERROR(N(INDEX(Parameter!$L$5:$L$7,W85))*INDEX(Parameter!$E$5:$E$7,W85)*X85/SUMIFS($X$7:$X$1843,$W$7:$W$1843,W85),0),0)</f>
        <v>0</v>
      </c>
    </row>
    <row r="86" customFormat="false" ht="15" hidden="false" customHeight="false" outlineLevel="0" collapsed="false">
      <c r="A86" s="55" t="s">
        <v>378</v>
      </c>
      <c r="B86" s="55" t="s">
        <v>379</v>
      </c>
      <c r="C86" s="55" t="s">
        <v>164</v>
      </c>
      <c r="D86" s="55" t="s">
        <v>173</v>
      </c>
      <c r="E86" s="55"/>
      <c r="F86" s="55" t="s">
        <v>218</v>
      </c>
      <c r="G86" s="56" t="n">
        <v>423.8</v>
      </c>
      <c r="H86" s="57" t="n">
        <f aca="false">MAX(0,IF(AND(Parameter!$B$21="Ja",ISNUMBER(Y86)),Y86,IF(Parameter!$B$20="Jahresanfang 2025 + Export",BL86+BK86,BK86)))</f>
        <v>7</v>
      </c>
      <c r="I86" s="57" t="n">
        <f aca="false">H86*G86</f>
        <v>2966.6</v>
      </c>
      <c r="J86" s="57" t="n">
        <f aca="false">BN86*Parameter!$B$18</f>
        <v>32</v>
      </c>
      <c r="K86" s="58" t="n">
        <v>14.5</v>
      </c>
      <c r="L86" s="59" t="n">
        <v>2.20689655172414</v>
      </c>
      <c r="M86" s="57" t="n">
        <v>5</v>
      </c>
      <c r="N86" s="57" t="n">
        <v>15</v>
      </c>
      <c r="O86" s="60" t="n">
        <v>63</v>
      </c>
      <c r="P86" s="55" t="s">
        <v>174</v>
      </c>
      <c r="Q86" s="57" t="n">
        <v>22</v>
      </c>
      <c r="R86" s="60" t="n">
        <f aca="false">IF(BT86=1,0,IFERROR(VLOOKUP(BR86,'Gebinde-Kategorie'!$A$5:$M$45,13,0)+0,0))</f>
        <v>6</v>
      </c>
      <c r="S86" s="61"/>
      <c r="T86" s="62"/>
      <c r="U86" s="62"/>
      <c r="V86" s="62"/>
      <c r="W86" s="55"/>
      <c r="X86" s="57"/>
      <c r="Y86" s="57"/>
      <c r="Z86" s="55" t="n">
        <f aca="false">IF(A86="","",IF(AND(Parameter!$B$21="Ja",ISNUMBER(W86)),W86,IF(BV86="2+3",IF(ISNUMBER(SEARCH("grosser Artikel",BO86)),2,IFERROR(VLOOKUP(BR86,Parameter!$F$35:$G$64,2,0),2)),IF(OR(BV86="Nein",BV86=""),"-",BV86))))</f>
        <v>2</v>
      </c>
      <c r="AA86" s="62"/>
      <c r="AB86" s="63"/>
      <c r="AC86" s="57" t="n">
        <f aca="false">AR86</f>
        <v>22</v>
      </c>
      <c r="AD86" s="57" t="n">
        <f aca="false">MAX(AR86,H86)</f>
        <v>22</v>
      </c>
      <c r="AE86" s="64"/>
      <c r="AF86" s="57" t="n">
        <f aca="false">IF(LEFT(Cockpit!$C$5,1)="A",H86,IF(CA86=1,CB86,IF(LEFT(Cockpit!$C$5,1)="B",AJ86,MAX(AJ86,H86))))</f>
        <v>7</v>
      </c>
      <c r="AG86" s="57" t="n">
        <f aca="false">IF(BT86=1,0,ROUNDUP(AF86/BS86,0))</f>
        <v>1</v>
      </c>
      <c r="AH86" s="59" t="n">
        <f aca="false">IF(CH86&gt;0,CH86*MAX(1,AF86/X86),IF(BT86=1,IF(AF86&lt;=0,0,BW86*MAX(1,IF(H86&gt;0,AF86/H86,1))),IF(R86&gt;0,AG86/R86,0))/MAX(0.1,N(Parameter!$M$21)))</f>
        <v>0.166666666666667</v>
      </c>
      <c r="AI86" s="57" t="n">
        <f aca="false">AF86*G86</f>
        <v>2966.6</v>
      </c>
      <c r="AJ86" s="57" t="n">
        <f aca="false">ROUNDUP(MAX(J86/IF(BZ86&gt;0,BZ86,MAX(0.1,N(Cockpit!$C$6))),CC86)/BS86,0)*BS86</f>
        <v>22</v>
      </c>
      <c r="AK86" s="58" t="n">
        <f aca="false">IF(AH86&gt;0,J86/AH86,-1)</f>
        <v>192</v>
      </c>
      <c r="AL86" s="58" t="n">
        <f aca="false">IF(AND(OR(BY86="L1",BY86="L23"),AH86&gt;0),SUMIFS($AH$7:$AH$1843,$BY$7:$BY$1843,BY86,$AK$7:$AK$1843,"&gt;"&amp;AK86)+SUMIFS($AH$7:$AH$1843,$BY$7:$BY$1843,BY86,$AK$7:$AK$1843,AK86,$BQ$7:$BQ$1843,"&lt;="&amp;BQ86),"")</f>
        <v>32.7334802878281</v>
      </c>
      <c r="AM86" s="65" t="n">
        <f aca="false">IF(AL86="",0,MAX(0,MIN(1,(IF(BY86="L1",Parameter!$E$5,Parameter!$E$6+Parameter!$E$7)-(AL86-AH86))/AH86)))</f>
        <v>1</v>
      </c>
      <c r="AN86" s="57" t="n">
        <f aca="false">IF(LEFT(Cockpit!$I$5,1)="A",H86,IF(CA86=1,CB86,IF(LEFT(Cockpit!$I$5,1)="B",AR86,MAX(AR86,H86))))</f>
        <v>22</v>
      </c>
      <c r="AO86" s="57" t="n">
        <f aca="false">IF(BT86=1,0,ROUNDUP(AN86/BS86,0))</f>
        <v>1</v>
      </c>
      <c r="AP86" s="59" t="n">
        <f aca="false">IF(CH86&gt;0,CH86*MAX(1,AN86/X86),IF(BT86=1,IF(AN86&lt;=0,0,BW86*MAX(1,IF(H86&gt;0,AN86/H86,1))),IF(R86&gt;0,AO86/R86,0))/MAX(0.1,N(Parameter!$M$21)))</f>
        <v>0.166666666666667</v>
      </c>
      <c r="AQ86" s="57" t="n">
        <f aca="false">AN86*G86</f>
        <v>9323.6</v>
      </c>
      <c r="AR86" s="57" t="n">
        <f aca="false">ROUNDUP(MAX(J86/IF(BZ86&gt;0,BZ86,MAX(0.1,N(Cockpit!$I$6))),CC86)/BS86,0)*BS86</f>
        <v>22</v>
      </c>
      <c r="AS86" s="58" t="n">
        <f aca="false">IF(AP86&gt;0,J86/AP86,-1)</f>
        <v>192</v>
      </c>
      <c r="AT86" s="58" t="n">
        <f aca="false">IF(AND(OR(BY86="L1",BY86="L23"),AP86&gt;0),SUMIFS($AP$7:$AP$1843,$BY$7:$BY$1843,BY86,$AS$7:$AS$1843,"&gt;"&amp;AS86)+SUMIFS($AP$7:$AP$1843,$BY$7:$BY$1843,BY86,$AS$7:$AS$1843,AS86,$BQ$7:$BQ$1843,"&lt;="&amp;BQ86),"")</f>
        <v>47.517161582379</v>
      </c>
      <c r="AU86" s="65" t="n">
        <f aca="false">IF(AT86="",0,MAX(0,MIN(1,(IF(BY86="L1",Parameter!$E$5,Parameter!$E$6+Parameter!$E$7)-(AT86-AP86))/AP86)))</f>
        <v>1</v>
      </c>
      <c r="AV86" s="57" t="n">
        <f aca="false">IF(LEFT(Cockpit!$O$5,1)="A",H86,IF(CA86=1,CB86,IF(LEFT(Cockpit!$O$5,1)="B",AZ86,MAX(AZ86,H86))))</f>
        <v>22</v>
      </c>
      <c r="AW86" s="57" t="n">
        <f aca="false">IF(BT86=1,0,ROUNDUP(AV86/BS86,0))</f>
        <v>1</v>
      </c>
      <c r="AX86" s="59" t="n">
        <f aca="false">IF(CH86&gt;0,CH86*MAX(1,AV86/X86),IF(BT86=1,IF(AV86&lt;=0,0,BW86*MAX(1,IF(H86&gt;0,AV86/H86,1))),IF(R86&gt;0,AW86/R86,0))/MAX(0.1,N(Parameter!$M$21)))</f>
        <v>0.166666666666667</v>
      </c>
      <c r="AY86" s="57" t="n">
        <f aca="false">AV86*G86</f>
        <v>9323.6</v>
      </c>
      <c r="AZ86" s="57" t="n">
        <f aca="false">ROUNDUP(MAX(J86/IF(BZ86&gt;0,BZ86,MAX(0.1,N(Cockpit!$O$6))),CC86)/BS86,0)*BS86</f>
        <v>22</v>
      </c>
      <c r="BA86" s="58" t="n">
        <f aca="false">IF(AX86&gt;0,J86/AX86,-1)</f>
        <v>192</v>
      </c>
      <c r="BB86" s="58" t="n">
        <f aca="false">IF(AND(OR(BY86="L1",BY86="L23"),AX86&gt;0),SUMIFS($AX$7:$AX$1843,$BY$7:$BY$1843,BY86,$BA$7:$BA$1843,"&gt;"&amp;BA86)+SUMIFS($AX$7:$AX$1843,$BY$7:$BY$1843,BY86,$BA$7:$BA$1843,BA86,$BQ$7:$BQ$1843,"&lt;="&amp;BQ86),"")</f>
        <v>43.0969984122158</v>
      </c>
      <c r="BC86" s="65" t="n">
        <f aca="false">IF(BB86="",0,MAX(0,MIN(1,(IF(BY86="L1",Parameter!$E$5,Parameter!$E$6+Parameter!$E$7)-(BB86-AX86))/AX86)))</f>
        <v>1</v>
      </c>
      <c r="BD86" s="55" t="str">
        <f aca="false">IF(AH86&lt;=0,"",IF(BY86="Aussen","Aussenlager",IF(BY86="-","Nicht im Lift",IF(AM86&gt;=1,"Lift",IF(AM86&lt;=0,"Aussenlager","teilweise")))))</f>
        <v>Lift</v>
      </c>
      <c r="BE86" s="55" t="str">
        <f aca="false">IF(AP86&lt;=0,"",IF(BY86="Aussen","Aussenlager",IF(BY86="-","Nicht im Lift",IF(AU86&gt;=1,"Lift",IF(AU86&lt;=0,"Aussenlager","teilweise")))))</f>
        <v>Lift</v>
      </c>
      <c r="BF86" s="55" t="str">
        <f aca="false">IF(AX86&lt;=0,"",IF(BY86="Aussen","Aussenlager",IF(BY86="-","Nicht im Lift",IF(BC86&gt;=1,"Lift",IF(BC86&lt;=0,"Aussenlager","teilweise")))))</f>
        <v>Lift</v>
      </c>
      <c r="BG86" s="55" t="str">
        <f aca="false">IF(A86="","",IF(BP86=1,"Neu; ","")&amp;IF(AND(BP86=0,BK86&lt;0),"negativer Bestand (Export "&amp;BK86&amp;"); ","")&amp;IF(J86&lt;=0,"Kein Verbrauch; ","")&amp;IF(CH86&gt;0,"Lift "&amp;W86&amp;" lt. Liftbericht (Fach "&amp;X86&amp;" Stk); ",IF(BU86=1,"Gebinde geschätzt ("&amp;T86&amp;"); ",IF(BT86=1,"Lose – Tablare geschätzt; ","")))&amp;IF(H86&gt;AR86,"Überbestand "&amp;ROUND(H86-AR86,0)&amp;" Stk / CHF "&amp;ROUND((H86-AR86)*G86,0)&amp;"; ","")&amp;IF(AND(CA86=1,CB86&lt;CC86),"MAX &lt; MB+LG; ","")&amp;IF(AND(CG86&gt;0,CF86*10&gt;CG86),"zu hoch für Tablar; ","")&amp;IF(AND(BP86=0,OR(CA86=1,AA86&lt;&gt;"",U86&lt;&gt;"",V86&lt;&gt;"",AB86&lt;&gt;"")),"manuell übersteuert; ","")&amp;IF(AND(BT86=0,R86=0),"Gebinde unbekannt / Stellmass fehlt; ","")&amp;IF(AND(BT86=0,N(V86)&lt;=0,N(Q86)&lt;=0),"Menge pro Gebinde fehlt (Ist = 1 Gebinde); ","")&amp;BO86)</f>
        <v/>
      </c>
      <c r="BH86" s="55" t="s">
        <v>380</v>
      </c>
      <c r="BI86" s="55" t="s">
        <v>381</v>
      </c>
      <c r="BJ86" s="62"/>
      <c r="BK86" s="57" t="n">
        <v>7</v>
      </c>
      <c r="BL86" s="57" t="n">
        <v>0</v>
      </c>
      <c r="BM86" s="56" t="n">
        <v>2966.6</v>
      </c>
      <c r="BN86" s="57" t="n">
        <v>32</v>
      </c>
      <c r="BO86" s="55"/>
      <c r="BP86" s="60" t="n">
        <v>0</v>
      </c>
      <c r="BQ86" s="60" t="n">
        <v>86</v>
      </c>
      <c r="BR86" s="55" t="str">
        <f aca="false">IF(U86&lt;&gt;"",UPPER(TRIM(U86)),IF(BU86=1,UPPER(VLOOKUP(T86,Parameter!$I$27:$K$29,2,0)),IF(P86="","LOSE",P86)))</f>
        <v>S71</v>
      </c>
      <c r="BS86" s="57" t="n">
        <f aca="false">IF(BR86="LOSE",1,IF(N(V86)&gt;0,V86,IF(BU86=1,MAX(1,N(VLOOKUP(T86,Parameter!$I$27:$K$29,3,0)),H86,N(N86)),IF(N(Q86)&gt;0,Q86,MAX(1,H86)))))</f>
        <v>22</v>
      </c>
      <c r="BT86" s="60" t="n">
        <f aca="false">IF(BR86="LOSE",1,0)</f>
        <v>0</v>
      </c>
      <c r="BU86" s="60" t="n">
        <f aca="false">IF(AND(U86="",OR(P86="",P86="LOSE"),T86&lt;&gt;"",N(S86)&lt;=0,ISNUMBER(MATCH(T86,Parameter!$I$27:$I$29,0))),1,0)</f>
        <v>0</v>
      </c>
      <c r="BV86" s="55" t="str">
        <f aca="false">IF(AND(Parameter!$B$19="Ja",E86&lt;&gt;"",ISNUMBER(MATCH(E86,Parameter!$I$35:$I$52,0))),VLOOKUP(E86,Parameter!$I$35:$J$52,2,0),IFERROR(VLOOKUP(D86,Parameter!$A$35:$C$64,2,0),"Nein"))</f>
        <v>2+3</v>
      </c>
      <c r="BW86" s="59" t="n">
        <f aca="false">IF(BT86=0,0,IF(N(S86)&gt;0,S86,IFERROR(VLOOKUP(D86,Parameter!$A$35:$C$64,3,0)+0,0)))</f>
        <v>0</v>
      </c>
      <c r="BX86" s="55" t="n">
        <f aca="false">IF(AA86&lt;&gt;"",AA86,Z86)</f>
        <v>2</v>
      </c>
      <c r="BY86" s="55" t="str">
        <f aca="false">IF(BX86=1,"L1",IF(OR(BX86=2,BX86=3),"L23",IF(BX86="Aussen","Aussen","-")))</f>
        <v>L23</v>
      </c>
      <c r="BZ86" s="66" t="n">
        <f aca="false">IF(N(AB86)&gt;0,AB86,0)</f>
        <v>0</v>
      </c>
      <c r="CA86" s="60" t="n">
        <f aca="false">IF(ISNUMBER(AE86),1,0)</f>
        <v>0</v>
      </c>
      <c r="CB86" s="57" t="n">
        <f aca="false">N(AE86)</f>
        <v>0</v>
      </c>
      <c r="CC86" s="57" t="n">
        <f aca="false">N(M86)+N(N86)</f>
        <v>20</v>
      </c>
      <c r="CD86" s="57" t="n">
        <f aca="false">ROUNDUP(H86/BS86,0)</f>
        <v>1</v>
      </c>
      <c r="CE86" s="57" t="n">
        <f aca="false">ROUNDUP(CB86/BS86,0)</f>
        <v>0</v>
      </c>
      <c r="CF86" s="60" t="n">
        <f aca="false">IF(BT86=1,0,IFERROR(VLOOKUP(BR86,'Gebinde-Kategorie'!$A$5:$M$45,5,0)+0,0))</f>
        <v>20</v>
      </c>
      <c r="CG86" s="60" t="n">
        <f aca="false">IFERROR(IF(OR(BX86=1,BX86=2,BX86=3),N(INDEX(Parameter!$I$5:$I$7,BX86)),0),0)</f>
        <v>0</v>
      </c>
      <c r="CH86" s="59" t="n">
        <f aca="false">IF(AND(Parameter!$B$21="Ja",ISNUMBER(W86),N(X86)&gt;0),IFERROR(N(INDEX(Parameter!$L$5:$L$7,W86))*INDEX(Parameter!$E$5:$E$7,W86)*X86/SUMIFS($X$7:$X$1843,$W$7:$W$1843,W86),0),0)</f>
        <v>0</v>
      </c>
    </row>
    <row r="87" customFormat="false" ht="15" hidden="false" customHeight="false" outlineLevel="0" collapsed="false">
      <c r="A87" s="55" t="s">
        <v>382</v>
      </c>
      <c r="B87" s="55" t="s">
        <v>383</v>
      </c>
      <c r="C87" s="55" t="s">
        <v>164</v>
      </c>
      <c r="D87" s="55" t="s">
        <v>184</v>
      </c>
      <c r="E87" s="55" t="s">
        <v>185</v>
      </c>
      <c r="F87" s="55" t="s">
        <v>218</v>
      </c>
      <c r="G87" s="56" t="n">
        <v>140.69</v>
      </c>
      <c r="H87" s="57" t="n">
        <f aca="false">MAX(0,IF(AND(Parameter!$B$21="Ja",ISNUMBER(Y87)),Y87,IF(Parameter!$B$20="Jahresanfang 2025 + Export",BL87+BK87,BK87)))</f>
        <v>27</v>
      </c>
      <c r="I87" s="57" t="n">
        <f aca="false">H87*G87</f>
        <v>3798.63</v>
      </c>
      <c r="J87" s="57" t="n">
        <f aca="false">BN87*Parameter!$B$18</f>
        <v>30</v>
      </c>
      <c r="K87" s="58" t="n">
        <v>8.5</v>
      </c>
      <c r="L87" s="59" t="n">
        <v>3.52941176470588</v>
      </c>
      <c r="M87" s="57" t="n">
        <v>2</v>
      </c>
      <c r="N87" s="57" t="n">
        <v>25</v>
      </c>
      <c r="O87" s="60" t="n">
        <v>21</v>
      </c>
      <c r="P87" s="55" t="s">
        <v>226</v>
      </c>
      <c r="Q87" s="57" t="n">
        <v>30</v>
      </c>
      <c r="R87" s="60" t="n">
        <f aca="false">IF(BT87=1,0,IFERROR(VLOOKUP(BR87,'Gebinde-Kategorie'!$A$5:$M$45,13,0)+0,0))</f>
        <v>12</v>
      </c>
      <c r="S87" s="61"/>
      <c r="T87" s="62"/>
      <c r="U87" s="62"/>
      <c r="V87" s="62"/>
      <c r="W87" s="55"/>
      <c r="X87" s="57"/>
      <c r="Y87" s="57"/>
      <c r="Z87" s="55" t="n">
        <f aca="false">IF(A87="","",IF(AND(Parameter!$B$21="Ja",ISNUMBER(W87)),W87,IF(BV87="2+3",IF(ISNUMBER(SEARCH("grosser Artikel",BO87)),2,IFERROR(VLOOKUP(BR87,Parameter!$F$35:$G$64,2,0),2)),IF(OR(BV87="Nein",BV87=""),"-",BV87))))</f>
        <v>2</v>
      </c>
      <c r="AA87" s="62"/>
      <c r="AB87" s="63"/>
      <c r="AC87" s="57" t="n">
        <f aca="false">AR87</f>
        <v>30</v>
      </c>
      <c r="AD87" s="57" t="n">
        <f aca="false">MAX(AR87,H87)</f>
        <v>30</v>
      </c>
      <c r="AE87" s="64"/>
      <c r="AF87" s="57" t="n">
        <f aca="false">IF(LEFT(Cockpit!$C$5,1)="A",H87,IF(CA87=1,CB87,IF(LEFT(Cockpit!$C$5,1)="B",AJ87,MAX(AJ87,H87))))</f>
        <v>27</v>
      </c>
      <c r="AG87" s="57" t="n">
        <f aca="false">IF(BT87=1,0,ROUNDUP(AF87/BS87,0))</f>
        <v>1</v>
      </c>
      <c r="AH87" s="59" t="n">
        <f aca="false">IF(CH87&gt;0,CH87*MAX(1,AF87/X87),IF(BT87=1,IF(AF87&lt;=0,0,BW87*MAX(1,IF(H87&gt;0,AF87/H87,1))),IF(R87&gt;0,AG87/R87,0))/MAX(0.1,N(Parameter!$M$21)))</f>
        <v>0.0833333333333333</v>
      </c>
      <c r="AI87" s="57" t="n">
        <f aca="false">AF87*G87</f>
        <v>3798.63</v>
      </c>
      <c r="AJ87" s="57" t="n">
        <f aca="false">ROUNDUP(MAX(J87/IF(BZ87&gt;0,BZ87,MAX(0.1,N(Cockpit!$C$6))),CC87)/BS87,0)*BS87</f>
        <v>30</v>
      </c>
      <c r="AK87" s="58" t="n">
        <f aca="false">IF(AH87&gt;0,J87/AH87,-1)</f>
        <v>360</v>
      </c>
      <c r="AL87" s="58" t="n">
        <f aca="false">IF(AND(OR(BY87="L1",BY87="L23"),AH87&gt;0),SUMIFS($AH$7:$AH$1843,$BY$7:$BY$1843,BY87,$AK$7:$AK$1843,"&gt;"&amp;AK87)+SUMIFS($AH$7:$AH$1843,$BY$7:$BY$1843,BY87,$AK$7:$AK$1843,AK87,$BQ$7:$BQ$1843,"&lt;="&amp;BQ87),"")</f>
        <v>27.1685078206817</v>
      </c>
      <c r="AM87" s="65" t="n">
        <f aca="false">IF(AL87="",0,MAX(0,MIN(1,(IF(BY87="L1",Parameter!$E$5,Parameter!$E$6+Parameter!$E$7)-(AL87-AH87))/AH87)))</f>
        <v>1</v>
      </c>
      <c r="AN87" s="57" t="n">
        <f aca="false">IF(LEFT(Cockpit!$I$5,1)="A",H87,IF(CA87=1,CB87,IF(LEFT(Cockpit!$I$5,1)="B",AR87,MAX(AR87,H87))))</f>
        <v>30</v>
      </c>
      <c r="AO87" s="57" t="n">
        <f aca="false">IF(BT87=1,0,ROUNDUP(AN87/BS87,0))</f>
        <v>1</v>
      </c>
      <c r="AP87" s="59" t="n">
        <f aca="false">IF(CH87&gt;0,CH87*MAX(1,AN87/X87),IF(BT87=1,IF(AN87&lt;=0,0,BW87*MAX(1,IF(H87&gt;0,AN87/H87,1))),IF(R87&gt;0,AO87/R87,0))/MAX(0.1,N(Parameter!$M$21)))</f>
        <v>0.0833333333333333</v>
      </c>
      <c r="AQ87" s="57" t="n">
        <f aca="false">AN87*G87</f>
        <v>4220.7</v>
      </c>
      <c r="AR87" s="57" t="n">
        <f aca="false">ROUNDUP(MAX(J87/IF(BZ87&gt;0,BZ87,MAX(0.1,N(Cockpit!$I$6))),CC87)/BS87,0)*BS87</f>
        <v>30</v>
      </c>
      <c r="AS87" s="58" t="n">
        <f aca="false">IF(AP87&gt;0,J87/AP87,-1)</f>
        <v>360</v>
      </c>
      <c r="AT87" s="58" t="n">
        <f aca="false">IF(AND(OR(BY87="L1",BY87="L23"),AP87&gt;0),SUMIFS($AP$7:$AP$1843,$BY$7:$BY$1843,BY87,$AS$7:$AS$1843,"&gt;"&amp;AS87)+SUMIFS($AP$7:$AP$1843,$BY$7:$BY$1843,BY87,$AS$7:$AS$1843,AS87,$BQ$7:$BQ$1843,"&lt;="&amp;BQ87),"")</f>
        <v>36.7208371338806</v>
      </c>
      <c r="AU87" s="65" t="n">
        <f aca="false">IF(AT87="",0,MAX(0,MIN(1,(IF(BY87="L1",Parameter!$E$5,Parameter!$E$6+Parameter!$E$7)-(AT87-AP87))/AP87)))</f>
        <v>1</v>
      </c>
      <c r="AV87" s="57" t="n">
        <f aca="false">IF(LEFT(Cockpit!$O$5,1)="A",H87,IF(CA87=1,CB87,IF(LEFT(Cockpit!$O$5,1)="B",AZ87,MAX(AZ87,H87))))</f>
        <v>30</v>
      </c>
      <c r="AW87" s="57" t="n">
        <f aca="false">IF(BT87=1,0,ROUNDUP(AV87/BS87,0))</f>
        <v>1</v>
      </c>
      <c r="AX87" s="59" t="n">
        <f aca="false">IF(CH87&gt;0,CH87*MAX(1,AV87/X87),IF(BT87=1,IF(AV87&lt;=0,0,BW87*MAX(1,IF(H87&gt;0,AV87/H87,1))),IF(R87&gt;0,AW87/R87,0))/MAX(0.1,N(Parameter!$M$21)))</f>
        <v>0.0833333333333333</v>
      </c>
      <c r="AY87" s="57" t="n">
        <f aca="false">AV87*G87</f>
        <v>4220.7</v>
      </c>
      <c r="AZ87" s="57" t="n">
        <f aca="false">ROUNDUP(MAX(J87/IF(BZ87&gt;0,BZ87,MAX(0.1,N(Cockpit!$O$6))),CC87)/BS87,0)*BS87</f>
        <v>30</v>
      </c>
      <c r="BA87" s="58" t="n">
        <f aca="false">IF(AX87&gt;0,J87/AX87,-1)</f>
        <v>360</v>
      </c>
      <c r="BB87" s="58" t="n">
        <f aca="false">IF(AND(OR(BY87="L1",BY87="L23"),AX87&gt;0),SUMIFS($AX$7:$AX$1843,$BY$7:$BY$1843,BY87,$BA$7:$BA$1843,"&gt;"&amp;BA87)+SUMIFS($AX$7:$AX$1843,$BY$7:$BY$1843,BY87,$BA$7:$BA$1843,BA87,$BQ$7:$BQ$1843,"&lt;="&amp;BQ87),"")</f>
        <v>35.9673406303841</v>
      </c>
      <c r="BC87" s="65" t="n">
        <f aca="false">IF(BB87="",0,MAX(0,MIN(1,(IF(BY87="L1",Parameter!$E$5,Parameter!$E$6+Parameter!$E$7)-(BB87-AX87))/AX87)))</f>
        <v>1</v>
      </c>
      <c r="BD87" s="55" t="str">
        <f aca="false">IF(AH87&lt;=0,"",IF(BY87="Aussen","Aussenlager",IF(BY87="-","Nicht im Lift",IF(AM87&gt;=1,"Lift",IF(AM87&lt;=0,"Aussenlager","teilweise")))))</f>
        <v>Lift</v>
      </c>
      <c r="BE87" s="55" t="str">
        <f aca="false">IF(AP87&lt;=0,"",IF(BY87="Aussen","Aussenlager",IF(BY87="-","Nicht im Lift",IF(AU87&gt;=1,"Lift",IF(AU87&lt;=0,"Aussenlager","teilweise")))))</f>
        <v>Lift</v>
      </c>
      <c r="BF87" s="55" t="str">
        <f aca="false">IF(AX87&lt;=0,"",IF(BY87="Aussen","Aussenlager",IF(BY87="-","Nicht im Lift",IF(BC87&gt;=1,"Lift",IF(BC87&lt;=0,"Aussenlager","teilweise")))))</f>
        <v>Lift</v>
      </c>
      <c r="BG87" s="55" t="str">
        <f aca="false">IF(A87="","",IF(BP87=1,"Neu; ","")&amp;IF(AND(BP87=0,BK87&lt;0),"negativer Bestand (Export "&amp;BK87&amp;"); ","")&amp;IF(J87&lt;=0,"Kein Verbrauch; ","")&amp;IF(CH87&gt;0,"Lift "&amp;W87&amp;" lt. Liftbericht (Fach "&amp;X87&amp;" Stk); ",IF(BU87=1,"Gebinde geschätzt ("&amp;T87&amp;"); ",IF(BT87=1,"Lose – Tablare geschätzt; ","")))&amp;IF(H87&gt;AR87,"Überbestand "&amp;ROUND(H87-AR87,0)&amp;" Stk / CHF "&amp;ROUND((H87-AR87)*G87,0)&amp;"; ","")&amp;IF(AND(CA87=1,CB87&lt;CC87),"MAX &lt; MB+LG; ","")&amp;IF(AND(CG87&gt;0,CF87*10&gt;CG87),"zu hoch für Tablar; ","")&amp;IF(AND(BP87=0,OR(CA87=1,AA87&lt;&gt;"",U87&lt;&gt;"",V87&lt;&gt;"",AB87&lt;&gt;"")),"manuell übersteuert; ","")&amp;IF(AND(BT87=0,R87=0),"Gebinde unbekannt / Stellmass fehlt; ","")&amp;IF(AND(BT87=0,N(V87)&lt;=0,N(Q87)&lt;=0),"Menge pro Gebinde fehlt (Ist = 1 Gebinde); ","")&amp;BO87)</f>
        <v/>
      </c>
      <c r="BH87" s="55"/>
      <c r="BI87" s="55"/>
      <c r="BJ87" s="62"/>
      <c r="BK87" s="57" t="n">
        <v>21</v>
      </c>
      <c r="BL87" s="57" t="n">
        <v>6</v>
      </c>
      <c r="BM87" s="56" t="n">
        <v>2941.11</v>
      </c>
      <c r="BN87" s="57" t="n">
        <v>30</v>
      </c>
      <c r="BO87" s="55"/>
      <c r="BP87" s="60" t="n">
        <v>0</v>
      </c>
      <c r="BQ87" s="60" t="n">
        <v>87</v>
      </c>
      <c r="BR87" s="55" t="str">
        <f aca="false">IF(U87&lt;&gt;"",UPPER(TRIM(U87)),IF(BU87=1,UPPER(VLOOKUP(T87,Parameter!$I$27:$K$29,2,0)),IF(P87="","LOSE",P87)))</f>
        <v>S63</v>
      </c>
      <c r="BS87" s="57" t="n">
        <f aca="false">IF(BR87="LOSE",1,IF(N(V87)&gt;0,V87,IF(BU87=1,MAX(1,N(VLOOKUP(T87,Parameter!$I$27:$K$29,3,0)),H87,N(N87)),IF(N(Q87)&gt;0,Q87,MAX(1,H87)))))</f>
        <v>30</v>
      </c>
      <c r="BT87" s="60" t="n">
        <f aca="false">IF(BR87="LOSE",1,0)</f>
        <v>0</v>
      </c>
      <c r="BU87" s="60" t="n">
        <f aca="false">IF(AND(U87="",OR(P87="",P87="LOSE"),T87&lt;&gt;"",N(S87)&lt;=0,ISNUMBER(MATCH(T87,Parameter!$I$27:$I$29,0))),1,0)</f>
        <v>0</v>
      </c>
      <c r="BV87" s="55" t="str">
        <f aca="false">IF(AND(Parameter!$B$19="Ja",E87&lt;&gt;"",ISNUMBER(MATCH(E87,Parameter!$I$35:$I$52,0))),VLOOKUP(E87,Parameter!$I$35:$J$52,2,0),IFERROR(VLOOKUP(D87,Parameter!$A$35:$C$64,2,0),"Nein"))</f>
        <v>2+3</v>
      </c>
      <c r="BW87" s="59" t="n">
        <f aca="false">IF(BT87=0,0,IF(N(S87)&gt;0,S87,IFERROR(VLOOKUP(D87,Parameter!$A$35:$C$64,3,0)+0,0)))</f>
        <v>0</v>
      </c>
      <c r="BX87" s="55" t="n">
        <f aca="false">IF(AA87&lt;&gt;"",AA87,Z87)</f>
        <v>2</v>
      </c>
      <c r="BY87" s="55" t="str">
        <f aca="false">IF(BX87=1,"L1",IF(OR(BX87=2,BX87=3),"L23",IF(BX87="Aussen","Aussen","-")))</f>
        <v>L23</v>
      </c>
      <c r="BZ87" s="66" t="n">
        <f aca="false">IF(N(AB87)&gt;0,AB87,0)</f>
        <v>0</v>
      </c>
      <c r="CA87" s="60" t="n">
        <f aca="false">IF(ISNUMBER(AE87),1,0)</f>
        <v>0</v>
      </c>
      <c r="CB87" s="57" t="n">
        <f aca="false">N(AE87)</f>
        <v>0</v>
      </c>
      <c r="CC87" s="57" t="n">
        <f aca="false">N(M87)+N(N87)</f>
        <v>27</v>
      </c>
      <c r="CD87" s="57" t="n">
        <f aca="false">ROUNDUP(H87/BS87,0)</f>
        <v>1</v>
      </c>
      <c r="CE87" s="57" t="n">
        <f aca="false">ROUNDUP(CB87/BS87,0)</f>
        <v>0</v>
      </c>
      <c r="CF87" s="60" t="n">
        <f aca="false">IF(BT87=1,0,IFERROR(VLOOKUP(BR87,'Gebinde-Kategorie'!$A$5:$M$45,5,0)+0,0))</f>
        <v>31</v>
      </c>
      <c r="CG87" s="60" t="n">
        <f aca="false">IFERROR(IF(OR(BX87=1,BX87=2,BX87=3),N(INDEX(Parameter!$I$5:$I$7,BX87)),0),0)</f>
        <v>0</v>
      </c>
      <c r="CH87" s="59" t="n">
        <f aca="false">IF(AND(Parameter!$B$21="Ja",ISNUMBER(W87),N(X87)&gt;0),IFERROR(N(INDEX(Parameter!$L$5:$L$7,W87))*INDEX(Parameter!$E$5:$E$7,W87)*X87/SUMIFS($X$7:$X$1843,$W$7:$W$1843,W87),0),0)</f>
        <v>0</v>
      </c>
    </row>
    <row r="88" customFormat="false" ht="15" hidden="false" customHeight="false" outlineLevel="0" collapsed="false">
      <c r="A88" s="55" t="s">
        <v>384</v>
      </c>
      <c r="B88" s="55" t="s">
        <v>385</v>
      </c>
      <c r="C88" s="55" t="s">
        <v>164</v>
      </c>
      <c r="D88" s="55" t="s">
        <v>184</v>
      </c>
      <c r="E88" s="55" t="s">
        <v>185</v>
      </c>
      <c r="F88" s="55" t="s">
        <v>218</v>
      </c>
      <c r="G88" s="56" t="n">
        <v>12.41</v>
      </c>
      <c r="H88" s="57" t="n">
        <f aca="false">MAX(0,IF(AND(Parameter!$B$21="Ja",ISNUMBER(Y88)),Y88,IF(Parameter!$B$20="Jahresanfang 2025 + Export",BL88+BK88,BK88)))</f>
        <v>277</v>
      </c>
      <c r="I88" s="57" t="n">
        <f aca="false">H88*G88</f>
        <v>3437.57</v>
      </c>
      <c r="J88" s="57" t="n">
        <f aca="false">BN88*Parameter!$B$18</f>
        <v>315</v>
      </c>
      <c r="K88" s="58" t="n">
        <v>129</v>
      </c>
      <c r="L88" s="59" t="n">
        <v>2.44186046511628</v>
      </c>
      <c r="M88" s="57" t="n">
        <v>55</v>
      </c>
      <c r="N88" s="57" t="n">
        <v>255</v>
      </c>
      <c r="O88" s="60" t="n">
        <v>56</v>
      </c>
      <c r="P88" s="55" t="s">
        <v>328</v>
      </c>
      <c r="Q88" s="57" t="n">
        <v>128</v>
      </c>
      <c r="R88" s="60" t="n">
        <f aca="false">IF(BT88=1,0,IFERROR(VLOOKUP(BR88,'Gebinde-Kategorie'!$A$5:$M$45,13,0)+0,0))</f>
        <v>52</v>
      </c>
      <c r="S88" s="61"/>
      <c r="T88" s="62"/>
      <c r="U88" s="62"/>
      <c r="V88" s="62"/>
      <c r="W88" s="55"/>
      <c r="X88" s="57"/>
      <c r="Y88" s="57"/>
      <c r="Z88" s="55" t="n">
        <f aca="false">IF(A88="","",IF(AND(Parameter!$B$21="Ja",ISNUMBER(W88)),W88,IF(BV88="2+3",IF(ISNUMBER(SEARCH("grosser Artikel",BO88)),2,IFERROR(VLOOKUP(BR88,Parameter!$F$35:$G$64,2,0),2)),IF(OR(BV88="Nein",BV88=""),"-",BV88))))</f>
        <v>3</v>
      </c>
      <c r="AA88" s="62"/>
      <c r="AB88" s="63"/>
      <c r="AC88" s="57" t="n">
        <f aca="false">AR88</f>
        <v>384</v>
      </c>
      <c r="AD88" s="57" t="n">
        <f aca="false">MAX(AR88,H88)</f>
        <v>384</v>
      </c>
      <c r="AE88" s="64"/>
      <c r="AF88" s="57" t="n">
        <f aca="false">IF(LEFT(Cockpit!$C$5,1)="A",H88,IF(CA88=1,CB88,IF(LEFT(Cockpit!$C$5,1)="B",AJ88,MAX(AJ88,H88))))</f>
        <v>277</v>
      </c>
      <c r="AG88" s="57" t="n">
        <f aca="false">IF(BT88=1,0,ROUNDUP(AF88/BS88,0))</f>
        <v>3</v>
      </c>
      <c r="AH88" s="59" t="n">
        <f aca="false">IF(CH88&gt;0,CH88*MAX(1,AF88/X88),IF(BT88=1,IF(AF88&lt;=0,0,BW88*MAX(1,IF(H88&gt;0,AF88/H88,1))),IF(R88&gt;0,AG88/R88,0))/MAX(0.1,N(Parameter!$M$21)))</f>
        <v>0.0576923076923077</v>
      </c>
      <c r="AI88" s="57" t="n">
        <f aca="false">AF88*G88</f>
        <v>3437.57</v>
      </c>
      <c r="AJ88" s="57" t="n">
        <f aca="false">ROUNDUP(MAX(J88/IF(BZ88&gt;0,BZ88,MAX(0.1,N(Cockpit!$C$6))),CC88)/BS88,0)*BS88</f>
        <v>384</v>
      </c>
      <c r="AK88" s="58" t="n">
        <f aca="false">IF(AH88&gt;0,J88/AH88,-1)</f>
        <v>5460</v>
      </c>
      <c r="AL88" s="58" t="n">
        <f aca="false">IF(AND(OR(BY88="L1",BY88="L23"),AH88&gt;0),SUMIFS($AH$7:$AH$1843,$BY$7:$BY$1843,BY88,$AK$7:$AK$1843,"&gt;"&amp;AK88)+SUMIFS($AH$7:$AH$1843,$BY$7:$BY$1843,BY88,$AK$7:$AK$1843,AK88,$BQ$7:$BQ$1843,"&lt;="&amp;BQ88),"")</f>
        <v>6.80196614979224</v>
      </c>
      <c r="AM88" s="65" t="n">
        <f aca="false">IF(AL88="",0,MAX(0,MIN(1,(IF(BY88="L1",Parameter!$E$5,Parameter!$E$6+Parameter!$E$7)-(AL88-AH88))/AH88)))</f>
        <v>1</v>
      </c>
      <c r="AN88" s="57" t="n">
        <f aca="false">IF(LEFT(Cockpit!$I$5,1)="A",H88,IF(CA88=1,CB88,IF(LEFT(Cockpit!$I$5,1)="B",AR88,MAX(AR88,H88))))</f>
        <v>384</v>
      </c>
      <c r="AO88" s="57" t="n">
        <f aca="false">IF(BT88=1,0,ROUNDUP(AN88/BS88,0))</f>
        <v>3</v>
      </c>
      <c r="AP88" s="59" t="n">
        <f aca="false">IF(CH88&gt;0,CH88*MAX(1,AN88/X88),IF(BT88=1,IF(AN88&lt;=0,0,BW88*MAX(1,IF(H88&gt;0,AN88/H88,1))),IF(R88&gt;0,AO88/R88,0))/MAX(0.1,N(Parameter!$M$21)))</f>
        <v>0.0576923076923077</v>
      </c>
      <c r="AQ88" s="57" t="n">
        <f aca="false">AN88*G88</f>
        <v>4765.44</v>
      </c>
      <c r="AR88" s="57" t="n">
        <f aca="false">ROUNDUP(MAX(J88/IF(BZ88&gt;0,BZ88,MAX(0.1,N(Cockpit!$I$6))),CC88)/BS88,0)*BS88</f>
        <v>384</v>
      </c>
      <c r="AS88" s="58" t="n">
        <f aca="false">IF(AP88&gt;0,J88/AP88,-1)</f>
        <v>5460</v>
      </c>
      <c r="AT88" s="58" t="n">
        <f aca="false">IF(AND(OR(BY88="L1",BY88="L23"),AP88&gt;0),SUMIFS($AP$7:$AP$1843,$BY$7:$BY$1843,BY88,$AS$7:$AS$1843,"&gt;"&amp;AS88)+SUMIFS($AP$7:$AP$1843,$BY$7:$BY$1843,BY88,$AS$7:$AS$1843,AS88,$BQ$7:$BQ$1843,"&lt;="&amp;BQ88),"")</f>
        <v>11.6318452079322</v>
      </c>
      <c r="AU88" s="65" t="n">
        <f aca="false">IF(AT88="",0,MAX(0,MIN(1,(IF(BY88="L1",Parameter!$E$5,Parameter!$E$6+Parameter!$E$7)-(AT88-AP88))/AP88)))</f>
        <v>1</v>
      </c>
      <c r="AV88" s="57" t="n">
        <f aca="false">IF(LEFT(Cockpit!$O$5,1)="A",H88,IF(CA88=1,CB88,IF(LEFT(Cockpit!$O$5,1)="B",AZ88,MAX(AZ88,H88))))</f>
        <v>384</v>
      </c>
      <c r="AW88" s="57" t="n">
        <f aca="false">IF(BT88=1,0,ROUNDUP(AV88/BS88,0))</f>
        <v>3</v>
      </c>
      <c r="AX88" s="59" t="n">
        <f aca="false">IF(CH88&gt;0,CH88*MAX(1,AV88/X88),IF(BT88=1,IF(AV88&lt;=0,0,BW88*MAX(1,IF(H88&gt;0,AV88/H88,1))),IF(R88&gt;0,AW88/R88,0))/MAX(0.1,N(Parameter!$M$21)))</f>
        <v>0.0576923076923077</v>
      </c>
      <c r="AY88" s="57" t="n">
        <f aca="false">AV88*G88</f>
        <v>4765.44</v>
      </c>
      <c r="AZ88" s="57" t="n">
        <f aca="false">ROUNDUP(MAX(J88/IF(BZ88&gt;0,BZ88,MAX(0.1,N(Cockpit!$O$6))),CC88)/BS88,0)*BS88</f>
        <v>384</v>
      </c>
      <c r="BA88" s="58" t="n">
        <f aca="false">IF(AX88&gt;0,J88/AX88,-1)</f>
        <v>5460</v>
      </c>
      <c r="BB88" s="58" t="n">
        <f aca="false">IF(AND(OR(BY88="L1",BY88="L23"),AX88&gt;0),SUMIFS($AX$7:$AX$1843,$BY$7:$BY$1843,BY88,$BA$7:$BA$1843,"&gt;"&amp;BA88)+SUMIFS($AX$7:$AX$1843,$BY$7:$BY$1843,BY88,$BA$7:$BA$1843,BA88,$BQ$7:$BQ$1843,"&lt;="&amp;BQ88),"")</f>
        <v>10.3527076787946</v>
      </c>
      <c r="BC88" s="65" t="n">
        <f aca="false">IF(BB88="",0,MAX(0,MIN(1,(IF(BY88="L1",Parameter!$E$5,Parameter!$E$6+Parameter!$E$7)-(BB88-AX88))/AX88)))</f>
        <v>1</v>
      </c>
      <c r="BD88" s="55" t="str">
        <f aca="false">IF(AH88&lt;=0,"",IF(BY88="Aussen","Aussenlager",IF(BY88="-","Nicht im Lift",IF(AM88&gt;=1,"Lift",IF(AM88&lt;=0,"Aussenlager","teilweise")))))</f>
        <v>Lift</v>
      </c>
      <c r="BE88" s="55" t="str">
        <f aca="false">IF(AP88&lt;=0,"",IF(BY88="Aussen","Aussenlager",IF(BY88="-","Nicht im Lift",IF(AU88&gt;=1,"Lift",IF(AU88&lt;=0,"Aussenlager","teilweise")))))</f>
        <v>Lift</v>
      </c>
      <c r="BF88" s="55" t="str">
        <f aca="false">IF(AX88&lt;=0,"",IF(BY88="Aussen","Aussenlager",IF(BY88="-","Nicht im Lift",IF(BC88&gt;=1,"Lift",IF(BC88&lt;=0,"Aussenlager","teilweise")))))</f>
        <v>Lift</v>
      </c>
      <c r="BG88" s="55" t="str">
        <f aca="false">IF(A88="","",IF(BP88=1,"Neu; ","")&amp;IF(AND(BP88=0,BK88&lt;0),"negativer Bestand (Export "&amp;BK88&amp;"); ","")&amp;IF(J88&lt;=0,"Kein Verbrauch; ","")&amp;IF(CH88&gt;0,"Lift "&amp;W88&amp;" lt. Liftbericht (Fach "&amp;X88&amp;" Stk); ",IF(BU88=1,"Gebinde geschätzt ("&amp;T88&amp;"); ",IF(BT88=1,"Lose – Tablare geschätzt; ","")))&amp;IF(H88&gt;AR88,"Überbestand "&amp;ROUND(H88-AR88,0)&amp;" Stk / CHF "&amp;ROUND((H88-AR88)*G88,0)&amp;"; ","")&amp;IF(AND(CA88=1,CB88&lt;CC88),"MAX &lt; MB+LG; ","")&amp;IF(AND(CG88&gt;0,CF88*10&gt;CG88),"zu hoch für Tablar; ","")&amp;IF(AND(BP88=0,OR(CA88=1,AA88&lt;&gt;"",U88&lt;&gt;"",V88&lt;&gt;"",AB88&lt;&gt;"")),"manuell übersteuert; ","")&amp;IF(AND(BT88=0,R88=0),"Gebinde unbekannt / Stellmass fehlt; ","")&amp;IF(AND(BT88=0,N(V88)&lt;=0,N(Q88)&lt;=0),"Menge pro Gebinde fehlt (Ist = 1 Gebinde); ","")&amp;BO88)</f>
        <v/>
      </c>
      <c r="BH88" s="55"/>
      <c r="BI88" s="55"/>
      <c r="BJ88" s="62"/>
      <c r="BK88" s="57" t="n">
        <v>229</v>
      </c>
      <c r="BL88" s="57" t="n">
        <v>48</v>
      </c>
      <c r="BM88" s="56" t="n">
        <v>2896.49</v>
      </c>
      <c r="BN88" s="57" t="n">
        <v>315</v>
      </c>
      <c r="BO88" s="55"/>
      <c r="BP88" s="60" t="n">
        <v>0</v>
      </c>
      <c r="BQ88" s="60" t="n">
        <v>88</v>
      </c>
      <c r="BR88" s="55" t="str">
        <f aca="false">IF(U88&lt;&gt;"",UPPER(TRIM(U88)),IF(BU88=1,UPPER(VLOOKUP(T88,Parameter!$I$27:$K$29,2,0)),IF(P88="","LOSE",P88)))</f>
        <v>S41</v>
      </c>
      <c r="BS88" s="57" t="n">
        <f aca="false">IF(BR88="LOSE",1,IF(N(V88)&gt;0,V88,IF(BU88=1,MAX(1,N(VLOOKUP(T88,Parameter!$I$27:$K$29,3,0)),H88,N(N88)),IF(N(Q88)&gt;0,Q88,MAX(1,H88)))))</f>
        <v>128</v>
      </c>
      <c r="BT88" s="60" t="n">
        <f aca="false">IF(BR88="LOSE",1,0)</f>
        <v>0</v>
      </c>
      <c r="BU88" s="60" t="n">
        <f aca="false">IF(AND(U88="",OR(P88="",P88="LOSE"),T88&lt;&gt;"",N(S88)&lt;=0,ISNUMBER(MATCH(T88,Parameter!$I$27:$I$29,0))),1,0)</f>
        <v>0</v>
      </c>
      <c r="BV88" s="55" t="str">
        <f aca="false">IF(AND(Parameter!$B$19="Ja",E88&lt;&gt;"",ISNUMBER(MATCH(E88,Parameter!$I$35:$I$52,0))),VLOOKUP(E88,Parameter!$I$35:$J$52,2,0),IFERROR(VLOOKUP(D88,Parameter!$A$35:$C$64,2,0),"Nein"))</f>
        <v>2+3</v>
      </c>
      <c r="BW88" s="59" t="n">
        <f aca="false">IF(BT88=0,0,IF(N(S88)&gt;0,S88,IFERROR(VLOOKUP(D88,Parameter!$A$35:$C$64,3,0)+0,0)))</f>
        <v>0</v>
      </c>
      <c r="BX88" s="55" t="n">
        <f aca="false">IF(AA88&lt;&gt;"",AA88,Z88)</f>
        <v>3</v>
      </c>
      <c r="BY88" s="55" t="str">
        <f aca="false">IF(BX88=1,"L1",IF(OR(BX88=2,BX88=3),"L23",IF(BX88="Aussen","Aussen","-")))</f>
        <v>L23</v>
      </c>
      <c r="BZ88" s="66" t="n">
        <f aca="false">IF(N(AB88)&gt;0,AB88,0)</f>
        <v>0</v>
      </c>
      <c r="CA88" s="60" t="n">
        <f aca="false">IF(ISNUMBER(AE88),1,0)</f>
        <v>0</v>
      </c>
      <c r="CB88" s="57" t="n">
        <f aca="false">N(AE88)</f>
        <v>0</v>
      </c>
      <c r="CC88" s="57" t="n">
        <f aca="false">N(M88)+N(N88)</f>
        <v>310</v>
      </c>
      <c r="CD88" s="57" t="n">
        <f aca="false">ROUNDUP(H88/BS88,0)</f>
        <v>3</v>
      </c>
      <c r="CE88" s="57" t="n">
        <f aca="false">ROUNDUP(CB88/BS88,0)</f>
        <v>0</v>
      </c>
      <c r="CF88" s="60" t="n">
        <f aca="false">IF(BT88=1,0,IFERROR(VLOOKUP(BR88,'Gebinde-Kategorie'!$A$5:$M$45,5,0)+0,0))</f>
        <v>11</v>
      </c>
      <c r="CG88" s="60" t="n">
        <f aca="false">IFERROR(IF(OR(BX88=1,BX88=2,BX88=3),N(INDEX(Parameter!$I$5:$I$7,BX88)),0),0)</f>
        <v>0</v>
      </c>
      <c r="CH88" s="59" t="n">
        <f aca="false">IF(AND(Parameter!$B$21="Ja",ISNUMBER(W88),N(X88)&gt;0),IFERROR(N(INDEX(Parameter!$L$5:$L$7,W88))*INDEX(Parameter!$E$5:$E$7,W88)*X88/SUMIFS($X$7:$X$1843,$W$7:$W$1843,W88),0),0)</f>
        <v>0</v>
      </c>
    </row>
    <row r="89" customFormat="false" ht="15" hidden="false" customHeight="false" outlineLevel="0" collapsed="false">
      <c r="A89" s="55" t="s">
        <v>386</v>
      </c>
      <c r="B89" s="55" t="s">
        <v>387</v>
      </c>
      <c r="C89" s="55" t="s">
        <v>164</v>
      </c>
      <c r="D89" s="55" t="s">
        <v>173</v>
      </c>
      <c r="E89" s="55"/>
      <c r="F89" s="55" t="s">
        <v>218</v>
      </c>
      <c r="G89" s="56" t="n">
        <v>1447</v>
      </c>
      <c r="H89" s="57" t="n">
        <f aca="false">MAX(0,IF(AND(Parameter!$B$21="Ja",ISNUMBER(Y89)),Y89,IF(Parameter!$B$20="Jahresanfang 2025 + Export",BL89+BK89,BK89)))</f>
        <v>2</v>
      </c>
      <c r="I89" s="57" t="n">
        <f aca="false">H89*G89</f>
        <v>2894</v>
      </c>
      <c r="J89" s="57" t="n">
        <f aca="false">BN89*Parameter!$B$18</f>
        <v>0</v>
      </c>
      <c r="K89" s="58" t="n">
        <v>1</v>
      </c>
      <c r="L89" s="59" t="n">
        <v>0</v>
      </c>
      <c r="M89" s="57" t="n">
        <v>0</v>
      </c>
      <c r="N89" s="57" t="n">
        <v>1</v>
      </c>
      <c r="O89" s="60" t="n">
        <v>70</v>
      </c>
      <c r="P89" s="55" t="s">
        <v>302</v>
      </c>
      <c r="Q89" s="57" t="n">
        <v>2</v>
      </c>
      <c r="R89" s="60" t="n">
        <f aca="false">IF(BT89=1,0,IFERROR(VLOOKUP(BR89,'Gebinde-Kategorie'!$A$5:$M$45,13,0)+0,0))</f>
        <v>26</v>
      </c>
      <c r="S89" s="61"/>
      <c r="T89" s="62"/>
      <c r="U89" s="62"/>
      <c r="V89" s="62"/>
      <c r="W89" s="55"/>
      <c r="X89" s="57"/>
      <c r="Y89" s="57"/>
      <c r="Z89" s="55" t="n">
        <f aca="false">IF(A89="","",IF(AND(Parameter!$B$21="Ja",ISNUMBER(W89)),W89,IF(BV89="2+3",IF(ISNUMBER(SEARCH("grosser Artikel",BO89)),2,IFERROR(VLOOKUP(BR89,Parameter!$F$35:$G$64,2,0),2)),IF(OR(BV89="Nein",BV89=""),"-",BV89))))</f>
        <v>3</v>
      </c>
      <c r="AA89" s="62"/>
      <c r="AB89" s="63"/>
      <c r="AC89" s="57" t="n">
        <f aca="false">AR89</f>
        <v>2</v>
      </c>
      <c r="AD89" s="57" t="n">
        <f aca="false">MAX(AR89,H89)</f>
        <v>2</v>
      </c>
      <c r="AE89" s="64"/>
      <c r="AF89" s="57" t="n">
        <f aca="false">IF(LEFT(Cockpit!$C$5,1)="A",H89,IF(CA89=1,CB89,IF(LEFT(Cockpit!$C$5,1)="B",AJ89,MAX(AJ89,H89))))</f>
        <v>2</v>
      </c>
      <c r="AG89" s="57" t="n">
        <f aca="false">IF(BT89=1,0,ROUNDUP(AF89/BS89,0))</f>
        <v>1</v>
      </c>
      <c r="AH89" s="59" t="n">
        <f aca="false">IF(CH89&gt;0,CH89*MAX(1,AF89/X89),IF(BT89=1,IF(AF89&lt;=0,0,BW89*MAX(1,IF(H89&gt;0,AF89/H89,1))),IF(R89&gt;0,AG89/R89,0))/MAX(0.1,N(Parameter!$M$21)))</f>
        <v>0.0384615384615385</v>
      </c>
      <c r="AI89" s="57" t="n">
        <f aca="false">AF89*G89</f>
        <v>2894</v>
      </c>
      <c r="AJ89" s="57" t="n">
        <f aca="false">ROUNDUP(MAX(J89/IF(BZ89&gt;0,BZ89,MAX(0.1,N(Cockpit!$C$6))),CC89)/BS89,0)*BS89</f>
        <v>2</v>
      </c>
      <c r="AK89" s="58" t="n">
        <f aca="false">IF(AH89&gt;0,J89/AH89,-1)</f>
        <v>0</v>
      </c>
      <c r="AL89" s="58" t="n">
        <f aca="false">IF(AND(OR(BY89="L1",BY89="L23"),AH89&gt;0),SUMIFS($AH$7:$AH$1843,$BY$7:$BY$1843,BY89,$AK$7:$AK$1843,"&gt;"&amp;AK89)+SUMIFS($AH$7:$AH$1843,$BY$7:$BY$1843,BY89,$AK$7:$AK$1843,AK89,$BQ$7:$BQ$1843,"&lt;="&amp;BQ89),"")</f>
        <v>68.3175906219385</v>
      </c>
      <c r="AM89" s="65" t="n">
        <f aca="false">IF(AL89="",0,MAX(0,MIN(1,(IF(BY89="L1",Parameter!$E$5,Parameter!$E$6+Parameter!$E$7)-(AL89-AH89))/AH89)))</f>
        <v>1</v>
      </c>
      <c r="AN89" s="57" t="n">
        <f aca="false">IF(LEFT(Cockpit!$I$5,1)="A",H89,IF(CA89=1,CB89,IF(LEFT(Cockpit!$I$5,1)="B",AR89,MAX(AR89,H89))))</f>
        <v>2</v>
      </c>
      <c r="AO89" s="57" t="n">
        <f aca="false">IF(BT89=1,0,ROUNDUP(AN89/BS89,0))</f>
        <v>1</v>
      </c>
      <c r="AP89" s="59" t="n">
        <f aca="false">IF(CH89&gt;0,CH89*MAX(1,AN89/X89),IF(BT89=1,IF(AN89&lt;=0,0,BW89*MAX(1,IF(H89&gt;0,AN89/H89,1))),IF(R89&gt;0,AO89/R89,0))/MAX(0.1,N(Parameter!$M$21)))</f>
        <v>0.0384615384615385</v>
      </c>
      <c r="AQ89" s="57" t="n">
        <f aca="false">AN89*G89</f>
        <v>2894</v>
      </c>
      <c r="AR89" s="57" t="n">
        <f aca="false">ROUNDUP(MAX(J89/IF(BZ89&gt;0,BZ89,MAX(0.1,N(Cockpit!$I$6))),CC89)/BS89,0)*BS89</f>
        <v>2</v>
      </c>
      <c r="AS89" s="58" t="n">
        <f aca="false">IF(AP89&gt;0,J89/AP89,-1)</f>
        <v>0</v>
      </c>
      <c r="AT89" s="58" t="n">
        <f aca="false">IF(AND(OR(BY89="L1",BY89="L23"),AP89&gt;0),SUMIFS($AP$7:$AP$1843,$BY$7:$BY$1843,BY89,$AS$7:$AS$1843,"&gt;"&amp;AS89)+SUMIFS($AP$7:$AP$1843,$BY$7:$BY$1843,BY89,$AS$7:$AS$1843,AS89,$BQ$7:$BQ$1843,"&lt;="&amp;BQ89),"")</f>
        <v>107.658381473599</v>
      </c>
      <c r="AU89" s="65" t="n">
        <f aca="false">IF(AT89="",0,MAX(0,MIN(1,(IF(BY89="L1",Parameter!$E$5,Parameter!$E$6+Parameter!$E$7)-(AT89-AP89))/AP89)))</f>
        <v>0</v>
      </c>
      <c r="AV89" s="57" t="n">
        <f aca="false">IF(LEFT(Cockpit!$O$5,1)="A",H89,IF(CA89=1,CB89,IF(LEFT(Cockpit!$O$5,1)="B",AZ89,MAX(AZ89,H89))))</f>
        <v>2</v>
      </c>
      <c r="AW89" s="57" t="n">
        <f aca="false">IF(BT89=1,0,ROUNDUP(AV89/BS89,0))</f>
        <v>1</v>
      </c>
      <c r="AX89" s="59" t="n">
        <f aca="false">IF(CH89&gt;0,CH89*MAX(1,AV89/X89),IF(BT89=1,IF(AV89&lt;=0,0,BW89*MAX(1,IF(H89&gt;0,AV89/H89,1))),IF(R89&gt;0,AW89/R89,0))/MAX(0.1,N(Parameter!$M$21)))</f>
        <v>0.0384615384615385</v>
      </c>
      <c r="AY89" s="57" t="n">
        <f aca="false">AV89*G89</f>
        <v>2894</v>
      </c>
      <c r="AZ89" s="57" t="n">
        <f aca="false">ROUNDUP(MAX(J89/IF(BZ89&gt;0,BZ89,MAX(0.1,N(Cockpit!$O$6))),CC89)/BS89,0)*BS89</f>
        <v>2</v>
      </c>
      <c r="BA89" s="58" t="n">
        <f aca="false">IF(AX89&gt;0,J89/AX89,-1)</f>
        <v>0</v>
      </c>
      <c r="BB89" s="58" t="n">
        <f aca="false">IF(AND(OR(BY89="L1",BY89="L23"),AX89&gt;0),SUMIFS($AX$7:$AX$1843,$BY$7:$BY$1843,BY89,$BA$7:$BA$1843,"&gt;"&amp;BA89)+SUMIFS($AX$7:$AX$1843,$BY$7:$BY$1843,BY89,$BA$7:$BA$1843,BA89,$BQ$7:$BQ$1843,"&lt;="&amp;BQ89),"")</f>
        <v>98.4882183034357</v>
      </c>
      <c r="BC89" s="65" t="n">
        <f aca="false">IF(BB89="",0,MAX(0,MIN(1,(IF(BY89="L1",Parameter!$E$5,Parameter!$E$6+Parameter!$E$7)-(BB89-AX89))/AX89)))</f>
        <v>1</v>
      </c>
      <c r="BD89" s="55" t="str">
        <f aca="false">IF(AH89&lt;=0,"",IF(BY89="Aussen","Aussenlager",IF(BY89="-","Nicht im Lift",IF(AM89&gt;=1,"Lift",IF(AM89&lt;=0,"Aussenlager","teilweise")))))</f>
        <v>Lift</v>
      </c>
      <c r="BE89" s="55" t="str">
        <f aca="false">IF(AP89&lt;=0,"",IF(BY89="Aussen","Aussenlager",IF(BY89="-","Nicht im Lift",IF(AU89&gt;=1,"Lift",IF(AU89&lt;=0,"Aussenlager","teilweise")))))</f>
        <v>Aussenlager</v>
      </c>
      <c r="BF89" s="55" t="str">
        <f aca="false">IF(AX89&lt;=0,"",IF(BY89="Aussen","Aussenlager",IF(BY89="-","Nicht im Lift",IF(BC89&gt;=1,"Lift",IF(BC89&lt;=0,"Aussenlager","teilweise")))))</f>
        <v>Lift</v>
      </c>
      <c r="BG89" s="55" t="str">
        <f aca="false">IF(A89="","",IF(BP89=1,"Neu; ","")&amp;IF(AND(BP89=0,BK89&lt;0),"negativer Bestand (Export "&amp;BK89&amp;"); ","")&amp;IF(J89&lt;=0,"Kein Verbrauch; ","")&amp;IF(CH89&gt;0,"Lift "&amp;W89&amp;" lt. Liftbericht (Fach "&amp;X89&amp;" Stk); ",IF(BU89=1,"Gebinde geschätzt ("&amp;T89&amp;"); ",IF(BT89=1,"Lose – Tablare geschätzt; ","")))&amp;IF(H89&gt;AR89,"Überbestand "&amp;ROUND(H89-AR89,0)&amp;" Stk / CHF "&amp;ROUND((H89-AR89)*G89,0)&amp;"; ","")&amp;IF(AND(CA89=1,CB89&lt;CC89),"MAX &lt; MB+LG; ","")&amp;IF(AND(CG89&gt;0,CF89*10&gt;CG89),"zu hoch für Tablar; ","")&amp;IF(AND(BP89=0,OR(CA89=1,AA89&lt;&gt;"",U89&lt;&gt;"",V89&lt;&gt;"",AB89&lt;&gt;"")),"manuell übersteuert; ","")&amp;IF(AND(BT89=0,R89=0),"Gebinde unbekannt / Stellmass fehlt; ","")&amp;IF(AND(BT89=0,N(V89)&lt;=0,N(Q89)&lt;=0),"Menge pro Gebinde fehlt (Ist = 1 Gebinde); ","")&amp;BO89)</f>
        <v>Kein Verbrauch; </v>
      </c>
      <c r="BH89" s="55" t="s">
        <v>388</v>
      </c>
      <c r="BI89" s="55" t="s">
        <v>389</v>
      </c>
      <c r="BJ89" s="62"/>
      <c r="BK89" s="57" t="n">
        <v>2</v>
      </c>
      <c r="BL89" s="57" t="n">
        <v>0</v>
      </c>
      <c r="BM89" s="56" t="n">
        <v>2894</v>
      </c>
      <c r="BN89" s="57" t="n">
        <v>0</v>
      </c>
      <c r="BO89" s="55"/>
      <c r="BP89" s="60" t="n">
        <v>0</v>
      </c>
      <c r="BQ89" s="60" t="n">
        <v>89</v>
      </c>
      <c r="BR89" s="55" t="str">
        <f aca="false">IF(U89&lt;&gt;"",UPPER(TRIM(U89)),IF(BU89=1,UPPER(VLOOKUP(T89,Parameter!$I$27:$K$29,2,0)),IF(P89="","LOSE",P89)))</f>
        <v>S51</v>
      </c>
      <c r="BS89" s="57" t="n">
        <f aca="false">IF(BR89="LOSE",1,IF(N(V89)&gt;0,V89,IF(BU89=1,MAX(1,N(VLOOKUP(T89,Parameter!$I$27:$K$29,3,0)),H89,N(N89)),IF(N(Q89)&gt;0,Q89,MAX(1,H89)))))</f>
        <v>2</v>
      </c>
      <c r="BT89" s="60" t="n">
        <f aca="false">IF(BR89="LOSE",1,0)</f>
        <v>0</v>
      </c>
      <c r="BU89" s="60" t="n">
        <f aca="false">IF(AND(U89="",OR(P89="",P89="LOSE"),T89&lt;&gt;"",N(S89)&lt;=0,ISNUMBER(MATCH(T89,Parameter!$I$27:$I$29,0))),1,0)</f>
        <v>0</v>
      </c>
      <c r="BV89" s="55" t="str">
        <f aca="false">IF(AND(Parameter!$B$19="Ja",E89&lt;&gt;"",ISNUMBER(MATCH(E89,Parameter!$I$35:$I$52,0))),VLOOKUP(E89,Parameter!$I$35:$J$52,2,0),IFERROR(VLOOKUP(D89,Parameter!$A$35:$C$64,2,0),"Nein"))</f>
        <v>2+3</v>
      </c>
      <c r="BW89" s="59" t="n">
        <f aca="false">IF(BT89=0,0,IF(N(S89)&gt;0,S89,IFERROR(VLOOKUP(D89,Parameter!$A$35:$C$64,3,0)+0,0)))</f>
        <v>0</v>
      </c>
      <c r="BX89" s="55" t="n">
        <f aca="false">IF(AA89&lt;&gt;"",AA89,Z89)</f>
        <v>3</v>
      </c>
      <c r="BY89" s="55" t="str">
        <f aca="false">IF(BX89=1,"L1",IF(OR(BX89=2,BX89=3),"L23",IF(BX89="Aussen","Aussen","-")))</f>
        <v>L23</v>
      </c>
      <c r="BZ89" s="66" t="n">
        <f aca="false">IF(N(AB89)&gt;0,AB89,0)</f>
        <v>0</v>
      </c>
      <c r="CA89" s="60" t="n">
        <f aca="false">IF(ISNUMBER(AE89),1,0)</f>
        <v>0</v>
      </c>
      <c r="CB89" s="57" t="n">
        <f aca="false">N(AE89)</f>
        <v>0</v>
      </c>
      <c r="CC89" s="57" t="n">
        <f aca="false">N(M89)+N(N89)</f>
        <v>1</v>
      </c>
      <c r="CD89" s="57" t="n">
        <f aca="false">ROUNDUP(H89/BS89,0)</f>
        <v>1</v>
      </c>
      <c r="CE89" s="57" t="n">
        <f aca="false">ROUNDUP(CB89/BS89,0)</f>
        <v>0</v>
      </c>
      <c r="CF89" s="60" t="n">
        <f aca="false">IF(BT89=1,0,IFERROR(VLOOKUP(BR89,'Gebinde-Kategorie'!$A$5:$M$45,5,0)+0,0))</f>
        <v>11</v>
      </c>
      <c r="CG89" s="60" t="n">
        <f aca="false">IFERROR(IF(OR(BX89=1,BX89=2,BX89=3),N(INDEX(Parameter!$I$5:$I$7,BX89)),0),0)</f>
        <v>0</v>
      </c>
      <c r="CH89" s="59" t="n">
        <f aca="false">IF(AND(Parameter!$B$21="Ja",ISNUMBER(W89),N(X89)&gt;0),IFERROR(N(INDEX(Parameter!$L$5:$L$7,W89))*INDEX(Parameter!$E$5:$E$7,W89)*X89/SUMIFS($X$7:$X$1843,$W$7:$W$1843,W89),0),0)</f>
        <v>0</v>
      </c>
    </row>
    <row r="90" customFormat="false" ht="15" hidden="false" customHeight="false" outlineLevel="0" collapsed="false">
      <c r="A90" s="55" t="s">
        <v>390</v>
      </c>
      <c r="B90" s="55" t="s">
        <v>391</v>
      </c>
      <c r="C90" s="55" t="s">
        <v>164</v>
      </c>
      <c r="D90" s="55" t="s">
        <v>184</v>
      </c>
      <c r="E90" s="55" t="s">
        <v>185</v>
      </c>
      <c r="F90" s="55" t="s">
        <v>218</v>
      </c>
      <c r="G90" s="56" t="n">
        <v>294.55</v>
      </c>
      <c r="H90" s="57" t="n">
        <f aca="false">MAX(0,IF(AND(Parameter!$B$21="Ja",ISNUMBER(Y90)),Y90,IF(Parameter!$B$20="Jahresanfang 2025 + Export",BL90+BK90,BK90)))</f>
        <v>13</v>
      </c>
      <c r="I90" s="57" t="n">
        <f aca="false">H90*G90</f>
        <v>3829.15</v>
      </c>
      <c r="J90" s="57" t="n">
        <f aca="false">BN90*Parameter!$B$18</f>
        <v>2</v>
      </c>
      <c r="K90" s="58" t="n">
        <v>9</v>
      </c>
      <c r="L90" s="59" t="n">
        <v>0.222222222222222</v>
      </c>
      <c r="M90" s="57" t="n">
        <v>0</v>
      </c>
      <c r="N90" s="57" t="n">
        <v>1</v>
      </c>
      <c r="O90" s="60" t="n">
        <v>42</v>
      </c>
      <c r="P90" s="55" t="s">
        <v>233</v>
      </c>
      <c r="Q90" s="57" t="n">
        <v>17</v>
      </c>
      <c r="R90" s="60" t="n">
        <f aca="false">IF(BT90=1,0,IFERROR(VLOOKUP(BR90,'Gebinde-Kategorie'!$A$5:$M$45,13,0)+0,0))</f>
        <v>26</v>
      </c>
      <c r="S90" s="61"/>
      <c r="T90" s="62"/>
      <c r="U90" s="62"/>
      <c r="V90" s="62"/>
      <c r="W90" s="55"/>
      <c r="X90" s="57"/>
      <c r="Y90" s="57"/>
      <c r="Z90" s="55" t="n">
        <f aca="false">IF(A90="","",IF(AND(Parameter!$B$21="Ja",ISNUMBER(W90)),W90,IF(BV90="2+3",IF(ISNUMBER(SEARCH("grosser Artikel",BO90)),2,IFERROR(VLOOKUP(BR90,Parameter!$F$35:$G$64,2,0),2)),IF(OR(BV90="Nein",BV90=""),"-",BV90))))</f>
        <v>3</v>
      </c>
      <c r="AA90" s="62"/>
      <c r="AB90" s="63"/>
      <c r="AC90" s="57" t="n">
        <f aca="false">AR90</f>
        <v>17</v>
      </c>
      <c r="AD90" s="57" t="n">
        <f aca="false">MAX(AR90,H90)</f>
        <v>17</v>
      </c>
      <c r="AE90" s="64"/>
      <c r="AF90" s="57" t="n">
        <f aca="false">IF(LEFT(Cockpit!$C$5,1)="A",H90,IF(CA90=1,CB90,IF(LEFT(Cockpit!$C$5,1)="B",AJ90,MAX(AJ90,H90))))</f>
        <v>13</v>
      </c>
      <c r="AG90" s="57" t="n">
        <f aca="false">IF(BT90=1,0,ROUNDUP(AF90/BS90,0))</f>
        <v>1</v>
      </c>
      <c r="AH90" s="59" t="n">
        <f aca="false">IF(CH90&gt;0,CH90*MAX(1,AF90/X90),IF(BT90=1,IF(AF90&lt;=0,0,BW90*MAX(1,IF(H90&gt;0,AF90/H90,1))),IF(R90&gt;0,AG90/R90,0))/MAX(0.1,N(Parameter!$M$21)))</f>
        <v>0.0384615384615385</v>
      </c>
      <c r="AI90" s="57" t="n">
        <f aca="false">AF90*G90</f>
        <v>3829.15</v>
      </c>
      <c r="AJ90" s="57" t="n">
        <f aca="false">ROUNDUP(MAX(J90/IF(BZ90&gt;0,BZ90,MAX(0.1,N(Cockpit!$C$6))),CC90)/BS90,0)*BS90</f>
        <v>17</v>
      </c>
      <c r="AK90" s="58" t="n">
        <f aca="false">IF(AH90&gt;0,J90/AH90,-1)</f>
        <v>52</v>
      </c>
      <c r="AL90" s="58" t="n">
        <f aca="false">IF(AND(OR(BY90="L1",BY90="L23"),AH90&gt;0),SUMIFS($AH$7:$AH$1843,$BY$7:$BY$1843,BY90,$AK$7:$AK$1843,"&gt;"&amp;AK90)+SUMIFS($AH$7:$AH$1843,$BY$7:$BY$1843,BY90,$AK$7:$AK$1843,AK90,$BQ$7:$BQ$1843,"&lt;="&amp;BQ90),"")</f>
        <v>44.0491368534847</v>
      </c>
      <c r="AM90" s="65" t="n">
        <f aca="false">IF(AL90="",0,MAX(0,MIN(1,(IF(BY90="L1",Parameter!$E$5,Parameter!$E$6+Parameter!$E$7)-(AL90-AH90))/AH90)))</f>
        <v>1</v>
      </c>
      <c r="AN90" s="57" t="n">
        <f aca="false">IF(LEFT(Cockpit!$I$5,1)="A",H90,IF(CA90=1,CB90,IF(LEFT(Cockpit!$I$5,1)="B",AR90,MAX(AR90,H90))))</f>
        <v>17</v>
      </c>
      <c r="AO90" s="57" t="n">
        <f aca="false">IF(BT90=1,0,ROUNDUP(AN90/BS90,0))</f>
        <v>1</v>
      </c>
      <c r="AP90" s="59" t="n">
        <f aca="false">IF(CH90&gt;0,CH90*MAX(1,AN90/X90),IF(BT90=1,IF(AN90&lt;=0,0,BW90*MAX(1,IF(H90&gt;0,AN90/H90,1))),IF(R90&gt;0,AO90/R90,0))/MAX(0.1,N(Parameter!$M$21)))</f>
        <v>0.0384615384615385</v>
      </c>
      <c r="AQ90" s="57" t="n">
        <f aca="false">AN90*G90</f>
        <v>5007.35</v>
      </c>
      <c r="AR90" s="57" t="n">
        <f aca="false">ROUNDUP(MAX(J90/IF(BZ90&gt;0,BZ90,MAX(0.1,N(Cockpit!$I$6))),CC90)/BS90,0)*BS90</f>
        <v>17</v>
      </c>
      <c r="AS90" s="58" t="n">
        <f aca="false">IF(AP90&gt;0,J90/AP90,-1)</f>
        <v>52</v>
      </c>
      <c r="AT90" s="58" t="n">
        <f aca="false">IF(AND(OR(BY90="L1",BY90="L23"),AP90&gt;0),SUMIFS($AP$7:$AP$1843,$BY$7:$BY$1843,BY90,$AS$7:$AS$1843,"&gt;"&amp;AS90)+SUMIFS($AP$7:$AP$1843,$BY$7:$BY$1843,BY90,$AS$7:$AS$1843,AS90,$BQ$7:$BQ$1843,"&lt;="&amp;BQ90),"")</f>
        <v>66.838645653863</v>
      </c>
      <c r="AU90" s="65" t="n">
        <f aca="false">IF(AT90="",0,MAX(0,MIN(1,(IF(BY90="L1",Parameter!$E$5,Parameter!$E$6+Parameter!$E$7)-(AT90-AP90))/AP90)))</f>
        <v>1</v>
      </c>
      <c r="AV90" s="57" t="n">
        <f aca="false">IF(LEFT(Cockpit!$O$5,1)="A",H90,IF(CA90=1,CB90,IF(LEFT(Cockpit!$O$5,1)="B",AZ90,MAX(AZ90,H90))))</f>
        <v>17</v>
      </c>
      <c r="AW90" s="57" t="n">
        <f aca="false">IF(BT90=1,0,ROUNDUP(AV90/BS90,0))</f>
        <v>1</v>
      </c>
      <c r="AX90" s="59" t="n">
        <f aca="false">IF(CH90&gt;0,CH90*MAX(1,AV90/X90),IF(BT90=1,IF(AV90&lt;=0,0,BW90*MAX(1,IF(H90&gt;0,AV90/H90,1))),IF(R90&gt;0,AW90/R90,0))/MAX(0.1,N(Parameter!$M$21)))</f>
        <v>0.0384615384615385</v>
      </c>
      <c r="AY90" s="57" t="n">
        <f aca="false">AV90*G90</f>
        <v>5007.35</v>
      </c>
      <c r="AZ90" s="57" t="n">
        <f aca="false">ROUNDUP(MAX(J90/IF(BZ90&gt;0,BZ90,MAX(0.1,N(Cockpit!$O$6))),CC90)/BS90,0)*BS90</f>
        <v>17</v>
      </c>
      <c r="BA90" s="58" t="n">
        <f aca="false">IF(AX90&gt;0,J90/AX90,-1)</f>
        <v>52</v>
      </c>
      <c r="BB90" s="58" t="n">
        <f aca="false">IF(AND(OR(BY90="L1",BY90="L23"),AX90&gt;0),SUMIFS($AX$7:$AX$1843,$BY$7:$BY$1843,BY90,$BA$7:$BA$1843,"&gt;"&amp;BA90)+SUMIFS($AX$7:$AX$1843,$BY$7:$BY$1843,BY90,$BA$7:$BA$1843,BA90,$BQ$7:$BQ$1843,"&lt;="&amp;BQ90),"")</f>
        <v>61.3351491503665</v>
      </c>
      <c r="BC90" s="65" t="n">
        <f aca="false">IF(BB90="",0,MAX(0,MIN(1,(IF(BY90="L1",Parameter!$E$5,Parameter!$E$6+Parameter!$E$7)-(BB90-AX90))/AX90)))</f>
        <v>1</v>
      </c>
      <c r="BD90" s="55" t="str">
        <f aca="false">IF(AH90&lt;=0,"",IF(BY90="Aussen","Aussenlager",IF(BY90="-","Nicht im Lift",IF(AM90&gt;=1,"Lift",IF(AM90&lt;=0,"Aussenlager","teilweise")))))</f>
        <v>Lift</v>
      </c>
      <c r="BE90" s="55" t="str">
        <f aca="false">IF(AP90&lt;=0,"",IF(BY90="Aussen","Aussenlager",IF(BY90="-","Nicht im Lift",IF(AU90&gt;=1,"Lift",IF(AU90&lt;=0,"Aussenlager","teilweise")))))</f>
        <v>Lift</v>
      </c>
      <c r="BF90" s="55" t="str">
        <f aca="false">IF(AX90&lt;=0,"",IF(BY90="Aussen","Aussenlager",IF(BY90="-","Nicht im Lift",IF(BC90&gt;=1,"Lift",IF(BC90&lt;=0,"Aussenlager","teilweise")))))</f>
        <v>Lift</v>
      </c>
      <c r="BG90" s="55" t="str">
        <f aca="false">IF(A90="","",IF(BP90=1,"Neu; ","")&amp;IF(AND(BP90=0,BK90&lt;0),"negativer Bestand (Export "&amp;BK90&amp;"); ","")&amp;IF(J90&lt;=0,"Kein Verbrauch; ","")&amp;IF(CH90&gt;0,"Lift "&amp;W90&amp;" lt. Liftbericht (Fach "&amp;X90&amp;" Stk); ",IF(BU90=1,"Gebinde geschätzt ("&amp;T90&amp;"); ",IF(BT90=1,"Lose – Tablare geschätzt; ","")))&amp;IF(H90&gt;AR90,"Überbestand "&amp;ROUND(H90-AR90,0)&amp;" Stk / CHF "&amp;ROUND((H90-AR90)*G90,0)&amp;"; ","")&amp;IF(AND(CA90=1,CB90&lt;CC90),"MAX &lt; MB+LG; ","")&amp;IF(AND(CG90&gt;0,CF90*10&gt;CG90),"zu hoch für Tablar; ","")&amp;IF(AND(BP90=0,OR(CA90=1,AA90&lt;&gt;"",U90&lt;&gt;"",V90&lt;&gt;"",AB90&lt;&gt;"")),"manuell übersteuert; ","")&amp;IF(AND(BT90=0,R90=0),"Gebinde unbekannt / Stellmass fehlt; ","")&amp;IF(AND(BT90=0,N(V90)&lt;=0,N(Q90)&lt;=0),"Menge pro Gebinde fehlt (Ist = 1 Gebinde); ","")&amp;BO90)</f>
        <v>Überbestand</v>
      </c>
      <c r="BH90" s="55"/>
      <c r="BI90" s="55"/>
      <c r="BJ90" s="62"/>
      <c r="BK90" s="57" t="n">
        <v>8</v>
      </c>
      <c r="BL90" s="57" t="n">
        <v>5</v>
      </c>
      <c r="BM90" s="56" t="n">
        <v>2784.35</v>
      </c>
      <c r="BN90" s="57" t="n">
        <v>2</v>
      </c>
      <c r="BO90" s="55" t="s">
        <v>392</v>
      </c>
      <c r="BP90" s="60" t="n">
        <v>0</v>
      </c>
      <c r="BQ90" s="60" t="n">
        <v>90</v>
      </c>
      <c r="BR90" s="55" t="str">
        <f aca="false">IF(U90&lt;&gt;"",UPPER(TRIM(U90)),IF(BU90=1,UPPER(VLOOKUP(T90,Parameter!$I$27:$K$29,2,0)),IF(P90="","LOSE",P90)))</f>
        <v>S52</v>
      </c>
      <c r="BS90" s="57" t="n">
        <f aca="false">IF(BR90="LOSE",1,IF(N(V90)&gt;0,V90,IF(BU90=1,MAX(1,N(VLOOKUP(T90,Parameter!$I$27:$K$29,3,0)),H90,N(N90)),IF(N(Q90)&gt;0,Q90,MAX(1,H90)))))</f>
        <v>17</v>
      </c>
      <c r="BT90" s="60" t="n">
        <f aca="false">IF(BR90="LOSE",1,0)</f>
        <v>0</v>
      </c>
      <c r="BU90" s="60" t="n">
        <f aca="false">IF(AND(U90="",OR(P90="",P90="LOSE"),T90&lt;&gt;"",N(S90)&lt;=0,ISNUMBER(MATCH(T90,Parameter!$I$27:$I$29,0))),1,0)</f>
        <v>0</v>
      </c>
      <c r="BV90" s="55" t="str">
        <f aca="false">IF(AND(Parameter!$B$19="Ja",E90&lt;&gt;"",ISNUMBER(MATCH(E90,Parameter!$I$35:$I$52,0))),VLOOKUP(E90,Parameter!$I$35:$J$52,2,0),IFERROR(VLOOKUP(D90,Parameter!$A$35:$C$64,2,0),"Nein"))</f>
        <v>2+3</v>
      </c>
      <c r="BW90" s="59" t="n">
        <f aca="false">IF(BT90=0,0,IF(N(S90)&gt;0,S90,IFERROR(VLOOKUP(D90,Parameter!$A$35:$C$64,3,0)+0,0)))</f>
        <v>0</v>
      </c>
      <c r="BX90" s="55" t="n">
        <f aca="false">IF(AA90&lt;&gt;"",AA90,Z90)</f>
        <v>3</v>
      </c>
      <c r="BY90" s="55" t="str">
        <f aca="false">IF(BX90=1,"L1",IF(OR(BX90=2,BX90=3),"L23",IF(BX90="Aussen","Aussen","-")))</f>
        <v>L23</v>
      </c>
      <c r="BZ90" s="66" t="n">
        <f aca="false">IF(N(AB90)&gt;0,AB90,0)</f>
        <v>0</v>
      </c>
      <c r="CA90" s="60" t="n">
        <f aca="false">IF(ISNUMBER(AE90),1,0)</f>
        <v>0</v>
      </c>
      <c r="CB90" s="57" t="n">
        <f aca="false">N(AE90)</f>
        <v>0</v>
      </c>
      <c r="CC90" s="57" t="n">
        <f aca="false">N(M90)+N(N90)</f>
        <v>1</v>
      </c>
      <c r="CD90" s="57" t="n">
        <f aca="false">ROUNDUP(H90/BS90,0)</f>
        <v>1</v>
      </c>
      <c r="CE90" s="57" t="n">
        <f aca="false">ROUNDUP(CB90/BS90,0)</f>
        <v>0</v>
      </c>
      <c r="CF90" s="60" t="n">
        <f aca="false">IF(BT90=1,0,IFERROR(VLOOKUP(BR90,'Gebinde-Kategorie'!$A$5:$M$45,5,0)+0,0))</f>
        <v>21</v>
      </c>
      <c r="CG90" s="60" t="n">
        <f aca="false">IFERROR(IF(OR(BX90=1,BX90=2,BX90=3),N(INDEX(Parameter!$I$5:$I$7,BX90)),0),0)</f>
        <v>0</v>
      </c>
      <c r="CH90" s="59" t="n">
        <f aca="false">IF(AND(Parameter!$B$21="Ja",ISNUMBER(W90),N(X90)&gt;0),IFERROR(N(INDEX(Parameter!$L$5:$L$7,W90))*INDEX(Parameter!$E$5:$E$7,W90)*X90/SUMIFS($X$7:$X$1843,$W$7:$W$1843,W90),0),0)</f>
        <v>0</v>
      </c>
    </row>
    <row r="91" customFormat="false" ht="15" hidden="false" customHeight="false" outlineLevel="0" collapsed="false">
      <c r="A91" s="55" t="s">
        <v>393</v>
      </c>
      <c r="B91" s="55" t="s">
        <v>394</v>
      </c>
      <c r="C91" s="55" t="s">
        <v>164</v>
      </c>
      <c r="D91" s="55" t="s">
        <v>173</v>
      </c>
      <c r="E91" s="55" t="s">
        <v>166</v>
      </c>
      <c r="F91" s="55" t="s">
        <v>218</v>
      </c>
      <c r="G91" s="56" t="n">
        <v>335.82</v>
      </c>
      <c r="H91" s="57" t="n">
        <f aca="false">MAX(0,IF(AND(Parameter!$B$21="Ja",ISNUMBER(Y91)),Y91,IF(Parameter!$B$20="Jahresanfang 2025 + Export",BL91+BK91,BK91)))</f>
        <v>15</v>
      </c>
      <c r="I91" s="57" t="n">
        <f aca="false">H91*G91</f>
        <v>5037.3</v>
      </c>
      <c r="J91" s="57" t="n">
        <f aca="false">BN91*Parameter!$B$18</f>
        <v>30</v>
      </c>
      <c r="K91" s="58" t="n">
        <v>13.5</v>
      </c>
      <c r="L91" s="59" t="n">
        <v>2.22222222222222</v>
      </c>
      <c r="M91" s="57" t="n">
        <v>2</v>
      </c>
      <c r="N91" s="57" t="n">
        <v>15</v>
      </c>
      <c r="O91" s="60" t="n">
        <v>21</v>
      </c>
      <c r="P91" s="55" t="s">
        <v>174</v>
      </c>
      <c r="Q91" s="57" t="n">
        <v>24</v>
      </c>
      <c r="R91" s="60" t="n">
        <f aca="false">IF(BT91=1,0,IFERROR(VLOOKUP(BR91,'Gebinde-Kategorie'!$A$5:$M$45,13,0)+0,0))</f>
        <v>6</v>
      </c>
      <c r="S91" s="61"/>
      <c r="T91" s="62"/>
      <c r="U91" s="62"/>
      <c r="V91" s="62"/>
      <c r="W91" s="55"/>
      <c r="X91" s="57"/>
      <c r="Y91" s="57"/>
      <c r="Z91" s="55" t="n">
        <f aca="false">IF(A91="","",IF(AND(Parameter!$B$21="Ja",ISNUMBER(W91)),W91,IF(BV91="2+3",IF(ISNUMBER(SEARCH("grosser Artikel",BO91)),2,IFERROR(VLOOKUP(BR91,Parameter!$F$35:$G$64,2,0),2)),IF(OR(BV91="Nein",BV91=""),"-",BV91))))</f>
        <v>1</v>
      </c>
      <c r="AA91" s="62"/>
      <c r="AB91" s="63"/>
      <c r="AC91" s="57" t="n">
        <f aca="false">AR91</f>
        <v>24</v>
      </c>
      <c r="AD91" s="57" t="n">
        <f aca="false">MAX(AR91,H91)</f>
        <v>24</v>
      </c>
      <c r="AE91" s="64"/>
      <c r="AF91" s="57" t="n">
        <f aca="false">IF(LEFT(Cockpit!$C$5,1)="A",H91,IF(CA91=1,CB91,IF(LEFT(Cockpit!$C$5,1)="B",AJ91,MAX(AJ91,H91))))</f>
        <v>15</v>
      </c>
      <c r="AG91" s="57" t="n">
        <f aca="false">IF(BT91=1,0,ROUNDUP(AF91/BS91,0))</f>
        <v>1</v>
      </c>
      <c r="AH91" s="59" t="n">
        <f aca="false">IF(CH91&gt;0,CH91*MAX(1,AF91/X91),IF(BT91=1,IF(AF91&lt;=0,0,BW91*MAX(1,IF(H91&gt;0,AF91/H91,1))),IF(R91&gt;0,AG91/R91,0))/MAX(0.1,N(Parameter!$M$21)))</f>
        <v>0.166666666666667</v>
      </c>
      <c r="AI91" s="57" t="n">
        <f aca="false">AF91*G91</f>
        <v>5037.3</v>
      </c>
      <c r="AJ91" s="57" t="n">
        <f aca="false">ROUNDUP(MAX(J91/IF(BZ91&gt;0,BZ91,MAX(0.1,N(Cockpit!$C$6))),CC91)/BS91,0)*BS91</f>
        <v>24</v>
      </c>
      <c r="AK91" s="58" t="n">
        <f aca="false">IF(AH91&gt;0,J91/AH91,-1)</f>
        <v>180</v>
      </c>
      <c r="AL91" s="58" t="n">
        <f aca="false">IF(AND(OR(BY91="L1",BY91="L23"),AH91&gt;0),SUMIFS($AH$7:$AH$1843,$BY$7:$BY$1843,BY91,$AK$7:$AK$1843,"&gt;"&amp;AK91)+SUMIFS($AH$7:$AH$1843,$BY$7:$BY$1843,BY91,$AK$7:$AK$1843,AK91,$BQ$7:$BQ$1843,"&lt;="&amp;BQ91),"")</f>
        <v>2.83416945373467</v>
      </c>
      <c r="AM91" s="65" t="n">
        <f aca="false">IF(AL91="",0,MAX(0,MIN(1,(IF(BY91="L1",Parameter!$E$5,Parameter!$E$6+Parameter!$E$7)-(AL91-AH91))/AH91)))</f>
        <v>1</v>
      </c>
      <c r="AN91" s="57" t="n">
        <f aca="false">IF(LEFT(Cockpit!$I$5,1)="A",H91,IF(CA91=1,CB91,IF(LEFT(Cockpit!$I$5,1)="B",AR91,MAX(AR91,H91))))</f>
        <v>24</v>
      </c>
      <c r="AO91" s="57" t="n">
        <f aca="false">IF(BT91=1,0,ROUNDUP(AN91/BS91,0))</f>
        <v>1</v>
      </c>
      <c r="AP91" s="59" t="n">
        <f aca="false">IF(CH91&gt;0,CH91*MAX(1,AN91/X91),IF(BT91=1,IF(AN91&lt;=0,0,BW91*MAX(1,IF(H91&gt;0,AN91/H91,1))),IF(R91&gt;0,AO91/R91,0))/MAX(0.1,N(Parameter!$M$21)))</f>
        <v>0.166666666666667</v>
      </c>
      <c r="AQ91" s="57" t="n">
        <f aca="false">AN91*G91</f>
        <v>8059.68</v>
      </c>
      <c r="AR91" s="57" t="n">
        <f aca="false">ROUNDUP(MAX(J91/IF(BZ91&gt;0,BZ91,MAX(0.1,N(Cockpit!$I$6))),CC91)/BS91,0)*BS91</f>
        <v>24</v>
      </c>
      <c r="AS91" s="58" t="n">
        <f aca="false">IF(AP91&gt;0,J91/AP91,-1)</f>
        <v>180</v>
      </c>
      <c r="AT91" s="58" t="n">
        <f aca="false">IF(AND(OR(BY91="L1",BY91="L23"),AP91&gt;0),SUMIFS($AP$7:$AP$1843,$BY$7:$BY$1843,BY91,$AS$7:$AS$1843,"&gt;"&amp;AS91)+SUMIFS($AP$7:$AP$1843,$BY$7:$BY$1843,BY91,$AS$7:$AS$1843,AS91,$BQ$7:$BQ$1843,"&lt;="&amp;BQ91),"")</f>
        <v>3.99442586399108</v>
      </c>
      <c r="AU91" s="65" t="n">
        <f aca="false">IF(AT91="",0,MAX(0,MIN(1,(IF(BY91="L1",Parameter!$E$5,Parameter!$E$6+Parameter!$E$7)-(AT91-AP91))/AP91)))</f>
        <v>1</v>
      </c>
      <c r="AV91" s="57" t="n">
        <f aca="false">IF(LEFT(Cockpit!$O$5,1)="A",H91,IF(CA91=1,CB91,IF(LEFT(Cockpit!$O$5,1)="B",AZ91,MAX(AZ91,H91))))</f>
        <v>24</v>
      </c>
      <c r="AW91" s="57" t="n">
        <f aca="false">IF(BT91=1,0,ROUNDUP(AV91/BS91,0))</f>
        <v>1</v>
      </c>
      <c r="AX91" s="59" t="n">
        <f aca="false">IF(CH91&gt;0,CH91*MAX(1,AV91/X91),IF(BT91=1,IF(AV91&lt;=0,0,BW91*MAX(1,IF(H91&gt;0,AV91/H91,1))),IF(R91&gt;0,AW91/R91,0))/MAX(0.1,N(Parameter!$M$21)))</f>
        <v>0.166666666666667</v>
      </c>
      <c r="AY91" s="57" t="n">
        <f aca="false">AV91*G91</f>
        <v>8059.68</v>
      </c>
      <c r="AZ91" s="57" t="n">
        <f aca="false">ROUNDUP(MAX(J91/IF(BZ91&gt;0,BZ91,MAX(0.1,N(Cockpit!$O$6))),CC91)/BS91,0)*BS91</f>
        <v>24</v>
      </c>
      <c r="BA91" s="58" t="n">
        <f aca="false">IF(AX91&gt;0,J91/AX91,-1)</f>
        <v>180</v>
      </c>
      <c r="BB91" s="58" t="n">
        <f aca="false">IF(AND(OR(BY91="L1",BY91="L23"),AX91&gt;0),SUMIFS($AX$7:$AX$1843,$BY$7:$BY$1843,BY91,$BA$7:$BA$1843,"&gt;"&amp;BA91)+SUMIFS($AX$7:$AX$1843,$BY$7:$BY$1843,BY91,$BA$7:$BA$1843,BA91,$BQ$7:$BQ$1843,"&lt;="&amp;BQ91),"")</f>
        <v>3.70596432552954</v>
      </c>
      <c r="BC91" s="65" t="n">
        <f aca="false">IF(BB91="",0,MAX(0,MIN(1,(IF(BY91="L1",Parameter!$E$5,Parameter!$E$6+Parameter!$E$7)-(BB91-AX91))/AX91)))</f>
        <v>1</v>
      </c>
      <c r="BD91" s="55" t="str">
        <f aca="false">IF(AH91&lt;=0,"",IF(BY91="Aussen","Aussenlager",IF(BY91="-","Nicht im Lift",IF(AM91&gt;=1,"Lift",IF(AM91&lt;=0,"Aussenlager","teilweise")))))</f>
        <v>Lift</v>
      </c>
      <c r="BE91" s="55" t="str">
        <f aca="false">IF(AP91&lt;=0,"",IF(BY91="Aussen","Aussenlager",IF(BY91="-","Nicht im Lift",IF(AU91&gt;=1,"Lift",IF(AU91&lt;=0,"Aussenlager","teilweise")))))</f>
        <v>Lift</v>
      </c>
      <c r="BF91" s="55" t="str">
        <f aca="false">IF(AX91&lt;=0,"",IF(BY91="Aussen","Aussenlager",IF(BY91="-","Nicht im Lift",IF(BC91&gt;=1,"Lift",IF(BC91&lt;=0,"Aussenlager","teilweise")))))</f>
        <v>Lift</v>
      </c>
      <c r="BG91" s="55" t="str">
        <f aca="false">IF(A91="","",IF(BP91=1,"Neu; ","")&amp;IF(AND(BP91=0,BK91&lt;0),"negativer Bestand (Export "&amp;BK91&amp;"); ","")&amp;IF(J91&lt;=0,"Kein Verbrauch; ","")&amp;IF(CH91&gt;0,"Lift "&amp;W91&amp;" lt. Liftbericht (Fach "&amp;X91&amp;" Stk); ",IF(BU91=1,"Gebinde geschätzt ("&amp;T91&amp;"); ",IF(BT91=1,"Lose – Tablare geschätzt; ","")))&amp;IF(H91&gt;AR91,"Überbestand "&amp;ROUND(H91-AR91,0)&amp;" Stk / CHF "&amp;ROUND((H91-AR91)*G91,0)&amp;"; ","")&amp;IF(AND(CA91=1,CB91&lt;CC91),"MAX &lt; MB+LG; ","")&amp;IF(AND(CG91&gt;0,CF91*10&gt;CG91),"zu hoch für Tablar; ","")&amp;IF(AND(BP91=0,OR(CA91=1,AA91&lt;&gt;"",U91&lt;&gt;"",V91&lt;&gt;"",AB91&lt;&gt;"")),"manuell übersteuert; ","")&amp;IF(AND(BT91=0,R91=0),"Gebinde unbekannt / Stellmass fehlt; ","")&amp;IF(AND(BT91=0,N(V91)&lt;=0,N(Q91)&lt;=0),"Menge pro Gebinde fehlt (Ist = 1 Gebinde); ","")&amp;BO91)</f>
        <v/>
      </c>
      <c r="BH91" s="55"/>
      <c r="BI91" s="55"/>
      <c r="BJ91" s="62"/>
      <c r="BK91" s="57" t="n">
        <v>7</v>
      </c>
      <c r="BL91" s="57" t="n">
        <v>8</v>
      </c>
      <c r="BM91" s="56" t="n">
        <v>2673.78</v>
      </c>
      <c r="BN91" s="57" t="n">
        <v>30</v>
      </c>
      <c r="BO91" s="55"/>
      <c r="BP91" s="60" t="n">
        <v>0</v>
      </c>
      <c r="BQ91" s="60" t="n">
        <v>91</v>
      </c>
      <c r="BR91" s="55" t="str">
        <f aca="false">IF(U91&lt;&gt;"",UPPER(TRIM(U91)),IF(BU91=1,UPPER(VLOOKUP(T91,Parameter!$I$27:$K$29,2,0)),IF(P91="","LOSE",P91)))</f>
        <v>S71</v>
      </c>
      <c r="BS91" s="57" t="n">
        <f aca="false">IF(BR91="LOSE",1,IF(N(V91)&gt;0,V91,IF(BU91=1,MAX(1,N(VLOOKUP(T91,Parameter!$I$27:$K$29,3,0)),H91,N(N91)),IF(N(Q91)&gt;0,Q91,MAX(1,H91)))))</f>
        <v>24</v>
      </c>
      <c r="BT91" s="60" t="n">
        <f aca="false">IF(BR91="LOSE",1,0)</f>
        <v>0</v>
      </c>
      <c r="BU91" s="60" t="n">
        <f aca="false">IF(AND(U91="",OR(P91="",P91="LOSE"),T91&lt;&gt;"",N(S91)&lt;=0,ISNUMBER(MATCH(T91,Parameter!$I$27:$I$29,0))),1,0)</f>
        <v>0</v>
      </c>
      <c r="BV91" s="55" t="n">
        <f aca="false">IF(AND(Parameter!$B$19="Ja",E91&lt;&gt;"",ISNUMBER(MATCH(E91,Parameter!$I$35:$I$52,0))),VLOOKUP(E91,Parameter!$I$35:$J$52,2,0),IFERROR(VLOOKUP(D91,Parameter!$A$35:$C$64,2,0),"Nein"))</f>
        <v>1</v>
      </c>
      <c r="BW91" s="59" t="n">
        <f aca="false">IF(BT91=0,0,IF(N(S91)&gt;0,S91,IFERROR(VLOOKUP(D91,Parameter!$A$35:$C$64,3,0)+0,0)))</f>
        <v>0</v>
      </c>
      <c r="BX91" s="55" t="n">
        <f aca="false">IF(AA91&lt;&gt;"",AA91,Z91)</f>
        <v>1</v>
      </c>
      <c r="BY91" s="55" t="str">
        <f aca="false">IF(BX91=1,"L1",IF(OR(BX91=2,BX91=3),"L23",IF(BX91="Aussen","Aussen","-")))</f>
        <v>L1</v>
      </c>
      <c r="BZ91" s="66" t="n">
        <f aca="false">IF(N(AB91)&gt;0,AB91,0)</f>
        <v>0</v>
      </c>
      <c r="CA91" s="60" t="n">
        <f aca="false">IF(ISNUMBER(AE91),1,0)</f>
        <v>0</v>
      </c>
      <c r="CB91" s="57" t="n">
        <f aca="false">N(AE91)</f>
        <v>0</v>
      </c>
      <c r="CC91" s="57" t="n">
        <f aca="false">N(M91)+N(N91)</f>
        <v>17</v>
      </c>
      <c r="CD91" s="57" t="n">
        <f aca="false">ROUNDUP(H91/BS91,0)</f>
        <v>1</v>
      </c>
      <c r="CE91" s="57" t="n">
        <f aca="false">ROUNDUP(CB91/BS91,0)</f>
        <v>0</v>
      </c>
      <c r="CF91" s="60" t="n">
        <f aca="false">IF(BT91=1,0,IFERROR(VLOOKUP(BR91,'Gebinde-Kategorie'!$A$5:$M$45,5,0)+0,0))</f>
        <v>20</v>
      </c>
      <c r="CG91" s="60" t="n">
        <f aca="false">IFERROR(IF(OR(BX91=1,BX91=2,BX91=3),N(INDEX(Parameter!$I$5:$I$7,BX91)),0),0)</f>
        <v>0</v>
      </c>
      <c r="CH91" s="59" t="n">
        <f aca="false">IF(AND(Parameter!$B$21="Ja",ISNUMBER(W91),N(X91)&gt;0),IFERROR(N(INDEX(Parameter!$L$5:$L$7,W91))*INDEX(Parameter!$E$5:$E$7,W91)*X91/SUMIFS($X$7:$X$1843,$W$7:$W$1843,W91),0),0)</f>
        <v>0</v>
      </c>
    </row>
    <row r="92" customFormat="false" ht="15" hidden="false" customHeight="false" outlineLevel="0" collapsed="false">
      <c r="A92" s="55" t="s">
        <v>395</v>
      </c>
      <c r="B92" s="55" t="s">
        <v>396</v>
      </c>
      <c r="C92" s="55" t="s">
        <v>164</v>
      </c>
      <c r="D92" s="55" t="s">
        <v>184</v>
      </c>
      <c r="E92" s="55"/>
      <c r="F92" s="55" t="s">
        <v>218</v>
      </c>
      <c r="G92" s="56" t="n">
        <v>129.65</v>
      </c>
      <c r="H92" s="57" t="n">
        <f aca="false">MAX(0,IF(AND(Parameter!$B$21="Ja",ISNUMBER(Y92)),Y92,IF(Parameter!$B$20="Jahresanfang 2025 + Export",BL92+BK92,BK92)))</f>
        <v>20</v>
      </c>
      <c r="I92" s="57" t="n">
        <f aca="false">H92*G92</f>
        <v>2593</v>
      </c>
      <c r="J92" s="57" t="n">
        <f aca="false">BN92*Parameter!$B$18</f>
        <v>0</v>
      </c>
      <c r="K92" s="58" t="n">
        <v>0</v>
      </c>
      <c r="L92" s="59" t="n">
        <v>0</v>
      </c>
      <c r="M92" s="57" t="n">
        <v>0</v>
      </c>
      <c r="N92" s="57" t="n">
        <v>1</v>
      </c>
      <c r="O92" s="60" t="n">
        <v>9999</v>
      </c>
      <c r="P92" s="55" t="s">
        <v>168</v>
      </c>
      <c r="Q92" s="57"/>
      <c r="R92" s="60" t="n">
        <f aca="false">IF(BT92=1,0,IFERROR(VLOOKUP(BR92,'Gebinde-Kategorie'!$A$5:$M$45,13,0)+0,0))</f>
        <v>26</v>
      </c>
      <c r="S92" s="61"/>
      <c r="T92" s="62" t="s">
        <v>275</v>
      </c>
      <c r="U92" s="62"/>
      <c r="V92" s="62"/>
      <c r="W92" s="55"/>
      <c r="X92" s="57"/>
      <c r="Y92" s="57"/>
      <c r="Z92" s="55" t="n">
        <f aca="false">IF(A92="","",IF(AND(Parameter!$B$21="Ja",ISNUMBER(W92)),W92,IF(BV92="2+3",IF(ISNUMBER(SEARCH("grosser Artikel",BO92)),2,IFERROR(VLOOKUP(BR92,Parameter!$F$35:$G$64,2,0),2)),IF(OR(BV92="Nein",BV92=""),"-",BV92))))</f>
        <v>3</v>
      </c>
      <c r="AA92" s="62"/>
      <c r="AB92" s="63"/>
      <c r="AC92" s="57" t="n">
        <f aca="false">AR92</f>
        <v>20</v>
      </c>
      <c r="AD92" s="57" t="n">
        <f aca="false">MAX(AR92,H92)</f>
        <v>20</v>
      </c>
      <c r="AE92" s="64"/>
      <c r="AF92" s="57" t="n">
        <f aca="false">IF(LEFT(Cockpit!$C$5,1)="A",H92,IF(CA92=1,CB92,IF(LEFT(Cockpit!$C$5,1)="B",AJ92,MAX(AJ92,H92))))</f>
        <v>20</v>
      </c>
      <c r="AG92" s="57" t="n">
        <f aca="false">IF(BT92=1,0,ROUNDUP(AF92/BS92,0))</f>
        <v>1</v>
      </c>
      <c r="AH92" s="59" t="n">
        <f aca="false">IF(CH92&gt;0,CH92*MAX(1,AF92/X92),IF(BT92=1,IF(AF92&lt;=0,0,BW92*MAX(1,IF(H92&gt;0,AF92/H92,1))),IF(R92&gt;0,AG92/R92,0))/MAX(0.1,N(Parameter!$M$21)))</f>
        <v>0.0384615384615385</v>
      </c>
      <c r="AI92" s="57" t="n">
        <f aca="false">AF92*G92</f>
        <v>2593</v>
      </c>
      <c r="AJ92" s="57" t="n">
        <f aca="false">ROUNDUP(MAX(J92/IF(BZ92&gt;0,BZ92,MAX(0.1,N(Cockpit!$C$6))),CC92)/BS92,0)*BS92</f>
        <v>20</v>
      </c>
      <c r="AK92" s="58" t="n">
        <f aca="false">IF(AH92&gt;0,J92/AH92,-1)</f>
        <v>0</v>
      </c>
      <c r="AL92" s="58" t="n">
        <f aca="false">IF(AND(OR(BY92="L1",BY92="L23"),AH92&gt;0),SUMIFS($AH$7:$AH$1843,$BY$7:$BY$1843,BY92,$AK$7:$AK$1843,"&gt;"&amp;AK92)+SUMIFS($AH$7:$AH$1843,$BY$7:$BY$1843,BY92,$AK$7:$AK$1843,AK92,$BQ$7:$BQ$1843,"&lt;="&amp;BQ92),"")</f>
        <v>68.3560521604</v>
      </c>
      <c r="AM92" s="65" t="n">
        <f aca="false">IF(AL92="",0,MAX(0,MIN(1,(IF(BY92="L1",Parameter!$E$5,Parameter!$E$6+Parameter!$E$7)-(AL92-AH92))/AH92)))</f>
        <v>1</v>
      </c>
      <c r="AN92" s="57" t="n">
        <f aca="false">IF(LEFT(Cockpit!$I$5,1)="A",H92,IF(CA92=1,CB92,IF(LEFT(Cockpit!$I$5,1)="B",AR92,MAX(AR92,H92))))</f>
        <v>20</v>
      </c>
      <c r="AO92" s="57" t="n">
        <f aca="false">IF(BT92=1,0,ROUNDUP(AN92/BS92,0))</f>
        <v>1</v>
      </c>
      <c r="AP92" s="59" t="n">
        <f aca="false">IF(CH92&gt;0,CH92*MAX(1,AN92/X92),IF(BT92=1,IF(AN92&lt;=0,0,BW92*MAX(1,IF(H92&gt;0,AN92/H92,1))),IF(R92&gt;0,AO92/R92,0))/MAX(0.1,N(Parameter!$M$21)))</f>
        <v>0.0384615384615385</v>
      </c>
      <c r="AQ92" s="57" t="n">
        <f aca="false">AN92*G92</f>
        <v>2593</v>
      </c>
      <c r="AR92" s="57" t="n">
        <f aca="false">ROUNDUP(MAX(J92/IF(BZ92&gt;0,BZ92,MAX(0.1,N(Cockpit!$I$6))),CC92)/BS92,0)*BS92</f>
        <v>20</v>
      </c>
      <c r="AS92" s="58" t="n">
        <f aca="false">IF(AP92&gt;0,J92/AP92,-1)</f>
        <v>0</v>
      </c>
      <c r="AT92" s="58" t="n">
        <f aca="false">IF(AND(OR(BY92="L1",BY92="L23"),AP92&gt;0),SUMIFS($AP$7:$AP$1843,$BY$7:$BY$1843,BY92,$AS$7:$AS$1843,"&gt;"&amp;AS92)+SUMIFS($AP$7:$AP$1843,$BY$7:$BY$1843,BY92,$AS$7:$AS$1843,AS92,$BQ$7:$BQ$1843,"&lt;="&amp;BQ92),"")</f>
        <v>107.69684301206</v>
      </c>
      <c r="AU92" s="65" t="n">
        <f aca="false">IF(AT92="",0,MAX(0,MIN(1,(IF(BY92="L1",Parameter!$E$5,Parameter!$E$6+Parameter!$E$7)-(AT92-AP92))/AP92)))</f>
        <v>0</v>
      </c>
      <c r="AV92" s="57" t="n">
        <f aca="false">IF(LEFT(Cockpit!$O$5,1)="A",H92,IF(CA92=1,CB92,IF(LEFT(Cockpit!$O$5,1)="B",AZ92,MAX(AZ92,H92))))</f>
        <v>20</v>
      </c>
      <c r="AW92" s="57" t="n">
        <f aca="false">IF(BT92=1,0,ROUNDUP(AV92/BS92,0))</f>
        <v>1</v>
      </c>
      <c r="AX92" s="59" t="n">
        <f aca="false">IF(CH92&gt;0,CH92*MAX(1,AV92/X92),IF(BT92=1,IF(AV92&lt;=0,0,BW92*MAX(1,IF(H92&gt;0,AV92/H92,1))),IF(R92&gt;0,AW92/R92,0))/MAX(0.1,N(Parameter!$M$21)))</f>
        <v>0.0384615384615385</v>
      </c>
      <c r="AY92" s="57" t="n">
        <f aca="false">AV92*G92</f>
        <v>2593</v>
      </c>
      <c r="AZ92" s="57" t="n">
        <f aca="false">ROUNDUP(MAX(J92/IF(BZ92&gt;0,BZ92,MAX(0.1,N(Cockpit!$O$6))),CC92)/BS92,0)*BS92</f>
        <v>20</v>
      </c>
      <c r="BA92" s="58" t="n">
        <f aca="false">IF(AX92&gt;0,J92/AX92,-1)</f>
        <v>0</v>
      </c>
      <c r="BB92" s="58" t="n">
        <f aca="false">IF(AND(OR(BY92="L1",BY92="L23"),AX92&gt;0),SUMIFS($AX$7:$AX$1843,$BY$7:$BY$1843,BY92,$BA$7:$BA$1843,"&gt;"&amp;BA92)+SUMIFS($AX$7:$AX$1843,$BY$7:$BY$1843,BY92,$BA$7:$BA$1843,BA92,$BQ$7:$BQ$1843,"&lt;="&amp;BQ92),"")</f>
        <v>98.5266798418972</v>
      </c>
      <c r="BC92" s="65" t="n">
        <f aca="false">IF(BB92="",0,MAX(0,MIN(1,(IF(BY92="L1",Parameter!$E$5,Parameter!$E$6+Parameter!$E$7)-(BB92-AX92))/AX92)))</f>
        <v>1</v>
      </c>
      <c r="BD92" s="55" t="str">
        <f aca="false">IF(AH92&lt;=0,"",IF(BY92="Aussen","Aussenlager",IF(BY92="-","Nicht im Lift",IF(AM92&gt;=1,"Lift",IF(AM92&lt;=0,"Aussenlager","teilweise")))))</f>
        <v>Lift</v>
      </c>
      <c r="BE92" s="55" t="str">
        <f aca="false">IF(AP92&lt;=0,"",IF(BY92="Aussen","Aussenlager",IF(BY92="-","Nicht im Lift",IF(AU92&gt;=1,"Lift",IF(AU92&lt;=0,"Aussenlager","teilweise")))))</f>
        <v>Aussenlager</v>
      </c>
      <c r="BF92" s="55" t="str">
        <f aca="false">IF(AX92&lt;=0,"",IF(BY92="Aussen","Aussenlager",IF(BY92="-","Nicht im Lift",IF(BC92&gt;=1,"Lift",IF(BC92&lt;=0,"Aussenlager","teilweise")))))</f>
        <v>Lift</v>
      </c>
      <c r="BG92" s="55" t="str">
        <f aca="false">IF(A92="","",IF(BP92=1,"Neu; ","")&amp;IF(AND(BP92=0,BK92&lt;0),"negativer Bestand (Export "&amp;BK92&amp;"); ","")&amp;IF(J92&lt;=0,"Kein Verbrauch; ","")&amp;IF(CH92&gt;0,"Lift "&amp;W92&amp;" lt. Liftbericht (Fach "&amp;X92&amp;" Stk); ",IF(BU92=1,"Gebinde geschätzt ("&amp;T92&amp;"); ",IF(BT92=1,"Lose – Tablare geschätzt; ","")))&amp;IF(H92&gt;AR92,"Überbestand "&amp;ROUND(H92-AR92,0)&amp;" Stk / CHF "&amp;ROUND((H92-AR92)*G92,0)&amp;"; ","")&amp;IF(AND(CA92=1,CB92&lt;CC92),"MAX &lt; MB+LG; ","")&amp;IF(AND(CG92&gt;0,CF92*10&gt;CG92),"zu hoch für Tablar; ","")&amp;IF(AND(BP92=0,OR(CA92=1,AA92&lt;&gt;"",U92&lt;&gt;"",V92&lt;&gt;"",AB92&lt;&gt;"")),"manuell übersteuert; ","")&amp;IF(AND(BT92=0,R92=0),"Gebinde unbekannt / Stellmass fehlt; ","")&amp;IF(AND(BT92=0,N(V92)&lt;=0,N(Q92)&lt;=0),"Menge pro Gebinde fehlt (Ist = 1 Gebinde); ","")&amp;BO92)</f>
        <v>Kein Verbrauch; Gebinde geschätzt (Klein); Menge pro Gebinde fehlt (Ist = 1 Gebinde); </v>
      </c>
      <c r="BH92" s="55"/>
      <c r="BI92" s="55"/>
      <c r="BJ92" s="62"/>
      <c r="BK92" s="57" t="n">
        <v>20</v>
      </c>
      <c r="BL92" s="57" t="n">
        <v>0</v>
      </c>
      <c r="BM92" s="56" t="n">
        <v>2593</v>
      </c>
      <c r="BN92" s="57" t="n">
        <v>0</v>
      </c>
      <c r="BO92" s="55"/>
      <c r="BP92" s="60" t="n">
        <v>0</v>
      </c>
      <c r="BQ92" s="60" t="n">
        <v>92</v>
      </c>
      <c r="BR92" s="55" t="str">
        <f aca="false">IF(U92&lt;&gt;"",UPPER(TRIM(U92)),IF(BU92=1,UPPER(VLOOKUP(T92,Parameter!$I$27:$K$29,2,0)),IF(P92="","LOSE",P92)))</f>
        <v>S51</v>
      </c>
      <c r="BS92" s="57" t="n">
        <f aca="false">IF(BR92="LOSE",1,IF(N(V92)&gt;0,V92,IF(BU92=1,MAX(1,N(VLOOKUP(T92,Parameter!$I$27:$K$29,3,0)),H92,N(N92)),IF(N(Q92)&gt;0,Q92,MAX(1,H92)))))</f>
        <v>20</v>
      </c>
      <c r="BT92" s="60" t="n">
        <f aca="false">IF(BR92="LOSE",1,0)</f>
        <v>0</v>
      </c>
      <c r="BU92" s="60" t="n">
        <f aca="false">IF(AND(U92="",OR(P92="",P92="LOSE"),T92&lt;&gt;"",N(S92)&lt;=0,ISNUMBER(MATCH(T92,Parameter!$I$27:$I$29,0))),1,0)</f>
        <v>1</v>
      </c>
      <c r="BV92" s="55" t="str">
        <f aca="false">IF(AND(Parameter!$B$19="Ja",E92&lt;&gt;"",ISNUMBER(MATCH(E92,Parameter!$I$35:$I$52,0))),VLOOKUP(E92,Parameter!$I$35:$J$52,2,0),IFERROR(VLOOKUP(D92,Parameter!$A$35:$C$64,2,0),"Nein"))</f>
        <v>2+3</v>
      </c>
      <c r="BW92" s="59" t="n">
        <f aca="false">IF(BT92=0,0,IF(N(S92)&gt;0,S92,IFERROR(VLOOKUP(D92,Parameter!$A$35:$C$64,3,0)+0,0)))</f>
        <v>0</v>
      </c>
      <c r="BX92" s="55" t="n">
        <f aca="false">IF(AA92&lt;&gt;"",AA92,Z92)</f>
        <v>3</v>
      </c>
      <c r="BY92" s="55" t="str">
        <f aca="false">IF(BX92=1,"L1",IF(OR(BX92=2,BX92=3),"L23",IF(BX92="Aussen","Aussen","-")))</f>
        <v>L23</v>
      </c>
      <c r="BZ92" s="66" t="n">
        <f aca="false">IF(N(AB92)&gt;0,AB92,0)</f>
        <v>0</v>
      </c>
      <c r="CA92" s="60" t="n">
        <f aca="false">IF(ISNUMBER(AE92),1,0)</f>
        <v>0</v>
      </c>
      <c r="CB92" s="57" t="n">
        <f aca="false">N(AE92)</f>
        <v>0</v>
      </c>
      <c r="CC92" s="57" t="n">
        <f aca="false">N(M92)+N(N92)</f>
        <v>1</v>
      </c>
      <c r="CD92" s="57" t="n">
        <f aca="false">ROUNDUP(H92/BS92,0)</f>
        <v>1</v>
      </c>
      <c r="CE92" s="57" t="n">
        <f aca="false">ROUNDUP(CB92/BS92,0)</f>
        <v>0</v>
      </c>
      <c r="CF92" s="60" t="n">
        <f aca="false">IF(BT92=1,0,IFERROR(VLOOKUP(BR92,'Gebinde-Kategorie'!$A$5:$M$45,5,0)+0,0))</f>
        <v>11</v>
      </c>
      <c r="CG92" s="60" t="n">
        <f aca="false">IFERROR(IF(OR(BX92=1,BX92=2,BX92=3),N(INDEX(Parameter!$I$5:$I$7,BX92)),0),0)</f>
        <v>0</v>
      </c>
      <c r="CH92" s="59" t="n">
        <f aca="false">IF(AND(Parameter!$B$21="Ja",ISNUMBER(W92),N(X92)&gt;0),IFERROR(N(INDEX(Parameter!$L$5:$L$7,W92))*INDEX(Parameter!$E$5:$E$7,W92)*X92/SUMIFS($X$7:$X$1843,$W$7:$W$1843,W92),0),0)</f>
        <v>0</v>
      </c>
    </row>
    <row r="93" customFormat="false" ht="15" hidden="false" customHeight="false" outlineLevel="0" collapsed="false">
      <c r="A93" s="55" t="s">
        <v>397</v>
      </c>
      <c r="B93" s="55" t="s">
        <v>398</v>
      </c>
      <c r="C93" s="55" t="s">
        <v>164</v>
      </c>
      <c r="D93" s="55" t="s">
        <v>173</v>
      </c>
      <c r="E93" s="55"/>
      <c r="F93" s="55" t="s">
        <v>218</v>
      </c>
      <c r="G93" s="56" t="n">
        <v>510.45</v>
      </c>
      <c r="H93" s="57" t="n">
        <f aca="false">MAX(0,IF(AND(Parameter!$B$21="Ja",ISNUMBER(Y93)),Y93,IF(Parameter!$B$20="Jahresanfang 2025 + Export",BL93+BK93,BK93)))</f>
        <v>5</v>
      </c>
      <c r="I93" s="57" t="n">
        <f aca="false">H93*G93</f>
        <v>2552.25</v>
      </c>
      <c r="J93" s="57" t="n">
        <f aca="false">BN93*Parameter!$B$18</f>
        <v>0</v>
      </c>
      <c r="K93" s="58" t="n">
        <v>0</v>
      </c>
      <c r="L93" s="59" t="n">
        <v>0</v>
      </c>
      <c r="M93" s="57" t="n">
        <v>2</v>
      </c>
      <c r="N93" s="57" t="n">
        <v>8</v>
      </c>
      <c r="O93" s="60" t="n">
        <v>28</v>
      </c>
      <c r="P93" s="55" t="s">
        <v>168</v>
      </c>
      <c r="Q93" s="57"/>
      <c r="R93" s="60" t="n">
        <f aca="false">IF(BT93=1,0,IFERROR(VLOOKUP(BR93,'Gebinde-Kategorie'!$A$5:$M$45,13,0)+0,0))</f>
        <v>12</v>
      </c>
      <c r="S93" s="61"/>
      <c r="T93" s="62" t="s">
        <v>179</v>
      </c>
      <c r="U93" s="62"/>
      <c r="V93" s="62"/>
      <c r="W93" s="55"/>
      <c r="X93" s="57"/>
      <c r="Y93" s="57"/>
      <c r="Z93" s="55" t="n">
        <f aca="false">IF(A93="","",IF(AND(Parameter!$B$21="Ja",ISNUMBER(W93)),W93,IF(BV93="2+3",IF(ISNUMBER(SEARCH("grosser Artikel",BO93)),2,IFERROR(VLOOKUP(BR93,Parameter!$F$35:$G$64,2,0),2)),IF(OR(BV93="Nein",BV93=""),"-",BV93))))</f>
        <v>2</v>
      </c>
      <c r="AA93" s="62"/>
      <c r="AB93" s="63"/>
      <c r="AC93" s="57" t="n">
        <f aca="false">AR93</f>
        <v>16</v>
      </c>
      <c r="AD93" s="57" t="n">
        <f aca="false">MAX(AR93,H93)</f>
        <v>16</v>
      </c>
      <c r="AE93" s="64"/>
      <c r="AF93" s="57" t="n">
        <f aca="false">IF(LEFT(Cockpit!$C$5,1)="A",H93,IF(CA93=1,CB93,IF(LEFT(Cockpit!$C$5,1)="B",AJ93,MAX(AJ93,H93))))</f>
        <v>5</v>
      </c>
      <c r="AG93" s="57" t="n">
        <f aca="false">IF(BT93=1,0,ROUNDUP(AF93/BS93,0))</f>
        <v>1</v>
      </c>
      <c r="AH93" s="59" t="n">
        <f aca="false">IF(CH93&gt;0,CH93*MAX(1,AF93/X93),IF(BT93=1,IF(AF93&lt;=0,0,BW93*MAX(1,IF(H93&gt;0,AF93/H93,1))),IF(R93&gt;0,AG93/R93,0))/MAX(0.1,N(Parameter!$M$21)))</f>
        <v>0.0833333333333333</v>
      </c>
      <c r="AI93" s="57" t="n">
        <f aca="false">AF93*G93</f>
        <v>2552.25</v>
      </c>
      <c r="AJ93" s="57" t="n">
        <f aca="false">ROUNDUP(MAX(J93/IF(BZ93&gt;0,BZ93,MAX(0.1,N(Cockpit!$C$6))),CC93)/BS93,0)*BS93</f>
        <v>16</v>
      </c>
      <c r="AK93" s="58" t="n">
        <f aca="false">IF(AH93&gt;0,J93/AH93,-1)</f>
        <v>0</v>
      </c>
      <c r="AL93" s="58" t="n">
        <f aca="false">IF(AND(OR(BY93="L1",BY93="L23"),AH93&gt;0),SUMIFS($AH$7:$AH$1843,$BY$7:$BY$1843,BY93,$AK$7:$AK$1843,"&gt;"&amp;AK93)+SUMIFS($AH$7:$AH$1843,$BY$7:$BY$1843,BY93,$AK$7:$AK$1843,AK93,$BQ$7:$BQ$1843,"&lt;="&amp;BQ93),"")</f>
        <v>68.4393854937333</v>
      </c>
      <c r="AM93" s="65" t="n">
        <f aca="false">IF(AL93="",0,MAX(0,MIN(1,(IF(BY93="L1",Parameter!$E$5,Parameter!$E$6+Parameter!$E$7)-(AL93-AH93))/AH93)))</f>
        <v>1</v>
      </c>
      <c r="AN93" s="57" t="n">
        <f aca="false">IF(LEFT(Cockpit!$I$5,1)="A",H93,IF(CA93=1,CB93,IF(LEFT(Cockpit!$I$5,1)="B",AR93,MAX(AR93,H93))))</f>
        <v>16</v>
      </c>
      <c r="AO93" s="57" t="n">
        <f aca="false">IF(BT93=1,0,ROUNDUP(AN93/BS93,0))</f>
        <v>2</v>
      </c>
      <c r="AP93" s="59" t="n">
        <f aca="false">IF(CH93&gt;0,CH93*MAX(1,AN93/X93),IF(BT93=1,IF(AN93&lt;=0,0,BW93*MAX(1,IF(H93&gt;0,AN93/H93,1))),IF(R93&gt;0,AO93/R93,0))/MAX(0.1,N(Parameter!$M$21)))</f>
        <v>0.166666666666667</v>
      </c>
      <c r="AQ93" s="57" t="n">
        <f aca="false">AN93*G93</f>
        <v>8167.2</v>
      </c>
      <c r="AR93" s="57" t="n">
        <f aca="false">ROUNDUP(MAX(J93/IF(BZ93&gt;0,BZ93,MAX(0.1,N(Cockpit!$I$6))),CC93)/BS93,0)*BS93</f>
        <v>16</v>
      </c>
      <c r="AS93" s="58" t="n">
        <f aca="false">IF(AP93&gt;0,J93/AP93,-1)</f>
        <v>0</v>
      </c>
      <c r="AT93" s="58" t="n">
        <f aca="false">IF(AND(OR(BY93="L1",BY93="L23"),AP93&gt;0),SUMIFS($AP$7:$AP$1843,$BY$7:$BY$1843,BY93,$AS$7:$AS$1843,"&gt;"&amp;AS93)+SUMIFS($AP$7:$AP$1843,$BY$7:$BY$1843,BY93,$AS$7:$AS$1843,AS93,$BQ$7:$BQ$1843,"&lt;="&amp;BQ93),"")</f>
        <v>107.863509678727</v>
      </c>
      <c r="AU93" s="65" t="n">
        <f aca="false">IF(AT93="",0,MAX(0,MIN(1,(IF(BY93="L1",Parameter!$E$5,Parameter!$E$6+Parameter!$E$7)-(AT93-AP93))/AP93)))</f>
        <v>0</v>
      </c>
      <c r="AV93" s="57" t="n">
        <f aca="false">IF(LEFT(Cockpit!$O$5,1)="A",H93,IF(CA93=1,CB93,IF(LEFT(Cockpit!$O$5,1)="B",AZ93,MAX(AZ93,H93))))</f>
        <v>16</v>
      </c>
      <c r="AW93" s="57" t="n">
        <f aca="false">IF(BT93=1,0,ROUNDUP(AV93/BS93,0))</f>
        <v>2</v>
      </c>
      <c r="AX93" s="59" t="n">
        <f aca="false">IF(CH93&gt;0,CH93*MAX(1,AV93/X93),IF(BT93=1,IF(AV93&lt;=0,0,BW93*MAX(1,IF(H93&gt;0,AV93/H93,1))),IF(R93&gt;0,AW93/R93,0))/MAX(0.1,N(Parameter!$M$21)))</f>
        <v>0.166666666666667</v>
      </c>
      <c r="AY93" s="57" t="n">
        <f aca="false">AV93*G93</f>
        <v>8167.2</v>
      </c>
      <c r="AZ93" s="57" t="n">
        <f aca="false">ROUNDUP(MAX(J93/IF(BZ93&gt;0,BZ93,MAX(0.1,N(Cockpit!$O$6))),CC93)/BS93,0)*BS93</f>
        <v>16</v>
      </c>
      <c r="BA93" s="58" t="n">
        <f aca="false">IF(AX93&gt;0,J93/AX93,-1)</f>
        <v>0</v>
      </c>
      <c r="BB93" s="58" t="n">
        <f aca="false">IF(AND(OR(BY93="L1",BY93="L23"),AX93&gt;0),SUMIFS($AX$7:$AX$1843,$BY$7:$BY$1843,BY93,$BA$7:$BA$1843,"&gt;"&amp;BA93)+SUMIFS($AX$7:$AX$1843,$BY$7:$BY$1843,BY93,$BA$7:$BA$1843,BA93,$BQ$7:$BQ$1843,"&lt;="&amp;BQ93),"")</f>
        <v>98.6933465085639</v>
      </c>
      <c r="BC93" s="65" t="n">
        <f aca="false">IF(BB93="",0,MAX(0,MIN(1,(IF(BY93="L1",Parameter!$E$5,Parameter!$E$6+Parameter!$E$7)-(BB93-AX93))/AX93)))</f>
        <v>1</v>
      </c>
      <c r="BD93" s="55" t="str">
        <f aca="false">IF(AH93&lt;=0,"",IF(BY93="Aussen","Aussenlager",IF(BY93="-","Nicht im Lift",IF(AM93&gt;=1,"Lift",IF(AM93&lt;=0,"Aussenlager","teilweise")))))</f>
        <v>Lift</v>
      </c>
      <c r="BE93" s="55" t="str">
        <f aca="false">IF(AP93&lt;=0,"",IF(BY93="Aussen","Aussenlager",IF(BY93="-","Nicht im Lift",IF(AU93&gt;=1,"Lift",IF(AU93&lt;=0,"Aussenlager","teilweise")))))</f>
        <v>Aussenlager</v>
      </c>
      <c r="BF93" s="55" t="str">
        <f aca="false">IF(AX93&lt;=0,"",IF(BY93="Aussen","Aussenlager",IF(BY93="-","Nicht im Lift",IF(BC93&gt;=1,"Lift",IF(BC93&lt;=0,"Aussenlager","teilweise")))))</f>
        <v>Lift</v>
      </c>
      <c r="BG93" s="55" t="str">
        <f aca="false">IF(A93="","",IF(BP93=1,"Neu; ","")&amp;IF(AND(BP93=0,BK93&lt;0),"negativer Bestand (Export "&amp;BK93&amp;"); ","")&amp;IF(J93&lt;=0,"Kein Verbrauch; ","")&amp;IF(CH93&gt;0,"Lift "&amp;W93&amp;" lt. Liftbericht (Fach "&amp;X93&amp;" Stk); ",IF(BU93=1,"Gebinde geschätzt ("&amp;T93&amp;"); ",IF(BT93=1,"Lose – Tablare geschätzt; ","")))&amp;IF(H93&gt;AR93,"Überbestand "&amp;ROUND(H93-AR93,0)&amp;" Stk / CHF "&amp;ROUND((H93-AR93)*G93,0)&amp;"; ","")&amp;IF(AND(CA93=1,CB93&lt;CC93),"MAX &lt; MB+LG; ","")&amp;IF(AND(CG93&gt;0,CF93*10&gt;CG93),"zu hoch für Tablar; ","")&amp;IF(AND(BP93=0,OR(CA93=1,AA93&lt;&gt;"",U93&lt;&gt;"",V93&lt;&gt;"",AB93&lt;&gt;"")),"manuell übersteuert; ","")&amp;IF(AND(BT93=0,R93=0),"Gebinde unbekannt / Stellmass fehlt; ","")&amp;IF(AND(BT93=0,N(V93)&lt;=0,N(Q93)&lt;=0),"Menge pro Gebinde fehlt (Ist = 1 Gebinde); ","")&amp;BO93)</f>
        <v>Kein Verbrauch; Gebinde geschätzt (Mittel); Menge pro Gebinde fehlt (Ist = 1 Gebinde); </v>
      </c>
      <c r="BH93" s="55"/>
      <c r="BI93" s="55"/>
      <c r="BJ93" s="62"/>
      <c r="BK93" s="57" t="n">
        <v>5</v>
      </c>
      <c r="BL93" s="57" t="n">
        <v>0</v>
      </c>
      <c r="BM93" s="56" t="n">
        <v>2552.25</v>
      </c>
      <c r="BN93" s="57" t="n">
        <v>0</v>
      </c>
      <c r="BO93" s="55"/>
      <c r="BP93" s="60" t="n">
        <v>0</v>
      </c>
      <c r="BQ93" s="60" t="n">
        <v>93</v>
      </c>
      <c r="BR93" s="55" t="str">
        <f aca="false">IF(U93&lt;&gt;"",UPPER(TRIM(U93)),IF(BU93=1,UPPER(VLOOKUP(T93,Parameter!$I$27:$K$29,2,0)),IF(P93="","LOSE",P93)))</f>
        <v>S61</v>
      </c>
      <c r="BS93" s="57" t="n">
        <f aca="false">IF(BR93="LOSE",1,IF(N(V93)&gt;0,V93,IF(BU93=1,MAX(1,N(VLOOKUP(T93,Parameter!$I$27:$K$29,3,0)),H93,N(N93)),IF(N(Q93)&gt;0,Q93,MAX(1,H93)))))</f>
        <v>8</v>
      </c>
      <c r="BT93" s="60" t="n">
        <f aca="false">IF(BR93="LOSE",1,0)</f>
        <v>0</v>
      </c>
      <c r="BU93" s="60" t="n">
        <f aca="false">IF(AND(U93="",OR(P93="",P93="LOSE"),T93&lt;&gt;"",N(S93)&lt;=0,ISNUMBER(MATCH(T93,Parameter!$I$27:$I$29,0))),1,0)</f>
        <v>1</v>
      </c>
      <c r="BV93" s="55" t="str">
        <f aca="false">IF(AND(Parameter!$B$19="Ja",E93&lt;&gt;"",ISNUMBER(MATCH(E93,Parameter!$I$35:$I$52,0))),VLOOKUP(E93,Parameter!$I$35:$J$52,2,0),IFERROR(VLOOKUP(D93,Parameter!$A$35:$C$64,2,0),"Nein"))</f>
        <v>2+3</v>
      </c>
      <c r="BW93" s="59" t="n">
        <f aca="false">IF(BT93=0,0,IF(N(S93)&gt;0,S93,IFERROR(VLOOKUP(D93,Parameter!$A$35:$C$64,3,0)+0,0)))</f>
        <v>0</v>
      </c>
      <c r="BX93" s="55" t="n">
        <f aca="false">IF(AA93&lt;&gt;"",AA93,Z93)</f>
        <v>2</v>
      </c>
      <c r="BY93" s="55" t="str">
        <f aca="false">IF(BX93=1,"L1",IF(OR(BX93=2,BX93=3),"L23",IF(BX93="Aussen","Aussen","-")))</f>
        <v>L23</v>
      </c>
      <c r="BZ93" s="66" t="n">
        <f aca="false">IF(N(AB93)&gt;0,AB93,0)</f>
        <v>0</v>
      </c>
      <c r="CA93" s="60" t="n">
        <f aca="false">IF(ISNUMBER(AE93),1,0)</f>
        <v>0</v>
      </c>
      <c r="CB93" s="57" t="n">
        <f aca="false">N(AE93)</f>
        <v>0</v>
      </c>
      <c r="CC93" s="57" t="n">
        <f aca="false">N(M93)+N(N93)</f>
        <v>10</v>
      </c>
      <c r="CD93" s="57" t="n">
        <f aca="false">ROUNDUP(H93/BS93,0)</f>
        <v>1</v>
      </c>
      <c r="CE93" s="57" t="n">
        <f aca="false">ROUNDUP(CB93/BS93,0)</f>
        <v>0</v>
      </c>
      <c r="CF93" s="60" t="n">
        <f aca="false">IF(BT93=1,0,IFERROR(VLOOKUP(BR93,'Gebinde-Kategorie'!$A$5:$M$45,5,0)+0,0))</f>
        <v>11</v>
      </c>
      <c r="CG93" s="60" t="n">
        <f aca="false">IFERROR(IF(OR(BX93=1,BX93=2,BX93=3),N(INDEX(Parameter!$I$5:$I$7,BX93)),0),0)</f>
        <v>0</v>
      </c>
      <c r="CH93" s="59" t="n">
        <f aca="false">IF(AND(Parameter!$B$21="Ja",ISNUMBER(W93),N(X93)&gt;0),IFERROR(N(INDEX(Parameter!$L$5:$L$7,W93))*INDEX(Parameter!$E$5:$E$7,W93)*X93/SUMIFS($X$7:$X$1843,$W$7:$W$1843,W93),0),0)</f>
        <v>0</v>
      </c>
    </row>
    <row r="94" customFormat="false" ht="15" hidden="false" customHeight="false" outlineLevel="0" collapsed="false">
      <c r="A94" s="55" t="s">
        <v>399</v>
      </c>
      <c r="B94" s="55" t="s">
        <v>400</v>
      </c>
      <c r="C94" s="55" t="s">
        <v>164</v>
      </c>
      <c r="D94" s="55" t="s">
        <v>184</v>
      </c>
      <c r="E94" s="55" t="s">
        <v>166</v>
      </c>
      <c r="F94" s="55" t="s">
        <v>218</v>
      </c>
      <c r="G94" s="56" t="n">
        <v>29.5</v>
      </c>
      <c r="H94" s="57" t="n">
        <f aca="false">MAX(0,IF(AND(Parameter!$B$21="Ja",ISNUMBER(Y94)),Y94,IF(Parameter!$B$20="Jahresanfang 2025 + Export",BL94+BK94,BK94)))</f>
        <v>98</v>
      </c>
      <c r="I94" s="57" t="n">
        <f aca="false">H94*G94</f>
        <v>2891</v>
      </c>
      <c r="J94" s="57" t="n">
        <f aca="false">BN94*Parameter!$B$18</f>
        <v>88</v>
      </c>
      <c r="K94" s="58" t="n">
        <v>11</v>
      </c>
      <c r="L94" s="59" t="n">
        <v>8</v>
      </c>
      <c r="M94" s="57" t="n">
        <v>5</v>
      </c>
      <c r="N94" s="57" t="n">
        <v>90</v>
      </c>
      <c r="O94" s="60" t="n">
        <v>21</v>
      </c>
      <c r="P94" s="55" t="s">
        <v>401</v>
      </c>
      <c r="Q94" s="57" t="n">
        <v>50</v>
      </c>
      <c r="R94" s="60" t="n">
        <f aca="false">IF(BT94=1,0,IFERROR(VLOOKUP(BR94,'Gebinde-Kategorie'!$A$5:$M$45,13,0)+0,0))</f>
        <v>414</v>
      </c>
      <c r="S94" s="61"/>
      <c r="T94" s="62"/>
      <c r="U94" s="62"/>
      <c r="V94" s="62"/>
      <c r="W94" s="55"/>
      <c r="X94" s="57"/>
      <c r="Y94" s="57"/>
      <c r="Z94" s="55" t="n">
        <f aca="false">IF(A94="","",IF(AND(Parameter!$B$21="Ja",ISNUMBER(W94)),W94,IF(BV94="2+3",IF(ISNUMBER(SEARCH("grosser Artikel",BO94)),2,IFERROR(VLOOKUP(BR94,Parameter!$F$35:$G$64,2,0),2)),IF(OR(BV94="Nein",BV94=""),"-",BV94))))</f>
        <v>1</v>
      </c>
      <c r="AA94" s="62"/>
      <c r="AB94" s="63"/>
      <c r="AC94" s="57" t="n">
        <f aca="false">AR94</f>
        <v>100</v>
      </c>
      <c r="AD94" s="57" t="n">
        <f aca="false">MAX(AR94,H94)</f>
        <v>100</v>
      </c>
      <c r="AE94" s="64"/>
      <c r="AF94" s="57" t="n">
        <f aca="false">IF(LEFT(Cockpit!$C$5,1)="A",H94,IF(CA94=1,CB94,IF(LEFT(Cockpit!$C$5,1)="B",AJ94,MAX(AJ94,H94))))</f>
        <v>98</v>
      </c>
      <c r="AG94" s="57" t="n">
        <f aca="false">IF(BT94=1,0,ROUNDUP(AF94/BS94,0))</f>
        <v>2</v>
      </c>
      <c r="AH94" s="59" t="n">
        <f aca="false">IF(CH94&gt;0,CH94*MAX(1,AF94/X94),IF(BT94=1,IF(AF94&lt;=0,0,BW94*MAX(1,IF(H94&gt;0,AF94/H94,1))),IF(R94&gt;0,AG94/R94,0))/MAX(0.1,N(Parameter!$M$21)))</f>
        <v>0.00483091787439614</v>
      </c>
      <c r="AI94" s="57" t="n">
        <f aca="false">AF94*G94</f>
        <v>2891</v>
      </c>
      <c r="AJ94" s="57" t="n">
        <f aca="false">ROUNDUP(MAX(J94/IF(BZ94&gt;0,BZ94,MAX(0.1,N(Cockpit!$C$6))),CC94)/BS94,0)*BS94</f>
        <v>100</v>
      </c>
      <c r="AK94" s="58" t="n">
        <f aca="false">IF(AH94&gt;0,J94/AH94,-1)</f>
        <v>18216</v>
      </c>
      <c r="AL94" s="58" t="n">
        <f aca="false">IF(AND(OR(BY94="L1",BY94="L23"),AH94&gt;0),SUMIFS($AH$7:$AH$1843,$BY$7:$BY$1843,BY94,$AK$7:$AK$1843,"&gt;"&amp;AK94)+SUMIFS($AH$7:$AH$1843,$BY$7:$BY$1843,BY94,$AK$7:$AK$1843,AK94,$BQ$7:$BQ$1843,"&lt;="&amp;BQ94),"")</f>
        <v>0.0072463768115942</v>
      </c>
      <c r="AM94" s="65" t="n">
        <f aca="false">IF(AL94="",0,MAX(0,MIN(1,(IF(BY94="L1",Parameter!$E$5,Parameter!$E$6+Parameter!$E$7)-(AL94-AH94))/AH94)))</f>
        <v>1</v>
      </c>
      <c r="AN94" s="57" t="n">
        <f aca="false">IF(LEFT(Cockpit!$I$5,1)="A",H94,IF(CA94=1,CB94,IF(LEFT(Cockpit!$I$5,1)="B",AR94,MAX(AR94,H94))))</f>
        <v>100</v>
      </c>
      <c r="AO94" s="57" t="n">
        <f aca="false">IF(BT94=1,0,ROUNDUP(AN94/BS94,0))</f>
        <v>2</v>
      </c>
      <c r="AP94" s="59" t="n">
        <f aca="false">IF(CH94&gt;0,CH94*MAX(1,AN94/X94),IF(BT94=1,IF(AN94&lt;=0,0,BW94*MAX(1,IF(H94&gt;0,AN94/H94,1))),IF(R94&gt;0,AO94/R94,0))/MAX(0.1,N(Parameter!$M$21)))</f>
        <v>0.00483091787439614</v>
      </c>
      <c r="AQ94" s="57" t="n">
        <f aca="false">AN94*G94</f>
        <v>2950</v>
      </c>
      <c r="AR94" s="57" t="n">
        <f aca="false">ROUNDUP(MAX(J94/IF(BZ94&gt;0,BZ94,MAX(0.1,N(Cockpit!$I$6))),CC94)/BS94,0)*BS94</f>
        <v>100</v>
      </c>
      <c r="AS94" s="58" t="n">
        <f aca="false">IF(AP94&gt;0,J94/AP94,-1)</f>
        <v>18216</v>
      </c>
      <c r="AT94" s="58" t="n">
        <f aca="false">IF(AND(OR(BY94="L1",BY94="L23"),AP94&gt;0),SUMIFS($AP$7:$AP$1843,$BY$7:$BY$1843,BY94,$AS$7:$AS$1843,"&gt;"&amp;AS94)+SUMIFS($AP$7:$AP$1843,$BY$7:$BY$1843,BY94,$AS$7:$AS$1843,AS94,$BQ$7:$BQ$1843,"&lt;="&amp;BQ94),"")</f>
        <v>0.0072463768115942</v>
      </c>
      <c r="AU94" s="65" t="n">
        <f aca="false">IF(AT94="",0,MAX(0,MIN(1,(IF(BY94="L1",Parameter!$E$5,Parameter!$E$6+Parameter!$E$7)-(AT94-AP94))/AP94)))</f>
        <v>1</v>
      </c>
      <c r="AV94" s="57" t="n">
        <f aca="false">IF(LEFT(Cockpit!$O$5,1)="A",H94,IF(CA94=1,CB94,IF(LEFT(Cockpit!$O$5,1)="B",AZ94,MAX(AZ94,H94))))</f>
        <v>100</v>
      </c>
      <c r="AW94" s="57" t="n">
        <f aca="false">IF(BT94=1,0,ROUNDUP(AV94/BS94,0))</f>
        <v>2</v>
      </c>
      <c r="AX94" s="59" t="n">
        <f aca="false">IF(CH94&gt;0,CH94*MAX(1,AV94/X94),IF(BT94=1,IF(AV94&lt;=0,0,BW94*MAX(1,IF(H94&gt;0,AV94/H94,1))),IF(R94&gt;0,AW94/R94,0))/MAX(0.1,N(Parameter!$M$21)))</f>
        <v>0.00483091787439614</v>
      </c>
      <c r="AY94" s="57" t="n">
        <f aca="false">AV94*G94</f>
        <v>2950</v>
      </c>
      <c r="AZ94" s="57" t="n">
        <f aca="false">ROUNDUP(MAX(J94/IF(BZ94&gt;0,BZ94,MAX(0.1,N(Cockpit!$O$6))),CC94)/BS94,0)*BS94</f>
        <v>100</v>
      </c>
      <c r="BA94" s="58" t="n">
        <f aca="false">IF(AX94&gt;0,J94/AX94,-1)</f>
        <v>18216</v>
      </c>
      <c r="BB94" s="58" t="n">
        <f aca="false">IF(AND(OR(BY94="L1",BY94="L23"),AX94&gt;0),SUMIFS($AX$7:$AX$1843,$BY$7:$BY$1843,BY94,$BA$7:$BA$1843,"&gt;"&amp;BA94)+SUMIFS($AX$7:$AX$1843,$BY$7:$BY$1843,BY94,$BA$7:$BA$1843,BA94,$BQ$7:$BQ$1843,"&lt;="&amp;BQ94),"")</f>
        <v>0.0072463768115942</v>
      </c>
      <c r="BC94" s="65" t="n">
        <f aca="false">IF(BB94="",0,MAX(0,MIN(1,(IF(BY94="L1",Parameter!$E$5,Parameter!$E$6+Parameter!$E$7)-(BB94-AX94))/AX94)))</f>
        <v>1</v>
      </c>
      <c r="BD94" s="55" t="str">
        <f aca="false">IF(AH94&lt;=0,"",IF(BY94="Aussen","Aussenlager",IF(BY94="-","Nicht im Lift",IF(AM94&gt;=1,"Lift",IF(AM94&lt;=0,"Aussenlager","teilweise")))))</f>
        <v>Lift</v>
      </c>
      <c r="BE94" s="55" t="str">
        <f aca="false">IF(AP94&lt;=0,"",IF(BY94="Aussen","Aussenlager",IF(BY94="-","Nicht im Lift",IF(AU94&gt;=1,"Lift",IF(AU94&lt;=0,"Aussenlager","teilweise")))))</f>
        <v>Lift</v>
      </c>
      <c r="BF94" s="55" t="str">
        <f aca="false">IF(AX94&lt;=0,"",IF(BY94="Aussen","Aussenlager",IF(BY94="-","Nicht im Lift",IF(BC94&gt;=1,"Lift",IF(BC94&lt;=0,"Aussenlager","teilweise")))))</f>
        <v>Lift</v>
      </c>
      <c r="BG94" s="55" t="str">
        <f aca="false">IF(A94="","",IF(BP94=1,"Neu; ","")&amp;IF(AND(BP94=0,BK94&lt;0),"negativer Bestand (Export "&amp;BK94&amp;"); ","")&amp;IF(J94&lt;=0,"Kein Verbrauch; ","")&amp;IF(CH94&gt;0,"Lift "&amp;W94&amp;" lt. Liftbericht (Fach "&amp;X94&amp;" Stk); ",IF(BU94=1,"Gebinde geschätzt ("&amp;T94&amp;"); ",IF(BT94=1,"Lose – Tablare geschätzt; ","")))&amp;IF(H94&gt;AR94,"Überbestand "&amp;ROUND(H94-AR94,0)&amp;" Stk / CHF "&amp;ROUND((H94-AR94)*G94,0)&amp;"; ","")&amp;IF(AND(CA94=1,CB94&lt;CC94),"MAX &lt; MB+LG; ","")&amp;IF(AND(CG94&gt;0,CF94*10&gt;CG94),"zu hoch für Tablar; ","")&amp;IF(AND(BP94=0,OR(CA94=1,AA94&lt;&gt;"",U94&lt;&gt;"",V94&lt;&gt;"",AB94&lt;&gt;"")),"manuell übersteuert; ","")&amp;IF(AND(BT94=0,R94=0),"Gebinde unbekannt / Stellmass fehlt; ","")&amp;IF(AND(BT94=0,N(V94)&lt;=0,N(Q94)&lt;=0),"Menge pro Gebinde fehlt (Ist = 1 Gebinde); ","")&amp;BO94)</f>
        <v/>
      </c>
      <c r="BH94" s="55"/>
      <c r="BI94" s="55"/>
      <c r="BJ94" s="62"/>
      <c r="BK94" s="57" t="n">
        <v>83</v>
      </c>
      <c r="BL94" s="57" t="n">
        <v>15</v>
      </c>
      <c r="BM94" s="56" t="n">
        <v>2482.39</v>
      </c>
      <c r="BN94" s="57" t="n">
        <v>88</v>
      </c>
      <c r="BO94" s="55"/>
      <c r="BP94" s="60" t="n">
        <v>0</v>
      </c>
      <c r="BQ94" s="60" t="n">
        <v>94</v>
      </c>
      <c r="BR94" s="55" t="str">
        <f aca="false">IF(U94&lt;&gt;"",UPPER(TRIM(U94)),IF(BU94=1,UPPER(VLOOKUP(T94,Parameter!$I$27:$K$29,2,0)),IF(P94="","LOSE",P94)))</f>
        <v>S21</v>
      </c>
      <c r="BS94" s="57" t="n">
        <f aca="false">IF(BR94="LOSE",1,IF(N(V94)&gt;0,V94,IF(BU94=1,MAX(1,N(VLOOKUP(T94,Parameter!$I$27:$K$29,3,0)),H94,N(N94)),IF(N(Q94)&gt;0,Q94,MAX(1,H94)))))</f>
        <v>50</v>
      </c>
      <c r="BT94" s="60" t="n">
        <f aca="false">IF(BR94="LOSE",1,0)</f>
        <v>0</v>
      </c>
      <c r="BU94" s="60" t="n">
        <f aca="false">IF(AND(U94="",OR(P94="",P94="LOSE"),T94&lt;&gt;"",N(S94)&lt;=0,ISNUMBER(MATCH(T94,Parameter!$I$27:$I$29,0))),1,0)</f>
        <v>0</v>
      </c>
      <c r="BV94" s="55" t="n">
        <f aca="false">IF(AND(Parameter!$B$19="Ja",E94&lt;&gt;"",ISNUMBER(MATCH(E94,Parameter!$I$35:$I$52,0))),VLOOKUP(E94,Parameter!$I$35:$J$52,2,0),IFERROR(VLOOKUP(D94,Parameter!$A$35:$C$64,2,0),"Nein"))</f>
        <v>1</v>
      </c>
      <c r="BW94" s="59" t="n">
        <f aca="false">IF(BT94=0,0,IF(N(S94)&gt;0,S94,IFERROR(VLOOKUP(D94,Parameter!$A$35:$C$64,3,0)+0,0)))</f>
        <v>0</v>
      </c>
      <c r="BX94" s="55" t="n">
        <f aca="false">IF(AA94&lt;&gt;"",AA94,Z94)</f>
        <v>1</v>
      </c>
      <c r="BY94" s="55" t="str">
        <f aca="false">IF(BX94=1,"L1",IF(OR(BX94=2,BX94=3),"L23",IF(BX94="Aussen","Aussen","-")))</f>
        <v>L1</v>
      </c>
      <c r="BZ94" s="66" t="n">
        <f aca="false">IF(N(AB94)&gt;0,AB94,0)</f>
        <v>0</v>
      </c>
      <c r="CA94" s="60" t="n">
        <f aca="false">IF(ISNUMBER(AE94),1,0)</f>
        <v>0</v>
      </c>
      <c r="CB94" s="57" t="n">
        <f aca="false">N(AE94)</f>
        <v>0</v>
      </c>
      <c r="CC94" s="57" t="n">
        <f aca="false">N(M94)+N(N94)</f>
        <v>95</v>
      </c>
      <c r="CD94" s="57" t="n">
        <f aca="false">ROUNDUP(H94/BS94,0)</f>
        <v>2</v>
      </c>
      <c r="CE94" s="57" t="n">
        <f aca="false">ROUNDUP(CB94/BS94,0)</f>
        <v>0</v>
      </c>
      <c r="CF94" s="60" t="n">
        <f aca="false">IF(BT94=1,0,IFERROR(VLOOKUP(BR94,'Gebinde-Kategorie'!$A$5:$M$45,5,0)+0,0))</f>
        <v>8</v>
      </c>
      <c r="CG94" s="60" t="n">
        <f aca="false">IFERROR(IF(OR(BX94=1,BX94=2,BX94=3),N(INDEX(Parameter!$I$5:$I$7,BX94)),0),0)</f>
        <v>0</v>
      </c>
      <c r="CH94" s="59" t="n">
        <f aca="false">IF(AND(Parameter!$B$21="Ja",ISNUMBER(W94),N(X94)&gt;0),IFERROR(N(INDEX(Parameter!$L$5:$L$7,W94))*INDEX(Parameter!$E$5:$E$7,W94)*X94/SUMIFS($X$7:$X$1843,$W$7:$W$1843,W94),0),0)</f>
        <v>0</v>
      </c>
    </row>
    <row r="95" customFormat="false" ht="15" hidden="false" customHeight="false" outlineLevel="0" collapsed="false">
      <c r="A95" s="55" t="s">
        <v>402</v>
      </c>
      <c r="B95" s="55" t="s">
        <v>403</v>
      </c>
      <c r="C95" s="55" t="s">
        <v>164</v>
      </c>
      <c r="D95" s="55" t="s">
        <v>184</v>
      </c>
      <c r="E95" s="55"/>
      <c r="F95" s="55" t="s">
        <v>218</v>
      </c>
      <c r="G95" s="56" t="n">
        <v>33.76</v>
      </c>
      <c r="H95" s="57" t="n">
        <f aca="false">MAX(0,IF(AND(Parameter!$B$21="Ja",ISNUMBER(Y95)),Y95,IF(Parameter!$B$20="Jahresanfang 2025 + Export",BL95+BK95,BK95)))</f>
        <v>72</v>
      </c>
      <c r="I95" s="57" t="n">
        <f aca="false">H95*G95</f>
        <v>2430.72</v>
      </c>
      <c r="J95" s="57" t="n">
        <f aca="false">BN95*Parameter!$B$18</f>
        <v>12</v>
      </c>
      <c r="K95" s="58" t="n">
        <v>40</v>
      </c>
      <c r="L95" s="59" t="n">
        <v>0.3</v>
      </c>
      <c r="M95" s="57" t="n">
        <v>0</v>
      </c>
      <c r="N95" s="57" t="n">
        <v>10</v>
      </c>
      <c r="O95" s="60" t="n">
        <v>21</v>
      </c>
      <c r="P95" s="55" t="s">
        <v>168</v>
      </c>
      <c r="Q95" s="57"/>
      <c r="R95" s="60" t="n">
        <f aca="false">IF(BT95=1,0,IFERROR(VLOOKUP(BR95,'Gebinde-Kategorie'!$A$5:$M$45,13,0)+0,0))</f>
        <v>26</v>
      </c>
      <c r="S95" s="61"/>
      <c r="T95" s="62" t="s">
        <v>275</v>
      </c>
      <c r="U95" s="62"/>
      <c r="V95" s="62"/>
      <c r="W95" s="55"/>
      <c r="X95" s="57"/>
      <c r="Y95" s="57"/>
      <c r="Z95" s="55" t="n">
        <f aca="false">IF(A95="","",IF(AND(Parameter!$B$21="Ja",ISNUMBER(W95)),W95,IF(BV95="2+3",IF(ISNUMBER(SEARCH("grosser Artikel",BO95)),2,IFERROR(VLOOKUP(BR95,Parameter!$F$35:$G$64,2,0),2)),IF(OR(BV95="Nein",BV95=""),"-",BV95))))</f>
        <v>3</v>
      </c>
      <c r="AA95" s="62"/>
      <c r="AB95" s="63"/>
      <c r="AC95" s="57" t="n">
        <f aca="false">AR95</f>
        <v>72</v>
      </c>
      <c r="AD95" s="57" t="n">
        <f aca="false">MAX(AR95,H95)</f>
        <v>72</v>
      </c>
      <c r="AE95" s="64"/>
      <c r="AF95" s="57" t="n">
        <f aca="false">IF(LEFT(Cockpit!$C$5,1)="A",H95,IF(CA95=1,CB95,IF(LEFT(Cockpit!$C$5,1)="B",AJ95,MAX(AJ95,H95))))</f>
        <v>72</v>
      </c>
      <c r="AG95" s="57" t="n">
        <f aca="false">IF(BT95=1,0,ROUNDUP(AF95/BS95,0))</f>
        <v>1</v>
      </c>
      <c r="AH95" s="59" t="n">
        <f aca="false">IF(CH95&gt;0,CH95*MAX(1,AF95/X95),IF(BT95=1,IF(AF95&lt;=0,0,BW95*MAX(1,IF(H95&gt;0,AF95/H95,1))),IF(R95&gt;0,AG95/R95,0))/MAX(0.1,N(Parameter!$M$21)))</f>
        <v>0.0384615384615385</v>
      </c>
      <c r="AI95" s="57" t="n">
        <f aca="false">AF95*G95</f>
        <v>2430.72</v>
      </c>
      <c r="AJ95" s="57" t="n">
        <f aca="false">ROUNDUP(MAX(J95/IF(BZ95&gt;0,BZ95,MAX(0.1,N(Cockpit!$C$6))),CC95)/BS95,0)*BS95</f>
        <v>72</v>
      </c>
      <c r="AK95" s="58" t="n">
        <f aca="false">IF(AH95&gt;0,J95/AH95,-1)</f>
        <v>312</v>
      </c>
      <c r="AL95" s="58" t="n">
        <f aca="false">IF(AND(OR(BY95="L1",BY95="L23"),AH95&gt;0),SUMIFS($AH$7:$AH$1843,$BY$7:$BY$1843,BY95,$AK$7:$AK$1843,"&gt;"&amp;AK95)+SUMIFS($AH$7:$AH$1843,$BY$7:$BY$1843,BY95,$AK$7:$AK$1843,AK95,$BQ$7:$BQ$1843,"&lt;="&amp;BQ95),"")</f>
        <v>27.9593003614743</v>
      </c>
      <c r="AM95" s="65" t="n">
        <f aca="false">IF(AL95="",0,MAX(0,MIN(1,(IF(BY95="L1",Parameter!$E$5,Parameter!$E$6+Parameter!$E$7)-(AL95-AH95))/AH95)))</f>
        <v>1</v>
      </c>
      <c r="AN95" s="57" t="n">
        <f aca="false">IF(LEFT(Cockpit!$I$5,1)="A",H95,IF(CA95=1,CB95,IF(LEFT(Cockpit!$I$5,1)="B",AR95,MAX(AR95,H95))))</f>
        <v>72</v>
      </c>
      <c r="AO95" s="57" t="n">
        <f aca="false">IF(BT95=1,0,ROUNDUP(AN95/BS95,0))</f>
        <v>1</v>
      </c>
      <c r="AP95" s="59" t="n">
        <f aca="false">IF(CH95&gt;0,CH95*MAX(1,AN95/X95),IF(BT95=1,IF(AN95&lt;=0,0,BW95*MAX(1,IF(H95&gt;0,AN95/H95,1))),IF(R95&gt;0,AO95/R95,0))/MAX(0.1,N(Parameter!$M$21)))</f>
        <v>0.0384615384615385</v>
      </c>
      <c r="AQ95" s="57" t="n">
        <f aca="false">AN95*G95</f>
        <v>2430.72</v>
      </c>
      <c r="AR95" s="57" t="n">
        <f aca="false">ROUNDUP(MAX(J95/IF(BZ95&gt;0,BZ95,MAX(0.1,N(Cockpit!$I$6))),CC95)/BS95,0)*BS95</f>
        <v>72</v>
      </c>
      <c r="AS95" s="58" t="n">
        <f aca="false">IF(AP95&gt;0,J95/AP95,-1)</f>
        <v>312</v>
      </c>
      <c r="AT95" s="58" t="n">
        <f aca="false">IF(AND(OR(BY95="L1",BY95="L23"),AP95&gt;0),SUMIFS($AP$7:$AP$1843,$BY$7:$BY$1843,BY95,$AS$7:$AS$1843,"&gt;"&amp;AS95)+SUMIFS($AP$7:$AP$1843,$BY$7:$BY$1843,BY95,$AS$7:$AS$1843,AS95,$BQ$7:$BQ$1843,"&lt;="&amp;BQ95),"")</f>
        <v>40.6829583460018</v>
      </c>
      <c r="AU95" s="65" t="n">
        <f aca="false">IF(AT95="",0,MAX(0,MIN(1,(IF(BY95="L1",Parameter!$E$5,Parameter!$E$6+Parameter!$E$7)-(AT95-AP95))/AP95)))</f>
        <v>1</v>
      </c>
      <c r="AV95" s="57" t="n">
        <f aca="false">IF(LEFT(Cockpit!$O$5,1)="A",H95,IF(CA95=1,CB95,IF(LEFT(Cockpit!$O$5,1)="B",AZ95,MAX(AZ95,H95))))</f>
        <v>72</v>
      </c>
      <c r="AW95" s="57" t="n">
        <f aca="false">IF(BT95=1,0,ROUNDUP(AV95/BS95,0))</f>
        <v>1</v>
      </c>
      <c r="AX95" s="59" t="n">
        <f aca="false">IF(CH95&gt;0,CH95*MAX(1,AV95/X95),IF(BT95=1,IF(AV95&lt;=0,0,BW95*MAX(1,IF(H95&gt;0,AV95/H95,1))),IF(R95&gt;0,AW95/R95,0))/MAX(0.1,N(Parameter!$M$21)))</f>
        <v>0.0384615384615385</v>
      </c>
      <c r="AY95" s="57" t="n">
        <f aca="false">AV95*G95</f>
        <v>2430.72</v>
      </c>
      <c r="AZ95" s="57" t="n">
        <f aca="false">ROUNDUP(MAX(J95/IF(BZ95&gt;0,BZ95,MAX(0.1,N(Cockpit!$O$6))),CC95)/BS95,0)*BS95</f>
        <v>72</v>
      </c>
      <c r="BA95" s="58" t="n">
        <f aca="false">IF(AX95&gt;0,J95/AX95,-1)</f>
        <v>312</v>
      </c>
      <c r="BB95" s="58" t="n">
        <f aca="false">IF(AND(OR(BY95="L1",BY95="L23"),AX95&gt;0),SUMIFS($AX$7:$AX$1843,$BY$7:$BY$1843,BY95,$BA$7:$BA$1843,"&gt;"&amp;BA95)+SUMIFS($AX$7:$AX$1843,$BY$7:$BY$1843,BY95,$BA$7:$BA$1843,BA95,$BQ$7:$BQ$1843,"&lt;="&amp;BQ95),"")</f>
        <v>37.0127951758387</v>
      </c>
      <c r="BC95" s="65" t="n">
        <f aca="false">IF(BB95="",0,MAX(0,MIN(1,(IF(BY95="L1",Parameter!$E$5,Parameter!$E$6+Parameter!$E$7)-(BB95-AX95))/AX95)))</f>
        <v>1</v>
      </c>
      <c r="BD95" s="55" t="str">
        <f aca="false">IF(AH95&lt;=0,"",IF(BY95="Aussen","Aussenlager",IF(BY95="-","Nicht im Lift",IF(AM95&gt;=1,"Lift",IF(AM95&lt;=0,"Aussenlager","teilweise")))))</f>
        <v>Lift</v>
      </c>
      <c r="BE95" s="55" t="str">
        <f aca="false">IF(AP95&lt;=0,"",IF(BY95="Aussen","Aussenlager",IF(BY95="-","Nicht im Lift",IF(AU95&gt;=1,"Lift",IF(AU95&lt;=0,"Aussenlager","teilweise")))))</f>
        <v>Lift</v>
      </c>
      <c r="BF95" s="55" t="str">
        <f aca="false">IF(AX95&lt;=0,"",IF(BY95="Aussen","Aussenlager",IF(BY95="-","Nicht im Lift",IF(BC95&gt;=1,"Lift",IF(BC95&lt;=0,"Aussenlager","teilweise")))))</f>
        <v>Lift</v>
      </c>
      <c r="BG95" s="55" t="str">
        <f aca="false">IF(A95="","",IF(BP95=1,"Neu; ","")&amp;IF(AND(BP95=0,BK95&lt;0),"negativer Bestand (Export "&amp;BK95&amp;"); ","")&amp;IF(J95&lt;=0,"Kein Verbrauch; ","")&amp;IF(CH95&gt;0,"Lift "&amp;W95&amp;" lt. Liftbericht (Fach "&amp;X95&amp;" Stk); ",IF(BU95=1,"Gebinde geschätzt ("&amp;T95&amp;"); ",IF(BT95=1,"Lose – Tablare geschätzt; ","")))&amp;IF(H95&gt;AR95,"Überbestand "&amp;ROUND(H95-AR95,0)&amp;" Stk / CHF "&amp;ROUND((H95-AR95)*G95,0)&amp;"; ","")&amp;IF(AND(CA95=1,CB95&lt;CC95),"MAX &lt; MB+LG; ","")&amp;IF(AND(CG95&gt;0,CF95*10&gt;CG95),"zu hoch für Tablar; ","")&amp;IF(AND(BP95=0,OR(CA95=1,AA95&lt;&gt;"",U95&lt;&gt;"",V95&lt;&gt;"",AB95&lt;&gt;"")),"manuell übersteuert; ","")&amp;IF(AND(BT95=0,R95=0),"Gebinde unbekannt / Stellmass fehlt; ","")&amp;IF(AND(BT95=0,N(V95)&lt;=0,N(Q95)&lt;=0),"Menge pro Gebinde fehlt (Ist = 1 Gebinde); ","")&amp;BO95)</f>
        <v>Gebinde geschätzt (Klein); Menge pro Gebinde fehlt (Ist = 1 Gebinde); </v>
      </c>
      <c r="BH95" s="55"/>
      <c r="BI95" s="55"/>
      <c r="BJ95" s="62"/>
      <c r="BK95" s="57" t="n">
        <v>72</v>
      </c>
      <c r="BL95" s="57" t="n">
        <v>0</v>
      </c>
      <c r="BM95" s="56" t="n">
        <v>2430.72</v>
      </c>
      <c r="BN95" s="57" t="n">
        <v>12</v>
      </c>
      <c r="BO95" s="55"/>
      <c r="BP95" s="60" t="n">
        <v>0</v>
      </c>
      <c r="BQ95" s="60" t="n">
        <v>95</v>
      </c>
      <c r="BR95" s="55" t="str">
        <f aca="false">IF(U95&lt;&gt;"",UPPER(TRIM(U95)),IF(BU95=1,UPPER(VLOOKUP(T95,Parameter!$I$27:$K$29,2,0)),IF(P95="","LOSE",P95)))</f>
        <v>S51</v>
      </c>
      <c r="BS95" s="57" t="n">
        <f aca="false">IF(BR95="LOSE",1,IF(N(V95)&gt;0,V95,IF(BU95=1,MAX(1,N(VLOOKUP(T95,Parameter!$I$27:$K$29,3,0)),H95,N(N95)),IF(N(Q95)&gt;0,Q95,MAX(1,H95)))))</f>
        <v>72</v>
      </c>
      <c r="BT95" s="60" t="n">
        <f aca="false">IF(BR95="LOSE",1,0)</f>
        <v>0</v>
      </c>
      <c r="BU95" s="60" t="n">
        <f aca="false">IF(AND(U95="",OR(P95="",P95="LOSE"),T95&lt;&gt;"",N(S95)&lt;=0,ISNUMBER(MATCH(T95,Parameter!$I$27:$I$29,0))),1,0)</f>
        <v>1</v>
      </c>
      <c r="BV95" s="55" t="str">
        <f aca="false">IF(AND(Parameter!$B$19="Ja",E95&lt;&gt;"",ISNUMBER(MATCH(E95,Parameter!$I$35:$I$52,0))),VLOOKUP(E95,Parameter!$I$35:$J$52,2,0),IFERROR(VLOOKUP(D95,Parameter!$A$35:$C$64,2,0),"Nein"))</f>
        <v>2+3</v>
      </c>
      <c r="BW95" s="59" t="n">
        <f aca="false">IF(BT95=0,0,IF(N(S95)&gt;0,S95,IFERROR(VLOOKUP(D95,Parameter!$A$35:$C$64,3,0)+0,0)))</f>
        <v>0</v>
      </c>
      <c r="BX95" s="55" t="n">
        <f aca="false">IF(AA95&lt;&gt;"",AA95,Z95)</f>
        <v>3</v>
      </c>
      <c r="BY95" s="55" t="str">
        <f aca="false">IF(BX95=1,"L1",IF(OR(BX95=2,BX95=3),"L23",IF(BX95="Aussen","Aussen","-")))</f>
        <v>L23</v>
      </c>
      <c r="BZ95" s="66" t="n">
        <f aca="false">IF(N(AB95)&gt;0,AB95,0)</f>
        <v>0</v>
      </c>
      <c r="CA95" s="60" t="n">
        <f aca="false">IF(ISNUMBER(AE95),1,0)</f>
        <v>0</v>
      </c>
      <c r="CB95" s="57" t="n">
        <f aca="false">N(AE95)</f>
        <v>0</v>
      </c>
      <c r="CC95" s="57" t="n">
        <f aca="false">N(M95)+N(N95)</f>
        <v>10</v>
      </c>
      <c r="CD95" s="57" t="n">
        <f aca="false">ROUNDUP(H95/BS95,0)</f>
        <v>1</v>
      </c>
      <c r="CE95" s="57" t="n">
        <f aca="false">ROUNDUP(CB95/BS95,0)</f>
        <v>0</v>
      </c>
      <c r="CF95" s="60" t="n">
        <f aca="false">IF(BT95=1,0,IFERROR(VLOOKUP(BR95,'Gebinde-Kategorie'!$A$5:$M$45,5,0)+0,0))</f>
        <v>11</v>
      </c>
      <c r="CG95" s="60" t="n">
        <f aca="false">IFERROR(IF(OR(BX95=1,BX95=2,BX95=3),N(INDEX(Parameter!$I$5:$I$7,BX95)),0),0)</f>
        <v>0</v>
      </c>
      <c r="CH95" s="59" t="n">
        <f aca="false">IF(AND(Parameter!$B$21="Ja",ISNUMBER(W95),N(X95)&gt;0),IFERROR(N(INDEX(Parameter!$L$5:$L$7,W95))*INDEX(Parameter!$E$5:$E$7,W95)*X95/SUMIFS($X$7:$X$1843,$W$7:$W$1843,W95),0),0)</f>
        <v>0</v>
      </c>
    </row>
    <row r="96" customFormat="false" ht="15" hidden="false" customHeight="false" outlineLevel="0" collapsed="false">
      <c r="A96" s="55" t="s">
        <v>404</v>
      </c>
      <c r="B96" s="55" t="s">
        <v>405</v>
      </c>
      <c r="C96" s="55" t="s">
        <v>164</v>
      </c>
      <c r="D96" s="55" t="s">
        <v>173</v>
      </c>
      <c r="E96" s="55" t="s">
        <v>185</v>
      </c>
      <c r="F96" s="55" t="s">
        <v>218</v>
      </c>
      <c r="G96" s="56" t="n">
        <v>1.44</v>
      </c>
      <c r="H96" s="57" t="n">
        <f aca="false">MAX(0,IF(AND(Parameter!$B$21="Ja",ISNUMBER(Y96)),Y96,IF(Parameter!$B$20="Jahresanfang 2025 + Export",BL96+BK96,BK96)))</f>
        <v>4252</v>
      </c>
      <c r="I96" s="57" t="n">
        <f aca="false">H96*G96</f>
        <v>6122.88</v>
      </c>
      <c r="J96" s="57" t="n">
        <f aca="false">BN96*Parameter!$B$18</f>
        <v>16871</v>
      </c>
      <c r="K96" s="58" t="n">
        <v>2824.5</v>
      </c>
      <c r="L96" s="59" t="n">
        <v>5.97309258275801</v>
      </c>
      <c r="M96" s="57" t="n">
        <v>1968</v>
      </c>
      <c r="N96" s="57" t="n">
        <v>2000</v>
      </c>
      <c r="O96" s="60" t="n">
        <v>42</v>
      </c>
      <c r="P96" s="55" t="s">
        <v>174</v>
      </c>
      <c r="Q96" s="57"/>
      <c r="R96" s="60" t="n">
        <f aca="false">IF(BT96=1,0,IFERROR(VLOOKUP(BR96,'Gebinde-Kategorie'!$A$5:$M$45,13,0)+0,0))</f>
        <v>6</v>
      </c>
      <c r="S96" s="61"/>
      <c r="T96" s="62"/>
      <c r="U96" s="62"/>
      <c r="V96" s="62"/>
      <c r="W96" s="55"/>
      <c r="X96" s="57"/>
      <c r="Y96" s="57"/>
      <c r="Z96" s="55" t="n">
        <f aca="false">IF(A96="","",IF(AND(Parameter!$B$21="Ja",ISNUMBER(W96)),W96,IF(BV96="2+3",IF(ISNUMBER(SEARCH("grosser Artikel",BO96)),2,IFERROR(VLOOKUP(BR96,Parameter!$F$35:$G$64,2,0),2)),IF(OR(BV96="Nein",BV96=""),"-",BV96))))</f>
        <v>2</v>
      </c>
      <c r="AA96" s="62"/>
      <c r="AB96" s="63"/>
      <c r="AC96" s="57" t="n">
        <f aca="false">AR96</f>
        <v>8504</v>
      </c>
      <c r="AD96" s="57" t="n">
        <f aca="false">MAX(AR96,H96)</f>
        <v>8504</v>
      </c>
      <c r="AE96" s="64"/>
      <c r="AF96" s="57" t="n">
        <f aca="false">IF(LEFT(Cockpit!$C$5,1)="A",H96,IF(CA96=1,CB96,IF(LEFT(Cockpit!$C$5,1)="B",AJ96,MAX(AJ96,H96))))</f>
        <v>4252</v>
      </c>
      <c r="AG96" s="57" t="n">
        <f aca="false">IF(BT96=1,0,ROUNDUP(AF96/BS96,0))</f>
        <v>1</v>
      </c>
      <c r="AH96" s="59" t="n">
        <f aca="false">IF(CH96&gt;0,CH96*MAX(1,AF96/X96),IF(BT96=1,IF(AF96&lt;=0,0,BW96*MAX(1,IF(H96&gt;0,AF96/H96,1))),IF(R96&gt;0,AG96/R96,0))/MAX(0.1,N(Parameter!$M$21)))</f>
        <v>0.166666666666667</v>
      </c>
      <c r="AI96" s="57" t="n">
        <f aca="false">AF96*G96</f>
        <v>6122.88</v>
      </c>
      <c r="AJ96" s="57" t="n">
        <f aca="false">ROUNDUP(MAX(J96/IF(BZ96&gt;0,BZ96,MAX(0.1,N(Cockpit!$C$6))),CC96)/BS96,0)*BS96</f>
        <v>8504</v>
      </c>
      <c r="AK96" s="58" t="n">
        <f aca="false">IF(AH96&gt;0,J96/AH96,-1)</f>
        <v>101226</v>
      </c>
      <c r="AL96" s="58" t="n">
        <f aca="false">IF(AND(OR(BY96="L1",BY96="L23"),AH96&gt;0),SUMIFS($AH$7:$AH$1843,$BY$7:$BY$1843,BY96,$AK$7:$AK$1843,"&gt;"&amp;AK96)+SUMIFS($AH$7:$AH$1843,$BY$7:$BY$1843,BY96,$AK$7:$AK$1843,AK96,$BQ$7:$BQ$1843,"&lt;="&amp;BQ96),"")</f>
        <v>0.640231748927401</v>
      </c>
      <c r="AM96" s="65" t="n">
        <f aca="false">IF(AL96="",0,MAX(0,MIN(1,(IF(BY96="L1",Parameter!$E$5,Parameter!$E$6+Parameter!$E$7)-(AL96-AH96))/AH96)))</f>
        <v>1</v>
      </c>
      <c r="AN96" s="57" t="n">
        <f aca="false">IF(LEFT(Cockpit!$I$5,1)="A",H96,IF(CA96=1,CB96,IF(LEFT(Cockpit!$I$5,1)="B",AR96,MAX(AR96,H96))))</f>
        <v>8504</v>
      </c>
      <c r="AO96" s="57" t="n">
        <f aca="false">IF(BT96=1,0,ROUNDUP(AN96/BS96,0))</f>
        <v>2</v>
      </c>
      <c r="AP96" s="59" t="n">
        <f aca="false">IF(CH96&gt;0,CH96*MAX(1,AN96/X96),IF(BT96=1,IF(AN96&lt;=0,0,BW96*MAX(1,IF(H96&gt;0,AN96/H96,1))),IF(R96&gt;0,AO96/R96,0))/MAX(0.1,N(Parameter!$M$21)))</f>
        <v>0.333333333333333</v>
      </c>
      <c r="AQ96" s="57" t="n">
        <f aca="false">AN96*G96</f>
        <v>12245.76</v>
      </c>
      <c r="AR96" s="57" t="n">
        <f aca="false">ROUNDUP(MAX(J96/IF(BZ96&gt;0,BZ96,MAX(0.1,N(Cockpit!$I$6))),CC96)/BS96,0)*BS96</f>
        <v>8504</v>
      </c>
      <c r="AS96" s="58" t="n">
        <f aca="false">IF(AP96&gt;0,J96/AP96,-1)</f>
        <v>50613</v>
      </c>
      <c r="AT96" s="58" t="n">
        <f aca="false">IF(AND(OR(BY96="L1",BY96="L23"),AP96&gt;0),SUMIFS($AP$7:$AP$1843,$BY$7:$BY$1843,BY96,$AS$7:$AS$1843,"&gt;"&amp;AS96)+SUMIFS($AP$7:$AP$1843,$BY$7:$BY$1843,BY96,$AS$7:$AS$1843,AS96,$BQ$7:$BQ$1843,"&lt;="&amp;BQ96),"")</f>
        <v>1.44865882909361</v>
      </c>
      <c r="AU96" s="65" t="n">
        <f aca="false">IF(AT96="",0,MAX(0,MIN(1,(IF(BY96="L1",Parameter!$E$5,Parameter!$E$6+Parameter!$E$7)-(AT96-AP96))/AP96)))</f>
        <v>1</v>
      </c>
      <c r="AV96" s="57" t="n">
        <f aca="false">IF(LEFT(Cockpit!$O$5,1)="A",H96,IF(CA96=1,CB96,IF(LEFT(Cockpit!$O$5,1)="B",AZ96,MAX(AZ96,H96))))</f>
        <v>8504</v>
      </c>
      <c r="AW96" s="57" t="n">
        <f aca="false">IF(BT96=1,0,ROUNDUP(AV96/BS96,0))</f>
        <v>2</v>
      </c>
      <c r="AX96" s="59" t="n">
        <f aca="false">IF(CH96&gt;0,CH96*MAX(1,AV96/X96),IF(BT96=1,IF(AV96&lt;=0,0,BW96*MAX(1,IF(H96&gt;0,AV96/H96,1))),IF(R96&gt;0,AW96/R96,0))/MAX(0.1,N(Parameter!$M$21)))</f>
        <v>0.333333333333333</v>
      </c>
      <c r="AY96" s="57" t="n">
        <f aca="false">AV96*G96</f>
        <v>12245.76</v>
      </c>
      <c r="AZ96" s="57" t="n">
        <f aca="false">ROUNDUP(MAX(J96/IF(BZ96&gt;0,BZ96,MAX(0.1,N(Cockpit!$O$6))),CC96)/BS96,0)*BS96</f>
        <v>8504</v>
      </c>
      <c r="BA96" s="58" t="n">
        <f aca="false">IF(AX96&gt;0,J96/AX96,-1)</f>
        <v>50613</v>
      </c>
      <c r="BB96" s="58" t="n">
        <f aca="false">IF(AND(OR(BY96="L1",BY96="L23"),AX96&gt;0),SUMIFS($AX$7:$AX$1843,$BY$7:$BY$1843,BY96,$BA$7:$BA$1843,"&gt;"&amp;BA96)+SUMIFS($AX$7:$AX$1843,$BY$7:$BY$1843,BY96,$BA$7:$BA$1843,BA96,$BQ$7:$BQ$1843,"&lt;="&amp;BQ96),"")</f>
        <v>1.73945136988615</v>
      </c>
      <c r="BC96" s="65" t="n">
        <f aca="false">IF(BB96="",0,MAX(0,MIN(1,(IF(BY96="L1",Parameter!$E$5,Parameter!$E$6+Parameter!$E$7)-(BB96-AX96))/AX96)))</f>
        <v>1</v>
      </c>
      <c r="BD96" s="55" t="str">
        <f aca="false">IF(AH96&lt;=0,"",IF(BY96="Aussen","Aussenlager",IF(BY96="-","Nicht im Lift",IF(AM96&gt;=1,"Lift",IF(AM96&lt;=0,"Aussenlager","teilweise")))))</f>
        <v>Lift</v>
      </c>
      <c r="BE96" s="55" t="str">
        <f aca="false">IF(AP96&lt;=0,"",IF(BY96="Aussen","Aussenlager",IF(BY96="-","Nicht im Lift",IF(AU96&gt;=1,"Lift",IF(AU96&lt;=0,"Aussenlager","teilweise")))))</f>
        <v>Lift</v>
      </c>
      <c r="BF96" s="55" t="str">
        <f aca="false">IF(AX96&lt;=0,"",IF(BY96="Aussen","Aussenlager",IF(BY96="-","Nicht im Lift",IF(BC96&gt;=1,"Lift",IF(BC96&lt;=0,"Aussenlager","teilweise")))))</f>
        <v>Lift</v>
      </c>
      <c r="BG96" s="55" t="str">
        <f aca="false">IF(A96="","",IF(BP96=1,"Neu; ","")&amp;IF(AND(BP96=0,BK96&lt;0),"negativer Bestand (Export "&amp;BK96&amp;"); ","")&amp;IF(J96&lt;=0,"Kein Verbrauch; ","")&amp;IF(CH96&gt;0,"Lift "&amp;W96&amp;" lt. Liftbericht (Fach "&amp;X96&amp;" Stk); ",IF(BU96=1,"Gebinde geschätzt ("&amp;T96&amp;"); ",IF(BT96=1,"Lose – Tablare geschätzt; ","")))&amp;IF(H96&gt;AR96,"Überbestand "&amp;ROUND(H96-AR96,0)&amp;" Stk / CHF "&amp;ROUND((H96-AR96)*G96,0)&amp;"; ","")&amp;IF(AND(CA96=1,CB96&lt;CC96),"MAX &lt; MB+LG; ","")&amp;IF(AND(CG96&gt;0,CF96*10&gt;CG96),"zu hoch für Tablar; ","")&amp;IF(AND(BP96=0,OR(CA96=1,AA96&lt;&gt;"",U96&lt;&gt;"",V96&lt;&gt;"",AB96&lt;&gt;"")),"manuell übersteuert; ","")&amp;IF(AND(BT96=0,R96=0),"Gebinde unbekannt / Stellmass fehlt; ","")&amp;IF(AND(BT96=0,N(V96)&lt;=0,N(Q96)&lt;=0),"Menge pro Gebinde fehlt (Ist = 1 Gebinde); ","")&amp;BO96)</f>
        <v>Menge pro Gebinde fehlt (Ist = 1 Gebinde); grosser Artikel &amp; nicht im KTL</v>
      </c>
      <c r="BH96" s="55"/>
      <c r="BI96" s="55"/>
      <c r="BJ96" s="62"/>
      <c r="BK96" s="57" t="n">
        <v>1628</v>
      </c>
      <c r="BL96" s="57" t="n">
        <v>2624</v>
      </c>
      <c r="BM96" s="56" t="n">
        <v>2421.60000000001</v>
      </c>
      <c r="BN96" s="57" t="n">
        <v>16871</v>
      </c>
      <c r="BO96" s="55" t="s">
        <v>261</v>
      </c>
      <c r="BP96" s="60" t="n">
        <v>0</v>
      </c>
      <c r="BQ96" s="60" t="n">
        <v>96</v>
      </c>
      <c r="BR96" s="55" t="str">
        <f aca="false">IF(U96&lt;&gt;"",UPPER(TRIM(U96)),IF(BU96=1,UPPER(VLOOKUP(T96,Parameter!$I$27:$K$29,2,0)),IF(P96="","LOSE",P96)))</f>
        <v>S71</v>
      </c>
      <c r="BS96" s="57" t="n">
        <f aca="false">IF(BR96="LOSE",1,IF(N(V96)&gt;0,V96,IF(BU96=1,MAX(1,N(VLOOKUP(T96,Parameter!$I$27:$K$29,3,0)),H96,N(N96)),IF(N(Q96)&gt;0,Q96,MAX(1,H96)))))</f>
        <v>4252</v>
      </c>
      <c r="BT96" s="60" t="n">
        <f aca="false">IF(BR96="LOSE",1,0)</f>
        <v>0</v>
      </c>
      <c r="BU96" s="60" t="n">
        <f aca="false">IF(AND(U96="",OR(P96="",P96="LOSE"),T96&lt;&gt;"",N(S96)&lt;=0,ISNUMBER(MATCH(T96,Parameter!$I$27:$I$29,0))),1,0)</f>
        <v>0</v>
      </c>
      <c r="BV96" s="55" t="str">
        <f aca="false">IF(AND(Parameter!$B$19="Ja",E96&lt;&gt;"",ISNUMBER(MATCH(E96,Parameter!$I$35:$I$52,0))),VLOOKUP(E96,Parameter!$I$35:$J$52,2,0),IFERROR(VLOOKUP(D96,Parameter!$A$35:$C$64,2,0),"Nein"))</f>
        <v>2+3</v>
      </c>
      <c r="BW96" s="59" t="n">
        <f aca="false">IF(BT96=0,0,IF(N(S96)&gt;0,S96,IFERROR(VLOOKUP(D96,Parameter!$A$35:$C$64,3,0)+0,0)))</f>
        <v>0</v>
      </c>
      <c r="BX96" s="55" t="n">
        <f aca="false">IF(AA96&lt;&gt;"",AA96,Z96)</f>
        <v>2</v>
      </c>
      <c r="BY96" s="55" t="str">
        <f aca="false">IF(BX96=1,"L1",IF(OR(BX96=2,BX96=3),"L23",IF(BX96="Aussen","Aussen","-")))</f>
        <v>L23</v>
      </c>
      <c r="BZ96" s="66" t="n">
        <f aca="false">IF(N(AB96)&gt;0,AB96,0)</f>
        <v>0</v>
      </c>
      <c r="CA96" s="60" t="n">
        <f aca="false">IF(ISNUMBER(AE96),1,0)</f>
        <v>0</v>
      </c>
      <c r="CB96" s="57" t="n">
        <f aca="false">N(AE96)</f>
        <v>0</v>
      </c>
      <c r="CC96" s="57" t="n">
        <f aca="false">N(M96)+N(N96)</f>
        <v>3968</v>
      </c>
      <c r="CD96" s="57" t="n">
        <f aca="false">ROUNDUP(H96/BS96,0)</f>
        <v>1</v>
      </c>
      <c r="CE96" s="57" t="n">
        <f aca="false">ROUNDUP(CB96/BS96,0)</f>
        <v>0</v>
      </c>
      <c r="CF96" s="60" t="n">
        <f aca="false">IF(BT96=1,0,IFERROR(VLOOKUP(BR96,'Gebinde-Kategorie'!$A$5:$M$45,5,0)+0,0))</f>
        <v>20</v>
      </c>
      <c r="CG96" s="60" t="n">
        <f aca="false">IFERROR(IF(OR(BX96=1,BX96=2,BX96=3),N(INDEX(Parameter!$I$5:$I$7,BX96)),0),0)</f>
        <v>0</v>
      </c>
      <c r="CH96" s="59" t="n">
        <f aca="false">IF(AND(Parameter!$B$21="Ja",ISNUMBER(W96),N(X96)&gt;0),IFERROR(N(INDEX(Parameter!$L$5:$L$7,W96))*INDEX(Parameter!$E$5:$E$7,W96)*X96/SUMIFS($X$7:$X$1843,$W$7:$W$1843,W96),0),0)</f>
        <v>0</v>
      </c>
    </row>
    <row r="97" customFormat="false" ht="15" hidden="false" customHeight="false" outlineLevel="0" collapsed="false">
      <c r="A97" s="55" t="s">
        <v>406</v>
      </c>
      <c r="B97" s="55" t="s">
        <v>407</v>
      </c>
      <c r="C97" s="55" t="s">
        <v>164</v>
      </c>
      <c r="D97" s="55" t="s">
        <v>184</v>
      </c>
      <c r="E97" s="55" t="s">
        <v>185</v>
      </c>
      <c r="F97" s="55" t="s">
        <v>218</v>
      </c>
      <c r="G97" s="56" t="n">
        <v>0.7</v>
      </c>
      <c r="H97" s="57" t="n">
        <f aca="false">MAX(0,IF(AND(Parameter!$B$21="Ja",ISNUMBER(Y97)),Y97,IF(Parameter!$B$20="Jahresanfang 2025 + Export",BL97+BK97,BK97)))</f>
        <v>8796</v>
      </c>
      <c r="I97" s="57" t="n">
        <f aca="false">H97*G97</f>
        <v>6157.2</v>
      </c>
      <c r="J97" s="57" t="n">
        <f aca="false">BN97*Parameter!$B$18</f>
        <v>7575</v>
      </c>
      <c r="K97" s="58" t="n">
        <v>4450</v>
      </c>
      <c r="L97" s="59" t="n">
        <v>1.70224719101124</v>
      </c>
      <c r="M97" s="57" t="n">
        <v>850</v>
      </c>
      <c r="N97" s="57" t="n">
        <v>2000</v>
      </c>
      <c r="O97" s="60" t="n">
        <v>147</v>
      </c>
      <c r="P97" s="55" t="s">
        <v>226</v>
      </c>
      <c r="Q97" s="57" t="n">
        <v>6979</v>
      </c>
      <c r="R97" s="60" t="n">
        <f aca="false">IF(BT97=1,0,IFERROR(VLOOKUP(BR97,'Gebinde-Kategorie'!$A$5:$M$45,13,0)+0,0))</f>
        <v>12</v>
      </c>
      <c r="S97" s="61"/>
      <c r="T97" s="62"/>
      <c r="U97" s="62"/>
      <c r="V97" s="62"/>
      <c r="W97" s="55"/>
      <c r="X97" s="57"/>
      <c r="Y97" s="57"/>
      <c r="Z97" s="55" t="n">
        <f aca="false">IF(A97="","",IF(AND(Parameter!$B$21="Ja",ISNUMBER(W97)),W97,IF(BV97="2+3",IF(ISNUMBER(SEARCH("grosser Artikel",BO97)),2,IFERROR(VLOOKUP(BR97,Parameter!$F$35:$G$64,2,0),2)),IF(OR(BV97="Nein",BV97=""),"-",BV97))))</f>
        <v>2</v>
      </c>
      <c r="AA97" s="62"/>
      <c r="AB97" s="63"/>
      <c r="AC97" s="57" t="n">
        <f aca="false">AR97</f>
        <v>6979</v>
      </c>
      <c r="AD97" s="57" t="n">
        <f aca="false">MAX(AR97,H97)</f>
        <v>8796</v>
      </c>
      <c r="AE97" s="64"/>
      <c r="AF97" s="57" t="n">
        <f aca="false">IF(LEFT(Cockpit!$C$5,1)="A",H97,IF(CA97=1,CB97,IF(LEFT(Cockpit!$C$5,1)="B",AJ97,MAX(AJ97,H97))))</f>
        <v>8796</v>
      </c>
      <c r="AG97" s="57" t="n">
        <f aca="false">IF(BT97=1,0,ROUNDUP(AF97/BS97,0))</f>
        <v>2</v>
      </c>
      <c r="AH97" s="59" t="n">
        <f aca="false">IF(CH97&gt;0,CH97*MAX(1,AF97/X97),IF(BT97=1,IF(AF97&lt;=0,0,BW97*MAX(1,IF(H97&gt;0,AF97/H97,1))),IF(R97&gt;0,AG97/R97,0))/MAX(0.1,N(Parameter!$M$21)))</f>
        <v>0.166666666666667</v>
      </c>
      <c r="AI97" s="57" t="n">
        <f aca="false">AF97*G97</f>
        <v>6157.2</v>
      </c>
      <c r="AJ97" s="57" t="n">
        <f aca="false">ROUNDUP(MAX(J97/IF(BZ97&gt;0,BZ97,MAX(0.1,N(Cockpit!$C$6))),CC97)/BS97,0)*BS97</f>
        <v>6979</v>
      </c>
      <c r="AK97" s="58" t="n">
        <f aca="false">IF(AH97&gt;0,J97/AH97,-1)</f>
        <v>45450</v>
      </c>
      <c r="AL97" s="58" t="n">
        <f aca="false">IF(AND(OR(BY97="L1",BY97="L23"),AH97&gt;0),SUMIFS($AH$7:$AH$1843,$BY$7:$BY$1843,BY97,$AK$7:$AK$1843,"&gt;"&amp;AK97)+SUMIFS($AH$7:$AH$1843,$BY$7:$BY$1843,BY97,$AK$7:$AK$1843,AK97,$BQ$7:$BQ$1843,"&lt;="&amp;BQ97),"")</f>
        <v>1.70082091821222</v>
      </c>
      <c r="AM97" s="65" t="n">
        <f aca="false">IF(AL97="",0,MAX(0,MIN(1,(IF(BY97="L1",Parameter!$E$5,Parameter!$E$6+Parameter!$E$7)-(AL97-AH97))/AH97)))</f>
        <v>1</v>
      </c>
      <c r="AN97" s="57" t="n">
        <f aca="false">IF(LEFT(Cockpit!$I$5,1)="A",H97,IF(CA97=1,CB97,IF(LEFT(Cockpit!$I$5,1)="B",AR97,MAX(AR97,H97))))</f>
        <v>8796</v>
      </c>
      <c r="AO97" s="57" t="n">
        <f aca="false">IF(BT97=1,0,ROUNDUP(AN97/BS97,0))</f>
        <v>2</v>
      </c>
      <c r="AP97" s="59" t="n">
        <f aca="false">IF(CH97&gt;0,CH97*MAX(1,AN97/X97),IF(BT97=1,IF(AN97&lt;=0,0,BW97*MAX(1,IF(H97&gt;0,AN97/H97,1))),IF(R97&gt;0,AO97/R97,0))/MAX(0.1,N(Parameter!$M$21)))</f>
        <v>0.166666666666667</v>
      </c>
      <c r="AQ97" s="57" t="n">
        <f aca="false">AN97*G97</f>
        <v>6157.2</v>
      </c>
      <c r="AR97" s="57" t="n">
        <f aca="false">ROUNDUP(MAX(J97/IF(BZ97&gt;0,BZ97,MAX(0.1,N(Cockpit!$I$6))),CC97)/BS97,0)*BS97</f>
        <v>6979</v>
      </c>
      <c r="AS97" s="58" t="n">
        <f aca="false">IF(AP97&gt;0,J97/AP97,-1)</f>
        <v>45450</v>
      </c>
      <c r="AT97" s="58" t="n">
        <f aca="false">IF(AND(OR(BY97="L1",BY97="L23"),AP97&gt;0),SUMIFS($AP$7:$AP$1843,$BY$7:$BY$1843,BY97,$AS$7:$AS$1843,"&gt;"&amp;AS97)+SUMIFS($AP$7:$AP$1843,$BY$7:$BY$1843,BY97,$AS$7:$AS$1843,AS97,$BQ$7:$BQ$1843,"&lt;="&amp;BQ97),"")</f>
        <v>1.73640248640249</v>
      </c>
      <c r="AU97" s="65" t="n">
        <f aca="false">IF(AT97="",0,MAX(0,MIN(1,(IF(BY97="L1",Parameter!$E$5,Parameter!$E$6+Parameter!$E$7)-(AT97-AP97))/AP97)))</f>
        <v>1</v>
      </c>
      <c r="AV97" s="57" t="n">
        <f aca="false">IF(LEFT(Cockpit!$O$5,1)="A",H97,IF(CA97=1,CB97,IF(LEFT(Cockpit!$O$5,1)="B",AZ97,MAX(AZ97,H97))))</f>
        <v>8796</v>
      </c>
      <c r="AW97" s="57" t="n">
        <f aca="false">IF(BT97=1,0,ROUNDUP(AV97/BS97,0))</f>
        <v>2</v>
      </c>
      <c r="AX97" s="59" t="n">
        <f aca="false">IF(CH97&gt;0,CH97*MAX(1,AV97/X97),IF(BT97=1,IF(AV97&lt;=0,0,BW97*MAX(1,IF(H97&gt;0,AV97/H97,1))),IF(R97&gt;0,AW97/R97,0))/MAX(0.1,N(Parameter!$M$21)))</f>
        <v>0.166666666666667</v>
      </c>
      <c r="AY97" s="57" t="n">
        <f aca="false">AV97*G97</f>
        <v>6157.2</v>
      </c>
      <c r="AZ97" s="57" t="n">
        <f aca="false">ROUNDUP(MAX(J97/IF(BZ97&gt;0,BZ97,MAX(0.1,N(Cockpit!$O$6))),CC97)/BS97,0)*BS97</f>
        <v>6979</v>
      </c>
      <c r="BA97" s="58" t="n">
        <f aca="false">IF(AX97&gt;0,J97/AX97,-1)</f>
        <v>45450</v>
      </c>
      <c r="BB97" s="58" t="n">
        <f aca="false">IF(AND(OR(BY97="L1",BY97="L23"),AX97&gt;0),SUMIFS($AX$7:$AX$1843,$BY$7:$BY$1843,BY97,$BA$7:$BA$1843,"&gt;"&amp;BA97)+SUMIFS($AX$7:$AX$1843,$BY$7:$BY$1843,BY97,$BA$7:$BA$1843,BA97,$BQ$7:$BQ$1843,"&lt;="&amp;BQ97),"")</f>
        <v>2.02719502719503</v>
      </c>
      <c r="BC97" s="65" t="n">
        <f aca="false">IF(BB97="",0,MAX(0,MIN(1,(IF(BY97="L1",Parameter!$E$5,Parameter!$E$6+Parameter!$E$7)-(BB97-AX97))/AX97)))</f>
        <v>1</v>
      </c>
      <c r="BD97" s="55" t="str">
        <f aca="false">IF(AH97&lt;=0,"",IF(BY97="Aussen","Aussenlager",IF(BY97="-","Nicht im Lift",IF(AM97&gt;=1,"Lift",IF(AM97&lt;=0,"Aussenlager","teilweise")))))</f>
        <v>Lift</v>
      </c>
      <c r="BE97" s="55" t="str">
        <f aca="false">IF(AP97&lt;=0,"",IF(BY97="Aussen","Aussenlager",IF(BY97="-","Nicht im Lift",IF(AU97&gt;=1,"Lift",IF(AU97&lt;=0,"Aussenlager","teilweise")))))</f>
        <v>Lift</v>
      </c>
      <c r="BF97" s="55" t="str">
        <f aca="false">IF(AX97&lt;=0,"",IF(BY97="Aussen","Aussenlager",IF(BY97="-","Nicht im Lift",IF(BC97&gt;=1,"Lift",IF(BC97&lt;=0,"Aussenlager","teilweise")))))</f>
        <v>Lift</v>
      </c>
      <c r="BG97" s="55" t="str">
        <f aca="false">IF(A97="","",IF(BP97=1,"Neu; ","")&amp;IF(AND(BP97=0,BK97&lt;0),"negativer Bestand (Export "&amp;BK97&amp;"); ","")&amp;IF(J97&lt;=0,"Kein Verbrauch; ","")&amp;IF(CH97&gt;0,"Lift "&amp;W97&amp;" lt. Liftbericht (Fach "&amp;X97&amp;" Stk); ",IF(BU97=1,"Gebinde geschätzt ("&amp;T97&amp;"); ",IF(BT97=1,"Lose – Tablare geschätzt; ","")))&amp;IF(H97&gt;AR97,"Überbestand "&amp;ROUND(H97-AR97,0)&amp;" Stk / CHF "&amp;ROUND((H97-AR97)*G97,0)&amp;"; ","")&amp;IF(AND(CA97=1,CB97&lt;CC97),"MAX &lt; MB+LG; ","")&amp;IF(AND(CG97&gt;0,CF97*10&gt;CG97),"zu hoch für Tablar; ","")&amp;IF(AND(BP97=0,OR(CA97=1,AA97&lt;&gt;"",U97&lt;&gt;"",V97&lt;&gt;"",AB97&lt;&gt;"")),"manuell übersteuert; ","")&amp;IF(AND(BT97=0,R97=0),"Gebinde unbekannt / Stellmass fehlt; ","")&amp;IF(AND(BT97=0,N(V97)&lt;=0,N(Q97)&lt;=0),"Menge pro Gebinde fehlt (Ist = 1 Gebinde); ","")&amp;BO97)</f>
        <v>Überbestand 1817 Stk / CHF 1272; </v>
      </c>
      <c r="BH97" s="55"/>
      <c r="BI97" s="55"/>
      <c r="BJ97" s="62"/>
      <c r="BK97" s="57" t="n">
        <v>2568</v>
      </c>
      <c r="BL97" s="57" t="n">
        <v>6228</v>
      </c>
      <c r="BM97" s="56" t="n">
        <v>2416.7</v>
      </c>
      <c r="BN97" s="57" t="n">
        <v>7575</v>
      </c>
      <c r="BO97" s="55"/>
      <c r="BP97" s="60" t="n">
        <v>0</v>
      </c>
      <c r="BQ97" s="60" t="n">
        <v>97</v>
      </c>
      <c r="BR97" s="55" t="str">
        <f aca="false">IF(U97&lt;&gt;"",UPPER(TRIM(U97)),IF(BU97=1,UPPER(VLOOKUP(T97,Parameter!$I$27:$K$29,2,0)),IF(P97="","LOSE",P97)))</f>
        <v>S63</v>
      </c>
      <c r="BS97" s="57" t="n">
        <f aca="false">IF(BR97="LOSE",1,IF(N(V97)&gt;0,V97,IF(BU97=1,MAX(1,N(VLOOKUP(T97,Parameter!$I$27:$K$29,3,0)),H97,N(N97)),IF(N(Q97)&gt;0,Q97,MAX(1,H97)))))</f>
        <v>6979</v>
      </c>
      <c r="BT97" s="60" t="n">
        <f aca="false">IF(BR97="LOSE",1,0)</f>
        <v>0</v>
      </c>
      <c r="BU97" s="60" t="n">
        <f aca="false">IF(AND(U97="",OR(P97="",P97="LOSE"),T97&lt;&gt;"",N(S97)&lt;=0,ISNUMBER(MATCH(T97,Parameter!$I$27:$I$29,0))),1,0)</f>
        <v>0</v>
      </c>
      <c r="BV97" s="55" t="str">
        <f aca="false">IF(AND(Parameter!$B$19="Ja",E97&lt;&gt;"",ISNUMBER(MATCH(E97,Parameter!$I$35:$I$52,0))),VLOOKUP(E97,Parameter!$I$35:$J$52,2,0),IFERROR(VLOOKUP(D97,Parameter!$A$35:$C$64,2,0),"Nein"))</f>
        <v>2+3</v>
      </c>
      <c r="BW97" s="59" t="n">
        <f aca="false">IF(BT97=0,0,IF(N(S97)&gt;0,S97,IFERROR(VLOOKUP(D97,Parameter!$A$35:$C$64,3,0)+0,0)))</f>
        <v>0</v>
      </c>
      <c r="BX97" s="55" t="n">
        <f aca="false">IF(AA97&lt;&gt;"",AA97,Z97)</f>
        <v>2</v>
      </c>
      <c r="BY97" s="55" t="str">
        <f aca="false">IF(BX97=1,"L1",IF(OR(BX97=2,BX97=3),"L23",IF(BX97="Aussen","Aussen","-")))</f>
        <v>L23</v>
      </c>
      <c r="BZ97" s="66" t="n">
        <f aca="false">IF(N(AB97)&gt;0,AB97,0)</f>
        <v>0</v>
      </c>
      <c r="CA97" s="60" t="n">
        <f aca="false">IF(ISNUMBER(AE97),1,0)</f>
        <v>0</v>
      </c>
      <c r="CB97" s="57" t="n">
        <f aca="false">N(AE97)</f>
        <v>0</v>
      </c>
      <c r="CC97" s="57" t="n">
        <f aca="false">N(M97)+N(N97)</f>
        <v>2850</v>
      </c>
      <c r="CD97" s="57" t="n">
        <f aca="false">ROUNDUP(H97/BS97,0)</f>
        <v>2</v>
      </c>
      <c r="CE97" s="57" t="n">
        <f aca="false">ROUNDUP(CB97/BS97,0)</f>
        <v>0</v>
      </c>
      <c r="CF97" s="60" t="n">
        <f aca="false">IF(BT97=1,0,IFERROR(VLOOKUP(BR97,'Gebinde-Kategorie'!$A$5:$M$45,5,0)+0,0))</f>
        <v>31</v>
      </c>
      <c r="CG97" s="60" t="n">
        <f aca="false">IFERROR(IF(OR(BX97=1,BX97=2,BX97=3),N(INDEX(Parameter!$I$5:$I$7,BX97)),0),0)</f>
        <v>0</v>
      </c>
      <c r="CH97" s="59" t="n">
        <f aca="false">IF(AND(Parameter!$B$21="Ja",ISNUMBER(W97),N(X97)&gt;0),IFERROR(N(INDEX(Parameter!$L$5:$L$7,W97))*INDEX(Parameter!$E$5:$E$7,W97)*X97/SUMIFS($X$7:$X$1843,$W$7:$W$1843,W97),0),0)</f>
        <v>0</v>
      </c>
    </row>
    <row r="98" customFormat="false" ht="15" hidden="false" customHeight="false" outlineLevel="0" collapsed="false">
      <c r="A98" s="55" t="s">
        <v>408</v>
      </c>
      <c r="B98" s="55" t="s">
        <v>409</v>
      </c>
      <c r="C98" s="55" t="s">
        <v>164</v>
      </c>
      <c r="D98" s="55" t="s">
        <v>184</v>
      </c>
      <c r="E98" s="55" t="s">
        <v>185</v>
      </c>
      <c r="F98" s="55" t="s">
        <v>218</v>
      </c>
      <c r="G98" s="56" t="n">
        <v>63</v>
      </c>
      <c r="H98" s="57" t="n">
        <f aca="false">MAX(0,IF(AND(Parameter!$B$21="Ja",ISNUMBER(Y98)),Y98,IF(Parameter!$B$20="Jahresanfang 2025 + Export",BL98+BK98,BK98)))</f>
        <v>51</v>
      </c>
      <c r="I98" s="57" t="n">
        <f aca="false">H98*G98</f>
        <v>3213</v>
      </c>
      <c r="J98" s="57" t="n">
        <f aca="false">BN98*Parameter!$B$18</f>
        <v>66</v>
      </c>
      <c r="K98" s="58" t="n">
        <v>29.5</v>
      </c>
      <c r="L98" s="59" t="n">
        <v>2.23728813559322</v>
      </c>
      <c r="M98" s="57" t="n">
        <v>5</v>
      </c>
      <c r="N98" s="57" t="n">
        <v>50</v>
      </c>
      <c r="O98" s="60" t="n">
        <v>28</v>
      </c>
      <c r="P98" s="55" t="s">
        <v>302</v>
      </c>
      <c r="Q98" s="57" t="n">
        <v>34</v>
      </c>
      <c r="R98" s="60" t="n">
        <f aca="false">IF(BT98=1,0,IFERROR(VLOOKUP(BR98,'Gebinde-Kategorie'!$A$5:$M$45,13,0)+0,0))</f>
        <v>26</v>
      </c>
      <c r="S98" s="61"/>
      <c r="T98" s="62"/>
      <c r="U98" s="62"/>
      <c r="V98" s="62"/>
      <c r="W98" s="55"/>
      <c r="X98" s="57"/>
      <c r="Y98" s="57"/>
      <c r="Z98" s="55" t="n">
        <f aca="false">IF(A98="","",IF(AND(Parameter!$B$21="Ja",ISNUMBER(W98)),W98,IF(BV98="2+3",IF(ISNUMBER(SEARCH("grosser Artikel",BO98)),2,IFERROR(VLOOKUP(BR98,Parameter!$F$35:$G$64,2,0),2)),IF(OR(BV98="Nein",BV98=""),"-",BV98))))</f>
        <v>3</v>
      </c>
      <c r="AA98" s="62"/>
      <c r="AB98" s="63"/>
      <c r="AC98" s="57" t="n">
        <f aca="false">AR98</f>
        <v>68</v>
      </c>
      <c r="AD98" s="57" t="n">
        <f aca="false">MAX(AR98,H98)</f>
        <v>68</v>
      </c>
      <c r="AE98" s="64"/>
      <c r="AF98" s="57" t="n">
        <f aca="false">IF(LEFT(Cockpit!$C$5,1)="A",H98,IF(CA98=1,CB98,IF(LEFT(Cockpit!$C$5,1)="B",AJ98,MAX(AJ98,H98))))</f>
        <v>51</v>
      </c>
      <c r="AG98" s="57" t="n">
        <f aca="false">IF(BT98=1,0,ROUNDUP(AF98/BS98,0))</f>
        <v>2</v>
      </c>
      <c r="AH98" s="59" t="n">
        <f aca="false">IF(CH98&gt;0,CH98*MAX(1,AF98/X98),IF(BT98=1,IF(AF98&lt;=0,0,BW98*MAX(1,IF(H98&gt;0,AF98/H98,1))),IF(R98&gt;0,AG98/R98,0))/MAX(0.1,N(Parameter!$M$21)))</f>
        <v>0.0769230769230769</v>
      </c>
      <c r="AI98" s="57" t="n">
        <f aca="false">AF98*G98</f>
        <v>3213</v>
      </c>
      <c r="AJ98" s="57" t="n">
        <f aca="false">ROUNDUP(MAX(J98/IF(BZ98&gt;0,BZ98,MAX(0.1,N(Cockpit!$C$6))),CC98)/BS98,0)*BS98</f>
        <v>68</v>
      </c>
      <c r="AK98" s="58" t="n">
        <f aca="false">IF(AH98&gt;0,J98/AH98,-1)</f>
        <v>858</v>
      </c>
      <c r="AL98" s="58" t="n">
        <f aca="false">IF(AND(OR(BY98="L1",BY98="L23"),AH98&gt;0),SUMIFS($AH$7:$AH$1843,$BY$7:$BY$1843,BY98,$AK$7:$AK$1843,"&gt;"&amp;AK98)+SUMIFS($AH$7:$AH$1843,$BY$7:$BY$1843,BY98,$AK$7:$AK$1843,AK98,$BQ$7:$BQ$1843,"&lt;="&amp;BQ98),"")</f>
        <v>20.5264349177393</v>
      </c>
      <c r="AM98" s="65" t="n">
        <f aca="false">IF(AL98="",0,MAX(0,MIN(1,(IF(BY98="L1",Parameter!$E$5,Parameter!$E$6+Parameter!$E$7)-(AL98-AH98))/AH98)))</f>
        <v>1</v>
      </c>
      <c r="AN98" s="57" t="n">
        <f aca="false">IF(LEFT(Cockpit!$I$5,1)="A",H98,IF(CA98=1,CB98,IF(LEFT(Cockpit!$I$5,1)="B",AR98,MAX(AR98,H98))))</f>
        <v>68</v>
      </c>
      <c r="AO98" s="57" t="n">
        <f aca="false">IF(BT98=1,0,ROUNDUP(AN98/BS98,0))</f>
        <v>2</v>
      </c>
      <c r="AP98" s="59" t="n">
        <f aca="false">IF(CH98&gt;0,CH98*MAX(1,AN98/X98),IF(BT98=1,IF(AN98&lt;=0,0,BW98*MAX(1,IF(H98&gt;0,AN98/H98,1))),IF(R98&gt;0,AO98/R98,0))/MAX(0.1,N(Parameter!$M$21)))</f>
        <v>0.0769230769230769</v>
      </c>
      <c r="AQ98" s="57" t="n">
        <f aca="false">AN98*G98</f>
        <v>4284</v>
      </c>
      <c r="AR98" s="57" t="n">
        <f aca="false">ROUNDUP(MAX(J98/IF(BZ98&gt;0,BZ98,MAX(0.1,N(Cockpit!$I$6))),CC98)/BS98,0)*BS98</f>
        <v>68</v>
      </c>
      <c r="AS98" s="58" t="n">
        <f aca="false">IF(AP98&gt;0,J98/AP98,-1)</f>
        <v>858</v>
      </c>
      <c r="AT98" s="58" t="n">
        <f aca="false">IF(AND(OR(BY98="L1",BY98="L23"),AP98&gt;0),SUMIFS($AP$7:$AP$1843,$BY$7:$BY$1843,BY98,$AS$7:$AS$1843,"&gt;"&amp;AS98)+SUMIFS($AP$7:$AP$1843,$BY$7:$BY$1843,BY98,$AS$7:$AS$1843,AS98,$BQ$7:$BQ$1843,"&lt;="&amp;BQ98),"")</f>
        <v>25.4670619235837</v>
      </c>
      <c r="AU98" s="65" t="n">
        <f aca="false">IF(AT98="",0,MAX(0,MIN(1,(IF(BY98="L1",Parameter!$E$5,Parameter!$E$6+Parameter!$E$7)-(AT98-AP98))/AP98)))</f>
        <v>1</v>
      </c>
      <c r="AV98" s="57" t="n">
        <f aca="false">IF(LEFT(Cockpit!$O$5,1)="A",H98,IF(CA98=1,CB98,IF(LEFT(Cockpit!$O$5,1)="B",AZ98,MAX(AZ98,H98))))</f>
        <v>68</v>
      </c>
      <c r="AW98" s="57" t="n">
        <f aca="false">IF(BT98=1,0,ROUNDUP(AV98/BS98,0))</f>
        <v>2</v>
      </c>
      <c r="AX98" s="59" t="n">
        <f aca="false">IF(CH98&gt;0,CH98*MAX(1,AV98/X98),IF(BT98=1,IF(AV98&lt;=0,0,BW98*MAX(1,IF(H98&gt;0,AV98/H98,1))),IF(R98&gt;0,AW98/R98,0))/MAX(0.1,N(Parameter!$M$21)))</f>
        <v>0.0769230769230769</v>
      </c>
      <c r="AY98" s="57" t="n">
        <f aca="false">AV98*G98</f>
        <v>4284</v>
      </c>
      <c r="AZ98" s="57" t="n">
        <f aca="false">ROUNDUP(MAX(J98/IF(BZ98&gt;0,BZ98,MAX(0.1,N(Cockpit!$O$6))),CC98)/BS98,0)*BS98</f>
        <v>68</v>
      </c>
      <c r="BA98" s="58" t="n">
        <f aca="false">IF(AX98&gt;0,J98/AX98,-1)</f>
        <v>858</v>
      </c>
      <c r="BB98" s="58" t="n">
        <f aca="false">IF(AND(OR(BY98="L1",BY98="L23"),AX98&gt;0),SUMIFS($AX$7:$AX$1843,$BY$7:$BY$1843,BY98,$BA$7:$BA$1843,"&gt;"&amp;BA98)+SUMIFS($AX$7:$AX$1843,$BY$7:$BY$1843,BY98,$BA$7:$BA$1843,BA98,$BQ$7:$BQ$1843,"&lt;="&amp;BQ98),"")</f>
        <v>25.585360291882</v>
      </c>
      <c r="BC98" s="65" t="n">
        <f aca="false">IF(BB98="",0,MAX(0,MIN(1,(IF(BY98="L1",Parameter!$E$5,Parameter!$E$6+Parameter!$E$7)-(BB98-AX98))/AX98)))</f>
        <v>1</v>
      </c>
      <c r="BD98" s="55" t="str">
        <f aca="false">IF(AH98&lt;=0,"",IF(BY98="Aussen","Aussenlager",IF(BY98="-","Nicht im Lift",IF(AM98&gt;=1,"Lift",IF(AM98&lt;=0,"Aussenlager","teilweise")))))</f>
        <v>Lift</v>
      </c>
      <c r="BE98" s="55" t="str">
        <f aca="false">IF(AP98&lt;=0,"",IF(BY98="Aussen","Aussenlager",IF(BY98="-","Nicht im Lift",IF(AU98&gt;=1,"Lift",IF(AU98&lt;=0,"Aussenlager","teilweise")))))</f>
        <v>Lift</v>
      </c>
      <c r="BF98" s="55" t="str">
        <f aca="false">IF(AX98&lt;=0,"",IF(BY98="Aussen","Aussenlager",IF(BY98="-","Nicht im Lift",IF(BC98&gt;=1,"Lift",IF(BC98&lt;=0,"Aussenlager","teilweise")))))</f>
        <v>Lift</v>
      </c>
      <c r="BG98" s="55" t="str">
        <f aca="false">IF(A98="","",IF(BP98=1,"Neu; ","")&amp;IF(AND(BP98=0,BK98&lt;0),"negativer Bestand (Export "&amp;BK98&amp;"); ","")&amp;IF(J98&lt;=0,"Kein Verbrauch; ","")&amp;IF(CH98&gt;0,"Lift "&amp;W98&amp;" lt. Liftbericht (Fach "&amp;X98&amp;" Stk); ",IF(BU98=1,"Gebinde geschätzt ("&amp;T98&amp;"); ",IF(BT98=1,"Lose – Tablare geschätzt; ","")))&amp;IF(H98&gt;AR98,"Überbestand "&amp;ROUND(H98-AR98,0)&amp;" Stk / CHF "&amp;ROUND((H98-AR98)*G98,0)&amp;"; ","")&amp;IF(AND(CA98=1,CB98&lt;CC98),"MAX &lt; MB+LG; ","")&amp;IF(AND(CG98&gt;0,CF98*10&gt;CG98),"zu hoch für Tablar; ","")&amp;IF(AND(BP98=0,OR(CA98=1,AA98&lt;&gt;"",U98&lt;&gt;"",V98&lt;&gt;"",AB98&lt;&gt;"")),"manuell übersteuert; ","")&amp;IF(AND(BT98=0,R98=0),"Gebinde unbekannt / Stellmass fehlt; ","")&amp;IF(AND(BT98=0,N(V98)&lt;=0,N(Q98)&lt;=0),"Menge pro Gebinde fehlt (Ist = 1 Gebinde); ","")&amp;BO98)</f>
        <v/>
      </c>
      <c r="BH98" s="55"/>
      <c r="BI98" s="55"/>
      <c r="BJ98" s="62"/>
      <c r="BK98" s="57" t="n">
        <v>38</v>
      </c>
      <c r="BL98" s="57" t="n">
        <v>13</v>
      </c>
      <c r="BM98" s="56" t="n">
        <v>2394.26</v>
      </c>
      <c r="BN98" s="57" t="n">
        <v>66</v>
      </c>
      <c r="BO98" s="55"/>
      <c r="BP98" s="60" t="n">
        <v>0</v>
      </c>
      <c r="BQ98" s="60" t="n">
        <v>98</v>
      </c>
      <c r="BR98" s="55" t="str">
        <f aca="false">IF(U98&lt;&gt;"",UPPER(TRIM(U98)),IF(BU98=1,UPPER(VLOOKUP(T98,Parameter!$I$27:$K$29,2,0)),IF(P98="","LOSE",P98)))</f>
        <v>S51</v>
      </c>
      <c r="BS98" s="57" t="n">
        <f aca="false">IF(BR98="LOSE",1,IF(N(V98)&gt;0,V98,IF(BU98=1,MAX(1,N(VLOOKUP(T98,Parameter!$I$27:$K$29,3,0)),H98,N(N98)),IF(N(Q98)&gt;0,Q98,MAX(1,H98)))))</f>
        <v>34</v>
      </c>
      <c r="BT98" s="60" t="n">
        <f aca="false">IF(BR98="LOSE",1,0)</f>
        <v>0</v>
      </c>
      <c r="BU98" s="60" t="n">
        <f aca="false">IF(AND(U98="",OR(P98="",P98="LOSE"),T98&lt;&gt;"",N(S98)&lt;=0,ISNUMBER(MATCH(T98,Parameter!$I$27:$I$29,0))),1,0)</f>
        <v>0</v>
      </c>
      <c r="BV98" s="55" t="str">
        <f aca="false">IF(AND(Parameter!$B$19="Ja",E98&lt;&gt;"",ISNUMBER(MATCH(E98,Parameter!$I$35:$I$52,0))),VLOOKUP(E98,Parameter!$I$35:$J$52,2,0),IFERROR(VLOOKUP(D98,Parameter!$A$35:$C$64,2,0),"Nein"))</f>
        <v>2+3</v>
      </c>
      <c r="BW98" s="59" t="n">
        <f aca="false">IF(BT98=0,0,IF(N(S98)&gt;0,S98,IFERROR(VLOOKUP(D98,Parameter!$A$35:$C$64,3,0)+0,0)))</f>
        <v>0</v>
      </c>
      <c r="BX98" s="55" t="n">
        <f aca="false">IF(AA98&lt;&gt;"",AA98,Z98)</f>
        <v>3</v>
      </c>
      <c r="BY98" s="55" t="str">
        <f aca="false">IF(BX98=1,"L1",IF(OR(BX98=2,BX98=3),"L23",IF(BX98="Aussen","Aussen","-")))</f>
        <v>L23</v>
      </c>
      <c r="BZ98" s="66" t="n">
        <f aca="false">IF(N(AB98)&gt;0,AB98,0)</f>
        <v>0</v>
      </c>
      <c r="CA98" s="60" t="n">
        <f aca="false">IF(ISNUMBER(AE98),1,0)</f>
        <v>0</v>
      </c>
      <c r="CB98" s="57" t="n">
        <f aca="false">N(AE98)</f>
        <v>0</v>
      </c>
      <c r="CC98" s="57" t="n">
        <f aca="false">N(M98)+N(N98)</f>
        <v>55</v>
      </c>
      <c r="CD98" s="57" t="n">
        <f aca="false">ROUNDUP(H98/BS98,0)</f>
        <v>2</v>
      </c>
      <c r="CE98" s="57" t="n">
        <f aca="false">ROUNDUP(CB98/BS98,0)</f>
        <v>0</v>
      </c>
      <c r="CF98" s="60" t="n">
        <f aca="false">IF(BT98=1,0,IFERROR(VLOOKUP(BR98,'Gebinde-Kategorie'!$A$5:$M$45,5,0)+0,0))</f>
        <v>11</v>
      </c>
      <c r="CG98" s="60" t="n">
        <f aca="false">IFERROR(IF(OR(BX98=1,BX98=2,BX98=3),N(INDEX(Parameter!$I$5:$I$7,BX98)),0),0)</f>
        <v>0</v>
      </c>
      <c r="CH98" s="59" t="n">
        <f aca="false">IF(AND(Parameter!$B$21="Ja",ISNUMBER(W98),N(X98)&gt;0),IFERROR(N(INDEX(Parameter!$L$5:$L$7,W98))*INDEX(Parameter!$E$5:$E$7,W98)*X98/SUMIFS($X$7:$X$1843,$W$7:$W$1843,W98),0),0)</f>
        <v>0</v>
      </c>
    </row>
    <row r="99" customFormat="false" ht="15" hidden="false" customHeight="false" outlineLevel="0" collapsed="false">
      <c r="A99" s="55" t="s">
        <v>410</v>
      </c>
      <c r="B99" s="55" t="s">
        <v>411</v>
      </c>
      <c r="C99" s="55" t="s">
        <v>164</v>
      </c>
      <c r="D99" s="55" t="s">
        <v>173</v>
      </c>
      <c r="E99" s="55" t="s">
        <v>185</v>
      </c>
      <c r="F99" s="55" t="s">
        <v>218</v>
      </c>
      <c r="G99" s="56" t="n">
        <v>198.42</v>
      </c>
      <c r="H99" s="57" t="n">
        <f aca="false">MAX(0,IF(AND(Parameter!$B$21="Ja",ISNUMBER(Y99)),Y99,IF(Parameter!$B$20="Jahresanfang 2025 + Export",BL99+BK99,BK99)))</f>
        <v>12</v>
      </c>
      <c r="I99" s="57" t="n">
        <f aca="false">H99*G99</f>
        <v>2381.04</v>
      </c>
      <c r="J99" s="57" t="n">
        <f aca="false">BN99*Parameter!$B$18</f>
        <v>24</v>
      </c>
      <c r="K99" s="58" t="n">
        <v>7</v>
      </c>
      <c r="L99" s="59" t="n">
        <v>3.42857142857143</v>
      </c>
      <c r="M99" s="57" t="n">
        <v>3</v>
      </c>
      <c r="N99" s="57" t="n">
        <v>15</v>
      </c>
      <c r="O99" s="60" t="n">
        <v>56</v>
      </c>
      <c r="P99" s="55" t="s">
        <v>302</v>
      </c>
      <c r="Q99" s="57" t="n">
        <v>12</v>
      </c>
      <c r="R99" s="60" t="n">
        <f aca="false">IF(BT99=1,0,IFERROR(VLOOKUP(BR99,'Gebinde-Kategorie'!$A$5:$M$45,13,0)+0,0))</f>
        <v>26</v>
      </c>
      <c r="S99" s="61"/>
      <c r="T99" s="62"/>
      <c r="U99" s="62"/>
      <c r="V99" s="62"/>
      <c r="W99" s="55"/>
      <c r="X99" s="57"/>
      <c r="Y99" s="57"/>
      <c r="Z99" s="55" t="n">
        <f aca="false">IF(A99="","",IF(AND(Parameter!$B$21="Ja",ISNUMBER(W99)),W99,IF(BV99="2+3",IF(ISNUMBER(SEARCH("grosser Artikel",BO99)),2,IFERROR(VLOOKUP(BR99,Parameter!$F$35:$G$64,2,0),2)),IF(OR(BV99="Nein",BV99=""),"-",BV99))))</f>
        <v>3</v>
      </c>
      <c r="AA99" s="62"/>
      <c r="AB99" s="63"/>
      <c r="AC99" s="57" t="n">
        <f aca="false">AR99</f>
        <v>24</v>
      </c>
      <c r="AD99" s="57" t="n">
        <f aca="false">MAX(AR99,H99)</f>
        <v>24</v>
      </c>
      <c r="AE99" s="64"/>
      <c r="AF99" s="57" t="n">
        <f aca="false">IF(LEFT(Cockpit!$C$5,1)="A",H99,IF(CA99=1,CB99,IF(LEFT(Cockpit!$C$5,1)="B",AJ99,MAX(AJ99,H99))))</f>
        <v>12</v>
      </c>
      <c r="AG99" s="57" t="n">
        <f aca="false">IF(BT99=1,0,ROUNDUP(AF99/BS99,0))</f>
        <v>1</v>
      </c>
      <c r="AH99" s="59" t="n">
        <f aca="false">IF(CH99&gt;0,CH99*MAX(1,AF99/X99),IF(BT99=1,IF(AF99&lt;=0,0,BW99*MAX(1,IF(H99&gt;0,AF99/H99,1))),IF(R99&gt;0,AG99/R99,0))/MAX(0.1,N(Parameter!$M$21)))</f>
        <v>0.0384615384615385</v>
      </c>
      <c r="AI99" s="57" t="n">
        <f aca="false">AF99*G99</f>
        <v>2381.04</v>
      </c>
      <c r="AJ99" s="57" t="n">
        <f aca="false">ROUNDUP(MAX(J99/IF(BZ99&gt;0,BZ99,MAX(0.1,N(Cockpit!$C$6))),CC99)/BS99,0)*BS99</f>
        <v>24</v>
      </c>
      <c r="AK99" s="58" t="n">
        <f aca="false">IF(AH99&gt;0,J99/AH99,-1)</f>
        <v>624</v>
      </c>
      <c r="AL99" s="58" t="n">
        <f aca="false">IF(AND(OR(BY99="L1",BY99="L23"),AH99&gt;0),SUMIFS($AH$7:$AH$1843,$BY$7:$BY$1843,BY99,$AK$7:$AK$1843,"&gt;"&amp;AK99)+SUMIFS($AH$7:$AH$1843,$BY$7:$BY$1843,BY99,$AK$7:$AK$1843,AK99,$BQ$7:$BQ$1843,"&lt;="&amp;BQ99),"")</f>
        <v>22.8078865578866</v>
      </c>
      <c r="AM99" s="65" t="n">
        <f aca="false">IF(AL99="",0,MAX(0,MIN(1,(IF(BY99="L1",Parameter!$E$5,Parameter!$E$6+Parameter!$E$7)-(AL99-AH99))/AH99)))</f>
        <v>1</v>
      </c>
      <c r="AN99" s="57" t="n">
        <f aca="false">IF(LEFT(Cockpit!$I$5,1)="A",H99,IF(CA99=1,CB99,IF(LEFT(Cockpit!$I$5,1)="B",AR99,MAX(AR99,H99))))</f>
        <v>24</v>
      </c>
      <c r="AO99" s="57" t="n">
        <f aca="false">IF(BT99=1,0,ROUNDUP(AN99/BS99,0))</f>
        <v>2</v>
      </c>
      <c r="AP99" s="59" t="n">
        <f aca="false">IF(CH99&gt;0,CH99*MAX(1,AN99/X99),IF(BT99=1,IF(AN99&lt;=0,0,BW99*MAX(1,IF(H99&gt;0,AN99/H99,1))),IF(R99&gt;0,AO99/R99,0))/MAX(0.1,N(Parameter!$M$21)))</f>
        <v>0.0769230769230769</v>
      </c>
      <c r="AQ99" s="57" t="n">
        <f aca="false">AN99*G99</f>
        <v>4762.08</v>
      </c>
      <c r="AR99" s="57" t="n">
        <f aca="false">ROUNDUP(MAX(J99/IF(BZ99&gt;0,BZ99,MAX(0.1,N(Cockpit!$I$6))),CC99)/BS99,0)*BS99</f>
        <v>24</v>
      </c>
      <c r="AS99" s="58" t="n">
        <f aca="false">IF(AP99&gt;0,J99/AP99,-1)</f>
        <v>312</v>
      </c>
      <c r="AT99" s="58" t="n">
        <f aca="false">IF(AND(OR(BY99="L1",BY99="L23"),AP99&gt;0),SUMIFS($AP$7:$AP$1843,$BY$7:$BY$1843,BY99,$AS$7:$AS$1843,"&gt;"&amp;AS99)+SUMIFS($AP$7:$AP$1843,$BY$7:$BY$1843,BY99,$AS$7:$AS$1843,AS99,$BQ$7:$BQ$1843,"&lt;="&amp;BQ99),"")</f>
        <v>40.7598814229249</v>
      </c>
      <c r="AU99" s="65" t="n">
        <f aca="false">IF(AT99="",0,MAX(0,MIN(1,(IF(BY99="L1",Parameter!$E$5,Parameter!$E$6+Parameter!$E$7)-(AT99-AP99))/AP99)))</f>
        <v>1</v>
      </c>
      <c r="AV99" s="57" t="n">
        <f aca="false">IF(LEFT(Cockpit!$O$5,1)="A",H99,IF(CA99=1,CB99,IF(LEFT(Cockpit!$O$5,1)="B",AZ99,MAX(AZ99,H99))))</f>
        <v>24</v>
      </c>
      <c r="AW99" s="57" t="n">
        <f aca="false">IF(BT99=1,0,ROUNDUP(AV99/BS99,0))</f>
        <v>2</v>
      </c>
      <c r="AX99" s="59" t="n">
        <f aca="false">IF(CH99&gt;0,CH99*MAX(1,AV99/X99),IF(BT99=1,IF(AV99&lt;=0,0,BW99*MAX(1,IF(H99&gt;0,AV99/H99,1))),IF(R99&gt;0,AW99/R99,0))/MAX(0.1,N(Parameter!$M$21)))</f>
        <v>0.0769230769230769</v>
      </c>
      <c r="AY99" s="57" t="n">
        <f aca="false">AV99*G99</f>
        <v>4762.08</v>
      </c>
      <c r="AZ99" s="57" t="n">
        <f aca="false">ROUNDUP(MAX(J99/IF(BZ99&gt;0,BZ99,MAX(0.1,N(Cockpit!$O$6))),CC99)/BS99,0)*BS99</f>
        <v>24</v>
      </c>
      <c r="BA99" s="58" t="n">
        <f aca="false">IF(AX99&gt;0,J99/AX99,-1)</f>
        <v>312</v>
      </c>
      <c r="BB99" s="58" t="n">
        <f aca="false">IF(AND(OR(BY99="L1",BY99="L23"),AX99&gt;0),SUMIFS($AX$7:$AX$1843,$BY$7:$BY$1843,BY99,$BA$7:$BA$1843,"&gt;"&amp;BA99)+SUMIFS($AX$7:$AX$1843,$BY$7:$BY$1843,BY99,$BA$7:$BA$1843,BA99,$BQ$7:$BQ$1843,"&lt;="&amp;BQ99),"")</f>
        <v>37.0897182527617</v>
      </c>
      <c r="BC99" s="65" t="n">
        <f aca="false">IF(BB99="",0,MAX(0,MIN(1,(IF(BY99="L1",Parameter!$E$5,Parameter!$E$6+Parameter!$E$7)-(BB99-AX99))/AX99)))</f>
        <v>1</v>
      </c>
      <c r="BD99" s="55" t="str">
        <f aca="false">IF(AH99&lt;=0,"",IF(BY99="Aussen","Aussenlager",IF(BY99="-","Nicht im Lift",IF(AM99&gt;=1,"Lift",IF(AM99&lt;=0,"Aussenlager","teilweise")))))</f>
        <v>Lift</v>
      </c>
      <c r="BE99" s="55" t="str">
        <f aca="false">IF(AP99&lt;=0,"",IF(BY99="Aussen","Aussenlager",IF(BY99="-","Nicht im Lift",IF(AU99&gt;=1,"Lift",IF(AU99&lt;=0,"Aussenlager","teilweise")))))</f>
        <v>Lift</v>
      </c>
      <c r="BF99" s="55" t="str">
        <f aca="false">IF(AX99&lt;=0,"",IF(BY99="Aussen","Aussenlager",IF(BY99="-","Nicht im Lift",IF(BC99&gt;=1,"Lift",IF(BC99&lt;=0,"Aussenlager","teilweise")))))</f>
        <v>Lift</v>
      </c>
      <c r="BG99" s="55" t="str">
        <f aca="false">IF(A99="","",IF(BP99=1,"Neu; ","")&amp;IF(AND(BP99=0,BK99&lt;0),"negativer Bestand (Export "&amp;BK99&amp;"); ","")&amp;IF(J99&lt;=0,"Kein Verbrauch; ","")&amp;IF(CH99&gt;0,"Lift "&amp;W99&amp;" lt. Liftbericht (Fach "&amp;X99&amp;" Stk); ",IF(BU99=1,"Gebinde geschätzt ("&amp;T99&amp;"); ",IF(BT99=1,"Lose – Tablare geschätzt; ","")))&amp;IF(H99&gt;AR99,"Überbestand "&amp;ROUND(H99-AR99,0)&amp;" Stk / CHF "&amp;ROUND((H99-AR99)*G99,0)&amp;"; ","")&amp;IF(AND(CA99=1,CB99&lt;CC99),"MAX &lt; MB+LG; ","")&amp;IF(AND(CG99&gt;0,CF99*10&gt;CG99),"zu hoch für Tablar; ","")&amp;IF(AND(BP99=0,OR(CA99=1,AA99&lt;&gt;"",U99&lt;&gt;"",V99&lt;&gt;"",AB99&lt;&gt;"")),"manuell übersteuert; ","")&amp;IF(AND(BT99=0,R99=0),"Gebinde unbekannt / Stellmass fehlt; ","")&amp;IF(AND(BT99=0,N(V99)&lt;=0,N(Q99)&lt;=0),"Menge pro Gebinde fehlt (Ist = 1 Gebinde); ","")&amp;BO99)</f>
        <v/>
      </c>
      <c r="BH99" s="55"/>
      <c r="BI99" s="55"/>
      <c r="BJ99" s="62"/>
      <c r="BK99" s="57" t="n">
        <v>12</v>
      </c>
      <c r="BL99" s="57" t="n">
        <v>0</v>
      </c>
      <c r="BM99" s="56" t="n">
        <v>2381.04</v>
      </c>
      <c r="BN99" s="57" t="n">
        <v>24</v>
      </c>
      <c r="BO99" s="55"/>
      <c r="BP99" s="60" t="n">
        <v>0</v>
      </c>
      <c r="BQ99" s="60" t="n">
        <v>99</v>
      </c>
      <c r="BR99" s="55" t="str">
        <f aca="false">IF(U99&lt;&gt;"",UPPER(TRIM(U99)),IF(BU99=1,UPPER(VLOOKUP(T99,Parameter!$I$27:$K$29,2,0)),IF(P99="","LOSE",P99)))</f>
        <v>S51</v>
      </c>
      <c r="BS99" s="57" t="n">
        <f aca="false">IF(BR99="LOSE",1,IF(N(V99)&gt;0,V99,IF(BU99=1,MAX(1,N(VLOOKUP(T99,Parameter!$I$27:$K$29,3,0)),H99,N(N99)),IF(N(Q99)&gt;0,Q99,MAX(1,H99)))))</f>
        <v>12</v>
      </c>
      <c r="BT99" s="60" t="n">
        <f aca="false">IF(BR99="LOSE",1,0)</f>
        <v>0</v>
      </c>
      <c r="BU99" s="60" t="n">
        <f aca="false">IF(AND(U99="",OR(P99="",P99="LOSE"),T99&lt;&gt;"",N(S99)&lt;=0,ISNUMBER(MATCH(T99,Parameter!$I$27:$I$29,0))),1,0)</f>
        <v>0</v>
      </c>
      <c r="BV99" s="55" t="str">
        <f aca="false">IF(AND(Parameter!$B$19="Ja",E99&lt;&gt;"",ISNUMBER(MATCH(E99,Parameter!$I$35:$I$52,0))),VLOOKUP(E99,Parameter!$I$35:$J$52,2,0),IFERROR(VLOOKUP(D99,Parameter!$A$35:$C$64,2,0),"Nein"))</f>
        <v>2+3</v>
      </c>
      <c r="BW99" s="59" t="n">
        <f aca="false">IF(BT99=0,0,IF(N(S99)&gt;0,S99,IFERROR(VLOOKUP(D99,Parameter!$A$35:$C$64,3,0)+0,0)))</f>
        <v>0</v>
      </c>
      <c r="BX99" s="55" t="n">
        <f aca="false">IF(AA99&lt;&gt;"",AA99,Z99)</f>
        <v>3</v>
      </c>
      <c r="BY99" s="55" t="str">
        <f aca="false">IF(BX99=1,"L1",IF(OR(BX99=2,BX99=3),"L23",IF(BX99="Aussen","Aussen","-")))</f>
        <v>L23</v>
      </c>
      <c r="BZ99" s="66" t="n">
        <f aca="false">IF(N(AB99)&gt;0,AB99,0)</f>
        <v>0</v>
      </c>
      <c r="CA99" s="60" t="n">
        <f aca="false">IF(ISNUMBER(AE99),1,0)</f>
        <v>0</v>
      </c>
      <c r="CB99" s="57" t="n">
        <f aca="false">N(AE99)</f>
        <v>0</v>
      </c>
      <c r="CC99" s="57" t="n">
        <f aca="false">N(M99)+N(N99)</f>
        <v>18</v>
      </c>
      <c r="CD99" s="57" t="n">
        <f aca="false">ROUNDUP(H99/BS99,0)</f>
        <v>1</v>
      </c>
      <c r="CE99" s="57" t="n">
        <f aca="false">ROUNDUP(CB99/BS99,0)</f>
        <v>0</v>
      </c>
      <c r="CF99" s="60" t="n">
        <f aca="false">IF(BT99=1,0,IFERROR(VLOOKUP(BR99,'Gebinde-Kategorie'!$A$5:$M$45,5,0)+0,0))</f>
        <v>11</v>
      </c>
      <c r="CG99" s="60" t="n">
        <f aca="false">IFERROR(IF(OR(BX99=1,BX99=2,BX99=3),N(INDEX(Parameter!$I$5:$I$7,BX99)),0),0)</f>
        <v>0</v>
      </c>
      <c r="CH99" s="59" t="n">
        <f aca="false">IF(AND(Parameter!$B$21="Ja",ISNUMBER(W99),N(X99)&gt;0),IFERROR(N(INDEX(Parameter!$L$5:$L$7,W99))*INDEX(Parameter!$E$5:$E$7,W99)*X99/SUMIFS($X$7:$X$1843,$W$7:$W$1843,W99),0),0)</f>
        <v>0</v>
      </c>
    </row>
    <row r="100" customFormat="false" ht="15" hidden="false" customHeight="false" outlineLevel="0" collapsed="false">
      <c r="A100" s="55" t="s">
        <v>412</v>
      </c>
      <c r="B100" s="55" t="s">
        <v>413</v>
      </c>
      <c r="C100" s="55" t="s">
        <v>164</v>
      </c>
      <c r="D100" s="55" t="s">
        <v>173</v>
      </c>
      <c r="E100" s="55" t="s">
        <v>166</v>
      </c>
      <c r="F100" s="55" t="s">
        <v>218</v>
      </c>
      <c r="G100" s="56" t="n">
        <v>354.44</v>
      </c>
      <c r="H100" s="57" t="n">
        <f aca="false">MAX(0,IF(AND(Parameter!$B$21="Ja",ISNUMBER(Y100)),Y100,IF(Parameter!$B$20="Jahresanfang 2025 + Export",BL100+BK100,BK100)))</f>
        <v>25</v>
      </c>
      <c r="I100" s="57" t="n">
        <f aca="false">H100*G100</f>
        <v>8861</v>
      </c>
      <c r="J100" s="57" t="n">
        <f aca="false">BN100*Parameter!$B$18</f>
        <v>177</v>
      </c>
      <c r="K100" s="58" t="n">
        <v>52.5</v>
      </c>
      <c r="L100" s="59" t="n">
        <v>3.37142857142857</v>
      </c>
      <c r="M100" s="57" t="n">
        <v>20</v>
      </c>
      <c r="N100" s="57" t="n">
        <v>35</v>
      </c>
      <c r="O100" s="60" t="n">
        <v>84</v>
      </c>
      <c r="P100" s="55" t="s">
        <v>259</v>
      </c>
      <c r="Q100" s="57" t="n">
        <v>20</v>
      </c>
      <c r="R100" s="60" t="n">
        <f aca="false">IF(BT100=1,0,IFERROR(VLOOKUP(BR100,'Gebinde-Kategorie'!$A$5:$M$45,13,0)+0,0))</f>
        <v>6</v>
      </c>
      <c r="S100" s="61"/>
      <c r="T100" s="62"/>
      <c r="U100" s="62"/>
      <c r="V100" s="62"/>
      <c r="W100" s="55"/>
      <c r="X100" s="57"/>
      <c r="Y100" s="57"/>
      <c r="Z100" s="55" t="n">
        <f aca="false">IF(A100="","",IF(AND(Parameter!$B$21="Ja",ISNUMBER(W100)),W100,IF(BV100="2+3",IF(ISNUMBER(SEARCH("grosser Artikel",BO100)),2,IFERROR(VLOOKUP(BR100,Parameter!$F$35:$G$64,2,0),2)),IF(OR(BV100="Nein",BV100=""),"-",BV100))))</f>
        <v>1</v>
      </c>
      <c r="AA100" s="62"/>
      <c r="AB100" s="63"/>
      <c r="AC100" s="57" t="n">
        <f aca="false">AR100</f>
        <v>100</v>
      </c>
      <c r="AD100" s="57" t="n">
        <f aca="false">MAX(AR100,H100)</f>
        <v>100</v>
      </c>
      <c r="AE100" s="64"/>
      <c r="AF100" s="57" t="n">
        <f aca="false">IF(LEFT(Cockpit!$C$5,1)="A",H100,IF(CA100=1,CB100,IF(LEFT(Cockpit!$C$5,1)="B",AJ100,MAX(AJ100,H100))))</f>
        <v>25</v>
      </c>
      <c r="AG100" s="57" t="n">
        <f aca="false">IF(BT100=1,0,ROUNDUP(AF100/BS100,0))</f>
        <v>2</v>
      </c>
      <c r="AH100" s="59" t="n">
        <f aca="false">IF(CH100&gt;0,CH100*MAX(1,AF100/X100),IF(BT100=1,IF(AF100&lt;=0,0,BW100*MAX(1,IF(H100&gt;0,AF100/H100,1))),IF(R100&gt;0,AG100/R100,0))/MAX(0.1,N(Parameter!$M$21)))</f>
        <v>0.333333333333333</v>
      </c>
      <c r="AI100" s="57" t="n">
        <f aca="false">AF100*G100</f>
        <v>8861</v>
      </c>
      <c r="AJ100" s="57" t="n">
        <f aca="false">ROUNDUP(MAX(J100/IF(BZ100&gt;0,BZ100,MAX(0.1,N(Cockpit!$C$6))),CC100)/BS100,0)*BS100</f>
        <v>100</v>
      </c>
      <c r="AK100" s="58" t="n">
        <f aca="false">IF(AH100&gt;0,J100/AH100,-1)</f>
        <v>531</v>
      </c>
      <c r="AL100" s="58" t="n">
        <f aca="false">IF(AND(OR(BY100="L1",BY100="L23"),AH100&gt;0),SUMIFS($AH$7:$AH$1843,$BY$7:$BY$1843,BY100,$AK$7:$AK$1843,"&gt;"&amp;AK100)+SUMIFS($AH$7:$AH$1843,$BY$7:$BY$1843,BY100,$AK$7:$AK$1843,AK100,$BQ$7:$BQ$1843,"&lt;="&amp;BQ100),"")</f>
        <v>1.167502787068</v>
      </c>
      <c r="AM100" s="65" t="n">
        <f aca="false">IF(AL100="",0,MAX(0,MIN(1,(IF(BY100="L1",Parameter!$E$5,Parameter!$E$6+Parameter!$E$7)-(AL100-AH100))/AH100)))</f>
        <v>1</v>
      </c>
      <c r="AN100" s="57" t="n">
        <f aca="false">IF(LEFT(Cockpit!$I$5,1)="A",H100,IF(CA100=1,CB100,IF(LEFT(Cockpit!$I$5,1)="B",AR100,MAX(AR100,H100))))</f>
        <v>100</v>
      </c>
      <c r="AO100" s="57" t="n">
        <f aca="false">IF(BT100=1,0,ROUNDUP(AN100/BS100,0))</f>
        <v>5</v>
      </c>
      <c r="AP100" s="59" t="n">
        <f aca="false">IF(CH100&gt;0,CH100*MAX(1,AN100/X100),IF(BT100=1,IF(AN100&lt;=0,0,BW100*MAX(1,IF(H100&gt;0,AN100/H100,1))),IF(R100&gt;0,AO100/R100,0))/MAX(0.1,N(Parameter!$M$21)))</f>
        <v>0.833333333333333</v>
      </c>
      <c r="AQ100" s="57" t="n">
        <f aca="false">AN100*G100</f>
        <v>35444</v>
      </c>
      <c r="AR100" s="57" t="n">
        <f aca="false">ROUNDUP(MAX(J100/IF(BZ100&gt;0,BZ100,MAX(0.1,N(Cockpit!$I$6))),CC100)/BS100,0)*BS100</f>
        <v>100</v>
      </c>
      <c r="AS100" s="58" t="n">
        <f aca="false">IF(AP100&gt;0,J100/AP100,-1)</f>
        <v>212.4</v>
      </c>
      <c r="AT100" s="58" t="n">
        <f aca="false">IF(AND(OR(BY100="L1",BY100="L23"),AP100&gt;0),SUMIFS($AP$7:$AP$1843,$BY$7:$BY$1843,BY100,$AS$7:$AS$1843,"&gt;"&amp;AS100)+SUMIFS($AP$7:$AP$1843,$BY$7:$BY$1843,BY100,$AS$7:$AS$1843,AS100,$BQ$7:$BQ$1843,"&lt;="&amp;BQ100),"")</f>
        <v>3.16109253065775</v>
      </c>
      <c r="AU100" s="65" t="n">
        <f aca="false">IF(AT100="",0,MAX(0,MIN(1,(IF(BY100="L1",Parameter!$E$5,Parameter!$E$6+Parameter!$E$7)-(AT100-AP100))/AP100)))</f>
        <v>1</v>
      </c>
      <c r="AV100" s="57" t="n">
        <f aca="false">IF(LEFT(Cockpit!$O$5,1)="A",H100,IF(CA100=1,CB100,IF(LEFT(Cockpit!$O$5,1)="B",AZ100,MAX(AZ100,H100))))</f>
        <v>60</v>
      </c>
      <c r="AW100" s="57" t="n">
        <f aca="false">IF(BT100=1,0,ROUNDUP(AV100/BS100,0))</f>
        <v>3</v>
      </c>
      <c r="AX100" s="59" t="n">
        <f aca="false">IF(CH100&gt;0,CH100*MAX(1,AV100/X100),IF(BT100=1,IF(AV100&lt;=0,0,BW100*MAX(1,IF(H100&gt;0,AV100/H100,1))),IF(R100&gt;0,AW100/R100,0))/MAX(0.1,N(Parameter!$M$21)))</f>
        <v>0.5</v>
      </c>
      <c r="AY100" s="57" t="n">
        <f aca="false">AV100*G100</f>
        <v>21266.4</v>
      </c>
      <c r="AZ100" s="57" t="n">
        <f aca="false">ROUNDUP(MAX(J100/IF(BZ100&gt;0,BZ100,MAX(0.1,N(Cockpit!$O$6))),CC100)/BS100,0)*BS100</f>
        <v>60</v>
      </c>
      <c r="BA100" s="58" t="n">
        <f aca="false">IF(AX100&gt;0,J100/AX100,-1)</f>
        <v>354</v>
      </c>
      <c r="BB100" s="58" t="n">
        <f aca="false">IF(AND(OR(BY100="L1",BY100="L23"),AX100&gt;0),SUMIFS($AX$7:$AX$1843,$BY$7:$BY$1843,BY100,$BA$7:$BA$1843,"&gt;"&amp;BA100)+SUMIFS($AX$7:$AX$1843,$BY$7:$BY$1843,BY100,$BA$7:$BA$1843,BA100,$BQ$7:$BQ$1843,"&lt;="&amp;BQ100),"")</f>
        <v>1.83416945373467</v>
      </c>
      <c r="BC100" s="65" t="n">
        <f aca="false">IF(BB100="",0,MAX(0,MIN(1,(IF(BY100="L1",Parameter!$E$5,Parameter!$E$6+Parameter!$E$7)-(BB100-AX100))/AX100)))</f>
        <v>1</v>
      </c>
      <c r="BD100" s="55" t="str">
        <f aca="false">IF(AH100&lt;=0,"",IF(BY100="Aussen","Aussenlager",IF(BY100="-","Nicht im Lift",IF(AM100&gt;=1,"Lift",IF(AM100&lt;=0,"Aussenlager","teilweise")))))</f>
        <v>Lift</v>
      </c>
      <c r="BE100" s="55" t="str">
        <f aca="false">IF(AP100&lt;=0,"",IF(BY100="Aussen","Aussenlager",IF(BY100="-","Nicht im Lift",IF(AU100&gt;=1,"Lift",IF(AU100&lt;=0,"Aussenlager","teilweise")))))</f>
        <v>Lift</v>
      </c>
      <c r="BF100" s="55" t="str">
        <f aca="false">IF(AX100&lt;=0,"",IF(BY100="Aussen","Aussenlager",IF(BY100="-","Nicht im Lift",IF(BC100&gt;=1,"Lift",IF(BC100&lt;=0,"Aussenlager","teilweise")))))</f>
        <v>Lift</v>
      </c>
      <c r="BG100" s="55" t="str">
        <f aca="false">IF(A100="","",IF(BP100=1,"Neu; ","")&amp;IF(AND(BP100=0,BK100&lt;0),"negativer Bestand (Export "&amp;BK100&amp;"); ","")&amp;IF(J100&lt;=0,"Kein Verbrauch; ","")&amp;IF(CH100&gt;0,"Lift "&amp;W100&amp;" lt. Liftbericht (Fach "&amp;X100&amp;" Stk); ",IF(BU100=1,"Gebinde geschätzt ("&amp;T100&amp;"); ",IF(BT100=1,"Lose – Tablare geschätzt; ","")))&amp;IF(H100&gt;AR100,"Überbestand "&amp;ROUND(H100-AR100,0)&amp;" Stk / CHF "&amp;ROUND((H100-AR100)*G100,0)&amp;"; ","")&amp;IF(AND(CA100=1,CB100&lt;CC100),"MAX &lt; MB+LG; ","")&amp;IF(AND(CG100&gt;0,CF100*10&gt;CG100),"zu hoch für Tablar; ","")&amp;IF(AND(BP100=0,OR(CA100=1,AA100&lt;&gt;"",U100&lt;&gt;"",V100&lt;&gt;"",AB100&lt;&gt;"")),"manuell übersteuert; ","")&amp;IF(AND(BT100=0,R100=0),"Gebinde unbekannt / Stellmass fehlt; ","")&amp;IF(AND(BT100=0,N(V100)&lt;=0,N(Q100)&lt;=0),"Menge pro Gebinde fehlt (Ist = 1 Gebinde); ","")&amp;BO100)</f>
        <v/>
      </c>
      <c r="BH100" s="55"/>
      <c r="BI100" s="55"/>
      <c r="BJ100" s="62"/>
      <c r="BK100" s="57" t="n">
        <v>5</v>
      </c>
      <c r="BL100" s="57" t="n">
        <v>20</v>
      </c>
      <c r="BM100" s="56" t="n">
        <v>2352.15000000003</v>
      </c>
      <c r="BN100" s="57" t="n">
        <v>177</v>
      </c>
      <c r="BO100" s="55"/>
      <c r="BP100" s="60" t="n">
        <v>0</v>
      </c>
      <c r="BQ100" s="60" t="n">
        <v>100</v>
      </c>
      <c r="BR100" s="55" t="str">
        <f aca="false">IF(U100&lt;&gt;"",UPPER(TRIM(U100)),IF(BU100=1,UPPER(VLOOKUP(T100,Parameter!$I$27:$K$29,2,0)),IF(P100="","LOSE",P100)))</f>
        <v>S72</v>
      </c>
      <c r="BS100" s="57" t="n">
        <f aca="false">IF(BR100="LOSE",1,IF(N(V100)&gt;0,V100,IF(BU100=1,MAX(1,N(VLOOKUP(T100,Parameter!$I$27:$K$29,3,0)),H100,N(N100)),IF(N(Q100)&gt;0,Q100,MAX(1,H100)))))</f>
        <v>20</v>
      </c>
      <c r="BT100" s="60" t="n">
        <f aca="false">IF(BR100="LOSE",1,0)</f>
        <v>0</v>
      </c>
      <c r="BU100" s="60" t="n">
        <f aca="false">IF(AND(U100="",OR(P100="",P100="LOSE"),T100&lt;&gt;"",N(S100)&lt;=0,ISNUMBER(MATCH(T100,Parameter!$I$27:$I$29,0))),1,0)</f>
        <v>0</v>
      </c>
      <c r="BV100" s="55" t="n">
        <f aca="false">IF(AND(Parameter!$B$19="Ja",E100&lt;&gt;"",ISNUMBER(MATCH(E100,Parameter!$I$35:$I$52,0))),VLOOKUP(E100,Parameter!$I$35:$J$52,2,0),IFERROR(VLOOKUP(D100,Parameter!$A$35:$C$64,2,0),"Nein"))</f>
        <v>1</v>
      </c>
      <c r="BW100" s="59" t="n">
        <f aca="false">IF(BT100=0,0,IF(N(S100)&gt;0,S100,IFERROR(VLOOKUP(D100,Parameter!$A$35:$C$64,3,0)+0,0)))</f>
        <v>0</v>
      </c>
      <c r="BX100" s="55" t="n">
        <f aca="false">IF(AA100&lt;&gt;"",AA100,Z100)</f>
        <v>1</v>
      </c>
      <c r="BY100" s="55" t="str">
        <f aca="false">IF(BX100=1,"L1",IF(OR(BX100=2,BX100=3),"L23",IF(BX100="Aussen","Aussen","-")))</f>
        <v>L1</v>
      </c>
      <c r="BZ100" s="66" t="n">
        <f aca="false">IF(N(AB100)&gt;0,AB100,0)</f>
        <v>0</v>
      </c>
      <c r="CA100" s="60" t="n">
        <f aca="false">IF(ISNUMBER(AE100),1,0)</f>
        <v>0</v>
      </c>
      <c r="CB100" s="57" t="n">
        <f aca="false">N(AE100)</f>
        <v>0</v>
      </c>
      <c r="CC100" s="57" t="n">
        <f aca="false">N(M100)+N(N100)</f>
        <v>55</v>
      </c>
      <c r="CD100" s="57" t="n">
        <f aca="false">ROUNDUP(H100/BS100,0)</f>
        <v>2</v>
      </c>
      <c r="CE100" s="57" t="n">
        <f aca="false">ROUNDUP(CB100/BS100,0)</f>
        <v>0</v>
      </c>
      <c r="CF100" s="60" t="n">
        <f aca="false">IF(BT100=1,0,IFERROR(VLOOKUP(BR100,'Gebinde-Kategorie'!$A$5:$M$45,5,0)+0,0))</f>
        <v>40</v>
      </c>
      <c r="CG100" s="60" t="n">
        <f aca="false">IFERROR(IF(OR(BX100=1,BX100=2,BX100=3),N(INDEX(Parameter!$I$5:$I$7,BX100)),0),0)</f>
        <v>0</v>
      </c>
      <c r="CH100" s="59" t="n">
        <f aca="false">IF(AND(Parameter!$B$21="Ja",ISNUMBER(W100),N(X100)&gt;0),IFERROR(N(INDEX(Parameter!$L$5:$L$7,W100))*INDEX(Parameter!$E$5:$E$7,W100)*X100/SUMIFS($X$7:$X$1843,$W$7:$W$1843,W100),0),0)</f>
        <v>0</v>
      </c>
    </row>
    <row r="101" customFormat="false" ht="15" hidden="false" customHeight="false" outlineLevel="0" collapsed="false">
      <c r="A101" s="55" t="s">
        <v>414</v>
      </c>
      <c r="B101" s="55" t="s">
        <v>415</v>
      </c>
      <c r="C101" s="55" t="s">
        <v>164</v>
      </c>
      <c r="D101" s="55" t="s">
        <v>184</v>
      </c>
      <c r="E101" s="55"/>
      <c r="F101" s="55" t="s">
        <v>218</v>
      </c>
      <c r="G101" s="56" t="n">
        <v>167.07</v>
      </c>
      <c r="H101" s="57" t="n">
        <f aca="false">MAX(0,IF(AND(Parameter!$B$21="Ja",ISNUMBER(Y101)),Y101,IF(Parameter!$B$20="Jahresanfang 2025 + Export",BL101+BK101,BK101)))</f>
        <v>14</v>
      </c>
      <c r="I101" s="57" t="n">
        <f aca="false">H101*G101</f>
        <v>2338.98</v>
      </c>
      <c r="J101" s="57" t="n">
        <f aca="false">BN101*Parameter!$B$18</f>
        <v>6</v>
      </c>
      <c r="K101" s="58" t="n">
        <v>0</v>
      </c>
      <c r="L101" s="59" t="n">
        <v>0</v>
      </c>
      <c r="M101" s="57" t="n">
        <v>0</v>
      </c>
      <c r="N101" s="57" t="n">
        <v>5</v>
      </c>
      <c r="O101" s="60" t="n">
        <v>28</v>
      </c>
      <c r="P101" s="55" t="s">
        <v>302</v>
      </c>
      <c r="Q101" s="57" t="n">
        <v>5</v>
      </c>
      <c r="R101" s="60" t="n">
        <f aca="false">IF(BT101=1,0,IFERROR(VLOOKUP(BR101,'Gebinde-Kategorie'!$A$5:$M$45,13,0)+0,0))</f>
        <v>26</v>
      </c>
      <c r="S101" s="61"/>
      <c r="T101" s="62"/>
      <c r="U101" s="62"/>
      <c r="V101" s="62"/>
      <c r="W101" s="55"/>
      <c r="X101" s="57"/>
      <c r="Y101" s="57"/>
      <c r="Z101" s="55" t="n">
        <f aca="false">IF(A101="","",IF(AND(Parameter!$B$21="Ja",ISNUMBER(W101)),W101,IF(BV101="2+3",IF(ISNUMBER(SEARCH("grosser Artikel",BO101)),2,IFERROR(VLOOKUP(BR101,Parameter!$F$35:$G$64,2,0),2)),IF(OR(BV101="Nein",BV101=""),"-",BV101))))</f>
        <v>3</v>
      </c>
      <c r="AA101" s="62"/>
      <c r="AB101" s="63"/>
      <c r="AC101" s="57" t="n">
        <f aca="false">AR101</f>
        <v>5</v>
      </c>
      <c r="AD101" s="57" t="n">
        <f aca="false">MAX(AR101,H101)</f>
        <v>14</v>
      </c>
      <c r="AE101" s="64"/>
      <c r="AF101" s="57" t="n">
        <f aca="false">IF(LEFT(Cockpit!$C$5,1)="A",H101,IF(CA101=1,CB101,IF(LEFT(Cockpit!$C$5,1)="B",AJ101,MAX(AJ101,H101))))</f>
        <v>14</v>
      </c>
      <c r="AG101" s="57" t="n">
        <f aca="false">IF(BT101=1,0,ROUNDUP(AF101/BS101,0))</f>
        <v>3</v>
      </c>
      <c r="AH101" s="59" t="n">
        <f aca="false">IF(CH101&gt;0,CH101*MAX(1,AF101/X101),IF(BT101=1,IF(AF101&lt;=0,0,BW101*MAX(1,IF(H101&gt;0,AF101/H101,1))),IF(R101&gt;0,AG101/R101,0))/MAX(0.1,N(Parameter!$M$21)))</f>
        <v>0.115384615384615</v>
      </c>
      <c r="AI101" s="57" t="n">
        <f aca="false">AF101*G101</f>
        <v>2338.98</v>
      </c>
      <c r="AJ101" s="57" t="n">
        <f aca="false">ROUNDUP(MAX(J101/IF(BZ101&gt;0,BZ101,MAX(0.1,N(Cockpit!$C$6))),CC101)/BS101,0)*BS101</f>
        <v>5</v>
      </c>
      <c r="AK101" s="58" t="n">
        <f aca="false">IF(AH101&gt;0,J101/AH101,-1)</f>
        <v>52</v>
      </c>
      <c r="AL101" s="58" t="n">
        <f aca="false">IF(AND(OR(BY101="L1",BY101="L23"),AH101&gt;0),SUMIFS($AH$7:$AH$1843,$BY$7:$BY$1843,BY101,$AK$7:$AK$1843,"&gt;"&amp;AK101)+SUMIFS($AH$7:$AH$1843,$BY$7:$BY$1843,BY101,$AK$7:$AK$1843,AK101,$BQ$7:$BQ$1843,"&lt;="&amp;BQ101),"")</f>
        <v>44.1645214688693</v>
      </c>
      <c r="AM101" s="65" t="n">
        <f aca="false">IF(AL101="",0,MAX(0,MIN(1,(IF(BY101="L1",Parameter!$E$5,Parameter!$E$6+Parameter!$E$7)-(AL101-AH101))/AH101)))</f>
        <v>1</v>
      </c>
      <c r="AN101" s="57" t="n">
        <f aca="false">IF(LEFT(Cockpit!$I$5,1)="A",H101,IF(CA101=1,CB101,IF(LEFT(Cockpit!$I$5,1)="B",AR101,MAX(AR101,H101))))</f>
        <v>14</v>
      </c>
      <c r="AO101" s="57" t="n">
        <f aca="false">IF(BT101=1,0,ROUNDUP(AN101/BS101,0))</f>
        <v>3</v>
      </c>
      <c r="AP101" s="59" t="n">
        <f aca="false">IF(CH101&gt;0,CH101*MAX(1,AN101/X101),IF(BT101=1,IF(AN101&lt;=0,0,BW101*MAX(1,IF(H101&gt;0,AN101/H101,1))),IF(R101&gt;0,AO101/R101,0))/MAX(0.1,N(Parameter!$M$21)))</f>
        <v>0.115384615384615</v>
      </c>
      <c r="AQ101" s="57" t="n">
        <f aca="false">AN101*G101</f>
        <v>2338.98</v>
      </c>
      <c r="AR101" s="57" t="n">
        <f aca="false">ROUNDUP(MAX(J101/IF(BZ101&gt;0,BZ101,MAX(0.1,N(Cockpit!$I$6))),CC101)/BS101,0)*BS101</f>
        <v>5</v>
      </c>
      <c r="AS101" s="58" t="n">
        <f aca="false">IF(AP101&gt;0,J101/AP101,-1)</f>
        <v>52</v>
      </c>
      <c r="AT101" s="58" t="n">
        <f aca="false">IF(AND(OR(BY101="L1",BY101="L23"),AP101&gt;0),SUMIFS($AP$7:$AP$1843,$BY$7:$BY$1843,BY101,$AS$7:$AS$1843,"&gt;"&amp;AS101)+SUMIFS($AP$7:$AP$1843,$BY$7:$BY$1843,BY101,$AS$7:$AS$1843,AS101,$BQ$7:$BQ$1843,"&lt;="&amp;BQ101),"")</f>
        <v>66.9540302692477</v>
      </c>
      <c r="AU101" s="65" t="n">
        <f aca="false">IF(AT101="",0,MAX(0,MIN(1,(IF(BY101="L1",Parameter!$E$5,Parameter!$E$6+Parameter!$E$7)-(AT101-AP101))/AP101)))</f>
        <v>1</v>
      </c>
      <c r="AV101" s="57" t="n">
        <f aca="false">IF(LEFT(Cockpit!$O$5,1)="A",H101,IF(CA101=1,CB101,IF(LEFT(Cockpit!$O$5,1)="B",AZ101,MAX(AZ101,H101))))</f>
        <v>14</v>
      </c>
      <c r="AW101" s="57" t="n">
        <f aca="false">IF(BT101=1,0,ROUNDUP(AV101/BS101,0))</f>
        <v>3</v>
      </c>
      <c r="AX101" s="59" t="n">
        <f aca="false">IF(CH101&gt;0,CH101*MAX(1,AV101/X101),IF(BT101=1,IF(AV101&lt;=0,0,BW101*MAX(1,IF(H101&gt;0,AV101/H101,1))),IF(R101&gt;0,AW101/R101,0))/MAX(0.1,N(Parameter!$M$21)))</f>
        <v>0.115384615384615</v>
      </c>
      <c r="AY101" s="57" t="n">
        <f aca="false">AV101*G101</f>
        <v>2338.98</v>
      </c>
      <c r="AZ101" s="57" t="n">
        <f aca="false">ROUNDUP(MAX(J101/IF(BZ101&gt;0,BZ101,MAX(0.1,N(Cockpit!$O$6))),CC101)/BS101,0)*BS101</f>
        <v>5</v>
      </c>
      <c r="BA101" s="58" t="n">
        <f aca="false">IF(AX101&gt;0,J101/AX101,-1)</f>
        <v>52</v>
      </c>
      <c r="BB101" s="58" t="n">
        <f aca="false">IF(AND(OR(BY101="L1",BY101="L23"),AX101&gt;0),SUMIFS($AX$7:$AX$1843,$BY$7:$BY$1843,BY101,$BA$7:$BA$1843,"&gt;"&amp;BA101)+SUMIFS($AX$7:$AX$1843,$BY$7:$BY$1843,BY101,$BA$7:$BA$1843,BA101,$BQ$7:$BQ$1843,"&lt;="&amp;BQ101),"")</f>
        <v>61.4505337657512</v>
      </c>
      <c r="BC101" s="65" t="n">
        <f aca="false">IF(BB101="",0,MAX(0,MIN(1,(IF(BY101="L1",Parameter!$E$5,Parameter!$E$6+Parameter!$E$7)-(BB101-AX101))/AX101)))</f>
        <v>1</v>
      </c>
      <c r="BD101" s="55" t="str">
        <f aca="false">IF(AH101&lt;=0,"",IF(BY101="Aussen","Aussenlager",IF(BY101="-","Nicht im Lift",IF(AM101&gt;=1,"Lift",IF(AM101&lt;=0,"Aussenlager","teilweise")))))</f>
        <v>Lift</v>
      </c>
      <c r="BE101" s="55" t="str">
        <f aca="false">IF(AP101&lt;=0,"",IF(BY101="Aussen","Aussenlager",IF(BY101="-","Nicht im Lift",IF(AU101&gt;=1,"Lift",IF(AU101&lt;=0,"Aussenlager","teilweise")))))</f>
        <v>Lift</v>
      </c>
      <c r="BF101" s="55" t="str">
        <f aca="false">IF(AX101&lt;=0,"",IF(BY101="Aussen","Aussenlager",IF(BY101="-","Nicht im Lift",IF(BC101&gt;=1,"Lift",IF(BC101&lt;=0,"Aussenlager","teilweise")))))</f>
        <v>Lift</v>
      </c>
      <c r="BG101" s="55" t="str">
        <f aca="false">IF(A101="","",IF(BP101=1,"Neu; ","")&amp;IF(AND(BP101=0,BK101&lt;0),"negativer Bestand (Export "&amp;BK101&amp;"); ","")&amp;IF(J101&lt;=0,"Kein Verbrauch; ","")&amp;IF(CH101&gt;0,"Lift "&amp;W101&amp;" lt. Liftbericht (Fach "&amp;X101&amp;" Stk); ",IF(BU101=1,"Gebinde geschätzt ("&amp;T101&amp;"); ",IF(BT101=1,"Lose – Tablare geschätzt; ","")))&amp;IF(H101&gt;AR101,"Überbestand "&amp;ROUND(H101-AR101,0)&amp;" Stk / CHF "&amp;ROUND((H101-AR101)*G101,0)&amp;"; ","")&amp;IF(AND(CA101=1,CB101&lt;CC101),"MAX &lt; MB+LG; ","")&amp;IF(AND(CG101&gt;0,CF101*10&gt;CG101),"zu hoch für Tablar; ","")&amp;IF(AND(BP101=0,OR(CA101=1,AA101&lt;&gt;"",U101&lt;&gt;"",V101&lt;&gt;"",AB101&lt;&gt;"")),"manuell übersteuert; ","")&amp;IF(AND(BT101=0,R101=0),"Gebinde unbekannt / Stellmass fehlt; ","")&amp;IF(AND(BT101=0,N(V101)&lt;=0,N(Q101)&lt;=0),"Menge pro Gebinde fehlt (Ist = 1 Gebinde); ","")&amp;BO101)</f>
        <v>Überbestand 9 Stk / CHF 1504; </v>
      </c>
      <c r="BH101" s="55"/>
      <c r="BI101" s="55"/>
      <c r="BJ101" s="62"/>
      <c r="BK101" s="57" t="n">
        <v>14</v>
      </c>
      <c r="BL101" s="57" t="n">
        <v>0</v>
      </c>
      <c r="BM101" s="56" t="n">
        <v>2338.96</v>
      </c>
      <c r="BN101" s="57" t="n">
        <v>6</v>
      </c>
      <c r="BO101" s="55"/>
      <c r="BP101" s="60" t="n">
        <v>0</v>
      </c>
      <c r="BQ101" s="60" t="n">
        <v>101</v>
      </c>
      <c r="BR101" s="55" t="str">
        <f aca="false">IF(U101&lt;&gt;"",UPPER(TRIM(U101)),IF(BU101=1,UPPER(VLOOKUP(T101,Parameter!$I$27:$K$29,2,0)),IF(P101="","LOSE",P101)))</f>
        <v>S51</v>
      </c>
      <c r="BS101" s="57" t="n">
        <f aca="false">IF(BR101="LOSE",1,IF(N(V101)&gt;0,V101,IF(BU101=1,MAX(1,N(VLOOKUP(T101,Parameter!$I$27:$K$29,3,0)),H101,N(N101)),IF(N(Q101)&gt;0,Q101,MAX(1,H101)))))</f>
        <v>5</v>
      </c>
      <c r="BT101" s="60" t="n">
        <f aca="false">IF(BR101="LOSE",1,0)</f>
        <v>0</v>
      </c>
      <c r="BU101" s="60" t="n">
        <f aca="false">IF(AND(U101="",OR(P101="",P101="LOSE"),T101&lt;&gt;"",N(S101)&lt;=0,ISNUMBER(MATCH(T101,Parameter!$I$27:$I$29,0))),1,0)</f>
        <v>0</v>
      </c>
      <c r="BV101" s="55" t="str">
        <f aca="false">IF(AND(Parameter!$B$19="Ja",E101&lt;&gt;"",ISNUMBER(MATCH(E101,Parameter!$I$35:$I$52,0))),VLOOKUP(E101,Parameter!$I$35:$J$52,2,0),IFERROR(VLOOKUP(D101,Parameter!$A$35:$C$64,2,0),"Nein"))</f>
        <v>2+3</v>
      </c>
      <c r="BW101" s="59" t="n">
        <f aca="false">IF(BT101=0,0,IF(N(S101)&gt;0,S101,IFERROR(VLOOKUP(D101,Parameter!$A$35:$C$64,3,0)+0,0)))</f>
        <v>0</v>
      </c>
      <c r="BX101" s="55" t="n">
        <f aca="false">IF(AA101&lt;&gt;"",AA101,Z101)</f>
        <v>3</v>
      </c>
      <c r="BY101" s="55" t="str">
        <f aca="false">IF(BX101=1,"L1",IF(OR(BX101=2,BX101=3),"L23",IF(BX101="Aussen","Aussen","-")))</f>
        <v>L23</v>
      </c>
      <c r="BZ101" s="66" t="n">
        <f aca="false">IF(N(AB101)&gt;0,AB101,0)</f>
        <v>0</v>
      </c>
      <c r="CA101" s="60" t="n">
        <f aca="false">IF(ISNUMBER(AE101),1,0)</f>
        <v>0</v>
      </c>
      <c r="CB101" s="57" t="n">
        <f aca="false">N(AE101)</f>
        <v>0</v>
      </c>
      <c r="CC101" s="57" t="n">
        <f aca="false">N(M101)+N(N101)</f>
        <v>5</v>
      </c>
      <c r="CD101" s="57" t="n">
        <f aca="false">ROUNDUP(H101/BS101,0)</f>
        <v>3</v>
      </c>
      <c r="CE101" s="57" t="n">
        <f aca="false">ROUNDUP(CB101/BS101,0)</f>
        <v>0</v>
      </c>
      <c r="CF101" s="60" t="n">
        <f aca="false">IF(BT101=1,0,IFERROR(VLOOKUP(BR101,'Gebinde-Kategorie'!$A$5:$M$45,5,0)+0,0))</f>
        <v>11</v>
      </c>
      <c r="CG101" s="60" t="n">
        <f aca="false">IFERROR(IF(OR(BX101=1,BX101=2,BX101=3),N(INDEX(Parameter!$I$5:$I$7,BX101)),0),0)</f>
        <v>0</v>
      </c>
      <c r="CH101" s="59" t="n">
        <f aca="false">IF(AND(Parameter!$B$21="Ja",ISNUMBER(W101),N(X101)&gt;0),IFERROR(N(INDEX(Parameter!$L$5:$L$7,W101))*INDEX(Parameter!$E$5:$E$7,W101)*X101/SUMIFS($X$7:$X$1843,$W$7:$W$1843,W101),0),0)</f>
        <v>0</v>
      </c>
    </row>
    <row r="102" customFormat="false" ht="15" hidden="false" customHeight="false" outlineLevel="0" collapsed="false">
      <c r="A102" s="55" t="s">
        <v>416</v>
      </c>
      <c r="B102" s="55" t="s">
        <v>417</v>
      </c>
      <c r="C102" s="55" t="s">
        <v>164</v>
      </c>
      <c r="D102" s="55" t="s">
        <v>173</v>
      </c>
      <c r="E102" s="55" t="s">
        <v>185</v>
      </c>
      <c r="F102" s="55" t="s">
        <v>218</v>
      </c>
      <c r="G102" s="56" t="n">
        <v>178.31</v>
      </c>
      <c r="H102" s="57" t="n">
        <f aca="false">MAX(0,IF(AND(Parameter!$B$21="Ja",ISNUMBER(Y102)),Y102,IF(Parameter!$B$20="Jahresanfang 2025 + Export",BL102+BK102,BK102)))</f>
        <v>17</v>
      </c>
      <c r="I102" s="57" t="n">
        <f aca="false">H102*G102</f>
        <v>3031.27</v>
      </c>
      <c r="J102" s="57" t="n">
        <f aca="false">BN102*Parameter!$B$18</f>
        <v>12</v>
      </c>
      <c r="K102" s="58" t="n">
        <v>12</v>
      </c>
      <c r="L102" s="59" t="n">
        <v>1</v>
      </c>
      <c r="M102" s="57" t="n">
        <v>0</v>
      </c>
      <c r="N102" s="57" t="n">
        <v>50</v>
      </c>
      <c r="O102" s="60" t="n">
        <v>14</v>
      </c>
      <c r="P102" s="55" t="s">
        <v>223</v>
      </c>
      <c r="Q102" s="57" t="n">
        <v>15</v>
      </c>
      <c r="R102" s="60" t="n">
        <f aca="false">IF(BT102=1,0,IFERROR(VLOOKUP(BR102,'Gebinde-Kategorie'!$A$5:$M$45,13,0)+0,0))</f>
        <v>3</v>
      </c>
      <c r="S102" s="61"/>
      <c r="T102" s="62"/>
      <c r="U102" s="62"/>
      <c r="V102" s="62"/>
      <c r="W102" s="55"/>
      <c r="X102" s="57"/>
      <c r="Y102" s="57"/>
      <c r="Z102" s="55" t="n">
        <f aca="false">IF(A102="","",IF(AND(Parameter!$B$21="Ja",ISNUMBER(W102)),W102,IF(BV102="2+3",IF(ISNUMBER(SEARCH("grosser Artikel",BO102)),2,IFERROR(VLOOKUP(BR102,Parameter!$F$35:$G$64,2,0),2)),IF(OR(BV102="Nein",BV102=""),"-",BV102))))</f>
        <v>2</v>
      </c>
      <c r="AA102" s="62"/>
      <c r="AB102" s="63"/>
      <c r="AC102" s="57" t="n">
        <f aca="false">AR102</f>
        <v>60</v>
      </c>
      <c r="AD102" s="57" t="n">
        <f aca="false">MAX(AR102,H102)</f>
        <v>60</v>
      </c>
      <c r="AE102" s="64"/>
      <c r="AF102" s="57" t="n">
        <f aca="false">IF(LEFT(Cockpit!$C$5,1)="A",H102,IF(CA102=1,CB102,IF(LEFT(Cockpit!$C$5,1)="B",AJ102,MAX(AJ102,H102))))</f>
        <v>17</v>
      </c>
      <c r="AG102" s="57" t="n">
        <f aca="false">IF(BT102=1,0,ROUNDUP(AF102/BS102,0))</f>
        <v>2</v>
      </c>
      <c r="AH102" s="59" t="n">
        <f aca="false">IF(CH102&gt;0,CH102*MAX(1,AF102/X102),IF(BT102=1,IF(AF102&lt;=0,0,BW102*MAX(1,IF(H102&gt;0,AF102/H102,1))),IF(R102&gt;0,AG102/R102,0))/MAX(0.1,N(Parameter!$M$21)))</f>
        <v>0.666666666666667</v>
      </c>
      <c r="AI102" s="57" t="n">
        <f aca="false">AF102*G102</f>
        <v>3031.27</v>
      </c>
      <c r="AJ102" s="57" t="n">
        <f aca="false">ROUNDUP(MAX(J102/IF(BZ102&gt;0,BZ102,MAX(0.1,N(Cockpit!$C$6))),CC102)/BS102,0)*BS102</f>
        <v>60</v>
      </c>
      <c r="AK102" s="58" t="n">
        <f aca="false">IF(AH102&gt;0,J102/AH102,-1)</f>
        <v>18</v>
      </c>
      <c r="AL102" s="58" t="n">
        <f aca="false">IF(AND(OR(BY102="L1",BY102="L23"),AH102&gt;0),SUMIFS($AH$7:$AH$1843,$BY$7:$BY$1843,BY102,$AK$7:$AK$1843,"&gt;"&amp;AK102)+SUMIFS($AH$7:$AH$1843,$BY$7:$BY$1843,BY102,$AK$7:$AK$1843,AK102,$BQ$7:$BQ$1843,"&lt;="&amp;BQ102),"")</f>
        <v>52.0048478091956</v>
      </c>
      <c r="AM102" s="65" t="n">
        <f aca="false">IF(AL102="",0,MAX(0,MIN(1,(IF(BY102="L1",Parameter!$E$5,Parameter!$E$6+Parameter!$E$7)-(AL102-AH102))/AH102)))</f>
        <v>1</v>
      </c>
      <c r="AN102" s="57" t="n">
        <f aca="false">IF(LEFT(Cockpit!$I$5,1)="A",H102,IF(CA102=1,CB102,IF(LEFT(Cockpit!$I$5,1)="B",AR102,MAX(AR102,H102))))</f>
        <v>60</v>
      </c>
      <c r="AO102" s="57" t="n">
        <f aca="false">IF(BT102=1,0,ROUNDUP(AN102/BS102,0))</f>
        <v>4</v>
      </c>
      <c r="AP102" s="59" t="n">
        <f aca="false">IF(CH102&gt;0,CH102*MAX(1,AN102/X102),IF(BT102=1,IF(AN102&lt;=0,0,BW102*MAX(1,IF(H102&gt;0,AN102/H102,1))),IF(R102&gt;0,AO102/R102,0))/MAX(0.1,N(Parameter!$M$21)))</f>
        <v>1.33333333333333</v>
      </c>
      <c r="AQ102" s="57" t="n">
        <f aca="false">AN102*G102</f>
        <v>10698.6</v>
      </c>
      <c r="AR102" s="57" t="n">
        <f aca="false">ROUNDUP(MAX(J102/IF(BZ102&gt;0,BZ102,MAX(0.1,N(Cockpit!$I$6))),CC102)/BS102,0)*BS102</f>
        <v>60</v>
      </c>
      <c r="AS102" s="58" t="n">
        <f aca="false">IF(AP102&gt;0,J102/AP102,-1)</f>
        <v>9</v>
      </c>
      <c r="AT102" s="58" t="n">
        <f aca="false">IF(AND(OR(BY102="L1",BY102="L23"),AP102&gt;0),SUMIFS($AP$7:$AP$1843,$BY$7:$BY$1843,BY102,$AS$7:$AS$1843,"&gt;"&amp;AS102)+SUMIFS($AP$7:$AP$1843,$BY$7:$BY$1843,BY102,$AS$7:$AS$1843,AS102,$BQ$7:$BQ$1843,"&lt;="&amp;BQ102),"")</f>
        <v>92.3648694300868</v>
      </c>
      <c r="AU102" s="65" t="n">
        <f aca="false">IF(AT102="",0,MAX(0,MIN(1,(IF(BY102="L1",Parameter!$E$5,Parameter!$E$6+Parameter!$E$7)-(AT102-AP102))/AP102)))</f>
        <v>1</v>
      </c>
      <c r="AV102" s="57" t="n">
        <f aca="false">IF(LEFT(Cockpit!$O$5,1)="A",H102,IF(CA102=1,CB102,IF(LEFT(Cockpit!$O$5,1)="B",AZ102,MAX(AZ102,H102))))</f>
        <v>60</v>
      </c>
      <c r="AW102" s="57" t="n">
        <f aca="false">IF(BT102=1,0,ROUNDUP(AV102/BS102,0))</f>
        <v>4</v>
      </c>
      <c r="AX102" s="59" t="n">
        <f aca="false">IF(CH102&gt;0,CH102*MAX(1,AV102/X102),IF(BT102=1,IF(AV102&lt;=0,0,BW102*MAX(1,IF(H102&gt;0,AV102/H102,1))),IF(R102&gt;0,AW102/R102,0))/MAX(0.1,N(Parameter!$M$21)))</f>
        <v>1.33333333333333</v>
      </c>
      <c r="AY102" s="57" t="n">
        <f aca="false">AV102*G102</f>
        <v>10698.6</v>
      </c>
      <c r="AZ102" s="57" t="n">
        <f aca="false">ROUNDUP(MAX(J102/IF(BZ102&gt;0,BZ102,MAX(0.1,N(Cockpit!$O$6))),CC102)/BS102,0)*BS102</f>
        <v>60</v>
      </c>
      <c r="BA102" s="58" t="n">
        <f aca="false">IF(AX102&gt;0,J102/AX102,-1)</f>
        <v>9</v>
      </c>
      <c r="BB102" s="58" t="n">
        <f aca="false">IF(AND(OR(BY102="L1",BY102="L23"),AX102&gt;0),SUMIFS($AX$7:$AX$1843,$BY$7:$BY$1843,BY102,$BA$7:$BA$1843,"&gt;"&amp;BA102)+SUMIFS($AX$7:$AX$1843,$BY$7:$BY$1843,BY102,$BA$7:$BA$1843,BA102,$BQ$7:$BQ$1843,"&lt;="&amp;BQ102),"")</f>
        <v>83.1947062599237</v>
      </c>
      <c r="BC102" s="65" t="n">
        <f aca="false">IF(BB102="",0,MAX(0,MIN(1,(IF(BY102="L1",Parameter!$E$5,Parameter!$E$6+Parameter!$E$7)-(BB102-AX102))/AX102)))</f>
        <v>1</v>
      </c>
      <c r="BD102" s="55" t="str">
        <f aca="false">IF(AH102&lt;=0,"",IF(BY102="Aussen","Aussenlager",IF(BY102="-","Nicht im Lift",IF(AM102&gt;=1,"Lift",IF(AM102&lt;=0,"Aussenlager","teilweise")))))</f>
        <v>Lift</v>
      </c>
      <c r="BE102" s="55" t="str">
        <f aca="false">IF(AP102&lt;=0,"",IF(BY102="Aussen","Aussenlager",IF(BY102="-","Nicht im Lift",IF(AU102&gt;=1,"Lift",IF(AU102&lt;=0,"Aussenlager","teilweise")))))</f>
        <v>Lift</v>
      </c>
      <c r="BF102" s="55" t="str">
        <f aca="false">IF(AX102&lt;=0,"",IF(BY102="Aussen","Aussenlager",IF(BY102="-","Nicht im Lift",IF(BC102&gt;=1,"Lift",IF(BC102&lt;=0,"Aussenlager","teilweise")))))</f>
        <v>Lift</v>
      </c>
      <c r="BG102" s="55" t="str">
        <f aca="false">IF(A102="","",IF(BP102=1,"Neu; ","")&amp;IF(AND(BP102=0,BK102&lt;0),"negativer Bestand (Export "&amp;BK102&amp;"); ","")&amp;IF(J102&lt;=0,"Kein Verbrauch; ","")&amp;IF(CH102&gt;0,"Lift "&amp;W102&amp;" lt. Liftbericht (Fach "&amp;X102&amp;" Stk); ",IF(BU102=1,"Gebinde geschätzt ("&amp;T102&amp;"); ",IF(BT102=1,"Lose – Tablare geschätzt; ","")))&amp;IF(H102&gt;AR102,"Überbestand "&amp;ROUND(H102-AR102,0)&amp;" Stk / CHF "&amp;ROUND((H102-AR102)*G102,0)&amp;"; ","")&amp;IF(AND(CA102=1,CB102&lt;CC102),"MAX &lt; MB+LG; ","")&amp;IF(AND(CG102&gt;0,CF102*10&gt;CG102),"zu hoch für Tablar; ","")&amp;IF(AND(BP102=0,OR(CA102=1,AA102&lt;&gt;"",U102&lt;&gt;"",V102&lt;&gt;"",AB102&lt;&gt;"")),"manuell übersteuert; ","")&amp;IF(AND(BT102=0,R102=0),"Gebinde unbekannt / Stellmass fehlt; ","")&amp;IF(AND(BT102=0,N(V102)&lt;=0,N(Q102)&lt;=0),"Menge pro Gebinde fehlt (Ist = 1 Gebinde); ","")&amp;BO102)</f>
        <v>grosser Artikel &amp; nicht im KTL</v>
      </c>
      <c r="BH102" s="55"/>
      <c r="BI102" s="55"/>
      <c r="BJ102" s="62"/>
      <c r="BK102" s="57" t="n">
        <v>13</v>
      </c>
      <c r="BL102" s="57" t="n">
        <v>4</v>
      </c>
      <c r="BM102" s="56" t="n">
        <v>2328.73</v>
      </c>
      <c r="BN102" s="57" t="n">
        <v>12</v>
      </c>
      <c r="BO102" s="55" t="s">
        <v>261</v>
      </c>
      <c r="BP102" s="60" t="n">
        <v>0</v>
      </c>
      <c r="BQ102" s="60" t="n">
        <v>102</v>
      </c>
      <c r="BR102" s="55" t="str">
        <f aca="false">IF(U102&lt;&gt;"",UPPER(TRIM(U102)),IF(BU102=1,UPPER(VLOOKUP(T102,Parameter!$I$27:$K$29,2,0)),IF(P102="","LOSE",P102)))</f>
        <v>S81</v>
      </c>
      <c r="BS102" s="57" t="n">
        <f aca="false">IF(BR102="LOSE",1,IF(N(V102)&gt;0,V102,IF(BU102=1,MAX(1,N(VLOOKUP(T102,Parameter!$I$27:$K$29,3,0)),H102,N(N102)),IF(N(Q102)&gt;0,Q102,MAX(1,H102)))))</f>
        <v>15</v>
      </c>
      <c r="BT102" s="60" t="n">
        <f aca="false">IF(BR102="LOSE",1,0)</f>
        <v>0</v>
      </c>
      <c r="BU102" s="60" t="n">
        <f aca="false">IF(AND(U102="",OR(P102="",P102="LOSE"),T102&lt;&gt;"",N(S102)&lt;=0,ISNUMBER(MATCH(T102,Parameter!$I$27:$I$29,0))),1,0)</f>
        <v>0</v>
      </c>
      <c r="BV102" s="55" t="str">
        <f aca="false">IF(AND(Parameter!$B$19="Ja",E102&lt;&gt;"",ISNUMBER(MATCH(E102,Parameter!$I$35:$I$52,0))),VLOOKUP(E102,Parameter!$I$35:$J$52,2,0),IFERROR(VLOOKUP(D102,Parameter!$A$35:$C$64,2,0),"Nein"))</f>
        <v>2+3</v>
      </c>
      <c r="BW102" s="59" t="n">
        <f aca="false">IF(BT102=0,0,IF(N(S102)&gt;0,S102,IFERROR(VLOOKUP(D102,Parameter!$A$35:$C$64,3,0)+0,0)))</f>
        <v>0</v>
      </c>
      <c r="BX102" s="55" t="n">
        <f aca="false">IF(AA102&lt;&gt;"",AA102,Z102)</f>
        <v>2</v>
      </c>
      <c r="BY102" s="55" t="str">
        <f aca="false">IF(BX102=1,"L1",IF(OR(BX102=2,BX102=3),"L23",IF(BX102="Aussen","Aussen","-")))</f>
        <v>L23</v>
      </c>
      <c r="BZ102" s="66" t="n">
        <f aca="false">IF(N(AB102)&gt;0,AB102,0)</f>
        <v>0</v>
      </c>
      <c r="CA102" s="60" t="n">
        <f aca="false">IF(ISNUMBER(AE102),1,0)</f>
        <v>0</v>
      </c>
      <c r="CB102" s="57" t="n">
        <f aca="false">N(AE102)</f>
        <v>0</v>
      </c>
      <c r="CC102" s="57" t="n">
        <f aca="false">N(M102)+N(N102)</f>
        <v>50</v>
      </c>
      <c r="CD102" s="57" t="n">
        <f aca="false">ROUNDUP(H102/BS102,0)</f>
        <v>2</v>
      </c>
      <c r="CE102" s="57" t="n">
        <f aca="false">ROUNDUP(CB102/BS102,0)</f>
        <v>0</v>
      </c>
      <c r="CF102" s="60" t="n">
        <f aca="false">IF(BT102=1,0,IFERROR(VLOOKUP(BR102,'Gebinde-Kategorie'!$A$5:$M$45,5,0)+0,0))</f>
        <v>20</v>
      </c>
      <c r="CG102" s="60" t="n">
        <f aca="false">IFERROR(IF(OR(BX102=1,BX102=2,BX102=3),N(INDEX(Parameter!$I$5:$I$7,BX102)),0),0)</f>
        <v>0</v>
      </c>
      <c r="CH102" s="59" t="n">
        <f aca="false">IF(AND(Parameter!$B$21="Ja",ISNUMBER(W102),N(X102)&gt;0),IFERROR(N(INDEX(Parameter!$L$5:$L$7,W102))*INDEX(Parameter!$E$5:$E$7,W102)*X102/SUMIFS($X$7:$X$1843,$W$7:$W$1843,W102),0),0)</f>
        <v>0</v>
      </c>
    </row>
    <row r="103" customFormat="false" ht="15" hidden="false" customHeight="false" outlineLevel="0" collapsed="false">
      <c r="A103" s="55" t="s">
        <v>418</v>
      </c>
      <c r="B103" s="55" t="s">
        <v>419</v>
      </c>
      <c r="C103" s="55" t="s">
        <v>164</v>
      </c>
      <c r="D103" s="55" t="s">
        <v>173</v>
      </c>
      <c r="E103" s="55"/>
      <c r="F103" s="55" t="s">
        <v>218</v>
      </c>
      <c r="G103" s="56" t="n">
        <v>305.49</v>
      </c>
      <c r="H103" s="57" t="n">
        <f aca="false">MAX(0,IF(AND(Parameter!$B$21="Ja",ISNUMBER(Y103)),Y103,IF(Parameter!$B$20="Jahresanfang 2025 + Export",BL103+BK103,BK103)))</f>
        <v>41</v>
      </c>
      <c r="I103" s="57" t="n">
        <f aca="false">H103*G103</f>
        <v>12525.09</v>
      </c>
      <c r="J103" s="57" t="n">
        <f aca="false">BN103*Parameter!$B$18</f>
        <v>151</v>
      </c>
      <c r="K103" s="58" t="n">
        <v>41.5</v>
      </c>
      <c r="L103" s="59" t="n">
        <v>3.63855421686747</v>
      </c>
      <c r="M103" s="57" t="n">
        <v>15</v>
      </c>
      <c r="N103" s="57" t="n">
        <v>24</v>
      </c>
      <c r="O103" s="60" t="n">
        <v>28</v>
      </c>
      <c r="P103" s="55" t="s">
        <v>174</v>
      </c>
      <c r="Q103" s="57" t="n">
        <v>40</v>
      </c>
      <c r="R103" s="60" t="n">
        <f aca="false">IF(BT103=1,0,IFERROR(VLOOKUP(BR103,'Gebinde-Kategorie'!$A$5:$M$45,13,0)+0,0))</f>
        <v>6</v>
      </c>
      <c r="S103" s="61"/>
      <c r="T103" s="62"/>
      <c r="U103" s="62"/>
      <c r="V103" s="62"/>
      <c r="W103" s="55"/>
      <c r="X103" s="57"/>
      <c r="Y103" s="57"/>
      <c r="Z103" s="55" t="n">
        <f aca="false">IF(A103="","",IF(AND(Parameter!$B$21="Ja",ISNUMBER(W103)),W103,IF(BV103="2+3",IF(ISNUMBER(SEARCH("grosser Artikel",BO103)),2,IFERROR(VLOOKUP(BR103,Parameter!$F$35:$G$64,2,0),2)),IF(OR(BV103="Nein",BV103=""),"-",BV103))))</f>
        <v>2</v>
      </c>
      <c r="AA103" s="62"/>
      <c r="AB103" s="63"/>
      <c r="AC103" s="57" t="n">
        <f aca="false">AR103</f>
        <v>80</v>
      </c>
      <c r="AD103" s="57" t="n">
        <f aca="false">MAX(AR103,H103)</f>
        <v>80</v>
      </c>
      <c r="AE103" s="64"/>
      <c r="AF103" s="57" t="n">
        <f aca="false">IF(LEFT(Cockpit!$C$5,1)="A",H103,IF(CA103=1,CB103,IF(LEFT(Cockpit!$C$5,1)="B",AJ103,MAX(AJ103,H103))))</f>
        <v>41</v>
      </c>
      <c r="AG103" s="57" t="n">
        <f aca="false">IF(BT103=1,0,ROUNDUP(AF103/BS103,0))</f>
        <v>2</v>
      </c>
      <c r="AH103" s="59" t="n">
        <f aca="false">IF(CH103&gt;0,CH103*MAX(1,AF103/X103),IF(BT103=1,IF(AF103&lt;=0,0,BW103*MAX(1,IF(H103&gt;0,AF103/H103,1))),IF(R103&gt;0,AG103/R103,0))/MAX(0.1,N(Parameter!$M$21)))</f>
        <v>0.333333333333333</v>
      </c>
      <c r="AI103" s="57" t="n">
        <f aca="false">AF103*G103</f>
        <v>12525.09</v>
      </c>
      <c r="AJ103" s="57" t="n">
        <f aca="false">ROUNDUP(MAX(J103/IF(BZ103&gt;0,BZ103,MAX(0.1,N(Cockpit!$C$6))),CC103)/BS103,0)*BS103</f>
        <v>80</v>
      </c>
      <c r="AK103" s="58" t="n">
        <f aca="false">IF(AH103&gt;0,J103/AH103,-1)</f>
        <v>453</v>
      </c>
      <c r="AL103" s="58" t="n">
        <f aca="false">IF(AND(OR(BY103="L1",BY103="L23"),AH103&gt;0),SUMIFS($AH$7:$AH$1843,$BY$7:$BY$1843,BY103,$AK$7:$AK$1843,"&gt;"&amp;AK103)+SUMIFS($AH$7:$AH$1843,$BY$7:$BY$1843,BY103,$AK$7:$AK$1843,AK103,$BQ$7:$BQ$1843,"&lt;="&amp;BQ103),"")</f>
        <v>24.9434731934732</v>
      </c>
      <c r="AM103" s="65" t="n">
        <f aca="false">IF(AL103="",0,MAX(0,MIN(1,(IF(BY103="L1",Parameter!$E$5,Parameter!$E$6+Parameter!$E$7)-(AL103-AH103))/AH103)))</f>
        <v>1</v>
      </c>
      <c r="AN103" s="57" t="n">
        <f aca="false">IF(LEFT(Cockpit!$I$5,1)="A",H103,IF(CA103=1,CB103,IF(LEFT(Cockpit!$I$5,1)="B",AR103,MAX(AR103,H103))))</f>
        <v>80</v>
      </c>
      <c r="AO103" s="57" t="n">
        <f aca="false">IF(BT103=1,0,ROUNDUP(AN103/BS103,0))</f>
        <v>2</v>
      </c>
      <c r="AP103" s="59" t="n">
        <f aca="false">IF(CH103&gt;0,CH103*MAX(1,AN103/X103),IF(BT103=1,IF(AN103&lt;=0,0,BW103*MAX(1,IF(H103&gt;0,AN103/H103,1))),IF(R103&gt;0,AO103/R103,0))/MAX(0.1,N(Parameter!$M$21)))</f>
        <v>0.333333333333333</v>
      </c>
      <c r="AQ103" s="57" t="n">
        <f aca="false">AN103*G103</f>
        <v>24439.2</v>
      </c>
      <c r="AR103" s="57" t="n">
        <f aca="false">ROUNDUP(MAX(J103/IF(BZ103&gt;0,BZ103,MAX(0.1,N(Cockpit!$I$6))),CC103)/BS103,0)*BS103</f>
        <v>80</v>
      </c>
      <c r="AS103" s="58" t="n">
        <f aca="false">IF(AP103&gt;0,J103/AP103,-1)</f>
        <v>453</v>
      </c>
      <c r="AT103" s="58" t="n">
        <f aca="false">IF(AND(OR(BY103="L1",BY103="L23"),AP103&gt;0),SUMIFS($AP$7:$AP$1843,$BY$7:$BY$1843,BY103,$AS$7:$AS$1843,"&gt;"&amp;AS103)+SUMIFS($AP$7:$AP$1843,$BY$7:$BY$1843,BY103,$AS$7:$AS$1843,AS103,$BQ$7:$BQ$1843,"&lt;="&amp;BQ103),"")</f>
        <v>34.2167747711226</v>
      </c>
      <c r="AU103" s="65" t="n">
        <f aca="false">IF(AT103="",0,MAX(0,MIN(1,(IF(BY103="L1",Parameter!$E$5,Parameter!$E$6+Parameter!$E$7)-(AT103-AP103))/AP103)))</f>
        <v>1</v>
      </c>
      <c r="AV103" s="57" t="n">
        <f aca="false">IF(LEFT(Cockpit!$O$5,1)="A",H103,IF(CA103=1,CB103,IF(LEFT(Cockpit!$O$5,1)="B",AZ103,MAX(AZ103,H103))))</f>
        <v>80</v>
      </c>
      <c r="AW103" s="57" t="n">
        <f aca="false">IF(BT103=1,0,ROUNDUP(AV103/BS103,0))</f>
        <v>2</v>
      </c>
      <c r="AX103" s="59" t="n">
        <f aca="false">IF(CH103&gt;0,CH103*MAX(1,AV103/X103),IF(BT103=1,IF(AV103&lt;=0,0,BW103*MAX(1,IF(H103&gt;0,AV103/H103,1))),IF(R103&gt;0,AW103/R103,0))/MAX(0.1,N(Parameter!$M$21)))</f>
        <v>0.333333333333333</v>
      </c>
      <c r="AY103" s="57" t="n">
        <f aca="false">AV103*G103</f>
        <v>24439.2</v>
      </c>
      <c r="AZ103" s="57" t="n">
        <f aca="false">ROUNDUP(MAX(J103/IF(BZ103&gt;0,BZ103,MAX(0.1,N(Cockpit!$O$6))),CC103)/BS103,0)*BS103</f>
        <v>80</v>
      </c>
      <c r="BA103" s="58" t="n">
        <f aca="false">IF(AX103&gt;0,J103/AX103,-1)</f>
        <v>453</v>
      </c>
      <c r="BB103" s="58" t="n">
        <f aca="false">IF(AND(OR(BY103="L1",BY103="L23"),AX103&gt;0),SUMIFS($AX$7:$AX$1843,$BY$7:$BY$1843,BY103,$BA$7:$BA$1843,"&gt;"&amp;BA103)+SUMIFS($AX$7:$AX$1843,$BY$7:$BY$1843,BY103,$BA$7:$BA$1843,BA103,$BQ$7:$BQ$1843,"&lt;="&amp;BQ103),"")</f>
        <v>33.1171244214723</v>
      </c>
      <c r="BC103" s="65" t="n">
        <f aca="false">IF(BB103="",0,MAX(0,MIN(1,(IF(BY103="L1",Parameter!$E$5,Parameter!$E$6+Parameter!$E$7)-(BB103-AX103))/AX103)))</f>
        <v>1</v>
      </c>
      <c r="BD103" s="55" t="str">
        <f aca="false">IF(AH103&lt;=0,"",IF(BY103="Aussen","Aussenlager",IF(BY103="-","Nicht im Lift",IF(AM103&gt;=1,"Lift",IF(AM103&lt;=0,"Aussenlager","teilweise")))))</f>
        <v>Lift</v>
      </c>
      <c r="BE103" s="55" t="str">
        <f aca="false">IF(AP103&lt;=0,"",IF(BY103="Aussen","Aussenlager",IF(BY103="-","Nicht im Lift",IF(AU103&gt;=1,"Lift",IF(AU103&lt;=0,"Aussenlager","teilweise")))))</f>
        <v>Lift</v>
      </c>
      <c r="BF103" s="55" t="str">
        <f aca="false">IF(AX103&lt;=0,"",IF(BY103="Aussen","Aussenlager",IF(BY103="-","Nicht im Lift",IF(BC103&gt;=1,"Lift",IF(BC103&lt;=0,"Aussenlager","teilweise")))))</f>
        <v>Lift</v>
      </c>
      <c r="BG103" s="55" t="str">
        <f aca="false">IF(A103="","",IF(BP103=1,"Neu; ","")&amp;IF(AND(BP103=0,BK103&lt;0),"negativer Bestand (Export "&amp;BK103&amp;"); ","")&amp;IF(J103&lt;=0,"Kein Verbrauch; ","")&amp;IF(CH103&gt;0,"Lift "&amp;W103&amp;" lt. Liftbericht (Fach "&amp;X103&amp;" Stk); ",IF(BU103=1,"Gebinde geschätzt ("&amp;T103&amp;"); ",IF(BT103=1,"Lose – Tablare geschätzt; ","")))&amp;IF(H103&gt;AR103,"Überbestand "&amp;ROUND(H103-AR103,0)&amp;" Stk / CHF "&amp;ROUND((H103-AR103)*G103,0)&amp;"; ","")&amp;IF(AND(CA103=1,CB103&lt;CC103),"MAX &lt; MB+LG; ","")&amp;IF(AND(CG103&gt;0,CF103*10&gt;CG103),"zu hoch für Tablar; ","")&amp;IF(AND(BP103=0,OR(CA103=1,AA103&lt;&gt;"",U103&lt;&gt;"",V103&lt;&gt;"",AB103&lt;&gt;"")),"manuell übersteuert; ","")&amp;IF(AND(BT103=0,R103=0),"Gebinde unbekannt / Stellmass fehlt; ","")&amp;IF(AND(BT103=0,N(V103)&lt;=0,N(Q103)&lt;=0),"Menge pro Gebinde fehlt (Ist = 1 Gebinde); ","")&amp;BO103)</f>
        <v/>
      </c>
      <c r="BH103" s="55"/>
      <c r="BI103" s="55"/>
      <c r="BJ103" s="62"/>
      <c r="BK103" s="57" t="n">
        <v>5</v>
      </c>
      <c r="BL103" s="57" t="n">
        <v>36</v>
      </c>
      <c r="BM103" s="56" t="n">
        <v>2316.92999999999</v>
      </c>
      <c r="BN103" s="57" t="n">
        <v>151</v>
      </c>
      <c r="BO103" s="55"/>
      <c r="BP103" s="60" t="n">
        <v>0</v>
      </c>
      <c r="BQ103" s="60" t="n">
        <v>103</v>
      </c>
      <c r="BR103" s="55" t="str">
        <f aca="false">IF(U103&lt;&gt;"",UPPER(TRIM(U103)),IF(BU103=1,UPPER(VLOOKUP(T103,Parameter!$I$27:$K$29,2,0)),IF(P103="","LOSE",P103)))</f>
        <v>S71</v>
      </c>
      <c r="BS103" s="57" t="n">
        <f aca="false">IF(BR103="LOSE",1,IF(N(V103)&gt;0,V103,IF(BU103=1,MAX(1,N(VLOOKUP(T103,Parameter!$I$27:$K$29,3,0)),H103,N(N103)),IF(N(Q103)&gt;0,Q103,MAX(1,H103)))))</f>
        <v>40</v>
      </c>
      <c r="BT103" s="60" t="n">
        <f aca="false">IF(BR103="LOSE",1,0)</f>
        <v>0</v>
      </c>
      <c r="BU103" s="60" t="n">
        <f aca="false">IF(AND(U103="",OR(P103="",P103="LOSE"),T103&lt;&gt;"",N(S103)&lt;=0,ISNUMBER(MATCH(T103,Parameter!$I$27:$I$29,0))),1,0)</f>
        <v>0</v>
      </c>
      <c r="BV103" s="55" t="str">
        <f aca="false">IF(AND(Parameter!$B$19="Ja",E103&lt;&gt;"",ISNUMBER(MATCH(E103,Parameter!$I$35:$I$52,0))),VLOOKUP(E103,Parameter!$I$35:$J$52,2,0),IFERROR(VLOOKUP(D103,Parameter!$A$35:$C$64,2,0),"Nein"))</f>
        <v>2+3</v>
      </c>
      <c r="BW103" s="59" t="n">
        <f aca="false">IF(BT103=0,0,IF(N(S103)&gt;0,S103,IFERROR(VLOOKUP(D103,Parameter!$A$35:$C$64,3,0)+0,0)))</f>
        <v>0</v>
      </c>
      <c r="BX103" s="55" t="n">
        <f aca="false">IF(AA103&lt;&gt;"",AA103,Z103)</f>
        <v>2</v>
      </c>
      <c r="BY103" s="55" t="str">
        <f aca="false">IF(BX103=1,"L1",IF(OR(BX103=2,BX103=3),"L23",IF(BX103="Aussen","Aussen","-")))</f>
        <v>L23</v>
      </c>
      <c r="BZ103" s="66" t="n">
        <f aca="false">IF(N(AB103)&gt;0,AB103,0)</f>
        <v>0</v>
      </c>
      <c r="CA103" s="60" t="n">
        <f aca="false">IF(ISNUMBER(AE103),1,0)</f>
        <v>0</v>
      </c>
      <c r="CB103" s="57" t="n">
        <f aca="false">N(AE103)</f>
        <v>0</v>
      </c>
      <c r="CC103" s="57" t="n">
        <f aca="false">N(M103)+N(N103)</f>
        <v>39</v>
      </c>
      <c r="CD103" s="57" t="n">
        <f aca="false">ROUNDUP(H103/BS103,0)</f>
        <v>2</v>
      </c>
      <c r="CE103" s="57" t="n">
        <f aca="false">ROUNDUP(CB103/BS103,0)</f>
        <v>0</v>
      </c>
      <c r="CF103" s="60" t="n">
        <f aca="false">IF(BT103=1,0,IFERROR(VLOOKUP(BR103,'Gebinde-Kategorie'!$A$5:$M$45,5,0)+0,0))</f>
        <v>20</v>
      </c>
      <c r="CG103" s="60" t="n">
        <f aca="false">IFERROR(IF(OR(BX103=1,BX103=2,BX103=3),N(INDEX(Parameter!$I$5:$I$7,BX103)),0),0)</f>
        <v>0</v>
      </c>
      <c r="CH103" s="59" t="n">
        <f aca="false">IF(AND(Parameter!$B$21="Ja",ISNUMBER(W103),N(X103)&gt;0),IFERROR(N(INDEX(Parameter!$L$5:$L$7,W103))*INDEX(Parameter!$E$5:$E$7,W103)*X103/SUMIFS($X$7:$X$1843,$W$7:$W$1843,W103),0),0)</f>
        <v>0</v>
      </c>
    </row>
    <row r="104" customFormat="false" ht="15" hidden="false" customHeight="false" outlineLevel="0" collapsed="false">
      <c r="A104" s="55" t="s">
        <v>420</v>
      </c>
      <c r="B104" s="55" t="s">
        <v>374</v>
      </c>
      <c r="C104" s="55" t="s">
        <v>164</v>
      </c>
      <c r="D104" s="55" t="s">
        <v>184</v>
      </c>
      <c r="E104" s="55" t="s">
        <v>185</v>
      </c>
      <c r="F104" s="55" t="s">
        <v>218</v>
      </c>
      <c r="G104" s="56" t="n">
        <v>12.37</v>
      </c>
      <c r="H104" s="57" t="n">
        <f aca="false">MAX(0,IF(AND(Parameter!$B$21="Ja",ISNUMBER(Y104)),Y104,IF(Parameter!$B$20="Jahresanfang 2025 + Export",BL104+BK104,BK104)))</f>
        <v>377</v>
      </c>
      <c r="I104" s="57" t="n">
        <f aca="false">H104*G104</f>
        <v>4663.49</v>
      </c>
      <c r="J104" s="57" t="n">
        <f aca="false">BN104*Parameter!$B$18</f>
        <v>1024</v>
      </c>
      <c r="K104" s="58" t="n">
        <v>264</v>
      </c>
      <c r="L104" s="59" t="n">
        <v>3.87878787878788</v>
      </c>
      <c r="M104" s="57" t="n">
        <v>65</v>
      </c>
      <c r="N104" s="57" t="n">
        <v>500</v>
      </c>
      <c r="O104" s="60" t="n">
        <v>21</v>
      </c>
      <c r="P104" s="55" t="s">
        <v>421</v>
      </c>
      <c r="Q104" s="57" t="n">
        <v>574</v>
      </c>
      <c r="R104" s="60" t="n">
        <f aca="false">IF(BT104=1,0,IFERROR(VLOOKUP(BR104,'Gebinde-Kategorie'!$A$5:$M$45,13,0)+0,0))</f>
        <v>132</v>
      </c>
      <c r="S104" s="61"/>
      <c r="T104" s="62"/>
      <c r="U104" s="62"/>
      <c r="V104" s="62"/>
      <c r="W104" s="55"/>
      <c r="X104" s="57"/>
      <c r="Y104" s="57"/>
      <c r="Z104" s="55" t="n">
        <f aca="false">IF(A104="","",IF(AND(Parameter!$B$21="Ja",ISNUMBER(W104)),W104,IF(BV104="2+3",IF(ISNUMBER(SEARCH("grosser Artikel",BO104)),2,IFERROR(VLOOKUP(BR104,Parameter!$F$35:$G$64,2,0),2)),IF(OR(BV104="Nein",BV104=""),"-",BV104))))</f>
        <v>3</v>
      </c>
      <c r="AA104" s="62"/>
      <c r="AB104" s="63"/>
      <c r="AC104" s="57" t="n">
        <f aca="false">AR104</f>
        <v>574</v>
      </c>
      <c r="AD104" s="57" t="n">
        <f aca="false">MAX(AR104,H104)</f>
        <v>574</v>
      </c>
      <c r="AE104" s="64"/>
      <c r="AF104" s="57" t="n">
        <f aca="false">IF(LEFT(Cockpit!$C$5,1)="A",H104,IF(CA104=1,CB104,IF(LEFT(Cockpit!$C$5,1)="B",AJ104,MAX(AJ104,H104))))</f>
        <v>377</v>
      </c>
      <c r="AG104" s="57" t="n">
        <f aca="false">IF(BT104=1,0,ROUNDUP(AF104/BS104,0))</f>
        <v>1</v>
      </c>
      <c r="AH104" s="59" t="n">
        <f aca="false">IF(CH104&gt;0,CH104*MAX(1,AF104/X104),IF(BT104=1,IF(AF104&lt;=0,0,BW104*MAX(1,IF(H104&gt;0,AF104/H104,1))),IF(R104&gt;0,AG104/R104,0))/MAX(0.1,N(Parameter!$M$21)))</f>
        <v>0.00757575757575758</v>
      </c>
      <c r="AI104" s="57" t="n">
        <f aca="false">AF104*G104</f>
        <v>4663.49</v>
      </c>
      <c r="AJ104" s="57" t="n">
        <f aca="false">ROUNDUP(MAX(J104/IF(BZ104&gt;0,BZ104,MAX(0.1,N(Cockpit!$C$6))),CC104)/BS104,0)*BS104</f>
        <v>574</v>
      </c>
      <c r="AK104" s="58" t="n">
        <f aca="false">IF(AH104&gt;0,J104/AH104,-1)</f>
        <v>135168</v>
      </c>
      <c r="AL104" s="58" t="n">
        <f aca="false">IF(AND(OR(BY104="L1",BY104="L23"),AH104&gt;0),SUMIFS($AH$7:$AH$1843,$BY$7:$BY$1843,BY104,$AK$7:$AK$1843,"&gt;"&amp;AK104)+SUMIFS($AH$7:$AH$1843,$BY$7:$BY$1843,BY104,$AK$7:$AK$1843,AK104,$BQ$7:$BQ$1843,"&lt;="&amp;BQ104),"")</f>
        <v>0.284720110807067</v>
      </c>
      <c r="AM104" s="65" t="n">
        <f aca="false">IF(AL104="",0,MAX(0,MIN(1,(IF(BY104="L1",Parameter!$E$5,Parameter!$E$6+Parameter!$E$7)-(AL104-AH104))/AH104)))</f>
        <v>1</v>
      </c>
      <c r="AN104" s="57" t="n">
        <f aca="false">IF(LEFT(Cockpit!$I$5,1)="A",H104,IF(CA104=1,CB104,IF(LEFT(Cockpit!$I$5,1)="B",AR104,MAX(AR104,H104))))</f>
        <v>574</v>
      </c>
      <c r="AO104" s="57" t="n">
        <f aca="false">IF(BT104=1,0,ROUNDUP(AN104/BS104,0))</f>
        <v>1</v>
      </c>
      <c r="AP104" s="59" t="n">
        <f aca="false">IF(CH104&gt;0,CH104*MAX(1,AN104/X104),IF(BT104=1,IF(AN104&lt;=0,0,BW104*MAX(1,IF(H104&gt;0,AN104/H104,1))),IF(R104&gt;0,AO104/R104,0))/MAX(0.1,N(Parameter!$M$21)))</f>
        <v>0.00757575757575758</v>
      </c>
      <c r="AQ104" s="57" t="n">
        <f aca="false">AN104*G104</f>
        <v>7100.38</v>
      </c>
      <c r="AR104" s="57" t="n">
        <f aca="false">ROUNDUP(MAX(J104/IF(BZ104&gt;0,BZ104,MAX(0.1,N(Cockpit!$I$6))),CC104)/BS104,0)*BS104</f>
        <v>574</v>
      </c>
      <c r="AS104" s="58" t="n">
        <f aca="false">IF(AP104&gt;0,J104/AP104,-1)</f>
        <v>135168</v>
      </c>
      <c r="AT104" s="58" t="n">
        <f aca="false">IF(AND(OR(BY104="L1",BY104="L23"),AP104&gt;0),SUMIFS($AP$7:$AP$1843,$BY$7:$BY$1843,BY104,$AS$7:$AS$1843,"&gt;"&amp;AS104)+SUMIFS($AP$7:$AP$1843,$BY$7:$BY$1843,BY104,$AS$7:$AS$1843,AS104,$BQ$7:$BQ$1843,"&lt;="&amp;BQ104),"")</f>
        <v>0.186150805716023</v>
      </c>
      <c r="AU104" s="65" t="n">
        <f aca="false">IF(AT104="",0,MAX(0,MIN(1,(IF(BY104="L1",Parameter!$E$5,Parameter!$E$6+Parameter!$E$7)-(AT104-AP104))/AP104)))</f>
        <v>1</v>
      </c>
      <c r="AV104" s="57" t="n">
        <f aca="false">IF(LEFT(Cockpit!$O$5,1)="A",H104,IF(CA104=1,CB104,IF(LEFT(Cockpit!$O$5,1)="B",AZ104,MAX(AZ104,H104))))</f>
        <v>574</v>
      </c>
      <c r="AW104" s="57" t="n">
        <f aca="false">IF(BT104=1,0,ROUNDUP(AV104/BS104,0))</f>
        <v>1</v>
      </c>
      <c r="AX104" s="59" t="n">
        <f aca="false">IF(CH104&gt;0,CH104*MAX(1,AV104/X104),IF(BT104=1,IF(AV104&lt;=0,0,BW104*MAX(1,IF(H104&gt;0,AV104/H104,1))),IF(R104&gt;0,AW104/R104,0))/MAX(0.1,N(Parameter!$M$21)))</f>
        <v>0.00757575757575758</v>
      </c>
      <c r="AY104" s="57" t="n">
        <f aca="false">AV104*G104</f>
        <v>7100.38</v>
      </c>
      <c r="AZ104" s="57" t="n">
        <f aca="false">ROUNDUP(MAX(J104/IF(BZ104&gt;0,BZ104,MAX(0.1,N(Cockpit!$O$6))),CC104)/BS104,0)*BS104</f>
        <v>574</v>
      </c>
      <c r="BA104" s="58" t="n">
        <f aca="false">IF(AX104&gt;0,J104/AX104,-1)</f>
        <v>135168</v>
      </c>
      <c r="BB104" s="58" t="n">
        <f aca="false">IF(AND(OR(BY104="L1",BY104="L23"),AX104&gt;0),SUMIFS($AX$7:$AX$1843,$BY$7:$BY$1843,BY104,$BA$7:$BA$1843,"&gt;"&amp;BA104)+SUMIFS($AX$7:$AX$1843,$BY$7:$BY$1843,BY104,$BA$7:$BA$1843,BA104,$BQ$7:$BQ$1843,"&lt;="&amp;BQ104),"")</f>
        <v>0.186150805716023</v>
      </c>
      <c r="BC104" s="65" t="n">
        <f aca="false">IF(BB104="",0,MAX(0,MIN(1,(IF(BY104="L1",Parameter!$E$5,Parameter!$E$6+Parameter!$E$7)-(BB104-AX104))/AX104)))</f>
        <v>1</v>
      </c>
      <c r="BD104" s="55" t="str">
        <f aca="false">IF(AH104&lt;=0,"",IF(BY104="Aussen","Aussenlager",IF(BY104="-","Nicht im Lift",IF(AM104&gt;=1,"Lift",IF(AM104&lt;=0,"Aussenlager","teilweise")))))</f>
        <v>Lift</v>
      </c>
      <c r="BE104" s="55" t="str">
        <f aca="false">IF(AP104&lt;=0,"",IF(BY104="Aussen","Aussenlager",IF(BY104="-","Nicht im Lift",IF(AU104&gt;=1,"Lift",IF(AU104&lt;=0,"Aussenlager","teilweise")))))</f>
        <v>Lift</v>
      </c>
      <c r="BF104" s="55" t="str">
        <f aca="false">IF(AX104&lt;=0,"",IF(BY104="Aussen","Aussenlager",IF(BY104="-","Nicht im Lift",IF(BC104&gt;=1,"Lift",IF(BC104&lt;=0,"Aussenlager","teilweise")))))</f>
        <v>Lift</v>
      </c>
      <c r="BG104" s="55" t="str">
        <f aca="false">IF(A104="","",IF(BP104=1,"Neu; ","")&amp;IF(AND(BP104=0,BK104&lt;0),"negativer Bestand (Export "&amp;BK104&amp;"); ","")&amp;IF(J104&lt;=0,"Kein Verbrauch; ","")&amp;IF(CH104&gt;0,"Lift "&amp;W104&amp;" lt. Liftbericht (Fach "&amp;X104&amp;" Stk); ",IF(BU104=1,"Gebinde geschätzt ("&amp;T104&amp;"); ",IF(BT104=1,"Lose – Tablare geschätzt; ","")))&amp;IF(H104&gt;AR104,"Überbestand "&amp;ROUND(H104-AR104,0)&amp;" Stk / CHF "&amp;ROUND((H104-AR104)*G104,0)&amp;"; ","")&amp;IF(AND(CA104=1,CB104&lt;CC104),"MAX &lt; MB+LG; ","")&amp;IF(AND(CG104&gt;0,CF104*10&gt;CG104),"zu hoch für Tablar; ","")&amp;IF(AND(BP104=0,OR(CA104=1,AA104&lt;&gt;"",U104&lt;&gt;"",V104&lt;&gt;"",AB104&lt;&gt;"")),"manuell übersteuert; ","")&amp;IF(AND(BT104=0,R104=0),"Gebinde unbekannt / Stellmass fehlt; ","")&amp;IF(AND(BT104=0,N(V104)&lt;=0,N(Q104)&lt;=0),"Menge pro Gebinde fehlt (Ist = 1 Gebinde); ","")&amp;BO104)</f>
        <v/>
      </c>
      <c r="BH104" s="55"/>
      <c r="BI104" s="55"/>
      <c r="BJ104" s="62"/>
      <c r="BK104" s="57" t="n">
        <v>196</v>
      </c>
      <c r="BL104" s="57" t="n">
        <v>181</v>
      </c>
      <c r="BM104" s="56" t="n">
        <v>2298.74</v>
      </c>
      <c r="BN104" s="57" t="n">
        <v>1024</v>
      </c>
      <c r="BO104" s="55"/>
      <c r="BP104" s="60" t="n">
        <v>0</v>
      </c>
      <c r="BQ104" s="60" t="n">
        <v>104</v>
      </c>
      <c r="BR104" s="55" t="str">
        <f aca="false">IF(U104&lt;&gt;"",UPPER(TRIM(U104)),IF(BU104=1,UPPER(VLOOKUP(T104,Parameter!$I$27:$K$29,2,0)),IF(P104="","LOSE",P104)))</f>
        <v>S32</v>
      </c>
      <c r="BS104" s="57" t="n">
        <f aca="false">IF(BR104="LOSE",1,IF(N(V104)&gt;0,V104,IF(BU104=1,MAX(1,N(VLOOKUP(T104,Parameter!$I$27:$K$29,3,0)),H104,N(N104)),IF(N(Q104)&gt;0,Q104,MAX(1,H104)))))</f>
        <v>574</v>
      </c>
      <c r="BT104" s="60" t="n">
        <f aca="false">IF(BR104="LOSE",1,0)</f>
        <v>0</v>
      </c>
      <c r="BU104" s="60" t="n">
        <f aca="false">IF(AND(U104="",OR(P104="",P104="LOSE"),T104&lt;&gt;"",N(S104)&lt;=0,ISNUMBER(MATCH(T104,Parameter!$I$27:$I$29,0))),1,0)</f>
        <v>0</v>
      </c>
      <c r="BV104" s="55" t="str">
        <f aca="false">IF(AND(Parameter!$B$19="Ja",E104&lt;&gt;"",ISNUMBER(MATCH(E104,Parameter!$I$35:$I$52,0))),VLOOKUP(E104,Parameter!$I$35:$J$52,2,0),IFERROR(VLOOKUP(D104,Parameter!$A$35:$C$64,2,0),"Nein"))</f>
        <v>2+3</v>
      </c>
      <c r="BW104" s="59" t="n">
        <f aca="false">IF(BT104=0,0,IF(N(S104)&gt;0,S104,IFERROR(VLOOKUP(D104,Parameter!$A$35:$C$64,3,0)+0,0)))</f>
        <v>0</v>
      </c>
      <c r="BX104" s="55" t="n">
        <f aca="false">IF(AA104&lt;&gt;"",AA104,Z104)</f>
        <v>3</v>
      </c>
      <c r="BY104" s="55" t="str">
        <f aca="false">IF(BX104=1,"L1",IF(OR(BX104=2,BX104=3),"L23",IF(BX104="Aussen","Aussen","-")))</f>
        <v>L23</v>
      </c>
      <c r="BZ104" s="66" t="n">
        <f aca="false">IF(N(AB104)&gt;0,AB104,0)</f>
        <v>0</v>
      </c>
      <c r="CA104" s="60" t="n">
        <f aca="false">IF(ISNUMBER(AE104),1,0)</f>
        <v>0</v>
      </c>
      <c r="CB104" s="57" t="n">
        <f aca="false">N(AE104)</f>
        <v>0</v>
      </c>
      <c r="CC104" s="57" t="n">
        <f aca="false">N(M104)+N(N104)</f>
        <v>565</v>
      </c>
      <c r="CD104" s="57" t="n">
        <f aca="false">ROUNDUP(H104/BS104,0)</f>
        <v>1</v>
      </c>
      <c r="CE104" s="57" t="n">
        <f aca="false">ROUNDUP(CB104/BS104,0)</f>
        <v>0</v>
      </c>
      <c r="CF104" s="60" t="n">
        <f aca="false">IF(BT104=1,0,IFERROR(VLOOKUP(BR104,'Gebinde-Kategorie'!$A$5:$M$45,5,0)+0,0))</f>
        <v>8</v>
      </c>
      <c r="CG104" s="60" t="n">
        <f aca="false">IFERROR(IF(OR(BX104=1,BX104=2,BX104=3),N(INDEX(Parameter!$I$5:$I$7,BX104)),0),0)</f>
        <v>0</v>
      </c>
      <c r="CH104" s="59" t="n">
        <f aca="false">IF(AND(Parameter!$B$21="Ja",ISNUMBER(W104),N(X104)&gt;0),IFERROR(N(INDEX(Parameter!$L$5:$L$7,W104))*INDEX(Parameter!$E$5:$E$7,W104)*X104/SUMIFS($X$7:$X$1843,$W$7:$W$1843,W104),0),0)</f>
        <v>0</v>
      </c>
    </row>
    <row r="105" customFormat="false" ht="15" hidden="false" customHeight="false" outlineLevel="0" collapsed="false">
      <c r="A105" s="55" t="s">
        <v>422</v>
      </c>
      <c r="B105" s="55" t="s">
        <v>423</v>
      </c>
      <c r="C105" s="55" t="s">
        <v>164</v>
      </c>
      <c r="D105" s="55" t="s">
        <v>173</v>
      </c>
      <c r="E105" s="55" t="s">
        <v>173</v>
      </c>
      <c r="F105" s="55" t="s">
        <v>218</v>
      </c>
      <c r="G105" s="56" t="n">
        <v>448.5</v>
      </c>
      <c r="H105" s="57" t="n">
        <f aca="false">MAX(0,IF(AND(Parameter!$B$21="Ja",ISNUMBER(Y105)),Y105,IF(Parameter!$B$20="Jahresanfang 2025 + Export",BL105+BK105,BK105)))</f>
        <v>6</v>
      </c>
      <c r="I105" s="57" t="n">
        <f aca="false">H105*G105</f>
        <v>2691</v>
      </c>
      <c r="J105" s="57" t="n">
        <f aca="false">BN105*Parameter!$B$18</f>
        <v>5</v>
      </c>
      <c r="K105" s="58" t="n">
        <v>3.5</v>
      </c>
      <c r="L105" s="59" t="n">
        <v>1.42857142857143</v>
      </c>
      <c r="M105" s="57" t="n">
        <v>0</v>
      </c>
      <c r="N105" s="57" t="n">
        <v>5</v>
      </c>
      <c r="O105" s="60" t="n">
        <v>21</v>
      </c>
      <c r="P105" s="55" t="s">
        <v>168</v>
      </c>
      <c r="Q105" s="57"/>
      <c r="R105" s="60" t="n">
        <f aca="false">IF(BT105=1,0,IFERROR(VLOOKUP(BR105,'Gebinde-Kategorie'!$A$5:$M$45,13,0)+0,0))</f>
        <v>3</v>
      </c>
      <c r="S105" s="61"/>
      <c r="T105" s="62" t="s">
        <v>189</v>
      </c>
      <c r="U105" s="62"/>
      <c r="V105" s="62"/>
      <c r="W105" s="55"/>
      <c r="X105" s="57"/>
      <c r="Y105" s="57"/>
      <c r="Z105" s="55" t="str">
        <f aca="false">IF(A105="","",IF(AND(Parameter!$B$21="Ja",ISNUMBER(W105)),W105,IF(BV105="2+3",IF(ISNUMBER(SEARCH("grosser Artikel",BO105)),2,IFERROR(VLOOKUP(BR105,Parameter!$F$35:$G$64,2,0),2)),IF(OR(BV105="Nein",BV105=""),"-",BV105))))</f>
        <v>-</v>
      </c>
      <c r="AA105" s="62"/>
      <c r="AB105" s="63"/>
      <c r="AC105" s="57" t="n">
        <f aca="false">AR105</f>
        <v>6</v>
      </c>
      <c r="AD105" s="57" t="n">
        <f aca="false">MAX(AR105,H105)</f>
        <v>6</v>
      </c>
      <c r="AE105" s="64"/>
      <c r="AF105" s="57" t="n">
        <f aca="false">IF(LEFT(Cockpit!$C$5,1)="A",H105,IF(CA105=1,CB105,IF(LEFT(Cockpit!$C$5,1)="B",AJ105,MAX(AJ105,H105))))</f>
        <v>6</v>
      </c>
      <c r="AG105" s="57" t="n">
        <f aca="false">IF(BT105=1,0,ROUNDUP(AF105/BS105,0))</f>
        <v>1</v>
      </c>
      <c r="AH105" s="59" t="n">
        <f aca="false">IF(CH105&gt;0,CH105*MAX(1,AF105/X105),IF(BT105=1,IF(AF105&lt;=0,0,BW105*MAX(1,IF(H105&gt;0,AF105/H105,1))),IF(R105&gt;0,AG105/R105,0))/MAX(0.1,N(Parameter!$M$21)))</f>
        <v>0.333333333333333</v>
      </c>
      <c r="AI105" s="57" t="n">
        <f aca="false">AF105*G105</f>
        <v>2691</v>
      </c>
      <c r="AJ105" s="57" t="n">
        <f aca="false">ROUNDUP(MAX(J105/IF(BZ105&gt;0,BZ105,MAX(0.1,N(Cockpit!$C$6))),CC105)/BS105,0)*BS105</f>
        <v>6</v>
      </c>
      <c r="AK105" s="58" t="n">
        <f aca="false">IF(AH105&gt;0,J105/AH105,-1)</f>
        <v>15</v>
      </c>
      <c r="AL105" s="58" t="str">
        <f aca="false">IF(AND(OR(BY105="L1",BY105="L23"),AH105&gt;0),SUMIFS($AH$7:$AH$1843,$BY$7:$BY$1843,BY105,$AK$7:$AK$1843,"&gt;"&amp;AK105)+SUMIFS($AH$7:$AH$1843,$BY$7:$BY$1843,BY105,$AK$7:$AK$1843,AK105,$BQ$7:$BQ$1843,"&lt;="&amp;BQ105),"")</f>
        <v/>
      </c>
      <c r="AM105" s="65" t="n">
        <f aca="false">IF(AL105="",0,MAX(0,MIN(1,(IF(BY105="L1",Parameter!$E$5,Parameter!$E$6+Parameter!$E$7)-(AL105-AH105))/AH105)))</f>
        <v>0</v>
      </c>
      <c r="AN105" s="57" t="n">
        <f aca="false">IF(LEFT(Cockpit!$I$5,1)="A",H105,IF(CA105=1,CB105,IF(LEFT(Cockpit!$I$5,1)="B",AR105,MAX(AR105,H105))))</f>
        <v>6</v>
      </c>
      <c r="AO105" s="57" t="n">
        <f aca="false">IF(BT105=1,0,ROUNDUP(AN105/BS105,0))</f>
        <v>1</v>
      </c>
      <c r="AP105" s="59" t="n">
        <f aca="false">IF(CH105&gt;0,CH105*MAX(1,AN105/X105),IF(BT105=1,IF(AN105&lt;=0,0,BW105*MAX(1,IF(H105&gt;0,AN105/H105,1))),IF(R105&gt;0,AO105/R105,0))/MAX(0.1,N(Parameter!$M$21)))</f>
        <v>0.333333333333333</v>
      </c>
      <c r="AQ105" s="57" t="n">
        <f aca="false">AN105*G105</f>
        <v>2691</v>
      </c>
      <c r="AR105" s="57" t="n">
        <f aca="false">ROUNDUP(MAX(J105/IF(BZ105&gt;0,BZ105,MAX(0.1,N(Cockpit!$I$6))),CC105)/BS105,0)*BS105</f>
        <v>6</v>
      </c>
      <c r="AS105" s="58" t="n">
        <f aca="false">IF(AP105&gt;0,J105/AP105,-1)</f>
        <v>15</v>
      </c>
      <c r="AT105" s="58" t="str">
        <f aca="false">IF(AND(OR(BY105="L1",BY105="L23"),AP105&gt;0),SUMIFS($AP$7:$AP$1843,$BY$7:$BY$1843,BY105,$AS$7:$AS$1843,"&gt;"&amp;AS105)+SUMIFS($AP$7:$AP$1843,$BY$7:$BY$1843,BY105,$AS$7:$AS$1843,AS105,$BQ$7:$BQ$1843,"&lt;="&amp;BQ105),"")</f>
        <v/>
      </c>
      <c r="AU105" s="65" t="n">
        <f aca="false">IF(AT105="",0,MAX(0,MIN(1,(IF(BY105="L1",Parameter!$E$5,Parameter!$E$6+Parameter!$E$7)-(AT105-AP105))/AP105)))</f>
        <v>0</v>
      </c>
      <c r="AV105" s="57" t="n">
        <f aca="false">IF(LEFT(Cockpit!$O$5,1)="A",H105,IF(CA105=1,CB105,IF(LEFT(Cockpit!$O$5,1)="B",AZ105,MAX(AZ105,H105))))</f>
        <v>6</v>
      </c>
      <c r="AW105" s="57" t="n">
        <f aca="false">IF(BT105=1,0,ROUNDUP(AV105/BS105,0))</f>
        <v>1</v>
      </c>
      <c r="AX105" s="59" t="n">
        <f aca="false">IF(CH105&gt;0,CH105*MAX(1,AV105/X105),IF(BT105=1,IF(AV105&lt;=0,0,BW105*MAX(1,IF(H105&gt;0,AV105/H105,1))),IF(R105&gt;0,AW105/R105,0))/MAX(0.1,N(Parameter!$M$21)))</f>
        <v>0.333333333333333</v>
      </c>
      <c r="AY105" s="57" t="n">
        <f aca="false">AV105*G105</f>
        <v>2691</v>
      </c>
      <c r="AZ105" s="57" t="n">
        <f aca="false">ROUNDUP(MAX(J105/IF(BZ105&gt;0,BZ105,MAX(0.1,N(Cockpit!$O$6))),CC105)/BS105,0)*BS105</f>
        <v>6</v>
      </c>
      <c r="BA105" s="58" t="n">
        <f aca="false">IF(AX105&gt;0,J105/AX105,-1)</f>
        <v>15</v>
      </c>
      <c r="BB105" s="58" t="str">
        <f aca="false">IF(AND(OR(BY105="L1",BY105="L23"),AX105&gt;0),SUMIFS($AX$7:$AX$1843,$BY$7:$BY$1843,BY105,$BA$7:$BA$1843,"&gt;"&amp;BA105)+SUMIFS($AX$7:$AX$1843,$BY$7:$BY$1843,BY105,$BA$7:$BA$1843,BA105,$BQ$7:$BQ$1843,"&lt;="&amp;BQ105),"")</f>
        <v/>
      </c>
      <c r="BC105" s="65" t="n">
        <f aca="false">IF(BB105="",0,MAX(0,MIN(1,(IF(BY105="L1",Parameter!$E$5,Parameter!$E$6+Parameter!$E$7)-(BB105-AX105))/AX105)))</f>
        <v>0</v>
      </c>
      <c r="BD105" s="55" t="str">
        <f aca="false">IF(AH105&lt;=0,"",IF(BY105="Aussen","Aussenlager",IF(BY105="-","Nicht im Lift",IF(AM105&gt;=1,"Lift",IF(AM105&lt;=0,"Aussenlager","teilweise")))))</f>
        <v>Nicht im Lift</v>
      </c>
      <c r="BE105" s="55" t="str">
        <f aca="false">IF(AP105&lt;=0,"",IF(BY105="Aussen","Aussenlager",IF(BY105="-","Nicht im Lift",IF(AU105&gt;=1,"Lift",IF(AU105&lt;=0,"Aussenlager","teilweise")))))</f>
        <v>Nicht im Lift</v>
      </c>
      <c r="BF105" s="55" t="str">
        <f aca="false">IF(AX105&lt;=0,"",IF(BY105="Aussen","Aussenlager",IF(BY105="-","Nicht im Lift",IF(BC105&gt;=1,"Lift",IF(BC105&lt;=0,"Aussenlager","teilweise")))))</f>
        <v>Nicht im Lift</v>
      </c>
      <c r="BG105" s="55" t="str">
        <f aca="false">IF(A105="","",IF(BP105=1,"Neu; ","")&amp;IF(AND(BP105=0,BK105&lt;0),"negativer Bestand (Export "&amp;BK105&amp;"); ","")&amp;IF(J105&lt;=0,"Kein Verbrauch; ","")&amp;IF(CH105&gt;0,"Lift "&amp;W105&amp;" lt. Liftbericht (Fach "&amp;X105&amp;" Stk); ",IF(BU105=1,"Gebinde geschätzt ("&amp;T105&amp;"); ",IF(BT105=1,"Lose – Tablare geschätzt; ","")))&amp;IF(H105&gt;AR105,"Überbestand "&amp;ROUND(H105-AR105,0)&amp;" Stk / CHF "&amp;ROUND((H105-AR105)*G105,0)&amp;"; ","")&amp;IF(AND(CA105=1,CB105&lt;CC105),"MAX &lt; MB+LG; ","")&amp;IF(AND(CG105&gt;0,CF105*10&gt;CG105),"zu hoch für Tablar; ","")&amp;IF(AND(BP105=0,OR(CA105=1,AA105&lt;&gt;"",U105&lt;&gt;"",V105&lt;&gt;"",AB105&lt;&gt;"")),"manuell übersteuert; ","")&amp;IF(AND(BT105=0,R105=0),"Gebinde unbekannt / Stellmass fehlt; ","")&amp;IF(AND(BT105=0,N(V105)&lt;=0,N(Q105)&lt;=0),"Menge pro Gebinde fehlt (Ist = 1 Gebinde); ","")&amp;BO105)</f>
        <v>Gebinde geschätzt (Gross); Menge pro Gebinde fehlt (Ist = 1 Gebinde); </v>
      </c>
      <c r="BH105" s="55"/>
      <c r="BI105" s="55"/>
      <c r="BJ105" s="62"/>
      <c r="BK105" s="57" t="n">
        <v>5</v>
      </c>
      <c r="BL105" s="57" t="n">
        <v>1</v>
      </c>
      <c r="BM105" s="56" t="n">
        <v>2291.16</v>
      </c>
      <c r="BN105" s="57" t="n">
        <v>5</v>
      </c>
      <c r="BO105" s="55"/>
      <c r="BP105" s="60" t="n">
        <v>0</v>
      </c>
      <c r="BQ105" s="60" t="n">
        <v>105</v>
      </c>
      <c r="BR105" s="55" t="str">
        <f aca="false">IF(U105&lt;&gt;"",UPPER(TRIM(U105)),IF(BU105=1,UPPER(VLOOKUP(T105,Parameter!$I$27:$K$29,2,0)),IF(P105="","LOSE",P105)))</f>
        <v>S81</v>
      </c>
      <c r="BS105" s="57" t="n">
        <f aca="false">IF(BR105="LOSE",1,IF(N(V105)&gt;0,V105,IF(BU105=1,MAX(1,N(VLOOKUP(T105,Parameter!$I$27:$K$29,3,0)),H105,N(N105)),IF(N(Q105)&gt;0,Q105,MAX(1,H105)))))</f>
        <v>6</v>
      </c>
      <c r="BT105" s="60" t="n">
        <f aca="false">IF(BR105="LOSE",1,0)</f>
        <v>0</v>
      </c>
      <c r="BU105" s="60" t="n">
        <f aca="false">IF(AND(U105="",OR(P105="",P105="LOSE"),T105&lt;&gt;"",N(S105)&lt;=0,ISNUMBER(MATCH(T105,Parameter!$I$27:$I$29,0))),1,0)</f>
        <v>1</v>
      </c>
      <c r="BV105" s="55" t="str">
        <f aca="false">IF(AND(Parameter!$B$19="Ja",E105&lt;&gt;"",ISNUMBER(MATCH(E105,Parameter!$I$35:$I$52,0))),VLOOKUP(E105,Parameter!$I$35:$J$52,2,0),IFERROR(VLOOKUP(D105,Parameter!$A$35:$C$64,2,0),"Nein"))</f>
        <v>Nein</v>
      </c>
      <c r="BW105" s="59" t="n">
        <f aca="false">IF(BT105=0,0,IF(N(S105)&gt;0,S105,IFERROR(VLOOKUP(D105,Parameter!$A$35:$C$64,3,0)+0,0)))</f>
        <v>0</v>
      </c>
      <c r="BX105" s="55" t="str">
        <f aca="false">IF(AA105&lt;&gt;"",AA105,Z105)</f>
        <v>-</v>
      </c>
      <c r="BY105" s="55" t="str">
        <f aca="false">IF(BX105=1,"L1",IF(OR(BX105=2,BX105=3),"L23",IF(BX105="Aussen","Aussen","-")))</f>
        <v>-</v>
      </c>
      <c r="BZ105" s="66" t="n">
        <f aca="false">IF(N(AB105)&gt;0,AB105,0)</f>
        <v>0</v>
      </c>
      <c r="CA105" s="60" t="n">
        <f aca="false">IF(ISNUMBER(AE105),1,0)</f>
        <v>0</v>
      </c>
      <c r="CB105" s="57" t="n">
        <f aca="false">N(AE105)</f>
        <v>0</v>
      </c>
      <c r="CC105" s="57" t="n">
        <f aca="false">N(M105)+N(N105)</f>
        <v>5</v>
      </c>
      <c r="CD105" s="57" t="n">
        <f aca="false">ROUNDUP(H105/BS105,0)</f>
        <v>1</v>
      </c>
      <c r="CE105" s="57" t="n">
        <f aca="false">ROUNDUP(CB105/BS105,0)</f>
        <v>0</v>
      </c>
      <c r="CF105" s="60" t="n">
        <f aca="false">IF(BT105=1,0,IFERROR(VLOOKUP(BR105,'Gebinde-Kategorie'!$A$5:$M$45,5,0)+0,0))</f>
        <v>20</v>
      </c>
      <c r="CG105" s="60" t="n">
        <f aca="false">IFERROR(IF(OR(BX105=1,BX105=2,BX105=3),N(INDEX(Parameter!$I$5:$I$7,BX105)),0),0)</f>
        <v>0</v>
      </c>
      <c r="CH105" s="59" t="n">
        <f aca="false">IF(AND(Parameter!$B$21="Ja",ISNUMBER(W105),N(X105)&gt;0),IFERROR(N(INDEX(Parameter!$L$5:$L$7,W105))*INDEX(Parameter!$E$5:$E$7,W105)*X105/SUMIFS($X$7:$X$1843,$W$7:$W$1843,W105),0),0)</f>
        <v>0</v>
      </c>
    </row>
    <row r="106" customFormat="false" ht="15" hidden="false" customHeight="false" outlineLevel="0" collapsed="false">
      <c r="A106" s="55" t="s">
        <v>424</v>
      </c>
      <c r="B106" s="55" t="s">
        <v>425</v>
      </c>
      <c r="C106" s="55" t="s">
        <v>164</v>
      </c>
      <c r="D106" s="55" t="s">
        <v>184</v>
      </c>
      <c r="E106" s="55" t="s">
        <v>185</v>
      </c>
      <c r="F106" s="55" t="s">
        <v>218</v>
      </c>
      <c r="G106" s="56" t="n">
        <v>17.68</v>
      </c>
      <c r="H106" s="57" t="n">
        <f aca="false">MAX(0,IF(AND(Parameter!$B$21="Ja",ISNUMBER(Y106)),Y106,IF(Parameter!$B$20="Jahresanfang 2025 + Export",BL106+BK106,BK106)))</f>
        <v>214</v>
      </c>
      <c r="I106" s="57" t="n">
        <f aca="false">H106*G106</f>
        <v>3783.52</v>
      </c>
      <c r="J106" s="57" t="n">
        <f aca="false">BN106*Parameter!$B$18</f>
        <v>618</v>
      </c>
      <c r="K106" s="58" t="n">
        <v>140</v>
      </c>
      <c r="L106" s="59" t="n">
        <v>4.41428571428572</v>
      </c>
      <c r="M106" s="57" t="n">
        <v>36</v>
      </c>
      <c r="N106" s="57" t="n">
        <v>100</v>
      </c>
      <c r="O106" s="60" t="n">
        <v>21</v>
      </c>
      <c r="P106" s="55" t="s">
        <v>426</v>
      </c>
      <c r="Q106" s="57" t="n">
        <v>333</v>
      </c>
      <c r="R106" s="60" t="n">
        <f aca="false">IF(BT106=1,0,IFERROR(VLOOKUP(BR106,'Gebinde-Kategorie'!$A$5:$M$45,13,0)+0,0))</f>
        <v>198</v>
      </c>
      <c r="S106" s="61"/>
      <c r="T106" s="62"/>
      <c r="U106" s="62"/>
      <c r="V106" s="62"/>
      <c r="W106" s="55"/>
      <c r="X106" s="57"/>
      <c r="Y106" s="57"/>
      <c r="Z106" s="55" t="n">
        <f aca="false">IF(A106="","",IF(AND(Parameter!$B$21="Ja",ISNUMBER(W106)),W106,IF(BV106="2+3",IF(ISNUMBER(SEARCH("grosser Artikel",BO106)),2,IFERROR(VLOOKUP(BR106,Parameter!$F$35:$G$64,2,0),2)),IF(OR(BV106="Nein",BV106=""),"-",BV106))))</f>
        <v>3</v>
      </c>
      <c r="AA106" s="62"/>
      <c r="AB106" s="63"/>
      <c r="AC106" s="57" t="n">
        <f aca="false">AR106</f>
        <v>333</v>
      </c>
      <c r="AD106" s="57" t="n">
        <f aca="false">MAX(AR106,H106)</f>
        <v>333</v>
      </c>
      <c r="AE106" s="64"/>
      <c r="AF106" s="57" t="n">
        <f aca="false">IF(LEFT(Cockpit!$C$5,1)="A",H106,IF(CA106=1,CB106,IF(LEFT(Cockpit!$C$5,1)="B",AJ106,MAX(AJ106,H106))))</f>
        <v>214</v>
      </c>
      <c r="AG106" s="57" t="n">
        <f aca="false">IF(BT106=1,0,ROUNDUP(AF106/BS106,0))</f>
        <v>1</v>
      </c>
      <c r="AH106" s="59" t="n">
        <f aca="false">IF(CH106&gt;0,CH106*MAX(1,AF106/X106),IF(BT106=1,IF(AF106&lt;=0,0,BW106*MAX(1,IF(H106&gt;0,AF106/H106,1))),IF(R106&gt;0,AG106/R106,0))/MAX(0.1,N(Parameter!$M$21)))</f>
        <v>0.00505050505050505</v>
      </c>
      <c r="AI106" s="57" t="n">
        <f aca="false">AF106*G106</f>
        <v>3783.52</v>
      </c>
      <c r="AJ106" s="57" t="n">
        <f aca="false">ROUNDUP(MAX(J106/IF(BZ106&gt;0,BZ106,MAX(0.1,N(Cockpit!$C$6))),CC106)/BS106,0)*BS106</f>
        <v>333</v>
      </c>
      <c r="AK106" s="58" t="n">
        <f aca="false">IF(AH106&gt;0,J106/AH106,-1)</f>
        <v>122364</v>
      </c>
      <c r="AL106" s="58" t="n">
        <f aca="false">IF(AND(OR(BY106="L1",BY106="L23"),AH106&gt;0),SUMIFS($AH$7:$AH$1843,$BY$7:$BY$1843,BY106,$AK$7:$AK$1843,"&gt;"&amp;AK106)+SUMIFS($AH$7:$AH$1843,$BY$7:$BY$1843,BY106,$AK$7:$AK$1843,AK106,$BQ$7:$BQ$1843,"&lt;="&amp;BQ106),"")</f>
        <v>0.299652038782474</v>
      </c>
      <c r="AM106" s="65" t="n">
        <f aca="false">IF(AL106="",0,MAX(0,MIN(1,(IF(BY106="L1",Parameter!$E$5,Parameter!$E$6+Parameter!$E$7)-(AL106-AH106))/AH106)))</f>
        <v>1</v>
      </c>
      <c r="AN106" s="57" t="n">
        <f aca="false">IF(LEFT(Cockpit!$I$5,1)="A",H106,IF(CA106=1,CB106,IF(LEFT(Cockpit!$I$5,1)="B",AR106,MAX(AR106,H106))))</f>
        <v>333</v>
      </c>
      <c r="AO106" s="57" t="n">
        <f aca="false">IF(BT106=1,0,ROUNDUP(AN106/BS106,0))</f>
        <v>1</v>
      </c>
      <c r="AP106" s="59" t="n">
        <f aca="false">IF(CH106&gt;0,CH106*MAX(1,AN106/X106),IF(BT106=1,IF(AN106&lt;=0,0,BW106*MAX(1,IF(H106&gt;0,AN106/H106,1))),IF(R106&gt;0,AO106/R106,0))/MAX(0.1,N(Parameter!$M$21)))</f>
        <v>0.00505050505050505</v>
      </c>
      <c r="AQ106" s="57" t="n">
        <f aca="false">AN106*G106</f>
        <v>5887.44</v>
      </c>
      <c r="AR106" s="57" t="n">
        <f aca="false">ROUNDUP(MAX(J106/IF(BZ106&gt;0,BZ106,MAX(0.1,N(Cockpit!$I$6))),CC106)/BS106,0)*BS106</f>
        <v>333</v>
      </c>
      <c r="AS106" s="58" t="n">
        <f aca="false">IF(AP106&gt;0,J106/AP106,-1)</f>
        <v>122364</v>
      </c>
      <c r="AT106" s="58" t="n">
        <f aca="false">IF(AND(OR(BY106="L1",BY106="L23"),AP106&gt;0),SUMIFS($AP$7:$AP$1843,$BY$7:$BY$1843,BY106,$AS$7:$AS$1843,"&gt;"&amp;AS106)+SUMIFS($AP$7:$AP$1843,$BY$7:$BY$1843,BY106,$AS$7:$AS$1843,AS106,$BQ$7:$BQ$1843,"&lt;="&amp;BQ106),"")</f>
        <v>0.198667274754231</v>
      </c>
      <c r="AU106" s="65" t="n">
        <f aca="false">IF(AT106="",0,MAX(0,MIN(1,(IF(BY106="L1",Parameter!$E$5,Parameter!$E$6+Parameter!$E$7)-(AT106-AP106))/AP106)))</f>
        <v>1</v>
      </c>
      <c r="AV106" s="57" t="n">
        <f aca="false">IF(LEFT(Cockpit!$O$5,1)="A",H106,IF(CA106=1,CB106,IF(LEFT(Cockpit!$O$5,1)="B",AZ106,MAX(AZ106,H106))))</f>
        <v>333</v>
      </c>
      <c r="AW106" s="57" t="n">
        <f aca="false">IF(BT106=1,0,ROUNDUP(AV106/BS106,0))</f>
        <v>1</v>
      </c>
      <c r="AX106" s="59" t="n">
        <f aca="false">IF(CH106&gt;0,CH106*MAX(1,AV106/X106),IF(BT106=1,IF(AV106&lt;=0,0,BW106*MAX(1,IF(H106&gt;0,AV106/H106,1))),IF(R106&gt;0,AW106/R106,0))/MAX(0.1,N(Parameter!$M$21)))</f>
        <v>0.00505050505050505</v>
      </c>
      <c r="AY106" s="57" t="n">
        <f aca="false">AV106*G106</f>
        <v>5887.44</v>
      </c>
      <c r="AZ106" s="57" t="n">
        <f aca="false">ROUNDUP(MAX(J106/IF(BZ106&gt;0,BZ106,MAX(0.1,N(Cockpit!$O$6))),CC106)/BS106,0)*BS106</f>
        <v>333</v>
      </c>
      <c r="BA106" s="58" t="n">
        <f aca="false">IF(AX106&gt;0,J106/AX106,-1)</f>
        <v>122364</v>
      </c>
      <c r="BB106" s="58" t="n">
        <f aca="false">IF(AND(OR(BY106="L1",BY106="L23"),AX106&gt;0),SUMIFS($AX$7:$AX$1843,$BY$7:$BY$1843,BY106,$BA$7:$BA$1843,"&gt;"&amp;BA106)+SUMIFS($AX$7:$AX$1843,$BY$7:$BY$1843,BY106,$BA$7:$BA$1843,BA106,$BQ$7:$BQ$1843,"&lt;="&amp;BQ106),"")</f>
        <v>0.198667274754231</v>
      </c>
      <c r="BC106" s="65" t="n">
        <f aca="false">IF(BB106="",0,MAX(0,MIN(1,(IF(BY106="L1",Parameter!$E$5,Parameter!$E$6+Parameter!$E$7)-(BB106-AX106))/AX106)))</f>
        <v>1</v>
      </c>
      <c r="BD106" s="55" t="str">
        <f aca="false">IF(AH106&lt;=0,"",IF(BY106="Aussen","Aussenlager",IF(BY106="-","Nicht im Lift",IF(AM106&gt;=1,"Lift",IF(AM106&lt;=0,"Aussenlager","teilweise")))))</f>
        <v>Lift</v>
      </c>
      <c r="BE106" s="55" t="str">
        <f aca="false">IF(AP106&lt;=0,"",IF(BY106="Aussen","Aussenlager",IF(BY106="-","Nicht im Lift",IF(AU106&gt;=1,"Lift",IF(AU106&lt;=0,"Aussenlager","teilweise")))))</f>
        <v>Lift</v>
      </c>
      <c r="BF106" s="55" t="str">
        <f aca="false">IF(AX106&lt;=0,"",IF(BY106="Aussen","Aussenlager",IF(BY106="-","Nicht im Lift",IF(BC106&gt;=1,"Lift",IF(BC106&lt;=0,"Aussenlager","teilweise")))))</f>
        <v>Lift</v>
      </c>
      <c r="BG106" s="55" t="str">
        <f aca="false">IF(A106="","",IF(BP106=1,"Neu; ","")&amp;IF(AND(BP106=0,BK106&lt;0),"negativer Bestand (Export "&amp;BK106&amp;"); ","")&amp;IF(J106&lt;=0,"Kein Verbrauch; ","")&amp;IF(CH106&gt;0,"Lift "&amp;W106&amp;" lt. Liftbericht (Fach "&amp;X106&amp;" Stk); ",IF(BU106=1,"Gebinde geschätzt ("&amp;T106&amp;"); ",IF(BT106=1,"Lose – Tablare geschätzt; ","")))&amp;IF(H106&gt;AR106,"Überbestand "&amp;ROUND(H106-AR106,0)&amp;" Stk / CHF "&amp;ROUND((H106-AR106)*G106,0)&amp;"; ","")&amp;IF(AND(CA106=1,CB106&lt;CC106),"MAX &lt; MB+LG; ","")&amp;IF(AND(CG106&gt;0,CF106*10&gt;CG106),"zu hoch für Tablar; ","")&amp;IF(AND(BP106=0,OR(CA106=1,AA106&lt;&gt;"",U106&lt;&gt;"",V106&lt;&gt;"",AB106&lt;&gt;"")),"manuell übersteuert; ","")&amp;IF(AND(BT106=0,R106=0),"Gebinde unbekannt / Stellmass fehlt; ","")&amp;IF(AND(BT106=0,N(V106)&lt;=0,N(Q106)&lt;=0),"Menge pro Gebinde fehlt (Ist = 1 Gebinde); ","")&amp;BO106)</f>
        <v/>
      </c>
      <c r="BH106" s="55"/>
      <c r="BI106" s="55"/>
      <c r="BJ106" s="62"/>
      <c r="BK106" s="57" t="n">
        <v>119</v>
      </c>
      <c r="BL106" s="57" t="n">
        <v>95</v>
      </c>
      <c r="BM106" s="56" t="n">
        <v>2236.92</v>
      </c>
      <c r="BN106" s="57" t="n">
        <v>618</v>
      </c>
      <c r="BO106" s="55"/>
      <c r="BP106" s="60" t="n">
        <v>0</v>
      </c>
      <c r="BQ106" s="60" t="n">
        <v>106</v>
      </c>
      <c r="BR106" s="55" t="str">
        <f aca="false">IF(U106&lt;&gt;"",UPPER(TRIM(U106)),IF(BU106=1,UPPER(VLOOKUP(T106,Parameter!$I$27:$K$29,2,0)),IF(P106="","LOSE",P106)))</f>
        <v>S22</v>
      </c>
      <c r="BS106" s="57" t="n">
        <f aca="false">IF(BR106="LOSE",1,IF(N(V106)&gt;0,V106,IF(BU106=1,MAX(1,N(VLOOKUP(T106,Parameter!$I$27:$K$29,3,0)),H106,N(N106)),IF(N(Q106)&gt;0,Q106,MAX(1,H106)))))</f>
        <v>333</v>
      </c>
      <c r="BT106" s="60" t="n">
        <f aca="false">IF(BR106="LOSE",1,0)</f>
        <v>0</v>
      </c>
      <c r="BU106" s="60" t="n">
        <f aca="false">IF(AND(U106="",OR(P106="",P106="LOSE"),T106&lt;&gt;"",N(S106)&lt;=0,ISNUMBER(MATCH(T106,Parameter!$I$27:$I$29,0))),1,0)</f>
        <v>0</v>
      </c>
      <c r="BV106" s="55" t="str">
        <f aca="false">IF(AND(Parameter!$B$19="Ja",E106&lt;&gt;"",ISNUMBER(MATCH(E106,Parameter!$I$35:$I$52,0))),VLOOKUP(E106,Parameter!$I$35:$J$52,2,0),IFERROR(VLOOKUP(D106,Parameter!$A$35:$C$64,2,0),"Nein"))</f>
        <v>2+3</v>
      </c>
      <c r="BW106" s="59" t="n">
        <f aca="false">IF(BT106=0,0,IF(N(S106)&gt;0,S106,IFERROR(VLOOKUP(D106,Parameter!$A$35:$C$64,3,0)+0,0)))</f>
        <v>0</v>
      </c>
      <c r="BX106" s="55" t="n">
        <f aca="false">IF(AA106&lt;&gt;"",AA106,Z106)</f>
        <v>3</v>
      </c>
      <c r="BY106" s="55" t="str">
        <f aca="false">IF(BX106=1,"L1",IF(OR(BX106=2,BX106=3),"L23",IF(BX106="Aussen","Aussen","-")))</f>
        <v>L23</v>
      </c>
      <c r="BZ106" s="66" t="n">
        <f aca="false">IF(N(AB106)&gt;0,AB106,0)</f>
        <v>0</v>
      </c>
      <c r="CA106" s="60" t="n">
        <f aca="false">IF(ISNUMBER(AE106),1,0)</f>
        <v>0</v>
      </c>
      <c r="CB106" s="57" t="n">
        <f aca="false">N(AE106)</f>
        <v>0</v>
      </c>
      <c r="CC106" s="57" t="n">
        <f aca="false">N(M106)+N(N106)</f>
        <v>136</v>
      </c>
      <c r="CD106" s="57" t="n">
        <f aca="false">ROUNDUP(H106/BS106,0)</f>
        <v>1</v>
      </c>
      <c r="CE106" s="57" t="n">
        <f aca="false">ROUNDUP(CB106/BS106,0)</f>
        <v>0</v>
      </c>
      <c r="CF106" s="60" t="n">
        <f aca="false">IF(BT106=1,0,IFERROR(VLOOKUP(BR106,'Gebinde-Kategorie'!$A$5:$M$45,5,0)+0,0))</f>
        <v>8</v>
      </c>
      <c r="CG106" s="60" t="n">
        <f aca="false">IFERROR(IF(OR(BX106=1,BX106=2,BX106=3),N(INDEX(Parameter!$I$5:$I$7,BX106)),0),0)</f>
        <v>0</v>
      </c>
      <c r="CH106" s="59" t="n">
        <f aca="false">IF(AND(Parameter!$B$21="Ja",ISNUMBER(W106),N(X106)&gt;0),IFERROR(N(INDEX(Parameter!$L$5:$L$7,W106))*INDEX(Parameter!$E$5:$E$7,W106)*X106/SUMIFS($X$7:$X$1843,$W$7:$W$1843,W106),0),0)</f>
        <v>0</v>
      </c>
    </row>
    <row r="107" customFormat="false" ht="15" hidden="false" customHeight="false" outlineLevel="0" collapsed="false">
      <c r="A107" s="55" t="s">
        <v>427</v>
      </c>
      <c r="B107" s="55" t="s">
        <v>292</v>
      </c>
      <c r="C107" s="55" t="s">
        <v>164</v>
      </c>
      <c r="D107" s="55" t="s">
        <v>184</v>
      </c>
      <c r="E107" s="55" t="s">
        <v>185</v>
      </c>
      <c r="F107" s="55" t="s">
        <v>218</v>
      </c>
      <c r="G107" s="56" t="n">
        <v>160.1</v>
      </c>
      <c r="H107" s="57" t="n">
        <f aca="false">MAX(0,IF(AND(Parameter!$B$21="Ja",ISNUMBER(Y107)),Y107,IF(Parameter!$B$20="Jahresanfang 2025 + Export",BL107+BK107,BK107)))</f>
        <v>37</v>
      </c>
      <c r="I107" s="57" t="n">
        <f aca="false">H107*G107</f>
        <v>5923.7</v>
      </c>
      <c r="J107" s="57" t="n">
        <f aca="false">BN107*Parameter!$B$18</f>
        <v>90</v>
      </c>
      <c r="K107" s="58" t="n">
        <v>30</v>
      </c>
      <c r="L107" s="59" t="n">
        <v>3</v>
      </c>
      <c r="M107" s="57" t="n">
        <v>10</v>
      </c>
      <c r="N107" s="57" t="n">
        <v>35</v>
      </c>
      <c r="O107" s="60" t="n">
        <v>30</v>
      </c>
      <c r="P107" s="55" t="s">
        <v>302</v>
      </c>
      <c r="Q107" s="57" t="n">
        <v>37</v>
      </c>
      <c r="R107" s="60" t="n">
        <f aca="false">IF(BT107=1,0,IFERROR(VLOOKUP(BR107,'Gebinde-Kategorie'!$A$5:$M$45,13,0)+0,0))</f>
        <v>26</v>
      </c>
      <c r="S107" s="61"/>
      <c r="T107" s="62"/>
      <c r="U107" s="62"/>
      <c r="V107" s="62"/>
      <c r="W107" s="55"/>
      <c r="X107" s="57"/>
      <c r="Y107" s="57"/>
      <c r="Z107" s="55" t="n">
        <f aca="false">IF(A107="","",IF(AND(Parameter!$B$21="Ja",ISNUMBER(W107)),W107,IF(BV107="2+3",IF(ISNUMBER(SEARCH("grosser Artikel",BO107)),2,IFERROR(VLOOKUP(BR107,Parameter!$F$35:$G$64,2,0),2)),IF(OR(BV107="Nein",BV107=""),"-",BV107))))</f>
        <v>3</v>
      </c>
      <c r="AA107" s="62"/>
      <c r="AB107" s="63"/>
      <c r="AC107" s="57" t="n">
        <f aca="false">AR107</f>
        <v>74</v>
      </c>
      <c r="AD107" s="57" t="n">
        <f aca="false">MAX(AR107,H107)</f>
        <v>74</v>
      </c>
      <c r="AE107" s="64"/>
      <c r="AF107" s="57" t="n">
        <f aca="false">IF(LEFT(Cockpit!$C$5,1)="A",H107,IF(CA107=1,CB107,IF(LEFT(Cockpit!$C$5,1)="B",AJ107,MAX(AJ107,H107))))</f>
        <v>37</v>
      </c>
      <c r="AG107" s="57" t="n">
        <f aca="false">IF(BT107=1,0,ROUNDUP(AF107/BS107,0))</f>
        <v>1</v>
      </c>
      <c r="AH107" s="59" t="n">
        <f aca="false">IF(CH107&gt;0,CH107*MAX(1,AF107/X107),IF(BT107=1,IF(AF107&lt;=0,0,BW107*MAX(1,IF(H107&gt;0,AF107/H107,1))),IF(R107&gt;0,AG107/R107,0))/MAX(0.1,N(Parameter!$M$21)))</f>
        <v>0.0384615384615385</v>
      </c>
      <c r="AI107" s="57" t="n">
        <f aca="false">AF107*G107</f>
        <v>5923.7</v>
      </c>
      <c r="AJ107" s="57" t="n">
        <f aca="false">ROUNDUP(MAX(J107/IF(BZ107&gt;0,BZ107,MAX(0.1,N(Cockpit!$C$6))),CC107)/BS107,0)*BS107</f>
        <v>74</v>
      </c>
      <c r="AK107" s="58" t="n">
        <f aca="false">IF(AH107&gt;0,J107/AH107,-1)</f>
        <v>2340</v>
      </c>
      <c r="AL107" s="58" t="n">
        <f aca="false">IF(AND(OR(BY107="L1",BY107="L23"),AH107&gt;0),SUMIFS($AH$7:$AH$1843,$BY$7:$BY$1843,BY107,$AK$7:$AK$1843,"&gt;"&amp;AK107)+SUMIFS($AH$7:$AH$1843,$BY$7:$BY$1843,BY107,$AK$7:$AK$1843,AK107,$BQ$7:$BQ$1843,"&lt;="&amp;BQ107),"")</f>
        <v>12.2146464646465</v>
      </c>
      <c r="AM107" s="65" t="n">
        <f aca="false">IF(AL107="",0,MAX(0,MIN(1,(IF(BY107="L1",Parameter!$E$5,Parameter!$E$6+Parameter!$E$7)-(AL107-AH107))/AH107)))</f>
        <v>1</v>
      </c>
      <c r="AN107" s="57" t="n">
        <f aca="false">IF(LEFT(Cockpit!$I$5,1)="A",H107,IF(CA107=1,CB107,IF(LEFT(Cockpit!$I$5,1)="B",AR107,MAX(AR107,H107))))</f>
        <v>74</v>
      </c>
      <c r="AO107" s="57" t="n">
        <f aca="false">IF(BT107=1,0,ROUNDUP(AN107/BS107,0))</f>
        <v>2</v>
      </c>
      <c r="AP107" s="59" t="n">
        <f aca="false">IF(CH107&gt;0,CH107*MAX(1,AN107/X107),IF(BT107=1,IF(AN107&lt;=0,0,BW107*MAX(1,IF(H107&gt;0,AN107/H107,1))),IF(R107&gt;0,AO107/R107,0))/MAX(0.1,N(Parameter!$M$21)))</f>
        <v>0.0769230769230769</v>
      </c>
      <c r="AQ107" s="57" t="n">
        <f aca="false">AN107*G107</f>
        <v>11847.4</v>
      </c>
      <c r="AR107" s="57" t="n">
        <f aca="false">ROUNDUP(MAX(J107/IF(BZ107&gt;0,BZ107,MAX(0.1,N(Cockpit!$I$6))),CC107)/BS107,0)*BS107</f>
        <v>74</v>
      </c>
      <c r="AS107" s="58" t="n">
        <f aca="false">IF(AP107&gt;0,J107/AP107,-1)</f>
        <v>1170</v>
      </c>
      <c r="AT107" s="58" t="n">
        <f aca="false">IF(AND(OR(BY107="L1",BY107="L23"),AP107&gt;0),SUMIFS($AP$7:$AP$1843,$BY$7:$BY$1843,BY107,$AS$7:$AS$1843,"&gt;"&amp;AS107)+SUMIFS($AP$7:$AP$1843,$BY$7:$BY$1843,BY107,$AS$7:$AS$1843,AS107,$BQ$7:$BQ$1843,"&lt;="&amp;BQ107),"")</f>
        <v>22.3888044322827</v>
      </c>
      <c r="AU107" s="65" t="n">
        <f aca="false">IF(AT107="",0,MAX(0,MIN(1,(IF(BY107="L1",Parameter!$E$5,Parameter!$E$6+Parameter!$E$7)-(AT107-AP107))/AP107)))</f>
        <v>1</v>
      </c>
      <c r="AV107" s="57" t="n">
        <f aca="false">IF(LEFT(Cockpit!$O$5,1)="A",H107,IF(CA107=1,CB107,IF(LEFT(Cockpit!$O$5,1)="B",AZ107,MAX(AZ107,H107))))</f>
        <v>74</v>
      </c>
      <c r="AW107" s="57" t="n">
        <f aca="false">IF(BT107=1,0,ROUNDUP(AV107/BS107,0))</f>
        <v>2</v>
      </c>
      <c r="AX107" s="59" t="n">
        <f aca="false">IF(CH107&gt;0,CH107*MAX(1,AV107/X107),IF(BT107=1,IF(AV107&lt;=0,0,BW107*MAX(1,IF(H107&gt;0,AV107/H107,1))),IF(R107&gt;0,AW107/R107,0))/MAX(0.1,N(Parameter!$M$21)))</f>
        <v>0.0769230769230769</v>
      </c>
      <c r="AY107" s="57" t="n">
        <f aca="false">AV107*G107</f>
        <v>11847.4</v>
      </c>
      <c r="AZ107" s="57" t="n">
        <f aca="false">ROUNDUP(MAX(J107/IF(BZ107&gt;0,BZ107,MAX(0.1,N(Cockpit!$O$6))),CC107)/BS107,0)*BS107</f>
        <v>74</v>
      </c>
      <c r="BA107" s="58" t="n">
        <f aca="false">IF(AX107&gt;0,J107/AX107,-1)</f>
        <v>1170</v>
      </c>
      <c r="BB107" s="58" t="n">
        <f aca="false">IF(AND(OR(BY107="L1",BY107="L23"),AX107&gt;0),SUMIFS($AX$7:$AX$1843,$BY$7:$BY$1843,BY107,$BA$7:$BA$1843,"&gt;"&amp;BA107)+SUMIFS($AX$7:$AX$1843,$BY$7:$BY$1843,BY107,$BA$7:$BA$1843,BA107,$BQ$7:$BQ$1843,"&lt;="&amp;BQ107),"")</f>
        <v>21.3340258775041</v>
      </c>
      <c r="BC107" s="65" t="n">
        <f aca="false">IF(BB107="",0,MAX(0,MIN(1,(IF(BY107="L1",Parameter!$E$5,Parameter!$E$6+Parameter!$E$7)-(BB107-AX107))/AX107)))</f>
        <v>1</v>
      </c>
      <c r="BD107" s="55" t="str">
        <f aca="false">IF(AH107&lt;=0,"",IF(BY107="Aussen","Aussenlager",IF(BY107="-","Nicht im Lift",IF(AM107&gt;=1,"Lift",IF(AM107&lt;=0,"Aussenlager","teilweise")))))</f>
        <v>Lift</v>
      </c>
      <c r="BE107" s="55" t="str">
        <f aca="false">IF(AP107&lt;=0,"",IF(BY107="Aussen","Aussenlager",IF(BY107="-","Nicht im Lift",IF(AU107&gt;=1,"Lift",IF(AU107&lt;=0,"Aussenlager","teilweise")))))</f>
        <v>Lift</v>
      </c>
      <c r="BF107" s="55" t="str">
        <f aca="false">IF(AX107&lt;=0,"",IF(BY107="Aussen","Aussenlager",IF(BY107="-","Nicht im Lift",IF(BC107&gt;=1,"Lift",IF(BC107&lt;=0,"Aussenlager","teilweise")))))</f>
        <v>Lift</v>
      </c>
      <c r="BG107" s="55" t="str">
        <f aca="false">IF(A107="","",IF(BP107=1,"Neu; ","")&amp;IF(AND(BP107=0,BK107&lt;0),"negativer Bestand (Export "&amp;BK107&amp;"); ","")&amp;IF(J107&lt;=0,"Kein Verbrauch; ","")&amp;IF(CH107&gt;0,"Lift "&amp;W107&amp;" lt. Liftbericht (Fach "&amp;X107&amp;" Stk); ",IF(BU107=1,"Gebinde geschätzt ("&amp;T107&amp;"); ",IF(BT107=1,"Lose – Tablare geschätzt; ","")))&amp;IF(H107&gt;AR107,"Überbestand "&amp;ROUND(H107-AR107,0)&amp;" Stk / CHF "&amp;ROUND((H107-AR107)*G107,0)&amp;"; ","")&amp;IF(AND(CA107=1,CB107&lt;CC107),"MAX &lt; MB+LG; ","")&amp;IF(AND(CG107&gt;0,CF107*10&gt;CG107),"zu hoch für Tablar; ","")&amp;IF(AND(BP107=0,OR(CA107=1,AA107&lt;&gt;"",U107&lt;&gt;"",V107&lt;&gt;"",AB107&lt;&gt;"")),"manuell übersteuert; ","")&amp;IF(AND(BT107=0,R107=0),"Gebinde unbekannt / Stellmass fehlt; ","")&amp;IF(AND(BT107=0,N(V107)&lt;=0,N(Q107)&lt;=0),"Menge pro Gebinde fehlt (Ist = 1 Gebinde); ","")&amp;BO107)</f>
        <v/>
      </c>
      <c r="BH107" s="55"/>
      <c r="BI107" s="55"/>
      <c r="BJ107" s="62"/>
      <c r="BK107" s="57" t="n">
        <v>12</v>
      </c>
      <c r="BL107" s="57" t="n">
        <v>25</v>
      </c>
      <c r="BM107" s="56" t="n">
        <v>2199.6</v>
      </c>
      <c r="BN107" s="57" t="n">
        <v>90</v>
      </c>
      <c r="BO107" s="55"/>
      <c r="BP107" s="60" t="n">
        <v>0</v>
      </c>
      <c r="BQ107" s="60" t="n">
        <v>107</v>
      </c>
      <c r="BR107" s="55" t="str">
        <f aca="false">IF(U107&lt;&gt;"",UPPER(TRIM(U107)),IF(BU107=1,UPPER(VLOOKUP(T107,Parameter!$I$27:$K$29,2,0)),IF(P107="","LOSE",P107)))</f>
        <v>S51</v>
      </c>
      <c r="BS107" s="57" t="n">
        <f aca="false">IF(BR107="LOSE",1,IF(N(V107)&gt;0,V107,IF(BU107=1,MAX(1,N(VLOOKUP(T107,Parameter!$I$27:$K$29,3,0)),H107,N(N107)),IF(N(Q107)&gt;0,Q107,MAX(1,H107)))))</f>
        <v>37</v>
      </c>
      <c r="BT107" s="60" t="n">
        <f aca="false">IF(BR107="LOSE",1,0)</f>
        <v>0</v>
      </c>
      <c r="BU107" s="60" t="n">
        <f aca="false">IF(AND(U107="",OR(P107="",P107="LOSE"),T107&lt;&gt;"",N(S107)&lt;=0,ISNUMBER(MATCH(T107,Parameter!$I$27:$I$29,0))),1,0)</f>
        <v>0</v>
      </c>
      <c r="BV107" s="55" t="str">
        <f aca="false">IF(AND(Parameter!$B$19="Ja",E107&lt;&gt;"",ISNUMBER(MATCH(E107,Parameter!$I$35:$I$52,0))),VLOOKUP(E107,Parameter!$I$35:$J$52,2,0),IFERROR(VLOOKUP(D107,Parameter!$A$35:$C$64,2,0),"Nein"))</f>
        <v>2+3</v>
      </c>
      <c r="BW107" s="59" t="n">
        <f aca="false">IF(BT107=0,0,IF(N(S107)&gt;0,S107,IFERROR(VLOOKUP(D107,Parameter!$A$35:$C$64,3,0)+0,0)))</f>
        <v>0</v>
      </c>
      <c r="BX107" s="55" t="n">
        <f aca="false">IF(AA107&lt;&gt;"",AA107,Z107)</f>
        <v>3</v>
      </c>
      <c r="BY107" s="55" t="str">
        <f aca="false">IF(BX107=1,"L1",IF(OR(BX107=2,BX107=3),"L23",IF(BX107="Aussen","Aussen","-")))</f>
        <v>L23</v>
      </c>
      <c r="BZ107" s="66" t="n">
        <f aca="false">IF(N(AB107)&gt;0,AB107,0)</f>
        <v>0</v>
      </c>
      <c r="CA107" s="60" t="n">
        <f aca="false">IF(ISNUMBER(AE107),1,0)</f>
        <v>0</v>
      </c>
      <c r="CB107" s="57" t="n">
        <f aca="false">N(AE107)</f>
        <v>0</v>
      </c>
      <c r="CC107" s="57" t="n">
        <f aca="false">N(M107)+N(N107)</f>
        <v>45</v>
      </c>
      <c r="CD107" s="57" t="n">
        <f aca="false">ROUNDUP(H107/BS107,0)</f>
        <v>1</v>
      </c>
      <c r="CE107" s="57" t="n">
        <f aca="false">ROUNDUP(CB107/BS107,0)</f>
        <v>0</v>
      </c>
      <c r="CF107" s="60" t="n">
        <f aca="false">IF(BT107=1,0,IFERROR(VLOOKUP(BR107,'Gebinde-Kategorie'!$A$5:$M$45,5,0)+0,0))</f>
        <v>11</v>
      </c>
      <c r="CG107" s="60" t="n">
        <f aca="false">IFERROR(IF(OR(BX107=1,BX107=2,BX107=3),N(INDEX(Parameter!$I$5:$I$7,BX107)),0),0)</f>
        <v>0</v>
      </c>
      <c r="CH107" s="59" t="n">
        <f aca="false">IF(AND(Parameter!$B$21="Ja",ISNUMBER(W107),N(X107)&gt;0),IFERROR(N(INDEX(Parameter!$L$5:$L$7,W107))*INDEX(Parameter!$E$5:$E$7,W107)*X107/SUMIFS($X$7:$X$1843,$W$7:$W$1843,W107),0),0)</f>
        <v>0</v>
      </c>
    </row>
    <row r="108" customFormat="false" ht="15" hidden="false" customHeight="false" outlineLevel="0" collapsed="false">
      <c r="A108" s="55" t="s">
        <v>428</v>
      </c>
      <c r="B108" s="55" t="s">
        <v>429</v>
      </c>
      <c r="C108" s="55" t="s">
        <v>164</v>
      </c>
      <c r="D108" s="55" t="s">
        <v>184</v>
      </c>
      <c r="E108" s="55"/>
      <c r="F108" s="55" t="s">
        <v>218</v>
      </c>
      <c r="G108" s="56" t="n">
        <v>57.81</v>
      </c>
      <c r="H108" s="57" t="n">
        <f aca="false">MAX(0,IF(AND(Parameter!$B$21="Ja",ISNUMBER(Y108)),Y108,IF(Parameter!$B$20="Jahresanfang 2025 + Export",BL108+BK108,BK108)))</f>
        <v>53</v>
      </c>
      <c r="I108" s="57" t="n">
        <f aca="false">H108*G108</f>
        <v>3063.93</v>
      </c>
      <c r="J108" s="57" t="n">
        <f aca="false">BN108*Parameter!$B$18</f>
        <v>90</v>
      </c>
      <c r="K108" s="58" t="n">
        <v>32</v>
      </c>
      <c r="L108" s="59" t="n">
        <v>2.8125</v>
      </c>
      <c r="M108" s="57" t="n">
        <v>20</v>
      </c>
      <c r="N108" s="57" t="n">
        <v>55</v>
      </c>
      <c r="O108" s="60" t="n">
        <v>70</v>
      </c>
      <c r="P108" s="55" t="s">
        <v>233</v>
      </c>
      <c r="Q108" s="57" t="n">
        <v>50</v>
      </c>
      <c r="R108" s="60" t="n">
        <f aca="false">IF(BT108=1,0,IFERROR(VLOOKUP(BR108,'Gebinde-Kategorie'!$A$5:$M$45,13,0)+0,0))</f>
        <v>26</v>
      </c>
      <c r="S108" s="61"/>
      <c r="T108" s="62"/>
      <c r="U108" s="62"/>
      <c r="V108" s="62"/>
      <c r="W108" s="55"/>
      <c r="X108" s="57"/>
      <c r="Y108" s="57"/>
      <c r="Z108" s="55" t="n">
        <f aca="false">IF(A108="","",IF(AND(Parameter!$B$21="Ja",ISNUMBER(W108)),W108,IF(BV108="2+3",IF(ISNUMBER(SEARCH("grosser Artikel",BO108)),2,IFERROR(VLOOKUP(BR108,Parameter!$F$35:$G$64,2,0),2)),IF(OR(BV108="Nein",BV108=""),"-",BV108))))</f>
        <v>3</v>
      </c>
      <c r="AA108" s="62"/>
      <c r="AB108" s="63"/>
      <c r="AC108" s="57" t="n">
        <f aca="false">AR108</f>
        <v>100</v>
      </c>
      <c r="AD108" s="57" t="n">
        <f aca="false">MAX(AR108,H108)</f>
        <v>100</v>
      </c>
      <c r="AE108" s="64"/>
      <c r="AF108" s="57" t="n">
        <f aca="false">IF(LEFT(Cockpit!$C$5,1)="A",H108,IF(CA108=1,CB108,IF(LEFT(Cockpit!$C$5,1)="B",AJ108,MAX(AJ108,H108))))</f>
        <v>53</v>
      </c>
      <c r="AG108" s="57" t="n">
        <f aca="false">IF(BT108=1,0,ROUNDUP(AF108/BS108,0))</f>
        <v>2</v>
      </c>
      <c r="AH108" s="59" t="n">
        <f aca="false">IF(CH108&gt;0,CH108*MAX(1,AF108/X108),IF(BT108=1,IF(AF108&lt;=0,0,BW108*MAX(1,IF(H108&gt;0,AF108/H108,1))),IF(R108&gt;0,AG108/R108,0))/MAX(0.1,N(Parameter!$M$21)))</f>
        <v>0.0769230769230769</v>
      </c>
      <c r="AI108" s="57" t="n">
        <f aca="false">AF108*G108</f>
        <v>3063.93</v>
      </c>
      <c r="AJ108" s="57" t="n">
        <f aca="false">ROUNDUP(MAX(J108/IF(BZ108&gt;0,BZ108,MAX(0.1,N(Cockpit!$C$6))),CC108)/BS108,0)*BS108</f>
        <v>100</v>
      </c>
      <c r="AK108" s="58" t="n">
        <f aca="false">IF(AH108&gt;0,J108/AH108,-1)</f>
        <v>1170</v>
      </c>
      <c r="AL108" s="58" t="n">
        <f aca="false">IF(AND(OR(BY108="L1",BY108="L23"),AH108&gt;0),SUMIFS($AH$7:$AH$1843,$BY$7:$BY$1843,BY108,$AK$7:$AK$1843,"&gt;"&amp;AK108)+SUMIFS($AH$7:$AH$1843,$BY$7:$BY$1843,BY108,$AK$7:$AK$1843,AK108,$BQ$7:$BQ$1843,"&lt;="&amp;BQ108),"")</f>
        <v>16.8477247390291</v>
      </c>
      <c r="AM108" s="65" t="n">
        <f aca="false">IF(AL108="",0,MAX(0,MIN(1,(IF(BY108="L1",Parameter!$E$5,Parameter!$E$6+Parameter!$E$7)-(AL108-AH108))/AH108)))</f>
        <v>1</v>
      </c>
      <c r="AN108" s="57" t="n">
        <f aca="false">IF(LEFT(Cockpit!$I$5,1)="A",H108,IF(CA108=1,CB108,IF(LEFT(Cockpit!$I$5,1)="B",AR108,MAX(AR108,H108))))</f>
        <v>100</v>
      </c>
      <c r="AO108" s="57" t="n">
        <f aca="false">IF(BT108=1,0,ROUNDUP(AN108/BS108,0))</f>
        <v>2</v>
      </c>
      <c r="AP108" s="59" t="n">
        <f aca="false">IF(CH108&gt;0,CH108*MAX(1,AN108/X108),IF(BT108=1,IF(AN108&lt;=0,0,BW108*MAX(1,IF(H108&gt;0,AN108/H108,1))),IF(R108&gt;0,AO108/R108,0))/MAX(0.1,N(Parameter!$M$21)))</f>
        <v>0.0769230769230769</v>
      </c>
      <c r="AQ108" s="57" t="n">
        <f aca="false">AN108*G108</f>
        <v>5781</v>
      </c>
      <c r="AR108" s="57" t="n">
        <f aca="false">ROUNDUP(MAX(J108/IF(BZ108&gt;0,BZ108,MAX(0.1,N(Cockpit!$I$6))),CC108)/BS108,0)*BS108</f>
        <v>100</v>
      </c>
      <c r="AS108" s="58" t="n">
        <f aca="false">IF(AP108&gt;0,J108/AP108,-1)</f>
        <v>1170</v>
      </c>
      <c r="AT108" s="58" t="n">
        <f aca="false">IF(AND(OR(BY108="L1",BY108="L23"),AP108&gt;0),SUMIFS($AP$7:$AP$1843,$BY$7:$BY$1843,BY108,$AS$7:$AS$1843,"&gt;"&amp;AS108)+SUMIFS($AP$7:$AP$1843,$BY$7:$BY$1843,BY108,$AS$7:$AS$1843,AS108,$BQ$7:$BQ$1843,"&lt;="&amp;BQ108),"")</f>
        <v>22.4657275092058</v>
      </c>
      <c r="AU108" s="65" t="n">
        <f aca="false">IF(AT108="",0,MAX(0,MIN(1,(IF(BY108="L1",Parameter!$E$5,Parameter!$E$6+Parameter!$E$7)-(AT108-AP108))/AP108)))</f>
        <v>1</v>
      </c>
      <c r="AV108" s="57" t="n">
        <f aca="false">IF(LEFT(Cockpit!$O$5,1)="A",H108,IF(CA108=1,CB108,IF(LEFT(Cockpit!$O$5,1)="B",AZ108,MAX(AZ108,H108))))</f>
        <v>100</v>
      </c>
      <c r="AW108" s="57" t="n">
        <f aca="false">IF(BT108=1,0,ROUNDUP(AV108/BS108,0))</f>
        <v>2</v>
      </c>
      <c r="AX108" s="59" t="n">
        <f aca="false">IF(CH108&gt;0,CH108*MAX(1,AV108/X108),IF(BT108=1,IF(AV108&lt;=0,0,BW108*MAX(1,IF(H108&gt;0,AV108/H108,1))),IF(R108&gt;0,AW108/R108,0))/MAX(0.1,N(Parameter!$M$21)))</f>
        <v>0.0769230769230769</v>
      </c>
      <c r="AY108" s="57" t="n">
        <f aca="false">AV108*G108</f>
        <v>5781</v>
      </c>
      <c r="AZ108" s="57" t="n">
        <f aca="false">ROUNDUP(MAX(J108/IF(BZ108&gt;0,BZ108,MAX(0.1,N(Cockpit!$O$6))),CC108)/BS108,0)*BS108</f>
        <v>100</v>
      </c>
      <c r="BA108" s="58" t="n">
        <f aca="false">IF(AX108&gt;0,J108/AX108,-1)</f>
        <v>1170</v>
      </c>
      <c r="BB108" s="58" t="n">
        <f aca="false">IF(AND(OR(BY108="L1",BY108="L23"),AX108&gt;0),SUMIFS($AX$7:$AX$1843,$BY$7:$BY$1843,BY108,$BA$7:$BA$1843,"&gt;"&amp;BA108)+SUMIFS($AX$7:$AX$1843,$BY$7:$BY$1843,BY108,$BA$7:$BA$1843,BA108,$BQ$7:$BQ$1843,"&lt;="&amp;BQ108),"")</f>
        <v>21.4109489544272</v>
      </c>
      <c r="BC108" s="65" t="n">
        <f aca="false">IF(BB108="",0,MAX(0,MIN(1,(IF(BY108="L1",Parameter!$E$5,Parameter!$E$6+Parameter!$E$7)-(BB108-AX108))/AX108)))</f>
        <v>1</v>
      </c>
      <c r="BD108" s="55" t="str">
        <f aca="false">IF(AH108&lt;=0,"",IF(BY108="Aussen","Aussenlager",IF(BY108="-","Nicht im Lift",IF(AM108&gt;=1,"Lift",IF(AM108&lt;=0,"Aussenlager","teilweise")))))</f>
        <v>Lift</v>
      </c>
      <c r="BE108" s="55" t="str">
        <f aca="false">IF(AP108&lt;=0,"",IF(BY108="Aussen","Aussenlager",IF(BY108="-","Nicht im Lift",IF(AU108&gt;=1,"Lift",IF(AU108&lt;=0,"Aussenlager","teilweise")))))</f>
        <v>Lift</v>
      </c>
      <c r="BF108" s="55" t="str">
        <f aca="false">IF(AX108&lt;=0,"",IF(BY108="Aussen","Aussenlager",IF(BY108="-","Nicht im Lift",IF(BC108&gt;=1,"Lift",IF(BC108&lt;=0,"Aussenlager","teilweise")))))</f>
        <v>Lift</v>
      </c>
      <c r="BG108" s="55" t="str">
        <f aca="false">IF(A108="","",IF(BP108=1,"Neu; ","")&amp;IF(AND(BP108=0,BK108&lt;0),"negativer Bestand (Export "&amp;BK108&amp;"); ","")&amp;IF(J108&lt;=0,"Kein Verbrauch; ","")&amp;IF(CH108&gt;0,"Lift "&amp;W108&amp;" lt. Liftbericht (Fach "&amp;X108&amp;" Stk); ",IF(BU108=1,"Gebinde geschätzt ("&amp;T108&amp;"); ",IF(BT108=1,"Lose – Tablare geschätzt; ","")))&amp;IF(H108&gt;AR108,"Überbestand "&amp;ROUND(H108-AR108,0)&amp;" Stk / CHF "&amp;ROUND((H108-AR108)*G108,0)&amp;"; ","")&amp;IF(AND(CA108=1,CB108&lt;CC108),"MAX &lt; MB+LG; ","")&amp;IF(AND(CG108&gt;0,CF108*10&gt;CG108),"zu hoch für Tablar; ","")&amp;IF(AND(BP108=0,OR(CA108=1,AA108&lt;&gt;"",U108&lt;&gt;"",V108&lt;&gt;"",AB108&lt;&gt;"")),"manuell übersteuert; ","")&amp;IF(AND(BT108=0,R108=0),"Gebinde unbekannt / Stellmass fehlt; ","")&amp;IF(AND(BT108=0,N(V108)&lt;=0,N(Q108)&lt;=0),"Menge pro Gebinde fehlt (Ist = 1 Gebinde); ","")&amp;BO108)</f>
        <v/>
      </c>
      <c r="BH108" s="55"/>
      <c r="BI108" s="55"/>
      <c r="BJ108" s="62"/>
      <c r="BK108" s="57" t="n">
        <v>38</v>
      </c>
      <c r="BL108" s="57" t="n">
        <v>15</v>
      </c>
      <c r="BM108" s="56" t="n">
        <v>2184.18</v>
      </c>
      <c r="BN108" s="57" t="n">
        <v>90</v>
      </c>
      <c r="BO108" s="55"/>
      <c r="BP108" s="60" t="n">
        <v>0</v>
      </c>
      <c r="BQ108" s="60" t="n">
        <v>108</v>
      </c>
      <c r="BR108" s="55" t="str">
        <f aca="false">IF(U108&lt;&gt;"",UPPER(TRIM(U108)),IF(BU108=1,UPPER(VLOOKUP(T108,Parameter!$I$27:$K$29,2,0)),IF(P108="","LOSE",P108)))</f>
        <v>S52</v>
      </c>
      <c r="BS108" s="57" t="n">
        <f aca="false">IF(BR108="LOSE",1,IF(N(V108)&gt;0,V108,IF(BU108=1,MAX(1,N(VLOOKUP(T108,Parameter!$I$27:$K$29,3,0)),H108,N(N108)),IF(N(Q108)&gt;0,Q108,MAX(1,H108)))))</f>
        <v>50</v>
      </c>
      <c r="BT108" s="60" t="n">
        <f aca="false">IF(BR108="LOSE",1,0)</f>
        <v>0</v>
      </c>
      <c r="BU108" s="60" t="n">
        <f aca="false">IF(AND(U108="",OR(P108="",P108="LOSE"),T108&lt;&gt;"",N(S108)&lt;=0,ISNUMBER(MATCH(T108,Parameter!$I$27:$I$29,0))),1,0)</f>
        <v>0</v>
      </c>
      <c r="BV108" s="55" t="str">
        <f aca="false">IF(AND(Parameter!$B$19="Ja",E108&lt;&gt;"",ISNUMBER(MATCH(E108,Parameter!$I$35:$I$52,0))),VLOOKUP(E108,Parameter!$I$35:$J$52,2,0),IFERROR(VLOOKUP(D108,Parameter!$A$35:$C$64,2,0),"Nein"))</f>
        <v>2+3</v>
      </c>
      <c r="BW108" s="59" t="n">
        <f aca="false">IF(BT108=0,0,IF(N(S108)&gt;0,S108,IFERROR(VLOOKUP(D108,Parameter!$A$35:$C$64,3,0)+0,0)))</f>
        <v>0</v>
      </c>
      <c r="BX108" s="55" t="n">
        <f aca="false">IF(AA108&lt;&gt;"",AA108,Z108)</f>
        <v>3</v>
      </c>
      <c r="BY108" s="55" t="str">
        <f aca="false">IF(BX108=1,"L1",IF(OR(BX108=2,BX108=3),"L23",IF(BX108="Aussen","Aussen","-")))</f>
        <v>L23</v>
      </c>
      <c r="BZ108" s="66" t="n">
        <f aca="false">IF(N(AB108)&gt;0,AB108,0)</f>
        <v>0</v>
      </c>
      <c r="CA108" s="60" t="n">
        <f aca="false">IF(ISNUMBER(AE108),1,0)</f>
        <v>0</v>
      </c>
      <c r="CB108" s="57" t="n">
        <f aca="false">N(AE108)</f>
        <v>0</v>
      </c>
      <c r="CC108" s="57" t="n">
        <f aca="false">N(M108)+N(N108)</f>
        <v>75</v>
      </c>
      <c r="CD108" s="57" t="n">
        <f aca="false">ROUNDUP(H108/BS108,0)</f>
        <v>2</v>
      </c>
      <c r="CE108" s="57" t="n">
        <f aca="false">ROUNDUP(CB108/BS108,0)</f>
        <v>0</v>
      </c>
      <c r="CF108" s="60" t="n">
        <f aca="false">IF(BT108=1,0,IFERROR(VLOOKUP(BR108,'Gebinde-Kategorie'!$A$5:$M$45,5,0)+0,0))</f>
        <v>21</v>
      </c>
      <c r="CG108" s="60" t="n">
        <f aca="false">IFERROR(IF(OR(BX108=1,BX108=2,BX108=3),N(INDEX(Parameter!$I$5:$I$7,BX108)),0),0)</f>
        <v>0</v>
      </c>
      <c r="CH108" s="59" t="n">
        <f aca="false">IF(AND(Parameter!$B$21="Ja",ISNUMBER(W108),N(X108)&gt;0),IFERROR(N(INDEX(Parameter!$L$5:$L$7,W108))*INDEX(Parameter!$E$5:$E$7,W108)*X108/SUMIFS($X$7:$X$1843,$W$7:$W$1843,W108),0),0)</f>
        <v>0</v>
      </c>
    </row>
    <row r="109" customFormat="false" ht="15" hidden="false" customHeight="false" outlineLevel="0" collapsed="false">
      <c r="A109" s="55" t="s">
        <v>430</v>
      </c>
      <c r="B109" s="55" t="s">
        <v>431</v>
      </c>
      <c r="C109" s="55" t="s">
        <v>164</v>
      </c>
      <c r="D109" s="55" t="s">
        <v>184</v>
      </c>
      <c r="E109" s="55" t="s">
        <v>185</v>
      </c>
      <c r="F109" s="55" t="s">
        <v>218</v>
      </c>
      <c r="G109" s="56" t="n">
        <v>251.24</v>
      </c>
      <c r="H109" s="57" t="n">
        <f aca="false">MAX(0,IF(AND(Parameter!$B$21="Ja",ISNUMBER(Y109)),Y109,IF(Parameter!$B$20="Jahresanfang 2025 + Export",BL109+BK109,BK109)))</f>
        <v>23</v>
      </c>
      <c r="I109" s="57" t="n">
        <f aca="false">H109*G109</f>
        <v>5778.52</v>
      </c>
      <c r="J109" s="57" t="n">
        <f aca="false">BN109*Parameter!$B$18</f>
        <v>16</v>
      </c>
      <c r="K109" s="58" t="n">
        <v>17</v>
      </c>
      <c r="L109" s="59" t="n">
        <v>0.941176470588235</v>
      </c>
      <c r="M109" s="57" t="n">
        <v>2</v>
      </c>
      <c r="N109" s="57" t="n">
        <v>10</v>
      </c>
      <c r="O109" s="60" t="n">
        <v>35</v>
      </c>
      <c r="P109" s="55" t="s">
        <v>233</v>
      </c>
      <c r="Q109" s="57" t="n">
        <v>22</v>
      </c>
      <c r="R109" s="60" t="n">
        <f aca="false">IF(BT109=1,0,IFERROR(VLOOKUP(BR109,'Gebinde-Kategorie'!$A$5:$M$45,13,0)+0,0))</f>
        <v>26</v>
      </c>
      <c r="S109" s="61"/>
      <c r="T109" s="62"/>
      <c r="U109" s="62"/>
      <c r="V109" s="62"/>
      <c r="W109" s="55"/>
      <c r="X109" s="57"/>
      <c r="Y109" s="57"/>
      <c r="Z109" s="55" t="n">
        <f aca="false">IF(A109="","",IF(AND(Parameter!$B$21="Ja",ISNUMBER(W109)),W109,IF(BV109="2+3",IF(ISNUMBER(SEARCH("grosser Artikel",BO109)),2,IFERROR(VLOOKUP(BR109,Parameter!$F$35:$G$64,2,0),2)),IF(OR(BV109="Nein",BV109=""),"-",BV109))))</f>
        <v>3</v>
      </c>
      <c r="AA109" s="62"/>
      <c r="AB109" s="63"/>
      <c r="AC109" s="57" t="n">
        <f aca="false">AR109</f>
        <v>22</v>
      </c>
      <c r="AD109" s="57" t="n">
        <f aca="false">MAX(AR109,H109)</f>
        <v>23</v>
      </c>
      <c r="AE109" s="64"/>
      <c r="AF109" s="57" t="n">
        <f aca="false">IF(LEFT(Cockpit!$C$5,1)="A",H109,IF(CA109=1,CB109,IF(LEFT(Cockpit!$C$5,1)="B",AJ109,MAX(AJ109,H109))))</f>
        <v>23</v>
      </c>
      <c r="AG109" s="57" t="n">
        <f aca="false">IF(BT109=1,0,ROUNDUP(AF109/BS109,0))</f>
        <v>2</v>
      </c>
      <c r="AH109" s="59" t="n">
        <f aca="false">IF(CH109&gt;0,CH109*MAX(1,AF109/X109),IF(BT109=1,IF(AF109&lt;=0,0,BW109*MAX(1,IF(H109&gt;0,AF109/H109,1))),IF(R109&gt;0,AG109/R109,0))/MAX(0.1,N(Parameter!$M$21)))</f>
        <v>0.0769230769230769</v>
      </c>
      <c r="AI109" s="57" t="n">
        <f aca="false">AF109*G109</f>
        <v>5778.52</v>
      </c>
      <c r="AJ109" s="57" t="n">
        <f aca="false">ROUNDUP(MAX(J109/IF(BZ109&gt;0,BZ109,MAX(0.1,N(Cockpit!$C$6))),CC109)/BS109,0)*BS109</f>
        <v>22</v>
      </c>
      <c r="AK109" s="58" t="n">
        <f aca="false">IF(AH109&gt;0,J109/AH109,-1)</f>
        <v>208</v>
      </c>
      <c r="AL109" s="58" t="n">
        <f aca="false">IF(AND(OR(BY109="L1",BY109="L23"),AH109&gt;0),SUMIFS($AH$7:$AH$1843,$BY$7:$BY$1843,BY109,$AK$7:$AK$1843,"&gt;"&amp;AK109)+SUMIFS($AH$7:$AH$1843,$BY$7:$BY$1843,BY109,$AK$7:$AK$1843,AK109,$BQ$7:$BQ$1843,"&lt;="&amp;BQ109),"")</f>
        <v>31.7838924360664</v>
      </c>
      <c r="AM109" s="65" t="n">
        <f aca="false">IF(AL109="",0,MAX(0,MIN(1,(IF(BY109="L1",Parameter!$E$5,Parameter!$E$6+Parameter!$E$7)-(AL109-AH109))/AH109)))</f>
        <v>1</v>
      </c>
      <c r="AN109" s="57" t="n">
        <f aca="false">IF(LEFT(Cockpit!$I$5,1)="A",H109,IF(CA109=1,CB109,IF(LEFT(Cockpit!$I$5,1)="B",AR109,MAX(AR109,H109))))</f>
        <v>23</v>
      </c>
      <c r="AO109" s="57" t="n">
        <f aca="false">IF(BT109=1,0,ROUNDUP(AN109/BS109,0))</f>
        <v>2</v>
      </c>
      <c r="AP109" s="59" t="n">
        <f aca="false">IF(CH109&gt;0,CH109*MAX(1,AN109/X109),IF(BT109=1,IF(AN109&lt;=0,0,BW109*MAX(1,IF(H109&gt;0,AN109/H109,1))),IF(R109&gt;0,AO109/R109,0))/MAX(0.1,N(Parameter!$M$21)))</f>
        <v>0.0769230769230769</v>
      </c>
      <c r="AQ109" s="57" t="n">
        <f aca="false">AN109*G109</f>
        <v>5778.52</v>
      </c>
      <c r="AR109" s="57" t="n">
        <f aca="false">ROUNDUP(MAX(J109/IF(BZ109&gt;0,BZ109,MAX(0.1,N(Cockpit!$I$6))),CC109)/BS109,0)*BS109</f>
        <v>22</v>
      </c>
      <c r="AS109" s="58" t="n">
        <f aca="false">IF(AP109&gt;0,J109/AP109,-1)</f>
        <v>208</v>
      </c>
      <c r="AT109" s="58" t="n">
        <f aca="false">IF(AND(OR(BY109="L1",BY109="L23"),AP109&gt;0),SUMIFS($AP$7:$AP$1843,$BY$7:$BY$1843,BY109,$AS$7:$AS$1843,"&gt;"&amp;AS109)+SUMIFS($AP$7:$AP$1843,$BY$7:$BY$1843,BY109,$AS$7:$AS$1843,AS109,$BQ$7:$BQ$1843,"&lt;="&amp;BQ109),"")</f>
        <v>45.8775970406405</v>
      </c>
      <c r="AU109" s="65" t="n">
        <f aca="false">IF(AT109="",0,MAX(0,MIN(1,(IF(BY109="L1",Parameter!$E$5,Parameter!$E$6+Parameter!$E$7)-(AT109-AP109))/AP109)))</f>
        <v>1</v>
      </c>
      <c r="AV109" s="57" t="n">
        <f aca="false">IF(LEFT(Cockpit!$O$5,1)="A",H109,IF(CA109=1,CB109,IF(LEFT(Cockpit!$O$5,1)="B",AZ109,MAX(AZ109,H109))))</f>
        <v>23</v>
      </c>
      <c r="AW109" s="57" t="n">
        <f aca="false">IF(BT109=1,0,ROUNDUP(AV109/BS109,0))</f>
        <v>2</v>
      </c>
      <c r="AX109" s="59" t="n">
        <f aca="false">IF(CH109&gt;0,CH109*MAX(1,AV109/X109),IF(BT109=1,IF(AV109&lt;=0,0,BW109*MAX(1,IF(H109&gt;0,AV109/H109,1))),IF(R109&gt;0,AW109/R109,0))/MAX(0.1,N(Parameter!$M$21)))</f>
        <v>0.0769230769230769</v>
      </c>
      <c r="AY109" s="57" t="n">
        <f aca="false">AV109*G109</f>
        <v>5778.52</v>
      </c>
      <c r="AZ109" s="57" t="n">
        <f aca="false">ROUNDUP(MAX(J109/IF(BZ109&gt;0,BZ109,MAX(0.1,N(Cockpit!$O$6))),CC109)/BS109,0)*BS109</f>
        <v>22</v>
      </c>
      <c r="BA109" s="58" t="n">
        <f aca="false">IF(AX109&gt;0,J109/AX109,-1)</f>
        <v>208</v>
      </c>
      <c r="BB109" s="58" t="n">
        <f aca="false">IF(AND(OR(BY109="L1",BY109="L23"),AX109&gt;0),SUMIFS($AX$7:$AX$1843,$BY$7:$BY$1843,BY109,$BA$7:$BA$1843,"&gt;"&amp;BA109)+SUMIFS($AX$7:$AX$1843,$BY$7:$BY$1843,BY109,$BA$7:$BA$1843,BA109,$BQ$7:$BQ$1843,"&lt;="&amp;BQ109),"")</f>
        <v>42.4574338704774</v>
      </c>
      <c r="BC109" s="65" t="n">
        <f aca="false">IF(BB109="",0,MAX(0,MIN(1,(IF(BY109="L1",Parameter!$E$5,Parameter!$E$6+Parameter!$E$7)-(BB109-AX109))/AX109)))</f>
        <v>1</v>
      </c>
      <c r="BD109" s="55" t="str">
        <f aca="false">IF(AH109&lt;=0,"",IF(BY109="Aussen","Aussenlager",IF(BY109="-","Nicht im Lift",IF(AM109&gt;=1,"Lift",IF(AM109&lt;=0,"Aussenlager","teilweise")))))</f>
        <v>Lift</v>
      </c>
      <c r="BE109" s="55" t="str">
        <f aca="false">IF(AP109&lt;=0,"",IF(BY109="Aussen","Aussenlager",IF(BY109="-","Nicht im Lift",IF(AU109&gt;=1,"Lift",IF(AU109&lt;=0,"Aussenlager","teilweise")))))</f>
        <v>Lift</v>
      </c>
      <c r="BF109" s="55" t="str">
        <f aca="false">IF(AX109&lt;=0,"",IF(BY109="Aussen","Aussenlager",IF(BY109="-","Nicht im Lift",IF(BC109&gt;=1,"Lift",IF(BC109&lt;=0,"Aussenlager","teilweise")))))</f>
        <v>Lift</v>
      </c>
      <c r="BG109" s="55" t="str">
        <f aca="false">IF(A109="","",IF(BP109=1,"Neu; ","")&amp;IF(AND(BP109=0,BK109&lt;0),"negativer Bestand (Export "&amp;BK109&amp;"); ","")&amp;IF(J109&lt;=0,"Kein Verbrauch; ","")&amp;IF(CH109&gt;0,"Lift "&amp;W109&amp;" lt. Liftbericht (Fach "&amp;X109&amp;" Stk); ",IF(BU109=1,"Gebinde geschätzt ("&amp;T109&amp;"); ",IF(BT109=1,"Lose – Tablare geschätzt; ","")))&amp;IF(H109&gt;AR109,"Überbestand "&amp;ROUND(H109-AR109,0)&amp;" Stk / CHF "&amp;ROUND((H109-AR109)*G109,0)&amp;"; ","")&amp;IF(AND(CA109=1,CB109&lt;CC109),"MAX &lt; MB+LG; ","")&amp;IF(AND(CG109&gt;0,CF109*10&gt;CG109),"zu hoch für Tablar; ","")&amp;IF(AND(BP109=0,OR(CA109=1,AA109&lt;&gt;"",U109&lt;&gt;"",V109&lt;&gt;"",AB109&lt;&gt;"")),"manuell übersteuert; ","")&amp;IF(AND(BT109=0,R109=0),"Gebinde unbekannt / Stellmass fehlt; ","")&amp;IF(AND(BT109=0,N(V109)&lt;=0,N(Q109)&lt;=0),"Menge pro Gebinde fehlt (Ist = 1 Gebinde); ","")&amp;BO109)</f>
        <v>Überbestand 1 Stk / CHF 251; </v>
      </c>
      <c r="BH109" s="55"/>
      <c r="BI109" s="55"/>
      <c r="BJ109" s="62"/>
      <c r="BK109" s="57" t="n">
        <v>8</v>
      </c>
      <c r="BL109" s="57" t="n">
        <v>15</v>
      </c>
      <c r="BM109" s="56" t="n">
        <v>2138.62</v>
      </c>
      <c r="BN109" s="57" t="n">
        <v>16</v>
      </c>
      <c r="BO109" s="55"/>
      <c r="BP109" s="60" t="n">
        <v>0</v>
      </c>
      <c r="BQ109" s="60" t="n">
        <v>109</v>
      </c>
      <c r="BR109" s="55" t="str">
        <f aca="false">IF(U109&lt;&gt;"",UPPER(TRIM(U109)),IF(BU109=1,UPPER(VLOOKUP(T109,Parameter!$I$27:$K$29,2,0)),IF(P109="","LOSE",P109)))</f>
        <v>S52</v>
      </c>
      <c r="BS109" s="57" t="n">
        <f aca="false">IF(BR109="LOSE",1,IF(N(V109)&gt;0,V109,IF(BU109=1,MAX(1,N(VLOOKUP(T109,Parameter!$I$27:$K$29,3,0)),H109,N(N109)),IF(N(Q109)&gt;0,Q109,MAX(1,H109)))))</f>
        <v>22</v>
      </c>
      <c r="BT109" s="60" t="n">
        <f aca="false">IF(BR109="LOSE",1,0)</f>
        <v>0</v>
      </c>
      <c r="BU109" s="60" t="n">
        <f aca="false">IF(AND(U109="",OR(P109="",P109="LOSE"),T109&lt;&gt;"",N(S109)&lt;=0,ISNUMBER(MATCH(T109,Parameter!$I$27:$I$29,0))),1,0)</f>
        <v>0</v>
      </c>
      <c r="BV109" s="55" t="str">
        <f aca="false">IF(AND(Parameter!$B$19="Ja",E109&lt;&gt;"",ISNUMBER(MATCH(E109,Parameter!$I$35:$I$52,0))),VLOOKUP(E109,Parameter!$I$35:$J$52,2,0),IFERROR(VLOOKUP(D109,Parameter!$A$35:$C$64,2,0),"Nein"))</f>
        <v>2+3</v>
      </c>
      <c r="BW109" s="59" t="n">
        <f aca="false">IF(BT109=0,0,IF(N(S109)&gt;0,S109,IFERROR(VLOOKUP(D109,Parameter!$A$35:$C$64,3,0)+0,0)))</f>
        <v>0</v>
      </c>
      <c r="BX109" s="55" t="n">
        <f aca="false">IF(AA109&lt;&gt;"",AA109,Z109)</f>
        <v>3</v>
      </c>
      <c r="BY109" s="55" t="str">
        <f aca="false">IF(BX109=1,"L1",IF(OR(BX109=2,BX109=3),"L23",IF(BX109="Aussen","Aussen","-")))</f>
        <v>L23</v>
      </c>
      <c r="BZ109" s="66" t="n">
        <f aca="false">IF(N(AB109)&gt;0,AB109,0)</f>
        <v>0</v>
      </c>
      <c r="CA109" s="60" t="n">
        <f aca="false">IF(ISNUMBER(AE109),1,0)</f>
        <v>0</v>
      </c>
      <c r="CB109" s="57" t="n">
        <f aca="false">N(AE109)</f>
        <v>0</v>
      </c>
      <c r="CC109" s="57" t="n">
        <f aca="false">N(M109)+N(N109)</f>
        <v>12</v>
      </c>
      <c r="CD109" s="57" t="n">
        <f aca="false">ROUNDUP(H109/BS109,0)</f>
        <v>2</v>
      </c>
      <c r="CE109" s="57" t="n">
        <f aca="false">ROUNDUP(CB109/BS109,0)</f>
        <v>0</v>
      </c>
      <c r="CF109" s="60" t="n">
        <f aca="false">IF(BT109=1,0,IFERROR(VLOOKUP(BR109,'Gebinde-Kategorie'!$A$5:$M$45,5,0)+0,0))</f>
        <v>21</v>
      </c>
      <c r="CG109" s="60" t="n">
        <f aca="false">IFERROR(IF(OR(BX109=1,BX109=2,BX109=3),N(INDEX(Parameter!$I$5:$I$7,BX109)),0),0)</f>
        <v>0</v>
      </c>
      <c r="CH109" s="59" t="n">
        <f aca="false">IF(AND(Parameter!$B$21="Ja",ISNUMBER(W109),N(X109)&gt;0),IFERROR(N(INDEX(Parameter!$L$5:$L$7,W109))*INDEX(Parameter!$E$5:$E$7,W109)*X109/SUMIFS($X$7:$X$1843,$W$7:$W$1843,W109),0),0)</f>
        <v>0</v>
      </c>
    </row>
    <row r="110" customFormat="false" ht="15" hidden="false" customHeight="false" outlineLevel="0" collapsed="false">
      <c r="A110" s="55" t="s">
        <v>432</v>
      </c>
      <c r="B110" s="55" t="s">
        <v>433</v>
      </c>
      <c r="C110" s="55" t="s">
        <v>164</v>
      </c>
      <c r="D110" s="55" t="s">
        <v>184</v>
      </c>
      <c r="E110" s="55"/>
      <c r="F110" s="55" t="s">
        <v>218</v>
      </c>
      <c r="G110" s="56" t="n">
        <v>692.78</v>
      </c>
      <c r="H110" s="57" t="n">
        <f aca="false">MAX(0,IF(AND(Parameter!$B$21="Ja",ISNUMBER(Y110)),Y110,IF(Parameter!$B$20="Jahresanfang 2025 + Export",BL110+BK110,BK110)))</f>
        <v>3</v>
      </c>
      <c r="I110" s="57" t="n">
        <f aca="false">H110*G110</f>
        <v>2078.34</v>
      </c>
      <c r="J110" s="57" t="n">
        <f aca="false">BN110*Parameter!$B$18</f>
        <v>2</v>
      </c>
      <c r="K110" s="58" t="n">
        <v>2</v>
      </c>
      <c r="L110" s="59" t="n">
        <v>1</v>
      </c>
      <c r="M110" s="57" t="n">
        <v>0</v>
      </c>
      <c r="N110" s="57" t="n">
        <v>1</v>
      </c>
      <c r="O110" s="60" t="n">
        <v>31</v>
      </c>
      <c r="P110" s="55" t="s">
        <v>233</v>
      </c>
      <c r="Q110" s="57" t="n">
        <v>4</v>
      </c>
      <c r="R110" s="60" t="n">
        <f aca="false">IF(BT110=1,0,IFERROR(VLOOKUP(BR110,'Gebinde-Kategorie'!$A$5:$M$45,13,0)+0,0))</f>
        <v>26</v>
      </c>
      <c r="S110" s="61"/>
      <c r="T110" s="62"/>
      <c r="U110" s="62"/>
      <c r="V110" s="62"/>
      <c r="W110" s="55"/>
      <c r="X110" s="57"/>
      <c r="Y110" s="57"/>
      <c r="Z110" s="55" t="n">
        <f aca="false">IF(A110="","",IF(AND(Parameter!$B$21="Ja",ISNUMBER(W110)),W110,IF(BV110="2+3",IF(ISNUMBER(SEARCH("grosser Artikel",BO110)),2,IFERROR(VLOOKUP(BR110,Parameter!$F$35:$G$64,2,0),2)),IF(OR(BV110="Nein",BV110=""),"-",BV110))))</f>
        <v>3</v>
      </c>
      <c r="AA110" s="62"/>
      <c r="AB110" s="63"/>
      <c r="AC110" s="57" t="n">
        <f aca="false">AR110</f>
        <v>4</v>
      </c>
      <c r="AD110" s="57" t="n">
        <f aca="false">MAX(AR110,H110)</f>
        <v>4</v>
      </c>
      <c r="AE110" s="64"/>
      <c r="AF110" s="57" t="n">
        <f aca="false">IF(LEFT(Cockpit!$C$5,1)="A",H110,IF(CA110=1,CB110,IF(LEFT(Cockpit!$C$5,1)="B",AJ110,MAX(AJ110,H110))))</f>
        <v>3</v>
      </c>
      <c r="AG110" s="57" t="n">
        <f aca="false">IF(BT110=1,0,ROUNDUP(AF110/BS110,0))</f>
        <v>1</v>
      </c>
      <c r="AH110" s="59" t="n">
        <f aca="false">IF(CH110&gt;0,CH110*MAX(1,AF110/X110),IF(BT110=1,IF(AF110&lt;=0,0,BW110*MAX(1,IF(H110&gt;0,AF110/H110,1))),IF(R110&gt;0,AG110/R110,0))/MAX(0.1,N(Parameter!$M$21)))</f>
        <v>0.0384615384615385</v>
      </c>
      <c r="AI110" s="57" t="n">
        <f aca="false">AF110*G110</f>
        <v>2078.34</v>
      </c>
      <c r="AJ110" s="57" t="n">
        <f aca="false">ROUNDUP(MAX(J110/IF(BZ110&gt;0,BZ110,MAX(0.1,N(Cockpit!$C$6))),CC110)/BS110,0)*BS110</f>
        <v>4</v>
      </c>
      <c r="AK110" s="58" t="n">
        <f aca="false">IF(AH110&gt;0,J110/AH110,-1)</f>
        <v>52</v>
      </c>
      <c r="AL110" s="58" t="n">
        <f aca="false">IF(AND(OR(BY110="L1",BY110="L23"),AH110&gt;0),SUMIFS($AH$7:$AH$1843,$BY$7:$BY$1843,BY110,$AK$7:$AK$1843,"&gt;"&amp;AK110)+SUMIFS($AH$7:$AH$1843,$BY$7:$BY$1843,BY110,$AK$7:$AK$1843,AK110,$BQ$7:$BQ$1843,"&lt;="&amp;BQ110),"")</f>
        <v>44.2029830073308</v>
      </c>
      <c r="AM110" s="65" t="n">
        <f aca="false">IF(AL110="",0,MAX(0,MIN(1,(IF(BY110="L1",Parameter!$E$5,Parameter!$E$6+Parameter!$E$7)-(AL110-AH110))/AH110)))</f>
        <v>1</v>
      </c>
      <c r="AN110" s="57" t="n">
        <f aca="false">IF(LEFT(Cockpit!$I$5,1)="A",H110,IF(CA110=1,CB110,IF(LEFT(Cockpit!$I$5,1)="B",AR110,MAX(AR110,H110))))</f>
        <v>4</v>
      </c>
      <c r="AO110" s="57" t="n">
        <f aca="false">IF(BT110=1,0,ROUNDUP(AN110/BS110,0))</f>
        <v>1</v>
      </c>
      <c r="AP110" s="59" t="n">
        <f aca="false">IF(CH110&gt;0,CH110*MAX(1,AN110/X110),IF(BT110=1,IF(AN110&lt;=0,0,BW110*MAX(1,IF(H110&gt;0,AN110/H110,1))),IF(R110&gt;0,AO110/R110,0))/MAX(0.1,N(Parameter!$M$21)))</f>
        <v>0.0384615384615385</v>
      </c>
      <c r="AQ110" s="57" t="n">
        <f aca="false">AN110*G110</f>
        <v>2771.12</v>
      </c>
      <c r="AR110" s="57" t="n">
        <f aca="false">ROUNDUP(MAX(J110/IF(BZ110&gt;0,BZ110,MAX(0.1,N(Cockpit!$I$6))),CC110)/BS110,0)*BS110</f>
        <v>4</v>
      </c>
      <c r="AS110" s="58" t="n">
        <f aca="false">IF(AP110&gt;0,J110/AP110,-1)</f>
        <v>52</v>
      </c>
      <c r="AT110" s="58" t="n">
        <f aca="false">IF(AND(OR(BY110="L1",BY110="L23"),AP110&gt;0),SUMIFS($AP$7:$AP$1843,$BY$7:$BY$1843,BY110,$AS$7:$AS$1843,"&gt;"&amp;AS110)+SUMIFS($AP$7:$AP$1843,$BY$7:$BY$1843,BY110,$AS$7:$AS$1843,AS110,$BQ$7:$BQ$1843,"&lt;="&amp;BQ110),"")</f>
        <v>66.9924918077092</v>
      </c>
      <c r="AU110" s="65" t="n">
        <f aca="false">IF(AT110="",0,MAX(0,MIN(1,(IF(BY110="L1",Parameter!$E$5,Parameter!$E$6+Parameter!$E$7)-(AT110-AP110))/AP110)))</f>
        <v>1</v>
      </c>
      <c r="AV110" s="57" t="n">
        <f aca="false">IF(LEFT(Cockpit!$O$5,1)="A",H110,IF(CA110=1,CB110,IF(LEFT(Cockpit!$O$5,1)="B",AZ110,MAX(AZ110,H110))))</f>
        <v>4</v>
      </c>
      <c r="AW110" s="57" t="n">
        <f aca="false">IF(BT110=1,0,ROUNDUP(AV110/BS110,0))</f>
        <v>1</v>
      </c>
      <c r="AX110" s="59" t="n">
        <f aca="false">IF(CH110&gt;0,CH110*MAX(1,AV110/X110),IF(BT110=1,IF(AV110&lt;=0,0,BW110*MAX(1,IF(H110&gt;0,AV110/H110,1))),IF(R110&gt;0,AW110/R110,0))/MAX(0.1,N(Parameter!$M$21)))</f>
        <v>0.0384615384615385</v>
      </c>
      <c r="AY110" s="57" t="n">
        <f aca="false">AV110*G110</f>
        <v>2771.12</v>
      </c>
      <c r="AZ110" s="57" t="n">
        <f aca="false">ROUNDUP(MAX(J110/IF(BZ110&gt;0,BZ110,MAX(0.1,N(Cockpit!$O$6))),CC110)/BS110,0)*BS110</f>
        <v>4</v>
      </c>
      <c r="BA110" s="58" t="n">
        <f aca="false">IF(AX110&gt;0,J110/AX110,-1)</f>
        <v>52</v>
      </c>
      <c r="BB110" s="58" t="n">
        <f aca="false">IF(AND(OR(BY110="L1",BY110="L23"),AX110&gt;0),SUMIFS($AX$7:$AX$1843,$BY$7:$BY$1843,BY110,$BA$7:$BA$1843,"&gt;"&amp;BA110)+SUMIFS($AX$7:$AX$1843,$BY$7:$BY$1843,BY110,$BA$7:$BA$1843,BA110,$BQ$7:$BQ$1843,"&lt;="&amp;BQ110),"")</f>
        <v>61.4889953042127</v>
      </c>
      <c r="BC110" s="65" t="n">
        <f aca="false">IF(BB110="",0,MAX(0,MIN(1,(IF(BY110="L1",Parameter!$E$5,Parameter!$E$6+Parameter!$E$7)-(BB110-AX110))/AX110)))</f>
        <v>1</v>
      </c>
      <c r="BD110" s="55" t="str">
        <f aca="false">IF(AH110&lt;=0,"",IF(BY110="Aussen","Aussenlager",IF(BY110="-","Nicht im Lift",IF(AM110&gt;=1,"Lift",IF(AM110&lt;=0,"Aussenlager","teilweise")))))</f>
        <v>Lift</v>
      </c>
      <c r="BE110" s="55" t="str">
        <f aca="false">IF(AP110&lt;=0,"",IF(BY110="Aussen","Aussenlager",IF(BY110="-","Nicht im Lift",IF(AU110&gt;=1,"Lift",IF(AU110&lt;=0,"Aussenlager","teilweise")))))</f>
        <v>Lift</v>
      </c>
      <c r="BF110" s="55" t="str">
        <f aca="false">IF(AX110&lt;=0,"",IF(BY110="Aussen","Aussenlager",IF(BY110="-","Nicht im Lift",IF(BC110&gt;=1,"Lift",IF(BC110&lt;=0,"Aussenlager","teilweise")))))</f>
        <v>Lift</v>
      </c>
      <c r="BG110" s="55" t="str">
        <f aca="false">IF(A110="","",IF(BP110=1,"Neu; ","")&amp;IF(AND(BP110=0,BK110&lt;0),"negativer Bestand (Export "&amp;BK110&amp;"); ","")&amp;IF(J110&lt;=0,"Kein Verbrauch; ","")&amp;IF(CH110&gt;0,"Lift "&amp;W110&amp;" lt. Liftbericht (Fach "&amp;X110&amp;" Stk); ",IF(BU110=1,"Gebinde geschätzt ("&amp;T110&amp;"); ",IF(BT110=1,"Lose – Tablare geschätzt; ","")))&amp;IF(H110&gt;AR110,"Überbestand "&amp;ROUND(H110-AR110,0)&amp;" Stk / CHF "&amp;ROUND((H110-AR110)*G110,0)&amp;"; ","")&amp;IF(AND(CA110=1,CB110&lt;CC110),"MAX &lt; MB+LG; ","")&amp;IF(AND(CG110&gt;0,CF110*10&gt;CG110),"zu hoch für Tablar; ","")&amp;IF(AND(BP110=0,OR(CA110=1,AA110&lt;&gt;"",U110&lt;&gt;"",V110&lt;&gt;"",AB110&lt;&gt;"")),"manuell übersteuert; ","")&amp;IF(AND(BT110=0,R110=0),"Gebinde unbekannt / Stellmass fehlt; ","")&amp;IF(AND(BT110=0,N(V110)&lt;=0,N(Q110)&lt;=0),"Menge pro Gebinde fehlt (Ist = 1 Gebinde); ","")&amp;BO110)</f>
        <v/>
      </c>
      <c r="BH110" s="55"/>
      <c r="BI110" s="55"/>
      <c r="BJ110" s="62"/>
      <c r="BK110" s="57" t="n">
        <v>3</v>
      </c>
      <c r="BL110" s="57" t="n">
        <v>0</v>
      </c>
      <c r="BM110" s="56" t="n">
        <v>2078.34</v>
      </c>
      <c r="BN110" s="57" t="n">
        <v>2</v>
      </c>
      <c r="BO110" s="55"/>
      <c r="BP110" s="60" t="n">
        <v>0</v>
      </c>
      <c r="BQ110" s="60" t="n">
        <v>110</v>
      </c>
      <c r="BR110" s="55" t="str">
        <f aca="false">IF(U110&lt;&gt;"",UPPER(TRIM(U110)),IF(BU110=1,UPPER(VLOOKUP(T110,Parameter!$I$27:$K$29,2,0)),IF(P110="","LOSE",P110)))</f>
        <v>S52</v>
      </c>
      <c r="BS110" s="57" t="n">
        <f aca="false">IF(BR110="LOSE",1,IF(N(V110)&gt;0,V110,IF(BU110=1,MAX(1,N(VLOOKUP(T110,Parameter!$I$27:$K$29,3,0)),H110,N(N110)),IF(N(Q110)&gt;0,Q110,MAX(1,H110)))))</f>
        <v>4</v>
      </c>
      <c r="BT110" s="60" t="n">
        <f aca="false">IF(BR110="LOSE",1,0)</f>
        <v>0</v>
      </c>
      <c r="BU110" s="60" t="n">
        <f aca="false">IF(AND(U110="",OR(P110="",P110="LOSE"),T110&lt;&gt;"",N(S110)&lt;=0,ISNUMBER(MATCH(T110,Parameter!$I$27:$I$29,0))),1,0)</f>
        <v>0</v>
      </c>
      <c r="BV110" s="55" t="str">
        <f aca="false">IF(AND(Parameter!$B$19="Ja",E110&lt;&gt;"",ISNUMBER(MATCH(E110,Parameter!$I$35:$I$52,0))),VLOOKUP(E110,Parameter!$I$35:$J$52,2,0),IFERROR(VLOOKUP(D110,Parameter!$A$35:$C$64,2,0),"Nein"))</f>
        <v>2+3</v>
      </c>
      <c r="BW110" s="59" t="n">
        <f aca="false">IF(BT110=0,0,IF(N(S110)&gt;0,S110,IFERROR(VLOOKUP(D110,Parameter!$A$35:$C$64,3,0)+0,0)))</f>
        <v>0</v>
      </c>
      <c r="BX110" s="55" t="n">
        <f aca="false">IF(AA110&lt;&gt;"",AA110,Z110)</f>
        <v>3</v>
      </c>
      <c r="BY110" s="55" t="str">
        <f aca="false">IF(BX110=1,"L1",IF(OR(BX110=2,BX110=3),"L23",IF(BX110="Aussen","Aussen","-")))</f>
        <v>L23</v>
      </c>
      <c r="BZ110" s="66" t="n">
        <f aca="false">IF(N(AB110)&gt;0,AB110,0)</f>
        <v>0</v>
      </c>
      <c r="CA110" s="60" t="n">
        <f aca="false">IF(ISNUMBER(AE110),1,0)</f>
        <v>0</v>
      </c>
      <c r="CB110" s="57" t="n">
        <f aca="false">N(AE110)</f>
        <v>0</v>
      </c>
      <c r="CC110" s="57" t="n">
        <f aca="false">N(M110)+N(N110)</f>
        <v>1</v>
      </c>
      <c r="CD110" s="57" t="n">
        <f aca="false">ROUNDUP(H110/BS110,0)</f>
        <v>1</v>
      </c>
      <c r="CE110" s="57" t="n">
        <f aca="false">ROUNDUP(CB110/BS110,0)</f>
        <v>0</v>
      </c>
      <c r="CF110" s="60" t="n">
        <f aca="false">IF(BT110=1,0,IFERROR(VLOOKUP(BR110,'Gebinde-Kategorie'!$A$5:$M$45,5,0)+0,0))</f>
        <v>21</v>
      </c>
      <c r="CG110" s="60" t="n">
        <f aca="false">IFERROR(IF(OR(BX110=1,BX110=2,BX110=3),N(INDEX(Parameter!$I$5:$I$7,BX110)),0),0)</f>
        <v>0</v>
      </c>
      <c r="CH110" s="59" t="n">
        <f aca="false">IF(AND(Parameter!$B$21="Ja",ISNUMBER(W110),N(X110)&gt;0),IFERROR(N(INDEX(Parameter!$L$5:$L$7,W110))*INDEX(Parameter!$E$5:$E$7,W110)*X110/SUMIFS($X$7:$X$1843,$W$7:$W$1843,W110),0),0)</f>
        <v>0</v>
      </c>
    </row>
    <row r="111" customFormat="false" ht="15" hidden="false" customHeight="false" outlineLevel="0" collapsed="false">
      <c r="A111" s="55" t="s">
        <v>434</v>
      </c>
      <c r="B111" s="55" t="s">
        <v>435</v>
      </c>
      <c r="C111" s="55" t="s">
        <v>164</v>
      </c>
      <c r="D111" s="55" t="s">
        <v>184</v>
      </c>
      <c r="E111" s="55" t="s">
        <v>185</v>
      </c>
      <c r="F111" s="55" t="s">
        <v>218</v>
      </c>
      <c r="G111" s="56" t="n">
        <v>52.61</v>
      </c>
      <c r="H111" s="57" t="n">
        <f aca="false">MAX(0,IF(AND(Parameter!$B$21="Ja",ISNUMBER(Y111)),Y111,IF(Parameter!$B$20="Jahresanfang 2025 + Export",BL111+BK111,BK111)))</f>
        <v>47</v>
      </c>
      <c r="I111" s="57" t="n">
        <f aca="false">H111*G111</f>
        <v>2472.67</v>
      </c>
      <c r="J111" s="57" t="n">
        <f aca="false">BN111*Parameter!$B$18</f>
        <v>74</v>
      </c>
      <c r="K111" s="58" t="n">
        <v>25.5</v>
      </c>
      <c r="L111" s="59" t="n">
        <v>2.90196078431373</v>
      </c>
      <c r="M111" s="57" t="n">
        <v>5</v>
      </c>
      <c r="N111" s="57" t="n">
        <v>75</v>
      </c>
      <c r="O111" s="60" t="n">
        <v>21</v>
      </c>
      <c r="P111" s="55" t="s">
        <v>233</v>
      </c>
      <c r="Q111" s="57" t="n">
        <v>50</v>
      </c>
      <c r="R111" s="60" t="n">
        <f aca="false">IF(BT111=1,0,IFERROR(VLOOKUP(BR111,'Gebinde-Kategorie'!$A$5:$M$45,13,0)+0,0))</f>
        <v>26</v>
      </c>
      <c r="S111" s="61"/>
      <c r="T111" s="62"/>
      <c r="U111" s="62"/>
      <c r="V111" s="62"/>
      <c r="W111" s="55"/>
      <c r="X111" s="57"/>
      <c r="Y111" s="57"/>
      <c r="Z111" s="55" t="n">
        <f aca="false">IF(A111="","",IF(AND(Parameter!$B$21="Ja",ISNUMBER(W111)),W111,IF(BV111="2+3",IF(ISNUMBER(SEARCH("grosser Artikel",BO111)),2,IFERROR(VLOOKUP(BR111,Parameter!$F$35:$G$64,2,0),2)),IF(OR(BV111="Nein",BV111=""),"-",BV111))))</f>
        <v>3</v>
      </c>
      <c r="AA111" s="62"/>
      <c r="AB111" s="63"/>
      <c r="AC111" s="57" t="n">
        <f aca="false">AR111</f>
        <v>100</v>
      </c>
      <c r="AD111" s="57" t="n">
        <f aca="false">MAX(AR111,H111)</f>
        <v>100</v>
      </c>
      <c r="AE111" s="64"/>
      <c r="AF111" s="57" t="n">
        <f aca="false">IF(LEFT(Cockpit!$C$5,1)="A",H111,IF(CA111=1,CB111,IF(LEFT(Cockpit!$C$5,1)="B",AJ111,MAX(AJ111,H111))))</f>
        <v>47</v>
      </c>
      <c r="AG111" s="57" t="n">
        <f aca="false">IF(BT111=1,0,ROUNDUP(AF111/BS111,0))</f>
        <v>1</v>
      </c>
      <c r="AH111" s="59" t="n">
        <f aca="false">IF(CH111&gt;0,CH111*MAX(1,AF111/X111),IF(BT111=1,IF(AF111&lt;=0,0,BW111*MAX(1,IF(H111&gt;0,AF111/H111,1))),IF(R111&gt;0,AG111/R111,0))/MAX(0.1,N(Parameter!$M$21)))</f>
        <v>0.0384615384615385</v>
      </c>
      <c r="AI111" s="57" t="n">
        <f aca="false">AF111*G111</f>
        <v>2472.67</v>
      </c>
      <c r="AJ111" s="57" t="n">
        <f aca="false">ROUNDUP(MAX(J111/IF(BZ111&gt;0,BZ111,MAX(0.1,N(Cockpit!$C$6))),CC111)/BS111,0)*BS111</f>
        <v>100</v>
      </c>
      <c r="AK111" s="58" t="n">
        <f aca="false">IF(AH111&gt;0,J111/AH111,-1)</f>
        <v>1924</v>
      </c>
      <c r="AL111" s="58" t="n">
        <f aca="false">IF(AND(OR(BY111="L1",BY111="L23"),AH111&gt;0),SUMIFS($AH$7:$AH$1843,$BY$7:$BY$1843,BY111,$AK$7:$AK$1843,"&gt;"&amp;AK111)+SUMIFS($AH$7:$AH$1843,$BY$7:$BY$1843,BY111,$AK$7:$AK$1843,AK111,$BQ$7:$BQ$1843,"&lt;="&amp;BQ111),"")</f>
        <v>13.4959545285632</v>
      </c>
      <c r="AM111" s="65" t="n">
        <f aca="false">IF(AL111="",0,MAX(0,MIN(1,(IF(BY111="L1",Parameter!$E$5,Parameter!$E$6+Parameter!$E$7)-(AL111-AH111))/AH111)))</f>
        <v>1</v>
      </c>
      <c r="AN111" s="57" t="n">
        <f aca="false">IF(LEFT(Cockpit!$I$5,1)="A",H111,IF(CA111=1,CB111,IF(LEFT(Cockpit!$I$5,1)="B",AR111,MAX(AR111,H111))))</f>
        <v>100</v>
      </c>
      <c r="AO111" s="57" t="n">
        <f aca="false">IF(BT111=1,0,ROUNDUP(AN111/BS111,0))</f>
        <v>2</v>
      </c>
      <c r="AP111" s="59" t="n">
        <f aca="false">IF(CH111&gt;0,CH111*MAX(1,AN111/X111),IF(BT111=1,IF(AN111&lt;=0,0,BW111*MAX(1,IF(H111&gt;0,AN111/H111,1))),IF(R111&gt;0,AO111/R111,0))/MAX(0.1,N(Parameter!$M$21)))</f>
        <v>0.0769230769230769</v>
      </c>
      <c r="AQ111" s="57" t="n">
        <f aca="false">AN111*G111</f>
        <v>5261</v>
      </c>
      <c r="AR111" s="57" t="n">
        <f aca="false">ROUNDUP(MAX(J111/IF(BZ111&gt;0,BZ111,MAX(0.1,N(Cockpit!$I$6))),CC111)/BS111,0)*BS111</f>
        <v>100</v>
      </c>
      <c r="AS111" s="58" t="n">
        <f aca="false">IF(AP111&gt;0,J111/AP111,-1)</f>
        <v>962</v>
      </c>
      <c r="AT111" s="58" t="n">
        <f aca="false">IF(AND(OR(BY111="L1",BY111="L23"),AP111&gt;0),SUMIFS($AP$7:$AP$1843,$BY$7:$BY$1843,BY111,$AS$7:$AS$1843,"&gt;"&amp;AS111)+SUMIFS($AP$7:$AP$1843,$BY$7:$BY$1843,BY111,$AS$7:$AS$1843,AS111,$BQ$7:$BQ$1843,"&lt;="&amp;BQ111),"")</f>
        <v>23.9711411776629</v>
      </c>
      <c r="AU111" s="65" t="n">
        <f aca="false">IF(AT111="",0,MAX(0,MIN(1,(IF(BY111="L1",Parameter!$E$5,Parameter!$E$6+Parameter!$E$7)-(AT111-AP111))/AP111)))</f>
        <v>1</v>
      </c>
      <c r="AV111" s="57" t="n">
        <f aca="false">IF(LEFT(Cockpit!$O$5,1)="A",H111,IF(CA111=1,CB111,IF(LEFT(Cockpit!$O$5,1)="B",AZ111,MAX(AZ111,H111))))</f>
        <v>100</v>
      </c>
      <c r="AW111" s="57" t="n">
        <f aca="false">IF(BT111=1,0,ROUNDUP(AV111/BS111,0))</f>
        <v>2</v>
      </c>
      <c r="AX111" s="59" t="n">
        <f aca="false">IF(CH111&gt;0,CH111*MAX(1,AV111/X111),IF(BT111=1,IF(AV111&lt;=0,0,BW111*MAX(1,IF(H111&gt;0,AV111/H111,1))),IF(R111&gt;0,AW111/R111,0))/MAX(0.1,N(Parameter!$M$21)))</f>
        <v>0.0769230769230769</v>
      </c>
      <c r="AY111" s="57" t="n">
        <f aca="false">AV111*G111</f>
        <v>5261</v>
      </c>
      <c r="AZ111" s="57" t="n">
        <f aca="false">ROUNDUP(MAX(J111/IF(BZ111&gt;0,BZ111,MAX(0.1,N(Cockpit!$O$6))),CC111)/BS111,0)*BS111</f>
        <v>100</v>
      </c>
      <c r="BA111" s="58" t="n">
        <f aca="false">IF(AX111&gt;0,J111/AX111,-1)</f>
        <v>962</v>
      </c>
      <c r="BB111" s="58" t="n">
        <f aca="false">IF(AND(OR(BY111="L1",BY111="L23"),AX111&gt;0),SUMIFS($AX$7:$AX$1843,$BY$7:$BY$1843,BY111,$BA$7:$BA$1843,"&gt;"&amp;BA111)+SUMIFS($AX$7:$AX$1843,$BY$7:$BY$1843,BY111,$BA$7:$BA$1843,BA111,$BQ$7:$BQ$1843,"&lt;="&amp;BQ111),"")</f>
        <v>23.256106212628</v>
      </c>
      <c r="BC111" s="65" t="n">
        <f aca="false">IF(BB111="",0,MAX(0,MIN(1,(IF(BY111="L1",Parameter!$E$5,Parameter!$E$6+Parameter!$E$7)-(BB111-AX111))/AX111)))</f>
        <v>1</v>
      </c>
      <c r="BD111" s="55" t="str">
        <f aca="false">IF(AH111&lt;=0,"",IF(BY111="Aussen","Aussenlager",IF(BY111="-","Nicht im Lift",IF(AM111&gt;=1,"Lift",IF(AM111&lt;=0,"Aussenlager","teilweise")))))</f>
        <v>Lift</v>
      </c>
      <c r="BE111" s="55" t="str">
        <f aca="false">IF(AP111&lt;=0,"",IF(BY111="Aussen","Aussenlager",IF(BY111="-","Nicht im Lift",IF(AU111&gt;=1,"Lift",IF(AU111&lt;=0,"Aussenlager","teilweise")))))</f>
        <v>Lift</v>
      </c>
      <c r="BF111" s="55" t="str">
        <f aca="false">IF(AX111&lt;=0,"",IF(BY111="Aussen","Aussenlager",IF(BY111="-","Nicht im Lift",IF(BC111&gt;=1,"Lift",IF(BC111&lt;=0,"Aussenlager","teilweise")))))</f>
        <v>Lift</v>
      </c>
      <c r="BG111" s="55" t="str">
        <f aca="false">IF(A111="","",IF(BP111=1,"Neu; ","")&amp;IF(AND(BP111=0,BK111&lt;0),"negativer Bestand (Export "&amp;BK111&amp;"); ","")&amp;IF(J111&lt;=0,"Kein Verbrauch; ","")&amp;IF(CH111&gt;0,"Lift "&amp;W111&amp;" lt. Liftbericht (Fach "&amp;X111&amp;" Stk); ",IF(BU111=1,"Gebinde geschätzt ("&amp;T111&amp;"); ",IF(BT111=1,"Lose – Tablare geschätzt; ","")))&amp;IF(H111&gt;AR111,"Überbestand "&amp;ROUND(H111-AR111,0)&amp;" Stk / CHF "&amp;ROUND((H111-AR111)*G111,0)&amp;"; ","")&amp;IF(AND(CA111=1,CB111&lt;CC111),"MAX &lt; MB+LG; ","")&amp;IF(AND(CG111&gt;0,CF111*10&gt;CG111),"zu hoch für Tablar; ","")&amp;IF(AND(BP111=0,OR(CA111=1,AA111&lt;&gt;"",U111&lt;&gt;"",V111&lt;&gt;"",AB111&lt;&gt;"")),"manuell übersteuert; ","")&amp;IF(AND(BT111=0,R111=0),"Gebinde unbekannt / Stellmass fehlt; ","")&amp;IF(AND(BT111=0,N(V111)&lt;=0,N(Q111)&lt;=0),"Menge pro Gebinde fehlt (Ist = 1 Gebinde); ","")&amp;BO111)</f>
        <v/>
      </c>
      <c r="BH111" s="55"/>
      <c r="BI111" s="55"/>
      <c r="BJ111" s="62"/>
      <c r="BK111" s="57" t="n">
        <v>34</v>
      </c>
      <c r="BL111" s="57" t="n">
        <v>13</v>
      </c>
      <c r="BM111" s="56" t="n">
        <v>2066.83</v>
      </c>
      <c r="BN111" s="57" t="n">
        <v>74</v>
      </c>
      <c r="BO111" s="55"/>
      <c r="BP111" s="60" t="n">
        <v>0</v>
      </c>
      <c r="BQ111" s="60" t="n">
        <v>111</v>
      </c>
      <c r="BR111" s="55" t="str">
        <f aca="false">IF(U111&lt;&gt;"",UPPER(TRIM(U111)),IF(BU111=1,UPPER(VLOOKUP(T111,Parameter!$I$27:$K$29,2,0)),IF(P111="","LOSE",P111)))</f>
        <v>S52</v>
      </c>
      <c r="BS111" s="57" t="n">
        <f aca="false">IF(BR111="LOSE",1,IF(N(V111)&gt;0,V111,IF(BU111=1,MAX(1,N(VLOOKUP(T111,Parameter!$I$27:$K$29,3,0)),H111,N(N111)),IF(N(Q111)&gt;0,Q111,MAX(1,H111)))))</f>
        <v>50</v>
      </c>
      <c r="BT111" s="60" t="n">
        <f aca="false">IF(BR111="LOSE",1,0)</f>
        <v>0</v>
      </c>
      <c r="BU111" s="60" t="n">
        <f aca="false">IF(AND(U111="",OR(P111="",P111="LOSE"),T111&lt;&gt;"",N(S111)&lt;=0,ISNUMBER(MATCH(T111,Parameter!$I$27:$I$29,0))),1,0)</f>
        <v>0</v>
      </c>
      <c r="BV111" s="55" t="str">
        <f aca="false">IF(AND(Parameter!$B$19="Ja",E111&lt;&gt;"",ISNUMBER(MATCH(E111,Parameter!$I$35:$I$52,0))),VLOOKUP(E111,Parameter!$I$35:$J$52,2,0),IFERROR(VLOOKUP(D111,Parameter!$A$35:$C$64,2,0),"Nein"))</f>
        <v>2+3</v>
      </c>
      <c r="BW111" s="59" t="n">
        <f aca="false">IF(BT111=0,0,IF(N(S111)&gt;0,S111,IFERROR(VLOOKUP(D111,Parameter!$A$35:$C$64,3,0)+0,0)))</f>
        <v>0</v>
      </c>
      <c r="BX111" s="55" t="n">
        <f aca="false">IF(AA111&lt;&gt;"",AA111,Z111)</f>
        <v>3</v>
      </c>
      <c r="BY111" s="55" t="str">
        <f aca="false">IF(BX111=1,"L1",IF(OR(BX111=2,BX111=3),"L23",IF(BX111="Aussen","Aussen","-")))</f>
        <v>L23</v>
      </c>
      <c r="BZ111" s="66" t="n">
        <f aca="false">IF(N(AB111)&gt;0,AB111,0)</f>
        <v>0</v>
      </c>
      <c r="CA111" s="60" t="n">
        <f aca="false">IF(ISNUMBER(AE111),1,0)</f>
        <v>0</v>
      </c>
      <c r="CB111" s="57" t="n">
        <f aca="false">N(AE111)</f>
        <v>0</v>
      </c>
      <c r="CC111" s="57" t="n">
        <f aca="false">N(M111)+N(N111)</f>
        <v>80</v>
      </c>
      <c r="CD111" s="57" t="n">
        <f aca="false">ROUNDUP(H111/BS111,0)</f>
        <v>1</v>
      </c>
      <c r="CE111" s="57" t="n">
        <f aca="false">ROUNDUP(CB111/BS111,0)</f>
        <v>0</v>
      </c>
      <c r="CF111" s="60" t="n">
        <f aca="false">IF(BT111=1,0,IFERROR(VLOOKUP(BR111,'Gebinde-Kategorie'!$A$5:$M$45,5,0)+0,0))</f>
        <v>21</v>
      </c>
      <c r="CG111" s="60" t="n">
        <f aca="false">IFERROR(IF(OR(BX111=1,BX111=2,BX111=3),N(INDEX(Parameter!$I$5:$I$7,BX111)),0),0)</f>
        <v>0</v>
      </c>
      <c r="CH111" s="59" t="n">
        <f aca="false">IF(AND(Parameter!$B$21="Ja",ISNUMBER(W111),N(X111)&gt;0),IFERROR(N(INDEX(Parameter!$L$5:$L$7,W111))*INDEX(Parameter!$E$5:$E$7,W111)*X111/SUMIFS($X$7:$X$1843,$W$7:$W$1843,W111),0),0)</f>
        <v>0</v>
      </c>
    </row>
    <row r="112" customFormat="false" ht="15" hidden="false" customHeight="false" outlineLevel="0" collapsed="false">
      <c r="A112" s="55" t="s">
        <v>436</v>
      </c>
      <c r="B112" s="55" t="s">
        <v>437</v>
      </c>
      <c r="C112" s="55" t="s">
        <v>164</v>
      </c>
      <c r="D112" s="55" t="s">
        <v>173</v>
      </c>
      <c r="E112" s="55" t="s">
        <v>166</v>
      </c>
      <c r="F112" s="55" t="s">
        <v>218</v>
      </c>
      <c r="G112" s="56" t="n">
        <v>345.4</v>
      </c>
      <c r="H112" s="57" t="n">
        <f aca="false">MAX(0,IF(AND(Parameter!$B$21="Ja",ISNUMBER(Y112)),Y112,IF(Parameter!$B$20="Jahresanfang 2025 + Export",BL112+BK112,BK112)))</f>
        <v>34</v>
      </c>
      <c r="I112" s="57" t="n">
        <f aca="false">H112*G112</f>
        <v>11743.6</v>
      </c>
      <c r="J112" s="57" t="n">
        <f aca="false">BN112*Parameter!$B$18</f>
        <v>34</v>
      </c>
      <c r="K112" s="58" t="n">
        <v>28</v>
      </c>
      <c r="L112" s="59" t="n">
        <v>1.21428571428571</v>
      </c>
      <c r="M112" s="57" t="n">
        <v>10</v>
      </c>
      <c r="N112" s="57" t="n">
        <v>15</v>
      </c>
      <c r="O112" s="60" t="n">
        <v>98</v>
      </c>
      <c r="P112" s="55" t="s">
        <v>174</v>
      </c>
      <c r="Q112" s="57" t="n">
        <v>24</v>
      </c>
      <c r="R112" s="60" t="n">
        <f aca="false">IF(BT112=1,0,IFERROR(VLOOKUP(BR112,'Gebinde-Kategorie'!$A$5:$M$45,13,0)+0,0))</f>
        <v>6</v>
      </c>
      <c r="S112" s="61"/>
      <c r="T112" s="62"/>
      <c r="U112" s="62"/>
      <c r="V112" s="62"/>
      <c r="W112" s="55"/>
      <c r="X112" s="57"/>
      <c r="Y112" s="57"/>
      <c r="Z112" s="55" t="n">
        <f aca="false">IF(A112="","",IF(AND(Parameter!$B$21="Ja",ISNUMBER(W112)),W112,IF(BV112="2+3",IF(ISNUMBER(SEARCH("grosser Artikel",BO112)),2,IFERROR(VLOOKUP(BR112,Parameter!$F$35:$G$64,2,0),2)),IF(OR(BV112="Nein",BV112=""),"-",BV112))))</f>
        <v>1</v>
      </c>
      <c r="AA112" s="62"/>
      <c r="AB112" s="63"/>
      <c r="AC112" s="57" t="n">
        <f aca="false">AR112</f>
        <v>48</v>
      </c>
      <c r="AD112" s="57" t="n">
        <f aca="false">MAX(AR112,H112)</f>
        <v>48</v>
      </c>
      <c r="AE112" s="64"/>
      <c r="AF112" s="57" t="n">
        <f aca="false">IF(LEFT(Cockpit!$C$5,1)="A",H112,IF(CA112=1,CB112,IF(LEFT(Cockpit!$C$5,1)="B",AJ112,MAX(AJ112,H112))))</f>
        <v>34</v>
      </c>
      <c r="AG112" s="57" t="n">
        <f aca="false">IF(BT112=1,0,ROUNDUP(AF112/BS112,0))</f>
        <v>2</v>
      </c>
      <c r="AH112" s="59" t="n">
        <f aca="false">IF(CH112&gt;0,CH112*MAX(1,AF112/X112),IF(BT112=1,IF(AF112&lt;=0,0,BW112*MAX(1,IF(H112&gt;0,AF112/H112,1))),IF(R112&gt;0,AG112/R112,0))/MAX(0.1,N(Parameter!$M$21)))</f>
        <v>0.333333333333333</v>
      </c>
      <c r="AI112" s="57" t="n">
        <f aca="false">AF112*G112</f>
        <v>11743.6</v>
      </c>
      <c r="AJ112" s="57" t="n">
        <f aca="false">ROUNDUP(MAX(J112/IF(BZ112&gt;0,BZ112,MAX(0.1,N(Cockpit!$C$6))),CC112)/BS112,0)*BS112</f>
        <v>48</v>
      </c>
      <c r="AK112" s="58" t="n">
        <f aca="false">IF(AH112&gt;0,J112/AH112,-1)</f>
        <v>102</v>
      </c>
      <c r="AL112" s="58" t="n">
        <f aca="false">IF(AND(OR(BY112="L1",BY112="L23"),AH112&gt;0),SUMIFS($AH$7:$AH$1843,$BY$7:$BY$1843,BY112,$AK$7:$AK$1843,"&gt;"&amp;AK112)+SUMIFS($AH$7:$AH$1843,$BY$7:$BY$1843,BY112,$AK$7:$AK$1843,AK112,$BQ$7:$BQ$1843,"&lt;="&amp;BQ112),"")</f>
        <v>6.83087378518477</v>
      </c>
      <c r="AM112" s="65" t="n">
        <f aca="false">IF(AL112="",0,MAX(0,MIN(1,(IF(BY112="L1",Parameter!$E$5,Parameter!$E$6+Parameter!$E$7)-(AL112-AH112))/AH112)))</f>
        <v>1</v>
      </c>
      <c r="AN112" s="57" t="n">
        <f aca="false">IF(LEFT(Cockpit!$I$5,1)="A",H112,IF(CA112=1,CB112,IF(LEFT(Cockpit!$I$5,1)="B",AR112,MAX(AR112,H112))))</f>
        <v>48</v>
      </c>
      <c r="AO112" s="57" t="n">
        <f aca="false">IF(BT112=1,0,ROUNDUP(AN112/BS112,0))</f>
        <v>2</v>
      </c>
      <c r="AP112" s="59" t="n">
        <f aca="false">IF(CH112&gt;0,CH112*MAX(1,AN112/X112),IF(BT112=1,IF(AN112&lt;=0,0,BW112*MAX(1,IF(H112&gt;0,AN112/H112,1))),IF(R112&gt;0,AO112/R112,0))/MAX(0.1,N(Parameter!$M$21)))</f>
        <v>0.333333333333333</v>
      </c>
      <c r="AQ112" s="57" t="n">
        <f aca="false">AN112*G112</f>
        <v>16579.2</v>
      </c>
      <c r="AR112" s="57" t="n">
        <f aca="false">ROUNDUP(MAX(J112/IF(BZ112&gt;0,BZ112,MAX(0.1,N(Cockpit!$I$6))),CC112)/BS112,0)*BS112</f>
        <v>48</v>
      </c>
      <c r="AS112" s="58" t="n">
        <f aca="false">IF(AP112&gt;0,J112/AP112,-1)</f>
        <v>102</v>
      </c>
      <c r="AT112" s="58" t="n">
        <f aca="false">IF(AND(OR(BY112="L1",BY112="L23"),AP112&gt;0),SUMIFS($AP$7:$AP$1843,$BY$7:$BY$1843,BY112,$AS$7:$AS$1843,"&gt;"&amp;AS112)+SUMIFS($AP$7:$AP$1843,$BY$7:$BY$1843,BY112,$AS$7:$AS$1843,AS112,$BQ$7:$BQ$1843,"&lt;="&amp;BQ112),"")</f>
        <v>7.57775919732441</v>
      </c>
      <c r="AU112" s="65" t="n">
        <f aca="false">IF(AT112="",0,MAX(0,MIN(1,(IF(BY112="L1",Parameter!$E$5,Parameter!$E$6+Parameter!$E$7)-(AT112-AP112))/AP112)))</f>
        <v>1</v>
      </c>
      <c r="AV112" s="57" t="n">
        <f aca="false">IF(LEFT(Cockpit!$O$5,1)="A",H112,IF(CA112=1,CB112,IF(LEFT(Cockpit!$O$5,1)="B",AZ112,MAX(AZ112,H112))))</f>
        <v>48</v>
      </c>
      <c r="AW112" s="57" t="n">
        <f aca="false">IF(BT112=1,0,ROUNDUP(AV112/BS112,0))</f>
        <v>2</v>
      </c>
      <c r="AX112" s="59" t="n">
        <f aca="false">IF(CH112&gt;0,CH112*MAX(1,AV112/X112),IF(BT112=1,IF(AV112&lt;=0,0,BW112*MAX(1,IF(H112&gt;0,AV112/H112,1))),IF(R112&gt;0,AW112/R112,0))/MAX(0.1,N(Parameter!$M$21)))</f>
        <v>0.333333333333333</v>
      </c>
      <c r="AY112" s="57" t="n">
        <f aca="false">AV112*G112</f>
        <v>16579.2</v>
      </c>
      <c r="AZ112" s="57" t="n">
        <f aca="false">ROUNDUP(MAX(J112/IF(BZ112&gt;0,BZ112,MAX(0.1,N(Cockpit!$O$6))),CC112)/BS112,0)*BS112</f>
        <v>48</v>
      </c>
      <c r="BA112" s="58" t="n">
        <f aca="false">IF(AX112&gt;0,J112/AX112,-1)</f>
        <v>102</v>
      </c>
      <c r="BB112" s="58" t="n">
        <f aca="false">IF(AND(OR(BY112="L1",BY112="L23"),AX112&gt;0),SUMIFS($AX$7:$AX$1843,$BY$7:$BY$1843,BY112,$BA$7:$BA$1843,"&gt;"&amp;BA112)+SUMIFS($AX$7:$AX$1843,$BY$7:$BY$1843,BY112,$BA$7:$BA$1843,BA112,$BQ$7:$BQ$1843,"&lt;="&amp;BQ112),"")</f>
        <v>7.87263099219621</v>
      </c>
      <c r="BC112" s="65" t="n">
        <f aca="false">IF(BB112="",0,MAX(0,MIN(1,(IF(BY112="L1",Parameter!$E$5,Parameter!$E$6+Parameter!$E$7)-(BB112-AX112))/AX112)))</f>
        <v>1</v>
      </c>
      <c r="BD112" s="55" t="str">
        <f aca="false">IF(AH112&lt;=0,"",IF(BY112="Aussen","Aussenlager",IF(BY112="-","Nicht im Lift",IF(AM112&gt;=1,"Lift",IF(AM112&lt;=0,"Aussenlager","teilweise")))))</f>
        <v>Lift</v>
      </c>
      <c r="BE112" s="55" t="str">
        <f aca="false">IF(AP112&lt;=0,"",IF(BY112="Aussen","Aussenlager",IF(BY112="-","Nicht im Lift",IF(AU112&gt;=1,"Lift",IF(AU112&lt;=0,"Aussenlager","teilweise")))))</f>
        <v>Lift</v>
      </c>
      <c r="BF112" s="55" t="str">
        <f aca="false">IF(AX112&lt;=0,"",IF(BY112="Aussen","Aussenlager",IF(BY112="-","Nicht im Lift",IF(BC112&gt;=1,"Lift",IF(BC112&lt;=0,"Aussenlager","teilweise")))))</f>
        <v>Lift</v>
      </c>
      <c r="BG112" s="55" t="str">
        <f aca="false">IF(A112="","",IF(BP112=1,"Neu; ","")&amp;IF(AND(BP112=0,BK112&lt;0),"negativer Bestand (Export "&amp;BK112&amp;"); ","")&amp;IF(J112&lt;=0,"Kein Verbrauch; ","")&amp;IF(CH112&gt;0,"Lift "&amp;W112&amp;" lt. Liftbericht (Fach "&amp;X112&amp;" Stk); ",IF(BU112=1,"Gebinde geschätzt ("&amp;T112&amp;"); ",IF(BT112=1,"Lose – Tablare geschätzt; ","")))&amp;IF(H112&gt;AR112,"Überbestand "&amp;ROUND(H112-AR112,0)&amp;" Stk / CHF "&amp;ROUND((H112-AR112)*G112,0)&amp;"; ","")&amp;IF(AND(CA112=1,CB112&lt;CC112),"MAX &lt; MB+LG; ","")&amp;IF(AND(CG112&gt;0,CF112*10&gt;CG112),"zu hoch für Tablar; ","")&amp;IF(AND(BP112=0,OR(CA112=1,AA112&lt;&gt;"",U112&lt;&gt;"",V112&lt;&gt;"",AB112&lt;&gt;"")),"manuell übersteuert; ","")&amp;IF(AND(BT112=0,R112=0),"Gebinde unbekannt / Stellmass fehlt; ","")&amp;IF(AND(BT112=0,N(V112)&lt;=0,N(Q112)&lt;=0),"Menge pro Gebinde fehlt (Ist = 1 Gebinde); ","")&amp;BO112)</f>
        <v/>
      </c>
      <c r="BH112" s="55"/>
      <c r="BI112" s="55"/>
      <c r="BJ112" s="62"/>
      <c r="BK112" s="57" t="n">
        <v>1</v>
      </c>
      <c r="BL112" s="57" t="n">
        <v>33</v>
      </c>
      <c r="BM112" s="56" t="n">
        <v>2056.76</v>
      </c>
      <c r="BN112" s="57" t="n">
        <v>34</v>
      </c>
      <c r="BO112" s="55"/>
      <c r="BP112" s="60" t="n">
        <v>0</v>
      </c>
      <c r="BQ112" s="60" t="n">
        <v>112</v>
      </c>
      <c r="BR112" s="55" t="str">
        <f aca="false">IF(U112&lt;&gt;"",UPPER(TRIM(U112)),IF(BU112=1,UPPER(VLOOKUP(T112,Parameter!$I$27:$K$29,2,0)),IF(P112="","LOSE",P112)))</f>
        <v>S71</v>
      </c>
      <c r="BS112" s="57" t="n">
        <f aca="false">IF(BR112="LOSE",1,IF(N(V112)&gt;0,V112,IF(BU112=1,MAX(1,N(VLOOKUP(T112,Parameter!$I$27:$K$29,3,0)),H112,N(N112)),IF(N(Q112)&gt;0,Q112,MAX(1,H112)))))</f>
        <v>24</v>
      </c>
      <c r="BT112" s="60" t="n">
        <f aca="false">IF(BR112="LOSE",1,0)</f>
        <v>0</v>
      </c>
      <c r="BU112" s="60" t="n">
        <f aca="false">IF(AND(U112="",OR(P112="",P112="LOSE"),T112&lt;&gt;"",N(S112)&lt;=0,ISNUMBER(MATCH(T112,Parameter!$I$27:$I$29,0))),1,0)</f>
        <v>0</v>
      </c>
      <c r="BV112" s="55" t="n">
        <f aca="false">IF(AND(Parameter!$B$19="Ja",E112&lt;&gt;"",ISNUMBER(MATCH(E112,Parameter!$I$35:$I$52,0))),VLOOKUP(E112,Parameter!$I$35:$J$52,2,0),IFERROR(VLOOKUP(D112,Parameter!$A$35:$C$64,2,0),"Nein"))</f>
        <v>1</v>
      </c>
      <c r="BW112" s="59" t="n">
        <f aca="false">IF(BT112=0,0,IF(N(S112)&gt;0,S112,IFERROR(VLOOKUP(D112,Parameter!$A$35:$C$64,3,0)+0,0)))</f>
        <v>0</v>
      </c>
      <c r="BX112" s="55" t="n">
        <f aca="false">IF(AA112&lt;&gt;"",AA112,Z112)</f>
        <v>1</v>
      </c>
      <c r="BY112" s="55" t="str">
        <f aca="false">IF(BX112=1,"L1",IF(OR(BX112=2,BX112=3),"L23",IF(BX112="Aussen","Aussen","-")))</f>
        <v>L1</v>
      </c>
      <c r="BZ112" s="66" t="n">
        <f aca="false">IF(N(AB112)&gt;0,AB112,0)</f>
        <v>0</v>
      </c>
      <c r="CA112" s="60" t="n">
        <f aca="false">IF(ISNUMBER(AE112),1,0)</f>
        <v>0</v>
      </c>
      <c r="CB112" s="57" t="n">
        <f aca="false">N(AE112)</f>
        <v>0</v>
      </c>
      <c r="CC112" s="57" t="n">
        <f aca="false">N(M112)+N(N112)</f>
        <v>25</v>
      </c>
      <c r="CD112" s="57" t="n">
        <f aca="false">ROUNDUP(H112/BS112,0)</f>
        <v>2</v>
      </c>
      <c r="CE112" s="57" t="n">
        <f aca="false">ROUNDUP(CB112/BS112,0)</f>
        <v>0</v>
      </c>
      <c r="CF112" s="60" t="n">
        <f aca="false">IF(BT112=1,0,IFERROR(VLOOKUP(BR112,'Gebinde-Kategorie'!$A$5:$M$45,5,0)+0,0))</f>
        <v>20</v>
      </c>
      <c r="CG112" s="60" t="n">
        <f aca="false">IFERROR(IF(OR(BX112=1,BX112=2,BX112=3),N(INDEX(Parameter!$I$5:$I$7,BX112)),0),0)</f>
        <v>0</v>
      </c>
      <c r="CH112" s="59" t="n">
        <f aca="false">IF(AND(Parameter!$B$21="Ja",ISNUMBER(W112),N(X112)&gt;0),IFERROR(N(INDEX(Parameter!$L$5:$L$7,W112))*INDEX(Parameter!$E$5:$E$7,W112)*X112/SUMIFS($X$7:$X$1843,$W$7:$W$1843,W112),0),0)</f>
        <v>0</v>
      </c>
    </row>
    <row r="113" customFormat="false" ht="15" hidden="false" customHeight="false" outlineLevel="0" collapsed="false">
      <c r="A113" s="55" t="s">
        <v>438</v>
      </c>
      <c r="B113" s="55" t="s">
        <v>431</v>
      </c>
      <c r="C113" s="55" t="s">
        <v>164</v>
      </c>
      <c r="D113" s="55" t="s">
        <v>184</v>
      </c>
      <c r="E113" s="55" t="s">
        <v>185</v>
      </c>
      <c r="F113" s="55" t="s">
        <v>218</v>
      </c>
      <c r="G113" s="56" t="n">
        <v>100.28</v>
      </c>
      <c r="H113" s="57" t="n">
        <f aca="false">MAX(0,IF(AND(Parameter!$B$21="Ja",ISNUMBER(Y113)),Y113,IF(Parameter!$B$20="Jahresanfang 2025 + Export",BL113+BK113,BK113)))</f>
        <v>39</v>
      </c>
      <c r="I113" s="57" t="n">
        <f aca="false">H113*G113</f>
        <v>3910.92</v>
      </c>
      <c r="J113" s="57" t="n">
        <f aca="false">BN113*Parameter!$B$18</f>
        <v>64</v>
      </c>
      <c r="K113" s="58" t="n">
        <v>17.5</v>
      </c>
      <c r="L113" s="59" t="n">
        <v>3.65714285714286</v>
      </c>
      <c r="M113" s="57" t="n">
        <v>5</v>
      </c>
      <c r="N113" s="57" t="n">
        <v>40</v>
      </c>
      <c r="O113" s="60" t="n">
        <v>35</v>
      </c>
      <c r="P113" s="55" t="s">
        <v>226</v>
      </c>
      <c r="Q113" s="57" t="n">
        <v>76</v>
      </c>
      <c r="R113" s="60" t="n">
        <f aca="false">IF(BT113=1,0,IFERROR(VLOOKUP(BR113,'Gebinde-Kategorie'!$A$5:$M$45,13,0)+0,0))</f>
        <v>12</v>
      </c>
      <c r="S113" s="61"/>
      <c r="T113" s="62"/>
      <c r="U113" s="62"/>
      <c r="V113" s="62"/>
      <c r="W113" s="55"/>
      <c r="X113" s="57"/>
      <c r="Y113" s="57"/>
      <c r="Z113" s="55" t="n">
        <f aca="false">IF(A113="","",IF(AND(Parameter!$B$21="Ja",ISNUMBER(W113)),W113,IF(BV113="2+3",IF(ISNUMBER(SEARCH("grosser Artikel",BO113)),2,IFERROR(VLOOKUP(BR113,Parameter!$F$35:$G$64,2,0),2)),IF(OR(BV113="Nein",BV113=""),"-",BV113))))</f>
        <v>2</v>
      </c>
      <c r="AA113" s="62"/>
      <c r="AB113" s="63"/>
      <c r="AC113" s="57" t="n">
        <f aca="false">AR113</f>
        <v>76</v>
      </c>
      <c r="AD113" s="57" t="n">
        <f aca="false">MAX(AR113,H113)</f>
        <v>76</v>
      </c>
      <c r="AE113" s="64"/>
      <c r="AF113" s="57" t="n">
        <f aca="false">IF(LEFT(Cockpit!$C$5,1)="A",H113,IF(CA113=1,CB113,IF(LEFT(Cockpit!$C$5,1)="B",AJ113,MAX(AJ113,H113))))</f>
        <v>39</v>
      </c>
      <c r="AG113" s="57" t="n">
        <f aca="false">IF(BT113=1,0,ROUNDUP(AF113/BS113,0))</f>
        <v>1</v>
      </c>
      <c r="AH113" s="59" t="n">
        <f aca="false">IF(CH113&gt;0,CH113*MAX(1,AF113/X113),IF(BT113=1,IF(AF113&lt;=0,0,BW113*MAX(1,IF(H113&gt;0,AF113/H113,1))),IF(R113&gt;0,AG113/R113,0))/MAX(0.1,N(Parameter!$M$21)))</f>
        <v>0.0833333333333333</v>
      </c>
      <c r="AI113" s="57" t="n">
        <f aca="false">AF113*G113</f>
        <v>3910.92</v>
      </c>
      <c r="AJ113" s="57" t="n">
        <f aca="false">ROUNDUP(MAX(J113/IF(BZ113&gt;0,BZ113,MAX(0.1,N(Cockpit!$C$6))),CC113)/BS113,0)*BS113</f>
        <v>76</v>
      </c>
      <c r="AK113" s="58" t="n">
        <f aca="false">IF(AH113&gt;0,J113/AH113,-1)</f>
        <v>768</v>
      </c>
      <c r="AL113" s="58" t="n">
        <f aca="false">IF(AND(OR(BY113="L1",BY113="L23"),AH113&gt;0),SUMIFS($AH$7:$AH$1843,$BY$7:$BY$1843,BY113,$AK$7:$AK$1843,"&gt;"&amp;AK113)+SUMIFS($AH$7:$AH$1843,$BY$7:$BY$1843,BY113,$AK$7:$AK$1843,AK113,$BQ$7:$BQ$1843,"&lt;="&amp;BQ113),"")</f>
        <v>21.0852758352758</v>
      </c>
      <c r="AM113" s="65" t="n">
        <f aca="false">IF(AL113="",0,MAX(0,MIN(1,(IF(BY113="L1",Parameter!$E$5,Parameter!$E$6+Parameter!$E$7)-(AL113-AH113))/AH113)))</f>
        <v>1</v>
      </c>
      <c r="AN113" s="57" t="n">
        <f aca="false">IF(LEFT(Cockpit!$I$5,1)="A",H113,IF(CA113=1,CB113,IF(LEFT(Cockpit!$I$5,1)="B",AR113,MAX(AR113,H113))))</f>
        <v>76</v>
      </c>
      <c r="AO113" s="57" t="n">
        <f aca="false">IF(BT113=1,0,ROUNDUP(AN113/BS113,0))</f>
        <v>1</v>
      </c>
      <c r="AP113" s="59" t="n">
        <f aca="false">IF(CH113&gt;0,CH113*MAX(1,AN113/X113),IF(BT113=1,IF(AN113&lt;=0,0,BW113*MAX(1,IF(H113&gt;0,AN113/H113,1))),IF(R113&gt;0,AO113/R113,0))/MAX(0.1,N(Parameter!$M$21)))</f>
        <v>0.0833333333333333</v>
      </c>
      <c r="AQ113" s="57" t="n">
        <f aca="false">AN113*G113</f>
        <v>7621.28</v>
      </c>
      <c r="AR113" s="57" t="n">
        <f aca="false">ROUNDUP(MAX(J113/IF(BZ113&gt;0,BZ113,MAX(0.1,N(Cockpit!$I$6))),CC113)/BS113,0)*BS113</f>
        <v>76</v>
      </c>
      <c r="AS113" s="58" t="n">
        <f aca="false">IF(AP113&gt;0,J113/AP113,-1)</f>
        <v>768</v>
      </c>
      <c r="AT113" s="58" t="n">
        <f aca="false">IF(AND(OR(BY113="L1",BY113="L23"),AP113&gt;0),SUMIFS($AP$7:$AP$1843,$BY$7:$BY$1843,BY113,$AS$7:$AS$1843,"&gt;"&amp;AS113)+SUMIFS($AP$7:$AP$1843,$BY$7:$BY$1843,BY113,$AS$7:$AS$1843,AS113,$BQ$7:$BQ$1843,"&lt;="&amp;BQ113),"")</f>
        <v>27.144125198473</v>
      </c>
      <c r="AU113" s="65" t="n">
        <f aca="false">IF(AT113="",0,MAX(0,MIN(1,(IF(BY113="L1",Parameter!$E$5,Parameter!$E$6+Parameter!$E$7)-(AT113-AP113))/AP113)))</f>
        <v>1</v>
      </c>
      <c r="AV113" s="57" t="n">
        <f aca="false">IF(LEFT(Cockpit!$O$5,1)="A",H113,IF(CA113=1,CB113,IF(LEFT(Cockpit!$O$5,1)="B",AZ113,MAX(AZ113,H113))))</f>
        <v>76</v>
      </c>
      <c r="AW113" s="57" t="n">
        <f aca="false">IF(BT113=1,0,ROUNDUP(AV113/BS113,0))</f>
        <v>1</v>
      </c>
      <c r="AX113" s="59" t="n">
        <f aca="false">IF(CH113&gt;0,CH113*MAX(1,AV113/X113),IF(BT113=1,IF(AV113&lt;=0,0,BW113*MAX(1,IF(H113&gt;0,AV113/H113,1))),IF(R113&gt;0,AW113/R113,0))/MAX(0.1,N(Parameter!$M$21)))</f>
        <v>0.0833333333333333</v>
      </c>
      <c r="AY113" s="57" t="n">
        <f aca="false">AV113*G113</f>
        <v>7621.28</v>
      </c>
      <c r="AZ113" s="57" t="n">
        <f aca="false">ROUNDUP(MAX(J113/IF(BZ113&gt;0,BZ113,MAX(0.1,N(Cockpit!$O$6))),CC113)/BS113,0)*BS113</f>
        <v>76</v>
      </c>
      <c r="BA113" s="58" t="n">
        <f aca="false">IF(AX113&gt;0,J113/AX113,-1)</f>
        <v>768</v>
      </c>
      <c r="BB113" s="58" t="n">
        <f aca="false">IF(AND(OR(BY113="L1",BY113="L23"),AX113&gt;0),SUMIFS($AX$7:$AX$1843,$BY$7:$BY$1843,BY113,$BA$7:$BA$1843,"&gt;"&amp;BA113)+SUMIFS($AX$7:$AX$1843,$BY$7:$BY$1843,BY113,$BA$7:$BA$1843,BA113,$BQ$7:$BQ$1843,"&lt;="&amp;BQ113),"")</f>
        <v>26.5957569001047</v>
      </c>
      <c r="BC113" s="65" t="n">
        <f aca="false">IF(BB113="",0,MAX(0,MIN(1,(IF(BY113="L1",Parameter!$E$5,Parameter!$E$6+Parameter!$E$7)-(BB113-AX113))/AX113)))</f>
        <v>1</v>
      </c>
      <c r="BD113" s="55" t="str">
        <f aca="false">IF(AH113&lt;=0,"",IF(BY113="Aussen","Aussenlager",IF(BY113="-","Nicht im Lift",IF(AM113&gt;=1,"Lift",IF(AM113&lt;=0,"Aussenlager","teilweise")))))</f>
        <v>Lift</v>
      </c>
      <c r="BE113" s="55" t="str">
        <f aca="false">IF(AP113&lt;=0,"",IF(BY113="Aussen","Aussenlager",IF(BY113="-","Nicht im Lift",IF(AU113&gt;=1,"Lift",IF(AU113&lt;=0,"Aussenlager","teilweise")))))</f>
        <v>Lift</v>
      </c>
      <c r="BF113" s="55" t="str">
        <f aca="false">IF(AX113&lt;=0,"",IF(BY113="Aussen","Aussenlager",IF(BY113="-","Nicht im Lift",IF(BC113&gt;=1,"Lift",IF(BC113&lt;=0,"Aussenlager","teilweise")))))</f>
        <v>Lift</v>
      </c>
      <c r="BG113" s="55" t="str">
        <f aca="false">IF(A113="","",IF(BP113=1,"Neu; ","")&amp;IF(AND(BP113=0,BK113&lt;0),"negativer Bestand (Export "&amp;BK113&amp;"); ","")&amp;IF(J113&lt;=0,"Kein Verbrauch; ","")&amp;IF(CH113&gt;0,"Lift "&amp;W113&amp;" lt. Liftbericht (Fach "&amp;X113&amp;" Stk); ",IF(BU113=1,"Gebinde geschätzt ("&amp;T113&amp;"); ",IF(BT113=1,"Lose – Tablare geschätzt; ","")))&amp;IF(H113&gt;AR113,"Überbestand "&amp;ROUND(H113-AR113,0)&amp;" Stk / CHF "&amp;ROUND((H113-AR113)*G113,0)&amp;"; ","")&amp;IF(AND(CA113=1,CB113&lt;CC113),"MAX &lt; MB+LG; ","")&amp;IF(AND(CG113&gt;0,CF113*10&gt;CG113),"zu hoch für Tablar; ","")&amp;IF(AND(BP113=0,OR(CA113=1,AA113&lt;&gt;"",U113&lt;&gt;"",V113&lt;&gt;"",AB113&lt;&gt;"")),"manuell übersteuert; ","")&amp;IF(AND(BT113=0,R113=0),"Gebinde unbekannt / Stellmass fehlt; ","")&amp;IF(AND(BT113=0,N(V113)&lt;=0,N(Q113)&lt;=0),"Menge pro Gebinde fehlt (Ist = 1 Gebinde); ","")&amp;BO113)</f>
        <v/>
      </c>
      <c r="BH113" s="55"/>
      <c r="BI113" s="55"/>
      <c r="BJ113" s="62"/>
      <c r="BK113" s="57" t="n">
        <v>19</v>
      </c>
      <c r="BL113" s="57" t="n">
        <v>20</v>
      </c>
      <c r="BM113" s="56" t="n">
        <v>2016.52</v>
      </c>
      <c r="BN113" s="57" t="n">
        <v>64</v>
      </c>
      <c r="BO113" s="55"/>
      <c r="BP113" s="60" t="n">
        <v>0</v>
      </c>
      <c r="BQ113" s="60" t="n">
        <v>113</v>
      </c>
      <c r="BR113" s="55" t="str">
        <f aca="false">IF(U113&lt;&gt;"",UPPER(TRIM(U113)),IF(BU113=1,UPPER(VLOOKUP(T113,Parameter!$I$27:$K$29,2,0)),IF(P113="","LOSE",P113)))</f>
        <v>S63</v>
      </c>
      <c r="BS113" s="57" t="n">
        <f aca="false">IF(BR113="LOSE",1,IF(N(V113)&gt;0,V113,IF(BU113=1,MAX(1,N(VLOOKUP(T113,Parameter!$I$27:$K$29,3,0)),H113,N(N113)),IF(N(Q113)&gt;0,Q113,MAX(1,H113)))))</f>
        <v>76</v>
      </c>
      <c r="BT113" s="60" t="n">
        <f aca="false">IF(BR113="LOSE",1,0)</f>
        <v>0</v>
      </c>
      <c r="BU113" s="60" t="n">
        <f aca="false">IF(AND(U113="",OR(P113="",P113="LOSE"),T113&lt;&gt;"",N(S113)&lt;=0,ISNUMBER(MATCH(T113,Parameter!$I$27:$I$29,0))),1,0)</f>
        <v>0</v>
      </c>
      <c r="BV113" s="55" t="str">
        <f aca="false">IF(AND(Parameter!$B$19="Ja",E113&lt;&gt;"",ISNUMBER(MATCH(E113,Parameter!$I$35:$I$52,0))),VLOOKUP(E113,Parameter!$I$35:$J$52,2,0),IFERROR(VLOOKUP(D113,Parameter!$A$35:$C$64,2,0),"Nein"))</f>
        <v>2+3</v>
      </c>
      <c r="BW113" s="59" t="n">
        <f aca="false">IF(BT113=0,0,IF(N(S113)&gt;0,S113,IFERROR(VLOOKUP(D113,Parameter!$A$35:$C$64,3,0)+0,0)))</f>
        <v>0</v>
      </c>
      <c r="BX113" s="55" t="n">
        <f aca="false">IF(AA113&lt;&gt;"",AA113,Z113)</f>
        <v>2</v>
      </c>
      <c r="BY113" s="55" t="str">
        <f aca="false">IF(BX113=1,"L1",IF(OR(BX113=2,BX113=3),"L23",IF(BX113="Aussen","Aussen","-")))</f>
        <v>L23</v>
      </c>
      <c r="BZ113" s="66" t="n">
        <f aca="false">IF(N(AB113)&gt;0,AB113,0)</f>
        <v>0</v>
      </c>
      <c r="CA113" s="60" t="n">
        <f aca="false">IF(ISNUMBER(AE113),1,0)</f>
        <v>0</v>
      </c>
      <c r="CB113" s="57" t="n">
        <f aca="false">N(AE113)</f>
        <v>0</v>
      </c>
      <c r="CC113" s="57" t="n">
        <f aca="false">N(M113)+N(N113)</f>
        <v>45</v>
      </c>
      <c r="CD113" s="57" t="n">
        <f aca="false">ROUNDUP(H113/BS113,0)</f>
        <v>1</v>
      </c>
      <c r="CE113" s="57" t="n">
        <f aca="false">ROUNDUP(CB113/BS113,0)</f>
        <v>0</v>
      </c>
      <c r="CF113" s="60" t="n">
        <f aca="false">IF(BT113=1,0,IFERROR(VLOOKUP(BR113,'Gebinde-Kategorie'!$A$5:$M$45,5,0)+0,0))</f>
        <v>31</v>
      </c>
      <c r="CG113" s="60" t="n">
        <f aca="false">IFERROR(IF(OR(BX113=1,BX113=2,BX113=3),N(INDEX(Parameter!$I$5:$I$7,BX113)),0),0)</f>
        <v>0</v>
      </c>
      <c r="CH113" s="59" t="n">
        <f aca="false">IF(AND(Parameter!$B$21="Ja",ISNUMBER(W113),N(X113)&gt;0),IFERROR(N(INDEX(Parameter!$L$5:$L$7,W113))*INDEX(Parameter!$E$5:$E$7,W113)*X113/SUMIFS($X$7:$X$1843,$W$7:$W$1843,W113),0),0)</f>
        <v>0</v>
      </c>
    </row>
    <row r="114" customFormat="false" ht="15" hidden="false" customHeight="false" outlineLevel="0" collapsed="false">
      <c r="A114" s="55" t="s">
        <v>439</v>
      </c>
      <c r="B114" s="55" t="s">
        <v>440</v>
      </c>
      <c r="C114" s="55" t="s">
        <v>164</v>
      </c>
      <c r="D114" s="55" t="s">
        <v>184</v>
      </c>
      <c r="E114" s="55" t="s">
        <v>185</v>
      </c>
      <c r="F114" s="55" t="s">
        <v>218</v>
      </c>
      <c r="G114" s="56" t="n">
        <v>107</v>
      </c>
      <c r="H114" s="57" t="n">
        <f aca="false">MAX(0,IF(AND(Parameter!$B$21="Ja",ISNUMBER(Y114)),Y114,IF(Parameter!$B$20="Jahresanfang 2025 + Export",BL114+BK114,BK114)))</f>
        <v>25</v>
      </c>
      <c r="I114" s="57" t="n">
        <f aca="false">H114*G114</f>
        <v>2675</v>
      </c>
      <c r="J114" s="57" t="n">
        <f aca="false">BN114*Parameter!$B$18</f>
        <v>59</v>
      </c>
      <c r="K114" s="58" t="n">
        <v>18.5</v>
      </c>
      <c r="L114" s="59" t="n">
        <v>3.18918918918919</v>
      </c>
      <c r="M114" s="57" t="n">
        <v>2</v>
      </c>
      <c r="N114" s="57" t="n">
        <v>35</v>
      </c>
      <c r="O114" s="60" t="n">
        <v>14</v>
      </c>
      <c r="P114" s="55" t="s">
        <v>233</v>
      </c>
      <c r="Q114" s="57" t="n">
        <v>18</v>
      </c>
      <c r="R114" s="60" t="n">
        <f aca="false">IF(BT114=1,0,IFERROR(VLOOKUP(BR114,'Gebinde-Kategorie'!$A$5:$M$45,13,0)+0,0))</f>
        <v>26</v>
      </c>
      <c r="S114" s="61"/>
      <c r="T114" s="62"/>
      <c r="U114" s="62"/>
      <c r="V114" s="62"/>
      <c r="W114" s="55"/>
      <c r="X114" s="57"/>
      <c r="Y114" s="57"/>
      <c r="Z114" s="55" t="n">
        <f aca="false">IF(A114="","",IF(AND(Parameter!$B$21="Ja",ISNUMBER(W114)),W114,IF(BV114="2+3",IF(ISNUMBER(SEARCH("grosser Artikel",BO114)),2,IFERROR(VLOOKUP(BR114,Parameter!$F$35:$G$64,2,0),2)),IF(OR(BV114="Nein",BV114=""),"-",BV114))))</f>
        <v>3</v>
      </c>
      <c r="AA114" s="62"/>
      <c r="AB114" s="63"/>
      <c r="AC114" s="57" t="n">
        <f aca="false">AR114</f>
        <v>54</v>
      </c>
      <c r="AD114" s="57" t="n">
        <f aca="false">MAX(AR114,H114)</f>
        <v>54</v>
      </c>
      <c r="AE114" s="64"/>
      <c r="AF114" s="57" t="n">
        <f aca="false">IF(LEFT(Cockpit!$C$5,1)="A",H114,IF(CA114=1,CB114,IF(LEFT(Cockpit!$C$5,1)="B",AJ114,MAX(AJ114,H114))))</f>
        <v>25</v>
      </c>
      <c r="AG114" s="57" t="n">
        <f aca="false">IF(BT114=1,0,ROUNDUP(AF114/BS114,0))</f>
        <v>2</v>
      </c>
      <c r="AH114" s="59" t="n">
        <f aca="false">IF(CH114&gt;0,CH114*MAX(1,AF114/X114),IF(BT114=1,IF(AF114&lt;=0,0,BW114*MAX(1,IF(H114&gt;0,AF114/H114,1))),IF(R114&gt;0,AG114/R114,0))/MAX(0.1,N(Parameter!$M$21)))</f>
        <v>0.0769230769230769</v>
      </c>
      <c r="AI114" s="57" t="n">
        <f aca="false">AF114*G114</f>
        <v>2675</v>
      </c>
      <c r="AJ114" s="57" t="n">
        <f aca="false">ROUNDUP(MAX(J114/IF(BZ114&gt;0,BZ114,MAX(0.1,N(Cockpit!$C$6))),CC114)/BS114,0)*BS114</f>
        <v>54</v>
      </c>
      <c r="AK114" s="58" t="n">
        <f aca="false">IF(AH114&gt;0,J114/AH114,-1)</f>
        <v>767</v>
      </c>
      <c r="AL114" s="58" t="n">
        <f aca="false">IF(AND(OR(BY114="L1",BY114="L23"),AH114&gt;0),SUMIFS($AH$7:$AH$1843,$BY$7:$BY$1843,BY114,$AK$7:$AK$1843,"&gt;"&amp;AK114)+SUMIFS($AH$7:$AH$1843,$BY$7:$BY$1843,BY114,$AK$7:$AK$1843,AK114,$BQ$7:$BQ$1843,"&lt;="&amp;BQ114),"")</f>
        <v>21.1621989121989</v>
      </c>
      <c r="AM114" s="65" t="n">
        <f aca="false">IF(AL114="",0,MAX(0,MIN(1,(IF(BY114="L1",Parameter!$E$5,Parameter!$E$6+Parameter!$E$7)-(AL114-AH114))/AH114)))</f>
        <v>1</v>
      </c>
      <c r="AN114" s="57" t="n">
        <f aca="false">IF(LEFT(Cockpit!$I$5,1)="A",H114,IF(CA114=1,CB114,IF(LEFT(Cockpit!$I$5,1)="B",AR114,MAX(AR114,H114))))</f>
        <v>54</v>
      </c>
      <c r="AO114" s="57" t="n">
        <f aca="false">IF(BT114=1,0,ROUNDUP(AN114/BS114,0))</f>
        <v>3</v>
      </c>
      <c r="AP114" s="59" t="n">
        <f aca="false">IF(CH114&gt;0,CH114*MAX(1,AN114/X114),IF(BT114=1,IF(AN114&lt;=0,0,BW114*MAX(1,IF(H114&gt;0,AN114/H114,1))),IF(R114&gt;0,AO114/R114,0))/MAX(0.1,N(Parameter!$M$21)))</f>
        <v>0.115384615384615</v>
      </c>
      <c r="AQ114" s="57" t="n">
        <f aca="false">AN114*G114</f>
        <v>5778</v>
      </c>
      <c r="AR114" s="57" t="n">
        <f aca="false">ROUNDUP(MAX(J114/IF(BZ114&gt;0,BZ114,MAX(0.1,N(Cockpit!$I$6))),CC114)/BS114,0)*BS114</f>
        <v>54</v>
      </c>
      <c r="AS114" s="58" t="n">
        <f aca="false">IF(AP114&gt;0,J114/AP114,-1)</f>
        <v>511.333333333333</v>
      </c>
      <c r="AT114" s="58" t="n">
        <f aca="false">IF(AND(OR(BY114="L1",BY114="L23"),AP114&gt;0),SUMIFS($AP$7:$AP$1843,$BY$7:$BY$1843,BY114,$AS$7:$AS$1843,"&gt;"&amp;AS114)+SUMIFS($AP$7:$AP$1843,$BY$7:$BY$1843,BY114,$AS$7:$AS$1843,AS114,$BQ$7:$BQ$1843,"&lt;="&amp;BQ114),"")</f>
        <v>32.8869379412858</v>
      </c>
      <c r="AU114" s="65" t="n">
        <f aca="false">IF(AT114="",0,MAX(0,MIN(1,(IF(BY114="L1",Parameter!$E$5,Parameter!$E$6+Parameter!$E$7)-(AT114-AP114))/AP114)))</f>
        <v>1</v>
      </c>
      <c r="AV114" s="57" t="n">
        <f aca="false">IF(LEFT(Cockpit!$O$5,1)="A",H114,IF(CA114=1,CB114,IF(LEFT(Cockpit!$O$5,1)="B",AZ114,MAX(AZ114,H114))))</f>
        <v>54</v>
      </c>
      <c r="AW114" s="57" t="n">
        <f aca="false">IF(BT114=1,0,ROUNDUP(AV114/BS114,0))</f>
        <v>3</v>
      </c>
      <c r="AX114" s="59" t="n">
        <f aca="false">IF(CH114&gt;0,CH114*MAX(1,AV114/X114),IF(BT114=1,IF(AV114&lt;=0,0,BW114*MAX(1,IF(H114&gt;0,AV114/H114,1))),IF(R114&gt;0,AW114/R114,0))/MAX(0.1,N(Parameter!$M$21)))</f>
        <v>0.115384615384615</v>
      </c>
      <c r="AY114" s="57" t="n">
        <f aca="false">AV114*G114</f>
        <v>5778</v>
      </c>
      <c r="AZ114" s="57" t="n">
        <f aca="false">ROUNDUP(MAX(J114/IF(BZ114&gt;0,BZ114,MAX(0.1,N(Cockpit!$O$6))),CC114)/BS114,0)*BS114</f>
        <v>54</v>
      </c>
      <c r="BA114" s="58" t="n">
        <f aca="false">IF(AX114&gt;0,J114/AX114,-1)</f>
        <v>511.333333333333</v>
      </c>
      <c r="BB114" s="58" t="n">
        <f aca="false">IF(AND(OR(BY114="L1",BY114="L23"),AX114&gt;0),SUMIFS($AX$7:$AX$1843,$BY$7:$BY$1843,BY114,$BA$7:$BA$1843,"&gt;"&amp;BA114)+SUMIFS($AX$7:$AX$1843,$BY$7:$BY$1843,BY114,$BA$7:$BA$1843,BA114,$BQ$7:$BQ$1843,"&lt;="&amp;BQ114),"")</f>
        <v>30.4539542583021</v>
      </c>
      <c r="BC114" s="65" t="n">
        <f aca="false">IF(BB114="",0,MAX(0,MIN(1,(IF(BY114="L1",Parameter!$E$5,Parameter!$E$6+Parameter!$E$7)-(BB114-AX114))/AX114)))</f>
        <v>1</v>
      </c>
      <c r="BD114" s="55" t="str">
        <f aca="false">IF(AH114&lt;=0,"",IF(BY114="Aussen","Aussenlager",IF(BY114="-","Nicht im Lift",IF(AM114&gt;=1,"Lift",IF(AM114&lt;=0,"Aussenlager","teilweise")))))</f>
        <v>Lift</v>
      </c>
      <c r="BE114" s="55" t="str">
        <f aca="false">IF(AP114&lt;=0,"",IF(BY114="Aussen","Aussenlager",IF(BY114="-","Nicht im Lift",IF(AU114&gt;=1,"Lift",IF(AU114&lt;=0,"Aussenlager","teilweise")))))</f>
        <v>Lift</v>
      </c>
      <c r="BF114" s="55" t="str">
        <f aca="false">IF(AX114&lt;=0,"",IF(BY114="Aussen","Aussenlager",IF(BY114="-","Nicht im Lift",IF(BC114&gt;=1,"Lift",IF(BC114&lt;=0,"Aussenlager","teilweise")))))</f>
        <v>Lift</v>
      </c>
      <c r="BG114" s="55" t="str">
        <f aca="false">IF(A114="","",IF(BP114=1,"Neu; ","")&amp;IF(AND(BP114=0,BK114&lt;0),"negativer Bestand (Export "&amp;BK114&amp;"); ","")&amp;IF(J114&lt;=0,"Kein Verbrauch; ","")&amp;IF(CH114&gt;0,"Lift "&amp;W114&amp;" lt. Liftbericht (Fach "&amp;X114&amp;" Stk); ",IF(BU114=1,"Gebinde geschätzt ("&amp;T114&amp;"); ",IF(BT114=1,"Lose – Tablare geschätzt; ","")))&amp;IF(H114&gt;AR114,"Überbestand "&amp;ROUND(H114-AR114,0)&amp;" Stk / CHF "&amp;ROUND((H114-AR114)*G114,0)&amp;"; ","")&amp;IF(AND(CA114=1,CB114&lt;CC114),"MAX &lt; MB+LG; ","")&amp;IF(AND(CG114&gt;0,CF114*10&gt;CG114),"zu hoch für Tablar; ","")&amp;IF(AND(BP114=0,OR(CA114=1,AA114&lt;&gt;"",U114&lt;&gt;"",V114&lt;&gt;"",AB114&lt;&gt;"")),"manuell übersteuert; ","")&amp;IF(AND(BT114=0,R114=0),"Gebinde unbekannt / Stellmass fehlt; ","")&amp;IF(AND(BT114=0,N(V114)&lt;=0,N(Q114)&lt;=0),"Menge pro Gebinde fehlt (Ist = 1 Gebinde); ","")&amp;BO114)</f>
        <v/>
      </c>
      <c r="BH114" s="55"/>
      <c r="BI114" s="55"/>
      <c r="BJ114" s="62"/>
      <c r="BK114" s="57" t="n">
        <v>18</v>
      </c>
      <c r="BL114" s="57" t="n">
        <v>7</v>
      </c>
      <c r="BM114" s="56" t="n">
        <v>1926</v>
      </c>
      <c r="BN114" s="57" t="n">
        <v>59</v>
      </c>
      <c r="BO114" s="55"/>
      <c r="BP114" s="60" t="n">
        <v>0</v>
      </c>
      <c r="BQ114" s="60" t="n">
        <v>114</v>
      </c>
      <c r="BR114" s="55" t="str">
        <f aca="false">IF(U114&lt;&gt;"",UPPER(TRIM(U114)),IF(BU114=1,UPPER(VLOOKUP(T114,Parameter!$I$27:$K$29,2,0)),IF(P114="","LOSE",P114)))</f>
        <v>S52</v>
      </c>
      <c r="BS114" s="57" t="n">
        <f aca="false">IF(BR114="LOSE",1,IF(N(V114)&gt;0,V114,IF(BU114=1,MAX(1,N(VLOOKUP(T114,Parameter!$I$27:$K$29,3,0)),H114,N(N114)),IF(N(Q114)&gt;0,Q114,MAX(1,H114)))))</f>
        <v>18</v>
      </c>
      <c r="BT114" s="60" t="n">
        <f aca="false">IF(BR114="LOSE",1,0)</f>
        <v>0</v>
      </c>
      <c r="BU114" s="60" t="n">
        <f aca="false">IF(AND(U114="",OR(P114="",P114="LOSE"),T114&lt;&gt;"",N(S114)&lt;=0,ISNUMBER(MATCH(T114,Parameter!$I$27:$I$29,0))),1,0)</f>
        <v>0</v>
      </c>
      <c r="BV114" s="55" t="str">
        <f aca="false">IF(AND(Parameter!$B$19="Ja",E114&lt;&gt;"",ISNUMBER(MATCH(E114,Parameter!$I$35:$I$52,0))),VLOOKUP(E114,Parameter!$I$35:$J$52,2,0),IFERROR(VLOOKUP(D114,Parameter!$A$35:$C$64,2,0),"Nein"))</f>
        <v>2+3</v>
      </c>
      <c r="BW114" s="59" t="n">
        <f aca="false">IF(BT114=0,0,IF(N(S114)&gt;0,S114,IFERROR(VLOOKUP(D114,Parameter!$A$35:$C$64,3,0)+0,0)))</f>
        <v>0</v>
      </c>
      <c r="BX114" s="55" t="n">
        <f aca="false">IF(AA114&lt;&gt;"",AA114,Z114)</f>
        <v>3</v>
      </c>
      <c r="BY114" s="55" t="str">
        <f aca="false">IF(BX114=1,"L1",IF(OR(BX114=2,BX114=3),"L23",IF(BX114="Aussen","Aussen","-")))</f>
        <v>L23</v>
      </c>
      <c r="BZ114" s="66" t="n">
        <f aca="false">IF(N(AB114)&gt;0,AB114,0)</f>
        <v>0</v>
      </c>
      <c r="CA114" s="60" t="n">
        <f aca="false">IF(ISNUMBER(AE114),1,0)</f>
        <v>0</v>
      </c>
      <c r="CB114" s="57" t="n">
        <f aca="false">N(AE114)</f>
        <v>0</v>
      </c>
      <c r="CC114" s="57" t="n">
        <f aca="false">N(M114)+N(N114)</f>
        <v>37</v>
      </c>
      <c r="CD114" s="57" t="n">
        <f aca="false">ROUNDUP(H114/BS114,0)</f>
        <v>2</v>
      </c>
      <c r="CE114" s="57" t="n">
        <f aca="false">ROUNDUP(CB114/BS114,0)</f>
        <v>0</v>
      </c>
      <c r="CF114" s="60" t="n">
        <f aca="false">IF(BT114=1,0,IFERROR(VLOOKUP(BR114,'Gebinde-Kategorie'!$A$5:$M$45,5,0)+0,0))</f>
        <v>21</v>
      </c>
      <c r="CG114" s="60" t="n">
        <f aca="false">IFERROR(IF(OR(BX114=1,BX114=2,BX114=3),N(INDEX(Parameter!$I$5:$I$7,BX114)),0),0)</f>
        <v>0</v>
      </c>
      <c r="CH114" s="59" t="n">
        <f aca="false">IF(AND(Parameter!$B$21="Ja",ISNUMBER(W114),N(X114)&gt;0),IFERROR(N(INDEX(Parameter!$L$5:$L$7,W114))*INDEX(Parameter!$E$5:$E$7,W114)*X114/SUMIFS($X$7:$X$1843,$W$7:$W$1843,W114),0),0)</f>
        <v>0</v>
      </c>
    </row>
    <row r="115" customFormat="false" ht="15" hidden="false" customHeight="false" outlineLevel="0" collapsed="false">
      <c r="A115" s="55" t="s">
        <v>441</v>
      </c>
      <c r="B115" s="55" t="s">
        <v>442</v>
      </c>
      <c r="C115" s="55" t="s">
        <v>164</v>
      </c>
      <c r="D115" s="55" t="s">
        <v>184</v>
      </c>
      <c r="E115" s="55" t="s">
        <v>185</v>
      </c>
      <c r="F115" s="55" t="s">
        <v>218</v>
      </c>
      <c r="G115" s="56" t="n">
        <v>13.66</v>
      </c>
      <c r="H115" s="57" t="n">
        <f aca="false">MAX(0,IF(AND(Parameter!$B$21="Ja",ISNUMBER(Y115)),Y115,IF(Parameter!$B$20="Jahresanfang 2025 + Export",BL115+BK115,BK115)))</f>
        <v>195.1</v>
      </c>
      <c r="I115" s="57" t="n">
        <f aca="false">H115*G115</f>
        <v>2665.066</v>
      </c>
      <c r="J115" s="57" t="n">
        <f aca="false">BN115*Parameter!$B$18</f>
        <v>447.2</v>
      </c>
      <c r="K115" s="58" t="n">
        <v>62.2</v>
      </c>
      <c r="L115" s="59" t="n">
        <v>7.18971061093248</v>
      </c>
      <c r="M115" s="57" t="n">
        <v>30</v>
      </c>
      <c r="N115" s="57" t="n">
        <v>265</v>
      </c>
      <c r="O115" s="60" t="n">
        <v>21</v>
      </c>
      <c r="P115" s="55" t="s">
        <v>226</v>
      </c>
      <c r="Q115" s="57" t="n">
        <v>91</v>
      </c>
      <c r="R115" s="60" t="n">
        <f aca="false">IF(BT115=1,0,IFERROR(VLOOKUP(BR115,'Gebinde-Kategorie'!$A$5:$M$45,13,0)+0,0))</f>
        <v>12</v>
      </c>
      <c r="S115" s="61"/>
      <c r="T115" s="62"/>
      <c r="U115" s="62"/>
      <c r="V115" s="62"/>
      <c r="W115" s="55"/>
      <c r="X115" s="57"/>
      <c r="Y115" s="57"/>
      <c r="Z115" s="55" t="n">
        <f aca="false">IF(A115="","",IF(AND(Parameter!$B$21="Ja",ISNUMBER(W115)),W115,IF(BV115="2+3",IF(ISNUMBER(SEARCH("grosser Artikel",BO115)),2,IFERROR(VLOOKUP(BR115,Parameter!$F$35:$G$64,2,0),2)),IF(OR(BV115="Nein",BV115=""),"-",BV115))))</f>
        <v>2</v>
      </c>
      <c r="AA115" s="62"/>
      <c r="AB115" s="63"/>
      <c r="AC115" s="57" t="n">
        <f aca="false">AR115</f>
        <v>364</v>
      </c>
      <c r="AD115" s="57" t="n">
        <f aca="false">MAX(AR115,H115)</f>
        <v>364</v>
      </c>
      <c r="AE115" s="64"/>
      <c r="AF115" s="57" t="n">
        <f aca="false">IF(LEFT(Cockpit!$C$5,1)="A",H115,IF(CA115=1,CB115,IF(LEFT(Cockpit!$C$5,1)="B",AJ115,MAX(AJ115,H115))))</f>
        <v>195.1</v>
      </c>
      <c r="AG115" s="57" t="n">
        <f aca="false">IF(BT115=1,0,ROUNDUP(AF115/BS115,0))</f>
        <v>3</v>
      </c>
      <c r="AH115" s="59" t="n">
        <f aca="false">IF(CH115&gt;0,CH115*MAX(1,AF115/X115),IF(BT115=1,IF(AF115&lt;=0,0,BW115*MAX(1,IF(H115&gt;0,AF115/H115,1))),IF(R115&gt;0,AG115/R115,0))/MAX(0.1,N(Parameter!$M$21)))</f>
        <v>0.25</v>
      </c>
      <c r="AI115" s="57" t="n">
        <f aca="false">AF115*G115</f>
        <v>2665.066</v>
      </c>
      <c r="AJ115" s="57" t="n">
        <f aca="false">ROUNDUP(MAX(J115/IF(BZ115&gt;0,BZ115,MAX(0.1,N(Cockpit!$C$6))),CC115)/BS115,0)*BS115</f>
        <v>364</v>
      </c>
      <c r="AK115" s="58" t="n">
        <f aca="false">IF(AH115&gt;0,J115/AH115,-1)</f>
        <v>1788.8</v>
      </c>
      <c r="AL115" s="58" t="n">
        <f aca="false">IF(AND(OR(BY115="L1",BY115="L23"),AH115&gt;0),SUMIFS($AH$7:$AH$1843,$BY$7:$BY$1843,BY115,$AK$7:$AK$1843,"&gt;"&amp;AK115)+SUMIFS($AH$7:$AH$1843,$BY$7:$BY$1843,BY115,$AK$7:$AK$1843,AK115,$BQ$7:$BQ$1843,"&lt;="&amp;BQ115),"")</f>
        <v>14.765962298571</v>
      </c>
      <c r="AM115" s="65" t="n">
        <f aca="false">IF(AL115="",0,MAX(0,MIN(1,(IF(BY115="L1",Parameter!$E$5,Parameter!$E$6+Parameter!$E$7)-(AL115-AH115))/AH115)))</f>
        <v>1</v>
      </c>
      <c r="AN115" s="57" t="n">
        <f aca="false">IF(LEFT(Cockpit!$I$5,1)="A",H115,IF(CA115=1,CB115,IF(LEFT(Cockpit!$I$5,1)="B",AR115,MAX(AR115,H115))))</f>
        <v>364</v>
      </c>
      <c r="AO115" s="57" t="n">
        <f aca="false">IF(BT115=1,0,ROUNDUP(AN115/BS115,0))</f>
        <v>4</v>
      </c>
      <c r="AP115" s="59" t="n">
        <f aca="false">IF(CH115&gt;0,CH115*MAX(1,AN115/X115),IF(BT115=1,IF(AN115&lt;=0,0,BW115*MAX(1,IF(H115&gt;0,AN115/H115,1))),IF(R115&gt;0,AO115/R115,0))/MAX(0.1,N(Parameter!$M$21)))</f>
        <v>0.333333333333333</v>
      </c>
      <c r="AQ115" s="57" t="n">
        <f aca="false">AN115*G115</f>
        <v>4972.24</v>
      </c>
      <c r="AR115" s="57" t="n">
        <f aca="false">ROUNDUP(MAX(J115/IF(BZ115&gt;0,BZ115,MAX(0.1,N(Cockpit!$I$6))),CC115)/BS115,0)*BS115</f>
        <v>364</v>
      </c>
      <c r="AS115" s="58" t="n">
        <f aca="false">IF(AP115&gt;0,J115/AP115,-1)</f>
        <v>1341.6</v>
      </c>
      <c r="AT115" s="58" t="n">
        <f aca="false">IF(AND(OR(BY115="L1",BY115="L23"),AP115&gt;0),SUMIFS($AP$7:$AP$1843,$BY$7:$BY$1843,BY115,$AS$7:$AS$1843,"&gt;"&amp;AS115)+SUMIFS($AP$7:$AP$1843,$BY$7:$BY$1843,BY115,$AS$7:$AS$1843,AS115,$BQ$7:$BQ$1843,"&lt;="&amp;BQ115),"")</f>
        <v>21.7319854058985</v>
      </c>
      <c r="AU115" s="65" t="n">
        <f aca="false">IF(AT115="",0,MAX(0,MIN(1,(IF(BY115="L1",Parameter!$E$5,Parameter!$E$6+Parameter!$E$7)-(AT115-AP115))/AP115)))</f>
        <v>1</v>
      </c>
      <c r="AV115" s="57" t="n">
        <f aca="false">IF(LEFT(Cockpit!$O$5,1)="A",H115,IF(CA115=1,CB115,IF(LEFT(Cockpit!$O$5,1)="B",AZ115,MAX(AZ115,H115))))</f>
        <v>364</v>
      </c>
      <c r="AW115" s="57" t="n">
        <f aca="false">IF(BT115=1,0,ROUNDUP(AV115/BS115,0))</f>
        <v>4</v>
      </c>
      <c r="AX115" s="59" t="n">
        <f aca="false">IF(CH115&gt;0,CH115*MAX(1,AV115/X115),IF(BT115=1,IF(AV115&lt;=0,0,BW115*MAX(1,IF(H115&gt;0,AV115/H115,1))),IF(R115&gt;0,AW115/R115,0))/MAX(0.1,N(Parameter!$M$21)))</f>
        <v>0.333333333333333</v>
      </c>
      <c r="AY115" s="57" t="n">
        <f aca="false">AV115*G115</f>
        <v>4972.24</v>
      </c>
      <c r="AZ115" s="57" t="n">
        <f aca="false">ROUNDUP(MAX(J115/IF(BZ115&gt;0,BZ115,MAX(0.1,N(Cockpit!$O$6))),CC115)/BS115,0)*BS115</f>
        <v>364</v>
      </c>
      <c r="BA115" s="58" t="n">
        <f aca="false">IF(AX115&gt;0,J115/AX115,-1)</f>
        <v>1341.6</v>
      </c>
      <c r="BB115" s="58" t="n">
        <f aca="false">IF(AND(OR(BY115="L1",BY115="L23"),AX115&gt;0),SUMIFS($AX$7:$AX$1843,$BY$7:$BY$1843,BY115,$BA$7:$BA$1843,"&gt;"&amp;BA115)+SUMIFS($AX$7:$AX$1843,$BY$7:$BY$1843,BY115,$BA$7:$BA$1843,BA115,$BQ$7:$BQ$1843,"&lt;="&amp;BQ115),"")</f>
        <v>20.4272068511199</v>
      </c>
      <c r="BC115" s="65" t="n">
        <f aca="false">IF(BB115="",0,MAX(0,MIN(1,(IF(BY115="L1",Parameter!$E$5,Parameter!$E$6+Parameter!$E$7)-(BB115-AX115))/AX115)))</f>
        <v>1</v>
      </c>
      <c r="BD115" s="55" t="str">
        <f aca="false">IF(AH115&lt;=0,"",IF(BY115="Aussen","Aussenlager",IF(BY115="-","Nicht im Lift",IF(AM115&gt;=1,"Lift",IF(AM115&lt;=0,"Aussenlager","teilweise")))))</f>
        <v>Lift</v>
      </c>
      <c r="BE115" s="55" t="str">
        <f aca="false">IF(AP115&lt;=0,"",IF(BY115="Aussen","Aussenlager",IF(BY115="-","Nicht im Lift",IF(AU115&gt;=1,"Lift",IF(AU115&lt;=0,"Aussenlager","teilweise")))))</f>
        <v>Lift</v>
      </c>
      <c r="BF115" s="55" t="str">
        <f aca="false">IF(AX115&lt;=0,"",IF(BY115="Aussen","Aussenlager",IF(BY115="-","Nicht im Lift",IF(BC115&gt;=1,"Lift",IF(BC115&lt;=0,"Aussenlager","teilweise")))))</f>
        <v>Lift</v>
      </c>
      <c r="BG115" s="55" t="str">
        <f aca="false">IF(A115="","",IF(BP115=1,"Neu; ","")&amp;IF(AND(BP115=0,BK115&lt;0),"negativer Bestand (Export "&amp;BK115&amp;"); ","")&amp;IF(J115&lt;=0,"Kein Verbrauch; ","")&amp;IF(CH115&gt;0,"Lift "&amp;W115&amp;" lt. Liftbericht (Fach "&amp;X115&amp;" Stk); ",IF(BU115=1,"Gebinde geschätzt ("&amp;T115&amp;"); ",IF(BT115=1,"Lose – Tablare geschätzt; ","")))&amp;IF(H115&gt;AR115,"Überbestand "&amp;ROUND(H115-AR115,0)&amp;" Stk / CHF "&amp;ROUND((H115-AR115)*G115,0)&amp;"; ","")&amp;IF(AND(CA115=1,CB115&lt;CC115),"MAX &lt; MB+LG; ","")&amp;IF(AND(CG115&gt;0,CF115*10&gt;CG115),"zu hoch für Tablar; ","")&amp;IF(AND(BP115=0,OR(CA115=1,AA115&lt;&gt;"",U115&lt;&gt;"",V115&lt;&gt;"",AB115&lt;&gt;"")),"manuell übersteuert; ","")&amp;IF(AND(BT115=0,R115=0),"Gebinde unbekannt / Stellmass fehlt; ","")&amp;IF(AND(BT115=0,N(V115)&lt;=0,N(Q115)&lt;=0),"Menge pro Gebinde fehlt (Ist = 1 Gebinde); ","")&amp;BO115)</f>
        <v/>
      </c>
      <c r="BH115" s="55"/>
      <c r="BI115" s="55"/>
      <c r="BJ115" s="62"/>
      <c r="BK115" s="57" t="n">
        <v>147.8</v>
      </c>
      <c r="BL115" s="57" t="n">
        <v>47.3</v>
      </c>
      <c r="BM115" s="56" t="n">
        <v>1915.36</v>
      </c>
      <c r="BN115" s="57" t="n">
        <v>447.2</v>
      </c>
      <c r="BO115" s="55"/>
      <c r="BP115" s="60" t="n">
        <v>0</v>
      </c>
      <c r="BQ115" s="60" t="n">
        <v>115</v>
      </c>
      <c r="BR115" s="55" t="str">
        <f aca="false">IF(U115&lt;&gt;"",UPPER(TRIM(U115)),IF(BU115=1,UPPER(VLOOKUP(T115,Parameter!$I$27:$K$29,2,0)),IF(P115="","LOSE",P115)))</f>
        <v>S63</v>
      </c>
      <c r="BS115" s="57" t="n">
        <f aca="false">IF(BR115="LOSE",1,IF(N(V115)&gt;0,V115,IF(BU115=1,MAX(1,N(VLOOKUP(T115,Parameter!$I$27:$K$29,3,0)),H115,N(N115)),IF(N(Q115)&gt;0,Q115,MAX(1,H115)))))</f>
        <v>91</v>
      </c>
      <c r="BT115" s="60" t="n">
        <f aca="false">IF(BR115="LOSE",1,0)</f>
        <v>0</v>
      </c>
      <c r="BU115" s="60" t="n">
        <f aca="false">IF(AND(U115="",OR(P115="",P115="LOSE"),T115&lt;&gt;"",N(S115)&lt;=0,ISNUMBER(MATCH(T115,Parameter!$I$27:$I$29,0))),1,0)</f>
        <v>0</v>
      </c>
      <c r="BV115" s="55" t="str">
        <f aca="false">IF(AND(Parameter!$B$19="Ja",E115&lt;&gt;"",ISNUMBER(MATCH(E115,Parameter!$I$35:$I$52,0))),VLOOKUP(E115,Parameter!$I$35:$J$52,2,0),IFERROR(VLOOKUP(D115,Parameter!$A$35:$C$64,2,0),"Nein"))</f>
        <v>2+3</v>
      </c>
      <c r="BW115" s="59" t="n">
        <f aca="false">IF(BT115=0,0,IF(N(S115)&gt;0,S115,IFERROR(VLOOKUP(D115,Parameter!$A$35:$C$64,3,0)+0,0)))</f>
        <v>0</v>
      </c>
      <c r="BX115" s="55" t="n">
        <f aca="false">IF(AA115&lt;&gt;"",AA115,Z115)</f>
        <v>2</v>
      </c>
      <c r="BY115" s="55" t="str">
        <f aca="false">IF(BX115=1,"L1",IF(OR(BX115=2,BX115=3),"L23",IF(BX115="Aussen","Aussen","-")))</f>
        <v>L23</v>
      </c>
      <c r="BZ115" s="66" t="n">
        <f aca="false">IF(N(AB115)&gt;0,AB115,0)</f>
        <v>0</v>
      </c>
      <c r="CA115" s="60" t="n">
        <f aca="false">IF(ISNUMBER(AE115),1,0)</f>
        <v>0</v>
      </c>
      <c r="CB115" s="57" t="n">
        <f aca="false">N(AE115)</f>
        <v>0</v>
      </c>
      <c r="CC115" s="57" t="n">
        <f aca="false">N(M115)+N(N115)</f>
        <v>295</v>
      </c>
      <c r="CD115" s="57" t="n">
        <f aca="false">ROUNDUP(H115/BS115,0)</f>
        <v>3</v>
      </c>
      <c r="CE115" s="57" t="n">
        <f aca="false">ROUNDUP(CB115/BS115,0)</f>
        <v>0</v>
      </c>
      <c r="CF115" s="60" t="n">
        <f aca="false">IF(BT115=1,0,IFERROR(VLOOKUP(BR115,'Gebinde-Kategorie'!$A$5:$M$45,5,0)+0,0))</f>
        <v>31</v>
      </c>
      <c r="CG115" s="60" t="n">
        <f aca="false">IFERROR(IF(OR(BX115=1,BX115=2,BX115=3),N(INDEX(Parameter!$I$5:$I$7,BX115)),0),0)</f>
        <v>0</v>
      </c>
      <c r="CH115" s="59" t="n">
        <f aca="false">IF(AND(Parameter!$B$21="Ja",ISNUMBER(W115),N(X115)&gt;0),IFERROR(N(INDEX(Parameter!$L$5:$L$7,W115))*INDEX(Parameter!$E$5:$E$7,W115)*X115/SUMIFS($X$7:$X$1843,$W$7:$W$1843,W115),0),0)</f>
        <v>0</v>
      </c>
    </row>
    <row r="116" customFormat="false" ht="15" hidden="false" customHeight="false" outlineLevel="0" collapsed="false">
      <c r="A116" s="55" t="s">
        <v>443</v>
      </c>
      <c r="B116" s="55" t="s">
        <v>374</v>
      </c>
      <c r="C116" s="55" t="s">
        <v>164</v>
      </c>
      <c r="D116" s="55" t="s">
        <v>184</v>
      </c>
      <c r="E116" s="55" t="s">
        <v>185</v>
      </c>
      <c r="F116" s="55" t="s">
        <v>218</v>
      </c>
      <c r="G116" s="56" t="n">
        <v>9.17</v>
      </c>
      <c r="H116" s="57" t="n">
        <f aca="false">MAX(0,IF(AND(Parameter!$B$21="Ja",ISNUMBER(Y116)),Y116,IF(Parameter!$B$20="Jahresanfang 2025 + Export",BL116+BK116,BK116)))</f>
        <v>266</v>
      </c>
      <c r="I116" s="57" t="n">
        <f aca="false">H116*G116</f>
        <v>2439.22</v>
      </c>
      <c r="J116" s="57" t="n">
        <f aca="false">BN116*Parameter!$B$18</f>
        <v>309</v>
      </c>
      <c r="K116" s="58" t="n">
        <v>66</v>
      </c>
      <c r="L116" s="59" t="n">
        <v>4.68181818181818</v>
      </c>
      <c r="M116" s="57" t="n">
        <v>30</v>
      </c>
      <c r="N116" s="57" t="n">
        <v>265</v>
      </c>
      <c r="O116" s="60" t="n">
        <v>30</v>
      </c>
      <c r="P116" s="55" t="s">
        <v>401</v>
      </c>
      <c r="Q116" s="57" t="n">
        <v>58</v>
      </c>
      <c r="R116" s="60" t="n">
        <f aca="false">IF(BT116=1,0,IFERROR(VLOOKUP(BR116,'Gebinde-Kategorie'!$A$5:$M$45,13,0)+0,0))</f>
        <v>414</v>
      </c>
      <c r="S116" s="61"/>
      <c r="T116" s="62"/>
      <c r="U116" s="62"/>
      <c r="V116" s="62"/>
      <c r="W116" s="55"/>
      <c r="X116" s="57"/>
      <c r="Y116" s="57"/>
      <c r="Z116" s="55" t="n">
        <f aca="false">IF(A116="","",IF(AND(Parameter!$B$21="Ja",ISNUMBER(W116)),W116,IF(BV116="2+3",IF(ISNUMBER(SEARCH("grosser Artikel",BO116)),2,IFERROR(VLOOKUP(BR116,Parameter!$F$35:$G$64,2,0),2)),IF(OR(BV116="Nein",BV116=""),"-",BV116))))</f>
        <v>3</v>
      </c>
      <c r="AA116" s="62"/>
      <c r="AB116" s="63"/>
      <c r="AC116" s="57" t="n">
        <f aca="false">AR116</f>
        <v>348</v>
      </c>
      <c r="AD116" s="57" t="n">
        <f aca="false">MAX(AR116,H116)</f>
        <v>348</v>
      </c>
      <c r="AE116" s="64"/>
      <c r="AF116" s="57" t="n">
        <f aca="false">IF(LEFT(Cockpit!$C$5,1)="A",H116,IF(CA116=1,CB116,IF(LEFT(Cockpit!$C$5,1)="B",AJ116,MAX(AJ116,H116))))</f>
        <v>266</v>
      </c>
      <c r="AG116" s="57" t="n">
        <f aca="false">IF(BT116=1,0,ROUNDUP(AF116/BS116,0))</f>
        <v>5</v>
      </c>
      <c r="AH116" s="59" t="n">
        <f aca="false">IF(CH116&gt;0,CH116*MAX(1,AF116/X116),IF(BT116=1,IF(AF116&lt;=0,0,BW116*MAX(1,IF(H116&gt;0,AF116/H116,1))),IF(R116&gt;0,AG116/R116,0))/MAX(0.1,N(Parameter!$M$21)))</f>
        <v>0.0120772946859903</v>
      </c>
      <c r="AI116" s="57" t="n">
        <f aca="false">AF116*G116</f>
        <v>2439.22</v>
      </c>
      <c r="AJ116" s="57" t="n">
        <f aca="false">ROUNDUP(MAX(J116/IF(BZ116&gt;0,BZ116,MAX(0.1,N(Cockpit!$C$6))),CC116)/BS116,0)*BS116</f>
        <v>348</v>
      </c>
      <c r="AK116" s="58" t="n">
        <f aca="false">IF(AH116&gt;0,J116/AH116,-1)</f>
        <v>25585.2</v>
      </c>
      <c r="AL116" s="58" t="n">
        <f aca="false">IF(AND(OR(BY116="L1",BY116="L23"),AH116&gt;0),SUMIFS($AH$7:$AH$1843,$BY$7:$BY$1843,BY116,$AK$7:$AK$1843,"&gt;"&amp;AK116)+SUMIFS($AH$7:$AH$1843,$BY$7:$BY$1843,BY116,$AK$7:$AK$1843,AK116,$BQ$7:$BQ$1843,"&lt;="&amp;BQ116),"")</f>
        <v>2.86547751765143</v>
      </c>
      <c r="AM116" s="65" t="n">
        <f aca="false">IF(AL116="",0,MAX(0,MIN(1,(IF(BY116="L1",Parameter!$E$5,Parameter!$E$6+Parameter!$E$7)-(AL116-AH116))/AH116)))</f>
        <v>1</v>
      </c>
      <c r="AN116" s="57" t="n">
        <f aca="false">IF(LEFT(Cockpit!$I$5,1)="A",H116,IF(CA116=1,CB116,IF(LEFT(Cockpit!$I$5,1)="B",AR116,MAX(AR116,H116))))</f>
        <v>348</v>
      </c>
      <c r="AO116" s="57" t="n">
        <f aca="false">IF(BT116=1,0,ROUNDUP(AN116/BS116,0))</f>
        <v>6</v>
      </c>
      <c r="AP116" s="59" t="n">
        <f aca="false">IF(CH116&gt;0,CH116*MAX(1,AN116/X116),IF(BT116=1,IF(AN116&lt;=0,0,BW116*MAX(1,IF(H116&gt;0,AN116/H116,1))),IF(R116&gt;0,AO116/R116,0))/MAX(0.1,N(Parameter!$M$21)))</f>
        <v>0.0144927536231884</v>
      </c>
      <c r="AQ116" s="57" t="n">
        <f aca="false">AN116*G116</f>
        <v>3191.16</v>
      </c>
      <c r="AR116" s="57" t="n">
        <f aca="false">ROUNDUP(MAX(J116/IF(BZ116&gt;0,BZ116,MAX(0.1,N(Cockpit!$I$6))),CC116)/BS116,0)*BS116</f>
        <v>348</v>
      </c>
      <c r="AS116" s="58" t="n">
        <f aca="false">IF(AP116&gt;0,J116/AP116,-1)</f>
        <v>21321</v>
      </c>
      <c r="AT116" s="58" t="n">
        <f aca="false">IF(AND(OR(BY116="L1",BY116="L23"),AP116&gt;0),SUMIFS($AP$7:$AP$1843,$BY$7:$BY$1843,BY116,$AS$7:$AS$1843,"&gt;"&amp;AS116)+SUMIFS($AP$7:$AP$1843,$BY$7:$BY$1843,BY116,$AS$7:$AS$1843,AS116,$BQ$7:$BQ$1843,"&lt;="&amp;BQ116),"")</f>
        <v>4.0748623357319</v>
      </c>
      <c r="AU116" s="65" t="n">
        <f aca="false">IF(AT116="",0,MAX(0,MIN(1,(IF(BY116="L1",Parameter!$E$5,Parameter!$E$6+Parameter!$E$7)-(AT116-AP116))/AP116)))</f>
        <v>1</v>
      </c>
      <c r="AV116" s="57" t="n">
        <f aca="false">IF(LEFT(Cockpit!$O$5,1)="A",H116,IF(CA116=1,CB116,IF(LEFT(Cockpit!$O$5,1)="B",AZ116,MAX(AZ116,H116))))</f>
        <v>348</v>
      </c>
      <c r="AW116" s="57" t="n">
        <f aca="false">IF(BT116=1,0,ROUNDUP(AV116/BS116,0))</f>
        <v>6</v>
      </c>
      <c r="AX116" s="59" t="n">
        <f aca="false">IF(CH116&gt;0,CH116*MAX(1,AV116/X116),IF(BT116=1,IF(AV116&lt;=0,0,BW116*MAX(1,IF(H116&gt;0,AV116/H116,1))),IF(R116&gt;0,AW116/R116,0))/MAX(0.1,N(Parameter!$M$21)))</f>
        <v>0.0144927536231884</v>
      </c>
      <c r="AY116" s="57" t="n">
        <f aca="false">AV116*G116</f>
        <v>3191.16</v>
      </c>
      <c r="AZ116" s="57" t="n">
        <f aca="false">ROUNDUP(MAX(J116/IF(BZ116&gt;0,BZ116,MAX(0.1,N(Cockpit!$O$6))),CC116)/BS116,0)*BS116</f>
        <v>348</v>
      </c>
      <c r="BA116" s="58" t="n">
        <f aca="false">IF(AX116&gt;0,J116/AX116,-1)</f>
        <v>21321</v>
      </c>
      <c r="BB116" s="58" t="n">
        <f aca="false">IF(AND(OR(BY116="L1",BY116="L23"),AX116&gt;0),SUMIFS($AX$7:$AX$1843,$BY$7:$BY$1843,BY116,$BA$7:$BA$1843,"&gt;"&amp;BA116)+SUMIFS($AX$7:$AX$1843,$BY$7:$BY$1843,BY116,$BA$7:$BA$1843,BA116,$BQ$7:$BQ$1843,"&lt;="&amp;BQ116),"")</f>
        <v>3.71239147326104</v>
      </c>
      <c r="BC116" s="65" t="n">
        <f aca="false">IF(BB116="",0,MAX(0,MIN(1,(IF(BY116="L1",Parameter!$E$5,Parameter!$E$6+Parameter!$E$7)-(BB116-AX116))/AX116)))</f>
        <v>1</v>
      </c>
      <c r="BD116" s="55" t="str">
        <f aca="false">IF(AH116&lt;=0,"",IF(BY116="Aussen","Aussenlager",IF(BY116="-","Nicht im Lift",IF(AM116&gt;=1,"Lift",IF(AM116&lt;=0,"Aussenlager","teilweise")))))</f>
        <v>Lift</v>
      </c>
      <c r="BE116" s="55" t="str">
        <f aca="false">IF(AP116&lt;=0,"",IF(BY116="Aussen","Aussenlager",IF(BY116="-","Nicht im Lift",IF(AU116&gt;=1,"Lift",IF(AU116&lt;=0,"Aussenlager","teilweise")))))</f>
        <v>Lift</v>
      </c>
      <c r="BF116" s="55" t="str">
        <f aca="false">IF(AX116&lt;=0,"",IF(BY116="Aussen","Aussenlager",IF(BY116="-","Nicht im Lift",IF(BC116&gt;=1,"Lift",IF(BC116&lt;=0,"Aussenlager","teilweise")))))</f>
        <v>Lift</v>
      </c>
      <c r="BG116" s="55" t="str">
        <f aca="false">IF(A116="","",IF(BP116=1,"Neu; ","")&amp;IF(AND(BP116=0,BK116&lt;0),"negativer Bestand (Export "&amp;BK116&amp;"); ","")&amp;IF(J116&lt;=0,"Kein Verbrauch; ","")&amp;IF(CH116&gt;0,"Lift "&amp;W116&amp;" lt. Liftbericht (Fach "&amp;X116&amp;" Stk); ",IF(BU116=1,"Gebinde geschätzt ("&amp;T116&amp;"); ",IF(BT116=1,"Lose – Tablare geschätzt; ","")))&amp;IF(H116&gt;AR116,"Überbestand "&amp;ROUND(H116-AR116,0)&amp;" Stk / CHF "&amp;ROUND((H116-AR116)*G116,0)&amp;"; ","")&amp;IF(AND(CA116=1,CB116&lt;CC116),"MAX &lt; MB+LG; ","")&amp;IF(AND(CG116&gt;0,CF116*10&gt;CG116),"zu hoch für Tablar; ","")&amp;IF(AND(BP116=0,OR(CA116=1,AA116&lt;&gt;"",U116&lt;&gt;"",V116&lt;&gt;"",AB116&lt;&gt;"")),"manuell übersteuert; ","")&amp;IF(AND(BT116=0,R116=0),"Gebinde unbekannt / Stellmass fehlt; ","")&amp;IF(AND(BT116=0,N(V116)&lt;=0,N(Q116)&lt;=0),"Menge pro Gebinde fehlt (Ist = 1 Gebinde); ","")&amp;BO116)</f>
        <v/>
      </c>
      <c r="BH116" s="55"/>
      <c r="BI116" s="55"/>
      <c r="BJ116" s="62"/>
      <c r="BK116" s="57" t="n">
        <v>220</v>
      </c>
      <c r="BL116" s="57" t="n">
        <v>46</v>
      </c>
      <c r="BM116" s="56" t="n">
        <v>1914.82</v>
      </c>
      <c r="BN116" s="57" t="n">
        <v>309</v>
      </c>
      <c r="BO116" s="55"/>
      <c r="BP116" s="60" t="n">
        <v>0</v>
      </c>
      <c r="BQ116" s="60" t="n">
        <v>116</v>
      </c>
      <c r="BR116" s="55" t="str">
        <f aca="false">IF(U116&lt;&gt;"",UPPER(TRIM(U116)),IF(BU116=1,UPPER(VLOOKUP(T116,Parameter!$I$27:$K$29,2,0)),IF(P116="","LOSE",P116)))</f>
        <v>S21</v>
      </c>
      <c r="BS116" s="57" t="n">
        <f aca="false">IF(BR116="LOSE",1,IF(N(V116)&gt;0,V116,IF(BU116=1,MAX(1,N(VLOOKUP(T116,Parameter!$I$27:$K$29,3,0)),H116,N(N116)),IF(N(Q116)&gt;0,Q116,MAX(1,H116)))))</f>
        <v>58</v>
      </c>
      <c r="BT116" s="60" t="n">
        <f aca="false">IF(BR116="LOSE",1,0)</f>
        <v>0</v>
      </c>
      <c r="BU116" s="60" t="n">
        <f aca="false">IF(AND(U116="",OR(P116="",P116="LOSE"),T116&lt;&gt;"",N(S116)&lt;=0,ISNUMBER(MATCH(T116,Parameter!$I$27:$I$29,0))),1,0)</f>
        <v>0</v>
      </c>
      <c r="BV116" s="55" t="str">
        <f aca="false">IF(AND(Parameter!$B$19="Ja",E116&lt;&gt;"",ISNUMBER(MATCH(E116,Parameter!$I$35:$I$52,0))),VLOOKUP(E116,Parameter!$I$35:$J$52,2,0),IFERROR(VLOOKUP(D116,Parameter!$A$35:$C$64,2,0),"Nein"))</f>
        <v>2+3</v>
      </c>
      <c r="BW116" s="59" t="n">
        <f aca="false">IF(BT116=0,0,IF(N(S116)&gt;0,S116,IFERROR(VLOOKUP(D116,Parameter!$A$35:$C$64,3,0)+0,0)))</f>
        <v>0</v>
      </c>
      <c r="BX116" s="55" t="n">
        <f aca="false">IF(AA116&lt;&gt;"",AA116,Z116)</f>
        <v>3</v>
      </c>
      <c r="BY116" s="55" t="str">
        <f aca="false">IF(BX116=1,"L1",IF(OR(BX116=2,BX116=3),"L23",IF(BX116="Aussen","Aussen","-")))</f>
        <v>L23</v>
      </c>
      <c r="BZ116" s="66" t="n">
        <f aca="false">IF(N(AB116)&gt;0,AB116,0)</f>
        <v>0</v>
      </c>
      <c r="CA116" s="60" t="n">
        <f aca="false">IF(ISNUMBER(AE116),1,0)</f>
        <v>0</v>
      </c>
      <c r="CB116" s="57" t="n">
        <f aca="false">N(AE116)</f>
        <v>0</v>
      </c>
      <c r="CC116" s="57" t="n">
        <f aca="false">N(M116)+N(N116)</f>
        <v>295</v>
      </c>
      <c r="CD116" s="57" t="n">
        <f aca="false">ROUNDUP(H116/BS116,0)</f>
        <v>5</v>
      </c>
      <c r="CE116" s="57" t="n">
        <f aca="false">ROUNDUP(CB116/BS116,0)</f>
        <v>0</v>
      </c>
      <c r="CF116" s="60" t="n">
        <f aca="false">IF(BT116=1,0,IFERROR(VLOOKUP(BR116,'Gebinde-Kategorie'!$A$5:$M$45,5,0)+0,0))</f>
        <v>8</v>
      </c>
      <c r="CG116" s="60" t="n">
        <f aca="false">IFERROR(IF(OR(BX116=1,BX116=2,BX116=3),N(INDEX(Parameter!$I$5:$I$7,BX116)),0),0)</f>
        <v>0</v>
      </c>
      <c r="CH116" s="59" t="n">
        <f aca="false">IF(AND(Parameter!$B$21="Ja",ISNUMBER(W116),N(X116)&gt;0),IFERROR(N(INDEX(Parameter!$L$5:$L$7,W116))*INDEX(Parameter!$E$5:$E$7,W116)*X116/SUMIFS($X$7:$X$1843,$W$7:$W$1843,W116),0),0)</f>
        <v>0</v>
      </c>
    </row>
    <row r="117" customFormat="false" ht="15" hidden="false" customHeight="false" outlineLevel="0" collapsed="false">
      <c r="A117" s="55" t="s">
        <v>444</v>
      </c>
      <c r="B117" s="55" t="s">
        <v>445</v>
      </c>
      <c r="C117" s="55" t="s">
        <v>164</v>
      </c>
      <c r="D117" s="55" t="s">
        <v>173</v>
      </c>
      <c r="E117" s="55"/>
      <c r="F117" s="55" t="s">
        <v>218</v>
      </c>
      <c r="G117" s="56" t="n">
        <v>127.1</v>
      </c>
      <c r="H117" s="57" t="n">
        <f aca="false">MAX(0,IF(AND(Parameter!$B$21="Ja",ISNUMBER(Y117)),Y117,IF(Parameter!$B$20="Jahresanfang 2025 + Export",BL117+BK117,BK117)))</f>
        <v>15</v>
      </c>
      <c r="I117" s="57" t="n">
        <f aca="false">H117*G117</f>
        <v>1906.5</v>
      </c>
      <c r="J117" s="57" t="n">
        <f aca="false">BN117*Parameter!$B$18</f>
        <v>0</v>
      </c>
      <c r="K117" s="58" t="n">
        <v>0</v>
      </c>
      <c r="L117" s="59" t="n">
        <v>0</v>
      </c>
      <c r="M117" s="57" t="n">
        <v>0</v>
      </c>
      <c r="N117" s="57" t="n">
        <v>1</v>
      </c>
      <c r="O117" s="60" t="n">
        <v>9999</v>
      </c>
      <c r="P117" s="55" t="s">
        <v>168</v>
      </c>
      <c r="Q117" s="57"/>
      <c r="R117" s="60" t="n">
        <f aca="false">IF(BT117=1,0,IFERROR(VLOOKUP(BR117,'Gebinde-Kategorie'!$A$5:$M$45,13,0)+0,0))</f>
        <v>12</v>
      </c>
      <c r="S117" s="61"/>
      <c r="T117" s="62" t="s">
        <v>179</v>
      </c>
      <c r="U117" s="62"/>
      <c r="V117" s="62"/>
      <c r="W117" s="55"/>
      <c r="X117" s="57"/>
      <c r="Y117" s="57"/>
      <c r="Z117" s="55" t="n">
        <f aca="false">IF(A117="","",IF(AND(Parameter!$B$21="Ja",ISNUMBER(W117)),W117,IF(BV117="2+3",IF(ISNUMBER(SEARCH("grosser Artikel",BO117)),2,IFERROR(VLOOKUP(BR117,Parameter!$F$35:$G$64,2,0),2)),IF(OR(BV117="Nein",BV117=""),"-",BV117))))</f>
        <v>2</v>
      </c>
      <c r="AA117" s="62"/>
      <c r="AB117" s="63"/>
      <c r="AC117" s="57" t="n">
        <f aca="false">AR117</f>
        <v>15</v>
      </c>
      <c r="AD117" s="57" t="n">
        <f aca="false">MAX(AR117,H117)</f>
        <v>15</v>
      </c>
      <c r="AE117" s="64"/>
      <c r="AF117" s="57" t="n">
        <f aca="false">IF(LEFT(Cockpit!$C$5,1)="A",H117,IF(CA117=1,CB117,IF(LEFT(Cockpit!$C$5,1)="B",AJ117,MAX(AJ117,H117))))</f>
        <v>15</v>
      </c>
      <c r="AG117" s="57" t="n">
        <f aca="false">IF(BT117=1,0,ROUNDUP(AF117/BS117,0))</f>
        <v>1</v>
      </c>
      <c r="AH117" s="59" t="n">
        <f aca="false">IF(CH117&gt;0,CH117*MAX(1,AF117/X117),IF(BT117=1,IF(AF117&lt;=0,0,BW117*MAX(1,IF(H117&gt;0,AF117/H117,1))),IF(R117&gt;0,AG117/R117,0))/MAX(0.1,N(Parameter!$M$21)))</f>
        <v>0.0833333333333333</v>
      </c>
      <c r="AI117" s="57" t="n">
        <f aca="false">AF117*G117</f>
        <v>1906.5</v>
      </c>
      <c r="AJ117" s="57" t="n">
        <f aca="false">ROUNDUP(MAX(J117/IF(BZ117&gt;0,BZ117,MAX(0.1,N(Cockpit!$C$6))),CC117)/BS117,0)*BS117</f>
        <v>15</v>
      </c>
      <c r="AK117" s="58" t="n">
        <f aca="false">IF(AH117&gt;0,J117/AH117,-1)</f>
        <v>0</v>
      </c>
      <c r="AL117" s="58" t="n">
        <f aca="false">IF(AND(OR(BY117="L1",BY117="L23"),AH117&gt;0),SUMIFS($AH$7:$AH$1843,$BY$7:$BY$1843,BY117,$AK$7:$AK$1843,"&gt;"&amp;AK117)+SUMIFS($AH$7:$AH$1843,$BY$7:$BY$1843,BY117,$AK$7:$AK$1843,AK117,$BQ$7:$BQ$1843,"&lt;="&amp;BQ117),"")</f>
        <v>68.5227188270667</v>
      </c>
      <c r="AM117" s="65" t="n">
        <f aca="false">IF(AL117="",0,MAX(0,MIN(1,(IF(BY117="L1",Parameter!$E$5,Parameter!$E$6+Parameter!$E$7)-(AL117-AH117))/AH117)))</f>
        <v>1</v>
      </c>
      <c r="AN117" s="57" t="n">
        <f aca="false">IF(LEFT(Cockpit!$I$5,1)="A",H117,IF(CA117=1,CB117,IF(LEFT(Cockpit!$I$5,1)="B",AR117,MAX(AR117,H117))))</f>
        <v>15</v>
      </c>
      <c r="AO117" s="57" t="n">
        <f aca="false">IF(BT117=1,0,ROUNDUP(AN117/BS117,0))</f>
        <v>1</v>
      </c>
      <c r="AP117" s="59" t="n">
        <f aca="false">IF(CH117&gt;0,CH117*MAX(1,AN117/X117),IF(BT117=1,IF(AN117&lt;=0,0,BW117*MAX(1,IF(H117&gt;0,AN117/H117,1))),IF(R117&gt;0,AO117/R117,0))/MAX(0.1,N(Parameter!$M$21)))</f>
        <v>0.0833333333333333</v>
      </c>
      <c r="AQ117" s="57" t="n">
        <f aca="false">AN117*G117</f>
        <v>1906.5</v>
      </c>
      <c r="AR117" s="57" t="n">
        <f aca="false">ROUNDUP(MAX(J117/IF(BZ117&gt;0,BZ117,MAX(0.1,N(Cockpit!$I$6))),CC117)/BS117,0)*BS117</f>
        <v>15</v>
      </c>
      <c r="AS117" s="58" t="n">
        <f aca="false">IF(AP117&gt;0,J117/AP117,-1)</f>
        <v>0</v>
      </c>
      <c r="AT117" s="58" t="n">
        <f aca="false">IF(AND(OR(BY117="L1",BY117="L23"),AP117&gt;0),SUMIFS($AP$7:$AP$1843,$BY$7:$BY$1843,BY117,$AS$7:$AS$1843,"&gt;"&amp;AS117)+SUMIFS($AP$7:$AP$1843,$BY$7:$BY$1843,BY117,$AS$7:$AS$1843,AS117,$BQ$7:$BQ$1843,"&lt;="&amp;BQ117),"")</f>
        <v>107.94684301206</v>
      </c>
      <c r="AU117" s="65" t="n">
        <f aca="false">IF(AT117="",0,MAX(0,MIN(1,(IF(BY117="L1",Parameter!$E$5,Parameter!$E$6+Parameter!$E$7)-(AT117-AP117))/AP117)))</f>
        <v>0</v>
      </c>
      <c r="AV117" s="57" t="n">
        <f aca="false">IF(LEFT(Cockpit!$O$5,1)="A",H117,IF(CA117=1,CB117,IF(LEFT(Cockpit!$O$5,1)="B",AZ117,MAX(AZ117,H117))))</f>
        <v>15</v>
      </c>
      <c r="AW117" s="57" t="n">
        <f aca="false">IF(BT117=1,0,ROUNDUP(AV117/BS117,0))</f>
        <v>1</v>
      </c>
      <c r="AX117" s="59" t="n">
        <f aca="false">IF(CH117&gt;0,CH117*MAX(1,AV117/X117),IF(BT117=1,IF(AV117&lt;=0,0,BW117*MAX(1,IF(H117&gt;0,AV117/H117,1))),IF(R117&gt;0,AW117/R117,0))/MAX(0.1,N(Parameter!$M$21)))</f>
        <v>0.0833333333333333</v>
      </c>
      <c r="AY117" s="57" t="n">
        <f aca="false">AV117*G117</f>
        <v>1906.5</v>
      </c>
      <c r="AZ117" s="57" t="n">
        <f aca="false">ROUNDUP(MAX(J117/IF(BZ117&gt;0,BZ117,MAX(0.1,N(Cockpit!$O$6))),CC117)/BS117,0)*BS117</f>
        <v>15</v>
      </c>
      <c r="BA117" s="58" t="n">
        <f aca="false">IF(AX117&gt;0,J117/AX117,-1)</f>
        <v>0</v>
      </c>
      <c r="BB117" s="58" t="n">
        <f aca="false">IF(AND(OR(BY117="L1",BY117="L23"),AX117&gt;0),SUMIFS($AX$7:$AX$1843,$BY$7:$BY$1843,BY117,$BA$7:$BA$1843,"&gt;"&amp;BA117)+SUMIFS($AX$7:$AX$1843,$BY$7:$BY$1843,BY117,$BA$7:$BA$1843,BA117,$BQ$7:$BQ$1843,"&lt;="&amp;BQ117),"")</f>
        <v>98.7766798418972</v>
      </c>
      <c r="BC117" s="65" t="n">
        <f aca="false">IF(BB117="",0,MAX(0,MIN(1,(IF(BY117="L1",Parameter!$E$5,Parameter!$E$6+Parameter!$E$7)-(BB117-AX117))/AX117)))</f>
        <v>1</v>
      </c>
      <c r="BD117" s="55" t="str">
        <f aca="false">IF(AH117&lt;=0,"",IF(BY117="Aussen","Aussenlager",IF(BY117="-","Nicht im Lift",IF(AM117&gt;=1,"Lift",IF(AM117&lt;=0,"Aussenlager","teilweise")))))</f>
        <v>Lift</v>
      </c>
      <c r="BE117" s="55" t="str">
        <f aca="false">IF(AP117&lt;=0,"",IF(BY117="Aussen","Aussenlager",IF(BY117="-","Nicht im Lift",IF(AU117&gt;=1,"Lift",IF(AU117&lt;=0,"Aussenlager","teilweise")))))</f>
        <v>Aussenlager</v>
      </c>
      <c r="BF117" s="55" t="str">
        <f aca="false">IF(AX117&lt;=0,"",IF(BY117="Aussen","Aussenlager",IF(BY117="-","Nicht im Lift",IF(BC117&gt;=1,"Lift",IF(BC117&lt;=0,"Aussenlager","teilweise")))))</f>
        <v>Lift</v>
      </c>
      <c r="BG117" s="55" t="str">
        <f aca="false">IF(A117="","",IF(BP117=1,"Neu; ","")&amp;IF(AND(BP117=0,BK117&lt;0),"negativer Bestand (Export "&amp;BK117&amp;"); ","")&amp;IF(J117&lt;=0,"Kein Verbrauch; ","")&amp;IF(CH117&gt;0,"Lift "&amp;W117&amp;" lt. Liftbericht (Fach "&amp;X117&amp;" Stk); ",IF(BU117=1,"Gebinde geschätzt ("&amp;T117&amp;"); ",IF(BT117=1,"Lose – Tablare geschätzt; ","")))&amp;IF(H117&gt;AR117,"Überbestand "&amp;ROUND(H117-AR117,0)&amp;" Stk / CHF "&amp;ROUND((H117-AR117)*G117,0)&amp;"; ","")&amp;IF(AND(CA117=1,CB117&lt;CC117),"MAX &lt; MB+LG; ","")&amp;IF(AND(CG117&gt;0,CF117*10&gt;CG117),"zu hoch für Tablar; ","")&amp;IF(AND(BP117=0,OR(CA117=1,AA117&lt;&gt;"",U117&lt;&gt;"",V117&lt;&gt;"",AB117&lt;&gt;"")),"manuell übersteuert; ","")&amp;IF(AND(BT117=0,R117=0),"Gebinde unbekannt / Stellmass fehlt; ","")&amp;IF(AND(BT117=0,N(V117)&lt;=0,N(Q117)&lt;=0),"Menge pro Gebinde fehlt (Ist = 1 Gebinde); ","")&amp;BO117)</f>
        <v>Kein Verbrauch; Gebinde geschätzt (Mittel); Menge pro Gebinde fehlt (Ist = 1 Gebinde); </v>
      </c>
      <c r="BH117" s="55"/>
      <c r="BI117" s="55"/>
      <c r="BJ117" s="62"/>
      <c r="BK117" s="57" t="n">
        <v>15</v>
      </c>
      <c r="BL117" s="57" t="n">
        <v>0</v>
      </c>
      <c r="BM117" s="56" t="n">
        <v>1906.5</v>
      </c>
      <c r="BN117" s="57" t="n">
        <v>0</v>
      </c>
      <c r="BO117" s="55"/>
      <c r="BP117" s="60" t="n">
        <v>0</v>
      </c>
      <c r="BQ117" s="60" t="n">
        <v>117</v>
      </c>
      <c r="BR117" s="55" t="str">
        <f aca="false">IF(U117&lt;&gt;"",UPPER(TRIM(U117)),IF(BU117=1,UPPER(VLOOKUP(T117,Parameter!$I$27:$K$29,2,0)),IF(P117="","LOSE",P117)))</f>
        <v>S61</v>
      </c>
      <c r="BS117" s="57" t="n">
        <f aca="false">IF(BR117="LOSE",1,IF(N(V117)&gt;0,V117,IF(BU117=1,MAX(1,N(VLOOKUP(T117,Parameter!$I$27:$K$29,3,0)),H117,N(N117)),IF(N(Q117)&gt;0,Q117,MAX(1,H117)))))</f>
        <v>15</v>
      </c>
      <c r="BT117" s="60" t="n">
        <f aca="false">IF(BR117="LOSE",1,0)</f>
        <v>0</v>
      </c>
      <c r="BU117" s="60" t="n">
        <f aca="false">IF(AND(U117="",OR(P117="",P117="LOSE"),T117&lt;&gt;"",N(S117)&lt;=0,ISNUMBER(MATCH(T117,Parameter!$I$27:$I$29,0))),1,0)</f>
        <v>1</v>
      </c>
      <c r="BV117" s="55" t="str">
        <f aca="false">IF(AND(Parameter!$B$19="Ja",E117&lt;&gt;"",ISNUMBER(MATCH(E117,Parameter!$I$35:$I$52,0))),VLOOKUP(E117,Parameter!$I$35:$J$52,2,0),IFERROR(VLOOKUP(D117,Parameter!$A$35:$C$64,2,0),"Nein"))</f>
        <v>2+3</v>
      </c>
      <c r="BW117" s="59" t="n">
        <f aca="false">IF(BT117=0,0,IF(N(S117)&gt;0,S117,IFERROR(VLOOKUP(D117,Parameter!$A$35:$C$64,3,0)+0,0)))</f>
        <v>0</v>
      </c>
      <c r="BX117" s="55" t="n">
        <f aca="false">IF(AA117&lt;&gt;"",AA117,Z117)</f>
        <v>2</v>
      </c>
      <c r="BY117" s="55" t="str">
        <f aca="false">IF(BX117=1,"L1",IF(OR(BX117=2,BX117=3),"L23",IF(BX117="Aussen","Aussen","-")))</f>
        <v>L23</v>
      </c>
      <c r="BZ117" s="66" t="n">
        <f aca="false">IF(N(AB117)&gt;0,AB117,0)</f>
        <v>0</v>
      </c>
      <c r="CA117" s="60" t="n">
        <f aca="false">IF(ISNUMBER(AE117),1,0)</f>
        <v>0</v>
      </c>
      <c r="CB117" s="57" t="n">
        <f aca="false">N(AE117)</f>
        <v>0</v>
      </c>
      <c r="CC117" s="57" t="n">
        <f aca="false">N(M117)+N(N117)</f>
        <v>1</v>
      </c>
      <c r="CD117" s="57" t="n">
        <f aca="false">ROUNDUP(H117/BS117,0)</f>
        <v>1</v>
      </c>
      <c r="CE117" s="57" t="n">
        <f aca="false">ROUNDUP(CB117/BS117,0)</f>
        <v>0</v>
      </c>
      <c r="CF117" s="60" t="n">
        <f aca="false">IF(BT117=1,0,IFERROR(VLOOKUP(BR117,'Gebinde-Kategorie'!$A$5:$M$45,5,0)+0,0))</f>
        <v>11</v>
      </c>
      <c r="CG117" s="60" t="n">
        <f aca="false">IFERROR(IF(OR(BX117=1,BX117=2,BX117=3),N(INDEX(Parameter!$I$5:$I$7,BX117)),0),0)</f>
        <v>0</v>
      </c>
      <c r="CH117" s="59" t="n">
        <f aca="false">IF(AND(Parameter!$B$21="Ja",ISNUMBER(W117),N(X117)&gt;0),IFERROR(N(INDEX(Parameter!$L$5:$L$7,W117))*INDEX(Parameter!$E$5:$E$7,W117)*X117/SUMIFS($X$7:$X$1843,$W$7:$W$1843,W117),0),0)</f>
        <v>0</v>
      </c>
    </row>
    <row r="118" customFormat="false" ht="15" hidden="false" customHeight="false" outlineLevel="0" collapsed="false">
      <c r="A118" s="55" t="s">
        <v>446</v>
      </c>
      <c r="B118" s="55" t="s">
        <v>447</v>
      </c>
      <c r="C118" s="55" t="s">
        <v>164</v>
      </c>
      <c r="D118" s="55" t="s">
        <v>184</v>
      </c>
      <c r="E118" s="55"/>
      <c r="F118" s="55" t="s">
        <v>218</v>
      </c>
      <c r="G118" s="56" t="n">
        <v>348.07</v>
      </c>
      <c r="H118" s="57" t="n">
        <f aca="false">MAX(0,IF(AND(Parameter!$B$21="Ja",ISNUMBER(Y118)),Y118,IF(Parameter!$B$20="Jahresanfang 2025 + Export",BL118+BK118,BK118)))</f>
        <v>17</v>
      </c>
      <c r="I118" s="57" t="n">
        <f aca="false">H118*G118</f>
        <v>5917.19</v>
      </c>
      <c r="J118" s="57" t="n">
        <f aca="false">BN118*Parameter!$B$18</f>
        <v>24</v>
      </c>
      <c r="K118" s="58" t="n">
        <v>10</v>
      </c>
      <c r="L118" s="59" t="n">
        <v>2.4</v>
      </c>
      <c r="M118" s="57" t="n">
        <v>2</v>
      </c>
      <c r="N118" s="57" t="n">
        <v>15</v>
      </c>
      <c r="O118" s="60" t="n">
        <v>42</v>
      </c>
      <c r="P118" s="55" t="s">
        <v>302</v>
      </c>
      <c r="Q118" s="57" t="n">
        <v>12</v>
      </c>
      <c r="R118" s="60" t="n">
        <f aca="false">IF(BT118=1,0,IFERROR(VLOOKUP(BR118,'Gebinde-Kategorie'!$A$5:$M$45,13,0)+0,0))</f>
        <v>26</v>
      </c>
      <c r="S118" s="61"/>
      <c r="T118" s="62"/>
      <c r="U118" s="62"/>
      <c r="V118" s="62"/>
      <c r="W118" s="55"/>
      <c r="X118" s="57"/>
      <c r="Y118" s="57"/>
      <c r="Z118" s="55" t="n">
        <f aca="false">IF(A118="","",IF(AND(Parameter!$B$21="Ja",ISNUMBER(W118)),W118,IF(BV118="2+3",IF(ISNUMBER(SEARCH("grosser Artikel",BO118)),2,IFERROR(VLOOKUP(BR118,Parameter!$F$35:$G$64,2,0),2)),IF(OR(BV118="Nein",BV118=""),"-",BV118))))</f>
        <v>3</v>
      </c>
      <c r="AA118" s="62"/>
      <c r="AB118" s="63"/>
      <c r="AC118" s="57" t="n">
        <f aca="false">AR118</f>
        <v>24</v>
      </c>
      <c r="AD118" s="57" t="n">
        <f aca="false">MAX(AR118,H118)</f>
        <v>24</v>
      </c>
      <c r="AE118" s="64"/>
      <c r="AF118" s="57" t="n">
        <f aca="false">IF(LEFT(Cockpit!$C$5,1)="A",H118,IF(CA118=1,CB118,IF(LEFT(Cockpit!$C$5,1)="B",AJ118,MAX(AJ118,H118))))</f>
        <v>17</v>
      </c>
      <c r="AG118" s="57" t="n">
        <f aca="false">IF(BT118=1,0,ROUNDUP(AF118/BS118,0))</f>
        <v>2</v>
      </c>
      <c r="AH118" s="59" t="n">
        <f aca="false">IF(CH118&gt;0,CH118*MAX(1,AF118/X118),IF(BT118=1,IF(AF118&lt;=0,0,BW118*MAX(1,IF(H118&gt;0,AF118/H118,1))),IF(R118&gt;0,AG118/R118,0))/MAX(0.1,N(Parameter!$M$21)))</f>
        <v>0.0769230769230769</v>
      </c>
      <c r="AI118" s="57" t="n">
        <f aca="false">AF118*G118</f>
        <v>5917.19</v>
      </c>
      <c r="AJ118" s="57" t="n">
        <f aca="false">ROUNDUP(MAX(J118/IF(BZ118&gt;0,BZ118,MAX(0.1,N(Cockpit!$C$6))),CC118)/BS118,0)*BS118</f>
        <v>24</v>
      </c>
      <c r="AK118" s="58" t="n">
        <f aca="false">IF(AH118&gt;0,J118/AH118,-1)</f>
        <v>312</v>
      </c>
      <c r="AL118" s="58" t="n">
        <f aca="false">IF(AND(OR(BY118="L1",BY118="L23"),AH118&gt;0),SUMIFS($AH$7:$AH$1843,$BY$7:$BY$1843,BY118,$AK$7:$AK$1843,"&gt;"&amp;AK118)+SUMIFS($AH$7:$AH$1843,$BY$7:$BY$1843,BY118,$AK$7:$AK$1843,AK118,$BQ$7:$BQ$1843,"&lt;="&amp;BQ118),"")</f>
        <v>28.0362234383974</v>
      </c>
      <c r="AM118" s="65" t="n">
        <f aca="false">IF(AL118="",0,MAX(0,MIN(1,(IF(BY118="L1",Parameter!$E$5,Parameter!$E$6+Parameter!$E$7)-(AL118-AH118))/AH118)))</f>
        <v>1</v>
      </c>
      <c r="AN118" s="57" t="n">
        <f aca="false">IF(LEFT(Cockpit!$I$5,1)="A",H118,IF(CA118=1,CB118,IF(LEFT(Cockpit!$I$5,1)="B",AR118,MAX(AR118,H118))))</f>
        <v>24</v>
      </c>
      <c r="AO118" s="57" t="n">
        <f aca="false">IF(BT118=1,0,ROUNDUP(AN118/BS118,0))</f>
        <v>2</v>
      </c>
      <c r="AP118" s="59" t="n">
        <f aca="false">IF(CH118&gt;0,CH118*MAX(1,AN118/X118),IF(BT118=1,IF(AN118&lt;=0,0,BW118*MAX(1,IF(H118&gt;0,AN118/H118,1))),IF(R118&gt;0,AO118/R118,0))/MAX(0.1,N(Parameter!$M$21)))</f>
        <v>0.0769230769230769</v>
      </c>
      <c r="AQ118" s="57" t="n">
        <f aca="false">AN118*G118</f>
        <v>8353.68</v>
      </c>
      <c r="AR118" s="57" t="n">
        <f aca="false">ROUNDUP(MAX(J118/IF(BZ118&gt;0,BZ118,MAX(0.1,N(Cockpit!$I$6))),CC118)/BS118,0)*BS118</f>
        <v>24</v>
      </c>
      <c r="AS118" s="58" t="n">
        <f aca="false">IF(AP118&gt;0,J118/AP118,-1)</f>
        <v>312</v>
      </c>
      <c r="AT118" s="58" t="n">
        <f aca="false">IF(AND(OR(BY118="L1",BY118="L23"),AP118&gt;0),SUMIFS($AP$7:$AP$1843,$BY$7:$BY$1843,BY118,$AS$7:$AS$1843,"&gt;"&amp;AS118)+SUMIFS($AP$7:$AP$1843,$BY$7:$BY$1843,BY118,$AS$7:$AS$1843,AS118,$BQ$7:$BQ$1843,"&lt;="&amp;BQ118),"")</f>
        <v>40.836804499848</v>
      </c>
      <c r="AU118" s="65" t="n">
        <f aca="false">IF(AT118="",0,MAX(0,MIN(1,(IF(BY118="L1",Parameter!$E$5,Parameter!$E$6+Parameter!$E$7)-(AT118-AP118))/AP118)))</f>
        <v>1</v>
      </c>
      <c r="AV118" s="57" t="n">
        <f aca="false">IF(LEFT(Cockpit!$O$5,1)="A",H118,IF(CA118=1,CB118,IF(LEFT(Cockpit!$O$5,1)="B",AZ118,MAX(AZ118,H118))))</f>
        <v>24</v>
      </c>
      <c r="AW118" s="57" t="n">
        <f aca="false">IF(BT118=1,0,ROUNDUP(AV118/BS118,0))</f>
        <v>2</v>
      </c>
      <c r="AX118" s="59" t="n">
        <f aca="false">IF(CH118&gt;0,CH118*MAX(1,AV118/X118),IF(BT118=1,IF(AV118&lt;=0,0,BW118*MAX(1,IF(H118&gt;0,AV118/H118,1))),IF(R118&gt;0,AW118/R118,0))/MAX(0.1,N(Parameter!$M$21)))</f>
        <v>0.0769230769230769</v>
      </c>
      <c r="AY118" s="57" t="n">
        <f aca="false">AV118*G118</f>
        <v>8353.68</v>
      </c>
      <c r="AZ118" s="57" t="n">
        <f aca="false">ROUNDUP(MAX(J118/IF(BZ118&gt;0,BZ118,MAX(0.1,N(Cockpit!$O$6))),CC118)/BS118,0)*BS118</f>
        <v>24</v>
      </c>
      <c r="BA118" s="58" t="n">
        <f aca="false">IF(AX118&gt;0,J118/AX118,-1)</f>
        <v>312</v>
      </c>
      <c r="BB118" s="58" t="n">
        <f aca="false">IF(AND(OR(BY118="L1",BY118="L23"),AX118&gt;0),SUMIFS($AX$7:$AX$1843,$BY$7:$BY$1843,BY118,$BA$7:$BA$1843,"&gt;"&amp;BA118)+SUMIFS($AX$7:$AX$1843,$BY$7:$BY$1843,BY118,$BA$7:$BA$1843,BA118,$BQ$7:$BQ$1843,"&lt;="&amp;BQ118),"")</f>
        <v>37.1666413296848</v>
      </c>
      <c r="BC118" s="65" t="n">
        <f aca="false">IF(BB118="",0,MAX(0,MIN(1,(IF(BY118="L1",Parameter!$E$5,Parameter!$E$6+Parameter!$E$7)-(BB118-AX118))/AX118)))</f>
        <v>1</v>
      </c>
      <c r="BD118" s="55" t="str">
        <f aca="false">IF(AH118&lt;=0,"",IF(BY118="Aussen","Aussenlager",IF(BY118="-","Nicht im Lift",IF(AM118&gt;=1,"Lift",IF(AM118&lt;=0,"Aussenlager","teilweise")))))</f>
        <v>Lift</v>
      </c>
      <c r="BE118" s="55" t="str">
        <f aca="false">IF(AP118&lt;=0,"",IF(BY118="Aussen","Aussenlager",IF(BY118="-","Nicht im Lift",IF(AU118&gt;=1,"Lift",IF(AU118&lt;=0,"Aussenlager","teilweise")))))</f>
        <v>Lift</v>
      </c>
      <c r="BF118" s="55" t="str">
        <f aca="false">IF(AX118&lt;=0,"",IF(BY118="Aussen","Aussenlager",IF(BY118="-","Nicht im Lift",IF(BC118&gt;=1,"Lift",IF(BC118&lt;=0,"Aussenlager","teilweise")))))</f>
        <v>Lift</v>
      </c>
      <c r="BG118" s="55" t="str">
        <f aca="false">IF(A118="","",IF(BP118=1,"Neu; ","")&amp;IF(AND(BP118=0,BK118&lt;0),"negativer Bestand (Export "&amp;BK118&amp;"); ","")&amp;IF(J118&lt;=0,"Kein Verbrauch; ","")&amp;IF(CH118&gt;0,"Lift "&amp;W118&amp;" lt. Liftbericht (Fach "&amp;X118&amp;" Stk); ",IF(BU118=1,"Gebinde geschätzt ("&amp;T118&amp;"); ",IF(BT118=1,"Lose – Tablare geschätzt; ","")))&amp;IF(H118&gt;AR118,"Überbestand "&amp;ROUND(H118-AR118,0)&amp;" Stk / CHF "&amp;ROUND((H118-AR118)*G118,0)&amp;"; ","")&amp;IF(AND(CA118=1,CB118&lt;CC118),"MAX &lt; MB+LG; ","")&amp;IF(AND(CG118&gt;0,CF118*10&gt;CG118),"zu hoch für Tablar; ","")&amp;IF(AND(BP118=0,OR(CA118=1,AA118&lt;&gt;"",U118&lt;&gt;"",V118&lt;&gt;"",AB118&lt;&gt;"")),"manuell übersteuert; ","")&amp;IF(AND(BT118=0,R118=0),"Gebinde unbekannt / Stellmass fehlt; ","")&amp;IF(AND(BT118=0,N(V118)&lt;=0,N(Q118)&lt;=0),"Menge pro Gebinde fehlt (Ist = 1 Gebinde); ","")&amp;BO118)</f>
        <v/>
      </c>
      <c r="BH118" s="55"/>
      <c r="BI118" s="55"/>
      <c r="BJ118" s="62"/>
      <c r="BK118" s="57" t="n">
        <v>5</v>
      </c>
      <c r="BL118" s="57" t="n">
        <v>12</v>
      </c>
      <c r="BM118" s="56" t="n">
        <v>1902.10999999999</v>
      </c>
      <c r="BN118" s="57" t="n">
        <v>24</v>
      </c>
      <c r="BO118" s="55"/>
      <c r="BP118" s="60" t="n">
        <v>0</v>
      </c>
      <c r="BQ118" s="60" t="n">
        <v>118</v>
      </c>
      <c r="BR118" s="55" t="str">
        <f aca="false">IF(U118&lt;&gt;"",UPPER(TRIM(U118)),IF(BU118=1,UPPER(VLOOKUP(T118,Parameter!$I$27:$K$29,2,0)),IF(P118="","LOSE",P118)))</f>
        <v>S51</v>
      </c>
      <c r="BS118" s="57" t="n">
        <f aca="false">IF(BR118="LOSE",1,IF(N(V118)&gt;0,V118,IF(BU118=1,MAX(1,N(VLOOKUP(T118,Parameter!$I$27:$K$29,3,0)),H118,N(N118)),IF(N(Q118)&gt;0,Q118,MAX(1,H118)))))</f>
        <v>12</v>
      </c>
      <c r="BT118" s="60" t="n">
        <f aca="false">IF(BR118="LOSE",1,0)</f>
        <v>0</v>
      </c>
      <c r="BU118" s="60" t="n">
        <f aca="false">IF(AND(U118="",OR(P118="",P118="LOSE"),T118&lt;&gt;"",N(S118)&lt;=0,ISNUMBER(MATCH(T118,Parameter!$I$27:$I$29,0))),1,0)</f>
        <v>0</v>
      </c>
      <c r="BV118" s="55" t="str">
        <f aca="false">IF(AND(Parameter!$B$19="Ja",E118&lt;&gt;"",ISNUMBER(MATCH(E118,Parameter!$I$35:$I$52,0))),VLOOKUP(E118,Parameter!$I$35:$J$52,2,0),IFERROR(VLOOKUP(D118,Parameter!$A$35:$C$64,2,0),"Nein"))</f>
        <v>2+3</v>
      </c>
      <c r="BW118" s="59" t="n">
        <f aca="false">IF(BT118=0,0,IF(N(S118)&gt;0,S118,IFERROR(VLOOKUP(D118,Parameter!$A$35:$C$64,3,0)+0,0)))</f>
        <v>0</v>
      </c>
      <c r="BX118" s="55" t="n">
        <f aca="false">IF(AA118&lt;&gt;"",AA118,Z118)</f>
        <v>3</v>
      </c>
      <c r="BY118" s="55" t="str">
        <f aca="false">IF(BX118=1,"L1",IF(OR(BX118=2,BX118=3),"L23",IF(BX118="Aussen","Aussen","-")))</f>
        <v>L23</v>
      </c>
      <c r="BZ118" s="66" t="n">
        <f aca="false">IF(N(AB118)&gt;0,AB118,0)</f>
        <v>0</v>
      </c>
      <c r="CA118" s="60" t="n">
        <f aca="false">IF(ISNUMBER(AE118),1,0)</f>
        <v>0</v>
      </c>
      <c r="CB118" s="57" t="n">
        <f aca="false">N(AE118)</f>
        <v>0</v>
      </c>
      <c r="CC118" s="57" t="n">
        <f aca="false">N(M118)+N(N118)</f>
        <v>17</v>
      </c>
      <c r="CD118" s="57" t="n">
        <f aca="false">ROUNDUP(H118/BS118,0)</f>
        <v>2</v>
      </c>
      <c r="CE118" s="57" t="n">
        <f aca="false">ROUNDUP(CB118/BS118,0)</f>
        <v>0</v>
      </c>
      <c r="CF118" s="60" t="n">
        <f aca="false">IF(BT118=1,0,IFERROR(VLOOKUP(BR118,'Gebinde-Kategorie'!$A$5:$M$45,5,0)+0,0))</f>
        <v>11</v>
      </c>
      <c r="CG118" s="60" t="n">
        <f aca="false">IFERROR(IF(OR(BX118=1,BX118=2,BX118=3),N(INDEX(Parameter!$I$5:$I$7,BX118)),0),0)</f>
        <v>0</v>
      </c>
      <c r="CH118" s="59" t="n">
        <f aca="false">IF(AND(Parameter!$B$21="Ja",ISNUMBER(W118),N(X118)&gt;0),IFERROR(N(INDEX(Parameter!$L$5:$L$7,W118))*INDEX(Parameter!$E$5:$E$7,W118)*X118/SUMIFS($X$7:$X$1843,$W$7:$W$1843,W118),0),0)</f>
        <v>0</v>
      </c>
    </row>
    <row r="119" customFormat="false" ht="15" hidden="false" customHeight="false" outlineLevel="0" collapsed="false">
      <c r="A119" s="55" t="s">
        <v>448</v>
      </c>
      <c r="B119" s="55" t="s">
        <v>425</v>
      </c>
      <c r="C119" s="55" t="s">
        <v>164</v>
      </c>
      <c r="D119" s="55" t="s">
        <v>184</v>
      </c>
      <c r="E119" s="55" t="s">
        <v>185</v>
      </c>
      <c r="F119" s="55" t="s">
        <v>218</v>
      </c>
      <c r="G119" s="56" t="n">
        <v>41.62</v>
      </c>
      <c r="H119" s="57" t="n">
        <f aca="false">MAX(0,IF(AND(Parameter!$B$21="Ja",ISNUMBER(Y119)),Y119,IF(Parameter!$B$20="Jahresanfang 2025 + Export",BL119+BK119,BK119)))</f>
        <v>228</v>
      </c>
      <c r="I119" s="57" t="n">
        <f aca="false">H119*G119</f>
        <v>9489.36</v>
      </c>
      <c r="J119" s="57" t="n">
        <f aca="false">BN119*Parameter!$B$18</f>
        <v>1320</v>
      </c>
      <c r="K119" s="58" t="n">
        <v>220</v>
      </c>
      <c r="L119" s="59" t="n">
        <v>6</v>
      </c>
      <c r="M119" s="57" t="n">
        <v>77</v>
      </c>
      <c r="N119" s="57" t="n">
        <v>200</v>
      </c>
      <c r="O119" s="60" t="n">
        <v>21</v>
      </c>
      <c r="P119" s="55" t="s">
        <v>233</v>
      </c>
      <c r="Q119" s="57" t="n">
        <v>850</v>
      </c>
      <c r="R119" s="60" t="n">
        <f aca="false">IF(BT119=1,0,IFERROR(VLOOKUP(BR119,'Gebinde-Kategorie'!$A$5:$M$45,13,0)+0,0))</f>
        <v>26</v>
      </c>
      <c r="S119" s="61"/>
      <c r="T119" s="62"/>
      <c r="U119" s="62"/>
      <c r="V119" s="62"/>
      <c r="W119" s="55"/>
      <c r="X119" s="57"/>
      <c r="Y119" s="57"/>
      <c r="Z119" s="55" t="n">
        <f aca="false">IF(A119="","",IF(AND(Parameter!$B$21="Ja",ISNUMBER(W119)),W119,IF(BV119="2+3",IF(ISNUMBER(SEARCH("grosser Artikel",BO119)),2,IFERROR(VLOOKUP(BR119,Parameter!$F$35:$G$64,2,0),2)),IF(OR(BV119="Nein",BV119=""),"-",BV119))))</f>
        <v>3</v>
      </c>
      <c r="AA119" s="62"/>
      <c r="AB119" s="63"/>
      <c r="AC119" s="57" t="n">
        <f aca="false">AR119</f>
        <v>850</v>
      </c>
      <c r="AD119" s="57" t="n">
        <f aca="false">MAX(AR119,H119)</f>
        <v>850</v>
      </c>
      <c r="AE119" s="64"/>
      <c r="AF119" s="57" t="n">
        <f aca="false">IF(LEFT(Cockpit!$C$5,1)="A",H119,IF(CA119=1,CB119,IF(LEFT(Cockpit!$C$5,1)="B",AJ119,MAX(AJ119,H119))))</f>
        <v>228</v>
      </c>
      <c r="AG119" s="57" t="n">
        <f aca="false">IF(BT119=1,0,ROUNDUP(AF119/BS119,0))</f>
        <v>1</v>
      </c>
      <c r="AH119" s="59" t="n">
        <f aca="false">IF(CH119&gt;0,CH119*MAX(1,AF119/X119),IF(BT119=1,IF(AF119&lt;=0,0,BW119*MAX(1,IF(H119&gt;0,AF119/H119,1))),IF(R119&gt;0,AG119/R119,0))/MAX(0.1,N(Parameter!$M$21)))</f>
        <v>0.0384615384615385</v>
      </c>
      <c r="AI119" s="57" t="n">
        <f aca="false">AF119*G119</f>
        <v>9489.36</v>
      </c>
      <c r="AJ119" s="57" t="n">
        <f aca="false">ROUNDUP(MAX(J119/IF(BZ119&gt;0,BZ119,MAX(0.1,N(Cockpit!$C$6))),CC119)/BS119,0)*BS119</f>
        <v>850</v>
      </c>
      <c r="AK119" s="58" t="n">
        <f aca="false">IF(AH119&gt;0,J119/AH119,-1)</f>
        <v>34320</v>
      </c>
      <c r="AL119" s="58" t="n">
        <f aca="false">IF(AND(OR(BY119="L1",BY119="L23"),AH119&gt;0),SUMIFS($AH$7:$AH$1843,$BY$7:$BY$1843,BY119,$AK$7:$AK$1843,"&gt;"&amp;AK119)+SUMIFS($AH$7:$AH$1843,$BY$7:$BY$1843,BY119,$AK$7:$AK$1843,AK119,$BQ$7:$BQ$1843,"&lt;="&amp;BQ119),"")</f>
        <v>2.18354109658457</v>
      </c>
      <c r="AM119" s="65" t="n">
        <f aca="false">IF(AL119="",0,MAX(0,MIN(1,(IF(BY119="L1",Parameter!$E$5,Parameter!$E$6+Parameter!$E$7)-(AL119-AH119))/AH119)))</f>
        <v>1</v>
      </c>
      <c r="AN119" s="57" t="n">
        <f aca="false">IF(LEFT(Cockpit!$I$5,1)="A",H119,IF(CA119=1,CB119,IF(LEFT(Cockpit!$I$5,1)="B",AR119,MAX(AR119,H119))))</f>
        <v>850</v>
      </c>
      <c r="AO119" s="57" t="n">
        <f aca="false">IF(BT119=1,0,ROUNDUP(AN119/BS119,0))</f>
        <v>1</v>
      </c>
      <c r="AP119" s="59" t="n">
        <f aca="false">IF(CH119&gt;0,CH119*MAX(1,AN119/X119),IF(BT119=1,IF(AN119&lt;=0,0,BW119*MAX(1,IF(H119&gt;0,AN119/H119,1))),IF(R119&gt;0,AO119/R119,0))/MAX(0.1,N(Parameter!$M$21)))</f>
        <v>0.0384615384615385</v>
      </c>
      <c r="AQ119" s="57" t="n">
        <f aca="false">AN119*G119</f>
        <v>35377</v>
      </c>
      <c r="AR119" s="57" t="n">
        <f aca="false">ROUNDUP(MAX(J119/IF(BZ119&gt;0,BZ119,MAX(0.1,N(Cockpit!$I$6))),CC119)/BS119,0)*BS119</f>
        <v>850</v>
      </c>
      <c r="AS119" s="58" t="n">
        <f aca="false">IF(AP119&gt;0,J119/AP119,-1)</f>
        <v>34320</v>
      </c>
      <c r="AT119" s="58" t="n">
        <f aca="false">IF(AND(OR(BY119="L1",BY119="L23"),AP119&gt;0),SUMIFS($AP$7:$AP$1843,$BY$7:$BY$1843,BY119,$AS$7:$AS$1843,"&gt;"&amp;AS119)+SUMIFS($AP$7:$AP$1843,$BY$7:$BY$1843,BY119,$AS$7:$AS$1843,AS119,$BQ$7:$BQ$1843,"&lt;="&amp;BQ119),"")</f>
        <v>2.74597986554508</v>
      </c>
      <c r="AU119" s="65" t="n">
        <f aca="false">IF(AT119="",0,MAX(0,MIN(1,(IF(BY119="L1",Parameter!$E$5,Parameter!$E$6+Parameter!$E$7)-(AT119-AP119))/AP119)))</f>
        <v>1</v>
      </c>
      <c r="AV119" s="57" t="n">
        <f aca="false">IF(LEFT(Cockpit!$O$5,1)="A",H119,IF(CA119=1,CB119,IF(LEFT(Cockpit!$O$5,1)="B",AZ119,MAX(AZ119,H119))))</f>
        <v>850</v>
      </c>
      <c r="AW119" s="57" t="n">
        <f aca="false">IF(BT119=1,0,ROUNDUP(AV119/BS119,0))</f>
        <v>1</v>
      </c>
      <c r="AX119" s="59" t="n">
        <f aca="false">IF(CH119&gt;0,CH119*MAX(1,AV119/X119),IF(BT119=1,IF(AV119&lt;=0,0,BW119*MAX(1,IF(H119&gt;0,AV119/H119,1))),IF(R119&gt;0,AW119/R119,0))/MAX(0.1,N(Parameter!$M$21)))</f>
        <v>0.0384615384615385</v>
      </c>
      <c r="AY119" s="57" t="n">
        <f aca="false">AV119*G119</f>
        <v>35377</v>
      </c>
      <c r="AZ119" s="57" t="n">
        <f aca="false">ROUNDUP(MAX(J119/IF(BZ119&gt;0,BZ119,MAX(0.1,N(Cockpit!$O$6))),CC119)/BS119,0)*BS119</f>
        <v>850</v>
      </c>
      <c r="BA119" s="58" t="n">
        <f aca="false">IF(AX119&gt;0,J119/AX119,-1)</f>
        <v>34320</v>
      </c>
      <c r="BB119" s="58" t="n">
        <f aca="false">IF(AND(OR(BY119="L1",BY119="L23"),AX119&gt;0),SUMIFS($AX$7:$AX$1843,$BY$7:$BY$1843,BY119,$BA$7:$BA$1843,"&gt;"&amp;BA119)+SUMIFS($AX$7:$AX$1843,$BY$7:$BY$1843,BY119,$BA$7:$BA$1843,BA119,$BQ$7:$BQ$1843,"&lt;="&amp;BQ119),"")</f>
        <v>2.51404513361035</v>
      </c>
      <c r="BC119" s="65" t="n">
        <f aca="false">IF(BB119="",0,MAX(0,MIN(1,(IF(BY119="L1",Parameter!$E$5,Parameter!$E$6+Parameter!$E$7)-(BB119-AX119))/AX119)))</f>
        <v>1</v>
      </c>
      <c r="BD119" s="55" t="str">
        <f aca="false">IF(AH119&lt;=0,"",IF(BY119="Aussen","Aussenlager",IF(BY119="-","Nicht im Lift",IF(AM119&gt;=1,"Lift",IF(AM119&lt;=0,"Aussenlager","teilweise")))))</f>
        <v>Lift</v>
      </c>
      <c r="BE119" s="55" t="str">
        <f aca="false">IF(AP119&lt;=0,"",IF(BY119="Aussen","Aussenlager",IF(BY119="-","Nicht im Lift",IF(AU119&gt;=1,"Lift",IF(AU119&lt;=0,"Aussenlager","teilweise")))))</f>
        <v>Lift</v>
      </c>
      <c r="BF119" s="55" t="str">
        <f aca="false">IF(AX119&lt;=0,"",IF(BY119="Aussen","Aussenlager",IF(BY119="-","Nicht im Lift",IF(BC119&gt;=1,"Lift",IF(BC119&lt;=0,"Aussenlager","teilweise")))))</f>
        <v>Lift</v>
      </c>
      <c r="BG119" s="55" t="str">
        <f aca="false">IF(A119="","",IF(BP119=1,"Neu; ","")&amp;IF(AND(BP119=0,BK119&lt;0),"negativer Bestand (Export "&amp;BK119&amp;"); ","")&amp;IF(J119&lt;=0,"Kein Verbrauch; ","")&amp;IF(CH119&gt;0,"Lift "&amp;W119&amp;" lt. Liftbericht (Fach "&amp;X119&amp;" Stk); ",IF(BU119=1,"Gebinde geschätzt ("&amp;T119&amp;"); ",IF(BT119=1,"Lose – Tablare geschätzt; ","")))&amp;IF(H119&gt;AR119,"Überbestand "&amp;ROUND(H119-AR119,0)&amp;" Stk / CHF "&amp;ROUND((H119-AR119)*G119,0)&amp;"; ","")&amp;IF(AND(CA119=1,CB119&lt;CC119),"MAX &lt; MB+LG; ","")&amp;IF(AND(CG119&gt;0,CF119*10&gt;CG119),"zu hoch für Tablar; ","")&amp;IF(AND(BP119=0,OR(CA119=1,AA119&lt;&gt;"",U119&lt;&gt;"",V119&lt;&gt;"",AB119&lt;&gt;"")),"manuell übersteuert; ","")&amp;IF(AND(BT119=0,R119=0),"Gebinde unbekannt / Stellmass fehlt; ","")&amp;IF(AND(BT119=0,N(V119)&lt;=0,N(Q119)&lt;=0),"Menge pro Gebinde fehlt (Ist = 1 Gebinde); ","")&amp;BO119)</f>
        <v/>
      </c>
      <c r="BH119" s="55"/>
      <c r="BI119" s="55"/>
      <c r="BJ119" s="62"/>
      <c r="BK119" s="57" t="n">
        <v>45</v>
      </c>
      <c r="BL119" s="57" t="n">
        <v>183</v>
      </c>
      <c r="BM119" s="56" t="n">
        <v>1852.62</v>
      </c>
      <c r="BN119" s="57" t="n">
        <v>1320</v>
      </c>
      <c r="BO119" s="55"/>
      <c r="BP119" s="60" t="n">
        <v>0</v>
      </c>
      <c r="BQ119" s="60" t="n">
        <v>119</v>
      </c>
      <c r="BR119" s="55" t="str">
        <f aca="false">IF(U119&lt;&gt;"",UPPER(TRIM(U119)),IF(BU119=1,UPPER(VLOOKUP(T119,Parameter!$I$27:$K$29,2,0)),IF(P119="","LOSE",P119)))</f>
        <v>S52</v>
      </c>
      <c r="BS119" s="57" t="n">
        <f aca="false">IF(BR119="LOSE",1,IF(N(V119)&gt;0,V119,IF(BU119=1,MAX(1,N(VLOOKUP(T119,Parameter!$I$27:$K$29,3,0)),H119,N(N119)),IF(N(Q119)&gt;0,Q119,MAX(1,H119)))))</f>
        <v>850</v>
      </c>
      <c r="BT119" s="60" t="n">
        <f aca="false">IF(BR119="LOSE",1,0)</f>
        <v>0</v>
      </c>
      <c r="BU119" s="60" t="n">
        <f aca="false">IF(AND(U119="",OR(P119="",P119="LOSE"),T119&lt;&gt;"",N(S119)&lt;=0,ISNUMBER(MATCH(T119,Parameter!$I$27:$I$29,0))),1,0)</f>
        <v>0</v>
      </c>
      <c r="BV119" s="55" t="str">
        <f aca="false">IF(AND(Parameter!$B$19="Ja",E119&lt;&gt;"",ISNUMBER(MATCH(E119,Parameter!$I$35:$I$52,0))),VLOOKUP(E119,Parameter!$I$35:$J$52,2,0),IFERROR(VLOOKUP(D119,Parameter!$A$35:$C$64,2,0),"Nein"))</f>
        <v>2+3</v>
      </c>
      <c r="BW119" s="59" t="n">
        <f aca="false">IF(BT119=0,0,IF(N(S119)&gt;0,S119,IFERROR(VLOOKUP(D119,Parameter!$A$35:$C$64,3,0)+0,0)))</f>
        <v>0</v>
      </c>
      <c r="BX119" s="55" t="n">
        <f aca="false">IF(AA119&lt;&gt;"",AA119,Z119)</f>
        <v>3</v>
      </c>
      <c r="BY119" s="55" t="str">
        <f aca="false">IF(BX119=1,"L1",IF(OR(BX119=2,BX119=3),"L23",IF(BX119="Aussen","Aussen","-")))</f>
        <v>L23</v>
      </c>
      <c r="BZ119" s="66" t="n">
        <f aca="false">IF(N(AB119)&gt;0,AB119,0)</f>
        <v>0</v>
      </c>
      <c r="CA119" s="60" t="n">
        <f aca="false">IF(ISNUMBER(AE119),1,0)</f>
        <v>0</v>
      </c>
      <c r="CB119" s="57" t="n">
        <f aca="false">N(AE119)</f>
        <v>0</v>
      </c>
      <c r="CC119" s="57" t="n">
        <f aca="false">N(M119)+N(N119)</f>
        <v>277</v>
      </c>
      <c r="CD119" s="57" t="n">
        <f aca="false">ROUNDUP(H119/BS119,0)</f>
        <v>1</v>
      </c>
      <c r="CE119" s="57" t="n">
        <f aca="false">ROUNDUP(CB119/BS119,0)</f>
        <v>0</v>
      </c>
      <c r="CF119" s="60" t="n">
        <f aca="false">IF(BT119=1,0,IFERROR(VLOOKUP(BR119,'Gebinde-Kategorie'!$A$5:$M$45,5,0)+0,0))</f>
        <v>21</v>
      </c>
      <c r="CG119" s="60" t="n">
        <f aca="false">IFERROR(IF(OR(BX119=1,BX119=2,BX119=3),N(INDEX(Parameter!$I$5:$I$7,BX119)),0),0)</f>
        <v>0</v>
      </c>
      <c r="CH119" s="59" t="n">
        <f aca="false">IF(AND(Parameter!$B$21="Ja",ISNUMBER(W119),N(X119)&gt;0),IFERROR(N(INDEX(Parameter!$L$5:$L$7,W119))*INDEX(Parameter!$E$5:$E$7,W119)*X119/SUMIFS($X$7:$X$1843,$W$7:$W$1843,W119),0),0)</f>
        <v>0</v>
      </c>
    </row>
    <row r="120" customFormat="false" ht="15" hidden="false" customHeight="false" outlineLevel="0" collapsed="false">
      <c r="A120" s="55" t="s">
        <v>449</v>
      </c>
      <c r="B120" s="55" t="s">
        <v>450</v>
      </c>
      <c r="C120" s="55" t="s">
        <v>164</v>
      </c>
      <c r="D120" s="55" t="s">
        <v>173</v>
      </c>
      <c r="E120" s="55" t="s">
        <v>185</v>
      </c>
      <c r="F120" s="55" t="s">
        <v>218</v>
      </c>
      <c r="G120" s="56" t="n">
        <v>106.7</v>
      </c>
      <c r="H120" s="57" t="n">
        <f aca="false">MAX(0,IF(AND(Parameter!$B$21="Ja",ISNUMBER(Y120)),Y120,IF(Parameter!$B$20="Jahresanfang 2025 + Export",BL120+BK120,BK120)))</f>
        <v>113</v>
      </c>
      <c r="I120" s="57" t="n">
        <f aca="false">H120*G120</f>
        <v>12057.1</v>
      </c>
      <c r="J120" s="57" t="n">
        <f aca="false">BN120*Parameter!$B$18</f>
        <v>444</v>
      </c>
      <c r="K120" s="58" t="n">
        <v>83.5</v>
      </c>
      <c r="L120" s="59" t="n">
        <v>5.31736526946108</v>
      </c>
      <c r="M120" s="57" t="n">
        <v>25</v>
      </c>
      <c r="N120" s="57" t="n">
        <v>110</v>
      </c>
      <c r="O120" s="60" t="n">
        <v>21</v>
      </c>
      <c r="P120" s="55" t="s">
        <v>174</v>
      </c>
      <c r="Q120" s="57" t="n">
        <v>56</v>
      </c>
      <c r="R120" s="60" t="n">
        <f aca="false">IF(BT120=1,0,IFERROR(VLOOKUP(BR120,'Gebinde-Kategorie'!$A$5:$M$45,13,0)+0,0))</f>
        <v>6</v>
      </c>
      <c r="S120" s="61"/>
      <c r="T120" s="62"/>
      <c r="U120" s="62"/>
      <c r="V120" s="62"/>
      <c r="W120" s="55"/>
      <c r="X120" s="57"/>
      <c r="Y120" s="57"/>
      <c r="Z120" s="55" t="n">
        <f aca="false">IF(A120="","",IF(AND(Parameter!$B$21="Ja",ISNUMBER(W120)),W120,IF(BV120="2+3",IF(ISNUMBER(SEARCH("grosser Artikel",BO120)),2,IFERROR(VLOOKUP(BR120,Parameter!$F$35:$G$64,2,0),2)),IF(OR(BV120="Nein",BV120=""),"-",BV120))))</f>
        <v>2</v>
      </c>
      <c r="AA120" s="62"/>
      <c r="AB120" s="63"/>
      <c r="AC120" s="57" t="n">
        <f aca="false">AR120</f>
        <v>224</v>
      </c>
      <c r="AD120" s="57" t="n">
        <f aca="false">MAX(AR120,H120)</f>
        <v>224</v>
      </c>
      <c r="AE120" s="64"/>
      <c r="AF120" s="57" t="n">
        <f aca="false">IF(LEFT(Cockpit!$C$5,1)="A",H120,IF(CA120=1,CB120,IF(LEFT(Cockpit!$C$5,1)="B",AJ120,MAX(AJ120,H120))))</f>
        <v>113</v>
      </c>
      <c r="AG120" s="57" t="n">
        <f aca="false">IF(BT120=1,0,ROUNDUP(AF120/BS120,0))</f>
        <v>3</v>
      </c>
      <c r="AH120" s="59" t="n">
        <f aca="false">IF(CH120&gt;0,CH120*MAX(1,AF120/X120),IF(BT120=1,IF(AF120&lt;=0,0,BW120*MAX(1,IF(H120&gt;0,AF120/H120,1))),IF(R120&gt;0,AG120/R120,0))/MAX(0.1,N(Parameter!$M$21)))</f>
        <v>0.5</v>
      </c>
      <c r="AI120" s="57" t="n">
        <f aca="false">AF120*G120</f>
        <v>12057.1</v>
      </c>
      <c r="AJ120" s="57" t="n">
        <f aca="false">ROUNDUP(MAX(J120/IF(BZ120&gt;0,BZ120,MAX(0.1,N(Cockpit!$C$6))),CC120)/BS120,0)*BS120</f>
        <v>224</v>
      </c>
      <c r="AK120" s="58" t="n">
        <f aca="false">IF(AH120&gt;0,J120/AH120,-1)</f>
        <v>888</v>
      </c>
      <c r="AL120" s="58" t="n">
        <f aca="false">IF(AND(OR(BY120="L1",BY120="L23"),AH120&gt;0),SUMIFS($AH$7:$AH$1843,$BY$7:$BY$1843,BY120,$AK$7:$AK$1843,"&gt;"&amp;AK120)+SUMIFS($AH$7:$AH$1843,$BY$7:$BY$1843,BY120,$AK$7:$AK$1843,AK120,$BQ$7:$BQ$1843,"&lt;="&amp;BQ120),"")</f>
        <v>19.8469477382521</v>
      </c>
      <c r="AM120" s="65" t="n">
        <f aca="false">IF(AL120="",0,MAX(0,MIN(1,(IF(BY120="L1",Parameter!$E$5,Parameter!$E$6+Parameter!$E$7)-(AL120-AH120))/AH120)))</f>
        <v>1</v>
      </c>
      <c r="AN120" s="57" t="n">
        <f aca="false">IF(LEFT(Cockpit!$I$5,1)="A",H120,IF(CA120=1,CB120,IF(LEFT(Cockpit!$I$5,1)="B",AR120,MAX(AR120,H120))))</f>
        <v>224</v>
      </c>
      <c r="AO120" s="57" t="n">
        <f aca="false">IF(BT120=1,0,ROUNDUP(AN120/BS120,0))</f>
        <v>4</v>
      </c>
      <c r="AP120" s="59" t="n">
        <f aca="false">IF(CH120&gt;0,CH120*MAX(1,AN120/X120),IF(BT120=1,IF(AN120&lt;=0,0,BW120*MAX(1,IF(H120&gt;0,AN120/H120,1))),IF(R120&gt;0,AO120/R120,0))/MAX(0.1,N(Parameter!$M$21)))</f>
        <v>0.666666666666667</v>
      </c>
      <c r="AQ120" s="57" t="n">
        <f aca="false">AN120*G120</f>
        <v>23900.8</v>
      </c>
      <c r="AR120" s="57" t="n">
        <f aca="false">ROUNDUP(MAX(J120/IF(BZ120&gt;0,BZ120,MAX(0.1,N(Cockpit!$I$6))),CC120)/BS120,0)*BS120</f>
        <v>224</v>
      </c>
      <c r="AS120" s="58" t="n">
        <f aca="false">IF(AP120&gt;0,J120/AP120,-1)</f>
        <v>666</v>
      </c>
      <c r="AT120" s="58" t="n">
        <f aca="false">IF(AND(OR(BY120="L1",BY120="L23"),AP120&gt;0),SUMIFS($AP$7:$AP$1843,$BY$7:$BY$1843,BY120,$AS$7:$AS$1843,"&gt;"&amp;AS120)+SUMIFS($AP$7:$AP$1843,$BY$7:$BY$1843,BY120,$AS$7:$AS$1843,AS120,$BQ$7:$BQ$1843,"&lt;="&amp;BQ120),"")</f>
        <v>29.842843147191</v>
      </c>
      <c r="AU120" s="65" t="n">
        <f aca="false">IF(AT120="",0,MAX(0,MIN(1,(IF(BY120="L1",Parameter!$E$5,Parameter!$E$6+Parameter!$E$7)-(AT120-AP120))/AP120)))</f>
        <v>1</v>
      </c>
      <c r="AV120" s="57" t="n">
        <f aca="false">IF(LEFT(Cockpit!$O$5,1)="A",H120,IF(CA120=1,CB120,IF(LEFT(Cockpit!$O$5,1)="B",AZ120,MAX(AZ120,H120))))</f>
        <v>168</v>
      </c>
      <c r="AW120" s="57" t="n">
        <f aca="false">IF(BT120=1,0,ROUNDUP(AV120/BS120,0))</f>
        <v>3</v>
      </c>
      <c r="AX120" s="59" t="n">
        <f aca="false">IF(CH120&gt;0,CH120*MAX(1,AV120/X120),IF(BT120=1,IF(AV120&lt;=0,0,BW120*MAX(1,IF(H120&gt;0,AV120/H120,1))),IF(R120&gt;0,AW120/R120,0))/MAX(0.1,N(Parameter!$M$21)))</f>
        <v>0.5</v>
      </c>
      <c r="AY120" s="57" t="n">
        <f aca="false">AV120*G120</f>
        <v>17925.6</v>
      </c>
      <c r="AZ120" s="57" t="n">
        <f aca="false">ROUNDUP(MAX(J120/IF(BZ120&gt;0,BZ120,MAX(0.1,N(Cockpit!$O$6))),CC120)/BS120,0)*BS120</f>
        <v>168</v>
      </c>
      <c r="BA120" s="58" t="n">
        <f aca="false">IF(AX120&gt;0,J120/AX120,-1)</f>
        <v>888</v>
      </c>
      <c r="BB120" s="58" t="n">
        <f aca="false">IF(AND(OR(BY120="L1",BY120="L23"),AX120&gt;0),SUMIFS($AX$7:$AX$1843,$BY$7:$BY$1843,BY120,$BA$7:$BA$1843,"&gt;"&amp;BA120)+SUMIFS($AX$7:$AX$1843,$BY$7:$BY$1843,BY120,$BA$7:$BA$1843,BA120,$BQ$7:$BQ$1843,"&lt;="&amp;BQ120),"")</f>
        <v>25.0276679841897</v>
      </c>
      <c r="BC120" s="65" t="n">
        <f aca="false">IF(BB120="",0,MAX(0,MIN(1,(IF(BY120="L1",Parameter!$E$5,Parameter!$E$6+Parameter!$E$7)-(BB120-AX120))/AX120)))</f>
        <v>1</v>
      </c>
      <c r="BD120" s="55" t="str">
        <f aca="false">IF(AH120&lt;=0,"",IF(BY120="Aussen","Aussenlager",IF(BY120="-","Nicht im Lift",IF(AM120&gt;=1,"Lift",IF(AM120&lt;=0,"Aussenlager","teilweise")))))</f>
        <v>Lift</v>
      </c>
      <c r="BE120" s="55" t="str">
        <f aca="false">IF(AP120&lt;=0,"",IF(BY120="Aussen","Aussenlager",IF(BY120="-","Nicht im Lift",IF(AU120&gt;=1,"Lift",IF(AU120&lt;=0,"Aussenlager","teilweise")))))</f>
        <v>Lift</v>
      </c>
      <c r="BF120" s="55" t="str">
        <f aca="false">IF(AX120&lt;=0,"",IF(BY120="Aussen","Aussenlager",IF(BY120="-","Nicht im Lift",IF(BC120&gt;=1,"Lift",IF(BC120&lt;=0,"Aussenlager","teilweise")))))</f>
        <v>Lift</v>
      </c>
      <c r="BG120" s="55" t="str">
        <f aca="false">IF(A120="","",IF(BP120=1,"Neu; ","")&amp;IF(AND(BP120=0,BK120&lt;0),"negativer Bestand (Export "&amp;BK120&amp;"); ","")&amp;IF(J120&lt;=0,"Kein Verbrauch; ","")&amp;IF(CH120&gt;0,"Lift "&amp;W120&amp;" lt. Liftbericht (Fach "&amp;X120&amp;" Stk); ",IF(BU120=1,"Gebinde geschätzt ("&amp;T120&amp;"); ",IF(BT120=1,"Lose – Tablare geschätzt; ","")))&amp;IF(H120&gt;AR120,"Überbestand "&amp;ROUND(H120-AR120,0)&amp;" Stk / CHF "&amp;ROUND((H120-AR120)*G120,0)&amp;"; ","")&amp;IF(AND(CA120=1,CB120&lt;CC120),"MAX &lt; MB+LG; ","")&amp;IF(AND(CG120&gt;0,CF120*10&gt;CG120),"zu hoch für Tablar; ","")&amp;IF(AND(BP120=0,OR(CA120=1,AA120&lt;&gt;"",U120&lt;&gt;"",V120&lt;&gt;"",AB120&lt;&gt;"")),"manuell übersteuert; ","")&amp;IF(AND(BT120=0,R120=0),"Gebinde unbekannt / Stellmass fehlt; ","")&amp;IF(AND(BT120=0,N(V120)&lt;=0,N(Q120)&lt;=0),"Menge pro Gebinde fehlt (Ist = 1 Gebinde); ","")&amp;BO120)</f>
        <v>grosser Artikel &amp; nicht im KTL</v>
      </c>
      <c r="BH120" s="55"/>
      <c r="BI120" s="55"/>
      <c r="BJ120" s="62"/>
      <c r="BK120" s="57" t="n">
        <v>20</v>
      </c>
      <c r="BL120" s="57" t="n">
        <v>93</v>
      </c>
      <c r="BM120" s="56" t="n">
        <v>1844.19999999997</v>
      </c>
      <c r="BN120" s="57" t="n">
        <v>444</v>
      </c>
      <c r="BO120" s="55" t="s">
        <v>261</v>
      </c>
      <c r="BP120" s="60" t="n">
        <v>0</v>
      </c>
      <c r="BQ120" s="60" t="n">
        <v>120</v>
      </c>
      <c r="BR120" s="55" t="str">
        <f aca="false">IF(U120&lt;&gt;"",UPPER(TRIM(U120)),IF(BU120=1,UPPER(VLOOKUP(T120,Parameter!$I$27:$K$29,2,0)),IF(P120="","LOSE",P120)))</f>
        <v>S71</v>
      </c>
      <c r="BS120" s="57" t="n">
        <f aca="false">IF(BR120="LOSE",1,IF(N(V120)&gt;0,V120,IF(BU120=1,MAX(1,N(VLOOKUP(T120,Parameter!$I$27:$K$29,3,0)),H120,N(N120)),IF(N(Q120)&gt;0,Q120,MAX(1,H120)))))</f>
        <v>56</v>
      </c>
      <c r="BT120" s="60" t="n">
        <f aca="false">IF(BR120="LOSE",1,0)</f>
        <v>0</v>
      </c>
      <c r="BU120" s="60" t="n">
        <f aca="false">IF(AND(U120="",OR(P120="",P120="LOSE"),T120&lt;&gt;"",N(S120)&lt;=0,ISNUMBER(MATCH(T120,Parameter!$I$27:$I$29,0))),1,0)</f>
        <v>0</v>
      </c>
      <c r="BV120" s="55" t="str">
        <f aca="false">IF(AND(Parameter!$B$19="Ja",E120&lt;&gt;"",ISNUMBER(MATCH(E120,Parameter!$I$35:$I$52,0))),VLOOKUP(E120,Parameter!$I$35:$J$52,2,0),IFERROR(VLOOKUP(D120,Parameter!$A$35:$C$64,2,0),"Nein"))</f>
        <v>2+3</v>
      </c>
      <c r="BW120" s="59" t="n">
        <f aca="false">IF(BT120=0,0,IF(N(S120)&gt;0,S120,IFERROR(VLOOKUP(D120,Parameter!$A$35:$C$64,3,0)+0,0)))</f>
        <v>0</v>
      </c>
      <c r="BX120" s="55" t="n">
        <f aca="false">IF(AA120&lt;&gt;"",AA120,Z120)</f>
        <v>2</v>
      </c>
      <c r="BY120" s="55" t="str">
        <f aca="false">IF(BX120=1,"L1",IF(OR(BX120=2,BX120=3),"L23",IF(BX120="Aussen","Aussen","-")))</f>
        <v>L23</v>
      </c>
      <c r="BZ120" s="66" t="n">
        <f aca="false">IF(N(AB120)&gt;0,AB120,0)</f>
        <v>0</v>
      </c>
      <c r="CA120" s="60" t="n">
        <f aca="false">IF(ISNUMBER(AE120),1,0)</f>
        <v>0</v>
      </c>
      <c r="CB120" s="57" t="n">
        <f aca="false">N(AE120)</f>
        <v>0</v>
      </c>
      <c r="CC120" s="57" t="n">
        <f aca="false">N(M120)+N(N120)</f>
        <v>135</v>
      </c>
      <c r="CD120" s="57" t="n">
        <f aca="false">ROUNDUP(H120/BS120,0)</f>
        <v>3</v>
      </c>
      <c r="CE120" s="57" t="n">
        <f aca="false">ROUNDUP(CB120/BS120,0)</f>
        <v>0</v>
      </c>
      <c r="CF120" s="60" t="n">
        <f aca="false">IF(BT120=1,0,IFERROR(VLOOKUP(BR120,'Gebinde-Kategorie'!$A$5:$M$45,5,0)+0,0))</f>
        <v>20</v>
      </c>
      <c r="CG120" s="60" t="n">
        <f aca="false">IFERROR(IF(OR(BX120=1,BX120=2,BX120=3),N(INDEX(Parameter!$I$5:$I$7,BX120)),0),0)</f>
        <v>0</v>
      </c>
      <c r="CH120" s="59" t="n">
        <f aca="false">IF(AND(Parameter!$B$21="Ja",ISNUMBER(W120),N(X120)&gt;0),IFERROR(N(INDEX(Parameter!$L$5:$L$7,W120))*INDEX(Parameter!$E$5:$E$7,W120)*X120/SUMIFS($X$7:$X$1843,$W$7:$W$1843,W120),0),0)</f>
        <v>0</v>
      </c>
    </row>
    <row r="121" customFormat="false" ht="15" hidden="false" customHeight="false" outlineLevel="0" collapsed="false">
      <c r="A121" s="55" t="s">
        <v>451</v>
      </c>
      <c r="B121" s="55" t="s">
        <v>452</v>
      </c>
      <c r="C121" s="55" t="s">
        <v>164</v>
      </c>
      <c r="D121" s="55" t="s">
        <v>184</v>
      </c>
      <c r="E121" s="55" t="s">
        <v>185</v>
      </c>
      <c r="F121" s="55" t="s">
        <v>218</v>
      </c>
      <c r="G121" s="56" t="n">
        <v>59.19</v>
      </c>
      <c r="H121" s="57" t="n">
        <f aca="false">MAX(0,IF(AND(Parameter!$B$21="Ja",ISNUMBER(Y121)),Y121,IF(Parameter!$B$20="Jahresanfang 2025 + Export",BL121+BK121,BK121)))</f>
        <v>59</v>
      </c>
      <c r="I121" s="57" t="n">
        <f aca="false">H121*G121</f>
        <v>3492.21</v>
      </c>
      <c r="J121" s="57" t="n">
        <f aca="false">BN121*Parameter!$B$18</f>
        <v>59</v>
      </c>
      <c r="K121" s="58" t="n">
        <v>52</v>
      </c>
      <c r="L121" s="59" t="n">
        <v>1.13461538461539</v>
      </c>
      <c r="M121" s="57" t="n">
        <v>5</v>
      </c>
      <c r="N121" s="57" t="n">
        <v>50</v>
      </c>
      <c r="O121" s="60" t="n">
        <v>28</v>
      </c>
      <c r="P121" s="55" t="s">
        <v>233</v>
      </c>
      <c r="Q121" s="57" t="n">
        <v>12</v>
      </c>
      <c r="R121" s="60" t="n">
        <f aca="false">IF(BT121=1,0,IFERROR(VLOOKUP(BR121,'Gebinde-Kategorie'!$A$5:$M$45,13,0)+0,0))</f>
        <v>26</v>
      </c>
      <c r="S121" s="61"/>
      <c r="T121" s="62"/>
      <c r="U121" s="62"/>
      <c r="V121" s="62"/>
      <c r="W121" s="55"/>
      <c r="X121" s="57"/>
      <c r="Y121" s="57"/>
      <c r="Z121" s="55" t="n">
        <f aca="false">IF(A121="","",IF(AND(Parameter!$B$21="Ja",ISNUMBER(W121)),W121,IF(BV121="2+3",IF(ISNUMBER(SEARCH("grosser Artikel",BO121)),2,IFERROR(VLOOKUP(BR121,Parameter!$F$35:$G$64,2,0),2)),IF(OR(BV121="Nein",BV121=""),"-",BV121))))</f>
        <v>3</v>
      </c>
      <c r="AA121" s="62"/>
      <c r="AB121" s="63"/>
      <c r="AC121" s="57" t="n">
        <f aca="false">AR121</f>
        <v>60</v>
      </c>
      <c r="AD121" s="57" t="n">
        <f aca="false">MAX(AR121,H121)</f>
        <v>60</v>
      </c>
      <c r="AE121" s="64"/>
      <c r="AF121" s="57" t="n">
        <f aca="false">IF(LEFT(Cockpit!$C$5,1)="A",H121,IF(CA121=1,CB121,IF(LEFT(Cockpit!$C$5,1)="B",AJ121,MAX(AJ121,H121))))</f>
        <v>59</v>
      </c>
      <c r="AG121" s="57" t="n">
        <f aca="false">IF(BT121=1,0,ROUNDUP(AF121/BS121,0))</f>
        <v>5</v>
      </c>
      <c r="AH121" s="59" t="n">
        <f aca="false">IF(CH121&gt;0,CH121*MAX(1,AF121/X121),IF(BT121=1,IF(AF121&lt;=0,0,BW121*MAX(1,IF(H121&gt;0,AF121/H121,1))),IF(R121&gt;0,AG121/R121,0))/MAX(0.1,N(Parameter!$M$21)))</f>
        <v>0.192307692307692</v>
      </c>
      <c r="AI121" s="57" t="n">
        <f aca="false">AF121*G121</f>
        <v>3492.21</v>
      </c>
      <c r="AJ121" s="57" t="n">
        <f aca="false">ROUNDUP(MAX(J121/IF(BZ121&gt;0,BZ121,MAX(0.1,N(Cockpit!$C$6))),CC121)/BS121,0)*BS121</f>
        <v>60</v>
      </c>
      <c r="AK121" s="58" t="n">
        <f aca="false">IF(AH121&gt;0,J121/AH121,-1)</f>
        <v>306.8</v>
      </c>
      <c r="AL121" s="58" t="n">
        <f aca="false">IF(AND(OR(BY121="L1",BY121="L23"),AH121&gt;0),SUMIFS($AH$7:$AH$1843,$BY$7:$BY$1843,BY121,$AK$7:$AK$1843,"&gt;"&amp;AK121)+SUMIFS($AH$7:$AH$1843,$BY$7:$BY$1843,BY121,$AK$7:$AK$1843,AK121,$BQ$7:$BQ$1843,"&lt;="&amp;BQ121),"")</f>
        <v>28.3823772845512</v>
      </c>
      <c r="AM121" s="65" t="n">
        <f aca="false">IF(AL121="",0,MAX(0,MIN(1,(IF(BY121="L1",Parameter!$E$5,Parameter!$E$6+Parameter!$E$7)-(AL121-AH121))/AH121)))</f>
        <v>1</v>
      </c>
      <c r="AN121" s="57" t="n">
        <f aca="false">IF(LEFT(Cockpit!$I$5,1)="A",H121,IF(CA121=1,CB121,IF(LEFT(Cockpit!$I$5,1)="B",AR121,MAX(AR121,H121))))</f>
        <v>60</v>
      </c>
      <c r="AO121" s="57" t="n">
        <f aca="false">IF(BT121=1,0,ROUNDUP(AN121/BS121,0))</f>
        <v>5</v>
      </c>
      <c r="AP121" s="59" t="n">
        <f aca="false">IF(CH121&gt;0,CH121*MAX(1,AN121/X121),IF(BT121=1,IF(AN121&lt;=0,0,BW121*MAX(1,IF(H121&gt;0,AN121/H121,1))),IF(R121&gt;0,AO121/R121,0))/MAX(0.1,N(Parameter!$M$21)))</f>
        <v>0.192307692307692</v>
      </c>
      <c r="AQ121" s="57" t="n">
        <f aca="false">AN121*G121</f>
        <v>3551.4</v>
      </c>
      <c r="AR121" s="57" t="n">
        <f aca="false">ROUNDUP(MAX(J121/IF(BZ121&gt;0,BZ121,MAX(0.1,N(Cockpit!$I$6))),CC121)/BS121,0)*BS121</f>
        <v>60</v>
      </c>
      <c r="AS121" s="58" t="n">
        <f aca="false">IF(AP121&gt;0,J121/AP121,-1)</f>
        <v>306.8</v>
      </c>
      <c r="AT121" s="58" t="n">
        <f aca="false">IF(AND(OR(BY121="L1",BY121="L23"),AP121&gt;0),SUMIFS($AP$7:$AP$1843,$BY$7:$BY$1843,BY121,$AS$7:$AS$1843,"&gt;"&amp;AS121)+SUMIFS($AP$7:$AP$1843,$BY$7:$BY$1843,BY121,$AS$7:$AS$1843,AS121,$BQ$7:$BQ$1843,"&lt;="&amp;BQ121),"")</f>
        <v>41.1829583460018</v>
      </c>
      <c r="AU121" s="65" t="n">
        <f aca="false">IF(AT121="",0,MAX(0,MIN(1,(IF(BY121="L1",Parameter!$E$5,Parameter!$E$6+Parameter!$E$7)-(AT121-AP121))/AP121)))</f>
        <v>1</v>
      </c>
      <c r="AV121" s="57" t="n">
        <f aca="false">IF(LEFT(Cockpit!$O$5,1)="A",H121,IF(CA121=1,CB121,IF(LEFT(Cockpit!$O$5,1)="B",AZ121,MAX(AZ121,H121))))</f>
        <v>60</v>
      </c>
      <c r="AW121" s="57" t="n">
        <f aca="false">IF(BT121=1,0,ROUNDUP(AV121/BS121,0))</f>
        <v>5</v>
      </c>
      <c r="AX121" s="59" t="n">
        <f aca="false">IF(CH121&gt;0,CH121*MAX(1,AV121/X121),IF(BT121=1,IF(AV121&lt;=0,0,BW121*MAX(1,IF(H121&gt;0,AV121/H121,1))),IF(R121&gt;0,AW121/R121,0))/MAX(0.1,N(Parameter!$M$21)))</f>
        <v>0.192307692307692</v>
      </c>
      <c r="AY121" s="57" t="n">
        <f aca="false">AV121*G121</f>
        <v>3551.4</v>
      </c>
      <c r="AZ121" s="57" t="n">
        <f aca="false">ROUNDUP(MAX(J121/IF(BZ121&gt;0,BZ121,MAX(0.1,N(Cockpit!$O$6))),CC121)/BS121,0)*BS121</f>
        <v>60</v>
      </c>
      <c r="BA121" s="58" t="n">
        <f aca="false">IF(AX121&gt;0,J121/AX121,-1)</f>
        <v>306.8</v>
      </c>
      <c r="BB121" s="58" t="n">
        <f aca="false">IF(AND(OR(BY121="L1",BY121="L23"),AX121&gt;0),SUMIFS($AX$7:$AX$1843,$BY$7:$BY$1843,BY121,$BA$7:$BA$1843,"&gt;"&amp;BA121)+SUMIFS($AX$7:$AX$1843,$BY$7:$BY$1843,BY121,$BA$7:$BA$1843,BA121,$BQ$7:$BQ$1843,"&lt;="&amp;BQ121),"")</f>
        <v>37.5127951758387</v>
      </c>
      <c r="BC121" s="65" t="n">
        <f aca="false">IF(BB121="",0,MAX(0,MIN(1,(IF(BY121="L1",Parameter!$E$5,Parameter!$E$6+Parameter!$E$7)-(BB121-AX121))/AX121)))</f>
        <v>1</v>
      </c>
      <c r="BD121" s="55" t="str">
        <f aca="false">IF(AH121&lt;=0,"",IF(BY121="Aussen","Aussenlager",IF(BY121="-","Nicht im Lift",IF(AM121&gt;=1,"Lift",IF(AM121&lt;=0,"Aussenlager","teilweise")))))</f>
        <v>Lift</v>
      </c>
      <c r="BE121" s="55" t="str">
        <f aca="false">IF(AP121&lt;=0,"",IF(BY121="Aussen","Aussenlager",IF(BY121="-","Nicht im Lift",IF(AU121&gt;=1,"Lift",IF(AU121&lt;=0,"Aussenlager","teilweise")))))</f>
        <v>Lift</v>
      </c>
      <c r="BF121" s="55" t="str">
        <f aca="false">IF(AX121&lt;=0,"",IF(BY121="Aussen","Aussenlager",IF(BY121="-","Nicht im Lift",IF(BC121&gt;=1,"Lift",IF(BC121&lt;=0,"Aussenlager","teilweise")))))</f>
        <v>Lift</v>
      </c>
      <c r="BG121" s="55" t="str">
        <f aca="false">IF(A121="","",IF(BP121=1,"Neu; ","")&amp;IF(AND(BP121=0,BK121&lt;0),"negativer Bestand (Export "&amp;BK121&amp;"); ","")&amp;IF(J121&lt;=0,"Kein Verbrauch; ","")&amp;IF(CH121&gt;0,"Lift "&amp;W121&amp;" lt. Liftbericht (Fach "&amp;X121&amp;" Stk); ",IF(BU121=1,"Gebinde geschätzt ("&amp;T121&amp;"); ",IF(BT121=1,"Lose – Tablare geschätzt; ","")))&amp;IF(H121&gt;AR121,"Überbestand "&amp;ROUND(H121-AR121,0)&amp;" Stk / CHF "&amp;ROUND((H121-AR121)*G121,0)&amp;"; ","")&amp;IF(AND(CA121=1,CB121&lt;CC121),"MAX &lt; MB+LG; ","")&amp;IF(AND(CG121&gt;0,CF121*10&gt;CG121),"zu hoch für Tablar; ","")&amp;IF(AND(BP121=0,OR(CA121=1,AA121&lt;&gt;"",U121&lt;&gt;"",V121&lt;&gt;"",AB121&lt;&gt;"")),"manuell übersteuert; ","")&amp;IF(AND(BT121=0,R121=0),"Gebinde unbekannt / Stellmass fehlt; ","")&amp;IF(AND(BT121=0,N(V121)&lt;=0,N(Q121)&lt;=0),"Menge pro Gebinde fehlt (Ist = 1 Gebinde); ","")&amp;BO121)</f>
        <v/>
      </c>
      <c r="BH121" s="55"/>
      <c r="BI121" s="55"/>
      <c r="BJ121" s="62"/>
      <c r="BK121" s="57" t="n">
        <v>31</v>
      </c>
      <c r="BL121" s="57" t="n">
        <v>28</v>
      </c>
      <c r="BM121" s="56" t="n">
        <v>1839.24</v>
      </c>
      <c r="BN121" s="57" t="n">
        <v>59</v>
      </c>
      <c r="BO121" s="55"/>
      <c r="BP121" s="60" t="n">
        <v>0</v>
      </c>
      <c r="BQ121" s="60" t="n">
        <v>121</v>
      </c>
      <c r="BR121" s="55" t="str">
        <f aca="false">IF(U121&lt;&gt;"",UPPER(TRIM(U121)),IF(BU121=1,UPPER(VLOOKUP(T121,Parameter!$I$27:$K$29,2,0)),IF(P121="","LOSE",P121)))</f>
        <v>S52</v>
      </c>
      <c r="BS121" s="57" t="n">
        <f aca="false">IF(BR121="LOSE",1,IF(N(V121)&gt;0,V121,IF(BU121=1,MAX(1,N(VLOOKUP(T121,Parameter!$I$27:$K$29,3,0)),H121,N(N121)),IF(N(Q121)&gt;0,Q121,MAX(1,H121)))))</f>
        <v>12</v>
      </c>
      <c r="BT121" s="60" t="n">
        <f aca="false">IF(BR121="LOSE",1,0)</f>
        <v>0</v>
      </c>
      <c r="BU121" s="60" t="n">
        <f aca="false">IF(AND(U121="",OR(P121="",P121="LOSE"),T121&lt;&gt;"",N(S121)&lt;=0,ISNUMBER(MATCH(T121,Parameter!$I$27:$I$29,0))),1,0)</f>
        <v>0</v>
      </c>
      <c r="BV121" s="55" t="str">
        <f aca="false">IF(AND(Parameter!$B$19="Ja",E121&lt;&gt;"",ISNUMBER(MATCH(E121,Parameter!$I$35:$I$52,0))),VLOOKUP(E121,Parameter!$I$35:$J$52,2,0),IFERROR(VLOOKUP(D121,Parameter!$A$35:$C$64,2,0),"Nein"))</f>
        <v>2+3</v>
      </c>
      <c r="BW121" s="59" t="n">
        <f aca="false">IF(BT121=0,0,IF(N(S121)&gt;0,S121,IFERROR(VLOOKUP(D121,Parameter!$A$35:$C$64,3,0)+0,0)))</f>
        <v>0</v>
      </c>
      <c r="BX121" s="55" t="n">
        <f aca="false">IF(AA121&lt;&gt;"",AA121,Z121)</f>
        <v>3</v>
      </c>
      <c r="BY121" s="55" t="str">
        <f aca="false">IF(BX121=1,"L1",IF(OR(BX121=2,BX121=3),"L23",IF(BX121="Aussen","Aussen","-")))</f>
        <v>L23</v>
      </c>
      <c r="BZ121" s="66" t="n">
        <f aca="false">IF(N(AB121)&gt;0,AB121,0)</f>
        <v>0</v>
      </c>
      <c r="CA121" s="60" t="n">
        <f aca="false">IF(ISNUMBER(AE121),1,0)</f>
        <v>0</v>
      </c>
      <c r="CB121" s="57" t="n">
        <f aca="false">N(AE121)</f>
        <v>0</v>
      </c>
      <c r="CC121" s="57" t="n">
        <f aca="false">N(M121)+N(N121)</f>
        <v>55</v>
      </c>
      <c r="CD121" s="57" t="n">
        <f aca="false">ROUNDUP(H121/BS121,0)</f>
        <v>5</v>
      </c>
      <c r="CE121" s="57" t="n">
        <f aca="false">ROUNDUP(CB121/BS121,0)</f>
        <v>0</v>
      </c>
      <c r="CF121" s="60" t="n">
        <f aca="false">IF(BT121=1,0,IFERROR(VLOOKUP(BR121,'Gebinde-Kategorie'!$A$5:$M$45,5,0)+0,0))</f>
        <v>21</v>
      </c>
      <c r="CG121" s="60" t="n">
        <f aca="false">IFERROR(IF(OR(BX121=1,BX121=2,BX121=3),N(INDEX(Parameter!$I$5:$I$7,BX121)),0),0)</f>
        <v>0</v>
      </c>
      <c r="CH121" s="59" t="n">
        <f aca="false">IF(AND(Parameter!$B$21="Ja",ISNUMBER(W121),N(X121)&gt;0),IFERROR(N(INDEX(Parameter!$L$5:$L$7,W121))*INDEX(Parameter!$E$5:$E$7,W121)*X121/SUMIFS($X$7:$X$1843,$W$7:$W$1843,W121),0),0)</f>
        <v>0</v>
      </c>
    </row>
    <row r="122" customFormat="false" ht="15" hidden="false" customHeight="false" outlineLevel="0" collapsed="false">
      <c r="A122" s="55" t="s">
        <v>453</v>
      </c>
      <c r="B122" s="55" t="s">
        <v>445</v>
      </c>
      <c r="C122" s="55" t="s">
        <v>164</v>
      </c>
      <c r="D122" s="55" t="s">
        <v>173</v>
      </c>
      <c r="E122" s="55" t="s">
        <v>173</v>
      </c>
      <c r="F122" s="55" t="s">
        <v>218</v>
      </c>
      <c r="G122" s="56" t="n">
        <v>255.71</v>
      </c>
      <c r="H122" s="57" t="n">
        <f aca="false">MAX(0,IF(AND(Parameter!$B$21="Ja",ISNUMBER(Y122)),Y122,IF(Parameter!$B$20="Jahresanfang 2025 + Export",BL122+BK122,BK122)))</f>
        <v>17</v>
      </c>
      <c r="I122" s="57" t="n">
        <f aca="false">H122*G122</f>
        <v>4347.07</v>
      </c>
      <c r="J122" s="57" t="n">
        <f aca="false">BN122*Parameter!$B$18</f>
        <v>50</v>
      </c>
      <c r="K122" s="58" t="n">
        <v>19</v>
      </c>
      <c r="L122" s="59" t="n">
        <v>2.63157894736842</v>
      </c>
      <c r="M122" s="57" t="n">
        <v>10</v>
      </c>
      <c r="N122" s="57" t="n">
        <v>20</v>
      </c>
      <c r="O122" s="60" t="n">
        <v>40</v>
      </c>
      <c r="P122" s="55" t="s">
        <v>348</v>
      </c>
      <c r="Q122" s="57" t="n">
        <v>35</v>
      </c>
      <c r="R122" s="60" t="n">
        <f aca="false">IF(BT122=1,0,IFERROR(VLOOKUP(BR122,'Gebinde-Kategorie'!$A$5:$M$45,13,0)+0,0))</f>
        <v>3</v>
      </c>
      <c r="S122" s="61"/>
      <c r="T122" s="62"/>
      <c r="U122" s="62"/>
      <c r="V122" s="62"/>
      <c r="W122" s="55"/>
      <c r="X122" s="57"/>
      <c r="Y122" s="57"/>
      <c r="Z122" s="55" t="str">
        <f aca="false">IF(A122="","",IF(AND(Parameter!$B$21="Ja",ISNUMBER(W122)),W122,IF(BV122="2+3",IF(ISNUMBER(SEARCH("grosser Artikel",BO122)),2,IFERROR(VLOOKUP(BR122,Parameter!$F$35:$G$64,2,0),2)),IF(OR(BV122="Nein",BV122=""),"-",BV122))))</f>
        <v>-</v>
      </c>
      <c r="AA122" s="62"/>
      <c r="AB122" s="63"/>
      <c r="AC122" s="57" t="n">
        <f aca="false">AR122</f>
        <v>35</v>
      </c>
      <c r="AD122" s="57" t="n">
        <f aca="false">MAX(AR122,H122)</f>
        <v>35</v>
      </c>
      <c r="AE122" s="64"/>
      <c r="AF122" s="57" t="n">
        <f aca="false">IF(LEFT(Cockpit!$C$5,1)="A",H122,IF(CA122=1,CB122,IF(LEFT(Cockpit!$C$5,1)="B",AJ122,MAX(AJ122,H122))))</f>
        <v>17</v>
      </c>
      <c r="AG122" s="57" t="n">
        <f aca="false">IF(BT122=1,0,ROUNDUP(AF122/BS122,0))</f>
        <v>1</v>
      </c>
      <c r="AH122" s="59" t="n">
        <f aca="false">IF(CH122&gt;0,CH122*MAX(1,AF122/X122),IF(BT122=1,IF(AF122&lt;=0,0,BW122*MAX(1,IF(H122&gt;0,AF122/H122,1))),IF(R122&gt;0,AG122/R122,0))/MAX(0.1,N(Parameter!$M$21)))</f>
        <v>0.333333333333333</v>
      </c>
      <c r="AI122" s="57" t="n">
        <f aca="false">AF122*G122</f>
        <v>4347.07</v>
      </c>
      <c r="AJ122" s="57" t="n">
        <f aca="false">ROUNDUP(MAX(J122/IF(BZ122&gt;0,BZ122,MAX(0.1,N(Cockpit!$C$6))),CC122)/BS122,0)*BS122</f>
        <v>35</v>
      </c>
      <c r="AK122" s="58" t="n">
        <f aca="false">IF(AH122&gt;0,J122/AH122,-1)</f>
        <v>150</v>
      </c>
      <c r="AL122" s="58" t="str">
        <f aca="false">IF(AND(OR(BY122="L1",BY122="L23"),AH122&gt;0),SUMIFS($AH$7:$AH$1843,$BY$7:$BY$1843,BY122,$AK$7:$AK$1843,"&gt;"&amp;AK122)+SUMIFS($AH$7:$AH$1843,$BY$7:$BY$1843,BY122,$AK$7:$AK$1843,AK122,$BQ$7:$BQ$1843,"&lt;="&amp;BQ122),"")</f>
        <v/>
      </c>
      <c r="AM122" s="65" t="n">
        <f aca="false">IF(AL122="",0,MAX(0,MIN(1,(IF(BY122="L1",Parameter!$E$5,Parameter!$E$6+Parameter!$E$7)-(AL122-AH122))/AH122)))</f>
        <v>0</v>
      </c>
      <c r="AN122" s="57" t="n">
        <f aca="false">IF(LEFT(Cockpit!$I$5,1)="A",H122,IF(CA122=1,CB122,IF(LEFT(Cockpit!$I$5,1)="B",AR122,MAX(AR122,H122))))</f>
        <v>35</v>
      </c>
      <c r="AO122" s="57" t="n">
        <f aca="false">IF(BT122=1,0,ROUNDUP(AN122/BS122,0))</f>
        <v>1</v>
      </c>
      <c r="AP122" s="59" t="n">
        <f aca="false">IF(CH122&gt;0,CH122*MAX(1,AN122/X122),IF(BT122=1,IF(AN122&lt;=0,0,BW122*MAX(1,IF(H122&gt;0,AN122/H122,1))),IF(R122&gt;0,AO122/R122,0))/MAX(0.1,N(Parameter!$M$21)))</f>
        <v>0.333333333333333</v>
      </c>
      <c r="AQ122" s="57" t="n">
        <f aca="false">AN122*G122</f>
        <v>8949.85</v>
      </c>
      <c r="AR122" s="57" t="n">
        <f aca="false">ROUNDUP(MAX(J122/IF(BZ122&gt;0,BZ122,MAX(0.1,N(Cockpit!$I$6))),CC122)/BS122,0)*BS122</f>
        <v>35</v>
      </c>
      <c r="AS122" s="58" t="n">
        <f aca="false">IF(AP122&gt;0,J122/AP122,-1)</f>
        <v>150</v>
      </c>
      <c r="AT122" s="58" t="str">
        <f aca="false">IF(AND(OR(BY122="L1",BY122="L23"),AP122&gt;0),SUMIFS($AP$7:$AP$1843,$BY$7:$BY$1843,BY122,$AS$7:$AS$1843,"&gt;"&amp;AS122)+SUMIFS($AP$7:$AP$1843,$BY$7:$BY$1843,BY122,$AS$7:$AS$1843,AS122,$BQ$7:$BQ$1843,"&lt;="&amp;BQ122),"")</f>
        <v/>
      </c>
      <c r="AU122" s="65" t="n">
        <f aca="false">IF(AT122="",0,MAX(0,MIN(1,(IF(BY122="L1",Parameter!$E$5,Parameter!$E$6+Parameter!$E$7)-(AT122-AP122))/AP122)))</f>
        <v>0</v>
      </c>
      <c r="AV122" s="57" t="n">
        <f aca="false">IF(LEFT(Cockpit!$O$5,1)="A",H122,IF(CA122=1,CB122,IF(LEFT(Cockpit!$O$5,1)="B",AZ122,MAX(AZ122,H122))))</f>
        <v>35</v>
      </c>
      <c r="AW122" s="57" t="n">
        <f aca="false">IF(BT122=1,0,ROUNDUP(AV122/BS122,0))</f>
        <v>1</v>
      </c>
      <c r="AX122" s="59" t="n">
        <f aca="false">IF(CH122&gt;0,CH122*MAX(1,AV122/X122),IF(BT122=1,IF(AV122&lt;=0,0,BW122*MAX(1,IF(H122&gt;0,AV122/H122,1))),IF(R122&gt;0,AW122/R122,0))/MAX(0.1,N(Parameter!$M$21)))</f>
        <v>0.333333333333333</v>
      </c>
      <c r="AY122" s="57" t="n">
        <f aca="false">AV122*G122</f>
        <v>8949.85</v>
      </c>
      <c r="AZ122" s="57" t="n">
        <f aca="false">ROUNDUP(MAX(J122/IF(BZ122&gt;0,BZ122,MAX(0.1,N(Cockpit!$O$6))),CC122)/BS122,0)*BS122</f>
        <v>35</v>
      </c>
      <c r="BA122" s="58" t="n">
        <f aca="false">IF(AX122&gt;0,J122/AX122,-1)</f>
        <v>150</v>
      </c>
      <c r="BB122" s="58" t="str">
        <f aca="false">IF(AND(OR(BY122="L1",BY122="L23"),AX122&gt;0),SUMIFS($AX$7:$AX$1843,$BY$7:$BY$1843,BY122,$BA$7:$BA$1843,"&gt;"&amp;BA122)+SUMIFS($AX$7:$AX$1843,$BY$7:$BY$1843,BY122,$BA$7:$BA$1843,BA122,$BQ$7:$BQ$1843,"&lt;="&amp;BQ122),"")</f>
        <v/>
      </c>
      <c r="BC122" s="65" t="n">
        <f aca="false">IF(BB122="",0,MAX(0,MIN(1,(IF(BY122="L1",Parameter!$E$5,Parameter!$E$6+Parameter!$E$7)-(BB122-AX122))/AX122)))</f>
        <v>0</v>
      </c>
      <c r="BD122" s="55" t="str">
        <f aca="false">IF(AH122&lt;=0,"",IF(BY122="Aussen","Aussenlager",IF(BY122="-","Nicht im Lift",IF(AM122&gt;=1,"Lift",IF(AM122&lt;=0,"Aussenlager","teilweise")))))</f>
        <v>Nicht im Lift</v>
      </c>
      <c r="BE122" s="55" t="str">
        <f aca="false">IF(AP122&lt;=0,"",IF(BY122="Aussen","Aussenlager",IF(BY122="-","Nicht im Lift",IF(AU122&gt;=1,"Lift",IF(AU122&lt;=0,"Aussenlager","teilweise")))))</f>
        <v>Nicht im Lift</v>
      </c>
      <c r="BF122" s="55" t="str">
        <f aca="false">IF(AX122&lt;=0,"",IF(BY122="Aussen","Aussenlager",IF(BY122="-","Nicht im Lift",IF(BC122&gt;=1,"Lift",IF(BC122&lt;=0,"Aussenlager","teilweise")))))</f>
        <v>Nicht im Lift</v>
      </c>
      <c r="BG122" s="55" t="str">
        <f aca="false">IF(A122="","",IF(BP122=1,"Neu; ","")&amp;IF(AND(BP122=0,BK122&lt;0),"negativer Bestand (Export "&amp;BK122&amp;"); ","")&amp;IF(J122&lt;=0,"Kein Verbrauch; ","")&amp;IF(CH122&gt;0,"Lift "&amp;W122&amp;" lt. Liftbericht (Fach "&amp;X122&amp;" Stk); ",IF(BU122=1,"Gebinde geschätzt ("&amp;T122&amp;"); ",IF(BT122=1,"Lose – Tablare geschätzt; ","")))&amp;IF(H122&gt;AR122,"Überbestand "&amp;ROUND(H122-AR122,0)&amp;" Stk / CHF "&amp;ROUND((H122-AR122)*G122,0)&amp;"; ","")&amp;IF(AND(CA122=1,CB122&lt;CC122),"MAX &lt; MB+LG; ","")&amp;IF(AND(CG122&gt;0,CF122*10&gt;CG122),"zu hoch für Tablar; ","")&amp;IF(AND(BP122=0,OR(CA122=1,AA122&lt;&gt;"",U122&lt;&gt;"",V122&lt;&gt;"",AB122&lt;&gt;"")),"manuell übersteuert; ","")&amp;IF(AND(BT122=0,R122=0),"Gebinde unbekannt / Stellmass fehlt; ","")&amp;IF(AND(BT122=0,N(V122)&lt;=0,N(Q122)&lt;=0),"Menge pro Gebinde fehlt (Ist = 1 Gebinde); ","")&amp;BO122)</f>
        <v>Überbestand</v>
      </c>
      <c r="BH122" s="55"/>
      <c r="BI122" s="55"/>
      <c r="BJ122" s="62"/>
      <c r="BK122" s="57" t="n">
        <v>7</v>
      </c>
      <c r="BL122" s="57" t="n">
        <v>10</v>
      </c>
      <c r="BM122" s="56" t="n">
        <v>1826.97</v>
      </c>
      <c r="BN122" s="57" t="n">
        <v>50</v>
      </c>
      <c r="BO122" s="55" t="s">
        <v>392</v>
      </c>
      <c r="BP122" s="60" t="n">
        <v>0</v>
      </c>
      <c r="BQ122" s="60" t="n">
        <v>122</v>
      </c>
      <c r="BR122" s="55" t="str">
        <f aca="false">IF(U122&lt;&gt;"",UPPER(TRIM(U122)),IF(BU122=1,UPPER(VLOOKUP(T122,Parameter!$I$27:$K$29,2,0)),IF(P122="","LOSE",P122)))</f>
        <v>S82</v>
      </c>
      <c r="BS122" s="57" t="n">
        <f aca="false">IF(BR122="LOSE",1,IF(N(V122)&gt;0,V122,IF(BU122=1,MAX(1,N(VLOOKUP(T122,Parameter!$I$27:$K$29,3,0)),H122,N(N122)),IF(N(Q122)&gt;0,Q122,MAX(1,H122)))))</f>
        <v>35</v>
      </c>
      <c r="BT122" s="60" t="n">
        <f aca="false">IF(BR122="LOSE",1,0)</f>
        <v>0</v>
      </c>
      <c r="BU122" s="60" t="n">
        <f aca="false">IF(AND(U122="",OR(P122="",P122="LOSE"),T122&lt;&gt;"",N(S122)&lt;=0,ISNUMBER(MATCH(T122,Parameter!$I$27:$I$29,0))),1,0)</f>
        <v>0</v>
      </c>
      <c r="BV122" s="55" t="str">
        <f aca="false">IF(AND(Parameter!$B$19="Ja",E122&lt;&gt;"",ISNUMBER(MATCH(E122,Parameter!$I$35:$I$52,0))),VLOOKUP(E122,Parameter!$I$35:$J$52,2,0),IFERROR(VLOOKUP(D122,Parameter!$A$35:$C$64,2,0),"Nein"))</f>
        <v>Nein</v>
      </c>
      <c r="BW122" s="59" t="n">
        <f aca="false">IF(BT122=0,0,IF(N(S122)&gt;0,S122,IFERROR(VLOOKUP(D122,Parameter!$A$35:$C$64,3,0)+0,0)))</f>
        <v>0</v>
      </c>
      <c r="BX122" s="55" t="str">
        <f aca="false">IF(AA122&lt;&gt;"",AA122,Z122)</f>
        <v>-</v>
      </c>
      <c r="BY122" s="55" t="str">
        <f aca="false">IF(BX122=1,"L1",IF(OR(BX122=2,BX122=3),"L23",IF(BX122="Aussen","Aussen","-")))</f>
        <v>-</v>
      </c>
      <c r="BZ122" s="66" t="n">
        <f aca="false">IF(N(AB122)&gt;0,AB122,0)</f>
        <v>0</v>
      </c>
      <c r="CA122" s="60" t="n">
        <f aca="false">IF(ISNUMBER(AE122),1,0)</f>
        <v>0</v>
      </c>
      <c r="CB122" s="57" t="n">
        <f aca="false">N(AE122)</f>
        <v>0</v>
      </c>
      <c r="CC122" s="57" t="n">
        <f aca="false">N(M122)+N(N122)</f>
        <v>30</v>
      </c>
      <c r="CD122" s="57" t="n">
        <f aca="false">ROUNDUP(H122/BS122,0)</f>
        <v>1</v>
      </c>
      <c r="CE122" s="57" t="n">
        <f aca="false">ROUNDUP(CB122/BS122,0)</f>
        <v>0</v>
      </c>
      <c r="CF122" s="60" t="n">
        <f aca="false">IF(BT122=1,0,IFERROR(VLOOKUP(BR122,'Gebinde-Kategorie'!$A$5:$M$45,5,0)+0,0))</f>
        <v>40</v>
      </c>
      <c r="CG122" s="60" t="n">
        <f aca="false">IFERROR(IF(OR(BX122=1,BX122=2,BX122=3),N(INDEX(Parameter!$I$5:$I$7,BX122)),0),0)</f>
        <v>0</v>
      </c>
      <c r="CH122" s="59" t="n">
        <f aca="false">IF(AND(Parameter!$B$21="Ja",ISNUMBER(W122),N(X122)&gt;0),IFERROR(N(INDEX(Parameter!$L$5:$L$7,W122))*INDEX(Parameter!$E$5:$E$7,W122)*X122/SUMIFS($X$7:$X$1843,$W$7:$W$1843,W122),0),0)</f>
        <v>0</v>
      </c>
    </row>
    <row r="123" customFormat="false" ht="15" hidden="false" customHeight="false" outlineLevel="0" collapsed="false">
      <c r="A123" s="55" t="s">
        <v>454</v>
      </c>
      <c r="B123" s="55" t="s">
        <v>455</v>
      </c>
      <c r="C123" s="55" t="s">
        <v>456</v>
      </c>
      <c r="D123" s="55" t="s">
        <v>173</v>
      </c>
      <c r="E123" s="55"/>
      <c r="F123" s="55" t="s">
        <v>218</v>
      </c>
      <c r="G123" s="56" t="n">
        <v>606.9</v>
      </c>
      <c r="H123" s="57" t="n">
        <f aca="false">MAX(0,IF(AND(Parameter!$B$21="Ja",ISNUMBER(Y123)),Y123,IF(Parameter!$B$20="Jahresanfang 2025 + Export",BL123+BK123,BK123)))</f>
        <v>3</v>
      </c>
      <c r="I123" s="57" t="n">
        <f aca="false">H123*G123</f>
        <v>1820.7</v>
      </c>
      <c r="J123" s="57" t="n">
        <f aca="false">BN123*Parameter!$B$18</f>
        <v>6</v>
      </c>
      <c r="K123" s="58" t="n">
        <v>1.5</v>
      </c>
      <c r="L123" s="59" t="n">
        <v>4</v>
      </c>
      <c r="M123" s="57" t="n">
        <v>0</v>
      </c>
      <c r="N123" s="57" t="n">
        <v>1</v>
      </c>
      <c r="O123" s="60" t="n">
        <v>14</v>
      </c>
      <c r="P123" s="55" t="s">
        <v>168</v>
      </c>
      <c r="Q123" s="57"/>
      <c r="R123" s="60" t="n">
        <f aca="false">IF(BT123=1,0,IFERROR(VLOOKUP(BR123,'Gebinde-Kategorie'!$A$5:$M$45,13,0)+0,0))</f>
        <v>3</v>
      </c>
      <c r="S123" s="61"/>
      <c r="T123" s="62" t="s">
        <v>189</v>
      </c>
      <c r="U123" s="62"/>
      <c r="V123" s="62"/>
      <c r="W123" s="55"/>
      <c r="X123" s="57"/>
      <c r="Y123" s="57"/>
      <c r="Z123" s="55" t="n">
        <f aca="false">IF(A123="","",IF(AND(Parameter!$B$21="Ja",ISNUMBER(W123)),W123,IF(BV123="2+3",IF(ISNUMBER(SEARCH("grosser Artikel",BO123)),2,IFERROR(VLOOKUP(BR123,Parameter!$F$35:$G$64,2,0),2)),IF(OR(BV123="Nein",BV123=""),"-",BV123))))</f>
        <v>2</v>
      </c>
      <c r="AA123" s="62"/>
      <c r="AB123" s="63"/>
      <c r="AC123" s="57" t="n">
        <f aca="false">AR123</f>
        <v>3</v>
      </c>
      <c r="AD123" s="57" t="n">
        <f aca="false">MAX(AR123,H123)</f>
        <v>3</v>
      </c>
      <c r="AE123" s="64"/>
      <c r="AF123" s="57" t="n">
        <f aca="false">IF(LEFT(Cockpit!$C$5,1)="A",H123,IF(CA123=1,CB123,IF(LEFT(Cockpit!$C$5,1)="B",AJ123,MAX(AJ123,H123))))</f>
        <v>3</v>
      </c>
      <c r="AG123" s="57" t="n">
        <f aca="false">IF(BT123=1,0,ROUNDUP(AF123/BS123,0))</f>
        <v>1</v>
      </c>
      <c r="AH123" s="59" t="n">
        <f aca="false">IF(CH123&gt;0,CH123*MAX(1,AF123/X123),IF(BT123=1,IF(AF123&lt;=0,0,BW123*MAX(1,IF(H123&gt;0,AF123/H123,1))),IF(R123&gt;0,AG123/R123,0))/MAX(0.1,N(Parameter!$M$21)))</f>
        <v>0.333333333333333</v>
      </c>
      <c r="AI123" s="57" t="n">
        <f aca="false">AF123*G123</f>
        <v>1820.7</v>
      </c>
      <c r="AJ123" s="57" t="n">
        <f aca="false">ROUNDUP(MAX(J123/IF(BZ123&gt;0,BZ123,MAX(0.1,N(Cockpit!$C$6))),CC123)/BS123,0)*BS123</f>
        <v>3</v>
      </c>
      <c r="AK123" s="58" t="n">
        <f aca="false">IF(AH123&gt;0,J123/AH123,-1)</f>
        <v>18</v>
      </c>
      <c r="AL123" s="58" t="n">
        <f aca="false">IF(AND(OR(BY123="L1",BY123="L23"),AH123&gt;0),SUMIFS($AH$7:$AH$1843,$BY$7:$BY$1843,BY123,$AK$7:$AK$1843,"&gt;"&amp;AK123)+SUMIFS($AH$7:$AH$1843,$BY$7:$BY$1843,BY123,$AK$7:$AK$1843,AK123,$BQ$7:$BQ$1843,"&lt;="&amp;BQ123),"")</f>
        <v>52.338181142529</v>
      </c>
      <c r="AM123" s="65" t="n">
        <f aca="false">IF(AL123="",0,MAX(0,MIN(1,(IF(BY123="L1",Parameter!$E$5,Parameter!$E$6+Parameter!$E$7)-(AL123-AH123))/AH123)))</f>
        <v>1</v>
      </c>
      <c r="AN123" s="57" t="n">
        <f aca="false">IF(LEFT(Cockpit!$I$5,1)="A",H123,IF(CA123=1,CB123,IF(LEFT(Cockpit!$I$5,1)="B",AR123,MAX(AR123,H123))))</f>
        <v>3</v>
      </c>
      <c r="AO123" s="57" t="n">
        <f aca="false">IF(BT123=1,0,ROUNDUP(AN123/BS123,0))</f>
        <v>1</v>
      </c>
      <c r="AP123" s="59" t="n">
        <f aca="false">IF(CH123&gt;0,CH123*MAX(1,AN123/X123),IF(BT123=1,IF(AN123&lt;=0,0,BW123*MAX(1,IF(H123&gt;0,AN123/H123,1))),IF(R123&gt;0,AO123/R123,0))/MAX(0.1,N(Parameter!$M$21)))</f>
        <v>0.333333333333333</v>
      </c>
      <c r="AQ123" s="57" t="n">
        <f aca="false">AN123*G123</f>
        <v>1820.7</v>
      </c>
      <c r="AR123" s="57" t="n">
        <f aca="false">ROUNDUP(MAX(J123/IF(BZ123&gt;0,BZ123,MAX(0.1,N(Cockpit!$I$6))),CC123)/BS123,0)*BS123</f>
        <v>3</v>
      </c>
      <c r="AS123" s="58" t="n">
        <f aca="false">IF(AP123&gt;0,J123/AP123,-1)</f>
        <v>18</v>
      </c>
      <c r="AT123" s="58" t="n">
        <f aca="false">IF(AND(OR(BY123="L1",BY123="L23"),AP123&gt;0),SUMIFS($AP$7:$AP$1843,$BY$7:$BY$1843,BY123,$AS$7:$AS$1843,"&gt;"&amp;AS123)+SUMIFS($AP$7:$AP$1843,$BY$7:$BY$1843,BY123,$AS$7:$AS$1843,AS123,$BQ$7:$BQ$1843,"&lt;="&amp;BQ123),"")</f>
        <v>77.0123053275227</v>
      </c>
      <c r="AU123" s="65" t="n">
        <f aca="false">IF(AT123="",0,MAX(0,MIN(1,(IF(BY123="L1",Parameter!$E$5,Parameter!$E$6+Parameter!$E$7)-(AT123-AP123))/AP123)))</f>
        <v>1</v>
      </c>
      <c r="AV123" s="57" t="n">
        <f aca="false">IF(LEFT(Cockpit!$O$5,1)="A",H123,IF(CA123=1,CB123,IF(LEFT(Cockpit!$O$5,1)="B",AZ123,MAX(AZ123,H123))))</f>
        <v>3</v>
      </c>
      <c r="AW123" s="57" t="n">
        <f aca="false">IF(BT123=1,0,ROUNDUP(AV123/BS123,0))</f>
        <v>1</v>
      </c>
      <c r="AX123" s="59" t="n">
        <f aca="false">IF(CH123&gt;0,CH123*MAX(1,AV123/X123),IF(BT123=1,IF(AV123&lt;=0,0,BW123*MAX(1,IF(H123&gt;0,AV123/H123,1))),IF(R123&gt;0,AW123/R123,0))/MAX(0.1,N(Parameter!$M$21)))</f>
        <v>0.333333333333333</v>
      </c>
      <c r="AY123" s="57" t="n">
        <f aca="false">AV123*G123</f>
        <v>1820.7</v>
      </c>
      <c r="AZ123" s="57" t="n">
        <f aca="false">ROUNDUP(MAX(J123/IF(BZ123&gt;0,BZ123,MAX(0.1,N(Cockpit!$O$6))),CC123)/BS123,0)*BS123</f>
        <v>3</v>
      </c>
      <c r="BA123" s="58" t="n">
        <f aca="false">IF(AX123&gt;0,J123/AX123,-1)</f>
        <v>18</v>
      </c>
      <c r="BB123" s="58" t="n">
        <f aca="false">IF(AND(OR(BY123="L1",BY123="L23"),AX123&gt;0),SUMIFS($AX$7:$AX$1843,$BY$7:$BY$1843,BY123,$BA$7:$BA$1843,"&gt;"&amp;BA123)+SUMIFS($AX$7:$AX$1843,$BY$7:$BY$1843,BY123,$BA$7:$BA$1843,BA123,$BQ$7:$BQ$1843,"&lt;="&amp;BQ123),"")</f>
        <v>72.5088088240262</v>
      </c>
      <c r="BC123" s="65" t="n">
        <f aca="false">IF(BB123="",0,MAX(0,MIN(1,(IF(BY123="L1",Parameter!$E$5,Parameter!$E$6+Parameter!$E$7)-(BB123-AX123))/AX123)))</f>
        <v>1</v>
      </c>
      <c r="BD123" s="55" t="str">
        <f aca="false">IF(AH123&lt;=0,"",IF(BY123="Aussen","Aussenlager",IF(BY123="-","Nicht im Lift",IF(AM123&gt;=1,"Lift",IF(AM123&lt;=0,"Aussenlager","teilweise")))))</f>
        <v>Lift</v>
      </c>
      <c r="BE123" s="55" t="str">
        <f aca="false">IF(AP123&lt;=0,"",IF(BY123="Aussen","Aussenlager",IF(BY123="-","Nicht im Lift",IF(AU123&gt;=1,"Lift",IF(AU123&lt;=0,"Aussenlager","teilweise")))))</f>
        <v>Lift</v>
      </c>
      <c r="BF123" s="55" t="str">
        <f aca="false">IF(AX123&lt;=0,"",IF(BY123="Aussen","Aussenlager",IF(BY123="-","Nicht im Lift",IF(BC123&gt;=1,"Lift",IF(BC123&lt;=0,"Aussenlager","teilweise")))))</f>
        <v>Lift</v>
      </c>
      <c r="BG123" s="55" t="str">
        <f aca="false">IF(A123="","",IF(BP123=1,"Neu; ","")&amp;IF(AND(BP123=0,BK123&lt;0),"negativer Bestand (Export "&amp;BK123&amp;"); ","")&amp;IF(J123&lt;=0,"Kein Verbrauch; ","")&amp;IF(CH123&gt;0,"Lift "&amp;W123&amp;" lt. Liftbericht (Fach "&amp;X123&amp;" Stk); ",IF(BU123=1,"Gebinde geschätzt ("&amp;T123&amp;"); ",IF(BT123=1,"Lose – Tablare geschätzt; ","")))&amp;IF(H123&gt;AR123,"Überbestand "&amp;ROUND(H123-AR123,0)&amp;" Stk / CHF "&amp;ROUND((H123-AR123)*G123,0)&amp;"; ","")&amp;IF(AND(CA123=1,CB123&lt;CC123),"MAX &lt; MB+LG; ","")&amp;IF(AND(CG123&gt;0,CF123*10&gt;CG123),"zu hoch für Tablar; ","")&amp;IF(AND(BP123=0,OR(CA123=1,AA123&lt;&gt;"",U123&lt;&gt;"",V123&lt;&gt;"",AB123&lt;&gt;"")),"manuell übersteuert; ","")&amp;IF(AND(BT123=0,R123=0),"Gebinde unbekannt / Stellmass fehlt; ","")&amp;IF(AND(BT123=0,N(V123)&lt;=0,N(Q123)&lt;=0),"Menge pro Gebinde fehlt (Ist = 1 Gebinde); ","")&amp;BO123)</f>
        <v>Gebinde geschätzt (Gross); Menge pro Gebinde fehlt (Ist = 1 Gebinde); </v>
      </c>
      <c r="BH123" s="55"/>
      <c r="BI123" s="55"/>
      <c r="BJ123" s="62"/>
      <c r="BK123" s="57" t="n">
        <v>3</v>
      </c>
      <c r="BL123" s="57" t="n">
        <v>0</v>
      </c>
      <c r="BM123" s="56" t="n">
        <v>1820.7</v>
      </c>
      <c r="BN123" s="57" t="n">
        <v>6</v>
      </c>
      <c r="BO123" s="55"/>
      <c r="BP123" s="60" t="n">
        <v>0</v>
      </c>
      <c r="BQ123" s="60" t="n">
        <v>123</v>
      </c>
      <c r="BR123" s="55" t="str">
        <f aca="false">IF(U123&lt;&gt;"",UPPER(TRIM(U123)),IF(BU123=1,UPPER(VLOOKUP(T123,Parameter!$I$27:$K$29,2,0)),IF(P123="","LOSE",P123)))</f>
        <v>S81</v>
      </c>
      <c r="BS123" s="57" t="n">
        <f aca="false">IF(BR123="LOSE",1,IF(N(V123)&gt;0,V123,IF(BU123=1,MAX(1,N(VLOOKUP(T123,Parameter!$I$27:$K$29,3,0)),H123,N(N123)),IF(N(Q123)&gt;0,Q123,MAX(1,H123)))))</f>
        <v>3</v>
      </c>
      <c r="BT123" s="60" t="n">
        <f aca="false">IF(BR123="LOSE",1,0)</f>
        <v>0</v>
      </c>
      <c r="BU123" s="60" t="n">
        <f aca="false">IF(AND(U123="",OR(P123="",P123="LOSE"),T123&lt;&gt;"",N(S123)&lt;=0,ISNUMBER(MATCH(T123,Parameter!$I$27:$I$29,0))),1,0)</f>
        <v>1</v>
      </c>
      <c r="BV123" s="55" t="str">
        <f aca="false">IF(AND(Parameter!$B$19="Ja",E123&lt;&gt;"",ISNUMBER(MATCH(E123,Parameter!$I$35:$I$52,0))),VLOOKUP(E123,Parameter!$I$35:$J$52,2,0),IFERROR(VLOOKUP(D123,Parameter!$A$35:$C$64,2,0),"Nein"))</f>
        <v>2+3</v>
      </c>
      <c r="BW123" s="59" t="n">
        <f aca="false">IF(BT123=0,0,IF(N(S123)&gt;0,S123,IFERROR(VLOOKUP(D123,Parameter!$A$35:$C$64,3,0)+0,0)))</f>
        <v>0</v>
      </c>
      <c r="BX123" s="55" t="n">
        <f aca="false">IF(AA123&lt;&gt;"",AA123,Z123)</f>
        <v>2</v>
      </c>
      <c r="BY123" s="55" t="str">
        <f aca="false">IF(BX123=1,"L1",IF(OR(BX123=2,BX123=3),"L23",IF(BX123="Aussen","Aussen","-")))</f>
        <v>L23</v>
      </c>
      <c r="BZ123" s="66" t="n">
        <f aca="false">IF(N(AB123)&gt;0,AB123,0)</f>
        <v>0</v>
      </c>
      <c r="CA123" s="60" t="n">
        <f aca="false">IF(ISNUMBER(AE123),1,0)</f>
        <v>0</v>
      </c>
      <c r="CB123" s="57" t="n">
        <f aca="false">N(AE123)</f>
        <v>0</v>
      </c>
      <c r="CC123" s="57" t="n">
        <f aca="false">N(M123)+N(N123)</f>
        <v>1</v>
      </c>
      <c r="CD123" s="57" t="n">
        <f aca="false">ROUNDUP(H123/BS123,0)</f>
        <v>1</v>
      </c>
      <c r="CE123" s="57" t="n">
        <f aca="false">ROUNDUP(CB123/BS123,0)</f>
        <v>0</v>
      </c>
      <c r="CF123" s="60" t="n">
        <f aca="false">IF(BT123=1,0,IFERROR(VLOOKUP(BR123,'Gebinde-Kategorie'!$A$5:$M$45,5,0)+0,0))</f>
        <v>20</v>
      </c>
      <c r="CG123" s="60" t="n">
        <f aca="false">IFERROR(IF(OR(BX123=1,BX123=2,BX123=3),N(INDEX(Parameter!$I$5:$I$7,BX123)),0),0)</f>
        <v>0</v>
      </c>
      <c r="CH123" s="59" t="n">
        <f aca="false">IF(AND(Parameter!$B$21="Ja",ISNUMBER(W123),N(X123)&gt;0),IFERROR(N(INDEX(Parameter!$L$5:$L$7,W123))*INDEX(Parameter!$E$5:$E$7,W123)*X123/SUMIFS($X$7:$X$1843,$W$7:$W$1843,W123),0),0)</f>
        <v>0</v>
      </c>
    </row>
    <row r="124" customFormat="false" ht="15" hidden="false" customHeight="false" outlineLevel="0" collapsed="false">
      <c r="A124" s="55" t="s">
        <v>457</v>
      </c>
      <c r="B124" s="55" t="s">
        <v>458</v>
      </c>
      <c r="C124" s="55" t="s">
        <v>164</v>
      </c>
      <c r="D124" s="55" t="s">
        <v>184</v>
      </c>
      <c r="E124" s="55"/>
      <c r="F124" s="55" t="s">
        <v>218</v>
      </c>
      <c r="G124" s="56" t="n">
        <v>44.35</v>
      </c>
      <c r="H124" s="57" t="n">
        <f aca="false">MAX(0,IF(AND(Parameter!$B$21="Ja",ISNUMBER(Y124)),Y124,IF(Parameter!$B$20="Jahresanfang 2025 + Export",BL124+BK124,BK124)))</f>
        <v>50</v>
      </c>
      <c r="I124" s="57" t="n">
        <f aca="false">H124*G124</f>
        <v>2217.5</v>
      </c>
      <c r="J124" s="57" t="n">
        <f aca="false">BN124*Parameter!$B$18</f>
        <v>0</v>
      </c>
      <c r="K124" s="58" t="n">
        <v>10</v>
      </c>
      <c r="L124" s="59" t="n">
        <v>0</v>
      </c>
      <c r="M124" s="57" t="n">
        <v>0</v>
      </c>
      <c r="N124" s="57" t="n">
        <v>1</v>
      </c>
      <c r="O124" s="60" t="n">
        <v>42</v>
      </c>
      <c r="P124" s="55" t="s">
        <v>302</v>
      </c>
      <c r="Q124" s="57" t="n">
        <v>50</v>
      </c>
      <c r="R124" s="60" t="n">
        <f aca="false">IF(BT124=1,0,IFERROR(VLOOKUP(BR124,'Gebinde-Kategorie'!$A$5:$M$45,13,0)+0,0))</f>
        <v>26</v>
      </c>
      <c r="S124" s="61"/>
      <c r="T124" s="62"/>
      <c r="U124" s="62"/>
      <c r="V124" s="62"/>
      <c r="W124" s="55"/>
      <c r="X124" s="57"/>
      <c r="Y124" s="57"/>
      <c r="Z124" s="55" t="n">
        <f aca="false">IF(A124="","",IF(AND(Parameter!$B$21="Ja",ISNUMBER(W124)),W124,IF(BV124="2+3",IF(ISNUMBER(SEARCH("grosser Artikel",BO124)),2,IFERROR(VLOOKUP(BR124,Parameter!$F$35:$G$64,2,0),2)),IF(OR(BV124="Nein",BV124=""),"-",BV124))))</f>
        <v>3</v>
      </c>
      <c r="AA124" s="62"/>
      <c r="AB124" s="63"/>
      <c r="AC124" s="57" t="n">
        <f aca="false">AR124</f>
        <v>50</v>
      </c>
      <c r="AD124" s="57" t="n">
        <f aca="false">MAX(AR124,H124)</f>
        <v>50</v>
      </c>
      <c r="AE124" s="64"/>
      <c r="AF124" s="57" t="n">
        <f aca="false">IF(LEFT(Cockpit!$C$5,1)="A",H124,IF(CA124=1,CB124,IF(LEFT(Cockpit!$C$5,1)="B",AJ124,MAX(AJ124,H124))))</f>
        <v>50</v>
      </c>
      <c r="AG124" s="57" t="n">
        <f aca="false">IF(BT124=1,0,ROUNDUP(AF124/BS124,0))</f>
        <v>1</v>
      </c>
      <c r="AH124" s="59" t="n">
        <f aca="false">IF(CH124&gt;0,CH124*MAX(1,AF124/X124),IF(BT124=1,IF(AF124&lt;=0,0,BW124*MAX(1,IF(H124&gt;0,AF124/H124,1))),IF(R124&gt;0,AG124/R124,0))/MAX(0.1,N(Parameter!$M$21)))</f>
        <v>0.0384615384615385</v>
      </c>
      <c r="AI124" s="57" t="n">
        <f aca="false">AF124*G124</f>
        <v>2217.5</v>
      </c>
      <c r="AJ124" s="57" t="n">
        <f aca="false">ROUNDUP(MAX(J124/IF(BZ124&gt;0,BZ124,MAX(0.1,N(Cockpit!$C$6))),CC124)/BS124,0)*BS124</f>
        <v>50</v>
      </c>
      <c r="AK124" s="58" t="n">
        <f aca="false">IF(AH124&gt;0,J124/AH124,-1)</f>
        <v>0</v>
      </c>
      <c r="AL124" s="58" t="n">
        <f aca="false">IF(AND(OR(BY124="L1",BY124="L23"),AH124&gt;0),SUMIFS($AH$7:$AH$1843,$BY$7:$BY$1843,BY124,$AK$7:$AK$1843,"&gt;"&amp;AK124)+SUMIFS($AH$7:$AH$1843,$BY$7:$BY$1843,BY124,$AK$7:$AK$1843,AK124,$BQ$7:$BQ$1843,"&lt;="&amp;BQ124),"")</f>
        <v>68.5611803655282</v>
      </c>
      <c r="AM124" s="65" t="n">
        <f aca="false">IF(AL124="",0,MAX(0,MIN(1,(IF(BY124="L1",Parameter!$E$5,Parameter!$E$6+Parameter!$E$7)-(AL124-AH124))/AH124)))</f>
        <v>1</v>
      </c>
      <c r="AN124" s="57" t="n">
        <f aca="false">IF(LEFT(Cockpit!$I$5,1)="A",H124,IF(CA124=1,CB124,IF(LEFT(Cockpit!$I$5,1)="B",AR124,MAX(AR124,H124))))</f>
        <v>50</v>
      </c>
      <c r="AO124" s="57" t="n">
        <f aca="false">IF(BT124=1,0,ROUNDUP(AN124/BS124,0))</f>
        <v>1</v>
      </c>
      <c r="AP124" s="59" t="n">
        <f aca="false">IF(CH124&gt;0,CH124*MAX(1,AN124/X124),IF(BT124=1,IF(AN124&lt;=0,0,BW124*MAX(1,IF(H124&gt;0,AN124/H124,1))),IF(R124&gt;0,AO124/R124,0))/MAX(0.1,N(Parameter!$M$21)))</f>
        <v>0.0384615384615385</v>
      </c>
      <c r="AQ124" s="57" t="n">
        <f aca="false">AN124*G124</f>
        <v>2217.5</v>
      </c>
      <c r="AR124" s="57" t="n">
        <f aca="false">ROUNDUP(MAX(J124/IF(BZ124&gt;0,BZ124,MAX(0.1,N(Cockpit!$I$6))),CC124)/BS124,0)*BS124</f>
        <v>50</v>
      </c>
      <c r="AS124" s="58" t="n">
        <f aca="false">IF(AP124&gt;0,J124/AP124,-1)</f>
        <v>0</v>
      </c>
      <c r="AT124" s="58" t="n">
        <f aca="false">IF(AND(OR(BY124="L1",BY124="L23"),AP124&gt;0),SUMIFS($AP$7:$AP$1843,$BY$7:$BY$1843,BY124,$AS$7:$AS$1843,"&gt;"&amp;AS124)+SUMIFS($AP$7:$AP$1843,$BY$7:$BY$1843,BY124,$AS$7:$AS$1843,AS124,$BQ$7:$BQ$1843,"&lt;="&amp;BQ124),"")</f>
        <v>107.985304550522</v>
      </c>
      <c r="AU124" s="65" t="n">
        <f aca="false">IF(AT124="",0,MAX(0,MIN(1,(IF(BY124="L1",Parameter!$E$5,Parameter!$E$6+Parameter!$E$7)-(AT124-AP124))/AP124)))</f>
        <v>0</v>
      </c>
      <c r="AV124" s="57" t="n">
        <f aca="false">IF(LEFT(Cockpit!$O$5,1)="A",H124,IF(CA124=1,CB124,IF(LEFT(Cockpit!$O$5,1)="B",AZ124,MAX(AZ124,H124))))</f>
        <v>50</v>
      </c>
      <c r="AW124" s="57" t="n">
        <f aca="false">IF(BT124=1,0,ROUNDUP(AV124/BS124,0))</f>
        <v>1</v>
      </c>
      <c r="AX124" s="59" t="n">
        <f aca="false">IF(CH124&gt;0,CH124*MAX(1,AV124/X124),IF(BT124=1,IF(AV124&lt;=0,0,BW124*MAX(1,IF(H124&gt;0,AV124/H124,1))),IF(R124&gt;0,AW124/R124,0))/MAX(0.1,N(Parameter!$M$21)))</f>
        <v>0.0384615384615385</v>
      </c>
      <c r="AY124" s="57" t="n">
        <f aca="false">AV124*G124</f>
        <v>2217.5</v>
      </c>
      <c r="AZ124" s="57" t="n">
        <f aca="false">ROUNDUP(MAX(J124/IF(BZ124&gt;0,BZ124,MAX(0.1,N(Cockpit!$O$6))),CC124)/BS124,0)*BS124</f>
        <v>50</v>
      </c>
      <c r="BA124" s="58" t="n">
        <f aca="false">IF(AX124&gt;0,J124/AX124,-1)</f>
        <v>0</v>
      </c>
      <c r="BB124" s="58" t="n">
        <f aca="false">IF(AND(OR(BY124="L1",BY124="L23"),AX124&gt;0),SUMIFS($AX$7:$AX$1843,$BY$7:$BY$1843,BY124,$BA$7:$BA$1843,"&gt;"&amp;BA124)+SUMIFS($AX$7:$AX$1843,$BY$7:$BY$1843,BY124,$BA$7:$BA$1843,BA124,$BQ$7:$BQ$1843,"&lt;="&amp;BQ124),"")</f>
        <v>98.8151413803588</v>
      </c>
      <c r="BC124" s="65" t="n">
        <f aca="false">IF(BB124="",0,MAX(0,MIN(1,(IF(BY124="L1",Parameter!$E$5,Parameter!$E$6+Parameter!$E$7)-(BB124-AX124))/AX124)))</f>
        <v>1</v>
      </c>
      <c r="BD124" s="55" t="str">
        <f aca="false">IF(AH124&lt;=0,"",IF(BY124="Aussen","Aussenlager",IF(BY124="-","Nicht im Lift",IF(AM124&gt;=1,"Lift",IF(AM124&lt;=0,"Aussenlager","teilweise")))))</f>
        <v>Lift</v>
      </c>
      <c r="BE124" s="55" t="str">
        <f aca="false">IF(AP124&lt;=0,"",IF(BY124="Aussen","Aussenlager",IF(BY124="-","Nicht im Lift",IF(AU124&gt;=1,"Lift",IF(AU124&lt;=0,"Aussenlager","teilweise")))))</f>
        <v>Aussenlager</v>
      </c>
      <c r="BF124" s="55" t="str">
        <f aca="false">IF(AX124&lt;=0,"",IF(BY124="Aussen","Aussenlager",IF(BY124="-","Nicht im Lift",IF(BC124&gt;=1,"Lift",IF(BC124&lt;=0,"Aussenlager","teilweise")))))</f>
        <v>Lift</v>
      </c>
      <c r="BG124" s="55" t="str">
        <f aca="false">IF(A124="","",IF(BP124=1,"Neu; ","")&amp;IF(AND(BP124=0,BK124&lt;0),"negativer Bestand (Export "&amp;BK124&amp;"); ","")&amp;IF(J124&lt;=0,"Kein Verbrauch; ","")&amp;IF(CH124&gt;0,"Lift "&amp;W124&amp;" lt. Liftbericht (Fach "&amp;X124&amp;" Stk); ",IF(BU124=1,"Gebinde geschätzt ("&amp;T124&amp;"); ",IF(BT124=1,"Lose – Tablare geschätzt; ","")))&amp;IF(H124&gt;AR124,"Überbestand "&amp;ROUND(H124-AR124,0)&amp;" Stk / CHF "&amp;ROUND((H124-AR124)*G124,0)&amp;"; ","")&amp;IF(AND(CA124=1,CB124&lt;CC124),"MAX &lt; MB+LG; ","")&amp;IF(AND(CG124&gt;0,CF124*10&gt;CG124),"zu hoch für Tablar; ","")&amp;IF(AND(BP124=0,OR(CA124=1,AA124&lt;&gt;"",U124&lt;&gt;"",V124&lt;&gt;"",AB124&lt;&gt;"")),"manuell übersteuert; ","")&amp;IF(AND(BT124=0,R124=0),"Gebinde unbekannt / Stellmass fehlt; ","")&amp;IF(AND(BT124=0,N(V124)&lt;=0,N(Q124)&lt;=0),"Menge pro Gebinde fehlt (Ist = 1 Gebinde); ","")&amp;BO124)</f>
        <v>Kein Verbrauch; </v>
      </c>
      <c r="BH124" s="55"/>
      <c r="BI124" s="55"/>
      <c r="BJ124" s="62"/>
      <c r="BK124" s="57" t="n">
        <v>40</v>
      </c>
      <c r="BL124" s="57" t="n">
        <v>10</v>
      </c>
      <c r="BM124" s="56" t="n">
        <v>1795</v>
      </c>
      <c r="BN124" s="57" t="n">
        <v>0</v>
      </c>
      <c r="BO124" s="55"/>
      <c r="BP124" s="60" t="n">
        <v>0</v>
      </c>
      <c r="BQ124" s="60" t="n">
        <v>124</v>
      </c>
      <c r="BR124" s="55" t="str">
        <f aca="false">IF(U124&lt;&gt;"",UPPER(TRIM(U124)),IF(BU124=1,UPPER(VLOOKUP(T124,Parameter!$I$27:$K$29,2,0)),IF(P124="","LOSE",P124)))</f>
        <v>S51</v>
      </c>
      <c r="BS124" s="57" t="n">
        <f aca="false">IF(BR124="LOSE",1,IF(N(V124)&gt;0,V124,IF(BU124=1,MAX(1,N(VLOOKUP(T124,Parameter!$I$27:$K$29,3,0)),H124,N(N124)),IF(N(Q124)&gt;0,Q124,MAX(1,H124)))))</f>
        <v>50</v>
      </c>
      <c r="BT124" s="60" t="n">
        <f aca="false">IF(BR124="LOSE",1,0)</f>
        <v>0</v>
      </c>
      <c r="BU124" s="60" t="n">
        <f aca="false">IF(AND(U124="",OR(P124="",P124="LOSE"),T124&lt;&gt;"",N(S124)&lt;=0,ISNUMBER(MATCH(T124,Parameter!$I$27:$I$29,0))),1,0)</f>
        <v>0</v>
      </c>
      <c r="BV124" s="55" t="str">
        <f aca="false">IF(AND(Parameter!$B$19="Ja",E124&lt;&gt;"",ISNUMBER(MATCH(E124,Parameter!$I$35:$I$52,0))),VLOOKUP(E124,Parameter!$I$35:$J$52,2,0),IFERROR(VLOOKUP(D124,Parameter!$A$35:$C$64,2,0),"Nein"))</f>
        <v>2+3</v>
      </c>
      <c r="BW124" s="59" t="n">
        <f aca="false">IF(BT124=0,0,IF(N(S124)&gt;0,S124,IFERROR(VLOOKUP(D124,Parameter!$A$35:$C$64,3,0)+0,0)))</f>
        <v>0</v>
      </c>
      <c r="BX124" s="55" t="n">
        <f aca="false">IF(AA124&lt;&gt;"",AA124,Z124)</f>
        <v>3</v>
      </c>
      <c r="BY124" s="55" t="str">
        <f aca="false">IF(BX124=1,"L1",IF(OR(BX124=2,BX124=3),"L23",IF(BX124="Aussen","Aussen","-")))</f>
        <v>L23</v>
      </c>
      <c r="BZ124" s="66" t="n">
        <f aca="false">IF(N(AB124)&gt;0,AB124,0)</f>
        <v>0</v>
      </c>
      <c r="CA124" s="60" t="n">
        <f aca="false">IF(ISNUMBER(AE124),1,0)</f>
        <v>0</v>
      </c>
      <c r="CB124" s="57" t="n">
        <f aca="false">N(AE124)</f>
        <v>0</v>
      </c>
      <c r="CC124" s="57" t="n">
        <f aca="false">N(M124)+N(N124)</f>
        <v>1</v>
      </c>
      <c r="CD124" s="57" t="n">
        <f aca="false">ROUNDUP(H124/BS124,0)</f>
        <v>1</v>
      </c>
      <c r="CE124" s="57" t="n">
        <f aca="false">ROUNDUP(CB124/BS124,0)</f>
        <v>0</v>
      </c>
      <c r="CF124" s="60" t="n">
        <f aca="false">IF(BT124=1,0,IFERROR(VLOOKUP(BR124,'Gebinde-Kategorie'!$A$5:$M$45,5,0)+0,0))</f>
        <v>11</v>
      </c>
      <c r="CG124" s="60" t="n">
        <f aca="false">IFERROR(IF(OR(BX124=1,BX124=2,BX124=3),N(INDEX(Parameter!$I$5:$I$7,BX124)),0),0)</f>
        <v>0</v>
      </c>
      <c r="CH124" s="59" t="n">
        <f aca="false">IF(AND(Parameter!$B$21="Ja",ISNUMBER(W124),N(X124)&gt;0),IFERROR(N(INDEX(Parameter!$L$5:$L$7,W124))*INDEX(Parameter!$E$5:$E$7,W124)*X124/SUMIFS($X$7:$X$1843,$W$7:$W$1843,W124),0),0)</f>
        <v>0</v>
      </c>
    </row>
    <row r="125" customFormat="false" ht="15" hidden="false" customHeight="false" outlineLevel="0" collapsed="false">
      <c r="A125" s="55" t="s">
        <v>459</v>
      </c>
      <c r="B125" s="55" t="s">
        <v>460</v>
      </c>
      <c r="C125" s="55" t="s">
        <v>164</v>
      </c>
      <c r="D125" s="55" t="s">
        <v>173</v>
      </c>
      <c r="E125" s="55"/>
      <c r="F125" s="55" t="s">
        <v>218</v>
      </c>
      <c r="G125" s="56" t="n">
        <v>583</v>
      </c>
      <c r="H125" s="57" t="n">
        <f aca="false">MAX(0,IF(AND(Parameter!$B$21="Ja",ISNUMBER(Y125)),Y125,IF(Parameter!$B$20="Jahresanfang 2025 + Export",BL125+BK125,BK125)))</f>
        <v>5</v>
      </c>
      <c r="I125" s="57" t="n">
        <f aca="false">H125*G125</f>
        <v>2915</v>
      </c>
      <c r="J125" s="57" t="n">
        <f aca="false">BN125*Parameter!$B$18</f>
        <v>2</v>
      </c>
      <c r="K125" s="58" t="n">
        <v>1.5</v>
      </c>
      <c r="L125" s="59" t="n">
        <v>1.33333333333333</v>
      </c>
      <c r="M125" s="57" t="n">
        <v>0</v>
      </c>
      <c r="N125" s="57" t="n">
        <v>1</v>
      </c>
      <c r="O125" s="60" t="n">
        <v>35</v>
      </c>
      <c r="P125" s="55" t="s">
        <v>186</v>
      </c>
      <c r="Q125" s="57" t="n">
        <v>7</v>
      </c>
      <c r="R125" s="60" t="n">
        <f aca="false">IF(BT125=1,0,IFERROR(VLOOKUP(BR125,'Gebinde-Kategorie'!$A$5:$M$45,13,0)+0,0))</f>
        <v>12</v>
      </c>
      <c r="S125" s="61"/>
      <c r="T125" s="62"/>
      <c r="U125" s="62"/>
      <c r="V125" s="62"/>
      <c r="W125" s="55"/>
      <c r="X125" s="57"/>
      <c r="Y125" s="57"/>
      <c r="Z125" s="55" t="n">
        <f aca="false">IF(A125="","",IF(AND(Parameter!$B$21="Ja",ISNUMBER(W125)),W125,IF(BV125="2+3",IF(ISNUMBER(SEARCH("grosser Artikel",BO125)),2,IFERROR(VLOOKUP(BR125,Parameter!$F$35:$G$64,2,0),2)),IF(OR(BV125="Nein",BV125=""),"-",BV125))))</f>
        <v>2</v>
      </c>
      <c r="AA125" s="62"/>
      <c r="AB125" s="63"/>
      <c r="AC125" s="57" t="n">
        <f aca="false">AR125</f>
        <v>7</v>
      </c>
      <c r="AD125" s="57" t="n">
        <f aca="false">MAX(AR125,H125)</f>
        <v>7</v>
      </c>
      <c r="AE125" s="64"/>
      <c r="AF125" s="57" t="n">
        <f aca="false">IF(LEFT(Cockpit!$C$5,1)="A",H125,IF(CA125=1,CB125,IF(LEFT(Cockpit!$C$5,1)="B",AJ125,MAX(AJ125,H125))))</f>
        <v>5</v>
      </c>
      <c r="AG125" s="57" t="n">
        <f aca="false">IF(BT125=1,0,ROUNDUP(AF125/BS125,0))</f>
        <v>1</v>
      </c>
      <c r="AH125" s="59" t="n">
        <f aca="false">IF(CH125&gt;0,CH125*MAX(1,AF125/X125),IF(BT125=1,IF(AF125&lt;=0,0,BW125*MAX(1,IF(H125&gt;0,AF125/H125,1))),IF(R125&gt;0,AG125/R125,0))/MAX(0.1,N(Parameter!$M$21)))</f>
        <v>0.0833333333333333</v>
      </c>
      <c r="AI125" s="57" t="n">
        <f aca="false">AF125*G125</f>
        <v>2915</v>
      </c>
      <c r="AJ125" s="57" t="n">
        <f aca="false">ROUNDUP(MAX(J125/IF(BZ125&gt;0,BZ125,MAX(0.1,N(Cockpit!$C$6))),CC125)/BS125,0)*BS125</f>
        <v>7</v>
      </c>
      <c r="AK125" s="58" t="n">
        <f aca="false">IF(AH125&gt;0,J125/AH125,-1)</f>
        <v>24</v>
      </c>
      <c r="AL125" s="58" t="n">
        <f aca="false">IF(AND(OR(BY125="L1",BY125="L23"),AH125&gt;0),SUMIFS($AH$7:$AH$1843,$BY$7:$BY$1843,BY125,$AK$7:$AK$1843,"&gt;"&amp;AK125)+SUMIFS($AH$7:$AH$1843,$BY$7:$BY$1843,BY125,$AK$7:$AK$1843,AK125,$BQ$7:$BQ$1843,"&lt;="&amp;BQ125),"")</f>
        <v>49.0048478091956</v>
      </c>
      <c r="AM125" s="65" t="n">
        <f aca="false">IF(AL125="",0,MAX(0,MIN(1,(IF(BY125="L1",Parameter!$E$5,Parameter!$E$6+Parameter!$E$7)-(AL125-AH125))/AH125)))</f>
        <v>1</v>
      </c>
      <c r="AN125" s="57" t="n">
        <f aca="false">IF(LEFT(Cockpit!$I$5,1)="A",H125,IF(CA125=1,CB125,IF(LEFT(Cockpit!$I$5,1)="B",AR125,MAX(AR125,H125))))</f>
        <v>7</v>
      </c>
      <c r="AO125" s="57" t="n">
        <f aca="false">IF(BT125=1,0,ROUNDUP(AN125/BS125,0))</f>
        <v>1</v>
      </c>
      <c r="AP125" s="59" t="n">
        <f aca="false">IF(CH125&gt;0,CH125*MAX(1,AN125/X125),IF(BT125=1,IF(AN125&lt;=0,0,BW125*MAX(1,IF(H125&gt;0,AN125/H125,1))),IF(R125&gt;0,AO125/R125,0))/MAX(0.1,N(Parameter!$M$21)))</f>
        <v>0.0833333333333333</v>
      </c>
      <c r="AQ125" s="57" t="n">
        <f aca="false">AN125*G125</f>
        <v>4081</v>
      </c>
      <c r="AR125" s="57" t="n">
        <f aca="false">ROUNDUP(MAX(J125/IF(BZ125&gt;0,BZ125,MAX(0.1,N(Cockpit!$I$6))),CC125)/BS125,0)*BS125</f>
        <v>7</v>
      </c>
      <c r="AS125" s="58" t="n">
        <f aca="false">IF(AP125&gt;0,J125/AP125,-1)</f>
        <v>24</v>
      </c>
      <c r="AT125" s="58" t="n">
        <f aca="false">IF(AND(OR(BY125="L1",BY125="L23"),AP125&gt;0),SUMIFS($AP$7:$AP$1843,$BY$7:$BY$1843,BY125,$AS$7:$AS$1843,"&gt;"&amp;AS125)+SUMIFS($AP$7:$AP$1843,$BY$7:$BY$1843,BY125,$AS$7:$AS$1843,AS125,$BQ$7:$BQ$1843,"&lt;="&amp;BQ125),"")</f>
        <v>74.1789719941894</v>
      </c>
      <c r="AU125" s="65" t="n">
        <f aca="false">IF(AT125="",0,MAX(0,MIN(1,(IF(BY125="L1",Parameter!$E$5,Parameter!$E$6+Parameter!$E$7)-(AT125-AP125))/AP125)))</f>
        <v>1</v>
      </c>
      <c r="AV125" s="57" t="n">
        <f aca="false">IF(LEFT(Cockpit!$O$5,1)="A",H125,IF(CA125=1,CB125,IF(LEFT(Cockpit!$O$5,1)="B",AZ125,MAX(AZ125,H125))))</f>
        <v>7</v>
      </c>
      <c r="AW125" s="57" t="n">
        <f aca="false">IF(BT125=1,0,ROUNDUP(AV125/BS125,0))</f>
        <v>1</v>
      </c>
      <c r="AX125" s="59" t="n">
        <f aca="false">IF(CH125&gt;0,CH125*MAX(1,AV125/X125),IF(BT125=1,IF(AV125&lt;=0,0,BW125*MAX(1,IF(H125&gt;0,AV125/H125,1))),IF(R125&gt;0,AW125/R125,0))/MAX(0.1,N(Parameter!$M$21)))</f>
        <v>0.0833333333333333</v>
      </c>
      <c r="AY125" s="57" t="n">
        <f aca="false">AV125*G125</f>
        <v>4081</v>
      </c>
      <c r="AZ125" s="57" t="n">
        <f aca="false">ROUNDUP(MAX(J125/IF(BZ125&gt;0,BZ125,MAX(0.1,N(Cockpit!$O$6))),CC125)/BS125,0)*BS125</f>
        <v>7</v>
      </c>
      <c r="BA125" s="58" t="n">
        <f aca="false">IF(AX125&gt;0,J125/AX125,-1)</f>
        <v>24</v>
      </c>
      <c r="BB125" s="58" t="n">
        <f aca="false">IF(AND(OR(BY125="L1",BY125="L23"),AX125&gt;0),SUMIFS($AX$7:$AX$1843,$BY$7:$BY$1843,BY125,$BA$7:$BA$1843,"&gt;"&amp;BA125)+SUMIFS($AX$7:$AX$1843,$BY$7:$BY$1843,BY125,$BA$7:$BA$1843,BA125,$BQ$7:$BQ$1843,"&lt;="&amp;BQ125),"")</f>
        <v>69.6754754906929</v>
      </c>
      <c r="BC125" s="65" t="n">
        <f aca="false">IF(BB125="",0,MAX(0,MIN(1,(IF(BY125="L1",Parameter!$E$5,Parameter!$E$6+Parameter!$E$7)-(BB125-AX125))/AX125)))</f>
        <v>1</v>
      </c>
      <c r="BD125" s="55" t="str">
        <f aca="false">IF(AH125&lt;=0,"",IF(BY125="Aussen","Aussenlager",IF(BY125="-","Nicht im Lift",IF(AM125&gt;=1,"Lift",IF(AM125&lt;=0,"Aussenlager","teilweise")))))</f>
        <v>Lift</v>
      </c>
      <c r="BE125" s="55" t="str">
        <f aca="false">IF(AP125&lt;=0,"",IF(BY125="Aussen","Aussenlager",IF(BY125="-","Nicht im Lift",IF(AU125&gt;=1,"Lift",IF(AU125&lt;=0,"Aussenlager","teilweise")))))</f>
        <v>Lift</v>
      </c>
      <c r="BF125" s="55" t="str">
        <f aca="false">IF(AX125&lt;=0,"",IF(BY125="Aussen","Aussenlager",IF(BY125="-","Nicht im Lift",IF(BC125&gt;=1,"Lift",IF(BC125&lt;=0,"Aussenlager","teilweise")))))</f>
        <v>Lift</v>
      </c>
      <c r="BG125" s="55" t="str">
        <f aca="false">IF(A125="","",IF(BP125=1,"Neu; ","")&amp;IF(AND(BP125=0,BK125&lt;0),"negativer Bestand (Export "&amp;BK125&amp;"); ","")&amp;IF(J125&lt;=0,"Kein Verbrauch; ","")&amp;IF(CH125&gt;0,"Lift "&amp;W125&amp;" lt. Liftbericht (Fach "&amp;X125&amp;" Stk); ",IF(BU125=1,"Gebinde geschätzt ("&amp;T125&amp;"); ",IF(BT125=1,"Lose – Tablare geschätzt; ","")))&amp;IF(H125&gt;AR125,"Überbestand "&amp;ROUND(H125-AR125,0)&amp;" Stk / CHF "&amp;ROUND((H125-AR125)*G125,0)&amp;"; ","")&amp;IF(AND(CA125=1,CB125&lt;CC125),"MAX &lt; MB+LG; ","")&amp;IF(AND(CG125&gt;0,CF125*10&gt;CG125),"zu hoch für Tablar; ","")&amp;IF(AND(BP125=0,OR(CA125=1,AA125&lt;&gt;"",U125&lt;&gt;"",V125&lt;&gt;"",AB125&lt;&gt;"")),"manuell übersteuert; ","")&amp;IF(AND(BT125=0,R125=0),"Gebinde unbekannt / Stellmass fehlt; ","")&amp;IF(AND(BT125=0,N(V125)&lt;=0,N(Q125)&lt;=0),"Menge pro Gebinde fehlt (Ist = 1 Gebinde); ","")&amp;BO125)</f>
        <v/>
      </c>
      <c r="BH125" s="55"/>
      <c r="BI125" s="55"/>
      <c r="BJ125" s="62"/>
      <c r="BK125" s="57" t="n">
        <v>3</v>
      </c>
      <c r="BL125" s="57" t="n">
        <v>2</v>
      </c>
      <c r="BM125" s="56" t="n">
        <v>1783</v>
      </c>
      <c r="BN125" s="57" t="n">
        <v>2</v>
      </c>
      <c r="BO125" s="55"/>
      <c r="BP125" s="60" t="n">
        <v>0</v>
      </c>
      <c r="BQ125" s="60" t="n">
        <v>125</v>
      </c>
      <c r="BR125" s="55" t="str">
        <f aca="false">IF(U125&lt;&gt;"",UPPER(TRIM(U125)),IF(BU125=1,UPPER(VLOOKUP(T125,Parameter!$I$27:$K$29,2,0)),IF(P125="","LOSE",P125)))</f>
        <v>S61</v>
      </c>
      <c r="BS125" s="57" t="n">
        <f aca="false">IF(BR125="LOSE",1,IF(N(V125)&gt;0,V125,IF(BU125=1,MAX(1,N(VLOOKUP(T125,Parameter!$I$27:$K$29,3,0)),H125,N(N125)),IF(N(Q125)&gt;0,Q125,MAX(1,H125)))))</f>
        <v>7</v>
      </c>
      <c r="BT125" s="60" t="n">
        <f aca="false">IF(BR125="LOSE",1,0)</f>
        <v>0</v>
      </c>
      <c r="BU125" s="60" t="n">
        <f aca="false">IF(AND(U125="",OR(P125="",P125="LOSE"),T125&lt;&gt;"",N(S125)&lt;=0,ISNUMBER(MATCH(T125,Parameter!$I$27:$I$29,0))),1,0)</f>
        <v>0</v>
      </c>
      <c r="BV125" s="55" t="str">
        <f aca="false">IF(AND(Parameter!$B$19="Ja",E125&lt;&gt;"",ISNUMBER(MATCH(E125,Parameter!$I$35:$I$52,0))),VLOOKUP(E125,Parameter!$I$35:$J$52,2,0),IFERROR(VLOOKUP(D125,Parameter!$A$35:$C$64,2,0),"Nein"))</f>
        <v>2+3</v>
      </c>
      <c r="BW125" s="59" t="n">
        <f aca="false">IF(BT125=0,0,IF(N(S125)&gt;0,S125,IFERROR(VLOOKUP(D125,Parameter!$A$35:$C$64,3,0)+0,0)))</f>
        <v>0</v>
      </c>
      <c r="BX125" s="55" t="n">
        <f aca="false">IF(AA125&lt;&gt;"",AA125,Z125)</f>
        <v>2</v>
      </c>
      <c r="BY125" s="55" t="str">
        <f aca="false">IF(BX125=1,"L1",IF(OR(BX125=2,BX125=3),"L23",IF(BX125="Aussen","Aussen","-")))</f>
        <v>L23</v>
      </c>
      <c r="BZ125" s="66" t="n">
        <f aca="false">IF(N(AB125)&gt;0,AB125,0)</f>
        <v>0</v>
      </c>
      <c r="CA125" s="60" t="n">
        <f aca="false">IF(ISNUMBER(AE125),1,0)</f>
        <v>0</v>
      </c>
      <c r="CB125" s="57" t="n">
        <f aca="false">N(AE125)</f>
        <v>0</v>
      </c>
      <c r="CC125" s="57" t="n">
        <f aca="false">N(M125)+N(N125)</f>
        <v>1</v>
      </c>
      <c r="CD125" s="57" t="n">
        <f aca="false">ROUNDUP(H125/BS125,0)</f>
        <v>1</v>
      </c>
      <c r="CE125" s="57" t="n">
        <f aca="false">ROUNDUP(CB125/BS125,0)</f>
        <v>0</v>
      </c>
      <c r="CF125" s="60" t="n">
        <f aca="false">IF(BT125=1,0,IFERROR(VLOOKUP(BR125,'Gebinde-Kategorie'!$A$5:$M$45,5,0)+0,0))</f>
        <v>11</v>
      </c>
      <c r="CG125" s="60" t="n">
        <f aca="false">IFERROR(IF(OR(BX125=1,BX125=2,BX125=3),N(INDEX(Parameter!$I$5:$I$7,BX125)),0),0)</f>
        <v>0</v>
      </c>
      <c r="CH125" s="59" t="n">
        <f aca="false">IF(AND(Parameter!$B$21="Ja",ISNUMBER(W125),N(X125)&gt;0),IFERROR(N(INDEX(Parameter!$L$5:$L$7,W125))*INDEX(Parameter!$E$5:$E$7,W125)*X125/SUMIFS($X$7:$X$1843,$W$7:$W$1843,W125),0),0)</f>
        <v>0</v>
      </c>
    </row>
    <row r="126" customFormat="false" ht="15" hidden="false" customHeight="false" outlineLevel="0" collapsed="false">
      <c r="A126" s="55" t="s">
        <v>461</v>
      </c>
      <c r="B126" s="55" t="s">
        <v>462</v>
      </c>
      <c r="C126" s="55" t="s">
        <v>164</v>
      </c>
      <c r="D126" s="55" t="s">
        <v>165</v>
      </c>
      <c r="E126" s="55"/>
      <c r="F126" s="55" t="s">
        <v>218</v>
      </c>
      <c r="G126" s="56" t="n">
        <v>222.71</v>
      </c>
      <c r="H126" s="57" t="n">
        <f aca="false">MAX(0,IF(AND(Parameter!$B$21="Ja",ISNUMBER(Y126)),Y126,IF(Parameter!$B$20="Jahresanfang 2025 + Export",BL126+BK126,BK126)))</f>
        <v>8</v>
      </c>
      <c r="I126" s="57" t="n">
        <f aca="false">H126*G126</f>
        <v>1781.68</v>
      </c>
      <c r="J126" s="57" t="n">
        <f aca="false">BN126*Parameter!$B$18</f>
        <v>0</v>
      </c>
      <c r="K126" s="58" t="n">
        <v>4</v>
      </c>
      <c r="L126" s="59" t="n">
        <v>0</v>
      </c>
      <c r="M126" s="57" t="n">
        <v>0</v>
      </c>
      <c r="N126" s="57" t="n">
        <v>1</v>
      </c>
      <c r="O126" s="60" t="n">
        <v>42</v>
      </c>
      <c r="P126" s="55" t="s">
        <v>168</v>
      </c>
      <c r="Q126" s="57"/>
      <c r="R126" s="60" t="n">
        <f aca="false">IF(BT126=1,0,IFERROR(VLOOKUP(BR126,'Gebinde-Kategorie'!$A$5:$M$45,13,0)+0,0))</f>
        <v>0</v>
      </c>
      <c r="S126" s="61"/>
      <c r="T126" s="62"/>
      <c r="U126" s="62"/>
      <c r="V126" s="62"/>
      <c r="W126" s="55" t="n">
        <v>1</v>
      </c>
      <c r="X126" s="57" t="n">
        <v>8</v>
      </c>
      <c r="Y126" s="57" t="n">
        <v>8</v>
      </c>
      <c r="Z126" s="55" t="n">
        <f aca="false">IF(A126="","",IF(AND(Parameter!$B$21="Ja",ISNUMBER(W126)),W126,IF(BV126="2+3",IF(ISNUMBER(SEARCH("grosser Artikel",BO126)),2,IFERROR(VLOOKUP(BR126,Parameter!$F$35:$G$64,2,0),2)),IF(OR(BV126="Nein",BV126=""),"-",BV126))))</f>
        <v>1</v>
      </c>
      <c r="AA126" s="62"/>
      <c r="AB126" s="63"/>
      <c r="AC126" s="57" t="n">
        <f aca="false">AR126</f>
        <v>1</v>
      </c>
      <c r="AD126" s="57" t="n">
        <f aca="false">MAX(AR126,H126)</f>
        <v>8</v>
      </c>
      <c r="AE126" s="64"/>
      <c r="AF126" s="57" t="n">
        <f aca="false">IF(LEFT(Cockpit!$C$5,1)="A",H126,IF(CA126=1,CB126,IF(LEFT(Cockpit!$C$5,1)="B",AJ126,MAX(AJ126,H126))))</f>
        <v>8</v>
      </c>
      <c r="AG126" s="57" t="n">
        <f aca="false">IF(BT126=1,0,ROUNDUP(AF126/BS126,0))</f>
        <v>0</v>
      </c>
      <c r="AH126" s="59" t="n">
        <f aca="false">IF(CH126&gt;0,CH126*MAX(1,AF126/X126),IF(BT126=1,IF(AF126&lt;=0,0,BW126*MAX(1,IF(H126&gt;0,AF126/H126,1))),IF(R126&gt;0,AG126/R126,0))/MAX(0.1,N(Parameter!$M$21)))</f>
        <v>0.64030131826742</v>
      </c>
      <c r="AI126" s="57" t="n">
        <f aca="false">AF126*G126</f>
        <v>1781.68</v>
      </c>
      <c r="AJ126" s="57" t="n">
        <f aca="false">ROUNDUP(MAX(J126/IF(BZ126&gt;0,BZ126,MAX(0.1,N(Cockpit!$C$6))),CC126)/BS126,0)*BS126</f>
        <v>1</v>
      </c>
      <c r="AK126" s="58" t="n">
        <f aca="false">IF(AH126&gt;0,J126/AH126,-1)</f>
        <v>0</v>
      </c>
      <c r="AL126" s="58" t="n">
        <f aca="false">IF(AND(OR(BY126="L1",BY126="L23"),AH126&gt;0),SUMIFS($AH$7:$AH$1843,$BY$7:$BY$1843,BY126,$AK$7:$AK$1843,"&gt;"&amp;AK126)+SUMIFS($AH$7:$AH$1843,$BY$7:$BY$1843,BY126,$AK$7:$AK$1843,AK126,$BQ$7:$BQ$1843,"&lt;="&amp;BQ126),"")</f>
        <v>51.4900074951659</v>
      </c>
      <c r="AM126" s="65" t="n">
        <f aca="false">IF(AL126="",0,MAX(0,MIN(1,(IF(BY126="L1",Parameter!$E$5,Parameter!$E$6+Parameter!$E$7)-(AL126-AH126))/AH126)))</f>
        <v>0</v>
      </c>
      <c r="AN126" s="57" t="n">
        <f aca="false">IF(LEFT(Cockpit!$I$5,1)="A",H126,IF(CA126=1,CB126,IF(LEFT(Cockpit!$I$5,1)="B",AR126,MAX(AR126,H126))))</f>
        <v>8</v>
      </c>
      <c r="AO126" s="57" t="n">
        <f aca="false">IF(BT126=1,0,ROUNDUP(AN126/BS126,0))</f>
        <v>0</v>
      </c>
      <c r="AP126" s="59" t="n">
        <f aca="false">IF(CH126&gt;0,CH126*MAX(1,AN126/X126),IF(BT126=1,IF(AN126&lt;=0,0,BW126*MAX(1,IF(H126&gt;0,AN126/H126,1))),IF(R126&gt;0,AO126/R126,0))/MAX(0.1,N(Parameter!$M$21)))</f>
        <v>0.64030131826742</v>
      </c>
      <c r="AQ126" s="57" t="n">
        <f aca="false">AN126*G126</f>
        <v>1781.68</v>
      </c>
      <c r="AR126" s="57" t="n">
        <f aca="false">ROUNDUP(MAX(J126/IF(BZ126&gt;0,BZ126,MAX(0.1,N(Cockpit!$I$6))),CC126)/BS126,0)*BS126</f>
        <v>1</v>
      </c>
      <c r="AS126" s="58" t="n">
        <f aca="false">IF(AP126&gt;0,J126/AP126,-1)</f>
        <v>0</v>
      </c>
      <c r="AT126" s="58" t="n">
        <f aca="false">IF(AND(OR(BY126="L1",BY126="L23"),AP126&gt;0),SUMIFS($AP$7:$AP$1843,$BY$7:$BY$1843,BY126,$AS$7:$AS$1843,"&gt;"&amp;AS126)+SUMIFS($AP$7:$AP$1843,$BY$7:$BY$1843,BY126,$AS$7:$AS$1843,AS126,$BQ$7:$BQ$1843,"&lt;="&amp;BQ126),"")</f>
        <v>67.0029004402623</v>
      </c>
      <c r="AU126" s="65" t="n">
        <f aca="false">IF(AT126="",0,MAX(0,MIN(1,(IF(BY126="L1",Parameter!$E$5,Parameter!$E$6+Parameter!$E$7)-(AT126-AP126))/AP126)))</f>
        <v>0</v>
      </c>
      <c r="AV126" s="57" t="n">
        <f aca="false">IF(LEFT(Cockpit!$O$5,1)="A",H126,IF(CA126=1,CB126,IF(LEFT(Cockpit!$O$5,1)="B",AZ126,MAX(AZ126,H126))))</f>
        <v>8</v>
      </c>
      <c r="AW126" s="57" t="n">
        <f aca="false">IF(BT126=1,0,ROUNDUP(AV126/BS126,0))</f>
        <v>0</v>
      </c>
      <c r="AX126" s="59" t="n">
        <f aca="false">IF(CH126&gt;0,CH126*MAX(1,AV126/X126),IF(BT126=1,IF(AV126&lt;=0,0,BW126*MAX(1,IF(H126&gt;0,AV126/H126,1))),IF(R126&gt;0,AW126/R126,0))/MAX(0.1,N(Parameter!$M$21)))</f>
        <v>0.64030131826742</v>
      </c>
      <c r="AY126" s="57" t="n">
        <f aca="false">AV126*G126</f>
        <v>1781.68</v>
      </c>
      <c r="AZ126" s="57" t="n">
        <f aca="false">ROUNDUP(MAX(J126/IF(BZ126&gt;0,BZ126,MAX(0.1,N(Cockpit!$O$6))),CC126)/BS126,0)*BS126</f>
        <v>1</v>
      </c>
      <c r="BA126" s="58" t="n">
        <f aca="false">IF(AX126&gt;0,J126/AX126,-1)</f>
        <v>0</v>
      </c>
      <c r="BB126" s="58" t="n">
        <f aca="false">IF(AND(OR(BY126="L1",BY126="L23"),AX126&gt;0),SUMIFS($AX$7:$AX$1843,$BY$7:$BY$1843,BY126,$BA$7:$BA$1843,"&gt;"&amp;BA126)+SUMIFS($AX$7:$AX$1843,$BY$7:$BY$1843,BY126,$BA$7:$BA$1843,BA126,$BQ$7:$BQ$1843,"&lt;="&amp;BQ126),"")</f>
        <v>60.6697119714806</v>
      </c>
      <c r="BC126" s="65" t="n">
        <f aca="false">IF(BB126="",0,MAX(0,MIN(1,(IF(BY126="L1",Parameter!$E$5,Parameter!$E$6+Parameter!$E$7)-(BB126-AX126))/AX126)))</f>
        <v>0</v>
      </c>
      <c r="BD126" s="55" t="str">
        <f aca="false">IF(AH126&lt;=0,"",IF(BY126="Aussen","Aussenlager",IF(BY126="-","Nicht im Lift",IF(AM126&gt;=1,"Lift",IF(AM126&lt;=0,"Aussenlager","teilweise")))))</f>
        <v>Aussenlager</v>
      </c>
      <c r="BE126" s="55" t="str">
        <f aca="false">IF(AP126&lt;=0,"",IF(BY126="Aussen","Aussenlager",IF(BY126="-","Nicht im Lift",IF(AU126&gt;=1,"Lift",IF(AU126&lt;=0,"Aussenlager","teilweise")))))</f>
        <v>Aussenlager</v>
      </c>
      <c r="BF126" s="55" t="str">
        <f aca="false">IF(AX126&lt;=0,"",IF(BY126="Aussen","Aussenlager",IF(BY126="-","Nicht im Lift",IF(BC126&gt;=1,"Lift",IF(BC126&lt;=0,"Aussenlager","teilweise")))))</f>
        <v>Aussenlager</v>
      </c>
      <c r="BG126" s="55" t="str">
        <f aca="false">IF(A126="","",IF(BP126=1,"Neu; ","")&amp;IF(AND(BP126=0,BK126&lt;0),"negativer Bestand (Export "&amp;BK126&amp;"); ","")&amp;IF(J126&lt;=0,"Kein Verbrauch; ","")&amp;IF(CH126&gt;0,"Lift "&amp;W126&amp;" lt. Liftbericht (Fach "&amp;X126&amp;" Stk); ",IF(BU126=1,"Gebinde geschätzt ("&amp;T126&amp;"); ",IF(BT126=1,"Lose – Tablare geschätzt; ","")))&amp;IF(H126&gt;AR126,"Überbestand "&amp;ROUND(H126-AR126,0)&amp;" Stk / CHF "&amp;ROUND((H126-AR126)*G126,0)&amp;"; ","")&amp;IF(AND(CA126=1,CB126&lt;CC126),"MAX &lt; MB+LG; ","")&amp;IF(AND(CG126&gt;0,CF126*10&gt;CG126),"zu hoch für Tablar; ","")&amp;IF(AND(BP126=0,OR(CA126=1,AA126&lt;&gt;"",U126&lt;&gt;"",V126&lt;&gt;"",AB126&lt;&gt;"")),"manuell übersteuert; ","")&amp;IF(AND(BT126=0,R126=0),"Gebinde unbekannt / Stellmass fehlt; ","")&amp;IF(AND(BT126=0,N(V126)&lt;=0,N(Q126)&lt;=0),"Menge pro Gebinde fehlt (Ist = 1 Gebinde); ","")&amp;BO126)</f>
        <v>Kein Verbrauch; Lift 1 lt. Liftbericht (Fach 8 Stk); Überbestand 7 Stk / CHF 1559; </v>
      </c>
      <c r="BH126" s="55"/>
      <c r="BI126" s="55"/>
      <c r="BJ126" s="62"/>
      <c r="BK126" s="57" t="n">
        <v>8</v>
      </c>
      <c r="BL126" s="57" t="n">
        <v>0</v>
      </c>
      <c r="BM126" s="56" t="n">
        <v>1781.68</v>
      </c>
      <c r="BN126" s="57" t="n">
        <v>0</v>
      </c>
      <c r="BO126" s="55"/>
      <c r="BP126" s="60" t="n">
        <v>0</v>
      </c>
      <c r="BQ126" s="60" t="n">
        <v>126</v>
      </c>
      <c r="BR126" s="55" t="str">
        <f aca="false">IF(U126&lt;&gt;"",UPPER(TRIM(U126)),IF(BU126=1,UPPER(VLOOKUP(T126,Parameter!$I$27:$K$29,2,0)),IF(P126="","LOSE",P126)))</f>
        <v>LOSE</v>
      </c>
      <c r="BS126" s="57" t="n">
        <f aca="false">IF(BR126="LOSE",1,IF(N(V126)&gt;0,V126,IF(BU126=1,MAX(1,N(VLOOKUP(T126,Parameter!$I$27:$K$29,3,0)),H126,N(N126)),IF(N(Q126)&gt;0,Q126,MAX(1,H126)))))</f>
        <v>1</v>
      </c>
      <c r="BT126" s="60" t="n">
        <f aca="false">IF(BR126="LOSE",1,0)</f>
        <v>1</v>
      </c>
      <c r="BU126" s="60" t="n">
        <f aca="false">IF(AND(U126="",OR(P126="",P126="LOSE"),T126&lt;&gt;"",N(S126)&lt;=0,ISNUMBER(MATCH(T126,Parameter!$I$27:$I$29,0))),1,0)</f>
        <v>0</v>
      </c>
      <c r="BV126" s="55" t="n">
        <f aca="false">IF(AND(Parameter!$B$19="Ja",E126&lt;&gt;"",ISNUMBER(MATCH(E126,Parameter!$I$35:$I$52,0))),VLOOKUP(E126,Parameter!$I$35:$J$52,2,0),IFERROR(VLOOKUP(D126,Parameter!$A$35:$C$64,2,0),"Nein"))</f>
        <v>1</v>
      </c>
      <c r="BW126" s="59" t="n">
        <f aca="false">IF(BT126=0,0,IF(N(S126)&gt;0,S126,IFERROR(VLOOKUP(D126,Parameter!$A$35:$C$64,3,0)+0,0)))</f>
        <v>1</v>
      </c>
      <c r="BX126" s="55" t="n">
        <f aca="false">IF(AA126&lt;&gt;"",AA126,Z126)</f>
        <v>1</v>
      </c>
      <c r="BY126" s="55" t="str">
        <f aca="false">IF(BX126=1,"L1",IF(OR(BX126=2,BX126=3),"L23",IF(BX126="Aussen","Aussen","-")))</f>
        <v>L1</v>
      </c>
      <c r="BZ126" s="66" t="n">
        <f aca="false">IF(N(AB126)&gt;0,AB126,0)</f>
        <v>0</v>
      </c>
      <c r="CA126" s="60" t="n">
        <f aca="false">IF(ISNUMBER(AE126),1,0)</f>
        <v>0</v>
      </c>
      <c r="CB126" s="57" t="n">
        <f aca="false">N(AE126)</f>
        <v>0</v>
      </c>
      <c r="CC126" s="57" t="n">
        <f aca="false">N(M126)+N(N126)</f>
        <v>1</v>
      </c>
      <c r="CD126" s="57" t="n">
        <f aca="false">ROUNDUP(H126/BS126,0)</f>
        <v>8</v>
      </c>
      <c r="CE126" s="57" t="n">
        <f aca="false">ROUNDUP(CB126/BS126,0)</f>
        <v>0</v>
      </c>
      <c r="CF126" s="60" t="n">
        <f aca="false">IF(BT126=1,0,IFERROR(VLOOKUP(BR126,'Gebinde-Kategorie'!$A$5:$M$45,5,0)+0,0))</f>
        <v>0</v>
      </c>
      <c r="CG126" s="60" t="n">
        <f aca="false">IFERROR(IF(OR(BX126=1,BX126=2,BX126=3),N(INDEX(Parameter!$I$5:$I$7,BX126)),0),0)</f>
        <v>0</v>
      </c>
      <c r="CH126" s="59" t="n">
        <f aca="false">IF(AND(Parameter!$B$21="Ja",ISNUMBER(W126),N(X126)&gt;0),IFERROR(N(INDEX(Parameter!$L$5:$L$7,W126))*INDEX(Parameter!$E$5:$E$7,W126)*X126/SUMIFS($X$7:$X$1843,$W$7:$W$1843,W126),0),0)</f>
        <v>0.64030131826742</v>
      </c>
    </row>
    <row r="127" customFormat="false" ht="15" hidden="false" customHeight="false" outlineLevel="0" collapsed="false">
      <c r="A127" s="55" t="s">
        <v>463</v>
      </c>
      <c r="B127" s="55" t="s">
        <v>464</v>
      </c>
      <c r="C127" s="55" t="s">
        <v>164</v>
      </c>
      <c r="D127" s="55" t="s">
        <v>173</v>
      </c>
      <c r="E127" s="55" t="s">
        <v>465</v>
      </c>
      <c r="F127" s="55" t="s">
        <v>218</v>
      </c>
      <c r="G127" s="56" t="n">
        <v>19.53</v>
      </c>
      <c r="H127" s="57" t="n">
        <f aca="false">MAX(0,IF(AND(Parameter!$B$21="Ja",ISNUMBER(Y127)),Y127,IF(Parameter!$B$20="Jahresanfang 2025 + Export",BL127+BK127,BK127)))</f>
        <v>113</v>
      </c>
      <c r="I127" s="57" t="n">
        <f aca="false">H127*G127</f>
        <v>2206.89</v>
      </c>
      <c r="J127" s="57" t="n">
        <f aca="false">BN127*Parameter!$B$18</f>
        <v>25</v>
      </c>
      <c r="K127" s="58" t="n">
        <v>89</v>
      </c>
      <c r="L127" s="59" t="n">
        <v>0.280898876404494</v>
      </c>
      <c r="M127" s="57" t="n">
        <v>1</v>
      </c>
      <c r="N127" s="57" t="n">
        <v>25</v>
      </c>
      <c r="O127" s="60" t="n">
        <v>21</v>
      </c>
      <c r="P127" s="55" t="s">
        <v>168</v>
      </c>
      <c r="Q127" s="57"/>
      <c r="R127" s="60" t="n">
        <f aca="false">IF(BT127=1,0,IFERROR(VLOOKUP(BR127,'Gebinde-Kategorie'!$A$5:$M$45,13,0)+0,0))</f>
        <v>3</v>
      </c>
      <c r="S127" s="61"/>
      <c r="T127" s="62" t="s">
        <v>189</v>
      </c>
      <c r="U127" s="62"/>
      <c r="V127" s="62"/>
      <c r="W127" s="55"/>
      <c r="X127" s="57"/>
      <c r="Y127" s="57"/>
      <c r="Z127" s="55" t="str">
        <f aca="false">IF(A127="","",IF(AND(Parameter!$B$21="Ja",ISNUMBER(W127)),W127,IF(BV127="2+3",IF(ISNUMBER(SEARCH("grosser Artikel",BO127)),2,IFERROR(VLOOKUP(BR127,Parameter!$F$35:$G$64,2,0),2)),IF(OR(BV127="Nein",BV127=""),"-",BV127))))</f>
        <v>-</v>
      </c>
      <c r="AA127" s="62"/>
      <c r="AB127" s="63"/>
      <c r="AC127" s="57" t="n">
        <f aca="false">AR127</f>
        <v>113</v>
      </c>
      <c r="AD127" s="57" t="n">
        <f aca="false">MAX(AR127,H127)</f>
        <v>113</v>
      </c>
      <c r="AE127" s="64"/>
      <c r="AF127" s="57" t="n">
        <f aca="false">IF(LEFT(Cockpit!$C$5,1)="A",H127,IF(CA127=1,CB127,IF(LEFT(Cockpit!$C$5,1)="B",AJ127,MAX(AJ127,H127))))</f>
        <v>113</v>
      </c>
      <c r="AG127" s="57" t="n">
        <f aca="false">IF(BT127=1,0,ROUNDUP(AF127/BS127,0))</f>
        <v>1</v>
      </c>
      <c r="AH127" s="59" t="n">
        <f aca="false">IF(CH127&gt;0,CH127*MAX(1,AF127/X127),IF(BT127=1,IF(AF127&lt;=0,0,BW127*MAX(1,IF(H127&gt;0,AF127/H127,1))),IF(R127&gt;0,AG127/R127,0))/MAX(0.1,N(Parameter!$M$21)))</f>
        <v>0.333333333333333</v>
      </c>
      <c r="AI127" s="57" t="n">
        <f aca="false">AF127*G127</f>
        <v>2206.89</v>
      </c>
      <c r="AJ127" s="57" t="n">
        <f aca="false">ROUNDUP(MAX(J127/IF(BZ127&gt;0,BZ127,MAX(0.1,N(Cockpit!$C$6))),CC127)/BS127,0)*BS127</f>
        <v>113</v>
      </c>
      <c r="AK127" s="58" t="n">
        <f aca="false">IF(AH127&gt;0,J127/AH127,-1)</f>
        <v>75</v>
      </c>
      <c r="AL127" s="58" t="str">
        <f aca="false">IF(AND(OR(BY127="L1",BY127="L23"),AH127&gt;0),SUMIFS($AH$7:$AH$1843,$BY$7:$BY$1843,BY127,$AK$7:$AK$1843,"&gt;"&amp;AK127)+SUMIFS($AH$7:$AH$1843,$BY$7:$BY$1843,BY127,$AK$7:$AK$1843,AK127,$BQ$7:$BQ$1843,"&lt;="&amp;BQ127),"")</f>
        <v/>
      </c>
      <c r="AM127" s="65" t="n">
        <f aca="false">IF(AL127="",0,MAX(0,MIN(1,(IF(BY127="L1",Parameter!$E$5,Parameter!$E$6+Parameter!$E$7)-(AL127-AH127))/AH127)))</f>
        <v>0</v>
      </c>
      <c r="AN127" s="57" t="n">
        <f aca="false">IF(LEFT(Cockpit!$I$5,1)="A",H127,IF(CA127=1,CB127,IF(LEFT(Cockpit!$I$5,1)="B",AR127,MAX(AR127,H127))))</f>
        <v>113</v>
      </c>
      <c r="AO127" s="57" t="n">
        <f aca="false">IF(BT127=1,0,ROUNDUP(AN127/BS127,0))</f>
        <v>1</v>
      </c>
      <c r="AP127" s="59" t="n">
        <f aca="false">IF(CH127&gt;0,CH127*MAX(1,AN127/X127),IF(BT127=1,IF(AN127&lt;=0,0,BW127*MAX(1,IF(H127&gt;0,AN127/H127,1))),IF(R127&gt;0,AO127/R127,0))/MAX(0.1,N(Parameter!$M$21)))</f>
        <v>0.333333333333333</v>
      </c>
      <c r="AQ127" s="57" t="n">
        <f aca="false">AN127*G127</f>
        <v>2206.89</v>
      </c>
      <c r="AR127" s="57" t="n">
        <f aca="false">ROUNDUP(MAX(J127/IF(BZ127&gt;0,BZ127,MAX(0.1,N(Cockpit!$I$6))),CC127)/BS127,0)*BS127</f>
        <v>113</v>
      </c>
      <c r="AS127" s="58" t="n">
        <f aca="false">IF(AP127&gt;0,J127/AP127,-1)</f>
        <v>75</v>
      </c>
      <c r="AT127" s="58" t="str">
        <f aca="false">IF(AND(OR(BY127="L1",BY127="L23"),AP127&gt;0),SUMIFS($AP$7:$AP$1843,$BY$7:$BY$1843,BY127,$AS$7:$AS$1843,"&gt;"&amp;AS127)+SUMIFS($AP$7:$AP$1843,$BY$7:$BY$1843,BY127,$AS$7:$AS$1843,AS127,$BQ$7:$BQ$1843,"&lt;="&amp;BQ127),"")</f>
        <v/>
      </c>
      <c r="AU127" s="65" t="n">
        <f aca="false">IF(AT127="",0,MAX(0,MIN(1,(IF(BY127="L1",Parameter!$E$5,Parameter!$E$6+Parameter!$E$7)-(AT127-AP127))/AP127)))</f>
        <v>0</v>
      </c>
      <c r="AV127" s="57" t="n">
        <f aca="false">IF(LEFT(Cockpit!$O$5,1)="A",H127,IF(CA127=1,CB127,IF(LEFT(Cockpit!$O$5,1)="B",AZ127,MAX(AZ127,H127))))</f>
        <v>113</v>
      </c>
      <c r="AW127" s="57" t="n">
        <f aca="false">IF(BT127=1,0,ROUNDUP(AV127/BS127,0))</f>
        <v>1</v>
      </c>
      <c r="AX127" s="59" t="n">
        <f aca="false">IF(CH127&gt;0,CH127*MAX(1,AV127/X127),IF(BT127=1,IF(AV127&lt;=0,0,BW127*MAX(1,IF(H127&gt;0,AV127/H127,1))),IF(R127&gt;0,AW127/R127,0))/MAX(0.1,N(Parameter!$M$21)))</f>
        <v>0.333333333333333</v>
      </c>
      <c r="AY127" s="57" t="n">
        <f aca="false">AV127*G127</f>
        <v>2206.89</v>
      </c>
      <c r="AZ127" s="57" t="n">
        <f aca="false">ROUNDUP(MAX(J127/IF(BZ127&gt;0,BZ127,MAX(0.1,N(Cockpit!$O$6))),CC127)/BS127,0)*BS127</f>
        <v>113</v>
      </c>
      <c r="BA127" s="58" t="n">
        <f aca="false">IF(AX127&gt;0,J127/AX127,-1)</f>
        <v>75</v>
      </c>
      <c r="BB127" s="58" t="str">
        <f aca="false">IF(AND(OR(BY127="L1",BY127="L23"),AX127&gt;0),SUMIFS($AX$7:$AX$1843,$BY$7:$BY$1843,BY127,$BA$7:$BA$1843,"&gt;"&amp;BA127)+SUMIFS($AX$7:$AX$1843,$BY$7:$BY$1843,BY127,$BA$7:$BA$1843,BA127,$BQ$7:$BQ$1843,"&lt;="&amp;BQ127),"")</f>
        <v/>
      </c>
      <c r="BC127" s="65" t="n">
        <f aca="false">IF(BB127="",0,MAX(0,MIN(1,(IF(BY127="L1",Parameter!$E$5,Parameter!$E$6+Parameter!$E$7)-(BB127-AX127))/AX127)))</f>
        <v>0</v>
      </c>
      <c r="BD127" s="55" t="str">
        <f aca="false">IF(AH127&lt;=0,"",IF(BY127="Aussen","Aussenlager",IF(BY127="-","Nicht im Lift",IF(AM127&gt;=1,"Lift",IF(AM127&lt;=0,"Aussenlager","teilweise")))))</f>
        <v>Nicht im Lift</v>
      </c>
      <c r="BE127" s="55" t="str">
        <f aca="false">IF(AP127&lt;=0,"",IF(BY127="Aussen","Aussenlager",IF(BY127="-","Nicht im Lift",IF(AU127&gt;=1,"Lift",IF(AU127&lt;=0,"Aussenlager","teilweise")))))</f>
        <v>Nicht im Lift</v>
      </c>
      <c r="BF127" s="55" t="str">
        <f aca="false">IF(AX127&lt;=0,"",IF(BY127="Aussen","Aussenlager",IF(BY127="-","Nicht im Lift",IF(BC127&gt;=1,"Lift",IF(BC127&lt;=0,"Aussenlager","teilweise")))))</f>
        <v>Nicht im Lift</v>
      </c>
      <c r="BG127" s="55" t="str">
        <f aca="false">IF(A127="","",IF(BP127=1,"Neu; ","")&amp;IF(AND(BP127=0,BK127&lt;0),"negativer Bestand (Export "&amp;BK127&amp;"); ","")&amp;IF(J127&lt;=0,"Kein Verbrauch; ","")&amp;IF(CH127&gt;0,"Lift "&amp;W127&amp;" lt. Liftbericht (Fach "&amp;X127&amp;" Stk); ",IF(BU127=1,"Gebinde geschätzt ("&amp;T127&amp;"); ",IF(BT127=1,"Lose – Tablare geschätzt; ","")))&amp;IF(H127&gt;AR127,"Überbestand "&amp;ROUND(H127-AR127,0)&amp;" Stk / CHF "&amp;ROUND((H127-AR127)*G127,0)&amp;"; ","")&amp;IF(AND(CA127=1,CB127&lt;CC127),"MAX &lt; MB+LG; ","")&amp;IF(AND(CG127&gt;0,CF127*10&gt;CG127),"zu hoch für Tablar; ","")&amp;IF(AND(BP127=0,OR(CA127=1,AA127&lt;&gt;"",U127&lt;&gt;"",V127&lt;&gt;"",AB127&lt;&gt;"")),"manuell übersteuert; ","")&amp;IF(AND(BT127=0,R127=0),"Gebinde unbekannt / Stellmass fehlt; ","")&amp;IF(AND(BT127=0,N(V127)&lt;=0,N(Q127)&lt;=0),"Menge pro Gebinde fehlt (Ist = 1 Gebinde); ","")&amp;BO127)</f>
        <v>Gebinde geschätzt (Gross); Menge pro Gebinde fehlt (Ist = 1 Gebinde); </v>
      </c>
      <c r="BH127" s="55"/>
      <c r="BI127" s="55"/>
      <c r="BJ127" s="62"/>
      <c r="BK127" s="57" t="n">
        <v>91</v>
      </c>
      <c r="BL127" s="57" t="n">
        <v>22</v>
      </c>
      <c r="BM127" s="56" t="n">
        <v>1776.13</v>
      </c>
      <c r="BN127" s="57" t="n">
        <v>25</v>
      </c>
      <c r="BO127" s="55"/>
      <c r="BP127" s="60" t="n">
        <v>0</v>
      </c>
      <c r="BQ127" s="60" t="n">
        <v>127</v>
      </c>
      <c r="BR127" s="55" t="str">
        <f aca="false">IF(U127&lt;&gt;"",UPPER(TRIM(U127)),IF(BU127=1,UPPER(VLOOKUP(T127,Parameter!$I$27:$K$29,2,0)),IF(P127="","LOSE",P127)))</f>
        <v>S81</v>
      </c>
      <c r="BS127" s="57" t="n">
        <f aca="false">IF(BR127="LOSE",1,IF(N(V127)&gt;0,V127,IF(BU127=1,MAX(1,N(VLOOKUP(T127,Parameter!$I$27:$K$29,3,0)),H127,N(N127)),IF(N(Q127)&gt;0,Q127,MAX(1,H127)))))</f>
        <v>113</v>
      </c>
      <c r="BT127" s="60" t="n">
        <f aca="false">IF(BR127="LOSE",1,0)</f>
        <v>0</v>
      </c>
      <c r="BU127" s="60" t="n">
        <f aca="false">IF(AND(U127="",OR(P127="",P127="LOSE"),T127&lt;&gt;"",N(S127)&lt;=0,ISNUMBER(MATCH(T127,Parameter!$I$27:$I$29,0))),1,0)</f>
        <v>1</v>
      </c>
      <c r="BV127" s="55" t="str">
        <f aca="false">IF(AND(Parameter!$B$19="Ja",E127&lt;&gt;"",ISNUMBER(MATCH(E127,Parameter!$I$35:$I$52,0))),VLOOKUP(E127,Parameter!$I$35:$J$52,2,0),IFERROR(VLOOKUP(D127,Parameter!$A$35:$C$64,2,0),"Nein"))</f>
        <v>Nein</v>
      </c>
      <c r="BW127" s="59" t="n">
        <f aca="false">IF(BT127=0,0,IF(N(S127)&gt;0,S127,IFERROR(VLOOKUP(D127,Parameter!$A$35:$C$64,3,0)+0,0)))</f>
        <v>0</v>
      </c>
      <c r="BX127" s="55" t="str">
        <f aca="false">IF(AA127&lt;&gt;"",AA127,Z127)</f>
        <v>-</v>
      </c>
      <c r="BY127" s="55" t="str">
        <f aca="false">IF(BX127=1,"L1",IF(OR(BX127=2,BX127=3),"L23",IF(BX127="Aussen","Aussen","-")))</f>
        <v>-</v>
      </c>
      <c r="BZ127" s="66" t="n">
        <f aca="false">IF(N(AB127)&gt;0,AB127,0)</f>
        <v>0</v>
      </c>
      <c r="CA127" s="60" t="n">
        <f aca="false">IF(ISNUMBER(AE127),1,0)</f>
        <v>0</v>
      </c>
      <c r="CB127" s="57" t="n">
        <f aca="false">N(AE127)</f>
        <v>0</v>
      </c>
      <c r="CC127" s="57" t="n">
        <f aca="false">N(M127)+N(N127)</f>
        <v>26</v>
      </c>
      <c r="CD127" s="57" t="n">
        <f aca="false">ROUNDUP(H127/BS127,0)</f>
        <v>1</v>
      </c>
      <c r="CE127" s="57" t="n">
        <f aca="false">ROUNDUP(CB127/BS127,0)</f>
        <v>0</v>
      </c>
      <c r="CF127" s="60" t="n">
        <f aca="false">IF(BT127=1,0,IFERROR(VLOOKUP(BR127,'Gebinde-Kategorie'!$A$5:$M$45,5,0)+0,0))</f>
        <v>20</v>
      </c>
      <c r="CG127" s="60" t="n">
        <f aca="false">IFERROR(IF(OR(BX127=1,BX127=2,BX127=3),N(INDEX(Parameter!$I$5:$I$7,BX127)),0),0)</f>
        <v>0</v>
      </c>
      <c r="CH127" s="59" t="n">
        <f aca="false">IF(AND(Parameter!$B$21="Ja",ISNUMBER(W127),N(X127)&gt;0),IFERROR(N(INDEX(Parameter!$L$5:$L$7,W127))*INDEX(Parameter!$E$5:$E$7,W127)*X127/SUMIFS($X$7:$X$1843,$W$7:$W$1843,W127),0),0)</f>
        <v>0</v>
      </c>
    </row>
    <row r="128" customFormat="false" ht="15" hidden="false" customHeight="false" outlineLevel="0" collapsed="false">
      <c r="A128" s="55" t="s">
        <v>466</v>
      </c>
      <c r="B128" s="55" t="s">
        <v>431</v>
      </c>
      <c r="C128" s="55" t="s">
        <v>164</v>
      </c>
      <c r="D128" s="55" t="s">
        <v>184</v>
      </c>
      <c r="E128" s="55" t="s">
        <v>185</v>
      </c>
      <c r="F128" s="55" t="s">
        <v>218</v>
      </c>
      <c r="G128" s="56" t="n">
        <v>110.3</v>
      </c>
      <c r="H128" s="57" t="n">
        <f aca="false">MAX(0,IF(AND(Parameter!$B$21="Ja",ISNUMBER(Y128)),Y128,IF(Parameter!$B$20="Jahresanfang 2025 + Export",BL128+BK128,BK128)))</f>
        <v>44</v>
      </c>
      <c r="I128" s="57" t="n">
        <f aca="false">H128*G128</f>
        <v>4853.2</v>
      </c>
      <c r="J128" s="57" t="n">
        <f aca="false">BN128*Parameter!$B$18</f>
        <v>73</v>
      </c>
      <c r="K128" s="58" t="n">
        <v>26.5</v>
      </c>
      <c r="L128" s="59" t="n">
        <v>2.75471698113208</v>
      </c>
      <c r="M128" s="57" t="n">
        <v>10</v>
      </c>
      <c r="N128" s="57" t="n">
        <v>40</v>
      </c>
      <c r="O128" s="60" t="n">
        <v>35</v>
      </c>
      <c r="P128" s="55" t="s">
        <v>293</v>
      </c>
      <c r="Q128" s="57" t="n">
        <v>75</v>
      </c>
      <c r="R128" s="60" t="n">
        <f aca="false">IF(BT128=1,0,IFERROR(VLOOKUP(BR128,'Gebinde-Kategorie'!$A$5:$M$45,13,0)+0,0))</f>
        <v>12</v>
      </c>
      <c r="S128" s="61"/>
      <c r="T128" s="62"/>
      <c r="U128" s="62"/>
      <c r="V128" s="62"/>
      <c r="W128" s="55"/>
      <c r="X128" s="57"/>
      <c r="Y128" s="57"/>
      <c r="Z128" s="55" t="n">
        <f aca="false">IF(A128="","",IF(AND(Parameter!$B$21="Ja",ISNUMBER(W128)),W128,IF(BV128="2+3",IF(ISNUMBER(SEARCH("grosser Artikel",BO128)),2,IFERROR(VLOOKUP(BR128,Parameter!$F$35:$G$64,2,0),2)),IF(OR(BV128="Nein",BV128=""),"-",BV128))))</f>
        <v>2</v>
      </c>
      <c r="AA128" s="62"/>
      <c r="AB128" s="63"/>
      <c r="AC128" s="57" t="n">
        <f aca="false">AR128</f>
        <v>75</v>
      </c>
      <c r="AD128" s="57" t="n">
        <f aca="false">MAX(AR128,H128)</f>
        <v>75</v>
      </c>
      <c r="AE128" s="64"/>
      <c r="AF128" s="57" t="n">
        <f aca="false">IF(LEFT(Cockpit!$C$5,1)="A",H128,IF(CA128=1,CB128,IF(LEFT(Cockpit!$C$5,1)="B",AJ128,MAX(AJ128,H128))))</f>
        <v>44</v>
      </c>
      <c r="AG128" s="57" t="n">
        <f aca="false">IF(BT128=1,0,ROUNDUP(AF128/BS128,0))</f>
        <v>1</v>
      </c>
      <c r="AH128" s="59" t="n">
        <f aca="false">IF(CH128&gt;0,CH128*MAX(1,AF128/X128),IF(BT128=1,IF(AF128&lt;=0,0,BW128*MAX(1,IF(H128&gt;0,AF128/H128,1))),IF(R128&gt;0,AG128/R128,0))/MAX(0.1,N(Parameter!$M$21)))</f>
        <v>0.0833333333333333</v>
      </c>
      <c r="AI128" s="57" t="n">
        <f aca="false">AF128*G128</f>
        <v>4853.2</v>
      </c>
      <c r="AJ128" s="57" t="n">
        <f aca="false">ROUNDUP(MAX(J128/IF(BZ128&gt;0,BZ128,MAX(0.1,N(Cockpit!$C$6))),CC128)/BS128,0)*BS128</f>
        <v>75</v>
      </c>
      <c r="AK128" s="58" t="n">
        <f aca="false">IF(AH128&gt;0,J128/AH128,-1)</f>
        <v>876</v>
      </c>
      <c r="AL128" s="58" t="n">
        <f aca="false">IF(AND(OR(BY128="L1",BY128="L23"),AH128&gt;0),SUMIFS($AH$7:$AH$1843,$BY$7:$BY$1843,BY128,$AK$7:$AK$1843,"&gt;"&amp;AK128)+SUMIFS($AH$7:$AH$1843,$BY$7:$BY$1843,BY128,$AK$7:$AK$1843,AK128,$BQ$7:$BQ$1843,"&lt;="&amp;BQ128),"")</f>
        <v>19.968742610047</v>
      </c>
      <c r="AM128" s="65" t="n">
        <f aca="false">IF(AL128="",0,MAX(0,MIN(1,(IF(BY128="L1",Parameter!$E$5,Parameter!$E$6+Parameter!$E$7)-(AL128-AH128))/AH128)))</f>
        <v>1</v>
      </c>
      <c r="AN128" s="57" t="n">
        <f aca="false">IF(LEFT(Cockpit!$I$5,1)="A",H128,IF(CA128=1,CB128,IF(LEFT(Cockpit!$I$5,1)="B",AR128,MAX(AR128,H128))))</f>
        <v>75</v>
      </c>
      <c r="AO128" s="57" t="n">
        <f aca="false">IF(BT128=1,0,ROUNDUP(AN128/BS128,0))</f>
        <v>1</v>
      </c>
      <c r="AP128" s="59" t="n">
        <f aca="false">IF(CH128&gt;0,CH128*MAX(1,AN128/X128),IF(BT128=1,IF(AN128&lt;=0,0,BW128*MAX(1,IF(H128&gt;0,AN128/H128,1))),IF(R128&gt;0,AO128/R128,0))/MAX(0.1,N(Parameter!$M$21)))</f>
        <v>0.0833333333333333</v>
      </c>
      <c r="AQ128" s="57" t="n">
        <f aca="false">AN128*G128</f>
        <v>8272.5</v>
      </c>
      <c r="AR128" s="57" t="n">
        <f aca="false">ROUNDUP(MAX(J128/IF(BZ128&gt;0,BZ128,MAX(0.1,N(Cockpit!$I$6))),CC128)/BS128,0)*BS128</f>
        <v>75</v>
      </c>
      <c r="AS128" s="58" t="n">
        <f aca="false">IF(AP128&gt;0,J128/AP128,-1)</f>
        <v>876</v>
      </c>
      <c r="AT128" s="58" t="n">
        <f aca="false">IF(AND(OR(BY128="L1",BY128="L23"),AP128&gt;0),SUMIFS($AP$7:$AP$1843,$BY$7:$BY$1843,BY128,$AS$7:$AS$1843,"&gt;"&amp;AS128)+SUMIFS($AP$7:$AP$1843,$BY$7:$BY$1843,BY128,$AS$7:$AS$1843,AS128,$BQ$7:$BQ$1843,"&lt;="&amp;BQ128),"")</f>
        <v>24.9927029492247</v>
      </c>
      <c r="AU128" s="65" t="n">
        <f aca="false">IF(AT128="",0,MAX(0,MIN(1,(IF(BY128="L1",Parameter!$E$5,Parameter!$E$6+Parameter!$E$7)-(AT128-AP128))/AP128)))</f>
        <v>1</v>
      </c>
      <c r="AV128" s="57" t="n">
        <f aca="false">IF(LEFT(Cockpit!$O$5,1)="A",H128,IF(CA128=1,CB128,IF(LEFT(Cockpit!$O$5,1)="B",AZ128,MAX(AZ128,H128))))</f>
        <v>75</v>
      </c>
      <c r="AW128" s="57" t="n">
        <f aca="false">IF(BT128=1,0,ROUNDUP(AV128/BS128,0))</f>
        <v>1</v>
      </c>
      <c r="AX128" s="59" t="n">
        <f aca="false">IF(CH128&gt;0,CH128*MAX(1,AV128/X128),IF(BT128=1,IF(AV128&lt;=0,0,BW128*MAX(1,IF(H128&gt;0,AV128/H128,1))),IF(R128&gt;0,AW128/R128,0))/MAX(0.1,N(Parameter!$M$21)))</f>
        <v>0.0833333333333333</v>
      </c>
      <c r="AY128" s="57" t="n">
        <f aca="false">AV128*G128</f>
        <v>8272.5</v>
      </c>
      <c r="AZ128" s="57" t="n">
        <f aca="false">ROUNDUP(MAX(J128/IF(BZ128&gt;0,BZ128,MAX(0.1,N(Cockpit!$O$6))),CC128)/BS128,0)*BS128</f>
        <v>75</v>
      </c>
      <c r="BA128" s="58" t="n">
        <f aca="false">IF(AX128&gt;0,J128/AX128,-1)</f>
        <v>876</v>
      </c>
      <c r="BB128" s="58" t="n">
        <f aca="false">IF(AND(OR(BY128="L1",BY128="L23"),AX128&gt;0),SUMIFS($AX$7:$AX$1843,$BY$7:$BY$1843,BY128,$BA$7:$BA$1843,"&gt;"&amp;BA128)+SUMIFS($AX$7:$AX$1843,$BY$7:$BY$1843,BY128,$BA$7:$BA$1843,BA128,$BQ$7:$BQ$1843,"&lt;="&amp;BQ128),"")</f>
        <v>25.1110013175231</v>
      </c>
      <c r="BC128" s="65" t="n">
        <f aca="false">IF(BB128="",0,MAX(0,MIN(1,(IF(BY128="L1",Parameter!$E$5,Parameter!$E$6+Parameter!$E$7)-(BB128-AX128))/AX128)))</f>
        <v>1</v>
      </c>
      <c r="BD128" s="55" t="str">
        <f aca="false">IF(AH128&lt;=0,"",IF(BY128="Aussen","Aussenlager",IF(BY128="-","Nicht im Lift",IF(AM128&gt;=1,"Lift",IF(AM128&lt;=0,"Aussenlager","teilweise")))))</f>
        <v>Lift</v>
      </c>
      <c r="BE128" s="55" t="str">
        <f aca="false">IF(AP128&lt;=0,"",IF(BY128="Aussen","Aussenlager",IF(BY128="-","Nicht im Lift",IF(AU128&gt;=1,"Lift",IF(AU128&lt;=0,"Aussenlager","teilweise")))))</f>
        <v>Lift</v>
      </c>
      <c r="BF128" s="55" t="str">
        <f aca="false">IF(AX128&lt;=0,"",IF(BY128="Aussen","Aussenlager",IF(BY128="-","Nicht im Lift",IF(BC128&gt;=1,"Lift",IF(BC128&lt;=0,"Aussenlager","teilweise")))))</f>
        <v>Lift</v>
      </c>
      <c r="BG128" s="55" t="str">
        <f aca="false">IF(A128="","",IF(BP128=1,"Neu; ","")&amp;IF(AND(BP128=0,BK128&lt;0),"negativer Bestand (Export "&amp;BK128&amp;"); ","")&amp;IF(J128&lt;=0,"Kein Verbrauch; ","")&amp;IF(CH128&gt;0,"Lift "&amp;W128&amp;" lt. Liftbericht (Fach "&amp;X128&amp;" Stk); ",IF(BU128=1,"Gebinde geschätzt ("&amp;T128&amp;"); ",IF(BT128=1,"Lose – Tablare geschätzt; ","")))&amp;IF(H128&gt;AR128,"Überbestand "&amp;ROUND(H128-AR128,0)&amp;" Stk / CHF "&amp;ROUND((H128-AR128)*G128,0)&amp;"; ","")&amp;IF(AND(CA128=1,CB128&lt;CC128),"MAX &lt; MB+LG; ","")&amp;IF(AND(CG128&gt;0,CF128*10&gt;CG128),"zu hoch für Tablar; ","")&amp;IF(AND(BP128=0,OR(CA128=1,AA128&lt;&gt;"",U128&lt;&gt;"",V128&lt;&gt;"",AB128&lt;&gt;"")),"manuell übersteuert; ","")&amp;IF(AND(BT128=0,R128=0),"Gebinde unbekannt / Stellmass fehlt; ","")&amp;IF(AND(BT128=0,N(V128)&lt;=0,N(Q128)&lt;=0),"Menge pro Gebinde fehlt (Ist = 1 Gebinde); ","")&amp;BO128)</f>
        <v/>
      </c>
      <c r="BH128" s="55"/>
      <c r="BI128" s="55"/>
      <c r="BJ128" s="62"/>
      <c r="BK128" s="57" t="n">
        <v>11</v>
      </c>
      <c r="BL128" s="57" t="n">
        <v>33</v>
      </c>
      <c r="BM128" s="56" t="n">
        <v>1770.01</v>
      </c>
      <c r="BN128" s="57" t="n">
        <v>73</v>
      </c>
      <c r="BO128" s="55"/>
      <c r="BP128" s="60" t="n">
        <v>0</v>
      </c>
      <c r="BQ128" s="60" t="n">
        <v>128</v>
      </c>
      <c r="BR128" s="55" t="str">
        <f aca="false">IF(U128&lt;&gt;"",UPPER(TRIM(U128)),IF(BU128=1,UPPER(VLOOKUP(T128,Parameter!$I$27:$K$29,2,0)),IF(P128="","LOSE",P128)))</f>
        <v>S62</v>
      </c>
      <c r="BS128" s="57" t="n">
        <f aca="false">IF(BR128="LOSE",1,IF(N(V128)&gt;0,V128,IF(BU128=1,MAX(1,N(VLOOKUP(T128,Parameter!$I$27:$K$29,3,0)),H128,N(N128)),IF(N(Q128)&gt;0,Q128,MAX(1,H128)))))</f>
        <v>75</v>
      </c>
      <c r="BT128" s="60" t="n">
        <f aca="false">IF(BR128="LOSE",1,0)</f>
        <v>0</v>
      </c>
      <c r="BU128" s="60" t="n">
        <f aca="false">IF(AND(U128="",OR(P128="",P128="LOSE"),T128&lt;&gt;"",N(S128)&lt;=0,ISNUMBER(MATCH(T128,Parameter!$I$27:$I$29,0))),1,0)</f>
        <v>0</v>
      </c>
      <c r="BV128" s="55" t="str">
        <f aca="false">IF(AND(Parameter!$B$19="Ja",E128&lt;&gt;"",ISNUMBER(MATCH(E128,Parameter!$I$35:$I$52,0))),VLOOKUP(E128,Parameter!$I$35:$J$52,2,0),IFERROR(VLOOKUP(D128,Parameter!$A$35:$C$64,2,0),"Nein"))</f>
        <v>2+3</v>
      </c>
      <c r="BW128" s="59" t="n">
        <f aca="false">IF(BT128=0,0,IF(N(S128)&gt;0,S128,IFERROR(VLOOKUP(D128,Parameter!$A$35:$C$64,3,0)+0,0)))</f>
        <v>0</v>
      </c>
      <c r="BX128" s="55" t="n">
        <f aca="false">IF(AA128&lt;&gt;"",AA128,Z128)</f>
        <v>2</v>
      </c>
      <c r="BY128" s="55" t="str">
        <f aca="false">IF(BX128=1,"L1",IF(OR(BX128=2,BX128=3),"L23",IF(BX128="Aussen","Aussen","-")))</f>
        <v>L23</v>
      </c>
      <c r="BZ128" s="66" t="n">
        <f aca="false">IF(N(AB128)&gt;0,AB128,0)</f>
        <v>0</v>
      </c>
      <c r="CA128" s="60" t="n">
        <f aca="false">IF(ISNUMBER(AE128),1,0)</f>
        <v>0</v>
      </c>
      <c r="CB128" s="57" t="n">
        <f aca="false">N(AE128)</f>
        <v>0</v>
      </c>
      <c r="CC128" s="57" t="n">
        <f aca="false">N(M128)+N(N128)</f>
        <v>50</v>
      </c>
      <c r="CD128" s="57" t="n">
        <f aca="false">ROUNDUP(H128/BS128,0)</f>
        <v>1</v>
      </c>
      <c r="CE128" s="57" t="n">
        <f aca="false">ROUNDUP(CB128/BS128,0)</f>
        <v>0</v>
      </c>
      <c r="CF128" s="60" t="n">
        <f aca="false">IF(BT128=1,0,IFERROR(VLOOKUP(BR128,'Gebinde-Kategorie'!$A$5:$M$45,5,0)+0,0))</f>
        <v>21</v>
      </c>
      <c r="CG128" s="60" t="n">
        <f aca="false">IFERROR(IF(OR(BX128=1,BX128=2,BX128=3),N(INDEX(Parameter!$I$5:$I$7,BX128)),0),0)</f>
        <v>0</v>
      </c>
      <c r="CH128" s="59" t="n">
        <f aca="false">IF(AND(Parameter!$B$21="Ja",ISNUMBER(W128),N(X128)&gt;0),IFERROR(N(INDEX(Parameter!$L$5:$L$7,W128))*INDEX(Parameter!$E$5:$E$7,W128)*X128/SUMIFS($X$7:$X$1843,$W$7:$W$1843,W128),0),0)</f>
        <v>0</v>
      </c>
    </row>
    <row r="129" customFormat="false" ht="15" hidden="false" customHeight="false" outlineLevel="0" collapsed="false">
      <c r="A129" s="55" t="s">
        <v>467</v>
      </c>
      <c r="B129" s="55" t="s">
        <v>468</v>
      </c>
      <c r="C129" s="55" t="s">
        <v>164</v>
      </c>
      <c r="D129" s="55" t="s">
        <v>184</v>
      </c>
      <c r="E129" s="55" t="s">
        <v>185</v>
      </c>
      <c r="F129" s="55" t="s">
        <v>218</v>
      </c>
      <c r="G129" s="56" t="n">
        <v>3.7</v>
      </c>
      <c r="H129" s="57" t="n">
        <f aca="false">MAX(0,IF(AND(Parameter!$B$21="Ja",ISNUMBER(Y129)),Y129,IF(Parameter!$B$20="Jahresanfang 2025 + Export",BL129+BK129,BK129)))</f>
        <v>601</v>
      </c>
      <c r="I129" s="57" t="n">
        <f aca="false">H129*G129</f>
        <v>2223.7</v>
      </c>
      <c r="J129" s="57" t="n">
        <f aca="false">BN129*Parameter!$B$18</f>
        <v>689</v>
      </c>
      <c r="K129" s="58" t="n">
        <v>214</v>
      </c>
      <c r="L129" s="59" t="n">
        <v>3.2196261682243</v>
      </c>
      <c r="M129" s="57" t="n">
        <v>26</v>
      </c>
      <c r="N129" s="57" t="n">
        <v>690</v>
      </c>
      <c r="O129" s="60" t="n">
        <v>14</v>
      </c>
      <c r="P129" s="55" t="s">
        <v>233</v>
      </c>
      <c r="Q129" s="57" t="n">
        <v>331</v>
      </c>
      <c r="R129" s="60" t="n">
        <f aca="false">IF(BT129=1,0,IFERROR(VLOOKUP(BR129,'Gebinde-Kategorie'!$A$5:$M$45,13,0)+0,0))</f>
        <v>26</v>
      </c>
      <c r="S129" s="61"/>
      <c r="T129" s="62"/>
      <c r="U129" s="62"/>
      <c r="V129" s="62"/>
      <c r="W129" s="55"/>
      <c r="X129" s="57"/>
      <c r="Y129" s="57"/>
      <c r="Z129" s="55" t="n">
        <f aca="false">IF(A129="","",IF(AND(Parameter!$B$21="Ja",ISNUMBER(W129)),W129,IF(BV129="2+3",IF(ISNUMBER(SEARCH("grosser Artikel",BO129)),2,IFERROR(VLOOKUP(BR129,Parameter!$F$35:$G$64,2,0),2)),IF(OR(BV129="Nein",BV129=""),"-",BV129))))</f>
        <v>3</v>
      </c>
      <c r="AA129" s="62"/>
      <c r="AB129" s="63"/>
      <c r="AC129" s="57" t="n">
        <f aca="false">AR129</f>
        <v>993</v>
      </c>
      <c r="AD129" s="57" t="n">
        <f aca="false">MAX(AR129,H129)</f>
        <v>993</v>
      </c>
      <c r="AE129" s="64"/>
      <c r="AF129" s="57" t="n">
        <f aca="false">IF(LEFT(Cockpit!$C$5,1)="A",H129,IF(CA129=1,CB129,IF(LEFT(Cockpit!$C$5,1)="B",AJ129,MAX(AJ129,H129))))</f>
        <v>601</v>
      </c>
      <c r="AG129" s="57" t="n">
        <f aca="false">IF(BT129=1,0,ROUNDUP(AF129/BS129,0))</f>
        <v>2</v>
      </c>
      <c r="AH129" s="59" t="n">
        <f aca="false">IF(CH129&gt;0,CH129*MAX(1,AF129/X129),IF(BT129=1,IF(AF129&lt;=0,0,BW129*MAX(1,IF(H129&gt;0,AF129/H129,1))),IF(R129&gt;0,AG129/R129,0))/MAX(0.1,N(Parameter!$M$21)))</f>
        <v>0.0769230769230769</v>
      </c>
      <c r="AI129" s="57" t="n">
        <f aca="false">AF129*G129</f>
        <v>2223.7</v>
      </c>
      <c r="AJ129" s="57" t="n">
        <f aca="false">ROUNDUP(MAX(J129/IF(BZ129&gt;0,BZ129,MAX(0.1,N(Cockpit!$C$6))),CC129)/BS129,0)*BS129</f>
        <v>993</v>
      </c>
      <c r="AK129" s="58" t="n">
        <f aca="false">IF(AH129&gt;0,J129/AH129,-1)</f>
        <v>8957</v>
      </c>
      <c r="AL129" s="58" t="n">
        <f aca="false">IF(AND(OR(BY129="L1",BY129="L23"),AH129&gt;0),SUMIFS($AH$7:$AH$1843,$BY$7:$BY$1843,BY129,$AK$7:$AK$1843,"&gt;"&amp;AK129)+SUMIFS($AH$7:$AH$1843,$BY$7:$BY$1843,BY129,$AK$7:$AK$1843,AK129,$BQ$7:$BQ$1843,"&lt;="&amp;BQ129),"")</f>
        <v>5.79144285666025</v>
      </c>
      <c r="AM129" s="65" t="n">
        <f aca="false">IF(AL129="",0,MAX(0,MIN(1,(IF(BY129="L1",Parameter!$E$5,Parameter!$E$6+Parameter!$E$7)-(AL129-AH129))/AH129)))</f>
        <v>1</v>
      </c>
      <c r="AN129" s="57" t="n">
        <f aca="false">IF(LEFT(Cockpit!$I$5,1)="A",H129,IF(CA129=1,CB129,IF(LEFT(Cockpit!$I$5,1)="B",AR129,MAX(AR129,H129))))</f>
        <v>993</v>
      </c>
      <c r="AO129" s="57" t="n">
        <f aca="false">IF(BT129=1,0,ROUNDUP(AN129/BS129,0))</f>
        <v>3</v>
      </c>
      <c r="AP129" s="59" t="n">
        <f aca="false">IF(CH129&gt;0,CH129*MAX(1,AN129/X129),IF(BT129=1,IF(AN129&lt;=0,0,BW129*MAX(1,IF(H129&gt;0,AN129/H129,1))),IF(R129&gt;0,AO129/R129,0))/MAX(0.1,N(Parameter!$M$21)))</f>
        <v>0.115384615384615</v>
      </c>
      <c r="AQ129" s="57" t="n">
        <f aca="false">AN129*G129</f>
        <v>3674.1</v>
      </c>
      <c r="AR129" s="57" t="n">
        <f aca="false">ROUNDUP(MAX(J129/IF(BZ129&gt;0,BZ129,MAX(0.1,N(Cockpit!$I$6))),CC129)/BS129,0)*BS129</f>
        <v>993</v>
      </c>
      <c r="AS129" s="58" t="n">
        <f aca="false">IF(AP129&gt;0,J129/AP129,-1)</f>
        <v>5971.33333333333</v>
      </c>
      <c r="AT129" s="58" t="n">
        <f aca="false">IF(AND(OR(BY129="L1",BY129="L23"),AP129&gt;0),SUMIFS($AP$7:$AP$1843,$BY$7:$BY$1843,BY129,$AS$7:$AS$1843,"&gt;"&amp;AS129)+SUMIFS($AP$7:$AP$1843,$BY$7:$BY$1843,BY129,$AS$7:$AS$1843,AS129,$BQ$7:$BQ$1843,"&lt;="&amp;BQ129),"")</f>
        <v>11.4569355765008</v>
      </c>
      <c r="AU129" s="65" t="n">
        <f aca="false">IF(AT129="",0,MAX(0,MIN(1,(IF(BY129="L1",Parameter!$E$5,Parameter!$E$6+Parameter!$E$7)-(AT129-AP129))/AP129)))</f>
        <v>1</v>
      </c>
      <c r="AV129" s="57" t="n">
        <f aca="false">IF(LEFT(Cockpit!$O$5,1)="A",H129,IF(CA129=1,CB129,IF(LEFT(Cockpit!$O$5,1)="B",AZ129,MAX(AZ129,H129))))</f>
        <v>993</v>
      </c>
      <c r="AW129" s="57" t="n">
        <f aca="false">IF(BT129=1,0,ROUNDUP(AV129/BS129,0))</f>
        <v>3</v>
      </c>
      <c r="AX129" s="59" t="n">
        <f aca="false">IF(CH129&gt;0,CH129*MAX(1,AV129/X129),IF(BT129=1,IF(AV129&lt;=0,0,BW129*MAX(1,IF(H129&gt;0,AV129/H129,1))),IF(R129&gt;0,AW129/R129,0))/MAX(0.1,N(Parameter!$M$21)))</f>
        <v>0.115384615384615</v>
      </c>
      <c r="AY129" s="57" t="n">
        <f aca="false">AV129*G129</f>
        <v>3674.1</v>
      </c>
      <c r="AZ129" s="57" t="n">
        <f aca="false">ROUNDUP(MAX(J129/IF(BZ129&gt;0,BZ129,MAX(0.1,N(Cockpit!$O$6))),CC129)/BS129,0)*BS129</f>
        <v>993</v>
      </c>
      <c r="BA129" s="58" t="n">
        <f aca="false">IF(AX129&gt;0,J129/AX129,-1)</f>
        <v>5971.33333333333</v>
      </c>
      <c r="BB129" s="58" t="n">
        <f aca="false">IF(AND(OR(BY129="L1",BY129="L23"),AX129&gt;0),SUMIFS($AX$7:$AX$1843,$BY$7:$BY$1843,BY129,$BA$7:$BA$1843,"&gt;"&amp;BA129)+SUMIFS($AX$7:$AX$1843,$BY$7:$BY$1843,BY129,$BA$7:$BA$1843,BA129,$BQ$7:$BQ$1843,"&lt;="&amp;BQ129),"")</f>
        <v>10.1393365089017</v>
      </c>
      <c r="BC129" s="65" t="n">
        <f aca="false">IF(BB129="",0,MAX(0,MIN(1,(IF(BY129="L1",Parameter!$E$5,Parameter!$E$6+Parameter!$E$7)-(BB129-AX129))/AX129)))</f>
        <v>1</v>
      </c>
      <c r="BD129" s="55" t="str">
        <f aca="false">IF(AH129&lt;=0,"",IF(BY129="Aussen","Aussenlager",IF(BY129="-","Nicht im Lift",IF(AM129&gt;=1,"Lift",IF(AM129&lt;=0,"Aussenlager","teilweise")))))</f>
        <v>Lift</v>
      </c>
      <c r="BE129" s="55" t="str">
        <f aca="false">IF(AP129&lt;=0,"",IF(BY129="Aussen","Aussenlager",IF(BY129="-","Nicht im Lift",IF(AU129&gt;=1,"Lift",IF(AU129&lt;=0,"Aussenlager","teilweise")))))</f>
        <v>Lift</v>
      </c>
      <c r="BF129" s="55" t="str">
        <f aca="false">IF(AX129&lt;=0,"",IF(BY129="Aussen","Aussenlager",IF(BY129="-","Nicht im Lift",IF(BC129&gt;=1,"Lift",IF(BC129&lt;=0,"Aussenlager","teilweise")))))</f>
        <v>Lift</v>
      </c>
      <c r="BG129" s="55" t="str">
        <f aca="false">IF(A129="","",IF(BP129=1,"Neu; ","")&amp;IF(AND(BP129=0,BK129&lt;0),"negativer Bestand (Export "&amp;BK129&amp;"); ","")&amp;IF(J129&lt;=0,"Kein Verbrauch; ","")&amp;IF(CH129&gt;0,"Lift "&amp;W129&amp;" lt. Liftbericht (Fach "&amp;X129&amp;" Stk); ",IF(BU129=1,"Gebinde geschätzt ("&amp;T129&amp;"); ",IF(BT129=1,"Lose – Tablare geschätzt; ","")))&amp;IF(H129&gt;AR129,"Überbestand "&amp;ROUND(H129-AR129,0)&amp;" Stk / CHF "&amp;ROUND((H129-AR129)*G129,0)&amp;"; ","")&amp;IF(AND(CA129=1,CB129&lt;CC129),"MAX &lt; MB+LG; ","")&amp;IF(AND(CG129&gt;0,CF129*10&gt;CG129),"zu hoch für Tablar; ","")&amp;IF(AND(BP129=0,OR(CA129=1,AA129&lt;&gt;"",U129&lt;&gt;"",V129&lt;&gt;"",AB129&lt;&gt;"")),"manuell übersteuert; ","")&amp;IF(AND(BT129=0,R129=0),"Gebinde unbekannt / Stellmass fehlt; ","")&amp;IF(AND(BT129=0,N(V129)&lt;=0,N(Q129)&lt;=0),"Menge pro Gebinde fehlt (Ist = 1 Gebinde); ","")&amp;BO129)</f>
        <v/>
      </c>
      <c r="BH129" s="55"/>
      <c r="BI129" s="55"/>
      <c r="BJ129" s="62"/>
      <c r="BK129" s="57" t="n">
        <v>487</v>
      </c>
      <c r="BL129" s="57" t="n">
        <v>114</v>
      </c>
      <c r="BM129" s="56" t="n">
        <v>1761.24</v>
      </c>
      <c r="BN129" s="57" t="n">
        <v>689</v>
      </c>
      <c r="BO129" s="55"/>
      <c r="BP129" s="60" t="n">
        <v>0</v>
      </c>
      <c r="BQ129" s="60" t="n">
        <v>129</v>
      </c>
      <c r="BR129" s="55" t="str">
        <f aca="false">IF(U129&lt;&gt;"",UPPER(TRIM(U129)),IF(BU129=1,UPPER(VLOOKUP(T129,Parameter!$I$27:$K$29,2,0)),IF(P129="","LOSE",P129)))</f>
        <v>S52</v>
      </c>
      <c r="BS129" s="57" t="n">
        <f aca="false">IF(BR129="LOSE",1,IF(N(V129)&gt;0,V129,IF(BU129=1,MAX(1,N(VLOOKUP(T129,Parameter!$I$27:$K$29,3,0)),H129,N(N129)),IF(N(Q129)&gt;0,Q129,MAX(1,H129)))))</f>
        <v>331</v>
      </c>
      <c r="BT129" s="60" t="n">
        <f aca="false">IF(BR129="LOSE",1,0)</f>
        <v>0</v>
      </c>
      <c r="BU129" s="60" t="n">
        <f aca="false">IF(AND(U129="",OR(P129="",P129="LOSE"),T129&lt;&gt;"",N(S129)&lt;=0,ISNUMBER(MATCH(T129,Parameter!$I$27:$I$29,0))),1,0)</f>
        <v>0</v>
      </c>
      <c r="BV129" s="55" t="str">
        <f aca="false">IF(AND(Parameter!$B$19="Ja",E129&lt;&gt;"",ISNUMBER(MATCH(E129,Parameter!$I$35:$I$52,0))),VLOOKUP(E129,Parameter!$I$35:$J$52,2,0),IFERROR(VLOOKUP(D129,Parameter!$A$35:$C$64,2,0),"Nein"))</f>
        <v>2+3</v>
      </c>
      <c r="BW129" s="59" t="n">
        <f aca="false">IF(BT129=0,0,IF(N(S129)&gt;0,S129,IFERROR(VLOOKUP(D129,Parameter!$A$35:$C$64,3,0)+0,0)))</f>
        <v>0</v>
      </c>
      <c r="BX129" s="55" t="n">
        <f aca="false">IF(AA129&lt;&gt;"",AA129,Z129)</f>
        <v>3</v>
      </c>
      <c r="BY129" s="55" t="str">
        <f aca="false">IF(BX129=1,"L1",IF(OR(BX129=2,BX129=3),"L23",IF(BX129="Aussen","Aussen","-")))</f>
        <v>L23</v>
      </c>
      <c r="BZ129" s="66" t="n">
        <f aca="false">IF(N(AB129)&gt;0,AB129,0)</f>
        <v>0</v>
      </c>
      <c r="CA129" s="60" t="n">
        <f aca="false">IF(ISNUMBER(AE129),1,0)</f>
        <v>0</v>
      </c>
      <c r="CB129" s="57" t="n">
        <f aca="false">N(AE129)</f>
        <v>0</v>
      </c>
      <c r="CC129" s="57" t="n">
        <f aca="false">N(M129)+N(N129)</f>
        <v>716</v>
      </c>
      <c r="CD129" s="57" t="n">
        <f aca="false">ROUNDUP(H129/BS129,0)</f>
        <v>2</v>
      </c>
      <c r="CE129" s="57" t="n">
        <f aca="false">ROUNDUP(CB129/BS129,0)</f>
        <v>0</v>
      </c>
      <c r="CF129" s="60" t="n">
        <f aca="false">IF(BT129=1,0,IFERROR(VLOOKUP(BR129,'Gebinde-Kategorie'!$A$5:$M$45,5,0)+0,0))</f>
        <v>21</v>
      </c>
      <c r="CG129" s="60" t="n">
        <f aca="false">IFERROR(IF(OR(BX129=1,BX129=2,BX129=3),N(INDEX(Parameter!$I$5:$I$7,BX129)),0),0)</f>
        <v>0</v>
      </c>
      <c r="CH129" s="59" t="n">
        <f aca="false">IF(AND(Parameter!$B$21="Ja",ISNUMBER(W129),N(X129)&gt;0),IFERROR(N(INDEX(Parameter!$L$5:$L$7,W129))*INDEX(Parameter!$E$5:$E$7,W129)*X129/SUMIFS($X$7:$X$1843,$W$7:$W$1843,W129),0),0)</f>
        <v>0</v>
      </c>
    </row>
    <row r="130" customFormat="false" ht="15" hidden="false" customHeight="false" outlineLevel="0" collapsed="false">
      <c r="A130" s="55" t="s">
        <v>469</v>
      </c>
      <c r="B130" s="55" t="s">
        <v>163</v>
      </c>
      <c r="C130" s="55" t="s">
        <v>164</v>
      </c>
      <c r="D130" s="55" t="s">
        <v>165</v>
      </c>
      <c r="E130" s="55" t="s">
        <v>166</v>
      </c>
      <c r="F130" s="55" t="s">
        <v>218</v>
      </c>
      <c r="G130" s="56" t="n">
        <v>3280</v>
      </c>
      <c r="H130" s="57" t="n">
        <f aca="false">MAX(0,IF(AND(Parameter!$B$21="Ja",ISNUMBER(Y130)),Y130,IF(Parameter!$B$20="Jahresanfang 2025 + Export",BL130+BK130,BK130)))</f>
        <v>1</v>
      </c>
      <c r="I130" s="57" t="n">
        <f aca="false">H130*G130</f>
        <v>3280</v>
      </c>
      <c r="J130" s="57" t="n">
        <f aca="false">BN130*Parameter!$B$18</f>
        <v>3</v>
      </c>
      <c r="K130" s="58" t="n">
        <v>0.5</v>
      </c>
      <c r="L130" s="59" t="n">
        <v>6</v>
      </c>
      <c r="M130" s="57" t="n">
        <v>0</v>
      </c>
      <c r="N130" s="57" t="n">
        <v>1</v>
      </c>
      <c r="O130" s="60" t="n">
        <v>58</v>
      </c>
      <c r="P130" s="55" t="s">
        <v>168</v>
      </c>
      <c r="Q130" s="57"/>
      <c r="R130" s="60" t="n">
        <f aca="false">IF(BT130=1,0,IFERROR(VLOOKUP(BR130,'Gebinde-Kategorie'!$A$5:$M$45,13,0)+0,0))</f>
        <v>0</v>
      </c>
      <c r="S130" s="61"/>
      <c r="T130" s="62"/>
      <c r="U130" s="62"/>
      <c r="V130" s="62"/>
      <c r="W130" s="55" t="n">
        <v>1</v>
      </c>
      <c r="X130" s="57" t="n">
        <v>2</v>
      </c>
      <c r="Y130" s="57" t="n">
        <v>1</v>
      </c>
      <c r="Z130" s="55" t="n">
        <f aca="false">IF(A130="","",IF(AND(Parameter!$B$21="Ja",ISNUMBER(W130)),W130,IF(BV130="2+3",IF(ISNUMBER(SEARCH("grosser Artikel",BO130)),2,IFERROR(VLOOKUP(BR130,Parameter!$F$35:$G$64,2,0),2)),IF(OR(BV130="Nein",BV130=""),"-",BV130))))</f>
        <v>1</v>
      </c>
      <c r="AA130" s="62"/>
      <c r="AB130" s="63"/>
      <c r="AC130" s="57" t="n">
        <f aca="false">AR130</f>
        <v>2</v>
      </c>
      <c r="AD130" s="57" t="n">
        <f aca="false">MAX(AR130,H130)</f>
        <v>2</v>
      </c>
      <c r="AE130" s="64"/>
      <c r="AF130" s="57" t="n">
        <f aca="false">IF(LEFT(Cockpit!$C$5,1)="A",H130,IF(CA130=1,CB130,IF(LEFT(Cockpit!$C$5,1)="B",AJ130,MAX(AJ130,H130))))</f>
        <v>1</v>
      </c>
      <c r="AG130" s="57" t="n">
        <f aca="false">IF(BT130=1,0,ROUNDUP(AF130/BS130,0))</f>
        <v>0</v>
      </c>
      <c r="AH130" s="59" t="n">
        <f aca="false">IF(CH130&gt;0,CH130*MAX(1,AF130/X130),IF(BT130=1,IF(AF130&lt;=0,0,BW130*MAX(1,IF(H130&gt;0,AF130/H130,1))),IF(R130&gt;0,AG130/R130,0))/MAX(0.1,N(Parameter!$M$21)))</f>
        <v>0.160075329566855</v>
      </c>
      <c r="AI130" s="57" t="n">
        <f aca="false">AF130*G130</f>
        <v>3280</v>
      </c>
      <c r="AJ130" s="57" t="n">
        <f aca="false">ROUNDUP(MAX(J130/IF(BZ130&gt;0,BZ130,MAX(0.1,N(Cockpit!$C$6))),CC130)/BS130,0)*BS130</f>
        <v>2</v>
      </c>
      <c r="AK130" s="58" t="n">
        <f aca="false">IF(AH130&gt;0,J130/AH130,-1)</f>
        <v>18.7411764705882</v>
      </c>
      <c r="AL130" s="58" t="n">
        <f aca="false">IF(AND(OR(BY130="L1",BY130="L23"),AH130&gt;0),SUMIFS($AH$7:$AH$1843,$BY$7:$BY$1843,BY130,$AK$7:$AK$1843,"&gt;"&amp;AK130)+SUMIFS($AH$7:$AH$1843,$BY$7:$BY$1843,BY130,$AK$7:$AK$1843,AK130,$BQ$7:$BQ$1843,"&lt;="&amp;BQ130),"")</f>
        <v>23.4579924292526</v>
      </c>
      <c r="AM130" s="65" t="n">
        <f aca="false">IF(AL130="",0,MAX(0,MIN(1,(IF(BY130="L1",Parameter!$E$5,Parameter!$E$6+Parameter!$E$7)-(AL130-AH130))/AH130)))</f>
        <v>1</v>
      </c>
      <c r="AN130" s="57" t="n">
        <f aca="false">IF(LEFT(Cockpit!$I$5,1)="A",H130,IF(CA130=1,CB130,IF(LEFT(Cockpit!$I$5,1)="B",AR130,MAX(AR130,H130))))</f>
        <v>2</v>
      </c>
      <c r="AO130" s="57" t="n">
        <f aca="false">IF(BT130=1,0,ROUNDUP(AN130/BS130,0))</f>
        <v>0</v>
      </c>
      <c r="AP130" s="59" t="n">
        <f aca="false">IF(CH130&gt;0,CH130*MAX(1,AN130/X130),IF(BT130=1,IF(AN130&lt;=0,0,BW130*MAX(1,IF(H130&gt;0,AN130/H130,1))),IF(R130&gt;0,AO130/R130,0))/MAX(0.1,N(Parameter!$M$21)))</f>
        <v>0.160075329566855</v>
      </c>
      <c r="AQ130" s="57" t="n">
        <f aca="false">AN130*G130</f>
        <v>6560</v>
      </c>
      <c r="AR130" s="57" t="n">
        <f aca="false">ROUNDUP(MAX(J130/IF(BZ130&gt;0,BZ130,MAX(0.1,N(Cockpit!$I$6))),CC130)/BS130,0)*BS130</f>
        <v>2</v>
      </c>
      <c r="AS130" s="58" t="n">
        <f aca="false">IF(AP130&gt;0,J130/AP130,-1)</f>
        <v>18.7411764705882</v>
      </c>
      <c r="AT130" s="58" t="n">
        <f aca="false">IF(AND(OR(BY130="L1",BY130="L23"),AP130&gt;0),SUMIFS($AP$7:$AP$1843,$BY$7:$BY$1843,BY130,$AS$7:$AS$1843,"&gt;"&amp;AS130)+SUMIFS($AP$7:$AP$1843,$BY$7:$BY$1843,BY130,$AS$7:$AS$1843,AS130,$BQ$7:$BQ$1843,"&lt;="&amp;BQ130),"")</f>
        <v>36.7166480862133</v>
      </c>
      <c r="AU130" s="65" t="n">
        <f aca="false">IF(AT130="",0,MAX(0,MIN(1,(IF(BY130="L1",Parameter!$E$5,Parameter!$E$6+Parameter!$E$7)-(AT130-AP130))/AP130)))</f>
        <v>1</v>
      </c>
      <c r="AV130" s="57" t="n">
        <f aca="false">IF(LEFT(Cockpit!$O$5,1)="A",H130,IF(CA130=1,CB130,IF(LEFT(Cockpit!$O$5,1)="B",AZ130,MAX(AZ130,H130))))</f>
        <v>1</v>
      </c>
      <c r="AW130" s="57" t="n">
        <f aca="false">IF(BT130=1,0,ROUNDUP(AV130/BS130,0))</f>
        <v>0</v>
      </c>
      <c r="AX130" s="59" t="n">
        <f aca="false">IF(CH130&gt;0,CH130*MAX(1,AV130/X130),IF(BT130=1,IF(AV130&lt;=0,0,BW130*MAX(1,IF(H130&gt;0,AV130/H130,1))),IF(R130&gt;0,AW130/R130,0))/MAX(0.1,N(Parameter!$M$21)))</f>
        <v>0.160075329566855</v>
      </c>
      <c r="AY130" s="57" t="n">
        <f aca="false">AV130*G130</f>
        <v>3280</v>
      </c>
      <c r="AZ130" s="57" t="n">
        <f aca="false">ROUNDUP(MAX(J130/IF(BZ130&gt;0,BZ130,MAX(0.1,N(Cockpit!$O$6))),CC130)/BS130,0)*BS130</f>
        <v>1</v>
      </c>
      <c r="BA130" s="58" t="n">
        <f aca="false">IF(AX130&gt;0,J130/AX130,-1)</f>
        <v>18.7411764705882</v>
      </c>
      <c r="BB130" s="58" t="n">
        <f aca="false">IF(AND(OR(BY130="L1",BY130="L23"),AX130&gt;0),SUMIFS($AX$7:$AX$1843,$BY$7:$BY$1843,BY130,$BA$7:$BA$1843,"&gt;"&amp;BA130)+SUMIFS($AX$7:$AX$1843,$BY$7:$BY$1843,BY130,$BA$7:$BA$1843,BA130,$BQ$7:$BQ$1843,"&lt;="&amp;BQ130),"")</f>
        <v>30.3834596174316</v>
      </c>
      <c r="BC130" s="65" t="n">
        <f aca="false">IF(BB130="",0,MAX(0,MIN(1,(IF(BY130="L1",Parameter!$E$5,Parameter!$E$6+Parameter!$E$7)-(BB130-AX130))/AX130)))</f>
        <v>1</v>
      </c>
      <c r="BD130" s="55" t="str">
        <f aca="false">IF(AH130&lt;=0,"",IF(BY130="Aussen","Aussenlager",IF(BY130="-","Nicht im Lift",IF(AM130&gt;=1,"Lift",IF(AM130&lt;=0,"Aussenlager","teilweise")))))</f>
        <v>Lift</v>
      </c>
      <c r="BE130" s="55" t="str">
        <f aca="false">IF(AP130&lt;=0,"",IF(BY130="Aussen","Aussenlager",IF(BY130="-","Nicht im Lift",IF(AU130&gt;=1,"Lift",IF(AU130&lt;=0,"Aussenlager","teilweise")))))</f>
        <v>Lift</v>
      </c>
      <c r="BF130" s="55" t="str">
        <f aca="false">IF(AX130&lt;=0,"",IF(BY130="Aussen","Aussenlager",IF(BY130="-","Nicht im Lift",IF(BC130&gt;=1,"Lift",IF(BC130&lt;=0,"Aussenlager","teilweise")))))</f>
        <v>Lift</v>
      </c>
      <c r="BG130" s="55" t="str">
        <f aca="false">IF(A130="","",IF(BP130=1,"Neu; ","")&amp;IF(AND(BP130=0,BK130&lt;0),"negativer Bestand (Export "&amp;BK130&amp;"); ","")&amp;IF(J130&lt;=0,"Kein Verbrauch; ","")&amp;IF(CH130&gt;0,"Lift "&amp;W130&amp;" lt. Liftbericht (Fach "&amp;X130&amp;" Stk); ",IF(BU130=1,"Gebinde geschätzt ("&amp;T130&amp;"); ",IF(BT130=1,"Lose – Tablare geschätzt; ","")))&amp;IF(H130&gt;AR130,"Überbestand "&amp;ROUND(H130-AR130,0)&amp;" Stk / CHF "&amp;ROUND((H130-AR130)*G130,0)&amp;"; ","")&amp;IF(AND(CA130=1,CB130&lt;CC130),"MAX &lt; MB+LG; ","")&amp;IF(AND(CG130&gt;0,CF130*10&gt;CG130),"zu hoch für Tablar; ","")&amp;IF(AND(BP130=0,OR(CA130=1,AA130&lt;&gt;"",U130&lt;&gt;"",V130&lt;&gt;"",AB130&lt;&gt;"")),"manuell übersteuert; ","")&amp;IF(AND(BT130=0,R130=0),"Gebinde unbekannt / Stellmass fehlt; ","")&amp;IF(AND(BT130=0,N(V130)&lt;=0,N(Q130)&lt;=0),"Menge pro Gebinde fehlt (Ist = 1 Gebinde); ","")&amp;BO130)</f>
        <v>Lift 1 lt. Liftbericht (Fach 2 Stk); </v>
      </c>
      <c r="BH130" s="55"/>
      <c r="BI130" s="55"/>
      <c r="BJ130" s="62"/>
      <c r="BK130" s="57" t="n">
        <v>0</v>
      </c>
      <c r="BL130" s="57" t="n">
        <v>1</v>
      </c>
      <c r="BM130" s="56" t="n">
        <v>1745</v>
      </c>
      <c r="BN130" s="57" t="n">
        <v>3</v>
      </c>
      <c r="BO130" s="55"/>
      <c r="BP130" s="60" t="n">
        <v>0</v>
      </c>
      <c r="BQ130" s="60" t="n">
        <v>130</v>
      </c>
      <c r="BR130" s="55" t="str">
        <f aca="false">IF(U130&lt;&gt;"",UPPER(TRIM(U130)),IF(BU130=1,UPPER(VLOOKUP(T130,Parameter!$I$27:$K$29,2,0)),IF(P130="","LOSE",P130)))</f>
        <v>LOSE</v>
      </c>
      <c r="BS130" s="57" t="n">
        <f aca="false">IF(BR130="LOSE",1,IF(N(V130)&gt;0,V130,IF(BU130=1,MAX(1,N(VLOOKUP(T130,Parameter!$I$27:$K$29,3,0)),H130,N(N130)),IF(N(Q130)&gt;0,Q130,MAX(1,H130)))))</f>
        <v>1</v>
      </c>
      <c r="BT130" s="60" t="n">
        <f aca="false">IF(BR130="LOSE",1,0)</f>
        <v>1</v>
      </c>
      <c r="BU130" s="60" t="n">
        <f aca="false">IF(AND(U130="",OR(P130="",P130="LOSE"),T130&lt;&gt;"",N(S130)&lt;=0,ISNUMBER(MATCH(T130,Parameter!$I$27:$I$29,0))),1,0)</f>
        <v>0</v>
      </c>
      <c r="BV130" s="55" t="n">
        <f aca="false">IF(AND(Parameter!$B$19="Ja",E130&lt;&gt;"",ISNUMBER(MATCH(E130,Parameter!$I$35:$I$52,0))),VLOOKUP(E130,Parameter!$I$35:$J$52,2,0),IFERROR(VLOOKUP(D130,Parameter!$A$35:$C$64,2,0),"Nein"))</f>
        <v>1</v>
      </c>
      <c r="BW130" s="59" t="n">
        <f aca="false">IF(BT130=0,0,IF(N(S130)&gt;0,S130,IFERROR(VLOOKUP(D130,Parameter!$A$35:$C$64,3,0)+0,0)))</f>
        <v>1</v>
      </c>
      <c r="BX130" s="55" t="n">
        <f aca="false">IF(AA130&lt;&gt;"",AA130,Z130)</f>
        <v>1</v>
      </c>
      <c r="BY130" s="55" t="str">
        <f aca="false">IF(BX130=1,"L1",IF(OR(BX130=2,BX130=3),"L23",IF(BX130="Aussen","Aussen","-")))</f>
        <v>L1</v>
      </c>
      <c r="BZ130" s="66" t="n">
        <f aca="false">IF(N(AB130)&gt;0,AB130,0)</f>
        <v>0</v>
      </c>
      <c r="CA130" s="60" t="n">
        <f aca="false">IF(ISNUMBER(AE130),1,0)</f>
        <v>0</v>
      </c>
      <c r="CB130" s="57" t="n">
        <f aca="false">N(AE130)</f>
        <v>0</v>
      </c>
      <c r="CC130" s="57" t="n">
        <f aca="false">N(M130)+N(N130)</f>
        <v>1</v>
      </c>
      <c r="CD130" s="57" t="n">
        <f aca="false">ROUNDUP(H130/BS130,0)</f>
        <v>1</v>
      </c>
      <c r="CE130" s="57" t="n">
        <f aca="false">ROUNDUP(CB130/BS130,0)</f>
        <v>0</v>
      </c>
      <c r="CF130" s="60" t="n">
        <f aca="false">IF(BT130=1,0,IFERROR(VLOOKUP(BR130,'Gebinde-Kategorie'!$A$5:$M$45,5,0)+0,0))</f>
        <v>0</v>
      </c>
      <c r="CG130" s="60" t="n">
        <f aca="false">IFERROR(IF(OR(BX130=1,BX130=2,BX130=3),N(INDEX(Parameter!$I$5:$I$7,BX130)),0),0)</f>
        <v>0</v>
      </c>
      <c r="CH130" s="59" t="n">
        <f aca="false">IF(AND(Parameter!$B$21="Ja",ISNUMBER(W130),N(X130)&gt;0),IFERROR(N(INDEX(Parameter!$L$5:$L$7,W130))*INDEX(Parameter!$E$5:$E$7,W130)*X130/SUMIFS($X$7:$X$1843,$W$7:$W$1843,W130),0),0)</f>
        <v>0.160075329566855</v>
      </c>
    </row>
    <row r="131" customFormat="false" ht="15" hidden="false" customHeight="false" outlineLevel="0" collapsed="false">
      <c r="A131" s="55" t="s">
        <v>470</v>
      </c>
      <c r="B131" s="55" t="s">
        <v>471</v>
      </c>
      <c r="C131" s="55" t="s">
        <v>164</v>
      </c>
      <c r="D131" s="55" t="s">
        <v>173</v>
      </c>
      <c r="E131" s="55" t="s">
        <v>185</v>
      </c>
      <c r="F131" s="55" t="s">
        <v>218</v>
      </c>
      <c r="G131" s="56" t="n">
        <v>2.89</v>
      </c>
      <c r="H131" s="57" t="n">
        <f aca="false">MAX(0,IF(AND(Parameter!$B$21="Ja",ISNUMBER(Y131)),Y131,IF(Parameter!$B$20="Jahresanfang 2025 + Export",BL131+BK131,BK131)))</f>
        <v>792</v>
      </c>
      <c r="I131" s="57" t="n">
        <f aca="false">H131*G131</f>
        <v>2288.88</v>
      </c>
      <c r="J131" s="57" t="n">
        <f aca="false">BN131*Parameter!$B$18</f>
        <v>797</v>
      </c>
      <c r="K131" s="58" t="n">
        <v>333</v>
      </c>
      <c r="L131" s="59" t="n">
        <v>2.39339339339339</v>
      </c>
      <c r="M131" s="57" t="n">
        <v>112</v>
      </c>
      <c r="N131" s="57" t="n">
        <v>800</v>
      </c>
      <c r="O131" s="60" t="n">
        <v>51</v>
      </c>
      <c r="P131" s="55" t="s">
        <v>226</v>
      </c>
      <c r="Q131" s="57" t="n">
        <v>250</v>
      </c>
      <c r="R131" s="60" t="n">
        <f aca="false">IF(BT131=1,0,IFERROR(VLOOKUP(BR131,'Gebinde-Kategorie'!$A$5:$M$45,13,0)+0,0))</f>
        <v>12</v>
      </c>
      <c r="S131" s="61"/>
      <c r="T131" s="62"/>
      <c r="U131" s="62"/>
      <c r="V131" s="62"/>
      <c r="W131" s="55"/>
      <c r="X131" s="57"/>
      <c r="Y131" s="57"/>
      <c r="Z131" s="55" t="n">
        <f aca="false">IF(A131="","",IF(AND(Parameter!$B$21="Ja",ISNUMBER(W131)),W131,IF(BV131="2+3",IF(ISNUMBER(SEARCH("grosser Artikel",BO131)),2,IFERROR(VLOOKUP(BR131,Parameter!$F$35:$G$64,2,0),2)),IF(OR(BV131="Nein",BV131=""),"-",BV131))))</f>
        <v>2</v>
      </c>
      <c r="AA131" s="62"/>
      <c r="AB131" s="63"/>
      <c r="AC131" s="57" t="n">
        <f aca="false">AR131</f>
        <v>1000</v>
      </c>
      <c r="AD131" s="57" t="n">
        <f aca="false">MAX(AR131,H131)</f>
        <v>1000</v>
      </c>
      <c r="AE131" s="64"/>
      <c r="AF131" s="57" t="n">
        <f aca="false">IF(LEFT(Cockpit!$C$5,1)="A",H131,IF(CA131=1,CB131,IF(LEFT(Cockpit!$C$5,1)="B",AJ131,MAX(AJ131,H131))))</f>
        <v>792</v>
      </c>
      <c r="AG131" s="57" t="n">
        <f aca="false">IF(BT131=1,0,ROUNDUP(AF131/BS131,0))</f>
        <v>4</v>
      </c>
      <c r="AH131" s="59" t="n">
        <f aca="false">IF(CH131&gt;0,CH131*MAX(1,AF131/X131),IF(BT131=1,IF(AF131&lt;=0,0,BW131*MAX(1,IF(H131&gt;0,AF131/H131,1))),IF(R131&gt;0,AG131/R131,0))/MAX(0.1,N(Parameter!$M$21)))</f>
        <v>0.333333333333333</v>
      </c>
      <c r="AI131" s="57" t="n">
        <f aca="false">AF131*G131</f>
        <v>2288.88</v>
      </c>
      <c r="AJ131" s="57" t="n">
        <f aca="false">ROUNDUP(MAX(J131/IF(BZ131&gt;0,BZ131,MAX(0.1,N(Cockpit!$C$6))),CC131)/BS131,0)*BS131</f>
        <v>1000</v>
      </c>
      <c r="AK131" s="58" t="n">
        <f aca="false">IF(AH131&gt;0,J131/AH131,-1)</f>
        <v>2391</v>
      </c>
      <c r="AL131" s="58" t="n">
        <f aca="false">IF(AND(OR(BY131="L1",BY131="L23"),AH131&gt;0),SUMIFS($AH$7:$AH$1843,$BY$7:$BY$1843,BY131,$AK$7:$AK$1843,"&gt;"&amp;AK131)+SUMIFS($AH$7:$AH$1843,$BY$7:$BY$1843,BY131,$AK$7:$AK$1843,AK131,$BQ$7:$BQ$1843,"&lt;="&amp;BQ131),"")</f>
        <v>12.1761849261849</v>
      </c>
      <c r="AM131" s="65" t="n">
        <f aca="false">IF(AL131="",0,MAX(0,MIN(1,(IF(BY131="L1",Parameter!$E$5,Parameter!$E$6+Parameter!$E$7)-(AL131-AH131))/AH131)))</f>
        <v>1</v>
      </c>
      <c r="AN131" s="57" t="n">
        <f aca="false">IF(LEFT(Cockpit!$I$5,1)="A",H131,IF(CA131=1,CB131,IF(LEFT(Cockpit!$I$5,1)="B",AR131,MAX(AR131,H131))))</f>
        <v>1000</v>
      </c>
      <c r="AO131" s="57" t="n">
        <f aca="false">IF(BT131=1,0,ROUNDUP(AN131/BS131,0))</f>
        <v>4</v>
      </c>
      <c r="AP131" s="59" t="n">
        <f aca="false">IF(CH131&gt;0,CH131*MAX(1,AN131/X131),IF(BT131=1,IF(AN131&lt;=0,0,BW131*MAX(1,IF(H131&gt;0,AN131/H131,1))),IF(R131&gt;0,AO131/R131,0))/MAX(0.1,N(Parameter!$M$21)))</f>
        <v>0.333333333333333</v>
      </c>
      <c r="AQ131" s="57" t="n">
        <f aca="false">AN131*G131</f>
        <v>2890</v>
      </c>
      <c r="AR131" s="57" t="n">
        <f aca="false">ROUNDUP(MAX(J131/IF(BZ131&gt;0,BZ131,MAX(0.1,N(Cockpit!$I$6))),CC131)/BS131,0)*BS131</f>
        <v>1000</v>
      </c>
      <c r="AS131" s="58" t="n">
        <f aca="false">IF(AP131&gt;0,J131/AP131,-1)</f>
        <v>2391</v>
      </c>
      <c r="AT131" s="58" t="n">
        <f aca="false">IF(AND(OR(BY131="L1",BY131="L23"),AP131&gt;0),SUMIFS($AP$7:$AP$1843,$BY$7:$BY$1843,BY131,$AS$7:$AS$1843,"&gt;"&amp;AS131)+SUMIFS($AP$7:$AP$1843,$BY$7:$BY$1843,BY131,$AS$7:$AS$1843,AS131,$BQ$7:$BQ$1843,"&lt;="&amp;BQ131),"")</f>
        <v>17.8469730752339</v>
      </c>
      <c r="AU131" s="65" t="n">
        <f aca="false">IF(AT131="",0,MAX(0,MIN(1,(IF(BY131="L1",Parameter!$E$5,Parameter!$E$6+Parameter!$E$7)-(AT131-AP131))/AP131)))</f>
        <v>1</v>
      </c>
      <c r="AV131" s="57" t="n">
        <f aca="false">IF(LEFT(Cockpit!$O$5,1)="A",H131,IF(CA131=1,CB131,IF(LEFT(Cockpit!$O$5,1)="B",AZ131,MAX(AZ131,H131))))</f>
        <v>1000</v>
      </c>
      <c r="AW131" s="57" t="n">
        <f aca="false">IF(BT131=1,0,ROUNDUP(AV131/BS131,0))</f>
        <v>4</v>
      </c>
      <c r="AX131" s="59" t="n">
        <f aca="false">IF(CH131&gt;0,CH131*MAX(1,AV131/X131),IF(BT131=1,IF(AV131&lt;=0,0,BW131*MAX(1,IF(H131&gt;0,AV131/H131,1))),IF(R131&gt;0,AW131/R131,0))/MAX(0.1,N(Parameter!$M$21)))</f>
        <v>0.333333333333333</v>
      </c>
      <c r="AY131" s="57" t="n">
        <f aca="false">AV131*G131</f>
        <v>2890</v>
      </c>
      <c r="AZ131" s="57" t="n">
        <f aca="false">ROUNDUP(MAX(J131/IF(BZ131&gt;0,BZ131,MAX(0.1,N(Cockpit!$O$6))),CC131)/BS131,0)*BS131</f>
        <v>1000</v>
      </c>
      <c r="BA131" s="58" t="n">
        <f aca="false">IF(AX131&gt;0,J131/AX131,-1)</f>
        <v>2391</v>
      </c>
      <c r="BB131" s="58" t="n">
        <f aca="false">IF(AND(OR(BY131="L1",BY131="L23"),AX131&gt;0),SUMIFS($AX$7:$AX$1843,$BY$7:$BY$1843,BY131,$BA$7:$BA$1843,"&gt;"&amp;BA131)+SUMIFS($AX$7:$AX$1843,$BY$7:$BY$1843,BY131,$BA$7:$BA$1843,BA131,$BQ$7:$BQ$1843,"&lt;="&amp;BQ131),"")</f>
        <v>16.4203996486605</v>
      </c>
      <c r="BC131" s="65" t="n">
        <f aca="false">IF(BB131="",0,MAX(0,MIN(1,(IF(BY131="L1",Parameter!$E$5,Parameter!$E$6+Parameter!$E$7)-(BB131-AX131))/AX131)))</f>
        <v>1</v>
      </c>
      <c r="BD131" s="55" t="str">
        <f aca="false">IF(AH131&lt;=0,"",IF(BY131="Aussen","Aussenlager",IF(BY131="-","Nicht im Lift",IF(AM131&gt;=1,"Lift",IF(AM131&lt;=0,"Aussenlager","teilweise")))))</f>
        <v>Lift</v>
      </c>
      <c r="BE131" s="55" t="str">
        <f aca="false">IF(AP131&lt;=0,"",IF(BY131="Aussen","Aussenlager",IF(BY131="-","Nicht im Lift",IF(AU131&gt;=1,"Lift",IF(AU131&lt;=0,"Aussenlager","teilweise")))))</f>
        <v>Lift</v>
      </c>
      <c r="BF131" s="55" t="str">
        <f aca="false">IF(AX131&lt;=0,"",IF(BY131="Aussen","Aussenlager",IF(BY131="-","Nicht im Lift",IF(BC131&gt;=1,"Lift",IF(BC131&lt;=0,"Aussenlager","teilweise")))))</f>
        <v>Lift</v>
      </c>
      <c r="BG131" s="55" t="str">
        <f aca="false">IF(A131="","",IF(BP131=1,"Neu; ","")&amp;IF(AND(BP131=0,BK131&lt;0),"negativer Bestand (Export "&amp;BK131&amp;"); ","")&amp;IF(J131&lt;=0,"Kein Verbrauch; ","")&amp;IF(CH131&gt;0,"Lift "&amp;W131&amp;" lt. Liftbericht (Fach "&amp;X131&amp;" Stk); ",IF(BU131=1,"Gebinde geschätzt ("&amp;T131&amp;"); ",IF(BT131=1,"Lose – Tablare geschätzt; ","")))&amp;IF(H131&gt;AR131,"Überbestand "&amp;ROUND(H131-AR131,0)&amp;" Stk / CHF "&amp;ROUND((H131-AR131)*G131,0)&amp;"; ","")&amp;IF(AND(CA131=1,CB131&lt;CC131),"MAX &lt; MB+LG; ","")&amp;IF(AND(CG131&gt;0,CF131*10&gt;CG131),"zu hoch für Tablar; ","")&amp;IF(AND(BP131=0,OR(CA131=1,AA131&lt;&gt;"",U131&lt;&gt;"",V131&lt;&gt;"",AB131&lt;&gt;"")),"manuell übersteuert; ","")&amp;IF(AND(BT131=0,R131=0),"Gebinde unbekannt / Stellmass fehlt; ","")&amp;IF(AND(BT131=0,N(V131)&lt;=0,N(Q131)&lt;=0),"Menge pro Gebinde fehlt (Ist = 1 Gebinde); ","")&amp;BO131)</f>
        <v>gehört dieser Artikel ins KTL ?</v>
      </c>
      <c r="BH131" s="55"/>
      <c r="BI131" s="55"/>
      <c r="BJ131" s="62"/>
      <c r="BK131" s="57" t="n">
        <v>567</v>
      </c>
      <c r="BL131" s="57" t="n">
        <v>225</v>
      </c>
      <c r="BM131" s="56" t="n">
        <v>1734.11</v>
      </c>
      <c r="BN131" s="57" t="n">
        <v>797</v>
      </c>
      <c r="BO131" s="55" t="s">
        <v>472</v>
      </c>
      <c r="BP131" s="60" t="n">
        <v>0</v>
      </c>
      <c r="BQ131" s="60" t="n">
        <v>131</v>
      </c>
      <c r="BR131" s="55" t="str">
        <f aca="false">IF(U131&lt;&gt;"",UPPER(TRIM(U131)),IF(BU131=1,UPPER(VLOOKUP(T131,Parameter!$I$27:$K$29,2,0)),IF(P131="","LOSE",P131)))</f>
        <v>S63</v>
      </c>
      <c r="BS131" s="57" t="n">
        <f aca="false">IF(BR131="LOSE",1,IF(N(V131)&gt;0,V131,IF(BU131=1,MAX(1,N(VLOOKUP(T131,Parameter!$I$27:$K$29,3,0)),H131,N(N131)),IF(N(Q131)&gt;0,Q131,MAX(1,H131)))))</f>
        <v>250</v>
      </c>
      <c r="BT131" s="60" t="n">
        <f aca="false">IF(BR131="LOSE",1,0)</f>
        <v>0</v>
      </c>
      <c r="BU131" s="60" t="n">
        <f aca="false">IF(AND(U131="",OR(P131="",P131="LOSE"),T131&lt;&gt;"",N(S131)&lt;=0,ISNUMBER(MATCH(T131,Parameter!$I$27:$I$29,0))),1,0)</f>
        <v>0</v>
      </c>
      <c r="BV131" s="55" t="str">
        <f aca="false">IF(AND(Parameter!$B$19="Ja",E131&lt;&gt;"",ISNUMBER(MATCH(E131,Parameter!$I$35:$I$52,0))),VLOOKUP(E131,Parameter!$I$35:$J$52,2,0),IFERROR(VLOOKUP(D131,Parameter!$A$35:$C$64,2,0),"Nein"))</f>
        <v>2+3</v>
      </c>
      <c r="BW131" s="59" t="n">
        <f aca="false">IF(BT131=0,0,IF(N(S131)&gt;0,S131,IFERROR(VLOOKUP(D131,Parameter!$A$35:$C$64,3,0)+0,0)))</f>
        <v>0</v>
      </c>
      <c r="BX131" s="55" t="n">
        <f aca="false">IF(AA131&lt;&gt;"",AA131,Z131)</f>
        <v>2</v>
      </c>
      <c r="BY131" s="55" t="str">
        <f aca="false">IF(BX131=1,"L1",IF(OR(BX131=2,BX131=3),"L23",IF(BX131="Aussen","Aussen","-")))</f>
        <v>L23</v>
      </c>
      <c r="BZ131" s="66" t="n">
        <f aca="false">IF(N(AB131)&gt;0,AB131,0)</f>
        <v>0</v>
      </c>
      <c r="CA131" s="60" t="n">
        <f aca="false">IF(ISNUMBER(AE131),1,0)</f>
        <v>0</v>
      </c>
      <c r="CB131" s="57" t="n">
        <f aca="false">N(AE131)</f>
        <v>0</v>
      </c>
      <c r="CC131" s="57" t="n">
        <f aca="false">N(M131)+N(N131)</f>
        <v>912</v>
      </c>
      <c r="CD131" s="57" t="n">
        <f aca="false">ROUNDUP(H131/BS131,0)</f>
        <v>4</v>
      </c>
      <c r="CE131" s="57" t="n">
        <f aca="false">ROUNDUP(CB131/BS131,0)</f>
        <v>0</v>
      </c>
      <c r="CF131" s="60" t="n">
        <f aca="false">IF(BT131=1,0,IFERROR(VLOOKUP(BR131,'Gebinde-Kategorie'!$A$5:$M$45,5,0)+0,0))</f>
        <v>31</v>
      </c>
      <c r="CG131" s="60" t="n">
        <f aca="false">IFERROR(IF(OR(BX131=1,BX131=2,BX131=3),N(INDEX(Parameter!$I$5:$I$7,BX131)),0),0)</f>
        <v>0</v>
      </c>
      <c r="CH131" s="59" t="n">
        <f aca="false">IF(AND(Parameter!$B$21="Ja",ISNUMBER(W131),N(X131)&gt;0),IFERROR(N(INDEX(Parameter!$L$5:$L$7,W131))*INDEX(Parameter!$E$5:$E$7,W131)*X131/SUMIFS($X$7:$X$1843,$W$7:$W$1843,W131),0),0)</f>
        <v>0</v>
      </c>
    </row>
    <row r="132" customFormat="false" ht="15" hidden="false" customHeight="false" outlineLevel="0" collapsed="false">
      <c r="A132" s="55" t="s">
        <v>473</v>
      </c>
      <c r="B132" s="55" t="s">
        <v>468</v>
      </c>
      <c r="C132" s="55" t="s">
        <v>164</v>
      </c>
      <c r="D132" s="55" t="s">
        <v>184</v>
      </c>
      <c r="E132" s="55" t="s">
        <v>185</v>
      </c>
      <c r="F132" s="55" t="s">
        <v>218</v>
      </c>
      <c r="G132" s="56" t="n">
        <v>7.89</v>
      </c>
      <c r="H132" s="57" t="n">
        <f aca="false">MAX(0,IF(AND(Parameter!$B$21="Ja",ISNUMBER(Y132)),Y132,IF(Parameter!$B$20="Jahresanfang 2025 + Export",BL132+BK132,BK132)))</f>
        <v>263</v>
      </c>
      <c r="I132" s="57" t="n">
        <f aca="false">H132*G132</f>
        <v>2075.07</v>
      </c>
      <c r="J132" s="57" t="n">
        <f aca="false">BN132*Parameter!$B$18</f>
        <v>391</v>
      </c>
      <c r="K132" s="58" t="n">
        <v>72.5</v>
      </c>
      <c r="L132" s="59" t="n">
        <v>5.39310344827586</v>
      </c>
      <c r="M132" s="57" t="n">
        <v>15</v>
      </c>
      <c r="N132" s="57" t="n">
        <v>390</v>
      </c>
      <c r="O132" s="60" t="n">
        <v>14</v>
      </c>
      <c r="P132" s="55" t="s">
        <v>328</v>
      </c>
      <c r="Q132" s="57" t="n">
        <v>178</v>
      </c>
      <c r="R132" s="60" t="n">
        <f aca="false">IF(BT132=1,0,IFERROR(VLOOKUP(BR132,'Gebinde-Kategorie'!$A$5:$M$45,13,0)+0,0))</f>
        <v>52</v>
      </c>
      <c r="S132" s="61"/>
      <c r="T132" s="62"/>
      <c r="U132" s="62"/>
      <c r="V132" s="62"/>
      <c r="W132" s="55"/>
      <c r="X132" s="57"/>
      <c r="Y132" s="57"/>
      <c r="Z132" s="55" t="n">
        <f aca="false">IF(A132="","",IF(AND(Parameter!$B$21="Ja",ISNUMBER(W132)),W132,IF(BV132="2+3",IF(ISNUMBER(SEARCH("grosser Artikel",BO132)),2,IFERROR(VLOOKUP(BR132,Parameter!$F$35:$G$64,2,0),2)),IF(OR(BV132="Nein",BV132=""),"-",BV132))))</f>
        <v>3</v>
      </c>
      <c r="AA132" s="62"/>
      <c r="AB132" s="63"/>
      <c r="AC132" s="57" t="n">
        <f aca="false">AR132</f>
        <v>534</v>
      </c>
      <c r="AD132" s="57" t="n">
        <f aca="false">MAX(AR132,H132)</f>
        <v>534</v>
      </c>
      <c r="AE132" s="64"/>
      <c r="AF132" s="57" t="n">
        <f aca="false">IF(LEFT(Cockpit!$C$5,1)="A",H132,IF(CA132=1,CB132,IF(LEFT(Cockpit!$C$5,1)="B",AJ132,MAX(AJ132,H132))))</f>
        <v>263</v>
      </c>
      <c r="AG132" s="57" t="n">
        <f aca="false">IF(BT132=1,0,ROUNDUP(AF132/BS132,0))</f>
        <v>2</v>
      </c>
      <c r="AH132" s="59" t="n">
        <f aca="false">IF(CH132&gt;0,CH132*MAX(1,AF132/X132),IF(BT132=1,IF(AF132&lt;=0,0,BW132*MAX(1,IF(H132&gt;0,AF132/H132,1))),IF(R132&gt;0,AG132/R132,0))/MAX(0.1,N(Parameter!$M$21)))</f>
        <v>0.0384615384615385</v>
      </c>
      <c r="AI132" s="57" t="n">
        <f aca="false">AF132*G132</f>
        <v>2075.07</v>
      </c>
      <c r="AJ132" s="57" t="n">
        <f aca="false">ROUNDUP(MAX(J132/IF(BZ132&gt;0,BZ132,MAX(0.1,N(Cockpit!$C$6))),CC132)/BS132,0)*BS132</f>
        <v>534</v>
      </c>
      <c r="AK132" s="58" t="n">
        <f aca="false">IF(AH132&gt;0,J132/AH132,-1)</f>
        <v>10166</v>
      </c>
      <c r="AL132" s="58" t="n">
        <f aca="false">IF(AND(OR(BY132="L1",BY132="L23"),AH132&gt;0),SUMIFS($AH$7:$AH$1843,$BY$7:$BY$1843,BY132,$AK$7:$AK$1843,"&gt;"&amp;AK132)+SUMIFS($AH$7:$AH$1843,$BY$7:$BY$1843,BY132,$AK$7:$AK$1843,AK132,$BQ$7:$BQ$1843,"&lt;="&amp;BQ132),"")</f>
        <v>5.29882436404176</v>
      </c>
      <c r="AM132" s="65" t="n">
        <f aca="false">IF(AL132="",0,MAX(0,MIN(1,(IF(BY132="L1",Parameter!$E$5,Parameter!$E$6+Parameter!$E$7)-(AL132-AH132))/AH132)))</f>
        <v>1</v>
      </c>
      <c r="AN132" s="57" t="n">
        <f aca="false">IF(LEFT(Cockpit!$I$5,1)="A",H132,IF(CA132=1,CB132,IF(LEFT(Cockpit!$I$5,1)="B",AR132,MAX(AR132,H132))))</f>
        <v>534</v>
      </c>
      <c r="AO132" s="57" t="n">
        <f aca="false">IF(BT132=1,0,ROUNDUP(AN132/BS132,0))</f>
        <v>3</v>
      </c>
      <c r="AP132" s="59" t="n">
        <f aca="false">IF(CH132&gt;0,CH132*MAX(1,AN132/X132),IF(BT132=1,IF(AN132&lt;=0,0,BW132*MAX(1,IF(H132&gt;0,AN132/H132,1))),IF(R132&gt;0,AO132/R132,0))/MAX(0.1,N(Parameter!$M$21)))</f>
        <v>0.0576923076923077</v>
      </c>
      <c r="AQ132" s="57" t="n">
        <f aca="false">AN132*G132</f>
        <v>4213.26</v>
      </c>
      <c r="AR132" s="57" t="n">
        <f aca="false">ROUNDUP(MAX(J132/IF(BZ132&gt;0,BZ132,MAX(0.1,N(Cockpit!$I$6))),CC132)/BS132,0)*BS132</f>
        <v>534</v>
      </c>
      <c r="AS132" s="58" t="n">
        <f aca="false">IF(AP132&gt;0,J132/AP132,-1)</f>
        <v>6777.33333333333</v>
      </c>
      <c r="AT132" s="58" t="n">
        <f aca="false">IF(AND(OR(BY132="L1",BY132="L23"),AP132&gt;0),SUMIFS($AP$7:$AP$1843,$BY$7:$BY$1843,BY132,$AS$7:$AS$1843,"&gt;"&amp;AS132)+SUMIFS($AP$7:$AP$1843,$BY$7:$BY$1843,BY132,$AS$7:$AS$1843,AS132,$BQ$7:$BQ$1843,"&lt;="&amp;BQ132),"")</f>
        <v>9.94625181581703</v>
      </c>
      <c r="AU132" s="65" t="n">
        <f aca="false">IF(AT132="",0,MAX(0,MIN(1,(IF(BY132="L1",Parameter!$E$5,Parameter!$E$6+Parameter!$E$7)-(AT132-AP132))/AP132)))</f>
        <v>1</v>
      </c>
      <c r="AV132" s="57" t="n">
        <f aca="false">IF(LEFT(Cockpit!$O$5,1)="A",H132,IF(CA132=1,CB132,IF(LEFT(Cockpit!$O$5,1)="B",AZ132,MAX(AZ132,H132))))</f>
        <v>534</v>
      </c>
      <c r="AW132" s="57" t="n">
        <f aca="false">IF(BT132=1,0,ROUNDUP(AV132/BS132,0))</f>
        <v>3</v>
      </c>
      <c r="AX132" s="59" t="n">
        <f aca="false">IF(CH132&gt;0,CH132*MAX(1,AV132/X132),IF(BT132=1,IF(AV132&lt;=0,0,BW132*MAX(1,IF(H132&gt;0,AV132/H132,1))),IF(R132&gt;0,AW132/R132,0))/MAX(0.1,N(Parameter!$M$21)))</f>
        <v>0.0576923076923077</v>
      </c>
      <c r="AY132" s="57" t="n">
        <f aca="false">AV132*G132</f>
        <v>4213.26</v>
      </c>
      <c r="AZ132" s="57" t="n">
        <f aca="false">ROUNDUP(MAX(J132/IF(BZ132&gt;0,BZ132,MAX(0.1,N(Cockpit!$O$6))),CC132)/BS132,0)*BS132</f>
        <v>534</v>
      </c>
      <c r="BA132" s="58" t="n">
        <f aca="false">IF(AX132&gt;0,J132/AX132,-1)</f>
        <v>6777.33333333333</v>
      </c>
      <c r="BB132" s="58" t="n">
        <f aca="false">IF(AND(OR(BY132="L1",BY132="L23"),AX132&gt;0),SUMIFS($AX$7:$AX$1843,$BY$7:$BY$1843,BY132,$BA$7:$BA$1843,"&gt;"&amp;BA132)+SUMIFS($AX$7:$AX$1843,$BY$7:$BY$1843,BY132,$BA$7:$BA$1843,BA132,$BQ$7:$BQ$1843,"&lt;="&amp;BQ132),"")</f>
        <v>9.34660146616668</v>
      </c>
      <c r="BC132" s="65" t="n">
        <f aca="false">IF(BB132="",0,MAX(0,MIN(1,(IF(BY132="L1",Parameter!$E$5,Parameter!$E$6+Parameter!$E$7)-(BB132-AX132))/AX132)))</f>
        <v>1</v>
      </c>
      <c r="BD132" s="55" t="str">
        <f aca="false">IF(AH132&lt;=0,"",IF(BY132="Aussen","Aussenlager",IF(BY132="-","Nicht im Lift",IF(AM132&gt;=1,"Lift",IF(AM132&lt;=0,"Aussenlager","teilweise")))))</f>
        <v>Lift</v>
      </c>
      <c r="BE132" s="55" t="str">
        <f aca="false">IF(AP132&lt;=0,"",IF(BY132="Aussen","Aussenlager",IF(BY132="-","Nicht im Lift",IF(AU132&gt;=1,"Lift",IF(AU132&lt;=0,"Aussenlager","teilweise")))))</f>
        <v>Lift</v>
      </c>
      <c r="BF132" s="55" t="str">
        <f aca="false">IF(AX132&lt;=0,"",IF(BY132="Aussen","Aussenlager",IF(BY132="-","Nicht im Lift",IF(BC132&gt;=1,"Lift",IF(BC132&lt;=0,"Aussenlager","teilweise")))))</f>
        <v>Lift</v>
      </c>
      <c r="BG132" s="55" t="str">
        <f aca="false">IF(A132="","",IF(BP132=1,"Neu; ","")&amp;IF(AND(BP132=0,BK132&lt;0),"negativer Bestand (Export "&amp;BK132&amp;"); ","")&amp;IF(J132&lt;=0,"Kein Verbrauch; ","")&amp;IF(CH132&gt;0,"Lift "&amp;W132&amp;" lt. Liftbericht (Fach "&amp;X132&amp;" Stk); ",IF(BU132=1,"Gebinde geschätzt ("&amp;T132&amp;"); ",IF(BT132=1,"Lose – Tablare geschätzt; ","")))&amp;IF(H132&gt;AR132,"Überbestand "&amp;ROUND(H132-AR132,0)&amp;" Stk / CHF "&amp;ROUND((H132-AR132)*G132,0)&amp;"; ","")&amp;IF(AND(CA132=1,CB132&lt;CC132),"MAX &lt; MB+LG; ","")&amp;IF(AND(CG132&gt;0,CF132*10&gt;CG132),"zu hoch für Tablar; ","")&amp;IF(AND(BP132=0,OR(CA132=1,AA132&lt;&gt;"",U132&lt;&gt;"",V132&lt;&gt;"",AB132&lt;&gt;"")),"manuell übersteuert; ","")&amp;IF(AND(BT132=0,R132=0),"Gebinde unbekannt / Stellmass fehlt; ","")&amp;IF(AND(BT132=0,N(V132)&lt;=0,N(Q132)&lt;=0),"Menge pro Gebinde fehlt (Ist = 1 Gebinde); ","")&amp;BO132)</f>
        <v/>
      </c>
      <c r="BH132" s="55"/>
      <c r="BI132" s="55"/>
      <c r="BJ132" s="62"/>
      <c r="BK132" s="57" t="n">
        <v>217</v>
      </c>
      <c r="BL132" s="57" t="n">
        <v>46</v>
      </c>
      <c r="BM132" s="56" t="n">
        <v>1710.09</v>
      </c>
      <c r="BN132" s="57" t="n">
        <v>391</v>
      </c>
      <c r="BO132" s="55"/>
      <c r="BP132" s="60" t="n">
        <v>0</v>
      </c>
      <c r="BQ132" s="60" t="n">
        <v>132</v>
      </c>
      <c r="BR132" s="55" t="str">
        <f aca="false">IF(U132&lt;&gt;"",UPPER(TRIM(U132)),IF(BU132=1,UPPER(VLOOKUP(T132,Parameter!$I$27:$K$29,2,0)),IF(P132="","LOSE",P132)))</f>
        <v>S41</v>
      </c>
      <c r="BS132" s="57" t="n">
        <f aca="false">IF(BR132="LOSE",1,IF(N(V132)&gt;0,V132,IF(BU132=1,MAX(1,N(VLOOKUP(T132,Parameter!$I$27:$K$29,3,0)),H132,N(N132)),IF(N(Q132)&gt;0,Q132,MAX(1,H132)))))</f>
        <v>178</v>
      </c>
      <c r="BT132" s="60" t="n">
        <f aca="false">IF(BR132="LOSE",1,0)</f>
        <v>0</v>
      </c>
      <c r="BU132" s="60" t="n">
        <f aca="false">IF(AND(U132="",OR(P132="",P132="LOSE"),T132&lt;&gt;"",N(S132)&lt;=0,ISNUMBER(MATCH(T132,Parameter!$I$27:$I$29,0))),1,0)</f>
        <v>0</v>
      </c>
      <c r="BV132" s="55" t="str">
        <f aca="false">IF(AND(Parameter!$B$19="Ja",E132&lt;&gt;"",ISNUMBER(MATCH(E132,Parameter!$I$35:$I$52,0))),VLOOKUP(E132,Parameter!$I$35:$J$52,2,0),IFERROR(VLOOKUP(D132,Parameter!$A$35:$C$64,2,0),"Nein"))</f>
        <v>2+3</v>
      </c>
      <c r="BW132" s="59" t="n">
        <f aca="false">IF(BT132=0,0,IF(N(S132)&gt;0,S132,IFERROR(VLOOKUP(D132,Parameter!$A$35:$C$64,3,0)+0,0)))</f>
        <v>0</v>
      </c>
      <c r="BX132" s="55" t="n">
        <f aca="false">IF(AA132&lt;&gt;"",AA132,Z132)</f>
        <v>3</v>
      </c>
      <c r="BY132" s="55" t="str">
        <f aca="false">IF(BX132=1,"L1",IF(OR(BX132=2,BX132=3),"L23",IF(BX132="Aussen","Aussen","-")))</f>
        <v>L23</v>
      </c>
      <c r="BZ132" s="66" t="n">
        <f aca="false">IF(N(AB132)&gt;0,AB132,0)</f>
        <v>0</v>
      </c>
      <c r="CA132" s="60" t="n">
        <f aca="false">IF(ISNUMBER(AE132),1,0)</f>
        <v>0</v>
      </c>
      <c r="CB132" s="57" t="n">
        <f aca="false">N(AE132)</f>
        <v>0</v>
      </c>
      <c r="CC132" s="57" t="n">
        <f aca="false">N(M132)+N(N132)</f>
        <v>405</v>
      </c>
      <c r="CD132" s="57" t="n">
        <f aca="false">ROUNDUP(H132/BS132,0)</f>
        <v>2</v>
      </c>
      <c r="CE132" s="57" t="n">
        <f aca="false">ROUNDUP(CB132/BS132,0)</f>
        <v>0</v>
      </c>
      <c r="CF132" s="60" t="n">
        <f aca="false">IF(BT132=1,0,IFERROR(VLOOKUP(BR132,'Gebinde-Kategorie'!$A$5:$M$45,5,0)+0,0))</f>
        <v>11</v>
      </c>
      <c r="CG132" s="60" t="n">
        <f aca="false">IFERROR(IF(OR(BX132=1,BX132=2,BX132=3),N(INDEX(Parameter!$I$5:$I$7,BX132)),0),0)</f>
        <v>0</v>
      </c>
      <c r="CH132" s="59" t="n">
        <f aca="false">IF(AND(Parameter!$B$21="Ja",ISNUMBER(W132),N(X132)&gt;0),IFERROR(N(INDEX(Parameter!$L$5:$L$7,W132))*INDEX(Parameter!$E$5:$E$7,W132)*X132/SUMIFS($X$7:$X$1843,$W$7:$W$1843,W132),0),0)</f>
        <v>0</v>
      </c>
    </row>
    <row r="133" customFormat="false" ht="15" hidden="false" customHeight="false" outlineLevel="0" collapsed="false">
      <c r="A133" s="55" t="s">
        <v>474</v>
      </c>
      <c r="B133" s="55" t="s">
        <v>475</v>
      </c>
      <c r="C133" s="55" t="s">
        <v>164</v>
      </c>
      <c r="D133" s="55" t="s">
        <v>184</v>
      </c>
      <c r="E133" s="55" t="s">
        <v>185</v>
      </c>
      <c r="F133" s="55" t="s">
        <v>218</v>
      </c>
      <c r="G133" s="56" t="n">
        <v>1.3</v>
      </c>
      <c r="H133" s="57" t="n">
        <f aca="false">MAX(0,IF(AND(Parameter!$B$21="Ja",ISNUMBER(Y133)),Y133,IF(Parameter!$B$20="Jahresanfang 2025 + Export",BL133+BK133,BK133)))</f>
        <v>2057</v>
      </c>
      <c r="I133" s="57" t="n">
        <f aca="false">H133*G133</f>
        <v>2674.1</v>
      </c>
      <c r="J133" s="57" t="n">
        <f aca="false">BN133*Parameter!$B$18</f>
        <v>2371</v>
      </c>
      <c r="K133" s="58" t="n">
        <v>739</v>
      </c>
      <c r="L133" s="59" t="n">
        <v>3.20838971583221</v>
      </c>
      <c r="M133" s="57" t="n">
        <v>100</v>
      </c>
      <c r="N133" s="57" t="n">
        <v>2145</v>
      </c>
      <c r="O133" s="60" t="n">
        <v>14</v>
      </c>
      <c r="P133" s="55" t="s">
        <v>476</v>
      </c>
      <c r="Q133" s="57" t="n">
        <v>1988</v>
      </c>
      <c r="R133" s="60" t="n">
        <f aca="false">IF(BT133=1,0,IFERROR(VLOOKUP(BR133,'Gebinde-Kategorie'!$A$5:$M$45,13,0)+0,0))</f>
        <v>66</v>
      </c>
      <c r="S133" s="61"/>
      <c r="T133" s="62"/>
      <c r="U133" s="62"/>
      <c r="V133" s="62"/>
      <c r="W133" s="55"/>
      <c r="X133" s="57"/>
      <c r="Y133" s="57"/>
      <c r="Z133" s="55" t="n">
        <f aca="false">IF(A133="","",IF(AND(Parameter!$B$21="Ja",ISNUMBER(W133)),W133,IF(BV133="2+3",IF(ISNUMBER(SEARCH("grosser Artikel",BO133)),2,IFERROR(VLOOKUP(BR133,Parameter!$F$35:$G$64,2,0),2)),IF(OR(BV133="Nein",BV133=""),"-",BV133))))</f>
        <v>3</v>
      </c>
      <c r="AA133" s="62"/>
      <c r="AB133" s="63"/>
      <c r="AC133" s="57" t="n">
        <f aca="false">AR133</f>
        <v>3976</v>
      </c>
      <c r="AD133" s="57" t="n">
        <f aca="false">MAX(AR133,H133)</f>
        <v>3976</v>
      </c>
      <c r="AE133" s="64"/>
      <c r="AF133" s="57" t="n">
        <f aca="false">IF(LEFT(Cockpit!$C$5,1)="A",H133,IF(CA133=1,CB133,IF(LEFT(Cockpit!$C$5,1)="B",AJ133,MAX(AJ133,H133))))</f>
        <v>2057</v>
      </c>
      <c r="AG133" s="57" t="n">
        <f aca="false">IF(BT133=1,0,ROUNDUP(AF133/BS133,0))</f>
        <v>2</v>
      </c>
      <c r="AH133" s="59" t="n">
        <f aca="false">IF(CH133&gt;0,CH133*MAX(1,AF133/X133),IF(BT133=1,IF(AF133&lt;=0,0,BW133*MAX(1,IF(H133&gt;0,AF133/H133,1))),IF(R133&gt;0,AG133/R133,0))/MAX(0.1,N(Parameter!$M$21)))</f>
        <v>0.0303030303030303</v>
      </c>
      <c r="AI133" s="57" t="n">
        <f aca="false">AF133*G133</f>
        <v>2674.1</v>
      </c>
      <c r="AJ133" s="57" t="n">
        <f aca="false">ROUNDUP(MAX(J133/IF(BZ133&gt;0,BZ133,MAX(0.1,N(Cockpit!$C$6))),CC133)/BS133,0)*BS133</f>
        <v>3976</v>
      </c>
      <c r="AK133" s="58" t="n">
        <f aca="false">IF(AH133&gt;0,J133/AH133,-1)</f>
        <v>78243</v>
      </c>
      <c r="AL133" s="58" t="n">
        <f aca="false">IF(AND(OR(BY133="L1",BY133="L23"),AH133&gt;0),SUMIFS($AH$7:$AH$1843,$BY$7:$BY$1843,BY133,$AK$7:$AK$1843,"&gt;"&amp;AK133)+SUMIFS($AH$7:$AH$1843,$BY$7:$BY$1843,BY133,$AK$7:$AK$1843,AK133,$BQ$7:$BQ$1843,"&lt;="&amp;BQ133),"")</f>
        <v>0.85340866862606</v>
      </c>
      <c r="AM133" s="65" t="n">
        <f aca="false">IF(AL133="",0,MAX(0,MIN(1,(IF(BY133="L1",Parameter!$E$5,Parameter!$E$6+Parameter!$E$7)-(AL133-AH133))/AH133)))</f>
        <v>1</v>
      </c>
      <c r="AN133" s="57" t="n">
        <f aca="false">IF(LEFT(Cockpit!$I$5,1)="A",H133,IF(CA133=1,CB133,IF(LEFT(Cockpit!$I$5,1)="B",AR133,MAX(AR133,H133))))</f>
        <v>3976</v>
      </c>
      <c r="AO133" s="57" t="n">
        <f aca="false">IF(BT133=1,0,ROUNDUP(AN133/BS133,0))</f>
        <v>2</v>
      </c>
      <c r="AP133" s="59" t="n">
        <f aca="false">IF(CH133&gt;0,CH133*MAX(1,AN133/X133),IF(BT133=1,IF(AN133&lt;=0,0,BW133*MAX(1,IF(H133&gt;0,AN133/H133,1))),IF(R133&gt;0,AO133/R133,0))/MAX(0.1,N(Parameter!$M$21)))</f>
        <v>0.0303030303030303</v>
      </c>
      <c r="AQ133" s="57" t="n">
        <f aca="false">AN133*G133</f>
        <v>5168.8</v>
      </c>
      <c r="AR133" s="57" t="n">
        <f aca="false">ROUNDUP(MAX(J133/IF(BZ133&gt;0,BZ133,MAX(0.1,N(Cockpit!$I$6))),CC133)/BS133,0)*BS133</f>
        <v>3976</v>
      </c>
      <c r="AS133" s="58" t="n">
        <f aca="false">IF(AP133&gt;0,J133/AP133,-1)</f>
        <v>78243</v>
      </c>
      <c r="AT133" s="58" t="n">
        <f aca="false">IF(AND(OR(BY133="L1",BY133="L23"),AP133&gt;0),SUMIFS($AP$7:$AP$1843,$BY$7:$BY$1843,BY133,$AS$7:$AS$1843,"&gt;"&amp;AS133)+SUMIFS($AP$7:$AP$1843,$BY$7:$BY$1843,BY133,$AS$7:$AS$1843,AS133,$BQ$7:$BQ$1843,"&lt;="&amp;BQ133),"")</f>
        <v>0.452391811087463</v>
      </c>
      <c r="AU133" s="65" t="n">
        <f aca="false">IF(AT133="",0,MAX(0,MIN(1,(IF(BY133="L1",Parameter!$E$5,Parameter!$E$6+Parameter!$E$7)-(AT133-AP133))/AP133)))</f>
        <v>1</v>
      </c>
      <c r="AV133" s="57" t="n">
        <f aca="false">IF(LEFT(Cockpit!$O$5,1)="A",H133,IF(CA133=1,CB133,IF(LEFT(Cockpit!$O$5,1)="B",AZ133,MAX(AZ133,H133))))</f>
        <v>3976</v>
      </c>
      <c r="AW133" s="57" t="n">
        <f aca="false">IF(BT133=1,0,ROUNDUP(AV133/BS133,0))</f>
        <v>2</v>
      </c>
      <c r="AX133" s="59" t="n">
        <f aca="false">IF(CH133&gt;0,CH133*MAX(1,AV133/X133),IF(BT133=1,IF(AV133&lt;=0,0,BW133*MAX(1,IF(H133&gt;0,AV133/H133,1))),IF(R133&gt;0,AW133/R133,0))/MAX(0.1,N(Parameter!$M$21)))</f>
        <v>0.0303030303030303</v>
      </c>
      <c r="AY133" s="57" t="n">
        <f aca="false">AV133*G133</f>
        <v>5168.8</v>
      </c>
      <c r="AZ133" s="57" t="n">
        <f aca="false">ROUNDUP(MAX(J133/IF(BZ133&gt;0,BZ133,MAX(0.1,N(Cockpit!$O$6))),CC133)/BS133,0)*BS133</f>
        <v>3976</v>
      </c>
      <c r="BA133" s="58" t="n">
        <f aca="false">IF(AX133&gt;0,J133/AX133,-1)</f>
        <v>78243</v>
      </c>
      <c r="BB133" s="58" t="n">
        <f aca="false">IF(AND(OR(BY133="L1",BY133="L23"),AX133&gt;0),SUMIFS($AX$7:$AX$1843,$BY$7:$BY$1843,BY133,$BA$7:$BA$1843,"&gt;"&amp;BA133)+SUMIFS($AX$7:$AX$1843,$BY$7:$BY$1843,BY133,$BA$7:$BA$1843,BA133,$BQ$7:$BQ$1843,"&lt;="&amp;BQ133),"")</f>
        <v>0.690736799432452</v>
      </c>
      <c r="BC133" s="65" t="n">
        <f aca="false">IF(BB133="",0,MAX(0,MIN(1,(IF(BY133="L1",Parameter!$E$5,Parameter!$E$6+Parameter!$E$7)-(BB133-AX133))/AX133)))</f>
        <v>1</v>
      </c>
      <c r="BD133" s="55" t="str">
        <f aca="false">IF(AH133&lt;=0,"",IF(BY133="Aussen","Aussenlager",IF(BY133="-","Nicht im Lift",IF(AM133&gt;=1,"Lift",IF(AM133&lt;=0,"Aussenlager","teilweise")))))</f>
        <v>Lift</v>
      </c>
      <c r="BE133" s="55" t="str">
        <f aca="false">IF(AP133&lt;=0,"",IF(BY133="Aussen","Aussenlager",IF(BY133="-","Nicht im Lift",IF(AU133&gt;=1,"Lift",IF(AU133&lt;=0,"Aussenlager","teilweise")))))</f>
        <v>Lift</v>
      </c>
      <c r="BF133" s="55" t="str">
        <f aca="false">IF(AX133&lt;=0,"",IF(BY133="Aussen","Aussenlager",IF(BY133="-","Nicht im Lift",IF(BC133&gt;=1,"Lift",IF(BC133&lt;=0,"Aussenlager","teilweise")))))</f>
        <v>Lift</v>
      </c>
      <c r="BG133" s="55" t="str">
        <f aca="false">IF(A133="","",IF(BP133=1,"Neu; ","")&amp;IF(AND(BP133=0,BK133&lt;0),"negativer Bestand (Export "&amp;BK133&amp;"); ","")&amp;IF(J133&lt;=0,"Kein Verbrauch; ","")&amp;IF(CH133&gt;0,"Lift "&amp;W133&amp;" lt. Liftbericht (Fach "&amp;X133&amp;" Stk); ",IF(BU133=1,"Gebinde geschätzt ("&amp;T133&amp;"); ",IF(BT133=1,"Lose – Tablare geschätzt; ","")))&amp;IF(H133&gt;AR133,"Überbestand "&amp;ROUND(H133-AR133,0)&amp;" Stk / CHF "&amp;ROUND((H133-AR133)*G133,0)&amp;"; ","")&amp;IF(AND(CA133=1,CB133&lt;CC133),"MAX &lt; MB+LG; ","")&amp;IF(AND(CG133&gt;0,CF133*10&gt;CG133),"zu hoch für Tablar; ","")&amp;IF(AND(BP133=0,OR(CA133=1,AA133&lt;&gt;"",U133&lt;&gt;"",V133&lt;&gt;"",AB133&lt;&gt;"")),"manuell übersteuert; ","")&amp;IF(AND(BT133=0,R133=0),"Gebinde unbekannt / Stellmass fehlt; ","")&amp;IF(AND(BT133=0,N(V133)&lt;=0,N(Q133)&lt;=0),"Menge pro Gebinde fehlt (Ist = 1 Gebinde); ","")&amp;BO133)</f>
        <v/>
      </c>
      <c r="BH133" s="55"/>
      <c r="BI133" s="55"/>
      <c r="BJ133" s="62"/>
      <c r="BK133" s="57" t="n">
        <v>1387</v>
      </c>
      <c r="BL133" s="57" t="n">
        <v>670</v>
      </c>
      <c r="BM133" s="56" t="n">
        <v>1675.10000000001</v>
      </c>
      <c r="BN133" s="57" t="n">
        <v>2371</v>
      </c>
      <c r="BO133" s="55"/>
      <c r="BP133" s="60" t="n">
        <v>0</v>
      </c>
      <c r="BQ133" s="60" t="n">
        <v>133</v>
      </c>
      <c r="BR133" s="55" t="str">
        <f aca="false">IF(U133&lt;&gt;"",UPPER(TRIM(U133)),IF(BU133=1,UPPER(VLOOKUP(T133,Parameter!$I$27:$K$29,2,0)),IF(P133="","LOSE",P133)))</f>
        <v>S33</v>
      </c>
      <c r="BS133" s="57" t="n">
        <f aca="false">IF(BR133="LOSE",1,IF(N(V133)&gt;0,V133,IF(BU133=1,MAX(1,N(VLOOKUP(T133,Parameter!$I$27:$K$29,3,0)),H133,N(N133)),IF(N(Q133)&gt;0,Q133,MAX(1,H133)))))</f>
        <v>1988</v>
      </c>
      <c r="BT133" s="60" t="n">
        <f aca="false">IF(BR133="LOSE",1,0)</f>
        <v>0</v>
      </c>
      <c r="BU133" s="60" t="n">
        <f aca="false">IF(AND(U133="",OR(P133="",P133="LOSE"),T133&lt;&gt;"",N(S133)&lt;=0,ISNUMBER(MATCH(T133,Parameter!$I$27:$I$29,0))),1,0)</f>
        <v>0</v>
      </c>
      <c r="BV133" s="55" t="str">
        <f aca="false">IF(AND(Parameter!$B$19="Ja",E133&lt;&gt;"",ISNUMBER(MATCH(E133,Parameter!$I$35:$I$52,0))),VLOOKUP(E133,Parameter!$I$35:$J$52,2,0),IFERROR(VLOOKUP(D133,Parameter!$A$35:$C$64,2,0),"Nein"))</f>
        <v>2+3</v>
      </c>
      <c r="BW133" s="59" t="n">
        <f aca="false">IF(BT133=0,0,IF(N(S133)&gt;0,S133,IFERROR(VLOOKUP(D133,Parameter!$A$35:$C$64,3,0)+0,0)))</f>
        <v>0</v>
      </c>
      <c r="BX133" s="55" t="n">
        <f aca="false">IF(AA133&lt;&gt;"",AA133,Z133)</f>
        <v>3</v>
      </c>
      <c r="BY133" s="55" t="str">
        <f aca="false">IF(BX133=1,"L1",IF(OR(BX133=2,BX133=3),"L23",IF(BX133="Aussen","Aussen","-")))</f>
        <v>L23</v>
      </c>
      <c r="BZ133" s="66" t="n">
        <f aca="false">IF(N(AB133)&gt;0,AB133,0)</f>
        <v>0</v>
      </c>
      <c r="CA133" s="60" t="n">
        <f aca="false">IF(ISNUMBER(AE133),1,0)</f>
        <v>0</v>
      </c>
      <c r="CB133" s="57" t="n">
        <f aca="false">N(AE133)</f>
        <v>0</v>
      </c>
      <c r="CC133" s="57" t="n">
        <f aca="false">N(M133)+N(N133)</f>
        <v>2245</v>
      </c>
      <c r="CD133" s="57" t="n">
        <f aca="false">ROUNDUP(H133/BS133,0)</f>
        <v>2</v>
      </c>
      <c r="CE133" s="57" t="n">
        <f aca="false">ROUNDUP(CB133/BS133,0)</f>
        <v>0</v>
      </c>
      <c r="CF133" s="60" t="n">
        <f aca="false">IF(BT133=1,0,IFERROR(VLOOKUP(BR133,'Gebinde-Kategorie'!$A$5:$M$45,5,0)+0,0))</f>
        <v>8</v>
      </c>
      <c r="CG133" s="60" t="n">
        <f aca="false">IFERROR(IF(OR(BX133=1,BX133=2,BX133=3),N(INDEX(Parameter!$I$5:$I$7,BX133)),0),0)</f>
        <v>0</v>
      </c>
      <c r="CH133" s="59" t="n">
        <f aca="false">IF(AND(Parameter!$B$21="Ja",ISNUMBER(W133),N(X133)&gt;0),IFERROR(N(INDEX(Parameter!$L$5:$L$7,W133))*INDEX(Parameter!$E$5:$E$7,W133)*X133/SUMIFS($X$7:$X$1843,$W$7:$W$1843,W133),0),0)</f>
        <v>0</v>
      </c>
    </row>
    <row r="134" customFormat="false" ht="15" hidden="false" customHeight="false" outlineLevel="0" collapsed="false">
      <c r="A134" s="55" t="s">
        <v>477</v>
      </c>
      <c r="B134" s="55" t="s">
        <v>301</v>
      </c>
      <c r="C134" s="55" t="s">
        <v>164</v>
      </c>
      <c r="D134" s="55" t="s">
        <v>184</v>
      </c>
      <c r="E134" s="55" t="s">
        <v>185</v>
      </c>
      <c r="F134" s="55" t="s">
        <v>218</v>
      </c>
      <c r="G134" s="56" t="n">
        <v>332.74</v>
      </c>
      <c r="H134" s="57" t="n">
        <f aca="false">MAX(0,IF(AND(Parameter!$B$21="Ja",ISNUMBER(Y134)),Y134,IF(Parameter!$B$20="Jahresanfang 2025 + Export",BL134+BK134,BK134)))</f>
        <v>22</v>
      </c>
      <c r="I134" s="57" t="n">
        <f aca="false">H134*G134</f>
        <v>7320.28</v>
      </c>
      <c r="J134" s="57" t="n">
        <f aca="false">BN134*Parameter!$B$18</f>
        <v>7</v>
      </c>
      <c r="K134" s="58" t="n">
        <v>18.5</v>
      </c>
      <c r="L134" s="59" t="n">
        <v>0.378378378378378</v>
      </c>
      <c r="M134" s="57" t="n">
        <v>2</v>
      </c>
      <c r="N134" s="57" t="n">
        <v>5</v>
      </c>
      <c r="O134" s="60" t="n">
        <v>105</v>
      </c>
      <c r="P134" s="55" t="s">
        <v>302</v>
      </c>
      <c r="Q134" s="57" t="n">
        <v>16</v>
      </c>
      <c r="R134" s="60" t="n">
        <f aca="false">IF(BT134=1,0,IFERROR(VLOOKUP(BR134,'Gebinde-Kategorie'!$A$5:$M$45,13,0)+0,0))</f>
        <v>26</v>
      </c>
      <c r="S134" s="61"/>
      <c r="T134" s="62"/>
      <c r="U134" s="62"/>
      <c r="V134" s="62"/>
      <c r="W134" s="55"/>
      <c r="X134" s="57"/>
      <c r="Y134" s="57"/>
      <c r="Z134" s="55" t="n">
        <f aca="false">IF(A134="","",IF(AND(Parameter!$B$21="Ja",ISNUMBER(W134)),W134,IF(BV134="2+3",IF(ISNUMBER(SEARCH("grosser Artikel",BO134)),2,IFERROR(VLOOKUP(BR134,Parameter!$F$35:$G$64,2,0),2)),IF(OR(BV134="Nein",BV134=""),"-",BV134))))</f>
        <v>3</v>
      </c>
      <c r="AA134" s="62"/>
      <c r="AB134" s="63"/>
      <c r="AC134" s="57" t="n">
        <f aca="false">AR134</f>
        <v>16</v>
      </c>
      <c r="AD134" s="57" t="n">
        <f aca="false">MAX(AR134,H134)</f>
        <v>22</v>
      </c>
      <c r="AE134" s="64"/>
      <c r="AF134" s="57" t="n">
        <f aca="false">IF(LEFT(Cockpit!$C$5,1)="A",H134,IF(CA134=1,CB134,IF(LEFT(Cockpit!$C$5,1)="B",AJ134,MAX(AJ134,H134))))</f>
        <v>22</v>
      </c>
      <c r="AG134" s="57" t="n">
        <f aca="false">IF(BT134=1,0,ROUNDUP(AF134/BS134,0))</f>
        <v>2</v>
      </c>
      <c r="AH134" s="59" t="n">
        <f aca="false">IF(CH134&gt;0,CH134*MAX(1,AF134/X134),IF(BT134=1,IF(AF134&lt;=0,0,BW134*MAX(1,IF(H134&gt;0,AF134/H134,1))),IF(R134&gt;0,AG134/R134,0))/MAX(0.1,N(Parameter!$M$21)))</f>
        <v>0.0769230769230769</v>
      </c>
      <c r="AI134" s="57" t="n">
        <f aca="false">AF134*G134</f>
        <v>7320.28</v>
      </c>
      <c r="AJ134" s="57" t="n">
        <f aca="false">ROUNDUP(MAX(J134/IF(BZ134&gt;0,BZ134,MAX(0.1,N(Cockpit!$C$6))),CC134)/BS134,0)*BS134</f>
        <v>16</v>
      </c>
      <c r="AK134" s="58" t="n">
        <f aca="false">IF(AH134&gt;0,J134/AH134,-1)</f>
        <v>91</v>
      </c>
      <c r="AL134" s="58" t="n">
        <f aca="false">IF(AND(OR(BY134="L1",BY134="L23"),AH134&gt;0),SUMIFS($AH$7:$AH$1843,$BY$7:$BY$1843,BY134,$AK$7:$AK$1843,"&gt;"&amp;AK134)+SUMIFS($AH$7:$AH$1843,$BY$7:$BY$1843,BY134,$AK$7:$AK$1843,AK134,$BQ$7:$BQ$1843,"&lt;="&amp;BQ134),"")</f>
        <v>40.1248944292423</v>
      </c>
      <c r="AM134" s="65" t="n">
        <f aca="false">IF(AL134="",0,MAX(0,MIN(1,(IF(BY134="L1",Parameter!$E$5,Parameter!$E$6+Parameter!$E$7)-(AL134-AH134))/AH134)))</f>
        <v>1</v>
      </c>
      <c r="AN134" s="57" t="n">
        <f aca="false">IF(LEFT(Cockpit!$I$5,1)="A",H134,IF(CA134=1,CB134,IF(LEFT(Cockpit!$I$5,1)="B",AR134,MAX(AR134,H134))))</f>
        <v>22</v>
      </c>
      <c r="AO134" s="57" t="n">
        <f aca="false">IF(BT134=1,0,ROUNDUP(AN134/BS134,0))</f>
        <v>2</v>
      </c>
      <c r="AP134" s="59" t="n">
        <f aca="false">IF(CH134&gt;0,CH134*MAX(1,AN134/X134),IF(BT134=1,IF(AN134&lt;=0,0,BW134*MAX(1,IF(H134&gt;0,AN134/H134,1))),IF(R134&gt;0,AO134/R134,0))/MAX(0.1,N(Parameter!$M$21)))</f>
        <v>0.0769230769230769</v>
      </c>
      <c r="AQ134" s="57" t="n">
        <f aca="false">AN134*G134</f>
        <v>7320.28</v>
      </c>
      <c r="AR134" s="57" t="n">
        <f aca="false">ROUNDUP(MAX(J134/IF(BZ134&gt;0,BZ134,MAX(0.1,N(Cockpit!$I$6))),CC134)/BS134,0)*BS134</f>
        <v>16</v>
      </c>
      <c r="AS134" s="58" t="n">
        <f aca="false">IF(AP134&gt;0,J134/AP134,-1)</f>
        <v>91</v>
      </c>
      <c r="AT134" s="58" t="n">
        <f aca="false">IF(AND(OR(BY134="L1",BY134="L23"),AP134&gt;0),SUMIFS($AP$7:$AP$1843,$BY$7:$BY$1843,BY134,$AS$7:$AS$1843,"&gt;"&amp;AS134)+SUMIFS($AP$7:$AP$1843,$BY$7:$BY$1843,BY134,$AS$7:$AS$1843,AS134,$BQ$7:$BQ$1843,"&lt;="&amp;BQ134),"")</f>
        <v>60.5175500827675</v>
      </c>
      <c r="AU134" s="65" t="n">
        <f aca="false">IF(AT134="",0,MAX(0,MIN(1,(IF(BY134="L1",Parameter!$E$5,Parameter!$E$6+Parameter!$E$7)-(AT134-AP134))/AP134)))</f>
        <v>1</v>
      </c>
      <c r="AV134" s="57" t="n">
        <f aca="false">IF(LEFT(Cockpit!$O$5,1)="A",H134,IF(CA134=1,CB134,IF(LEFT(Cockpit!$O$5,1)="B",AZ134,MAX(AZ134,H134))))</f>
        <v>22</v>
      </c>
      <c r="AW134" s="57" t="n">
        <f aca="false">IF(BT134=1,0,ROUNDUP(AV134/BS134,0))</f>
        <v>2</v>
      </c>
      <c r="AX134" s="59" t="n">
        <f aca="false">IF(CH134&gt;0,CH134*MAX(1,AV134/X134),IF(BT134=1,IF(AV134&lt;=0,0,BW134*MAX(1,IF(H134&gt;0,AV134/H134,1))),IF(R134&gt;0,AW134/R134,0))/MAX(0.1,N(Parameter!$M$21)))</f>
        <v>0.0769230769230769</v>
      </c>
      <c r="AY134" s="57" t="n">
        <f aca="false">AV134*G134</f>
        <v>7320.28</v>
      </c>
      <c r="AZ134" s="57" t="n">
        <f aca="false">ROUNDUP(MAX(J134/IF(BZ134&gt;0,BZ134,MAX(0.1,N(Cockpit!$O$6))),CC134)/BS134,0)*BS134</f>
        <v>16</v>
      </c>
      <c r="BA134" s="58" t="n">
        <f aca="false">IF(AX134&gt;0,J134/AX134,-1)</f>
        <v>91</v>
      </c>
      <c r="BB134" s="58" t="n">
        <f aca="false">IF(AND(OR(BY134="L1",BY134="L23"),AX134&gt;0),SUMIFS($AX$7:$AX$1843,$BY$7:$BY$1843,BY134,$BA$7:$BA$1843,"&gt;"&amp;BA134)+SUMIFS($AX$7:$AX$1843,$BY$7:$BY$1843,BY134,$BA$7:$BA$1843,BA134,$BQ$7:$BQ$1843,"&lt;="&amp;BQ134),"")</f>
        <v>56.1807202459376</v>
      </c>
      <c r="BC134" s="65" t="n">
        <f aca="false">IF(BB134="",0,MAX(0,MIN(1,(IF(BY134="L1",Parameter!$E$5,Parameter!$E$6+Parameter!$E$7)-(BB134-AX134))/AX134)))</f>
        <v>1</v>
      </c>
      <c r="BD134" s="55" t="str">
        <f aca="false">IF(AH134&lt;=0,"",IF(BY134="Aussen","Aussenlager",IF(BY134="-","Nicht im Lift",IF(AM134&gt;=1,"Lift",IF(AM134&lt;=0,"Aussenlager","teilweise")))))</f>
        <v>Lift</v>
      </c>
      <c r="BE134" s="55" t="str">
        <f aca="false">IF(AP134&lt;=0,"",IF(BY134="Aussen","Aussenlager",IF(BY134="-","Nicht im Lift",IF(AU134&gt;=1,"Lift",IF(AU134&lt;=0,"Aussenlager","teilweise")))))</f>
        <v>Lift</v>
      </c>
      <c r="BF134" s="55" t="str">
        <f aca="false">IF(AX134&lt;=0,"",IF(BY134="Aussen","Aussenlager",IF(BY134="-","Nicht im Lift",IF(BC134&gt;=1,"Lift",IF(BC134&lt;=0,"Aussenlager","teilweise")))))</f>
        <v>Lift</v>
      </c>
      <c r="BG134" s="55" t="str">
        <f aca="false">IF(A134="","",IF(BP134=1,"Neu; ","")&amp;IF(AND(BP134=0,BK134&lt;0),"negativer Bestand (Export "&amp;BK134&amp;"); ","")&amp;IF(J134&lt;=0,"Kein Verbrauch; ","")&amp;IF(CH134&gt;0,"Lift "&amp;W134&amp;" lt. Liftbericht (Fach "&amp;X134&amp;" Stk); ",IF(BU134=1,"Gebinde geschätzt ("&amp;T134&amp;"); ",IF(BT134=1,"Lose – Tablare geschätzt; ","")))&amp;IF(H134&gt;AR134,"Überbestand "&amp;ROUND(H134-AR134,0)&amp;" Stk / CHF "&amp;ROUND((H134-AR134)*G134,0)&amp;"; ","")&amp;IF(AND(CA134=1,CB134&lt;CC134),"MAX &lt; MB+LG; ","")&amp;IF(AND(CG134&gt;0,CF134*10&gt;CG134),"zu hoch für Tablar; ","")&amp;IF(AND(BP134=0,OR(CA134=1,AA134&lt;&gt;"",U134&lt;&gt;"",V134&lt;&gt;"",AB134&lt;&gt;"")),"manuell übersteuert; ","")&amp;IF(AND(BT134=0,R134=0),"Gebinde unbekannt / Stellmass fehlt; ","")&amp;IF(AND(BT134=0,N(V134)&lt;=0,N(Q134)&lt;=0),"Menge pro Gebinde fehlt (Ist = 1 Gebinde); ","")&amp;BO134)</f>
        <v>Überbestand 6 Stk / CHF 1996; </v>
      </c>
      <c r="BH134" s="55"/>
      <c r="BI134" s="55"/>
      <c r="BJ134" s="62"/>
      <c r="BK134" s="57" t="n">
        <v>5</v>
      </c>
      <c r="BL134" s="57" t="n">
        <v>17</v>
      </c>
      <c r="BM134" s="56" t="n">
        <v>1663.19</v>
      </c>
      <c r="BN134" s="57" t="n">
        <v>7</v>
      </c>
      <c r="BO134" s="55"/>
      <c r="BP134" s="60" t="n">
        <v>0</v>
      </c>
      <c r="BQ134" s="60" t="n">
        <v>134</v>
      </c>
      <c r="BR134" s="55" t="str">
        <f aca="false">IF(U134&lt;&gt;"",UPPER(TRIM(U134)),IF(BU134=1,UPPER(VLOOKUP(T134,Parameter!$I$27:$K$29,2,0)),IF(P134="","LOSE",P134)))</f>
        <v>S51</v>
      </c>
      <c r="BS134" s="57" t="n">
        <f aca="false">IF(BR134="LOSE",1,IF(N(V134)&gt;0,V134,IF(BU134=1,MAX(1,N(VLOOKUP(T134,Parameter!$I$27:$K$29,3,0)),H134,N(N134)),IF(N(Q134)&gt;0,Q134,MAX(1,H134)))))</f>
        <v>16</v>
      </c>
      <c r="BT134" s="60" t="n">
        <f aca="false">IF(BR134="LOSE",1,0)</f>
        <v>0</v>
      </c>
      <c r="BU134" s="60" t="n">
        <f aca="false">IF(AND(U134="",OR(P134="",P134="LOSE"),T134&lt;&gt;"",N(S134)&lt;=0,ISNUMBER(MATCH(T134,Parameter!$I$27:$I$29,0))),1,0)</f>
        <v>0</v>
      </c>
      <c r="BV134" s="55" t="str">
        <f aca="false">IF(AND(Parameter!$B$19="Ja",E134&lt;&gt;"",ISNUMBER(MATCH(E134,Parameter!$I$35:$I$52,0))),VLOOKUP(E134,Parameter!$I$35:$J$52,2,0),IFERROR(VLOOKUP(D134,Parameter!$A$35:$C$64,2,0),"Nein"))</f>
        <v>2+3</v>
      </c>
      <c r="BW134" s="59" t="n">
        <f aca="false">IF(BT134=0,0,IF(N(S134)&gt;0,S134,IFERROR(VLOOKUP(D134,Parameter!$A$35:$C$64,3,0)+0,0)))</f>
        <v>0</v>
      </c>
      <c r="BX134" s="55" t="n">
        <f aca="false">IF(AA134&lt;&gt;"",AA134,Z134)</f>
        <v>3</v>
      </c>
      <c r="BY134" s="55" t="str">
        <f aca="false">IF(BX134=1,"L1",IF(OR(BX134=2,BX134=3),"L23",IF(BX134="Aussen","Aussen","-")))</f>
        <v>L23</v>
      </c>
      <c r="BZ134" s="66" t="n">
        <f aca="false">IF(N(AB134)&gt;0,AB134,0)</f>
        <v>0</v>
      </c>
      <c r="CA134" s="60" t="n">
        <f aca="false">IF(ISNUMBER(AE134),1,0)</f>
        <v>0</v>
      </c>
      <c r="CB134" s="57" t="n">
        <f aca="false">N(AE134)</f>
        <v>0</v>
      </c>
      <c r="CC134" s="57" t="n">
        <f aca="false">N(M134)+N(N134)</f>
        <v>7</v>
      </c>
      <c r="CD134" s="57" t="n">
        <f aca="false">ROUNDUP(H134/BS134,0)</f>
        <v>2</v>
      </c>
      <c r="CE134" s="57" t="n">
        <f aca="false">ROUNDUP(CB134/BS134,0)</f>
        <v>0</v>
      </c>
      <c r="CF134" s="60" t="n">
        <f aca="false">IF(BT134=1,0,IFERROR(VLOOKUP(BR134,'Gebinde-Kategorie'!$A$5:$M$45,5,0)+0,0))</f>
        <v>11</v>
      </c>
      <c r="CG134" s="60" t="n">
        <f aca="false">IFERROR(IF(OR(BX134=1,BX134=2,BX134=3),N(INDEX(Parameter!$I$5:$I$7,BX134)),0),0)</f>
        <v>0</v>
      </c>
      <c r="CH134" s="59" t="n">
        <f aca="false">IF(AND(Parameter!$B$21="Ja",ISNUMBER(W134),N(X134)&gt;0),IFERROR(N(INDEX(Parameter!$L$5:$L$7,W134))*INDEX(Parameter!$E$5:$E$7,W134)*X134/SUMIFS($X$7:$X$1843,$W$7:$W$1843,W134),0),0)</f>
        <v>0</v>
      </c>
    </row>
    <row r="135" customFormat="false" ht="15" hidden="false" customHeight="false" outlineLevel="0" collapsed="false">
      <c r="A135" s="55" t="s">
        <v>478</v>
      </c>
      <c r="B135" s="55" t="s">
        <v>347</v>
      </c>
      <c r="C135" s="55" t="s">
        <v>164</v>
      </c>
      <c r="D135" s="55" t="s">
        <v>173</v>
      </c>
      <c r="E135" s="55" t="s">
        <v>173</v>
      </c>
      <c r="F135" s="55" t="s">
        <v>218</v>
      </c>
      <c r="G135" s="56" t="n">
        <v>112.45</v>
      </c>
      <c r="H135" s="57" t="n">
        <f aca="false">MAX(0,IF(AND(Parameter!$B$21="Ja",ISNUMBER(Y135)),Y135,IF(Parameter!$B$20="Jahresanfang 2025 + Export",BL135+BK135,BK135)))</f>
        <v>126</v>
      </c>
      <c r="I135" s="57" t="n">
        <f aca="false">H135*G135</f>
        <v>14168.7</v>
      </c>
      <c r="J135" s="57" t="n">
        <f aca="false">BN135*Parameter!$B$18</f>
        <v>315</v>
      </c>
      <c r="K135" s="58" t="n">
        <v>124.5</v>
      </c>
      <c r="L135" s="59" t="n">
        <v>2.53012048192771</v>
      </c>
      <c r="M135" s="57" t="n">
        <v>18</v>
      </c>
      <c r="N135" s="57" t="n">
        <v>100</v>
      </c>
      <c r="O135" s="60" t="n">
        <v>21</v>
      </c>
      <c r="P135" s="55" t="s">
        <v>174</v>
      </c>
      <c r="Q135" s="57" t="n">
        <v>60</v>
      </c>
      <c r="R135" s="60" t="n">
        <f aca="false">IF(BT135=1,0,IFERROR(VLOOKUP(BR135,'Gebinde-Kategorie'!$A$5:$M$45,13,0)+0,0))</f>
        <v>6</v>
      </c>
      <c r="S135" s="61"/>
      <c r="T135" s="62"/>
      <c r="U135" s="62"/>
      <c r="V135" s="62"/>
      <c r="W135" s="55"/>
      <c r="X135" s="57"/>
      <c r="Y135" s="57"/>
      <c r="Z135" s="55" t="str">
        <f aca="false">IF(A135="","",IF(AND(Parameter!$B$21="Ja",ISNUMBER(W135)),W135,IF(BV135="2+3",IF(ISNUMBER(SEARCH("grosser Artikel",BO135)),2,IFERROR(VLOOKUP(BR135,Parameter!$F$35:$G$64,2,0),2)),IF(OR(BV135="Nein",BV135=""),"-",BV135))))</f>
        <v>-</v>
      </c>
      <c r="AA135" s="62"/>
      <c r="AB135" s="63"/>
      <c r="AC135" s="57" t="n">
        <f aca="false">AR135</f>
        <v>180</v>
      </c>
      <c r="AD135" s="57" t="n">
        <f aca="false">MAX(AR135,H135)</f>
        <v>180</v>
      </c>
      <c r="AE135" s="64"/>
      <c r="AF135" s="57" t="n">
        <f aca="false">IF(LEFT(Cockpit!$C$5,1)="A",H135,IF(CA135=1,CB135,IF(LEFT(Cockpit!$C$5,1)="B",AJ135,MAX(AJ135,H135))))</f>
        <v>126</v>
      </c>
      <c r="AG135" s="57" t="n">
        <f aca="false">IF(BT135=1,0,ROUNDUP(AF135/BS135,0))</f>
        <v>3</v>
      </c>
      <c r="AH135" s="59" t="n">
        <f aca="false">IF(CH135&gt;0,CH135*MAX(1,AF135/X135),IF(BT135=1,IF(AF135&lt;=0,0,BW135*MAX(1,IF(H135&gt;0,AF135/H135,1))),IF(R135&gt;0,AG135/R135,0))/MAX(0.1,N(Parameter!$M$21)))</f>
        <v>0.5</v>
      </c>
      <c r="AI135" s="57" t="n">
        <f aca="false">AF135*G135</f>
        <v>14168.7</v>
      </c>
      <c r="AJ135" s="57" t="n">
        <f aca="false">ROUNDUP(MAX(J135/IF(BZ135&gt;0,BZ135,MAX(0.1,N(Cockpit!$C$6))),CC135)/BS135,0)*BS135</f>
        <v>180</v>
      </c>
      <c r="AK135" s="58" t="n">
        <f aca="false">IF(AH135&gt;0,J135/AH135,-1)</f>
        <v>630</v>
      </c>
      <c r="AL135" s="58" t="str">
        <f aca="false">IF(AND(OR(BY135="L1",BY135="L23"),AH135&gt;0),SUMIFS($AH$7:$AH$1843,$BY$7:$BY$1843,BY135,$AK$7:$AK$1843,"&gt;"&amp;AK135)+SUMIFS($AH$7:$AH$1843,$BY$7:$BY$1843,BY135,$AK$7:$AK$1843,AK135,$BQ$7:$BQ$1843,"&lt;="&amp;BQ135),"")</f>
        <v/>
      </c>
      <c r="AM135" s="65" t="n">
        <f aca="false">IF(AL135="",0,MAX(0,MIN(1,(IF(BY135="L1",Parameter!$E$5,Parameter!$E$6+Parameter!$E$7)-(AL135-AH135))/AH135)))</f>
        <v>0</v>
      </c>
      <c r="AN135" s="57" t="n">
        <f aca="false">IF(LEFT(Cockpit!$I$5,1)="A",H135,IF(CA135=1,CB135,IF(LEFT(Cockpit!$I$5,1)="B",AR135,MAX(AR135,H135))))</f>
        <v>180</v>
      </c>
      <c r="AO135" s="57" t="n">
        <f aca="false">IF(BT135=1,0,ROUNDUP(AN135/BS135,0))</f>
        <v>3</v>
      </c>
      <c r="AP135" s="59" t="n">
        <f aca="false">IF(CH135&gt;0,CH135*MAX(1,AN135/X135),IF(BT135=1,IF(AN135&lt;=0,0,BW135*MAX(1,IF(H135&gt;0,AN135/H135,1))),IF(R135&gt;0,AO135/R135,0))/MAX(0.1,N(Parameter!$M$21)))</f>
        <v>0.5</v>
      </c>
      <c r="AQ135" s="57" t="n">
        <f aca="false">AN135*G135</f>
        <v>20241</v>
      </c>
      <c r="AR135" s="57" t="n">
        <f aca="false">ROUNDUP(MAX(J135/IF(BZ135&gt;0,BZ135,MAX(0.1,N(Cockpit!$I$6))),CC135)/BS135,0)*BS135</f>
        <v>180</v>
      </c>
      <c r="AS135" s="58" t="n">
        <f aca="false">IF(AP135&gt;0,J135/AP135,-1)</f>
        <v>630</v>
      </c>
      <c r="AT135" s="58" t="str">
        <f aca="false">IF(AND(OR(BY135="L1",BY135="L23"),AP135&gt;0),SUMIFS($AP$7:$AP$1843,$BY$7:$BY$1843,BY135,$AS$7:$AS$1843,"&gt;"&amp;AS135)+SUMIFS($AP$7:$AP$1843,$BY$7:$BY$1843,BY135,$AS$7:$AS$1843,AS135,$BQ$7:$BQ$1843,"&lt;="&amp;BQ135),"")</f>
        <v/>
      </c>
      <c r="AU135" s="65" t="n">
        <f aca="false">IF(AT135="",0,MAX(0,MIN(1,(IF(BY135="L1",Parameter!$E$5,Parameter!$E$6+Parameter!$E$7)-(AT135-AP135))/AP135)))</f>
        <v>0</v>
      </c>
      <c r="AV135" s="57" t="n">
        <f aca="false">IF(LEFT(Cockpit!$O$5,1)="A",H135,IF(CA135=1,CB135,IF(LEFT(Cockpit!$O$5,1)="B",AZ135,MAX(AZ135,H135))))</f>
        <v>126</v>
      </c>
      <c r="AW135" s="57" t="n">
        <f aca="false">IF(BT135=1,0,ROUNDUP(AV135/BS135,0))</f>
        <v>3</v>
      </c>
      <c r="AX135" s="59" t="n">
        <f aca="false">IF(CH135&gt;0,CH135*MAX(1,AV135/X135),IF(BT135=1,IF(AV135&lt;=0,0,BW135*MAX(1,IF(H135&gt;0,AV135/H135,1))),IF(R135&gt;0,AW135/R135,0))/MAX(0.1,N(Parameter!$M$21)))</f>
        <v>0.5</v>
      </c>
      <c r="AY135" s="57" t="n">
        <f aca="false">AV135*G135</f>
        <v>14168.7</v>
      </c>
      <c r="AZ135" s="57" t="n">
        <f aca="false">ROUNDUP(MAX(J135/IF(BZ135&gt;0,BZ135,MAX(0.1,N(Cockpit!$O$6))),CC135)/BS135,0)*BS135</f>
        <v>120</v>
      </c>
      <c r="BA135" s="58" t="n">
        <f aca="false">IF(AX135&gt;0,J135/AX135,-1)</f>
        <v>630</v>
      </c>
      <c r="BB135" s="58" t="str">
        <f aca="false">IF(AND(OR(BY135="L1",BY135="L23"),AX135&gt;0),SUMIFS($AX$7:$AX$1843,$BY$7:$BY$1843,BY135,$BA$7:$BA$1843,"&gt;"&amp;BA135)+SUMIFS($AX$7:$AX$1843,$BY$7:$BY$1843,BY135,$BA$7:$BA$1843,BA135,$BQ$7:$BQ$1843,"&lt;="&amp;BQ135),"")</f>
        <v/>
      </c>
      <c r="BC135" s="65" t="n">
        <f aca="false">IF(BB135="",0,MAX(0,MIN(1,(IF(BY135="L1",Parameter!$E$5,Parameter!$E$6+Parameter!$E$7)-(BB135-AX135))/AX135)))</f>
        <v>0</v>
      </c>
      <c r="BD135" s="55" t="str">
        <f aca="false">IF(AH135&lt;=0,"",IF(BY135="Aussen","Aussenlager",IF(BY135="-","Nicht im Lift",IF(AM135&gt;=1,"Lift",IF(AM135&lt;=0,"Aussenlager","teilweise")))))</f>
        <v>Nicht im Lift</v>
      </c>
      <c r="BE135" s="55" t="str">
        <f aca="false">IF(AP135&lt;=0,"",IF(BY135="Aussen","Aussenlager",IF(BY135="-","Nicht im Lift",IF(AU135&gt;=1,"Lift",IF(AU135&lt;=0,"Aussenlager","teilweise")))))</f>
        <v>Nicht im Lift</v>
      </c>
      <c r="BF135" s="55" t="str">
        <f aca="false">IF(AX135&lt;=0,"",IF(BY135="Aussen","Aussenlager",IF(BY135="-","Nicht im Lift",IF(BC135&gt;=1,"Lift",IF(BC135&lt;=0,"Aussenlager","teilweise")))))</f>
        <v>Nicht im Lift</v>
      </c>
      <c r="BG135" s="55" t="str">
        <f aca="false">IF(A135="","",IF(BP135=1,"Neu; ","")&amp;IF(AND(BP135=0,BK135&lt;0),"negativer Bestand (Export "&amp;BK135&amp;"); ","")&amp;IF(J135&lt;=0,"Kein Verbrauch; ","")&amp;IF(CH135&gt;0,"Lift "&amp;W135&amp;" lt. Liftbericht (Fach "&amp;X135&amp;" Stk); ",IF(BU135=1,"Gebinde geschätzt ("&amp;T135&amp;"); ",IF(BT135=1,"Lose – Tablare geschätzt; ","")))&amp;IF(H135&gt;AR135,"Überbestand "&amp;ROUND(H135-AR135,0)&amp;" Stk / CHF "&amp;ROUND((H135-AR135)*G135,0)&amp;"; ","")&amp;IF(AND(CA135=1,CB135&lt;CC135),"MAX &lt; MB+LG; ","")&amp;IF(AND(CG135&gt;0,CF135*10&gt;CG135),"zu hoch für Tablar; ","")&amp;IF(AND(BP135=0,OR(CA135=1,AA135&lt;&gt;"",U135&lt;&gt;"",V135&lt;&gt;"",AB135&lt;&gt;"")),"manuell übersteuert; ","")&amp;IF(AND(BT135=0,R135=0),"Gebinde unbekannt / Stellmass fehlt; ","")&amp;IF(AND(BT135=0,N(V135)&lt;=0,N(Q135)&lt;=0),"Menge pro Gebinde fehlt (Ist = 1 Gebinde); ","")&amp;BO135)</f>
        <v/>
      </c>
      <c r="BH135" s="55"/>
      <c r="BI135" s="55"/>
      <c r="BJ135" s="62"/>
      <c r="BK135" s="57" t="n">
        <v>20</v>
      </c>
      <c r="BL135" s="57" t="n">
        <v>106</v>
      </c>
      <c r="BM135" s="56" t="n">
        <v>1645.25000000001</v>
      </c>
      <c r="BN135" s="57" t="n">
        <v>315</v>
      </c>
      <c r="BO135" s="55"/>
      <c r="BP135" s="60" t="n">
        <v>0</v>
      </c>
      <c r="BQ135" s="60" t="n">
        <v>135</v>
      </c>
      <c r="BR135" s="55" t="str">
        <f aca="false">IF(U135&lt;&gt;"",UPPER(TRIM(U135)),IF(BU135=1,UPPER(VLOOKUP(T135,Parameter!$I$27:$K$29,2,0)),IF(P135="","LOSE",P135)))</f>
        <v>S71</v>
      </c>
      <c r="BS135" s="57" t="n">
        <f aca="false">IF(BR135="LOSE",1,IF(N(V135)&gt;0,V135,IF(BU135=1,MAX(1,N(VLOOKUP(T135,Parameter!$I$27:$K$29,3,0)),H135,N(N135)),IF(N(Q135)&gt;0,Q135,MAX(1,H135)))))</f>
        <v>60</v>
      </c>
      <c r="BT135" s="60" t="n">
        <f aca="false">IF(BR135="LOSE",1,0)</f>
        <v>0</v>
      </c>
      <c r="BU135" s="60" t="n">
        <f aca="false">IF(AND(U135="",OR(P135="",P135="LOSE"),T135&lt;&gt;"",N(S135)&lt;=0,ISNUMBER(MATCH(T135,Parameter!$I$27:$I$29,0))),1,0)</f>
        <v>0</v>
      </c>
      <c r="BV135" s="55" t="str">
        <f aca="false">IF(AND(Parameter!$B$19="Ja",E135&lt;&gt;"",ISNUMBER(MATCH(E135,Parameter!$I$35:$I$52,0))),VLOOKUP(E135,Parameter!$I$35:$J$52,2,0),IFERROR(VLOOKUP(D135,Parameter!$A$35:$C$64,2,0),"Nein"))</f>
        <v>Nein</v>
      </c>
      <c r="BW135" s="59" t="n">
        <f aca="false">IF(BT135=0,0,IF(N(S135)&gt;0,S135,IFERROR(VLOOKUP(D135,Parameter!$A$35:$C$64,3,0)+0,0)))</f>
        <v>0</v>
      </c>
      <c r="BX135" s="55" t="str">
        <f aca="false">IF(AA135&lt;&gt;"",AA135,Z135)</f>
        <v>-</v>
      </c>
      <c r="BY135" s="55" t="str">
        <f aca="false">IF(BX135=1,"L1",IF(OR(BX135=2,BX135=3),"L23",IF(BX135="Aussen","Aussen","-")))</f>
        <v>-</v>
      </c>
      <c r="BZ135" s="66" t="n">
        <f aca="false">IF(N(AB135)&gt;0,AB135,0)</f>
        <v>0</v>
      </c>
      <c r="CA135" s="60" t="n">
        <f aca="false">IF(ISNUMBER(AE135),1,0)</f>
        <v>0</v>
      </c>
      <c r="CB135" s="57" t="n">
        <f aca="false">N(AE135)</f>
        <v>0</v>
      </c>
      <c r="CC135" s="57" t="n">
        <f aca="false">N(M135)+N(N135)</f>
        <v>118</v>
      </c>
      <c r="CD135" s="57" t="n">
        <f aca="false">ROUNDUP(H135/BS135,0)</f>
        <v>3</v>
      </c>
      <c r="CE135" s="57" t="n">
        <f aca="false">ROUNDUP(CB135/BS135,0)</f>
        <v>0</v>
      </c>
      <c r="CF135" s="60" t="n">
        <f aca="false">IF(BT135=1,0,IFERROR(VLOOKUP(BR135,'Gebinde-Kategorie'!$A$5:$M$45,5,0)+0,0))</f>
        <v>20</v>
      </c>
      <c r="CG135" s="60" t="n">
        <f aca="false">IFERROR(IF(OR(BX135=1,BX135=2,BX135=3),N(INDEX(Parameter!$I$5:$I$7,BX135)),0),0)</f>
        <v>0</v>
      </c>
      <c r="CH135" s="59" t="n">
        <f aca="false">IF(AND(Parameter!$B$21="Ja",ISNUMBER(W135),N(X135)&gt;0),IFERROR(N(INDEX(Parameter!$L$5:$L$7,W135))*INDEX(Parameter!$E$5:$E$7,W135)*X135/SUMIFS($X$7:$X$1843,$W$7:$W$1843,W135),0),0)</f>
        <v>0</v>
      </c>
    </row>
    <row r="136" customFormat="false" ht="15" hidden="false" customHeight="false" outlineLevel="0" collapsed="false">
      <c r="A136" s="55" t="s">
        <v>479</v>
      </c>
      <c r="B136" s="55" t="s">
        <v>480</v>
      </c>
      <c r="C136" s="55" t="s">
        <v>164</v>
      </c>
      <c r="D136" s="55" t="s">
        <v>173</v>
      </c>
      <c r="E136" s="55"/>
      <c r="F136" s="55" t="s">
        <v>218</v>
      </c>
      <c r="G136" s="56" t="n">
        <v>96.49</v>
      </c>
      <c r="H136" s="57" t="n">
        <f aca="false">MAX(0,IF(AND(Parameter!$B$21="Ja",ISNUMBER(Y136)),Y136,IF(Parameter!$B$20="Jahresanfang 2025 + Export",BL136+BK136,BK136)))</f>
        <v>49</v>
      </c>
      <c r="I136" s="57" t="n">
        <f aca="false">H136*G136</f>
        <v>4728.01</v>
      </c>
      <c r="J136" s="57" t="n">
        <f aca="false">BN136*Parameter!$B$18</f>
        <v>151</v>
      </c>
      <c r="K136" s="58" t="n">
        <v>34.5</v>
      </c>
      <c r="L136" s="59" t="n">
        <v>4.3768115942029</v>
      </c>
      <c r="M136" s="57" t="n">
        <v>15</v>
      </c>
      <c r="N136" s="57" t="n">
        <v>60</v>
      </c>
      <c r="O136" s="60" t="n">
        <v>28</v>
      </c>
      <c r="P136" s="55" t="s">
        <v>174</v>
      </c>
      <c r="Q136" s="57" t="n">
        <v>12</v>
      </c>
      <c r="R136" s="60" t="n">
        <f aca="false">IF(BT136=1,0,IFERROR(VLOOKUP(BR136,'Gebinde-Kategorie'!$A$5:$M$45,13,0)+0,0))</f>
        <v>6</v>
      </c>
      <c r="S136" s="61"/>
      <c r="T136" s="62"/>
      <c r="U136" s="62"/>
      <c r="V136" s="62"/>
      <c r="W136" s="55"/>
      <c r="X136" s="57"/>
      <c r="Y136" s="57"/>
      <c r="Z136" s="55" t="n">
        <f aca="false">IF(A136="","",IF(AND(Parameter!$B$21="Ja",ISNUMBER(W136)),W136,IF(BV136="2+3",IF(ISNUMBER(SEARCH("grosser Artikel",BO136)),2,IFERROR(VLOOKUP(BR136,Parameter!$F$35:$G$64,2,0),2)),IF(OR(BV136="Nein",BV136=""),"-",BV136))))</f>
        <v>2</v>
      </c>
      <c r="AA136" s="62"/>
      <c r="AB136" s="63"/>
      <c r="AC136" s="57" t="n">
        <f aca="false">AR136</f>
        <v>84</v>
      </c>
      <c r="AD136" s="57" t="n">
        <f aca="false">MAX(AR136,H136)</f>
        <v>84</v>
      </c>
      <c r="AE136" s="64"/>
      <c r="AF136" s="57" t="n">
        <f aca="false">IF(LEFT(Cockpit!$C$5,1)="A",H136,IF(CA136=1,CB136,IF(LEFT(Cockpit!$C$5,1)="B",AJ136,MAX(AJ136,H136))))</f>
        <v>49</v>
      </c>
      <c r="AG136" s="57" t="n">
        <f aca="false">IF(BT136=1,0,ROUNDUP(AF136/BS136,0))</f>
        <v>5</v>
      </c>
      <c r="AH136" s="59" t="n">
        <f aca="false">IF(CH136&gt;0,CH136*MAX(1,AF136/X136),IF(BT136=1,IF(AF136&lt;=0,0,BW136*MAX(1,IF(H136&gt;0,AF136/H136,1))),IF(R136&gt;0,AG136/R136,0))/MAX(0.1,N(Parameter!$M$21)))</f>
        <v>0.833333333333333</v>
      </c>
      <c r="AI136" s="57" t="n">
        <f aca="false">AF136*G136</f>
        <v>4728.01</v>
      </c>
      <c r="AJ136" s="57" t="n">
        <f aca="false">ROUNDUP(MAX(J136/IF(BZ136&gt;0,BZ136,MAX(0.1,N(Cockpit!$C$6))),CC136)/BS136,0)*BS136</f>
        <v>84</v>
      </c>
      <c r="AK136" s="58" t="n">
        <f aca="false">IF(AH136&gt;0,J136/AH136,-1)</f>
        <v>181.2</v>
      </c>
      <c r="AL136" s="58" t="n">
        <f aca="false">IF(AND(OR(BY136="L1",BY136="L23"),AH136&gt;0),SUMIFS($AH$7:$AH$1843,$BY$7:$BY$1843,BY136,$AK$7:$AK$1843,"&gt;"&amp;AK136)+SUMIFS($AH$7:$AH$1843,$BY$7:$BY$1843,BY136,$AK$7:$AK$1843,AK136,$BQ$7:$BQ$1843,"&lt;="&amp;BQ136),"")</f>
        <v>33.7591213134691</v>
      </c>
      <c r="AM136" s="65" t="n">
        <f aca="false">IF(AL136="",0,MAX(0,MIN(1,(IF(BY136="L1",Parameter!$E$5,Parameter!$E$6+Parameter!$E$7)-(AL136-AH136))/AH136)))</f>
        <v>1</v>
      </c>
      <c r="AN136" s="57" t="n">
        <f aca="false">IF(LEFT(Cockpit!$I$5,1)="A",H136,IF(CA136=1,CB136,IF(LEFT(Cockpit!$I$5,1)="B",AR136,MAX(AR136,H136))))</f>
        <v>84</v>
      </c>
      <c r="AO136" s="57" t="n">
        <f aca="false">IF(BT136=1,0,ROUNDUP(AN136/BS136,0))</f>
        <v>7</v>
      </c>
      <c r="AP136" s="59" t="n">
        <f aca="false">IF(CH136&gt;0,CH136*MAX(1,AN136/X136),IF(BT136=1,IF(AN136&lt;=0,0,BW136*MAX(1,IF(H136&gt;0,AN136/H136,1))),IF(R136&gt;0,AO136/R136,0))/MAX(0.1,N(Parameter!$M$21)))</f>
        <v>1.16666666666667</v>
      </c>
      <c r="AQ136" s="57" t="n">
        <f aca="false">AN136*G136</f>
        <v>8105.16</v>
      </c>
      <c r="AR136" s="57" t="n">
        <f aca="false">ROUNDUP(MAX(J136/IF(BZ136&gt;0,BZ136,MAX(0.1,N(Cockpit!$I$6))),CC136)/BS136,0)*BS136</f>
        <v>84</v>
      </c>
      <c r="AS136" s="58" t="n">
        <f aca="false">IF(AP136&gt;0,J136/AP136,-1)</f>
        <v>129.428571428571</v>
      </c>
      <c r="AT136" s="58" t="n">
        <f aca="false">IF(AND(OR(BY136="L1",BY136="L23"),AP136&gt;0),SUMIFS($AP$7:$AP$1843,$BY$7:$BY$1843,BY136,$AS$7:$AS$1843,"&gt;"&amp;AS136)+SUMIFS($AP$7:$AP$1843,$BY$7:$BY$1843,BY136,$AS$7:$AS$1843,AS136,$BQ$7:$BQ$1843,"&lt;="&amp;BQ136),"")</f>
        <v>53.8947839600014</v>
      </c>
      <c r="AU136" s="65" t="n">
        <f aca="false">IF(AT136="",0,MAX(0,MIN(1,(IF(BY136="L1",Parameter!$E$5,Parameter!$E$6+Parameter!$E$7)-(AT136-AP136))/AP136)))</f>
        <v>1</v>
      </c>
      <c r="AV136" s="57" t="n">
        <f aca="false">IF(LEFT(Cockpit!$O$5,1)="A",H136,IF(CA136=1,CB136,IF(LEFT(Cockpit!$O$5,1)="B",AZ136,MAX(AZ136,H136))))</f>
        <v>84</v>
      </c>
      <c r="AW136" s="57" t="n">
        <f aca="false">IF(BT136=1,0,ROUNDUP(AV136/BS136,0))</f>
        <v>7</v>
      </c>
      <c r="AX136" s="59" t="n">
        <f aca="false">IF(CH136&gt;0,CH136*MAX(1,AV136/X136),IF(BT136=1,IF(AV136&lt;=0,0,BW136*MAX(1,IF(H136&gt;0,AV136/H136,1))),IF(R136&gt;0,AW136/R136,0))/MAX(0.1,N(Parameter!$M$21)))</f>
        <v>1.16666666666667</v>
      </c>
      <c r="AY136" s="57" t="n">
        <f aca="false">AV136*G136</f>
        <v>8105.16</v>
      </c>
      <c r="AZ136" s="57" t="n">
        <f aca="false">ROUNDUP(MAX(J136/IF(BZ136&gt;0,BZ136,MAX(0.1,N(Cockpit!$O$6))),CC136)/BS136,0)*BS136</f>
        <v>84</v>
      </c>
      <c r="BA136" s="58" t="n">
        <f aca="false">IF(AX136&gt;0,J136/AX136,-1)</f>
        <v>129.428571428571</v>
      </c>
      <c r="BB136" s="58" t="n">
        <f aca="false">IF(AND(OR(BY136="L1",BY136="L23"),AX136&gt;0),SUMIFS($AX$7:$AX$1843,$BY$7:$BY$1843,BY136,$BA$7:$BA$1843,"&gt;"&amp;BA136)+SUMIFS($AX$7:$AX$1843,$BY$7:$BY$1843,BY136,$BA$7:$BA$1843,BA136,$BQ$7:$BQ$1843,"&lt;="&amp;BQ136),"")</f>
        <v>50.4746207898382</v>
      </c>
      <c r="BC136" s="65" t="n">
        <f aca="false">IF(BB136="",0,MAX(0,MIN(1,(IF(BY136="L1",Parameter!$E$5,Parameter!$E$6+Parameter!$E$7)-(BB136-AX136))/AX136)))</f>
        <v>1</v>
      </c>
      <c r="BD136" s="55" t="str">
        <f aca="false">IF(AH136&lt;=0,"",IF(BY136="Aussen","Aussenlager",IF(BY136="-","Nicht im Lift",IF(AM136&gt;=1,"Lift",IF(AM136&lt;=0,"Aussenlager","teilweise")))))</f>
        <v>Lift</v>
      </c>
      <c r="BE136" s="55" t="str">
        <f aca="false">IF(AP136&lt;=0,"",IF(BY136="Aussen","Aussenlager",IF(BY136="-","Nicht im Lift",IF(AU136&gt;=1,"Lift",IF(AU136&lt;=0,"Aussenlager","teilweise")))))</f>
        <v>Lift</v>
      </c>
      <c r="BF136" s="55" t="str">
        <f aca="false">IF(AX136&lt;=0,"",IF(BY136="Aussen","Aussenlager",IF(BY136="-","Nicht im Lift",IF(BC136&gt;=1,"Lift",IF(BC136&lt;=0,"Aussenlager","teilweise")))))</f>
        <v>Lift</v>
      </c>
      <c r="BG136" s="55" t="str">
        <f aca="false">IF(A136="","",IF(BP136=1,"Neu; ","")&amp;IF(AND(BP136=0,BK136&lt;0),"negativer Bestand (Export "&amp;BK136&amp;"); ","")&amp;IF(J136&lt;=0,"Kein Verbrauch; ","")&amp;IF(CH136&gt;0,"Lift "&amp;W136&amp;" lt. Liftbericht (Fach "&amp;X136&amp;" Stk); ",IF(BU136=1,"Gebinde geschätzt ("&amp;T136&amp;"); ",IF(BT136=1,"Lose – Tablare geschätzt; ","")))&amp;IF(H136&gt;AR136,"Überbestand "&amp;ROUND(H136-AR136,0)&amp;" Stk / CHF "&amp;ROUND((H136-AR136)*G136,0)&amp;"; ","")&amp;IF(AND(CA136=1,CB136&lt;CC136),"MAX &lt; MB+LG; ","")&amp;IF(AND(CG136&gt;0,CF136*10&gt;CG136),"zu hoch für Tablar; ","")&amp;IF(AND(BP136=0,OR(CA136=1,AA136&lt;&gt;"",U136&lt;&gt;"",V136&lt;&gt;"",AB136&lt;&gt;"")),"manuell übersteuert; ","")&amp;IF(AND(BT136=0,R136=0),"Gebinde unbekannt / Stellmass fehlt; ","")&amp;IF(AND(BT136=0,N(V136)&lt;=0,N(Q136)&lt;=0),"Menge pro Gebinde fehlt (Ist = 1 Gebinde); ","")&amp;BO136)</f>
        <v/>
      </c>
      <c r="BH136" s="55"/>
      <c r="BI136" s="55"/>
      <c r="BJ136" s="62"/>
      <c r="BK136" s="57" t="n">
        <v>19</v>
      </c>
      <c r="BL136" s="57" t="n">
        <v>30</v>
      </c>
      <c r="BM136" s="56" t="n">
        <v>1630.51</v>
      </c>
      <c r="BN136" s="57" t="n">
        <v>151</v>
      </c>
      <c r="BO136" s="55"/>
      <c r="BP136" s="60" t="n">
        <v>0</v>
      </c>
      <c r="BQ136" s="60" t="n">
        <v>136</v>
      </c>
      <c r="BR136" s="55" t="str">
        <f aca="false">IF(U136&lt;&gt;"",UPPER(TRIM(U136)),IF(BU136=1,UPPER(VLOOKUP(T136,Parameter!$I$27:$K$29,2,0)),IF(P136="","LOSE",P136)))</f>
        <v>S71</v>
      </c>
      <c r="BS136" s="57" t="n">
        <f aca="false">IF(BR136="LOSE",1,IF(N(V136)&gt;0,V136,IF(BU136=1,MAX(1,N(VLOOKUP(T136,Parameter!$I$27:$K$29,3,0)),H136,N(N136)),IF(N(Q136)&gt;0,Q136,MAX(1,H136)))))</f>
        <v>12</v>
      </c>
      <c r="BT136" s="60" t="n">
        <f aca="false">IF(BR136="LOSE",1,0)</f>
        <v>0</v>
      </c>
      <c r="BU136" s="60" t="n">
        <f aca="false">IF(AND(U136="",OR(P136="",P136="LOSE"),T136&lt;&gt;"",N(S136)&lt;=0,ISNUMBER(MATCH(T136,Parameter!$I$27:$I$29,0))),1,0)</f>
        <v>0</v>
      </c>
      <c r="BV136" s="55" t="str">
        <f aca="false">IF(AND(Parameter!$B$19="Ja",E136&lt;&gt;"",ISNUMBER(MATCH(E136,Parameter!$I$35:$I$52,0))),VLOOKUP(E136,Parameter!$I$35:$J$52,2,0),IFERROR(VLOOKUP(D136,Parameter!$A$35:$C$64,2,0),"Nein"))</f>
        <v>2+3</v>
      </c>
      <c r="BW136" s="59" t="n">
        <f aca="false">IF(BT136=0,0,IF(N(S136)&gt;0,S136,IFERROR(VLOOKUP(D136,Parameter!$A$35:$C$64,3,0)+0,0)))</f>
        <v>0</v>
      </c>
      <c r="BX136" s="55" t="n">
        <f aca="false">IF(AA136&lt;&gt;"",AA136,Z136)</f>
        <v>2</v>
      </c>
      <c r="BY136" s="55" t="str">
        <f aca="false">IF(BX136=1,"L1",IF(OR(BX136=2,BX136=3),"L23",IF(BX136="Aussen","Aussen","-")))</f>
        <v>L23</v>
      </c>
      <c r="BZ136" s="66" t="n">
        <f aca="false">IF(N(AB136)&gt;0,AB136,0)</f>
        <v>0</v>
      </c>
      <c r="CA136" s="60" t="n">
        <f aca="false">IF(ISNUMBER(AE136),1,0)</f>
        <v>0</v>
      </c>
      <c r="CB136" s="57" t="n">
        <f aca="false">N(AE136)</f>
        <v>0</v>
      </c>
      <c r="CC136" s="57" t="n">
        <f aca="false">N(M136)+N(N136)</f>
        <v>75</v>
      </c>
      <c r="CD136" s="57" t="n">
        <f aca="false">ROUNDUP(H136/BS136,0)</f>
        <v>5</v>
      </c>
      <c r="CE136" s="57" t="n">
        <f aca="false">ROUNDUP(CB136/BS136,0)</f>
        <v>0</v>
      </c>
      <c r="CF136" s="60" t="n">
        <f aca="false">IF(BT136=1,0,IFERROR(VLOOKUP(BR136,'Gebinde-Kategorie'!$A$5:$M$45,5,0)+0,0))</f>
        <v>20</v>
      </c>
      <c r="CG136" s="60" t="n">
        <f aca="false">IFERROR(IF(OR(BX136=1,BX136=2,BX136=3),N(INDEX(Parameter!$I$5:$I$7,BX136)),0),0)</f>
        <v>0</v>
      </c>
      <c r="CH136" s="59" t="n">
        <f aca="false">IF(AND(Parameter!$B$21="Ja",ISNUMBER(W136),N(X136)&gt;0),IFERROR(N(INDEX(Parameter!$L$5:$L$7,W136))*INDEX(Parameter!$E$5:$E$7,W136)*X136/SUMIFS($X$7:$X$1843,$W$7:$W$1843,W136),0),0)</f>
        <v>0</v>
      </c>
    </row>
    <row r="137" customFormat="false" ht="15" hidden="false" customHeight="false" outlineLevel="0" collapsed="false">
      <c r="A137" s="55" t="s">
        <v>481</v>
      </c>
      <c r="B137" s="55" t="s">
        <v>290</v>
      </c>
      <c r="C137" s="55" t="s">
        <v>164</v>
      </c>
      <c r="D137" s="55" t="s">
        <v>173</v>
      </c>
      <c r="E137" s="55"/>
      <c r="F137" s="55" t="s">
        <v>218</v>
      </c>
      <c r="G137" s="56" t="n">
        <v>120.56</v>
      </c>
      <c r="H137" s="57" t="n">
        <f aca="false">MAX(0,IF(AND(Parameter!$B$21="Ja",ISNUMBER(Y137)),Y137,IF(Parameter!$B$20="Jahresanfang 2025 + Export",BL137+BK137,BK137)))</f>
        <v>26</v>
      </c>
      <c r="I137" s="57" t="n">
        <f aca="false">H137*G137</f>
        <v>3134.56</v>
      </c>
      <c r="J137" s="57" t="n">
        <f aca="false">BN137*Parameter!$B$18</f>
        <v>0</v>
      </c>
      <c r="K137" s="58" t="n">
        <v>13</v>
      </c>
      <c r="L137" s="59" t="n">
        <v>0</v>
      </c>
      <c r="M137" s="57" t="n">
        <v>0</v>
      </c>
      <c r="N137" s="57" t="n">
        <v>1</v>
      </c>
      <c r="O137" s="60" t="n">
        <v>77</v>
      </c>
      <c r="P137" s="55" t="s">
        <v>293</v>
      </c>
      <c r="Q137" s="57" t="n">
        <v>15</v>
      </c>
      <c r="R137" s="60" t="n">
        <f aca="false">IF(BT137=1,0,IFERROR(VLOOKUP(BR137,'Gebinde-Kategorie'!$A$5:$M$45,13,0)+0,0))</f>
        <v>12</v>
      </c>
      <c r="S137" s="61"/>
      <c r="T137" s="62"/>
      <c r="U137" s="62"/>
      <c r="V137" s="62"/>
      <c r="W137" s="55"/>
      <c r="X137" s="57"/>
      <c r="Y137" s="57"/>
      <c r="Z137" s="55" t="n">
        <f aca="false">IF(A137="","",IF(AND(Parameter!$B$21="Ja",ISNUMBER(W137)),W137,IF(BV137="2+3",IF(ISNUMBER(SEARCH("grosser Artikel",BO137)),2,IFERROR(VLOOKUP(BR137,Parameter!$F$35:$G$64,2,0),2)),IF(OR(BV137="Nein",BV137=""),"-",BV137))))</f>
        <v>2</v>
      </c>
      <c r="AA137" s="62"/>
      <c r="AB137" s="63"/>
      <c r="AC137" s="57" t="n">
        <f aca="false">AR137</f>
        <v>15</v>
      </c>
      <c r="AD137" s="57" t="n">
        <f aca="false">MAX(AR137,H137)</f>
        <v>26</v>
      </c>
      <c r="AE137" s="64"/>
      <c r="AF137" s="57" t="n">
        <f aca="false">IF(LEFT(Cockpit!$C$5,1)="A",H137,IF(CA137=1,CB137,IF(LEFT(Cockpit!$C$5,1)="B",AJ137,MAX(AJ137,H137))))</f>
        <v>26</v>
      </c>
      <c r="AG137" s="57" t="n">
        <f aca="false">IF(BT137=1,0,ROUNDUP(AF137/BS137,0))</f>
        <v>2</v>
      </c>
      <c r="AH137" s="59" t="n">
        <f aca="false">IF(CH137&gt;0,CH137*MAX(1,AF137/X137),IF(BT137=1,IF(AF137&lt;=0,0,BW137*MAX(1,IF(H137&gt;0,AF137/H137,1))),IF(R137&gt;0,AG137/R137,0))/MAX(0.1,N(Parameter!$M$21)))</f>
        <v>0.166666666666667</v>
      </c>
      <c r="AI137" s="57" t="n">
        <f aca="false">AF137*G137</f>
        <v>3134.56</v>
      </c>
      <c r="AJ137" s="57" t="n">
        <f aca="false">ROUNDUP(MAX(J137/IF(BZ137&gt;0,BZ137,MAX(0.1,N(Cockpit!$C$6))),CC137)/BS137,0)*BS137</f>
        <v>15</v>
      </c>
      <c r="AK137" s="58" t="n">
        <f aca="false">IF(AH137&gt;0,J137/AH137,-1)</f>
        <v>0</v>
      </c>
      <c r="AL137" s="58" t="n">
        <f aca="false">IF(AND(OR(BY137="L1",BY137="L23"),AH137&gt;0),SUMIFS($AH$7:$AH$1843,$BY$7:$BY$1843,BY137,$AK$7:$AK$1843,"&gt;"&amp;AK137)+SUMIFS($AH$7:$AH$1843,$BY$7:$BY$1843,BY137,$AK$7:$AK$1843,AK137,$BQ$7:$BQ$1843,"&lt;="&amp;BQ137),"")</f>
        <v>68.7278470321949</v>
      </c>
      <c r="AM137" s="65" t="n">
        <f aca="false">IF(AL137="",0,MAX(0,MIN(1,(IF(BY137="L1",Parameter!$E$5,Parameter!$E$6+Parameter!$E$7)-(AL137-AH137))/AH137)))</f>
        <v>1</v>
      </c>
      <c r="AN137" s="57" t="n">
        <f aca="false">IF(LEFT(Cockpit!$I$5,1)="A",H137,IF(CA137=1,CB137,IF(LEFT(Cockpit!$I$5,1)="B",AR137,MAX(AR137,H137))))</f>
        <v>26</v>
      </c>
      <c r="AO137" s="57" t="n">
        <f aca="false">IF(BT137=1,0,ROUNDUP(AN137/BS137,0))</f>
        <v>2</v>
      </c>
      <c r="AP137" s="59" t="n">
        <f aca="false">IF(CH137&gt;0,CH137*MAX(1,AN137/X137),IF(BT137=1,IF(AN137&lt;=0,0,BW137*MAX(1,IF(H137&gt;0,AN137/H137,1))),IF(R137&gt;0,AO137/R137,0))/MAX(0.1,N(Parameter!$M$21)))</f>
        <v>0.166666666666667</v>
      </c>
      <c r="AQ137" s="57" t="n">
        <f aca="false">AN137*G137</f>
        <v>3134.56</v>
      </c>
      <c r="AR137" s="57" t="n">
        <f aca="false">ROUNDUP(MAX(J137/IF(BZ137&gt;0,BZ137,MAX(0.1,N(Cockpit!$I$6))),CC137)/BS137,0)*BS137</f>
        <v>15</v>
      </c>
      <c r="AS137" s="58" t="n">
        <f aca="false">IF(AP137&gt;0,J137/AP137,-1)</f>
        <v>0</v>
      </c>
      <c r="AT137" s="58" t="n">
        <f aca="false">IF(AND(OR(BY137="L1",BY137="L23"),AP137&gt;0),SUMIFS($AP$7:$AP$1843,$BY$7:$BY$1843,BY137,$AS$7:$AS$1843,"&gt;"&amp;AS137)+SUMIFS($AP$7:$AP$1843,$BY$7:$BY$1843,BY137,$AS$7:$AS$1843,AS137,$BQ$7:$BQ$1843,"&lt;="&amp;BQ137),"")</f>
        <v>108.151971217189</v>
      </c>
      <c r="AU137" s="65" t="n">
        <f aca="false">IF(AT137="",0,MAX(0,MIN(1,(IF(BY137="L1",Parameter!$E$5,Parameter!$E$6+Parameter!$E$7)-(AT137-AP137))/AP137)))</f>
        <v>0</v>
      </c>
      <c r="AV137" s="57" t="n">
        <f aca="false">IF(LEFT(Cockpit!$O$5,1)="A",H137,IF(CA137=1,CB137,IF(LEFT(Cockpit!$O$5,1)="B",AZ137,MAX(AZ137,H137))))</f>
        <v>26</v>
      </c>
      <c r="AW137" s="57" t="n">
        <f aca="false">IF(BT137=1,0,ROUNDUP(AV137/BS137,0))</f>
        <v>2</v>
      </c>
      <c r="AX137" s="59" t="n">
        <f aca="false">IF(CH137&gt;0,CH137*MAX(1,AV137/X137),IF(BT137=1,IF(AV137&lt;=0,0,BW137*MAX(1,IF(H137&gt;0,AV137/H137,1))),IF(R137&gt;0,AW137/R137,0))/MAX(0.1,N(Parameter!$M$21)))</f>
        <v>0.166666666666667</v>
      </c>
      <c r="AY137" s="57" t="n">
        <f aca="false">AV137*G137</f>
        <v>3134.56</v>
      </c>
      <c r="AZ137" s="57" t="n">
        <f aca="false">ROUNDUP(MAX(J137/IF(BZ137&gt;0,BZ137,MAX(0.1,N(Cockpit!$O$6))),CC137)/BS137,0)*BS137</f>
        <v>15</v>
      </c>
      <c r="BA137" s="58" t="n">
        <f aca="false">IF(AX137&gt;0,J137/AX137,-1)</f>
        <v>0</v>
      </c>
      <c r="BB137" s="58" t="n">
        <f aca="false">IF(AND(OR(BY137="L1",BY137="L23"),AX137&gt;0),SUMIFS($AX$7:$AX$1843,$BY$7:$BY$1843,BY137,$BA$7:$BA$1843,"&gt;"&amp;BA137)+SUMIFS($AX$7:$AX$1843,$BY$7:$BY$1843,BY137,$BA$7:$BA$1843,BA137,$BQ$7:$BQ$1843,"&lt;="&amp;BQ137),"")</f>
        <v>98.9818080470254</v>
      </c>
      <c r="BC137" s="65" t="n">
        <f aca="false">IF(BB137="",0,MAX(0,MIN(1,(IF(BY137="L1",Parameter!$E$5,Parameter!$E$6+Parameter!$E$7)-(BB137-AX137))/AX137)))</f>
        <v>1</v>
      </c>
      <c r="BD137" s="55" t="str">
        <f aca="false">IF(AH137&lt;=0,"",IF(BY137="Aussen","Aussenlager",IF(BY137="-","Nicht im Lift",IF(AM137&gt;=1,"Lift",IF(AM137&lt;=0,"Aussenlager","teilweise")))))</f>
        <v>Lift</v>
      </c>
      <c r="BE137" s="55" t="str">
        <f aca="false">IF(AP137&lt;=0,"",IF(BY137="Aussen","Aussenlager",IF(BY137="-","Nicht im Lift",IF(AU137&gt;=1,"Lift",IF(AU137&lt;=0,"Aussenlager","teilweise")))))</f>
        <v>Aussenlager</v>
      </c>
      <c r="BF137" s="55" t="str">
        <f aca="false">IF(AX137&lt;=0,"",IF(BY137="Aussen","Aussenlager",IF(BY137="-","Nicht im Lift",IF(BC137&gt;=1,"Lift",IF(BC137&lt;=0,"Aussenlager","teilweise")))))</f>
        <v>Lift</v>
      </c>
      <c r="BG137" s="55" t="str">
        <f aca="false">IF(A137="","",IF(BP137=1,"Neu; ","")&amp;IF(AND(BP137=0,BK137&lt;0),"negativer Bestand (Export "&amp;BK137&amp;"); ","")&amp;IF(J137&lt;=0,"Kein Verbrauch; ","")&amp;IF(CH137&gt;0,"Lift "&amp;W137&amp;" lt. Liftbericht (Fach "&amp;X137&amp;" Stk); ",IF(BU137=1,"Gebinde geschätzt ("&amp;T137&amp;"); ",IF(BT137=1,"Lose – Tablare geschätzt; ","")))&amp;IF(H137&gt;AR137,"Überbestand "&amp;ROUND(H137-AR137,0)&amp;" Stk / CHF "&amp;ROUND((H137-AR137)*G137,0)&amp;"; ","")&amp;IF(AND(CA137=1,CB137&lt;CC137),"MAX &lt; MB+LG; ","")&amp;IF(AND(CG137&gt;0,CF137*10&gt;CG137),"zu hoch für Tablar; ","")&amp;IF(AND(BP137=0,OR(CA137=1,AA137&lt;&gt;"",U137&lt;&gt;"",V137&lt;&gt;"",AB137&lt;&gt;"")),"manuell übersteuert; ","")&amp;IF(AND(BT137=0,R137=0),"Gebinde unbekannt / Stellmass fehlt; ","")&amp;IF(AND(BT137=0,N(V137)&lt;=0,N(Q137)&lt;=0),"Menge pro Gebinde fehlt (Ist = 1 Gebinde); ","")&amp;BO137)</f>
        <v>Kein Verbrauch; Überbestand 11 Stk / CHF 1326; </v>
      </c>
      <c r="BH137" s="55"/>
      <c r="BI137" s="55"/>
      <c r="BJ137" s="62"/>
      <c r="BK137" s="57" t="n">
        <v>13</v>
      </c>
      <c r="BL137" s="57" t="n">
        <v>13</v>
      </c>
      <c r="BM137" s="56" t="n">
        <v>1567.28</v>
      </c>
      <c r="BN137" s="57" t="n">
        <v>0</v>
      </c>
      <c r="BO137" s="55"/>
      <c r="BP137" s="60" t="n">
        <v>0</v>
      </c>
      <c r="BQ137" s="60" t="n">
        <v>137</v>
      </c>
      <c r="BR137" s="55" t="str">
        <f aca="false">IF(U137&lt;&gt;"",UPPER(TRIM(U137)),IF(BU137=1,UPPER(VLOOKUP(T137,Parameter!$I$27:$K$29,2,0)),IF(P137="","LOSE",P137)))</f>
        <v>S62</v>
      </c>
      <c r="BS137" s="57" t="n">
        <f aca="false">IF(BR137="LOSE",1,IF(N(V137)&gt;0,V137,IF(BU137=1,MAX(1,N(VLOOKUP(T137,Parameter!$I$27:$K$29,3,0)),H137,N(N137)),IF(N(Q137)&gt;0,Q137,MAX(1,H137)))))</f>
        <v>15</v>
      </c>
      <c r="BT137" s="60" t="n">
        <f aca="false">IF(BR137="LOSE",1,0)</f>
        <v>0</v>
      </c>
      <c r="BU137" s="60" t="n">
        <f aca="false">IF(AND(U137="",OR(P137="",P137="LOSE"),T137&lt;&gt;"",N(S137)&lt;=0,ISNUMBER(MATCH(T137,Parameter!$I$27:$I$29,0))),1,0)</f>
        <v>0</v>
      </c>
      <c r="BV137" s="55" t="str">
        <f aca="false">IF(AND(Parameter!$B$19="Ja",E137&lt;&gt;"",ISNUMBER(MATCH(E137,Parameter!$I$35:$I$52,0))),VLOOKUP(E137,Parameter!$I$35:$J$52,2,0),IFERROR(VLOOKUP(D137,Parameter!$A$35:$C$64,2,0),"Nein"))</f>
        <v>2+3</v>
      </c>
      <c r="BW137" s="59" t="n">
        <f aca="false">IF(BT137=0,0,IF(N(S137)&gt;0,S137,IFERROR(VLOOKUP(D137,Parameter!$A$35:$C$64,3,0)+0,0)))</f>
        <v>0</v>
      </c>
      <c r="BX137" s="55" t="n">
        <f aca="false">IF(AA137&lt;&gt;"",AA137,Z137)</f>
        <v>2</v>
      </c>
      <c r="BY137" s="55" t="str">
        <f aca="false">IF(BX137=1,"L1",IF(OR(BX137=2,BX137=3),"L23",IF(BX137="Aussen","Aussen","-")))</f>
        <v>L23</v>
      </c>
      <c r="BZ137" s="66" t="n">
        <f aca="false">IF(N(AB137)&gt;0,AB137,0)</f>
        <v>0</v>
      </c>
      <c r="CA137" s="60" t="n">
        <f aca="false">IF(ISNUMBER(AE137),1,0)</f>
        <v>0</v>
      </c>
      <c r="CB137" s="57" t="n">
        <f aca="false">N(AE137)</f>
        <v>0</v>
      </c>
      <c r="CC137" s="57" t="n">
        <f aca="false">N(M137)+N(N137)</f>
        <v>1</v>
      </c>
      <c r="CD137" s="57" t="n">
        <f aca="false">ROUNDUP(H137/BS137,0)</f>
        <v>2</v>
      </c>
      <c r="CE137" s="57" t="n">
        <f aca="false">ROUNDUP(CB137/BS137,0)</f>
        <v>0</v>
      </c>
      <c r="CF137" s="60" t="n">
        <f aca="false">IF(BT137=1,0,IFERROR(VLOOKUP(BR137,'Gebinde-Kategorie'!$A$5:$M$45,5,0)+0,0))</f>
        <v>21</v>
      </c>
      <c r="CG137" s="60" t="n">
        <f aca="false">IFERROR(IF(OR(BX137=1,BX137=2,BX137=3),N(INDEX(Parameter!$I$5:$I$7,BX137)),0),0)</f>
        <v>0</v>
      </c>
      <c r="CH137" s="59" t="n">
        <f aca="false">IF(AND(Parameter!$B$21="Ja",ISNUMBER(W137),N(X137)&gt;0),IFERROR(N(INDEX(Parameter!$L$5:$L$7,W137))*INDEX(Parameter!$E$5:$E$7,W137)*X137/SUMIFS($X$7:$X$1843,$W$7:$W$1843,W137),0),0)</f>
        <v>0</v>
      </c>
    </row>
    <row r="138" customFormat="false" ht="15" hidden="false" customHeight="false" outlineLevel="0" collapsed="false">
      <c r="A138" s="55" t="s">
        <v>482</v>
      </c>
      <c r="B138" s="55" t="s">
        <v>483</v>
      </c>
      <c r="C138" s="55" t="s">
        <v>164</v>
      </c>
      <c r="D138" s="55" t="s">
        <v>184</v>
      </c>
      <c r="E138" s="55"/>
      <c r="F138" s="55" t="s">
        <v>218</v>
      </c>
      <c r="G138" s="56" t="n">
        <v>138.33</v>
      </c>
      <c r="H138" s="57" t="n">
        <f aca="false">MAX(0,IF(AND(Parameter!$B$21="Ja",ISNUMBER(Y138)),Y138,IF(Parameter!$B$20="Jahresanfang 2025 + Export",BL138+BK138,BK138)))</f>
        <v>57</v>
      </c>
      <c r="I138" s="57" t="n">
        <f aca="false">H138*G138</f>
        <v>7884.81</v>
      </c>
      <c r="J138" s="57" t="n">
        <f aca="false">BN138*Parameter!$B$18</f>
        <v>25</v>
      </c>
      <c r="K138" s="58" t="n">
        <v>33.5</v>
      </c>
      <c r="L138" s="59" t="n">
        <v>0.746268656716418</v>
      </c>
      <c r="M138" s="57" t="n">
        <v>1</v>
      </c>
      <c r="N138" s="57" t="n">
        <v>25</v>
      </c>
      <c r="O138" s="60" t="n">
        <v>28</v>
      </c>
      <c r="P138" s="55" t="s">
        <v>328</v>
      </c>
      <c r="Q138" s="57" t="n">
        <v>20</v>
      </c>
      <c r="R138" s="60" t="n">
        <f aca="false">IF(BT138=1,0,IFERROR(VLOOKUP(BR138,'Gebinde-Kategorie'!$A$5:$M$45,13,0)+0,0))</f>
        <v>52</v>
      </c>
      <c r="S138" s="61"/>
      <c r="T138" s="62"/>
      <c r="U138" s="62"/>
      <c r="V138" s="62"/>
      <c r="W138" s="55"/>
      <c r="X138" s="57"/>
      <c r="Y138" s="57"/>
      <c r="Z138" s="55" t="n">
        <f aca="false">IF(A138="","",IF(AND(Parameter!$B$21="Ja",ISNUMBER(W138)),W138,IF(BV138="2+3",IF(ISNUMBER(SEARCH("grosser Artikel",BO138)),2,IFERROR(VLOOKUP(BR138,Parameter!$F$35:$G$64,2,0),2)),IF(OR(BV138="Nein",BV138=""),"-",BV138))))</f>
        <v>3</v>
      </c>
      <c r="AA138" s="62"/>
      <c r="AB138" s="63"/>
      <c r="AC138" s="57" t="n">
        <f aca="false">AR138</f>
        <v>40</v>
      </c>
      <c r="AD138" s="57" t="n">
        <f aca="false">MAX(AR138,H138)</f>
        <v>57</v>
      </c>
      <c r="AE138" s="64"/>
      <c r="AF138" s="57" t="n">
        <f aca="false">IF(LEFT(Cockpit!$C$5,1)="A",H138,IF(CA138=1,CB138,IF(LEFT(Cockpit!$C$5,1)="B",AJ138,MAX(AJ138,H138))))</f>
        <v>57</v>
      </c>
      <c r="AG138" s="57" t="n">
        <f aca="false">IF(BT138=1,0,ROUNDUP(AF138/BS138,0))</f>
        <v>3</v>
      </c>
      <c r="AH138" s="59" t="n">
        <f aca="false">IF(CH138&gt;0,CH138*MAX(1,AF138/X138),IF(BT138=1,IF(AF138&lt;=0,0,BW138*MAX(1,IF(H138&gt;0,AF138/H138,1))),IF(R138&gt;0,AG138/R138,0))/MAX(0.1,N(Parameter!$M$21)))</f>
        <v>0.0576923076923077</v>
      </c>
      <c r="AI138" s="57" t="n">
        <f aca="false">AF138*G138</f>
        <v>7884.81</v>
      </c>
      <c r="AJ138" s="57" t="n">
        <f aca="false">ROUNDUP(MAX(J138/IF(BZ138&gt;0,BZ138,MAX(0.1,N(Cockpit!$C$6))),CC138)/BS138,0)*BS138</f>
        <v>40</v>
      </c>
      <c r="AK138" s="58" t="n">
        <f aca="false">IF(AH138&gt;0,J138/AH138,-1)</f>
        <v>433.333333333333</v>
      </c>
      <c r="AL138" s="58" t="n">
        <f aca="false">IF(AND(OR(BY138="L1",BY138="L23"),AH138&gt;0),SUMIFS($AH$7:$AH$1843,$BY$7:$BY$1843,BY138,$AK$7:$AK$1843,"&gt;"&amp;AK138)+SUMIFS($AH$7:$AH$1843,$BY$7:$BY$1843,BY138,$AK$7:$AK$1843,AK138,$BQ$7:$BQ$1843,"&lt;="&amp;BQ138),"")</f>
        <v>25.0011655011655</v>
      </c>
      <c r="AM138" s="65" t="n">
        <f aca="false">IF(AL138="",0,MAX(0,MIN(1,(IF(BY138="L1",Parameter!$E$5,Parameter!$E$6+Parameter!$E$7)-(AL138-AH138))/AH138)))</f>
        <v>1</v>
      </c>
      <c r="AN138" s="57" t="n">
        <f aca="false">IF(LEFT(Cockpit!$I$5,1)="A",H138,IF(CA138=1,CB138,IF(LEFT(Cockpit!$I$5,1)="B",AR138,MAX(AR138,H138))))</f>
        <v>57</v>
      </c>
      <c r="AO138" s="57" t="n">
        <f aca="false">IF(BT138=1,0,ROUNDUP(AN138/BS138,0))</f>
        <v>3</v>
      </c>
      <c r="AP138" s="59" t="n">
        <f aca="false">IF(CH138&gt;0,CH138*MAX(1,AN138/X138),IF(BT138=1,IF(AN138&lt;=0,0,BW138*MAX(1,IF(H138&gt;0,AN138/H138,1))),IF(R138&gt;0,AO138/R138,0))/MAX(0.1,N(Parameter!$M$21)))</f>
        <v>0.0576923076923077</v>
      </c>
      <c r="AQ138" s="57" t="n">
        <f aca="false">AN138*G138</f>
        <v>7884.81</v>
      </c>
      <c r="AR138" s="57" t="n">
        <f aca="false">ROUNDUP(MAX(J138/IF(BZ138&gt;0,BZ138,MAX(0.1,N(Cockpit!$I$6))),CC138)/BS138,0)*BS138</f>
        <v>40</v>
      </c>
      <c r="AS138" s="58" t="n">
        <f aca="false">IF(AP138&gt;0,J138/AP138,-1)</f>
        <v>433.333333333333</v>
      </c>
      <c r="AT138" s="58" t="n">
        <f aca="false">IF(AND(OR(BY138="L1",BY138="L23"),AP138&gt;0),SUMIFS($AP$7:$AP$1843,$BY$7:$BY$1843,BY138,$AS$7:$AS$1843,"&gt;"&amp;AS138)+SUMIFS($AP$7:$AP$1843,$BY$7:$BY$1843,BY138,$AS$7:$AS$1843,AS138,$BQ$7:$BQ$1843,"&lt;="&amp;BQ138),"")</f>
        <v>34.5052363095841</v>
      </c>
      <c r="AU138" s="65" t="n">
        <f aca="false">IF(AT138="",0,MAX(0,MIN(1,(IF(BY138="L1",Parameter!$E$5,Parameter!$E$6+Parameter!$E$7)-(AT138-AP138))/AP138)))</f>
        <v>1</v>
      </c>
      <c r="AV138" s="57" t="n">
        <f aca="false">IF(LEFT(Cockpit!$O$5,1)="A",H138,IF(CA138=1,CB138,IF(LEFT(Cockpit!$O$5,1)="B",AZ138,MAX(AZ138,H138))))</f>
        <v>57</v>
      </c>
      <c r="AW138" s="57" t="n">
        <f aca="false">IF(BT138=1,0,ROUNDUP(AV138/BS138,0))</f>
        <v>3</v>
      </c>
      <c r="AX138" s="59" t="n">
        <f aca="false">IF(CH138&gt;0,CH138*MAX(1,AV138/X138),IF(BT138=1,IF(AV138&lt;=0,0,BW138*MAX(1,IF(H138&gt;0,AV138/H138,1))),IF(R138&gt;0,AW138/R138,0))/MAX(0.1,N(Parameter!$M$21)))</f>
        <v>0.0576923076923077</v>
      </c>
      <c r="AY138" s="57" t="n">
        <f aca="false">AV138*G138</f>
        <v>7884.81</v>
      </c>
      <c r="AZ138" s="57" t="n">
        <f aca="false">ROUNDUP(MAX(J138/IF(BZ138&gt;0,BZ138,MAX(0.1,N(Cockpit!$O$6))),CC138)/BS138,0)*BS138</f>
        <v>40</v>
      </c>
      <c r="BA138" s="58" t="n">
        <f aca="false">IF(AX138&gt;0,J138/AX138,-1)</f>
        <v>433.333333333333</v>
      </c>
      <c r="BB138" s="58" t="n">
        <f aca="false">IF(AND(OR(BY138="L1",BY138="L23"),AX138&gt;0),SUMIFS($AX$7:$AX$1843,$BY$7:$BY$1843,BY138,$BA$7:$BA$1843,"&gt;"&amp;BA138)+SUMIFS($AX$7:$AX$1843,$BY$7:$BY$1843,BY138,$BA$7:$BA$1843,BA138,$BQ$7:$BQ$1843,"&lt;="&amp;BQ138),"")</f>
        <v>33.585073139421</v>
      </c>
      <c r="BC138" s="65" t="n">
        <f aca="false">IF(BB138="",0,MAX(0,MIN(1,(IF(BY138="L1",Parameter!$E$5,Parameter!$E$6+Parameter!$E$7)-(BB138-AX138))/AX138)))</f>
        <v>1</v>
      </c>
      <c r="BD138" s="55" t="str">
        <f aca="false">IF(AH138&lt;=0,"",IF(BY138="Aussen","Aussenlager",IF(BY138="-","Nicht im Lift",IF(AM138&gt;=1,"Lift",IF(AM138&lt;=0,"Aussenlager","teilweise")))))</f>
        <v>Lift</v>
      </c>
      <c r="BE138" s="55" t="str">
        <f aca="false">IF(AP138&lt;=0,"",IF(BY138="Aussen","Aussenlager",IF(BY138="-","Nicht im Lift",IF(AU138&gt;=1,"Lift",IF(AU138&lt;=0,"Aussenlager","teilweise")))))</f>
        <v>Lift</v>
      </c>
      <c r="BF138" s="55" t="str">
        <f aca="false">IF(AX138&lt;=0,"",IF(BY138="Aussen","Aussenlager",IF(BY138="-","Nicht im Lift",IF(BC138&gt;=1,"Lift",IF(BC138&lt;=0,"Aussenlager","teilweise")))))</f>
        <v>Lift</v>
      </c>
      <c r="BG138" s="55" t="str">
        <f aca="false">IF(A138="","",IF(BP138=1,"Neu; ","")&amp;IF(AND(BP138=0,BK138&lt;0),"negativer Bestand (Export "&amp;BK138&amp;"); ","")&amp;IF(J138&lt;=0,"Kein Verbrauch; ","")&amp;IF(CH138&gt;0,"Lift "&amp;W138&amp;" lt. Liftbericht (Fach "&amp;X138&amp;" Stk); ",IF(BU138=1,"Gebinde geschätzt ("&amp;T138&amp;"); ",IF(BT138=1,"Lose – Tablare geschätzt; ","")))&amp;IF(H138&gt;AR138,"Überbestand "&amp;ROUND(H138-AR138,0)&amp;" Stk / CHF "&amp;ROUND((H138-AR138)*G138,0)&amp;"; ","")&amp;IF(AND(CA138=1,CB138&lt;CC138),"MAX &lt; MB+LG; ","")&amp;IF(AND(CG138&gt;0,CF138*10&gt;CG138),"zu hoch für Tablar; ","")&amp;IF(AND(BP138=0,OR(CA138=1,AA138&lt;&gt;"",U138&lt;&gt;"",V138&lt;&gt;"",AB138&lt;&gt;"")),"manuell übersteuert; ","")&amp;IF(AND(BT138=0,R138=0),"Gebinde unbekannt / Stellmass fehlt; ","")&amp;IF(AND(BT138=0,N(V138)&lt;=0,N(Q138)&lt;=0),"Menge pro Gebinde fehlt (Ist = 1 Gebinde); ","")&amp;BO138)</f>
        <v>Überbestand 17 Stk / CHF 2352; </v>
      </c>
      <c r="BH138" s="55"/>
      <c r="BI138" s="55"/>
      <c r="BJ138" s="62"/>
      <c r="BK138" s="57" t="n">
        <v>11</v>
      </c>
      <c r="BL138" s="57" t="n">
        <v>46</v>
      </c>
      <c r="BM138" s="56" t="n">
        <v>1567.17</v>
      </c>
      <c r="BN138" s="57" t="n">
        <v>25</v>
      </c>
      <c r="BO138" s="55"/>
      <c r="BP138" s="60" t="n">
        <v>0</v>
      </c>
      <c r="BQ138" s="60" t="n">
        <v>138</v>
      </c>
      <c r="BR138" s="55" t="str">
        <f aca="false">IF(U138&lt;&gt;"",UPPER(TRIM(U138)),IF(BU138=1,UPPER(VLOOKUP(T138,Parameter!$I$27:$K$29,2,0)),IF(P138="","LOSE",P138)))</f>
        <v>S41</v>
      </c>
      <c r="BS138" s="57" t="n">
        <f aca="false">IF(BR138="LOSE",1,IF(N(V138)&gt;0,V138,IF(BU138=1,MAX(1,N(VLOOKUP(T138,Parameter!$I$27:$K$29,3,0)),H138,N(N138)),IF(N(Q138)&gt;0,Q138,MAX(1,H138)))))</f>
        <v>20</v>
      </c>
      <c r="BT138" s="60" t="n">
        <f aca="false">IF(BR138="LOSE",1,0)</f>
        <v>0</v>
      </c>
      <c r="BU138" s="60" t="n">
        <f aca="false">IF(AND(U138="",OR(P138="",P138="LOSE"),T138&lt;&gt;"",N(S138)&lt;=0,ISNUMBER(MATCH(T138,Parameter!$I$27:$I$29,0))),1,0)</f>
        <v>0</v>
      </c>
      <c r="BV138" s="55" t="str">
        <f aca="false">IF(AND(Parameter!$B$19="Ja",E138&lt;&gt;"",ISNUMBER(MATCH(E138,Parameter!$I$35:$I$52,0))),VLOOKUP(E138,Parameter!$I$35:$J$52,2,0),IFERROR(VLOOKUP(D138,Parameter!$A$35:$C$64,2,0),"Nein"))</f>
        <v>2+3</v>
      </c>
      <c r="BW138" s="59" t="n">
        <f aca="false">IF(BT138=0,0,IF(N(S138)&gt;0,S138,IFERROR(VLOOKUP(D138,Parameter!$A$35:$C$64,3,0)+0,0)))</f>
        <v>0</v>
      </c>
      <c r="BX138" s="55" t="n">
        <f aca="false">IF(AA138&lt;&gt;"",AA138,Z138)</f>
        <v>3</v>
      </c>
      <c r="BY138" s="55" t="str">
        <f aca="false">IF(BX138=1,"L1",IF(OR(BX138=2,BX138=3),"L23",IF(BX138="Aussen","Aussen","-")))</f>
        <v>L23</v>
      </c>
      <c r="BZ138" s="66" t="n">
        <f aca="false">IF(N(AB138)&gt;0,AB138,0)</f>
        <v>0</v>
      </c>
      <c r="CA138" s="60" t="n">
        <f aca="false">IF(ISNUMBER(AE138),1,0)</f>
        <v>0</v>
      </c>
      <c r="CB138" s="57" t="n">
        <f aca="false">N(AE138)</f>
        <v>0</v>
      </c>
      <c r="CC138" s="57" t="n">
        <f aca="false">N(M138)+N(N138)</f>
        <v>26</v>
      </c>
      <c r="CD138" s="57" t="n">
        <f aca="false">ROUNDUP(H138/BS138,0)</f>
        <v>3</v>
      </c>
      <c r="CE138" s="57" t="n">
        <f aca="false">ROUNDUP(CB138/BS138,0)</f>
        <v>0</v>
      </c>
      <c r="CF138" s="60" t="n">
        <f aca="false">IF(BT138=1,0,IFERROR(VLOOKUP(BR138,'Gebinde-Kategorie'!$A$5:$M$45,5,0)+0,0))</f>
        <v>11</v>
      </c>
      <c r="CG138" s="60" t="n">
        <f aca="false">IFERROR(IF(OR(BX138=1,BX138=2,BX138=3),N(INDEX(Parameter!$I$5:$I$7,BX138)),0),0)</f>
        <v>0</v>
      </c>
      <c r="CH138" s="59" t="n">
        <f aca="false">IF(AND(Parameter!$B$21="Ja",ISNUMBER(W138),N(X138)&gt;0),IFERROR(N(INDEX(Parameter!$L$5:$L$7,W138))*INDEX(Parameter!$E$5:$E$7,W138)*X138/SUMIFS($X$7:$X$1843,$W$7:$W$1843,W138),0),0)</f>
        <v>0</v>
      </c>
    </row>
    <row r="139" customFormat="false" ht="15" hidden="false" customHeight="false" outlineLevel="0" collapsed="false">
      <c r="A139" s="55" t="s">
        <v>484</v>
      </c>
      <c r="B139" s="55" t="s">
        <v>485</v>
      </c>
      <c r="C139" s="55" t="s">
        <v>164</v>
      </c>
      <c r="D139" s="55" t="s">
        <v>173</v>
      </c>
      <c r="E139" s="55"/>
      <c r="F139" s="55" t="s">
        <v>218</v>
      </c>
      <c r="G139" s="56" t="n">
        <v>116.64</v>
      </c>
      <c r="H139" s="57" t="n">
        <f aca="false">MAX(0,IF(AND(Parameter!$B$21="Ja",ISNUMBER(Y139)),Y139,IF(Parameter!$B$20="Jahresanfang 2025 + Export",BL139+BK139,BK139)))</f>
        <v>31</v>
      </c>
      <c r="I139" s="57" t="n">
        <f aca="false">H139*G139</f>
        <v>3615.84</v>
      </c>
      <c r="J139" s="57" t="n">
        <f aca="false">BN139*Parameter!$B$18</f>
        <v>157</v>
      </c>
      <c r="K139" s="58" t="n">
        <v>37.5</v>
      </c>
      <c r="L139" s="59" t="n">
        <v>4.18666666666667</v>
      </c>
      <c r="M139" s="57" t="n">
        <v>3</v>
      </c>
      <c r="N139" s="57" t="n">
        <v>25</v>
      </c>
      <c r="O139" s="60" t="n">
        <v>7</v>
      </c>
      <c r="P139" s="55" t="s">
        <v>174</v>
      </c>
      <c r="Q139" s="57" t="n">
        <v>60</v>
      </c>
      <c r="R139" s="60" t="n">
        <f aca="false">IF(BT139=1,0,IFERROR(VLOOKUP(BR139,'Gebinde-Kategorie'!$A$5:$M$45,13,0)+0,0))</f>
        <v>6</v>
      </c>
      <c r="S139" s="61"/>
      <c r="T139" s="62"/>
      <c r="U139" s="62"/>
      <c r="V139" s="62"/>
      <c r="W139" s="55"/>
      <c r="X139" s="57"/>
      <c r="Y139" s="57"/>
      <c r="Z139" s="55" t="n">
        <f aca="false">IF(A139="","",IF(AND(Parameter!$B$21="Ja",ISNUMBER(W139)),W139,IF(BV139="2+3",IF(ISNUMBER(SEARCH("grosser Artikel",BO139)),2,IFERROR(VLOOKUP(BR139,Parameter!$F$35:$G$64,2,0),2)),IF(OR(BV139="Nein",BV139=""),"-",BV139))))</f>
        <v>2</v>
      </c>
      <c r="AA139" s="62"/>
      <c r="AB139" s="63"/>
      <c r="AC139" s="57" t="n">
        <f aca="false">AR139</f>
        <v>120</v>
      </c>
      <c r="AD139" s="57" t="n">
        <f aca="false">MAX(AR139,H139)</f>
        <v>120</v>
      </c>
      <c r="AE139" s="64"/>
      <c r="AF139" s="57" t="n">
        <f aca="false">IF(LEFT(Cockpit!$C$5,1)="A",H139,IF(CA139=1,CB139,IF(LEFT(Cockpit!$C$5,1)="B",AJ139,MAX(AJ139,H139))))</f>
        <v>31</v>
      </c>
      <c r="AG139" s="57" t="n">
        <f aca="false">IF(BT139=1,0,ROUNDUP(AF139/BS139,0))</f>
        <v>1</v>
      </c>
      <c r="AH139" s="59" t="n">
        <f aca="false">IF(CH139&gt;0,CH139*MAX(1,AF139/X139),IF(BT139=1,IF(AF139&lt;=0,0,BW139*MAX(1,IF(H139&gt;0,AF139/H139,1))),IF(R139&gt;0,AG139/R139,0))/MAX(0.1,N(Parameter!$M$21)))</f>
        <v>0.166666666666667</v>
      </c>
      <c r="AI139" s="57" t="n">
        <f aca="false">AF139*G139</f>
        <v>3615.84</v>
      </c>
      <c r="AJ139" s="57" t="n">
        <f aca="false">ROUNDUP(MAX(J139/IF(BZ139&gt;0,BZ139,MAX(0.1,N(Cockpit!$C$6))),CC139)/BS139,0)*BS139</f>
        <v>120</v>
      </c>
      <c r="AK139" s="58" t="n">
        <f aca="false">IF(AH139&gt;0,J139/AH139,-1)</f>
        <v>942</v>
      </c>
      <c r="AL139" s="58" t="n">
        <f aca="false">IF(AND(OR(BY139="L1",BY139="L23"),AH139&gt;0),SUMIFS($AH$7:$AH$1843,$BY$7:$BY$1843,BY139,$AK$7:$AK$1843,"&gt;"&amp;AK139)+SUMIFS($AH$7:$AH$1843,$BY$7:$BY$1843,BY139,$AK$7:$AK$1843,AK139,$BQ$7:$BQ$1843,"&lt;="&amp;BQ139),"")</f>
        <v>18.3574372487416</v>
      </c>
      <c r="AM139" s="65" t="n">
        <f aca="false">IF(AL139="",0,MAX(0,MIN(1,(IF(BY139="L1",Parameter!$E$5,Parameter!$E$6+Parameter!$E$7)-(AL139-AH139))/AH139)))</f>
        <v>1</v>
      </c>
      <c r="AN139" s="57" t="n">
        <f aca="false">IF(LEFT(Cockpit!$I$5,1)="A",H139,IF(CA139=1,CB139,IF(LEFT(Cockpit!$I$5,1)="B",AR139,MAX(AR139,H139))))</f>
        <v>120</v>
      </c>
      <c r="AO139" s="57" t="n">
        <f aca="false">IF(BT139=1,0,ROUNDUP(AN139/BS139,0))</f>
        <v>2</v>
      </c>
      <c r="AP139" s="59" t="n">
        <f aca="false">IF(CH139&gt;0,CH139*MAX(1,AN139/X139),IF(BT139=1,IF(AN139&lt;=0,0,BW139*MAX(1,IF(H139&gt;0,AN139/H139,1))),IF(R139&gt;0,AO139/R139,0))/MAX(0.1,N(Parameter!$M$21)))</f>
        <v>0.333333333333333</v>
      </c>
      <c r="AQ139" s="57" t="n">
        <f aca="false">AN139*G139</f>
        <v>13996.8</v>
      </c>
      <c r="AR139" s="57" t="n">
        <f aca="false">ROUNDUP(MAX(J139/IF(BZ139&gt;0,BZ139,MAX(0.1,N(Cockpit!$I$6))),CC139)/BS139,0)*BS139</f>
        <v>120</v>
      </c>
      <c r="AS139" s="58" t="n">
        <f aca="false">IF(AP139&gt;0,J139/AP139,-1)</f>
        <v>471</v>
      </c>
      <c r="AT139" s="58" t="n">
        <f aca="false">IF(AND(OR(BY139="L1",BY139="L23"),AP139&gt;0),SUMIFS($AP$7:$AP$1843,$BY$7:$BY$1843,BY139,$AS$7:$AS$1843,"&gt;"&amp;AS139)+SUMIFS($AP$7:$AP$1843,$BY$7:$BY$1843,BY139,$AS$7:$AS$1843,AS139,$BQ$7:$BQ$1843,"&lt;="&amp;BQ139),"")</f>
        <v>33.3036046079524</v>
      </c>
      <c r="AU139" s="65" t="n">
        <f aca="false">IF(AT139="",0,MAX(0,MIN(1,(IF(BY139="L1",Parameter!$E$5,Parameter!$E$6+Parameter!$E$7)-(AT139-AP139))/AP139)))</f>
        <v>1</v>
      </c>
      <c r="AV139" s="57" t="n">
        <f aca="false">IF(LEFT(Cockpit!$O$5,1)="A",H139,IF(CA139=1,CB139,IF(LEFT(Cockpit!$O$5,1)="B",AZ139,MAX(AZ139,H139))))</f>
        <v>60</v>
      </c>
      <c r="AW139" s="57" t="n">
        <f aca="false">IF(BT139=1,0,ROUNDUP(AV139/BS139,0))</f>
        <v>1</v>
      </c>
      <c r="AX139" s="59" t="n">
        <f aca="false">IF(CH139&gt;0,CH139*MAX(1,AV139/X139),IF(BT139=1,IF(AV139&lt;=0,0,BW139*MAX(1,IF(H139&gt;0,AV139/H139,1))),IF(R139&gt;0,AW139/R139,0))/MAX(0.1,N(Parameter!$M$21)))</f>
        <v>0.166666666666667</v>
      </c>
      <c r="AY139" s="57" t="n">
        <f aca="false">AV139*G139</f>
        <v>6998.4</v>
      </c>
      <c r="AZ139" s="57" t="n">
        <f aca="false">ROUNDUP(MAX(J139/IF(BZ139&gt;0,BZ139,MAX(0.1,N(Cockpit!$O$6))),CC139)/BS139,0)*BS139</f>
        <v>60</v>
      </c>
      <c r="BA139" s="58" t="n">
        <f aca="false">IF(AX139&gt;0,J139/AX139,-1)</f>
        <v>942</v>
      </c>
      <c r="BB139" s="58" t="n">
        <f aca="false">IF(AND(OR(BY139="L1",BY139="L23"),AX139&gt;0),SUMIFS($AX$7:$AX$1843,$BY$7:$BY$1843,BY139,$BA$7:$BA$1843,"&gt;"&amp;BA139)+SUMIFS($AX$7:$AX$1843,$BY$7:$BY$1843,BY139,$BA$7:$BA$1843,BA139,$BQ$7:$BQ$1843,"&lt;="&amp;BQ139),"")</f>
        <v>23.5381574946792</v>
      </c>
      <c r="BC139" s="65" t="n">
        <f aca="false">IF(BB139="",0,MAX(0,MIN(1,(IF(BY139="L1",Parameter!$E$5,Parameter!$E$6+Parameter!$E$7)-(BB139-AX139))/AX139)))</f>
        <v>1</v>
      </c>
      <c r="BD139" s="55" t="str">
        <f aca="false">IF(AH139&lt;=0,"",IF(BY139="Aussen","Aussenlager",IF(BY139="-","Nicht im Lift",IF(AM139&gt;=1,"Lift",IF(AM139&lt;=0,"Aussenlager","teilweise")))))</f>
        <v>Lift</v>
      </c>
      <c r="BE139" s="55" t="str">
        <f aca="false">IF(AP139&lt;=0,"",IF(BY139="Aussen","Aussenlager",IF(BY139="-","Nicht im Lift",IF(AU139&gt;=1,"Lift",IF(AU139&lt;=0,"Aussenlager","teilweise")))))</f>
        <v>Lift</v>
      </c>
      <c r="BF139" s="55" t="str">
        <f aca="false">IF(AX139&lt;=0,"",IF(BY139="Aussen","Aussenlager",IF(BY139="-","Nicht im Lift",IF(BC139&gt;=1,"Lift",IF(BC139&lt;=0,"Aussenlager","teilweise")))))</f>
        <v>Lift</v>
      </c>
      <c r="BG139" s="55" t="str">
        <f aca="false">IF(A139="","",IF(BP139=1,"Neu; ","")&amp;IF(AND(BP139=0,BK139&lt;0),"negativer Bestand (Export "&amp;BK139&amp;"); ","")&amp;IF(J139&lt;=0,"Kein Verbrauch; ","")&amp;IF(CH139&gt;0,"Lift "&amp;W139&amp;" lt. Liftbericht (Fach "&amp;X139&amp;" Stk); ",IF(BU139=1,"Gebinde geschätzt ("&amp;T139&amp;"); ",IF(BT139=1,"Lose – Tablare geschätzt; ","")))&amp;IF(H139&gt;AR139,"Überbestand "&amp;ROUND(H139-AR139,0)&amp;" Stk / CHF "&amp;ROUND((H139-AR139)*G139,0)&amp;"; ","")&amp;IF(AND(CA139=1,CB139&lt;CC139),"MAX &lt; MB+LG; ","")&amp;IF(AND(CG139&gt;0,CF139*10&gt;CG139),"zu hoch für Tablar; ","")&amp;IF(AND(BP139=0,OR(CA139=1,AA139&lt;&gt;"",U139&lt;&gt;"",V139&lt;&gt;"",AB139&lt;&gt;"")),"manuell übersteuert; ","")&amp;IF(AND(BT139=0,R139=0),"Gebinde unbekannt / Stellmass fehlt; ","")&amp;IF(AND(BT139=0,N(V139)&lt;=0,N(Q139)&lt;=0),"Menge pro Gebinde fehlt (Ist = 1 Gebinde); ","")&amp;BO139)</f>
        <v/>
      </c>
      <c r="BH139" s="55"/>
      <c r="BI139" s="55"/>
      <c r="BJ139" s="62"/>
      <c r="BK139" s="57" t="n">
        <v>13</v>
      </c>
      <c r="BL139" s="57" t="n">
        <v>18</v>
      </c>
      <c r="BM139" s="56" t="n">
        <v>1547.82</v>
      </c>
      <c r="BN139" s="57" t="n">
        <v>157</v>
      </c>
      <c r="BO139" s="55"/>
      <c r="BP139" s="60" t="n">
        <v>0</v>
      </c>
      <c r="BQ139" s="60" t="n">
        <v>139</v>
      </c>
      <c r="BR139" s="55" t="str">
        <f aca="false">IF(U139&lt;&gt;"",UPPER(TRIM(U139)),IF(BU139=1,UPPER(VLOOKUP(T139,Parameter!$I$27:$K$29,2,0)),IF(P139="","LOSE",P139)))</f>
        <v>S71</v>
      </c>
      <c r="BS139" s="57" t="n">
        <f aca="false">IF(BR139="LOSE",1,IF(N(V139)&gt;0,V139,IF(BU139=1,MAX(1,N(VLOOKUP(T139,Parameter!$I$27:$K$29,3,0)),H139,N(N139)),IF(N(Q139)&gt;0,Q139,MAX(1,H139)))))</f>
        <v>60</v>
      </c>
      <c r="BT139" s="60" t="n">
        <f aca="false">IF(BR139="LOSE",1,0)</f>
        <v>0</v>
      </c>
      <c r="BU139" s="60" t="n">
        <f aca="false">IF(AND(U139="",OR(P139="",P139="LOSE"),T139&lt;&gt;"",N(S139)&lt;=0,ISNUMBER(MATCH(T139,Parameter!$I$27:$I$29,0))),1,0)</f>
        <v>0</v>
      </c>
      <c r="BV139" s="55" t="str">
        <f aca="false">IF(AND(Parameter!$B$19="Ja",E139&lt;&gt;"",ISNUMBER(MATCH(E139,Parameter!$I$35:$I$52,0))),VLOOKUP(E139,Parameter!$I$35:$J$52,2,0),IFERROR(VLOOKUP(D139,Parameter!$A$35:$C$64,2,0),"Nein"))</f>
        <v>2+3</v>
      </c>
      <c r="BW139" s="59" t="n">
        <f aca="false">IF(BT139=0,0,IF(N(S139)&gt;0,S139,IFERROR(VLOOKUP(D139,Parameter!$A$35:$C$64,3,0)+0,0)))</f>
        <v>0</v>
      </c>
      <c r="BX139" s="55" t="n">
        <f aca="false">IF(AA139&lt;&gt;"",AA139,Z139)</f>
        <v>2</v>
      </c>
      <c r="BY139" s="55" t="str">
        <f aca="false">IF(BX139=1,"L1",IF(OR(BX139=2,BX139=3),"L23",IF(BX139="Aussen","Aussen","-")))</f>
        <v>L23</v>
      </c>
      <c r="BZ139" s="66" t="n">
        <f aca="false">IF(N(AB139)&gt;0,AB139,0)</f>
        <v>0</v>
      </c>
      <c r="CA139" s="60" t="n">
        <f aca="false">IF(ISNUMBER(AE139),1,0)</f>
        <v>0</v>
      </c>
      <c r="CB139" s="57" t="n">
        <f aca="false">N(AE139)</f>
        <v>0</v>
      </c>
      <c r="CC139" s="57" t="n">
        <f aca="false">N(M139)+N(N139)</f>
        <v>28</v>
      </c>
      <c r="CD139" s="57" t="n">
        <f aca="false">ROUNDUP(H139/BS139,0)</f>
        <v>1</v>
      </c>
      <c r="CE139" s="57" t="n">
        <f aca="false">ROUNDUP(CB139/BS139,0)</f>
        <v>0</v>
      </c>
      <c r="CF139" s="60" t="n">
        <f aca="false">IF(BT139=1,0,IFERROR(VLOOKUP(BR139,'Gebinde-Kategorie'!$A$5:$M$45,5,0)+0,0))</f>
        <v>20</v>
      </c>
      <c r="CG139" s="60" t="n">
        <f aca="false">IFERROR(IF(OR(BX139=1,BX139=2,BX139=3),N(INDEX(Parameter!$I$5:$I$7,BX139)),0),0)</f>
        <v>0</v>
      </c>
      <c r="CH139" s="59" t="n">
        <f aca="false">IF(AND(Parameter!$B$21="Ja",ISNUMBER(W139),N(X139)&gt;0),IFERROR(N(INDEX(Parameter!$L$5:$L$7,W139))*INDEX(Parameter!$E$5:$E$7,W139)*X139/SUMIFS($X$7:$X$1843,$W$7:$W$1843,W139),0),0)</f>
        <v>0</v>
      </c>
    </row>
    <row r="140" customFormat="false" ht="15" hidden="false" customHeight="false" outlineLevel="0" collapsed="false">
      <c r="A140" s="55" t="s">
        <v>486</v>
      </c>
      <c r="B140" s="55" t="s">
        <v>487</v>
      </c>
      <c r="C140" s="55" t="s">
        <v>164</v>
      </c>
      <c r="D140" s="55" t="s">
        <v>184</v>
      </c>
      <c r="E140" s="55" t="s">
        <v>185</v>
      </c>
      <c r="F140" s="55" t="s">
        <v>218</v>
      </c>
      <c r="G140" s="56" t="n">
        <v>371.25</v>
      </c>
      <c r="H140" s="57" t="n">
        <f aca="false">MAX(0,IF(AND(Parameter!$B$21="Ja",ISNUMBER(Y140)),Y140,IF(Parameter!$B$20="Jahresanfang 2025 + Export",BL140+BK140,BK140)))</f>
        <v>5</v>
      </c>
      <c r="I140" s="57" t="n">
        <f aca="false">H140*G140</f>
        <v>1856.25</v>
      </c>
      <c r="J140" s="57" t="n">
        <f aca="false">BN140*Parameter!$B$18</f>
        <v>0</v>
      </c>
      <c r="K140" s="58" t="n">
        <v>3</v>
      </c>
      <c r="L140" s="59" t="n">
        <v>0</v>
      </c>
      <c r="M140" s="57" t="n">
        <v>0</v>
      </c>
      <c r="N140" s="57" t="n">
        <v>1</v>
      </c>
      <c r="O140" s="60" t="n">
        <v>21</v>
      </c>
      <c r="P140" s="55" t="s">
        <v>328</v>
      </c>
      <c r="Q140" s="57" t="n">
        <v>1</v>
      </c>
      <c r="R140" s="60" t="n">
        <f aca="false">IF(BT140=1,0,IFERROR(VLOOKUP(BR140,'Gebinde-Kategorie'!$A$5:$M$45,13,0)+0,0))</f>
        <v>52</v>
      </c>
      <c r="S140" s="61"/>
      <c r="T140" s="62"/>
      <c r="U140" s="62"/>
      <c r="V140" s="62"/>
      <c r="W140" s="55"/>
      <c r="X140" s="57"/>
      <c r="Y140" s="57"/>
      <c r="Z140" s="55" t="n">
        <f aca="false">IF(A140="","",IF(AND(Parameter!$B$21="Ja",ISNUMBER(W140)),W140,IF(BV140="2+3",IF(ISNUMBER(SEARCH("grosser Artikel",BO140)),2,IFERROR(VLOOKUP(BR140,Parameter!$F$35:$G$64,2,0),2)),IF(OR(BV140="Nein",BV140=""),"-",BV140))))</f>
        <v>3</v>
      </c>
      <c r="AA140" s="62"/>
      <c r="AB140" s="63"/>
      <c r="AC140" s="57" t="n">
        <f aca="false">AR140</f>
        <v>1</v>
      </c>
      <c r="AD140" s="57" t="n">
        <f aca="false">MAX(AR140,H140)</f>
        <v>5</v>
      </c>
      <c r="AE140" s="64"/>
      <c r="AF140" s="57" t="n">
        <f aca="false">IF(LEFT(Cockpit!$C$5,1)="A",H140,IF(CA140=1,CB140,IF(LEFT(Cockpit!$C$5,1)="B",AJ140,MAX(AJ140,H140))))</f>
        <v>5</v>
      </c>
      <c r="AG140" s="57" t="n">
        <f aca="false">IF(BT140=1,0,ROUNDUP(AF140/BS140,0))</f>
        <v>5</v>
      </c>
      <c r="AH140" s="59" t="n">
        <f aca="false">IF(CH140&gt;0,CH140*MAX(1,AF140/X140),IF(BT140=1,IF(AF140&lt;=0,0,BW140*MAX(1,IF(H140&gt;0,AF140/H140,1))),IF(R140&gt;0,AG140/R140,0))/MAX(0.1,N(Parameter!$M$21)))</f>
        <v>0.0961538461538462</v>
      </c>
      <c r="AI140" s="57" t="n">
        <f aca="false">AF140*G140</f>
        <v>1856.25</v>
      </c>
      <c r="AJ140" s="57" t="n">
        <f aca="false">ROUNDUP(MAX(J140/IF(BZ140&gt;0,BZ140,MAX(0.1,N(Cockpit!$C$6))),CC140)/BS140,0)*BS140</f>
        <v>1</v>
      </c>
      <c r="AK140" s="58" t="n">
        <f aca="false">IF(AH140&gt;0,J140/AH140,-1)</f>
        <v>0</v>
      </c>
      <c r="AL140" s="58" t="n">
        <f aca="false">IF(AND(OR(BY140="L1",BY140="L23"),AH140&gt;0),SUMIFS($AH$7:$AH$1843,$BY$7:$BY$1843,BY140,$AK$7:$AK$1843,"&gt;"&amp;AK140)+SUMIFS($AH$7:$AH$1843,$BY$7:$BY$1843,BY140,$AK$7:$AK$1843,AK140,$BQ$7:$BQ$1843,"&lt;="&amp;BQ140),"")</f>
        <v>68.8240008783487</v>
      </c>
      <c r="AM140" s="65" t="n">
        <f aca="false">IF(AL140="",0,MAX(0,MIN(1,(IF(BY140="L1",Parameter!$E$5,Parameter!$E$6+Parameter!$E$7)-(AL140-AH140))/AH140)))</f>
        <v>1</v>
      </c>
      <c r="AN140" s="57" t="n">
        <f aca="false">IF(LEFT(Cockpit!$I$5,1)="A",H140,IF(CA140=1,CB140,IF(LEFT(Cockpit!$I$5,1)="B",AR140,MAX(AR140,H140))))</f>
        <v>5</v>
      </c>
      <c r="AO140" s="57" t="n">
        <f aca="false">IF(BT140=1,0,ROUNDUP(AN140/BS140,0))</f>
        <v>5</v>
      </c>
      <c r="AP140" s="59" t="n">
        <f aca="false">IF(CH140&gt;0,CH140*MAX(1,AN140/X140),IF(BT140=1,IF(AN140&lt;=0,0,BW140*MAX(1,IF(H140&gt;0,AN140/H140,1))),IF(R140&gt;0,AO140/R140,0))/MAX(0.1,N(Parameter!$M$21)))</f>
        <v>0.0961538461538462</v>
      </c>
      <c r="AQ140" s="57" t="n">
        <f aca="false">AN140*G140</f>
        <v>1856.25</v>
      </c>
      <c r="AR140" s="57" t="n">
        <f aca="false">ROUNDUP(MAX(J140/IF(BZ140&gt;0,BZ140,MAX(0.1,N(Cockpit!$I$6))),CC140)/BS140,0)*BS140</f>
        <v>1</v>
      </c>
      <c r="AS140" s="58" t="n">
        <f aca="false">IF(AP140&gt;0,J140/AP140,-1)</f>
        <v>0</v>
      </c>
      <c r="AT140" s="58" t="n">
        <f aca="false">IF(AND(OR(BY140="L1",BY140="L23"),AP140&gt;0),SUMIFS($AP$7:$AP$1843,$BY$7:$BY$1843,BY140,$AS$7:$AS$1843,"&gt;"&amp;AS140)+SUMIFS($AP$7:$AP$1843,$BY$7:$BY$1843,BY140,$AS$7:$AS$1843,AS140,$BQ$7:$BQ$1843,"&lt;="&amp;BQ140),"")</f>
        <v>108.248125063342</v>
      </c>
      <c r="AU140" s="65" t="n">
        <f aca="false">IF(AT140="",0,MAX(0,MIN(1,(IF(BY140="L1",Parameter!$E$5,Parameter!$E$6+Parameter!$E$7)-(AT140-AP140))/AP140)))</f>
        <v>0</v>
      </c>
      <c r="AV140" s="57" t="n">
        <f aca="false">IF(LEFT(Cockpit!$O$5,1)="A",H140,IF(CA140=1,CB140,IF(LEFT(Cockpit!$O$5,1)="B",AZ140,MAX(AZ140,H140))))</f>
        <v>5</v>
      </c>
      <c r="AW140" s="57" t="n">
        <f aca="false">IF(BT140=1,0,ROUNDUP(AV140/BS140,0))</f>
        <v>5</v>
      </c>
      <c r="AX140" s="59" t="n">
        <f aca="false">IF(CH140&gt;0,CH140*MAX(1,AV140/X140),IF(BT140=1,IF(AV140&lt;=0,0,BW140*MAX(1,IF(H140&gt;0,AV140/H140,1))),IF(R140&gt;0,AW140/R140,0))/MAX(0.1,N(Parameter!$M$21)))</f>
        <v>0.0961538461538462</v>
      </c>
      <c r="AY140" s="57" t="n">
        <f aca="false">AV140*G140</f>
        <v>1856.25</v>
      </c>
      <c r="AZ140" s="57" t="n">
        <f aca="false">ROUNDUP(MAX(J140/IF(BZ140&gt;0,BZ140,MAX(0.1,N(Cockpit!$O$6))),CC140)/BS140,0)*BS140</f>
        <v>1</v>
      </c>
      <c r="BA140" s="58" t="n">
        <f aca="false">IF(AX140&gt;0,J140/AX140,-1)</f>
        <v>0</v>
      </c>
      <c r="BB140" s="58" t="n">
        <f aca="false">IF(AND(OR(BY140="L1",BY140="L23"),AX140&gt;0),SUMIFS($AX$7:$AX$1843,$BY$7:$BY$1843,BY140,$BA$7:$BA$1843,"&gt;"&amp;BA140)+SUMIFS($AX$7:$AX$1843,$BY$7:$BY$1843,BY140,$BA$7:$BA$1843,BA140,$BQ$7:$BQ$1843,"&lt;="&amp;BQ140),"")</f>
        <v>99.0779618931793</v>
      </c>
      <c r="BC140" s="65" t="n">
        <f aca="false">IF(BB140="",0,MAX(0,MIN(1,(IF(BY140="L1",Parameter!$E$5,Parameter!$E$6+Parameter!$E$7)-(BB140-AX140))/AX140)))</f>
        <v>1</v>
      </c>
      <c r="BD140" s="55" t="str">
        <f aca="false">IF(AH140&lt;=0,"",IF(BY140="Aussen","Aussenlager",IF(BY140="-","Nicht im Lift",IF(AM140&gt;=1,"Lift",IF(AM140&lt;=0,"Aussenlager","teilweise")))))</f>
        <v>Lift</v>
      </c>
      <c r="BE140" s="55" t="str">
        <f aca="false">IF(AP140&lt;=0,"",IF(BY140="Aussen","Aussenlager",IF(BY140="-","Nicht im Lift",IF(AU140&gt;=1,"Lift",IF(AU140&lt;=0,"Aussenlager","teilweise")))))</f>
        <v>Aussenlager</v>
      </c>
      <c r="BF140" s="55" t="str">
        <f aca="false">IF(AX140&lt;=0,"",IF(BY140="Aussen","Aussenlager",IF(BY140="-","Nicht im Lift",IF(BC140&gt;=1,"Lift",IF(BC140&lt;=0,"Aussenlager","teilweise")))))</f>
        <v>Lift</v>
      </c>
      <c r="BG140" s="55" t="str">
        <f aca="false">IF(A140="","",IF(BP140=1,"Neu; ","")&amp;IF(AND(BP140=0,BK140&lt;0),"negativer Bestand (Export "&amp;BK140&amp;"); ","")&amp;IF(J140&lt;=0,"Kein Verbrauch; ","")&amp;IF(CH140&gt;0,"Lift "&amp;W140&amp;" lt. Liftbericht (Fach "&amp;X140&amp;" Stk); ",IF(BU140=1,"Gebinde geschätzt ("&amp;T140&amp;"); ",IF(BT140=1,"Lose – Tablare geschätzt; ","")))&amp;IF(H140&gt;AR140,"Überbestand "&amp;ROUND(H140-AR140,0)&amp;" Stk / CHF "&amp;ROUND((H140-AR140)*G140,0)&amp;"; ","")&amp;IF(AND(CA140=1,CB140&lt;CC140),"MAX &lt; MB+LG; ","")&amp;IF(AND(CG140&gt;0,CF140*10&gt;CG140),"zu hoch für Tablar; ","")&amp;IF(AND(BP140=0,OR(CA140=1,AA140&lt;&gt;"",U140&lt;&gt;"",V140&lt;&gt;"",AB140&lt;&gt;"")),"manuell übersteuert; ","")&amp;IF(AND(BT140=0,R140=0),"Gebinde unbekannt / Stellmass fehlt; ","")&amp;IF(AND(BT140=0,N(V140)&lt;=0,N(Q140)&lt;=0),"Menge pro Gebinde fehlt (Ist = 1 Gebinde); ","")&amp;BO140)</f>
        <v>Kein Verbrauch; Überbestand 4 Stk / CHF 1485; </v>
      </c>
      <c r="BH140" s="55"/>
      <c r="BI140" s="55"/>
      <c r="BJ140" s="62"/>
      <c r="BK140" s="57" t="n">
        <v>4</v>
      </c>
      <c r="BL140" s="57" t="n">
        <v>1</v>
      </c>
      <c r="BM140" s="56" t="n">
        <v>1487.25</v>
      </c>
      <c r="BN140" s="57" t="n">
        <v>0</v>
      </c>
      <c r="BO140" s="55"/>
      <c r="BP140" s="60" t="n">
        <v>0</v>
      </c>
      <c r="BQ140" s="60" t="n">
        <v>140</v>
      </c>
      <c r="BR140" s="55" t="str">
        <f aca="false">IF(U140&lt;&gt;"",UPPER(TRIM(U140)),IF(BU140=1,UPPER(VLOOKUP(T140,Parameter!$I$27:$K$29,2,0)),IF(P140="","LOSE",P140)))</f>
        <v>S41</v>
      </c>
      <c r="BS140" s="57" t="n">
        <f aca="false">IF(BR140="LOSE",1,IF(N(V140)&gt;0,V140,IF(BU140=1,MAX(1,N(VLOOKUP(T140,Parameter!$I$27:$K$29,3,0)),H140,N(N140)),IF(N(Q140)&gt;0,Q140,MAX(1,H140)))))</f>
        <v>1</v>
      </c>
      <c r="BT140" s="60" t="n">
        <f aca="false">IF(BR140="LOSE",1,0)</f>
        <v>0</v>
      </c>
      <c r="BU140" s="60" t="n">
        <f aca="false">IF(AND(U140="",OR(P140="",P140="LOSE"),T140&lt;&gt;"",N(S140)&lt;=0,ISNUMBER(MATCH(T140,Parameter!$I$27:$I$29,0))),1,0)</f>
        <v>0</v>
      </c>
      <c r="BV140" s="55" t="str">
        <f aca="false">IF(AND(Parameter!$B$19="Ja",E140&lt;&gt;"",ISNUMBER(MATCH(E140,Parameter!$I$35:$I$52,0))),VLOOKUP(E140,Parameter!$I$35:$J$52,2,0),IFERROR(VLOOKUP(D140,Parameter!$A$35:$C$64,2,0),"Nein"))</f>
        <v>2+3</v>
      </c>
      <c r="BW140" s="59" t="n">
        <f aca="false">IF(BT140=0,0,IF(N(S140)&gt;0,S140,IFERROR(VLOOKUP(D140,Parameter!$A$35:$C$64,3,0)+0,0)))</f>
        <v>0</v>
      </c>
      <c r="BX140" s="55" t="n">
        <f aca="false">IF(AA140&lt;&gt;"",AA140,Z140)</f>
        <v>3</v>
      </c>
      <c r="BY140" s="55" t="str">
        <f aca="false">IF(BX140=1,"L1",IF(OR(BX140=2,BX140=3),"L23",IF(BX140="Aussen","Aussen","-")))</f>
        <v>L23</v>
      </c>
      <c r="BZ140" s="66" t="n">
        <f aca="false">IF(N(AB140)&gt;0,AB140,0)</f>
        <v>0</v>
      </c>
      <c r="CA140" s="60" t="n">
        <f aca="false">IF(ISNUMBER(AE140),1,0)</f>
        <v>0</v>
      </c>
      <c r="CB140" s="57" t="n">
        <f aca="false">N(AE140)</f>
        <v>0</v>
      </c>
      <c r="CC140" s="57" t="n">
        <f aca="false">N(M140)+N(N140)</f>
        <v>1</v>
      </c>
      <c r="CD140" s="57" t="n">
        <f aca="false">ROUNDUP(H140/BS140,0)</f>
        <v>5</v>
      </c>
      <c r="CE140" s="57" t="n">
        <f aca="false">ROUNDUP(CB140/BS140,0)</f>
        <v>0</v>
      </c>
      <c r="CF140" s="60" t="n">
        <f aca="false">IF(BT140=1,0,IFERROR(VLOOKUP(BR140,'Gebinde-Kategorie'!$A$5:$M$45,5,0)+0,0))</f>
        <v>11</v>
      </c>
      <c r="CG140" s="60" t="n">
        <f aca="false">IFERROR(IF(OR(BX140=1,BX140=2,BX140=3),N(INDEX(Parameter!$I$5:$I$7,BX140)),0),0)</f>
        <v>0</v>
      </c>
      <c r="CH140" s="59" t="n">
        <f aca="false">IF(AND(Parameter!$B$21="Ja",ISNUMBER(W140),N(X140)&gt;0),IFERROR(N(INDEX(Parameter!$L$5:$L$7,W140))*INDEX(Parameter!$E$5:$E$7,W140)*X140/SUMIFS($X$7:$X$1843,$W$7:$W$1843,W140),0),0)</f>
        <v>0</v>
      </c>
    </row>
    <row r="141" customFormat="false" ht="15" hidden="false" customHeight="false" outlineLevel="0" collapsed="false">
      <c r="A141" s="55" t="s">
        <v>488</v>
      </c>
      <c r="B141" s="55" t="s">
        <v>489</v>
      </c>
      <c r="C141" s="55" t="s">
        <v>164</v>
      </c>
      <c r="D141" s="55" t="s">
        <v>184</v>
      </c>
      <c r="E141" s="55" t="s">
        <v>185</v>
      </c>
      <c r="F141" s="55" t="s">
        <v>218</v>
      </c>
      <c r="G141" s="56" t="n">
        <v>1.64</v>
      </c>
      <c r="H141" s="57" t="n">
        <f aca="false">MAX(0,IF(AND(Parameter!$B$21="Ja",ISNUMBER(Y141)),Y141,IF(Parameter!$B$20="Jahresanfang 2025 + Export",BL141+BK141,BK141)))</f>
        <v>1539</v>
      </c>
      <c r="I141" s="57" t="n">
        <f aca="false">H141*G141</f>
        <v>2523.96</v>
      </c>
      <c r="J141" s="57" t="n">
        <f aca="false">BN141*Parameter!$B$18</f>
        <v>4228</v>
      </c>
      <c r="K141" s="58" t="n">
        <v>1050.5</v>
      </c>
      <c r="L141" s="59" t="n">
        <v>4.02475011899096</v>
      </c>
      <c r="M141" s="57" t="n">
        <v>83</v>
      </c>
      <c r="N141" s="57" t="n">
        <v>2500</v>
      </c>
      <c r="O141" s="60" t="n">
        <v>7</v>
      </c>
      <c r="P141" s="55" t="s">
        <v>226</v>
      </c>
      <c r="Q141" s="57" t="n">
        <v>3358</v>
      </c>
      <c r="R141" s="60" t="n">
        <f aca="false">IF(BT141=1,0,IFERROR(VLOOKUP(BR141,'Gebinde-Kategorie'!$A$5:$M$45,13,0)+0,0))</f>
        <v>12</v>
      </c>
      <c r="S141" s="61"/>
      <c r="T141" s="62"/>
      <c r="U141" s="62"/>
      <c r="V141" s="62"/>
      <c r="W141" s="55"/>
      <c r="X141" s="57"/>
      <c r="Y141" s="57"/>
      <c r="Z141" s="55" t="n">
        <f aca="false">IF(A141="","",IF(AND(Parameter!$B$21="Ja",ISNUMBER(W141)),W141,IF(BV141="2+3",IF(ISNUMBER(SEARCH("grosser Artikel",BO141)),2,IFERROR(VLOOKUP(BR141,Parameter!$F$35:$G$64,2,0),2)),IF(OR(BV141="Nein",BV141=""),"-",BV141))))</f>
        <v>2</v>
      </c>
      <c r="AA141" s="62"/>
      <c r="AB141" s="63"/>
      <c r="AC141" s="57" t="n">
        <f aca="false">AR141</f>
        <v>3358</v>
      </c>
      <c r="AD141" s="57" t="n">
        <f aca="false">MAX(AR141,H141)</f>
        <v>3358</v>
      </c>
      <c r="AE141" s="64"/>
      <c r="AF141" s="57" t="n">
        <f aca="false">IF(LEFT(Cockpit!$C$5,1)="A",H141,IF(CA141=1,CB141,IF(LEFT(Cockpit!$C$5,1)="B",AJ141,MAX(AJ141,H141))))</f>
        <v>1539</v>
      </c>
      <c r="AG141" s="57" t="n">
        <f aca="false">IF(BT141=1,0,ROUNDUP(AF141/BS141,0))</f>
        <v>1</v>
      </c>
      <c r="AH141" s="59" t="n">
        <f aca="false">IF(CH141&gt;0,CH141*MAX(1,AF141/X141),IF(BT141=1,IF(AF141&lt;=0,0,BW141*MAX(1,IF(H141&gt;0,AF141/H141,1))),IF(R141&gt;0,AG141/R141,0))/MAX(0.1,N(Parameter!$M$21)))</f>
        <v>0.0833333333333333</v>
      </c>
      <c r="AI141" s="57" t="n">
        <f aca="false">AF141*G141</f>
        <v>2523.96</v>
      </c>
      <c r="AJ141" s="57" t="n">
        <f aca="false">ROUNDUP(MAX(J141/IF(BZ141&gt;0,BZ141,MAX(0.1,N(Cockpit!$C$6))),CC141)/BS141,0)*BS141</f>
        <v>3358</v>
      </c>
      <c r="AK141" s="58" t="n">
        <f aca="false">IF(AH141&gt;0,J141/AH141,-1)</f>
        <v>50736</v>
      </c>
      <c r="AL141" s="58" t="n">
        <f aca="false">IF(AND(OR(BY141="L1",BY141="L23"),AH141&gt;0),SUMIFS($AH$7:$AH$1843,$BY$7:$BY$1843,BY141,$AK$7:$AK$1843,"&gt;"&amp;AK141)+SUMIFS($AH$7:$AH$1843,$BY$7:$BY$1843,BY141,$AK$7:$AK$1843,AK141,$BQ$7:$BQ$1843,"&lt;="&amp;BQ141),"")</f>
        <v>1.35655045437654</v>
      </c>
      <c r="AM141" s="65" t="n">
        <f aca="false">IF(AL141="",0,MAX(0,MIN(1,(IF(BY141="L1",Parameter!$E$5,Parameter!$E$6+Parameter!$E$7)-(AL141-AH141))/AH141)))</f>
        <v>1</v>
      </c>
      <c r="AN141" s="57" t="n">
        <f aca="false">IF(LEFT(Cockpit!$I$5,1)="A",H141,IF(CA141=1,CB141,IF(LEFT(Cockpit!$I$5,1)="B",AR141,MAX(AR141,H141))))</f>
        <v>3358</v>
      </c>
      <c r="AO141" s="57" t="n">
        <f aca="false">IF(BT141=1,0,ROUNDUP(AN141/BS141,0))</f>
        <v>1</v>
      </c>
      <c r="AP141" s="59" t="n">
        <f aca="false">IF(CH141&gt;0,CH141*MAX(1,AN141/X141),IF(BT141=1,IF(AN141&lt;=0,0,BW141*MAX(1,IF(H141&gt;0,AN141/H141,1))),IF(R141&gt;0,AO141/R141,0))/MAX(0.1,N(Parameter!$M$21)))</f>
        <v>0.0833333333333333</v>
      </c>
      <c r="AQ141" s="57" t="n">
        <f aca="false">AN141*G141</f>
        <v>5507.12</v>
      </c>
      <c r="AR141" s="57" t="n">
        <f aca="false">ROUNDUP(MAX(J141/IF(BZ141&gt;0,BZ141,MAX(0.1,N(Cockpit!$I$6))),CC141)/BS141,0)*BS141</f>
        <v>3358</v>
      </c>
      <c r="AS141" s="58" t="n">
        <f aca="false">IF(AP141&gt;0,J141/AP141,-1)</f>
        <v>50736</v>
      </c>
      <c r="AT141" s="58" t="n">
        <f aca="false">IF(AND(OR(BY141="L1",BY141="L23"),AP141&gt;0),SUMIFS($AP$7:$AP$1843,$BY$7:$BY$1843,BY141,$AS$7:$AS$1843,"&gt;"&amp;AS141)+SUMIFS($AP$7:$AP$1843,$BY$7:$BY$1843,BY141,$AS$7:$AS$1843,AS141,$BQ$7:$BQ$1843,"&lt;="&amp;BQ141),"")</f>
        <v>1.11532549576028</v>
      </c>
      <c r="AU141" s="65" t="n">
        <f aca="false">IF(AT141="",0,MAX(0,MIN(1,(IF(BY141="L1",Parameter!$E$5,Parameter!$E$6+Parameter!$E$7)-(AT141-AP141))/AP141)))</f>
        <v>1</v>
      </c>
      <c r="AV141" s="57" t="n">
        <f aca="false">IF(LEFT(Cockpit!$O$5,1)="A",H141,IF(CA141=1,CB141,IF(LEFT(Cockpit!$O$5,1)="B",AZ141,MAX(AZ141,H141))))</f>
        <v>3358</v>
      </c>
      <c r="AW141" s="57" t="n">
        <f aca="false">IF(BT141=1,0,ROUNDUP(AV141/BS141,0))</f>
        <v>1</v>
      </c>
      <c r="AX141" s="59" t="n">
        <f aca="false">IF(CH141&gt;0,CH141*MAX(1,AV141/X141),IF(BT141=1,IF(AV141&lt;=0,0,BW141*MAX(1,IF(H141&gt;0,AV141/H141,1))),IF(R141&gt;0,AW141/R141,0))/MAX(0.1,N(Parameter!$M$21)))</f>
        <v>0.0833333333333333</v>
      </c>
      <c r="AY141" s="57" t="n">
        <f aca="false">AV141*G141</f>
        <v>5507.12</v>
      </c>
      <c r="AZ141" s="57" t="n">
        <f aca="false">ROUNDUP(MAX(J141/IF(BZ141&gt;0,BZ141,MAX(0.1,N(Cockpit!$O$6))),CC141)/BS141,0)*BS141</f>
        <v>3358</v>
      </c>
      <c r="BA141" s="58" t="n">
        <f aca="false">IF(AX141&gt;0,J141/AX141,-1)</f>
        <v>50736</v>
      </c>
      <c r="BB141" s="58" t="n">
        <f aca="false">IF(AND(OR(BY141="L1",BY141="L23"),AX141&gt;0),SUMIFS($AX$7:$AX$1843,$BY$7:$BY$1843,BY141,$BA$7:$BA$1843,"&gt;"&amp;BA141)+SUMIFS($AX$7:$AX$1843,$BY$7:$BY$1843,BY141,$BA$7:$BA$1843,BA141,$BQ$7:$BQ$1843,"&lt;="&amp;BQ141),"")</f>
        <v>1.40611803655282</v>
      </c>
      <c r="BC141" s="65" t="n">
        <f aca="false">IF(BB141="",0,MAX(0,MIN(1,(IF(BY141="L1",Parameter!$E$5,Parameter!$E$6+Parameter!$E$7)-(BB141-AX141))/AX141)))</f>
        <v>1</v>
      </c>
      <c r="BD141" s="55" t="str">
        <f aca="false">IF(AH141&lt;=0,"",IF(BY141="Aussen","Aussenlager",IF(BY141="-","Nicht im Lift",IF(AM141&gt;=1,"Lift",IF(AM141&lt;=0,"Aussenlager","teilweise")))))</f>
        <v>Lift</v>
      </c>
      <c r="BE141" s="55" t="str">
        <f aca="false">IF(AP141&lt;=0,"",IF(BY141="Aussen","Aussenlager",IF(BY141="-","Nicht im Lift",IF(AU141&gt;=1,"Lift",IF(AU141&lt;=0,"Aussenlager","teilweise")))))</f>
        <v>Lift</v>
      </c>
      <c r="BF141" s="55" t="str">
        <f aca="false">IF(AX141&lt;=0,"",IF(BY141="Aussen","Aussenlager",IF(BY141="-","Nicht im Lift",IF(BC141&gt;=1,"Lift",IF(BC141&lt;=0,"Aussenlager","teilweise")))))</f>
        <v>Lift</v>
      </c>
      <c r="BG141" s="55" t="str">
        <f aca="false">IF(A141="","",IF(BP141=1,"Neu; ","")&amp;IF(AND(BP141=0,BK141&lt;0),"negativer Bestand (Export "&amp;BK141&amp;"); ","")&amp;IF(J141&lt;=0,"Kein Verbrauch; ","")&amp;IF(CH141&gt;0,"Lift "&amp;W141&amp;" lt. Liftbericht (Fach "&amp;X141&amp;" Stk); ",IF(BU141=1,"Gebinde geschätzt ("&amp;T141&amp;"); ",IF(BT141=1,"Lose – Tablare geschätzt; ","")))&amp;IF(H141&gt;AR141,"Überbestand "&amp;ROUND(H141-AR141,0)&amp;" Stk / CHF "&amp;ROUND((H141-AR141)*G141,0)&amp;"; ","")&amp;IF(AND(CA141=1,CB141&lt;CC141),"MAX &lt; MB+LG; ","")&amp;IF(AND(CG141&gt;0,CF141*10&gt;CG141),"zu hoch für Tablar; ","")&amp;IF(AND(BP141=0,OR(CA141=1,AA141&lt;&gt;"",U141&lt;&gt;"",V141&lt;&gt;"",AB141&lt;&gt;"")),"manuell übersteuert; ","")&amp;IF(AND(BT141=0,R141=0),"Gebinde unbekannt / Stellmass fehlt; ","")&amp;IF(AND(BT141=0,N(V141)&lt;=0,N(Q141)&lt;=0),"Menge pro Gebinde fehlt (Ist = 1 Gebinde); ","")&amp;BO141)</f>
        <v/>
      </c>
      <c r="BH141" s="55"/>
      <c r="BI141" s="55"/>
      <c r="BJ141" s="62"/>
      <c r="BK141" s="57" t="n">
        <v>902</v>
      </c>
      <c r="BL141" s="57" t="n">
        <v>637</v>
      </c>
      <c r="BM141" s="56" t="n">
        <v>1466.8</v>
      </c>
      <c r="BN141" s="57" t="n">
        <v>4228</v>
      </c>
      <c r="BO141" s="55"/>
      <c r="BP141" s="60" t="n">
        <v>0</v>
      </c>
      <c r="BQ141" s="60" t="n">
        <v>141</v>
      </c>
      <c r="BR141" s="55" t="str">
        <f aca="false">IF(U141&lt;&gt;"",UPPER(TRIM(U141)),IF(BU141=1,UPPER(VLOOKUP(T141,Parameter!$I$27:$K$29,2,0)),IF(P141="","LOSE",P141)))</f>
        <v>S63</v>
      </c>
      <c r="BS141" s="57" t="n">
        <f aca="false">IF(BR141="LOSE",1,IF(N(V141)&gt;0,V141,IF(BU141=1,MAX(1,N(VLOOKUP(T141,Parameter!$I$27:$K$29,3,0)),H141,N(N141)),IF(N(Q141)&gt;0,Q141,MAX(1,H141)))))</f>
        <v>3358</v>
      </c>
      <c r="BT141" s="60" t="n">
        <f aca="false">IF(BR141="LOSE",1,0)</f>
        <v>0</v>
      </c>
      <c r="BU141" s="60" t="n">
        <f aca="false">IF(AND(U141="",OR(P141="",P141="LOSE"),T141&lt;&gt;"",N(S141)&lt;=0,ISNUMBER(MATCH(T141,Parameter!$I$27:$I$29,0))),1,0)</f>
        <v>0</v>
      </c>
      <c r="BV141" s="55" t="str">
        <f aca="false">IF(AND(Parameter!$B$19="Ja",E141&lt;&gt;"",ISNUMBER(MATCH(E141,Parameter!$I$35:$I$52,0))),VLOOKUP(E141,Parameter!$I$35:$J$52,2,0),IFERROR(VLOOKUP(D141,Parameter!$A$35:$C$64,2,0),"Nein"))</f>
        <v>2+3</v>
      </c>
      <c r="BW141" s="59" t="n">
        <f aca="false">IF(BT141=0,0,IF(N(S141)&gt;0,S141,IFERROR(VLOOKUP(D141,Parameter!$A$35:$C$64,3,0)+0,0)))</f>
        <v>0</v>
      </c>
      <c r="BX141" s="55" t="n">
        <f aca="false">IF(AA141&lt;&gt;"",AA141,Z141)</f>
        <v>2</v>
      </c>
      <c r="BY141" s="55" t="str">
        <f aca="false">IF(BX141=1,"L1",IF(OR(BX141=2,BX141=3),"L23",IF(BX141="Aussen","Aussen","-")))</f>
        <v>L23</v>
      </c>
      <c r="BZ141" s="66" t="n">
        <f aca="false">IF(N(AB141)&gt;0,AB141,0)</f>
        <v>0</v>
      </c>
      <c r="CA141" s="60" t="n">
        <f aca="false">IF(ISNUMBER(AE141),1,0)</f>
        <v>0</v>
      </c>
      <c r="CB141" s="57" t="n">
        <f aca="false">N(AE141)</f>
        <v>0</v>
      </c>
      <c r="CC141" s="57" t="n">
        <f aca="false">N(M141)+N(N141)</f>
        <v>2583</v>
      </c>
      <c r="CD141" s="57" t="n">
        <f aca="false">ROUNDUP(H141/BS141,0)</f>
        <v>1</v>
      </c>
      <c r="CE141" s="57" t="n">
        <f aca="false">ROUNDUP(CB141/BS141,0)</f>
        <v>0</v>
      </c>
      <c r="CF141" s="60" t="n">
        <f aca="false">IF(BT141=1,0,IFERROR(VLOOKUP(BR141,'Gebinde-Kategorie'!$A$5:$M$45,5,0)+0,0))</f>
        <v>31</v>
      </c>
      <c r="CG141" s="60" t="n">
        <f aca="false">IFERROR(IF(OR(BX141=1,BX141=2,BX141=3),N(INDEX(Parameter!$I$5:$I$7,BX141)),0),0)</f>
        <v>0</v>
      </c>
      <c r="CH141" s="59" t="n">
        <f aca="false">IF(AND(Parameter!$B$21="Ja",ISNUMBER(W141),N(X141)&gt;0),IFERROR(N(INDEX(Parameter!$L$5:$L$7,W141))*INDEX(Parameter!$E$5:$E$7,W141)*X141/SUMIFS($X$7:$X$1843,$W$7:$W$1843,W141),0),0)</f>
        <v>0</v>
      </c>
    </row>
    <row r="142" customFormat="false" ht="15" hidden="false" customHeight="false" outlineLevel="0" collapsed="false">
      <c r="A142" s="55" t="s">
        <v>490</v>
      </c>
      <c r="B142" s="55" t="s">
        <v>491</v>
      </c>
      <c r="C142" s="55" t="s">
        <v>164</v>
      </c>
      <c r="D142" s="55" t="s">
        <v>173</v>
      </c>
      <c r="E142" s="55"/>
      <c r="F142" s="55" t="s">
        <v>218</v>
      </c>
      <c r="G142" s="56" t="n">
        <v>365.35</v>
      </c>
      <c r="H142" s="57" t="n">
        <f aca="false">MAX(0,IF(AND(Parameter!$B$21="Ja",ISNUMBER(Y142)),Y142,IF(Parameter!$B$20="Jahresanfang 2025 + Export",BL142+BK142,BK142)))</f>
        <v>4</v>
      </c>
      <c r="I142" s="57" t="n">
        <f aca="false">H142*G142</f>
        <v>1461.4</v>
      </c>
      <c r="J142" s="57" t="n">
        <f aca="false">BN142*Parameter!$B$18</f>
        <v>0</v>
      </c>
      <c r="K142" s="58" t="n">
        <v>0</v>
      </c>
      <c r="L142" s="59" t="n">
        <v>0</v>
      </c>
      <c r="M142" s="57" t="n">
        <v>0</v>
      </c>
      <c r="N142" s="57" t="n">
        <v>1</v>
      </c>
      <c r="O142" s="60" t="n">
        <v>14</v>
      </c>
      <c r="P142" s="55" t="s">
        <v>168</v>
      </c>
      <c r="Q142" s="57"/>
      <c r="R142" s="60" t="n">
        <f aca="false">IF(BT142=1,0,IFERROR(VLOOKUP(BR142,'Gebinde-Kategorie'!$A$5:$M$45,13,0)+0,0))</f>
        <v>3</v>
      </c>
      <c r="S142" s="61"/>
      <c r="T142" s="62" t="s">
        <v>189</v>
      </c>
      <c r="U142" s="62"/>
      <c r="V142" s="62"/>
      <c r="W142" s="55"/>
      <c r="X142" s="57"/>
      <c r="Y142" s="57"/>
      <c r="Z142" s="55" t="n">
        <f aca="false">IF(A142="","",IF(AND(Parameter!$B$21="Ja",ISNUMBER(W142)),W142,IF(BV142="2+3",IF(ISNUMBER(SEARCH("grosser Artikel",BO142)),2,IFERROR(VLOOKUP(BR142,Parameter!$F$35:$G$64,2,0),2)),IF(OR(BV142="Nein",BV142=""),"-",BV142))))</f>
        <v>2</v>
      </c>
      <c r="AA142" s="62"/>
      <c r="AB142" s="63"/>
      <c r="AC142" s="57" t="n">
        <f aca="false">AR142</f>
        <v>4</v>
      </c>
      <c r="AD142" s="57" t="n">
        <f aca="false">MAX(AR142,H142)</f>
        <v>4</v>
      </c>
      <c r="AE142" s="64"/>
      <c r="AF142" s="57" t="n">
        <f aca="false">IF(LEFT(Cockpit!$C$5,1)="A",H142,IF(CA142=1,CB142,IF(LEFT(Cockpit!$C$5,1)="B",AJ142,MAX(AJ142,H142))))</f>
        <v>4</v>
      </c>
      <c r="AG142" s="57" t="n">
        <f aca="false">IF(BT142=1,0,ROUNDUP(AF142/BS142,0))</f>
        <v>1</v>
      </c>
      <c r="AH142" s="59" t="n">
        <f aca="false">IF(CH142&gt;0,CH142*MAX(1,AF142/X142),IF(BT142=1,IF(AF142&lt;=0,0,BW142*MAX(1,IF(H142&gt;0,AF142/H142,1))),IF(R142&gt;0,AG142/R142,0))/MAX(0.1,N(Parameter!$M$21)))</f>
        <v>0.333333333333333</v>
      </c>
      <c r="AI142" s="57" t="n">
        <f aca="false">AF142*G142</f>
        <v>1461.4</v>
      </c>
      <c r="AJ142" s="57" t="n">
        <f aca="false">ROUNDUP(MAX(J142/IF(BZ142&gt;0,BZ142,MAX(0.1,N(Cockpit!$C$6))),CC142)/BS142,0)*BS142</f>
        <v>4</v>
      </c>
      <c r="AK142" s="58" t="n">
        <f aca="false">IF(AH142&gt;0,J142/AH142,-1)</f>
        <v>0</v>
      </c>
      <c r="AL142" s="58" t="n">
        <f aca="false">IF(AND(OR(BY142="L1",BY142="L23"),AH142&gt;0),SUMIFS($AH$7:$AH$1843,$BY$7:$BY$1843,BY142,$AK$7:$AK$1843,"&gt;"&amp;AK142)+SUMIFS($AH$7:$AH$1843,$BY$7:$BY$1843,BY142,$AK$7:$AK$1843,AK142,$BQ$7:$BQ$1843,"&lt;="&amp;BQ142),"")</f>
        <v>69.157334211682</v>
      </c>
      <c r="AM142" s="65" t="n">
        <f aca="false">IF(AL142="",0,MAX(0,MIN(1,(IF(BY142="L1",Parameter!$E$5,Parameter!$E$6+Parameter!$E$7)-(AL142-AH142))/AH142)))</f>
        <v>1</v>
      </c>
      <c r="AN142" s="57" t="n">
        <f aca="false">IF(LEFT(Cockpit!$I$5,1)="A",H142,IF(CA142=1,CB142,IF(LEFT(Cockpit!$I$5,1)="B",AR142,MAX(AR142,H142))))</f>
        <v>4</v>
      </c>
      <c r="AO142" s="57" t="n">
        <f aca="false">IF(BT142=1,0,ROUNDUP(AN142/BS142,0))</f>
        <v>1</v>
      </c>
      <c r="AP142" s="59" t="n">
        <f aca="false">IF(CH142&gt;0,CH142*MAX(1,AN142/X142),IF(BT142=1,IF(AN142&lt;=0,0,BW142*MAX(1,IF(H142&gt;0,AN142/H142,1))),IF(R142&gt;0,AO142/R142,0))/MAX(0.1,N(Parameter!$M$21)))</f>
        <v>0.333333333333333</v>
      </c>
      <c r="AQ142" s="57" t="n">
        <f aca="false">AN142*G142</f>
        <v>1461.4</v>
      </c>
      <c r="AR142" s="57" t="n">
        <f aca="false">ROUNDUP(MAX(J142/IF(BZ142&gt;0,BZ142,MAX(0.1,N(Cockpit!$I$6))),CC142)/BS142,0)*BS142</f>
        <v>4</v>
      </c>
      <c r="AS142" s="58" t="n">
        <f aca="false">IF(AP142&gt;0,J142/AP142,-1)</f>
        <v>0</v>
      </c>
      <c r="AT142" s="58" t="n">
        <f aca="false">IF(AND(OR(BY142="L1",BY142="L23"),AP142&gt;0),SUMIFS($AP$7:$AP$1843,$BY$7:$BY$1843,BY142,$AS$7:$AS$1843,"&gt;"&amp;AS142)+SUMIFS($AP$7:$AP$1843,$BY$7:$BY$1843,BY142,$AS$7:$AS$1843,AS142,$BQ$7:$BQ$1843,"&lt;="&amp;BQ142),"")</f>
        <v>108.581458396676</v>
      </c>
      <c r="AU142" s="65" t="n">
        <f aca="false">IF(AT142="",0,MAX(0,MIN(1,(IF(BY142="L1",Parameter!$E$5,Parameter!$E$6+Parameter!$E$7)-(AT142-AP142))/AP142)))</f>
        <v>0</v>
      </c>
      <c r="AV142" s="57" t="n">
        <f aca="false">IF(LEFT(Cockpit!$O$5,1)="A",H142,IF(CA142=1,CB142,IF(LEFT(Cockpit!$O$5,1)="B",AZ142,MAX(AZ142,H142))))</f>
        <v>4</v>
      </c>
      <c r="AW142" s="57" t="n">
        <f aca="false">IF(BT142=1,0,ROUNDUP(AV142/BS142,0))</f>
        <v>1</v>
      </c>
      <c r="AX142" s="59" t="n">
        <f aca="false">IF(CH142&gt;0,CH142*MAX(1,AV142/X142),IF(BT142=1,IF(AV142&lt;=0,0,BW142*MAX(1,IF(H142&gt;0,AV142/H142,1))),IF(R142&gt;0,AW142/R142,0))/MAX(0.1,N(Parameter!$M$21)))</f>
        <v>0.333333333333333</v>
      </c>
      <c r="AY142" s="57" t="n">
        <f aca="false">AV142*G142</f>
        <v>1461.4</v>
      </c>
      <c r="AZ142" s="57" t="n">
        <f aca="false">ROUNDUP(MAX(J142/IF(BZ142&gt;0,BZ142,MAX(0.1,N(Cockpit!$O$6))),CC142)/BS142,0)*BS142</f>
        <v>4</v>
      </c>
      <c r="BA142" s="58" t="n">
        <f aca="false">IF(AX142&gt;0,J142/AX142,-1)</f>
        <v>0</v>
      </c>
      <c r="BB142" s="58" t="n">
        <f aca="false">IF(AND(OR(BY142="L1",BY142="L23"),AX142&gt;0),SUMIFS($AX$7:$AX$1843,$BY$7:$BY$1843,BY142,$BA$7:$BA$1843,"&gt;"&amp;BA142)+SUMIFS($AX$7:$AX$1843,$BY$7:$BY$1843,BY142,$BA$7:$BA$1843,BA142,$BQ$7:$BQ$1843,"&lt;="&amp;BQ142),"")</f>
        <v>99.4112952265126</v>
      </c>
      <c r="BC142" s="65" t="n">
        <f aca="false">IF(BB142="",0,MAX(0,MIN(1,(IF(BY142="L1",Parameter!$E$5,Parameter!$E$6+Parameter!$E$7)-(BB142-AX142))/AX142)))</f>
        <v>1</v>
      </c>
      <c r="BD142" s="55" t="str">
        <f aca="false">IF(AH142&lt;=0,"",IF(BY142="Aussen","Aussenlager",IF(BY142="-","Nicht im Lift",IF(AM142&gt;=1,"Lift",IF(AM142&lt;=0,"Aussenlager","teilweise")))))</f>
        <v>Lift</v>
      </c>
      <c r="BE142" s="55" t="str">
        <f aca="false">IF(AP142&lt;=0,"",IF(BY142="Aussen","Aussenlager",IF(BY142="-","Nicht im Lift",IF(AU142&gt;=1,"Lift",IF(AU142&lt;=0,"Aussenlager","teilweise")))))</f>
        <v>Aussenlager</v>
      </c>
      <c r="BF142" s="55" t="str">
        <f aca="false">IF(AX142&lt;=0,"",IF(BY142="Aussen","Aussenlager",IF(BY142="-","Nicht im Lift",IF(BC142&gt;=1,"Lift",IF(BC142&lt;=0,"Aussenlager","teilweise")))))</f>
        <v>Lift</v>
      </c>
      <c r="BG142" s="55" t="str">
        <f aca="false">IF(A142="","",IF(BP142=1,"Neu; ","")&amp;IF(AND(BP142=0,BK142&lt;0),"negativer Bestand (Export "&amp;BK142&amp;"); ","")&amp;IF(J142&lt;=0,"Kein Verbrauch; ","")&amp;IF(CH142&gt;0,"Lift "&amp;W142&amp;" lt. Liftbericht (Fach "&amp;X142&amp;" Stk); ",IF(BU142=1,"Gebinde geschätzt ("&amp;T142&amp;"); ",IF(BT142=1,"Lose – Tablare geschätzt; ","")))&amp;IF(H142&gt;AR142,"Überbestand "&amp;ROUND(H142-AR142,0)&amp;" Stk / CHF "&amp;ROUND((H142-AR142)*G142,0)&amp;"; ","")&amp;IF(AND(CA142=1,CB142&lt;CC142),"MAX &lt; MB+LG; ","")&amp;IF(AND(CG142&gt;0,CF142*10&gt;CG142),"zu hoch für Tablar; ","")&amp;IF(AND(BP142=0,OR(CA142=1,AA142&lt;&gt;"",U142&lt;&gt;"",V142&lt;&gt;"",AB142&lt;&gt;"")),"manuell übersteuert; ","")&amp;IF(AND(BT142=0,R142=0),"Gebinde unbekannt / Stellmass fehlt; ","")&amp;IF(AND(BT142=0,N(V142)&lt;=0,N(Q142)&lt;=0),"Menge pro Gebinde fehlt (Ist = 1 Gebinde); ","")&amp;BO142)</f>
        <v>Kein Verbrauch; Gebinde geschätzt (Gross); Menge pro Gebinde fehlt (Ist = 1 Gebinde); </v>
      </c>
      <c r="BH142" s="55"/>
      <c r="BI142" s="55"/>
      <c r="BJ142" s="62"/>
      <c r="BK142" s="57" t="n">
        <v>4</v>
      </c>
      <c r="BL142" s="57" t="n">
        <v>0</v>
      </c>
      <c r="BM142" s="56" t="n">
        <v>1461.4</v>
      </c>
      <c r="BN142" s="57" t="n">
        <v>0</v>
      </c>
      <c r="BO142" s="55"/>
      <c r="BP142" s="60" t="n">
        <v>0</v>
      </c>
      <c r="BQ142" s="60" t="n">
        <v>142</v>
      </c>
      <c r="BR142" s="55" t="str">
        <f aca="false">IF(U142&lt;&gt;"",UPPER(TRIM(U142)),IF(BU142=1,UPPER(VLOOKUP(T142,Parameter!$I$27:$K$29,2,0)),IF(P142="","LOSE",P142)))</f>
        <v>S81</v>
      </c>
      <c r="BS142" s="57" t="n">
        <f aca="false">IF(BR142="LOSE",1,IF(N(V142)&gt;0,V142,IF(BU142=1,MAX(1,N(VLOOKUP(T142,Parameter!$I$27:$K$29,3,0)),H142,N(N142)),IF(N(Q142)&gt;0,Q142,MAX(1,H142)))))</f>
        <v>4</v>
      </c>
      <c r="BT142" s="60" t="n">
        <f aca="false">IF(BR142="LOSE",1,0)</f>
        <v>0</v>
      </c>
      <c r="BU142" s="60" t="n">
        <f aca="false">IF(AND(U142="",OR(P142="",P142="LOSE"),T142&lt;&gt;"",N(S142)&lt;=0,ISNUMBER(MATCH(T142,Parameter!$I$27:$I$29,0))),1,0)</f>
        <v>1</v>
      </c>
      <c r="BV142" s="55" t="str">
        <f aca="false">IF(AND(Parameter!$B$19="Ja",E142&lt;&gt;"",ISNUMBER(MATCH(E142,Parameter!$I$35:$I$52,0))),VLOOKUP(E142,Parameter!$I$35:$J$52,2,0),IFERROR(VLOOKUP(D142,Parameter!$A$35:$C$64,2,0),"Nein"))</f>
        <v>2+3</v>
      </c>
      <c r="BW142" s="59" t="n">
        <f aca="false">IF(BT142=0,0,IF(N(S142)&gt;0,S142,IFERROR(VLOOKUP(D142,Parameter!$A$35:$C$64,3,0)+0,0)))</f>
        <v>0</v>
      </c>
      <c r="BX142" s="55" t="n">
        <f aca="false">IF(AA142&lt;&gt;"",AA142,Z142)</f>
        <v>2</v>
      </c>
      <c r="BY142" s="55" t="str">
        <f aca="false">IF(BX142=1,"L1",IF(OR(BX142=2,BX142=3),"L23",IF(BX142="Aussen","Aussen","-")))</f>
        <v>L23</v>
      </c>
      <c r="BZ142" s="66" t="n">
        <f aca="false">IF(N(AB142)&gt;0,AB142,0)</f>
        <v>0</v>
      </c>
      <c r="CA142" s="60" t="n">
        <f aca="false">IF(ISNUMBER(AE142),1,0)</f>
        <v>0</v>
      </c>
      <c r="CB142" s="57" t="n">
        <f aca="false">N(AE142)</f>
        <v>0</v>
      </c>
      <c r="CC142" s="57" t="n">
        <f aca="false">N(M142)+N(N142)</f>
        <v>1</v>
      </c>
      <c r="CD142" s="57" t="n">
        <f aca="false">ROUNDUP(H142/BS142,0)</f>
        <v>1</v>
      </c>
      <c r="CE142" s="57" t="n">
        <f aca="false">ROUNDUP(CB142/BS142,0)</f>
        <v>0</v>
      </c>
      <c r="CF142" s="60" t="n">
        <f aca="false">IF(BT142=1,0,IFERROR(VLOOKUP(BR142,'Gebinde-Kategorie'!$A$5:$M$45,5,0)+0,0))</f>
        <v>20</v>
      </c>
      <c r="CG142" s="60" t="n">
        <f aca="false">IFERROR(IF(OR(BX142=1,BX142=2,BX142=3),N(INDEX(Parameter!$I$5:$I$7,BX142)),0),0)</f>
        <v>0</v>
      </c>
      <c r="CH142" s="59" t="n">
        <f aca="false">IF(AND(Parameter!$B$21="Ja",ISNUMBER(W142),N(X142)&gt;0),IFERROR(N(INDEX(Parameter!$L$5:$L$7,W142))*INDEX(Parameter!$E$5:$E$7,W142)*X142/SUMIFS($X$7:$X$1843,$W$7:$W$1843,W142),0),0)</f>
        <v>0</v>
      </c>
    </row>
    <row r="143" customFormat="false" ht="15" hidden="false" customHeight="false" outlineLevel="0" collapsed="false">
      <c r="A143" s="55" t="s">
        <v>492</v>
      </c>
      <c r="B143" s="55" t="s">
        <v>493</v>
      </c>
      <c r="C143" s="55" t="s">
        <v>164</v>
      </c>
      <c r="D143" s="55" t="s">
        <v>173</v>
      </c>
      <c r="E143" s="55"/>
      <c r="F143" s="55" t="s">
        <v>218</v>
      </c>
      <c r="G143" s="56" t="n">
        <v>65.52</v>
      </c>
      <c r="H143" s="57" t="n">
        <f aca="false">MAX(0,IF(AND(Parameter!$B$21="Ja",ISNUMBER(Y143)),Y143,IF(Parameter!$B$20="Jahresanfang 2025 + Export",BL143+BK143,BK143)))</f>
        <v>50</v>
      </c>
      <c r="I143" s="57" t="n">
        <f aca="false">H143*G143</f>
        <v>3276</v>
      </c>
      <c r="J143" s="57" t="n">
        <f aca="false">BN143*Parameter!$B$18</f>
        <v>8</v>
      </c>
      <c r="K143" s="58" t="n">
        <v>38</v>
      </c>
      <c r="L143" s="59" t="n">
        <v>0.210526315789474</v>
      </c>
      <c r="M143" s="57" t="n">
        <v>0</v>
      </c>
      <c r="N143" s="57" t="n">
        <v>10</v>
      </c>
      <c r="O143" s="60" t="n">
        <v>28</v>
      </c>
      <c r="P143" s="55" t="s">
        <v>174</v>
      </c>
      <c r="Q143" s="57" t="n">
        <v>50</v>
      </c>
      <c r="R143" s="60" t="n">
        <f aca="false">IF(BT143=1,0,IFERROR(VLOOKUP(BR143,'Gebinde-Kategorie'!$A$5:$M$45,13,0)+0,0))</f>
        <v>6</v>
      </c>
      <c r="S143" s="61"/>
      <c r="T143" s="62"/>
      <c r="U143" s="62"/>
      <c r="V143" s="62"/>
      <c r="W143" s="55"/>
      <c r="X143" s="57"/>
      <c r="Y143" s="57"/>
      <c r="Z143" s="55" t="n">
        <f aca="false">IF(A143="","",IF(AND(Parameter!$B$21="Ja",ISNUMBER(W143)),W143,IF(BV143="2+3",IF(ISNUMBER(SEARCH("grosser Artikel",BO143)),2,IFERROR(VLOOKUP(BR143,Parameter!$F$35:$G$64,2,0),2)),IF(OR(BV143="Nein",BV143=""),"-",BV143))))</f>
        <v>2</v>
      </c>
      <c r="AA143" s="62"/>
      <c r="AB143" s="63"/>
      <c r="AC143" s="57" t="n">
        <f aca="false">AR143</f>
        <v>50</v>
      </c>
      <c r="AD143" s="57" t="n">
        <f aca="false">MAX(AR143,H143)</f>
        <v>50</v>
      </c>
      <c r="AE143" s="64"/>
      <c r="AF143" s="57" t="n">
        <f aca="false">IF(LEFT(Cockpit!$C$5,1)="A",H143,IF(CA143=1,CB143,IF(LEFT(Cockpit!$C$5,1)="B",AJ143,MAX(AJ143,H143))))</f>
        <v>50</v>
      </c>
      <c r="AG143" s="57" t="n">
        <f aca="false">IF(BT143=1,0,ROUNDUP(AF143/BS143,0))</f>
        <v>1</v>
      </c>
      <c r="AH143" s="59" t="n">
        <f aca="false">IF(CH143&gt;0,CH143*MAX(1,AF143/X143),IF(BT143=1,IF(AF143&lt;=0,0,BW143*MAX(1,IF(H143&gt;0,AF143/H143,1))),IF(R143&gt;0,AG143/R143,0))/MAX(0.1,N(Parameter!$M$21)))</f>
        <v>0.166666666666667</v>
      </c>
      <c r="AI143" s="57" t="n">
        <f aca="false">AF143*G143</f>
        <v>3276</v>
      </c>
      <c r="AJ143" s="57" t="n">
        <f aca="false">ROUNDUP(MAX(J143/IF(BZ143&gt;0,BZ143,MAX(0.1,N(Cockpit!$C$6))),CC143)/BS143,0)*BS143</f>
        <v>50</v>
      </c>
      <c r="AK143" s="58" t="n">
        <f aca="false">IF(AH143&gt;0,J143/AH143,-1)</f>
        <v>48</v>
      </c>
      <c r="AL143" s="58" t="n">
        <f aca="false">IF(AND(OR(BY143="L1",BY143="L23"),AH143&gt;0),SUMIFS($AH$7:$AH$1843,$BY$7:$BY$1843,BY143,$AK$7:$AK$1843,"&gt;"&amp;AK143)+SUMIFS($AH$7:$AH$1843,$BY$7:$BY$1843,BY143,$AK$7:$AK$1843,AK143,$BQ$7:$BQ$1843,"&lt;="&amp;BQ143),"")</f>
        <v>44.9850342893821</v>
      </c>
      <c r="AM143" s="65" t="n">
        <f aca="false">IF(AL143="",0,MAX(0,MIN(1,(IF(BY143="L1",Parameter!$E$5,Parameter!$E$6+Parameter!$E$7)-(AL143-AH143))/AH143)))</f>
        <v>1</v>
      </c>
      <c r="AN143" s="57" t="n">
        <f aca="false">IF(LEFT(Cockpit!$I$5,1)="A",H143,IF(CA143=1,CB143,IF(LEFT(Cockpit!$I$5,1)="B",AR143,MAX(AR143,H143))))</f>
        <v>50</v>
      </c>
      <c r="AO143" s="57" t="n">
        <f aca="false">IF(BT143=1,0,ROUNDUP(AN143/BS143,0))</f>
        <v>1</v>
      </c>
      <c r="AP143" s="59" t="n">
        <f aca="false">IF(CH143&gt;0,CH143*MAX(1,AN143/X143),IF(BT143=1,IF(AN143&lt;=0,0,BW143*MAX(1,IF(H143&gt;0,AN143/H143,1))),IF(R143&gt;0,AO143/R143,0))/MAX(0.1,N(Parameter!$M$21)))</f>
        <v>0.166666666666667</v>
      </c>
      <c r="AQ143" s="57" t="n">
        <f aca="false">AN143*G143</f>
        <v>3276</v>
      </c>
      <c r="AR143" s="57" t="n">
        <f aca="false">ROUNDUP(MAX(J143/IF(BZ143&gt;0,BZ143,MAX(0.1,N(Cockpit!$I$6))),CC143)/BS143,0)*BS143</f>
        <v>50</v>
      </c>
      <c r="AS143" s="58" t="n">
        <f aca="false">IF(AP143&gt;0,J143/AP143,-1)</f>
        <v>48</v>
      </c>
      <c r="AT143" s="58" t="n">
        <f aca="false">IF(AND(OR(BY143="L1",BY143="L23"),AP143&gt;0),SUMIFS($AP$7:$AP$1843,$BY$7:$BY$1843,BY143,$AS$7:$AS$1843,"&gt;"&amp;AS143)+SUMIFS($AP$7:$AP$1843,$BY$7:$BY$1843,BY143,$AS$7:$AS$1843,AS143,$BQ$7:$BQ$1843,"&lt;="&amp;BQ143),"")</f>
        <v>67.9283892436067</v>
      </c>
      <c r="AU143" s="65" t="n">
        <f aca="false">IF(AT143="",0,MAX(0,MIN(1,(IF(BY143="L1",Parameter!$E$5,Parameter!$E$6+Parameter!$E$7)-(AT143-AP143))/AP143)))</f>
        <v>1</v>
      </c>
      <c r="AV143" s="57" t="n">
        <f aca="false">IF(LEFT(Cockpit!$O$5,1)="A",H143,IF(CA143=1,CB143,IF(LEFT(Cockpit!$O$5,1)="B",AZ143,MAX(AZ143,H143))))</f>
        <v>50</v>
      </c>
      <c r="AW143" s="57" t="n">
        <f aca="false">IF(BT143=1,0,ROUNDUP(AV143/BS143,0))</f>
        <v>1</v>
      </c>
      <c r="AX143" s="59" t="n">
        <f aca="false">IF(CH143&gt;0,CH143*MAX(1,AV143/X143),IF(BT143=1,IF(AV143&lt;=0,0,BW143*MAX(1,IF(H143&gt;0,AV143/H143,1))),IF(R143&gt;0,AW143/R143,0))/MAX(0.1,N(Parameter!$M$21)))</f>
        <v>0.166666666666667</v>
      </c>
      <c r="AY143" s="57" t="n">
        <f aca="false">AV143*G143</f>
        <v>3276</v>
      </c>
      <c r="AZ143" s="57" t="n">
        <f aca="false">ROUNDUP(MAX(J143/IF(BZ143&gt;0,BZ143,MAX(0.1,N(Cockpit!$O$6))),CC143)/BS143,0)*BS143</f>
        <v>50</v>
      </c>
      <c r="BA143" s="58" t="n">
        <f aca="false">IF(AX143&gt;0,J143/AX143,-1)</f>
        <v>48</v>
      </c>
      <c r="BB143" s="58" t="n">
        <f aca="false">IF(AND(OR(BY143="L1",BY143="L23"),AX143&gt;0),SUMIFS($AX$7:$AX$1843,$BY$7:$BY$1843,BY143,$BA$7:$BA$1843,"&gt;"&amp;BA143)+SUMIFS($AX$7:$AX$1843,$BY$7:$BY$1843,BY143,$BA$7:$BA$1843,BA143,$BQ$7:$BQ$1843,"&lt;="&amp;BQ143),"")</f>
        <v>62.4248927401101</v>
      </c>
      <c r="BC143" s="65" t="n">
        <f aca="false">IF(BB143="",0,MAX(0,MIN(1,(IF(BY143="L1",Parameter!$E$5,Parameter!$E$6+Parameter!$E$7)-(BB143-AX143))/AX143)))</f>
        <v>1</v>
      </c>
      <c r="BD143" s="55" t="str">
        <f aca="false">IF(AH143&lt;=0,"",IF(BY143="Aussen","Aussenlager",IF(BY143="-","Nicht im Lift",IF(AM143&gt;=1,"Lift",IF(AM143&lt;=0,"Aussenlager","teilweise")))))</f>
        <v>Lift</v>
      </c>
      <c r="BE143" s="55" t="str">
        <f aca="false">IF(AP143&lt;=0,"",IF(BY143="Aussen","Aussenlager",IF(BY143="-","Nicht im Lift",IF(AU143&gt;=1,"Lift",IF(AU143&lt;=0,"Aussenlager","teilweise")))))</f>
        <v>Lift</v>
      </c>
      <c r="BF143" s="55" t="str">
        <f aca="false">IF(AX143&lt;=0,"",IF(BY143="Aussen","Aussenlager",IF(BY143="-","Nicht im Lift",IF(BC143&gt;=1,"Lift",IF(BC143&lt;=0,"Aussenlager","teilweise")))))</f>
        <v>Lift</v>
      </c>
      <c r="BG143" s="55" t="str">
        <f aca="false">IF(A143="","",IF(BP143=1,"Neu; ","")&amp;IF(AND(BP143=0,BK143&lt;0),"negativer Bestand (Export "&amp;BK143&amp;"); ","")&amp;IF(J143&lt;=0,"Kein Verbrauch; ","")&amp;IF(CH143&gt;0,"Lift "&amp;W143&amp;" lt. Liftbericht (Fach "&amp;X143&amp;" Stk); ",IF(BU143=1,"Gebinde geschätzt ("&amp;T143&amp;"); ",IF(BT143=1,"Lose – Tablare geschätzt; ","")))&amp;IF(H143&gt;AR143,"Überbestand "&amp;ROUND(H143-AR143,0)&amp;" Stk / CHF "&amp;ROUND((H143-AR143)*G143,0)&amp;"; ","")&amp;IF(AND(CA143=1,CB143&lt;CC143),"MAX &lt; MB+LG; ","")&amp;IF(AND(CG143&gt;0,CF143*10&gt;CG143),"zu hoch für Tablar; ","")&amp;IF(AND(BP143=0,OR(CA143=1,AA143&lt;&gt;"",U143&lt;&gt;"",V143&lt;&gt;"",AB143&lt;&gt;"")),"manuell übersteuert; ","")&amp;IF(AND(BT143=0,R143=0),"Gebinde unbekannt / Stellmass fehlt; ","")&amp;IF(AND(BT143=0,N(V143)&lt;=0,N(Q143)&lt;=0),"Menge pro Gebinde fehlt (Ist = 1 Gebinde); ","")&amp;BO143)</f>
        <v/>
      </c>
      <c r="BH143" s="55"/>
      <c r="BI143" s="55"/>
      <c r="BJ143" s="62"/>
      <c r="BK143" s="57" t="n">
        <v>24</v>
      </c>
      <c r="BL143" s="57" t="n">
        <v>26</v>
      </c>
      <c r="BM143" s="56" t="n">
        <v>1431.56</v>
      </c>
      <c r="BN143" s="57" t="n">
        <v>8</v>
      </c>
      <c r="BO143" s="55"/>
      <c r="BP143" s="60" t="n">
        <v>0</v>
      </c>
      <c r="BQ143" s="60" t="n">
        <v>143</v>
      </c>
      <c r="BR143" s="55" t="str">
        <f aca="false">IF(U143&lt;&gt;"",UPPER(TRIM(U143)),IF(BU143=1,UPPER(VLOOKUP(T143,Parameter!$I$27:$K$29,2,0)),IF(P143="","LOSE",P143)))</f>
        <v>S71</v>
      </c>
      <c r="BS143" s="57" t="n">
        <f aca="false">IF(BR143="LOSE",1,IF(N(V143)&gt;0,V143,IF(BU143=1,MAX(1,N(VLOOKUP(T143,Parameter!$I$27:$K$29,3,0)),H143,N(N143)),IF(N(Q143)&gt;0,Q143,MAX(1,H143)))))</f>
        <v>50</v>
      </c>
      <c r="BT143" s="60" t="n">
        <f aca="false">IF(BR143="LOSE",1,0)</f>
        <v>0</v>
      </c>
      <c r="BU143" s="60" t="n">
        <f aca="false">IF(AND(U143="",OR(P143="",P143="LOSE"),T143&lt;&gt;"",N(S143)&lt;=0,ISNUMBER(MATCH(T143,Parameter!$I$27:$I$29,0))),1,0)</f>
        <v>0</v>
      </c>
      <c r="BV143" s="55" t="str">
        <f aca="false">IF(AND(Parameter!$B$19="Ja",E143&lt;&gt;"",ISNUMBER(MATCH(E143,Parameter!$I$35:$I$52,0))),VLOOKUP(E143,Parameter!$I$35:$J$52,2,0),IFERROR(VLOOKUP(D143,Parameter!$A$35:$C$64,2,0),"Nein"))</f>
        <v>2+3</v>
      </c>
      <c r="BW143" s="59" t="n">
        <f aca="false">IF(BT143=0,0,IF(N(S143)&gt;0,S143,IFERROR(VLOOKUP(D143,Parameter!$A$35:$C$64,3,0)+0,0)))</f>
        <v>0</v>
      </c>
      <c r="BX143" s="55" t="n">
        <f aca="false">IF(AA143&lt;&gt;"",AA143,Z143)</f>
        <v>2</v>
      </c>
      <c r="BY143" s="55" t="str">
        <f aca="false">IF(BX143=1,"L1",IF(OR(BX143=2,BX143=3),"L23",IF(BX143="Aussen","Aussen","-")))</f>
        <v>L23</v>
      </c>
      <c r="BZ143" s="66" t="n">
        <f aca="false">IF(N(AB143)&gt;0,AB143,0)</f>
        <v>0</v>
      </c>
      <c r="CA143" s="60" t="n">
        <f aca="false">IF(ISNUMBER(AE143),1,0)</f>
        <v>0</v>
      </c>
      <c r="CB143" s="57" t="n">
        <f aca="false">N(AE143)</f>
        <v>0</v>
      </c>
      <c r="CC143" s="57" t="n">
        <f aca="false">N(M143)+N(N143)</f>
        <v>10</v>
      </c>
      <c r="CD143" s="57" t="n">
        <f aca="false">ROUNDUP(H143/BS143,0)</f>
        <v>1</v>
      </c>
      <c r="CE143" s="57" t="n">
        <f aca="false">ROUNDUP(CB143/BS143,0)</f>
        <v>0</v>
      </c>
      <c r="CF143" s="60" t="n">
        <f aca="false">IF(BT143=1,0,IFERROR(VLOOKUP(BR143,'Gebinde-Kategorie'!$A$5:$M$45,5,0)+0,0))</f>
        <v>20</v>
      </c>
      <c r="CG143" s="60" t="n">
        <f aca="false">IFERROR(IF(OR(BX143=1,BX143=2,BX143=3),N(INDEX(Parameter!$I$5:$I$7,BX143)),0),0)</f>
        <v>0</v>
      </c>
      <c r="CH143" s="59" t="n">
        <f aca="false">IF(AND(Parameter!$B$21="Ja",ISNUMBER(W143),N(X143)&gt;0),IFERROR(N(INDEX(Parameter!$L$5:$L$7,W143))*INDEX(Parameter!$E$5:$E$7,W143)*X143/SUMIFS($X$7:$X$1843,$W$7:$W$1843,W143),0),0)</f>
        <v>0</v>
      </c>
    </row>
    <row r="144" customFormat="false" ht="15" hidden="false" customHeight="false" outlineLevel="0" collapsed="false">
      <c r="A144" s="55" t="s">
        <v>494</v>
      </c>
      <c r="B144" s="55" t="s">
        <v>495</v>
      </c>
      <c r="C144" s="55" t="s">
        <v>164</v>
      </c>
      <c r="D144" s="55" t="s">
        <v>184</v>
      </c>
      <c r="E144" s="55"/>
      <c r="F144" s="55" t="s">
        <v>218</v>
      </c>
      <c r="G144" s="56" t="n">
        <v>6.9</v>
      </c>
      <c r="H144" s="57" t="n">
        <f aca="false">MAX(0,IF(AND(Parameter!$B$21="Ja",ISNUMBER(Y144)),Y144,IF(Parameter!$B$20="Jahresanfang 2025 + Export",BL144+BK144,BK144)))</f>
        <v>207</v>
      </c>
      <c r="I144" s="57" t="n">
        <f aca="false">H144*G144</f>
        <v>1428.3</v>
      </c>
      <c r="J144" s="57" t="n">
        <f aca="false">BN144*Parameter!$B$18</f>
        <v>40</v>
      </c>
      <c r="K144" s="58" t="n">
        <v>8</v>
      </c>
      <c r="L144" s="59" t="n">
        <v>5</v>
      </c>
      <c r="M144" s="57" t="n">
        <v>1</v>
      </c>
      <c r="N144" s="57" t="n">
        <v>40</v>
      </c>
      <c r="O144" s="60" t="n">
        <v>14</v>
      </c>
      <c r="P144" s="55" t="s">
        <v>426</v>
      </c>
      <c r="Q144" s="57" t="n">
        <v>30</v>
      </c>
      <c r="R144" s="60" t="n">
        <f aca="false">IF(BT144=1,0,IFERROR(VLOOKUP(BR144,'Gebinde-Kategorie'!$A$5:$M$45,13,0)+0,0))</f>
        <v>198</v>
      </c>
      <c r="S144" s="61"/>
      <c r="T144" s="62"/>
      <c r="U144" s="62"/>
      <c r="V144" s="62"/>
      <c r="W144" s="55"/>
      <c r="X144" s="57"/>
      <c r="Y144" s="57"/>
      <c r="Z144" s="55" t="n">
        <f aca="false">IF(A144="","",IF(AND(Parameter!$B$21="Ja",ISNUMBER(W144)),W144,IF(BV144="2+3",IF(ISNUMBER(SEARCH("grosser Artikel",BO144)),2,IFERROR(VLOOKUP(BR144,Parameter!$F$35:$G$64,2,0),2)),IF(OR(BV144="Nein",BV144=""),"-",BV144))))</f>
        <v>3</v>
      </c>
      <c r="AA144" s="62"/>
      <c r="AB144" s="63"/>
      <c r="AC144" s="57" t="n">
        <f aca="false">AR144</f>
        <v>60</v>
      </c>
      <c r="AD144" s="57" t="n">
        <f aca="false">MAX(AR144,H144)</f>
        <v>207</v>
      </c>
      <c r="AE144" s="64"/>
      <c r="AF144" s="57" t="n">
        <f aca="false">IF(LEFT(Cockpit!$C$5,1)="A",H144,IF(CA144=1,CB144,IF(LEFT(Cockpit!$C$5,1)="B",AJ144,MAX(AJ144,H144))))</f>
        <v>207</v>
      </c>
      <c r="AG144" s="57" t="n">
        <f aca="false">IF(BT144=1,0,ROUNDUP(AF144/BS144,0))</f>
        <v>7</v>
      </c>
      <c r="AH144" s="59" t="n">
        <f aca="false">IF(CH144&gt;0,CH144*MAX(1,AF144/X144),IF(BT144=1,IF(AF144&lt;=0,0,BW144*MAX(1,IF(H144&gt;0,AF144/H144,1))),IF(R144&gt;0,AG144/R144,0))/MAX(0.1,N(Parameter!$M$21)))</f>
        <v>0.0353535353535354</v>
      </c>
      <c r="AI144" s="57" t="n">
        <f aca="false">AF144*G144</f>
        <v>1428.3</v>
      </c>
      <c r="AJ144" s="57" t="n">
        <f aca="false">ROUNDUP(MAX(J144/IF(BZ144&gt;0,BZ144,MAX(0.1,N(Cockpit!$C$6))),CC144)/BS144,0)*BS144</f>
        <v>60</v>
      </c>
      <c r="AK144" s="58" t="n">
        <f aca="false">IF(AH144&gt;0,J144/AH144,-1)</f>
        <v>1131.42857142857</v>
      </c>
      <c r="AL144" s="58" t="n">
        <f aca="false">IF(AND(OR(BY144="L1",BY144="L23"),AH144&gt;0),SUMIFS($AH$7:$AH$1843,$BY$7:$BY$1843,BY144,$AK$7:$AK$1843,"&gt;"&amp;AK144)+SUMIFS($AH$7:$AH$1843,$BY$7:$BY$1843,BY144,$AK$7:$AK$1843,AK144,$BQ$7:$BQ$1843,"&lt;="&amp;BQ144),"")</f>
        <v>17.0689757102801</v>
      </c>
      <c r="AM144" s="65" t="n">
        <f aca="false">IF(AL144="",0,MAX(0,MIN(1,(IF(BY144="L1",Parameter!$E$5,Parameter!$E$6+Parameter!$E$7)-(AL144-AH144))/AH144)))</f>
        <v>1</v>
      </c>
      <c r="AN144" s="57" t="n">
        <f aca="false">IF(LEFT(Cockpit!$I$5,1)="A",H144,IF(CA144=1,CB144,IF(LEFT(Cockpit!$I$5,1)="B",AR144,MAX(AR144,H144))))</f>
        <v>207</v>
      </c>
      <c r="AO144" s="57" t="n">
        <f aca="false">IF(BT144=1,0,ROUNDUP(AN144/BS144,0))</f>
        <v>7</v>
      </c>
      <c r="AP144" s="59" t="n">
        <f aca="false">IF(CH144&gt;0,CH144*MAX(1,AN144/X144),IF(BT144=1,IF(AN144&lt;=0,0,BW144*MAX(1,IF(H144&gt;0,AN144/H144,1))),IF(R144&gt;0,AO144/R144,0))/MAX(0.1,N(Parameter!$M$21)))</f>
        <v>0.0353535353535354</v>
      </c>
      <c r="AQ144" s="57" t="n">
        <f aca="false">AN144*G144</f>
        <v>1428.3</v>
      </c>
      <c r="AR144" s="57" t="n">
        <f aca="false">ROUNDUP(MAX(J144/IF(BZ144&gt;0,BZ144,MAX(0.1,N(Cockpit!$I$6))),CC144)/BS144,0)*BS144</f>
        <v>60</v>
      </c>
      <c r="AS144" s="58" t="n">
        <f aca="false">IF(AP144&gt;0,J144/AP144,-1)</f>
        <v>1131.42857142857</v>
      </c>
      <c r="AT144" s="58" t="n">
        <f aca="false">IF(AND(OR(BY144="L1",BY144="L23"),AP144&gt;0),SUMIFS($AP$7:$AP$1843,$BY$7:$BY$1843,BY144,$AS$7:$AS$1843,"&gt;"&amp;AS144)+SUMIFS($AP$7:$AP$1843,$BY$7:$BY$1843,BY144,$AS$7:$AS$1843,AS144,$BQ$7:$BQ$1843,"&lt;="&amp;BQ144),"")</f>
        <v>23.0587733522516</v>
      </c>
      <c r="AU144" s="65" t="n">
        <f aca="false">IF(AT144="",0,MAX(0,MIN(1,(IF(BY144="L1",Parameter!$E$5,Parameter!$E$6+Parameter!$E$7)-(AT144-AP144))/AP144)))</f>
        <v>1</v>
      </c>
      <c r="AV144" s="57" t="n">
        <f aca="false">IF(LEFT(Cockpit!$O$5,1)="A",H144,IF(CA144=1,CB144,IF(LEFT(Cockpit!$O$5,1)="B",AZ144,MAX(AZ144,H144))))</f>
        <v>207</v>
      </c>
      <c r="AW144" s="57" t="n">
        <f aca="false">IF(BT144=1,0,ROUNDUP(AV144/BS144,0))</f>
        <v>7</v>
      </c>
      <c r="AX144" s="59" t="n">
        <f aca="false">IF(CH144&gt;0,CH144*MAX(1,AV144/X144),IF(BT144=1,IF(AV144&lt;=0,0,BW144*MAX(1,IF(H144&gt;0,AV144/H144,1))),IF(R144&gt;0,AW144/R144,0))/MAX(0.1,N(Parameter!$M$21)))</f>
        <v>0.0353535353535354</v>
      </c>
      <c r="AY144" s="57" t="n">
        <f aca="false">AV144*G144</f>
        <v>1428.3</v>
      </c>
      <c r="AZ144" s="57" t="n">
        <f aca="false">ROUNDUP(MAX(J144/IF(BZ144&gt;0,BZ144,MAX(0.1,N(Cockpit!$O$6))),CC144)/BS144,0)*BS144</f>
        <v>60</v>
      </c>
      <c r="BA144" s="58" t="n">
        <f aca="false">IF(AX144&gt;0,J144/AX144,-1)</f>
        <v>1131.42857142857</v>
      </c>
      <c r="BB144" s="58" t="n">
        <f aca="false">IF(AND(OR(BY144="L1",BY144="L23"),AX144&gt;0),SUMIFS($AX$7:$AX$1843,$BY$7:$BY$1843,BY144,$BA$7:$BA$1843,"&gt;"&amp;BA144)+SUMIFS($AX$7:$AX$1843,$BY$7:$BY$1843,BY144,$BA$7:$BA$1843,BA144,$BQ$7:$BQ$1843,"&lt;="&amp;BQ144),"")</f>
        <v>22.0039947974731</v>
      </c>
      <c r="BC144" s="65" t="n">
        <f aca="false">IF(BB144="",0,MAX(0,MIN(1,(IF(BY144="L1",Parameter!$E$5,Parameter!$E$6+Parameter!$E$7)-(BB144-AX144))/AX144)))</f>
        <v>1</v>
      </c>
      <c r="BD144" s="55" t="str">
        <f aca="false">IF(AH144&lt;=0,"",IF(BY144="Aussen","Aussenlager",IF(BY144="-","Nicht im Lift",IF(AM144&gt;=1,"Lift",IF(AM144&lt;=0,"Aussenlager","teilweise")))))</f>
        <v>Lift</v>
      </c>
      <c r="BE144" s="55" t="str">
        <f aca="false">IF(AP144&lt;=0,"",IF(BY144="Aussen","Aussenlager",IF(BY144="-","Nicht im Lift",IF(AU144&gt;=1,"Lift",IF(AU144&lt;=0,"Aussenlager","teilweise")))))</f>
        <v>Lift</v>
      </c>
      <c r="BF144" s="55" t="str">
        <f aca="false">IF(AX144&lt;=0,"",IF(BY144="Aussen","Aussenlager",IF(BY144="-","Nicht im Lift",IF(BC144&gt;=1,"Lift",IF(BC144&lt;=0,"Aussenlager","teilweise")))))</f>
        <v>Lift</v>
      </c>
      <c r="BG144" s="55" t="str">
        <f aca="false">IF(A144="","",IF(BP144=1,"Neu; ","")&amp;IF(AND(BP144=0,BK144&lt;0),"negativer Bestand (Export "&amp;BK144&amp;"); ","")&amp;IF(J144&lt;=0,"Kein Verbrauch; ","")&amp;IF(CH144&gt;0,"Lift "&amp;W144&amp;" lt. Liftbericht (Fach "&amp;X144&amp;" Stk); ",IF(BU144=1,"Gebinde geschätzt ("&amp;T144&amp;"); ",IF(BT144=1,"Lose – Tablare geschätzt; ","")))&amp;IF(H144&gt;AR144,"Überbestand "&amp;ROUND(H144-AR144,0)&amp;" Stk / CHF "&amp;ROUND((H144-AR144)*G144,0)&amp;"; ","")&amp;IF(AND(CA144=1,CB144&lt;CC144),"MAX &lt; MB+LG; ","")&amp;IF(AND(CG144&gt;0,CF144*10&gt;CG144),"zu hoch für Tablar; ","")&amp;IF(AND(BP144=0,OR(CA144=1,AA144&lt;&gt;"",U144&lt;&gt;"",V144&lt;&gt;"",AB144&lt;&gt;"")),"manuell übersteuert; ","")&amp;IF(AND(BT144=0,R144=0),"Gebinde unbekannt / Stellmass fehlt; ","")&amp;IF(AND(BT144=0,N(V144)&lt;=0,N(Q144)&lt;=0),"Menge pro Gebinde fehlt (Ist = 1 Gebinde); ","")&amp;BO144)</f>
        <v>Überbestand 147 Stk / CHF 1014; </v>
      </c>
      <c r="BH144" s="55"/>
      <c r="BI144" s="55"/>
      <c r="BJ144" s="62"/>
      <c r="BK144" s="57" t="n">
        <v>207</v>
      </c>
      <c r="BL144" s="57" t="n">
        <v>0</v>
      </c>
      <c r="BM144" s="56" t="n">
        <v>1428.28</v>
      </c>
      <c r="BN144" s="57" t="n">
        <v>40</v>
      </c>
      <c r="BO144" s="55"/>
      <c r="BP144" s="60" t="n">
        <v>0</v>
      </c>
      <c r="BQ144" s="60" t="n">
        <v>144</v>
      </c>
      <c r="BR144" s="55" t="str">
        <f aca="false">IF(U144&lt;&gt;"",UPPER(TRIM(U144)),IF(BU144=1,UPPER(VLOOKUP(T144,Parameter!$I$27:$K$29,2,0)),IF(P144="","LOSE",P144)))</f>
        <v>S22</v>
      </c>
      <c r="BS144" s="57" t="n">
        <f aca="false">IF(BR144="LOSE",1,IF(N(V144)&gt;0,V144,IF(BU144=1,MAX(1,N(VLOOKUP(T144,Parameter!$I$27:$K$29,3,0)),H144,N(N144)),IF(N(Q144)&gt;0,Q144,MAX(1,H144)))))</f>
        <v>30</v>
      </c>
      <c r="BT144" s="60" t="n">
        <f aca="false">IF(BR144="LOSE",1,0)</f>
        <v>0</v>
      </c>
      <c r="BU144" s="60" t="n">
        <f aca="false">IF(AND(U144="",OR(P144="",P144="LOSE"),T144&lt;&gt;"",N(S144)&lt;=0,ISNUMBER(MATCH(T144,Parameter!$I$27:$I$29,0))),1,0)</f>
        <v>0</v>
      </c>
      <c r="BV144" s="55" t="str">
        <f aca="false">IF(AND(Parameter!$B$19="Ja",E144&lt;&gt;"",ISNUMBER(MATCH(E144,Parameter!$I$35:$I$52,0))),VLOOKUP(E144,Parameter!$I$35:$J$52,2,0),IFERROR(VLOOKUP(D144,Parameter!$A$35:$C$64,2,0),"Nein"))</f>
        <v>2+3</v>
      </c>
      <c r="BW144" s="59" t="n">
        <f aca="false">IF(BT144=0,0,IF(N(S144)&gt;0,S144,IFERROR(VLOOKUP(D144,Parameter!$A$35:$C$64,3,0)+0,0)))</f>
        <v>0</v>
      </c>
      <c r="BX144" s="55" t="n">
        <f aca="false">IF(AA144&lt;&gt;"",AA144,Z144)</f>
        <v>3</v>
      </c>
      <c r="BY144" s="55" t="str">
        <f aca="false">IF(BX144=1,"L1",IF(OR(BX144=2,BX144=3),"L23",IF(BX144="Aussen","Aussen","-")))</f>
        <v>L23</v>
      </c>
      <c r="BZ144" s="66" t="n">
        <f aca="false">IF(N(AB144)&gt;0,AB144,0)</f>
        <v>0</v>
      </c>
      <c r="CA144" s="60" t="n">
        <f aca="false">IF(ISNUMBER(AE144),1,0)</f>
        <v>0</v>
      </c>
      <c r="CB144" s="57" t="n">
        <f aca="false">N(AE144)</f>
        <v>0</v>
      </c>
      <c r="CC144" s="57" t="n">
        <f aca="false">N(M144)+N(N144)</f>
        <v>41</v>
      </c>
      <c r="CD144" s="57" t="n">
        <f aca="false">ROUNDUP(H144/BS144,0)</f>
        <v>7</v>
      </c>
      <c r="CE144" s="57" t="n">
        <f aca="false">ROUNDUP(CB144/BS144,0)</f>
        <v>0</v>
      </c>
      <c r="CF144" s="60" t="n">
        <f aca="false">IF(BT144=1,0,IFERROR(VLOOKUP(BR144,'Gebinde-Kategorie'!$A$5:$M$45,5,0)+0,0))</f>
        <v>8</v>
      </c>
      <c r="CG144" s="60" t="n">
        <f aca="false">IFERROR(IF(OR(BX144=1,BX144=2,BX144=3),N(INDEX(Parameter!$I$5:$I$7,BX144)),0),0)</f>
        <v>0</v>
      </c>
      <c r="CH144" s="59" t="n">
        <f aca="false">IF(AND(Parameter!$B$21="Ja",ISNUMBER(W144),N(X144)&gt;0),IFERROR(N(INDEX(Parameter!$L$5:$L$7,W144))*INDEX(Parameter!$E$5:$E$7,W144)*X144/SUMIFS($X$7:$X$1843,$W$7:$W$1843,W144),0),0)</f>
        <v>0</v>
      </c>
    </row>
    <row r="145" customFormat="false" ht="15" hidden="false" customHeight="false" outlineLevel="0" collapsed="false">
      <c r="A145" s="55" t="s">
        <v>496</v>
      </c>
      <c r="B145" s="55" t="s">
        <v>497</v>
      </c>
      <c r="C145" s="55" t="s">
        <v>164</v>
      </c>
      <c r="D145" s="55" t="s">
        <v>184</v>
      </c>
      <c r="E145" s="55" t="s">
        <v>185</v>
      </c>
      <c r="F145" s="55" t="s">
        <v>218</v>
      </c>
      <c r="G145" s="56" t="n">
        <v>8.71</v>
      </c>
      <c r="H145" s="57" t="n">
        <f aca="false">MAX(0,IF(AND(Parameter!$B$21="Ja",ISNUMBER(Y145)),Y145,IF(Parameter!$B$20="Jahresanfang 2025 + Export",BL145+BK145,BK145)))</f>
        <v>197</v>
      </c>
      <c r="I145" s="57" t="n">
        <f aca="false">H145*G145</f>
        <v>1715.87</v>
      </c>
      <c r="J145" s="57" t="n">
        <f aca="false">BN145*Parameter!$B$18</f>
        <v>134</v>
      </c>
      <c r="K145" s="58" t="n">
        <v>86</v>
      </c>
      <c r="L145" s="59" t="n">
        <v>1.55813953488372</v>
      </c>
      <c r="M145" s="57" t="n">
        <v>20</v>
      </c>
      <c r="N145" s="57" t="n">
        <v>135</v>
      </c>
      <c r="O145" s="60" t="n">
        <v>56</v>
      </c>
      <c r="P145" s="55" t="s">
        <v>421</v>
      </c>
      <c r="Q145" s="57" t="n">
        <v>91</v>
      </c>
      <c r="R145" s="60" t="n">
        <f aca="false">IF(BT145=1,0,IFERROR(VLOOKUP(BR145,'Gebinde-Kategorie'!$A$5:$M$45,13,0)+0,0))</f>
        <v>132</v>
      </c>
      <c r="S145" s="61"/>
      <c r="T145" s="62"/>
      <c r="U145" s="62"/>
      <c r="V145" s="62"/>
      <c r="W145" s="55"/>
      <c r="X145" s="57"/>
      <c r="Y145" s="57"/>
      <c r="Z145" s="55" t="n">
        <f aca="false">IF(A145="","",IF(AND(Parameter!$B$21="Ja",ISNUMBER(W145)),W145,IF(BV145="2+3",IF(ISNUMBER(SEARCH("grosser Artikel",BO145)),2,IFERROR(VLOOKUP(BR145,Parameter!$F$35:$G$64,2,0),2)),IF(OR(BV145="Nein",BV145=""),"-",BV145))))</f>
        <v>3</v>
      </c>
      <c r="AA145" s="62"/>
      <c r="AB145" s="63"/>
      <c r="AC145" s="57" t="n">
        <f aca="false">AR145</f>
        <v>182</v>
      </c>
      <c r="AD145" s="57" t="n">
        <f aca="false">MAX(AR145,H145)</f>
        <v>197</v>
      </c>
      <c r="AE145" s="64"/>
      <c r="AF145" s="57" t="n">
        <f aca="false">IF(LEFT(Cockpit!$C$5,1)="A",H145,IF(CA145=1,CB145,IF(LEFT(Cockpit!$C$5,1)="B",AJ145,MAX(AJ145,H145))))</f>
        <v>197</v>
      </c>
      <c r="AG145" s="57" t="n">
        <f aca="false">IF(BT145=1,0,ROUNDUP(AF145/BS145,0))</f>
        <v>3</v>
      </c>
      <c r="AH145" s="59" t="n">
        <f aca="false">IF(CH145&gt;0,CH145*MAX(1,AF145/X145),IF(BT145=1,IF(AF145&lt;=0,0,BW145*MAX(1,IF(H145&gt;0,AF145/H145,1))),IF(R145&gt;0,AG145/R145,0))/MAX(0.1,N(Parameter!$M$21)))</f>
        <v>0.0227272727272727</v>
      </c>
      <c r="AI145" s="57" t="n">
        <f aca="false">AF145*G145</f>
        <v>1715.87</v>
      </c>
      <c r="AJ145" s="57" t="n">
        <f aca="false">ROUNDUP(MAX(J145/IF(BZ145&gt;0,BZ145,MAX(0.1,N(Cockpit!$C$6))),CC145)/BS145,0)*BS145</f>
        <v>182</v>
      </c>
      <c r="AK145" s="58" t="n">
        <f aca="false">IF(AH145&gt;0,J145/AH145,-1)</f>
        <v>5896</v>
      </c>
      <c r="AL145" s="58" t="n">
        <f aca="false">IF(AND(OR(BY145="L1",BY145="L23"),AH145&gt;0),SUMIFS($AH$7:$AH$1843,$BY$7:$BY$1843,BY145,$AK$7:$AK$1843,"&gt;"&amp;AK145)+SUMIFS($AH$7:$AH$1843,$BY$7:$BY$1843,BY145,$AK$7:$AK$1843,AK145,$BQ$7:$BQ$1843,"&lt;="&amp;BQ145),"")</f>
        <v>6.64978379108814</v>
      </c>
      <c r="AM145" s="65" t="n">
        <f aca="false">IF(AL145="",0,MAX(0,MIN(1,(IF(BY145="L1",Parameter!$E$5,Parameter!$E$6+Parameter!$E$7)-(AL145-AH145))/AH145)))</f>
        <v>1</v>
      </c>
      <c r="AN145" s="57" t="n">
        <f aca="false">IF(LEFT(Cockpit!$I$5,1)="A",H145,IF(CA145=1,CB145,IF(LEFT(Cockpit!$I$5,1)="B",AR145,MAX(AR145,H145))))</f>
        <v>197</v>
      </c>
      <c r="AO145" s="57" t="n">
        <f aca="false">IF(BT145=1,0,ROUNDUP(AN145/BS145,0))</f>
        <v>3</v>
      </c>
      <c r="AP145" s="59" t="n">
        <f aca="false">IF(CH145&gt;0,CH145*MAX(1,AN145/X145),IF(BT145=1,IF(AN145&lt;=0,0,BW145*MAX(1,IF(H145&gt;0,AN145/H145,1))),IF(R145&gt;0,AO145/R145,0))/MAX(0.1,N(Parameter!$M$21)))</f>
        <v>0.0227272727272727</v>
      </c>
      <c r="AQ145" s="57" t="n">
        <f aca="false">AN145*G145</f>
        <v>1715.87</v>
      </c>
      <c r="AR145" s="57" t="n">
        <f aca="false">ROUNDUP(MAX(J145/IF(BZ145&gt;0,BZ145,MAX(0.1,N(Cockpit!$I$6))),CC145)/BS145,0)*BS145</f>
        <v>182</v>
      </c>
      <c r="AS145" s="58" t="n">
        <f aca="false">IF(AP145&gt;0,J145/AP145,-1)</f>
        <v>5896</v>
      </c>
      <c r="AT145" s="58" t="n">
        <f aca="false">IF(AND(OR(BY145="L1",BY145="L23"),AP145&gt;0),SUMIFS($AP$7:$AP$1843,$BY$7:$BY$1843,BY145,$AS$7:$AS$1843,"&gt;"&amp;AS145)+SUMIFS($AP$7:$AP$1843,$BY$7:$BY$1843,BY145,$AS$7:$AS$1843,AS145,$BQ$7:$BQ$1843,"&lt;="&amp;BQ145),"")</f>
        <v>11.4796628492281</v>
      </c>
      <c r="AU145" s="65" t="n">
        <f aca="false">IF(AT145="",0,MAX(0,MIN(1,(IF(BY145="L1",Parameter!$E$5,Parameter!$E$6+Parameter!$E$7)-(AT145-AP145))/AP145)))</f>
        <v>1</v>
      </c>
      <c r="AV145" s="57" t="n">
        <f aca="false">IF(LEFT(Cockpit!$O$5,1)="A",H145,IF(CA145=1,CB145,IF(LEFT(Cockpit!$O$5,1)="B",AZ145,MAX(AZ145,H145))))</f>
        <v>197</v>
      </c>
      <c r="AW145" s="57" t="n">
        <f aca="false">IF(BT145=1,0,ROUNDUP(AV145/BS145,0))</f>
        <v>3</v>
      </c>
      <c r="AX145" s="59" t="n">
        <f aca="false">IF(CH145&gt;0,CH145*MAX(1,AV145/X145),IF(BT145=1,IF(AV145&lt;=0,0,BW145*MAX(1,IF(H145&gt;0,AV145/H145,1))),IF(R145&gt;0,AW145/R145,0))/MAX(0.1,N(Parameter!$M$21)))</f>
        <v>0.0227272727272727</v>
      </c>
      <c r="AY145" s="57" t="n">
        <f aca="false">AV145*G145</f>
        <v>1715.87</v>
      </c>
      <c r="AZ145" s="57" t="n">
        <f aca="false">ROUNDUP(MAX(J145/IF(BZ145&gt;0,BZ145,MAX(0.1,N(Cockpit!$O$6))),CC145)/BS145,0)*BS145</f>
        <v>182</v>
      </c>
      <c r="BA145" s="58" t="n">
        <f aca="false">IF(AX145&gt;0,J145/AX145,-1)</f>
        <v>5896</v>
      </c>
      <c r="BB145" s="58" t="n">
        <f aca="false">IF(AND(OR(BY145="L1",BY145="L23"),AX145&gt;0),SUMIFS($AX$7:$AX$1843,$BY$7:$BY$1843,BY145,$BA$7:$BA$1843,"&gt;"&amp;BA145)+SUMIFS($AX$7:$AX$1843,$BY$7:$BY$1843,BY145,$BA$7:$BA$1843,BA145,$BQ$7:$BQ$1843,"&lt;="&amp;BQ145),"")</f>
        <v>10.162063781629</v>
      </c>
      <c r="BC145" s="65" t="n">
        <f aca="false">IF(BB145="",0,MAX(0,MIN(1,(IF(BY145="L1",Parameter!$E$5,Parameter!$E$6+Parameter!$E$7)-(BB145-AX145))/AX145)))</f>
        <v>1</v>
      </c>
      <c r="BD145" s="55" t="str">
        <f aca="false">IF(AH145&lt;=0,"",IF(BY145="Aussen","Aussenlager",IF(BY145="-","Nicht im Lift",IF(AM145&gt;=1,"Lift",IF(AM145&lt;=0,"Aussenlager","teilweise")))))</f>
        <v>Lift</v>
      </c>
      <c r="BE145" s="55" t="str">
        <f aca="false">IF(AP145&lt;=0,"",IF(BY145="Aussen","Aussenlager",IF(BY145="-","Nicht im Lift",IF(AU145&gt;=1,"Lift",IF(AU145&lt;=0,"Aussenlager","teilweise")))))</f>
        <v>Lift</v>
      </c>
      <c r="BF145" s="55" t="str">
        <f aca="false">IF(AX145&lt;=0,"",IF(BY145="Aussen","Aussenlager",IF(BY145="-","Nicht im Lift",IF(BC145&gt;=1,"Lift",IF(BC145&lt;=0,"Aussenlager","teilweise")))))</f>
        <v>Lift</v>
      </c>
      <c r="BG145" s="55" t="str">
        <f aca="false">IF(A145="","",IF(BP145=1,"Neu; ","")&amp;IF(AND(BP145=0,BK145&lt;0),"negativer Bestand (Export "&amp;BK145&amp;"); ","")&amp;IF(J145&lt;=0,"Kein Verbrauch; ","")&amp;IF(CH145&gt;0,"Lift "&amp;W145&amp;" lt. Liftbericht (Fach "&amp;X145&amp;" Stk); ",IF(BU145=1,"Gebinde geschätzt ("&amp;T145&amp;"); ",IF(BT145=1,"Lose – Tablare geschätzt; ","")))&amp;IF(H145&gt;AR145,"Überbestand "&amp;ROUND(H145-AR145,0)&amp;" Stk / CHF "&amp;ROUND((H145-AR145)*G145,0)&amp;"; ","")&amp;IF(AND(CA145=1,CB145&lt;CC145),"MAX &lt; MB+LG; ","")&amp;IF(AND(CG145&gt;0,CF145*10&gt;CG145),"zu hoch für Tablar; ","")&amp;IF(AND(BP145=0,OR(CA145=1,AA145&lt;&gt;"",U145&lt;&gt;"",V145&lt;&gt;"",AB145&lt;&gt;"")),"manuell übersteuert; ","")&amp;IF(AND(BT145=0,R145=0),"Gebinde unbekannt / Stellmass fehlt; ","")&amp;IF(AND(BT145=0,N(V145)&lt;=0,N(Q145)&lt;=0),"Menge pro Gebinde fehlt (Ist = 1 Gebinde); ","")&amp;BO145)</f>
        <v>Überbestand 15 Stk / CHF 131; </v>
      </c>
      <c r="BH145" s="55"/>
      <c r="BI145" s="55"/>
      <c r="BJ145" s="62"/>
      <c r="BK145" s="57" t="n">
        <v>165</v>
      </c>
      <c r="BL145" s="57" t="n">
        <v>32</v>
      </c>
      <c r="BM145" s="56" t="n">
        <v>1394.19</v>
      </c>
      <c r="BN145" s="57" t="n">
        <v>134</v>
      </c>
      <c r="BO145" s="55"/>
      <c r="BP145" s="60" t="n">
        <v>0</v>
      </c>
      <c r="BQ145" s="60" t="n">
        <v>145</v>
      </c>
      <c r="BR145" s="55" t="str">
        <f aca="false">IF(U145&lt;&gt;"",UPPER(TRIM(U145)),IF(BU145=1,UPPER(VLOOKUP(T145,Parameter!$I$27:$K$29,2,0)),IF(P145="","LOSE",P145)))</f>
        <v>S32</v>
      </c>
      <c r="BS145" s="57" t="n">
        <f aca="false">IF(BR145="LOSE",1,IF(N(V145)&gt;0,V145,IF(BU145=1,MAX(1,N(VLOOKUP(T145,Parameter!$I$27:$K$29,3,0)),H145,N(N145)),IF(N(Q145)&gt;0,Q145,MAX(1,H145)))))</f>
        <v>91</v>
      </c>
      <c r="BT145" s="60" t="n">
        <f aca="false">IF(BR145="LOSE",1,0)</f>
        <v>0</v>
      </c>
      <c r="BU145" s="60" t="n">
        <f aca="false">IF(AND(U145="",OR(P145="",P145="LOSE"),T145&lt;&gt;"",N(S145)&lt;=0,ISNUMBER(MATCH(T145,Parameter!$I$27:$I$29,0))),1,0)</f>
        <v>0</v>
      </c>
      <c r="BV145" s="55" t="str">
        <f aca="false">IF(AND(Parameter!$B$19="Ja",E145&lt;&gt;"",ISNUMBER(MATCH(E145,Parameter!$I$35:$I$52,0))),VLOOKUP(E145,Parameter!$I$35:$J$52,2,0),IFERROR(VLOOKUP(D145,Parameter!$A$35:$C$64,2,0),"Nein"))</f>
        <v>2+3</v>
      </c>
      <c r="BW145" s="59" t="n">
        <f aca="false">IF(BT145=0,0,IF(N(S145)&gt;0,S145,IFERROR(VLOOKUP(D145,Parameter!$A$35:$C$64,3,0)+0,0)))</f>
        <v>0</v>
      </c>
      <c r="BX145" s="55" t="n">
        <f aca="false">IF(AA145&lt;&gt;"",AA145,Z145)</f>
        <v>3</v>
      </c>
      <c r="BY145" s="55" t="str">
        <f aca="false">IF(BX145=1,"L1",IF(OR(BX145=2,BX145=3),"L23",IF(BX145="Aussen","Aussen","-")))</f>
        <v>L23</v>
      </c>
      <c r="BZ145" s="66" t="n">
        <f aca="false">IF(N(AB145)&gt;0,AB145,0)</f>
        <v>0</v>
      </c>
      <c r="CA145" s="60" t="n">
        <f aca="false">IF(ISNUMBER(AE145),1,0)</f>
        <v>0</v>
      </c>
      <c r="CB145" s="57" t="n">
        <f aca="false">N(AE145)</f>
        <v>0</v>
      </c>
      <c r="CC145" s="57" t="n">
        <f aca="false">N(M145)+N(N145)</f>
        <v>155</v>
      </c>
      <c r="CD145" s="57" t="n">
        <f aca="false">ROUNDUP(H145/BS145,0)</f>
        <v>3</v>
      </c>
      <c r="CE145" s="57" t="n">
        <f aca="false">ROUNDUP(CB145/BS145,0)</f>
        <v>0</v>
      </c>
      <c r="CF145" s="60" t="n">
        <f aca="false">IF(BT145=1,0,IFERROR(VLOOKUP(BR145,'Gebinde-Kategorie'!$A$5:$M$45,5,0)+0,0))</f>
        <v>8</v>
      </c>
      <c r="CG145" s="60" t="n">
        <f aca="false">IFERROR(IF(OR(BX145=1,BX145=2,BX145=3),N(INDEX(Parameter!$I$5:$I$7,BX145)),0),0)</f>
        <v>0</v>
      </c>
      <c r="CH145" s="59" t="n">
        <f aca="false">IF(AND(Parameter!$B$21="Ja",ISNUMBER(W145),N(X145)&gt;0),IFERROR(N(INDEX(Parameter!$L$5:$L$7,W145))*INDEX(Parameter!$E$5:$E$7,W145)*X145/SUMIFS($X$7:$X$1843,$W$7:$W$1843,W145),0),0)</f>
        <v>0</v>
      </c>
    </row>
    <row r="146" customFormat="false" ht="15" hidden="false" customHeight="false" outlineLevel="0" collapsed="false">
      <c r="A146" s="55" t="s">
        <v>498</v>
      </c>
      <c r="B146" s="55" t="s">
        <v>499</v>
      </c>
      <c r="C146" s="55" t="s">
        <v>164</v>
      </c>
      <c r="D146" s="55" t="s">
        <v>173</v>
      </c>
      <c r="E146" s="55"/>
      <c r="F146" s="55" t="s">
        <v>218</v>
      </c>
      <c r="G146" s="56" t="n">
        <v>1394</v>
      </c>
      <c r="H146" s="57" t="n">
        <f aca="false">MAX(0,IF(AND(Parameter!$B$21="Ja",ISNUMBER(Y146)),Y146,IF(Parameter!$B$20="Jahresanfang 2025 + Export",BL146+BK146,BK146)))</f>
        <v>1</v>
      </c>
      <c r="I146" s="57" t="n">
        <f aca="false">H146*G146</f>
        <v>1394</v>
      </c>
      <c r="J146" s="57" t="n">
        <f aca="false">BN146*Parameter!$B$18</f>
        <v>0</v>
      </c>
      <c r="K146" s="58" t="n">
        <v>1</v>
      </c>
      <c r="L146" s="59" t="n">
        <v>0</v>
      </c>
      <c r="M146" s="57" t="n">
        <v>0</v>
      </c>
      <c r="N146" s="57" t="n">
        <v>1</v>
      </c>
      <c r="O146" s="60" t="n">
        <v>70</v>
      </c>
      <c r="P146" s="55" t="s">
        <v>302</v>
      </c>
      <c r="Q146" s="57" t="n">
        <v>2</v>
      </c>
      <c r="R146" s="60" t="n">
        <f aca="false">IF(BT146=1,0,IFERROR(VLOOKUP(BR146,'Gebinde-Kategorie'!$A$5:$M$45,13,0)+0,0))</f>
        <v>26</v>
      </c>
      <c r="S146" s="61"/>
      <c r="T146" s="62"/>
      <c r="U146" s="62"/>
      <c r="V146" s="62"/>
      <c r="W146" s="55"/>
      <c r="X146" s="57"/>
      <c r="Y146" s="57"/>
      <c r="Z146" s="55" t="n">
        <f aca="false">IF(A146="","",IF(AND(Parameter!$B$21="Ja",ISNUMBER(W146)),W146,IF(BV146="2+3",IF(ISNUMBER(SEARCH("grosser Artikel",BO146)),2,IFERROR(VLOOKUP(BR146,Parameter!$F$35:$G$64,2,0),2)),IF(OR(BV146="Nein",BV146=""),"-",BV146))))</f>
        <v>3</v>
      </c>
      <c r="AA146" s="62"/>
      <c r="AB146" s="63"/>
      <c r="AC146" s="57" t="n">
        <f aca="false">AR146</f>
        <v>2</v>
      </c>
      <c r="AD146" s="57" t="n">
        <f aca="false">MAX(AR146,H146)</f>
        <v>2</v>
      </c>
      <c r="AE146" s="64"/>
      <c r="AF146" s="57" t="n">
        <f aca="false">IF(LEFT(Cockpit!$C$5,1)="A",H146,IF(CA146=1,CB146,IF(LEFT(Cockpit!$C$5,1)="B",AJ146,MAX(AJ146,H146))))</f>
        <v>1</v>
      </c>
      <c r="AG146" s="57" t="n">
        <f aca="false">IF(BT146=1,0,ROUNDUP(AF146/BS146,0))</f>
        <v>1</v>
      </c>
      <c r="AH146" s="59" t="n">
        <f aca="false">IF(CH146&gt;0,CH146*MAX(1,AF146/X146),IF(BT146=1,IF(AF146&lt;=0,0,BW146*MAX(1,IF(H146&gt;0,AF146/H146,1))),IF(R146&gt;0,AG146/R146,0))/MAX(0.1,N(Parameter!$M$21)))</f>
        <v>0.0384615384615385</v>
      </c>
      <c r="AI146" s="57" t="n">
        <f aca="false">AF146*G146</f>
        <v>1394</v>
      </c>
      <c r="AJ146" s="57" t="n">
        <f aca="false">ROUNDUP(MAX(J146/IF(BZ146&gt;0,BZ146,MAX(0.1,N(Cockpit!$C$6))),CC146)/BS146,0)*BS146</f>
        <v>2</v>
      </c>
      <c r="AK146" s="58" t="n">
        <f aca="false">IF(AH146&gt;0,J146/AH146,-1)</f>
        <v>0</v>
      </c>
      <c r="AL146" s="58" t="n">
        <f aca="false">IF(AND(OR(BY146="L1",BY146="L23"),AH146&gt;0),SUMIFS($AH$7:$AH$1843,$BY$7:$BY$1843,BY146,$AK$7:$AK$1843,"&gt;"&amp;AK146)+SUMIFS($AH$7:$AH$1843,$BY$7:$BY$1843,BY146,$AK$7:$AK$1843,AK146,$BQ$7:$BQ$1843,"&lt;="&amp;BQ146),"")</f>
        <v>69.1957957501436</v>
      </c>
      <c r="AM146" s="65" t="n">
        <f aca="false">IF(AL146="",0,MAX(0,MIN(1,(IF(BY146="L1",Parameter!$E$5,Parameter!$E$6+Parameter!$E$7)-(AL146-AH146))/AH146)))</f>
        <v>1</v>
      </c>
      <c r="AN146" s="57" t="n">
        <f aca="false">IF(LEFT(Cockpit!$I$5,1)="A",H146,IF(CA146=1,CB146,IF(LEFT(Cockpit!$I$5,1)="B",AR146,MAX(AR146,H146))))</f>
        <v>2</v>
      </c>
      <c r="AO146" s="57" t="n">
        <f aca="false">IF(BT146=1,0,ROUNDUP(AN146/BS146,0))</f>
        <v>1</v>
      </c>
      <c r="AP146" s="59" t="n">
        <f aca="false">IF(CH146&gt;0,CH146*MAX(1,AN146/X146),IF(BT146=1,IF(AN146&lt;=0,0,BW146*MAX(1,IF(H146&gt;0,AN146/H146,1))),IF(R146&gt;0,AO146/R146,0))/MAX(0.1,N(Parameter!$M$21)))</f>
        <v>0.0384615384615385</v>
      </c>
      <c r="AQ146" s="57" t="n">
        <f aca="false">AN146*G146</f>
        <v>2788</v>
      </c>
      <c r="AR146" s="57" t="n">
        <f aca="false">ROUNDUP(MAX(J146/IF(BZ146&gt;0,BZ146,MAX(0.1,N(Cockpit!$I$6))),CC146)/BS146,0)*BS146</f>
        <v>2</v>
      </c>
      <c r="AS146" s="58" t="n">
        <f aca="false">IF(AP146&gt;0,J146/AP146,-1)</f>
        <v>0</v>
      </c>
      <c r="AT146" s="58" t="n">
        <f aca="false">IF(AND(OR(BY146="L1",BY146="L23"),AP146&gt;0),SUMIFS($AP$7:$AP$1843,$BY$7:$BY$1843,BY146,$AS$7:$AS$1843,"&gt;"&amp;AS146)+SUMIFS($AP$7:$AP$1843,$BY$7:$BY$1843,BY146,$AS$7:$AS$1843,AS146,$BQ$7:$BQ$1843,"&lt;="&amp;BQ146),"")</f>
        <v>108.619919935137</v>
      </c>
      <c r="AU146" s="65" t="n">
        <f aca="false">IF(AT146="",0,MAX(0,MIN(1,(IF(BY146="L1",Parameter!$E$5,Parameter!$E$6+Parameter!$E$7)-(AT146-AP146))/AP146)))</f>
        <v>0</v>
      </c>
      <c r="AV146" s="57" t="n">
        <f aca="false">IF(LEFT(Cockpit!$O$5,1)="A",H146,IF(CA146=1,CB146,IF(LEFT(Cockpit!$O$5,1)="B",AZ146,MAX(AZ146,H146))))</f>
        <v>2</v>
      </c>
      <c r="AW146" s="57" t="n">
        <f aca="false">IF(BT146=1,0,ROUNDUP(AV146/BS146,0))</f>
        <v>1</v>
      </c>
      <c r="AX146" s="59" t="n">
        <f aca="false">IF(CH146&gt;0,CH146*MAX(1,AV146/X146),IF(BT146=1,IF(AV146&lt;=0,0,BW146*MAX(1,IF(H146&gt;0,AV146/H146,1))),IF(R146&gt;0,AW146/R146,0))/MAX(0.1,N(Parameter!$M$21)))</f>
        <v>0.0384615384615385</v>
      </c>
      <c r="AY146" s="57" t="n">
        <f aca="false">AV146*G146</f>
        <v>2788</v>
      </c>
      <c r="AZ146" s="57" t="n">
        <f aca="false">ROUNDUP(MAX(J146/IF(BZ146&gt;0,BZ146,MAX(0.1,N(Cockpit!$O$6))),CC146)/BS146,0)*BS146</f>
        <v>2</v>
      </c>
      <c r="BA146" s="58" t="n">
        <f aca="false">IF(AX146&gt;0,J146/AX146,-1)</f>
        <v>0</v>
      </c>
      <c r="BB146" s="58" t="n">
        <f aca="false">IF(AND(OR(BY146="L1",BY146="L23"),AX146&gt;0),SUMIFS($AX$7:$AX$1843,$BY$7:$BY$1843,BY146,$BA$7:$BA$1843,"&gt;"&amp;BA146)+SUMIFS($AX$7:$AX$1843,$BY$7:$BY$1843,BY146,$BA$7:$BA$1843,BA146,$BQ$7:$BQ$1843,"&lt;="&amp;BQ146),"")</f>
        <v>99.4497567649742</v>
      </c>
      <c r="BC146" s="65" t="n">
        <f aca="false">IF(BB146="",0,MAX(0,MIN(1,(IF(BY146="L1",Parameter!$E$5,Parameter!$E$6+Parameter!$E$7)-(BB146-AX146))/AX146)))</f>
        <v>1</v>
      </c>
      <c r="BD146" s="55" t="str">
        <f aca="false">IF(AH146&lt;=0,"",IF(BY146="Aussen","Aussenlager",IF(BY146="-","Nicht im Lift",IF(AM146&gt;=1,"Lift",IF(AM146&lt;=0,"Aussenlager","teilweise")))))</f>
        <v>Lift</v>
      </c>
      <c r="BE146" s="55" t="str">
        <f aca="false">IF(AP146&lt;=0,"",IF(BY146="Aussen","Aussenlager",IF(BY146="-","Nicht im Lift",IF(AU146&gt;=1,"Lift",IF(AU146&lt;=0,"Aussenlager","teilweise")))))</f>
        <v>Aussenlager</v>
      </c>
      <c r="BF146" s="55" t="str">
        <f aca="false">IF(AX146&lt;=0,"",IF(BY146="Aussen","Aussenlager",IF(BY146="-","Nicht im Lift",IF(BC146&gt;=1,"Lift",IF(BC146&lt;=0,"Aussenlager","teilweise")))))</f>
        <v>Lift</v>
      </c>
      <c r="BG146" s="55" t="str">
        <f aca="false">IF(A146="","",IF(BP146=1,"Neu; ","")&amp;IF(AND(BP146=0,BK146&lt;0),"negativer Bestand (Export "&amp;BK146&amp;"); ","")&amp;IF(J146&lt;=0,"Kein Verbrauch; ","")&amp;IF(CH146&gt;0,"Lift "&amp;W146&amp;" lt. Liftbericht (Fach "&amp;X146&amp;" Stk); ",IF(BU146=1,"Gebinde geschätzt ("&amp;T146&amp;"); ",IF(BT146=1,"Lose – Tablare geschätzt; ","")))&amp;IF(H146&gt;AR146,"Überbestand "&amp;ROUND(H146-AR146,0)&amp;" Stk / CHF "&amp;ROUND((H146-AR146)*G146,0)&amp;"; ","")&amp;IF(AND(CA146=1,CB146&lt;CC146),"MAX &lt; MB+LG; ","")&amp;IF(AND(CG146&gt;0,CF146*10&gt;CG146),"zu hoch für Tablar; ","")&amp;IF(AND(BP146=0,OR(CA146=1,AA146&lt;&gt;"",U146&lt;&gt;"",V146&lt;&gt;"",AB146&lt;&gt;"")),"manuell übersteuert; ","")&amp;IF(AND(BT146=0,R146=0),"Gebinde unbekannt / Stellmass fehlt; ","")&amp;IF(AND(BT146=0,N(V146)&lt;=0,N(Q146)&lt;=0),"Menge pro Gebinde fehlt (Ist = 1 Gebinde); ","")&amp;BO146)</f>
        <v>Kein Verbrauch; </v>
      </c>
      <c r="BH146" s="55"/>
      <c r="BI146" s="55"/>
      <c r="BJ146" s="62"/>
      <c r="BK146" s="57" t="n">
        <v>1</v>
      </c>
      <c r="BL146" s="57" t="n">
        <v>0</v>
      </c>
      <c r="BM146" s="56" t="n">
        <v>1394</v>
      </c>
      <c r="BN146" s="57" t="n">
        <v>0</v>
      </c>
      <c r="BO146" s="55"/>
      <c r="BP146" s="60" t="n">
        <v>0</v>
      </c>
      <c r="BQ146" s="60" t="n">
        <v>146</v>
      </c>
      <c r="BR146" s="55" t="str">
        <f aca="false">IF(U146&lt;&gt;"",UPPER(TRIM(U146)),IF(BU146=1,UPPER(VLOOKUP(T146,Parameter!$I$27:$K$29,2,0)),IF(P146="","LOSE",P146)))</f>
        <v>S51</v>
      </c>
      <c r="BS146" s="57" t="n">
        <f aca="false">IF(BR146="LOSE",1,IF(N(V146)&gt;0,V146,IF(BU146=1,MAX(1,N(VLOOKUP(T146,Parameter!$I$27:$K$29,3,0)),H146,N(N146)),IF(N(Q146)&gt;0,Q146,MAX(1,H146)))))</f>
        <v>2</v>
      </c>
      <c r="BT146" s="60" t="n">
        <f aca="false">IF(BR146="LOSE",1,0)</f>
        <v>0</v>
      </c>
      <c r="BU146" s="60" t="n">
        <f aca="false">IF(AND(U146="",OR(P146="",P146="LOSE"),T146&lt;&gt;"",N(S146)&lt;=0,ISNUMBER(MATCH(T146,Parameter!$I$27:$I$29,0))),1,0)</f>
        <v>0</v>
      </c>
      <c r="BV146" s="55" t="str">
        <f aca="false">IF(AND(Parameter!$B$19="Ja",E146&lt;&gt;"",ISNUMBER(MATCH(E146,Parameter!$I$35:$I$52,0))),VLOOKUP(E146,Parameter!$I$35:$J$52,2,0),IFERROR(VLOOKUP(D146,Parameter!$A$35:$C$64,2,0),"Nein"))</f>
        <v>2+3</v>
      </c>
      <c r="BW146" s="59" t="n">
        <f aca="false">IF(BT146=0,0,IF(N(S146)&gt;0,S146,IFERROR(VLOOKUP(D146,Parameter!$A$35:$C$64,3,0)+0,0)))</f>
        <v>0</v>
      </c>
      <c r="BX146" s="55" t="n">
        <f aca="false">IF(AA146&lt;&gt;"",AA146,Z146)</f>
        <v>3</v>
      </c>
      <c r="BY146" s="55" t="str">
        <f aca="false">IF(BX146=1,"L1",IF(OR(BX146=2,BX146=3),"L23",IF(BX146="Aussen","Aussen","-")))</f>
        <v>L23</v>
      </c>
      <c r="BZ146" s="66" t="n">
        <f aca="false">IF(N(AB146)&gt;0,AB146,0)</f>
        <v>0</v>
      </c>
      <c r="CA146" s="60" t="n">
        <f aca="false">IF(ISNUMBER(AE146),1,0)</f>
        <v>0</v>
      </c>
      <c r="CB146" s="57" t="n">
        <f aca="false">N(AE146)</f>
        <v>0</v>
      </c>
      <c r="CC146" s="57" t="n">
        <f aca="false">N(M146)+N(N146)</f>
        <v>1</v>
      </c>
      <c r="CD146" s="57" t="n">
        <f aca="false">ROUNDUP(H146/BS146,0)</f>
        <v>1</v>
      </c>
      <c r="CE146" s="57" t="n">
        <f aca="false">ROUNDUP(CB146/BS146,0)</f>
        <v>0</v>
      </c>
      <c r="CF146" s="60" t="n">
        <f aca="false">IF(BT146=1,0,IFERROR(VLOOKUP(BR146,'Gebinde-Kategorie'!$A$5:$M$45,5,0)+0,0))</f>
        <v>11</v>
      </c>
      <c r="CG146" s="60" t="n">
        <f aca="false">IFERROR(IF(OR(BX146=1,BX146=2,BX146=3),N(INDEX(Parameter!$I$5:$I$7,BX146)),0),0)</f>
        <v>0</v>
      </c>
      <c r="CH146" s="59" t="n">
        <f aca="false">IF(AND(Parameter!$B$21="Ja",ISNUMBER(W146),N(X146)&gt;0),IFERROR(N(INDEX(Parameter!$L$5:$L$7,W146))*INDEX(Parameter!$E$5:$E$7,W146)*X146/SUMIFS($X$7:$X$1843,$W$7:$W$1843,W146),0),0)</f>
        <v>0</v>
      </c>
    </row>
    <row r="147" customFormat="false" ht="15" hidden="false" customHeight="false" outlineLevel="0" collapsed="false">
      <c r="A147" s="55" t="s">
        <v>500</v>
      </c>
      <c r="B147" s="55" t="s">
        <v>501</v>
      </c>
      <c r="C147" s="55" t="s">
        <v>164</v>
      </c>
      <c r="D147" s="55" t="s">
        <v>173</v>
      </c>
      <c r="E147" s="55"/>
      <c r="F147" s="55" t="s">
        <v>218</v>
      </c>
      <c r="G147" s="56" t="n">
        <v>23</v>
      </c>
      <c r="H147" s="57" t="n">
        <f aca="false">MAX(0,IF(AND(Parameter!$B$21="Ja",ISNUMBER(Y147)),Y147,IF(Parameter!$B$20="Jahresanfang 2025 + Export",BL147+BK147,BK147)))</f>
        <v>60</v>
      </c>
      <c r="I147" s="57" t="n">
        <f aca="false">H147*G147</f>
        <v>1380</v>
      </c>
      <c r="J147" s="57" t="n">
        <f aca="false">BN147*Parameter!$B$18</f>
        <v>0</v>
      </c>
      <c r="K147" s="58" t="n">
        <v>5</v>
      </c>
      <c r="L147" s="59" t="n">
        <v>0</v>
      </c>
      <c r="M147" s="57" t="n">
        <v>0</v>
      </c>
      <c r="N147" s="57" t="n">
        <v>1</v>
      </c>
      <c r="O147" s="60" t="n">
        <v>28</v>
      </c>
      <c r="P147" s="55" t="s">
        <v>168</v>
      </c>
      <c r="Q147" s="57"/>
      <c r="R147" s="60" t="n">
        <f aca="false">IF(BT147=1,0,IFERROR(VLOOKUP(BR147,'Gebinde-Kategorie'!$A$5:$M$45,13,0)+0,0))</f>
        <v>26</v>
      </c>
      <c r="S147" s="61"/>
      <c r="T147" s="62" t="s">
        <v>275</v>
      </c>
      <c r="U147" s="62"/>
      <c r="V147" s="62"/>
      <c r="W147" s="55"/>
      <c r="X147" s="57"/>
      <c r="Y147" s="57"/>
      <c r="Z147" s="55" t="n">
        <f aca="false">IF(A147="","",IF(AND(Parameter!$B$21="Ja",ISNUMBER(W147)),W147,IF(BV147="2+3",IF(ISNUMBER(SEARCH("grosser Artikel",BO147)),2,IFERROR(VLOOKUP(BR147,Parameter!$F$35:$G$64,2,0),2)),IF(OR(BV147="Nein",BV147=""),"-",BV147))))</f>
        <v>3</v>
      </c>
      <c r="AA147" s="62"/>
      <c r="AB147" s="63"/>
      <c r="AC147" s="57" t="n">
        <f aca="false">AR147</f>
        <v>60</v>
      </c>
      <c r="AD147" s="57" t="n">
        <f aca="false">MAX(AR147,H147)</f>
        <v>60</v>
      </c>
      <c r="AE147" s="64"/>
      <c r="AF147" s="57" t="n">
        <f aca="false">IF(LEFT(Cockpit!$C$5,1)="A",H147,IF(CA147=1,CB147,IF(LEFT(Cockpit!$C$5,1)="B",AJ147,MAX(AJ147,H147))))</f>
        <v>60</v>
      </c>
      <c r="AG147" s="57" t="n">
        <f aca="false">IF(BT147=1,0,ROUNDUP(AF147/BS147,0))</f>
        <v>1</v>
      </c>
      <c r="AH147" s="59" t="n">
        <f aca="false">IF(CH147&gt;0,CH147*MAX(1,AF147/X147),IF(BT147=1,IF(AF147&lt;=0,0,BW147*MAX(1,IF(H147&gt;0,AF147/H147,1))),IF(R147&gt;0,AG147/R147,0))/MAX(0.1,N(Parameter!$M$21)))</f>
        <v>0.0384615384615385</v>
      </c>
      <c r="AI147" s="57" t="n">
        <f aca="false">AF147*G147</f>
        <v>1380</v>
      </c>
      <c r="AJ147" s="57" t="n">
        <f aca="false">ROUNDUP(MAX(J147/IF(BZ147&gt;0,BZ147,MAX(0.1,N(Cockpit!$C$6))),CC147)/BS147,0)*BS147</f>
        <v>60</v>
      </c>
      <c r="AK147" s="58" t="n">
        <f aca="false">IF(AH147&gt;0,J147/AH147,-1)</f>
        <v>0</v>
      </c>
      <c r="AL147" s="58" t="n">
        <f aca="false">IF(AND(OR(BY147="L1",BY147="L23"),AH147&gt;0),SUMIFS($AH$7:$AH$1843,$BY$7:$BY$1843,BY147,$AK$7:$AK$1843,"&gt;"&amp;AK147)+SUMIFS($AH$7:$AH$1843,$BY$7:$BY$1843,BY147,$AK$7:$AK$1843,AK147,$BQ$7:$BQ$1843,"&lt;="&amp;BQ147),"")</f>
        <v>69.2342572886051</v>
      </c>
      <c r="AM147" s="65" t="n">
        <f aca="false">IF(AL147="",0,MAX(0,MIN(1,(IF(BY147="L1",Parameter!$E$5,Parameter!$E$6+Parameter!$E$7)-(AL147-AH147))/AH147)))</f>
        <v>1</v>
      </c>
      <c r="AN147" s="57" t="n">
        <f aca="false">IF(LEFT(Cockpit!$I$5,1)="A",H147,IF(CA147=1,CB147,IF(LEFT(Cockpit!$I$5,1)="B",AR147,MAX(AR147,H147))))</f>
        <v>60</v>
      </c>
      <c r="AO147" s="57" t="n">
        <f aca="false">IF(BT147=1,0,ROUNDUP(AN147/BS147,0))</f>
        <v>1</v>
      </c>
      <c r="AP147" s="59" t="n">
        <f aca="false">IF(CH147&gt;0,CH147*MAX(1,AN147/X147),IF(BT147=1,IF(AN147&lt;=0,0,BW147*MAX(1,IF(H147&gt;0,AN147/H147,1))),IF(R147&gt;0,AO147/R147,0))/MAX(0.1,N(Parameter!$M$21)))</f>
        <v>0.0384615384615385</v>
      </c>
      <c r="AQ147" s="57" t="n">
        <f aca="false">AN147*G147</f>
        <v>1380</v>
      </c>
      <c r="AR147" s="57" t="n">
        <f aca="false">ROUNDUP(MAX(J147/IF(BZ147&gt;0,BZ147,MAX(0.1,N(Cockpit!$I$6))),CC147)/BS147,0)*BS147</f>
        <v>60</v>
      </c>
      <c r="AS147" s="58" t="n">
        <f aca="false">IF(AP147&gt;0,J147/AP147,-1)</f>
        <v>0</v>
      </c>
      <c r="AT147" s="58" t="n">
        <f aca="false">IF(AND(OR(BY147="L1",BY147="L23"),AP147&gt;0),SUMIFS($AP$7:$AP$1843,$BY$7:$BY$1843,BY147,$AS$7:$AS$1843,"&gt;"&amp;AS147)+SUMIFS($AP$7:$AP$1843,$BY$7:$BY$1843,BY147,$AS$7:$AS$1843,AS147,$BQ$7:$BQ$1843,"&lt;="&amp;BQ147),"")</f>
        <v>108.658381473599</v>
      </c>
      <c r="AU147" s="65" t="n">
        <f aca="false">IF(AT147="",0,MAX(0,MIN(1,(IF(BY147="L1",Parameter!$E$5,Parameter!$E$6+Parameter!$E$7)-(AT147-AP147))/AP147)))</f>
        <v>0</v>
      </c>
      <c r="AV147" s="57" t="n">
        <f aca="false">IF(LEFT(Cockpit!$O$5,1)="A",H147,IF(CA147=1,CB147,IF(LEFT(Cockpit!$O$5,1)="B",AZ147,MAX(AZ147,H147))))</f>
        <v>60</v>
      </c>
      <c r="AW147" s="57" t="n">
        <f aca="false">IF(BT147=1,0,ROUNDUP(AV147/BS147,0))</f>
        <v>1</v>
      </c>
      <c r="AX147" s="59" t="n">
        <f aca="false">IF(CH147&gt;0,CH147*MAX(1,AV147/X147),IF(BT147=1,IF(AV147&lt;=0,0,BW147*MAX(1,IF(H147&gt;0,AV147/H147,1))),IF(R147&gt;0,AW147/R147,0))/MAX(0.1,N(Parameter!$M$21)))</f>
        <v>0.0384615384615385</v>
      </c>
      <c r="AY147" s="57" t="n">
        <f aca="false">AV147*G147</f>
        <v>1380</v>
      </c>
      <c r="AZ147" s="57" t="n">
        <f aca="false">ROUNDUP(MAX(J147/IF(BZ147&gt;0,BZ147,MAX(0.1,N(Cockpit!$O$6))),CC147)/BS147,0)*BS147</f>
        <v>60</v>
      </c>
      <c r="BA147" s="58" t="n">
        <f aca="false">IF(AX147&gt;0,J147/AX147,-1)</f>
        <v>0</v>
      </c>
      <c r="BB147" s="58" t="n">
        <f aca="false">IF(AND(OR(BY147="L1",BY147="L23"),AX147&gt;0),SUMIFS($AX$7:$AX$1843,$BY$7:$BY$1843,BY147,$BA$7:$BA$1843,"&gt;"&amp;BA147)+SUMIFS($AX$7:$AX$1843,$BY$7:$BY$1843,BY147,$BA$7:$BA$1843,BA147,$BQ$7:$BQ$1843,"&lt;="&amp;BQ147),"")</f>
        <v>99.4882183034357</v>
      </c>
      <c r="BC147" s="65" t="n">
        <f aca="false">IF(BB147="",0,MAX(0,MIN(1,(IF(BY147="L1",Parameter!$E$5,Parameter!$E$6+Parameter!$E$7)-(BB147-AX147))/AX147)))</f>
        <v>1</v>
      </c>
      <c r="BD147" s="55" t="str">
        <f aca="false">IF(AH147&lt;=0,"",IF(BY147="Aussen","Aussenlager",IF(BY147="-","Nicht im Lift",IF(AM147&gt;=1,"Lift",IF(AM147&lt;=0,"Aussenlager","teilweise")))))</f>
        <v>Lift</v>
      </c>
      <c r="BE147" s="55" t="str">
        <f aca="false">IF(AP147&lt;=0,"",IF(BY147="Aussen","Aussenlager",IF(BY147="-","Nicht im Lift",IF(AU147&gt;=1,"Lift",IF(AU147&lt;=0,"Aussenlager","teilweise")))))</f>
        <v>Aussenlager</v>
      </c>
      <c r="BF147" s="55" t="str">
        <f aca="false">IF(AX147&lt;=0,"",IF(BY147="Aussen","Aussenlager",IF(BY147="-","Nicht im Lift",IF(BC147&gt;=1,"Lift",IF(BC147&lt;=0,"Aussenlager","teilweise")))))</f>
        <v>Lift</v>
      </c>
      <c r="BG147" s="55" t="str">
        <f aca="false">IF(A147="","",IF(BP147=1,"Neu; ","")&amp;IF(AND(BP147=0,BK147&lt;0),"negativer Bestand (Export "&amp;BK147&amp;"); ","")&amp;IF(J147&lt;=0,"Kein Verbrauch; ","")&amp;IF(CH147&gt;0,"Lift "&amp;W147&amp;" lt. Liftbericht (Fach "&amp;X147&amp;" Stk); ",IF(BU147=1,"Gebinde geschätzt ("&amp;T147&amp;"); ",IF(BT147=1,"Lose – Tablare geschätzt; ","")))&amp;IF(H147&gt;AR147,"Überbestand "&amp;ROUND(H147-AR147,0)&amp;" Stk / CHF "&amp;ROUND((H147-AR147)*G147,0)&amp;"; ","")&amp;IF(AND(CA147=1,CB147&lt;CC147),"MAX &lt; MB+LG; ","")&amp;IF(AND(CG147&gt;0,CF147*10&gt;CG147),"zu hoch für Tablar; ","")&amp;IF(AND(BP147=0,OR(CA147=1,AA147&lt;&gt;"",U147&lt;&gt;"",V147&lt;&gt;"",AB147&lt;&gt;"")),"manuell übersteuert; ","")&amp;IF(AND(BT147=0,R147=0),"Gebinde unbekannt / Stellmass fehlt; ","")&amp;IF(AND(BT147=0,N(V147)&lt;=0,N(Q147)&lt;=0),"Menge pro Gebinde fehlt (Ist = 1 Gebinde); ","")&amp;BO147)</f>
        <v>Kein Verbrauch; Gebinde geschätzt (Klein); Menge pro Gebinde fehlt (Ist = 1 Gebinde); </v>
      </c>
      <c r="BH147" s="55"/>
      <c r="BI147" s="55"/>
      <c r="BJ147" s="62"/>
      <c r="BK147" s="57" t="n">
        <v>60</v>
      </c>
      <c r="BL147" s="57" t="n">
        <v>0</v>
      </c>
      <c r="BM147" s="56" t="n">
        <v>1380</v>
      </c>
      <c r="BN147" s="57" t="n">
        <v>0</v>
      </c>
      <c r="BO147" s="55"/>
      <c r="BP147" s="60" t="n">
        <v>0</v>
      </c>
      <c r="BQ147" s="60" t="n">
        <v>147</v>
      </c>
      <c r="BR147" s="55" t="str">
        <f aca="false">IF(U147&lt;&gt;"",UPPER(TRIM(U147)),IF(BU147=1,UPPER(VLOOKUP(T147,Parameter!$I$27:$K$29,2,0)),IF(P147="","LOSE",P147)))</f>
        <v>S51</v>
      </c>
      <c r="BS147" s="57" t="n">
        <f aca="false">IF(BR147="LOSE",1,IF(N(V147)&gt;0,V147,IF(BU147=1,MAX(1,N(VLOOKUP(T147,Parameter!$I$27:$K$29,3,0)),H147,N(N147)),IF(N(Q147)&gt;0,Q147,MAX(1,H147)))))</f>
        <v>60</v>
      </c>
      <c r="BT147" s="60" t="n">
        <f aca="false">IF(BR147="LOSE",1,0)</f>
        <v>0</v>
      </c>
      <c r="BU147" s="60" t="n">
        <f aca="false">IF(AND(U147="",OR(P147="",P147="LOSE"),T147&lt;&gt;"",N(S147)&lt;=0,ISNUMBER(MATCH(T147,Parameter!$I$27:$I$29,0))),1,0)</f>
        <v>1</v>
      </c>
      <c r="BV147" s="55" t="str">
        <f aca="false">IF(AND(Parameter!$B$19="Ja",E147&lt;&gt;"",ISNUMBER(MATCH(E147,Parameter!$I$35:$I$52,0))),VLOOKUP(E147,Parameter!$I$35:$J$52,2,0),IFERROR(VLOOKUP(D147,Parameter!$A$35:$C$64,2,0),"Nein"))</f>
        <v>2+3</v>
      </c>
      <c r="BW147" s="59" t="n">
        <f aca="false">IF(BT147=0,0,IF(N(S147)&gt;0,S147,IFERROR(VLOOKUP(D147,Parameter!$A$35:$C$64,3,0)+0,0)))</f>
        <v>0</v>
      </c>
      <c r="BX147" s="55" t="n">
        <f aca="false">IF(AA147&lt;&gt;"",AA147,Z147)</f>
        <v>3</v>
      </c>
      <c r="BY147" s="55" t="str">
        <f aca="false">IF(BX147=1,"L1",IF(OR(BX147=2,BX147=3),"L23",IF(BX147="Aussen","Aussen","-")))</f>
        <v>L23</v>
      </c>
      <c r="BZ147" s="66" t="n">
        <f aca="false">IF(N(AB147)&gt;0,AB147,0)</f>
        <v>0</v>
      </c>
      <c r="CA147" s="60" t="n">
        <f aca="false">IF(ISNUMBER(AE147),1,0)</f>
        <v>0</v>
      </c>
      <c r="CB147" s="57" t="n">
        <f aca="false">N(AE147)</f>
        <v>0</v>
      </c>
      <c r="CC147" s="57" t="n">
        <f aca="false">N(M147)+N(N147)</f>
        <v>1</v>
      </c>
      <c r="CD147" s="57" t="n">
        <f aca="false">ROUNDUP(H147/BS147,0)</f>
        <v>1</v>
      </c>
      <c r="CE147" s="57" t="n">
        <f aca="false">ROUNDUP(CB147/BS147,0)</f>
        <v>0</v>
      </c>
      <c r="CF147" s="60" t="n">
        <f aca="false">IF(BT147=1,0,IFERROR(VLOOKUP(BR147,'Gebinde-Kategorie'!$A$5:$M$45,5,0)+0,0))</f>
        <v>11</v>
      </c>
      <c r="CG147" s="60" t="n">
        <f aca="false">IFERROR(IF(OR(BX147=1,BX147=2,BX147=3),N(INDEX(Parameter!$I$5:$I$7,BX147)),0),0)</f>
        <v>0</v>
      </c>
      <c r="CH147" s="59" t="n">
        <f aca="false">IF(AND(Parameter!$B$21="Ja",ISNUMBER(W147),N(X147)&gt;0),IFERROR(N(INDEX(Parameter!$L$5:$L$7,W147))*INDEX(Parameter!$E$5:$E$7,W147)*X147/SUMIFS($X$7:$X$1843,$W$7:$W$1843,W147),0),0)</f>
        <v>0</v>
      </c>
    </row>
    <row r="148" customFormat="false" ht="15" hidden="false" customHeight="false" outlineLevel="0" collapsed="false">
      <c r="A148" s="55" t="s">
        <v>502</v>
      </c>
      <c r="B148" s="55" t="s">
        <v>503</v>
      </c>
      <c r="C148" s="55" t="s">
        <v>164</v>
      </c>
      <c r="D148" s="55" t="s">
        <v>184</v>
      </c>
      <c r="E148" s="55"/>
      <c r="F148" s="55" t="s">
        <v>218</v>
      </c>
      <c r="G148" s="56" t="n">
        <v>227.16</v>
      </c>
      <c r="H148" s="57" t="n">
        <f aca="false">MAX(0,IF(AND(Parameter!$B$21="Ja",ISNUMBER(Y148)),Y148,IF(Parameter!$B$20="Jahresanfang 2025 + Export",BL148+BK148,BK148)))</f>
        <v>8</v>
      </c>
      <c r="I148" s="57" t="n">
        <f aca="false">H148*G148</f>
        <v>1817.28</v>
      </c>
      <c r="J148" s="57" t="n">
        <f aca="false">BN148*Parameter!$B$18</f>
        <v>0</v>
      </c>
      <c r="K148" s="58" t="n">
        <v>5</v>
      </c>
      <c r="L148" s="59" t="n">
        <v>0</v>
      </c>
      <c r="M148" s="57" t="n">
        <v>0</v>
      </c>
      <c r="N148" s="57" t="n">
        <v>1</v>
      </c>
      <c r="O148" s="60" t="n">
        <v>14</v>
      </c>
      <c r="P148" s="55" t="s">
        <v>293</v>
      </c>
      <c r="Q148" s="57" t="n">
        <v>8</v>
      </c>
      <c r="R148" s="60" t="n">
        <f aca="false">IF(BT148=1,0,IFERROR(VLOOKUP(BR148,'Gebinde-Kategorie'!$A$5:$M$45,13,0)+0,0))</f>
        <v>12</v>
      </c>
      <c r="S148" s="61"/>
      <c r="T148" s="62"/>
      <c r="U148" s="62"/>
      <c r="V148" s="62"/>
      <c r="W148" s="55"/>
      <c r="X148" s="57"/>
      <c r="Y148" s="57"/>
      <c r="Z148" s="55" t="n">
        <f aca="false">IF(A148="","",IF(AND(Parameter!$B$21="Ja",ISNUMBER(W148)),W148,IF(BV148="2+3",IF(ISNUMBER(SEARCH("grosser Artikel",BO148)),2,IFERROR(VLOOKUP(BR148,Parameter!$F$35:$G$64,2,0),2)),IF(OR(BV148="Nein",BV148=""),"-",BV148))))</f>
        <v>2</v>
      </c>
      <c r="AA148" s="62"/>
      <c r="AB148" s="63"/>
      <c r="AC148" s="57" t="n">
        <f aca="false">AR148</f>
        <v>8</v>
      </c>
      <c r="AD148" s="57" t="n">
        <f aca="false">MAX(AR148,H148)</f>
        <v>8</v>
      </c>
      <c r="AE148" s="64"/>
      <c r="AF148" s="57" t="n">
        <f aca="false">IF(LEFT(Cockpit!$C$5,1)="A",H148,IF(CA148=1,CB148,IF(LEFT(Cockpit!$C$5,1)="B",AJ148,MAX(AJ148,H148))))</f>
        <v>8</v>
      </c>
      <c r="AG148" s="57" t="n">
        <f aca="false">IF(BT148=1,0,ROUNDUP(AF148/BS148,0))</f>
        <v>1</v>
      </c>
      <c r="AH148" s="59" t="n">
        <f aca="false">IF(CH148&gt;0,CH148*MAX(1,AF148/X148),IF(BT148=1,IF(AF148&lt;=0,0,BW148*MAX(1,IF(H148&gt;0,AF148/H148,1))),IF(R148&gt;0,AG148/R148,0))/MAX(0.1,N(Parameter!$M$21)))</f>
        <v>0.0833333333333333</v>
      </c>
      <c r="AI148" s="57" t="n">
        <f aca="false">AF148*G148</f>
        <v>1817.28</v>
      </c>
      <c r="AJ148" s="57" t="n">
        <f aca="false">ROUNDUP(MAX(J148/IF(BZ148&gt;0,BZ148,MAX(0.1,N(Cockpit!$C$6))),CC148)/BS148,0)*BS148</f>
        <v>8</v>
      </c>
      <c r="AK148" s="58" t="n">
        <f aca="false">IF(AH148&gt;0,J148/AH148,-1)</f>
        <v>0</v>
      </c>
      <c r="AL148" s="58" t="n">
        <f aca="false">IF(AND(OR(BY148="L1",BY148="L23"),AH148&gt;0),SUMIFS($AH$7:$AH$1843,$BY$7:$BY$1843,BY148,$AK$7:$AK$1843,"&gt;"&amp;AK148)+SUMIFS($AH$7:$AH$1843,$BY$7:$BY$1843,BY148,$AK$7:$AK$1843,AK148,$BQ$7:$BQ$1843,"&lt;="&amp;BQ148),"")</f>
        <v>69.3175906219385</v>
      </c>
      <c r="AM148" s="65" t="n">
        <f aca="false">IF(AL148="",0,MAX(0,MIN(1,(IF(BY148="L1",Parameter!$E$5,Parameter!$E$6+Parameter!$E$7)-(AL148-AH148))/AH148)))</f>
        <v>1</v>
      </c>
      <c r="AN148" s="57" t="n">
        <f aca="false">IF(LEFT(Cockpit!$I$5,1)="A",H148,IF(CA148=1,CB148,IF(LEFT(Cockpit!$I$5,1)="B",AR148,MAX(AR148,H148))))</f>
        <v>8</v>
      </c>
      <c r="AO148" s="57" t="n">
        <f aca="false">IF(BT148=1,0,ROUNDUP(AN148/BS148,0))</f>
        <v>1</v>
      </c>
      <c r="AP148" s="59" t="n">
        <f aca="false">IF(CH148&gt;0,CH148*MAX(1,AN148/X148),IF(BT148=1,IF(AN148&lt;=0,0,BW148*MAX(1,IF(H148&gt;0,AN148/H148,1))),IF(R148&gt;0,AO148/R148,0))/MAX(0.1,N(Parameter!$M$21)))</f>
        <v>0.0833333333333333</v>
      </c>
      <c r="AQ148" s="57" t="n">
        <f aca="false">AN148*G148</f>
        <v>1817.28</v>
      </c>
      <c r="AR148" s="57" t="n">
        <f aca="false">ROUNDUP(MAX(J148/IF(BZ148&gt;0,BZ148,MAX(0.1,N(Cockpit!$I$6))),CC148)/BS148,0)*BS148</f>
        <v>8</v>
      </c>
      <c r="AS148" s="58" t="n">
        <f aca="false">IF(AP148&gt;0,J148/AP148,-1)</f>
        <v>0</v>
      </c>
      <c r="AT148" s="58" t="n">
        <f aca="false">IF(AND(OR(BY148="L1",BY148="L23"),AP148&gt;0),SUMIFS($AP$7:$AP$1843,$BY$7:$BY$1843,BY148,$AS$7:$AS$1843,"&gt;"&amp;AS148)+SUMIFS($AP$7:$AP$1843,$BY$7:$BY$1843,BY148,$AS$7:$AS$1843,AS148,$BQ$7:$BQ$1843,"&lt;="&amp;BQ148),"")</f>
        <v>108.741714806932</v>
      </c>
      <c r="AU148" s="65" t="n">
        <f aca="false">IF(AT148="",0,MAX(0,MIN(1,(IF(BY148="L1",Parameter!$E$5,Parameter!$E$6+Parameter!$E$7)-(AT148-AP148))/AP148)))</f>
        <v>0</v>
      </c>
      <c r="AV148" s="57" t="n">
        <f aca="false">IF(LEFT(Cockpit!$O$5,1)="A",H148,IF(CA148=1,CB148,IF(LEFT(Cockpit!$O$5,1)="B",AZ148,MAX(AZ148,H148))))</f>
        <v>8</v>
      </c>
      <c r="AW148" s="57" t="n">
        <f aca="false">IF(BT148=1,0,ROUNDUP(AV148/BS148,0))</f>
        <v>1</v>
      </c>
      <c r="AX148" s="59" t="n">
        <f aca="false">IF(CH148&gt;0,CH148*MAX(1,AV148/X148),IF(BT148=1,IF(AV148&lt;=0,0,BW148*MAX(1,IF(H148&gt;0,AV148/H148,1))),IF(R148&gt;0,AW148/R148,0))/MAX(0.1,N(Parameter!$M$21)))</f>
        <v>0.0833333333333333</v>
      </c>
      <c r="AY148" s="57" t="n">
        <f aca="false">AV148*G148</f>
        <v>1817.28</v>
      </c>
      <c r="AZ148" s="57" t="n">
        <f aca="false">ROUNDUP(MAX(J148/IF(BZ148&gt;0,BZ148,MAX(0.1,N(Cockpit!$O$6))),CC148)/BS148,0)*BS148</f>
        <v>8</v>
      </c>
      <c r="BA148" s="58" t="n">
        <f aca="false">IF(AX148&gt;0,J148/AX148,-1)</f>
        <v>0</v>
      </c>
      <c r="BB148" s="58" t="n">
        <f aca="false">IF(AND(OR(BY148="L1",BY148="L23"),AX148&gt;0),SUMIFS($AX$7:$AX$1843,$BY$7:$BY$1843,BY148,$BA$7:$BA$1843,"&gt;"&amp;BA148)+SUMIFS($AX$7:$AX$1843,$BY$7:$BY$1843,BY148,$BA$7:$BA$1843,BA148,$BQ$7:$BQ$1843,"&lt;="&amp;BQ148),"")</f>
        <v>99.571551636769</v>
      </c>
      <c r="BC148" s="65" t="n">
        <f aca="false">IF(BB148="",0,MAX(0,MIN(1,(IF(BY148="L1",Parameter!$E$5,Parameter!$E$6+Parameter!$E$7)-(BB148-AX148))/AX148)))</f>
        <v>1</v>
      </c>
      <c r="BD148" s="55" t="str">
        <f aca="false">IF(AH148&lt;=0,"",IF(BY148="Aussen","Aussenlager",IF(BY148="-","Nicht im Lift",IF(AM148&gt;=1,"Lift",IF(AM148&lt;=0,"Aussenlager","teilweise")))))</f>
        <v>Lift</v>
      </c>
      <c r="BE148" s="55" t="str">
        <f aca="false">IF(AP148&lt;=0,"",IF(BY148="Aussen","Aussenlager",IF(BY148="-","Nicht im Lift",IF(AU148&gt;=1,"Lift",IF(AU148&lt;=0,"Aussenlager","teilweise")))))</f>
        <v>Aussenlager</v>
      </c>
      <c r="BF148" s="55" t="str">
        <f aca="false">IF(AX148&lt;=0,"",IF(BY148="Aussen","Aussenlager",IF(BY148="-","Nicht im Lift",IF(BC148&gt;=1,"Lift",IF(BC148&lt;=0,"Aussenlager","teilweise")))))</f>
        <v>Lift</v>
      </c>
      <c r="BG148" s="55" t="str">
        <f aca="false">IF(A148="","",IF(BP148=1,"Neu; ","")&amp;IF(AND(BP148=0,BK148&lt;0),"negativer Bestand (Export "&amp;BK148&amp;"); ","")&amp;IF(J148&lt;=0,"Kein Verbrauch; ","")&amp;IF(CH148&gt;0,"Lift "&amp;W148&amp;" lt. Liftbericht (Fach "&amp;X148&amp;" Stk); ",IF(BU148=1,"Gebinde geschätzt ("&amp;T148&amp;"); ",IF(BT148=1,"Lose – Tablare geschätzt; ","")))&amp;IF(H148&gt;AR148,"Überbestand "&amp;ROUND(H148-AR148,0)&amp;" Stk / CHF "&amp;ROUND((H148-AR148)*G148,0)&amp;"; ","")&amp;IF(AND(CA148=1,CB148&lt;CC148),"MAX &lt; MB+LG; ","")&amp;IF(AND(CG148&gt;0,CF148*10&gt;CG148),"zu hoch für Tablar; ","")&amp;IF(AND(BP148=0,OR(CA148=1,AA148&lt;&gt;"",U148&lt;&gt;"",V148&lt;&gt;"",AB148&lt;&gt;"")),"manuell übersteuert; ","")&amp;IF(AND(BT148=0,R148=0),"Gebinde unbekannt / Stellmass fehlt; ","")&amp;IF(AND(BT148=0,N(V148)&lt;=0,N(Q148)&lt;=0),"Menge pro Gebinde fehlt (Ist = 1 Gebinde); ","")&amp;BO148)</f>
        <v>Kein Verbrauch; </v>
      </c>
      <c r="BH148" s="55"/>
      <c r="BI148" s="55"/>
      <c r="BJ148" s="62"/>
      <c r="BK148" s="57" t="n">
        <v>6</v>
      </c>
      <c r="BL148" s="57" t="n">
        <v>2</v>
      </c>
      <c r="BM148" s="56" t="n">
        <v>1362.96</v>
      </c>
      <c r="BN148" s="57" t="n">
        <v>0</v>
      </c>
      <c r="BO148" s="55"/>
      <c r="BP148" s="60" t="n">
        <v>0</v>
      </c>
      <c r="BQ148" s="60" t="n">
        <v>148</v>
      </c>
      <c r="BR148" s="55" t="str">
        <f aca="false">IF(U148&lt;&gt;"",UPPER(TRIM(U148)),IF(BU148=1,UPPER(VLOOKUP(T148,Parameter!$I$27:$K$29,2,0)),IF(P148="","LOSE",P148)))</f>
        <v>S62</v>
      </c>
      <c r="BS148" s="57" t="n">
        <f aca="false">IF(BR148="LOSE",1,IF(N(V148)&gt;0,V148,IF(BU148=1,MAX(1,N(VLOOKUP(T148,Parameter!$I$27:$K$29,3,0)),H148,N(N148)),IF(N(Q148)&gt;0,Q148,MAX(1,H148)))))</f>
        <v>8</v>
      </c>
      <c r="BT148" s="60" t="n">
        <f aca="false">IF(BR148="LOSE",1,0)</f>
        <v>0</v>
      </c>
      <c r="BU148" s="60" t="n">
        <f aca="false">IF(AND(U148="",OR(P148="",P148="LOSE"),T148&lt;&gt;"",N(S148)&lt;=0,ISNUMBER(MATCH(T148,Parameter!$I$27:$I$29,0))),1,0)</f>
        <v>0</v>
      </c>
      <c r="BV148" s="55" t="str">
        <f aca="false">IF(AND(Parameter!$B$19="Ja",E148&lt;&gt;"",ISNUMBER(MATCH(E148,Parameter!$I$35:$I$52,0))),VLOOKUP(E148,Parameter!$I$35:$J$52,2,0),IFERROR(VLOOKUP(D148,Parameter!$A$35:$C$64,2,0),"Nein"))</f>
        <v>2+3</v>
      </c>
      <c r="BW148" s="59" t="n">
        <f aca="false">IF(BT148=0,0,IF(N(S148)&gt;0,S148,IFERROR(VLOOKUP(D148,Parameter!$A$35:$C$64,3,0)+0,0)))</f>
        <v>0</v>
      </c>
      <c r="BX148" s="55" t="n">
        <f aca="false">IF(AA148&lt;&gt;"",AA148,Z148)</f>
        <v>2</v>
      </c>
      <c r="BY148" s="55" t="str">
        <f aca="false">IF(BX148=1,"L1",IF(OR(BX148=2,BX148=3),"L23",IF(BX148="Aussen","Aussen","-")))</f>
        <v>L23</v>
      </c>
      <c r="BZ148" s="66" t="n">
        <f aca="false">IF(N(AB148)&gt;0,AB148,0)</f>
        <v>0</v>
      </c>
      <c r="CA148" s="60" t="n">
        <f aca="false">IF(ISNUMBER(AE148),1,0)</f>
        <v>0</v>
      </c>
      <c r="CB148" s="57" t="n">
        <f aca="false">N(AE148)</f>
        <v>0</v>
      </c>
      <c r="CC148" s="57" t="n">
        <f aca="false">N(M148)+N(N148)</f>
        <v>1</v>
      </c>
      <c r="CD148" s="57" t="n">
        <f aca="false">ROUNDUP(H148/BS148,0)</f>
        <v>1</v>
      </c>
      <c r="CE148" s="57" t="n">
        <f aca="false">ROUNDUP(CB148/BS148,0)</f>
        <v>0</v>
      </c>
      <c r="CF148" s="60" t="n">
        <f aca="false">IF(BT148=1,0,IFERROR(VLOOKUP(BR148,'Gebinde-Kategorie'!$A$5:$M$45,5,0)+0,0))</f>
        <v>21</v>
      </c>
      <c r="CG148" s="60" t="n">
        <f aca="false">IFERROR(IF(OR(BX148=1,BX148=2,BX148=3),N(INDEX(Parameter!$I$5:$I$7,BX148)),0),0)</f>
        <v>0</v>
      </c>
      <c r="CH148" s="59" t="n">
        <f aca="false">IF(AND(Parameter!$B$21="Ja",ISNUMBER(W148),N(X148)&gt;0),IFERROR(N(INDEX(Parameter!$L$5:$L$7,W148))*INDEX(Parameter!$E$5:$E$7,W148)*X148/SUMIFS($X$7:$X$1843,$W$7:$W$1843,W148),0),0)</f>
        <v>0</v>
      </c>
    </row>
    <row r="149" customFormat="false" ht="15" hidden="false" customHeight="false" outlineLevel="0" collapsed="false">
      <c r="A149" s="55" t="s">
        <v>504</v>
      </c>
      <c r="B149" s="55" t="s">
        <v>505</v>
      </c>
      <c r="C149" s="55" t="s">
        <v>164</v>
      </c>
      <c r="D149" s="55" t="s">
        <v>184</v>
      </c>
      <c r="E149" s="55" t="s">
        <v>185</v>
      </c>
      <c r="F149" s="55" t="s">
        <v>218</v>
      </c>
      <c r="G149" s="56" t="n">
        <v>50.41</v>
      </c>
      <c r="H149" s="57" t="n">
        <f aca="false">MAX(0,IF(AND(Parameter!$B$21="Ja",ISNUMBER(Y149)),Y149,IF(Parameter!$B$20="Jahresanfang 2025 + Export",BL149+BK149,BK149)))</f>
        <v>39</v>
      </c>
      <c r="I149" s="57" t="n">
        <f aca="false">H149*G149</f>
        <v>1965.99</v>
      </c>
      <c r="J149" s="57" t="n">
        <f aca="false">BN149*Parameter!$B$18</f>
        <v>59</v>
      </c>
      <c r="K149" s="58" t="n">
        <v>34.5</v>
      </c>
      <c r="L149" s="59" t="n">
        <v>1.71014492753623</v>
      </c>
      <c r="M149" s="57" t="n">
        <v>10</v>
      </c>
      <c r="N149" s="57" t="n">
        <v>60</v>
      </c>
      <c r="O149" s="60" t="n">
        <v>35</v>
      </c>
      <c r="P149" s="55" t="s">
        <v>293</v>
      </c>
      <c r="Q149" s="57" t="n">
        <v>16</v>
      </c>
      <c r="R149" s="60" t="n">
        <f aca="false">IF(BT149=1,0,IFERROR(VLOOKUP(BR149,'Gebinde-Kategorie'!$A$5:$M$45,13,0)+0,0))</f>
        <v>12</v>
      </c>
      <c r="S149" s="61"/>
      <c r="T149" s="62"/>
      <c r="U149" s="62"/>
      <c r="V149" s="62"/>
      <c r="W149" s="55"/>
      <c r="X149" s="57"/>
      <c r="Y149" s="57"/>
      <c r="Z149" s="55" t="n">
        <f aca="false">IF(A149="","",IF(AND(Parameter!$B$21="Ja",ISNUMBER(W149)),W149,IF(BV149="2+3",IF(ISNUMBER(SEARCH("grosser Artikel",BO149)),2,IFERROR(VLOOKUP(BR149,Parameter!$F$35:$G$64,2,0),2)),IF(OR(BV149="Nein",BV149=""),"-",BV149))))</f>
        <v>2</v>
      </c>
      <c r="AA149" s="62"/>
      <c r="AB149" s="63"/>
      <c r="AC149" s="57" t="n">
        <f aca="false">AR149</f>
        <v>80</v>
      </c>
      <c r="AD149" s="57" t="n">
        <f aca="false">MAX(AR149,H149)</f>
        <v>80</v>
      </c>
      <c r="AE149" s="64"/>
      <c r="AF149" s="57" t="n">
        <f aca="false">IF(LEFT(Cockpit!$C$5,1)="A",H149,IF(CA149=1,CB149,IF(LEFT(Cockpit!$C$5,1)="B",AJ149,MAX(AJ149,H149))))</f>
        <v>39</v>
      </c>
      <c r="AG149" s="57" t="n">
        <f aca="false">IF(BT149=1,0,ROUNDUP(AF149/BS149,0))</f>
        <v>3</v>
      </c>
      <c r="AH149" s="59" t="n">
        <f aca="false">IF(CH149&gt;0,CH149*MAX(1,AF149/X149),IF(BT149=1,IF(AF149&lt;=0,0,BW149*MAX(1,IF(H149&gt;0,AF149/H149,1))),IF(R149&gt;0,AG149/R149,0))/MAX(0.1,N(Parameter!$M$21)))</f>
        <v>0.25</v>
      </c>
      <c r="AI149" s="57" t="n">
        <f aca="false">AF149*G149</f>
        <v>1965.99</v>
      </c>
      <c r="AJ149" s="57" t="n">
        <f aca="false">ROUNDUP(MAX(J149/IF(BZ149&gt;0,BZ149,MAX(0.1,N(Cockpit!$C$6))),CC149)/BS149,0)*BS149</f>
        <v>80</v>
      </c>
      <c r="AK149" s="58" t="n">
        <f aca="false">IF(AH149&gt;0,J149/AH149,-1)</f>
        <v>236</v>
      </c>
      <c r="AL149" s="58" t="n">
        <f aca="false">IF(AND(OR(BY149="L1",BY149="L23"),AH149&gt;0),SUMIFS($AH$7:$AH$1843,$BY$7:$BY$1843,BY149,$AK$7:$AK$1843,"&gt;"&amp;AK149)+SUMIFS($AH$7:$AH$1843,$BY$7:$BY$1843,BY149,$AK$7:$AK$1843,AK149,$BQ$7:$BQ$1843,"&lt;="&amp;BQ149),"")</f>
        <v>30.4004425526165</v>
      </c>
      <c r="AM149" s="65" t="n">
        <f aca="false">IF(AL149="",0,MAX(0,MIN(1,(IF(BY149="L1",Parameter!$E$5,Parameter!$E$6+Parameter!$E$7)-(AL149-AH149))/AH149)))</f>
        <v>1</v>
      </c>
      <c r="AN149" s="57" t="n">
        <f aca="false">IF(LEFT(Cockpit!$I$5,1)="A",H149,IF(CA149=1,CB149,IF(LEFT(Cockpit!$I$5,1)="B",AR149,MAX(AR149,H149))))</f>
        <v>80</v>
      </c>
      <c r="AO149" s="57" t="n">
        <f aca="false">IF(BT149=1,0,ROUNDUP(AN149/BS149,0))</f>
        <v>5</v>
      </c>
      <c r="AP149" s="59" t="n">
        <f aca="false">IF(CH149&gt;0,CH149*MAX(1,AN149/X149),IF(BT149=1,IF(AN149&lt;=0,0,BW149*MAX(1,IF(H149&gt;0,AN149/H149,1))),IF(R149&gt;0,AO149/R149,0))/MAX(0.1,N(Parameter!$M$21)))</f>
        <v>0.416666666666667</v>
      </c>
      <c r="AQ149" s="57" t="n">
        <f aca="false">AN149*G149</f>
        <v>4032.8</v>
      </c>
      <c r="AR149" s="57" t="n">
        <f aca="false">ROUNDUP(MAX(J149/IF(BZ149&gt;0,BZ149,MAX(0.1,N(Cockpit!$I$6))),CC149)/BS149,0)*BS149</f>
        <v>80</v>
      </c>
      <c r="AS149" s="58" t="n">
        <f aca="false">IF(AP149&gt;0,J149/AP149,-1)</f>
        <v>141.6</v>
      </c>
      <c r="AT149" s="58" t="n">
        <f aca="false">IF(AND(OR(BY149="L1",BY149="L23"),AP149&gt;0),SUMIFS($AP$7:$AP$1843,$BY$7:$BY$1843,BY149,$AS$7:$AS$1843,"&gt;"&amp;AS149)+SUMIFS($AP$7:$AP$1843,$BY$7:$BY$1843,BY149,$AS$7:$AS$1843,AS149,$BQ$7:$BQ$1843,"&lt;="&amp;BQ149),"")</f>
        <v>50.0550403702578</v>
      </c>
      <c r="AU149" s="65" t="n">
        <f aca="false">IF(AT149="",0,MAX(0,MIN(1,(IF(BY149="L1",Parameter!$E$5,Parameter!$E$6+Parameter!$E$7)-(AT149-AP149))/AP149)))</f>
        <v>1</v>
      </c>
      <c r="AV149" s="57" t="n">
        <f aca="false">IF(LEFT(Cockpit!$O$5,1)="A",H149,IF(CA149=1,CB149,IF(LEFT(Cockpit!$O$5,1)="B",AZ149,MAX(AZ149,H149))))</f>
        <v>80</v>
      </c>
      <c r="AW149" s="57" t="n">
        <f aca="false">IF(BT149=1,0,ROUNDUP(AV149/BS149,0))</f>
        <v>5</v>
      </c>
      <c r="AX149" s="59" t="n">
        <f aca="false">IF(CH149&gt;0,CH149*MAX(1,AV149/X149),IF(BT149=1,IF(AV149&lt;=0,0,BW149*MAX(1,IF(H149&gt;0,AV149/H149,1))),IF(R149&gt;0,AW149/R149,0))/MAX(0.1,N(Parameter!$M$21)))</f>
        <v>0.416666666666667</v>
      </c>
      <c r="AY149" s="57" t="n">
        <f aca="false">AV149*G149</f>
        <v>4032.8</v>
      </c>
      <c r="AZ149" s="57" t="n">
        <f aca="false">ROUNDUP(MAX(J149/IF(BZ149&gt;0,BZ149,MAX(0.1,N(Cockpit!$O$6))),CC149)/BS149,0)*BS149</f>
        <v>80</v>
      </c>
      <c r="BA149" s="58" t="n">
        <f aca="false">IF(AX149&gt;0,J149/AX149,-1)</f>
        <v>141.6</v>
      </c>
      <c r="BB149" s="58" t="n">
        <f aca="false">IF(AND(OR(BY149="L1",BY149="L23"),AX149&gt;0),SUMIFS($AX$7:$AX$1843,$BY$7:$BY$1843,BY149,$BA$7:$BA$1843,"&gt;"&amp;BA149)+SUMIFS($AX$7:$AX$1843,$BY$7:$BY$1843,BY149,$BA$7:$BA$1843,BA149,$BQ$7:$BQ$1843,"&lt;="&amp;BQ149),"")</f>
        <v>45.6348772000946</v>
      </c>
      <c r="BC149" s="65" t="n">
        <f aca="false">IF(BB149="",0,MAX(0,MIN(1,(IF(BY149="L1",Parameter!$E$5,Parameter!$E$6+Parameter!$E$7)-(BB149-AX149))/AX149)))</f>
        <v>1</v>
      </c>
      <c r="BD149" s="55" t="str">
        <f aca="false">IF(AH149&lt;=0,"",IF(BY149="Aussen","Aussenlager",IF(BY149="-","Nicht im Lift",IF(AM149&gt;=1,"Lift",IF(AM149&lt;=0,"Aussenlager","teilweise")))))</f>
        <v>Lift</v>
      </c>
      <c r="BE149" s="55" t="str">
        <f aca="false">IF(AP149&lt;=0,"",IF(BY149="Aussen","Aussenlager",IF(BY149="-","Nicht im Lift",IF(AU149&gt;=1,"Lift",IF(AU149&lt;=0,"Aussenlager","teilweise")))))</f>
        <v>Lift</v>
      </c>
      <c r="BF149" s="55" t="str">
        <f aca="false">IF(AX149&lt;=0,"",IF(BY149="Aussen","Aussenlager",IF(BY149="-","Nicht im Lift",IF(BC149&gt;=1,"Lift",IF(BC149&lt;=0,"Aussenlager","teilweise")))))</f>
        <v>Lift</v>
      </c>
      <c r="BG149" s="55" t="str">
        <f aca="false">IF(A149="","",IF(BP149=1,"Neu; ","")&amp;IF(AND(BP149=0,BK149&lt;0),"negativer Bestand (Export "&amp;BK149&amp;"); ","")&amp;IF(J149&lt;=0,"Kein Verbrauch; ","")&amp;IF(CH149&gt;0,"Lift "&amp;W149&amp;" lt. Liftbericht (Fach "&amp;X149&amp;" Stk); ",IF(BU149=1,"Gebinde geschätzt ("&amp;T149&amp;"); ",IF(BT149=1,"Lose – Tablare geschätzt; ","")))&amp;IF(H149&gt;AR149,"Überbestand "&amp;ROUND(H149-AR149,0)&amp;" Stk / CHF "&amp;ROUND((H149-AR149)*G149,0)&amp;"; ","")&amp;IF(AND(CA149=1,CB149&lt;CC149),"MAX &lt; MB+LG; ","")&amp;IF(AND(CG149&gt;0,CF149*10&gt;CG149),"zu hoch für Tablar; ","")&amp;IF(AND(BP149=0,OR(CA149=1,AA149&lt;&gt;"",U149&lt;&gt;"",V149&lt;&gt;"",AB149&lt;&gt;"")),"manuell übersteuert; ","")&amp;IF(AND(BT149=0,R149=0),"Gebinde unbekannt / Stellmass fehlt; ","")&amp;IF(AND(BT149=0,N(V149)&lt;=0,N(Q149)&lt;=0),"Menge pro Gebinde fehlt (Ist = 1 Gebinde); ","")&amp;BO149)</f>
        <v/>
      </c>
      <c r="BH149" s="55"/>
      <c r="BI149" s="55"/>
      <c r="BJ149" s="62"/>
      <c r="BK149" s="57" t="n">
        <v>25</v>
      </c>
      <c r="BL149" s="57" t="n">
        <v>14</v>
      </c>
      <c r="BM149" s="56" t="n">
        <v>1353.35</v>
      </c>
      <c r="BN149" s="57" t="n">
        <v>59</v>
      </c>
      <c r="BO149" s="55"/>
      <c r="BP149" s="60" t="n">
        <v>0</v>
      </c>
      <c r="BQ149" s="60" t="n">
        <v>149</v>
      </c>
      <c r="BR149" s="55" t="str">
        <f aca="false">IF(U149&lt;&gt;"",UPPER(TRIM(U149)),IF(BU149=1,UPPER(VLOOKUP(T149,Parameter!$I$27:$K$29,2,0)),IF(P149="","LOSE",P149)))</f>
        <v>S62</v>
      </c>
      <c r="BS149" s="57" t="n">
        <f aca="false">IF(BR149="LOSE",1,IF(N(V149)&gt;0,V149,IF(BU149=1,MAX(1,N(VLOOKUP(T149,Parameter!$I$27:$K$29,3,0)),H149,N(N149)),IF(N(Q149)&gt;0,Q149,MAX(1,H149)))))</f>
        <v>16</v>
      </c>
      <c r="BT149" s="60" t="n">
        <f aca="false">IF(BR149="LOSE",1,0)</f>
        <v>0</v>
      </c>
      <c r="BU149" s="60" t="n">
        <f aca="false">IF(AND(U149="",OR(P149="",P149="LOSE"),T149&lt;&gt;"",N(S149)&lt;=0,ISNUMBER(MATCH(T149,Parameter!$I$27:$I$29,0))),1,0)</f>
        <v>0</v>
      </c>
      <c r="BV149" s="55" t="str">
        <f aca="false">IF(AND(Parameter!$B$19="Ja",E149&lt;&gt;"",ISNUMBER(MATCH(E149,Parameter!$I$35:$I$52,0))),VLOOKUP(E149,Parameter!$I$35:$J$52,2,0),IFERROR(VLOOKUP(D149,Parameter!$A$35:$C$64,2,0),"Nein"))</f>
        <v>2+3</v>
      </c>
      <c r="BW149" s="59" t="n">
        <f aca="false">IF(BT149=0,0,IF(N(S149)&gt;0,S149,IFERROR(VLOOKUP(D149,Parameter!$A$35:$C$64,3,0)+0,0)))</f>
        <v>0</v>
      </c>
      <c r="BX149" s="55" t="n">
        <f aca="false">IF(AA149&lt;&gt;"",AA149,Z149)</f>
        <v>2</v>
      </c>
      <c r="BY149" s="55" t="str">
        <f aca="false">IF(BX149=1,"L1",IF(OR(BX149=2,BX149=3),"L23",IF(BX149="Aussen","Aussen","-")))</f>
        <v>L23</v>
      </c>
      <c r="BZ149" s="66" t="n">
        <f aca="false">IF(N(AB149)&gt;0,AB149,0)</f>
        <v>0</v>
      </c>
      <c r="CA149" s="60" t="n">
        <f aca="false">IF(ISNUMBER(AE149),1,0)</f>
        <v>0</v>
      </c>
      <c r="CB149" s="57" t="n">
        <f aca="false">N(AE149)</f>
        <v>0</v>
      </c>
      <c r="CC149" s="57" t="n">
        <f aca="false">N(M149)+N(N149)</f>
        <v>70</v>
      </c>
      <c r="CD149" s="57" t="n">
        <f aca="false">ROUNDUP(H149/BS149,0)</f>
        <v>3</v>
      </c>
      <c r="CE149" s="57" t="n">
        <f aca="false">ROUNDUP(CB149/BS149,0)</f>
        <v>0</v>
      </c>
      <c r="CF149" s="60" t="n">
        <f aca="false">IF(BT149=1,0,IFERROR(VLOOKUP(BR149,'Gebinde-Kategorie'!$A$5:$M$45,5,0)+0,0))</f>
        <v>21</v>
      </c>
      <c r="CG149" s="60" t="n">
        <f aca="false">IFERROR(IF(OR(BX149=1,BX149=2,BX149=3),N(INDEX(Parameter!$I$5:$I$7,BX149)),0),0)</f>
        <v>0</v>
      </c>
      <c r="CH149" s="59" t="n">
        <f aca="false">IF(AND(Parameter!$B$21="Ja",ISNUMBER(W149),N(X149)&gt;0),IFERROR(N(INDEX(Parameter!$L$5:$L$7,W149))*INDEX(Parameter!$E$5:$E$7,W149)*X149/SUMIFS($X$7:$X$1843,$W$7:$W$1843,W149),0),0)</f>
        <v>0</v>
      </c>
    </row>
    <row r="150" customFormat="false" ht="15" hidden="false" customHeight="false" outlineLevel="0" collapsed="false">
      <c r="A150" s="55" t="s">
        <v>506</v>
      </c>
      <c r="B150" s="55" t="s">
        <v>507</v>
      </c>
      <c r="C150" s="55" t="s">
        <v>164</v>
      </c>
      <c r="D150" s="55" t="s">
        <v>184</v>
      </c>
      <c r="E150" s="55" t="s">
        <v>185</v>
      </c>
      <c r="F150" s="55" t="s">
        <v>218</v>
      </c>
      <c r="G150" s="56" t="n">
        <v>4.04</v>
      </c>
      <c r="H150" s="57" t="n">
        <f aca="false">MAX(0,IF(AND(Parameter!$B$21="Ja",ISNUMBER(Y150)),Y150,IF(Parameter!$B$20="Jahresanfang 2025 + Export",BL150+BK150,BK150)))</f>
        <v>397</v>
      </c>
      <c r="I150" s="57" t="n">
        <f aca="false">H150*G150</f>
        <v>1603.88</v>
      </c>
      <c r="J150" s="57" t="n">
        <f aca="false">BN150*Parameter!$B$18</f>
        <v>199</v>
      </c>
      <c r="K150" s="58" t="n">
        <v>57</v>
      </c>
      <c r="L150" s="59" t="n">
        <v>3.49122807017544</v>
      </c>
      <c r="M150" s="57" t="n">
        <v>11</v>
      </c>
      <c r="N150" s="57" t="n">
        <v>200</v>
      </c>
      <c r="O150" s="60" t="n">
        <v>21</v>
      </c>
      <c r="P150" s="55" t="s">
        <v>302</v>
      </c>
      <c r="Q150" s="57" t="n">
        <v>71</v>
      </c>
      <c r="R150" s="60" t="n">
        <f aca="false">IF(BT150=1,0,IFERROR(VLOOKUP(BR150,'Gebinde-Kategorie'!$A$5:$M$45,13,0)+0,0))</f>
        <v>26</v>
      </c>
      <c r="S150" s="61"/>
      <c r="T150" s="62"/>
      <c r="U150" s="62"/>
      <c r="V150" s="62"/>
      <c r="W150" s="55"/>
      <c r="X150" s="57"/>
      <c r="Y150" s="57"/>
      <c r="Z150" s="55" t="n">
        <f aca="false">IF(A150="","",IF(AND(Parameter!$B$21="Ja",ISNUMBER(W150)),W150,IF(BV150="2+3",IF(ISNUMBER(SEARCH("grosser Artikel",BO150)),2,IFERROR(VLOOKUP(BR150,Parameter!$F$35:$G$64,2,0),2)),IF(OR(BV150="Nein",BV150=""),"-",BV150))))</f>
        <v>3</v>
      </c>
      <c r="AA150" s="62"/>
      <c r="AB150" s="63"/>
      <c r="AC150" s="57" t="n">
        <f aca="false">AR150</f>
        <v>213</v>
      </c>
      <c r="AD150" s="57" t="n">
        <f aca="false">MAX(AR150,H150)</f>
        <v>397</v>
      </c>
      <c r="AE150" s="64"/>
      <c r="AF150" s="57" t="n">
        <f aca="false">IF(LEFT(Cockpit!$C$5,1)="A",H150,IF(CA150=1,CB150,IF(LEFT(Cockpit!$C$5,1)="B",AJ150,MAX(AJ150,H150))))</f>
        <v>397</v>
      </c>
      <c r="AG150" s="57" t="n">
        <f aca="false">IF(BT150=1,0,ROUNDUP(AF150/BS150,0))</f>
        <v>6</v>
      </c>
      <c r="AH150" s="59" t="n">
        <f aca="false">IF(CH150&gt;0,CH150*MAX(1,AF150/X150),IF(BT150=1,IF(AF150&lt;=0,0,BW150*MAX(1,IF(H150&gt;0,AF150/H150,1))),IF(R150&gt;0,AG150/R150,0))/MAX(0.1,N(Parameter!$M$21)))</f>
        <v>0.230769230769231</v>
      </c>
      <c r="AI150" s="57" t="n">
        <f aca="false">AF150*G150</f>
        <v>1603.88</v>
      </c>
      <c r="AJ150" s="57" t="n">
        <f aca="false">ROUNDUP(MAX(J150/IF(BZ150&gt;0,BZ150,MAX(0.1,N(Cockpit!$C$6))),CC150)/BS150,0)*BS150</f>
        <v>213</v>
      </c>
      <c r="AK150" s="58" t="n">
        <f aca="false">IF(AH150&gt;0,J150/AH150,-1)</f>
        <v>862.333333333333</v>
      </c>
      <c r="AL150" s="58" t="n">
        <f aca="false">IF(AND(OR(BY150="L1",BY150="L23"),AH150&gt;0),SUMIFS($AH$7:$AH$1843,$BY$7:$BY$1843,BY150,$AK$7:$AK$1843,"&gt;"&amp;AK150)+SUMIFS($AH$7:$AH$1843,$BY$7:$BY$1843,BY150,$AK$7:$AK$1843,AK150,$BQ$7:$BQ$1843,"&lt;="&amp;BQ150),"")</f>
        <v>20.4495118408162</v>
      </c>
      <c r="AM150" s="65" t="n">
        <f aca="false">IF(AL150="",0,MAX(0,MIN(1,(IF(BY150="L1",Parameter!$E$5,Parameter!$E$6+Parameter!$E$7)-(AL150-AH150))/AH150)))</f>
        <v>1</v>
      </c>
      <c r="AN150" s="57" t="n">
        <f aca="false">IF(LEFT(Cockpit!$I$5,1)="A",H150,IF(CA150=1,CB150,IF(LEFT(Cockpit!$I$5,1)="B",AR150,MAX(AR150,H150))))</f>
        <v>397</v>
      </c>
      <c r="AO150" s="57" t="n">
        <f aca="false">IF(BT150=1,0,ROUNDUP(AN150/BS150,0))</f>
        <v>6</v>
      </c>
      <c r="AP150" s="59" t="n">
        <f aca="false">IF(CH150&gt;0,CH150*MAX(1,AN150/X150),IF(BT150=1,IF(AN150&lt;=0,0,BW150*MAX(1,IF(H150&gt;0,AN150/H150,1))),IF(R150&gt;0,AO150/R150,0))/MAX(0.1,N(Parameter!$M$21)))</f>
        <v>0.230769230769231</v>
      </c>
      <c r="AQ150" s="57" t="n">
        <f aca="false">AN150*G150</f>
        <v>1603.88</v>
      </c>
      <c r="AR150" s="57" t="n">
        <f aca="false">ROUNDUP(MAX(J150/IF(BZ150&gt;0,BZ150,MAX(0.1,N(Cockpit!$I$6))),CC150)/BS150,0)*BS150</f>
        <v>213</v>
      </c>
      <c r="AS150" s="58" t="n">
        <f aca="false">IF(AP150&gt;0,J150/AP150,-1)</f>
        <v>862.333333333333</v>
      </c>
      <c r="AT150" s="58" t="n">
        <f aca="false">IF(AND(OR(BY150="L1",BY150="L23"),AP150&gt;0),SUMIFS($AP$7:$AP$1843,$BY$7:$BY$1843,BY150,$AS$7:$AS$1843,"&gt;"&amp;AS150)+SUMIFS($AP$7:$AP$1843,$BY$7:$BY$1843,BY150,$AS$7:$AS$1843,AS150,$BQ$7:$BQ$1843,"&lt;="&amp;BQ150),"")</f>
        <v>25.3901388466606</v>
      </c>
      <c r="AU150" s="65" t="n">
        <f aca="false">IF(AT150="",0,MAX(0,MIN(1,(IF(BY150="L1",Parameter!$E$5,Parameter!$E$6+Parameter!$E$7)-(AT150-AP150))/AP150)))</f>
        <v>1</v>
      </c>
      <c r="AV150" s="57" t="n">
        <f aca="false">IF(LEFT(Cockpit!$O$5,1)="A",H150,IF(CA150=1,CB150,IF(LEFT(Cockpit!$O$5,1)="B",AZ150,MAX(AZ150,H150))))</f>
        <v>397</v>
      </c>
      <c r="AW150" s="57" t="n">
        <f aca="false">IF(BT150=1,0,ROUNDUP(AV150/BS150,0))</f>
        <v>6</v>
      </c>
      <c r="AX150" s="59" t="n">
        <f aca="false">IF(CH150&gt;0,CH150*MAX(1,AV150/X150),IF(BT150=1,IF(AV150&lt;=0,0,BW150*MAX(1,IF(H150&gt;0,AV150/H150,1))),IF(R150&gt;0,AW150/R150,0))/MAX(0.1,N(Parameter!$M$21)))</f>
        <v>0.230769230769231</v>
      </c>
      <c r="AY150" s="57" t="n">
        <f aca="false">AV150*G150</f>
        <v>1603.88</v>
      </c>
      <c r="AZ150" s="57" t="n">
        <f aca="false">ROUNDUP(MAX(J150/IF(BZ150&gt;0,BZ150,MAX(0.1,N(Cockpit!$O$6))),CC150)/BS150,0)*BS150</f>
        <v>213</v>
      </c>
      <c r="BA150" s="58" t="n">
        <f aca="false">IF(AX150&gt;0,J150/AX150,-1)</f>
        <v>862.333333333333</v>
      </c>
      <c r="BB150" s="58" t="n">
        <f aca="false">IF(AND(OR(BY150="L1",BY150="L23"),AX150&gt;0),SUMIFS($AX$7:$AX$1843,$BY$7:$BY$1843,BY150,$BA$7:$BA$1843,"&gt;"&amp;BA150)+SUMIFS($AX$7:$AX$1843,$BY$7:$BY$1843,BY150,$BA$7:$BA$1843,BA150,$BQ$7:$BQ$1843,"&lt;="&amp;BQ150),"")</f>
        <v>25.508437214959</v>
      </c>
      <c r="BC150" s="65" t="n">
        <f aca="false">IF(BB150="",0,MAX(0,MIN(1,(IF(BY150="L1",Parameter!$E$5,Parameter!$E$6+Parameter!$E$7)-(BB150-AX150))/AX150)))</f>
        <v>1</v>
      </c>
      <c r="BD150" s="55" t="str">
        <f aca="false">IF(AH150&lt;=0,"",IF(BY150="Aussen","Aussenlager",IF(BY150="-","Nicht im Lift",IF(AM150&gt;=1,"Lift",IF(AM150&lt;=0,"Aussenlager","teilweise")))))</f>
        <v>Lift</v>
      </c>
      <c r="BE150" s="55" t="str">
        <f aca="false">IF(AP150&lt;=0,"",IF(BY150="Aussen","Aussenlager",IF(BY150="-","Nicht im Lift",IF(AU150&gt;=1,"Lift",IF(AU150&lt;=0,"Aussenlager","teilweise")))))</f>
        <v>Lift</v>
      </c>
      <c r="BF150" s="55" t="str">
        <f aca="false">IF(AX150&lt;=0,"",IF(BY150="Aussen","Aussenlager",IF(BY150="-","Nicht im Lift",IF(BC150&gt;=1,"Lift",IF(BC150&lt;=0,"Aussenlager","teilweise")))))</f>
        <v>Lift</v>
      </c>
      <c r="BG150" s="55" t="str">
        <f aca="false">IF(A150="","",IF(BP150=1,"Neu; ","")&amp;IF(AND(BP150=0,BK150&lt;0),"negativer Bestand (Export "&amp;BK150&amp;"); ","")&amp;IF(J150&lt;=0,"Kein Verbrauch; ","")&amp;IF(CH150&gt;0,"Lift "&amp;W150&amp;" lt. Liftbericht (Fach "&amp;X150&amp;" Stk); ",IF(BU150=1,"Gebinde geschätzt ("&amp;T150&amp;"); ",IF(BT150=1,"Lose – Tablare geschätzt; ","")))&amp;IF(H150&gt;AR150,"Überbestand "&amp;ROUND(H150-AR150,0)&amp;" Stk / CHF "&amp;ROUND((H150-AR150)*G150,0)&amp;"; ","")&amp;IF(AND(CA150=1,CB150&lt;CC150),"MAX &lt; MB+LG; ","")&amp;IF(AND(CG150&gt;0,CF150*10&gt;CG150),"zu hoch für Tablar; ","")&amp;IF(AND(BP150=0,OR(CA150=1,AA150&lt;&gt;"",U150&lt;&gt;"",V150&lt;&gt;"",AB150&lt;&gt;"")),"manuell übersteuert; ","")&amp;IF(AND(BT150=0,R150=0),"Gebinde unbekannt / Stellmass fehlt; ","")&amp;IF(AND(BT150=0,N(V150)&lt;=0,N(Q150)&lt;=0),"Menge pro Gebinde fehlt (Ist = 1 Gebinde); ","")&amp;BO150)</f>
        <v>Überbestand 184 Stk / CHF 743; </v>
      </c>
      <c r="BH150" s="55"/>
      <c r="BI150" s="55"/>
      <c r="BJ150" s="62"/>
      <c r="BK150" s="57" t="n">
        <v>340</v>
      </c>
      <c r="BL150" s="57" t="n">
        <v>57</v>
      </c>
      <c r="BM150" s="56" t="n">
        <v>1338.26</v>
      </c>
      <c r="BN150" s="57" t="n">
        <v>199</v>
      </c>
      <c r="BO150" s="55"/>
      <c r="BP150" s="60" t="n">
        <v>0</v>
      </c>
      <c r="BQ150" s="60" t="n">
        <v>150</v>
      </c>
      <c r="BR150" s="55" t="str">
        <f aca="false">IF(U150&lt;&gt;"",UPPER(TRIM(U150)),IF(BU150=1,UPPER(VLOOKUP(T150,Parameter!$I$27:$K$29,2,0)),IF(P150="","LOSE",P150)))</f>
        <v>S51</v>
      </c>
      <c r="BS150" s="57" t="n">
        <f aca="false">IF(BR150="LOSE",1,IF(N(V150)&gt;0,V150,IF(BU150=1,MAX(1,N(VLOOKUP(T150,Parameter!$I$27:$K$29,3,0)),H150,N(N150)),IF(N(Q150)&gt;0,Q150,MAX(1,H150)))))</f>
        <v>71</v>
      </c>
      <c r="BT150" s="60" t="n">
        <f aca="false">IF(BR150="LOSE",1,0)</f>
        <v>0</v>
      </c>
      <c r="BU150" s="60" t="n">
        <f aca="false">IF(AND(U150="",OR(P150="",P150="LOSE"),T150&lt;&gt;"",N(S150)&lt;=0,ISNUMBER(MATCH(T150,Parameter!$I$27:$I$29,0))),1,0)</f>
        <v>0</v>
      </c>
      <c r="BV150" s="55" t="str">
        <f aca="false">IF(AND(Parameter!$B$19="Ja",E150&lt;&gt;"",ISNUMBER(MATCH(E150,Parameter!$I$35:$I$52,0))),VLOOKUP(E150,Parameter!$I$35:$J$52,2,0),IFERROR(VLOOKUP(D150,Parameter!$A$35:$C$64,2,0),"Nein"))</f>
        <v>2+3</v>
      </c>
      <c r="BW150" s="59" t="n">
        <f aca="false">IF(BT150=0,0,IF(N(S150)&gt;0,S150,IFERROR(VLOOKUP(D150,Parameter!$A$35:$C$64,3,0)+0,0)))</f>
        <v>0</v>
      </c>
      <c r="BX150" s="55" t="n">
        <f aca="false">IF(AA150&lt;&gt;"",AA150,Z150)</f>
        <v>3</v>
      </c>
      <c r="BY150" s="55" t="str">
        <f aca="false">IF(BX150=1,"L1",IF(OR(BX150=2,BX150=3),"L23",IF(BX150="Aussen","Aussen","-")))</f>
        <v>L23</v>
      </c>
      <c r="BZ150" s="66" t="n">
        <f aca="false">IF(N(AB150)&gt;0,AB150,0)</f>
        <v>0</v>
      </c>
      <c r="CA150" s="60" t="n">
        <f aca="false">IF(ISNUMBER(AE150),1,0)</f>
        <v>0</v>
      </c>
      <c r="CB150" s="57" t="n">
        <f aca="false">N(AE150)</f>
        <v>0</v>
      </c>
      <c r="CC150" s="57" t="n">
        <f aca="false">N(M150)+N(N150)</f>
        <v>211</v>
      </c>
      <c r="CD150" s="57" t="n">
        <f aca="false">ROUNDUP(H150/BS150,0)</f>
        <v>6</v>
      </c>
      <c r="CE150" s="57" t="n">
        <f aca="false">ROUNDUP(CB150/BS150,0)</f>
        <v>0</v>
      </c>
      <c r="CF150" s="60" t="n">
        <f aca="false">IF(BT150=1,0,IFERROR(VLOOKUP(BR150,'Gebinde-Kategorie'!$A$5:$M$45,5,0)+0,0))</f>
        <v>11</v>
      </c>
      <c r="CG150" s="60" t="n">
        <f aca="false">IFERROR(IF(OR(BX150=1,BX150=2,BX150=3),N(INDEX(Parameter!$I$5:$I$7,BX150)),0),0)</f>
        <v>0</v>
      </c>
      <c r="CH150" s="59" t="n">
        <f aca="false">IF(AND(Parameter!$B$21="Ja",ISNUMBER(W150),N(X150)&gt;0),IFERROR(N(INDEX(Parameter!$L$5:$L$7,W150))*INDEX(Parameter!$E$5:$E$7,W150)*X150/SUMIFS($X$7:$X$1843,$W$7:$W$1843,W150),0),0)</f>
        <v>0</v>
      </c>
    </row>
    <row r="151" customFormat="false" ht="15" hidden="false" customHeight="false" outlineLevel="0" collapsed="false">
      <c r="A151" s="55" t="s">
        <v>508</v>
      </c>
      <c r="B151" s="55" t="s">
        <v>509</v>
      </c>
      <c r="C151" s="55" t="s">
        <v>164</v>
      </c>
      <c r="D151" s="55" t="s">
        <v>173</v>
      </c>
      <c r="E151" s="55" t="s">
        <v>173</v>
      </c>
      <c r="F151" s="55" t="s">
        <v>218</v>
      </c>
      <c r="G151" s="56" t="n">
        <v>444.6</v>
      </c>
      <c r="H151" s="57" t="n">
        <f aca="false">MAX(0,IF(AND(Parameter!$B$21="Ja",ISNUMBER(Y151)),Y151,IF(Parameter!$B$20="Jahresanfang 2025 + Export",BL151+BK151,BK151)))</f>
        <v>3</v>
      </c>
      <c r="I151" s="57" t="n">
        <f aca="false">H151*G151</f>
        <v>1333.8</v>
      </c>
      <c r="J151" s="57" t="n">
        <f aca="false">BN151*Parameter!$B$18</f>
        <v>3</v>
      </c>
      <c r="K151" s="58" t="n">
        <v>0</v>
      </c>
      <c r="L151" s="59" t="n">
        <v>0</v>
      </c>
      <c r="M151" s="57" t="n">
        <v>0</v>
      </c>
      <c r="N151" s="57" t="n">
        <v>5</v>
      </c>
      <c r="O151" s="60" t="n">
        <v>28</v>
      </c>
      <c r="P151" s="55" t="s">
        <v>168</v>
      </c>
      <c r="Q151" s="57"/>
      <c r="R151" s="60" t="n">
        <f aca="false">IF(BT151=1,0,IFERROR(VLOOKUP(BR151,'Gebinde-Kategorie'!$A$5:$M$45,13,0)+0,0))</f>
        <v>12</v>
      </c>
      <c r="S151" s="61"/>
      <c r="T151" s="62" t="s">
        <v>179</v>
      </c>
      <c r="U151" s="62"/>
      <c r="V151" s="62"/>
      <c r="W151" s="55"/>
      <c r="X151" s="57"/>
      <c r="Y151" s="57"/>
      <c r="Z151" s="55" t="str">
        <f aca="false">IF(A151="","",IF(AND(Parameter!$B$21="Ja",ISNUMBER(W151)),W151,IF(BV151="2+3",IF(ISNUMBER(SEARCH("grosser Artikel",BO151)),2,IFERROR(VLOOKUP(BR151,Parameter!$F$35:$G$64,2,0),2)),IF(OR(BV151="Nein",BV151=""),"-",BV151))))</f>
        <v>-</v>
      </c>
      <c r="AA151" s="62"/>
      <c r="AB151" s="63"/>
      <c r="AC151" s="57" t="n">
        <f aca="false">AR151</f>
        <v>5</v>
      </c>
      <c r="AD151" s="57" t="n">
        <f aca="false">MAX(AR151,H151)</f>
        <v>5</v>
      </c>
      <c r="AE151" s="64"/>
      <c r="AF151" s="57" t="n">
        <f aca="false">IF(LEFT(Cockpit!$C$5,1)="A",H151,IF(CA151=1,CB151,IF(LEFT(Cockpit!$C$5,1)="B",AJ151,MAX(AJ151,H151))))</f>
        <v>3</v>
      </c>
      <c r="AG151" s="57" t="n">
        <f aca="false">IF(BT151=1,0,ROUNDUP(AF151/BS151,0))</f>
        <v>1</v>
      </c>
      <c r="AH151" s="59" t="n">
        <f aca="false">IF(CH151&gt;0,CH151*MAX(1,AF151/X151),IF(BT151=1,IF(AF151&lt;=0,0,BW151*MAX(1,IF(H151&gt;0,AF151/H151,1))),IF(R151&gt;0,AG151/R151,0))/MAX(0.1,N(Parameter!$M$21)))</f>
        <v>0.0833333333333333</v>
      </c>
      <c r="AI151" s="57" t="n">
        <f aca="false">AF151*G151</f>
        <v>1333.8</v>
      </c>
      <c r="AJ151" s="57" t="n">
        <f aca="false">ROUNDUP(MAX(J151/IF(BZ151&gt;0,BZ151,MAX(0.1,N(Cockpit!$C$6))),CC151)/BS151,0)*BS151</f>
        <v>5</v>
      </c>
      <c r="AK151" s="58" t="n">
        <f aca="false">IF(AH151&gt;0,J151/AH151,-1)</f>
        <v>36</v>
      </c>
      <c r="AL151" s="58" t="str">
        <f aca="false">IF(AND(OR(BY151="L1",BY151="L23"),AH151&gt;0),SUMIFS($AH$7:$AH$1843,$BY$7:$BY$1843,BY151,$AK$7:$AK$1843,"&gt;"&amp;AK151)+SUMIFS($AH$7:$AH$1843,$BY$7:$BY$1843,BY151,$AK$7:$AK$1843,AK151,$BQ$7:$BQ$1843,"&lt;="&amp;BQ151),"")</f>
        <v/>
      </c>
      <c r="AM151" s="65" t="n">
        <f aca="false">IF(AL151="",0,MAX(0,MIN(1,(IF(BY151="L1",Parameter!$E$5,Parameter!$E$6+Parameter!$E$7)-(AL151-AH151))/AH151)))</f>
        <v>0</v>
      </c>
      <c r="AN151" s="57" t="n">
        <f aca="false">IF(LEFT(Cockpit!$I$5,1)="A",H151,IF(CA151=1,CB151,IF(LEFT(Cockpit!$I$5,1)="B",AR151,MAX(AR151,H151))))</f>
        <v>5</v>
      </c>
      <c r="AO151" s="57" t="n">
        <f aca="false">IF(BT151=1,0,ROUNDUP(AN151/BS151,0))</f>
        <v>1</v>
      </c>
      <c r="AP151" s="59" t="n">
        <f aca="false">IF(CH151&gt;0,CH151*MAX(1,AN151/X151),IF(BT151=1,IF(AN151&lt;=0,0,BW151*MAX(1,IF(H151&gt;0,AN151/H151,1))),IF(R151&gt;0,AO151/R151,0))/MAX(0.1,N(Parameter!$M$21)))</f>
        <v>0.0833333333333333</v>
      </c>
      <c r="AQ151" s="57" t="n">
        <f aca="false">AN151*G151</f>
        <v>2223</v>
      </c>
      <c r="AR151" s="57" t="n">
        <f aca="false">ROUNDUP(MAX(J151/IF(BZ151&gt;0,BZ151,MAX(0.1,N(Cockpit!$I$6))),CC151)/BS151,0)*BS151</f>
        <v>5</v>
      </c>
      <c r="AS151" s="58" t="n">
        <f aca="false">IF(AP151&gt;0,J151/AP151,-1)</f>
        <v>36</v>
      </c>
      <c r="AT151" s="58" t="str">
        <f aca="false">IF(AND(OR(BY151="L1",BY151="L23"),AP151&gt;0),SUMIFS($AP$7:$AP$1843,$BY$7:$BY$1843,BY151,$AS$7:$AS$1843,"&gt;"&amp;AS151)+SUMIFS($AP$7:$AP$1843,$BY$7:$BY$1843,BY151,$AS$7:$AS$1843,AS151,$BQ$7:$BQ$1843,"&lt;="&amp;BQ151),"")</f>
        <v/>
      </c>
      <c r="AU151" s="65" t="n">
        <f aca="false">IF(AT151="",0,MAX(0,MIN(1,(IF(BY151="L1",Parameter!$E$5,Parameter!$E$6+Parameter!$E$7)-(AT151-AP151))/AP151)))</f>
        <v>0</v>
      </c>
      <c r="AV151" s="57" t="n">
        <f aca="false">IF(LEFT(Cockpit!$O$5,1)="A",H151,IF(CA151=1,CB151,IF(LEFT(Cockpit!$O$5,1)="B",AZ151,MAX(AZ151,H151))))</f>
        <v>5</v>
      </c>
      <c r="AW151" s="57" t="n">
        <f aca="false">IF(BT151=1,0,ROUNDUP(AV151/BS151,0))</f>
        <v>1</v>
      </c>
      <c r="AX151" s="59" t="n">
        <f aca="false">IF(CH151&gt;0,CH151*MAX(1,AV151/X151),IF(BT151=1,IF(AV151&lt;=0,0,BW151*MAX(1,IF(H151&gt;0,AV151/H151,1))),IF(R151&gt;0,AW151/R151,0))/MAX(0.1,N(Parameter!$M$21)))</f>
        <v>0.0833333333333333</v>
      </c>
      <c r="AY151" s="57" t="n">
        <f aca="false">AV151*G151</f>
        <v>2223</v>
      </c>
      <c r="AZ151" s="57" t="n">
        <f aca="false">ROUNDUP(MAX(J151/IF(BZ151&gt;0,BZ151,MAX(0.1,N(Cockpit!$O$6))),CC151)/BS151,0)*BS151</f>
        <v>5</v>
      </c>
      <c r="BA151" s="58" t="n">
        <f aca="false">IF(AX151&gt;0,J151/AX151,-1)</f>
        <v>36</v>
      </c>
      <c r="BB151" s="58" t="str">
        <f aca="false">IF(AND(OR(BY151="L1",BY151="L23"),AX151&gt;0),SUMIFS($AX$7:$AX$1843,$BY$7:$BY$1843,BY151,$BA$7:$BA$1843,"&gt;"&amp;BA151)+SUMIFS($AX$7:$AX$1843,$BY$7:$BY$1843,BY151,$BA$7:$BA$1843,BA151,$BQ$7:$BQ$1843,"&lt;="&amp;BQ151),"")</f>
        <v/>
      </c>
      <c r="BC151" s="65" t="n">
        <f aca="false">IF(BB151="",0,MAX(0,MIN(1,(IF(BY151="L1",Parameter!$E$5,Parameter!$E$6+Parameter!$E$7)-(BB151-AX151))/AX151)))</f>
        <v>0</v>
      </c>
      <c r="BD151" s="55" t="str">
        <f aca="false">IF(AH151&lt;=0,"",IF(BY151="Aussen","Aussenlager",IF(BY151="-","Nicht im Lift",IF(AM151&gt;=1,"Lift",IF(AM151&lt;=0,"Aussenlager","teilweise")))))</f>
        <v>Nicht im Lift</v>
      </c>
      <c r="BE151" s="55" t="str">
        <f aca="false">IF(AP151&lt;=0,"",IF(BY151="Aussen","Aussenlager",IF(BY151="-","Nicht im Lift",IF(AU151&gt;=1,"Lift",IF(AU151&lt;=0,"Aussenlager","teilweise")))))</f>
        <v>Nicht im Lift</v>
      </c>
      <c r="BF151" s="55" t="str">
        <f aca="false">IF(AX151&lt;=0,"",IF(BY151="Aussen","Aussenlager",IF(BY151="-","Nicht im Lift",IF(BC151&gt;=1,"Lift",IF(BC151&lt;=0,"Aussenlager","teilweise")))))</f>
        <v>Nicht im Lift</v>
      </c>
      <c r="BG151" s="55" t="str">
        <f aca="false">IF(A151="","",IF(BP151=1,"Neu; ","")&amp;IF(AND(BP151=0,BK151&lt;0),"negativer Bestand (Export "&amp;BK151&amp;"); ","")&amp;IF(J151&lt;=0,"Kein Verbrauch; ","")&amp;IF(CH151&gt;0,"Lift "&amp;W151&amp;" lt. Liftbericht (Fach "&amp;X151&amp;" Stk); ",IF(BU151=1,"Gebinde geschätzt ("&amp;T151&amp;"); ",IF(BT151=1,"Lose – Tablare geschätzt; ","")))&amp;IF(H151&gt;AR151,"Überbestand "&amp;ROUND(H151-AR151,0)&amp;" Stk / CHF "&amp;ROUND((H151-AR151)*G151,0)&amp;"; ","")&amp;IF(AND(CA151=1,CB151&lt;CC151),"MAX &lt; MB+LG; ","")&amp;IF(AND(CG151&gt;0,CF151*10&gt;CG151),"zu hoch für Tablar; ","")&amp;IF(AND(BP151=0,OR(CA151=1,AA151&lt;&gt;"",U151&lt;&gt;"",V151&lt;&gt;"",AB151&lt;&gt;"")),"manuell übersteuert; ","")&amp;IF(AND(BT151=0,R151=0),"Gebinde unbekannt / Stellmass fehlt; ","")&amp;IF(AND(BT151=0,N(V151)&lt;=0,N(Q151)&lt;=0),"Menge pro Gebinde fehlt (Ist = 1 Gebinde); ","")&amp;BO151)</f>
        <v>Gebinde geschätzt (Mittel); Menge pro Gebinde fehlt (Ist = 1 Gebinde); </v>
      </c>
      <c r="BH151" s="55"/>
      <c r="BI151" s="55"/>
      <c r="BJ151" s="62"/>
      <c r="BK151" s="57" t="n">
        <v>3</v>
      </c>
      <c r="BL151" s="57" t="n">
        <v>0</v>
      </c>
      <c r="BM151" s="56" t="n">
        <v>1333.8</v>
      </c>
      <c r="BN151" s="57" t="n">
        <v>3</v>
      </c>
      <c r="BO151" s="55"/>
      <c r="BP151" s="60" t="n">
        <v>0</v>
      </c>
      <c r="BQ151" s="60" t="n">
        <v>151</v>
      </c>
      <c r="BR151" s="55" t="str">
        <f aca="false">IF(U151&lt;&gt;"",UPPER(TRIM(U151)),IF(BU151=1,UPPER(VLOOKUP(T151,Parameter!$I$27:$K$29,2,0)),IF(P151="","LOSE",P151)))</f>
        <v>S61</v>
      </c>
      <c r="BS151" s="57" t="n">
        <f aca="false">IF(BR151="LOSE",1,IF(N(V151)&gt;0,V151,IF(BU151=1,MAX(1,N(VLOOKUP(T151,Parameter!$I$27:$K$29,3,0)),H151,N(N151)),IF(N(Q151)&gt;0,Q151,MAX(1,H151)))))</f>
        <v>5</v>
      </c>
      <c r="BT151" s="60" t="n">
        <f aca="false">IF(BR151="LOSE",1,0)</f>
        <v>0</v>
      </c>
      <c r="BU151" s="60" t="n">
        <f aca="false">IF(AND(U151="",OR(P151="",P151="LOSE"),T151&lt;&gt;"",N(S151)&lt;=0,ISNUMBER(MATCH(T151,Parameter!$I$27:$I$29,0))),1,0)</f>
        <v>1</v>
      </c>
      <c r="BV151" s="55" t="str">
        <f aca="false">IF(AND(Parameter!$B$19="Ja",E151&lt;&gt;"",ISNUMBER(MATCH(E151,Parameter!$I$35:$I$52,0))),VLOOKUP(E151,Parameter!$I$35:$J$52,2,0),IFERROR(VLOOKUP(D151,Parameter!$A$35:$C$64,2,0),"Nein"))</f>
        <v>Nein</v>
      </c>
      <c r="BW151" s="59" t="n">
        <f aca="false">IF(BT151=0,0,IF(N(S151)&gt;0,S151,IFERROR(VLOOKUP(D151,Parameter!$A$35:$C$64,3,0)+0,0)))</f>
        <v>0</v>
      </c>
      <c r="BX151" s="55" t="str">
        <f aca="false">IF(AA151&lt;&gt;"",AA151,Z151)</f>
        <v>-</v>
      </c>
      <c r="BY151" s="55" t="str">
        <f aca="false">IF(BX151=1,"L1",IF(OR(BX151=2,BX151=3),"L23",IF(BX151="Aussen","Aussen","-")))</f>
        <v>-</v>
      </c>
      <c r="BZ151" s="66" t="n">
        <f aca="false">IF(N(AB151)&gt;0,AB151,0)</f>
        <v>0</v>
      </c>
      <c r="CA151" s="60" t="n">
        <f aca="false">IF(ISNUMBER(AE151),1,0)</f>
        <v>0</v>
      </c>
      <c r="CB151" s="57" t="n">
        <f aca="false">N(AE151)</f>
        <v>0</v>
      </c>
      <c r="CC151" s="57" t="n">
        <f aca="false">N(M151)+N(N151)</f>
        <v>5</v>
      </c>
      <c r="CD151" s="57" t="n">
        <f aca="false">ROUNDUP(H151/BS151,0)</f>
        <v>1</v>
      </c>
      <c r="CE151" s="57" t="n">
        <f aca="false">ROUNDUP(CB151/BS151,0)</f>
        <v>0</v>
      </c>
      <c r="CF151" s="60" t="n">
        <f aca="false">IF(BT151=1,0,IFERROR(VLOOKUP(BR151,'Gebinde-Kategorie'!$A$5:$M$45,5,0)+0,0))</f>
        <v>11</v>
      </c>
      <c r="CG151" s="60" t="n">
        <f aca="false">IFERROR(IF(OR(BX151=1,BX151=2,BX151=3),N(INDEX(Parameter!$I$5:$I$7,BX151)),0),0)</f>
        <v>0</v>
      </c>
      <c r="CH151" s="59" t="n">
        <f aca="false">IF(AND(Parameter!$B$21="Ja",ISNUMBER(W151),N(X151)&gt;0),IFERROR(N(INDEX(Parameter!$L$5:$L$7,W151))*INDEX(Parameter!$E$5:$E$7,W151)*X151/SUMIFS($X$7:$X$1843,$W$7:$W$1843,W151),0),0)</f>
        <v>0</v>
      </c>
    </row>
    <row r="152" customFormat="false" ht="15" hidden="false" customHeight="false" outlineLevel="0" collapsed="false">
      <c r="A152" s="55" t="s">
        <v>510</v>
      </c>
      <c r="B152" s="55" t="s">
        <v>511</v>
      </c>
      <c r="C152" s="55" t="s">
        <v>164</v>
      </c>
      <c r="D152" s="55" t="s">
        <v>184</v>
      </c>
      <c r="E152" s="55"/>
      <c r="F152" s="55" t="s">
        <v>218</v>
      </c>
      <c r="G152" s="56" t="n">
        <v>32.83</v>
      </c>
      <c r="H152" s="57" t="n">
        <f aca="false">MAX(0,IF(AND(Parameter!$B$21="Ja",ISNUMBER(Y152)),Y152,IF(Parameter!$B$20="Jahresanfang 2025 + Export",BL152+BK152,BK152)))</f>
        <v>42</v>
      </c>
      <c r="I152" s="57" t="n">
        <f aca="false">H152*G152</f>
        <v>1378.86</v>
      </c>
      <c r="J152" s="57" t="n">
        <f aca="false">BN152*Parameter!$B$18</f>
        <v>0</v>
      </c>
      <c r="K152" s="58" t="n">
        <v>2</v>
      </c>
      <c r="L152" s="59" t="n">
        <v>0</v>
      </c>
      <c r="M152" s="57" t="n">
        <v>0</v>
      </c>
      <c r="N152" s="57" t="n">
        <v>1</v>
      </c>
      <c r="O152" s="60" t="n">
        <v>28</v>
      </c>
      <c r="P152" s="55" t="s">
        <v>302</v>
      </c>
      <c r="Q152" s="57" t="n">
        <v>50</v>
      </c>
      <c r="R152" s="60" t="n">
        <f aca="false">IF(BT152=1,0,IFERROR(VLOOKUP(BR152,'Gebinde-Kategorie'!$A$5:$M$45,13,0)+0,0))</f>
        <v>26</v>
      </c>
      <c r="S152" s="61"/>
      <c r="T152" s="62"/>
      <c r="U152" s="62"/>
      <c r="V152" s="62"/>
      <c r="W152" s="55"/>
      <c r="X152" s="57"/>
      <c r="Y152" s="57"/>
      <c r="Z152" s="55" t="n">
        <f aca="false">IF(A152="","",IF(AND(Parameter!$B$21="Ja",ISNUMBER(W152)),W152,IF(BV152="2+3",IF(ISNUMBER(SEARCH("grosser Artikel",BO152)),2,IFERROR(VLOOKUP(BR152,Parameter!$F$35:$G$64,2,0),2)),IF(OR(BV152="Nein",BV152=""),"-",BV152))))</f>
        <v>3</v>
      </c>
      <c r="AA152" s="62"/>
      <c r="AB152" s="63"/>
      <c r="AC152" s="57" t="n">
        <f aca="false">AR152</f>
        <v>50</v>
      </c>
      <c r="AD152" s="57" t="n">
        <f aca="false">MAX(AR152,H152)</f>
        <v>50</v>
      </c>
      <c r="AE152" s="64"/>
      <c r="AF152" s="57" t="n">
        <f aca="false">IF(LEFT(Cockpit!$C$5,1)="A",H152,IF(CA152=1,CB152,IF(LEFT(Cockpit!$C$5,1)="B",AJ152,MAX(AJ152,H152))))</f>
        <v>42</v>
      </c>
      <c r="AG152" s="57" t="n">
        <f aca="false">IF(BT152=1,0,ROUNDUP(AF152/BS152,0))</f>
        <v>1</v>
      </c>
      <c r="AH152" s="59" t="n">
        <f aca="false">IF(CH152&gt;0,CH152*MAX(1,AF152/X152),IF(BT152=1,IF(AF152&lt;=0,0,BW152*MAX(1,IF(H152&gt;0,AF152/H152,1))),IF(R152&gt;0,AG152/R152,0))/MAX(0.1,N(Parameter!$M$21)))</f>
        <v>0.0384615384615385</v>
      </c>
      <c r="AI152" s="57" t="n">
        <f aca="false">AF152*G152</f>
        <v>1378.86</v>
      </c>
      <c r="AJ152" s="57" t="n">
        <f aca="false">ROUNDUP(MAX(J152/IF(BZ152&gt;0,BZ152,MAX(0.1,N(Cockpit!$C$6))),CC152)/BS152,0)*BS152</f>
        <v>50</v>
      </c>
      <c r="AK152" s="58" t="n">
        <f aca="false">IF(AH152&gt;0,J152/AH152,-1)</f>
        <v>0</v>
      </c>
      <c r="AL152" s="58" t="n">
        <f aca="false">IF(AND(OR(BY152="L1",BY152="L23"),AH152&gt;0),SUMIFS($AH$7:$AH$1843,$BY$7:$BY$1843,BY152,$AK$7:$AK$1843,"&gt;"&amp;AK152)+SUMIFS($AH$7:$AH$1843,$BY$7:$BY$1843,BY152,$AK$7:$AK$1843,AK152,$BQ$7:$BQ$1843,"&lt;="&amp;BQ152),"")</f>
        <v>69.3560521604</v>
      </c>
      <c r="AM152" s="65" t="n">
        <f aca="false">IF(AL152="",0,MAX(0,MIN(1,(IF(BY152="L1",Parameter!$E$5,Parameter!$E$6+Parameter!$E$7)-(AL152-AH152))/AH152)))</f>
        <v>1</v>
      </c>
      <c r="AN152" s="57" t="n">
        <f aca="false">IF(LEFT(Cockpit!$I$5,1)="A",H152,IF(CA152=1,CB152,IF(LEFT(Cockpit!$I$5,1)="B",AR152,MAX(AR152,H152))))</f>
        <v>50</v>
      </c>
      <c r="AO152" s="57" t="n">
        <f aca="false">IF(BT152=1,0,ROUNDUP(AN152/BS152,0))</f>
        <v>1</v>
      </c>
      <c r="AP152" s="59" t="n">
        <f aca="false">IF(CH152&gt;0,CH152*MAX(1,AN152/X152),IF(BT152=1,IF(AN152&lt;=0,0,BW152*MAX(1,IF(H152&gt;0,AN152/H152,1))),IF(R152&gt;0,AO152/R152,0))/MAX(0.1,N(Parameter!$M$21)))</f>
        <v>0.0384615384615385</v>
      </c>
      <c r="AQ152" s="57" t="n">
        <f aca="false">AN152*G152</f>
        <v>1641.5</v>
      </c>
      <c r="AR152" s="57" t="n">
        <f aca="false">ROUNDUP(MAX(J152/IF(BZ152&gt;0,BZ152,MAX(0.1,N(Cockpit!$I$6))),CC152)/BS152,0)*BS152</f>
        <v>50</v>
      </c>
      <c r="AS152" s="58" t="n">
        <f aca="false">IF(AP152&gt;0,J152/AP152,-1)</f>
        <v>0</v>
      </c>
      <c r="AT152" s="58" t="n">
        <f aca="false">IF(AND(OR(BY152="L1",BY152="L23"),AP152&gt;0),SUMIFS($AP$7:$AP$1843,$BY$7:$BY$1843,BY152,$AS$7:$AS$1843,"&gt;"&amp;AS152)+SUMIFS($AP$7:$AP$1843,$BY$7:$BY$1843,BY152,$AS$7:$AS$1843,AS152,$BQ$7:$BQ$1843,"&lt;="&amp;BQ152),"")</f>
        <v>108.780176345394</v>
      </c>
      <c r="AU152" s="65" t="n">
        <f aca="false">IF(AT152="",0,MAX(0,MIN(1,(IF(BY152="L1",Parameter!$E$5,Parameter!$E$6+Parameter!$E$7)-(AT152-AP152))/AP152)))</f>
        <v>0</v>
      </c>
      <c r="AV152" s="57" t="n">
        <f aca="false">IF(LEFT(Cockpit!$O$5,1)="A",H152,IF(CA152=1,CB152,IF(LEFT(Cockpit!$O$5,1)="B",AZ152,MAX(AZ152,H152))))</f>
        <v>50</v>
      </c>
      <c r="AW152" s="57" t="n">
        <f aca="false">IF(BT152=1,0,ROUNDUP(AV152/BS152,0))</f>
        <v>1</v>
      </c>
      <c r="AX152" s="59" t="n">
        <f aca="false">IF(CH152&gt;0,CH152*MAX(1,AV152/X152),IF(BT152=1,IF(AV152&lt;=0,0,BW152*MAX(1,IF(H152&gt;0,AV152/H152,1))),IF(R152&gt;0,AW152/R152,0))/MAX(0.1,N(Parameter!$M$21)))</f>
        <v>0.0384615384615385</v>
      </c>
      <c r="AY152" s="57" t="n">
        <f aca="false">AV152*G152</f>
        <v>1641.5</v>
      </c>
      <c r="AZ152" s="57" t="n">
        <f aca="false">ROUNDUP(MAX(J152/IF(BZ152&gt;0,BZ152,MAX(0.1,N(Cockpit!$O$6))),CC152)/BS152,0)*BS152</f>
        <v>50</v>
      </c>
      <c r="BA152" s="58" t="n">
        <f aca="false">IF(AX152&gt;0,J152/AX152,-1)</f>
        <v>0</v>
      </c>
      <c r="BB152" s="58" t="n">
        <f aca="false">IF(AND(OR(BY152="L1",BY152="L23"),AX152&gt;0),SUMIFS($AX$7:$AX$1843,$BY$7:$BY$1843,BY152,$BA$7:$BA$1843,"&gt;"&amp;BA152)+SUMIFS($AX$7:$AX$1843,$BY$7:$BY$1843,BY152,$BA$7:$BA$1843,BA152,$BQ$7:$BQ$1843,"&lt;="&amp;BQ152),"")</f>
        <v>99.6100131752306</v>
      </c>
      <c r="BC152" s="65" t="n">
        <f aca="false">IF(BB152="",0,MAX(0,MIN(1,(IF(BY152="L1",Parameter!$E$5,Parameter!$E$6+Parameter!$E$7)-(BB152-AX152))/AX152)))</f>
        <v>1</v>
      </c>
      <c r="BD152" s="55" t="str">
        <f aca="false">IF(AH152&lt;=0,"",IF(BY152="Aussen","Aussenlager",IF(BY152="-","Nicht im Lift",IF(AM152&gt;=1,"Lift",IF(AM152&lt;=0,"Aussenlager","teilweise")))))</f>
        <v>Lift</v>
      </c>
      <c r="BE152" s="55" t="str">
        <f aca="false">IF(AP152&lt;=0,"",IF(BY152="Aussen","Aussenlager",IF(BY152="-","Nicht im Lift",IF(AU152&gt;=1,"Lift",IF(AU152&lt;=0,"Aussenlager","teilweise")))))</f>
        <v>Aussenlager</v>
      </c>
      <c r="BF152" s="55" t="str">
        <f aca="false">IF(AX152&lt;=0,"",IF(BY152="Aussen","Aussenlager",IF(BY152="-","Nicht im Lift",IF(BC152&gt;=1,"Lift",IF(BC152&lt;=0,"Aussenlager","teilweise")))))</f>
        <v>Lift</v>
      </c>
      <c r="BG152" s="55" t="str">
        <f aca="false">IF(A152="","",IF(BP152=1,"Neu; ","")&amp;IF(AND(BP152=0,BK152&lt;0),"negativer Bestand (Export "&amp;BK152&amp;"); ","")&amp;IF(J152&lt;=0,"Kein Verbrauch; ","")&amp;IF(CH152&gt;0,"Lift "&amp;W152&amp;" lt. Liftbericht (Fach "&amp;X152&amp;" Stk); ",IF(BU152=1,"Gebinde geschätzt ("&amp;T152&amp;"); ",IF(BT152=1,"Lose – Tablare geschätzt; ","")))&amp;IF(H152&gt;AR152,"Überbestand "&amp;ROUND(H152-AR152,0)&amp;" Stk / CHF "&amp;ROUND((H152-AR152)*G152,0)&amp;"; ","")&amp;IF(AND(CA152=1,CB152&lt;CC152),"MAX &lt; MB+LG; ","")&amp;IF(AND(CG152&gt;0,CF152*10&gt;CG152),"zu hoch für Tablar; ","")&amp;IF(AND(BP152=0,OR(CA152=1,AA152&lt;&gt;"",U152&lt;&gt;"",V152&lt;&gt;"",AB152&lt;&gt;"")),"manuell übersteuert; ","")&amp;IF(AND(BT152=0,R152=0),"Gebinde unbekannt / Stellmass fehlt; ","")&amp;IF(AND(BT152=0,N(V152)&lt;=0,N(Q152)&lt;=0),"Menge pro Gebinde fehlt (Ist = 1 Gebinde); ","")&amp;BO152)</f>
        <v>Kein Verbrauch; Neuer Art.</v>
      </c>
      <c r="BH152" s="55"/>
      <c r="BI152" s="55"/>
      <c r="BJ152" s="62"/>
      <c r="BK152" s="57" t="n">
        <v>40</v>
      </c>
      <c r="BL152" s="57" t="n">
        <v>2</v>
      </c>
      <c r="BM152" s="56" t="n">
        <v>1322.06</v>
      </c>
      <c r="BN152" s="57" t="n">
        <v>0</v>
      </c>
      <c r="BO152" s="55" t="s">
        <v>512</v>
      </c>
      <c r="BP152" s="60" t="n">
        <v>0</v>
      </c>
      <c r="BQ152" s="60" t="n">
        <v>152</v>
      </c>
      <c r="BR152" s="55" t="str">
        <f aca="false">IF(U152&lt;&gt;"",UPPER(TRIM(U152)),IF(BU152=1,UPPER(VLOOKUP(T152,Parameter!$I$27:$K$29,2,0)),IF(P152="","LOSE",P152)))</f>
        <v>S51</v>
      </c>
      <c r="BS152" s="57" t="n">
        <f aca="false">IF(BR152="LOSE",1,IF(N(V152)&gt;0,V152,IF(BU152=1,MAX(1,N(VLOOKUP(T152,Parameter!$I$27:$K$29,3,0)),H152,N(N152)),IF(N(Q152)&gt;0,Q152,MAX(1,H152)))))</f>
        <v>50</v>
      </c>
      <c r="BT152" s="60" t="n">
        <f aca="false">IF(BR152="LOSE",1,0)</f>
        <v>0</v>
      </c>
      <c r="BU152" s="60" t="n">
        <f aca="false">IF(AND(U152="",OR(P152="",P152="LOSE"),T152&lt;&gt;"",N(S152)&lt;=0,ISNUMBER(MATCH(T152,Parameter!$I$27:$I$29,0))),1,0)</f>
        <v>0</v>
      </c>
      <c r="BV152" s="55" t="str">
        <f aca="false">IF(AND(Parameter!$B$19="Ja",E152&lt;&gt;"",ISNUMBER(MATCH(E152,Parameter!$I$35:$I$52,0))),VLOOKUP(E152,Parameter!$I$35:$J$52,2,0),IFERROR(VLOOKUP(D152,Parameter!$A$35:$C$64,2,0),"Nein"))</f>
        <v>2+3</v>
      </c>
      <c r="BW152" s="59" t="n">
        <f aca="false">IF(BT152=0,0,IF(N(S152)&gt;0,S152,IFERROR(VLOOKUP(D152,Parameter!$A$35:$C$64,3,0)+0,0)))</f>
        <v>0</v>
      </c>
      <c r="BX152" s="55" t="n">
        <f aca="false">IF(AA152&lt;&gt;"",AA152,Z152)</f>
        <v>3</v>
      </c>
      <c r="BY152" s="55" t="str">
        <f aca="false">IF(BX152=1,"L1",IF(OR(BX152=2,BX152=3),"L23",IF(BX152="Aussen","Aussen","-")))</f>
        <v>L23</v>
      </c>
      <c r="BZ152" s="66" t="n">
        <f aca="false">IF(N(AB152)&gt;0,AB152,0)</f>
        <v>0</v>
      </c>
      <c r="CA152" s="60" t="n">
        <f aca="false">IF(ISNUMBER(AE152),1,0)</f>
        <v>0</v>
      </c>
      <c r="CB152" s="57" t="n">
        <f aca="false">N(AE152)</f>
        <v>0</v>
      </c>
      <c r="CC152" s="57" t="n">
        <f aca="false">N(M152)+N(N152)</f>
        <v>1</v>
      </c>
      <c r="CD152" s="57" t="n">
        <f aca="false">ROUNDUP(H152/BS152,0)</f>
        <v>1</v>
      </c>
      <c r="CE152" s="57" t="n">
        <f aca="false">ROUNDUP(CB152/BS152,0)</f>
        <v>0</v>
      </c>
      <c r="CF152" s="60" t="n">
        <f aca="false">IF(BT152=1,0,IFERROR(VLOOKUP(BR152,'Gebinde-Kategorie'!$A$5:$M$45,5,0)+0,0))</f>
        <v>11</v>
      </c>
      <c r="CG152" s="60" t="n">
        <f aca="false">IFERROR(IF(OR(BX152=1,BX152=2,BX152=3),N(INDEX(Parameter!$I$5:$I$7,BX152)),0),0)</f>
        <v>0</v>
      </c>
      <c r="CH152" s="59" t="n">
        <f aca="false">IF(AND(Parameter!$B$21="Ja",ISNUMBER(W152),N(X152)&gt;0),IFERROR(N(INDEX(Parameter!$L$5:$L$7,W152))*INDEX(Parameter!$E$5:$E$7,W152)*X152/SUMIFS($X$7:$X$1843,$W$7:$W$1843,W152),0),0)</f>
        <v>0</v>
      </c>
    </row>
    <row r="153" customFormat="false" ht="15" hidden="false" customHeight="false" outlineLevel="0" collapsed="false">
      <c r="A153" s="55" t="s">
        <v>513</v>
      </c>
      <c r="B153" s="55" t="s">
        <v>514</v>
      </c>
      <c r="C153" s="55" t="s">
        <v>164</v>
      </c>
      <c r="D153" s="55" t="s">
        <v>173</v>
      </c>
      <c r="E153" s="55" t="s">
        <v>166</v>
      </c>
      <c r="F153" s="55" t="s">
        <v>218</v>
      </c>
      <c r="G153" s="56" t="n">
        <v>2753.47</v>
      </c>
      <c r="H153" s="57" t="n">
        <f aca="false">MAX(0,IF(AND(Parameter!$B$21="Ja",ISNUMBER(Y153)),Y153,IF(Parameter!$B$20="Jahresanfang 2025 + Export",BL153+BK153,BK153)))</f>
        <v>2</v>
      </c>
      <c r="I153" s="57" t="n">
        <f aca="false">H153*G153</f>
        <v>5506.94</v>
      </c>
      <c r="J153" s="57" t="n">
        <f aca="false">BN153*Parameter!$B$18</f>
        <v>2</v>
      </c>
      <c r="K153" s="58" t="n">
        <v>2.5</v>
      </c>
      <c r="L153" s="59" t="n">
        <v>0.8</v>
      </c>
      <c r="M153" s="57" t="n">
        <v>1</v>
      </c>
      <c r="N153" s="57" t="n">
        <v>1</v>
      </c>
      <c r="O153" s="60" t="n">
        <v>56</v>
      </c>
      <c r="P153" s="55" t="s">
        <v>168</v>
      </c>
      <c r="Q153" s="57"/>
      <c r="R153" s="60" t="n">
        <f aca="false">IF(BT153=1,0,IFERROR(VLOOKUP(BR153,'Gebinde-Kategorie'!$A$5:$M$45,13,0)+0,0))</f>
        <v>0</v>
      </c>
      <c r="S153" s="61"/>
      <c r="T153" s="62"/>
      <c r="U153" s="62"/>
      <c r="V153" s="62"/>
      <c r="W153" s="55" t="n">
        <v>1</v>
      </c>
      <c r="X153" s="57" t="n">
        <v>4</v>
      </c>
      <c r="Y153" s="57" t="n">
        <v>2</v>
      </c>
      <c r="Z153" s="55" t="n">
        <f aca="false">IF(A153="","",IF(AND(Parameter!$B$21="Ja",ISNUMBER(W153)),W153,IF(BV153="2+3",IF(ISNUMBER(SEARCH("grosser Artikel",BO153)),2,IFERROR(VLOOKUP(BR153,Parameter!$F$35:$G$64,2,0),2)),IF(OR(BV153="Nein",BV153=""),"-",BV153))))</f>
        <v>1</v>
      </c>
      <c r="AA153" s="62"/>
      <c r="AB153" s="63"/>
      <c r="AC153" s="57" t="n">
        <f aca="false">AR153</f>
        <v>2</v>
      </c>
      <c r="AD153" s="57" t="n">
        <f aca="false">MAX(AR153,H153)</f>
        <v>2</v>
      </c>
      <c r="AE153" s="64"/>
      <c r="AF153" s="57" t="n">
        <f aca="false">IF(LEFT(Cockpit!$C$5,1)="A",H153,IF(CA153=1,CB153,IF(LEFT(Cockpit!$C$5,1)="B",AJ153,MAX(AJ153,H153))))</f>
        <v>2</v>
      </c>
      <c r="AG153" s="57" t="n">
        <f aca="false">IF(BT153=1,0,ROUNDUP(AF153/BS153,0))</f>
        <v>0</v>
      </c>
      <c r="AH153" s="59" t="n">
        <f aca="false">IF(CH153&gt;0,CH153*MAX(1,AF153/X153),IF(BT153=1,IF(AF153&lt;=0,0,BW153*MAX(1,IF(H153&gt;0,AF153/H153,1))),IF(R153&gt;0,AG153/R153,0))/MAX(0.1,N(Parameter!$M$21)))</f>
        <v>0.32015065913371</v>
      </c>
      <c r="AI153" s="57" t="n">
        <f aca="false">AF153*G153</f>
        <v>5506.94</v>
      </c>
      <c r="AJ153" s="57" t="n">
        <f aca="false">ROUNDUP(MAX(J153/IF(BZ153&gt;0,BZ153,MAX(0.1,N(Cockpit!$C$6))),CC153)/BS153,0)*BS153</f>
        <v>2</v>
      </c>
      <c r="AK153" s="58" t="n">
        <f aca="false">IF(AH153&gt;0,J153/AH153,-1)</f>
        <v>6.24705882352941</v>
      </c>
      <c r="AL153" s="58" t="n">
        <f aca="false">IF(AND(OR(BY153="L1",BY153="L23"),AH153&gt;0),SUMIFS($AH$7:$AH$1843,$BY$7:$BY$1843,BY153,$AK$7:$AK$1843,"&gt;"&amp;AK153)+SUMIFS($AH$7:$AH$1843,$BY$7:$BY$1843,BY153,$AK$7:$AK$1843,AK153,$BQ$7:$BQ$1843,"&lt;="&amp;BQ153),"")</f>
        <v>38.0973521279343</v>
      </c>
      <c r="AM153" s="65" t="n">
        <f aca="false">IF(AL153="",0,MAX(0,MIN(1,(IF(BY153="L1",Parameter!$E$5,Parameter!$E$6+Parameter!$E$7)-(AL153-AH153))/AH153)))</f>
        <v>1</v>
      </c>
      <c r="AN153" s="57" t="n">
        <f aca="false">IF(LEFT(Cockpit!$I$5,1)="A",H153,IF(CA153=1,CB153,IF(LEFT(Cockpit!$I$5,1)="B",AR153,MAX(AR153,H153))))</f>
        <v>2</v>
      </c>
      <c r="AO153" s="57" t="n">
        <f aca="false">IF(BT153=1,0,ROUNDUP(AN153/BS153,0))</f>
        <v>0</v>
      </c>
      <c r="AP153" s="59" t="n">
        <f aca="false">IF(CH153&gt;0,CH153*MAX(1,AN153/X153),IF(BT153=1,IF(AN153&lt;=0,0,BW153*MAX(1,IF(H153&gt;0,AN153/H153,1))),IF(R153&gt;0,AO153/R153,0))/MAX(0.1,N(Parameter!$M$21)))</f>
        <v>0.32015065913371</v>
      </c>
      <c r="AQ153" s="57" t="n">
        <f aca="false">AN153*G153</f>
        <v>5506.94</v>
      </c>
      <c r="AR153" s="57" t="n">
        <f aca="false">ROUNDUP(MAX(J153/IF(BZ153&gt;0,BZ153,MAX(0.1,N(Cockpit!$I$6))),CC153)/BS153,0)*BS153</f>
        <v>2</v>
      </c>
      <c r="AS153" s="58" t="n">
        <f aca="false">IF(AP153&gt;0,J153/AP153,-1)</f>
        <v>6.24705882352941</v>
      </c>
      <c r="AT153" s="58" t="n">
        <f aca="false">IF(AND(OR(BY153="L1",BY153="L23"),AP153&gt;0),SUMIFS($AP$7:$AP$1843,$BY$7:$BY$1843,BY153,$AS$7:$AS$1843,"&gt;"&amp;AS153)+SUMIFS($AP$7:$AP$1843,$BY$7:$BY$1843,BY153,$AS$7:$AS$1843,AS153,$BQ$7:$BQ$1843,"&lt;="&amp;BQ153),"")</f>
        <v>53.4501697434638</v>
      </c>
      <c r="AU153" s="65" t="n">
        <f aca="false">IF(AT153="",0,MAX(0,MIN(1,(IF(BY153="L1",Parameter!$E$5,Parameter!$E$6+Parameter!$E$7)-(AT153-AP153))/AP153)))</f>
        <v>0</v>
      </c>
      <c r="AV153" s="57" t="n">
        <f aca="false">IF(LEFT(Cockpit!$O$5,1)="A",H153,IF(CA153=1,CB153,IF(LEFT(Cockpit!$O$5,1)="B",AZ153,MAX(AZ153,H153))))</f>
        <v>2</v>
      </c>
      <c r="AW153" s="57" t="n">
        <f aca="false">IF(BT153=1,0,ROUNDUP(AV153/BS153,0))</f>
        <v>0</v>
      </c>
      <c r="AX153" s="59" t="n">
        <f aca="false">IF(CH153&gt;0,CH153*MAX(1,AV153/X153),IF(BT153=1,IF(AV153&lt;=0,0,BW153*MAX(1,IF(H153&gt;0,AV153/H153,1))),IF(R153&gt;0,AW153/R153,0))/MAX(0.1,N(Parameter!$M$21)))</f>
        <v>0.32015065913371</v>
      </c>
      <c r="AY153" s="57" t="n">
        <f aca="false">AV153*G153</f>
        <v>5506.94</v>
      </c>
      <c r="AZ153" s="57" t="n">
        <f aca="false">ROUNDUP(MAX(J153/IF(BZ153&gt;0,BZ153,MAX(0.1,N(Cockpit!$O$6))),CC153)/BS153,0)*BS153</f>
        <v>2</v>
      </c>
      <c r="BA153" s="58" t="n">
        <f aca="false">IF(AX153&gt;0,J153/AX153,-1)</f>
        <v>6.24705882352941</v>
      </c>
      <c r="BB153" s="58" t="n">
        <f aca="false">IF(AND(OR(BY153="L1",BY153="L23"),AX153&gt;0),SUMIFS($AX$7:$AX$1843,$BY$7:$BY$1843,BY153,$BA$7:$BA$1843,"&gt;"&amp;BA153)+SUMIFS($AX$7:$AX$1843,$BY$7:$BY$1843,BY153,$BA$7:$BA$1843,BA153,$BQ$7:$BQ$1843,"&lt;="&amp;BQ153),"")</f>
        <v>47.1169812746821</v>
      </c>
      <c r="BC153" s="65" t="n">
        <f aca="false">IF(BB153="",0,MAX(0,MIN(1,(IF(BY153="L1",Parameter!$E$5,Parameter!$E$6+Parameter!$E$7)-(BB153-AX153))/AX153)))</f>
        <v>1</v>
      </c>
      <c r="BD153" s="55" t="str">
        <f aca="false">IF(AH153&lt;=0,"",IF(BY153="Aussen","Aussenlager",IF(BY153="-","Nicht im Lift",IF(AM153&gt;=1,"Lift",IF(AM153&lt;=0,"Aussenlager","teilweise")))))</f>
        <v>Lift</v>
      </c>
      <c r="BE153" s="55" t="str">
        <f aca="false">IF(AP153&lt;=0,"",IF(BY153="Aussen","Aussenlager",IF(BY153="-","Nicht im Lift",IF(AU153&gt;=1,"Lift",IF(AU153&lt;=0,"Aussenlager","teilweise")))))</f>
        <v>Aussenlager</v>
      </c>
      <c r="BF153" s="55" t="str">
        <f aca="false">IF(AX153&lt;=0,"",IF(BY153="Aussen","Aussenlager",IF(BY153="-","Nicht im Lift",IF(BC153&gt;=1,"Lift",IF(BC153&lt;=0,"Aussenlager","teilweise")))))</f>
        <v>Lift</v>
      </c>
      <c r="BG153" s="55" t="str">
        <f aca="false">IF(A153="","",IF(BP153=1,"Neu; ","")&amp;IF(AND(BP153=0,BK153&lt;0),"negativer Bestand (Export "&amp;BK153&amp;"); ","")&amp;IF(J153&lt;=0,"Kein Verbrauch; ","")&amp;IF(CH153&gt;0,"Lift "&amp;W153&amp;" lt. Liftbericht (Fach "&amp;X153&amp;" Stk); ",IF(BU153=1,"Gebinde geschätzt ("&amp;T153&amp;"); ",IF(BT153=1,"Lose – Tablare geschätzt; ","")))&amp;IF(H153&gt;AR153,"Überbestand "&amp;ROUND(H153-AR153,0)&amp;" Stk / CHF "&amp;ROUND((H153-AR153)*G153,0)&amp;"; ","")&amp;IF(AND(CA153=1,CB153&lt;CC153),"MAX &lt; MB+LG; ","")&amp;IF(AND(CG153&gt;0,CF153*10&gt;CG153),"zu hoch für Tablar; ","")&amp;IF(AND(BP153=0,OR(CA153=1,AA153&lt;&gt;"",U153&lt;&gt;"",V153&lt;&gt;"",AB153&lt;&gt;"")),"manuell übersteuert; ","")&amp;IF(AND(BT153=0,R153=0),"Gebinde unbekannt / Stellmass fehlt; ","")&amp;IF(AND(BT153=0,N(V153)&lt;=0,N(Q153)&lt;=0),"Menge pro Gebinde fehlt (Ist = 1 Gebinde); ","")&amp;BO153)</f>
        <v>Lift 1 lt. Liftbericht (Fach 4 Stk); </v>
      </c>
      <c r="BH153" s="55"/>
      <c r="BI153" s="55"/>
      <c r="BJ153" s="62"/>
      <c r="BK153" s="57" t="n">
        <v>0</v>
      </c>
      <c r="BL153" s="57" t="n">
        <v>3</v>
      </c>
      <c r="BM153" s="56" t="n">
        <v>1295.4</v>
      </c>
      <c r="BN153" s="57" t="n">
        <v>2</v>
      </c>
      <c r="BO153" s="55"/>
      <c r="BP153" s="60" t="n">
        <v>0</v>
      </c>
      <c r="BQ153" s="60" t="n">
        <v>153</v>
      </c>
      <c r="BR153" s="55" t="str">
        <f aca="false">IF(U153&lt;&gt;"",UPPER(TRIM(U153)),IF(BU153=1,UPPER(VLOOKUP(T153,Parameter!$I$27:$K$29,2,0)),IF(P153="","LOSE",P153)))</f>
        <v>LOSE</v>
      </c>
      <c r="BS153" s="57" t="n">
        <f aca="false">IF(BR153="LOSE",1,IF(N(V153)&gt;0,V153,IF(BU153=1,MAX(1,N(VLOOKUP(T153,Parameter!$I$27:$K$29,3,0)),H153,N(N153)),IF(N(Q153)&gt;0,Q153,MAX(1,H153)))))</f>
        <v>1</v>
      </c>
      <c r="BT153" s="60" t="n">
        <f aca="false">IF(BR153="LOSE",1,0)</f>
        <v>1</v>
      </c>
      <c r="BU153" s="60" t="n">
        <f aca="false">IF(AND(U153="",OR(P153="",P153="LOSE"),T153&lt;&gt;"",N(S153)&lt;=0,ISNUMBER(MATCH(T153,Parameter!$I$27:$I$29,0))),1,0)</f>
        <v>0</v>
      </c>
      <c r="BV153" s="55" t="n">
        <f aca="false">IF(AND(Parameter!$B$19="Ja",E153&lt;&gt;"",ISNUMBER(MATCH(E153,Parameter!$I$35:$I$52,0))),VLOOKUP(E153,Parameter!$I$35:$J$52,2,0),IFERROR(VLOOKUP(D153,Parameter!$A$35:$C$64,2,0),"Nein"))</f>
        <v>1</v>
      </c>
      <c r="BW153" s="59" t="n">
        <f aca="false">IF(BT153=0,0,IF(N(S153)&gt;0,S153,IFERROR(VLOOKUP(D153,Parameter!$A$35:$C$64,3,0)+0,0)))</f>
        <v>0.15</v>
      </c>
      <c r="BX153" s="55" t="n">
        <f aca="false">IF(AA153&lt;&gt;"",AA153,Z153)</f>
        <v>1</v>
      </c>
      <c r="BY153" s="55" t="str">
        <f aca="false">IF(BX153=1,"L1",IF(OR(BX153=2,BX153=3),"L23",IF(BX153="Aussen","Aussen","-")))</f>
        <v>L1</v>
      </c>
      <c r="BZ153" s="66" t="n">
        <f aca="false">IF(N(AB153)&gt;0,AB153,0)</f>
        <v>0</v>
      </c>
      <c r="CA153" s="60" t="n">
        <f aca="false">IF(ISNUMBER(AE153),1,0)</f>
        <v>0</v>
      </c>
      <c r="CB153" s="57" t="n">
        <f aca="false">N(AE153)</f>
        <v>0</v>
      </c>
      <c r="CC153" s="57" t="n">
        <f aca="false">N(M153)+N(N153)</f>
        <v>2</v>
      </c>
      <c r="CD153" s="57" t="n">
        <f aca="false">ROUNDUP(H153/BS153,0)</f>
        <v>2</v>
      </c>
      <c r="CE153" s="57" t="n">
        <f aca="false">ROUNDUP(CB153/BS153,0)</f>
        <v>0</v>
      </c>
      <c r="CF153" s="60" t="n">
        <f aca="false">IF(BT153=1,0,IFERROR(VLOOKUP(BR153,'Gebinde-Kategorie'!$A$5:$M$45,5,0)+0,0))</f>
        <v>0</v>
      </c>
      <c r="CG153" s="60" t="n">
        <f aca="false">IFERROR(IF(OR(BX153=1,BX153=2,BX153=3),N(INDEX(Parameter!$I$5:$I$7,BX153)),0),0)</f>
        <v>0</v>
      </c>
      <c r="CH153" s="59" t="n">
        <f aca="false">IF(AND(Parameter!$B$21="Ja",ISNUMBER(W153),N(X153)&gt;0),IFERROR(N(INDEX(Parameter!$L$5:$L$7,W153))*INDEX(Parameter!$E$5:$E$7,W153)*X153/SUMIFS($X$7:$X$1843,$W$7:$W$1843,W153),0),0)</f>
        <v>0.32015065913371</v>
      </c>
    </row>
    <row r="154" customFormat="false" ht="15" hidden="false" customHeight="false" outlineLevel="0" collapsed="false">
      <c r="A154" s="55" t="s">
        <v>515</v>
      </c>
      <c r="B154" s="55" t="s">
        <v>516</v>
      </c>
      <c r="C154" s="55" t="s">
        <v>164</v>
      </c>
      <c r="D154" s="55" t="s">
        <v>173</v>
      </c>
      <c r="E154" s="55"/>
      <c r="F154" s="55" t="s">
        <v>218</v>
      </c>
      <c r="G154" s="56" t="n">
        <v>66.47</v>
      </c>
      <c r="H154" s="57" t="n">
        <f aca="false">MAX(0,IF(AND(Parameter!$B$21="Ja",ISNUMBER(Y154)),Y154,IF(Parameter!$B$20="Jahresanfang 2025 + Export",BL154+BK154,BK154)))</f>
        <v>36</v>
      </c>
      <c r="I154" s="57" t="n">
        <f aca="false">H154*G154</f>
        <v>2392.92</v>
      </c>
      <c r="J154" s="57" t="n">
        <f aca="false">BN154*Parameter!$B$18</f>
        <v>1</v>
      </c>
      <c r="K154" s="58" t="n">
        <v>26.5</v>
      </c>
      <c r="L154" s="59" t="n">
        <v>0.0377358490566038</v>
      </c>
      <c r="M154" s="57" t="n">
        <v>0</v>
      </c>
      <c r="N154" s="57" t="n">
        <v>1</v>
      </c>
      <c r="O154" s="60" t="n">
        <v>56</v>
      </c>
      <c r="P154" s="55" t="s">
        <v>168</v>
      </c>
      <c r="Q154" s="57"/>
      <c r="R154" s="60" t="n">
        <f aca="false">IF(BT154=1,0,IFERROR(VLOOKUP(BR154,'Gebinde-Kategorie'!$A$5:$M$45,13,0)+0,0))</f>
        <v>12</v>
      </c>
      <c r="S154" s="61"/>
      <c r="T154" s="62" t="s">
        <v>179</v>
      </c>
      <c r="U154" s="62"/>
      <c r="V154" s="62"/>
      <c r="W154" s="55"/>
      <c r="X154" s="57"/>
      <c r="Y154" s="57"/>
      <c r="Z154" s="55" t="n">
        <f aca="false">IF(A154="","",IF(AND(Parameter!$B$21="Ja",ISNUMBER(W154)),W154,IF(BV154="2+3",IF(ISNUMBER(SEARCH("grosser Artikel",BO154)),2,IFERROR(VLOOKUP(BR154,Parameter!$F$35:$G$64,2,0),2)),IF(OR(BV154="Nein",BV154=""),"-",BV154))))</f>
        <v>2</v>
      </c>
      <c r="AA154" s="62"/>
      <c r="AB154" s="63"/>
      <c r="AC154" s="57" t="n">
        <f aca="false">AR154</f>
        <v>36</v>
      </c>
      <c r="AD154" s="57" t="n">
        <f aca="false">MAX(AR154,H154)</f>
        <v>36</v>
      </c>
      <c r="AE154" s="64"/>
      <c r="AF154" s="57" t="n">
        <f aca="false">IF(LEFT(Cockpit!$C$5,1)="A",H154,IF(CA154=1,CB154,IF(LEFT(Cockpit!$C$5,1)="B",AJ154,MAX(AJ154,H154))))</f>
        <v>36</v>
      </c>
      <c r="AG154" s="57" t="n">
        <f aca="false">IF(BT154=1,0,ROUNDUP(AF154/BS154,0))</f>
        <v>1</v>
      </c>
      <c r="AH154" s="59" t="n">
        <f aca="false">IF(CH154&gt;0,CH154*MAX(1,AF154/X154),IF(BT154=1,IF(AF154&lt;=0,0,BW154*MAX(1,IF(H154&gt;0,AF154/H154,1))),IF(R154&gt;0,AG154/R154,0))/MAX(0.1,N(Parameter!$M$21)))</f>
        <v>0.0833333333333333</v>
      </c>
      <c r="AI154" s="57" t="n">
        <f aca="false">AF154*G154</f>
        <v>2392.92</v>
      </c>
      <c r="AJ154" s="57" t="n">
        <f aca="false">ROUNDUP(MAX(J154/IF(BZ154&gt;0,BZ154,MAX(0.1,N(Cockpit!$C$6))),CC154)/BS154,0)*BS154</f>
        <v>36</v>
      </c>
      <c r="AK154" s="58" t="n">
        <f aca="false">IF(AH154&gt;0,J154/AH154,-1)</f>
        <v>12</v>
      </c>
      <c r="AL154" s="58" t="n">
        <f aca="false">IF(AND(OR(BY154="L1",BY154="L23"),AH154&gt;0),SUMIFS($AH$7:$AH$1843,$BY$7:$BY$1843,BY154,$AK$7:$AK$1843,"&gt;"&amp;AK154)+SUMIFS($AH$7:$AH$1843,$BY$7:$BY$1843,BY154,$AK$7:$AK$1843,AK154,$BQ$7:$BQ$1843,"&lt;="&amp;BQ154),"")</f>
        <v>54.1074119117597</v>
      </c>
      <c r="AM154" s="65" t="n">
        <f aca="false">IF(AL154="",0,MAX(0,MIN(1,(IF(BY154="L1",Parameter!$E$5,Parameter!$E$6+Parameter!$E$7)-(AL154-AH154))/AH154)))</f>
        <v>1</v>
      </c>
      <c r="AN154" s="57" t="n">
        <f aca="false">IF(LEFT(Cockpit!$I$5,1)="A",H154,IF(CA154=1,CB154,IF(LEFT(Cockpit!$I$5,1)="B",AR154,MAX(AR154,H154))))</f>
        <v>36</v>
      </c>
      <c r="AO154" s="57" t="n">
        <f aca="false">IF(BT154=1,0,ROUNDUP(AN154/BS154,0))</f>
        <v>1</v>
      </c>
      <c r="AP154" s="59" t="n">
        <f aca="false">IF(CH154&gt;0,CH154*MAX(1,AN154/X154),IF(BT154=1,IF(AN154&lt;=0,0,BW154*MAX(1,IF(H154&gt;0,AN154/H154,1))),IF(R154&gt;0,AO154/R154,0))/MAX(0.1,N(Parameter!$M$21)))</f>
        <v>0.0833333333333333</v>
      </c>
      <c r="AQ154" s="57" t="n">
        <f aca="false">AN154*G154</f>
        <v>2392.92</v>
      </c>
      <c r="AR154" s="57" t="n">
        <f aca="false">ROUNDUP(MAX(J154/IF(BZ154&gt;0,BZ154,MAX(0.1,N(Cockpit!$I$6))),CC154)/BS154,0)*BS154</f>
        <v>36</v>
      </c>
      <c r="AS154" s="58" t="n">
        <f aca="false">IF(AP154&gt;0,J154/AP154,-1)</f>
        <v>12</v>
      </c>
      <c r="AT154" s="58" t="n">
        <f aca="false">IF(AND(OR(BY154="L1",BY154="L23"),AP154&gt;0),SUMIFS($AP$7:$AP$1843,$BY$7:$BY$1843,BY154,$AS$7:$AS$1843,"&gt;"&amp;AS154)+SUMIFS($AP$7:$AP$1843,$BY$7:$BY$1843,BY154,$AS$7:$AS$1843,AS154,$BQ$7:$BQ$1843,"&lt;="&amp;BQ154),"")</f>
        <v>81.1148694300868</v>
      </c>
      <c r="AU154" s="65" t="n">
        <f aca="false">IF(AT154="",0,MAX(0,MIN(1,(IF(BY154="L1",Parameter!$E$5,Parameter!$E$6+Parameter!$E$7)-(AT154-AP154))/AP154)))</f>
        <v>1</v>
      </c>
      <c r="AV154" s="57" t="n">
        <f aca="false">IF(LEFT(Cockpit!$O$5,1)="A",H154,IF(CA154=1,CB154,IF(LEFT(Cockpit!$O$5,1)="B",AZ154,MAX(AZ154,H154))))</f>
        <v>36</v>
      </c>
      <c r="AW154" s="57" t="n">
        <f aca="false">IF(BT154=1,0,ROUNDUP(AV154/BS154,0))</f>
        <v>1</v>
      </c>
      <c r="AX154" s="59" t="n">
        <f aca="false">IF(CH154&gt;0,CH154*MAX(1,AV154/X154),IF(BT154=1,IF(AV154&lt;=0,0,BW154*MAX(1,IF(H154&gt;0,AV154/H154,1))),IF(R154&gt;0,AW154/R154,0))/MAX(0.1,N(Parameter!$M$21)))</f>
        <v>0.0833333333333333</v>
      </c>
      <c r="AY154" s="57" t="n">
        <f aca="false">AV154*G154</f>
        <v>2392.92</v>
      </c>
      <c r="AZ154" s="57" t="n">
        <f aca="false">ROUNDUP(MAX(J154/IF(BZ154&gt;0,BZ154,MAX(0.1,N(Cockpit!$O$6))),CC154)/BS154,0)*BS154</f>
        <v>36</v>
      </c>
      <c r="BA154" s="58" t="n">
        <f aca="false">IF(AX154&gt;0,J154/AX154,-1)</f>
        <v>12</v>
      </c>
      <c r="BB154" s="58" t="n">
        <f aca="false">IF(AND(OR(BY154="L1",BY154="L23"),AX154&gt;0),SUMIFS($AX$7:$AX$1843,$BY$7:$BY$1843,BY154,$BA$7:$BA$1843,"&gt;"&amp;BA154)+SUMIFS($AX$7:$AX$1843,$BY$7:$BY$1843,BY154,$BA$7:$BA$1843,BA154,$BQ$7:$BQ$1843,"&lt;="&amp;BQ154),"")</f>
        <v>80.6113729265903</v>
      </c>
      <c r="BC154" s="65" t="n">
        <f aca="false">IF(BB154="",0,MAX(0,MIN(1,(IF(BY154="L1",Parameter!$E$5,Parameter!$E$6+Parameter!$E$7)-(BB154-AX154))/AX154)))</f>
        <v>1</v>
      </c>
      <c r="BD154" s="55" t="str">
        <f aca="false">IF(AH154&lt;=0,"",IF(BY154="Aussen","Aussenlager",IF(BY154="-","Nicht im Lift",IF(AM154&gt;=1,"Lift",IF(AM154&lt;=0,"Aussenlager","teilweise")))))</f>
        <v>Lift</v>
      </c>
      <c r="BE154" s="55" t="str">
        <f aca="false">IF(AP154&lt;=0,"",IF(BY154="Aussen","Aussenlager",IF(BY154="-","Nicht im Lift",IF(AU154&gt;=1,"Lift",IF(AU154&lt;=0,"Aussenlager","teilweise")))))</f>
        <v>Lift</v>
      </c>
      <c r="BF154" s="55" t="str">
        <f aca="false">IF(AX154&lt;=0,"",IF(BY154="Aussen","Aussenlager",IF(BY154="-","Nicht im Lift",IF(BC154&gt;=1,"Lift",IF(BC154&lt;=0,"Aussenlager","teilweise")))))</f>
        <v>Lift</v>
      </c>
      <c r="BG154" s="55" t="str">
        <f aca="false">IF(A154="","",IF(BP154=1,"Neu; ","")&amp;IF(AND(BP154=0,BK154&lt;0),"negativer Bestand (Export "&amp;BK154&amp;"); ","")&amp;IF(J154&lt;=0,"Kein Verbrauch; ","")&amp;IF(CH154&gt;0,"Lift "&amp;W154&amp;" lt. Liftbericht (Fach "&amp;X154&amp;" Stk); ",IF(BU154=1,"Gebinde geschätzt ("&amp;T154&amp;"); ",IF(BT154=1,"Lose – Tablare geschätzt; ","")))&amp;IF(H154&gt;AR154,"Überbestand "&amp;ROUND(H154-AR154,0)&amp;" Stk / CHF "&amp;ROUND((H154-AR154)*G154,0)&amp;"; ","")&amp;IF(AND(CA154=1,CB154&lt;CC154),"MAX &lt; MB+LG; ","")&amp;IF(AND(CG154&gt;0,CF154*10&gt;CG154),"zu hoch für Tablar; ","")&amp;IF(AND(BP154=0,OR(CA154=1,AA154&lt;&gt;"",U154&lt;&gt;"",V154&lt;&gt;"",AB154&lt;&gt;"")),"manuell übersteuert; ","")&amp;IF(AND(BT154=0,R154=0),"Gebinde unbekannt / Stellmass fehlt; ","")&amp;IF(AND(BT154=0,N(V154)&lt;=0,N(Q154)&lt;=0),"Menge pro Gebinde fehlt (Ist = 1 Gebinde); ","")&amp;BO154)</f>
        <v>Gebinde geschätzt (Mittel); Menge pro Gebinde fehlt (Ist = 1 Gebinde); </v>
      </c>
      <c r="BH154" s="55"/>
      <c r="BI154" s="55"/>
      <c r="BJ154" s="62"/>
      <c r="BK154" s="57" t="n">
        <v>19</v>
      </c>
      <c r="BL154" s="57" t="n">
        <v>17</v>
      </c>
      <c r="BM154" s="56" t="n">
        <v>1283.5</v>
      </c>
      <c r="BN154" s="57" t="n">
        <v>1</v>
      </c>
      <c r="BO154" s="55"/>
      <c r="BP154" s="60" t="n">
        <v>0</v>
      </c>
      <c r="BQ154" s="60" t="n">
        <v>154</v>
      </c>
      <c r="BR154" s="55" t="str">
        <f aca="false">IF(U154&lt;&gt;"",UPPER(TRIM(U154)),IF(BU154=1,UPPER(VLOOKUP(T154,Parameter!$I$27:$K$29,2,0)),IF(P154="","LOSE",P154)))</f>
        <v>S61</v>
      </c>
      <c r="BS154" s="57" t="n">
        <f aca="false">IF(BR154="LOSE",1,IF(N(V154)&gt;0,V154,IF(BU154=1,MAX(1,N(VLOOKUP(T154,Parameter!$I$27:$K$29,3,0)),H154,N(N154)),IF(N(Q154)&gt;0,Q154,MAX(1,H154)))))</f>
        <v>36</v>
      </c>
      <c r="BT154" s="60" t="n">
        <f aca="false">IF(BR154="LOSE",1,0)</f>
        <v>0</v>
      </c>
      <c r="BU154" s="60" t="n">
        <f aca="false">IF(AND(U154="",OR(P154="",P154="LOSE"),T154&lt;&gt;"",N(S154)&lt;=0,ISNUMBER(MATCH(T154,Parameter!$I$27:$I$29,0))),1,0)</f>
        <v>1</v>
      </c>
      <c r="BV154" s="55" t="str">
        <f aca="false">IF(AND(Parameter!$B$19="Ja",E154&lt;&gt;"",ISNUMBER(MATCH(E154,Parameter!$I$35:$I$52,0))),VLOOKUP(E154,Parameter!$I$35:$J$52,2,0),IFERROR(VLOOKUP(D154,Parameter!$A$35:$C$64,2,0),"Nein"))</f>
        <v>2+3</v>
      </c>
      <c r="BW154" s="59" t="n">
        <f aca="false">IF(BT154=0,0,IF(N(S154)&gt;0,S154,IFERROR(VLOOKUP(D154,Parameter!$A$35:$C$64,3,0)+0,0)))</f>
        <v>0</v>
      </c>
      <c r="BX154" s="55" t="n">
        <f aca="false">IF(AA154&lt;&gt;"",AA154,Z154)</f>
        <v>2</v>
      </c>
      <c r="BY154" s="55" t="str">
        <f aca="false">IF(BX154=1,"L1",IF(OR(BX154=2,BX154=3),"L23",IF(BX154="Aussen","Aussen","-")))</f>
        <v>L23</v>
      </c>
      <c r="BZ154" s="66" t="n">
        <f aca="false">IF(N(AB154)&gt;0,AB154,0)</f>
        <v>0</v>
      </c>
      <c r="CA154" s="60" t="n">
        <f aca="false">IF(ISNUMBER(AE154),1,0)</f>
        <v>0</v>
      </c>
      <c r="CB154" s="57" t="n">
        <f aca="false">N(AE154)</f>
        <v>0</v>
      </c>
      <c r="CC154" s="57" t="n">
        <f aca="false">N(M154)+N(N154)</f>
        <v>1</v>
      </c>
      <c r="CD154" s="57" t="n">
        <f aca="false">ROUNDUP(H154/BS154,0)</f>
        <v>1</v>
      </c>
      <c r="CE154" s="57" t="n">
        <f aca="false">ROUNDUP(CB154/BS154,0)</f>
        <v>0</v>
      </c>
      <c r="CF154" s="60" t="n">
        <f aca="false">IF(BT154=1,0,IFERROR(VLOOKUP(BR154,'Gebinde-Kategorie'!$A$5:$M$45,5,0)+0,0))</f>
        <v>11</v>
      </c>
      <c r="CG154" s="60" t="n">
        <f aca="false">IFERROR(IF(OR(BX154=1,BX154=2,BX154=3),N(INDEX(Parameter!$I$5:$I$7,BX154)),0),0)</f>
        <v>0</v>
      </c>
      <c r="CH154" s="59" t="n">
        <f aca="false">IF(AND(Parameter!$B$21="Ja",ISNUMBER(W154),N(X154)&gt;0),IFERROR(N(INDEX(Parameter!$L$5:$L$7,W154))*INDEX(Parameter!$E$5:$E$7,W154)*X154/SUMIFS($X$7:$X$1843,$W$7:$W$1843,W154),0),0)</f>
        <v>0</v>
      </c>
    </row>
    <row r="155" customFormat="false" ht="15" hidden="false" customHeight="false" outlineLevel="0" collapsed="false">
      <c r="A155" s="55" t="s">
        <v>517</v>
      </c>
      <c r="B155" s="55" t="s">
        <v>518</v>
      </c>
      <c r="C155" s="55" t="s">
        <v>164</v>
      </c>
      <c r="D155" s="55" t="s">
        <v>173</v>
      </c>
      <c r="E155" s="55" t="s">
        <v>185</v>
      </c>
      <c r="F155" s="55" t="s">
        <v>218</v>
      </c>
      <c r="G155" s="56" t="n">
        <v>57.07</v>
      </c>
      <c r="H155" s="57" t="n">
        <f aca="false">MAX(0,IF(AND(Parameter!$B$21="Ja",ISNUMBER(Y155)),Y155,IF(Parameter!$B$20="Jahresanfang 2025 + Export",BL155+BK155,BK155)))</f>
        <v>124</v>
      </c>
      <c r="I155" s="57" t="n">
        <f aca="false">H155*G155</f>
        <v>7076.68</v>
      </c>
      <c r="J155" s="57" t="n">
        <f aca="false">BN155*Parameter!$B$18</f>
        <v>388</v>
      </c>
      <c r="K155" s="58" t="n">
        <v>163.5</v>
      </c>
      <c r="L155" s="59" t="n">
        <v>2.37308868501529</v>
      </c>
      <c r="M155" s="57" t="n">
        <v>80</v>
      </c>
      <c r="N155" s="57" t="n">
        <v>135</v>
      </c>
      <c r="O155" s="60" t="n">
        <v>70</v>
      </c>
      <c r="P155" s="55" t="s">
        <v>174</v>
      </c>
      <c r="Q155" s="57" t="n">
        <v>150</v>
      </c>
      <c r="R155" s="60" t="n">
        <f aca="false">IF(BT155=1,0,IFERROR(VLOOKUP(BR155,'Gebinde-Kategorie'!$A$5:$M$45,13,0)+0,0))</f>
        <v>6</v>
      </c>
      <c r="S155" s="61"/>
      <c r="T155" s="62"/>
      <c r="U155" s="62"/>
      <c r="V155" s="62"/>
      <c r="W155" s="55"/>
      <c r="X155" s="57"/>
      <c r="Y155" s="57"/>
      <c r="Z155" s="55" t="n">
        <f aca="false">IF(A155="","",IF(AND(Parameter!$B$21="Ja",ISNUMBER(W155)),W155,IF(BV155="2+3",IF(ISNUMBER(SEARCH("grosser Artikel",BO155)),2,IFERROR(VLOOKUP(BR155,Parameter!$F$35:$G$64,2,0),2)),IF(OR(BV155="Nein",BV155=""),"-",BV155))))</f>
        <v>2</v>
      </c>
      <c r="AA155" s="62"/>
      <c r="AB155" s="63"/>
      <c r="AC155" s="57" t="n">
        <f aca="false">AR155</f>
        <v>300</v>
      </c>
      <c r="AD155" s="57" t="n">
        <f aca="false">MAX(AR155,H155)</f>
        <v>300</v>
      </c>
      <c r="AE155" s="64"/>
      <c r="AF155" s="57" t="n">
        <f aca="false">IF(LEFT(Cockpit!$C$5,1)="A",H155,IF(CA155=1,CB155,IF(LEFT(Cockpit!$C$5,1)="B",AJ155,MAX(AJ155,H155))))</f>
        <v>124</v>
      </c>
      <c r="AG155" s="57" t="n">
        <f aca="false">IF(BT155=1,0,ROUNDUP(AF155/BS155,0))</f>
        <v>1</v>
      </c>
      <c r="AH155" s="59" t="n">
        <f aca="false">IF(CH155&gt;0,CH155*MAX(1,AF155/X155),IF(BT155=1,IF(AF155&lt;=0,0,BW155*MAX(1,IF(H155&gt;0,AF155/H155,1))),IF(R155&gt;0,AG155/R155,0))/MAX(0.1,N(Parameter!$M$21)))</f>
        <v>0.166666666666667</v>
      </c>
      <c r="AI155" s="57" t="n">
        <f aca="false">AF155*G155</f>
        <v>7076.68</v>
      </c>
      <c r="AJ155" s="57" t="n">
        <f aca="false">ROUNDUP(MAX(J155/IF(BZ155&gt;0,BZ155,MAX(0.1,N(Cockpit!$C$6))),CC155)/BS155,0)*BS155</f>
        <v>300</v>
      </c>
      <c r="AK155" s="58" t="n">
        <f aca="false">IF(AH155&gt;0,J155/AH155,-1)</f>
        <v>2328</v>
      </c>
      <c r="AL155" s="58" t="n">
        <f aca="false">IF(AND(OR(BY155="L1",BY155="L23"),AH155&gt;0),SUMIFS($AH$7:$AH$1843,$BY$7:$BY$1843,BY155,$AK$7:$AK$1843,"&gt;"&amp;AK155)+SUMIFS($AH$7:$AH$1843,$BY$7:$BY$1843,BY155,$AK$7:$AK$1843,AK155,$BQ$7:$BQ$1843,"&lt;="&amp;BQ155),"")</f>
        <v>12.3813131313131</v>
      </c>
      <c r="AM155" s="65" t="n">
        <f aca="false">IF(AL155="",0,MAX(0,MIN(1,(IF(BY155="L1",Parameter!$E$5,Parameter!$E$6+Parameter!$E$7)-(AL155-AH155))/AH155)))</f>
        <v>1</v>
      </c>
      <c r="AN155" s="57" t="n">
        <f aca="false">IF(LEFT(Cockpit!$I$5,1)="A",H155,IF(CA155=1,CB155,IF(LEFT(Cockpit!$I$5,1)="B",AR155,MAX(AR155,H155))))</f>
        <v>300</v>
      </c>
      <c r="AO155" s="57" t="n">
        <f aca="false">IF(BT155=1,0,ROUNDUP(AN155/BS155,0))</f>
        <v>2</v>
      </c>
      <c r="AP155" s="59" t="n">
        <f aca="false">IF(CH155&gt;0,CH155*MAX(1,AN155/X155),IF(BT155=1,IF(AN155&lt;=0,0,BW155*MAX(1,IF(H155&gt;0,AN155/H155,1))),IF(R155&gt;0,AO155/R155,0))/MAX(0.1,N(Parameter!$M$21)))</f>
        <v>0.333333333333333</v>
      </c>
      <c r="AQ155" s="57" t="n">
        <f aca="false">AN155*G155</f>
        <v>17121</v>
      </c>
      <c r="AR155" s="57" t="n">
        <f aca="false">ROUNDUP(MAX(J155/IF(BZ155&gt;0,BZ155,MAX(0.1,N(Cockpit!$I$6))),CC155)/BS155,0)*BS155</f>
        <v>300</v>
      </c>
      <c r="AS155" s="58" t="n">
        <f aca="false">IF(AP155&gt;0,J155/AP155,-1)</f>
        <v>1164</v>
      </c>
      <c r="AT155" s="58" t="n">
        <f aca="false">IF(AND(OR(BY155="L1",BY155="L23"),AP155&gt;0),SUMIFS($AP$7:$AP$1843,$BY$7:$BY$1843,BY155,$AS$7:$AS$1843,"&gt;"&amp;AS155)+SUMIFS($AP$7:$AP$1843,$BY$7:$BY$1843,BY155,$AS$7:$AS$1843,AS155,$BQ$7:$BQ$1843,"&lt;="&amp;BQ155),"")</f>
        <v>22.7990608425391</v>
      </c>
      <c r="AU155" s="65" t="n">
        <f aca="false">IF(AT155="",0,MAX(0,MIN(1,(IF(BY155="L1",Parameter!$E$5,Parameter!$E$6+Parameter!$E$7)-(AT155-AP155))/AP155)))</f>
        <v>1</v>
      </c>
      <c r="AV155" s="57" t="n">
        <f aca="false">IF(LEFT(Cockpit!$O$5,1)="A",H155,IF(CA155=1,CB155,IF(LEFT(Cockpit!$O$5,1)="B",AZ155,MAX(AZ155,H155))))</f>
        <v>300</v>
      </c>
      <c r="AW155" s="57" t="n">
        <f aca="false">IF(BT155=1,0,ROUNDUP(AV155/BS155,0))</f>
        <v>2</v>
      </c>
      <c r="AX155" s="59" t="n">
        <f aca="false">IF(CH155&gt;0,CH155*MAX(1,AV155/X155),IF(BT155=1,IF(AV155&lt;=0,0,BW155*MAX(1,IF(H155&gt;0,AV155/H155,1))),IF(R155&gt;0,AW155/R155,0))/MAX(0.1,N(Parameter!$M$21)))</f>
        <v>0.333333333333333</v>
      </c>
      <c r="AY155" s="57" t="n">
        <f aca="false">AV155*G155</f>
        <v>17121</v>
      </c>
      <c r="AZ155" s="57" t="n">
        <f aca="false">ROUNDUP(MAX(J155/IF(BZ155&gt;0,BZ155,MAX(0.1,N(Cockpit!$O$6))),CC155)/BS155,0)*BS155</f>
        <v>300</v>
      </c>
      <c r="BA155" s="58" t="n">
        <f aca="false">IF(AX155&gt;0,J155/AX155,-1)</f>
        <v>1164</v>
      </c>
      <c r="BB155" s="58" t="n">
        <f aca="false">IF(AND(OR(BY155="L1",BY155="L23"),AX155&gt;0),SUMIFS($AX$7:$AX$1843,$BY$7:$BY$1843,BY155,$BA$7:$BA$1843,"&gt;"&amp;BA155)+SUMIFS($AX$7:$AX$1843,$BY$7:$BY$1843,BY155,$BA$7:$BA$1843,BA155,$BQ$7:$BQ$1843,"&lt;="&amp;BQ155),"")</f>
        <v>21.7442822877605</v>
      </c>
      <c r="BC155" s="65" t="n">
        <f aca="false">IF(BB155="",0,MAX(0,MIN(1,(IF(BY155="L1",Parameter!$E$5,Parameter!$E$6+Parameter!$E$7)-(BB155-AX155))/AX155)))</f>
        <v>1</v>
      </c>
      <c r="BD155" s="55" t="str">
        <f aca="false">IF(AH155&lt;=0,"",IF(BY155="Aussen","Aussenlager",IF(BY155="-","Nicht im Lift",IF(AM155&gt;=1,"Lift",IF(AM155&lt;=0,"Aussenlager","teilweise")))))</f>
        <v>Lift</v>
      </c>
      <c r="BE155" s="55" t="str">
        <f aca="false">IF(AP155&lt;=0,"",IF(BY155="Aussen","Aussenlager",IF(BY155="-","Nicht im Lift",IF(AU155&gt;=1,"Lift",IF(AU155&lt;=0,"Aussenlager","teilweise")))))</f>
        <v>Lift</v>
      </c>
      <c r="BF155" s="55" t="str">
        <f aca="false">IF(AX155&lt;=0,"",IF(BY155="Aussen","Aussenlager",IF(BY155="-","Nicht im Lift",IF(BC155&gt;=1,"Lift",IF(BC155&lt;=0,"Aussenlager","teilweise")))))</f>
        <v>Lift</v>
      </c>
      <c r="BG155" s="55" t="str">
        <f aca="false">IF(A155="","",IF(BP155=1,"Neu; ","")&amp;IF(AND(BP155=0,BK155&lt;0),"negativer Bestand (Export "&amp;BK155&amp;"); ","")&amp;IF(J155&lt;=0,"Kein Verbrauch; ","")&amp;IF(CH155&gt;0,"Lift "&amp;W155&amp;" lt. Liftbericht (Fach "&amp;X155&amp;" Stk); ",IF(BU155=1,"Gebinde geschätzt ("&amp;T155&amp;"); ",IF(BT155=1,"Lose – Tablare geschätzt; ","")))&amp;IF(H155&gt;AR155,"Überbestand "&amp;ROUND(H155-AR155,0)&amp;" Stk / CHF "&amp;ROUND((H155-AR155)*G155,0)&amp;"; ","")&amp;IF(AND(CA155=1,CB155&lt;CC155),"MAX &lt; MB+LG; ","")&amp;IF(AND(CG155&gt;0,CF155*10&gt;CG155),"zu hoch für Tablar; ","")&amp;IF(AND(BP155=0,OR(CA155=1,AA155&lt;&gt;"",U155&lt;&gt;"",V155&lt;&gt;"",AB155&lt;&gt;"")),"manuell übersteuert; ","")&amp;IF(AND(BT155=0,R155=0),"Gebinde unbekannt / Stellmass fehlt; ","")&amp;IF(AND(BT155=0,N(V155)&lt;=0,N(Q155)&lt;=0),"Menge pro Gebinde fehlt (Ist = 1 Gebinde); ","")&amp;BO155)</f>
        <v>grosser Artikel &amp; nicht im KTL</v>
      </c>
      <c r="BH155" s="55"/>
      <c r="BI155" s="55"/>
      <c r="BJ155" s="62"/>
      <c r="BK155" s="57" t="n">
        <v>27</v>
      </c>
      <c r="BL155" s="57" t="n">
        <v>97</v>
      </c>
      <c r="BM155" s="56" t="n">
        <v>1272.2</v>
      </c>
      <c r="BN155" s="57" t="n">
        <v>388</v>
      </c>
      <c r="BO155" s="55" t="s">
        <v>261</v>
      </c>
      <c r="BP155" s="60" t="n">
        <v>0</v>
      </c>
      <c r="BQ155" s="60" t="n">
        <v>155</v>
      </c>
      <c r="BR155" s="55" t="str">
        <f aca="false">IF(U155&lt;&gt;"",UPPER(TRIM(U155)),IF(BU155=1,UPPER(VLOOKUP(T155,Parameter!$I$27:$K$29,2,0)),IF(P155="","LOSE",P155)))</f>
        <v>S71</v>
      </c>
      <c r="BS155" s="57" t="n">
        <f aca="false">IF(BR155="LOSE",1,IF(N(V155)&gt;0,V155,IF(BU155=1,MAX(1,N(VLOOKUP(T155,Parameter!$I$27:$K$29,3,0)),H155,N(N155)),IF(N(Q155)&gt;0,Q155,MAX(1,H155)))))</f>
        <v>150</v>
      </c>
      <c r="BT155" s="60" t="n">
        <f aca="false">IF(BR155="LOSE",1,0)</f>
        <v>0</v>
      </c>
      <c r="BU155" s="60" t="n">
        <f aca="false">IF(AND(U155="",OR(P155="",P155="LOSE"),T155&lt;&gt;"",N(S155)&lt;=0,ISNUMBER(MATCH(T155,Parameter!$I$27:$I$29,0))),1,0)</f>
        <v>0</v>
      </c>
      <c r="BV155" s="55" t="str">
        <f aca="false">IF(AND(Parameter!$B$19="Ja",E155&lt;&gt;"",ISNUMBER(MATCH(E155,Parameter!$I$35:$I$52,0))),VLOOKUP(E155,Parameter!$I$35:$J$52,2,0),IFERROR(VLOOKUP(D155,Parameter!$A$35:$C$64,2,0),"Nein"))</f>
        <v>2+3</v>
      </c>
      <c r="BW155" s="59" t="n">
        <f aca="false">IF(BT155=0,0,IF(N(S155)&gt;0,S155,IFERROR(VLOOKUP(D155,Parameter!$A$35:$C$64,3,0)+0,0)))</f>
        <v>0</v>
      </c>
      <c r="BX155" s="55" t="n">
        <f aca="false">IF(AA155&lt;&gt;"",AA155,Z155)</f>
        <v>2</v>
      </c>
      <c r="BY155" s="55" t="str">
        <f aca="false">IF(BX155=1,"L1",IF(OR(BX155=2,BX155=3),"L23",IF(BX155="Aussen","Aussen","-")))</f>
        <v>L23</v>
      </c>
      <c r="BZ155" s="66" t="n">
        <f aca="false">IF(N(AB155)&gt;0,AB155,0)</f>
        <v>0</v>
      </c>
      <c r="CA155" s="60" t="n">
        <f aca="false">IF(ISNUMBER(AE155),1,0)</f>
        <v>0</v>
      </c>
      <c r="CB155" s="57" t="n">
        <f aca="false">N(AE155)</f>
        <v>0</v>
      </c>
      <c r="CC155" s="57" t="n">
        <f aca="false">N(M155)+N(N155)</f>
        <v>215</v>
      </c>
      <c r="CD155" s="57" t="n">
        <f aca="false">ROUNDUP(H155/BS155,0)</f>
        <v>1</v>
      </c>
      <c r="CE155" s="57" t="n">
        <f aca="false">ROUNDUP(CB155/BS155,0)</f>
        <v>0</v>
      </c>
      <c r="CF155" s="60" t="n">
        <f aca="false">IF(BT155=1,0,IFERROR(VLOOKUP(BR155,'Gebinde-Kategorie'!$A$5:$M$45,5,0)+0,0))</f>
        <v>20</v>
      </c>
      <c r="CG155" s="60" t="n">
        <f aca="false">IFERROR(IF(OR(BX155=1,BX155=2,BX155=3),N(INDEX(Parameter!$I$5:$I$7,BX155)),0),0)</f>
        <v>0</v>
      </c>
      <c r="CH155" s="59" t="n">
        <f aca="false">IF(AND(Parameter!$B$21="Ja",ISNUMBER(W155),N(X155)&gt;0),IFERROR(N(INDEX(Parameter!$L$5:$L$7,W155))*INDEX(Parameter!$E$5:$E$7,W155)*X155/SUMIFS($X$7:$X$1843,$W$7:$W$1843,W155),0),0)</f>
        <v>0</v>
      </c>
    </row>
    <row r="156" customFormat="false" ht="15" hidden="false" customHeight="false" outlineLevel="0" collapsed="false">
      <c r="A156" s="55" t="s">
        <v>519</v>
      </c>
      <c r="B156" s="55" t="s">
        <v>520</v>
      </c>
      <c r="C156" s="55" t="s">
        <v>164</v>
      </c>
      <c r="D156" s="55" t="s">
        <v>184</v>
      </c>
      <c r="E156" s="55" t="s">
        <v>185</v>
      </c>
      <c r="F156" s="55" t="s">
        <v>218</v>
      </c>
      <c r="G156" s="56" t="n">
        <v>45.59</v>
      </c>
      <c r="H156" s="57" t="n">
        <f aca="false">MAX(0,IF(AND(Parameter!$B$21="Ja",ISNUMBER(Y156)),Y156,IF(Parameter!$B$20="Jahresanfang 2025 + Export",BL156+BK156,BK156)))</f>
        <v>64</v>
      </c>
      <c r="I156" s="57" t="n">
        <f aca="false">H156*G156</f>
        <v>2917.76</v>
      </c>
      <c r="J156" s="57" t="n">
        <f aca="false">BN156*Parameter!$B$18</f>
        <v>69</v>
      </c>
      <c r="K156" s="58" t="n">
        <v>33.5</v>
      </c>
      <c r="L156" s="59" t="n">
        <v>2.05970149253731</v>
      </c>
      <c r="M156" s="57" t="n">
        <v>2</v>
      </c>
      <c r="N156" s="57" t="n">
        <v>60</v>
      </c>
      <c r="O156" s="60" t="n">
        <v>10</v>
      </c>
      <c r="P156" s="55" t="s">
        <v>302</v>
      </c>
      <c r="Q156" s="57" t="n">
        <v>107</v>
      </c>
      <c r="R156" s="60" t="n">
        <f aca="false">IF(BT156=1,0,IFERROR(VLOOKUP(BR156,'Gebinde-Kategorie'!$A$5:$M$45,13,0)+0,0))</f>
        <v>26</v>
      </c>
      <c r="S156" s="61"/>
      <c r="T156" s="62"/>
      <c r="U156" s="62"/>
      <c r="V156" s="62"/>
      <c r="W156" s="55"/>
      <c r="X156" s="57"/>
      <c r="Y156" s="57"/>
      <c r="Z156" s="55" t="n">
        <f aca="false">IF(A156="","",IF(AND(Parameter!$B$21="Ja",ISNUMBER(W156)),W156,IF(BV156="2+3",IF(ISNUMBER(SEARCH("grosser Artikel",BO156)),2,IFERROR(VLOOKUP(BR156,Parameter!$F$35:$G$64,2,0),2)),IF(OR(BV156="Nein",BV156=""),"-",BV156))))</f>
        <v>3</v>
      </c>
      <c r="AA156" s="62"/>
      <c r="AB156" s="63"/>
      <c r="AC156" s="57" t="n">
        <f aca="false">AR156</f>
        <v>107</v>
      </c>
      <c r="AD156" s="57" t="n">
        <f aca="false">MAX(AR156,H156)</f>
        <v>107</v>
      </c>
      <c r="AE156" s="64"/>
      <c r="AF156" s="57" t="n">
        <f aca="false">IF(LEFT(Cockpit!$C$5,1)="A",H156,IF(CA156=1,CB156,IF(LEFT(Cockpit!$C$5,1)="B",AJ156,MAX(AJ156,H156))))</f>
        <v>64</v>
      </c>
      <c r="AG156" s="57" t="n">
        <f aca="false">IF(BT156=1,0,ROUNDUP(AF156/BS156,0))</f>
        <v>1</v>
      </c>
      <c r="AH156" s="59" t="n">
        <f aca="false">IF(CH156&gt;0,CH156*MAX(1,AF156/X156),IF(BT156=1,IF(AF156&lt;=0,0,BW156*MAX(1,IF(H156&gt;0,AF156/H156,1))),IF(R156&gt;0,AG156/R156,0))/MAX(0.1,N(Parameter!$M$21)))</f>
        <v>0.0384615384615385</v>
      </c>
      <c r="AI156" s="57" t="n">
        <f aca="false">AF156*G156</f>
        <v>2917.76</v>
      </c>
      <c r="AJ156" s="57" t="n">
        <f aca="false">ROUNDUP(MAX(J156/IF(BZ156&gt;0,BZ156,MAX(0.1,N(Cockpit!$C$6))),CC156)/BS156,0)*BS156</f>
        <v>107</v>
      </c>
      <c r="AK156" s="58" t="n">
        <f aca="false">IF(AH156&gt;0,J156/AH156,-1)</f>
        <v>1794</v>
      </c>
      <c r="AL156" s="58" t="n">
        <f aca="false">IF(AND(OR(BY156="L1",BY156="L23"),AH156&gt;0),SUMIFS($AH$7:$AH$1843,$BY$7:$BY$1843,BY156,$AK$7:$AK$1843,"&gt;"&amp;AK156)+SUMIFS($AH$7:$AH$1843,$BY$7:$BY$1843,BY156,$AK$7:$AK$1843,AK156,$BQ$7:$BQ$1843,"&lt;="&amp;BQ156),"")</f>
        <v>14.4775007601095</v>
      </c>
      <c r="AM156" s="65" t="n">
        <f aca="false">IF(AL156="",0,MAX(0,MIN(1,(IF(BY156="L1",Parameter!$E$5,Parameter!$E$6+Parameter!$E$7)-(AL156-AH156))/AH156)))</f>
        <v>1</v>
      </c>
      <c r="AN156" s="57" t="n">
        <f aca="false">IF(LEFT(Cockpit!$I$5,1)="A",H156,IF(CA156=1,CB156,IF(LEFT(Cockpit!$I$5,1)="B",AR156,MAX(AR156,H156))))</f>
        <v>107</v>
      </c>
      <c r="AO156" s="57" t="n">
        <f aca="false">IF(BT156=1,0,ROUNDUP(AN156/BS156,0))</f>
        <v>1</v>
      </c>
      <c r="AP156" s="59" t="n">
        <f aca="false">IF(CH156&gt;0,CH156*MAX(1,AN156/X156),IF(BT156=1,IF(AN156&lt;=0,0,BW156*MAX(1,IF(H156&gt;0,AN156/H156,1))),IF(R156&gt;0,AO156/R156,0))/MAX(0.1,N(Parameter!$M$21)))</f>
        <v>0.0384615384615385</v>
      </c>
      <c r="AQ156" s="57" t="n">
        <f aca="false">AN156*G156</f>
        <v>4878.13</v>
      </c>
      <c r="AR156" s="57" t="n">
        <f aca="false">ROUNDUP(MAX(J156/IF(BZ156&gt;0,BZ156,MAX(0.1,N(Cockpit!$I$6))),CC156)/BS156,0)*BS156</f>
        <v>107</v>
      </c>
      <c r="AS156" s="58" t="n">
        <f aca="false">IF(AP156&gt;0,J156/AP156,-1)</f>
        <v>1794</v>
      </c>
      <c r="AT156" s="58" t="n">
        <f aca="false">IF(AND(OR(BY156="L1",BY156="L23"),AP156&gt;0),SUMIFS($AP$7:$AP$1843,$BY$7:$BY$1843,BY156,$AS$7:$AS$1843,"&gt;"&amp;AS156)+SUMIFS($AP$7:$AP$1843,$BY$7:$BY$1843,BY156,$AS$7:$AS$1843,AS156,$BQ$7:$BQ$1843,"&lt;="&amp;BQ156),"")</f>
        <v>19.5483598527077</v>
      </c>
      <c r="AU156" s="65" t="n">
        <f aca="false">IF(AT156="",0,MAX(0,MIN(1,(IF(BY156="L1",Parameter!$E$5,Parameter!$E$6+Parameter!$E$7)-(AT156-AP156))/AP156)))</f>
        <v>1</v>
      </c>
      <c r="AV156" s="57" t="n">
        <f aca="false">IF(LEFT(Cockpit!$O$5,1)="A",H156,IF(CA156=1,CB156,IF(LEFT(Cockpit!$O$5,1)="B",AZ156,MAX(AZ156,H156))))</f>
        <v>107</v>
      </c>
      <c r="AW156" s="57" t="n">
        <f aca="false">IF(BT156=1,0,ROUNDUP(AV156/BS156,0))</f>
        <v>1</v>
      </c>
      <c r="AX156" s="59" t="n">
        <f aca="false">IF(CH156&gt;0,CH156*MAX(1,AV156/X156),IF(BT156=1,IF(AV156&lt;=0,0,BW156*MAX(1,IF(H156&gt;0,AV156/H156,1))),IF(R156&gt;0,AW156/R156,0))/MAX(0.1,N(Parameter!$M$21)))</f>
        <v>0.0384615384615385</v>
      </c>
      <c r="AY156" s="57" t="n">
        <f aca="false">AV156*G156</f>
        <v>4878.13</v>
      </c>
      <c r="AZ156" s="57" t="n">
        <f aca="false">ROUNDUP(MAX(J156/IF(BZ156&gt;0,BZ156,MAX(0.1,N(Cockpit!$O$6))),CC156)/BS156,0)*BS156</f>
        <v>107</v>
      </c>
      <c r="BA156" s="58" t="n">
        <f aca="false">IF(AX156&gt;0,J156/AX156,-1)</f>
        <v>1794</v>
      </c>
      <c r="BB156" s="58" t="n">
        <f aca="false">IF(AND(OR(BY156="L1",BY156="L23"),AX156&gt;0),SUMIFS($AX$7:$AX$1843,$BY$7:$BY$1843,BY156,$BA$7:$BA$1843,"&gt;"&amp;BA156)+SUMIFS($AX$7:$AX$1843,$BY$7:$BY$1843,BY156,$BA$7:$BA$1843,BA156,$BQ$7:$BQ$1843,"&lt;="&amp;BQ156),"")</f>
        <v>18.4102479645958</v>
      </c>
      <c r="BC156" s="65" t="n">
        <f aca="false">IF(BB156="",0,MAX(0,MIN(1,(IF(BY156="L1",Parameter!$E$5,Parameter!$E$6+Parameter!$E$7)-(BB156-AX156))/AX156)))</f>
        <v>1</v>
      </c>
      <c r="BD156" s="55" t="str">
        <f aca="false">IF(AH156&lt;=0,"",IF(BY156="Aussen","Aussenlager",IF(BY156="-","Nicht im Lift",IF(AM156&gt;=1,"Lift",IF(AM156&lt;=0,"Aussenlager","teilweise")))))</f>
        <v>Lift</v>
      </c>
      <c r="BE156" s="55" t="str">
        <f aca="false">IF(AP156&lt;=0,"",IF(BY156="Aussen","Aussenlager",IF(BY156="-","Nicht im Lift",IF(AU156&gt;=1,"Lift",IF(AU156&lt;=0,"Aussenlager","teilweise")))))</f>
        <v>Lift</v>
      </c>
      <c r="BF156" s="55" t="str">
        <f aca="false">IF(AX156&lt;=0,"",IF(BY156="Aussen","Aussenlager",IF(BY156="-","Nicht im Lift",IF(BC156&gt;=1,"Lift",IF(BC156&lt;=0,"Aussenlager","teilweise")))))</f>
        <v>Lift</v>
      </c>
      <c r="BG156" s="55" t="str">
        <f aca="false">IF(A156="","",IF(BP156=1,"Neu; ","")&amp;IF(AND(BP156=0,BK156&lt;0),"negativer Bestand (Export "&amp;BK156&amp;"); ","")&amp;IF(J156&lt;=0,"Kein Verbrauch; ","")&amp;IF(CH156&gt;0,"Lift "&amp;W156&amp;" lt. Liftbericht (Fach "&amp;X156&amp;" Stk); ",IF(BU156=1,"Gebinde geschätzt ("&amp;T156&amp;"); ",IF(BT156=1,"Lose – Tablare geschätzt; ","")))&amp;IF(H156&gt;AR156,"Überbestand "&amp;ROUND(H156-AR156,0)&amp;" Stk / CHF "&amp;ROUND((H156-AR156)*G156,0)&amp;"; ","")&amp;IF(AND(CA156=1,CB156&lt;CC156),"MAX &lt; MB+LG; ","")&amp;IF(AND(CG156&gt;0,CF156*10&gt;CG156),"zu hoch für Tablar; ","")&amp;IF(AND(BP156=0,OR(CA156=1,AA156&lt;&gt;"",U156&lt;&gt;"",V156&lt;&gt;"",AB156&lt;&gt;"")),"manuell übersteuert; ","")&amp;IF(AND(BT156=0,R156=0),"Gebinde unbekannt / Stellmass fehlt; ","")&amp;IF(AND(BT156=0,N(V156)&lt;=0,N(Q156)&lt;=0),"Menge pro Gebinde fehlt (Ist = 1 Gebinde); ","")&amp;BO156)</f>
        <v/>
      </c>
      <c r="BH156" s="55"/>
      <c r="BI156" s="55"/>
      <c r="BJ156" s="62"/>
      <c r="BK156" s="57" t="n">
        <v>26</v>
      </c>
      <c r="BL156" s="57" t="n">
        <v>38</v>
      </c>
      <c r="BM156" s="56" t="n">
        <v>1269.7</v>
      </c>
      <c r="BN156" s="57" t="n">
        <v>69</v>
      </c>
      <c r="BO156" s="55"/>
      <c r="BP156" s="60" t="n">
        <v>0</v>
      </c>
      <c r="BQ156" s="60" t="n">
        <v>156</v>
      </c>
      <c r="BR156" s="55" t="str">
        <f aca="false">IF(U156&lt;&gt;"",UPPER(TRIM(U156)),IF(BU156=1,UPPER(VLOOKUP(T156,Parameter!$I$27:$K$29,2,0)),IF(P156="","LOSE",P156)))</f>
        <v>S51</v>
      </c>
      <c r="BS156" s="57" t="n">
        <f aca="false">IF(BR156="LOSE",1,IF(N(V156)&gt;0,V156,IF(BU156=1,MAX(1,N(VLOOKUP(T156,Parameter!$I$27:$K$29,3,0)),H156,N(N156)),IF(N(Q156)&gt;0,Q156,MAX(1,H156)))))</f>
        <v>107</v>
      </c>
      <c r="BT156" s="60" t="n">
        <f aca="false">IF(BR156="LOSE",1,0)</f>
        <v>0</v>
      </c>
      <c r="BU156" s="60" t="n">
        <f aca="false">IF(AND(U156="",OR(P156="",P156="LOSE"),T156&lt;&gt;"",N(S156)&lt;=0,ISNUMBER(MATCH(T156,Parameter!$I$27:$I$29,0))),1,0)</f>
        <v>0</v>
      </c>
      <c r="BV156" s="55" t="str">
        <f aca="false">IF(AND(Parameter!$B$19="Ja",E156&lt;&gt;"",ISNUMBER(MATCH(E156,Parameter!$I$35:$I$52,0))),VLOOKUP(E156,Parameter!$I$35:$J$52,2,0),IFERROR(VLOOKUP(D156,Parameter!$A$35:$C$64,2,0),"Nein"))</f>
        <v>2+3</v>
      </c>
      <c r="BW156" s="59" t="n">
        <f aca="false">IF(BT156=0,0,IF(N(S156)&gt;0,S156,IFERROR(VLOOKUP(D156,Parameter!$A$35:$C$64,3,0)+0,0)))</f>
        <v>0</v>
      </c>
      <c r="BX156" s="55" t="n">
        <f aca="false">IF(AA156&lt;&gt;"",AA156,Z156)</f>
        <v>3</v>
      </c>
      <c r="BY156" s="55" t="str">
        <f aca="false">IF(BX156=1,"L1",IF(OR(BX156=2,BX156=3),"L23",IF(BX156="Aussen","Aussen","-")))</f>
        <v>L23</v>
      </c>
      <c r="BZ156" s="66" t="n">
        <f aca="false">IF(N(AB156)&gt;0,AB156,0)</f>
        <v>0</v>
      </c>
      <c r="CA156" s="60" t="n">
        <f aca="false">IF(ISNUMBER(AE156),1,0)</f>
        <v>0</v>
      </c>
      <c r="CB156" s="57" t="n">
        <f aca="false">N(AE156)</f>
        <v>0</v>
      </c>
      <c r="CC156" s="57" t="n">
        <f aca="false">N(M156)+N(N156)</f>
        <v>62</v>
      </c>
      <c r="CD156" s="57" t="n">
        <f aca="false">ROUNDUP(H156/BS156,0)</f>
        <v>1</v>
      </c>
      <c r="CE156" s="57" t="n">
        <f aca="false">ROUNDUP(CB156/BS156,0)</f>
        <v>0</v>
      </c>
      <c r="CF156" s="60" t="n">
        <f aca="false">IF(BT156=1,0,IFERROR(VLOOKUP(BR156,'Gebinde-Kategorie'!$A$5:$M$45,5,0)+0,0))</f>
        <v>11</v>
      </c>
      <c r="CG156" s="60" t="n">
        <f aca="false">IFERROR(IF(OR(BX156=1,BX156=2,BX156=3),N(INDEX(Parameter!$I$5:$I$7,BX156)),0),0)</f>
        <v>0</v>
      </c>
      <c r="CH156" s="59" t="n">
        <f aca="false">IF(AND(Parameter!$B$21="Ja",ISNUMBER(W156),N(X156)&gt;0),IFERROR(N(INDEX(Parameter!$L$5:$L$7,W156))*INDEX(Parameter!$E$5:$E$7,W156)*X156/SUMIFS($X$7:$X$1843,$W$7:$W$1843,W156),0),0)</f>
        <v>0</v>
      </c>
    </row>
    <row r="157" customFormat="false" ht="15" hidden="false" customHeight="false" outlineLevel="0" collapsed="false">
      <c r="A157" s="55" t="s">
        <v>521</v>
      </c>
      <c r="B157" s="55" t="s">
        <v>522</v>
      </c>
      <c r="C157" s="55" t="s">
        <v>164</v>
      </c>
      <c r="D157" s="55" t="s">
        <v>173</v>
      </c>
      <c r="E157" s="55" t="s">
        <v>185</v>
      </c>
      <c r="F157" s="55" t="s">
        <v>218</v>
      </c>
      <c r="G157" s="56" t="n">
        <v>421.59</v>
      </c>
      <c r="H157" s="57" t="n">
        <f aca="false">MAX(0,IF(AND(Parameter!$B$21="Ja",ISNUMBER(Y157)),Y157,IF(Parameter!$B$20="Jahresanfang 2025 + Export",BL157+BK157,BK157)))</f>
        <v>7</v>
      </c>
      <c r="I157" s="57" t="n">
        <f aca="false">H157*G157</f>
        <v>2951.13</v>
      </c>
      <c r="J157" s="57" t="n">
        <f aca="false">BN157*Parameter!$B$18</f>
        <v>0</v>
      </c>
      <c r="K157" s="58" t="n">
        <v>5.5</v>
      </c>
      <c r="L157" s="59" t="n">
        <v>0</v>
      </c>
      <c r="M157" s="57" t="n">
        <v>0</v>
      </c>
      <c r="N157" s="57" t="n">
        <v>1</v>
      </c>
      <c r="O157" s="60" t="n">
        <v>30</v>
      </c>
      <c r="P157" s="55" t="s">
        <v>174</v>
      </c>
      <c r="Q157" s="57" t="n">
        <v>7</v>
      </c>
      <c r="R157" s="60" t="n">
        <f aca="false">IF(BT157=1,0,IFERROR(VLOOKUP(BR157,'Gebinde-Kategorie'!$A$5:$M$45,13,0)+0,0))</f>
        <v>6</v>
      </c>
      <c r="S157" s="61"/>
      <c r="T157" s="62"/>
      <c r="U157" s="62"/>
      <c r="V157" s="62"/>
      <c r="W157" s="55"/>
      <c r="X157" s="57"/>
      <c r="Y157" s="57"/>
      <c r="Z157" s="55" t="n">
        <f aca="false">IF(A157="","",IF(AND(Parameter!$B$21="Ja",ISNUMBER(W157)),W157,IF(BV157="2+3",IF(ISNUMBER(SEARCH("grosser Artikel",BO157)),2,IFERROR(VLOOKUP(BR157,Parameter!$F$35:$G$64,2,0),2)),IF(OR(BV157="Nein",BV157=""),"-",BV157))))</f>
        <v>2</v>
      </c>
      <c r="AA157" s="62"/>
      <c r="AB157" s="63"/>
      <c r="AC157" s="57" t="n">
        <f aca="false">AR157</f>
        <v>7</v>
      </c>
      <c r="AD157" s="57" t="n">
        <f aca="false">MAX(AR157,H157)</f>
        <v>7</v>
      </c>
      <c r="AE157" s="64"/>
      <c r="AF157" s="57" t="n">
        <f aca="false">IF(LEFT(Cockpit!$C$5,1)="A",H157,IF(CA157=1,CB157,IF(LEFT(Cockpit!$C$5,1)="B",AJ157,MAX(AJ157,H157))))</f>
        <v>7</v>
      </c>
      <c r="AG157" s="57" t="n">
        <f aca="false">IF(BT157=1,0,ROUNDUP(AF157/BS157,0))</f>
        <v>1</v>
      </c>
      <c r="AH157" s="59" t="n">
        <f aca="false">IF(CH157&gt;0,CH157*MAX(1,AF157/X157),IF(BT157=1,IF(AF157&lt;=0,0,BW157*MAX(1,IF(H157&gt;0,AF157/H157,1))),IF(R157&gt;0,AG157/R157,0))/MAX(0.1,N(Parameter!$M$21)))</f>
        <v>0.166666666666667</v>
      </c>
      <c r="AI157" s="57" t="n">
        <f aca="false">AF157*G157</f>
        <v>2951.13</v>
      </c>
      <c r="AJ157" s="57" t="n">
        <f aca="false">ROUNDUP(MAX(J157/IF(BZ157&gt;0,BZ157,MAX(0.1,N(Cockpit!$C$6))),CC157)/BS157,0)*BS157</f>
        <v>7</v>
      </c>
      <c r="AK157" s="58" t="n">
        <f aca="false">IF(AH157&gt;0,J157/AH157,-1)</f>
        <v>0</v>
      </c>
      <c r="AL157" s="58" t="n">
        <f aca="false">IF(AND(OR(BY157="L1",BY157="L23"),AH157&gt;0),SUMIFS($AH$7:$AH$1843,$BY$7:$BY$1843,BY157,$AK$7:$AK$1843,"&gt;"&amp;AK157)+SUMIFS($AH$7:$AH$1843,$BY$7:$BY$1843,BY157,$AK$7:$AK$1843,AK157,$BQ$7:$BQ$1843,"&lt;="&amp;BQ157),"")</f>
        <v>69.5227188270667</v>
      </c>
      <c r="AM157" s="65" t="n">
        <f aca="false">IF(AL157="",0,MAX(0,MIN(1,(IF(BY157="L1",Parameter!$E$5,Parameter!$E$6+Parameter!$E$7)-(AL157-AH157))/AH157)))</f>
        <v>1</v>
      </c>
      <c r="AN157" s="57" t="n">
        <f aca="false">IF(LEFT(Cockpit!$I$5,1)="A",H157,IF(CA157=1,CB157,IF(LEFT(Cockpit!$I$5,1)="B",AR157,MAX(AR157,H157))))</f>
        <v>7</v>
      </c>
      <c r="AO157" s="57" t="n">
        <f aca="false">IF(BT157=1,0,ROUNDUP(AN157/BS157,0))</f>
        <v>1</v>
      </c>
      <c r="AP157" s="59" t="n">
        <f aca="false">IF(CH157&gt;0,CH157*MAX(1,AN157/X157),IF(BT157=1,IF(AN157&lt;=0,0,BW157*MAX(1,IF(H157&gt;0,AN157/H157,1))),IF(R157&gt;0,AO157/R157,0))/MAX(0.1,N(Parameter!$M$21)))</f>
        <v>0.166666666666667</v>
      </c>
      <c r="AQ157" s="57" t="n">
        <f aca="false">AN157*G157</f>
        <v>2951.13</v>
      </c>
      <c r="AR157" s="57" t="n">
        <f aca="false">ROUNDUP(MAX(J157/IF(BZ157&gt;0,BZ157,MAX(0.1,N(Cockpit!$I$6))),CC157)/BS157,0)*BS157</f>
        <v>7</v>
      </c>
      <c r="AS157" s="58" t="n">
        <f aca="false">IF(AP157&gt;0,J157/AP157,-1)</f>
        <v>0</v>
      </c>
      <c r="AT157" s="58" t="n">
        <f aca="false">IF(AND(OR(BY157="L1",BY157="L23"),AP157&gt;0),SUMIFS($AP$7:$AP$1843,$BY$7:$BY$1843,BY157,$AS$7:$AS$1843,"&gt;"&amp;AS157)+SUMIFS($AP$7:$AP$1843,$BY$7:$BY$1843,BY157,$AS$7:$AS$1843,AS157,$BQ$7:$BQ$1843,"&lt;="&amp;BQ157),"")</f>
        <v>108.94684301206</v>
      </c>
      <c r="AU157" s="65" t="n">
        <f aca="false">IF(AT157="",0,MAX(0,MIN(1,(IF(BY157="L1",Parameter!$E$5,Parameter!$E$6+Parameter!$E$7)-(AT157-AP157))/AP157)))</f>
        <v>0</v>
      </c>
      <c r="AV157" s="57" t="n">
        <f aca="false">IF(LEFT(Cockpit!$O$5,1)="A",H157,IF(CA157=1,CB157,IF(LEFT(Cockpit!$O$5,1)="B",AZ157,MAX(AZ157,H157))))</f>
        <v>7</v>
      </c>
      <c r="AW157" s="57" t="n">
        <f aca="false">IF(BT157=1,0,ROUNDUP(AV157/BS157,0))</f>
        <v>1</v>
      </c>
      <c r="AX157" s="59" t="n">
        <f aca="false">IF(CH157&gt;0,CH157*MAX(1,AV157/X157),IF(BT157=1,IF(AV157&lt;=0,0,BW157*MAX(1,IF(H157&gt;0,AV157/H157,1))),IF(R157&gt;0,AW157/R157,0))/MAX(0.1,N(Parameter!$M$21)))</f>
        <v>0.166666666666667</v>
      </c>
      <c r="AY157" s="57" t="n">
        <f aca="false">AV157*G157</f>
        <v>2951.13</v>
      </c>
      <c r="AZ157" s="57" t="n">
        <f aca="false">ROUNDUP(MAX(J157/IF(BZ157&gt;0,BZ157,MAX(0.1,N(Cockpit!$O$6))),CC157)/BS157,0)*BS157</f>
        <v>7</v>
      </c>
      <c r="BA157" s="58" t="n">
        <f aca="false">IF(AX157&gt;0,J157/AX157,-1)</f>
        <v>0</v>
      </c>
      <c r="BB157" s="58" t="n">
        <f aca="false">IF(AND(OR(BY157="L1",BY157="L23"),AX157&gt;0),SUMIFS($AX$7:$AX$1843,$BY$7:$BY$1843,BY157,$BA$7:$BA$1843,"&gt;"&amp;BA157)+SUMIFS($AX$7:$AX$1843,$BY$7:$BY$1843,BY157,$BA$7:$BA$1843,BA157,$BQ$7:$BQ$1843,"&lt;="&amp;BQ157),"")</f>
        <v>99.7766798418972</v>
      </c>
      <c r="BC157" s="65" t="n">
        <f aca="false">IF(BB157="",0,MAX(0,MIN(1,(IF(BY157="L1",Parameter!$E$5,Parameter!$E$6+Parameter!$E$7)-(BB157-AX157))/AX157)))</f>
        <v>1</v>
      </c>
      <c r="BD157" s="55" t="str">
        <f aca="false">IF(AH157&lt;=0,"",IF(BY157="Aussen","Aussenlager",IF(BY157="-","Nicht im Lift",IF(AM157&gt;=1,"Lift",IF(AM157&lt;=0,"Aussenlager","teilweise")))))</f>
        <v>Lift</v>
      </c>
      <c r="BE157" s="55" t="str">
        <f aca="false">IF(AP157&lt;=0,"",IF(BY157="Aussen","Aussenlager",IF(BY157="-","Nicht im Lift",IF(AU157&gt;=1,"Lift",IF(AU157&lt;=0,"Aussenlager","teilweise")))))</f>
        <v>Aussenlager</v>
      </c>
      <c r="BF157" s="55" t="str">
        <f aca="false">IF(AX157&lt;=0,"",IF(BY157="Aussen","Aussenlager",IF(BY157="-","Nicht im Lift",IF(BC157&gt;=1,"Lift",IF(BC157&lt;=0,"Aussenlager","teilweise")))))</f>
        <v>Lift</v>
      </c>
      <c r="BG157" s="55" t="str">
        <f aca="false">IF(A157="","",IF(BP157=1,"Neu; ","")&amp;IF(AND(BP157=0,BK157&lt;0),"negativer Bestand (Export "&amp;BK157&amp;"); ","")&amp;IF(J157&lt;=0,"Kein Verbrauch; ","")&amp;IF(CH157&gt;0,"Lift "&amp;W157&amp;" lt. Liftbericht (Fach "&amp;X157&amp;" Stk); ",IF(BU157=1,"Gebinde geschätzt ("&amp;T157&amp;"); ",IF(BT157=1,"Lose – Tablare geschätzt; ","")))&amp;IF(H157&gt;AR157,"Überbestand "&amp;ROUND(H157-AR157,0)&amp;" Stk / CHF "&amp;ROUND((H157-AR157)*G157,0)&amp;"; ","")&amp;IF(AND(CA157=1,CB157&lt;CC157),"MAX &lt; MB+LG; ","")&amp;IF(AND(CG157&gt;0,CF157*10&gt;CG157),"zu hoch für Tablar; ","")&amp;IF(AND(BP157=0,OR(CA157=1,AA157&lt;&gt;"",U157&lt;&gt;"",V157&lt;&gt;"",AB157&lt;&gt;"")),"manuell übersteuert; ","")&amp;IF(AND(BT157=0,R157=0),"Gebinde unbekannt / Stellmass fehlt; ","")&amp;IF(AND(BT157=0,N(V157)&lt;=0,N(Q157)&lt;=0),"Menge pro Gebinde fehlt (Ist = 1 Gebinde); ","")&amp;BO157)</f>
        <v>Kein Verbrauch; grosser Artikel &amp; nicht im KTL</v>
      </c>
      <c r="BH157" s="55"/>
      <c r="BI157" s="55"/>
      <c r="BJ157" s="62"/>
      <c r="BK157" s="57" t="n">
        <v>3</v>
      </c>
      <c r="BL157" s="57" t="n">
        <v>4</v>
      </c>
      <c r="BM157" s="56" t="n">
        <v>1264.77</v>
      </c>
      <c r="BN157" s="57" t="n">
        <v>0</v>
      </c>
      <c r="BO157" s="55" t="s">
        <v>261</v>
      </c>
      <c r="BP157" s="60" t="n">
        <v>0</v>
      </c>
      <c r="BQ157" s="60" t="n">
        <v>157</v>
      </c>
      <c r="BR157" s="55" t="str">
        <f aca="false">IF(U157&lt;&gt;"",UPPER(TRIM(U157)),IF(BU157=1,UPPER(VLOOKUP(T157,Parameter!$I$27:$K$29,2,0)),IF(P157="","LOSE",P157)))</f>
        <v>S71</v>
      </c>
      <c r="BS157" s="57" t="n">
        <f aca="false">IF(BR157="LOSE",1,IF(N(V157)&gt;0,V157,IF(BU157=1,MAX(1,N(VLOOKUP(T157,Parameter!$I$27:$K$29,3,0)),H157,N(N157)),IF(N(Q157)&gt;0,Q157,MAX(1,H157)))))</f>
        <v>7</v>
      </c>
      <c r="BT157" s="60" t="n">
        <f aca="false">IF(BR157="LOSE",1,0)</f>
        <v>0</v>
      </c>
      <c r="BU157" s="60" t="n">
        <f aca="false">IF(AND(U157="",OR(P157="",P157="LOSE"),T157&lt;&gt;"",N(S157)&lt;=0,ISNUMBER(MATCH(T157,Parameter!$I$27:$I$29,0))),1,0)</f>
        <v>0</v>
      </c>
      <c r="BV157" s="55" t="str">
        <f aca="false">IF(AND(Parameter!$B$19="Ja",E157&lt;&gt;"",ISNUMBER(MATCH(E157,Parameter!$I$35:$I$52,0))),VLOOKUP(E157,Parameter!$I$35:$J$52,2,0),IFERROR(VLOOKUP(D157,Parameter!$A$35:$C$64,2,0),"Nein"))</f>
        <v>2+3</v>
      </c>
      <c r="BW157" s="59" t="n">
        <f aca="false">IF(BT157=0,0,IF(N(S157)&gt;0,S157,IFERROR(VLOOKUP(D157,Parameter!$A$35:$C$64,3,0)+0,0)))</f>
        <v>0</v>
      </c>
      <c r="BX157" s="55" t="n">
        <f aca="false">IF(AA157&lt;&gt;"",AA157,Z157)</f>
        <v>2</v>
      </c>
      <c r="BY157" s="55" t="str">
        <f aca="false">IF(BX157=1,"L1",IF(OR(BX157=2,BX157=3),"L23",IF(BX157="Aussen","Aussen","-")))</f>
        <v>L23</v>
      </c>
      <c r="BZ157" s="66" t="n">
        <f aca="false">IF(N(AB157)&gt;0,AB157,0)</f>
        <v>0</v>
      </c>
      <c r="CA157" s="60" t="n">
        <f aca="false">IF(ISNUMBER(AE157),1,0)</f>
        <v>0</v>
      </c>
      <c r="CB157" s="57" t="n">
        <f aca="false">N(AE157)</f>
        <v>0</v>
      </c>
      <c r="CC157" s="57" t="n">
        <f aca="false">N(M157)+N(N157)</f>
        <v>1</v>
      </c>
      <c r="CD157" s="57" t="n">
        <f aca="false">ROUNDUP(H157/BS157,0)</f>
        <v>1</v>
      </c>
      <c r="CE157" s="57" t="n">
        <f aca="false">ROUNDUP(CB157/BS157,0)</f>
        <v>0</v>
      </c>
      <c r="CF157" s="60" t="n">
        <f aca="false">IF(BT157=1,0,IFERROR(VLOOKUP(BR157,'Gebinde-Kategorie'!$A$5:$M$45,5,0)+0,0))</f>
        <v>20</v>
      </c>
      <c r="CG157" s="60" t="n">
        <f aca="false">IFERROR(IF(OR(BX157=1,BX157=2,BX157=3),N(INDEX(Parameter!$I$5:$I$7,BX157)),0),0)</f>
        <v>0</v>
      </c>
      <c r="CH157" s="59" t="n">
        <f aca="false">IF(AND(Parameter!$B$21="Ja",ISNUMBER(W157),N(X157)&gt;0),IFERROR(N(INDEX(Parameter!$L$5:$L$7,W157))*INDEX(Parameter!$E$5:$E$7,W157)*X157/SUMIFS($X$7:$X$1843,$W$7:$W$1843,W157),0),0)</f>
        <v>0</v>
      </c>
    </row>
    <row r="158" customFormat="false" ht="15" hidden="false" customHeight="false" outlineLevel="0" collapsed="false">
      <c r="A158" s="55" t="s">
        <v>523</v>
      </c>
      <c r="B158" s="55" t="s">
        <v>524</v>
      </c>
      <c r="C158" s="55" t="s">
        <v>164</v>
      </c>
      <c r="D158" s="55" t="s">
        <v>184</v>
      </c>
      <c r="E158" s="55" t="s">
        <v>185</v>
      </c>
      <c r="F158" s="55" t="s">
        <v>218</v>
      </c>
      <c r="G158" s="56" t="n">
        <v>4.82</v>
      </c>
      <c r="H158" s="57" t="n">
        <f aca="false">MAX(0,IF(AND(Parameter!$B$21="Ja",ISNUMBER(Y158)),Y158,IF(Parameter!$B$20="Jahresanfang 2025 + Export",BL158+BK158,BK158)))</f>
        <v>339</v>
      </c>
      <c r="I158" s="57" t="n">
        <f aca="false">H158*G158</f>
        <v>1633.98</v>
      </c>
      <c r="J158" s="57" t="n">
        <f aca="false">BN158*Parameter!$B$18</f>
        <v>386</v>
      </c>
      <c r="K158" s="58" t="n">
        <v>85.5</v>
      </c>
      <c r="L158" s="59" t="n">
        <v>4.51461988304094</v>
      </c>
      <c r="M158" s="57" t="n">
        <v>15</v>
      </c>
      <c r="N158" s="57" t="n">
        <v>390</v>
      </c>
      <c r="O158" s="60" t="n">
        <v>14</v>
      </c>
      <c r="P158" s="55" t="s">
        <v>233</v>
      </c>
      <c r="Q158" s="57" t="n">
        <v>131</v>
      </c>
      <c r="R158" s="60" t="n">
        <f aca="false">IF(BT158=1,0,IFERROR(VLOOKUP(BR158,'Gebinde-Kategorie'!$A$5:$M$45,13,0)+0,0))</f>
        <v>26</v>
      </c>
      <c r="S158" s="61"/>
      <c r="T158" s="62"/>
      <c r="U158" s="62"/>
      <c r="V158" s="62"/>
      <c r="W158" s="55"/>
      <c r="X158" s="57"/>
      <c r="Y158" s="57"/>
      <c r="Z158" s="55" t="n">
        <f aca="false">IF(A158="","",IF(AND(Parameter!$B$21="Ja",ISNUMBER(W158)),W158,IF(BV158="2+3",IF(ISNUMBER(SEARCH("grosser Artikel",BO158)),2,IFERROR(VLOOKUP(BR158,Parameter!$F$35:$G$64,2,0),2)),IF(OR(BV158="Nein",BV158=""),"-",BV158))))</f>
        <v>3</v>
      </c>
      <c r="AA158" s="62"/>
      <c r="AB158" s="63"/>
      <c r="AC158" s="57" t="n">
        <f aca="false">AR158</f>
        <v>524</v>
      </c>
      <c r="AD158" s="57" t="n">
        <f aca="false">MAX(AR158,H158)</f>
        <v>524</v>
      </c>
      <c r="AE158" s="64"/>
      <c r="AF158" s="57" t="n">
        <f aca="false">IF(LEFT(Cockpit!$C$5,1)="A",H158,IF(CA158=1,CB158,IF(LEFT(Cockpit!$C$5,1)="B",AJ158,MAX(AJ158,H158))))</f>
        <v>339</v>
      </c>
      <c r="AG158" s="57" t="n">
        <f aca="false">IF(BT158=1,0,ROUNDUP(AF158/BS158,0))</f>
        <v>3</v>
      </c>
      <c r="AH158" s="59" t="n">
        <f aca="false">IF(CH158&gt;0,CH158*MAX(1,AF158/X158),IF(BT158=1,IF(AF158&lt;=0,0,BW158*MAX(1,IF(H158&gt;0,AF158/H158,1))),IF(R158&gt;0,AG158/R158,0))/MAX(0.1,N(Parameter!$M$21)))</f>
        <v>0.115384615384615</v>
      </c>
      <c r="AI158" s="57" t="n">
        <f aca="false">AF158*G158</f>
        <v>1633.98</v>
      </c>
      <c r="AJ158" s="57" t="n">
        <f aca="false">ROUNDUP(MAX(J158/IF(BZ158&gt;0,BZ158,MAX(0.1,N(Cockpit!$C$6))),CC158)/BS158,0)*BS158</f>
        <v>524</v>
      </c>
      <c r="AK158" s="58" t="n">
        <f aca="false">IF(AH158&gt;0,J158/AH158,-1)</f>
        <v>3345.33333333333</v>
      </c>
      <c r="AL158" s="58" t="n">
        <f aca="false">IF(AND(OR(BY158="L1",BY158="L23"),AH158&gt;0),SUMIFS($AH$7:$AH$1843,$BY$7:$BY$1843,BY158,$AK$7:$AK$1843,"&gt;"&amp;AK158)+SUMIFS($AH$7:$AH$1843,$BY$7:$BY$1843,BY158,$AK$7:$AK$1843,AK158,$BQ$7:$BQ$1843,"&lt;="&amp;BQ158),"")</f>
        <v>10.4601195905544</v>
      </c>
      <c r="AM158" s="65" t="n">
        <f aca="false">IF(AL158="",0,MAX(0,MIN(1,(IF(BY158="L1",Parameter!$E$5,Parameter!$E$6+Parameter!$E$7)-(AL158-AH158))/AH158)))</f>
        <v>1</v>
      </c>
      <c r="AN158" s="57" t="n">
        <f aca="false">IF(LEFT(Cockpit!$I$5,1)="A",H158,IF(CA158=1,CB158,IF(LEFT(Cockpit!$I$5,1)="B",AR158,MAX(AR158,H158))))</f>
        <v>524</v>
      </c>
      <c r="AO158" s="57" t="n">
        <f aca="false">IF(BT158=1,0,ROUNDUP(AN158/BS158,0))</f>
        <v>4</v>
      </c>
      <c r="AP158" s="59" t="n">
        <f aca="false">IF(CH158&gt;0,CH158*MAX(1,AN158/X158),IF(BT158=1,IF(AN158&lt;=0,0,BW158*MAX(1,IF(H158&gt;0,AN158/H158,1))),IF(R158&gt;0,AO158/R158,0))/MAX(0.1,N(Parameter!$M$21)))</f>
        <v>0.153846153846154</v>
      </c>
      <c r="AQ158" s="57" t="n">
        <f aca="false">AN158*G158</f>
        <v>2525.68</v>
      </c>
      <c r="AR158" s="57" t="n">
        <f aca="false">ROUNDUP(MAX(J158/IF(BZ158&gt;0,BZ158,MAX(0.1,N(Cockpit!$I$6))),CC158)/BS158,0)*BS158</f>
        <v>524</v>
      </c>
      <c r="AS158" s="58" t="n">
        <f aca="false">IF(AP158&gt;0,J158/AP158,-1)</f>
        <v>2509</v>
      </c>
      <c r="AT158" s="58" t="n">
        <f aca="false">IF(AND(OR(BY158="L1",BY158="L23"),AP158&gt;0),SUMIFS($AP$7:$AP$1843,$BY$7:$BY$1843,BY158,$AS$7:$AS$1843,"&gt;"&amp;AS158)+SUMIFS($AP$7:$AP$1843,$BY$7:$BY$1843,BY158,$AS$7:$AS$1843,AS158,$BQ$7:$BQ$1843,"&lt;="&amp;BQ158),"")</f>
        <v>16.7589777372386</v>
      </c>
      <c r="AU158" s="65" t="n">
        <f aca="false">IF(AT158="",0,MAX(0,MIN(1,(IF(BY158="L1",Parameter!$E$5,Parameter!$E$6+Parameter!$E$7)-(AT158-AP158))/AP158)))</f>
        <v>1</v>
      </c>
      <c r="AV158" s="57" t="n">
        <f aca="false">IF(LEFT(Cockpit!$O$5,1)="A",H158,IF(CA158=1,CB158,IF(LEFT(Cockpit!$O$5,1)="B",AZ158,MAX(AZ158,H158))))</f>
        <v>524</v>
      </c>
      <c r="AW158" s="57" t="n">
        <f aca="false">IF(BT158=1,0,ROUNDUP(AV158/BS158,0))</f>
        <v>4</v>
      </c>
      <c r="AX158" s="59" t="n">
        <f aca="false">IF(CH158&gt;0,CH158*MAX(1,AV158/X158),IF(BT158=1,IF(AV158&lt;=0,0,BW158*MAX(1,IF(H158&gt;0,AV158/H158,1))),IF(R158&gt;0,AW158/R158,0))/MAX(0.1,N(Parameter!$M$21)))</f>
        <v>0.153846153846154</v>
      </c>
      <c r="AY158" s="57" t="n">
        <f aca="false">AV158*G158</f>
        <v>2525.68</v>
      </c>
      <c r="AZ158" s="57" t="n">
        <f aca="false">ROUNDUP(MAX(J158/IF(BZ158&gt;0,BZ158,MAX(0.1,N(Cockpit!$O$6))),CC158)/BS158,0)*BS158</f>
        <v>524</v>
      </c>
      <c r="BA158" s="58" t="n">
        <f aca="false">IF(AX158&gt;0,J158/AX158,-1)</f>
        <v>2509</v>
      </c>
      <c r="BB158" s="58" t="n">
        <f aca="false">IF(AND(OR(BY158="L1",BY158="L23"),AX158&gt;0),SUMIFS($AX$7:$AX$1843,$BY$7:$BY$1843,BY158,$BA$7:$BA$1843,"&gt;"&amp;BA158)+SUMIFS($AX$7:$AX$1843,$BY$7:$BY$1843,BY158,$BA$7:$BA$1843,BA158,$BQ$7:$BQ$1843,"&lt;="&amp;BQ158),"")</f>
        <v>15.3324043106652</v>
      </c>
      <c r="BC158" s="65" t="n">
        <f aca="false">IF(BB158="",0,MAX(0,MIN(1,(IF(BY158="L1",Parameter!$E$5,Parameter!$E$6+Parameter!$E$7)-(BB158-AX158))/AX158)))</f>
        <v>1</v>
      </c>
      <c r="BD158" s="55" t="str">
        <f aca="false">IF(AH158&lt;=0,"",IF(BY158="Aussen","Aussenlager",IF(BY158="-","Nicht im Lift",IF(AM158&gt;=1,"Lift",IF(AM158&lt;=0,"Aussenlager","teilweise")))))</f>
        <v>Lift</v>
      </c>
      <c r="BE158" s="55" t="str">
        <f aca="false">IF(AP158&lt;=0,"",IF(BY158="Aussen","Aussenlager",IF(BY158="-","Nicht im Lift",IF(AU158&gt;=1,"Lift",IF(AU158&lt;=0,"Aussenlager","teilweise")))))</f>
        <v>Lift</v>
      </c>
      <c r="BF158" s="55" t="str">
        <f aca="false">IF(AX158&lt;=0,"",IF(BY158="Aussen","Aussenlager",IF(BY158="-","Nicht im Lift",IF(BC158&gt;=1,"Lift",IF(BC158&lt;=0,"Aussenlager","teilweise")))))</f>
        <v>Lift</v>
      </c>
      <c r="BG158" s="55" t="str">
        <f aca="false">IF(A158="","",IF(BP158=1,"Neu; ","")&amp;IF(AND(BP158=0,BK158&lt;0),"negativer Bestand (Export "&amp;BK158&amp;"); ","")&amp;IF(J158&lt;=0,"Kein Verbrauch; ","")&amp;IF(CH158&gt;0,"Lift "&amp;W158&amp;" lt. Liftbericht (Fach "&amp;X158&amp;" Stk); ",IF(BU158=1,"Gebinde geschätzt ("&amp;T158&amp;"); ",IF(BT158=1,"Lose – Tablare geschätzt; ","")))&amp;IF(H158&gt;AR158,"Überbestand "&amp;ROUND(H158-AR158,0)&amp;" Stk / CHF "&amp;ROUND((H158-AR158)*G158,0)&amp;"; ","")&amp;IF(AND(CA158=1,CB158&lt;CC158),"MAX &lt; MB+LG; ","")&amp;IF(AND(CG158&gt;0,CF158*10&gt;CG158),"zu hoch für Tablar; ","")&amp;IF(AND(BP158=0,OR(CA158=1,AA158&lt;&gt;"",U158&lt;&gt;"",V158&lt;&gt;"",AB158&lt;&gt;"")),"manuell übersteuert; ","")&amp;IF(AND(BT158=0,R158=0),"Gebinde unbekannt / Stellmass fehlt; ","")&amp;IF(AND(BT158=0,N(V158)&lt;=0,N(Q158)&lt;=0),"Menge pro Gebinde fehlt (Ist = 1 Gebinde); ","")&amp;BO158)</f>
        <v/>
      </c>
      <c r="BH158" s="55"/>
      <c r="BI158" s="55"/>
      <c r="BJ158" s="62"/>
      <c r="BK158" s="57" t="n">
        <v>259</v>
      </c>
      <c r="BL158" s="57" t="n">
        <v>80</v>
      </c>
      <c r="BM158" s="56" t="n">
        <v>1249.1</v>
      </c>
      <c r="BN158" s="57" t="n">
        <v>386</v>
      </c>
      <c r="BO158" s="55"/>
      <c r="BP158" s="60" t="n">
        <v>0</v>
      </c>
      <c r="BQ158" s="60" t="n">
        <v>158</v>
      </c>
      <c r="BR158" s="55" t="str">
        <f aca="false">IF(U158&lt;&gt;"",UPPER(TRIM(U158)),IF(BU158=1,UPPER(VLOOKUP(T158,Parameter!$I$27:$K$29,2,0)),IF(P158="","LOSE",P158)))</f>
        <v>S52</v>
      </c>
      <c r="BS158" s="57" t="n">
        <f aca="false">IF(BR158="LOSE",1,IF(N(V158)&gt;0,V158,IF(BU158=1,MAX(1,N(VLOOKUP(T158,Parameter!$I$27:$K$29,3,0)),H158,N(N158)),IF(N(Q158)&gt;0,Q158,MAX(1,H158)))))</f>
        <v>131</v>
      </c>
      <c r="BT158" s="60" t="n">
        <f aca="false">IF(BR158="LOSE",1,0)</f>
        <v>0</v>
      </c>
      <c r="BU158" s="60" t="n">
        <f aca="false">IF(AND(U158="",OR(P158="",P158="LOSE"),T158&lt;&gt;"",N(S158)&lt;=0,ISNUMBER(MATCH(T158,Parameter!$I$27:$I$29,0))),1,0)</f>
        <v>0</v>
      </c>
      <c r="BV158" s="55" t="str">
        <f aca="false">IF(AND(Parameter!$B$19="Ja",E158&lt;&gt;"",ISNUMBER(MATCH(E158,Parameter!$I$35:$I$52,0))),VLOOKUP(E158,Parameter!$I$35:$J$52,2,0),IFERROR(VLOOKUP(D158,Parameter!$A$35:$C$64,2,0),"Nein"))</f>
        <v>2+3</v>
      </c>
      <c r="BW158" s="59" t="n">
        <f aca="false">IF(BT158=0,0,IF(N(S158)&gt;0,S158,IFERROR(VLOOKUP(D158,Parameter!$A$35:$C$64,3,0)+0,0)))</f>
        <v>0</v>
      </c>
      <c r="BX158" s="55" t="n">
        <f aca="false">IF(AA158&lt;&gt;"",AA158,Z158)</f>
        <v>3</v>
      </c>
      <c r="BY158" s="55" t="str">
        <f aca="false">IF(BX158=1,"L1",IF(OR(BX158=2,BX158=3),"L23",IF(BX158="Aussen","Aussen","-")))</f>
        <v>L23</v>
      </c>
      <c r="BZ158" s="66" t="n">
        <f aca="false">IF(N(AB158)&gt;0,AB158,0)</f>
        <v>0</v>
      </c>
      <c r="CA158" s="60" t="n">
        <f aca="false">IF(ISNUMBER(AE158),1,0)</f>
        <v>0</v>
      </c>
      <c r="CB158" s="57" t="n">
        <f aca="false">N(AE158)</f>
        <v>0</v>
      </c>
      <c r="CC158" s="57" t="n">
        <f aca="false">N(M158)+N(N158)</f>
        <v>405</v>
      </c>
      <c r="CD158" s="57" t="n">
        <f aca="false">ROUNDUP(H158/BS158,0)</f>
        <v>3</v>
      </c>
      <c r="CE158" s="57" t="n">
        <f aca="false">ROUNDUP(CB158/BS158,0)</f>
        <v>0</v>
      </c>
      <c r="CF158" s="60" t="n">
        <f aca="false">IF(BT158=1,0,IFERROR(VLOOKUP(BR158,'Gebinde-Kategorie'!$A$5:$M$45,5,0)+0,0))</f>
        <v>21</v>
      </c>
      <c r="CG158" s="60" t="n">
        <f aca="false">IFERROR(IF(OR(BX158=1,BX158=2,BX158=3),N(INDEX(Parameter!$I$5:$I$7,BX158)),0),0)</f>
        <v>0</v>
      </c>
      <c r="CH158" s="59" t="n">
        <f aca="false">IF(AND(Parameter!$B$21="Ja",ISNUMBER(W158),N(X158)&gt;0),IFERROR(N(INDEX(Parameter!$L$5:$L$7,W158))*INDEX(Parameter!$E$5:$E$7,W158)*X158/SUMIFS($X$7:$X$1843,$W$7:$W$1843,W158),0),0)</f>
        <v>0</v>
      </c>
    </row>
    <row r="159" customFormat="false" ht="15" hidden="false" customHeight="false" outlineLevel="0" collapsed="false">
      <c r="A159" s="55" t="s">
        <v>525</v>
      </c>
      <c r="B159" s="55" t="s">
        <v>526</v>
      </c>
      <c r="C159" s="55" t="s">
        <v>164</v>
      </c>
      <c r="D159" s="55" t="s">
        <v>173</v>
      </c>
      <c r="E159" s="55"/>
      <c r="F159" s="55" t="s">
        <v>218</v>
      </c>
      <c r="G159" s="56" t="n">
        <v>103.6</v>
      </c>
      <c r="H159" s="57" t="n">
        <f aca="false">MAX(0,IF(AND(Parameter!$B$21="Ja",ISNUMBER(Y159)),Y159,IF(Parameter!$B$20="Jahresanfang 2025 + Export",BL159+BK159,BK159)))</f>
        <v>45</v>
      </c>
      <c r="I159" s="57" t="n">
        <f aca="false">H159*G159</f>
        <v>4662</v>
      </c>
      <c r="J159" s="57" t="n">
        <f aca="false">BN159*Parameter!$B$18</f>
        <v>151</v>
      </c>
      <c r="K159" s="58" t="n">
        <v>35.5</v>
      </c>
      <c r="L159" s="59" t="n">
        <v>4.25352112676056</v>
      </c>
      <c r="M159" s="57" t="n">
        <v>15</v>
      </c>
      <c r="N159" s="57" t="n">
        <v>55</v>
      </c>
      <c r="O159" s="60" t="n">
        <v>28</v>
      </c>
      <c r="P159" s="55" t="s">
        <v>168</v>
      </c>
      <c r="Q159" s="57"/>
      <c r="R159" s="60" t="n">
        <f aca="false">IF(BT159=1,0,IFERROR(VLOOKUP(BR159,'Gebinde-Kategorie'!$A$5:$M$45,13,0)+0,0))</f>
        <v>12</v>
      </c>
      <c r="S159" s="61"/>
      <c r="T159" s="62" t="s">
        <v>179</v>
      </c>
      <c r="U159" s="62"/>
      <c r="V159" s="62"/>
      <c r="W159" s="55"/>
      <c r="X159" s="57"/>
      <c r="Y159" s="57"/>
      <c r="Z159" s="55" t="n">
        <f aca="false">IF(A159="","",IF(AND(Parameter!$B$21="Ja",ISNUMBER(W159)),W159,IF(BV159="2+3",IF(ISNUMBER(SEARCH("grosser Artikel",BO159)),2,IFERROR(VLOOKUP(BR159,Parameter!$F$35:$G$64,2,0),2)),IF(OR(BV159="Nein",BV159=""),"-",BV159))))</f>
        <v>2</v>
      </c>
      <c r="AA159" s="62"/>
      <c r="AB159" s="63"/>
      <c r="AC159" s="57" t="n">
        <f aca="false">AR159</f>
        <v>110</v>
      </c>
      <c r="AD159" s="57" t="n">
        <f aca="false">MAX(AR159,H159)</f>
        <v>110</v>
      </c>
      <c r="AE159" s="64"/>
      <c r="AF159" s="57" t="n">
        <f aca="false">IF(LEFT(Cockpit!$C$5,1)="A",H159,IF(CA159=1,CB159,IF(LEFT(Cockpit!$C$5,1)="B",AJ159,MAX(AJ159,H159))))</f>
        <v>45</v>
      </c>
      <c r="AG159" s="57" t="n">
        <f aca="false">IF(BT159=1,0,ROUNDUP(AF159/BS159,0))</f>
        <v>1</v>
      </c>
      <c r="AH159" s="59" t="n">
        <f aca="false">IF(CH159&gt;0,CH159*MAX(1,AF159/X159),IF(BT159=1,IF(AF159&lt;=0,0,BW159*MAX(1,IF(H159&gt;0,AF159/H159,1))),IF(R159&gt;0,AG159/R159,0))/MAX(0.1,N(Parameter!$M$21)))</f>
        <v>0.0833333333333333</v>
      </c>
      <c r="AI159" s="57" t="n">
        <f aca="false">AF159*G159</f>
        <v>4662</v>
      </c>
      <c r="AJ159" s="57" t="n">
        <f aca="false">ROUNDUP(MAX(J159/IF(BZ159&gt;0,BZ159,MAX(0.1,N(Cockpit!$C$6))),CC159)/BS159,0)*BS159</f>
        <v>110</v>
      </c>
      <c r="AK159" s="58" t="n">
        <f aca="false">IF(AH159&gt;0,J159/AH159,-1)</f>
        <v>1812</v>
      </c>
      <c r="AL159" s="58" t="n">
        <f aca="false">IF(AND(OR(BY159="L1",BY159="L23"),AH159&gt;0),SUMIFS($AH$7:$AH$1843,$BY$7:$BY$1843,BY159,$AK$7:$AK$1843,"&gt;"&amp;AK159)+SUMIFS($AH$7:$AH$1843,$BY$7:$BY$1843,BY159,$AK$7:$AK$1843,AK159,$BQ$7:$BQ$1843,"&lt;="&amp;BQ159),"")</f>
        <v>14.2723725549813</v>
      </c>
      <c r="AM159" s="65" t="n">
        <f aca="false">IF(AL159="",0,MAX(0,MIN(1,(IF(BY159="L1",Parameter!$E$5,Parameter!$E$6+Parameter!$E$7)-(AL159-AH159))/AH159)))</f>
        <v>1</v>
      </c>
      <c r="AN159" s="57" t="n">
        <f aca="false">IF(LEFT(Cockpit!$I$5,1)="A",H159,IF(CA159=1,CB159,IF(LEFT(Cockpit!$I$5,1)="B",AR159,MAX(AR159,H159))))</f>
        <v>110</v>
      </c>
      <c r="AO159" s="57" t="n">
        <f aca="false">IF(BT159=1,0,ROUNDUP(AN159/BS159,0))</f>
        <v>2</v>
      </c>
      <c r="AP159" s="59" t="n">
        <f aca="false">IF(CH159&gt;0,CH159*MAX(1,AN159/X159),IF(BT159=1,IF(AN159&lt;=0,0,BW159*MAX(1,IF(H159&gt;0,AN159/H159,1))),IF(R159&gt;0,AO159/R159,0))/MAX(0.1,N(Parameter!$M$21)))</f>
        <v>0.166666666666667</v>
      </c>
      <c r="AQ159" s="57" t="n">
        <f aca="false">AN159*G159</f>
        <v>11396</v>
      </c>
      <c r="AR159" s="57" t="n">
        <f aca="false">ROUNDUP(MAX(J159/IF(BZ159&gt;0,BZ159,MAX(0.1,N(Cockpit!$I$6))),CC159)/BS159,0)*BS159</f>
        <v>110</v>
      </c>
      <c r="AS159" s="58" t="n">
        <f aca="false">IF(AP159&gt;0,J159/AP159,-1)</f>
        <v>906</v>
      </c>
      <c r="AT159" s="58" t="n">
        <f aca="false">IF(AND(OR(BY159="L1",BY159="L23"),AP159&gt;0),SUMIFS($AP$7:$AP$1843,$BY$7:$BY$1843,BY159,$AS$7:$AS$1843,"&gt;"&amp;AS159)+SUMIFS($AP$7:$AP$1843,$BY$7:$BY$1843,BY159,$AS$7:$AS$1843,AS159,$BQ$7:$BQ$1843,"&lt;="&amp;BQ159),"")</f>
        <v>24.6786003851221</v>
      </c>
      <c r="AU159" s="65" t="n">
        <f aca="false">IF(AT159="",0,MAX(0,MIN(1,(IF(BY159="L1",Parameter!$E$5,Parameter!$E$6+Parameter!$E$7)-(AT159-AP159))/AP159)))</f>
        <v>1</v>
      </c>
      <c r="AV159" s="57" t="n">
        <f aca="false">IF(LEFT(Cockpit!$O$5,1)="A",H159,IF(CA159=1,CB159,IF(LEFT(Cockpit!$O$5,1)="B",AZ159,MAX(AZ159,H159))))</f>
        <v>110</v>
      </c>
      <c r="AW159" s="57" t="n">
        <f aca="false">IF(BT159=1,0,ROUNDUP(AV159/BS159,0))</f>
        <v>2</v>
      </c>
      <c r="AX159" s="59" t="n">
        <f aca="false">IF(CH159&gt;0,CH159*MAX(1,AV159/X159),IF(BT159=1,IF(AV159&lt;=0,0,BW159*MAX(1,IF(H159&gt;0,AV159/H159,1))),IF(R159&gt;0,AW159/R159,0))/MAX(0.1,N(Parameter!$M$21)))</f>
        <v>0.166666666666667</v>
      </c>
      <c r="AY159" s="57" t="n">
        <f aca="false">AV159*G159</f>
        <v>11396</v>
      </c>
      <c r="AZ159" s="57" t="n">
        <f aca="false">ROUNDUP(MAX(J159/IF(BZ159&gt;0,BZ159,MAX(0.1,N(Cockpit!$O$6))),CC159)/BS159,0)*BS159</f>
        <v>110</v>
      </c>
      <c r="BA159" s="58" t="n">
        <f aca="false">IF(AX159&gt;0,J159/AX159,-1)</f>
        <v>906</v>
      </c>
      <c r="BB159" s="58" t="n">
        <f aca="false">IF(AND(OR(BY159="L1",BY159="L23"),AX159&gt;0),SUMIFS($AX$7:$AX$1843,$BY$7:$BY$1843,BY159,$BA$7:$BA$1843,"&gt;"&amp;BA159)+SUMIFS($AX$7:$AX$1843,$BY$7:$BY$1843,BY159,$BA$7:$BA$1843,BA159,$BQ$7:$BQ$1843,"&lt;="&amp;BQ159),"")</f>
        <v>24.2968987534205</v>
      </c>
      <c r="BC159" s="65" t="n">
        <f aca="false">IF(BB159="",0,MAX(0,MIN(1,(IF(BY159="L1",Parameter!$E$5,Parameter!$E$6+Parameter!$E$7)-(BB159-AX159))/AX159)))</f>
        <v>1</v>
      </c>
      <c r="BD159" s="55" t="str">
        <f aca="false">IF(AH159&lt;=0,"",IF(BY159="Aussen","Aussenlager",IF(BY159="-","Nicht im Lift",IF(AM159&gt;=1,"Lift",IF(AM159&lt;=0,"Aussenlager","teilweise")))))</f>
        <v>Lift</v>
      </c>
      <c r="BE159" s="55" t="str">
        <f aca="false">IF(AP159&lt;=0,"",IF(BY159="Aussen","Aussenlager",IF(BY159="-","Nicht im Lift",IF(AU159&gt;=1,"Lift",IF(AU159&lt;=0,"Aussenlager","teilweise")))))</f>
        <v>Lift</v>
      </c>
      <c r="BF159" s="55" t="str">
        <f aca="false">IF(AX159&lt;=0,"",IF(BY159="Aussen","Aussenlager",IF(BY159="-","Nicht im Lift",IF(BC159&gt;=1,"Lift",IF(BC159&lt;=0,"Aussenlager","teilweise")))))</f>
        <v>Lift</v>
      </c>
      <c r="BG159" s="55" t="str">
        <f aca="false">IF(A159="","",IF(BP159=1,"Neu; ","")&amp;IF(AND(BP159=0,BK159&lt;0),"negativer Bestand (Export "&amp;BK159&amp;"); ","")&amp;IF(J159&lt;=0,"Kein Verbrauch; ","")&amp;IF(CH159&gt;0,"Lift "&amp;W159&amp;" lt. Liftbericht (Fach "&amp;X159&amp;" Stk); ",IF(BU159=1,"Gebinde geschätzt ("&amp;T159&amp;"); ",IF(BT159=1,"Lose – Tablare geschätzt; ","")))&amp;IF(H159&gt;AR159,"Überbestand "&amp;ROUND(H159-AR159,0)&amp;" Stk / CHF "&amp;ROUND((H159-AR159)*G159,0)&amp;"; ","")&amp;IF(AND(CA159=1,CB159&lt;CC159),"MAX &lt; MB+LG; ","")&amp;IF(AND(CG159&gt;0,CF159*10&gt;CG159),"zu hoch für Tablar; ","")&amp;IF(AND(BP159=0,OR(CA159=1,AA159&lt;&gt;"",U159&lt;&gt;"",V159&lt;&gt;"",AB159&lt;&gt;"")),"manuell übersteuert; ","")&amp;IF(AND(BT159=0,R159=0),"Gebinde unbekannt / Stellmass fehlt; ","")&amp;IF(AND(BT159=0,N(V159)&lt;=0,N(Q159)&lt;=0),"Menge pro Gebinde fehlt (Ist = 1 Gebinde); ","")&amp;BO159)</f>
        <v>Gebinde geschätzt (Mittel); Menge pro Gebinde fehlt (Ist = 1 Gebinde); </v>
      </c>
      <c r="BH159" s="55"/>
      <c r="BI159" s="55"/>
      <c r="BJ159" s="62"/>
      <c r="BK159" s="57" t="n">
        <v>14</v>
      </c>
      <c r="BL159" s="57" t="n">
        <v>31</v>
      </c>
      <c r="BM159" s="56" t="n">
        <v>1244.25</v>
      </c>
      <c r="BN159" s="57" t="n">
        <v>151</v>
      </c>
      <c r="BO159" s="55"/>
      <c r="BP159" s="60" t="n">
        <v>0</v>
      </c>
      <c r="BQ159" s="60" t="n">
        <v>159</v>
      </c>
      <c r="BR159" s="55" t="str">
        <f aca="false">IF(U159&lt;&gt;"",UPPER(TRIM(U159)),IF(BU159=1,UPPER(VLOOKUP(T159,Parameter!$I$27:$K$29,2,0)),IF(P159="","LOSE",P159)))</f>
        <v>S61</v>
      </c>
      <c r="BS159" s="57" t="n">
        <f aca="false">IF(BR159="LOSE",1,IF(N(V159)&gt;0,V159,IF(BU159=1,MAX(1,N(VLOOKUP(T159,Parameter!$I$27:$K$29,3,0)),H159,N(N159)),IF(N(Q159)&gt;0,Q159,MAX(1,H159)))))</f>
        <v>55</v>
      </c>
      <c r="BT159" s="60" t="n">
        <f aca="false">IF(BR159="LOSE",1,0)</f>
        <v>0</v>
      </c>
      <c r="BU159" s="60" t="n">
        <f aca="false">IF(AND(U159="",OR(P159="",P159="LOSE"),T159&lt;&gt;"",N(S159)&lt;=0,ISNUMBER(MATCH(T159,Parameter!$I$27:$I$29,0))),1,0)</f>
        <v>1</v>
      </c>
      <c r="BV159" s="55" t="str">
        <f aca="false">IF(AND(Parameter!$B$19="Ja",E159&lt;&gt;"",ISNUMBER(MATCH(E159,Parameter!$I$35:$I$52,0))),VLOOKUP(E159,Parameter!$I$35:$J$52,2,0),IFERROR(VLOOKUP(D159,Parameter!$A$35:$C$64,2,0),"Nein"))</f>
        <v>2+3</v>
      </c>
      <c r="BW159" s="59" t="n">
        <f aca="false">IF(BT159=0,0,IF(N(S159)&gt;0,S159,IFERROR(VLOOKUP(D159,Parameter!$A$35:$C$64,3,0)+0,0)))</f>
        <v>0</v>
      </c>
      <c r="BX159" s="55" t="n">
        <f aca="false">IF(AA159&lt;&gt;"",AA159,Z159)</f>
        <v>2</v>
      </c>
      <c r="BY159" s="55" t="str">
        <f aca="false">IF(BX159=1,"L1",IF(OR(BX159=2,BX159=3),"L23",IF(BX159="Aussen","Aussen","-")))</f>
        <v>L23</v>
      </c>
      <c r="BZ159" s="66" t="n">
        <f aca="false">IF(N(AB159)&gt;0,AB159,0)</f>
        <v>0</v>
      </c>
      <c r="CA159" s="60" t="n">
        <f aca="false">IF(ISNUMBER(AE159),1,0)</f>
        <v>0</v>
      </c>
      <c r="CB159" s="57" t="n">
        <f aca="false">N(AE159)</f>
        <v>0</v>
      </c>
      <c r="CC159" s="57" t="n">
        <f aca="false">N(M159)+N(N159)</f>
        <v>70</v>
      </c>
      <c r="CD159" s="57" t="n">
        <f aca="false">ROUNDUP(H159/BS159,0)</f>
        <v>1</v>
      </c>
      <c r="CE159" s="57" t="n">
        <f aca="false">ROUNDUP(CB159/BS159,0)</f>
        <v>0</v>
      </c>
      <c r="CF159" s="60" t="n">
        <f aca="false">IF(BT159=1,0,IFERROR(VLOOKUP(BR159,'Gebinde-Kategorie'!$A$5:$M$45,5,0)+0,0))</f>
        <v>11</v>
      </c>
      <c r="CG159" s="60" t="n">
        <f aca="false">IFERROR(IF(OR(BX159=1,BX159=2,BX159=3),N(INDEX(Parameter!$I$5:$I$7,BX159)),0),0)</f>
        <v>0</v>
      </c>
      <c r="CH159" s="59" t="n">
        <f aca="false">IF(AND(Parameter!$B$21="Ja",ISNUMBER(W159),N(X159)&gt;0),IFERROR(N(INDEX(Parameter!$L$5:$L$7,W159))*INDEX(Parameter!$E$5:$E$7,W159)*X159/SUMIFS($X$7:$X$1843,$W$7:$W$1843,W159),0),0)</f>
        <v>0</v>
      </c>
    </row>
    <row r="160" customFormat="false" ht="15" hidden="false" customHeight="false" outlineLevel="0" collapsed="false">
      <c r="A160" s="55" t="s">
        <v>527</v>
      </c>
      <c r="B160" s="55" t="s">
        <v>383</v>
      </c>
      <c r="C160" s="55" t="s">
        <v>164</v>
      </c>
      <c r="D160" s="55" t="s">
        <v>184</v>
      </c>
      <c r="E160" s="55" t="s">
        <v>185</v>
      </c>
      <c r="F160" s="55" t="s">
        <v>218</v>
      </c>
      <c r="G160" s="56" t="n">
        <v>598.49</v>
      </c>
      <c r="H160" s="57" t="n">
        <f aca="false">MAX(0,IF(AND(Parameter!$B$21="Ja",ISNUMBER(Y160)),Y160,IF(Parameter!$B$20="Jahresanfang 2025 + Export",BL160+BK160,BK160)))</f>
        <v>7</v>
      </c>
      <c r="I160" s="57" t="n">
        <f aca="false">H160*G160</f>
        <v>4189.43</v>
      </c>
      <c r="J160" s="57" t="n">
        <f aca="false">BN160*Parameter!$B$18</f>
        <v>21</v>
      </c>
      <c r="K160" s="58" t="n">
        <v>6.5</v>
      </c>
      <c r="L160" s="59" t="n">
        <v>3.23076923076923</v>
      </c>
      <c r="M160" s="57" t="n">
        <v>1</v>
      </c>
      <c r="N160" s="57" t="n">
        <v>1</v>
      </c>
      <c r="O160" s="60" t="n">
        <v>14</v>
      </c>
      <c r="P160" s="55" t="s">
        <v>174</v>
      </c>
      <c r="Q160" s="57" t="n">
        <v>12</v>
      </c>
      <c r="R160" s="60" t="n">
        <f aca="false">IF(BT160=1,0,IFERROR(VLOOKUP(BR160,'Gebinde-Kategorie'!$A$5:$M$45,13,0)+0,0))</f>
        <v>6</v>
      </c>
      <c r="S160" s="61"/>
      <c r="T160" s="62"/>
      <c r="U160" s="62"/>
      <c r="V160" s="62"/>
      <c r="W160" s="55"/>
      <c r="X160" s="57"/>
      <c r="Y160" s="57"/>
      <c r="Z160" s="55" t="n">
        <f aca="false">IF(A160="","",IF(AND(Parameter!$B$21="Ja",ISNUMBER(W160)),W160,IF(BV160="2+3",IF(ISNUMBER(SEARCH("grosser Artikel",BO160)),2,IFERROR(VLOOKUP(BR160,Parameter!$F$35:$G$64,2,0),2)),IF(OR(BV160="Nein",BV160=""),"-",BV160))))</f>
        <v>2</v>
      </c>
      <c r="AA160" s="62"/>
      <c r="AB160" s="63"/>
      <c r="AC160" s="57" t="n">
        <f aca="false">AR160</f>
        <v>12</v>
      </c>
      <c r="AD160" s="57" t="n">
        <f aca="false">MAX(AR160,H160)</f>
        <v>12</v>
      </c>
      <c r="AE160" s="64"/>
      <c r="AF160" s="57" t="n">
        <f aca="false">IF(LEFT(Cockpit!$C$5,1)="A",H160,IF(CA160=1,CB160,IF(LEFT(Cockpit!$C$5,1)="B",AJ160,MAX(AJ160,H160))))</f>
        <v>7</v>
      </c>
      <c r="AG160" s="57" t="n">
        <f aca="false">IF(BT160=1,0,ROUNDUP(AF160/BS160,0))</f>
        <v>1</v>
      </c>
      <c r="AH160" s="59" t="n">
        <f aca="false">IF(CH160&gt;0,CH160*MAX(1,AF160/X160),IF(BT160=1,IF(AF160&lt;=0,0,BW160*MAX(1,IF(H160&gt;0,AF160/H160,1))),IF(R160&gt;0,AG160/R160,0))/MAX(0.1,N(Parameter!$M$21)))</f>
        <v>0.166666666666667</v>
      </c>
      <c r="AI160" s="57" t="n">
        <f aca="false">AF160*G160</f>
        <v>4189.43</v>
      </c>
      <c r="AJ160" s="57" t="n">
        <f aca="false">ROUNDUP(MAX(J160/IF(BZ160&gt;0,BZ160,MAX(0.1,N(Cockpit!$C$6))),CC160)/BS160,0)*BS160</f>
        <v>12</v>
      </c>
      <c r="AK160" s="58" t="n">
        <f aca="false">IF(AH160&gt;0,J160/AH160,-1)</f>
        <v>126</v>
      </c>
      <c r="AL160" s="58" t="n">
        <f aca="false">IF(AND(OR(BY160="L1",BY160="L23"),AH160&gt;0),SUMIFS($AH$7:$AH$1843,$BY$7:$BY$1843,BY160,$AK$7:$AK$1843,"&gt;"&amp;AK160)+SUMIFS($AH$7:$AH$1843,$BY$7:$BY$1843,BY160,$AK$7:$AK$1843,AK160,$BQ$7:$BQ$1843,"&lt;="&amp;BQ160),"")</f>
        <v>36.623923178271</v>
      </c>
      <c r="AM160" s="65" t="n">
        <f aca="false">IF(AL160="",0,MAX(0,MIN(1,(IF(BY160="L1",Parameter!$E$5,Parameter!$E$6+Parameter!$E$7)-(AL160-AH160))/AH160)))</f>
        <v>1</v>
      </c>
      <c r="AN160" s="57" t="n">
        <f aca="false">IF(LEFT(Cockpit!$I$5,1)="A",H160,IF(CA160=1,CB160,IF(LEFT(Cockpit!$I$5,1)="B",AR160,MAX(AR160,H160))))</f>
        <v>12</v>
      </c>
      <c r="AO160" s="57" t="n">
        <f aca="false">IF(BT160=1,0,ROUNDUP(AN160/BS160,0))</f>
        <v>1</v>
      </c>
      <c r="AP160" s="59" t="n">
        <f aca="false">IF(CH160&gt;0,CH160*MAX(1,AN160/X160),IF(BT160=1,IF(AN160&lt;=0,0,BW160*MAX(1,IF(H160&gt;0,AN160/H160,1))),IF(R160&gt;0,AO160/R160,0))/MAX(0.1,N(Parameter!$M$21)))</f>
        <v>0.166666666666667</v>
      </c>
      <c r="AQ160" s="57" t="n">
        <f aca="false">AN160*G160</f>
        <v>7181.88</v>
      </c>
      <c r="AR160" s="57" t="n">
        <f aca="false">ROUNDUP(MAX(J160/IF(BZ160&gt;0,BZ160,MAX(0.1,N(Cockpit!$I$6))),CC160)/BS160,0)*BS160</f>
        <v>12</v>
      </c>
      <c r="AS160" s="58" t="n">
        <f aca="false">IF(AP160&gt;0,J160/AP160,-1)</f>
        <v>126</v>
      </c>
      <c r="AT160" s="58" t="n">
        <f aca="false">IF(AND(OR(BY160="L1",BY160="L23"),AP160&gt;0),SUMIFS($AP$7:$AP$1843,$BY$7:$BY$1843,BY160,$AS$7:$AS$1843,"&gt;"&amp;AS160)+SUMIFS($AP$7:$AP$1843,$BY$7:$BY$1843,BY160,$AS$7:$AS$1843,AS160,$BQ$7:$BQ$1843,"&lt;="&amp;BQ160),"")</f>
        <v>54.061450626668</v>
      </c>
      <c r="AU160" s="65" t="n">
        <f aca="false">IF(AT160="",0,MAX(0,MIN(1,(IF(BY160="L1",Parameter!$E$5,Parameter!$E$6+Parameter!$E$7)-(AT160-AP160))/AP160)))</f>
        <v>1</v>
      </c>
      <c r="AV160" s="57" t="n">
        <f aca="false">IF(LEFT(Cockpit!$O$5,1)="A",H160,IF(CA160=1,CB160,IF(LEFT(Cockpit!$O$5,1)="B",AZ160,MAX(AZ160,H160))))</f>
        <v>12</v>
      </c>
      <c r="AW160" s="57" t="n">
        <f aca="false">IF(BT160=1,0,ROUNDUP(AV160/BS160,0))</f>
        <v>1</v>
      </c>
      <c r="AX160" s="59" t="n">
        <f aca="false">IF(CH160&gt;0,CH160*MAX(1,AV160/X160),IF(BT160=1,IF(AV160&lt;=0,0,BW160*MAX(1,IF(H160&gt;0,AV160/H160,1))),IF(R160&gt;0,AW160/R160,0))/MAX(0.1,N(Parameter!$M$21)))</f>
        <v>0.166666666666667</v>
      </c>
      <c r="AY160" s="57" t="n">
        <f aca="false">AV160*G160</f>
        <v>7181.88</v>
      </c>
      <c r="AZ160" s="57" t="n">
        <f aca="false">ROUNDUP(MAX(J160/IF(BZ160&gt;0,BZ160,MAX(0.1,N(Cockpit!$O$6))),CC160)/BS160,0)*BS160</f>
        <v>12</v>
      </c>
      <c r="BA160" s="58" t="n">
        <f aca="false">IF(AX160&gt;0,J160/AX160,-1)</f>
        <v>126</v>
      </c>
      <c r="BB160" s="58" t="n">
        <f aca="false">IF(AND(OR(BY160="L1",BY160="L23"),AX160&gt;0),SUMIFS($AX$7:$AX$1843,$BY$7:$BY$1843,BY160,$BA$7:$BA$1843,"&gt;"&amp;BA160)+SUMIFS($AX$7:$AX$1843,$BY$7:$BY$1843,BY160,$BA$7:$BA$1843,BA160,$BQ$7:$BQ$1843,"&lt;="&amp;BQ160),"")</f>
        <v>51.0579541231715</v>
      </c>
      <c r="BC160" s="65" t="n">
        <f aca="false">IF(BB160="",0,MAX(0,MIN(1,(IF(BY160="L1",Parameter!$E$5,Parameter!$E$6+Parameter!$E$7)-(BB160-AX160))/AX160)))</f>
        <v>1</v>
      </c>
      <c r="BD160" s="55" t="str">
        <f aca="false">IF(AH160&lt;=0,"",IF(BY160="Aussen","Aussenlager",IF(BY160="-","Nicht im Lift",IF(AM160&gt;=1,"Lift",IF(AM160&lt;=0,"Aussenlager","teilweise")))))</f>
        <v>Lift</v>
      </c>
      <c r="BE160" s="55" t="str">
        <f aca="false">IF(AP160&lt;=0,"",IF(BY160="Aussen","Aussenlager",IF(BY160="-","Nicht im Lift",IF(AU160&gt;=1,"Lift",IF(AU160&lt;=0,"Aussenlager","teilweise")))))</f>
        <v>Lift</v>
      </c>
      <c r="BF160" s="55" t="str">
        <f aca="false">IF(AX160&lt;=0,"",IF(BY160="Aussen","Aussenlager",IF(BY160="-","Nicht im Lift",IF(BC160&gt;=1,"Lift",IF(BC160&lt;=0,"Aussenlager","teilweise")))))</f>
        <v>Lift</v>
      </c>
      <c r="BG160" s="55" t="str">
        <f aca="false">IF(A160="","",IF(BP160=1,"Neu; ","")&amp;IF(AND(BP160=0,BK160&lt;0),"negativer Bestand (Export "&amp;BK160&amp;"); ","")&amp;IF(J160&lt;=0,"Kein Verbrauch; ","")&amp;IF(CH160&gt;0,"Lift "&amp;W160&amp;" lt. Liftbericht (Fach "&amp;X160&amp;" Stk); ",IF(BU160=1,"Gebinde geschätzt ("&amp;T160&amp;"); ",IF(BT160=1,"Lose – Tablare geschätzt; ","")))&amp;IF(H160&gt;AR160,"Überbestand "&amp;ROUND(H160-AR160,0)&amp;" Stk / CHF "&amp;ROUND((H160-AR160)*G160,0)&amp;"; ","")&amp;IF(AND(CA160=1,CB160&lt;CC160),"MAX &lt; MB+LG; ","")&amp;IF(AND(CG160&gt;0,CF160*10&gt;CG160),"zu hoch für Tablar; ","")&amp;IF(AND(BP160=0,OR(CA160=1,AA160&lt;&gt;"",U160&lt;&gt;"",V160&lt;&gt;"",AB160&lt;&gt;"")),"manuell übersteuert; ","")&amp;IF(AND(BT160=0,R160=0),"Gebinde unbekannt / Stellmass fehlt; ","")&amp;IF(AND(BT160=0,N(V160)&lt;=0,N(Q160)&lt;=0),"Menge pro Gebinde fehlt (Ist = 1 Gebinde); ","")&amp;BO160)</f>
        <v>länger als die Kisten</v>
      </c>
      <c r="BH160" s="55"/>
      <c r="BI160" s="55"/>
      <c r="BJ160" s="62"/>
      <c r="BK160" s="57" t="n">
        <v>2</v>
      </c>
      <c r="BL160" s="57" t="n">
        <v>5</v>
      </c>
      <c r="BM160" s="56" t="n">
        <v>1225.11</v>
      </c>
      <c r="BN160" s="57" t="n">
        <v>21</v>
      </c>
      <c r="BO160" s="55" t="s">
        <v>528</v>
      </c>
      <c r="BP160" s="60" t="n">
        <v>0</v>
      </c>
      <c r="BQ160" s="60" t="n">
        <v>160</v>
      </c>
      <c r="BR160" s="55" t="str">
        <f aca="false">IF(U160&lt;&gt;"",UPPER(TRIM(U160)),IF(BU160=1,UPPER(VLOOKUP(T160,Parameter!$I$27:$K$29,2,0)),IF(P160="","LOSE",P160)))</f>
        <v>S71</v>
      </c>
      <c r="BS160" s="57" t="n">
        <f aca="false">IF(BR160="LOSE",1,IF(N(V160)&gt;0,V160,IF(BU160=1,MAX(1,N(VLOOKUP(T160,Parameter!$I$27:$K$29,3,0)),H160,N(N160)),IF(N(Q160)&gt;0,Q160,MAX(1,H160)))))</f>
        <v>12</v>
      </c>
      <c r="BT160" s="60" t="n">
        <f aca="false">IF(BR160="LOSE",1,0)</f>
        <v>0</v>
      </c>
      <c r="BU160" s="60" t="n">
        <f aca="false">IF(AND(U160="",OR(P160="",P160="LOSE"),T160&lt;&gt;"",N(S160)&lt;=0,ISNUMBER(MATCH(T160,Parameter!$I$27:$I$29,0))),1,0)</f>
        <v>0</v>
      </c>
      <c r="BV160" s="55" t="str">
        <f aca="false">IF(AND(Parameter!$B$19="Ja",E160&lt;&gt;"",ISNUMBER(MATCH(E160,Parameter!$I$35:$I$52,0))),VLOOKUP(E160,Parameter!$I$35:$J$52,2,0),IFERROR(VLOOKUP(D160,Parameter!$A$35:$C$64,2,0),"Nein"))</f>
        <v>2+3</v>
      </c>
      <c r="BW160" s="59" t="n">
        <f aca="false">IF(BT160=0,0,IF(N(S160)&gt;0,S160,IFERROR(VLOOKUP(D160,Parameter!$A$35:$C$64,3,0)+0,0)))</f>
        <v>0</v>
      </c>
      <c r="BX160" s="55" t="n">
        <f aca="false">IF(AA160&lt;&gt;"",AA160,Z160)</f>
        <v>2</v>
      </c>
      <c r="BY160" s="55" t="str">
        <f aca="false">IF(BX160=1,"L1",IF(OR(BX160=2,BX160=3),"L23",IF(BX160="Aussen","Aussen","-")))</f>
        <v>L23</v>
      </c>
      <c r="BZ160" s="66" t="n">
        <f aca="false">IF(N(AB160)&gt;0,AB160,0)</f>
        <v>0</v>
      </c>
      <c r="CA160" s="60" t="n">
        <f aca="false">IF(ISNUMBER(AE160),1,0)</f>
        <v>0</v>
      </c>
      <c r="CB160" s="57" t="n">
        <f aca="false">N(AE160)</f>
        <v>0</v>
      </c>
      <c r="CC160" s="57" t="n">
        <f aca="false">N(M160)+N(N160)</f>
        <v>2</v>
      </c>
      <c r="CD160" s="57" t="n">
        <f aca="false">ROUNDUP(H160/BS160,0)</f>
        <v>1</v>
      </c>
      <c r="CE160" s="57" t="n">
        <f aca="false">ROUNDUP(CB160/BS160,0)</f>
        <v>0</v>
      </c>
      <c r="CF160" s="60" t="n">
        <f aca="false">IF(BT160=1,0,IFERROR(VLOOKUP(BR160,'Gebinde-Kategorie'!$A$5:$M$45,5,0)+0,0))</f>
        <v>20</v>
      </c>
      <c r="CG160" s="60" t="n">
        <f aca="false">IFERROR(IF(OR(BX160=1,BX160=2,BX160=3),N(INDEX(Parameter!$I$5:$I$7,BX160)),0),0)</f>
        <v>0</v>
      </c>
      <c r="CH160" s="59" t="n">
        <f aca="false">IF(AND(Parameter!$B$21="Ja",ISNUMBER(W160),N(X160)&gt;0),IFERROR(N(INDEX(Parameter!$L$5:$L$7,W160))*INDEX(Parameter!$E$5:$E$7,W160)*X160/SUMIFS($X$7:$X$1843,$W$7:$W$1843,W160),0),0)</f>
        <v>0</v>
      </c>
    </row>
    <row r="161" customFormat="false" ht="15" hidden="false" customHeight="false" outlineLevel="0" collapsed="false">
      <c r="A161" s="55" t="s">
        <v>529</v>
      </c>
      <c r="B161" s="55" t="s">
        <v>530</v>
      </c>
      <c r="C161" s="55" t="s">
        <v>164</v>
      </c>
      <c r="D161" s="55" t="s">
        <v>184</v>
      </c>
      <c r="E161" s="55"/>
      <c r="F161" s="55" t="s">
        <v>218</v>
      </c>
      <c r="G161" s="56" t="n">
        <v>51</v>
      </c>
      <c r="H161" s="57" t="n">
        <f aca="false">MAX(0,IF(AND(Parameter!$B$21="Ja",ISNUMBER(Y161)),Y161,IF(Parameter!$B$20="Jahresanfang 2025 + Export",BL161+BK161,BK161)))</f>
        <v>24</v>
      </c>
      <c r="I161" s="57" t="n">
        <f aca="false">H161*G161</f>
        <v>1224</v>
      </c>
      <c r="J161" s="57" t="n">
        <f aca="false">BN161*Parameter!$B$18</f>
        <v>0</v>
      </c>
      <c r="K161" s="58" t="n">
        <v>0</v>
      </c>
      <c r="L161" s="59" t="n">
        <v>0</v>
      </c>
      <c r="M161" s="57" t="n">
        <v>0</v>
      </c>
      <c r="N161" s="57" t="n">
        <v>1</v>
      </c>
      <c r="O161" s="60" t="n">
        <v>9999</v>
      </c>
      <c r="P161" s="55" t="s">
        <v>168</v>
      </c>
      <c r="Q161" s="57"/>
      <c r="R161" s="60" t="n">
        <f aca="false">IF(BT161=1,0,IFERROR(VLOOKUP(BR161,'Gebinde-Kategorie'!$A$5:$M$45,13,0)+0,0))</f>
        <v>3</v>
      </c>
      <c r="S161" s="61"/>
      <c r="T161" s="62" t="s">
        <v>189</v>
      </c>
      <c r="U161" s="62"/>
      <c r="V161" s="62"/>
      <c r="W161" s="55"/>
      <c r="X161" s="57"/>
      <c r="Y161" s="57"/>
      <c r="Z161" s="55" t="n">
        <f aca="false">IF(A161="","",IF(AND(Parameter!$B$21="Ja",ISNUMBER(W161)),W161,IF(BV161="2+3",IF(ISNUMBER(SEARCH("grosser Artikel",BO161)),2,IFERROR(VLOOKUP(BR161,Parameter!$F$35:$G$64,2,0),2)),IF(OR(BV161="Nein",BV161=""),"-",BV161))))</f>
        <v>2</v>
      </c>
      <c r="AA161" s="62"/>
      <c r="AB161" s="63"/>
      <c r="AC161" s="57" t="n">
        <f aca="false">AR161</f>
        <v>24</v>
      </c>
      <c r="AD161" s="57" t="n">
        <f aca="false">MAX(AR161,H161)</f>
        <v>24</v>
      </c>
      <c r="AE161" s="64"/>
      <c r="AF161" s="57" t="n">
        <f aca="false">IF(LEFT(Cockpit!$C$5,1)="A",H161,IF(CA161=1,CB161,IF(LEFT(Cockpit!$C$5,1)="B",AJ161,MAX(AJ161,H161))))</f>
        <v>24</v>
      </c>
      <c r="AG161" s="57" t="n">
        <f aca="false">IF(BT161=1,0,ROUNDUP(AF161/BS161,0))</f>
        <v>1</v>
      </c>
      <c r="AH161" s="59" t="n">
        <f aca="false">IF(CH161&gt;0,CH161*MAX(1,AF161/X161),IF(BT161=1,IF(AF161&lt;=0,0,BW161*MAX(1,IF(H161&gt;0,AF161/H161,1))),IF(R161&gt;0,AG161/R161,0))/MAX(0.1,N(Parameter!$M$21)))</f>
        <v>0.333333333333333</v>
      </c>
      <c r="AI161" s="57" t="n">
        <f aca="false">AF161*G161</f>
        <v>1224</v>
      </c>
      <c r="AJ161" s="57" t="n">
        <f aca="false">ROUNDUP(MAX(J161/IF(BZ161&gt;0,BZ161,MAX(0.1,N(Cockpit!$C$6))),CC161)/BS161,0)*BS161</f>
        <v>24</v>
      </c>
      <c r="AK161" s="58" t="n">
        <f aca="false">IF(AH161&gt;0,J161/AH161,-1)</f>
        <v>0</v>
      </c>
      <c r="AL161" s="58" t="n">
        <f aca="false">IF(AND(OR(BY161="L1",BY161="L23"),AH161&gt;0),SUMIFS($AH$7:$AH$1843,$BY$7:$BY$1843,BY161,$AK$7:$AK$1843,"&gt;"&amp;AK161)+SUMIFS($AH$7:$AH$1843,$BY$7:$BY$1843,BY161,$AK$7:$AK$1843,AK161,$BQ$7:$BQ$1843,"&lt;="&amp;BQ161),"")</f>
        <v>69.8560521604</v>
      </c>
      <c r="AM161" s="65" t="n">
        <f aca="false">IF(AL161="",0,MAX(0,MIN(1,(IF(BY161="L1",Parameter!$E$5,Parameter!$E$6+Parameter!$E$7)-(AL161-AH161))/AH161)))</f>
        <v>1</v>
      </c>
      <c r="AN161" s="57" t="n">
        <f aca="false">IF(LEFT(Cockpit!$I$5,1)="A",H161,IF(CA161=1,CB161,IF(LEFT(Cockpit!$I$5,1)="B",AR161,MAX(AR161,H161))))</f>
        <v>24</v>
      </c>
      <c r="AO161" s="57" t="n">
        <f aca="false">IF(BT161=1,0,ROUNDUP(AN161/BS161,0))</f>
        <v>1</v>
      </c>
      <c r="AP161" s="59" t="n">
        <f aca="false">IF(CH161&gt;0,CH161*MAX(1,AN161/X161),IF(BT161=1,IF(AN161&lt;=0,0,BW161*MAX(1,IF(H161&gt;0,AN161/H161,1))),IF(R161&gt;0,AO161/R161,0))/MAX(0.1,N(Parameter!$M$21)))</f>
        <v>0.333333333333333</v>
      </c>
      <c r="AQ161" s="57" t="n">
        <f aca="false">AN161*G161</f>
        <v>1224</v>
      </c>
      <c r="AR161" s="57" t="n">
        <f aca="false">ROUNDUP(MAX(J161/IF(BZ161&gt;0,BZ161,MAX(0.1,N(Cockpit!$I$6))),CC161)/BS161,0)*BS161</f>
        <v>24</v>
      </c>
      <c r="AS161" s="58" t="n">
        <f aca="false">IF(AP161&gt;0,J161/AP161,-1)</f>
        <v>0</v>
      </c>
      <c r="AT161" s="58" t="n">
        <f aca="false">IF(AND(OR(BY161="L1",BY161="L23"),AP161&gt;0),SUMIFS($AP$7:$AP$1843,$BY$7:$BY$1843,BY161,$AS$7:$AS$1843,"&gt;"&amp;AS161)+SUMIFS($AP$7:$AP$1843,$BY$7:$BY$1843,BY161,$AS$7:$AS$1843,AS161,$BQ$7:$BQ$1843,"&lt;="&amp;BQ161),"")</f>
        <v>109.280176345394</v>
      </c>
      <c r="AU161" s="65" t="n">
        <f aca="false">IF(AT161="",0,MAX(0,MIN(1,(IF(BY161="L1",Parameter!$E$5,Parameter!$E$6+Parameter!$E$7)-(AT161-AP161))/AP161)))</f>
        <v>0</v>
      </c>
      <c r="AV161" s="57" t="n">
        <f aca="false">IF(LEFT(Cockpit!$O$5,1)="A",H161,IF(CA161=1,CB161,IF(LEFT(Cockpit!$O$5,1)="B",AZ161,MAX(AZ161,H161))))</f>
        <v>24</v>
      </c>
      <c r="AW161" s="57" t="n">
        <f aca="false">IF(BT161=1,0,ROUNDUP(AV161/BS161,0))</f>
        <v>1</v>
      </c>
      <c r="AX161" s="59" t="n">
        <f aca="false">IF(CH161&gt;0,CH161*MAX(1,AV161/X161),IF(BT161=1,IF(AV161&lt;=0,0,BW161*MAX(1,IF(H161&gt;0,AV161/H161,1))),IF(R161&gt;0,AW161/R161,0))/MAX(0.1,N(Parameter!$M$21)))</f>
        <v>0.333333333333333</v>
      </c>
      <c r="AY161" s="57" t="n">
        <f aca="false">AV161*G161</f>
        <v>1224</v>
      </c>
      <c r="AZ161" s="57" t="n">
        <f aca="false">ROUNDUP(MAX(J161/IF(BZ161&gt;0,BZ161,MAX(0.1,N(Cockpit!$O$6))),CC161)/BS161,0)*BS161</f>
        <v>24</v>
      </c>
      <c r="BA161" s="58" t="n">
        <f aca="false">IF(AX161&gt;0,J161/AX161,-1)</f>
        <v>0</v>
      </c>
      <c r="BB161" s="58" t="n">
        <f aca="false">IF(AND(OR(BY161="L1",BY161="L23"),AX161&gt;0),SUMIFS($AX$7:$AX$1843,$BY$7:$BY$1843,BY161,$BA$7:$BA$1843,"&gt;"&amp;BA161)+SUMIFS($AX$7:$AX$1843,$BY$7:$BY$1843,BY161,$BA$7:$BA$1843,BA161,$BQ$7:$BQ$1843,"&lt;="&amp;BQ161),"")</f>
        <v>100.110013175231</v>
      </c>
      <c r="BC161" s="65" t="n">
        <f aca="false">IF(BB161="",0,MAX(0,MIN(1,(IF(BY161="L1",Parameter!$E$5,Parameter!$E$6+Parameter!$E$7)-(BB161-AX161))/AX161)))</f>
        <v>0.669960474308297</v>
      </c>
      <c r="BD161" s="55" t="str">
        <f aca="false">IF(AH161&lt;=0,"",IF(BY161="Aussen","Aussenlager",IF(BY161="-","Nicht im Lift",IF(AM161&gt;=1,"Lift",IF(AM161&lt;=0,"Aussenlager","teilweise")))))</f>
        <v>Lift</v>
      </c>
      <c r="BE161" s="55" t="str">
        <f aca="false">IF(AP161&lt;=0,"",IF(BY161="Aussen","Aussenlager",IF(BY161="-","Nicht im Lift",IF(AU161&gt;=1,"Lift",IF(AU161&lt;=0,"Aussenlager","teilweise")))))</f>
        <v>Aussenlager</v>
      </c>
      <c r="BF161" s="55" t="str">
        <f aca="false">IF(AX161&lt;=0,"",IF(BY161="Aussen","Aussenlager",IF(BY161="-","Nicht im Lift",IF(BC161&gt;=1,"Lift",IF(BC161&lt;=0,"Aussenlager","teilweise")))))</f>
        <v>teilweise</v>
      </c>
      <c r="BG161" s="55" t="str">
        <f aca="false">IF(A161="","",IF(BP161=1,"Neu; ","")&amp;IF(AND(BP161=0,BK161&lt;0),"negativer Bestand (Export "&amp;BK161&amp;"); ","")&amp;IF(J161&lt;=0,"Kein Verbrauch; ","")&amp;IF(CH161&gt;0,"Lift "&amp;W161&amp;" lt. Liftbericht (Fach "&amp;X161&amp;" Stk); ",IF(BU161=1,"Gebinde geschätzt ("&amp;T161&amp;"); ",IF(BT161=1,"Lose – Tablare geschätzt; ","")))&amp;IF(H161&gt;AR161,"Überbestand "&amp;ROUND(H161-AR161,0)&amp;" Stk / CHF "&amp;ROUND((H161-AR161)*G161,0)&amp;"; ","")&amp;IF(AND(CA161=1,CB161&lt;CC161),"MAX &lt; MB+LG; ","")&amp;IF(AND(CG161&gt;0,CF161*10&gt;CG161),"zu hoch für Tablar; ","")&amp;IF(AND(BP161=0,OR(CA161=1,AA161&lt;&gt;"",U161&lt;&gt;"",V161&lt;&gt;"",AB161&lt;&gt;"")),"manuell übersteuert; ","")&amp;IF(AND(BT161=0,R161=0),"Gebinde unbekannt / Stellmass fehlt; ","")&amp;IF(AND(BT161=0,N(V161)&lt;=0,N(Q161)&lt;=0),"Menge pro Gebinde fehlt (Ist = 1 Gebinde); ","")&amp;BO161)</f>
        <v>Kein Verbrauch; Gebinde geschätzt (Gross); Menge pro Gebinde fehlt (Ist = 1 Gebinde); </v>
      </c>
      <c r="BH161" s="55"/>
      <c r="BI161" s="55"/>
      <c r="BJ161" s="62"/>
      <c r="BK161" s="57" t="n">
        <v>24</v>
      </c>
      <c r="BL161" s="57" t="n">
        <v>0</v>
      </c>
      <c r="BM161" s="56" t="n">
        <v>1224</v>
      </c>
      <c r="BN161" s="57" t="n">
        <v>0</v>
      </c>
      <c r="BO161" s="55"/>
      <c r="BP161" s="60" t="n">
        <v>0</v>
      </c>
      <c r="BQ161" s="60" t="n">
        <v>161</v>
      </c>
      <c r="BR161" s="55" t="str">
        <f aca="false">IF(U161&lt;&gt;"",UPPER(TRIM(U161)),IF(BU161=1,UPPER(VLOOKUP(T161,Parameter!$I$27:$K$29,2,0)),IF(P161="","LOSE",P161)))</f>
        <v>S81</v>
      </c>
      <c r="BS161" s="57" t="n">
        <f aca="false">IF(BR161="LOSE",1,IF(N(V161)&gt;0,V161,IF(BU161=1,MAX(1,N(VLOOKUP(T161,Parameter!$I$27:$K$29,3,0)),H161,N(N161)),IF(N(Q161)&gt;0,Q161,MAX(1,H161)))))</f>
        <v>24</v>
      </c>
      <c r="BT161" s="60" t="n">
        <f aca="false">IF(BR161="LOSE",1,0)</f>
        <v>0</v>
      </c>
      <c r="BU161" s="60" t="n">
        <f aca="false">IF(AND(U161="",OR(P161="",P161="LOSE"),T161&lt;&gt;"",N(S161)&lt;=0,ISNUMBER(MATCH(T161,Parameter!$I$27:$I$29,0))),1,0)</f>
        <v>1</v>
      </c>
      <c r="BV161" s="55" t="str">
        <f aca="false">IF(AND(Parameter!$B$19="Ja",E161&lt;&gt;"",ISNUMBER(MATCH(E161,Parameter!$I$35:$I$52,0))),VLOOKUP(E161,Parameter!$I$35:$J$52,2,0),IFERROR(VLOOKUP(D161,Parameter!$A$35:$C$64,2,0),"Nein"))</f>
        <v>2+3</v>
      </c>
      <c r="BW161" s="59" t="n">
        <f aca="false">IF(BT161=0,0,IF(N(S161)&gt;0,S161,IFERROR(VLOOKUP(D161,Parameter!$A$35:$C$64,3,0)+0,0)))</f>
        <v>0</v>
      </c>
      <c r="BX161" s="55" t="n">
        <f aca="false">IF(AA161&lt;&gt;"",AA161,Z161)</f>
        <v>2</v>
      </c>
      <c r="BY161" s="55" t="str">
        <f aca="false">IF(BX161=1,"L1",IF(OR(BX161=2,BX161=3),"L23",IF(BX161="Aussen","Aussen","-")))</f>
        <v>L23</v>
      </c>
      <c r="BZ161" s="66" t="n">
        <f aca="false">IF(N(AB161)&gt;0,AB161,0)</f>
        <v>0</v>
      </c>
      <c r="CA161" s="60" t="n">
        <f aca="false">IF(ISNUMBER(AE161),1,0)</f>
        <v>0</v>
      </c>
      <c r="CB161" s="57" t="n">
        <f aca="false">N(AE161)</f>
        <v>0</v>
      </c>
      <c r="CC161" s="57" t="n">
        <f aca="false">N(M161)+N(N161)</f>
        <v>1</v>
      </c>
      <c r="CD161" s="57" t="n">
        <f aca="false">ROUNDUP(H161/BS161,0)</f>
        <v>1</v>
      </c>
      <c r="CE161" s="57" t="n">
        <f aca="false">ROUNDUP(CB161/BS161,0)</f>
        <v>0</v>
      </c>
      <c r="CF161" s="60" t="n">
        <f aca="false">IF(BT161=1,0,IFERROR(VLOOKUP(BR161,'Gebinde-Kategorie'!$A$5:$M$45,5,0)+0,0))</f>
        <v>20</v>
      </c>
      <c r="CG161" s="60" t="n">
        <f aca="false">IFERROR(IF(OR(BX161=1,BX161=2,BX161=3),N(INDEX(Parameter!$I$5:$I$7,BX161)),0),0)</f>
        <v>0</v>
      </c>
      <c r="CH161" s="59" t="n">
        <f aca="false">IF(AND(Parameter!$B$21="Ja",ISNUMBER(W161),N(X161)&gt;0),IFERROR(N(INDEX(Parameter!$L$5:$L$7,W161))*INDEX(Parameter!$E$5:$E$7,W161)*X161/SUMIFS($X$7:$X$1843,$W$7:$W$1843,W161),0),0)</f>
        <v>0</v>
      </c>
    </row>
    <row r="162" customFormat="false" ht="15" hidden="false" customHeight="false" outlineLevel="0" collapsed="false">
      <c r="A162" s="55" t="s">
        <v>531</v>
      </c>
      <c r="B162" s="55" t="s">
        <v>532</v>
      </c>
      <c r="C162" s="55" t="s">
        <v>164</v>
      </c>
      <c r="D162" s="55" t="s">
        <v>184</v>
      </c>
      <c r="E162" s="55"/>
      <c r="F162" s="55" t="s">
        <v>218</v>
      </c>
      <c r="G162" s="56" t="n">
        <v>10.02</v>
      </c>
      <c r="H162" s="57" t="n">
        <f aca="false">MAX(0,IF(AND(Parameter!$B$21="Ja",ISNUMBER(Y162)),Y162,IF(Parameter!$B$20="Jahresanfang 2025 + Export",BL162+BK162,BK162)))</f>
        <v>173</v>
      </c>
      <c r="I162" s="57" t="n">
        <f aca="false">H162*G162</f>
        <v>1733.46</v>
      </c>
      <c r="J162" s="57" t="n">
        <f aca="false">BN162*Parameter!$B$18</f>
        <v>153</v>
      </c>
      <c r="K162" s="58" t="n">
        <v>52</v>
      </c>
      <c r="L162" s="59" t="n">
        <v>2.94230769230769</v>
      </c>
      <c r="M162" s="57" t="n">
        <v>26</v>
      </c>
      <c r="N162" s="57" t="n">
        <v>155</v>
      </c>
      <c r="O162" s="60" t="n">
        <v>63</v>
      </c>
      <c r="P162" s="55" t="s">
        <v>328</v>
      </c>
      <c r="Q162" s="57" t="n">
        <v>40</v>
      </c>
      <c r="R162" s="60" t="n">
        <f aca="false">IF(BT162=1,0,IFERROR(VLOOKUP(BR162,'Gebinde-Kategorie'!$A$5:$M$45,13,0)+0,0))</f>
        <v>52</v>
      </c>
      <c r="S162" s="61"/>
      <c r="T162" s="62"/>
      <c r="U162" s="62"/>
      <c r="V162" s="62"/>
      <c r="W162" s="55"/>
      <c r="X162" s="57"/>
      <c r="Y162" s="57"/>
      <c r="Z162" s="55" t="n">
        <f aca="false">IF(A162="","",IF(AND(Parameter!$B$21="Ja",ISNUMBER(W162)),W162,IF(BV162="2+3",IF(ISNUMBER(SEARCH("grosser Artikel",BO162)),2,IFERROR(VLOOKUP(BR162,Parameter!$F$35:$G$64,2,0),2)),IF(OR(BV162="Nein",BV162=""),"-",BV162))))</f>
        <v>3</v>
      </c>
      <c r="AA162" s="62"/>
      <c r="AB162" s="63"/>
      <c r="AC162" s="57" t="n">
        <f aca="false">AR162</f>
        <v>200</v>
      </c>
      <c r="AD162" s="57" t="n">
        <f aca="false">MAX(AR162,H162)</f>
        <v>200</v>
      </c>
      <c r="AE162" s="64"/>
      <c r="AF162" s="57" t="n">
        <f aca="false">IF(LEFT(Cockpit!$C$5,1)="A",H162,IF(CA162=1,CB162,IF(LEFT(Cockpit!$C$5,1)="B",AJ162,MAX(AJ162,H162))))</f>
        <v>173</v>
      </c>
      <c r="AG162" s="57" t="n">
        <f aca="false">IF(BT162=1,0,ROUNDUP(AF162/BS162,0))</f>
        <v>5</v>
      </c>
      <c r="AH162" s="59" t="n">
        <f aca="false">IF(CH162&gt;0,CH162*MAX(1,AF162/X162),IF(BT162=1,IF(AF162&lt;=0,0,BW162*MAX(1,IF(H162&gt;0,AF162/H162,1))),IF(R162&gt;0,AG162/R162,0))/MAX(0.1,N(Parameter!$M$21)))</f>
        <v>0.0961538461538462</v>
      </c>
      <c r="AI162" s="57" t="n">
        <f aca="false">AF162*G162</f>
        <v>1733.46</v>
      </c>
      <c r="AJ162" s="57" t="n">
        <f aca="false">ROUNDUP(MAX(J162/IF(BZ162&gt;0,BZ162,MAX(0.1,N(Cockpit!$C$6))),CC162)/BS162,0)*BS162</f>
        <v>200</v>
      </c>
      <c r="AK162" s="58" t="n">
        <f aca="false">IF(AH162&gt;0,J162/AH162,-1)</f>
        <v>1591.2</v>
      </c>
      <c r="AL162" s="58" t="n">
        <f aca="false">IF(AND(OR(BY162="L1",BY162="L23"),AH162&gt;0),SUMIFS($AH$7:$AH$1843,$BY$7:$BY$1843,BY162,$AK$7:$AK$1843,"&gt;"&amp;AK162)+SUMIFS($AH$7:$AH$1843,$BY$7:$BY$1843,BY162,$AK$7:$AK$1843,AK162,$BQ$7:$BQ$1843,"&lt;="&amp;BQ162),"")</f>
        <v>15.5514340731732</v>
      </c>
      <c r="AM162" s="65" t="n">
        <f aca="false">IF(AL162="",0,MAX(0,MIN(1,(IF(BY162="L1",Parameter!$E$5,Parameter!$E$6+Parameter!$E$7)-(AL162-AH162))/AH162)))</f>
        <v>1</v>
      </c>
      <c r="AN162" s="57" t="n">
        <f aca="false">IF(LEFT(Cockpit!$I$5,1)="A",H162,IF(CA162=1,CB162,IF(LEFT(Cockpit!$I$5,1)="B",AR162,MAX(AR162,H162))))</f>
        <v>200</v>
      </c>
      <c r="AO162" s="57" t="n">
        <f aca="false">IF(BT162=1,0,ROUNDUP(AN162/BS162,0))</f>
        <v>5</v>
      </c>
      <c r="AP162" s="59" t="n">
        <f aca="false">IF(CH162&gt;0,CH162*MAX(1,AN162/X162),IF(BT162=1,IF(AN162&lt;=0,0,BW162*MAX(1,IF(H162&gt;0,AN162/H162,1))),IF(R162&gt;0,AO162/R162,0))/MAX(0.1,N(Parameter!$M$21)))</f>
        <v>0.0961538461538462</v>
      </c>
      <c r="AQ162" s="57" t="n">
        <f aca="false">AN162*G162</f>
        <v>2004</v>
      </c>
      <c r="AR162" s="57" t="n">
        <f aca="false">ROUNDUP(MAX(J162/IF(BZ162&gt;0,BZ162,MAX(0.1,N(Cockpit!$I$6))),CC162)/BS162,0)*BS162</f>
        <v>200</v>
      </c>
      <c r="AS162" s="58" t="n">
        <f aca="false">IF(AP162&gt;0,J162/AP162,-1)</f>
        <v>1591.2</v>
      </c>
      <c r="AT162" s="58" t="n">
        <f aca="false">IF(AND(OR(BY162="L1",BY162="L23"),AP162&gt;0),SUMIFS($AP$7:$AP$1843,$BY$7:$BY$1843,BY162,$AS$7:$AS$1843,"&gt;"&amp;AS162)+SUMIFS($AP$7:$AP$1843,$BY$7:$BY$1843,BY162,$AS$7:$AS$1843,AS162,$BQ$7:$BQ$1843,"&lt;="&amp;BQ162),"")</f>
        <v>20.3277507516638</v>
      </c>
      <c r="AU162" s="65" t="n">
        <f aca="false">IF(AT162="",0,MAX(0,MIN(1,(IF(BY162="L1",Parameter!$E$5,Parameter!$E$6+Parameter!$E$7)-(AT162-AP162))/AP162)))</f>
        <v>1</v>
      </c>
      <c r="AV162" s="57" t="n">
        <f aca="false">IF(LEFT(Cockpit!$O$5,1)="A",H162,IF(CA162=1,CB162,IF(LEFT(Cockpit!$O$5,1)="B",AZ162,MAX(AZ162,H162))))</f>
        <v>200</v>
      </c>
      <c r="AW162" s="57" t="n">
        <f aca="false">IF(BT162=1,0,ROUNDUP(AV162/BS162,0))</f>
        <v>5</v>
      </c>
      <c r="AX162" s="59" t="n">
        <f aca="false">IF(CH162&gt;0,CH162*MAX(1,AV162/X162),IF(BT162=1,IF(AV162&lt;=0,0,BW162*MAX(1,IF(H162&gt;0,AV162/H162,1))),IF(R162&gt;0,AW162/R162,0))/MAX(0.1,N(Parameter!$M$21)))</f>
        <v>0.0961538461538462</v>
      </c>
      <c r="AY162" s="57" t="n">
        <f aca="false">AV162*G162</f>
        <v>2004</v>
      </c>
      <c r="AZ162" s="57" t="n">
        <f aca="false">ROUNDUP(MAX(J162/IF(BZ162&gt;0,BZ162,MAX(0.1,N(Cockpit!$O$6))),CC162)/BS162,0)*BS162</f>
        <v>200</v>
      </c>
      <c r="BA162" s="58" t="n">
        <f aca="false">IF(AX162&gt;0,J162/AX162,-1)</f>
        <v>1591.2</v>
      </c>
      <c r="BB162" s="58" t="n">
        <f aca="false">IF(AND(OR(BY162="L1",BY162="L23"),AX162&gt;0),SUMIFS($AX$7:$AX$1843,$BY$7:$BY$1843,BY162,$BA$7:$BA$1843,"&gt;"&amp;BA162)+SUMIFS($AX$7:$AX$1843,$BY$7:$BY$1843,BY162,$BA$7:$BA$1843,BA162,$BQ$7:$BQ$1843,"&lt;="&amp;BQ162),"")</f>
        <v>19.1896388635519</v>
      </c>
      <c r="BC162" s="65" t="n">
        <f aca="false">IF(BB162="",0,MAX(0,MIN(1,(IF(BY162="L1",Parameter!$E$5,Parameter!$E$6+Parameter!$E$7)-(BB162-AX162))/AX162)))</f>
        <v>1</v>
      </c>
      <c r="BD162" s="55" t="str">
        <f aca="false">IF(AH162&lt;=0,"",IF(BY162="Aussen","Aussenlager",IF(BY162="-","Nicht im Lift",IF(AM162&gt;=1,"Lift",IF(AM162&lt;=0,"Aussenlager","teilweise")))))</f>
        <v>Lift</v>
      </c>
      <c r="BE162" s="55" t="str">
        <f aca="false">IF(AP162&lt;=0,"",IF(BY162="Aussen","Aussenlager",IF(BY162="-","Nicht im Lift",IF(AU162&gt;=1,"Lift",IF(AU162&lt;=0,"Aussenlager","teilweise")))))</f>
        <v>Lift</v>
      </c>
      <c r="BF162" s="55" t="str">
        <f aca="false">IF(AX162&lt;=0,"",IF(BY162="Aussen","Aussenlager",IF(BY162="-","Nicht im Lift",IF(BC162&gt;=1,"Lift",IF(BC162&lt;=0,"Aussenlager","teilweise")))))</f>
        <v>Lift</v>
      </c>
      <c r="BG162" s="55" t="str">
        <f aca="false">IF(A162="","",IF(BP162=1,"Neu; ","")&amp;IF(AND(BP162=0,BK162&lt;0),"negativer Bestand (Export "&amp;BK162&amp;"); ","")&amp;IF(J162&lt;=0,"Kein Verbrauch; ","")&amp;IF(CH162&gt;0,"Lift "&amp;W162&amp;" lt. Liftbericht (Fach "&amp;X162&amp;" Stk); ",IF(BU162=1,"Gebinde geschätzt ("&amp;T162&amp;"); ",IF(BT162=1,"Lose – Tablare geschätzt; ","")))&amp;IF(H162&gt;AR162,"Überbestand "&amp;ROUND(H162-AR162,0)&amp;" Stk / CHF "&amp;ROUND((H162-AR162)*G162,0)&amp;"; ","")&amp;IF(AND(CA162=1,CB162&lt;CC162),"MAX &lt; MB+LG; ","")&amp;IF(AND(CG162&gt;0,CF162*10&gt;CG162),"zu hoch für Tablar; ","")&amp;IF(AND(BP162=0,OR(CA162=1,AA162&lt;&gt;"",U162&lt;&gt;"",V162&lt;&gt;"",AB162&lt;&gt;"")),"manuell übersteuert; ","")&amp;IF(AND(BT162=0,R162=0),"Gebinde unbekannt / Stellmass fehlt; ","")&amp;IF(AND(BT162=0,N(V162)&lt;=0,N(Q162)&lt;=0),"Menge pro Gebinde fehlt (Ist = 1 Gebinde); ","")&amp;BO162)</f>
        <v/>
      </c>
      <c r="BH162" s="55"/>
      <c r="BI162" s="55"/>
      <c r="BJ162" s="62"/>
      <c r="BK162" s="57" t="n">
        <v>122</v>
      </c>
      <c r="BL162" s="57" t="n">
        <v>51</v>
      </c>
      <c r="BM162" s="56" t="n">
        <v>1214.28</v>
      </c>
      <c r="BN162" s="57" t="n">
        <v>153</v>
      </c>
      <c r="BO162" s="55"/>
      <c r="BP162" s="60" t="n">
        <v>0</v>
      </c>
      <c r="BQ162" s="60" t="n">
        <v>162</v>
      </c>
      <c r="BR162" s="55" t="str">
        <f aca="false">IF(U162&lt;&gt;"",UPPER(TRIM(U162)),IF(BU162=1,UPPER(VLOOKUP(T162,Parameter!$I$27:$K$29,2,0)),IF(P162="","LOSE",P162)))</f>
        <v>S41</v>
      </c>
      <c r="BS162" s="57" t="n">
        <f aca="false">IF(BR162="LOSE",1,IF(N(V162)&gt;0,V162,IF(BU162=1,MAX(1,N(VLOOKUP(T162,Parameter!$I$27:$K$29,3,0)),H162,N(N162)),IF(N(Q162)&gt;0,Q162,MAX(1,H162)))))</f>
        <v>40</v>
      </c>
      <c r="BT162" s="60" t="n">
        <f aca="false">IF(BR162="LOSE",1,0)</f>
        <v>0</v>
      </c>
      <c r="BU162" s="60" t="n">
        <f aca="false">IF(AND(U162="",OR(P162="",P162="LOSE"),T162&lt;&gt;"",N(S162)&lt;=0,ISNUMBER(MATCH(T162,Parameter!$I$27:$I$29,0))),1,0)</f>
        <v>0</v>
      </c>
      <c r="BV162" s="55" t="str">
        <f aca="false">IF(AND(Parameter!$B$19="Ja",E162&lt;&gt;"",ISNUMBER(MATCH(E162,Parameter!$I$35:$I$52,0))),VLOOKUP(E162,Parameter!$I$35:$J$52,2,0),IFERROR(VLOOKUP(D162,Parameter!$A$35:$C$64,2,0),"Nein"))</f>
        <v>2+3</v>
      </c>
      <c r="BW162" s="59" t="n">
        <f aca="false">IF(BT162=0,0,IF(N(S162)&gt;0,S162,IFERROR(VLOOKUP(D162,Parameter!$A$35:$C$64,3,0)+0,0)))</f>
        <v>0</v>
      </c>
      <c r="BX162" s="55" t="n">
        <f aca="false">IF(AA162&lt;&gt;"",AA162,Z162)</f>
        <v>3</v>
      </c>
      <c r="BY162" s="55" t="str">
        <f aca="false">IF(BX162=1,"L1",IF(OR(BX162=2,BX162=3),"L23",IF(BX162="Aussen","Aussen","-")))</f>
        <v>L23</v>
      </c>
      <c r="BZ162" s="66" t="n">
        <f aca="false">IF(N(AB162)&gt;0,AB162,0)</f>
        <v>0</v>
      </c>
      <c r="CA162" s="60" t="n">
        <f aca="false">IF(ISNUMBER(AE162),1,0)</f>
        <v>0</v>
      </c>
      <c r="CB162" s="57" t="n">
        <f aca="false">N(AE162)</f>
        <v>0</v>
      </c>
      <c r="CC162" s="57" t="n">
        <f aca="false">N(M162)+N(N162)</f>
        <v>181</v>
      </c>
      <c r="CD162" s="57" t="n">
        <f aca="false">ROUNDUP(H162/BS162,0)</f>
        <v>5</v>
      </c>
      <c r="CE162" s="57" t="n">
        <f aca="false">ROUNDUP(CB162/BS162,0)</f>
        <v>0</v>
      </c>
      <c r="CF162" s="60" t="n">
        <f aca="false">IF(BT162=1,0,IFERROR(VLOOKUP(BR162,'Gebinde-Kategorie'!$A$5:$M$45,5,0)+0,0))</f>
        <v>11</v>
      </c>
      <c r="CG162" s="60" t="n">
        <f aca="false">IFERROR(IF(OR(BX162=1,BX162=2,BX162=3),N(INDEX(Parameter!$I$5:$I$7,BX162)),0),0)</f>
        <v>0</v>
      </c>
      <c r="CH162" s="59" t="n">
        <f aca="false">IF(AND(Parameter!$B$21="Ja",ISNUMBER(W162),N(X162)&gt;0),IFERROR(N(INDEX(Parameter!$L$5:$L$7,W162))*INDEX(Parameter!$E$5:$E$7,W162)*X162/SUMIFS($X$7:$X$1843,$W$7:$W$1843,W162),0),0)</f>
        <v>0</v>
      </c>
    </row>
    <row r="163" customFormat="false" ht="15" hidden="false" customHeight="false" outlineLevel="0" collapsed="false">
      <c r="A163" s="55" t="s">
        <v>533</v>
      </c>
      <c r="B163" s="55" t="s">
        <v>489</v>
      </c>
      <c r="C163" s="55" t="s">
        <v>164</v>
      </c>
      <c r="D163" s="55" t="s">
        <v>184</v>
      </c>
      <c r="E163" s="55" t="s">
        <v>185</v>
      </c>
      <c r="F163" s="55" t="s">
        <v>218</v>
      </c>
      <c r="G163" s="56" t="n">
        <v>1.8</v>
      </c>
      <c r="H163" s="57" t="n">
        <f aca="false">MAX(0,IF(AND(Parameter!$B$21="Ja",ISNUMBER(Y163)),Y163,IF(Parameter!$B$20="Jahresanfang 2025 + Export",BL163+BK163,BK163)))</f>
        <v>776</v>
      </c>
      <c r="I163" s="57" t="n">
        <f aca="false">H163*G163</f>
        <v>1396.8</v>
      </c>
      <c r="J163" s="57" t="n">
        <f aca="false">BN163*Parameter!$B$18</f>
        <v>985</v>
      </c>
      <c r="K163" s="58" t="n">
        <v>215</v>
      </c>
      <c r="L163" s="59" t="n">
        <v>4.58139534883721</v>
      </c>
      <c r="M163" s="57" t="n">
        <v>38</v>
      </c>
      <c r="N163" s="57" t="n">
        <v>985</v>
      </c>
      <c r="O163" s="60" t="n">
        <v>14</v>
      </c>
      <c r="P163" s="55" t="s">
        <v>328</v>
      </c>
      <c r="Q163" s="57" t="n">
        <v>388</v>
      </c>
      <c r="R163" s="60" t="n">
        <f aca="false">IF(BT163=1,0,IFERROR(VLOOKUP(BR163,'Gebinde-Kategorie'!$A$5:$M$45,13,0)+0,0))</f>
        <v>52</v>
      </c>
      <c r="S163" s="61"/>
      <c r="T163" s="62"/>
      <c r="U163" s="62"/>
      <c r="V163" s="62"/>
      <c r="W163" s="55"/>
      <c r="X163" s="57"/>
      <c r="Y163" s="57"/>
      <c r="Z163" s="55" t="n">
        <f aca="false">IF(A163="","",IF(AND(Parameter!$B$21="Ja",ISNUMBER(W163)),W163,IF(BV163="2+3",IF(ISNUMBER(SEARCH("grosser Artikel",BO163)),2,IFERROR(VLOOKUP(BR163,Parameter!$F$35:$G$64,2,0),2)),IF(OR(BV163="Nein",BV163=""),"-",BV163))))</f>
        <v>3</v>
      </c>
      <c r="AA163" s="62"/>
      <c r="AB163" s="63"/>
      <c r="AC163" s="57" t="n">
        <f aca="false">AR163</f>
        <v>1164</v>
      </c>
      <c r="AD163" s="57" t="n">
        <f aca="false">MAX(AR163,H163)</f>
        <v>1164</v>
      </c>
      <c r="AE163" s="64"/>
      <c r="AF163" s="57" t="n">
        <f aca="false">IF(LEFT(Cockpit!$C$5,1)="A",H163,IF(CA163=1,CB163,IF(LEFT(Cockpit!$C$5,1)="B",AJ163,MAX(AJ163,H163))))</f>
        <v>776</v>
      </c>
      <c r="AG163" s="57" t="n">
        <f aca="false">IF(BT163=1,0,ROUNDUP(AF163/BS163,0))</f>
        <v>2</v>
      </c>
      <c r="AH163" s="59" t="n">
        <f aca="false">IF(CH163&gt;0,CH163*MAX(1,AF163/X163),IF(BT163=1,IF(AF163&lt;=0,0,BW163*MAX(1,IF(H163&gt;0,AF163/H163,1))),IF(R163&gt;0,AG163/R163,0))/MAX(0.1,N(Parameter!$M$21)))</f>
        <v>0.0384615384615385</v>
      </c>
      <c r="AI163" s="57" t="n">
        <f aca="false">AF163*G163</f>
        <v>1396.8</v>
      </c>
      <c r="AJ163" s="57" t="n">
        <f aca="false">ROUNDUP(MAX(J163/IF(BZ163&gt;0,BZ163,MAX(0.1,N(Cockpit!$C$6))),CC163)/BS163,0)*BS163</f>
        <v>1164</v>
      </c>
      <c r="AK163" s="58" t="n">
        <f aca="false">IF(AH163&gt;0,J163/AH163,-1)</f>
        <v>25610</v>
      </c>
      <c r="AL163" s="58" t="n">
        <f aca="false">IF(AND(OR(BY163="L1",BY163="L23"),AH163&gt;0),SUMIFS($AH$7:$AH$1843,$BY$7:$BY$1843,BY163,$AK$7:$AK$1843,"&gt;"&amp;AK163)+SUMIFS($AH$7:$AH$1843,$BY$7:$BY$1843,BY163,$AK$7:$AK$1843,AK163,$BQ$7:$BQ$1843,"&lt;="&amp;BQ163),"")</f>
        <v>2.85340022296544</v>
      </c>
      <c r="AM163" s="65" t="n">
        <f aca="false">IF(AL163="",0,MAX(0,MIN(1,(IF(BY163="L1",Parameter!$E$5,Parameter!$E$6+Parameter!$E$7)-(AL163-AH163))/AH163)))</f>
        <v>1</v>
      </c>
      <c r="AN163" s="57" t="n">
        <f aca="false">IF(LEFT(Cockpit!$I$5,1)="A",H163,IF(CA163=1,CB163,IF(LEFT(Cockpit!$I$5,1)="B",AR163,MAX(AR163,H163))))</f>
        <v>1164</v>
      </c>
      <c r="AO163" s="57" t="n">
        <f aca="false">IF(BT163=1,0,ROUNDUP(AN163/BS163,0))</f>
        <v>3</v>
      </c>
      <c r="AP163" s="59" t="n">
        <f aca="false">IF(CH163&gt;0,CH163*MAX(1,AN163/X163),IF(BT163=1,IF(AN163&lt;=0,0,BW163*MAX(1,IF(H163&gt;0,AN163/H163,1))),IF(R163&gt;0,AO163/R163,0))/MAX(0.1,N(Parameter!$M$21)))</f>
        <v>0.0576923076923077</v>
      </c>
      <c r="AQ163" s="57" t="n">
        <f aca="false">AN163*G163</f>
        <v>2095.2</v>
      </c>
      <c r="AR163" s="57" t="n">
        <f aca="false">ROUNDUP(MAX(J163/IF(BZ163&gt;0,BZ163,MAX(0.1,N(Cockpit!$I$6))),CC163)/BS163,0)*BS163</f>
        <v>1164</v>
      </c>
      <c r="AS163" s="58" t="n">
        <f aca="false">IF(AP163&gt;0,J163/AP163,-1)</f>
        <v>17073.3333333333</v>
      </c>
      <c r="AT163" s="58" t="n">
        <f aca="false">IF(AND(OR(BY163="L1",BY163="L23"),AP163&gt;0),SUMIFS($AP$7:$AP$1843,$BY$7:$BY$1843,BY163,$AS$7:$AS$1843,"&gt;"&amp;AS163)+SUMIFS($AP$7:$AP$1843,$BY$7:$BY$1843,BY163,$AS$7:$AS$1843,AS163,$BQ$7:$BQ$1843,"&lt;="&amp;BQ163),"")</f>
        <v>4.65389682780987</v>
      </c>
      <c r="AU163" s="65" t="n">
        <f aca="false">IF(AT163="",0,MAX(0,MIN(1,(IF(BY163="L1",Parameter!$E$5,Parameter!$E$6+Parameter!$E$7)-(AT163-AP163))/AP163)))</f>
        <v>1</v>
      </c>
      <c r="AV163" s="57" t="n">
        <f aca="false">IF(LEFT(Cockpit!$O$5,1)="A",H163,IF(CA163=1,CB163,IF(LEFT(Cockpit!$O$5,1)="B",AZ163,MAX(AZ163,H163))))</f>
        <v>1164</v>
      </c>
      <c r="AW163" s="57" t="n">
        <f aca="false">IF(BT163=1,0,ROUNDUP(AV163/BS163,0))</f>
        <v>3</v>
      </c>
      <c r="AX163" s="59" t="n">
        <f aca="false">IF(CH163&gt;0,CH163*MAX(1,AV163/X163),IF(BT163=1,IF(AV163&lt;=0,0,BW163*MAX(1,IF(H163&gt;0,AV163/H163,1))),IF(R163&gt;0,AW163/R163,0))/MAX(0.1,N(Parameter!$M$21)))</f>
        <v>0.0576923076923077</v>
      </c>
      <c r="AY163" s="57" t="n">
        <f aca="false">AV163*G163</f>
        <v>2095.2</v>
      </c>
      <c r="AZ163" s="57" t="n">
        <f aca="false">ROUNDUP(MAX(J163/IF(BZ163&gt;0,BZ163,MAX(0.1,N(Cockpit!$O$6))),CC163)/BS163,0)*BS163</f>
        <v>1164</v>
      </c>
      <c r="BA163" s="58" t="n">
        <f aca="false">IF(AX163&gt;0,J163/AX163,-1)</f>
        <v>17073.3333333333</v>
      </c>
      <c r="BB163" s="58" t="n">
        <f aca="false">IF(AND(OR(BY163="L1",BY163="L23"),AX163&gt;0),SUMIFS($AX$7:$AX$1843,$BY$7:$BY$1843,BY163,$BA$7:$BA$1843,"&gt;"&amp;BA163)+SUMIFS($AX$7:$AX$1843,$BY$7:$BY$1843,BY163,$BA$7:$BA$1843,BA163,$BQ$7:$BQ$1843,"&lt;="&amp;BQ163),"")</f>
        <v>4.32988750380055</v>
      </c>
      <c r="BC163" s="65" t="n">
        <f aca="false">IF(BB163="",0,MAX(0,MIN(1,(IF(BY163="L1",Parameter!$E$5,Parameter!$E$6+Parameter!$E$7)-(BB163-AX163))/AX163)))</f>
        <v>1</v>
      </c>
      <c r="BD163" s="55" t="str">
        <f aca="false">IF(AH163&lt;=0,"",IF(BY163="Aussen","Aussenlager",IF(BY163="-","Nicht im Lift",IF(AM163&gt;=1,"Lift",IF(AM163&lt;=0,"Aussenlager","teilweise")))))</f>
        <v>Lift</v>
      </c>
      <c r="BE163" s="55" t="str">
        <f aca="false">IF(AP163&lt;=0,"",IF(BY163="Aussen","Aussenlager",IF(BY163="-","Nicht im Lift",IF(AU163&gt;=1,"Lift",IF(AU163&lt;=0,"Aussenlager","teilweise")))))</f>
        <v>Lift</v>
      </c>
      <c r="BF163" s="55" t="str">
        <f aca="false">IF(AX163&lt;=0,"",IF(BY163="Aussen","Aussenlager",IF(BY163="-","Nicht im Lift",IF(BC163&gt;=1,"Lift",IF(BC163&lt;=0,"Aussenlager","teilweise")))))</f>
        <v>Lift</v>
      </c>
      <c r="BG163" s="55" t="str">
        <f aca="false">IF(A163="","",IF(BP163=1,"Neu; ","")&amp;IF(AND(BP163=0,BK163&lt;0),"negativer Bestand (Export "&amp;BK163&amp;"); ","")&amp;IF(J163&lt;=0,"Kein Verbrauch; ","")&amp;IF(CH163&gt;0,"Lift "&amp;W163&amp;" lt. Liftbericht (Fach "&amp;X163&amp;" Stk); ",IF(BU163=1,"Gebinde geschätzt ("&amp;T163&amp;"); ",IF(BT163=1,"Lose – Tablare geschätzt; ","")))&amp;IF(H163&gt;AR163,"Überbestand "&amp;ROUND(H163-AR163,0)&amp;" Stk / CHF "&amp;ROUND((H163-AR163)*G163,0)&amp;"; ","")&amp;IF(AND(CA163=1,CB163&lt;CC163),"MAX &lt; MB+LG; ","")&amp;IF(AND(CG163&gt;0,CF163*10&gt;CG163),"zu hoch für Tablar; ","")&amp;IF(AND(BP163=0,OR(CA163=1,AA163&lt;&gt;"",U163&lt;&gt;"",V163&lt;&gt;"",AB163&lt;&gt;"")),"manuell übersteuert; ","")&amp;IF(AND(BT163=0,R163=0),"Gebinde unbekannt / Stellmass fehlt; ","")&amp;IF(AND(BT163=0,N(V163)&lt;=0,N(Q163)&lt;=0),"Menge pro Gebinde fehlt (Ist = 1 Gebinde); ","")&amp;BO163)</f>
        <v/>
      </c>
      <c r="BH163" s="55"/>
      <c r="BI163" s="55"/>
      <c r="BJ163" s="62"/>
      <c r="BK163" s="57" t="n">
        <v>665</v>
      </c>
      <c r="BL163" s="57" t="n">
        <v>111</v>
      </c>
      <c r="BM163" s="56" t="n">
        <v>1197</v>
      </c>
      <c r="BN163" s="57" t="n">
        <v>985</v>
      </c>
      <c r="BO163" s="55"/>
      <c r="BP163" s="60" t="n">
        <v>0</v>
      </c>
      <c r="BQ163" s="60" t="n">
        <v>163</v>
      </c>
      <c r="BR163" s="55" t="str">
        <f aca="false">IF(U163&lt;&gt;"",UPPER(TRIM(U163)),IF(BU163=1,UPPER(VLOOKUP(T163,Parameter!$I$27:$K$29,2,0)),IF(P163="","LOSE",P163)))</f>
        <v>S41</v>
      </c>
      <c r="BS163" s="57" t="n">
        <f aca="false">IF(BR163="LOSE",1,IF(N(V163)&gt;0,V163,IF(BU163=1,MAX(1,N(VLOOKUP(T163,Parameter!$I$27:$K$29,3,0)),H163,N(N163)),IF(N(Q163)&gt;0,Q163,MAX(1,H163)))))</f>
        <v>388</v>
      </c>
      <c r="BT163" s="60" t="n">
        <f aca="false">IF(BR163="LOSE",1,0)</f>
        <v>0</v>
      </c>
      <c r="BU163" s="60" t="n">
        <f aca="false">IF(AND(U163="",OR(P163="",P163="LOSE"),T163&lt;&gt;"",N(S163)&lt;=0,ISNUMBER(MATCH(T163,Parameter!$I$27:$I$29,0))),1,0)</f>
        <v>0</v>
      </c>
      <c r="BV163" s="55" t="str">
        <f aca="false">IF(AND(Parameter!$B$19="Ja",E163&lt;&gt;"",ISNUMBER(MATCH(E163,Parameter!$I$35:$I$52,0))),VLOOKUP(E163,Parameter!$I$35:$J$52,2,0),IFERROR(VLOOKUP(D163,Parameter!$A$35:$C$64,2,0),"Nein"))</f>
        <v>2+3</v>
      </c>
      <c r="BW163" s="59" t="n">
        <f aca="false">IF(BT163=0,0,IF(N(S163)&gt;0,S163,IFERROR(VLOOKUP(D163,Parameter!$A$35:$C$64,3,0)+0,0)))</f>
        <v>0</v>
      </c>
      <c r="BX163" s="55" t="n">
        <f aca="false">IF(AA163&lt;&gt;"",AA163,Z163)</f>
        <v>3</v>
      </c>
      <c r="BY163" s="55" t="str">
        <f aca="false">IF(BX163=1,"L1",IF(OR(BX163=2,BX163=3),"L23",IF(BX163="Aussen","Aussen","-")))</f>
        <v>L23</v>
      </c>
      <c r="BZ163" s="66" t="n">
        <f aca="false">IF(N(AB163)&gt;0,AB163,0)</f>
        <v>0</v>
      </c>
      <c r="CA163" s="60" t="n">
        <f aca="false">IF(ISNUMBER(AE163),1,0)</f>
        <v>0</v>
      </c>
      <c r="CB163" s="57" t="n">
        <f aca="false">N(AE163)</f>
        <v>0</v>
      </c>
      <c r="CC163" s="57" t="n">
        <f aca="false">N(M163)+N(N163)</f>
        <v>1023</v>
      </c>
      <c r="CD163" s="57" t="n">
        <f aca="false">ROUNDUP(H163/BS163,0)</f>
        <v>2</v>
      </c>
      <c r="CE163" s="57" t="n">
        <f aca="false">ROUNDUP(CB163/BS163,0)</f>
        <v>0</v>
      </c>
      <c r="CF163" s="60" t="n">
        <f aca="false">IF(BT163=1,0,IFERROR(VLOOKUP(BR163,'Gebinde-Kategorie'!$A$5:$M$45,5,0)+0,0))</f>
        <v>11</v>
      </c>
      <c r="CG163" s="60" t="n">
        <f aca="false">IFERROR(IF(OR(BX163=1,BX163=2,BX163=3),N(INDEX(Parameter!$I$5:$I$7,BX163)),0),0)</f>
        <v>0</v>
      </c>
      <c r="CH163" s="59" t="n">
        <f aca="false">IF(AND(Parameter!$B$21="Ja",ISNUMBER(W163),N(X163)&gt;0),IFERROR(N(INDEX(Parameter!$L$5:$L$7,W163))*INDEX(Parameter!$E$5:$E$7,W163)*X163/SUMIFS($X$7:$X$1843,$W$7:$W$1843,W163),0),0)</f>
        <v>0</v>
      </c>
    </row>
    <row r="164" customFormat="false" ht="15" hidden="false" customHeight="false" outlineLevel="0" collapsed="false">
      <c r="A164" s="55" t="s">
        <v>534</v>
      </c>
      <c r="B164" s="55" t="s">
        <v>535</v>
      </c>
      <c r="C164" s="55" t="s">
        <v>164</v>
      </c>
      <c r="D164" s="55" t="s">
        <v>184</v>
      </c>
      <c r="E164" s="55"/>
      <c r="F164" s="55" t="s">
        <v>218</v>
      </c>
      <c r="G164" s="56" t="n">
        <v>22.14</v>
      </c>
      <c r="H164" s="57" t="n">
        <f aca="false">MAX(0,IF(AND(Parameter!$B$21="Ja",ISNUMBER(Y164)),Y164,IF(Parameter!$B$20="Jahresanfang 2025 + Export",BL164+BK164,BK164)))</f>
        <v>123</v>
      </c>
      <c r="I164" s="57" t="n">
        <f aca="false">H164*G164</f>
        <v>2723.22</v>
      </c>
      <c r="J164" s="57" t="n">
        <f aca="false">BN164*Parameter!$B$18</f>
        <v>2</v>
      </c>
      <c r="K164" s="58" t="n">
        <v>75</v>
      </c>
      <c r="L164" s="59" t="n">
        <v>0.0266666666666667</v>
      </c>
      <c r="M164" s="57" t="n">
        <v>0</v>
      </c>
      <c r="N164" s="57" t="n">
        <v>1</v>
      </c>
      <c r="O164" s="60" t="n">
        <v>70</v>
      </c>
      <c r="P164" s="55" t="s">
        <v>186</v>
      </c>
      <c r="Q164" s="57" t="n">
        <v>100</v>
      </c>
      <c r="R164" s="60" t="n">
        <f aca="false">IF(BT164=1,0,IFERROR(VLOOKUP(BR164,'Gebinde-Kategorie'!$A$5:$M$45,13,0)+0,0))</f>
        <v>12</v>
      </c>
      <c r="S164" s="61"/>
      <c r="T164" s="62"/>
      <c r="U164" s="62"/>
      <c r="V164" s="62"/>
      <c r="W164" s="55"/>
      <c r="X164" s="57"/>
      <c r="Y164" s="57"/>
      <c r="Z164" s="55" t="n">
        <f aca="false">IF(A164="","",IF(AND(Parameter!$B$21="Ja",ISNUMBER(W164)),W164,IF(BV164="2+3",IF(ISNUMBER(SEARCH("grosser Artikel",BO164)),2,IFERROR(VLOOKUP(BR164,Parameter!$F$35:$G$64,2,0),2)),IF(OR(BV164="Nein",BV164=""),"-",BV164))))</f>
        <v>2</v>
      </c>
      <c r="AA164" s="62"/>
      <c r="AB164" s="63"/>
      <c r="AC164" s="57" t="n">
        <f aca="false">AR164</f>
        <v>100</v>
      </c>
      <c r="AD164" s="57" t="n">
        <f aca="false">MAX(AR164,H164)</f>
        <v>123</v>
      </c>
      <c r="AE164" s="64"/>
      <c r="AF164" s="57" t="n">
        <f aca="false">IF(LEFT(Cockpit!$C$5,1)="A",H164,IF(CA164=1,CB164,IF(LEFT(Cockpit!$C$5,1)="B",AJ164,MAX(AJ164,H164))))</f>
        <v>123</v>
      </c>
      <c r="AG164" s="57" t="n">
        <f aca="false">IF(BT164=1,0,ROUNDUP(AF164/BS164,0))</f>
        <v>2</v>
      </c>
      <c r="AH164" s="59" t="n">
        <f aca="false">IF(CH164&gt;0,CH164*MAX(1,AF164/X164),IF(BT164=1,IF(AF164&lt;=0,0,BW164*MAX(1,IF(H164&gt;0,AF164/H164,1))),IF(R164&gt;0,AG164/R164,0))/MAX(0.1,N(Parameter!$M$21)))</f>
        <v>0.166666666666667</v>
      </c>
      <c r="AI164" s="57" t="n">
        <f aca="false">AF164*G164</f>
        <v>2723.22</v>
      </c>
      <c r="AJ164" s="57" t="n">
        <f aca="false">ROUNDUP(MAX(J164/IF(BZ164&gt;0,BZ164,MAX(0.1,N(Cockpit!$C$6))),CC164)/BS164,0)*BS164</f>
        <v>100</v>
      </c>
      <c r="AK164" s="58" t="n">
        <f aca="false">IF(AH164&gt;0,J164/AH164,-1)</f>
        <v>12</v>
      </c>
      <c r="AL164" s="58" t="n">
        <f aca="false">IF(AND(OR(BY164="L1",BY164="L23"),AH164&gt;0),SUMIFS($AH$7:$AH$1843,$BY$7:$BY$1843,BY164,$AK$7:$AK$1843,"&gt;"&amp;AK164)+SUMIFS($AH$7:$AH$1843,$BY$7:$BY$1843,BY164,$AK$7:$AK$1843,AK164,$BQ$7:$BQ$1843,"&lt;="&amp;BQ164),"")</f>
        <v>54.2740785784264</v>
      </c>
      <c r="AM164" s="65" t="n">
        <f aca="false">IF(AL164="",0,MAX(0,MIN(1,(IF(BY164="L1",Parameter!$E$5,Parameter!$E$6+Parameter!$E$7)-(AL164-AH164))/AH164)))</f>
        <v>1</v>
      </c>
      <c r="AN164" s="57" t="n">
        <f aca="false">IF(LEFT(Cockpit!$I$5,1)="A",H164,IF(CA164=1,CB164,IF(LEFT(Cockpit!$I$5,1)="B",AR164,MAX(AR164,H164))))</f>
        <v>123</v>
      </c>
      <c r="AO164" s="57" t="n">
        <f aca="false">IF(BT164=1,0,ROUNDUP(AN164/BS164,0))</f>
        <v>2</v>
      </c>
      <c r="AP164" s="59" t="n">
        <f aca="false">IF(CH164&gt;0,CH164*MAX(1,AN164/X164),IF(BT164=1,IF(AN164&lt;=0,0,BW164*MAX(1,IF(H164&gt;0,AN164/H164,1))),IF(R164&gt;0,AO164/R164,0))/MAX(0.1,N(Parameter!$M$21)))</f>
        <v>0.166666666666667</v>
      </c>
      <c r="AQ164" s="57" t="n">
        <f aca="false">AN164*G164</f>
        <v>2723.22</v>
      </c>
      <c r="AR164" s="57" t="n">
        <f aca="false">ROUNDUP(MAX(J164/IF(BZ164&gt;0,BZ164,MAX(0.1,N(Cockpit!$I$6))),CC164)/BS164,0)*BS164</f>
        <v>100</v>
      </c>
      <c r="AS164" s="58" t="n">
        <f aca="false">IF(AP164&gt;0,J164/AP164,-1)</f>
        <v>12</v>
      </c>
      <c r="AT164" s="58" t="n">
        <f aca="false">IF(AND(OR(BY164="L1",BY164="L23"),AP164&gt;0),SUMIFS($AP$7:$AP$1843,$BY$7:$BY$1843,BY164,$AS$7:$AS$1843,"&gt;"&amp;AS164)+SUMIFS($AP$7:$AP$1843,$BY$7:$BY$1843,BY164,$AS$7:$AS$1843,AS164,$BQ$7:$BQ$1843,"&lt;="&amp;BQ164),"")</f>
        <v>81.2815360967535</v>
      </c>
      <c r="AU164" s="65" t="n">
        <f aca="false">IF(AT164="",0,MAX(0,MIN(1,(IF(BY164="L1",Parameter!$E$5,Parameter!$E$6+Parameter!$E$7)-(AT164-AP164))/AP164)))</f>
        <v>1</v>
      </c>
      <c r="AV164" s="57" t="n">
        <f aca="false">IF(LEFT(Cockpit!$O$5,1)="A",H164,IF(CA164=1,CB164,IF(LEFT(Cockpit!$O$5,1)="B",AZ164,MAX(AZ164,H164))))</f>
        <v>123</v>
      </c>
      <c r="AW164" s="57" t="n">
        <f aca="false">IF(BT164=1,0,ROUNDUP(AV164/BS164,0))</f>
        <v>2</v>
      </c>
      <c r="AX164" s="59" t="n">
        <f aca="false">IF(CH164&gt;0,CH164*MAX(1,AV164/X164),IF(BT164=1,IF(AV164&lt;=0,0,BW164*MAX(1,IF(H164&gt;0,AV164/H164,1))),IF(R164&gt;0,AW164/R164,0))/MAX(0.1,N(Parameter!$M$21)))</f>
        <v>0.166666666666667</v>
      </c>
      <c r="AY164" s="57" t="n">
        <f aca="false">AV164*G164</f>
        <v>2723.22</v>
      </c>
      <c r="AZ164" s="57" t="n">
        <f aca="false">ROUNDUP(MAX(J164/IF(BZ164&gt;0,BZ164,MAX(0.1,N(Cockpit!$O$6))),CC164)/BS164,0)*BS164</f>
        <v>100</v>
      </c>
      <c r="BA164" s="58" t="n">
        <f aca="false">IF(AX164&gt;0,J164/AX164,-1)</f>
        <v>12</v>
      </c>
      <c r="BB164" s="58" t="n">
        <f aca="false">IF(AND(OR(BY164="L1",BY164="L23"),AX164&gt;0),SUMIFS($AX$7:$AX$1843,$BY$7:$BY$1843,BY164,$BA$7:$BA$1843,"&gt;"&amp;BA164)+SUMIFS($AX$7:$AX$1843,$BY$7:$BY$1843,BY164,$BA$7:$BA$1843,BA164,$BQ$7:$BQ$1843,"&lt;="&amp;BQ164),"")</f>
        <v>80.778039593257</v>
      </c>
      <c r="BC164" s="65" t="n">
        <f aca="false">IF(BB164="",0,MAX(0,MIN(1,(IF(BY164="L1",Parameter!$E$5,Parameter!$E$6+Parameter!$E$7)-(BB164-AX164))/AX164)))</f>
        <v>1</v>
      </c>
      <c r="BD164" s="55" t="str">
        <f aca="false">IF(AH164&lt;=0,"",IF(BY164="Aussen","Aussenlager",IF(BY164="-","Nicht im Lift",IF(AM164&gt;=1,"Lift",IF(AM164&lt;=0,"Aussenlager","teilweise")))))</f>
        <v>Lift</v>
      </c>
      <c r="BE164" s="55" t="str">
        <f aca="false">IF(AP164&lt;=0,"",IF(BY164="Aussen","Aussenlager",IF(BY164="-","Nicht im Lift",IF(AU164&gt;=1,"Lift",IF(AU164&lt;=0,"Aussenlager","teilweise")))))</f>
        <v>Lift</v>
      </c>
      <c r="BF164" s="55" t="str">
        <f aca="false">IF(AX164&lt;=0,"",IF(BY164="Aussen","Aussenlager",IF(BY164="-","Nicht im Lift",IF(BC164&gt;=1,"Lift",IF(BC164&lt;=0,"Aussenlager","teilweise")))))</f>
        <v>Lift</v>
      </c>
      <c r="BG164" s="55" t="str">
        <f aca="false">IF(A164="","",IF(BP164=1,"Neu; ","")&amp;IF(AND(BP164=0,BK164&lt;0),"negativer Bestand (Export "&amp;BK164&amp;"); ","")&amp;IF(J164&lt;=0,"Kein Verbrauch; ","")&amp;IF(CH164&gt;0,"Lift "&amp;W164&amp;" lt. Liftbericht (Fach "&amp;X164&amp;" Stk); ",IF(BU164=1,"Gebinde geschätzt ("&amp;T164&amp;"); ",IF(BT164=1,"Lose – Tablare geschätzt; ","")))&amp;IF(H164&gt;AR164,"Überbestand "&amp;ROUND(H164-AR164,0)&amp;" Stk / CHF "&amp;ROUND((H164-AR164)*G164,0)&amp;"; ","")&amp;IF(AND(CA164=1,CB164&lt;CC164),"MAX &lt; MB+LG; ","")&amp;IF(AND(CG164&gt;0,CF164*10&gt;CG164),"zu hoch für Tablar; ","")&amp;IF(AND(BP164=0,OR(CA164=1,AA164&lt;&gt;"",U164&lt;&gt;"",V164&lt;&gt;"",AB164&lt;&gt;"")),"manuell übersteuert; ","")&amp;IF(AND(BT164=0,R164=0),"Gebinde unbekannt / Stellmass fehlt; ","")&amp;IF(AND(BT164=0,N(V164)&lt;=0,N(Q164)&lt;=0),"Menge pro Gebinde fehlt (Ist = 1 Gebinde); ","")&amp;BO164)</f>
        <v>Überbestand 23 Stk / CHF 509; i.o</v>
      </c>
      <c r="BH164" s="55"/>
      <c r="BI164" s="55"/>
      <c r="BJ164" s="62"/>
      <c r="BK164" s="57" t="n">
        <v>48</v>
      </c>
      <c r="BL164" s="57" t="n">
        <v>75</v>
      </c>
      <c r="BM164" s="56" t="n">
        <v>1171.2</v>
      </c>
      <c r="BN164" s="57" t="n">
        <v>2</v>
      </c>
      <c r="BO164" s="55" t="s">
        <v>536</v>
      </c>
      <c r="BP164" s="60" t="n">
        <v>0</v>
      </c>
      <c r="BQ164" s="60" t="n">
        <v>164</v>
      </c>
      <c r="BR164" s="55" t="str">
        <f aca="false">IF(U164&lt;&gt;"",UPPER(TRIM(U164)),IF(BU164=1,UPPER(VLOOKUP(T164,Parameter!$I$27:$K$29,2,0)),IF(P164="","LOSE",P164)))</f>
        <v>S61</v>
      </c>
      <c r="BS164" s="57" t="n">
        <f aca="false">IF(BR164="LOSE",1,IF(N(V164)&gt;0,V164,IF(BU164=1,MAX(1,N(VLOOKUP(T164,Parameter!$I$27:$K$29,3,0)),H164,N(N164)),IF(N(Q164)&gt;0,Q164,MAX(1,H164)))))</f>
        <v>100</v>
      </c>
      <c r="BT164" s="60" t="n">
        <f aca="false">IF(BR164="LOSE",1,0)</f>
        <v>0</v>
      </c>
      <c r="BU164" s="60" t="n">
        <f aca="false">IF(AND(U164="",OR(P164="",P164="LOSE"),T164&lt;&gt;"",N(S164)&lt;=0,ISNUMBER(MATCH(T164,Parameter!$I$27:$I$29,0))),1,0)</f>
        <v>0</v>
      </c>
      <c r="BV164" s="55" t="str">
        <f aca="false">IF(AND(Parameter!$B$19="Ja",E164&lt;&gt;"",ISNUMBER(MATCH(E164,Parameter!$I$35:$I$52,0))),VLOOKUP(E164,Parameter!$I$35:$J$52,2,0),IFERROR(VLOOKUP(D164,Parameter!$A$35:$C$64,2,0),"Nein"))</f>
        <v>2+3</v>
      </c>
      <c r="BW164" s="59" t="n">
        <f aca="false">IF(BT164=0,0,IF(N(S164)&gt;0,S164,IFERROR(VLOOKUP(D164,Parameter!$A$35:$C$64,3,0)+0,0)))</f>
        <v>0</v>
      </c>
      <c r="BX164" s="55" t="n">
        <f aca="false">IF(AA164&lt;&gt;"",AA164,Z164)</f>
        <v>2</v>
      </c>
      <c r="BY164" s="55" t="str">
        <f aca="false">IF(BX164=1,"L1",IF(OR(BX164=2,BX164=3),"L23",IF(BX164="Aussen","Aussen","-")))</f>
        <v>L23</v>
      </c>
      <c r="BZ164" s="66" t="n">
        <f aca="false">IF(N(AB164)&gt;0,AB164,0)</f>
        <v>0</v>
      </c>
      <c r="CA164" s="60" t="n">
        <f aca="false">IF(ISNUMBER(AE164),1,0)</f>
        <v>0</v>
      </c>
      <c r="CB164" s="57" t="n">
        <f aca="false">N(AE164)</f>
        <v>0</v>
      </c>
      <c r="CC164" s="57" t="n">
        <f aca="false">N(M164)+N(N164)</f>
        <v>1</v>
      </c>
      <c r="CD164" s="57" t="n">
        <f aca="false">ROUNDUP(H164/BS164,0)</f>
        <v>2</v>
      </c>
      <c r="CE164" s="57" t="n">
        <f aca="false">ROUNDUP(CB164/BS164,0)</f>
        <v>0</v>
      </c>
      <c r="CF164" s="60" t="n">
        <f aca="false">IF(BT164=1,0,IFERROR(VLOOKUP(BR164,'Gebinde-Kategorie'!$A$5:$M$45,5,0)+0,0))</f>
        <v>11</v>
      </c>
      <c r="CG164" s="60" t="n">
        <f aca="false">IFERROR(IF(OR(BX164=1,BX164=2,BX164=3),N(INDEX(Parameter!$I$5:$I$7,BX164)),0),0)</f>
        <v>0</v>
      </c>
      <c r="CH164" s="59" t="n">
        <f aca="false">IF(AND(Parameter!$B$21="Ja",ISNUMBER(W164),N(X164)&gt;0),IFERROR(N(INDEX(Parameter!$L$5:$L$7,W164))*INDEX(Parameter!$E$5:$E$7,W164)*X164/SUMIFS($X$7:$X$1843,$W$7:$W$1843,W164),0),0)</f>
        <v>0</v>
      </c>
    </row>
    <row r="165" customFormat="false" ht="15" hidden="false" customHeight="false" outlineLevel="0" collapsed="false">
      <c r="A165" s="55" t="s">
        <v>537</v>
      </c>
      <c r="B165" s="55" t="s">
        <v>538</v>
      </c>
      <c r="C165" s="55" t="s">
        <v>164</v>
      </c>
      <c r="D165" s="55" t="s">
        <v>173</v>
      </c>
      <c r="E165" s="55"/>
      <c r="F165" s="55" t="s">
        <v>218</v>
      </c>
      <c r="G165" s="56" t="n">
        <v>145.13</v>
      </c>
      <c r="H165" s="57" t="n">
        <f aca="false">MAX(0,IF(AND(Parameter!$B$21="Ja",ISNUMBER(Y165)),Y165,IF(Parameter!$B$20="Jahresanfang 2025 + Export",BL165+BK165,BK165)))</f>
        <v>18</v>
      </c>
      <c r="I165" s="57" t="n">
        <f aca="false">H165*G165</f>
        <v>2612.34</v>
      </c>
      <c r="J165" s="57" t="n">
        <f aca="false">BN165*Parameter!$B$18</f>
        <v>28</v>
      </c>
      <c r="K165" s="58" t="n">
        <v>11.5</v>
      </c>
      <c r="L165" s="59" t="n">
        <v>2.43478260869565</v>
      </c>
      <c r="M165" s="57" t="n">
        <v>4</v>
      </c>
      <c r="N165" s="57" t="n">
        <v>20</v>
      </c>
      <c r="O165" s="60" t="n">
        <v>50</v>
      </c>
      <c r="P165" s="55" t="s">
        <v>174</v>
      </c>
      <c r="Q165" s="57" t="n">
        <v>15</v>
      </c>
      <c r="R165" s="60" t="n">
        <f aca="false">IF(BT165=1,0,IFERROR(VLOOKUP(BR165,'Gebinde-Kategorie'!$A$5:$M$45,13,0)+0,0))</f>
        <v>6</v>
      </c>
      <c r="S165" s="61"/>
      <c r="T165" s="62"/>
      <c r="U165" s="62"/>
      <c r="V165" s="62"/>
      <c r="W165" s="55"/>
      <c r="X165" s="57"/>
      <c r="Y165" s="57"/>
      <c r="Z165" s="55" t="n">
        <f aca="false">IF(A165="","",IF(AND(Parameter!$B$21="Ja",ISNUMBER(W165)),W165,IF(BV165="2+3",IF(ISNUMBER(SEARCH("grosser Artikel",BO165)),2,IFERROR(VLOOKUP(BR165,Parameter!$F$35:$G$64,2,0),2)),IF(OR(BV165="Nein",BV165=""),"-",BV165))))</f>
        <v>2</v>
      </c>
      <c r="AA165" s="62"/>
      <c r="AB165" s="63"/>
      <c r="AC165" s="57" t="n">
        <f aca="false">AR165</f>
        <v>30</v>
      </c>
      <c r="AD165" s="57" t="n">
        <f aca="false">MAX(AR165,H165)</f>
        <v>30</v>
      </c>
      <c r="AE165" s="64"/>
      <c r="AF165" s="57" t="n">
        <f aca="false">IF(LEFT(Cockpit!$C$5,1)="A",H165,IF(CA165=1,CB165,IF(LEFT(Cockpit!$C$5,1)="B",AJ165,MAX(AJ165,H165))))</f>
        <v>18</v>
      </c>
      <c r="AG165" s="57" t="n">
        <f aca="false">IF(BT165=1,0,ROUNDUP(AF165/BS165,0))</f>
        <v>2</v>
      </c>
      <c r="AH165" s="59" t="n">
        <f aca="false">IF(CH165&gt;0,CH165*MAX(1,AF165/X165),IF(BT165=1,IF(AF165&lt;=0,0,BW165*MAX(1,IF(H165&gt;0,AF165/H165,1))),IF(R165&gt;0,AG165/R165,0))/MAX(0.1,N(Parameter!$M$21)))</f>
        <v>0.333333333333333</v>
      </c>
      <c r="AI165" s="57" t="n">
        <f aca="false">AF165*G165</f>
        <v>2612.34</v>
      </c>
      <c r="AJ165" s="57" t="n">
        <f aca="false">ROUNDUP(MAX(J165/IF(BZ165&gt;0,BZ165,MAX(0.1,N(Cockpit!$C$6))),CC165)/BS165,0)*BS165</f>
        <v>30</v>
      </c>
      <c r="AK165" s="58" t="n">
        <f aca="false">IF(AH165&gt;0,J165/AH165,-1)</f>
        <v>84</v>
      </c>
      <c r="AL165" s="58" t="n">
        <f aca="false">IF(AND(OR(BY165="L1",BY165="L23"),AH165&gt;0),SUMIFS($AH$7:$AH$1843,$BY$7:$BY$1843,BY165,$AK$7:$AK$1843,"&gt;"&amp;AK165)+SUMIFS($AH$7:$AH$1843,$BY$7:$BY$1843,BY165,$AK$7:$AK$1843,AK165,$BQ$7:$BQ$1843,"&lt;="&amp;BQ165),"")</f>
        <v>40.8142883686362</v>
      </c>
      <c r="AM165" s="65" t="n">
        <f aca="false">IF(AL165="",0,MAX(0,MIN(1,(IF(BY165="L1",Parameter!$E$5,Parameter!$E$6+Parameter!$E$7)-(AL165-AH165))/AH165)))</f>
        <v>1</v>
      </c>
      <c r="AN165" s="57" t="n">
        <f aca="false">IF(LEFT(Cockpit!$I$5,1)="A",H165,IF(CA165=1,CB165,IF(LEFT(Cockpit!$I$5,1)="B",AR165,MAX(AR165,H165))))</f>
        <v>30</v>
      </c>
      <c r="AO165" s="57" t="n">
        <f aca="false">IF(BT165=1,0,ROUNDUP(AN165/BS165,0))</f>
        <v>2</v>
      </c>
      <c r="AP165" s="59" t="n">
        <f aca="false">IF(CH165&gt;0,CH165*MAX(1,AN165/X165),IF(BT165=1,IF(AN165&lt;=0,0,BW165*MAX(1,IF(H165&gt;0,AN165/H165,1))),IF(R165&gt;0,AO165/R165,0))/MAX(0.1,N(Parameter!$M$21)))</f>
        <v>0.333333333333333</v>
      </c>
      <c r="AQ165" s="57" t="n">
        <f aca="false">AN165*G165</f>
        <v>4353.9</v>
      </c>
      <c r="AR165" s="57" t="n">
        <f aca="false">ROUNDUP(MAX(J165/IF(BZ165&gt;0,BZ165,MAX(0.1,N(Cockpit!$I$6))),CC165)/BS165,0)*BS165</f>
        <v>30</v>
      </c>
      <c r="AS165" s="58" t="n">
        <f aca="false">IF(AP165&gt;0,J165/AP165,-1)</f>
        <v>84</v>
      </c>
      <c r="AT165" s="58" t="n">
        <f aca="false">IF(AND(OR(BY165="L1",BY165="L23"),AP165&gt;0),SUMIFS($AP$7:$AP$1843,$BY$7:$BY$1843,BY165,$AS$7:$AS$1843,"&gt;"&amp;AS165)+SUMIFS($AP$7:$AP$1843,$BY$7:$BY$1843,BY165,$AS$7:$AS$1843,AS165,$BQ$7:$BQ$1843,"&lt;="&amp;BQ165),"")</f>
        <v>63.1107901760076</v>
      </c>
      <c r="AU165" s="65" t="n">
        <f aca="false">IF(AT165="",0,MAX(0,MIN(1,(IF(BY165="L1",Parameter!$E$5,Parameter!$E$6+Parameter!$E$7)-(AT165-AP165))/AP165)))</f>
        <v>1</v>
      </c>
      <c r="AV165" s="57" t="n">
        <f aca="false">IF(LEFT(Cockpit!$O$5,1)="A",H165,IF(CA165=1,CB165,IF(LEFT(Cockpit!$O$5,1)="B",AZ165,MAX(AZ165,H165))))</f>
        <v>30</v>
      </c>
      <c r="AW165" s="57" t="n">
        <f aca="false">IF(BT165=1,0,ROUNDUP(AV165/BS165,0))</f>
        <v>2</v>
      </c>
      <c r="AX165" s="59" t="n">
        <f aca="false">IF(CH165&gt;0,CH165*MAX(1,AV165/X165),IF(BT165=1,IF(AV165&lt;=0,0,BW165*MAX(1,IF(H165&gt;0,AV165/H165,1))),IF(R165&gt;0,AW165/R165,0))/MAX(0.1,N(Parameter!$M$21)))</f>
        <v>0.333333333333333</v>
      </c>
      <c r="AY165" s="57" t="n">
        <f aca="false">AV165*G165</f>
        <v>4353.9</v>
      </c>
      <c r="AZ165" s="57" t="n">
        <f aca="false">ROUNDUP(MAX(J165/IF(BZ165&gt;0,BZ165,MAX(0.1,N(Cockpit!$O$6))),CC165)/BS165,0)*BS165</f>
        <v>30</v>
      </c>
      <c r="BA165" s="58" t="n">
        <f aca="false">IF(AX165&gt;0,J165/AX165,-1)</f>
        <v>84</v>
      </c>
      <c r="BB165" s="58" t="n">
        <f aca="false">IF(AND(OR(BY165="L1",BY165="L23"),AX165&gt;0),SUMIFS($AX$7:$AX$1843,$BY$7:$BY$1843,BY165,$BA$7:$BA$1843,"&gt;"&amp;BA165)+SUMIFS($AX$7:$AX$1843,$BY$7:$BY$1843,BY165,$BA$7:$BA$1843,BA165,$BQ$7:$BQ$1843,"&lt;="&amp;BQ165),"")</f>
        <v>57.6072936725111</v>
      </c>
      <c r="BC165" s="65" t="n">
        <f aca="false">IF(BB165="",0,MAX(0,MIN(1,(IF(BY165="L1",Parameter!$E$5,Parameter!$E$6+Parameter!$E$7)-(BB165-AX165))/AX165)))</f>
        <v>1</v>
      </c>
      <c r="BD165" s="55" t="str">
        <f aca="false">IF(AH165&lt;=0,"",IF(BY165="Aussen","Aussenlager",IF(BY165="-","Nicht im Lift",IF(AM165&gt;=1,"Lift",IF(AM165&lt;=0,"Aussenlager","teilweise")))))</f>
        <v>Lift</v>
      </c>
      <c r="BE165" s="55" t="str">
        <f aca="false">IF(AP165&lt;=0,"",IF(BY165="Aussen","Aussenlager",IF(BY165="-","Nicht im Lift",IF(AU165&gt;=1,"Lift",IF(AU165&lt;=0,"Aussenlager","teilweise")))))</f>
        <v>Lift</v>
      </c>
      <c r="BF165" s="55" t="str">
        <f aca="false">IF(AX165&lt;=0,"",IF(BY165="Aussen","Aussenlager",IF(BY165="-","Nicht im Lift",IF(BC165&gt;=1,"Lift",IF(BC165&lt;=0,"Aussenlager","teilweise")))))</f>
        <v>Lift</v>
      </c>
      <c r="BG165" s="55" t="str">
        <f aca="false">IF(A165="","",IF(BP165=1,"Neu; ","")&amp;IF(AND(BP165=0,BK165&lt;0),"negativer Bestand (Export "&amp;BK165&amp;"); ","")&amp;IF(J165&lt;=0,"Kein Verbrauch; ","")&amp;IF(CH165&gt;0,"Lift "&amp;W165&amp;" lt. Liftbericht (Fach "&amp;X165&amp;" Stk); ",IF(BU165=1,"Gebinde geschätzt ("&amp;T165&amp;"); ",IF(BT165=1,"Lose – Tablare geschätzt; ","")))&amp;IF(H165&gt;AR165,"Überbestand "&amp;ROUND(H165-AR165,0)&amp;" Stk / CHF "&amp;ROUND((H165-AR165)*G165,0)&amp;"; ","")&amp;IF(AND(CA165=1,CB165&lt;CC165),"MAX &lt; MB+LG; ","")&amp;IF(AND(CG165&gt;0,CF165*10&gt;CG165),"zu hoch für Tablar; ","")&amp;IF(AND(BP165=0,OR(CA165=1,AA165&lt;&gt;"",U165&lt;&gt;"",V165&lt;&gt;"",AB165&lt;&gt;"")),"manuell übersteuert; ","")&amp;IF(AND(BT165=0,R165=0),"Gebinde unbekannt / Stellmass fehlt; ","")&amp;IF(AND(BT165=0,N(V165)&lt;=0,N(Q165)&lt;=0),"Menge pro Gebinde fehlt (Ist = 1 Gebinde); ","")&amp;BO165)</f>
        <v/>
      </c>
      <c r="BH165" s="55"/>
      <c r="BI165" s="55"/>
      <c r="BJ165" s="62"/>
      <c r="BK165" s="57" t="n">
        <v>7</v>
      </c>
      <c r="BL165" s="57" t="n">
        <v>11</v>
      </c>
      <c r="BM165" s="56" t="n">
        <v>1134.27</v>
      </c>
      <c r="BN165" s="57" t="n">
        <v>28</v>
      </c>
      <c r="BO165" s="55"/>
      <c r="BP165" s="60" t="n">
        <v>0</v>
      </c>
      <c r="BQ165" s="60" t="n">
        <v>165</v>
      </c>
      <c r="BR165" s="55" t="str">
        <f aca="false">IF(U165&lt;&gt;"",UPPER(TRIM(U165)),IF(BU165=1,UPPER(VLOOKUP(T165,Parameter!$I$27:$K$29,2,0)),IF(P165="","LOSE",P165)))</f>
        <v>S71</v>
      </c>
      <c r="BS165" s="57" t="n">
        <f aca="false">IF(BR165="LOSE",1,IF(N(V165)&gt;0,V165,IF(BU165=1,MAX(1,N(VLOOKUP(T165,Parameter!$I$27:$K$29,3,0)),H165,N(N165)),IF(N(Q165)&gt;0,Q165,MAX(1,H165)))))</f>
        <v>15</v>
      </c>
      <c r="BT165" s="60" t="n">
        <f aca="false">IF(BR165="LOSE",1,0)</f>
        <v>0</v>
      </c>
      <c r="BU165" s="60" t="n">
        <f aca="false">IF(AND(U165="",OR(P165="",P165="LOSE"),T165&lt;&gt;"",N(S165)&lt;=0,ISNUMBER(MATCH(T165,Parameter!$I$27:$I$29,0))),1,0)</f>
        <v>0</v>
      </c>
      <c r="BV165" s="55" t="str">
        <f aca="false">IF(AND(Parameter!$B$19="Ja",E165&lt;&gt;"",ISNUMBER(MATCH(E165,Parameter!$I$35:$I$52,0))),VLOOKUP(E165,Parameter!$I$35:$J$52,2,0),IFERROR(VLOOKUP(D165,Parameter!$A$35:$C$64,2,0),"Nein"))</f>
        <v>2+3</v>
      </c>
      <c r="BW165" s="59" t="n">
        <f aca="false">IF(BT165=0,0,IF(N(S165)&gt;0,S165,IFERROR(VLOOKUP(D165,Parameter!$A$35:$C$64,3,0)+0,0)))</f>
        <v>0</v>
      </c>
      <c r="BX165" s="55" t="n">
        <f aca="false">IF(AA165&lt;&gt;"",AA165,Z165)</f>
        <v>2</v>
      </c>
      <c r="BY165" s="55" t="str">
        <f aca="false">IF(BX165=1,"L1",IF(OR(BX165=2,BX165=3),"L23",IF(BX165="Aussen","Aussen","-")))</f>
        <v>L23</v>
      </c>
      <c r="BZ165" s="66" t="n">
        <f aca="false">IF(N(AB165)&gt;0,AB165,0)</f>
        <v>0</v>
      </c>
      <c r="CA165" s="60" t="n">
        <f aca="false">IF(ISNUMBER(AE165),1,0)</f>
        <v>0</v>
      </c>
      <c r="CB165" s="57" t="n">
        <f aca="false">N(AE165)</f>
        <v>0</v>
      </c>
      <c r="CC165" s="57" t="n">
        <f aca="false">N(M165)+N(N165)</f>
        <v>24</v>
      </c>
      <c r="CD165" s="57" t="n">
        <f aca="false">ROUNDUP(H165/BS165,0)</f>
        <v>2</v>
      </c>
      <c r="CE165" s="57" t="n">
        <f aca="false">ROUNDUP(CB165/BS165,0)</f>
        <v>0</v>
      </c>
      <c r="CF165" s="60" t="n">
        <f aca="false">IF(BT165=1,0,IFERROR(VLOOKUP(BR165,'Gebinde-Kategorie'!$A$5:$M$45,5,0)+0,0))</f>
        <v>20</v>
      </c>
      <c r="CG165" s="60" t="n">
        <f aca="false">IFERROR(IF(OR(BX165=1,BX165=2,BX165=3),N(INDEX(Parameter!$I$5:$I$7,BX165)),0),0)</f>
        <v>0</v>
      </c>
      <c r="CH165" s="59" t="n">
        <f aca="false">IF(AND(Parameter!$B$21="Ja",ISNUMBER(W165),N(X165)&gt;0),IFERROR(N(INDEX(Parameter!$L$5:$L$7,W165))*INDEX(Parameter!$E$5:$E$7,W165)*X165/SUMIFS($X$7:$X$1843,$W$7:$W$1843,W165),0),0)</f>
        <v>0</v>
      </c>
    </row>
    <row r="166" customFormat="false" ht="15" hidden="false" customHeight="false" outlineLevel="0" collapsed="false">
      <c r="A166" s="55" t="s">
        <v>539</v>
      </c>
      <c r="B166" s="55" t="s">
        <v>540</v>
      </c>
      <c r="C166" s="55" t="s">
        <v>164</v>
      </c>
      <c r="D166" s="55" t="s">
        <v>173</v>
      </c>
      <c r="E166" s="55" t="s">
        <v>370</v>
      </c>
      <c r="F166" s="55" t="s">
        <v>218</v>
      </c>
      <c r="G166" s="56" t="n">
        <v>314.61</v>
      </c>
      <c r="H166" s="57" t="n">
        <f aca="false">MAX(0,IF(AND(Parameter!$B$21="Ja",ISNUMBER(Y166)),Y166,IF(Parameter!$B$20="Jahresanfang 2025 + Export",BL166+BK166,BK166)))</f>
        <v>5</v>
      </c>
      <c r="I166" s="57" t="n">
        <f aca="false">H166*G166</f>
        <v>1573.05</v>
      </c>
      <c r="J166" s="57" t="n">
        <f aca="false">BN166*Parameter!$B$18</f>
        <v>17</v>
      </c>
      <c r="K166" s="58" t="n">
        <v>1.5</v>
      </c>
      <c r="L166" s="59" t="n">
        <v>11.3333333333333</v>
      </c>
      <c r="M166" s="57" t="n">
        <v>1</v>
      </c>
      <c r="N166" s="57" t="n">
        <v>2</v>
      </c>
      <c r="O166" s="60" t="n">
        <v>14</v>
      </c>
      <c r="P166" s="55" t="s">
        <v>168</v>
      </c>
      <c r="Q166" s="57"/>
      <c r="R166" s="60" t="n">
        <f aca="false">IF(BT166=1,0,IFERROR(VLOOKUP(BR166,'Gebinde-Kategorie'!$A$5:$M$45,13,0)+0,0))</f>
        <v>3</v>
      </c>
      <c r="S166" s="61"/>
      <c r="T166" s="62" t="s">
        <v>189</v>
      </c>
      <c r="U166" s="62"/>
      <c r="V166" s="62"/>
      <c r="W166" s="55"/>
      <c r="X166" s="57"/>
      <c r="Y166" s="57"/>
      <c r="Z166" s="55" t="str">
        <f aca="false">IF(A166="","",IF(AND(Parameter!$B$21="Ja",ISNUMBER(W166)),W166,IF(BV166="2+3",IF(ISNUMBER(SEARCH("grosser Artikel",BO166)),2,IFERROR(VLOOKUP(BR166,Parameter!$F$35:$G$64,2,0),2)),IF(OR(BV166="Nein",BV166=""),"-",BV166))))</f>
        <v>-</v>
      </c>
      <c r="AA166" s="62"/>
      <c r="AB166" s="63"/>
      <c r="AC166" s="57" t="n">
        <f aca="false">AR166</f>
        <v>10</v>
      </c>
      <c r="AD166" s="57" t="n">
        <f aca="false">MAX(AR166,H166)</f>
        <v>10</v>
      </c>
      <c r="AE166" s="64"/>
      <c r="AF166" s="57" t="n">
        <f aca="false">IF(LEFT(Cockpit!$C$5,1)="A",H166,IF(CA166=1,CB166,IF(LEFT(Cockpit!$C$5,1)="B",AJ166,MAX(AJ166,H166))))</f>
        <v>5</v>
      </c>
      <c r="AG166" s="57" t="n">
        <f aca="false">IF(BT166=1,0,ROUNDUP(AF166/BS166,0))</f>
        <v>1</v>
      </c>
      <c r="AH166" s="59" t="n">
        <f aca="false">IF(CH166&gt;0,CH166*MAX(1,AF166/X166),IF(BT166=1,IF(AF166&lt;=0,0,BW166*MAX(1,IF(H166&gt;0,AF166/H166,1))),IF(R166&gt;0,AG166/R166,0))/MAX(0.1,N(Parameter!$M$21)))</f>
        <v>0.333333333333333</v>
      </c>
      <c r="AI166" s="57" t="n">
        <f aca="false">AF166*G166</f>
        <v>1573.05</v>
      </c>
      <c r="AJ166" s="57" t="n">
        <f aca="false">ROUNDUP(MAX(J166/IF(BZ166&gt;0,BZ166,MAX(0.1,N(Cockpit!$C$6))),CC166)/BS166,0)*BS166</f>
        <v>10</v>
      </c>
      <c r="AK166" s="58" t="n">
        <f aca="false">IF(AH166&gt;0,J166/AH166,-1)</f>
        <v>51</v>
      </c>
      <c r="AL166" s="58" t="str">
        <f aca="false">IF(AND(OR(BY166="L1",BY166="L23"),AH166&gt;0),SUMIFS($AH$7:$AH$1843,$BY$7:$BY$1843,BY166,$AK$7:$AK$1843,"&gt;"&amp;AK166)+SUMIFS($AH$7:$AH$1843,$BY$7:$BY$1843,BY166,$AK$7:$AK$1843,AK166,$BQ$7:$BQ$1843,"&lt;="&amp;BQ166),"")</f>
        <v/>
      </c>
      <c r="AM166" s="65" t="n">
        <f aca="false">IF(AL166="",0,MAX(0,MIN(1,(IF(BY166="L1",Parameter!$E$5,Parameter!$E$6+Parameter!$E$7)-(AL166-AH166))/AH166)))</f>
        <v>0</v>
      </c>
      <c r="AN166" s="57" t="n">
        <f aca="false">IF(LEFT(Cockpit!$I$5,1)="A",H166,IF(CA166=1,CB166,IF(LEFT(Cockpit!$I$5,1)="B",AR166,MAX(AR166,H166))))</f>
        <v>10</v>
      </c>
      <c r="AO166" s="57" t="n">
        <f aca="false">IF(BT166=1,0,ROUNDUP(AN166/BS166,0))</f>
        <v>2</v>
      </c>
      <c r="AP166" s="59" t="n">
        <f aca="false">IF(CH166&gt;0,CH166*MAX(1,AN166/X166),IF(BT166=1,IF(AN166&lt;=0,0,BW166*MAX(1,IF(H166&gt;0,AN166/H166,1))),IF(R166&gt;0,AO166/R166,0))/MAX(0.1,N(Parameter!$M$21)))</f>
        <v>0.666666666666667</v>
      </c>
      <c r="AQ166" s="57" t="n">
        <f aca="false">AN166*G166</f>
        <v>3146.1</v>
      </c>
      <c r="AR166" s="57" t="n">
        <f aca="false">ROUNDUP(MAX(J166/IF(BZ166&gt;0,BZ166,MAX(0.1,N(Cockpit!$I$6))),CC166)/BS166,0)*BS166</f>
        <v>10</v>
      </c>
      <c r="AS166" s="58" t="n">
        <f aca="false">IF(AP166&gt;0,J166/AP166,-1)</f>
        <v>25.5</v>
      </c>
      <c r="AT166" s="58" t="str">
        <f aca="false">IF(AND(OR(BY166="L1",BY166="L23"),AP166&gt;0),SUMIFS($AP$7:$AP$1843,$BY$7:$BY$1843,BY166,$AS$7:$AS$1843,"&gt;"&amp;AS166)+SUMIFS($AP$7:$AP$1843,$BY$7:$BY$1843,BY166,$AS$7:$AS$1843,AS166,$BQ$7:$BQ$1843,"&lt;="&amp;BQ166),"")</f>
        <v/>
      </c>
      <c r="AU166" s="65" t="n">
        <f aca="false">IF(AT166="",0,MAX(0,MIN(1,(IF(BY166="L1",Parameter!$E$5,Parameter!$E$6+Parameter!$E$7)-(AT166-AP166))/AP166)))</f>
        <v>0</v>
      </c>
      <c r="AV166" s="57" t="n">
        <f aca="false">IF(LEFT(Cockpit!$O$5,1)="A",H166,IF(CA166=1,CB166,IF(LEFT(Cockpit!$O$5,1)="B",AZ166,MAX(AZ166,H166))))</f>
        <v>10</v>
      </c>
      <c r="AW166" s="57" t="n">
        <f aca="false">IF(BT166=1,0,ROUNDUP(AV166/BS166,0))</f>
        <v>2</v>
      </c>
      <c r="AX166" s="59" t="n">
        <f aca="false">IF(CH166&gt;0,CH166*MAX(1,AV166/X166),IF(BT166=1,IF(AV166&lt;=0,0,BW166*MAX(1,IF(H166&gt;0,AV166/H166,1))),IF(R166&gt;0,AW166/R166,0))/MAX(0.1,N(Parameter!$M$21)))</f>
        <v>0.666666666666667</v>
      </c>
      <c r="AY166" s="57" t="n">
        <f aca="false">AV166*G166</f>
        <v>3146.1</v>
      </c>
      <c r="AZ166" s="57" t="n">
        <f aca="false">ROUNDUP(MAX(J166/IF(BZ166&gt;0,BZ166,MAX(0.1,N(Cockpit!$O$6))),CC166)/BS166,0)*BS166</f>
        <v>10</v>
      </c>
      <c r="BA166" s="58" t="n">
        <f aca="false">IF(AX166&gt;0,J166/AX166,-1)</f>
        <v>25.5</v>
      </c>
      <c r="BB166" s="58" t="str">
        <f aca="false">IF(AND(OR(BY166="L1",BY166="L23"),AX166&gt;0),SUMIFS($AX$7:$AX$1843,$BY$7:$BY$1843,BY166,$BA$7:$BA$1843,"&gt;"&amp;BA166)+SUMIFS($AX$7:$AX$1843,$BY$7:$BY$1843,BY166,$BA$7:$BA$1843,BA166,$BQ$7:$BQ$1843,"&lt;="&amp;BQ166),"")</f>
        <v/>
      </c>
      <c r="BC166" s="65" t="n">
        <f aca="false">IF(BB166="",0,MAX(0,MIN(1,(IF(BY166="L1",Parameter!$E$5,Parameter!$E$6+Parameter!$E$7)-(BB166-AX166))/AX166)))</f>
        <v>0</v>
      </c>
      <c r="BD166" s="55" t="str">
        <f aca="false">IF(AH166&lt;=0,"",IF(BY166="Aussen","Aussenlager",IF(BY166="-","Nicht im Lift",IF(AM166&gt;=1,"Lift",IF(AM166&lt;=0,"Aussenlager","teilweise")))))</f>
        <v>Nicht im Lift</v>
      </c>
      <c r="BE166" s="55" t="str">
        <f aca="false">IF(AP166&lt;=0,"",IF(BY166="Aussen","Aussenlager",IF(BY166="-","Nicht im Lift",IF(AU166&gt;=1,"Lift",IF(AU166&lt;=0,"Aussenlager","teilweise")))))</f>
        <v>Nicht im Lift</v>
      </c>
      <c r="BF166" s="55" t="str">
        <f aca="false">IF(AX166&lt;=0,"",IF(BY166="Aussen","Aussenlager",IF(BY166="-","Nicht im Lift",IF(BC166&gt;=1,"Lift",IF(BC166&lt;=0,"Aussenlager","teilweise")))))</f>
        <v>Nicht im Lift</v>
      </c>
      <c r="BG166" s="55" t="str">
        <f aca="false">IF(A166="","",IF(BP166=1,"Neu; ","")&amp;IF(AND(BP166=0,BK166&lt;0),"negativer Bestand (Export "&amp;BK166&amp;"); ","")&amp;IF(J166&lt;=0,"Kein Verbrauch; ","")&amp;IF(CH166&gt;0,"Lift "&amp;W166&amp;" lt. Liftbericht (Fach "&amp;X166&amp;" Stk); ",IF(BU166=1,"Gebinde geschätzt ("&amp;T166&amp;"); ",IF(BT166=1,"Lose – Tablare geschätzt; ","")))&amp;IF(H166&gt;AR166,"Überbestand "&amp;ROUND(H166-AR166,0)&amp;" Stk / CHF "&amp;ROUND((H166-AR166)*G166,0)&amp;"; ","")&amp;IF(AND(CA166=1,CB166&lt;CC166),"MAX &lt; MB+LG; ","")&amp;IF(AND(CG166&gt;0,CF166*10&gt;CG166),"zu hoch für Tablar; ","")&amp;IF(AND(BP166=0,OR(CA166=1,AA166&lt;&gt;"",U166&lt;&gt;"",V166&lt;&gt;"",AB166&lt;&gt;"")),"manuell übersteuert; ","")&amp;IF(AND(BT166=0,R166=0),"Gebinde unbekannt / Stellmass fehlt; ","")&amp;IF(AND(BT166=0,N(V166)&lt;=0,N(Q166)&lt;=0),"Menge pro Gebinde fehlt (Ist = 1 Gebinde); ","")&amp;BO166)</f>
        <v>Gebinde geschätzt (Gross); Menge pro Gebinde fehlt (Ist = 1 Gebinde); </v>
      </c>
      <c r="BH166" s="55"/>
      <c r="BI166" s="55"/>
      <c r="BJ166" s="62"/>
      <c r="BK166" s="57" t="n">
        <v>3</v>
      </c>
      <c r="BL166" s="57" t="n">
        <v>2</v>
      </c>
      <c r="BM166" s="56" t="n">
        <v>1123.95</v>
      </c>
      <c r="BN166" s="57" t="n">
        <v>17</v>
      </c>
      <c r="BO166" s="55"/>
      <c r="BP166" s="60" t="n">
        <v>0</v>
      </c>
      <c r="BQ166" s="60" t="n">
        <v>166</v>
      </c>
      <c r="BR166" s="55" t="str">
        <f aca="false">IF(U166&lt;&gt;"",UPPER(TRIM(U166)),IF(BU166=1,UPPER(VLOOKUP(T166,Parameter!$I$27:$K$29,2,0)),IF(P166="","LOSE",P166)))</f>
        <v>S81</v>
      </c>
      <c r="BS166" s="57" t="n">
        <f aca="false">IF(BR166="LOSE",1,IF(N(V166)&gt;0,V166,IF(BU166=1,MAX(1,N(VLOOKUP(T166,Parameter!$I$27:$K$29,3,0)),H166,N(N166)),IF(N(Q166)&gt;0,Q166,MAX(1,H166)))))</f>
        <v>5</v>
      </c>
      <c r="BT166" s="60" t="n">
        <f aca="false">IF(BR166="LOSE",1,0)</f>
        <v>0</v>
      </c>
      <c r="BU166" s="60" t="n">
        <f aca="false">IF(AND(U166="",OR(P166="",P166="LOSE"),T166&lt;&gt;"",N(S166)&lt;=0,ISNUMBER(MATCH(T166,Parameter!$I$27:$I$29,0))),1,0)</f>
        <v>1</v>
      </c>
      <c r="BV166" s="55" t="str">
        <f aca="false">IF(AND(Parameter!$B$19="Ja",E166&lt;&gt;"",ISNUMBER(MATCH(E166,Parameter!$I$35:$I$52,0))),VLOOKUP(E166,Parameter!$I$35:$J$52,2,0),IFERROR(VLOOKUP(D166,Parameter!$A$35:$C$64,2,0),"Nein"))</f>
        <v>Nein</v>
      </c>
      <c r="BW166" s="59" t="n">
        <f aca="false">IF(BT166=0,0,IF(N(S166)&gt;0,S166,IFERROR(VLOOKUP(D166,Parameter!$A$35:$C$64,3,0)+0,0)))</f>
        <v>0</v>
      </c>
      <c r="BX166" s="55" t="str">
        <f aca="false">IF(AA166&lt;&gt;"",AA166,Z166)</f>
        <v>-</v>
      </c>
      <c r="BY166" s="55" t="str">
        <f aca="false">IF(BX166=1,"L1",IF(OR(BX166=2,BX166=3),"L23",IF(BX166="Aussen","Aussen","-")))</f>
        <v>-</v>
      </c>
      <c r="BZ166" s="66" t="n">
        <f aca="false">IF(N(AB166)&gt;0,AB166,0)</f>
        <v>0</v>
      </c>
      <c r="CA166" s="60" t="n">
        <f aca="false">IF(ISNUMBER(AE166),1,0)</f>
        <v>0</v>
      </c>
      <c r="CB166" s="57" t="n">
        <f aca="false">N(AE166)</f>
        <v>0</v>
      </c>
      <c r="CC166" s="57" t="n">
        <f aca="false">N(M166)+N(N166)</f>
        <v>3</v>
      </c>
      <c r="CD166" s="57" t="n">
        <f aca="false">ROUNDUP(H166/BS166,0)</f>
        <v>1</v>
      </c>
      <c r="CE166" s="57" t="n">
        <f aca="false">ROUNDUP(CB166/BS166,0)</f>
        <v>0</v>
      </c>
      <c r="CF166" s="60" t="n">
        <f aca="false">IF(BT166=1,0,IFERROR(VLOOKUP(BR166,'Gebinde-Kategorie'!$A$5:$M$45,5,0)+0,0))</f>
        <v>20</v>
      </c>
      <c r="CG166" s="60" t="n">
        <f aca="false">IFERROR(IF(OR(BX166=1,BX166=2,BX166=3),N(INDEX(Parameter!$I$5:$I$7,BX166)),0),0)</f>
        <v>0</v>
      </c>
      <c r="CH166" s="59" t="n">
        <f aca="false">IF(AND(Parameter!$B$21="Ja",ISNUMBER(W166),N(X166)&gt;0),IFERROR(N(INDEX(Parameter!$L$5:$L$7,W166))*INDEX(Parameter!$E$5:$E$7,W166)*X166/SUMIFS($X$7:$X$1843,$W$7:$W$1843,W166),0),0)</f>
        <v>0</v>
      </c>
    </row>
    <row r="167" customFormat="false" ht="15" hidden="false" customHeight="false" outlineLevel="0" collapsed="false">
      <c r="A167" s="55" t="s">
        <v>541</v>
      </c>
      <c r="B167" s="55" t="s">
        <v>542</v>
      </c>
      <c r="C167" s="55" t="s">
        <v>164</v>
      </c>
      <c r="D167" s="55" t="s">
        <v>184</v>
      </c>
      <c r="E167" s="55" t="s">
        <v>185</v>
      </c>
      <c r="F167" s="55" t="s">
        <v>218</v>
      </c>
      <c r="G167" s="56" t="n">
        <v>102.3</v>
      </c>
      <c r="H167" s="57" t="n">
        <f aca="false">MAX(0,IF(AND(Parameter!$B$21="Ja",ISNUMBER(Y167)),Y167,IF(Parameter!$B$20="Jahresanfang 2025 + Export",BL167+BK167,BK167)))</f>
        <v>18</v>
      </c>
      <c r="I167" s="57" t="n">
        <f aca="false">H167*G167</f>
        <v>1841.4</v>
      </c>
      <c r="J167" s="57" t="n">
        <f aca="false">BN167*Parameter!$B$18</f>
        <v>28</v>
      </c>
      <c r="K167" s="58" t="n">
        <v>13</v>
      </c>
      <c r="L167" s="59" t="n">
        <v>2.15384615384615</v>
      </c>
      <c r="M167" s="57" t="n">
        <v>1</v>
      </c>
      <c r="N167" s="57" t="n">
        <v>30</v>
      </c>
      <c r="O167" s="60" t="n">
        <v>21</v>
      </c>
      <c r="P167" s="55" t="s">
        <v>302</v>
      </c>
      <c r="Q167" s="57" t="n">
        <v>7</v>
      </c>
      <c r="R167" s="60" t="n">
        <f aca="false">IF(BT167=1,0,IFERROR(VLOOKUP(BR167,'Gebinde-Kategorie'!$A$5:$M$45,13,0)+0,0))</f>
        <v>26</v>
      </c>
      <c r="S167" s="61"/>
      <c r="T167" s="62"/>
      <c r="U167" s="62"/>
      <c r="V167" s="62"/>
      <c r="W167" s="55"/>
      <c r="X167" s="57"/>
      <c r="Y167" s="57"/>
      <c r="Z167" s="55" t="n">
        <f aca="false">IF(A167="","",IF(AND(Parameter!$B$21="Ja",ISNUMBER(W167)),W167,IF(BV167="2+3",IF(ISNUMBER(SEARCH("grosser Artikel",BO167)),2,IFERROR(VLOOKUP(BR167,Parameter!$F$35:$G$64,2,0),2)),IF(OR(BV167="Nein",BV167=""),"-",BV167))))</f>
        <v>3</v>
      </c>
      <c r="AA167" s="62"/>
      <c r="AB167" s="63"/>
      <c r="AC167" s="57" t="n">
        <f aca="false">AR167</f>
        <v>35</v>
      </c>
      <c r="AD167" s="57" t="n">
        <f aca="false">MAX(AR167,H167)</f>
        <v>35</v>
      </c>
      <c r="AE167" s="64"/>
      <c r="AF167" s="57" t="n">
        <f aca="false">IF(LEFT(Cockpit!$C$5,1)="A",H167,IF(CA167=1,CB167,IF(LEFT(Cockpit!$C$5,1)="B",AJ167,MAX(AJ167,H167))))</f>
        <v>18</v>
      </c>
      <c r="AG167" s="57" t="n">
        <f aca="false">IF(BT167=1,0,ROUNDUP(AF167/BS167,0))</f>
        <v>3</v>
      </c>
      <c r="AH167" s="59" t="n">
        <f aca="false">IF(CH167&gt;0,CH167*MAX(1,AF167/X167),IF(BT167=1,IF(AF167&lt;=0,0,BW167*MAX(1,IF(H167&gt;0,AF167/H167,1))),IF(R167&gt;0,AG167/R167,0))/MAX(0.1,N(Parameter!$M$21)))</f>
        <v>0.115384615384615</v>
      </c>
      <c r="AI167" s="57" t="n">
        <f aca="false">AF167*G167</f>
        <v>1841.4</v>
      </c>
      <c r="AJ167" s="57" t="n">
        <f aca="false">ROUNDUP(MAX(J167/IF(BZ167&gt;0,BZ167,MAX(0.1,N(Cockpit!$C$6))),CC167)/BS167,0)*BS167</f>
        <v>35</v>
      </c>
      <c r="AK167" s="58" t="n">
        <f aca="false">IF(AH167&gt;0,J167/AH167,-1)</f>
        <v>242.666666666667</v>
      </c>
      <c r="AL167" s="58" t="n">
        <f aca="false">IF(AND(OR(BY167="L1",BY167="L23"),AH167&gt;0),SUMIFS($AH$7:$AH$1843,$BY$7:$BY$1843,BY167,$AK$7:$AK$1843,"&gt;"&amp;AK167)+SUMIFS($AH$7:$AH$1843,$BY$7:$BY$1843,BY167,$AK$7:$AK$1843,AK167,$BQ$7:$BQ$1843,"&lt;="&amp;BQ167),"")</f>
        <v>29.9004425526165</v>
      </c>
      <c r="AM167" s="65" t="n">
        <f aca="false">IF(AL167="",0,MAX(0,MIN(1,(IF(BY167="L1",Parameter!$E$5,Parameter!$E$6+Parameter!$E$7)-(AL167-AH167))/AH167)))</f>
        <v>1</v>
      </c>
      <c r="AN167" s="57" t="n">
        <f aca="false">IF(LEFT(Cockpit!$I$5,1)="A",H167,IF(CA167=1,CB167,IF(LEFT(Cockpit!$I$5,1)="B",AR167,MAX(AR167,H167))))</f>
        <v>35</v>
      </c>
      <c r="AO167" s="57" t="n">
        <f aca="false">IF(BT167=1,0,ROUNDUP(AN167/BS167,0))</f>
        <v>5</v>
      </c>
      <c r="AP167" s="59" t="n">
        <f aca="false">IF(CH167&gt;0,CH167*MAX(1,AN167/X167),IF(BT167=1,IF(AN167&lt;=0,0,BW167*MAX(1,IF(H167&gt;0,AN167/H167,1))),IF(R167&gt;0,AO167/R167,0))/MAX(0.1,N(Parameter!$M$21)))</f>
        <v>0.192307692307692</v>
      </c>
      <c r="AQ167" s="57" t="n">
        <f aca="false">AN167*G167</f>
        <v>3580.5</v>
      </c>
      <c r="AR167" s="57" t="n">
        <f aca="false">ROUNDUP(MAX(J167/IF(BZ167&gt;0,BZ167,MAX(0.1,N(Cockpit!$I$6))),CC167)/BS167,0)*BS167</f>
        <v>35</v>
      </c>
      <c r="AS167" s="58" t="n">
        <f aca="false">IF(AP167&gt;0,J167/AP167,-1)</f>
        <v>145.6</v>
      </c>
      <c r="AT167" s="58" t="n">
        <f aca="false">IF(AND(OR(BY167="L1",BY167="L23"),AP167&gt;0),SUMIFS($AP$7:$AP$1843,$BY$7:$BY$1843,BY167,$AS$7:$AS$1843,"&gt;"&amp;AS167)+SUMIFS($AP$7:$AP$1843,$BY$7:$BY$1843,BY167,$AS$7:$AS$1843,AS167,$BQ$7:$BQ$1843,"&lt;="&amp;BQ167),"")</f>
        <v>49.3050403702578</v>
      </c>
      <c r="AU167" s="65" t="n">
        <f aca="false">IF(AT167="",0,MAX(0,MIN(1,(IF(BY167="L1",Parameter!$E$5,Parameter!$E$6+Parameter!$E$7)-(AT167-AP167))/AP167)))</f>
        <v>1</v>
      </c>
      <c r="AV167" s="57" t="n">
        <f aca="false">IF(LEFT(Cockpit!$O$5,1)="A",H167,IF(CA167=1,CB167,IF(LEFT(Cockpit!$O$5,1)="B",AZ167,MAX(AZ167,H167))))</f>
        <v>35</v>
      </c>
      <c r="AW167" s="57" t="n">
        <f aca="false">IF(BT167=1,0,ROUNDUP(AV167/BS167,0))</f>
        <v>5</v>
      </c>
      <c r="AX167" s="59" t="n">
        <f aca="false">IF(CH167&gt;0,CH167*MAX(1,AV167/X167),IF(BT167=1,IF(AV167&lt;=0,0,BW167*MAX(1,IF(H167&gt;0,AV167/H167,1))),IF(R167&gt;0,AW167/R167,0))/MAX(0.1,N(Parameter!$M$21)))</f>
        <v>0.192307692307692</v>
      </c>
      <c r="AY167" s="57" t="n">
        <f aca="false">AV167*G167</f>
        <v>3580.5</v>
      </c>
      <c r="AZ167" s="57" t="n">
        <f aca="false">ROUNDUP(MAX(J167/IF(BZ167&gt;0,BZ167,MAX(0.1,N(Cockpit!$O$6))),CC167)/BS167,0)*BS167</f>
        <v>35</v>
      </c>
      <c r="BA167" s="58" t="n">
        <f aca="false">IF(AX167&gt;0,J167/AX167,-1)</f>
        <v>145.6</v>
      </c>
      <c r="BB167" s="58" t="n">
        <f aca="false">IF(AND(OR(BY167="L1",BY167="L23"),AX167&gt;0),SUMIFS($AX$7:$AX$1843,$BY$7:$BY$1843,BY167,$BA$7:$BA$1843,"&gt;"&amp;BA167)+SUMIFS($AX$7:$AX$1843,$BY$7:$BY$1843,BY167,$BA$7:$BA$1843,BA167,$BQ$7:$BQ$1843,"&lt;="&amp;BQ167),"")</f>
        <v>44.8848772000946</v>
      </c>
      <c r="BC167" s="65" t="n">
        <f aca="false">IF(BB167="",0,MAX(0,MIN(1,(IF(BY167="L1",Parameter!$E$5,Parameter!$E$6+Parameter!$E$7)-(BB167-AX167))/AX167)))</f>
        <v>1</v>
      </c>
      <c r="BD167" s="55" t="str">
        <f aca="false">IF(AH167&lt;=0,"",IF(BY167="Aussen","Aussenlager",IF(BY167="-","Nicht im Lift",IF(AM167&gt;=1,"Lift",IF(AM167&lt;=0,"Aussenlager","teilweise")))))</f>
        <v>Lift</v>
      </c>
      <c r="BE167" s="55" t="str">
        <f aca="false">IF(AP167&lt;=0,"",IF(BY167="Aussen","Aussenlager",IF(BY167="-","Nicht im Lift",IF(AU167&gt;=1,"Lift",IF(AU167&lt;=0,"Aussenlager","teilweise")))))</f>
        <v>Lift</v>
      </c>
      <c r="BF167" s="55" t="str">
        <f aca="false">IF(AX167&lt;=0,"",IF(BY167="Aussen","Aussenlager",IF(BY167="-","Nicht im Lift",IF(BC167&gt;=1,"Lift",IF(BC167&lt;=0,"Aussenlager","teilweise")))))</f>
        <v>Lift</v>
      </c>
      <c r="BG167" s="55" t="str">
        <f aca="false">IF(A167="","",IF(BP167=1,"Neu; ","")&amp;IF(AND(BP167=0,BK167&lt;0),"negativer Bestand (Export "&amp;BK167&amp;"); ","")&amp;IF(J167&lt;=0,"Kein Verbrauch; ","")&amp;IF(CH167&gt;0,"Lift "&amp;W167&amp;" lt. Liftbericht (Fach "&amp;X167&amp;" Stk); ",IF(BU167=1,"Gebinde geschätzt ("&amp;T167&amp;"); ",IF(BT167=1,"Lose – Tablare geschätzt; ","")))&amp;IF(H167&gt;AR167,"Überbestand "&amp;ROUND(H167-AR167,0)&amp;" Stk / CHF "&amp;ROUND((H167-AR167)*G167,0)&amp;"; ","")&amp;IF(AND(CA167=1,CB167&lt;CC167),"MAX &lt; MB+LG; ","")&amp;IF(AND(CG167&gt;0,CF167*10&gt;CG167),"zu hoch für Tablar; ","")&amp;IF(AND(BP167=0,OR(CA167=1,AA167&lt;&gt;"",U167&lt;&gt;"",V167&lt;&gt;"",AB167&lt;&gt;"")),"manuell übersteuert; ","")&amp;IF(AND(BT167=0,R167=0),"Gebinde unbekannt / Stellmass fehlt; ","")&amp;IF(AND(BT167=0,N(V167)&lt;=0,N(Q167)&lt;=0),"Menge pro Gebinde fehlt (Ist = 1 Gebinde); ","")&amp;BO167)</f>
        <v/>
      </c>
      <c r="BH167" s="55"/>
      <c r="BI167" s="55"/>
      <c r="BJ167" s="62"/>
      <c r="BK167" s="57" t="n">
        <v>10</v>
      </c>
      <c r="BL167" s="57" t="n">
        <v>8</v>
      </c>
      <c r="BM167" s="56" t="n">
        <v>1120.12</v>
      </c>
      <c r="BN167" s="57" t="n">
        <v>28</v>
      </c>
      <c r="BO167" s="55"/>
      <c r="BP167" s="60" t="n">
        <v>0</v>
      </c>
      <c r="BQ167" s="60" t="n">
        <v>167</v>
      </c>
      <c r="BR167" s="55" t="str">
        <f aca="false">IF(U167&lt;&gt;"",UPPER(TRIM(U167)),IF(BU167=1,UPPER(VLOOKUP(T167,Parameter!$I$27:$K$29,2,0)),IF(P167="","LOSE",P167)))</f>
        <v>S51</v>
      </c>
      <c r="BS167" s="57" t="n">
        <f aca="false">IF(BR167="LOSE",1,IF(N(V167)&gt;0,V167,IF(BU167=1,MAX(1,N(VLOOKUP(T167,Parameter!$I$27:$K$29,3,0)),H167,N(N167)),IF(N(Q167)&gt;0,Q167,MAX(1,H167)))))</f>
        <v>7</v>
      </c>
      <c r="BT167" s="60" t="n">
        <f aca="false">IF(BR167="LOSE",1,0)</f>
        <v>0</v>
      </c>
      <c r="BU167" s="60" t="n">
        <f aca="false">IF(AND(U167="",OR(P167="",P167="LOSE"),T167&lt;&gt;"",N(S167)&lt;=0,ISNUMBER(MATCH(T167,Parameter!$I$27:$I$29,0))),1,0)</f>
        <v>0</v>
      </c>
      <c r="BV167" s="55" t="str">
        <f aca="false">IF(AND(Parameter!$B$19="Ja",E167&lt;&gt;"",ISNUMBER(MATCH(E167,Parameter!$I$35:$I$52,0))),VLOOKUP(E167,Parameter!$I$35:$J$52,2,0),IFERROR(VLOOKUP(D167,Parameter!$A$35:$C$64,2,0),"Nein"))</f>
        <v>2+3</v>
      </c>
      <c r="BW167" s="59" t="n">
        <f aca="false">IF(BT167=0,0,IF(N(S167)&gt;0,S167,IFERROR(VLOOKUP(D167,Parameter!$A$35:$C$64,3,0)+0,0)))</f>
        <v>0</v>
      </c>
      <c r="BX167" s="55" t="n">
        <f aca="false">IF(AA167&lt;&gt;"",AA167,Z167)</f>
        <v>3</v>
      </c>
      <c r="BY167" s="55" t="str">
        <f aca="false">IF(BX167=1,"L1",IF(OR(BX167=2,BX167=3),"L23",IF(BX167="Aussen","Aussen","-")))</f>
        <v>L23</v>
      </c>
      <c r="BZ167" s="66" t="n">
        <f aca="false">IF(N(AB167)&gt;0,AB167,0)</f>
        <v>0</v>
      </c>
      <c r="CA167" s="60" t="n">
        <f aca="false">IF(ISNUMBER(AE167),1,0)</f>
        <v>0</v>
      </c>
      <c r="CB167" s="57" t="n">
        <f aca="false">N(AE167)</f>
        <v>0</v>
      </c>
      <c r="CC167" s="57" t="n">
        <f aca="false">N(M167)+N(N167)</f>
        <v>31</v>
      </c>
      <c r="CD167" s="57" t="n">
        <f aca="false">ROUNDUP(H167/BS167,0)</f>
        <v>3</v>
      </c>
      <c r="CE167" s="57" t="n">
        <f aca="false">ROUNDUP(CB167/BS167,0)</f>
        <v>0</v>
      </c>
      <c r="CF167" s="60" t="n">
        <f aca="false">IF(BT167=1,0,IFERROR(VLOOKUP(BR167,'Gebinde-Kategorie'!$A$5:$M$45,5,0)+0,0))</f>
        <v>11</v>
      </c>
      <c r="CG167" s="60" t="n">
        <f aca="false">IFERROR(IF(OR(BX167=1,BX167=2,BX167=3),N(INDEX(Parameter!$I$5:$I$7,BX167)),0),0)</f>
        <v>0</v>
      </c>
      <c r="CH167" s="59" t="n">
        <f aca="false">IF(AND(Parameter!$B$21="Ja",ISNUMBER(W167),N(X167)&gt;0),IFERROR(N(INDEX(Parameter!$L$5:$L$7,W167))*INDEX(Parameter!$E$5:$E$7,W167)*X167/SUMIFS($X$7:$X$1843,$W$7:$W$1843,W167),0),0)</f>
        <v>0</v>
      </c>
    </row>
    <row r="168" customFormat="false" ht="15" hidden="false" customHeight="false" outlineLevel="0" collapsed="false">
      <c r="A168" s="55" t="s">
        <v>543</v>
      </c>
      <c r="B168" s="55" t="s">
        <v>544</v>
      </c>
      <c r="C168" s="55" t="s">
        <v>164</v>
      </c>
      <c r="D168" s="55" t="s">
        <v>184</v>
      </c>
      <c r="E168" s="55" t="s">
        <v>185</v>
      </c>
      <c r="F168" s="55" t="s">
        <v>218</v>
      </c>
      <c r="G168" s="56" t="n">
        <v>14.58</v>
      </c>
      <c r="H168" s="57" t="n">
        <f aca="false">MAX(0,IF(AND(Parameter!$B$21="Ja",ISNUMBER(Y168)),Y168,IF(Parameter!$B$20="Jahresanfang 2025 + Export",BL168+BK168,BK168)))</f>
        <v>130</v>
      </c>
      <c r="I168" s="57" t="n">
        <f aca="false">H168*G168</f>
        <v>1895.4</v>
      </c>
      <c r="J168" s="57" t="n">
        <f aca="false">BN168*Parameter!$B$18</f>
        <v>151</v>
      </c>
      <c r="K168" s="58" t="n">
        <v>44</v>
      </c>
      <c r="L168" s="59" t="n">
        <v>3.43181818181818</v>
      </c>
      <c r="M168" s="57" t="n">
        <v>8</v>
      </c>
      <c r="N168" s="57" t="n">
        <v>150</v>
      </c>
      <c r="O168" s="60" t="n">
        <v>28</v>
      </c>
      <c r="P168" s="55" t="s">
        <v>421</v>
      </c>
      <c r="Q168" s="57" t="n">
        <v>76</v>
      </c>
      <c r="R168" s="60" t="n">
        <f aca="false">IF(BT168=1,0,IFERROR(VLOOKUP(BR168,'Gebinde-Kategorie'!$A$5:$M$45,13,0)+0,0))</f>
        <v>132</v>
      </c>
      <c r="S168" s="61"/>
      <c r="T168" s="62"/>
      <c r="U168" s="62"/>
      <c r="V168" s="62"/>
      <c r="W168" s="55"/>
      <c r="X168" s="57"/>
      <c r="Y168" s="57"/>
      <c r="Z168" s="55" t="n">
        <f aca="false">IF(A168="","",IF(AND(Parameter!$B$21="Ja",ISNUMBER(W168)),W168,IF(BV168="2+3",IF(ISNUMBER(SEARCH("grosser Artikel",BO168)),2,IFERROR(VLOOKUP(BR168,Parameter!$F$35:$G$64,2,0),2)),IF(OR(BV168="Nein",BV168=""),"-",BV168))))</f>
        <v>3</v>
      </c>
      <c r="AA168" s="62"/>
      <c r="AB168" s="63"/>
      <c r="AC168" s="57" t="n">
        <f aca="false">AR168</f>
        <v>228</v>
      </c>
      <c r="AD168" s="57" t="n">
        <f aca="false">MAX(AR168,H168)</f>
        <v>228</v>
      </c>
      <c r="AE168" s="64"/>
      <c r="AF168" s="57" t="n">
        <f aca="false">IF(LEFT(Cockpit!$C$5,1)="A",H168,IF(CA168=1,CB168,IF(LEFT(Cockpit!$C$5,1)="B",AJ168,MAX(AJ168,H168))))</f>
        <v>130</v>
      </c>
      <c r="AG168" s="57" t="n">
        <f aca="false">IF(BT168=1,0,ROUNDUP(AF168/BS168,0))</f>
        <v>2</v>
      </c>
      <c r="AH168" s="59" t="n">
        <f aca="false">IF(CH168&gt;0,CH168*MAX(1,AF168/X168),IF(BT168=1,IF(AF168&lt;=0,0,BW168*MAX(1,IF(H168&gt;0,AF168/H168,1))),IF(R168&gt;0,AG168/R168,0))/MAX(0.1,N(Parameter!$M$21)))</f>
        <v>0.0151515151515152</v>
      </c>
      <c r="AI168" s="57" t="n">
        <f aca="false">AF168*G168</f>
        <v>1895.4</v>
      </c>
      <c r="AJ168" s="57" t="n">
        <f aca="false">ROUNDUP(MAX(J168/IF(BZ168&gt;0,BZ168,MAX(0.1,N(Cockpit!$C$6))),CC168)/BS168,0)*BS168</f>
        <v>228</v>
      </c>
      <c r="AK168" s="58" t="n">
        <f aca="false">IF(AH168&gt;0,J168/AH168,-1)</f>
        <v>9966</v>
      </c>
      <c r="AL168" s="58" t="n">
        <f aca="false">IF(AND(OR(BY168="L1",BY168="L23"),AH168&gt;0),SUMIFS($AH$7:$AH$1843,$BY$7:$BY$1843,BY168,$AK$7:$AK$1843,"&gt;"&amp;AK168)+SUMIFS($AH$7:$AH$1843,$BY$7:$BY$1843,BY168,$AK$7:$AK$1843,AK168,$BQ$7:$BQ$1843,"&lt;="&amp;BQ168),"")</f>
        <v>5.36758893280632</v>
      </c>
      <c r="AM168" s="65" t="n">
        <f aca="false">IF(AL168="",0,MAX(0,MIN(1,(IF(BY168="L1",Parameter!$E$5,Parameter!$E$6+Parameter!$E$7)-(AL168-AH168))/AH168)))</f>
        <v>1</v>
      </c>
      <c r="AN168" s="57" t="n">
        <f aca="false">IF(LEFT(Cockpit!$I$5,1)="A",H168,IF(CA168=1,CB168,IF(LEFT(Cockpit!$I$5,1)="B",AR168,MAX(AR168,H168))))</f>
        <v>228</v>
      </c>
      <c r="AO168" s="57" t="n">
        <f aca="false">IF(BT168=1,0,ROUNDUP(AN168/BS168,0))</f>
        <v>3</v>
      </c>
      <c r="AP168" s="59" t="n">
        <f aca="false">IF(CH168&gt;0,CH168*MAX(1,AN168/X168),IF(BT168=1,IF(AN168&lt;=0,0,BW168*MAX(1,IF(H168&gt;0,AN168/H168,1))),IF(R168&gt;0,AO168/R168,0))/MAX(0.1,N(Parameter!$M$21)))</f>
        <v>0.0227272727272727</v>
      </c>
      <c r="AQ168" s="57" t="n">
        <f aca="false">AN168*G168</f>
        <v>3324.24</v>
      </c>
      <c r="AR168" s="57" t="n">
        <f aca="false">ROUNDUP(MAX(J168/IF(BZ168&gt;0,BZ168,MAX(0.1,N(Cockpit!$I$6))),CC168)/BS168,0)*BS168</f>
        <v>228</v>
      </c>
      <c r="AS168" s="58" t="n">
        <f aca="false">IF(AP168&gt;0,J168/AP168,-1)</f>
        <v>6644</v>
      </c>
      <c r="AT168" s="58" t="n">
        <f aca="false">IF(AND(OR(BY168="L1",BY168="L23"),AP168&gt;0),SUMIFS($AP$7:$AP$1843,$BY$7:$BY$1843,BY168,$AS$7:$AS$1843,"&gt;"&amp;AS168)+SUMIFS($AP$7:$AP$1843,$BY$7:$BY$1843,BY168,$AS$7:$AS$1843,AS168,$BQ$7:$BQ$1843,"&lt;="&amp;BQ168),"")</f>
        <v>10.0301678997331</v>
      </c>
      <c r="AU168" s="65" t="n">
        <f aca="false">IF(AT168="",0,MAX(0,MIN(1,(IF(BY168="L1",Parameter!$E$5,Parameter!$E$6+Parameter!$E$7)-(AT168-AP168))/AP168)))</f>
        <v>1</v>
      </c>
      <c r="AV168" s="57" t="n">
        <f aca="false">IF(LEFT(Cockpit!$O$5,1)="A",H168,IF(CA168=1,CB168,IF(LEFT(Cockpit!$O$5,1)="B",AZ168,MAX(AZ168,H168))))</f>
        <v>228</v>
      </c>
      <c r="AW168" s="57" t="n">
        <f aca="false">IF(BT168=1,0,ROUNDUP(AV168/BS168,0))</f>
        <v>3</v>
      </c>
      <c r="AX168" s="59" t="n">
        <f aca="false">IF(CH168&gt;0,CH168*MAX(1,AV168/X168),IF(BT168=1,IF(AV168&lt;=0,0,BW168*MAX(1,IF(H168&gt;0,AV168/H168,1))),IF(R168&gt;0,AW168/R168,0))/MAX(0.1,N(Parameter!$M$21)))</f>
        <v>0.0227272727272727</v>
      </c>
      <c r="AY168" s="57" t="n">
        <f aca="false">AV168*G168</f>
        <v>3324.24</v>
      </c>
      <c r="AZ168" s="57" t="n">
        <f aca="false">ROUNDUP(MAX(J168/IF(BZ168&gt;0,BZ168,MAX(0.1,N(Cockpit!$O$6))),CC168)/BS168,0)*BS168</f>
        <v>228</v>
      </c>
      <c r="BA168" s="58" t="n">
        <f aca="false">IF(AX168&gt;0,J168/AX168,-1)</f>
        <v>6644</v>
      </c>
      <c r="BB168" s="58" t="n">
        <f aca="false">IF(AND(OR(BY168="L1",BY168="L23"),AX168&gt;0),SUMIFS($AX$7:$AX$1843,$BY$7:$BY$1843,BY168,$BA$7:$BA$1843,"&gt;"&amp;BA168)+SUMIFS($AX$7:$AX$1843,$BY$7:$BY$1843,BY168,$BA$7:$BA$1843,BA168,$BQ$7:$BQ$1843,"&lt;="&amp;BQ168),"")</f>
        <v>9.43051755008277</v>
      </c>
      <c r="BC168" s="65" t="n">
        <f aca="false">IF(BB168="",0,MAX(0,MIN(1,(IF(BY168="L1",Parameter!$E$5,Parameter!$E$6+Parameter!$E$7)-(BB168-AX168))/AX168)))</f>
        <v>1</v>
      </c>
      <c r="BD168" s="55" t="str">
        <f aca="false">IF(AH168&lt;=0,"",IF(BY168="Aussen","Aussenlager",IF(BY168="-","Nicht im Lift",IF(AM168&gt;=1,"Lift",IF(AM168&lt;=0,"Aussenlager","teilweise")))))</f>
        <v>Lift</v>
      </c>
      <c r="BE168" s="55" t="str">
        <f aca="false">IF(AP168&lt;=0,"",IF(BY168="Aussen","Aussenlager",IF(BY168="-","Nicht im Lift",IF(AU168&gt;=1,"Lift",IF(AU168&lt;=0,"Aussenlager","teilweise")))))</f>
        <v>Lift</v>
      </c>
      <c r="BF168" s="55" t="str">
        <f aca="false">IF(AX168&lt;=0,"",IF(BY168="Aussen","Aussenlager",IF(BY168="-","Nicht im Lift",IF(BC168&gt;=1,"Lift",IF(BC168&lt;=0,"Aussenlager","teilweise")))))</f>
        <v>Lift</v>
      </c>
      <c r="BG168" s="55" t="str">
        <f aca="false">IF(A168="","",IF(BP168=1,"Neu; ","")&amp;IF(AND(BP168=0,BK168&lt;0),"negativer Bestand (Export "&amp;BK168&amp;"); ","")&amp;IF(J168&lt;=0,"Kein Verbrauch; ","")&amp;IF(CH168&gt;0,"Lift "&amp;W168&amp;" lt. Liftbericht (Fach "&amp;X168&amp;" Stk); ",IF(BU168=1,"Gebinde geschätzt ("&amp;T168&amp;"); ",IF(BT168=1,"Lose – Tablare geschätzt; ","")))&amp;IF(H168&gt;AR168,"Überbestand "&amp;ROUND(H168-AR168,0)&amp;" Stk / CHF "&amp;ROUND((H168-AR168)*G168,0)&amp;"; ","")&amp;IF(AND(CA168=1,CB168&lt;CC168),"MAX &lt; MB+LG; ","")&amp;IF(AND(CG168&gt;0,CF168*10&gt;CG168),"zu hoch für Tablar; ","")&amp;IF(AND(BP168=0,OR(CA168=1,AA168&lt;&gt;"",U168&lt;&gt;"",V168&lt;&gt;"",AB168&lt;&gt;"")),"manuell übersteuert; ","")&amp;IF(AND(BT168=0,R168=0),"Gebinde unbekannt / Stellmass fehlt; ","")&amp;IF(AND(BT168=0,N(V168)&lt;=0,N(Q168)&lt;=0),"Menge pro Gebinde fehlt (Ist = 1 Gebinde); ","")&amp;BO168)</f>
        <v/>
      </c>
      <c r="BH168" s="55"/>
      <c r="BI168" s="55"/>
      <c r="BJ168" s="62"/>
      <c r="BK168" s="57" t="n">
        <v>82</v>
      </c>
      <c r="BL168" s="57" t="n">
        <v>48</v>
      </c>
      <c r="BM168" s="56" t="n">
        <v>1112.04</v>
      </c>
      <c r="BN168" s="57" t="n">
        <v>151</v>
      </c>
      <c r="BO168" s="55"/>
      <c r="BP168" s="60" t="n">
        <v>0</v>
      </c>
      <c r="BQ168" s="60" t="n">
        <v>168</v>
      </c>
      <c r="BR168" s="55" t="str">
        <f aca="false">IF(U168&lt;&gt;"",UPPER(TRIM(U168)),IF(BU168=1,UPPER(VLOOKUP(T168,Parameter!$I$27:$K$29,2,0)),IF(P168="","LOSE",P168)))</f>
        <v>S32</v>
      </c>
      <c r="BS168" s="57" t="n">
        <f aca="false">IF(BR168="LOSE",1,IF(N(V168)&gt;0,V168,IF(BU168=1,MAX(1,N(VLOOKUP(T168,Parameter!$I$27:$K$29,3,0)),H168,N(N168)),IF(N(Q168)&gt;0,Q168,MAX(1,H168)))))</f>
        <v>76</v>
      </c>
      <c r="BT168" s="60" t="n">
        <f aca="false">IF(BR168="LOSE",1,0)</f>
        <v>0</v>
      </c>
      <c r="BU168" s="60" t="n">
        <f aca="false">IF(AND(U168="",OR(P168="",P168="LOSE"),T168&lt;&gt;"",N(S168)&lt;=0,ISNUMBER(MATCH(T168,Parameter!$I$27:$I$29,0))),1,0)</f>
        <v>0</v>
      </c>
      <c r="BV168" s="55" t="str">
        <f aca="false">IF(AND(Parameter!$B$19="Ja",E168&lt;&gt;"",ISNUMBER(MATCH(E168,Parameter!$I$35:$I$52,0))),VLOOKUP(E168,Parameter!$I$35:$J$52,2,0),IFERROR(VLOOKUP(D168,Parameter!$A$35:$C$64,2,0),"Nein"))</f>
        <v>2+3</v>
      </c>
      <c r="BW168" s="59" t="n">
        <f aca="false">IF(BT168=0,0,IF(N(S168)&gt;0,S168,IFERROR(VLOOKUP(D168,Parameter!$A$35:$C$64,3,0)+0,0)))</f>
        <v>0</v>
      </c>
      <c r="BX168" s="55" t="n">
        <f aca="false">IF(AA168&lt;&gt;"",AA168,Z168)</f>
        <v>3</v>
      </c>
      <c r="BY168" s="55" t="str">
        <f aca="false">IF(BX168=1,"L1",IF(OR(BX168=2,BX168=3),"L23",IF(BX168="Aussen","Aussen","-")))</f>
        <v>L23</v>
      </c>
      <c r="BZ168" s="66" t="n">
        <f aca="false">IF(N(AB168)&gt;0,AB168,0)</f>
        <v>0</v>
      </c>
      <c r="CA168" s="60" t="n">
        <f aca="false">IF(ISNUMBER(AE168),1,0)</f>
        <v>0</v>
      </c>
      <c r="CB168" s="57" t="n">
        <f aca="false">N(AE168)</f>
        <v>0</v>
      </c>
      <c r="CC168" s="57" t="n">
        <f aca="false">N(M168)+N(N168)</f>
        <v>158</v>
      </c>
      <c r="CD168" s="57" t="n">
        <f aca="false">ROUNDUP(H168/BS168,0)</f>
        <v>2</v>
      </c>
      <c r="CE168" s="57" t="n">
        <f aca="false">ROUNDUP(CB168/BS168,0)</f>
        <v>0</v>
      </c>
      <c r="CF168" s="60" t="n">
        <f aca="false">IF(BT168=1,0,IFERROR(VLOOKUP(BR168,'Gebinde-Kategorie'!$A$5:$M$45,5,0)+0,0))</f>
        <v>8</v>
      </c>
      <c r="CG168" s="60" t="n">
        <f aca="false">IFERROR(IF(OR(BX168=1,BX168=2,BX168=3),N(INDEX(Parameter!$I$5:$I$7,BX168)),0),0)</f>
        <v>0</v>
      </c>
      <c r="CH168" s="59" t="n">
        <f aca="false">IF(AND(Parameter!$B$21="Ja",ISNUMBER(W168),N(X168)&gt;0),IFERROR(N(INDEX(Parameter!$L$5:$L$7,W168))*INDEX(Parameter!$E$5:$E$7,W168)*X168/SUMIFS($X$7:$X$1843,$W$7:$W$1843,W168),0),0)</f>
        <v>0</v>
      </c>
    </row>
    <row r="169" customFormat="false" ht="15" hidden="false" customHeight="false" outlineLevel="0" collapsed="false">
      <c r="A169" s="55" t="s">
        <v>545</v>
      </c>
      <c r="B169" s="55" t="s">
        <v>546</v>
      </c>
      <c r="C169" s="55" t="s">
        <v>164</v>
      </c>
      <c r="D169" s="55" t="s">
        <v>184</v>
      </c>
      <c r="E169" s="55"/>
      <c r="F169" s="55" t="s">
        <v>218</v>
      </c>
      <c r="G169" s="56" t="n">
        <v>11.02</v>
      </c>
      <c r="H169" s="57" t="n">
        <f aca="false">MAX(0,IF(AND(Parameter!$B$21="Ja",ISNUMBER(Y169)),Y169,IF(Parameter!$B$20="Jahresanfang 2025 + Export",BL169+BK169,BK169)))</f>
        <v>100</v>
      </c>
      <c r="I169" s="57" t="n">
        <f aca="false">H169*G169</f>
        <v>1102</v>
      </c>
      <c r="J169" s="57" t="n">
        <f aca="false">BN169*Parameter!$B$18</f>
        <v>0</v>
      </c>
      <c r="K169" s="58" t="n">
        <v>0</v>
      </c>
      <c r="L169" s="59" t="n">
        <v>0</v>
      </c>
      <c r="M169" s="57" t="n">
        <v>0</v>
      </c>
      <c r="N169" s="57" t="n">
        <v>1</v>
      </c>
      <c r="O169" s="60" t="n">
        <v>9999</v>
      </c>
      <c r="P169" s="55" t="s">
        <v>168</v>
      </c>
      <c r="Q169" s="57"/>
      <c r="R169" s="60" t="n">
        <f aca="false">IF(BT169=1,0,IFERROR(VLOOKUP(BR169,'Gebinde-Kategorie'!$A$5:$M$45,13,0)+0,0))</f>
        <v>26</v>
      </c>
      <c r="S169" s="61"/>
      <c r="T169" s="62" t="s">
        <v>275</v>
      </c>
      <c r="U169" s="62"/>
      <c r="V169" s="62"/>
      <c r="W169" s="55"/>
      <c r="X169" s="57"/>
      <c r="Y169" s="57"/>
      <c r="Z169" s="55" t="n">
        <f aca="false">IF(A169="","",IF(AND(Parameter!$B$21="Ja",ISNUMBER(W169)),W169,IF(BV169="2+3",IF(ISNUMBER(SEARCH("grosser Artikel",BO169)),2,IFERROR(VLOOKUP(BR169,Parameter!$F$35:$G$64,2,0),2)),IF(OR(BV169="Nein",BV169=""),"-",BV169))))</f>
        <v>3</v>
      </c>
      <c r="AA169" s="62"/>
      <c r="AB169" s="63"/>
      <c r="AC169" s="57" t="n">
        <f aca="false">AR169</f>
        <v>100</v>
      </c>
      <c r="AD169" s="57" t="n">
        <f aca="false">MAX(AR169,H169)</f>
        <v>100</v>
      </c>
      <c r="AE169" s="64"/>
      <c r="AF169" s="57" t="n">
        <f aca="false">IF(LEFT(Cockpit!$C$5,1)="A",H169,IF(CA169=1,CB169,IF(LEFT(Cockpit!$C$5,1)="B",AJ169,MAX(AJ169,H169))))</f>
        <v>100</v>
      </c>
      <c r="AG169" s="57" t="n">
        <f aca="false">IF(BT169=1,0,ROUNDUP(AF169/BS169,0))</f>
        <v>1</v>
      </c>
      <c r="AH169" s="59" t="n">
        <f aca="false">IF(CH169&gt;0,CH169*MAX(1,AF169/X169),IF(BT169=1,IF(AF169&lt;=0,0,BW169*MAX(1,IF(H169&gt;0,AF169/H169,1))),IF(R169&gt;0,AG169/R169,0))/MAX(0.1,N(Parameter!$M$21)))</f>
        <v>0.0384615384615385</v>
      </c>
      <c r="AI169" s="57" t="n">
        <f aca="false">AF169*G169</f>
        <v>1102</v>
      </c>
      <c r="AJ169" s="57" t="n">
        <f aca="false">ROUNDUP(MAX(J169/IF(BZ169&gt;0,BZ169,MAX(0.1,N(Cockpit!$C$6))),CC169)/BS169,0)*BS169</f>
        <v>100</v>
      </c>
      <c r="AK169" s="58" t="n">
        <f aca="false">IF(AH169&gt;0,J169/AH169,-1)</f>
        <v>0</v>
      </c>
      <c r="AL169" s="58" t="n">
        <f aca="false">IF(AND(OR(BY169="L1",BY169="L23"),AH169&gt;0),SUMIFS($AH$7:$AH$1843,$BY$7:$BY$1843,BY169,$AK$7:$AK$1843,"&gt;"&amp;AK169)+SUMIFS($AH$7:$AH$1843,$BY$7:$BY$1843,BY169,$AK$7:$AK$1843,AK169,$BQ$7:$BQ$1843,"&lt;="&amp;BQ169),"")</f>
        <v>69.8945136988615</v>
      </c>
      <c r="AM169" s="65" t="n">
        <f aca="false">IF(AL169="",0,MAX(0,MIN(1,(IF(BY169="L1",Parameter!$E$5,Parameter!$E$6+Parameter!$E$7)-(AL169-AH169))/AH169)))</f>
        <v>1</v>
      </c>
      <c r="AN169" s="57" t="n">
        <f aca="false">IF(LEFT(Cockpit!$I$5,1)="A",H169,IF(CA169=1,CB169,IF(LEFT(Cockpit!$I$5,1)="B",AR169,MAX(AR169,H169))))</f>
        <v>100</v>
      </c>
      <c r="AO169" s="57" t="n">
        <f aca="false">IF(BT169=1,0,ROUNDUP(AN169/BS169,0))</f>
        <v>1</v>
      </c>
      <c r="AP169" s="59" t="n">
        <f aca="false">IF(CH169&gt;0,CH169*MAX(1,AN169/X169),IF(BT169=1,IF(AN169&lt;=0,0,BW169*MAX(1,IF(H169&gt;0,AN169/H169,1))),IF(R169&gt;0,AO169/R169,0))/MAX(0.1,N(Parameter!$M$21)))</f>
        <v>0.0384615384615385</v>
      </c>
      <c r="AQ169" s="57" t="n">
        <f aca="false">AN169*G169</f>
        <v>1102</v>
      </c>
      <c r="AR169" s="57" t="n">
        <f aca="false">ROUNDUP(MAX(J169/IF(BZ169&gt;0,BZ169,MAX(0.1,N(Cockpit!$I$6))),CC169)/BS169,0)*BS169</f>
        <v>100</v>
      </c>
      <c r="AS169" s="58" t="n">
        <f aca="false">IF(AP169&gt;0,J169/AP169,-1)</f>
        <v>0</v>
      </c>
      <c r="AT169" s="58" t="n">
        <f aca="false">IF(AND(OR(BY169="L1",BY169="L23"),AP169&gt;0),SUMIFS($AP$7:$AP$1843,$BY$7:$BY$1843,BY169,$AS$7:$AS$1843,"&gt;"&amp;AS169)+SUMIFS($AP$7:$AP$1843,$BY$7:$BY$1843,BY169,$AS$7:$AS$1843,AS169,$BQ$7:$BQ$1843,"&lt;="&amp;BQ169),"")</f>
        <v>109.318637883855</v>
      </c>
      <c r="AU169" s="65" t="n">
        <f aca="false">IF(AT169="",0,MAX(0,MIN(1,(IF(BY169="L1",Parameter!$E$5,Parameter!$E$6+Parameter!$E$7)-(AT169-AP169))/AP169)))</f>
        <v>0</v>
      </c>
      <c r="AV169" s="57" t="n">
        <f aca="false">IF(LEFT(Cockpit!$O$5,1)="A",H169,IF(CA169=1,CB169,IF(LEFT(Cockpit!$O$5,1)="B",AZ169,MAX(AZ169,H169))))</f>
        <v>100</v>
      </c>
      <c r="AW169" s="57" t="n">
        <f aca="false">IF(BT169=1,0,ROUNDUP(AV169/BS169,0))</f>
        <v>1</v>
      </c>
      <c r="AX169" s="59" t="n">
        <f aca="false">IF(CH169&gt;0,CH169*MAX(1,AV169/X169),IF(BT169=1,IF(AV169&lt;=0,0,BW169*MAX(1,IF(H169&gt;0,AV169/H169,1))),IF(R169&gt;0,AW169/R169,0))/MAX(0.1,N(Parameter!$M$21)))</f>
        <v>0.0384615384615385</v>
      </c>
      <c r="AY169" s="57" t="n">
        <f aca="false">AV169*G169</f>
        <v>1102</v>
      </c>
      <c r="AZ169" s="57" t="n">
        <f aca="false">ROUNDUP(MAX(J169/IF(BZ169&gt;0,BZ169,MAX(0.1,N(Cockpit!$O$6))),CC169)/BS169,0)*BS169</f>
        <v>100</v>
      </c>
      <c r="BA169" s="58" t="n">
        <f aca="false">IF(AX169&gt;0,J169/AX169,-1)</f>
        <v>0</v>
      </c>
      <c r="BB169" s="58" t="n">
        <f aca="false">IF(AND(OR(BY169="L1",BY169="L23"),AX169&gt;0),SUMIFS($AX$7:$AX$1843,$BY$7:$BY$1843,BY169,$BA$7:$BA$1843,"&gt;"&amp;BA169)+SUMIFS($AX$7:$AX$1843,$BY$7:$BY$1843,BY169,$BA$7:$BA$1843,BA169,$BQ$7:$BQ$1843,"&lt;="&amp;BQ169),"")</f>
        <v>100.148474713692</v>
      </c>
      <c r="BC169" s="65" t="n">
        <f aca="false">IF(BB169="",0,MAX(0,MIN(1,(IF(BY169="L1",Parameter!$E$5,Parameter!$E$6+Parameter!$E$7)-(BB169-AX169))/AX169)))</f>
        <v>0</v>
      </c>
      <c r="BD169" s="55" t="str">
        <f aca="false">IF(AH169&lt;=0,"",IF(BY169="Aussen","Aussenlager",IF(BY169="-","Nicht im Lift",IF(AM169&gt;=1,"Lift",IF(AM169&lt;=0,"Aussenlager","teilweise")))))</f>
        <v>Lift</v>
      </c>
      <c r="BE169" s="55" t="str">
        <f aca="false">IF(AP169&lt;=0,"",IF(BY169="Aussen","Aussenlager",IF(BY169="-","Nicht im Lift",IF(AU169&gt;=1,"Lift",IF(AU169&lt;=0,"Aussenlager","teilweise")))))</f>
        <v>Aussenlager</v>
      </c>
      <c r="BF169" s="55" t="str">
        <f aca="false">IF(AX169&lt;=0,"",IF(BY169="Aussen","Aussenlager",IF(BY169="-","Nicht im Lift",IF(BC169&gt;=1,"Lift",IF(BC169&lt;=0,"Aussenlager","teilweise")))))</f>
        <v>Aussenlager</v>
      </c>
      <c r="BG169" s="55" t="str">
        <f aca="false">IF(A169="","",IF(BP169=1,"Neu; ","")&amp;IF(AND(BP169=0,BK169&lt;0),"negativer Bestand (Export "&amp;BK169&amp;"); ","")&amp;IF(J169&lt;=0,"Kein Verbrauch; ","")&amp;IF(CH169&gt;0,"Lift "&amp;W169&amp;" lt. Liftbericht (Fach "&amp;X169&amp;" Stk); ",IF(BU169=1,"Gebinde geschätzt ("&amp;T169&amp;"); ",IF(BT169=1,"Lose – Tablare geschätzt; ","")))&amp;IF(H169&gt;AR169,"Überbestand "&amp;ROUND(H169-AR169,0)&amp;" Stk / CHF "&amp;ROUND((H169-AR169)*G169,0)&amp;"; ","")&amp;IF(AND(CA169=1,CB169&lt;CC169),"MAX &lt; MB+LG; ","")&amp;IF(AND(CG169&gt;0,CF169*10&gt;CG169),"zu hoch für Tablar; ","")&amp;IF(AND(BP169=0,OR(CA169=1,AA169&lt;&gt;"",U169&lt;&gt;"",V169&lt;&gt;"",AB169&lt;&gt;"")),"manuell übersteuert; ","")&amp;IF(AND(BT169=0,R169=0),"Gebinde unbekannt / Stellmass fehlt; ","")&amp;IF(AND(BT169=0,N(V169)&lt;=0,N(Q169)&lt;=0),"Menge pro Gebinde fehlt (Ist = 1 Gebinde); ","")&amp;BO169)</f>
        <v>Kein Verbrauch; Gebinde geschätzt (Klein); Menge pro Gebinde fehlt (Ist = 1 Gebinde); </v>
      </c>
      <c r="BH169" s="55"/>
      <c r="BI169" s="55"/>
      <c r="BJ169" s="62"/>
      <c r="BK169" s="57" t="n">
        <v>100</v>
      </c>
      <c r="BL169" s="57" t="n">
        <v>0</v>
      </c>
      <c r="BM169" s="56" t="n">
        <v>1102</v>
      </c>
      <c r="BN169" s="57" t="n">
        <v>0</v>
      </c>
      <c r="BO169" s="55"/>
      <c r="BP169" s="60" t="n">
        <v>0</v>
      </c>
      <c r="BQ169" s="60" t="n">
        <v>169</v>
      </c>
      <c r="BR169" s="55" t="str">
        <f aca="false">IF(U169&lt;&gt;"",UPPER(TRIM(U169)),IF(BU169=1,UPPER(VLOOKUP(T169,Parameter!$I$27:$K$29,2,0)),IF(P169="","LOSE",P169)))</f>
        <v>S51</v>
      </c>
      <c r="BS169" s="57" t="n">
        <f aca="false">IF(BR169="LOSE",1,IF(N(V169)&gt;0,V169,IF(BU169=1,MAX(1,N(VLOOKUP(T169,Parameter!$I$27:$K$29,3,0)),H169,N(N169)),IF(N(Q169)&gt;0,Q169,MAX(1,H169)))))</f>
        <v>100</v>
      </c>
      <c r="BT169" s="60" t="n">
        <f aca="false">IF(BR169="LOSE",1,0)</f>
        <v>0</v>
      </c>
      <c r="BU169" s="60" t="n">
        <f aca="false">IF(AND(U169="",OR(P169="",P169="LOSE"),T169&lt;&gt;"",N(S169)&lt;=0,ISNUMBER(MATCH(T169,Parameter!$I$27:$I$29,0))),1,0)</f>
        <v>1</v>
      </c>
      <c r="BV169" s="55" t="str">
        <f aca="false">IF(AND(Parameter!$B$19="Ja",E169&lt;&gt;"",ISNUMBER(MATCH(E169,Parameter!$I$35:$I$52,0))),VLOOKUP(E169,Parameter!$I$35:$J$52,2,0),IFERROR(VLOOKUP(D169,Parameter!$A$35:$C$64,2,0),"Nein"))</f>
        <v>2+3</v>
      </c>
      <c r="BW169" s="59" t="n">
        <f aca="false">IF(BT169=0,0,IF(N(S169)&gt;0,S169,IFERROR(VLOOKUP(D169,Parameter!$A$35:$C$64,3,0)+0,0)))</f>
        <v>0</v>
      </c>
      <c r="BX169" s="55" t="n">
        <f aca="false">IF(AA169&lt;&gt;"",AA169,Z169)</f>
        <v>3</v>
      </c>
      <c r="BY169" s="55" t="str">
        <f aca="false">IF(BX169=1,"L1",IF(OR(BX169=2,BX169=3),"L23",IF(BX169="Aussen","Aussen","-")))</f>
        <v>L23</v>
      </c>
      <c r="BZ169" s="66" t="n">
        <f aca="false">IF(N(AB169)&gt;0,AB169,0)</f>
        <v>0</v>
      </c>
      <c r="CA169" s="60" t="n">
        <f aca="false">IF(ISNUMBER(AE169),1,0)</f>
        <v>0</v>
      </c>
      <c r="CB169" s="57" t="n">
        <f aca="false">N(AE169)</f>
        <v>0</v>
      </c>
      <c r="CC169" s="57" t="n">
        <f aca="false">N(M169)+N(N169)</f>
        <v>1</v>
      </c>
      <c r="CD169" s="57" t="n">
        <f aca="false">ROUNDUP(H169/BS169,0)</f>
        <v>1</v>
      </c>
      <c r="CE169" s="57" t="n">
        <f aca="false">ROUNDUP(CB169/BS169,0)</f>
        <v>0</v>
      </c>
      <c r="CF169" s="60" t="n">
        <f aca="false">IF(BT169=1,0,IFERROR(VLOOKUP(BR169,'Gebinde-Kategorie'!$A$5:$M$45,5,0)+0,0))</f>
        <v>11</v>
      </c>
      <c r="CG169" s="60" t="n">
        <f aca="false">IFERROR(IF(OR(BX169=1,BX169=2,BX169=3),N(INDEX(Parameter!$I$5:$I$7,BX169)),0),0)</f>
        <v>0</v>
      </c>
      <c r="CH169" s="59" t="n">
        <f aca="false">IF(AND(Parameter!$B$21="Ja",ISNUMBER(W169),N(X169)&gt;0),IFERROR(N(INDEX(Parameter!$L$5:$L$7,W169))*INDEX(Parameter!$E$5:$E$7,W169)*X169/SUMIFS($X$7:$X$1843,$W$7:$W$1843,W169),0),0)</f>
        <v>0</v>
      </c>
    </row>
    <row r="170" customFormat="false" ht="15" hidden="false" customHeight="false" outlineLevel="0" collapsed="false">
      <c r="A170" s="55" t="s">
        <v>547</v>
      </c>
      <c r="B170" s="55" t="s">
        <v>548</v>
      </c>
      <c r="C170" s="55" t="s">
        <v>164</v>
      </c>
      <c r="D170" s="55" t="s">
        <v>184</v>
      </c>
      <c r="E170" s="55"/>
      <c r="F170" s="55" t="s">
        <v>218</v>
      </c>
      <c r="G170" s="56" t="n">
        <v>45.71</v>
      </c>
      <c r="H170" s="57" t="n">
        <f aca="false">MAX(0,IF(AND(Parameter!$B$21="Ja",ISNUMBER(Y170)),Y170,IF(Parameter!$B$20="Jahresanfang 2025 + Export",BL170+BK170,BK170)))</f>
        <v>24</v>
      </c>
      <c r="I170" s="57" t="n">
        <f aca="false">H170*G170</f>
        <v>1097.04</v>
      </c>
      <c r="J170" s="57" t="n">
        <f aca="false">BN170*Parameter!$B$18</f>
        <v>0</v>
      </c>
      <c r="K170" s="58" t="n">
        <v>0</v>
      </c>
      <c r="L170" s="59" t="n">
        <v>0</v>
      </c>
      <c r="M170" s="57" t="n">
        <v>0</v>
      </c>
      <c r="N170" s="57" t="n">
        <v>1</v>
      </c>
      <c r="O170" s="60" t="n">
        <v>9999</v>
      </c>
      <c r="P170" s="55" t="s">
        <v>168</v>
      </c>
      <c r="Q170" s="57"/>
      <c r="R170" s="60" t="n">
        <f aca="false">IF(BT170=1,0,IFERROR(VLOOKUP(BR170,'Gebinde-Kategorie'!$A$5:$M$45,13,0)+0,0))</f>
        <v>26</v>
      </c>
      <c r="S170" s="61"/>
      <c r="T170" s="62" t="s">
        <v>275</v>
      </c>
      <c r="U170" s="62"/>
      <c r="V170" s="62"/>
      <c r="W170" s="55"/>
      <c r="X170" s="57"/>
      <c r="Y170" s="57"/>
      <c r="Z170" s="55" t="n">
        <f aca="false">IF(A170="","",IF(AND(Parameter!$B$21="Ja",ISNUMBER(W170)),W170,IF(BV170="2+3",IF(ISNUMBER(SEARCH("grosser Artikel",BO170)),2,IFERROR(VLOOKUP(BR170,Parameter!$F$35:$G$64,2,0),2)),IF(OR(BV170="Nein",BV170=""),"-",BV170))))</f>
        <v>3</v>
      </c>
      <c r="AA170" s="62"/>
      <c r="AB170" s="63"/>
      <c r="AC170" s="57" t="n">
        <f aca="false">AR170</f>
        <v>24</v>
      </c>
      <c r="AD170" s="57" t="n">
        <f aca="false">MAX(AR170,H170)</f>
        <v>24</v>
      </c>
      <c r="AE170" s="64"/>
      <c r="AF170" s="57" t="n">
        <f aca="false">IF(LEFT(Cockpit!$C$5,1)="A",H170,IF(CA170=1,CB170,IF(LEFT(Cockpit!$C$5,1)="B",AJ170,MAX(AJ170,H170))))</f>
        <v>24</v>
      </c>
      <c r="AG170" s="57" t="n">
        <f aca="false">IF(BT170=1,0,ROUNDUP(AF170/BS170,0))</f>
        <v>1</v>
      </c>
      <c r="AH170" s="59" t="n">
        <f aca="false">IF(CH170&gt;0,CH170*MAX(1,AF170/X170),IF(BT170=1,IF(AF170&lt;=0,0,BW170*MAX(1,IF(H170&gt;0,AF170/H170,1))),IF(R170&gt;0,AG170/R170,0))/MAX(0.1,N(Parameter!$M$21)))</f>
        <v>0.0384615384615385</v>
      </c>
      <c r="AI170" s="57" t="n">
        <f aca="false">AF170*G170</f>
        <v>1097.04</v>
      </c>
      <c r="AJ170" s="57" t="n">
        <f aca="false">ROUNDUP(MAX(J170/IF(BZ170&gt;0,BZ170,MAX(0.1,N(Cockpit!$C$6))),CC170)/BS170,0)*BS170</f>
        <v>24</v>
      </c>
      <c r="AK170" s="58" t="n">
        <f aca="false">IF(AH170&gt;0,J170/AH170,-1)</f>
        <v>0</v>
      </c>
      <c r="AL170" s="58" t="n">
        <f aca="false">IF(AND(OR(BY170="L1",BY170="L23"),AH170&gt;0),SUMIFS($AH$7:$AH$1843,$BY$7:$BY$1843,BY170,$AK$7:$AK$1843,"&gt;"&amp;AK170)+SUMIFS($AH$7:$AH$1843,$BY$7:$BY$1843,BY170,$AK$7:$AK$1843,AK170,$BQ$7:$BQ$1843,"&lt;="&amp;BQ170),"")</f>
        <v>69.9329752373231</v>
      </c>
      <c r="AM170" s="65" t="n">
        <f aca="false">IF(AL170="",0,MAX(0,MIN(1,(IF(BY170="L1",Parameter!$E$5,Parameter!$E$6+Parameter!$E$7)-(AL170-AH170))/AH170)))</f>
        <v>1</v>
      </c>
      <c r="AN170" s="57" t="n">
        <f aca="false">IF(LEFT(Cockpit!$I$5,1)="A",H170,IF(CA170=1,CB170,IF(LEFT(Cockpit!$I$5,1)="B",AR170,MAX(AR170,H170))))</f>
        <v>24</v>
      </c>
      <c r="AO170" s="57" t="n">
        <f aca="false">IF(BT170=1,0,ROUNDUP(AN170/BS170,0))</f>
        <v>1</v>
      </c>
      <c r="AP170" s="59" t="n">
        <f aca="false">IF(CH170&gt;0,CH170*MAX(1,AN170/X170),IF(BT170=1,IF(AN170&lt;=0,0,BW170*MAX(1,IF(H170&gt;0,AN170/H170,1))),IF(R170&gt;0,AO170/R170,0))/MAX(0.1,N(Parameter!$M$21)))</f>
        <v>0.0384615384615385</v>
      </c>
      <c r="AQ170" s="57" t="n">
        <f aca="false">AN170*G170</f>
        <v>1097.04</v>
      </c>
      <c r="AR170" s="57" t="n">
        <f aca="false">ROUNDUP(MAX(J170/IF(BZ170&gt;0,BZ170,MAX(0.1,N(Cockpit!$I$6))),CC170)/BS170,0)*BS170</f>
        <v>24</v>
      </c>
      <c r="AS170" s="58" t="n">
        <f aca="false">IF(AP170&gt;0,J170/AP170,-1)</f>
        <v>0</v>
      </c>
      <c r="AT170" s="58" t="n">
        <f aca="false">IF(AND(OR(BY170="L1",BY170="L23"),AP170&gt;0),SUMIFS($AP$7:$AP$1843,$BY$7:$BY$1843,BY170,$AS$7:$AS$1843,"&gt;"&amp;AS170)+SUMIFS($AP$7:$AP$1843,$BY$7:$BY$1843,BY170,$AS$7:$AS$1843,AS170,$BQ$7:$BQ$1843,"&lt;="&amp;BQ170),"")</f>
        <v>109.357099422317</v>
      </c>
      <c r="AU170" s="65" t="n">
        <f aca="false">IF(AT170="",0,MAX(0,MIN(1,(IF(BY170="L1",Parameter!$E$5,Parameter!$E$6+Parameter!$E$7)-(AT170-AP170))/AP170)))</f>
        <v>0</v>
      </c>
      <c r="AV170" s="57" t="n">
        <f aca="false">IF(LEFT(Cockpit!$O$5,1)="A",H170,IF(CA170=1,CB170,IF(LEFT(Cockpit!$O$5,1)="B",AZ170,MAX(AZ170,H170))))</f>
        <v>24</v>
      </c>
      <c r="AW170" s="57" t="n">
        <f aca="false">IF(BT170=1,0,ROUNDUP(AV170/BS170,0))</f>
        <v>1</v>
      </c>
      <c r="AX170" s="59" t="n">
        <f aca="false">IF(CH170&gt;0,CH170*MAX(1,AV170/X170),IF(BT170=1,IF(AV170&lt;=0,0,BW170*MAX(1,IF(H170&gt;0,AV170/H170,1))),IF(R170&gt;0,AW170/R170,0))/MAX(0.1,N(Parameter!$M$21)))</f>
        <v>0.0384615384615385</v>
      </c>
      <c r="AY170" s="57" t="n">
        <f aca="false">AV170*G170</f>
        <v>1097.04</v>
      </c>
      <c r="AZ170" s="57" t="n">
        <f aca="false">ROUNDUP(MAX(J170/IF(BZ170&gt;0,BZ170,MAX(0.1,N(Cockpit!$O$6))),CC170)/BS170,0)*BS170</f>
        <v>24</v>
      </c>
      <c r="BA170" s="58" t="n">
        <f aca="false">IF(AX170&gt;0,J170/AX170,-1)</f>
        <v>0</v>
      </c>
      <c r="BB170" s="58" t="n">
        <f aca="false">IF(AND(OR(BY170="L1",BY170="L23"),AX170&gt;0),SUMIFS($AX$7:$AX$1843,$BY$7:$BY$1843,BY170,$BA$7:$BA$1843,"&gt;"&amp;BA170)+SUMIFS($AX$7:$AX$1843,$BY$7:$BY$1843,BY170,$BA$7:$BA$1843,BA170,$BQ$7:$BQ$1843,"&lt;="&amp;BQ170),"")</f>
        <v>100.186936252154</v>
      </c>
      <c r="BC170" s="65" t="n">
        <f aca="false">IF(BB170="",0,MAX(0,MIN(1,(IF(BY170="L1",Parameter!$E$5,Parameter!$E$6+Parameter!$E$7)-(BB170-AX170))/AX170)))</f>
        <v>0</v>
      </c>
      <c r="BD170" s="55" t="str">
        <f aca="false">IF(AH170&lt;=0,"",IF(BY170="Aussen","Aussenlager",IF(BY170="-","Nicht im Lift",IF(AM170&gt;=1,"Lift",IF(AM170&lt;=0,"Aussenlager","teilweise")))))</f>
        <v>Lift</v>
      </c>
      <c r="BE170" s="55" t="str">
        <f aca="false">IF(AP170&lt;=0,"",IF(BY170="Aussen","Aussenlager",IF(BY170="-","Nicht im Lift",IF(AU170&gt;=1,"Lift",IF(AU170&lt;=0,"Aussenlager","teilweise")))))</f>
        <v>Aussenlager</v>
      </c>
      <c r="BF170" s="55" t="str">
        <f aca="false">IF(AX170&lt;=0,"",IF(BY170="Aussen","Aussenlager",IF(BY170="-","Nicht im Lift",IF(BC170&gt;=1,"Lift",IF(BC170&lt;=0,"Aussenlager","teilweise")))))</f>
        <v>Aussenlager</v>
      </c>
      <c r="BG170" s="55" t="str">
        <f aca="false">IF(A170="","",IF(BP170=1,"Neu; ","")&amp;IF(AND(BP170=0,BK170&lt;0),"negativer Bestand (Export "&amp;BK170&amp;"); ","")&amp;IF(J170&lt;=0,"Kein Verbrauch; ","")&amp;IF(CH170&gt;0,"Lift "&amp;W170&amp;" lt. Liftbericht (Fach "&amp;X170&amp;" Stk); ",IF(BU170=1,"Gebinde geschätzt ("&amp;T170&amp;"); ",IF(BT170=1,"Lose – Tablare geschätzt; ","")))&amp;IF(H170&gt;AR170,"Überbestand "&amp;ROUND(H170-AR170,0)&amp;" Stk / CHF "&amp;ROUND((H170-AR170)*G170,0)&amp;"; ","")&amp;IF(AND(CA170=1,CB170&lt;CC170),"MAX &lt; MB+LG; ","")&amp;IF(AND(CG170&gt;0,CF170*10&gt;CG170),"zu hoch für Tablar; ","")&amp;IF(AND(BP170=0,OR(CA170=1,AA170&lt;&gt;"",U170&lt;&gt;"",V170&lt;&gt;"",AB170&lt;&gt;"")),"manuell übersteuert; ","")&amp;IF(AND(BT170=0,R170=0),"Gebinde unbekannt / Stellmass fehlt; ","")&amp;IF(AND(BT170=0,N(V170)&lt;=0,N(Q170)&lt;=0),"Menge pro Gebinde fehlt (Ist = 1 Gebinde); ","")&amp;BO170)</f>
        <v>Kein Verbrauch; Gebinde geschätzt (Klein); Menge pro Gebinde fehlt (Ist = 1 Gebinde); </v>
      </c>
      <c r="BH170" s="55"/>
      <c r="BI170" s="55"/>
      <c r="BJ170" s="62"/>
      <c r="BK170" s="57" t="n">
        <v>24</v>
      </c>
      <c r="BL170" s="57" t="n">
        <v>0</v>
      </c>
      <c r="BM170" s="56" t="n">
        <v>1097.04</v>
      </c>
      <c r="BN170" s="57" t="n">
        <v>0</v>
      </c>
      <c r="BO170" s="55"/>
      <c r="BP170" s="60" t="n">
        <v>0</v>
      </c>
      <c r="BQ170" s="60" t="n">
        <v>170</v>
      </c>
      <c r="BR170" s="55" t="str">
        <f aca="false">IF(U170&lt;&gt;"",UPPER(TRIM(U170)),IF(BU170=1,UPPER(VLOOKUP(T170,Parameter!$I$27:$K$29,2,0)),IF(P170="","LOSE",P170)))</f>
        <v>S51</v>
      </c>
      <c r="BS170" s="57" t="n">
        <f aca="false">IF(BR170="LOSE",1,IF(N(V170)&gt;0,V170,IF(BU170=1,MAX(1,N(VLOOKUP(T170,Parameter!$I$27:$K$29,3,0)),H170,N(N170)),IF(N(Q170)&gt;0,Q170,MAX(1,H170)))))</f>
        <v>24</v>
      </c>
      <c r="BT170" s="60" t="n">
        <f aca="false">IF(BR170="LOSE",1,0)</f>
        <v>0</v>
      </c>
      <c r="BU170" s="60" t="n">
        <f aca="false">IF(AND(U170="",OR(P170="",P170="LOSE"),T170&lt;&gt;"",N(S170)&lt;=0,ISNUMBER(MATCH(T170,Parameter!$I$27:$I$29,0))),1,0)</f>
        <v>1</v>
      </c>
      <c r="BV170" s="55" t="str">
        <f aca="false">IF(AND(Parameter!$B$19="Ja",E170&lt;&gt;"",ISNUMBER(MATCH(E170,Parameter!$I$35:$I$52,0))),VLOOKUP(E170,Parameter!$I$35:$J$52,2,0),IFERROR(VLOOKUP(D170,Parameter!$A$35:$C$64,2,0),"Nein"))</f>
        <v>2+3</v>
      </c>
      <c r="BW170" s="59" t="n">
        <f aca="false">IF(BT170=0,0,IF(N(S170)&gt;0,S170,IFERROR(VLOOKUP(D170,Parameter!$A$35:$C$64,3,0)+0,0)))</f>
        <v>0</v>
      </c>
      <c r="BX170" s="55" t="n">
        <f aca="false">IF(AA170&lt;&gt;"",AA170,Z170)</f>
        <v>3</v>
      </c>
      <c r="BY170" s="55" t="str">
        <f aca="false">IF(BX170=1,"L1",IF(OR(BX170=2,BX170=3),"L23",IF(BX170="Aussen","Aussen","-")))</f>
        <v>L23</v>
      </c>
      <c r="BZ170" s="66" t="n">
        <f aca="false">IF(N(AB170)&gt;0,AB170,0)</f>
        <v>0</v>
      </c>
      <c r="CA170" s="60" t="n">
        <f aca="false">IF(ISNUMBER(AE170),1,0)</f>
        <v>0</v>
      </c>
      <c r="CB170" s="57" t="n">
        <f aca="false">N(AE170)</f>
        <v>0</v>
      </c>
      <c r="CC170" s="57" t="n">
        <f aca="false">N(M170)+N(N170)</f>
        <v>1</v>
      </c>
      <c r="CD170" s="57" t="n">
        <f aca="false">ROUNDUP(H170/BS170,0)</f>
        <v>1</v>
      </c>
      <c r="CE170" s="57" t="n">
        <f aca="false">ROUNDUP(CB170/BS170,0)</f>
        <v>0</v>
      </c>
      <c r="CF170" s="60" t="n">
        <f aca="false">IF(BT170=1,0,IFERROR(VLOOKUP(BR170,'Gebinde-Kategorie'!$A$5:$M$45,5,0)+0,0))</f>
        <v>11</v>
      </c>
      <c r="CG170" s="60" t="n">
        <f aca="false">IFERROR(IF(OR(BX170=1,BX170=2,BX170=3),N(INDEX(Parameter!$I$5:$I$7,BX170)),0),0)</f>
        <v>0</v>
      </c>
      <c r="CH170" s="59" t="n">
        <f aca="false">IF(AND(Parameter!$B$21="Ja",ISNUMBER(W170),N(X170)&gt;0),IFERROR(N(INDEX(Parameter!$L$5:$L$7,W170))*INDEX(Parameter!$E$5:$E$7,W170)*X170/SUMIFS($X$7:$X$1843,$W$7:$W$1843,W170),0),0)</f>
        <v>0</v>
      </c>
    </row>
    <row r="171" customFormat="false" ht="15" hidden="false" customHeight="false" outlineLevel="0" collapsed="false">
      <c r="A171" s="55" t="s">
        <v>549</v>
      </c>
      <c r="B171" s="55" t="s">
        <v>548</v>
      </c>
      <c r="C171" s="55" t="s">
        <v>164</v>
      </c>
      <c r="D171" s="55" t="s">
        <v>184</v>
      </c>
      <c r="E171" s="55"/>
      <c r="F171" s="55" t="s">
        <v>218</v>
      </c>
      <c r="G171" s="56" t="n">
        <v>45.71</v>
      </c>
      <c r="H171" s="57" t="n">
        <f aca="false">MAX(0,IF(AND(Parameter!$B$21="Ja",ISNUMBER(Y171)),Y171,IF(Parameter!$B$20="Jahresanfang 2025 + Export",BL171+BK171,BK171)))</f>
        <v>24</v>
      </c>
      <c r="I171" s="57" t="n">
        <f aca="false">H171*G171</f>
        <v>1097.04</v>
      </c>
      <c r="J171" s="57" t="n">
        <f aca="false">BN171*Parameter!$B$18</f>
        <v>0</v>
      </c>
      <c r="K171" s="58" t="n">
        <v>0</v>
      </c>
      <c r="L171" s="59" t="n">
        <v>0</v>
      </c>
      <c r="M171" s="57" t="n">
        <v>0</v>
      </c>
      <c r="N171" s="57" t="n">
        <v>1</v>
      </c>
      <c r="O171" s="60" t="n">
        <v>9999</v>
      </c>
      <c r="P171" s="55" t="s">
        <v>168</v>
      </c>
      <c r="Q171" s="57"/>
      <c r="R171" s="60" t="n">
        <f aca="false">IF(BT171=1,0,IFERROR(VLOOKUP(BR171,'Gebinde-Kategorie'!$A$5:$M$45,13,0)+0,0))</f>
        <v>26</v>
      </c>
      <c r="S171" s="61"/>
      <c r="T171" s="62" t="s">
        <v>275</v>
      </c>
      <c r="U171" s="62"/>
      <c r="V171" s="62"/>
      <c r="W171" s="55"/>
      <c r="X171" s="57"/>
      <c r="Y171" s="57"/>
      <c r="Z171" s="55" t="n">
        <f aca="false">IF(A171="","",IF(AND(Parameter!$B$21="Ja",ISNUMBER(W171)),W171,IF(BV171="2+3",IF(ISNUMBER(SEARCH("grosser Artikel",BO171)),2,IFERROR(VLOOKUP(BR171,Parameter!$F$35:$G$64,2,0),2)),IF(OR(BV171="Nein",BV171=""),"-",BV171))))</f>
        <v>3</v>
      </c>
      <c r="AA171" s="62"/>
      <c r="AB171" s="63"/>
      <c r="AC171" s="57" t="n">
        <f aca="false">AR171</f>
        <v>24</v>
      </c>
      <c r="AD171" s="57" t="n">
        <f aca="false">MAX(AR171,H171)</f>
        <v>24</v>
      </c>
      <c r="AE171" s="64"/>
      <c r="AF171" s="57" t="n">
        <f aca="false">IF(LEFT(Cockpit!$C$5,1)="A",H171,IF(CA171=1,CB171,IF(LEFT(Cockpit!$C$5,1)="B",AJ171,MAX(AJ171,H171))))</f>
        <v>24</v>
      </c>
      <c r="AG171" s="57" t="n">
        <f aca="false">IF(BT171=1,0,ROUNDUP(AF171/BS171,0))</f>
        <v>1</v>
      </c>
      <c r="AH171" s="59" t="n">
        <f aca="false">IF(CH171&gt;0,CH171*MAX(1,AF171/X171),IF(BT171=1,IF(AF171&lt;=0,0,BW171*MAX(1,IF(H171&gt;0,AF171/H171,1))),IF(R171&gt;0,AG171/R171,0))/MAX(0.1,N(Parameter!$M$21)))</f>
        <v>0.0384615384615385</v>
      </c>
      <c r="AI171" s="57" t="n">
        <f aca="false">AF171*G171</f>
        <v>1097.04</v>
      </c>
      <c r="AJ171" s="57" t="n">
        <f aca="false">ROUNDUP(MAX(J171/IF(BZ171&gt;0,BZ171,MAX(0.1,N(Cockpit!$C$6))),CC171)/BS171,0)*BS171</f>
        <v>24</v>
      </c>
      <c r="AK171" s="58" t="n">
        <f aca="false">IF(AH171&gt;0,J171/AH171,-1)</f>
        <v>0</v>
      </c>
      <c r="AL171" s="58" t="n">
        <f aca="false">IF(AND(OR(BY171="L1",BY171="L23"),AH171&gt;0),SUMIFS($AH$7:$AH$1843,$BY$7:$BY$1843,BY171,$AK$7:$AK$1843,"&gt;"&amp;AK171)+SUMIFS($AH$7:$AH$1843,$BY$7:$BY$1843,BY171,$AK$7:$AK$1843,AK171,$BQ$7:$BQ$1843,"&lt;="&amp;BQ171),"")</f>
        <v>69.9714367757846</v>
      </c>
      <c r="AM171" s="65" t="n">
        <f aca="false">IF(AL171="",0,MAX(0,MIN(1,(IF(BY171="L1",Parameter!$E$5,Parameter!$E$6+Parameter!$E$7)-(AL171-AH171))/AH171)))</f>
        <v>1</v>
      </c>
      <c r="AN171" s="57" t="n">
        <f aca="false">IF(LEFT(Cockpit!$I$5,1)="A",H171,IF(CA171=1,CB171,IF(LEFT(Cockpit!$I$5,1)="B",AR171,MAX(AR171,H171))))</f>
        <v>24</v>
      </c>
      <c r="AO171" s="57" t="n">
        <f aca="false">IF(BT171=1,0,ROUNDUP(AN171/BS171,0))</f>
        <v>1</v>
      </c>
      <c r="AP171" s="59" t="n">
        <f aca="false">IF(CH171&gt;0,CH171*MAX(1,AN171/X171),IF(BT171=1,IF(AN171&lt;=0,0,BW171*MAX(1,IF(H171&gt;0,AN171/H171,1))),IF(R171&gt;0,AO171/R171,0))/MAX(0.1,N(Parameter!$M$21)))</f>
        <v>0.0384615384615385</v>
      </c>
      <c r="AQ171" s="57" t="n">
        <f aca="false">AN171*G171</f>
        <v>1097.04</v>
      </c>
      <c r="AR171" s="57" t="n">
        <f aca="false">ROUNDUP(MAX(J171/IF(BZ171&gt;0,BZ171,MAX(0.1,N(Cockpit!$I$6))),CC171)/BS171,0)*BS171</f>
        <v>24</v>
      </c>
      <c r="AS171" s="58" t="n">
        <f aca="false">IF(AP171&gt;0,J171/AP171,-1)</f>
        <v>0</v>
      </c>
      <c r="AT171" s="58" t="n">
        <f aca="false">IF(AND(OR(BY171="L1",BY171="L23"),AP171&gt;0),SUMIFS($AP$7:$AP$1843,$BY$7:$BY$1843,BY171,$AS$7:$AS$1843,"&gt;"&amp;AS171)+SUMIFS($AP$7:$AP$1843,$BY$7:$BY$1843,BY171,$AS$7:$AS$1843,AS171,$BQ$7:$BQ$1843,"&lt;="&amp;BQ171),"")</f>
        <v>109.395560960778</v>
      </c>
      <c r="AU171" s="65" t="n">
        <f aca="false">IF(AT171="",0,MAX(0,MIN(1,(IF(BY171="L1",Parameter!$E$5,Parameter!$E$6+Parameter!$E$7)-(AT171-AP171))/AP171)))</f>
        <v>0</v>
      </c>
      <c r="AV171" s="57" t="n">
        <f aca="false">IF(LEFT(Cockpit!$O$5,1)="A",H171,IF(CA171=1,CB171,IF(LEFT(Cockpit!$O$5,1)="B",AZ171,MAX(AZ171,H171))))</f>
        <v>24</v>
      </c>
      <c r="AW171" s="57" t="n">
        <f aca="false">IF(BT171=1,0,ROUNDUP(AV171/BS171,0))</f>
        <v>1</v>
      </c>
      <c r="AX171" s="59" t="n">
        <f aca="false">IF(CH171&gt;0,CH171*MAX(1,AV171/X171),IF(BT171=1,IF(AV171&lt;=0,0,BW171*MAX(1,IF(H171&gt;0,AV171/H171,1))),IF(R171&gt;0,AW171/R171,0))/MAX(0.1,N(Parameter!$M$21)))</f>
        <v>0.0384615384615385</v>
      </c>
      <c r="AY171" s="57" t="n">
        <f aca="false">AV171*G171</f>
        <v>1097.04</v>
      </c>
      <c r="AZ171" s="57" t="n">
        <f aca="false">ROUNDUP(MAX(J171/IF(BZ171&gt;0,BZ171,MAX(0.1,N(Cockpit!$O$6))),CC171)/BS171,0)*BS171</f>
        <v>24</v>
      </c>
      <c r="BA171" s="58" t="n">
        <f aca="false">IF(AX171&gt;0,J171/AX171,-1)</f>
        <v>0</v>
      </c>
      <c r="BB171" s="58" t="n">
        <f aca="false">IF(AND(OR(BY171="L1",BY171="L23"),AX171&gt;0),SUMIFS($AX$7:$AX$1843,$BY$7:$BY$1843,BY171,$BA$7:$BA$1843,"&gt;"&amp;BA171)+SUMIFS($AX$7:$AX$1843,$BY$7:$BY$1843,BY171,$BA$7:$BA$1843,BA171,$BQ$7:$BQ$1843,"&lt;="&amp;BQ171),"")</f>
        <v>100.225397790615</v>
      </c>
      <c r="BC171" s="65" t="n">
        <f aca="false">IF(BB171="",0,MAX(0,MIN(1,(IF(BY171="L1",Parameter!$E$5,Parameter!$E$6+Parameter!$E$7)-(BB171-AX171))/AX171)))</f>
        <v>0</v>
      </c>
      <c r="BD171" s="55" t="str">
        <f aca="false">IF(AH171&lt;=0,"",IF(BY171="Aussen","Aussenlager",IF(BY171="-","Nicht im Lift",IF(AM171&gt;=1,"Lift",IF(AM171&lt;=0,"Aussenlager","teilweise")))))</f>
        <v>Lift</v>
      </c>
      <c r="BE171" s="55" t="str">
        <f aca="false">IF(AP171&lt;=0,"",IF(BY171="Aussen","Aussenlager",IF(BY171="-","Nicht im Lift",IF(AU171&gt;=1,"Lift",IF(AU171&lt;=0,"Aussenlager","teilweise")))))</f>
        <v>Aussenlager</v>
      </c>
      <c r="BF171" s="55" t="str">
        <f aca="false">IF(AX171&lt;=0,"",IF(BY171="Aussen","Aussenlager",IF(BY171="-","Nicht im Lift",IF(BC171&gt;=1,"Lift",IF(BC171&lt;=0,"Aussenlager","teilweise")))))</f>
        <v>Aussenlager</v>
      </c>
      <c r="BG171" s="55" t="str">
        <f aca="false">IF(A171="","",IF(BP171=1,"Neu; ","")&amp;IF(AND(BP171=0,BK171&lt;0),"negativer Bestand (Export "&amp;BK171&amp;"); ","")&amp;IF(J171&lt;=0,"Kein Verbrauch; ","")&amp;IF(CH171&gt;0,"Lift "&amp;W171&amp;" lt. Liftbericht (Fach "&amp;X171&amp;" Stk); ",IF(BU171=1,"Gebinde geschätzt ("&amp;T171&amp;"); ",IF(BT171=1,"Lose – Tablare geschätzt; ","")))&amp;IF(H171&gt;AR171,"Überbestand "&amp;ROUND(H171-AR171,0)&amp;" Stk / CHF "&amp;ROUND((H171-AR171)*G171,0)&amp;"; ","")&amp;IF(AND(CA171=1,CB171&lt;CC171),"MAX &lt; MB+LG; ","")&amp;IF(AND(CG171&gt;0,CF171*10&gt;CG171),"zu hoch für Tablar; ","")&amp;IF(AND(BP171=0,OR(CA171=1,AA171&lt;&gt;"",U171&lt;&gt;"",V171&lt;&gt;"",AB171&lt;&gt;"")),"manuell übersteuert; ","")&amp;IF(AND(BT171=0,R171=0),"Gebinde unbekannt / Stellmass fehlt; ","")&amp;IF(AND(BT171=0,N(V171)&lt;=0,N(Q171)&lt;=0),"Menge pro Gebinde fehlt (Ist = 1 Gebinde); ","")&amp;BO171)</f>
        <v>Kein Verbrauch; Gebinde geschätzt (Klein); Menge pro Gebinde fehlt (Ist = 1 Gebinde); </v>
      </c>
      <c r="BH171" s="55"/>
      <c r="BI171" s="55"/>
      <c r="BJ171" s="62"/>
      <c r="BK171" s="57" t="n">
        <v>24</v>
      </c>
      <c r="BL171" s="57" t="n">
        <v>0</v>
      </c>
      <c r="BM171" s="56" t="n">
        <v>1097.04</v>
      </c>
      <c r="BN171" s="57" t="n">
        <v>0</v>
      </c>
      <c r="BO171" s="55"/>
      <c r="BP171" s="60" t="n">
        <v>0</v>
      </c>
      <c r="BQ171" s="60" t="n">
        <v>171</v>
      </c>
      <c r="BR171" s="55" t="str">
        <f aca="false">IF(U171&lt;&gt;"",UPPER(TRIM(U171)),IF(BU171=1,UPPER(VLOOKUP(T171,Parameter!$I$27:$K$29,2,0)),IF(P171="","LOSE",P171)))</f>
        <v>S51</v>
      </c>
      <c r="BS171" s="57" t="n">
        <f aca="false">IF(BR171="LOSE",1,IF(N(V171)&gt;0,V171,IF(BU171=1,MAX(1,N(VLOOKUP(T171,Parameter!$I$27:$K$29,3,0)),H171,N(N171)),IF(N(Q171)&gt;0,Q171,MAX(1,H171)))))</f>
        <v>24</v>
      </c>
      <c r="BT171" s="60" t="n">
        <f aca="false">IF(BR171="LOSE",1,0)</f>
        <v>0</v>
      </c>
      <c r="BU171" s="60" t="n">
        <f aca="false">IF(AND(U171="",OR(P171="",P171="LOSE"),T171&lt;&gt;"",N(S171)&lt;=0,ISNUMBER(MATCH(T171,Parameter!$I$27:$I$29,0))),1,0)</f>
        <v>1</v>
      </c>
      <c r="BV171" s="55" t="str">
        <f aca="false">IF(AND(Parameter!$B$19="Ja",E171&lt;&gt;"",ISNUMBER(MATCH(E171,Parameter!$I$35:$I$52,0))),VLOOKUP(E171,Parameter!$I$35:$J$52,2,0),IFERROR(VLOOKUP(D171,Parameter!$A$35:$C$64,2,0),"Nein"))</f>
        <v>2+3</v>
      </c>
      <c r="BW171" s="59" t="n">
        <f aca="false">IF(BT171=0,0,IF(N(S171)&gt;0,S171,IFERROR(VLOOKUP(D171,Parameter!$A$35:$C$64,3,0)+0,0)))</f>
        <v>0</v>
      </c>
      <c r="BX171" s="55" t="n">
        <f aca="false">IF(AA171&lt;&gt;"",AA171,Z171)</f>
        <v>3</v>
      </c>
      <c r="BY171" s="55" t="str">
        <f aca="false">IF(BX171=1,"L1",IF(OR(BX171=2,BX171=3),"L23",IF(BX171="Aussen","Aussen","-")))</f>
        <v>L23</v>
      </c>
      <c r="BZ171" s="66" t="n">
        <f aca="false">IF(N(AB171)&gt;0,AB171,0)</f>
        <v>0</v>
      </c>
      <c r="CA171" s="60" t="n">
        <f aca="false">IF(ISNUMBER(AE171),1,0)</f>
        <v>0</v>
      </c>
      <c r="CB171" s="57" t="n">
        <f aca="false">N(AE171)</f>
        <v>0</v>
      </c>
      <c r="CC171" s="57" t="n">
        <f aca="false">N(M171)+N(N171)</f>
        <v>1</v>
      </c>
      <c r="CD171" s="57" t="n">
        <f aca="false">ROUNDUP(H171/BS171,0)</f>
        <v>1</v>
      </c>
      <c r="CE171" s="57" t="n">
        <f aca="false">ROUNDUP(CB171/BS171,0)</f>
        <v>0</v>
      </c>
      <c r="CF171" s="60" t="n">
        <f aca="false">IF(BT171=1,0,IFERROR(VLOOKUP(BR171,'Gebinde-Kategorie'!$A$5:$M$45,5,0)+0,0))</f>
        <v>11</v>
      </c>
      <c r="CG171" s="60" t="n">
        <f aca="false">IFERROR(IF(OR(BX171=1,BX171=2,BX171=3),N(INDEX(Parameter!$I$5:$I$7,BX171)),0),0)</f>
        <v>0</v>
      </c>
      <c r="CH171" s="59" t="n">
        <f aca="false">IF(AND(Parameter!$B$21="Ja",ISNUMBER(W171),N(X171)&gt;0),IFERROR(N(INDEX(Parameter!$L$5:$L$7,W171))*INDEX(Parameter!$E$5:$E$7,W171)*X171/SUMIFS($X$7:$X$1843,$W$7:$W$1843,W171),0),0)</f>
        <v>0</v>
      </c>
    </row>
    <row r="172" customFormat="false" ht="15" hidden="false" customHeight="false" outlineLevel="0" collapsed="false">
      <c r="A172" s="55" t="s">
        <v>550</v>
      </c>
      <c r="B172" s="55" t="s">
        <v>551</v>
      </c>
      <c r="C172" s="55" t="s">
        <v>164</v>
      </c>
      <c r="D172" s="55" t="s">
        <v>184</v>
      </c>
      <c r="E172" s="55" t="s">
        <v>185</v>
      </c>
      <c r="F172" s="55" t="s">
        <v>218</v>
      </c>
      <c r="G172" s="56" t="n">
        <v>10.48</v>
      </c>
      <c r="H172" s="57" t="n">
        <f aca="false">MAX(0,IF(AND(Parameter!$B$21="Ja",ISNUMBER(Y172)),Y172,IF(Parameter!$B$20="Jahresanfang 2025 + Export",BL172+BK172,BK172)))</f>
        <v>206</v>
      </c>
      <c r="I172" s="57" t="n">
        <f aca="false">H172*G172</f>
        <v>2158.88</v>
      </c>
      <c r="J172" s="57" t="n">
        <f aca="false">BN172*Parameter!$B$18</f>
        <v>378</v>
      </c>
      <c r="K172" s="58" t="n">
        <v>102.5</v>
      </c>
      <c r="L172" s="59" t="n">
        <v>3.68780487804878</v>
      </c>
      <c r="M172" s="57" t="n">
        <v>25</v>
      </c>
      <c r="N172" s="57" t="n">
        <v>280</v>
      </c>
      <c r="O172" s="60" t="n">
        <v>21</v>
      </c>
      <c r="P172" s="55" t="s">
        <v>302</v>
      </c>
      <c r="Q172" s="57" t="n">
        <v>155</v>
      </c>
      <c r="R172" s="60" t="n">
        <f aca="false">IF(BT172=1,0,IFERROR(VLOOKUP(BR172,'Gebinde-Kategorie'!$A$5:$M$45,13,0)+0,0))</f>
        <v>26</v>
      </c>
      <c r="S172" s="61"/>
      <c r="T172" s="62"/>
      <c r="U172" s="62"/>
      <c r="V172" s="62"/>
      <c r="W172" s="55"/>
      <c r="X172" s="57"/>
      <c r="Y172" s="57"/>
      <c r="Z172" s="55" t="n">
        <f aca="false">IF(A172="","",IF(AND(Parameter!$B$21="Ja",ISNUMBER(W172)),W172,IF(BV172="2+3",IF(ISNUMBER(SEARCH("grosser Artikel",BO172)),2,IFERROR(VLOOKUP(BR172,Parameter!$F$35:$G$64,2,0),2)),IF(OR(BV172="Nein",BV172=""),"-",BV172))))</f>
        <v>3</v>
      </c>
      <c r="AA172" s="62"/>
      <c r="AB172" s="63"/>
      <c r="AC172" s="57" t="n">
        <f aca="false">AR172</f>
        <v>310</v>
      </c>
      <c r="AD172" s="57" t="n">
        <f aca="false">MAX(AR172,H172)</f>
        <v>310</v>
      </c>
      <c r="AE172" s="64"/>
      <c r="AF172" s="57" t="n">
        <f aca="false">IF(LEFT(Cockpit!$C$5,1)="A",H172,IF(CA172=1,CB172,IF(LEFT(Cockpit!$C$5,1)="B",AJ172,MAX(AJ172,H172))))</f>
        <v>206</v>
      </c>
      <c r="AG172" s="57" t="n">
        <f aca="false">IF(BT172=1,0,ROUNDUP(AF172/BS172,0))</f>
        <v>2</v>
      </c>
      <c r="AH172" s="59" t="n">
        <f aca="false">IF(CH172&gt;0,CH172*MAX(1,AF172/X172),IF(BT172=1,IF(AF172&lt;=0,0,BW172*MAX(1,IF(H172&gt;0,AF172/H172,1))),IF(R172&gt;0,AG172/R172,0))/MAX(0.1,N(Parameter!$M$21)))</f>
        <v>0.0769230769230769</v>
      </c>
      <c r="AI172" s="57" t="n">
        <f aca="false">AF172*G172</f>
        <v>2158.88</v>
      </c>
      <c r="AJ172" s="57" t="n">
        <f aca="false">ROUNDUP(MAX(J172/IF(BZ172&gt;0,BZ172,MAX(0.1,N(Cockpit!$C$6))),CC172)/BS172,0)*BS172</f>
        <v>310</v>
      </c>
      <c r="AK172" s="58" t="n">
        <f aca="false">IF(AH172&gt;0,J172/AH172,-1)</f>
        <v>4914</v>
      </c>
      <c r="AL172" s="58" t="n">
        <f aca="false">IF(AND(OR(BY172="L1",BY172="L23"),AH172&gt;0),SUMIFS($AH$7:$AH$1843,$BY$7:$BY$1843,BY172,$AK$7:$AK$1843,"&gt;"&amp;AK172)+SUMIFS($AH$7:$AH$1843,$BY$7:$BY$1843,BY172,$AK$7:$AK$1843,AK172,$BQ$7:$BQ$1843,"&lt;="&amp;BQ172),"")</f>
        <v>7.35225161312118</v>
      </c>
      <c r="AM172" s="65" t="n">
        <f aca="false">IF(AL172="",0,MAX(0,MIN(1,(IF(BY172="L1",Parameter!$E$5,Parameter!$E$6+Parameter!$E$7)-(AL172-AH172))/AH172)))</f>
        <v>1</v>
      </c>
      <c r="AN172" s="57" t="n">
        <f aca="false">IF(LEFT(Cockpit!$I$5,1)="A",H172,IF(CA172=1,CB172,IF(LEFT(Cockpit!$I$5,1)="B",AR172,MAX(AR172,H172))))</f>
        <v>310</v>
      </c>
      <c r="AO172" s="57" t="n">
        <f aca="false">IF(BT172=1,0,ROUNDUP(AN172/BS172,0))</f>
        <v>2</v>
      </c>
      <c r="AP172" s="59" t="n">
        <f aca="false">IF(CH172&gt;0,CH172*MAX(1,AN172/X172),IF(BT172=1,IF(AN172&lt;=0,0,BW172*MAX(1,IF(H172&gt;0,AN172/H172,1))),IF(R172&gt;0,AO172/R172,0))/MAX(0.1,N(Parameter!$M$21)))</f>
        <v>0.0769230769230769</v>
      </c>
      <c r="AQ172" s="57" t="n">
        <f aca="false">AN172*G172</f>
        <v>3248.8</v>
      </c>
      <c r="AR172" s="57" t="n">
        <f aca="false">ROUNDUP(MAX(J172/IF(BZ172&gt;0,BZ172,MAX(0.1,N(Cockpit!$I$6))),CC172)/BS172,0)*BS172</f>
        <v>310</v>
      </c>
      <c r="AS172" s="58" t="n">
        <f aca="false">IF(AP172&gt;0,J172/AP172,-1)</f>
        <v>4914</v>
      </c>
      <c r="AT172" s="58" t="n">
        <f aca="false">IF(AND(OR(BY172="L1",BY172="L23"),AP172&gt;0),SUMIFS($AP$7:$AP$1843,$BY$7:$BY$1843,BY172,$AS$7:$AS$1843,"&gt;"&amp;AS172)+SUMIFS($AP$7:$AP$1843,$BY$7:$BY$1843,BY172,$AS$7:$AS$1843,AS172,$BQ$7:$BQ$1843,"&lt;="&amp;BQ172),"")</f>
        <v>11.9973987365292</v>
      </c>
      <c r="AU172" s="65" t="n">
        <f aca="false">IF(AT172="",0,MAX(0,MIN(1,(IF(BY172="L1",Parameter!$E$5,Parameter!$E$6+Parameter!$E$7)-(AT172-AP172))/AP172)))</f>
        <v>1</v>
      </c>
      <c r="AV172" s="57" t="n">
        <f aca="false">IF(LEFT(Cockpit!$O$5,1)="A",H172,IF(CA172=1,CB172,IF(LEFT(Cockpit!$O$5,1)="B",AZ172,MAX(AZ172,H172))))</f>
        <v>310</v>
      </c>
      <c r="AW172" s="57" t="n">
        <f aca="false">IF(BT172=1,0,ROUNDUP(AV172/BS172,0))</f>
        <v>2</v>
      </c>
      <c r="AX172" s="59" t="n">
        <f aca="false">IF(CH172&gt;0,CH172*MAX(1,AV172/X172),IF(BT172=1,IF(AV172&lt;=0,0,BW172*MAX(1,IF(H172&gt;0,AV172/H172,1))),IF(R172&gt;0,AW172/R172,0))/MAX(0.1,N(Parameter!$M$21)))</f>
        <v>0.0769230769230769</v>
      </c>
      <c r="AY172" s="57" t="n">
        <f aca="false">AV172*G172</f>
        <v>3248.8</v>
      </c>
      <c r="AZ172" s="57" t="n">
        <f aca="false">ROUNDUP(MAX(J172/IF(BZ172&gt;0,BZ172,MAX(0.1,N(Cockpit!$O$6))),CC172)/BS172,0)*BS172</f>
        <v>310</v>
      </c>
      <c r="BA172" s="58" t="n">
        <f aca="false">IF(AX172&gt;0,J172/AX172,-1)</f>
        <v>4914</v>
      </c>
      <c r="BB172" s="58" t="n">
        <f aca="false">IF(AND(OR(BY172="L1",BY172="L23"),AX172&gt;0),SUMIFS($AX$7:$AX$1843,$BY$7:$BY$1843,BY172,$BA$7:$BA$1843,"&gt;"&amp;BA172)+SUMIFS($AX$7:$AX$1843,$BY$7:$BY$1843,BY172,$BA$7:$BA$1843,BA172,$BQ$7:$BQ$1843,"&lt;="&amp;BQ172),"")</f>
        <v>10.7182612073916</v>
      </c>
      <c r="BC172" s="65" t="n">
        <f aca="false">IF(BB172="",0,MAX(0,MIN(1,(IF(BY172="L1",Parameter!$E$5,Parameter!$E$6+Parameter!$E$7)-(BB172-AX172))/AX172)))</f>
        <v>1</v>
      </c>
      <c r="BD172" s="55" t="str">
        <f aca="false">IF(AH172&lt;=0,"",IF(BY172="Aussen","Aussenlager",IF(BY172="-","Nicht im Lift",IF(AM172&gt;=1,"Lift",IF(AM172&lt;=0,"Aussenlager","teilweise")))))</f>
        <v>Lift</v>
      </c>
      <c r="BE172" s="55" t="str">
        <f aca="false">IF(AP172&lt;=0,"",IF(BY172="Aussen","Aussenlager",IF(BY172="-","Nicht im Lift",IF(AU172&gt;=1,"Lift",IF(AU172&lt;=0,"Aussenlager","teilweise")))))</f>
        <v>Lift</v>
      </c>
      <c r="BF172" s="55" t="str">
        <f aca="false">IF(AX172&lt;=0,"",IF(BY172="Aussen","Aussenlager",IF(BY172="-","Nicht im Lift",IF(BC172&gt;=1,"Lift",IF(BC172&lt;=0,"Aussenlager","teilweise")))))</f>
        <v>Lift</v>
      </c>
      <c r="BG172" s="55" t="str">
        <f aca="false">IF(A172="","",IF(BP172=1,"Neu; ","")&amp;IF(AND(BP172=0,BK172&lt;0),"negativer Bestand (Export "&amp;BK172&amp;"); ","")&amp;IF(J172&lt;=0,"Kein Verbrauch; ","")&amp;IF(CH172&gt;0,"Lift "&amp;W172&amp;" lt. Liftbericht (Fach "&amp;X172&amp;" Stk); ",IF(BU172=1,"Gebinde geschätzt ("&amp;T172&amp;"); ",IF(BT172=1,"Lose – Tablare geschätzt; ","")))&amp;IF(H172&gt;AR172,"Überbestand "&amp;ROUND(H172-AR172,0)&amp;" Stk / CHF "&amp;ROUND((H172-AR172)*G172,0)&amp;"; ","")&amp;IF(AND(CA172=1,CB172&lt;CC172),"MAX &lt; MB+LG; ","")&amp;IF(AND(CG172&gt;0,CF172*10&gt;CG172),"zu hoch für Tablar; ","")&amp;IF(AND(BP172=0,OR(CA172=1,AA172&lt;&gt;"",U172&lt;&gt;"",V172&lt;&gt;"",AB172&lt;&gt;"")),"manuell übersteuert; ","")&amp;IF(AND(BT172=0,R172=0),"Gebinde unbekannt / Stellmass fehlt; ","")&amp;IF(AND(BT172=0,N(V172)&lt;=0,N(Q172)&lt;=0),"Menge pro Gebinde fehlt (Ist = 1 Gebinde); ","")&amp;BO172)</f>
        <v/>
      </c>
      <c r="BH172" s="55"/>
      <c r="BI172" s="55"/>
      <c r="BJ172" s="62"/>
      <c r="BK172" s="57" t="n">
        <v>119</v>
      </c>
      <c r="BL172" s="57" t="n">
        <v>87</v>
      </c>
      <c r="BM172" s="56" t="n">
        <v>1093.13</v>
      </c>
      <c r="BN172" s="57" t="n">
        <v>378</v>
      </c>
      <c r="BO172" s="55"/>
      <c r="BP172" s="60" t="n">
        <v>0</v>
      </c>
      <c r="BQ172" s="60" t="n">
        <v>172</v>
      </c>
      <c r="BR172" s="55" t="str">
        <f aca="false">IF(U172&lt;&gt;"",UPPER(TRIM(U172)),IF(BU172=1,UPPER(VLOOKUP(T172,Parameter!$I$27:$K$29,2,0)),IF(P172="","LOSE",P172)))</f>
        <v>S51</v>
      </c>
      <c r="BS172" s="57" t="n">
        <f aca="false">IF(BR172="LOSE",1,IF(N(V172)&gt;0,V172,IF(BU172=1,MAX(1,N(VLOOKUP(T172,Parameter!$I$27:$K$29,3,0)),H172,N(N172)),IF(N(Q172)&gt;0,Q172,MAX(1,H172)))))</f>
        <v>155</v>
      </c>
      <c r="BT172" s="60" t="n">
        <f aca="false">IF(BR172="LOSE",1,0)</f>
        <v>0</v>
      </c>
      <c r="BU172" s="60" t="n">
        <f aca="false">IF(AND(U172="",OR(P172="",P172="LOSE"),T172&lt;&gt;"",N(S172)&lt;=0,ISNUMBER(MATCH(T172,Parameter!$I$27:$I$29,0))),1,0)</f>
        <v>0</v>
      </c>
      <c r="BV172" s="55" t="str">
        <f aca="false">IF(AND(Parameter!$B$19="Ja",E172&lt;&gt;"",ISNUMBER(MATCH(E172,Parameter!$I$35:$I$52,0))),VLOOKUP(E172,Parameter!$I$35:$J$52,2,0),IFERROR(VLOOKUP(D172,Parameter!$A$35:$C$64,2,0),"Nein"))</f>
        <v>2+3</v>
      </c>
      <c r="BW172" s="59" t="n">
        <f aca="false">IF(BT172=0,0,IF(N(S172)&gt;0,S172,IFERROR(VLOOKUP(D172,Parameter!$A$35:$C$64,3,0)+0,0)))</f>
        <v>0</v>
      </c>
      <c r="BX172" s="55" t="n">
        <f aca="false">IF(AA172&lt;&gt;"",AA172,Z172)</f>
        <v>3</v>
      </c>
      <c r="BY172" s="55" t="str">
        <f aca="false">IF(BX172=1,"L1",IF(OR(BX172=2,BX172=3),"L23",IF(BX172="Aussen","Aussen","-")))</f>
        <v>L23</v>
      </c>
      <c r="BZ172" s="66" t="n">
        <f aca="false">IF(N(AB172)&gt;0,AB172,0)</f>
        <v>0</v>
      </c>
      <c r="CA172" s="60" t="n">
        <f aca="false">IF(ISNUMBER(AE172),1,0)</f>
        <v>0</v>
      </c>
      <c r="CB172" s="57" t="n">
        <f aca="false">N(AE172)</f>
        <v>0</v>
      </c>
      <c r="CC172" s="57" t="n">
        <f aca="false">N(M172)+N(N172)</f>
        <v>305</v>
      </c>
      <c r="CD172" s="57" t="n">
        <f aca="false">ROUNDUP(H172/BS172,0)</f>
        <v>2</v>
      </c>
      <c r="CE172" s="57" t="n">
        <f aca="false">ROUNDUP(CB172/BS172,0)</f>
        <v>0</v>
      </c>
      <c r="CF172" s="60" t="n">
        <f aca="false">IF(BT172=1,0,IFERROR(VLOOKUP(BR172,'Gebinde-Kategorie'!$A$5:$M$45,5,0)+0,0))</f>
        <v>11</v>
      </c>
      <c r="CG172" s="60" t="n">
        <f aca="false">IFERROR(IF(OR(BX172=1,BX172=2,BX172=3),N(INDEX(Parameter!$I$5:$I$7,BX172)),0),0)</f>
        <v>0</v>
      </c>
      <c r="CH172" s="59" t="n">
        <f aca="false">IF(AND(Parameter!$B$21="Ja",ISNUMBER(W172),N(X172)&gt;0),IFERROR(N(INDEX(Parameter!$L$5:$L$7,W172))*INDEX(Parameter!$E$5:$E$7,W172)*X172/SUMIFS($X$7:$X$1843,$W$7:$W$1843,W172),0),0)</f>
        <v>0</v>
      </c>
    </row>
    <row r="173" customFormat="false" ht="15" hidden="false" customHeight="false" outlineLevel="0" collapsed="false">
      <c r="A173" s="55" t="s">
        <v>552</v>
      </c>
      <c r="B173" s="55" t="s">
        <v>553</v>
      </c>
      <c r="C173" s="55" t="s">
        <v>164</v>
      </c>
      <c r="D173" s="55" t="s">
        <v>184</v>
      </c>
      <c r="E173" s="55" t="s">
        <v>185</v>
      </c>
      <c r="F173" s="55" t="s">
        <v>218</v>
      </c>
      <c r="G173" s="56" t="n">
        <v>11.46</v>
      </c>
      <c r="H173" s="57" t="n">
        <f aca="false">MAX(0,IF(AND(Parameter!$B$21="Ja",ISNUMBER(Y173)),Y173,IF(Parameter!$B$20="Jahresanfang 2025 + Export",BL173+BK173,BK173)))</f>
        <v>172</v>
      </c>
      <c r="I173" s="57" t="n">
        <f aca="false">H173*G173</f>
        <v>1971.12</v>
      </c>
      <c r="J173" s="57" t="n">
        <f aca="false">BN173*Parameter!$B$18</f>
        <v>152</v>
      </c>
      <c r="K173" s="58" t="n">
        <v>110</v>
      </c>
      <c r="L173" s="59" t="n">
        <v>1.38181818181818</v>
      </c>
      <c r="M173" s="57" t="n">
        <v>17</v>
      </c>
      <c r="N173" s="57" t="n">
        <v>150</v>
      </c>
      <c r="O173" s="60" t="n">
        <v>42</v>
      </c>
      <c r="P173" s="55" t="s">
        <v>302</v>
      </c>
      <c r="Q173" s="57" t="n">
        <v>122</v>
      </c>
      <c r="R173" s="60" t="n">
        <f aca="false">IF(BT173=1,0,IFERROR(VLOOKUP(BR173,'Gebinde-Kategorie'!$A$5:$M$45,13,0)+0,0))</f>
        <v>26</v>
      </c>
      <c r="S173" s="61"/>
      <c r="T173" s="62"/>
      <c r="U173" s="62"/>
      <c r="V173" s="62"/>
      <c r="W173" s="55"/>
      <c r="X173" s="57"/>
      <c r="Y173" s="57"/>
      <c r="Z173" s="55" t="n">
        <f aca="false">IF(A173="","",IF(AND(Parameter!$B$21="Ja",ISNUMBER(W173)),W173,IF(BV173="2+3",IF(ISNUMBER(SEARCH("grosser Artikel",BO173)),2,IFERROR(VLOOKUP(BR173,Parameter!$F$35:$G$64,2,0),2)),IF(OR(BV173="Nein",BV173=""),"-",BV173))))</f>
        <v>3</v>
      </c>
      <c r="AA173" s="62"/>
      <c r="AB173" s="63"/>
      <c r="AC173" s="57" t="n">
        <f aca="false">AR173</f>
        <v>244</v>
      </c>
      <c r="AD173" s="57" t="n">
        <f aca="false">MAX(AR173,H173)</f>
        <v>244</v>
      </c>
      <c r="AE173" s="64"/>
      <c r="AF173" s="57" t="n">
        <f aca="false">IF(LEFT(Cockpit!$C$5,1)="A",H173,IF(CA173=1,CB173,IF(LEFT(Cockpit!$C$5,1)="B",AJ173,MAX(AJ173,H173))))</f>
        <v>172</v>
      </c>
      <c r="AG173" s="57" t="n">
        <f aca="false">IF(BT173=1,0,ROUNDUP(AF173/BS173,0))</f>
        <v>2</v>
      </c>
      <c r="AH173" s="59" t="n">
        <f aca="false">IF(CH173&gt;0,CH173*MAX(1,AF173/X173),IF(BT173=1,IF(AF173&lt;=0,0,BW173*MAX(1,IF(H173&gt;0,AF173/H173,1))),IF(R173&gt;0,AG173/R173,0))/MAX(0.1,N(Parameter!$M$21)))</f>
        <v>0.0769230769230769</v>
      </c>
      <c r="AI173" s="57" t="n">
        <f aca="false">AF173*G173</f>
        <v>1971.12</v>
      </c>
      <c r="AJ173" s="57" t="n">
        <f aca="false">ROUNDUP(MAX(J173/IF(BZ173&gt;0,BZ173,MAX(0.1,N(Cockpit!$C$6))),CC173)/BS173,0)*BS173</f>
        <v>244</v>
      </c>
      <c r="AK173" s="58" t="n">
        <f aca="false">IF(AH173&gt;0,J173/AH173,-1)</f>
        <v>1976</v>
      </c>
      <c r="AL173" s="58" t="n">
        <f aca="false">IF(AND(OR(BY173="L1",BY173="L23"),AH173&gt;0),SUMIFS($AH$7:$AH$1843,$BY$7:$BY$1843,BY173,$AK$7:$AK$1843,"&gt;"&amp;AK173)+SUMIFS($AH$7:$AH$1843,$BY$7:$BY$1843,BY173,$AK$7:$AK$1843,AK173,$BQ$7:$BQ$1843,"&lt;="&amp;BQ173),"")</f>
        <v>13.1818519644607</v>
      </c>
      <c r="AM173" s="65" t="n">
        <f aca="false">IF(AL173="",0,MAX(0,MIN(1,(IF(BY173="L1",Parameter!$E$5,Parameter!$E$6+Parameter!$E$7)-(AL173-AH173))/AH173)))</f>
        <v>1</v>
      </c>
      <c r="AN173" s="57" t="n">
        <f aca="false">IF(LEFT(Cockpit!$I$5,1)="A",H173,IF(CA173=1,CB173,IF(LEFT(Cockpit!$I$5,1)="B",AR173,MAX(AR173,H173))))</f>
        <v>244</v>
      </c>
      <c r="AO173" s="57" t="n">
        <f aca="false">IF(BT173=1,0,ROUNDUP(AN173/BS173,0))</f>
        <v>2</v>
      </c>
      <c r="AP173" s="59" t="n">
        <f aca="false">IF(CH173&gt;0,CH173*MAX(1,AN173/X173),IF(BT173=1,IF(AN173&lt;=0,0,BW173*MAX(1,IF(H173&gt;0,AN173/H173,1))),IF(R173&gt;0,AO173/R173,0))/MAX(0.1,N(Parameter!$M$21)))</f>
        <v>0.0769230769230769</v>
      </c>
      <c r="AQ173" s="57" t="n">
        <f aca="false">AN173*G173</f>
        <v>2796.24</v>
      </c>
      <c r="AR173" s="57" t="n">
        <f aca="false">ROUNDUP(MAX(J173/IF(BZ173&gt;0,BZ173,MAX(0.1,N(Cockpit!$I$6))),CC173)/BS173,0)*BS173</f>
        <v>244</v>
      </c>
      <c r="AS173" s="58" t="n">
        <f aca="false">IF(AP173&gt;0,J173/AP173,-1)</f>
        <v>1976</v>
      </c>
      <c r="AT173" s="58" t="n">
        <f aca="false">IF(AND(OR(BY173="L1",BY173="L23"),AP173&gt;0),SUMIFS($AP$7:$AP$1843,$BY$7:$BY$1843,BY173,$AS$7:$AS$1843,"&gt;"&amp;AS173)+SUMIFS($AP$7:$AP$1843,$BY$7:$BY$1843,BY173,$AS$7:$AS$1843,AS173,$BQ$7:$BQ$1843,"&lt;="&amp;BQ173),"")</f>
        <v>18.7398905442384</v>
      </c>
      <c r="AU173" s="65" t="n">
        <f aca="false">IF(AT173="",0,MAX(0,MIN(1,(IF(BY173="L1",Parameter!$E$5,Parameter!$E$6+Parameter!$E$7)-(AT173-AP173))/AP173)))</f>
        <v>1</v>
      </c>
      <c r="AV173" s="57" t="n">
        <f aca="false">IF(LEFT(Cockpit!$O$5,1)="A",H173,IF(CA173=1,CB173,IF(LEFT(Cockpit!$O$5,1)="B",AZ173,MAX(AZ173,H173))))</f>
        <v>244</v>
      </c>
      <c r="AW173" s="57" t="n">
        <f aca="false">IF(BT173=1,0,ROUNDUP(AV173/BS173,0))</f>
        <v>2</v>
      </c>
      <c r="AX173" s="59" t="n">
        <f aca="false">IF(CH173&gt;0,CH173*MAX(1,AV173/X173),IF(BT173=1,IF(AV173&lt;=0,0,BW173*MAX(1,IF(H173&gt;0,AV173/H173,1))),IF(R173&gt;0,AW173/R173,0))/MAX(0.1,N(Parameter!$M$21)))</f>
        <v>0.0769230769230769</v>
      </c>
      <c r="AY173" s="57" t="n">
        <f aca="false">AV173*G173</f>
        <v>2796.24</v>
      </c>
      <c r="AZ173" s="57" t="n">
        <f aca="false">ROUNDUP(MAX(J173/IF(BZ173&gt;0,BZ173,MAX(0.1,N(Cockpit!$O$6))),CC173)/BS173,0)*BS173</f>
        <v>244</v>
      </c>
      <c r="BA173" s="58" t="n">
        <f aca="false">IF(AX173&gt;0,J173/AX173,-1)</f>
        <v>1976</v>
      </c>
      <c r="BB173" s="58" t="n">
        <f aca="false">IF(AND(OR(BY173="L1",BY173="L23"),AX173&gt;0),SUMIFS($AX$7:$AX$1843,$BY$7:$BY$1843,BY173,$BA$7:$BA$1843,"&gt;"&amp;BA173)+SUMIFS($AX$7:$AX$1843,$BY$7:$BY$1843,BY173,$BA$7:$BA$1843,BA173,$BQ$7:$BQ$1843,"&lt;="&amp;BQ173),"")</f>
        <v>17.3517786561265</v>
      </c>
      <c r="BC173" s="65" t="n">
        <f aca="false">IF(BB173="",0,MAX(0,MIN(1,(IF(BY173="L1",Parameter!$E$5,Parameter!$E$6+Parameter!$E$7)-(BB173-AX173))/AX173)))</f>
        <v>1</v>
      </c>
      <c r="BD173" s="55" t="str">
        <f aca="false">IF(AH173&lt;=0,"",IF(BY173="Aussen","Aussenlager",IF(BY173="-","Nicht im Lift",IF(AM173&gt;=1,"Lift",IF(AM173&lt;=0,"Aussenlager","teilweise")))))</f>
        <v>Lift</v>
      </c>
      <c r="BE173" s="55" t="str">
        <f aca="false">IF(AP173&lt;=0,"",IF(BY173="Aussen","Aussenlager",IF(BY173="-","Nicht im Lift",IF(AU173&gt;=1,"Lift",IF(AU173&lt;=0,"Aussenlager","teilweise")))))</f>
        <v>Lift</v>
      </c>
      <c r="BF173" s="55" t="str">
        <f aca="false">IF(AX173&lt;=0,"",IF(BY173="Aussen","Aussenlager",IF(BY173="-","Nicht im Lift",IF(BC173&gt;=1,"Lift",IF(BC173&lt;=0,"Aussenlager","teilweise")))))</f>
        <v>Lift</v>
      </c>
      <c r="BG173" s="55" t="str">
        <f aca="false">IF(A173="","",IF(BP173=1,"Neu; ","")&amp;IF(AND(BP173=0,BK173&lt;0),"negativer Bestand (Export "&amp;BK173&amp;"); ","")&amp;IF(J173&lt;=0,"Kein Verbrauch; ","")&amp;IF(CH173&gt;0,"Lift "&amp;W173&amp;" lt. Liftbericht (Fach "&amp;X173&amp;" Stk); ",IF(BU173=1,"Gebinde geschätzt ("&amp;T173&amp;"); ",IF(BT173=1,"Lose – Tablare geschätzt; ","")))&amp;IF(H173&gt;AR173,"Überbestand "&amp;ROUND(H173-AR173,0)&amp;" Stk / CHF "&amp;ROUND((H173-AR173)*G173,0)&amp;"; ","")&amp;IF(AND(CA173=1,CB173&lt;CC173),"MAX &lt; MB+LG; ","")&amp;IF(AND(CG173&gt;0,CF173*10&gt;CG173),"zu hoch für Tablar; ","")&amp;IF(AND(BP173=0,OR(CA173=1,AA173&lt;&gt;"",U173&lt;&gt;"",V173&lt;&gt;"",AB173&lt;&gt;"")),"manuell übersteuert; ","")&amp;IF(AND(BT173=0,R173=0),"Gebinde unbekannt / Stellmass fehlt; ","")&amp;IF(AND(BT173=0,N(V173)&lt;=0,N(Q173)&lt;=0),"Menge pro Gebinde fehlt (Ist = 1 Gebinde); ","")&amp;BO173)</f>
        <v/>
      </c>
      <c r="BH173" s="55"/>
      <c r="BI173" s="55"/>
      <c r="BJ173" s="62"/>
      <c r="BK173" s="57" t="n">
        <v>84</v>
      </c>
      <c r="BL173" s="57" t="n">
        <v>88</v>
      </c>
      <c r="BM173" s="56" t="n">
        <v>1092</v>
      </c>
      <c r="BN173" s="57" t="n">
        <v>152</v>
      </c>
      <c r="BO173" s="55"/>
      <c r="BP173" s="60" t="n">
        <v>0</v>
      </c>
      <c r="BQ173" s="60" t="n">
        <v>173</v>
      </c>
      <c r="BR173" s="55" t="str">
        <f aca="false">IF(U173&lt;&gt;"",UPPER(TRIM(U173)),IF(BU173=1,UPPER(VLOOKUP(T173,Parameter!$I$27:$K$29,2,0)),IF(P173="","LOSE",P173)))</f>
        <v>S51</v>
      </c>
      <c r="BS173" s="57" t="n">
        <f aca="false">IF(BR173="LOSE",1,IF(N(V173)&gt;0,V173,IF(BU173=1,MAX(1,N(VLOOKUP(T173,Parameter!$I$27:$K$29,3,0)),H173,N(N173)),IF(N(Q173)&gt;0,Q173,MAX(1,H173)))))</f>
        <v>122</v>
      </c>
      <c r="BT173" s="60" t="n">
        <f aca="false">IF(BR173="LOSE",1,0)</f>
        <v>0</v>
      </c>
      <c r="BU173" s="60" t="n">
        <f aca="false">IF(AND(U173="",OR(P173="",P173="LOSE"),T173&lt;&gt;"",N(S173)&lt;=0,ISNUMBER(MATCH(T173,Parameter!$I$27:$I$29,0))),1,0)</f>
        <v>0</v>
      </c>
      <c r="BV173" s="55" t="str">
        <f aca="false">IF(AND(Parameter!$B$19="Ja",E173&lt;&gt;"",ISNUMBER(MATCH(E173,Parameter!$I$35:$I$52,0))),VLOOKUP(E173,Parameter!$I$35:$J$52,2,0),IFERROR(VLOOKUP(D173,Parameter!$A$35:$C$64,2,0),"Nein"))</f>
        <v>2+3</v>
      </c>
      <c r="BW173" s="59" t="n">
        <f aca="false">IF(BT173=0,0,IF(N(S173)&gt;0,S173,IFERROR(VLOOKUP(D173,Parameter!$A$35:$C$64,3,0)+0,0)))</f>
        <v>0</v>
      </c>
      <c r="BX173" s="55" t="n">
        <f aca="false">IF(AA173&lt;&gt;"",AA173,Z173)</f>
        <v>3</v>
      </c>
      <c r="BY173" s="55" t="str">
        <f aca="false">IF(BX173=1,"L1",IF(OR(BX173=2,BX173=3),"L23",IF(BX173="Aussen","Aussen","-")))</f>
        <v>L23</v>
      </c>
      <c r="BZ173" s="66" t="n">
        <f aca="false">IF(N(AB173)&gt;0,AB173,0)</f>
        <v>0</v>
      </c>
      <c r="CA173" s="60" t="n">
        <f aca="false">IF(ISNUMBER(AE173),1,0)</f>
        <v>0</v>
      </c>
      <c r="CB173" s="57" t="n">
        <f aca="false">N(AE173)</f>
        <v>0</v>
      </c>
      <c r="CC173" s="57" t="n">
        <f aca="false">N(M173)+N(N173)</f>
        <v>167</v>
      </c>
      <c r="CD173" s="57" t="n">
        <f aca="false">ROUNDUP(H173/BS173,0)</f>
        <v>2</v>
      </c>
      <c r="CE173" s="57" t="n">
        <f aca="false">ROUNDUP(CB173/BS173,0)</f>
        <v>0</v>
      </c>
      <c r="CF173" s="60" t="n">
        <f aca="false">IF(BT173=1,0,IFERROR(VLOOKUP(BR173,'Gebinde-Kategorie'!$A$5:$M$45,5,0)+0,0))</f>
        <v>11</v>
      </c>
      <c r="CG173" s="60" t="n">
        <f aca="false">IFERROR(IF(OR(BX173=1,BX173=2,BX173=3),N(INDEX(Parameter!$I$5:$I$7,BX173)),0),0)</f>
        <v>0</v>
      </c>
      <c r="CH173" s="59" t="n">
        <f aca="false">IF(AND(Parameter!$B$21="Ja",ISNUMBER(W173),N(X173)&gt;0),IFERROR(N(INDEX(Parameter!$L$5:$L$7,W173))*INDEX(Parameter!$E$5:$E$7,W173)*X173/SUMIFS($X$7:$X$1843,$W$7:$W$1843,W173),0),0)</f>
        <v>0</v>
      </c>
    </row>
    <row r="174" customFormat="false" ht="15" hidden="false" customHeight="false" outlineLevel="0" collapsed="false">
      <c r="A174" s="55" t="s">
        <v>554</v>
      </c>
      <c r="B174" s="55" t="s">
        <v>555</v>
      </c>
      <c r="C174" s="55" t="s">
        <v>164</v>
      </c>
      <c r="D174" s="55" t="s">
        <v>173</v>
      </c>
      <c r="E174" s="55"/>
      <c r="F174" s="55" t="s">
        <v>218</v>
      </c>
      <c r="G174" s="56" t="n">
        <v>533.7</v>
      </c>
      <c r="H174" s="57" t="n">
        <f aca="false">MAX(0,IF(AND(Parameter!$B$21="Ja",ISNUMBER(Y174)),Y174,IF(Parameter!$B$20="Jahresanfang 2025 + Export",BL174+BK174,BK174)))</f>
        <v>2</v>
      </c>
      <c r="I174" s="57" t="n">
        <f aca="false">H174*G174</f>
        <v>1067.4</v>
      </c>
      <c r="J174" s="57" t="n">
        <f aca="false">BN174*Parameter!$B$18</f>
        <v>0</v>
      </c>
      <c r="K174" s="58" t="n">
        <v>0</v>
      </c>
      <c r="L174" s="59" t="n">
        <v>0</v>
      </c>
      <c r="M174" s="57" t="n">
        <v>0</v>
      </c>
      <c r="N174" s="57" t="n">
        <v>1</v>
      </c>
      <c r="O174" s="60" t="n">
        <v>28</v>
      </c>
      <c r="P174" s="55" t="s">
        <v>168</v>
      </c>
      <c r="Q174" s="57"/>
      <c r="R174" s="60" t="n">
        <f aca="false">IF(BT174=1,0,IFERROR(VLOOKUP(BR174,'Gebinde-Kategorie'!$A$5:$M$45,13,0)+0,0))</f>
        <v>12</v>
      </c>
      <c r="S174" s="61"/>
      <c r="T174" s="62" t="s">
        <v>179</v>
      </c>
      <c r="U174" s="62"/>
      <c r="V174" s="62"/>
      <c r="W174" s="55"/>
      <c r="X174" s="57"/>
      <c r="Y174" s="57"/>
      <c r="Z174" s="55" t="n">
        <f aca="false">IF(A174="","",IF(AND(Parameter!$B$21="Ja",ISNUMBER(W174)),W174,IF(BV174="2+3",IF(ISNUMBER(SEARCH("grosser Artikel",BO174)),2,IFERROR(VLOOKUP(BR174,Parameter!$F$35:$G$64,2,0),2)),IF(OR(BV174="Nein",BV174=""),"-",BV174))))</f>
        <v>2</v>
      </c>
      <c r="AA174" s="62"/>
      <c r="AB174" s="63"/>
      <c r="AC174" s="57" t="n">
        <f aca="false">AR174</f>
        <v>4</v>
      </c>
      <c r="AD174" s="57" t="n">
        <f aca="false">MAX(AR174,H174)</f>
        <v>4</v>
      </c>
      <c r="AE174" s="64"/>
      <c r="AF174" s="57" t="n">
        <f aca="false">IF(LEFT(Cockpit!$C$5,1)="A",H174,IF(CA174=1,CB174,IF(LEFT(Cockpit!$C$5,1)="B",AJ174,MAX(AJ174,H174))))</f>
        <v>2</v>
      </c>
      <c r="AG174" s="57" t="n">
        <f aca="false">IF(BT174=1,0,ROUNDUP(AF174/BS174,0))</f>
        <v>1</v>
      </c>
      <c r="AH174" s="59" t="n">
        <f aca="false">IF(CH174&gt;0,CH174*MAX(1,AF174/X174),IF(BT174=1,IF(AF174&lt;=0,0,BW174*MAX(1,IF(H174&gt;0,AF174/H174,1))),IF(R174&gt;0,AG174/R174,0))/MAX(0.1,N(Parameter!$M$21)))</f>
        <v>0.0833333333333333</v>
      </c>
      <c r="AI174" s="57" t="n">
        <f aca="false">AF174*G174</f>
        <v>1067.4</v>
      </c>
      <c r="AJ174" s="57" t="n">
        <f aca="false">ROUNDUP(MAX(J174/IF(BZ174&gt;0,BZ174,MAX(0.1,N(Cockpit!$C$6))),CC174)/BS174,0)*BS174</f>
        <v>4</v>
      </c>
      <c r="AK174" s="58" t="n">
        <f aca="false">IF(AH174&gt;0,J174/AH174,-1)</f>
        <v>0</v>
      </c>
      <c r="AL174" s="58" t="n">
        <f aca="false">IF(AND(OR(BY174="L1",BY174="L23"),AH174&gt;0),SUMIFS($AH$7:$AH$1843,$BY$7:$BY$1843,BY174,$AK$7:$AK$1843,"&gt;"&amp;AK174)+SUMIFS($AH$7:$AH$1843,$BY$7:$BY$1843,BY174,$AK$7:$AK$1843,AK174,$BQ$7:$BQ$1843,"&lt;="&amp;BQ174),"")</f>
        <v>70.0547701091179</v>
      </c>
      <c r="AM174" s="65" t="n">
        <f aca="false">IF(AL174="",0,MAX(0,MIN(1,(IF(BY174="L1",Parameter!$E$5,Parameter!$E$6+Parameter!$E$7)-(AL174-AH174))/AH174)))</f>
        <v>1</v>
      </c>
      <c r="AN174" s="57" t="n">
        <f aca="false">IF(LEFT(Cockpit!$I$5,1)="A",H174,IF(CA174=1,CB174,IF(LEFT(Cockpit!$I$5,1)="B",AR174,MAX(AR174,H174))))</f>
        <v>4</v>
      </c>
      <c r="AO174" s="57" t="n">
        <f aca="false">IF(BT174=1,0,ROUNDUP(AN174/BS174,0))</f>
        <v>1</v>
      </c>
      <c r="AP174" s="59" t="n">
        <f aca="false">IF(CH174&gt;0,CH174*MAX(1,AN174/X174),IF(BT174=1,IF(AN174&lt;=0,0,BW174*MAX(1,IF(H174&gt;0,AN174/H174,1))),IF(R174&gt;0,AO174/R174,0))/MAX(0.1,N(Parameter!$M$21)))</f>
        <v>0.0833333333333333</v>
      </c>
      <c r="AQ174" s="57" t="n">
        <f aca="false">AN174*G174</f>
        <v>2134.8</v>
      </c>
      <c r="AR174" s="57" t="n">
        <f aca="false">ROUNDUP(MAX(J174/IF(BZ174&gt;0,BZ174,MAX(0.1,N(Cockpit!$I$6))),CC174)/BS174,0)*BS174</f>
        <v>4</v>
      </c>
      <c r="AS174" s="58" t="n">
        <f aca="false">IF(AP174&gt;0,J174/AP174,-1)</f>
        <v>0</v>
      </c>
      <c r="AT174" s="58" t="n">
        <f aca="false">IF(AND(OR(BY174="L1",BY174="L23"),AP174&gt;0),SUMIFS($AP$7:$AP$1843,$BY$7:$BY$1843,BY174,$AS$7:$AS$1843,"&gt;"&amp;AS174)+SUMIFS($AP$7:$AP$1843,$BY$7:$BY$1843,BY174,$AS$7:$AS$1843,AS174,$BQ$7:$BQ$1843,"&lt;="&amp;BQ174),"")</f>
        <v>109.478894294112</v>
      </c>
      <c r="AU174" s="65" t="n">
        <f aca="false">IF(AT174="",0,MAX(0,MIN(1,(IF(BY174="L1",Parameter!$E$5,Parameter!$E$6+Parameter!$E$7)-(AT174-AP174))/AP174)))</f>
        <v>0</v>
      </c>
      <c r="AV174" s="57" t="n">
        <f aca="false">IF(LEFT(Cockpit!$O$5,1)="A",H174,IF(CA174=1,CB174,IF(LEFT(Cockpit!$O$5,1)="B",AZ174,MAX(AZ174,H174))))</f>
        <v>4</v>
      </c>
      <c r="AW174" s="57" t="n">
        <f aca="false">IF(BT174=1,0,ROUNDUP(AV174/BS174,0))</f>
        <v>1</v>
      </c>
      <c r="AX174" s="59" t="n">
        <f aca="false">IF(CH174&gt;0,CH174*MAX(1,AV174/X174),IF(BT174=1,IF(AV174&lt;=0,0,BW174*MAX(1,IF(H174&gt;0,AV174/H174,1))),IF(R174&gt;0,AW174/R174,0))/MAX(0.1,N(Parameter!$M$21)))</f>
        <v>0.0833333333333333</v>
      </c>
      <c r="AY174" s="57" t="n">
        <f aca="false">AV174*G174</f>
        <v>2134.8</v>
      </c>
      <c r="AZ174" s="57" t="n">
        <f aca="false">ROUNDUP(MAX(J174/IF(BZ174&gt;0,BZ174,MAX(0.1,N(Cockpit!$O$6))),CC174)/BS174,0)*BS174</f>
        <v>4</v>
      </c>
      <c r="BA174" s="58" t="n">
        <f aca="false">IF(AX174&gt;0,J174/AX174,-1)</f>
        <v>0</v>
      </c>
      <c r="BB174" s="58" t="n">
        <f aca="false">IF(AND(OR(BY174="L1",BY174="L23"),AX174&gt;0),SUMIFS($AX$7:$AX$1843,$BY$7:$BY$1843,BY174,$BA$7:$BA$1843,"&gt;"&amp;BA174)+SUMIFS($AX$7:$AX$1843,$BY$7:$BY$1843,BY174,$BA$7:$BA$1843,BA174,$BQ$7:$BQ$1843,"&lt;="&amp;BQ174),"")</f>
        <v>100.308731123949</v>
      </c>
      <c r="BC174" s="65" t="n">
        <f aca="false">IF(BB174="",0,MAX(0,MIN(1,(IF(BY174="L1",Parameter!$E$5,Parameter!$E$6+Parameter!$E$7)-(BB174-AX174))/AX174)))</f>
        <v>0</v>
      </c>
      <c r="BD174" s="55" t="str">
        <f aca="false">IF(AH174&lt;=0,"",IF(BY174="Aussen","Aussenlager",IF(BY174="-","Nicht im Lift",IF(AM174&gt;=1,"Lift",IF(AM174&lt;=0,"Aussenlager","teilweise")))))</f>
        <v>Lift</v>
      </c>
      <c r="BE174" s="55" t="str">
        <f aca="false">IF(AP174&lt;=0,"",IF(BY174="Aussen","Aussenlager",IF(BY174="-","Nicht im Lift",IF(AU174&gt;=1,"Lift",IF(AU174&lt;=0,"Aussenlager","teilweise")))))</f>
        <v>Aussenlager</v>
      </c>
      <c r="BF174" s="55" t="str">
        <f aca="false">IF(AX174&lt;=0,"",IF(BY174="Aussen","Aussenlager",IF(BY174="-","Nicht im Lift",IF(BC174&gt;=1,"Lift",IF(BC174&lt;=0,"Aussenlager","teilweise")))))</f>
        <v>Aussenlager</v>
      </c>
      <c r="BG174" s="55" t="str">
        <f aca="false">IF(A174="","",IF(BP174=1,"Neu; ","")&amp;IF(AND(BP174=0,BK174&lt;0),"negativer Bestand (Export "&amp;BK174&amp;"); ","")&amp;IF(J174&lt;=0,"Kein Verbrauch; ","")&amp;IF(CH174&gt;0,"Lift "&amp;W174&amp;" lt. Liftbericht (Fach "&amp;X174&amp;" Stk); ",IF(BU174=1,"Gebinde geschätzt ("&amp;T174&amp;"); ",IF(BT174=1,"Lose – Tablare geschätzt; ","")))&amp;IF(H174&gt;AR174,"Überbestand "&amp;ROUND(H174-AR174,0)&amp;" Stk / CHF "&amp;ROUND((H174-AR174)*G174,0)&amp;"; ","")&amp;IF(AND(CA174=1,CB174&lt;CC174),"MAX &lt; MB+LG; ","")&amp;IF(AND(CG174&gt;0,CF174*10&gt;CG174),"zu hoch für Tablar; ","")&amp;IF(AND(BP174=0,OR(CA174=1,AA174&lt;&gt;"",U174&lt;&gt;"",V174&lt;&gt;"",AB174&lt;&gt;"")),"manuell übersteuert; ","")&amp;IF(AND(BT174=0,R174=0),"Gebinde unbekannt / Stellmass fehlt; ","")&amp;IF(AND(BT174=0,N(V174)&lt;=0,N(Q174)&lt;=0),"Menge pro Gebinde fehlt (Ist = 1 Gebinde); ","")&amp;BO174)</f>
        <v>Kein Verbrauch; Gebinde geschätzt (Mittel); Menge pro Gebinde fehlt (Ist = 1 Gebinde); </v>
      </c>
      <c r="BH174" s="55"/>
      <c r="BI174" s="55"/>
      <c r="BJ174" s="62"/>
      <c r="BK174" s="57" t="n">
        <v>2</v>
      </c>
      <c r="BL174" s="57" t="n">
        <v>0</v>
      </c>
      <c r="BM174" s="56" t="n">
        <v>1067.4</v>
      </c>
      <c r="BN174" s="57" t="n">
        <v>0</v>
      </c>
      <c r="BO174" s="55"/>
      <c r="BP174" s="60" t="n">
        <v>0</v>
      </c>
      <c r="BQ174" s="60" t="n">
        <v>174</v>
      </c>
      <c r="BR174" s="55" t="str">
        <f aca="false">IF(U174&lt;&gt;"",UPPER(TRIM(U174)),IF(BU174=1,UPPER(VLOOKUP(T174,Parameter!$I$27:$K$29,2,0)),IF(P174="","LOSE",P174)))</f>
        <v>S61</v>
      </c>
      <c r="BS174" s="57" t="n">
        <f aca="false">IF(BR174="LOSE",1,IF(N(V174)&gt;0,V174,IF(BU174=1,MAX(1,N(VLOOKUP(T174,Parameter!$I$27:$K$29,3,0)),H174,N(N174)),IF(N(Q174)&gt;0,Q174,MAX(1,H174)))))</f>
        <v>4</v>
      </c>
      <c r="BT174" s="60" t="n">
        <f aca="false">IF(BR174="LOSE",1,0)</f>
        <v>0</v>
      </c>
      <c r="BU174" s="60" t="n">
        <f aca="false">IF(AND(U174="",OR(P174="",P174="LOSE"),T174&lt;&gt;"",N(S174)&lt;=0,ISNUMBER(MATCH(T174,Parameter!$I$27:$I$29,0))),1,0)</f>
        <v>1</v>
      </c>
      <c r="BV174" s="55" t="str">
        <f aca="false">IF(AND(Parameter!$B$19="Ja",E174&lt;&gt;"",ISNUMBER(MATCH(E174,Parameter!$I$35:$I$52,0))),VLOOKUP(E174,Parameter!$I$35:$J$52,2,0),IFERROR(VLOOKUP(D174,Parameter!$A$35:$C$64,2,0),"Nein"))</f>
        <v>2+3</v>
      </c>
      <c r="BW174" s="59" t="n">
        <f aca="false">IF(BT174=0,0,IF(N(S174)&gt;0,S174,IFERROR(VLOOKUP(D174,Parameter!$A$35:$C$64,3,0)+0,0)))</f>
        <v>0</v>
      </c>
      <c r="BX174" s="55" t="n">
        <f aca="false">IF(AA174&lt;&gt;"",AA174,Z174)</f>
        <v>2</v>
      </c>
      <c r="BY174" s="55" t="str">
        <f aca="false">IF(BX174=1,"L1",IF(OR(BX174=2,BX174=3),"L23",IF(BX174="Aussen","Aussen","-")))</f>
        <v>L23</v>
      </c>
      <c r="BZ174" s="66" t="n">
        <f aca="false">IF(N(AB174)&gt;0,AB174,0)</f>
        <v>0</v>
      </c>
      <c r="CA174" s="60" t="n">
        <f aca="false">IF(ISNUMBER(AE174),1,0)</f>
        <v>0</v>
      </c>
      <c r="CB174" s="57" t="n">
        <f aca="false">N(AE174)</f>
        <v>0</v>
      </c>
      <c r="CC174" s="57" t="n">
        <f aca="false">N(M174)+N(N174)</f>
        <v>1</v>
      </c>
      <c r="CD174" s="57" t="n">
        <f aca="false">ROUNDUP(H174/BS174,0)</f>
        <v>1</v>
      </c>
      <c r="CE174" s="57" t="n">
        <f aca="false">ROUNDUP(CB174/BS174,0)</f>
        <v>0</v>
      </c>
      <c r="CF174" s="60" t="n">
        <f aca="false">IF(BT174=1,0,IFERROR(VLOOKUP(BR174,'Gebinde-Kategorie'!$A$5:$M$45,5,0)+0,0))</f>
        <v>11</v>
      </c>
      <c r="CG174" s="60" t="n">
        <f aca="false">IFERROR(IF(OR(BX174=1,BX174=2,BX174=3),N(INDEX(Parameter!$I$5:$I$7,BX174)),0),0)</f>
        <v>0</v>
      </c>
      <c r="CH174" s="59" t="n">
        <f aca="false">IF(AND(Parameter!$B$21="Ja",ISNUMBER(W174),N(X174)&gt;0),IFERROR(N(INDEX(Parameter!$L$5:$L$7,W174))*INDEX(Parameter!$E$5:$E$7,W174)*X174/SUMIFS($X$7:$X$1843,$W$7:$W$1843,W174),0),0)</f>
        <v>0</v>
      </c>
    </row>
    <row r="175" customFormat="false" ht="15" hidden="false" customHeight="false" outlineLevel="0" collapsed="false">
      <c r="A175" s="55" t="s">
        <v>556</v>
      </c>
      <c r="B175" s="55" t="s">
        <v>557</v>
      </c>
      <c r="C175" s="55" t="s">
        <v>164</v>
      </c>
      <c r="D175" s="55" t="s">
        <v>184</v>
      </c>
      <c r="E175" s="55" t="s">
        <v>185</v>
      </c>
      <c r="F175" s="55" t="s">
        <v>218</v>
      </c>
      <c r="G175" s="56" t="n">
        <v>9.07</v>
      </c>
      <c r="H175" s="57" t="n">
        <f aca="false">MAX(0,IF(AND(Parameter!$B$21="Ja",ISNUMBER(Y175)),Y175,IF(Parameter!$B$20="Jahresanfang 2025 + Export",BL175+BK175,BK175)))</f>
        <v>207</v>
      </c>
      <c r="I175" s="57" t="n">
        <f aca="false">H175*G175</f>
        <v>1877.49</v>
      </c>
      <c r="J175" s="57" t="n">
        <f aca="false">BN175*Parameter!$B$18</f>
        <v>178</v>
      </c>
      <c r="K175" s="58" t="n">
        <v>76.5</v>
      </c>
      <c r="L175" s="59" t="n">
        <v>2.32679738562092</v>
      </c>
      <c r="M175" s="57" t="n">
        <v>13</v>
      </c>
      <c r="N175" s="57" t="n">
        <v>180</v>
      </c>
      <c r="O175" s="60" t="n">
        <v>28</v>
      </c>
      <c r="P175" s="55" t="s">
        <v>186</v>
      </c>
      <c r="Q175" s="57" t="n">
        <v>90</v>
      </c>
      <c r="R175" s="60" t="n">
        <f aca="false">IF(BT175=1,0,IFERROR(VLOOKUP(BR175,'Gebinde-Kategorie'!$A$5:$M$45,13,0)+0,0))</f>
        <v>12</v>
      </c>
      <c r="S175" s="61"/>
      <c r="T175" s="62"/>
      <c r="U175" s="62"/>
      <c r="V175" s="62"/>
      <c r="W175" s="55"/>
      <c r="X175" s="57"/>
      <c r="Y175" s="57"/>
      <c r="Z175" s="55" t="n">
        <f aca="false">IF(A175="","",IF(AND(Parameter!$B$21="Ja",ISNUMBER(W175)),W175,IF(BV175="2+3",IF(ISNUMBER(SEARCH("grosser Artikel",BO175)),2,IFERROR(VLOOKUP(BR175,Parameter!$F$35:$G$64,2,0),2)),IF(OR(BV175="Nein",BV175=""),"-",BV175))))</f>
        <v>2</v>
      </c>
      <c r="AA175" s="62"/>
      <c r="AB175" s="63"/>
      <c r="AC175" s="57" t="n">
        <f aca="false">AR175</f>
        <v>270</v>
      </c>
      <c r="AD175" s="57" t="n">
        <f aca="false">MAX(AR175,H175)</f>
        <v>270</v>
      </c>
      <c r="AE175" s="64"/>
      <c r="AF175" s="57" t="n">
        <f aca="false">IF(LEFT(Cockpit!$C$5,1)="A",H175,IF(CA175=1,CB175,IF(LEFT(Cockpit!$C$5,1)="B",AJ175,MAX(AJ175,H175))))</f>
        <v>207</v>
      </c>
      <c r="AG175" s="57" t="n">
        <f aca="false">IF(BT175=1,0,ROUNDUP(AF175/BS175,0))</f>
        <v>3</v>
      </c>
      <c r="AH175" s="59" t="n">
        <f aca="false">IF(CH175&gt;0,CH175*MAX(1,AF175/X175),IF(BT175=1,IF(AF175&lt;=0,0,BW175*MAX(1,IF(H175&gt;0,AF175/H175,1))),IF(R175&gt;0,AG175/R175,0))/MAX(0.1,N(Parameter!$M$21)))</f>
        <v>0.25</v>
      </c>
      <c r="AI175" s="57" t="n">
        <f aca="false">AF175*G175</f>
        <v>1877.49</v>
      </c>
      <c r="AJ175" s="57" t="n">
        <f aca="false">ROUNDUP(MAX(J175/IF(BZ175&gt;0,BZ175,MAX(0.1,N(Cockpit!$C$6))),CC175)/BS175,0)*BS175</f>
        <v>270</v>
      </c>
      <c r="AK175" s="58" t="n">
        <f aca="false">IF(AH175&gt;0,J175/AH175,-1)</f>
        <v>712</v>
      </c>
      <c r="AL175" s="58" t="n">
        <f aca="false">IF(AND(OR(BY175="L1",BY175="L23"),AH175&gt;0),SUMIFS($AH$7:$AH$1843,$BY$7:$BY$1843,BY175,$AK$7:$AK$1843,"&gt;"&amp;AK175)+SUMIFS($AH$7:$AH$1843,$BY$7:$BY$1843,BY175,$AK$7:$AK$1843,AK175,$BQ$7:$BQ$1843,"&lt;="&amp;BQ175),"")</f>
        <v>21.7583527583528</v>
      </c>
      <c r="AM175" s="65" t="n">
        <f aca="false">IF(AL175="",0,MAX(0,MIN(1,(IF(BY175="L1",Parameter!$E$5,Parameter!$E$6+Parameter!$E$7)-(AL175-AH175))/AH175)))</f>
        <v>1</v>
      </c>
      <c r="AN175" s="57" t="n">
        <f aca="false">IF(LEFT(Cockpit!$I$5,1)="A",H175,IF(CA175=1,CB175,IF(LEFT(Cockpit!$I$5,1)="B",AR175,MAX(AR175,H175))))</f>
        <v>270</v>
      </c>
      <c r="AO175" s="57" t="n">
        <f aca="false">IF(BT175=1,0,ROUNDUP(AN175/BS175,0))</f>
        <v>3</v>
      </c>
      <c r="AP175" s="59" t="n">
        <f aca="false">IF(CH175&gt;0,CH175*MAX(1,AN175/X175),IF(BT175=1,IF(AN175&lt;=0,0,BW175*MAX(1,IF(H175&gt;0,AN175/H175,1))),IF(R175&gt;0,AO175/R175,0))/MAX(0.1,N(Parameter!$M$21)))</f>
        <v>0.25</v>
      </c>
      <c r="AQ175" s="57" t="n">
        <f aca="false">AN175*G175</f>
        <v>2448.9</v>
      </c>
      <c r="AR175" s="57" t="n">
        <f aca="false">ROUNDUP(MAX(J175/IF(BZ175&gt;0,BZ175,MAX(0.1,N(Cockpit!$I$6))),CC175)/BS175,0)*BS175</f>
        <v>270</v>
      </c>
      <c r="AS175" s="58" t="n">
        <f aca="false">IF(AP175&gt;0,J175/AP175,-1)</f>
        <v>712</v>
      </c>
      <c r="AT175" s="58" t="n">
        <f aca="false">IF(AND(OR(BY175="L1",BY175="L23"),AP175&gt;0),SUMIFS($AP$7:$AP$1843,$BY$7:$BY$1843,BY175,$AS$7:$AS$1843,"&gt;"&amp;AS175)+SUMIFS($AP$7:$AP$1843,$BY$7:$BY$1843,BY175,$AS$7:$AS$1843,AS175,$BQ$7:$BQ$1843,"&lt;="&amp;BQ175),"")</f>
        <v>28.4838687882166</v>
      </c>
      <c r="AU175" s="65" t="n">
        <f aca="false">IF(AT175="",0,MAX(0,MIN(1,(IF(BY175="L1",Parameter!$E$5,Parameter!$E$6+Parameter!$E$7)-(AT175-AP175))/AP175)))</f>
        <v>1</v>
      </c>
      <c r="AV175" s="57" t="n">
        <f aca="false">IF(LEFT(Cockpit!$O$5,1)="A",H175,IF(CA175=1,CB175,IF(LEFT(Cockpit!$O$5,1)="B",AZ175,MAX(AZ175,H175))))</f>
        <v>270</v>
      </c>
      <c r="AW175" s="57" t="n">
        <f aca="false">IF(BT175=1,0,ROUNDUP(AV175/BS175,0))</f>
        <v>3</v>
      </c>
      <c r="AX175" s="59" t="n">
        <f aca="false">IF(CH175&gt;0,CH175*MAX(1,AV175/X175),IF(BT175=1,IF(AV175&lt;=0,0,BW175*MAX(1,IF(H175&gt;0,AV175/H175,1))),IF(R175&gt;0,AW175/R175,0))/MAX(0.1,N(Parameter!$M$21)))</f>
        <v>0.25</v>
      </c>
      <c r="AY175" s="57" t="n">
        <f aca="false">AV175*G175</f>
        <v>2448.9</v>
      </c>
      <c r="AZ175" s="57" t="n">
        <f aca="false">ROUNDUP(MAX(J175/IF(BZ175&gt;0,BZ175,MAX(0.1,N(Cockpit!$O$6))),CC175)/BS175,0)*BS175</f>
        <v>270</v>
      </c>
      <c r="BA175" s="58" t="n">
        <f aca="false">IF(AX175&gt;0,J175/AX175,-1)</f>
        <v>712</v>
      </c>
      <c r="BB175" s="58" t="n">
        <f aca="false">IF(AND(OR(BY175="L1",BY175="L23"),AX175&gt;0),SUMIFS($AX$7:$AX$1843,$BY$7:$BY$1843,BY175,$BA$7:$BA$1843,"&gt;"&amp;BA175)+SUMIFS($AX$7:$AX$1843,$BY$7:$BY$1843,BY175,$BA$7:$BA$1843,BA175,$BQ$7:$BQ$1843,"&lt;="&amp;BQ175),"")</f>
        <v>27.852167156515</v>
      </c>
      <c r="BC175" s="65" t="n">
        <f aca="false">IF(BB175="",0,MAX(0,MIN(1,(IF(BY175="L1",Parameter!$E$5,Parameter!$E$6+Parameter!$E$7)-(BB175-AX175))/AX175)))</f>
        <v>1</v>
      </c>
      <c r="BD175" s="55" t="str">
        <f aca="false">IF(AH175&lt;=0,"",IF(BY175="Aussen","Aussenlager",IF(BY175="-","Nicht im Lift",IF(AM175&gt;=1,"Lift",IF(AM175&lt;=0,"Aussenlager","teilweise")))))</f>
        <v>Lift</v>
      </c>
      <c r="BE175" s="55" t="str">
        <f aca="false">IF(AP175&lt;=0,"",IF(BY175="Aussen","Aussenlager",IF(BY175="-","Nicht im Lift",IF(AU175&gt;=1,"Lift",IF(AU175&lt;=0,"Aussenlager","teilweise")))))</f>
        <v>Lift</v>
      </c>
      <c r="BF175" s="55" t="str">
        <f aca="false">IF(AX175&lt;=0,"",IF(BY175="Aussen","Aussenlager",IF(BY175="-","Nicht im Lift",IF(BC175&gt;=1,"Lift",IF(BC175&lt;=0,"Aussenlager","teilweise")))))</f>
        <v>Lift</v>
      </c>
      <c r="BG175" s="55" t="str">
        <f aca="false">IF(A175="","",IF(BP175=1,"Neu; ","")&amp;IF(AND(BP175=0,BK175&lt;0),"negativer Bestand (Export "&amp;BK175&amp;"); ","")&amp;IF(J175&lt;=0,"Kein Verbrauch; ","")&amp;IF(CH175&gt;0,"Lift "&amp;W175&amp;" lt. Liftbericht (Fach "&amp;X175&amp;" Stk); ",IF(BU175=1,"Gebinde geschätzt ("&amp;T175&amp;"); ",IF(BT175=1,"Lose – Tablare geschätzt; ","")))&amp;IF(H175&gt;AR175,"Überbestand "&amp;ROUND(H175-AR175,0)&amp;" Stk / CHF "&amp;ROUND((H175-AR175)*G175,0)&amp;"; ","")&amp;IF(AND(CA175=1,CB175&lt;CC175),"MAX &lt; MB+LG; ","")&amp;IF(AND(CG175&gt;0,CF175*10&gt;CG175),"zu hoch für Tablar; ","")&amp;IF(AND(BP175=0,OR(CA175=1,AA175&lt;&gt;"",U175&lt;&gt;"",V175&lt;&gt;"",AB175&lt;&gt;"")),"manuell übersteuert; ","")&amp;IF(AND(BT175=0,R175=0),"Gebinde unbekannt / Stellmass fehlt; ","")&amp;IF(AND(BT175=0,N(V175)&lt;=0,N(Q175)&lt;=0),"Menge pro Gebinde fehlt (Ist = 1 Gebinde); ","")&amp;BO175)</f>
        <v>nicht im KTL vorhanden</v>
      </c>
      <c r="BH175" s="55"/>
      <c r="BI175" s="55"/>
      <c r="BJ175" s="62"/>
      <c r="BK175" s="57" t="n">
        <v>116</v>
      </c>
      <c r="BL175" s="57" t="n">
        <v>91</v>
      </c>
      <c r="BM175" s="56" t="n">
        <v>1053.94</v>
      </c>
      <c r="BN175" s="57" t="n">
        <v>178</v>
      </c>
      <c r="BO175" s="55" t="s">
        <v>230</v>
      </c>
      <c r="BP175" s="60" t="n">
        <v>0</v>
      </c>
      <c r="BQ175" s="60" t="n">
        <v>175</v>
      </c>
      <c r="BR175" s="55" t="str">
        <f aca="false">IF(U175&lt;&gt;"",UPPER(TRIM(U175)),IF(BU175=1,UPPER(VLOOKUP(T175,Parameter!$I$27:$K$29,2,0)),IF(P175="","LOSE",P175)))</f>
        <v>S61</v>
      </c>
      <c r="BS175" s="57" t="n">
        <f aca="false">IF(BR175="LOSE",1,IF(N(V175)&gt;0,V175,IF(BU175=1,MAX(1,N(VLOOKUP(T175,Parameter!$I$27:$K$29,3,0)),H175,N(N175)),IF(N(Q175)&gt;0,Q175,MAX(1,H175)))))</f>
        <v>90</v>
      </c>
      <c r="BT175" s="60" t="n">
        <f aca="false">IF(BR175="LOSE",1,0)</f>
        <v>0</v>
      </c>
      <c r="BU175" s="60" t="n">
        <f aca="false">IF(AND(U175="",OR(P175="",P175="LOSE"),T175&lt;&gt;"",N(S175)&lt;=0,ISNUMBER(MATCH(T175,Parameter!$I$27:$I$29,0))),1,0)</f>
        <v>0</v>
      </c>
      <c r="BV175" s="55" t="str">
        <f aca="false">IF(AND(Parameter!$B$19="Ja",E175&lt;&gt;"",ISNUMBER(MATCH(E175,Parameter!$I$35:$I$52,0))),VLOOKUP(E175,Parameter!$I$35:$J$52,2,0),IFERROR(VLOOKUP(D175,Parameter!$A$35:$C$64,2,0),"Nein"))</f>
        <v>2+3</v>
      </c>
      <c r="BW175" s="59" t="n">
        <f aca="false">IF(BT175=0,0,IF(N(S175)&gt;0,S175,IFERROR(VLOOKUP(D175,Parameter!$A$35:$C$64,3,0)+0,0)))</f>
        <v>0</v>
      </c>
      <c r="BX175" s="55" t="n">
        <f aca="false">IF(AA175&lt;&gt;"",AA175,Z175)</f>
        <v>2</v>
      </c>
      <c r="BY175" s="55" t="str">
        <f aca="false">IF(BX175=1,"L1",IF(OR(BX175=2,BX175=3),"L23",IF(BX175="Aussen","Aussen","-")))</f>
        <v>L23</v>
      </c>
      <c r="BZ175" s="66" t="n">
        <f aca="false">IF(N(AB175)&gt;0,AB175,0)</f>
        <v>0</v>
      </c>
      <c r="CA175" s="60" t="n">
        <f aca="false">IF(ISNUMBER(AE175),1,0)</f>
        <v>0</v>
      </c>
      <c r="CB175" s="57" t="n">
        <f aca="false">N(AE175)</f>
        <v>0</v>
      </c>
      <c r="CC175" s="57" t="n">
        <f aca="false">N(M175)+N(N175)</f>
        <v>193</v>
      </c>
      <c r="CD175" s="57" t="n">
        <f aca="false">ROUNDUP(H175/BS175,0)</f>
        <v>3</v>
      </c>
      <c r="CE175" s="57" t="n">
        <f aca="false">ROUNDUP(CB175/BS175,0)</f>
        <v>0</v>
      </c>
      <c r="CF175" s="60" t="n">
        <f aca="false">IF(BT175=1,0,IFERROR(VLOOKUP(BR175,'Gebinde-Kategorie'!$A$5:$M$45,5,0)+0,0))</f>
        <v>11</v>
      </c>
      <c r="CG175" s="60" t="n">
        <f aca="false">IFERROR(IF(OR(BX175=1,BX175=2,BX175=3),N(INDEX(Parameter!$I$5:$I$7,BX175)),0),0)</f>
        <v>0</v>
      </c>
      <c r="CH175" s="59" t="n">
        <f aca="false">IF(AND(Parameter!$B$21="Ja",ISNUMBER(W175),N(X175)&gt;0),IFERROR(N(INDEX(Parameter!$L$5:$L$7,W175))*INDEX(Parameter!$E$5:$E$7,W175)*X175/SUMIFS($X$7:$X$1843,$W$7:$W$1843,W175),0),0)</f>
        <v>0</v>
      </c>
    </row>
    <row r="176" customFormat="false" ht="15" hidden="false" customHeight="false" outlineLevel="0" collapsed="false">
      <c r="A176" s="55" t="s">
        <v>558</v>
      </c>
      <c r="B176" s="55" t="s">
        <v>559</v>
      </c>
      <c r="C176" s="55" t="s">
        <v>164</v>
      </c>
      <c r="D176" s="55" t="s">
        <v>184</v>
      </c>
      <c r="E176" s="55" t="s">
        <v>185</v>
      </c>
      <c r="F176" s="55" t="s">
        <v>218</v>
      </c>
      <c r="G176" s="56" t="n">
        <v>11.84</v>
      </c>
      <c r="H176" s="57" t="n">
        <f aca="false">MAX(0,IF(AND(Parameter!$B$21="Ja",ISNUMBER(Y176)),Y176,IF(Parameter!$B$20="Jahresanfang 2025 + Export",BL176+BK176,BK176)))</f>
        <v>149</v>
      </c>
      <c r="I176" s="57" t="n">
        <f aca="false">H176*G176</f>
        <v>1764.16</v>
      </c>
      <c r="J176" s="57" t="n">
        <f aca="false">BN176*Parameter!$B$18</f>
        <v>161</v>
      </c>
      <c r="K176" s="58" t="n">
        <v>60.5</v>
      </c>
      <c r="L176" s="59" t="n">
        <v>2.66115702479339</v>
      </c>
      <c r="M176" s="57" t="n">
        <v>12</v>
      </c>
      <c r="N176" s="57" t="n">
        <v>160</v>
      </c>
      <c r="O176" s="60" t="n">
        <v>28</v>
      </c>
      <c r="P176" s="55" t="s">
        <v>233</v>
      </c>
      <c r="Q176" s="57" t="n">
        <v>67</v>
      </c>
      <c r="R176" s="60" t="n">
        <f aca="false">IF(BT176=1,0,IFERROR(VLOOKUP(BR176,'Gebinde-Kategorie'!$A$5:$M$45,13,0)+0,0))</f>
        <v>26</v>
      </c>
      <c r="S176" s="61"/>
      <c r="T176" s="62"/>
      <c r="U176" s="62"/>
      <c r="V176" s="62"/>
      <c r="W176" s="55"/>
      <c r="X176" s="57"/>
      <c r="Y176" s="57"/>
      <c r="Z176" s="55" t="n">
        <f aca="false">IF(A176="","",IF(AND(Parameter!$B$21="Ja",ISNUMBER(W176)),W176,IF(BV176="2+3",IF(ISNUMBER(SEARCH("grosser Artikel",BO176)),2,IFERROR(VLOOKUP(BR176,Parameter!$F$35:$G$64,2,0),2)),IF(OR(BV176="Nein",BV176=""),"-",BV176))))</f>
        <v>3</v>
      </c>
      <c r="AA176" s="62"/>
      <c r="AB176" s="63"/>
      <c r="AC176" s="57" t="n">
        <f aca="false">AR176</f>
        <v>201</v>
      </c>
      <c r="AD176" s="57" t="n">
        <f aca="false">MAX(AR176,H176)</f>
        <v>201</v>
      </c>
      <c r="AE176" s="64"/>
      <c r="AF176" s="57" t="n">
        <f aca="false">IF(LEFT(Cockpit!$C$5,1)="A",H176,IF(CA176=1,CB176,IF(LEFT(Cockpit!$C$5,1)="B",AJ176,MAX(AJ176,H176))))</f>
        <v>149</v>
      </c>
      <c r="AG176" s="57" t="n">
        <f aca="false">IF(BT176=1,0,ROUNDUP(AF176/BS176,0))</f>
        <v>3</v>
      </c>
      <c r="AH176" s="59" t="n">
        <f aca="false">IF(CH176&gt;0,CH176*MAX(1,AF176/X176),IF(BT176=1,IF(AF176&lt;=0,0,BW176*MAX(1,IF(H176&gt;0,AF176/H176,1))),IF(R176&gt;0,AG176/R176,0))/MAX(0.1,N(Parameter!$M$21)))</f>
        <v>0.115384615384615</v>
      </c>
      <c r="AI176" s="57" t="n">
        <f aca="false">AF176*G176</f>
        <v>1764.16</v>
      </c>
      <c r="AJ176" s="57" t="n">
        <f aca="false">ROUNDUP(MAX(J176/IF(BZ176&gt;0,BZ176,MAX(0.1,N(Cockpit!$C$6))),CC176)/BS176,0)*BS176</f>
        <v>201</v>
      </c>
      <c r="AK176" s="58" t="n">
        <f aca="false">IF(AH176&gt;0,J176/AH176,-1)</f>
        <v>1395.33333333333</v>
      </c>
      <c r="AL176" s="58" t="n">
        <f aca="false">IF(AND(OR(BY176="L1",BY176="L23"),AH176&gt;0),SUMIFS($AH$7:$AH$1843,$BY$7:$BY$1843,BY176,$AK$7:$AK$1843,"&gt;"&amp;AK176)+SUMIFS($AH$7:$AH$1843,$BY$7:$BY$1843,BY176,$AK$7:$AK$1843,AK176,$BQ$7:$BQ$1843,"&lt;="&amp;BQ176),"")</f>
        <v>16.0943633661025</v>
      </c>
      <c r="AM176" s="65" t="n">
        <f aca="false">IF(AL176="",0,MAX(0,MIN(1,(IF(BY176="L1",Parameter!$E$5,Parameter!$E$6+Parameter!$E$7)-(AL176-AH176))/AH176)))</f>
        <v>1</v>
      </c>
      <c r="AN176" s="57" t="n">
        <f aca="false">IF(LEFT(Cockpit!$I$5,1)="A",H176,IF(CA176=1,CB176,IF(LEFT(Cockpit!$I$5,1)="B",AR176,MAX(AR176,H176))))</f>
        <v>201</v>
      </c>
      <c r="AO176" s="57" t="n">
        <f aca="false">IF(BT176=1,0,ROUNDUP(AN176/BS176,0))</f>
        <v>3</v>
      </c>
      <c r="AP176" s="59" t="n">
        <f aca="false">IF(CH176&gt;0,CH176*MAX(1,AN176/X176),IF(BT176=1,IF(AN176&lt;=0,0,BW176*MAX(1,IF(H176&gt;0,AN176/H176,1))),IF(R176&gt;0,AO176/R176,0))/MAX(0.1,N(Parameter!$M$21)))</f>
        <v>0.115384615384615</v>
      </c>
      <c r="AQ176" s="57" t="n">
        <f aca="false">AN176*G176</f>
        <v>2379.84</v>
      </c>
      <c r="AR176" s="57" t="n">
        <f aca="false">ROUNDUP(MAX(J176/IF(BZ176&gt;0,BZ176,MAX(0.1,N(Cockpit!$I$6))),CC176)/BS176,0)*BS176</f>
        <v>201</v>
      </c>
      <c r="AS176" s="58" t="n">
        <f aca="false">IF(AP176&gt;0,J176/AP176,-1)</f>
        <v>1395.33333333333</v>
      </c>
      <c r="AT176" s="58" t="n">
        <f aca="false">IF(AND(OR(BY176="L1",BY176="L23"),AP176&gt;0),SUMIFS($AP$7:$AP$1843,$BY$7:$BY$1843,BY176,$AS$7:$AS$1843,"&gt;"&amp;AS176)+SUMIFS($AP$7:$AP$1843,$BY$7:$BY$1843,BY176,$AS$7:$AS$1843,AS176,$BQ$7:$BQ$1843,"&lt;="&amp;BQ176),"")</f>
        <v>21.0346272085403</v>
      </c>
      <c r="AU176" s="65" t="n">
        <f aca="false">IF(AT176="",0,MAX(0,MIN(1,(IF(BY176="L1",Parameter!$E$5,Parameter!$E$6+Parameter!$E$7)-(AT176-AP176))/AP176)))</f>
        <v>1</v>
      </c>
      <c r="AV176" s="57" t="n">
        <f aca="false">IF(LEFT(Cockpit!$O$5,1)="A",H176,IF(CA176=1,CB176,IF(LEFT(Cockpit!$O$5,1)="B",AZ176,MAX(AZ176,H176))))</f>
        <v>201</v>
      </c>
      <c r="AW176" s="57" t="n">
        <f aca="false">IF(BT176=1,0,ROUNDUP(AV176/BS176,0))</f>
        <v>3</v>
      </c>
      <c r="AX176" s="59" t="n">
        <f aca="false">IF(CH176&gt;0,CH176*MAX(1,AV176/X176),IF(BT176=1,IF(AV176&lt;=0,0,BW176*MAX(1,IF(H176&gt;0,AV176/H176,1))),IF(R176&gt;0,AW176/R176,0))/MAX(0.1,N(Parameter!$M$21)))</f>
        <v>0.115384615384615</v>
      </c>
      <c r="AY176" s="57" t="n">
        <f aca="false">AV176*G176</f>
        <v>2379.84</v>
      </c>
      <c r="AZ176" s="57" t="n">
        <f aca="false">ROUNDUP(MAX(J176/IF(BZ176&gt;0,BZ176,MAX(0.1,N(Cockpit!$O$6))),CC176)/BS176,0)*BS176</f>
        <v>201</v>
      </c>
      <c r="BA176" s="58" t="n">
        <f aca="false">IF(AX176&gt;0,J176/AX176,-1)</f>
        <v>1395.33333333333</v>
      </c>
      <c r="BB176" s="58" t="n">
        <f aca="false">IF(AND(OR(BY176="L1",BY176="L23"),AX176&gt;0),SUMIFS($AX$7:$AX$1843,$BY$7:$BY$1843,BY176,$BA$7:$BA$1843,"&gt;"&amp;BA176)+SUMIFS($AX$7:$AX$1843,$BY$7:$BY$1843,BY176,$BA$7:$BA$1843,BA176,$BQ$7:$BQ$1843,"&lt;="&amp;BQ176),"")</f>
        <v>19.8965153204284</v>
      </c>
      <c r="BC176" s="65" t="n">
        <f aca="false">IF(BB176="",0,MAX(0,MIN(1,(IF(BY176="L1",Parameter!$E$5,Parameter!$E$6+Parameter!$E$7)-(BB176-AX176))/AX176)))</f>
        <v>1</v>
      </c>
      <c r="BD176" s="55" t="str">
        <f aca="false">IF(AH176&lt;=0,"",IF(BY176="Aussen","Aussenlager",IF(BY176="-","Nicht im Lift",IF(AM176&gt;=1,"Lift",IF(AM176&lt;=0,"Aussenlager","teilweise")))))</f>
        <v>Lift</v>
      </c>
      <c r="BE176" s="55" t="str">
        <f aca="false">IF(AP176&lt;=0,"",IF(BY176="Aussen","Aussenlager",IF(BY176="-","Nicht im Lift",IF(AU176&gt;=1,"Lift",IF(AU176&lt;=0,"Aussenlager","teilweise")))))</f>
        <v>Lift</v>
      </c>
      <c r="BF176" s="55" t="str">
        <f aca="false">IF(AX176&lt;=0,"",IF(BY176="Aussen","Aussenlager",IF(BY176="-","Nicht im Lift",IF(BC176&gt;=1,"Lift",IF(BC176&lt;=0,"Aussenlager","teilweise")))))</f>
        <v>Lift</v>
      </c>
      <c r="BG176" s="55" t="str">
        <f aca="false">IF(A176="","",IF(BP176=1,"Neu; ","")&amp;IF(AND(BP176=0,BK176&lt;0),"negativer Bestand (Export "&amp;BK176&amp;"); ","")&amp;IF(J176&lt;=0,"Kein Verbrauch; ","")&amp;IF(CH176&gt;0,"Lift "&amp;W176&amp;" lt. Liftbericht (Fach "&amp;X176&amp;" Stk); ",IF(BU176=1,"Gebinde geschätzt ("&amp;T176&amp;"); ",IF(BT176=1,"Lose – Tablare geschätzt; ","")))&amp;IF(H176&gt;AR176,"Überbestand "&amp;ROUND(H176-AR176,0)&amp;" Stk / CHF "&amp;ROUND((H176-AR176)*G176,0)&amp;"; ","")&amp;IF(AND(CA176=1,CB176&lt;CC176),"MAX &lt; MB+LG; ","")&amp;IF(AND(CG176&gt;0,CF176*10&gt;CG176),"zu hoch für Tablar; ","")&amp;IF(AND(BP176=0,OR(CA176=1,AA176&lt;&gt;"",U176&lt;&gt;"",V176&lt;&gt;"",AB176&lt;&gt;"")),"manuell übersteuert; ","")&amp;IF(AND(BT176=0,R176=0),"Gebinde unbekannt / Stellmass fehlt; ","")&amp;IF(AND(BT176=0,N(V176)&lt;=0,N(Q176)&lt;=0),"Menge pro Gebinde fehlt (Ist = 1 Gebinde); ","")&amp;BO176)</f>
        <v/>
      </c>
      <c r="BH176" s="55"/>
      <c r="BI176" s="55"/>
      <c r="BJ176" s="62"/>
      <c r="BK176" s="57" t="n">
        <v>88</v>
      </c>
      <c r="BL176" s="57" t="n">
        <v>61</v>
      </c>
      <c r="BM176" s="56" t="n">
        <v>1041.92</v>
      </c>
      <c r="BN176" s="57" t="n">
        <v>161</v>
      </c>
      <c r="BO176" s="55"/>
      <c r="BP176" s="60" t="n">
        <v>0</v>
      </c>
      <c r="BQ176" s="60" t="n">
        <v>176</v>
      </c>
      <c r="BR176" s="55" t="str">
        <f aca="false">IF(U176&lt;&gt;"",UPPER(TRIM(U176)),IF(BU176=1,UPPER(VLOOKUP(T176,Parameter!$I$27:$K$29,2,0)),IF(P176="","LOSE",P176)))</f>
        <v>S52</v>
      </c>
      <c r="BS176" s="57" t="n">
        <f aca="false">IF(BR176="LOSE",1,IF(N(V176)&gt;0,V176,IF(BU176=1,MAX(1,N(VLOOKUP(T176,Parameter!$I$27:$K$29,3,0)),H176,N(N176)),IF(N(Q176)&gt;0,Q176,MAX(1,H176)))))</f>
        <v>67</v>
      </c>
      <c r="BT176" s="60" t="n">
        <f aca="false">IF(BR176="LOSE",1,0)</f>
        <v>0</v>
      </c>
      <c r="BU176" s="60" t="n">
        <f aca="false">IF(AND(U176="",OR(P176="",P176="LOSE"),T176&lt;&gt;"",N(S176)&lt;=0,ISNUMBER(MATCH(T176,Parameter!$I$27:$I$29,0))),1,0)</f>
        <v>0</v>
      </c>
      <c r="BV176" s="55" t="str">
        <f aca="false">IF(AND(Parameter!$B$19="Ja",E176&lt;&gt;"",ISNUMBER(MATCH(E176,Parameter!$I$35:$I$52,0))),VLOOKUP(E176,Parameter!$I$35:$J$52,2,0),IFERROR(VLOOKUP(D176,Parameter!$A$35:$C$64,2,0),"Nein"))</f>
        <v>2+3</v>
      </c>
      <c r="BW176" s="59" t="n">
        <f aca="false">IF(BT176=0,0,IF(N(S176)&gt;0,S176,IFERROR(VLOOKUP(D176,Parameter!$A$35:$C$64,3,0)+0,0)))</f>
        <v>0</v>
      </c>
      <c r="BX176" s="55" t="n">
        <f aca="false">IF(AA176&lt;&gt;"",AA176,Z176)</f>
        <v>3</v>
      </c>
      <c r="BY176" s="55" t="str">
        <f aca="false">IF(BX176=1,"L1",IF(OR(BX176=2,BX176=3),"L23",IF(BX176="Aussen","Aussen","-")))</f>
        <v>L23</v>
      </c>
      <c r="BZ176" s="66" t="n">
        <f aca="false">IF(N(AB176)&gt;0,AB176,0)</f>
        <v>0</v>
      </c>
      <c r="CA176" s="60" t="n">
        <f aca="false">IF(ISNUMBER(AE176),1,0)</f>
        <v>0</v>
      </c>
      <c r="CB176" s="57" t="n">
        <f aca="false">N(AE176)</f>
        <v>0</v>
      </c>
      <c r="CC176" s="57" t="n">
        <f aca="false">N(M176)+N(N176)</f>
        <v>172</v>
      </c>
      <c r="CD176" s="57" t="n">
        <f aca="false">ROUNDUP(H176/BS176,0)</f>
        <v>3</v>
      </c>
      <c r="CE176" s="57" t="n">
        <f aca="false">ROUNDUP(CB176/BS176,0)</f>
        <v>0</v>
      </c>
      <c r="CF176" s="60" t="n">
        <f aca="false">IF(BT176=1,0,IFERROR(VLOOKUP(BR176,'Gebinde-Kategorie'!$A$5:$M$45,5,0)+0,0))</f>
        <v>21</v>
      </c>
      <c r="CG176" s="60" t="n">
        <f aca="false">IFERROR(IF(OR(BX176=1,BX176=2,BX176=3),N(INDEX(Parameter!$I$5:$I$7,BX176)),0),0)</f>
        <v>0</v>
      </c>
      <c r="CH176" s="59" t="n">
        <f aca="false">IF(AND(Parameter!$B$21="Ja",ISNUMBER(W176),N(X176)&gt;0),IFERROR(N(INDEX(Parameter!$L$5:$L$7,W176))*INDEX(Parameter!$E$5:$E$7,W176)*X176/SUMIFS($X$7:$X$1843,$W$7:$W$1843,W176),0),0)</f>
        <v>0</v>
      </c>
    </row>
    <row r="177" customFormat="false" ht="15" hidden="false" customHeight="false" outlineLevel="0" collapsed="false">
      <c r="A177" s="55" t="s">
        <v>560</v>
      </c>
      <c r="B177" s="55" t="s">
        <v>489</v>
      </c>
      <c r="C177" s="55" t="s">
        <v>164</v>
      </c>
      <c r="D177" s="55" t="s">
        <v>184</v>
      </c>
      <c r="E177" s="55" t="s">
        <v>185</v>
      </c>
      <c r="F177" s="55" t="s">
        <v>218</v>
      </c>
      <c r="G177" s="56" t="n">
        <v>1.51</v>
      </c>
      <c r="H177" s="57" t="n">
        <f aca="false">MAX(0,IF(AND(Parameter!$B$21="Ja",ISNUMBER(Y177)),Y177,IF(Parameter!$B$20="Jahresanfang 2025 + Export",BL177+BK177,BK177)))</f>
        <v>1155</v>
      </c>
      <c r="I177" s="57" t="n">
        <f aca="false">H177*G177</f>
        <v>1744.05</v>
      </c>
      <c r="J177" s="57" t="n">
        <f aca="false">BN177*Parameter!$B$18</f>
        <v>2212</v>
      </c>
      <c r="K177" s="58" t="n">
        <v>594.5</v>
      </c>
      <c r="L177" s="59" t="n">
        <v>3.72077375946173</v>
      </c>
      <c r="M177" s="57" t="n">
        <v>45</v>
      </c>
      <c r="N177" s="57" t="n">
        <v>1870</v>
      </c>
      <c r="O177" s="60" t="n">
        <v>7</v>
      </c>
      <c r="P177" s="55" t="s">
        <v>302</v>
      </c>
      <c r="Q177" s="57" t="n">
        <v>1322</v>
      </c>
      <c r="R177" s="60" t="n">
        <f aca="false">IF(BT177=1,0,IFERROR(VLOOKUP(BR177,'Gebinde-Kategorie'!$A$5:$M$45,13,0)+0,0))</f>
        <v>26</v>
      </c>
      <c r="S177" s="61"/>
      <c r="T177" s="62"/>
      <c r="U177" s="62"/>
      <c r="V177" s="62"/>
      <c r="W177" s="55"/>
      <c r="X177" s="57"/>
      <c r="Y177" s="57"/>
      <c r="Z177" s="55" t="n">
        <f aca="false">IF(A177="","",IF(AND(Parameter!$B$21="Ja",ISNUMBER(W177)),W177,IF(BV177="2+3",IF(ISNUMBER(SEARCH("grosser Artikel",BO177)),2,IFERROR(VLOOKUP(BR177,Parameter!$F$35:$G$64,2,0),2)),IF(OR(BV177="Nein",BV177=""),"-",BV177))))</f>
        <v>3</v>
      </c>
      <c r="AA177" s="62"/>
      <c r="AB177" s="63"/>
      <c r="AC177" s="57" t="n">
        <f aca="false">AR177</f>
        <v>2644</v>
      </c>
      <c r="AD177" s="57" t="n">
        <f aca="false">MAX(AR177,H177)</f>
        <v>2644</v>
      </c>
      <c r="AE177" s="64"/>
      <c r="AF177" s="57" t="n">
        <f aca="false">IF(LEFT(Cockpit!$C$5,1)="A",H177,IF(CA177=1,CB177,IF(LEFT(Cockpit!$C$5,1)="B",AJ177,MAX(AJ177,H177))))</f>
        <v>1155</v>
      </c>
      <c r="AG177" s="57" t="n">
        <f aca="false">IF(BT177=1,0,ROUNDUP(AF177/BS177,0))</f>
        <v>1</v>
      </c>
      <c r="AH177" s="59" t="n">
        <f aca="false">IF(CH177&gt;0,CH177*MAX(1,AF177/X177),IF(BT177=1,IF(AF177&lt;=0,0,BW177*MAX(1,IF(H177&gt;0,AF177/H177,1))),IF(R177&gt;0,AG177/R177,0))/MAX(0.1,N(Parameter!$M$21)))</f>
        <v>0.0384615384615385</v>
      </c>
      <c r="AI177" s="57" t="n">
        <f aca="false">AF177*G177</f>
        <v>1744.05</v>
      </c>
      <c r="AJ177" s="57" t="n">
        <f aca="false">ROUNDUP(MAX(J177/IF(BZ177&gt;0,BZ177,MAX(0.1,N(Cockpit!$C$6))),CC177)/BS177,0)*BS177</f>
        <v>2644</v>
      </c>
      <c r="AK177" s="58" t="n">
        <f aca="false">IF(AH177&gt;0,J177/AH177,-1)</f>
        <v>57512</v>
      </c>
      <c r="AL177" s="58" t="n">
        <f aca="false">IF(AND(OR(BY177="L1",BY177="L23"),AH177&gt;0),SUMIFS($AH$7:$AH$1843,$BY$7:$BY$1843,BY177,$AK$7:$AK$1843,"&gt;"&amp;AK177)+SUMIFS($AH$7:$AH$1843,$BY$7:$BY$1843,BY177,$AK$7:$AK$1843,AK177,$BQ$7:$BQ$1843,"&lt;="&amp;BQ177),"")</f>
        <v>1.11695550825986</v>
      </c>
      <c r="AM177" s="65" t="n">
        <f aca="false">IF(AL177="",0,MAX(0,MIN(1,(IF(BY177="L1",Parameter!$E$5,Parameter!$E$6+Parameter!$E$7)-(AL177-AH177))/AH177)))</f>
        <v>1</v>
      </c>
      <c r="AN177" s="57" t="n">
        <f aca="false">IF(LEFT(Cockpit!$I$5,1)="A",H177,IF(CA177=1,CB177,IF(LEFT(Cockpit!$I$5,1)="B",AR177,MAX(AR177,H177))))</f>
        <v>2644</v>
      </c>
      <c r="AO177" s="57" t="n">
        <f aca="false">IF(BT177=1,0,ROUNDUP(AN177/BS177,0))</f>
        <v>2</v>
      </c>
      <c r="AP177" s="59" t="n">
        <f aca="false">IF(CH177&gt;0,CH177*MAX(1,AN177/X177),IF(BT177=1,IF(AN177&lt;=0,0,BW177*MAX(1,IF(H177&gt;0,AN177/H177,1))),IF(R177&gt;0,AO177/R177,0))/MAX(0.1,N(Parameter!$M$21)))</f>
        <v>0.0769230769230769</v>
      </c>
      <c r="AQ177" s="57" t="n">
        <f aca="false">AN177*G177</f>
        <v>3992.44</v>
      </c>
      <c r="AR177" s="57" t="n">
        <f aca="false">ROUNDUP(MAX(J177/IF(BZ177&gt;0,BZ177,MAX(0.1,N(Cockpit!$I$6))),CC177)/BS177,0)*BS177</f>
        <v>2644</v>
      </c>
      <c r="AS177" s="58" t="n">
        <f aca="false">IF(AP177&gt;0,J177/AP177,-1)</f>
        <v>28756</v>
      </c>
      <c r="AT177" s="58" t="n">
        <f aca="false">IF(AND(OR(BY177="L1",BY177="L23"),AP177&gt;0),SUMIFS($AP$7:$AP$1843,$BY$7:$BY$1843,BY177,$AS$7:$AS$1843,"&gt;"&amp;AS177)+SUMIFS($AP$7:$AP$1843,$BY$7:$BY$1843,BY177,$AS$7:$AS$1843,AS177,$BQ$7:$BQ$1843,"&lt;="&amp;BQ177),"")</f>
        <v>3.4210837471707</v>
      </c>
      <c r="AU177" s="65" t="n">
        <f aca="false">IF(AT177="",0,MAX(0,MIN(1,(IF(BY177="L1",Parameter!$E$5,Parameter!$E$6+Parameter!$E$7)-(AT177-AP177))/AP177)))</f>
        <v>1</v>
      </c>
      <c r="AV177" s="57" t="n">
        <f aca="false">IF(LEFT(Cockpit!$O$5,1)="A",H177,IF(CA177=1,CB177,IF(LEFT(Cockpit!$O$5,1)="B",AZ177,MAX(AZ177,H177))))</f>
        <v>2644</v>
      </c>
      <c r="AW177" s="57" t="n">
        <f aca="false">IF(BT177=1,0,ROUNDUP(AV177/BS177,0))</f>
        <v>2</v>
      </c>
      <c r="AX177" s="59" t="n">
        <f aca="false">IF(CH177&gt;0,CH177*MAX(1,AV177/X177),IF(BT177=1,IF(AV177&lt;=0,0,BW177*MAX(1,IF(H177&gt;0,AV177/H177,1))),IF(R177&gt;0,AW177/R177,0))/MAX(0.1,N(Parameter!$M$21)))</f>
        <v>0.0769230769230769</v>
      </c>
      <c r="AY177" s="57" t="n">
        <f aca="false">AV177*G177</f>
        <v>3992.44</v>
      </c>
      <c r="AZ177" s="57" t="n">
        <f aca="false">ROUNDUP(MAX(J177/IF(BZ177&gt;0,BZ177,MAX(0.1,N(Cockpit!$O$6))),CC177)/BS177,0)*BS177</f>
        <v>2644</v>
      </c>
      <c r="BA177" s="58" t="n">
        <f aca="false">IF(AX177&gt;0,J177/AX177,-1)</f>
        <v>28756</v>
      </c>
      <c r="BB177" s="58" t="n">
        <f aca="false">IF(AND(OR(BY177="L1",BY177="L23"),AX177&gt;0),SUMIFS($AX$7:$AX$1843,$BY$7:$BY$1843,BY177,$BA$7:$BA$1843,"&gt;"&amp;BA177)+SUMIFS($AX$7:$AX$1843,$BY$7:$BY$1843,BY177,$BA$7:$BA$1843,BA177,$BQ$7:$BQ$1843,"&lt;="&amp;BQ177),"")</f>
        <v>3.15068747677443</v>
      </c>
      <c r="BC177" s="65" t="n">
        <f aca="false">IF(BB177="",0,MAX(0,MIN(1,(IF(BY177="L1",Parameter!$E$5,Parameter!$E$6+Parameter!$E$7)-(BB177-AX177))/AX177)))</f>
        <v>1</v>
      </c>
      <c r="BD177" s="55" t="str">
        <f aca="false">IF(AH177&lt;=0,"",IF(BY177="Aussen","Aussenlager",IF(BY177="-","Nicht im Lift",IF(AM177&gt;=1,"Lift",IF(AM177&lt;=0,"Aussenlager","teilweise")))))</f>
        <v>Lift</v>
      </c>
      <c r="BE177" s="55" t="str">
        <f aca="false">IF(AP177&lt;=0,"",IF(BY177="Aussen","Aussenlager",IF(BY177="-","Nicht im Lift",IF(AU177&gt;=1,"Lift",IF(AU177&lt;=0,"Aussenlager","teilweise")))))</f>
        <v>Lift</v>
      </c>
      <c r="BF177" s="55" t="str">
        <f aca="false">IF(AX177&lt;=0,"",IF(BY177="Aussen","Aussenlager",IF(BY177="-","Nicht im Lift",IF(BC177&gt;=1,"Lift",IF(BC177&lt;=0,"Aussenlager","teilweise")))))</f>
        <v>Lift</v>
      </c>
      <c r="BG177" s="55" t="str">
        <f aca="false">IF(A177="","",IF(BP177=1,"Neu; ","")&amp;IF(AND(BP177=0,BK177&lt;0),"negativer Bestand (Export "&amp;BK177&amp;"); ","")&amp;IF(J177&lt;=0,"Kein Verbrauch; ","")&amp;IF(CH177&gt;0,"Lift "&amp;W177&amp;" lt. Liftbericht (Fach "&amp;X177&amp;" Stk); ",IF(BU177=1,"Gebinde geschätzt ("&amp;T177&amp;"); ",IF(BT177=1,"Lose – Tablare geschätzt; ","")))&amp;IF(H177&gt;AR177,"Überbestand "&amp;ROUND(H177-AR177,0)&amp;" Stk / CHF "&amp;ROUND((H177-AR177)*G177,0)&amp;"; ","")&amp;IF(AND(CA177=1,CB177&lt;CC177),"MAX &lt; MB+LG; ","")&amp;IF(AND(CG177&gt;0,CF177*10&gt;CG177),"zu hoch für Tablar; ","")&amp;IF(AND(BP177=0,OR(CA177=1,AA177&lt;&gt;"",U177&lt;&gt;"",V177&lt;&gt;"",AB177&lt;&gt;"")),"manuell übersteuert; ","")&amp;IF(AND(BT177=0,R177=0),"Gebinde unbekannt / Stellmass fehlt; ","")&amp;IF(AND(BT177=0,N(V177)&lt;=0,N(Q177)&lt;=0),"Menge pro Gebinde fehlt (Ist = 1 Gebinde); ","")&amp;BO177)</f>
        <v/>
      </c>
      <c r="BH177" s="55"/>
      <c r="BI177" s="55"/>
      <c r="BJ177" s="62"/>
      <c r="BK177" s="57" t="n">
        <v>744</v>
      </c>
      <c r="BL177" s="57" t="n">
        <v>411</v>
      </c>
      <c r="BM177" s="56" t="n">
        <v>1039.86</v>
      </c>
      <c r="BN177" s="57" t="n">
        <v>2212</v>
      </c>
      <c r="BO177" s="55"/>
      <c r="BP177" s="60" t="n">
        <v>0</v>
      </c>
      <c r="BQ177" s="60" t="n">
        <v>177</v>
      </c>
      <c r="BR177" s="55" t="str">
        <f aca="false">IF(U177&lt;&gt;"",UPPER(TRIM(U177)),IF(BU177=1,UPPER(VLOOKUP(T177,Parameter!$I$27:$K$29,2,0)),IF(P177="","LOSE",P177)))</f>
        <v>S51</v>
      </c>
      <c r="BS177" s="57" t="n">
        <f aca="false">IF(BR177="LOSE",1,IF(N(V177)&gt;0,V177,IF(BU177=1,MAX(1,N(VLOOKUP(T177,Parameter!$I$27:$K$29,3,0)),H177,N(N177)),IF(N(Q177)&gt;0,Q177,MAX(1,H177)))))</f>
        <v>1322</v>
      </c>
      <c r="BT177" s="60" t="n">
        <f aca="false">IF(BR177="LOSE",1,0)</f>
        <v>0</v>
      </c>
      <c r="BU177" s="60" t="n">
        <f aca="false">IF(AND(U177="",OR(P177="",P177="LOSE"),T177&lt;&gt;"",N(S177)&lt;=0,ISNUMBER(MATCH(T177,Parameter!$I$27:$I$29,0))),1,0)</f>
        <v>0</v>
      </c>
      <c r="BV177" s="55" t="str">
        <f aca="false">IF(AND(Parameter!$B$19="Ja",E177&lt;&gt;"",ISNUMBER(MATCH(E177,Parameter!$I$35:$I$52,0))),VLOOKUP(E177,Parameter!$I$35:$J$52,2,0),IFERROR(VLOOKUP(D177,Parameter!$A$35:$C$64,2,0),"Nein"))</f>
        <v>2+3</v>
      </c>
      <c r="BW177" s="59" t="n">
        <f aca="false">IF(BT177=0,0,IF(N(S177)&gt;0,S177,IFERROR(VLOOKUP(D177,Parameter!$A$35:$C$64,3,0)+0,0)))</f>
        <v>0</v>
      </c>
      <c r="BX177" s="55" t="n">
        <f aca="false">IF(AA177&lt;&gt;"",AA177,Z177)</f>
        <v>3</v>
      </c>
      <c r="BY177" s="55" t="str">
        <f aca="false">IF(BX177=1,"L1",IF(OR(BX177=2,BX177=3),"L23",IF(BX177="Aussen","Aussen","-")))</f>
        <v>L23</v>
      </c>
      <c r="BZ177" s="66" t="n">
        <f aca="false">IF(N(AB177)&gt;0,AB177,0)</f>
        <v>0</v>
      </c>
      <c r="CA177" s="60" t="n">
        <f aca="false">IF(ISNUMBER(AE177),1,0)</f>
        <v>0</v>
      </c>
      <c r="CB177" s="57" t="n">
        <f aca="false">N(AE177)</f>
        <v>0</v>
      </c>
      <c r="CC177" s="57" t="n">
        <f aca="false">N(M177)+N(N177)</f>
        <v>1915</v>
      </c>
      <c r="CD177" s="57" t="n">
        <f aca="false">ROUNDUP(H177/BS177,0)</f>
        <v>1</v>
      </c>
      <c r="CE177" s="57" t="n">
        <f aca="false">ROUNDUP(CB177/BS177,0)</f>
        <v>0</v>
      </c>
      <c r="CF177" s="60" t="n">
        <f aca="false">IF(BT177=1,0,IFERROR(VLOOKUP(BR177,'Gebinde-Kategorie'!$A$5:$M$45,5,0)+0,0))</f>
        <v>11</v>
      </c>
      <c r="CG177" s="60" t="n">
        <f aca="false">IFERROR(IF(OR(BX177=1,BX177=2,BX177=3),N(INDEX(Parameter!$I$5:$I$7,BX177)),0),0)</f>
        <v>0</v>
      </c>
      <c r="CH177" s="59" t="n">
        <f aca="false">IF(AND(Parameter!$B$21="Ja",ISNUMBER(W177),N(X177)&gt;0),IFERROR(N(INDEX(Parameter!$L$5:$L$7,W177))*INDEX(Parameter!$E$5:$E$7,W177)*X177/SUMIFS($X$7:$X$1843,$W$7:$W$1843,W177),0),0)</f>
        <v>0</v>
      </c>
    </row>
    <row r="178" customFormat="false" ht="15" hidden="false" customHeight="false" outlineLevel="0" collapsed="false">
      <c r="A178" s="55" t="s">
        <v>561</v>
      </c>
      <c r="B178" s="55" t="s">
        <v>562</v>
      </c>
      <c r="C178" s="55" t="s">
        <v>164</v>
      </c>
      <c r="D178" s="55" t="s">
        <v>184</v>
      </c>
      <c r="E178" s="55" t="s">
        <v>185</v>
      </c>
      <c r="F178" s="55" t="s">
        <v>218</v>
      </c>
      <c r="G178" s="56" t="n">
        <v>62.49</v>
      </c>
      <c r="H178" s="57" t="n">
        <f aca="false">MAX(0,IF(AND(Parameter!$B$21="Ja",ISNUMBER(Y178)),Y178,IF(Parameter!$B$20="Jahresanfang 2025 + Export",BL178+BK178,BK178)))</f>
        <v>39</v>
      </c>
      <c r="I178" s="57" t="n">
        <f aca="false">H178*G178</f>
        <v>2437.11</v>
      </c>
      <c r="J178" s="57" t="n">
        <f aca="false">BN178*Parameter!$B$18</f>
        <v>69</v>
      </c>
      <c r="K178" s="58" t="n">
        <v>46</v>
      </c>
      <c r="L178" s="59" t="n">
        <v>1.5</v>
      </c>
      <c r="M178" s="57" t="n">
        <v>15</v>
      </c>
      <c r="N178" s="57" t="n">
        <v>50</v>
      </c>
      <c r="O178" s="60" t="n">
        <v>56</v>
      </c>
      <c r="P178" s="55" t="s">
        <v>302</v>
      </c>
      <c r="Q178" s="57" t="n">
        <v>43</v>
      </c>
      <c r="R178" s="60" t="n">
        <f aca="false">IF(BT178=1,0,IFERROR(VLOOKUP(BR178,'Gebinde-Kategorie'!$A$5:$M$45,13,0)+0,0))</f>
        <v>26</v>
      </c>
      <c r="S178" s="61"/>
      <c r="T178" s="62"/>
      <c r="U178" s="62"/>
      <c r="V178" s="62"/>
      <c r="W178" s="55"/>
      <c r="X178" s="57"/>
      <c r="Y178" s="57"/>
      <c r="Z178" s="55" t="n">
        <f aca="false">IF(A178="","",IF(AND(Parameter!$B$21="Ja",ISNUMBER(W178)),W178,IF(BV178="2+3",IF(ISNUMBER(SEARCH("grosser Artikel",BO178)),2,IFERROR(VLOOKUP(BR178,Parameter!$F$35:$G$64,2,0),2)),IF(OR(BV178="Nein",BV178=""),"-",BV178))))</f>
        <v>3</v>
      </c>
      <c r="AA178" s="62"/>
      <c r="AB178" s="63"/>
      <c r="AC178" s="57" t="n">
        <f aca="false">AR178</f>
        <v>86</v>
      </c>
      <c r="AD178" s="57" t="n">
        <f aca="false">MAX(AR178,H178)</f>
        <v>86</v>
      </c>
      <c r="AE178" s="64"/>
      <c r="AF178" s="57" t="n">
        <f aca="false">IF(LEFT(Cockpit!$C$5,1)="A",H178,IF(CA178=1,CB178,IF(LEFT(Cockpit!$C$5,1)="B",AJ178,MAX(AJ178,H178))))</f>
        <v>39</v>
      </c>
      <c r="AG178" s="57" t="n">
        <f aca="false">IF(BT178=1,0,ROUNDUP(AF178/BS178,0))</f>
        <v>1</v>
      </c>
      <c r="AH178" s="59" t="n">
        <f aca="false">IF(CH178&gt;0,CH178*MAX(1,AF178/X178),IF(BT178=1,IF(AF178&lt;=0,0,BW178*MAX(1,IF(H178&gt;0,AF178/H178,1))),IF(R178&gt;0,AG178/R178,0))/MAX(0.1,N(Parameter!$M$21)))</f>
        <v>0.0384615384615385</v>
      </c>
      <c r="AI178" s="57" t="n">
        <f aca="false">AF178*G178</f>
        <v>2437.11</v>
      </c>
      <c r="AJ178" s="57" t="n">
        <f aca="false">ROUNDUP(MAX(J178/IF(BZ178&gt;0,BZ178,MAX(0.1,N(Cockpit!$C$6))),CC178)/BS178,0)*BS178</f>
        <v>86</v>
      </c>
      <c r="AK178" s="58" t="n">
        <f aca="false">IF(AH178&gt;0,J178/AH178,-1)</f>
        <v>1794</v>
      </c>
      <c r="AL178" s="58" t="n">
        <f aca="false">IF(AND(OR(BY178="L1",BY178="L23"),AH178&gt;0),SUMIFS($AH$7:$AH$1843,$BY$7:$BY$1843,BY178,$AK$7:$AK$1843,"&gt;"&amp;AK178)+SUMIFS($AH$7:$AH$1843,$BY$7:$BY$1843,BY178,$AK$7:$AK$1843,AK178,$BQ$7:$BQ$1843,"&lt;="&amp;BQ178),"")</f>
        <v>14.515962298571</v>
      </c>
      <c r="AM178" s="65" t="n">
        <f aca="false">IF(AL178="",0,MAX(0,MIN(1,(IF(BY178="L1",Parameter!$E$5,Parameter!$E$6+Parameter!$E$7)-(AL178-AH178))/AH178)))</f>
        <v>1</v>
      </c>
      <c r="AN178" s="57" t="n">
        <f aca="false">IF(LEFT(Cockpit!$I$5,1)="A",H178,IF(CA178=1,CB178,IF(LEFT(Cockpit!$I$5,1)="B",AR178,MAX(AR178,H178))))</f>
        <v>86</v>
      </c>
      <c r="AO178" s="57" t="n">
        <f aca="false">IF(BT178=1,0,ROUNDUP(AN178/BS178,0))</f>
        <v>2</v>
      </c>
      <c r="AP178" s="59" t="n">
        <f aca="false">IF(CH178&gt;0,CH178*MAX(1,AN178/X178),IF(BT178=1,IF(AN178&lt;=0,0,BW178*MAX(1,IF(H178&gt;0,AN178/H178,1))),IF(R178&gt;0,AO178/R178,0))/MAX(0.1,N(Parameter!$M$21)))</f>
        <v>0.0769230769230769</v>
      </c>
      <c r="AQ178" s="57" t="n">
        <f aca="false">AN178*G178</f>
        <v>5374.14</v>
      </c>
      <c r="AR178" s="57" t="n">
        <f aca="false">ROUNDUP(MAX(J178/IF(BZ178&gt;0,BZ178,MAX(0.1,N(Cockpit!$I$6))),CC178)/BS178,0)*BS178</f>
        <v>86</v>
      </c>
      <c r="AS178" s="58" t="n">
        <f aca="false">IF(AP178&gt;0,J178/AP178,-1)</f>
        <v>897</v>
      </c>
      <c r="AT178" s="58" t="n">
        <f aca="false">IF(AND(OR(BY178="L1",BY178="L23"),AP178&gt;0),SUMIFS($AP$7:$AP$1843,$BY$7:$BY$1843,BY178,$AS$7:$AS$1843,"&gt;"&amp;AS178)+SUMIFS($AP$7:$AP$1843,$BY$7:$BY$1843,BY178,$AS$7:$AS$1843,AS178,$BQ$7:$BQ$1843,"&lt;="&amp;BQ178),"")</f>
        <v>24.7555234620452</v>
      </c>
      <c r="AU178" s="65" t="n">
        <f aca="false">IF(AT178="",0,MAX(0,MIN(1,(IF(BY178="L1",Parameter!$E$5,Parameter!$E$6+Parameter!$E$7)-(AT178-AP178))/AP178)))</f>
        <v>1</v>
      </c>
      <c r="AV178" s="57" t="n">
        <f aca="false">IF(LEFT(Cockpit!$O$5,1)="A",H178,IF(CA178=1,CB178,IF(LEFT(Cockpit!$O$5,1)="B",AZ178,MAX(AZ178,H178))))</f>
        <v>86</v>
      </c>
      <c r="AW178" s="57" t="n">
        <f aca="false">IF(BT178=1,0,ROUNDUP(AV178/BS178,0))</f>
        <v>2</v>
      </c>
      <c r="AX178" s="59" t="n">
        <f aca="false">IF(CH178&gt;0,CH178*MAX(1,AV178/X178),IF(BT178=1,IF(AV178&lt;=0,0,BW178*MAX(1,IF(H178&gt;0,AV178/H178,1))),IF(R178&gt;0,AW178/R178,0))/MAX(0.1,N(Parameter!$M$21)))</f>
        <v>0.0769230769230769</v>
      </c>
      <c r="AY178" s="57" t="n">
        <f aca="false">AV178*G178</f>
        <v>5374.14</v>
      </c>
      <c r="AZ178" s="57" t="n">
        <f aca="false">ROUNDUP(MAX(J178/IF(BZ178&gt;0,BZ178,MAX(0.1,N(Cockpit!$O$6))),CC178)/BS178,0)*BS178</f>
        <v>86</v>
      </c>
      <c r="BA178" s="58" t="n">
        <f aca="false">IF(AX178&gt;0,J178/AX178,-1)</f>
        <v>897</v>
      </c>
      <c r="BB178" s="58" t="n">
        <f aca="false">IF(AND(OR(BY178="L1",BY178="L23"),AX178&gt;0),SUMIFS($AX$7:$AX$1843,$BY$7:$BY$1843,BY178,$BA$7:$BA$1843,"&gt;"&amp;BA178)+SUMIFS($AX$7:$AX$1843,$BY$7:$BY$1843,BY178,$BA$7:$BA$1843,BA178,$BQ$7:$BQ$1843,"&lt;="&amp;BQ178),"")</f>
        <v>24.3738218303436</v>
      </c>
      <c r="BC178" s="65" t="n">
        <f aca="false">IF(BB178="",0,MAX(0,MIN(1,(IF(BY178="L1",Parameter!$E$5,Parameter!$E$6+Parameter!$E$7)-(BB178-AX178))/AX178)))</f>
        <v>1</v>
      </c>
      <c r="BD178" s="55" t="str">
        <f aca="false">IF(AH178&lt;=0,"",IF(BY178="Aussen","Aussenlager",IF(BY178="-","Nicht im Lift",IF(AM178&gt;=1,"Lift",IF(AM178&lt;=0,"Aussenlager","teilweise")))))</f>
        <v>Lift</v>
      </c>
      <c r="BE178" s="55" t="str">
        <f aca="false">IF(AP178&lt;=0,"",IF(BY178="Aussen","Aussenlager",IF(BY178="-","Nicht im Lift",IF(AU178&gt;=1,"Lift",IF(AU178&lt;=0,"Aussenlager","teilweise")))))</f>
        <v>Lift</v>
      </c>
      <c r="BF178" s="55" t="str">
        <f aca="false">IF(AX178&lt;=0,"",IF(BY178="Aussen","Aussenlager",IF(BY178="-","Nicht im Lift",IF(BC178&gt;=1,"Lift",IF(BC178&lt;=0,"Aussenlager","teilweise")))))</f>
        <v>Lift</v>
      </c>
      <c r="BG178" s="55" t="str">
        <f aca="false">IF(A178="","",IF(BP178=1,"Neu; ","")&amp;IF(AND(BP178=0,BK178&lt;0),"negativer Bestand (Export "&amp;BK178&amp;"); ","")&amp;IF(J178&lt;=0,"Kein Verbrauch; ","")&amp;IF(CH178&gt;0,"Lift "&amp;W178&amp;" lt. Liftbericht (Fach "&amp;X178&amp;" Stk); ",IF(BU178=1,"Gebinde geschätzt ("&amp;T178&amp;"); ",IF(BT178=1,"Lose – Tablare geschätzt; ","")))&amp;IF(H178&gt;AR178,"Überbestand "&amp;ROUND(H178-AR178,0)&amp;" Stk / CHF "&amp;ROUND((H178-AR178)*G178,0)&amp;"; ","")&amp;IF(AND(CA178=1,CB178&lt;CC178),"MAX &lt; MB+LG; ","")&amp;IF(AND(CG178&gt;0,CF178*10&gt;CG178),"zu hoch für Tablar; ","")&amp;IF(AND(BP178=0,OR(CA178=1,AA178&lt;&gt;"",U178&lt;&gt;"",V178&lt;&gt;"",AB178&lt;&gt;"")),"manuell übersteuert; ","")&amp;IF(AND(BT178=0,R178=0),"Gebinde unbekannt / Stellmass fehlt; ","")&amp;IF(AND(BT178=0,N(V178)&lt;=0,N(Q178)&lt;=0),"Menge pro Gebinde fehlt (Ist = 1 Gebinde); ","")&amp;BO178)</f>
        <v/>
      </c>
      <c r="BH178" s="55"/>
      <c r="BI178" s="55"/>
      <c r="BJ178" s="62"/>
      <c r="BK178" s="57" t="n">
        <v>23</v>
      </c>
      <c r="BL178" s="57" t="n">
        <v>16</v>
      </c>
      <c r="BM178" s="56" t="n">
        <v>1027.83</v>
      </c>
      <c r="BN178" s="57" t="n">
        <v>69</v>
      </c>
      <c r="BO178" s="55"/>
      <c r="BP178" s="60" t="n">
        <v>0</v>
      </c>
      <c r="BQ178" s="60" t="n">
        <v>178</v>
      </c>
      <c r="BR178" s="55" t="str">
        <f aca="false">IF(U178&lt;&gt;"",UPPER(TRIM(U178)),IF(BU178=1,UPPER(VLOOKUP(T178,Parameter!$I$27:$K$29,2,0)),IF(P178="","LOSE",P178)))</f>
        <v>S51</v>
      </c>
      <c r="BS178" s="57" t="n">
        <f aca="false">IF(BR178="LOSE",1,IF(N(V178)&gt;0,V178,IF(BU178=1,MAX(1,N(VLOOKUP(T178,Parameter!$I$27:$K$29,3,0)),H178,N(N178)),IF(N(Q178)&gt;0,Q178,MAX(1,H178)))))</f>
        <v>43</v>
      </c>
      <c r="BT178" s="60" t="n">
        <f aca="false">IF(BR178="LOSE",1,0)</f>
        <v>0</v>
      </c>
      <c r="BU178" s="60" t="n">
        <f aca="false">IF(AND(U178="",OR(P178="",P178="LOSE"),T178&lt;&gt;"",N(S178)&lt;=0,ISNUMBER(MATCH(T178,Parameter!$I$27:$I$29,0))),1,0)</f>
        <v>0</v>
      </c>
      <c r="BV178" s="55" t="str">
        <f aca="false">IF(AND(Parameter!$B$19="Ja",E178&lt;&gt;"",ISNUMBER(MATCH(E178,Parameter!$I$35:$I$52,0))),VLOOKUP(E178,Parameter!$I$35:$J$52,2,0),IFERROR(VLOOKUP(D178,Parameter!$A$35:$C$64,2,0),"Nein"))</f>
        <v>2+3</v>
      </c>
      <c r="BW178" s="59" t="n">
        <f aca="false">IF(BT178=0,0,IF(N(S178)&gt;0,S178,IFERROR(VLOOKUP(D178,Parameter!$A$35:$C$64,3,0)+0,0)))</f>
        <v>0</v>
      </c>
      <c r="BX178" s="55" t="n">
        <f aca="false">IF(AA178&lt;&gt;"",AA178,Z178)</f>
        <v>3</v>
      </c>
      <c r="BY178" s="55" t="str">
        <f aca="false">IF(BX178=1,"L1",IF(OR(BX178=2,BX178=3),"L23",IF(BX178="Aussen","Aussen","-")))</f>
        <v>L23</v>
      </c>
      <c r="BZ178" s="66" t="n">
        <f aca="false">IF(N(AB178)&gt;0,AB178,0)</f>
        <v>0</v>
      </c>
      <c r="CA178" s="60" t="n">
        <f aca="false">IF(ISNUMBER(AE178),1,0)</f>
        <v>0</v>
      </c>
      <c r="CB178" s="57" t="n">
        <f aca="false">N(AE178)</f>
        <v>0</v>
      </c>
      <c r="CC178" s="57" t="n">
        <f aca="false">N(M178)+N(N178)</f>
        <v>65</v>
      </c>
      <c r="CD178" s="57" t="n">
        <f aca="false">ROUNDUP(H178/BS178,0)</f>
        <v>1</v>
      </c>
      <c r="CE178" s="57" t="n">
        <f aca="false">ROUNDUP(CB178/BS178,0)</f>
        <v>0</v>
      </c>
      <c r="CF178" s="60" t="n">
        <f aca="false">IF(BT178=1,0,IFERROR(VLOOKUP(BR178,'Gebinde-Kategorie'!$A$5:$M$45,5,0)+0,0))</f>
        <v>11</v>
      </c>
      <c r="CG178" s="60" t="n">
        <f aca="false">IFERROR(IF(OR(BX178=1,BX178=2,BX178=3),N(INDEX(Parameter!$I$5:$I$7,BX178)),0),0)</f>
        <v>0</v>
      </c>
      <c r="CH178" s="59" t="n">
        <f aca="false">IF(AND(Parameter!$B$21="Ja",ISNUMBER(W178),N(X178)&gt;0),IFERROR(N(INDEX(Parameter!$L$5:$L$7,W178))*INDEX(Parameter!$E$5:$E$7,W178)*X178/SUMIFS($X$7:$X$1843,$W$7:$W$1843,W178),0),0)</f>
        <v>0</v>
      </c>
    </row>
    <row r="179" customFormat="false" ht="15" hidden="false" customHeight="false" outlineLevel="0" collapsed="false">
      <c r="A179" s="55" t="s">
        <v>563</v>
      </c>
      <c r="B179" s="55" t="s">
        <v>564</v>
      </c>
      <c r="C179" s="55" t="s">
        <v>164</v>
      </c>
      <c r="D179" s="55" t="s">
        <v>184</v>
      </c>
      <c r="E179" s="55" t="s">
        <v>185</v>
      </c>
      <c r="F179" s="55" t="s">
        <v>218</v>
      </c>
      <c r="G179" s="56" t="n">
        <v>17.82</v>
      </c>
      <c r="H179" s="57" t="n">
        <f aca="false">MAX(0,IF(AND(Parameter!$B$21="Ja",ISNUMBER(Y179)),Y179,IF(Parameter!$B$20="Jahresanfang 2025 + Export",BL179+BK179,BK179)))</f>
        <v>71</v>
      </c>
      <c r="I179" s="57" t="n">
        <f aca="false">H179*G179</f>
        <v>1265.22</v>
      </c>
      <c r="J179" s="57" t="n">
        <f aca="false">BN179*Parameter!$B$18</f>
        <v>10</v>
      </c>
      <c r="K179" s="58" t="n">
        <v>9.5</v>
      </c>
      <c r="L179" s="59" t="n">
        <v>1.05263157894737</v>
      </c>
      <c r="M179" s="57" t="n">
        <v>0</v>
      </c>
      <c r="N179" s="57" t="n">
        <v>10</v>
      </c>
      <c r="O179" s="60" t="n">
        <v>28</v>
      </c>
      <c r="P179" s="55" t="s">
        <v>476</v>
      </c>
      <c r="Q179" s="57" t="n">
        <v>27</v>
      </c>
      <c r="R179" s="60" t="n">
        <f aca="false">IF(BT179=1,0,IFERROR(VLOOKUP(BR179,'Gebinde-Kategorie'!$A$5:$M$45,13,0)+0,0))</f>
        <v>66</v>
      </c>
      <c r="S179" s="61"/>
      <c r="T179" s="62"/>
      <c r="U179" s="62"/>
      <c r="V179" s="62"/>
      <c r="W179" s="55"/>
      <c r="X179" s="57"/>
      <c r="Y179" s="57"/>
      <c r="Z179" s="55" t="n">
        <f aca="false">IF(A179="","",IF(AND(Parameter!$B$21="Ja",ISNUMBER(W179)),W179,IF(BV179="2+3",IF(ISNUMBER(SEARCH("grosser Artikel",BO179)),2,IFERROR(VLOOKUP(BR179,Parameter!$F$35:$G$64,2,0),2)),IF(OR(BV179="Nein",BV179=""),"-",BV179))))</f>
        <v>3</v>
      </c>
      <c r="AA179" s="62"/>
      <c r="AB179" s="63"/>
      <c r="AC179" s="57" t="n">
        <f aca="false">AR179</f>
        <v>27</v>
      </c>
      <c r="AD179" s="57" t="n">
        <f aca="false">MAX(AR179,H179)</f>
        <v>71</v>
      </c>
      <c r="AE179" s="64"/>
      <c r="AF179" s="57" t="n">
        <f aca="false">IF(LEFT(Cockpit!$C$5,1)="A",H179,IF(CA179=1,CB179,IF(LEFT(Cockpit!$C$5,1)="B",AJ179,MAX(AJ179,H179))))</f>
        <v>71</v>
      </c>
      <c r="AG179" s="57" t="n">
        <f aca="false">IF(BT179=1,0,ROUNDUP(AF179/BS179,0))</f>
        <v>3</v>
      </c>
      <c r="AH179" s="59" t="n">
        <f aca="false">IF(CH179&gt;0,CH179*MAX(1,AF179/X179),IF(BT179=1,IF(AF179&lt;=0,0,BW179*MAX(1,IF(H179&gt;0,AF179/H179,1))),IF(R179&gt;0,AG179/R179,0))/MAX(0.1,N(Parameter!$M$21)))</f>
        <v>0.0454545454545455</v>
      </c>
      <c r="AI179" s="57" t="n">
        <f aca="false">AF179*G179</f>
        <v>1265.22</v>
      </c>
      <c r="AJ179" s="57" t="n">
        <f aca="false">ROUNDUP(MAX(J179/IF(BZ179&gt;0,BZ179,MAX(0.1,N(Cockpit!$C$6))),CC179)/BS179,0)*BS179</f>
        <v>27</v>
      </c>
      <c r="AK179" s="58" t="n">
        <f aca="false">IF(AH179&gt;0,J179/AH179,-1)</f>
        <v>220</v>
      </c>
      <c r="AL179" s="58" t="n">
        <f aca="false">IF(AND(OR(BY179="L1",BY179="L23"),AH179&gt;0),SUMIFS($AH$7:$AH$1843,$BY$7:$BY$1843,BY179,$AK$7:$AK$1843,"&gt;"&amp;AK179)+SUMIFS($AH$7:$AH$1843,$BY$7:$BY$1843,BY179,$AK$7:$AK$1843,AK179,$BQ$7:$BQ$1843,"&lt;="&amp;BQ179),"")</f>
        <v>31.4569693591433</v>
      </c>
      <c r="AM179" s="65" t="n">
        <f aca="false">IF(AL179="",0,MAX(0,MIN(1,(IF(BY179="L1",Parameter!$E$5,Parameter!$E$6+Parameter!$E$7)-(AL179-AH179))/AH179)))</f>
        <v>1</v>
      </c>
      <c r="AN179" s="57" t="n">
        <f aca="false">IF(LEFT(Cockpit!$I$5,1)="A",H179,IF(CA179=1,CB179,IF(LEFT(Cockpit!$I$5,1)="B",AR179,MAX(AR179,H179))))</f>
        <v>71</v>
      </c>
      <c r="AO179" s="57" t="n">
        <f aca="false">IF(BT179=1,0,ROUNDUP(AN179/BS179,0))</f>
        <v>3</v>
      </c>
      <c r="AP179" s="59" t="n">
        <f aca="false">IF(CH179&gt;0,CH179*MAX(1,AN179/X179),IF(BT179=1,IF(AN179&lt;=0,0,BW179*MAX(1,IF(H179&gt;0,AN179/H179,1))),IF(R179&gt;0,AO179/R179,0))/MAX(0.1,N(Parameter!$M$21)))</f>
        <v>0.0454545454545455</v>
      </c>
      <c r="AQ179" s="57" t="n">
        <f aca="false">AN179*G179</f>
        <v>1265.22</v>
      </c>
      <c r="AR179" s="57" t="n">
        <f aca="false">ROUNDUP(MAX(J179/IF(BZ179&gt;0,BZ179,MAX(0.1,N(Cockpit!$I$6))),CC179)/BS179,0)*BS179</f>
        <v>27</v>
      </c>
      <c r="AS179" s="58" t="n">
        <f aca="false">IF(AP179&gt;0,J179/AP179,-1)</f>
        <v>220</v>
      </c>
      <c r="AT179" s="58" t="n">
        <f aca="false">IF(AND(OR(BY179="L1",BY179="L23"),AP179&gt;0),SUMIFS($AP$7:$AP$1843,$BY$7:$BY$1843,BY179,$AS$7:$AS$1843,"&gt;"&amp;AS179)+SUMIFS($AP$7:$AP$1843,$BY$7:$BY$1843,BY179,$AS$7:$AS$1843,AS179,$BQ$7:$BQ$1843,"&lt;="&amp;BQ179),"")</f>
        <v>44.8840072970508</v>
      </c>
      <c r="AU179" s="65" t="n">
        <f aca="false">IF(AT179="",0,MAX(0,MIN(1,(IF(BY179="L1",Parameter!$E$5,Parameter!$E$6+Parameter!$E$7)-(AT179-AP179))/AP179)))</f>
        <v>1</v>
      </c>
      <c r="AV179" s="57" t="n">
        <f aca="false">IF(LEFT(Cockpit!$O$5,1)="A",H179,IF(CA179=1,CB179,IF(LEFT(Cockpit!$O$5,1)="B",AZ179,MAX(AZ179,H179))))</f>
        <v>71</v>
      </c>
      <c r="AW179" s="57" t="n">
        <f aca="false">IF(BT179=1,0,ROUNDUP(AV179/BS179,0))</f>
        <v>3</v>
      </c>
      <c r="AX179" s="59" t="n">
        <f aca="false">IF(CH179&gt;0,CH179*MAX(1,AV179/X179),IF(BT179=1,IF(AV179&lt;=0,0,BW179*MAX(1,IF(H179&gt;0,AV179/H179,1))),IF(R179&gt;0,AW179/R179,0))/MAX(0.1,N(Parameter!$M$21)))</f>
        <v>0.0454545454545455</v>
      </c>
      <c r="AY179" s="57" t="n">
        <f aca="false">AV179*G179</f>
        <v>1265.22</v>
      </c>
      <c r="AZ179" s="57" t="n">
        <f aca="false">ROUNDUP(MAX(J179/IF(BZ179&gt;0,BZ179,MAX(0.1,N(Cockpit!$O$6))),CC179)/BS179,0)*BS179</f>
        <v>27</v>
      </c>
      <c r="BA179" s="58" t="n">
        <f aca="false">IF(AX179&gt;0,J179/AX179,-1)</f>
        <v>220</v>
      </c>
      <c r="BB179" s="58" t="n">
        <f aca="false">IF(AND(OR(BY179="L1",BY179="L23"),AX179&gt;0),SUMIFS($AX$7:$AX$1843,$BY$7:$BY$1843,BY179,$BA$7:$BA$1843,"&gt;"&amp;BA179)+SUMIFS($AX$7:$AX$1843,$BY$7:$BY$1843,BY179,$BA$7:$BA$1843,BA179,$BQ$7:$BQ$1843,"&lt;="&amp;BQ179),"")</f>
        <v>42.1305107935543</v>
      </c>
      <c r="BC179" s="65" t="n">
        <f aca="false">IF(BB179="",0,MAX(0,MIN(1,(IF(BY179="L1",Parameter!$E$5,Parameter!$E$6+Parameter!$E$7)-(BB179-AX179))/AX179)))</f>
        <v>1</v>
      </c>
      <c r="BD179" s="55" t="str">
        <f aca="false">IF(AH179&lt;=0,"",IF(BY179="Aussen","Aussenlager",IF(BY179="-","Nicht im Lift",IF(AM179&gt;=1,"Lift",IF(AM179&lt;=0,"Aussenlager","teilweise")))))</f>
        <v>Lift</v>
      </c>
      <c r="BE179" s="55" t="str">
        <f aca="false">IF(AP179&lt;=0,"",IF(BY179="Aussen","Aussenlager",IF(BY179="-","Nicht im Lift",IF(AU179&gt;=1,"Lift",IF(AU179&lt;=0,"Aussenlager","teilweise")))))</f>
        <v>Lift</v>
      </c>
      <c r="BF179" s="55" t="str">
        <f aca="false">IF(AX179&lt;=0,"",IF(BY179="Aussen","Aussenlager",IF(BY179="-","Nicht im Lift",IF(BC179&gt;=1,"Lift",IF(BC179&lt;=0,"Aussenlager","teilweise")))))</f>
        <v>Lift</v>
      </c>
      <c r="BG179" s="55" t="str">
        <f aca="false">IF(A179="","",IF(BP179=1,"Neu; ","")&amp;IF(AND(BP179=0,BK179&lt;0),"negativer Bestand (Export "&amp;BK179&amp;"); ","")&amp;IF(J179&lt;=0,"Kein Verbrauch; ","")&amp;IF(CH179&gt;0,"Lift "&amp;W179&amp;" lt. Liftbericht (Fach "&amp;X179&amp;" Stk); ",IF(BU179=1,"Gebinde geschätzt ("&amp;T179&amp;"); ",IF(BT179=1,"Lose – Tablare geschätzt; ","")))&amp;IF(H179&gt;AR179,"Überbestand "&amp;ROUND(H179-AR179,0)&amp;" Stk / CHF "&amp;ROUND((H179-AR179)*G179,0)&amp;"; ","")&amp;IF(AND(CA179=1,CB179&lt;CC179),"MAX &lt; MB+LG; ","")&amp;IF(AND(CG179&gt;0,CF179*10&gt;CG179),"zu hoch für Tablar; ","")&amp;IF(AND(BP179=0,OR(CA179=1,AA179&lt;&gt;"",U179&lt;&gt;"",V179&lt;&gt;"",AB179&lt;&gt;"")),"manuell übersteuert; ","")&amp;IF(AND(BT179=0,R179=0),"Gebinde unbekannt / Stellmass fehlt; ","")&amp;IF(AND(BT179=0,N(V179)&lt;=0,N(Q179)&lt;=0),"Menge pro Gebinde fehlt (Ist = 1 Gebinde); ","")&amp;BO179)</f>
        <v>Überbestand 44 Stk / CHF 784; </v>
      </c>
      <c r="BH179" s="55"/>
      <c r="BI179" s="55"/>
      <c r="BJ179" s="62"/>
      <c r="BK179" s="57" t="n">
        <v>66</v>
      </c>
      <c r="BL179" s="57" t="n">
        <v>5</v>
      </c>
      <c r="BM179" s="56" t="n">
        <v>1025.77</v>
      </c>
      <c r="BN179" s="57" t="n">
        <v>10</v>
      </c>
      <c r="BO179" s="55"/>
      <c r="BP179" s="60" t="n">
        <v>0</v>
      </c>
      <c r="BQ179" s="60" t="n">
        <v>179</v>
      </c>
      <c r="BR179" s="55" t="str">
        <f aca="false">IF(U179&lt;&gt;"",UPPER(TRIM(U179)),IF(BU179=1,UPPER(VLOOKUP(T179,Parameter!$I$27:$K$29,2,0)),IF(P179="","LOSE",P179)))</f>
        <v>S33</v>
      </c>
      <c r="BS179" s="57" t="n">
        <f aca="false">IF(BR179="LOSE",1,IF(N(V179)&gt;0,V179,IF(BU179=1,MAX(1,N(VLOOKUP(T179,Parameter!$I$27:$K$29,3,0)),H179,N(N179)),IF(N(Q179)&gt;0,Q179,MAX(1,H179)))))</f>
        <v>27</v>
      </c>
      <c r="BT179" s="60" t="n">
        <f aca="false">IF(BR179="LOSE",1,0)</f>
        <v>0</v>
      </c>
      <c r="BU179" s="60" t="n">
        <f aca="false">IF(AND(U179="",OR(P179="",P179="LOSE"),T179&lt;&gt;"",N(S179)&lt;=0,ISNUMBER(MATCH(T179,Parameter!$I$27:$I$29,0))),1,0)</f>
        <v>0</v>
      </c>
      <c r="BV179" s="55" t="str">
        <f aca="false">IF(AND(Parameter!$B$19="Ja",E179&lt;&gt;"",ISNUMBER(MATCH(E179,Parameter!$I$35:$I$52,0))),VLOOKUP(E179,Parameter!$I$35:$J$52,2,0),IFERROR(VLOOKUP(D179,Parameter!$A$35:$C$64,2,0),"Nein"))</f>
        <v>2+3</v>
      </c>
      <c r="BW179" s="59" t="n">
        <f aca="false">IF(BT179=0,0,IF(N(S179)&gt;0,S179,IFERROR(VLOOKUP(D179,Parameter!$A$35:$C$64,3,0)+0,0)))</f>
        <v>0</v>
      </c>
      <c r="BX179" s="55" t="n">
        <f aca="false">IF(AA179&lt;&gt;"",AA179,Z179)</f>
        <v>3</v>
      </c>
      <c r="BY179" s="55" t="str">
        <f aca="false">IF(BX179=1,"L1",IF(OR(BX179=2,BX179=3),"L23",IF(BX179="Aussen","Aussen","-")))</f>
        <v>L23</v>
      </c>
      <c r="BZ179" s="66" t="n">
        <f aca="false">IF(N(AB179)&gt;0,AB179,0)</f>
        <v>0</v>
      </c>
      <c r="CA179" s="60" t="n">
        <f aca="false">IF(ISNUMBER(AE179),1,0)</f>
        <v>0</v>
      </c>
      <c r="CB179" s="57" t="n">
        <f aca="false">N(AE179)</f>
        <v>0</v>
      </c>
      <c r="CC179" s="57" t="n">
        <f aca="false">N(M179)+N(N179)</f>
        <v>10</v>
      </c>
      <c r="CD179" s="57" t="n">
        <f aca="false">ROUNDUP(H179/BS179,0)</f>
        <v>3</v>
      </c>
      <c r="CE179" s="57" t="n">
        <f aca="false">ROUNDUP(CB179/BS179,0)</f>
        <v>0</v>
      </c>
      <c r="CF179" s="60" t="n">
        <f aca="false">IF(BT179=1,0,IFERROR(VLOOKUP(BR179,'Gebinde-Kategorie'!$A$5:$M$45,5,0)+0,0))</f>
        <v>8</v>
      </c>
      <c r="CG179" s="60" t="n">
        <f aca="false">IFERROR(IF(OR(BX179=1,BX179=2,BX179=3),N(INDEX(Parameter!$I$5:$I$7,BX179)),0),0)</f>
        <v>0</v>
      </c>
      <c r="CH179" s="59" t="n">
        <f aca="false">IF(AND(Parameter!$B$21="Ja",ISNUMBER(W179),N(X179)&gt;0),IFERROR(N(INDEX(Parameter!$L$5:$L$7,W179))*INDEX(Parameter!$E$5:$E$7,W179)*X179/SUMIFS($X$7:$X$1843,$W$7:$W$1843,W179),0),0)</f>
        <v>0</v>
      </c>
    </row>
    <row r="180" customFormat="false" ht="15" hidden="false" customHeight="false" outlineLevel="0" collapsed="false">
      <c r="A180" s="55" t="s">
        <v>565</v>
      </c>
      <c r="B180" s="55" t="s">
        <v>566</v>
      </c>
      <c r="C180" s="55" t="s">
        <v>164</v>
      </c>
      <c r="D180" s="55" t="s">
        <v>184</v>
      </c>
      <c r="E180" s="55" t="s">
        <v>185</v>
      </c>
      <c r="F180" s="55" t="s">
        <v>218</v>
      </c>
      <c r="G180" s="56" t="n">
        <v>134.64</v>
      </c>
      <c r="H180" s="57" t="n">
        <f aca="false">MAX(0,IF(AND(Parameter!$B$21="Ja",ISNUMBER(Y180)),Y180,IF(Parameter!$B$20="Jahresanfang 2025 + Export",BL180+BK180,BK180)))</f>
        <v>13</v>
      </c>
      <c r="I180" s="57" t="n">
        <f aca="false">H180*G180</f>
        <v>1750.32</v>
      </c>
      <c r="J180" s="57" t="n">
        <f aca="false">BN180*Parameter!$B$18</f>
        <v>13</v>
      </c>
      <c r="K180" s="58" t="n">
        <v>6</v>
      </c>
      <c r="L180" s="59" t="n">
        <v>2.16666666666667</v>
      </c>
      <c r="M180" s="57" t="n">
        <v>0</v>
      </c>
      <c r="N180" s="57" t="n">
        <v>15</v>
      </c>
      <c r="O180" s="60" t="n">
        <v>14</v>
      </c>
      <c r="P180" s="55" t="s">
        <v>476</v>
      </c>
      <c r="Q180" s="57" t="n">
        <v>29</v>
      </c>
      <c r="R180" s="60" t="n">
        <f aca="false">IF(BT180=1,0,IFERROR(VLOOKUP(BR180,'Gebinde-Kategorie'!$A$5:$M$45,13,0)+0,0))</f>
        <v>66</v>
      </c>
      <c r="S180" s="61"/>
      <c r="T180" s="62"/>
      <c r="U180" s="62"/>
      <c r="V180" s="62"/>
      <c r="W180" s="55"/>
      <c r="X180" s="57"/>
      <c r="Y180" s="57"/>
      <c r="Z180" s="55" t="n">
        <f aca="false">IF(A180="","",IF(AND(Parameter!$B$21="Ja",ISNUMBER(W180)),W180,IF(BV180="2+3",IF(ISNUMBER(SEARCH("grosser Artikel",BO180)),2,IFERROR(VLOOKUP(BR180,Parameter!$F$35:$G$64,2,0),2)),IF(OR(BV180="Nein",BV180=""),"-",BV180))))</f>
        <v>3</v>
      </c>
      <c r="AA180" s="62"/>
      <c r="AB180" s="63"/>
      <c r="AC180" s="57" t="n">
        <f aca="false">AR180</f>
        <v>29</v>
      </c>
      <c r="AD180" s="57" t="n">
        <f aca="false">MAX(AR180,H180)</f>
        <v>29</v>
      </c>
      <c r="AE180" s="64"/>
      <c r="AF180" s="57" t="n">
        <f aca="false">IF(LEFT(Cockpit!$C$5,1)="A",H180,IF(CA180=1,CB180,IF(LEFT(Cockpit!$C$5,1)="B",AJ180,MAX(AJ180,H180))))</f>
        <v>13</v>
      </c>
      <c r="AG180" s="57" t="n">
        <f aca="false">IF(BT180=1,0,ROUNDUP(AF180/BS180,0))</f>
        <v>1</v>
      </c>
      <c r="AH180" s="59" t="n">
        <f aca="false">IF(CH180&gt;0,CH180*MAX(1,AF180/X180),IF(BT180=1,IF(AF180&lt;=0,0,BW180*MAX(1,IF(H180&gt;0,AF180/H180,1))),IF(R180&gt;0,AG180/R180,0))/MAX(0.1,N(Parameter!$M$21)))</f>
        <v>0.0151515151515152</v>
      </c>
      <c r="AI180" s="57" t="n">
        <f aca="false">AF180*G180</f>
        <v>1750.32</v>
      </c>
      <c r="AJ180" s="57" t="n">
        <f aca="false">ROUNDUP(MAX(J180/IF(BZ180&gt;0,BZ180,MAX(0.1,N(Cockpit!$C$6))),CC180)/BS180,0)*BS180</f>
        <v>29</v>
      </c>
      <c r="AK180" s="58" t="n">
        <f aca="false">IF(AH180&gt;0,J180/AH180,-1)</f>
        <v>858</v>
      </c>
      <c r="AL180" s="58" t="n">
        <f aca="false">IF(AND(OR(BY180="L1",BY180="L23"),AH180&gt;0),SUMIFS($AH$7:$AH$1843,$BY$7:$BY$1843,BY180,$AK$7:$AK$1843,"&gt;"&amp;AK180)+SUMIFS($AH$7:$AH$1843,$BY$7:$BY$1843,BY180,$AK$7:$AK$1843,AK180,$BQ$7:$BQ$1843,"&lt;="&amp;BQ180),"")</f>
        <v>20.5415864328908</v>
      </c>
      <c r="AM180" s="65" t="n">
        <f aca="false">IF(AL180="",0,MAX(0,MIN(1,(IF(BY180="L1",Parameter!$E$5,Parameter!$E$6+Parameter!$E$7)-(AL180-AH180))/AH180)))</f>
        <v>1</v>
      </c>
      <c r="AN180" s="57" t="n">
        <f aca="false">IF(LEFT(Cockpit!$I$5,1)="A",H180,IF(CA180=1,CB180,IF(LEFT(Cockpit!$I$5,1)="B",AR180,MAX(AR180,H180))))</f>
        <v>29</v>
      </c>
      <c r="AO180" s="57" t="n">
        <f aca="false">IF(BT180=1,0,ROUNDUP(AN180/BS180,0))</f>
        <v>1</v>
      </c>
      <c r="AP180" s="59" t="n">
        <f aca="false">IF(CH180&gt;0,CH180*MAX(1,AN180/X180),IF(BT180=1,IF(AN180&lt;=0,0,BW180*MAX(1,IF(H180&gt;0,AN180/H180,1))),IF(R180&gt;0,AO180/R180,0))/MAX(0.1,N(Parameter!$M$21)))</f>
        <v>0.0151515151515152</v>
      </c>
      <c r="AQ180" s="57" t="n">
        <f aca="false">AN180*G180</f>
        <v>3904.56</v>
      </c>
      <c r="AR180" s="57" t="n">
        <f aca="false">ROUNDUP(MAX(J180/IF(BZ180&gt;0,BZ180,MAX(0.1,N(Cockpit!$I$6))),CC180)/BS180,0)*BS180</f>
        <v>29</v>
      </c>
      <c r="AS180" s="58" t="n">
        <f aca="false">IF(AP180&gt;0,J180/AP180,-1)</f>
        <v>858</v>
      </c>
      <c r="AT180" s="58" t="n">
        <f aca="false">IF(AND(OR(BY180="L1",BY180="L23"),AP180&gt;0),SUMIFS($AP$7:$AP$1843,$BY$7:$BY$1843,BY180,$AS$7:$AS$1843,"&gt;"&amp;AS180)+SUMIFS($AP$7:$AP$1843,$BY$7:$BY$1843,BY180,$AS$7:$AS$1843,AS180,$BQ$7:$BQ$1843,"&lt;="&amp;BQ180),"")</f>
        <v>25.4822134387352</v>
      </c>
      <c r="AU180" s="65" t="n">
        <f aca="false">IF(AT180="",0,MAX(0,MIN(1,(IF(BY180="L1",Parameter!$E$5,Parameter!$E$6+Parameter!$E$7)-(AT180-AP180))/AP180)))</f>
        <v>1</v>
      </c>
      <c r="AV180" s="57" t="n">
        <f aca="false">IF(LEFT(Cockpit!$O$5,1)="A",H180,IF(CA180=1,CB180,IF(LEFT(Cockpit!$O$5,1)="B",AZ180,MAX(AZ180,H180))))</f>
        <v>29</v>
      </c>
      <c r="AW180" s="57" t="n">
        <f aca="false">IF(BT180=1,0,ROUNDUP(AV180/BS180,0))</f>
        <v>1</v>
      </c>
      <c r="AX180" s="59" t="n">
        <f aca="false">IF(CH180&gt;0,CH180*MAX(1,AV180/X180),IF(BT180=1,IF(AV180&lt;=0,0,BW180*MAX(1,IF(H180&gt;0,AV180/H180,1))),IF(R180&gt;0,AW180/R180,0))/MAX(0.1,N(Parameter!$M$21)))</f>
        <v>0.0151515151515152</v>
      </c>
      <c r="AY180" s="57" t="n">
        <f aca="false">AV180*G180</f>
        <v>3904.56</v>
      </c>
      <c r="AZ180" s="57" t="n">
        <f aca="false">ROUNDUP(MAX(J180/IF(BZ180&gt;0,BZ180,MAX(0.1,N(Cockpit!$O$6))),CC180)/BS180,0)*BS180</f>
        <v>29</v>
      </c>
      <c r="BA180" s="58" t="n">
        <f aca="false">IF(AX180&gt;0,J180/AX180,-1)</f>
        <v>858</v>
      </c>
      <c r="BB180" s="58" t="n">
        <f aca="false">IF(AND(OR(BY180="L1",BY180="L23"),AX180&gt;0),SUMIFS($AX$7:$AX$1843,$BY$7:$BY$1843,BY180,$BA$7:$BA$1843,"&gt;"&amp;BA180)+SUMIFS($AX$7:$AX$1843,$BY$7:$BY$1843,BY180,$BA$7:$BA$1843,BA180,$BQ$7:$BQ$1843,"&lt;="&amp;BQ180),"")</f>
        <v>25.6005118070335</v>
      </c>
      <c r="BC180" s="65" t="n">
        <f aca="false">IF(BB180="",0,MAX(0,MIN(1,(IF(BY180="L1",Parameter!$E$5,Parameter!$E$6+Parameter!$E$7)-(BB180-AX180))/AX180)))</f>
        <v>1</v>
      </c>
      <c r="BD180" s="55" t="str">
        <f aca="false">IF(AH180&lt;=0,"",IF(BY180="Aussen","Aussenlager",IF(BY180="-","Nicht im Lift",IF(AM180&gt;=1,"Lift",IF(AM180&lt;=0,"Aussenlager","teilweise")))))</f>
        <v>Lift</v>
      </c>
      <c r="BE180" s="55" t="str">
        <f aca="false">IF(AP180&lt;=0,"",IF(BY180="Aussen","Aussenlager",IF(BY180="-","Nicht im Lift",IF(AU180&gt;=1,"Lift",IF(AU180&lt;=0,"Aussenlager","teilweise")))))</f>
        <v>Lift</v>
      </c>
      <c r="BF180" s="55" t="str">
        <f aca="false">IF(AX180&lt;=0,"",IF(BY180="Aussen","Aussenlager",IF(BY180="-","Nicht im Lift",IF(BC180&gt;=1,"Lift",IF(BC180&lt;=0,"Aussenlager","teilweise")))))</f>
        <v>Lift</v>
      </c>
      <c r="BG180" s="55" t="str">
        <f aca="false">IF(A180="","",IF(BP180=1,"Neu; ","")&amp;IF(AND(BP180=0,BK180&lt;0),"negativer Bestand (Export "&amp;BK180&amp;"); ","")&amp;IF(J180&lt;=0,"Kein Verbrauch; ","")&amp;IF(CH180&gt;0,"Lift "&amp;W180&amp;" lt. Liftbericht (Fach "&amp;X180&amp;" Stk); ",IF(BU180=1,"Gebinde geschätzt ("&amp;T180&amp;"); ",IF(BT180=1,"Lose – Tablare geschätzt; ","")))&amp;IF(H180&gt;AR180,"Überbestand "&amp;ROUND(H180-AR180,0)&amp;" Stk / CHF "&amp;ROUND((H180-AR180)*G180,0)&amp;"; ","")&amp;IF(AND(CA180=1,CB180&lt;CC180),"MAX &lt; MB+LG; ","")&amp;IF(AND(CG180&gt;0,CF180*10&gt;CG180),"zu hoch für Tablar; ","")&amp;IF(AND(BP180=0,OR(CA180=1,AA180&lt;&gt;"",U180&lt;&gt;"",V180&lt;&gt;"",AB180&lt;&gt;"")),"manuell übersteuert; ","")&amp;IF(AND(BT180=0,R180=0),"Gebinde unbekannt / Stellmass fehlt; ","")&amp;IF(AND(BT180=0,N(V180)&lt;=0,N(Q180)&lt;=0),"Menge pro Gebinde fehlt (Ist = 1 Gebinde); ","")&amp;BO180)</f>
        <v/>
      </c>
      <c r="BH180" s="55"/>
      <c r="BI180" s="55"/>
      <c r="BJ180" s="62"/>
      <c r="BK180" s="57" t="n">
        <v>5</v>
      </c>
      <c r="BL180" s="57" t="n">
        <v>8</v>
      </c>
      <c r="BM180" s="56" t="n">
        <v>1016.24</v>
      </c>
      <c r="BN180" s="57" t="n">
        <v>13</v>
      </c>
      <c r="BO180" s="55"/>
      <c r="BP180" s="60" t="n">
        <v>0</v>
      </c>
      <c r="BQ180" s="60" t="n">
        <v>180</v>
      </c>
      <c r="BR180" s="55" t="str">
        <f aca="false">IF(U180&lt;&gt;"",UPPER(TRIM(U180)),IF(BU180=1,UPPER(VLOOKUP(T180,Parameter!$I$27:$K$29,2,0)),IF(P180="","LOSE",P180)))</f>
        <v>S33</v>
      </c>
      <c r="BS180" s="57" t="n">
        <f aca="false">IF(BR180="LOSE",1,IF(N(V180)&gt;0,V180,IF(BU180=1,MAX(1,N(VLOOKUP(T180,Parameter!$I$27:$K$29,3,0)),H180,N(N180)),IF(N(Q180)&gt;0,Q180,MAX(1,H180)))))</f>
        <v>29</v>
      </c>
      <c r="BT180" s="60" t="n">
        <f aca="false">IF(BR180="LOSE",1,0)</f>
        <v>0</v>
      </c>
      <c r="BU180" s="60" t="n">
        <f aca="false">IF(AND(U180="",OR(P180="",P180="LOSE"),T180&lt;&gt;"",N(S180)&lt;=0,ISNUMBER(MATCH(T180,Parameter!$I$27:$I$29,0))),1,0)</f>
        <v>0</v>
      </c>
      <c r="BV180" s="55" t="str">
        <f aca="false">IF(AND(Parameter!$B$19="Ja",E180&lt;&gt;"",ISNUMBER(MATCH(E180,Parameter!$I$35:$I$52,0))),VLOOKUP(E180,Parameter!$I$35:$J$52,2,0),IFERROR(VLOOKUP(D180,Parameter!$A$35:$C$64,2,0),"Nein"))</f>
        <v>2+3</v>
      </c>
      <c r="BW180" s="59" t="n">
        <f aca="false">IF(BT180=0,0,IF(N(S180)&gt;0,S180,IFERROR(VLOOKUP(D180,Parameter!$A$35:$C$64,3,0)+0,0)))</f>
        <v>0</v>
      </c>
      <c r="BX180" s="55" t="n">
        <f aca="false">IF(AA180&lt;&gt;"",AA180,Z180)</f>
        <v>3</v>
      </c>
      <c r="BY180" s="55" t="str">
        <f aca="false">IF(BX180=1,"L1",IF(OR(BX180=2,BX180=3),"L23",IF(BX180="Aussen","Aussen","-")))</f>
        <v>L23</v>
      </c>
      <c r="BZ180" s="66" t="n">
        <f aca="false">IF(N(AB180)&gt;0,AB180,0)</f>
        <v>0</v>
      </c>
      <c r="CA180" s="60" t="n">
        <f aca="false">IF(ISNUMBER(AE180),1,0)</f>
        <v>0</v>
      </c>
      <c r="CB180" s="57" t="n">
        <f aca="false">N(AE180)</f>
        <v>0</v>
      </c>
      <c r="CC180" s="57" t="n">
        <f aca="false">N(M180)+N(N180)</f>
        <v>15</v>
      </c>
      <c r="CD180" s="57" t="n">
        <f aca="false">ROUNDUP(H180/BS180,0)</f>
        <v>1</v>
      </c>
      <c r="CE180" s="57" t="n">
        <f aca="false">ROUNDUP(CB180/BS180,0)</f>
        <v>0</v>
      </c>
      <c r="CF180" s="60" t="n">
        <f aca="false">IF(BT180=1,0,IFERROR(VLOOKUP(BR180,'Gebinde-Kategorie'!$A$5:$M$45,5,0)+0,0))</f>
        <v>8</v>
      </c>
      <c r="CG180" s="60" t="n">
        <f aca="false">IFERROR(IF(OR(BX180=1,BX180=2,BX180=3),N(INDEX(Parameter!$I$5:$I$7,BX180)),0),0)</f>
        <v>0</v>
      </c>
      <c r="CH180" s="59" t="n">
        <f aca="false">IF(AND(Parameter!$B$21="Ja",ISNUMBER(W180),N(X180)&gt;0),IFERROR(N(INDEX(Parameter!$L$5:$L$7,W180))*INDEX(Parameter!$E$5:$E$7,W180)*X180/SUMIFS($X$7:$X$1843,$W$7:$W$1843,W180),0),0)</f>
        <v>0</v>
      </c>
    </row>
    <row r="181" customFormat="false" ht="15" hidden="false" customHeight="false" outlineLevel="0" collapsed="false">
      <c r="A181" s="55" t="s">
        <v>567</v>
      </c>
      <c r="B181" s="55" t="s">
        <v>544</v>
      </c>
      <c r="C181" s="55" t="s">
        <v>164</v>
      </c>
      <c r="D181" s="55" t="s">
        <v>184</v>
      </c>
      <c r="E181" s="55" t="s">
        <v>185</v>
      </c>
      <c r="F181" s="55" t="s">
        <v>218</v>
      </c>
      <c r="G181" s="56" t="n">
        <v>14.91</v>
      </c>
      <c r="H181" s="57" t="n">
        <f aca="false">MAX(0,IF(AND(Parameter!$B$21="Ja",ISNUMBER(Y181)),Y181,IF(Parameter!$B$20="Jahresanfang 2025 + Export",BL181+BK181,BK181)))</f>
        <v>83</v>
      </c>
      <c r="I181" s="57" t="n">
        <f aca="false">H181*G181</f>
        <v>1237.53</v>
      </c>
      <c r="J181" s="57" t="n">
        <f aca="false">BN181*Parameter!$B$18</f>
        <v>83</v>
      </c>
      <c r="K181" s="58" t="n">
        <v>13.5</v>
      </c>
      <c r="L181" s="59" t="n">
        <v>6.14814814814815</v>
      </c>
      <c r="M181" s="57" t="n">
        <v>4</v>
      </c>
      <c r="N181" s="57" t="n">
        <v>85</v>
      </c>
      <c r="O181" s="60" t="n">
        <v>21</v>
      </c>
      <c r="P181" s="55" t="s">
        <v>426</v>
      </c>
      <c r="Q181" s="57" t="n">
        <v>36</v>
      </c>
      <c r="R181" s="60" t="n">
        <f aca="false">IF(BT181=1,0,IFERROR(VLOOKUP(BR181,'Gebinde-Kategorie'!$A$5:$M$45,13,0)+0,0))</f>
        <v>198</v>
      </c>
      <c r="S181" s="61"/>
      <c r="T181" s="62"/>
      <c r="U181" s="62"/>
      <c r="V181" s="62"/>
      <c r="W181" s="55"/>
      <c r="X181" s="57"/>
      <c r="Y181" s="57"/>
      <c r="Z181" s="55" t="n">
        <f aca="false">IF(A181="","",IF(AND(Parameter!$B$21="Ja",ISNUMBER(W181)),W181,IF(BV181="2+3",IF(ISNUMBER(SEARCH("grosser Artikel",BO181)),2,IFERROR(VLOOKUP(BR181,Parameter!$F$35:$G$64,2,0),2)),IF(OR(BV181="Nein",BV181=""),"-",BV181))))</f>
        <v>3</v>
      </c>
      <c r="AA181" s="62"/>
      <c r="AB181" s="63"/>
      <c r="AC181" s="57" t="n">
        <f aca="false">AR181</f>
        <v>108</v>
      </c>
      <c r="AD181" s="57" t="n">
        <f aca="false">MAX(AR181,H181)</f>
        <v>108</v>
      </c>
      <c r="AE181" s="64"/>
      <c r="AF181" s="57" t="n">
        <f aca="false">IF(LEFT(Cockpit!$C$5,1)="A",H181,IF(CA181=1,CB181,IF(LEFT(Cockpit!$C$5,1)="B",AJ181,MAX(AJ181,H181))))</f>
        <v>83</v>
      </c>
      <c r="AG181" s="57" t="n">
        <f aca="false">IF(BT181=1,0,ROUNDUP(AF181/BS181,0))</f>
        <v>3</v>
      </c>
      <c r="AH181" s="59" t="n">
        <f aca="false">IF(CH181&gt;0,CH181*MAX(1,AF181/X181),IF(BT181=1,IF(AF181&lt;=0,0,BW181*MAX(1,IF(H181&gt;0,AF181/H181,1))),IF(R181&gt;0,AG181/R181,0))/MAX(0.1,N(Parameter!$M$21)))</f>
        <v>0.0151515151515152</v>
      </c>
      <c r="AI181" s="57" t="n">
        <f aca="false">AF181*G181</f>
        <v>1237.53</v>
      </c>
      <c r="AJ181" s="57" t="n">
        <f aca="false">ROUNDUP(MAX(J181/IF(BZ181&gt;0,BZ181,MAX(0.1,N(Cockpit!$C$6))),CC181)/BS181,0)*BS181</f>
        <v>108</v>
      </c>
      <c r="AK181" s="58" t="n">
        <f aca="false">IF(AH181&gt;0,J181/AH181,-1)</f>
        <v>5478</v>
      </c>
      <c r="AL181" s="58" t="n">
        <f aca="false">IF(AND(OR(BY181="L1",BY181="L23"),AH181&gt;0),SUMIFS($AH$7:$AH$1843,$BY$7:$BY$1843,BY181,$AK$7:$AK$1843,"&gt;"&amp;AK181)+SUMIFS($AH$7:$AH$1843,$BY$7:$BY$1843,BY181,$AK$7:$AK$1843,AK181,$BQ$7:$BQ$1843,"&lt;="&amp;BQ181),"")</f>
        <v>6.74427384209993</v>
      </c>
      <c r="AM181" s="65" t="n">
        <f aca="false">IF(AL181="",0,MAX(0,MIN(1,(IF(BY181="L1",Parameter!$E$5,Parameter!$E$6+Parameter!$E$7)-(AL181-AH181))/AH181)))</f>
        <v>1</v>
      </c>
      <c r="AN181" s="57" t="n">
        <f aca="false">IF(LEFT(Cockpit!$I$5,1)="A",H181,IF(CA181=1,CB181,IF(LEFT(Cockpit!$I$5,1)="B",AR181,MAX(AR181,H181))))</f>
        <v>108</v>
      </c>
      <c r="AO181" s="57" t="n">
        <f aca="false">IF(BT181=1,0,ROUNDUP(AN181/BS181,0))</f>
        <v>3</v>
      </c>
      <c r="AP181" s="59" t="n">
        <f aca="false">IF(CH181&gt;0,CH181*MAX(1,AN181/X181),IF(BT181=1,IF(AN181&lt;=0,0,BW181*MAX(1,IF(H181&gt;0,AN181/H181,1))),IF(R181&gt;0,AO181/R181,0))/MAX(0.1,N(Parameter!$M$21)))</f>
        <v>0.0151515151515152</v>
      </c>
      <c r="AQ181" s="57" t="n">
        <f aca="false">AN181*G181</f>
        <v>1610.28</v>
      </c>
      <c r="AR181" s="57" t="n">
        <f aca="false">ROUNDUP(MAX(J181/IF(BZ181&gt;0,BZ181,MAX(0.1,N(Cockpit!$I$6))),CC181)/BS181,0)*BS181</f>
        <v>108</v>
      </c>
      <c r="AS181" s="58" t="n">
        <f aca="false">IF(AP181&gt;0,J181/AP181,-1)</f>
        <v>5478</v>
      </c>
      <c r="AT181" s="58" t="n">
        <f aca="false">IF(AND(OR(BY181="L1",BY181="L23"),AP181&gt;0),SUMIFS($AP$7:$AP$1843,$BY$7:$BY$1843,BY181,$AS$7:$AS$1843,"&gt;"&amp;AS181)+SUMIFS($AP$7:$AP$1843,$BY$7:$BY$1843,BY181,$AS$7:$AS$1843,AS181,$BQ$7:$BQ$1843,"&lt;="&amp;BQ181),"")</f>
        <v>11.5741529002399</v>
      </c>
      <c r="AU181" s="65" t="n">
        <f aca="false">IF(AT181="",0,MAX(0,MIN(1,(IF(BY181="L1",Parameter!$E$5,Parameter!$E$6+Parameter!$E$7)-(AT181-AP181))/AP181)))</f>
        <v>1</v>
      </c>
      <c r="AV181" s="57" t="n">
        <f aca="false">IF(LEFT(Cockpit!$O$5,1)="A",H181,IF(CA181=1,CB181,IF(LEFT(Cockpit!$O$5,1)="B",AZ181,MAX(AZ181,H181))))</f>
        <v>108</v>
      </c>
      <c r="AW181" s="57" t="n">
        <f aca="false">IF(BT181=1,0,ROUNDUP(AV181/BS181,0))</f>
        <v>3</v>
      </c>
      <c r="AX181" s="59" t="n">
        <f aca="false">IF(CH181&gt;0,CH181*MAX(1,AV181/X181),IF(BT181=1,IF(AV181&lt;=0,0,BW181*MAX(1,IF(H181&gt;0,AV181/H181,1))),IF(R181&gt;0,AW181/R181,0))/MAX(0.1,N(Parameter!$M$21)))</f>
        <v>0.0151515151515152</v>
      </c>
      <c r="AY181" s="57" t="n">
        <f aca="false">AV181*G181</f>
        <v>1610.28</v>
      </c>
      <c r="AZ181" s="57" t="n">
        <f aca="false">ROUNDUP(MAX(J181/IF(BZ181&gt;0,BZ181,MAX(0.1,N(Cockpit!$O$6))),CC181)/BS181,0)*BS181</f>
        <v>108</v>
      </c>
      <c r="BA181" s="58" t="n">
        <f aca="false">IF(AX181&gt;0,J181/AX181,-1)</f>
        <v>5478</v>
      </c>
      <c r="BB181" s="58" t="n">
        <f aca="false">IF(AND(OR(BY181="L1",BY181="L23"),AX181&gt;0),SUMIFS($AX$7:$AX$1843,$BY$7:$BY$1843,BY181,$BA$7:$BA$1843,"&gt;"&amp;BA181)+SUMIFS($AX$7:$AX$1843,$BY$7:$BY$1843,BY181,$BA$7:$BA$1843,BA181,$BQ$7:$BQ$1843,"&lt;="&amp;BQ181),"")</f>
        <v>10.2950153711023</v>
      </c>
      <c r="BC181" s="65" t="n">
        <f aca="false">IF(BB181="",0,MAX(0,MIN(1,(IF(BY181="L1",Parameter!$E$5,Parameter!$E$6+Parameter!$E$7)-(BB181-AX181))/AX181)))</f>
        <v>1</v>
      </c>
      <c r="BD181" s="55" t="str">
        <f aca="false">IF(AH181&lt;=0,"",IF(BY181="Aussen","Aussenlager",IF(BY181="-","Nicht im Lift",IF(AM181&gt;=1,"Lift",IF(AM181&lt;=0,"Aussenlager","teilweise")))))</f>
        <v>Lift</v>
      </c>
      <c r="BE181" s="55" t="str">
        <f aca="false">IF(AP181&lt;=0,"",IF(BY181="Aussen","Aussenlager",IF(BY181="-","Nicht im Lift",IF(AU181&gt;=1,"Lift",IF(AU181&lt;=0,"Aussenlager","teilweise")))))</f>
        <v>Lift</v>
      </c>
      <c r="BF181" s="55" t="str">
        <f aca="false">IF(AX181&lt;=0,"",IF(BY181="Aussen","Aussenlager",IF(BY181="-","Nicht im Lift",IF(BC181&gt;=1,"Lift",IF(BC181&lt;=0,"Aussenlager","teilweise")))))</f>
        <v>Lift</v>
      </c>
      <c r="BG181" s="55" t="str">
        <f aca="false">IF(A181="","",IF(BP181=1,"Neu; ","")&amp;IF(AND(BP181=0,BK181&lt;0),"negativer Bestand (Export "&amp;BK181&amp;"); ","")&amp;IF(J181&lt;=0,"Kein Verbrauch; ","")&amp;IF(CH181&gt;0,"Lift "&amp;W181&amp;" lt. Liftbericht (Fach "&amp;X181&amp;" Stk); ",IF(BU181=1,"Gebinde geschätzt ("&amp;T181&amp;"); ",IF(BT181=1,"Lose – Tablare geschätzt; ","")))&amp;IF(H181&gt;AR181,"Überbestand "&amp;ROUND(H181-AR181,0)&amp;" Stk / CHF "&amp;ROUND((H181-AR181)*G181,0)&amp;"; ","")&amp;IF(AND(CA181=1,CB181&lt;CC181),"MAX &lt; MB+LG; ","")&amp;IF(AND(CG181&gt;0,CF181*10&gt;CG181),"zu hoch für Tablar; ","")&amp;IF(AND(BP181=0,OR(CA181=1,AA181&lt;&gt;"",U181&lt;&gt;"",V181&lt;&gt;"",AB181&lt;&gt;"")),"manuell übersteuert; ","")&amp;IF(AND(BT181=0,R181=0),"Gebinde unbekannt / Stellmass fehlt; ","")&amp;IF(AND(BT181=0,N(V181)&lt;=0,N(Q181)&lt;=0),"Menge pro Gebinde fehlt (Ist = 1 Gebinde); ","")&amp;BO181)</f>
        <v/>
      </c>
      <c r="BH181" s="55"/>
      <c r="BI181" s="55"/>
      <c r="BJ181" s="62"/>
      <c r="BK181" s="57" t="n">
        <v>71</v>
      </c>
      <c r="BL181" s="57" t="n">
        <v>12</v>
      </c>
      <c r="BM181" s="56" t="n">
        <v>1001.61</v>
      </c>
      <c r="BN181" s="57" t="n">
        <v>83</v>
      </c>
      <c r="BO181" s="55"/>
      <c r="BP181" s="60" t="n">
        <v>0</v>
      </c>
      <c r="BQ181" s="60" t="n">
        <v>181</v>
      </c>
      <c r="BR181" s="55" t="str">
        <f aca="false">IF(U181&lt;&gt;"",UPPER(TRIM(U181)),IF(BU181=1,UPPER(VLOOKUP(T181,Parameter!$I$27:$K$29,2,0)),IF(P181="","LOSE",P181)))</f>
        <v>S22</v>
      </c>
      <c r="BS181" s="57" t="n">
        <f aca="false">IF(BR181="LOSE",1,IF(N(V181)&gt;0,V181,IF(BU181=1,MAX(1,N(VLOOKUP(T181,Parameter!$I$27:$K$29,3,0)),H181,N(N181)),IF(N(Q181)&gt;0,Q181,MAX(1,H181)))))</f>
        <v>36</v>
      </c>
      <c r="BT181" s="60" t="n">
        <f aca="false">IF(BR181="LOSE",1,0)</f>
        <v>0</v>
      </c>
      <c r="BU181" s="60" t="n">
        <f aca="false">IF(AND(U181="",OR(P181="",P181="LOSE"),T181&lt;&gt;"",N(S181)&lt;=0,ISNUMBER(MATCH(T181,Parameter!$I$27:$I$29,0))),1,0)</f>
        <v>0</v>
      </c>
      <c r="BV181" s="55" t="str">
        <f aca="false">IF(AND(Parameter!$B$19="Ja",E181&lt;&gt;"",ISNUMBER(MATCH(E181,Parameter!$I$35:$I$52,0))),VLOOKUP(E181,Parameter!$I$35:$J$52,2,0),IFERROR(VLOOKUP(D181,Parameter!$A$35:$C$64,2,0),"Nein"))</f>
        <v>2+3</v>
      </c>
      <c r="BW181" s="59" t="n">
        <f aca="false">IF(BT181=0,0,IF(N(S181)&gt;0,S181,IFERROR(VLOOKUP(D181,Parameter!$A$35:$C$64,3,0)+0,0)))</f>
        <v>0</v>
      </c>
      <c r="BX181" s="55" t="n">
        <f aca="false">IF(AA181&lt;&gt;"",AA181,Z181)</f>
        <v>3</v>
      </c>
      <c r="BY181" s="55" t="str">
        <f aca="false">IF(BX181=1,"L1",IF(OR(BX181=2,BX181=3),"L23",IF(BX181="Aussen","Aussen","-")))</f>
        <v>L23</v>
      </c>
      <c r="BZ181" s="66" t="n">
        <f aca="false">IF(N(AB181)&gt;0,AB181,0)</f>
        <v>0</v>
      </c>
      <c r="CA181" s="60" t="n">
        <f aca="false">IF(ISNUMBER(AE181),1,0)</f>
        <v>0</v>
      </c>
      <c r="CB181" s="57" t="n">
        <f aca="false">N(AE181)</f>
        <v>0</v>
      </c>
      <c r="CC181" s="57" t="n">
        <f aca="false">N(M181)+N(N181)</f>
        <v>89</v>
      </c>
      <c r="CD181" s="57" t="n">
        <f aca="false">ROUNDUP(H181/BS181,0)</f>
        <v>3</v>
      </c>
      <c r="CE181" s="57" t="n">
        <f aca="false">ROUNDUP(CB181/BS181,0)</f>
        <v>0</v>
      </c>
      <c r="CF181" s="60" t="n">
        <f aca="false">IF(BT181=1,0,IFERROR(VLOOKUP(BR181,'Gebinde-Kategorie'!$A$5:$M$45,5,0)+0,0))</f>
        <v>8</v>
      </c>
      <c r="CG181" s="60" t="n">
        <f aca="false">IFERROR(IF(OR(BX181=1,BX181=2,BX181=3),N(INDEX(Parameter!$I$5:$I$7,BX181)),0),0)</f>
        <v>0</v>
      </c>
      <c r="CH181" s="59" t="n">
        <f aca="false">IF(AND(Parameter!$B$21="Ja",ISNUMBER(W181),N(X181)&gt;0),IFERROR(N(INDEX(Parameter!$L$5:$L$7,W181))*INDEX(Parameter!$E$5:$E$7,W181)*X181/SUMIFS($X$7:$X$1843,$W$7:$W$1843,W181),0),0)</f>
        <v>0</v>
      </c>
    </row>
    <row r="182" customFormat="false" ht="15" hidden="false" customHeight="false" outlineLevel="0" collapsed="false">
      <c r="A182" s="55" t="s">
        <v>568</v>
      </c>
      <c r="B182" s="55" t="s">
        <v>569</v>
      </c>
      <c r="C182" s="55" t="s">
        <v>164</v>
      </c>
      <c r="D182" s="55" t="s">
        <v>184</v>
      </c>
      <c r="E182" s="55"/>
      <c r="F182" s="55" t="s">
        <v>218</v>
      </c>
      <c r="G182" s="56" t="n">
        <v>66.53</v>
      </c>
      <c r="H182" s="57" t="n">
        <f aca="false">MAX(0,IF(AND(Parameter!$B$21="Ja",ISNUMBER(Y182)),Y182,IF(Parameter!$B$20="Jahresanfang 2025 + Export",BL182+BK182,BK182)))</f>
        <v>15</v>
      </c>
      <c r="I182" s="57" t="n">
        <f aca="false">H182*G182</f>
        <v>997.95</v>
      </c>
      <c r="J182" s="57" t="n">
        <f aca="false">BN182*Parameter!$B$18</f>
        <v>0</v>
      </c>
      <c r="K182" s="58" t="n">
        <v>0</v>
      </c>
      <c r="L182" s="59" t="n">
        <v>0</v>
      </c>
      <c r="M182" s="57" t="n">
        <v>0</v>
      </c>
      <c r="N182" s="57" t="n">
        <v>1</v>
      </c>
      <c r="O182" s="60" t="n">
        <v>9999</v>
      </c>
      <c r="P182" s="55" t="s">
        <v>168</v>
      </c>
      <c r="Q182" s="57"/>
      <c r="R182" s="60" t="n">
        <f aca="false">IF(BT182=1,0,IFERROR(VLOOKUP(BR182,'Gebinde-Kategorie'!$A$5:$M$45,13,0)+0,0))</f>
        <v>3</v>
      </c>
      <c r="S182" s="61"/>
      <c r="T182" s="62" t="s">
        <v>189</v>
      </c>
      <c r="U182" s="62"/>
      <c r="V182" s="62"/>
      <c r="W182" s="55"/>
      <c r="X182" s="57"/>
      <c r="Y182" s="57"/>
      <c r="Z182" s="55" t="n">
        <f aca="false">IF(A182="","",IF(AND(Parameter!$B$21="Ja",ISNUMBER(W182)),W182,IF(BV182="2+3",IF(ISNUMBER(SEARCH("grosser Artikel",BO182)),2,IFERROR(VLOOKUP(BR182,Parameter!$F$35:$G$64,2,0),2)),IF(OR(BV182="Nein",BV182=""),"-",BV182))))</f>
        <v>2</v>
      </c>
      <c r="AA182" s="62"/>
      <c r="AB182" s="63"/>
      <c r="AC182" s="57" t="n">
        <f aca="false">AR182</f>
        <v>15</v>
      </c>
      <c r="AD182" s="57" t="n">
        <f aca="false">MAX(AR182,H182)</f>
        <v>15</v>
      </c>
      <c r="AE182" s="64"/>
      <c r="AF182" s="57" t="n">
        <f aca="false">IF(LEFT(Cockpit!$C$5,1)="A",H182,IF(CA182=1,CB182,IF(LEFT(Cockpit!$C$5,1)="B",AJ182,MAX(AJ182,H182))))</f>
        <v>15</v>
      </c>
      <c r="AG182" s="57" t="n">
        <f aca="false">IF(BT182=1,0,ROUNDUP(AF182/BS182,0))</f>
        <v>1</v>
      </c>
      <c r="AH182" s="59" t="n">
        <f aca="false">IF(CH182&gt;0,CH182*MAX(1,AF182/X182),IF(BT182=1,IF(AF182&lt;=0,0,BW182*MAX(1,IF(H182&gt;0,AF182/H182,1))),IF(R182&gt;0,AG182/R182,0))/MAX(0.1,N(Parameter!$M$21)))</f>
        <v>0.333333333333333</v>
      </c>
      <c r="AI182" s="57" t="n">
        <f aca="false">AF182*G182</f>
        <v>997.95</v>
      </c>
      <c r="AJ182" s="57" t="n">
        <f aca="false">ROUNDUP(MAX(J182/IF(BZ182&gt;0,BZ182,MAX(0.1,N(Cockpit!$C$6))),CC182)/BS182,0)*BS182</f>
        <v>15</v>
      </c>
      <c r="AK182" s="58" t="n">
        <f aca="false">IF(AH182&gt;0,J182/AH182,-1)</f>
        <v>0</v>
      </c>
      <c r="AL182" s="58" t="n">
        <f aca="false">IF(AND(OR(BY182="L1",BY182="L23"),AH182&gt;0),SUMIFS($AH$7:$AH$1843,$BY$7:$BY$1843,BY182,$AK$7:$AK$1843,"&gt;"&amp;AK182)+SUMIFS($AH$7:$AH$1843,$BY$7:$BY$1843,BY182,$AK$7:$AK$1843,AK182,$BQ$7:$BQ$1843,"&lt;="&amp;BQ182),"")</f>
        <v>70.3881034424513</v>
      </c>
      <c r="AM182" s="65" t="n">
        <f aca="false">IF(AL182="",0,MAX(0,MIN(1,(IF(BY182="L1",Parameter!$E$5,Parameter!$E$6+Parameter!$E$7)-(AL182-AH182))/AH182)))</f>
        <v>1</v>
      </c>
      <c r="AN182" s="57" t="n">
        <f aca="false">IF(LEFT(Cockpit!$I$5,1)="A",H182,IF(CA182=1,CB182,IF(LEFT(Cockpit!$I$5,1)="B",AR182,MAX(AR182,H182))))</f>
        <v>15</v>
      </c>
      <c r="AO182" s="57" t="n">
        <f aca="false">IF(BT182=1,0,ROUNDUP(AN182/BS182,0))</f>
        <v>1</v>
      </c>
      <c r="AP182" s="59" t="n">
        <f aca="false">IF(CH182&gt;0,CH182*MAX(1,AN182/X182),IF(BT182=1,IF(AN182&lt;=0,0,BW182*MAX(1,IF(H182&gt;0,AN182/H182,1))),IF(R182&gt;0,AO182/R182,0))/MAX(0.1,N(Parameter!$M$21)))</f>
        <v>0.333333333333333</v>
      </c>
      <c r="AQ182" s="57" t="n">
        <f aca="false">AN182*G182</f>
        <v>997.95</v>
      </c>
      <c r="AR182" s="57" t="n">
        <f aca="false">ROUNDUP(MAX(J182/IF(BZ182&gt;0,BZ182,MAX(0.1,N(Cockpit!$I$6))),CC182)/BS182,0)*BS182</f>
        <v>15</v>
      </c>
      <c r="AS182" s="58" t="n">
        <f aca="false">IF(AP182&gt;0,J182/AP182,-1)</f>
        <v>0</v>
      </c>
      <c r="AT182" s="58" t="n">
        <f aca="false">IF(AND(OR(BY182="L1",BY182="L23"),AP182&gt;0),SUMIFS($AP$7:$AP$1843,$BY$7:$BY$1843,BY182,$AS$7:$AS$1843,"&gt;"&amp;AS182)+SUMIFS($AP$7:$AP$1843,$BY$7:$BY$1843,BY182,$AS$7:$AS$1843,AS182,$BQ$7:$BQ$1843,"&lt;="&amp;BQ182),"")</f>
        <v>109.812227627445</v>
      </c>
      <c r="AU182" s="65" t="n">
        <f aca="false">IF(AT182="",0,MAX(0,MIN(1,(IF(BY182="L1",Parameter!$E$5,Parameter!$E$6+Parameter!$E$7)-(AT182-AP182))/AP182)))</f>
        <v>0</v>
      </c>
      <c r="AV182" s="57" t="n">
        <f aca="false">IF(LEFT(Cockpit!$O$5,1)="A",H182,IF(CA182=1,CB182,IF(LEFT(Cockpit!$O$5,1)="B",AZ182,MAX(AZ182,H182))))</f>
        <v>15</v>
      </c>
      <c r="AW182" s="57" t="n">
        <f aca="false">IF(BT182=1,0,ROUNDUP(AV182/BS182,0))</f>
        <v>1</v>
      </c>
      <c r="AX182" s="59" t="n">
        <f aca="false">IF(CH182&gt;0,CH182*MAX(1,AV182/X182),IF(BT182=1,IF(AV182&lt;=0,0,BW182*MAX(1,IF(H182&gt;0,AV182/H182,1))),IF(R182&gt;0,AW182/R182,0))/MAX(0.1,N(Parameter!$M$21)))</f>
        <v>0.333333333333333</v>
      </c>
      <c r="AY182" s="57" t="n">
        <f aca="false">AV182*G182</f>
        <v>997.95</v>
      </c>
      <c r="AZ182" s="57" t="n">
        <f aca="false">ROUNDUP(MAX(J182/IF(BZ182&gt;0,BZ182,MAX(0.1,N(Cockpit!$O$6))),CC182)/BS182,0)*BS182</f>
        <v>15</v>
      </c>
      <c r="BA182" s="58" t="n">
        <f aca="false">IF(AX182&gt;0,J182/AX182,-1)</f>
        <v>0</v>
      </c>
      <c r="BB182" s="58" t="n">
        <f aca="false">IF(AND(OR(BY182="L1",BY182="L23"),AX182&gt;0),SUMIFS($AX$7:$AX$1843,$BY$7:$BY$1843,BY182,$BA$7:$BA$1843,"&gt;"&amp;BA182)+SUMIFS($AX$7:$AX$1843,$BY$7:$BY$1843,BY182,$BA$7:$BA$1843,BA182,$BQ$7:$BQ$1843,"&lt;="&amp;BQ182),"")</f>
        <v>100.642064457282</v>
      </c>
      <c r="BC182" s="65" t="n">
        <f aca="false">IF(BB182="",0,MAX(0,MIN(1,(IF(BY182="L1",Parameter!$E$5,Parameter!$E$6+Parameter!$E$7)-(BB182-AX182))/AX182)))</f>
        <v>0</v>
      </c>
      <c r="BD182" s="55" t="str">
        <f aca="false">IF(AH182&lt;=0,"",IF(BY182="Aussen","Aussenlager",IF(BY182="-","Nicht im Lift",IF(AM182&gt;=1,"Lift",IF(AM182&lt;=0,"Aussenlager","teilweise")))))</f>
        <v>Lift</v>
      </c>
      <c r="BE182" s="55" t="str">
        <f aca="false">IF(AP182&lt;=0,"",IF(BY182="Aussen","Aussenlager",IF(BY182="-","Nicht im Lift",IF(AU182&gt;=1,"Lift",IF(AU182&lt;=0,"Aussenlager","teilweise")))))</f>
        <v>Aussenlager</v>
      </c>
      <c r="BF182" s="55" t="str">
        <f aca="false">IF(AX182&lt;=0,"",IF(BY182="Aussen","Aussenlager",IF(BY182="-","Nicht im Lift",IF(BC182&gt;=1,"Lift",IF(BC182&lt;=0,"Aussenlager","teilweise")))))</f>
        <v>Aussenlager</v>
      </c>
      <c r="BG182" s="55" t="str">
        <f aca="false">IF(A182="","",IF(BP182=1,"Neu; ","")&amp;IF(AND(BP182=0,BK182&lt;0),"negativer Bestand (Export "&amp;BK182&amp;"); ","")&amp;IF(J182&lt;=0,"Kein Verbrauch; ","")&amp;IF(CH182&gt;0,"Lift "&amp;W182&amp;" lt. Liftbericht (Fach "&amp;X182&amp;" Stk); ",IF(BU182=1,"Gebinde geschätzt ("&amp;T182&amp;"); ",IF(BT182=1,"Lose – Tablare geschätzt; ","")))&amp;IF(H182&gt;AR182,"Überbestand "&amp;ROUND(H182-AR182,0)&amp;" Stk / CHF "&amp;ROUND((H182-AR182)*G182,0)&amp;"; ","")&amp;IF(AND(CA182=1,CB182&lt;CC182),"MAX &lt; MB+LG; ","")&amp;IF(AND(CG182&gt;0,CF182*10&gt;CG182),"zu hoch für Tablar; ","")&amp;IF(AND(BP182=0,OR(CA182=1,AA182&lt;&gt;"",U182&lt;&gt;"",V182&lt;&gt;"",AB182&lt;&gt;"")),"manuell übersteuert; ","")&amp;IF(AND(BT182=0,R182=0),"Gebinde unbekannt / Stellmass fehlt; ","")&amp;IF(AND(BT182=0,N(V182)&lt;=0,N(Q182)&lt;=0),"Menge pro Gebinde fehlt (Ist = 1 Gebinde); ","")&amp;BO182)</f>
        <v>Kein Verbrauch; Gebinde geschätzt (Gross); Menge pro Gebinde fehlt (Ist = 1 Gebinde); </v>
      </c>
      <c r="BH182" s="55"/>
      <c r="BI182" s="55"/>
      <c r="BJ182" s="62"/>
      <c r="BK182" s="57" t="n">
        <v>15</v>
      </c>
      <c r="BL182" s="57" t="n">
        <v>0</v>
      </c>
      <c r="BM182" s="56" t="n">
        <v>997.95</v>
      </c>
      <c r="BN182" s="57" t="n">
        <v>0</v>
      </c>
      <c r="BO182" s="55"/>
      <c r="BP182" s="60" t="n">
        <v>0</v>
      </c>
      <c r="BQ182" s="60" t="n">
        <v>182</v>
      </c>
      <c r="BR182" s="55" t="str">
        <f aca="false">IF(U182&lt;&gt;"",UPPER(TRIM(U182)),IF(BU182=1,UPPER(VLOOKUP(T182,Parameter!$I$27:$K$29,2,0)),IF(P182="","LOSE",P182)))</f>
        <v>S81</v>
      </c>
      <c r="BS182" s="57" t="n">
        <f aca="false">IF(BR182="LOSE",1,IF(N(V182)&gt;0,V182,IF(BU182=1,MAX(1,N(VLOOKUP(T182,Parameter!$I$27:$K$29,3,0)),H182,N(N182)),IF(N(Q182)&gt;0,Q182,MAX(1,H182)))))</f>
        <v>15</v>
      </c>
      <c r="BT182" s="60" t="n">
        <f aca="false">IF(BR182="LOSE",1,0)</f>
        <v>0</v>
      </c>
      <c r="BU182" s="60" t="n">
        <f aca="false">IF(AND(U182="",OR(P182="",P182="LOSE"),T182&lt;&gt;"",N(S182)&lt;=0,ISNUMBER(MATCH(T182,Parameter!$I$27:$I$29,0))),1,0)</f>
        <v>1</v>
      </c>
      <c r="BV182" s="55" t="str">
        <f aca="false">IF(AND(Parameter!$B$19="Ja",E182&lt;&gt;"",ISNUMBER(MATCH(E182,Parameter!$I$35:$I$52,0))),VLOOKUP(E182,Parameter!$I$35:$J$52,2,0),IFERROR(VLOOKUP(D182,Parameter!$A$35:$C$64,2,0),"Nein"))</f>
        <v>2+3</v>
      </c>
      <c r="BW182" s="59" t="n">
        <f aca="false">IF(BT182=0,0,IF(N(S182)&gt;0,S182,IFERROR(VLOOKUP(D182,Parameter!$A$35:$C$64,3,0)+0,0)))</f>
        <v>0</v>
      </c>
      <c r="BX182" s="55" t="n">
        <f aca="false">IF(AA182&lt;&gt;"",AA182,Z182)</f>
        <v>2</v>
      </c>
      <c r="BY182" s="55" t="str">
        <f aca="false">IF(BX182=1,"L1",IF(OR(BX182=2,BX182=3),"L23",IF(BX182="Aussen","Aussen","-")))</f>
        <v>L23</v>
      </c>
      <c r="BZ182" s="66" t="n">
        <f aca="false">IF(N(AB182)&gt;0,AB182,0)</f>
        <v>0</v>
      </c>
      <c r="CA182" s="60" t="n">
        <f aca="false">IF(ISNUMBER(AE182),1,0)</f>
        <v>0</v>
      </c>
      <c r="CB182" s="57" t="n">
        <f aca="false">N(AE182)</f>
        <v>0</v>
      </c>
      <c r="CC182" s="57" t="n">
        <f aca="false">N(M182)+N(N182)</f>
        <v>1</v>
      </c>
      <c r="CD182" s="57" t="n">
        <f aca="false">ROUNDUP(H182/BS182,0)</f>
        <v>1</v>
      </c>
      <c r="CE182" s="57" t="n">
        <f aca="false">ROUNDUP(CB182/BS182,0)</f>
        <v>0</v>
      </c>
      <c r="CF182" s="60" t="n">
        <f aca="false">IF(BT182=1,0,IFERROR(VLOOKUP(BR182,'Gebinde-Kategorie'!$A$5:$M$45,5,0)+0,0))</f>
        <v>20</v>
      </c>
      <c r="CG182" s="60" t="n">
        <f aca="false">IFERROR(IF(OR(BX182=1,BX182=2,BX182=3),N(INDEX(Parameter!$I$5:$I$7,BX182)),0),0)</f>
        <v>0</v>
      </c>
      <c r="CH182" s="59" t="n">
        <f aca="false">IF(AND(Parameter!$B$21="Ja",ISNUMBER(W182),N(X182)&gt;0),IFERROR(N(INDEX(Parameter!$L$5:$L$7,W182))*INDEX(Parameter!$E$5:$E$7,W182)*X182/SUMIFS($X$7:$X$1843,$W$7:$W$1843,W182),0),0)</f>
        <v>0</v>
      </c>
    </row>
    <row r="183" customFormat="false" ht="15" hidden="false" customHeight="false" outlineLevel="0" collapsed="false">
      <c r="A183" s="55" t="s">
        <v>570</v>
      </c>
      <c r="B183" s="55" t="s">
        <v>571</v>
      </c>
      <c r="C183" s="55" t="s">
        <v>164</v>
      </c>
      <c r="D183" s="55" t="s">
        <v>184</v>
      </c>
      <c r="E183" s="55" t="s">
        <v>185</v>
      </c>
      <c r="F183" s="55" t="s">
        <v>218</v>
      </c>
      <c r="G183" s="56" t="n">
        <v>16.3</v>
      </c>
      <c r="H183" s="57" t="n">
        <f aca="false">MAX(0,IF(AND(Parameter!$B$21="Ja",ISNUMBER(Y183)),Y183,IF(Parameter!$B$20="Jahresanfang 2025 + Export",BL183+BK183,BK183)))</f>
        <v>122</v>
      </c>
      <c r="I183" s="57" t="n">
        <f aca="false">H183*G183</f>
        <v>1988.6</v>
      </c>
      <c r="J183" s="57" t="n">
        <f aca="false">BN183*Parameter!$B$18</f>
        <v>280</v>
      </c>
      <c r="K183" s="58" t="n">
        <v>55.5</v>
      </c>
      <c r="L183" s="59" t="n">
        <v>5.04504504504505</v>
      </c>
      <c r="M183" s="57" t="n">
        <v>16</v>
      </c>
      <c r="N183" s="57" t="n">
        <v>100</v>
      </c>
      <c r="O183" s="60" t="n">
        <v>21</v>
      </c>
      <c r="P183" s="55" t="s">
        <v>302</v>
      </c>
      <c r="Q183" s="57" t="n">
        <v>112</v>
      </c>
      <c r="R183" s="60" t="n">
        <f aca="false">IF(BT183=1,0,IFERROR(VLOOKUP(BR183,'Gebinde-Kategorie'!$A$5:$M$45,13,0)+0,0))</f>
        <v>26</v>
      </c>
      <c r="S183" s="61"/>
      <c r="T183" s="62"/>
      <c r="U183" s="62"/>
      <c r="V183" s="62"/>
      <c r="W183" s="55"/>
      <c r="X183" s="57"/>
      <c r="Y183" s="57"/>
      <c r="Z183" s="55" t="n">
        <f aca="false">IF(A183="","",IF(AND(Parameter!$B$21="Ja",ISNUMBER(W183)),W183,IF(BV183="2+3",IF(ISNUMBER(SEARCH("grosser Artikel",BO183)),2,IFERROR(VLOOKUP(BR183,Parameter!$F$35:$G$64,2,0),2)),IF(OR(BV183="Nein",BV183=""),"-",BV183))))</f>
        <v>3</v>
      </c>
      <c r="AA183" s="62"/>
      <c r="AB183" s="63"/>
      <c r="AC183" s="57" t="n">
        <f aca="false">AR183</f>
        <v>224</v>
      </c>
      <c r="AD183" s="57" t="n">
        <f aca="false">MAX(AR183,H183)</f>
        <v>224</v>
      </c>
      <c r="AE183" s="64"/>
      <c r="AF183" s="57" t="n">
        <f aca="false">IF(LEFT(Cockpit!$C$5,1)="A",H183,IF(CA183=1,CB183,IF(LEFT(Cockpit!$C$5,1)="B",AJ183,MAX(AJ183,H183))))</f>
        <v>122</v>
      </c>
      <c r="AG183" s="57" t="n">
        <f aca="false">IF(BT183=1,0,ROUNDUP(AF183/BS183,0))</f>
        <v>2</v>
      </c>
      <c r="AH183" s="59" t="n">
        <f aca="false">IF(CH183&gt;0,CH183*MAX(1,AF183/X183),IF(BT183=1,IF(AF183&lt;=0,0,BW183*MAX(1,IF(H183&gt;0,AF183/H183,1))),IF(R183&gt;0,AG183/R183,0))/MAX(0.1,N(Parameter!$M$21)))</f>
        <v>0.0769230769230769</v>
      </c>
      <c r="AI183" s="57" t="n">
        <f aca="false">AF183*G183</f>
        <v>1988.6</v>
      </c>
      <c r="AJ183" s="57" t="n">
        <f aca="false">ROUNDUP(MAX(J183/IF(BZ183&gt;0,BZ183,MAX(0.1,N(Cockpit!$C$6))),CC183)/BS183,0)*BS183</f>
        <v>224</v>
      </c>
      <c r="AK183" s="58" t="n">
        <f aca="false">IF(AH183&gt;0,J183/AH183,-1)</f>
        <v>3640</v>
      </c>
      <c r="AL183" s="58" t="n">
        <f aca="false">IF(AND(OR(BY183="L1",BY183="L23"),AH183&gt;0),SUMIFS($AH$7:$AH$1843,$BY$7:$BY$1843,BY183,$AK$7:$AK$1843,"&gt;"&amp;AK183)+SUMIFS($AH$7:$AH$1843,$BY$7:$BY$1843,BY183,$AK$7:$AK$1843,AK183,$BQ$7:$BQ$1843,"&lt;="&amp;BQ183),"")</f>
        <v>9.23712036755515</v>
      </c>
      <c r="AM183" s="65" t="n">
        <f aca="false">IF(AL183="",0,MAX(0,MIN(1,(IF(BY183="L1",Parameter!$E$5,Parameter!$E$6+Parameter!$E$7)-(AL183-AH183))/AH183)))</f>
        <v>1</v>
      </c>
      <c r="AN183" s="57" t="n">
        <f aca="false">IF(LEFT(Cockpit!$I$5,1)="A",H183,IF(CA183=1,CB183,IF(LEFT(Cockpit!$I$5,1)="B",AR183,MAX(AR183,H183))))</f>
        <v>224</v>
      </c>
      <c r="AO183" s="57" t="n">
        <f aca="false">IF(BT183=1,0,ROUNDUP(AN183/BS183,0))</f>
        <v>2</v>
      </c>
      <c r="AP183" s="59" t="n">
        <f aca="false">IF(CH183&gt;0,CH183*MAX(1,AN183/X183),IF(BT183=1,IF(AN183&lt;=0,0,BW183*MAX(1,IF(H183&gt;0,AN183/H183,1))),IF(R183&gt;0,AO183/R183,0))/MAX(0.1,N(Parameter!$M$21)))</f>
        <v>0.0769230769230769</v>
      </c>
      <c r="AQ183" s="57" t="n">
        <f aca="false">AN183*G183</f>
        <v>3651.2</v>
      </c>
      <c r="AR183" s="57" t="n">
        <f aca="false">ROUNDUP(MAX(J183/IF(BZ183&gt;0,BZ183,MAX(0.1,N(Cockpit!$I$6))),CC183)/BS183,0)*BS183</f>
        <v>224</v>
      </c>
      <c r="AS183" s="58" t="n">
        <f aca="false">IF(AP183&gt;0,J183/AP183,-1)</f>
        <v>3640</v>
      </c>
      <c r="AT183" s="58" t="n">
        <f aca="false">IF(AND(OR(BY183="L1",BY183="L23"),AP183&gt;0),SUMIFS($AP$7:$AP$1843,$BY$7:$BY$1843,BY183,$AS$7:$AS$1843,"&gt;"&amp;AS183)+SUMIFS($AP$7:$AP$1843,$BY$7:$BY$1843,BY183,$AS$7:$AS$1843,AS183,$BQ$7:$BQ$1843,"&lt;="&amp;BQ183),"")</f>
        <v>14.0491284078241</v>
      </c>
      <c r="AU183" s="65" t="n">
        <f aca="false">IF(AT183="",0,MAX(0,MIN(1,(IF(BY183="L1",Parameter!$E$5,Parameter!$E$6+Parameter!$E$7)-(AT183-AP183))/AP183)))</f>
        <v>1</v>
      </c>
      <c r="AV183" s="57" t="n">
        <f aca="false">IF(LEFT(Cockpit!$O$5,1)="A",H183,IF(CA183=1,CB183,IF(LEFT(Cockpit!$O$5,1)="B",AZ183,MAX(AZ183,H183))))</f>
        <v>224</v>
      </c>
      <c r="AW183" s="57" t="n">
        <f aca="false">IF(BT183=1,0,ROUNDUP(AV183/BS183,0))</f>
        <v>2</v>
      </c>
      <c r="AX183" s="59" t="n">
        <f aca="false">IF(CH183&gt;0,CH183*MAX(1,AV183/X183),IF(BT183=1,IF(AV183&lt;=0,0,BW183*MAX(1,IF(H183&gt;0,AV183/H183,1))),IF(R183&gt;0,AW183/R183,0))/MAX(0.1,N(Parameter!$M$21)))</f>
        <v>0.0769230769230769</v>
      </c>
      <c r="AY183" s="57" t="n">
        <f aca="false">AV183*G183</f>
        <v>3651.2</v>
      </c>
      <c r="AZ183" s="57" t="n">
        <f aca="false">ROUNDUP(MAX(J183/IF(BZ183&gt;0,BZ183,MAX(0.1,N(Cockpit!$O$6))),CC183)/BS183,0)*BS183</f>
        <v>224</v>
      </c>
      <c r="BA183" s="58" t="n">
        <f aca="false">IF(AX183&gt;0,J183/AX183,-1)</f>
        <v>3640</v>
      </c>
      <c r="BB183" s="58" t="n">
        <f aca="false">IF(AND(OR(BY183="L1",BY183="L23"),AX183&gt;0),SUMIFS($AX$7:$AX$1843,$BY$7:$BY$1843,BY183,$BA$7:$BA$1843,"&gt;"&amp;BA183)+SUMIFS($AX$7:$AX$1843,$BY$7:$BY$1843,BY183,$BA$7:$BA$1843,BA183,$BQ$7:$BQ$1843,"&lt;="&amp;BQ183),"")</f>
        <v>12.6161447248404</v>
      </c>
      <c r="BC183" s="65" t="n">
        <f aca="false">IF(BB183="",0,MAX(0,MIN(1,(IF(BY183="L1",Parameter!$E$5,Parameter!$E$6+Parameter!$E$7)-(BB183-AX183))/AX183)))</f>
        <v>1</v>
      </c>
      <c r="BD183" s="55" t="str">
        <f aca="false">IF(AH183&lt;=0,"",IF(BY183="Aussen","Aussenlager",IF(BY183="-","Nicht im Lift",IF(AM183&gt;=1,"Lift",IF(AM183&lt;=0,"Aussenlager","teilweise")))))</f>
        <v>Lift</v>
      </c>
      <c r="BE183" s="55" t="str">
        <f aca="false">IF(AP183&lt;=0,"",IF(BY183="Aussen","Aussenlager",IF(BY183="-","Nicht im Lift",IF(AU183&gt;=1,"Lift",IF(AU183&lt;=0,"Aussenlager","teilweise")))))</f>
        <v>Lift</v>
      </c>
      <c r="BF183" s="55" t="str">
        <f aca="false">IF(AX183&lt;=0,"",IF(BY183="Aussen","Aussenlager",IF(BY183="-","Nicht im Lift",IF(BC183&gt;=1,"Lift",IF(BC183&lt;=0,"Aussenlager","teilweise")))))</f>
        <v>Lift</v>
      </c>
      <c r="BG183" s="55" t="str">
        <f aca="false">IF(A183="","",IF(BP183=1,"Neu; ","")&amp;IF(AND(BP183=0,BK183&lt;0),"negativer Bestand (Export "&amp;BK183&amp;"); ","")&amp;IF(J183&lt;=0,"Kein Verbrauch; ","")&amp;IF(CH183&gt;0,"Lift "&amp;W183&amp;" lt. Liftbericht (Fach "&amp;X183&amp;" Stk); ",IF(BU183=1,"Gebinde geschätzt ("&amp;T183&amp;"); ",IF(BT183=1,"Lose – Tablare geschätzt; ","")))&amp;IF(H183&gt;AR183,"Überbestand "&amp;ROUND(H183-AR183,0)&amp;" Stk / CHF "&amp;ROUND((H183-AR183)*G183,0)&amp;"; ","")&amp;IF(AND(CA183=1,CB183&lt;CC183),"MAX &lt; MB+LG; ","")&amp;IF(AND(CG183&gt;0,CF183*10&gt;CG183),"zu hoch für Tablar; ","")&amp;IF(AND(BP183=0,OR(CA183=1,AA183&lt;&gt;"",U183&lt;&gt;"",V183&lt;&gt;"",AB183&lt;&gt;"")),"manuell übersteuert; ","")&amp;IF(AND(BT183=0,R183=0),"Gebinde unbekannt / Stellmass fehlt; ","")&amp;IF(AND(BT183=0,N(V183)&lt;=0,N(Q183)&lt;=0),"Menge pro Gebinde fehlt (Ist = 1 Gebinde); ","")&amp;BO183)</f>
        <v/>
      </c>
      <c r="BH183" s="55"/>
      <c r="BI183" s="55"/>
      <c r="BJ183" s="62"/>
      <c r="BK183" s="57" t="n">
        <v>77</v>
      </c>
      <c r="BL183" s="57" t="n">
        <v>45</v>
      </c>
      <c r="BM183" s="56" t="n">
        <v>995.94</v>
      </c>
      <c r="BN183" s="57" t="n">
        <v>280</v>
      </c>
      <c r="BO183" s="55"/>
      <c r="BP183" s="60" t="n">
        <v>0</v>
      </c>
      <c r="BQ183" s="60" t="n">
        <v>183</v>
      </c>
      <c r="BR183" s="55" t="str">
        <f aca="false">IF(U183&lt;&gt;"",UPPER(TRIM(U183)),IF(BU183=1,UPPER(VLOOKUP(T183,Parameter!$I$27:$K$29,2,0)),IF(P183="","LOSE",P183)))</f>
        <v>S51</v>
      </c>
      <c r="BS183" s="57" t="n">
        <f aca="false">IF(BR183="LOSE",1,IF(N(V183)&gt;0,V183,IF(BU183=1,MAX(1,N(VLOOKUP(T183,Parameter!$I$27:$K$29,3,0)),H183,N(N183)),IF(N(Q183)&gt;0,Q183,MAX(1,H183)))))</f>
        <v>112</v>
      </c>
      <c r="BT183" s="60" t="n">
        <f aca="false">IF(BR183="LOSE",1,0)</f>
        <v>0</v>
      </c>
      <c r="BU183" s="60" t="n">
        <f aca="false">IF(AND(U183="",OR(P183="",P183="LOSE"),T183&lt;&gt;"",N(S183)&lt;=0,ISNUMBER(MATCH(T183,Parameter!$I$27:$I$29,0))),1,0)</f>
        <v>0</v>
      </c>
      <c r="BV183" s="55" t="str">
        <f aca="false">IF(AND(Parameter!$B$19="Ja",E183&lt;&gt;"",ISNUMBER(MATCH(E183,Parameter!$I$35:$I$52,0))),VLOOKUP(E183,Parameter!$I$35:$J$52,2,0),IFERROR(VLOOKUP(D183,Parameter!$A$35:$C$64,2,0),"Nein"))</f>
        <v>2+3</v>
      </c>
      <c r="BW183" s="59" t="n">
        <f aca="false">IF(BT183=0,0,IF(N(S183)&gt;0,S183,IFERROR(VLOOKUP(D183,Parameter!$A$35:$C$64,3,0)+0,0)))</f>
        <v>0</v>
      </c>
      <c r="BX183" s="55" t="n">
        <f aca="false">IF(AA183&lt;&gt;"",AA183,Z183)</f>
        <v>3</v>
      </c>
      <c r="BY183" s="55" t="str">
        <f aca="false">IF(BX183=1,"L1",IF(OR(BX183=2,BX183=3),"L23",IF(BX183="Aussen","Aussen","-")))</f>
        <v>L23</v>
      </c>
      <c r="BZ183" s="66" t="n">
        <f aca="false">IF(N(AB183)&gt;0,AB183,0)</f>
        <v>0</v>
      </c>
      <c r="CA183" s="60" t="n">
        <f aca="false">IF(ISNUMBER(AE183),1,0)</f>
        <v>0</v>
      </c>
      <c r="CB183" s="57" t="n">
        <f aca="false">N(AE183)</f>
        <v>0</v>
      </c>
      <c r="CC183" s="57" t="n">
        <f aca="false">N(M183)+N(N183)</f>
        <v>116</v>
      </c>
      <c r="CD183" s="57" t="n">
        <f aca="false">ROUNDUP(H183/BS183,0)</f>
        <v>2</v>
      </c>
      <c r="CE183" s="57" t="n">
        <f aca="false">ROUNDUP(CB183/BS183,0)</f>
        <v>0</v>
      </c>
      <c r="CF183" s="60" t="n">
        <f aca="false">IF(BT183=1,0,IFERROR(VLOOKUP(BR183,'Gebinde-Kategorie'!$A$5:$M$45,5,0)+0,0))</f>
        <v>11</v>
      </c>
      <c r="CG183" s="60" t="n">
        <f aca="false">IFERROR(IF(OR(BX183=1,BX183=2,BX183=3),N(INDEX(Parameter!$I$5:$I$7,BX183)),0),0)</f>
        <v>0</v>
      </c>
      <c r="CH183" s="59" t="n">
        <f aca="false">IF(AND(Parameter!$B$21="Ja",ISNUMBER(W183),N(X183)&gt;0),IFERROR(N(INDEX(Parameter!$L$5:$L$7,W183))*INDEX(Parameter!$E$5:$E$7,W183)*X183/SUMIFS($X$7:$X$1843,$W$7:$W$1843,W183),0),0)</f>
        <v>0</v>
      </c>
    </row>
    <row r="184" customFormat="false" ht="15" hidden="false" customHeight="false" outlineLevel="0" collapsed="false">
      <c r="A184" s="55" t="s">
        <v>572</v>
      </c>
      <c r="B184" s="55" t="s">
        <v>573</v>
      </c>
      <c r="C184" s="55" t="s">
        <v>164</v>
      </c>
      <c r="D184" s="55" t="s">
        <v>173</v>
      </c>
      <c r="E184" s="55" t="s">
        <v>185</v>
      </c>
      <c r="F184" s="55" t="s">
        <v>218</v>
      </c>
      <c r="G184" s="56" t="n">
        <v>159.24</v>
      </c>
      <c r="H184" s="57" t="n">
        <f aca="false">MAX(0,IF(AND(Parameter!$B$21="Ja",ISNUMBER(Y184)),Y184,IF(Parameter!$B$20="Jahresanfang 2025 + Export",BL184+BK184,BK184)))</f>
        <v>8</v>
      </c>
      <c r="I184" s="57" t="n">
        <f aca="false">H184*G184</f>
        <v>1273.92</v>
      </c>
      <c r="J184" s="57" t="n">
        <f aca="false">BN184*Parameter!$B$18</f>
        <v>0</v>
      </c>
      <c r="K184" s="58" t="n">
        <v>6.5</v>
      </c>
      <c r="L184" s="59" t="n">
        <v>0</v>
      </c>
      <c r="M184" s="57" t="n">
        <v>0</v>
      </c>
      <c r="N184" s="57" t="n">
        <v>1</v>
      </c>
      <c r="O184" s="60" t="n">
        <v>70</v>
      </c>
      <c r="P184" s="55" t="s">
        <v>293</v>
      </c>
      <c r="Q184" s="57" t="n">
        <v>12</v>
      </c>
      <c r="R184" s="60" t="n">
        <f aca="false">IF(BT184=1,0,IFERROR(VLOOKUP(BR184,'Gebinde-Kategorie'!$A$5:$M$45,13,0)+0,0))</f>
        <v>12</v>
      </c>
      <c r="S184" s="61"/>
      <c r="T184" s="62"/>
      <c r="U184" s="62"/>
      <c r="V184" s="62"/>
      <c r="W184" s="55"/>
      <c r="X184" s="57"/>
      <c r="Y184" s="57"/>
      <c r="Z184" s="55" t="n">
        <f aca="false">IF(A184="","",IF(AND(Parameter!$B$21="Ja",ISNUMBER(W184)),W184,IF(BV184="2+3",IF(ISNUMBER(SEARCH("grosser Artikel",BO184)),2,IFERROR(VLOOKUP(BR184,Parameter!$F$35:$G$64,2,0),2)),IF(OR(BV184="Nein",BV184=""),"-",BV184))))</f>
        <v>2</v>
      </c>
      <c r="AA184" s="62"/>
      <c r="AB184" s="63"/>
      <c r="AC184" s="57" t="n">
        <f aca="false">AR184</f>
        <v>12</v>
      </c>
      <c r="AD184" s="57" t="n">
        <f aca="false">MAX(AR184,H184)</f>
        <v>12</v>
      </c>
      <c r="AE184" s="64"/>
      <c r="AF184" s="57" t="n">
        <f aca="false">IF(LEFT(Cockpit!$C$5,1)="A",H184,IF(CA184=1,CB184,IF(LEFT(Cockpit!$C$5,1)="B",AJ184,MAX(AJ184,H184))))</f>
        <v>8</v>
      </c>
      <c r="AG184" s="57" t="n">
        <f aca="false">IF(BT184=1,0,ROUNDUP(AF184/BS184,0))</f>
        <v>1</v>
      </c>
      <c r="AH184" s="59" t="n">
        <f aca="false">IF(CH184&gt;0,CH184*MAX(1,AF184/X184),IF(BT184=1,IF(AF184&lt;=0,0,BW184*MAX(1,IF(H184&gt;0,AF184/H184,1))),IF(R184&gt;0,AG184/R184,0))/MAX(0.1,N(Parameter!$M$21)))</f>
        <v>0.0833333333333333</v>
      </c>
      <c r="AI184" s="57" t="n">
        <f aca="false">AF184*G184</f>
        <v>1273.92</v>
      </c>
      <c r="AJ184" s="57" t="n">
        <f aca="false">ROUNDUP(MAX(J184/IF(BZ184&gt;0,BZ184,MAX(0.1,N(Cockpit!$C$6))),CC184)/BS184,0)*BS184</f>
        <v>12</v>
      </c>
      <c r="AK184" s="58" t="n">
        <f aca="false">IF(AH184&gt;0,J184/AH184,-1)</f>
        <v>0</v>
      </c>
      <c r="AL184" s="58" t="n">
        <f aca="false">IF(AND(OR(BY184="L1",BY184="L23"),AH184&gt;0),SUMIFS($AH$7:$AH$1843,$BY$7:$BY$1843,BY184,$AK$7:$AK$1843,"&gt;"&amp;AK184)+SUMIFS($AH$7:$AH$1843,$BY$7:$BY$1843,BY184,$AK$7:$AK$1843,AK184,$BQ$7:$BQ$1843,"&lt;="&amp;BQ184),"")</f>
        <v>70.4714367757846</v>
      </c>
      <c r="AM184" s="65" t="n">
        <f aca="false">IF(AL184="",0,MAX(0,MIN(1,(IF(BY184="L1",Parameter!$E$5,Parameter!$E$6+Parameter!$E$7)-(AL184-AH184))/AH184)))</f>
        <v>1</v>
      </c>
      <c r="AN184" s="57" t="n">
        <f aca="false">IF(LEFT(Cockpit!$I$5,1)="A",H184,IF(CA184=1,CB184,IF(LEFT(Cockpit!$I$5,1)="B",AR184,MAX(AR184,H184))))</f>
        <v>12</v>
      </c>
      <c r="AO184" s="57" t="n">
        <f aca="false">IF(BT184=1,0,ROUNDUP(AN184/BS184,0))</f>
        <v>1</v>
      </c>
      <c r="AP184" s="59" t="n">
        <f aca="false">IF(CH184&gt;0,CH184*MAX(1,AN184/X184),IF(BT184=1,IF(AN184&lt;=0,0,BW184*MAX(1,IF(H184&gt;0,AN184/H184,1))),IF(R184&gt;0,AO184/R184,0))/MAX(0.1,N(Parameter!$M$21)))</f>
        <v>0.0833333333333333</v>
      </c>
      <c r="AQ184" s="57" t="n">
        <f aca="false">AN184*G184</f>
        <v>1910.88</v>
      </c>
      <c r="AR184" s="57" t="n">
        <f aca="false">ROUNDUP(MAX(J184/IF(BZ184&gt;0,BZ184,MAX(0.1,N(Cockpit!$I$6))),CC184)/BS184,0)*BS184</f>
        <v>12</v>
      </c>
      <c r="AS184" s="58" t="n">
        <f aca="false">IF(AP184&gt;0,J184/AP184,-1)</f>
        <v>0</v>
      </c>
      <c r="AT184" s="58" t="n">
        <f aca="false">IF(AND(OR(BY184="L1",BY184="L23"),AP184&gt;0),SUMIFS($AP$7:$AP$1843,$BY$7:$BY$1843,BY184,$AS$7:$AS$1843,"&gt;"&amp;AS184)+SUMIFS($AP$7:$AP$1843,$BY$7:$BY$1843,BY184,$AS$7:$AS$1843,AS184,$BQ$7:$BQ$1843,"&lt;="&amp;BQ184),"")</f>
        <v>109.895560960778</v>
      </c>
      <c r="AU184" s="65" t="n">
        <f aca="false">IF(AT184="",0,MAX(0,MIN(1,(IF(BY184="L1",Parameter!$E$5,Parameter!$E$6+Parameter!$E$7)-(AT184-AP184))/AP184)))</f>
        <v>0</v>
      </c>
      <c r="AV184" s="57" t="n">
        <f aca="false">IF(LEFT(Cockpit!$O$5,1)="A",H184,IF(CA184=1,CB184,IF(LEFT(Cockpit!$O$5,1)="B",AZ184,MAX(AZ184,H184))))</f>
        <v>12</v>
      </c>
      <c r="AW184" s="57" t="n">
        <f aca="false">IF(BT184=1,0,ROUNDUP(AV184/BS184,0))</f>
        <v>1</v>
      </c>
      <c r="AX184" s="59" t="n">
        <f aca="false">IF(CH184&gt;0,CH184*MAX(1,AV184/X184),IF(BT184=1,IF(AV184&lt;=0,0,BW184*MAX(1,IF(H184&gt;0,AV184/H184,1))),IF(R184&gt;0,AW184/R184,0))/MAX(0.1,N(Parameter!$M$21)))</f>
        <v>0.0833333333333333</v>
      </c>
      <c r="AY184" s="57" t="n">
        <f aca="false">AV184*G184</f>
        <v>1910.88</v>
      </c>
      <c r="AZ184" s="57" t="n">
        <f aca="false">ROUNDUP(MAX(J184/IF(BZ184&gt;0,BZ184,MAX(0.1,N(Cockpit!$O$6))),CC184)/BS184,0)*BS184</f>
        <v>12</v>
      </c>
      <c r="BA184" s="58" t="n">
        <f aca="false">IF(AX184&gt;0,J184/AX184,-1)</f>
        <v>0</v>
      </c>
      <c r="BB184" s="58" t="n">
        <f aca="false">IF(AND(OR(BY184="L1",BY184="L23"),AX184&gt;0),SUMIFS($AX$7:$AX$1843,$BY$7:$BY$1843,BY184,$BA$7:$BA$1843,"&gt;"&amp;BA184)+SUMIFS($AX$7:$AX$1843,$BY$7:$BY$1843,BY184,$BA$7:$BA$1843,BA184,$BQ$7:$BQ$1843,"&lt;="&amp;BQ184),"")</f>
        <v>100.725397790615</v>
      </c>
      <c r="BC184" s="65" t="n">
        <f aca="false">IF(BB184="",0,MAX(0,MIN(1,(IF(BY184="L1",Parameter!$E$5,Parameter!$E$6+Parameter!$E$7)-(BB184-AX184))/AX184)))</f>
        <v>0</v>
      </c>
      <c r="BD184" s="55" t="str">
        <f aca="false">IF(AH184&lt;=0,"",IF(BY184="Aussen","Aussenlager",IF(BY184="-","Nicht im Lift",IF(AM184&gt;=1,"Lift",IF(AM184&lt;=0,"Aussenlager","teilweise")))))</f>
        <v>Lift</v>
      </c>
      <c r="BE184" s="55" t="str">
        <f aca="false">IF(AP184&lt;=0,"",IF(BY184="Aussen","Aussenlager",IF(BY184="-","Nicht im Lift",IF(AU184&gt;=1,"Lift",IF(AU184&lt;=0,"Aussenlager","teilweise")))))</f>
        <v>Aussenlager</v>
      </c>
      <c r="BF184" s="55" t="str">
        <f aca="false">IF(AX184&lt;=0,"",IF(BY184="Aussen","Aussenlager",IF(BY184="-","Nicht im Lift",IF(BC184&gt;=1,"Lift",IF(BC184&lt;=0,"Aussenlager","teilweise")))))</f>
        <v>Aussenlager</v>
      </c>
      <c r="BG184" s="55" t="str">
        <f aca="false">IF(A184="","",IF(BP184=1,"Neu; ","")&amp;IF(AND(BP184=0,BK184&lt;0),"negativer Bestand (Export "&amp;BK184&amp;"); ","")&amp;IF(J184&lt;=0,"Kein Verbrauch; ","")&amp;IF(CH184&gt;0,"Lift "&amp;W184&amp;" lt. Liftbericht (Fach "&amp;X184&amp;" Stk); ",IF(BU184=1,"Gebinde geschätzt ("&amp;T184&amp;"); ",IF(BT184=1,"Lose – Tablare geschätzt; ","")))&amp;IF(H184&gt;AR184,"Überbestand "&amp;ROUND(H184-AR184,0)&amp;" Stk / CHF "&amp;ROUND((H184-AR184)*G184,0)&amp;"; ","")&amp;IF(AND(CA184=1,CB184&lt;CC184),"MAX &lt; MB+LG; ","")&amp;IF(AND(CG184&gt;0,CF184*10&gt;CG184),"zu hoch für Tablar; ","")&amp;IF(AND(BP184=0,OR(CA184=1,AA184&lt;&gt;"",U184&lt;&gt;"",V184&lt;&gt;"",AB184&lt;&gt;"")),"manuell übersteuert; ","")&amp;IF(AND(BT184=0,R184=0),"Gebinde unbekannt / Stellmass fehlt; ","")&amp;IF(AND(BT184=0,N(V184)&lt;=0,N(Q184)&lt;=0),"Menge pro Gebinde fehlt (Ist = 1 Gebinde); ","")&amp;BO184)</f>
        <v>Kein Verbrauch; Überbestand</v>
      </c>
      <c r="BH184" s="55"/>
      <c r="BI184" s="55"/>
      <c r="BJ184" s="62"/>
      <c r="BK184" s="57" t="n">
        <v>6</v>
      </c>
      <c r="BL184" s="57" t="n">
        <v>2</v>
      </c>
      <c r="BM184" s="56" t="n">
        <v>964.86</v>
      </c>
      <c r="BN184" s="57" t="n">
        <v>0</v>
      </c>
      <c r="BO184" s="55" t="s">
        <v>392</v>
      </c>
      <c r="BP184" s="60" t="n">
        <v>0</v>
      </c>
      <c r="BQ184" s="60" t="n">
        <v>184</v>
      </c>
      <c r="BR184" s="55" t="str">
        <f aca="false">IF(U184&lt;&gt;"",UPPER(TRIM(U184)),IF(BU184=1,UPPER(VLOOKUP(T184,Parameter!$I$27:$K$29,2,0)),IF(P184="","LOSE",P184)))</f>
        <v>S62</v>
      </c>
      <c r="BS184" s="57" t="n">
        <f aca="false">IF(BR184="LOSE",1,IF(N(V184)&gt;0,V184,IF(BU184=1,MAX(1,N(VLOOKUP(T184,Parameter!$I$27:$K$29,3,0)),H184,N(N184)),IF(N(Q184)&gt;0,Q184,MAX(1,H184)))))</f>
        <v>12</v>
      </c>
      <c r="BT184" s="60" t="n">
        <f aca="false">IF(BR184="LOSE",1,0)</f>
        <v>0</v>
      </c>
      <c r="BU184" s="60" t="n">
        <f aca="false">IF(AND(U184="",OR(P184="",P184="LOSE"),T184&lt;&gt;"",N(S184)&lt;=0,ISNUMBER(MATCH(T184,Parameter!$I$27:$I$29,0))),1,0)</f>
        <v>0</v>
      </c>
      <c r="BV184" s="55" t="str">
        <f aca="false">IF(AND(Parameter!$B$19="Ja",E184&lt;&gt;"",ISNUMBER(MATCH(E184,Parameter!$I$35:$I$52,0))),VLOOKUP(E184,Parameter!$I$35:$J$52,2,0),IFERROR(VLOOKUP(D184,Parameter!$A$35:$C$64,2,0),"Nein"))</f>
        <v>2+3</v>
      </c>
      <c r="BW184" s="59" t="n">
        <f aca="false">IF(BT184=0,0,IF(N(S184)&gt;0,S184,IFERROR(VLOOKUP(D184,Parameter!$A$35:$C$64,3,0)+0,0)))</f>
        <v>0</v>
      </c>
      <c r="BX184" s="55" t="n">
        <f aca="false">IF(AA184&lt;&gt;"",AA184,Z184)</f>
        <v>2</v>
      </c>
      <c r="BY184" s="55" t="str">
        <f aca="false">IF(BX184=1,"L1",IF(OR(BX184=2,BX184=3),"L23",IF(BX184="Aussen","Aussen","-")))</f>
        <v>L23</v>
      </c>
      <c r="BZ184" s="66" t="n">
        <f aca="false">IF(N(AB184)&gt;0,AB184,0)</f>
        <v>0</v>
      </c>
      <c r="CA184" s="60" t="n">
        <f aca="false">IF(ISNUMBER(AE184),1,0)</f>
        <v>0</v>
      </c>
      <c r="CB184" s="57" t="n">
        <f aca="false">N(AE184)</f>
        <v>0</v>
      </c>
      <c r="CC184" s="57" t="n">
        <f aca="false">N(M184)+N(N184)</f>
        <v>1</v>
      </c>
      <c r="CD184" s="57" t="n">
        <f aca="false">ROUNDUP(H184/BS184,0)</f>
        <v>1</v>
      </c>
      <c r="CE184" s="57" t="n">
        <f aca="false">ROUNDUP(CB184/BS184,0)</f>
        <v>0</v>
      </c>
      <c r="CF184" s="60" t="n">
        <f aca="false">IF(BT184=1,0,IFERROR(VLOOKUP(BR184,'Gebinde-Kategorie'!$A$5:$M$45,5,0)+0,0))</f>
        <v>21</v>
      </c>
      <c r="CG184" s="60" t="n">
        <f aca="false">IFERROR(IF(OR(BX184=1,BX184=2,BX184=3),N(INDEX(Parameter!$I$5:$I$7,BX184)),0),0)</f>
        <v>0</v>
      </c>
      <c r="CH184" s="59" t="n">
        <f aca="false">IF(AND(Parameter!$B$21="Ja",ISNUMBER(W184),N(X184)&gt;0),IFERROR(N(INDEX(Parameter!$L$5:$L$7,W184))*INDEX(Parameter!$E$5:$E$7,W184)*X184/SUMIFS($X$7:$X$1843,$W$7:$W$1843,W184),0),0)</f>
        <v>0</v>
      </c>
    </row>
    <row r="185" customFormat="false" ht="15" hidden="false" customHeight="false" outlineLevel="0" collapsed="false">
      <c r="A185" s="55" t="s">
        <v>574</v>
      </c>
      <c r="B185" s="55" t="s">
        <v>339</v>
      </c>
      <c r="C185" s="55" t="s">
        <v>164</v>
      </c>
      <c r="D185" s="55" t="s">
        <v>173</v>
      </c>
      <c r="E185" s="55"/>
      <c r="F185" s="55" t="s">
        <v>218</v>
      </c>
      <c r="G185" s="56" t="n">
        <v>388.14</v>
      </c>
      <c r="H185" s="57" t="n">
        <f aca="false">MAX(0,IF(AND(Parameter!$B$21="Ja",ISNUMBER(Y185)),Y185,IF(Parameter!$B$20="Jahresanfang 2025 + Export",BL185+BK185,BK185)))</f>
        <v>5</v>
      </c>
      <c r="I185" s="57" t="n">
        <f aca="false">H185*G185</f>
        <v>1940.7</v>
      </c>
      <c r="J185" s="57" t="n">
        <f aca="false">BN185*Parameter!$B$18</f>
        <v>2</v>
      </c>
      <c r="K185" s="58" t="n">
        <v>3.5</v>
      </c>
      <c r="L185" s="59" t="n">
        <v>0.571428571428571</v>
      </c>
      <c r="M185" s="57" t="n">
        <v>0</v>
      </c>
      <c r="N185" s="57" t="n">
        <v>1</v>
      </c>
      <c r="O185" s="60" t="n">
        <v>28</v>
      </c>
      <c r="P185" s="55" t="s">
        <v>174</v>
      </c>
      <c r="Q185" s="57" t="n">
        <v>5</v>
      </c>
      <c r="R185" s="60" t="n">
        <f aca="false">IF(BT185=1,0,IFERROR(VLOOKUP(BR185,'Gebinde-Kategorie'!$A$5:$M$45,13,0)+0,0))</f>
        <v>6</v>
      </c>
      <c r="S185" s="61"/>
      <c r="T185" s="62"/>
      <c r="U185" s="62"/>
      <c r="V185" s="62"/>
      <c r="W185" s="55"/>
      <c r="X185" s="57"/>
      <c r="Y185" s="57"/>
      <c r="Z185" s="55" t="n">
        <f aca="false">IF(A185="","",IF(AND(Parameter!$B$21="Ja",ISNUMBER(W185)),W185,IF(BV185="2+3",IF(ISNUMBER(SEARCH("grosser Artikel",BO185)),2,IFERROR(VLOOKUP(BR185,Parameter!$F$35:$G$64,2,0),2)),IF(OR(BV185="Nein",BV185=""),"-",BV185))))</f>
        <v>2</v>
      </c>
      <c r="AA185" s="62"/>
      <c r="AB185" s="63"/>
      <c r="AC185" s="57" t="n">
        <f aca="false">AR185</f>
        <v>5</v>
      </c>
      <c r="AD185" s="57" t="n">
        <f aca="false">MAX(AR185,H185)</f>
        <v>5</v>
      </c>
      <c r="AE185" s="64"/>
      <c r="AF185" s="57" t="n">
        <f aca="false">IF(LEFT(Cockpit!$C$5,1)="A",H185,IF(CA185=1,CB185,IF(LEFT(Cockpit!$C$5,1)="B",AJ185,MAX(AJ185,H185))))</f>
        <v>5</v>
      </c>
      <c r="AG185" s="57" t="n">
        <f aca="false">IF(BT185=1,0,ROUNDUP(AF185/BS185,0))</f>
        <v>1</v>
      </c>
      <c r="AH185" s="59" t="n">
        <f aca="false">IF(CH185&gt;0,CH185*MAX(1,AF185/X185),IF(BT185=1,IF(AF185&lt;=0,0,BW185*MAX(1,IF(H185&gt;0,AF185/H185,1))),IF(R185&gt;0,AG185/R185,0))/MAX(0.1,N(Parameter!$M$21)))</f>
        <v>0.166666666666667</v>
      </c>
      <c r="AI185" s="57" t="n">
        <f aca="false">AF185*G185</f>
        <v>1940.7</v>
      </c>
      <c r="AJ185" s="57" t="n">
        <f aca="false">ROUNDUP(MAX(J185/IF(BZ185&gt;0,BZ185,MAX(0.1,N(Cockpit!$C$6))),CC185)/BS185,0)*BS185</f>
        <v>5</v>
      </c>
      <c r="AK185" s="58" t="n">
        <f aca="false">IF(AH185&gt;0,J185/AH185,-1)</f>
        <v>12</v>
      </c>
      <c r="AL185" s="58" t="n">
        <f aca="false">IF(AND(OR(BY185="L1",BY185="L23"),AH185&gt;0),SUMIFS($AH$7:$AH$1843,$BY$7:$BY$1843,BY185,$AK$7:$AK$1843,"&gt;"&amp;AK185)+SUMIFS($AH$7:$AH$1843,$BY$7:$BY$1843,BY185,$AK$7:$AK$1843,AK185,$BQ$7:$BQ$1843,"&lt;="&amp;BQ185),"")</f>
        <v>54.4407452450931</v>
      </c>
      <c r="AM185" s="65" t="n">
        <f aca="false">IF(AL185="",0,MAX(0,MIN(1,(IF(BY185="L1",Parameter!$E$5,Parameter!$E$6+Parameter!$E$7)-(AL185-AH185))/AH185)))</f>
        <v>1</v>
      </c>
      <c r="AN185" s="57" t="n">
        <f aca="false">IF(LEFT(Cockpit!$I$5,1)="A",H185,IF(CA185=1,CB185,IF(LEFT(Cockpit!$I$5,1)="B",AR185,MAX(AR185,H185))))</f>
        <v>5</v>
      </c>
      <c r="AO185" s="57" t="n">
        <f aca="false">IF(BT185=1,0,ROUNDUP(AN185/BS185,0))</f>
        <v>1</v>
      </c>
      <c r="AP185" s="59" t="n">
        <f aca="false">IF(CH185&gt;0,CH185*MAX(1,AN185/X185),IF(BT185=1,IF(AN185&lt;=0,0,BW185*MAX(1,IF(H185&gt;0,AN185/H185,1))),IF(R185&gt;0,AO185/R185,0))/MAX(0.1,N(Parameter!$M$21)))</f>
        <v>0.166666666666667</v>
      </c>
      <c r="AQ185" s="57" t="n">
        <f aca="false">AN185*G185</f>
        <v>1940.7</v>
      </c>
      <c r="AR185" s="57" t="n">
        <f aca="false">ROUNDUP(MAX(J185/IF(BZ185&gt;0,BZ185,MAX(0.1,N(Cockpit!$I$6))),CC185)/BS185,0)*BS185</f>
        <v>5</v>
      </c>
      <c r="AS185" s="58" t="n">
        <f aca="false">IF(AP185&gt;0,J185/AP185,-1)</f>
        <v>12</v>
      </c>
      <c r="AT185" s="58" t="n">
        <f aca="false">IF(AND(OR(BY185="L1",BY185="L23"),AP185&gt;0),SUMIFS($AP$7:$AP$1843,$BY$7:$BY$1843,BY185,$AS$7:$AS$1843,"&gt;"&amp;AS185)+SUMIFS($AP$7:$AP$1843,$BY$7:$BY$1843,BY185,$AS$7:$AS$1843,AS185,$BQ$7:$BQ$1843,"&lt;="&amp;BQ185),"")</f>
        <v>81.4482027634202</v>
      </c>
      <c r="AU185" s="65" t="n">
        <f aca="false">IF(AT185="",0,MAX(0,MIN(1,(IF(BY185="L1",Parameter!$E$5,Parameter!$E$6+Parameter!$E$7)-(AT185-AP185))/AP185)))</f>
        <v>1</v>
      </c>
      <c r="AV185" s="57" t="n">
        <f aca="false">IF(LEFT(Cockpit!$O$5,1)="A",H185,IF(CA185=1,CB185,IF(LEFT(Cockpit!$O$5,1)="B",AZ185,MAX(AZ185,H185))))</f>
        <v>5</v>
      </c>
      <c r="AW185" s="57" t="n">
        <f aca="false">IF(BT185=1,0,ROUNDUP(AV185/BS185,0))</f>
        <v>1</v>
      </c>
      <c r="AX185" s="59" t="n">
        <f aca="false">IF(CH185&gt;0,CH185*MAX(1,AV185/X185),IF(BT185=1,IF(AV185&lt;=0,0,BW185*MAX(1,IF(H185&gt;0,AV185/H185,1))),IF(R185&gt;0,AW185/R185,0))/MAX(0.1,N(Parameter!$M$21)))</f>
        <v>0.166666666666667</v>
      </c>
      <c r="AY185" s="57" t="n">
        <f aca="false">AV185*G185</f>
        <v>1940.7</v>
      </c>
      <c r="AZ185" s="57" t="n">
        <f aca="false">ROUNDUP(MAX(J185/IF(BZ185&gt;0,BZ185,MAX(0.1,N(Cockpit!$O$6))),CC185)/BS185,0)*BS185</f>
        <v>5</v>
      </c>
      <c r="BA185" s="58" t="n">
        <f aca="false">IF(AX185&gt;0,J185/AX185,-1)</f>
        <v>12</v>
      </c>
      <c r="BB185" s="58" t="n">
        <f aca="false">IF(AND(OR(BY185="L1",BY185="L23"),AX185&gt;0),SUMIFS($AX$7:$AX$1843,$BY$7:$BY$1843,BY185,$BA$7:$BA$1843,"&gt;"&amp;BA185)+SUMIFS($AX$7:$AX$1843,$BY$7:$BY$1843,BY185,$BA$7:$BA$1843,BA185,$BQ$7:$BQ$1843,"&lt;="&amp;BQ185),"")</f>
        <v>80.9447062599237</v>
      </c>
      <c r="BC185" s="65" t="n">
        <f aca="false">IF(BB185="",0,MAX(0,MIN(1,(IF(BY185="L1",Parameter!$E$5,Parameter!$E$6+Parameter!$E$7)-(BB185-AX185))/AX185)))</f>
        <v>1</v>
      </c>
      <c r="BD185" s="55" t="str">
        <f aca="false">IF(AH185&lt;=0,"",IF(BY185="Aussen","Aussenlager",IF(BY185="-","Nicht im Lift",IF(AM185&gt;=1,"Lift",IF(AM185&lt;=0,"Aussenlager","teilweise")))))</f>
        <v>Lift</v>
      </c>
      <c r="BE185" s="55" t="str">
        <f aca="false">IF(AP185&lt;=0,"",IF(BY185="Aussen","Aussenlager",IF(BY185="-","Nicht im Lift",IF(AU185&gt;=1,"Lift",IF(AU185&lt;=0,"Aussenlager","teilweise")))))</f>
        <v>Lift</v>
      </c>
      <c r="BF185" s="55" t="str">
        <f aca="false">IF(AX185&lt;=0,"",IF(BY185="Aussen","Aussenlager",IF(BY185="-","Nicht im Lift",IF(BC185&gt;=1,"Lift",IF(BC185&lt;=0,"Aussenlager","teilweise")))))</f>
        <v>Lift</v>
      </c>
      <c r="BG185" s="55" t="str">
        <f aca="false">IF(A185="","",IF(BP185=1,"Neu; ","")&amp;IF(AND(BP185=0,BK185&lt;0),"negativer Bestand (Export "&amp;BK185&amp;"); ","")&amp;IF(J185&lt;=0,"Kein Verbrauch; ","")&amp;IF(CH185&gt;0,"Lift "&amp;W185&amp;" lt. Liftbericht (Fach "&amp;X185&amp;" Stk); ",IF(BU185=1,"Gebinde geschätzt ("&amp;T185&amp;"); ",IF(BT185=1,"Lose – Tablare geschätzt; ","")))&amp;IF(H185&gt;AR185,"Überbestand "&amp;ROUND(H185-AR185,0)&amp;" Stk / CHF "&amp;ROUND((H185-AR185)*G185,0)&amp;"; ","")&amp;IF(AND(CA185=1,CB185&lt;CC185),"MAX &lt; MB+LG; ","")&amp;IF(AND(CG185&gt;0,CF185*10&gt;CG185),"zu hoch für Tablar; ","")&amp;IF(AND(BP185=0,OR(CA185=1,AA185&lt;&gt;"",U185&lt;&gt;"",V185&lt;&gt;"",AB185&lt;&gt;"")),"manuell übersteuert; ","")&amp;IF(AND(BT185=0,R185=0),"Gebinde unbekannt / Stellmass fehlt; ","")&amp;IF(AND(BT185=0,N(V185)&lt;=0,N(Q185)&lt;=0),"Menge pro Gebinde fehlt (Ist = 1 Gebinde); ","")&amp;BO185)</f>
        <v/>
      </c>
      <c r="BH185" s="55"/>
      <c r="BI185" s="55"/>
      <c r="BJ185" s="62"/>
      <c r="BK185" s="57" t="n">
        <v>3</v>
      </c>
      <c r="BL185" s="57" t="n">
        <v>2</v>
      </c>
      <c r="BM185" s="56" t="n">
        <v>958.700000000001</v>
      </c>
      <c r="BN185" s="57" t="n">
        <v>2</v>
      </c>
      <c r="BO185" s="55"/>
      <c r="BP185" s="60" t="n">
        <v>0</v>
      </c>
      <c r="BQ185" s="60" t="n">
        <v>185</v>
      </c>
      <c r="BR185" s="55" t="str">
        <f aca="false">IF(U185&lt;&gt;"",UPPER(TRIM(U185)),IF(BU185=1,UPPER(VLOOKUP(T185,Parameter!$I$27:$K$29,2,0)),IF(P185="","LOSE",P185)))</f>
        <v>S71</v>
      </c>
      <c r="BS185" s="57" t="n">
        <f aca="false">IF(BR185="LOSE",1,IF(N(V185)&gt;0,V185,IF(BU185=1,MAX(1,N(VLOOKUP(T185,Parameter!$I$27:$K$29,3,0)),H185,N(N185)),IF(N(Q185)&gt;0,Q185,MAX(1,H185)))))</f>
        <v>5</v>
      </c>
      <c r="BT185" s="60" t="n">
        <f aca="false">IF(BR185="LOSE",1,0)</f>
        <v>0</v>
      </c>
      <c r="BU185" s="60" t="n">
        <f aca="false">IF(AND(U185="",OR(P185="",P185="LOSE"),T185&lt;&gt;"",N(S185)&lt;=0,ISNUMBER(MATCH(T185,Parameter!$I$27:$I$29,0))),1,0)</f>
        <v>0</v>
      </c>
      <c r="BV185" s="55" t="str">
        <f aca="false">IF(AND(Parameter!$B$19="Ja",E185&lt;&gt;"",ISNUMBER(MATCH(E185,Parameter!$I$35:$I$52,0))),VLOOKUP(E185,Parameter!$I$35:$J$52,2,0),IFERROR(VLOOKUP(D185,Parameter!$A$35:$C$64,2,0),"Nein"))</f>
        <v>2+3</v>
      </c>
      <c r="BW185" s="59" t="n">
        <f aca="false">IF(BT185=0,0,IF(N(S185)&gt;0,S185,IFERROR(VLOOKUP(D185,Parameter!$A$35:$C$64,3,0)+0,0)))</f>
        <v>0</v>
      </c>
      <c r="BX185" s="55" t="n">
        <f aca="false">IF(AA185&lt;&gt;"",AA185,Z185)</f>
        <v>2</v>
      </c>
      <c r="BY185" s="55" t="str">
        <f aca="false">IF(BX185=1,"L1",IF(OR(BX185=2,BX185=3),"L23",IF(BX185="Aussen","Aussen","-")))</f>
        <v>L23</v>
      </c>
      <c r="BZ185" s="66" t="n">
        <f aca="false">IF(N(AB185)&gt;0,AB185,0)</f>
        <v>0</v>
      </c>
      <c r="CA185" s="60" t="n">
        <f aca="false">IF(ISNUMBER(AE185),1,0)</f>
        <v>0</v>
      </c>
      <c r="CB185" s="57" t="n">
        <f aca="false">N(AE185)</f>
        <v>0</v>
      </c>
      <c r="CC185" s="57" t="n">
        <f aca="false">N(M185)+N(N185)</f>
        <v>1</v>
      </c>
      <c r="CD185" s="57" t="n">
        <f aca="false">ROUNDUP(H185/BS185,0)</f>
        <v>1</v>
      </c>
      <c r="CE185" s="57" t="n">
        <f aca="false">ROUNDUP(CB185/BS185,0)</f>
        <v>0</v>
      </c>
      <c r="CF185" s="60" t="n">
        <f aca="false">IF(BT185=1,0,IFERROR(VLOOKUP(BR185,'Gebinde-Kategorie'!$A$5:$M$45,5,0)+0,0))</f>
        <v>20</v>
      </c>
      <c r="CG185" s="60" t="n">
        <f aca="false">IFERROR(IF(OR(BX185=1,BX185=2,BX185=3),N(INDEX(Parameter!$I$5:$I$7,BX185)),0),0)</f>
        <v>0</v>
      </c>
      <c r="CH185" s="59" t="n">
        <f aca="false">IF(AND(Parameter!$B$21="Ja",ISNUMBER(W185),N(X185)&gt;0),IFERROR(N(INDEX(Parameter!$L$5:$L$7,W185))*INDEX(Parameter!$E$5:$E$7,W185)*X185/SUMIFS($X$7:$X$1843,$W$7:$W$1843,W185),0),0)</f>
        <v>0</v>
      </c>
    </row>
    <row r="186" customFormat="false" ht="15" hidden="false" customHeight="false" outlineLevel="0" collapsed="false">
      <c r="A186" s="55" t="s">
        <v>575</v>
      </c>
      <c r="B186" s="55" t="s">
        <v>576</v>
      </c>
      <c r="C186" s="55" t="s">
        <v>164</v>
      </c>
      <c r="D186" s="55" t="s">
        <v>184</v>
      </c>
      <c r="E186" s="55"/>
      <c r="F186" s="55" t="s">
        <v>218</v>
      </c>
      <c r="G186" s="56" t="n">
        <v>428.28</v>
      </c>
      <c r="H186" s="57" t="n">
        <f aca="false">MAX(0,IF(AND(Parameter!$B$21="Ja",ISNUMBER(Y186)),Y186,IF(Parameter!$B$20="Jahresanfang 2025 + Export",BL186+BK186,BK186)))</f>
        <v>9</v>
      </c>
      <c r="I186" s="57" t="n">
        <f aca="false">H186*G186</f>
        <v>3854.52</v>
      </c>
      <c r="J186" s="57" t="n">
        <f aca="false">BN186*Parameter!$B$18</f>
        <v>8</v>
      </c>
      <c r="K186" s="58" t="n">
        <v>5</v>
      </c>
      <c r="L186" s="59" t="n">
        <v>1.6</v>
      </c>
      <c r="M186" s="57" t="n">
        <v>10</v>
      </c>
      <c r="N186" s="57" t="n">
        <v>5</v>
      </c>
      <c r="O186" s="60" t="n">
        <v>35</v>
      </c>
      <c r="P186" s="55" t="s">
        <v>168</v>
      </c>
      <c r="Q186" s="57"/>
      <c r="R186" s="60" t="n">
        <f aca="false">IF(BT186=1,0,IFERROR(VLOOKUP(BR186,'Gebinde-Kategorie'!$A$5:$M$45,13,0)+0,0))</f>
        <v>26</v>
      </c>
      <c r="S186" s="61"/>
      <c r="T186" s="62" t="s">
        <v>275</v>
      </c>
      <c r="U186" s="62"/>
      <c r="V186" s="62"/>
      <c r="W186" s="55"/>
      <c r="X186" s="57"/>
      <c r="Y186" s="57"/>
      <c r="Z186" s="55" t="n">
        <f aca="false">IF(A186="","",IF(AND(Parameter!$B$21="Ja",ISNUMBER(W186)),W186,IF(BV186="2+3",IF(ISNUMBER(SEARCH("grosser Artikel",BO186)),2,IFERROR(VLOOKUP(BR186,Parameter!$F$35:$G$64,2,0),2)),IF(OR(BV186="Nein",BV186=""),"-",BV186))))</f>
        <v>3</v>
      </c>
      <c r="AA186" s="62"/>
      <c r="AB186" s="63"/>
      <c r="AC186" s="57" t="n">
        <f aca="false">AR186</f>
        <v>20</v>
      </c>
      <c r="AD186" s="57" t="n">
        <f aca="false">MAX(AR186,H186)</f>
        <v>20</v>
      </c>
      <c r="AE186" s="64"/>
      <c r="AF186" s="57" t="n">
        <f aca="false">IF(LEFT(Cockpit!$C$5,1)="A",H186,IF(CA186=1,CB186,IF(LEFT(Cockpit!$C$5,1)="B",AJ186,MAX(AJ186,H186))))</f>
        <v>9</v>
      </c>
      <c r="AG186" s="57" t="n">
        <f aca="false">IF(BT186=1,0,ROUNDUP(AF186/BS186,0))</f>
        <v>1</v>
      </c>
      <c r="AH186" s="59" t="n">
        <f aca="false">IF(CH186&gt;0,CH186*MAX(1,AF186/X186),IF(BT186=1,IF(AF186&lt;=0,0,BW186*MAX(1,IF(H186&gt;0,AF186/H186,1))),IF(R186&gt;0,AG186/R186,0))/MAX(0.1,N(Parameter!$M$21)))</f>
        <v>0.0384615384615385</v>
      </c>
      <c r="AI186" s="57" t="n">
        <f aca="false">AF186*G186</f>
        <v>3854.52</v>
      </c>
      <c r="AJ186" s="57" t="n">
        <f aca="false">ROUNDUP(MAX(J186/IF(BZ186&gt;0,BZ186,MAX(0.1,N(Cockpit!$C$6))),CC186)/BS186,0)*BS186</f>
        <v>20</v>
      </c>
      <c r="AK186" s="58" t="n">
        <f aca="false">IF(AH186&gt;0,J186/AH186,-1)</f>
        <v>208</v>
      </c>
      <c r="AL186" s="58" t="n">
        <f aca="false">IF(AND(OR(BY186="L1",BY186="L23"),AH186&gt;0),SUMIFS($AH$7:$AH$1843,$BY$7:$BY$1843,BY186,$AK$7:$AK$1843,"&gt;"&amp;AK186)+SUMIFS($AH$7:$AH$1843,$BY$7:$BY$1843,BY186,$AK$7:$AK$1843,AK186,$BQ$7:$BQ$1843,"&lt;="&amp;BQ186),"")</f>
        <v>31.8223539745279</v>
      </c>
      <c r="AM186" s="65" t="n">
        <f aca="false">IF(AL186="",0,MAX(0,MIN(1,(IF(BY186="L1",Parameter!$E$5,Parameter!$E$6+Parameter!$E$7)-(AL186-AH186))/AH186)))</f>
        <v>1</v>
      </c>
      <c r="AN186" s="57" t="n">
        <f aca="false">IF(LEFT(Cockpit!$I$5,1)="A",H186,IF(CA186=1,CB186,IF(LEFT(Cockpit!$I$5,1)="B",AR186,MAX(AR186,H186))))</f>
        <v>20</v>
      </c>
      <c r="AO186" s="57" t="n">
        <f aca="false">IF(BT186=1,0,ROUNDUP(AN186/BS186,0))</f>
        <v>1</v>
      </c>
      <c r="AP186" s="59" t="n">
        <f aca="false">IF(CH186&gt;0,CH186*MAX(1,AN186/X186),IF(BT186=1,IF(AN186&lt;=0,0,BW186*MAX(1,IF(H186&gt;0,AN186/H186,1))),IF(R186&gt;0,AO186/R186,0))/MAX(0.1,N(Parameter!$M$21)))</f>
        <v>0.0384615384615385</v>
      </c>
      <c r="AQ186" s="57" t="n">
        <f aca="false">AN186*G186</f>
        <v>8565.6</v>
      </c>
      <c r="AR186" s="57" t="n">
        <f aca="false">ROUNDUP(MAX(J186/IF(BZ186&gt;0,BZ186,MAX(0.1,N(Cockpit!$I$6))),CC186)/BS186,0)*BS186</f>
        <v>20</v>
      </c>
      <c r="AS186" s="58" t="n">
        <f aca="false">IF(AP186&gt;0,J186/AP186,-1)</f>
        <v>208</v>
      </c>
      <c r="AT186" s="58" t="n">
        <f aca="false">IF(AND(OR(BY186="L1",BY186="L23"),AP186&gt;0),SUMIFS($AP$7:$AP$1843,$BY$7:$BY$1843,BY186,$AS$7:$AS$1843,"&gt;"&amp;AS186)+SUMIFS($AP$7:$AP$1843,$BY$7:$BY$1843,BY186,$AS$7:$AS$1843,AS186,$BQ$7:$BQ$1843,"&lt;="&amp;BQ186),"")</f>
        <v>45.9160585791021</v>
      </c>
      <c r="AU186" s="65" t="n">
        <f aca="false">IF(AT186="",0,MAX(0,MIN(1,(IF(BY186="L1",Parameter!$E$5,Parameter!$E$6+Parameter!$E$7)-(AT186-AP186))/AP186)))</f>
        <v>1</v>
      </c>
      <c r="AV186" s="57" t="n">
        <f aca="false">IF(LEFT(Cockpit!$O$5,1)="A",H186,IF(CA186=1,CB186,IF(LEFT(Cockpit!$O$5,1)="B",AZ186,MAX(AZ186,H186))))</f>
        <v>20</v>
      </c>
      <c r="AW186" s="57" t="n">
        <f aca="false">IF(BT186=1,0,ROUNDUP(AV186/BS186,0))</f>
        <v>1</v>
      </c>
      <c r="AX186" s="59" t="n">
        <f aca="false">IF(CH186&gt;0,CH186*MAX(1,AV186/X186),IF(BT186=1,IF(AV186&lt;=0,0,BW186*MAX(1,IF(H186&gt;0,AV186/H186,1))),IF(R186&gt;0,AW186/R186,0))/MAX(0.1,N(Parameter!$M$21)))</f>
        <v>0.0384615384615385</v>
      </c>
      <c r="AY186" s="57" t="n">
        <f aca="false">AV186*G186</f>
        <v>8565.6</v>
      </c>
      <c r="AZ186" s="57" t="n">
        <f aca="false">ROUNDUP(MAX(J186/IF(BZ186&gt;0,BZ186,MAX(0.1,N(Cockpit!$O$6))),CC186)/BS186,0)*BS186</f>
        <v>20</v>
      </c>
      <c r="BA186" s="58" t="n">
        <f aca="false">IF(AX186&gt;0,J186/AX186,-1)</f>
        <v>208</v>
      </c>
      <c r="BB186" s="58" t="n">
        <f aca="false">IF(AND(OR(BY186="L1",BY186="L23"),AX186&gt;0),SUMIFS($AX$7:$AX$1843,$BY$7:$BY$1843,BY186,$BA$7:$BA$1843,"&gt;"&amp;BA186)+SUMIFS($AX$7:$AX$1843,$BY$7:$BY$1843,BY186,$BA$7:$BA$1843,BA186,$BQ$7:$BQ$1843,"&lt;="&amp;BQ186),"")</f>
        <v>42.4958954089389</v>
      </c>
      <c r="BC186" s="65" t="n">
        <f aca="false">IF(BB186="",0,MAX(0,MIN(1,(IF(BY186="L1",Parameter!$E$5,Parameter!$E$6+Parameter!$E$7)-(BB186-AX186))/AX186)))</f>
        <v>1</v>
      </c>
      <c r="BD186" s="55" t="str">
        <f aca="false">IF(AH186&lt;=0,"",IF(BY186="Aussen","Aussenlager",IF(BY186="-","Nicht im Lift",IF(AM186&gt;=1,"Lift",IF(AM186&lt;=0,"Aussenlager","teilweise")))))</f>
        <v>Lift</v>
      </c>
      <c r="BE186" s="55" t="str">
        <f aca="false">IF(AP186&lt;=0,"",IF(BY186="Aussen","Aussenlager",IF(BY186="-","Nicht im Lift",IF(AU186&gt;=1,"Lift",IF(AU186&lt;=0,"Aussenlager","teilweise")))))</f>
        <v>Lift</v>
      </c>
      <c r="BF186" s="55" t="str">
        <f aca="false">IF(AX186&lt;=0,"",IF(BY186="Aussen","Aussenlager",IF(BY186="-","Nicht im Lift",IF(BC186&gt;=1,"Lift",IF(BC186&lt;=0,"Aussenlager","teilweise")))))</f>
        <v>Lift</v>
      </c>
      <c r="BG186" s="55" t="str">
        <f aca="false">IF(A186="","",IF(BP186=1,"Neu; ","")&amp;IF(AND(BP186=0,BK186&lt;0),"negativer Bestand (Export "&amp;BK186&amp;"); ","")&amp;IF(J186&lt;=0,"Kein Verbrauch; ","")&amp;IF(CH186&gt;0,"Lift "&amp;W186&amp;" lt. Liftbericht (Fach "&amp;X186&amp;" Stk); ",IF(BU186=1,"Gebinde geschätzt ("&amp;T186&amp;"); ",IF(BT186=1,"Lose – Tablare geschätzt; ","")))&amp;IF(H186&gt;AR186,"Überbestand "&amp;ROUND(H186-AR186,0)&amp;" Stk / CHF "&amp;ROUND((H186-AR186)*G186,0)&amp;"; ","")&amp;IF(AND(CA186=1,CB186&lt;CC186),"MAX &lt; MB+LG; ","")&amp;IF(AND(CG186&gt;0,CF186*10&gt;CG186),"zu hoch für Tablar; ","")&amp;IF(AND(BP186=0,OR(CA186=1,AA186&lt;&gt;"",U186&lt;&gt;"",V186&lt;&gt;"",AB186&lt;&gt;"")),"manuell übersteuert; ","")&amp;IF(AND(BT186=0,R186=0),"Gebinde unbekannt / Stellmass fehlt; ","")&amp;IF(AND(BT186=0,N(V186)&lt;=0,N(Q186)&lt;=0),"Menge pro Gebinde fehlt (Ist = 1 Gebinde); ","")&amp;BO186)</f>
        <v>Gebinde geschätzt (Klein); Menge pro Gebinde fehlt (Ist = 1 Gebinde); </v>
      </c>
      <c r="BH186" s="55"/>
      <c r="BI186" s="55"/>
      <c r="BJ186" s="62"/>
      <c r="BK186" s="57" t="n">
        <v>2</v>
      </c>
      <c r="BL186" s="57" t="n">
        <v>7</v>
      </c>
      <c r="BM186" s="56" t="n">
        <v>957.990000000001</v>
      </c>
      <c r="BN186" s="57" t="n">
        <v>8</v>
      </c>
      <c r="BO186" s="55"/>
      <c r="BP186" s="60" t="n">
        <v>0</v>
      </c>
      <c r="BQ186" s="60" t="n">
        <v>186</v>
      </c>
      <c r="BR186" s="55" t="str">
        <f aca="false">IF(U186&lt;&gt;"",UPPER(TRIM(U186)),IF(BU186=1,UPPER(VLOOKUP(T186,Parameter!$I$27:$K$29,2,0)),IF(P186="","LOSE",P186)))</f>
        <v>S51</v>
      </c>
      <c r="BS186" s="57" t="n">
        <f aca="false">IF(BR186="LOSE",1,IF(N(V186)&gt;0,V186,IF(BU186=1,MAX(1,N(VLOOKUP(T186,Parameter!$I$27:$K$29,3,0)),H186,N(N186)),IF(N(Q186)&gt;0,Q186,MAX(1,H186)))))</f>
        <v>20</v>
      </c>
      <c r="BT186" s="60" t="n">
        <f aca="false">IF(BR186="LOSE",1,0)</f>
        <v>0</v>
      </c>
      <c r="BU186" s="60" t="n">
        <f aca="false">IF(AND(U186="",OR(P186="",P186="LOSE"),T186&lt;&gt;"",N(S186)&lt;=0,ISNUMBER(MATCH(T186,Parameter!$I$27:$I$29,0))),1,0)</f>
        <v>1</v>
      </c>
      <c r="BV186" s="55" t="str">
        <f aca="false">IF(AND(Parameter!$B$19="Ja",E186&lt;&gt;"",ISNUMBER(MATCH(E186,Parameter!$I$35:$I$52,0))),VLOOKUP(E186,Parameter!$I$35:$J$52,2,0),IFERROR(VLOOKUP(D186,Parameter!$A$35:$C$64,2,0),"Nein"))</f>
        <v>2+3</v>
      </c>
      <c r="BW186" s="59" t="n">
        <f aca="false">IF(BT186=0,0,IF(N(S186)&gt;0,S186,IFERROR(VLOOKUP(D186,Parameter!$A$35:$C$64,3,0)+0,0)))</f>
        <v>0</v>
      </c>
      <c r="BX186" s="55" t="n">
        <f aca="false">IF(AA186&lt;&gt;"",AA186,Z186)</f>
        <v>3</v>
      </c>
      <c r="BY186" s="55" t="str">
        <f aca="false">IF(BX186=1,"L1",IF(OR(BX186=2,BX186=3),"L23",IF(BX186="Aussen","Aussen","-")))</f>
        <v>L23</v>
      </c>
      <c r="BZ186" s="66" t="n">
        <f aca="false">IF(N(AB186)&gt;0,AB186,0)</f>
        <v>0</v>
      </c>
      <c r="CA186" s="60" t="n">
        <f aca="false">IF(ISNUMBER(AE186),1,0)</f>
        <v>0</v>
      </c>
      <c r="CB186" s="57" t="n">
        <f aca="false">N(AE186)</f>
        <v>0</v>
      </c>
      <c r="CC186" s="57" t="n">
        <f aca="false">N(M186)+N(N186)</f>
        <v>15</v>
      </c>
      <c r="CD186" s="57" t="n">
        <f aca="false">ROUNDUP(H186/BS186,0)</f>
        <v>1</v>
      </c>
      <c r="CE186" s="57" t="n">
        <f aca="false">ROUNDUP(CB186/BS186,0)</f>
        <v>0</v>
      </c>
      <c r="CF186" s="60" t="n">
        <f aca="false">IF(BT186=1,0,IFERROR(VLOOKUP(BR186,'Gebinde-Kategorie'!$A$5:$M$45,5,0)+0,0))</f>
        <v>11</v>
      </c>
      <c r="CG186" s="60" t="n">
        <f aca="false">IFERROR(IF(OR(BX186=1,BX186=2,BX186=3),N(INDEX(Parameter!$I$5:$I$7,BX186)),0),0)</f>
        <v>0</v>
      </c>
      <c r="CH186" s="59" t="n">
        <f aca="false">IF(AND(Parameter!$B$21="Ja",ISNUMBER(W186),N(X186)&gt;0),IFERROR(N(INDEX(Parameter!$L$5:$L$7,W186))*INDEX(Parameter!$E$5:$E$7,W186)*X186/SUMIFS($X$7:$X$1843,$W$7:$W$1843,W186),0),0)</f>
        <v>0</v>
      </c>
    </row>
    <row r="187" customFormat="false" ht="15" hidden="false" customHeight="false" outlineLevel="0" collapsed="false">
      <c r="A187" s="55" t="s">
        <v>577</v>
      </c>
      <c r="B187" s="55" t="s">
        <v>578</v>
      </c>
      <c r="C187" s="55" t="s">
        <v>164</v>
      </c>
      <c r="D187" s="55" t="s">
        <v>173</v>
      </c>
      <c r="E187" s="55" t="s">
        <v>185</v>
      </c>
      <c r="F187" s="55" t="s">
        <v>218</v>
      </c>
      <c r="G187" s="56" t="n">
        <v>227.72</v>
      </c>
      <c r="H187" s="57" t="n">
        <f aca="false">MAX(0,IF(AND(Parameter!$B$21="Ja",ISNUMBER(Y187)),Y187,IF(Parameter!$B$20="Jahresanfang 2025 + Export",BL187+BK187,BK187)))</f>
        <v>15</v>
      </c>
      <c r="I187" s="57" t="n">
        <f aca="false">H187*G187</f>
        <v>3415.8</v>
      </c>
      <c r="J187" s="57" t="n">
        <f aca="false">BN187*Parameter!$B$18</f>
        <v>29</v>
      </c>
      <c r="K187" s="58" t="n">
        <v>19</v>
      </c>
      <c r="L187" s="59" t="n">
        <v>1.52631578947368</v>
      </c>
      <c r="M187" s="57" t="n">
        <v>3</v>
      </c>
      <c r="N187" s="57" t="n">
        <v>20</v>
      </c>
      <c r="O187" s="60" t="n">
        <v>35</v>
      </c>
      <c r="P187" s="55" t="s">
        <v>302</v>
      </c>
      <c r="Q187" s="57" t="n">
        <v>15</v>
      </c>
      <c r="R187" s="60" t="n">
        <f aca="false">IF(BT187=1,0,IFERROR(VLOOKUP(BR187,'Gebinde-Kategorie'!$A$5:$M$45,13,0)+0,0))</f>
        <v>26</v>
      </c>
      <c r="S187" s="61"/>
      <c r="T187" s="62"/>
      <c r="U187" s="62"/>
      <c r="V187" s="62"/>
      <c r="W187" s="55"/>
      <c r="X187" s="57"/>
      <c r="Y187" s="57"/>
      <c r="Z187" s="55" t="n">
        <f aca="false">IF(A187="","",IF(AND(Parameter!$B$21="Ja",ISNUMBER(W187)),W187,IF(BV187="2+3",IF(ISNUMBER(SEARCH("grosser Artikel",BO187)),2,IFERROR(VLOOKUP(BR187,Parameter!$F$35:$G$64,2,0),2)),IF(OR(BV187="Nein",BV187=""),"-",BV187))))</f>
        <v>3</v>
      </c>
      <c r="AA187" s="62"/>
      <c r="AB187" s="63"/>
      <c r="AC187" s="57" t="n">
        <f aca="false">AR187</f>
        <v>30</v>
      </c>
      <c r="AD187" s="57" t="n">
        <f aca="false">MAX(AR187,H187)</f>
        <v>30</v>
      </c>
      <c r="AE187" s="64"/>
      <c r="AF187" s="57" t="n">
        <f aca="false">IF(LEFT(Cockpit!$C$5,1)="A",H187,IF(CA187=1,CB187,IF(LEFT(Cockpit!$C$5,1)="B",AJ187,MAX(AJ187,H187))))</f>
        <v>15</v>
      </c>
      <c r="AG187" s="57" t="n">
        <f aca="false">IF(BT187=1,0,ROUNDUP(AF187/BS187,0))</f>
        <v>1</v>
      </c>
      <c r="AH187" s="59" t="n">
        <f aca="false">IF(CH187&gt;0,CH187*MAX(1,AF187/X187),IF(BT187=1,IF(AF187&lt;=0,0,BW187*MAX(1,IF(H187&gt;0,AF187/H187,1))),IF(R187&gt;0,AG187/R187,0))/MAX(0.1,N(Parameter!$M$21)))</f>
        <v>0.0384615384615385</v>
      </c>
      <c r="AI187" s="57" t="n">
        <f aca="false">AF187*G187</f>
        <v>3415.8</v>
      </c>
      <c r="AJ187" s="57" t="n">
        <f aca="false">ROUNDUP(MAX(J187/IF(BZ187&gt;0,BZ187,MAX(0.1,N(Cockpit!$C$6))),CC187)/BS187,0)*BS187</f>
        <v>30</v>
      </c>
      <c r="AK187" s="58" t="n">
        <f aca="false">IF(AH187&gt;0,J187/AH187,-1)</f>
        <v>754</v>
      </c>
      <c r="AL187" s="58" t="n">
        <f aca="false">IF(AND(OR(BY187="L1",BY187="L23"),AH187&gt;0),SUMIFS($AH$7:$AH$1843,$BY$7:$BY$1843,BY187,$AK$7:$AK$1843,"&gt;"&amp;AK187)+SUMIFS($AH$7:$AH$1843,$BY$7:$BY$1843,BY187,$AK$7:$AK$1843,AK187,$BQ$7:$BQ$1843,"&lt;="&amp;BQ187),"")</f>
        <v>21.2006604506605</v>
      </c>
      <c r="AM187" s="65" t="n">
        <f aca="false">IF(AL187="",0,MAX(0,MIN(1,(IF(BY187="L1",Parameter!$E$5,Parameter!$E$6+Parameter!$E$7)-(AL187-AH187))/AH187)))</f>
        <v>1</v>
      </c>
      <c r="AN187" s="57" t="n">
        <f aca="false">IF(LEFT(Cockpit!$I$5,1)="A",H187,IF(CA187=1,CB187,IF(LEFT(Cockpit!$I$5,1)="B",AR187,MAX(AR187,H187))))</f>
        <v>30</v>
      </c>
      <c r="AO187" s="57" t="n">
        <f aca="false">IF(BT187=1,0,ROUNDUP(AN187/BS187,0))</f>
        <v>2</v>
      </c>
      <c r="AP187" s="59" t="n">
        <f aca="false">IF(CH187&gt;0,CH187*MAX(1,AN187/X187),IF(BT187=1,IF(AN187&lt;=0,0,BW187*MAX(1,IF(H187&gt;0,AN187/H187,1))),IF(R187&gt;0,AO187/R187,0))/MAX(0.1,N(Parameter!$M$21)))</f>
        <v>0.0769230769230769</v>
      </c>
      <c r="AQ187" s="57" t="n">
        <f aca="false">AN187*G187</f>
        <v>6831.6</v>
      </c>
      <c r="AR187" s="57" t="n">
        <f aca="false">ROUNDUP(MAX(J187/IF(BZ187&gt;0,BZ187,MAX(0.1,N(Cockpit!$I$6))),CC187)/BS187,0)*BS187</f>
        <v>30</v>
      </c>
      <c r="AS187" s="58" t="n">
        <f aca="false">IF(AP187&gt;0,J187/AP187,-1)</f>
        <v>377</v>
      </c>
      <c r="AT187" s="58" t="n">
        <f aca="false">IF(AND(OR(BY187="L1",BY187="L23"),AP187&gt;0),SUMIFS($AP$7:$AP$1843,$BY$7:$BY$1843,BY187,$AS$7:$AS$1843,"&gt;"&amp;AS187)+SUMIFS($AP$7:$AP$1843,$BY$7:$BY$1843,BY187,$AS$7:$AS$1843,AS187,$BQ$7:$BQ$1843,"&lt;="&amp;BQ187),"")</f>
        <v>36.1631448261883</v>
      </c>
      <c r="AU187" s="65" t="n">
        <f aca="false">IF(AT187="",0,MAX(0,MIN(1,(IF(BY187="L1",Parameter!$E$5,Parameter!$E$6+Parameter!$E$7)-(AT187-AP187))/AP187)))</f>
        <v>1</v>
      </c>
      <c r="AV187" s="57" t="n">
        <f aca="false">IF(LEFT(Cockpit!$O$5,1)="A",H187,IF(CA187=1,CB187,IF(LEFT(Cockpit!$O$5,1)="B",AZ187,MAX(AZ187,H187))))</f>
        <v>30</v>
      </c>
      <c r="AW187" s="57" t="n">
        <f aca="false">IF(BT187=1,0,ROUNDUP(AV187/BS187,0))</f>
        <v>2</v>
      </c>
      <c r="AX187" s="59" t="n">
        <f aca="false">IF(CH187&gt;0,CH187*MAX(1,AV187/X187),IF(BT187=1,IF(AV187&lt;=0,0,BW187*MAX(1,IF(H187&gt;0,AV187/H187,1))),IF(R187&gt;0,AW187/R187,0))/MAX(0.1,N(Parameter!$M$21)))</f>
        <v>0.0769230769230769</v>
      </c>
      <c r="AY187" s="57" t="n">
        <f aca="false">AV187*G187</f>
        <v>6831.6</v>
      </c>
      <c r="AZ187" s="57" t="n">
        <f aca="false">ROUNDUP(MAX(J187/IF(BZ187&gt;0,BZ187,MAX(0.1,N(Cockpit!$O$6))),CC187)/BS187,0)*BS187</f>
        <v>30</v>
      </c>
      <c r="BA187" s="58" t="n">
        <f aca="false">IF(AX187&gt;0,J187/AX187,-1)</f>
        <v>377</v>
      </c>
      <c r="BB187" s="58" t="n">
        <f aca="false">IF(AND(OR(BY187="L1",BY187="L23"),AX187&gt;0),SUMIFS($AX$7:$AX$1843,$BY$7:$BY$1843,BY187,$BA$7:$BA$1843,"&gt;"&amp;BA187)+SUMIFS($AX$7:$AX$1843,$BY$7:$BY$1843,BY187,$BA$7:$BA$1843,BA187,$BQ$7:$BQ$1843,"&lt;="&amp;BQ187),"")</f>
        <v>35.4096483226918</v>
      </c>
      <c r="BC187" s="65" t="n">
        <f aca="false">IF(BB187="",0,MAX(0,MIN(1,(IF(BY187="L1",Parameter!$E$5,Parameter!$E$6+Parameter!$E$7)-(BB187-AX187))/AX187)))</f>
        <v>1</v>
      </c>
      <c r="BD187" s="55" t="str">
        <f aca="false">IF(AH187&lt;=0,"",IF(BY187="Aussen","Aussenlager",IF(BY187="-","Nicht im Lift",IF(AM187&gt;=1,"Lift",IF(AM187&lt;=0,"Aussenlager","teilweise")))))</f>
        <v>Lift</v>
      </c>
      <c r="BE187" s="55" t="str">
        <f aca="false">IF(AP187&lt;=0,"",IF(BY187="Aussen","Aussenlager",IF(BY187="-","Nicht im Lift",IF(AU187&gt;=1,"Lift",IF(AU187&lt;=0,"Aussenlager","teilweise")))))</f>
        <v>Lift</v>
      </c>
      <c r="BF187" s="55" t="str">
        <f aca="false">IF(AX187&lt;=0,"",IF(BY187="Aussen","Aussenlager",IF(BY187="-","Nicht im Lift",IF(BC187&gt;=1,"Lift",IF(BC187&lt;=0,"Aussenlager","teilweise")))))</f>
        <v>Lift</v>
      </c>
      <c r="BG187" s="55" t="str">
        <f aca="false">IF(A187="","",IF(BP187=1,"Neu; ","")&amp;IF(AND(BP187=0,BK187&lt;0),"negativer Bestand (Export "&amp;BK187&amp;"); ","")&amp;IF(J187&lt;=0,"Kein Verbrauch; ","")&amp;IF(CH187&gt;0,"Lift "&amp;W187&amp;" lt. Liftbericht (Fach "&amp;X187&amp;" Stk); ",IF(BU187=1,"Gebinde geschätzt ("&amp;T187&amp;"); ",IF(BT187=1,"Lose – Tablare geschätzt; ","")))&amp;IF(H187&gt;AR187,"Überbestand "&amp;ROUND(H187-AR187,0)&amp;" Stk / CHF "&amp;ROUND((H187-AR187)*G187,0)&amp;"; ","")&amp;IF(AND(CA187=1,CB187&lt;CC187),"MAX &lt; MB+LG; ","")&amp;IF(AND(CG187&gt;0,CF187*10&gt;CG187),"zu hoch für Tablar; ","")&amp;IF(AND(BP187=0,OR(CA187=1,AA187&lt;&gt;"",U187&lt;&gt;"",V187&lt;&gt;"",AB187&lt;&gt;"")),"manuell übersteuert; ","")&amp;IF(AND(BT187=0,R187=0),"Gebinde unbekannt / Stellmass fehlt; ","")&amp;IF(AND(BT187=0,N(V187)&lt;=0,N(Q187)&lt;=0),"Menge pro Gebinde fehlt (Ist = 1 Gebinde); ","")&amp;BO187)</f>
        <v/>
      </c>
      <c r="BH187" s="55"/>
      <c r="BI187" s="55"/>
      <c r="BJ187" s="62"/>
      <c r="BK187" s="57" t="n">
        <v>2</v>
      </c>
      <c r="BL187" s="57" t="n">
        <v>13</v>
      </c>
      <c r="BM187" s="56" t="n">
        <v>952.169999999999</v>
      </c>
      <c r="BN187" s="57" t="n">
        <v>29</v>
      </c>
      <c r="BO187" s="55"/>
      <c r="BP187" s="60" t="n">
        <v>0</v>
      </c>
      <c r="BQ187" s="60" t="n">
        <v>187</v>
      </c>
      <c r="BR187" s="55" t="str">
        <f aca="false">IF(U187&lt;&gt;"",UPPER(TRIM(U187)),IF(BU187=1,UPPER(VLOOKUP(T187,Parameter!$I$27:$K$29,2,0)),IF(P187="","LOSE",P187)))</f>
        <v>S51</v>
      </c>
      <c r="BS187" s="57" t="n">
        <f aca="false">IF(BR187="LOSE",1,IF(N(V187)&gt;0,V187,IF(BU187=1,MAX(1,N(VLOOKUP(T187,Parameter!$I$27:$K$29,3,0)),H187,N(N187)),IF(N(Q187)&gt;0,Q187,MAX(1,H187)))))</f>
        <v>15</v>
      </c>
      <c r="BT187" s="60" t="n">
        <f aca="false">IF(BR187="LOSE",1,0)</f>
        <v>0</v>
      </c>
      <c r="BU187" s="60" t="n">
        <f aca="false">IF(AND(U187="",OR(P187="",P187="LOSE"),T187&lt;&gt;"",N(S187)&lt;=0,ISNUMBER(MATCH(T187,Parameter!$I$27:$I$29,0))),1,0)</f>
        <v>0</v>
      </c>
      <c r="BV187" s="55" t="str">
        <f aca="false">IF(AND(Parameter!$B$19="Ja",E187&lt;&gt;"",ISNUMBER(MATCH(E187,Parameter!$I$35:$I$52,0))),VLOOKUP(E187,Parameter!$I$35:$J$52,2,0),IFERROR(VLOOKUP(D187,Parameter!$A$35:$C$64,2,0),"Nein"))</f>
        <v>2+3</v>
      </c>
      <c r="BW187" s="59" t="n">
        <f aca="false">IF(BT187=0,0,IF(N(S187)&gt;0,S187,IFERROR(VLOOKUP(D187,Parameter!$A$35:$C$64,3,0)+0,0)))</f>
        <v>0</v>
      </c>
      <c r="BX187" s="55" t="n">
        <f aca="false">IF(AA187&lt;&gt;"",AA187,Z187)</f>
        <v>3</v>
      </c>
      <c r="BY187" s="55" t="str">
        <f aca="false">IF(BX187=1,"L1",IF(OR(BX187=2,BX187=3),"L23",IF(BX187="Aussen","Aussen","-")))</f>
        <v>L23</v>
      </c>
      <c r="BZ187" s="66" t="n">
        <f aca="false">IF(N(AB187)&gt;0,AB187,0)</f>
        <v>0</v>
      </c>
      <c r="CA187" s="60" t="n">
        <f aca="false">IF(ISNUMBER(AE187),1,0)</f>
        <v>0</v>
      </c>
      <c r="CB187" s="57" t="n">
        <f aca="false">N(AE187)</f>
        <v>0</v>
      </c>
      <c r="CC187" s="57" t="n">
        <f aca="false">N(M187)+N(N187)</f>
        <v>23</v>
      </c>
      <c r="CD187" s="57" t="n">
        <f aca="false">ROUNDUP(H187/BS187,0)</f>
        <v>1</v>
      </c>
      <c r="CE187" s="57" t="n">
        <f aca="false">ROUNDUP(CB187/BS187,0)</f>
        <v>0</v>
      </c>
      <c r="CF187" s="60" t="n">
        <f aca="false">IF(BT187=1,0,IFERROR(VLOOKUP(BR187,'Gebinde-Kategorie'!$A$5:$M$45,5,0)+0,0))</f>
        <v>11</v>
      </c>
      <c r="CG187" s="60" t="n">
        <f aca="false">IFERROR(IF(OR(BX187=1,BX187=2,BX187=3),N(INDEX(Parameter!$I$5:$I$7,BX187)),0),0)</f>
        <v>0</v>
      </c>
      <c r="CH187" s="59" t="n">
        <f aca="false">IF(AND(Parameter!$B$21="Ja",ISNUMBER(W187),N(X187)&gt;0),IFERROR(N(INDEX(Parameter!$L$5:$L$7,W187))*INDEX(Parameter!$E$5:$E$7,W187)*X187/SUMIFS($X$7:$X$1843,$W$7:$W$1843,W187),0),0)</f>
        <v>0</v>
      </c>
    </row>
    <row r="188" customFormat="false" ht="15" hidden="false" customHeight="false" outlineLevel="0" collapsed="false">
      <c r="A188" s="55" t="s">
        <v>579</v>
      </c>
      <c r="B188" s="55" t="s">
        <v>580</v>
      </c>
      <c r="C188" s="55" t="s">
        <v>164</v>
      </c>
      <c r="D188" s="55" t="s">
        <v>173</v>
      </c>
      <c r="E188" s="55" t="s">
        <v>166</v>
      </c>
      <c r="F188" s="55" t="s">
        <v>218</v>
      </c>
      <c r="G188" s="56" t="n">
        <v>150.01</v>
      </c>
      <c r="H188" s="57" t="n">
        <f aca="false">MAX(0,IF(AND(Parameter!$B$21="Ja",ISNUMBER(Y188)),Y188,IF(Parameter!$B$20="Jahresanfang 2025 + Export",BL188+BK188,BK188)))</f>
        <v>11</v>
      </c>
      <c r="I188" s="57" t="n">
        <f aca="false">H188*G188</f>
        <v>1650.11</v>
      </c>
      <c r="J188" s="57" t="n">
        <f aca="false">BN188*Parameter!$B$18</f>
        <v>30</v>
      </c>
      <c r="K188" s="58" t="n">
        <v>10</v>
      </c>
      <c r="L188" s="59" t="n">
        <v>3</v>
      </c>
      <c r="M188" s="57" t="n">
        <v>1</v>
      </c>
      <c r="N188" s="57" t="n">
        <v>15</v>
      </c>
      <c r="O188" s="60" t="n">
        <v>21</v>
      </c>
      <c r="P188" s="55" t="s">
        <v>174</v>
      </c>
      <c r="Q188" s="57" t="n">
        <v>15</v>
      </c>
      <c r="R188" s="60" t="n">
        <f aca="false">IF(BT188=1,0,IFERROR(VLOOKUP(BR188,'Gebinde-Kategorie'!$A$5:$M$45,13,0)+0,0))</f>
        <v>6</v>
      </c>
      <c r="S188" s="61"/>
      <c r="T188" s="62"/>
      <c r="U188" s="62"/>
      <c r="V188" s="62"/>
      <c r="W188" s="55"/>
      <c r="X188" s="57"/>
      <c r="Y188" s="57"/>
      <c r="Z188" s="55" t="n">
        <f aca="false">IF(A188="","",IF(AND(Parameter!$B$21="Ja",ISNUMBER(W188)),W188,IF(BV188="2+3",IF(ISNUMBER(SEARCH("grosser Artikel",BO188)),2,IFERROR(VLOOKUP(BR188,Parameter!$F$35:$G$64,2,0),2)),IF(OR(BV188="Nein",BV188=""),"-",BV188))))</f>
        <v>1</v>
      </c>
      <c r="AA188" s="62"/>
      <c r="AB188" s="63"/>
      <c r="AC188" s="57" t="n">
        <f aca="false">AR188</f>
        <v>30</v>
      </c>
      <c r="AD188" s="57" t="n">
        <f aca="false">MAX(AR188,H188)</f>
        <v>30</v>
      </c>
      <c r="AE188" s="64"/>
      <c r="AF188" s="57" t="n">
        <f aca="false">IF(LEFT(Cockpit!$C$5,1)="A",H188,IF(CA188=1,CB188,IF(LEFT(Cockpit!$C$5,1)="B",AJ188,MAX(AJ188,H188))))</f>
        <v>11</v>
      </c>
      <c r="AG188" s="57" t="n">
        <f aca="false">IF(BT188=1,0,ROUNDUP(AF188/BS188,0))</f>
        <v>1</v>
      </c>
      <c r="AH188" s="59" t="n">
        <f aca="false">IF(CH188&gt;0,CH188*MAX(1,AF188/X188),IF(BT188=1,IF(AF188&lt;=0,0,BW188*MAX(1,IF(H188&gt;0,AF188/H188,1))),IF(R188&gt;0,AG188/R188,0))/MAX(0.1,N(Parameter!$M$21)))</f>
        <v>0.166666666666667</v>
      </c>
      <c r="AI188" s="57" t="n">
        <f aca="false">AF188*G188</f>
        <v>1650.11</v>
      </c>
      <c r="AJ188" s="57" t="n">
        <f aca="false">ROUNDUP(MAX(J188/IF(BZ188&gt;0,BZ188,MAX(0.1,N(Cockpit!$C$6))),CC188)/BS188,0)*BS188</f>
        <v>30</v>
      </c>
      <c r="AK188" s="58" t="n">
        <f aca="false">IF(AH188&gt;0,J188/AH188,-1)</f>
        <v>180</v>
      </c>
      <c r="AL188" s="58" t="n">
        <f aca="false">IF(AND(OR(BY188="L1",BY188="L23"),AH188&gt;0),SUMIFS($AH$7:$AH$1843,$BY$7:$BY$1843,BY188,$AK$7:$AK$1843,"&gt;"&amp;AK188)+SUMIFS($AH$7:$AH$1843,$BY$7:$BY$1843,BY188,$AK$7:$AK$1843,AK188,$BQ$7:$BQ$1843,"&lt;="&amp;BQ188),"")</f>
        <v>3.00083612040134</v>
      </c>
      <c r="AM188" s="65" t="n">
        <f aca="false">IF(AL188="",0,MAX(0,MIN(1,(IF(BY188="L1",Parameter!$E$5,Parameter!$E$6+Parameter!$E$7)-(AL188-AH188))/AH188)))</f>
        <v>1</v>
      </c>
      <c r="AN188" s="57" t="n">
        <f aca="false">IF(LEFT(Cockpit!$I$5,1)="A",H188,IF(CA188=1,CB188,IF(LEFT(Cockpit!$I$5,1)="B",AR188,MAX(AR188,H188))))</f>
        <v>30</v>
      </c>
      <c r="AO188" s="57" t="n">
        <f aca="false">IF(BT188=1,0,ROUNDUP(AN188/BS188,0))</f>
        <v>2</v>
      </c>
      <c r="AP188" s="59" t="n">
        <f aca="false">IF(CH188&gt;0,CH188*MAX(1,AN188/X188),IF(BT188=1,IF(AN188&lt;=0,0,BW188*MAX(1,IF(H188&gt;0,AN188/H188,1))),IF(R188&gt;0,AO188/R188,0))/MAX(0.1,N(Parameter!$M$21)))</f>
        <v>0.333333333333333</v>
      </c>
      <c r="AQ188" s="57" t="n">
        <f aca="false">AN188*G188</f>
        <v>4500.3</v>
      </c>
      <c r="AR188" s="57" t="n">
        <f aca="false">ROUNDUP(MAX(J188/IF(BZ188&gt;0,BZ188,MAX(0.1,N(Cockpit!$I$6))),CC188)/BS188,0)*BS188</f>
        <v>30</v>
      </c>
      <c r="AS188" s="58" t="n">
        <f aca="false">IF(AP188&gt;0,J188/AP188,-1)</f>
        <v>90</v>
      </c>
      <c r="AT188" s="58" t="n">
        <f aca="false">IF(AND(OR(BY188="L1",BY188="L23"),AP188&gt;0),SUMIFS($AP$7:$AP$1843,$BY$7:$BY$1843,BY188,$AS$7:$AS$1843,"&gt;"&amp;AS188)+SUMIFS($AP$7:$AP$1843,$BY$7:$BY$1843,BY188,$AS$7:$AS$1843,AS188,$BQ$7:$BQ$1843,"&lt;="&amp;BQ188),"")</f>
        <v>8.74442586399108</v>
      </c>
      <c r="AU188" s="65" t="n">
        <f aca="false">IF(AT188="",0,MAX(0,MIN(1,(IF(BY188="L1",Parameter!$E$5,Parameter!$E$6+Parameter!$E$7)-(AT188-AP188))/AP188)))</f>
        <v>1</v>
      </c>
      <c r="AV188" s="57" t="n">
        <f aca="false">IF(LEFT(Cockpit!$O$5,1)="A",H188,IF(CA188=1,CB188,IF(LEFT(Cockpit!$O$5,1)="B",AZ188,MAX(AZ188,H188))))</f>
        <v>30</v>
      </c>
      <c r="AW188" s="57" t="n">
        <f aca="false">IF(BT188=1,0,ROUNDUP(AV188/BS188,0))</f>
        <v>2</v>
      </c>
      <c r="AX188" s="59" t="n">
        <f aca="false">IF(CH188&gt;0,CH188*MAX(1,AV188/X188),IF(BT188=1,IF(AV188&lt;=0,0,BW188*MAX(1,IF(H188&gt;0,AV188/H188,1))),IF(R188&gt;0,AW188/R188,0))/MAX(0.1,N(Parameter!$M$21)))</f>
        <v>0.333333333333333</v>
      </c>
      <c r="AY188" s="57" t="n">
        <f aca="false">AV188*G188</f>
        <v>4500.3</v>
      </c>
      <c r="AZ188" s="57" t="n">
        <f aca="false">ROUNDUP(MAX(J188/IF(BZ188&gt;0,BZ188,MAX(0.1,N(Cockpit!$O$6))),CC188)/BS188,0)*BS188</f>
        <v>30</v>
      </c>
      <c r="BA188" s="58" t="n">
        <f aca="false">IF(AX188&gt;0,J188/AX188,-1)</f>
        <v>90</v>
      </c>
      <c r="BB188" s="58" t="n">
        <f aca="false">IF(AND(OR(BY188="L1",BY188="L23"),AX188&gt;0),SUMIFS($AX$7:$AX$1843,$BY$7:$BY$1843,BY188,$BA$7:$BA$1843,"&gt;"&amp;BA188)+SUMIFS($AX$7:$AX$1843,$BY$7:$BY$1843,BY188,$BA$7:$BA$1843,BA188,$BQ$7:$BQ$1843,"&lt;="&amp;BQ188),"")</f>
        <v>8.78929765886288</v>
      </c>
      <c r="BC188" s="65" t="n">
        <f aca="false">IF(BB188="",0,MAX(0,MIN(1,(IF(BY188="L1",Parameter!$E$5,Parameter!$E$6+Parameter!$E$7)-(BB188-AX188))/AX188)))</f>
        <v>1</v>
      </c>
      <c r="BD188" s="55" t="str">
        <f aca="false">IF(AH188&lt;=0,"",IF(BY188="Aussen","Aussenlager",IF(BY188="-","Nicht im Lift",IF(AM188&gt;=1,"Lift",IF(AM188&lt;=0,"Aussenlager","teilweise")))))</f>
        <v>Lift</v>
      </c>
      <c r="BE188" s="55" t="str">
        <f aca="false">IF(AP188&lt;=0,"",IF(BY188="Aussen","Aussenlager",IF(BY188="-","Nicht im Lift",IF(AU188&gt;=1,"Lift",IF(AU188&lt;=0,"Aussenlager","teilweise")))))</f>
        <v>Lift</v>
      </c>
      <c r="BF188" s="55" t="str">
        <f aca="false">IF(AX188&lt;=0,"",IF(BY188="Aussen","Aussenlager",IF(BY188="-","Nicht im Lift",IF(BC188&gt;=1,"Lift",IF(BC188&lt;=0,"Aussenlager","teilweise")))))</f>
        <v>Lift</v>
      </c>
      <c r="BG188" s="55" t="str">
        <f aca="false">IF(A188="","",IF(BP188=1,"Neu; ","")&amp;IF(AND(BP188=0,BK188&lt;0),"negativer Bestand (Export "&amp;BK188&amp;"); ","")&amp;IF(J188&lt;=0,"Kein Verbrauch; ","")&amp;IF(CH188&gt;0,"Lift "&amp;W188&amp;" lt. Liftbericht (Fach "&amp;X188&amp;" Stk); ",IF(BU188=1,"Gebinde geschätzt ("&amp;T188&amp;"); ",IF(BT188=1,"Lose – Tablare geschätzt; ","")))&amp;IF(H188&gt;AR188,"Überbestand "&amp;ROUND(H188-AR188,0)&amp;" Stk / CHF "&amp;ROUND((H188-AR188)*G188,0)&amp;"; ","")&amp;IF(AND(CA188=1,CB188&lt;CC188),"MAX &lt; MB+LG; ","")&amp;IF(AND(CG188&gt;0,CF188*10&gt;CG188),"zu hoch für Tablar; ","")&amp;IF(AND(BP188=0,OR(CA188=1,AA188&lt;&gt;"",U188&lt;&gt;"",V188&lt;&gt;"",AB188&lt;&gt;"")),"manuell übersteuert; ","")&amp;IF(AND(BT188=0,R188=0),"Gebinde unbekannt / Stellmass fehlt; ","")&amp;IF(AND(BT188=0,N(V188)&lt;=0,N(Q188)&lt;=0),"Menge pro Gebinde fehlt (Ist = 1 Gebinde); ","")&amp;BO188)</f>
        <v/>
      </c>
      <c r="BH188" s="55"/>
      <c r="BI188" s="55"/>
      <c r="BJ188" s="62"/>
      <c r="BK188" s="57" t="n">
        <v>6</v>
      </c>
      <c r="BL188" s="57" t="n">
        <v>5</v>
      </c>
      <c r="BM188" s="56" t="n">
        <v>951.909999999999</v>
      </c>
      <c r="BN188" s="57" t="n">
        <v>30</v>
      </c>
      <c r="BO188" s="55"/>
      <c r="BP188" s="60" t="n">
        <v>0</v>
      </c>
      <c r="BQ188" s="60" t="n">
        <v>188</v>
      </c>
      <c r="BR188" s="55" t="str">
        <f aca="false">IF(U188&lt;&gt;"",UPPER(TRIM(U188)),IF(BU188=1,UPPER(VLOOKUP(T188,Parameter!$I$27:$K$29,2,0)),IF(P188="","LOSE",P188)))</f>
        <v>S71</v>
      </c>
      <c r="BS188" s="57" t="n">
        <f aca="false">IF(BR188="LOSE",1,IF(N(V188)&gt;0,V188,IF(BU188=1,MAX(1,N(VLOOKUP(T188,Parameter!$I$27:$K$29,3,0)),H188,N(N188)),IF(N(Q188)&gt;0,Q188,MAX(1,H188)))))</f>
        <v>15</v>
      </c>
      <c r="BT188" s="60" t="n">
        <f aca="false">IF(BR188="LOSE",1,0)</f>
        <v>0</v>
      </c>
      <c r="BU188" s="60" t="n">
        <f aca="false">IF(AND(U188="",OR(P188="",P188="LOSE"),T188&lt;&gt;"",N(S188)&lt;=0,ISNUMBER(MATCH(T188,Parameter!$I$27:$I$29,0))),1,0)</f>
        <v>0</v>
      </c>
      <c r="BV188" s="55" t="n">
        <f aca="false">IF(AND(Parameter!$B$19="Ja",E188&lt;&gt;"",ISNUMBER(MATCH(E188,Parameter!$I$35:$I$52,0))),VLOOKUP(E188,Parameter!$I$35:$J$52,2,0),IFERROR(VLOOKUP(D188,Parameter!$A$35:$C$64,2,0),"Nein"))</f>
        <v>1</v>
      </c>
      <c r="BW188" s="59" t="n">
        <f aca="false">IF(BT188=0,0,IF(N(S188)&gt;0,S188,IFERROR(VLOOKUP(D188,Parameter!$A$35:$C$64,3,0)+0,0)))</f>
        <v>0</v>
      </c>
      <c r="BX188" s="55" t="n">
        <f aca="false">IF(AA188&lt;&gt;"",AA188,Z188)</f>
        <v>1</v>
      </c>
      <c r="BY188" s="55" t="str">
        <f aca="false">IF(BX188=1,"L1",IF(OR(BX188=2,BX188=3),"L23",IF(BX188="Aussen","Aussen","-")))</f>
        <v>L1</v>
      </c>
      <c r="BZ188" s="66" t="n">
        <f aca="false">IF(N(AB188)&gt;0,AB188,0)</f>
        <v>0</v>
      </c>
      <c r="CA188" s="60" t="n">
        <f aca="false">IF(ISNUMBER(AE188),1,0)</f>
        <v>0</v>
      </c>
      <c r="CB188" s="57" t="n">
        <f aca="false">N(AE188)</f>
        <v>0</v>
      </c>
      <c r="CC188" s="57" t="n">
        <f aca="false">N(M188)+N(N188)</f>
        <v>16</v>
      </c>
      <c r="CD188" s="57" t="n">
        <f aca="false">ROUNDUP(H188/BS188,0)</f>
        <v>1</v>
      </c>
      <c r="CE188" s="57" t="n">
        <f aca="false">ROUNDUP(CB188/BS188,0)</f>
        <v>0</v>
      </c>
      <c r="CF188" s="60" t="n">
        <f aca="false">IF(BT188=1,0,IFERROR(VLOOKUP(BR188,'Gebinde-Kategorie'!$A$5:$M$45,5,0)+0,0))</f>
        <v>20</v>
      </c>
      <c r="CG188" s="60" t="n">
        <f aca="false">IFERROR(IF(OR(BX188=1,BX188=2,BX188=3),N(INDEX(Parameter!$I$5:$I$7,BX188)),0),0)</f>
        <v>0</v>
      </c>
      <c r="CH188" s="59" t="n">
        <f aca="false">IF(AND(Parameter!$B$21="Ja",ISNUMBER(W188),N(X188)&gt;0),IFERROR(N(INDEX(Parameter!$L$5:$L$7,W188))*INDEX(Parameter!$E$5:$E$7,W188)*X188/SUMIFS($X$7:$X$1843,$W$7:$W$1843,W188),0),0)</f>
        <v>0</v>
      </c>
    </row>
    <row r="189" customFormat="false" ht="15" hidden="false" customHeight="false" outlineLevel="0" collapsed="false">
      <c r="A189" s="55" t="s">
        <v>581</v>
      </c>
      <c r="B189" s="55" t="s">
        <v>582</v>
      </c>
      <c r="C189" s="55" t="s">
        <v>164</v>
      </c>
      <c r="D189" s="55" t="s">
        <v>184</v>
      </c>
      <c r="E189" s="55" t="s">
        <v>185</v>
      </c>
      <c r="F189" s="55" t="s">
        <v>218</v>
      </c>
      <c r="G189" s="56" t="n">
        <v>33.18</v>
      </c>
      <c r="H189" s="57" t="n">
        <f aca="false">MAX(0,IF(AND(Parameter!$B$21="Ja",ISNUMBER(Y189)),Y189,IF(Parameter!$B$20="Jahresanfang 2025 + Export",BL189+BK189,BK189)))</f>
        <v>81</v>
      </c>
      <c r="I189" s="57" t="n">
        <f aca="false">H189*G189</f>
        <v>2687.58</v>
      </c>
      <c r="J189" s="57" t="n">
        <f aca="false">BN189*Parameter!$B$18</f>
        <v>35</v>
      </c>
      <c r="K189" s="58" t="n">
        <v>77</v>
      </c>
      <c r="L189" s="59" t="n">
        <v>0.454545454545455</v>
      </c>
      <c r="M189" s="57" t="n">
        <v>8</v>
      </c>
      <c r="N189" s="57" t="n">
        <v>35</v>
      </c>
      <c r="O189" s="60" t="n">
        <v>84</v>
      </c>
      <c r="P189" s="55" t="s">
        <v>302</v>
      </c>
      <c r="Q189" s="57" t="n">
        <v>99</v>
      </c>
      <c r="R189" s="60" t="n">
        <f aca="false">IF(BT189=1,0,IFERROR(VLOOKUP(BR189,'Gebinde-Kategorie'!$A$5:$M$45,13,0)+0,0))</f>
        <v>26</v>
      </c>
      <c r="S189" s="61"/>
      <c r="T189" s="62"/>
      <c r="U189" s="62"/>
      <c r="V189" s="62"/>
      <c r="W189" s="55"/>
      <c r="X189" s="57"/>
      <c r="Y189" s="57"/>
      <c r="Z189" s="55" t="n">
        <f aca="false">IF(A189="","",IF(AND(Parameter!$B$21="Ja",ISNUMBER(W189)),W189,IF(BV189="2+3",IF(ISNUMBER(SEARCH("grosser Artikel",BO189)),2,IFERROR(VLOOKUP(BR189,Parameter!$F$35:$G$64,2,0),2)),IF(OR(BV189="Nein",BV189=""),"-",BV189))))</f>
        <v>3</v>
      </c>
      <c r="AA189" s="62"/>
      <c r="AB189" s="63"/>
      <c r="AC189" s="57" t="n">
        <f aca="false">AR189</f>
        <v>99</v>
      </c>
      <c r="AD189" s="57" t="n">
        <f aca="false">MAX(AR189,H189)</f>
        <v>99</v>
      </c>
      <c r="AE189" s="64"/>
      <c r="AF189" s="57" t="n">
        <f aca="false">IF(LEFT(Cockpit!$C$5,1)="A",H189,IF(CA189=1,CB189,IF(LEFT(Cockpit!$C$5,1)="B",AJ189,MAX(AJ189,H189))))</f>
        <v>81</v>
      </c>
      <c r="AG189" s="57" t="n">
        <f aca="false">IF(BT189=1,0,ROUNDUP(AF189/BS189,0))</f>
        <v>1</v>
      </c>
      <c r="AH189" s="59" t="n">
        <f aca="false">IF(CH189&gt;0,CH189*MAX(1,AF189/X189),IF(BT189=1,IF(AF189&lt;=0,0,BW189*MAX(1,IF(H189&gt;0,AF189/H189,1))),IF(R189&gt;0,AG189/R189,0))/MAX(0.1,N(Parameter!$M$21)))</f>
        <v>0.0384615384615385</v>
      </c>
      <c r="AI189" s="57" t="n">
        <f aca="false">AF189*G189</f>
        <v>2687.58</v>
      </c>
      <c r="AJ189" s="57" t="n">
        <f aca="false">ROUNDUP(MAX(J189/IF(BZ189&gt;0,BZ189,MAX(0.1,N(Cockpit!$C$6))),CC189)/BS189,0)*BS189</f>
        <v>99</v>
      </c>
      <c r="AK189" s="58" t="n">
        <f aca="false">IF(AH189&gt;0,J189/AH189,-1)</f>
        <v>910</v>
      </c>
      <c r="AL189" s="58" t="n">
        <f aca="false">IF(AND(OR(BY189="L1",BY189="L23"),AH189&gt;0),SUMIFS($AH$7:$AH$1843,$BY$7:$BY$1843,BY189,$AK$7:$AK$1843,"&gt;"&amp;AK189)+SUMIFS($AH$7:$AH$1843,$BY$7:$BY$1843,BY189,$AK$7:$AK$1843,AK189,$BQ$7:$BQ$1843,"&lt;="&amp;BQ189),"")</f>
        <v>18.9110503023547</v>
      </c>
      <c r="AM189" s="65" t="n">
        <f aca="false">IF(AL189="",0,MAX(0,MIN(1,(IF(BY189="L1",Parameter!$E$5,Parameter!$E$6+Parameter!$E$7)-(AL189-AH189))/AH189)))</f>
        <v>1</v>
      </c>
      <c r="AN189" s="57" t="n">
        <f aca="false">IF(LEFT(Cockpit!$I$5,1)="A",H189,IF(CA189=1,CB189,IF(LEFT(Cockpit!$I$5,1)="B",AR189,MAX(AR189,H189))))</f>
        <v>99</v>
      </c>
      <c r="AO189" s="57" t="n">
        <f aca="false">IF(BT189=1,0,ROUNDUP(AN189/BS189,0))</f>
        <v>1</v>
      </c>
      <c r="AP189" s="59" t="n">
        <f aca="false">IF(CH189&gt;0,CH189*MAX(1,AN189/X189),IF(BT189=1,IF(AN189&lt;=0,0,BW189*MAX(1,IF(H189&gt;0,AN189/H189,1))),IF(R189&gt;0,AO189/R189,0))/MAX(0.1,N(Parameter!$M$21)))</f>
        <v>0.0384615384615385</v>
      </c>
      <c r="AQ189" s="57" t="n">
        <f aca="false">AN189*G189</f>
        <v>3284.82</v>
      </c>
      <c r="AR189" s="57" t="n">
        <f aca="false">ROUNDUP(MAX(J189/IF(BZ189&gt;0,BZ189,MAX(0.1,N(Cockpit!$I$6))),CC189)/BS189,0)*BS189</f>
        <v>99</v>
      </c>
      <c r="AS189" s="58" t="n">
        <f aca="false">IF(AP189&gt;0,J189/AP189,-1)</f>
        <v>910</v>
      </c>
      <c r="AT189" s="58" t="n">
        <f aca="false">IF(AND(OR(BY189="L1",BY189="L23"),AP189&gt;0),SUMIFS($AP$7:$AP$1843,$BY$7:$BY$1843,BY189,$AS$7:$AS$1843,"&gt;"&amp;AS189)+SUMIFS($AP$7:$AP$1843,$BY$7:$BY$1843,BY189,$AS$7:$AS$1843,AS189,$BQ$7:$BQ$1843,"&lt;="&amp;BQ189),"")</f>
        <v>24.4734721799939</v>
      </c>
      <c r="AU189" s="65" t="n">
        <f aca="false">IF(AT189="",0,MAX(0,MIN(1,(IF(BY189="L1",Parameter!$E$5,Parameter!$E$6+Parameter!$E$7)-(AT189-AP189))/AP189)))</f>
        <v>1</v>
      </c>
      <c r="AV189" s="57" t="n">
        <f aca="false">IF(LEFT(Cockpit!$O$5,1)="A",H189,IF(CA189=1,CB189,IF(LEFT(Cockpit!$O$5,1)="B",AZ189,MAX(AZ189,H189))))</f>
        <v>99</v>
      </c>
      <c r="AW189" s="57" t="n">
        <f aca="false">IF(BT189=1,0,ROUNDUP(AV189/BS189,0))</f>
        <v>1</v>
      </c>
      <c r="AX189" s="59" t="n">
        <f aca="false">IF(CH189&gt;0,CH189*MAX(1,AV189/X189),IF(BT189=1,IF(AV189&lt;=0,0,BW189*MAX(1,IF(H189&gt;0,AV189/H189,1))),IF(R189&gt;0,AW189/R189,0))/MAX(0.1,N(Parameter!$M$21)))</f>
        <v>0.0384615384615385</v>
      </c>
      <c r="AY189" s="57" t="n">
        <f aca="false">AV189*G189</f>
        <v>3284.82</v>
      </c>
      <c r="AZ189" s="57" t="n">
        <f aca="false">ROUNDUP(MAX(J189/IF(BZ189&gt;0,BZ189,MAX(0.1,N(Cockpit!$O$6))),CC189)/BS189,0)*BS189</f>
        <v>99</v>
      </c>
      <c r="BA189" s="58" t="n">
        <f aca="false">IF(AX189&gt;0,J189/AX189,-1)</f>
        <v>910</v>
      </c>
      <c r="BB189" s="58" t="n">
        <f aca="false">IF(AND(OR(BY189="L1",BY189="L23"),AX189&gt;0),SUMIFS($AX$7:$AX$1843,$BY$7:$BY$1843,BY189,$BA$7:$BA$1843,"&gt;"&amp;BA189)+SUMIFS($AX$7:$AX$1843,$BY$7:$BY$1843,BY189,$BA$7:$BA$1843,BA189,$BQ$7:$BQ$1843,"&lt;="&amp;BQ189),"")</f>
        <v>24.0917705482923</v>
      </c>
      <c r="BC189" s="65" t="n">
        <f aca="false">IF(BB189="",0,MAX(0,MIN(1,(IF(BY189="L1",Parameter!$E$5,Parameter!$E$6+Parameter!$E$7)-(BB189-AX189))/AX189)))</f>
        <v>1</v>
      </c>
      <c r="BD189" s="55" t="str">
        <f aca="false">IF(AH189&lt;=0,"",IF(BY189="Aussen","Aussenlager",IF(BY189="-","Nicht im Lift",IF(AM189&gt;=1,"Lift",IF(AM189&lt;=0,"Aussenlager","teilweise")))))</f>
        <v>Lift</v>
      </c>
      <c r="BE189" s="55" t="str">
        <f aca="false">IF(AP189&lt;=0,"",IF(BY189="Aussen","Aussenlager",IF(BY189="-","Nicht im Lift",IF(AU189&gt;=1,"Lift",IF(AU189&lt;=0,"Aussenlager","teilweise")))))</f>
        <v>Lift</v>
      </c>
      <c r="BF189" s="55" t="str">
        <f aca="false">IF(AX189&lt;=0,"",IF(BY189="Aussen","Aussenlager",IF(BY189="-","Nicht im Lift",IF(BC189&gt;=1,"Lift",IF(BC189&lt;=0,"Aussenlager","teilweise")))))</f>
        <v>Lift</v>
      </c>
      <c r="BG189" s="55" t="str">
        <f aca="false">IF(A189="","",IF(BP189=1,"Neu; ","")&amp;IF(AND(BP189=0,BK189&lt;0),"negativer Bestand (Export "&amp;BK189&amp;"); ","")&amp;IF(J189&lt;=0,"Kein Verbrauch; ","")&amp;IF(CH189&gt;0,"Lift "&amp;W189&amp;" lt. Liftbericht (Fach "&amp;X189&amp;" Stk); ",IF(BU189=1,"Gebinde geschätzt ("&amp;T189&amp;"); ",IF(BT189=1,"Lose – Tablare geschätzt; ","")))&amp;IF(H189&gt;AR189,"Überbestand "&amp;ROUND(H189-AR189,0)&amp;" Stk / CHF "&amp;ROUND((H189-AR189)*G189,0)&amp;"; ","")&amp;IF(AND(CA189=1,CB189&lt;CC189),"MAX &lt; MB+LG; ","")&amp;IF(AND(CG189&gt;0,CF189*10&gt;CG189),"zu hoch für Tablar; ","")&amp;IF(AND(BP189=0,OR(CA189=1,AA189&lt;&gt;"",U189&lt;&gt;"",V189&lt;&gt;"",AB189&lt;&gt;"")),"manuell übersteuert; ","")&amp;IF(AND(BT189=0,R189=0),"Gebinde unbekannt / Stellmass fehlt; ","")&amp;IF(AND(BT189=0,N(V189)&lt;=0,N(Q189)&lt;=0),"Menge pro Gebinde fehlt (Ist = 1 Gebinde); ","")&amp;BO189)</f>
        <v/>
      </c>
      <c r="BH189" s="55"/>
      <c r="BI189" s="55"/>
      <c r="BJ189" s="62"/>
      <c r="BK189" s="57" t="n">
        <v>33</v>
      </c>
      <c r="BL189" s="57" t="n">
        <v>48</v>
      </c>
      <c r="BM189" s="56" t="n">
        <v>948.66</v>
      </c>
      <c r="BN189" s="57" t="n">
        <v>35</v>
      </c>
      <c r="BO189" s="55"/>
      <c r="BP189" s="60" t="n">
        <v>0</v>
      </c>
      <c r="BQ189" s="60" t="n">
        <v>189</v>
      </c>
      <c r="BR189" s="55" t="str">
        <f aca="false">IF(U189&lt;&gt;"",UPPER(TRIM(U189)),IF(BU189=1,UPPER(VLOOKUP(T189,Parameter!$I$27:$K$29,2,0)),IF(P189="","LOSE",P189)))</f>
        <v>S51</v>
      </c>
      <c r="BS189" s="57" t="n">
        <f aca="false">IF(BR189="LOSE",1,IF(N(V189)&gt;0,V189,IF(BU189=1,MAX(1,N(VLOOKUP(T189,Parameter!$I$27:$K$29,3,0)),H189,N(N189)),IF(N(Q189)&gt;0,Q189,MAX(1,H189)))))</f>
        <v>99</v>
      </c>
      <c r="BT189" s="60" t="n">
        <f aca="false">IF(BR189="LOSE",1,0)</f>
        <v>0</v>
      </c>
      <c r="BU189" s="60" t="n">
        <f aca="false">IF(AND(U189="",OR(P189="",P189="LOSE"),T189&lt;&gt;"",N(S189)&lt;=0,ISNUMBER(MATCH(T189,Parameter!$I$27:$I$29,0))),1,0)</f>
        <v>0</v>
      </c>
      <c r="BV189" s="55" t="str">
        <f aca="false">IF(AND(Parameter!$B$19="Ja",E189&lt;&gt;"",ISNUMBER(MATCH(E189,Parameter!$I$35:$I$52,0))),VLOOKUP(E189,Parameter!$I$35:$J$52,2,0),IFERROR(VLOOKUP(D189,Parameter!$A$35:$C$64,2,0),"Nein"))</f>
        <v>2+3</v>
      </c>
      <c r="BW189" s="59" t="n">
        <f aca="false">IF(BT189=0,0,IF(N(S189)&gt;0,S189,IFERROR(VLOOKUP(D189,Parameter!$A$35:$C$64,3,0)+0,0)))</f>
        <v>0</v>
      </c>
      <c r="BX189" s="55" t="n">
        <f aca="false">IF(AA189&lt;&gt;"",AA189,Z189)</f>
        <v>3</v>
      </c>
      <c r="BY189" s="55" t="str">
        <f aca="false">IF(BX189=1,"L1",IF(OR(BX189=2,BX189=3),"L23",IF(BX189="Aussen","Aussen","-")))</f>
        <v>L23</v>
      </c>
      <c r="BZ189" s="66" t="n">
        <f aca="false">IF(N(AB189)&gt;0,AB189,0)</f>
        <v>0</v>
      </c>
      <c r="CA189" s="60" t="n">
        <f aca="false">IF(ISNUMBER(AE189),1,0)</f>
        <v>0</v>
      </c>
      <c r="CB189" s="57" t="n">
        <f aca="false">N(AE189)</f>
        <v>0</v>
      </c>
      <c r="CC189" s="57" t="n">
        <f aca="false">N(M189)+N(N189)</f>
        <v>43</v>
      </c>
      <c r="CD189" s="57" t="n">
        <f aca="false">ROUNDUP(H189/BS189,0)</f>
        <v>1</v>
      </c>
      <c r="CE189" s="57" t="n">
        <f aca="false">ROUNDUP(CB189/BS189,0)</f>
        <v>0</v>
      </c>
      <c r="CF189" s="60" t="n">
        <f aca="false">IF(BT189=1,0,IFERROR(VLOOKUP(BR189,'Gebinde-Kategorie'!$A$5:$M$45,5,0)+0,0))</f>
        <v>11</v>
      </c>
      <c r="CG189" s="60" t="n">
        <f aca="false">IFERROR(IF(OR(BX189=1,BX189=2,BX189=3),N(INDEX(Parameter!$I$5:$I$7,BX189)),0),0)</f>
        <v>0</v>
      </c>
      <c r="CH189" s="59" t="n">
        <f aca="false">IF(AND(Parameter!$B$21="Ja",ISNUMBER(W189),N(X189)&gt;0),IFERROR(N(INDEX(Parameter!$L$5:$L$7,W189))*INDEX(Parameter!$E$5:$E$7,W189)*X189/SUMIFS($X$7:$X$1843,$W$7:$W$1843,W189),0),0)</f>
        <v>0</v>
      </c>
    </row>
    <row r="190" customFormat="false" ht="15" hidden="false" customHeight="false" outlineLevel="0" collapsed="false">
      <c r="A190" s="55" t="s">
        <v>583</v>
      </c>
      <c r="B190" s="55" t="s">
        <v>425</v>
      </c>
      <c r="C190" s="55" t="s">
        <v>164</v>
      </c>
      <c r="D190" s="55" t="s">
        <v>184</v>
      </c>
      <c r="E190" s="55" t="s">
        <v>185</v>
      </c>
      <c r="F190" s="55" t="s">
        <v>218</v>
      </c>
      <c r="G190" s="56" t="n">
        <v>10.96</v>
      </c>
      <c r="H190" s="57" t="n">
        <f aca="false">MAX(0,IF(AND(Parameter!$B$21="Ja",ISNUMBER(Y190)),Y190,IF(Parameter!$B$20="Jahresanfang 2025 + Export",BL190+BK190,BK190)))</f>
        <v>134</v>
      </c>
      <c r="I190" s="57" t="n">
        <f aca="false">H190*G190</f>
        <v>1468.64</v>
      </c>
      <c r="J190" s="57" t="n">
        <f aca="false">BN190*Parameter!$B$18</f>
        <v>156</v>
      </c>
      <c r="K190" s="58" t="n">
        <v>33</v>
      </c>
      <c r="L190" s="59" t="n">
        <v>4.72727272727273</v>
      </c>
      <c r="M190" s="57" t="n">
        <v>10</v>
      </c>
      <c r="N190" s="57" t="n">
        <v>50</v>
      </c>
      <c r="O190" s="60" t="n">
        <v>21</v>
      </c>
      <c r="P190" s="55" t="s">
        <v>302</v>
      </c>
      <c r="Q190" s="57" t="n">
        <v>61</v>
      </c>
      <c r="R190" s="60" t="n">
        <f aca="false">IF(BT190=1,0,IFERROR(VLOOKUP(BR190,'Gebinde-Kategorie'!$A$5:$M$45,13,0)+0,0))</f>
        <v>26</v>
      </c>
      <c r="S190" s="61"/>
      <c r="T190" s="62"/>
      <c r="U190" s="62"/>
      <c r="V190" s="62"/>
      <c r="W190" s="55"/>
      <c r="X190" s="57"/>
      <c r="Y190" s="57"/>
      <c r="Z190" s="55" t="n">
        <f aca="false">IF(A190="","",IF(AND(Parameter!$B$21="Ja",ISNUMBER(W190)),W190,IF(BV190="2+3",IF(ISNUMBER(SEARCH("grosser Artikel",BO190)),2,IFERROR(VLOOKUP(BR190,Parameter!$F$35:$G$64,2,0),2)),IF(OR(BV190="Nein",BV190=""),"-",BV190))))</f>
        <v>3</v>
      </c>
      <c r="AA190" s="62"/>
      <c r="AB190" s="63"/>
      <c r="AC190" s="57" t="n">
        <f aca="false">AR190</f>
        <v>122</v>
      </c>
      <c r="AD190" s="57" t="n">
        <f aca="false">MAX(AR190,H190)</f>
        <v>134</v>
      </c>
      <c r="AE190" s="64"/>
      <c r="AF190" s="57" t="n">
        <f aca="false">IF(LEFT(Cockpit!$C$5,1)="A",H190,IF(CA190=1,CB190,IF(LEFT(Cockpit!$C$5,1)="B",AJ190,MAX(AJ190,H190))))</f>
        <v>134</v>
      </c>
      <c r="AG190" s="57" t="n">
        <f aca="false">IF(BT190=1,0,ROUNDUP(AF190/BS190,0))</f>
        <v>3</v>
      </c>
      <c r="AH190" s="59" t="n">
        <f aca="false">IF(CH190&gt;0,CH190*MAX(1,AF190/X190),IF(BT190=1,IF(AF190&lt;=0,0,BW190*MAX(1,IF(H190&gt;0,AF190/H190,1))),IF(R190&gt;0,AG190/R190,0))/MAX(0.1,N(Parameter!$M$21)))</f>
        <v>0.115384615384615</v>
      </c>
      <c r="AI190" s="57" t="n">
        <f aca="false">AF190*G190</f>
        <v>1468.64</v>
      </c>
      <c r="AJ190" s="57" t="n">
        <f aca="false">ROUNDUP(MAX(J190/IF(BZ190&gt;0,BZ190,MAX(0.1,N(Cockpit!$C$6))),CC190)/BS190,0)*BS190</f>
        <v>122</v>
      </c>
      <c r="AK190" s="58" t="n">
        <f aca="false">IF(AH190&gt;0,J190/AH190,-1)</f>
        <v>1352</v>
      </c>
      <c r="AL190" s="58" t="n">
        <f aca="false">IF(AND(OR(BY190="L1",BY190="L23"),AH190&gt;0),SUMIFS($AH$7:$AH$1843,$BY$7:$BY$1843,BY190,$AK$7:$AK$1843,"&gt;"&amp;AK190)+SUMIFS($AH$7:$AH$1843,$BY$7:$BY$1843,BY190,$AK$7:$AK$1843,AK190,$BQ$7:$BQ$1843,"&lt;="&amp;BQ190),"")</f>
        <v>16.2532600249992</v>
      </c>
      <c r="AM190" s="65" t="n">
        <f aca="false">IF(AL190="",0,MAX(0,MIN(1,(IF(BY190="L1",Parameter!$E$5,Parameter!$E$6+Parameter!$E$7)-(AL190-AH190))/AH190)))</f>
        <v>1</v>
      </c>
      <c r="AN190" s="57" t="n">
        <f aca="false">IF(LEFT(Cockpit!$I$5,1)="A",H190,IF(CA190=1,CB190,IF(LEFT(Cockpit!$I$5,1)="B",AR190,MAX(AR190,H190))))</f>
        <v>134</v>
      </c>
      <c r="AO190" s="57" t="n">
        <f aca="false">IF(BT190=1,0,ROUNDUP(AN190/BS190,0))</f>
        <v>3</v>
      </c>
      <c r="AP190" s="59" t="n">
        <f aca="false">IF(CH190&gt;0,CH190*MAX(1,AN190/X190),IF(BT190=1,IF(AN190&lt;=0,0,BW190*MAX(1,IF(H190&gt;0,AN190/H190,1))),IF(R190&gt;0,AO190/R190,0))/MAX(0.1,N(Parameter!$M$21)))</f>
        <v>0.115384615384615</v>
      </c>
      <c r="AQ190" s="57" t="n">
        <f aca="false">AN190*G190</f>
        <v>1468.64</v>
      </c>
      <c r="AR190" s="57" t="n">
        <f aca="false">ROUNDUP(MAX(J190/IF(BZ190&gt;0,BZ190,MAX(0.1,N(Cockpit!$I$6))),CC190)/BS190,0)*BS190</f>
        <v>122</v>
      </c>
      <c r="AS190" s="58" t="n">
        <f aca="false">IF(AP190&gt;0,J190/AP190,-1)</f>
        <v>1352</v>
      </c>
      <c r="AT190" s="58" t="n">
        <f aca="false">IF(AND(OR(BY190="L1",BY190="L23"),AP190&gt;0),SUMIFS($AP$7:$AP$1843,$BY$7:$BY$1843,BY190,$AS$7:$AS$1843,"&gt;"&amp;AS190)+SUMIFS($AP$7:$AP$1843,$BY$7:$BY$1843,BY190,$AS$7:$AS$1843,AS190,$BQ$7:$BQ$1843,"&lt;="&amp;BQ190),"")</f>
        <v>21.3986520725651</v>
      </c>
      <c r="AU190" s="65" t="n">
        <f aca="false">IF(AT190="",0,MAX(0,MIN(1,(IF(BY190="L1",Parameter!$E$5,Parameter!$E$6+Parameter!$E$7)-(AT190-AP190))/AP190)))</f>
        <v>1</v>
      </c>
      <c r="AV190" s="57" t="n">
        <f aca="false">IF(LEFT(Cockpit!$O$5,1)="A",H190,IF(CA190=1,CB190,IF(LEFT(Cockpit!$O$5,1)="B",AZ190,MAX(AZ190,H190))))</f>
        <v>134</v>
      </c>
      <c r="AW190" s="57" t="n">
        <f aca="false">IF(BT190=1,0,ROUNDUP(AV190/BS190,0))</f>
        <v>3</v>
      </c>
      <c r="AX190" s="59" t="n">
        <f aca="false">IF(CH190&gt;0,CH190*MAX(1,AV190/X190),IF(BT190=1,IF(AV190&lt;=0,0,BW190*MAX(1,IF(H190&gt;0,AV190/H190,1))),IF(R190&gt;0,AW190/R190,0))/MAX(0.1,N(Parameter!$M$21)))</f>
        <v>0.115384615384615</v>
      </c>
      <c r="AY190" s="57" t="n">
        <f aca="false">AV190*G190</f>
        <v>1468.64</v>
      </c>
      <c r="AZ190" s="57" t="n">
        <f aca="false">ROUNDUP(MAX(J190/IF(BZ190&gt;0,BZ190,MAX(0.1,N(Cockpit!$O$6))),CC190)/BS190,0)*BS190</f>
        <v>61</v>
      </c>
      <c r="BA190" s="58" t="n">
        <f aca="false">IF(AX190&gt;0,J190/AX190,-1)</f>
        <v>1352</v>
      </c>
      <c r="BB190" s="58" t="n">
        <f aca="false">IF(AND(OR(BY190="L1",BY190="L23"),AX190&gt;0),SUMIFS($AX$7:$AX$1843,$BY$7:$BY$1843,BY190,$BA$7:$BA$1843,"&gt;"&amp;BA190)+SUMIFS($AX$7:$AX$1843,$BY$7:$BY$1843,BY190,$BA$7:$BA$1843,BA190,$BQ$7:$BQ$1843,"&lt;="&amp;BQ190),"")</f>
        <v>20.0938735177866</v>
      </c>
      <c r="BC190" s="65" t="n">
        <f aca="false">IF(BB190="",0,MAX(0,MIN(1,(IF(BY190="L1",Parameter!$E$5,Parameter!$E$6+Parameter!$E$7)-(BB190-AX190))/AX190)))</f>
        <v>1</v>
      </c>
      <c r="BD190" s="55" t="str">
        <f aca="false">IF(AH190&lt;=0,"",IF(BY190="Aussen","Aussenlager",IF(BY190="-","Nicht im Lift",IF(AM190&gt;=1,"Lift",IF(AM190&lt;=0,"Aussenlager","teilweise")))))</f>
        <v>Lift</v>
      </c>
      <c r="BE190" s="55" t="str">
        <f aca="false">IF(AP190&lt;=0,"",IF(BY190="Aussen","Aussenlager",IF(BY190="-","Nicht im Lift",IF(AU190&gt;=1,"Lift",IF(AU190&lt;=0,"Aussenlager","teilweise")))))</f>
        <v>Lift</v>
      </c>
      <c r="BF190" s="55" t="str">
        <f aca="false">IF(AX190&lt;=0,"",IF(BY190="Aussen","Aussenlager",IF(BY190="-","Nicht im Lift",IF(BC190&gt;=1,"Lift",IF(BC190&lt;=0,"Aussenlager","teilweise")))))</f>
        <v>Lift</v>
      </c>
      <c r="BG190" s="55" t="str">
        <f aca="false">IF(A190="","",IF(BP190=1,"Neu; ","")&amp;IF(AND(BP190=0,BK190&lt;0),"negativer Bestand (Export "&amp;BK190&amp;"); ","")&amp;IF(J190&lt;=0,"Kein Verbrauch; ","")&amp;IF(CH190&gt;0,"Lift "&amp;W190&amp;" lt. Liftbericht (Fach "&amp;X190&amp;" Stk); ",IF(BU190=1,"Gebinde geschätzt ("&amp;T190&amp;"); ",IF(BT190=1,"Lose – Tablare geschätzt; ","")))&amp;IF(H190&gt;AR190,"Überbestand "&amp;ROUND(H190-AR190,0)&amp;" Stk / CHF "&amp;ROUND((H190-AR190)*G190,0)&amp;"; ","")&amp;IF(AND(CA190=1,CB190&lt;CC190),"MAX &lt; MB+LG; ","")&amp;IF(AND(CG190&gt;0,CF190*10&gt;CG190),"zu hoch für Tablar; ","")&amp;IF(AND(BP190=0,OR(CA190=1,AA190&lt;&gt;"",U190&lt;&gt;"",V190&lt;&gt;"",AB190&lt;&gt;"")),"manuell übersteuert; ","")&amp;IF(AND(BT190=0,R190=0),"Gebinde unbekannt / Stellmass fehlt; ","")&amp;IF(AND(BT190=0,N(V190)&lt;=0,N(Q190)&lt;=0),"Menge pro Gebinde fehlt (Ist = 1 Gebinde); ","")&amp;BO190)</f>
        <v>Überbestand 12 Stk / CHF 132; </v>
      </c>
      <c r="BH190" s="55"/>
      <c r="BI190" s="55"/>
      <c r="BJ190" s="62"/>
      <c r="BK190" s="57" t="n">
        <v>98</v>
      </c>
      <c r="BL190" s="57" t="n">
        <v>36</v>
      </c>
      <c r="BM190" s="56" t="n">
        <v>926.84</v>
      </c>
      <c r="BN190" s="57" t="n">
        <v>156</v>
      </c>
      <c r="BO190" s="55"/>
      <c r="BP190" s="60" t="n">
        <v>0</v>
      </c>
      <c r="BQ190" s="60" t="n">
        <v>190</v>
      </c>
      <c r="BR190" s="55" t="str">
        <f aca="false">IF(U190&lt;&gt;"",UPPER(TRIM(U190)),IF(BU190=1,UPPER(VLOOKUP(T190,Parameter!$I$27:$K$29,2,0)),IF(P190="","LOSE",P190)))</f>
        <v>S51</v>
      </c>
      <c r="BS190" s="57" t="n">
        <f aca="false">IF(BR190="LOSE",1,IF(N(V190)&gt;0,V190,IF(BU190=1,MAX(1,N(VLOOKUP(T190,Parameter!$I$27:$K$29,3,0)),H190,N(N190)),IF(N(Q190)&gt;0,Q190,MAX(1,H190)))))</f>
        <v>61</v>
      </c>
      <c r="BT190" s="60" t="n">
        <f aca="false">IF(BR190="LOSE",1,0)</f>
        <v>0</v>
      </c>
      <c r="BU190" s="60" t="n">
        <f aca="false">IF(AND(U190="",OR(P190="",P190="LOSE"),T190&lt;&gt;"",N(S190)&lt;=0,ISNUMBER(MATCH(T190,Parameter!$I$27:$I$29,0))),1,0)</f>
        <v>0</v>
      </c>
      <c r="BV190" s="55" t="str">
        <f aca="false">IF(AND(Parameter!$B$19="Ja",E190&lt;&gt;"",ISNUMBER(MATCH(E190,Parameter!$I$35:$I$52,0))),VLOOKUP(E190,Parameter!$I$35:$J$52,2,0),IFERROR(VLOOKUP(D190,Parameter!$A$35:$C$64,2,0),"Nein"))</f>
        <v>2+3</v>
      </c>
      <c r="BW190" s="59" t="n">
        <f aca="false">IF(BT190=0,0,IF(N(S190)&gt;0,S190,IFERROR(VLOOKUP(D190,Parameter!$A$35:$C$64,3,0)+0,0)))</f>
        <v>0</v>
      </c>
      <c r="BX190" s="55" t="n">
        <f aca="false">IF(AA190&lt;&gt;"",AA190,Z190)</f>
        <v>3</v>
      </c>
      <c r="BY190" s="55" t="str">
        <f aca="false">IF(BX190=1,"L1",IF(OR(BX190=2,BX190=3),"L23",IF(BX190="Aussen","Aussen","-")))</f>
        <v>L23</v>
      </c>
      <c r="BZ190" s="66" t="n">
        <f aca="false">IF(N(AB190)&gt;0,AB190,0)</f>
        <v>0</v>
      </c>
      <c r="CA190" s="60" t="n">
        <f aca="false">IF(ISNUMBER(AE190),1,0)</f>
        <v>0</v>
      </c>
      <c r="CB190" s="57" t="n">
        <f aca="false">N(AE190)</f>
        <v>0</v>
      </c>
      <c r="CC190" s="57" t="n">
        <f aca="false">N(M190)+N(N190)</f>
        <v>60</v>
      </c>
      <c r="CD190" s="57" t="n">
        <f aca="false">ROUNDUP(H190/BS190,0)</f>
        <v>3</v>
      </c>
      <c r="CE190" s="57" t="n">
        <f aca="false">ROUNDUP(CB190/BS190,0)</f>
        <v>0</v>
      </c>
      <c r="CF190" s="60" t="n">
        <f aca="false">IF(BT190=1,0,IFERROR(VLOOKUP(BR190,'Gebinde-Kategorie'!$A$5:$M$45,5,0)+0,0))</f>
        <v>11</v>
      </c>
      <c r="CG190" s="60" t="n">
        <f aca="false">IFERROR(IF(OR(BX190=1,BX190=2,BX190=3),N(INDEX(Parameter!$I$5:$I$7,BX190)),0),0)</f>
        <v>0</v>
      </c>
      <c r="CH190" s="59" t="n">
        <f aca="false">IF(AND(Parameter!$B$21="Ja",ISNUMBER(W190),N(X190)&gt;0),IFERROR(N(INDEX(Parameter!$L$5:$L$7,W190))*INDEX(Parameter!$E$5:$E$7,W190)*X190/SUMIFS($X$7:$X$1843,$W$7:$W$1843,W190),0),0)</f>
        <v>0</v>
      </c>
    </row>
    <row r="191" customFormat="false" ht="15" hidden="false" customHeight="false" outlineLevel="0" collapsed="false">
      <c r="A191" s="55" t="s">
        <v>584</v>
      </c>
      <c r="B191" s="55" t="s">
        <v>585</v>
      </c>
      <c r="C191" s="55" t="s">
        <v>164</v>
      </c>
      <c r="D191" s="55" t="s">
        <v>173</v>
      </c>
      <c r="E191" s="55"/>
      <c r="F191" s="55" t="s">
        <v>218</v>
      </c>
      <c r="G191" s="56" t="n">
        <v>185.13</v>
      </c>
      <c r="H191" s="57" t="n">
        <f aca="false">MAX(0,IF(AND(Parameter!$B$21="Ja",ISNUMBER(Y191)),Y191,IF(Parameter!$B$20="Jahresanfang 2025 + Export",BL191+BK191,BK191)))</f>
        <v>5</v>
      </c>
      <c r="I191" s="57" t="n">
        <f aca="false">H191*G191</f>
        <v>925.65</v>
      </c>
      <c r="J191" s="57" t="n">
        <f aca="false">BN191*Parameter!$B$18</f>
        <v>2</v>
      </c>
      <c r="K191" s="58" t="n">
        <v>1.5</v>
      </c>
      <c r="L191" s="59" t="n">
        <v>1.33333333333333</v>
      </c>
      <c r="M191" s="57" t="n">
        <v>0</v>
      </c>
      <c r="N191" s="57" t="n">
        <v>1</v>
      </c>
      <c r="O191" s="60" t="n">
        <v>31</v>
      </c>
      <c r="P191" s="55" t="s">
        <v>168</v>
      </c>
      <c r="Q191" s="57"/>
      <c r="R191" s="60" t="n">
        <f aca="false">IF(BT191=1,0,IFERROR(VLOOKUP(BR191,'Gebinde-Kategorie'!$A$5:$M$45,13,0)+0,0))</f>
        <v>26</v>
      </c>
      <c r="S191" s="61"/>
      <c r="T191" s="62" t="s">
        <v>275</v>
      </c>
      <c r="U191" s="62"/>
      <c r="V191" s="62"/>
      <c r="W191" s="55"/>
      <c r="X191" s="57"/>
      <c r="Y191" s="57"/>
      <c r="Z191" s="55" t="n">
        <f aca="false">IF(A191="","",IF(AND(Parameter!$B$21="Ja",ISNUMBER(W191)),W191,IF(BV191="2+3",IF(ISNUMBER(SEARCH("grosser Artikel",BO191)),2,IFERROR(VLOOKUP(BR191,Parameter!$F$35:$G$64,2,0),2)),IF(OR(BV191="Nein",BV191=""),"-",BV191))))</f>
        <v>3</v>
      </c>
      <c r="AA191" s="62"/>
      <c r="AB191" s="63"/>
      <c r="AC191" s="57" t="n">
        <f aca="false">AR191</f>
        <v>20</v>
      </c>
      <c r="AD191" s="57" t="n">
        <f aca="false">MAX(AR191,H191)</f>
        <v>20</v>
      </c>
      <c r="AE191" s="64"/>
      <c r="AF191" s="57" t="n">
        <f aca="false">IF(LEFT(Cockpit!$C$5,1)="A",H191,IF(CA191=1,CB191,IF(LEFT(Cockpit!$C$5,1)="B",AJ191,MAX(AJ191,H191))))</f>
        <v>5</v>
      </c>
      <c r="AG191" s="57" t="n">
        <f aca="false">IF(BT191=1,0,ROUNDUP(AF191/BS191,0))</f>
        <v>1</v>
      </c>
      <c r="AH191" s="59" t="n">
        <f aca="false">IF(CH191&gt;0,CH191*MAX(1,AF191/X191),IF(BT191=1,IF(AF191&lt;=0,0,BW191*MAX(1,IF(H191&gt;0,AF191/H191,1))),IF(R191&gt;0,AG191/R191,0))/MAX(0.1,N(Parameter!$M$21)))</f>
        <v>0.0384615384615385</v>
      </c>
      <c r="AI191" s="57" t="n">
        <f aca="false">AF191*G191</f>
        <v>925.65</v>
      </c>
      <c r="AJ191" s="57" t="n">
        <f aca="false">ROUNDUP(MAX(J191/IF(BZ191&gt;0,BZ191,MAX(0.1,N(Cockpit!$C$6))),CC191)/BS191,0)*BS191</f>
        <v>20</v>
      </c>
      <c r="AK191" s="58" t="n">
        <f aca="false">IF(AH191&gt;0,J191/AH191,-1)</f>
        <v>52</v>
      </c>
      <c r="AL191" s="58" t="n">
        <f aca="false">IF(AND(OR(BY191="L1",BY191="L23"),AH191&gt;0),SUMIFS($AH$7:$AH$1843,$BY$7:$BY$1843,BY191,$AK$7:$AK$1843,"&gt;"&amp;AK191)+SUMIFS($AH$7:$AH$1843,$BY$7:$BY$1843,BY191,$AK$7:$AK$1843,AK191,$BQ$7:$BQ$1843,"&lt;="&amp;BQ191),"")</f>
        <v>44.2414445457924</v>
      </c>
      <c r="AM191" s="65" t="n">
        <f aca="false">IF(AL191="",0,MAX(0,MIN(1,(IF(BY191="L1",Parameter!$E$5,Parameter!$E$6+Parameter!$E$7)-(AL191-AH191))/AH191)))</f>
        <v>1</v>
      </c>
      <c r="AN191" s="57" t="n">
        <f aca="false">IF(LEFT(Cockpit!$I$5,1)="A",H191,IF(CA191=1,CB191,IF(LEFT(Cockpit!$I$5,1)="B",AR191,MAX(AR191,H191))))</f>
        <v>20</v>
      </c>
      <c r="AO191" s="57" t="n">
        <f aca="false">IF(BT191=1,0,ROUNDUP(AN191/BS191,0))</f>
        <v>1</v>
      </c>
      <c r="AP191" s="59" t="n">
        <f aca="false">IF(CH191&gt;0,CH191*MAX(1,AN191/X191),IF(BT191=1,IF(AN191&lt;=0,0,BW191*MAX(1,IF(H191&gt;0,AN191/H191,1))),IF(R191&gt;0,AO191/R191,0))/MAX(0.1,N(Parameter!$M$21)))</f>
        <v>0.0384615384615385</v>
      </c>
      <c r="AQ191" s="57" t="n">
        <f aca="false">AN191*G191</f>
        <v>3702.6</v>
      </c>
      <c r="AR191" s="57" t="n">
        <f aca="false">ROUNDUP(MAX(J191/IF(BZ191&gt;0,BZ191,MAX(0.1,N(Cockpit!$I$6))),CC191)/BS191,0)*BS191</f>
        <v>20</v>
      </c>
      <c r="AS191" s="58" t="n">
        <f aca="false">IF(AP191&gt;0,J191/AP191,-1)</f>
        <v>52</v>
      </c>
      <c r="AT191" s="58" t="n">
        <f aca="false">IF(AND(OR(BY191="L1",BY191="L23"),AP191&gt;0),SUMIFS($AP$7:$AP$1843,$BY$7:$BY$1843,BY191,$AS$7:$AS$1843,"&gt;"&amp;AS191)+SUMIFS($AP$7:$AP$1843,$BY$7:$BY$1843,BY191,$AS$7:$AS$1843,AS191,$BQ$7:$BQ$1843,"&lt;="&amp;BQ191),"")</f>
        <v>67.0309533461707</v>
      </c>
      <c r="AU191" s="65" t="n">
        <f aca="false">IF(AT191="",0,MAX(0,MIN(1,(IF(BY191="L1",Parameter!$E$5,Parameter!$E$6+Parameter!$E$7)-(AT191-AP191))/AP191)))</f>
        <v>1</v>
      </c>
      <c r="AV191" s="57" t="n">
        <f aca="false">IF(LEFT(Cockpit!$O$5,1)="A",H191,IF(CA191=1,CB191,IF(LEFT(Cockpit!$O$5,1)="B",AZ191,MAX(AZ191,H191))))</f>
        <v>20</v>
      </c>
      <c r="AW191" s="57" t="n">
        <f aca="false">IF(BT191=1,0,ROUNDUP(AV191/BS191,0))</f>
        <v>1</v>
      </c>
      <c r="AX191" s="59" t="n">
        <f aca="false">IF(CH191&gt;0,CH191*MAX(1,AV191/X191),IF(BT191=1,IF(AV191&lt;=0,0,BW191*MAX(1,IF(H191&gt;0,AV191/H191,1))),IF(R191&gt;0,AW191/R191,0))/MAX(0.1,N(Parameter!$M$21)))</f>
        <v>0.0384615384615385</v>
      </c>
      <c r="AY191" s="57" t="n">
        <f aca="false">AV191*G191</f>
        <v>3702.6</v>
      </c>
      <c r="AZ191" s="57" t="n">
        <f aca="false">ROUNDUP(MAX(J191/IF(BZ191&gt;0,BZ191,MAX(0.1,N(Cockpit!$O$6))),CC191)/BS191,0)*BS191</f>
        <v>20</v>
      </c>
      <c r="BA191" s="58" t="n">
        <f aca="false">IF(AX191&gt;0,J191/AX191,-1)</f>
        <v>52</v>
      </c>
      <c r="BB191" s="58" t="n">
        <f aca="false">IF(AND(OR(BY191="L1",BY191="L23"),AX191&gt;0),SUMIFS($AX$7:$AX$1843,$BY$7:$BY$1843,BY191,$BA$7:$BA$1843,"&gt;"&amp;BA191)+SUMIFS($AX$7:$AX$1843,$BY$7:$BY$1843,BY191,$BA$7:$BA$1843,BA191,$BQ$7:$BQ$1843,"&lt;="&amp;BQ191),"")</f>
        <v>61.5274568426742</v>
      </c>
      <c r="BC191" s="65" t="n">
        <f aca="false">IF(BB191="",0,MAX(0,MIN(1,(IF(BY191="L1",Parameter!$E$5,Parameter!$E$6+Parameter!$E$7)-(BB191-AX191))/AX191)))</f>
        <v>1</v>
      </c>
      <c r="BD191" s="55" t="str">
        <f aca="false">IF(AH191&lt;=0,"",IF(BY191="Aussen","Aussenlager",IF(BY191="-","Nicht im Lift",IF(AM191&gt;=1,"Lift",IF(AM191&lt;=0,"Aussenlager","teilweise")))))</f>
        <v>Lift</v>
      </c>
      <c r="BE191" s="55" t="str">
        <f aca="false">IF(AP191&lt;=0,"",IF(BY191="Aussen","Aussenlager",IF(BY191="-","Nicht im Lift",IF(AU191&gt;=1,"Lift",IF(AU191&lt;=0,"Aussenlager","teilweise")))))</f>
        <v>Lift</v>
      </c>
      <c r="BF191" s="55" t="str">
        <f aca="false">IF(AX191&lt;=0,"",IF(BY191="Aussen","Aussenlager",IF(BY191="-","Nicht im Lift",IF(BC191&gt;=1,"Lift",IF(BC191&lt;=0,"Aussenlager","teilweise")))))</f>
        <v>Lift</v>
      </c>
      <c r="BG191" s="55" t="str">
        <f aca="false">IF(A191="","",IF(BP191=1,"Neu; ","")&amp;IF(AND(BP191=0,BK191&lt;0),"negativer Bestand (Export "&amp;BK191&amp;"); ","")&amp;IF(J191&lt;=0,"Kein Verbrauch; ","")&amp;IF(CH191&gt;0,"Lift "&amp;W191&amp;" lt. Liftbericht (Fach "&amp;X191&amp;" Stk); ",IF(BU191=1,"Gebinde geschätzt ("&amp;T191&amp;"); ",IF(BT191=1,"Lose – Tablare geschätzt; ","")))&amp;IF(H191&gt;AR191,"Überbestand "&amp;ROUND(H191-AR191,0)&amp;" Stk / CHF "&amp;ROUND((H191-AR191)*G191,0)&amp;"; ","")&amp;IF(AND(CA191=1,CB191&lt;CC191),"MAX &lt; MB+LG; ","")&amp;IF(AND(CG191&gt;0,CF191*10&gt;CG191),"zu hoch für Tablar; ","")&amp;IF(AND(BP191=0,OR(CA191=1,AA191&lt;&gt;"",U191&lt;&gt;"",V191&lt;&gt;"",AB191&lt;&gt;"")),"manuell übersteuert; ","")&amp;IF(AND(BT191=0,R191=0),"Gebinde unbekannt / Stellmass fehlt; ","")&amp;IF(AND(BT191=0,N(V191)&lt;=0,N(Q191)&lt;=0),"Menge pro Gebinde fehlt (Ist = 1 Gebinde); ","")&amp;BO191)</f>
        <v>Gebinde geschätzt (Klein); Menge pro Gebinde fehlt (Ist = 1 Gebinde); </v>
      </c>
      <c r="BH191" s="55"/>
      <c r="BI191" s="55"/>
      <c r="BJ191" s="62"/>
      <c r="BK191" s="57" t="n">
        <v>5</v>
      </c>
      <c r="BL191" s="57" t="n">
        <v>0</v>
      </c>
      <c r="BM191" s="56" t="n">
        <v>925.65</v>
      </c>
      <c r="BN191" s="57" t="n">
        <v>2</v>
      </c>
      <c r="BO191" s="55"/>
      <c r="BP191" s="60" t="n">
        <v>0</v>
      </c>
      <c r="BQ191" s="60" t="n">
        <v>191</v>
      </c>
      <c r="BR191" s="55" t="str">
        <f aca="false">IF(U191&lt;&gt;"",UPPER(TRIM(U191)),IF(BU191=1,UPPER(VLOOKUP(T191,Parameter!$I$27:$K$29,2,0)),IF(P191="","LOSE",P191)))</f>
        <v>S51</v>
      </c>
      <c r="BS191" s="57" t="n">
        <f aca="false">IF(BR191="LOSE",1,IF(N(V191)&gt;0,V191,IF(BU191=1,MAX(1,N(VLOOKUP(T191,Parameter!$I$27:$K$29,3,0)),H191,N(N191)),IF(N(Q191)&gt;0,Q191,MAX(1,H191)))))</f>
        <v>20</v>
      </c>
      <c r="BT191" s="60" t="n">
        <f aca="false">IF(BR191="LOSE",1,0)</f>
        <v>0</v>
      </c>
      <c r="BU191" s="60" t="n">
        <f aca="false">IF(AND(U191="",OR(P191="",P191="LOSE"),T191&lt;&gt;"",N(S191)&lt;=0,ISNUMBER(MATCH(T191,Parameter!$I$27:$I$29,0))),1,0)</f>
        <v>1</v>
      </c>
      <c r="BV191" s="55" t="str">
        <f aca="false">IF(AND(Parameter!$B$19="Ja",E191&lt;&gt;"",ISNUMBER(MATCH(E191,Parameter!$I$35:$I$52,0))),VLOOKUP(E191,Parameter!$I$35:$J$52,2,0),IFERROR(VLOOKUP(D191,Parameter!$A$35:$C$64,2,0),"Nein"))</f>
        <v>2+3</v>
      </c>
      <c r="BW191" s="59" t="n">
        <f aca="false">IF(BT191=0,0,IF(N(S191)&gt;0,S191,IFERROR(VLOOKUP(D191,Parameter!$A$35:$C$64,3,0)+0,0)))</f>
        <v>0</v>
      </c>
      <c r="BX191" s="55" t="n">
        <f aca="false">IF(AA191&lt;&gt;"",AA191,Z191)</f>
        <v>3</v>
      </c>
      <c r="BY191" s="55" t="str">
        <f aca="false">IF(BX191=1,"L1",IF(OR(BX191=2,BX191=3),"L23",IF(BX191="Aussen","Aussen","-")))</f>
        <v>L23</v>
      </c>
      <c r="BZ191" s="66" t="n">
        <f aca="false">IF(N(AB191)&gt;0,AB191,0)</f>
        <v>0</v>
      </c>
      <c r="CA191" s="60" t="n">
        <f aca="false">IF(ISNUMBER(AE191),1,0)</f>
        <v>0</v>
      </c>
      <c r="CB191" s="57" t="n">
        <f aca="false">N(AE191)</f>
        <v>0</v>
      </c>
      <c r="CC191" s="57" t="n">
        <f aca="false">N(M191)+N(N191)</f>
        <v>1</v>
      </c>
      <c r="CD191" s="57" t="n">
        <f aca="false">ROUNDUP(H191/BS191,0)</f>
        <v>1</v>
      </c>
      <c r="CE191" s="57" t="n">
        <f aca="false">ROUNDUP(CB191/BS191,0)</f>
        <v>0</v>
      </c>
      <c r="CF191" s="60" t="n">
        <f aca="false">IF(BT191=1,0,IFERROR(VLOOKUP(BR191,'Gebinde-Kategorie'!$A$5:$M$45,5,0)+0,0))</f>
        <v>11</v>
      </c>
      <c r="CG191" s="60" t="n">
        <f aca="false">IFERROR(IF(OR(BX191=1,BX191=2,BX191=3),N(INDEX(Parameter!$I$5:$I$7,BX191)),0),0)</f>
        <v>0</v>
      </c>
      <c r="CH191" s="59" t="n">
        <f aca="false">IF(AND(Parameter!$B$21="Ja",ISNUMBER(W191),N(X191)&gt;0),IFERROR(N(INDEX(Parameter!$L$5:$L$7,W191))*INDEX(Parameter!$E$5:$E$7,W191)*X191/SUMIFS($X$7:$X$1843,$W$7:$W$1843,W191),0),0)</f>
        <v>0</v>
      </c>
    </row>
    <row r="192" customFormat="false" ht="15" hidden="false" customHeight="false" outlineLevel="0" collapsed="false">
      <c r="A192" s="55" t="s">
        <v>586</v>
      </c>
      <c r="B192" s="55" t="s">
        <v>587</v>
      </c>
      <c r="C192" s="55" t="s">
        <v>164</v>
      </c>
      <c r="D192" s="55" t="s">
        <v>184</v>
      </c>
      <c r="E192" s="55" t="s">
        <v>185</v>
      </c>
      <c r="F192" s="55" t="s">
        <v>218</v>
      </c>
      <c r="G192" s="56" t="n">
        <v>4.88</v>
      </c>
      <c r="H192" s="57" t="n">
        <f aca="false">MAX(0,IF(AND(Parameter!$B$21="Ja",ISNUMBER(Y192)),Y192,IF(Parameter!$B$20="Jahresanfang 2025 + Export",BL192+BK192,BK192)))</f>
        <v>335</v>
      </c>
      <c r="I192" s="57" t="n">
        <f aca="false">H192*G192</f>
        <v>1634.8</v>
      </c>
      <c r="J192" s="57" t="n">
        <f aca="false">BN192*Parameter!$B$18</f>
        <v>354</v>
      </c>
      <c r="K192" s="58" t="n">
        <v>175</v>
      </c>
      <c r="L192" s="59" t="n">
        <v>2.02285714285714</v>
      </c>
      <c r="M192" s="57" t="n">
        <v>20</v>
      </c>
      <c r="N192" s="57" t="n">
        <v>355</v>
      </c>
      <c r="O192" s="60" t="n">
        <v>21</v>
      </c>
      <c r="P192" s="55" t="s">
        <v>421</v>
      </c>
      <c r="Q192" s="57" t="n">
        <v>241</v>
      </c>
      <c r="R192" s="60" t="n">
        <f aca="false">IF(BT192=1,0,IFERROR(VLOOKUP(BR192,'Gebinde-Kategorie'!$A$5:$M$45,13,0)+0,0))</f>
        <v>132</v>
      </c>
      <c r="S192" s="61"/>
      <c r="T192" s="62"/>
      <c r="U192" s="62"/>
      <c r="V192" s="62"/>
      <c r="W192" s="55"/>
      <c r="X192" s="57"/>
      <c r="Y192" s="57"/>
      <c r="Z192" s="55" t="n">
        <f aca="false">IF(A192="","",IF(AND(Parameter!$B$21="Ja",ISNUMBER(W192)),W192,IF(BV192="2+3",IF(ISNUMBER(SEARCH("grosser Artikel",BO192)),2,IFERROR(VLOOKUP(BR192,Parameter!$F$35:$G$64,2,0),2)),IF(OR(BV192="Nein",BV192=""),"-",BV192))))</f>
        <v>3</v>
      </c>
      <c r="AA192" s="62"/>
      <c r="AB192" s="63"/>
      <c r="AC192" s="57" t="n">
        <f aca="false">AR192</f>
        <v>482</v>
      </c>
      <c r="AD192" s="57" t="n">
        <f aca="false">MAX(AR192,H192)</f>
        <v>482</v>
      </c>
      <c r="AE192" s="64"/>
      <c r="AF192" s="57" t="n">
        <f aca="false">IF(LEFT(Cockpit!$C$5,1)="A",H192,IF(CA192=1,CB192,IF(LEFT(Cockpit!$C$5,1)="B",AJ192,MAX(AJ192,H192))))</f>
        <v>335</v>
      </c>
      <c r="AG192" s="57" t="n">
        <f aca="false">IF(BT192=1,0,ROUNDUP(AF192/BS192,0))</f>
        <v>2</v>
      </c>
      <c r="AH192" s="59" t="n">
        <f aca="false">IF(CH192&gt;0,CH192*MAX(1,AF192/X192),IF(BT192=1,IF(AF192&lt;=0,0,BW192*MAX(1,IF(H192&gt;0,AF192/H192,1))),IF(R192&gt;0,AG192/R192,0))/MAX(0.1,N(Parameter!$M$21)))</f>
        <v>0.0151515151515152</v>
      </c>
      <c r="AI192" s="57" t="n">
        <f aca="false">AF192*G192</f>
        <v>1634.8</v>
      </c>
      <c r="AJ192" s="57" t="n">
        <f aca="false">ROUNDUP(MAX(J192/IF(BZ192&gt;0,BZ192,MAX(0.1,N(Cockpit!$C$6))),CC192)/BS192,0)*BS192</f>
        <v>482</v>
      </c>
      <c r="AK192" s="58" t="n">
        <f aca="false">IF(AH192&gt;0,J192/AH192,-1)</f>
        <v>23364</v>
      </c>
      <c r="AL192" s="58" t="n">
        <f aca="false">IF(AND(OR(BY192="L1",BY192="L23"),AH192&gt;0),SUMIFS($AH$7:$AH$1843,$BY$7:$BY$1843,BY192,$AK$7:$AK$1843,"&gt;"&amp;AK192)+SUMIFS($AH$7:$AH$1843,$BY$7:$BY$1843,BY192,$AK$7:$AK$1843,AK192,$BQ$7:$BQ$1843,"&lt;="&amp;BQ192),"")</f>
        <v>3.20036485253877</v>
      </c>
      <c r="AM192" s="65" t="n">
        <f aca="false">IF(AL192="",0,MAX(0,MIN(1,(IF(BY192="L1",Parameter!$E$5,Parameter!$E$6+Parameter!$E$7)-(AL192-AH192))/AH192)))</f>
        <v>1</v>
      </c>
      <c r="AN192" s="57" t="n">
        <f aca="false">IF(LEFT(Cockpit!$I$5,1)="A",H192,IF(CA192=1,CB192,IF(LEFT(Cockpit!$I$5,1)="B",AR192,MAX(AR192,H192))))</f>
        <v>482</v>
      </c>
      <c r="AO192" s="57" t="n">
        <f aca="false">IF(BT192=1,0,ROUNDUP(AN192/BS192,0))</f>
        <v>2</v>
      </c>
      <c r="AP192" s="59" t="n">
        <f aca="false">IF(CH192&gt;0,CH192*MAX(1,AN192/X192),IF(BT192=1,IF(AN192&lt;=0,0,BW192*MAX(1,IF(H192&gt;0,AN192/H192,1))),IF(R192&gt;0,AO192/R192,0))/MAX(0.1,N(Parameter!$M$21)))</f>
        <v>0.0151515151515152</v>
      </c>
      <c r="AQ192" s="57" t="n">
        <f aca="false">AN192*G192</f>
        <v>2352.16</v>
      </c>
      <c r="AR192" s="57" t="n">
        <f aca="false">ROUNDUP(MAX(J192/IF(BZ192&gt;0,BZ192,MAX(0.1,N(Cockpit!$I$6))),CC192)/BS192,0)*BS192</f>
        <v>482</v>
      </c>
      <c r="AS192" s="58" t="n">
        <f aca="false">IF(AP192&gt;0,J192/AP192,-1)</f>
        <v>23364</v>
      </c>
      <c r="AT192" s="58" t="n">
        <f aca="false">IF(AND(OR(BY192="L1",BY192="L23"),AP192&gt;0),SUMIFS($AP$7:$AP$1843,$BY$7:$BY$1843,BY192,$AS$7:$AS$1843,"&gt;"&amp;AS192)+SUMIFS($AP$7:$AP$1843,$BY$7:$BY$1843,BY192,$AS$7:$AS$1843,AS192,$BQ$7:$BQ$1843,"&lt;="&amp;BQ192),"")</f>
        <v>3.74704401878315</v>
      </c>
      <c r="AU192" s="65" t="n">
        <f aca="false">IF(AT192="",0,MAX(0,MIN(1,(IF(BY192="L1",Parameter!$E$5,Parameter!$E$6+Parameter!$E$7)-(AT192-AP192))/AP192)))</f>
        <v>1</v>
      </c>
      <c r="AV192" s="57" t="n">
        <f aca="false">IF(LEFT(Cockpit!$O$5,1)="A",H192,IF(CA192=1,CB192,IF(LEFT(Cockpit!$O$5,1)="B",AZ192,MAX(AZ192,H192))))</f>
        <v>482</v>
      </c>
      <c r="AW192" s="57" t="n">
        <f aca="false">IF(BT192=1,0,ROUNDUP(AV192/BS192,0))</f>
        <v>2</v>
      </c>
      <c r="AX192" s="59" t="n">
        <f aca="false">IF(CH192&gt;0,CH192*MAX(1,AV192/X192),IF(BT192=1,IF(AV192&lt;=0,0,BW192*MAX(1,IF(H192&gt;0,AV192/H192,1))),IF(R192&gt;0,AW192/R192,0))/MAX(0.1,N(Parameter!$M$21)))</f>
        <v>0.0151515151515152</v>
      </c>
      <c r="AY192" s="57" t="n">
        <f aca="false">AV192*G192</f>
        <v>2352.16</v>
      </c>
      <c r="AZ192" s="57" t="n">
        <f aca="false">ROUNDUP(MAX(J192/IF(BZ192&gt;0,BZ192,MAX(0.1,N(Cockpit!$O$6))),CC192)/BS192,0)*BS192</f>
        <v>482</v>
      </c>
      <c r="BA192" s="58" t="n">
        <f aca="false">IF(AX192&gt;0,J192/AX192,-1)</f>
        <v>23364</v>
      </c>
      <c r="BB192" s="58" t="n">
        <f aca="false">IF(AND(OR(BY192="L1",BY192="L23"),AX192&gt;0),SUMIFS($AX$7:$AX$1843,$BY$7:$BY$1843,BY192,$BA$7:$BA$1843,"&gt;"&amp;BA192)+SUMIFS($AX$7:$AX$1843,$BY$7:$BY$1843,BY192,$BA$7:$BA$1843,BA192,$BQ$7:$BQ$1843,"&lt;="&amp;BQ192),"")</f>
        <v>3.3997246714638</v>
      </c>
      <c r="BC192" s="65" t="n">
        <f aca="false">IF(BB192="",0,MAX(0,MIN(1,(IF(BY192="L1",Parameter!$E$5,Parameter!$E$6+Parameter!$E$7)-(BB192-AX192))/AX192)))</f>
        <v>1</v>
      </c>
      <c r="BD192" s="55" t="str">
        <f aca="false">IF(AH192&lt;=0,"",IF(BY192="Aussen","Aussenlager",IF(BY192="-","Nicht im Lift",IF(AM192&gt;=1,"Lift",IF(AM192&lt;=0,"Aussenlager","teilweise")))))</f>
        <v>Lift</v>
      </c>
      <c r="BE192" s="55" t="str">
        <f aca="false">IF(AP192&lt;=0,"",IF(BY192="Aussen","Aussenlager",IF(BY192="-","Nicht im Lift",IF(AU192&gt;=1,"Lift",IF(AU192&lt;=0,"Aussenlager","teilweise")))))</f>
        <v>Lift</v>
      </c>
      <c r="BF192" s="55" t="str">
        <f aca="false">IF(AX192&lt;=0,"",IF(BY192="Aussen","Aussenlager",IF(BY192="-","Nicht im Lift",IF(BC192&gt;=1,"Lift",IF(BC192&lt;=0,"Aussenlager","teilweise")))))</f>
        <v>Lift</v>
      </c>
      <c r="BG192" s="55" t="str">
        <f aca="false">IF(A192="","",IF(BP192=1,"Neu; ","")&amp;IF(AND(BP192=0,BK192&lt;0),"negativer Bestand (Export "&amp;BK192&amp;"); ","")&amp;IF(J192&lt;=0,"Kein Verbrauch; ","")&amp;IF(CH192&gt;0,"Lift "&amp;W192&amp;" lt. Liftbericht (Fach "&amp;X192&amp;" Stk); ",IF(BU192=1,"Gebinde geschätzt ("&amp;T192&amp;"); ",IF(BT192=1,"Lose – Tablare geschätzt; ","")))&amp;IF(H192&gt;AR192,"Überbestand "&amp;ROUND(H192-AR192,0)&amp;" Stk / CHF "&amp;ROUND((H192-AR192)*G192,0)&amp;"; ","")&amp;IF(AND(CA192=1,CB192&lt;CC192),"MAX &lt; MB+LG; ","")&amp;IF(AND(CG192&gt;0,CF192*10&gt;CG192),"zu hoch für Tablar; ","")&amp;IF(AND(BP192=0,OR(CA192=1,AA192&lt;&gt;"",U192&lt;&gt;"",V192&lt;&gt;"",AB192&lt;&gt;"")),"manuell übersteuert; ","")&amp;IF(AND(BT192=0,R192=0),"Gebinde unbekannt / Stellmass fehlt; ","")&amp;IF(AND(BT192=0,N(V192)&lt;=0,N(Q192)&lt;=0),"Menge pro Gebinde fehlt (Ist = 1 Gebinde); ","")&amp;BO192)</f>
        <v/>
      </c>
      <c r="BH192" s="55"/>
      <c r="BI192" s="55"/>
      <c r="BJ192" s="62"/>
      <c r="BK192" s="57" t="n">
        <v>216</v>
      </c>
      <c r="BL192" s="57" t="n">
        <v>119</v>
      </c>
      <c r="BM192" s="56" t="n">
        <v>900.630000000002</v>
      </c>
      <c r="BN192" s="57" t="n">
        <v>354</v>
      </c>
      <c r="BO192" s="55"/>
      <c r="BP192" s="60" t="n">
        <v>0</v>
      </c>
      <c r="BQ192" s="60" t="n">
        <v>192</v>
      </c>
      <c r="BR192" s="55" t="str">
        <f aca="false">IF(U192&lt;&gt;"",UPPER(TRIM(U192)),IF(BU192=1,UPPER(VLOOKUP(T192,Parameter!$I$27:$K$29,2,0)),IF(P192="","LOSE",P192)))</f>
        <v>S32</v>
      </c>
      <c r="BS192" s="57" t="n">
        <f aca="false">IF(BR192="LOSE",1,IF(N(V192)&gt;0,V192,IF(BU192=1,MAX(1,N(VLOOKUP(T192,Parameter!$I$27:$K$29,3,0)),H192,N(N192)),IF(N(Q192)&gt;0,Q192,MAX(1,H192)))))</f>
        <v>241</v>
      </c>
      <c r="BT192" s="60" t="n">
        <f aca="false">IF(BR192="LOSE",1,0)</f>
        <v>0</v>
      </c>
      <c r="BU192" s="60" t="n">
        <f aca="false">IF(AND(U192="",OR(P192="",P192="LOSE"),T192&lt;&gt;"",N(S192)&lt;=0,ISNUMBER(MATCH(T192,Parameter!$I$27:$I$29,0))),1,0)</f>
        <v>0</v>
      </c>
      <c r="BV192" s="55" t="str">
        <f aca="false">IF(AND(Parameter!$B$19="Ja",E192&lt;&gt;"",ISNUMBER(MATCH(E192,Parameter!$I$35:$I$52,0))),VLOOKUP(E192,Parameter!$I$35:$J$52,2,0),IFERROR(VLOOKUP(D192,Parameter!$A$35:$C$64,2,0),"Nein"))</f>
        <v>2+3</v>
      </c>
      <c r="BW192" s="59" t="n">
        <f aca="false">IF(BT192=0,0,IF(N(S192)&gt;0,S192,IFERROR(VLOOKUP(D192,Parameter!$A$35:$C$64,3,0)+0,0)))</f>
        <v>0</v>
      </c>
      <c r="BX192" s="55" t="n">
        <f aca="false">IF(AA192&lt;&gt;"",AA192,Z192)</f>
        <v>3</v>
      </c>
      <c r="BY192" s="55" t="str">
        <f aca="false">IF(BX192=1,"L1",IF(OR(BX192=2,BX192=3),"L23",IF(BX192="Aussen","Aussen","-")))</f>
        <v>L23</v>
      </c>
      <c r="BZ192" s="66" t="n">
        <f aca="false">IF(N(AB192)&gt;0,AB192,0)</f>
        <v>0</v>
      </c>
      <c r="CA192" s="60" t="n">
        <f aca="false">IF(ISNUMBER(AE192),1,0)</f>
        <v>0</v>
      </c>
      <c r="CB192" s="57" t="n">
        <f aca="false">N(AE192)</f>
        <v>0</v>
      </c>
      <c r="CC192" s="57" t="n">
        <f aca="false">N(M192)+N(N192)</f>
        <v>375</v>
      </c>
      <c r="CD192" s="57" t="n">
        <f aca="false">ROUNDUP(H192/BS192,0)</f>
        <v>2</v>
      </c>
      <c r="CE192" s="57" t="n">
        <f aca="false">ROUNDUP(CB192/BS192,0)</f>
        <v>0</v>
      </c>
      <c r="CF192" s="60" t="n">
        <f aca="false">IF(BT192=1,0,IFERROR(VLOOKUP(BR192,'Gebinde-Kategorie'!$A$5:$M$45,5,0)+0,0))</f>
        <v>8</v>
      </c>
      <c r="CG192" s="60" t="n">
        <f aca="false">IFERROR(IF(OR(BX192=1,BX192=2,BX192=3),N(INDEX(Parameter!$I$5:$I$7,BX192)),0),0)</f>
        <v>0</v>
      </c>
      <c r="CH192" s="59" t="n">
        <f aca="false">IF(AND(Parameter!$B$21="Ja",ISNUMBER(W192),N(X192)&gt;0),IFERROR(N(INDEX(Parameter!$L$5:$L$7,W192))*INDEX(Parameter!$E$5:$E$7,W192)*X192/SUMIFS($X$7:$X$1843,$W$7:$W$1843,W192),0),0)</f>
        <v>0</v>
      </c>
    </row>
    <row r="193" customFormat="false" ht="15" hidden="false" customHeight="false" outlineLevel="0" collapsed="false">
      <c r="A193" s="55" t="s">
        <v>588</v>
      </c>
      <c r="B193" s="55" t="s">
        <v>589</v>
      </c>
      <c r="C193" s="55" t="s">
        <v>164</v>
      </c>
      <c r="D193" s="55" t="s">
        <v>184</v>
      </c>
      <c r="E193" s="55"/>
      <c r="F193" s="55" t="s">
        <v>218</v>
      </c>
      <c r="G193" s="56" t="n">
        <v>54.41</v>
      </c>
      <c r="H193" s="57" t="n">
        <f aca="false">MAX(0,IF(AND(Parameter!$B$21="Ja",ISNUMBER(Y193)),Y193,IF(Parameter!$B$20="Jahresanfang 2025 + Export",BL193+BK193,BK193)))</f>
        <v>16</v>
      </c>
      <c r="I193" s="57" t="n">
        <f aca="false">H193*G193</f>
        <v>870.56</v>
      </c>
      <c r="J193" s="57" t="n">
        <f aca="false">BN193*Parameter!$B$18</f>
        <v>40</v>
      </c>
      <c r="K193" s="58" t="n">
        <v>8</v>
      </c>
      <c r="L193" s="59" t="n">
        <v>5</v>
      </c>
      <c r="M193" s="57" t="n">
        <v>3</v>
      </c>
      <c r="N193" s="57" t="n">
        <v>40</v>
      </c>
      <c r="O193" s="60" t="n">
        <v>35</v>
      </c>
      <c r="P193" s="55" t="s">
        <v>421</v>
      </c>
      <c r="Q193" s="57" t="n">
        <v>40</v>
      </c>
      <c r="R193" s="60" t="n">
        <f aca="false">IF(BT193=1,0,IFERROR(VLOOKUP(BR193,'Gebinde-Kategorie'!$A$5:$M$45,13,0)+0,0))</f>
        <v>132</v>
      </c>
      <c r="S193" s="61"/>
      <c r="T193" s="62"/>
      <c r="U193" s="62"/>
      <c r="V193" s="62"/>
      <c r="W193" s="55"/>
      <c r="X193" s="57"/>
      <c r="Y193" s="57"/>
      <c r="Z193" s="55" t="n">
        <f aca="false">IF(A193="","",IF(AND(Parameter!$B$21="Ja",ISNUMBER(W193)),W193,IF(BV193="2+3",IF(ISNUMBER(SEARCH("grosser Artikel",BO193)),2,IFERROR(VLOOKUP(BR193,Parameter!$F$35:$G$64,2,0),2)),IF(OR(BV193="Nein",BV193=""),"-",BV193))))</f>
        <v>3</v>
      </c>
      <c r="AA193" s="62"/>
      <c r="AB193" s="63"/>
      <c r="AC193" s="57" t="n">
        <f aca="false">AR193</f>
        <v>80</v>
      </c>
      <c r="AD193" s="57" t="n">
        <f aca="false">MAX(AR193,H193)</f>
        <v>80</v>
      </c>
      <c r="AE193" s="64"/>
      <c r="AF193" s="57" t="n">
        <f aca="false">IF(LEFT(Cockpit!$C$5,1)="A",H193,IF(CA193=1,CB193,IF(LEFT(Cockpit!$C$5,1)="B",AJ193,MAX(AJ193,H193))))</f>
        <v>16</v>
      </c>
      <c r="AG193" s="57" t="n">
        <f aca="false">IF(BT193=1,0,ROUNDUP(AF193/BS193,0))</f>
        <v>1</v>
      </c>
      <c r="AH193" s="59" t="n">
        <f aca="false">IF(CH193&gt;0,CH193*MAX(1,AF193/X193),IF(BT193=1,IF(AF193&lt;=0,0,BW193*MAX(1,IF(H193&gt;0,AF193/H193,1))),IF(R193&gt;0,AG193/R193,0))/MAX(0.1,N(Parameter!$M$21)))</f>
        <v>0.00757575757575758</v>
      </c>
      <c r="AI193" s="57" t="n">
        <f aca="false">AF193*G193</f>
        <v>870.56</v>
      </c>
      <c r="AJ193" s="57" t="n">
        <f aca="false">ROUNDUP(MAX(J193/IF(BZ193&gt;0,BZ193,MAX(0.1,N(Cockpit!$C$6))),CC193)/BS193,0)*BS193</f>
        <v>80</v>
      </c>
      <c r="AK193" s="58" t="n">
        <f aca="false">IF(AH193&gt;0,J193/AH193,-1)</f>
        <v>5280</v>
      </c>
      <c r="AL193" s="58" t="n">
        <f aca="false">IF(AND(OR(BY193="L1",BY193="L23"),AH193&gt;0),SUMIFS($AH$7:$AH$1843,$BY$7:$BY$1843,BY193,$AK$7:$AK$1843,"&gt;"&amp;AK193)+SUMIFS($AH$7:$AH$1843,$BY$7:$BY$1843,BY193,$AK$7:$AK$1843,AK193,$BQ$7:$BQ$1843,"&lt;="&amp;BQ193),"")</f>
        <v>6.89129590216547</v>
      </c>
      <c r="AM193" s="65" t="n">
        <f aca="false">IF(AL193="",0,MAX(0,MIN(1,(IF(BY193="L1",Parameter!$E$5,Parameter!$E$6+Parameter!$E$7)-(AL193-AH193))/AH193)))</f>
        <v>1</v>
      </c>
      <c r="AN193" s="57" t="n">
        <f aca="false">IF(LEFT(Cockpit!$I$5,1)="A",H193,IF(CA193=1,CB193,IF(LEFT(Cockpit!$I$5,1)="B",AR193,MAX(AR193,H193))))</f>
        <v>80</v>
      </c>
      <c r="AO193" s="57" t="n">
        <f aca="false">IF(BT193=1,0,ROUNDUP(AN193/BS193,0))</f>
        <v>2</v>
      </c>
      <c r="AP193" s="59" t="n">
        <f aca="false">IF(CH193&gt;0,CH193*MAX(1,AN193/X193),IF(BT193=1,IF(AN193&lt;=0,0,BW193*MAX(1,IF(H193&gt;0,AN193/H193,1))),IF(R193&gt;0,AO193/R193,0))/MAX(0.1,N(Parameter!$M$21)))</f>
        <v>0.0151515151515152</v>
      </c>
      <c r="AQ193" s="57" t="n">
        <f aca="false">AN193*G193</f>
        <v>4352.8</v>
      </c>
      <c r="AR193" s="57" t="n">
        <f aca="false">ROUNDUP(MAX(J193/IF(BZ193&gt;0,BZ193,MAX(0.1,N(Cockpit!$I$6))),CC193)/BS193,0)*BS193</f>
        <v>80</v>
      </c>
      <c r="AS193" s="58" t="n">
        <f aca="false">IF(AP193&gt;0,J193/AP193,-1)</f>
        <v>2640</v>
      </c>
      <c r="AT193" s="58" t="n">
        <f aca="false">IF(AND(OR(BY193="L1",BY193="L23"),AP193&gt;0),SUMIFS($AP$7:$AP$1843,$BY$7:$BY$1843,BY193,$AS$7:$AS$1843,"&gt;"&amp;AS193)+SUMIFS($AP$7:$AP$1843,$BY$7:$BY$1843,BY193,$AS$7:$AS$1843,AS193,$BQ$7:$BQ$1843,"&lt;="&amp;BQ193),"")</f>
        <v>16.190213168474</v>
      </c>
      <c r="AU193" s="65" t="n">
        <f aca="false">IF(AT193="",0,MAX(0,MIN(1,(IF(BY193="L1",Parameter!$E$5,Parameter!$E$6+Parameter!$E$7)-(AT193-AP193))/AP193)))</f>
        <v>1</v>
      </c>
      <c r="AV193" s="57" t="n">
        <f aca="false">IF(LEFT(Cockpit!$O$5,1)="A",H193,IF(CA193=1,CB193,IF(LEFT(Cockpit!$O$5,1)="B",AZ193,MAX(AZ193,H193))))</f>
        <v>80</v>
      </c>
      <c r="AW193" s="57" t="n">
        <f aca="false">IF(BT193=1,0,ROUNDUP(AV193/BS193,0))</f>
        <v>2</v>
      </c>
      <c r="AX193" s="59" t="n">
        <f aca="false">IF(CH193&gt;0,CH193*MAX(1,AV193/X193),IF(BT193=1,IF(AV193&lt;=0,0,BW193*MAX(1,IF(H193&gt;0,AV193/H193,1))),IF(R193&gt;0,AW193/R193,0))/MAX(0.1,N(Parameter!$M$21)))</f>
        <v>0.0151515151515152</v>
      </c>
      <c r="AY193" s="57" t="n">
        <f aca="false">AV193*G193</f>
        <v>4352.8</v>
      </c>
      <c r="AZ193" s="57" t="n">
        <f aca="false">ROUNDUP(MAX(J193/IF(BZ193&gt;0,BZ193,MAX(0.1,N(Cockpit!$O$6))),CC193)/BS193,0)*BS193</f>
        <v>80</v>
      </c>
      <c r="BA193" s="58" t="n">
        <f aca="false">IF(AX193&gt;0,J193/AX193,-1)</f>
        <v>2640</v>
      </c>
      <c r="BB193" s="58" t="n">
        <f aca="false">IF(AND(OR(BY193="L1",BY193="L23"),AX193&gt;0),SUMIFS($AX$7:$AX$1843,$BY$7:$BY$1843,BY193,$BA$7:$BA$1843,"&gt;"&amp;BA193)+SUMIFS($AX$7:$AX$1843,$BY$7:$BY$1843,BY193,$BA$7:$BA$1843,BA193,$BQ$7:$BQ$1843,"&lt;="&amp;BQ193),"")</f>
        <v>14.7636397419006</v>
      </c>
      <c r="BC193" s="65" t="n">
        <f aca="false">IF(BB193="",0,MAX(0,MIN(1,(IF(BY193="L1",Parameter!$E$5,Parameter!$E$6+Parameter!$E$7)-(BB193-AX193))/AX193)))</f>
        <v>1</v>
      </c>
      <c r="BD193" s="55" t="str">
        <f aca="false">IF(AH193&lt;=0,"",IF(BY193="Aussen","Aussenlager",IF(BY193="-","Nicht im Lift",IF(AM193&gt;=1,"Lift",IF(AM193&lt;=0,"Aussenlager","teilweise")))))</f>
        <v>Lift</v>
      </c>
      <c r="BE193" s="55" t="str">
        <f aca="false">IF(AP193&lt;=0,"",IF(BY193="Aussen","Aussenlager",IF(BY193="-","Nicht im Lift",IF(AU193&gt;=1,"Lift",IF(AU193&lt;=0,"Aussenlager","teilweise")))))</f>
        <v>Lift</v>
      </c>
      <c r="BF193" s="55" t="str">
        <f aca="false">IF(AX193&lt;=0,"",IF(BY193="Aussen","Aussenlager",IF(BY193="-","Nicht im Lift",IF(BC193&gt;=1,"Lift",IF(BC193&lt;=0,"Aussenlager","teilweise")))))</f>
        <v>Lift</v>
      </c>
      <c r="BG193" s="55" t="str">
        <f aca="false">IF(A193="","",IF(BP193=1,"Neu; ","")&amp;IF(AND(BP193=0,BK193&lt;0),"negativer Bestand (Export "&amp;BK193&amp;"); ","")&amp;IF(J193&lt;=0,"Kein Verbrauch; ","")&amp;IF(CH193&gt;0,"Lift "&amp;W193&amp;" lt. Liftbericht (Fach "&amp;X193&amp;" Stk); ",IF(BU193=1,"Gebinde geschätzt ("&amp;T193&amp;"); ",IF(BT193=1,"Lose – Tablare geschätzt; ","")))&amp;IF(H193&gt;AR193,"Überbestand "&amp;ROUND(H193-AR193,0)&amp;" Stk / CHF "&amp;ROUND((H193-AR193)*G193,0)&amp;"; ","")&amp;IF(AND(CA193=1,CB193&lt;CC193),"MAX &lt; MB+LG; ","")&amp;IF(AND(CG193&gt;0,CF193*10&gt;CG193),"zu hoch für Tablar; ","")&amp;IF(AND(BP193=0,OR(CA193=1,AA193&lt;&gt;"",U193&lt;&gt;"",V193&lt;&gt;"",AB193&lt;&gt;"")),"manuell übersteuert; ","")&amp;IF(AND(BT193=0,R193=0),"Gebinde unbekannt / Stellmass fehlt; ","")&amp;IF(AND(BT193=0,N(V193)&lt;=0,N(Q193)&lt;=0),"Menge pro Gebinde fehlt (Ist = 1 Gebinde); ","")&amp;BO193)</f>
        <v/>
      </c>
      <c r="BH193" s="55"/>
      <c r="BI193" s="55"/>
      <c r="BJ193" s="62"/>
      <c r="BK193" s="57" t="n">
        <v>16</v>
      </c>
      <c r="BL193" s="57" t="n">
        <v>0</v>
      </c>
      <c r="BM193" s="56" t="n">
        <v>870.56</v>
      </c>
      <c r="BN193" s="57" t="n">
        <v>40</v>
      </c>
      <c r="BO193" s="55"/>
      <c r="BP193" s="60" t="n">
        <v>0</v>
      </c>
      <c r="BQ193" s="60" t="n">
        <v>193</v>
      </c>
      <c r="BR193" s="55" t="str">
        <f aca="false">IF(U193&lt;&gt;"",UPPER(TRIM(U193)),IF(BU193=1,UPPER(VLOOKUP(T193,Parameter!$I$27:$K$29,2,0)),IF(P193="","LOSE",P193)))</f>
        <v>S32</v>
      </c>
      <c r="BS193" s="57" t="n">
        <f aca="false">IF(BR193="LOSE",1,IF(N(V193)&gt;0,V193,IF(BU193=1,MAX(1,N(VLOOKUP(T193,Parameter!$I$27:$K$29,3,0)),H193,N(N193)),IF(N(Q193)&gt;0,Q193,MAX(1,H193)))))</f>
        <v>40</v>
      </c>
      <c r="BT193" s="60" t="n">
        <f aca="false">IF(BR193="LOSE",1,0)</f>
        <v>0</v>
      </c>
      <c r="BU193" s="60" t="n">
        <f aca="false">IF(AND(U193="",OR(P193="",P193="LOSE"),T193&lt;&gt;"",N(S193)&lt;=0,ISNUMBER(MATCH(T193,Parameter!$I$27:$I$29,0))),1,0)</f>
        <v>0</v>
      </c>
      <c r="BV193" s="55" t="str">
        <f aca="false">IF(AND(Parameter!$B$19="Ja",E193&lt;&gt;"",ISNUMBER(MATCH(E193,Parameter!$I$35:$I$52,0))),VLOOKUP(E193,Parameter!$I$35:$J$52,2,0),IFERROR(VLOOKUP(D193,Parameter!$A$35:$C$64,2,0),"Nein"))</f>
        <v>2+3</v>
      </c>
      <c r="BW193" s="59" t="n">
        <f aca="false">IF(BT193=0,0,IF(N(S193)&gt;0,S193,IFERROR(VLOOKUP(D193,Parameter!$A$35:$C$64,3,0)+0,0)))</f>
        <v>0</v>
      </c>
      <c r="BX193" s="55" t="n">
        <f aca="false">IF(AA193&lt;&gt;"",AA193,Z193)</f>
        <v>3</v>
      </c>
      <c r="BY193" s="55" t="str">
        <f aca="false">IF(BX193=1,"L1",IF(OR(BX193=2,BX193=3),"L23",IF(BX193="Aussen","Aussen","-")))</f>
        <v>L23</v>
      </c>
      <c r="BZ193" s="66" t="n">
        <f aca="false">IF(N(AB193)&gt;0,AB193,0)</f>
        <v>0</v>
      </c>
      <c r="CA193" s="60" t="n">
        <f aca="false">IF(ISNUMBER(AE193),1,0)</f>
        <v>0</v>
      </c>
      <c r="CB193" s="57" t="n">
        <f aca="false">N(AE193)</f>
        <v>0</v>
      </c>
      <c r="CC193" s="57" t="n">
        <f aca="false">N(M193)+N(N193)</f>
        <v>43</v>
      </c>
      <c r="CD193" s="57" t="n">
        <f aca="false">ROUNDUP(H193/BS193,0)</f>
        <v>1</v>
      </c>
      <c r="CE193" s="57" t="n">
        <f aca="false">ROUNDUP(CB193/BS193,0)</f>
        <v>0</v>
      </c>
      <c r="CF193" s="60" t="n">
        <f aca="false">IF(BT193=1,0,IFERROR(VLOOKUP(BR193,'Gebinde-Kategorie'!$A$5:$M$45,5,0)+0,0))</f>
        <v>8</v>
      </c>
      <c r="CG193" s="60" t="n">
        <f aca="false">IFERROR(IF(OR(BX193=1,BX193=2,BX193=3),N(INDEX(Parameter!$I$5:$I$7,BX193)),0),0)</f>
        <v>0</v>
      </c>
      <c r="CH193" s="59" t="n">
        <f aca="false">IF(AND(Parameter!$B$21="Ja",ISNUMBER(W193),N(X193)&gt;0),IFERROR(N(INDEX(Parameter!$L$5:$L$7,W193))*INDEX(Parameter!$E$5:$E$7,W193)*X193/SUMIFS($X$7:$X$1843,$W$7:$W$1843,W193),0),0)</f>
        <v>0</v>
      </c>
    </row>
    <row r="194" customFormat="false" ht="15" hidden="false" customHeight="false" outlineLevel="0" collapsed="false">
      <c r="A194" s="55" t="s">
        <v>590</v>
      </c>
      <c r="B194" s="55" t="s">
        <v>591</v>
      </c>
      <c r="C194" s="55" t="s">
        <v>164</v>
      </c>
      <c r="D194" s="55" t="s">
        <v>184</v>
      </c>
      <c r="E194" s="55" t="s">
        <v>185</v>
      </c>
      <c r="F194" s="55" t="s">
        <v>218</v>
      </c>
      <c r="G194" s="56" t="n">
        <v>10.46</v>
      </c>
      <c r="H194" s="57" t="n">
        <f aca="false">MAX(0,IF(AND(Parameter!$B$21="Ja",ISNUMBER(Y194)),Y194,IF(Parameter!$B$20="Jahresanfang 2025 + Export",BL194+BK194,BK194)))</f>
        <v>130</v>
      </c>
      <c r="I194" s="57" t="n">
        <f aca="false">H194*G194</f>
        <v>1359.8</v>
      </c>
      <c r="J194" s="57" t="n">
        <f aca="false">BN194*Parameter!$B$18</f>
        <v>153</v>
      </c>
      <c r="K194" s="58" t="n">
        <v>41</v>
      </c>
      <c r="L194" s="59" t="n">
        <v>3.73170731707317</v>
      </c>
      <c r="M194" s="57" t="n">
        <v>8</v>
      </c>
      <c r="N194" s="57" t="n">
        <v>150</v>
      </c>
      <c r="O194" s="60" t="n">
        <v>21</v>
      </c>
      <c r="P194" s="55" t="s">
        <v>421</v>
      </c>
      <c r="Q194" s="57" t="n">
        <v>75</v>
      </c>
      <c r="R194" s="60" t="n">
        <f aca="false">IF(BT194=1,0,IFERROR(VLOOKUP(BR194,'Gebinde-Kategorie'!$A$5:$M$45,13,0)+0,0))</f>
        <v>132</v>
      </c>
      <c r="S194" s="61"/>
      <c r="T194" s="62"/>
      <c r="U194" s="62"/>
      <c r="V194" s="62"/>
      <c r="W194" s="55"/>
      <c r="X194" s="57"/>
      <c r="Y194" s="57"/>
      <c r="Z194" s="55" t="n">
        <f aca="false">IF(A194="","",IF(AND(Parameter!$B$21="Ja",ISNUMBER(W194)),W194,IF(BV194="2+3",IF(ISNUMBER(SEARCH("grosser Artikel",BO194)),2,IFERROR(VLOOKUP(BR194,Parameter!$F$35:$G$64,2,0),2)),IF(OR(BV194="Nein",BV194=""),"-",BV194))))</f>
        <v>3</v>
      </c>
      <c r="AA194" s="62"/>
      <c r="AB194" s="63"/>
      <c r="AC194" s="57" t="n">
        <f aca="false">AR194</f>
        <v>225</v>
      </c>
      <c r="AD194" s="57" t="n">
        <f aca="false">MAX(AR194,H194)</f>
        <v>225</v>
      </c>
      <c r="AE194" s="64"/>
      <c r="AF194" s="57" t="n">
        <f aca="false">IF(LEFT(Cockpit!$C$5,1)="A",H194,IF(CA194=1,CB194,IF(LEFT(Cockpit!$C$5,1)="B",AJ194,MAX(AJ194,H194))))</f>
        <v>130</v>
      </c>
      <c r="AG194" s="57" t="n">
        <f aca="false">IF(BT194=1,0,ROUNDUP(AF194/BS194,0))</f>
        <v>2</v>
      </c>
      <c r="AH194" s="59" t="n">
        <f aca="false">IF(CH194&gt;0,CH194*MAX(1,AF194/X194),IF(BT194=1,IF(AF194&lt;=0,0,BW194*MAX(1,IF(H194&gt;0,AF194/H194,1))),IF(R194&gt;0,AG194/R194,0))/MAX(0.1,N(Parameter!$M$21)))</f>
        <v>0.0151515151515152</v>
      </c>
      <c r="AI194" s="57" t="n">
        <f aca="false">AF194*G194</f>
        <v>1359.8</v>
      </c>
      <c r="AJ194" s="57" t="n">
        <f aca="false">ROUNDUP(MAX(J194/IF(BZ194&gt;0,BZ194,MAX(0.1,N(Cockpit!$C$6))),CC194)/BS194,0)*BS194</f>
        <v>225</v>
      </c>
      <c r="AK194" s="58" t="n">
        <f aca="false">IF(AH194&gt;0,J194/AH194,-1)</f>
        <v>10098</v>
      </c>
      <c r="AL194" s="58" t="n">
        <f aca="false">IF(AND(OR(BY194="L1",BY194="L23"),AH194&gt;0),SUMIFS($AH$7:$AH$1843,$BY$7:$BY$1843,BY194,$AK$7:$AK$1843,"&gt;"&amp;AK194)+SUMIFS($AH$7:$AH$1843,$BY$7:$BY$1843,BY194,$AK$7:$AK$1843,AK194,$BQ$7:$BQ$1843,"&lt;="&amp;BQ194),"")</f>
        <v>5.31397587919327</v>
      </c>
      <c r="AM194" s="65" t="n">
        <f aca="false">IF(AL194="",0,MAX(0,MIN(1,(IF(BY194="L1",Parameter!$E$5,Parameter!$E$6+Parameter!$E$7)-(AL194-AH194))/AH194)))</f>
        <v>1</v>
      </c>
      <c r="AN194" s="57" t="n">
        <f aca="false">IF(LEFT(Cockpit!$I$5,1)="A",H194,IF(CA194=1,CB194,IF(LEFT(Cockpit!$I$5,1)="B",AR194,MAX(AR194,H194))))</f>
        <v>225</v>
      </c>
      <c r="AO194" s="57" t="n">
        <f aca="false">IF(BT194=1,0,ROUNDUP(AN194/BS194,0))</f>
        <v>3</v>
      </c>
      <c r="AP194" s="59" t="n">
        <f aca="false">IF(CH194&gt;0,CH194*MAX(1,AN194/X194),IF(BT194=1,IF(AN194&lt;=0,0,BW194*MAX(1,IF(H194&gt;0,AN194/H194,1))),IF(R194&gt;0,AO194/R194,0))/MAX(0.1,N(Parameter!$M$21)))</f>
        <v>0.0227272727272727</v>
      </c>
      <c r="AQ194" s="57" t="n">
        <f aca="false">AN194*G194</f>
        <v>2353.5</v>
      </c>
      <c r="AR194" s="57" t="n">
        <f aca="false">ROUNDUP(MAX(J194/IF(BZ194&gt;0,BZ194,MAX(0.1,N(Cockpit!$I$6))),CC194)/BS194,0)*BS194</f>
        <v>225</v>
      </c>
      <c r="AS194" s="58" t="n">
        <f aca="false">IF(AP194&gt;0,J194/AP194,-1)</f>
        <v>6732</v>
      </c>
      <c r="AT194" s="58" t="n">
        <f aca="false">IF(AND(OR(BY194="L1",BY194="L23"),AP194&gt;0),SUMIFS($AP$7:$AP$1843,$BY$7:$BY$1843,BY194,$AS$7:$AS$1843,"&gt;"&amp;AS194)+SUMIFS($AP$7:$AP$1843,$BY$7:$BY$1843,BY194,$AS$7:$AS$1843,AS194,$BQ$7:$BQ$1843,"&lt;="&amp;BQ194),"")</f>
        <v>10.0074406270058</v>
      </c>
      <c r="AU194" s="65" t="n">
        <f aca="false">IF(AT194="",0,MAX(0,MIN(1,(IF(BY194="L1",Parameter!$E$5,Parameter!$E$6+Parameter!$E$7)-(AT194-AP194))/AP194)))</f>
        <v>1</v>
      </c>
      <c r="AV194" s="57" t="n">
        <f aca="false">IF(LEFT(Cockpit!$O$5,1)="A",H194,IF(CA194=1,CB194,IF(LEFT(Cockpit!$O$5,1)="B",AZ194,MAX(AZ194,H194))))</f>
        <v>225</v>
      </c>
      <c r="AW194" s="57" t="n">
        <f aca="false">IF(BT194=1,0,ROUNDUP(AV194/BS194,0))</f>
        <v>3</v>
      </c>
      <c r="AX194" s="59" t="n">
        <f aca="false">IF(CH194&gt;0,CH194*MAX(1,AV194/X194),IF(BT194=1,IF(AV194&lt;=0,0,BW194*MAX(1,IF(H194&gt;0,AV194/H194,1))),IF(R194&gt;0,AW194/R194,0))/MAX(0.1,N(Parameter!$M$21)))</f>
        <v>0.0227272727272727</v>
      </c>
      <c r="AY194" s="57" t="n">
        <f aca="false">AV194*G194</f>
        <v>2353.5</v>
      </c>
      <c r="AZ194" s="57" t="n">
        <f aca="false">ROUNDUP(MAX(J194/IF(BZ194&gt;0,BZ194,MAX(0.1,N(Cockpit!$O$6))),CC194)/BS194,0)*BS194</f>
        <v>225</v>
      </c>
      <c r="BA194" s="58" t="n">
        <f aca="false">IF(AX194&gt;0,J194/AX194,-1)</f>
        <v>6732</v>
      </c>
      <c r="BB194" s="58" t="n">
        <f aca="false">IF(AND(OR(BY194="L1",BY194="L23"),AX194&gt;0),SUMIFS($AX$7:$AX$1843,$BY$7:$BY$1843,BY194,$BA$7:$BA$1843,"&gt;"&amp;BA194)+SUMIFS($AX$7:$AX$1843,$BY$7:$BY$1843,BY194,$BA$7:$BA$1843,BA194,$BQ$7:$BQ$1843,"&lt;="&amp;BQ194),"")</f>
        <v>9.4077902773555</v>
      </c>
      <c r="BC194" s="65" t="n">
        <f aca="false">IF(BB194="",0,MAX(0,MIN(1,(IF(BY194="L1",Parameter!$E$5,Parameter!$E$6+Parameter!$E$7)-(BB194-AX194))/AX194)))</f>
        <v>1</v>
      </c>
      <c r="BD194" s="55" t="str">
        <f aca="false">IF(AH194&lt;=0,"",IF(BY194="Aussen","Aussenlager",IF(BY194="-","Nicht im Lift",IF(AM194&gt;=1,"Lift",IF(AM194&lt;=0,"Aussenlager","teilweise")))))</f>
        <v>Lift</v>
      </c>
      <c r="BE194" s="55" t="str">
        <f aca="false">IF(AP194&lt;=0,"",IF(BY194="Aussen","Aussenlager",IF(BY194="-","Nicht im Lift",IF(AU194&gt;=1,"Lift",IF(AU194&lt;=0,"Aussenlager","teilweise")))))</f>
        <v>Lift</v>
      </c>
      <c r="BF194" s="55" t="str">
        <f aca="false">IF(AX194&lt;=0,"",IF(BY194="Aussen","Aussenlager",IF(BY194="-","Nicht im Lift",IF(BC194&gt;=1,"Lift",IF(BC194&lt;=0,"Aussenlager","teilweise")))))</f>
        <v>Lift</v>
      </c>
      <c r="BG194" s="55" t="str">
        <f aca="false">IF(A194="","",IF(BP194=1,"Neu; ","")&amp;IF(AND(BP194=0,BK194&lt;0),"negativer Bestand (Export "&amp;BK194&amp;"); ","")&amp;IF(J194&lt;=0,"Kein Verbrauch; ","")&amp;IF(CH194&gt;0,"Lift "&amp;W194&amp;" lt. Liftbericht (Fach "&amp;X194&amp;" Stk); ",IF(BU194=1,"Gebinde geschätzt ("&amp;T194&amp;"); ",IF(BT194=1,"Lose – Tablare geschätzt; ","")))&amp;IF(H194&gt;AR194,"Überbestand "&amp;ROUND(H194-AR194,0)&amp;" Stk / CHF "&amp;ROUND((H194-AR194)*G194,0)&amp;"; ","")&amp;IF(AND(CA194=1,CB194&lt;CC194),"MAX &lt; MB+LG; ","")&amp;IF(AND(CG194&gt;0,CF194*10&gt;CG194),"zu hoch für Tablar; ","")&amp;IF(AND(BP194=0,OR(CA194=1,AA194&lt;&gt;"",U194&lt;&gt;"",V194&lt;&gt;"",AB194&lt;&gt;"")),"manuell übersteuert; ","")&amp;IF(AND(BT194=0,R194=0),"Gebinde unbekannt / Stellmass fehlt; ","")&amp;IF(AND(BT194=0,N(V194)&lt;=0,N(Q194)&lt;=0),"Menge pro Gebinde fehlt (Ist = 1 Gebinde); ","")&amp;BO194)</f>
        <v/>
      </c>
      <c r="BH194" s="55"/>
      <c r="BI194" s="55"/>
      <c r="BJ194" s="62"/>
      <c r="BK194" s="57" t="n">
        <v>86</v>
      </c>
      <c r="BL194" s="57" t="n">
        <v>44</v>
      </c>
      <c r="BM194" s="56" t="n">
        <v>842.36</v>
      </c>
      <c r="BN194" s="57" t="n">
        <v>153</v>
      </c>
      <c r="BO194" s="55"/>
      <c r="BP194" s="60" t="n">
        <v>0</v>
      </c>
      <c r="BQ194" s="60" t="n">
        <v>194</v>
      </c>
      <c r="BR194" s="55" t="str">
        <f aca="false">IF(U194&lt;&gt;"",UPPER(TRIM(U194)),IF(BU194=1,UPPER(VLOOKUP(T194,Parameter!$I$27:$K$29,2,0)),IF(P194="","LOSE",P194)))</f>
        <v>S32</v>
      </c>
      <c r="BS194" s="57" t="n">
        <f aca="false">IF(BR194="LOSE",1,IF(N(V194)&gt;0,V194,IF(BU194=1,MAX(1,N(VLOOKUP(T194,Parameter!$I$27:$K$29,3,0)),H194,N(N194)),IF(N(Q194)&gt;0,Q194,MAX(1,H194)))))</f>
        <v>75</v>
      </c>
      <c r="BT194" s="60" t="n">
        <f aca="false">IF(BR194="LOSE",1,0)</f>
        <v>0</v>
      </c>
      <c r="BU194" s="60" t="n">
        <f aca="false">IF(AND(U194="",OR(P194="",P194="LOSE"),T194&lt;&gt;"",N(S194)&lt;=0,ISNUMBER(MATCH(T194,Parameter!$I$27:$I$29,0))),1,0)</f>
        <v>0</v>
      </c>
      <c r="BV194" s="55" t="str">
        <f aca="false">IF(AND(Parameter!$B$19="Ja",E194&lt;&gt;"",ISNUMBER(MATCH(E194,Parameter!$I$35:$I$52,0))),VLOOKUP(E194,Parameter!$I$35:$J$52,2,0),IFERROR(VLOOKUP(D194,Parameter!$A$35:$C$64,2,0),"Nein"))</f>
        <v>2+3</v>
      </c>
      <c r="BW194" s="59" t="n">
        <f aca="false">IF(BT194=0,0,IF(N(S194)&gt;0,S194,IFERROR(VLOOKUP(D194,Parameter!$A$35:$C$64,3,0)+0,0)))</f>
        <v>0</v>
      </c>
      <c r="BX194" s="55" t="n">
        <f aca="false">IF(AA194&lt;&gt;"",AA194,Z194)</f>
        <v>3</v>
      </c>
      <c r="BY194" s="55" t="str">
        <f aca="false">IF(BX194=1,"L1",IF(OR(BX194=2,BX194=3),"L23",IF(BX194="Aussen","Aussen","-")))</f>
        <v>L23</v>
      </c>
      <c r="BZ194" s="66" t="n">
        <f aca="false">IF(N(AB194)&gt;0,AB194,0)</f>
        <v>0</v>
      </c>
      <c r="CA194" s="60" t="n">
        <f aca="false">IF(ISNUMBER(AE194),1,0)</f>
        <v>0</v>
      </c>
      <c r="CB194" s="57" t="n">
        <f aca="false">N(AE194)</f>
        <v>0</v>
      </c>
      <c r="CC194" s="57" t="n">
        <f aca="false">N(M194)+N(N194)</f>
        <v>158</v>
      </c>
      <c r="CD194" s="57" t="n">
        <f aca="false">ROUNDUP(H194/BS194,0)</f>
        <v>2</v>
      </c>
      <c r="CE194" s="57" t="n">
        <f aca="false">ROUNDUP(CB194/BS194,0)</f>
        <v>0</v>
      </c>
      <c r="CF194" s="60" t="n">
        <f aca="false">IF(BT194=1,0,IFERROR(VLOOKUP(BR194,'Gebinde-Kategorie'!$A$5:$M$45,5,0)+0,0))</f>
        <v>8</v>
      </c>
      <c r="CG194" s="60" t="n">
        <f aca="false">IFERROR(IF(OR(BX194=1,BX194=2,BX194=3),N(INDEX(Parameter!$I$5:$I$7,BX194)),0),0)</f>
        <v>0</v>
      </c>
      <c r="CH194" s="59" t="n">
        <f aca="false">IF(AND(Parameter!$B$21="Ja",ISNUMBER(W194),N(X194)&gt;0),IFERROR(N(INDEX(Parameter!$L$5:$L$7,W194))*INDEX(Parameter!$E$5:$E$7,W194)*X194/SUMIFS($X$7:$X$1843,$W$7:$W$1843,W194),0),0)</f>
        <v>0</v>
      </c>
    </row>
    <row r="195" customFormat="false" ht="15" hidden="false" customHeight="false" outlineLevel="0" collapsed="false">
      <c r="A195" s="55" t="s">
        <v>592</v>
      </c>
      <c r="B195" s="55" t="s">
        <v>489</v>
      </c>
      <c r="C195" s="55" t="s">
        <v>164</v>
      </c>
      <c r="D195" s="55" t="s">
        <v>184</v>
      </c>
      <c r="E195" s="55" t="s">
        <v>185</v>
      </c>
      <c r="F195" s="55" t="s">
        <v>218</v>
      </c>
      <c r="G195" s="56" t="n">
        <v>1.2</v>
      </c>
      <c r="H195" s="57" t="n">
        <f aca="false">MAX(0,IF(AND(Parameter!$B$21="Ja",ISNUMBER(Y195)),Y195,IF(Parameter!$B$20="Jahresanfang 2025 + Export",BL195+BK195,BK195)))</f>
        <v>1006</v>
      </c>
      <c r="I195" s="57" t="n">
        <f aca="false">H195*G195</f>
        <v>1207.2</v>
      </c>
      <c r="J195" s="57" t="n">
        <f aca="false">BN195*Parameter!$B$18</f>
        <v>1270</v>
      </c>
      <c r="K195" s="58" t="n">
        <v>400</v>
      </c>
      <c r="L195" s="59" t="n">
        <v>3.175</v>
      </c>
      <c r="M195" s="57" t="n">
        <v>49</v>
      </c>
      <c r="N195" s="57" t="n">
        <v>1270</v>
      </c>
      <c r="O195" s="60" t="n">
        <v>14</v>
      </c>
      <c r="P195" s="55" t="s">
        <v>476</v>
      </c>
      <c r="Q195" s="57" t="n">
        <v>666</v>
      </c>
      <c r="R195" s="60" t="n">
        <f aca="false">IF(BT195=1,0,IFERROR(VLOOKUP(BR195,'Gebinde-Kategorie'!$A$5:$M$45,13,0)+0,0))</f>
        <v>66</v>
      </c>
      <c r="S195" s="61"/>
      <c r="T195" s="62"/>
      <c r="U195" s="62"/>
      <c r="V195" s="62"/>
      <c r="W195" s="55"/>
      <c r="X195" s="57"/>
      <c r="Y195" s="57"/>
      <c r="Z195" s="55" t="n">
        <f aca="false">IF(A195="","",IF(AND(Parameter!$B$21="Ja",ISNUMBER(W195)),W195,IF(BV195="2+3",IF(ISNUMBER(SEARCH("grosser Artikel",BO195)),2,IFERROR(VLOOKUP(BR195,Parameter!$F$35:$G$64,2,0),2)),IF(OR(BV195="Nein",BV195=""),"-",BV195))))</f>
        <v>3</v>
      </c>
      <c r="AA195" s="62"/>
      <c r="AB195" s="63"/>
      <c r="AC195" s="57" t="n">
        <f aca="false">AR195</f>
        <v>1332</v>
      </c>
      <c r="AD195" s="57" t="n">
        <f aca="false">MAX(AR195,H195)</f>
        <v>1332</v>
      </c>
      <c r="AE195" s="64"/>
      <c r="AF195" s="57" t="n">
        <f aca="false">IF(LEFT(Cockpit!$C$5,1)="A",H195,IF(CA195=1,CB195,IF(LEFT(Cockpit!$C$5,1)="B",AJ195,MAX(AJ195,H195))))</f>
        <v>1006</v>
      </c>
      <c r="AG195" s="57" t="n">
        <f aca="false">IF(BT195=1,0,ROUNDUP(AF195/BS195,0))</f>
        <v>2</v>
      </c>
      <c r="AH195" s="59" t="n">
        <f aca="false">IF(CH195&gt;0,CH195*MAX(1,AF195/X195),IF(BT195=1,IF(AF195&lt;=0,0,BW195*MAX(1,IF(H195&gt;0,AF195/H195,1))),IF(R195&gt;0,AG195/R195,0))/MAX(0.1,N(Parameter!$M$21)))</f>
        <v>0.0303030303030303</v>
      </c>
      <c r="AI195" s="57" t="n">
        <f aca="false">AF195*G195</f>
        <v>1207.2</v>
      </c>
      <c r="AJ195" s="57" t="n">
        <f aca="false">ROUNDUP(MAX(J195/IF(BZ195&gt;0,BZ195,MAX(0.1,N(Cockpit!$C$6))),CC195)/BS195,0)*BS195</f>
        <v>1332</v>
      </c>
      <c r="AK195" s="58" t="n">
        <f aca="false">IF(AH195&gt;0,J195/AH195,-1)</f>
        <v>41910</v>
      </c>
      <c r="AL195" s="58" t="n">
        <f aca="false">IF(AND(OR(BY195="L1",BY195="L23"),AH195&gt;0),SUMIFS($AH$7:$AH$1843,$BY$7:$BY$1843,BY195,$AK$7:$AK$1843,"&gt;"&amp;AK195)+SUMIFS($AH$7:$AH$1843,$BY$7:$BY$1843,BY195,$AK$7:$AK$1843,AK195,$BQ$7:$BQ$1843,"&lt;="&amp;BQ195),"")</f>
        <v>2.05680551332725</v>
      </c>
      <c r="AM195" s="65" t="n">
        <f aca="false">IF(AL195="",0,MAX(0,MIN(1,(IF(BY195="L1",Parameter!$E$5,Parameter!$E$6+Parameter!$E$7)-(AL195-AH195))/AH195)))</f>
        <v>1</v>
      </c>
      <c r="AN195" s="57" t="n">
        <f aca="false">IF(LEFT(Cockpit!$I$5,1)="A",H195,IF(CA195=1,CB195,IF(LEFT(Cockpit!$I$5,1)="B",AR195,MAX(AR195,H195))))</f>
        <v>1332</v>
      </c>
      <c r="AO195" s="57" t="n">
        <f aca="false">IF(BT195=1,0,ROUNDUP(AN195/BS195,0))</f>
        <v>2</v>
      </c>
      <c r="AP195" s="59" t="n">
        <f aca="false">IF(CH195&gt;0,CH195*MAX(1,AN195/X195),IF(BT195=1,IF(AN195&lt;=0,0,BW195*MAX(1,IF(H195&gt;0,AN195/H195,1))),IF(R195&gt;0,AO195/R195,0))/MAX(0.1,N(Parameter!$M$21)))</f>
        <v>0.0303030303030303</v>
      </c>
      <c r="AQ195" s="57" t="n">
        <f aca="false">AN195*G195</f>
        <v>1598.4</v>
      </c>
      <c r="AR195" s="57" t="n">
        <f aca="false">ROUNDUP(MAX(J195/IF(BZ195&gt;0,BZ195,MAX(0.1,N(Cockpit!$I$6))),CC195)/BS195,0)*BS195</f>
        <v>1332</v>
      </c>
      <c r="AS195" s="58" t="n">
        <f aca="false">IF(AP195&gt;0,J195/AP195,-1)</f>
        <v>41910</v>
      </c>
      <c r="AT195" s="58" t="n">
        <f aca="false">IF(AND(OR(BY195="L1",BY195="L23"),AP195&gt;0),SUMIFS($AP$7:$AP$1843,$BY$7:$BY$1843,BY195,$AS$7:$AS$1843,"&gt;"&amp;AS195)+SUMIFS($AP$7:$AP$1843,$BY$7:$BY$1843,BY195,$AS$7:$AS$1843,AS195,$BQ$7:$BQ$1843,"&lt;="&amp;BQ195),"")</f>
        <v>1.97908009864532</v>
      </c>
      <c r="AU195" s="65" t="n">
        <f aca="false">IF(AT195="",0,MAX(0,MIN(1,(IF(BY195="L1",Parameter!$E$5,Parameter!$E$6+Parameter!$E$7)-(AT195-AP195))/AP195)))</f>
        <v>1</v>
      </c>
      <c r="AV195" s="57" t="n">
        <f aca="false">IF(LEFT(Cockpit!$O$5,1)="A",H195,IF(CA195=1,CB195,IF(LEFT(Cockpit!$O$5,1)="B",AZ195,MAX(AZ195,H195))))</f>
        <v>1332</v>
      </c>
      <c r="AW195" s="57" t="n">
        <f aca="false">IF(BT195=1,0,ROUNDUP(AV195/BS195,0))</f>
        <v>2</v>
      </c>
      <c r="AX195" s="59" t="n">
        <f aca="false">IF(CH195&gt;0,CH195*MAX(1,AV195/X195),IF(BT195=1,IF(AV195&lt;=0,0,BW195*MAX(1,IF(H195&gt;0,AV195/H195,1))),IF(R195&gt;0,AW195/R195,0))/MAX(0.1,N(Parameter!$M$21)))</f>
        <v>0.0303030303030303</v>
      </c>
      <c r="AY195" s="57" t="n">
        <f aca="false">AV195*G195</f>
        <v>1598.4</v>
      </c>
      <c r="AZ195" s="57" t="n">
        <f aca="false">ROUNDUP(MAX(J195/IF(BZ195&gt;0,BZ195,MAX(0.1,N(Cockpit!$O$6))),CC195)/BS195,0)*BS195</f>
        <v>1332</v>
      </c>
      <c r="BA195" s="58" t="n">
        <f aca="false">IF(AX195&gt;0,J195/AX195,-1)</f>
        <v>41910</v>
      </c>
      <c r="BB195" s="58" t="n">
        <f aca="false">IF(AND(OR(BY195="L1",BY195="L23"),AX195&gt;0),SUMIFS($AX$7:$AX$1843,$BY$7:$BY$1843,BY195,$BA$7:$BA$1843,"&gt;"&amp;BA195)+SUMIFS($AX$7:$AX$1843,$BY$7:$BY$1843,BY195,$BA$7:$BA$1843,BA195,$BQ$7:$BQ$1843,"&lt;="&amp;BQ195),"")</f>
        <v>2.27744839701361</v>
      </c>
      <c r="BC195" s="65" t="n">
        <f aca="false">IF(BB195="",0,MAX(0,MIN(1,(IF(BY195="L1",Parameter!$E$5,Parameter!$E$6+Parameter!$E$7)-(BB195-AX195))/AX195)))</f>
        <v>1</v>
      </c>
      <c r="BD195" s="55" t="str">
        <f aca="false">IF(AH195&lt;=0,"",IF(BY195="Aussen","Aussenlager",IF(BY195="-","Nicht im Lift",IF(AM195&gt;=1,"Lift",IF(AM195&lt;=0,"Aussenlager","teilweise")))))</f>
        <v>Lift</v>
      </c>
      <c r="BE195" s="55" t="str">
        <f aca="false">IF(AP195&lt;=0,"",IF(BY195="Aussen","Aussenlager",IF(BY195="-","Nicht im Lift",IF(AU195&gt;=1,"Lift",IF(AU195&lt;=0,"Aussenlager","teilweise")))))</f>
        <v>Lift</v>
      </c>
      <c r="BF195" s="55" t="str">
        <f aca="false">IF(AX195&lt;=0,"",IF(BY195="Aussen","Aussenlager",IF(BY195="-","Nicht im Lift",IF(BC195&gt;=1,"Lift",IF(BC195&lt;=0,"Aussenlager","teilweise")))))</f>
        <v>Lift</v>
      </c>
      <c r="BG195" s="55" t="str">
        <f aca="false">IF(A195="","",IF(BP195=1,"Neu; ","")&amp;IF(AND(BP195=0,BK195&lt;0),"negativer Bestand (Export "&amp;BK195&amp;"); ","")&amp;IF(J195&lt;=0,"Kein Verbrauch; ","")&amp;IF(CH195&gt;0,"Lift "&amp;W195&amp;" lt. Liftbericht (Fach "&amp;X195&amp;" Stk); ",IF(BU195=1,"Gebinde geschätzt ("&amp;T195&amp;"); ",IF(BT195=1,"Lose – Tablare geschätzt; ","")))&amp;IF(H195&gt;AR195,"Überbestand "&amp;ROUND(H195-AR195,0)&amp;" Stk / CHF "&amp;ROUND((H195-AR195)*G195,0)&amp;"; ","")&amp;IF(AND(CA195=1,CB195&lt;CC195),"MAX &lt; MB+LG; ","")&amp;IF(AND(CG195&gt;0,CF195*10&gt;CG195),"zu hoch für Tablar; ","")&amp;IF(AND(BP195=0,OR(CA195=1,AA195&lt;&gt;"",U195&lt;&gt;"",V195&lt;&gt;"",AB195&lt;&gt;"")),"manuell übersteuert; ","")&amp;IF(AND(BT195=0,R195=0),"Gebinde unbekannt / Stellmass fehlt; ","")&amp;IF(AND(BT195=0,N(V195)&lt;=0,N(Q195)&lt;=0),"Menge pro Gebinde fehlt (Ist = 1 Gebinde); ","")&amp;BO195)</f>
        <v/>
      </c>
      <c r="BH195" s="55"/>
      <c r="BI195" s="55"/>
      <c r="BJ195" s="62"/>
      <c r="BK195" s="57" t="n">
        <v>746</v>
      </c>
      <c r="BL195" s="57" t="n">
        <v>260</v>
      </c>
      <c r="BM195" s="56" t="n">
        <v>830.199999999999</v>
      </c>
      <c r="BN195" s="57" t="n">
        <v>1270</v>
      </c>
      <c r="BO195" s="55"/>
      <c r="BP195" s="60" t="n">
        <v>0</v>
      </c>
      <c r="BQ195" s="60" t="n">
        <v>195</v>
      </c>
      <c r="BR195" s="55" t="str">
        <f aca="false">IF(U195&lt;&gt;"",UPPER(TRIM(U195)),IF(BU195=1,UPPER(VLOOKUP(T195,Parameter!$I$27:$K$29,2,0)),IF(P195="","LOSE",P195)))</f>
        <v>S33</v>
      </c>
      <c r="BS195" s="57" t="n">
        <f aca="false">IF(BR195="LOSE",1,IF(N(V195)&gt;0,V195,IF(BU195=1,MAX(1,N(VLOOKUP(T195,Parameter!$I$27:$K$29,3,0)),H195,N(N195)),IF(N(Q195)&gt;0,Q195,MAX(1,H195)))))</f>
        <v>666</v>
      </c>
      <c r="BT195" s="60" t="n">
        <f aca="false">IF(BR195="LOSE",1,0)</f>
        <v>0</v>
      </c>
      <c r="BU195" s="60" t="n">
        <f aca="false">IF(AND(U195="",OR(P195="",P195="LOSE"),T195&lt;&gt;"",N(S195)&lt;=0,ISNUMBER(MATCH(T195,Parameter!$I$27:$I$29,0))),1,0)</f>
        <v>0</v>
      </c>
      <c r="BV195" s="55" t="str">
        <f aca="false">IF(AND(Parameter!$B$19="Ja",E195&lt;&gt;"",ISNUMBER(MATCH(E195,Parameter!$I$35:$I$52,0))),VLOOKUP(E195,Parameter!$I$35:$J$52,2,0),IFERROR(VLOOKUP(D195,Parameter!$A$35:$C$64,2,0),"Nein"))</f>
        <v>2+3</v>
      </c>
      <c r="BW195" s="59" t="n">
        <f aca="false">IF(BT195=0,0,IF(N(S195)&gt;0,S195,IFERROR(VLOOKUP(D195,Parameter!$A$35:$C$64,3,0)+0,0)))</f>
        <v>0</v>
      </c>
      <c r="BX195" s="55" t="n">
        <f aca="false">IF(AA195&lt;&gt;"",AA195,Z195)</f>
        <v>3</v>
      </c>
      <c r="BY195" s="55" t="str">
        <f aca="false">IF(BX195=1,"L1",IF(OR(BX195=2,BX195=3),"L23",IF(BX195="Aussen","Aussen","-")))</f>
        <v>L23</v>
      </c>
      <c r="BZ195" s="66" t="n">
        <f aca="false">IF(N(AB195)&gt;0,AB195,0)</f>
        <v>0</v>
      </c>
      <c r="CA195" s="60" t="n">
        <f aca="false">IF(ISNUMBER(AE195),1,0)</f>
        <v>0</v>
      </c>
      <c r="CB195" s="57" t="n">
        <f aca="false">N(AE195)</f>
        <v>0</v>
      </c>
      <c r="CC195" s="57" t="n">
        <f aca="false">N(M195)+N(N195)</f>
        <v>1319</v>
      </c>
      <c r="CD195" s="57" t="n">
        <f aca="false">ROUNDUP(H195/BS195,0)</f>
        <v>2</v>
      </c>
      <c r="CE195" s="57" t="n">
        <f aca="false">ROUNDUP(CB195/BS195,0)</f>
        <v>0</v>
      </c>
      <c r="CF195" s="60" t="n">
        <f aca="false">IF(BT195=1,0,IFERROR(VLOOKUP(BR195,'Gebinde-Kategorie'!$A$5:$M$45,5,0)+0,0))</f>
        <v>8</v>
      </c>
      <c r="CG195" s="60" t="n">
        <f aca="false">IFERROR(IF(OR(BX195=1,BX195=2,BX195=3),N(INDEX(Parameter!$I$5:$I$7,BX195)),0),0)</f>
        <v>0</v>
      </c>
      <c r="CH195" s="59" t="n">
        <f aca="false">IF(AND(Parameter!$B$21="Ja",ISNUMBER(W195),N(X195)&gt;0),IFERROR(N(INDEX(Parameter!$L$5:$L$7,W195))*INDEX(Parameter!$E$5:$E$7,W195)*X195/SUMIFS($X$7:$X$1843,$W$7:$W$1843,W195),0),0)</f>
        <v>0</v>
      </c>
    </row>
    <row r="196" customFormat="false" ht="15" hidden="false" customHeight="false" outlineLevel="0" collapsed="false">
      <c r="A196" s="55" t="s">
        <v>593</v>
      </c>
      <c r="B196" s="55" t="s">
        <v>594</v>
      </c>
      <c r="C196" s="55" t="s">
        <v>164</v>
      </c>
      <c r="D196" s="55" t="s">
        <v>184</v>
      </c>
      <c r="E196" s="55"/>
      <c r="F196" s="55" t="s">
        <v>218</v>
      </c>
      <c r="G196" s="56" t="n">
        <v>34.52</v>
      </c>
      <c r="H196" s="57" t="n">
        <f aca="false">MAX(0,IF(AND(Parameter!$B$21="Ja",ISNUMBER(Y196)),Y196,IF(Parameter!$B$20="Jahresanfang 2025 + Export",BL196+BK196,BK196)))</f>
        <v>24</v>
      </c>
      <c r="I196" s="57" t="n">
        <f aca="false">H196*G196</f>
        <v>828.48</v>
      </c>
      <c r="J196" s="57" t="n">
        <f aca="false">BN196*Parameter!$B$18</f>
        <v>0</v>
      </c>
      <c r="K196" s="58" t="n">
        <v>0</v>
      </c>
      <c r="L196" s="59" t="n">
        <v>0</v>
      </c>
      <c r="M196" s="57" t="n">
        <v>0</v>
      </c>
      <c r="N196" s="57" t="n">
        <v>1</v>
      </c>
      <c r="O196" s="60" t="n">
        <v>9999</v>
      </c>
      <c r="P196" s="55" t="s">
        <v>168</v>
      </c>
      <c r="Q196" s="57"/>
      <c r="R196" s="60" t="n">
        <f aca="false">IF(BT196=1,0,IFERROR(VLOOKUP(BR196,'Gebinde-Kategorie'!$A$5:$M$45,13,0)+0,0))</f>
        <v>26</v>
      </c>
      <c r="S196" s="61"/>
      <c r="T196" s="62" t="s">
        <v>275</v>
      </c>
      <c r="U196" s="62"/>
      <c r="V196" s="62"/>
      <c r="W196" s="55"/>
      <c r="X196" s="57"/>
      <c r="Y196" s="57"/>
      <c r="Z196" s="55" t="n">
        <f aca="false">IF(A196="","",IF(AND(Parameter!$B$21="Ja",ISNUMBER(W196)),W196,IF(BV196="2+3",IF(ISNUMBER(SEARCH("grosser Artikel",BO196)),2,IFERROR(VLOOKUP(BR196,Parameter!$F$35:$G$64,2,0),2)),IF(OR(BV196="Nein",BV196=""),"-",BV196))))</f>
        <v>3</v>
      </c>
      <c r="AA196" s="62"/>
      <c r="AB196" s="63"/>
      <c r="AC196" s="57" t="n">
        <f aca="false">AR196</f>
        <v>24</v>
      </c>
      <c r="AD196" s="57" t="n">
        <f aca="false">MAX(AR196,H196)</f>
        <v>24</v>
      </c>
      <c r="AE196" s="64"/>
      <c r="AF196" s="57" t="n">
        <f aca="false">IF(LEFT(Cockpit!$C$5,1)="A",H196,IF(CA196=1,CB196,IF(LEFT(Cockpit!$C$5,1)="B",AJ196,MAX(AJ196,H196))))</f>
        <v>24</v>
      </c>
      <c r="AG196" s="57" t="n">
        <f aca="false">IF(BT196=1,0,ROUNDUP(AF196/BS196,0))</f>
        <v>1</v>
      </c>
      <c r="AH196" s="59" t="n">
        <f aca="false">IF(CH196&gt;0,CH196*MAX(1,AF196/X196),IF(BT196=1,IF(AF196&lt;=0,0,BW196*MAX(1,IF(H196&gt;0,AF196/H196,1))),IF(R196&gt;0,AG196/R196,0))/MAX(0.1,N(Parameter!$M$21)))</f>
        <v>0.0384615384615385</v>
      </c>
      <c r="AI196" s="57" t="n">
        <f aca="false">AF196*G196</f>
        <v>828.48</v>
      </c>
      <c r="AJ196" s="57" t="n">
        <f aca="false">ROUNDUP(MAX(J196/IF(BZ196&gt;0,BZ196,MAX(0.1,N(Cockpit!$C$6))),CC196)/BS196,0)*BS196</f>
        <v>24</v>
      </c>
      <c r="AK196" s="58" t="n">
        <f aca="false">IF(AH196&gt;0,J196/AH196,-1)</f>
        <v>0</v>
      </c>
      <c r="AL196" s="58" t="n">
        <f aca="false">IF(AND(OR(BY196="L1",BY196="L23"),AH196&gt;0),SUMIFS($AH$7:$AH$1843,$BY$7:$BY$1843,BY196,$AK$7:$AK$1843,"&gt;"&amp;AK196)+SUMIFS($AH$7:$AH$1843,$BY$7:$BY$1843,BY196,$AK$7:$AK$1843,AK196,$BQ$7:$BQ$1843,"&lt;="&amp;BQ196),"")</f>
        <v>70.5098983142461</v>
      </c>
      <c r="AM196" s="65" t="n">
        <f aca="false">IF(AL196="",0,MAX(0,MIN(1,(IF(BY196="L1",Parameter!$E$5,Parameter!$E$6+Parameter!$E$7)-(AL196-AH196))/AH196)))</f>
        <v>1</v>
      </c>
      <c r="AN196" s="57" t="n">
        <f aca="false">IF(LEFT(Cockpit!$I$5,1)="A",H196,IF(CA196=1,CB196,IF(LEFT(Cockpit!$I$5,1)="B",AR196,MAX(AR196,H196))))</f>
        <v>24</v>
      </c>
      <c r="AO196" s="57" t="n">
        <f aca="false">IF(BT196=1,0,ROUNDUP(AN196/BS196,0))</f>
        <v>1</v>
      </c>
      <c r="AP196" s="59" t="n">
        <f aca="false">IF(CH196&gt;0,CH196*MAX(1,AN196/X196),IF(BT196=1,IF(AN196&lt;=0,0,BW196*MAX(1,IF(H196&gt;0,AN196/H196,1))),IF(R196&gt;0,AO196/R196,0))/MAX(0.1,N(Parameter!$M$21)))</f>
        <v>0.0384615384615385</v>
      </c>
      <c r="AQ196" s="57" t="n">
        <f aca="false">AN196*G196</f>
        <v>828.48</v>
      </c>
      <c r="AR196" s="57" t="n">
        <f aca="false">ROUNDUP(MAX(J196/IF(BZ196&gt;0,BZ196,MAX(0.1,N(Cockpit!$I$6))),CC196)/BS196,0)*BS196</f>
        <v>24</v>
      </c>
      <c r="AS196" s="58" t="n">
        <f aca="false">IF(AP196&gt;0,J196/AP196,-1)</f>
        <v>0</v>
      </c>
      <c r="AT196" s="58" t="n">
        <f aca="false">IF(AND(OR(BY196="L1",BY196="L23"),AP196&gt;0),SUMIFS($AP$7:$AP$1843,$BY$7:$BY$1843,BY196,$AS$7:$AS$1843,"&gt;"&amp;AS196)+SUMIFS($AP$7:$AP$1843,$BY$7:$BY$1843,BY196,$AS$7:$AS$1843,AS196,$BQ$7:$BQ$1843,"&lt;="&amp;BQ196),"")</f>
        <v>109.93402249924</v>
      </c>
      <c r="AU196" s="65" t="n">
        <f aca="false">IF(AT196="",0,MAX(0,MIN(1,(IF(BY196="L1",Parameter!$E$5,Parameter!$E$6+Parameter!$E$7)-(AT196-AP196))/AP196)))</f>
        <v>0</v>
      </c>
      <c r="AV196" s="57" t="n">
        <f aca="false">IF(LEFT(Cockpit!$O$5,1)="A",H196,IF(CA196=1,CB196,IF(LEFT(Cockpit!$O$5,1)="B",AZ196,MAX(AZ196,H196))))</f>
        <v>24</v>
      </c>
      <c r="AW196" s="57" t="n">
        <f aca="false">IF(BT196=1,0,ROUNDUP(AV196/BS196,0))</f>
        <v>1</v>
      </c>
      <c r="AX196" s="59" t="n">
        <f aca="false">IF(CH196&gt;0,CH196*MAX(1,AV196/X196),IF(BT196=1,IF(AV196&lt;=0,0,BW196*MAX(1,IF(H196&gt;0,AV196/H196,1))),IF(R196&gt;0,AW196/R196,0))/MAX(0.1,N(Parameter!$M$21)))</f>
        <v>0.0384615384615385</v>
      </c>
      <c r="AY196" s="57" t="n">
        <f aca="false">AV196*G196</f>
        <v>828.48</v>
      </c>
      <c r="AZ196" s="57" t="n">
        <f aca="false">ROUNDUP(MAX(J196/IF(BZ196&gt;0,BZ196,MAX(0.1,N(Cockpit!$O$6))),CC196)/BS196,0)*BS196</f>
        <v>24</v>
      </c>
      <c r="BA196" s="58" t="n">
        <f aca="false">IF(AX196&gt;0,J196/AX196,-1)</f>
        <v>0</v>
      </c>
      <c r="BB196" s="58" t="n">
        <f aca="false">IF(AND(OR(BY196="L1",BY196="L23"),AX196&gt;0),SUMIFS($AX$7:$AX$1843,$BY$7:$BY$1843,BY196,$BA$7:$BA$1843,"&gt;"&amp;BA196)+SUMIFS($AX$7:$AX$1843,$BY$7:$BY$1843,BY196,$BA$7:$BA$1843,BA196,$BQ$7:$BQ$1843,"&lt;="&amp;BQ196),"")</f>
        <v>100.763859329077</v>
      </c>
      <c r="BC196" s="65" t="n">
        <f aca="false">IF(BB196="",0,MAX(0,MIN(1,(IF(BY196="L1",Parameter!$E$5,Parameter!$E$6+Parameter!$E$7)-(BB196-AX196))/AX196)))</f>
        <v>0</v>
      </c>
      <c r="BD196" s="55" t="str">
        <f aca="false">IF(AH196&lt;=0,"",IF(BY196="Aussen","Aussenlager",IF(BY196="-","Nicht im Lift",IF(AM196&gt;=1,"Lift",IF(AM196&lt;=0,"Aussenlager","teilweise")))))</f>
        <v>Lift</v>
      </c>
      <c r="BE196" s="55" t="str">
        <f aca="false">IF(AP196&lt;=0,"",IF(BY196="Aussen","Aussenlager",IF(BY196="-","Nicht im Lift",IF(AU196&gt;=1,"Lift",IF(AU196&lt;=0,"Aussenlager","teilweise")))))</f>
        <v>Aussenlager</v>
      </c>
      <c r="BF196" s="55" t="str">
        <f aca="false">IF(AX196&lt;=0,"",IF(BY196="Aussen","Aussenlager",IF(BY196="-","Nicht im Lift",IF(BC196&gt;=1,"Lift",IF(BC196&lt;=0,"Aussenlager","teilweise")))))</f>
        <v>Aussenlager</v>
      </c>
      <c r="BG196" s="55" t="str">
        <f aca="false">IF(A196="","",IF(BP196=1,"Neu; ","")&amp;IF(AND(BP196=0,BK196&lt;0),"negativer Bestand (Export "&amp;BK196&amp;"); ","")&amp;IF(J196&lt;=0,"Kein Verbrauch; ","")&amp;IF(CH196&gt;0,"Lift "&amp;W196&amp;" lt. Liftbericht (Fach "&amp;X196&amp;" Stk); ",IF(BU196=1,"Gebinde geschätzt ("&amp;T196&amp;"); ",IF(BT196=1,"Lose – Tablare geschätzt; ","")))&amp;IF(H196&gt;AR196,"Überbestand "&amp;ROUND(H196-AR196,0)&amp;" Stk / CHF "&amp;ROUND((H196-AR196)*G196,0)&amp;"; ","")&amp;IF(AND(CA196=1,CB196&lt;CC196),"MAX &lt; MB+LG; ","")&amp;IF(AND(CG196&gt;0,CF196*10&gt;CG196),"zu hoch für Tablar; ","")&amp;IF(AND(BP196=0,OR(CA196=1,AA196&lt;&gt;"",U196&lt;&gt;"",V196&lt;&gt;"",AB196&lt;&gt;"")),"manuell übersteuert; ","")&amp;IF(AND(BT196=0,R196=0),"Gebinde unbekannt / Stellmass fehlt; ","")&amp;IF(AND(BT196=0,N(V196)&lt;=0,N(Q196)&lt;=0),"Menge pro Gebinde fehlt (Ist = 1 Gebinde); ","")&amp;BO196)</f>
        <v>Kein Verbrauch; Gebinde geschätzt (Klein); Menge pro Gebinde fehlt (Ist = 1 Gebinde); </v>
      </c>
      <c r="BH196" s="55"/>
      <c r="BI196" s="55"/>
      <c r="BJ196" s="62"/>
      <c r="BK196" s="57" t="n">
        <v>24</v>
      </c>
      <c r="BL196" s="57" t="n">
        <v>0</v>
      </c>
      <c r="BM196" s="56" t="n">
        <v>828.48</v>
      </c>
      <c r="BN196" s="57" t="n">
        <v>0</v>
      </c>
      <c r="BO196" s="55"/>
      <c r="BP196" s="60" t="n">
        <v>0</v>
      </c>
      <c r="BQ196" s="60" t="n">
        <v>196</v>
      </c>
      <c r="BR196" s="55" t="str">
        <f aca="false">IF(U196&lt;&gt;"",UPPER(TRIM(U196)),IF(BU196=1,UPPER(VLOOKUP(T196,Parameter!$I$27:$K$29,2,0)),IF(P196="","LOSE",P196)))</f>
        <v>S51</v>
      </c>
      <c r="BS196" s="57" t="n">
        <f aca="false">IF(BR196="LOSE",1,IF(N(V196)&gt;0,V196,IF(BU196=1,MAX(1,N(VLOOKUP(T196,Parameter!$I$27:$K$29,3,0)),H196,N(N196)),IF(N(Q196)&gt;0,Q196,MAX(1,H196)))))</f>
        <v>24</v>
      </c>
      <c r="BT196" s="60" t="n">
        <f aca="false">IF(BR196="LOSE",1,0)</f>
        <v>0</v>
      </c>
      <c r="BU196" s="60" t="n">
        <f aca="false">IF(AND(U196="",OR(P196="",P196="LOSE"),T196&lt;&gt;"",N(S196)&lt;=0,ISNUMBER(MATCH(T196,Parameter!$I$27:$I$29,0))),1,0)</f>
        <v>1</v>
      </c>
      <c r="BV196" s="55" t="str">
        <f aca="false">IF(AND(Parameter!$B$19="Ja",E196&lt;&gt;"",ISNUMBER(MATCH(E196,Parameter!$I$35:$I$52,0))),VLOOKUP(E196,Parameter!$I$35:$J$52,2,0),IFERROR(VLOOKUP(D196,Parameter!$A$35:$C$64,2,0),"Nein"))</f>
        <v>2+3</v>
      </c>
      <c r="BW196" s="59" t="n">
        <f aca="false">IF(BT196=0,0,IF(N(S196)&gt;0,S196,IFERROR(VLOOKUP(D196,Parameter!$A$35:$C$64,3,0)+0,0)))</f>
        <v>0</v>
      </c>
      <c r="BX196" s="55" t="n">
        <f aca="false">IF(AA196&lt;&gt;"",AA196,Z196)</f>
        <v>3</v>
      </c>
      <c r="BY196" s="55" t="str">
        <f aca="false">IF(BX196=1,"L1",IF(OR(BX196=2,BX196=3),"L23",IF(BX196="Aussen","Aussen","-")))</f>
        <v>L23</v>
      </c>
      <c r="BZ196" s="66" t="n">
        <f aca="false">IF(N(AB196)&gt;0,AB196,0)</f>
        <v>0</v>
      </c>
      <c r="CA196" s="60" t="n">
        <f aca="false">IF(ISNUMBER(AE196),1,0)</f>
        <v>0</v>
      </c>
      <c r="CB196" s="57" t="n">
        <f aca="false">N(AE196)</f>
        <v>0</v>
      </c>
      <c r="CC196" s="57" t="n">
        <f aca="false">N(M196)+N(N196)</f>
        <v>1</v>
      </c>
      <c r="CD196" s="57" t="n">
        <f aca="false">ROUNDUP(H196/BS196,0)</f>
        <v>1</v>
      </c>
      <c r="CE196" s="57" t="n">
        <f aca="false">ROUNDUP(CB196/BS196,0)</f>
        <v>0</v>
      </c>
      <c r="CF196" s="60" t="n">
        <f aca="false">IF(BT196=1,0,IFERROR(VLOOKUP(BR196,'Gebinde-Kategorie'!$A$5:$M$45,5,0)+0,0))</f>
        <v>11</v>
      </c>
      <c r="CG196" s="60" t="n">
        <f aca="false">IFERROR(IF(OR(BX196=1,BX196=2,BX196=3),N(INDEX(Parameter!$I$5:$I$7,BX196)),0),0)</f>
        <v>0</v>
      </c>
      <c r="CH196" s="59" t="n">
        <f aca="false">IF(AND(Parameter!$B$21="Ja",ISNUMBER(W196),N(X196)&gt;0),IFERROR(N(INDEX(Parameter!$L$5:$L$7,W196))*INDEX(Parameter!$E$5:$E$7,W196)*X196/SUMIFS($X$7:$X$1843,$W$7:$W$1843,W196),0),0)</f>
        <v>0</v>
      </c>
    </row>
    <row r="197" customFormat="false" ht="15" hidden="false" customHeight="false" outlineLevel="0" collapsed="false">
      <c r="A197" s="55" t="s">
        <v>595</v>
      </c>
      <c r="B197" s="55" t="s">
        <v>596</v>
      </c>
      <c r="C197" s="55" t="s">
        <v>164</v>
      </c>
      <c r="D197" s="55" t="s">
        <v>184</v>
      </c>
      <c r="E197" s="55" t="s">
        <v>185</v>
      </c>
      <c r="F197" s="55" t="s">
        <v>218</v>
      </c>
      <c r="G197" s="56" t="n">
        <v>25.14</v>
      </c>
      <c r="H197" s="57" t="n">
        <f aca="false">MAX(0,IF(AND(Parameter!$B$21="Ja",ISNUMBER(Y197)),Y197,IF(Parameter!$B$20="Jahresanfang 2025 + Export",BL197+BK197,BK197)))</f>
        <v>112</v>
      </c>
      <c r="I197" s="57" t="n">
        <f aca="false">H197*G197</f>
        <v>2815.68</v>
      </c>
      <c r="J197" s="57" t="n">
        <f aca="false">BN197*Parameter!$B$18</f>
        <v>112</v>
      </c>
      <c r="K197" s="58" t="n">
        <v>123</v>
      </c>
      <c r="L197" s="59" t="n">
        <v>0.910569105691057</v>
      </c>
      <c r="M197" s="57" t="n">
        <v>26</v>
      </c>
      <c r="N197" s="57" t="n">
        <v>110</v>
      </c>
      <c r="O197" s="60" t="n">
        <v>84</v>
      </c>
      <c r="P197" s="55" t="s">
        <v>328</v>
      </c>
      <c r="Q197" s="57" t="n">
        <v>19</v>
      </c>
      <c r="R197" s="60" t="n">
        <f aca="false">IF(BT197=1,0,IFERROR(VLOOKUP(BR197,'Gebinde-Kategorie'!$A$5:$M$45,13,0)+0,0))</f>
        <v>52</v>
      </c>
      <c r="S197" s="61"/>
      <c r="T197" s="62"/>
      <c r="U197" s="62"/>
      <c r="V197" s="62"/>
      <c r="W197" s="55"/>
      <c r="X197" s="57"/>
      <c r="Y197" s="57"/>
      <c r="Z197" s="55" t="n">
        <f aca="false">IF(A197="","",IF(AND(Parameter!$B$21="Ja",ISNUMBER(W197)),W197,IF(BV197="2+3",IF(ISNUMBER(SEARCH("grosser Artikel",BO197)),2,IFERROR(VLOOKUP(BR197,Parameter!$F$35:$G$64,2,0),2)),IF(OR(BV197="Nein",BV197=""),"-",BV197))))</f>
        <v>3</v>
      </c>
      <c r="AA197" s="62"/>
      <c r="AB197" s="63"/>
      <c r="AC197" s="57" t="n">
        <f aca="false">AR197</f>
        <v>152</v>
      </c>
      <c r="AD197" s="57" t="n">
        <f aca="false">MAX(AR197,H197)</f>
        <v>152</v>
      </c>
      <c r="AE197" s="64"/>
      <c r="AF197" s="57" t="n">
        <f aca="false">IF(LEFT(Cockpit!$C$5,1)="A",H197,IF(CA197=1,CB197,IF(LEFT(Cockpit!$C$5,1)="B",AJ197,MAX(AJ197,H197))))</f>
        <v>112</v>
      </c>
      <c r="AG197" s="57" t="n">
        <f aca="false">IF(BT197=1,0,ROUNDUP(AF197/BS197,0))</f>
        <v>6</v>
      </c>
      <c r="AH197" s="59" t="n">
        <f aca="false">IF(CH197&gt;0,CH197*MAX(1,AF197/X197),IF(BT197=1,IF(AF197&lt;=0,0,BW197*MAX(1,IF(H197&gt;0,AF197/H197,1))),IF(R197&gt;0,AG197/R197,0))/MAX(0.1,N(Parameter!$M$21)))</f>
        <v>0.115384615384615</v>
      </c>
      <c r="AI197" s="57" t="n">
        <f aca="false">AF197*G197</f>
        <v>2815.68</v>
      </c>
      <c r="AJ197" s="57" t="n">
        <f aca="false">ROUNDUP(MAX(J197/IF(BZ197&gt;0,BZ197,MAX(0.1,N(Cockpit!$C$6))),CC197)/BS197,0)*BS197</f>
        <v>152</v>
      </c>
      <c r="AK197" s="58" t="n">
        <f aca="false">IF(AH197&gt;0,J197/AH197,-1)</f>
        <v>970.666666666667</v>
      </c>
      <c r="AL197" s="58" t="n">
        <f aca="false">IF(AND(OR(BY197="L1",BY197="L23"),AH197&gt;0),SUMIFS($AH$7:$AH$1843,$BY$7:$BY$1843,BY197,$AK$7:$AK$1843,"&gt;"&amp;AK197)+SUMIFS($AH$7:$AH$1843,$BY$7:$BY$1843,BY197,$AK$7:$AK$1843,AK197,$BQ$7:$BQ$1843,"&lt;="&amp;BQ197),"")</f>
        <v>18.1907705820749</v>
      </c>
      <c r="AM197" s="65" t="n">
        <f aca="false">IF(AL197="",0,MAX(0,MIN(1,(IF(BY197="L1",Parameter!$E$5,Parameter!$E$6+Parameter!$E$7)-(AL197-AH197))/AH197)))</f>
        <v>1</v>
      </c>
      <c r="AN197" s="57" t="n">
        <f aca="false">IF(LEFT(Cockpit!$I$5,1)="A",H197,IF(CA197=1,CB197,IF(LEFT(Cockpit!$I$5,1)="B",AR197,MAX(AR197,H197))))</f>
        <v>152</v>
      </c>
      <c r="AO197" s="57" t="n">
        <f aca="false">IF(BT197=1,0,ROUNDUP(AN197/BS197,0))</f>
        <v>8</v>
      </c>
      <c r="AP197" s="59" t="n">
        <f aca="false">IF(CH197&gt;0,CH197*MAX(1,AN197/X197),IF(BT197=1,IF(AN197&lt;=0,0,BW197*MAX(1,IF(H197&gt;0,AN197/H197,1))),IF(R197&gt;0,AO197/R197,0))/MAX(0.1,N(Parameter!$M$21)))</f>
        <v>0.153846153846154</v>
      </c>
      <c r="AQ197" s="57" t="n">
        <f aca="false">AN197*G197</f>
        <v>3821.28</v>
      </c>
      <c r="AR197" s="57" t="n">
        <f aca="false">ROUNDUP(MAX(J197/IF(BZ197&gt;0,BZ197,MAX(0.1,N(Cockpit!$I$6))),CC197)/BS197,0)*BS197</f>
        <v>152</v>
      </c>
      <c r="AS197" s="58" t="n">
        <f aca="false">IF(AP197&gt;0,J197/AP197,-1)</f>
        <v>728</v>
      </c>
      <c r="AT197" s="58" t="n">
        <f aca="false">IF(AND(OR(BY197="L1",BY197="L23"),AP197&gt;0),SUMIFS($AP$7:$AP$1843,$BY$7:$BY$1843,BY197,$AS$7:$AS$1843,"&gt;"&amp;AS197)+SUMIFS($AP$7:$AP$1843,$BY$7:$BY$1843,BY197,$AS$7:$AS$1843,AS197,$BQ$7:$BQ$1843,"&lt;="&amp;BQ197),"")</f>
        <v>27.7018175061653</v>
      </c>
      <c r="AU197" s="65" t="n">
        <f aca="false">IF(AT197="",0,MAX(0,MIN(1,(IF(BY197="L1",Parameter!$E$5,Parameter!$E$6+Parameter!$E$7)-(AT197-AP197))/AP197)))</f>
        <v>1</v>
      </c>
      <c r="AV197" s="57" t="n">
        <f aca="false">IF(LEFT(Cockpit!$O$5,1)="A",H197,IF(CA197=1,CB197,IF(LEFT(Cockpit!$O$5,1)="B",AZ197,MAX(AZ197,H197))))</f>
        <v>152</v>
      </c>
      <c r="AW197" s="57" t="n">
        <f aca="false">IF(BT197=1,0,ROUNDUP(AV197/BS197,0))</f>
        <v>8</v>
      </c>
      <c r="AX197" s="59" t="n">
        <f aca="false">IF(CH197&gt;0,CH197*MAX(1,AV197/X197),IF(BT197=1,IF(AV197&lt;=0,0,BW197*MAX(1,IF(H197&gt;0,AV197/H197,1))),IF(R197&gt;0,AW197/R197,0))/MAX(0.1,N(Parameter!$M$21)))</f>
        <v>0.153846153846154</v>
      </c>
      <c r="AY197" s="57" t="n">
        <f aca="false">AV197*G197</f>
        <v>3821.28</v>
      </c>
      <c r="AZ197" s="57" t="n">
        <f aca="false">ROUNDUP(MAX(J197/IF(BZ197&gt;0,BZ197,MAX(0.1,N(Cockpit!$O$6))),CC197)/BS197,0)*BS197</f>
        <v>152</v>
      </c>
      <c r="BA197" s="58" t="n">
        <f aca="false">IF(AX197&gt;0,J197/AX197,-1)</f>
        <v>728</v>
      </c>
      <c r="BB197" s="58" t="n">
        <f aca="false">IF(AND(OR(BY197="L1",BY197="L23"),AX197&gt;0),SUMIFS($AX$7:$AX$1843,$BY$7:$BY$1843,BY197,$BA$7:$BA$1843,"&gt;"&amp;BA197)+SUMIFS($AX$7:$AX$1843,$BY$7:$BY$1843,BY197,$BA$7:$BA$1843,BA197,$BQ$7:$BQ$1843,"&lt;="&amp;BQ197),"")</f>
        <v>27.4867825411304</v>
      </c>
      <c r="BC197" s="65" t="n">
        <f aca="false">IF(BB197="",0,MAX(0,MIN(1,(IF(BY197="L1",Parameter!$E$5,Parameter!$E$6+Parameter!$E$7)-(BB197-AX197))/AX197)))</f>
        <v>1</v>
      </c>
      <c r="BD197" s="55" t="str">
        <f aca="false">IF(AH197&lt;=0,"",IF(BY197="Aussen","Aussenlager",IF(BY197="-","Nicht im Lift",IF(AM197&gt;=1,"Lift",IF(AM197&lt;=0,"Aussenlager","teilweise")))))</f>
        <v>Lift</v>
      </c>
      <c r="BE197" s="55" t="str">
        <f aca="false">IF(AP197&lt;=0,"",IF(BY197="Aussen","Aussenlager",IF(BY197="-","Nicht im Lift",IF(AU197&gt;=1,"Lift",IF(AU197&lt;=0,"Aussenlager","teilweise")))))</f>
        <v>Lift</v>
      </c>
      <c r="BF197" s="55" t="str">
        <f aca="false">IF(AX197&lt;=0,"",IF(BY197="Aussen","Aussenlager",IF(BY197="-","Nicht im Lift",IF(BC197&gt;=1,"Lift",IF(BC197&lt;=0,"Aussenlager","teilweise")))))</f>
        <v>Lift</v>
      </c>
      <c r="BG197" s="55" t="str">
        <f aca="false">IF(A197="","",IF(BP197=1,"Neu; ","")&amp;IF(AND(BP197=0,BK197&lt;0),"negativer Bestand (Export "&amp;BK197&amp;"); ","")&amp;IF(J197&lt;=0,"Kein Verbrauch; ","")&amp;IF(CH197&gt;0,"Lift "&amp;W197&amp;" lt. Liftbericht (Fach "&amp;X197&amp;" Stk); ",IF(BU197=1,"Gebinde geschätzt ("&amp;T197&amp;"); ",IF(BT197=1,"Lose – Tablare geschätzt; ","")))&amp;IF(H197&gt;AR197,"Überbestand "&amp;ROUND(H197-AR197,0)&amp;" Stk / CHF "&amp;ROUND((H197-AR197)*G197,0)&amp;"; ","")&amp;IF(AND(CA197=1,CB197&lt;CC197),"MAX &lt; MB+LG; ","")&amp;IF(AND(CG197&gt;0,CF197*10&gt;CG197),"zu hoch für Tablar; ","")&amp;IF(AND(BP197=0,OR(CA197=1,AA197&lt;&gt;"",U197&lt;&gt;"",V197&lt;&gt;"",AB197&lt;&gt;"")),"manuell übersteuert; ","")&amp;IF(AND(BT197=0,R197=0),"Gebinde unbekannt / Stellmass fehlt; ","")&amp;IF(AND(BT197=0,N(V197)&lt;=0,N(Q197)&lt;=0),"Menge pro Gebinde fehlt (Ist = 1 Gebinde); ","")&amp;BO197)</f>
        <v/>
      </c>
      <c r="BH197" s="55"/>
      <c r="BI197" s="55"/>
      <c r="BJ197" s="62"/>
      <c r="BK197" s="57" t="n">
        <v>52</v>
      </c>
      <c r="BL197" s="57" t="n">
        <v>60</v>
      </c>
      <c r="BM197" s="56" t="n">
        <v>819.519999999994</v>
      </c>
      <c r="BN197" s="57" t="n">
        <v>112</v>
      </c>
      <c r="BO197" s="55"/>
      <c r="BP197" s="60" t="n">
        <v>0</v>
      </c>
      <c r="BQ197" s="60" t="n">
        <v>197</v>
      </c>
      <c r="BR197" s="55" t="str">
        <f aca="false">IF(U197&lt;&gt;"",UPPER(TRIM(U197)),IF(BU197=1,UPPER(VLOOKUP(T197,Parameter!$I$27:$K$29,2,0)),IF(P197="","LOSE",P197)))</f>
        <v>S41</v>
      </c>
      <c r="BS197" s="57" t="n">
        <f aca="false">IF(BR197="LOSE",1,IF(N(V197)&gt;0,V197,IF(BU197=1,MAX(1,N(VLOOKUP(T197,Parameter!$I$27:$K$29,3,0)),H197,N(N197)),IF(N(Q197)&gt;0,Q197,MAX(1,H197)))))</f>
        <v>19</v>
      </c>
      <c r="BT197" s="60" t="n">
        <f aca="false">IF(BR197="LOSE",1,0)</f>
        <v>0</v>
      </c>
      <c r="BU197" s="60" t="n">
        <f aca="false">IF(AND(U197="",OR(P197="",P197="LOSE"),T197&lt;&gt;"",N(S197)&lt;=0,ISNUMBER(MATCH(T197,Parameter!$I$27:$I$29,0))),1,0)</f>
        <v>0</v>
      </c>
      <c r="BV197" s="55" t="str">
        <f aca="false">IF(AND(Parameter!$B$19="Ja",E197&lt;&gt;"",ISNUMBER(MATCH(E197,Parameter!$I$35:$I$52,0))),VLOOKUP(E197,Parameter!$I$35:$J$52,2,0),IFERROR(VLOOKUP(D197,Parameter!$A$35:$C$64,2,0),"Nein"))</f>
        <v>2+3</v>
      </c>
      <c r="BW197" s="59" t="n">
        <f aca="false">IF(BT197=0,0,IF(N(S197)&gt;0,S197,IFERROR(VLOOKUP(D197,Parameter!$A$35:$C$64,3,0)+0,0)))</f>
        <v>0</v>
      </c>
      <c r="BX197" s="55" t="n">
        <f aca="false">IF(AA197&lt;&gt;"",AA197,Z197)</f>
        <v>3</v>
      </c>
      <c r="BY197" s="55" t="str">
        <f aca="false">IF(BX197=1,"L1",IF(OR(BX197=2,BX197=3),"L23",IF(BX197="Aussen","Aussen","-")))</f>
        <v>L23</v>
      </c>
      <c r="BZ197" s="66" t="n">
        <f aca="false">IF(N(AB197)&gt;0,AB197,0)</f>
        <v>0</v>
      </c>
      <c r="CA197" s="60" t="n">
        <f aca="false">IF(ISNUMBER(AE197),1,0)</f>
        <v>0</v>
      </c>
      <c r="CB197" s="57" t="n">
        <f aca="false">N(AE197)</f>
        <v>0</v>
      </c>
      <c r="CC197" s="57" t="n">
        <f aca="false">N(M197)+N(N197)</f>
        <v>136</v>
      </c>
      <c r="CD197" s="57" t="n">
        <f aca="false">ROUNDUP(H197/BS197,0)</f>
        <v>6</v>
      </c>
      <c r="CE197" s="57" t="n">
        <f aca="false">ROUNDUP(CB197/BS197,0)</f>
        <v>0</v>
      </c>
      <c r="CF197" s="60" t="n">
        <f aca="false">IF(BT197=1,0,IFERROR(VLOOKUP(BR197,'Gebinde-Kategorie'!$A$5:$M$45,5,0)+0,0))</f>
        <v>11</v>
      </c>
      <c r="CG197" s="60" t="n">
        <f aca="false">IFERROR(IF(OR(BX197=1,BX197=2,BX197=3),N(INDEX(Parameter!$I$5:$I$7,BX197)),0),0)</f>
        <v>0</v>
      </c>
      <c r="CH197" s="59" t="n">
        <f aca="false">IF(AND(Parameter!$B$21="Ja",ISNUMBER(W197),N(X197)&gt;0),IFERROR(N(INDEX(Parameter!$L$5:$L$7,W197))*INDEX(Parameter!$E$5:$E$7,W197)*X197/SUMIFS($X$7:$X$1843,$W$7:$W$1843,W197),0),0)</f>
        <v>0</v>
      </c>
    </row>
    <row r="198" customFormat="false" ht="15" hidden="false" customHeight="false" outlineLevel="0" collapsed="false">
      <c r="A198" s="55" t="s">
        <v>597</v>
      </c>
      <c r="B198" s="55" t="s">
        <v>598</v>
      </c>
      <c r="C198" s="55" t="s">
        <v>164</v>
      </c>
      <c r="D198" s="55" t="s">
        <v>184</v>
      </c>
      <c r="E198" s="55" t="s">
        <v>185</v>
      </c>
      <c r="F198" s="55" t="s">
        <v>218</v>
      </c>
      <c r="G198" s="56" t="n">
        <v>6.37</v>
      </c>
      <c r="H198" s="57" t="n">
        <f aca="false">MAX(0,IF(AND(Parameter!$B$21="Ja",ISNUMBER(Y198)),Y198,IF(Parameter!$B$20="Jahresanfang 2025 + Export",BL198+BK198,BK198)))</f>
        <v>341</v>
      </c>
      <c r="I198" s="57" t="n">
        <f aca="false">H198*G198</f>
        <v>2172.17</v>
      </c>
      <c r="J198" s="57" t="n">
        <f aca="false">BN198*Parameter!$B$18</f>
        <v>869</v>
      </c>
      <c r="K198" s="58" t="n">
        <v>225.5</v>
      </c>
      <c r="L198" s="59" t="n">
        <v>3.85365853658537</v>
      </c>
      <c r="M198" s="57" t="n">
        <v>25</v>
      </c>
      <c r="N198" s="57" t="n">
        <v>585</v>
      </c>
      <c r="O198" s="60" t="n">
        <v>10</v>
      </c>
      <c r="P198" s="55" t="s">
        <v>302</v>
      </c>
      <c r="Q198" s="57" t="n">
        <v>895</v>
      </c>
      <c r="R198" s="60" t="n">
        <f aca="false">IF(BT198=1,0,IFERROR(VLOOKUP(BR198,'Gebinde-Kategorie'!$A$5:$M$45,13,0)+0,0))</f>
        <v>26</v>
      </c>
      <c r="S198" s="61"/>
      <c r="T198" s="62"/>
      <c r="U198" s="62"/>
      <c r="V198" s="62"/>
      <c r="W198" s="55"/>
      <c r="X198" s="57"/>
      <c r="Y198" s="57"/>
      <c r="Z198" s="55" t="n">
        <f aca="false">IF(A198="","",IF(AND(Parameter!$B$21="Ja",ISNUMBER(W198)),W198,IF(BV198="2+3",IF(ISNUMBER(SEARCH("grosser Artikel",BO198)),2,IFERROR(VLOOKUP(BR198,Parameter!$F$35:$G$64,2,0),2)),IF(OR(BV198="Nein",BV198=""),"-",BV198))))</f>
        <v>3</v>
      </c>
      <c r="AA198" s="62"/>
      <c r="AB198" s="63"/>
      <c r="AC198" s="57" t="n">
        <f aca="false">AR198</f>
        <v>895</v>
      </c>
      <c r="AD198" s="57" t="n">
        <f aca="false">MAX(AR198,H198)</f>
        <v>895</v>
      </c>
      <c r="AE198" s="64"/>
      <c r="AF198" s="57" t="n">
        <f aca="false">IF(LEFT(Cockpit!$C$5,1)="A",H198,IF(CA198=1,CB198,IF(LEFT(Cockpit!$C$5,1)="B",AJ198,MAX(AJ198,H198))))</f>
        <v>341</v>
      </c>
      <c r="AG198" s="57" t="n">
        <f aca="false">IF(BT198=1,0,ROUNDUP(AF198/BS198,0))</f>
        <v>1</v>
      </c>
      <c r="AH198" s="59" t="n">
        <f aca="false">IF(CH198&gt;0,CH198*MAX(1,AF198/X198),IF(BT198=1,IF(AF198&lt;=0,0,BW198*MAX(1,IF(H198&gt;0,AF198/H198,1))),IF(R198&gt;0,AG198/R198,0))/MAX(0.1,N(Parameter!$M$21)))</f>
        <v>0.0384615384615385</v>
      </c>
      <c r="AI198" s="57" t="n">
        <f aca="false">AF198*G198</f>
        <v>2172.17</v>
      </c>
      <c r="AJ198" s="57" t="n">
        <f aca="false">ROUNDUP(MAX(J198/IF(BZ198&gt;0,BZ198,MAX(0.1,N(Cockpit!$C$6))),CC198)/BS198,0)*BS198</f>
        <v>895</v>
      </c>
      <c r="AK198" s="58" t="n">
        <f aca="false">IF(AH198&gt;0,J198/AH198,-1)</f>
        <v>22594</v>
      </c>
      <c r="AL198" s="58" t="n">
        <f aca="false">IF(AND(OR(BY198="L1",BY198="L23"),AH198&gt;0),SUMIFS($AH$7:$AH$1843,$BY$7:$BY$1843,BY198,$AK$7:$AK$1843,"&gt;"&amp;AK198)+SUMIFS($AH$7:$AH$1843,$BY$7:$BY$1843,BY198,$AK$7:$AK$1843,AK198,$BQ$7:$BQ$1843,"&lt;="&amp;BQ198),"")</f>
        <v>3.45153035370427</v>
      </c>
      <c r="AM198" s="65" t="n">
        <f aca="false">IF(AL198="",0,MAX(0,MIN(1,(IF(BY198="L1",Parameter!$E$5,Parameter!$E$6+Parameter!$E$7)-(AL198-AH198))/AH198)))</f>
        <v>1</v>
      </c>
      <c r="AN198" s="57" t="n">
        <f aca="false">IF(LEFT(Cockpit!$I$5,1)="A",H198,IF(CA198=1,CB198,IF(LEFT(Cockpit!$I$5,1)="B",AR198,MAX(AR198,H198))))</f>
        <v>895</v>
      </c>
      <c r="AO198" s="57" t="n">
        <f aca="false">IF(BT198=1,0,ROUNDUP(AN198/BS198,0))</f>
        <v>1</v>
      </c>
      <c r="AP198" s="59" t="n">
        <f aca="false">IF(CH198&gt;0,CH198*MAX(1,AN198/X198),IF(BT198=1,IF(AN198&lt;=0,0,BW198*MAX(1,IF(H198&gt;0,AN198/H198,1))),IF(R198&gt;0,AO198/R198,0))/MAX(0.1,N(Parameter!$M$21)))</f>
        <v>0.0384615384615385</v>
      </c>
      <c r="AQ198" s="57" t="n">
        <f aca="false">AN198*G198</f>
        <v>5701.15</v>
      </c>
      <c r="AR198" s="57" t="n">
        <f aca="false">ROUNDUP(MAX(J198/IF(BZ198&gt;0,BZ198,MAX(0.1,N(Cockpit!$I$6))),CC198)/BS198,0)*BS198</f>
        <v>895</v>
      </c>
      <c r="AS198" s="58" t="n">
        <f aca="false">IF(AP198&gt;0,J198/AP198,-1)</f>
        <v>22594</v>
      </c>
      <c r="AT198" s="58" t="n">
        <f aca="false">IF(AND(OR(BY198="L1",BY198="L23"),AP198&gt;0),SUMIFS($AP$7:$AP$1843,$BY$7:$BY$1843,BY198,$AS$7:$AS$1843,"&gt;"&amp;AS198)+SUMIFS($AP$7:$AP$1843,$BY$7:$BY$1843,BY198,$AS$7:$AS$1843,AS198,$BQ$7:$BQ$1843,"&lt;="&amp;BQ198),"")</f>
        <v>3.78550555724469</v>
      </c>
      <c r="AU198" s="65" t="n">
        <f aca="false">IF(AT198="",0,MAX(0,MIN(1,(IF(BY198="L1",Parameter!$E$5,Parameter!$E$6+Parameter!$E$7)-(AT198-AP198))/AP198)))</f>
        <v>1</v>
      </c>
      <c r="AV198" s="57" t="n">
        <f aca="false">IF(LEFT(Cockpit!$O$5,1)="A",H198,IF(CA198=1,CB198,IF(LEFT(Cockpit!$O$5,1)="B",AZ198,MAX(AZ198,H198))))</f>
        <v>895</v>
      </c>
      <c r="AW198" s="57" t="n">
        <f aca="false">IF(BT198=1,0,ROUNDUP(AV198/BS198,0))</f>
        <v>1</v>
      </c>
      <c r="AX198" s="59" t="n">
        <f aca="false">IF(CH198&gt;0,CH198*MAX(1,AV198/X198),IF(BT198=1,IF(AV198&lt;=0,0,BW198*MAX(1,IF(H198&gt;0,AV198/H198,1))),IF(R198&gt;0,AW198/R198,0))/MAX(0.1,N(Parameter!$M$21)))</f>
        <v>0.0384615384615385</v>
      </c>
      <c r="AY198" s="57" t="n">
        <f aca="false">AV198*G198</f>
        <v>5701.15</v>
      </c>
      <c r="AZ198" s="57" t="n">
        <f aca="false">ROUNDUP(MAX(J198/IF(BZ198&gt;0,BZ198,MAX(0.1,N(Cockpit!$O$6))),CC198)/BS198,0)*BS198</f>
        <v>895</v>
      </c>
      <c r="BA198" s="58" t="n">
        <f aca="false">IF(AX198&gt;0,J198/AX198,-1)</f>
        <v>22594</v>
      </c>
      <c r="BB198" s="58" t="n">
        <f aca="false">IF(AND(OR(BY198="L1",BY198="L23"),AX198&gt;0),SUMIFS($AX$7:$AX$1843,$BY$7:$BY$1843,BY198,$BA$7:$BA$1843,"&gt;"&amp;BA198)+SUMIFS($AX$7:$AX$1843,$BY$7:$BY$1843,BY198,$BA$7:$BA$1843,BA198,$BQ$7:$BQ$1843,"&lt;="&amp;BQ198),"")</f>
        <v>3.43818620992534</v>
      </c>
      <c r="BC198" s="65" t="n">
        <f aca="false">IF(BB198="",0,MAX(0,MIN(1,(IF(BY198="L1",Parameter!$E$5,Parameter!$E$6+Parameter!$E$7)-(BB198-AX198))/AX198)))</f>
        <v>1</v>
      </c>
      <c r="BD198" s="55" t="str">
        <f aca="false">IF(AH198&lt;=0,"",IF(BY198="Aussen","Aussenlager",IF(BY198="-","Nicht im Lift",IF(AM198&gt;=1,"Lift",IF(AM198&lt;=0,"Aussenlager","teilweise")))))</f>
        <v>Lift</v>
      </c>
      <c r="BE198" s="55" t="str">
        <f aca="false">IF(AP198&lt;=0,"",IF(BY198="Aussen","Aussenlager",IF(BY198="-","Nicht im Lift",IF(AU198&gt;=1,"Lift",IF(AU198&lt;=0,"Aussenlager","teilweise")))))</f>
        <v>Lift</v>
      </c>
      <c r="BF198" s="55" t="str">
        <f aca="false">IF(AX198&lt;=0,"",IF(BY198="Aussen","Aussenlager",IF(BY198="-","Nicht im Lift",IF(BC198&gt;=1,"Lift",IF(BC198&lt;=0,"Aussenlager","teilweise")))))</f>
        <v>Lift</v>
      </c>
      <c r="BG198" s="55" t="str">
        <f aca="false">IF(A198="","",IF(BP198=1,"Neu; ","")&amp;IF(AND(BP198=0,BK198&lt;0),"negativer Bestand (Export "&amp;BK198&amp;"); ","")&amp;IF(J198&lt;=0,"Kein Verbrauch; ","")&amp;IF(CH198&gt;0,"Lift "&amp;W198&amp;" lt. Liftbericht (Fach "&amp;X198&amp;" Stk); ",IF(BU198=1,"Gebinde geschätzt ("&amp;T198&amp;"); ",IF(BT198=1,"Lose – Tablare geschätzt; ","")))&amp;IF(H198&gt;AR198,"Überbestand "&amp;ROUND(H198-AR198,0)&amp;" Stk / CHF "&amp;ROUND((H198-AR198)*G198,0)&amp;"; ","")&amp;IF(AND(CA198=1,CB198&lt;CC198),"MAX &lt; MB+LG; ","")&amp;IF(AND(CG198&gt;0,CF198*10&gt;CG198),"zu hoch für Tablar; ","")&amp;IF(AND(BP198=0,OR(CA198=1,AA198&lt;&gt;"",U198&lt;&gt;"",V198&lt;&gt;"",AB198&lt;&gt;"")),"manuell übersteuert; ","")&amp;IF(AND(BT198=0,R198=0),"Gebinde unbekannt / Stellmass fehlt; ","")&amp;IF(AND(BT198=0,N(V198)&lt;=0,N(Q198)&lt;=0),"Menge pro Gebinde fehlt (Ist = 1 Gebinde); ","")&amp;BO198)</f>
        <v/>
      </c>
      <c r="BH198" s="55"/>
      <c r="BI198" s="55"/>
      <c r="BJ198" s="62"/>
      <c r="BK198" s="57" t="n">
        <v>131</v>
      </c>
      <c r="BL198" s="57" t="n">
        <v>210</v>
      </c>
      <c r="BM198" s="56" t="n">
        <v>818.950000000001</v>
      </c>
      <c r="BN198" s="57" t="n">
        <v>869</v>
      </c>
      <c r="BO198" s="55"/>
      <c r="BP198" s="60" t="n">
        <v>0</v>
      </c>
      <c r="BQ198" s="60" t="n">
        <v>198</v>
      </c>
      <c r="BR198" s="55" t="str">
        <f aca="false">IF(U198&lt;&gt;"",UPPER(TRIM(U198)),IF(BU198=1,UPPER(VLOOKUP(T198,Parameter!$I$27:$K$29,2,0)),IF(P198="","LOSE",P198)))</f>
        <v>S51</v>
      </c>
      <c r="BS198" s="57" t="n">
        <f aca="false">IF(BR198="LOSE",1,IF(N(V198)&gt;0,V198,IF(BU198=1,MAX(1,N(VLOOKUP(T198,Parameter!$I$27:$K$29,3,0)),H198,N(N198)),IF(N(Q198)&gt;0,Q198,MAX(1,H198)))))</f>
        <v>895</v>
      </c>
      <c r="BT198" s="60" t="n">
        <f aca="false">IF(BR198="LOSE",1,0)</f>
        <v>0</v>
      </c>
      <c r="BU198" s="60" t="n">
        <f aca="false">IF(AND(U198="",OR(P198="",P198="LOSE"),T198&lt;&gt;"",N(S198)&lt;=0,ISNUMBER(MATCH(T198,Parameter!$I$27:$I$29,0))),1,0)</f>
        <v>0</v>
      </c>
      <c r="BV198" s="55" t="str">
        <f aca="false">IF(AND(Parameter!$B$19="Ja",E198&lt;&gt;"",ISNUMBER(MATCH(E198,Parameter!$I$35:$I$52,0))),VLOOKUP(E198,Parameter!$I$35:$J$52,2,0),IFERROR(VLOOKUP(D198,Parameter!$A$35:$C$64,2,0),"Nein"))</f>
        <v>2+3</v>
      </c>
      <c r="BW198" s="59" t="n">
        <f aca="false">IF(BT198=0,0,IF(N(S198)&gt;0,S198,IFERROR(VLOOKUP(D198,Parameter!$A$35:$C$64,3,0)+0,0)))</f>
        <v>0</v>
      </c>
      <c r="BX198" s="55" t="n">
        <f aca="false">IF(AA198&lt;&gt;"",AA198,Z198)</f>
        <v>3</v>
      </c>
      <c r="BY198" s="55" t="str">
        <f aca="false">IF(BX198=1,"L1",IF(OR(BX198=2,BX198=3),"L23",IF(BX198="Aussen","Aussen","-")))</f>
        <v>L23</v>
      </c>
      <c r="BZ198" s="66" t="n">
        <f aca="false">IF(N(AB198)&gt;0,AB198,0)</f>
        <v>0</v>
      </c>
      <c r="CA198" s="60" t="n">
        <f aca="false">IF(ISNUMBER(AE198),1,0)</f>
        <v>0</v>
      </c>
      <c r="CB198" s="57" t="n">
        <f aca="false">N(AE198)</f>
        <v>0</v>
      </c>
      <c r="CC198" s="57" t="n">
        <f aca="false">N(M198)+N(N198)</f>
        <v>610</v>
      </c>
      <c r="CD198" s="57" t="n">
        <f aca="false">ROUNDUP(H198/BS198,0)</f>
        <v>1</v>
      </c>
      <c r="CE198" s="57" t="n">
        <f aca="false">ROUNDUP(CB198/BS198,0)</f>
        <v>0</v>
      </c>
      <c r="CF198" s="60" t="n">
        <f aca="false">IF(BT198=1,0,IFERROR(VLOOKUP(BR198,'Gebinde-Kategorie'!$A$5:$M$45,5,0)+0,0))</f>
        <v>11</v>
      </c>
      <c r="CG198" s="60" t="n">
        <f aca="false">IFERROR(IF(OR(BX198=1,BX198=2,BX198=3),N(INDEX(Parameter!$I$5:$I$7,BX198)),0),0)</f>
        <v>0</v>
      </c>
      <c r="CH198" s="59" t="n">
        <f aca="false">IF(AND(Parameter!$B$21="Ja",ISNUMBER(W198),N(X198)&gt;0),IFERROR(N(INDEX(Parameter!$L$5:$L$7,W198))*INDEX(Parameter!$E$5:$E$7,W198)*X198/SUMIFS($X$7:$X$1843,$W$7:$W$1843,W198),0),0)</f>
        <v>0</v>
      </c>
    </row>
    <row r="199" customFormat="false" ht="15" hidden="false" customHeight="false" outlineLevel="0" collapsed="false">
      <c r="A199" s="55" t="s">
        <v>599</v>
      </c>
      <c r="B199" s="55" t="s">
        <v>600</v>
      </c>
      <c r="C199" s="55" t="s">
        <v>164</v>
      </c>
      <c r="D199" s="55" t="s">
        <v>184</v>
      </c>
      <c r="E199" s="55" t="s">
        <v>185</v>
      </c>
      <c r="F199" s="55" t="s">
        <v>218</v>
      </c>
      <c r="G199" s="56" t="n">
        <v>15.65</v>
      </c>
      <c r="H199" s="57" t="n">
        <f aca="false">MAX(0,IF(AND(Parameter!$B$21="Ja",ISNUMBER(Y199)),Y199,IF(Parameter!$B$20="Jahresanfang 2025 + Export",BL199+BK199,BK199)))</f>
        <v>78</v>
      </c>
      <c r="I199" s="57" t="n">
        <f aca="false">H199*G199</f>
        <v>1220.7</v>
      </c>
      <c r="J199" s="57" t="n">
        <f aca="false">BN199*Parameter!$B$18</f>
        <v>54</v>
      </c>
      <c r="K199" s="58" t="n">
        <v>24</v>
      </c>
      <c r="L199" s="59" t="n">
        <v>2.25</v>
      </c>
      <c r="M199" s="57" t="n">
        <v>6</v>
      </c>
      <c r="N199" s="57" t="n">
        <v>55</v>
      </c>
      <c r="O199" s="60" t="n">
        <v>42</v>
      </c>
      <c r="P199" s="55" t="s">
        <v>302</v>
      </c>
      <c r="Q199" s="57" t="n">
        <v>62</v>
      </c>
      <c r="R199" s="60" t="n">
        <f aca="false">IF(BT199=1,0,IFERROR(VLOOKUP(BR199,'Gebinde-Kategorie'!$A$5:$M$45,13,0)+0,0))</f>
        <v>26</v>
      </c>
      <c r="S199" s="61"/>
      <c r="T199" s="62"/>
      <c r="U199" s="62"/>
      <c r="V199" s="62"/>
      <c r="W199" s="55"/>
      <c r="X199" s="57"/>
      <c r="Y199" s="57"/>
      <c r="Z199" s="55" t="n">
        <f aca="false">IF(A199="","",IF(AND(Parameter!$B$21="Ja",ISNUMBER(W199)),W199,IF(BV199="2+3",IF(ISNUMBER(SEARCH("grosser Artikel",BO199)),2,IFERROR(VLOOKUP(BR199,Parameter!$F$35:$G$64,2,0),2)),IF(OR(BV199="Nein",BV199=""),"-",BV199))))</f>
        <v>3</v>
      </c>
      <c r="AA199" s="62"/>
      <c r="AB199" s="63"/>
      <c r="AC199" s="57" t="n">
        <f aca="false">AR199</f>
        <v>62</v>
      </c>
      <c r="AD199" s="57" t="n">
        <f aca="false">MAX(AR199,H199)</f>
        <v>78</v>
      </c>
      <c r="AE199" s="64"/>
      <c r="AF199" s="57" t="n">
        <f aca="false">IF(LEFT(Cockpit!$C$5,1)="A",H199,IF(CA199=1,CB199,IF(LEFT(Cockpit!$C$5,1)="B",AJ199,MAX(AJ199,H199))))</f>
        <v>78</v>
      </c>
      <c r="AG199" s="57" t="n">
        <f aca="false">IF(BT199=1,0,ROUNDUP(AF199/BS199,0))</f>
        <v>2</v>
      </c>
      <c r="AH199" s="59" t="n">
        <f aca="false">IF(CH199&gt;0,CH199*MAX(1,AF199/X199),IF(BT199=1,IF(AF199&lt;=0,0,BW199*MAX(1,IF(H199&gt;0,AF199/H199,1))),IF(R199&gt;0,AG199/R199,0))/MAX(0.1,N(Parameter!$M$21)))</f>
        <v>0.0769230769230769</v>
      </c>
      <c r="AI199" s="57" t="n">
        <f aca="false">AF199*G199</f>
        <v>1220.7</v>
      </c>
      <c r="AJ199" s="57" t="n">
        <f aca="false">ROUNDUP(MAX(J199/IF(BZ199&gt;0,BZ199,MAX(0.1,N(Cockpit!$C$6))),CC199)/BS199,0)*BS199</f>
        <v>62</v>
      </c>
      <c r="AK199" s="58" t="n">
        <f aca="false">IF(AH199&gt;0,J199/AH199,-1)</f>
        <v>702</v>
      </c>
      <c r="AL199" s="58" t="n">
        <f aca="false">IF(AND(OR(BY199="L1",BY199="L23"),AH199&gt;0),SUMIFS($AH$7:$AH$1843,$BY$7:$BY$1843,BY199,$AK$7:$AK$1843,"&gt;"&amp;AK199)+SUMIFS($AH$7:$AH$1843,$BY$7:$BY$1843,BY199,$AK$7:$AK$1843,AK199,$BQ$7:$BQ$1843,"&lt;="&amp;BQ199),"")</f>
        <v>21.8352758352758</v>
      </c>
      <c r="AM199" s="65" t="n">
        <f aca="false">IF(AL199="",0,MAX(0,MIN(1,(IF(BY199="L1",Parameter!$E$5,Parameter!$E$6+Parameter!$E$7)-(AL199-AH199))/AH199)))</f>
        <v>1</v>
      </c>
      <c r="AN199" s="57" t="n">
        <f aca="false">IF(LEFT(Cockpit!$I$5,1)="A",H199,IF(CA199=1,CB199,IF(LEFT(Cockpit!$I$5,1)="B",AR199,MAX(AR199,H199))))</f>
        <v>78</v>
      </c>
      <c r="AO199" s="57" t="n">
        <f aca="false">IF(BT199=1,0,ROUNDUP(AN199/BS199,0))</f>
        <v>2</v>
      </c>
      <c r="AP199" s="59" t="n">
        <f aca="false">IF(CH199&gt;0,CH199*MAX(1,AN199/X199),IF(BT199=1,IF(AN199&lt;=0,0,BW199*MAX(1,IF(H199&gt;0,AN199/H199,1))),IF(R199&gt;0,AO199/R199,0))/MAX(0.1,N(Parameter!$M$21)))</f>
        <v>0.0769230769230769</v>
      </c>
      <c r="AQ199" s="57" t="n">
        <f aca="false">AN199*G199</f>
        <v>1220.7</v>
      </c>
      <c r="AR199" s="57" t="n">
        <f aca="false">ROUNDUP(MAX(J199/IF(BZ199&gt;0,BZ199,MAX(0.1,N(Cockpit!$I$6))),CC199)/BS199,0)*BS199</f>
        <v>62</v>
      </c>
      <c r="AS199" s="58" t="n">
        <f aca="false">IF(AP199&gt;0,J199/AP199,-1)</f>
        <v>702</v>
      </c>
      <c r="AT199" s="58" t="n">
        <f aca="false">IF(AND(OR(BY199="L1",BY199="L23"),AP199&gt;0),SUMIFS($AP$7:$AP$1843,$BY$7:$BY$1843,BY199,$AS$7:$AS$1843,"&gt;"&amp;AS199)+SUMIFS($AP$7:$AP$1843,$BY$7:$BY$1843,BY199,$AS$7:$AS$1843,AS199,$BQ$7:$BQ$1843,"&lt;="&amp;BQ199),"")</f>
        <v>28.5607918651397</v>
      </c>
      <c r="AU199" s="65" t="n">
        <f aca="false">IF(AT199="",0,MAX(0,MIN(1,(IF(BY199="L1",Parameter!$E$5,Parameter!$E$6+Parameter!$E$7)-(AT199-AP199))/AP199)))</f>
        <v>1</v>
      </c>
      <c r="AV199" s="57" t="n">
        <f aca="false">IF(LEFT(Cockpit!$O$5,1)="A",H199,IF(CA199=1,CB199,IF(LEFT(Cockpit!$O$5,1)="B",AZ199,MAX(AZ199,H199))))</f>
        <v>78</v>
      </c>
      <c r="AW199" s="57" t="n">
        <f aca="false">IF(BT199=1,0,ROUNDUP(AV199/BS199,0))</f>
        <v>2</v>
      </c>
      <c r="AX199" s="59" t="n">
        <f aca="false">IF(CH199&gt;0,CH199*MAX(1,AV199/X199),IF(BT199=1,IF(AV199&lt;=0,0,BW199*MAX(1,IF(H199&gt;0,AV199/H199,1))),IF(R199&gt;0,AW199/R199,0))/MAX(0.1,N(Parameter!$M$21)))</f>
        <v>0.0769230769230769</v>
      </c>
      <c r="AY199" s="57" t="n">
        <f aca="false">AV199*G199</f>
        <v>1220.7</v>
      </c>
      <c r="AZ199" s="57" t="n">
        <f aca="false">ROUNDUP(MAX(J199/IF(BZ199&gt;0,BZ199,MAX(0.1,N(Cockpit!$O$6))),CC199)/BS199,0)*BS199</f>
        <v>62</v>
      </c>
      <c r="BA199" s="58" t="n">
        <f aca="false">IF(AX199&gt;0,J199/AX199,-1)</f>
        <v>702</v>
      </c>
      <c r="BB199" s="58" t="n">
        <f aca="false">IF(AND(OR(BY199="L1",BY199="L23"),AX199&gt;0),SUMIFS($AX$7:$AX$1843,$BY$7:$BY$1843,BY199,$BA$7:$BA$1843,"&gt;"&amp;BA199)+SUMIFS($AX$7:$AX$1843,$BY$7:$BY$1843,BY199,$BA$7:$BA$1843,BA199,$BQ$7:$BQ$1843,"&lt;="&amp;BQ199),"")</f>
        <v>27.9290902334381</v>
      </c>
      <c r="BC199" s="65" t="n">
        <f aca="false">IF(BB199="",0,MAX(0,MIN(1,(IF(BY199="L1",Parameter!$E$5,Parameter!$E$6+Parameter!$E$7)-(BB199-AX199))/AX199)))</f>
        <v>1</v>
      </c>
      <c r="BD199" s="55" t="str">
        <f aca="false">IF(AH199&lt;=0,"",IF(BY199="Aussen","Aussenlager",IF(BY199="-","Nicht im Lift",IF(AM199&gt;=1,"Lift",IF(AM199&lt;=0,"Aussenlager","teilweise")))))</f>
        <v>Lift</v>
      </c>
      <c r="BE199" s="55" t="str">
        <f aca="false">IF(AP199&lt;=0,"",IF(BY199="Aussen","Aussenlager",IF(BY199="-","Nicht im Lift",IF(AU199&gt;=1,"Lift",IF(AU199&lt;=0,"Aussenlager","teilweise")))))</f>
        <v>Lift</v>
      </c>
      <c r="BF199" s="55" t="str">
        <f aca="false">IF(AX199&lt;=0,"",IF(BY199="Aussen","Aussenlager",IF(BY199="-","Nicht im Lift",IF(BC199&gt;=1,"Lift",IF(BC199&lt;=0,"Aussenlager","teilweise")))))</f>
        <v>Lift</v>
      </c>
      <c r="BG199" s="55" t="str">
        <f aca="false">IF(A199="","",IF(BP199=1,"Neu; ","")&amp;IF(AND(BP199=0,BK199&lt;0),"negativer Bestand (Export "&amp;BK199&amp;"); ","")&amp;IF(J199&lt;=0,"Kein Verbrauch; ","")&amp;IF(CH199&gt;0,"Lift "&amp;W199&amp;" lt. Liftbericht (Fach "&amp;X199&amp;" Stk); ",IF(BU199=1,"Gebinde geschätzt ("&amp;T199&amp;"); ",IF(BT199=1,"Lose – Tablare geschätzt; ","")))&amp;IF(H199&gt;AR199,"Überbestand "&amp;ROUND(H199-AR199,0)&amp;" Stk / CHF "&amp;ROUND((H199-AR199)*G199,0)&amp;"; ","")&amp;IF(AND(CA199=1,CB199&lt;CC199),"MAX &lt; MB+LG; ","")&amp;IF(AND(CG199&gt;0,CF199*10&gt;CG199),"zu hoch für Tablar; ","")&amp;IF(AND(BP199=0,OR(CA199=1,AA199&lt;&gt;"",U199&lt;&gt;"",V199&lt;&gt;"",AB199&lt;&gt;"")),"manuell übersteuert; ","")&amp;IF(AND(BT199=0,R199=0),"Gebinde unbekannt / Stellmass fehlt; ","")&amp;IF(AND(BT199=0,N(V199)&lt;=0,N(Q199)&lt;=0),"Menge pro Gebinde fehlt (Ist = 1 Gebinde); ","")&amp;BO199)</f>
        <v>Überbestand 16 Stk / CHF 250; </v>
      </c>
      <c r="BH199" s="55"/>
      <c r="BI199" s="55"/>
      <c r="BJ199" s="62"/>
      <c r="BK199" s="57" t="n">
        <v>52</v>
      </c>
      <c r="BL199" s="57" t="n">
        <v>26</v>
      </c>
      <c r="BM199" s="56" t="n">
        <v>815.88</v>
      </c>
      <c r="BN199" s="57" t="n">
        <v>54</v>
      </c>
      <c r="BO199" s="55"/>
      <c r="BP199" s="60" t="n">
        <v>0</v>
      </c>
      <c r="BQ199" s="60" t="n">
        <v>199</v>
      </c>
      <c r="BR199" s="55" t="str">
        <f aca="false">IF(U199&lt;&gt;"",UPPER(TRIM(U199)),IF(BU199=1,UPPER(VLOOKUP(T199,Parameter!$I$27:$K$29,2,0)),IF(P199="","LOSE",P199)))</f>
        <v>S51</v>
      </c>
      <c r="BS199" s="57" t="n">
        <f aca="false">IF(BR199="LOSE",1,IF(N(V199)&gt;0,V199,IF(BU199=1,MAX(1,N(VLOOKUP(T199,Parameter!$I$27:$K$29,3,0)),H199,N(N199)),IF(N(Q199)&gt;0,Q199,MAX(1,H199)))))</f>
        <v>62</v>
      </c>
      <c r="BT199" s="60" t="n">
        <f aca="false">IF(BR199="LOSE",1,0)</f>
        <v>0</v>
      </c>
      <c r="BU199" s="60" t="n">
        <f aca="false">IF(AND(U199="",OR(P199="",P199="LOSE"),T199&lt;&gt;"",N(S199)&lt;=0,ISNUMBER(MATCH(T199,Parameter!$I$27:$I$29,0))),1,0)</f>
        <v>0</v>
      </c>
      <c r="BV199" s="55" t="str">
        <f aca="false">IF(AND(Parameter!$B$19="Ja",E199&lt;&gt;"",ISNUMBER(MATCH(E199,Parameter!$I$35:$I$52,0))),VLOOKUP(E199,Parameter!$I$35:$J$52,2,0),IFERROR(VLOOKUP(D199,Parameter!$A$35:$C$64,2,0),"Nein"))</f>
        <v>2+3</v>
      </c>
      <c r="BW199" s="59" t="n">
        <f aca="false">IF(BT199=0,0,IF(N(S199)&gt;0,S199,IFERROR(VLOOKUP(D199,Parameter!$A$35:$C$64,3,0)+0,0)))</f>
        <v>0</v>
      </c>
      <c r="BX199" s="55" t="n">
        <f aca="false">IF(AA199&lt;&gt;"",AA199,Z199)</f>
        <v>3</v>
      </c>
      <c r="BY199" s="55" t="str">
        <f aca="false">IF(BX199=1,"L1",IF(OR(BX199=2,BX199=3),"L23",IF(BX199="Aussen","Aussen","-")))</f>
        <v>L23</v>
      </c>
      <c r="BZ199" s="66" t="n">
        <f aca="false">IF(N(AB199)&gt;0,AB199,0)</f>
        <v>0</v>
      </c>
      <c r="CA199" s="60" t="n">
        <f aca="false">IF(ISNUMBER(AE199),1,0)</f>
        <v>0</v>
      </c>
      <c r="CB199" s="57" t="n">
        <f aca="false">N(AE199)</f>
        <v>0</v>
      </c>
      <c r="CC199" s="57" t="n">
        <f aca="false">N(M199)+N(N199)</f>
        <v>61</v>
      </c>
      <c r="CD199" s="57" t="n">
        <f aca="false">ROUNDUP(H199/BS199,0)</f>
        <v>2</v>
      </c>
      <c r="CE199" s="57" t="n">
        <f aca="false">ROUNDUP(CB199/BS199,0)</f>
        <v>0</v>
      </c>
      <c r="CF199" s="60" t="n">
        <f aca="false">IF(BT199=1,0,IFERROR(VLOOKUP(BR199,'Gebinde-Kategorie'!$A$5:$M$45,5,0)+0,0))</f>
        <v>11</v>
      </c>
      <c r="CG199" s="60" t="n">
        <f aca="false">IFERROR(IF(OR(BX199=1,BX199=2,BX199=3),N(INDEX(Parameter!$I$5:$I$7,BX199)),0),0)</f>
        <v>0</v>
      </c>
      <c r="CH199" s="59" t="n">
        <f aca="false">IF(AND(Parameter!$B$21="Ja",ISNUMBER(W199),N(X199)&gt;0),IFERROR(N(INDEX(Parameter!$L$5:$L$7,W199))*INDEX(Parameter!$E$5:$E$7,W199)*X199/SUMIFS($X$7:$X$1843,$W$7:$W$1843,W199),0),0)</f>
        <v>0</v>
      </c>
    </row>
    <row r="200" customFormat="false" ht="15" hidden="false" customHeight="false" outlineLevel="0" collapsed="false">
      <c r="A200" s="55" t="s">
        <v>601</v>
      </c>
      <c r="B200" s="55" t="s">
        <v>602</v>
      </c>
      <c r="C200" s="55" t="s">
        <v>164</v>
      </c>
      <c r="D200" s="55" t="s">
        <v>173</v>
      </c>
      <c r="E200" s="55" t="s">
        <v>185</v>
      </c>
      <c r="F200" s="55" t="s">
        <v>218</v>
      </c>
      <c r="G200" s="56" t="n">
        <v>39.92</v>
      </c>
      <c r="H200" s="57" t="n">
        <f aca="false">MAX(0,IF(AND(Parameter!$B$21="Ja",ISNUMBER(Y200)),Y200,IF(Parameter!$B$20="Jahresanfang 2025 + Export",BL200+BK200,BK200)))</f>
        <v>78</v>
      </c>
      <c r="I200" s="57" t="n">
        <f aca="false">H200*G200</f>
        <v>3113.76</v>
      </c>
      <c r="J200" s="57" t="n">
        <f aca="false">BN200*Parameter!$B$18</f>
        <v>281</v>
      </c>
      <c r="K200" s="58" t="n">
        <v>49</v>
      </c>
      <c r="L200" s="59" t="n">
        <v>5.73469387755102</v>
      </c>
      <c r="M200" s="57" t="n">
        <v>5</v>
      </c>
      <c r="N200" s="57" t="n">
        <v>135</v>
      </c>
      <c r="O200" s="60" t="n">
        <v>7</v>
      </c>
      <c r="P200" s="55" t="s">
        <v>226</v>
      </c>
      <c r="Q200" s="57" t="n">
        <v>50</v>
      </c>
      <c r="R200" s="60" t="n">
        <f aca="false">IF(BT200=1,0,IFERROR(VLOOKUP(BR200,'Gebinde-Kategorie'!$A$5:$M$45,13,0)+0,0))</f>
        <v>12</v>
      </c>
      <c r="S200" s="61"/>
      <c r="T200" s="62"/>
      <c r="U200" s="62"/>
      <c r="V200" s="62"/>
      <c r="W200" s="55"/>
      <c r="X200" s="57"/>
      <c r="Y200" s="57"/>
      <c r="Z200" s="55" t="n">
        <f aca="false">IF(A200="","",IF(AND(Parameter!$B$21="Ja",ISNUMBER(W200)),W200,IF(BV200="2+3",IF(ISNUMBER(SEARCH("grosser Artikel",BO200)),2,IFERROR(VLOOKUP(BR200,Parameter!$F$35:$G$64,2,0),2)),IF(OR(BV200="Nein",BV200=""),"-",BV200))))</f>
        <v>2</v>
      </c>
      <c r="AA200" s="62"/>
      <c r="AB200" s="63"/>
      <c r="AC200" s="57" t="n">
        <f aca="false">AR200</f>
        <v>150</v>
      </c>
      <c r="AD200" s="57" t="n">
        <f aca="false">MAX(AR200,H200)</f>
        <v>150</v>
      </c>
      <c r="AE200" s="64"/>
      <c r="AF200" s="57" t="n">
        <f aca="false">IF(LEFT(Cockpit!$C$5,1)="A",H200,IF(CA200=1,CB200,IF(LEFT(Cockpit!$C$5,1)="B",AJ200,MAX(AJ200,H200))))</f>
        <v>78</v>
      </c>
      <c r="AG200" s="57" t="n">
        <f aca="false">IF(BT200=1,0,ROUNDUP(AF200/BS200,0))</f>
        <v>2</v>
      </c>
      <c r="AH200" s="59" t="n">
        <f aca="false">IF(CH200&gt;0,CH200*MAX(1,AF200/X200),IF(BT200=1,IF(AF200&lt;=0,0,BW200*MAX(1,IF(H200&gt;0,AF200/H200,1))),IF(R200&gt;0,AG200/R200,0))/MAX(0.1,N(Parameter!$M$21)))</f>
        <v>0.166666666666667</v>
      </c>
      <c r="AI200" s="57" t="n">
        <f aca="false">AF200*G200</f>
        <v>3113.76</v>
      </c>
      <c r="AJ200" s="57" t="n">
        <f aca="false">ROUNDUP(MAX(J200/IF(BZ200&gt;0,BZ200,MAX(0.1,N(Cockpit!$C$6))),CC200)/BS200,0)*BS200</f>
        <v>150</v>
      </c>
      <c r="AK200" s="58" t="n">
        <f aca="false">IF(AH200&gt;0,J200/AH200,-1)</f>
        <v>1686</v>
      </c>
      <c r="AL200" s="58" t="n">
        <f aca="false">IF(AND(OR(BY200="L1",BY200="L23"),AH200&gt;0),SUMIFS($AH$7:$AH$1843,$BY$7:$BY$1843,BY200,$AK$7:$AK$1843,"&gt;"&amp;AK200)+SUMIFS($AH$7:$AH$1843,$BY$7:$BY$1843,BY200,$AK$7:$AK$1843,AK200,$BQ$7:$BQ$1843,"&lt;="&amp;BQ200),"")</f>
        <v>15.4180602006689</v>
      </c>
      <c r="AM200" s="65" t="n">
        <f aca="false">IF(AL200="",0,MAX(0,MIN(1,(IF(BY200="L1",Parameter!$E$5,Parameter!$E$6+Parameter!$E$7)-(AL200-AH200))/AH200)))</f>
        <v>1</v>
      </c>
      <c r="AN200" s="57" t="n">
        <f aca="false">IF(LEFT(Cockpit!$I$5,1)="A",H200,IF(CA200=1,CB200,IF(LEFT(Cockpit!$I$5,1)="B",AR200,MAX(AR200,H200))))</f>
        <v>150</v>
      </c>
      <c r="AO200" s="57" t="n">
        <f aca="false">IF(BT200=1,0,ROUNDUP(AN200/BS200,0))</f>
        <v>3</v>
      </c>
      <c r="AP200" s="59" t="n">
        <f aca="false">IF(CH200&gt;0,CH200*MAX(1,AN200/X200),IF(BT200=1,IF(AN200&lt;=0,0,BW200*MAX(1,IF(H200&gt;0,AN200/H200,1))),IF(R200&gt;0,AO200/R200,0))/MAX(0.1,N(Parameter!$M$21)))</f>
        <v>0.25</v>
      </c>
      <c r="AQ200" s="57" t="n">
        <f aca="false">AN200*G200</f>
        <v>5988</v>
      </c>
      <c r="AR200" s="57" t="n">
        <f aca="false">ROUNDUP(MAX(J200/IF(BZ200&gt;0,BZ200,MAX(0.1,N(Cockpit!$I$6))),CC200)/BS200,0)*BS200</f>
        <v>150</v>
      </c>
      <c r="AS200" s="58" t="n">
        <f aca="false">IF(AP200&gt;0,J200/AP200,-1)</f>
        <v>1124</v>
      </c>
      <c r="AT200" s="58" t="n">
        <f aca="false">IF(AND(OR(BY200="L1",BY200="L23"),AP200&gt;0),SUMIFS($AP$7:$AP$1843,$BY$7:$BY$1843,BY200,$AS$7:$AS$1843,"&gt;"&amp;AS200)+SUMIFS($AP$7:$AP$1843,$BY$7:$BY$1843,BY200,$AS$7:$AS$1843,AS200,$BQ$7:$BQ$1843,"&lt;="&amp;BQ200),"")</f>
        <v>23.3087733522516</v>
      </c>
      <c r="AU200" s="65" t="n">
        <f aca="false">IF(AT200="",0,MAX(0,MIN(1,(IF(BY200="L1",Parameter!$E$5,Parameter!$E$6+Parameter!$E$7)-(AT200-AP200))/AP200)))</f>
        <v>1</v>
      </c>
      <c r="AV200" s="57" t="n">
        <f aca="false">IF(LEFT(Cockpit!$O$5,1)="A",H200,IF(CA200=1,CB200,IF(LEFT(Cockpit!$O$5,1)="B",AZ200,MAX(AZ200,H200))))</f>
        <v>150</v>
      </c>
      <c r="AW200" s="57" t="n">
        <f aca="false">IF(BT200=1,0,ROUNDUP(AV200/BS200,0))</f>
        <v>3</v>
      </c>
      <c r="AX200" s="59" t="n">
        <f aca="false">IF(CH200&gt;0,CH200*MAX(1,AV200/X200),IF(BT200=1,IF(AV200&lt;=0,0,BW200*MAX(1,IF(H200&gt;0,AV200/H200,1))),IF(R200&gt;0,AW200/R200,0))/MAX(0.1,N(Parameter!$M$21)))</f>
        <v>0.25</v>
      </c>
      <c r="AY200" s="57" t="n">
        <f aca="false">AV200*G200</f>
        <v>5988</v>
      </c>
      <c r="AZ200" s="57" t="n">
        <f aca="false">ROUNDUP(MAX(J200/IF(BZ200&gt;0,BZ200,MAX(0.1,N(Cockpit!$O$6))),CC200)/BS200,0)*BS200</f>
        <v>150</v>
      </c>
      <c r="BA200" s="58" t="n">
        <f aca="false">IF(AX200&gt;0,J200/AX200,-1)</f>
        <v>1124</v>
      </c>
      <c r="BB200" s="58" t="n">
        <f aca="false">IF(AND(OR(BY200="L1",BY200="L23"),AX200&gt;0),SUMIFS($AX$7:$AX$1843,$BY$7:$BY$1843,BY200,$BA$7:$BA$1843,"&gt;"&amp;BA200)+SUMIFS($AX$7:$AX$1843,$BY$7:$BY$1843,BY200,$BA$7:$BA$1843,BA200,$BQ$7:$BQ$1843,"&lt;="&amp;BQ200),"")</f>
        <v>22.2539947974731</v>
      </c>
      <c r="BC200" s="65" t="n">
        <f aca="false">IF(BB200="",0,MAX(0,MIN(1,(IF(BY200="L1",Parameter!$E$5,Parameter!$E$6+Parameter!$E$7)-(BB200-AX200))/AX200)))</f>
        <v>1</v>
      </c>
      <c r="BD200" s="55" t="str">
        <f aca="false">IF(AH200&lt;=0,"",IF(BY200="Aussen","Aussenlager",IF(BY200="-","Nicht im Lift",IF(AM200&gt;=1,"Lift",IF(AM200&lt;=0,"Aussenlager","teilweise")))))</f>
        <v>Lift</v>
      </c>
      <c r="BE200" s="55" t="str">
        <f aca="false">IF(AP200&lt;=0,"",IF(BY200="Aussen","Aussenlager",IF(BY200="-","Nicht im Lift",IF(AU200&gt;=1,"Lift",IF(AU200&lt;=0,"Aussenlager","teilweise")))))</f>
        <v>Lift</v>
      </c>
      <c r="BF200" s="55" t="str">
        <f aca="false">IF(AX200&lt;=0,"",IF(BY200="Aussen","Aussenlager",IF(BY200="-","Nicht im Lift",IF(BC200&gt;=1,"Lift",IF(BC200&lt;=0,"Aussenlager","teilweise")))))</f>
        <v>Lift</v>
      </c>
      <c r="BG200" s="55" t="str">
        <f aca="false">IF(A200="","",IF(BP200=1,"Neu; ","")&amp;IF(AND(BP200=0,BK200&lt;0),"negativer Bestand (Export "&amp;BK200&amp;"); ","")&amp;IF(J200&lt;=0,"Kein Verbrauch; ","")&amp;IF(CH200&gt;0,"Lift "&amp;W200&amp;" lt. Liftbericht (Fach "&amp;X200&amp;" Stk); ",IF(BU200=1,"Gebinde geschätzt ("&amp;T200&amp;"); ",IF(BT200=1,"Lose – Tablare geschätzt; ","")))&amp;IF(H200&gt;AR200,"Überbestand "&amp;ROUND(H200-AR200,0)&amp;" Stk / CHF "&amp;ROUND((H200-AR200)*G200,0)&amp;"; ","")&amp;IF(AND(CA200=1,CB200&lt;CC200),"MAX &lt; MB+LG; ","")&amp;IF(AND(CG200&gt;0,CF200*10&gt;CG200),"zu hoch für Tablar; ","")&amp;IF(AND(BP200=0,OR(CA200=1,AA200&lt;&gt;"",U200&lt;&gt;"",V200&lt;&gt;"",AB200&lt;&gt;"")),"manuell übersteuert; ","")&amp;IF(AND(BT200=0,R200=0),"Gebinde unbekannt / Stellmass fehlt; ","")&amp;IF(AND(BT200=0,N(V200)&lt;=0,N(Q200)&lt;=0),"Menge pro Gebinde fehlt (Ist = 1 Gebinde); ","")&amp;BO200)</f>
        <v/>
      </c>
      <c r="BH200" s="55"/>
      <c r="BI200" s="55"/>
      <c r="BJ200" s="62"/>
      <c r="BK200" s="57" t="n">
        <v>21</v>
      </c>
      <c r="BL200" s="57" t="n">
        <v>57</v>
      </c>
      <c r="BM200" s="56" t="n">
        <v>810.96</v>
      </c>
      <c r="BN200" s="57" t="n">
        <v>281</v>
      </c>
      <c r="BO200" s="55"/>
      <c r="BP200" s="60" t="n">
        <v>0</v>
      </c>
      <c r="BQ200" s="60" t="n">
        <v>200</v>
      </c>
      <c r="BR200" s="55" t="str">
        <f aca="false">IF(U200&lt;&gt;"",UPPER(TRIM(U200)),IF(BU200=1,UPPER(VLOOKUP(T200,Parameter!$I$27:$K$29,2,0)),IF(P200="","LOSE",P200)))</f>
        <v>S63</v>
      </c>
      <c r="BS200" s="57" t="n">
        <f aca="false">IF(BR200="LOSE",1,IF(N(V200)&gt;0,V200,IF(BU200=1,MAX(1,N(VLOOKUP(T200,Parameter!$I$27:$K$29,3,0)),H200,N(N200)),IF(N(Q200)&gt;0,Q200,MAX(1,H200)))))</f>
        <v>50</v>
      </c>
      <c r="BT200" s="60" t="n">
        <f aca="false">IF(BR200="LOSE",1,0)</f>
        <v>0</v>
      </c>
      <c r="BU200" s="60" t="n">
        <f aca="false">IF(AND(U200="",OR(P200="",P200="LOSE"),T200&lt;&gt;"",N(S200)&lt;=0,ISNUMBER(MATCH(T200,Parameter!$I$27:$I$29,0))),1,0)</f>
        <v>0</v>
      </c>
      <c r="BV200" s="55" t="str">
        <f aca="false">IF(AND(Parameter!$B$19="Ja",E200&lt;&gt;"",ISNUMBER(MATCH(E200,Parameter!$I$35:$I$52,0))),VLOOKUP(E200,Parameter!$I$35:$J$52,2,0),IFERROR(VLOOKUP(D200,Parameter!$A$35:$C$64,2,0),"Nein"))</f>
        <v>2+3</v>
      </c>
      <c r="BW200" s="59" t="n">
        <f aca="false">IF(BT200=0,0,IF(N(S200)&gt;0,S200,IFERROR(VLOOKUP(D200,Parameter!$A$35:$C$64,3,0)+0,0)))</f>
        <v>0</v>
      </c>
      <c r="BX200" s="55" t="n">
        <f aca="false">IF(AA200&lt;&gt;"",AA200,Z200)</f>
        <v>2</v>
      </c>
      <c r="BY200" s="55" t="str">
        <f aca="false">IF(BX200=1,"L1",IF(OR(BX200=2,BX200=3),"L23",IF(BX200="Aussen","Aussen","-")))</f>
        <v>L23</v>
      </c>
      <c r="BZ200" s="66" t="n">
        <f aca="false">IF(N(AB200)&gt;0,AB200,0)</f>
        <v>0</v>
      </c>
      <c r="CA200" s="60" t="n">
        <f aca="false">IF(ISNUMBER(AE200),1,0)</f>
        <v>0</v>
      </c>
      <c r="CB200" s="57" t="n">
        <f aca="false">N(AE200)</f>
        <v>0</v>
      </c>
      <c r="CC200" s="57" t="n">
        <f aca="false">N(M200)+N(N200)</f>
        <v>140</v>
      </c>
      <c r="CD200" s="57" t="n">
        <f aca="false">ROUNDUP(H200/BS200,0)</f>
        <v>2</v>
      </c>
      <c r="CE200" s="57" t="n">
        <f aca="false">ROUNDUP(CB200/BS200,0)</f>
        <v>0</v>
      </c>
      <c r="CF200" s="60" t="n">
        <f aca="false">IF(BT200=1,0,IFERROR(VLOOKUP(BR200,'Gebinde-Kategorie'!$A$5:$M$45,5,0)+0,0))</f>
        <v>31</v>
      </c>
      <c r="CG200" s="60" t="n">
        <f aca="false">IFERROR(IF(OR(BX200=1,BX200=2,BX200=3),N(INDEX(Parameter!$I$5:$I$7,BX200)),0),0)</f>
        <v>0</v>
      </c>
      <c r="CH200" s="59" t="n">
        <f aca="false">IF(AND(Parameter!$B$21="Ja",ISNUMBER(W200),N(X200)&gt;0),IFERROR(N(INDEX(Parameter!$L$5:$L$7,W200))*INDEX(Parameter!$E$5:$E$7,W200)*X200/SUMIFS($X$7:$X$1843,$W$7:$W$1843,W200),0),0)</f>
        <v>0</v>
      </c>
    </row>
    <row r="201" customFormat="false" ht="15" hidden="false" customHeight="false" outlineLevel="0" collapsed="false">
      <c r="A201" s="55" t="s">
        <v>603</v>
      </c>
      <c r="B201" s="55" t="s">
        <v>604</v>
      </c>
      <c r="C201" s="55" t="s">
        <v>164</v>
      </c>
      <c r="D201" s="55" t="s">
        <v>173</v>
      </c>
      <c r="E201" s="55" t="s">
        <v>185</v>
      </c>
      <c r="F201" s="55" t="s">
        <v>218</v>
      </c>
      <c r="G201" s="56" t="n">
        <v>98.69</v>
      </c>
      <c r="H201" s="57" t="n">
        <f aca="false">MAX(0,IF(AND(Parameter!$B$21="Ja",ISNUMBER(Y201)),Y201,IF(Parameter!$B$20="Jahresanfang 2025 + Export",BL201+BK201,BK201)))</f>
        <v>33</v>
      </c>
      <c r="I201" s="57" t="n">
        <f aca="false">H201*G201</f>
        <v>3256.77</v>
      </c>
      <c r="J201" s="57" t="n">
        <f aca="false">BN201*Parameter!$B$18</f>
        <v>77</v>
      </c>
      <c r="K201" s="58" t="n">
        <v>30</v>
      </c>
      <c r="L201" s="59" t="n">
        <v>2.56666666666667</v>
      </c>
      <c r="M201" s="57" t="n">
        <v>10</v>
      </c>
      <c r="N201" s="57" t="n">
        <v>45</v>
      </c>
      <c r="O201" s="60" t="n">
        <v>49</v>
      </c>
      <c r="P201" s="55" t="s">
        <v>174</v>
      </c>
      <c r="Q201" s="57" t="n">
        <v>18</v>
      </c>
      <c r="R201" s="60" t="n">
        <f aca="false">IF(BT201=1,0,IFERROR(VLOOKUP(BR201,'Gebinde-Kategorie'!$A$5:$M$45,13,0)+0,0))</f>
        <v>6</v>
      </c>
      <c r="S201" s="61"/>
      <c r="T201" s="62"/>
      <c r="U201" s="62"/>
      <c r="V201" s="62"/>
      <c r="W201" s="55"/>
      <c r="X201" s="57"/>
      <c r="Y201" s="57"/>
      <c r="Z201" s="55" t="n">
        <f aca="false">IF(A201="","",IF(AND(Parameter!$B$21="Ja",ISNUMBER(W201)),W201,IF(BV201="2+3",IF(ISNUMBER(SEARCH("grosser Artikel",BO201)),2,IFERROR(VLOOKUP(BR201,Parameter!$F$35:$G$64,2,0),2)),IF(OR(BV201="Nein",BV201=""),"-",BV201))))</f>
        <v>2</v>
      </c>
      <c r="AA201" s="62"/>
      <c r="AB201" s="63"/>
      <c r="AC201" s="57" t="n">
        <f aca="false">AR201</f>
        <v>72</v>
      </c>
      <c r="AD201" s="57" t="n">
        <f aca="false">MAX(AR201,H201)</f>
        <v>72</v>
      </c>
      <c r="AE201" s="64"/>
      <c r="AF201" s="57" t="n">
        <f aca="false">IF(LEFT(Cockpit!$C$5,1)="A",H201,IF(CA201=1,CB201,IF(LEFT(Cockpit!$C$5,1)="B",AJ201,MAX(AJ201,H201))))</f>
        <v>33</v>
      </c>
      <c r="AG201" s="57" t="n">
        <f aca="false">IF(BT201=1,0,ROUNDUP(AF201/BS201,0))</f>
        <v>2</v>
      </c>
      <c r="AH201" s="59" t="n">
        <f aca="false">IF(CH201&gt;0,CH201*MAX(1,AF201/X201),IF(BT201=1,IF(AF201&lt;=0,0,BW201*MAX(1,IF(H201&gt;0,AF201/H201,1))),IF(R201&gt;0,AG201/R201,0))/MAX(0.1,N(Parameter!$M$21)))</f>
        <v>0.333333333333333</v>
      </c>
      <c r="AI201" s="57" t="n">
        <f aca="false">AF201*G201</f>
        <v>3256.77</v>
      </c>
      <c r="AJ201" s="57" t="n">
        <f aca="false">ROUNDUP(MAX(J201/IF(BZ201&gt;0,BZ201,MAX(0.1,N(Cockpit!$C$6))),CC201)/BS201,0)*BS201</f>
        <v>72</v>
      </c>
      <c r="AK201" s="58" t="n">
        <f aca="false">IF(AH201&gt;0,J201/AH201,-1)</f>
        <v>231</v>
      </c>
      <c r="AL201" s="58" t="n">
        <f aca="false">IF(AND(OR(BY201="L1",BY201="L23"),AH201&gt;0),SUMIFS($AH$7:$AH$1843,$BY$7:$BY$1843,BY201,$AK$7:$AK$1843,"&gt;"&amp;AK201)+SUMIFS($AH$7:$AH$1843,$BY$7:$BY$1843,BY201,$AK$7:$AK$1843,AK201,$BQ$7:$BQ$1843,"&lt;="&amp;BQ201),"")</f>
        <v>31.214545116719</v>
      </c>
      <c r="AM201" s="65" t="n">
        <f aca="false">IF(AL201="",0,MAX(0,MIN(1,(IF(BY201="L1",Parameter!$E$5,Parameter!$E$6+Parameter!$E$7)-(AL201-AH201))/AH201)))</f>
        <v>1</v>
      </c>
      <c r="AN201" s="57" t="n">
        <f aca="false">IF(LEFT(Cockpit!$I$5,1)="A",H201,IF(CA201=1,CB201,IF(LEFT(Cockpit!$I$5,1)="B",AR201,MAX(AR201,H201))))</f>
        <v>72</v>
      </c>
      <c r="AO201" s="57" t="n">
        <f aca="false">IF(BT201=1,0,ROUNDUP(AN201/BS201,0))</f>
        <v>4</v>
      </c>
      <c r="AP201" s="59" t="n">
        <f aca="false">IF(CH201&gt;0,CH201*MAX(1,AN201/X201),IF(BT201=1,IF(AN201&lt;=0,0,BW201*MAX(1,IF(H201&gt;0,AN201/H201,1))),IF(R201&gt;0,AO201/R201,0))/MAX(0.1,N(Parameter!$M$21)))</f>
        <v>0.666666666666667</v>
      </c>
      <c r="AQ201" s="57" t="n">
        <f aca="false">AN201*G201</f>
        <v>7105.68</v>
      </c>
      <c r="AR201" s="57" t="n">
        <f aca="false">ROUNDUP(MAX(J201/IF(BZ201&gt;0,BZ201,MAX(0.1,N(Cockpit!$I$6))),CC201)/BS201,0)*BS201</f>
        <v>72</v>
      </c>
      <c r="AS201" s="58" t="n">
        <f aca="false">IF(AP201&gt;0,J201/AP201,-1)</f>
        <v>115.5</v>
      </c>
      <c r="AT201" s="58" t="n">
        <f aca="false">IF(AND(OR(BY201="L1",BY201="L23"),AP201&gt;0),SUMIFS($AP$7:$AP$1843,$BY$7:$BY$1843,BY201,$AS$7:$AS$1843,"&gt;"&amp;AS201)+SUMIFS($AP$7:$AP$1843,$BY$7:$BY$1843,BY201,$AS$7:$AS$1843,AS201,$BQ$7:$BQ$1843,"&lt;="&amp;BQ201),"")</f>
        <v>55.2281172933347</v>
      </c>
      <c r="AU201" s="65" t="n">
        <f aca="false">IF(AT201="",0,MAX(0,MIN(1,(IF(BY201="L1",Parameter!$E$5,Parameter!$E$6+Parameter!$E$7)-(AT201-AP201))/AP201)))</f>
        <v>1</v>
      </c>
      <c r="AV201" s="57" t="n">
        <f aca="false">IF(LEFT(Cockpit!$O$5,1)="A",H201,IF(CA201=1,CB201,IF(LEFT(Cockpit!$O$5,1)="B",AZ201,MAX(AZ201,H201))))</f>
        <v>72</v>
      </c>
      <c r="AW201" s="57" t="n">
        <f aca="false">IF(BT201=1,0,ROUNDUP(AV201/BS201,0))</f>
        <v>4</v>
      </c>
      <c r="AX201" s="59" t="n">
        <f aca="false">IF(CH201&gt;0,CH201*MAX(1,AV201/X201),IF(BT201=1,IF(AV201&lt;=0,0,BW201*MAX(1,IF(H201&gt;0,AV201/H201,1))),IF(R201&gt;0,AW201/R201,0))/MAX(0.1,N(Parameter!$M$21)))</f>
        <v>0.666666666666667</v>
      </c>
      <c r="AY201" s="57" t="n">
        <f aca="false">AV201*G201</f>
        <v>7105.68</v>
      </c>
      <c r="AZ201" s="57" t="n">
        <f aca="false">ROUNDUP(MAX(J201/IF(BZ201&gt;0,BZ201,MAX(0.1,N(Cockpit!$O$6))),CC201)/BS201,0)*BS201</f>
        <v>72</v>
      </c>
      <c r="BA201" s="58" t="n">
        <f aca="false">IF(AX201&gt;0,J201/AX201,-1)</f>
        <v>115.5</v>
      </c>
      <c r="BB201" s="58" t="n">
        <f aca="false">IF(AND(OR(BY201="L1",BY201="L23"),AX201&gt;0),SUMIFS($AX$7:$AX$1843,$BY$7:$BY$1843,BY201,$BA$7:$BA$1843,"&gt;"&amp;BA201)+SUMIFS($AX$7:$AX$1843,$BY$7:$BY$1843,BY201,$BA$7:$BA$1843,BA201,$BQ$7:$BQ$1843,"&lt;="&amp;BQ201),"")</f>
        <v>53.0579541231715</v>
      </c>
      <c r="BC201" s="65" t="n">
        <f aca="false">IF(BB201="",0,MAX(0,MIN(1,(IF(BY201="L1",Parameter!$E$5,Parameter!$E$6+Parameter!$E$7)-(BB201-AX201))/AX201)))</f>
        <v>1</v>
      </c>
      <c r="BD201" s="55" t="str">
        <f aca="false">IF(AH201&lt;=0,"",IF(BY201="Aussen","Aussenlager",IF(BY201="-","Nicht im Lift",IF(AM201&gt;=1,"Lift",IF(AM201&lt;=0,"Aussenlager","teilweise")))))</f>
        <v>Lift</v>
      </c>
      <c r="BE201" s="55" t="str">
        <f aca="false">IF(AP201&lt;=0,"",IF(BY201="Aussen","Aussenlager",IF(BY201="-","Nicht im Lift",IF(AU201&gt;=1,"Lift",IF(AU201&lt;=0,"Aussenlager","teilweise")))))</f>
        <v>Lift</v>
      </c>
      <c r="BF201" s="55" t="str">
        <f aca="false">IF(AX201&lt;=0,"",IF(BY201="Aussen","Aussenlager",IF(BY201="-","Nicht im Lift",IF(BC201&gt;=1,"Lift",IF(BC201&lt;=0,"Aussenlager","teilweise")))))</f>
        <v>Lift</v>
      </c>
      <c r="BG201" s="55" t="str">
        <f aca="false">IF(A201="","",IF(BP201=1,"Neu; ","")&amp;IF(AND(BP201=0,BK201&lt;0),"negativer Bestand (Export "&amp;BK201&amp;"); ","")&amp;IF(J201&lt;=0,"Kein Verbrauch; ","")&amp;IF(CH201&gt;0,"Lift "&amp;W201&amp;" lt. Liftbericht (Fach "&amp;X201&amp;" Stk); ",IF(BU201=1,"Gebinde geschätzt ("&amp;T201&amp;"); ",IF(BT201=1,"Lose – Tablare geschätzt; ","")))&amp;IF(H201&gt;AR201,"Überbestand "&amp;ROUND(H201-AR201,0)&amp;" Stk / CHF "&amp;ROUND((H201-AR201)*G201,0)&amp;"; ","")&amp;IF(AND(CA201=1,CB201&lt;CC201),"MAX &lt; MB+LG; ","")&amp;IF(AND(CG201&gt;0,CF201*10&gt;CG201),"zu hoch für Tablar; ","")&amp;IF(AND(BP201=0,OR(CA201=1,AA201&lt;&gt;"",U201&lt;&gt;"",V201&lt;&gt;"",AB201&lt;&gt;"")),"manuell übersteuert; ","")&amp;IF(AND(BT201=0,R201=0),"Gebinde unbekannt / Stellmass fehlt; ","")&amp;IF(AND(BT201=0,N(V201)&lt;=0,N(Q201)&lt;=0),"Menge pro Gebinde fehlt (Ist = 1 Gebinde); ","")&amp;BO201)</f>
        <v>grosser Artikel &amp; nicht im KTL</v>
      </c>
      <c r="BH201" s="55"/>
      <c r="BI201" s="55"/>
      <c r="BJ201" s="62"/>
      <c r="BK201" s="57" t="n">
        <v>8</v>
      </c>
      <c r="BL201" s="57" t="n">
        <v>25</v>
      </c>
      <c r="BM201" s="56" t="n">
        <v>801.770000000001</v>
      </c>
      <c r="BN201" s="57" t="n">
        <v>77</v>
      </c>
      <c r="BO201" s="55" t="s">
        <v>261</v>
      </c>
      <c r="BP201" s="60" t="n">
        <v>0</v>
      </c>
      <c r="BQ201" s="60" t="n">
        <v>201</v>
      </c>
      <c r="BR201" s="55" t="str">
        <f aca="false">IF(U201&lt;&gt;"",UPPER(TRIM(U201)),IF(BU201=1,UPPER(VLOOKUP(T201,Parameter!$I$27:$K$29,2,0)),IF(P201="","LOSE",P201)))</f>
        <v>S71</v>
      </c>
      <c r="BS201" s="57" t="n">
        <f aca="false">IF(BR201="LOSE",1,IF(N(V201)&gt;0,V201,IF(BU201=1,MAX(1,N(VLOOKUP(T201,Parameter!$I$27:$K$29,3,0)),H201,N(N201)),IF(N(Q201)&gt;0,Q201,MAX(1,H201)))))</f>
        <v>18</v>
      </c>
      <c r="BT201" s="60" t="n">
        <f aca="false">IF(BR201="LOSE",1,0)</f>
        <v>0</v>
      </c>
      <c r="BU201" s="60" t="n">
        <f aca="false">IF(AND(U201="",OR(P201="",P201="LOSE"),T201&lt;&gt;"",N(S201)&lt;=0,ISNUMBER(MATCH(T201,Parameter!$I$27:$I$29,0))),1,0)</f>
        <v>0</v>
      </c>
      <c r="BV201" s="55" t="str">
        <f aca="false">IF(AND(Parameter!$B$19="Ja",E201&lt;&gt;"",ISNUMBER(MATCH(E201,Parameter!$I$35:$I$52,0))),VLOOKUP(E201,Parameter!$I$35:$J$52,2,0),IFERROR(VLOOKUP(D201,Parameter!$A$35:$C$64,2,0),"Nein"))</f>
        <v>2+3</v>
      </c>
      <c r="BW201" s="59" t="n">
        <f aca="false">IF(BT201=0,0,IF(N(S201)&gt;0,S201,IFERROR(VLOOKUP(D201,Parameter!$A$35:$C$64,3,0)+0,0)))</f>
        <v>0</v>
      </c>
      <c r="BX201" s="55" t="n">
        <f aca="false">IF(AA201&lt;&gt;"",AA201,Z201)</f>
        <v>2</v>
      </c>
      <c r="BY201" s="55" t="str">
        <f aca="false">IF(BX201=1,"L1",IF(OR(BX201=2,BX201=3),"L23",IF(BX201="Aussen","Aussen","-")))</f>
        <v>L23</v>
      </c>
      <c r="BZ201" s="66" t="n">
        <f aca="false">IF(N(AB201)&gt;0,AB201,0)</f>
        <v>0</v>
      </c>
      <c r="CA201" s="60" t="n">
        <f aca="false">IF(ISNUMBER(AE201),1,0)</f>
        <v>0</v>
      </c>
      <c r="CB201" s="57" t="n">
        <f aca="false">N(AE201)</f>
        <v>0</v>
      </c>
      <c r="CC201" s="57" t="n">
        <f aca="false">N(M201)+N(N201)</f>
        <v>55</v>
      </c>
      <c r="CD201" s="57" t="n">
        <f aca="false">ROUNDUP(H201/BS201,0)</f>
        <v>2</v>
      </c>
      <c r="CE201" s="57" t="n">
        <f aca="false">ROUNDUP(CB201/BS201,0)</f>
        <v>0</v>
      </c>
      <c r="CF201" s="60" t="n">
        <f aca="false">IF(BT201=1,0,IFERROR(VLOOKUP(BR201,'Gebinde-Kategorie'!$A$5:$M$45,5,0)+0,0))</f>
        <v>20</v>
      </c>
      <c r="CG201" s="60" t="n">
        <f aca="false">IFERROR(IF(OR(BX201=1,BX201=2,BX201=3),N(INDEX(Parameter!$I$5:$I$7,BX201)),0),0)</f>
        <v>0</v>
      </c>
      <c r="CH201" s="59" t="n">
        <f aca="false">IF(AND(Parameter!$B$21="Ja",ISNUMBER(W201),N(X201)&gt;0),IFERROR(N(INDEX(Parameter!$L$5:$L$7,W201))*INDEX(Parameter!$E$5:$E$7,W201)*X201/SUMIFS($X$7:$X$1843,$W$7:$W$1843,W201),0),0)</f>
        <v>0</v>
      </c>
    </row>
    <row r="202" customFormat="false" ht="15" hidden="false" customHeight="false" outlineLevel="0" collapsed="false">
      <c r="A202" s="55" t="s">
        <v>605</v>
      </c>
      <c r="B202" s="55" t="s">
        <v>431</v>
      </c>
      <c r="C202" s="55" t="s">
        <v>164</v>
      </c>
      <c r="D202" s="55" t="s">
        <v>184</v>
      </c>
      <c r="E202" s="55" t="s">
        <v>185</v>
      </c>
      <c r="F202" s="55" t="s">
        <v>218</v>
      </c>
      <c r="G202" s="56" t="n">
        <v>66.73</v>
      </c>
      <c r="H202" s="57" t="n">
        <f aca="false">MAX(0,IF(AND(Parameter!$B$21="Ja",ISNUMBER(Y202)),Y202,IF(Parameter!$B$20="Jahresanfang 2025 + Export",BL202+BK202,BK202)))</f>
        <v>39</v>
      </c>
      <c r="I202" s="57" t="n">
        <f aca="false">H202*G202</f>
        <v>2602.47</v>
      </c>
      <c r="J202" s="57" t="n">
        <f aca="false">BN202*Parameter!$B$18</f>
        <v>7</v>
      </c>
      <c r="K202" s="58" t="n">
        <v>35</v>
      </c>
      <c r="L202" s="59" t="n">
        <v>0.2</v>
      </c>
      <c r="M202" s="57" t="n">
        <v>1</v>
      </c>
      <c r="N202" s="57" t="n">
        <v>5</v>
      </c>
      <c r="O202" s="60" t="n">
        <v>70</v>
      </c>
      <c r="P202" s="55" t="s">
        <v>233</v>
      </c>
      <c r="Q202" s="57" t="n">
        <v>45</v>
      </c>
      <c r="R202" s="60" t="n">
        <f aca="false">IF(BT202=1,0,IFERROR(VLOOKUP(BR202,'Gebinde-Kategorie'!$A$5:$M$45,13,0)+0,0))</f>
        <v>26</v>
      </c>
      <c r="S202" s="61"/>
      <c r="T202" s="62"/>
      <c r="U202" s="62"/>
      <c r="V202" s="62"/>
      <c r="W202" s="55"/>
      <c r="X202" s="57"/>
      <c r="Y202" s="57"/>
      <c r="Z202" s="55" t="n">
        <f aca="false">IF(A202="","",IF(AND(Parameter!$B$21="Ja",ISNUMBER(W202)),W202,IF(BV202="2+3",IF(ISNUMBER(SEARCH("grosser Artikel",BO202)),2,IFERROR(VLOOKUP(BR202,Parameter!$F$35:$G$64,2,0),2)),IF(OR(BV202="Nein",BV202=""),"-",BV202))))</f>
        <v>3</v>
      </c>
      <c r="AA202" s="62"/>
      <c r="AB202" s="63"/>
      <c r="AC202" s="57" t="n">
        <f aca="false">AR202</f>
        <v>45</v>
      </c>
      <c r="AD202" s="57" t="n">
        <f aca="false">MAX(AR202,H202)</f>
        <v>45</v>
      </c>
      <c r="AE202" s="64"/>
      <c r="AF202" s="57" t="n">
        <f aca="false">IF(LEFT(Cockpit!$C$5,1)="A",H202,IF(CA202=1,CB202,IF(LEFT(Cockpit!$C$5,1)="B",AJ202,MAX(AJ202,H202))))</f>
        <v>39</v>
      </c>
      <c r="AG202" s="57" t="n">
        <f aca="false">IF(BT202=1,0,ROUNDUP(AF202/BS202,0))</f>
        <v>1</v>
      </c>
      <c r="AH202" s="59" t="n">
        <f aca="false">IF(CH202&gt;0,CH202*MAX(1,AF202/X202),IF(BT202=1,IF(AF202&lt;=0,0,BW202*MAX(1,IF(H202&gt;0,AF202/H202,1))),IF(R202&gt;0,AG202/R202,0))/MAX(0.1,N(Parameter!$M$21)))</f>
        <v>0.0384615384615385</v>
      </c>
      <c r="AI202" s="57" t="n">
        <f aca="false">AF202*G202</f>
        <v>2602.47</v>
      </c>
      <c r="AJ202" s="57" t="n">
        <f aca="false">ROUNDUP(MAX(J202/IF(BZ202&gt;0,BZ202,MAX(0.1,N(Cockpit!$C$6))),CC202)/BS202,0)*BS202</f>
        <v>45</v>
      </c>
      <c r="AK202" s="58" t="n">
        <f aca="false">IF(AH202&gt;0,J202/AH202,-1)</f>
        <v>182</v>
      </c>
      <c r="AL202" s="58" t="n">
        <f aca="false">IF(AND(OR(BY202="L1",BY202="L23"),AH202&gt;0),SUMIFS($AH$7:$AH$1843,$BY$7:$BY$1843,BY202,$AK$7:$AK$1843,"&gt;"&amp;AK202)+SUMIFS($AH$7:$AH$1843,$BY$7:$BY$1843,BY202,$AK$7:$AK$1843,AK202,$BQ$7:$BQ$1843,"&lt;="&amp;BQ202),"")</f>
        <v>32.7719418262897</v>
      </c>
      <c r="AM202" s="65" t="n">
        <f aca="false">IF(AL202="",0,MAX(0,MIN(1,(IF(BY202="L1",Parameter!$E$5,Parameter!$E$6+Parameter!$E$7)-(AL202-AH202))/AH202)))</f>
        <v>1</v>
      </c>
      <c r="AN202" s="57" t="n">
        <f aca="false">IF(LEFT(Cockpit!$I$5,1)="A",H202,IF(CA202=1,CB202,IF(LEFT(Cockpit!$I$5,1)="B",AR202,MAX(AR202,H202))))</f>
        <v>45</v>
      </c>
      <c r="AO202" s="57" t="n">
        <f aca="false">IF(BT202=1,0,ROUNDUP(AN202/BS202,0))</f>
        <v>1</v>
      </c>
      <c r="AP202" s="59" t="n">
        <f aca="false">IF(CH202&gt;0,CH202*MAX(1,AN202/X202),IF(BT202=1,IF(AN202&lt;=0,0,BW202*MAX(1,IF(H202&gt;0,AN202/H202,1))),IF(R202&gt;0,AO202/R202,0))/MAX(0.1,N(Parameter!$M$21)))</f>
        <v>0.0384615384615385</v>
      </c>
      <c r="AQ202" s="57" t="n">
        <f aca="false">AN202*G202</f>
        <v>3002.85</v>
      </c>
      <c r="AR202" s="57" t="n">
        <f aca="false">ROUNDUP(MAX(J202/IF(BZ202&gt;0,BZ202,MAX(0.1,N(Cockpit!$I$6))),CC202)/BS202,0)*BS202</f>
        <v>45</v>
      </c>
      <c r="AS202" s="58" t="n">
        <f aca="false">IF(AP202&gt;0,J202/AP202,-1)</f>
        <v>182</v>
      </c>
      <c r="AT202" s="58" t="n">
        <f aca="false">IF(AND(OR(BY202="L1",BY202="L23"),AP202&gt;0),SUMIFS($AP$7:$AP$1843,$BY$7:$BY$1843,BY202,$AS$7:$AS$1843,"&gt;"&amp;AS202)+SUMIFS($AP$7:$AP$1843,$BY$7:$BY$1843,BY202,$AS$7:$AS$1843,AS202,$BQ$7:$BQ$1843,"&lt;="&amp;BQ202),"")</f>
        <v>47.7222897875072</v>
      </c>
      <c r="AU202" s="65" t="n">
        <f aca="false">IF(AT202="",0,MAX(0,MIN(1,(IF(BY202="L1",Parameter!$E$5,Parameter!$E$6+Parameter!$E$7)-(AT202-AP202))/AP202)))</f>
        <v>1</v>
      </c>
      <c r="AV202" s="57" t="n">
        <f aca="false">IF(LEFT(Cockpit!$O$5,1)="A",H202,IF(CA202=1,CB202,IF(LEFT(Cockpit!$O$5,1)="B",AZ202,MAX(AZ202,H202))))</f>
        <v>45</v>
      </c>
      <c r="AW202" s="57" t="n">
        <f aca="false">IF(BT202=1,0,ROUNDUP(AV202/BS202,0))</f>
        <v>1</v>
      </c>
      <c r="AX202" s="59" t="n">
        <f aca="false">IF(CH202&gt;0,CH202*MAX(1,AV202/X202),IF(BT202=1,IF(AV202&lt;=0,0,BW202*MAX(1,IF(H202&gt;0,AV202/H202,1))),IF(R202&gt;0,AW202/R202,0))/MAX(0.1,N(Parameter!$M$21)))</f>
        <v>0.0384615384615385</v>
      </c>
      <c r="AY202" s="57" t="n">
        <f aca="false">AV202*G202</f>
        <v>3002.85</v>
      </c>
      <c r="AZ202" s="57" t="n">
        <f aca="false">ROUNDUP(MAX(J202/IF(BZ202&gt;0,BZ202,MAX(0.1,N(Cockpit!$O$6))),CC202)/BS202,0)*BS202</f>
        <v>45</v>
      </c>
      <c r="BA202" s="58" t="n">
        <f aca="false">IF(AX202&gt;0,J202/AX202,-1)</f>
        <v>182</v>
      </c>
      <c r="BB202" s="58" t="n">
        <f aca="false">IF(AND(OR(BY202="L1",BY202="L23"),AX202&gt;0),SUMIFS($AX$7:$AX$1843,$BY$7:$BY$1843,BY202,$BA$7:$BA$1843,"&gt;"&amp;BA202)+SUMIFS($AX$7:$AX$1843,$BY$7:$BY$1843,BY202,$BA$7:$BA$1843,BA202,$BQ$7:$BQ$1843,"&lt;="&amp;BQ202),"")</f>
        <v>43.302126617344</v>
      </c>
      <c r="BC202" s="65" t="n">
        <f aca="false">IF(BB202="",0,MAX(0,MIN(1,(IF(BY202="L1",Parameter!$E$5,Parameter!$E$6+Parameter!$E$7)-(BB202-AX202))/AX202)))</f>
        <v>1</v>
      </c>
      <c r="BD202" s="55" t="str">
        <f aca="false">IF(AH202&lt;=0,"",IF(BY202="Aussen","Aussenlager",IF(BY202="-","Nicht im Lift",IF(AM202&gt;=1,"Lift",IF(AM202&lt;=0,"Aussenlager","teilweise")))))</f>
        <v>Lift</v>
      </c>
      <c r="BE202" s="55" t="str">
        <f aca="false">IF(AP202&lt;=0,"",IF(BY202="Aussen","Aussenlager",IF(BY202="-","Nicht im Lift",IF(AU202&gt;=1,"Lift",IF(AU202&lt;=0,"Aussenlager","teilweise")))))</f>
        <v>Lift</v>
      </c>
      <c r="BF202" s="55" t="str">
        <f aca="false">IF(AX202&lt;=0,"",IF(BY202="Aussen","Aussenlager",IF(BY202="-","Nicht im Lift",IF(BC202&gt;=1,"Lift",IF(BC202&lt;=0,"Aussenlager","teilweise")))))</f>
        <v>Lift</v>
      </c>
      <c r="BG202" s="55" t="str">
        <f aca="false">IF(A202="","",IF(BP202=1,"Neu; ","")&amp;IF(AND(BP202=0,BK202&lt;0),"negativer Bestand (Export "&amp;BK202&amp;"); ","")&amp;IF(J202&lt;=0,"Kein Verbrauch; ","")&amp;IF(CH202&gt;0,"Lift "&amp;W202&amp;" lt. Liftbericht (Fach "&amp;X202&amp;" Stk); ",IF(BU202=1,"Gebinde geschätzt ("&amp;T202&amp;"); ",IF(BT202=1,"Lose – Tablare geschätzt; ","")))&amp;IF(H202&gt;AR202,"Überbestand "&amp;ROUND(H202-AR202,0)&amp;" Stk / CHF "&amp;ROUND((H202-AR202)*G202,0)&amp;"; ","")&amp;IF(AND(CA202=1,CB202&lt;CC202),"MAX &lt; MB+LG; ","")&amp;IF(AND(CG202&gt;0,CF202*10&gt;CG202),"zu hoch für Tablar; ","")&amp;IF(AND(BP202=0,OR(CA202=1,AA202&lt;&gt;"",U202&lt;&gt;"",V202&lt;&gt;"",AB202&lt;&gt;"")),"manuell übersteuert; ","")&amp;IF(AND(BT202=0,R202=0),"Gebinde unbekannt / Stellmass fehlt; ","")&amp;IF(AND(BT202=0,N(V202)&lt;=0,N(Q202)&lt;=0),"Menge pro Gebinde fehlt (Ist = 1 Gebinde); ","")&amp;BO202)</f>
        <v/>
      </c>
      <c r="BH202" s="55"/>
      <c r="BI202" s="55"/>
      <c r="BJ202" s="62"/>
      <c r="BK202" s="57" t="n">
        <v>12</v>
      </c>
      <c r="BL202" s="57" t="n">
        <v>27</v>
      </c>
      <c r="BM202" s="56" t="n">
        <v>800.76</v>
      </c>
      <c r="BN202" s="57" t="n">
        <v>7</v>
      </c>
      <c r="BO202" s="55"/>
      <c r="BP202" s="60" t="n">
        <v>0</v>
      </c>
      <c r="BQ202" s="60" t="n">
        <v>202</v>
      </c>
      <c r="BR202" s="55" t="str">
        <f aca="false">IF(U202&lt;&gt;"",UPPER(TRIM(U202)),IF(BU202=1,UPPER(VLOOKUP(T202,Parameter!$I$27:$K$29,2,0)),IF(P202="","LOSE",P202)))</f>
        <v>S52</v>
      </c>
      <c r="BS202" s="57" t="n">
        <f aca="false">IF(BR202="LOSE",1,IF(N(V202)&gt;0,V202,IF(BU202=1,MAX(1,N(VLOOKUP(T202,Parameter!$I$27:$K$29,3,0)),H202,N(N202)),IF(N(Q202)&gt;0,Q202,MAX(1,H202)))))</f>
        <v>45</v>
      </c>
      <c r="BT202" s="60" t="n">
        <f aca="false">IF(BR202="LOSE",1,0)</f>
        <v>0</v>
      </c>
      <c r="BU202" s="60" t="n">
        <f aca="false">IF(AND(U202="",OR(P202="",P202="LOSE"),T202&lt;&gt;"",N(S202)&lt;=0,ISNUMBER(MATCH(T202,Parameter!$I$27:$I$29,0))),1,0)</f>
        <v>0</v>
      </c>
      <c r="BV202" s="55" t="str">
        <f aca="false">IF(AND(Parameter!$B$19="Ja",E202&lt;&gt;"",ISNUMBER(MATCH(E202,Parameter!$I$35:$I$52,0))),VLOOKUP(E202,Parameter!$I$35:$J$52,2,0),IFERROR(VLOOKUP(D202,Parameter!$A$35:$C$64,2,0),"Nein"))</f>
        <v>2+3</v>
      </c>
      <c r="BW202" s="59" t="n">
        <f aca="false">IF(BT202=0,0,IF(N(S202)&gt;0,S202,IFERROR(VLOOKUP(D202,Parameter!$A$35:$C$64,3,0)+0,0)))</f>
        <v>0</v>
      </c>
      <c r="BX202" s="55" t="n">
        <f aca="false">IF(AA202&lt;&gt;"",AA202,Z202)</f>
        <v>3</v>
      </c>
      <c r="BY202" s="55" t="str">
        <f aca="false">IF(BX202=1,"L1",IF(OR(BX202=2,BX202=3),"L23",IF(BX202="Aussen","Aussen","-")))</f>
        <v>L23</v>
      </c>
      <c r="BZ202" s="66" t="n">
        <f aca="false">IF(N(AB202)&gt;0,AB202,0)</f>
        <v>0</v>
      </c>
      <c r="CA202" s="60" t="n">
        <f aca="false">IF(ISNUMBER(AE202),1,0)</f>
        <v>0</v>
      </c>
      <c r="CB202" s="57" t="n">
        <f aca="false">N(AE202)</f>
        <v>0</v>
      </c>
      <c r="CC202" s="57" t="n">
        <f aca="false">N(M202)+N(N202)</f>
        <v>6</v>
      </c>
      <c r="CD202" s="57" t="n">
        <f aca="false">ROUNDUP(H202/BS202,0)</f>
        <v>1</v>
      </c>
      <c r="CE202" s="57" t="n">
        <f aca="false">ROUNDUP(CB202/BS202,0)</f>
        <v>0</v>
      </c>
      <c r="CF202" s="60" t="n">
        <f aca="false">IF(BT202=1,0,IFERROR(VLOOKUP(BR202,'Gebinde-Kategorie'!$A$5:$M$45,5,0)+0,0))</f>
        <v>21</v>
      </c>
      <c r="CG202" s="60" t="n">
        <f aca="false">IFERROR(IF(OR(BX202=1,BX202=2,BX202=3),N(INDEX(Parameter!$I$5:$I$7,BX202)),0),0)</f>
        <v>0</v>
      </c>
      <c r="CH202" s="59" t="n">
        <f aca="false">IF(AND(Parameter!$B$21="Ja",ISNUMBER(W202),N(X202)&gt;0),IFERROR(N(INDEX(Parameter!$L$5:$L$7,W202))*INDEX(Parameter!$E$5:$E$7,W202)*X202/SUMIFS($X$7:$X$1843,$W$7:$W$1843,W202),0),0)</f>
        <v>0</v>
      </c>
    </row>
    <row r="203" customFormat="false" ht="15" hidden="false" customHeight="false" outlineLevel="0" collapsed="false">
      <c r="A203" s="55" t="s">
        <v>606</v>
      </c>
      <c r="B203" s="55" t="s">
        <v>607</v>
      </c>
      <c r="C203" s="55" t="s">
        <v>164</v>
      </c>
      <c r="D203" s="55" t="s">
        <v>184</v>
      </c>
      <c r="E203" s="55"/>
      <c r="F203" s="55" t="s">
        <v>218</v>
      </c>
      <c r="G203" s="56" t="n">
        <v>44.47</v>
      </c>
      <c r="H203" s="57" t="n">
        <f aca="false">MAX(0,IF(AND(Parameter!$B$21="Ja",ISNUMBER(Y203)),Y203,IF(Parameter!$B$20="Jahresanfang 2025 + Export",BL203+BK203,BK203)))</f>
        <v>18</v>
      </c>
      <c r="I203" s="57" t="n">
        <f aca="false">H203*G203</f>
        <v>800.46</v>
      </c>
      <c r="J203" s="57" t="n">
        <f aca="false">BN203*Parameter!$B$18</f>
        <v>25</v>
      </c>
      <c r="K203" s="58" t="n">
        <v>2.5</v>
      </c>
      <c r="L203" s="59" t="n">
        <v>10</v>
      </c>
      <c r="M203" s="57" t="n">
        <v>1</v>
      </c>
      <c r="N203" s="57" t="n">
        <v>25</v>
      </c>
      <c r="O203" s="60" t="n">
        <v>28</v>
      </c>
      <c r="P203" s="55" t="s">
        <v>421</v>
      </c>
      <c r="Q203" s="57" t="n">
        <v>25</v>
      </c>
      <c r="R203" s="60" t="n">
        <f aca="false">IF(BT203=1,0,IFERROR(VLOOKUP(BR203,'Gebinde-Kategorie'!$A$5:$M$45,13,0)+0,0))</f>
        <v>132</v>
      </c>
      <c r="S203" s="61"/>
      <c r="T203" s="62"/>
      <c r="U203" s="62"/>
      <c r="V203" s="62"/>
      <c r="W203" s="55"/>
      <c r="X203" s="57"/>
      <c r="Y203" s="57"/>
      <c r="Z203" s="55" t="n">
        <f aca="false">IF(A203="","",IF(AND(Parameter!$B$21="Ja",ISNUMBER(W203)),W203,IF(BV203="2+3",IF(ISNUMBER(SEARCH("grosser Artikel",BO203)),2,IFERROR(VLOOKUP(BR203,Parameter!$F$35:$G$64,2,0),2)),IF(OR(BV203="Nein",BV203=""),"-",BV203))))</f>
        <v>3</v>
      </c>
      <c r="AA203" s="62"/>
      <c r="AB203" s="63"/>
      <c r="AC203" s="57" t="n">
        <f aca="false">AR203</f>
        <v>50</v>
      </c>
      <c r="AD203" s="57" t="n">
        <f aca="false">MAX(AR203,H203)</f>
        <v>50</v>
      </c>
      <c r="AE203" s="64"/>
      <c r="AF203" s="57" t="n">
        <f aca="false">IF(LEFT(Cockpit!$C$5,1)="A",H203,IF(CA203=1,CB203,IF(LEFT(Cockpit!$C$5,1)="B",AJ203,MAX(AJ203,H203))))</f>
        <v>18</v>
      </c>
      <c r="AG203" s="57" t="n">
        <f aca="false">IF(BT203=1,0,ROUNDUP(AF203/BS203,0))</f>
        <v>1</v>
      </c>
      <c r="AH203" s="59" t="n">
        <f aca="false">IF(CH203&gt;0,CH203*MAX(1,AF203/X203),IF(BT203=1,IF(AF203&lt;=0,0,BW203*MAX(1,IF(H203&gt;0,AF203/H203,1))),IF(R203&gt;0,AG203/R203,0))/MAX(0.1,N(Parameter!$M$21)))</f>
        <v>0.00757575757575758</v>
      </c>
      <c r="AI203" s="57" t="n">
        <f aca="false">AF203*G203</f>
        <v>800.46</v>
      </c>
      <c r="AJ203" s="57" t="n">
        <f aca="false">ROUNDUP(MAX(J203/IF(BZ203&gt;0,BZ203,MAX(0.1,N(Cockpit!$C$6))),CC203)/BS203,0)*BS203</f>
        <v>50</v>
      </c>
      <c r="AK203" s="58" t="n">
        <f aca="false">IF(AH203&gt;0,J203/AH203,-1)</f>
        <v>3300</v>
      </c>
      <c r="AL203" s="58" t="n">
        <f aca="false">IF(AND(OR(BY203="L1",BY203="L23"),AH203&gt;0),SUMIFS($AH$7:$AH$1843,$BY$7:$BY$1843,BY203,$AK$7:$AK$1843,"&gt;"&amp;AK203)+SUMIFS($AH$7:$AH$1843,$BY$7:$BY$1843,BY203,$AK$7:$AK$1843,AK203,$BQ$7:$BQ$1843,"&lt;="&amp;BQ203),"")</f>
        <v>10.5534441404007</v>
      </c>
      <c r="AM203" s="65" t="n">
        <f aca="false">IF(AL203="",0,MAX(0,MIN(1,(IF(BY203="L1",Parameter!$E$5,Parameter!$E$6+Parameter!$E$7)-(AL203-AH203))/AH203)))</f>
        <v>1</v>
      </c>
      <c r="AN203" s="57" t="n">
        <f aca="false">IF(LEFT(Cockpit!$I$5,1)="A",H203,IF(CA203=1,CB203,IF(LEFT(Cockpit!$I$5,1)="B",AR203,MAX(AR203,H203))))</f>
        <v>50</v>
      </c>
      <c r="AO203" s="57" t="n">
        <f aca="false">IF(BT203=1,0,ROUNDUP(AN203/BS203,0))</f>
        <v>2</v>
      </c>
      <c r="AP203" s="59" t="n">
        <f aca="false">IF(CH203&gt;0,CH203*MAX(1,AN203/X203),IF(BT203=1,IF(AN203&lt;=0,0,BW203*MAX(1,IF(H203&gt;0,AN203/H203,1))),IF(R203&gt;0,AO203/R203,0))/MAX(0.1,N(Parameter!$M$21)))</f>
        <v>0.0151515151515152</v>
      </c>
      <c r="AQ203" s="57" t="n">
        <f aca="false">AN203*G203</f>
        <v>2223.5</v>
      </c>
      <c r="AR203" s="57" t="n">
        <f aca="false">ROUNDUP(MAX(J203/IF(BZ203&gt;0,BZ203,MAX(0.1,N(Cockpit!$I$6))),CC203)/BS203,0)*BS203</f>
        <v>50</v>
      </c>
      <c r="AS203" s="58" t="n">
        <f aca="false">IF(AP203&gt;0,J203/AP203,-1)</f>
        <v>1650</v>
      </c>
      <c r="AT203" s="58" t="n">
        <f aca="false">IF(AND(OR(BY203="L1",BY203="L23"),AP203&gt;0),SUMIFS($AP$7:$AP$1843,$BY$7:$BY$1843,BY203,$AS$7:$AS$1843,"&gt;"&amp;AS203)+SUMIFS($AP$7:$AP$1843,$BY$7:$BY$1843,BY203,$AS$7:$AS$1843,AS203,$BQ$7:$BQ$1843,"&lt;="&amp;BQ203),"")</f>
        <v>19.9588696327827</v>
      </c>
      <c r="AU203" s="65" t="n">
        <f aca="false">IF(AT203="",0,MAX(0,MIN(1,(IF(BY203="L1",Parameter!$E$5,Parameter!$E$6+Parameter!$E$7)-(AT203-AP203))/AP203)))</f>
        <v>1</v>
      </c>
      <c r="AV203" s="57" t="n">
        <f aca="false">IF(LEFT(Cockpit!$O$5,1)="A",H203,IF(CA203=1,CB203,IF(LEFT(Cockpit!$O$5,1)="B",AZ203,MAX(AZ203,H203))))</f>
        <v>50</v>
      </c>
      <c r="AW203" s="57" t="n">
        <f aca="false">IF(BT203=1,0,ROUNDUP(AV203/BS203,0))</f>
        <v>2</v>
      </c>
      <c r="AX203" s="59" t="n">
        <f aca="false">IF(CH203&gt;0,CH203*MAX(1,AV203/X203),IF(BT203=1,IF(AV203&lt;=0,0,BW203*MAX(1,IF(H203&gt;0,AV203/H203,1))),IF(R203&gt;0,AW203/R203,0))/MAX(0.1,N(Parameter!$M$21)))</f>
        <v>0.0151515151515152</v>
      </c>
      <c r="AY203" s="57" t="n">
        <f aca="false">AV203*G203</f>
        <v>2223.5</v>
      </c>
      <c r="AZ203" s="57" t="n">
        <f aca="false">ROUNDUP(MAX(J203/IF(BZ203&gt;0,BZ203,MAX(0.1,N(Cockpit!$O$6))),CC203)/BS203,0)*BS203</f>
        <v>50</v>
      </c>
      <c r="BA203" s="58" t="n">
        <f aca="false">IF(AX203&gt;0,J203/AX203,-1)</f>
        <v>1650</v>
      </c>
      <c r="BB203" s="58" t="n">
        <f aca="false">IF(AND(OR(BY203="L1",BY203="L23"),AX203&gt;0),SUMIFS($AX$7:$AX$1843,$BY$7:$BY$1843,BY203,$BA$7:$BA$1843,"&gt;"&amp;BA203)+SUMIFS($AX$7:$AX$1843,$BY$7:$BY$1843,BY203,$BA$7:$BA$1843,BA203,$BQ$7:$BQ$1843,"&lt;="&amp;BQ203),"")</f>
        <v>18.8207577446708</v>
      </c>
      <c r="BC203" s="65" t="n">
        <f aca="false">IF(BB203="",0,MAX(0,MIN(1,(IF(BY203="L1",Parameter!$E$5,Parameter!$E$6+Parameter!$E$7)-(BB203-AX203))/AX203)))</f>
        <v>1</v>
      </c>
      <c r="BD203" s="55" t="str">
        <f aca="false">IF(AH203&lt;=0,"",IF(BY203="Aussen","Aussenlager",IF(BY203="-","Nicht im Lift",IF(AM203&gt;=1,"Lift",IF(AM203&lt;=0,"Aussenlager","teilweise")))))</f>
        <v>Lift</v>
      </c>
      <c r="BE203" s="55" t="str">
        <f aca="false">IF(AP203&lt;=0,"",IF(BY203="Aussen","Aussenlager",IF(BY203="-","Nicht im Lift",IF(AU203&gt;=1,"Lift",IF(AU203&lt;=0,"Aussenlager","teilweise")))))</f>
        <v>Lift</v>
      </c>
      <c r="BF203" s="55" t="str">
        <f aca="false">IF(AX203&lt;=0,"",IF(BY203="Aussen","Aussenlager",IF(BY203="-","Nicht im Lift",IF(BC203&gt;=1,"Lift",IF(BC203&lt;=0,"Aussenlager","teilweise")))))</f>
        <v>Lift</v>
      </c>
      <c r="BG203" s="55" t="str">
        <f aca="false">IF(A203="","",IF(BP203=1,"Neu; ","")&amp;IF(AND(BP203=0,BK203&lt;0),"negativer Bestand (Export "&amp;BK203&amp;"); ","")&amp;IF(J203&lt;=0,"Kein Verbrauch; ","")&amp;IF(CH203&gt;0,"Lift "&amp;W203&amp;" lt. Liftbericht (Fach "&amp;X203&amp;" Stk); ",IF(BU203=1,"Gebinde geschätzt ("&amp;T203&amp;"); ",IF(BT203=1,"Lose – Tablare geschätzt; ","")))&amp;IF(H203&gt;AR203,"Überbestand "&amp;ROUND(H203-AR203,0)&amp;" Stk / CHF "&amp;ROUND((H203-AR203)*G203,0)&amp;"; ","")&amp;IF(AND(CA203=1,CB203&lt;CC203),"MAX &lt; MB+LG; ","")&amp;IF(AND(CG203&gt;0,CF203*10&gt;CG203),"zu hoch für Tablar; ","")&amp;IF(AND(BP203=0,OR(CA203=1,AA203&lt;&gt;"",U203&lt;&gt;"",V203&lt;&gt;"",AB203&lt;&gt;"")),"manuell übersteuert; ","")&amp;IF(AND(BT203=0,R203=0),"Gebinde unbekannt / Stellmass fehlt; ","")&amp;IF(AND(BT203=0,N(V203)&lt;=0,N(Q203)&lt;=0),"Menge pro Gebinde fehlt (Ist = 1 Gebinde); ","")&amp;BO203)</f>
        <v/>
      </c>
      <c r="BH203" s="55"/>
      <c r="BI203" s="55"/>
      <c r="BJ203" s="62"/>
      <c r="BK203" s="57" t="n">
        <v>18</v>
      </c>
      <c r="BL203" s="57" t="n">
        <v>0</v>
      </c>
      <c r="BM203" s="56" t="n">
        <v>800.46</v>
      </c>
      <c r="BN203" s="57" t="n">
        <v>25</v>
      </c>
      <c r="BO203" s="55"/>
      <c r="BP203" s="60" t="n">
        <v>0</v>
      </c>
      <c r="BQ203" s="60" t="n">
        <v>203</v>
      </c>
      <c r="BR203" s="55" t="str">
        <f aca="false">IF(U203&lt;&gt;"",UPPER(TRIM(U203)),IF(BU203=1,UPPER(VLOOKUP(T203,Parameter!$I$27:$K$29,2,0)),IF(P203="","LOSE",P203)))</f>
        <v>S32</v>
      </c>
      <c r="BS203" s="57" t="n">
        <f aca="false">IF(BR203="LOSE",1,IF(N(V203)&gt;0,V203,IF(BU203=1,MAX(1,N(VLOOKUP(T203,Parameter!$I$27:$K$29,3,0)),H203,N(N203)),IF(N(Q203)&gt;0,Q203,MAX(1,H203)))))</f>
        <v>25</v>
      </c>
      <c r="BT203" s="60" t="n">
        <f aca="false">IF(BR203="LOSE",1,0)</f>
        <v>0</v>
      </c>
      <c r="BU203" s="60" t="n">
        <f aca="false">IF(AND(U203="",OR(P203="",P203="LOSE"),T203&lt;&gt;"",N(S203)&lt;=0,ISNUMBER(MATCH(T203,Parameter!$I$27:$I$29,0))),1,0)</f>
        <v>0</v>
      </c>
      <c r="BV203" s="55" t="str">
        <f aca="false">IF(AND(Parameter!$B$19="Ja",E203&lt;&gt;"",ISNUMBER(MATCH(E203,Parameter!$I$35:$I$52,0))),VLOOKUP(E203,Parameter!$I$35:$J$52,2,0),IFERROR(VLOOKUP(D203,Parameter!$A$35:$C$64,2,0),"Nein"))</f>
        <v>2+3</v>
      </c>
      <c r="BW203" s="59" t="n">
        <f aca="false">IF(BT203=0,0,IF(N(S203)&gt;0,S203,IFERROR(VLOOKUP(D203,Parameter!$A$35:$C$64,3,0)+0,0)))</f>
        <v>0</v>
      </c>
      <c r="BX203" s="55" t="n">
        <f aca="false">IF(AA203&lt;&gt;"",AA203,Z203)</f>
        <v>3</v>
      </c>
      <c r="BY203" s="55" t="str">
        <f aca="false">IF(BX203=1,"L1",IF(OR(BX203=2,BX203=3),"L23",IF(BX203="Aussen","Aussen","-")))</f>
        <v>L23</v>
      </c>
      <c r="BZ203" s="66" t="n">
        <f aca="false">IF(N(AB203)&gt;0,AB203,0)</f>
        <v>0</v>
      </c>
      <c r="CA203" s="60" t="n">
        <f aca="false">IF(ISNUMBER(AE203),1,0)</f>
        <v>0</v>
      </c>
      <c r="CB203" s="57" t="n">
        <f aca="false">N(AE203)</f>
        <v>0</v>
      </c>
      <c r="CC203" s="57" t="n">
        <f aca="false">N(M203)+N(N203)</f>
        <v>26</v>
      </c>
      <c r="CD203" s="57" t="n">
        <f aca="false">ROUNDUP(H203/BS203,0)</f>
        <v>1</v>
      </c>
      <c r="CE203" s="57" t="n">
        <f aca="false">ROUNDUP(CB203/BS203,0)</f>
        <v>0</v>
      </c>
      <c r="CF203" s="60" t="n">
        <f aca="false">IF(BT203=1,0,IFERROR(VLOOKUP(BR203,'Gebinde-Kategorie'!$A$5:$M$45,5,0)+0,0))</f>
        <v>8</v>
      </c>
      <c r="CG203" s="60" t="n">
        <f aca="false">IFERROR(IF(OR(BX203=1,BX203=2,BX203=3),N(INDEX(Parameter!$I$5:$I$7,BX203)),0),0)</f>
        <v>0</v>
      </c>
      <c r="CH203" s="59" t="n">
        <f aca="false">IF(AND(Parameter!$B$21="Ja",ISNUMBER(W203),N(X203)&gt;0),IFERROR(N(INDEX(Parameter!$L$5:$L$7,W203))*INDEX(Parameter!$E$5:$E$7,W203)*X203/SUMIFS($X$7:$X$1843,$W$7:$W$1843,W203),0),0)</f>
        <v>0</v>
      </c>
    </row>
    <row r="204" customFormat="false" ht="15" hidden="false" customHeight="false" outlineLevel="0" collapsed="false">
      <c r="A204" s="55" t="s">
        <v>608</v>
      </c>
      <c r="B204" s="55" t="s">
        <v>609</v>
      </c>
      <c r="C204" s="55" t="s">
        <v>164</v>
      </c>
      <c r="D204" s="55" t="s">
        <v>184</v>
      </c>
      <c r="E204" s="55"/>
      <c r="F204" s="55" t="s">
        <v>218</v>
      </c>
      <c r="G204" s="56" t="n">
        <v>31.77</v>
      </c>
      <c r="H204" s="57" t="n">
        <f aca="false">MAX(0,IF(AND(Parameter!$B$21="Ja",ISNUMBER(Y204)),Y204,IF(Parameter!$B$20="Jahresanfang 2025 + Export",BL204+BK204,BK204)))</f>
        <v>25</v>
      </c>
      <c r="I204" s="57" t="n">
        <f aca="false">H204*G204</f>
        <v>794.25</v>
      </c>
      <c r="J204" s="57" t="n">
        <f aca="false">BN204*Parameter!$B$18</f>
        <v>0</v>
      </c>
      <c r="K204" s="58" t="n">
        <v>0</v>
      </c>
      <c r="L204" s="59" t="n">
        <v>0</v>
      </c>
      <c r="M204" s="57" t="n">
        <v>0</v>
      </c>
      <c r="N204" s="57" t="n">
        <v>1</v>
      </c>
      <c r="O204" s="60" t="n">
        <v>9999</v>
      </c>
      <c r="P204" s="55" t="s">
        <v>168</v>
      </c>
      <c r="Q204" s="57"/>
      <c r="R204" s="60" t="n">
        <f aca="false">IF(BT204=1,0,IFERROR(VLOOKUP(BR204,'Gebinde-Kategorie'!$A$5:$M$45,13,0)+0,0))</f>
        <v>26</v>
      </c>
      <c r="S204" s="61"/>
      <c r="T204" s="62" t="s">
        <v>275</v>
      </c>
      <c r="U204" s="62"/>
      <c r="V204" s="62"/>
      <c r="W204" s="55"/>
      <c r="X204" s="57"/>
      <c r="Y204" s="57"/>
      <c r="Z204" s="55" t="n">
        <f aca="false">IF(A204="","",IF(AND(Parameter!$B$21="Ja",ISNUMBER(W204)),W204,IF(BV204="2+3",IF(ISNUMBER(SEARCH("grosser Artikel",BO204)),2,IFERROR(VLOOKUP(BR204,Parameter!$F$35:$G$64,2,0),2)),IF(OR(BV204="Nein",BV204=""),"-",BV204))))</f>
        <v>3</v>
      </c>
      <c r="AA204" s="62"/>
      <c r="AB204" s="63"/>
      <c r="AC204" s="57" t="n">
        <f aca="false">AR204</f>
        <v>25</v>
      </c>
      <c r="AD204" s="57" t="n">
        <f aca="false">MAX(AR204,H204)</f>
        <v>25</v>
      </c>
      <c r="AE204" s="64"/>
      <c r="AF204" s="57" t="n">
        <f aca="false">IF(LEFT(Cockpit!$C$5,1)="A",H204,IF(CA204=1,CB204,IF(LEFT(Cockpit!$C$5,1)="B",AJ204,MAX(AJ204,H204))))</f>
        <v>25</v>
      </c>
      <c r="AG204" s="57" t="n">
        <f aca="false">IF(BT204=1,0,ROUNDUP(AF204/BS204,0))</f>
        <v>1</v>
      </c>
      <c r="AH204" s="59" t="n">
        <f aca="false">IF(CH204&gt;0,CH204*MAX(1,AF204/X204),IF(BT204=1,IF(AF204&lt;=0,0,BW204*MAX(1,IF(H204&gt;0,AF204/H204,1))),IF(R204&gt;0,AG204/R204,0))/MAX(0.1,N(Parameter!$M$21)))</f>
        <v>0.0384615384615385</v>
      </c>
      <c r="AI204" s="57" t="n">
        <f aca="false">AF204*G204</f>
        <v>794.25</v>
      </c>
      <c r="AJ204" s="57" t="n">
        <f aca="false">ROUNDUP(MAX(J204/IF(BZ204&gt;0,BZ204,MAX(0.1,N(Cockpit!$C$6))),CC204)/BS204,0)*BS204</f>
        <v>25</v>
      </c>
      <c r="AK204" s="58" t="n">
        <f aca="false">IF(AH204&gt;0,J204/AH204,-1)</f>
        <v>0</v>
      </c>
      <c r="AL204" s="58" t="n">
        <f aca="false">IF(AND(OR(BY204="L1",BY204="L23"),AH204&gt;0),SUMIFS($AH$7:$AH$1843,$BY$7:$BY$1843,BY204,$AK$7:$AK$1843,"&gt;"&amp;AK204)+SUMIFS($AH$7:$AH$1843,$BY$7:$BY$1843,BY204,$AK$7:$AK$1843,AK204,$BQ$7:$BQ$1843,"&lt;="&amp;BQ204),"")</f>
        <v>70.5483598527077</v>
      </c>
      <c r="AM204" s="65" t="n">
        <f aca="false">IF(AL204="",0,MAX(0,MIN(1,(IF(BY204="L1",Parameter!$E$5,Parameter!$E$6+Parameter!$E$7)-(AL204-AH204))/AH204)))</f>
        <v>1</v>
      </c>
      <c r="AN204" s="57" t="n">
        <f aca="false">IF(LEFT(Cockpit!$I$5,1)="A",H204,IF(CA204=1,CB204,IF(LEFT(Cockpit!$I$5,1)="B",AR204,MAX(AR204,H204))))</f>
        <v>25</v>
      </c>
      <c r="AO204" s="57" t="n">
        <f aca="false">IF(BT204=1,0,ROUNDUP(AN204/BS204,0))</f>
        <v>1</v>
      </c>
      <c r="AP204" s="59" t="n">
        <f aca="false">IF(CH204&gt;0,CH204*MAX(1,AN204/X204),IF(BT204=1,IF(AN204&lt;=0,0,BW204*MAX(1,IF(H204&gt;0,AN204/H204,1))),IF(R204&gt;0,AO204/R204,0))/MAX(0.1,N(Parameter!$M$21)))</f>
        <v>0.0384615384615385</v>
      </c>
      <c r="AQ204" s="57" t="n">
        <f aca="false">AN204*G204</f>
        <v>794.25</v>
      </c>
      <c r="AR204" s="57" t="n">
        <f aca="false">ROUNDUP(MAX(J204/IF(BZ204&gt;0,BZ204,MAX(0.1,N(Cockpit!$I$6))),CC204)/BS204,0)*BS204</f>
        <v>25</v>
      </c>
      <c r="AS204" s="58" t="n">
        <f aca="false">IF(AP204&gt;0,J204/AP204,-1)</f>
        <v>0</v>
      </c>
      <c r="AT204" s="58" t="n">
        <f aca="false">IF(AND(OR(BY204="L1",BY204="L23"),AP204&gt;0),SUMIFS($AP$7:$AP$1843,$BY$7:$BY$1843,BY204,$AS$7:$AS$1843,"&gt;"&amp;AS204)+SUMIFS($AP$7:$AP$1843,$BY$7:$BY$1843,BY204,$AS$7:$AS$1843,AS204,$BQ$7:$BQ$1843,"&lt;="&amp;BQ204),"")</f>
        <v>109.972484037701</v>
      </c>
      <c r="AU204" s="65" t="n">
        <f aca="false">IF(AT204="",0,MAX(0,MIN(1,(IF(BY204="L1",Parameter!$E$5,Parameter!$E$6+Parameter!$E$7)-(AT204-AP204))/AP204)))</f>
        <v>0</v>
      </c>
      <c r="AV204" s="57" t="n">
        <f aca="false">IF(LEFT(Cockpit!$O$5,1)="A",H204,IF(CA204=1,CB204,IF(LEFT(Cockpit!$O$5,1)="B",AZ204,MAX(AZ204,H204))))</f>
        <v>25</v>
      </c>
      <c r="AW204" s="57" t="n">
        <f aca="false">IF(BT204=1,0,ROUNDUP(AV204/BS204,0))</f>
        <v>1</v>
      </c>
      <c r="AX204" s="59" t="n">
        <f aca="false">IF(CH204&gt;0,CH204*MAX(1,AV204/X204),IF(BT204=1,IF(AV204&lt;=0,0,BW204*MAX(1,IF(H204&gt;0,AV204/H204,1))),IF(R204&gt;0,AW204/R204,0))/MAX(0.1,N(Parameter!$M$21)))</f>
        <v>0.0384615384615385</v>
      </c>
      <c r="AY204" s="57" t="n">
        <f aca="false">AV204*G204</f>
        <v>794.25</v>
      </c>
      <c r="AZ204" s="57" t="n">
        <f aca="false">ROUNDUP(MAX(J204/IF(BZ204&gt;0,BZ204,MAX(0.1,N(Cockpit!$O$6))),CC204)/BS204,0)*BS204</f>
        <v>25</v>
      </c>
      <c r="BA204" s="58" t="n">
        <f aca="false">IF(AX204&gt;0,J204/AX204,-1)</f>
        <v>0</v>
      </c>
      <c r="BB204" s="58" t="n">
        <f aca="false">IF(AND(OR(BY204="L1",BY204="L23"),AX204&gt;0),SUMIFS($AX$7:$AX$1843,$BY$7:$BY$1843,BY204,$BA$7:$BA$1843,"&gt;"&amp;BA204)+SUMIFS($AX$7:$AX$1843,$BY$7:$BY$1843,BY204,$BA$7:$BA$1843,BA204,$BQ$7:$BQ$1843,"&lt;="&amp;BQ204),"")</f>
        <v>100.802320867538</v>
      </c>
      <c r="BC204" s="65" t="n">
        <f aca="false">IF(BB204="",0,MAX(0,MIN(1,(IF(BY204="L1",Parameter!$E$5,Parameter!$E$6+Parameter!$E$7)-(BB204-AX204))/AX204)))</f>
        <v>0</v>
      </c>
      <c r="BD204" s="55" t="str">
        <f aca="false">IF(AH204&lt;=0,"",IF(BY204="Aussen","Aussenlager",IF(BY204="-","Nicht im Lift",IF(AM204&gt;=1,"Lift",IF(AM204&lt;=0,"Aussenlager","teilweise")))))</f>
        <v>Lift</v>
      </c>
      <c r="BE204" s="55" t="str">
        <f aca="false">IF(AP204&lt;=0,"",IF(BY204="Aussen","Aussenlager",IF(BY204="-","Nicht im Lift",IF(AU204&gt;=1,"Lift",IF(AU204&lt;=0,"Aussenlager","teilweise")))))</f>
        <v>Aussenlager</v>
      </c>
      <c r="BF204" s="55" t="str">
        <f aca="false">IF(AX204&lt;=0,"",IF(BY204="Aussen","Aussenlager",IF(BY204="-","Nicht im Lift",IF(BC204&gt;=1,"Lift",IF(BC204&lt;=0,"Aussenlager","teilweise")))))</f>
        <v>Aussenlager</v>
      </c>
      <c r="BG204" s="55" t="str">
        <f aca="false">IF(A204="","",IF(BP204=1,"Neu; ","")&amp;IF(AND(BP204=0,BK204&lt;0),"negativer Bestand (Export "&amp;BK204&amp;"); ","")&amp;IF(J204&lt;=0,"Kein Verbrauch; ","")&amp;IF(CH204&gt;0,"Lift "&amp;W204&amp;" lt. Liftbericht (Fach "&amp;X204&amp;" Stk); ",IF(BU204=1,"Gebinde geschätzt ("&amp;T204&amp;"); ",IF(BT204=1,"Lose – Tablare geschätzt; ","")))&amp;IF(H204&gt;AR204,"Überbestand "&amp;ROUND(H204-AR204,0)&amp;" Stk / CHF "&amp;ROUND((H204-AR204)*G204,0)&amp;"; ","")&amp;IF(AND(CA204=1,CB204&lt;CC204),"MAX &lt; MB+LG; ","")&amp;IF(AND(CG204&gt;0,CF204*10&gt;CG204),"zu hoch für Tablar; ","")&amp;IF(AND(BP204=0,OR(CA204=1,AA204&lt;&gt;"",U204&lt;&gt;"",V204&lt;&gt;"",AB204&lt;&gt;"")),"manuell übersteuert; ","")&amp;IF(AND(BT204=0,R204=0),"Gebinde unbekannt / Stellmass fehlt; ","")&amp;IF(AND(BT204=0,N(V204)&lt;=0,N(Q204)&lt;=0),"Menge pro Gebinde fehlt (Ist = 1 Gebinde); ","")&amp;BO204)</f>
        <v>Kein Verbrauch; Gebinde geschätzt (Klein); Menge pro Gebinde fehlt (Ist = 1 Gebinde); </v>
      </c>
      <c r="BH204" s="55"/>
      <c r="BI204" s="55"/>
      <c r="BJ204" s="62"/>
      <c r="BK204" s="57" t="n">
        <v>25</v>
      </c>
      <c r="BL204" s="57" t="n">
        <v>0</v>
      </c>
      <c r="BM204" s="56" t="n">
        <v>794.25</v>
      </c>
      <c r="BN204" s="57" t="n">
        <v>0</v>
      </c>
      <c r="BO204" s="55"/>
      <c r="BP204" s="60" t="n">
        <v>0</v>
      </c>
      <c r="BQ204" s="60" t="n">
        <v>204</v>
      </c>
      <c r="BR204" s="55" t="str">
        <f aca="false">IF(U204&lt;&gt;"",UPPER(TRIM(U204)),IF(BU204=1,UPPER(VLOOKUP(T204,Parameter!$I$27:$K$29,2,0)),IF(P204="","LOSE",P204)))</f>
        <v>S51</v>
      </c>
      <c r="BS204" s="57" t="n">
        <f aca="false">IF(BR204="LOSE",1,IF(N(V204)&gt;0,V204,IF(BU204=1,MAX(1,N(VLOOKUP(T204,Parameter!$I$27:$K$29,3,0)),H204,N(N204)),IF(N(Q204)&gt;0,Q204,MAX(1,H204)))))</f>
        <v>25</v>
      </c>
      <c r="BT204" s="60" t="n">
        <f aca="false">IF(BR204="LOSE",1,0)</f>
        <v>0</v>
      </c>
      <c r="BU204" s="60" t="n">
        <f aca="false">IF(AND(U204="",OR(P204="",P204="LOSE"),T204&lt;&gt;"",N(S204)&lt;=0,ISNUMBER(MATCH(T204,Parameter!$I$27:$I$29,0))),1,0)</f>
        <v>1</v>
      </c>
      <c r="BV204" s="55" t="str">
        <f aca="false">IF(AND(Parameter!$B$19="Ja",E204&lt;&gt;"",ISNUMBER(MATCH(E204,Parameter!$I$35:$I$52,0))),VLOOKUP(E204,Parameter!$I$35:$J$52,2,0),IFERROR(VLOOKUP(D204,Parameter!$A$35:$C$64,2,0),"Nein"))</f>
        <v>2+3</v>
      </c>
      <c r="BW204" s="59" t="n">
        <f aca="false">IF(BT204=0,0,IF(N(S204)&gt;0,S204,IFERROR(VLOOKUP(D204,Parameter!$A$35:$C$64,3,0)+0,0)))</f>
        <v>0</v>
      </c>
      <c r="BX204" s="55" t="n">
        <f aca="false">IF(AA204&lt;&gt;"",AA204,Z204)</f>
        <v>3</v>
      </c>
      <c r="BY204" s="55" t="str">
        <f aca="false">IF(BX204=1,"L1",IF(OR(BX204=2,BX204=3),"L23",IF(BX204="Aussen","Aussen","-")))</f>
        <v>L23</v>
      </c>
      <c r="BZ204" s="66" t="n">
        <f aca="false">IF(N(AB204)&gt;0,AB204,0)</f>
        <v>0</v>
      </c>
      <c r="CA204" s="60" t="n">
        <f aca="false">IF(ISNUMBER(AE204),1,0)</f>
        <v>0</v>
      </c>
      <c r="CB204" s="57" t="n">
        <f aca="false">N(AE204)</f>
        <v>0</v>
      </c>
      <c r="CC204" s="57" t="n">
        <f aca="false">N(M204)+N(N204)</f>
        <v>1</v>
      </c>
      <c r="CD204" s="57" t="n">
        <f aca="false">ROUNDUP(H204/BS204,0)</f>
        <v>1</v>
      </c>
      <c r="CE204" s="57" t="n">
        <f aca="false">ROUNDUP(CB204/BS204,0)</f>
        <v>0</v>
      </c>
      <c r="CF204" s="60" t="n">
        <f aca="false">IF(BT204=1,0,IFERROR(VLOOKUP(BR204,'Gebinde-Kategorie'!$A$5:$M$45,5,0)+0,0))</f>
        <v>11</v>
      </c>
      <c r="CG204" s="60" t="n">
        <f aca="false">IFERROR(IF(OR(BX204=1,BX204=2,BX204=3),N(INDEX(Parameter!$I$5:$I$7,BX204)),0),0)</f>
        <v>0</v>
      </c>
      <c r="CH204" s="59" t="n">
        <f aca="false">IF(AND(Parameter!$B$21="Ja",ISNUMBER(W204),N(X204)&gt;0),IFERROR(N(INDEX(Parameter!$L$5:$L$7,W204))*INDEX(Parameter!$E$5:$E$7,W204)*X204/SUMIFS($X$7:$X$1843,$W$7:$W$1843,W204),0),0)</f>
        <v>0</v>
      </c>
    </row>
    <row r="205" customFormat="false" ht="15" hidden="false" customHeight="false" outlineLevel="0" collapsed="false">
      <c r="A205" s="55" t="s">
        <v>610</v>
      </c>
      <c r="B205" s="55" t="s">
        <v>301</v>
      </c>
      <c r="C205" s="55" t="s">
        <v>164</v>
      </c>
      <c r="D205" s="55" t="s">
        <v>184</v>
      </c>
      <c r="E205" s="55"/>
      <c r="F205" s="55" t="s">
        <v>218</v>
      </c>
      <c r="G205" s="56" t="n">
        <v>539</v>
      </c>
      <c r="H205" s="57" t="n">
        <f aca="false">MAX(0,IF(AND(Parameter!$B$21="Ja",ISNUMBER(Y205)),Y205,IF(Parameter!$B$20="Jahresanfang 2025 + Export",BL205+BK205,BK205)))</f>
        <v>5</v>
      </c>
      <c r="I205" s="57" t="n">
        <f aca="false">H205*G205</f>
        <v>2695</v>
      </c>
      <c r="J205" s="57" t="n">
        <f aca="false">BN205*Parameter!$B$18</f>
        <v>4</v>
      </c>
      <c r="K205" s="58" t="n">
        <v>4.5</v>
      </c>
      <c r="L205" s="59" t="n">
        <v>0.888888888888889</v>
      </c>
      <c r="M205" s="57" t="n">
        <v>0</v>
      </c>
      <c r="N205" s="57" t="n">
        <v>5</v>
      </c>
      <c r="O205" s="60" t="n">
        <v>35</v>
      </c>
      <c r="P205" s="55" t="s">
        <v>328</v>
      </c>
      <c r="Q205" s="57" t="n">
        <v>4</v>
      </c>
      <c r="R205" s="60" t="n">
        <f aca="false">IF(BT205=1,0,IFERROR(VLOOKUP(BR205,'Gebinde-Kategorie'!$A$5:$M$45,13,0)+0,0))</f>
        <v>52</v>
      </c>
      <c r="S205" s="61"/>
      <c r="T205" s="62"/>
      <c r="U205" s="62"/>
      <c r="V205" s="62"/>
      <c r="W205" s="55"/>
      <c r="X205" s="57"/>
      <c r="Y205" s="57"/>
      <c r="Z205" s="55" t="n">
        <f aca="false">IF(A205="","",IF(AND(Parameter!$B$21="Ja",ISNUMBER(W205)),W205,IF(BV205="2+3",IF(ISNUMBER(SEARCH("grosser Artikel",BO205)),2,IFERROR(VLOOKUP(BR205,Parameter!$F$35:$G$64,2,0),2)),IF(OR(BV205="Nein",BV205=""),"-",BV205))))</f>
        <v>3</v>
      </c>
      <c r="AA205" s="62"/>
      <c r="AB205" s="63"/>
      <c r="AC205" s="57" t="n">
        <f aca="false">AR205</f>
        <v>8</v>
      </c>
      <c r="AD205" s="57" t="n">
        <f aca="false">MAX(AR205,H205)</f>
        <v>8</v>
      </c>
      <c r="AE205" s="64"/>
      <c r="AF205" s="57" t="n">
        <f aca="false">IF(LEFT(Cockpit!$C$5,1)="A",H205,IF(CA205=1,CB205,IF(LEFT(Cockpit!$C$5,1)="B",AJ205,MAX(AJ205,H205))))</f>
        <v>5</v>
      </c>
      <c r="AG205" s="57" t="n">
        <f aca="false">IF(BT205=1,0,ROUNDUP(AF205/BS205,0))</f>
        <v>2</v>
      </c>
      <c r="AH205" s="59" t="n">
        <f aca="false">IF(CH205&gt;0,CH205*MAX(1,AF205/X205),IF(BT205=1,IF(AF205&lt;=0,0,BW205*MAX(1,IF(H205&gt;0,AF205/H205,1))),IF(R205&gt;0,AG205/R205,0))/MAX(0.1,N(Parameter!$M$21)))</f>
        <v>0.0384615384615385</v>
      </c>
      <c r="AI205" s="57" t="n">
        <f aca="false">AF205*G205</f>
        <v>2695</v>
      </c>
      <c r="AJ205" s="57" t="n">
        <f aca="false">ROUNDUP(MAX(J205/IF(BZ205&gt;0,BZ205,MAX(0.1,N(Cockpit!$C$6))),CC205)/BS205,0)*BS205</f>
        <v>8</v>
      </c>
      <c r="AK205" s="58" t="n">
        <f aca="false">IF(AH205&gt;0,J205/AH205,-1)</f>
        <v>104</v>
      </c>
      <c r="AL205" s="58" t="n">
        <f aca="false">IF(AND(OR(BY205="L1",BY205="L23"),AH205&gt;0),SUMIFS($AH$7:$AH$1843,$BY$7:$BY$1843,BY205,$AK$7:$AK$1843,"&gt;"&amp;AK205)+SUMIFS($AH$7:$AH$1843,$BY$7:$BY$1843,BY205,$AK$7:$AK$1843,AK205,$BQ$7:$BQ$1843,"&lt;="&amp;BQ205),"")</f>
        <v>38.5149488192967</v>
      </c>
      <c r="AM205" s="65" t="n">
        <f aca="false">IF(AL205="",0,MAX(0,MIN(1,(IF(BY205="L1",Parameter!$E$5,Parameter!$E$6+Parameter!$E$7)-(AL205-AH205))/AH205)))</f>
        <v>1</v>
      </c>
      <c r="AN205" s="57" t="n">
        <f aca="false">IF(LEFT(Cockpit!$I$5,1)="A",H205,IF(CA205=1,CB205,IF(LEFT(Cockpit!$I$5,1)="B",AR205,MAX(AR205,H205))))</f>
        <v>8</v>
      </c>
      <c r="AO205" s="57" t="n">
        <f aca="false">IF(BT205=1,0,ROUNDUP(AN205/BS205,0))</f>
        <v>2</v>
      </c>
      <c r="AP205" s="59" t="n">
        <f aca="false">IF(CH205&gt;0,CH205*MAX(1,AN205/X205),IF(BT205=1,IF(AN205&lt;=0,0,BW205*MAX(1,IF(H205&gt;0,AN205/H205,1))),IF(R205&gt;0,AO205/R205,0))/MAX(0.1,N(Parameter!$M$21)))</f>
        <v>0.0384615384615385</v>
      </c>
      <c r="AQ205" s="57" t="n">
        <f aca="false">AN205*G205</f>
        <v>4312</v>
      </c>
      <c r="AR205" s="57" t="n">
        <f aca="false">ROUNDUP(MAX(J205/IF(BZ205&gt;0,BZ205,MAX(0.1,N(Cockpit!$I$6))),CC205)/BS205,0)*BS205</f>
        <v>8</v>
      </c>
      <c r="AS205" s="58" t="n">
        <f aca="false">IF(AP205&gt;0,J205/AP205,-1)</f>
        <v>104</v>
      </c>
      <c r="AT205" s="58" t="n">
        <f aca="false">IF(AND(OR(BY205="L1",BY205="L23"),AP205&gt;0),SUMIFS($AP$7:$AP$1843,$BY$7:$BY$1843,BY205,$AS$7:$AS$1843,"&gt;"&amp;AS205)+SUMIFS($AP$7:$AP$1843,$BY$7:$BY$1843,BY205,$AS$7:$AS$1843,AS205,$BQ$7:$BQ$1843,"&lt;="&amp;BQ205),"")</f>
        <v>56.3691429343603</v>
      </c>
      <c r="AU205" s="65" t="n">
        <f aca="false">IF(AT205="",0,MAX(0,MIN(1,(IF(BY205="L1",Parameter!$E$5,Parameter!$E$6+Parameter!$E$7)-(AT205-AP205))/AP205)))</f>
        <v>1</v>
      </c>
      <c r="AV205" s="57" t="n">
        <f aca="false">IF(LEFT(Cockpit!$O$5,1)="A",H205,IF(CA205=1,CB205,IF(LEFT(Cockpit!$O$5,1)="B",AZ205,MAX(AZ205,H205))))</f>
        <v>8</v>
      </c>
      <c r="AW205" s="57" t="n">
        <f aca="false">IF(BT205=1,0,ROUNDUP(AV205/BS205,0))</f>
        <v>2</v>
      </c>
      <c r="AX205" s="59" t="n">
        <f aca="false">IF(CH205&gt;0,CH205*MAX(1,AV205/X205),IF(BT205=1,IF(AV205&lt;=0,0,BW205*MAX(1,IF(H205&gt;0,AV205/H205,1))),IF(R205&gt;0,AW205/R205,0))/MAX(0.1,N(Parameter!$M$21)))</f>
        <v>0.0384615384615385</v>
      </c>
      <c r="AY205" s="57" t="n">
        <f aca="false">AV205*G205</f>
        <v>4312</v>
      </c>
      <c r="AZ205" s="57" t="n">
        <f aca="false">ROUNDUP(MAX(J205/IF(BZ205&gt;0,BZ205,MAX(0.1,N(Cockpit!$O$6))),CC205)/BS205,0)*BS205</f>
        <v>8</v>
      </c>
      <c r="BA205" s="58" t="n">
        <f aca="false">IF(AX205&gt;0,J205/AX205,-1)</f>
        <v>104</v>
      </c>
      <c r="BB205" s="58" t="n">
        <f aca="false">IF(AND(OR(BY205="L1",BY205="L23"),AX205&gt;0),SUMIFS($AX$7:$AX$1843,$BY$7:$BY$1843,BY205,$BA$7:$BA$1843,"&gt;"&amp;BA205)+SUMIFS($AX$7:$AX$1843,$BY$7:$BY$1843,BY205,$BA$7:$BA$1843,BA205,$BQ$7:$BQ$1843,"&lt;="&amp;BQ205),"")</f>
        <v>54.1989797641972</v>
      </c>
      <c r="BC205" s="65" t="n">
        <f aca="false">IF(BB205="",0,MAX(0,MIN(1,(IF(BY205="L1",Parameter!$E$5,Parameter!$E$6+Parameter!$E$7)-(BB205-AX205))/AX205)))</f>
        <v>1</v>
      </c>
      <c r="BD205" s="55" t="str">
        <f aca="false">IF(AH205&lt;=0,"",IF(BY205="Aussen","Aussenlager",IF(BY205="-","Nicht im Lift",IF(AM205&gt;=1,"Lift",IF(AM205&lt;=0,"Aussenlager","teilweise")))))</f>
        <v>Lift</v>
      </c>
      <c r="BE205" s="55" t="str">
        <f aca="false">IF(AP205&lt;=0,"",IF(BY205="Aussen","Aussenlager",IF(BY205="-","Nicht im Lift",IF(AU205&gt;=1,"Lift",IF(AU205&lt;=0,"Aussenlager","teilweise")))))</f>
        <v>Lift</v>
      </c>
      <c r="BF205" s="55" t="str">
        <f aca="false">IF(AX205&lt;=0,"",IF(BY205="Aussen","Aussenlager",IF(BY205="-","Nicht im Lift",IF(BC205&gt;=1,"Lift",IF(BC205&lt;=0,"Aussenlager","teilweise")))))</f>
        <v>Lift</v>
      </c>
      <c r="BG205" s="55" t="str">
        <f aca="false">IF(A205="","",IF(BP205=1,"Neu; ","")&amp;IF(AND(BP205=0,BK205&lt;0),"negativer Bestand (Export "&amp;BK205&amp;"); ","")&amp;IF(J205&lt;=0,"Kein Verbrauch; ","")&amp;IF(CH205&gt;0,"Lift "&amp;W205&amp;" lt. Liftbericht (Fach "&amp;X205&amp;" Stk); ",IF(BU205=1,"Gebinde geschätzt ("&amp;T205&amp;"); ",IF(BT205=1,"Lose – Tablare geschätzt; ","")))&amp;IF(H205&gt;AR205,"Überbestand "&amp;ROUND(H205-AR205,0)&amp;" Stk / CHF "&amp;ROUND((H205-AR205)*G205,0)&amp;"; ","")&amp;IF(AND(CA205=1,CB205&lt;CC205),"MAX &lt; MB+LG; ","")&amp;IF(AND(CG205&gt;0,CF205*10&gt;CG205),"zu hoch für Tablar; ","")&amp;IF(AND(BP205=0,OR(CA205=1,AA205&lt;&gt;"",U205&lt;&gt;"",V205&lt;&gt;"",AB205&lt;&gt;"")),"manuell übersteuert; ","")&amp;IF(AND(BT205=0,R205=0),"Gebinde unbekannt / Stellmass fehlt; ","")&amp;IF(AND(BT205=0,N(V205)&lt;=0,N(Q205)&lt;=0),"Menge pro Gebinde fehlt (Ist = 1 Gebinde); ","")&amp;BO205)</f>
        <v/>
      </c>
      <c r="BH205" s="55"/>
      <c r="BI205" s="55"/>
      <c r="BJ205" s="62"/>
      <c r="BK205" s="57" t="n">
        <v>1</v>
      </c>
      <c r="BL205" s="57" t="n">
        <v>4</v>
      </c>
      <c r="BM205" s="56" t="n">
        <v>780.479999999999</v>
      </c>
      <c r="BN205" s="57" t="n">
        <v>4</v>
      </c>
      <c r="BO205" s="55"/>
      <c r="BP205" s="60" t="n">
        <v>0</v>
      </c>
      <c r="BQ205" s="60" t="n">
        <v>205</v>
      </c>
      <c r="BR205" s="55" t="str">
        <f aca="false">IF(U205&lt;&gt;"",UPPER(TRIM(U205)),IF(BU205=1,UPPER(VLOOKUP(T205,Parameter!$I$27:$K$29,2,0)),IF(P205="","LOSE",P205)))</f>
        <v>S41</v>
      </c>
      <c r="BS205" s="57" t="n">
        <f aca="false">IF(BR205="LOSE",1,IF(N(V205)&gt;0,V205,IF(BU205=1,MAX(1,N(VLOOKUP(T205,Parameter!$I$27:$K$29,3,0)),H205,N(N205)),IF(N(Q205)&gt;0,Q205,MAX(1,H205)))))</f>
        <v>4</v>
      </c>
      <c r="BT205" s="60" t="n">
        <f aca="false">IF(BR205="LOSE",1,0)</f>
        <v>0</v>
      </c>
      <c r="BU205" s="60" t="n">
        <f aca="false">IF(AND(U205="",OR(P205="",P205="LOSE"),T205&lt;&gt;"",N(S205)&lt;=0,ISNUMBER(MATCH(T205,Parameter!$I$27:$I$29,0))),1,0)</f>
        <v>0</v>
      </c>
      <c r="BV205" s="55" t="str">
        <f aca="false">IF(AND(Parameter!$B$19="Ja",E205&lt;&gt;"",ISNUMBER(MATCH(E205,Parameter!$I$35:$I$52,0))),VLOOKUP(E205,Parameter!$I$35:$J$52,2,0),IFERROR(VLOOKUP(D205,Parameter!$A$35:$C$64,2,0),"Nein"))</f>
        <v>2+3</v>
      </c>
      <c r="BW205" s="59" t="n">
        <f aca="false">IF(BT205=0,0,IF(N(S205)&gt;0,S205,IFERROR(VLOOKUP(D205,Parameter!$A$35:$C$64,3,0)+0,0)))</f>
        <v>0</v>
      </c>
      <c r="BX205" s="55" t="n">
        <f aca="false">IF(AA205&lt;&gt;"",AA205,Z205)</f>
        <v>3</v>
      </c>
      <c r="BY205" s="55" t="str">
        <f aca="false">IF(BX205=1,"L1",IF(OR(BX205=2,BX205=3),"L23",IF(BX205="Aussen","Aussen","-")))</f>
        <v>L23</v>
      </c>
      <c r="BZ205" s="66" t="n">
        <f aca="false">IF(N(AB205)&gt;0,AB205,0)</f>
        <v>0</v>
      </c>
      <c r="CA205" s="60" t="n">
        <f aca="false">IF(ISNUMBER(AE205),1,0)</f>
        <v>0</v>
      </c>
      <c r="CB205" s="57" t="n">
        <f aca="false">N(AE205)</f>
        <v>0</v>
      </c>
      <c r="CC205" s="57" t="n">
        <f aca="false">N(M205)+N(N205)</f>
        <v>5</v>
      </c>
      <c r="CD205" s="57" t="n">
        <f aca="false">ROUNDUP(H205/BS205,0)</f>
        <v>2</v>
      </c>
      <c r="CE205" s="57" t="n">
        <f aca="false">ROUNDUP(CB205/BS205,0)</f>
        <v>0</v>
      </c>
      <c r="CF205" s="60" t="n">
        <f aca="false">IF(BT205=1,0,IFERROR(VLOOKUP(BR205,'Gebinde-Kategorie'!$A$5:$M$45,5,0)+0,0))</f>
        <v>11</v>
      </c>
      <c r="CG205" s="60" t="n">
        <f aca="false">IFERROR(IF(OR(BX205=1,BX205=2,BX205=3),N(INDEX(Parameter!$I$5:$I$7,BX205)),0),0)</f>
        <v>0</v>
      </c>
      <c r="CH205" s="59" t="n">
        <f aca="false">IF(AND(Parameter!$B$21="Ja",ISNUMBER(W205),N(X205)&gt;0),IFERROR(N(INDEX(Parameter!$L$5:$L$7,W205))*INDEX(Parameter!$E$5:$E$7,W205)*X205/SUMIFS($X$7:$X$1843,$W$7:$W$1843,W205),0),0)</f>
        <v>0</v>
      </c>
    </row>
    <row r="206" customFormat="false" ht="15" hidden="false" customHeight="false" outlineLevel="0" collapsed="false">
      <c r="A206" s="55" t="s">
        <v>611</v>
      </c>
      <c r="B206" s="55" t="s">
        <v>612</v>
      </c>
      <c r="C206" s="55" t="s">
        <v>164</v>
      </c>
      <c r="D206" s="55" t="s">
        <v>184</v>
      </c>
      <c r="E206" s="55" t="s">
        <v>185</v>
      </c>
      <c r="F206" s="55" t="s">
        <v>218</v>
      </c>
      <c r="G206" s="56" t="n">
        <v>8.16</v>
      </c>
      <c r="H206" s="57" t="n">
        <f aca="false">MAX(0,IF(AND(Parameter!$B$21="Ja",ISNUMBER(Y206)),Y206,IF(Parameter!$B$20="Jahresanfang 2025 + Export",BL206+BK206,BK206)))</f>
        <v>137</v>
      </c>
      <c r="I206" s="57" t="n">
        <f aca="false">H206*G206</f>
        <v>1117.92</v>
      </c>
      <c r="J206" s="57" t="n">
        <f aca="false">BN206*Parameter!$B$18</f>
        <v>151</v>
      </c>
      <c r="K206" s="58" t="n">
        <v>72</v>
      </c>
      <c r="L206" s="59" t="n">
        <v>2.09722222222222</v>
      </c>
      <c r="M206" s="57" t="n">
        <v>5</v>
      </c>
      <c r="N206" s="57" t="n">
        <v>150</v>
      </c>
      <c r="O206" s="60" t="n">
        <v>14</v>
      </c>
      <c r="P206" s="55" t="s">
        <v>476</v>
      </c>
      <c r="Q206" s="57" t="n">
        <v>71</v>
      </c>
      <c r="R206" s="60" t="n">
        <f aca="false">IF(BT206=1,0,IFERROR(VLOOKUP(BR206,'Gebinde-Kategorie'!$A$5:$M$45,13,0)+0,0))</f>
        <v>66</v>
      </c>
      <c r="S206" s="61"/>
      <c r="T206" s="62"/>
      <c r="U206" s="62"/>
      <c r="V206" s="62"/>
      <c r="W206" s="55"/>
      <c r="X206" s="57"/>
      <c r="Y206" s="57"/>
      <c r="Z206" s="55" t="n">
        <f aca="false">IF(A206="","",IF(AND(Parameter!$B$21="Ja",ISNUMBER(W206)),W206,IF(BV206="2+3",IF(ISNUMBER(SEARCH("grosser Artikel",BO206)),2,IFERROR(VLOOKUP(BR206,Parameter!$F$35:$G$64,2,0),2)),IF(OR(BV206="Nein",BV206=""),"-",BV206))))</f>
        <v>3</v>
      </c>
      <c r="AA206" s="62"/>
      <c r="AB206" s="63"/>
      <c r="AC206" s="57" t="n">
        <f aca="false">AR206</f>
        <v>213</v>
      </c>
      <c r="AD206" s="57" t="n">
        <f aca="false">MAX(AR206,H206)</f>
        <v>213</v>
      </c>
      <c r="AE206" s="64"/>
      <c r="AF206" s="57" t="n">
        <f aca="false">IF(LEFT(Cockpit!$C$5,1)="A",H206,IF(CA206=1,CB206,IF(LEFT(Cockpit!$C$5,1)="B",AJ206,MAX(AJ206,H206))))</f>
        <v>137</v>
      </c>
      <c r="AG206" s="57" t="n">
        <f aca="false">IF(BT206=1,0,ROUNDUP(AF206/BS206,0))</f>
        <v>2</v>
      </c>
      <c r="AH206" s="59" t="n">
        <f aca="false">IF(CH206&gt;0,CH206*MAX(1,AF206/X206),IF(BT206=1,IF(AF206&lt;=0,0,BW206*MAX(1,IF(H206&gt;0,AF206/H206,1))),IF(R206&gt;0,AG206/R206,0))/MAX(0.1,N(Parameter!$M$21)))</f>
        <v>0.0303030303030303</v>
      </c>
      <c r="AI206" s="57" t="n">
        <f aca="false">AF206*G206</f>
        <v>1117.92</v>
      </c>
      <c r="AJ206" s="57" t="n">
        <f aca="false">ROUNDUP(MAX(J206/IF(BZ206&gt;0,BZ206,MAX(0.1,N(Cockpit!$C$6))),CC206)/BS206,0)*BS206</f>
        <v>213</v>
      </c>
      <c r="AK206" s="58" t="n">
        <f aca="false">IF(AH206&gt;0,J206/AH206,-1)</f>
        <v>4983</v>
      </c>
      <c r="AL206" s="58" t="n">
        <f aca="false">IF(AND(OR(BY206="L1",BY206="L23"),AH206&gt;0),SUMIFS($AH$7:$AH$1843,$BY$7:$BY$1843,BY206,$AK$7:$AK$1843,"&gt;"&amp;AK206)+SUMIFS($AH$7:$AH$1843,$BY$7:$BY$1843,BY206,$AK$7:$AK$1843,AK206,$BQ$7:$BQ$1843,"&lt;="&amp;BQ206),"")</f>
        <v>7.19840545927502</v>
      </c>
      <c r="AM206" s="65" t="n">
        <f aca="false">IF(AL206="",0,MAX(0,MIN(1,(IF(BY206="L1",Parameter!$E$5,Parameter!$E$6+Parameter!$E$7)-(AL206-AH206))/AH206)))</f>
        <v>1</v>
      </c>
      <c r="AN206" s="57" t="n">
        <f aca="false">IF(LEFT(Cockpit!$I$5,1)="A",H206,IF(CA206=1,CB206,IF(LEFT(Cockpit!$I$5,1)="B",AR206,MAX(AR206,H206))))</f>
        <v>213</v>
      </c>
      <c r="AO206" s="57" t="n">
        <f aca="false">IF(BT206=1,0,ROUNDUP(AN206/BS206,0))</f>
        <v>3</v>
      </c>
      <c r="AP206" s="59" t="n">
        <f aca="false">IF(CH206&gt;0,CH206*MAX(1,AN206/X206),IF(BT206=1,IF(AN206&lt;=0,0,BW206*MAX(1,IF(H206&gt;0,AN206/H206,1))),IF(R206&gt;0,AO206/R206,0))/MAX(0.1,N(Parameter!$M$21)))</f>
        <v>0.0454545454545455</v>
      </c>
      <c r="AQ206" s="57" t="n">
        <f aca="false">AN206*G206</f>
        <v>1738.08</v>
      </c>
      <c r="AR206" s="57" t="n">
        <f aca="false">ROUNDUP(MAX(J206/IF(BZ206&gt;0,BZ206,MAX(0.1,N(Cockpit!$I$6))),CC206)/BS206,0)*BS206</f>
        <v>213</v>
      </c>
      <c r="AS206" s="58" t="n">
        <f aca="false">IF(AP206&gt;0,J206/AP206,-1)</f>
        <v>3322</v>
      </c>
      <c r="AT206" s="58" t="n">
        <f aca="false">IF(AND(OR(BY206="L1",BY206="L23"),AP206&gt;0),SUMIFS($AP$7:$AP$1843,$BY$7:$BY$1843,BY206,$AS$7:$AS$1843,"&gt;"&amp;AS206)+SUMIFS($AP$7:$AP$1843,$BY$7:$BY$1843,BY206,$AS$7:$AS$1843,AS206,$BQ$7:$BQ$1843,"&lt;="&amp;BQ206),"")</f>
        <v>15.2950491537448</v>
      </c>
      <c r="AU206" s="65" t="n">
        <f aca="false">IF(AT206="",0,MAX(0,MIN(1,(IF(BY206="L1",Parameter!$E$5,Parameter!$E$6+Parameter!$E$7)-(AT206-AP206))/AP206)))</f>
        <v>1</v>
      </c>
      <c r="AV206" s="57" t="n">
        <f aca="false">IF(LEFT(Cockpit!$O$5,1)="A",H206,IF(CA206=1,CB206,IF(LEFT(Cockpit!$O$5,1)="B",AZ206,MAX(AZ206,H206))))</f>
        <v>213</v>
      </c>
      <c r="AW206" s="57" t="n">
        <f aca="false">IF(BT206=1,0,ROUNDUP(AV206/BS206,0))</f>
        <v>3</v>
      </c>
      <c r="AX206" s="59" t="n">
        <f aca="false">IF(CH206&gt;0,CH206*MAX(1,AV206/X206),IF(BT206=1,IF(AV206&lt;=0,0,BW206*MAX(1,IF(H206&gt;0,AV206/H206,1))),IF(R206&gt;0,AW206/R206,0))/MAX(0.1,N(Parameter!$M$21)))</f>
        <v>0.0454545454545455</v>
      </c>
      <c r="AY206" s="57" t="n">
        <f aca="false">AV206*G206</f>
        <v>1738.08</v>
      </c>
      <c r="AZ206" s="57" t="n">
        <f aca="false">ROUNDUP(MAX(J206/IF(BZ206&gt;0,BZ206,MAX(0.1,N(Cockpit!$O$6))),CC206)/BS206,0)*BS206</f>
        <v>213</v>
      </c>
      <c r="BA206" s="58" t="n">
        <f aca="false">IF(AX206&gt;0,J206/AX206,-1)</f>
        <v>3322</v>
      </c>
      <c r="BB206" s="58" t="n">
        <f aca="false">IF(AND(OR(BY206="L1",BY206="L23"),AX206&gt;0),SUMIFS($AX$7:$AX$1843,$BY$7:$BY$1843,BY206,$BA$7:$BA$1843,"&gt;"&amp;BA206)+SUMIFS($AX$7:$AX$1843,$BY$7:$BY$1843,BY206,$BA$7:$BA$1843,BA206,$BQ$7:$BQ$1843,"&lt;="&amp;BQ206),"")</f>
        <v>13.8620654707611</v>
      </c>
      <c r="BC206" s="65" t="n">
        <f aca="false">IF(BB206="",0,MAX(0,MIN(1,(IF(BY206="L1",Parameter!$E$5,Parameter!$E$6+Parameter!$E$7)-(BB206-AX206))/AX206)))</f>
        <v>1</v>
      </c>
      <c r="BD206" s="55" t="str">
        <f aca="false">IF(AH206&lt;=0,"",IF(BY206="Aussen","Aussenlager",IF(BY206="-","Nicht im Lift",IF(AM206&gt;=1,"Lift",IF(AM206&lt;=0,"Aussenlager","teilweise")))))</f>
        <v>Lift</v>
      </c>
      <c r="BE206" s="55" t="str">
        <f aca="false">IF(AP206&lt;=0,"",IF(BY206="Aussen","Aussenlager",IF(BY206="-","Nicht im Lift",IF(AU206&gt;=1,"Lift",IF(AU206&lt;=0,"Aussenlager","teilweise")))))</f>
        <v>Lift</v>
      </c>
      <c r="BF206" s="55" t="str">
        <f aca="false">IF(AX206&lt;=0,"",IF(BY206="Aussen","Aussenlager",IF(BY206="-","Nicht im Lift",IF(BC206&gt;=1,"Lift",IF(BC206&lt;=0,"Aussenlager","teilweise")))))</f>
        <v>Lift</v>
      </c>
      <c r="BG206" s="55" t="str">
        <f aca="false">IF(A206="","",IF(BP206=1,"Neu; ","")&amp;IF(AND(BP206=0,BK206&lt;0),"negativer Bestand (Export "&amp;BK206&amp;"); ","")&amp;IF(J206&lt;=0,"Kein Verbrauch; ","")&amp;IF(CH206&gt;0,"Lift "&amp;W206&amp;" lt. Liftbericht (Fach "&amp;X206&amp;" Stk); ",IF(BU206=1,"Gebinde geschätzt ("&amp;T206&amp;"); ",IF(BT206=1,"Lose – Tablare geschätzt; ","")))&amp;IF(H206&gt;AR206,"Überbestand "&amp;ROUND(H206-AR206,0)&amp;" Stk / CHF "&amp;ROUND((H206-AR206)*G206,0)&amp;"; ","")&amp;IF(AND(CA206=1,CB206&lt;CC206),"MAX &lt; MB+LG; ","")&amp;IF(AND(CG206&gt;0,CF206*10&gt;CG206),"zu hoch für Tablar; ","")&amp;IF(AND(BP206=0,OR(CA206=1,AA206&lt;&gt;"",U206&lt;&gt;"",V206&lt;&gt;"",AB206&lt;&gt;"")),"manuell übersteuert; ","")&amp;IF(AND(BT206=0,R206=0),"Gebinde unbekannt / Stellmass fehlt; ","")&amp;IF(AND(BT206=0,N(V206)&lt;=0,N(Q206)&lt;=0),"Menge pro Gebinde fehlt (Ist = 1 Gebinde); ","")&amp;BO206)</f>
        <v/>
      </c>
      <c r="BH206" s="55"/>
      <c r="BI206" s="55"/>
      <c r="BJ206" s="62"/>
      <c r="BK206" s="57" t="n">
        <v>90</v>
      </c>
      <c r="BL206" s="57" t="n">
        <v>47</v>
      </c>
      <c r="BM206" s="56" t="n">
        <v>744.27</v>
      </c>
      <c r="BN206" s="57" t="n">
        <v>151</v>
      </c>
      <c r="BO206" s="55"/>
      <c r="BP206" s="60" t="n">
        <v>0</v>
      </c>
      <c r="BQ206" s="60" t="n">
        <v>206</v>
      </c>
      <c r="BR206" s="55" t="str">
        <f aca="false">IF(U206&lt;&gt;"",UPPER(TRIM(U206)),IF(BU206=1,UPPER(VLOOKUP(T206,Parameter!$I$27:$K$29,2,0)),IF(P206="","LOSE",P206)))</f>
        <v>S33</v>
      </c>
      <c r="BS206" s="57" t="n">
        <f aca="false">IF(BR206="LOSE",1,IF(N(V206)&gt;0,V206,IF(BU206=1,MAX(1,N(VLOOKUP(T206,Parameter!$I$27:$K$29,3,0)),H206,N(N206)),IF(N(Q206)&gt;0,Q206,MAX(1,H206)))))</f>
        <v>71</v>
      </c>
      <c r="BT206" s="60" t="n">
        <f aca="false">IF(BR206="LOSE",1,0)</f>
        <v>0</v>
      </c>
      <c r="BU206" s="60" t="n">
        <f aca="false">IF(AND(U206="",OR(P206="",P206="LOSE"),T206&lt;&gt;"",N(S206)&lt;=0,ISNUMBER(MATCH(T206,Parameter!$I$27:$I$29,0))),1,0)</f>
        <v>0</v>
      </c>
      <c r="BV206" s="55" t="str">
        <f aca="false">IF(AND(Parameter!$B$19="Ja",E206&lt;&gt;"",ISNUMBER(MATCH(E206,Parameter!$I$35:$I$52,0))),VLOOKUP(E206,Parameter!$I$35:$J$52,2,0),IFERROR(VLOOKUP(D206,Parameter!$A$35:$C$64,2,0),"Nein"))</f>
        <v>2+3</v>
      </c>
      <c r="BW206" s="59" t="n">
        <f aca="false">IF(BT206=0,0,IF(N(S206)&gt;0,S206,IFERROR(VLOOKUP(D206,Parameter!$A$35:$C$64,3,0)+0,0)))</f>
        <v>0</v>
      </c>
      <c r="BX206" s="55" t="n">
        <f aca="false">IF(AA206&lt;&gt;"",AA206,Z206)</f>
        <v>3</v>
      </c>
      <c r="BY206" s="55" t="str">
        <f aca="false">IF(BX206=1,"L1",IF(OR(BX206=2,BX206=3),"L23",IF(BX206="Aussen","Aussen","-")))</f>
        <v>L23</v>
      </c>
      <c r="BZ206" s="66" t="n">
        <f aca="false">IF(N(AB206)&gt;0,AB206,0)</f>
        <v>0</v>
      </c>
      <c r="CA206" s="60" t="n">
        <f aca="false">IF(ISNUMBER(AE206),1,0)</f>
        <v>0</v>
      </c>
      <c r="CB206" s="57" t="n">
        <f aca="false">N(AE206)</f>
        <v>0</v>
      </c>
      <c r="CC206" s="57" t="n">
        <f aca="false">N(M206)+N(N206)</f>
        <v>155</v>
      </c>
      <c r="CD206" s="57" t="n">
        <f aca="false">ROUNDUP(H206/BS206,0)</f>
        <v>2</v>
      </c>
      <c r="CE206" s="57" t="n">
        <f aca="false">ROUNDUP(CB206/BS206,0)</f>
        <v>0</v>
      </c>
      <c r="CF206" s="60" t="n">
        <f aca="false">IF(BT206=1,0,IFERROR(VLOOKUP(BR206,'Gebinde-Kategorie'!$A$5:$M$45,5,0)+0,0))</f>
        <v>8</v>
      </c>
      <c r="CG206" s="60" t="n">
        <f aca="false">IFERROR(IF(OR(BX206=1,BX206=2,BX206=3),N(INDEX(Parameter!$I$5:$I$7,BX206)),0),0)</f>
        <v>0</v>
      </c>
      <c r="CH206" s="59" t="n">
        <f aca="false">IF(AND(Parameter!$B$21="Ja",ISNUMBER(W206),N(X206)&gt;0),IFERROR(N(INDEX(Parameter!$L$5:$L$7,W206))*INDEX(Parameter!$E$5:$E$7,W206)*X206/SUMIFS($X$7:$X$1843,$W$7:$W$1843,W206),0),0)</f>
        <v>0</v>
      </c>
    </row>
    <row r="207" customFormat="false" ht="15" hidden="false" customHeight="false" outlineLevel="0" collapsed="false">
      <c r="A207" s="55" t="s">
        <v>613</v>
      </c>
      <c r="B207" s="55" t="s">
        <v>614</v>
      </c>
      <c r="C207" s="55" t="s">
        <v>164</v>
      </c>
      <c r="D207" s="55" t="s">
        <v>184</v>
      </c>
      <c r="E207" s="55" t="s">
        <v>185</v>
      </c>
      <c r="F207" s="55" t="s">
        <v>218</v>
      </c>
      <c r="G207" s="56" t="n">
        <v>11.13</v>
      </c>
      <c r="H207" s="57" t="n">
        <f aca="false">MAX(0,IF(AND(Parameter!$B$21="Ja",ISNUMBER(Y207)),Y207,IF(Parameter!$B$20="Jahresanfang 2025 + Export",BL207+BK207,BK207)))</f>
        <v>395</v>
      </c>
      <c r="I207" s="57" t="n">
        <f aca="false">H207*G207</f>
        <v>4396.35</v>
      </c>
      <c r="J207" s="57" t="n">
        <f aca="false">BN207*Parameter!$B$18</f>
        <v>1125</v>
      </c>
      <c r="K207" s="58" t="n">
        <v>471.5</v>
      </c>
      <c r="L207" s="59" t="n">
        <v>2.38600212089077</v>
      </c>
      <c r="M207" s="57" t="n">
        <v>65</v>
      </c>
      <c r="N207" s="57" t="n">
        <v>500</v>
      </c>
      <c r="O207" s="60" t="n">
        <v>21</v>
      </c>
      <c r="P207" s="55" t="s">
        <v>233</v>
      </c>
      <c r="Q207" s="57" t="n">
        <v>951</v>
      </c>
      <c r="R207" s="60" t="n">
        <f aca="false">IF(BT207=1,0,IFERROR(VLOOKUP(BR207,'Gebinde-Kategorie'!$A$5:$M$45,13,0)+0,0))</f>
        <v>26</v>
      </c>
      <c r="S207" s="61"/>
      <c r="T207" s="62"/>
      <c r="U207" s="62"/>
      <c r="V207" s="62"/>
      <c r="W207" s="55"/>
      <c r="X207" s="57"/>
      <c r="Y207" s="57"/>
      <c r="Z207" s="55" t="n">
        <f aca="false">IF(A207="","",IF(AND(Parameter!$B$21="Ja",ISNUMBER(W207)),W207,IF(BV207="2+3",IF(ISNUMBER(SEARCH("grosser Artikel",BO207)),2,IFERROR(VLOOKUP(BR207,Parameter!$F$35:$G$64,2,0),2)),IF(OR(BV207="Nein",BV207=""),"-",BV207))))</f>
        <v>3</v>
      </c>
      <c r="AA207" s="62"/>
      <c r="AB207" s="63"/>
      <c r="AC207" s="57" t="n">
        <f aca="false">AR207</f>
        <v>951</v>
      </c>
      <c r="AD207" s="57" t="n">
        <f aca="false">MAX(AR207,H207)</f>
        <v>951</v>
      </c>
      <c r="AE207" s="64"/>
      <c r="AF207" s="57" t="n">
        <f aca="false">IF(LEFT(Cockpit!$C$5,1)="A",H207,IF(CA207=1,CB207,IF(LEFT(Cockpit!$C$5,1)="B",AJ207,MAX(AJ207,H207))))</f>
        <v>395</v>
      </c>
      <c r="AG207" s="57" t="n">
        <f aca="false">IF(BT207=1,0,ROUNDUP(AF207/BS207,0))</f>
        <v>1</v>
      </c>
      <c r="AH207" s="59" t="n">
        <f aca="false">IF(CH207&gt;0,CH207*MAX(1,AF207/X207),IF(BT207=1,IF(AF207&lt;=0,0,BW207*MAX(1,IF(H207&gt;0,AF207/H207,1))),IF(R207&gt;0,AG207/R207,0))/MAX(0.1,N(Parameter!$M$21)))</f>
        <v>0.0384615384615385</v>
      </c>
      <c r="AI207" s="57" t="n">
        <f aca="false">AF207*G207</f>
        <v>4396.35</v>
      </c>
      <c r="AJ207" s="57" t="n">
        <f aca="false">ROUNDUP(MAX(J207/IF(BZ207&gt;0,BZ207,MAX(0.1,N(Cockpit!$C$6))),CC207)/BS207,0)*BS207</f>
        <v>951</v>
      </c>
      <c r="AK207" s="58" t="n">
        <f aca="false">IF(AH207&gt;0,J207/AH207,-1)</f>
        <v>29250</v>
      </c>
      <c r="AL207" s="58" t="n">
        <f aca="false">IF(AND(OR(BY207="L1",BY207="L23"),AH207&gt;0),SUMIFS($AH$7:$AH$1843,$BY$7:$BY$1843,BY207,$AK$7:$AK$1843,"&gt;"&amp;AK207)+SUMIFS($AH$7:$AH$1843,$BY$7:$BY$1843,BY207,$AK$7:$AK$1843,AK207,$BQ$7:$BQ$1843,"&lt;="&amp;BQ207),"")</f>
        <v>2.41458903415425</v>
      </c>
      <c r="AM207" s="65" t="n">
        <f aca="false">IF(AL207="",0,MAX(0,MIN(1,(IF(BY207="L1",Parameter!$E$5,Parameter!$E$6+Parameter!$E$7)-(AL207-AH207))/AH207)))</f>
        <v>1</v>
      </c>
      <c r="AN207" s="57" t="n">
        <f aca="false">IF(LEFT(Cockpit!$I$5,1)="A",H207,IF(CA207=1,CB207,IF(LEFT(Cockpit!$I$5,1)="B",AR207,MAX(AR207,H207))))</f>
        <v>951</v>
      </c>
      <c r="AO207" s="57" t="n">
        <f aca="false">IF(BT207=1,0,ROUNDUP(AN207/BS207,0))</f>
        <v>1</v>
      </c>
      <c r="AP207" s="59" t="n">
        <f aca="false">IF(CH207&gt;0,CH207*MAX(1,AN207/X207),IF(BT207=1,IF(AN207&lt;=0,0,BW207*MAX(1,IF(H207&gt;0,AN207/H207,1))),IF(R207&gt;0,AO207/R207,0))/MAX(0.1,N(Parameter!$M$21)))</f>
        <v>0.0384615384615385</v>
      </c>
      <c r="AQ207" s="57" t="n">
        <f aca="false">AN207*G207</f>
        <v>10584.63</v>
      </c>
      <c r="AR207" s="57" t="n">
        <f aca="false">ROUNDUP(MAX(J207/IF(BZ207&gt;0,BZ207,MAX(0.1,N(Cockpit!$I$6))),CC207)/BS207,0)*BS207</f>
        <v>951</v>
      </c>
      <c r="AS207" s="58" t="n">
        <f aca="false">IF(AP207&gt;0,J207/AP207,-1)</f>
        <v>29250</v>
      </c>
      <c r="AT207" s="58" t="n">
        <f aca="false">IF(AND(OR(BY207="L1",BY207="L23"),AP207&gt;0),SUMIFS($AP$7:$AP$1843,$BY$7:$BY$1843,BY207,$AS$7:$AS$1843,"&gt;"&amp;AS207)+SUMIFS($AP$7:$AP$1843,$BY$7:$BY$1843,BY207,$AS$7:$AS$1843,AS207,$BQ$7:$BQ$1843,"&lt;="&amp;BQ207),"")</f>
        <v>3.25966183574879</v>
      </c>
      <c r="AU207" s="65" t="n">
        <f aca="false">IF(AT207="",0,MAX(0,MIN(1,(IF(BY207="L1",Parameter!$E$5,Parameter!$E$6+Parameter!$E$7)-(AT207-AP207))/AP207)))</f>
        <v>1</v>
      </c>
      <c r="AV207" s="57" t="n">
        <f aca="false">IF(LEFT(Cockpit!$O$5,1)="A",H207,IF(CA207=1,CB207,IF(LEFT(Cockpit!$O$5,1)="B",AZ207,MAX(AZ207,H207))))</f>
        <v>951</v>
      </c>
      <c r="AW207" s="57" t="n">
        <f aca="false">IF(BT207=1,0,ROUNDUP(AV207/BS207,0))</f>
        <v>1</v>
      </c>
      <c r="AX207" s="59" t="n">
        <f aca="false">IF(CH207&gt;0,CH207*MAX(1,AV207/X207),IF(BT207=1,IF(AV207&lt;=0,0,BW207*MAX(1,IF(H207&gt;0,AV207/H207,1))),IF(R207&gt;0,AW207/R207,0))/MAX(0.1,N(Parameter!$M$21)))</f>
        <v>0.0384615384615385</v>
      </c>
      <c r="AY207" s="57" t="n">
        <f aca="false">AV207*G207</f>
        <v>10584.63</v>
      </c>
      <c r="AZ207" s="57" t="n">
        <f aca="false">ROUNDUP(MAX(J207/IF(BZ207&gt;0,BZ207,MAX(0.1,N(Cockpit!$O$6))),CC207)/BS207,0)*BS207</f>
        <v>951</v>
      </c>
      <c r="BA207" s="58" t="n">
        <f aca="false">IF(AX207&gt;0,J207/AX207,-1)</f>
        <v>29250</v>
      </c>
      <c r="BB207" s="58" t="n">
        <f aca="false">IF(AND(OR(BY207="L1",BY207="L23"),AX207&gt;0),SUMIFS($AX$7:$AX$1843,$BY$7:$BY$1843,BY207,$BA$7:$BA$1843,"&gt;"&amp;BA207)+SUMIFS($AX$7:$AX$1843,$BY$7:$BY$1843,BY207,$BA$7:$BA$1843,BA207,$BQ$7:$BQ$1843,"&lt;="&amp;BQ207),"")</f>
        <v>2.98926556535252</v>
      </c>
      <c r="BC207" s="65" t="n">
        <f aca="false">IF(BB207="",0,MAX(0,MIN(1,(IF(BY207="L1",Parameter!$E$5,Parameter!$E$6+Parameter!$E$7)-(BB207-AX207))/AX207)))</f>
        <v>1</v>
      </c>
      <c r="BD207" s="55" t="str">
        <f aca="false">IF(AH207&lt;=0,"",IF(BY207="Aussen","Aussenlager",IF(BY207="-","Nicht im Lift",IF(AM207&gt;=1,"Lift",IF(AM207&lt;=0,"Aussenlager","teilweise")))))</f>
        <v>Lift</v>
      </c>
      <c r="BE207" s="55" t="str">
        <f aca="false">IF(AP207&lt;=0,"",IF(BY207="Aussen","Aussenlager",IF(BY207="-","Nicht im Lift",IF(AU207&gt;=1,"Lift",IF(AU207&lt;=0,"Aussenlager","teilweise")))))</f>
        <v>Lift</v>
      </c>
      <c r="BF207" s="55" t="str">
        <f aca="false">IF(AX207&lt;=0,"",IF(BY207="Aussen","Aussenlager",IF(BY207="-","Nicht im Lift",IF(BC207&gt;=1,"Lift",IF(BC207&lt;=0,"Aussenlager","teilweise")))))</f>
        <v>Lift</v>
      </c>
      <c r="BG207" s="55" t="str">
        <f aca="false">IF(A207="","",IF(BP207=1,"Neu; ","")&amp;IF(AND(BP207=0,BK207&lt;0),"negativer Bestand (Export "&amp;BK207&amp;"); ","")&amp;IF(J207&lt;=0,"Kein Verbrauch; ","")&amp;IF(CH207&gt;0,"Lift "&amp;W207&amp;" lt. Liftbericht (Fach "&amp;X207&amp;" Stk); ",IF(BU207=1,"Gebinde geschätzt ("&amp;T207&amp;"); ",IF(BT207=1,"Lose – Tablare geschätzt; ","")))&amp;IF(H207&gt;AR207,"Überbestand "&amp;ROUND(H207-AR207,0)&amp;" Stk / CHF "&amp;ROUND((H207-AR207)*G207,0)&amp;"; ","")&amp;IF(AND(CA207=1,CB207&lt;CC207),"MAX &lt; MB+LG; ","")&amp;IF(AND(CG207&gt;0,CF207*10&gt;CG207),"zu hoch für Tablar; ","")&amp;IF(AND(BP207=0,OR(CA207=1,AA207&lt;&gt;"",U207&lt;&gt;"",V207&lt;&gt;"",AB207&lt;&gt;"")),"manuell übersteuert; ","")&amp;IF(AND(BT207=0,R207=0),"Gebinde unbekannt / Stellmass fehlt; ","")&amp;IF(AND(BT207=0,N(V207)&lt;=0,N(Q207)&lt;=0),"Menge pro Gebinde fehlt (Ist = 1 Gebinde); ","")&amp;BO207)</f>
        <v/>
      </c>
      <c r="BH207" s="55"/>
      <c r="BI207" s="55"/>
      <c r="BJ207" s="62"/>
      <c r="BK207" s="57" t="n">
        <v>106</v>
      </c>
      <c r="BL207" s="57" t="n">
        <v>289</v>
      </c>
      <c r="BM207" s="56" t="n">
        <v>741.420000000001</v>
      </c>
      <c r="BN207" s="57" t="n">
        <v>1125</v>
      </c>
      <c r="BO207" s="55"/>
      <c r="BP207" s="60" t="n">
        <v>0</v>
      </c>
      <c r="BQ207" s="60" t="n">
        <v>207</v>
      </c>
      <c r="BR207" s="55" t="str">
        <f aca="false">IF(U207&lt;&gt;"",UPPER(TRIM(U207)),IF(BU207=1,UPPER(VLOOKUP(T207,Parameter!$I$27:$K$29,2,0)),IF(P207="","LOSE",P207)))</f>
        <v>S52</v>
      </c>
      <c r="BS207" s="57" t="n">
        <f aca="false">IF(BR207="LOSE",1,IF(N(V207)&gt;0,V207,IF(BU207=1,MAX(1,N(VLOOKUP(T207,Parameter!$I$27:$K$29,3,0)),H207,N(N207)),IF(N(Q207)&gt;0,Q207,MAX(1,H207)))))</f>
        <v>951</v>
      </c>
      <c r="BT207" s="60" t="n">
        <f aca="false">IF(BR207="LOSE",1,0)</f>
        <v>0</v>
      </c>
      <c r="BU207" s="60" t="n">
        <f aca="false">IF(AND(U207="",OR(P207="",P207="LOSE"),T207&lt;&gt;"",N(S207)&lt;=0,ISNUMBER(MATCH(T207,Parameter!$I$27:$I$29,0))),1,0)</f>
        <v>0</v>
      </c>
      <c r="BV207" s="55" t="str">
        <f aca="false">IF(AND(Parameter!$B$19="Ja",E207&lt;&gt;"",ISNUMBER(MATCH(E207,Parameter!$I$35:$I$52,0))),VLOOKUP(E207,Parameter!$I$35:$J$52,2,0),IFERROR(VLOOKUP(D207,Parameter!$A$35:$C$64,2,0),"Nein"))</f>
        <v>2+3</v>
      </c>
      <c r="BW207" s="59" t="n">
        <f aca="false">IF(BT207=0,0,IF(N(S207)&gt;0,S207,IFERROR(VLOOKUP(D207,Parameter!$A$35:$C$64,3,0)+0,0)))</f>
        <v>0</v>
      </c>
      <c r="BX207" s="55" t="n">
        <f aca="false">IF(AA207&lt;&gt;"",AA207,Z207)</f>
        <v>3</v>
      </c>
      <c r="BY207" s="55" t="str">
        <f aca="false">IF(BX207=1,"L1",IF(OR(BX207=2,BX207=3),"L23",IF(BX207="Aussen","Aussen","-")))</f>
        <v>L23</v>
      </c>
      <c r="BZ207" s="66" t="n">
        <f aca="false">IF(N(AB207)&gt;0,AB207,0)</f>
        <v>0</v>
      </c>
      <c r="CA207" s="60" t="n">
        <f aca="false">IF(ISNUMBER(AE207),1,0)</f>
        <v>0</v>
      </c>
      <c r="CB207" s="57" t="n">
        <f aca="false">N(AE207)</f>
        <v>0</v>
      </c>
      <c r="CC207" s="57" t="n">
        <f aca="false">N(M207)+N(N207)</f>
        <v>565</v>
      </c>
      <c r="CD207" s="57" t="n">
        <f aca="false">ROUNDUP(H207/BS207,0)</f>
        <v>1</v>
      </c>
      <c r="CE207" s="57" t="n">
        <f aca="false">ROUNDUP(CB207/BS207,0)</f>
        <v>0</v>
      </c>
      <c r="CF207" s="60" t="n">
        <f aca="false">IF(BT207=1,0,IFERROR(VLOOKUP(BR207,'Gebinde-Kategorie'!$A$5:$M$45,5,0)+0,0))</f>
        <v>21</v>
      </c>
      <c r="CG207" s="60" t="n">
        <f aca="false">IFERROR(IF(OR(BX207=1,BX207=2,BX207=3),N(INDEX(Parameter!$I$5:$I$7,BX207)),0),0)</f>
        <v>0</v>
      </c>
      <c r="CH207" s="59" t="n">
        <f aca="false">IF(AND(Parameter!$B$21="Ja",ISNUMBER(W207),N(X207)&gt;0),IFERROR(N(INDEX(Parameter!$L$5:$L$7,W207))*INDEX(Parameter!$E$5:$E$7,W207)*X207/SUMIFS($X$7:$X$1843,$W$7:$W$1843,W207),0),0)</f>
        <v>0</v>
      </c>
    </row>
    <row r="208" customFormat="false" ht="15" hidden="false" customHeight="false" outlineLevel="0" collapsed="false">
      <c r="A208" s="55" t="s">
        <v>615</v>
      </c>
      <c r="B208" s="55" t="s">
        <v>431</v>
      </c>
      <c r="C208" s="55" t="s">
        <v>164</v>
      </c>
      <c r="D208" s="55" t="s">
        <v>184</v>
      </c>
      <c r="E208" s="55" t="s">
        <v>185</v>
      </c>
      <c r="F208" s="55" t="s">
        <v>218</v>
      </c>
      <c r="G208" s="56" t="n">
        <v>67.09</v>
      </c>
      <c r="H208" s="57" t="n">
        <f aca="false">MAX(0,IF(AND(Parameter!$B$21="Ja",ISNUMBER(Y208)),Y208,IF(Parameter!$B$20="Jahresanfang 2025 + Export",BL208+BK208,BK208)))</f>
        <v>34</v>
      </c>
      <c r="I208" s="57" t="n">
        <f aca="false">H208*G208</f>
        <v>2281.06</v>
      </c>
      <c r="J208" s="57" t="n">
        <f aca="false">BN208*Parameter!$B$18</f>
        <v>4</v>
      </c>
      <c r="K208" s="58" t="n">
        <v>21</v>
      </c>
      <c r="L208" s="59" t="n">
        <v>0.190476190476191</v>
      </c>
      <c r="M208" s="57" t="n">
        <v>0</v>
      </c>
      <c r="N208" s="57" t="n">
        <v>5</v>
      </c>
      <c r="O208" s="60" t="n">
        <v>70</v>
      </c>
      <c r="P208" s="55" t="s">
        <v>233</v>
      </c>
      <c r="Q208" s="57" t="n">
        <v>15</v>
      </c>
      <c r="R208" s="60" t="n">
        <f aca="false">IF(BT208=1,0,IFERROR(VLOOKUP(BR208,'Gebinde-Kategorie'!$A$5:$M$45,13,0)+0,0))</f>
        <v>26</v>
      </c>
      <c r="S208" s="61"/>
      <c r="T208" s="62"/>
      <c r="U208" s="62"/>
      <c r="V208" s="62"/>
      <c r="W208" s="55"/>
      <c r="X208" s="57"/>
      <c r="Y208" s="57"/>
      <c r="Z208" s="55" t="n">
        <f aca="false">IF(A208="","",IF(AND(Parameter!$B$21="Ja",ISNUMBER(W208)),W208,IF(BV208="2+3",IF(ISNUMBER(SEARCH("grosser Artikel",BO208)),2,IFERROR(VLOOKUP(BR208,Parameter!$F$35:$G$64,2,0),2)),IF(OR(BV208="Nein",BV208=""),"-",BV208))))</f>
        <v>3</v>
      </c>
      <c r="AA208" s="62"/>
      <c r="AB208" s="63"/>
      <c r="AC208" s="57" t="n">
        <f aca="false">AR208</f>
        <v>15</v>
      </c>
      <c r="AD208" s="57" t="n">
        <f aca="false">MAX(AR208,H208)</f>
        <v>34</v>
      </c>
      <c r="AE208" s="64"/>
      <c r="AF208" s="57" t="n">
        <f aca="false">IF(LEFT(Cockpit!$C$5,1)="A",H208,IF(CA208=1,CB208,IF(LEFT(Cockpit!$C$5,1)="B",AJ208,MAX(AJ208,H208))))</f>
        <v>34</v>
      </c>
      <c r="AG208" s="57" t="n">
        <f aca="false">IF(BT208=1,0,ROUNDUP(AF208/BS208,0))</f>
        <v>3</v>
      </c>
      <c r="AH208" s="59" t="n">
        <f aca="false">IF(CH208&gt;0,CH208*MAX(1,AF208/X208),IF(BT208=1,IF(AF208&lt;=0,0,BW208*MAX(1,IF(H208&gt;0,AF208/H208,1))),IF(R208&gt;0,AG208/R208,0))/MAX(0.1,N(Parameter!$M$21)))</f>
        <v>0.115384615384615</v>
      </c>
      <c r="AI208" s="57" t="n">
        <f aca="false">AF208*G208</f>
        <v>2281.06</v>
      </c>
      <c r="AJ208" s="57" t="n">
        <f aca="false">ROUNDUP(MAX(J208/IF(BZ208&gt;0,BZ208,MAX(0.1,N(Cockpit!$C$6))),CC208)/BS208,0)*BS208</f>
        <v>15</v>
      </c>
      <c r="AK208" s="58" t="n">
        <f aca="false">IF(AH208&gt;0,J208/AH208,-1)</f>
        <v>34.6666666666667</v>
      </c>
      <c r="AL208" s="58" t="n">
        <f aca="false">IF(AND(OR(BY208="L1",BY208="L23"),AH208&gt;0),SUMIFS($AH$7:$AH$1843,$BY$7:$BY$1843,BY208,$AK$7:$AK$1843,"&gt;"&amp;AK208)+SUMIFS($AH$7:$AH$1843,$BY$7:$BY$1843,BY208,$AK$7:$AK$1843,AK208,$BQ$7:$BQ$1843,"&lt;="&amp;BQ208),"")</f>
        <v>47.2292067835546</v>
      </c>
      <c r="AM208" s="65" t="n">
        <f aca="false">IF(AL208="",0,MAX(0,MIN(1,(IF(BY208="L1",Parameter!$E$5,Parameter!$E$6+Parameter!$E$7)-(AL208-AH208))/AH208)))</f>
        <v>1</v>
      </c>
      <c r="AN208" s="57" t="n">
        <f aca="false">IF(LEFT(Cockpit!$I$5,1)="A",H208,IF(CA208=1,CB208,IF(LEFT(Cockpit!$I$5,1)="B",AR208,MAX(AR208,H208))))</f>
        <v>34</v>
      </c>
      <c r="AO208" s="57" t="n">
        <f aca="false">IF(BT208=1,0,ROUNDUP(AN208/BS208,0))</f>
        <v>3</v>
      </c>
      <c r="AP208" s="59" t="n">
        <f aca="false">IF(CH208&gt;0,CH208*MAX(1,AN208/X208),IF(BT208=1,IF(AN208&lt;=0,0,BW208*MAX(1,IF(H208&gt;0,AN208/H208,1))),IF(R208&gt;0,AO208/R208,0))/MAX(0.1,N(Parameter!$M$21)))</f>
        <v>0.115384615384615</v>
      </c>
      <c r="AQ208" s="57" t="n">
        <f aca="false">AN208*G208</f>
        <v>2281.06</v>
      </c>
      <c r="AR208" s="57" t="n">
        <f aca="false">ROUNDUP(MAX(J208/IF(BZ208&gt;0,BZ208,MAX(0.1,N(Cockpit!$I$6))),CC208)/BS208,0)*BS208</f>
        <v>15</v>
      </c>
      <c r="AS208" s="58" t="n">
        <f aca="false">IF(AP208&gt;0,J208/AP208,-1)</f>
        <v>34.6666666666667</v>
      </c>
      <c r="AT208" s="58" t="n">
        <f aca="false">IF(AND(OR(BY208="L1",BY208="L23"),AP208&gt;0),SUMIFS($AP$7:$AP$1843,$BY$7:$BY$1843,BY208,$AS$7:$AS$1843,"&gt;"&amp;AS208)+SUMIFS($AP$7:$AP$1843,$BY$7:$BY$1843,BY208,$AS$7:$AS$1843,AS208,$BQ$7:$BQ$1843,"&lt;="&amp;BQ208),"")</f>
        <v>71.6597412249586</v>
      </c>
      <c r="AU208" s="65" t="n">
        <f aca="false">IF(AT208="",0,MAX(0,MIN(1,(IF(BY208="L1",Parameter!$E$5,Parameter!$E$6+Parameter!$E$7)-(AT208-AP208))/AP208)))</f>
        <v>1</v>
      </c>
      <c r="AV208" s="57" t="n">
        <f aca="false">IF(LEFT(Cockpit!$O$5,1)="A",H208,IF(CA208=1,CB208,IF(LEFT(Cockpit!$O$5,1)="B",AZ208,MAX(AZ208,H208))))</f>
        <v>34</v>
      </c>
      <c r="AW208" s="57" t="n">
        <f aca="false">IF(BT208=1,0,ROUNDUP(AV208/BS208,0))</f>
        <v>3</v>
      </c>
      <c r="AX208" s="59" t="n">
        <f aca="false">IF(CH208&gt;0,CH208*MAX(1,AV208/X208),IF(BT208=1,IF(AV208&lt;=0,0,BW208*MAX(1,IF(H208&gt;0,AV208/H208,1))),IF(R208&gt;0,AW208/R208,0))/MAX(0.1,N(Parameter!$M$21)))</f>
        <v>0.115384615384615</v>
      </c>
      <c r="AY208" s="57" t="n">
        <f aca="false">AV208*G208</f>
        <v>2281.06</v>
      </c>
      <c r="AZ208" s="57" t="n">
        <f aca="false">ROUNDUP(MAX(J208/IF(BZ208&gt;0,BZ208,MAX(0.1,N(Cockpit!$O$6))),CC208)/BS208,0)*BS208</f>
        <v>15</v>
      </c>
      <c r="BA208" s="58" t="n">
        <f aca="false">IF(AX208&gt;0,J208/AX208,-1)</f>
        <v>34.6666666666667</v>
      </c>
      <c r="BB208" s="58" t="n">
        <f aca="false">IF(AND(OR(BY208="L1",BY208="L23"),AX208&gt;0),SUMIFS($AX$7:$AX$1843,$BY$7:$BY$1843,BY208,$BA$7:$BA$1843,"&gt;"&amp;BA208)+SUMIFS($AX$7:$AX$1843,$BY$7:$BY$1843,BY208,$BA$7:$BA$1843,BA208,$BQ$7:$BQ$1843,"&lt;="&amp;BQ208),"")</f>
        <v>66.1562447214621</v>
      </c>
      <c r="BC208" s="65" t="n">
        <f aca="false">IF(BB208="",0,MAX(0,MIN(1,(IF(BY208="L1",Parameter!$E$5,Parameter!$E$6+Parameter!$E$7)-(BB208-AX208))/AX208)))</f>
        <v>1</v>
      </c>
      <c r="BD208" s="55" t="str">
        <f aca="false">IF(AH208&lt;=0,"",IF(BY208="Aussen","Aussenlager",IF(BY208="-","Nicht im Lift",IF(AM208&gt;=1,"Lift",IF(AM208&lt;=0,"Aussenlager","teilweise")))))</f>
        <v>Lift</v>
      </c>
      <c r="BE208" s="55" t="str">
        <f aca="false">IF(AP208&lt;=0,"",IF(BY208="Aussen","Aussenlager",IF(BY208="-","Nicht im Lift",IF(AU208&gt;=1,"Lift",IF(AU208&lt;=0,"Aussenlager","teilweise")))))</f>
        <v>Lift</v>
      </c>
      <c r="BF208" s="55" t="str">
        <f aca="false">IF(AX208&lt;=0,"",IF(BY208="Aussen","Aussenlager",IF(BY208="-","Nicht im Lift",IF(BC208&gt;=1,"Lift",IF(BC208&lt;=0,"Aussenlager","teilweise")))))</f>
        <v>Lift</v>
      </c>
      <c r="BG208" s="55" t="str">
        <f aca="false">IF(A208="","",IF(BP208=1,"Neu; ","")&amp;IF(AND(BP208=0,BK208&lt;0),"negativer Bestand (Export "&amp;BK208&amp;"); ","")&amp;IF(J208&lt;=0,"Kein Verbrauch; ","")&amp;IF(CH208&gt;0,"Lift "&amp;W208&amp;" lt. Liftbericht (Fach "&amp;X208&amp;" Stk); ",IF(BU208=1,"Gebinde geschätzt ("&amp;T208&amp;"); ",IF(BT208=1,"Lose – Tablare geschätzt; ","")))&amp;IF(H208&gt;AR208,"Überbestand "&amp;ROUND(H208-AR208,0)&amp;" Stk / CHF "&amp;ROUND((H208-AR208)*G208,0)&amp;"; ","")&amp;IF(AND(CA208=1,CB208&lt;CC208),"MAX &lt; MB+LG; ","")&amp;IF(AND(CG208&gt;0,CF208*10&gt;CG208),"zu hoch für Tablar; ","")&amp;IF(AND(BP208=0,OR(CA208=1,AA208&lt;&gt;"",U208&lt;&gt;"",V208&lt;&gt;"",AB208&lt;&gt;"")),"manuell übersteuert; ","")&amp;IF(AND(BT208=0,R208=0),"Gebinde unbekannt / Stellmass fehlt; ","")&amp;IF(AND(BT208=0,N(V208)&lt;=0,N(Q208)&lt;=0),"Menge pro Gebinde fehlt (Ist = 1 Gebinde); ","")&amp;BO208)</f>
        <v>Überbestand 19 Stk / CHF 1275; </v>
      </c>
      <c r="BH208" s="55"/>
      <c r="BI208" s="55"/>
      <c r="BJ208" s="62"/>
      <c r="BK208" s="57" t="n">
        <v>11</v>
      </c>
      <c r="BL208" s="57" t="n">
        <v>23</v>
      </c>
      <c r="BM208" s="56" t="n">
        <v>740.99</v>
      </c>
      <c r="BN208" s="57" t="n">
        <v>4</v>
      </c>
      <c r="BO208" s="55"/>
      <c r="BP208" s="60" t="n">
        <v>0</v>
      </c>
      <c r="BQ208" s="60" t="n">
        <v>208</v>
      </c>
      <c r="BR208" s="55" t="str">
        <f aca="false">IF(U208&lt;&gt;"",UPPER(TRIM(U208)),IF(BU208=1,UPPER(VLOOKUP(T208,Parameter!$I$27:$K$29,2,0)),IF(P208="","LOSE",P208)))</f>
        <v>S52</v>
      </c>
      <c r="BS208" s="57" t="n">
        <f aca="false">IF(BR208="LOSE",1,IF(N(V208)&gt;0,V208,IF(BU208=1,MAX(1,N(VLOOKUP(T208,Parameter!$I$27:$K$29,3,0)),H208,N(N208)),IF(N(Q208)&gt;0,Q208,MAX(1,H208)))))</f>
        <v>15</v>
      </c>
      <c r="BT208" s="60" t="n">
        <f aca="false">IF(BR208="LOSE",1,0)</f>
        <v>0</v>
      </c>
      <c r="BU208" s="60" t="n">
        <f aca="false">IF(AND(U208="",OR(P208="",P208="LOSE"),T208&lt;&gt;"",N(S208)&lt;=0,ISNUMBER(MATCH(T208,Parameter!$I$27:$I$29,0))),1,0)</f>
        <v>0</v>
      </c>
      <c r="BV208" s="55" t="str">
        <f aca="false">IF(AND(Parameter!$B$19="Ja",E208&lt;&gt;"",ISNUMBER(MATCH(E208,Parameter!$I$35:$I$52,0))),VLOOKUP(E208,Parameter!$I$35:$J$52,2,0),IFERROR(VLOOKUP(D208,Parameter!$A$35:$C$64,2,0),"Nein"))</f>
        <v>2+3</v>
      </c>
      <c r="BW208" s="59" t="n">
        <f aca="false">IF(BT208=0,0,IF(N(S208)&gt;0,S208,IFERROR(VLOOKUP(D208,Parameter!$A$35:$C$64,3,0)+0,0)))</f>
        <v>0</v>
      </c>
      <c r="BX208" s="55" t="n">
        <f aca="false">IF(AA208&lt;&gt;"",AA208,Z208)</f>
        <v>3</v>
      </c>
      <c r="BY208" s="55" t="str">
        <f aca="false">IF(BX208=1,"L1",IF(OR(BX208=2,BX208=3),"L23",IF(BX208="Aussen","Aussen","-")))</f>
        <v>L23</v>
      </c>
      <c r="BZ208" s="66" t="n">
        <f aca="false">IF(N(AB208)&gt;0,AB208,0)</f>
        <v>0</v>
      </c>
      <c r="CA208" s="60" t="n">
        <f aca="false">IF(ISNUMBER(AE208),1,0)</f>
        <v>0</v>
      </c>
      <c r="CB208" s="57" t="n">
        <f aca="false">N(AE208)</f>
        <v>0</v>
      </c>
      <c r="CC208" s="57" t="n">
        <f aca="false">N(M208)+N(N208)</f>
        <v>5</v>
      </c>
      <c r="CD208" s="57" t="n">
        <f aca="false">ROUNDUP(H208/BS208,0)</f>
        <v>3</v>
      </c>
      <c r="CE208" s="57" t="n">
        <f aca="false">ROUNDUP(CB208/BS208,0)</f>
        <v>0</v>
      </c>
      <c r="CF208" s="60" t="n">
        <f aca="false">IF(BT208=1,0,IFERROR(VLOOKUP(BR208,'Gebinde-Kategorie'!$A$5:$M$45,5,0)+0,0))</f>
        <v>21</v>
      </c>
      <c r="CG208" s="60" t="n">
        <f aca="false">IFERROR(IF(OR(BX208=1,BX208=2,BX208=3),N(INDEX(Parameter!$I$5:$I$7,BX208)),0),0)</f>
        <v>0</v>
      </c>
      <c r="CH208" s="59" t="n">
        <f aca="false">IF(AND(Parameter!$B$21="Ja",ISNUMBER(W208),N(X208)&gt;0),IFERROR(N(INDEX(Parameter!$L$5:$L$7,W208))*INDEX(Parameter!$E$5:$E$7,W208)*X208/SUMIFS($X$7:$X$1843,$W$7:$W$1843,W208),0),0)</f>
        <v>0</v>
      </c>
    </row>
    <row r="209" customFormat="false" ht="15" hidden="false" customHeight="false" outlineLevel="0" collapsed="false">
      <c r="A209" s="55" t="s">
        <v>616</v>
      </c>
      <c r="B209" s="55" t="s">
        <v>489</v>
      </c>
      <c r="C209" s="55" t="s">
        <v>164</v>
      </c>
      <c r="D209" s="55" t="s">
        <v>184</v>
      </c>
      <c r="E209" s="55" t="s">
        <v>185</v>
      </c>
      <c r="F209" s="55" t="s">
        <v>218</v>
      </c>
      <c r="G209" s="56" t="n">
        <v>14.7</v>
      </c>
      <c r="H209" s="57" t="n">
        <f aca="false">MAX(0,IF(AND(Parameter!$B$21="Ja",ISNUMBER(Y209)),Y209,IF(Parameter!$B$20="Jahresanfang 2025 + Export",BL209+BK209,BK209)))</f>
        <v>136</v>
      </c>
      <c r="I209" s="57" t="n">
        <f aca="false">H209*G209</f>
        <v>1999.2</v>
      </c>
      <c r="J209" s="57" t="n">
        <f aca="false">BN209*Parameter!$B$18</f>
        <v>318</v>
      </c>
      <c r="K209" s="58" t="n">
        <v>76</v>
      </c>
      <c r="L209" s="59" t="n">
        <v>4.18421052631579</v>
      </c>
      <c r="M209" s="57" t="n">
        <v>10</v>
      </c>
      <c r="N209" s="57" t="n">
        <v>225</v>
      </c>
      <c r="O209" s="60" t="n">
        <v>7</v>
      </c>
      <c r="P209" s="55" t="s">
        <v>302</v>
      </c>
      <c r="Q209" s="57" t="n">
        <v>60</v>
      </c>
      <c r="R209" s="60" t="n">
        <f aca="false">IF(BT209=1,0,IFERROR(VLOOKUP(BR209,'Gebinde-Kategorie'!$A$5:$M$45,13,0)+0,0))</f>
        <v>26</v>
      </c>
      <c r="S209" s="61"/>
      <c r="T209" s="62"/>
      <c r="U209" s="62"/>
      <c r="V209" s="62"/>
      <c r="W209" s="55"/>
      <c r="X209" s="57"/>
      <c r="Y209" s="57"/>
      <c r="Z209" s="55" t="n">
        <f aca="false">IF(A209="","",IF(AND(Parameter!$B$21="Ja",ISNUMBER(W209)),W209,IF(BV209="2+3",IF(ISNUMBER(SEARCH("grosser Artikel",BO209)),2,IFERROR(VLOOKUP(BR209,Parameter!$F$35:$G$64,2,0),2)),IF(OR(BV209="Nein",BV209=""),"-",BV209))))</f>
        <v>3</v>
      </c>
      <c r="AA209" s="62"/>
      <c r="AB209" s="63"/>
      <c r="AC209" s="57" t="n">
        <f aca="false">AR209</f>
        <v>240</v>
      </c>
      <c r="AD209" s="57" t="n">
        <f aca="false">MAX(AR209,H209)</f>
        <v>240</v>
      </c>
      <c r="AE209" s="64"/>
      <c r="AF209" s="57" t="n">
        <f aca="false">IF(LEFT(Cockpit!$C$5,1)="A",H209,IF(CA209=1,CB209,IF(LEFT(Cockpit!$C$5,1)="B",AJ209,MAX(AJ209,H209))))</f>
        <v>136</v>
      </c>
      <c r="AG209" s="57" t="n">
        <f aca="false">IF(BT209=1,0,ROUNDUP(AF209/BS209,0))</f>
        <v>3</v>
      </c>
      <c r="AH209" s="59" t="n">
        <f aca="false">IF(CH209&gt;0,CH209*MAX(1,AF209/X209),IF(BT209=1,IF(AF209&lt;=0,0,BW209*MAX(1,IF(H209&gt;0,AF209/H209,1))),IF(R209&gt;0,AG209/R209,0))/MAX(0.1,N(Parameter!$M$21)))</f>
        <v>0.115384615384615</v>
      </c>
      <c r="AI209" s="57" t="n">
        <f aca="false">AF209*G209</f>
        <v>1999.2</v>
      </c>
      <c r="AJ209" s="57" t="n">
        <f aca="false">ROUNDUP(MAX(J209/IF(BZ209&gt;0,BZ209,MAX(0.1,N(Cockpit!$C$6))),CC209)/BS209,0)*BS209</f>
        <v>240</v>
      </c>
      <c r="AK209" s="58" t="n">
        <f aca="false">IF(AH209&gt;0,J209/AH209,-1)</f>
        <v>2756</v>
      </c>
      <c r="AL209" s="58" t="n">
        <f aca="false">IF(AND(OR(BY209="L1",BY209="L23"),AH209&gt;0),SUMIFS($AH$7:$AH$1843,$BY$7:$BY$1843,BY209,$AK$7:$AK$1843,"&gt;"&amp;AK209)+SUMIFS($AH$7:$AH$1843,$BY$7:$BY$1843,BY209,$AK$7:$AK$1843,AK209,$BQ$7:$BQ$1843,"&lt;="&amp;BQ209),"")</f>
        <v>11.0105148474714</v>
      </c>
      <c r="AM209" s="65" t="n">
        <f aca="false">IF(AL209="",0,MAX(0,MIN(1,(IF(BY209="L1",Parameter!$E$5,Parameter!$E$6+Parameter!$E$7)-(AL209-AH209))/AH209)))</f>
        <v>1</v>
      </c>
      <c r="AN209" s="57" t="n">
        <f aca="false">IF(LEFT(Cockpit!$I$5,1)="A",H209,IF(CA209=1,CB209,IF(LEFT(Cockpit!$I$5,1)="B",AR209,MAX(AR209,H209))))</f>
        <v>240</v>
      </c>
      <c r="AO209" s="57" t="n">
        <f aca="false">IF(BT209=1,0,ROUNDUP(AN209/BS209,0))</f>
        <v>4</v>
      </c>
      <c r="AP209" s="59" t="n">
        <f aca="false">IF(CH209&gt;0,CH209*MAX(1,AN209/X209),IF(BT209=1,IF(AN209&lt;=0,0,BW209*MAX(1,IF(H209&gt;0,AN209/H209,1))),IF(R209&gt;0,AO209/R209,0))/MAX(0.1,N(Parameter!$M$21)))</f>
        <v>0.153846153846154</v>
      </c>
      <c r="AQ209" s="57" t="n">
        <f aca="false">AN209*G209</f>
        <v>3528</v>
      </c>
      <c r="AR209" s="57" t="n">
        <f aca="false">ROUNDUP(MAX(J209/IF(BZ209&gt;0,BZ209,MAX(0.1,N(Cockpit!$I$6))),CC209)/BS209,0)*BS209</f>
        <v>240</v>
      </c>
      <c r="AS209" s="58" t="n">
        <f aca="false">IF(AP209&gt;0,J209/AP209,-1)</f>
        <v>2067</v>
      </c>
      <c r="AT209" s="58" t="n">
        <f aca="false">IF(AND(OR(BY209="L1",BY209="L23"),AP209&gt;0),SUMIFS($AP$7:$AP$1843,$BY$7:$BY$1843,BY209,$AS$7:$AS$1843,"&gt;"&amp;AS209)+SUMIFS($AP$7:$AP$1843,$BY$7:$BY$1843,BY209,$AS$7:$AS$1843,AS209,$BQ$7:$BQ$1843,"&lt;="&amp;BQ209),"")</f>
        <v>18.5815766359245</v>
      </c>
      <c r="AU209" s="65" t="n">
        <f aca="false">IF(AT209="",0,MAX(0,MIN(1,(IF(BY209="L1",Parameter!$E$5,Parameter!$E$6+Parameter!$E$7)-(AT209-AP209))/AP209)))</f>
        <v>1</v>
      </c>
      <c r="AV209" s="57" t="n">
        <f aca="false">IF(LEFT(Cockpit!$O$5,1)="A",H209,IF(CA209=1,CB209,IF(LEFT(Cockpit!$O$5,1)="B",AZ209,MAX(AZ209,H209))))</f>
        <v>240</v>
      </c>
      <c r="AW209" s="57" t="n">
        <f aca="false">IF(BT209=1,0,ROUNDUP(AV209/BS209,0))</f>
        <v>4</v>
      </c>
      <c r="AX209" s="59" t="n">
        <f aca="false">IF(CH209&gt;0,CH209*MAX(1,AV209/X209),IF(BT209=1,IF(AV209&lt;=0,0,BW209*MAX(1,IF(H209&gt;0,AV209/H209,1))),IF(R209&gt;0,AW209/R209,0))/MAX(0.1,N(Parameter!$M$21)))</f>
        <v>0.153846153846154</v>
      </c>
      <c r="AY209" s="57" t="n">
        <f aca="false">AV209*G209</f>
        <v>3528</v>
      </c>
      <c r="AZ209" s="57" t="n">
        <f aca="false">ROUNDUP(MAX(J209/IF(BZ209&gt;0,BZ209,MAX(0.1,N(Cockpit!$O$6))),CC209)/BS209,0)*BS209</f>
        <v>240</v>
      </c>
      <c r="BA209" s="58" t="n">
        <f aca="false">IF(AX209&gt;0,J209/AX209,-1)</f>
        <v>2067</v>
      </c>
      <c r="BB209" s="58" t="n">
        <f aca="false">IF(AND(OR(BY209="L1",BY209="L23"),AX209&gt;0),SUMIFS($AX$7:$AX$1843,$BY$7:$BY$1843,BY209,$BA$7:$BA$1843,"&gt;"&amp;BA209)+SUMIFS($AX$7:$AX$1843,$BY$7:$BY$1843,BY209,$BA$7:$BA$1843,BA209,$BQ$7:$BQ$1843,"&lt;="&amp;BQ209),"")</f>
        <v>17.155003209351</v>
      </c>
      <c r="BC209" s="65" t="n">
        <f aca="false">IF(BB209="",0,MAX(0,MIN(1,(IF(BY209="L1",Parameter!$E$5,Parameter!$E$6+Parameter!$E$7)-(BB209-AX209))/AX209)))</f>
        <v>1</v>
      </c>
      <c r="BD209" s="55" t="str">
        <f aca="false">IF(AH209&lt;=0,"",IF(BY209="Aussen","Aussenlager",IF(BY209="-","Nicht im Lift",IF(AM209&gt;=1,"Lift",IF(AM209&lt;=0,"Aussenlager","teilweise")))))</f>
        <v>Lift</v>
      </c>
      <c r="BE209" s="55" t="str">
        <f aca="false">IF(AP209&lt;=0,"",IF(BY209="Aussen","Aussenlager",IF(BY209="-","Nicht im Lift",IF(AU209&gt;=1,"Lift",IF(AU209&lt;=0,"Aussenlager","teilweise")))))</f>
        <v>Lift</v>
      </c>
      <c r="BF209" s="55" t="str">
        <f aca="false">IF(AX209&lt;=0,"",IF(BY209="Aussen","Aussenlager",IF(BY209="-","Nicht im Lift",IF(BC209&gt;=1,"Lift",IF(BC209&lt;=0,"Aussenlager","teilweise")))))</f>
        <v>Lift</v>
      </c>
      <c r="BG209" s="55" t="str">
        <f aca="false">IF(A209="","",IF(BP209=1,"Neu; ","")&amp;IF(AND(BP209=0,BK209&lt;0),"negativer Bestand (Export "&amp;BK209&amp;"); ","")&amp;IF(J209&lt;=0,"Kein Verbrauch; ","")&amp;IF(CH209&gt;0,"Lift "&amp;W209&amp;" lt. Liftbericht (Fach "&amp;X209&amp;" Stk); ",IF(BU209=1,"Gebinde geschätzt ("&amp;T209&amp;"); ",IF(BT209=1,"Lose – Tablare geschätzt; ","")))&amp;IF(H209&gt;AR209,"Überbestand "&amp;ROUND(H209-AR209,0)&amp;" Stk / CHF "&amp;ROUND((H209-AR209)*G209,0)&amp;"; ","")&amp;IF(AND(CA209=1,CB209&lt;CC209),"MAX &lt; MB+LG; ","")&amp;IF(AND(CG209&gt;0,CF209*10&gt;CG209),"zu hoch für Tablar; ","")&amp;IF(AND(BP209=0,OR(CA209=1,AA209&lt;&gt;"",U209&lt;&gt;"",V209&lt;&gt;"",AB209&lt;&gt;"")),"manuell übersteuert; ","")&amp;IF(AND(BT209=0,R209=0),"Gebinde unbekannt / Stellmass fehlt; ","")&amp;IF(AND(BT209=0,N(V209)&lt;=0,N(Q209)&lt;=0),"Menge pro Gebinde fehlt (Ist = 1 Gebinde); ","")&amp;BO209)</f>
        <v/>
      </c>
      <c r="BH209" s="55"/>
      <c r="BI209" s="55"/>
      <c r="BJ209" s="62"/>
      <c r="BK209" s="57" t="n">
        <v>52</v>
      </c>
      <c r="BL209" s="57" t="n">
        <v>84</v>
      </c>
      <c r="BM209" s="56" t="n">
        <v>740.079999999999</v>
      </c>
      <c r="BN209" s="57" t="n">
        <v>318</v>
      </c>
      <c r="BO209" s="55"/>
      <c r="BP209" s="60" t="n">
        <v>0</v>
      </c>
      <c r="BQ209" s="60" t="n">
        <v>209</v>
      </c>
      <c r="BR209" s="55" t="str">
        <f aca="false">IF(U209&lt;&gt;"",UPPER(TRIM(U209)),IF(BU209=1,UPPER(VLOOKUP(T209,Parameter!$I$27:$K$29,2,0)),IF(P209="","LOSE",P209)))</f>
        <v>S51</v>
      </c>
      <c r="BS209" s="57" t="n">
        <f aca="false">IF(BR209="LOSE",1,IF(N(V209)&gt;0,V209,IF(BU209=1,MAX(1,N(VLOOKUP(T209,Parameter!$I$27:$K$29,3,0)),H209,N(N209)),IF(N(Q209)&gt;0,Q209,MAX(1,H209)))))</f>
        <v>60</v>
      </c>
      <c r="BT209" s="60" t="n">
        <f aca="false">IF(BR209="LOSE",1,0)</f>
        <v>0</v>
      </c>
      <c r="BU209" s="60" t="n">
        <f aca="false">IF(AND(U209="",OR(P209="",P209="LOSE"),T209&lt;&gt;"",N(S209)&lt;=0,ISNUMBER(MATCH(T209,Parameter!$I$27:$I$29,0))),1,0)</f>
        <v>0</v>
      </c>
      <c r="BV209" s="55" t="str">
        <f aca="false">IF(AND(Parameter!$B$19="Ja",E209&lt;&gt;"",ISNUMBER(MATCH(E209,Parameter!$I$35:$I$52,0))),VLOOKUP(E209,Parameter!$I$35:$J$52,2,0),IFERROR(VLOOKUP(D209,Parameter!$A$35:$C$64,2,0),"Nein"))</f>
        <v>2+3</v>
      </c>
      <c r="BW209" s="59" t="n">
        <f aca="false">IF(BT209=0,0,IF(N(S209)&gt;0,S209,IFERROR(VLOOKUP(D209,Parameter!$A$35:$C$64,3,0)+0,0)))</f>
        <v>0</v>
      </c>
      <c r="BX209" s="55" t="n">
        <f aca="false">IF(AA209&lt;&gt;"",AA209,Z209)</f>
        <v>3</v>
      </c>
      <c r="BY209" s="55" t="str">
        <f aca="false">IF(BX209=1,"L1",IF(OR(BX209=2,BX209=3),"L23",IF(BX209="Aussen","Aussen","-")))</f>
        <v>L23</v>
      </c>
      <c r="BZ209" s="66" t="n">
        <f aca="false">IF(N(AB209)&gt;0,AB209,0)</f>
        <v>0</v>
      </c>
      <c r="CA209" s="60" t="n">
        <f aca="false">IF(ISNUMBER(AE209),1,0)</f>
        <v>0</v>
      </c>
      <c r="CB209" s="57" t="n">
        <f aca="false">N(AE209)</f>
        <v>0</v>
      </c>
      <c r="CC209" s="57" t="n">
        <f aca="false">N(M209)+N(N209)</f>
        <v>235</v>
      </c>
      <c r="CD209" s="57" t="n">
        <f aca="false">ROUNDUP(H209/BS209,0)</f>
        <v>3</v>
      </c>
      <c r="CE209" s="57" t="n">
        <f aca="false">ROUNDUP(CB209/BS209,0)</f>
        <v>0</v>
      </c>
      <c r="CF209" s="60" t="n">
        <f aca="false">IF(BT209=1,0,IFERROR(VLOOKUP(BR209,'Gebinde-Kategorie'!$A$5:$M$45,5,0)+0,0))</f>
        <v>11</v>
      </c>
      <c r="CG209" s="60" t="n">
        <f aca="false">IFERROR(IF(OR(BX209=1,BX209=2,BX209=3),N(INDEX(Parameter!$I$5:$I$7,BX209)),0),0)</f>
        <v>0</v>
      </c>
      <c r="CH209" s="59" t="n">
        <f aca="false">IF(AND(Parameter!$B$21="Ja",ISNUMBER(W209),N(X209)&gt;0),IFERROR(N(INDEX(Parameter!$L$5:$L$7,W209))*INDEX(Parameter!$E$5:$E$7,W209)*X209/SUMIFS($X$7:$X$1843,$W$7:$W$1843,W209),0),0)</f>
        <v>0</v>
      </c>
    </row>
    <row r="210" customFormat="false" ht="15" hidden="false" customHeight="false" outlineLevel="0" collapsed="false">
      <c r="A210" s="55" t="s">
        <v>617</v>
      </c>
      <c r="B210" s="55" t="s">
        <v>431</v>
      </c>
      <c r="C210" s="55" t="s">
        <v>164</v>
      </c>
      <c r="D210" s="55" t="s">
        <v>184</v>
      </c>
      <c r="E210" s="55"/>
      <c r="F210" s="55" t="s">
        <v>218</v>
      </c>
      <c r="G210" s="56" t="n">
        <v>244.93</v>
      </c>
      <c r="H210" s="57" t="n">
        <f aca="false">MAX(0,IF(AND(Parameter!$B$21="Ja",ISNUMBER(Y210)),Y210,IF(Parameter!$B$20="Jahresanfang 2025 + Export",BL210+BK210,BK210)))</f>
        <v>3</v>
      </c>
      <c r="I210" s="57" t="n">
        <f aca="false">H210*G210</f>
        <v>734.79</v>
      </c>
      <c r="J210" s="57" t="n">
        <f aca="false">BN210*Parameter!$B$18</f>
        <v>248</v>
      </c>
      <c r="K210" s="58" t="n">
        <v>1.5</v>
      </c>
      <c r="L210" s="59" t="n">
        <v>165.333333333333</v>
      </c>
      <c r="M210" s="57" t="n">
        <v>0</v>
      </c>
      <c r="N210" s="57" t="n">
        <v>0</v>
      </c>
      <c r="O210" s="60" t="n">
        <v>42</v>
      </c>
      <c r="P210" s="55" t="s">
        <v>226</v>
      </c>
      <c r="Q210" s="57" t="n">
        <v>80</v>
      </c>
      <c r="R210" s="60" t="n">
        <f aca="false">IF(BT210=1,0,IFERROR(VLOOKUP(BR210,'Gebinde-Kategorie'!$A$5:$M$45,13,0)+0,0))</f>
        <v>12</v>
      </c>
      <c r="S210" s="61"/>
      <c r="T210" s="62"/>
      <c r="U210" s="62"/>
      <c r="V210" s="62"/>
      <c r="W210" s="55"/>
      <c r="X210" s="57"/>
      <c r="Y210" s="57"/>
      <c r="Z210" s="55" t="n">
        <f aca="false">IF(A210="","",IF(AND(Parameter!$B$21="Ja",ISNUMBER(W210)),W210,IF(BV210="2+3",IF(ISNUMBER(SEARCH("grosser Artikel",BO210)),2,IFERROR(VLOOKUP(BR210,Parameter!$F$35:$G$64,2,0),2)),IF(OR(BV210="Nein",BV210=""),"-",BV210))))</f>
        <v>2</v>
      </c>
      <c r="AA210" s="62"/>
      <c r="AB210" s="63"/>
      <c r="AC210" s="57" t="n">
        <f aca="false">AR210</f>
        <v>160</v>
      </c>
      <c r="AD210" s="57" t="n">
        <f aca="false">MAX(AR210,H210)</f>
        <v>160</v>
      </c>
      <c r="AE210" s="64"/>
      <c r="AF210" s="57" t="n">
        <f aca="false">IF(LEFT(Cockpit!$C$5,1)="A",H210,IF(CA210=1,CB210,IF(LEFT(Cockpit!$C$5,1)="B",AJ210,MAX(AJ210,H210))))</f>
        <v>3</v>
      </c>
      <c r="AG210" s="57" t="n">
        <f aca="false">IF(BT210=1,0,ROUNDUP(AF210/BS210,0))</f>
        <v>1</v>
      </c>
      <c r="AH210" s="59" t="n">
        <f aca="false">IF(CH210&gt;0,CH210*MAX(1,AF210/X210),IF(BT210=1,IF(AF210&lt;=0,0,BW210*MAX(1,IF(H210&gt;0,AF210/H210,1))),IF(R210&gt;0,AG210/R210,0))/MAX(0.1,N(Parameter!$M$21)))</f>
        <v>0.0833333333333333</v>
      </c>
      <c r="AI210" s="57" t="n">
        <f aca="false">AF210*G210</f>
        <v>734.79</v>
      </c>
      <c r="AJ210" s="57" t="n">
        <f aca="false">ROUNDUP(MAX(J210/IF(BZ210&gt;0,BZ210,MAX(0.1,N(Cockpit!$C$6))),CC210)/BS210,0)*BS210</f>
        <v>160</v>
      </c>
      <c r="AK210" s="58" t="n">
        <f aca="false">IF(AH210&gt;0,J210/AH210,-1)</f>
        <v>2976</v>
      </c>
      <c r="AL210" s="58" t="n">
        <f aca="false">IF(AND(OR(BY210="L1",BY210="L23"),AH210&gt;0),SUMIFS($AH$7:$AH$1843,$BY$7:$BY$1843,BY210,$AK$7:$AK$1843,"&gt;"&amp;AK210)+SUMIFS($AH$7:$AH$1843,$BY$7:$BY$1843,BY210,$AK$7:$AK$1843,AK210,$BQ$7:$BQ$1843,"&lt;="&amp;BQ210),"")</f>
        <v>10.6878652748218</v>
      </c>
      <c r="AM210" s="65" t="n">
        <f aca="false">IF(AL210="",0,MAX(0,MIN(1,(IF(BY210="L1",Parameter!$E$5,Parameter!$E$6+Parameter!$E$7)-(AL210-AH210))/AH210)))</f>
        <v>1</v>
      </c>
      <c r="AN210" s="57" t="n">
        <f aca="false">IF(LEFT(Cockpit!$I$5,1)="A",H210,IF(CA210=1,CB210,IF(LEFT(Cockpit!$I$5,1)="B",AR210,MAX(AR210,H210))))</f>
        <v>160</v>
      </c>
      <c r="AO210" s="57" t="n">
        <f aca="false">IF(BT210=1,0,ROUNDUP(AN210/BS210,0))</f>
        <v>2</v>
      </c>
      <c r="AP210" s="59" t="n">
        <f aca="false">IF(CH210&gt;0,CH210*MAX(1,AN210/X210),IF(BT210=1,IF(AN210&lt;=0,0,BW210*MAX(1,IF(H210&gt;0,AN210/H210,1))),IF(R210&gt;0,AO210/R210,0))/MAX(0.1,N(Parameter!$M$21)))</f>
        <v>0.166666666666667</v>
      </c>
      <c r="AQ210" s="57" t="n">
        <f aca="false">AN210*G210</f>
        <v>39188.8</v>
      </c>
      <c r="AR210" s="57" t="n">
        <f aca="false">ROUNDUP(MAX(J210/IF(BZ210&gt;0,BZ210,MAX(0.1,N(Cockpit!$I$6))),CC210)/BS210,0)*BS210</f>
        <v>160</v>
      </c>
      <c r="AS210" s="58" t="n">
        <f aca="false">IF(AP210&gt;0,J210/AP210,-1)</f>
        <v>1488</v>
      </c>
      <c r="AT210" s="58" t="n">
        <f aca="false">IF(AND(OR(BY210="L1",BY210="L23"),AP210&gt;0),SUMIFS($AP$7:$AP$1843,$BY$7:$BY$1843,BY210,$AS$7:$AS$1843,"&gt;"&amp;AS210)+SUMIFS($AP$7:$AP$1843,$BY$7:$BY$1843,BY210,$AS$7:$AS$1843,AS210,$BQ$7:$BQ$1843,"&lt;="&amp;BQ210),"")</f>
        <v>20.7092581331712</v>
      </c>
      <c r="AU210" s="65" t="n">
        <f aca="false">IF(AT210="",0,MAX(0,MIN(1,(IF(BY210="L1",Parameter!$E$5,Parameter!$E$6+Parameter!$E$7)-(AT210-AP210))/AP210)))</f>
        <v>1</v>
      </c>
      <c r="AV210" s="57" t="n">
        <f aca="false">IF(LEFT(Cockpit!$O$5,1)="A",H210,IF(CA210=1,CB210,IF(LEFT(Cockpit!$O$5,1)="B",AZ210,MAX(AZ210,H210))))</f>
        <v>160</v>
      </c>
      <c r="AW210" s="57" t="n">
        <f aca="false">IF(BT210=1,0,ROUNDUP(AV210/BS210,0))</f>
        <v>2</v>
      </c>
      <c r="AX210" s="59" t="n">
        <f aca="false">IF(CH210&gt;0,CH210*MAX(1,AV210/X210),IF(BT210=1,IF(AV210&lt;=0,0,BW210*MAX(1,IF(H210&gt;0,AV210/H210,1))),IF(R210&gt;0,AW210/R210,0))/MAX(0.1,N(Parameter!$M$21)))</f>
        <v>0.166666666666667</v>
      </c>
      <c r="AY210" s="57" t="n">
        <f aca="false">AV210*G210</f>
        <v>39188.8</v>
      </c>
      <c r="AZ210" s="57" t="n">
        <f aca="false">ROUNDUP(MAX(J210/IF(BZ210&gt;0,BZ210,MAX(0.1,N(Cockpit!$O$6))),CC210)/BS210,0)*BS210</f>
        <v>160</v>
      </c>
      <c r="BA210" s="58" t="n">
        <f aca="false">IF(AX210&gt;0,J210/AX210,-1)</f>
        <v>1488</v>
      </c>
      <c r="BB210" s="58" t="n">
        <f aca="false">IF(AND(OR(BY210="L1",BY210="L23"),AX210&gt;0),SUMIFS($AX$7:$AX$1843,$BY$7:$BY$1843,BY210,$BA$7:$BA$1843,"&gt;"&amp;BA210)+SUMIFS($AX$7:$AX$1843,$BY$7:$BY$1843,BY210,$BA$7:$BA$1843,BA210,$BQ$7:$BQ$1843,"&lt;="&amp;BQ210),"")</f>
        <v>19.5711462450593</v>
      </c>
      <c r="BC210" s="65" t="n">
        <f aca="false">IF(BB210="",0,MAX(0,MIN(1,(IF(BY210="L1",Parameter!$E$5,Parameter!$E$6+Parameter!$E$7)-(BB210-AX210))/AX210)))</f>
        <v>1</v>
      </c>
      <c r="BD210" s="55" t="str">
        <f aca="false">IF(AH210&lt;=0,"",IF(BY210="Aussen","Aussenlager",IF(BY210="-","Nicht im Lift",IF(AM210&gt;=1,"Lift",IF(AM210&lt;=0,"Aussenlager","teilweise")))))</f>
        <v>Lift</v>
      </c>
      <c r="BE210" s="55" t="str">
        <f aca="false">IF(AP210&lt;=0,"",IF(BY210="Aussen","Aussenlager",IF(BY210="-","Nicht im Lift",IF(AU210&gt;=1,"Lift",IF(AU210&lt;=0,"Aussenlager","teilweise")))))</f>
        <v>Lift</v>
      </c>
      <c r="BF210" s="55" t="str">
        <f aca="false">IF(AX210&lt;=0,"",IF(BY210="Aussen","Aussenlager",IF(BY210="-","Nicht im Lift",IF(BC210&gt;=1,"Lift",IF(BC210&lt;=0,"Aussenlager","teilweise")))))</f>
        <v>Lift</v>
      </c>
      <c r="BG210" s="55" t="str">
        <f aca="false">IF(A210="","",IF(BP210=1,"Neu; ","")&amp;IF(AND(BP210=0,BK210&lt;0),"negativer Bestand (Export "&amp;BK210&amp;"); ","")&amp;IF(J210&lt;=0,"Kein Verbrauch; ","")&amp;IF(CH210&gt;0,"Lift "&amp;W210&amp;" lt. Liftbericht (Fach "&amp;X210&amp;" Stk); ",IF(BU210=1,"Gebinde geschätzt ("&amp;T210&amp;"); ",IF(BT210=1,"Lose – Tablare geschätzt; ","")))&amp;IF(H210&gt;AR210,"Überbestand "&amp;ROUND(H210-AR210,0)&amp;" Stk / CHF "&amp;ROUND((H210-AR210)*G210,0)&amp;"; ","")&amp;IF(AND(CA210=1,CB210&lt;CC210),"MAX &lt; MB+LG; ","")&amp;IF(AND(CG210&gt;0,CF210*10&gt;CG210),"zu hoch für Tablar; ","")&amp;IF(AND(BP210=0,OR(CA210=1,AA210&lt;&gt;"",U210&lt;&gt;"",V210&lt;&gt;"",AB210&lt;&gt;"")),"manuell übersteuert; ","")&amp;IF(AND(BT210=0,R210=0),"Gebinde unbekannt / Stellmass fehlt; ","")&amp;IF(AND(BT210=0,N(V210)&lt;=0,N(Q210)&lt;=0),"Menge pro Gebinde fehlt (Ist = 1 Gebinde); ","")&amp;BO210)</f>
        <v/>
      </c>
      <c r="BH210" s="55"/>
      <c r="BI210" s="55"/>
      <c r="BJ210" s="62"/>
      <c r="BK210" s="57" t="n">
        <v>3</v>
      </c>
      <c r="BL210" s="57" t="n">
        <v>0</v>
      </c>
      <c r="BM210" s="56" t="n">
        <v>734.79</v>
      </c>
      <c r="BN210" s="57" t="n">
        <v>248</v>
      </c>
      <c r="BO210" s="55"/>
      <c r="BP210" s="60" t="n">
        <v>0</v>
      </c>
      <c r="BQ210" s="60" t="n">
        <v>210</v>
      </c>
      <c r="BR210" s="55" t="str">
        <f aca="false">IF(U210&lt;&gt;"",UPPER(TRIM(U210)),IF(BU210=1,UPPER(VLOOKUP(T210,Parameter!$I$27:$K$29,2,0)),IF(P210="","LOSE",P210)))</f>
        <v>S63</v>
      </c>
      <c r="BS210" s="57" t="n">
        <f aca="false">IF(BR210="LOSE",1,IF(N(V210)&gt;0,V210,IF(BU210=1,MAX(1,N(VLOOKUP(T210,Parameter!$I$27:$K$29,3,0)),H210,N(N210)),IF(N(Q210)&gt;0,Q210,MAX(1,H210)))))</f>
        <v>80</v>
      </c>
      <c r="BT210" s="60" t="n">
        <f aca="false">IF(BR210="LOSE",1,0)</f>
        <v>0</v>
      </c>
      <c r="BU210" s="60" t="n">
        <f aca="false">IF(AND(U210="",OR(P210="",P210="LOSE"),T210&lt;&gt;"",N(S210)&lt;=0,ISNUMBER(MATCH(T210,Parameter!$I$27:$I$29,0))),1,0)</f>
        <v>0</v>
      </c>
      <c r="BV210" s="55" t="str">
        <f aca="false">IF(AND(Parameter!$B$19="Ja",E210&lt;&gt;"",ISNUMBER(MATCH(E210,Parameter!$I$35:$I$52,0))),VLOOKUP(E210,Parameter!$I$35:$J$52,2,0),IFERROR(VLOOKUP(D210,Parameter!$A$35:$C$64,2,0),"Nein"))</f>
        <v>2+3</v>
      </c>
      <c r="BW210" s="59" t="n">
        <f aca="false">IF(BT210=0,0,IF(N(S210)&gt;0,S210,IFERROR(VLOOKUP(D210,Parameter!$A$35:$C$64,3,0)+0,0)))</f>
        <v>0</v>
      </c>
      <c r="BX210" s="55" t="n">
        <f aca="false">IF(AA210&lt;&gt;"",AA210,Z210)</f>
        <v>2</v>
      </c>
      <c r="BY210" s="55" t="str">
        <f aca="false">IF(BX210=1,"L1",IF(OR(BX210=2,BX210=3),"L23",IF(BX210="Aussen","Aussen","-")))</f>
        <v>L23</v>
      </c>
      <c r="BZ210" s="66" t="n">
        <f aca="false">IF(N(AB210)&gt;0,AB210,0)</f>
        <v>0</v>
      </c>
      <c r="CA210" s="60" t="n">
        <f aca="false">IF(ISNUMBER(AE210),1,0)</f>
        <v>0</v>
      </c>
      <c r="CB210" s="57" t="n">
        <f aca="false">N(AE210)</f>
        <v>0</v>
      </c>
      <c r="CC210" s="57" t="n">
        <f aca="false">N(M210)+N(N210)</f>
        <v>0</v>
      </c>
      <c r="CD210" s="57" t="n">
        <f aca="false">ROUNDUP(H210/BS210,0)</f>
        <v>1</v>
      </c>
      <c r="CE210" s="57" t="n">
        <f aca="false">ROUNDUP(CB210/BS210,0)</f>
        <v>0</v>
      </c>
      <c r="CF210" s="60" t="n">
        <f aca="false">IF(BT210=1,0,IFERROR(VLOOKUP(BR210,'Gebinde-Kategorie'!$A$5:$M$45,5,0)+0,0))</f>
        <v>31</v>
      </c>
      <c r="CG210" s="60" t="n">
        <f aca="false">IFERROR(IF(OR(BX210=1,BX210=2,BX210=3),N(INDEX(Parameter!$I$5:$I$7,BX210)),0),0)</f>
        <v>0</v>
      </c>
      <c r="CH210" s="59" t="n">
        <f aca="false">IF(AND(Parameter!$B$21="Ja",ISNUMBER(W210),N(X210)&gt;0),IFERROR(N(INDEX(Parameter!$L$5:$L$7,W210))*INDEX(Parameter!$E$5:$E$7,W210)*X210/SUMIFS($X$7:$X$1843,$W$7:$W$1843,W210),0),0)</f>
        <v>0</v>
      </c>
    </row>
    <row r="211" customFormat="false" ht="15" hidden="false" customHeight="false" outlineLevel="0" collapsed="false">
      <c r="A211" s="55" t="s">
        <v>618</v>
      </c>
      <c r="B211" s="55" t="s">
        <v>619</v>
      </c>
      <c r="C211" s="55" t="s">
        <v>164</v>
      </c>
      <c r="D211" s="55" t="s">
        <v>184</v>
      </c>
      <c r="E211" s="55" t="s">
        <v>185</v>
      </c>
      <c r="F211" s="55" t="s">
        <v>218</v>
      </c>
      <c r="G211" s="56" t="n">
        <v>26.21</v>
      </c>
      <c r="H211" s="57" t="n">
        <f aca="false">MAX(0,IF(AND(Parameter!$B$21="Ja",ISNUMBER(Y211)),Y211,IF(Parameter!$B$20="Jahresanfang 2025 + Export",BL211+BK211,BK211)))</f>
        <v>257</v>
      </c>
      <c r="I211" s="57" t="n">
        <f aca="false">H211*G211</f>
        <v>6735.97</v>
      </c>
      <c r="J211" s="57" t="n">
        <f aca="false">BN211*Parameter!$B$18</f>
        <v>685</v>
      </c>
      <c r="K211" s="58" t="n">
        <v>242.5</v>
      </c>
      <c r="L211" s="59" t="n">
        <v>2.82474226804124</v>
      </c>
      <c r="M211" s="57" t="n">
        <v>39</v>
      </c>
      <c r="N211" s="57" t="n">
        <v>200</v>
      </c>
      <c r="O211" s="60" t="n">
        <v>21</v>
      </c>
      <c r="P211" s="55" t="s">
        <v>293</v>
      </c>
      <c r="Q211" s="57" t="n">
        <v>178</v>
      </c>
      <c r="R211" s="60" t="n">
        <f aca="false">IF(BT211=1,0,IFERROR(VLOOKUP(BR211,'Gebinde-Kategorie'!$A$5:$M$45,13,0)+0,0))</f>
        <v>12</v>
      </c>
      <c r="S211" s="61"/>
      <c r="T211" s="62"/>
      <c r="U211" s="62"/>
      <c r="V211" s="62"/>
      <c r="W211" s="55"/>
      <c r="X211" s="57"/>
      <c r="Y211" s="57"/>
      <c r="Z211" s="55" t="n">
        <f aca="false">IF(A211="","",IF(AND(Parameter!$B$21="Ja",ISNUMBER(W211)),W211,IF(BV211="2+3",IF(ISNUMBER(SEARCH("grosser Artikel",BO211)),2,IFERROR(VLOOKUP(BR211,Parameter!$F$35:$G$64,2,0),2)),IF(OR(BV211="Nein",BV211=""),"-",BV211))))</f>
        <v>2</v>
      </c>
      <c r="AA211" s="62"/>
      <c r="AB211" s="63"/>
      <c r="AC211" s="57" t="n">
        <f aca="false">AR211</f>
        <v>356</v>
      </c>
      <c r="AD211" s="57" t="n">
        <f aca="false">MAX(AR211,H211)</f>
        <v>356</v>
      </c>
      <c r="AE211" s="64"/>
      <c r="AF211" s="57" t="n">
        <f aca="false">IF(LEFT(Cockpit!$C$5,1)="A",H211,IF(CA211=1,CB211,IF(LEFT(Cockpit!$C$5,1)="B",AJ211,MAX(AJ211,H211))))</f>
        <v>257</v>
      </c>
      <c r="AG211" s="57" t="n">
        <f aca="false">IF(BT211=1,0,ROUNDUP(AF211/BS211,0))</f>
        <v>2</v>
      </c>
      <c r="AH211" s="59" t="n">
        <f aca="false">IF(CH211&gt;0,CH211*MAX(1,AF211/X211),IF(BT211=1,IF(AF211&lt;=0,0,BW211*MAX(1,IF(H211&gt;0,AF211/H211,1))),IF(R211&gt;0,AG211/R211,0))/MAX(0.1,N(Parameter!$M$21)))</f>
        <v>0.166666666666667</v>
      </c>
      <c r="AI211" s="57" t="n">
        <f aca="false">AF211*G211</f>
        <v>6735.97</v>
      </c>
      <c r="AJ211" s="57" t="n">
        <f aca="false">ROUNDUP(MAX(J211/IF(BZ211&gt;0,BZ211,MAX(0.1,N(Cockpit!$C$6))),CC211)/BS211,0)*BS211</f>
        <v>356</v>
      </c>
      <c r="AK211" s="58" t="n">
        <f aca="false">IF(AH211&gt;0,J211/AH211,-1)</f>
        <v>4110</v>
      </c>
      <c r="AL211" s="58" t="n">
        <f aca="false">IF(AND(OR(BY211="L1",BY211="L23"),AH211&gt;0),SUMIFS($AH$7:$AH$1843,$BY$7:$BY$1843,BY211,$AK$7:$AK$1843,"&gt;"&amp;AK211)+SUMIFS($AH$7:$AH$1843,$BY$7:$BY$1843,BY211,$AK$7:$AK$1843,AK211,$BQ$7:$BQ$1843,"&lt;="&amp;BQ211),"")</f>
        <v>8.96974764366069</v>
      </c>
      <c r="AM211" s="65" t="n">
        <f aca="false">IF(AL211="",0,MAX(0,MIN(1,(IF(BY211="L1",Parameter!$E$5,Parameter!$E$6+Parameter!$E$7)-(AL211-AH211))/AH211)))</f>
        <v>1</v>
      </c>
      <c r="AN211" s="57" t="n">
        <f aca="false">IF(LEFT(Cockpit!$I$5,1)="A",H211,IF(CA211=1,CB211,IF(LEFT(Cockpit!$I$5,1)="B",AR211,MAX(AR211,H211))))</f>
        <v>356</v>
      </c>
      <c r="AO211" s="57" t="n">
        <f aca="false">IF(BT211=1,0,ROUNDUP(AN211/BS211,0))</f>
        <v>2</v>
      </c>
      <c r="AP211" s="59" t="n">
        <f aca="false">IF(CH211&gt;0,CH211*MAX(1,AN211/X211),IF(BT211=1,IF(AN211&lt;=0,0,BW211*MAX(1,IF(H211&gt;0,AN211/H211,1))),IF(R211&gt;0,AO211/R211,0))/MAX(0.1,N(Parameter!$M$21)))</f>
        <v>0.166666666666667</v>
      </c>
      <c r="AQ211" s="57" t="n">
        <f aca="false">AN211*G211</f>
        <v>9330.76</v>
      </c>
      <c r="AR211" s="57" t="n">
        <f aca="false">ROUNDUP(MAX(J211/IF(BZ211&gt;0,BZ211,MAX(0.1,N(Cockpit!$I$6))),CC211)/BS211,0)*BS211</f>
        <v>356</v>
      </c>
      <c r="AS211" s="58" t="n">
        <f aca="false">IF(AP211&gt;0,J211/AP211,-1)</f>
        <v>4110</v>
      </c>
      <c r="AT211" s="58" t="n">
        <f aca="false">IF(AND(OR(BY211="L1",BY211="L23"),AP211&gt;0),SUMIFS($AP$7:$AP$1843,$BY$7:$BY$1843,BY211,$AS$7:$AS$1843,"&gt;"&amp;AS211)+SUMIFS($AP$7:$AP$1843,$BY$7:$BY$1843,BY211,$AS$7:$AS$1843,AS211,$BQ$7:$BQ$1843,"&lt;="&amp;BQ211),"")</f>
        <v>13.5711884733624</v>
      </c>
      <c r="AU211" s="65" t="n">
        <f aca="false">IF(AT211="",0,MAX(0,MIN(1,(IF(BY211="L1",Parameter!$E$5,Parameter!$E$6+Parameter!$E$7)-(AT211-AP211))/AP211)))</f>
        <v>1</v>
      </c>
      <c r="AV211" s="57" t="n">
        <f aca="false">IF(LEFT(Cockpit!$O$5,1)="A",H211,IF(CA211=1,CB211,IF(LEFT(Cockpit!$O$5,1)="B",AZ211,MAX(AZ211,H211))))</f>
        <v>356</v>
      </c>
      <c r="AW211" s="57" t="n">
        <f aca="false">IF(BT211=1,0,ROUNDUP(AV211/BS211,0))</f>
        <v>2</v>
      </c>
      <c r="AX211" s="59" t="n">
        <f aca="false">IF(CH211&gt;0,CH211*MAX(1,AV211/X211),IF(BT211=1,IF(AV211&lt;=0,0,BW211*MAX(1,IF(H211&gt;0,AV211/H211,1))),IF(R211&gt;0,AW211/R211,0))/MAX(0.1,N(Parameter!$M$21)))</f>
        <v>0.166666666666667</v>
      </c>
      <c r="AY211" s="57" t="n">
        <f aca="false">AV211*G211</f>
        <v>9330.76</v>
      </c>
      <c r="AZ211" s="57" t="n">
        <f aca="false">ROUNDUP(MAX(J211/IF(BZ211&gt;0,BZ211,MAX(0.1,N(Cockpit!$O$6))),CC211)/BS211,0)*BS211</f>
        <v>356</v>
      </c>
      <c r="BA211" s="58" t="n">
        <f aca="false">IF(AX211&gt;0,J211/AX211,-1)</f>
        <v>4110</v>
      </c>
      <c r="BB211" s="58" t="n">
        <f aca="false">IF(AND(OR(BY211="L1",BY211="L23"),AX211&gt;0),SUMIFS($AX$7:$AX$1843,$BY$7:$BY$1843,BY211,$BA$7:$BA$1843,"&gt;"&amp;BA211)+SUMIFS($AX$7:$AX$1843,$BY$7:$BY$1843,BY211,$BA$7:$BA$1843,BA211,$BQ$7:$BQ$1843,"&lt;="&amp;BQ211),"")</f>
        <v>12.1382047903787</v>
      </c>
      <c r="BC211" s="65" t="n">
        <f aca="false">IF(BB211="",0,MAX(0,MIN(1,(IF(BY211="L1",Parameter!$E$5,Parameter!$E$6+Parameter!$E$7)-(BB211-AX211))/AX211)))</f>
        <v>1</v>
      </c>
      <c r="BD211" s="55" t="str">
        <f aca="false">IF(AH211&lt;=0,"",IF(BY211="Aussen","Aussenlager",IF(BY211="-","Nicht im Lift",IF(AM211&gt;=1,"Lift",IF(AM211&lt;=0,"Aussenlager","teilweise")))))</f>
        <v>Lift</v>
      </c>
      <c r="BE211" s="55" t="str">
        <f aca="false">IF(AP211&lt;=0,"",IF(BY211="Aussen","Aussenlager",IF(BY211="-","Nicht im Lift",IF(AU211&gt;=1,"Lift",IF(AU211&lt;=0,"Aussenlager","teilweise")))))</f>
        <v>Lift</v>
      </c>
      <c r="BF211" s="55" t="str">
        <f aca="false">IF(AX211&lt;=0,"",IF(BY211="Aussen","Aussenlager",IF(BY211="-","Nicht im Lift",IF(BC211&gt;=1,"Lift",IF(BC211&lt;=0,"Aussenlager","teilweise")))))</f>
        <v>Lift</v>
      </c>
      <c r="BG211" s="55" t="str">
        <f aca="false">IF(A211="","",IF(BP211=1,"Neu; ","")&amp;IF(AND(BP211=0,BK211&lt;0),"negativer Bestand (Export "&amp;BK211&amp;"); ","")&amp;IF(J211&lt;=0,"Kein Verbrauch; ","")&amp;IF(CH211&gt;0,"Lift "&amp;W211&amp;" lt. Liftbericht (Fach "&amp;X211&amp;" Stk); ",IF(BU211=1,"Gebinde geschätzt ("&amp;T211&amp;"); ",IF(BT211=1,"Lose – Tablare geschätzt; ","")))&amp;IF(H211&gt;AR211,"Überbestand "&amp;ROUND(H211-AR211,0)&amp;" Stk / CHF "&amp;ROUND((H211-AR211)*G211,0)&amp;"; ","")&amp;IF(AND(CA211=1,CB211&lt;CC211),"MAX &lt; MB+LG; ","")&amp;IF(AND(CG211&gt;0,CF211*10&gt;CG211),"zu hoch für Tablar; ","")&amp;IF(AND(BP211=0,OR(CA211=1,AA211&lt;&gt;"",U211&lt;&gt;"",V211&lt;&gt;"",AB211&lt;&gt;"")),"manuell übersteuert; ","")&amp;IF(AND(BT211=0,R211=0),"Gebinde unbekannt / Stellmass fehlt; ","")&amp;IF(AND(BT211=0,N(V211)&lt;=0,N(Q211)&lt;=0),"Menge pro Gebinde fehlt (Ist = 1 Gebinde); ","")&amp;BO211)</f>
        <v/>
      </c>
      <c r="BH211" s="55"/>
      <c r="BI211" s="55"/>
      <c r="BJ211" s="62"/>
      <c r="BK211" s="57" t="n">
        <v>77</v>
      </c>
      <c r="BL211" s="57" t="n">
        <v>180</v>
      </c>
      <c r="BM211" s="56" t="n">
        <v>729.890000000004</v>
      </c>
      <c r="BN211" s="57" t="n">
        <v>685</v>
      </c>
      <c r="BO211" s="55"/>
      <c r="BP211" s="60" t="n">
        <v>0</v>
      </c>
      <c r="BQ211" s="60" t="n">
        <v>211</v>
      </c>
      <c r="BR211" s="55" t="str">
        <f aca="false">IF(U211&lt;&gt;"",UPPER(TRIM(U211)),IF(BU211=1,UPPER(VLOOKUP(T211,Parameter!$I$27:$K$29,2,0)),IF(P211="","LOSE",P211)))</f>
        <v>S62</v>
      </c>
      <c r="BS211" s="57" t="n">
        <f aca="false">IF(BR211="LOSE",1,IF(N(V211)&gt;0,V211,IF(BU211=1,MAX(1,N(VLOOKUP(T211,Parameter!$I$27:$K$29,3,0)),H211,N(N211)),IF(N(Q211)&gt;0,Q211,MAX(1,H211)))))</f>
        <v>178</v>
      </c>
      <c r="BT211" s="60" t="n">
        <f aca="false">IF(BR211="LOSE",1,0)</f>
        <v>0</v>
      </c>
      <c r="BU211" s="60" t="n">
        <f aca="false">IF(AND(U211="",OR(P211="",P211="LOSE"),T211&lt;&gt;"",N(S211)&lt;=0,ISNUMBER(MATCH(T211,Parameter!$I$27:$I$29,0))),1,0)</f>
        <v>0</v>
      </c>
      <c r="BV211" s="55" t="str">
        <f aca="false">IF(AND(Parameter!$B$19="Ja",E211&lt;&gt;"",ISNUMBER(MATCH(E211,Parameter!$I$35:$I$52,0))),VLOOKUP(E211,Parameter!$I$35:$J$52,2,0),IFERROR(VLOOKUP(D211,Parameter!$A$35:$C$64,2,0),"Nein"))</f>
        <v>2+3</v>
      </c>
      <c r="BW211" s="59" t="n">
        <f aca="false">IF(BT211=0,0,IF(N(S211)&gt;0,S211,IFERROR(VLOOKUP(D211,Parameter!$A$35:$C$64,3,0)+0,0)))</f>
        <v>0</v>
      </c>
      <c r="BX211" s="55" t="n">
        <f aca="false">IF(AA211&lt;&gt;"",AA211,Z211)</f>
        <v>2</v>
      </c>
      <c r="BY211" s="55" t="str">
        <f aca="false">IF(BX211=1,"L1",IF(OR(BX211=2,BX211=3),"L23",IF(BX211="Aussen","Aussen","-")))</f>
        <v>L23</v>
      </c>
      <c r="BZ211" s="66" t="n">
        <f aca="false">IF(N(AB211)&gt;0,AB211,0)</f>
        <v>0</v>
      </c>
      <c r="CA211" s="60" t="n">
        <f aca="false">IF(ISNUMBER(AE211),1,0)</f>
        <v>0</v>
      </c>
      <c r="CB211" s="57" t="n">
        <f aca="false">N(AE211)</f>
        <v>0</v>
      </c>
      <c r="CC211" s="57" t="n">
        <f aca="false">N(M211)+N(N211)</f>
        <v>239</v>
      </c>
      <c r="CD211" s="57" t="n">
        <f aca="false">ROUNDUP(H211/BS211,0)</f>
        <v>2</v>
      </c>
      <c r="CE211" s="57" t="n">
        <f aca="false">ROUNDUP(CB211/BS211,0)</f>
        <v>0</v>
      </c>
      <c r="CF211" s="60" t="n">
        <f aca="false">IF(BT211=1,0,IFERROR(VLOOKUP(BR211,'Gebinde-Kategorie'!$A$5:$M$45,5,0)+0,0))</f>
        <v>21</v>
      </c>
      <c r="CG211" s="60" t="n">
        <f aca="false">IFERROR(IF(OR(BX211=1,BX211=2,BX211=3),N(INDEX(Parameter!$I$5:$I$7,BX211)),0),0)</f>
        <v>0</v>
      </c>
      <c r="CH211" s="59" t="n">
        <f aca="false">IF(AND(Parameter!$B$21="Ja",ISNUMBER(W211),N(X211)&gt;0),IFERROR(N(INDEX(Parameter!$L$5:$L$7,W211))*INDEX(Parameter!$E$5:$E$7,W211)*X211/SUMIFS($X$7:$X$1843,$W$7:$W$1843,W211),0),0)</f>
        <v>0</v>
      </c>
    </row>
    <row r="212" customFormat="false" ht="15" hidden="false" customHeight="false" outlineLevel="0" collapsed="false">
      <c r="A212" s="55" t="s">
        <v>620</v>
      </c>
      <c r="B212" s="55" t="s">
        <v>621</v>
      </c>
      <c r="C212" s="55" t="s">
        <v>164</v>
      </c>
      <c r="D212" s="55" t="s">
        <v>184</v>
      </c>
      <c r="E212" s="55" t="s">
        <v>185</v>
      </c>
      <c r="F212" s="55" t="s">
        <v>218</v>
      </c>
      <c r="G212" s="56" t="n">
        <v>19.3</v>
      </c>
      <c r="H212" s="57" t="n">
        <f aca="false">MAX(0,IF(AND(Parameter!$B$21="Ja",ISNUMBER(Y212)),Y212,IF(Parameter!$B$20="Jahresanfang 2025 + Export",BL212+BK212,BK212)))</f>
        <v>65</v>
      </c>
      <c r="I212" s="57" t="n">
        <f aca="false">H212*G212</f>
        <v>1254.5</v>
      </c>
      <c r="J212" s="57" t="n">
        <f aca="false">BN212*Parameter!$B$18</f>
        <v>56</v>
      </c>
      <c r="K212" s="58" t="n">
        <v>80</v>
      </c>
      <c r="L212" s="59" t="n">
        <v>0.7</v>
      </c>
      <c r="M212" s="57" t="n">
        <v>9</v>
      </c>
      <c r="N212" s="57" t="n">
        <v>55</v>
      </c>
      <c r="O212" s="60" t="n">
        <v>63</v>
      </c>
      <c r="P212" s="55" t="s">
        <v>328</v>
      </c>
      <c r="Q212" s="57" t="n">
        <v>66</v>
      </c>
      <c r="R212" s="60" t="n">
        <f aca="false">IF(BT212=1,0,IFERROR(VLOOKUP(BR212,'Gebinde-Kategorie'!$A$5:$M$45,13,0)+0,0))</f>
        <v>52</v>
      </c>
      <c r="S212" s="61"/>
      <c r="T212" s="62"/>
      <c r="U212" s="62"/>
      <c r="V212" s="62"/>
      <c r="W212" s="55"/>
      <c r="X212" s="57"/>
      <c r="Y212" s="57"/>
      <c r="Z212" s="55" t="n">
        <f aca="false">IF(A212="","",IF(AND(Parameter!$B$21="Ja",ISNUMBER(W212)),W212,IF(BV212="2+3",IF(ISNUMBER(SEARCH("grosser Artikel",BO212)),2,IFERROR(VLOOKUP(BR212,Parameter!$F$35:$G$64,2,0),2)),IF(OR(BV212="Nein",BV212=""),"-",BV212))))</f>
        <v>3</v>
      </c>
      <c r="AA212" s="62"/>
      <c r="AB212" s="63"/>
      <c r="AC212" s="57" t="n">
        <f aca="false">AR212</f>
        <v>66</v>
      </c>
      <c r="AD212" s="57" t="n">
        <f aca="false">MAX(AR212,H212)</f>
        <v>66</v>
      </c>
      <c r="AE212" s="64"/>
      <c r="AF212" s="57" t="n">
        <f aca="false">IF(LEFT(Cockpit!$C$5,1)="A",H212,IF(CA212=1,CB212,IF(LEFT(Cockpit!$C$5,1)="B",AJ212,MAX(AJ212,H212))))</f>
        <v>65</v>
      </c>
      <c r="AG212" s="57" t="n">
        <f aca="false">IF(BT212=1,0,ROUNDUP(AF212/BS212,0))</f>
        <v>1</v>
      </c>
      <c r="AH212" s="59" t="n">
        <f aca="false">IF(CH212&gt;0,CH212*MAX(1,AF212/X212),IF(BT212=1,IF(AF212&lt;=0,0,BW212*MAX(1,IF(H212&gt;0,AF212/H212,1))),IF(R212&gt;0,AG212/R212,0))/MAX(0.1,N(Parameter!$M$21)))</f>
        <v>0.0192307692307692</v>
      </c>
      <c r="AI212" s="57" t="n">
        <f aca="false">AF212*G212</f>
        <v>1254.5</v>
      </c>
      <c r="AJ212" s="57" t="n">
        <f aca="false">ROUNDUP(MAX(J212/IF(BZ212&gt;0,BZ212,MAX(0.1,N(Cockpit!$C$6))),CC212)/BS212,0)*BS212</f>
        <v>66</v>
      </c>
      <c r="AK212" s="58" t="n">
        <f aca="false">IF(AH212&gt;0,J212/AH212,-1)</f>
        <v>2912</v>
      </c>
      <c r="AL212" s="58" t="n">
        <f aca="false">IF(AND(OR(BY212="L1",BY212="L23"),AH212&gt;0),SUMIFS($AH$7:$AH$1843,$BY$7:$BY$1843,BY212,$AK$7:$AK$1843,"&gt;"&amp;AK212)+SUMIFS($AH$7:$AH$1843,$BY$7:$BY$1843,BY212,$AK$7:$AK$1843,AK212,$BQ$7:$BQ$1843,"&lt;="&amp;BQ212),"")</f>
        <v>10.8042211411777</v>
      </c>
      <c r="AM212" s="65" t="n">
        <f aca="false">IF(AL212="",0,MAX(0,MIN(1,(IF(BY212="L1",Parameter!$E$5,Parameter!$E$6+Parameter!$E$7)-(AL212-AH212))/AH212)))</f>
        <v>1</v>
      </c>
      <c r="AN212" s="57" t="n">
        <f aca="false">IF(LEFT(Cockpit!$I$5,1)="A",H212,IF(CA212=1,CB212,IF(LEFT(Cockpit!$I$5,1)="B",AR212,MAX(AR212,H212))))</f>
        <v>66</v>
      </c>
      <c r="AO212" s="57" t="n">
        <f aca="false">IF(BT212=1,0,ROUNDUP(AN212/BS212,0))</f>
        <v>1</v>
      </c>
      <c r="AP212" s="59" t="n">
        <f aca="false">IF(CH212&gt;0,CH212*MAX(1,AN212/X212),IF(BT212=1,IF(AN212&lt;=0,0,BW212*MAX(1,IF(H212&gt;0,AN212/H212,1))),IF(R212&gt;0,AO212/R212,0))/MAX(0.1,N(Parameter!$M$21)))</f>
        <v>0.0192307692307692</v>
      </c>
      <c r="AQ212" s="57" t="n">
        <f aca="false">AN212*G212</f>
        <v>1273.8</v>
      </c>
      <c r="AR212" s="57" t="n">
        <f aca="false">ROUNDUP(MAX(J212/IF(BZ212&gt;0,BZ212,MAX(0.1,N(Cockpit!$I$6))),CC212)/BS212,0)*BS212</f>
        <v>66</v>
      </c>
      <c r="AS212" s="58" t="n">
        <f aca="false">IF(AP212&gt;0,J212/AP212,-1)</f>
        <v>2912</v>
      </c>
      <c r="AT212" s="58" t="n">
        <f aca="false">IF(AND(OR(BY212="L1",BY212="L23"),AP212&gt;0),SUMIFS($AP$7:$AP$1843,$BY$7:$BY$1843,BY212,$AS$7:$AS$1843,"&gt;"&amp;AS212)+SUMIFS($AP$7:$AP$1843,$BY$7:$BY$1843,BY212,$AS$7:$AS$1843,AS212,$BQ$7:$BQ$1843,"&lt;="&amp;BQ212),"")</f>
        <v>15.6556619708794</v>
      </c>
      <c r="AU212" s="65" t="n">
        <f aca="false">IF(AT212="",0,MAX(0,MIN(1,(IF(BY212="L1",Parameter!$E$5,Parameter!$E$6+Parameter!$E$7)-(AT212-AP212))/AP212)))</f>
        <v>1</v>
      </c>
      <c r="AV212" s="57" t="n">
        <f aca="false">IF(LEFT(Cockpit!$O$5,1)="A",H212,IF(CA212=1,CB212,IF(LEFT(Cockpit!$O$5,1)="B",AZ212,MAX(AZ212,H212))))</f>
        <v>66</v>
      </c>
      <c r="AW212" s="57" t="n">
        <f aca="false">IF(BT212=1,0,ROUNDUP(AV212/BS212,0))</f>
        <v>1</v>
      </c>
      <c r="AX212" s="59" t="n">
        <f aca="false">IF(CH212&gt;0,CH212*MAX(1,AV212/X212),IF(BT212=1,IF(AV212&lt;=0,0,BW212*MAX(1,IF(H212&gt;0,AV212/H212,1))),IF(R212&gt;0,AW212/R212,0))/MAX(0.1,N(Parameter!$M$21)))</f>
        <v>0.0192307692307692</v>
      </c>
      <c r="AY212" s="57" t="n">
        <f aca="false">AV212*G212</f>
        <v>1273.8</v>
      </c>
      <c r="AZ212" s="57" t="n">
        <f aca="false">ROUNDUP(MAX(J212/IF(BZ212&gt;0,BZ212,MAX(0.1,N(Cockpit!$O$6))),CC212)/BS212,0)*BS212</f>
        <v>66</v>
      </c>
      <c r="BA212" s="58" t="n">
        <f aca="false">IF(AX212&gt;0,J212/AX212,-1)</f>
        <v>2912</v>
      </c>
      <c r="BB212" s="58" t="n">
        <f aca="false">IF(AND(OR(BY212="L1",BY212="L23"),AX212&gt;0),SUMIFS($AX$7:$AX$1843,$BY$7:$BY$1843,BY212,$BA$7:$BA$1843,"&gt;"&amp;BA212)+SUMIFS($AX$7:$AX$1843,$BY$7:$BY$1843,BY212,$BA$7:$BA$1843,BA212,$BQ$7:$BQ$1843,"&lt;="&amp;BQ212),"")</f>
        <v>14.1457552109726</v>
      </c>
      <c r="BC212" s="65" t="n">
        <f aca="false">IF(BB212="",0,MAX(0,MIN(1,(IF(BY212="L1",Parameter!$E$5,Parameter!$E$6+Parameter!$E$7)-(BB212-AX212))/AX212)))</f>
        <v>1</v>
      </c>
      <c r="BD212" s="55" t="str">
        <f aca="false">IF(AH212&lt;=0,"",IF(BY212="Aussen","Aussenlager",IF(BY212="-","Nicht im Lift",IF(AM212&gt;=1,"Lift",IF(AM212&lt;=0,"Aussenlager","teilweise")))))</f>
        <v>Lift</v>
      </c>
      <c r="BE212" s="55" t="str">
        <f aca="false">IF(AP212&lt;=0,"",IF(BY212="Aussen","Aussenlager",IF(BY212="-","Nicht im Lift",IF(AU212&gt;=1,"Lift",IF(AU212&lt;=0,"Aussenlager","teilweise")))))</f>
        <v>Lift</v>
      </c>
      <c r="BF212" s="55" t="str">
        <f aca="false">IF(AX212&lt;=0,"",IF(BY212="Aussen","Aussenlager",IF(BY212="-","Nicht im Lift",IF(BC212&gt;=1,"Lift",IF(BC212&lt;=0,"Aussenlager","teilweise")))))</f>
        <v>Lift</v>
      </c>
      <c r="BG212" s="55" t="str">
        <f aca="false">IF(A212="","",IF(BP212=1,"Neu; ","")&amp;IF(AND(BP212=0,BK212&lt;0),"negativer Bestand (Export "&amp;BK212&amp;"); ","")&amp;IF(J212&lt;=0,"Kein Verbrauch; ","")&amp;IF(CH212&gt;0,"Lift "&amp;W212&amp;" lt. Liftbericht (Fach "&amp;X212&amp;" Stk); ",IF(BU212=1,"Gebinde geschätzt ("&amp;T212&amp;"); ",IF(BT212=1,"Lose – Tablare geschätzt; ","")))&amp;IF(H212&gt;AR212,"Überbestand "&amp;ROUND(H212-AR212,0)&amp;" Stk / CHF "&amp;ROUND((H212-AR212)*G212,0)&amp;"; ","")&amp;IF(AND(CA212=1,CB212&lt;CC212),"MAX &lt; MB+LG; ","")&amp;IF(AND(CG212&gt;0,CF212*10&gt;CG212),"zu hoch für Tablar; ","")&amp;IF(AND(BP212=0,OR(CA212=1,AA212&lt;&gt;"",U212&lt;&gt;"",V212&lt;&gt;"",AB212&lt;&gt;"")),"manuell übersteuert; ","")&amp;IF(AND(BT212=0,R212=0),"Gebinde unbekannt / Stellmass fehlt; ","")&amp;IF(AND(BT212=0,N(V212)&lt;=0,N(Q212)&lt;=0),"Menge pro Gebinde fehlt (Ist = 1 Gebinde); ","")&amp;BO212)</f>
        <v/>
      </c>
      <c r="BH212" s="55"/>
      <c r="BI212" s="55"/>
      <c r="BJ212" s="62"/>
      <c r="BK212" s="57" t="n">
        <v>37</v>
      </c>
      <c r="BL212" s="57" t="n">
        <v>28</v>
      </c>
      <c r="BM212" s="56" t="n">
        <v>720.26</v>
      </c>
      <c r="BN212" s="57" t="n">
        <v>56</v>
      </c>
      <c r="BO212" s="55"/>
      <c r="BP212" s="60" t="n">
        <v>0</v>
      </c>
      <c r="BQ212" s="60" t="n">
        <v>212</v>
      </c>
      <c r="BR212" s="55" t="str">
        <f aca="false">IF(U212&lt;&gt;"",UPPER(TRIM(U212)),IF(BU212=1,UPPER(VLOOKUP(T212,Parameter!$I$27:$K$29,2,0)),IF(P212="","LOSE",P212)))</f>
        <v>S41</v>
      </c>
      <c r="BS212" s="57" t="n">
        <f aca="false">IF(BR212="LOSE",1,IF(N(V212)&gt;0,V212,IF(BU212=1,MAX(1,N(VLOOKUP(T212,Parameter!$I$27:$K$29,3,0)),H212,N(N212)),IF(N(Q212)&gt;0,Q212,MAX(1,H212)))))</f>
        <v>66</v>
      </c>
      <c r="BT212" s="60" t="n">
        <f aca="false">IF(BR212="LOSE",1,0)</f>
        <v>0</v>
      </c>
      <c r="BU212" s="60" t="n">
        <f aca="false">IF(AND(U212="",OR(P212="",P212="LOSE"),T212&lt;&gt;"",N(S212)&lt;=0,ISNUMBER(MATCH(T212,Parameter!$I$27:$I$29,0))),1,0)</f>
        <v>0</v>
      </c>
      <c r="BV212" s="55" t="str">
        <f aca="false">IF(AND(Parameter!$B$19="Ja",E212&lt;&gt;"",ISNUMBER(MATCH(E212,Parameter!$I$35:$I$52,0))),VLOOKUP(E212,Parameter!$I$35:$J$52,2,0),IFERROR(VLOOKUP(D212,Parameter!$A$35:$C$64,2,0),"Nein"))</f>
        <v>2+3</v>
      </c>
      <c r="BW212" s="59" t="n">
        <f aca="false">IF(BT212=0,0,IF(N(S212)&gt;0,S212,IFERROR(VLOOKUP(D212,Parameter!$A$35:$C$64,3,0)+0,0)))</f>
        <v>0</v>
      </c>
      <c r="BX212" s="55" t="n">
        <f aca="false">IF(AA212&lt;&gt;"",AA212,Z212)</f>
        <v>3</v>
      </c>
      <c r="BY212" s="55" t="str">
        <f aca="false">IF(BX212=1,"L1",IF(OR(BX212=2,BX212=3),"L23",IF(BX212="Aussen","Aussen","-")))</f>
        <v>L23</v>
      </c>
      <c r="BZ212" s="66" t="n">
        <f aca="false">IF(N(AB212)&gt;0,AB212,0)</f>
        <v>0</v>
      </c>
      <c r="CA212" s="60" t="n">
        <f aca="false">IF(ISNUMBER(AE212),1,0)</f>
        <v>0</v>
      </c>
      <c r="CB212" s="57" t="n">
        <f aca="false">N(AE212)</f>
        <v>0</v>
      </c>
      <c r="CC212" s="57" t="n">
        <f aca="false">N(M212)+N(N212)</f>
        <v>64</v>
      </c>
      <c r="CD212" s="57" t="n">
        <f aca="false">ROUNDUP(H212/BS212,0)</f>
        <v>1</v>
      </c>
      <c r="CE212" s="57" t="n">
        <f aca="false">ROUNDUP(CB212/BS212,0)</f>
        <v>0</v>
      </c>
      <c r="CF212" s="60" t="n">
        <f aca="false">IF(BT212=1,0,IFERROR(VLOOKUP(BR212,'Gebinde-Kategorie'!$A$5:$M$45,5,0)+0,0))</f>
        <v>11</v>
      </c>
      <c r="CG212" s="60" t="n">
        <f aca="false">IFERROR(IF(OR(BX212=1,BX212=2,BX212=3),N(INDEX(Parameter!$I$5:$I$7,BX212)),0),0)</f>
        <v>0</v>
      </c>
      <c r="CH212" s="59" t="n">
        <f aca="false">IF(AND(Parameter!$B$21="Ja",ISNUMBER(W212),N(X212)&gt;0),IFERROR(N(INDEX(Parameter!$L$5:$L$7,W212))*INDEX(Parameter!$E$5:$E$7,W212)*X212/SUMIFS($X$7:$X$1843,$W$7:$W$1843,W212),0),0)</f>
        <v>0</v>
      </c>
    </row>
    <row r="213" customFormat="false" ht="15" hidden="false" customHeight="false" outlineLevel="0" collapsed="false">
      <c r="A213" s="55" t="s">
        <v>622</v>
      </c>
      <c r="B213" s="55" t="s">
        <v>222</v>
      </c>
      <c r="C213" s="55" t="s">
        <v>164</v>
      </c>
      <c r="D213" s="55" t="s">
        <v>173</v>
      </c>
      <c r="E213" s="55" t="s">
        <v>173</v>
      </c>
      <c r="F213" s="55" t="s">
        <v>218</v>
      </c>
      <c r="G213" s="56" t="n">
        <v>165.25</v>
      </c>
      <c r="H213" s="57" t="n">
        <f aca="false">MAX(0,IF(AND(Parameter!$B$21="Ja",ISNUMBER(Y213)),Y213,IF(Parameter!$B$20="Jahresanfang 2025 + Export",BL213+BK213,BK213)))</f>
        <v>39</v>
      </c>
      <c r="I213" s="57" t="n">
        <f aca="false">H213*G213</f>
        <v>6444.75</v>
      </c>
      <c r="J213" s="57" t="n">
        <f aca="false">BN213*Parameter!$B$18</f>
        <v>122</v>
      </c>
      <c r="K213" s="58" t="n">
        <v>35</v>
      </c>
      <c r="L213" s="59" t="n">
        <v>3.48571428571429</v>
      </c>
      <c r="M213" s="57" t="n">
        <v>10</v>
      </c>
      <c r="N213" s="57" t="n">
        <v>40</v>
      </c>
      <c r="O213" s="60" t="n">
        <v>21</v>
      </c>
      <c r="P213" s="55" t="s">
        <v>259</v>
      </c>
      <c r="Q213" s="57" t="n">
        <v>22</v>
      </c>
      <c r="R213" s="60" t="n">
        <f aca="false">IF(BT213=1,0,IFERROR(VLOOKUP(BR213,'Gebinde-Kategorie'!$A$5:$M$45,13,0)+0,0))</f>
        <v>6</v>
      </c>
      <c r="S213" s="61"/>
      <c r="T213" s="62"/>
      <c r="U213" s="62"/>
      <c r="V213" s="62"/>
      <c r="W213" s="55"/>
      <c r="X213" s="57"/>
      <c r="Y213" s="57"/>
      <c r="Z213" s="55" t="str">
        <f aca="false">IF(A213="","",IF(AND(Parameter!$B$21="Ja",ISNUMBER(W213)),W213,IF(BV213="2+3",IF(ISNUMBER(SEARCH("grosser Artikel",BO213)),2,IFERROR(VLOOKUP(BR213,Parameter!$F$35:$G$64,2,0),2)),IF(OR(BV213="Nein",BV213=""),"-",BV213))))</f>
        <v>-</v>
      </c>
      <c r="AA213" s="62"/>
      <c r="AB213" s="63"/>
      <c r="AC213" s="57" t="n">
        <f aca="false">AR213</f>
        <v>66</v>
      </c>
      <c r="AD213" s="57" t="n">
        <f aca="false">MAX(AR213,H213)</f>
        <v>66</v>
      </c>
      <c r="AE213" s="64"/>
      <c r="AF213" s="57" t="n">
        <f aca="false">IF(LEFT(Cockpit!$C$5,1)="A",H213,IF(CA213=1,CB213,IF(LEFT(Cockpit!$C$5,1)="B",AJ213,MAX(AJ213,H213))))</f>
        <v>39</v>
      </c>
      <c r="AG213" s="57" t="n">
        <f aca="false">IF(BT213=1,0,ROUNDUP(AF213/BS213,0))</f>
        <v>2</v>
      </c>
      <c r="AH213" s="59" t="n">
        <f aca="false">IF(CH213&gt;0,CH213*MAX(1,AF213/X213),IF(BT213=1,IF(AF213&lt;=0,0,BW213*MAX(1,IF(H213&gt;0,AF213/H213,1))),IF(R213&gt;0,AG213/R213,0))/MAX(0.1,N(Parameter!$M$21)))</f>
        <v>0.333333333333333</v>
      </c>
      <c r="AI213" s="57" t="n">
        <f aca="false">AF213*G213</f>
        <v>6444.75</v>
      </c>
      <c r="AJ213" s="57" t="n">
        <f aca="false">ROUNDUP(MAX(J213/IF(BZ213&gt;0,BZ213,MAX(0.1,N(Cockpit!$C$6))),CC213)/BS213,0)*BS213</f>
        <v>66</v>
      </c>
      <c r="AK213" s="58" t="n">
        <f aca="false">IF(AH213&gt;0,J213/AH213,-1)</f>
        <v>366</v>
      </c>
      <c r="AL213" s="58" t="str">
        <f aca="false">IF(AND(OR(BY213="L1",BY213="L23"),AH213&gt;0),SUMIFS($AH$7:$AH$1843,$BY$7:$BY$1843,BY213,$AK$7:$AK$1843,"&gt;"&amp;AK213)+SUMIFS($AH$7:$AH$1843,$BY$7:$BY$1843,BY213,$AK$7:$AK$1843,AK213,$BQ$7:$BQ$1843,"&lt;="&amp;BQ213),"")</f>
        <v/>
      </c>
      <c r="AM213" s="65" t="n">
        <f aca="false">IF(AL213="",0,MAX(0,MIN(1,(IF(BY213="L1",Parameter!$E$5,Parameter!$E$6+Parameter!$E$7)-(AL213-AH213))/AH213)))</f>
        <v>0</v>
      </c>
      <c r="AN213" s="57" t="n">
        <f aca="false">IF(LEFT(Cockpit!$I$5,1)="A",H213,IF(CA213=1,CB213,IF(LEFT(Cockpit!$I$5,1)="B",AR213,MAX(AR213,H213))))</f>
        <v>66</v>
      </c>
      <c r="AO213" s="57" t="n">
        <f aca="false">IF(BT213=1,0,ROUNDUP(AN213/BS213,0))</f>
        <v>3</v>
      </c>
      <c r="AP213" s="59" t="n">
        <f aca="false">IF(CH213&gt;0,CH213*MAX(1,AN213/X213),IF(BT213=1,IF(AN213&lt;=0,0,BW213*MAX(1,IF(H213&gt;0,AN213/H213,1))),IF(R213&gt;0,AO213/R213,0))/MAX(0.1,N(Parameter!$M$21)))</f>
        <v>0.5</v>
      </c>
      <c r="AQ213" s="57" t="n">
        <f aca="false">AN213*G213</f>
        <v>10906.5</v>
      </c>
      <c r="AR213" s="57" t="n">
        <f aca="false">ROUNDUP(MAX(J213/IF(BZ213&gt;0,BZ213,MAX(0.1,N(Cockpit!$I$6))),CC213)/BS213,0)*BS213</f>
        <v>66</v>
      </c>
      <c r="AS213" s="58" t="n">
        <f aca="false">IF(AP213&gt;0,J213/AP213,-1)</f>
        <v>244</v>
      </c>
      <c r="AT213" s="58" t="str">
        <f aca="false">IF(AND(OR(BY213="L1",BY213="L23"),AP213&gt;0),SUMIFS($AP$7:$AP$1843,$BY$7:$BY$1843,BY213,$AS$7:$AS$1843,"&gt;"&amp;AS213)+SUMIFS($AP$7:$AP$1843,$BY$7:$BY$1843,BY213,$AS$7:$AS$1843,AS213,$BQ$7:$BQ$1843,"&lt;="&amp;BQ213),"")</f>
        <v/>
      </c>
      <c r="AU213" s="65" t="n">
        <f aca="false">IF(AT213="",0,MAX(0,MIN(1,(IF(BY213="L1",Parameter!$E$5,Parameter!$E$6+Parameter!$E$7)-(AT213-AP213))/AP213)))</f>
        <v>0</v>
      </c>
      <c r="AV213" s="57" t="n">
        <f aca="false">IF(LEFT(Cockpit!$O$5,1)="A",H213,IF(CA213=1,CB213,IF(LEFT(Cockpit!$O$5,1)="B",AZ213,MAX(AZ213,H213))))</f>
        <v>66</v>
      </c>
      <c r="AW213" s="57" t="n">
        <f aca="false">IF(BT213=1,0,ROUNDUP(AV213/BS213,0))</f>
        <v>3</v>
      </c>
      <c r="AX213" s="59" t="n">
        <f aca="false">IF(CH213&gt;0,CH213*MAX(1,AV213/X213),IF(BT213=1,IF(AV213&lt;=0,0,BW213*MAX(1,IF(H213&gt;0,AV213/H213,1))),IF(R213&gt;0,AW213/R213,0))/MAX(0.1,N(Parameter!$M$21)))</f>
        <v>0.5</v>
      </c>
      <c r="AY213" s="57" t="n">
        <f aca="false">AV213*G213</f>
        <v>10906.5</v>
      </c>
      <c r="AZ213" s="57" t="n">
        <f aca="false">ROUNDUP(MAX(J213/IF(BZ213&gt;0,BZ213,MAX(0.1,N(Cockpit!$O$6))),CC213)/BS213,0)*BS213</f>
        <v>66</v>
      </c>
      <c r="BA213" s="58" t="n">
        <f aca="false">IF(AX213&gt;0,J213/AX213,-1)</f>
        <v>244</v>
      </c>
      <c r="BB213" s="58" t="str">
        <f aca="false">IF(AND(OR(BY213="L1",BY213="L23"),AX213&gt;0),SUMIFS($AX$7:$AX$1843,$BY$7:$BY$1843,BY213,$BA$7:$BA$1843,"&gt;"&amp;BA213)+SUMIFS($AX$7:$AX$1843,$BY$7:$BY$1843,BY213,$BA$7:$BA$1843,BA213,$BQ$7:$BQ$1843,"&lt;="&amp;BQ213),"")</f>
        <v/>
      </c>
      <c r="BC213" s="65" t="n">
        <f aca="false">IF(BB213="",0,MAX(0,MIN(1,(IF(BY213="L1",Parameter!$E$5,Parameter!$E$6+Parameter!$E$7)-(BB213-AX213))/AX213)))</f>
        <v>0</v>
      </c>
      <c r="BD213" s="55" t="str">
        <f aca="false">IF(AH213&lt;=0,"",IF(BY213="Aussen","Aussenlager",IF(BY213="-","Nicht im Lift",IF(AM213&gt;=1,"Lift",IF(AM213&lt;=0,"Aussenlager","teilweise")))))</f>
        <v>Nicht im Lift</v>
      </c>
      <c r="BE213" s="55" t="str">
        <f aca="false">IF(AP213&lt;=0,"",IF(BY213="Aussen","Aussenlager",IF(BY213="-","Nicht im Lift",IF(AU213&gt;=1,"Lift",IF(AU213&lt;=0,"Aussenlager","teilweise")))))</f>
        <v>Nicht im Lift</v>
      </c>
      <c r="BF213" s="55" t="str">
        <f aca="false">IF(AX213&lt;=0,"",IF(BY213="Aussen","Aussenlager",IF(BY213="-","Nicht im Lift",IF(BC213&gt;=1,"Lift",IF(BC213&lt;=0,"Aussenlager","teilweise")))))</f>
        <v>Nicht im Lift</v>
      </c>
      <c r="BG213" s="55" t="str">
        <f aca="false">IF(A213="","",IF(BP213=1,"Neu; ","")&amp;IF(AND(BP213=0,BK213&lt;0),"negativer Bestand (Export "&amp;BK213&amp;"); ","")&amp;IF(J213&lt;=0,"Kein Verbrauch; ","")&amp;IF(CH213&gt;0,"Lift "&amp;W213&amp;" lt. Liftbericht (Fach "&amp;X213&amp;" Stk); ",IF(BU213=1,"Gebinde geschätzt ("&amp;T213&amp;"); ",IF(BT213=1,"Lose – Tablare geschätzt; ","")))&amp;IF(H213&gt;AR213,"Überbestand "&amp;ROUND(H213-AR213,0)&amp;" Stk / CHF "&amp;ROUND((H213-AR213)*G213,0)&amp;"; ","")&amp;IF(AND(CA213=1,CB213&lt;CC213),"MAX &lt; MB+LG; ","")&amp;IF(AND(CG213&gt;0,CF213*10&gt;CG213),"zu hoch für Tablar; ","")&amp;IF(AND(BP213=0,OR(CA213=1,AA213&lt;&gt;"",U213&lt;&gt;"",V213&lt;&gt;"",AB213&lt;&gt;"")),"manuell übersteuert; ","")&amp;IF(AND(BT213=0,R213=0),"Gebinde unbekannt / Stellmass fehlt; ","")&amp;IF(AND(BT213=0,N(V213)&lt;=0,N(Q213)&lt;=0),"Menge pro Gebinde fehlt (Ist = 1 Gebinde); ","")&amp;BO213)</f>
        <v/>
      </c>
      <c r="BH213" s="55"/>
      <c r="BI213" s="55"/>
      <c r="BJ213" s="62"/>
      <c r="BK213" s="57" t="n">
        <v>8</v>
      </c>
      <c r="BL213" s="57" t="n">
        <v>31</v>
      </c>
      <c r="BM213" s="56" t="n">
        <v>719.980000000002</v>
      </c>
      <c r="BN213" s="57" t="n">
        <v>122</v>
      </c>
      <c r="BO213" s="55"/>
      <c r="BP213" s="60" t="n">
        <v>0</v>
      </c>
      <c r="BQ213" s="60" t="n">
        <v>213</v>
      </c>
      <c r="BR213" s="55" t="str">
        <f aca="false">IF(U213&lt;&gt;"",UPPER(TRIM(U213)),IF(BU213=1,UPPER(VLOOKUP(T213,Parameter!$I$27:$K$29,2,0)),IF(P213="","LOSE",P213)))</f>
        <v>S72</v>
      </c>
      <c r="BS213" s="57" t="n">
        <f aca="false">IF(BR213="LOSE",1,IF(N(V213)&gt;0,V213,IF(BU213=1,MAX(1,N(VLOOKUP(T213,Parameter!$I$27:$K$29,3,0)),H213,N(N213)),IF(N(Q213)&gt;0,Q213,MAX(1,H213)))))</f>
        <v>22</v>
      </c>
      <c r="BT213" s="60" t="n">
        <f aca="false">IF(BR213="LOSE",1,0)</f>
        <v>0</v>
      </c>
      <c r="BU213" s="60" t="n">
        <f aca="false">IF(AND(U213="",OR(P213="",P213="LOSE"),T213&lt;&gt;"",N(S213)&lt;=0,ISNUMBER(MATCH(T213,Parameter!$I$27:$I$29,0))),1,0)</f>
        <v>0</v>
      </c>
      <c r="BV213" s="55" t="str">
        <f aca="false">IF(AND(Parameter!$B$19="Ja",E213&lt;&gt;"",ISNUMBER(MATCH(E213,Parameter!$I$35:$I$52,0))),VLOOKUP(E213,Parameter!$I$35:$J$52,2,0),IFERROR(VLOOKUP(D213,Parameter!$A$35:$C$64,2,0),"Nein"))</f>
        <v>Nein</v>
      </c>
      <c r="BW213" s="59" t="n">
        <f aca="false">IF(BT213=0,0,IF(N(S213)&gt;0,S213,IFERROR(VLOOKUP(D213,Parameter!$A$35:$C$64,3,0)+0,0)))</f>
        <v>0</v>
      </c>
      <c r="BX213" s="55" t="str">
        <f aca="false">IF(AA213&lt;&gt;"",AA213,Z213)</f>
        <v>-</v>
      </c>
      <c r="BY213" s="55" t="str">
        <f aca="false">IF(BX213=1,"L1",IF(OR(BX213=2,BX213=3),"L23",IF(BX213="Aussen","Aussen","-")))</f>
        <v>-</v>
      </c>
      <c r="BZ213" s="66" t="n">
        <f aca="false">IF(N(AB213)&gt;0,AB213,0)</f>
        <v>0</v>
      </c>
      <c r="CA213" s="60" t="n">
        <f aca="false">IF(ISNUMBER(AE213),1,0)</f>
        <v>0</v>
      </c>
      <c r="CB213" s="57" t="n">
        <f aca="false">N(AE213)</f>
        <v>0</v>
      </c>
      <c r="CC213" s="57" t="n">
        <f aca="false">N(M213)+N(N213)</f>
        <v>50</v>
      </c>
      <c r="CD213" s="57" t="n">
        <f aca="false">ROUNDUP(H213/BS213,0)</f>
        <v>2</v>
      </c>
      <c r="CE213" s="57" t="n">
        <f aca="false">ROUNDUP(CB213/BS213,0)</f>
        <v>0</v>
      </c>
      <c r="CF213" s="60" t="n">
        <f aca="false">IF(BT213=1,0,IFERROR(VLOOKUP(BR213,'Gebinde-Kategorie'!$A$5:$M$45,5,0)+0,0))</f>
        <v>40</v>
      </c>
      <c r="CG213" s="60" t="n">
        <f aca="false">IFERROR(IF(OR(BX213=1,BX213=2,BX213=3),N(INDEX(Parameter!$I$5:$I$7,BX213)),0),0)</f>
        <v>0</v>
      </c>
      <c r="CH213" s="59" t="n">
        <f aca="false">IF(AND(Parameter!$B$21="Ja",ISNUMBER(W213),N(X213)&gt;0),IFERROR(N(INDEX(Parameter!$L$5:$L$7,W213))*INDEX(Parameter!$E$5:$E$7,W213)*X213/SUMIFS($X$7:$X$1843,$W$7:$W$1843,W213),0),0)</f>
        <v>0</v>
      </c>
    </row>
    <row r="214" customFormat="false" ht="15" hidden="false" customHeight="false" outlineLevel="0" collapsed="false">
      <c r="A214" s="55" t="s">
        <v>623</v>
      </c>
      <c r="B214" s="55" t="s">
        <v>546</v>
      </c>
      <c r="C214" s="55" t="s">
        <v>164</v>
      </c>
      <c r="D214" s="55" t="s">
        <v>184</v>
      </c>
      <c r="E214" s="55"/>
      <c r="F214" s="55" t="s">
        <v>218</v>
      </c>
      <c r="G214" s="56" t="n">
        <v>14.2</v>
      </c>
      <c r="H214" s="57" t="n">
        <f aca="false">MAX(0,IF(AND(Parameter!$B$21="Ja",ISNUMBER(Y214)),Y214,IF(Parameter!$B$20="Jahresanfang 2025 + Export",BL214+BK214,BK214)))</f>
        <v>50</v>
      </c>
      <c r="I214" s="57" t="n">
        <f aca="false">H214*G214</f>
        <v>710</v>
      </c>
      <c r="J214" s="57" t="n">
        <f aca="false">BN214*Parameter!$B$18</f>
        <v>0</v>
      </c>
      <c r="K214" s="58" t="n">
        <v>0</v>
      </c>
      <c r="L214" s="59" t="n">
        <v>0</v>
      </c>
      <c r="M214" s="57" t="n">
        <v>0</v>
      </c>
      <c r="N214" s="57" t="n">
        <v>1</v>
      </c>
      <c r="O214" s="60" t="n">
        <v>9999</v>
      </c>
      <c r="P214" s="55" t="s">
        <v>168</v>
      </c>
      <c r="Q214" s="57"/>
      <c r="R214" s="60" t="n">
        <f aca="false">IF(BT214=1,0,IFERROR(VLOOKUP(BR214,'Gebinde-Kategorie'!$A$5:$M$45,13,0)+0,0))</f>
        <v>26</v>
      </c>
      <c r="S214" s="61"/>
      <c r="T214" s="62" t="s">
        <v>275</v>
      </c>
      <c r="U214" s="62"/>
      <c r="V214" s="62"/>
      <c r="W214" s="55"/>
      <c r="X214" s="57"/>
      <c r="Y214" s="57"/>
      <c r="Z214" s="55" t="n">
        <f aca="false">IF(A214="","",IF(AND(Parameter!$B$21="Ja",ISNUMBER(W214)),W214,IF(BV214="2+3",IF(ISNUMBER(SEARCH("grosser Artikel",BO214)),2,IFERROR(VLOOKUP(BR214,Parameter!$F$35:$G$64,2,0),2)),IF(OR(BV214="Nein",BV214=""),"-",BV214))))</f>
        <v>3</v>
      </c>
      <c r="AA214" s="62"/>
      <c r="AB214" s="63"/>
      <c r="AC214" s="57" t="n">
        <f aca="false">AR214</f>
        <v>50</v>
      </c>
      <c r="AD214" s="57" t="n">
        <f aca="false">MAX(AR214,H214)</f>
        <v>50</v>
      </c>
      <c r="AE214" s="64"/>
      <c r="AF214" s="57" t="n">
        <f aca="false">IF(LEFT(Cockpit!$C$5,1)="A",H214,IF(CA214=1,CB214,IF(LEFT(Cockpit!$C$5,1)="B",AJ214,MAX(AJ214,H214))))</f>
        <v>50</v>
      </c>
      <c r="AG214" s="57" t="n">
        <f aca="false">IF(BT214=1,0,ROUNDUP(AF214/BS214,0))</f>
        <v>1</v>
      </c>
      <c r="AH214" s="59" t="n">
        <f aca="false">IF(CH214&gt;0,CH214*MAX(1,AF214/X214),IF(BT214=1,IF(AF214&lt;=0,0,BW214*MAX(1,IF(H214&gt;0,AF214/H214,1))),IF(R214&gt;0,AG214/R214,0))/MAX(0.1,N(Parameter!$M$21)))</f>
        <v>0.0384615384615385</v>
      </c>
      <c r="AI214" s="57" t="n">
        <f aca="false">AF214*G214</f>
        <v>710</v>
      </c>
      <c r="AJ214" s="57" t="n">
        <f aca="false">ROUNDUP(MAX(J214/IF(BZ214&gt;0,BZ214,MAX(0.1,N(Cockpit!$C$6))),CC214)/BS214,0)*BS214</f>
        <v>50</v>
      </c>
      <c r="AK214" s="58" t="n">
        <f aca="false">IF(AH214&gt;0,J214/AH214,-1)</f>
        <v>0</v>
      </c>
      <c r="AL214" s="58" t="n">
        <f aca="false">IF(AND(OR(BY214="L1",BY214="L23"),AH214&gt;0),SUMIFS($AH$7:$AH$1843,$BY$7:$BY$1843,BY214,$AK$7:$AK$1843,"&gt;"&amp;AK214)+SUMIFS($AH$7:$AH$1843,$BY$7:$BY$1843,BY214,$AK$7:$AK$1843,AK214,$BQ$7:$BQ$1843,"&lt;="&amp;BQ214),"")</f>
        <v>70.5868213911692</v>
      </c>
      <c r="AM214" s="65" t="n">
        <f aca="false">IF(AL214="",0,MAX(0,MIN(1,(IF(BY214="L1",Parameter!$E$5,Parameter!$E$6+Parameter!$E$7)-(AL214-AH214))/AH214)))</f>
        <v>1</v>
      </c>
      <c r="AN214" s="57" t="n">
        <f aca="false">IF(LEFT(Cockpit!$I$5,1)="A",H214,IF(CA214=1,CB214,IF(LEFT(Cockpit!$I$5,1)="B",AR214,MAX(AR214,H214))))</f>
        <v>50</v>
      </c>
      <c r="AO214" s="57" t="n">
        <f aca="false">IF(BT214=1,0,ROUNDUP(AN214/BS214,0))</f>
        <v>1</v>
      </c>
      <c r="AP214" s="59" t="n">
        <f aca="false">IF(CH214&gt;0,CH214*MAX(1,AN214/X214),IF(BT214=1,IF(AN214&lt;=0,0,BW214*MAX(1,IF(H214&gt;0,AN214/H214,1))),IF(R214&gt;0,AO214/R214,0))/MAX(0.1,N(Parameter!$M$21)))</f>
        <v>0.0384615384615385</v>
      </c>
      <c r="AQ214" s="57" t="n">
        <f aca="false">AN214*G214</f>
        <v>710</v>
      </c>
      <c r="AR214" s="57" t="n">
        <f aca="false">ROUNDUP(MAX(J214/IF(BZ214&gt;0,BZ214,MAX(0.1,N(Cockpit!$I$6))),CC214)/BS214,0)*BS214</f>
        <v>50</v>
      </c>
      <c r="AS214" s="58" t="n">
        <f aca="false">IF(AP214&gt;0,J214/AP214,-1)</f>
        <v>0</v>
      </c>
      <c r="AT214" s="58" t="n">
        <f aca="false">IF(AND(OR(BY214="L1",BY214="L23"),AP214&gt;0),SUMIFS($AP$7:$AP$1843,$BY$7:$BY$1843,BY214,$AS$7:$AS$1843,"&gt;"&amp;AS214)+SUMIFS($AP$7:$AP$1843,$BY$7:$BY$1843,BY214,$AS$7:$AS$1843,AS214,$BQ$7:$BQ$1843,"&lt;="&amp;BQ214),"")</f>
        <v>110.010945576163</v>
      </c>
      <c r="AU214" s="65" t="n">
        <f aca="false">IF(AT214="",0,MAX(0,MIN(1,(IF(BY214="L1",Parameter!$E$5,Parameter!$E$6+Parameter!$E$7)-(AT214-AP214))/AP214)))</f>
        <v>0</v>
      </c>
      <c r="AV214" s="57" t="n">
        <f aca="false">IF(LEFT(Cockpit!$O$5,1)="A",H214,IF(CA214=1,CB214,IF(LEFT(Cockpit!$O$5,1)="B",AZ214,MAX(AZ214,H214))))</f>
        <v>50</v>
      </c>
      <c r="AW214" s="57" t="n">
        <f aca="false">IF(BT214=1,0,ROUNDUP(AV214/BS214,0))</f>
        <v>1</v>
      </c>
      <c r="AX214" s="59" t="n">
        <f aca="false">IF(CH214&gt;0,CH214*MAX(1,AV214/X214),IF(BT214=1,IF(AV214&lt;=0,0,BW214*MAX(1,IF(H214&gt;0,AV214/H214,1))),IF(R214&gt;0,AW214/R214,0))/MAX(0.1,N(Parameter!$M$21)))</f>
        <v>0.0384615384615385</v>
      </c>
      <c r="AY214" s="57" t="n">
        <f aca="false">AV214*G214</f>
        <v>710</v>
      </c>
      <c r="AZ214" s="57" t="n">
        <f aca="false">ROUNDUP(MAX(J214/IF(BZ214&gt;0,BZ214,MAX(0.1,N(Cockpit!$O$6))),CC214)/BS214,0)*BS214</f>
        <v>50</v>
      </c>
      <c r="BA214" s="58" t="n">
        <f aca="false">IF(AX214&gt;0,J214/AX214,-1)</f>
        <v>0</v>
      </c>
      <c r="BB214" s="58" t="n">
        <f aca="false">IF(AND(OR(BY214="L1",BY214="L23"),AX214&gt;0),SUMIFS($AX$7:$AX$1843,$BY$7:$BY$1843,BY214,$BA$7:$BA$1843,"&gt;"&amp;BA214)+SUMIFS($AX$7:$AX$1843,$BY$7:$BY$1843,BY214,$BA$7:$BA$1843,BA214,$BQ$7:$BQ$1843,"&lt;="&amp;BQ214),"")</f>
        <v>100.840782406</v>
      </c>
      <c r="BC214" s="65" t="n">
        <f aca="false">IF(BB214="",0,MAX(0,MIN(1,(IF(BY214="L1",Parameter!$E$5,Parameter!$E$6+Parameter!$E$7)-(BB214-AX214))/AX214)))</f>
        <v>0</v>
      </c>
      <c r="BD214" s="55" t="str">
        <f aca="false">IF(AH214&lt;=0,"",IF(BY214="Aussen","Aussenlager",IF(BY214="-","Nicht im Lift",IF(AM214&gt;=1,"Lift",IF(AM214&lt;=0,"Aussenlager","teilweise")))))</f>
        <v>Lift</v>
      </c>
      <c r="BE214" s="55" t="str">
        <f aca="false">IF(AP214&lt;=0,"",IF(BY214="Aussen","Aussenlager",IF(BY214="-","Nicht im Lift",IF(AU214&gt;=1,"Lift",IF(AU214&lt;=0,"Aussenlager","teilweise")))))</f>
        <v>Aussenlager</v>
      </c>
      <c r="BF214" s="55" t="str">
        <f aca="false">IF(AX214&lt;=0,"",IF(BY214="Aussen","Aussenlager",IF(BY214="-","Nicht im Lift",IF(BC214&gt;=1,"Lift",IF(BC214&lt;=0,"Aussenlager","teilweise")))))</f>
        <v>Aussenlager</v>
      </c>
      <c r="BG214" s="55" t="str">
        <f aca="false">IF(A214="","",IF(BP214=1,"Neu; ","")&amp;IF(AND(BP214=0,BK214&lt;0),"negativer Bestand (Export "&amp;BK214&amp;"); ","")&amp;IF(J214&lt;=0,"Kein Verbrauch; ","")&amp;IF(CH214&gt;0,"Lift "&amp;W214&amp;" lt. Liftbericht (Fach "&amp;X214&amp;" Stk); ",IF(BU214=1,"Gebinde geschätzt ("&amp;T214&amp;"); ",IF(BT214=1,"Lose – Tablare geschätzt; ","")))&amp;IF(H214&gt;AR214,"Überbestand "&amp;ROUND(H214-AR214,0)&amp;" Stk / CHF "&amp;ROUND((H214-AR214)*G214,0)&amp;"; ","")&amp;IF(AND(CA214=1,CB214&lt;CC214),"MAX &lt; MB+LG; ","")&amp;IF(AND(CG214&gt;0,CF214*10&gt;CG214),"zu hoch für Tablar; ","")&amp;IF(AND(BP214=0,OR(CA214=1,AA214&lt;&gt;"",U214&lt;&gt;"",V214&lt;&gt;"",AB214&lt;&gt;"")),"manuell übersteuert; ","")&amp;IF(AND(BT214=0,R214=0),"Gebinde unbekannt / Stellmass fehlt; ","")&amp;IF(AND(BT214=0,N(V214)&lt;=0,N(Q214)&lt;=0),"Menge pro Gebinde fehlt (Ist = 1 Gebinde); ","")&amp;BO214)</f>
        <v>Kein Verbrauch; Gebinde geschätzt (Klein); Menge pro Gebinde fehlt (Ist = 1 Gebinde); </v>
      </c>
      <c r="BH214" s="55"/>
      <c r="BI214" s="55"/>
      <c r="BJ214" s="62"/>
      <c r="BK214" s="57" t="n">
        <v>50</v>
      </c>
      <c r="BL214" s="57" t="n">
        <v>0</v>
      </c>
      <c r="BM214" s="56" t="n">
        <v>710</v>
      </c>
      <c r="BN214" s="57" t="n">
        <v>0</v>
      </c>
      <c r="BO214" s="55"/>
      <c r="BP214" s="60" t="n">
        <v>0</v>
      </c>
      <c r="BQ214" s="60" t="n">
        <v>214</v>
      </c>
      <c r="BR214" s="55" t="str">
        <f aca="false">IF(U214&lt;&gt;"",UPPER(TRIM(U214)),IF(BU214=1,UPPER(VLOOKUP(T214,Parameter!$I$27:$K$29,2,0)),IF(P214="","LOSE",P214)))</f>
        <v>S51</v>
      </c>
      <c r="BS214" s="57" t="n">
        <f aca="false">IF(BR214="LOSE",1,IF(N(V214)&gt;0,V214,IF(BU214=1,MAX(1,N(VLOOKUP(T214,Parameter!$I$27:$K$29,3,0)),H214,N(N214)),IF(N(Q214)&gt;0,Q214,MAX(1,H214)))))</f>
        <v>50</v>
      </c>
      <c r="BT214" s="60" t="n">
        <f aca="false">IF(BR214="LOSE",1,0)</f>
        <v>0</v>
      </c>
      <c r="BU214" s="60" t="n">
        <f aca="false">IF(AND(U214="",OR(P214="",P214="LOSE"),T214&lt;&gt;"",N(S214)&lt;=0,ISNUMBER(MATCH(T214,Parameter!$I$27:$I$29,0))),1,0)</f>
        <v>1</v>
      </c>
      <c r="BV214" s="55" t="str">
        <f aca="false">IF(AND(Parameter!$B$19="Ja",E214&lt;&gt;"",ISNUMBER(MATCH(E214,Parameter!$I$35:$I$52,0))),VLOOKUP(E214,Parameter!$I$35:$J$52,2,0),IFERROR(VLOOKUP(D214,Parameter!$A$35:$C$64,2,0),"Nein"))</f>
        <v>2+3</v>
      </c>
      <c r="BW214" s="59" t="n">
        <f aca="false">IF(BT214=0,0,IF(N(S214)&gt;0,S214,IFERROR(VLOOKUP(D214,Parameter!$A$35:$C$64,3,0)+0,0)))</f>
        <v>0</v>
      </c>
      <c r="BX214" s="55" t="n">
        <f aca="false">IF(AA214&lt;&gt;"",AA214,Z214)</f>
        <v>3</v>
      </c>
      <c r="BY214" s="55" t="str">
        <f aca="false">IF(BX214=1,"L1",IF(OR(BX214=2,BX214=3),"L23",IF(BX214="Aussen","Aussen","-")))</f>
        <v>L23</v>
      </c>
      <c r="BZ214" s="66" t="n">
        <f aca="false">IF(N(AB214)&gt;0,AB214,0)</f>
        <v>0</v>
      </c>
      <c r="CA214" s="60" t="n">
        <f aca="false">IF(ISNUMBER(AE214),1,0)</f>
        <v>0</v>
      </c>
      <c r="CB214" s="57" t="n">
        <f aca="false">N(AE214)</f>
        <v>0</v>
      </c>
      <c r="CC214" s="57" t="n">
        <f aca="false">N(M214)+N(N214)</f>
        <v>1</v>
      </c>
      <c r="CD214" s="57" t="n">
        <f aca="false">ROUNDUP(H214/BS214,0)</f>
        <v>1</v>
      </c>
      <c r="CE214" s="57" t="n">
        <f aca="false">ROUNDUP(CB214/BS214,0)</f>
        <v>0</v>
      </c>
      <c r="CF214" s="60" t="n">
        <f aca="false">IF(BT214=1,0,IFERROR(VLOOKUP(BR214,'Gebinde-Kategorie'!$A$5:$M$45,5,0)+0,0))</f>
        <v>11</v>
      </c>
      <c r="CG214" s="60" t="n">
        <f aca="false">IFERROR(IF(OR(BX214=1,BX214=2,BX214=3),N(INDEX(Parameter!$I$5:$I$7,BX214)),0),0)</f>
        <v>0</v>
      </c>
      <c r="CH214" s="59" t="n">
        <f aca="false">IF(AND(Parameter!$B$21="Ja",ISNUMBER(W214),N(X214)&gt;0),IFERROR(N(INDEX(Parameter!$L$5:$L$7,W214))*INDEX(Parameter!$E$5:$E$7,W214)*X214/SUMIFS($X$7:$X$1843,$W$7:$W$1843,W214),0),0)</f>
        <v>0</v>
      </c>
    </row>
    <row r="215" customFormat="false" ht="15" hidden="false" customHeight="false" outlineLevel="0" collapsed="false">
      <c r="A215" s="55" t="s">
        <v>624</v>
      </c>
      <c r="B215" s="55" t="s">
        <v>383</v>
      </c>
      <c r="C215" s="55" t="s">
        <v>164</v>
      </c>
      <c r="D215" s="55" t="s">
        <v>184</v>
      </c>
      <c r="E215" s="55" t="s">
        <v>185</v>
      </c>
      <c r="F215" s="55" t="s">
        <v>218</v>
      </c>
      <c r="G215" s="56" t="n">
        <v>223.2</v>
      </c>
      <c r="H215" s="57" t="n">
        <f aca="false">MAX(0,IF(AND(Parameter!$B$21="Ja",ISNUMBER(Y215)),Y215,IF(Parameter!$B$20="Jahresanfang 2025 + Export",BL215+BK215,BK215)))</f>
        <v>10</v>
      </c>
      <c r="I215" s="57" t="n">
        <f aca="false">H215*G215</f>
        <v>2232</v>
      </c>
      <c r="J215" s="57" t="n">
        <f aca="false">BN215*Parameter!$B$18</f>
        <v>22</v>
      </c>
      <c r="K215" s="58" t="n">
        <v>6.5</v>
      </c>
      <c r="L215" s="59" t="n">
        <v>3.38461538461539</v>
      </c>
      <c r="M215" s="57" t="n">
        <v>1</v>
      </c>
      <c r="N215" s="57" t="n">
        <v>5</v>
      </c>
      <c r="O215" s="60" t="n">
        <v>21</v>
      </c>
      <c r="P215" s="55" t="s">
        <v>293</v>
      </c>
      <c r="Q215" s="57" t="n">
        <v>18</v>
      </c>
      <c r="R215" s="60" t="n">
        <f aca="false">IF(BT215=1,0,IFERROR(VLOOKUP(BR215,'Gebinde-Kategorie'!$A$5:$M$45,13,0)+0,0))</f>
        <v>12</v>
      </c>
      <c r="S215" s="61"/>
      <c r="T215" s="62"/>
      <c r="U215" s="62"/>
      <c r="V215" s="62"/>
      <c r="W215" s="55"/>
      <c r="X215" s="57"/>
      <c r="Y215" s="57"/>
      <c r="Z215" s="55" t="n">
        <f aca="false">IF(A215="","",IF(AND(Parameter!$B$21="Ja",ISNUMBER(W215)),W215,IF(BV215="2+3",IF(ISNUMBER(SEARCH("grosser Artikel",BO215)),2,IFERROR(VLOOKUP(BR215,Parameter!$F$35:$G$64,2,0),2)),IF(OR(BV215="Nein",BV215=""),"-",BV215))))</f>
        <v>2</v>
      </c>
      <c r="AA215" s="62"/>
      <c r="AB215" s="63"/>
      <c r="AC215" s="57" t="n">
        <f aca="false">AR215</f>
        <v>18</v>
      </c>
      <c r="AD215" s="57" t="n">
        <f aca="false">MAX(AR215,H215)</f>
        <v>18</v>
      </c>
      <c r="AE215" s="64"/>
      <c r="AF215" s="57" t="n">
        <f aca="false">IF(LEFT(Cockpit!$C$5,1)="A",H215,IF(CA215=1,CB215,IF(LEFT(Cockpit!$C$5,1)="B",AJ215,MAX(AJ215,H215))))</f>
        <v>10</v>
      </c>
      <c r="AG215" s="57" t="n">
        <f aca="false">IF(BT215=1,0,ROUNDUP(AF215/BS215,0))</f>
        <v>1</v>
      </c>
      <c r="AH215" s="59" t="n">
        <f aca="false">IF(CH215&gt;0,CH215*MAX(1,AF215/X215),IF(BT215=1,IF(AF215&lt;=0,0,BW215*MAX(1,IF(H215&gt;0,AF215/H215,1))),IF(R215&gt;0,AG215/R215,0))/MAX(0.1,N(Parameter!$M$21)))</f>
        <v>0.0833333333333333</v>
      </c>
      <c r="AI215" s="57" t="n">
        <f aca="false">AF215*G215</f>
        <v>2232</v>
      </c>
      <c r="AJ215" s="57" t="n">
        <f aca="false">ROUNDUP(MAX(J215/IF(BZ215&gt;0,BZ215,MAX(0.1,N(Cockpit!$C$6))),CC215)/BS215,0)*BS215</f>
        <v>18</v>
      </c>
      <c r="AK215" s="58" t="n">
        <f aca="false">IF(AH215&gt;0,J215/AH215,-1)</f>
        <v>264</v>
      </c>
      <c r="AL215" s="58" t="n">
        <f aca="false">IF(AND(OR(BY215="L1",BY215="L23"),AH215&gt;0),SUMIFS($AH$7:$AH$1843,$BY$7:$BY$1843,BY215,$AK$7:$AK$1843,"&gt;"&amp;AK215)+SUMIFS($AH$7:$AH$1843,$BY$7:$BY$1843,BY215,$AK$7:$AK$1843,AK215,$BQ$7:$BQ$1843,"&lt;="&amp;BQ215),"")</f>
        <v>29.0810952332691</v>
      </c>
      <c r="AM215" s="65" t="n">
        <f aca="false">IF(AL215="",0,MAX(0,MIN(1,(IF(BY215="L1",Parameter!$E$5,Parameter!$E$6+Parameter!$E$7)-(AL215-AH215))/AH215)))</f>
        <v>1</v>
      </c>
      <c r="AN215" s="57" t="n">
        <f aca="false">IF(LEFT(Cockpit!$I$5,1)="A",H215,IF(CA215=1,CB215,IF(LEFT(Cockpit!$I$5,1)="B",AR215,MAX(AR215,H215))))</f>
        <v>18</v>
      </c>
      <c r="AO215" s="57" t="n">
        <f aca="false">IF(BT215=1,0,ROUNDUP(AN215/BS215,0))</f>
        <v>1</v>
      </c>
      <c r="AP215" s="59" t="n">
        <f aca="false">IF(CH215&gt;0,CH215*MAX(1,AN215/X215),IF(BT215=1,IF(AN215&lt;=0,0,BW215*MAX(1,IF(H215&gt;0,AN215/H215,1))),IF(R215&gt;0,AO215/R215,0))/MAX(0.1,N(Parameter!$M$21)))</f>
        <v>0.0833333333333333</v>
      </c>
      <c r="AQ215" s="57" t="n">
        <f aca="false">AN215*G215</f>
        <v>4017.6</v>
      </c>
      <c r="AR215" s="57" t="n">
        <f aca="false">ROUNDUP(MAX(J215/IF(BZ215&gt;0,BZ215,MAX(0.1,N(Cockpit!$I$6))),CC215)/BS215,0)*BS215</f>
        <v>18</v>
      </c>
      <c r="AS215" s="58" t="n">
        <f aca="false">IF(AP215&gt;0,J215/AP215,-1)</f>
        <v>264</v>
      </c>
      <c r="AT215" s="58" t="n">
        <f aca="false">IF(AND(OR(BY215="L1",BY215="L23"),AP215&gt;0),SUMIFS($AP$7:$AP$1843,$BY$7:$BY$1843,BY215,$AS$7:$AS$1843,"&gt;"&amp;AS215)+SUMIFS($AP$7:$AP$1843,$BY$7:$BY$1843,BY215,$AS$7:$AS$1843,AS215,$BQ$7:$BQ$1843,"&lt;="&amp;BQ215),"")</f>
        <v>42.2598814229249</v>
      </c>
      <c r="AU215" s="65" t="n">
        <f aca="false">IF(AT215="",0,MAX(0,MIN(1,(IF(BY215="L1",Parameter!$E$5,Parameter!$E$6+Parameter!$E$7)-(AT215-AP215))/AP215)))</f>
        <v>1</v>
      </c>
      <c r="AV215" s="57" t="n">
        <f aca="false">IF(LEFT(Cockpit!$O$5,1)="A",H215,IF(CA215=1,CB215,IF(LEFT(Cockpit!$O$5,1)="B",AZ215,MAX(AZ215,H215))))</f>
        <v>18</v>
      </c>
      <c r="AW215" s="57" t="n">
        <f aca="false">IF(BT215=1,0,ROUNDUP(AV215/BS215,0))</f>
        <v>1</v>
      </c>
      <c r="AX215" s="59" t="n">
        <f aca="false">IF(CH215&gt;0,CH215*MAX(1,AV215/X215),IF(BT215=1,IF(AV215&lt;=0,0,BW215*MAX(1,IF(H215&gt;0,AV215/H215,1))),IF(R215&gt;0,AW215/R215,0))/MAX(0.1,N(Parameter!$M$21)))</f>
        <v>0.0833333333333333</v>
      </c>
      <c r="AY215" s="57" t="n">
        <f aca="false">AV215*G215</f>
        <v>4017.6</v>
      </c>
      <c r="AZ215" s="57" t="n">
        <f aca="false">ROUNDUP(MAX(J215/IF(BZ215&gt;0,BZ215,MAX(0.1,N(Cockpit!$O$6))),CC215)/BS215,0)*BS215</f>
        <v>18</v>
      </c>
      <c r="BA215" s="58" t="n">
        <f aca="false">IF(AX215&gt;0,J215/AX215,-1)</f>
        <v>264</v>
      </c>
      <c r="BB215" s="58" t="n">
        <f aca="false">IF(AND(OR(BY215="L1",BY215="L23"),AX215&gt;0),SUMIFS($AX$7:$AX$1843,$BY$7:$BY$1843,BY215,$BA$7:$BA$1843,"&gt;"&amp;BA215)+SUMIFS($AX$7:$AX$1843,$BY$7:$BY$1843,BY215,$BA$7:$BA$1843,BA215,$BQ$7:$BQ$1843,"&lt;="&amp;BQ215),"")</f>
        <v>38.5897182527617</v>
      </c>
      <c r="BC215" s="65" t="n">
        <f aca="false">IF(BB215="",0,MAX(0,MIN(1,(IF(BY215="L1",Parameter!$E$5,Parameter!$E$6+Parameter!$E$7)-(BB215-AX215))/AX215)))</f>
        <v>1</v>
      </c>
      <c r="BD215" s="55" t="str">
        <f aca="false">IF(AH215&lt;=0,"",IF(BY215="Aussen","Aussenlager",IF(BY215="-","Nicht im Lift",IF(AM215&gt;=1,"Lift",IF(AM215&lt;=0,"Aussenlager","teilweise")))))</f>
        <v>Lift</v>
      </c>
      <c r="BE215" s="55" t="str">
        <f aca="false">IF(AP215&lt;=0,"",IF(BY215="Aussen","Aussenlager",IF(BY215="-","Nicht im Lift",IF(AU215&gt;=1,"Lift",IF(AU215&lt;=0,"Aussenlager","teilweise")))))</f>
        <v>Lift</v>
      </c>
      <c r="BF215" s="55" t="str">
        <f aca="false">IF(AX215&lt;=0,"",IF(BY215="Aussen","Aussenlager",IF(BY215="-","Nicht im Lift",IF(BC215&gt;=1,"Lift",IF(BC215&lt;=0,"Aussenlager","teilweise")))))</f>
        <v>Lift</v>
      </c>
      <c r="BG215" s="55" t="str">
        <f aca="false">IF(A215="","",IF(BP215=1,"Neu; ","")&amp;IF(AND(BP215=0,BK215&lt;0),"negativer Bestand (Export "&amp;BK215&amp;"); ","")&amp;IF(J215&lt;=0,"Kein Verbrauch; ","")&amp;IF(CH215&gt;0,"Lift "&amp;W215&amp;" lt. Liftbericht (Fach "&amp;X215&amp;" Stk); ",IF(BU215=1,"Gebinde geschätzt ("&amp;T215&amp;"); ",IF(BT215=1,"Lose – Tablare geschätzt; ","")))&amp;IF(H215&gt;AR215,"Überbestand "&amp;ROUND(H215-AR215,0)&amp;" Stk / CHF "&amp;ROUND((H215-AR215)*G215,0)&amp;"; ","")&amp;IF(AND(CA215=1,CB215&lt;CC215),"MAX &lt; MB+LG; ","")&amp;IF(AND(CG215&gt;0,CF215*10&gt;CG215),"zu hoch für Tablar; ","")&amp;IF(AND(BP215=0,OR(CA215=1,AA215&lt;&gt;"",U215&lt;&gt;"",V215&lt;&gt;"",AB215&lt;&gt;"")),"manuell übersteuert; ","")&amp;IF(AND(BT215=0,R215=0),"Gebinde unbekannt / Stellmass fehlt; ","")&amp;IF(AND(BT215=0,N(V215)&lt;=0,N(Q215)&lt;=0),"Menge pro Gebinde fehlt (Ist = 1 Gebinde); ","")&amp;BO215)</f>
        <v/>
      </c>
      <c r="BH215" s="55"/>
      <c r="BI215" s="55"/>
      <c r="BJ215" s="62"/>
      <c r="BK215" s="57" t="n">
        <v>3</v>
      </c>
      <c r="BL215" s="57" t="n">
        <v>7</v>
      </c>
      <c r="BM215" s="56" t="n">
        <v>705.600000000001</v>
      </c>
      <c r="BN215" s="57" t="n">
        <v>22</v>
      </c>
      <c r="BO215" s="55"/>
      <c r="BP215" s="60" t="n">
        <v>0</v>
      </c>
      <c r="BQ215" s="60" t="n">
        <v>215</v>
      </c>
      <c r="BR215" s="55" t="str">
        <f aca="false">IF(U215&lt;&gt;"",UPPER(TRIM(U215)),IF(BU215=1,UPPER(VLOOKUP(T215,Parameter!$I$27:$K$29,2,0)),IF(P215="","LOSE",P215)))</f>
        <v>S62</v>
      </c>
      <c r="BS215" s="57" t="n">
        <f aca="false">IF(BR215="LOSE",1,IF(N(V215)&gt;0,V215,IF(BU215=1,MAX(1,N(VLOOKUP(T215,Parameter!$I$27:$K$29,3,0)),H215,N(N215)),IF(N(Q215)&gt;0,Q215,MAX(1,H215)))))</f>
        <v>18</v>
      </c>
      <c r="BT215" s="60" t="n">
        <f aca="false">IF(BR215="LOSE",1,0)</f>
        <v>0</v>
      </c>
      <c r="BU215" s="60" t="n">
        <f aca="false">IF(AND(U215="",OR(P215="",P215="LOSE"),T215&lt;&gt;"",N(S215)&lt;=0,ISNUMBER(MATCH(T215,Parameter!$I$27:$I$29,0))),1,0)</f>
        <v>0</v>
      </c>
      <c r="BV215" s="55" t="str">
        <f aca="false">IF(AND(Parameter!$B$19="Ja",E215&lt;&gt;"",ISNUMBER(MATCH(E215,Parameter!$I$35:$I$52,0))),VLOOKUP(E215,Parameter!$I$35:$J$52,2,0),IFERROR(VLOOKUP(D215,Parameter!$A$35:$C$64,2,0),"Nein"))</f>
        <v>2+3</v>
      </c>
      <c r="BW215" s="59" t="n">
        <f aca="false">IF(BT215=0,0,IF(N(S215)&gt;0,S215,IFERROR(VLOOKUP(D215,Parameter!$A$35:$C$64,3,0)+0,0)))</f>
        <v>0</v>
      </c>
      <c r="BX215" s="55" t="n">
        <f aca="false">IF(AA215&lt;&gt;"",AA215,Z215)</f>
        <v>2</v>
      </c>
      <c r="BY215" s="55" t="str">
        <f aca="false">IF(BX215=1,"L1",IF(OR(BX215=2,BX215=3),"L23",IF(BX215="Aussen","Aussen","-")))</f>
        <v>L23</v>
      </c>
      <c r="BZ215" s="66" t="n">
        <f aca="false">IF(N(AB215)&gt;0,AB215,0)</f>
        <v>0</v>
      </c>
      <c r="CA215" s="60" t="n">
        <f aca="false">IF(ISNUMBER(AE215),1,0)</f>
        <v>0</v>
      </c>
      <c r="CB215" s="57" t="n">
        <f aca="false">N(AE215)</f>
        <v>0</v>
      </c>
      <c r="CC215" s="57" t="n">
        <f aca="false">N(M215)+N(N215)</f>
        <v>6</v>
      </c>
      <c r="CD215" s="57" t="n">
        <f aca="false">ROUNDUP(H215/BS215,0)</f>
        <v>1</v>
      </c>
      <c r="CE215" s="57" t="n">
        <f aca="false">ROUNDUP(CB215/BS215,0)</f>
        <v>0</v>
      </c>
      <c r="CF215" s="60" t="n">
        <f aca="false">IF(BT215=1,0,IFERROR(VLOOKUP(BR215,'Gebinde-Kategorie'!$A$5:$M$45,5,0)+0,0))</f>
        <v>21</v>
      </c>
      <c r="CG215" s="60" t="n">
        <f aca="false">IFERROR(IF(OR(BX215=1,BX215=2,BX215=3),N(INDEX(Parameter!$I$5:$I$7,BX215)),0),0)</f>
        <v>0</v>
      </c>
      <c r="CH215" s="59" t="n">
        <f aca="false">IF(AND(Parameter!$B$21="Ja",ISNUMBER(W215),N(X215)&gt;0),IFERROR(N(INDEX(Parameter!$L$5:$L$7,W215))*INDEX(Parameter!$E$5:$E$7,W215)*X215/SUMIFS($X$7:$X$1843,$W$7:$W$1843,W215),0),0)</f>
        <v>0</v>
      </c>
    </row>
    <row r="216" customFormat="false" ht="15" hidden="false" customHeight="false" outlineLevel="0" collapsed="false">
      <c r="A216" s="55" t="s">
        <v>625</v>
      </c>
      <c r="B216" s="55" t="s">
        <v>507</v>
      </c>
      <c r="C216" s="55" t="s">
        <v>164</v>
      </c>
      <c r="D216" s="55" t="s">
        <v>184</v>
      </c>
      <c r="E216" s="55" t="s">
        <v>185</v>
      </c>
      <c r="F216" s="55" t="s">
        <v>218</v>
      </c>
      <c r="G216" s="56" t="n">
        <v>29.19</v>
      </c>
      <c r="H216" s="57" t="n">
        <f aca="false">MAX(0,IF(AND(Parameter!$B$21="Ja",ISNUMBER(Y216)),Y216,IF(Parameter!$B$20="Jahresanfang 2025 + Export",BL216+BK216,BK216)))</f>
        <v>39</v>
      </c>
      <c r="I216" s="57" t="n">
        <f aca="false">H216*G216</f>
        <v>1138.41</v>
      </c>
      <c r="J216" s="57" t="n">
        <f aca="false">BN216*Parameter!$B$18</f>
        <v>0</v>
      </c>
      <c r="K216" s="58" t="n">
        <v>27</v>
      </c>
      <c r="L216" s="59" t="n">
        <v>0</v>
      </c>
      <c r="M216" s="57" t="n">
        <v>0</v>
      </c>
      <c r="N216" s="57" t="n">
        <v>1</v>
      </c>
      <c r="O216" s="60" t="n">
        <v>21</v>
      </c>
      <c r="P216" s="55" t="s">
        <v>233</v>
      </c>
      <c r="Q216" s="57" t="n">
        <v>24</v>
      </c>
      <c r="R216" s="60" t="n">
        <f aca="false">IF(BT216=1,0,IFERROR(VLOOKUP(BR216,'Gebinde-Kategorie'!$A$5:$M$45,13,0)+0,0))</f>
        <v>26</v>
      </c>
      <c r="S216" s="61"/>
      <c r="T216" s="62"/>
      <c r="U216" s="62"/>
      <c r="V216" s="62"/>
      <c r="W216" s="55"/>
      <c r="X216" s="57"/>
      <c r="Y216" s="57"/>
      <c r="Z216" s="55" t="n">
        <f aca="false">IF(A216="","",IF(AND(Parameter!$B$21="Ja",ISNUMBER(W216)),W216,IF(BV216="2+3",IF(ISNUMBER(SEARCH("grosser Artikel",BO216)),2,IFERROR(VLOOKUP(BR216,Parameter!$F$35:$G$64,2,0),2)),IF(OR(BV216="Nein",BV216=""),"-",BV216))))</f>
        <v>3</v>
      </c>
      <c r="AA216" s="62"/>
      <c r="AB216" s="63"/>
      <c r="AC216" s="57" t="n">
        <f aca="false">AR216</f>
        <v>24</v>
      </c>
      <c r="AD216" s="57" t="n">
        <f aca="false">MAX(AR216,H216)</f>
        <v>39</v>
      </c>
      <c r="AE216" s="64"/>
      <c r="AF216" s="57" t="n">
        <f aca="false">IF(LEFT(Cockpit!$C$5,1)="A",H216,IF(CA216=1,CB216,IF(LEFT(Cockpit!$C$5,1)="B",AJ216,MAX(AJ216,H216))))</f>
        <v>39</v>
      </c>
      <c r="AG216" s="57" t="n">
        <f aca="false">IF(BT216=1,0,ROUNDUP(AF216/BS216,0))</f>
        <v>2</v>
      </c>
      <c r="AH216" s="59" t="n">
        <f aca="false">IF(CH216&gt;0,CH216*MAX(1,AF216/X216),IF(BT216=1,IF(AF216&lt;=0,0,BW216*MAX(1,IF(H216&gt;0,AF216/H216,1))),IF(R216&gt;0,AG216/R216,0))/MAX(0.1,N(Parameter!$M$21)))</f>
        <v>0.0769230769230769</v>
      </c>
      <c r="AI216" s="57" t="n">
        <f aca="false">AF216*G216</f>
        <v>1138.41</v>
      </c>
      <c r="AJ216" s="57" t="n">
        <f aca="false">ROUNDUP(MAX(J216/IF(BZ216&gt;0,BZ216,MAX(0.1,N(Cockpit!$C$6))),CC216)/BS216,0)*BS216</f>
        <v>24</v>
      </c>
      <c r="AK216" s="58" t="n">
        <f aca="false">IF(AH216&gt;0,J216/AH216,-1)</f>
        <v>0</v>
      </c>
      <c r="AL216" s="58" t="n">
        <f aca="false">IF(AND(OR(BY216="L1",BY216="L23"),AH216&gt;0),SUMIFS($AH$7:$AH$1843,$BY$7:$BY$1843,BY216,$AK$7:$AK$1843,"&gt;"&amp;AK216)+SUMIFS($AH$7:$AH$1843,$BY$7:$BY$1843,BY216,$AK$7:$AK$1843,AK216,$BQ$7:$BQ$1843,"&lt;="&amp;BQ216),"")</f>
        <v>70.6637444680923</v>
      </c>
      <c r="AM216" s="65" t="n">
        <f aca="false">IF(AL216="",0,MAX(0,MIN(1,(IF(BY216="L1",Parameter!$E$5,Parameter!$E$6+Parameter!$E$7)-(AL216-AH216))/AH216)))</f>
        <v>1</v>
      </c>
      <c r="AN216" s="57" t="n">
        <f aca="false">IF(LEFT(Cockpit!$I$5,1)="A",H216,IF(CA216=1,CB216,IF(LEFT(Cockpit!$I$5,1)="B",AR216,MAX(AR216,H216))))</f>
        <v>39</v>
      </c>
      <c r="AO216" s="57" t="n">
        <f aca="false">IF(BT216=1,0,ROUNDUP(AN216/BS216,0))</f>
        <v>2</v>
      </c>
      <c r="AP216" s="59" t="n">
        <f aca="false">IF(CH216&gt;0,CH216*MAX(1,AN216/X216),IF(BT216=1,IF(AN216&lt;=0,0,BW216*MAX(1,IF(H216&gt;0,AN216/H216,1))),IF(R216&gt;0,AO216/R216,0))/MAX(0.1,N(Parameter!$M$21)))</f>
        <v>0.0769230769230769</v>
      </c>
      <c r="AQ216" s="57" t="n">
        <f aca="false">AN216*G216</f>
        <v>1138.41</v>
      </c>
      <c r="AR216" s="57" t="n">
        <f aca="false">ROUNDUP(MAX(J216/IF(BZ216&gt;0,BZ216,MAX(0.1,N(Cockpit!$I$6))),CC216)/BS216,0)*BS216</f>
        <v>24</v>
      </c>
      <c r="AS216" s="58" t="n">
        <f aca="false">IF(AP216&gt;0,J216/AP216,-1)</f>
        <v>0</v>
      </c>
      <c r="AT216" s="58" t="n">
        <f aca="false">IF(AND(OR(BY216="L1",BY216="L23"),AP216&gt;0),SUMIFS($AP$7:$AP$1843,$BY$7:$BY$1843,BY216,$AS$7:$AS$1843,"&gt;"&amp;AS216)+SUMIFS($AP$7:$AP$1843,$BY$7:$BY$1843,BY216,$AS$7:$AS$1843,AS216,$BQ$7:$BQ$1843,"&lt;="&amp;BQ216),"")</f>
        <v>110.087868653086</v>
      </c>
      <c r="AU216" s="65" t="n">
        <f aca="false">IF(AT216="",0,MAX(0,MIN(1,(IF(BY216="L1",Parameter!$E$5,Parameter!$E$6+Parameter!$E$7)-(AT216-AP216))/AP216)))</f>
        <v>0</v>
      </c>
      <c r="AV216" s="57" t="n">
        <f aca="false">IF(LEFT(Cockpit!$O$5,1)="A",H216,IF(CA216=1,CB216,IF(LEFT(Cockpit!$O$5,1)="B",AZ216,MAX(AZ216,H216))))</f>
        <v>39</v>
      </c>
      <c r="AW216" s="57" t="n">
        <f aca="false">IF(BT216=1,0,ROUNDUP(AV216/BS216,0))</f>
        <v>2</v>
      </c>
      <c r="AX216" s="59" t="n">
        <f aca="false">IF(CH216&gt;0,CH216*MAX(1,AV216/X216),IF(BT216=1,IF(AV216&lt;=0,0,BW216*MAX(1,IF(H216&gt;0,AV216/H216,1))),IF(R216&gt;0,AW216/R216,0))/MAX(0.1,N(Parameter!$M$21)))</f>
        <v>0.0769230769230769</v>
      </c>
      <c r="AY216" s="57" t="n">
        <f aca="false">AV216*G216</f>
        <v>1138.41</v>
      </c>
      <c r="AZ216" s="57" t="n">
        <f aca="false">ROUNDUP(MAX(J216/IF(BZ216&gt;0,BZ216,MAX(0.1,N(Cockpit!$O$6))),CC216)/BS216,0)*BS216</f>
        <v>24</v>
      </c>
      <c r="BA216" s="58" t="n">
        <f aca="false">IF(AX216&gt;0,J216/AX216,-1)</f>
        <v>0</v>
      </c>
      <c r="BB216" s="58" t="n">
        <f aca="false">IF(AND(OR(BY216="L1",BY216="L23"),AX216&gt;0),SUMIFS($AX$7:$AX$1843,$BY$7:$BY$1843,BY216,$BA$7:$BA$1843,"&gt;"&amp;BA216)+SUMIFS($AX$7:$AX$1843,$BY$7:$BY$1843,BY216,$BA$7:$BA$1843,BA216,$BQ$7:$BQ$1843,"&lt;="&amp;BQ216),"")</f>
        <v>100.917705482923</v>
      </c>
      <c r="BC216" s="65" t="n">
        <f aca="false">IF(BB216="",0,MAX(0,MIN(1,(IF(BY216="L1",Parameter!$E$5,Parameter!$E$6+Parameter!$E$7)-(BB216-AX216))/AX216)))</f>
        <v>0</v>
      </c>
      <c r="BD216" s="55" t="str">
        <f aca="false">IF(AH216&lt;=0,"",IF(BY216="Aussen","Aussenlager",IF(BY216="-","Nicht im Lift",IF(AM216&gt;=1,"Lift",IF(AM216&lt;=0,"Aussenlager","teilweise")))))</f>
        <v>Lift</v>
      </c>
      <c r="BE216" s="55" t="str">
        <f aca="false">IF(AP216&lt;=0,"",IF(BY216="Aussen","Aussenlager",IF(BY216="-","Nicht im Lift",IF(AU216&gt;=1,"Lift",IF(AU216&lt;=0,"Aussenlager","teilweise")))))</f>
        <v>Aussenlager</v>
      </c>
      <c r="BF216" s="55" t="str">
        <f aca="false">IF(AX216&lt;=0,"",IF(BY216="Aussen","Aussenlager",IF(BY216="-","Nicht im Lift",IF(BC216&gt;=1,"Lift",IF(BC216&lt;=0,"Aussenlager","teilweise")))))</f>
        <v>Aussenlager</v>
      </c>
      <c r="BG216" s="55" t="str">
        <f aca="false">IF(A216="","",IF(BP216=1,"Neu; ","")&amp;IF(AND(BP216=0,BK216&lt;0),"negativer Bestand (Export "&amp;BK216&amp;"); ","")&amp;IF(J216&lt;=0,"Kein Verbrauch; ","")&amp;IF(CH216&gt;0,"Lift "&amp;W216&amp;" lt. Liftbericht (Fach "&amp;X216&amp;" Stk); ",IF(BU216=1,"Gebinde geschätzt ("&amp;T216&amp;"); ",IF(BT216=1,"Lose – Tablare geschätzt; ","")))&amp;IF(H216&gt;AR216,"Überbestand "&amp;ROUND(H216-AR216,0)&amp;" Stk / CHF "&amp;ROUND((H216-AR216)*G216,0)&amp;"; ","")&amp;IF(AND(CA216=1,CB216&lt;CC216),"MAX &lt; MB+LG; ","")&amp;IF(AND(CG216&gt;0,CF216*10&gt;CG216),"zu hoch für Tablar; ","")&amp;IF(AND(BP216=0,OR(CA216=1,AA216&lt;&gt;"",U216&lt;&gt;"",V216&lt;&gt;"",AB216&lt;&gt;"")),"manuell übersteuert; ","")&amp;IF(AND(BT216=0,R216=0),"Gebinde unbekannt / Stellmass fehlt; ","")&amp;IF(AND(BT216=0,N(V216)&lt;=0,N(Q216)&lt;=0),"Menge pro Gebinde fehlt (Ist = 1 Gebinde); ","")&amp;BO216)</f>
        <v>Kein Verbrauch; Überbestand 15 Stk / CHF 438; Neu</v>
      </c>
      <c r="BH216" s="55"/>
      <c r="BI216" s="55"/>
      <c r="BJ216" s="62"/>
      <c r="BK216" s="57" t="n">
        <v>24</v>
      </c>
      <c r="BL216" s="57" t="n">
        <v>15</v>
      </c>
      <c r="BM216" s="56" t="n">
        <v>700.56</v>
      </c>
      <c r="BN216" s="57" t="n">
        <v>0</v>
      </c>
      <c r="BO216" s="55" t="s">
        <v>626</v>
      </c>
      <c r="BP216" s="60" t="n">
        <v>0</v>
      </c>
      <c r="BQ216" s="60" t="n">
        <v>216</v>
      </c>
      <c r="BR216" s="55" t="str">
        <f aca="false">IF(U216&lt;&gt;"",UPPER(TRIM(U216)),IF(BU216=1,UPPER(VLOOKUP(T216,Parameter!$I$27:$K$29,2,0)),IF(P216="","LOSE",P216)))</f>
        <v>S52</v>
      </c>
      <c r="BS216" s="57" t="n">
        <f aca="false">IF(BR216="LOSE",1,IF(N(V216)&gt;0,V216,IF(BU216=1,MAX(1,N(VLOOKUP(T216,Parameter!$I$27:$K$29,3,0)),H216,N(N216)),IF(N(Q216)&gt;0,Q216,MAX(1,H216)))))</f>
        <v>24</v>
      </c>
      <c r="BT216" s="60" t="n">
        <f aca="false">IF(BR216="LOSE",1,0)</f>
        <v>0</v>
      </c>
      <c r="BU216" s="60" t="n">
        <f aca="false">IF(AND(U216="",OR(P216="",P216="LOSE"),T216&lt;&gt;"",N(S216)&lt;=0,ISNUMBER(MATCH(T216,Parameter!$I$27:$I$29,0))),1,0)</f>
        <v>0</v>
      </c>
      <c r="BV216" s="55" t="str">
        <f aca="false">IF(AND(Parameter!$B$19="Ja",E216&lt;&gt;"",ISNUMBER(MATCH(E216,Parameter!$I$35:$I$52,0))),VLOOKUP(E216,Parameter!$I$35:$J$52,2,0),IFERROR(VLOOKUP(D216,Parameter!$A$35:$C$64,2,0),"Nein"))</f>
        <v>2+3</v>
      </c>
      <c r="BW216" s="59" t="n">
        <f aca="false">IF(BT216=0,0,IF(N(S216)&gt;0,S216,IFERROR(VLOOKUP(D216,Parameter!$A$35:$C$64,3,0)+0,0)))</f>
        <v>0</v>
      </c>
      <c r="BX216" s="55" t="n">
        <f aca="false">IF(AA216&lt;&gt;"",AA216,Z216)</f>
        <v>3</v>
      </c>
      <c r="BY216" s="55" t="str">
        <f aca="false">IF(BX216=1,"L1",IF(OR(BX216=2,BX216=3),"L23",IF(BX216="Aussen","Aussen","-")))</f>
        <v>L23</v>
      </c>
      <c r="BZ216" s="66" t="n">
        <f aca="false">IF(N(AB216)&gt;0,AB216,0)</f>
        <v>0</v>
      </c>
      <c r="CA216" s="60" t="n">
        <f aca="false">IF(ISNUMBER(AE216),1,0)</f>
        <v>0</v>
      </c>
      <c r="CB216" s="57" t="n">
        <f aca="false">N(AE216)</f>
        <v>0</v>
      </c>
      <c r="CC216" s="57" t="n">
        <f aca="false">N(M216)+N(N216)</f>
        <v>1</v>
      </c>
      <c r="CD216" s="57" t="n">
        <f aca="false">ROUNDUP(H216/BS216,0)</f>
        <v>2</v>
      </c>
      <c r="CE216" s="57" t="n">
        <f aca="false">ROUNDUP(CB216/BS216,0)</f>
        <v>0</v>
      </c>
      <c r="CF216" s="60" t="n">
        <f aca="false">IF(BT216=1,0,IFERROR(VLOOKUP(BR216,'Gebinde-Kategorie'!$A$5:$M$45,5,0)+0,0))</f>
        <v>21</v>
      </c>
      <c r="CG216" s="60" t="n">
        <f aca="false">IFERROR(IF(OR(BX216=1,BX216=2,BX216=3),N(INDEX(Parameter!$I$5:$I$7,BX216)),0),0)</f>
        <v>0</v>
      </c>
      <c r="CH216" s="59" t="n">
        <f aca="false">IF(AND(Parameter!$B$21="Ja",ISNUMBER(W216),N(X216)&gt;0),IFERROR(N(INDEX(Parameter!$L$5:$L$7,W216))*INDEX(Parameter!$E$5:$E$7,W216)*X216/SUMIFS($X$7:$X$1843,$W$7:$W$1843,W216),0),0)</f>
        <v>0</v>
      </c>
    </row>
    <row r="217" customFormat="false" ht="15" hidden="false" customHeight="false" outlineLevel="0" collapsed="false">
      <c r="A217" s="55" t="s">
        <v>627</v>
      </c>
      <c r="B217" s="55" t="s">
        <v>628</v>
      </c>
      <c r="C217" s="55" t="s">
        <v>164</v>
      </c>
      <c r="D217" s="55" t="s">
        <v>184</v>
      </c>
      <c r="E217" s="55" t="s">
        <v>185</v>
      </c>
      <c r="F217" s="55" t="s">
        <v>218</v>
      </c>
      <c r="G217" s="56" t="n">
        <v>23.17</v>
      </c>
      <c r="H217" s="57" t="n">
        <f aca="false">MAX(0,IF(AND(Parameter!$B$21="Ja",ISNUMBER(Y217)),Y217,IF(Parameter!$B$20="Jahresanfang 2025 + Export",BL217+BK217,BK217)))</f>
        <v>33</v>
      </c>
      <c r="I217" s="57" t="n">
        <f aca="false">H217*G217</f>
        <v>764.61</v>
      </c>
      <c r="J217" s="57" t="n">
        <f aca="false">BN217*Parameter!$B$18</f>
        <v>9</v>
      </c>
      <c r="K217" s="58" t="n">
        <v>2</v>
      </c>
      <c r="L217" s="59" t="n">
        <v>4.5</v>
      </c>
      <c r="M217" s="57" t="n">
        <v>0</v>
      </c>
      <c r="N217" s="57" t="n">
        <v>10</v>
      </c>
      <c r="O217" s="60" t="n">
        <v>19</v>
      </c>
      <c r="P217" s="55" t="s">
        <v>421</v>
      </c>
      <c r="Q217" s="57" t="n">
        <v>16</v>
      </c>
      <c r="R217" s="60" t="n">
        <f aca="false">IF(BT217=1,0,IFERROR(VLOOKUP(BR217,'Gebinde-Kategorie'!$A$5:$M$45,13,0)+0,0))</f>
        <v>132</v>
      </c>
      <c r="S217" s="61"/>
      <c r="T217" s="62"/>
      <c r="U217" s="62"/>
      <c r="V217" s="62"/>
      <c r="W217" s="55"/>
      <c r="X217" s="57"/>
      <c r="Y217" s="57"/>
      <c r="Z217" s="55" t="n">
        <f aca="false">IF(A217="","",IF(AND(Parameter!$B$21="Ja",ISNUMBER(W217)),W217,IF(BV217="2+3",IF(ISNUMBER(SEARCH("grosser Artikel",BO217)),2,IFERROR(VLOOKUP(BR217,Parameter!$F$35:$G$64,2,0),2)),IF(OR(BV217="Nein",BV217=""),"-",BV217))))</f>
        <v>3</v>
      </c>
      <c r="AA217" s="62"/>
      <c r="AB217" s="63"/>
      <c r="AC217" s="57" t="n">
        <f aca="false">AR217</f>
        <v>16</v>
      </c>
      <c r="AD217" s="57" t="n">
        <f aca="false">MAX(AR217,H217)</f>
        <v>33</v>
      </c>
      <c r="AE217" s="64"/>
      <c r="AF217" s="57" t="n">
        <f aca="false">IF(LEFT(Cockpit!$C$5,1)="A",H217,IF(CA217=1,CB217,IF(LEFT(Cockpit!$C$5,1)="B",AJ217,MAX(AJ217,H217))))</f>
        <v>33</v>
      </c>
      <c r="AG217" s="57" t="n">
        <f aca="false">IF(BT217=1,0,ROUNDUP(AF217/BS217,0))</f>
        <v>3</v>
      </c>
      <c r="AH217" s="59" t="n">
        <f aca="false">IF(CH217&gt;0,CH217*MAX(1,AF217/X217),IF(BT217=1,IF(AF217&lt;=0,0,BW217*MAX(1,IF(H217&gt;0,AF217/H217,1))),IF(R217&gt;0,AG217/R217,0))/MAX(0.1,N(Parameter!$M$21)))</f>
        <v>0.0227272727272727</v>
      </c>
      <c r="AI217" s="57" t="n">
        <f aca="false">AF217*G217</f>
        <v>764.61</v>
      </c>
      <c r="AJ217" s="57" t="n">
        <f aca="false">ROUNDUP(MAX(J217/IF(BZ217&gt;0,BZ217,MAX(0.1,N(Cockpit!$C$6))),CC217)/BS217,0)*BS217</f>
        <v>16</v>
      </c>
      <c r="AK217" s="58" t="n">
        <f aca="false">IF(AH217&gt;0,J217/AH217,-1)</f>
        <v>396</v>
      </c>
      <c r="AL217" s="58" t="n">
        <f aca="false">IF(AND(OR(BY217="L1",BY217="L23"),AH217&gt;0),SUMIFS($AH$7:$AH$1843,$BY$7:$BY$1843,BY217,$AK$7:$AK$1843,"&gt;"&amp;AK217)+SUMIFS($AH$7:$AH$1843,$BY$7:$BY$1843,BY217,$AK$7:$AK$1843,AK217,$BQ$7:$BQ$1843,"&lt;="&amp;BQ217),"")</f>
        <v>25.8444984966724</v>
      </c>
      <c r="AM217" s="65" t="n">
        <f aca="false">IF(AL217="",0,MAX(0,MIN(1,(IF(BY217="L1",Parameter!$E$5,Parameter!$E$6+Parameter!$E$7)-(AL217-AH217))/AH217)))</f>
        <v>1</v>
      </c>
      <c r="AN217" s="57" t="n">
        <f aca="false">IF(LEFT(Cockpit!$I$5,1)="A",H217,IF(CA217=1,CB217,IF(LEFT(Cockpit!$I$5,1)="B",AR217,MAX(AR217,H217))))</f>
        <v>33</v>
      </c>
      <c r="AO217" s="57" t="n">
        <f aca="false">IF(BT217=1,0,ROUNDUP(AN217/BS217,0))</f>
        <v>3</v>
      </c>
      <c r="AP217" s="59" t="n">
        <f aca="false">IF(CH217&gt;0,CH217*MAX(1,AN217/X217),IF(BT217=1,IF(AN217&lt;=0,0,BW217*MAX(1,IF(H217&gt;0,AN217/H217,1))),IF(R217&gt;0,AO217/R217,0))/MAX(0.1,N(Parameter!$M$21)))</f>
        <v>0.0227272727272727</v>
      </c>
      <c r="AQ217" s="57" t="n">
        <f aca="false">AN217*G217</f>
        <v>764.61</v>
      </c>
      <c r="AR217" s="57" t="n">
        <f aca="false">ROUNDUP(MAX(J217/IF(BZ217&gt;0,BZ217,MAX(0.1,N(Cockpit!$I$6))),CC217)/BS217,0)*BS217</f>
        <v>16</v>
      </c>
      <c r="AS217" s="58" t="n">
        <f aca="false">IF(AP217&gt;0,J217/AP217,-1)</f>
        <v>396</v>
      </c>
      <c r="AT217" s="58" t="n">
        <f aca="false">IF(AND(OR(BY217="L1",BY217="L23"),AP217&gt;0),SUMIFS($AP$7:$AP$1843,$BY$7:$BY$1843,BY217,$AS$7:$AS$1843,"&gt;"&amp;AS217)+SUMIFS($AP$7:$AP$1843,$BY$7:$BY$1843,BY217,$AS$7:$AS$1843,AS217,$BQ$7:$BQ$1843,"&lt;="&amp;BQ217),"")</f>
        <v>35.2676514306949</v>
      </c>
      <c r="AU217" s="65" t="n">
        <f aca="false">IF(AT217="",0,MAX(0,MIN(1,(IF(BY217="L1",Parameter!$E$5,Parameter!$E$6+Parameter!$E$7)-(AT217-AP217))/AP217)))</f>
        <v>1</v>
      </c>
      <c r="AV217" s="57" t="n">
        <f aca="false">IF(LEFT(Cockpit!$O$5,1)="A",H217,IF(CA217=1,CB217,IF(LEFT(Cockpit!$O$5,1)="B",AZ217,MAX(AZ217,H217))))</f>
        <v>33</v>
      </c>
      <c r="AW217" s="57" t="n">
        <f aca="false">IF(BT217=1,0,ROUNDUP(AV217/BS217,0))</f>
        <v>3</v>
      </c>
      <c r="AX217" s="59" t="n">
        <f aca="false">IF(CH217&gt;0,CH217*MAX(1,AV217/X217),IF(BT217=1,IF(AV217&lt;=0,0,BW217*MAX(1,IF(H217&gt;0,AV217/H217,1))),IF(R217&gt;0,AW217/R217,0))/MAX(0.1,N(Parameter!$M$21)))</f>
        <v>0.0227272727272727</v>
      </c>
      <c r="AY217" s="57" t="n">
        <f aca="false">AV217*G217</f>
        <v>764.61</v>
      </c>
      <c r="AZ217" s="57" t="n">
        <f aca="false">ROUNDUP(MAX(J217/IF(BZ217&gt;0,BZ217,MAX(0.1,N(Cockpit!$O$6))),CC217)/BS217,0)*BS217</f>
        <v>16</v>
      </c>
      <c r="BA217" s="58" t="n">
        <f aca="false">IF(AX217&gt;0,J217/AX217,-1)</f>
        <v>396</v>
      </c>
      <c r="BB217" s="58" t="n">
        <f aca="false">IF(AND(OR(BY217="L1",BY217="L23"),AX217&gt;0),SUMIFS($AX$7:$AX$1843,$BY$7:$BY$1843,BY217,$BA$7:$BA$1843,"&gt;"&amp;BA217)+SUMIFS($AX$7:$AX$1843,$BY$7:$BY$1843,BY217,$BA$7:$BA$1843,BA217,$BQ$7:$BQ$1843,"&lt;="&amp;BQ217),"")</f>
        <v>34.5141549271984</v>
      </c>
      <c r="BC217" s="65" t="n">
        <f aca="false">IF(BB217="",0,MAX(0,MIN(1,(IF(BY217="L1",Parameter!$E$5,Parameter!$E$6+Parameter!$E$7)-(BB217-AX217))/AX217)))</f>
        <v>1</v>
      </c>
      <c r="BD217" s="55" t="str">
        <f aca="false">IF(AH217&lt;=0,"",IF(BY217="Aussen","Aussenlager",IF(BY217="-","Nicht im Lift",IF(AM217&gt;=1,"Lift",IF(AM217&lt;=0,"Aussenlager","teilweise")))))</f>
        <v>Lift</v>
      </c>
      <c r="BE217" s="55" t="str">
        <f aca="false">IF(AP217&lt;=0,"",IF(BY217="Aussen","Aussenlager",IF(BY217="-","Nicht im Lift",IF(AU217&gt;=1,"Lift",IF(AU217&lt;=0,"Aussenlager","teilweise")))))</f>
        <v>Lift</v>
      </c>
      <c r="BF217" s="55" t="str">
        <f aca="false">IF(AX217&lt;=0,"",IF(BY217="Aussen","Aussenlager",IF(BY217="-","Nicht im Lift",IF(BC217&gt;=1,"Lift",IF(BC217&lt;=0,"Aussenlager","teilweise")))))</f>
        <v>Lift</v>
      </c>
      <c r="BG217" s="55" t="str">
        <f aca="false">IF(A217="","",IF(BP217=1,"Neu; ","")&amp;IF(AND(BP217=0,BK217&lt;0),"negativer Bestand (Export "&amp;BK217&amp;"); ","")&amp;IF(J217&lt;=0,"Kein Verbrauch; ","")&amp;IF(CH217&gt;0,"Lift "&amp;W217&amp;" lt. Liftbericht (Fach "&amp;X217&amp;" Stk); ",IF(BU217=1,"Gebinde geschätzt ("&amp;T217&amp;"); ",IF(BT217=1,"Lose – Tablare geschätzt; ","")))&amp;IF(H217&gt;AR217,"Überbestand "&amp;ROUND(H217-AR217,0)&amp;" Stk / CHF "&amp;ROUND((H217-AR217)*G217,0)&amp;"; ","")&amp;IF(AND(CA217=1,CB217&lt;CC217),"MAX &lt; MB+LG; ","")&amp;IF(AND(CG217&gt;0,CF217*10&gt;CG217),"zu hoch für Tablar; ","")&amp;IF(AND(BP217=0,OR(CA217=1,AA217&lt;&gt;"",U217&lt;&gt;"",V217&lt;&gt;"",AB217&lt;&gt;"")),"manuell übersteuert; ","")&amp;IF(AND(BT217=0,R217=0),"Gebinde unbekannt / Stellmass fehlt; ","")&amp;IF(AND(BT217=0,N(V217)&lt;=0,N(Q217)&lt;=0),"Menge pro Gebinde fehlt (Ist = 1 Gebinde); ","")&amp;BO217)</f>
        <v>Überbestand 17 Stk / CHF 394; Neu</v>
      </c>
      <c r="BH217" s="55"/>
      <c r="BI217" s="55"/>
      <c r="BJ217" s="62"/>
      <c r="BK217" s="57" t="n">
        <v>31</v>
      </c>
      <c r="BL217" s="57" t="n">
        <v>2</v>
      </c>
      <c r="BM217" s="56" t="n">
        <v>698.21</v>
      </c>
      <c r="BN217" s="57" t="n">
        <v>9</v>
      </c>
      <c r="BO217" s="55" t="s">
        <v>626</v>
      </c>
      <c r="BP217" s="60" t="n">
        <v>0</v>
      </c>
      <c r="BQ217" s="60" t="n">
        <v>217</v>
      </c>
      <c r="BR217" s="55" t="str">
        <f aca="false">IF(U217&lt;&gt;"",UPPER(TRIM(U217)),IF(BU217=1,UPPER(VLOOKUP(T217,Parameter!$I$27:$K$29,2,0)),IF(P217="","LOSE",P217)))</f>
        <v>S32</v>
      </c>
      <c r="BS217" s="57" t="n">
        <f aca="false">IF(BR217="LOSE",1,IF(N(V217)&gt;0,V217,IF(BU217=1,MAX(1,N(VLOOKUP(T217,Parameter!$I$27:$K$29,3,0)),H217,N(N217)),IF(N(Q217)&gt;0,Q217,MAX(1,H217)))))</f>
        <v>16</v>
      </c>
      <c r="BT217" s="60" t="n">
        <f aca="false">IF(BR217="LOSE",1,0)</f>
        <v>0</v>
      </c>
      <c r="BU217" s="60" t="n">
        <f aca="false">IF(AND(U217="",OR(P217="",P217="LOSE"),T217&lt;&gt;"",N(S217)&lt;=0,ISNUMBER(MATCH(T217,Parameter!$I$27:$I$29,0))),1,0)</f>
        <v>0</v>
      </c>
      <c r="BV217" s="55" t="str">
        <f aca="false">IF(AND(Parameter!$B$19="Ja",E217&lt;&gt;"",ISNUMBER(MATCH(E217,Parameter!$I$35:$I$52,0))),VLOOKUP(E217,Parameter!$I$35:$J$52,2,0),IFERROR(VLOOKUP(D217,Parameter!$A$35:$C$64,2,0),"Nein"))</f>
        <v>2+3</v>
      </c>
      <c r="BW217" s="59" t="n">
        <f aca="false">IF(BT217=0,0,IF(N(S217)&gt;0,S217,IFERROR(VLOOKUP(D217,Parameter!$A$35:$C$64,3,0)+0,0)))</f>
        <v>0</v>
      </c>
      <c r="BX217" s="55" t="n">
        <f aca="false">IF(AA217&lt;&gt;"",AA217,Z217)</f>
        <v>3</v>
      </c>
      <c r="BY217" s="55" t="str">
        <f aca="false">IF(BX217=1,"L1",IF(OR(BX217=2,BX217=3),"L23",IF(BX217="Aussen","Aussen","-")))</f>
        <v>L23</v>
      </c>
      <c r="BZ217" s="66" t="n">
        <f aca="false">IF(N(AB217)&gt;0,AB217,0)</f>
        <v>0</v>
      </c>
      <c r="CA217" s="60" t="n">
        <f aca="false">IF(ISNUMBER(AE217),1,0)</f>
        <v>0</v>
      </c>
      <c r="CB217" s="57" t="n">
        <f aca="false">N(AE217)</f>
        <v>0</v>
      </c>
      <c r="CC217" s="57" t="n">
        <f aca="false">N(M217)+N(N217)</f>
        <v>10</v>
      </c>
      <c r="CD217" s="57" t="n">
        <f aca="false">ROUNDUP(H217/BS217,0)</f>
        <v>3</v>
      </c>
      <c r="CE217" s="57" t="n">
        <f aca="false">ROUNDUP(CB217/BS217,0)</f>
        <v>0</v>
      </c>
      <c r="CF217" s="60" t="n">
        <f aca="false">IF(BT217=1,0,IFERROR(VLOOKUP(BR217,'Gebinde-Kategorie'!$A$5:$M$45,5,0)+0,0))</f>
        <v>8</v>
      </c>
      <c r="CG217" s="60" t="n">
        <f aca="false">IFERROR(IF(OR(BX217=1,BX217=2,BX217=3),N(INDEX(Parameter!$I$5:$I$7,BX217)),0),0)</f>
        <v>0</v>
      </c>
      <c r="CH217" s="59" t="n">
        <f aca="false">IF(AND(Parameter!$B$21="Ja",ISNUMBER(W217),N(X217)&gt;0),IFERROR(N(INDEX(Parameter!$L$5:$L$7,W217))*INDEX(Parameter!$E$5:$E$7,W217)*X217/SUMIFS($X$7:$X$1843,$W$7:$W$1843,W217),0),0)</f>
        <v>0</v>
      </c>
    </row>
    <row r="218" customFormat="false" ht="15" hidden="false" customHeight="false" outlineLevel="0" collapsed="false">
      <c r="A218" s="55" t="s">
        <v>629</v>
      </c>
      <c r="B218" s="55" t="s">
        <v>339</v>
      </c>
      <c r="C218" s="55" t="s">
        <v>164</v>
      </c>
      <c r="D218" s="55" t="s">
        <v>173</v>
      </c>
      <c r="E218" s="55" t="s">
        <v>166</v>
      </c>
      <c r="F218" s="55" t="s">
        <v>218</v>
      </c>
      <c r="G218" s="56" t="n">
        <v>301.38</v>
      </c>
      <c r="H218" s="57" t="n">
        <f aca="false">MAX(0,IF(AND(Parameter!$B$21="Ja",ISNUMBER(Y218)),Y218,IF(Parameter!$B$20="Jahresanfang 2025 + Export",BL218+BK218,BK218)))</f>
        <v>10</v>
      </c>
      <c r="I218" s="57" t="n">
        <f aca="false">H218*G218</f>
        <v>3013.8</v>
      </c>
      <c r="J218" s="57" t="n">
        <f aca="false">BN218*Parameter!$B$18</f>
        <v>24</v>
      </c>
      <c r="K218" s="58" t="n">
        <v>9</v>
      </c>
      <c r="L218" s="59" t="n">
        <v>2.66666666666667</v>
      </c>
      <c r="M218" s="57" t="n">
        <v>3</v>
      </c>
      <c r="N218" s="57" t="n">
        <v>15</v>
      </c>
      <c r="O218" s="60" t="n">
        <v>35</v>
      </c>
      <c r="P218" s="55" t="s">
        <v>174</v>
      </c>
      <c r="Q218" s="57" t="n">
        <v>22</v>
      </c>
      <c r="R218" s="60" t="n">
        <f aca="false">IF(BT218=1,0,IFERROR(VLOOKUP(BR218,'Gebinde-Kategorie'!$A$5:$M$45,13,0)+0,0))</f>
        <v>6</v>
      </c>
      <c r="S218" s="61"/>
      <c r="T218" s="62"/>
      <c r="U218" s="62"/>
      <c r="V218" s="62"/>
      <c r="W218" s="55"/>
      <c r="X218" s="57"/>
      <c r="Y218" s="57"/>
      <c r="Z218" s="55" t="n">
        <f aca="false">IF(A218="","",IF(AND(Parameter!$B$21="Ja",ISNUMBER(W218)),W218,IF(BV218="2+3",IF(ISNUMBER(SEARCH("grosser Artikel",BO218)),2,IFERROR(VLOOKUP(BR218,Parameter!$F$35:$G$64,2,0),2)),IF(OR(BV218="Nein",BV218=""),"-",BV218))))</f>
        <v>1</v>
      </c>
      <c r="AA218" s="62"/>
      <c r="AB218" s="63"/>
      <c r="AC218" s="57" t="n">
        <f aca="false">AR218</f>
        <v>22</v>
      </c>
      <c r="AD218" s="57" t="n">
        <f aca="false">MAX(AR218,H218)</f>
        <v>22</v>
      </c>
      <c r="AE218" s="64"/>
      <c r="AF218" s="57" t="n">
        <f aca="false">IF(LEFT(Cockpit!$C$5,1)="A",H218,IF(CA218=1,CB218,IF(LEFT(Cockpit!$C$5,1)="B",AJ218,MAX(AJ218,H218))))</f>
        <v>10</v>
      </c>
      <c r="AG218" s="57" t="n">
        <f aca="false">IF(BT218=1,0,ROUNDUP(AF218/BS218,0))</f>
        <v>1</v>
      </c>
      <c r="AH218" s="59" t="n">
        <f aca="false">IF(CH218&gt;0,CH218*MAX(1,AF218/X218),IF(BT218=1,IF(AF218&lt;=0,0,BW218*MAX(1,IF(H218&gt;0,AF218/H218,1))),IF(R218&gt;0,AG218/R218,0))/MAX(0.1,N(Parameter!$M$21)))</f>
        <v>0.166666666666667</v>
      </c>
      <c r="AI218" s="57" t="n">
        <f aca="false">AF218*G218</f>
        <v>3013.8</v>
      </c>
      <c r="AJ218" s="57" t="n">
        <f aca="false">ROUNDUP(MAX(J218/IF(BZ218&gt;0,BZ218,MAX(0.1,N(Cockpit!$C$6))),CC218)/BS218,0)*BS218</f>
        <v>22</v>
      </c>
      <c r="AK218" s="58" t="n">
        <f aca="false">IF(AH218&gt;0,J218/AH218,-1)</f>
        <v>144</v>
      </c>
      <c r="AL218" s="58" t="n">
        <f aca="false">IF(AND(OR(BY218="L1",BY218="L23"),AH218&gt;0),SUMIFS($AH$7:$AH$1843,$BY$7:$BY$1843,BY218,$AK$7:$AK$1843,"&gt;"&amp;AK218)+SUMIFS($AH$7:$AH$1843,$BY$7:$BY$1843,BY218,$AK$7:$AK$1843,AK218,$BQ$7:$BQ$1843,"&lt;="&amp;BQ218),"")</f>
        <v>3.99754045185143</v>
      </c>
      <c r="AM218" s="65" t="n">
        <f aca="false">IF(AL218="",0,MAX(0,MIN(1,(IF(BY218="L1",Parameter!$E$5,Parameter!$E$6+Parameter!$E$7)-(AL218-AH218))/AH218)))</f>
        <v>1</v>
      </c>
      <c r="AN218" s="57" t="n">
        <f aca="false">IF(LEFT(Cockpit!$I$5,1)="A",H218,IF(CA218=1,CB218,IF(LEFT(Cockpit!$I$5,1)="B",AR218,MAX(AR218,H218))))</f>
        <v>22</v>
      </c>
      <c r="AO218" s="57" t="n">
        <f aca="false">IF(BT218=1,0,ROUNDUP(AN218/BS218,0))</f>
        <v>1</v>
      </c>
      <c r="AP218" s="59" t="n">
        <f aca="false">IF(CH218&gt;0,CH218*MAX(1,AN218/X218),IF(BT218=1,IF(AN218&lt;=0,0,BW218*MAX(1,IF(H218&gt;0,AN218/H218,1))),IF(R218&gt;0,AO218/R218,0))/MAX(0.1,N(Parameter!$M$21)))</f>
        <v>0.166666666666667</v>
      </c>
      <c r="AQ218" s="57" t="n">
        <f aca="false">AN218*G218</f>
        <v>6630.36</v>
      </c>
      <c r="AR218" s="57" t="n">
        <f aca="false">ROUNDUP(MAX(J218/IF(BZ218&gt;0,BZ218,MAX(0.1,N(Cockpit!$I$6))),CC218)/BS218,0)*BS218</f>
        <v>22</v>
      </c>
      <c r="AS218" s="58" t="n">
        <f aca="false">IF(AP218&gt;0,J218/AP218,-1)</f>
        <v>144</v>
      </c>
      <c r="AT218" s="58" t="n">
        <f aca="false">IF(AND(OR(BY218="L1",BY218="L23"),AP218&gt;0),SUMIFS($AP$7:$AP$1843,$BY$7:$BY$1843,BY218,$AS$7:$AS$1843,"&gt;"&amp;AS218)+SUMIFS($AP$7:$AP$1843,$BY$7:$BY$1843,BY218,$AS$7:$AS$1843,AS218,$BQ$7:$BQ$1843,"&lt;="&amp;BQ218),"")</f>
        <v>4.74442586399108</v>
      </c>
      <c r="AU218" s="65" t="n">
        <f aca="false">IF(AT218="",0,MAX(0,MIN(1,(IF(BY218="L1",Parameter!$E$5,Parameter!$E$6+Parameter!$E$7)-(AT218-AP218))/AP218)))</f>
        <v>1</v>
      </c>
      <c r="AV218" s="57" t="n">
        <f aca="false">IF(LEFT(Cockpit!$O$5,1)="A",H218,IF(CA218=1,CB218,IF(LEFT(Cockpit!$O$5,1)="B",AZ218,MAX(AZ218,H218))))</f>
        <v>22</v>
      </c>
      <c r="AW218" s="57" t="n">
        <f aca="false">IF(BT218=1,0,ROUNDUP(AV218/BS218,0))</f>
        <v>1</v>
      </c>
      <c r="AX218" s="59" t="n">
        <f aca="false">IF(CH218&gt;0,CH218*MAX(1,AV218/X218),IF(BT218=1,IF(AV218&lt;=0,0,BW218*MAX(1,IF(H218&gt;0,AV218/H218,1))),IF(R218&gt;0,AW218/R218,0))/MAX(0.1,N(Parameter!$M$21)))</f>
        <v>0.166666666666667</v>
      </c>
      <c r="AY218" s="57" t="n">
        <f aca="false">AV218*G218</f>
        <v>6630.36</v>
      </c>
      <c r="AZ218" s="57" t="n">
        <f aca="false">ROUNDUP(MAX(J218/IF(BZ218&gt;0,BZ218,MAX(0.1,N(Cockpit!$O$6))),CC218)/BS218,0)*BS218</f>
        <v>22</v>
      </c>
      <c r="BA218" s="58" t="n">
        <f aca="false">IF(AX218&gt;0,J218/AX218,-1)</f>
        <v>144</v>
      </c>
      <c r="BB218" s="58" t="n">
        <f aca="false">IF(AND(OR(BY218="L1",BY218="L23"),AX218&gt;0),SUMIFS($AX$7:$AX$1843,$BY$7:$BY$1843,BY218,$BA$7:$BA$1843,"&gt;"&amp;BA218)+SUMIFS($AX$7:$AX$1843,$BY$7:$BY$1843,BY218,$BA$7:$BA$1843,BA218,$BQ$7:$BQ$1843,"&lt;="&amp;BQ218),"")</f>
        <v>4.45596432552954</v>
      </c>
      <c r="BC218" s="65" t="n">
        <f aca="false">IF(BB218="",0,MAX(0,MIN(1,(IF(BY218="L1",Parameter!$E$5,Parameter!$E$6+Parameter!$E$7)-(BB218-AX218))/AX218)))</f>
        <v>1</v>
      </c>
      <c r="BD218" s="55" t="str">
        <f aca="false">IF(AH218&lt;=0,"",IF(BY218="Aussen","Aussenlager",IF(BY218="-","Nicht im Lift",IF(AM218&gt;=1,"Lift",IF(AM218&lt;=0,"Aussenlager","teilweise")))))</f>
        <v>Lift</v>
      </c>
      <c r="BE218" s="55" t="str">
        <f aca="false">IF(AP218&lt;=0,"",IF(BY218="Aussen","Aussenlager",IF(BY218="-","Nicht im Lift",IF(AU218&gt;=1,"Lift",IF(AU218&lt;=0,"Aussenlager","teilweise")))))</f>
        <v>Lift</v>
      </c>
      <c r="BF218" s="55" t="str">
        <f aca="false">IF(AX218&lt;=0,"",IF(BY218="Aussen","Aussenlager",IF(BY218="-","Nicht im Lift",IF(BC218&gt;=1,"Lift",IF(BC218&lt;=0,"Aussenlager","teilweise")))))</f>
        <v>Lift</v>
      </c>
      <c r="BG218" s="55" t="str">
        <f aca="false">IF(A218="","",IF(BP218=1,"Neu; ","")&amp;IF(AND(BP218=0,BK218&lt;0),"negativer Bestand (Export "&amp;BK218&amp;"); ","")&amp;IF(J218&lt;=0,"Kein Verbrauch; ","")&amp;IF(CH218&gt;0,"Lift "&amp;W218&amp;" lt. Liftbericht (Fach "&amp;X218&amp;" Stk); ",IF(BU218=1,"Gebinde geschätzt ("&amp;T218&amp;"); ",IF(BT218=1,"Lose – Tablare geschätzt; ","")))&amp;IF(H218&gt;AR218,"Überbestand "&amp;ROUND(H218-AR218,0)&amp;" Stk / CHF "&amp;ROUND((H218-AR218)*G218,0)&amp;"; ","")&amp;IF(AND(CA218=1,CB218&lt;CC218),"MAX &lt; MB+LG; ","")&amp;IF(AND(CG218&gt;0,CF218*10&gt;CG218),"zu hoch für Tablar; ","")&amp;IF(AND(BP218=0,OR(CA218=1,AA218&lt;&gt;"",U218&lt;&gt;"",V218&lt;&gt;"",AB218&lt;&gt;"")),"manuell übersteuert; ","")&amp;IF(AND(BT218=0,R218=0),"Gebinde unbekannt / Stellmass fehlt; ","")&amp;IF(AND(BT218=0,N(V218)&lt;=0,N(Q218)&lt;=0),"Menge pro Gebinde fehlt (Ist = 1 Gebinde); ","")&amp;BO218)</f>
        <v/>
      </c>
      <c r="BH218" s="55"/>
      <c r="BI218" s="55"/>
      <c r="BJ218" s="62"/>
      <c r="BK218" s="57" t="n">
        <v>3</v>
      </c>
      <c r="BL218" s="57" t="n">
        <v>7</v>
      </c>
      <c r="BM218" s="56" t="n">
        <v>696.450000000001</v>
      </c>
      <c r="BN218" s="57" t="n">
        <v>24</v>
      </c>
      <c r="BO218" s="55"/>
      <c r="BP218" s="60" t="n">
        <v>0</v>
      </c>
      <c r="BQ218" s="60" t="n">
        <v>218</v>
      </c>
      <c r="BR218" s="55" t="str">
        <f aca="false">IF(U218&lt;&gt;"",UPPER(TRIM(U218)),IF(BU218=1,UPPER(VLOOKUP(T218,Parameter!$I$27:$K$29,2,0)),IF(P218="","LOSE",P218)))</f>
        <v>S71</v>
      </c>
      <c r="BS218" s="57" t="n">
        <f aca="false">IF(BR218="LOSE",1,IF(N(V218)&gt;0,V218,IF(BU218=1,MAX(1,N(VLOOKUP(T218,Parameter!$I$27:$K$29,3,0)),H218,N(N218)),IF(N(Q218)&gt;0,Q218,MAX(1,H218)))))</f>
        <v>22</v>
      </c>
      <c r="BT218" s="60" t="n">
        <f aca="false">IF(BR218="LOSE",1,0)</f>
        <v>0</v>
      </c>
      <c r="BU218" s="60" t="n">
        <f aca="false">IF(AND(U218="",OR(P218="",P218="LOSE"),T218&lt;&gt;"",N(S218)&lt;=0,ISNUMBER(MATCH(T218,Parameter!$I$27:$I$29,0))),1,0)</f>
        <v>0</v>
      </c>
      <c r="BV218" s="55" t="n">
        <f aca="false">IF(AND(Parameter!$B$19="Ja",E218&lt;&gt;"",ISNUMBER(MATCH(E218,Parameter!$I$35:$I$52,0))),VLOOKUP(E218,Parameter!$I$35:$J$52,2,0),IFERROR(VLOOKUP(D218,Parameter!$A$35:$C$64,2,0),"Nein"))</f>
        <v>1</v>
      </c>
      <c r="BW218" s="59" t="n">
        <f aca="false">IF(BT218=0,0,IF(N(S218)&gt;0,S218,IFERROR(VLOOKUP(D218,Parameter!$A$35:$C$64,3,0)+0,0)))</f>
        <v>0</v>
      </c>
      <c r="BX218" s="55" t="n">
        <f aca="false">IF(AA218&lt;&gt;"",AA218,Z218)</f>
        <v>1</v>
      </c>
      <c r="BY218" s="55" t="str">
        <f aca="false">IF(BX218=1,"L1",IF(OR(BX218=2,BX218=3),"L23",IF(BX218="Aussen","Aussen","-")))</f>
        <v>L1</v>
      </c>
      <c r="BZ218" s="66" t="n">
        <f aca="false">IF(N(AB218)&gt;0,AB218,0)</f>
        <v>0</v>
      </c>
      <c r="CA218" s="60" t="n">
        <f aca="false">IF(ISNUMBER(AE218),1,0)</f>
        <v>0</v>
      </c>
      <c r="CB218" s="57" t="n">
        <f aca="false">N(AE218)</f>
        <v>0</v>
      </c>
      <c r="CC218" s="57" t="n">
        <f aca="false">N(M218)+N(N218)</f>
        <v>18</v>
      </c>
      <c r="CD218" s="57" t="n">
        <f aca="false">ROUNDUP(H218/BS218,0)</f>
        <v>1</v>
      </c>
      <c r="CE218" s="57" t="n">
        <f aca="false">ROUNDUP(CB218/BS218,0)</f>
        <v>0</v>
      </c>
      <c r="CF218" s="60" t="n">
        <f aca="false">IF(BT218=1,0,IFERROR(VLOOKUP(BR218,'Gebinde-Kategorie'!$A$5:$M$45,5,0)+0,0))</f>
        <v>20</v>
      </c>
      <c r="CG218" s="60" t="n">
        <f aca="false">IFERROR(IF(OR(BX218=1,BX218=2,BX218=3),N(INDEX(Parameter!$I$5:$I$7,BX218)),0),0)</f>
        <v>0</v>
      </c>
      <c r="CH218" s="59" t="n">
        <f aca="false">IF(AND(Parameter!$B$21="Ja",ISNUMBER(W218),N(X218)&gt;0),IFERROR(N(INDEX(Parameter!$L$5:$L$7,W218))*INDEX(Parameter!$E$5:$E$7,W218)*X218/SUMIFS($X$7:$X$1843,$W$7:$W$1843,W218),0),0)</f>
        <v>0</v>
      </c>
    </row>
    <row r="219" customFormat="false" ht="15" hidden="false" customHeight="false" outlineLevel="0" collapsed="false">
      <c r="A219" s="55" t="s">
        <v>630</v>
      </c>
      <c r="B219" s="55" t="s">
        <v>631</v>
      </c>
      <c r="C219" s="55" t="s">
        <v>164</v>
      </c>
      <c r="D219" s="55" t="s">
        <v>184</v>
      </c>
      <c r="E219" s="55"/>
      <c r="F219" s="55" t="s">
        <v>218</v>
      </c>
      <c r="G219" s="56" t="n">
        <v>14</v>
      </c>
      <c r="H219" s="57" t="n">
        <f aca="false">MAX(0,IF(AND(Parameter!$B$21="Ja",ISNUMBER(Y219)),Y219,IF(Parameter!$B$20="Jahresanfang 2025 + Export",BL219+BK219,BK219)))</f>
        <v>53</v>
      </c>
      <c r="I219" s="57" t="n">
        <f aca="false">H219*G219</f>
        <v>742</v>
      </c>
      <c r="J219" s="57" t="n">
        <f aca="false">BN219*Parameter!$B$18</f>
        <v>0</v>
      </c>
      <c r="K219" s="58" t="n">
        <v>4</v>
      </c>
      <c r="L219" s="59" t="n">
        <v>0</v>
      </c>
      <c r="M219" s="57" t="n">
        <v>0</v>
      </c>
      <c r="N219" s="57" t="n">
        <v>1</v>
      </c>
      <c r="O219" s="60" t="n">
        <v>28</v>
      </c>
      <c r="P219" s="55" t="s">
        <v>421</v>
      </c>
      <c r="Q219" s="57" t="n">
        <v>55</v>
      </c>
      <c r="R219" s="60" t="n">
        <f aca="false">IF(BT219=1,0,IFERROR(VLOOKUP(BR219,'Gebinde-Kategorie'!$A$5:$M$45,13,0)+0,0))</f>
        <v>132</v>
      </c>
      <c r="S219" s="61"/>
      <c r="T219" s="62"/>
      <c r="U219" s="62"/>
      <c r="V219" s="62"/>
      <c r="W219" s="55"/>
      <c r="X219" s="57"/>
      <c r="Y219" s="57"/>
      <c r="Z219" s="55" t="n">
        <f aca="false">IF(A219="","",IF(AND(Parameter!$B$21="Ja",ISNUMBER(W219)),W219,IF(BV219="2+3",IF(ISNUMBER(SEARCH("grosser Artikel",BO219)),2,IFERROR(VLOOKUP(BR219,Parameter!$F$35:$G$64,2,0),2)),IF(OR(BV219="Nein",BV219=""),"-",BV219))))</f>
        <v>3</v>
      </c>
      <c r="AA219" s="62"/>
      <c r="AB219" s="63"/>
      <c r="AC219" s="57" t="n">
        <f aca="false">AR219</f>
        <v>55</v>
      </c>
      <c r="AD219" s="57" t="n">
        <f aca="false">MAX(AR219,H219)</f>
        <v>55</v>
      </c>
      <c r="AE219" s="64"/>
      <c r="AF219" s="57" t="n">
        <f aca="false">IF(LEFT(Cockpit!$C$5,1)="A",H219,IF(CA219=1,CB219,IF(LEFT(Cockpit!$C$5,1)="B",AJ219,MAX(AJ219,H219))))</f>
        <v>53</v>
      </c>
      <c r="AG219" s="57" t="n">
        <f aca="false">IF(BT219=1,0,ROUNDUP(AF219/BS219,0))</f>
        <v>1</v>
      </c>
      <c r="AH219" s="59" t="n">
        <f aca="false">IF(CH219&gt;0,CH219*MAX(1,AF219/X219),IF(BT219=1,IF(AF219&lt;=0,0,BW219*MAX(1,IF(H219&gt;0,AF219/H219,1))),IF(R219&gt;0,AG219/R219,0))/MAX(0.1,N(Parameter!$M$21)))</f>
        <v>0.00757575757575758</v>
      </c>
      <c r="AI219" s="57" t="n">
        <f aca="false">AF219*G219</f>
        <v>742</v>
      </c>
      <c r="AJ219" s="57" t="n">
        <f aca="false">ROUNDUP(MAX(J219/IF(BZ219&gt;0,BZ219,MAX(0.1,N(Cockpit!$C$6))),CC219)/BS219,0)*BS219</f>
        <v>55</v>
      </c>
      <c r="AK219" s="58" t="n">
        <f aca="false">IF(AH219&gt;0,J219/AH219,-1)</f>
        <v>0</v>
      </c>
      <c r="AL219" s="58" t="n">
        <f aca="false">IF(AND(OR(BY219="L1",BY219="L23"),AH219&gt;0),SUMIFS($AH$7:$AH$1843,$BY$7:$BY$1843,BY219,$AK$7:$AK$1843,"&gt;"&amp;AK219)+SUMIFS($AH$7:$AH$1843,$BY$7:$BY$1843,BY219,$AK$7:$AK$1843,AK219,$BQ$7:$BQ$1843,"&lt;="&amp;BQ219),"")</f>
        <v>70.6713202256681</v>
      </c>
      <c r="AM219" s="65" t="n">
        <f aca="false">IF(AL219="",0,MAX(0,MIN(1,(IF(BY219="L1",Parameter!$E$5,Parameter!$E$6+Parameter!$E$7)-(AL219-AH219))/AH219)))</f>
        <v>1</v>
      </c>
      <c r="AN219" s="57" t="n">
        <f aca="false">IF(LEFT(Cockpit!$I$5,1)="A",H219,IF(CA219=1,CB219,IF(LEFT(Cockpit!$I$5,1)="B",AR219,MAX(AR219,H219))))</f>
        <v>55</v>
      </c>
      <c r="AO219" s="57" t="n">
        <f aca="false">IF(BT219=1,0,ROUNDUP(AN219/BS219,0))</f>
        <v>1</v>
      </c>
      <c r="AP219" s="59" t="n">
        <f aca="false">IF(CH219&gt;0,CH219*MAX(1,AN219/X219),IF(BT219=1,IF(AN219&lt;=0,0,BW219*MAX(1,IF(H219&gt;0,AN219/H219,1))),IF(R219&gt;0,AO219/R219,0))/MAX(0.1,N(Parameter!$M$21)))</f>
        <v>0.00757575757575758</v>
      </c>
      <c r="AQ219" s="57" t="n">
        <f aca="false">AN219*G219</f>
        <v>770</v>
      </c>
      <c r="AR219" s="57" t="n">
        <f aca="false">ROUNDUP(MAX(J219/IF(BZ219&gt;0,BZ219,MAX(0.1,N(Cockpit!$I$6))),CC219)/BS219,0)*BS219</f>
        <v>55</v>
      </c>
      <c r="AS219" s="58" t="n">
        <f aca="false">IF(AP219&gt;0,J219/AP219,-1)</f>
        <v>0</v>
      </c>
      <c r="AT219" s="58" t="n">
        <f aca="false">IF(AND(OR(BY219="L1",BY219="L23"),AP219&gt;0),SUMIFS($AP$7:$AP$1843,$BY$7:$BY$1843,BY219,$AS$7:$AS$1843,"&gt;"&amp;AS219)+SUMIFS($AP$7:$AP$1843,$BY$7:$BY$1843,BY219,$AS$7:$AS$1843,AS219,$BQ$7:$BQ$1843,"&lt;="&amp;BQ219),"")</f>
        <v>110.095444410662</v>
      </c>
      <c r="AU219" s="65" t="n">
        <f aca="false">IF(AT219="",0,MAX(0,MIN(1,(IF(BY219="L1",Parameter!$E$5,Parameter!$E$6+Parameter!$E$7)-(AT219-AP219))/AP219)))</f>
        <v>0</v>
      </c>
      <c r="AV219" s="57" t="n">
        <f aca="false">IF(LEFT(Cockpit!$O$5,1)="A",H219,IF(CA219=1,CB219,IF(LEFT(Cockpit!$O$5,1)="B",AZ219,MAX(AZ219,H219))))</f>
        <v>55</v>
      </c>
      <c r="AW219" s="57" t="n">
        <f aca="false">IF(BT219=1,0,ROUNDUP(AV219/BS219,0))</f>
        <v>1</v>
      </c>
      <c r="AX219" s="59" t="n">
        <f aca="false">IF(CH219&gt;0,CH219*MAX(1,AV219/X219),IF(BT219=1,IF(AV219&lt;=0,0,BW219*MAX(1,IF(H219&gt;0,AV219/H219,1))),IF(R219&gt;0,AW219/R219,0))/MAX(0.1,N(Parameter!$M$21)))</f>
        <v>0.00757575757575758</v>
      </c>
      <c r="AY219" s="57" t="n">
        <f aca="false">AV219*G219</f>
        <v>770</v>
      </c>
      <c r="AZ219" s="57" t="n">
        <f aca="false">ROUNDUP(MAX(J219/IF(BZ219&gt;0,BZ219,MAX(0.1,N(Cockpit!$O$6))),CC219)/BS219,0)*BS219</f>
        <v>55</v>
      </c>
      <c r="BA219" s="58" t="n">
        <f aca="false">IF(AX219&gt;0,J219/AX219,-1)</f>
        <v>0</v>
      </c>
      <c r="BB219" s="58" t="n">
        <f aca="false">IF(AND(OR(BY219="L1",BY219="L23"),AX219&gt;0),SUMIFS($AX$7:$AX$1843,$BY$7:$BY$1843,BY219,$BA$7:$BA$1843,"&gt;"&amp;BA219)+SUMIFS($AX$7:$AX$1843,$BY$7:$BY$1843,BY219,$BA$7:$BA$1843,BA219,$BQ$7:$BQ$1843,"&lt;="&amp;BQ219),"")</f>
        <v>100.925281240499</v>
      </c>
      <c r="BC219" s="65" t="n">
        <f aca="false">IF(BB219="",0,MAX(0,MIN(1,(IF(BY219="L1",Parameter!$E$5,Parameter!$E$6+Parameter!$E$7)-(BB219-AX219))/AX219)))</f>
        <v>0</v>
      </c>
      <c r="BD219" s="55" t="str">
        <f aca="false">IF(AH219&lt;=0,"",IF(BY219="Aussen","Aussenlager",IF(BY219="-","Nicht im Lift",IF(AM219&gt;=1,"Lift",IF(AM219&lt;=0,"Aussenlager","teilweise")))))</f>
        <v>Lift</v>
      </c>
      <c r="BE219" s="55" t="str">
        <f aca="false">IF(AP219&lt;=0,"",IF(BY219="Aussen","Aussenlager",IF(BY219="-","Nicht im Lift",IF(AU219&gt;=1,"Lift",IF(AU219&lt;=0,"Aussenlager","teilweise")))))</f>
        <v>Aussenlager</v>
      </c>
      <c r="BF219" s="55" t="str">
        <f aca="false">IF(AX219&lt;=0,"",IF(BY219="Aussen","Aussenlager",IF(BY219="-","Nicht im Lift",IF(BC219&gt;=1,"Lift",IF(BC219&lt;=0,"Aussenlager","teilweise")))))</f>
        <v>Aussenlager</v>
      </c>
      <c r="BG219" s="55" t="str">
        <f aca="false">IF(A219="","",IF(BP219=1,"Neu; ","")&amp;IF(AND(BP219=0,BK219&lt;0),"negativer Bestand (Export "&amp;BK219&amp;"); ","")&amp;IF(J219&lt;=0,"Kein Verbrauch; ","")&amp;IF(CH219&gt;0,"Lift "&amp;W219&amp;" lt. Liftbericht (Fach "&amp;X219&amp;" Stk); ",IF(BU219=1,"Gebinde geschätzt ("&amp;T219&amp;"); ",IF(BT219=1,"Lose – Tablare geschätzt; ","")))&amp;IF(H219&gt;AR219,"Überbestand "&amp;ROUND(H219-AR219,0)&amp;" Stk / CHF "&amp;ROUND((H219-AR219)*G219,0)&amp;"; ","")&amp;IF(AND(CA219=1,CB219&lt;CC219),"MAX &lt; MB+LG; ","")&amp;IF(AND(CG219&gt;0,CF219*10&gt;CG219),"zu hoch für Tablar; ","")&amp;IF(AND(BP219=0,OR(CA219=1,AA219&lt;&gt;"",U219&lt;&gt;"",V219&lt;&gt;"",AB219&lt;&gt;"")),"manuell übersteuert; ","")&amp;IF(AND(BT219=0,R219=0),"Gebinde unbekannt / Stellmass fehlt; ","")&amp;IF(AND(BT219=0,N(V219)&lt;=0,N(Q219)&lt;=0),"Menge pro Gebinde fehlt (Ist = 1 Gebinde); ","")&amp;BO219)</f>
        <v>Kein Verbrauch; </v>
      </c>
      <c r="BH219" s="55"/>
      <c r="BI219" s="55"/>
      <c r="BJ219" s="62"/>
      <c r="BK219" s="57" t="n">
        <v>49</v>
      </c>
      <c r="BL219" s="57" t="n">
        <v>4</v>
      </c>
      <c r="BM219" s="56" t="n">
        <v>688.92</v>
      </c>
      <c r="BN219" s="57" t="n">
        <v>0</v>
      </c>
      <c r="BO219" s="55"/>
      <c r="BP219" s="60" t="n">
        <v>0</v>
      </c>
      <c r="BQ219" s="60" t="n">
        <v>219</v>
      </c>
      <c r="BR219" s="55" t="str">
        <f aca="false">IF(U219&lt;&gt;"",UPPER(TRIM(U219)),IF(BU219=1,UPPER(VLOOKUP(T219,Parameter!$I$27:$K$29,2,0)),IF(P219="","LOSE",P219)))</f>
        <v>S32</v>
      </c>
      <c r="BS219" s="57" t="n">
        <f aca="false">IF(BR219="LOSE",1,IF(N(V219)&gt;0,V219,IF(BU219=1,MAX(1,N(VLOOKUP(T219,Parameter!$I$27:$K$29,3,0)),H219,N(N219)),IF(N(Q219)&gt;0,Q219,MAX(1,H219)))))</f>
        <v>55</v>
      </c>
      <c r="BT219" s="60" t="n">
        <f aca="false">IF(BR219="LOSE",1,0)</f>
        <v>0</v>
      </c>
      <c r="BU219" s="60" t="n">
        <f aca="false">IF(AND(U219="",OR(P219="",P219="LOSE"),T219&lt;&gt;"",N(S219)&lt;=0,ISNUMBER(MATCH(T219,Parameter!$I$27:$I$29,0))),1,0)</f>
        <v>0</v>
      </c>
      <c r="BV219" s="55" t="str">
        <f aca="false">IF(AND(Parameter!$B$19="Ja",E219&lt;&gt;"",ISNUMBER(MATCH(E219,Parameter!$I$35:$I$52,0))),VLOOKUP(E219,Parameter!$I$35:$J$52,2,0),IFERROR(VLOOKUP(D219,Parameter!$A$35:$C$64,2,0),"Nein"))</f>
        <v>2+3</v>
      </c>
      <c r="BW219" s="59" t="n">
        <f aca="false">IF(BT219=0,0,IF(N(S219)&gt;0,S219,IFERROR(VLOOKUP(D219,Parameter!$A$35:$C$64,3,0)+0,0)))</f>
        <v>0</v>
      </c>
      <c r="BX219" s="55" t="n">
        <f aca="false">IF(AA219&lt;&gt;"",AA219,Z219)</f>
        <v>3</v>
      </c>
      <c r="BY219" s="55" t="str">
        <f aca="false">IF(BX219=1,"L1",IF(OR(BX219=2,BX219=3),"L23",IF(BX219="Aussen","Aussen","-")))</f>
        <v>L23</v>
      </c>
      <c r="BZ219" s="66" t="n">
        <f aca="false">IF(N(AB219)&gt;0,AB219,0)</f>
        <v>0</v>
      </c>
      <c r="CA219" s="60" t="n">
        <f aca="false">IF(ISNUMBER(AE219),1,0)</f>
        <v>0</v>
      </c>
      <c r="CB219" s="57" t="n">
        <f aca="false">N(AE219)</f>
        <v>0</v>
      </c>
      <c r="CC219" s="57" t="n">
        <f aca="false">N(M219)+N(N219)</f>
        <v>1</v>
      </c>
      <c r="CD219" s="57" t="n">
        <f aca="false">ROUNDUP(H219/BS219,0)</f>
        <v>1</v>
      </c>
      <c r="CE219" s="57" t="n">
        <f aca="false">ROUNDUP(CB219/BS219,0)</f>
        <v>0</v>
      </c>
      <c r="CF219" s="60" t="n">
        <f aca="false">IF(BT219=1,0,IFERROR(VLOOKUP(BR219,'Gebinde-Kategorie'!$A$5:$M$45,5,0)+0,0))</f>
        <v>8</v>
      </c>
      <c r="CG219" s="60" t="n">
        <f aca="false">IFERROR(IF(OR(BX219=1,BX219=2,BX219=3),N(INDEX(Parameter!$I$5:$I$7,BX219)),0),0)</f>
        <v>0</v>
      </c>
      <c r="CH219" s="59" t="n">
        <f aca="false">IF(AND(Parameter!$B$21="Ja",ISNUMBER(W219),N(X219)&gt;0),IFERROR(N(INDEX(Parameter!$L$5:$L$7,W219))*INDEX(Parameter!$E$5:$E$7,W219)*X219/SUMIFS($X$7:$X$1843,$W$7:$W$1843,W219),0),0)</f>
        <v>0</v>
      </c>
    </row>
    <row r="220" customFormat="false" ht="15" hidden="false" customHeight="false" outlineLevel="0" collapsed="false">
      <c r="A220" s="55" t="s">
        <v>632</v>
      </c>
      <c r="B220" s="55" t="s">
        <v>633</v>
      </c>
      <c r="C220" s="55" t="s">
        <v>164</v>
      </c>
      <c r="D220" s="55" t="s">
        <v>173</v>
      </c>
      <c r="E220" s="55"/>
      <c r="F220" s="55" t="s">
        <v>218</v>
      </c>
      <c r="G220" s="56" t="n">
        <v>678.65</v>
      </c>
      <c r="H220" s="57" t="n">
        <f aca="false">MAX(0,IF(AND(Parameter!$B$21="Ja",ISNUMBER(Y220)),Y220,IF(Parameter!$B$20="Jahresanfang 2025 + Export",BL220+BK220,BK220)))</f>
        <v>1</v>
      </c>
      <c r="I220" s="57" t="n">
        <f aca="false">H220*G220</f>
        <v>678.65</v>
      </c>
      <c r="J220" s="57" t="n">
        <f aca="false">BN220*Parameter!$B$18</f>
        <v>0</v>
      </c>
      <c r="K220" s="58" t="n">
        <v>0.5</v>
      </c>
      <c r="L220" s="59" t="n">
        <v>0</v>
      </c>
      <c r="M220" s="57" t="n">
        <v>0</v>
      </c>
      <c r="N220" s="57" t="n">
        <v>1</v>
      </c>
      <c r="O220" s="60" t="n">
        <v>14</v>
      </c>
      <c r="P220" s="55" t="s">
        <v>168</v>
      </c>
      <c r="Q220" s="57"/>
      <c r="R220" s="60" t="n">
        <f aca="false">IF(BT220=1,0,IFERROR(VLOOKUP(BR220,'Gebinde-Kategorie'!$A$5:$M$45,13,0)+0,0))</f>
        <v>3</v>
      </c>
      <c r="S220" s="61"/>
      <c r="T220" s="62" t="s">
        <v>189</v>
      </c>
      <c r="U220" s="62"/>
      <c r="V220" s="62"/>
      <c r="W220" s="55"/>
      <c r="X220" s="57"/>
      <c r="Y220" s="57"/>
      <c r="Z220" s="55" t="n">
        <f aca="false">IF(A220="","",IF(AND(Parameter!$B$21="Ja",ISNUMBER(W220)),W220,IF(BV220="2+3",IF(ISNUMBER(SEARCH("grosser Artikel",BO220)),2,IFERROR(VLOOKUP(BR220,Parameter!$F$35:$G$64,2,0),2)),IF(OR(BV220="Nein",BV220=""),"-",BV220))))</f>
        <v>2</v>
      </c>
      <c r="AA220" s="62"/>
      <c r="AB220" s="63"/>
      <c r="AC220" s="57" t="n">
        <f aca="false">AR220</f>
        <v>2</v>
      </c>
      <c r="AD220" s="57" t="n">
        <f aca="false">MAX(AR220,H220)</f>
        <v>2</v>
      </c>
      <c r="AE220" s="64"/>
      <c r="AF220" s="57" t="n">
        <f aca="false">IF(LEFT(Cockpit!$C$5,1)="A",H220,IF(CA220=1,CB220,IF(LEFT(Cockpit!$C$5,1)="B",AJ220,MAX(AJ220,H220))))</f>
        <v>1</v>
      </c>
      <c r="AG220" s="57" t="n">
        <f aca="false">IF(BT220=1,0,ROUNDUP(AF220/BS220,0))</f>
        <v>1</v>
      </c>
      <c r="AH220" s="59" t="n">
        <f aca="false">IF(CH220&gt;0,CH220*MAX(1,AF220/X220),IF(BT220=1,IF(AF220&lt;=0,0,BW220*MAX(1,IF(H220&gt;0,AF220/H220,1))),IF(R220&gt;0,AG220/R220,0))/MAX(0.1,N(Parameter!$M$21)))</f>
        <v>0.333333333333333</v>
      </c>
      <c r="AI220" s="57" t="n">
        <f aca="false">AF220*G220</f>
        <v>678.65</v>
      </c>
      <c r="AJ220" s="57" t="n">
        <f aca="false">ROUNDUP(MAX(J220/IF(BZ220&gt;0,BZ220,MAX(0.1,N(Cockpit!$C$6))),CC220)/BS220,0)*BS220</f>
        <v>2</v>
      </c>
      <c r="AK220" s="58" t="n">
        <f aca="false">IF(AH220&gt;0,J220/AH220,-1)</f>
        <v>0</v>
      </c>
      <c r="AL220" s="58" t="n">
        <f aca="false">IF(AND(OR(BY220="L1",BY220="L23"),AH220&gt;0),SUMIFS($AH$7:$AH$1843,$BY$7:$BY$1843,BY220,$AK$7:$AK$1843,"&gt;"&amp;AK220)+SUMIFS($AH$7:$AH$1843,$BY$7:$BY$1843,BY220,$AK$7:$AK$1843,AK220,$BQ$7:$BQ$1843,"&lt;="&amp;BQ220),"")</f>
        <v>71.0046535590014</v>
      </c>
      <c r="AM220" s="65" t="n">
        <f aca="false">IF(AL220="",0,MAX(0,MIN(1,(IF(BY220="L1",Parameter!$E$5,Parameter!$E$6+Parameter!$E$7)-(AL220-AH220))/AH220)))</f>
        <v>1</v>
      </c>
      <c r="AN220" s="57" t="n">
        <f aca="false">IF(LEFT(Cockpit!$I$5,1)="A",H220,IF(CA220=1,CB220,IF(LEFT(Cockpit!$I$5,1)="B",AR220,MAX(AR220,H220))))</f>
        <v>2</v>
      </c>
      <c r="AO220" s="57" t="n">
        <f aca="false">IF(BT220=1,0,ROUNDUP(AN220/BS220,0))</f>
        <v>1</v>
      </c>
      <c r="AP220" s="59" t="n">
        <f aca="false">IF(CH220&gt;0,CH220*MAX(1,AN220/X220),IF(BT220=1,IF(AN220&lt;=0,0,BW220*MAX(1,IF(H220&gt;0,AN220/H220,1))),IF(R220&gt;0,AO220/R220,0))/MAX(0.1,N(Parameter!$M$21)))</f>
        <v>0.333333333333333</v>
      </c>
      <c r="AQ220" s="57" t="n">
        <f aca="false">AN220*G220</f>
        <v>1357.3</v>
      </c>
      <c r="AR220" s="57" t="n">
        <f aca="false">ROUNDUP(MAX(J220/IF(BZ220&gt;0,BZ220,MAX(0.1,N(Cockpit!$I$6))),CC220)/BS220,0)*BS220</f>
        <v>2</v>
      </c>
      <c r="AS220" s="58" t="n">
        <f aca="false">IF(AP220&gt;0,J220/AP220,-1)</f>
        <v>0</v>
      </c>
      <c r="AT220" s="58" t="n">
        <f aca="false">IF(AND(OR(BY220="L1",BY220="L23"),AP220&gt;0),SUMIFS($AP$7:$AP$1843,$BY$7:$BY$1843,BY220,$AS$7:$AS$1843,"&gt;"&amp;AS220)+SUMIFS($AP$7:$AP$1843,$BY$7:$BY$1843,BY220,$AS$7:$AS$1843,AS220,$BQ$7:$BQ$1843,"&lt;="&amp;BQ220),"")</f>
        <v>110.428777743995</v>
      </c>
      <c r="AU220" s="65" t="n">
        <f aca="false">IF(AT220="",0,MAX(0,MIN(1,(IF(BY220="L1",Parameter!$E$5,Parameter!$E$6+Parameter!$E$7)-(AT220-AP220))/AP220)))</f>
        <v>0</v>
      </c>
      <c r="AV220" s="57" t="n">
        <f aca="false">IF(LEFT(Cockpit!$O$5,1)="A",H220,IF(CA220=1,CB220,IF(LEFT(Cockpit!$O$5,1)="B",AZ220,MAX(AZ220,H220))))</f>
        <v>2</v>
      </c>
      <c r="AW220" s="57" t="n">
        <f aca="false">IF(BT220=1,0,ROUNDUP(AV220/BS220,0))</f>
        <v>1</v>
      </c>
      <c r="AX220" s="59" t="n">
        <f aca="false">IF(CH220&gt;0,CH220*MAX(1,AV220/X220),IF(BT220=1,IF(AV220&lt;=0,0,BW220*MAX(1,IF(H220&gt;0,AV220/H220,1))),IF(R220&gt;0,AW220/R220,0))/MAX(0.1,N(Parameter!$M$21)))</f>
        <v>0.333333333333333</v>
      </c>
      <c r="AY220" s="57" t="n">
        <f aca="false">AV220*G220</f>
        <v>1357.3</v>
      </c>
      <c r="AZ220" s="57" t="n">
        <f aca="false">ROUNDUP(MAX(J220/IF(BZ220&gt;0,BZ220,MAX(0.1,N(Cockpit!$O$6))),CC220)/BS220,0)*BS220</f>
        <v>2</v>
      </c>
      <c r="BA220" s="58" t="n">
        <f aca="false">IF(AX220&gt;0,J220/AX220,-1)</f>
        <v>0</v>
      </c>
      <c r="BB220" s="58" t="n">
        <f aca="false">IF(AND(OR(BY220="L1",BY220="L23"),AX220&gt;0),SUMIFS($AX$7:$AX$1843,$BY$7:$BY$1843,BY220,$BA$7:$BA$1843,"&gt;"&amp;BA220)+SUMIFS($AX$7:$AX$1843,$BY$7:$BY$1843,BY220,$BA$7:$BA$1843,BA220,$BQ$7:$BQ$1843,"&lt;="&amp;BQ220),"")</f>
        <v>101.258614573832</v>
      </c>
      <c r="BC220" s="65" t="n">
        <f aca="false">IF(BB220="",0,MAX(0,MIN(1,(IF(BY220="L1",Parameter!$E$5,Parameter!$E$6+Parameter!$E$7)-(BB220-AX220))/AX220)))</f>
        <v>0</v>
      </c>
      <c r="BD220" s="55" t="str">
        <f aca="false">IF(AH220&lt;=0,"",IF(BY220="Aussen","Aussenlager",IF(BY220="-","Nicht im Lift",IF(AM220&gt;=1,"Lift",IF(AM220&lt;=0,"Aussenlager","teilweise")))))</f>
        <v>Lift</v>
      </c>
      <c r="BE220" s="55" t="str">
        <f aca="false">IF(AP220&lt;=0,"",IF(BY220="Aussen","Aussenlager",IF(BY220="-","Nicht im Lift",IF(AU220&gt;=1,"Lift",IF(AU220&lt;=0,"Aussenlager","teilweise")))))</f>
        <v>Aussenlager</v>
      </c>
      <c r="BF220" s="55" t="str">
        <f aca="false">IF(AX220&lt;=0,"",IF(BY220="Aussen","Aussenlager",IF(BY220="-","Nicht im Lift",IF(BC220&gt;=1,"Lift",IF(BC220&lt;=0,"Aussenlager","teilweise")))))</f>
        <v>Aussenlager</v>
      </c>
      <c r="BG220" s="55" t="str">
        <f aca="false">IF(A220="","",IF(BP220=1,"Neu; ","")&amp;IF(AND(BP220=0,BK220&lt;0),"negativer Bestand (Export "&amp;BK220&amp;"); ","")&amp;IF(J220&lt;=0,"Kein Verbrauch; ","")&amp;IF(CH220&gt;0,"Lift "&amp;W220&amp;" lt. Liftbericht (Fach "&amp;X220&amp;" Stk); ",IF(BU220=1,"Gebinde geschätzt ("&amp;T220&amp;"); ",IF(BT220=1,"Lose – Tablare geschätzt; ","")))&amp;IF(H220&gt;AR220,"Überbestand "&amp;ROUND(H220-AR220,0)&amp;" Stk / CHF "&amp;ROUND((H220-AR220)*G220,0)&amp;"; ","")&amp;IF(AND(CA220=1,CB220&lt;CC220),"MAX &lt; MB+LG; ","")&amp;IF(AND(CG220&gt;0,CF220*10&gt;CG220),"zu hoch für Tablar; ","")&amp;IF(AND(BP220=0,OR(CA220=1,AA220&lt;&gt;"",U220&lt;&gt;"",V220&lt;&gt;"",AB220&lt;&gt;"")),"manuell übersteuert; ","")&amp;IF(AND(BT220=0,R220=0),"Gebinde unbekannt / Stellmass fehlt; ","")&amp;IF(AND(BT220=0,N(V220)&lt;=0,N(Q220)&lt;=0),"Menge pro Gebinde fehlt (Ist = 1 Gebinde); ","")&amp;BO220)</f>
        <v>Kein Verbrauch; Gebinde geschätzt (Gross); Menge pro Gebinde fehlt (Ist = 1 Gebinde); </v>
      </c>
      <c r="BH220" s="55"/>
      <c r="BI220" s="55"/>
      <c r="BJ220" s="62"/>
      <c r="BK220" s="57" t="n">
        <v>1</v>
      </c>
      <c r="BL220" s="57" t="n">
        <v>0</v>
      </c>
      <c r="BM220" s="56" t="n">
        <v>678.65</v>
      </c>
      <c r="BN220" s="57" t="n">
        <v>0</v>
      </c>
      <c r="BO220" s="55"/>
      <c r="BP220" s="60" t="n">
        <v>0</v>
      </c>
      <c r="BQ220" s="60" t="n">
        <v>220</v>
      </c>
      <c r="BR220" s="55" t="str">
        <f aca="false">IF(U220&lt;&gt;"",UPPER(TRIM(U220)),IF(BU220=1,UPPER(VLOOKUP(T220,Parameter!$I$27:$K$29,2,0)),IF(P220="","LOSE",P220)))</f>
        <v>S81</v>
      </c>
      <c r="BS220" s="57" t="n">
        <f aca="false">IF(BR220="LOSE",1,IF(N(V220)&gt;0,V220,IF(BU220=1,MAX(1,N(VLOOKUP(T220,Parameter!$I$27:$K$29,3,0)),H220,N(N220)),IF(N(Q220)&gt;0,Q220,MAX(1,H220)))))</f>
        <v>2</v>
      </c>
      <c r="BT220" s="60" t="n">
        <f aca="false">IF(BR220="LOSE",1,0)</f>
        <v>0</v>
      </c>
      <c r="BU220" s="60" t="n">
        <f aca="false">IF(AND(U220="",OR(P220="",P220="LOSE"),T220&lt;&gt;"",N(S220)&lt;=0,ISNUMBER(MATCH(T220,Parameter!$I$27:$I$29,0))),1,0)</f>
        <v>1</v>
      </c>
      <c r="BV220" s="55" t="str">
        <f aca="false">IF(AND(Parameter!$B$19="Ja",E220&lt;&gt;"",ISNUMBER(MATCH(E220,Parameter!$I$35:$I$52,0))),VLOOKUP(E220,Parameter!$I$35:$J$52,2,0),IFERROR(VLOOKUP(D220,Parameter!$A$35:$C$64,2,0),"Nein"))</f>
        <v>2+3</v>
      </c>
      <c r="BW220" s="59" t="n">
        <f aca="false">IF(BT220=0,0,IF(N(S220)&gt;0,S220,IFERROR(VLOOKUP(D220,Parameter!$A$35:$C$64,3,0)+0,0)))</f>
        <v>0</v>
      </c>
      <c r="BX220" s="55" t="n">
        <f aca="false">IF(AA220&lt;&gt;"",AA220,Z220)</f>
        <v>2</v>
      </c>
      <c r="BY220" s="55" t="str">
        <f aca="false">IF(BX220=1,"L1",IF(OR(BX220=2,BX220=3),"L23",IF(BX220="Aussen","Aussen","-")))</f>
        <v>L23</v>
      </c>
      <c r="BZ220" s="66" t="n">
        <f aca="false">IF(N(AB220)&gt;0,AB220,0)</f>
        <v>0</v>
      </c>
      <c r="CA220" s="60" t="n">
        <f aca="false">IF(ISNUMBER(AE220),1,0)</f>
        <v>0</v>
      </c>
      <c r="CB220" s="57" t="n">
        <f aca="false">N(AE220)</f>
        <v>0</v>
      </c>
      <c r="CC220" s="57" t="n">
        <f aca="false">N(M220)+N(N220)</f>
        <v>1</v>
      </c>
      <c r="CD220" s="57" t="n">
        <f aca="false">ROUNDUP(H220/BS220,0)</f>
        <v>1</v>
      </c>
      <c r="CE220" s="57" t="n">
        <f aca="false">ROUNDUP(CB220/BS220,0)</f>
        <v>0</v>
      </c>
      <c r="CF220" s="60" t="n">
        <f aca="false">IF(BT220=1,0,IFERROR(VLOOKUP(BR220,'Gebinde-Kategorie'!$A$5:$M$45,5,0)+0,0))</f>
        <v>20</v>
      </c>
      <c r="CG220" s="60" t="n">
        <f aca="false">IFERROR(IF(OR(BX220=1,BX220=2,BX220=3),N(INDEX(Parameter!$I$5:$I$7,BX220)),0),0)</f>
        <v>0</v>
      </c>
      <c r="CH220" s="59" t="n">
        <f aca="false">IF(AND(Parameter!$B$21="Ja",ISNUMBER(W220),N(X220)&gt;0),IFERROR(N(INDEX(Parameter!$L$5:$L$7,W220))*INDEX(Parameter!$E$5:$E$7,W220)*X220/SUMIFS($X$7:$X$1843,$W$7:$W$1843,W220),0),0)</f>
        <v>0</v>
      </c>
    </row>
    <row r="221" customFormat="false" ht="15" hidden="false" customHeight="false" outlineLevel="0" collapsed="false">
      <c r="A221" s="55" t="s">
        <v>634</v>
      </c>
      <c r="B221" s="55" t="s">
        <v>635</v>
      </c>
      <c r="C221" s="55" t="s">
        <v>164</v>
      </c>
      <c r="D221" s="55" t="s">
        <v>184</v>
      </c>
      <c r="E221" s="55"/>
      <c r="F221" s="55" t="s">
        <v>218</v>
      </c>
      <c r="G221" s="56" t="n">
        <v>36.84</v>
      </c>
      <c r="H221" s="57" t="n">
        <f aca="false">MAX(0,IF(AND(Parameter!$B$21="Ja",ISNUMBER(Y221)),Y221,IF(Parameter!$B$20="Jahresanfang 2025 + Export",BL221+BK221,BK221)))</f>
        <v>36</v>
      </c>
      <c r="I221" s="57" t="n">
        <f aca="false">H221*G221</f>
        <v>1326.24</v>
      </c>
      <c r="J221" s="57" t="n">
        <f aca="false">BN221*Parameter!$B$18</f>
        <v>49</v>
      </c>
      <c r="K221" s="58" t="n">
        <v>23</v>
      </c>
      <c r="L221" s="59" t="n">
        <v>2.1304347826087</v>
      </c>
      <c r="M221" s="57" t="n">
        <v>3</v>
      </c>
      <c r="N221" s="57" t="n">
        <v>50</v>
      </c>
      <c r="O221" s="60" t="n">
        <v>28</v>
      </c>
      <c r="P221" s="55" t="s">
        <v>186</v>
      </c>
      <c r="Q221" s="57" t="n">
        <v>40</v>
      </c>
      <c r="R221" s="60" t="n">
        <f aca="false">IF(BT221=1,0,IFERROR(VLOOKUP(BR221,'Gebinde-Kategorie'!$A$5:$M$45,13,0)+0,0))</f>
        <v>12</v>
      </c>
      <c r="S221" s="61"/>
      <c r="T221" s="62"/>
      <c r="U221" s="62"/>
      <c r="V221" s="62"/>
      <c r="W221" s="55"/>
      <c r="X221" s="57"/>
      <c r="Y221" s="57"/>
      <c r="Z221" s="55" t="n">
        <f aca="false">IF(A221="","",IF(AND(Parameter!$B$21="Ja",ISNUMBER(W221)),W221,IF(BV221="2+3",IF(ISNUMBER(SEARCH("grosser Artikel",BO221)),2,IFERROR(VLOOKUP(BR221,Parameter!$F$35:$G$64,2,0),2)),IF(OR(BV221="Nein",BV221=""),"-",BV221))))</f>
        <v>2</v>
      </c>
      <c r="AA221" s="62"/>
      <c r="AB221" s="63"/>
      <c r="AC221" s="57" t="n">
        <f aca="false">AR221</f>
        <v>80</v>
      </c>
      <c r="AD221" s="57" t="n">
        <f aca="false">MAX(AR221,H221)</f>
        <v>80</v>
      </c>
      <c r="AE221" s="64"/>
      <c r="AF221" s="57" t="n">
        <f aca="false">IF(LEFT(Cockpit!$C$5,1)="A",H221,IF(CA221=1,CB221,IF(LEFT(Cockpit!$C$5,1)="B",AJ221,MAX(AJ221,H221))))</f>
        <v>36</v>
      </c>
      <c r="AG221" s="57" t="n">
        <f aca="false">IF(BT221=1,0,ROUNDUP(AF221/BS221,0))</f>
        <v>1</v>
      </c>
      <c r="AH221" s="59" t="n">
        <f aca="false">IF(CH221&gt;0,CH221*MAX(1,AF221/X221),IF(BT221=1,IF(AF221&lt;=0,0,BW221*MAX(1,IF(H221&gt;0,AF221/H221,1))),IF(R221&gt;0,AG221/R221,0))/MAX(0.1,N(Parameter!$M$21)))</f>
        <v>0.0833333333333333</v>
      </c>
      <c r="AI221" s="57" t="n">
        <f aca="false">AF221*G221</f>
        <v>1326.24</v>
      </c>
      <c r="AJ221" s="57" t="n">
        <f aca="false">ROUNDUP(MAX(J221/IF(BZ221&gt;0,BZ221,MAX(0.1,N(Cockpit!$C$6))),CC221)/BS221,0)*BS221</f>
        <v>80</v>
      </c>
      <c r="AK221" s="58" t="n">
        <f aca="false">IF(AH221&gt;0,J221/AH221,-1)</f>
        <v>588</v>
      </c>
      <c r="AL221" s="58" t="n">
        <f aca="false">IF(AND(OR(BY221="L1",BY221="L23"),AH221&gt;0),SUMIFS($AH$7:$AH$1843,$BY$7:$BY$1843,BY221,$AK$7:$AK$1843,"&gt;"&amp;AK221)+SUMIFS($AH$7:$AH$1843,$BY$7:$BY$1843,BY221,$AK$7:$AK$1843,AK221,$BQ$7:$BQ$1843,"&lt;="&amp;BQ221),"")</f>
        <v>23.3344988344988</v>
      </c>
      <c r="AM221" s="65" t="n">
        <f aca="false">IF(AL221="",0,MAX(0,MIN(1,(IF(BY221="L1",Parameter!$E$5,Parameter!$E$6+Parameter!$E$7)-(AL221-AH221))/AH221)))</f>
        <v>1</v>
      </c>
      <c r="AN221" s="57" t="n">
        <f aca="false">IF(LEFT(Cockpit!$I$5,1)="A",H221,IF(CA221=1,CB221,IF(LEFT(Cockpit!$I$5,1)="B",AR221,MAX(AR221,H221))))</f>
        <v>80</v>
      </c>
      <c r="AO221" s="57" t="n">
        <f aca="false">IF(BT221=1,0,ROUNDUP(AN221/BS221,0))</f>
        <v>2</v>
      </c>
      <c r="AP221" s="59" t="n">
        <f aca="false">IF(CH221&gt;0,CH221*MAX(1,AN221/X221),IF(BT221=1,IF(AN221&lt;=0,0,BW221*MAX(1,IF(H221&gt;0,AN221/H221,1))),IF(R221&gt;0,AO221/R221,0))/MAX(0.1,N(Parameter!$M$21)))</f>
        <v>0.166666666666667</v>
      </c>
      <c r="AQ221" s="57" t="n">
        <f aca="false">AN221*G221</f>
        <v>2947.2</v>
      </c>
      <c r="AR221" s="57" t="n">
        <f aca="false">ROUNDUP(MAX(J221/IF(BZ221&gt;0,BZ221,MAX(0.1,N(Cockpit!$I$6))),CC221)/BS221,0)*BS221</f>
        <v>80</v>
      </c>
      <c r="AS221" s="58" t="n">
        <f aca="false">IF(AP221&gt;0,J221/AP221,-1)</f>
        <v>294</v>
      </c>
      <c r="AT221" s="58" t="n">
        <f aca="false">IF(AND(OR(BY221="L1",BY221="L23"),AP221&gt;0),SUMIFS($AP$7:$AP$1843,$BY$7:$BY$1843,BY221,$AS$7:$AS$1843,"&gt;"&amp;AS221)+SUMIFS($AP$7:$AP$1843,$BY$7:$BY$1843,BY221,$AS$7:$AS$1843,AS221,$BQ$7:$BQ$1843,"&lt;="&amp;BQ221),"")</f>
        <v>41.4265480895916</v>
      </c>
      <c r="AU221" s="65" t="n">
        <f aca="false">IF(AT221="",0,MAX(0,MIN(1,(IF(BY221="L1",Parameter!$E$5,Parameter!$E$6+Parameter!$E$7)-(AT221-AP221))/AP221)))</f>
        <v>1</v>
      </c>
      <c r="AV221" s="57" t="n">
        <f aca="false">IF(LEFT(Cockpit!$O$5,1)="A",H221,IF(CA221=1,CB221,IF(LEFT(Cockpit!$O$5,1)="B",AZ221,MAX(AZ221,H221))))</f>
        <v>80</v>
      </c>
      <c r="AW221" s="57" t="n">
        <f aca="false">IF(BT221=1,0,ROUNDUP(AV221/BS221,0))</f>
        <v>2</v>
      </c>
      <c r="AX221" s="59" t="n">
        <f aca="false">IF(CH221&gt;0,CH221*MAX(1,AV221/X221),IF(BT221=1,IF(AV221&lt;=0,0,BW221*MAX(1,IF(H221&gt;0,AV221/H221,1))),IF(R221&gt;0,AW221/R221,0))/MAX(0.1,N(Parameter!$M$21)))</f>
        <v>0.166666666666667</v>
      </c>
      <c r="AY221" s="57" t="n">
        <f aca="false">AV221*G221</f>
        <v>2947.2</v>
      </c>
      <c r="AZ221" s="57" t="n">
        <f aca="false">ROUNDUP(MAX(J221/IF(BZ221&gt;0,BZ221,MAX(0.1,N(Cockpit!$O$6))),CC221)/BS221,0)*BS221</f>
        <v>80</v>
      </c>
      <c r="BA221" s="58" t="n">
        <f aca="false">IF(AX221&gt;0,J221/AX221,-1)</f>
        <v>294</v>
      </c>
      <c r="BB221" s="58" t="n">
        <f aca="false">IF(AND(OR(BY221="L1",BY221="L23"),AX221&gt;0),SUMIFS($AX$7:$AX$1843,$BY$7:$BY$1843,BY221,$BA$7:$BA$1843,"&gt;"&amp;BA221)+SUMIFS($AX$7:$AX$1843,$BY$7:$BY$1843,BY221,$BA$7:$BA$1843,BA221,$BQ$7:$BQ$1843,"&lt;="&amp;BQ221),"")</f>
        <v>37.7563849194284</v>
      </c>
      <c r="BC221" s="65" t="n">
        <f aca="false">IF(BB221="",0,MAX(0,MIN(1,(IF(BY221="L1",Parameter!$E$5,Parameter!$E$6+Parameter!$E$7)-(BB221-AX221))/AX221)))</f>
        <v>1</v>
      </c>
      <c r="BD221" s="55" t="str">
        <f aca="false">IF(AH221&lt;=0,"",IF(BY221="Aussen","Aussenlager",IF(BY221="-","Nicht im Lift",IF(AM221&gt;=1,"Lift",IF(AM221&lt;=0,"Aussenlager","teilweise")))))</f>
        <v>Lift</v>
      </c>
      <c r="BE221" s="55" t="str">
        <f aca="false">IF(AP221&lt;=0,"",IF(BY221="Aussen","Aussenlager",IF(BY221="-","Nicht im Lift",IF(AU221&gt;=1,"Lift",IF(AU221&lt;=0,"Aussenlager","teilweise")))))</f>
        <v>Lift</v>
      </c>
      <c r="BF221" s="55" t="str">
        <f aca="false">IF(AX221&lt;=0,"",IF(BY221="Aussen","Aussenlager",IF(BY221="-","Nicht im Lift",IF(BC221&gt;=1,"Lift",IF(BC221&lt;=0,"Aussenlager","teilweise")))))</f>
        <v>Lift</v>
      </c>
      <c r="BG221" s="55" t="str">
        <f aca="false">IF(A221="","",IF(BP221=1,"Neu; ","")&amp;IF(AND(BP221=0,BK221&lt;0),"negativer Bestand (Export "&amp;BK221&amp;"); ","")&amp;IF(J221&lt;=0,"Kein Verbrauch; ","")&amp;IF(CH221&gt;0,"Lift "&amp;W221&amp;" lt. Liftbericht (Fach "&amp;X221&amp;" Stk); ",IF(BU221=1,"Gebinde geschätzt ("&amp;T221&amp;"); ",IF(BT221=1,"Lose – Tablare geschätzt; ","")))&amp;IF(H221&gt;AR221,"Überbestand "&amp;ROUND(H221-AR221,0)&amp;" Stk / CHF "&amp;ROUND((H221-AR221)*G221,0)&amp;"; ","")&amp;IF(AND(CA221=1,CB221&lt;CC221),"MAX &lt; MB+LG; ","")&amp;IF(AND(CG221&gt;0,CF221*10&gt;CG221),"zu hoch für Tablar; ","")&amp;IF(AND(BP221=0,OR(CA221=1,AA221&lt;&gt;"",U221&lt;&gt;"",V221&lt;&gt;"",AB221&lt;&gt;"")),"manuell übersteuert; ","")&amp;IF(AND(BT221=0,R221=0),"Gebinde unbekannt / Stellmass fehlt; ","")&amp;IF(AND(BT221=0,N(V221)&lt;=0,N(Q221)&lt;=0),"Menge pro Gebinde fehlt (Ist = 1 Gebinde); ","")&amp;BO221)</f>
        <v/>
      </c>
      <c r="BH221" s="55"/>
      <c r="BI221" s="55"/>
      <c r="BJ221" s="62"/>
      <c r="BK221" s="57" t="n">
        <v>18</v>
      </c>
      <c r="BL221" s="57" t="n">
        <v>18</v>
      </c>
      <c r="BM221" s="56" t="n">
        <v>675.72</v>
      </c>
      <c r="BN221" s="57" t="n">
        <v>49</v>
      </c>
      <c r="BO221" s="55"/>
      <c r="BP221" s="60" t="n">
        <v>0</v>
      </c>
      <c r="BQ221" s="60" t="n">
        <v>221</v>
      </c>
      <c r="BR221" s="55" t="str">
        <f aca="false">IF(U221&lt;&gt;"",UPPER(TRIM(U221)),IF(BU221=1,UPPER(VLOOKUP(T221,Parameter!$I$27:$K$29,2,0)),IF(P221="","LOSE",P221)))</f>
        <v>S61</v>
      </c>
      <c r="BS221" s="57" t="n">
        <f aca="false">IF(BR221="LOSE",1,IF(N(V221)&gt;0,V221,IF(BU221=1,MAX(1,N(VLOOKUP(T221,Parameter!$I$27:$K$29,3,0)),H221,N(N221)),IF(N(Q221)&gt;0,Q221,MAX(1,H221)))))</f>
        <v>40</v>
      </c>
      <c r="BT221" s="60" t="n">
        <f aca="false">IF(BR221="LOSE",1,0)</f>
        <v>0</v>
      </c>
      <c r="BU221" s="60" t="n">
        <f aca="false">IF(AND(U221="",OR(P221="",P221="LOSE"),T221&lt;&gt;"",N(S221)&lt;=0,ISNUMBER(MATCH(T221,Parameter!$I$27:$I$29,0))),1,0)</f>
        <v>0</v>
      </c>
      <c r="BV221" s="55" t="str">
        <f aca="false">IF(AND(Parameter!$B$19="Ja",E221&lt;&gt;"",ISNUMBER(MATCH(E221,Parameter!$I$35:$I$52,0))),VLOOKUP(E221,Parameter!$I$35:$J$52,2,0),IFERROR(VLOOKUP(D221,Parameter!$A$35:$C$64,2,0),"Nein"))</f>
        <v>2+3</v>
      </c>
      <c r="BW221" s="59" t="n">
        <f aca="false">IF(BT221=0,0,IF(N(S221)&gt;0,S221,IFERROR(VLOOKUP(D221,Parameter!$A$35:$C$64,3,0)+0,0)))</f>
        <v>0</v>
      </c>
      <c r="BX221" s="55" t="n">
        <f aca="false">IF(AA221&lt;&gt;"",AA221,Z221)</f>
        <v>2</v>
      </c>
      <c r="BY221" s="55" t="str">
        <f aca="false">IF(BX221=1,"L1",IF(OR(BX221=2,BX221=3),"L23",IF(BX221="Aussen","Aussen","-")))</f>
        <v>L23</v>
      </c>
      <c r="BZ221" s="66" t="n">
        <f aca="false">IF(N(AB221)&gt;0,AB221,0)</f>
        <v>0</v>
      </c>
      <c r="CA221" s="60" t="n">
        <f aca="false">IF(ISNUMBER(AE221),1,0)</f>
        <v>0</v>
      </c>
      <c r="CB221" s="57" t="n">
        <f aca="false">N(AE221)</f>
        <v>0</v>
      </c>
      <c r="CC221" s="57" t="n">
        <f aca="false">N(M221)+N(N221)</f>
        <v>53</v>
      </c>
      <c r="CD221" s="57" t="n">
        <f aca="false">ROUNDUP(H221/BS221,0)</f>
        <v>1</v>
      </c>
      <c r="CE221" s="57" t="n">
        <f aca="false">ROUNDUP(CB221/BS221,0)</f>
        <v>0</v>
      </c>
      <c r="CF221" s="60" t="n">
        <f aca="false">IF(BT221=1,0,IFERROR(VLOOKUP(BR221,'Gebinde-Kategorie'!$A$5:$M$45,5,0)+0,0))</f>
        <v>11</v>
      </c>
      <c r="CG221" s="60" t="n">
        <f aca="false">IFERROR(IF(OR(BX221=1,BX221=2,BX221=3),N(INDEX(Parameter!$I$5:$I$7,BX221)),0),0)</f>
        <v>0</v>
      </c>
      <c r="CH221" s="59" t="n">
        <f aca="false">IF(AND(Parameter!$B$21="Ja",ISNUMBER(W221),N(X221)&gt;0),IFERROR(N(INDEX(Parameter!$L$5:$L$7,W221))*INDEX(Parameter!$E$5:$E$7,W221)*X221/SUMIFS($X$7:$X$1843,$W$7:$W$1843,W221),0),0)</f>
        <v>0</v>
      </c>
    </row>
    <row r="222" customFormat="false" ht="15" hidden="false" customHeight="false" outlineLevel="0" collapsed="false">
      <c r="A222" s="55" t="s">
        <v>636</v>
      </c>
      <c r="B222" s="55" t="s">
        <v>637</v>
      </c>
      <c r="C222" s="55" t="s">
        <v>164</v>
      </c>
      <c r="D222" s="55" t="s">
        <v>184</v>
      </c>
      <c r="E222" s="55" t="s">
        <v>185</v>
      </c>
      <c r="F222" s="55" t="s">
        <v>218</v>
      </c>
      <c r="G222" s="56" t="n">
        <v>5.56</v>
      </c>
      <c r="H222" s="57" t="n">
        <f aca="false">MAX(0,IF(AND(Parameter!$B$21="Ja",ISNUMBER(Y222)),Y222,IF(Parameter!$B$20="Jahresanfang 2025 + Export",BL222+BK222,BK222)))</f>
        <v>162</v>
      </c>
      <c r="I222" s="57" t="n">
        <f aca="false">H222*G222</f>
        <v>900.72</v>
      </c>
      <c r="J222" s="57" t="n">
        <f aca="false">BN222*Parameter!$B$18</f>
        <v>150</v>
      </c>
      <c r="K222" s="58" t="n">
        <v>47.5</v>
      </c>
      <c r="L222" s="59" t="n">
        <v>3.15789473684211</v>
      </c>
      <c r="M222" s="57" t="n">
        <v>11</v>
      </c>
      <c r="N222" s="57" t="n">
        <v>150</v>
      </c>
      <c r="O222" s="60" t="n">
        <v>28</v>
      </c>
      <c r="P222" s="55" t="s">
        <v>302</v>
      </c>
      <c r="Q222" s="57" t="n">
        <v>89</v>
      </c>
      <c r="R222" s="60" t="n">
        <f aca="false">IF(BT222=1,0,IFERROR(VLOOKUP(BR222,'Gebinde-Kategorie'!$A$5:$M$45,13,0)+0,0))</f>
        <v>26</v>
      </c>
      <c r="S222" s="61"/>
      <c r="T222" s="62"/>
      <c r="U222" s="62"/>
      <c r="V222" s="62"/>
      <c r="W222" s="55"/>
      <c r="X222" s="57"/>
      <c r="Y222" s="57"/>
      <c r="Z222" s="55" t="n">
        <f aca="false">IF(A222="","",IF(AND(Parameter!$B$21="Ja",ISNUMBER(W222)),W222,IF(BV222="2+3",IF(ISNUMBER(SEARCH("grosser Artikel",BO222)),2,IFERROR(VLOOKUP(BR222,Parameter!$F$35:$G$64,2,0),2)),IF(OR(BV222="Nein",BV222=""),"-",BV222))))</f>
        <v>3</v>
      </c>
      <c r="AA222" s="62"/>
      <c r="AB222" s="63"/>
      <c r="AC222" s="57" t="n">
        <f aca="false">AR222</f>
        <v>178</v>
      </c>
      <c r="AD222" s="57" t="n">
        <f aca="false">MAX(AR222,H222)</f>
        <v>178</v>
      </c>
      <c r="AE222" s="64"/>
      <c r="AF222" s="57" t="n">
        <f aca="false">IF(LEFT(Cockpit!$C$5,1)="A",H222,IF(CA222=1,CB222,IF(LEFT(Cockpit!$C$5,1)="B",AJ222,MAX(AJ222,H222))))</f>
        <v>162</v>
      </c>
      <c r="AG222" s="57" t="n">
        <f aca="false">IF(BT222=1,0,ROUNDUP(AF222/BS222,0))</f>
        <v>2</v>
      </c>
      <c r="AH222" s="59" t="n">
        <f aca="false">IF(CH222&gt;0,CH222*MAX(1,AF222/X222),IF(BT222=1,IF(AF222&lt;=0,0,BW222*MAX(1,IF(H222&gt;0,AF222/H222,1))),IF(R222&gt;0,AG222/R222,0))/MAX(0.1,N(Parameter!$M$21)))</f>
        <v>0.0769230769230769</v>
      </c>
      <c r="AI222" s="57" t="n">
        <f aca="false">AF222*G222</f>
        <v>900.72</v>
      </c>
      <c r="AJ222" s="57" t="n">
        <f aca="false">ROUNDUP(MAX(J222/IF(BZ222&gt;0,BZ222,MAX(0.1,N(Cockpit!$C$6))),CC222)/BS222,0)*BS222</f>
        <v>178</v>
      </c>
      <c r="AK222" s="58" t="n">
        <f aca="false">IF(AH222&gt;0,J222/AH222,-1)</f>
        <v>1950</v>
      </c>
      <c r="AL222" s="58" t="n">
        <f aca="false">IF(AND(OR(BY222="L1",BY222="L23"),AH222&gt;0),SUMIFS($AH$7:$AH$1843,$BY$7:$BY$1843,BY222,$AK$7:$AK$1843,"&gt;"&amp;AK222)+SUMIFS($AH$7:$AH$1843,$BY$7:$BY$1843,BY222,$AK$7:$AK$1843,AK222,$BQ$7:$BQ$1843,"&lt;="&amp;BQ222),"")</f>
        <v>13.3421083747171</v>
      </c>
      <c r="AM222" s="65" t="n">
        <f aca="false">IF(AL222="",0,MAX(0,MIN(1,(IF(BY222="L1",Parameter!$E$5,Parameter!$E$6+Parameter!$E$7)-(AL222-AH222))/AH222)))</f>
        <v>1</v>
      </c>
      <c r="AN222" s="57" t="n">
        <f aca="false">IF(LEFT(Cockpit!$I$5,1)="A",H222,IF(CA222=1,CB222,IF(LEFT(Cockpit!$I$5,1)="B",AR222,MAX(AR222,H222))))</f>
        <v>178</v>
      </c>
      <c r="AO222" s="57" t="n">
        <f aca="false">IF(BT222=1,0,ROUNDUP(AN222/BS222,0))</f>
        <v>2</v>
      </c>
      <c r="AP222" s="59" t="n">
        <f aca="false">IF(CH222&gt;0,CH222*MAX(1,AN222/X222),IF(BT222=1,IF(AN222&lt;=0,0,BW222*MAX(1,IF(H222&gt;0,AN222/H222,1))),IF(R222&gt;0,AO222/R222,0))/MAX(0.1,N(Parameter!$M$21)))</f>
        <v>0.0769230769230769</v>
      </c>
      <c r="AQ222" s="57" t="n">
        <f aca="false">AN222*G222</f>
        <v>989.68</v>
      </c>
      <c r="AR222" s="57" t="n">
        <f aca="false">ROUNDUP(MAX(J222/IF(BZ222&gt;0,BZ222,MAX(0.1,N(Cockpit!$I$6))),CC222)/BS222,0)*BS222</f>
        <v>178</v>
      </c>
      <c r="AS222" s="58" t="n">
        <f aca="false">IF(AP222&gt;0,J222/AP222,-1)</f>
        <v>1950</v>
      </c>
      <c r="AT222" s="58" t="n">
        <f aca="false">IF(AND(OR(BY222="L1",BY222="L23"),AP222&gt;0),SUMIFS($AP$7:$AP$1843,$BY$7:$BY$1843,BY222,$AS$7:$AS$1843,"&gt;"&amp;AS222)+SUMIFS($AP$7:$AP$1843,$BY$7:$BY$1843,BY222,$AS$7:$AS$1843,AS222,$BQ$7:$BQ$1843,"&lt;="&amp;BQ222),"")</f>
        <v>18.8168136211614</v>
      </c>
      <c r="AU222" s="65" t="n">
        <f aca="false">IF(AT222="",0,MAX(0,MIN(1,(IF(BY222="L1",Parameter!$E$5,Parameter!$E$6+Parameter!$E$7)-(AT222-AP222))/AP222)))</f>
        <v>1</v>
      </c>
      <c r="AV222" s="57" t="n">
        <f aca="false">IF(LEFT(Cockpit!$O$5,1)="A",H222,IF(CA222=1,CB222,IF(LEFT(Cockpit!$O$5,1)="B",AZ222,MAX(AZ222,H222))))</f>
        <v>178</v>
      </c>
      <c r="AW222" s="57" t="n">
        <f aca="false">IF(BT222=1,0,ROUNDUP(AV222/BS222,0))</f>
        <v>2</v>
      </c>
      <c r="AX222" s="59" t="n">
        <f aca="false">IF(CH222&gt;0,CH222*MAX(1,AV222/X222),IF(BT222=1,IF(AV222&lt;=0,0,BW222*MAX(1,IF(H222&gt;0,AV222/H222,1))),IF(R222&gt;0,AW222/R222,0))/MAX(0.1,N(Parameter!$M$21)))</f>
        <v>0.0769230769230769</v>
      </c>
      <c r="AY222" s="57" t="n">
        <f aca="false">AV222*G222</f>
        <v>989.68</v>
      </c>
      <c r="AZ222" s="57" t="n">
        <f aca="false">ROUNDUP(MAX(J222/IF(BZ222&gt;0,BZ222,MAX(0.1,N(Cockpit!$O$6))),CC222)/BS222,0)*BS222</f>
        <v>178</v>
      </c>
      <c r="BA222" s="58" t="n">
        <f aca="false">IF(AX222&gt;0,J222/AX222,-1)</f>
        <v>1950</v>
      </c>
      <c r="BB222" s="58" t="n">
        <f aca="false">IF(AND(OR(BY222="L1",BY222="L23"),AX222&gt;0),SUMIFS($AX$7:$AX$1843,$BY$7:$BY$1843,BY222,$BA$7:$BA$1843,"&gt;"&amp;BA222)+SUMIFS($AX$7:$AX$1843,$BY$7:$BY$1843,BY222,$BA$7:$BA$1843,BA222,$BQ$7:$BQ$1843,"&lt;="&amp;BQ222),"")</f>
        <v>17.5120350663829</v>
      </c>
      <c r="BC222" s="65" t="n">
        <f aca="false">IF(BB222="",0,MAX(0,MIN(1,(IF(BY222="L1",Parameter!$E$5,Parameter!$E$6+Parameter!$E$7)-(BB222-AX222))/AX222)))</f>
        <v>1</v>
      </c>
      <c r="BD222" s="55" t="str">
        <f aca="false">IF(AH222&lt;=0,"",IF(BY222="Aussen","Aussenlager",IF(BY222="-","Nicht im Lift",IF(AM222&gt;=1,"Lift",IF(AM222&lt;=0,"Aussenlager","teilweise")))))</f>
        <v>Lift</v>
      </c>
      <c r="BE222" s="55" t="str">
        <f aca="false">IF(AP222&lt;=0,"",IF(BY222="Aussen","Aussenlager",IF(BY222="-","Nicht im Lift",IF(AU222&gt;=1,"Lift",IF(AU222&lt;=0,"Aussenlager","teilweise")))))</f>
        <v>Lift</v>
      </c>
      <c r="BF222" s="55" t="str">
        <f aca="false">IF(AX222&lt;=0,"",IF(BY222="Aussen","Aussenlager",IF(BY222="-","Nicht im Lift",IF(BC222&gt;=1,"Lift",IF(BC222&lt;=0,"Aussenlager","teilweise")))))</f>
        <v>Lift</v>
      </c>
      <c r="BG222" s="55" t="str">
        <f aca="false">IF(A222="","",IF(BP222=1,"Neu; ","")&amp;IF(AND(BP222=0,BK222&lt;0),"negativer Bestand (Export "&amp;BK222&amp;"); ","")&amp;IF(J222&lt;=0,"Kein Verbrauch; ","")&amp;IF(CH222&gt;0,"Lift "&amp;W222&amp;" lt. Liftbericht (Fach "&amp;X222&amp;" Stk); ",IF(BU222=1,"Gebinde geschätzt ("&amp;T222&amp;"); ",IF(BT222=1,"Lose – Tablare geschätzt; ","")))&amp;IF(H222&gt;AR222,"Überbestand "&amp;ROUND(H222-AR222,0)&amp;" Stk / CHF "&amp;ROUND((H222-AR222)*G222,0)&amp;"; ","")&amp;IF(AND(CA222=1,CB222&lt;CC222),"MAX &lt; MB+LG; ","")&amp;IF(AND(CG222&gt;0,CF222*10&gt;CG222),"zu hoch für Tablar; ","")&amp;IF(AND(BP222=0,OR(CA222=1,AA222&lt;&gt;"",U222&lt;&gt;"",V222&lt;&gt;"",AB222&lt;&gt;"")),"manuell übersteuert; ","")&amp;IF(AND(BT222=0,R222=0),"Gebinde unbekannt / Stellmass fehlt; ","")&amp;IF(AND(BT222=0,N(V222)&lt;=0,N(Q222)&lt;=0),"Menge pro Gebinde fehlt (Ist = 1 Gebinde); ","")&amp;BO222)</f>
        <v/>
      </c>
      <c r="BH222" s="55"/>
      <c r="BI222" s="55"/>
      <c r="BJ222" s="62"/>
      <c r="BK222" s="57" t="n">
        <v>119</v>
      </c>
      <c r="BL222" s="57" t="n">
        <v>43</v>
      </c>
      <c r="BM222" s="56" t="n">
        <v>671.96</v>
      </c>
      <c r="BN222" s="57" t="n">
        <v>150</v>
      </c>
      <c r="BO222" s="55"/>
      <c r="BP222" s="60" t="n">
        <v>0</v>
      </c>
      <c r="BQ222" s="60" t="n">
        <v>222</v>
      </c>
      <c r="BR222" s="55" t="str">
        <f aca="false">IF(U222&lt;&gt;"",UPPER(TRIM(U222)),IF(BU222=1,UPPER(VLOOKUP(T222,Parameter!$I$27:$K$29,2,0)),IF(P222="","LOSE",P222)))</f>
        <v>S51</v>
      </c>
      <c r="BS222" s="57" t="n">
        <f aca="false">IF(BR222="LOSE",1,IF(N(V222)&gt;0,V222,IF(BU222=1,MAX(1,N(VLOOKUP(T222,Parameter!$I$27:$K$29,3,0)),H222,N(N222)),IF(N(Q222)&gt;0,Q222,MAX(1,H222)))))</f>
        <v>89</v>
      </c>
      <c r="BT222" s="60" t="n">
        <f aca="false">IF(BR222="LOSE",1,0)</f>
        <v>0</v>
      </c>
      <c r="BU222" s="60" t="n">
        <f aca="false">IF(AND(U222="",OR(P222="",P222="LOSE"),T222&lt;&gt;"",N(S222)&lt;=0,ISNUMBER(MATCH(T222,Parameter!$I$27:$I$29,0))),1,0)</f>
        <v>0</v>
      </c>
      <c r="BV222" s="55" t="str">
        <f aca="false">IF(AND(Parameter!$B$19="Ja",E222&lt;&gt;"",ISNUMBER(MATCH(E222,Parameter!$I$35:$I$52,0))),VLOOKUP(E222,Parameter!$I$35:$J$52,2,0),IFERROR(VLOOKUP(D222,Parameter!$A$35:$C$64,2,0),"Nein"))</f>
        <v>2+3</v>
      </c>
      <c r="BW222" s="59" t="n">
        <f aca="false">IF(BT222=0,0,IF(N(S222)&gt;0,S222,IFERROR(VLOOKUP(D222,Parameter!$A$35:$C$64,3,0)+0,0)))</f>
        <v>0</v>
      </c>
      <c r="BX222" s="55" t="n">
        <f aca="false">IF(AA222&lt;&gt;"",AA222,Z222)</f>
        <v>3</v>
      </c>
      <c r="BY222" s="55" t="str">
        <f aca="false">IF(BX222=1,"L1",IF(OR(BX222=2,BX222=3),"L23",IF(BX222="Aussen","Aussen","-")))</f>
        <v>L23</v>
      </c>
      <c r="BZ222" s="66" t="n">
        <f aca="false">IF(N(AB222)&gt;0,AB222,0)</f>
        <v>0</v>
      </c>
      <c r="CA222" s="60" t="n">
        <f aca="false">IF(ISNUMBER(AE222),1,0)</f>
        <v>0</v>
      </c>
      <c r="CB222" s="57" t="n">
        <f aca="false">N(AE222)</f>
        <v>0</v>
      </c>
      <c r="CC222" s="57" t="n">
        <f aca="false">N(M222)+N(N222)</f>
        <v>161</v>
      </c>
      <c r="CD222" s="57" t="n">
        <f aca="false">ROUNDUP(H222/BS222,0)</f>
        <v>2</v>
      </c>
      <c r="CE222" s="57" t="n">
        <f aca="false">ROUNDUP(CB222/BS222,0)</f>
        <v>0</v>
      </c>
      <c r="CF222" s="60" t="n">
        <f aca="false">IF(BT222=1,0,IFERROR(VLOOKUP(BR222,'Gebinde-Kategorie'!$A$5:$M$45,5,0)+0,0))</f>
        <v>11</v>
      </c>
      <c r="CG222" s="60" t="n">
        <f aca="false">IFERROR(IF(OR(BX222=1,BX222=2,BX222=3),N(INDEX(Parameter!$I$5:$I$7,BX222)),0),0)</f>
        <v>0</v>
      </c>
      <c r="CH222" s="59" t="n">
        <f aca="false">IF(AND(Parameter!$B$21="Ja",ISNUMBER(W222),N(X222)&gt;0),IFERROR(N(INDEX(Parameter!$L$5:$L$7,W222))*INDEX(Parameter!$E$5:$E$7,W222)*X222/SUMIFS($X$7:$X$1843,$W$7:$W$1843,W222),0),0)</f>
        <v>0</v>
      </c>
    </row>
    <row r="223" customFormat="false" ht="15" hidden="false" customHeight="false" outlineLevel="0" collapsed="false">
      <c r="A223" s="55" t="s">
        <v>638</v>
      </c>
      <c r="B223" s="55" t="s">
        <v>639</v>
      </c>
      <c r="C223" s="55" t="s">
        <v>164</v>
      </c>
      <c r="D223" s="55" t="s">
        <v>184</v>
      </c>
      <c r="E223" s="55" t="s">
        <v>185</v>
      </c>
      <c r="F223" s="55" t="s">
        <v>218</v>
      </c>
      <c r="G223" s="56" t="n">
        <v>13.8</v>
      </c>
      <c r="H223" s="57" t="n">
        <f aca="false">MAX(0,IF(AND(Parameter!$B$21="Ja",ISNUMBER(Y223)),Y223,IF(Parameter!$B$20="Jahresanfang 2025 + Export",BL223+BK223,BK223)))</f>
        <v>55</v>
      </c>
      <c r="I223" s="57" t="n">
        <f aca="false">H223*G223</f>
        <v>759</v>
      </c>
      <c r="J223" s="57" t="n">
        <f aca="false">BN223*Parameter!$B$18</f>
        <v>6</v>
      </c>
      <c r="K223" s="58" t="n">
        <v>8.5</v>
      </c>
      <c r="L223" s="59" t="n">
        <v>0.705882352941177</v>
      </c>
      <c r="M223" s="57" t="n">
        <v>0</v>
      </c>
      <c r="N223" s="57" t="n">
        <v>5</v>
      </c>
      <c r="O223" s="60" t="n">
        <v>14</v>
      </c>
      <c r="P223" s="55" t="s">
        <v>328</v>
      </c>
      <c r="Q223" s="57" t="n">
        <v>11</v>
      </c>
      <c r="R223" s="60" t="n">
        <f aca="false">IF(BT223=1,0,IFERROR(VLOOKUP(BR223,'Gebinde-Kategorie'!$A$5:$M$45,13,0)+0,0))</f>
        <v>52</v>
      </c>
      <c r="S223" s="61"/>
      <c r="T223" s="62"/>
      <c r="U223" s="62"/>
      <c r="V223" s="62"/>
      <c r="W223" s="55"/>
      <c r="X223" s="57"/>
      <c r="Y223" s="57"/>
      <c r="Z223" s="55" t="n">
        <f aca="false">IF(A223="","",IF(AND(Parameter!$B$21="Ja",ISNUMBER(W223)),W223,IF(BV223="2+3",IF(ISNUMBER(SEARCH("grosser Artikel",BO223)),2,IFERROR(VLOOKUP(BR223,Parameter!$F$35:$G$64,2,0),2)),IF(OR(BV223="Nein",BV223=""),"-",BV223))))</f>
        <v>3</v>
      </c>
      <c r="AA223" s="62"/>
      <c r="AB223" s="63"/>
      <c r="AC223" s="57" t="n">
        <f aca="false">AR223</f>
        <v>11</v>
      </c>
      <c r="AD223" s="57" t="n">
        <f aca="false">MAX(AR223,H223)</f>
        <v>55</v>
      </c>
      <c r="AE223" s="64"/>
      <c r="AF223" s="57" t="n">
        <f aca="false">IF(LEFT(Cockpit!$C$5,1)="A",H223,IF(CA223=1,CB223,IF(LEFT(Cockpit!$C$5,1)="B",AJ223,MAX(AJ223,H223))))</f>
        <v>55</v>
      </c>
      <c r="AG223" s="57" t="n">
        <f aca="false">IF(BT223=1,0,ROUNDUP(AF223/BS223,0))</f>
        <v>5</v>
      </c>
      <c r="AH223" s="59" t="n">
        <f aca="false">IF(CH223&gt;0,CH223*MAX(1,AF223/X223),IF(BT223=1,IF(AF223&lt;=0,0,BW223*MAX(1,IF(H223&gt;0,AF223/H223,1))),IF(R223&gt;0,AG223/R223,0))/MAX(0.1,N(Parameter!$M$21)))</f>
        <v>0.0961538461538462</v>
      </c>
      <c r="AI223" s="57" t="n">
        <f aca="false">AF223*G223</f>
        <v>759</v>
      </c>
      <c r="AJ223" s="57" t="n">
        <f aca="false">ROUNDUP(MAX(J223/IF(BZ223&gt;0,BZ223,MAX(0.1,N(Cockpit!$C$6))),CC223)/BS223,0)*BS223</f>
        <v>11</v>
      </c>
      <c r="AK223" s="58" t="n">
        <f aca="false">IF(AH223&gt;0,J223/AH223,-1)</f>
        <v>62.4</v>
      </c>
      <c r="AL223" s="58" t="n">
        <f aca="false">IF(AND(OR(BY223="L1",BY223="L23"),AH223&gt;0),SUMIFS($AH$7:$AH$1843,$BY$7:$BY$1843,BY223,$AK$7:$AK$1843,"&gt;"&amp;AK223)+SUMIFS($AH$7:$AH$1843,$BY$7:$BY$1843,BY223,$AK$7:$AK$1843,AK223,$BQ$7:$BQ$1843,"&lt;="&amp;BQ223),"")</f>
        <v>43.1773419816898</v>
      </c>
      <c r="AM223" s="65" t="n">
        <f aca="false">IF(AL223="",0,MAX(0,MIN(1,(IF(BY223="L1",Parameter!$E$5,Parameter!$E$6+Parameter!$E$7)-(AL223-AH223))/AH223)))</f>
        <v>1</v>
      </c>
      <c r="AN223" s="57" t="n">
        <f aca="false">IF(LEFT(Cockpit!$I$5,1)="A",H223,IF(CA223=1,CB223,IF(LEFT(Cockpit!$I$5,1)="B",AR223,MAX(AR223,H223))))</f>
        <v>55</v>
      </c>
      <c r="AO223" s="57" t="n">
        <f aca="false">IF(BT223=1,0,ROUNDUP(AN223/BS223,0))</f>
        <v>5</v>
      </c>
      <c r="AP223" s="59" t="n">
        <f aca="false">IF(CH223&gt;0,CH223*MAX(1,AN223/X223),IF(BT223=1,IF(AN223&lt;=0,0,BW223*MAX(1,IF(H223&gt;0,AN223/H223,1))),IF(R223&gt;0,AO223/R223,0))/MAX(0.1,N(Parameter!$M$21)))</f>
        <v>0.0961538461538462</v>
      </c>
      <c r="AQ223" s="57" t="n">
        <f aca="false">AN223*G223</f>
        <v>759</v>
      </c>
      <c r="AR223" s="57" t="n">
        <f aca="false">ROUNDUP(MAX(J223/IF(BZ223&gt;0,BZ223,MAX(0.1,N(Cockpit!$I$6))),CC223)/BS223,0)*BS223</f>
        <v>11</v>
      </c>
      <c r="AS223" s="58" t="n">
        <f aca="false">IF(AP223&gt;0,J223/AP223,-1)</f>
        <v>62.4</v>
      </c>
      <c r="AT223" s="58" t="n">
        <f aca="false">IF(AND(OR(BY223="L1",BY223="L23"),AP223&gt;0),SUMIFS($AP$7:$AP$1843,$BY$7:$BY$1843,BY223,$AS$7:$AS$1843,"&gt;"&amp;AS223)+SUMIFS($AP$7:$AP$1843,$BY$7:$BY$1843,BY223,$AS$7:$AS$1843,AS223,$BQ$7:$BQ$1843,"&lt;="&amp;BQ223),"")</f>
        <v>65.3835174487348</v>
      </c>
      <c r="AU223" s="65" t="n">
        <f aca="false">IF(AT223="",0,MAX(0,MIN(1,(IF(BY223="L1",Parameter!$E$5,Parameter!$E$6+Parameter!$E$7)-(AT223-AP223))/AP223)))</f>
        <v>1</v>
      </c>
      <c r="AV223" s="57" t="n">
        <f aca="false">IF(LEFT(Cockpit!$O$5,1)="A",H223,IF(CA223=1,CB223,IF(LEFT(Cockpit!$O$5,1)="B",AZ223,MAX(AZ223,H223))))</f>
        <v>55</v>
      </c>
      <c r="AW223" s="57" t="n">
        <f aca="false">IF(BT223=1,0,ROUNDUP(AV223/BS223,0))</f>
        <v>5</v>
      </c>
      <c r="AX223" s="59" t="n">
        <f aca="false">IF(CH223&gt;0,CH223*MAX(1,AV223/X223),IF(BT223=1,IF(AV223&lt;=0,0,BW223*MAX(1,IF(H223&gt;0,AV223/H223,1))),IF(R223&gt;0,AW223/R223,0))/MAX(0.1,N(Parameter!$M$21)))</f>
        <v>0.0961538461538462</v>
      </c>
      <c r="AY223" s="57" t="n">
        <f aca="false">AV223*G223</f>
        <v>759</v>
      </c>
      <c r="AZ223" s="57" t="n">
        <f aca="false">ROUNDUP(MAX(J223/IF(BZ223&gt;0,BZ223,MAX(0.1,N(Cockpit!$O$6))),CC223)/BS223,0)*BS223</f>
        <v>11</v>
      </c>
      <c r="BA223" s="58" t="n">
        <f aca="false">IF(AX223&gt;0,J223/AX223,-1)</f>
        <v>62.4</v>
      </c>
      <c r="BB223" s="58" t="n">
        <f aca="false">IF(AND(OR(BY223="L1",BY223="L23"),AX223&gt;0),SUMIFS($AX$7:$AX$1843,$BY$7:$BY$1843,BY223,$BA$7:$BA$1843,"&gt;"&amp;BA223)+SUMIFS($AX$7:$AX$1843,$BY$7:$BY$1843,BY223,$BA$7:$BA$1843,BA223,$BQ$7:$BQ$1843,"&lt;="&amp;BQ223),"")</f>
        <v>59.8800209452383</v>
      </c>
      <c r="BC223" s="65" t="n">
        <f aca="false">IF(BB223="",0,MAX(0,MIN(1,(IF(BY223="L1",Parameter!$E$5,Parameter!$E$6+Parameter!$E$7)-(BB223-AX223))/AX223)))</f>
        <v>1</v>
      </c>
      <c r="BD223" s="55" t="str">
        <f aca="false">IF(AH223&lt;=0,"",IF(BY223="Aussen","Aussenlager",IF(BY223="-","Nicht im Lift",IF(AM223&gt;=1,"Lift",IF(AM223&lt;=0,"Aussenlager","teilweise")))))</f>
        <v>Lift</v>
      </c>
      <c r="BE223" s="55" t="str">
        <f aca="false">IF(AP223&lt;=0,"",IF(BY223="Aussen","Aussenlager",IF(BY223="-","Nicht im Lift",IF(AU223&gt;=1,"Lift",IF(AU223&lt;=0,"Aussenlager","teilweise")))))</f>
        <v>Lift</v>
      </c>
      <c r="BF223" s="55" t="str">
        <f aca="false">IF(AX223&lt;=0,"",IF(BY223="Aussen","Aussenlager",IF(BY223="-","Nicht im Lift",IF(BC223&gt;=1,"Lift",IF(BC223&lt;=0,"Aussenlager","teilweise")))))</f>
        <v>Lift</v>
      </c>
      <c r="BG223" s="55" t="str">
        <f aca="false">IF(A223="","",IF(BP223=1,"Neu; ","")&amp;IF(AND(BP223=0,BK223&lt;0),"negativer Bestand (Export "&amp;BK223&amp;"); ","")&amp;IF(J223&lt;=0,"Kein Verbrauch; ","")&amp;IF(CH223&gt;0,"Lift "&amp;W223&amp;" lt. Liftbericht (Fach "&amp;X223&amp;" Stk); ",IF(BU223=1,"Gebinde geschätzt ("&amp;T223&amp;"); ",IF(BT223=1,"Lose – Tablare geschätzt; ","")))&amp;IF(H223&gt;AR223,"Überbestand "&amp;ROUND(H223-AR223,0)&amp;" Stk / CHF "&amp;ROUND((H223-AR223)*G223,0)&amp;"; ","")&amp;IF(AND(CA223=1,CB223&lt;CC223),"MAX &lt; MB+LG; ","")&amp;IF(AND(CG223&gt;0,CF223*10&gt;CG223),"zu hoch für Tablar; ","")&amp;IF(AND(BP223=0,OR(CA223=1,AA223&lt;&gt;"",U223&lt;&gt;"",V223&lt;&gt;"",AB223&lt;&gt;"")),"manuell übersteuert; ","")&amp;IF(AND(BT223=0,R223=0),"Gebinde unbekannt / Stellmass fehlt; ","")&amp;IF(AND(BT223=0,N(V223)&lt;=0,N(Q223)&lt;=0),"Menge pro Gebinde fehlt (Ist = 1 Gebinde); ","")&amp;BO223)</f>
        <v>Überbestand 44 Stk / CHF 607; </v>
      </c>
      <c r="BH223" s="55"/>
      <c r="BI223" s="55"/>
      <c r="BJ223" s="62"/>
      <c r="BK223" s="57" t="n">
        <v>48</v>
      </c>
      <c r="BL223" s="57" t="n">
        <v>7</v>
      </c>
      <c r="BM223" s="56" t="n">
        <v>656.1</v>
      </c>
      <c r="BN223" s="57" t="n">
        <v>6</v>
      </c>
      <c r="BO223" s="55"/>
      <c r="BP223" s="60" t="n">
        <v>0</v>
      </c>
      <c r="BQ223" s="60" t="n">
        <v>223</v>
      </c>
      <c r="BR223" s="55" t="str">
        <f aca="false">IF(U223&lt;&gt;"",UPPER(TRIM(U223)),IF(BU223=1,UPPER(VLOOKUP(T223,Parameter!$I$27:$K$29,2,0)),IF(P223="","LOSE",P223)))</f>
        <v>S41</v>
      </c>
      <c r="BS223" s="57" t="n">
        <f aca="false">IF(BR223="LOSE",1,IF(N(V223)&gt;0,V223,IF(BU223=1,MAX(1,N(VLOOKUP(T223,Parameter!$I$27:$K$29,3,0)),H223,N(N223)),IF(N(Q223)&gt;0,Q223,MAX(1,H223)))))</f>
        <v>11</v>
      </c>
      <c r="BT223" s="60" t="n">
        <f aca="false">IF(BR223="LOSE",1,0)</f>
        <v>0</v>
      </c>
      <c r="BU223" s="60" t="n">
        <f aca="false">IF(AND(U223="",OR(P223="",P223="LOSE"),T223&lt;&gt;"",N(S223)&lt;=0,ISNUMBER(MATCH(T223,Parameter!$I$27:$I$29,0))),1,0)</f>
        <v>0</v>
      </c>
      <c r="BV223" s="55" t="str">
        <f aca="false">IF(AND(Parameter!$B$19="Ja",E223&lt;&gt;"",ISNUMBER(MATCH(E223,Parameter!$I$35:$I$52,0))),VLOOKUP(E223,Parameter!$I$35:$J$52,2,0),IFERROR(VLOOKUP(D223,Parameter!$A$35:$C$64,2,0),"Nein"))</f>
        <v>2+3</v>
      </c>
      <c r="BW223" s="59" t="n">
        <f aca="false">IF(BT223=0,0,IF(N(S223)&gt;0,S223,IFERROR(VLOOKUP(D223,Parameter!$A$35:$C$64,3,0)+0,0)))</f>
        <v>0</v>
      </c>
      <c r="BX223" s="55" t="n">
        <f aca="false">IF(AA223&lt;&gt;"",AA223,Z223)</f>
        <v>3</v>
      </c>
      <c r="BY223" s="55" t="str">
        <f aca="false">IF(BX223=1,"L1",IF(OR(BX223=2,BX223=3),"L23",IF(BX223="Aussen","Aussen","-")))</f>
        <v>L23</v>
      </c>
      <c r="BZ223" s="66" t="n">
        <f aca="false">IF(N(AB223)&gt;0,AB223,0)</f>
        <v>0</v>
      </c>
      <c r="CA223" s="60" t="n">
        <f aca="false">IF(ISNUMBER(AE223),1,0)</f>
        <v>0</v>
      </c>
      <c r="CB223" s="57" t="n">
        <f aca="false">N(AE223)</f>
        <v>0</v>
      </c>
      <c r="CC223" s="57" t="n">
        <f aca="false">N(M223)+N(N223)</f>
        <v>5</v>
      </c>
      <c r="CD223" s="57" t="n">
        <f aca="false">ROUNDUP(H223/BS223,0)</f>
        <v>5</v>
      </c>
      <c r="CE223" s="57" t="n">
        <f aca="false">ROUNDUP(CB223/BS223,0)</f>
        <v>0</v>
      </c>
      <c r="CF223" s="60" t="n">
        <f aca="false">IF(BT223=1,0,IFERROR(VLOOKUP(BR223,'Gebinde-Kategorie'!$A$5:$M$45,5,0)+0,0))</f>
        <v>11</v>
      </c>
      <c r="CG223" s="60" t="n">
        <f aca="false">IFERROR(IF(OR(BX223=1,BX223=2,BX223=3),N(INDEX(Parameter!$I$5:$I$7,BX223)),0),0)</f>
        <v>0</v>
      </c>
      <c r="CH223" s="59" t="n">
        <f aca="false">IF(AND(Parameter!$B$21="Ja",ISNUMBER(W223),N(X223)&gt;0),IFERROR(N(INDEX(Parameter!$L$5:$L$7,W223))*INDEX(Parameter!$E$5:$E$7,W223)*X223/SUMIFS($X$7:$X$1843,$W$7:$W$1843,W223),0),0)</f>
        <v>0</v>
      </c>
    </row>
    <row r="224" customFormat="false" ht="15" hidden="false" customHeight="false" outlineLevel="0" collapsed="false">
      <c r="A224" s="55" t="s">
        <v>640</v>
      </c>
      <c r="B224" s="55" t="s">
        <v>571</v>
      </c>
      <c r="C224" s="55" t="s">
        <v>164</v>
      </c>
      <c r="D224" s="55" t="s">
        <v>184</v>
      </c>
      <c r="E224" s="55" t="s">
        <v>185</v>
      </c>
      <c r="F224" s="55" t="s">
        <v>218</v>
      </c>
      <c r="G224" s="56" t="n">
        <v>6.91</v>
      </c>
      <c r="H224" s="57" t="n">
        <f aca="false">MAX(0,IF(AND(Parameter!$B$21="Ja",ISNUMBER(Y224)),Y224,IF(Parameter!$B$20="Jahresanfang 2025 + Export",BL224+BK224,BK224)))</f>
        <v>152</v>
      </c>
      <c r="I224" s="57" t="n">
        <f aca="false">H224*G224</f>
        <v>1050.32</v>
      </c>
      <c r="J224" s="57" t="n">
        <f aca="false">BN224*Parameter!$B$18</f>
        <v>428</v>
      </c>
      <c r="K224" s="58" t="n">
        <v>137</v>
      </c>
      <c r="L224" s="59" t="n">
        <v>3.12408759124088</v>
      </c>
      <c r="M224" s="57" t="n">
        <v>32</v>
      </c>
      <c r="N224" s="57" t="n">
        <v>200</v>
      </c>
      <c r="O224" s="60" t="n">
        <v>70</v>
      </c>
      <c r="P224" s="55" t="s">
        <v>302</v>
      </c>
      <c r="Q224" s="57" t="n">
        <v>179</v>
      </c>
      <c r="R224" s="60" t="n">
        <f aca="false">IF(BT224=1,0,IFERROR(VLOOKUP(BR224,'Gebinde-Kategorie'!$A$5:$M$45,13,0)+0,0))</f>
        <v>26</v>
      </c>
      <c r="S224" s="61"/>
      <c r="T224" s="62"/>
      <c r="U224" s="62"/>
      <c r="V224" s="62"/>
      <c r="W224" s="55"/>
      <c r="X224" s="57"/>
      <c r="Y224" s="57"/>
      <c r="Z224" s="55" t="n">
        <f aca="false">IF(A224="","",IF(AND(Parameter!$B$21="Ja",ISNUMBER(W224)),W224,IF(BV224="2+3",IF(ISNUMBER(SEARCH("grosser Artikel",BO224)),2,IFERROR(VLOOKUP(BR224,Parameter!$F$35:$G$64,2,0),2)),IF(OR(BV224="Nein",BV224=""),"-",BV224))))</f>
        <v>3</v>
      </c>
      <c r="AA224" s="62"/>
      <c r="AB224" s="63"/>
      <c r="AC224" s="57" t="n">
        <f aca="false">AR224</f>
        <v>358</v>
      </c>
      <c r="AD224" s="57" t="n">
        <f aca="false">MAX(AR224,H224)</f>
        <v>358</v>
      </c>
      <c r="AE224" s="64"/>
      <c r="AF224" s="57" t="n">
        <f aca="false">IF(LEFT(Cockpit!$C$5,1)="A",H224,IF(CA224=1,CB224,IF(LEFT(Cockpit!$C$5,1)="B",AJ224,MAX(AJ224,H224))))</f>
        <v>152</v>
      </c>
      <c r="AG224" s="57" t="n">
        <f aca="false">IF(BT224=1,0,ROUNDUP(AF224/BS224,0))</f>
        <v>1</v>
      </c>
      <c r="AH224" s="59" t="n">
        <f aca="false">IF(CH224&gt;0,CH224*MAX(1,AF224/X224),IF(BT224=1,IF(AF224&lt;=0,0,BW224*MAX(1,IF(H224&gt;0,AF224/H224,1))),IF(R224&gt;0,AG224/R224,0))/MAX(0.1,N(Parameter!$M$21)))</f>
        <v>0.0384615384615385</v>
      </c>
      <c r="AI224" s="57" t="n">
        <f aca="false">AF224*G224</f>
        <v>1050.32</v>
      </c>
      <c r="AJ224" s="57" t="n">
        <f aca="false">ROUNDUP(MAX(J224/IF(BZ224&gt;0,BZ224,MAX(0.1,N(Cockpit!$C$6))),CC224)/BS224,0)*BS224</f>
        <v>358</v>
      </c>
      <c r="AK224" s="58" t="n">
        <f aca="false">IF(AH224&gt;0,J224/AH224,-1)</f>
        <v>11128</v>
      </c>
      <c r="AL224" s="58" t="n">
        <f aca="false">IF(AND(OR(BY224="L1",BY224="L23"),AH224&gt;0),SUMIFS($AH$7:$AH$1843,$BY$7:$BY$1843,BY224,$AK$7:$AK$1843,"&gt;"&amp;AK224)+SUMIFS($AH$7:$AH$1843,$BY$7:$BY$1843,BY224,$AK$7:$AK$1843,AK224,$BQ$7:$BQ$1843,"&lt;="&amp;BQ224),"")</f>
        <v>4.99590385459951</v>
      </c>
      <c r="AM224" s="65" t="n">
        <f aca="false">IF(AL224="",0,MAX(0,MIN(1,(IF(BY224="L1",Parameter!$E$5,Parameter!$E$6+Parameter!$E$7)-(AL224-AH224))/AH224)))</f>
        <v>1</v>
      </c>
      <c r="AN224" s="57" t="n">
        <f aca="false">IF(LEFT(Cockpit!$I$5,1)="A",H224,IF(CA224=1,CB224,IF(LEFT(Cockpit!$I$5,1)="B",AR224,MAX(AR224,H224))))</f>
        <v>358</v>
      </c>
      <c r="AO224" s="57" t="n">
        <f aca="false">IF(BT224=1,0,ROUNDUP(AN224/BS224,0))</f>
        <v>2</v>
      </c>
      <c r="AP224" s="59" t="n">
        <f aca="false">IF(CH224&gt;0,CH224*MAX(1,AN224/X224),IF(BT224=1,IF(AN224&lt;=0,0,BW224*MAX(1,IF(H224&gt;0,AN224/H224,1))),IF(R224&gt;0,AO224/R224,0))/MAX(0.1,N(Parameter!$M$21)))</f>
        <v>0.0769230769230769</v>
      </c>
      <c r="AQ224" s="57" t="n">
        <f aca="false">AN224*G224</f>
        <v>2473.78</v>
      </c>
      <c r="AR224" s="57" t="n">
        <f aca="false">ROUNDUP(MAX(J224/IF(BZ224&gt;0,BZ224,MAX(0.1,N(Cockpit!$I$6))),CC224)/BS224,0)*BS224</f>
        <v>358</v>
      </c>
      <c r="AS224" s="58" t="n">
        <f aca="false">IF(AP224&gt;0,J224/AP224,-1)</f>
        <v>5564</v>
      </c>
      <c r="AT224" s="58" t="n">
        <f aca="false">IF(AND(OR(BY224="L1",BY224="L23"),AP224&gt;0),SUMIFS($AP$7:$AP$1843,$BY$7:$BY$1843,BY224,$AS$7:$AS$1843,"&gt;"&amp;AS224)+SUMIFS($AP$7:$AP$1843,$BY$7:$BY$1843,BY224,$AS$7:$AS$1843,AS224,$BQ$7:$BQ$1843,"&lt;="&amp;BQ224),"")</f>
        <v>11.5590013850883</v>
      </c>
      <c r="AU224" s="65" t="n">
        <f aca="false">IF(AT224="",0,MAX(0,MIN(1,(IF(BY224="L1",Parameter!$E$5,Parameter!$E$6+Parameter!$E$7)-(AT224-AP224))/AP224)))</f>
        <v>1</v>
      </c>
      <c r="AV224" s="57" t="n">
        <f aca="false">IF(LEFT(Cockpit!$O$5,1)="A",H224,IF(CA224=1,CB224,IF(LEFT(Cockpit!$O$5,1)="B",AZ224,MAX(AZ224,H224))))</f>
        <v>358</v>
      </c>
      <c r="AW224" s="57" t="n">
        <f aca="false">IF(BT224=1,0,ROUNDUP(AV224/BS224,0))</f>
        <v>2</v>
      </c>
      <c r="AX224" s="59" t="n">
        <f aca="false">IF(CH224&gt;0,CH224*MAX(1,AV224/X224),IF(BT224=1,IF(AV224&lt;=0,0,BW224*MAX(1,IF(H224&gt;0,AV224/H224,1))),IF(R224&gt;0,AW224/R224,0))/MAX(0.1,N(Parameter!$M$21)))</f>
        <v>0.0769230769230769</v>
      </c>
      <c r="AY224" s="57" t="n">
        <f aca="false">AV224*G224</f>
        <v>2473.78</v>
      </c>
      <c r="AZ224" s="57" t="n">
        <f aca="false">ROUNDUP(MAX(J224/IF(BZ224&gt;0,BZ224,MAX(0.1,N(Cockpit!$O$6))),CC224)/BS224,0)*BS224</f>
        <v>358</v>
      </c>
      <c r="BA224" s="58" t="n">
        <f aca="false">IF(AX224&gt;0,J224/AX224,-1)</f>
        <v>5564</v>
      </c>
      <c r="BB224" s="58" t="n">
        <f aca="false">IF(AND(OR(BY224="L1",BY224="L23"),AX224&gt;0),SUMIFS($AX$7:$AX$1843,$BY$7:$BY$1843,BY224,$BA$7:$BA$1843,"&gt;"&amp;BA224)+SUMIFS($AX$7:$AX$1843,$BY$7:$BY$1843,BY224,$BA$7:$BA$1843,BA224,$BQ$7:$BQ$1843,"&lt;="&amp;BQ224),"")</f>
        <v>10.2798638559508</v>
      </c>
      <c r="BC224" s="65" t="n">
        <f aca="false">IF(BB224="",0,MAX(0,MIN(1,(IF(BY224="L1",Parameter!$E$5,Parameter!$E$6+Parameter!$E$7)-(BB224-AX224))/AX224)))</f>
        <v>1</v>
      </c>
      <c r="BD224" s="55" t="str">
        <f aca="false">IF(AH224&lt;=0,"",IF(BY224="Aussen","Aussenlager",IF(BY224="-","Nicht im Lift",IF(AM224&gt;=1,"Lift",IF(AM224&lt;=0,"Aussenlager","teilweise")))))</f>
        <v>Lift</v>
      </c>
      <c r="BE224" s="55" t="str">
        <f aca="false">IF(AP224&lt;=0,"",IF(BY224="Aussen","Aussenlager",IF(BY224="-","Nicht im Lift",IF(AU224&gt;=1,"Lift",IF(AU224&lt;=0,"Aussenlager","teilweise")))))</f>
        <v>Lift</v>
      </c>
      <c r="BF224" s="55" t="str">
        <f aca="false">IF(AX224&lt;=0,"",IF(BY224="Aussen","Aussenlager",IF(BY224="-","Nicht im Lift",IF(BC224&gt;=1,"Lift",IF(BC224&lt;=0,"Aussenlager","teilweise")))))</f>
        <v>Lift</v>
      </c>
      <c r="BG224" s="55" t="str">
        <f aca="false">IF(A224="","",IF(BP224=1,"Neu; ","")&amp;IF(AND(BP224=0,BK224&lt;0),"negativer Bestand (Export "&amp;BK224&amp;"); ","")&amp;IF(J224&lt;=0,"Kein Verbrauch; ","")&amp;IF(CH224&gt;0,"Lift "&amp;W224&amp;" lt. Liftbericht (Fach "&amp;X224&amp;" Stk); ",IF(BU224=1,"Gebinde geschätzt ("&amp;T224&amp;"); ",IF(BT224=1,"Lose – Tablare geschätzt; ","")))&amp;IF(H224&gt;AR224,"Überbestand "&amp;ROUND(H224-AR224,0)&amp;" Stk / CHF "&amp;ROUND((H224-AR224)*G224,0)&amp;"; ","")&amp;IF(AND(CA224=1,CB224&lt;CC224),"MAX &lt; MB+LG; ","")&amp;IF(AND(CG224&gt;0,CF224*10&gt;CG224),"zu hoch für Tablar; ","")&amp;IF(AND(BP224=0,OR(CA224=1,AA224&lt;&gt;"",U224&lt;&gt;"",V224&lt;&gt;"",AB224&lt;&gt;"")),"manuell übersteuert; ","")&amp;IF(AND(BT224=0,R224=0),"Gebinde unbekannt / Stellmass fehlt; ","")&amp;IF(AND(BT224=0,N(V224)&lt;=0,N(Q224)&lt;=0),"Menge pro Gebinde fehlt (Ist = 1 Gebinde); ","")&amp;BO224)</f>
        <v/>
      </c>
      <c r="BH224" s="55"/>
      <c r="BI224" s="55"/>
      <c r="BJ224" s="62"/>
      <c r="BK224" s="57" t="n">
        <v>81</v>
      </c>
      <c r="BL224" s="57" t="n">
        <v>71</v>
      </c>
      <c r="BM224" s="56" t="n">
        <v>642.240000000004</v>
      </c>
      <c r="BN224" s="57" t="n">
        <v>428</v>
      </c>
      <c r="BO224" s="55"/>
      <c r="BP224" s="60" t="n">
        <v>0</v>
      </c>
      <c r="BQ224" s="60" t="n">
        <v>224</v>
      </c>
      <c r="BR224" s="55" t="str">
        <f aca="false">IF(U224&lt;&gt;"",UPPER(TRIM(U224)),IF(BU224=1,UPPER(VLOOKUP(T224,Parameter!$I$27:$K$29,2,0)),IF(P224="","LOSE",P224)))</f>
        <v>S51</v>
      </c>
      <c r="BS224" s="57" t="n">
        <f aca="false">IF(BR224="LOSE",1,IF(N(V224)&gt;0,V224,IF(BU224=1,MAX(1,N(VLOOKUP(T224,Parameter!$I$27:$K$29,3,0)),H224,N(N224)),IF(N(Q224)&gt;0,Q224,MAX(1,H224)))))</f>
        <v>179</v>
      </c>
      <c r="BT224" s="60" t="n">
        <f aca="false">IF(BR224="LOSE",1,0)</f>
        <v>0</v>
      </c>
      <c r="BU224" s="60" t="n">
        <f aca="false">IF(AND(U224="",OR(P224="",P224="LOSE"),T224&lt;&gt;"",N(S224)&lt;=0,ISNUMBER(MATCH(T224,Parameter!$I$27:$I$29,0))),1,0)</f>
        <v>0</v>
      </c>
      <c r="BV224" s="55" t="str">
        <f aca="false">IF(AND(Parameter!$B$19="Ja",E224&lt;&gt;"",ISNUMBER(MATCH(E224,Parameter!$I$35:$I$52,0))),VLOOKUP(E224,Parameter!$I$35:$J$52,2,0),IFERROR(VLOOKUP(D224,Parameter!$A$35:$C$64,2,0),"Nein"))</f>
        <v>2+3</v>
      </c>
      <c r="BW224" s="59" t="n">
        <f aca="false">IF(BT224=0,0,IF(N(S224)&gt;0,S224,IFERROR(VLOOKUP(D224,Parameter!$A$35:$C$64,3,0)+0,0)))</f>
        <v>0</v>
      </c>
      <c r="BX224" s="55" t="n">
        <f aca="false">IF(AA224&lt;&gt;"",AA224,Z224)</f>
        <v>3</v>
      </c>
      <c r="BY224" s="55" t="str">
        <f aca="false">IF(BX224=1,"L1",IF(OR(BX224=2,BX224=3),"L23",IF(BX224="Aussen","Aussen","-")))</f>
        <v>L23</v>
      </c>
      <c r="BZ224" s="66" t="n">
        <f aca="false">IF(N(AB224)&gt;0,AB224,0)</f>
        <v>0</v>
      </c>
      <c r="CA224" s="60" t="n">
        <f aca="false">IF(ISNUMBER(AE224),1,0)</f>
        <v>0</v>
      </c>
      <c r="CB224" s="57" t="n">
        <f aca="false">N(AE224)</f>
        <v>0</v>
      </c>
      <c r="CC224" s="57" t="n">
        <f aca="false">N(M224)+N(N224)</f>
        <v>232</v>
      </c>
      <c r="CD224" s="57" t="n">
        <f aca="false">ROUNDUP(H224/BS224,0)</f>
        <v>1</v>
      </c>
      <c r="CE224" s="57" t="n">
        <f aca="false">ROUNDUP(CB224/BS224,0)</f>
        <v>0</v>
      </c>
      <c r="CF224" s="60" t="n">
        <f aca="false">IF(BT224=1,0,IFERROR(VLOOKUP(BR224,'Gebinde-Kategorie'!$A$5:$M$45,5,0)+0,0))</f>
        <v>11</v>
      </c>
      <c r="CG224" s="60" t="n">
        <f aca="false">IFERROR(IF(OR(BX224=1,BX224=2,BX224=3),N(INDEX(Parameter!$I$5:$I$7,BX224)),0),0)</f>
        <v>0</v>
      </c>
      <c r="CH224" s="59" t="n">
        <f aca="false">IF(AND(Parameter!$B$21="Ja",ISNUMBER(W224),N(X224)&gt;0),IFERROR(N(INDEX(Parameter!$L$5:$L$7,W224))*INDEX(Parameter!$E$5:$E$7,W224)*X224/SUMIFS($X$7:$X$1843,$W$7:$W$1843,W224),0),0)</f>
        <v>0</v>
      </c>
    </row>
    <row r="225" customFormat="false" ht="15" hidden="false" customHeight="false" outlineLevel="0" collapsed="false">
      <c r="A225" s="55" t="s">
        <v>641</v>
      </c>
      <c r="B225" s="55" t="s">
        <v>642</v>
      </c>
      <c r="C225" s="55" t="s">
        <v>164</v>
      </c>
      <c r="D225" s="55" t="s">
        <v>173</v>
      </c>
      <c r="E225" s="55"/>
      <c r="F225" s="55" t="s">
        <v>218</v>
      </c>
      <c r="G225" s="56" t="n">
        <v>640</v>
      </c>
      <c r="H225" s="57" t="n">
        <f aca="false">MAX(0,IF(AND(Parameter!$B$21="Ja",ISNUMBER(Y225)),Y225,IF(Parameter!$B$20="Jahresanfang 2025 + Export",BL225+BK225,BK225)))</f>
        <v>1</v>
      </c>
      <c r="I225" s="57" t="n">
        <f aca="false">H225*G225</f>
        <v>640</v>
      </c>
      <c r="J225" s="57" t="n">
        <f aca="false">BN225*Parameter!$B$18</f>
        <v>11</v>
      </c>
      <c r="K225" s="58" t="n">
        <v>0.5</v>
      </c>
      <c r="L225" s="59" t="n">
        <v>22</v>
      </c>
      <c r="M225" s="57" t="n">
        <v>1</v>
      </c>
      <c r="N225" s="57" t="n">
        <v>5</v>
      </c>
      <c r="O225" s="60" t="n">
        <v>35</v>
      </c>
      <c r="P225" s="55" t="s">
        <v>186</v>
      </c>
      <c r="Q225" s="57" t="n">
        <v>6</v>
      </c>
      <c r="R225" s="60" t="n">
        <f aca="false">IF(BT225=1,0,IFERROR(VLOOKUP(BR225,'Gebinde-Kategorie'!$A$5:$M$45,13,0)+0,0))</f>
        <v>12</v>
      </c>
      <c r="S225" s="61"/>
      <c r="T225" s="62"/>
      <c r="U225" s="62"/>
      <c r="V225" s="62"/>
      <c r="W225" s="55"/>
      <c r="X225" s="57"/>
      <c r="Y225" s="57"/>
      <c r="Z225" s="55" t="n">
        <f aca="false">IF(A225="","",IF(AND(Parameter!$B$21="Ja",ISNUMBER(W225)),W225,IF(BV225="2+3",IF(ISNUMBER(SEARCH("grosser Artikel",BO225)),2,IFERROR(VLOOKUP(BR225,Parameter!$F$35:$G$64,2,0),2)),IF(OR(BV225="Nein",BV225=""),"-",BV225))))</f>
        <v>2</v>
      </c>
      <c r="AA225" s="62"/>
      <c r="AB225" s="63"/>
      <c r="AC225" s="57" t="n">
        <f aca="false">AR225</f>
        <v>6</v>
      </c>
      <c r="AD225" s="57" t="n">
        <f aca="false">MAX(AR225,H225)</f>
        <v>6</v>
      </c>
      <c r="AE225" s="64"/>
      <c r="AF225" s="57" t="n">
        <f aca="false">IF(LEFT(Cockpit!$C$5,1)="A",H225,IF(CA225=1,CB225,IF(LEFT(Cockpit!$C$5,1)="B",AJ225,MAX(AJ225,H225))))</f>
        <v>1</v>
      </c>
      <c r="AG225" s="57" t="n">
        <f aca="false">IF(BT225=1,0,ROUNDUP(AF225/BS225,0))</f>
        <v>1</v>
      </c>
      <c r="AH225" s="59" t="n">
        <f aca="false">IF(CH225&gt;0,CH225*MAX(1,AF225/X225),IF(BT225=1,IF(AF225&lt;=0,0,BW225*MAX(1,IF(H225&gt;0,AF225/H225,1))),IF(R225&gt;0,AG225/R225,0))/MAX(0.1,N(Parameter!$M$21)))</f>
        <v>0.0833333333333333</v>
      </c>
      <c r="AI225" s="57" t="n">
        <f aca="false">AF225*G225</f>
        <v>640</v>
      </c>
      <c r="AJ225" s="57" t="n">
        <f aca="false">ROUNDUP(MAX(J225/IF(BZ225&gt;0,BZ225,MAX(0.1,N(Cockpit!$C$6))),CC225)/BS225,0)*BS225</f>
        <v>6</v>
      </c>
      <c r="AK225" s="58" t="n">
        <f aca="false">IF(AH225&gt;0,J225/AH225,-1)</f>
        <v>132</v>
      </c>
      <c r="AL225" s="58" t="n">
        <f aca="false">IF(AND(OR(BY225="L1",BY225="L23"),AH225&gt;0),SUMIFS($AH$7:$AH$1843,$BY$7:$BY$1843,BY225,$AK$7:$AK$1843,"&gt;"&amp;AK225)+SUMIFS($AH$7:$AH$1843,$BY$7:$BY$1843,BY225,$AK$7:$AK$1843,AK225,$BQ$7:$BQ$1843,"&lt;="&amp;BQ225),"")</f>
        <v>35.8418718962197</v>
      </c>
      <c r="AM225" s="65" t="n">
        <f aca="false">IF(AL225="",0,MAX(0,MIN(1,(IF(BY225="L1",Parameter!$E$5,Parameter!$E$6+Parameter!$E$7)-(AL225-AH225))/AH225)))</f>
        <v>1</v>
      </c>
      <c r="AN225" s="57" t="n">
        <f aca="false">IF(LEFT(Cockpit!$I$5,1)="A",H225,IF(CA225=1,CB225,IF(LEFT(Cockpit!$I$5,1)="B",AR225,MAX(AR225,H225))))</f>
        <v>6</v>
      </c>
      <c r="AO225" s="57" t="n">
        <f aca="false">IF(BT225=1,0,ROUNDUP(AN225/BS225,0))</f>
        <v>1</v>
      </c>
      <c r="AP225" s="59" t="n">
        <f aca="false">IF(CH225&gt;0,CH225*MAX(1,AN225/X225),IF(BT225=1,IF(AN225&lt;=0,0,BW225*MAX(1,IF(H225&gt;0,AN225/H225,1))),IF(R225&gt;0,AO225/R225,0))/MAX(0.1,N(Parameter!$M$21)))</f>
        <v>0.0833333333333333</v>
      </c>
      <c r="AQ225" s="57" t="n">
        <f aca="false">AN225*G225</f>
        <v>3840</v>
      </c>
      <c r="AR225" s="57" t="n">
        <f aca="false">ROUNDUP(MAX(J225/IF(BZ225&gt;0,BZ225,MAX(0.1,N(Cockpit!$I$6))),CC225)/BS225,0)*BS225</f>
        <v>6</v>
      </c>
      <c r="AS225" s="58" t="n">
        <f aca="false">IF(AP225&gt;0,J225/AP225,-1)</f>
        <v>132</v>
      </c>
      <c r="AT225" s="58" t="n">
        <f aca="false">IF(AND(OR(BY225="L1",BY225="L23"),AP225&gt;0),SUMIFS($AP$7:$AP$1843,$BY$7:$BY$1843,BY225,$AS$7:$AS$1843,"&gt;"&amp;AS225)+SUMIFS($AP$7:$AP$1843,$BY$7:$BY$1843,BY225,$AS$7:$AS$1843,AS225,$BQ$7:$BQ$1843,"&lt;="&amp;BQ225),"")</f>
        <v>51.7409378061552</v>
      </c>
      <c r="AU225" s="65" t="n">
        <f aca="false">IF(AT225="",0,MAX(0,MIN(1,(IF(BY225="L1",Parameter!$E$5,Parameter!$E$6+Parameter!$E$7)-(AT225-AP225))/AP225)))</f>
        <v>1</v>
      </c>
      <c r="AV225" s="57" t="n">
        <f aca="false">IF(LEFT(Cockpit!$O$5,1)="A",H225,IF(CA225=1,CB225,IF(LEFT(Cockpit!$O$5,1)="B",AZ225,MAX(AZ225,H225))))</f>
        <v>6</v>
      </c>
      <c r="AW225" s="57" t="n">
        <f aca="false">IF(BT225=1,0,ROUNDUP(AV225/BS225,0))</f>
        <v>1</v>
      </c>
      <c r="AX225" s="59" t="n">
        <f aca="false">IF(CH225&gt;0,CH225*MAX(1,AV225/X225),IF(BT225=1,IF(AV225&lt;=0,0,BW225*MAX(1,IF(H225&gt;0,AV225/H225,1))),IF(R225&gt;0,AW225/R225,0))/MAX(0.1,N(Parameter!$M$21)))</f>
        <v>0.0833333333333333</v>
      </c>
      <c r="AY225" s="57" t="n">
        <f aca="false">AV225*G225</f>
        <v>3840</v>
      </c>
      <c r="AZ225" s="57" t="n">
        <f aca="false">ROUNDUP(MAX(J225/IF(BZ225&gt;0,BZ225,MAX(0.1,N(Cockpit!$O$6))),CC225)/BS225,0)*BS225</f>
        <v>6</v>
      </c>
      <c r="BA225" s="58" t="n">
        <f aca="false">IF(AX225&gt;0,J225/AX225,-1)</f>
        <v>132</v>
      </c>
      <c r="BB225" s="58" t="n">
        <f aca="false">IF(AND(OR(BY225="L1",BY225="L23"),AX225&gt;0),SUMIFS($AX$7:$AX$1843,$BY$7:$BY$1843,BY225,$BA$7:$BA$1843,"&gt;"&amp;BA225)+SUMIFS($AX$7:$AX$1843,$BY$7:$BY$1843,BY225,$BA$7:$BA$1843,BA225,$BQ$7:$BQ$1843,"&lt;="&amp;BQ225),"")</f>
        <v>48.320774635992</v>
      </c>
      <c r="BC225" s="65" t="n">
        <f aca="false">IF(BB225="",0,MAX(0,MIN(1,(IF(BY225="L1",Parameter!$E$5,Parameter!$E$6+Parameter!$E$7)-(BB225-AX225))/AX225)))</f>
        <v>1</v>
      </c>
      <c r="BD225" s="55" t="str">
        <f aca="false">IF(AH225&lt;=0,"",IF(BY225="Aussen","Aussenlager",IF(BY225="-","Nicht im Lift",IF(AM225&gt;=1,"Lift",IF(AM225&lt;=0,"Aussenlager","teilweise")))))</f>
        <v>Lift</v>
      </c>
      <c r="BE225" s="55" t="str">
        <f aca="false">IF(AP225&lt;=0,"",IF(BY225="Aussen","Aussenlager",IF(BY225="-","Nicht im Lift",IF(AU225&gt;=1,"Lift",IF(AU225&lt;=0,"Aussenlager","teilweise")))))</f>
        <v>Lift</v>
      </c>
      <c r="BF225" s="55" t="str">
        <f aca="false">IF(AX225&lt;=0,"",IF(BY225="Aussen","Aussenlager",IF(BY225="-","Nicht im Lift",IF(BC225&gt;=1,"Lift",IF(BC225&lt;=0,"Aussenlager","teilweise")))))</f>
        <v>Lift</v>
      </c>
      <c r="BG225" s="55" t="str">
        <f aca="false">IF(A225="","",IF(BP225=1,"Neu; ","")&amp;IF(AND(BP225=0,BK225&lt;0),"negativer Bestand (Export "&amp;BK225&amp;"); ","")&amp;IF(J225&lt;=0,"Kein Verbrauch; ","")&amp;IF(CH225&gt;0,"Lift "&amp;W225&amp;" lt. Liftbericht (Fach "&amp;X225&amp;" Stk); ",IF(BU225=1,"Gebinde geschätzt ("&amp;T225&amp;"); ",IF(BT225=1,"Lose – Tablare geschätzt; ","")))&amp;IF(H225&gt;AR225,"Überbestand "&amp;ROUND(H225-AR225,0)&amp;" Stk / CHF "&amp;ROUND((H225-AR225)*G225,0)&amp;"; ","")&amp;IF(AND(CA225=1,CB225&lt;CC225),"MAX &lt; MB+LG; ","")&amp;IF(AND(CG225&gt;0,CF225*10&gt;CG225),"zu hoch für Tablar; ","")&amp;IF(AND(BP225=0,OR(CA225=1,AA225&lt;&gt;"",U225&lt;&gt;"",V225&lt;&gt;"",AB225&lt;&gt;"")),"manuell übersteuert; ","")&amp;IF(AND(BT225=0,R225=0),"Gebinde unbekannt / Stellmass fehlt; ","")&amp;IF(AND(BT225=0,N(V225)&lt;=0,N(Q225)&lt;=0),"Menge pro Gebinde fehlt (Ist = 1 Gebinde); ","")&amp;BO225)</f>
        <v/>
      </c>
      <c r="BH225" s="55"/>
      <c r="BI225" s="55"/>
      <c r="BJ225" s="62"/>
      <c r="BK225" s="57" t="n">
        <v>1</v>
      </c>
      <c r="BL225" s="57" t="n">
        <v>0</v>
      </c>
      <c r="BM225" s="56" t="n">
        <v>640</v>
      </c>
      <c r="BN225" s="57" t="n">
        <v>11</v>
      </c>
      <c r="BO225" s="55"/>
      <c r="BP225" s="60" t="n">
        <v>0</v>
      </c>
      <c r="BQ225" s="60" t="n">
        <v>225</v>
      </c>
      <c r="BR225" s="55" t="str">
        <f aca="false">IF(U225&lt;&gt;"",UPPER(TRIM(U225)),IF(BU225=1,UPPER(VLOOKUP(T225,Parameter!$I$27:$K$29,2,0)),IF(P225="","LOSE",P225)))</f>
        <v>S61</v>
      </c>
      <c r="BS225" s="57" t="n">
        <f aca="false">IF(BR225="LOSE",1,IF(N(V225)&gt;0,V225,IF(BU225=1,MAX(1,N(VLOOKUP(T225,Parameter!$I$27:$K$29,3,0)),H225,N(N225)),IF(N(Q225)&gt;0,Q225,MAX(1,H225)))))</f>
        <v>6</v>
      </c>
      <c r="BT225" s="60" t="n">
        <f aca="false">IF(BR225="LOSE",1,0)</f>
        <v>0</v>
      </c>
      <c r="BU225" s="60" t="n">
        <f aca="false">IF(AND(U225="",OR(P225="",P225="LOSE"),T225&lt;&gt;"",N(S225)&lt;=0,ISNUMBER(MATCH(T225,Parameter!$I$27:$I$29,0))),1,0)</f>
        <v>0</v>
      </c>
      <c r="BV225" s="55" t="str">
        <f aca="false">IF(AND(Parameter!$B$19="Ja",E225&lt;&gt;"",ISNUMBER(MATCH(E225,Parameter!$I$35:$I$52,0))),VLOOKUP(E225,Parameter!$I$35:$J$52,2,0),IFERROR(VLOOKUP(D225,Parameter!$A$35:$C$64,2,0),"Nein"))</f>
        <v>2+3</v>
      </c>
      <c r="BW225" s="59" t="n">
        <f aca="false">IF(BT225=0,0,IF(N(S225)&gt;0,S225,IFERROR(VLOOKUP(D225,Parameter!$A$35:$C$64,3,0)+0,0)))</f>
        <v>0</v>
      </c>
      <c r="BX225" s="55" t="n">
        <f aca="false">IF(AA225&lt;&gt;"",AA225,Z225)</f>
        <v>2</v>
      </c>
      <c r="BY225" s="55" t="str">
        <f aca="false">IF(BX225=1,"L1",IF(OR(BX225=2,BX225=3),"L23",IF(BX225="Aussen","Aussen","-")))</f>
        <v>L23</v>
      </c>
      <c r="BZ225" s="66" t="n">
        <f aca="false">IF(N(AB225)&gt;0,AB225,0)</f>
        <v>0</v>
      </c>
      <c r="CA225" s="60" t="n">
        <f aca="false">IF(ISNUMBER(AE225),1,0)</f>
        <v>0</v>
      </c>
      <c r="CB225" s="57" t="n">
        <f aca="false">N(AE225)</f>
        <v>0</v>
      </c>
      <c r="CC225" s="57" t="n">
        <f aca="false">N(M225)+N(N225)</f>
        <v>6</v>
      </c>
      <c r="CD225" s="57" t="n">
        <f aca="false">ROUNDUP(H225/BS225,0)</f>
        <v>1</v>
      </c>
      <c r="CE225" s="57" t="n">
        <f aca="false">ROUNDUP(CB225/BS225,0)</f>
        <v>0</v>
      </c>
      <c r="CF225" s="60" t="n">
        <f aca="false">IF(BT225=1,0,IFERROR(VLOOKUP(BR225,'Gebinde-Kategorie'!$A$5:$M$45,5,0)+0,0))</f>
        <v>11</v>
      </c>
      <c r="CG225" s="60" t="n">
        <f aca="false">IFERROR(IF(OR(BX225=1,BX225=2,BX225=3),N(INDEX(Parameter!$I$5:$I$7,BX225)),0),0)</f>
        <v>0</v>
      </c>
      <c r="CH225" s="59" t="n">
        <f aca="false">IF(AND(Parameter!$B$21="Ja",ISNUMBER(W225),N(X225)&gt;0),IFERROR(N(INDEX(Parameter!$L$5:$L$7,W225))*INDEX(Parameter!$E$5:$E$7,W225)*X225/SUMIFS($X$7:$X$1843,$W$7:$W$1843,W225),0),0)</f>
        <v>0</v>
      </c>
    </row>
    <row r="226" customFormat="false" ht="15" hidden="false" customHeight="false" outlineLevel="0" collapsed="false">
      <c r="A226" s="55" t="s">
        <v>643</v>
      </c>
      <c r="B226" s="55" t="s">
        <v>644</v>
      </c>
      <c r="C226" s="55" t="s">
        <v>164</v>
      </c>
      <c r="D226" s="55" t="s">
        <v>184</v>
      </c>
      <c r="E226" s="55" t="s">
        <v>185</v>
      </c>
      <c r="F226" s="55" t="s">
        <v>218</v>
      </c>
      <c r="G226" s="56" t="n">
        <v>7.7</v>
      </c>
      <c r="H226" s="57" t="n">
        <f aca="false">MAX(0,IF(AND(Parameter!$B$21="Ja",ISNUMBER(Y226)),Y226,IF(Parameter!$B$20="Jahresanfang 2025 + Export",BL226+BK226,BK226)))</f>
        <v>119</v>
      </c>
      <c r="I226" s="57" t="n">
        <f aca="false">H226*G226</f>
        <v>916.3</v>
      </c>
      <c r="J226" s="57" t="n">
        <f aca="false">BN226*Parameter!$B$18</f>
        <v>129</v>
      </c>
      <c r="K226" s="58" t="n">
        <v>37</v>
      </c>
      <c r="L226" s="59" t="n">
        <v>3.48648648648649</v>
      </c>
      <c r="M226" s="57" t="n">
        <v>7</v>
      </c>
      <c r="N226" s="57" t="n">
        <v>130</v>
      </c>
      <c r="O226" s="60" t="n">
        <v>21</v>
      </c>
      <c r="P226" s="55" t="s">
        <v>302</v>
      </c>
      <c r="Q226" s="57" t="n">
        <v>131</v>
      </c>
      <c r="R226" s="60" t="n">
        <f aca="false">IF(BT226=1,0,IFERROR(VLOOKUP(BR226,'Gebinde-Kategorie'!$A$5:$M$45,13,0)+0,0))</f>
        <v>26</v>
      </c>
      <c r="S226" s="61"/>
      <c r="T226" s="62"/>
      <c r="U226" s="62"/>
      <c r="V226" s="62"/>
      <c r="W226" s="55"/>
      <c r="X226" s="57"/>
      <c r="Y226" s="57"/>
      <c r="Z226" s="55" t="n">
        <f aca="false">IF(A226="","",IF(AND(Parameter!$B$21="Ja",ISNUMBER(W226)),W226,IF(BV226="2+3",IF(ISNUMBER(SEARCH("grosser Artikel",BO226)),2,IFERROR(VLOOKUP(BR226,Parameter!$F$35:$G$64,2,0),2)),IF(OR(BV226="Nein",BV226=""),"-",BV226))))</f>
        <v>3</v>
      </c>
      <c r="AA226" s="62"/>
      <c r="AB226" s="63"/>
      <c r="AC226" s="57" t="n">
        <f aca="false">AR226</f>
        <v>262</v>
      </c>
      <c r="AD226" s="57" t="n">
        <f aca="false">MAX(AR226,H226)</f>
        <v>262</v>
      </c>
      <c r="AE226" s="64"/>
      <c r="AF226" s="57" t="n">
        <f aca="false">IF(LEFT(Cockpit!$C$5,1)="A",H226,IF(CA226=1,CB226,IF(LEFT(Cockpit!$C$5,1)="B",AJ226,MAX(AJ226,H226))))</f>
        <v>119</v>
      </c>
      <c r="AG226" s="57" t="n">
        <f aca="false">IF(BT226=1,0,ROUNDUP(AF226/BS226,0))</f>
        <v>1</v>
      </c>
      <c r="AH226" s="59" t="n">
        <f aca="false">IF(CH226&gt;0,CH226*MAX(1,AF226/X226),IF(BT226=1,IF(AF226&lt;=0,0,BW226*MAX(1,IF(H226&gt;0,AF226/H226,1))),IF(R226&gt;0,AG226/R226,0))/MAX(0.1,N(Parameter!$M$21)))</f>
        <v>0.0384615384615385</v>
      </c>
      <c r="AI226" s="57" t="n">
        <f aca="false">AF226*G226</f>
        <v>916.3</v>
      </c>
      <c r="AJ226" s="57" t="n">
        <f aca="false">ROUNDUP(MAX(J226/IF(BZ226&gt;0,BZ226,MAX(0.1,N(Cockpit!$C$6))),CC226)/BS226,0)*BS226</f>
        <v>262</v>
      </c>
      <c r="AK226" s="58" t="n">
        <f aca="false">IF(AH226&gt;0,J226/AH226,-1)</f>
        <v>3354</v>
      </c>
      <c r="AL226" s="58" t="n">
        <f aca="false">IF(AND(OR(BY226="L1",BY226="L23"),AH226&gt;0),SUMIFS($AH$7:$AH$1843,$BY$7:$BY$1843,BY226,$AK$7:$AK$1843,"&gt;"&amp;AK226)+SUMIFS($AH$7:$AH$1843,$BY$7:$BY$1843,BY226,$AK$7:$AK$1843,AK226,$BQ$7:$BQ$1843,"&lt;="&amp;BQ226),"")</f>
        <v>10.1908888213236</v>
      </c>
      <c r="AM226" s="65" t="n">
        <f aca="false">IF(AL226="",0,MAX(0,MIN(1,(IF(BY226="L1",Parameter!$E$5,Parameter!$E$6+Parameter!$E$7)-(AL226-AH226))/AH226)))</f>
        <v>1</v>
      </c>
      <c r="AN226" s="57" t="n">
        <f aca="false">IF(LEFT(Cockpit!$I$5,1)="A",H226,IF(CA226=1,CB226,IF(LEFT(Cockpit!$I$5,1)="B",AR226,MAX(AR226,H226))))</f>
        <v>262</v>
      </c>
      <c r="AO226" s="57" t="n">
        <f aca="false">IF(BT226=1,0,ROUNDUP(AN226/BS226,0))</f>
        <v>2</v>
      </c>
      <c r="AP226" s="59" t="n">
        <f aca="false">IF(CH226&gt;0,CH226*MAX(1,AN226/X226),IF(BT226=1,IF(AN226&lt;=0,0,BW226*MAX(1,IF(H226&gt;0,AN226/H226,1))),IF(R226&gt;0,AO226/R226,0))/MAX(0.1,N(Parameter!$M$21)))</f>
        <v>0.0769230769230769</v>
      </c>
      <c r="AQ226" s="57" t="n">
        <f aca="false">AN226*G226</f>
        <v>2017.4</v>
      </c>
      <c r="AR226" s="57" t="n">
        <f aca="false">ROUNDUP(MAX(J226/IF(BZ226&gt;0,BZ226,MAX(0.1,N(Cockpit!$I$6))),CC226)/BS226,0)*BS226</f>
        <v>262</v>
      </c>
      <c r="AS226" s="58" t="n">
        <f aca="false">IF(AP226&gt;0,J226/AP226,-1)</f>
        <v>1677</v>
      </c>
      <c r="AT226" s="58" t="n">
        <f aca="false">IF(AND(OR(BY226="L1",BY226="L23"),AP226&gt;0),SUMIFS($AP$7:$AP$1843,$BY$7:$BY$1843,BY226,$AS$7:$AS$1843,"&gt;"&amp;AS226)+SUMIFS($AP$7:$AP$1843,$BY$7:$BY$1843,BY226,$AS$7:$AS$1843,AS226,$BQ$7:$BQ$1843,"&lt;="&amp;BQ226),"")</f>
        <v>19.9364717408196</v>
      </c>
      <c r="AU226" s="65" t="n">
        <f aca="false">IF(AT226="",0,MAX(0,MIN(1,(IF(BY226="L1",Parameter!$E$5,Parameter!$E$6+Parameter!$E$7)-(AT226-AP226))/AP226)))</f>
        <v>1</v>
      </c>
      <c r="AV226" s="57" t="n">
        <f aca="false">IF(LEFT(Cockpit!$O$5,1)="A",H226,IF(CA226=1,CB226,IF(LEFT(Cockpit!$O$5,1)="B",AZ226,MAX(AZ226,H226))))</f>
        <v>262</v>
      </c>
      <c r="AW226" s="57" t="n">
        <f aca="false">IF(BT226=1,0,ROUNDUP(AV226/BS226,0))</f>
        <v>2</v>
      </c>
      <c r="AX226" s="59" t="n">
        <f aca="false">IF(CH226&gt;0,CH226*MAX(1,AV226/X226),IF(BT226=1,IF(AV226&lt;=0,0,BW226*MAX(1,IF(H226&gt;0,AV226/H226,1))),IF(R226&gt;0,AW226/R226,0))/MAX(0.1,N(Parameter!$M$21)))</f>
        <v>0.0769230769230769</v>
      </c>
      <c r="AY226" s="57" t="n">
        <f aca="false">AV226*G226</f>
        <v>2017.4</v>
      </c>
      <c r="AZ226" s="57" t="n">
        <f aca="false">ROUNDUP(MAX(J226/IF(BZ226&gt;0,BZ226,MAX(0.1,N(Cockpit!$O$6))),CC226)/BS226,0)*BS226</f>
        <v>262</v>
      </c>
      <c r="BA226" s="58" t="n">
        <f aca="false">IF(AX226&gt;0,J226/AX226,-1)</f>
        <v>1677</v>
      </c>
      <c r="BB226" s="58" t="n">
        <f aca="false">IF(AND(OR(BY226="L1",BY226="L23"),AX226&gt;0),SUMIFS($AX$7:$AX$1843,$BY$7:$BY$1843,BY226,$BA$7:$BA$1843,"&gt;"&amp;BA226)+SUMIFS($AX$7:$AX$1843,$BY$7:$BY$1843,BY226,$BA$7:$BA$1843,BA226,$BQ$7:$BQ$1843,"&lt;="&amp;BQ226),"")</f>
        <v>18.7983598527077</v>
      </c>
      <c r="BC226" s="65" t="n">
        <f aca="false">IF(BB226="",0,MAX(0,MIN(1,(IF(BY226="L1",Parameter!$E$5,Parameter!$E$6+Parameter!$E$7)-(BB226-AX226))/AX226)))</f>
        <v>1</v>
      </c>
      <c r="BD226" s="55" t="str">
        <f aca="false">IF(AH226&lt;=0,"",IF(BY226="Aussen","Aussenlager",IF(BY226="-","Nicht im Lift",IF(AM226&gt;=1,"Lift",IF(AM226&lt;=0,"Aussenlager","teilweise")))))</f>
        <v>Lift</v>
      </c>
      <c r="BE226" s="55" t="str">
        <f aca="false">IF(AP226&lt;=0,"",IF(BY226="Aussen","Aussenlager",IF(BY226="-","Nicht im Lift",IF(AU226&gt;=1,"Lift",IF(AU226&lt;=0,"Aussenlager","teilweise")))))</f>
        <v>Lift</v>
      </c>
      <c r="BF226" s="55" t="str">
        <f aca="false">IF(AX226&lt;=0,"",IF(BY226="Aussen","Aussenlager",IF(BY226="-","Nicht im Lift",IF(BC226&gt;=1,"Lift",IF(BC226&lt;=0,"Aussenlager","teilweise")))))</f>
        <v>Lift</v>
      </c>
      <c r="BG226" s="55" t="str">
        <f aca="false">IF(A226="","",IF(BP226=1,"Neu; ","")&amp;IF(AND(BP226=0,BK226&lt;0),"negativer Bestand (Export "&amp;BK226&amp;"); ","")&amp;IF(J226&lt;=0,"Kein Verbrauch; ","")&amp;IF(CH226&gt;0,"Lift "&amp;W226&amp;" lt. Liftbericht (Fach "&amp;X226&amp;" Stk); ",IF(BU226=1,"Gebinde geschätzt ("&amp;T226&amp;"); ",IF(BT226=1,"Lose – Tablare geschätzt; ","")))&amp;IF(H226&gt;AR226,"Überbestand "&amp;ROUND(H226-AR226,0)&amp;" Stk / CHF "&amp;ROUND((H226-AR226)*G226,0)&amp;"; ","")&amp;IF(AND(CA226=1,CB226&lt;CC226),"MAX &lt; MB+LG; ","")&amp;IF(AND(CG226&gt;0,CF226*10&gt;CG226),"zu hoch für Tablar; ","")&amp;IF(AND(BP226=0,OR(CA226=1,AA226&lt;&gt;"",U226&lt;&gt;"",V226&lt;&gt;"",AB226&lt;&gt;"")),"manuell übersteuert; ","")&amp;IF(AND(BT226=0,R226=0),"Gebinde unbekannt / Stellmass fehlt; ","")&amp;IF(AND(BT226=0,N(V226)&lt;=0,N(Q226)&lt;=0),"Menge pro Gebinde fehlt (Ist = 1 Gebinde); ","")&amp;BO226)</f>
        <v/>
      </c>
      <c r="BH226" s="55"/>
      <c r="BI226" s="55"/>
      <c r="BJ226" s="62"/>
      <c r="BK226" s="57" t="n">
        <v>83</v>
      </c>
      <c r="BL226" s="57" t="n">
        <v>36</v>
      </c>
      <c r="BM226" s="56" t="n">
        <v>638.739999999999</v>
      </c>
      <c r="BN226" s="57" t="n">
        <v>129</v>
      </c>
      <c r="BO226" s="55"/>
      <c r="BP226" s="60" t="n">
        <v>0</v>
      </c>
      <c r="BQ226" s="60" t="n">
        <v>226</v>
      </c>
      <c r="BR226" s="55" t="str">
        <f aca="false">IF(U226&lt;&gt;"",UPPER(TRIM(U226)),IF(BU226=1,UPPER(VLOOKUP(T226,Parameter!$I$27:$K$29,2,0)),IF(P226="","LOSE",P226)))</f>
        <v>S51</v>
      </c>
      <c r="BS226" s="57" t="n">
        <f aca="false">IF(BR226="LOSE",1,IF(N(V226)&gt;0,V226,IF(BU226=1,MAX(1,N(VLOOKUP(T226,Parameter!$I$27:$K$29,3,0)),H226,N(N226)),IF(N(Q226)&gt;0,Q226,MAX(1,H226)))))</f>
        <v>131</v>
      </c>
      <c r="BT226" s="60" t="n">
        <f aca="false">IF(BR226="LOSE",1,0)</f>
        <v>0</v>
      </c>
      <c r="BU226" s="60" t="n">
        <f aca="false">IF(AND(U226="",OR(P226="",P226="LOSE"),T226&lt;&gt;"",N(S226)&lt;=0,ISNUMBER(MATCH(T226,Parameter!$I$27:$I$29,0))),1,0)</f>
        <v>0</v>
      </c>
      <c r="BV226" s="55" t="str">
        <f aca="false">IF(AND(Parameter!$B$19="Ja",E226&lt;&gt;"",ISNUMBER(MATCH(E226,Parameter!$I$35:$I$52,0))),VLOOKUP(E226,Parameter!$I$35:$J$52,2,0),IFERROR(VLOOKUP(D226,Parameter!$A$35:$C$64,2,0),"Nein"))</f>
        <v>2+3</v>
      </c>
      <c r="BW226" s="59" t="n">
        <f aca="false">IF(BT226=0,0,IF(N(S226)&gt;0,S226,IFERROR(VLOOKUP(D226,Parameter!$A$35:$C$64,3,0)+0,0)))</f>
        <v>0</v>
      </c>
      <c r="BX226" s="55" t="n">
        <f aca="false">IF(AA226&lt;&gt;"",AA226,Z226)</f>
        <v>3</v>
      </c>
      <c r="BY226" s="55" t="str">
        <f aca="false">IF(BX226=1,"L1",IF(OR(BX226=2,BX226=3),"L23",IF(BX226="Aussen","Aussen","-")))</f>
        <v>L23</v>
      </c>
      <c r="BZ226" s="66" t="n">
        <f aca="false">IF(N(AB226)&gt;0,AB226,0)</f>
        <v>0</v>
      </c>
      <c r="CA226" s="60" t="n">
        <f aca="false">IF(ISNUMBER(AE226),1,0)</f>
        <v>0</v>
      </c>
      <c r="CB226" s="57" t="n">
        <f aca="false">N(AE226)</f>
        <v>0</v>
      </c>
      <c r="CC226" s="57" t="n">
        <f aca="false">N(M226)+N(N226)</f>
        <v>137</v>
      </c>
      <c r="CD226" s="57" t="n">
        <f aca="false">ROUNDUP(H226/BS226,0)</f>
        <v>1</v>
      </c>
      <c r="CE226" s="57" t="n">
        <f aca="false">ROUNDUP(CB226/BS226,0)</f>
        <v>0</v>
      </c>
      <c r="CF226" s="60" t="n">
        <f aca="false">IF(BT226=1,0,IFERROR(VLOOKUP(BR226,'Gebinde-Kategorie'!$A$5:$M$45,5,0)+0,0))</f>
        <v>11</v>
      </c>
      <c r="CG226" s="60" t="n">
        <f aca="false">IFERROR(IF(OR(BX226=1,BX226=2,BX226=3),N(INDEX(Parameter!$I$5:$I$7,BX226)),0),0)</f>
        <v>0</v>
      </c>
      <c r="CH226" s="59" t="n">
        <f aca="false">IF(AND(Parameter!$B$21="Ja",ISNUMBER(W226),N(X226)&gt;0),IFERROR(N(INDEX(Parameter!$L$5:$L$7,W226))*INDEX(Parameter!$E$5:$E$7,W226)*X226/SUMIFS($X$7:$X$1843,$W$7:$W$1843,W226),0),0)</f>
        <v>0</v>
      </c>
    </row>
    <row r="227" customFormat="false" ht="15" hidden="false" customHeight="false" outlineLevel="0" collapsed="false">
      <c r="A227" s="55" t="s">
        <v>645</v>
      </c>
      <c r="B227" s="55" t="s">
        <v>646</v>
      </c>
      <c r="C227" s="55" t="s">
        <v>164</v>
      </c>
      <c r="D227" s="55" t="s">
        <v>173</v>
      </c>
      <c r="E227" s="55" t="s">
        <v>370</v>
      </c>
      <c r="F227" s="55" t="s">
        <v>218</v>
      </c>
      <c r="G227" s="56" t="n">
        <v>245.45</v>
      </c>
      <c r="H227" s="57" t="n">
        <f aca="false">MAX(0,IF(AND(Parameter!$B$21="Ja",ISNUMBER(Y227)),Y227,IF(Parameter!$B$20="Jahresanfang 2025 + Export",BL227+BK227,BK227)))</f>
        <v>4</v>
      </c>
      <c r="I227" s="57" t="n">
        <f aca="false">H227*G227</f>
        <v>981.8</v>
      </c>
      <c r="J227" s="57" t="n">
        <f aca="false">BN227*Parameter!$B$18</f>
        <v>20</v>
      </c>
      <c r="K227" s="58" t="n">
        <v>1</v>
      </c>
      <c r="L227" s="59" t="n">
        <v>20</v>
      </c>
      <c r="M227" s="57" t="n">
        <v>1</v>
      </c>
      <c r="N227" s="57" t="n">
        <v>2</v>
      </c>
      <c r="O227" s="60" t="n">
        <v>14</v>
      </c>
      <c r="P227" s="55" t="s">
        <v>168</v>
      </c>
      <c r="Q227" s="57"/>
      <c r="R227" s="60" t="n">
        <f aca="false">IF(BT227=1,0,IFERROR(VLOOKUP(BR227,'Gebinde-Kategorie'!$A$5:$M$45,13,0)+0,0))</f>
        <v>3</v>
      </c>
      <c r="S227" s="61"/>
      <c r="T227" s="62" t="s">
        <v>189</v>
      </c>
      <c r="U227" s="62"/>
      <c r="V227" s="62"/>
      <c r="W227" s="55"/>
      <c r="X227" s="57"/>
      <c r="Y227" s="57"/>
      <c r="Z227" s="55" t="str">
        <f aca="false">IF(A227="","",IF(AND(Parameter!$B$21="Ja",ISNUMBER(W227)),W227,IF(BV227="2+3",IF(ISNUMBER(SEARCH("grosser Artikel",BO227)),2,IFERROR(VLOOKUP(BR227,Parameter!$F$35:$G$64,2,0),2)),IF(OR(BV227="Nein",BV227=""),"-",BV227))))</f>
        <v>-</v>
      </c>
      <c r="AA227" s="62"/>
      <c r="AB227" s="63"/>
      <c r="AC227" s="57" t="n">
        <f aca="false">AR227</f>
        <v>12</v>
      </c>
      <c r="AD227" s="57" t="n">
        <f aca="false">MAX(AR227,H227)</f>
        <v>12</v>
      </c>
      <c r="AE227" s="64"/>
      <c r="AF227" s="57" t="n">
        <f aca="false">IF(LEFT(Cockpit!$C$5,1)="A",H227,IF(CA227=1,CB227,IF(LEFT(Cockpit!$C$5,1)="B",AJ227,MAX(AJ227,H227))))</f>
        <v>4</v>
      </c>
      <c r="AG227" s="57" t="n">
        <f aca="false">IF(BT227=1,0,ROUNDUP(AF227/BS227,0))</f>
        <v>1</v>
      </c>
      <c r="AH227" s="59" t="n">
        <f aca="false">IF(CH227&gt;0,CH227*MAX(1,AF227/X227),IF(BT227=1,IF(AF227&lt;=0,0,BW227*MAX(1,IF(H227&gt;0,AF227/H227,1))),IF(R227&gt;0,AG227/R227,0))/MAX(0.1,N(Parameter!$M$21)))</f>
        <v>0.333333333333333</v>
      </c>
      <c r="AI227" s="57" t="n">
        <f aca="false">AF227*G227</f>
        <v>981.8</v>
      </c>
      <c r="AJ227" s="57" t="n">
        <f aca="false">ROUNDUP(MAX(J227/IF(BZ227&gt;0,BZ227,MAX(0.1,N(Cockpit!$C$6))),CC227)/BS227,0)*BS227</f>
        <v>12</v>
      </c>
      <c r="AK227" s="58" t="n">
        <f aca="false">IF(AH227&gt;0,J227/AH227,-1)</f>
        <v>60</v>
      </c>
      <c r="AL227" s="58" t="str">
        <f aca="false">IF(AND(OR(BY227="L1",BY227="L23"),AH227&gt;0),SUMIFS($AH$7:$AH$1843,$BY$7:$BY$1843,BY227,$AK$7:$AK$1843,"&gt;"&amp;AK227)+SUMIFS($AH$7:$AH$1843,$BY$7:$BY$1843,BY227,$AK$7:$AK$1843,AK227,$BQ$7:$BQ$1843,"&lt;="&amp;BQ227),"")</f>
        <v/>
      </c>
      <c r="AM227" s="65" t="n">
        <f aca="false">IF(AL227="",0,MAX(0,MIN(1,(IF(BY227="L1",Parameter!$E$5,Parameter!$E$6+Parameter!$E$7)-(AL227-AH227))/AH227)))</f>
        <v>0</v>
      </c>
      <c r="AN227" s="57" t="n">
        <f aca="false">IF(LEFT(Cockpit!$I$5,1)="A",H227,IF(CA227=1,CB227,IF(LEFT(Cockpit!$I$5,1)="B",AR227,MAX(AR227,H227))))</f>
        <v>12</v>
      </c>
      <c r="AO227" s="57" t="n">
        <f aca="false">IF(BT227=1,0,ROUNDUP(AN227/BS227,0))</f>
        <v>3</v>
      </c>
      <c r="AP227" s="59" t="n">
        <f aca="false">IF(CH227&gt;0,CH227*MAX(1,AN227/X227),IF(BT227=1,IF(AN227&lt;=0,0,BW227*MAX(1,IF(H227&gt;0,AN227/H227,1))),IF(R227&gt;0,AO227/R227,0))/MAX(0.1,N(Parameter!$M$21)))</f>
        <v>1</v>
      </c>
      <c r="AQ227" s="57" t="n">
        <f aca="false">AN227*G227</f>
        <v>2945.4</v>
      </c>
      <c r="AR227" s="57" t="n">
        <f aca="false">ROUNDUP(MAX(J227/IF(BZ227&gt;0,BZ227,MAX(0.1,N(Cockpit!$I$6))),CC227)/BS227,0)*BS227</f>
        <v>12</v>
      </c>
      <c r="AS227" s="58" t="n">
        <f aca="false">IF(AP227&gt;0,J227/AP227,-1)</f>
        <v>20</v>
      </c>
      <c r="AT227" s="58" t="str">
        <f aca="false">IF(AND(OR(BY227="L1",BY227="L23"),AP227&gt;0),SUMIFS($AP$7:$AP$1843,$BY$7:$BY$1843,BY227,$AS$7:$AS$1843,"&gt;"&amp;AS227)+SUMIFS($AP$7:$AP$1843,$BY$7:$BY$1843,BY227,$AS$7:$AS$1843,AS227,$BQ$7:$BQ$1843,"&lt;="&amp;BQ227),"")</f>
        <v/>
      </c>
      <c r="AU227" s="65" t="n">
        <f aca="false">IF(AT227="",0,MAX(0,MIN(1,(IF(BY227="L1",Parameter!$E$5,Parameter!$E$6+Parameter!$E$7)-(AT227-AP227))/AP227)))</f>
        <v>0</v>
      </c>
      <c r="AV227" s="57" t="n">
        <f aca="false">IF(LEFT(Cockpit!$O$5,1)="A",H227,IF(CA227=1,CB227,IF(LEFT(Cockpit!$O$5,1)="B",AZ227,MAX(AZ227,H227))))</f>
        <v>8</v>
      </c>
      <c r="AW227" s="57" t="n">
        <f aca="false">IF(BT227=1,0,ROUNDUP(AV227/BS227,0))</f>
        <v>2</v>
      </c>
      <c r="AX227" s="59" t="n">
        <f aca="false">IF(CH227&gt;0,CH227*MAX(1,AV227/X227),IF(BT227=1,IF(AV227&lt;=0,0,BW227*MAX(1,IF(H227&gt;0,AV227/H227,1))),IF(R227&gt;0,AW227/R227,0))/MAX(0.1,N(Parameter!$M$21)))</f>
        <v>0.666666666666667</v>
      </c>
      <c r="AY227" s="57" t="n">
        <f aca="false">AV227*G227</f>
        <v>1963.6</v>
      </c>
      <c r="AZ227" s="57" t="n">
        <f aca="false">ROUNDUP(MAX(J227/IF(BZ227&gt;0,BZ227,MAX(0.1,N(Cockpit!$O$6))),CC227)/BS227,0)*BS227</f>
        <v>8</v>
      </c>
      <c r="BA227" s="58" t="n">
        <f aca="false">IF(AX227&gt;0,J227/AX227,-1)</f>
        <v>30</v>
      </c>
      <c r="BB227" s="58" t="str">
        <f aca="false">IF(AND(OR(BY227="L1",BY227="L23"),AX227&gt;0),SUMIFS($AX$7:$AX$1843,$BY$7:$BY$1843,BY227,$BA$7:$BA$1843,"&gt;"&amp;BA227)+SUMIFS($AX$7:$AX$1843,$BY$7:$BY$1843,BY227,$BA$7:$BA$1843,BA227,$BQ$7:$BQ$1843,"&lt;="&amp;BQ227),"")</f>
        <v/>
      </c>
      <c r="BC227" s="65" t="n">
        <f aca="false">IF(BB227="",0,MAX(0,MIN(1,(IF(BY227="L1",Parameter!$E$5,Parameter!$E$6+Parameter!$E$7)-(BB227-AX227))/AX227)))</f>
        <v>0</v>
      </c>
      <c r="BD227" s="55" t="str">
        <f aca="false">IF(AH227&lt;=0,"",IF(BY227="Aussen","Aussenlager",IF(BY227="-","Nicht im Lift",IF(AM227&gt;=1,"Lift",IF(AM227&lt;=0,"Aussenlager","teilweise")))))</f>
        <v>Nicht im Lift</v>
      </c>
      <c r="BE227" s="55" t="str">
        <f aca="false">IF(AP227&lt;=0,"",IF(BY227="Aussen","Aussenlager",IF(BY227="-","Nicht im Lift",IF(AU227&gt;=1,"Lift",IF(AU227&lt;=0,"Aussenlager","teilweise")))))</f>
        <v>Nicht im Lift</v>
      </c>
      <c r="BF227" s="55" t="str">
        <f aca="false">IF(AX227&lt;=0,"",IF(BY227="Aussen","Aussenlager",IF(BY227="-","Nicht im Lift",IF(BC227&gt;=1,"Lift",IF(BC227&lt;=0,"Aussenlager","teilweise")))))</f>
        <v>Nicht im Lift</v>
      </c>
      <c r="BG227" s="55" t="str">
        <f aca="false">IF(A227="","",IF(BP227=1,"Neu; ","")&amp;IF(AND(BP227=0,BK227&lt;0),"negativer Bestand (Export "&amp;BK227&amp;"); ","")&amp;IF(J227&lt;=0,"Kein Verbrauch; ","")&amp;IF(CH227&gt;0,"Lift "&amp;W227&amp;" lt. Liftbericht (Fach "&amp;X227&amp;" Stk); ",IF(BU227=1,"Gebinde geschätzt ("&amp;T227&amp;"); ",IF(BT227=1,"Lose – Tablare geschätzt; ","")))&amp;IF(H227&gt;AR227,"Überbestand "&amp;ROUND(H227-AR227,0)&amp;" Stk / CHF "&amp;ROUND((H227-AR227)*G227,0)&amp;"; ","")&amp;IF(AND(CA227=1,CB227&lt;CC227),"MAX &lt; MB+LG; ","")&amp;IF(AND(CG227&gt;0,CF227*10&gt;CG227),"zu hoch für Tablar; ","")&amp;IF(AND(BP227=0,OR(CA227=1,AA227&lt;&gt;"",U227&lt;&gt;"",V227&lt;&gt;"",AB227&lt;&gt;"")),"manuell übersteuert; ","")&amp;IF(AND(BT227=0,R227=0),"Gebinde unbekannt / Stellmass fehlt; ","")&amp;IF(AND(BT227=0,N(V227)&lt;=0,N(Q227)&lt;=0),"Menge pro Gebinde fehlt (Ist = 1 Gebinde); ","")&amp;BO227)</f>
        <v>Gebinde geschätzt (Gross); Menge pro Gebinde fehlt (Ist = 1 Gebinde); </v>
      </c>
      <c r="BH227" s="55"/>
      <c r="BI227" s="55"/>
      <c r="BJ227" s="62"/>
      <c r="BK227" s="57" t="n">
        <v>2</v>
      </c>
      <c r="BL227" s="57" t="n">
        <v>2</v>
      </c>
      <c r="BM227" s="56" t="n">
        <v>636.5</v>
      </c>
      <c r="BN227" s="57" t="n">
        <v>20</v>
      </c>
      <c r="BO227" s="55"/>
      <c r="BP227" s="60" t="n">
        <v>0</v>
      </c>
      <c r="BQ227" s="60" t="n">
        <v>227</v>
      </c>
      <c r="BR227" s="55" t="str">
        <f aca="false">IF(U227&lt;&gt;"",UPPER(TRIM(U227)),IF(BU227=1,UPPER(VLOOKUP(T227,Parameter!$I$27:$K$29,2,0)),IF(P227="","LOSE",P227)))</f>
        <v>S81</v>
      </c>
      <c r="BS227" s="57" t="n">
        <f aca="false">IF(BR227="LOSE",1,IF(N(V227)&gt;0,V227,IF(BU227=1,MAX(1,N(VLOOKUP(T227,Parameter!$I$27:$K$29,3,0)),H227,N(N227)),IF(N(Q227)&gt;0,Q227,MAX(1,H227)))))</f>
        <v>4</v>
      </c>
      <c r="BT227" s="60" t="n">
        <f aca="false">IF(BR227="LOSE",1,0)</f>
        <v>0</v>
      </c>
      <c r="BU227" s="60" t="n">
        <f aca="false">IF(AND(U227="",OR(P227="",P227="LOSE"),T227&lt;&gt;"",N(S227)&lt;=0,ISNUMBER(MATCH(T227,Parameter!$I$27:$I$29,0))),1,0)</f>
        <v>1</v>
      </c>
      <c r="BV227" s="55" t="str">
        <f aca="false">IF(AND(Parameter!$B$19="Ja",E227&lt;&gt;"",ISNUMBER(MATCH(E227,Parameter!$I$35:$I$52,0))),VLOOKUP(E227,Parameter!$I$35:$J$52,2,0),IFERROR(VLOOKUP(D227,Parameter!$A$35:$C$64,2,0),"Nein"))</f>
        <v>Nein</v>
      </c>
      <c r="BW227" s="59" t="n">
        <f aca="false">IF(BT227=0,0,IF(N(S227)&gt;0,S227,IFERROR(VLOOKUP(D227,Parameter!$A$35:$C$64,3,0)+0,0)))</f>
        <v>0</v>
      </c>
      <c r="BX227" s="55" t="str">
        <f aca="false">IF(AA227&lt;&gt;"",AA227,Z227)</f>
        <v>-</v>
      </c>
      <c r="BY227" s="55" t="str">
        <f aca="false">IF(BX227=1,"L1",IF(OR(BX227=2,BX227=3),"L23",IF(BX227="Aussen","Aussen","-")))</f>
        <v>-</v>
      </c>
      <c r="BZ227" s="66" t="n">
        <f aca="false">IF(N(AB227)&gt;0,AB227,0)</f>
        <v>0</v>
      </c>
      <c r="CA227" s="60" t="n">
        <f aca="false">IF(ISNUMBER(AE227),1,0)</f>
        <v>0</v>
      </c>
      <c r="CB227" s="57" t="n">
        <f aca="false">N(AE227)</f>
        <v>0</v>
      </c>
      <c r="CC227" s="57" t="n">
        <f aca="false">N(M227)+N(N227)</f>
        <v>3</v>
      </c>
      <c r="CD227" s="57" t="n">
        <f aca="false">ROUNDUP(H227/BS227,0)</f>
        <v>1</v>
      </c>
      <c r="CE227" s="57" t="n">
        <f aca="false">ROUNDUP(CB227/BS227,0)</f>
        <v>0</v>
      </c>
      <c r="CF227" s="60" t="n">
        <f aca="false">IF(BT227=1,0,IFERROR(VLOOKUP(BR227,'Gebinde-Kategorie'!$A$5:$M$45,5,0)+0,0))</f>
        <v>20</v>
      </c>
      <c r="CG227" s="60" t="n">
        <f aca="false">IFERROR(IF(OR(BX227=1,BX227=2,BX227=3),N(INDEX(Parameter!$I$5:$I$7,BX227)),0),0)</f>
        <v>0</v>
      </c>
      <c r="CH227" s="59" t="n">
        <f aca="false">IF(AND(Parameter!$B$21="Ja",ISNUMBER(W227),N(X227)&gt;0),IFERROR(N(INDEX(Parameter!$L$5:$L$7,W227))*INDEX(Parameter!$E$5:$E$7,W227)*X227/SUMIFS($X$7:$X$1843,$W$7:$W$1843,W227),0),0)</f>
        <v>0</v>
      </c>
    </row>
    <row r="228" customFormat="false" ht="15" hidden="false" customHeight="false" outlineLevel="0" collapsed="false">
      <c r="A228" s="55" t="s">
        <v>647</v>
      </c>
      <c r="B228" s="55" t="s">
        <v>546</v>
      </c>
      <c r="C228" s="55" t="s">
        <v>164</v>
      </c>
      <c r="D228" s="55" t="s">
        <v>184</v>
      </c>
      <c r="E228" s="55"/>
      <c r="F228" s="55" t="s">
        <v>218</v>
      </c>
      <c r="G228" s="56" t="n">
        <v>15.33</v>
      </c>
      <c r="H228" s="57" t="n">
        <f aca="false">MAX(0,IF(AND(Parameter!$B$21="Ja",ISNUMBER(Y228)),Y228,IF(Parameter!$B$20="Jahresanfang 2025 + Export",BL228+BK228,BK228)))</f>
        <v>40</v>
      </c>
      <c r="I228" s="57" t="n">
        <f aca="false">H228*G228</f>
        <v>613.2</v>
      </c>
      <c r="J228" s="57" t="n">
        <f aca="false">BN228*Parameter!$B$18</f>
        <v>0</v>
      </c>
      <c r="K228" s="58" t="n">
        <v>0</v>
      </c>
      <c r="L228" s="59" t="n">
        <v>0</v>
      </c>
      <c r="M228" s="57" t="n">
        <v>0</v>
      </c>
      <c r="N228" s="57" t="n">
        <v>1</v>
      </c>
      <c r="O228" s="60" t="n">
        <v>9999</v>
      </c>
      <c r="P228" s="55" t="s">
        <v>168</v>
      </c>
      <c r="Q228" s="57"/>
      <c r="R228" s="60" t="n">
        <f aca="false">IF(BT228=1,0,IFERROR(VLOOKUP(BR228,'Gebinde-Kategorie'!$A$5:$M$45,13,0)+0,0))</f>
        <v>26</v>
      </c>
      <c r="S228" s="61"/>
      <c r="T228" s="62" t="s">
        <v>275</v>
      </c>
      <c r="U228" s="62"/>
      <c r="V228" s="62"/>
      <c r="W228" s="55"/>
      <c r="X228" s="57"/>
      <c r="Y228" s="57"/>
      <c r="Z228" s="55" t="n">
        <f aca="false">IF(A228="","",IF(AND(Parameter!$B$21="Ja",ISNUMBER(W228)),W228,IF(BV228="2+3",IF(ISNUMBER(SEARCH("grosser Artikel",BO228)),2,IFERROR(VLOOKUP(BR228,Parameter!$F$35:$G$64,2,0),2)),IF(OR(BV228="Nein",BV228=""),"-",BV228))))</f>
        <v>3</v>
      </c>
      <c r="AA228" s="62"/>
      <c r="AB228" s="63"/>
      <c r="AC228" s="57" t="n">
        <f aca="false">AR228</f>
        <v>40</v>
      </c>
      <c r="AD228" s="57" t="n">
        <f aca="false">MAX(AR228,H228)</f>
        <v>40</v>
      </c>
      <c r="AE228" s="64"/>
      <c r="AF228" s="57" t="n">
        <f aca="false">IF(LEFT(Cockpit!$C$5,1)="A",H228,IF(CA228=1,CB228,IF(LEFT(Cockpit!$C$5,1)="B",AJ228,MAX(AJ228,H228))))</f>
        <v>40</v>
      </c>
      <c r="AG228" s="57" t="n">
        <f aca="false">IF(BT228=1,0,ROUNDUP(AF228/BS228,0))</f>
        <v>1</v>
      </c>
      <c r="AH228" s="59" t="n">
        <f aca="false">IF(CH228&gt;0,CH228*MAX(1,AF228/X228),IF(BT228=1,IF(AF228&lt;=0,0,BW228*MAX(1,IF(H228&gt;0,AF228/H228,1))),IF(R228&gt;0,AG228/R228,0))/MAX(0.1,N(Parameter!$M$21)))</f>
        <v>0.0384615384615385</v>
      </c>
      <c r="AI228" s="57" t="n">
        <f aca="false">AF228*G228</f>
        <v>613.2</v>
      </c>
      <c r="AJ228" s="57" t="n">
        <f aca="false">ROUNDUP(MAX(J228/IF(BZ228&gt;0,BZ228,MAX(0.1,N(Cockpit!$C$6))),CC228)/BS228,0)*BS228</f>
        <v>40</v>
      </c>
      <c r="AK228" s="58" t="n">
        <f aca="false">IF(AH228&gt;0,J228/AH228,-1)</f>
        <v>0</v>
      </c>
      <c r="AL228" s="58" t="n">
        <f aca="false">IF(AND(OR(BY228="L1",BY228="L23"),AH228&gt;0),SUMIFS($AH$7:$AH$1843,$BY$7:$BY$1843,BY228,$AK$7:$AK$1843,"&gt;"&amp;AK228)+SUMIFS($AH$7:$AH$1843,$BY$7:$BY$1843,BY228,$AK$7:$AK$1843,AK228,$BQ$7:$BQ$1843,"&lt;="&amp;BQ228),"")</f>
        <v>71.0431150974629</v>
      </c>
      <c r="AM228" s="65" t="n">
        <f aca="false">IF(AL228="",0,MAX(0,MIN(1,(IF(BY228="L1",Parameter!$E$5,Parameter!$E$6+Parameter!$E$7)-(AL228-AH228))/AH228)))</f>
        <v>1</v>
      </c>
      <c r="AN228" s="57" t="n">
        <f aca="false">IF(LEFT(Cockpit!$I$5,1)="A",H228,IF(CA228=1,CB228,IF(LEFT(Cockpit!$I$5,1)="B",AR228,MAX(AR228,H228))))</f>
        <v>40</v>
      </c>
      <c r="AO228" s="57" t="n">
        <f aca="false">IF(BT228=1,0,ROUNDUP(AN228/BS228,0))</f>
        <v>1</v>
      </c>
      <c r="AP228" s="59" t="n">
        <f aca="false">IF(CH228&gt;0,CH228*MAX(1,AN228/X228),IF(BT228=1,IF(AN228&lt;=0,0,BW228*MAX(1,IF(H228&gt;0,AN228/H228,1))),IF(R228&gt;0,AO228/R228,0))/MAX(0.1,N(Parameter!$M$21)))</f>
        <v>0.0384615384615385</v>
      </c>
      <c r="AQ228" s="57" t="n">
        <f aca="false">AN228*G228</f>
        <v>613.2</v>
      </c>
      <c r="AR228" s="57" t="n">
        <f aca="false">ROUNDUP(MAX(J228/IF(BZ228&gt;0,BZ228,MAX(0.1,N(Cockpit!$I$6))),CC228)/BS228,0)*BS228</f>
        <v>40</v>
      </c>
      <c r="AS228" s="58" t="n">
        <f aca="false">IF(AP228&gt;0,J228/AP228,-1)</f>
        <v>0</v>
      </c>
      <c r="AT228" s="58" t="n">
        <f aca="false">IF(AND(OR(BY228="L1",BY228="L23"),AP228&gt;0),SUMIFS($AP$7:$AP$1843,$BY$7:$BY$1843,BY228,$AS$7:$AS$1843,"&gt;"&amp;AS228)+SUMIFS($AP$7:$AP$1843,$BY$7:$BY$1843,BY228,$AS$7:$AS$1843,AS228,$BQ$7:$BQ$1843,"&lt;="&amp;BQ228),"")</f>
        <v>110.467239282457</v>
      </c>
      <c r="AU228" s="65" t="n">
        <f aca="false">IF(AT228="",0,MAX(0,MIN(1,(IF(BY228="L1",Parameter!$E$5,Parameter!$E$6+Parameter!$E$7)-(AT228-AP228))/AP228)))</f>
        <v>0</v>
      </c>
      <c r="AV228" s="57" t="n">
        <f aca="false">IF(LEFT(Cockpit!$O$5,1)="A",H228,IF(CA228=1,CB228,IF(LEFT(Cockpit!$O$5,1)="B",AZ228,MAX(AZ228,H228))))</f>
        <v>40</v>
      </c>
      <c r="AW228" s="57" t="n">
        <f aca="false">IF(BT228=1,0,ROUNDUP(AV228/BS228,0))</f>
        <v>1</v>
      </c>
      <c r="AX228" s="59" t="n">
        <f aca="false">IF(CH228&gt;0,CH228*MAX(1,AV228/X228),IF(BT228=1,IF(AV228&lt;=0,0,BW228*MAX(1,IF(H228&gt;0,AV228/H228,1))),IF(R228&gt;0,AW228/R228,0))/MAX(0.1,N(Parameter!$M$21)))</f>
        <v>0.0384615384615385</v>
      </c>
      <c r="AY228" s="57" t="n">
        <f aca="false">AV228*G228</f>
        <v>613.2</v>
      </c>
      <c r="AZ228" s="57" t="n">
        <f aca="false">ROUNDUP(MAX(J228/IF(BZ228&gt;0,BZ228,MAX(0.1,N(Cockpit!$O$6))),CC228)/BS228,0)*BS228</f>
        <v>40</v>
      </c>
      <c r="BA228" s="58" t="n">
        <f aca="false">IF(AX228&gt;0,J228/AX228,-1)</f>
        <v>0</v>
      </c>
      <c r="BB228" s="58" t="n">
        <f aca="false">IF(AND(OR(BY228="L1",BY228="L23"),AX228&gt;0),SUMIFS($AX$7:$AX$1843,$BY$7:$BY$1843,BY228,$BA$7:$BA$1843,"&gt;"&amp;BA228)+SUMIFS($AX$7:$AX$1843,$BY$7:$BY$1843,BY228,$BA$7:$BA$1843,BA228,$BQ$7:$BQ$1843,"&lt;="&amp;BQ228),"")</f>
        <v>101.297076112294</v>
      </c>
      <c r="BC228" s="65" t="n">
        <f aca="false">IF(BB228="",0,MAX(0,MIN(1,(IF(BY228="L1",Parameter!$E$5,Parameter!$E$6+Parameter!$E$7)-(BB228-AX228))/AX228)))</f>
        <v>0</v>
      </c>
      <c r="BD228" s="55" t="str">
        <f aca="false">IF(AH228&lt;=0,"",IF(BY228="Aussen","Aussenlager",IF(BY228="-","Nicht im Lift",IF(AM228&gt;=1,"Lift",IF(AM228&lt;=0,"Aussenlager","teilweise")))))</f>
        <v>Lift</v>
      </c>
      <c r="BE228" s="55" t="str">
        <f aca="false">IF(AP228&lt;=0,"",IF(BY228="Aussen","Aussenlager",IF(BY228="-","Nicht im Lift",IF(AU228&gt;=1,"Lift",IF(AU228&lt;=0,"Aussenlager","teilweise")))))</f>
        <v>Aussenlager</v>
      </c>
      <c r="BF228" s="55" t="str">
        <f aca="false">IF(AX228&lt;=0,"",IF(BY228="Aussen","Aussenlager",IF(BY228="-","Nicht im Lift",IF(BC228&gt;=1,"Lift",IF(BC228&lt;=0,"Aussenlager","teilweise")))))</f>
        <v>Aussenlager</v>
      </c>
      <c r="BG228" s="55" t="str">
        <f aca="false">IF(A228="","",IF(BP228=1,"Neu; ","")&amp;IF(AND(BP228=0,BK228&lt;0),"negativer Bestand (Export "&amp;BK228&amp;"); ","")&amp;IF(J228&lt;=0,"Kein Verbrauch; ","")&amp;IF(CH228&gt;0,"Lift "&amp;W228&amp;" lt. Liftbericht (Fach "&amp;X228&amp;" Stk); ",IF(BU228=1,"Gebinde geschätzt ("&amp;T228&amp;"); ",IF(BT228=1,"Lose – Tablare geschätzt; ","")))&amp;IF(H228&gt;AR228,"Überbestand "&amp;ROUND(H228-AR228,0)&amp;" Stk / CHF "&amp;ROUND((H228-AR228)*G228,0)&amp;"; ","")&amp;IF(AND(CA228=1,CB228&lt;CC228),"MAX &lt; MB+LG; ","")&amp;IF(AND(CG228&gt;0,CF228*10&gt;CG228),"zu hoch für Tablar; ","")&amp;IF(AND(BP228=0,OR(CA228=1,AA228&lt;&gt;"",U228&lt;&gt;"",V228&lt;&gt;"",AB228&lt;&gt;"")),"manuell übersteuert; ","")&amp;IF(AND(BT228=0,R228=0),"Gebinde unbekannt / Stellmass fehlt; ","")&amp;IF(AND(BT228=0,N(V228)&lt;=0,N(Q228)&lt;=0),"Menge pro Gebinde fehlt (Ist = 1 Gebinde); ","")&amp;BO228)</f>
        <v>Kein Verbrauch; Gebinde geschätzt (Klein); Menge pro Gebinde fehlt (Ist = 1 Gebinde); </v>
      </c>
      <c r="BH228" s="55"/>
      <c r="BI228" s="55"/>
      <c r="BJ228" s="62"/>
      <c r="BK228" s="57" t="n">
        <v>40</v>
      </c>
      <c r="BL228" s="57" t="n">
        <v>0</v>
      </c>
      <c r="BM228" s="56" t="n">
        <v>613.2</v>
      </c>
      <c r="BN228" s="57" t="n">
        <v>0</v>
      </c>
      <c r="BO228" s="55"/>
      <c r="BP228" s="60" t="n">
        <v>0</v>
      </c>
      <c r="BQ228" s="60" t="n">
        <v>228</v>
      </c>
      <c r="BR228" s="55" t="str">
        <f aca="false">IF(U228&lt;&gt;"",UPPER(TRIM(U228)),IF(BU228=1,UPPER(VLOOKUP(T228,Parameter!$I$27:$K$29,2,0)),IF(P228="","LOSE",P228)))</f>
        <v>S51</v>
      </c>
      <c r="BS228" s="57" t="n">
        <f aca="false">IF(BR228="LOSE",1,IF(N(V228)&gt;0,V228,IF(BU228=1,MAX(1,N(VLOOKUP(T228,Parameter!$I$27:$K$29,3,0)),H228,N(N228)),IF(N(Q228)&gt;0,Q228,MAX(1,H228)))))</f>
        <v>40</v>
      </c>
      <c r="BT228" s="60" t="n">
        <f aca="false">IF(BR228="LOSE",1,0)</f>
        <v>0</v>
      </c>
      <c r="BU228" s="60" t="n">
        <f aca="false">IF(AND(U228="",OR(P228="",P228="LOSE"),T228&lt;&gt;"",N(S228)&lt;=0,ISNUMBER(MATCH(T228,Parameter!$I$27:$I$29,0))),1,0)</f>
        <v>1</v>
      </c>
      <c r="BV228" s="55" t="str">
        <f aca="false">IF(AND(Parameter!$B$19="Ja",E228&lt;&gt;"",ISNUMBER(MATCH(E228,Parameter!$I$35:$I$52,0))),VLOOKUP(E228,Parameter!$I$35:$J$52,2,0),IFERROR(VLOOKUP(D228,Parameter!$A$35:$C$64,2,0),"Nein"))</f>
        <v>2+3</v>
      </c>
      <c r="BW228" s="59" t="n">
        <f aca="false">IF(BT228=0,0,IF(N(S228)&gt;0,S228,IFERROR(VLOOKUP(D228,Parameter!$A$35:$C$64,3,0)+0,0)))</f>
        <v>0</v>
      </c>
      <c r="BX228" s="55" t="n">
        <f aca="false">IF(AA228&lt;&gt;"",AA228,Z228)</f>
        <v>3</v>
      </c>
      <c r="BY228" s="55" t="str">
        <f aca="false">IF(BX228=1,"L1",IF(OR(BX228=2,BX228=3),"L23",IF(BX228="Aussen","Aussen","-")))</f>
        <v>L23</v>
      </c>
      <c r="BZ228" s="66" t="n">
        <f aca="false">IF(N(AB228)&gt;0,AB228,0)</f>
        <v>0</v>
      </c>
      <c r="CA228" s="60" t="n">
        <f aca="false">IF(ISNUMBER(AE228),1,0)</f>
        <v>0</v>
      </c>
      <c r="CB228" s="57" t="n">
        <f aca="false">N(AE228)</f>
        <v>0</v>
      </c>
      <c r="CC228" s="57" t="n">
        <f aca="false">N(M228)+N(N228)</f>
        <v>1</v>
      </c>
      <c r="CD228" s="57" t="n">
        <f aca="false">ROUNDUP(H228/BS228,0)</f>
        <v>1</v>
      </c>
      <c r="CE228" s="57" t="n">
        <f aca="false">ROUNDUP(CB228/BS228,0)</f>
        <v>0</v>
      </c>
      <c r="CF228" s="60" t="n">
        <f aca="false">IF(BT228=1,0,IFERROR(VLOOKUP(BR228,'Gebinde-Kategorie'!$A$5:$M$45,5,0)+0,0))</f>
        <v>11</v>
      </c>
      <c r="CG228" s="60" t="n">
        <f aca="false">IFERROR(IF(OR(BX228=1,BX228=2,BX228=3),N(INDEX(Parameter!$I$5:$I$7,BX228)),0),0)</f>
        <v>0</v>
      </c>
      <c r="CH228" s="59" t="n">
        <f aca="false">IF(AND(Parameter!$B$21="Ja",ISNUMBER(W228),N(X228)&gt;0),IFERROR(N(INDEX(Parameter!$L$5:$L$7,W228))*INDEX(Parameter!$E$5:$E$7,W228)*X228/SUMIFS($X$7:$X$1843,$W$7:$W$1843,W228),0),0)</f>
        <v>0</v>
      </c>
    </row>
    <row r="229" customFormat="false" ht="15" hidden="false" customHeight="false" outlineLevel="0" collapsed="false">
      <c r="A229" s="55" t="s">
        <v>648</v>
      </c>
      <c r="B229" s="55" t="s">
        <v>297</v>
      </c>
      <c r="C229" s="55" t="s">
        <v>164</v>
      </c>
      <c r="D229" s="55" t="s">
        <v>165</v>
      </c>
      <c r="E229" s="55" t="s">
        <v>166</v>
      </c>
      <c r="F229" s="55" t="s">
        <v>218</v>
      </c>
      <c r="G229" s="56" t="n">
        <v>229.54</v>
      </c>
      <c r="H229" s="57" t="n">
        <f aca="false">MAX(0,IF(AND(Parameter!$B$21="Ja",ISNUMBER(Y229)),Y229,IF(Parameter!$B$20="Jahresanfang 2025 + Export",BL229+BK229,BK229)))</f>
        <v>9</v>
      </c>
      <c r="I229" s="57" t="n">
        <f aca="false">H229*G229</f>
        <v>2065.86</v>
      </c>
      <c r="J229" s="57" t="n">
        <f aca="false">BN229*Parameter!$B$18</f>
        <v>14</v>
      </c>
      <c r="K229" s="58" t="n">
        <v>10.5</v>
      </c>
      <c r="L229" s="59" t="n">
        <v>1.33333333333333</v>
      </c>
      <c r="M229" s="57" t="n">
        <v>3</v>
      </c>
      <c r="N229" s="57" t="n">
        <v>10</v>
      </c>
      <c r="O229" s="60" t="n">
        <v>70</v>
      </c>
      <c r="P229" s="55" t="s">
        <v>168</v>
      </c>
      <c r="Q229" s="57"/>
      <c r="R229" s="60" t="n">
        <f aca="false">IF(BT229=1,0,IFERROR(VLOOKUP(BR229,'Gebinde-Kategorie'!$A$5:$M$45,13,0)+0,0))</f>
        <v>0</v>
      </c>
      <c r="S229" s="61"/>
      <c r="T229" s="62"/>
      <c r="U229" s="62"/>
      <c r="V229" s="62"/>
      <c r="W229" s="55" t="n">
        <v>1</v>
      </c>
      <c r="X229" s="57" t="n">
        <v>16</v>
      </c>
      <c r="Y229" s="57" t="n">
        <v>9</v>
      </c>
      <c r="Z229" s="55" t="n">
        <f aca="false">IF(A229="","",IF(AND(Parameter!$B$21="Ja",ISNUMBER(W229)),W229,IF(BV229="2+3",IF(ISNUMBER(SEARCH("grosser Artikel",BO229)),2,IFERROR(VLOOKUP(BR229,Parameter!$F$35:$G$64,2,0),2)),IF(OR(BV229="Nein",BV229=""),"-",BV229))))</f>
        <v>1</v>
      </c>
      <c r="AA229" s="62"/>
      <c r="AB229" s="63"/>
      <c r="AC229" s="57" t="n">
        <f aca="false">AR229</f>
        <v>13</v>
      </c>
      <c r="AD229" s="57" t="n">
        <f aca="false">MAX(AR229,H229)</f>
        <v>13</v>
      </c>
      <c r="AE229" s="64"/>
      <c r="AF229" s="57" t="n">
        <f aca="false">IF(LEFT(Cockpit!$C$5,1)="A",H229,IF(CA229=1,CB229,IF(LEFT(Cockpit!$C$5,1)="B",AJ229,MAX(AJ229,H229))))</f>
        <v>9</v>
      </c>
      <c r="AG229" s="57" t="n">
        <f aca="false">IF(BT229=1,0,ROUNDUP(AF229/BS229,0))</f>
        <v>0</v>
      </c>
      <c r="AH229" s="59" t="n">
        <f aca="false">IF(CH229&gt;0,CH229*MAX(1,AF229/X229),IF(BT229=1,IF(AF229&lt;=0,0,BW229*MAX(1,IF(H229&gt;0,AF229/H229,1))),IF(R229&gt;0,AG229/R229,0))/MAX(0.1,N(Parameter!$M$21)))</f>
        <v>1.28060263653484</v>
      </c>
      <c r="AI229" s="57" t="n">
        <f aca="false">AF229*G229</f>
        <v>2065.86</v>
      </c>
      <c r="AJ229" s="57" t="n">
        <f aca="false">ROUNDUP(MAX(J229/IF(BZ229&gt;0,BZ229,MAX(0.1,N(Cockpit!$C$6))),CC229)/BS229,0)*BS229</f>
        <v>13</v>
      </c>
      <c r="AK229" s="58" t="n">
        <f aca="false">IF(AH229&gt;0,J229/AH229,-1)</f>
        <v>10.9323529411765</v>
      </c>
      <c r="AL229" s="58" t="n">
        <f aca="false">IF(AND(OR(BY229="L1",BY229="L23"),AH229&gt;0),SUMIFS($AH$7:$AH$1843,$BY$7:$BY$1843,BY229,$AK$7:$AK$1843,"&gt;"&amp;AK229)+SUMIFS($AH$7:$AH$1843,$BY$7:$BY$1843,BY229,$AK$7:$AK$1843,AK229,$BQ$7:$BQ$1843,"&lt;="&amp;BQ229),"")</f>
        <v>31.4542259509098</v>
      </c>
      <c r="AM229" s="65" t="n">
        <f aca="false">IF(AL229="",0,MAX(0,MIN(1,(IF(BY229="L1",Parameter!$E$5,Parameter!$E$6+Parameter!$E$7)-(AL229-AH229))/AH229)))</f>
        <v>1</v>
      </c>
      <c r="AN229" s="57" t="n">
        <f aca="false">IF(LEFT(Cockpit!$I$5,1)="A",H229,IF(CA229=1,CB229,IF(LEFT(Cockpit!$I$5,1)="B",AR229,MAX(AR229,H229))))</f>
        <v>13</v>
      </c>
      <c r="AO229" s="57" t="n">
        <f aca="false">IF(BT229=1,0,ROUNDUP(AN229/BS229,0))</f>
        <v>0</v>
      </c>
      <c r="AP229" s="59" t="n">
        <f aca="false">IF(CH229&gt;0,CH229*MAX(1,AN229/X229),IF(BT229=1,IF(AN229&lt;=0,0,BW229*MAX(1,IF(H229&gt;0,AN229/H229,1))),IF(R229&gt;0,AO229/R229,0))/MAX(0.1,N(Parameter!$M$21)))</f>
        <v>1.28060263653484</v>
      </c>
      <c r="AQ229" s="57" t="n">
        <f aca="false">AN229*G229</f>
        <v>2984.02</v>
      </c>
      <c r="AR229" s="57" t="n">
        <f aca="false">ROUNDUP(MAX(J229/IF(BZ229&gt;0,BZ229,MAX(0.1,N(Cockpit!$I$6))),CC229)/BS229,0)*BS229</f>
        <v>13</v>
      </c>
      <c r="AS229" s="58" t="n">
        <f aca="false">IF(AP229&gt;0,J229/AP229,-1)</f>
        <v>10.9323529411765</v>
      </c>
      <c r="AT229" s="58" t="n">
        <f aca="false">IF(AND(OR(BY229="L1",BY229="L23"),AP229&gt;0),SUMIFS($AP$7:$AP$1843,$BY$7:$BY$1843,BY229,$AS$7:$AS$1843,"&gt;"&amp;AS229)+SUMIFS($AP$7:$AP$1843,$BY$7:$BY$1843,BY229,$AS$7:$AS$1843,AS229,$BQ$7:$BQ$1843,"&lt;="&amp;BQ229),"")</f>
        <v>46.8070435664393</v>
      </c>
      <c r="AU229" s="65" t="n">
        <f aca="false">IF(AT229="",0,MAX(0,MIN(1,(IF(BY229="L1",Parameter!$E$5,Parameter!$E$6+Parameter!$E$7)-(AT229-AP229))/AP229)))</f>
        <v>1</v>
      </c>
      <c r="AV229" s="57" t="n">
        <f aca="false">IF(LEFT(Cockpit!$O$5,1)="A",H229,IF(CA229=1,CB229,IF(LEFT(Cockpit!$O$5,1)="B",AZ229,MAX(AZ229,H229))))</f>
        <v>13</v>
      </c>
      <c r="AW229" s="57" t="n">
        <f aca="false">IF(BT229=1,0,ROUNDUP(AV229/BS229,0))</f>
        <v>0</v>
      </c>
      <c r="AX229" s="59" t="n">
        <f aca="false">IF(CH229&gt;0,CH229*MAX(1,AV229/X229),IF(BT229=1,IF(AV229&lt;=0,0,BW229*MAX(1,IF(H229&gt;0,AV229/H229,1))),IF(R229&gt;0,AW229/R229,0))/MAX(0.1,N(Parameter!$M$21)))</f>
        <v>1.28060263653484</v>
      </c>
      <c r="AY229" s="57" t="n">
        <f aca="false">AV229*G229</f>
        <v>2984.02</v>
      </c>
      <c r="AZ229" s="57" t="n">
        <f aca="false">ROUNDUP(MAX(J229/IF(BZ229&gt;0,BZ229,MAX(0.1,N(Cockpit!$O$6))),CC229)/BS229,0)*BS229</f>
        <v>13</v>
      </c>
      <c r="BA229" s="58" t="n">
        <f aca="false">IF(AX229&gt;0,J229/AX229,-1)</f>
        <v>10.9323529411765</v>
      </c>
      <c r="BB229" s="58" t="n">
        <f aca="false">IF(AND(OR(BY229="L1",BY229="L23"),AX229&gt;0),SUMIFS($AX$7:$AX$1843,$BY$7:$BY$1843,BY229,$BA$7:$BA$1843,"&gt;"&amp;BA229)+SUMIFS($AX$7:$AX$1843,$BY$7:$BY$1843,BY229,$BA$7:$BA$1843,BA229,$BQ$7:$BQ$1843,"&lt;="&amp;BQ229),"")</f>
        <v>40.4738550976576</v>
      </c>
      <c r="BC229" s="65" t="n">
        <f aca="false">IF(BB229="",0,MAX(0,MIN(1,(IF(BY229="L1",Parameter!$E$5,Parameter!$E$6+Parameter!$E$7)-(BB229-AX229))/AX229)))</f>
        <v>1</v>
      </c>
      <c r="BD229" s="55" t="str">
        <f aca="false">IF(AH229&lt;=0,"",IF(BY229="Aussen","Aussenlager",IF(BY229="-","Nicht im Lift",IF(AM229&gt;=1,"Lift",IF(AM229&lt;=0,"Aussenlager","teilweise")))))</f>
        <v>Lift</v>
      </c>
      <c r="BE229" s="55" t="str">
        <f aca="false">IF(AP229&lt;=0,"",IF(BY229="Aussen","Aussenlager",IF(BY229="-","Nicht im Lift",IF(AU229&gt;=1,"Lift",IF(AU229&lt;=0,"Aussenlager","teilweise")))))</f>
        <v>Lift</v>
      </c>
      <c r="BF229" s="55" t="str">
        <f aca="false">IF(AX229&lt;=0,"",IF(BY229="Aussen","Aussenlager",IF(BY229="-","Nicht im Lift",IF(BC229&gt;=1,"Lift",IF(BC229&lt;=0,"Aussenlager","teilweise")))))</f>
        <v>Lift</v>
      </c>
      <c r="BG229" s="55" t="str">
        <f aca="false">IF(A229="","",IF(BP229=1,"Neu; ","")&amp;IF(AND(BP229=0,BK229&lt;0),"negativer Bestand (Export "&amp;BK229&amp;"); ","")&amp;IF(J229&lt;=0,"Kein Verbrauch; ","")&amp;IF(CH229&gt;0,"Lift "&amp;W229&amp;" lt. Liftbericht (Fach "&amp;X229&amp;" Stk); ",IF(BU229=1,"Gebinde geschätzt ("&amp;T229&amp;"); ",IF(BT229=1,"Lose – Tablare geschätzt; ","")))&amp;IF(H229&gt;AR229,"Überbestand "&amp;ROUND(H229-AR229,0)&amp;" Stk / CHF "&amp;ROUND((H229-AR229)*G229,0)&amp;"; ","")&amp;IF(AND(CA229=1,CB229&lt;CC229),"MAX &lt; MB+LG; ","")&amp;IF(AND(CG229&gt;0,CF229*10&gt;CG229),"zu hoch für Tablar; ","")&amp;IF(AND(BP229=0,OR(CA229=1,AA229&lt;&gt;"",U229&lt;&gt;"",V229&lt;&gt;"",AB229&lt;&gt;"")),"manuell übersteuert; ","")&amp;IF(AND(BT229=0,R229=0),"Gebinde unbekannt / Stellmass fehlt; ","")&amp;IF(AND(BT229=0,N(V229)&lt;=0,N(Q229)&lt;=0),"Menge pro Gebinde fehlt (Ist = 1 Gebinde); ","")&amp;BO229)</f>
        <v>Lift 1 lt. Liftbericht (Fach 16 Stk); </v>
      </c>
      <c r="BH229" s="55"/>
      <c r="BI229" s="55"/>
      <c r="BJ229" s="62"/>
      <c r="BK229" s="57" t="n">
        <v>3</v>
      </c>
      <c r="BL229" s="57" t="n">
        <v>6</v>
      </c>
      <c r="BM229" s="56" t="n">
        <v>598.979999999999</v>
      </c>
      <c r="BN229" s="57" t="n">
        <v>14</v>
      </c>
      <c r="BO229" s="55"/>
      <c r="BP229" s="60" t="n">
        <v>0</v>
      </c>
      <c r="BQ229" s="60" t="n">
        <v>229</v>
      </c>
      <c r="BR229" s="55" t="str">
        <f aca="false">IF(U229&lt;&gt;"",UPPER(TRIM(U229)),IF(BU229=1,UPPER(VLOOKUP(T229,Parameter!$I$27:$K$29,2,0)),IF(P229="","LOSE",P229)))</f>
        <v>LOSE</v>
      </c>
      <c r="BS229" s="57" t="n">
        <f aca="false">IF(BR229="LOSE",1,IF(N(V229)&gt;0,V229,IF(BU229=1,MAX(1,N(VLOOKUP(T229,Parameter!$I$27:$K$29,3,0)),H229,N(N229)),IF(N(Q229)&gt;0,Q229,MAX(1,H229)))))</f>
        <v>1</v>
      </c>
      <c r="BT229" s="60" t="n">
        <f aca="false">IF(BR229="LOSE",1,0)</f>
        <v>1</v>
      </c>
      <c r="BU229" s="60" t="n">
        <f aca="false">IF(AND(U229="",OR(P229="",P229="LOSE"),T229&lt;&gt;"",N(S229)&lt;=0,ISNUMBER(MATCH(T229,Parameter!$I$27:$I$29,0))),1,0)</f>
        <v>0</v>
      </c>
      <c r="BV229" s="55" t="n">
        <f aca="false">IF(AND(Parameter!$B$19="Ja",E229&lt;&gt;"",ISNUMBER(MATCH(E229,Parameter!$I$35:$I$52,0))),VLOOKUP(E229,Parameter!$I$35:$J$52,2,0),IFERROR(VLOOKUP(D229,Parameter!$A$35:$C$64,2,0),"Nein"))</f>
        <v>1</v>
      </c>
      <c r="BW229" s="59" t="n">
        <f aca="false">IF(BT229=0,0,IF(N(S229)&gt;0,S229,IFERROR(VLOOKUP(D229,Parameter!$A$35:$C$64,3,0)+0,0)))</f>
        <v>1</v>
      </c>
      <c r="BX229" s="55" t="n">
        <f aca="false">IF(AA229&lt;&gt;"",AA229,Z229)</f>
        <v>1</v>
      </c>
      <c r="BY229" s="55" t="str">
        <f aca="false">IF(BX229=1,"L1",IF(OR(BX229=2,BX229=3),"L23",IF(BX229="Aussen","Aussen","-")))</f>
        <v>L1</v>
      </c>
      <c r="BZ229" s="66" t="n">
        <f aca="false">IF(N(AB229)&gt;0,AB229,0)</f>
        <v>0</v>
      </c>
      <c r="CA229" s="60" t="n">
        <f aca="false">IF(ISNUMBER(AE229),1,0)</f>
        <v>0</v>
      </c>
      <c r="CB229" s="57" t="n">
        <f aca="false">N(AE229)</f>
        <v>0</v>
      </c>
      <c r="CC229" s="57" t="n">
        <f aca="false">N(M229)+N(N229)</f>
        <v>13</v>
      </c>
      <c r="CD229" s="57" t="n">
        <f aca="false">ROUNDUP(H229/BS229,0)</f>
        <v>9</v>
      </c>
      <c r="CE229" s="57" t="n">
        <f aca="false">ROUNDUP(CB229/BS229,0)</f>
        <v>0</v>
      </c>
      <c r="CF229" s="60" t="n">
        <f aca="false">IF(BT229=1,0,IFERROR(VLOOKUP(BR229,'Gebinde-Kategorie'!$A$5:$M$45,5,0)+0,0))</f>
        <v>0</v>
      </c>
      <c r="CG229" s="60" t="n">
        <f aca="false">IFERROR(IF(OR(BX229=1,BX229=2,BX229=3),N(INDEX(Parameter!$I$5:$I$7,BX229)),0),0)</f>
        <v>0</v>
      </c>
      <c r="CH229" s="59" t="n">
        <f aca="false">IF(AND(Parameter!$B$21="Ja",ISNUMBER(W229),N(X229)&gt;0),IFERROR(N(INDEX(Parameter!$L$5:$L$7,W229))*INDEX(Parameter!$E$5:$E$7,W229)*X229/SUMIFS($X$7:$X$1843,$W$7:$W$1843,W229),0),0)</f>
        <v>1.28060263653484</v>
      </c>
    </row>
    <row r="230" customFormat="false" ht="15" hidden="false" customHeight="false" outlineLevel="0" collapsed="false">
      <c r="A230" s="55" t="s">
        <v>649</v>
      </c>
      <c r="B230" s="55" t="s">
        <v>650</v>
      </c>
      <c r="C230" s="55" t="s">
        <v>164</v>
      </c>
      <c r="D230" s="55" t="s">
        <v>184</v>
      </c>
      <c r="E230" s="55" t="s">
        <v>185</v>
      </c>
      <c r="F230" s="55" t="s">
        <v>218</v>
      </c>
      <c r="G230" s="56" t="n">
        <v>9.98</v>
      </c>
      <c r="H230" s="57" t="n">
        <f aca="false">MAX(0,IF(AND(Parameter!$B$21="Ja",ISNUMBER(Y230)),Y230,IF(Parameter!$B$20="Jahresanfang 2025 + Export",BL230+BK230,BK230)))</f>
        <v>148</v>
      </c>
      <c r="I230" s="57" t="n">
        <f aca="false">H230*G230</f>
        <v>1477.04</v>
      </c>
      <c r="J230" s="57" t="n">
        <f aca="false">BN230*Parameter!$B$18</f>
        <v>168</v>
      </c>
      <c r="K230" s="58" t="n">
        <v>82.5</v>
      </c>
      <c r="L230" s="59" t="n">
        <v>2.03636363636364</v>
      </c>
      <c r="M230" s="57" t="n">
        <v>10</v>
      </c>
      <c r="N230" s="57" t="n">
        <v>170</v>
      </c>
      <c r="O230" s="60" t="n">
        <v>28</v>
      </c>
      <c r="P230" s="55" t="s">
        <v>233</v>
      </c>
      <c r="Q230" s="57" t="n">
        <v>150</v>
      </c>
      <c r="R230" s="60" t="n">
        <f aca="false">IF(BT230=1,0,IFERROR(VLOOKUP(BR230,'Gebinde-Kategorie'!$A$5:$M$45,13,0)+0,0))</f>
        <v>26</v>
      </c>
      <c r="S230" s="61"/>
      <c r="T230" s="62"/>
      <c r="U230" s="62"/>
      <c r="V230" s="62"/>
      <c r="W230" s="55"/>
      <c r="X230" s="57"/>
      <c r="Y230" s="57"/>
      <c r="Z230" s="55" t="n">
        <f aca="false">IF(A230="","",IF(AND(Parameter!$B$21="Ja",ISNUMBER(W230)),W230,IF(BV230="2+3",IF(ISNUMBER(SEARCH("grosser Artikel",BO230)),2,IFERROR(VLOOKUP(BR230,Parameter!$F$35:$G$64,2,0),2)),IF(OR(BV230="Nein",BV230=""),"-",BV230))))</f>
        <v>3</v>
      </c>
      <c r="AA230" s="62"/>
      <c r="AB230" s="63"/>
      <c r="AC230" s="57" t="n">
        <f aca="false">AR230</f>
        <v>300</v>
      </c>
      <c r="AD230" s="57" t="n">
        <f aca="false">MAX(AR230,H230)</f>
        <v>300</v>
      </c>
      <c r="AE230" s="64"/>
      <c r="AF230" s="57" t="n">
        <f aca="false">IF(LEFT(Cockpit!$C$5,1)="A",H230,IF(CA230=1,CB230,IF(LEFT(Cockpit!$C$5,1)="B",AJ230,MAX(AJ230,H230))))</f>
        <v>148</v>
      </c>
      <c r="AG230" s="57" t="n">
        <f aca="false">IF(BT230=1,0,ROUNDUP(AF230/BS230,0))</f>
        <v>1</v>
      </c>
      <c r="AH230" s="59" t="n">
        <f aca="false">IF(CH230&gt;0,CH230*MAX(1,AF230/X230),IF(BT230=1,IF(AF230&lt;=0,0,BW230*MAX(1,IF(H230&gt;0,AF230/H230,1))),IF(R230&gt;0,AG230/R230,0))/MAX(0.1,N(Parameter!$M$21)))</f>
        <v>0.0384615384615385</v>
      </c>
      <c r="AI230" s="57" t="n">
        <f aca="false">AF230*G230</f>
        <v>1477.04</v>
      </c>
      <c r="AJ230" s="57" t="n">
        <f aca="false">ROUNDUP(MAX(J230/IF(BZ230&gt;0,BZ230,MAX(0.1,N(Cockpit!$C$6))),CC230)/BS230,0)*BS230</f>
        <v>300</v>
      </c>
      <c r="AK230" s="58" t="n">
        <f aca="false">IF(AH230&gt;0,J230/AH230,-1)</f>
        <v>4368</v>
      </c>
      <c r="AL230" s="58" t="n">
        <f aca="false">IF(AND(OR(BY230="L1",BY230="L23"),AH230&gt;0),SUMIFS($AH$7:$AH$1843,$BY$7:$BY$1843,BY230,$AK$7:$AK$1843,"&gt;"&amp;AK230)+SUMIFS($AH$7:$AH$1843,$BY$7:$BY$1843,BY230,$AK$7:$AK$1843,AK230,$BQ$7:$BQ$1843,"&lt;="&amp;BQ230),"")</f>
        <v>8.16693692780649</v>
      </c>
      <c r="AM230" s="65" t="n">
        <f aca="false">IF(AL230="",0,MAX(0,MIN(1,(IF(BY230="L1",Parameter!$E$5,Parameter!$E$6+Parameter!$E$7)-(AL230-AH230))/AH230)))</f>
        <v>1</v>
      </c>
      <c r="AN230" s="57" t="n">
        <f aca="false">IF(LEFT(Cockpit!$I$5,1)="A",H230,IF(CA230=1,CB230,IF(LEFT(Cockpit!$I$5,1)="B",AR230,MAX(AR230,H230))))</f>
        <v>300</v>
      </c>
      <c r="AO230" s="57" t="n">
        <f aca="false">IF(BT230=1,0,ROUNDUP(AN230/BS230,0))</f>
        <v>2</v>
      </c>
      <c r="AP230" s="59" t="n">
        <f aca="false">IF(CH230&gt;0,CH230*MAX(1,AN230/X230),IF(BT230=1,IF(AN230&lt;=0,0,BW230*MAX(1,IF(H230&gt;0,AN230/H230,1))),IF(R230&gt;0,AO230/R230,0))/MAX(0.1,N(Parameter!$M$21)))</f>
        <v>0.0769230769230769</v>
      </c>
      <c r="AQ230" s="57" t="n">
        <f aca="false">AN230*G230</f>
        <v>2994</v>
      </c>
      <c r="AR230" s="57" t="n">
        <f aca="false">ROUNDUP(MAX(J230/IF(BZ230&gt;0,BZ230,MAX(0.1,N(Cockpit!$I$6))),CC230)/BS230,0)*BS230</f>
        <v>300</v>
      </c>
      <c r="AS230" s="58" t="n">
        <f aca="false">IF(AP230&gt;0,J230/AP230,-1)</f>
        <v>2184</v>
      </c>
      <c r="AT230" s="58" t="n">
        <f aca="false">IF(AND(OR(BY230="L1",BY230="L23"),AP230&gt;0),SUMIFS($AP$7:$AP$1843,$BY$7:$BY$1843,BY230,$AS$7:$AS$1843,"&gt;"&amp;AS230)+SUMIFS($AP$7:$AP$1843,$BY$7:$BY$1843,BY230,$AS$7:$AS$1843,AS230,$BQ$7:$BQ$1843,"&lt;="&amp;BQ230),"")</f>
        <v>18.3005219418263</v>
      </c>
      <c r="AU230" s="65" t="n">
        <f aca="false">IF(AT230="",0,MAX(0,MIN(1,(IF(BY230="L1",Parameter!$E$5,Parameter!$E$6+Parameter!$E$7)-(AT230-AP230))/AP230)))</f>
        <v>1</v>
      </c>
      <c r="AV230" s="57" t="n">
        <f aca="false">IF(LEFT(Cockpit!$O$5,1)="A",H230,IF(CA230=1,CB230,IF(LEFT(Cockpit!$O$5,1)="B",AZ230,MAX(AZ230,H230))))</f>
        <v>300</v>
      </c>
      <c r="AW230" s="57" t="n">
        <f aca="false">IF(BT230=1,0,ROUNDUP(AV230/BS230,0))</f>
        <v>2</v>
      </c>
      <c r="AX230" s="59" t="n">
        <f aca="false">IF(CH230&gt;0,CH230*MAX(1,AV230/X230),IF(BT230=1,IF(AV230&lt;=0,0,BW230*MAX(1,IF(H230&gt;0,AV230/H230,1))),IF(R230&gt;0,AW230/R230,0))/MAX(0.1,N(Parameter!$M$21)))</f>
        <v>0.0769230769230769</v>
      </c>
      <c r="AY230" s="57" t="n">
        <f aca="false">AV230*G230</f>
        <v>2994</v>
      </c>
      <c r="AZ230" s="57" t="n">
        <f aca="false">ROUNDUP(MAX(J230/IF(BZ230&gt;0,BZ230,MAX(0.1,N(Cockpit!$O$6))),CC230)/BS230,0)*BS230</f>
        <v>300</v>
      </c>
      <c r="BA230" s="58" t="n">
        <f aca="false">IF(AX230&gt;0,J230/AX230,-1)</f>
        <v>2184</v>
      </c>
      <c r="BB230" s="58" t="n">
        <f aca="false">IF(AND(OR(BY230="L1",BY230="L23"),AX230&gt;0),SUMIFS($AX$7:$AX$1843,$BY$7:$BY$1843,BY230,$BA$7:$BA$1843,"&gt;"&amp;BA230)+SUMIFS($AX$7:$AX$1843,$BY$7:$BY$1843,BY230,$BA$7:$BA$1843,BA230,$BQ$7:$BQ$1843,"&lt;="&amp;BQ230),"")</f>
        <v>16.8739485152529</v>
      </c>
      <c r="BC230" s="65" t="n">
        <f aca="false">IF(BB230="",0,MAX(0,MIN(1,(IF(BY230="L1",Parameter!$E$5,Parameter!$E$6+Parameter!$E$7)-(BB230-AX230))/AX230)))</f>
        <v>1</v>
      </c>
      <c r="BD230" s="55" t="str">
        <f aca="false">IF(AH230&lt;=0,"",IF(BY230="Aussen","Aussenlager",IF(BY230="-","Nicht im Lift",IF(AM230&gt;=1,"Lift",IF(AM230&lt;=0,"Aussenlager","teilweise")))))</f>
        <v>Lift</v>
      </c>
      <c r="BE230" s="55" t="str">
        <f aca="false">IF(AP230&lt;=0,"",IF(BY230="Aussen","Aussenlager",IF(BY230="-","Nicht im Lift",IF(AU230&gt;=1,"Lift",IF(AU230&lt;=0,"Aussenlager","teilweise")))))</f>
        <v>Lift</v>
      </c>
      <c r="BF230" s="55" t="str">
        <f aca="false">IF(AX230&lt;=0,"",IF(BY230="Aussen","Aussenlager",IF(BY230="-","Nicht im Lift",IF(BC230&gt;=1,"Lift",IF(BC230&lt;=0,"Aussenlager","teilweise")))))</f>
        <v>Lift</v>
      </c>
      <c r="BG230" s="55" t="str">
        <f aca="false">IF(A230="","",IF(BP230=1,"Neu; ","")&amp;IF(AND(BP230=0,BK230&lt;0),"negativer Bestand (Export "&amp;BK230&amp;"); ","")&amp;IF(J230&lt;=0,"Kein Verbrauch; ","")&amp;IF(CH230&gt;0,"Lift "&amp;W230&amp;" lt. Liftbericht (Fach "&amp;X230&amp;" Stk); ",IF(BU230=1,"Gebinde geschätzt ("&amp;T230&amp;"); ",IF(BT230=1,"Lose – Tablare geschätzt; ","")))&amp;IF(H230&gt;AR230,"Überbestand "&amp;ROUND(H230-AR230,0)&amp;" Stk / CHF "&amp;ROUND((H230-AR230)*G230,0)&amp;"; ","")&amp;IF(AND(CA230=1,CB230&lt;CC230),"MAX &lt; MB+LG; ","")&amp;IF(AND(CG230&gt;0,CF230*10&gt;CG230),"zu hoch für Tablar; ","")&amp;IF(AND(BP230=0,OR(CA230=1,AA230&lt;&gt;"",U230&lt;&gt;"",V230&lt;&gt;"",AB230&lt;&gt;"")),"manuell übersteuert; ","")&amp;IF(AND(BT230=0,R230=0),"Gebinde unbekannt / Stellmass fehlt; ","")&amp;IF(AND(BT230=0,N(V230)&lt;=0,N(Q230)&lt;=0),"Menge pro Gebinde fehlt (Ist = 1 Gebinde); ","")&amp;BO230)</f>
        <v/>
      </c>
      <c r="BH230" s="55"/>
      <c r="BI230" s="55"/>
      <c r="BJ230" s="62"/>
      <c r="BK230" s="57" t="n">
        <v>59</v>
      </c>
      <c r="BL230" s="57" t="n">
        <v>89</v>
      </c>
      <c r="BM230" s="56" t="n">
        <v>591.49</v>
      </c>
      <c r="BN230" s="57" t="n">
        <v>168</v>
      </c>
      <c r="BO230" s="55"/>
      <c r="BP230" s="60" t="n">
        <v>0</v>
      </c>
      <c r="BQ230" s="60" t="n">
        <v>230</v>
      </c>
      <c r="BR230" s="55" t="str">
        <f aca="false">IF(U230&lt;&gt;"",UPPER(TRIM(U230)),IF(BU230=1,UPPER(VLOOKUP(T230,Parameter!$I$27:$K$29,2,0)),IF(P230="","LOSE",P230)))</f>
        <v>S52</v>
      </c>
      <c r="BS230" s="57" t="n">
        <f aca="false">IF(BR230="LOSE",1,IF(N(V230)&gt;0,V230,IF(BU230=1,MAX(1,N(VLOOKUP(T230,Parameter!$I$27:$K$29,3,0)),H230,N(N230)),IF(N(Q230)&gt;0,Q230,MAX(1,H230)))))</f>
        <v>150</v>
      </c>
      <c r="BT230" s="60" t="n">
        <f aca="false">IF(BR230="LOSE",1,0)</f>
        <v>0</v>
      </c>
      <c r="BU230" s="60" t="n">
        <f aca="false">IF(AND(U230="",OR(P230="",P230="LOSE"),T230&lt;&gt;"",N(S230)&lt;=0,ISNUMBER(MATCH(T230,Parameter!$I$27:$I$29,0))),1,0)</f>
        <v>0</v>
      </c>
      <c r="BV230" s="55" t="str">
        <f aca="false">IF(AND(Parameter!$B$19="Ja",E230&lt;&gt;"",ISNUMBER(MATCH(E230,Parameter!$I$35:$I$52,0))),VLOOKUP(E230,Parameter!$I$35:$J$52,2,0),IFERROR(VLOOKUP(D230,Parameter!$A$35:$C$64,2,0),"Nein"))</f>
        <v>2+3</v>
      </c>
      <c r="BW230" s="59" t="n">
        <f aca="false">IF(BT230=0,0,IF(N(S230)&gt;0,S230,IFERROR(VLOOKUP(D230,Parameter!$A$35:$C$64,3,0)+0,0)))</f>
        <v>0</v>
      </c>
      <c r="BX230" s="55" t="n">
        <f aca="false">IF(AA230&lt;&gt;"",AA230,Z230)</f>
        <v>3</v>
      </c>
      <c r="BY230" s="55" t="str">
        <f aca="false">IF(BX230=1,"L1",IF(OR(BX230=2,BX230=3),"L23",IF(BX230="Aussen","Aussen","-")))</f>
        <v>L23</v>
      </c>
      <c r="BZ230" s="66" t="n">
        <f aca="false">IF(N(AB230)&gt;0,AB230,0)</f>
        <v>0</v>
      </c>
      <c r="CA230" s="60" t="n">
        <f aca="false">IF(ISNUMBER(AE230),1,0)</f>
        <v>0</v>
      </c>
      <c r="CB230" s="57" t="n">
        <f aca="false">N(AE230)</f>
        <v>0</v>
      </c>
      <c r="CC230" s="57" t="n">
        <f aca="false">N(M230)+N(N230)</f>
        <v>180</v>
      </c>
      <c r="CD230" s="57" t="n">
        <f aca="false">ROUNDUP(H230/BS230,0)</f>
        <v>1</v>
      </c>
      <c r="CE230" s="57" t="n">
        <f aca="false">ROUNDUP(CB230/BS230,0)</f>
        <v>0</v>
      </c>
      <c r="CF230" s="60" t="n">
        <f aca="false">IF(BT230=1,0,IFERROR(VLOOKUP(BR230,'Gebinde-Kategorie'!$A$5:$M$45,5,0)+0,0))</f>
        <v>21</v>
      </c>
      <c r="CG230" s="60" t="n">
        <f aca="false">IFERROR(IF(OR(BX230=1,BX230=2,BX230=3),N(INDEX(Parameter!$I$5:$I$7,BX230)),0),0)</f>
        <v>0</v>
      </c>
      <c r="CH230" s="59" t="n">
        <f aca="false">IF(AND(Parameter!$B$21="Ja",ISNUMBER(W230),N(X230)&gt;0),IFERROR(N(INDEX(Parameter!$L$5:$L$7,W230))*INDEX(Parameter!$E$5:$E$7,W230)*X230/SUMIFS($X$7:$X$1843,$W$7:$W$1843,W230),0),0)</f>
        <v>0</v>
      </c>
    </row>
    <row r="231" customFormat="false" ht="15" hidden="false" customHeight="false" outlineLevel="0" collapsed="false">
      <c r="A231" s="55" t="s">
        <v>651</v>
      </c>
      <c r="B231" s="55" t="s">
        <v>652</v>
      </c>
      <c r="C231" s="55" t="s">
        <v>164</v>
      </c>
      <c r="D231" s="55" t="s">
        <v>173</v>
      </c>
      <c r="E231" s="55" t="s">
        <v>166</v>
      </c>
      <c r="F231" s="55" t="s">
        <v>218</v>
      </c>
      <c r="G231" s="56" t="n">
        <v>579</v>
      </c>
      <c r="H231" s="57" t="n">
        <f aca="false">MAX(0,IF(AND(Parameter!$B$21="Ja",ISNUMBER(Y231)),Y231,IF(Parameter!$B$20="Jahresanfang 2025 + Export",BL231+BK231,BK231)))</f>
        <v>1</v>
      </c>
      <c r="I231" s="57" t="n">
        <f aca="false">H231*G231</f>
        <v>579</v>
      </c>
      <c r="J231" s="57" t="n">
        <f aca="false">BN231*Parameter!$B$18</f>
        <v>1</v>
      </c>
      <c r="K231" s="58" t="n">
        <v>0.5</v>
      </c>
      <c r="L231" s="59" t="n">
        <v>2</v>
      </c>
      <c r="M231" s="57" t="n">
        <v>0</v>
      </c>
      <c r="N231" s="57" t="n">
        <v>1</v>
      </c>
      <c r="O231" s="60" t="n">
        <v>14</v>
      </c>
      <c r="P231" s="55" t="s">
        <v>168</v>
      </c>
      <c r="Q231" s="57"/>
      <c r="R231" s="60" t="n">
        <f aca="false">IF(BT231=1,0,IFERROR(VLOOKUP(BR231,'Gebinde-Kategorie'!$A$5:$M$45,13,0)+0,0))</f>
        <v>0</v>
      </c>
      <c r="S231" s="61"/>
      <c r="T231" s="62"/>
      <c r="U231" s="62"/>
      <c r="V231" s="62"/>
      <c r="W231" s="55" t="n">
        <v>1</v>
      </c>
      <c r="X231" s="57" t="n">
        <v>1</v>
      </c>
      <c r="Y231" s="57" t="n">
        <v>1</v>
      </c>
      <c r="Z231" s="55" t="n">
        <f aca="false">IF(A231="","",IF(AND(Parameter!$B$21="Ja",ISNUMBER(W231)),W231,IF(BV231="2+3",IF(ISNUMBER(SEARCH("grosser Artikel",BO231)),2,IFERROR(VLOOKUP(BR231,Parameter!$F$35:$G$64,2,0),2)),IF(OR(BV231="Nein",BV231=""),"-",BV231))))</f>
        <v>1</v>
      </c>
      <c r="AA231" s="62"/>
      <c r="AB231" s="63"/>
      <c r="AC231" s="57" t="n">
        <f aca="false">AR231</f>
        <v>1</v>
      </c>
      <c r="AD231" s="57" t="n">
        <f aca="false">MAX(AR231,H231)</f>
        <v>1</v>
      </c>
      <c r="AE231" s="64"/>
      <c r="AF231" s="57" t="n">
        <f aca="false">IF(LEFT(Cockpit!$C$5,1)="A",H231,IF(CA231=1,CB231,IF(LEFT(Cockpit!$C$5,1)="B",AJ231,MAX(AJ231,H231))))</f>
        <v>1</v>
      </c>
      <c r="AG231" s="57" t="n">
        <f aca="false">IF(BT231=1,0,ROUNDUP(AF231/BS231,0))</f>
        <v>0</v>
      </c>
      <c r="AH231" s="59" t="n">
        <f aca="false">IF(CH231&gt;0,CH231*MAX(1,AF231/X231),IF(BT231=1,IF(AF231&lt;=0,0,BW231*MAX(1,IF(H231&gt;0,AF231/H231,1))),IF(R231&gt;0,AG231/R231,0))/MAX(0.1,N(Parameter!$M$21)))</f>
        <v>0.0800376647834275</v>
      </c>
      <c r="AI231" s="57" t="n">
        <f aca="false">AF231*G231</f>
        <v>579</v>
      </c>
      <c r="AJ231" s="57" t="n">
        <f aca="false">ROUNDUP(MAX(J231/IF(BZ231&gt;0,BZ231,MAX(0.1,N(Cockpit!$C$6))),CC231)/BS231,0)*BS231</f>
        <v>1</v>
      </c>
      <c r="AK231" s="58" t="n">
        <f aca="false">IF(AH231&gt;0,J231/AH231,-1)</f>
        <v>12.4941176470588</v>
      </c>
      <c r="AL231" s="58" t="n">
        <f aca="false">IF(AND(OR(BY231="L1",BY231="L23"),AH231&gt;0),SUMIFS($AH$7:$AH$1843,$BY$7:$BY$1843,BY231,$AK$7:$AK$1843,"&gt;"&amp;AK231)+SUMIFS($AH$7:$AH$1843,$BY$7:$BY$1843,BY231,$AK$7:$AK$1843,AK231,$BQ$7:$BQ$1843,"&lt;="&amp;BQ231),"")</f>
        <v>29.8468813181415</v>
      </c>
      <c r="AM231" s="65" t="n">
        <f aca="false">IF(AL231="",0,MAX(0,MIN(1,(IF(BY231="L1",Parameter!$E$5,Parameter!$E$6+Parameter!$E$7)-(AL231-AH231))/AH231)))</f>
        <v>1</v>
      </c>
      <c r="AN231" s="57" t="n">
        <f aca="false">IF(LEFT(Cockpit!$I$5,1)="A",H231,IF(CA231=1,CB231,IF(LEFT(Cockpit!$I$5,1)="B",AR231,MAX(AR231,H231))))</f>
        <v>1</v>
      </c>
      <c r="AO231" s="57" t="n">
        <f aca="false">IF(BT231=1,0,ROUNDUP(AN231/BS231,0))</f>
        <v>0</v>
      </c>
      <c r="AP231" s="59" t="n">
        <f aca="false">IF(CH231&gt;0,CH231*MAX(1,AN231/X231),IF(BT231=1,IF(AN231&lt;=0,0,BW231*MAX(1,IF(H231&gt;0,AN231/H231,1))),IF(R231&gt;0,AO231/R231,0))/MAX(0.1,N(Parameter!$M$21)))</f>
        <v>0.0800376647834275</v>
      </c>
      <c r="AQ231" s="57" t="n">
        <f aca="false">AN231*G231</f>
        <v>579</v>
      </c>
      <c r="AR231" s="57" t="n">
        <f aca="false">ROUNDUP(MAX(J231/IF(BZ231&gt;0,BZ231,MAX(0.1,N(Cockpit!$I$6))),CC231)/BS231,0)*BS231</f>
        <v>1</v>
      </c>
      <c r="AS231" s="58" t="n">
        <f aca="false">IF(AP231&gt;0,J231/AP231,-1)</f>
        <v>12.4941176470588</v>
      </c>
      <c r="AT231" s="58" t="n">
        <f aca="false">IF(AND(OR(BY231="L1",BY231="L23"),AP231&gt;0),SUMIFS($AP$7:$AP$1843,$BY$7:$BY$1843,BY231,$AS$7:$AS$1843,"&gt;"&amp;AS231)+SUMIFS($AP$7:$AP$1843,$BY$7:$BY$1843,BY231,$AS$7:$AS$1843,AS231,$BQ$7:$BQ$1843,"&lt;="&amp;BQ231),"")</f>
        <v>44.8663656003376</v>
      </c>
      <c r="AU231" s="65" t="n">
        <f aca="false">IF(AT231="",0,MAX(0,MIN(1,(IF(BY231="L1",Parameter!$E$5,Parameter!$E$6+Parameter!$E$7)-(AT231-AP231))/AP231)))</f>
        <v>1</v>
      </c>
      <c r="AV231" s="57" t="n">
        <f aca="false">IF(LEFT(Cockpit!$O$5,1)="A",H231,IF(CA231=1,CB231,IF(LEFT(Cockpit!$O$5,1)="B",AZ231,MAX(AZ231,H231))))</f>
        <v>1</v>
      </c>
      <c r="AW231" s="57" t="n">
        <f aca="false">IF(BT231=1,0,ROUNDUP(AV231/BS231,0))</f>
        <v>0</v>
      </c>
      <c r="AX231" s="59" t="n">
        <f aca="false">IF(CH231&gt;0,CH231*MAX(1,AV231/X231),IF(BT231=1,IF(AV231&lt;=0,0,BW231*MAX(1,IF(H231&gt;0,AV231/H231,1))),IF(R231&gt;0,AW231/R231,0))/MAX(0.1,N(Parameter!$M$21)))</f>
        <v>0.0800376647834275</v>
      </c>
      <c r="AY231" s="57" t="n">
        <f aca="false">AV231*G231</f>
        <v>579</v>
      </c>
      <c r="AZ231" s="57" t="n">
        <f aca="false">ROUNDUP(MAX(J231/IF(BZ231&gt;0,BZ231,MAX(0.1,N(Cockpit!$O$6))),CC231)/BS231,0)*BS231</f>
        <v>1</v>
      </c>
      <c r="BA231" s="58" t="n">
        <f aca="false">IF(AX231&gt;0,J231/AX231,-1)</f>
        <v>12.4941176470588</v>
      </c>
      <c r="BB231" s="58" t="n">
        <f aca="false">IF(AND(OR(BY231="L1",BY231="L23"),AX231&gt;0),SUMIFS($AX$7:$AX$1843,$BY$7:$BY$1843,BY231,$BA$7:$BA$1843,"&gt;"&amp;BA231)+SUMIFS($AX$7:$AX$1843,$BY$7:$BY$1843,BY231,$BA$7:$BA$1843,BA231,$BQ$7:$BQ$1843,"&lt;="&amp;BQ231),"")</f>
        <v>38.5331771315559</v>
      </c>
      <c r="BC231" s="65" t="n">
        <f aca="false">IF(BB231="",0,MAX(0,MIN(1,(IF(BY231="L1",Parameter!$E$5,Parameter!$E$6+Parameter!$E$7)-(BB231-AX231))/AX231)))</f>
        <v>1</v>
      </c>
      <c r="BD231" s="55" t="str">
        <f aca="false">IF(AH231&lt;=0,"",IF(BY231="Aussen","Aussenlager",IF(BY231="-","Nicht im Lift",IF(AM231&gt;=1,"Lift",IF(AM231&lt;=0,"Aussenlager","teilweise")))))</f>
        <v>Lift</v>
      </c>
      <c r="BE231" s="55" t="str">
        <f aca="false">IF(AP231&lt;=0,"",IF(BY231="Aussen","Aussenlager",IF(BY231="-","Nicht im Lift",IF(AU231&gt;=1,"Lift",IF(AU231&lt;=0,"Aussenlager","teilweise")))))</f>
        <v>Lift</v>
      </c>
      <c r="BF231" s="55" t="str">
        <f aca="false">IF(AX231&lt;=0,"",IF(BY231="Aussen","Aussenlager",IF(BY231="-","Nicht im Lift",IF(BC231&gt;=1,"Lift",IF(BC231&lt;=0,"Aussenlager","teilweise")))))</f>
        <v>Lift</v>
      </c>
      <c r="BG231" s="55" t="str">
        <f aca="false">IF(A231="","",IF(BP231=1,"Neu; ","")&amp;IF(AND(BP231=0,BK231&lt;0),"negativer Bestand (Export "&amp;BK231&amp;"); ","")&amp;IF(J231&lt;=0,"Kein Verbrauch; ","")&amp;IF(CH231&gt;0,"Lift "&amp;W231&amp;" lt. Liftbericht (Fach "&amp;X231&amp;" Stk); ",IF(BU231=1,"Gebinde geschätzt ("&amp;T231&amp;"); ",IF(BT231=1,"Lose – Tablare geschätzt; ","")))&amp;IF(H231&gt;AR231,"Überbestand "&amp;ROUND(H231-AR231,0)&amp;" Stk / CHF "&amp;ROUND((H231-AR231)*G231,0)&amp;"; ","")&amp;IF(AND(CA231=1,CB231&lt;CC231),"MAX &lt; MB+LG; ","")&amp;IF(AND(CG231&gt;0,CF231*10&gt;CG231),"zu hoch für Tablar; ","")&amp;IF(AND(BP231=0,OR(CA231=1,AA231&lt;&gt;"",U231&lt;&gt;"",V231&lt;&gt;"",AB231&lt;&gt;"")),"manuell übersteuert; ","")&amp;IF(AND(BT231=0,R231=0),"Gebinde unbekannt / Stellmass fehlt; ","")&amp;IF(AND(BT231=0,N(V231)&lt;=0,N(Q231)&lt;=0),"Menge pro Gebinde fehlt (Ist = 1 Gebinde); ","")&amp;BO231)</f>
        <v>Lift 1 lt. Liftbericht (Fach 1 Stk); </v>
      </c>
      <c r="BH231" s="55"/>
      <c r="BI231" s="55"/>
      <c r="BJ231" s="62"/>
      <c r="BK231" s="57" t="n">
        <v>1</v>
      </c>
      <c r="BL231" s="57" t="n">
        <v>0</v>
      </c>
      <c r="BM231" s="56" t="n">
        <v>579</v>
      </c>
      <c r="BN231" s="57" t="n">
        <v>1</v>
      </c>
      <c r="BO231" s="55"/>
      <c r="BP231" s="60" t="n">
        <v>0</v>
      </c>
      <c r="BQ231" s="60" t="n">
        <v>231</v>
      </c>
      <c r="BR231" s="55" t="str">
        <f aca="false">IF(U231&lt;&gt;"",UPPER(TRIM(U231)),IF(BU231=1,UPPER(VLOOKUP(T231,Parameter!$I$27:$K$29,2,0)),IF(P231="","LOSE",P231)))</f>
        <v>LOSE</v>
      </c>
      <c r="BS231" s="57" t="n">
        <f aca="false">IF(BR231="LOSE",1,IF(N(V231)&gt;0,V231,IF(BU231=1,MAX(1,N(VLOOKUP(T231,Parameter!$I$27:$K$29,3,0)),H231,N(N231)),IF(N(Q231)&gt;0,Q231,MAX(1,H231)))))</f>
        <v>1</v>
      </c>
      <c r="BT231" s="60" t="n">
        <f aca="false">IF(BR231="LOSE",1,0)</f>
        <v>1</v>
      </c>
      <c r="BU231" s="60" t="n">
        <f aca="false">IF(AND(U231="",OR(P231="",P231="LOSE"),T231&lt;&gt;"",N(S231)&lt;=0,ISNUMBER(MATCH(T231,Parameter!$I$27:$I$29,0))),1,0)</f>
        <v>0</v>
      </c>
      <c r="BV231" s="55" t="n">
        <f aca="false">IF(AND(Parameter!$B$19="Ja",E231&lt;&gt;"",ISNUMBER(MATCH(E231,Parameter!$I$35:$I$52,0))),VLOOKUP(E231,Parameter!$I$35:$J$52,2,0),IFERROR(VLOOKUP(D231,Parameter!$A$35:$C$64,2,0),"Nein"))</f>
        <v>1</v>
      </c>
      <c r="BW231" s="59" t="n">
        <f aca="false">IF(BT231=0,0,IF(N(S231)&gt;0,S231,IFERROR(VLOOKUP(D231,Parameter!$A$35:$C$64,3,0)+0,0)))</f>
        <v>0.15</v>
      </c>
      <c r="BX231" s="55" t="n">
        <f aca="false">IF(AA231&lt;&gt;"",AA231,Z231)</f>
        <v>1</v>
      </c>
      <c r="BY231" s="55" t="str">
        <f aca="false">IF(BX231=1,"L1",IF(OR(BX231=2,BX231=3),"L23",IF(BX231="Aussen","Aussen","-")))</f>
        <v>L1</v>
      </c>
      <c r="BZ231" s="66" t="n">
        <f aca="false">IF(N(AB231)&gt;0,AB231,0)</f>
        <v>0</v>
      </c>
      <c r="CA231" s="60" t="n">
        <f aca="false">IF(ISNUMBER(AE231),1,0)</f>
        <v>0</v>
      </c>
      <c r="CB231" s="57" t="n">
        <f aca="false">N(AE231)</f>
        <v>0</v>
      </c>
      <c r="CC231" s="57" t="n">
        <f aca="false">N(M231)+N(N231)</f>
        <v>1</v>
      </c>
      <c r="CD231" s="57" t="n">
        <f aca="false">ROUNDUP(H231/BS231,0)</f>
        <v>1</v>
      </c>
      <c r="CE231" s="57" t="n">
        <f aca="false">ROUNDUP(CB231/BS231,0)</f>
        <v>0</v>
      </c>
      <c r="CF231" s="60" t="n">
        <f aca="false">IF(BT231=1,0,IFERROR(VLOOKUP(BR231,'Gebinde-Kategorie'!$A$5:$M$45,5,0)+0,0))</f>
        <v>0</v>
      </c>
      <c r="CG231" s="60" t="n">
        <f aca="false">IFERROR(IF(OR(BX231=1,BX231=2,BX231=3),N(INDEX(Parameter!$I$5:$I$7,BX231)),0),0)</f>
        <v>0</v>
      </c>
      <c r="CH231" s="59" t="n">
        <f aca="false">IF(AND(Parameter!$B$21="Ja",ISNUMBER(W231),N(X231)&gt;0),IFERROR(N(INDEX(Parameter!$L$5:$L$7,W231))*INDEX(Parameter!$E$5:$E$7,W231)*X231/SUMIFS($X$7:$X$1843,$W$7:$W$1843,W231),0),0)</f>
        <v>0.0800376647834275</v>
      </c>
    </row>
    <row r="232" customFormat="false" ht="15" hidden="false" customHeight="false" outlineLevel="0" collapsed="false">
      <c r="A232" s="55" t="s">
        <v>653</v>
      </c>
      <c r="B232" s="55" t="s">
        <v>654</v>
      </c>
      <c r="C232" s="55" t="s">
        <v>164</v>
      </c>
      <c r="D232" s="55" t="s">
        <v>184</v>
      </c>
      <c r="E232" s="55" t="s">
        <v>185</v>
      </c>
      <c r="F232" s="55" t="s">
        <v>218</v>
      </c>
      <c r="G232" s="56" t="n">
        <v>41.32</v>
      </c>
      <c r="H232" s="57" t="n">
        <f aca="false">MAX(0,IF(AND(Parameter!$B$21="Ja",ISNUMBER(Y232)),Y232,IF(Parameter!$B$20="Jahresanfang 2025 + Export",BL232+BK232,BK232)))</f>
        <v>21</v>
      </c>
      <c r="I232" s="57" t="n">
        <f aca="false">H232*G232</f>
        <v>867.72</v>
      </c>
      <c r="J232" s="57" t="n">
        <f aca="false">BN232*Parameter!$B$18</f>
        <v>10</v>
      </c>
      <c r="K232" s="58" t="n">
        <v>4</v>
      </c>
      <c r="L232" s="59" t="n">
        <v>2.5</v>
      </c>
      <c r="M232" s="57" t="n">
        <v>0</v>
      </c>
      <c r="N232" s="57" t="n">
        <v>10</v>
      </c>
      <c r="O232" s="60" t="n">
        <v>35</v>
      </c>
      <c r="P232" s="55" t="s">
        <v>421</v>
      </c>
      <c r="Q232" s="57" t="n">
        <v>13</v>
      </c>
      <c r="R232" s="60" t="n">
        <f aca="false">IF(BT232=1,0,IFERROR(VLOOKUP(BR232,'Gebinde-Kategorie'!$A$5:$M$45,13,0)+0,0))</f>
        <v>132</v>
      </c>
      <c r="S232" s="61"/>
      <c r="T232" s="62"/>
      <c r="U232" s="62"/>
      <c r="V232" s="62"/>
      <c r="W232" s="55"/>
      <c r="X232" s="57"/>
      <c r="Y232" s="57"/>
      <c r="Z232" s="55" t="n">
        <f aca="false">IF(A232="","",IF(AND(Parameter!$B$21="Ja",ISNUMBER(W232)),W232,IF(BV232="2+3",IF(ISNUMBER(SEARCH("grosser Artikel",BO232)),2,IFERROR(VLOOKUP(BR232,Parameter!$F$35:$G$64,2,0),2)),IF(OR(BV232="Nein",BV232=""),"-",BV232))))</f>
        <v>3</v>
      </c>
      <c r="AA232" s="62"/>
      <c r="AB232" s="63"/>
      <c r="AC232" s="57" t="n">
        <f aca="false">AR232</f>
        <v>13</v>
      </c>
      <c r="AD232" s="57" t="n">
        <f aca="false">MAX(AR232,H232)</f>
        <v>21</v>
      </c>
      <c r="AE232" s="64"/>
      <c r="AF232" s="57" t="n">
        <f aca="false">IF(LEFT(Cockpit!$C$5,1)="A",H232,IF(CA232=1,CB232,IF(LEFT(Cockpit!$C$5,1)="B",AJ232,MAX(AJ232,H232))))</f>
        <v>21</v>
      </c>
      <c r="AG232" s="57" t="n">
        <f aca="false">IF(BT232=1,0,ROUNDUP(AF232/BS232,0))</f>
        <v>2</v>
      </c>
      <c r="AH232" s="59" t="n">
        <f aca="false">IF(CH232&gt;0,CH232*MAX(1,AF232/X232),IF(BT232=1,IF(AF232&lt;=0,0,BW232*MAX(1,IF(H232&gt;0,AF232/H232,1))),IF(R232&gt;0,AG232/R232,0))/MAX(0.1,N(Parameter!$M$21)))</f>
        <v>0.0151515151515152</v>
      </c>
      <c r="AI232" s="57" t="n">
        <f aca="false">AF232*G232</f>
        <v>867.72</v>
      </c>
      <c r="AJ232" s="57" t="n">
        <f aca="false">ROUNDUP(MAX(J232/IF(BZ232&gt;0,BZ232,MAX(0.1,N(Cockpit!$C$6))),CC232)/BS232,0)*BS232</f>
        <v>13</v>
      </c>
      <c r="AK232" s="58" t="n">
        <f aca="false">IF(AH232&gt;0,J232/AH232,-1)</f>
        <v>660</v>
      </c>
      <c r="AL232" s="58" t="n">
        <f aca="false">IF(AND(OR(BY232="L1",BY232="L23"),AH232&gt;0),SUMIFS($AH$7:$AH$1843,$BY$7:$BY$1843,BY232,$AK$7:$AK$1843,"&gt;"&amp;AK232)+SUMIFS($AH$7:$AH$1843,$BY$7:$BY$1843,BY232,$AK$7:$AK$1843,AK232,$BQ$7:$BQ$1843,"&lt;="&amp;BQ232),"")</f>
        <v>22.2222222222222</v>
      </c>
      <c r="AM232" s="65" t="n">
        <f aca="false">IF(AL232="",0,MAX(0,MIN(1,(IF(BY232="L1",Parameter!$E$5,Parameter!$E$6+Parameter!$E$7)-(AL232-AH232))/AH232)))</f>
        <v>1</v>
      </c>
      <c r="AN232" s="57" t="n">
        <f aca="false">IF(LEFT(Cockpit!$I$5,1)="A",H232,IF(CA232=1,CB232,IF(LEFT(Cockpit!$I$5,1)="B",AR232,MAX(AR232,H232))))</f>
        <v>21</v>
      </c>
      <c r="AO232" s="57" t="n">
        <f aca="false">IF(BT232=1,0,ROUNDUP(AN232/BS232,0))</f>
        <v>2</v>
      </c>
      <c r="AP232" s="59" t="n">
        <f aca="false">IF(CH232&gt;0,CH232*MAX(1,AN232/X232),IF(BT232=1,IF(AN232&lt;=0,0,BW232*MAX(1,IF(H232&gt;0,AN232/H232,1))),IF(R232&gt;0,AO232/R232,0))/MAX(0.1,N(Parameter!$M$21)))</f>
        <v>0.0151515151515152</v>
      </c>
      <c r="AQ232" s="57" t="n">
        <f aca="false">AN232*G232</f>
        <v>867.72</v>
      </c>
      <c r="AR232" s="57" t="n">
        <f aca="false">ROUNDUP(MAX(J232/IF(BZ232&gt;0,BZ232,MAX(0.1,N(Cockpit!$I$6))),CC232)/BS232,0)*BS232</f>
        <v>13</v>
      </c>
      <c r="AS232" s="58" t="n">
        <f aca="false">IF(AP232&gt;0,J232/AP232,-1)</f>
        <v>660</v>
      </c>
      <c r="AT232" s="58" t="n">
        <f aca="false">IF(AND(OR(BY232="L1",BY232="L23"),AP232&gt;0),SUMIFS($AP$7:$AP$1843,$BY$7:$BY$1843,BY232,$AS$7:$AS$1843,"&gt;"&amp;AS232)+SUMIFS($AP$7:$AP$1843,$BY$7:$BY$1843,BY232,$AS$7:$AS$1843,AS232,$BQ$7:$BQ$1843,"&lt;="&amp;BQ232),"")</f>
        <v>29.8579946623425</v>
      </c>
      <c r="AU232" s="65" t="n">
        <f aca="false">IF(AT232="",0,MAX(0,MIN(1,(IF(BY232="L1",Parameter!$E$5,Parameter!$E$6+Parameter!$E$7)-(AT232-AP232))/AP232)))</f>
        <v>1</v>
      </c>
      <c r="AV232" s="57" t="n">
        <f aca="false">IF(LEFT(Cockpit!$O$5,1)="A",H232,IF(CA232=1,CB232,IF(LEFT(Cockpit!$O$5,1)="B",AZ232,MAX(AZ232,H232))))</f>
        <v>21</v>
      </c>
      <c r="AW232" s="57" t="n">
        <f aca="false">IF(BT232=1,0,ROUNDUP(AV232/BS232,0))</f>
        <v>2</v>
      </c>
      <c r="AX232" s="59" t="n">
        <f aca="false">IF(CH232&gt;0,CH232*MAX(1,AV232/X232),IF(BT232=1,IF(AV232&lt;=0,0,BW232*MAX(1,IF(H232&gt;0,AV232/H232,1))),IF(R232&gt;0,AW232/R232,0))/MAX(0.1,N(Parameter!$M$21)))</f>
        <v>0.0151515151515152</v>
      </c>
      <c r="AY232" s="57" t="n">
        <f aca="false">AV232*G232</f>
        <v>867.72</v>
      </c>
      <c r="AZ232" s="57" t="n">
        <f aca="false">ROUNDUP(MAX(J232/IF(BZ232&gt;0,BZ232,MAX(0.1,N(Cockpit!$O$6))),CC232)/BS232,0)*BS232</f>
        <v>13</v>
      </c>
      <c r="BA232" s="58" t="n">
        <f aca="false">IF(AX232&gt;0,J232/AX232,-1)</f>
        <v>660</v>
      </c>
      <c r="BB232" s="58" t="n">
        <f aca="false">IF(AND(OR(BY232="L1",BY232="L23"),AX232&gt;0),SUMIFS($AX$7:$AX$1843,$BY$7:$BY$1843,BY232,$BA$7:$BA$1843,"&gt;"&amp;BA232)+SUMIFS($AX$7:$AX$1843,$BY$7:$BY$1843,BY232,$BA$7:$BA$1843,BA232,$BQ$7:$BQ$1843,"&lt;="&amp;BQ232),"")</f>
        <v>28.5596263639742</v>
      </c>
      <c r="BC232" s="65" t="n">
        <f aca="false">IF(BB232="",0,MAX(0,MIN(1,(IF(BY232="L1",Parameter!$E$5,Parameter!$E$6+Parameter!$E$7)-(BB232-AX232))/AX232)))</f>
        <v>1</v>
      </c>
      <c r="BD232" s="55" t="str">
        <f aca="false">IF(AH232&lt;=0,"",IF(BY232="Aussen","Aussenlager",IF(BY232="-","Nicht im Lift",IF(AM232&gt;=1,"Lift",IF(AM232&lt;=0,"Aussenlager","teilweise")))))</f>
        <v>Lift</v>
      </c>
      <c r="BE232" s="55" t="str">
        <f aca="false">IF(AP232&lt;=0,"",IF(BY232="Aussen","Aussenlager",IF(BY232="-","Nicht im Lift",IF(AU232&gt;=1,"Lift",IF(AU232&lt;=0,"Aussenlager","teilweise")))))</f>
        <v>Lift</v>
      </c>
      <c r="BF232" s="55" t="str">
        <f aca="false">IF(AX232&lt;=0,"",IF(BY232="Aussen","Aussenlager",IF(BY232="-","Nicht im Lift",IF(BC232&gt;=1,"Lift",IF(BC232&lt;=0,"Aussenlager","teilweise")))))</f>
        <v>Lift</v>
      </c>
      <c r="BG232" s="55" t="str">
        <f aca="false">IF(A232="","",IF(BP232=1,"Neu; ","")&amp;IF(AND(BP232=0,BK232&lt;0),"negativer Bestand (Export "&amp;BK232&amp;"); ","")&amp;IF(J232&lt;=0,"Kein Verbrauch; ","")&amp;IF(CH232&gt;0,"Lift "&amp;W232&amp;" lt. Liftbericht (Fach "&amp;X232&amp;" Stk); ",IF(BU232=1,"Gebinde geschätzt ("&amp;T232&amp;"); ",IF(BT232=1,"Lose – Tablare geschätzt; ","")))&amp;IF(H232&gt;AR232,"Überbestand "&amp;ROUND(H232-AR232,0)&amp;" Stk / CHF "&amp;ROUND((H232-AR232)*G232,0)&amp;"; ","")&amp;IF(AND(CA232=1,CB232&lt;CC232),"MAX &lt; MB+LG; ","")&amp;IF(AND(CG232&gt;0,CF232*10&gt;CG232),"zu hoch für Tablar; ","")&amp;IF(AND(BP232=0,OR(CA232=1,AA232&lt;&gt;"",U232&lt;&gt;"",V232&lt;&gt;"",AB232&lt;&gt;"")),"manuell übersteuert; ","")&amp;IF(AND(BT232=0,R232=0),"Gebinde unbekannt / Stellmass fehlt; ","")&amp;IF(AND(BT232=0,N(V232)&lt;=0,N(Q232)&lt;=0),"Menge pro Gebinde fehlt (Ist = 1 Gebinde); ","")&amp;BO232)</f>
        <v>Überbestand 8 Stk / CHF 331; </v>
      </c>
      <c r="BH232" s="55"/>
      <c r="BI232" s="55"/>
      <c r="BJ232" s="62"/>
      <c r="BK232" s="57" t="n">
        <v>17</v>
      </c>
      <c r="BL232" s="57" t="n">
        <v>4</v>
      </c>
      <c r="BM232" s="56" t="n">
        <v>578.4</v>
      </c>
      <c r="BN232" s="57" t="n">
        <v>10</v>
      </c>
      <c r="BO232" s="55"/>
      <c r="BP232" s="60" t="n">
        <v>0</v>
      </c>
      <c r="BQ232" s="60" t="n">
        <v>232</v>
      </c>
      <c r="BR232" s="55" t="str">
        <f aca="false">IF(U232&lt;&gt;"",UPPER(TRIM(U232)),IF(BU232=1,UPPER(VLOOKUP(T232,Parameter!$I$27:$K$29,2,0)),IF(P232="","LOSE",P232)))</f>
        <v>S32</v>
      </c>
      <c r="BS232" s="57" t="n">
        <f aca="false">IF(BR232="LOSE",1,IF(N(V232)&gt;0,V232,IF(BU232=1,MAX(1,N(VLOOKUP(T232,Parameter!$I$27:$K$29,3,0)),H232,N(N232)),IF(N(Q232)&gt;0,Q232,MAX(1,H232)))))</f>
        <v>13</v>
      </c>
      <c r="BT232" s="60" t="n">
        <f aca="false">IF(BR232="LOSE",1,0)</f>
        <v>0</v>
      </c>
      <c r="BU232" s="60" t="n">
        <f aca="false">IF(AND(U232="",OR(P232="",P232="LOSE"),T232&lt;&gt;"",N(S232)&lt;=0,ISNUMBER(MATCH(T232,Parameter!$I$27:$I$29,0))),1,0)</f>
        <v>0</v>
      </c>
      <c r="BV232" s="55" t="str">
        <f aca="false">IF(AND(Parameter!$B$19="Ja",E232&lt;&gt;"",ISNUMBER(MATCH(E232,Parameter!$I$35:$I$52,0))),VLOOKUP(E232,Parameter!$I$35:$J$52,2,0),IFERROR(VLOOKUP(D232,Parameter!$A$35:$C$64,2,0),"Nein"))</f>
        <v>2+3</v>
      </c>
      <c r="BW232" s="59" t="n">
        <f aca="false">IF(BT232=0,0,IF(N(S232)&gt;0,S232,IFERROR(VLOOKUP(D232,Parameter!$A$35:$C$64,3,0)+0,0)))</f>
        <v>0</v>
      </c>
      <c r="BX232" s="55" t="n">
        <f aca="false">IF(AA232&lt;&gt;"",AA232,Z232)</f>
        <v>3</v>
      </c>
      <c r="BY232" s="55" t="str">
        <f aca="false">IF(BX232=1,"L1",IF(OR(BX232=2,BX232=3),"L23",IF(BX232="Aussen","Aussen","-")))</f>
        <v>L23</v>
      </c>
      <c r="BZ232" s="66" t="n">
        <f aca="false">IF(N(AB232)&gt;0,AB232,0)</f>
        <v>0</v>
      </c>
      <c r="CA232" s="60" t="n">
        <f aca="false">IF(ISNUMBER(AE232),1,0)</f>
        <v>0</v>
      </c>
      <c r="CB232" s="57" t="n">
        <f aca="false">N(AE232)</f>
        <v>0</v>
      </c>
      <c r="CC232" s="57" t="n">
        <f aca="false">N(M232)+N(N232)</f>
        <v>10</v>
      </c>
      <c r="CD232" s="57" t="n">
        <f aca="false">ROUNDUP(H232/BS232,0)</f>
        <v>2</v>
      </c>
      <c r="CE232" s="57" t="n">
        <f aca="false">ROUNDUP(CB232/BS232,0)</f>
        <v>0</v>
      </c>
      <c r="CF232" s="60" t="n">
        <f aca="false">IF(BT232=1,0,IFERROR(VLOOKUP(BR232,'Gebinde-Kategorie'!$A$5:$M$45,5,0)+0,0))</f>
        <v>8</v>
      </c>
      <c r="CG232" s="60" t="n">
        <f aca="false">IFERROR(IF(OR(BX232=1,BX232=2,BX232=3),N(INDEX(Parameter!$I$5:$I$7,BX232)),0),0)</f>
        <v>0</v>
      </c>
      <c r="CH232" s="59" t="n">
        <f aca="false">IF(AND(Parameter!$B$21="Ja",ISNUMBER(W232),N(X232)&gt;0),IFERROR(N(INDEX(Parameter!$L$5:$L$7,W232))*INDEX(Parameter!$E$5:$E$7,W232)*X232/SUMIFS($X$7:$X$1843,$W$7:$W$1843,W232),0),0)</f>
        <v>0</v>
      </c>
    </row>
    <row r="233" customFormat="false" ht="15" hidden="false" customHeight="false" outlineLevel="0" collapsed="false">
      <c r="A233" s="55" t="s">
        <v>655</v>
      </c>
      <c r="B233" s="55" t="s">
        <v>656</v>
      </c>
      <c r="C233" s="55" t="s">
        <v>164</v>
      </c>
      <c r="D233" s="55" t="s">
        <v>173</v>
      </c>
      <c r="E233" s="55"/>
      <c r="F233" s="55" t="s">
        <v>218</v>
      </c>
      <c r="G233" s="56" t="n">
        <v>533.7</v>
      </c>
      <c r="H233" s="57" t="n">
        <f aca="false">MAX(0,IF(AND(Parameter!$B$21="Ja",ISNUMBER(Y233)),Y233,IF(Parameter!$B$20="Jahresanfang 2025 + Export",BL233+BK233,BK233)))</f>
        <v>2</v>
      </c>
      <c r="I233" s="57" t="n">
        <f aca="false">H233*G233</f>
        <v>1067.4</v>
      </c>
      <c r="J233" s="57" t="n">
        <f aca="false">BN233*Parameter!$B$18</f>
        <v>0</v>
      </c>
      <c r="K233" s="58" t="n">
        <v>1</v>
      </c>
      <c r="L233" s="59" t="n">
        <v>0</v>
      </c>
      <c r="M233" s="57" t="n">
        <v>0</v>
      </c>
      <c r="N233" s="57" t="n">
        <v>1</v>
      </c>
      <c r="O233" s="60" t="n">
        <v>28</v>
      </c>
      <c r="P233" s="55" t="s">
        <v>168</v>
      </c>
      <c r="Q233" s="57"/>
      <c r="R233" s="60" t="n">
        <f aca="false">IF(BT233=1,0,IFERROR(VLOOKUP(BR233,'Gebinde-Kategorie'!$A$5:$M$45,13,0)+0,0))</f>
        <v>12</v>
      </c>
      <c r="S233" s="61"/>
      <c r="T233" s="62" t="s">
        <v>179</v>
      </c>
      <c r="U233" s="62"/>
      <c r="V233" s="62"/>
      <c r="W233" s="55"/>
      <c r="X233" s="57"/>
      <c r="Y233" s="57"/>
      <c r="Z233" s="55" t="n">
        <f aca="false">IF(A233="","",IF(AND(Parameter!$B$21="Ja",ISNUMBER(W233)),W233,IF(BV233="2+3",IF(ISNUMBER(SEARCH("grosser Artikel",BO233)),2,IFERROR(VLOOKUP(BR233,Parameter!$F$35:$G$64,2,0),2)),IF(OR(BV233="Nein",BV233=""),"-",BV233))))</f>
        <v>2</v>
      </c>
      <c r="AA233" s="62"/>
      <c r="AB233" s="63"/>
      <c r="AC233" s="57" t="n">
        <f aca="false">AR233</f>
        <v>4</v>
      </c>
      <c r="AD233" s="57" t="n">
        <f aca="false">MAX(AR233,H233)</f>
        <v>4</v>
      </c>
      <c r="AE233" s="64"/>
      <c r="AF233" s="57" t="n">
        <f aca="false">IF(LEFT(Cockpit!$C$5,1)="A",H233,IF(CA233=1,CB233,IF(LEFT(Cockpit!$C$5,1)="B",AJ233,MAX(AJ233,H233))))</f>
        <v>2</v>
      </c>
      <c r="AG233" s="57" t="n">
        <f aca="false">IF(BT233=1,0,ROUNDUP(AF233/BS233,0))</f>
        <v>1</v>
      </c>
      <c r="AH233" s="59" t="n">
        <f aca="false">IF(CH233&gt;0,CH233*MAX(1,AF233/X233),IF(BT233=1,IF(AF233&lt;=0,0,BW233*MAX(1,IF(H233&gt;0,AF233/H233,1))),IF(R233&gt;0,AG233/R233,0))/MAX(0.1,N(Parameter!$M$21)))</f>
        <v>0.0833333333333333</v>
      </c>
      <c r="AI233" s="57" t="n">
        <f aca="false">AF233*G233</f>
        <v>1067.4</v>
      </c>
      <c r="AJ233" s="57" t="n">
        <f aca="false">ROUNDUP(MAX(J233/IF(BZ233&gt;0,BZ233,MAX(0.1,N(Cockpit!$C$6))),CC233)/BS233,0)*BS233</f>
        <v>4</v>
      </c>
      <c r="AK233" s="58" t="n">
        <f aca="false">IF(AH233&gt;0,J233/AH233,-1)</f>
        <v>0</v>
      </c>
      <c r="AL233" s="58" t="n">
        <f aca="false">IF(AND(OR(BY233="L1",BY233="L23"),AH233&gt;0),SUMIFS($AH$7:$AH$1843,$BY$7:$BY$1843,BY233,$AK$7:$AK$1843,"&gt;"&amp;AK233)+SUMIFS($AH$7:$AH$1843,$BY$7:$BY$1843,BY233,$AK$7:$AK$1843,AK233,$BQ$7:$BQ$1843,"&lt;="&amp;BQ233),"")</f>
        <v>71.1264484307963</v>
      </c>
      <c r="AM233" s="65" t="n">
        <f aca="false">IF(AL233="",0,MAX(0,MIN(1,(IF(BY233="L1",Parameter!$E$5,Parameter!$E$6+Parameter!$E$7)-(AL233-AH233))/AH233)))</f>
        <v>1</v>
      </c>
      <c r="AN233" s="57" t="n">
        <f aca="false">IF(LEFT(Cockpit!$I$5,1)="A",H233,IF(CA233=1,CB233,IF(LEFT(Cockpit!$I$5,1)="B",AR233,MAX(AR233,H233))))</f>
        <v>4</v>
      </c>
      <c r="AO233" s="57" t="n">
        <f aca="false">IF(BT233=1,0,ROUNDUP(AN233/BS233,0))</f>
        <v>1</v>
      </c>
      <c r="AP233" s="59" t="n">
        <f aca="false">IF(CH233&gt;0,CH233*MAX(1,AN233/X233),IF(BT233=1,IF(AN233&lt;=0,0,BW233*MAX(1,IF(H233&gt;0,AN233/H233,1))),IF(R233&gt;0,AO233/R233,0))/MAX(0.1,N(Parameter!$M$21)))</f>
        <v>0.0833333333333333</v>
      </c>
      <c r="AQ233" s="57" t="n">
        <f aca="false">AN233*G233</f>
        <v>2134.8</v>
      </c>
      <c r="AR233" s="57" t="n">
        <f aca="false">ROUNDUP(MAX(J233/IF(BZ233&gt;0,BZ233,MAX(0.1,N(Cockpit!$I$6))),CC233)/BS233,0)*BS233</f>
        <v>4</v>
      </c>
      <c r="AS233" s="58" t="n">
        <f aca="false">IF(AP233&gt;0,J233/AP233,-1)</f>
        <v>0</v>
      </c>
      <c r="AT233" s="58" t="n">
        <f aca="false">IF(AND(OR(BY233="L1",BY233="L23"),AP233&gt;0),SUMIFS($AP$7:$AP$1843,$BY$7:$BY$1843,BY233,$AS$7:$AS$1843,"&gt;"&amp;AS233)+SUMIFS($AP$7:$AP$1843,$BY$7:$BY$1843,BY233,$AS$7:$AS$1843,AS233,$BQ$7:$BQ$1843,"&lt;="&amp;BQ233),"")</f>
        <v>110.55057261579</v>
      </c>
      <c r="AU233" s="65" t="n">
        <f aca="false">IF(AT233="",0,MAX(0,MIN(1,(IF(BY233="L1",Parameter!$E$5,Parameter!$E$6+Parameter!$E$7)-(AT233-AP233))/AP233)))</f>
        <v>0</v>
      </c>
      <c r="AV233" s="57" t="n">
        <f aca="false">IF(LEFT(Cockpit!$O$5,1)="A",H233,IF(CA233=1,CB233,IF(LEFT(Cockpit!$O$5,1)="B",AZ233,MAX(AZ233,H233))))</f>
        <v>4</v>
      </c>
      <c r="AW233" s="57" t="n">
        <f aca="false">IF(BT233=1,0,ROUNDUP(AV233/BS233,0))</f>
        <v>1</v>
      </c>
      <c r="AX233" s="59" t="n">
        <f aca="false">IF(CH233&gt;0,CH233*MAX(1,AV233/X233),IF(BT233=1,IF(AV233&lt;=0,0,BW233*MAX(1,IF(H233&gt;0,AV233/H233,1))),IF(R233&gt;0,AW233/R233,0))/MAX(0.1,N(Parameter!$M$21)))</f>
        <v>0.0833333333333333</v>
      </c>
      <c r="AY233" s="57" t="n">
        <f aca="false">AV233*G233</f>
        <v>2134.8</v>
      </c>
      <c r="AZ233" s="57" t="n">
        <f aca="false">ROUNDUP(MAX(J233/IF(BZ233&gt;0,BZ233,MAX(0.1,N(Cockpit!$O$6))),CC233)/BS233,0)*BS233</f>
        <v>4</v>
      </c>
      <c r="BA233" s="58" t="n">
        <f aca="false">IF(AX233&gt;0,J233/AX233,-1)</f>
        <v>0</v>
      </c>
      <c r="BB233" s="58" t="n">
        <f aca="false">IF(AND(OR(BY233="L1",BY233="L23"),AX233&gt;0),SUMIFS($AX$7:$AX$1843,$BY$7:$BY$1843,BY233,$BA$7:$BA$1843,"&gt;"&amp;BA233)+SUMIFS($AX$7:$AX$1843,$BY$7:$BY$1843,BY233,$BA$7:$BA$1843,BA233,$BQ$7:$BQ$1843,"&lt;="&amp;BQ233),"")</f>
        <v>101.380409445627</v>
      </c>
      <c r="BC233" s="65" t="n">
        <f aca="false">IF(BB233="",0,MAX(0,MIN(1,(IF(BY233="L1",Parameter!$E$5,Parameter!$E$6+Parameter!$E$7)-(BB233-AX233))/AX233)))</f>
        <v>0</v>
      </c>
      <c r="BD233" s="55" t="str">
        <f aca="false">IF(AH233&lt;=0,"",IF(BY233="Aussen","Aussenlager",IF(BY233="-","Nicht im Lift",IF(AM233&gt;=1,"Lift",IF(AM233&lt;=0,"Aussenlager","teilweise")))))</f>
        <v>Lift</v>
      </c>
      <c r="BE233" s="55" t="str">
        <f aca="false">IF(AP233&lt;=0,"",IF(BY233="Aussen","Aussenlager",IF(BY233="-","Nicht im Lift",IF(AU233&gt;=1,"Lift",IF(AU233&lt;=0,"Aussenlager","teilweise")))))</f>
        <v>Aussenlager</v>
      </c>
      <c r="BF233" s="55" t="str">
        <f aca="false">IF(AX233&lt;=0,"",IF(BY233="Aussen","Aussenlager",IF(BY233="-","Nicht im Lift",IF(BC233&gt;=1,"Lift",IF(BC233&lt;=0,"Aussenlager","teilweise")))))</f>
        <v>Aussenlager</v>
      </c>
      <c r="BG233" s="55" t="str">
        <f aca="false">IF(A233="","",IF(BP233=1,"Neu; ","")&amp;IF(AND(BP233=0,BK233&lt;0),"negativer Bestand (Export "&amp;BK233&amp;"); ","")&amp;IF(J233&lt;=0,"Kein Verbrauch; ","")&amp;IF(CH233&gt;0,"Lift "&amp;W233&amp;" lt. Liftbericht (Fach "&amp;X233&amp;" Stk); ",IF(BU233=1,"Gebinde geschätzt ("&amp;T233&amp;"); ",IF(BT233=1,"Lose – Tablare geschätzt; ","")))&amp;IF(H233&gt;AR233,"Überbestand "&amp;ROUND(H233-AR233,0)&amp;" Stk / CHF "&amp;ROUND((H233-AR233)*G233,0)&amp;"; ","")&amp;IF(AND(CA233=1,CB233&lt;CC233),"MAX &lt; MB+LG; ","")&amp;IF(AND(CG233&gt;0,CF233*10&gt;CG233),"zu hoch für Tablar; ","")&amp;IF(AND(BP233=0,OR(CA233=1,AA233&lt;&gt;"",U233&lt;&gt;"",V233&lt;&gt;"",AB233&lt;&gt;"")),"manuell übersteuert; ","")&amp;IF(AND(BT233=0,R233=0),"Gebinde unbekannt / Stellmass fehlt; ","")&amp;IF(AND(BT233=0,N(V233)&lt;=0,N(Q233)&lt;=0),"Menge pro Gebinde fehlt (Ist = 1 Gebinde); ","")&amp;BO233)</f>
        <v>Kein Verbrauch; Gebinde geschätzt (Mittel); Menge pro Gebinde fehlt (Ist = 1 Gebinde); </v>
      </c>
      <c r="BH233" s="55"/>
      <c r="BI233" s="55"/>
      <c r="BJ233" s="62"/>
      <c r="BK233" s="57" t="n">
        <v>1</v>
      </c>
      <c r="BL233" s="57" t="n">
        <v>1</v>
      </c>
      <c r="BM233" s="56" t="n">
        <v>576.9</v>
      </c>
      <c r="BN233" s="57" t="n">
        <v>0</v>
      </c>
      <c r="BO233" s="55"/>
      <c r="BP233" s="60" t="n">
        <v>0</v>
      </c>
      <c r="BQ233" s="60" t="n">
        <v>233</v>
      </c>
      <c r="BR233" s="55" t="str">
        <f aca="false">IF(U233&lt;&gt;"",UPPER(TRIM(U233)),IF(BU233=1,UPPER(VLOOKUP(T233,Parameter!$I$27:$K$29,2,0)),IF(P233="","LOSE",P233)))</f>
        <v>S61</v>
      </c>
      <c r="BS233" s="57" t="n">
        <f aca="false">IF(BR233="LOSE",1,IF(N(V233)&gt;0,V233,IF(BU233=1,MAX(1,N(VLOOKUP(T233,Parameter!$I$27:$K$29,3,0)),H233,N(N233)),IF(N(Q233)&gt;0,Q233,MAX(1,H233)))))</f>
        <v>4</v>
      </c>
      <c r="BT233" s="60" t="n">
        <f aca="false">IF(BR233="LOSE",1,0)</f>
        <v>0</v>
      </c>
      <c r="BU233" s="60" t="n">
        <f aca="false">IF(AND(U233="",OR(P233="",P233="LOSE"),T233&lt;&gt;"",N(S233)&lt;=0,ISNUMBER(MATCH(T233,Parameter!$I$27:$I$29,0))),1,0)</f>
        <v>1</v>
      </c>
      <c r="BV233" s="55" t="str">
        <f aca="false">IF(AND(Parameter!$B$19="Ja",E233&lt;&gt;"",ISNUMBER(MATCH(E233,Parameter!$I$35:$I$52,0))),VLOOKUP(E233,Parameter!$I$35:$J$52,2,0),IFERROR(VLOOKUP(D233,Parameter!$A$35:$C$64,2,0),"Nein"))</f>
        <v>2+3</v>
      </c>
      <c r="BW233" s="59" t="n">
        <f aca="false">IF(BT233=0,0,IF(N(S233)&gt;0,S233,IFERROR(VLOOKUP(D233,Parameter!$A$35:$C$64,3,0)+0,0)))</f>
        <v>0</v>
      </c>
      <c r="BX233" s="55" t="n">
        <f aca="false">IF(AA233&lt;&gt;"",AA233,Z233)</f>
        <v>2</v>
      </c>
      <c r="BY233" s="55" t="str">
        <f aca="false">IF(BX233=1,"L1",IF(OR(BX233=2,BX233=3),"L23",IF(BX233="Aussen","Aussen","-")))</f>
        <v>L23</v>
      </c>
      <c r="BZ233" s="66" t="n">
        <f aca="false">IF(N(AB233)&gt;0,AB233,0)</f>
        <v>0</v>
      </c>
      <c r="CA233" s="60" t="n">
        <f aca="false">IF(ISNUMBER(AE233),1,0)</f>
        <v>0</v>
      </c>
      <c r="CB233" s="57" t="n">
        <f aca="false">N(AE233)</f>
        <v>0</v>
      </c>
      <c r="CC233" s="57" t="n">
        <f aca="false">N(M233)+N(N233)</f>
        <v>1</v>
      </c>
      <c r="CD233" s="57" t="n">
        <f aca="false">ROUNDUP(H233/BS233,0)</f>
        <v>1</v>
      </c>
      <c r="CE233" s="57" t="n">
        <f aca="false">ROUNDUP(CB233/BS233,0)</f>
        <v>0</v>
      </c>
      <c r="CF233" s="60" t="n">
        <f aca="false">IF(BT233=1,0,IFERROR(VLOOKUP(BR233,'Gebinde-Kategorie'!$A$5:$M$45,5,0)+0,0))</f>
        <v>11</v>
      </c>
      <c r="CG233" s="60" t="n">
        <f aca="false">IFERROR(IF(OR(BX233=1,BX233=2,BX233=3),N(INDEX(Parameter!$I$5:$I$7,BX233)),0),0)</f>
        <v>0</v>
      </c>
      <c r="CH233" s="59" t="n">
        <f aca="false">IF(AND(Parameter!$B$21="Ja",ISNUMBER(W233),N(X233)&gt;0),IFERROR(N(INDEX(Parameter!$L$5:$L$7,W233))*INDEX(Parameter!$E$5:$E$7,W233)*X233/SUMIFS($X$7:$X$1843,$W$7:$W$1843,W233),0),0)</f>
        <v>0</v>
      </c>
    </row>
    <row r="234" customFormat="false" ht="15" hidden="false" customHeight="false" outlineLevel="0" collapsed="false">
      <c r="A234" s="55" t="s">
        <v>657</v>
      </c>
      <c r="B234" s="55" t="s">
        <v>658</v>
      </c>
      <c r="C234" s="55" t="s">
        <v>164</v>
      </c>
      <c r="D234" s="55" t="s">
        <v>173</v>
      </c>
      <c r="E234" s="55"/>
      <c r="F234" s="55" t="s">
        <v>218</v>
      </c>
      <c r="G234" s="56" t="n">
        <v>533.7</v>
      </c>
      <c r="H234" s="57" t="n">
        <f aca="false">MAX(0,IF(AND(Parameter!$B$21="Ja",ISNUMBER(Y234)),Y234,IF(Parameter!$B$20="Jahresanfang 2025 + Export",BL234+BK234,BK234)))</f>
        <v>2</v>
      </c>
      <c r="I234" s="57" t="n">
        <f aca="false">H234*G234</f>
        <v>1067.4</v>
      </c>
      <c r="J234" s="57" t="n">
        <f aca="false">BN234*Parameter!$B$18</f>
        <v>0</v>
      </c>
      <c r="K234" s="58" t="n">
        <v>1</v>
      </c>
      <c r="L234" s="59" t="n">
        <v>0</v>
      </c>
      <c r="M234" s="57" t="n">
        <v>0</v>
      </c>
      <c r="N234" s="57" t="n">
        <v>1</v>
      </c>
      <c r="O234" s="60" t="n">
        <v>28</v>
      </c>
      <c r="P234" s="55" t="s">
        <v>168</v>
      </c>
      <c r="Q234" s="57"/>
      <c r="R234" s="60" t="n">
        <f aca="false">IF(BT234=1,0,IFERROR(VLOOKUP(BR234,'Gebinde-Kategorie'!$A$5:$M$45,13,0)+0,0))</f>
        <v>12</v>
      </c>
      <c r="S234" s="61"/>
      <c r="T234" s="62" t="s">
        <v>179</v>
      </c>
      <c r="U234" s="62"/>
      <c r="V234" s="62"/>
      <c r="W234" s="55"/>
      <c r="X234" s="57"/>
      <c r="Y234" s="57"/>
      <c r="Z234" s="55" t="n">
        <f aca="false">IF(A234="","",IF(AND(Parameter!$B$21="Ja",ISNUMBER(W234)),W234,IF(BV234="2+3",IF(ISNUMBER(SEARCH("grosser Artikel",BO234)),2,IFERROR(VLOOKUP(BR234,Parameter!$F$35:$G$64,2,0),2)),IF(OR(BV234="Nein",BV234=""),"-",BV234))))</f>
        <v>2</v>
      </c>
      <c r="AA234" s="62"/>
      <c r="AB234" s="63"/>
      <c r="AC234" s="57" t="n">
        <f aca="false">AR234</f>
        <v>4</v>
      </c>
      <c r="AD234" s="57" t="n">
        <f aca="false">MAX(AR234,H234)</f>
        <v>4</v>
      </c>
      <c r="AE234" s="64"/>
      <c r="AF234" s="57" t="n">
        <f aca="false">IF(LEFT(Cockpit!$C$5,1)="A",H234,IF(CA234=1,CB234,IF(LEFT(Cockpit!$C$5,1)="B",AJ234,MAX(AJ234,H234))))</f>
        <v>2</v>
      </c>
      <c r="AG234" s="57" t="n">
        <f aca="false">IF(BT234=1,0,ROUNDUP(AF234/BS234,0))</f>
        <v>1</v>
      </c>
      <c r="AH234" s="59" t="n">
        <f aca="false">IF(CH234&gt;0,CH234*MAX(1,AF234/X234),IF(BT234=1,IF(AF234&lt;=0,0,BW234*MAX(1,IF(H234&gt;0,AF234/H234,1))),IF(R234&gt;0,AG234/R234,0))/MAX(0.1,N(Parameter!$M$21)))</f>
        <v>0.0833333333333333</v>
      </c>
      <c r="AI234" s="57" t="n">
        <f aca="false">AF234*G234</f>
        <v>1067.4</v>
      </c>
      <c r="AJ234" s="57" t="n">
        <f aca="false">ROUNDUP(MAX(J234/IF(BZ234&gt;0,BZ234,MAX(0.1,N(Cockpit!$C$6))),CC234)/BS234,0)*BS234</f>
        <v>4</v>
      </c>
      <c r="AK234" s="58" t="n">
        <f aca="false">IF(AH234&gt;0,J234/AH234,-1)</f>
        <v>0</v>
      </c>
      <c r="AL234" s="58" t="n">
        <f aca="false">IF(AND(OR(BY234="L1",BY234="L23"),AH234&gt;0),SUMIFS($AH$7:$AH$1843,$BY$7:$BY$1843,BY234,$AK$7:$AK$1843,"&gt;"&amp;AK234)+SUMIFS($AH$7:$AH$1843,$BY$7:$BY$1843,BY234,$AK$7:$AK$1843,AK234,$BQ$7:$BQ$1843,"&lt;="&amp;BQ234),"")</f>
        <v>71.2097817641296</v>
      </c>
      <c r="AM234" s="65" t="n">
        <f aca="false">IF(AL234="",0,MAX(0,MIN(1,(IF(BY234="L1",Parameter!$E$5,Parameter!$E$6+Parameter!$E$7)-(AL234-AH234))/AH234)))</f>
        <v>1</v>
      </c>
      <c r="AN234" s="57" t="n">
        <f aca="false">IF(LEFT(Cockpit!$I$5,1)="A",H234,IF(CA234=1,CB234,IF(LEFT(Cockpit!$I$5,1)="B",AR234,MAX(AR234,H234))))</f>
        <v>4</v>
      </c>
      <c r="AO234" s="57" t="n">
        <f aca="false">IF(BT234=1,0,ROUNDUP(AN234/BS234,0))</f>
        <v>1</v>
      </c>
      <c r="AP234" s="59" t="n">
        <f aca="false">IF(CH234&gt;0,CH234*MAX(1,AN234/X234),IF(BT234=1,IF(AN234&lt;=0,0,BW234*MAX(1,IF(H234&gt;0,AN234/H234,1))),IF(R234&gt;0,AO234/R234,0))/MAX(0.1,N(Parameter!$M$21)))</f>
        <v>0.0833333333333333</v>
      </c>
      <c r="AQ234" s="57" t="n">
        <f aca="false">AN234*G234</f>
        <v>2134.8</v>
      </c>
      <c r="AR234" s="57" t="n">
        <f aca="false">ROUNDUP(MAX(J234/IF(BZ234&gt;0,BZ234,MAX(0.1,N(Cockpit!$I$6))),CC234)/BS234,0)*BS234</f>
        <v>4</v>
      </c>
      <c r="AS234" s="58" t="n">
        <f aca="false">IF(AP234&gt;0,J234/AP234,-1)</f>
        <v>0</v>
      </c>
      <c r="AT234" s="58" t="n">
        <f aca="false">IF(AND(OR(BY234="L1",BY234="L23"),AP234&gt;0),SUMIFS($AP$7:$AP$1843,$BY$7:$BY$1843,BY234,$AS$7:$AS$1843,"&gt;"&amp;AS234)+SUMIFS($AP$7:$AP$1843,$BY$7:$BY$1843,BY234,$AS$7:$AS$1843,AS234,$BQ$7:$BQ$1843,"&lt;="&amp;BQ234),"")</f>
        <v>110.633905949123</v>
      </c>
      <c r="AU234" s="65" t="n">
        <f aca="false">IF(AT234="",0,MAX(0,MIN(1,(IF(BY234="L1",Parameter!$E$5,Parameter!$E$6+Parameter!$E$7)-(AT234-AP234))/AP234)))</f>
        <v>0</v>
      </c>
      <c r="AV234" s="57" t="n">
        <f aca="false">IF(LEFT(Cockpit!$O$5,1)="A",H234,IF(CA234=1,CB234,IF(LEFT(Cockpit!$O$5,1)="B",AZ234,MAX(AZ234,H234))))</f>
        <v>4</v>
      </c>
      <c r="AW234" s="57" t="n">
        <f aca="false">IF(BT234=1,0,ROUNDUP(AV234/BS234,0))</f>
        <v>1</v>
      </c>
      <c r="AX234" s="59" t="n">
        <f aca="false">IF(CH234&gt;0,CH234*MAX(1,AV234/X234),IF(BT234=1,IF(AV234&lt;=0,0,BW234*MAX(1,IF(H234&gt;0,AV234/H234,1))),IF(R234&gt;0,AW234/R234,0))/MAX(0.1,N(Parameter!$M$21)))</f>
        <v>0.0833333333333333</v>
      </c>
      <c r="AY234" s="57" t="n">
        <f aca="false">AV234*G234</f>
        <v>2134.8</v>
      </c>
      <c r="AZ234" s="57" t="n">
        <f aca="false">ROUNDUP(MAX(J234/IF(BZ234&gt;0,BZ234,MAX(0.1,N(Cockpit!$O$6))),CC234)/BS234,0)*BS234</f>
        <v>4</v>
      </c>
      <c r="BA234" s="58" t="n">
        <f aca="false">IF(AX234&gt;0,J234/AX234,-1)</f>
        <v>0</v>
      </c>
      <c r="BB234" s="58" t="n">
        <f aca="false">IF(AND(OR(BY234="L1",BY234="L23"),AX234&gt;0),SUMIFS($AX$7:$AX$1843,$BY$7:$BY$1843,BY234,$BA$7:$BA$1843,"&gt;"&amp;BA234)+SUMIFS($AX$7:$AX$1843,$BY$7:$BY$1843,BY234,$BA$7:$BA$1843,BA234,$BQ$7:$BQ$1843,"&lt;="&amp;BQ234),"")</f>
        <v>101.46374277896</v>
      </c>
      <c r="BC234" s="65" t="n">
        <f aca="false">IF(BB234="",0,MAX(0,MIN(1,(IF(BY234="L1",Parameter!$E$5,Parameter!$E$6+Parameter!$E$7)-(BB234-AX234))/AX234)))</f>
        <v>0</v>
      </c>
      <c r="BD234" s="55" t="str">
        <f aca="false">IF(AH234&lt;=0,"",IF(BY234="Aussen","Aussenlager",IF(BY234="-","Nicht im Lift",IF(AM234&gt;=1,"Lift",IF(AM234&lt;=0,"Aussenlager","teilweise")))))</f>
        <v>Lift</v>
      </c>
      <c r="BE234" s="55" t="str">
        <f aca="false">IF(AP234&lt;=0,"",IF(BY234="Aussen","Aussenlager",IF(BY234="-","Nicht im Lift",IF(AU234&gt;=1,"Lift",IF(AU234&lt;=0,"Aussenlager","teilweise")))))</f>
        <v>Aussenlager</v>
      </c>
      <c r="BF234" s="55" t="str">
        <f aca="false">IF(AX234&lt;=0,"",IF(BY234="Aussen","Aussenlager",IF(BY234="-","Nicht im Lift",IF(BC234&gt;=1,"Lift",IF(BC234&lt;=0,"Aussenlager","teilweise")))))</f>
        <v>Aussenlager</v>
      </c>
      <c r="BG234" s="55" t="str">
        <f aca="false">IF(A234="","",IF(BP234=1,"Neu; ","")&amp;IF(AND(BP234=0,BK234&lt;0),"negativer Bestand (Export "&amp;BK234&amp;"); ","")&amp;IF(J234&lt;=0,"Kein Verbrauch; ","")&amp;IF(CH234&gt;0,"Lift "&amp;W234&amp;" lt. Liftbericht (Fach "&amp;X234&amp;" Stk); ",IF(BU234=1,"Gebinde geschätzt ("&amp;T234&amp;"); ",IF(BT234=1,"Lose – Tablare geschätzt; ","")))&amp;IF(H234&gt;AR234,"Überbestand "&amp;ROUND(H234-AR234,0)&amp;" Stk / CHF "&amp;ROUND((H234-AR234)*G234,0)&amp;"; ","")&amp;IF(AND(CA234=1,CB234&lt;CC234),"MAX &lt; MB+LG; ","")&amp;IF(AND(CG234&gt;0,CF234*10&gt;CG234),"zu hoch für Tablar; ","")&amp;IF(AND(BP234=0,OR(CA234=1,AA234&lt;&gt;"",U234&lt;&gt;"",V234&lt;&gt;"",AB234&lt;&gt;"")),"manuell übersteuert; ","")&amp;IF(AND(BT234=0,R234=0),"Gebinde unbekannt / Stellmass fehlt; ","")&amp;IF(AND(BT234=0,N(V234)&lt;=0,N(Q234)&lt;=0),"Menge pro Gebinde fehlt (Ist = 1 Gebinde); ","")&amp;BO234)</f>
        <v>Kein Verbrauch; Gebinde geschätzt (Mittel); Menge pro Gebinde fehlt (Ist = 1 Gebinde); </v>
      </c>
      <c r="BH234" s="55"/>
      <c r="BI234" s="55"/>
      <c r="BJ234" s="62"/>
      <c r="BK234" s="57" t="n">
        <v>1</v>
      </c>
      <c r="BL234" s="57" t="n">
        <v>1</v>
      </c>
      <c r="BM234" s="56" t="n">
        <v>576.9</v>
      </c>
      <c r="BN234" s="57" t="n">
        <v>0</v>
      </c>
      <c r="BO234" s="55"/>
      <c r="BP234" s="60" t="n">
        <v>0</v>
      </c>
      <c r="BQ234" s="60" t="n">
        <v>234</v>
      </c>
      <c r="BR234" s="55" t="str">
        <f aca="false">IF(U234&lt;&gt;"",UPPER(TRIM(U234)),IF(BU234=1,UPPER(VLOOKUP(T234,Parameter!$I$27:$K$29,2,0)),IF(P234="","LOSE",P234)))</f>
        <v>S61</v>
      </c>
      <c r="BS234" s="57" t="n">
        <f aca="false">IF(BR234="LOSE",1,IF(N(V234)&gt;0,V234,IF(BU234=1,MAX(1,N(VLOOKUP(T234,Parameter!$I$27:$K$29,3,0)),H234,N(N234)),IF(N(Q234)&gt;0,Q234,MAX(1,H234)))))</f>
        <v>4</v>
      </c>
      <c r="BT234" s="60" t="n">
        <f aca="false">IF(BR234="LOSE",1,0)</f>
        <v>0</v>
      </c>
      <c r="BU234" s="60" t="n">
        <f aca="false">IF(AND(U234="",OR(P234="",P234="LOSE"),T234&lt;&gt;"",N(S234)&lt;=0,ISNUMBER(MATCH(T234,Parameter!$I$27:$I$29,0))),1,0)</f>
        <v>1</v>
      </c>
      <c r="BV234" s="55" t="str">
        <f aca="false">IF(AND(Parameter!$B$19="Ja",E234&lt;&gt;"",ISNUMBER(MATCH(E234,Parameter!$I$35:$I$52,0))),VLOOKUP(E234,Parameter!$I$35:$J$52,2,0),IFERROR(VLOOKUP(D234,Parameter!$A$35:$C$64,2,0),"Nein"))</f>
        <v>2+3</v>
      </c>
      <c r="BW234" s="59" t="n">
        <f aca="false">IF(BT234=0,0,IF(N(S234)&gt;0,S234,IFERROR(VLOOKUP(D234,Parameter!$A$35:$C$64,3,0)+0,0)))</f>
        <v>0</v>
      </c>
      <c r="BX234" s="55" t="n">
        <f aca="false">IF(AA234&lt;&gt;"",AA234,Z234)</f>
        <v>2</v>
      </c>
      <c r="BY234" s="55" t="str">
        <f aca="false">IF(BX234=1,"L1",IF(OR(BX234=2,BX234=3),"L23",IF(BX234="Aussen","Aussen","-")))</f>
        <v>L23</v>
      </c>
      <c r="BZ234" s="66" t="n">
        <f aca="false">IF(N(AB234)&gt;0,AB234,0)</f>
        <v>0</v>
      </c>
      <c r="CA234" s="60" t="n">
        <f aca="false">IF(ISNUMBER(AE234),1,0)</f>
        <v>0</v>
      </c>
      <c r="CB234" s="57" t="n">
        <f aca="false">N(AE234)</f>
        <v>0</v>
      </c>
      <c r="CC234" s="57" t="n">
        <f aca="false">N(M234)+N(N234)</f>
        <v>1</v>
      </c>
      <c r="CD234" s="57" t="n">
        <f aca="false">ROUNDUP(H234/BS234,0)</f>
        <v>1</v>
      </c>
      <c r="CE234" s="57" t="n">
        <f aca="false">ROUNDUP(CB234/BS234,0)</f>
        <v>0</v>
      </c>
      <c r="CF234" s="60" t="n">
        <f aca="false">IF(BT234=1,0,IFERROR(VLOOKUP(BR234,'Gebinde-Kategorie'!$A$5:$M$45,5,0)+0,0))</f>
        <v>11</v>
      </c>
      <c r="CG234" s="60" t="n">
        <f aca="false">IFERROR(IF(OR(BX234=1,BX234=2,BX234=3),N(INDEX(Parameter!$I$5:$I$7,BX234)),0),0)</f>
        <v>0</v>
      </c>
      <c r="CH234" s="59" t="n">
        <f aca="false">IF(AND(Parameter!$B$21="Ja",ISNUMBER(W234),N(X234)&gt;0),IFERROR(N(INDEX(Parameter!$L$5:$L$7,W234))*INDEX(Parameter!$E$5:$E$7,W234)*X234/SUMIFS($X$7:$X$1843,$W$7:$W$1843,W234),0),0)</f>
        <v>0</v>
      </c>
    </row>
    <row r="235" customFormat="false" ht="15" hidden="false" customHeight="false" outlineLevel="0" collapsed="false">
      <c r="A235" s="55" t="s">
        <v>659</v>
      </c>
      <c r="B235" s="55" t="s">
        <v>546</v>
      </c>
      <c r="C235" s="55" t="s">
        <v>164</v>
      </c>
      <c r="D235" s="55" t="s">
        <v>184</v>
      </c>
      <c r="E235" s="55"/>
      <c r="F235" s="55" t="s">
        <v>218</v>
      </c>
      <c r="G235" s="56" t="n">
        <v>11.5</v>
      </c>
      <c r="H235" s="57" t="n">
        <f aca="false">MAX(0,IF(AND(Parameter!$B$21="Ja",ISNUMBER(Y235)),Y235,IF(Parameter!$B$20="Jahresanfang 2025 + Export",BL235+BK235,BK235)))</f>
        <v>50</v>
      </c>
      <c r="I235" s="57" t="n">
        <f aca="false">H235*G235</f>
        <v>575</v>
      </c>
      <c r="J235" s="57" t="n">
        <f aca="false">BN235*Parameter!$B$18</f>
        <v>0</v>
      </c>
      <c r="K235" s="58" t="n">
        <v>0</v>
      </c>
      <c r="L235" s="59" t="n">
        <v>0</v>
      </c>
      <c r="M235" s="57" t="n">
        <v>0</v>
      </c>
      <c r="N235" s="57" t="n">
        <v>1</v>
      </c>
      <c r="O235" s="60" t="n">
        <v>9999</v>
      </c>
      <c r="P235" s="55" t="s">
        <v>168</v>
      </c>
      <c r="Q235" s="57"/>
      <c r="R235" s="60" t="n">
        <f aca="false">IF(BT235=1,0,IFERROR(VLOOKUP(BR235,'Gebinde-Kategorie'!$A$5:$M$45,13,0)+0,0))</f>
        <v>26</v>
      </c>
      <c r="S235" s="61"/>
      <c r="T235" s="62" t="s">
        <v>275</v>
      </c>
      <c r="U235" s="62"/>
      <c r="V235" s="62"/>
      <c r="W235" s="55"/>
      <c r="X235" s="57"/>
      <c r="Y235" s="57"/>
      <c r="Z235" s="55" t="n">
        <f aca="false">IF(A235="","",IF(AND(Parameter!$B$21="Ja",ISNUMBER(W235)),W235,IF(BV235="2+3",IF(ISNUMBER(SEARCH("grosser Artikel",BO235)),2,IFERROR(VLOOKUP(BR235,Parameter!$F$35:$G$64,2,0),2)),IF(OR(BV235="Nein",BV235=""),"-",BV235))))</f>
        <v>3</v>
      </c>
      <c r="AA235" s="62"/>
      <c r="AB235" s="63"/>
      <c r="AC235" s="57" t="n">
        <f aca="false">AR235</f>
        <v>50</v>
      </c>
      <c r="AD235" s="57" t="n">
        <f aca="false">MAX(AR235,H235)</f>
        <v>50</v>
      </c>
      <c r="AE235" s="64"/>
      <c r="AF235" s="57" t="n">
        <f aca="false">IF(LEFT(Cockpit!$C$5,1)="A",H235,IF(CA235=1,CB235,IF(LEFT(Cockpit!$C$5,1)="B",AJ235,MAX(AJ235,H235))))</f>
        <v>50</v>
      </c>
      <c r="AG235" s="57" t="n">
        <f aca="false">IF(BT235=1,0,ROUNDUP(AF235/BS235,0))</f>
        <v>1</v>
      </c>
      <c r="AH235" s="59" t="n">
        <f aca="false">IF(CH235&gt;0,CH235*MAX(1,AF235/X235),IF(BT235=1,IF(AF235&lt;=0,0,BW235*MAX(1,IF(H235&gt;0,AF235/H235,1))),IF(R235&gt;0,AG235/R235,0))/MAX(0.1,N(Parameter!$M$21)))</f>
        <v>0.0384615384615385</v>
      </c>
      <c r="AI235" s="57" t="n">
        <f aca="false">AF235*G235</f>
        <v>575</v>
      </c>
      <c r="AJ235" s="57" t="n">
        <f aca="false">ROUNDUP(MAX(J235/IF(BZ235&gt;0,BZ235,MAX(0.1,N(Cockpit!$C$6))),CC235)/BS235,0)*BS235</f>
        <v>50</v>
      </c>
      <c r="AK235" s="58" t="n">
        <f aca="false">IF(AH235&gt;0,J235/AH235,-1)</f>
        <v>0</v>
      </c>
      <c r="AL235" s="58" t="n">
        <f aca="false">IF(AND(OR(BY235="L1",BY235="L23"),AH235&gt;0),SUMIFS($AH$7:$AH$1843,$BY$7:$BY$1843,BY235,$AK$7:$AK$1843,"&gt;"&amp;AK235)+SUMIFS($AH$7:$AH$1843,$BY$7:$BY$1843,BY235,$AK$7:$AK$1843,AK235,$BQ$7:$BQ$1843,"&lt;="&amp;BQ235),"")</f>
        <v>71.2482433025911</v>
      </c>
      <c r="AM235" s="65" t="n">
        <f aca="false">IF(AL235="",0,MAX(0,MIN(1,(IF(BY235="L1",Parameter!$E$5,Parameter!$E$6+Parameter!$E$7)-(AL235-AH235))/AH235)))</f>
        <v>1</v>
      </c>
      <c r="AN235" s="57" t="n">
        <f aca="false">IF(LEFT(Cockpit!$I$5,1)="A",H235,IF(CA235=1,CB235,IF(LEFT(Cockpit!$I$5,1)="B",AR235,MAX(AR235,H235))))</f>
        <v>50</v>
      </c>
      <c r="AO235" s="57" t="n">
        <f aca="false">IF(BT235=1,0,ROUNDUP(AN235/BS235,0))</f>
        <v>1</v>
      </c>
      <c r="AP235" s="59" t="n">
        <f aca="false">IF(CH235&gt;0,CH235*MAX(1,AN235/X235),IF(BT235=1,IF(AN235&lt;=0,0,BW235*MAX(1,IF(H235&gt;0,AN235/H235,1))),IF(R235&gt;0,AO235/R235,0))/MAX(0.1,N(Parameter!$M$21)))</f>
        <v>0.0384615384615385</v>
      </c>
      <c r="AQ235" s="57" t="n">
        <f aca="false">AN235*G235</f>
        <v>575</v>
      </c>
      <c r="AR235" s="57" t="n">
        <f aca="false">ROUNDUP(MAX(J235/IF(BZ235&gt;0,BZ235,MAX(0.1,N(Cockpit!$I$6))),CC235)/BS235,0)*BS235</f>
        <v>50</v>
      </c>
      <c r="AS235" s="58" t="n">
        <f aca="false">IF(AP235&gt;0,J235/AP235,-1)</f>
        <v>0</v>
      </c>
      <c r="AT235" s="58" t="n">
        <f aca="false">IF(AND(OR(BY235="L1",BY235="L23"),AP235&gt;0),SUMIFS($AP$7:$AP$1843,$BY$7:$BY$1843,BY235,$AS$7:$AS$1843,"&gt;"&amp;AS235)+SUMIFS($AP$7:$AP$1843,$BY$7:$BY$1843,BY235,$AS$7:$AS$1843,AS235,$BQ$7:$BQ$1843,"&lt;="&amp;BQ235),"")</f>
        <v>110.672367487585</v>
      </c>
      <c r="AU235" s="65" t="n">
        <f aca="false">IF(AT235="",0,MAX(0,MIN(1,(IF(BY235="L1",Parameter!$E$5,Parameter!$E$6+Parameter!$E$7)-(AT235-AP235))/AP235)))</f>
        <v>0</v>
      </c>
      <c r="AV235" s="57" t="n">
        <f aca="false">IF(LEFT(Cockpit!$O$5,1)="A",H235,IF(CA235=1,CB235,IF(LEFT(Cockpit!$O$5,1)="B",AZ235,MAX(AZ235,H235))))</f>
        <v>50</v>
      </c>
      <c r="AW235" s="57" t="n">
        <f aca="false">IF(BT235=1,0,ROUNDUP(AV235/BS235,0))</f>
        <v>1</v>
      </c>
      <c r="AX235" s="59" t="n">
        <f aca="false">IF(CH235&gt;0,CH235*MAX(1,AV235/X235),IF(BT235=1,IF(AV235&lt;=0,0,BW235*MAX(1,IF(H235&gt;0,AV235/H235,1))),IF(R235&gt;0,AW235/R235,0))/MAX(0.1,N(Parameter!$M$21)))</f>
        <v>0.0384615384615385</v>
      </c>
      <c r="AY235" s="57" t="n">
        <f aca="false">AV235*G235</f>
        <v>575</v>
      </c>
      <c r="AZ235" s="57" t="n">
        <f aca="false">ROUNDUP(MAX(J235/IF(BZ235&gt;0,BZ235,MAX(0.1,N(Cockpit!$O$6))),CC235)/BS235,0)*BS235</f>
        <v>50</v>
      </c>
      <c r="BA235" s="58" t="n">
        <f aca="false">IF(AX235&gt;0,J235/AX235,-1)</f>
        <v>0</v>
      </c>
      <c r="BB235" s="58" t="n">
        <f aca="false">IF(AND(OR(BY235="L1",BY235="L23"),AX235&gt;0),SUMIFS($AX$7:$AX$1843,$BY$7:$BY$1843,BY235,$BA$7:$BA$1843,"&gt;"&amp;BA235)+SUMIFS($AX$7:$AX$1843,$BY$7:$BY$1843,BY235,$BA$7:$BA$1843,BA235,$BQ$7:$BQ$1843,"&lt;="&amp;BQ235),"")</f>
        <v>101.502204317422</v>
      </c>
      <c r="BC235" s="65" t="n">
        <f aca="false">IF(BB235="",0,MAX(0,MIN(1,(IF(BY235="L1",Parameter!$E$5,Parameter!$E$6+Parameter!$E$7)-(BB235-AX235))/AX235)))</f>
        <v>0</v>
      </c>
      <c r="BD235" s="55" t="str">
        <f aca="false">IF(AH235&lt;=0,"",IF(BY235="Aussen","Aussenlager",IF(BY235="-","Nicht im Lift",IF(AM235&gt;=1,"Lift",IF(AM235&lt;=0,"Aussenlager","teilweise")))))</f>
        <v>Lift</v>
      </c>
      <c r="BE235" s="55" t="str">
        <f aca="false">IF(AP235&lt;=0,"",IF(BY235="Aussen","Aussenlager",IF(BY235="-","Nicht im Lift",IF(AU235&gt;=1,"Lift",IF(AU235&lt;=0,"Aussenlager","teilweise")))))</f>
        <v>Aussenlager</v>
      </c>
      <c r="BF235" s="55" t="str">
        <f aca="false">IF(AX235&lt;=0,"",IF(BY235="Aussen","Aussenlager",IF(BY235="-","Nicht im Lift",IF(BC235&gt;=1,"Lift",IF(BC235&lt;=0,"Aussenlager","teilweise")))))</f>
        <v>Aussenlager</v>
      </c>
      <c r="BG235" s="55" t="str">
        <f aca="false">IF(A235="","",IF(BP235=1,"Neu; ","")&amp;IF(AND(BP235=0,BK235&lt;0),"negativer Bestand (Export "&amp;BK235&amp;"); ","")&amp;IF(J235&lt;=0,"Kein Verbrauch; ","")&amp;IF(CH235&gt;0,"Lift "&amp;W235&amp;" lt. Liftbericht (Fach "&amp;X235&amp;" Stk); ",IF(BU235=1,"Gebinde geschätzt ("&amp;T235&amp;"); ",IF(BT235=1,"Lose – Tablare geschätzt; ","")))&amp;IF(H235&gt;AR235,"Überbestand "&amp;ROUND(H235-AR235,0)&amp;" Stk / CHF "&amp;ROUND((H235-AR235)*G235,0)&amp;"; ","")&amp;IF(AND(CA235=1,CB235&lt;CC235),"MAX &lt; MB+LG; ","")&amp;IF(AND(CG235&gt;0,CF235*10&gt;CG235),"zu hoch für Tablar; ","")&amp;IF(AND(BP235=0,OR(CA235=1,AA235&lt;&gt;"",U235&lt;&gt;"",V235&lt;&gt;"",AB235&lt;&gt;"")),"manuell übersteuert; ","")&amp;IF(AND(BT235=0,R235=0),"Gebinde unbekannt / Stellmass fehlt; ","")&amp;IF(AND(BT235=0,N(V235)&lt;=0,N(Q235)&lt;=0),"Menge pro Gebinde fehlt (Ist = 1 Gebinde); ","")&amp;BO235)</f>
        <v>Kein Verbrauch; Gebinde geschätzt (Klein); Menge pro Gebinde fehlt (Ist = 1 Gebinde); </v>
      </c>
      <c r="BH235" s="55"/>
      <c r="BI235" s="55"/>
      <c r="BJ235" s="62"/>
      <c r="BK235" s="57" t="n">
        <v>50</v>
      </c>
      <c r="BL235" s="57" t="n">
        <v>0</v>
      </c>
      <c r="BM235" s="56" t="n">
        <v>575</v>
      </c>
      <c r="BN235" s="57" t="n">
        <v>0</v>
      </c>
      <c r="BO235" s="55"/>
      <c r="BP235" s="60" t="n">
        <v>0</v>
      </c>
      <c r="BQ235" s="60" t="n">
        <v>235</v>
      </c>
      <c r="BR235" s="55" t="str">
        <f aca="false">IF(U235&lt;&gt;"",UPPER(TRIM(U235)),IF(BU235=1,UPPER(VLOOKUP(T235,Parameter!$I$27:$K$29,2,0)),IF(P235="","LOSE",P235)))</f>
        <v>S51</v>
      </c>
      <c r="BS235" s="57" t="n">
        <f aca="false">IF(BR235="LOSE",1,IF(N(V235)&gt;0,V235,IF(BU235=1,MAX(1,N(VLOOKUP(T235,Parameter!$I$27:$K$29,3,0)),H235,N(N235)),IF(N(Q235)&gt;0,Q235,MAX(1,H235)))))</f>
        <v>50</v>
      </c>
      <c r="BT235" s="60" t="n">
        <f aca="false">IF(BR235="LOSE",1,0)</f>
        <v>0</v>
      </c>
      <c r="BU235" s="60" t="n">
        <f aca="false">IF(AND(U235="",OR(P235="",P235="LOSE"),T235&lt;&gt;"",N(S235)&lt;=0,ISNUMBER(MATCH(T235,Parameter!$I$27:$I$29,0))),1,0)</f>
        <v>1</v>
      </c>
      <c r="BV235" s="55" t="str">
        <f aca="false">IF(AND(Parameter!$B$19="Ja",E235&lt;&gt;"",ISNUMBER(MATCH(E235,Parameter!$I$35:$I$52,0))),VLOOKUP(E235,Parameter!$I$35:$J$52,2,0),IFERROR(VLOOKUP(D235,Parameter!$A$35:$C$64,2,0),"Nein"))</f>
        <v>2+3</v>
      </c>
      <c r="BW235" s="59" t="n">
        <f aca="false">IF(BT235=0,0,IF(N(S235)&gt;0,S235,IFERROR(VLOOKUP(D235,Parameter!$A$35:$C$64,3,0)+0,0)))</f>
        <v>0</v>
      </c>
      <c r="BX235" s="55" t="n">
        <f aca="false">IF(AA235&lt;&gt;"",AA235,Z235)</f>
        <v>3</v>
      </c>
      <c r="BY235" s="55" t="str">
        <f aca="false">IF(BX235=1,"L1",IF(OR(BX235=2,BX235=3),"L23",IF(BX235="Aussen","Aussen","-")))</f>
        <v>L23</v>
      </c>
      <c r="BZ235" s="66" t="n">
        <f aca="false">IF(N(AB235)&gt;0,AB235,0)</f>
        <v>0</v>
      </c>
      <c r="CA235" s="60" t="n">
        <f aca="false">IF(ISNUMBER(AE235),1,0)</f>
        <v>0</v>
      </c>
      <c r="CB235" s="57" t="n">
        <f aca="false">N(AE235)</f>
        <v>0</v>
      </c>
      <c r="CC235" s="57" t="n">
        <f aca="false">N(M235)+N(N235)</f>
        <v>1</v>
      </c>
      <c r="CD235" s="57" t="n">
        <f aca="false">ROUNDUP(H235/BS235,0)</f>
        <v>1</v>
      </c>
      <c r="CE235" s="57" t="n">
        <f aca="false">ROUNDUP(CB235/BS235,0)</f>
        <v>0</v>
      </c>
      <c r="CF235" s="60" t="n">
        <f aca="false">IF(BT235=1,0,IFERROR(VLOOKUP(BR235,'Gebinde-Kategorie'!$A$5:$M$45,5,0)+0,0))</f>
        <v>11</v>
      </c>
      <c r="CG235" s="60" t="n">
        <f aca="false">IFERROR(IF(OR(BX235=1,BX235=2,BX235=3),N(INDEX(Parameter!$I$5:$I$7,BX235)),0),0)</f>
        <v>0</v>
      </c>
      <c r="CH235" s="59" t="n">
        <f aca="false">IF(AND(Parameter!$B$21="Ja",ISNUMBER(W235),N(X235)&gt;0),IFERROR(N(INDEX(Parameter!$L$5:$L$7,W235))*INDEX(Parameter!$E$5:$E$7,W235)*X235/SUMIFS($X$7:$X$1843,$W$7:$W$1843,W235),0),0)</f>
        <v>0</v>
      </c>
    </row>
    <row r="236" customFormat="false" ht="15" hidden="false" customHeight="false" outlineLevel="0" collapsed="false">
      <c r="A236" s="55" t="s">
        <v>660</v>
      </c>
      <c r="B236" s="55" t="s">
        <v>661</v>
      </c>
      <c r="C236" s="55" t="s">
        <v>164</v>
      </c>
      <c r="D236" s="55" t="s">
        <v>184</v>
      </c>
      <c r="E236" s="55" t="s">
        <v>185</v>
      </c>
      <c r="F236" s="55" t="s">
        <v>218</v>
      </c>
      <c r="G236" s="56" t="n">
        <v>114.02</v>
      </c>
      <c r="H236" s="57" t="n">
        <f aca="false">MAX(0,IF(AND(Parameter!$B$21="Ja",ISNUMBER(Y236)),Y236,IF(Parameter!$B$20="Jahresanfang 2025 + Export",BL236+BK236,BK236)))</f>
        <v>61</v>
      </c>
      <c r="I236" s="57" t="n">
        <f aca="false">H236*G236</f>
        <v>6955.22</v>
      </c>
      <c r="J236" s="57" t="n">
        <f aca="false">BN236*Parameter!$B$18</f>
        <v>2</v>
      </c>
      <c r="K236" s="58" t="n">
        <v>60.5</v>
      </c>
      <c r="L236" s="59" t="n">
        <v>0.0330578512396694</v>
      </c>
      <c r="M236" s="57" t="n">
        <v>0</v>
      </c>
      <c r="N236" s="57" t="n">
        <v>5</v>
      </c>
      <c r="O236" s="60" t="n">
        <v>42</v>
      </c>
      <c r="P236" s="55" t="s">
        <v>233</v>
      </c>
      <c r="Q236" s="57" t="n">
        <v>146</v>
      </c>
      <c r="R236" s="60" t="n">
        <f aca="false">IF(BT236=1,0,IFERROR(VLOOKUP(BR236,'Gebinde-Kategorie'!$A$5:$M$45,13,0)+0,0))</f>
        <v>26</v>
      </c>
      <c r="S236" s="61"/>
      <c r="T236" s="62"/>
      <c r="U236" s="62"/>
      <c r="V236" s="62"/>
      <c r="W236" s="55"/>
      <c r="X236" s="57"/>
      <c r="Y236" s="57"/>
      <c r="Z236" s="55" t="n">
        <f aca="false">IF(A236="","",IF(AND(Parameter!$B$21="Ja",ISNUMBER(W236)),W236,IF(BV236="2+3",IF(ISNUMBER(SEARCH("grosser Artikel",BO236)),2,IFERROR(VLOOKUP(BR236,Parameter!$F$35:$G$64,2,0),2)),IF(OR(BV236="Nein",BV236=""),"-",BV236))))</f>
        <v>3</v>
      </c>
      <c r="AA236" s="62"/>
      <c r="AB236" s="63"/>
      <c r="AC236" s="57" t="n">
        <f aca="false">AR236</f>
        <v>146</v>
      </c>
      <c r="AD236" s="57" t="n">
        <f aca="false">MAX(AR236,H236)</f>
        <v>146</v>
      </c>
      <c r="AE236" s="64"/>
      <c r="AF236" s="57" t="n">
        <f aca="false">IF(LEFT(Cockpit!$C$5,1)="A",H236,IF(CA236=1,CB236,IF(LEFT(Cockpit!$C$5,1)="B",AJ236,MAX(AJ236,H236))))</f>
        <v>61</v>
      </c>
      <c r="AG236" s="57" t="n">
        <f aca="false">IF(BT236=1,0,ROUNDUP(AF236/BS236,0))</f>
        <v>1</v>
      </c>
      <c r="AH236" s="59" t="n">
        <f aca="false">IF(CH236&gt;0,CH236*MAX(1,AF236/X236),IF(BT236=1,IF(AF236&lt;=0,0,BW236*MAX(1,IF(H236&gt;0,AF236/H236,1))),IF(R236&gt;0,AG236/R236,0))/MAX(0.1,N(Parameter!$M$21)))</f>
        <v>0.0384615384615385</v>
      </c>
      <c r="AI236" s="57" t="n">
        <f aca="false">AF236*G236</f>
        <v>6955.22</v>
      </c>
      <c r="AJ236" s="57" t="n">
        <f aca="false">ROUNDUP(MAX(J236/IF(BZ236&gt;0,BZ236,MAX(0.1,N(Cockpit!$C$6))),CC236)/BS236,0)*BS236</f>
        <v>146</v>
      </c>
      <c r="AK236" s="58" t="n">
        <f aca="false">IF(AH236&gt;0,J236/AH236,-1)</f>
        <v>52</v>
      </c>
      <c r="AL236" s="58" t="n">
        <f aca="false">IF(AND(OR(BY236="L1",BY236="L23"),AH236&gt;0),SUMIFS($AH$7:$AH$1843,$BY$7:$BY$1843,BY236,$AK$7:$AK$1843,"&gt;"&amp;AK236)+SUMIFS($AH$7:$AH$1843,$BY$7:$BY$1843,BY236,$AK$7:$AK$1843,AK236,$BQ$7:$BQ$1843,"&lt;="&amp;BQ236),"")</f>
        <v>44.2799060842539</v>
      </c>
      <c r="AM236" s="65" t="n">
        <f aca="false">IF(AL236="",0,MAX(0,MIN(1,(IF(BY236="L1",Parameter!$E$5,Parameter!$E$6+Parameter!$E$7)-(AL236-AH236))/AH236)))</f>
        <v>1</v>
      </c>
      <c r="AN236" s="57" t="n">
        <f aca="false">IF(LEFT(Cockpit!$I$5,1)="A",H236,IF(CA236=1,CB236,IF(LEFT(Cockpit!$I$5,1)="B",AR236,MAX(AR236,H236))))</f>
        <v>146</v>
      </c>
      <c r="AO236" s="57" t="n">
        <f aca="false">IF(BT236=1,0,ROUNDUP(AN236/BS236,0))</f>
        <v>1</v>
      </c>
      <c r="AP236" s="59" t="n">
        <f aca="false">IF(CH236&gt;0,CH236*MAX(1,AN236/X236),IF(BT236=1,IF(AN236&lt;=0,0,BW236*MAX(1,IF(H236&gt;0,AN236/H236,1))),IF(R236&gt;0,AO236/R236,0))/MAX(0.1,N(Parameter!$M$21)))</f>
        <v>0.0384615384615385</v>
      </c>
      <c r="AQ236" s="57" t="n">
        <f aca="false">AN236*G236</f>
        <v>16646.92</v>
      </c>
      <c r="AR236" s="57" t="n">
        <f aca="false">ROUNDUP(MAX(J236/IF(BZ236&gt;0,BZ236,MAX(0.1,N(Cockpit!$I$6))),CC236)/BS236,0)*BS236</f>
        <v>146</v>
      </c>
      <c r="AS236" s="58" t="n">
        <f aca="false">IF(AP236&gt;0,J236/AP236,-1)</f>
        <v>52</v>
      </c>
      <c r="AT236" s="58" t="n">
        <f aca="false">IF(AND(OR(BY236="L1",BY236="L23"),AP236&gt;0),SUMIFS($AP$7:$AP$1843,$BY$7:$BY$1843,BY236,$AS$7:$AS$1843,"&gt;"&amp;AS236)+SUMIFS($AP$7:$AP$1843,$BY$7:$BY$1843,BY236,$AS$7:$AS$1843,AS236,$BQ$7:$BQ$1843,"&lt;="&amp;BQ236),"")</f>
        <v>67.0694148846323</v>
      </c>
      <c r="AU236" s="65" t="n">
        <f aca="false">IF(AT236="",0,MAX(0,MIN(1,(IF(BY236="L1",Parameter!$E$5,Parameter!$E$6+Parameter!$E$7)-(AT236-AP236))/AP236)))</f>
        <v>1</v>
      </c>
      <c r="AV236" s="57" t="n">
        <f aca="false">IF(LEFT(Cockpit!$O$5,1)="A",H236,IF(CA236=1,CB236,IF(LEFT(Cockpit!$O$5,1)="B",AZ236,MAX(AZ236,H236))))</f>
        <v>146</v>
      </c>
      <c r="AW236" s="57" t="n">
        <f aca="false">IF(BT236=1,0,ROUNDUP(AV236/BS236,0))</f>
        <v>1</v>
      </c>
      <c r="AX236" s="59" t="n">
        <f aca="false">IF(CH236&gt;0,CH236*MAX(1,AV236/X236),IF(BT236=1,IF(AV236&lt;=0,0,BW236*MAX(1,IF(H236&gt;0,AV236/H236,1))),IF(R236&gt;0,AW236/R236,0))/MAX(0.1,N(Parameter!$M$21)))</f>
        <v>0.0384615384615385</v>
      </c>
      <c r="AY236" s="57" t="n">
        <f aca="false">AV236*G236</f>
        <v>16646.92</v>
      </c>
      <c r="AZ236" s="57" t="n">
        <f aca="false">ROUNDUP(MAX(J236/IF(BZ236&gt;0,BZ236,MAX(0.1,N(Cockpit!$O$6))),CC236)/BS236,0)*BS236</f>
        <v>146</v>
      </c>
      <c r="BA236" s="58" t="n">
        <f aca="false">IF(AX236&gt;0,J236/AX236,-1)</f>
        <v>52</v>
      </c>
      <c r="BB236" s="58" t="n">
        <f aca="false">IF(AND(OR(BY236="L1",BY236="L23"),AX236&gt;0),SUMIFS($AX$7:$AX$1843,$BY$7:$BY$1843,BY236,$BA$7:$BA$1843,"&gt;"&amp;BA236)+SUMIFS($AX$7:$AX$1843,$BY$7:$BY$1843,BY236,$BA$7:$BA$1843,BA236,$BQ$7:$BQ$1843,"&lt;="&amp;BQ236),"")</f>
        <v>61.5659183811358</v>
      </c>
      <c r="BC236" s="65" t="n">
        <f aca="false">IF(BB236="",0,MAX(0,MIN(1,(IF(BY236="L1",Parameter!$E$5,Parameter!$E$6+Parameter!$E$7)-(BB236-AX236))/AX236)))</f>
        <v>1</v>
      </c>
      <c r="BD236" s="55" t="str">
        <f aca="false">IF(AH236&lt;=0,"",IF(BY236="Aussen","Aussenlager",IF(BY236="-","Nicht im Lift",IF(AM236&gt;=1,"Lift",IF(AM236&lt;=0,"Aussenlager","teilweise")))))</f>
        <v>Lift</v>
      </c>
      <c r="BE236" s="55" t="str">
        <f aca="false">IF(AP236&lt;=0,"",IF(BY236="Aussen","Aussenlager",IF(BY236="-","Nicht im Lift",IF(AU236&gt;=1,"Lift",IF(AU236&lt;=0,"Aussenlager","teilweise")))))</f>
        <v>Lift</v>
      </c>
      <c r="BF236" s="55" t="str">
        <f aca="false">IF(AX236&lt;=0,"",IF(BY236="Aussen","Aussenlager",IF(BY236="-","Nicht im Lift",IF(BC236&gt;=1,"Lift",IF(BC236&lt;=0,"Aussenlager","teilweise")))))</f>
        <v>Lift</v>
      </c>
      <c r="BG236" s="55" t="str">
        <f aca="false">IF(A236="","",IF(BP236=1,"Neu; ","")&amp;IF(AND(BP236=0,BK236&lt;0),"negativer Bestand (Export "&amp;BK236&amp;"); ","")&amp;IF(J236&lt;=0,"Kein Verbrauch; ","")&amp;IF(CH236&gt;0,"Lift "&amp;W236&amp;" lt. Liftbericht (Fach "&amp;X236&amp;" Stk); ",IF(BU236=1,"Gebinde geschätzt ("&amp;T236&amp;"); ",IF(BT236=1,"Lose – Tablare geschätzt; ","")))&amp;IF(H236&gt;AR236,"Überbestand "&amp;ROUND(H236-AR236,0)&amp;" Stk / CHF "&amp;ROUND((H236-AR236)*G236,0)&amp;"; ","")&amp;IF(AND(CA236=1,CB236&lt;CC236),"MAX &lt; MB+LG; ","")&amp;IF(AND(CG236&gt;0,CF236*10&gt;CG236),"zu hoch für Tablar; ","")&amp;IF(AND(BP236=0,OR(CA236=1,AA236&lt;&gt;"",U236&lt;&gt;"",V236&lt;&gt;"",AB236&lt;&gt;"")),"manuell übersteuert; ","")&amp;IF(AND(BT236=0,R236=0),"Gebinde unbekannt / Stellmass fehlt; ","")&amp;IF(AND(BT236=0,N(V236)&lt;=0,N(Q236)&lt;=0),"Menge pro Gebinde fehlt (Ist = 1 Gebinde); ","")&amp;BO236)</f>
        <v>Überbestand</v>
      </c>
      <c r="BH236" s="55"/>
      <c r="BI236" s="55"/>
      <c r="BJ236" s="62"/>
      <c r="BK236" s="57" t="n">
        <v>5</v>
      </c>
      <c r="BL236" s="57" t="n">
        <v>56</v>
      </c>
      <c r="BM236" s="56" t="n">
        <v>570.1</v>
      </c>
      <c r="BN236" s="57" t="n">
        <v>2</v>
      </c>
      <c r="BO236" s="55" t="s">
        <v>392</v>
      </c>
      <c r="BP236" s="60" t="n">
        <v>0</v>
      </c>
      <c r="BQ236" s="60" t="n">
        <v>236</v>
      </c>
      <c r="BR236" s="55" t="str">
        <f aca="false">IF(U236&lt;&gt;"",UPPER(TRIM(U236)),IF(BU236=1,UPPER(VLOOKUP(T236,Parameter!$I$27:$K$29,2,0)),IF(P236="","LOSE",P236)))</f>
        <v>S52</v>
      </c>
      <c r="BS236" s="57" t="n">
        <f aca="false">IF(BR236="LOSE",1,IF(N(V236)&gt;0,V236,IF(BU236=1,MAX(1,N(VLOOKUP(T236,Parameter!$I$27:$K$29,3,0)),H236,N(N236)),IF(N(Q236)&gt;0,Q236,MAX(1,H236)))))</f>
        <v>146</v>
      </c>
      <c r="BT236" s="60" t="n">
        <f aca="false">IF(BR236="LOSE",1,0)</f>
        <v>0</v>
      </c>
      <c r="BU236" s="60" t="n">
        <f aca="false">IF(AND(U236="",OR(P236="",P236="LOSE"),T236&lt;&gt;"",N(S236)&lt;=0,ISNUMBER(MATCH(T236,Parameter!$I$27:$I$29,0))),1,0)</f>
        <v>0</v>
      </c>
      <c r="BV236" s="55" t="str">
        <f aca="false">IF(AND(Parameter!$B$19="Ja",E236&lt;&gt;"",ISNUMBER(MATCH(E236,Parameter!$I$35:$I$52,0))),VLOOKUP(E236,Parameter!$I$35:$J$52,2,0),IFERROR(VLOOKUP(D236,Parameter!$A$35:$C$64,2,0),"Nein"))</f>
        <v>2+3</v>
      </c>
      <c r="BW236" s="59" t="n">
        <f aca="false">IF(BT236=0,0,IF(N(S236)&gt;0,S236,IFERROR(VLOOKUP(D236,Parameter!$A$35:$C$64,3,0)+0,0)))</f>
        <v>0</v>
      </c>
      <c r="BX236" s="55" t="n">
        <f aca="false">IF(AA236&lt;&gt;"",AA236,Z236)</f>
        <v>3</v>
      </c>
      <c r="BY236" s="55" t="str">
        <f aca="false">IF(BX236=1,"L1",IF(OR(BX236=2,BX236=3),"L23",IF(BX236="Aussen","Aussen","-")))</f>
        <v>L23</v>
      </c>
      <c r="BZ236" s="66" t="n">
        <f aca="false">IF(N(AB236)&gt;0,AB236,0)</f>
        <v>0</v>
      </c>
      <c r="CA236" s="60" t="n">
        <f aca="false">IF(ISNUMBER(AE236),1,0)</f>
        <v>0</v>
      </c>
      <c r="CB236" s="57" t="n">
        <f aca="false">N(AE236)</f>
        <v>0</v>
      </c>
      <c r="CC236" s="57" t="n">
        <f aca="false">N(M236)+N(N236)</f>
        <v>5</v>
      </c>
      <c r="CD236" s="57" t="n">
        <f aca="false">ROUNDUP(H236/BS236,0)</f>
        <v>1</v>
      </c>
      <c r="CE236" s="57" t="n">
        <f aca="false">ROUNDUP(CB236/BS236,0)</f>
        <v>0</v>
      </c>
      <c r="CF236" s="60" t="n">
        <f aca="false">IF(BT236=1,0,IFERROR(VLOOKUP(BR236,'Gebinde-Kategorie'!$A$5:$M$45,5,0)+0,0))</f>
        <v>21</v>
      </c>
      <c r="CG236" s="60" t="n">
        <f aca="false">IFERROR(IF(OR(BX236=1,BX236=2,BX236=3),N(INDEX(Parameter!$I$5:$I$7,BX236)),0),0)</f>
        <v>0</v>
      </c>
      <c r="CH236" s="59" t="n">
        <f aca="false">IF(AND(Parameter!$B$21="Ja",ISNUMBER(W236),N(X236)&gt;0),IFERROR(N(INDEX(Parameter!$L$5:$L$7,W236))*INDEX(Parameter!$E$5:$E$7,W236)*X236/SUMIFS($X$7:$X$1843,$W$7:$W$1843,W236),0),0)</f>
        <v>0</v>
      </c>
    </row>
    <row r="237" customFormat="false" ht="15" hidden="false" customHeight="false" outlineLevel="0" collapsed="false">
      <c r="A237" s="55" t="s">
        <v>662</v>
      </c>
      <c r="B237" s="55" t="s">
        <v>468</v>
      </c>
      <c r="C237" s="55" t="s">
        <v>164</v>
      </c>
      <c r="D237" s="55" t="s">
        <v>184</v>
      </c>
      <c r="E237" s="55" t="s">
        <v>185</v>
      </c>
      <c r="F237" s="55" t="s">
        <v>218</v>
      </c>
      <c r="G237" s="56" t="n">
        <v>4.28</v>
      </c>
      <c r="H237" s="57" t="n">
        <f aca="false">MAX(0,IF(AND(Parameter!$B$21="Ja",ISNUMBER(Y237)),Y237,IF(Parameter!$B$20="Jahresanfang 2025 + Export",BL237+BK237,BK237)))</f>
        <v>187</v>
      </c>
      <c r="I237" s="57" t="n">
        <f aca="false">H237*G237</f>
        <v>800.36</v>
      </c>
      <c r="J237" s="57" t="n">
        <f aca="false">BN237*Parameter!$B$18</f>
        <v>30</v>
      </c>
      <c r="K237" s="58" t="n">
        <v>144.5</v>
      </c>
      <c r="L237" s="59" t="n">
        <v>0.207612456747405</v>
      </c>
      <c r="M237" s="57" t="n">
        <v>1</v>
      </c>
      <c r="N237" s="57" t="n">
        <v>30</v>
      </c>
      <c r="O237" s="60" t="n">
        <v>14</v>
      </c>
      <c r="P237" s="55" t="s">
        <v>233</v>
      </c>
      <c r="Q237" s="57" t="n">
        <v>139</v>
      </c>
      <c r="R237" s="60" t="n">
        <f aca="false">IF(BT237=1,0,IFERROR(VLOOKUP(BR237,'Gebinde-Kategorie'!$A$5:$M$45,13,0)+0,0))</f>
        <v>26</v>
      </c>
      <c r="S237" s="61"/>
      <c r="T237" s="62"/>
      <c r="U237" s="62"/>
      <c r="V237" s="62"/>
      <c r="W237" s="55"/>
      <c r="X237" s="57"/>
      <c r="Y237" s="57"/>
      <c r="Z237" s="55" t="n">
        <f aca="false">IF(A237="","",IF(AND(Parameter!$B$21="Ja",ISNUMBER(W237)),W237,IF(BV237="2+3",IF(ISNUMBER(SEARCH("grosser Artikel",BO237)),2,IFERROR(VLOOKUP(BR237,Parameter!$F$35:$G$64,2,0),2)),IF(OR(BV237="Nein",BV237=""),"-",BV237))))</f>
        <v>3</v>
      </c>
      <c r="AA237" s="62"/>
      <c r="AB237" s="63"/>
      <c r="AC237" s="57" t="n">
        <f aca="false">AR237</f>
        <v>139</v>
      </c>
      <c r="AD237" s="57" t="n">
        <f aca="false">MAX(AR237,H237)</f>
        <v>187</v>
      </c>
      <c r="AE237" s="64"/>
      <c r="AF237" s="57" t="n">
        <f aca="false">IF(LEFT(Cockpit!$C$5,1)="A",H237,IF(CA237=1,CB237,IF(LEFT(Cockpit!$C$5,1)="B",AJ237,MAX(AJ237,H237))))</f>
        <v>187</v>
      </c>
      <c r="AG237" s="57" t="n">
        <f aca="false">IF(BT237=1,0,ROUNDUP(AF237/BS237,0))</f>
        <v>2</v>
      </c>
      <c r="AH237" s="59" t="n">
        <f aca="false">IF(CH237&gt;0,CH237*MAX(1,AF237/X237),IF(BT237=1,IF(AF237&lt;=0,0,BW237*MAX(1,IF(H237&gt;0,AF237/H237,1))),IF(R237&gt;0,AG237/R237,0))/MAX(0.1,N(Parameter!$M$21)))</f>
        <v>0.0769230769230769</v>
      </c>
      <c r="AI237" s="57" t="n">
        <f aca="false">AF237*G237</f>
        <v>800.36</v>
      </c>
      <c r="AJ237" s="57" t="n">
        <f aca="false">ROUNDUP(MAX(J237/IF(BZ237&gt;0,BZ237,MAX(0.1,N(Cockpit!$C$6))),CC237)/BS237,0)*BS237</f>
        <v>139</v>
      </c>
      <c r="AK237" s="58" t="n">
        <f aca="false">IF(AH237&gt;0,J237/AH237,-1)</f>
        <v>390</v>
      </c>
      <c r="AL237" s="58" t="n">
        <f aca="false">IF(AND(OR(BY237="L1",BY237="L23"),AH237&gt;0),SUMIFS($AH$7:$AH$1843,$BY$7:$BY$1843,BY237,$AK$7:$AK$1843,"&gt;"&amp;AK237)+SUMIFS($AH$7:$AH$1843,$BY$7:$BY$1843,BY237,$AK$7:$AK$1843,AK237,$BQ$7:$BQ$1843,"&lt;="&amp;BQ237),"")</f>
        <v>26.5274821796561</v>
      </c>
      <c r="AM237" s="65" t="n">
        <f aca="false">IF(AL237="",0,MAX(0,MIN(1,(IF(BY237="L1",Parameter!$E$5,Parameter!$E$6+Parameter!$E$7)-(AL237-AH237))/AH237)))</f>
        <v>1</v>
      </c>
      <c r="AN237" s="57" t="n">
        <f aca="false">IF(LEFT(Cockpit!$I$5,1)="A",H237,IF(CA237=1,CB237,IF(LEFT(Cockpit!$I$5,1)="B",AR237,MAX(AR237,H237))))</f>
        <v>187</v>
      </c>
      <c r="AO237" s="57" t="n">
        <f aca="false">IF(BT237=1,0,ROUNDUP(AN237/BS237,0))</f>
        <v>2</v>
      </c>
      <c r="AP237" s="59" t="n">
        <f aca="false">IF(CH237&gt;0,CH237*MAX(1,AN237/X237),IF(BT237=1,IF(AN237&lt;=0,0,BW237*MAX(1,IF(H237&gt;0,AN237/H237,1))),IF(R237&gt;0,AO237/R237,0))/MAX(0.1,N(Parameter!$M$21)))</f>
        <v>0.0769230769230769</v>
      </c>
      <c r="AQ237" s="57" t="n">
        <f aca="false">AN237*G237</f>
        <v>800.36</v>
      </c>
      <c r="AR237" s="57" t="n">
        <f aca="false">ROUNDUP(MAX(J237/IF(BZ237&gt;0,BZ237,MAX(0.1,N(Cockpit!$I$6))),CC237)/BS237,0)*BS237</f>
        <v>139</v>
      </c>
      <c r="AS237" s="58" t="n">
        <f aca="false">IF(AP237&gt;0,J237/AP237,-1)</f>
        <v>390</v>
      </c>
      <c r="AT237" s="58" t="n">
        <f aca="false">IF(AND(OR(BY237="L1",BY237="L23"),AP237&gt;0),SUMIFS($AP$7:$AP$1843,$BY$7:$BY$1843,BY237,$AS$7:$AS$1843,"&gt;"&amp;AS237)+SUMIFS($AP$7:$AP$1843,$BY$7:$BY$1843,BY237,$AS$7:$AS$1843,AS237,$BQ$7:$BQ$1843,"&lt;="&amp;BQ237),"")</f>
        <v>35.9708371338806</v>
      </c>
      <c r="AU237" s="65" t="n">
        <f aca="false">IF(AT237="",0,MAX(0,MIN(1,(IF(BY237="L1",Parameter!$E$5,Parameter!$E$6+Parameter!$E$7)-(AT237-AP237))/AP237)))</f>
        <v>1</v>
      </c>
      <c r="AV237" s="57" t="n">
        <f aca="false">IF(LEFT(Cockpit!$O$5,1)="A",H237,IF(CA237=1,CB237,IF(LEFT(Cockpit!$O$5,1)="B",AZ237,MAX(AZ237,H237))))</f>
        <v>187</v>
      </c>
      <c r="AW237" s="57" t="n">
        <f aca="false">IF(BT237=1,0,ROUNDUP(AV237/BS237,0))</f>
        <v>2</v>
      </c>
      <c r="AX237" s="59" t="n">
        <f aca="false">IF(CH237&gt;0,CH237*MAX(1,AV237/X237),IF(BT237=1,IF(AV237&lt;=0,0,BW237*MAX(1,IF(H237&gt;0,AV237/H237,1))),IF(R237&gt;0,AW237/R237,0))/MAX(0.1,N(Parameter!$M$21)))</f>
        <v>0.0769230769230769</v>
      </c>
      <c r="AY237" s="57" t="n">
        <f aca="false">AV237*G237</f>
        <v>800.36</v>
      </c>
      <c r="AZ237" s="57" t="n">
        <f aca="false">ROUNDUP(MAX(J237/IF(BZ237&gt;0,BZ237,MAX(0.1,N(Cockpit!$O$6))),CC237)/BS237,0)*BS237</f>
        <v>139</v>
      </c>
      <c r="BA237" s="58" t="n">
        <f aca="false">IF(AX237&gt;0,J237/AX237,-1)</f>
        <v>390</v>
      </c>
      <c r="BB237" s="58" t="n">
        <f aca="false">IF(AND(OR(BY237="L1",BY237="L23"),AX237&gt;0),SUMIFS($AX$7:$AX$1843,$BY$7:$BY$1843,BY237,$BA$7:$BA$1843,"&gt;"&amp;BA237)+SUMIFS($AX$7:$AX$1843,$BY$7:$BY$1843,BY237,$BA$7:$BA$1843,BA237,$BQ$7:$BQ$1843,"&lt;="&amp;BQ237),"")</f>
        <v>35.2173406303841</v>
      </c>
      <c r="BC237" s="65" t="n">
        <f aca="false">IF(BB237="",0,MAX(0,MIN(1,(IF(BY237="L1",Parameter!$E$5,Parameter!$E$6+Parameter!$E$7)-(BB237-AX237))/AX237)))</f>
        <v>1</v>
      </c>
      <c r="BD237" s="55" t="str">
        <f aca="false">IF(AH237&lt;=0,"",IF(BY237="Aussen","Aussenlager",IF(BY237="-","Nicht im Lift",IF(AM237&gt;=1,"Lift",IF(AM237&lt;=0,"Aussenlager","teilweise")))))</f>
        <v>Lift</v>
      </c>
      <c r="BE237" s="55" t="str">
        <f aca="false">IF(AP237&lt;=0,"",IF(BY237="Aussen","Aussenlager",IF(BY237="-","Nicht im Lift",IF(AU237&gt;=1,"Lift",IF(AU237&lt;=0,"Aussenlager","teilweise")))))</f>
        <v>Lift</v>
      </c>
      <c r="BF237" s="55" t="str">
        <f aca="false">IF(AX237&lt;=0,"",IF(BY237="Aussen","Aussenlager",IF(BY237="-","Nicht im Lift",IF(BC237&gt;=1,"Lift",IF(BC237&lt;=0,"Aussenlager","teilweise")))))</f>
        <v>Lift</v>
      </c>
      <c r="BG237" s="55" t="str">
        <f aca="false">IF(A237="","",IF(BP237=1,"Neu; ","")&amp;IF(AND(BP237=0,BK237&lt;0),"negativer Bestand (Export "&amp;BK237&amp;"); ","")&amp;IF(J237&lt;=0,"Kein Verbrauch; ","")&amp;IF(CH237&gt;0,"Lift "&amp;W237&amp;" lt. Liftbericht (Fach "&amp;X237&amp;" Stk); ",IF(BU237=1,"Gebinde geschätzt ("&amp;T237&amp;"); ",IF(BT237=1,"Lose – Tablare geschätzt; ","")))&amp;IF(H237&gt;AR237,"Überbestand "&amp;ROUND(H237-AR237,0)&amp;" Stk / CHF "&amp;ROUND((H237-AR237)*G237,0)&amp;"; ","")&amp;IF(AND(CA237=1,CB237&lt;CC237),"MAX &lt; MB+LG; ","")&amp;IF(AND(CG237&gt;0,CF237*10&gt;CG237),"zu hoch für Tablar; ","")&amp;IF(AND(BP237=0,OR(CA237=1,AA237&lt;&gt;"",U237&lt;&gt;"",V237&lt;&gt;"",AB237&lt;&gt;"")),"manuell übersteuert; ","")&amp;IF(AND(BT237=0,R237=0),"Gebinde unbekannt / Stellmass fehlt; ","")&amp;IF(AND(BT237=0,N(V237)&lt;=0,N(Q237)&lt;=0),"Menge pro Gebinde fehlt (Ist = 1 Gebinde); ","")&amp;BO237)</f>
        <v>Überbestand 48 Stk / CHF 205; </v>
      </c>
      <c r="BH237" s="55"/>
      <c r="BI237" s="55"/>
      <c r="BJ237" s="62"/>
      <c r="BK237" s="57" t="n">
        <v>135</v>
      </c>
      <c r="BL237" s="57" t="n">
        <v>52</v>
      </c>
      <c r="BM237" s="56" t="n">
        <v>570.000000000001</v>
      </c>
      <c r="BN237" s="57" t="n">
        <v>30</v>
      </c>
      <c r="BO237" s="55"/>
      <c r="BP237" s="60" t="n">
        <v>0</v>
      </c>
      <c r="BQ237" s="60" t="n">
        <v>237</v>
      </c>
      <c r="BR237" s="55" t="str">
        <f aca="false">IF(U237&lt;&gt;"",UPPER(TRIM(U237)),IF(BU237=1,UPPER(VLOOKUP(T237,Parameter!$I$27:$K$29,2,0)),IF(P237="","LOSE",P237)))</f>
        <v>S52</v>
      </c>
      <c r="BS237" s="57" t="n">
        <f aca="false">IF(BR237="LOSE",1,IF(N(V237)&gt;0,V237,IF(BU237=1,MAX(1,N(VLOOKUP(T237,Parameter!$I$27:$K$29,3,0)),H237,N(N237)),IF(N(Q237)&gt;0,Q237,MAX(1,H237)))))</f>
        <v>139</v>
      </c>
      <c r="BT237" s="60" t="n">
        <f aca="false">IF(BR237="LOSE",1,0)</f>
        <v>0</v>
      </c>
      <c r="BU237" s="60" t="n">
        <f aca="false">IF(AND(U237="",OR(P237="",P237="LOSE"),T237&lt;&gt;"",N(S237)&lt;=0,ISNUMBER(MATCH(T237,Parameter!$I$27:$I$29,0))),1,0)</f>
        <v>0</v>
      </c>
      <c r="BV237" s="55" t="str">
        <f aca="false">IF(AND(Parameter!$B$19="Ja",E237&lt;&gt;"",ISNUMBER(MATCH(E237,Parameter!$I$35:$I$52,0))),VLOOKUP(E237,Parameter!$I$35:$J$52,2,0),IFERROR(VLOOKUP(D237,Parameter!$A$35:$C$64,2,0),"Nein"))</f>
        <v>2+3</v>
      </c>
      <c r="BW237" s="59" t="n">
        <f aca="false">IF(BT237=0,0,IF(N(S237)&gt;0,S237,IFERROR(VLOOKUP(D237,Parameter!$A$35:$C$64,3,0)+0,0)))</f>
        <v>0</v>
      </c>
      <c r="BX237" s="55" t="n">
        <f aca="false">IF(AA237&lt;&gt;"",AA237,Z237)</f>
        <v>3</v>
      </c>
      <c r="BY237" s="55" t="str">
        <f aca="false">IF(BX237=1,"L1",IF(OR(BX237=2,BX237=3),"L23",IF(BX237="Aussen","Aussen","-")))</f>
        <v>L23</v>
      </c>
      <c r="BZ237" s="66" t="n">
        <f aca="false">IF(N(AB237)&gt;0,AB237,0)</f>
        <v>0</v>
      </c>
      <c r="CA237" s="60" t="n">
        <f aca="false">IF(ISNUMBER(AE237),1,0)</f>
        <v>0</v>
      </c>
      <c r="CB237" s="57" t="n">
        <f aca="false">N(AE237)</f>
        <v>0</v>
      </c>
      <c r="CC237" s="57" t="n">
        <f aca="false">N(M237)+N(N237)</f>
        <v>31</v>
      </c>
      <c r="CD237" s="57" t="n">
        <f aca="false">ROUNDUP(H237/BS237,0)</f>
        <v>2</v>
      </c>
      <c r="CE237" s="57" t="n">
        <f aca="false">ROUNDUP(CB237/BS237,0)</f>
        <v>0</v>
      </c>
      <c r="CF237" s="60" t="n">
        <f aca="false">IF(BT237=1,0,IFERROR(VLOOKUP(BR237,'Gebinde-Kategorie'!$A$5:$M$45,5,0)+0,0))</f>
        <v>21</v>
      </c>
      <c r="CG237" s="60" t="n">
        <f aca="false">IFERROR(IF(OR(BX237=1,BX237=2,BX237=3),N(INDEX(Parameter!$I$5:$I$7,BX237)),0),0)</f>
        <v>0</v>
      </c>
      <c r="CH237" s="59" t="n">
        <f aca="false">IF(AND(Parameter!$B$21="Ja",ISNUMBER(W237),N(X237)&gt;0),IFERROR(N(INDEX(Parameter!$L$5:$L$7,W237))*INDEX(Parameter!$E$5:$E$7,W237)*X237/SUMIFS($X$7:$X$1843,$W$7:$W$1843,W237),0),0)</f>
        <v>0</v>
      </c>
    </row>
    <row r="238" customFormat="false" ht="15" hidden="false" customHeight="false" outlineLevel="0" collapsed="false">
      <c r="A238" s="55" t="s">
        <v>663</v>
      </c>
      <c r="B238" s="55" t="s">
        <v>664</v>
      </c>
      <c r="C238" s="55" t="s">
        <v>164</v>
      </c>
      <c r="D238" s="55" t="s">
        <v>173</v>
      </c>
      <c r="E238" s="55" t="s">
        <v>185</v>
      </c>
      <c r="F238" s="55" t="s">
        <v>218</v>
      </c>
      <c r="G238" s="56" t="n">
        <v>142</v>
      </c>
      <c r="H238" s="57" t="n">
        <f aca="false">MAX(0,IF(AND(Parameter!$B$21="Ja",ISNUMBER(Y238)),Y238,IF(Parameter!$B$20="Jahresanfang 2025 + Export",BL238+BK238,BK238)))</f>
        <v>5</v>
      </c>
      <c r="I238" s="57" t="n">
        <f aca="false">H238*G238</f>
        <v>710</v>
      </c>
      <c r="J238" s="57" t="n">
        <f aca="false">BN238*Parameter!$B$18</f>
        <v>12</v>
      </c>
      <c r="K238" s="58" t="n">
        <v>4.5</v>
      </c>
      <c r="L238" s="59" t="n">
        <v>2.66666666666667</v>
      </c>
      <c r="M238" s="57" t="n">
        <v>1</v>
      </c>
      <c r="N238" s="57" t="n">
        <v>10</v>
      </c>
      <c r="O238" s="60" t="n">
        <v>35</v>
      </c>
      <c r="P238" s="55" t="s">
        <v>174</v>
      </c>
      <c r="Q238" s="57" t="n">
        <v>10</v>
      </c>
      <c r="R238" s="60" t="n">
        <f aca="false">IF(BT238=1,0,IFERROR(VLOOKUP(BR238,'Gebinde-Kategorie'!$A$5:$M$45,13,0)+0,0))</f>
        <v>6</v>
      </c>
      <c r="S238" s="61"/>
      <c r="T238" s="62"/>
      <c r="U238" s="62"/>
      <c r="V238" s="62"/>
      <c r="W238" s="55"/>
      <c r="X238" s="57"/>
      <c r="Y238" s="57"/>
      <c r="Z238" s="55" t="n">
        <f aca="false">IF(A238="","",IF(AND(Parameter!$B$21="Ja",ISNUMBER(W238)),W238,IF(BV238="2+3",IF(ISNUMBER(SEARCH("grosser Artikel",BO238)),2,IFERROR(VLOOKUP(BR238,Parameter!$F$35:$G$64,2,0),2)),IF(OR(BV238="Nein",BV238=""),"-",BV238))))</f>
        <v>2</v>
      </c>
      <c r="AA238" s="62"/>
      <c r="AB238" s="63"/>
      <c r="AC238" s="57" t="n">
        <f aca="false">AR238</f>
        <v>20</v>
      </c>
      <c r="AD238" s="57" t="n">
        <f aca="false">MAX(AR238,H238)</f>
        <v>20</v>
      </c>
      <c r="AE238" s="64"/>
      <c r="AF238" s="57" t="n">
        <f aca="false">IF(LEFT(Cockpit!$C$5,1)="A",H238,IF(CA238=1,CB238,IF(LEFT(Cockpit!$C$5,1)="B",AJ238,MAX(AJ238,H238))))</f>
        <v>5</v>
      </c>
      <c r="AG238" s="57" t="n">
        <f aca="false">IF(BT238=1,0,ROUNDUP(AF238/BS238,0))</f>
        <v>1</v>
      </c>
      <c r="AH238" s="59" t="n">
        <f aca="false">IF(CH238&gt;0,CH238*MAX(1,AF238/X238),IF(BT238=1,IF(AF238&lt;=0,0,BW238*MAX(1,IF(H238&gt;0,AF238/H238,1))),IF(R238&gt;0,AG238/R238,0))/MAX(0.1,N(Parameter!$M$21)))</f>
        <v>0.166666666666667</v>
      </c>
      <c r="AI238" s="57" t="n">
        <f aca="false">AF238*G238</f>
        <v>710</v>
      </c>
      <c r="AJ238" s="57" t="n">
        <f aca="false">ROUNDUP(MAX(J238/IF(BZ238&gt;0,BZ238,MAX(0.1,N(Cockpit!$C$6))),CC238)/BS238,0)*BS238</f>
        <v>20</v>
      </c>
      <c r="AK238" s="58" t="n">
        <f aca="false">IF(AH238&gt;0,J238/AH238,-1)</f>
        <v>72</v>
      </c>
      <c r="AL238" s="58" t="n">
        <f aca="false">IF(AND(OR(BY238="L1",BY238="L23"),AH238&gt;0),SUMIFS($AH$7:$AH$1843,$BY$7:$BY$1843,BY238,$AK$7:$AK$1843,"&gt;"&amp;AK238)+SUMIFS($AH$7:$AH$1843,$BY$7:$BY$1843,BY238,$AK$7:$AK$1843,AK238,$BQ$7:$BQ$1843,"&lt;="&amp;BQ238),"")</f>
        <v>41.7630063173541</v>
      </c>
      <c r="AM238" s="65" t="n">
        <f aca="false">IF(AL238="",0,MAX(0,MIN(1,(IF(BY238="L1",Parameter!$E$5,Parameter!$E$6+Parameter!$E$7)-(AL238-AH238))/AH238)))</f>
        <v>1</v>
      </c>
      <c r="AN238" s="57" t="n">
        <f aca="false">IF(LEFT(Cockpit!$I$5,1)="A",H238,IF(CA238=1,CB238,IF(LEFT(Cockpit!$I$5,1)="B",AR238,MAX(AR238,H238))))</f>
        <v>20</v>
      </c>
      <c r="AO238" s="57" t="n">
        <f aca="false">IF(BT238=1,0,ROUNDUP(AN238/BS238,0))</f>
        <v>2</v>
      </c>
      <c r="AP238" s="59" t="n">
        <f aca="false">IF(CH238&gt;0,CH238*MAX(1,AN238/X238),IF(BT238=1,IF(AN238&lt;=0,0,BW238*MAX(1,IF(H238&gt;0,AN238/H238,1))),IF(R238&gt;0,AO238/R238,0))/MAX(0.1,N(Parameter!$M$21)))</f>
        <v>0.333333333333333</v>
      </c>
      <c r="AQ238" s="57" t="n">
        <f aca="false">AN238*G238</f>
        <v>2840</v>
      </c>
      <c r="AR238" s="57" t="n">
        <f aca="false">ROUNDUP(MAX(J238/IF(BZ238&gt;0,BZ238,MAX(0.1,N(Cockpit!$I$6))),CC238)/BS238,0)*BS238</f>
        <v>20</v>
      </c>
      <c r="AS238" s="58" t="n">
        <f aca="false">IF(AP238&gt;0,J238/AP238,-1)</f>
        <v>36</v>
      </c>
      <c r="AT238" s="58" t="n">
        <f aca="false">IF(AND(OR(BY238="L1",BY238="L23"),AP238&gt;0),SUMIFS($AP$7:$AP$1843,$BY$7:$BY$1843,BY238,$AS$7:$AS$1843,"&gt;"&amp;AS238)+SUMIFS($AP$7:$AP$1843,$BY$7:$BY$1843,BY238,$AS$7:$AS$1843,AS238,$BQ$7:$BQ$1843,"&lt;="&amp;BQ238),"")</f>
        <v>70.6276899429073</v>
      </c>
      <c r="AU238" s="65" t="n">
        <f aca="false">IF(AT238="",0,MAX(0,MIN(1,(IF(BY238="L1",Parameter!$E$5,Parameter!$E$6+Parameter!$E$7)-(AT238-AP238))/AP238)))</f>
        <v>1</v>
      </c>
      <c r="AV238" s="57" t="n">
        <f aca="false">IF(LEFT(Cockpit!$O$5,1)="A",H238,IF(CA238=1,CB238,IF(LEFT(Cockpit!$O$5,1)="B",AZ238,MAX(AZ238,H238))))</f>
        <v>20</v>
      </c>
      <c r="AW238" s="57" t="n">
        <f aca="false">IF(BT238=1,0,ROUNDUP(AV238/BS238,0))</f>
        <v>2</v>
      </c>
      <c r="AX238" s="59" t="n">
        <f aca="false">IF(CH238&gt;0,CH238*MAX(1,AV238/X238),IF(BT238=1,IF(AV238&lt;=0,0,BW238*MAX(1,IF(H238&gt;0,AV238/H238,1))),IF(R238&gt;0,AW238/R238,0))/MAX(0.1,N(Parameter!$M$21)))</f>
        <v>0.333333333333333</v>
      </c>
      <c r="AY238" s="57" t="n">
        <f aca="false">AV238*G238</f>
        <v>2840</v>
      </c>
      <c r="AZ238" s="57" t="n">
        <f aca="false">ROUNDUP(MAX(J238/IF(BZ238&gt;0,BZ238,MAX(0.1,N(Cockpit!$O$6))),CC238)/BS238,0)*BS238</f>
        <v>20</v>
      </c>
      <c r="BA238" s="58" t="n">
        <f aca="false">IF(AX238&gt;0,J238/AX238,-1)</f>
        <v>36</v>
      </c>
      <c r="BB238" s="58" t="n">
        <f aca="false">IF(AND(OR(BY238="L1",BY238="L23"),AX238&gt;0),SUMIFS($AX$7:$AX$1843,$BY$7:$BY$1843,BY238,$BA$7:$BA$1843,"&gt;"&amp;BA238)+SUMIFS($AX$7:$AX$1843,$BY$7:$BY$1843,BY238,$BA$7:$BA$1843,BA238,$BQ$7:$BQ$1843,"&lt;="&amp;BQ238),"")</f>
        <v>65.1241934394108</v>
      </c>
      <c r="BC238" s="65" t="n">
        <f aca="false">IF(BB238="",0,MAX(0,MIN(1,(IF(BY238="L1",Parameter!$E$5,Parameter!$E$6+Parameter!$E$7)-(BB238-AX238))/AX238)))</f>
        <v>1</v>
      </c>
      <c r="BD238" s="55" t="str">
        <f aca="false">IF(AH238&lt;=0,"",IF(BY238="Aussen","Aussenlager",IF(BY238="-","Nicht im Lift",IF(AM238&gt;=1,"Lift",IF(AM238&lt;=0,"Aussenlager","teilweise")))))</f>
        <v>Lift</v>
      </c>
      <c r="BE238" s="55" t="str">
        <f aca="false">IF(AP238&lt;=0,"",IF(BY238="Aussen","Aussenlager",IF(BY238="-","Nicht im Lift",IF(AU238&gt;=1,"Lift",IF(AU238&lt;=0,"Aussenlager","teilweise")))))</f>
        <v>Lift</v>
      </c>
      <c r="BF238" s="55" t="str">
        <f aca="false">IF(AX238&lt;=0,"",IF(BY238="Aussen","Aussenlager",IF(BY238="-","Nicht im Lift",IF(BC238&gt;=1,"Lift",IF(BC238&lt;=0,"Aussenlager","teilweise")))))</f>
        <v>Lift</v>
      </c>
      <c r="BG238" s="55" t="str">
        <f aca="false">IF(A238="","",IF(BP238=1,"Neu; ","")&amp;IF(AND(BP238=0,BK238&lt;0),"negativer Bestand (Export "&amp;BK238&amp;"); ","")&amp;IF(J238&lt;=0,"Kein Verbrauch; ","")&amp;IF(CH238&gt;0,"Lift "&amp;W238&amp;" lt. Liftbericht (Fach "&amp;X238&amp;" Stk); ",IF(BU238=1,"Gebinde geschätzt ("&amp;T238&amp;"); ",IF(BT238=1,"Lose – Tablare geschätzt; ","")))&amp;IF(H238&gt;AR238,"Überbestand "&amp;ROUND(H238-AR238,0)&amp;" Stk / CHF "&amp;ROUND((H238-AR238)*G238,0)&amp;"; ","")&amp;IF(AND(CA238=1,CB238&lt;CC238),"MAX &lt; MB+LG; ","")&amp;IF(AND(CG238&gt;0,CF238*10&gt;CG238),"zu hoch für Tablar; ","")&amp;IF(AND(BP238=0,OR(CA238=1,AA238&lt;&gt;"",U238&lt;&gt;"",V238&lt;&gt;"",AB238&lt;&gt;"")),"manuell übersteuert; ","")&amp;IF(AND(BT238=0,R238=0),"Gebinde unbekannt / Stellmass fehlt; ","")&amp;IF(AND(BT238=0,N(V238)&lt;=0,N(Q238)&lt;=0),"Menge pro Gebinde fehlt (Ist = 1 Gebinde); ","")&amp;BO238)</f>
        <v>grosser Artikel &amp; nicht im KTL</v>
      </c>
      <c r="BH238" s="55"/>
      <c r="BI238" s="55"/>
      <c r="BJ238" s="62"/>
      <c r="BK238" s="57" t="n">
        <v>4</v>
      </c>
      <c r="BL238" s="57" t="n">
        <v>1</v>
      </c>
      <c r="BM238" s="56" t="n">
        <v>567.95</v>
      </c>
      <c r="BN238" s="57" t="n">
        <v>12</v>
      </c>
      <c r="BO238" s="55" t="s">
        <v>261</v>
      </c>
      <c r="BP238" s="60" t="n">
        <v>0</v>
      </c>
      <c r="BQ238" s="60" t="n">
        <v>238</v>
      </c>
      <c r="BR238" s="55" t="str">
        <f aca="false">IF(U238&lt;&gt;"",UPPER(TRIM(U238)),IF(BU238=1,UPPER(VLOOKUP(T238,Parameter!$I$27:$K$29,2,0)),IF(P238="","LOSE",P238)))</f>
        <v>S71</v>
      </c>
      <c r="BS238" s="57" t="n">
        <f aca="false">IF(BR238="LOSE",1,IF(N(V238)&gt;0,V238,IF(BU238=1,MAX(1,N(VLOOKUP(T238,Parameter!$I$27:$K$29,3,0)),H238,N(N238)),IF(N(Q238)&gt;0,Q238,MAX(1,H238)))))</f>
        <v>10</v>
      </c>
      <c r="BT238" s="60" t="n">
        <f aca="false">IF(BR238="LOSE",1,0)</f>
        <v>0</v>
      </c>
      <c r="BU238" s="60" t="n">
        <f aca="false">IF(AND(U238="",OR(P238="",P238="LOSE"),T238&lt;&gt;"",N(S238)&lt;=0,ISNUMBER(MATCH(T238,Parameter!$I$27:$I$29,0))),1,0)</f>
        <v>0</v>
      </c>
      <c r="BV238" s="55" t="str">
        <f aca="false">IF(AND(Parameter!$B$19="Ja",E238&lt;&gt;"",ISNUMBER(MATCH(E238,Parameter!$I$35:$I$52,0))),VLOOKUP(E238,Parameter!$I$35:$J$52,2,0),IFERROR(VLOOKUP(D238,Parameter!$A$35:$C$64,2,0),"Nein"))</f>
        <v>2+3</v>
      </c>
      <c r="BW238" s="59" t="n">
        <f aca="false">IF(BT238=0,0,IF(N(S238)&gt;0,S238,IFERROR(VLOOKUP(D238,Parameter!$A$35:$C$64,3,0)+0,0)))</f>
        <v>0</v>
      </c>
      <c r="BX238" s="55" t="n">
        <f aca="false">IF(AA238&lt;&gt;"",AA238,Z238)</f>
        <v>2</v>
      </c>
      <c r="BY238" s="55" t="str">
        <f aca="false">IF(BX238=1,"L1",IF(OR(BX238=2,BX238=3),"L23",IF(BX238="Aussen","Aussen","-")))</f>
        <v>L23</v>
      </c>
      <c r="BZ238" s="66" t="n">
        <f aca="false">IF(N(AB238)&gt;0,AB238,0)</f>
        <v>0</v>
      </c>
      <c r="CA238" s="60" t="n">
        <f aca="false">IF(ISNUMBER(AE238),1,0)</f>
        <v>0</v>
      </c>
      <c r="CB238" s="57" t="n">
        <f aca="false">N(AE238)</f>
        <v>0</v>
      </c>
      <c r="CC238" s="57" t="n">
        <f aca="false">N(M238)+N(N238)</f>
        <v>11</v>
      </c>
      <c r="CD238" s="57" t="n">
        <f aca="false">ROUNDUP(H238/BS238,0)</f>
        <v>1</v>
      </c>
      <c r="CE238" s="57" t="n">
        <f aca="false">ROUNDUP(CB238/BS238,0)</f>
        <v>0</v>
      </c>
      <c r="CF238" s="60" t="n">
        <f aca="false">IF(BT238=1,0,IFERROR(VLOOKUP(BR238,'Gebinde-Kategorie'!$A$5:$M$45,5,0)+0,0))</f>
        <v>20</v>
      </c>
      <c r="CG238" s="60" t="n">
        <f aca="false">IFERROR(IF(OR(BX238=1,BX238=2,BX238=3),N(INDEX(Parameter!$I$5:$I$7,BX238)),0),0)</f>
        <v>0</v>
      </c>
      <c r="CH238" s="59" t="n">
        <f aca="false">IF(AND(Parameter!$B$21="Ja",ISNUMBER(W238),N(X238)&gt;0),IFERROR(N(INDEX(Parameter!$L$5:$L$7,W238))*INDEX(Parameter!$E$5:$E$7,W238)*X238/SUMIFS($X$7:$X$1843,$W$7:$W$1843,W238),0),0)</f>
        <v>0</v>
      </c>
    </row>
    <row r="239" customFormat="false" ht="15" hidden="false" customHeight="false" outlineLevel="0" collapsed="false">
      <c r="A239" s="55" t="s">
        <v>665</v>
      </c>
      <c r="B239" s="55" t="s">
        <v>666</v>
      </c>
      <c r="C239" s="55" t="s">
        <v>164</v>
      </c>
      <c r="D239" s="55" t="s">
        <v>184</v>
      </c>
      <c r="E239" s="55" t="s">
        <v>185</v>
      </c>
      <c r="F239" s="55" t="s">
        <v>218</v>
      </c>
      <c r="G239" s="56" t="n">
        <v>10.59</v>
      </c>
      <c r="H239" s="57" t="n">
        <f aca="false">MAX(0,IF(AND(Parameter!$B$21="Ja",ISNUMBER(Y239)),Y239,IF(Parameter!$B$20="Jahresanfang 2025 + Export",BL239+BK239,BK239)))</f>
        <v>102</v>
      </c>
      <c r="I239" s="57" t="n">
        <f aca="false">H239*G239</f>
        <v>1080.18</v>
      </c>
      <c r="J239" s="57" t="n">
        <f aca="false">BN239*Parameter!$B$18</f>
        <v>108</v>
      </c>
      <c r="K239" s="58" t="n">
        <v>80</v>
      </c>
      <c r="L239" s="59" t="n">
        <v>1.35</v>
      </c>
      <c r="M239" s="57" t="n">
        <v>12</v>
      </c>
      <c r="N239" s="57" t="n">
        <v>110</v>
      </c>
      <c r="O239" s="60" t="n">
        <v>42</v>
      </c>
      <c r="P239" s="55" t="s">
        <v>421</v>
      </c>
      <c r="Q239" s="57" t="n">
        <v>311</v>
      </c>
      <c r="R239" s="60" t="n">
        <f aca="false">IF(BT239=1,0,IFERROR(VLOOKUP(BR239,'Gebinde-Kategorie'!$A$5:$M$45,13,0)+0,0))</f>
        <v>132</v>
      </c>
      <c r="S239" s="61"/>
      <c r="T239" s="62"/>
      <c r="U239" s="62"/>
      <c r="V239" s="62"/>
      <c r="W239" s="55"/>
      <c r="X239" s="57"/>
      <c r="Y239" s="57"/>
      <c r="Z239" s="55" t="n">
        <f aca="false">IF(A239="","",IF(AND(Parameter!$B$21="Ja",ISNUMBER(W239)),W239,IF(BV239="2+3",IF(ISNUMBER(SEARCH("grosser Artikel",BO239)),2,IFERROR(VLOOKUP(BR239,Parameter!$F$35:$G$64,2,0),2)),IF(OR(BV239="Nein",BV239=""),"-",BV239))))</f>
        <v>3</v>
      </c>
      <c r="AA239" s="62"/>
      <c r="AB239" s="63"/>
      <c r="AC239" s="57" t="n">
        <f aca="false">AR239</f>
        <v>311</v>
      </c>
      <c r="AD239" s="57" t="n">
        <f aca="false">MAX(AR239,H239)</f>
        <v>311</v>
      </c>
      <c r="AE239" s="64"/>
      <c r="AF239" s="57" t="n">
        <f aca="false">IF(LEFT(Cockpit!$C$5,1)="A",H239,IF(CA239=1,CB239,IF(LEFT(Cockpit!$C$5,1)="B",AJ239,MAX(AJ239,H239))))</f>
        <v>102</v>
      </c>
      <c r="AG239" s="57" t="n">
        <f aca="false">IF(BT239=1,0,ROUNDUP(AF239/BS239,0))</f>
        <v>1</v>
      </c>
      <c r="AH239" s="59" t="n">
        <f aca="false">IF(CH239&gt;0,CH239*MAX(1,AF239/X239),IF(BT239=1,IF(AF239&lt;=0,0,BW239*MAX(1,IF(H239&gt;0,AF239/H239,1))),IF(R239&gt;0,AG239/R239,0))/MAX(0.1,N(Parameter!$M$21)))</f>
        <v>0.00757575757575758</v>
      </c>
      <c r="AI239" s="57" t="n">
        <f aca="false">AF239*G239</f>
        <v>1080.18</v>
      </c>
      <c r="AJ239" s="57" t="n">
        <f aca="false">ROUNDUP(MAX(J239/IF(BZ239&gt;0,BZ239,MAX(0.1,N(Cockpit!$C$6))),CC239)/BS239,0)*BS239</f>
        <v>311</v>
      </c>
      <c r="AK239" s="58" t="n">
        <f aca="false">IF(AH239&gt;0,J239/AH239,-1)</f>
        <v>14256</v>
      </c>
      <c r="AL239" s="58" t="n">
        <f aca="false">IF(AND(OR(BY239="L1",BY239="L23"),AH239&gt;0),SUMIFS($AH$7:$AH$1843,$BY$7:$BY$1843,BY239,$AK$7:$AK$1843,"&gt;"&amp;AK239)+SUMIFS($AH$7:$AH$1843,$BY$7:$BY$1843,BY239,$AK$7:$AK$1843,AK239,$BQ$7:$BQ$1843,"&lt;="&amp;BQ239),"")</f>
        <v>4.43724029593595</v>
      </c>
      <c r="AM239" s="65" t="n">
        <f aca="false">IF(AL239="",0,MAX(0,MIN(1,(IF(BY239="L1",Parameter!$E$5,Parameter!$E$6+Parameter!$E$7)-(AL239-AH239))/AH239)))</f>
        <v>1</v>
      </c>
      <c r="AN239" s="57" t="n">
        <f aca="false">IF(LEFT(Cockpit!$I$5,1)="A",H239,IF(CA239=1,CB239,IF(LEFT(Cockpit!$I$5,1)="B",AR239,MAX(AR239,H239))))</f>
        <v>311</v>
      </c>
      <c r="AO239" s="57" t="n">
        <f aca="false">IF(BT239=1,0,ROUNDUP(AN239/BS239,0))</f>
        <v>1</v>
      </c>
      <c r="AP239" s="59" t="n">
        <f aca="false">IF(CH239&gt;0,CH239*MAX(1,AN239/X239),IF(BT239=1,IF(AN239&lt;=0,0,BW239*MAX(1,IF(H239&gt;0,AN239/H239,1))),IF(R239&gt;0,AO239/R239,0))/MAX(0.1,N(Parameter!$M$21)))</f>
        <v>0.00757575757575758</v>
      </c>
      <c r="AQ239" s="57" t="n">
        <f aca="false">AN239*G239</f>
        <v>3293.49</v>
      </c>
      <c r="AR239" s="57" t="n">
        <f aca="false">ROUNDUP(MAX(J239/IF(BZ239&gt;0,BZ239,MAX(0.1,N(Cockpit!$I$6))),CC239)/BS239,0)*BS239</f>
        <v>311</v>
      </c>
      <c r="AS239" s="58" t="n">
        <f aca="false">IF(AP239&gt;0,J239/AP239,-1)</f>
        <v>14256</v>
      </c>
      <c r="AT239" s="58" t="n">
        <f aca="false">IF(AND(OR(BY239="L1",BY239="L23"),AP239&gt;0),SUMIFS($AP$7:$AP$1843,$BY$7:$BY$1843,BY239,$AS$7:$AS$1843,"&gt;"&amp;AS239)+SUMIFS($AP$7:$AP$1843,$BY$7:$BY$1843,BY239,$AS$7:$AS$1843,AS239,$BQ$7:$BQ$1843,"&lt;="&amp;BQ239),"")</f>
        <v>4.87736900780379</v>
      </c>
      <c r="AU239" s="65" t="n">
        <f aca="false">IF(AT239="",0,MAX(0,MIN(1,(IF(BY239="L1",Parameter!$E$5,Parameter!$E$6+Parameter!$E$7)-(AT239-AP239))/AP239)))</f>
        <v>1</v>
      </c>
      <c r="AV239" s="57" t="n">
        <f aca="false">IF(LEFT(Cockpit!$O$5,1)="A",H239,IF(CA239=1,CB239,IF(LEFT(Cockpit!$O$5,1)="B",AZ239,MAX(AZ239,H239))))</f>
        <v>311</v>
      </c>
      <c r="AW239" s="57" t="n">
        <f aca="false">IF(BT239=1,0,ROUNDUP(AV239/BS239,0))</f>
        <v>1</v>
      </c>
      <c r="AX239" s="59" t="n">
        <f aca="false">IF(CH239&gt;0,CH239*MAX(1,AV239/X239),IF(BT239=1,IF(AV239&lt;=0,0,BW239*MAX(1,IF(H239&gt;0,AV239/H239,1))),IF(R239&gt;0,AW239/R239,0))/MAX(0.1,N(Parameter!$M$21)))</f>
        <v>0.00757575757575758</v>
      </c>
      <c r="AY239" s="57" t="n">
        <f aca="false">AV239*G239</f>
        <v>3293.49</v>
      </c>
      <c r="AZ239" s="57" t="n">
        <f aca="false">ROUNDUP(MAX(J239/IF(BZ239&gt;0,BZ239,MAX(0.1,N(Cockpit!$O$6))),CC239)/BS239,0)*BS239</f>
        <v>311</v>
      </c>
      <c r="BA239" s="58" t="n">
        <f aca="false">IF(AX239&gt;0,J239/AX239,-1)</f>
        <v>14256</v>
      </c>
      <c r="BB239" s="58" t="n">
        <f aca="false">IF(AND(OR(BY239="L1",BY239="L23"),AX239&gt;0),SUMIFS($AX$7:$AX$1843,$BY$7:$BY$1843,BY239,$BA$7:$BA$1843,"&gt;"&amp;BA239)+SUMIFS($AX$7:$AX$1843,$BY$7:$BY$1843,BY239,$BA$7:$BA$1843,BA239,$BQ$7:$BQ$1843,"&lt;="&amp;BQ239),"")</f>
        <v>5.87387250430729</v>
      </c>
      <c r="BC239" s="65" t="n">
        <f aca="false">IF(BB239="",0,MAX(0,MIN(1,(IF(BY239="L1",Parameter!$E$5,Parameter!$E$6+Parameter!$E$7)-(BB239-AX239))/AX239)))</f>
        <v>1</v>
      </c>
      <c r="BD239" s="55" t="str">
        <f aca="false">IF(AH239&lt;=0,"",IF(BY239="Aussen","Aussenlager",IF(BY239="-","Nicht im Lift",IF(AM239&gt;=1,"Lift",IF(AM239&lt;=0,"Aussenlager","teilweise")))))</f>
        <v>Lift</v>
      </c>
      <c r="BE239" s="55" t="str">
        <f aca="false">IF(AP239&lt;=0,"",IF(BY239="Aussen","Aussenlager",IF(BY239="-","Nicht im Lift",IF(AU239&gt;=1,"Lift",IF(AU239&lt;=0,"Aussenlager","teilweise")))))</f>
        <v>Lift</v>
      </c>
      <c r="BF239" s="55" t="str">
        <f aca="false">IF(AX239&lt;=0,"",IF(BY239="Aussen","Aussenlager",IF(BY239="-","Nicht im Lift",IF(BC239&gt;=1,"Lift",IF(BC239&lt;=0,"Aussenlager","teilweise")))))</f>
        <v>Lift</v>
      </c>
      <c r="BG239" s="55" t="str">
        <f aca="false">IF(A239="","",IF(BP239=1,"Neu; ","")&amp;IF(AND(BP239=0,BK239&lt;0),"negativer Bestand (Export "&amp;BK239&amp;"); ","")&amp;IF(J239&lt;=0,"Kein Verbrauch; ","")&amp;IF(CH239&gt;0,"Lift "&amp;W239&amp;" lt. Liftbericht (Fach "&amp;X239&amp;" Stk); ",IF(BU239=1,"Gebinde geschätzt ("&amp;T239&amp;"); ",IF(BT239=1,"Lose – Tablare geschätzt; ","")))&amp;IF(H239&gt;AR239,"Überbestand "&amp;ROUND(H239-AR239,0)&amp;" Stk / CHF "&amp;ROUND((H239-AR239)*G239,0)&amp;"; ","")&amp;IF(AND(CA239=1,CB239&lt;CC239),"MAX &lt; MB+LG; ","")&amp;IF(AND(CG239&gt;0,CF239*10&gt;CG239),"zu hoch für Tablar; ","")&amp;IF(AND(BP239=0,OR(CA239=1,AA239&lt;&gt;"",U239&lt;&gt;"",V239&lt;&gt;"",AB239&lt;&gt;"")),"manuell übersteuert; ","")&amp;IF(AND(BT239=0,R239=0),"Gebinde unbekannt / Stellmass fehlt; ","")&amp;IF(AND(BT239=0,N(V239)&lt;=0,N(Q239)&lt;=0),"Menge pro Gebinde fehlt (Ist = 1 Gebinde); ","")&amp;BO239)</f>
        <v/>
      </c>
      <c r="BH239" s="55"/>
      <c r="BI239" s="55"/>
      <c r="BJ239" s="62"/>
      <c r="BK239" s="57" t="n">
        <v>46</v>
      </c>
      <c r="BL239" s="57" t="n">
        <v>56</v>
      </c>
      <c r="BM239" s="56" t="n">
        <v>564.67</v>
      </c>
      <c r="BN239" s="57" t="n">
        <v>108</v>
      </c>
      <c r="BO239" s="55"/>
      <c r="BP239" s="60" t="n">
        <v>0</v>
      </c>
      <c r="BQ239" s="60" t="n">
        <v>239</v>
      </c>
      <c r="BR239" s="55" t="str">
        <f aca="false">IF(U239&lt;&gt;"",UPPER(TRIM(U239)),IF(BU239=1,UPPER(VLOOKUP(T239,Parameter!$I$27:$K$29,2,0)),IF(P239="","LOSE",P239)))</f>
        <v>S32</v>
      </c>
      <c r="BS239" s="57" t="n">
        <f aca="false">IF(BR239="LOSE",1,IF(N(V239)&gt;0,V239,IF(BU239=1,MAX(1,N(VLOOKUP(T239,Parameter!$I$27:$K$29,3,0)),H239,N(N239)),IF(N(Q239)&gt;0,Q239,MAX(1,H239)))))</f>
        <v>311</v>
      </c>
      <c r="BT239" s="60" t="n">
        <f aca="false">IF(BR239="LOSE",1,0)</f>
        <v>0</v>
      </c>
      <c r="BU239" s="60" t="n">
        <f aca="false">IF(AND(U239="",OR(P239="",P239="LOSE"),T239&lt;&gt;"",N(S239)&lt;=0,ISNUMBER(MATCH(T239,Parameter!$I$27:$I$29,0))),1,0)</f>
        <v>0</v>
      </c>
      <c r="BV239" s="55" t="str">
        <f aca="false">IF(AND(Parameter!$B$19="Ja",E239&lt;&gt;"",ISNUMBER(MATCH(E239,Parameter!$I$35:$I$52,0))),VLOOKUP(E239,Parameter!$I$35:$J$52,2,0),IFERROR(VLOOKUP(D239,Parameter!$A$35:$C$64,2,0),"Nein"))</f>
        <v>2+3</v>
      </c>
      <c r="BW239" s="59" t="n">
        <f aca="false">IF(BT239=0,0,IF(N(S239)&gt;0,S239,IFERROR(VLOOKUP(D239,Parameter!$A$35:$C$64,3,0)+0,0)))</f>
        <v>0</v>
      </c>
      <c r="BX239" s="55" t="n">
        <f aca="false">IF(AA239&lt;&gt;"",AA239,Z239)</f>
        <v>3</v>
      </c>
      <c r="BY239" s="55" t="str">
        <f aca="false">IF(BX239=1,"L1",IF(OR(BX239=2,BX239=3),"L23",IF(BX239="Aussen","Aussen","-")))</f>
        <v>L23</v>
      </c>
      <c r="BZ239" s="66" t="n">
        <f aca="false">IF(N(AB239)&gt;0,AB239,0)</f>
        <v>0</v>
      </c>
      <c r="CA239" s="60" t="n">
        <f aca="false">IF(ISNUMBER(AE239),1,0)</f>
        <v>0</v>
      </c>
      <c r="CB239" s="57" t="n">
        <f aca="false">N(AE239)</f>
        <v>0</v>
      </c>
      <c r="CC239" s="57" t="n">
        <f aca="false">N(M239)+N(N239)</f>
        <v>122</v>
      </c>
      <c r="CD239" s="57" t="n">
        <f aca="false">ROUNDUP(H239/BS239,0)</f>
        <v>1</v>
      </c>
      <c r="CE239" s="57" t="n">
        <f aca="false">ROUNDUP(CB239/BS239,0)</f>
        <v>0</v>
      </c>
      <c r="CF239" s="60" t="n">
        <f aca="false">IF(BT239=1,0,IFERROR(VLOOKUP(BR239,'Gebinde-Kategorie'!$A$5:$M$45,5,0)+0,0))</f>
        <v>8</v>
      </c>
      <c r="CG239" s="60" t="n">
        <f aca="false">IFERROR(IF(OR(BX239=1,BX239=2,BX239=3),N(INDEX(Parameter!$I$5:$I$7,BX239)),0),0)</f>
        <v>0</v>
      </c>
      <c r="CH239" s="59" t="n">
        <f aca="false">IF(AND(Parameter!$B$21="Ja",ISNUMBER(W239),N(X239)&gt;0),IFERROR(N(INDEX(Parameter!$L$5:$L$7,W239))*INDEX(Parameter!$E$5:$E$7,W239)*X239/SUMIFS($X$7:$X$1843,$W$7:$W$1843,W239),0),0)</f>
        <v>0</v>
      </c>
    </row>
    <row r="240" customFormat="false" ht="15" hidden="false" customHeight="false" outlineLevel="0" collapsed="false">
      <c r="A240" s="55" t="s">
        <v>667</v>
      </c>
      <c r="B240" s="55" t="s">
        <v>668</v>
      </c>
      <c r="C240" s="55" t="s">
        <v>164</v>
      </c>
      <c r="D240" s="55" t="s">
        <v>165</v>
      </c>
      <c r="E240" s="55"/>
      <c r="F240" s="55" t="s">
        <v>218</v>
      </c>
      <c r="G240" s="56" t="n">
        <v>284.49</v>
      </c>
      <c r="H240" s="57" t="n">
        <f aca="false">MAX(0,IF(AND(Parameter!$B$21="Ja",ISNUMBER(Y240)),Y240,IF(Parameter!$B$20="Jahresanfang 2025 + Export",BL240+BK240,BK240)))</f>
        <v>13</v>
      </c>
      <c r="I240" s="57" t="n">
        <f aca="false">H240*G240</f>
        <v>3698.37</v>
      </c>
      <c r="J240" s="57" t="n">
        <f aca="false">BN240*Parameter!$B$18</f>
        <v>14</v>
      </c>
      <c r="K240" s="58" t="n">
        <v>9</v>
      </c>
      <c r="L240" s="59" t="n">
        <v>1.55555555555556</v>
      </c>
      <c r="M240" s="57" t="n">
        <v>1</v>
      </c>
      <c r="N240" s="57" t="n">
        <v>10</v>
      </c>
      <c r="O240" s="60" t="n">
        <v>28</v>
      </c>
      <c r="P240" s="55" t="s">
        <v>168</v>
      </c>
      <c r="Q240" s="57"/>
      <c r="R240" s="60" t="n">
        <f aca="false">IF(BT240=1,0,IFERROR(VLOOKUP(BR240,'Gebinde-Kategorie'!$A$5:$M$45,13,0)+0,0))</f>
        <v>0</v>
      </c>
      <c r="S240" s="61"/>
      <c r="T240" s="62"/>
      <c r="U240" s="62"/>
      <c r="V240" s="62"/>
      <c r="W240" s="55" t="n">
        <v>1</v>
      </c>
      <c r="X240" s="57" t="n">
        <v>22</v>
      </c>
      <c r="Y240" s="57" t="n">
        <v>13</v>
      </c>
      <c r="Z240" s="55" t="n">
        <f aca="false">IF(A240="","",IF(AND(Parameter!$B$21="Ja",ISNUMBER(W240)),W240,IF(BV240="2+3",IF(ISNUMBER(SEARCH("grosser Artikel",BO240)),2,IFERROR(VLOOKUP(BR240,Parameter!$F$35:$G$64,2,0),2)),IF(OR(BV240="Nein",BV240=""),"-",BV240))))</f>
        <v>1</v>
      </c>
      <c r="AA240" s="62"/>
      <c r="AB240" s="63"/>
      <c r="AC240" s="57" t="n">
        <f aca="false">AR240</f>
        <v>11</v>
      </c>
      <c r="AD240" s="57" t="n">
        <f aca="false">MAX(AR240,H240)</f>
        <v>13</v>
      </c>
      <c r="AE240" s="64"/>
      <c r="AF240" s="57" t="n">
        <f aca="false">IF(LEFT(Cockpit!$C$5,1)="A",H240,IF(CA240=1,CB240,IF(LEFT(Cockpit!$C$5,1)="B",AJ240,MAX(AJ240,H240))))</f>
        <v>13</v>
      </c>
      <c r="AG240" s="57" t="n">
        <f aca="false">IF(BT240=1,0,ROUNDUP(AF240/BS240,0))</f>
        <v>0</v>
      </c>
      <c r="AH240" s="59" t="n">
        <f aca="false">IF(CH240&gt;0,CH240*MAX(1,AF240/X240),IF(BT240=1,IF(AF240&lt;=0,0,BW240*MAX(1,IF(H240&gt;0,AF240/H240,1))),IF(R240&gt;0,AG240/R240,0))/MAX(0.1,N(Parameter!$M$21)))</f>
        <v>1.7608286252354</v>
      </c>
      <c r="AI240" s="57" t="n">
        <f aca="false">AF240*G240</f>
        <v>3698.37</v>
      </c>
      <c r="AJ240" s="57" t="n">
        <f aca="false">ROUNDUP(MAX(J240/IF(BZ240&gt;0,BZ240,MAX(0.1,N(Cockpit!$C$6))),CC240)/BS240,0)*BS240</f>
        <v>11</v>
      </c>
      <c r="AK240" s="58" t="n">
        <f aca="false">IF(AH240&gt;0,J240/AH240,-1)</f>
        <v>7.95080213903743</v>
      </c>
      <c r="AL240" s="58" t="n">
        <f aca="false">IF(AND(OR(BY240="L1",BY240="L23"),AH240&gt;0),SUMIFS($AH$7:$AH$1843,$BY$7:$BY$1843,BY240,$AK$7:$AK$1843,"&gt;"&amp;AK240)+SUMIFS($AH$7:$AH$1843,$BY$7:$BY$1843,BY240,$AK$7:$AK$1843,AK240,$BQ$7:$BQ$1843,"&lt;="&amp;BQ240),"")</f>
        <v>35.0559208661641</v>
      </c>
      <c r="AM240" s="65" t="n">
        <f aca="false">IF(AL240="",0,MAX(0,MIN(1,(IF(BY240="L1",Parameter!$E$5,Parameter!$E$6+Parameter!$E$7)-(AL240-AH240))/AH240)))</f>
        <v>1</v>
      </c>
      <c r="AN240" s="57" t="n">
        <f aca="false">IF(LEFT(Cockpit!$I$5,1)="A",H240,IF(CA240=1,CB240,IF(LEFT(Cockpit!$I$5,1)="B",AR240,MAX(AR240,H240))))</f>
        <v>13</v>
      </c>
      <c r="AO240" s="57" t="n">
        <f aca="false">IF(BT240=1,0,ROUNDUP(AN240/BS240,0))</f>
        <v>0</v>
      </c>
      <c r="AP240" s="59" t="n">
        <f aca="false">IF(CH240&gt;0,CH240*MAX(1,AN240/X240),IF(BT240=1,IF(AN240&lt;=0,0,BW240*MAX(1,IF(H240&gt;0,AN240/H240,1))),IF(R240&gt;0,AO240/R240,0))/MAX(0.1,N(Parameter!$M$21)))</f>
        <v>1.7608286252354</v>
      </c>
      <c r="AQ240" s="57" t="n">
        <f aca="false">AN240*G240</f>
        <v>3698.37</v>
      </c>
      <c r="AR240" s="57" t="n">
        <f aca="false">ROUNDUP(MAX(J240/IF(BZ240&gt;0,BZ240,MAX(0.1,N(Cockpit!$I$6))),CC240)/BS240,0)*BS240</f>
        <v>11</v>
      </c>
      <c r="AS240" s="58" t="n">
        <f aca="false">IF(AP240&gt;0,J240/AP240,-1)</f>
        <v>7.95080213903743</v>
      </c>
      <c r="AT240" s="58" t="n">
        <f aca="false">IF(AND(OR(BY240="L1",BY240="L23"),AP240&gt;0),SUMIFS($AP$7:$AP$1843,$BY$7:$BY$1843,BY240,$AS$7:$AS$1843,"&gt;"&amp;AS240)+SUMIFS($AP$7:$AP$1843,$BY$7:$BY$1843,BY240,$AS$7:$AS$1843,AS240,$BQ$7:$BQ$1843,"&lt;="&amp;BQ240),"")</f>
        <v>50.4087384816935</v>
      </c>
      <c r="AU240" s="65" t="n">
        <f aca="false">IF(AT240="",0,MAX(0,MIN(1,(IF(BY240="L1",Parameter!$E$5,Parameter!$E$6+Parameter!$E$7)-(AT240-AP240))/AP240)))</f>
        <v>0.767871514674582</v>
      </c>
      <c r="AV240" s="57" t="n">
        <f aca="false">IF(LEFT(Cockpit!$O$5,1)="A",H240,IF(CA240=1,CB240,IF(LEFT(Cockpit!$O$5,1)="B",AZ240,MAX(AZ240,H240))))</f>
        <v>13</v>
      </c>
      <c r="AW240" s="57" t="n">
        <f aca="false">IF(BT240=1,0,ROUNDUP(AV240/BS240,0))</f>
        <v>0</v>
      </c>
      <c r="AX240" s="59" t="n">
        <f aca="false">IF(CH240&gt;0,CH240*MAX(1,AV240/X240),IF(BT240=1,IF(AV240&lt;=0,0,BW240*MAX(1,IF(H240&gt;0,AV240/H240,1))),IF(R240&gt;0,AW240/R240,0))/MAX(0.1,N(Parameter!$M$21)))</f>
        <v>1.7608286252354</v>
      </c>
      <c r="AY240" s="57" t="n">
        <f aca="false">AV240*G240</f>
        <v>3698.37</v>
      </c>
      <c r="AZ240" s="57" t="n">
        <f aca="false">ROUNDUP(MAX(J240/IF(BZ240&gt;0,BZ240,MAX(0.1,N(Cockpit!$O$6))),CC240)/BS240,0)*BS240</f>
        <v>11</v>
      </c>
      <c r="BA240" s="58" t="n">
        <f aca="false">IF(AX240&gt;0,J240/AX240,-1)</f>
        <v>7.95080213903743</v>
      </c>
      <c r="BB240" s="58" t="n">
        <f aca="false">IF(AND(OR(BY240="L1",BY240="L23"),AX240&gt;0),SUMIFS($AX$7:$AX$1843,$BY$7:$BY$1843,BY240,$BA$7:$BA$1843,"&gt;"&amp;BA240)+SUMIFS($AX$7:$AX$1843,$BY$7:$BY$1843,BY240,$BA$7:$BA$1843,BA240,$BQ$7:$BQ$1843,"&lt;="&amp;BQ240),"")</f>
        <v>44.0755500129118</v>
      </c>
      <c r="BC240" s="65" t="n">
        <f aca="false">IF(BB240="",0,MAX(0,MIN(1,(IF(BY240="L1",Parameter!$E$5,Parameter!$E$6+Parameter!$E$7)-(BB240-AX240))/AX240)))</f>
        <v>1</v>
      </c>
      <c r="BD240" s="55" t="str">
        <f aca="false">IF(AH240&lt;=0,"",IF(BY240="Aussen","Aussenlager",IF(BY240="-","Nicht im Lift",IF(AM240&gt;=1,"Lift",IF(AM240&lt;=0,"Aussenlager","teilweise")))))</f>
        <v>Lift</v>
      </c>
      <c r="BE240" s="55" t="str">
        <f aca="false">IF(AP240&lt;=0,"",IF(BY240="Aussen","Aussenlager",IF(BY240="-","Nicht im Lift",IF(AU240&gt;=1,"Lift",IF(AU240&lt;=0,"Aussenlager","teilweise")))))</f>
        <v>teilweise</v>
      </c>
      <c r="BF240" s="55" t="str">
        <f aca="false">IF(AX240&lt;=0,"",IF(BY240="Aussen","Aussenlager",IF(BY240="-","Nicht im Lift",IF(BC240&gt;=1,"Lift",IF(BC240&lt;=0,"Aussenlager","teilweise")))))</f>
        <v>Lift</v>
      </c>
      <c r="BG240" s="55" t="str">
        <f aca="false">IF(A240="","",IF(BP240=1,"Neu; ","")&amp;IF(AND(BP240=0,BK240&lt;0),"negativer Bestand (Export "&amp;BK240&amp;"); ","")&amp;IF(J240&lt;=0,"Kein Verbrauch; ","")&amp;IF(CH240&gt;0,"Lift "&amp;W240&amp;" lt. Liftbericht (Fach "&amp;X240&amp;" Stk); ",IF(BU240=1,"Gebinde geschätzt ("&amp;T240&amp;"); ",IF(BT240=1,"Lose – Tablare geschätzt; ","")))&amp;IF(H240&gt;AR240,"Überbestand "&amp;ROUND(H240-AR240,0)&amp;" Stk / CHF "&amp;ROUND((H240-AR240)*G240,0)&amp;"; ","")&amp;IF(AND(CA240=1,CB240&lt;CC240),"MAX &lt; MB+LG; ","")&amp;IF(AND(CG240&gt;0,CF240*10&gt;CG240),"zu hoch für Tablar; ","")&amp;IF(AND(BP240=0,OR(CA240=1,AA240&lt;&gt;"",U240&lt;&gt;"",V240&lt;&gt;"",AB240&lt;&gt;"")),"manuell übersteuert; ","")&amp;IF(AND(BT240=0,R240=0),"Gebinde unbekannt / Stellmass fehlt; ","")&amp;IF(AND(BT240=0,N(V240)&lt;=0,N(Q240)&lt;=0),"Menge pro Gebinde fehlt (Ist = 1 Gebinde); ","")&amp;BO240)</f>
        <v>Lift 1 lt. Liftbericht (Fach 22 Stk); Überbestand 2 Stk / CHF 569; </v>
      </c>
      <c r="BH240" s="55"/>
      <c r="BI240" s="55"/>
      <c r="BJ240" s="62"/>
      <c r="BK240" s="57" t="n">
        <v>2</v>
      </c>
      <c r="BL240" s="57" t="n">
        <v>11</v>
      </c>
      <c r="BM240" s="56" t="n">
        <v>558.200000000001</v>
      </c>
      <c r="BN240" s="57" t="n">
        <v>14</v>
      </c>
      <c r="BO240" s="55"/>
      <c r="BP240" s="60" t="n">
        <v>0</v>
      </c>
      <c r="BQ240" s="60" t="n">
        <v>240</v>
      </c>
      <c r="BR240" s="55" t="str">
        <f aca="false">IF(U240&lt;&gt;"",UPPER(TRIM(U240)),IF(BU240=1,UPPER(VLOOKUP(T240,Parameter!$I$27:$K$29,2,0)),IF(P240="","LOSE",P240)))</f>
        <v>LOSE</v>
      </c>
      <c r="BS240" s="57" t="n">
        <f aca="false">IF(BR240="LOSE",1,IF(N(V240)&gt;0,V240,IF(BU240=1,MAX(1,N(VLOOKUP(T240,Parameter!$I$27:$K$29,3,0)),H240,N(N240)),IF(N(Q240)&gt;0,Q240,MAX(1,H240)))))</f>
        <v>1</v>
      </c>
      <c r="BT240" s="60" t="n">
        <f aca="false">IF(BR240="LOSE",1,0)</f>
        <v>1</v>
      </c>
      <c r="BU240" s="60" t="n">
        <f aca="false">IF(AND(U240="",OR(P240="",P240="LOSE"),T240&lt;&gt;"",N(S240)&lt;=0,ISNUMBER(MATCH(T240,Parameter!$I$27:$I$29,0))),1,0)</f>
        <v>0</v>
      </c>
      <c r="BV240" s="55" t="n">
        <f aca="false">IF(AND(Parameter!$B$19="Ja",E240&lt;&gt;"",ISNUMBER(MATCH(E240,Parameter!$I$35:$I$52,0))),VLOOKUP(E240,Parameter!$I$35:$J$52,2,0),IFERROR(VLOOKUP(D240,Parameter!$A$35:$C$64,2,0),"Nein"))</f>
        <v>1</v>
      </c>
      <c r="BW240" s="59" t="n">
        <f aca="false">IF(BT240=0,0,IF(N(S240)&gt;0,S240,IFERROR(VLOOKUP(D240,Parameter!$A$35:$C$64,3,0)+0,0)))</f>
        <v>1</v>
      </c>
      <c r="BX240" s="55" t="n">
        <f aca="false">IF(AA240&lt;&gt;"",AA240,Z240)</f>
        <v>1</v>
      </c>
      <c r="BY240" s="55" t="str">
        <f aca="false">IF(BX240=1,"L1",IF(OR(BX240=2,BX240=3),"L23",IF(BX240="Aussen","Aussen","-")))</f>
        <v>L1</v>
      </c>
      <c r="BZ240" s="66" t="n">
        <f aca="false">IF(N(AB240)&gt;0,AB240,0)</f>
        <v>0</v>
      </c>
      <c r="CA240" s="60" t="n">
        <f aca="false">IF(ISNUMBER(AE240),1,0)</f>
        <v>0</v>
      </c>
      <c r="CB240" s="57" t="n">
        <f aca="false">N(AE240)</f>
        <v>0</v>
      </c>
      <c r="CC240" s="57" t="n">
        <f aca="false">N(M240)+N(N240)</f>
        <v>11</v>
      </c>
      <c r="CD240" s="57" t="n">
        <f aca="false">ROUNDUP(H240/BS240,0)</f>
        <v>13</v>
      </c>
      <c r="CE240" s="57" t="n">
        <f aca="false">ROUNDUP(CB240/BS240,0)</f>
        <v>0</v>
      </c>
      <c r="CF240" s="60" t="n">
        <f aca="false">IF(BT240=1,0,IFERROR(VLOOKUP(BR240,'Gebinde-Kategorie'!$A$5:$M$45,5,0)+0,0))</f>
        <v>0</v>
      </c>
      <c r="CG240" s="60" t="n">
        <f aca="false">IFERROR(IF(OR(BX240=1,BX240=2,BX240=3),N(INDEX(Parameter!$I$5:$I$7,BX240)),0),0)</f>
        <v>0</v>
      </c>
      <c r="CH240" s="59" t="n">
        <f aca="false">IF(AND(Parameter!$B$21="Ja",ISNUMBER(W240),N(X240)&gt;0),IFERROR(N(INDEX(Parameter!$L$5:$L$7,W240))*INDEX(Parameter!$E$5:$E$7,W240)*X240/SUMIFS($X$7:$X$1843,$W$7:$W$1843,W240),0),0)</f>
        <v>1.7608286252354</v>
      </c>
    </row>
    <row r="241" customFormat="false" ht="15" hidden="false" customHeight="false" outlineLevel="0" collapsed="false">
      <c r="A241" s="55" t="s">
        <v>669</v>
      </c>
      <c r="B241" s="55" t="s">
        <v>670</v>
      </c>
      <c r="C241" s="55" t="s">
        <v>164</v>
      </c>
      <c r="D241" s="55" t="s">
        <v>173</v>
      </c>
      <c r="E241" s="55" t="s">
        <v>173</v>
      </c>
      <c r="F241" s="55" t="s">
        <v>218</v>
      </c>
      <c r="G241" s="56" t="n">
        <v>35.2</v>
      </c>
      <c r="H241" s="57" t="n">
        <f aca="false">MAX(0,IF(AND(Parameter!$B$21="Ja",ISNUMBER(Y241)),Y241,IF(Parameter!$B$20="Jahresanfang 2025 + Export",BL241+BK241,BK241)))</f>
        <v>26</v>
      </c>
      <c r="I241" s="57" t="n">
        <f aca="false">H241*G241</f>
        <v>915.2</v>
      </c>
      <c r="J241" s="57" t="n">
        <f aca="false">BN241*Parameter!$B$18</f>
        <v>52</v>
      </c>
      <c r="K241" s="58" t="n">
        <v>34</v>
      </c>
      <c r="L241" s="59" t="n">
        <v>1.52941176470588</v>
      </c>
      <c r="M241" s="57" t="n">
        <v>5</v>
      </c>
      <c r="N241" s="57" t="n">
        <v>50</v>
      </c>
      <c r="O241" s="60" t="n">
        <v>35</v>
      </c>
      <c r="P241" s="55" t="s">
        <v>174</v>
      </c>
      <c r="Q241" s="57" t="n">
        <v>35</v>
      </c>
      <c r="R241" s="60" t="n">
        <f aca="false">IF(BT241=1,0,IFERROR(VLOOKUP(BR241,'Gebinde-Kategorie'!$A$5:$M$45,13,0)+0,0))</f>
        <v>6</v>
      </c>
      <c r="S241" s="61"/>
      <c r="T241" s="62"/>
      <c r="U241" s="62"/>
      <c r="V241" s="62"/>
      <c r="W241" s="55"/>
      <c r="X241" s="57"/>
      <c r="Y241" s="57"/>
      <c r="Z241" s="55" t="str">
        <f aca="false">IF(A241="","",IF(AND(Parameter!$B$21="Ja",ISNUMBER(W241)),W241,IF(BV241="2+3",IF(ISNUMBER(SEARCH("grosser Artikel",BO241)),2,IFERROR(VLOOKUP(BR241,Parameter!$F$35:$G$64,2,0),2)),IF(OR(BV241="Nein",BV241=""),"-",BV241))))</f>
        <v>-</v>
      </c>
      <c r="AA241" s="62"/>
      <c r="AB241" s="63"/>
      <c r="AC241" s="57" t="n">
        <f aca="false">AR241</f>
        <v>70</v>
      </c>
      <c r="AD241" s="57" t="n">
        <f aca="false">MAX(AR241,H241)</f>
        <v>70</v>
      </c>
      <c r="AE241" s="64"/>
      <c r="AF241" s="57" t="n">
        <f aca="false">IF(LEFT(Cockpit!$C$5,1)="A",H241,IF(CA241=1,CB241,IF(LEFT(Cockpit!$C$5,1)="B",AJ241,MAX(AJ241,H241))))</f>
        <v>26</v>
      </c>
      <c r="AG241" s="57" t="n">
        <f aca="false">IF(BT241=1,0,ROUNDUP(AF241/BS241,0))</f>
        <v>1</v>
      </c>
      <c r="AH241" s="59" t="n">
        <f aca="false">IF(CH241&gt;0,CH241*MAX(1,AF241/X241),IF(BT241=1,IF(AF241&lt;=0,0,BW241*MAX(1,IF(H241&gt;0,AF241/H241,1))),IF(R241&gt;0,AG241/R241,0))/MAX(0.1,N(Parameter!$M$21)))</f>
        <v>0.166666666666667</v>
      </c>
      <c r="AI241" s="57" t="n">
        <f aca="false">AF241*G241</f>
        <v>915.2</v>
      </c>
      <c r="AJ241" s="57" t="n">
        <f aca="false">ROUNDUP(MAX(J241/IF(BZ241&gt;0,BZ241,MAX(0.1,N(Cockpit!$C$6))),CC241)/BS241,0)*BS241</f>
        <v>70</v>
      </c>
      <c r="AK241" s="58" t="n">
        <f aca="false">IF(AH241&gt;0,J241/AH241,-1)</f>
        <v>312</v>
      </c>
      <c r="AL241" s="58" t="str">
        <f aca="false">IF(AND(OR(BY241="L1",BY241="L23"),AH241&gt;0),SUMIFS($AH$7:$AH$1843,$BY$7:$BY$1843,BY241,$AK$7:$AK$1843,"&gt;"&amp;AK241)+SUMIFS($AH$7:$AH$1843,$BY$7:$BY$1843,BY241,$AK$7:$AK$1843,AK241,$BQ$7:$BQ$1843,"&lt;="&amp;BQ241),"")</f>
        <v/>
      </c>
      <c r="AM241" s="65" t="n">
        <f aca="false">IF(AL241="",0,MAX(0,MIN(1,(IF(BY241="L1",Parameter!$E$5,Parameter!$E$6+Parameter!$E$7)-(AL241-AH241))/AH241)))</f>
        <v>0</v>
      </c>
      <c r="AN241" s="57" t="n">
        <f aca="false">IF(LEFT(Cockpit!$I$5,1)="A",H241,IF(CA241=1,CB241,IF(LEFT(Cockpit!$I$5,1)="B",AR241,MAX(AR241,H241))))</f>
        <v>70</v>
      </c>
      <c r="AO241" s="57" t="n">
        <f aca="false">IF(BT241=1,0,ROUNDUP(AN241/BS241,0))</f>
        <v>2</v>
      </c>
      <c r="AP241" s="59" t="n">
        <f aca="false">IF(CH241&gt;0,CH241*MAX(1,AN241/X241),IF(BT241=1,IF(AN241&lt;=0,0,BW241*MAX(1,IF(H241&gt;0,AN241/H241,1))),IF(R241&gt;0,AO241/R241,0))/MAX(0.1,N(Parameter!$M$21)))</f>
        <v>0.333333333333333</v>
      </c>
      <c r="AQ241" s="57" t="n">
        <f aca="false">AN241*G241</f>
        <v>2464</v>
      </c>
      <c r="AR241" s="57" t="n">
        <f aca="false">ROUNDUP(MAX(J241/IF(BZ241&gt;0,BZ241,MAX(0.1,N(Cockpit!$I$6))),CC241)/BS241,0)*BS241</f>
        <v>70</v>
      </c>
      <c r="AS241" s="58" t="n">
        <f aca="false">IF(AP241&gt;0,J241/AP241,-1)</f>
        <v>156</v>
      </c>
      <c r="AT241" s="58" t="str">
        <f aca="false">IF(AND(OR(BY241="L1",BY241="L23"),AP241&gt;0),SUMIFS($AP$7:$AP$1843,$BY$7:$BY$1843,BY241,$AS$7:$AS$1843,"&gt;"&amp;AS241)+SUMIFS($AP$7:$AP$1843,$BY$7:$BY$1843,BY241,$AS$7:$AS$1843,AS241,$BQ$7:$BQ$1843,"&lt;="&amp;BQ241),"")</f>
        <v/>
      </c>
      <c r="AU241" s="65" t="n">
        <f aca="false">IF(AT241="",0,MAX(0,MIN(1,(IF(BY241="L1",Parameter!$E$5,Parameter!$E$6+Parameter!$E$7)-(AT241-AP241))/AP241)))</f>
        <v>0</v>
      </c>
      <c r="AV241" s="57" t="n">
        <f aca="false">IF(LEFT(Cockpit!$O$5,1)="A",H241,IF(CA241=1,CB241,IF(LEFT(Cockpit!$O$5,1)="B",AZ241,MAX(AZ241,H241))))</f>
        <v>70</v>
      </c>
      <c r="AW241" s="57" t="n">
        <f aca="false">IF(BT241=1,0,ROUNDUP(AV241/BS241,0))</f>
        <v>2</v>
      </c>
      <c r="AX241" s="59" t="n">
        <f aca="false">IF(CH241&gt;0,CH241*MAX(1,AV241/X241),IF(BT241=1,IF(AV241&lt;=0,0,BW241*MAX(1,IF(H241&gt;0,AV241/H241,1))),IF(R241&gt;0,AW241/R241,0))/MAX(0.1,N(Parameter!$M$21)))</f>
        <v>0.333333333333333</v>
      </c>
      <c r="AY241" s="57" t="n">
        <f aca="false">AV241*G241</f>
        <v>2464</v>
      </c>
      <c r="AZ241" s="57" t="n">
        <f aca="false">ROUNDUP(MAX(J241/IF(BZ241&gt;0,BZ241,MAX(0.1,N(Cockpit!$O$6))),CC241)/BS241,0)*BS241</f>
        <v>70</v>
      </c>
      <c r="BA241" s="58" t="n">
        <f aca="false">IF(AX241&gt;0,J241/AX241,-1)</f>
        <v>156</v>
      </c>
      <c r="BB241" s="58" t="str">
        <f aca="false">IF(AND(OR(BY241="L1",BY241="L23"),AX241&gt;0),SUMIFS($AX$7:$AX$1843,$BY$7:$BY$1843,BY241,$BA$7:$BA$1843,"&gt;"&amp;BA241)+SUMIFS($AX$7:$AX$1843,$BY$7:$BY$1843,BY241,$BA$7:$BA$1843,BA241,$BQ$7:$BQ$1843,"&lt;="&amp;BQ241),"")</f>
        <v/>
      </c>
      <c r="BC241" s="65" t="n">
        <f aca="false">IF(BB241="",0,MAX(0,MIN(1,(IF(BY241="L1",Parameter!$E$5,Parameter!$E$6+Parameter!$E$7)-(BB241-AX241))/AX241)))</f>
        <v>0</v>
      </c>
      <c r="BD241" s="55" t="str">
        <f aca="false">IF(AH241&lt;=0,"",IF(BY241="Aussen","Aussenlager",IF(BY241="-","Nicht im Lift",IF(AM241&gt;=1,"Lift",IF(AM241&lt;=0,"Aussenlager","teilweise")))))</f>
        <v>Nicht im Lift</v>
      </c>
      <c r="BE241" s="55" t="str">
        <f aca="false">IF(AP241&lt;=0,"",IF(BY241="Aussen","Aussenlager",IF(BY241="-","Nicht im Lift",IF(AU241&gt;=1,"Lift",IF(AU241&lt;=0,"Aussenlager","teilweise")))))</f>
        <v>Nicht im Lift</v>
      </c>
      <c r="BF241" s="55" t="str">
        <f aca="false">IF(AX241&lt;=0,"",IF(BY241="Aussen","Aussenlager",IF(BY241="-","Nicht im Lift",IF(BC241&gt;=1,"Lift",IF(BC241&lt;=0,"Aussenlager","teilweise")))))</f>
        <v>Nicht im Lift</v>
      </c>
      <c r="BG241" s="55" t="str">
        <f aca="false">IF(A241="","",IF(BP241=1,"Neu; ","")&amp;IF(AND(BP241=0,BK241&lt;0),"negativer Bestand (Export "&amp;BK241&amp;"); ","")&amp;IF(J241&lt;=0,"Kein Verbrauch; ","")&amp;IF(CH241&gt;0,"Lift "&amp;W241&amp;" lt. Liftbericht (Fach "&amp;X241&amp;" Stk); ",IF(BU241=1,"Gebinde geschätzt ("&amp;T241&amp;"); ",IF(BT241=1,"Lose – Tablare geschätzt; ","")))&amp;IF(H241&gt;AR241,"Überbestand "&amp;ROUND(H241-AR241,0)&amp;" Stk / CHF "&amp;ROUND((H241-AR241)*G241,0)&amp;"; ","")&amp;IF(AND(CA241=1,CB241&lt;CC241),"MAX &lt; MB+LG; ","")&amp;IF(AND(CG241&gt;0,CF241*10&gt;CG241),"zu hoch für Tablar; ","")&amp;IF(AND(BP241=0,OR(CA241=1,AA241&lt;&gt;"",U241&lt;&gt;"",V241&lt;&gt;"",AB241&lt;&gt;"")),"manuell übersteuert; ","")&amp;IF(AND(BT241=0,R241=0),"Gebinde unbekannt / Stellmass fehlt; ","")&amp;IF(AND(BT241=0,N(V241)&lt;=0,N(Q241)&lt;=0),"Menge pro Gebinde fehlt (Ist = 1 Gebinde); ","")&amp;BO241)</f>
        <v/>
      </c>
      <c r="BH241" s="55"/>
      <c r="BI241" s="55"/>
      <c r="BJ241" s="62"/>
      <c r="BK241" s="57" t="n">
        <v>17</v>
      </c>
      <c r="BL241" s="57" t="n">
        <v>9</v>
      </c>
      <c r="BM241" s="56" t="n">
        <v>553.130000000005</v>
      </c>
      <c r="BN241" s="57" t="n">
        <v>52</v>
      </c>
      <c r="BO241" s="55"/>
      <c r="BP241" s="60" t="n">
        <v>0</v>
      </c>
      <c r="BQ241" s="60" t="n">
        <v>241</v>
      </c>
      <c r="BR241" s="55" t="str">
        <f aca="false">IF(U241&lt;&gt;"",UPPER(TRIM(U241)),IF(BU241=1,UPPER(VLOOKUP(T241,Parameter!$I$27:$K$29,2,0)),IF(P241="","LOSE",P241)))</f>
        <v>S71</v>
      </c>
      <c r="BS241" s="57" t="n">
        <f aca="false">IF(BR241="LOSE",1,IF(N(V241)&gt;0,V241,IF(BU241=1,MAX(1,N(VLOOKUP(T241,Parameter!$I$27:$K$29,3,0)),H241,N(N241)),IF(N(Q241)&gt;0,Q241,MAX(1,H241)))))</f>
        <v>35</v>
      </c>
      <c r="BT241" s="60" t="n">
        <f aca="false">IF(BR241="LOSE",1,0)</f>
        <v>0</v>
      </c>
      <c r="BU241" s="60" t="n">
        <f aca="false">IF(AND(U241="",OR(P241="",P241="LOSE"),T241&lt;&gt;"",N(S241)&lt;=0,ISNUMBER(MATCH(T241,Parameter!$I$27:$I$29,0))),1,0)</f>
        <v>0</v>
      </c>
      <c r="BV241" s="55" t="str">
        <f aca="false">IF(AND(Parameter!$B$19="Ja",E241&lt;&gt;"",ISNUMBER(MATCH(E241,Parameter!$I$35:$I$52,0))),VLOOKUP(E241,Parameter!$I$35:$J$52,2,0),IFERROR(VLOOKUP(D241,Parameter!$A$35:$C$64,2,0),"Nein"))</f>
        <v>Nein</v>
      </c>
      <c r="BW241" s="59" t="n">
        <f aca="false">IF(BT241=0,0,IF(N(S241)&gt;0,S241,IFERROR(VLOOKUP(D241,Parameter!$A$35:$C$64,3,0)+0,0)))</f>
        <v>0</v>
      </c>
      <c r="BX241" s="55" t="str">
        <f aca="false">IF(AA241&lt;&gt;"",AA241,Z241)</f>
        <v>-</v>
      </c>
      <c r="BY241" s="55" t="str">
        <f aca="false">IF(BX241=1,"L1",IF(OR(BX241=2,BX241=3),"L23",IF(BX241="Aussen","Aussen","-")))</f>
        <v>-</v>
      </c>
      <c r="BZ241" s="66" t="n">
        <f aca="false">IF(N(AB241)&gt;0,AB241,0)</f>
        <v>0</v>
      </c>
      <c r="CA241" s="60" t="n">
        <f aca="false">IF(ISNUMBER(AE241),1,0)</f>
        <v>0</v>
      </c>
      <c r="CB241" s="57" t="n">
        <f aca="false">N(AE241)</f>
        <v>0</v>
      </c>
      <c r="CC241" s="57" t="n">
        <f aca="false">N(M241)+N(N241)</f>
        <v>55</v>
      </c>
      <c r="CD241" s="57" t="n">
        <f aca="false">ROUNDUP(H241/BS241,0)</f>
        <v>1</v>
      </c>
      <c r="CE241" s="57" t="n">
        <f aca="false">ROUNDUP(CB241/BS241,0)</f>
        <v>0</v>
      </c>
      <c r="CF241" s="60" t="n">
        <f aca="false">IF(BT241=1,0,IFERROR(VLOOKUP(BR241,'Gebinde-Kategorie'!$A$5:$M$45,5,0)+0,0))</f>
        <v>20</v>
      </c>
      <c r="CG241" s="60" t="n">
        <f aca="false">IFERROR(IF(OR(BX241=1,BX241=2,BX241=3),N(INDEX(Parameter!$I$5:$I$7,BX241)),0),0)</f>
        <v>0</v>
      </c>
      <c r="CH241" s="59" t="n">
        <f aca="false">IF(AND(Parameter!$B$21="Ja",ISNUMBER(W241),N(X241)&gt;0),IFERROR(N(INDEX(Parameter!$L$5:$L$7,W241))*INDEX(Parameter!$E$5:$E$7,W241)*X241/SUMIFS($X$7:$X$1843,$W$7:$W$1843,W241),0),0)</f>
        <v>0</v>
      </c>
    </row>
    <row r="242" customFormat="false" ht="15" hidden="false" customHeight="false" outlineLevel="0" collapsed="false">
      <c r="A242" s="55" t="s">
        <v>671</v>
      </c>
      <c r="B242" s="55" t="s">
        <v>394</v>
      </c>
      <c r="C242" s="55" t="s">
        <v>164</v>
      </c>
      <c r="D242" s="55" t="s">
        <v>173</v>
      </c>
      <c r="E242" s="55" t="s">
        <v>185</v>
      </c>
      <c r="F242" s="55" t="s">
        <v>218</v>
      </c>
      <c r="G242" s="56" t="n">
        <v>423.49</v>
      </c>
      <c r="H242" s="57" t="n">
        <f aca="false">MAX(0,IF(AND(Parameter!$B$21="Ja",ISNUMBER(Y242)),Y242,IF(Parameter!$B$20="Jahresanfang 2025 + Export",BL242+BK242,BK242)))</f>
        <v>11</v>
      </c>
      <c r="I242" s="57" t="n">
        <f aca="false">H242*G242</f>
        <v>4658.39</v>
      </c>
      <c r="J242" s="57" t="n">
        <f aca="false">BN242*Parameter!$B$18</f>
        <v>26</v>
      </c>
      <c r="K242" s="58" t="n">
        <v>11</v>
      </c>
      <c r="L242" s="59" t="n">
        <v>2.36363636363636</v>
      </c>
      <c r="M242" s="57" t="n">
        <v>1</v>
      </c>
      <c r="N242" s="57" t="n">
        <v>10</v>
      </c>
      <c r="O242" s="60" t="n">
        <v>21</v>
      </c>
      <c r="P242" s="55" t="s">
        <v>174</v>
      </c>
      <c r="Q242" s="57" t="n">
        <v>13</v>
      </c>
      <c r="R242" s="60" t="n">
        <f aca="false">IF(BT242=1,0,IFERROR(VLOOKUP(BR242,'Gebinde-Kategorie'!$A$5:$M$45,13,0)+0,0))</f>
        <v>6</v>
      </c>
      <c r="S242" s="61"/>
      <c r="T242" s="62"/>
      <c r="U242" s="62"/>
      <c r="V242" s="62"/>
      <c r="W242" s="55"/>
      <c r="X242" s="57"/>
      <c r="Y242" s="57"/>
      <c r="Z242" s="55" t="n">
        <f aca="false">IF(A242="","",IF(AND(Parameter!$B$21="Ja",ISNUMBER(W242)),W242,IF(BV242="2+3",IF(ISNUMBER(SEARCH("grosser Artikel",BO242)),2,IFERROR(VLOOKUP(BR242,Parameter!$F$35:$G$64,2,0),2)),IF(OR(BV242="Nein",BV242=""),"-",BV242))))</f>
        <v>2</v>
      </c>
      <c r="AA242" s="62"/>
      <c r="AB242" s="63"/>
      <c r="AC242" s="57" t="n">
        <f aca="false">AR242</f>
        <v>13</v>
      </c>
      <c r="AD242" s="57" t="n">
        <f aca="false">MAX(AR242,H242)</f>
        <v>13</v>
      </c>
      <c r="AE242" s="64"/>
      <c r="AF242" s="57" t="n">
        <f aca="false">IF(LEFT(Cockpit!$C$5,1)="A",H242,IF(CA242=1,CB242,IF(LEFT(Cockpit!$C$5,1)="B",AJ242,MAX(AJ242,H242))))</f>
        <v>11</v>
      </c>
      <c r="AG242" s="57" t="n">
        <f aca="false">IF(BT242=1,0,ROUNDUP(AF242/BS242,0))</f>
        <v>1</v>
      </c>
      <c r="AH242" s="59" t="n">
        <f aca="false">IF(CH242&gt;0,CH242*MAX(1,AF242/X242),IF(BT242=1,IF(AF242&lt;=0,0,BW242*MAX(1,IF(H242&gt;0,AF242/H242,1))),IF(R242&gt;0,AG242/R242,0))/MAX(0.1,N(Parameter!$M$21)))</f>
        <v>0.166666666666667</v>
      </c>
      <c r="AI242" s="57" t="n">
        <f aca="false">AF242*G242</f>
        <v>4658.39</v>
      </c>
      <c r="AJ242" s="57" t="n">
        <f aca="false">ROUNDUP(MAX(J242/IF(BZ242&gt;0,BZ242,MAX(0.1,N(Cockpit!$C$6))),CC242)/BS242,0)*BS242</f>
        <v>13</v>
      </c>
      <c r="AK242" s="58" t="n">
        <f aca="false">IF(AH242&gt;0,J242/AH242,-1)</f>
        <v>156</v>
      </c>
      <c r="AL242" s="58" t="n">
        <f aca="false">IF(AND(OR(BY242="L1",BY242="L23"),AH242&gt;0),SUMIFS($AH$7:$AH$1843,$BY$7:$BY$1843,BY242,$AK$7:$AK$1843,"&gt;"&amp;AK242)+SUMIFS($AH$7:$AH$1843,$BY$7:$BY$1843,BY242,$AK$7:$AK$1843,AK242,$BQ$7:$BQ$1843,"&lt;="&amp;BQ242),"")</f>
        <v>34.4887250430729</v>
      </c>
      <c r="AM242" s="65" t="n">
        <f aca="false">IF(AL242="",0,MAX(0,MIN(1,(IF(BY242="L1",Parameter!$E$5,Parameter!$E$6+Parameter!$E$7)-(AL242-AH242))/AH242)))</f>
        <v>1</v>
      </c>
      <c r="AN242" s="57" t="n">
        <f aca="false">IF(LEFT(Cockpit!$I$5,1)="A",H242,IF(CA242=1,CB242,IF(LEFT(Cockpit!$I$5,1)="B",AR242,MAX(AR242,H242))))</f>
        <v>13</v>
      </c>
      <c r="AO242" s="57" t="n">
        <f aca="false">IF(BT242=1,0,ROUNDUP(AN242/BS242,0))</f>
        <v>1</v>
      </c>
      <c r="AP242" s="59" t="n">
        <f aca="false">IF(CH242&gt;0,CH242*MAX(1,AN242/X242),IF(BT242=1,IF(AN242&lt;=0,0,BW242*MAX(1,IF(H242&gt;0,AN242/H242,1))),IF(R242&gt;0,AO242/R242,0))/MAX(0.1,N(Parameter!$M$21)))</f>
        <v>0.166666666666667</v>
      </c>
      <c r="AQ242" s="57" t="n">
        <f aca="false">AN242*G242</f>
        <v>5505.37</v>
      </c>
      <c r="AR242" s="57" t="n">
        <f aca="false">ROUNDUP(MAX(J242/IF(BZ242&gt;0,BZ242,MAX(0.1,N(Cockpit!$I$6))),CC242)/BS242,0)*BS242</f>
        <v>13</v>
      </c>
      <c r="AS242" s="58" t="n">
        <f aca="false">IF(AP242&gt;0,J242/AP242,-1)</f>
        <v>156</v>
      </c>
      <c r="AT242" s="58" t="n">
        <f aca="false">IF(AND(OR(BY242="L1",BY242="L23"),AP242&gt;0),SUMIFS($AP$7:$AP$1843,$BY$7:$BY$1843,BY242,$AS$7:$AS$1843,"&gt;"&amp;AS242)+SUMIFS($AP$7:$AP$1843,$BY$7:$BY$1843,BY242,$AS$7:$AS$1843,AS242,$BQ$7:$BQ$1843,"&lt;="&amp;BQ242),"")</f>
        <v>48.778816594034</v>
      </c>
      <c r="AU242" s="65" t="n">
        <f aca="false">IF(AT242="",0,MAX(0,MIN(1,(IF(BY242="L1",Parameter!$E$5,Parameter!$E$6+Parameter!$E$7)-(AT242-AP242))/AP242)))</f>
        <v>1</v>
      </c>
      <c r="AV242" s="57" t="n">
        <f aca="false">IF(LEFT(Cockpit!$O$5,1)="A",H242,IF(CA242=1,CB242,IF(LEFT(Cockpit!$O$5,1)="B",AZ242,MAX(AZ242,H242))))</f>
        <v>13</v>
      </c>
      <c r="AW242" s="57" t="n">
        <f aca="false">IF(BT242=1,0,ROUNDUP(AV242/BS242,0))</f>
        <v>1</v>
      </c>
      <c r="AX242" s="59" t="n">
        <f aca="false">IF(CH242&gt;0,CH242*MAX(1,AV242/X242),IF(BT242=1,IF(AV242&lt;=0,0,BW242*MAX(1,IF(H242&gt;0,AV242/H242,1))),IF(R242&gt;0,AW242/R242,0))/MAX(0.1,N(Parameter!$M$21)))</f>
        <v>0.166666666666667</v>
      </c>
      <c r="AY242" s="57" t="n">
        <f aca="false">AV242*G242</f>
        <v>5505.37</v>
      </c>
      <c r="AZ242" s="57" t="n">
        <f aca="false">ROUNDUP(MAX(J242/IF(BZ242&gt;0,BZ242,MAX(0.1,N(Cockpit!$O$6))),CC242)/BS242,0)*BS242</f>
        <v>13</v>
      </c>
      <c r="BA242" s="58" t="n">
        <f aca="false">IF(AX242&gt;0,J242/AX242,-1)</f>
        <v>156</v>
      </c>
      <c r="BB242" s="58" t="n">
        <f aca="false">IF(AND(OR(BY242="L1",BY242="L23"),AX242&gt;0),SUMIFS($AX$7:$AX$1843,$BY$7:$BY$1843,BY242,$BA$7:$BA$1843,"&gt;"&amp;BA242)+SUMIFS($AX$7:$AX$1843,$BY$7:$BY$1843,BY242,$BA$7:$BA$1843,BA242,$BQ$7:$BQ$1843,"&lt;="&amp;BQ242),"")</f>
        <v>44.3586534238708</v>
      </c>
      <c r="BC242" s="65" t="n">
        <f aca="false">IF(BB242="",0,MAX(0,MIN(1,(IF(BY242="L1",Parameter!$E$5,Parameter!$E$6+Parameter!$E$7)-(BB242-AX242))/AX242)))</f>
        <v>1</v>
      </c>
      <c r="BD242" s="55" t="str">
        <f aca="false">IF(AH242&lt;=0,"",IF(BY242="Aussen","Aussenlager",IF(BY242="-","Nicht im Lift",IF(AM242&gt;=1,"Lift",IF(AM242&lt;=0,"Aussenlager","teilweise")))))</f>
        <v>Lift</v>
      </c>
      <c r="BE242" s="55" t="str">
        <f aca="false">IF(AP242&lt;=0,"",IF(BY242="Aussen","Aussenlager",IF(BY242="-","Nicht im Lift",IF(AU242&gt;=1,"Lift",IF(AU242&lt;=0,"Aussenlager","teilweise")))))</f>
        <v>Lift</v>
      </c>
      <c r="BF242" s="55" t="str">
        <f aca="false">IF(AX242&lt;=0,"",IF(BY242="Aussen","Aussenlager",IF(BY242="-","Nicht im Lift",IF(BC242&gt;=1,"Lift",IF(BC242&lt;=0,"Aussenlager","teilweise")))))</f>
        <v>Lift</v>
      </c>
      <c r="BG242" s="55" t="str">
        <f aca="false">IF(A242="","",IF(BP242=1,"Neu; ","")&amp;IF(AND(BP242=0,BK242&lt;0),"negativer Bestand (Export "&amp;BK242&amp;"); ","")&amp;IF(J242&lt;=0,"Kein Verbrauch; ","")&amp;IF(CH242&gt;0,"Lift "&amp;W242&amp;" lt. Liftbericht (Fach "&amp;X242&amp;" Stk); ",IF(BU242=1,"Gebinde geschätzt ("&amp;T242&amp;"); ",IF(BT242=1,"Lose – Tablare geschätzt; ","")))&amp;IF(H242&gt;AR242,"Überbestand "&amp;ROUND(H242-AR242,0)&amp;" Stk / CHF "&amp;ROUND((H242-AR242)*G242,0)&amp;"; ","")&amp;IF(AND(CA242=1,CB242&lt;CC242),"MAX &lt; MB+LG; ","")&amp;IF(AND(CG242&gt;0,CF242*10&gt;CG242),"zu hoch für Tablar; ","")&amp;IF(AND(BP242=0,OR(CA242=1,AA242&lt;&gt;"",U242&lt;&gt;"",V242&lt;&gt;"",AB242&lt;&gt;"")),"manuell übersteuert; ","")&amp;IF(AND(BT242=0,R242=0),"Gebinde unbekannt / Stellmass fehlt; ","")&amp;IF(AND(BT242=0,N(V242)&lt;=0,N(Q242)&lt;=0),"Menge pro Gebinde fehlt (Ist = 1 Gebinde); ","")&amp;BO242)</f>
        <v>grosser Artikel &amp; nicht im KTL</v>
      </c>
      <c r="BH242" s="55"/>
      <c r="BI242" s="55"/>
      <c r="BJ242" s="62"/>
      <c r="BK242" s="57" t="n">
        <v>1</v>
      </c>
      <c r="BL242" s="57" t="n">
        <v>10</v>
      </c>
      <c r="BM242" s="56" t="n">
        <v>545.890000000001</v>
      </c>
      <c r="BN242" s="57" t="n">
        <v>26</v>
      </c>
      <c r="BO242" s="55" t="s">
        <v>261</v>
      </c>
      <c r="BP242" s="60" t="n">
        <v>0</v>
      </c>
      <c r="BQ242" s="60" t="n">
        <v>242</v>
      </c>
      <c r="BR242" s="55" t="str">
        <f aca="false">IF(U242&lt;&gt;"",UPPER(TRIM(U242)),IF(BU242=1,UPPER(VLOOKUP(T242,Parameter!$I$27:$K$29,2,0)),IF(P242="","LOSE",P242)))</f>
        <v>S71</v>
      </c>
      <c r="BS242" s="57" t="n">
        <f aca="false">IF(BR242="LOSE",1,IF(N(V242)&gt;0,V242,IF(BU242=1,MAX(1,N(VLOOKUP(T242,Parameter!$I$27:$K$29,3,0)),H242,N(N242)),IF(N(Q242)&gt;0,Q242,MAX(1,H242)))))</f>
        <v>13</v>
      </c>
      <c r="BT242" s="60" t="n">
        <f aca="false">IF(BR242="LOSE",1,0)</f>
        <v>0</v>
      </c>
      <c r="BU242" s="60" t="n">
        <f aca="false">IF(AND(U242="",OR(P242="",P242="LOSE"),T242&lt;&gt;"",N(S242)&lt;=0,ISNUMBER(MATCH(T242,Parameter!$I$27:$I$29,0))),1,0)</f>
        <v>0</v>
      </c>
      <c r="BV242" s="55" t="str">
        <f aca="false">IF(AND(Parameter!$B$19="Ja",E242&lt;&gt;"",ISNUMBER(MATCH(E242,Parameter!$I$35:$I$52,0))),VLOOKUP(E242,Parameter!$I$35:$J$52,2,0),IFERROR(VLOOKUP(D242,Parameter!$A$35:$C$64,2,0),"Nein"))</f>
        <v>2+3</v>
      </c>
      <c r="BW242" s="59" t="n">
        <f aca="false">IF(BT242=0,0,IF(N(S242)&gt;0,S242,IFERROR(VLOOKUP(D242,Parameter!$A$35:$C$64,3,0)+0,0)))</f>
        <v>0</v>
      </c>
      <c r="BX242" s="55" t="n">
        <f aca="false">IF(AA242&lt;&gt;"",AA242,Z242)</f>
        <v>2</v>
      </c>
      <c r="BY242" s="55" t="str">
        <f aca="false">IF(BX242=1,"L1",IF(OR(BX242=2,BX242=3),"L23",IF(BX242="Aussen","Aussen","-")))</f>
        <v>L23</v>
      </c>
      <c r="BZ242" s="66" t="n">
        <f aca="false">IF(N(AB242)&gt;0,AB242,0)</f>
        <v>0</v>
      </c>
      <c r="CA242" s="60" t="n">
        <f aca="false">IF(ISNUMBER(AE242),1,0)</f>
        <v>0</v>
      </c>
      <c r="CB242" s="57" t="n">
        <f aca="false">N(AE242)</f>
        <v>0</v>
      </c>
      <c r="CC242" s="57" t="n">
        <f aca="false">N(M242)+N(N242)</f>
        <v>11</v>
      </c>
      <c r="CD242" s="57" t="n">
        <f aca="false">ROUNDUP(H242/BS242,0)</f>
        <v>1</v>
      </c>
      <c r="CE242" s="57" t="n">
        <f aca="false">ROUNDUP(CB242/BS242,0)</f>
        <v>0</v>
      </c>
      <c r="CF242" s="60" t="n">
        <f aca="false">IF(BT242=1,0,IFERROR(VLOOKUP(BR242,'Gebinde-Kategorie'!$A$5:$M$45,5,0)+0,0))</f>
        <v>20</v>
      </c>
      <c r="CG242" s="60" t="n">
        <f aca="false">IFERROR(IF(OR(BX242=1,BX242=2,BX242=3),N(INDEX(Parameter!$I$5:$I$7,BX242)),0),0)</f>
        <v>0</v>
      </c>
      <c r="CH242" s="59" t="n">
        <f aca="false">IF(AND(Parameter!$B$21="Ja",ISNUMBER(W242),N(X242)&gt;0),IFERROR(N(INDEX(Parameter!$L$5:$L$7,W242))*INDEX(Parameter!$E$5:$E$7,W242)*X242/SUMIFS($X$7:$X$1843,$W$7:$W$1843,W242),0),0)</f>
        <v>0</v>
      </c>
    </row>
    <row r="243" customFormat="false" ht="15" hidden="false" customHeight="false" outlineLevel="0" collapsed="false">
      <c r="A243" s="55" t="s">
        <v>672</v>
      </c>
      <c r="B243" s="55" t="s">
        <v>673</v>
      </c>
      <c r="C243" s="55" t="s">
        <v>164</v>
      </c>
      <c r="D243" s="55" t="s">
        <v>184</v>
      </c>
      <c r="E243" s="55"/>
      <c r="F243" s="55" t="s">
        <v>218</v>
      </c>
      <c r="G243" s="56" t="n">
        <v>108.25</v>
      </c>
      <c r="H243" s="57" t="n">
        <f aca="false">MAX(0,IF(AND(Parameter!$B$21="Ja",ISNUMBER(Y243)),Y243,IF(Parameter!$B$20="Jahresanfang 2025 + Export",BL243+BK243,BK243)))</f>
        <v>28</v>
      </c>
      <c r="I243" s="57" t="n">
        <f aca="false">H243*G243</f>
        <v>3031</v>
      </c>
      <c r="J243" s="57" t="n">
        <f aca="false">BN243*Parameter!$B$18</f>
        <v>0</v>
      </c>
      <c r="K243" s="58" t="n">
        <v>25.5</v>
      </c>
      <c r="L243" s="59" t="n">
        <v>0</v>
      </c>
      <c r="M243" s="57" t="n">
        <v>0</v>
      </c>
      <c r="N243" s="57" t="n">
        <v>1</v>
      </c>
      <c r="O243" s="60" t="n">
        <v>49</v>
      </c>
      <c r="P243" s="55" t="s">
        <v>226</v>
      </c>
      <c r="Q243" s="57" t="n">
        <v>30</v>
      </c>
      <c r="R243" s="60" t="n">
        <f aca="false">IF(BT243=1,0,IFERROR(VLOOKUP(BR243,'Gebinde-Kategorie'!$A$5:$M$45,13,0)+0,0))</f>
        <v>12</v>
      </c>
      <c r="S243" s="61"/>
      <c r="T243" s="62"/>
      <c r="U243" s="62"/>
      <c r="V243" s="62"/>
      <c r="W243" s="55"/>
      <c r="X243" s="57"/>
      <c r="Y243" s="57"/>
      <c r="Z243" s="55" t="n">
        <f aca="false">IF(A243="","",IF(AND(Parameter!$B$21="Ja",ISNUMBER(W243)),W243,IF(BV243="2+3",IF(ISNUMBER(SEARCH("grosser Artikel",BO243)),2,IFERROR(VLOOKUP(BR243,Parameter!$F$35:$G$64,2,0),2)),IF(OR(BV243="Nein",BV243=""),"-",BV243))))</f>
        <v>2</v>
      </c>
      <c r="AA243" s="62"/>
      <c r="AB243" s="63"/>
      <c r="AC243" s="57" t="n">
        <f aca="false">AR243</f>
        <v>30</v>
      </c>
      <c r="AD243" s="57" t="n">
        <f aca="false">MAX(AR243,H243)</f>
        <v>30</v>
      </c>
      <c r="AE243" s="64"/>
      <c r="AF243" s="57" t="n">
        <f aca="false">IF(LEFT(Cockpit!$C$5,1)="A",H243,IF(CA243=1,CB243,IF(LEFT(Cockpit!$C$5,1)="B",AJ243,MAX(AJ243,H243))))</f>
        <v>28</v>
      </c>
      <c r="AG243" s="57" t="n">
        <f aca="false">IF(BT243=1,0,ROUNDUP(AF243/BS243,0))</f>
        <v>1</v>
      </c>
      <c r="AH243" s="59" t="n">
        <f aca="false">IF(CH243&gt;0,CH243*MAX(1,AF243/X243),IF(BT243=1,IF(AF243&lt;=0,0,BW243*MAX(1,IF(H243&gt;0,AF243/H243,1))),IF(R243&gt;0,AG243/R243,0))/MAX(0.1,N(Parameter!$M$21)))</f>
        <v>0.0833333333333333</v>
      </c>
      <c r="AI243" s="57" t="n">
        <f aca="false">AF243*G243</f>
        <v>3031</v>
      </c>
      <c r="AJ243" s="57" t="n">
        <f aca="false">ROUNDUP(MAX(J243/IF(BZ243&gt;0,BZ243,MAX(0.1,N(Cockpit!$C$6))),CC243)/BS243,0)*BS243</f>
        <v>30</v>
      </c>
      <c r="AK243" s="58" t="n">
        <f aca="false">IF(AH243&gt;0,J243/AH243,-1)</f>
        <v>0</v>
      </c>
      <c r="AL243" s="58" t="n">
        <f aca="false">IF(AND(OR(BY243="L1",BY243="L23"),AH243&gt;0),SUMIFS($AH$7:$AH$1843,$BY$7:$BY$1843,BY243,$AK$7:$AK$1843,"&gt;"&amp;AK243)+SUMIFS($AH$7:$AH$1843,$BY$7:$BY$1843,BY243,$AK$7:$AK$1843,AK243,$BQ$7:$BQ$1843,"&lt;="&amp;BQ243),"")</f>
        <v>71.3315766359245</v>
      </c>
      <c r="AM243" s="65" t="n">
        <f aca="false">IF(AL243="",0,MAX(0,MIN(1,(IF(BY243="L1",Parameter!$E$5,Parameter!$E$6+Parameter!$E$7)-(AL243-AH243))/AH243)))</f>
        <v>1</v>
      </c>
      <c r="AN243" s="57" t="n">
        <f aca="false">IF(LEFT(Cockpit!$I$5,1)="A",H243,IF(CA243=1,CB243,IF(LEFT(Cockpit!$I$5,1)="B",AR243,MAX(AR243,H243))))</f>
        <v>30</v>
      </c>
      <c r="AO243" s="57" t="n">
        <f aca="false">IF(BT243=1,0,ROUNDUP(AN243/BS243,0))</f>
        <v>1</v>
      </c>
      <c r="AP243" s="59" t="n">
        <f aca="false">IF(CH243&gt;0,CH243*MAX(1,AN243/X243),IF(BT243=1,IF(AN243&lt;=0,0,BW243*MAX(1,IF(H243&gt;0,AN243/H243,1))),IF(R243&gt;0,AO243/R243,0))/MAX(0.1,N(Parameter!$M$21)))</f>
        <v>0.0833333333333333</v>
      </c>
      <c r="AQ243" s="57" t="n">
        <f aca="false">AN243*G243</f>
        <v>3247.5</v>
      </c>
      <c r="AR243" s="57" t="n">
        <f aca="false">ROUNDUP(MAX(J243/IF(BZ243&gt;0,BZ243,MAX(0.1,N(Cockpit!$I$6))),CC243)/BS243,0)*BS243</f>
        <v>30</v>
      </c>
      <c r="AS243" s="58" t="n">
        <f aca="false">IF(AP243&gt;0,J243/AP243,-1)</f>
        <v>0</v>
      </c>
      <c r="AT243" s="58" t="n">
        <f aca="false">IF(AND(OR(BY243="L1",BY243="L23"),AP243&gt;0),SUMIFS($AP$7:$AP$1843,$BY$7:$BY$1843,BY243,$AS$7:$AS$1843,"&gt;"&amp;AS243)+SUMIFS($AP$7:$AP$1843,$BY$7:$BY$1843,BY243,$AS$7:$AS$1843,AS243,$BQ$7:$BQ$1843,"&lt;="&amp;BQ243),"")</f>
        <v>110.755700820918</v>
      </c>
      <c r="AU243" s="65" t="n">
        <f aca="false">IF(AT243="",0,MAX(0,MIN(1,(IF(BY243="L1",Parameter!$E$5,Parameter!$E$6+Parameter!$E$7)-(AT243-AP243))/AP243)))</f>
        <v>0</v>
      </c>
      <c r="AV243" s="57" t="n">
        <f aca="false">IF(LEFT(Cockpit!$O$5,1)="A",H243,IF(CA243=1,CB243,IF(LEFT(Cockpit!$O$5,1)="B",AZ243,MAX(AZ243,H243))))</f>
        <v>30</v>
      </c>
      <c r="AW243" s="57" t="n">
        <f aca="false">IF(BT243=1,0,ROUNDUP(AV243/BS243,0))</f>
        <v>1</v>
      </c>
      <c r="AX243" s="59" t="n">
        <f aca="false">IF(CH243&gt;0,CH243*MAX(1,AV243/X243),IF(BT243=1,IF(AV243&lt;=0,0,BW243*MAX(1,IF(H243&gt;0,AV243/H243,1))),IF(R243&gt;0,AW243/R243,0))/MAX(0.1,N(Parameter!$M$21)))</f>
        <v>0.0833333333333333</v>
      </c>
      <c r="AY243" s="57" t="n">
        <f aca="false">AV243*G243</f>
        <v>3247.5</v>
      </c>
      <c r="AZ243" s="57" t="n">
        <f aca="false">ROUNDUP(MAX(J243/IF(BZ243&gt;0,BZ243,MAX(0.1,N(Cockpit!$O$6))),CC243)/BS243,0)*BS243</f>
        <v>30</v>
      </c>
      <c r="BA243" s="58" t="n">
        <f aca="false">IF(AX243&gt;0,J243/AX243,-1)</f>
        <v>0</v>
      </c>
      <c r="BB243" s="58" t="n">
        <f aca="false">IF(AND(OR(BY243="L1",BY243="L23"),AX243&gt;0),SUMIFS($AX$7:$AX$1843,$BY$7:$BY$1843,BY243,$BA$7:$BA$1843,"&gt;"&amp;BA243)+SUMIFS($AX$7:$AX$1843,$BY$7:$BY$1843,BY243,$BA$7:$BA$1843,BA243,$BQ$7:$BQ$1843,"&lt;="&amp;BQ243),"")</f>
        <v>101.585537650755</v>
      </c>
      <c r="BC243" s="65" t="n">
        <f aca="false">IF(BB243="",0,MAX(0,MIN(1,(IF(BY243="L1",Parameter!$E$5,Parameter!$E$6+Parameter!$E$7)-(BB243-AX243))/AX243)))</f>
        <v>0</v>
      </c>
      <c r="BD243" s="55" t="str">
        <f aca="false">IF(AH243&lt;=0,"",IF(BY243="Aussen","Aussenlager",IF(BY243="-","Nicht im Lift",IF(AM243&gt;=1,"Lift",IF(AM243&lt;=0,"Aussenlager","teilweise")))))</f>
        <v>Lift</v>
      </c>
      <c r="BE243" s="55" t="str">
        <f aca="false">IF(AP243&lt;=0,"",IF(BY243="Aussen","Aussenlager",IF(BY243="-","Nicht im Lift",IF(AU243&gt;=1,"Lift",IF(AU243&lt;=0,"Aussenlager","teilweise")))))</f>
        <v>Aussenlager</v>
      </c>
      <c r="BF243" s="55" t="str">
        <f aca="false">IF(AX243&lt;=0,"",IF(BY243="Aussen","Aussenlager",IF(BY243="-","Nicht im Lift",IF(BC243&gt;=1,"Lift",IF(BC243&lt;=0,"Aussenlager","teilweise")))))</f>
        <v>Aussenlager</v>
      </c>
      <c r="BG243" s="55" t="str">
        <f aca="false">IF(A243="","",IF(BP243=1,"Neu; ","")&amp;IF(AND(BP243=0,BK243&lt;0),"negativer Bestand (Export "&amp;BK243&amp;"); ","")&amp;IF(J243&lt;=0,"Kein Verbrauch; ","")&amp;IF(CH243&gt;0,"Lift "&amp;W243&amp;" lt. Liftbericht (Fach "&amp;X243&amp;" Stk); ",IF(BU243=1,"Gebinde geschätzt ("&amp;T243&amp;"); ",IF(BT243=1,"Lose – Tablare geschätzt; ","")))&amp;IF(H243&gt;AR243,"Überbestand "&amp;ROUND(H243-AR243,0)&amp;" Stk / CHF "&amp;ROUND((H243-AR243)*G243,0)&amp;"; ","")&amp;IF(AND(CA243=1,CB243&lt;CC243),"MAX &lt; MB+LG; ","")&amp;IF(AND(CG243&gt;0,CF243*10&gt;CG243),"zu hoch für Tablar; ","")&amp;IF(AND(BP243=0,OR(CA243=1,AA243&lt;&gt;"",U243&lt;&gt;"",V243&lt;&gt;"",AB243&lt;&gt;"")),"manuell übersteuert; ","")&amp;IF(AND(BT243=0,R243=0),"Gebinde unbekannt / Stellmass fehlt; ","")&amp;IF(AND(BT243=0,N(V243)&lt;=0,N(Q243)&lt;=0),"Menge pro Gebinde fehlt (Ist = 1 Gebinde); ","")&amp;BO243)</f>
        <v>Kein Verbrauch; </v>
      </c>
      <c r="BH243" s="55"/>
      <c r="BI243" s="55"/>
      <c r="BJ243" s="62"/>
      <c r="BK243" s="57" t="n">
        <v>5</v>
      </c>
      <c r="BL243" s="57" t="n">
        <v>23</v>
      </c>
      <c r="BM243" s="56" t="n">
        <v>541.25</v>
      </c>
      <c r="BN243" s="57" t="n">
        <v>0</v>
      </c>
      <c r="BO243" s="55"/>
      <c r="BP243" s="60" t="n">
        <v>0</v>
      </c>
      <c r="BQ243" s="60" t="n">
        <v>243</v>
      </c>
      <c r="BR243" s="55" t="str">
        <f aca="false">IF(U243&lt;&gt;"",UPPER(TRIM(U243)),IF(BU243=1,UPPER(VLOOKUP(T243,Parameter!$I$27:$K$29,2,0)),IF(P243="","LOSE",P243)))</f>
        <v>S63</v>
      </c>
      <c r="BS243" s="57" t="n">
        <f aca="false">IF(BR243="LOSE",1,IF(N(V243)&gt;0,V243,IF(BU243=1,MAX(1,N(VLOOKUP(T243,Parameter!$I$27:$K$29,3,0)),H243,N(N243)),IF(N(Q243)&gt;0,Q243,MAX(1,H243)))))</f>
        <v>30</v>
      </c>
      <c r="BT243" s="60" t="n">
        <f aca="false">IF(BR243="LOSE",1,0)</f>
        <v>0</v>
      </c>
      <c r="BU243" s="60" t="n">
        <f aca="false">IF(AND(U243="",OR(P243="",P243="LOSE"),T243&lt;&gt;"",N(S243)&lt;=0,ISNUMBER(MATCH(T243,Parameter!$I$27:$I$29,0))),1,0)</f>
        <v>0</v>
      </c>
      <c r="BV243" s="55" t="str">
        <f aca="false">IF(AND(Parameter!$B$19="Ja",E243&lt;&gt;"",ISNUMBER(MATCH(E243,Parameter!$I$35:$I$52,0))),VLOOKUP(E243,Parameter!$I$35:$J$52,2,0),IFERROR(VLOOKUP(D243,Parameter!$A$35:$C$64,2,0),"Nein"))</f>
        <v>2+3</v>
      </c>
      <c r="BW243" s="59" t="n">
        <f aca="false">IF(BT243=0,0,IF(N(S243)&gt;0,S243,IFERROR(VLOOKUP(D243,Parameter!$A$35:$C$64,3,0)+0,0)))</f>
        <v>0</v>
      </c>
      <c r="BX243" s="55" t="n">
        <f aca="false">IF(AA243&lt;&gt;"",AA243,Z243)</f>
        <v>2</v>
      </c>
      <c r="BY243" s="55" t="str">
        <f aca="false">IF(BX243=1,"L1",IF(OR(BX243=2,BX243=3),"L23",IF(BX243="Aussen","Aussen","-")))</f>
        <v>L23</v>
      </c>
      <c r="BZ243" s="66" t="n">
        <f aca="false">IF(N(AB243)&gt;0,AB243,0)</f>
        <v>0</v>
      </c>
      <c r="CA243" s="60" t="n">
        <f aca="false">IF(ISNUMBER(AE243),1,0)</f>
        <v>0</v>
      </c>
      <c r="CB243" s="57" t="n">
        <f aca="false">N(AE243)</f>
        <v>0</v>
      </c>
      <c r="CC243" s="57" t="n">
        <f aca="false">N(M243)+N(N243)</f>
        <v>1</v>
      </c>
      <c r="CD243" s="57" t="n">
        <f aca="false">ROUNDUP(H243/BS243,0)</f>
        <v>1</v>
      </c>
      <c r="CE243" s="57" t="n">
        <f aca="false">ROUNDUP(CB243/BS243,0)</f>
        <v>0</v>
      </c>
      <c r="CF243" s="60" t="n">
        <f aca="false">IF(BT243=1,0,IFERROR(VLOOKUP(BR243,'Gebinde-Kategorie'!$A$5:$M$45,5,0)+0,0))</f>
        <v>31</v>
      </c>
      <c r="CG243" s="60" t="n">
        <f aca="false">IFERROR(IF(OR(BX243=1,BX243=2,BX243=3),N(INDEX(Parameter!$I$5:$I$7,BX243)),0),0)</f>
        <v>0</v>
      </c>
      <c r="CH243" s="59" t="n">
        <f aca="false">IF(AND(Parameter!$B$21="Ja",ISNUMBER(W243),N(X243)&gt;0),IFERROR(N(INDEX(Parameter!$L$5:$L$7,W243))*INDEX(Parameter!$E$5:$E$7,W243)*X243/SUMIFS($X$7:$X$1843,$W$7:$W$1843,W243),0),0)</f>
        <v>0</v>
      </c>
    </row>
    <row r="244" customFormat="false" ht="15" hidden="false" customHeight="false" outlineLevel="0" collapsed="false">
      <c r="A244" s="55" t="s">
        <v>674</v>
      </c>
      <c r="B244" s="55" t="s">
        <v>468</v>
      </c>
      <c r="C244" s="55" t="s">
        <v>164</v>
      </c>
      <c r="D244" s="55" t="s">
        <v>184</v>
      </c>
      <c r="E244" s="55" t="s">
        <v>185</v>
      </c>
      <c r="F244" s="55" t="s">
        <v>218</v>
      </c>
      <c r="G244" s="56" t="n">
        <v>0.81</v>
      </c>
      <c r="H244" s="57" t="n">
        <f aca="false">MAX(0,IF(AND(Parameter!$B$21="Ja",ISNUMBER(Y244)),Y244,IF(Parameter!$B$20="Jahresanfang 2025 + Export",BL244+BK244,BK244)))</f>
        <v>1034</v>
      </c>
      <c r="I244" s="57" t="n">
        <f aca="false">H244*G244</f>
        <v>837.54</v>
      </c>
      <c r="J244" s="57" t="n">
        <f aca="false">BN244*Parameter!$B$18</f>
        <v>1638</v>
      </c>
      <c r="K244" s="58" t="n">
        <v>432.5</v>
      </c>
      <c r="L244" s="59" t="n">
        <v>3.78728323699422</v>
      </c>
      <c r="M244" s="57" t="n">
        <v>63</v>
      </c>
      <c r="N244" s="57" t="n">
        <v>1640</v>
      </c>
      <c r="O244" s="60" t="n">
        <v>14</v>
      </c>
      <c r="P244" s="55" t="s">
        <v>302</v>
      </c>
      <c r="Q244" s="57" t="n">
        <v>961</v>
      </c>
      <c r="R244" s="60" t="n">
        <f aca="false">IF(BT244=1,0,IFERROR(VLOOKUP(BR244,'Gebinde-Kategorie'!$A$5:$M$45,13,0)+0,0))</f>
        <v>26</v>
      </c>
      <c r="S244" s="61"/>
      <c r="T244" s="62"/>
      <c r="U244" s="62"/>
      <c r="V244" s="62"/>
      <c r="W244" s="55"/>
      <c r="X244" s="57"/>
      <c r="Y244" s="57"/>
      <c r="Z244" s="55" t="n">
        <f aca="false">IF(A244="","",IF(AND(Parameter!$B$21="Ja",ISNUMBER(W244)),W244,IF(BV244="2+3",IF(ISNUMBER(SEARCH("grosser Artikel",BO244)),2,IFERROR(VLOOKUP(BR244,Parameter!$F$35:$G$64,2,0),2)),IF(OR(BV244="Nein",BV244=""),"-",BV244))))</f>
        <v>3</v>
      </c>
      <c r="AA244" s="62"/>
      <c r="AB244" s="63"/>
      <c r="AC244" s="57" t="n">
        <f aca="false">AR244</f>
        <v>1922</v>
      </c>
      <c r="AD244" s="57" t="n">
        <f aca="false">MAX(AR244,H244)</f>
        <v>1922</v>
      </c>
      <c r="AE244" s="64"/>
      <c r="AF244" s="57" t="n">
        <f aca="false">IF(LEFT(Cockpit!$C$5,1)="A",H244,IF(CA244=1,CB244,IF(LEFT(Cockpit!$C$5,1)="B",AJ244,MAX(AJ244,H244))))</f>
        <v>1034</v>
      </c>
      <c r="AG244" s="57" t="n">
        <f aca="false">IF(BT244=1,0,ROUNDUP(AF244/BS244,0))</f>
        <v>2</v>
      </c>
      <c r="AH244" s="59" t="n">
        <f aca="false">IF(CH244&gt;0,CH244*MAX(1,AF244/X244),IF(BT244=1,IF(AF244&lt;=0,0,BW244*MAX(1,IF(H244&gt;0,AF244/H244,1))),IF(R244&gt;0,AG244/R244,0))/MAX(0.1,N(Parameter!$M$21)))</f>
        <v>0.0769230769230769</v>
      </c>
      <c r="AI244" s="57" t="n">
        <f aca="false">AF244*G244</f>
        <v>837.54</v>
      </c>
      <c r="AJ244" s="57" t="n">
        <f aca="false">ROUNDUP(MAX(J244/IF(BZ244&gt;0,BZ244,MAX(0.1,N(Cockpit!$C$6))),CC244)/BS244,0)*BS244</f>
        <v>1922</v>
      </c>
      <c r="AK244" s="58" t="n">
        <f aca="false">IF(AH244&gt;0,J244/AH244,-1)</f>
        <v>21294</v>
      </c>
      <c r="AL244" s="58" t="n">
        <f aca="false">IF(AND(OR(BY244="L1",BY244="L23"),AH244&gt;0),SUMIFS($AH$7:$AH$1843,$BY$7:$BY$1843,BY244,$AK$7:$AK$1843,"&gt;"&amp;AK244)+SUMIFS($AH$7:$AH$1843,$BY$7:$BY$1843,BY244,$AK$7:$AK$1843,AK244,$BQ$7:$BQ$1843,"&lt;="&amp;BQ244),"")</f>
        <v>3.62149927367319</v>
      </c>
      <c r="AM244" s="65" t="n">
        <f aca="false">IF(AL244="",0,MAX(0,MIN(1,(IF(BY244="L1",Parameter!$E$5,Parameter!$E$6+Parameter!$E$7)-(AL244-AH244))/AH244)))</f>
        <v>1</v>
      </c>
      <c r="AN244" s="57" t="n">
        <f aca="false">IF(LEFT(Cockpit!$I$5,1)="A",H244,IF(CA244=1,CB244,IF(LEFT(Cockpit!$I$5,1)="B",AR244,MAX(AR244,H244))))</f>
        <v>1922</v>
      </c>
      <c r="AO244" s="57" t="n">
        <f aca="false">IF(BT244=1,0,ROUNDUP(AN244/BS244,0))</f>
        <v>2</v>
      </c>
      <c r="AP244" s="59" t="n">
        <f aca="false">IF(CH244&gt;0,CH244*MAX(1,AN244/X244),IF(BT244=1,IF(AN244&lt;=0,0,BW244*MAX(1,IF(H244&gt;0,AN244/H244,1))),IF(R244&gt;0,AO244/R244,0))/MAX(0.1,N(Parameter!$M$21)))</f>
        <v>0.0769230769230769</v>
      </c>
      <c r="AQ244" s="57" t="n">
        <f aca="false">AN244*G244</f>
        <v>1556.82</v>
      </c>
      <c r="AR244" s="57" t="n">
        <f aca="false">ROUNDUP(MAX(J244/IF(BZ244&gt;0,BZ244,MAX(0.1,N(Cockpit!$I$6))),CC244)/BS244,0)*BS244</f>
        <v>1922</v>
      </c>
      <c r="AS244" s="58" t="n">
        <f aca="false">IF(AP244&gt;0,J244/AP244,-1)</f>
        <v>21294</v>
      </c>
      <c r="AT244" s="58" t="n">
        <f aca="false">IF(AND(OR(BY244="L1",BY244="L23"),AP244&gt;0),SUMIFS($AP$7:$AP$1843,$BY$7:$BY$1843,BY244,$AS$7:$AS$1843,"&gt;"&amp;AS244)+SUMIFS($AP$7:$AP$1843,$BY$7:$BY$1843,BY244,$AS$7:$AS$1843,AS244,$BQ$7:$BQ$1843,"&lt;="&amp;BQ244),"")</f>
        <v>4.15178541265498</v>
      </c>
      <c r="AU244" s="65" t="n">
        <f aca="false">IF(AT244="",0,MAX(0,MIN(1,(IF(BY244="L1",Parameter!$E$5,Parameter!$E$6+Parameter!$E$7)-(AT244-AP244))/AP244)))</f>
        <v>1</v>
      </c>
      <c r="AV244" s="57" t="n">
        <f aca="false">IF(LEFT(Cockpit!$O$5,1)="A",H244,IF(CA244=1,CB244,IF(LEFT(Cockpit!$O$5,1)="B",AZ244,MAX(AZ244,H244))))</f>
        <v>1922</v>
      </c>
      <c r="AW244" s="57" t="n">
        <f aca="false">IF(BT244=1,0,ROUNDUP(AV244/BS244,0))</f>
        <v>2</v>
      </c>
      <c r="AX244" s="59" t="n">
        <f aca="false">IF(CH244&gt;0,CH244*MAX(1,AV244/X244),IF(BT244=1,IF(AV244&lt;=0,0,BW244*MAX(1,IF(H244&gt;0,AV244/H244,1))),IF(R244&gt;0,AW244/R244,0))/MAX(0.1,N(Parameter!$M$21)))</f>
        <v>0.0769230769230769</v>
      </c>
      <c r="AY244" s="57" t="n">
        <f aca="false">AV244*G244</f>
        <v>1556.82</v>
      </c>
      <c r="AZ244" s="57" t="n">
        <f aca="false">ROUNDUP(MAX(J244/IF(BZ244&gt;0,BZ244,MAX(0.1,N(Cockpit!$O$6))),CC244)/BS244,0)*BS244</f>
        <v>1922</v>
      </c>
      <c r="BA244" s="58" t="n">
        <f aca="false">IF(AX244&gt;0,J244/AX244,-1)</f>
        <v>21294</v>
      </c>
      <c r="BB244" s="58" t="n">
        <f aca="false">IF(AND(OR(BY244="L1",BY244="L23"),AX244&gt;0),SUMIFS($AX$7:$AX$1843,$BY$7:$BY$1843,BY244,$BA$7:$BA$1843,"&gt;"&amp;BA244)+SUMIFS($AX$7:$AX$1843,$BY$7:$BY$1843,BY244,$BA$7:$BA$1843,BA244,$BQ$7:$BQ$1843,"&lt;="&amp;BQ244),"")</f>
        <v>3.78931455018412</v>
      </c>
      <c r="BC244" s="65" t="n">
        <f aca="false">IF(BB244="",0,MAX(0,MIN(1,(IF(BY244="L1",Parameter!$E$5,Parameter!$E$6+Parameter!$E$7)-(BB244-AX244))/AX244)))</f>
        <v>1</v>
      </c>
      <c r="BD244" s="55" t="str">
        <f aca="false">IF(AH244&lt;=0,"",IF(BY244="Aussen","Aussenlager",IF(BY244="-","Nicht im Lift",IF(AM244&gt;=1,"Lift",IF(AM244&lt;=0,"Aussenlager","teilweise")))))</f>
        <v>Lift</v>
      </c>
      <c r="BE244" s="55" t="str">
        <f aca="false">IF(AP244&lt;=0,"",IF(BY244="Aussen","Aussenlager",IF(BY244="-","Nicht im Lift",IF(AU244&gt;=1,"Lift",IF(AU244&lt;=0,"Aussenlager","teilweise")))))</f>
        <v>Lift</v>
      </c>
      <c r="BF244" s="55" t="str">
        <f aca="false">IF(AX244&lt;=0,"",IF(BY244="Aussen","Aussenlager",IF(BY244="-","Nicht im Lift",IF(BC244&gt;=1,"Lift",IF(BC244&lt;=0,"Aussenlager","teilweise")))))</f>
        <v>Lift</v>
      </c>
      <c r="BG244" s="55" t="str">
        <f aca="false">IF(A244="","",IF(BP244=1,"Neu; ","")&amp;IF(AND(BP244=0,BK244&lt;0),"negativer Bestand (Export "&amp;BK244&amp;"); ","")&amp;IF(J244&lt;=0,"Kein Verbrauch; ","")&amp;IF(CH244&gt;0,"Lift "&amp;W244&amp;" lt. Liftbericht (Fach "&amp;X244&amp;" Stk); ",IF(BU244=1,"Gebinde geschätzt ("&amp;T244&amp;"); ",IF(BT244=1,"Lose – Tablare geschätzt; ","")))&amp;IF(H244&gt;AR244,"Überbestand "&amp;ROUND(H244-AR244,0)&amp;" Stk / CHF "&amp;ROUND((H244-AR244)*G244,0)&amp;"; ","")&amp;IF(AND(CA244=1,CB244&lt;CC244),"MAX &lt; MB+LG; ","")&amp;IF(AND(CG244&gt;0,CF244*10&gt;CG244),"zu hoch für Tablar; ","")&amp;IF(AND(BP244=0,OR(CA244=1,AA244&lt;&gt;"",U244&lt;&gt;"",V244&lt;&gt;"",AB244&lt;&gt;"")),"manuell übersteuert; ","")&amp;IF(AND(BT244=0,R244=0),"Gebinde unbekannt / Stellmass fehlt; ","")&amp;IF(AND(BT244=0,N(V244)&lt;=0,N(Q244)&lt;=0),"Menge pro Gebinde fehlt (Ist = 1 Gebinde); ","")&amp;BO244)</f>
        <v/>
      </c>
      <c r="BH244" s="55"/>
      <c r="BI244" s="55"/>
      <c r="BJ244" s="62"/>
      <c r="BK244" s="57" t="n">
        <v>663</v>
      </c>
      <c r="BL244" s="57" t="n">
        <v>371</v>
      </c>
      <c r="BM244" s="56" t="n">
        <v>540.659999999999</v>
      </c>
      <c r="BN244" s="57" t="n">
        <v>1638</v>
      </c>
      <c r="BO244" s="55"/>
      <c r="BP244" s="60" t="n">
        <v>0</v>
      </c>
      <c r="BQ244" s="60" t="n">
        <v>244</v>
      </c>
      <c r="BR244" s="55" t="str">
        <f aca="false">IF(U244&lt;&gt;"",UPPER(TRIM(U244)),IF(BU244=1,UPPER(VLOOKUP(T244,Parameter!$I$27:$K$29,2,0)),IF(P244="","LOSE",P244)))</f>
        <v>S51</v>
      </c>
      <c r="BS244" s="57" t="n">
        <f aca="false">IF(BR244="LOSE",1,IF(N(V244)&gt;0,V244,IF(BU244=1,MAX(1,N(VLOOKUP(T244,Parameter!$I$27:$K$29,3,0)),H244,N(N244)),IF(N(Q244)&gt;0,Q244,MAX(1,H244)))))</f>
        <v>961</v>
      </c>
      <c r="BT244" s="60" t="n">
        <f aca="false">IF(BR244="LOSE",1,0)</f>
        <v>0</v>
      </c>
      <c r="BU244" s="60" t="n">
        <f aca="false">IF(AND(U244="",OR(P244="",P244="LOSE"),T244&lt;&gt;"",N(S244)&lt;=0,ISNUMBER(MATCH(T244,Parameter!$I$27:$I$29,0))),1,0)</f>
        <v>0</v>
      </c>
      <c r="BV244" s="55" t="str">
        <f aca="false">IF(AND(Parameter!$B$19="Ja",E244&lt;&gt;"",ISNUMBER(MATCH(E244,Parameter!$I$35:$I$52,0))),VLOOKUP(E244,Parameter!$I$35:$J$52,2,0),IFERROR(VLOOKUP(D244,Parameter!$A$35:$C$64,2,0),"Nein"))</f>
        <v>2+3</v>
      </c>
      <c r="BW244" s="59" t="n">
        <f aca="false">IF(BT244=0,0,IF(N(S244)&gt;0,S244,IFERROR(VLOOKUP(D244,Parameter!$A$35:$C$64,3,0)+0,0)))</f>
        <v>0</v>
      </c>
      <c r="BX244" s="55" t="n">
        <f aca="false">IF(AA244&lt;&gt;"",AA244,Z244)</f>
        <v>3</v>
      </c>
      <c r="BY244" s="55" t="str">
        <f aca="false">IF(BX244=1,"L1",IF(OR(BX244=2,BX244=3),"L23",IF(BX244="Aussen","Aussen","-")))</f>
        <v>L23</v>
      </c>
      <c r="BZ244" s="66" t="n">
        <f aca="false">IF(N(AB244)&gt;0,AB244,0)</f>
        <v>0</v>
      </c>
      <c r="CA244" s="60" t="n">
        <f aca="false">IF(ISNUMBER(AE244),1,0)</f>
        <v>0</v>
      </c>
      <c r="CB244" s="57" t="n">
        <f aca="false">N(AE244)</f>
        <v>0</v>
      </c>
      <c r="CC244" s="57" t="n">
        <f aca="false">N(M244)+N(N244)</f>
        <v>1703</v>
      </c>
      <c r="CD244" s="57" t="n">
        <f aca="false">ROUNDUP(H244/BS244,0)</f>
        <v>2</v>
      </c>
      <c r="CE244" s="57" t="n">
        <f aca="false">ROUNDUP(CB244/BS244,0)</f>
        <v>0</v>
      </c>
      <c r="CF244" s="60" t="n">
        <f aca="false">IF(BT244=1,0,IFERROR(VLOOKUP(BR244,'Gebinde-Kategorie'!$A$5:$M$45,5,0)+0,0))</f>
        <v>11</v>
      </c>
      <c r="CG244" s="60" t="n">
        <f aca="false">IFERROR(IF(OR(BX244=1,BX244=2,BX244=3),N(INDEX(Parameter!$I$5:$I$7,BX244)),0),0)</f>
        <v>0</v>
      </c>
      <c r="CH244" s="59" t="n">
        <f aca="false">IF(AND(Parameter!$B$21="Ja",ISNUMBER(W244),N(X244)&gt;0),IFERROR(N(INDEX(Parameter!$L$5:$L$7,W244))*INDEX(Parameter!$E$5:$E$7,W244)*X244/SUMIFS($X$7:$X$1843,$W$7:$W$1843,W244),0),0)</f>
        <v>0</v>
      </c>
    </row>
    <row r="245" customFormat="false" ht="15" hidden="false" customHeight="false" outlineLevel="0" collapsed="false">
      <c r="A245" s="55" t="s">
        <v>675</v>
      </c>
      <c r="B245" s="55" t="s">
        <v>676</v>
      </c>
      <c r="C245" s="55" t="s">
        <v>164</v>
      </c>
      <c r="D245" s="55" t="s">
        <v>184</v>
      </c>
      <c r="E245" s="55"/>
      <c r="F245" s="55" t="s">
        <v>218</v>
      </c>
      <c r="G245" s="56" t="n">
        <v>44.7</v>
      </c>
      <c r="H245" s="57" t="n">
        <f aca="false">MAX(0,IF(AND(Parameter!$B$21="Ja",ISNUMBER(Y245)),Y245,IF(Parameter!$B$20="Jahresanfang 2025 + Export",BL245+BK245,BK245)))</f>
        <v>65</v>
      </c>
      <c r="I245" s="57" t="n">
        <f aca="false">H245*G245</f>
        <v>2905.5</v>
      </c>
      <c r="J245" s="57" t="n">
        <f aca="false">BN245*Parameter!$B$18</f>
        <v>1</v>
      </c>
      <c r="K245" s="58" t="n">
        <v>49</v>
      </c>
      <c r="L245" s="59" t="n">
        <v>0.0204081632653061</v>
      </c>
      <c r="M245" s="57" t="n">
        <v>0</v>
      </c>
      <c r="N245" s="57" t="n">
        <v>1</v>
      </c>
      <c r="O245" s="60" t="n">
        <v>63</v>
      </c>
      <c r="P245" s="55" t="s">
        <v>293</v>
      </c>
      <c r="Q245" s="57" t="n">
        <v>50</v>
      </c>
      <c r="R245" s="60" t="n">
        <f aca="false">IF(BT245=1,0,IFERROR(VLOOKUP(BR245,'Gebinde-Kategorie'!$A$5:$M$45,13,0)+0,0))</f>
        <v>12</v>
      </c>
      <c r="S245" s="61"/>
      <c r="T245" s="62"/>
      <c r="U245" s="62"/>
      <c r="V245" s="62"/>
      <c r="W245" s="55"/>
      <c r="X245" s="57"/>
      <c r="Y245" s="57"/>
      <c r="Z245" s="55" t="n">
        <f aca="false">IF(A245="","",IF(AND(Parameter!$B$21="Ja",ISNUMBER(W245)),W245,IF(BV245="2+3",IF(ISNUMBER(SEARCH("grosser Artikel",BO245)),2,IFERROR(VLOOKUP(BR245,Parameter!$F$35:$G$64,2,0),2)),IF(OR(BV245="Nein",BV245=""),"-",BV245))))</f>
        <v>2</v>
      </c>
      <c r="AA245" s="62"/>
      <c r="AB245" s="63"/>
      <c r="AC245" s="57" t="n">
        <f aca="false">AR245</f>
        <v>50</v>
      </c>
      <c r="AD245" s="57" t="n">
        <f aca="false">MAX(AR245,H245)</f>
        <v>65</v>
      </c>
      <c r="AE245" s="64"/>
      <c r="AF245" s="57" t="n">
        <f aca="false">IF(LEFT(Cockpit!$C$5,1)="A",H245,IF(CA245=1,CB245,IF(LEFT(Cockpit!$C$5,1)="B",AJ245,MAX(AJ245,H245))))</f>
        <v>65</v>
      </c>
      <c r="AG245" s="57" t="n">
        <f aca="false">IF(BT245=1,0,ROUNDUP(AF245/BS245,0))</f>
        <v>2</v>
      </c>
      <c r="AH245" s="59" t="n">
        <f aca="false">IF(CH245&gt;0,CH245*MAX(1,AF245/X245),IF(BT245=1,IF(AF245&lt;=0,0,BW245*MAX(1,IF(H245&gt;0,AF245/H245,1))),IF(R245&gt;0,AG245/R245,0))/MAX(0.1,N(Parameter!$M$21)))</f>
        <v>0.166666666666667</v>
      </c>
      <c r="AI245" s="57" t="n">
        <f aca="false">AF245*G245</f>
        <v>2905.5</v>
      </c>
      <c r="AJ245" s="57" t="n">
        <f aca="false">ROUNDUP(MAX(J245/IF(BZ245&gt;0,BZ245,MAX(0.1,N(Cockpit!$C$6))),CC245)/BS245,0)*BS245</f>
        <v>50</v>
      </c>
      <c r="AK245" s="58" t="n">
        <f aca="false">IF(AH245&gt;0,J245/AH245,-1)</f>
        <v>6</v>
      </c>
      <c r="AL245" s="58" t="n">
        <f aca="false">IF(AND(OR(BY245="L1",BY245="L23"),AH245&gt;0),SUMIFS($AH$7:$AH$1843,$BY$7:$BY$1843,BY245,$AK$7:$AK$1843,"&gt;"&amp;AK245)+SUMIFS($AH$7:$AH$1843,$BY$7:$BY$1843,BY245,$AK$7:$AK$1843,AK245,$BQ$7:$BQ$1843,"&lt;="&amp;BQ245),"")</f>
        <v>56.3125401168879</v>
      </c>
      <c r="AM245" s="65" t="n">
        <f aca="false">IF(AL245="",0,MAX(0,MIN(1,(IF(BY245="L1",Parameter!$E$5,Parameter!$E$6+Parameter!$E$7)-(AL245-AH245))/AH245)))</f>
        <v>1</v>
      </c>
      <c r="AN245" s="57" t="n">
        <f aca="false">IF(LEFT(Cockpit!$I$5,1)="A",H245,IF(CA245=1,CB245,IF(LEFT(Cockpit!$I$5,1)="B",AR245,MAX(AR245,H245))))</f>
        <v>65</v>
      </c>
      <c r="AO245" s="57" t="n">
        <f aca="false">IF(BT245=1,0,ROUNDUP(AN245/BS245,0))</f>
        <v>2</v>
      </c>
      <c r="AP245" s="59" t="n">
        <f aca="false">IF(CH245&gt;0,CH245*MAX(1,AN245/X245),IF(BT245=1,IF(AN245&lt;=0,0,BW245*MAX(1,IF(H245&gt;0,AN245/H245,1))),IF(R245&gt;0,AO245/R245,0))/MAX(0.1,N(Parameter!$M$21)))</f>
        <v>0.166666666666667</v>
      </c>
      <c r="AQ245" s="57" t="n">
        <f aca="false">AN245*G245</f>
        <v>2905.5</v>
      </c>
      <c r="AR245" s="57" t="n">
        <f aca="false">ROUNDUP(MAX(J245/IF(BZ245&gt;0,BZ245,MAX(0.1,N(Cockpit!$I$6))),CC245)/BS245,0)*BS245</f>
        <v>50</v>
      </c>
      <c r="AS245" s="58" t="n">
        <f aca="false">IF(AP245&gt;0,J245/AP245,-1)</f>
        <v>6</v>
      </c>
      <c r="AT245" s="58" t="n">
        <f aca="false">IF(AND(OR(BY245="L1",BY245="L23"),AP245&gt;0),SUMIFS($AP$7:$AP$1843,$BY$7:$BY$1843,BY245,$AS$7:$AS$1843,"&gt;"&amp;AS245)+SUMIFS($AP$7:$AP$1843,$BY$7:$BY$1843,BY245,$AS$7:$AS$1843,AS245,$BQ$7:$BQ$1843,"&lt;="&amp;BQ245),"")</f>
        <v>92.569997635215</v>
      </c>
      <c r="AU245" s="65" t="n">
        <f aca="false">IF(AT245="",0,MAX(0,MIN(1,(IF(BY245="L1",Parameter!$E$5,Parameter!$E$6+Parameter!$E$7)-(AT245-AP245))/AP245)))</f>
        <v>1</v>
      </c>
      <c r="AV245" s="57" t="n">
        <f aca="false">IF(LEFT(Cockpit!$O$5,1)="A",H245,IF(CA245=1,CB245,IF(LEFT(Cockpit!$O$5,1)="B",AZ245,MAX(AZ245,H245))))</f>
        <v>65</v>
      </c>
      <c r="AW245" s="57" t="n">
        <f aca="false">IF(BT245=1,0,ROUNDUP(AV245/BS245,0))</f>
        <v>2</v>
      </c>
      <c r="AX245" s="59" t="n">
        <f aca="false">IF(CH245&gt;0,CH245*MAX(1,AV245/X245),IF(BT245=1,IF(AV245&lt;=0,0,BW245*MAX(1,IF(H245&gt;0,AV245/H245,1))),IF(R245&gt;0,AW245/R245,0))/MAX(0.1,N(Parameter!$M$21)))</f>
        <v>0.166666666666667</v>
      </c>
      <c r="AY245" s="57" t="n">
        <f aca="false">AV245*G245</f>
        <v>2905.5</v>
      </c>
      <c r="AZ245" s="57" t="n">
        <f aca="false">ROUNDUP(MAX(J245/IF(BZ245&gt;0,BZ245,MAX(0.1,N(Cockpit!$O$6))),CC245)/BS245,0)*BS245</f>
        <v>50</v>
      </c>
      <c r="BA245" s="58" t="n">
        <f aca="false">IF(AX245&gt;0,J245/AX245,-1)</f>
        <v>6</v>
      </c>
      <c r="BB245" s="58" t="n">
        <f aca="false">IF(AND(OR(BY245="L1",BY245="L23"),AX245&gt;0),SUMIFS($AX$7:$AX$1843,$BY$7:$BY$1843,BY245,$BA$7:$BA$1843,"&gt;"&amp;BA245)+SUMIFS($AX$7:$AX$1843,$BY$7:$BY$1843,BY245,$BA$7:$BA$1843,BA245,$BQ$7:$BQ$1843,"&lt;="&amp;BQ245),"")</f>
        <v>83.3998344650519</v>
      </c>
      <c r="BC245" s="65" t="n">
        <f aca="false">IF(BB245="",0,MAX(0,MIN(1,(IF(BY245="L1",Parameter!$E$5,Parameter!$E$6+Parameter!$E$7)-(BB245-AX245))/AX245)))</f>
        <v>1</v>
      </c>
      <c r="BD245" s="55" t="str">
        <f aca="false">IF(AH245&lt;=0,"",IF(BY245="Aussen","Aussenlager",IF(BY245="-","Nicht im Lift",IF(AM245&gt;=1,"Lift",IF(AM245&lt;=0,"Aussenlager","teilweise")))))</f>
        <v>Lift</v>
      </c>
      <c r="BE245" s="55" t="str">
        <f aca="false">IF(AP245&lt;=0,"",IF(BY245="Aussen","Aussenlager",IF(BY245="-","Nicht im Lift",IF(AU245&gt;=1,"Lift",IF(AU245&lt;=0,"Aussenlager","teilweise")))))</f>
        <v>Lift</v>
      </c>
      <c r="BF245" s="55" t="str">
        <f aca="false">IF(AX245&lt;=0,"",IF(BY245="Aussen","Aussenlager",IF(BY245="-","Nicht im Lift",IF(BC245&gt;=1,"Lift",IF(BC245&lt;=0,"Aussenlager","teilweise")))))</f>
        <v>Lift</v>
      </c>
      <c r="BG245" s="55" t="str">
        <f aca="false">IF(A245="","",IF(BP245=1,"Neu; ","")&amp;IF(AND(BP245=0,BK245&lt;0),"negativer Bestand (Export "&amp;BK245&amp;"); ","")&amp;IF(J245&lt;=0,"Kein Verbrauch; ","")&amp;IF(CH245&gt;0,"Lift "&amp;W245&amp;" lt. Liftbericht (Fach "&amp;X245&amp;" Stk); ",IF(BU245=1,"Gebinde geschätzt ("&amp;T245&amp;"); ",IF(BT245=1,"Lose – Tablare geschätzt; ","")))&amp;IF(H245&gt;AR245,"Überbestand "&amp;ROUND(H245-AR245,0)&amp;" Stk / CHF "&amp;ROUND((H245-AR245)*G245,0)&amp;"; ","")&amp;IF(AND(CA245=1,CB245&lt;CC245),"MAX &lt; MB+LG; ","")&amp;IF(AND(CG245&gt;0,CF245*10&gt;CG245),"zu hoch für Tablar; ","")&amp;IF(AND(BP245=0,OR(CA245=1,AA245&lt;&gt;"",U245&lt;&gt;"",V245&lt;&gt;"",AB245&lt;&gt;"")),"manuell übersteuert; ","")&amp;IF(AND(BT245=0,R245=0),"Gebinde unbekannt / Stellmass fehlt; ","")&amp;IF(AND(BT245=0,N(V245)&lt;=0,N(Q245)&lt;=0),"Menge pro Gebinde fehlt (Ist = 1 Gebinde); ","")&amp;BO245)</f>
        <v>Überbestand 15 Stk / CHF 671; </v>
      </c>
      <c r="BH245" s="55"/>
      <c r="BI245" s="55"/>
      <c r="BJ245" s="62"/>
      <c r="BK245" s="57" t="n">
        <v>16</v>
      </c>
      <c r="BL245" s="57" t="n">
        <v>49</v>
      </c>
      <c r="BM245" s="56" t="n">
        <v>529.74</v>
      </c>
      <c r="BN245" s="57" t="n">
        <v>1</v>
      </c>
      <c r="BO245" s="55"/>
      <c r="BP245" s="60" t="n">
        <v>0</v>
      </c>
      <c r="BQ245" s="60" t="n">
        <v>245</v>
      </c>
      <c r="BR245" s="55" t="str">
        <f aca="false">IF(U245&lt;&gt;"",UPPER(TRIM(U245)),IF(BU245=1,UPPER(VLOOKUP(T245,Parameter!$I$27:$K$29,2,0)),IF(P245="","LOSE",P245)))</f>
        <v>S62</v>
      </c>
      <c r="BS245" s="57" t="n">
        <f aca="false">IF(BR245="LOSE",1,IF(N(V245)&gt;0,V245,IF(BU245=1,MAX(1,N(VLOOKUP(T245,Parameter!$I$27:$K$29,3,0)),H245,N(N245)),IF(N(Q245)&gt;0,Q245,MAX(1,H245)))))</f>
        <v>50</v>
      </c>
      <c r="BT245" s="60" t="n">
        <f aca="false">IF(BR245="LOSE",1,0)</f>
        <v>0</v>
      </c>
      <c r="BU245" s="60" t="n">
        <f aca="false">IF(AND(U245="",OR(P245="",P245="LOSE"),T245&lt;&gt;"",N(S245)&lt;=0,ISNUMBER(MATCH(T245,Parameter!$I$27:$I$29,0))),1,0)</f>
        <v>0</v>
      </c>
      <c r="BV245" s="55" t="str">
        <f aca="false">IF(AND(Parameter!$B$19="Ja",E245&lt;&gt;"",ISNUMBER(MATCH(E245,Parameter!$I$35:$I$52,0))),VLOOKUP(E245,Parameter!$I$35:$J$52,2,0),IFERROR(VLOOKUP(D245,Parameter!$A$35:$C$64,2,0),"Nein"))</f>
        <v>2+3</v>
      </c>
      <c r="BW245" s="59" t="n">
        <f aca="false">IF(BT245=0,0,IF(N(S245)&gt;0,S245,IFERROR(VLOOKUP(D245,Parameter!$A$35:$C$64,3,0)+0,0)))</f>
        <v>0</v>
      </c>
      <c r="BX245" s="55" t="n">
        <f aca="false">IF(AA245&lt;&gt;"",AA245,Z245)</f>
        <v>2</v>
      </c>
      <c r="BY245" s="55" t="str">
        <f aca="false">IF(BX245=1,"L1",IF(OR(BX245=2,BX245=3),"L23",IF(BX245="Aussen","Aussen","-")))</f>
        <v>L23</v>
      </c>
      <c r="BZ245" s="66" t="n">
        <f aca="false">IF(N(AB245)&gt;0,AB245,0)</f>
        <v>0</v>
      </c>
      <c r="CA245" s="60" t="n">
        <f aca="false">IF(ISNUMBER(AE245),1,0)</f>
        <v>0</v>
      </c>
      <c r="CB245" s="57" t="n">
        <f aca="false">N(AE245)</f>
        <v>0</v>
      </c>
      <c r="CC245" s="57" t="n">
        <f aca="false">N(M245)+N(N245)</f>
        <v>1</v>
      </c>
      <c r="CD245" s="57" t="n">
        <f aca="false">ROUNDUP(H245/BS245,0)</f>
        <v>2</v>
      </c>
      <c r="CE245" s="57" t="n">
        <f aca="false">ROUNDUP(CB245/BS245,0)</f>
        <v>0</v>
      </c>
      <c r="CF245" s="60" t="n">
        <f aca="false">IF(BT245=1,0,IFERROR(VLOOKUP(BR245,'Gebinde-Kategorie'!$A$5:$M$45,5,0)+0,0))</f>
        <v>21</v>
      </c>
      <c r="CG245" s="60" t="n">
        <f aca="false">IFERROR(IF(OR(BX245=1,BX245=2,BX245=3),N(INDEX(Parameter!$I$5:$I$7,BX245)),0),0)</f>
        <v>0</v>
      </c>
      <c r="CH245" s="59" t="n">
        <f aca="false">IF(AND(Parameter!$B$21="Ja",ISNUMBER(W245),N(X245)&gt;0),IFERROR(N(INDEX(Parameter!$L$5:$L$7,W245))*INDEX(Parameter!$E$5:$E$7,W245)*X245/SUMIFS($X$7:$X$1843,$W$7:$W$1843,W245),0),0)</f>
        <v>0</v>
      </c>
    </row>
    <row r="246" customFormat="false" ht="15" hidden="false" customHeight="false" outlineLevel="0" collapsed="false">
      <c r="A246" s="55" t="s">
        <v>677</v>
      </c>
      <c r="B246" s="55" t="s">
        <v>367</v>
      </c>
      <c r="C246" s="55" t="s">
        <v>164</v>
      </c>
      <c r="D246" s="55" t="s">
        <v>173</v>
      </c>
      <c r="E246" s="55" t="s">
        <v>166</v>
      </c>
      <c r="F246" s="55" t="s">
        <v>218</v>
      </c>
      <c r="G246" s="56" t="n">
        <v>520</v>
      </c>
      <c r="H246" s="57" t="n">
        <f aca="false">MAX(0,IF(AND(Parameter!$B$21="Ja",ISNUMBER(Y246)),Y246,IF(Parameter!$B$20="Jahresanfang 2025 + Export",BL246+BK246,BK246)))</f>
        <v>1</v>
      </c>
      <c r="I246" s="57" t="n">
        <f aca="false">H246*G246</f>
        <v>520</v>
      </c>
      <c r="J246" s="57" t="n">
        <f aca="false">BN246*Parameter!$B$18</f>
        <v>1</v>
      </c>
      <c r="K246" s="58" t="n">
        <v>0.5</v>
      </c>
      <c r="L246" s="59" t="n">
        <v>2</v>
      </c>
      <c r="M246" s="57" t="n">
        <v>0</v>
      </c>
      <c r="N246" s="57" t="n">
        <v>1</v>
      </c>
      <c r="O246" s="60" t="n">
        <v>28</v>
      </c>
      <c r="P246" s="55" t="s">
        <v>168</v>
      </c>
      <c r="Q246" s="57"/>
      <c r="R246" s="60" t="n">
        <f aca="false">IF(BT246=1,0,IFERROR(VLOOKUP(BR246,'Gebinde-Kategorie'!$A$5:$M$45,13,0)+0,0))</f>
        <v>0</v>
      </c>
      <c r="S246" s="61"/>
      <c r="T246" s="62"/>
      <c r="U246" s="62"/>
      <c r="V246" s="62"/>
      <c r="W246" s="55" t="n">
        <v>1</v>
      </c>
      <c r="X246" s="57" t="n">
        <v>1</v>
      </c>
      <c r="Y246" s="57" t="n">
        <v>1</v>
      </c>
      <c r="Z246" s="55" t="n">
        <f aca="false">IF(A246="","",IF(AND(Parameter!$B$21="Ja",ISNUMBER(W246)),W246,IF(BV246="2+3",IF(ISNUMBER(SEARCH("grosser Artikel",BO246)),2,IFERROR(VLOOKUP(BR246,Parameter!$F$35:$G$64,2,0),2)),IF(OR(BV246="Nein",BV246=""),"-",BV246))))</f>
        <v>1</v>
      </c>
      <c r="AA246" s="62"/>
      <c r="AB246" s="63"/>
      <c r="AC246" s="57" t="n">
        <f aca="false">AR246</f>
        <v>1</v>
      </c>
      <c r="AD246" s="57" t="n">
        <f aca="false">MAX(AR246,H246)</f>
        <v>1</v>
      </c>
      <c r="AE246" s="64"/>
      <c r="AF246" s="57" t="n">
        <f aca="false">IF(LEFT(Cockpit!$C$5,1)="A",H246,IF(CA246=1,CB246,IF(LEFT(Cockpit!$C$5,1)="B",AJ246,MAX(AJ246,H246))))</f>
        <v>1</v>
      </c>
      <c r="AG246" s="57" t="n">
        <f aca="false">IF(BT246=1,0,ROUNDUP(AF246/BS246,0))</f>
        <v>0</v>
      </c>
      <c r="AH246" s="59" t="n">
        <f aca="false">IF(CH246&gt;0,CH246*MAX(1,AF246/X246),IF(BT246=1,IF(AF246&lt;=0,0,BW246*MAX(1,IF(H246&gt;0,AF246/H246,1))),IF(R246&gt;0,AG246/R246,0))/MAX(0.1,N(Parameter!$M$21)))</f>
        <v>0.0800376647834275</v>
      </c>
      <c r="AI246" s="57" t="n">
        <f aca="false">AF246*G246</f>
        <v>520</v>
      </c>
      <c r="AJ246" s="57" t="n">
        <f aca="false">ROUNDUP(MAX(J246/IF(BZ246&gt;0,BZ246,MAX(0.1,N(Cockpit!$C$6))),CC246)/BS246,0)*BS246</f>
        <v>1</v>
      </c>
      <c r="AK246" s="58" t="n">
        <f aca="false">IF(AH246&gt;0,J246/AH246,-1)</f>
        <v>12.4941176470588</v>
      </c>
      <c r="AL246" s="58" t="n">
        <f aca="false">IF(AND(OR(BY246="L1",BY246="L23"),AH246&gt;0),SUMIFS($AH$7:$AH$1843,$BY$7:$BY$1843,BY246,$AK$7:$AK$1843,"&gt;"&amp;AK246)+SUMIFS($AH$7:$AH$1843,$BY$7:$BY$1843,BY246,$AK$7:$AK$1843,AK246,$BQ$7:$BQ$1843,"&lt;="&amp;BQ246),"")</f>
        <v>29.9269189829249</v>
      </c>
      <c r="AM246" s="65" t="n">
        <f aca="false">IF(AL246="",0,MAX(0,MIN(1,(IF(BY246="L1",Parameter!$E$5,Parameter!$E$6+Parameter!$E$7)-(AL246-AH246))/AH246)))</f>
        <v>1</v>
      </c>
      <c r="AN246" s="57" t="n">
        <f aca="false">IF(LEFT(Cockpit!$I$5,1)="A",H246,IF(CA246=1,CB246,IF(LEFT(Cockpit!$I$5,1)="B",AR246,MAX(AR246,H246))))</f>
        <v>1</v>
      </c>
      <c r="AO246" s="57" t="n">
        <f aca="false">IF(BT246=1,0,ROUNDUP(AN246/BS246,0))</f>
        <v>0</v>
      </c>
      <c r="AP246" s="59" t="n">
        <f aca="false">IF(CH246&gt;0,CH246*MAX(1,AN246/X246),IF(BT246=1,IF(AN246&lt;=0,0,BW246*MAX(1,IF(H246&gt;0,AN246/H246,1))),IF(R246&gt;0,AO246/R246,0))/MAX(0.1,N(Parameter!$M$21)))</f>
        <v>0.0800376647834275</v>
      </c>
      <c r="AQ246" s="57" t="n">
        <f aca="false">AN246*G246</f>
        <v>520</v>
      </c>
      <c r="AR246" s="57" t="n">
        <f aca="false">ROUNDUP(MAX(J246/IF(BZ246&gt;0,BZ246,MAX(0.1,N(Cockpit!$I$6))),CC246)/BS246,0)*BS246</f>
        <v>1</v>
      </c>
      <c r="AS246" s="58" t="n">
        <f aca="false">IF(AP246&gt;0,J246/AP246,-1)</f>
        <v>12.4941176470588</v>
      </c>
      <c r="AT246" s="58" t="n">
        <f aca="false">IF(AND(OR(BY246="L1",BY246="L23"),AP246&gt;0),SUMIFS($AP$7:$AP$1843,$BY$7:$BY$1843,BY246,$AS$7:$AS$1843,"&gt;"&amp;AS246)+SUMIFS($AP$7:$AP$1843,$BY$7:$BY$1843,BY246,$AS$7:$AS$1843,AS246,$BQ$7:$BQ$1843,"&lt;="&amp;BQ246),"")</f>
        <v>44.946403265121</v>
      </c>
      <c r="AU246" s="65" t="n">
        <f aca="false">IF(AT246="",0,MAX(0,MIN(1,(IF(BY246="L1",Parameter!$E$5,Parameter!$E$6+Parameter!$E$7)-(AT246-AP246))/AP246)))</f>
        <v>1</v>
      </c>
      <c r="AV246" s="57" t="n">
        <f aca="false">IF(LEFT(Cockpit!$O$5,1)="A",H246,IF(CA246=1,CB246,IF(LEFT(Cockpit!$O$5,1)="B",AZ246,MAX(AZ246,H246))))</f>
        <v>1</v>
      </c>
      <c r="AW246" s="57" t="n">
        <f aca="false">IF(BT246=1,0,ROUNDUP(AV246/BS246,0))</f>
        <v>0</v>
      </c>
      <c r="AX246" s="59" t="n">
        <f aca="false">IF(CH246&gt;0,CH246*MAX(1,AV246/X246),IF(BT246=1,IF(AV246&lt;=0,0,BW246*MAX(1,IF(H246&gt;0,AV246/H246,1))),IF(R246&gt;0,AW246/R246,0))/MAX(0.1,N(Parameter!$M$21)))</f>
        <v>0.0800376647834275</v>
      </c>
      <c r="AY246" s="57" t="n">
        <f aca="false">AV246*G246</f>
        <v>520</v>
      </c>
      <c r="AZ246" s="57" t="n">
        <f aca="false">ROUNDUP(MAX(J246/IF(BZ246&gt;0,BZ246,MAX(0.1,N(Cockpit!$O$6))),CC246)/BS246,0)*BS246</f>
        <v>1</v>
      </c>
      <c r="BA246" s="58" t="n">
        <f aca="false">IF(AX246&gt;0,J246/AX246,-1)</f>
        <v>12.4941176470588</v>
      </c>
      <c r="BB246" s="58" t="n">
        <f aca="false">IF(AND(OR(BY246="L1",BY246="L23"),AX246&gt;0),SUMIFS($AX$7:$AX$1843,$BY$7:$BY$1843,BY246,$BA$7:$BA$1843,"&gt;"&amp;BA246)+SUMIFS($AX$7:$AX$1843,$BY$7:$BY$1843,BY246,$BA$7:$BA$1843,BA246,$BQ$7:$BQ$1843,"&lt;="&amp;BQ246),"")</f>
        <v>38.6132147963393</v>
      </c>
      <c r="BC246" s="65" t="n">
        <f aca="false">IF(BB246="",0,MAX(0,MIN(1,(IF(BY246="L1",Parameter!$E$5,Parameter!$E$6+Parameter!$E$7)-(BB246-AX246))/AX246)))</f>
        <v>1</v>
      </c>
      <c r="BD246" s="55" t="str">
        <f aca="false">IF(AH246&lt;=0,"",IF(BY246="Aussen","Aussenlager",IF(BY246="-","Nicht im Lift",IF(AM246&gt;=1,"Lift",IF(AM246&lt;=0,"Aussenlager","teilweise")))))</f>
        <v>Lift</v>
      </c>
      <c r="BE246" s="55" t="str">
        <f aca="false">IF(AP246&lt;=0,"",IF(BY246="Aussen","Aussenlager",IF(BY246="-","Nicht im Lift",IF(AU246&gt;=1,"Lift",IF(AU246&lt;=0,"Aussenlager","teilweise")))))</f>
        <v>Lift</v>
      </c>
      <c r="BF246" s="55" t="str">
        <f aca="false">IF(AX246&lt;=0,"",IF(BY246="Aussen","Aussenlager",IF(BY246="-","Nicht im Lift",IF(BC246&gt;=1,"Lift",IF(BC246&lt;=0,"Aussenlager","teilweise")))))</f>
        <v>Lift</v>
      </c>
      <c r="BG246" s="55" t="str">
        <f aca="false">IF(A246="","",IF(BP246=1,"Neu; ","")&amp;IF(AND(BP246=0,BK246&lt;0),"negativer Bestand (Export "&amp;BK246&amp;"); ","")&amp;IF(J246&lt;=0,"Kein Verbrauch; ","")&amp;IF(CH246&gt;0,"Lift "&amp;W246&amp;" lt. Liftbericht (Fach "&amp;X246&amp;" Stk); ",IF(BU246=1,"Gebinde geschätzt ("&amp;T246&amp;"); ",IF(BT246=1,"Lose – Tablare geschätzt; ","")))&amp;IF(H246&gt;AR246,"Überbestand "&amp;ROUND(H246-AR246,0)&amp;" Stk / CHF "&amp;ROUND((H246-AR246)*G246,0)&amp;"; ","")&amp;IF(AND(CA246=1,CB246&lt;CC246),"MAX &lt; MB+LG; ","")&amp;IF(AND(CG246&gt;0,CF246*10&gt;CG246),"zu hoch für Tablar; ","")&amp;IF(AND(BP246=0,OR(CA246=1,AA246&lt;&gt;"",U246&lt;&gt;"",V246&lt;&gt;"",AB246&lt;&gt;"")),"manuell übersteuert; ","")&amp;IF(AND(BT246=0,R246=0),"Gebinde unbekannt / Stellmass fehlt; ","")&amp;IF(AND(BT246=0,N(V246)&lt;=0,N(Q246)&lt;=0),"Menge pro Gebinde fehlt (Ist = 1 Gebinde); ","")&amp;BO246)</f>
        <v>Lift 1 lt. Liftbericht (Fach 1 Stk); </v>
      </c>
      <c r="BH246" s="55"/>
      <c r="BI246" s="55"/>
      <c r="BJ246" s="62"/>
      <c r="BK246" s="57" t="n">
        <v>1</v>
      </c>
      <c r="BL246" s="57" t="n">
        <v>0</v>
      </c>
      <c r="BM246" s="56" t="n">
        <v>520</v>
      </c>
      <c r="BN246" s="57" t="n">
        <v>1</v>
      </c>
      <c r="BO246" s="55"/>
      <c r="BP246" s="60" t="n">
        <v>0</v>
      </c>
      <c r="BQ246" s="60" t="n">
        <v>246</v>
      </c>
      <c r="BR246" s="55" t="str">
        <f aca="false">IF(U246&lt;&gt;"",UPPER(TRIM(U246)),IF(BU246=1,UPPER(VLOOKUP(T246,Parameter!$I$27:$K$29,2,0)),IF(P246="","LOSE",P246)))</f>
        <v>LOSE</v>
      </c>
      <c r="BS246" s="57" t="n">
        <f aca="false">IF(BR246="LOSE",1,IF(N(V246)&gt;0,V246,IF(BU246=1,MAX(1,N(VLOOKUP(T246,Parameter!$I$27:$K$29,3,0)),H246,N(N246)),IF(N(Q246)&gt;0,Q246,MAX(1,H246)))))</f>
        <v>1</v>
      </c>
      <c r="BT246" s="60" t="n">
        <f aca="false">IF(BR246="LOSE",1,0)</f>
        <v>1</v>
      </c>
      <c r="BU246" s="60" t="n">
        <f aca="false">IF(AND(U246="",OR(P246="",P246="LOSE"),T246&lt;&gt;"",N(S246)&lt;=0,ISNUMBER(MATCH(T246,Parameter!$I$27:$I$29,0))),1,0)</f>
        <v>0</v>
      </c>
      <c r="BV246" s="55" t="n">
        <f aca="false">IF(AND(Parameter!$B$19="Ja",E246&lt;&gt;"",ISNUMBER(MATCH(E246,Parameter!$I$35:$I$52,0))),VLOOKUP(E246,Parameter!$I$35:$J$52,2,0),IFERROR(VLOOKUP(D246,Parameter!$A$35:$C$64,2,0),"Nein"))</f>
        <v>1</v>
      </c>
      <c r="BW246" s="59" t="n">
        <f aca="false">IF(BT246=0,0,IF(N(S246)&gt;0,S246,IFERROR(VLOOKUP(D246,Parameter!$A$35:$C$64,3,0)+0,0)))</f>
        <v>0.15</v>
      </c>
      <c r="BX246" s="55" t="n">
        <f aca="false">IF(AA246&lt;&gt;"",AA246,Z246)</f>
        <v>1</v>
      </c>
      <c r="BY246" s="55" t="str">
        <f aca="false">IF(BX246=1,"L1",IF(OR(BX246=2,BX246=3),"L23",IF(BX246="Aussen","Aussen","-")))</f>
        <v>L1</v>
      </c>
      <c r="BZ246" s="66" t="n">
        <f aca="false">IF(N(AB246)&gt;0,AB246,0)</f>
        <v>0</v>
      </c>
      <c r="CA246" s="60" t="n">
        <f aca="false">IF(ISNUMBER(AE246),1,0)</f>
        <v>0</v>
      </c>
      <c r="CB246" s="57" t="n">
        <f aca="false">N(AE246)</f>
        <v>0</v>
      </c>
      <c r="CC246" s="57" t="n">
        <f aca="false">N(M246)+N(N246)</f>
        <v>1</v>
      </c>
      <c r="CD246" s="57" t="n">
        <f aca="false">ROUNDUP(H246/BS246,0)</f>
        <v>1</v>
      </c>
      <c r="CE246" s="57" t="n">
        <f aca="false">ROUNDUP(CB246/BS246,0)</f>
        <v>0</v>
      </c>
      <c r="CF246" s="60" t="n">
        <f aca="false">IF(BT246=1,0,IFERROR(VLOOKUP(BR246,'Gebinde-Kategorie'!$A$5:$M$45,5,0)+0,0))</f>
        <v>0</v>
      </c>
      <c r="CG246" s="60" t="n">
        <f aca="false">IFERROR(IF(OR(BX246=1,BX246=2,BX246=3),N(INDEX(Parameter!$I$5:$I$7,BX246)),0),0)</f>
        <v>0</v>
      </c>
      <c r="CH246" s="59" t="n">
        <f aca="false">IF(AND(Parameter!$B$21="Ja",ISNUMBER(W246),N(X246)&gt;0),IFERROR(N(INDEX(Parameter!$L$5:$L$7,W246))*INDEX(Parameter!$E$5:$E$7,W246)*X246/SUMIFS($X$7:$X$1843,$W$7:$W$1843,W246),0),0)</f>
        <v>0.0800376647834275</v>
      </c>
    </row>
    <row r="247" customFormat="false" ht="15" hidden="false" customHeight="false" outlineLevel="0" collapsed="false">
      <c r="A247" s="55" t="s">
        <v>678</v>
      </c>
      <c r="B247" s="55" t="s">
        <v>679</v>
      </c>
      <c r="C247" s="55" t="s">
        <v>164</v>
      </c>
      <c r="D247" s="55" t="s">
        <v>184</v>
      </c>
      <c r="E247" s="55" t="s">
        <v>185</v>
      </c>
      <c r="F247" s="55" t="s">
        <v>218</v>
      </c>
      <c r="G247" s="56" t="n">
        <v>37</v>
      </c>
      <c r="H247" s="57" t="n">
        <f aca="false">MAX(0,IF(AND(Parameter!$B$21="Ja",ISNUMBER(Y247)),Y247,IF(Parameter!$B$20="Jahresanfang 2025 + Export",BL247+BK247,BK247)))</f>
        <v>14</v>
      </c>
      <c r="I247" s="57" t="n">
        <f aca="false">H247*G247</f>
        <v>518</v>
      </c>
      <c r="J247" s="57" t="n">
        <f aca="false">BN247*Parameter!$B$18</f>
        <v>1</v>
      </c>
      <c r="K247" s="58" t="n">
        <v>7</v>
      </c>
      <c r="L247" s="59" t="n">
        <v>0.142857142857143</v>
      </c>
      <c r="M247" s="57" t="n">
        <v>0</v>
      </c>
      <c r="N247" s="57" t="n">
        <v>1</v>
      </c>
      <c r="O247" s="60" t="n">
        <v>35</v>
      </c>
      <c r="P247" s="55" t="s">
        <v>426</v>
      </c>
      <c r="Q247" s="57" t="n">
        <v>8</v>
      </c>
      <c r="R247" s="60" t="n">
        <f aca="false">IF(BT247=1,0,IFERROR(VLOOKUP(BR247,'Gebinde-Kategorie'!$A$5:$M$45,13,0)+0,0))</f>
        <v>198</v>
      </c>
      <c r="S247" s="61"/>
      <c r="T247" s="62"/>
      <c r="U247" s="62"/>
      <c r="V247" s="62"/>
      <c r="W247" s="55"/>
      <c r="X247" s="57"/>
      <c r="Y247" s="57"/>
      <c r="Z247" s="55" t="n">
        <f aca="false">IF(A247="","",IF(AND(Parameter!$B$21="Ja",ISNUMBER(W247)),W247,IF(BV247="2+3",IF(ISNUMBER(SEARCH("grosser Artikel",BO247)),2,IFERROR(VLOOKUP(BR247,Parameter!$F$35:$G$64,2,0),2)),IF(OR(BV247="Nein",BV247=""),"-",BV247))))</f>
        <v>3</v>
      </c>
      <c r="AA247" s="62"/>
      <c r="AB247" s="63"/>
      <c r="AC247" s="57" t="n">
        <f aca="false">AR247</f>
        <v>8</v>
      </c>
      <c r="AD247" s="57" t="n">
        <f aca="false">MAX(AR247,H247)</f>
        <v>14</v>
      </c>
      <c r="AE247" s="64"/>
      <c r="AF247" s="57" t="n">
        <f aca="false">IF(LEFT(Cockpit!$C$5,1)="A",H247,IF(CA247=1,CB247,IF(LEFT(Cockpit!$C$5,1)="B",AJ247,MAX(AJ247,H247))))</f>
        <v>14</v>
      </c>
      <c r="AG247" s="57" t="n">
        <f aca="false">IF(BT247=1,0,ROUNDUP(AF247/BS247,0))</f>
        <v>2</v>
      </c>
      <c r="AH247" s="59" t="n">
        <f aca="false">IF(CH247&gt;0,CH247*MAX(1,AF247/X247),IF(BT247=1,IF(AF247&lt;=0,0,BW247*MAX(1,IF(H247&gt;0,AF247/H247,1))),IF(R247&gt;0,AG247/R247,0))/MAX(0.1,N(Parameter!$M$21)))</f>
        <v>0.0101010101010101</v>
      </c>
      <c r="AI247" s="57" t="n">
        <f aca="false">AF247*G247</f>
        <v>518</v>
      </c>
      <c r="AJ247" s="57" t="n">
        <f aca="false">ROUNDUP(MAX(J247/IF(BZ247&gt;0,BZ247,MAX(0.1,N(Cockpit!$C$6))),CC247)/BS247,0)*BS247</f>
        <v>8</v>
      </c>
      <c r="AK247" s="58" t="n">
        <f aca="false">IF(AH247&gt;0,J247/AH247,-1)</f>
        <v>99</v>
      </c>
      <c r="AL247" s="58" t="n">
        <f aca="false">IF(AND(OR(BY247="L1",BY247="L23"),AH247&gt;0),SUMIFS($AH$7:$AH$1843,$BY$7:$BY$1843,BY247,$AK$7:$AK$1843,"&gt;"&amp;AK247)+SUMIFS($AH$7:$AH$1843,$BY$7:$BY$1843,BY247,$AK$7:$AK$1843,AK247,$BQ$7:$BQ$1843,"&lt;="&amp;BQ247),"")</f>
        <v>38.8712036755515</v>
      </c>
      <c r="AM247" s="65" t="n">
        <f aca="false">IF(AL247="",0,MAX(0,MIN(1,(IF(BY247="L1",Parameter!$E$5,Parameter!$E$6+Parameter!$E$7)-(AL247-AH247))/AH247)))</f>
        <v>1</v>
      </c>
      <c r="AN247" s="57" t="n">
        <f aca="false">IF(LEFT(Cockpit!$I$5,1)="A",H247,IF(CA247=1,CB247,IF(LEFT(Cockpit!$I$5,1)="B",AR247,MAX(AR247,H247))))</f>
        <v>14</v>
      </c>
      <c r="AO247" s="57" t="n">
        <f aca="false">IF(BT247=1,0,ROUNDUP(AN247/BS247,0))</f>
        <v>2</v>
      </c>
      <c r="AP247" s="59" t="n">
        <f aca="false">IF(CH247&gt;0,CH247*MAX(1,AN247/X247),IF(BT247=1,IF(AN247&lt;=0,0,BW247*MAX(1,IF(H247&gt;0,AN247/H247,1))),IF(R247&gt;0,AO247/R247,0))/MAX(0.1,N(Parameter!$M$21)))</f>
        <v>0.0101010101010101</v>
      </c>
      <c r="AQ247" s="57" t="n">
        <f aca="false">AN247*G247</f>
        <v>518</v>
      </c>
      <c r="AR247" s="57" t="n">
        <f aca="false">ROUNDUP(MAX(J247/IF(BZ247&gt;0,BZ247,MAX(0.1,N(Cockpit!$I$6))),CC247)/BS247,0)*BS247</f>
        <v>8</v>
      </c>
      <c r="AS247" s="58" t="n">
        <f aca="false">IF(AP247&gt;0,J247/AP247,-1)</f>
        <v>99</v>
      </c>
      <c r="AT247" s="58" t="n">
        <f aca="false">IF(AND(OR(BY247="L1",BY247="L23"),AP247&gt;0),SUMIFS($AP$7:$AP$1843,$BY$7:$BY$1843,BY247,$AS$7:$AS$1843,"&gt;"&amp;AS247)+SUMIFS($AP$7:$AP$1843,$BY$7:$BY$1843,BY247,$AS$7:$AS$1843,AS247,$BQ$7:$BQ$1843,"&lt;="&amp;BQ247),"")</f>
        <v>56.9305259957434</v>
      </c>
      <c r="AU247" s="65" t="n">
        <f aca="false">IF(AT247="",0,MAX(0,MIN(1,(IF(BY247="L1",Parameter!$E$5,Parameter!$E$6+Parameter!$E$7)-(AT247-AP247))/AP247)))</f>
        <v>1</v>
      </c>
      <c r="AV247" s="57" t="n">
        <f aca="false">IF(LEFT(Cockpit!$O$5,1)="A",H247,IF(CA247=1,CB247,IF(LEFT(Cockpit!$O$5,1)="B",AZ247,MAX(AZ247,H247))))</f>
        <v>14</v>
      </c>
      <c r="AW247" s="57" t="n">
        <f aca="false">IF(BT247=1,0,ROUNDUP(AV247/BS247,0))</f>
        <v>2</v>
      </c>
      <c r="AX247" s="59" t="n">
        <f aca="false">IF(CH247&gt;0,CH247*MAX(1,AV247/X247),IF(BT247=1,IF(AV247&lt;=0,0,BW247*MAX(1,IF(H247&gt;0,AV247/H247,1))),IF(R247&gt;0,AW247/R247,0))/MAX(0.1,N(Parameter!$M$21)))</f>
        <v>0.0101010101010101</v>
      </c>
      <c r="AY247" s="57" t="n">
        <f aca="false">AV247*G247</f>
        <v>518</v>
      </c>
      <c r="AZ247" s="57" t="n">
        <f aca="false">ROUNDUP(MAX(J247/IF(BZ247&gt;0,BZ247,MAX(0.1,N(Cockpit!$O$6))),CC247)/BS247,0)*BS247</f>
        <v>8</v>
      </c>
      <c r="BA247" s="58" t="n">
        <f aca="false">IF(AX247&gt;0,J247/AX247,-1)</f>
        <v>99</v>
      </c>
      <c r="BB247" s="58" t="n">
        <f aca="false">IF(AND(OR(BY247="L1",BY247="L23"),AX247&gt;0),SUMIFS($AX$7:$AX$1843,$BY$7:$BY$1843,BY247,$BA$7:$BA$1843,"&gt;"&amp;BA247)+SUMIFS($AX$7:$AX$1843,$BY$7:$BY$1843,BY247,$BA$7:$BA$1843,BA247,$BQ$7:$BQ$1843,"&lt;="&amp;BQ247),"")</f>
        <v>54.7603628255802</v>
      </c>
      <c r="BC247" s="65" t="n">
        <f aca="false">IF(BB247="",0,MAX(0,MIN(1,(IF(BY247="L1",Parameter!$E$5,Parameter!$E$6+Parameter!$E$7)-(BB247-AX247))/AX247)))</f>
        <v>1</v>
      </c>
      <c r="BD247" s="55" t="str">
        <f aca="false">IF(AH247&lt;=0,"",IF(BY247="Aussen","Aussenlager",IF(BY247="-","Nicht im Lift",IF(AM247&gt;=1,"Lift",IF(AM247&lt;=0,"Aussenlager","teilweise")))))</f>
        <v>Lift</v>
      </c>
      <c r="BE247" s="55" t="str">
        <f aca="false">IF(AP247&lt;=0,"",IF(BY247="Aussen","Aussenlager",IF(BY247="-","Nicht im Lift",IF(AU247&gt;=1,"Lift",IF(AU247&lt;=0,"Aussenlager","teilweise")))))</f>
        <v>Lift</v>
      </c>
      <c r="BF247" s="55" t="str">
        <f aca="false">IF(AX247&lt;=0,"",IF(BY247="Aussen","Aussenlager",IF(BY247="-","Nicht im Lift",IF(BC247&gt;=1,"Lift",IF(BC247&lt;=0,"Aussenlager","teilweise")))))</f>
        <v>Lift</v>
      </c>
      <c r="BG247" s="55" t="str">
        <f aca="false">IF(A247="","",IF(BP247=1,"Neu; ","")&amp;IF(AND(BP247=0,BK247&lt;0),"negativer Bestand (Export "&amp;BK247&amp;"); ","")&amp;IF(J247&lt;=0,"Kein Verbrauch; ","")&amp;IF(CH247&gt;0,"Lift "&amp;W247&amp;" lt. Liftbericht (Fach "&amp;X247&amp;" Stk); ",IF(BU247=1,"Gebinde geschätzt ("&amp;T247&amp;"); ",IF(BT247=1,"Lose – Tablare geschätzt; ","")))&amp;IF(H247&gt;AR247,"Überbestand "&amp;ROUND(H247-AR247,0)&amp;" Stk / CHF "&amp;ROUND((H247-AR247)*G247,0)&amp;"; ","")&amp;IF(AND(CA247=1,CB247&lt;CC247),"MAX &lt; MB+LG; ","")&amp;IF(AND(CG247&gt;0,CF247*10&gt;CG247),"zu hoch für Tablar; ","")&amp;IF(AND(BP247=0,OR(CA247=1,AA247&lt;&gt;"",U247&lt;&gt;"",V247&lt;&gt;"",AB247&lt;&gt;"")),"manuell übersteuert; ","")&amp;IF(AND(BT247=0,R247=0),"Gebinde unbekannt / Stellmass fehlt; ","")&amp;IF(AND(BT247=0,N(V247)&lt;=0,N(Q247)&lt;=0),"Menge pro Gebinde fehlt (Ist = 1 Gebinde); ","")&amp;BO247)</f>
        <v>Überbestand 6 Stk / CHF 222; </v>
      </c>
      <c r="BH247" s="55"/>
      <c r="BI247" s="55"/>
      <c r="BJ247" s="62"/>
      <c r="BK247" s="57" t="n">
        <v>14</v>
      </c>
      <c r="BL247" s="57" t="n">
        <v>0</v>
      </c>
      <c r="BM247" s="56" t="n">
        <v>518</v>
      </c>
      <c r="BN247" s="57" t="n">
        <v>1</v>
      </c>
      <c r="BO247" s="55"/>
      <c r="BP247" s="60" t="n">
        <v>0</v>
      </c>
      <c r="BQ247" s="60" t="n">
        <v>247</v>
      </c>
      <c r="BR247" s="55" t="str">
        <f aca="false">IF(U247&lt;&gt;"",UPPER(TRIM(U247)),IF(BU247=1,UPPER(VLOOKUP(T247,Parameter!$I$27:$K$29,2,0)),IF(P247="","LOSE",P247)))</f>
        <v>S22</v>
      </c>
      <c r="BS247" s="57" t="n">
        <f aca="false">IF(BR247="LOSE",1,IF(N(V247)&gt;0,V247,IF(BU247=1,MAX(1,N(VLOOKUP(T247,Parameter!$I$27:$K$29,3,0)),H247,N(N247)),IF(N(Q247)&gt;0,Q247,MAX(1,H247)))))</f>
        <v>8</v>
      </c>
      <c r="BT247" s="60" t="n">
        <f aca="false">IF(BR247="LOSE",1,0)</f>
        <v>0</v>
      </c>
      <c r="BU247" s="60" t="n">
        <f aca="false">IF(AND(U247="",OR(P247="",P247="LOSE"),T247&lt;&gt;"",N(S247)&lt;=0,ISNUMBER(MATCH(T247,Parameter!$I$27:$I$29,0))),1,0)</f>
        <v>0</v>
      </c>
      <c r="BV247" s="55" t="str">
        <f aca="false">IF(AND(Parameter!$B$19="Ja",E247&lt;&gt;"",ISNUMBER(MATCH(E247,Parameter!$I$35:$I$52,0))),VLOOKUP(E247,Parameter!$I$35:$J$52,2,0),IFERROR(VLOOKUP(D247,Parameter!$A$35:$C$64,2,0),"Nein"))</f>
        <v>2+3</v>
      </c>
      <c r="BW247" s="59" t="n">
        <f aca="false">IF(BT247=0,0,IF(N(S247)&gt;0,S247,IFERROR(VLOOKUP(D247,Parameter!$A$35:$C$64,3,0)+0,0)))</f>
        <v>0</v>
      </c>
      <c r="BX247" s="55" t="n">
        <f aca="false">IF(AA247&lt;&gt;"",AA247,Z247)</f>
        <v>3</v>
      </c>
      <c r="BY247" s="55" t="str">
        <f aca="false">IF(BX247=1,"L1",IF(OR(BX247=2,BX247=3),"L23",IF(BX247="Aussen","Aussen","-")))</f>
        <v>L23</v>
      </c>
      <c r="BZ247" s="66" t="n">
        <f aca="false">IF(N(AB247)&gt;0,AB247,0)</f>
        <v>0</v>
      </c>
      <c r="CA247" s="60" t="n">
        <f aca="false">IF(ISNUMBER(AE247),1,0)</f>
        <v>0</v>
      </c>
      <c r="CB247" s="57" t="n">
        <f aca="false">N(AE247)</f>
        <v>0</v>
      </c>
      <c r="CC247" s="57" t="n">
        <f aca="false">N(M247)+N(N247)</f>
        <v>1</v>
      </c>
      <c r="CD247" s="57" t="n">
        <f aca="false">ROUNDUP(H247/BS247,0)</f>
        <v>2</v>
      </c>
      <c r="CE247" s="57" t="n">
        <f aca="false">ROUNDUP(CB247/BS247,0)</f>
        <v>0</v>
      </c>
      <c r="CF247" s="60" t="n">
        <f aca="false">IF(BT247=1,0,IFERROR(VLOOKUP(BR247,'Gebinde-Kategorie'!$A$5:$M$45,5,0)+0,0))</f>
        <v>8</v>
      </c>
      <c r="CG247" s="60" t="n">
        <f aca="false">IFERROR(IF(OR(BX247=1,BX247=2,BX247=3),N(INDEX(Parameter!$I$5:$I$7,BX247)),0),0)</f>
        <v>0</v>
      </c>
      <c r="CH247" s="59" t="n">
        <f aca="false">IF(AND(Parameter!$B$21="Ja",ISNUMBER(W247),N(X247)&gt;0),IFERROR(N(INDEX(Parameter!$L$5:$L$7,W247))*INDEX(Parameter!$E$5:$E$7,W247)*X247/SUMIFS($X$7:$X$1843,$W$7:$W$1843,W247),0),0)</f>
        <v>0</v>
      </c>
    </row>
    <row r="248" customFormat="false" ht="15" hidden="false" customHeight="false" outlineLevel="0" collapsed="false">
      <c r="A248" s="55" t="s">
        <v>680</v>
      </c>
      <c r="B248" s="55" t="s">
        <v>681</v>
      </c>
      <c r="C248" s="55" t="s">
        <v>164</v>
      </c>
      <c r="D248" s="55" t="s">
        <v>184</v>
      </c>
      <c r="E248" s="55" t="s">
        <v>185</v>
      </c>
      <c r="F248" s="55" t="s">
        <v>218</v>
      </c>
      <c r="G248" s="56" t="n">
        <v>2.83</v>
      </c>
      <c r="H248" s="57" t="n">
        <f aca="false">MAX(0,IF(AND(Parameter!$B$21="Ja",ISNUMBER(Y248)),Y248,IF(Parameter!$B$20="Jahresanfang 2025 + Export",BL248+BK248,BK248)))</f>
        <v>337</v>
      </c>
      <c r="I248" s="57" t="n">
        <f aca="false">H248*G248</f>
        <v>953.71</v>
      </c>
      <c r="J248" s="57" t="n">
        <f aca="false">BN248*Parameter!$B$18</f>
        <v>300</v>
      </c>
      <c r="K248" s="58" t="n">
        <v>155</v>
      </c>
      <c r="L248" s="59" t="n">
        <v>1.93548387096774</v>
      </c>
      <c r="M248" s="57" t="n">
        <v>35</v>
      </c>
      <c r="N248" s="57" t="n">
        <v>300</v>
      </c>
      <c r="O248" s="60" t="n">
        <v>42</v>
      </c>
      <c r="P248" s="55" t="s">
        <v>476</v>
      </c>
      <c r="Q248" s="57" t="n">
        <v>150</v>
      </c>
      <c r="R248" s="60" t="n">
        <f aca="false">IF(BT248=1,0,IFERROR(VLOOKUP(BR248,'Gebinde-Kategorie'!$A$5:$M$45,13,0)+0,0))</f>
        <v>66</v>
      </c>
      <c r="S248" s="61"/>
      <c r="T248" s="62"/>
      <c r="U248" s="62"/>
      <c r="V248" s="62"/>
      <c r="W248" s="55"/>
      <c r="X248" s="57"/>
      <c r="Y248" s="57"/>
      <c r="Z248" s="55" t="n">
        <f aca="false">IF(A248="","",IF(AND(Parameter!$B$21="Ja",ISNUMBER(W248)),W248,IF(BV248="2+3",IF(ISNUMBER(SEARCH("grosser Artikel",BO248)),2,IFERROR(VLOOKUP(BR248,Parameter!$F$35:$G$64,2,0),2)),IF(OR(BV248="Nein",BV248=""),"-",BV248))))</f>
        <v>3</v>
      </c>
      <c r="AA248" s="62"/>
      <c r="AB248" s="63"/>
      <c r="AC248" s="57" t="n">
        <f aca="false">AR248</f>
        <v>450</v>
      </c>
      <c r="AD248" s="57" t="n">
        <f aca="false">MAX(AR248,H248)</f>
        <v>450</v>
      </c>
      <c r="AE248" s="64"/>
      <c r="AF248" s="57" t="n">
        <f aca="false">IF(LEFT(Cockpit!$C$5,1)="A",H248,IF(CA248=1,CB248,IF(LEFT(Cockpit!$C$5,1)="B",AJ248,MAX(AJ248,H248))))</f>
        <v>337</v>
      </c>
      <c r="AG248" s="57" t="n">
        <f aca="false">IF(BT248=1,0,ROUNDUP(AF248/BS248,0))</f>
        <v>3</v>
      </c>
      <c r="AH248" s="59" t="n">
        <f aca="false">IF(CH248&gt;0,CH248*MAX(1,AF248/X248),IF(BT248=1,IF(AF248&lt;=0,0,BW248*MAX(1,IF(H248&gt;0,AF248/H248,1))),IF(R248&gt;0,AG248/R248,0))/MAX(0.1,N(Parameter!$M$21)))</f>
        <v>0.0454545454545455</v>
      </c>
      <c r="AI248" s="57" t="n">
        <f aca="false">AF248*G248</f>
        <v>953.71</v>
      </c>
      <c r="AJ248" s="57" t="n">
        <f aca="false">ROUNDUP(MAX(J248/IF(BZ248&gt;0,BZ248,MAX(0.1,N(Cockpit!$C$6))),CC248)/BS248,0)*BS248</f>
        <v>450</v>
      </c>
      <c r="AK248" s="58" t="n">
        <f aca="false">IF(AH248&gt;0,J248/AH248,-1)</f>
        <v>6600</v>
      </c>
      <c r="AL248" s="58" t="n">
        <f aca="false">IF(AND(OR(BY248="L1",BY248="L23"),AH248&gt;0),SUMIFS($AH$7:$AH$1843,$BY$7:$BY$1843,BY248,$AK$7:$AK$1843,"&gt;"&amp;AK248)+SUMIFS($AH$7:$AH$1843,$BY$7:$BY$1843,BY248,$AK$7:$AK$1843,AK248,$BQ$7:$BQ$1843,"&lt;="&amp;BQ248),"")</f>
        <v>6.4580588493632</v>
      </c>
      <c r="AM248" s="65" t="n">
        <f aca="false">IF(AL248="",0,MAX(0,MIN(1,(IF(BY248="L1",Parameter!$E$5,Parameter!$E$6+Parameter!$E$7)-(AL248-AH248))/AH248)))</f>
        <v>1</v>
      </c>
      <c r="AN248" s="57" t="n">
        <f aca="false">IF(LEFT(Cockpit!$I$5,1)="A",H248,IF(CA248=1,CB248,IF(LEFT(Cockpit!$I$5,1)="B",AR248,MAX(AR248,H248))))</f>
        <v>450</v>
      </c>
      <c r="AO248" s="57" t="n">
        <f aca="false">IF(BT248=1,0,ROUNDUP(AN248/BS248,0))</f>
        <v>3</v>
      </c>
      <c r="AP248" s="59" t="n">
        <f aca="false">IF(CH248&gt;0,CH248*MAX(1,AN248/X248),IF(BT248=1,IF(AN248&lt;=0,0,BW248*MAX(1,IF(H248&gt;0,AN248/H248,1))),IF(R248&gt;0,AO248/R248,0))/MAX(0.1,N(Parameter!$M$21)))</f>
        <v>0.0454545454545455</v>
      </c>
      <c r="AQ248" s="57" t="n">
        <f aca="false">AN248*G248</f>
        <v>1273.5</v>
      </c>
      <c r="AR248" s="57" t="n">
        <f aca="false">ROUNDUP(MAX(J248/IF(BZ248&gt;0,BZ248,MAX(0.1,N(Cockpit!$I$6))),CC248)/BS248,0)*BS248</f>
        <v>450</v>
      </c>
      <c r="AS248" s="58" t="n">
        <f aca="false">IF(AP248&gt;0,J248/AP248,-1)</f>
        <v>6600</v>
      </c>
      <c r="AT248" s="58" t="n">
        <f aca="false">IF(AND(OR(BY248="L1",BY248="L23"),AP248&gt;0),SUMIFS($AP$7:$AP$1843,$BY$7:$BY$1843,BY248,$AS$7:$AS$1843,"&gt;"&amp;AS248)+SUMIFS($AP$7:$AP$1843,$BY$7:$BY$1843,BY248,$AS$7:$AS$1843,AS248,$BQ$7:$BQ$1843,"&lt;="&amp;BQ248),"")</f>
        <v>10.908955778521</v>
      </c>
      <c r="AU248" s="65" t="n">
        <f aca="false">IF(AT248="",0,MAX(0,MIN(1,(IF(BY248="L1",Parameter!$E$5,Parameter!$E$6+Parameter!$E$7)-(AT248-AP248))/AP248)))</f>
        <v>1</v>
      </c>
      <c r="AV248" s="57" t="n">
        <f aca="false">IF(LEFT(Cockpit!$O$5,1)="A",H248,IF(CA248=1,CB248,IF(LEFT(Cockpit!$O$5,1)="B",AZ248,MAX(AZ248,H248))))</f>
        <v>450</v>
      </c>
      <c r="AW248" s="57" t="n">
        <f aca="false">IF(BT248=1,0,ROUNDUP(AV248/BS248,0))</f>
        <v>3</v>
      </c>
      <c r="AX248" s="59" t="n">
        <f aca="false">IF(CH248&gt;0,CH248*MAX(1,AV248/X248),IF(BT248=1,IF(AV248&lt;=0,0,BW248*MAX(1,IF(H248&gt;0,AV248/H248,1))),IF(R248&gt;0,AW248/R248,0))/MAX(0.1,N(Parameter!$M$21)))</f>
        <v>0.0454545454545455</v>
      </c>
      <c r="AY248" s="57" t="n">
        <f aca="false">AV248*G248</f>
        <v>1273.5</v>
      </c>
      <c r="AZ248" s="57" t="n">
        <f aca="false">ROUNDUP(MAX(J248/IF(BZ248&gt;0,BZ248,MAX(0.1,N(Cockpit!$O$6))),CC248)/BS248,0)*BS248</f>
        <v>450</v>
      </c>
      <c r="BA248" s="58" t="n">
        <f aca="false">IF(AX248&gt;0,J248/AX248,-1)</f>
        <v>6600</v>
      </c>
      <c r="BB248" s="58" t="n">
        <f aca="false">IF(AND(OR(BY248="L1",BY248="L23"),AX248&gt;0),SUMIFS($AX$7:$AX$1843,$BY$7:$BY$1843,BY248,$BA$7:$BA$1843,"&gt;"&amp;BA248)+SUMIFS($AX$7:$AX$1843,$BY$7:$BY$1843,BY248,$BA$7:$BA$1843,BA248,$BQ$7:$BQ$1843,"&lt;="&amp;BQ248),"")</f>
        <v>9.47597209553731</v>
      </c>
      <c r="BC248" s="65" t="n">
        <f aca="false">IF(BB248="",0,MAX(0,MIN(1,(IF(BY248="L1",Parameter!$E$5,Parameter!$E$6+Parameter!$E$7)-(BB248-AX248))/AX248)))</f>
        <v>1</v>
      </c>
      <c r="BD248" s="55" t="str">
        <f aca="false">IF(AH248&lt;=0,"",IF(BY248="Aussen","Aussenlager",IF(BY248="-","Nicht im Lift",IF(AM248&gt;=1,"Lift",IF(AM248&lt;=0,"Aussenlager","teilweise")))))</f>
        <v>Lift</v>
      </c>
      <c r="BE248" s="55" t="str">
        <f aca="false">IF(AP248&lt;=0,"",IF(BY248="Aussen","Aussenlager",IF(BY248="-","Nicht im Lift",IF(AU248&gt;=1,"Lift",IF(AU248&lt;=0,"Aussenlager","teilweise")))))</f>
        <v>Lift</v>
      </c>
      <c r="BF248" s="55" t="str">
        <f aca="false">IF(AX248&lt;=0,"",IF(BY248="Aussen","Aussenlager",IF(BY248="-","Nicht im Lift",IF(BC248&gt;=1,"Lift",IF(BC248&lt;=0,"Aussenlager","teilweise")))))</f>
        <v>Lift</v>
      </c>
      <c r="BG248" s="55" t="str">
        <f aca="false">IF(A248="","",IF(BP248=1,"Neu; ","")&amp;IF(AND(BP248=0,BK248&lt;0),"negativer Bestand (Export "&amp;BK248&amp;"); ","")&amp;IF(J248&lt;=0,"Kein Verbrauch; ","")&amp;IF(CH248&gt;0,"Lift "&amp;W248&amp;" lt. Liftbericht (Fach "&amp;X248&amp;" Stk); ",IF(BU248=1,"Gebinde geschätzt ("&amp;T248&amp;"); ",IF(BT248=1,"Lose – Tablare geschätzt; ","")))&amp;IF(H248&gt;AR248,"Überbestand "&amp;ROUND(H248-AR248,0)&amp;" Stk / CHF "&amp;ROUND((H248-AR248)*G248,0)&amp;"; ","")&amp;IF(AND(CA248=1,CB248&lt;CC248),"MAX &lt; MB+LG; ","")&amp;IF(AND(CG248&gt;0,CF248*10&gt;CG248),"zu hoch für Tablar; ","")&amp;IF(AND(BP248=0,OR(CA248=1,AA248&lt;&gt;"",U248&lt;&gt;"",V248&lt;&gt;"",AB248&lt;&gt;"")),"manuell übersteuert; ","")&amp;IF(AND(BT248=0,R248=0),"Gebinde unbekannt / Stellmass fehlt; ","")&amp;IF(AND(BT248=0,N(V248)&lt;=0,N(Q248)&lt;=0),"Menge pro Gebinde fehlt (Ist = 1 Gebinde); ","")&amp;BO248)</f>
        <v>nicht im KTL vorhanden</v>
      </c>
      <c r="BH248" s="55"/>
      <c r="BI248" s="55"/>
      <c r="BJ248" s="62"/>
      <c r="BK248" s="57" t="n">
        <v>184</v>
      </c>
      <c r="BL248" s="57" t="n">
        <v>153</v>
      </c>
      <c r="BM248" s="56" t="n">
        <v>517.66</v>
      </c>
      <c r="BN248" s="57" t="n">
        <v>300</v>
      </c>
      <c r="BO248" s="55" t="s">
        <v>230</v>
      </c>
      <c r="BP248" s="60" t="n">
        <v>0</v>
      </c>
      <c r="BQ248" s="60" t="n">
        <v>248</v>
      </c>
      <c r="BR248" s="55" t="str">
        <f aca="false">IF(U248&lt;&gt;"",UPPER(TRIM(U248)),IF(BU248=1,UPPER(VLOOKUP(T248,Parameter!$I$27:$K$29,2,0)),IF(P248="","LOSE",P248)))</f>
        <v>S33</v>
      </c>
      <c r="BS248" s="57" t="n">
        <f aca="false">IF(BR248="LOSE",1,IF(N(V248)&gt;0,V248,IF(BU248=1,MAX(1,N(VLOOKUP(T248,Parameter!$I$27:$K$29,3,0)),H248,N(N248)),IF(N(Q248)&gt;0,Q248,MAX(1,H248)))))</f>
        <v>150</v>
      </c>
      <c r="BT248" s="60" t="n">
        <f aca="false">IF(BR248="LOSE",1,0)</f>
        <v>0</v>
      </c>
      <c r="BU248" s="60" t="n">
        <f aca="false">IF(AND(U248="",OR(P248="",P248="LOSE"),T248&lt;&gt;"",N(S248)&lt;=0,ISNUMBER(MATCH(T248,Parameter!$I$27:$I$29,0))),1,0)</f>
        <v>0</v>
      </c>
      <c r="BV248" s="55" t="str">
        <f aca="false">IF(AND(Parameter!$B$19="Ja",E248&lt;&gt;"",ISNUMBER(MATCH(E248,Parameter!$I$35:$I$52,0))),VLOOKUP(E248,Parameter!$I$35:$J$52,2,0),IFERROR(VLOOKUP(D248,Parameter!$A$35:$C$64,2,0),"Nein"))</f>
        <v>2+3</v>
      </c>
      <c r="BW248" s="59" t="n">
        <f aca="false">IF(BT248=0,0,IF(N(S248)&gt;0,S248,IFERROR(VLOOKUP(D248,Parameter!$A$35:$C$64,3,0)+0,0)))</f>
        <v>0</v>
      </c>
      <c r="BX248" s="55" t="n">
        <f aca="false">IF(AA248&lt;&gt;"",AA248,Z248)</f>
        <v>3</v>
      </c>
      <c r="BY248" s="55" t="str">
        <f aca="false">IF(BX248=1,"L1",IF(OR(BX248=2,BX248=3),"L23",IF(BX248="Aussen","Aussen","-")))</f>
        <v>L23</v>
      </c>
      <c r="BZ248" s="66" t="n">
        <f aca="false">IF(N(AB248)&gt;0,AB248,0)</f>
        <v>0</v>
      </c>
      <c r="CA248" s="60" t="n">
        <f aca="false">IF(ISNUMBER(AE248),1,0)</f>
        <v>0</v>
      </c>
      <c r="CB248" s="57" t="n">
        <f aca="false">N(AE248)</f>
        <v>0</v>
      </c>
      <c r="CC248" s="57" t="n">
        <f aca="false">N(M248)+N(N248)</f>
        <v>335</v>
      </c>
      <c r="CD248" s="57" t="n">
        <f aca="false">ROUNDUP(H248/BS248,0)</f>
        <v>3</v>
      </c>
      <c r="CE248" s="57" t="n">
        <f aca="false">ROUNDUP(CB248/BS248,0)</f>
        <v>0</v>
      </c>
      <c r="CF248" s="60" t="n">
        <f aca="false">IF(BT248=1,0,IFERROR(VLOOKUP(BR248,'Gebinde-Kategorie'!$A$5:$M$45,5,0)+0,0))</f>
        <v>8</v>
      </c>
      <c r="CG248" s="60" t="n">
        <f aca="false">IFERROR(IF(OR(BX248=1,BX248=2,BX248=3),N(INDEX(Parameter!$I$5:$I$7,BX248)),0),0)</f>
        <v>0</v>
      </c>
      <c r="CH248" s="59" t="n">
        <f aca="false">IF(AND(Parameter!$B$21="Ja",ISNUMBER(W248),N(X248)&gt;0),IFERROR(N(INDEX(Parameter!$L$5:$L$7,W248))*INDEX(Parameter!$E$5:$E$7,W248)*X248/SUMIFS($X$7:$X$1843,$W$7:$W$1843,W248),0),0)</f>
        <v>0</v>
      </c>
    </row>
    <row r="249" customFormat="false" ht="15" hidden="false" customHeight="false" outlineLevel="0" collapsed="false">
      <c r="A249" s="55" t="s">
        <v>682</v>
      </c>
      <c r="B249" s="55" t="s">
        <v>423</v>
      </c>
      <c r="C249" s="55" t="s">
        <v>164</v>
      </c>
      <c r="D249" s="55" t="s">
        <v>173</v>
      </c>
      <c r="E249" s="55" t="s">
        <v>173</v>
      </c>
      <c r="F249" s="55" t="s">
        <v>218</v>
      </c>
      <c r="G249" s="56" t="n">
        <v>126.31</v>
      </c>
      <c r="H249" s="57" t="n">
        <f aca="false">MAX(0,IF(AND(Parameter!$B$21="Ja",ISNUMBER(Y249)),Y249,IF(Parameter!$B$20="Jahresanfang 2025 + Export",BL249+BK249,BK249)))</f>
        <v>13</v>
      </c>
      <c r="I249" s="57" t="n">
        <f aca="false">H249*G249</f>
        <v>1642.03</v>
      </c>
      <c r="J249" s="57" t="n">
        <f aca="false">BN249*Parameter!$B$18</f>
        <v>43</v>
      </c>
      <c r="K249" s="58" t="n">
        <v>12.5</v>
      </c>
      <c r="L249" s="59" t="n">
        <v>3.44</v>
      </c>
      <c r="M249" s="57" t="n">
        <v>2</v>
      </c>
      <c r="N249" s="57" t="n">
        <v>6</v>
      </c>
      <c r="O249" s="60" t="n">
        <v>21</v>
      </c>
      <c r="P249" s="55" t="s">
        <v>259</v>
      </c>
      <c r="Q249" s="57" t="n">
        <v>12</v>
      </c>
      <c r="R249" s="60" t="n">
        <f aca="false">IF(BT249=1,0,IFERROR(VLOOKUP(BR249,'Gebinde-Kategorie'!$A$5:$M$45,13,0)+0,0))</f>
        <v>6</v>
      </c>
      <c r="S249" s="61"/>
      <c r="T249" s="62"/>
      <c r="U249" s="62"/>
      <c r="V249" s="62"/>
      <c r="W249" s="55"/>
      <c r="X249" s="57"/>
      <c r="Y249" s="57"/>
      <c r="Z249" s="55" t="str">
        <f aca="false">IF(A249="","",IF(AND(Parameter!$B$21="Ja",ISNUMBER(W249)),W249,IF(BV249="2+3",IF(ISNUMBER(SEARCH("grosser Artikel",BO249)),2,IFERROR(VLOOKUP(BR249,Parameter!$F$35:$G$64,2,0),2)),IF(OR(BV249="Nein",BV249=""),"-",BV249))))</f>
        <v>-</v>
      </c>
      <c r="AA249" s="62"/>
      <c r="AB249" s="63"/>
      <c r="AC249" s="57" t="n">
        <f aca="false">AR249</f>
        <v>24</v>
      </c>
      <c r="AD249" s="57" t="n">
        <f aca="false">MAX(AR249,H249)</f>
        <v>24</v>
      </c>
      <c r="AE249" s="64"/>
      <c r="AF249" s="57" t="n">
        <f aca="false">IF(LEFT(Cockpit!$C$5,1)="A",H249,IF(CA249=1,CB249,IF(LEFT(Cockpit!$C$5,1)="B",AJ249,MAX(AJ249,H249))))</f>
        <v>13</v>
      </c>
      <c r="AG249" s="57" t="n">
        <f aca="false">IF(BT249=1,0,ROUNDUP(AF249/BS249,0))</f>
        <v>2</v>
      </c>
      <c r="AH249" s="59" t="n">
        <f aca="false">IF(CH249&gt;0,CH249*MAX(1,AF249/X249),IF(BT249=1,IF(AF249&lt;=0,0,BW249*MAX(1,IF(H249&gt;0,AF249/H249,1))),IF(R249&gt;0,AG249/R249,0))/MAX(0.1,N(Parameter!$M$21)))</f>
        <v>0.333333333333333</v>
      </c>
      <c r="AI249" s="57" t="n">
        <f aca="false">AF249*G249</f>
        <v>1642.03</v>
      </c>
      <c r="AJ249" s="57" t="n">
        <f aca="false">ROUNDUP(MAX(J249/IF(BZ249&gt;0,BZ249,MAX(0.1,N(Cockpit!$C$6))),CC249)/BS249,0)*BS249</f>
        <v>24</v>
      </c>
      <c r="AK249" s="58" t="n">
        <f aca="false">IF(AH249&gt;0,J249/AH249,-1)</f>
        <v>129</v>
      </c>
      <c r="AL249" s="58" t="str">
        <f aca="false">IF(AND(OR(BY249="L1",BY249="L23"),AH249&gt;0),SUMIFS($AH$7:$AH$1843,$BY$7:$BY$1843,BY249,$AK$7:$AK$1843,"&gt;"&amp;AK249)+SUMIFS($AH$7:$AH$1843,$BY$7:$BY$1843,BY249,$AK$7:$AK$1843,AK249,$BQ$7:$BQ$1843,"&lt;="&amp;BQ249),"")</f>
        <v/>
      </c>
      <c r="AM249" s="65" t="n">
        <f aca="false">IF(AL249="",0,MAX(0,MIN(1,(IF(BY249="L1",Parameter!$E$5,Parameter!$E$6+Parameter!$E$7)-(AL249-AH249))/AH249)))</f>
        <v>0</v>
      </c>
      <c r="AN249" s="57" t="n">
        <f aca="false">IF(LEFT(Cockpit!$I$5,1)="A",H249,IF(CA249=1,CB249,IF(LEFT(Cockpit!$I$5,1)="B",AR249,MAX(AR249,H249))))</f>
        <v>24</v>
      </c>
      <c r="AO249" s="57" t="n">
        <f aca="false">IF(BT249=1,0,ROUNDUP(AN249/BS249,0))</f>
        <v>2</v>
      </c>
      <c r="AP249" s="59" t="n">
        <f aca="false">IF(CH249&gt;0,CH249*MAX(1,AN249/X249),IF(BT249=1,IF(AN249&lt;=0,0,BW249*MAX(1,IF(H249&gt;0,AN249/H249,1))),IF(R249&gt;0,AO249/R249,0))/MAX(0.1,N(Parameter!$M$21)))</f>
        <v>0.333333333333333</v>
      </c>
      <c r="AQ249" s="57" t="n">
        <f aca="false">AN249*G249</f>
        <v>3031.44</v>
      </c>
      <c r="AR249" s="57" t="n">
        <f aca="false">ROUNDUP(MAX(J249/IF(BZ249&gt;0,BZ249,MAX(0.1,N(Cockpit!$I$6))),CC249)/BS249,0)*BS249</f>
        <v>24</v>
      </c>
      <c r="AS249" s="58" t="n">
        <f aca="false">IF(AP249&gt;0,J249/AP249,-1)</f>
        <v>129</v>
      </c>
      <c r="AT249" s="58" t="str">
        <f aca="false">IF(AND(OR(BY249="L1",BY249="L23"),AP249&gt;0),SUMIFS($AP$7:$AP$1843,$BY$7:$BY$1843,BY249,$AS$7:$AS$1843,"&gt;"&amp;AS249)+SUMIFS($AP$7:$AP$1843,$BY$7:$BY$1843,BY249,$AS$7:$AS$1843,AS249,$BQ$7:$BQ$1843,"&lt;="&amp;BQ249),"")</f>
        <v/>
      </c>
      <c r="AU249" s="65" t="n">
        <f aca="false">IF(AT249="",0,MAX(0,MIN(1,(IF(BY249="L1",Parameter!$E$5,Parameter!$E$6+Parameter!$E$7)-(AT249-AP249))/AP249)))</f>
        <v>0</v>
      </c>
      <c r="AV249" s="57" t="n">
        <f aca="false">IF(LEFT(Cockpit!$O$5,1)="A",H249,IF(CA249=1,CB249,IF(LEFT(Cockpit!$O$5,1)="B",AZ249,MAX(AZ249,H249))))</f>
        <v>24</v>
      </c>
      <c r="AW249" s="57" t="n">
        <f aca="false">IF(BT249=1,0,ROUNDUP(AV249/BS249,0))</f>
        <v>2</v>
      </c>
      <c r="AX249" s="59" t="n">
        <f aca="false">IF(CH249&gt;0,CH249*MAX(1,AV249/X249),IF(BT249=1,IF(AV249&lt;=0,0,BW249*MAX(1,IF(H249&gt;0,AV249/H249,1))),IF(R249&gt;0,AW249/R249,0))/MAX(0.1,N(Parameter!$M$21)))</f>
        <v>0.333333333333333</v>
      </c>
      <c r="AY249" s="57" t="n">
        <f aca="false">AV249*G249</f>
        <v>3031.44</v>
      </c>
      <c r="AZ249" s="57" t="n">
        <f aca="false">ROUNDUP(MAX(J249/IF(BZ249&gt;0,BZ249,MAX(0.1,N(Cockpit!$O$6))),CC249)/BS249,0)*BS249</f>
        <v>24</v>
      </c>
      <c r="BA249" s="58" t="n">
        <f aca="false">IF(AX249&gt;0,J249/AX249,-1)</f>
        <v>129</v>
      </c>
      <c r="BB249" s="58" t="str">
        <f aca="false">IF(AND(OR(BY249="L1",BY249="L23"),AX249&gt;0),SUMIFS($AX$7:$AX$1843,$BY$7:$BY$1843,BY249,$BA$7:$BA$1843,"&gt;"&amp;BA249)+SUMIFS($AX$7:$AX$1843,$BY$7:$BY$1843,BY249,$BA$7:$BA$1843,BA249,$BQ$7:$BQ$1843,"&lt;="&amp;BQ249),"")</f>
        <v/>
      </c>
      <c r="BC249" s="65" t="n">
        <f aca="false">IF(BB249="",0,MAX(0,MIN(1,(IF(BY249="L1",Parameter!$E$5,Parameter!$E$6+Parameter!$E$7)-(BB249-AX249))/AX249)))</f>
        <v>0</v>
      </c>
      <c r="BD249" s="55" t="str">
        <f aca="false">IF(AH249&lt;=0,"",IF(BY249="Aussen","Aussenlager",IF(BY249="-","Nicht im Lift",IF(AM249&gt;=1,"Lift",IF(AM249&lt;=0,"Aussenlager","teilweise")))))</f>
        <v>Nicht im Lift</v>
      </c>
      <c r="BE249" s="55" t="str">
        <f aca="false">IF(AP249&lt;=0,"",IF(BY249="Aussen","Aussenlager",IF(BY249="-","Nicht im Lift",IF(AU249&gt;=1,"Lift",IF(AU249&lt;=0,"Aussenlager","teilweise")))))</f>
        <v>Nicht im Lift</v>
      </c>
      <c r="BF249" s="55" t="str">
        <f aca="false">IF(AX249&lt;=0,"",IF(BY249="Aussen","Aussenlager",IF(BY249="-","Nicht im Lift",IF(BC249&gt;=1,"Lift",IF(BC249&lt;=0,"Aussenlager","teilweise")))))</f>
        <v>Nicht im Lift</v>
      </c>
      <c r="BG249" s="55" t="str">
        <f aca="false">IF(A249="","",IF(BP249=1,"Neu; ","")&amp;IF(AND(BP249=0,BK249&lt;0),"negativer Bestand (Export "&amp;BK249&amp;"); ","")&amp;IF(J249&lt;=0,"Kein Verbrauch; ","")&amp;IF(CH249&gt;0,"Lift "&amp;W249&amp;" lt. Liftbericht (Fach "&amp;X249&amp;" Stk); ",IF(BU249=1,"Gebinde geschätzt ("&amp;T249&amp;"); ",IF(BT249=1,"Lose – Tablare geschätzt; ","")))&amp;IF(H249&gt;AR249,"Überbestand "&amp;ROUND(H249-AR249,0)&amp;" Stk / CHF "&amp;ROUND((H249-AR249)*G249,0)&amp;"; ","")&amp;IF(AND(CA249=1,CB249&lt;CC249),"MAX &lt; MB+LG; ","")&amp;IF(AND(CG249&gt;0,CF249*10&gt;CG249),"zu hoch für Tablar; ","")&amp;IF(AND(BP249=0,OR(CA249=1,AA249&lt;&gt;"",U249&lt;&gt;"",V249&lt;&gt;"",AB249&lt;&gt;"")),"manuell übersteuert; ","")&amp;IF(AND(BT249=0,R249=0),"Gebinde unbekannt / Stellmass fehlt; ","")&amp;IF(AND(BT249=0,N(V249)&lt;=0,N(Q249)&lt;=0),"Menge pro Gebinde fehlt (Ist = 1 Gebinde); ","")&amp;BO249)</f>
        <v/>
      </c>
      <c r="BH249" s="55"/>
      <c r="BI249" s="55"/>
      <c r="BJ249" s="62"/>
      <c r="BK249" s="57" t="n">
        <v>3</v>
      </c>
      <c r="BL249" s="57" t="n">
        <v>10</v>
      </c>
      <c r="BM249" s="56" t="n">
        <v>515.759999999998</v>
      </c>
      <c r="BN249" s="57" t="n">
        <v>43</v>
      </c>
      <c r="BO249" s="55"/>
      <c r="BP249" s="60" t="n">
        <v>0</v>
      </c>
      <c r="BQ249" s="60" t="n">
        <v>249</v>
      </c>
      <c r="BR249" s="55" t="str">
        <f aca="false">IF(U249&lt;&gt;"",UPPER(TRIM(U249)),IF(BU249=1,UPPER(VLOOKUP(T249,Parameter!$I$27:$K$29,2,0)),IF(P249="","LOSE",P249)))</f>
        <v>S72</v>
      </c>
      <c r="BS249" s="57" t="n">
        <f aca="false">IF(BR249="LOSE",1,IF(N(V249)&gt;0,V249,IF(BU249=1,MAX(1,N(VLOOKUP(T249,Parameter!$I$27:$K$29,3,0)),H249,N(N249)),IF(N(Q249)&gt;0,Q249,MAX(1,H249)))))</f>
        <v>12</v>
      </c>
      <c r="BT249" s="60" t="n">
        <f aca="false">IF(BR249="LOSE",1,0)</f>
        <v>0</v>
      </c>
      <c r="BU249" s="60" t="n">
        <f aca="false">IF(AND(U249="",OR(P249="",P249="LOSE"),T249&lt;&gt;"",N(S249)&lt;=0,ISNUMBER(MATCH(T249,Parameter!$I$27:$I$29,0))),1,0)</f>
        <v>0</v>
      </c>
      <c r="BV249" s="55" t="str">
        <f aca="false">IF(AND(Parameter!$B$19="Ja",E249&lt;&gt;"",ISNUMBER(MATCH(E249,Parameter!$I$35:$I$52,0))),VLOOKUP(E249,Parameter!$I$35:$J$52,2,0),IFERROR(VLOOKUP(D249,Parameter!$A$35:$C$64,2,0),"Nein"))</f>
        <v>Nein</v>
      </c>
      <c r="BW249" s="59" t="n">
        <f aca="false">IF(BT249=0,0,IF(N(S249)&gt;0,S249,IFERROR(VLOOKUP(D249,Parameter!$A$35:$C$64,3,0)+0,0)))</f>
        <v>0</v>
      </c>
      <c r="BX249" s="55" t="str">
        <f aca="false">IF(AA249&lt;&gt;"",AA249,Z249)</f>
        <v>-</v>
      </c>
      <c r="BY249" s="55" t="str">
        <f aca="false">IF(BX249=1,"L1",IF(OR(BX249=2,BX249=3),"L23",IF(BX249="Aussen","Aussen","-")))</f>
        <v>-</v>
      </c>
      <c r="BZ249" s="66" t="n">
        <f aca="false">IF(N(AB249)&gt;0,AB249,0)</f>
        <v>0</v>
      </c>
      <c r="CA249" s="60" t="n">
        <f aca="false">IF(ISNUMBER(AE249),1,0)</f>
        <v>0</v>
      </c>
      <c r="CB249" s="57" t="n">
        <f aca="false">N(AE249)</f>
        <v>0</v>
      </c>
      <c r="CC249" s="57" t="n">
        <f aca="false">N(M249)+N(N249)</f>
        <v>8</v>
      </c>
      <c r="CD249" s="57" t="n">
        <f aca="false">ROUNDUP(H249/BS249,0)</f>
        <v>2</v>
      </c>
      <c r="CE249" s="57" t="n">
        <f aca="false">ROUNDUP(CB249/BS249,0)</f>
        <v>0</v>
      </c>
      <c r="CF249" s="60" t="n">
        <f aca="false">IF(BT249=1,0,IFERROR(VLOOKUP(BR249,'Gebinde-Kategorie'!$A$5:$M$45,5,0)+0,0))</f>
        <v>40</v>
      </c>
      <c r="CG249" s="60" t="n">
        <f aca="false">IFERROR(IF(OR(BX249=1,BX249=2,BX249=3),N(INDEX(Parameter!$I$5:$I$7,BX249)),0),0)</f>
        <v>0</v>
      </c>
      <c r="CH249" s="59" t="n">
        <f aca="false">IF(AND(Parameter!$B$21="Ja",ISNUMBER(W249),N(X249)&gt;0),IFERROR(N(INDEX(Parameter!$L$5:$L$7,W249))*INDEX(Parameter!$E$5:$E$7,W249)*X249/SUMIFS($X$7:$X$1843,$W$7:$W$1843,W249),0),0)</f>
        <v>0</v>
      </c>
    </row>
    <row r="250" customFormat="false" ht="15" hidden="false" customHeight="false" outlineLevel="0" collapsed="false">
      <c r="A250" s="55" t="s">
        <v>683</v>
      </c>
      <c r="B250" s="55" t="s">
        <v>684</v>
      </c>
      <c r="C250" s="55" t="s">
        <v>164</v>
      </c>
      <c r="D250" s="55" t="s">
        <v>184</v>
      </c>
      <c r="E250" s="55" t="s">
        <v>185</v>
      </c>
      <c r="F250" s="55" t="s">
        <v>218</v>
      </c>
      <c r="G250" s="56" t="n">
        <v>1.23</v>
      </c>
      <c r="H250" s="57" t="n">
        <f aca="false">MAX(0,IF(AND(Parameter!$B$21="Ja",ISNUMBER(Y250)),Y250,IF(Parameter!$B$20="Jahresanfang 2025 + Export",BL250+BK250,BK250)))</f>
        <v>549</v>
      </c>
      <c r="I250" s="57" t="n">
        <f aca="false">H250*G250</f>
        <v>675.27</v>
      </c>
      <c r="J250" s="57" t="n">
        <f aca="false">BN250*Parameter!$B$18</f>
        <v>602</v>
      </c>
      <c r="K250" s="58" t="n">
        <v>211.5</v>
      </c>
      <c r="L250" s="59" t="n">
        <v>2.84633569739953</v>
      </c>
      <c r="M250" s="57" t="n">
        <v>35</v>
      </c>
      <c r="N250" s="57" t="n">
        <v>250</v>
      </c>
      <c r="O250" s="60" t="n">
        <v>21</v>
      </c>
      <c r="P250" s="55" t="s">
        <v>302</v>
      </c>
      <c r="Q250" s="57" t="n">
        <v>559</v>
      </c>
      <c r="R250" s="60" t="n">
        <f aca="false">IF(BT250=1,0,IFERROR(VLOOKUP(BR250,'Gebinde-Kategorie'!$A$5:$M$45,13,0)+0,0))</f>
        <v>26</v>
      </c>
      <c r="S250" s="61"/>
      <c r="T250" s="62"/>
      <c r="U250" s="62"/>
      <c r="V250" s="62"/>
      <c r="W250" s="55"/>
      <c r="X250" s="57"/>
      <c r="Y250" s="57"/>
      <c r="Z250" s="55" t="n">
        <f aca="false">IF(A250="","",IF(AND(Parameter!$B$21="Ja",ISNUMBER(W250)),W250,IF(BV250="2+3",IF(ISNUMBER(SEARCH("grosser Artikel",BO250)),2,IFERROR(VLOOKUP(BR250,Parameter!$F$35:$G$64,2,0),2)),IF(OR(BV250="Nein",BV250=""),"-",BV250))))</f>
        <v>3</v>
      </c>
      <c r="AA250" s="62"/>
      <c r="AB250" s="63"/>
      <c r="AC250" s="57" t="n">
        <f aca="false">AR250</f>
        <v>559</v>
      </c>
      <c r="AD250" s="57" t="n">
        <f aca="false">MAX(AR250,H250)</f>
        <v>559</v>
      </c>
      <c r="AE250" s="64"/>
      <c r="AF250" s="57" t="n">
        <f aca="false">IF(LEFT(Cockpit!$C$5,1)="A",H250,IF(CA250=1,CB250,IF(LEFT(Cockpit!$C$5,1)="B",AJ250,MAX(AJ250,H250))))</f>
        <v>549</v>
      </c>
      <c r="AG250" s="57" t="n">
        <f aca="false">IF(BT250=1,0,ROUNDUP(AF250/BS250,0))</f>
        <v>1</v>
      </c>
      <c r="AH250" s="59" t="n">
        <f aca="false">IF(CH250&gt;0,CH250*MAX(1,AF250/X250),IF(BT250=1,IF(AF250&lt;=0,0,BW250*MAX(1,IF(H250&gt;0,AF250/H250,1))),IF(R250&gt;0,AG250/R250,0))/MAX(0.1,N(Parameter!$M$21)))</f>
        <v>0.0384615384615385</v>
      </c>
      <c r="AI250" s="57" t="n">
        <f aca="false">AF250*G250</f>
        <v>675.27</v>
      </c>
      <c r="AJ250" s="57" t="n">
        <f aca="false">ROUNDUP(MAX(J250/IF(BZ250&gt;0,BZ250,MAX(0.1,N(Cockpit!$C$6))),CC250)/BS250,0)*BS250</f>
        <v>559</v>
      </c>
      <c r="AK250" s="58" t="n">
        <f aca="false">IF(AH250&gt;0,J250/AH250,-1)</f>
        <v>15652</v>
      </c>
      <c r="AL250" s="58" t="n">
        <f aca="false">IF(AND(OR(BY250="L1",BY250="L23"),AH250&gt;0),SUMIFS($AH$7:$AH$1843,$BY$7:$BY$1843,BY250,$AK$7:$AK$1843,"&gt;"&amp;AK250)+SUMIFS($AH$7:$AH$1843,$BY$7:$BY$1843,BY250,$AK$7:$AK$1843,AK250,$BQ$7:$BQ$1843,"&lt;="&amp;BQ250),"")</f>
        <v>4.35177021046586</v>
      </c>
      <c r="AM250" s="65" t="n">
        <f aca="false">IF(AL250="",0,MAX(0,MIN(1,(IF(BY250="L1",Parameter!$E$5,Parameter!$E$6+Parameter!$E$7)-(AL250-AH250))/AH250)))</f>
        <v>1</v>
      </c>
      <c r="AN250" s="57" t="n">
        <f aca="false">IF(LEFT(Cockpit!$I$5,1)="A",H250,IF(CA250=1,CB250,IF(LEFT(Cockpit!$I$5,1)="B",AR250,MAX(AR250,H250))))</f>
        <v>559</v>
      </c>
      <c r="AO250" s="57" t="n">
        <f aca="false">IF(BT250=1,0,ROUNDUP(AN250/BS250,0))</f>
        <v>1</v>
      </c>
      <c r="AP250" s="59" t="n">
        <f aca="false">IF(CH250&gt;0,CH250*MAX(1,AN250/X250),IF(BT250=1,IF(AN250&lt;=0,0,BW250*MAX(1,IF(H250&gt;0,AN250/H250,1))),IF(R250&gt;0,AO250/R250,0))/MAX(0.1,N(Parameter!$M$21)))</f>
        <v>0.0384615384615385</v>
      </c>
      <c r="AQ250" s="57" t="n">
        <f aca="false">AN250*G250</f>
        <v>687.57</v>
      </c>
      <c r="AR250" s="57" t="n">
        <f aca="false">ROUNDUP(MAX(J250/IF(BZ250&gt;0,BZ250,MAX(0.1,N(Cockpit!$I$6))),CC250)/BS250,0)*BS250</f>
        <v>559</v>
      </c>
      <c r="AS250" s="58" t="n">
        <f aca="false">IF(AP250&gt;0,J250/AP250,-1)</f>
        <v>15652</v>
      </c>
      <c r="AT250" s="58" t="n">
        <f aca="false">IF(AND(OR(BY250="L1",BY250="L23"),AP250&gt;0),SUMIFS($AP$7:$AP$1843,$BY$7:$BY$1843,BY250,$AS$7:$AS$1843,"&gt;"&amp;AS250)+SUMIFS($AP$7:$AP$1843,$BY$7:$BY$1843,BY250,$AS$7:$AS$1843,AS250,$BQ$7:$BQ$1843,"&lt;="&amp;BQ250),"")</f>
        <v>4.83036046079524</v>
      </c>
      <c r="AU250" s="65" t="n">
        <f aca="false">IF(AT250="",0,MAX(0,MIN(1,(IF(BY250="L1",Parameter!$E$5,Parameter!$E$6+Parameter!$E$7)-(AT250-AP250))/AP250)))</f>
        <v>1</v>
      </c>
      <c r="AV250" s="57" t="n">
        <f aca="false">IF(LEFT(Cockpit!$O$5,1)="A",H250,IF(CA250=1,CB250,IF(LEFT(Cockpit!$O$5,1)="B",AZ250,MAX(AZ250,H250))))</f>
        <v>559</v>
      </c>
      <c r="AW250" s="57" t="n">
        <f aca="false">IF(BT250=1,0,ROUNDUP(AV250/BS250,0))</f>
        <v>1</v>
      </c>
      <c r="AX250" s="59" t="n">
        <f aca="false">IF(CH250&gt;0,CH250*MAX(1,AV250/X250),IF(BT250=1,IF(AV250&lt;=0,0,BW250*MAX(1,IF(H250&gt;0,AV250/H250,1))),IF(R250&gt;0,AW250/R250,0))/MAX(0.1,N(Parameter!$M$21)))</f>
        <v>0.0384615384615385</v>
      </c>
      <c r="AY250" s="57" t="n">
        <f aca="false">AV250*G250</f>
        <v>687.57</v>
      </c>
      <c r="AZ250" s="57" t="n">
        <f aca="false">ROUNDUP(MAX(J250/IF(BZ250&gt;0,BZ250,MAX(0.1,N(Cockpit!$O$6))),CC250)/BS250,0)*BS250</f>
        <v>559</v>
      </c>
      <c r="BA250" s="58" t="n">
        <f aca="false">IF(AX250&gt;0,J250/AX250,-1)</f>
        <v>15652</v>
      </c>
      <c r="BB250" s="58" t="n">
        <f aca="false">IF(AND(OR(BY250="L1",BY250="L23"),AX250&gt;0),SUMIFS($AX$7:$AX$1843,$BY$7:$BY$1843,BY250,$BA$7:$BA$1843,"&gt;"&amp;BA250)+SUMIFS($AX$7:$AX$1843,$BY$7:$BY$1843,BY250,$BA$7:$BA$1843,BA250,$BQ$7:$BQ$1843,"&lt;="&amp;BQ250),"")</f>
        <v>4.50635113678592</v>
      </c>
      <c r="BC250" s="65" t="n">
        <f aca="false">IF(BB250="",0,MAX(0,MIN(1,(IF(BY250="L1",Parameter!$E$5,Parameter!$E$6+Parameter!$E$7)-(BB250-AX250))/AX250)))</f>
        <v>1</v>
      </c>
      <c r="BD250" s="55" t="str">
        <f aca="false">IF(AH250&lt;=0,"",IF(BY250="Aussen","Aussenlager",IF(BY250="-","Nicht im Lift",IF(AM250&gt;=1,"Lift",IF(AM250&lt;=0,"Aussenlager","teilweise")))))</f>
        <v>Lift</v>
      </c>
      <c r="BE250" s="55" t="str">
        <f aca="false">IF(AP250&lt;=0,"",IF(BY250="Aussen","Aussenlager",IF(BY250="-","Nicht im Lift",IF(AU250&gt;=1,"Lift",IF(AU250&lt;=0,"Aussenlager","teilweise")))))</f>
        <v>Lift</v>
      </c>
      <c r="BF250" s="55" t="str">
        <f aca="false">IF(AX250&lt;=0,"",IF(BY250="Aussen","Aussenlager",IF(BY250="-","Nicht im Lift",IF(BC250&gt;=1,"Lift",IF(BC250&lt;=0,"Aussenlager","teilweise")))))</f>
        <v>Lift</v>
      </c>
      <c r="BG250" s="55" t="str">
        <f aca="false">IF(A250="","",IF(BP250=1,"Neu; ","")&amp;IF(AND(BP250=0,BK250&lt;0),"negativer Bestand (Export "&amp;BK250&amp;"); ","")&amp;IF(J250&lt;=0,"Kein Verbrauch; ","")&amp;IF(CH250&gt;0,"Lift "&amp;W250&amp;" lt. Liftbericht (Fach "&amp;X250&amp;" Stk); ",IF(BU250=1,"Gebinde geschätzt ("&amp;T250&amp;"); ",IF(BT250=1,"Lose – Tablare geschätzt; ","")))&amp;IF(H250&gt;AR250,"Überbestand "&amp;ROUND(H250-AR250,0)&amp;" Stk / CHF "&amp;ROUND((H250-AR250)*G250,0)&amp;"; ","")&amp;IF(AND(CA250=1,CB250&lt;CC250),"MAX &lt; MB+LG; ","")&amp;IF(AND(CG250&gt;0,CF250*10&gt;CG250),"zu hoch für Tablar; ","")&amp;IF(AND(BP250=0,OR(CA250=1,AA250&lt;&gt;"",U250&lt;&gt;"",V250&lt;&gt;"",AB250&lt;&gt;"")),"manuell übersteuert; ","")&amp;IF(AND(BT250=0,R250=0),"Gebinde unbekannt / Stellmass fehlt; ","")&amp;IF(AND(BT250=0,N(V250)&lt;=0,N(Q250)&lt;=0),"Menge pro Gebinde fehlt (Ist = 1 Gebinde); ","")&amp;BO250)</f>
        <v/>
      </c>
      <c r="BH250" s="55"/>
      <c r="BI250" s="55"/>
      <c r="BJ250" s="62"/>
      <c r="BK250" s="57" t="n">
        <v>380</v>
      </c>
      <c r="BL250" s="57" t="n">
        <v>169</v>
      </c>
      <c r="BM250" s="56" t="n">
        <v>495.66</v>
      </c>
      <c r="BN250" s="57" t="n">
        <v>602</v>
      </c>
      <c r="BO250" s="55"/>
      <c r="BP250" s="60" t="n">
        <v>0</v>
      </c>
      <c r="BQ250" s="60" t="n">
        <v>250</v>
      </c>
      <c r="BR250" s="55" t="str">
        <f aca="false">IF(U250&lt;&gt;"",UPPER(TRIM(U250)),IF(BU250=1,UPPER(VLOOKUP(T250,Parameter!$I$27:$K$29,2,0)),IF(P250="","LOSE",P250)))</f>
        <v>S51</v>
      </c>
      <c r="BS250" s="57" t="n">
        <f aca="false">IF(BR250="LOSE",1,IF(N(V250)&gt;0,V250,IF(BU250=1,MAX(1,N(VLOOKUP(T250,Parameter!$I$27:$K$29,3,0)),H250,N(N250)),IF(N(Q250)&gt;0,Q250,MAX(1,H250)))))</f>
        <v>559</v>
      </c>
      <c r="BT250" s="60" t="n">
        <f aca="false">IF(BR250="LOSE",1,0)</f>
        <v>0</v>
      </c>
      <c r="BU250" s="60" t="n">
        <f aca="false">IF(AND(U250="",OR(P250="",P250="LOSE"),T250&lt;&gt;"",N(S250)&lt;=0,ISNUMBER(MATCH(T250,Parameter!$I$27:$I$29,0))),1,0)</f>
        <v>0</v>
      </c>
      <c r="BV250" s="55" t="str">
        <f aca="false">IF(AND(Parameter!$B$19="Ja",E250&lt;&gt;"",ISNUMBER(MATCH(E250,Parameter!$I$35:$I$52,0))),VLOOKUP(E250,Parameter!$I$35:$J$52,2,0),IFERROR(VLOOKUP(D250,Parameter!$A$35:$C$64,2,0),"Nein"))</f>
        <v>2+3</v>
      </c>
      <c r="BW250" s="59" t="n">
        <f aca="false">IF(BT250=0,0,IF(N(S250)&gt;0,S250,IFERROR(VLOOKUP(D250,Parameter!$A$35:$C$64,3,0)+0,0)))</f>
        <v>0</v>
      </c>
      <c r="BX250" s="55" t="n">
        <f aca="false">IF(AA250&lt;&gt;"",AA250,Z250)</f>
        <v>3</v>
      </c>
      <c r="BY250" s="55" t="str">
        <f aca="false">IF(BX250=1,"L1",IF(OR(BX250=2,BX250=3),"L23",IF(BX250="Aussen","Aussen","-")))</f>
        <v>L23</v>
      </c>
      <c r="BZ250" s="66" t="n">
        <f aca="false">IF(N(AB250)&gt;0,AB250,0)</f>
        <v>0</v>
      </c>
      <c r="CA250" s="60" t="n">
        <f aca="false">IF(ISNUMBER(AE250),1,0)</f>
        <v>0</v>
      </c>
      <c r="CB250" s="57" t="n">
        <f aca="false">N(AE250)</f>
        <v>0</v>
      </c>
      <c r="CC250" s="57" t="n">
        <f aca="false">N(M250)+N(N250)</f>
        <v>285</v>
      </c>
      <c r="CD250" s="57" t="n">
        <f aca="false">ROUNDUP(H250/BS250,0)</f>
        <v>1</v>
      </c>
      <c r="CE250" s="57" t="n">
        <f aca="false">ROUNDUP(CB250/BS250,0)</f>
        <v>0</v>
      </c>
      <c r="CF250" s="60" t="n">
        <f aca="false">IF(BT250=1,0,IFERROR(VLOOKUP(BR250,'Gebinde-Kategorie'!$A$5:$M$45,5,0)+0,0))</f>
        <v>11</v>
      </c>
      <c r="CG250" s="60" t="n">
        <f aca="false">IFERROR(IF(OR(BX250=1,BX250=2,BX250=3),N(INDEX(Parameter!$I$5:$I$7,BX250)),0),0)</f>
        <v>0</v>
      </c>
      <c r="CH250" s="59" t="n">
        <f aca="false">IF(AND(Parameter!$B$21="Ja",ISNUMBER(W250),N(X250)&gt;0),IFERROR(N(INDEX(Parameter!$L$5:$L$7,W250))*INDEX(Parameter!$E$5:$E$7,W250)*X250/SUMIFS($X$7:$X$1843,$W$7:$W$1843,W250),0),0)</f>
        <v>0</v>
      </c>
    </row>
    <row r="251" customFormat="false" ht="15" hidden="false" customHeight="false" outlineLevel="0" collapsed="false">
      <c r="A251" s="55" t="s">
        <v>685</v>
      </c>
      <c r="B251" s="55" t="s">
        <v>686</v>
      </c>
      <c r="C251" s="55" t="s">
        <v>164</v>
      </c>
      <c r="D251" s="55" t="s">
        <v>184</v>
      </c>
      <c r="E251" s="55"/>
      <c r="F251" s="55" t="s">
        <v>218</v>
      </c>
      <c r="G251" s="56" t="n">
        <v>32.98</v>
      </c>
      <c r="H251" s="57" t="n">
        <f aca="false">MAX(0,IF(AND(Parameter!$B$21="Ja",ISNUMBER(Y251)),Y251,IF(Parameter!$B$20="Jahresanfang 2025 + Export",BL251+BK251,BK251)))</f>
        <v>15</v>
      </c>
      <c r="I251" s="57" t="n">
        <f aca="false">H251*G251</f>
        <v>494.7</v>
      </c>
      <c r="J251" s="57" t="n">
        <f aca="false">BN251*Parameter!$B$18</f>
        <v>0</v>
      </c>
      <c r="K251" s="58" t="n">
        <v>0</v>
      </c>
      <c r="L251" s="59" t="n">
        <v>0</v>
      </c>
      <c r="M251" s="57" t="n">
        <v>0</v>
      </c>
      <c r="N251" s="57" t="n">
        <v>1</v>
      </c>
      <c r="O251" s="60" t="n">
        <v>9999</v>
      </c>
      <c r="P251" s="55" t="s">
        <v>168</v>
      </c>
      <c r="Q251" s="57"/>
      <c r="R251" s="60" t="n">
        <f aca="false">IF(BT251=1,0,IFERROR(VLOOKUP(BR251,'Gebinde-Kategorie'!$A$5:$M$45,13,0)+0,0))</f>
        <v>3</v>
      </c>
      <c r="S251" s="61"/>
      <c r="T251" s="62" t="s">
        <v>189</v>
      </c>
      <c r="U251" s="62"/>
      <c r="V251" s="62"/>
      <c r="W251" s="55"/>
      <c r="X251" s="57"/>
      <c r="Y251" s="57"/>
      <c r="Z251" s="55" t="n">
        <f aca="false">IF(A251="","",IF(AND(Parameter!$B$21="Ja",ISNUMBER(W251)),W251,IF(BV251="2+3",IF(ISNUMBER(SEARCH("grosser Artikel",BO251)),2,IFERROR(VLOOKUP(BR251,Parameter!$F$35:$G$64,2,0),2)),IF(OR(BV251="Nein",BV251=""),"-",BV251))))</f>
        <v>2</v>
      </c>
      <c r="AA251" s="62"/>
      <c r="AB251" s="63"/>
      <c r="AC251" s="57" t="n">
        <f aca="false">AR251</f>
        <v>15</v>
      </c>
      <c r="AD251" s="57" t="n">
        <f aca="false">MAX(AR251,H251)</f>
        <v>15</v>
      </c>
      <c r="AE251" s="64"/>
      <c r="AF251" s="57" t="n">
        <f aca="false">IF(LEFT(Cockpit!$C$5,1)="A",H251,IF(CA251=1,CB251,IF(LEFT(Cockpit!$C$5,1)="B",AJ251,MAX(AJ251,H251))))</f>
        <v>15</v>
      </c>
      <c r="AG251" s="57" t="n">
        <f aca="false">IF(BT251=1,0,ROUNDUP(AF251/BS251,0))</f>
        <v>1</v>
      </c>
      <c r="AH251" s="59" t="n">
        <f aca="false">IF(CH251&gt;0,CH251*MAX(1,AF251/X251),IF(BT251=1,IF(AF251&lt;=0,0,BW251*MAX(1,IF(H251&gt;0,AF251/H251,1))),IF(R251&gt;0,AG251/R251,0))/MAX(0.1,N(Parameter!$M$21)))</f>
        <v>0.333333333333333</v>
      </c>
      <c r="AI251" s="57" t="n">
        <f aca="false">AF251*G251</f>
        <v>494.7</v>
      </c>
      <c r="AJ251" s="57" t="n">
        <f aca="false">ROUNDUP(MAX(J251/IF(BZ251&gt;0,BZ251,MAX(0.1,N(Cockpit!$C$6))),CC251)/BS251,0)*BS251</f>
        <v>15</v>
      </c>
      <c r="AK251" s="58" t="n">
        <f aca="false">IF(AH251&gt;0,J251/AH251,-1)</f>
        <v>0</v>
      </c>
      <c r="AL251" s="58" t="n">
        <f aca="false">IF(AND(OR(BY251="L1",BY251="L23"),AH251&gt;0),SUMIFS($AH$7:$AH$1843,$BY$7:$BY$1843,BY251,$AK$7:$AK$1843,"&gt;"&amp;AK251)+SUMIFS($AH$7:$AH$1843,$BY$7:$BY$1843,BY251,$AK$7:$AK$1843,AK251,$BQ$7:$BQ$1843,"&lt;="&amp;BQ251),"")</f>
        <v>71.6649099692578</v>
      </c>
      <c r="AM251" s="65" t="n">
        <f aca="false">IF(AL251="",0,MAX(0,MIN(1,(IF(BY251="L1",Parameter!$E$5,Parameter!$E$6+Parameter!$E$7)-(AL251-AH251))/AH251)))</f>
        <v>1</v>
      </c>
      <c r="AN251" s="57" t="n">
        <f aca="false">IF(LEFT(Cockpit!$I$5,1)="A",H251,IF(CA251=1,CB251,IF(LEFT(Cockpit!$I$5,1)="B",AR251,MAX(AR251,H251))))</f>
        <v>15</v>
      </c>
      <c r="AO251" s="57" t="n">
        <f aca="false">IF(BT251=1,0,ROUNDUP(AN251/BS251,0))</f>
        <v>1</v>
      </c>
      <c r="AP251" s="59" t="n">
        <f aca="false">IF(CH251&gt;0,CH251*MAX(1,AN251/X251),IF(BT251=1,IF(AN251&lt;=0,0,BW251*MAX(1,IF(H251&gt;0,AN251/H251,1))),IF(R251&gt;0,AO251/R251,0))/MAX(0.1,N(Parameter!$M$21)))</f>
        <v>0.333333333333333</v>
      </c>
      <c r="AQ251" s="57" t="n">
        <f aca="false">AN251*G251</f>
        <v>494.7</v>
      </c>
      <c r="AR251" s="57" t="n">
        <f aca="false">ROUNDUP(MAX(J251/IF(BZ251&gt;0,BZ251,MAX(0.1,N(Cockpit!$I$6))),CC251)/BS251,0)*BS251</f>
        <v>15</v>
      </c>
      <c r="AS251" s="58" t="n">
        <f aca="false">IF(AP251&gt;0,J251/AP251,-1)</f>
        <v>0</v>
      </c>
      <c r="AT251" s="58" t="n">
        <f aca="false">IF(AND(OR(BY251="L1",BY251="L23"),AP251&gt;0),SUMIFS($AP$7:$AP$1843,$BY$7:$BY$1843,BY251,$AS$7:$AS$1843,"&gt;"&amp;AS251)+SUMIFS($AP$7:$AP$1843,$BY$7:$BY$1843,BY251,$AS$7:$AS$1843,AS251,$BQ$7:$BQ$1843,"&lt;="&amp;BQ251),"")</f>
        <v>111.089034154252</v>
      </c>
      <c r="AU251" s="65" t="n">
        <f aca="false">IF(AT251="",0,MAX(0,MIN(1,(IF(BY251="L1",Parameter!$E$5,Parameter!$E$6+Parameter!$E$7)-(AT251-AP251))/AP251)))</f>
        <v>0</v>
      </c>
      <c r="AV251" s="57" t="n">
        <f aca="false">IF(LEFT(Cockpit!$O$5,1)="A",H251,IF(CA251=1,CB251,IF(LEFT(Cockpit!$O$5,1)="B",AZ251,MAX(AZ251,H251))))</f>
        <v>15</v>
      </c>
      <c r="AW251" s="57" t="n">
        <f aca="false">IF(BT251=1,0,ROUNDUP(AV251/BS251,0))</f>
        <v>1</v>
      </c>
      <c r="AX251" s="59" t="n">
        <f aca="false">IF(CH251&gt;0,CH251*MAX(1,AV251/X251),IF(BT251=1,IF(AV251&lt;=0,0,BW251*MAX(1,IF(H251&gt;0,AV251/H251,1))),IF(R251&gt;0,AW251/R251,0))/MAX(0.1,N(Parameter!$M$21)))</f>
        <v>0.333333333333333</v>
      </c>
      <c r="AY251" s="57" t="n">
        <f aca="false">AV251*G251</f>
        <v>494.7</v>
      </c>
      <c r="AZ251" s="57" t="n">
        <f aca="false">ROUNDUP(MAX(J251/IF(BZ251&gt;0,BZ251,MAX(0.1,N(Cockpit!$O$6))),CC251)/BS251,0)*BS251</f>
        <v>15</v>
      </c>
      <c r="BA251" s="58" t="n">
        <f aca="false">IF(AX251&gt;0,J251/AX251,-1)</f>
        <v>0</v>
      </c>
      <c r="BB251" s="58" t="n">
        <f aca="false">IF(AND(OR(BY251="L1",BY251="L23"),AX251&gt;0),SUMIFS($AX$7:$AX$1843,$BY$7:$BY$1843,BY251,$BA$7:$BA$1843,"&gt;"&amp;BA251)+SUMIFS($AX$7:$AX$1843,$BY$7:$BY$1843,BY251,$BA$7:$BA$1843,BA251,$BQ$7:$BQ$1843,"&lt;="&amp;BQ251),"")</f>
        <v>101.918870984088</v>
      </c>
      <c r="BC251" s="65" t="n">
        <f aca="false">IF(BB251="",0,MAX(0,MIN(1,(IF(BY251="L1",Parameter!$E$5,Parameter!$E$6+Parameter!$E$7)-(BB251-AX251))/AX251)))</f>
        <v>0</v>
      </c>
      <c r="BD251" s="55" t="str">
        <f aca="false">IF(AH251&lt;=0,"",IF(BY251="Aussen","Aussenlager",IF(BY251="-","Nicht im Lift",IF(AM251&gt;=1,"Lift",IF(AM251&lt;=0,"Aussenlager","teilweise")))))</f>
        <v>Lift</v>
      </c>
      <c r="BE251" s="55" t="str">
        <f aca="false">IF(AP251&lt;=0,"",IF(BY251="Aussen","Aussenlager",IF(BY251="-","Nicht im Lift",IF(AU251&gt;=1,"Lift",IF(AU251&lt;=0,"Aussenlager","teilweise")))))</f>
        <v>Aussenlager</v>
      </c>
      <c r="BF251" s="55" t="str">
        <f aca="false">IF(AX251&lt;=0,"",IF(BY251="Aussen","Aussenlager",IF(BY251="-","Nicht im Lift",IF(BC251&gt;=1,"Lift",IF(BC251&lt;=0,"Aussenlager","teilweise")))))</f>
        <v>Aussenlager</v>
      </c>
      <c r="BG251" s="55" t="str">
        <f aca="false">IF(A251="","",IF(BP251=1,"Neu; ","")&amp;IF(AND(BP251=0,BK251&lt;0),"negativer Bestand (Export "&amp;BK251&amp;"); ","")&amp;IF(J251&lt;=0,"Kein Verbrauch; ","")&amp;IF(CH251&gt;0,"Lift "&amp;W251&amp;" lt. Liftbericht (Fach "&amp;X251&amp;" Stk); ",IF(BU251=1,"Gebinde geschätzt ("&amp;T251&amp;"); ",IF(BT251=1,"Lose – Tablare geschätzt; ","")))&amp;IF(H251&gt;AR251,"Überbestand "&amp;ROUND(H251-AR251,0)&amp;" Stk / CHF "&amp;ROUND((H251-AR251)*G251,0)&amp;"; ","")&amp;IF(AND(CA251=1,CB251&lt;CC251),"MAX &lt; MB+LG; ","")&amp;IF(AND(CG251&gt;0,CF251*10&gt;CG251),"zu hoch für Tablar; ","")&amp;IF(AND(BP251=0,OR(CA251=1,AA251&lt;&gt;"",U251&lt;&gt;"",V251&lt;&gt;"",AB251&lt;&gt;"")),"manuell übersteuert; ","")&amp;IF(AND(BT251=0,R251=0),"Gebinde unbekannt / Stellmass fehlt; ","")&amp;IF(AND(BT251=0,N(V251)&lt;=0,N(Q251)&lt;=0),"Menge pro Gebinde fehlt (Ist = 1 Gebinde); ","")&amp;BO251)</f>
        <v>Kein Verbrauch; Gebinde geschätzt (Gross); Menge pro Gebinde fehlt (Ist = 1 Gebinde); </v>
      </c>
      <c r="BH251" s="55"/>
      <c r="BI251" s="55"/>
      <c r="BJ251" s="62"/>
      <c r="BK251" s="57" t="n">
        <v>15</v>
      </c>
      <c r="BL251" s="57" t="n">
        <v>0</v>
      </c>
      <c r="BM251" s="56" t="n">
        <v>494.7</v>
      </c>
      <c r="BN251" s="57" t="n">
        <v>0</v>
      </c>
      <c r="BO251" s="55"/>
      <c r="BP251" s="60" t="n">
        <v>0</v>
      </c>
      <c r="BQ251" s="60" t="n">
        <v>251</v>
      </c>
      <c r="BR251" s="55" t="str">
        <f aca="false">IF(U251&lt;&gt;"",UPPER(TRIM(U251)),IF(BU251=1,UPPER(VLOOKUP(T251,Parameter!$I$27:$K$29,2,0)),IF(P251="","LOSE",P251)))</f>
        <v>S81</v>
      </c>
      <c r="BS251" s="57" t="n">
        <f aca="false">IF(BR251="LOSE",1,IF(N(V251)&gt;0,V251,IF(BU251=1,MAX(1,N(VLOOKUP(T251,Parameter!$I$27:$K$29,3,0)),H251,N(N251)),IF(N(Q251)&gt;0,Q251,MAX(1,H251)))))</f>
        <v>15</v>
      </c>
      <c r="BT251" s="60" t="n">
        <f aca="false">IF(BR251="LOSE",1,0)</f>
        <v>0</v>
      </c>
      <c r="BU251" s="60" t="n">
        <f aca="false">IF(AND(U251="",OR(P251="",P251="LOSE"),T251&lt;&gt;"",N(S251)&lt;=0,ISNUMBER(MATCH(T251,Parameter!$I$27:$I$29,0))),1,0)</f>
        <v>1</v>
      </c>
      <c r="BV251" s="55" t="str">
        <f aca="false">IF(AND(Parameter!$B$19="Ja",E251&lt;&gt;"",ISNUMBER(MATCH(E251,Parameter!$I$35:$I$52,0))),VLOOKUP(E251,Parameter!$I$35:$J$52,2,0),IFERROR(VLOOKUP(D251,Parameter!$A$35:$C$64,2,0),"Nein"))</f>
        <v>2+3</v>
      </c>
      <c r="BW251" s="59" t="n">
        <f aca="false">IF(BT251=0,0,IF(N(S251)&gt;0,S251,IFERROR(VLOOKUP(D251,Parameter!$A$35:$C$64,3,0)+0,0)))</f>
        <v>0</v>
      </c>
      <c r="BX251" s="55" t="n">
        <f aca="false">IF(AA251&lt;&gt;"",AA251,Z251)</f>
        <v>2</v>
      </c>
      <c r="BY251" s="55" t="str">
        <f aca="false">IF(BX251=1,"L1",IF(OR(BX251=2,BX251=3),"L23",IF(BX251="Aussen","Aussen","-")))</f>
        <v>L23</v>
      </c>
      <c r="BZ251" s="66" t="n">
        <f aca="false">IF(N(AB251)&gt;0,AB251,0)</f>
        <v>0</v>
      </c>
      <c r="CA251" s="60" t="n">
        <f aca="false">IF(ISNUMBER(AE251),1,0)</f>
        <v>0</v>
      </c>
      <c r="CB251" s="57" t="n">
        <f aca="false">N(AE251)</f>
        <v>0</v>
      </c>
      <c r="CC251" s="57" t="n">
        <f aca="false">N(M251)+N(N251)</f>
        <v>1</v>
      </c>
      <c r="CD251" s="57" t="n">
        <f aca="false">ROUNDUP(H251/BS251,0)</f>
        <v>1</v>
      </c>
      <c r="CE251" s="57" t="n">
        <f aca="false">ROUNDUP(CB251/BS251,0)</f>
        <v>0</v>
      </c>
      <c r="CF251" s="60" t="n">
        <f aca="false">IF(BT251=1,0,IFERROR(VLOOKUP(BR251,'Gebinde-Kategorie'!$A$5:$M$45,5,0)+0,0))</f>
        <v>20</v>
      </c>
      <c r="CG251" s="60" t="n">
        <f aca="false">IFERROR(IF(OR(BX251=1,BX251=2,BX251=3),N(INDEX(Parameter!$I$5:$I$7,BX251)),0),0)</f>
        <v>0</v>
      </c>
      <c r="CH251" s="59" t="n">
        <f aca="false">IF(AND(Parameter!$B$21="Ja",ISNUMBER(W251),N(X251)&gt;0),IFERROR(N(INDEX(Parameter!$L$5:$L$7,W251))*INDEX(Parameter!$E$5:$E$7,W251)*X251/SUMIFS($X$7:$X$1843,$W$7:$W$1843,W251),0),0)</f>
        <v>0</v>
      </c>
    </row>
    <row r="252" customFormat="false" ht="15" hidden="false" customHeight="false" outlineLevel="0" collapsed="false">
      <c r="A252" s="55" t="s">
        <v>687</v>
      </c>
      <c r="B252" s="55" t="s">
        <v>688</v>
      </c>
      <c r="C252" s="55" t="s">
        <v>164</v>
      </c>
      <c r="D252" s="55" t="s">
        <v>184</v>
      </c>
      <c r="E252" s="55" t="s">
        <v>185</v>
      </c>
      <c r="F252" s="55" t="s">
        <v>218</v>
      </c>
      <c r="G252" s="56" t="n">
        <v>11.85</v>
      </c>
      <c r="H252" s="57" t="n">
        <f aca="false">MAX(0,IF(AND(Parameter!$B$21="Ja",ISNUMBER(Y252)),Y252,IF(Parameter!$B$20="Jahresanfang 2025 + Export",BL252+BK252,BK252)))</f>
        <v>69</v>
      </c>
      <c r="I252" s="57" t="n">
        <f aca="false">H252*G252</f>
        <v>817.65</v>
      </c>
      <c r="J252" s="57" t="n">
        <f aca="false">BN252*Parameter!$B$18</f>
        <v>72</v>
      </c>
      <c r="K252" s="58" t="n">
        <v>28</v>
      </c>
      <c r="L252" s="59" t="n">
        <v>2.57142857142857</v>
      </c>
      <c r="M252" s="57" t="n">
        <v>5</v>
      </c>
      <c r="N252" s="57" t="n">
        <v>70</v>
      </c>
      <c r="O252" s="60" t="n">
        <v>28</v>
      </c>
      <c r="P252" s="55" t="s">
        <v>302</v>
      </c>
      <c r="Q252" s="57" t="n">
        <v>25</v>
      </c>
      <c r="R252" s="60" t="n">
        <f aca="false">IF(BT252=1,0,IFERROR(VLOOKUP(BR252,'Gebinde-Kategorie'!$A$5:$M$45,13,0)+0,0))</f>
        <v>26</v>
      </c>
      <c r="S252" s="61"/>
      <c r="T252" s="62"/>
      <c r="U252" s="62"/>
      <c r="V252" s="62"/>
      <c r="W252" s="55"/>
      <c r="X252" s="57"/>
      <c r="Y252" s="57"/>
      <c r="Z252" s="55" t="n">
        <f aca="false">IF(A252="","",IF(AND(Parameter!$B$21="Ja",ISNUMBER(W252)),W252,IF(BV252="2+3",IF(ISNUMBER(SEARCH("grosser Artikel",BO252)),2,IFERROR(VLOOKUP(BR252,Parameter!$F$35:$G$64,2,0),2)),IF(OR(BV252="Nein",BV252=""),"-",BV252))))</f>
        <v>3</v>
      </c>
      <c r="AA252" s="62"/>
      <c r="AB252" s="63"/>
      <c r="AC252" s="57" t="n">
        <f aca="false">AR252</f>
        <v>75</v>
      </c>
      <c r="AD252" s="57" t="n">
        <f aca="false">MAX(AR252,H252)</f>
        <v>75</v>
      </c>
      <c r="AE252" s="64"/>
      <c r="AF252" s="57" t="n">
        <f aca="false">IF(LEFT(Cockpit!$C$5,1)="A",H252,IF(CA252=1,CB252,IF(LEFT(Cockpit!$C$5,1)="B",AJ252,MAX(AJ252,H252))))</f>
        <v>69</v>
      </c>
      <c r="AG252" s="57" t="n">
        <f aca="false">IF(BT252=1,0,ROUNDUP(AF252/BS252,0))</f>
        <v>3</v>
      </c>
      <c r="AH252" s="59" t="n">
        <f aca="false">IF(CH252&gt;0,CH252*MAX(1,AF252/X252),IF(BT252=1,IF(AF252&lt;=0,0,BW252*MAX(1,IF(H252&gt;0,AF252/H252,1))),IF(R252&gt;0,AG252/R252,0))/MAX(0.1,N(Parameter!$M$21)))</f>
        <v>0.115384615384615</v>
      </c>
      <c r="AI252" s="57" t="n">
        <f aca="false">AF252*G252</f>
        <v>817.65</v>
      </c>
      <c r="AJ252" s="57" t="n">
        <f aca="false">ROUNDUP(MAX(J252/IF(BZ252&gt;0,BZ252,MAX(0.1,N(Cockpit!$C$6))),CC252)/BS252,0)*BS252</f>
        <v>75</v>
      </c>
      <c r="AK252" s="58" t="n">
        <f aca="false">IF(AH252&gt;0,J252/AH252,-1)</f>
        <v>624</v>
      </c>
      <c r="AL252" s="58" t="n">
        <f aca="false">IF(AND(OR(BY252="L1",BY252="L23"),AH252&gt;0),SUMIFS($AH$7:$AH$1843,$BY$7:$BY$1843,BY252,$AK$7:$AK$1843,"&gt;"&amp;AK252)+SUMIFS($AH$7:$AH$1843,$BY$7:$BY$1843,BY252,$AK$7:$AK$1843,AK252,$BQ$7:$BQ$1843,"&lt;="&amp;BQ252),"")</f>
        <v>22.9232711732712</v>
      </c>
      <c r="AM252" s="65" t="n">
        <f aca="false">IF(AL252="",0,MAX(0,MIN(1,(IF(BY252="L1",Parameter!$E$5,Parameter!$E$6+Parameter!$E$7)-(AL252-AH252))/AH252)))</f>
        <v>1</v>
      </c>
      <c r="AN252" s="57" t="n">
        <f aca="false">IF(LEFT(Cockpit!$I$5,1)="A",H252,IF(CA252=1,CB252,IF(LEFT(Cockpit!$I$5,1)="B",AR252,MAX(AR252,H252))))</f>
        <v>75</v>
      </c>
      <c r="AO252" s="57" t="n">
        <f aca="false">IF(BT252=1,0,ROUNDUP(AN252/BS252,0))</f>
        <v>3</v>
      </c>
      <c r="AP252" s="59" t="n">
        <f aca="false">IF(CH252&gt;0,CH252*MAX(1,AN252/X252),IF(BT252=1,IF(AN252&lt;=0,0,BW252*MAX(1,IF(H252&gt;0,AN252/H252,1))),IF(R252&gt;0,AO252/R252,0))/MAX(0.1,N(Parameter!$M$21)))</f>
        <v>0.115384615384615</v>
      </c>
      <c r="AQ252" s="57" t="n">
        <f aca="false">AN252*G252</f>
        <v>888.75</v>
      </c>
      <c r="AR252" s="57" t="n">
        <f aca="false">ROUNDUP(MAX(J252/IF(BZ252&gt;0,BZ252,MAX(0.1,N(Cockpit!$I$6))),CC252)/BS252,0)*BS252</f>
        <v>75</v>
      </c>
      <c r="AS252" s="58" t="n">
        <f aca="false">IF(AP252&gt;0,J252/AP252,-1)</f>
        <v>624</v>
      </c>
      <c r="AT252" s="58" t="n">
        <f aca="false">IF(AND(OR(BY252="L1",BY252="L23"),AP252&gt;0),SUMIFS($AP$7:$AP$1843,$BY$7:$BY$1843,BY252,$AS$7:$AS$1843,"&gt;"&amp;AS252)+SUMIFS($AP$7:$AP$1843,$BY$7:$BY$1843,BY252,$AS$7:$AS$1843,AS252,$BQ$7:$BQ$1843,"&lt;="&amp;BQ252),"")</f>
        <v>30.2554305597784</v>
      </c>
      <c r="AU252" s="65" t="n">
        <f aca="false">IF(AT252="",0,MAX(0,MIN(1,(IF(BY252="L1",Parameter!$E$5,Parameter!$E$6+Parameter!$E$7)-(AT252-AP252))/AP252)))</f>
        <v>1</v>
      </c>
      <c r="AV252" s="57" t="n">
        <f aca="false">IF(LEFT(Cockpit!$O$5,1)="A",H252,IF(CA252=1,CB252,IF(LEFT(Cockpit!$O$5,1)="B",AZ252,MAX(AZ252,H252))))</f>
        <v>75</v>
      </c>
      <c r="AW252" s="57" t="n">
        <f aca="false">IF(BT252=1,0,ROUNDUP(AV252/BS252,0))</f>
        <v>3</v>
      </c>
      <c r="AX252" s="59" t="n">
        <f aca="false">IF(CH252&gt;0,CH252*MAX(1,AV252/X252),IF(BT252=1,IF(AV252&lt;=0,0,BW252*MAX(1,IF(H252&gt;0,AV252/H252,1))),IF(R252&gt;0,AW252/R252,0))/MAX(0.1,N(Parameter!$M$21)))</f>
        <v>0.115384615384615</v>
      </c>
      <c r="AY252" s="57" t="n">
        <f aca="false">AV252*G252</f>
        <v>888.75</v>
      </c>
      <c r="AZ252" s="57" t="n">
        <f aca="false">ROUNDUP(MAX(J252/IF(BZ252&gt;0,BZ252,MAX(0.1,N(Cockpit!$O$6))),CC252)/BS252,0)*BS252</f>
        <v>75</v>
      </c>
      <c r="BA252" s="58" t="n">
        <f aca="false">IF(AX252&gt;0,J252/AX252,-1)</f>
        <v>624</v>
      </c>
      <c r="BB252" s="58" t="n">
        <f aca="false">IF(AND(OR(BY252="L1",BY252="L23"),AX252&gt;0),SUMIFS($AX$7:$AX$1843,$BY$7:$BY$1843,BY252,$BA$7:$BA$1843,"&gt;"&amp;BA252)+SUMIFS($AX$7:$AX$1843,$BY$7:$BY$1843,BY252,$BA$7:$BA$1843,BA252,$BQ$7:$BQ$1843,"&lt;="&amp;BQ252),"")</f>
        <v>28.9570622614101</v>
      </c>
      <c r="BC252" s="65" t="n">
        <f aca="false">IF(BB252="",0,MAX(0,MIN(1,(IF(BY252="L1",Parameter!$E$5,Parameter!$E$6+Parameter!$E$7)-(BB252-AX252))/AX252)))</f>
        <v>1</v>
      </c>
      <c r="BD252" s="55" t="str">
        <f aca="false">IF(AH252&lt;=0,"",IF(BY252="Aussen","Aussenlager",IF(BY252="-","Nicht im Lift",IF(AM252&gt;=1,"Lift",IF(AM252&lt;=0,"Aussenlager","teilweise")))))</f>
        <v>Lift</v>
      </c>
      <c r="BE252" s="55" t="str">
        <f aca="false">IF(AP252&lt;=0,"",IF(BY252="Aussen","Aussenlager",IF(BY252="-","Nicht im Lift",IF(AU252&gt;=1,"Lift",IF(AU252&lt;=0,"Aussenlager","teilweise")))))</f>
        <v>Lift</v>
      </c>
      <c r="BF252" s="55" t="str">
        <f aca="false">IF(AX252&lt;=0,"",IF(BY252="Aussen","Aussenlager",IF(BY252="-","Nicht im Lift",IF(BC252&gt;=1,"Lift",IF(BC252&lt;=0,"Aussenlager","teilweise")))))</f>
        <v>Lift</v>
      </c>
      <c r="BG252" s="55" t="str">
        <f aca="false">IF(A252="","",IF(BP252=1,"Neu; ","")&amp;IF(AND(BP252=0,BK252&lt;0),"negativer Bestand (Export "&amp;BK252&amp;"); ","")&amp;IF(J252&lt;=0,"Kein Verbrauch; ","")&amp;IF(CH252&gt;0,"Lift "&amp;W252&amp;" lt. Liftbericht (Fach "&amp;X252&amp;" Stk); ",IF(BU252=1,"Gebinde geschätzt ("&amp;T252&amp;"); ",IF(BT252=1,"Lose – Tablare geschätzt; ","")))&amp;IF(H252&gt;AR252,"Überbestand "&amp;ROUND(H252-AR252,0)&amp;" Stk / CHF "&amp;ROUND((H252-AR252)*G252,0)&amp;"; ","")&amp;IF(AND(CA252=1,CB252&lt;CC252),"MAX &lt; MB+LG; ","")&amp;IF(AND(CG252&gt;0,CF252*10&gt;CG252),"zu hoch für Tablar; ","")&amp;IF(AND(BP252=0,OR(CA252=1,AA252&lt;&gt;"",U252&lt;&gt;"",V252&lt;&gt;"",AB252&lt;&gt;"")),"manuell übersteuert; ","")&amp;IF(AND(BT252=0,R252=0),"Gebinde unbekannt / Stellmass fehlt; ","")&amp;IF(AND(BT252=0,N(V252)&lt;=0,N(Q252)&lt;=0),"Menge pro Gebinde fehlt (Ist = 1 Gebinde); ","")&amp;BO252)</f>
        <v/>
      </c>
      <c r="BH252" s="55"/>
      <c r="BI252" s="55"/>
      <c r="BJ252" s="62"/>
      <c r="BK252" s="57" t="n">
        <v>45</v>
      </c>
      <c r="BL252" s="57" t="n">
        <v>24</v>
      </c>
      <c r="BM252" s="56" t="n">
        <v>492.929999999998</v>
      </c>
      <c r="BN252" s="57" t="n">
        <v>72</v>
      </c>
      <c r="BO252" s="55"/>
      <c r="BP252" s="60" t="n">
        <v>0</v>
      </c>
      <c r="BQ252" s="60" t="n">
        <v>252</v>
      </c>
      <c r="BR252" s="55" t="str">
        <f aca="false">IF(U252&lt;&gt;"",UPPER(TRIM(U252)),IF(BU252=1,UPPER(VLOOKUP(T252,Parameter!$I$27:$K$29,2,0)),IF(P252="","LOSE",P252)))</f>
        <v>S51</v>
      </c>
      <c r="BS252" s="57" t="n">
        <f aca="false">IF(BR252="LOSE",1,IF(N(V252)&gt;0,V252,IF(BU252=1,MAX(1,N(VLOOKUP(T252,Parameter!$I$27:$K$29,3,0)),H252,N(N252)),IF(N(Q252)&gt;0,Q252,MAX(1,H252)))))</f>
        <v>25</v>
      </c>
      <c r="BT252" s="60" t="n">
        <f aca="false">IF(BR252="LOSE",1,0)</f>
        <v>0</v>
      </c>
      <c r="BU252" s="60" t="n">
        <f aca="false">IF(AND(U252="",OR(P252="",P252="LOSE"),T252&lt;&gt;"",N(S252)&lt;=0,ISNUMBER(MATCH(T252,Parameter!$I$27:$I$29,0))),1,0)</f>
        <v>0</v>
      </c>
      <c r="BV252" s="55" t="str">
        <f aca="false">IF(AND(Parameter!$B$19="Ja",E252&lt;&gt;"",ISNUMBER(MATCH(E252,Parameter!$I$35:$I$52,0))),VLOOKUP(E252,Parameter!$I$35:$J$52,2,0),IFERROR(VLOOKUP(D252,Parameter!$A$35:$C$64,2,0),"Nein"))</f>
        <v>2+3</v>
      </c>
      <c r="BW252" s="59" t="n">
        <f aca="false">IF(BT252=0,0,IF(N(S252)&gt;0,S252,IFERROR(VLOOKUP(D252,Parameter!$A$35:$C$64,3,0)+0,0)))</f>
        <v>0</v>
      </c>
      <c r="BX252" s="55" t="n">
        <f aca="false">IF(AA252&lt;&gt;"",AA252,Z252)</f>
        <v>3</v>
      </c>
      <c r="BY252" s="55" t="str">
        <f aca="false">IF(BX252=1,"L1",IF(OR(BX252=2,BX252=3),"L23",IF(BX252="Aussen","Aussen","-")))</f>
        <v>L23</v>
      </c>
      <c r="BZ252" s="66" t="n">
        <f aca="false">IF(N(AB252)&gt;0,AB252,0)</f>
        <v>0</v>
      </c>
      <c r="CA252" s="60" t="n">
        <f aca="false">IF(ISNUMBER(AE252),1,0)</f>
        <v>0</v>
      </c>
      <c r="CB252" s="57" t="n">
        <f aca="false">N(AE252)</f>
        <v>0</v>
      </c>
      <c r="CC252" s="57" t="n">
        <f aca="false">N(M252)+N(N252)</f>
        <v>75</v>
      </c>
      <c r="CD252" s="57" t="n">
        <f aca="false">ROUNDUP(H252/BS252,0)</f>
        <v>3</v>
      </c>
      <c r="CE252" s="57" t="n">
        <f aca="false">ROUNDUP(CB252/BS252,0)</f>
        <v>0</v>
      </c>
      <c r="CF252" s="60" t="n">
        <f aca="false">IF(BT252=1,0,IFERROR(VLOOKUP(BR252,'Gebinde-Kategorie'!$A$5:$M$45,5,0)+0,0))</f>
        <v>11</v>
      </c>
      <c r="CG252" s="60" t="n">
        <f aca="false">IFERROR(IF(OR(BX252=1,BX252=2,BX252=3),N(INDEX(Parameter!$I$5:$I$7,BX252)),0),0)</f>
        <v>0</v>
      </c>
      <c r="CH252" s="59" t="n">
        <f aca="false">IF(AND(Parameter!$B$21="Ja",ISNUMBER(W252),N(X252)&gt;0),IFERROR(N(INDEX(Parameter!$L$5:$L$7,W252))*INDEX(Parameter!$E$5:$E$7,W252)*X252/SUMIFS($X$7:$X$1843,$W$7:$W$1843,W252),0),0)</f>
        <v>0</v>
      </c>
    </row>
    <row r="253" customFormat="false" ht="15" hidden="false" customHeight="false" outlineLevel="0" collapsed="false">
      <c r="A253" s="55" t="s">
        <v>689</v>
      </c>
      <c r="B253" s="55" t="s">
        <v>690</v>
      </c>
      <c r="C253" s="55" t="s">
        <v>164</v>
      </c>
      <c r="D253" s="55" t="s">
        <v>173</v>
      </c>
      <c r="E253" s="55"/>
      <c r="F253" s="55" t="s">
        <v>218</v>
      </c>
      <c r="G253" s="56" t="n">
        <v>32.33</v>
      </c>
      <c r="H253" s="57" t="n">
        <f aca="false">MAX(0,IF(AND(Parameter!$B$21="Ja",ISNUMBER(Y253)),Y253,IF(Parameter!$B$20="Jahresanfang 2025 + Export",BL253+BK253,BK253)))</f>
        <v>15</v>
      </c>
      <c r="I253" s="57" t="n">
        <f aca="false">H253*G253</f>
        <v>484.95</v>
      </c>
      <c r="J253" s="57" t="n">
        <f aca="false">BN253*Parameter!$B$18</f>
        <v>0</v>
      </c>
      <c r="K253" s="58" t="n">
        <v>0</v>
      </c>
      <c r="L253" s="59" t="n">
        <v>0</v>
      </c>
      <c r="M253" s="57" t="n">
        <v>0</v>
      </c>
      <c r="N253" s="57" t="n">
        <v>1</v>
      </c>
      <c r="O253" s="60" t="n">
        <v>9999</v>
      </c>
      <c r="P253" s="55" t="s">
        <v>168</v>
      </c>
      <c r="Q253" s="57"/>
      <c r="R253" s="60" t="n">
        <f aca="false">IF(BT253=1,0,IFERROR(VLOOKUP(BR253,'Gebinde-Kategorie'!$A$5:$M$45,13,0)+0,0))</f>
        <v>12</v>
      </c>
      <c r="S253" s="61"/>
      <c r="T253" s="62" t="s">
        <v>179</v>
      </c>
      <c r="U253" s="62"/>
      <c r="V253" s="62"/>
      <c r="W253" s="55"/>
      <c r="X253" s="57"/>
      <c r="Y253" s="57"/>
      <c r="Z253" s="55" t="n">
        <f aca="false">IF(A253="","",IF(AND(Parameter!$B$21="Ja",ISNUMBER(W253)),W253,IF(BV253="2+3",IF(ISNUMBER(SEARCH("grosser Artikel",BO253)),2,IFERROR(VLOOKUP(BR253,Parameter!$F$35:$G$64,2,0),2)),IF(OR(BV253="Nein",BV253=""),"-",BV253))))</f>
        <v>2</v>
      </c>
      <c r="AA253" s="62"/>
      <c r="AB253" s="63"/>
      <c r="AC253" s="57" t="n">
        <f aca="false">AR253</f>
        <v>15</v>
      </c>
      <c r="AD253" s="57" t="n">
        <f aca="false">MAX(AR253,H253)</f>
        <v>15</v>
      </c>
      <c r="AE253" s="64"/>
      <c r="AF253" s="57" t="n">
        <f aca="false">IF(LEFT(Cockpit!$C$5,1)="A",H253,IF(CA253=1,CB253,IF(LEFT(Cockpit!$C$5,1)="B",AJ253,MAX(AJ253,H253))))</f>
        <v>15</v>
      </c>
      <c r="AG253" s="57" t="n">
        <f aca="false">IF(BT253=1,0,ROUNDUP(AF253/BS253,0))</f>
        <v>1</v>
      </c>
      <c r="AH253" s="59" t="n">
        <f aca="false">IF(CH253&gt;0,CH253*MAX(1,AF253/X253),IF(BT253=1,IF(AF253&lt;=0,0,BW253*MAX(1,IF(H253&gt;0,AF253/H253,1))),IF(R253&gt;0,AG253/R253,0))/MAX(0.1,N(Parameter!$M$21)))</f>
        <v>0.0833333333333333</v>
      </c>
      <c r="AI253" s="57" t="n">
        <f aca="false">AF253*G253</f>
        <v>484.95</v>
      </c>
      <c r="AJ253" s="57" t="n">
        <f aca="false">ROUNDUP(MAX(J253/IF(BZ253&gt;0,BZ253,MAX(0.1,N(Cockpit!$C$6))),CC253)/BS253,0)*BS253</f>
        <v>15</v>
      </c>
      <c r="AK253" s="58" t="n">
        <f aca="false">IF(AH253&gt;0,J253/AH253,-1)</f>
        <v>0</v>
      </c>
      <c r="AL253" s="58" t="n">
        <f aca="false">IF(AND(OR(BY253="L1",BY253="L23"),AH253&gt;0),SUMIFS($AH$7:$AH$1843,$BY$7:$BY$1843,BY253,$AK$7:$AK$1843,"&gt;"&amp;AK253)+SUMIFS($AH$7:$AH$1843,$BY$7:$BY$1843,BY253,$AK$7:$AK$1843,AK253,$BQ$7:$BQ$1843,"&lt;="&amp;BQ253),"")</f>
        <v>71.7482433025911</v>
      </c>
      <c r="AM253" s="65" t="n">
        <f aca="false">IF(AL253="",0,MAX(0,MIN(1,(IF(BY253="L1",Parameter!$E$5,Parameter!$E$6+Parameter!$E$7)-(AL253-AH253))/AH253)))</f>
        <v>1</v>
      </c>
      <c r="AN253" s="57" t="n">
        <f aca="false">IF(LEFT(Cockpit!$I$5,1)="A",H253,IF(CA253=1,CB253,IF(LEFT(Cockpit!$I$5,1)="B",AR253,MAX(AR253,H253))))</f>
        <v>15</v>
      </c>
      <c r="AO253" s="57" t="n">
        <f aca="false">IF(BT253=1,0,ROUNDUP(AN253/BS253,0))</f>
        <v>1</v>
      </c>
      <c r="AP253" s="59" t="n">
        <f aca="false">IF(CH253&gt;0,CH253*MAX(1,AN253/X253),IF(BT253=1,IF(AN253&lt;=0,0,BW253*MAX(1,IF(H253&gt;0,AN253/H253,1))),IF(R253&gt;0,AO253/R253,0))/MAX(0.1,N(Parameter!$M$21)))</f>
        <v>0.0833333333333333</v>
      </c>
      <c r="AQ253" s="57" t="n">
        <f aca="false">AN253*G253</f>
        <v>484.95</v>
      </c>
      <c r="AR253" s="57" t="n">
        <f aca="false">ROUNDUP(MAX(J253/IF(BZ253&gt;0,BZ253,MAX(0.1,N(Cockpit!$I$6))),CC253)/BS253,0)*BS253</f>
        <v>15</v>
      </c>
      <c r="AS253" s="58" t="n">
        <f aca="false">IF(AP253&gt;0,J253/AP253,-1)</f>
        <v>0</v>
      </c>
      <c r="AT253" s="58" t="n">
        <f aca="false">IF(AND(OR(BY253="L1",BY253="L23"),AP253&gt;0),SUMIFS($AP$7:$AP$1843,$BY$7:$BY$1843,BY253,$AS$7:$AS$1843,"&gt;"&amp;AS253)+SUMIFS($AP$7:$AP$1843,$BY$7:$BY$1843,BY253,$AS$7:$AS$1843,AS253,$BQ$7:$BQ$1843,"&lt;="&amp;BQ253),"")</f>
        <v>111.172367487585</v>
      </c>
      <c r="AU253" s="65" t="n">
        <f aca="false">IF(AT253="",0,MAX(0,MIN(1,(IF(BY253="L1",Parameter!$E$5,Parameter!$E$6+Parameter!$E$7)-(AT253-AP253))/AP253)))</f>
        <v>0</v>
      </c>
      <c r="AV253" s="57" t="n">
        <f aca="false">IF(LEFT(Cockpit!$O$5,1)="A",H253,IF(CA253=1,CB253,IF(LEFT(Cockpit!$O$5,1)="B",AZ253,MAX(AZ253,H253))))</f>
        <v>15</v>
      </c>
      <c r="AW253" s="57" t="n">
        <f aca="false">IF(BT253=1,0,ROUNDUP(AV253/BS253,0))</f>
        <v>1</v>
      </c>
      <c r="AX253" s="59" t="n">
        <f aca="false">IF(CH253&gt;0,CH253*MAX(1,AV253/X253),IF(BT253=1,IF(AV253&lt;=0,0,BW253*MAX(1,IF(H253&gt;0,AV253/H253,1))),IF(R253&gt;0,AW253/R253,0))/MAX(0.1,N(Parameter!$M$21)))</f>
        <v>0.0833333333333333</v>
      </c>
      <c r="AY253" s="57" t="n">
        <f aca="false">AV253*G253</f>
        <v>484.95</v>
      </c>
      <c r="AZ253" s="57" t="n">
        <f aca="false">ROUNDUP(MAX(J253/IF(BZ253&gt;0,BZ253,MAX(0.1,N(Cockpit!$O$6))),CC253)/BS253,0)*BS253</f>
        <v>15</v>
      </c>
      <c r="BA253" s="58" t="n">
        <f aca="false">IF(AX253&gt;0,J253/AX253,-1)</f>
        <v>0</v>
      </c>
      <c r="BB253" s="58" t="n">
        <f aca="false">IF(AND(OR(BY253="L1",BY253="L23"),AX253&gt;0),SUMIFS($AX$7:$AX$1843,$BY$7:$BY$1843,BY253,$BA$7:$BA$1843,"&gt;"&amp;BA253)+SUMIFS($AX$7:$AX$1843,$BY$7:$BY$1843,BY253,$BA$7:$BA$1843,BA253,$BQ$7:$BQ$1843,"&lt;="&amp;BQ253),"")</f>
        <v>102.002204317422</v>
      </c>
      <c r="BC253" s="65" t="n">
        <f aca="false">IF(BB253="",0,MAX(0,MIN(1,(IF(BY253="L1",Parameter!$E$5,Parameter!$E$6+Parameter!$E$7)-(BB253-AX253))/AX253)))</f>
        <v>0</v>
      </c>
      <c r="BD253" s="55" t="str">
        <f aca="false">IF(AH253&lt;=0,"",IF(BY253="Aussen","Aussenlager",IF(BY253="-","Nicht im Lift",IF(AM253&gt;=1,"Lift",IF(AM253&lt;=0,"Aussenlager","teilweise")))))</f>
        <v>Lift</v>
      </c>
      <c r="BE253" s="55" t="str">
        <f aca="false">IF(AP253&lt;=0,"",IF(BY253="Aussen","Aussenlager",IF(BY253="-","Nicht im Lift",IF(AU253&gt;=1,"Lift",IF(AU253&lt;=0,"Aussenlager","teilweise")))))</f>
        <v>Aussenlager</v>
      </c>
      <c r="BF253" s="55" t="str">
        <f aca="false">IF(AX253&lt;=0,"",IF(BY253="Aussen","Aussenlager",IF(BY253="-","Nicht im Lift",IF(BC253&gt;=1,"Lift",IF(BC253&lt;=0,"Aussenlager","teilweise")))))</f>
        <v>Aussenlager</v>
      </c>
      <c r="BG253" s="55" t="str">
        <f aca="false">IF(A253="","",IF(BP253=1,"Neu; ","")&amp;IF(AND(BP253=0,BK253&lt;0),"negativer Bestand (Export "&amp;BK253&amp;"); ","")&amp;IF(J253&lt;=0,"Kein Verbrauch; ","")&amp;IF(CH253&gt;0,"Lift "&amp;W253&amp;" lt. Liftbericht (Fach "&amp;X253&amp;" Stk); ",IF(BU253=1,"Gebinde geschätzt ("&amp;T253&amp;"); ",IF(BT253=1,"Lose – Tablare geschätzt; ","")))&amp;IF(H253&gt;AR253,"Überbestand "&amp;ROUND(H253-AR253,0)&amp;" Stk / CHF "&amp;ROUND((H253-AR253)*G253,0)&amp;"; ","")&amp;IF(AND(CA253=1,CB253&lt;CC253),"MAX &lt; MB+LG; ","")&amp;IF(AND(CG253&gt;0,CF253*10&gt;CG253),"zu hoch für Tablar; ","")&amp;IF(AND(BP253=0,OR(CA253=1,AA253&lt;&gt;"",U253&lt;&gt;"",V253&lt;&gt;"",AB253&lt;&gt;"")),"manuell übersteuert; ","")&amp;IF(AND(BT253=0,R253=0),"Gebinde unbekannt / Stellmass fehlt; ","")&amp;IF(AND(BT253=0,N(V253)&lt;=0,N(Q253)&lt;=0),"Menge pro Gebinde fehlt (Ist = 1 Gebinde); ","")&amp;BO253)</f>
        <v>Kein Verbrauch; Gebinde geschätzt (Mittel); Menge pro Gebinde fehlt (Ist = 1 Gebinde); </v>
      </c>
      <c r="BH253" s="55"/>
      <c r="BI253" s="55"/>
      <c r="BJ253" s="62"/>
      <c r="BK253" s="57" t="n">
        <v>15</v>
      </c>
      <c r="BL253" s="57" t="n">
        <v>0</v>
      </c>
      <c r="BM253" s="56" t="n">
        <v>484.95</v>
      </c>
      <c r="BN253" s="57" t="n">
        <v>0</v>
      </c>
      <c r="BO253" s="55"/>
      <c r="BP253" s="60" t="n">
        <v>0</v>
      </c>
      <c r="BQ253" s="60" t="n">
        <v>253</v>
      </c>
      <c r="BR253" s="55" t="str">
        <f aca="false">IF(U253&lt;&gt;"",UPPER(TRIM(U253)),IF(BU253=1,UPPER(VLOOKUP(T253,Parameter!$I$27:$K$29,2,0)),IF(P253="","LOSE",P253)))</f>
        <v>S61</v>
      </c>
      <c r="BS253" s="57" t="n">
        <f aca="false">IF(BR253="LOSE",1,IF(N(V253)&gt;0,V253,IF(BU253=1,MAX(1,N(VLOOKUP(T253,Parameter!$I$27:$K$29,3,0)),H253,N(N253)),IF(N(Q253)&gt;0,Q253,MAX(1,H253)))))</f>
        <v>15</v>
      </c>
      <c r="BT253" s="60" t="n">
        <f aca="false">IF(BR253="LOSE",1,0)</f>
        <v>0</v>
      </c>
      <c r="BU253" s="60" t="n">
        <f aca="false">IF(AND(U253="",OR(P253="",P253="LOSE"),T253&lt;&gt;"",N(S253)&lt;=0,ISNUMBER(MATCH(T253,Parameter!$I$27:$I$29,0))),1,0)</f>
        <v>1</v>
      </c>
      <c r="BV253" s="55" t="str">
        <f aca="false">IF(AND(Parameter!$B$19="Ja",E253&lt;&gt;"",ISNUMBER(MATCH(E253,Parameter!$I$35:$I$52,0))),VLOOKUP(E253,Parameter!$I$35:$J$52,2,0),IFERROR(VLOOKUP(D253,Parameter!$A$35:$C$64,2,0),"Nein"))</f>
        <v>2+3</v>
      </c>
      <c r="BW253" s="59" t="n">
        <f aca="false">IF(BT253=0,0,IF(N(S253)&gt;0,S253,IFERROR(VLOOKUP(D253,Parameter!$A$35:$C$64,3,0)+0,0)))</f>
        <v>0</v>
      </c>
      <c r="BX253" s="55" t="n">
        <f aca="false">IF(AA253&lt;&gt;"",AA253,Z253)</f>
        <v>2</v>
      </c>
      <c r="BY253" s="55" t="str">
        <f aca="false">IF(BX253=1,"L1",IF(OR(BX253=2,BX253=3),"L23",IF(BX253="Aussen","Aussen","-")))</f>
        <v>L23</v>
      </c>
      <c r="BZ253" s="66" t="n">
        <f aca="false">IF(N(AB253)&gt;0,AB253,0)</f>
        <v>0</v>
      </c>
      <c r="CA253" s="60" t="n">
        <f aca="false">IF(ISNUMBER(AE253),1,0)</f>
        <v>0</v>
      </c>
      <c r="CB253" s="57" t="n">
        <f aca="false">N(AE253)</f>
        <v>0</v>
      </c>
      <c r="CC253" s="57" t="n">
        <f aca="false">N(M253)+N(N253)</f>
        <v>1</v>
      </c>
      <c r="CD253" s="57" t="n">
        <f aca="false">ROUNDUP(H253/BS253,0)</f>
        <v>1</v>
      </c>
      <c r="CE253" s="57" t="n">
        <f aca="false">ROUNDUP(CB253/BS253,0)</f>
        <v>0</v>
      </c>
      <c r="CF253" s="60" t="n">
        <f aca="false">IF(BT253=1,0,IFERROR(VLOOKUP(BR253,'Gebinde-Kategorie'!$A$5:$M$45,5,0)+0,0))</f>
        <v>11</v>
      </c>
      <c r="CG253" s="60" t="n">
        <f aca="false">IFERROR(IF(OR(BX253=1,BX253=2,BX253=3),N(INDEX(Parameter!$I$5:$I$7,BX253)),0),0)</f>
        <v>0</v>
      </c>
      <c r="CH253" s="59" t="n">
        <f aca="false">IF(AND(Parameter!$B$21="Ja",ISNUMBER(W253),N(X253)&gt;0),IFERROR(N(INDEX(Parameter!$L$5:$L$7,W253))*INDEX(Parameter!$E$5:$E$7,W253)*X253/SUMIFS($X$7:$X$1843,$W$7:$W$1843,W253),0),0)</f>
        <v>0</v>
      </c>
    </row>
    <row r="254" customFormat="false" ht="15" hidden="false" customHeight="false" outlineLevel="0" collapsed="false">
      <c r="A254" s="55" t="s">
        <v>691</v>
      </c>
      <c r="B254" s="55" t="s">
        <v>692</v>
      </c>
      <c r="C254" s="55" t="s">
        <v>164</v>
      </c>
      <c r="D254" s="55" t="s">
        <v>173</v>
      </c>
      <c r="E254" s="55"/>
      <c r="F254" s="55" t="s">
        <v>218</v>
      </c>
      <c r="G254" s="56" t="n">
        <v>118.62</v>
      </c>
      <c r="H254" s="57" t="n">
        <f aca="false">MAX(0,IF(AND(Parameter!$B$21="Ja",ISNUMBER(Y254)),Y254,IF(Parameter!$B$20="Jahresanfang 2025 + Export",BL254+BK254,BK254)))</f>
        <v>4</v>
      </c>
      <c r="I254" s="57" t="n">
        <f aca="false">H254*G254</f>
        <v>474.48</v>
      </c>
      <c r="J254" s="57" t="n">
        <f aca="false">BN254*Parameter!$B$18</f>
        <v>2</v>
      </c>
      <c r="K254" s="58" t="n">
        <v>1.5</v>
      </c>
      <c r="L254" s="59" t="n">
        <v>1.33333333333333</v>
      </c>
      <c r="M254" s="57" t="n">
        <v>0</v>
      </c>
      <c r="N254" s="57" t="n">
        <v>1</v>
      </c>
      <c r="O254" s="60" t="n">
        <v>31</v>
      </c>
      <c r="P254" s="55" t="s">
        <v>168</v>
      </c>
      <c r="Q254" s="57"/>
      <c r="R254" s="60" t="n">
        <f aca="false">IF(BT254=1,0,IFERROR(VLOOKUP(BR254,'Gebinde-Kategorie'!$A$5:$M$45,13,0)+0,0))</f>
        <v>12</v>
      </c>
      <c r="S254" s="61"/>
      <c r="T254" s="62" t="s">
        <v>179</v>
      </c>
      <c r="U254" s="62"/>
      <c r="V254" s="62"/>
      <c r="W254" s="55"/>
      <c r="X254" s="57"/>
      <c r="Y254" s="57"/>
      <c r="Z254" s="55" t="n">
        <f aca="false">IF(A254="","",IF(AND(Parameter!$B$21="Ja",ISNUMBER(W254)),W254,IF(BV254="2+3",IF(ISNUMBER(SEARCH("grosser Artikel",BO254)),2,IFERROR(VLOOKUP(BR254,Parameter!$F$35:$G$64,2,0),2)),IF(OR(BV254="Nein",BV254=""),"-",BV254))))</f>
        <v>2</v>
      </c>
      <c r="AA254" s="62"/>
      <c r="AB254" s="63"/>
      <c r="AC254" s="57" t="n">
        <f aca="false">AR254</f>
        <v>4</v>
      </c>
      <c r="AD254" s="57" t="n">
        <f aca="false">MAX(AR254,H254)</f>
        <v>4</v>
      </c>
      <c r="AE254" s="64"/>
      <c r="AF254" s="57" t="n">
        <f aca="false">IF(LEFT(Cockpit!$C$5,1)="A",H254,IF(CA254=1,CB254,IF(LEFT(Cockpit!$C$5,1)="B",AJ254,MAX(AJ254,H254))))</f>
        <v>4</v>
      </c>
      <c r="AG254" s="57" t="n">
        <f aca="false">IF(BT254=1,0,ROUNDUP(AF254/BS254,0))</f>
        <v>1</v>
      </c>
      <c r="AH254" s="59" t="n">
        <f aca="false">IF(CH254&gt;0,CH254*MAX(1,AF254/X254),IF(BT254=1,IF(AF254&lt;=0,0,BW254*MAX(1,IF(H254&gt;0,AF254/H254,1))),IF(R254&gt;0,AG254/R254,0))/MAX(0.1,N(Parameter!$M$21)))</f>
        <v>0.0833333333333333</v>
      </c>
      <c r="AI254" s="57" t="n">
        <f aca="false">AF254*G254</f>
        <v>474.48</v>
      </c>
      <c r="AJ254" s="57" t="n">
        <f aca="false">ROUNDUP(MAX(J254/IF(BZ254&gt;0,BZ254,MAX(0.1,N(Cockpit!$C$6))),CC254)/BS254,0)*BS254</f>
        <v>4</v>
      </c>
      <c r="AK254" s="58" t="n">
        <f aca="false">IF(AH254&gt;0,J254/AH254,-1)</f>
        <v>24</v>
      </c>
      <c r="AL254" s="58" t="n">
        <f aca="false">IF(AND(OR(BY254="L1",BY254="L23"),AH254&gt;0),SUMIFS($AH$7:$AH$1843,$BY$7:$BY$1843,BY254,$AK$7:$AK$1843,"&gt;"&amp;AK254)+SUMIFS($AH$7:$AH$1843,$BY$7:$BY$1843,BY254,$AK$7:$AK$1843,AK254,$BQ$7:$BQ$1843,"&lt;="&amp;BQ254),"")</f>
        <v>49.088181142529</v>
      </c>
      <c r="AM254" s="65" t="n">
        <f aca="false">IF(AL254="",0,MAX(0,MIN(1,(IF(BY254="L1",Parameter!$E$5,Parameter!$E$6+Parameter!$E$7)-(AL254-AH254))/AH254)))</f>
        <v>1</v>
      </c>
      <c r="AN254" s="57" t="n">
        <f aca="false">IF(LEFT(Cockpit!$I$5,1)="A",H254,IF(CA254=1,CB254,IF(LEFT(Cockpit!$I$5,1)="B",AR254,MAX(AR254,H254))))</f>
        <v>4</v>
      </c>
      <c r="AO254" s="57" t="n">
        <f aca="false">IF(BT254=1,0,ROUNDUP(AN254/BS254,0))</f>
        <v>1</v>
      </c>
      <c r="AP254" s="59" t="n">
        <f aca="false">IF(CH254&gt;0,CH254*MAX(1,AN254/X254),IF(BT254=1,IF(AN254&lt;=0,0,BW254*MAX(1,IF(H254&gt;0,AN254/H254,1))),IF(R254&gt;0,AO254/R254,0))/MAX(0.1,N(Parameter!$M$21)))</f>
        <v>0.0833333333333333</v>
      </c>
      <c r="AQ254" s="57" t="n">
        <f aca="false">AN254*G254</f>
        <v>474.48</v>
      </c>
      <c r="AR254" s="57" t="n">
        <f aca="false">ROUNDUP(MAX(J254/IF(BZ254&gt;0,BZ254,MAX(0.1,N(Cockpit!$I$6))),CC254)/BS254,0)*BS254</f>
        <v>4</v>
      </c>
      <c r="AS254" s="58" t="n">
        <f aca="false">IF(AP254&gt;0,J254/AP254,-1)</f>
        <v>24</v>
      </c>
      <c r="AT254" s="58" t="n">
        <f aca="false">IF(AND(OR(BY254="L1",BY254="L23"),AP254&gt;0),SUMIFS($AP$7:$AP$1843,$BY$7:$BY$1843,BY254,$AS$7:$AS$1843,"&gt;"&amp;AS254)+SUMIFS($AP$7:$AP$1843,$BY$7:$BY$1843,BY254,$AS$7:$AS$1843,AS254,$BQ$7:$BQ$1843,"&lt;="&amp;BQ254),"")</f>
        <v>74.2623053275227</v>
      </c>
      <c r="AU254" s="65" t="n">
        <f aca="false">IF(AT254="",0,MAX(0,MIN(1,(IF(BY254="L1",Parameter!$E$5,Parameter!$E$6+Parameter!$E$7)-(AT254-AP254))/AP254)))</f>
        <v>1</v>
      </c>
      <c r="AV254" s="57" t="n">
        <f aca="false">IF(LEFT(Cockpit!$O$5,1)="A",H254,IF(CA254=1,CB254,IF(LEFT(Cockpit!$O$5,1)="B",AZ254,MAX(AZ254,H254))))</f>
        <v>4</v>
      </c>
      <c r="AW254" s="57" t="n">
        <f aca="false">IF(BT254=1,0,ROUNDUP(AV254/BS254,0))</f>
        <v>1</v>
      </c>
      <c r="AX254" s="59" t="n">
        <f aca="false">IF(CH254&gt;0,CH254*MAX(1,AV254/X254),IF(BT254=1,IF(AV254&lt;=0,0,BW254*MAX(1,IF(H254&gt;0,AV254/H254,1))),IF(R254&gt;0,AW254/R254,0))/MAX(0.1,N(Parameter!$M$21)))</f>
        <v>0.0833333333333333</v>
      </c>
      <c r="AY254" s="57" t="n">
        <f aca="false">AV254*G254</f>
        <v>474.48</v>
      </c>
      <c r="AZ254" s="57" t="n">
        <f aca="false">ROUNDUP(MAX(J254/IF(BZ254&gt;0,BZ254,MAX(0.1,N(Cockpit!$O$6))),CC254)/BS254,0)*BS254</f>
        <v>4</v>
      </c>
      <c r="BA254" s="58" t="n">
        <f aca="false">IF(AX254&gt;0,J254/AX254,-1)</f>
        <v>24</v>
      </c>
      <c r="BB254" s="58" t="n">
        <f aca="false">IF(AND(OR(BY254="L1",BY254="L23"),AX254&gt;0),SUMIFS($AX$7:$AX$1843,$BY$7:$BY$1843,BY254,$BA$7:$BA$1843,"&gt;"&amp;BA254)+SUMIFS($AX$7:$AX$1843,$BY$7:$BY$1843,BY254,$BA$7:$BA$1843,BA254,$BQ$7:$BQ$1843,"&lt;="&amp;BQ254),"")</f>
        <v>69.7588088240262</v>
      </c>
      <c r="BC254" s="65" t="n">
        <f aca="false">IF(BB254="",0,MAX(0,MIN(1,(IF(BY254="L1",Parameter!$E$5,Parameter!$E$6+Parameter!$E$7)-(BB254-AX254))/AX254)))</f>
        <v>1</v>
      </c>
      <c r="BD254" s="55" t="str">
        <f aca="false">IF(AH254&lt;=0,"",IF(BY254="Aussen","Aussenlager",IF(BY254="-","Nicht im Lift",IF(AM254&gt;=1,"Lift",IF(AM254&lt;=0,"Aussenlager","teilweise")))))</f>
        <v>Lift</v>
      </c>
      <c r="BE254" s="55" t="str">
        <f aca="false">IF(AP254&lt;=0,"",IF(BY254="Aussen","Aussenlager",IF(BY254="-","Nicht im Lift",IF(AU254&gt;=1,"Lift",IF(AU254&lt;=0,"Aussenlager","teilweise")))))</f>
        <v>Lift</v>
      </c>
      <c r="BF254" s="55" t="str">
        <f aca="false">IF(AX254&lt;=0,"",IF(BY254="Aussen","Aussenlager",IF(BY254="-","Nicht im Lift",IF(BC254&gt;=1,"Lift",IF(BC254&lt;=0,"Aussenlager","teilweise")))))</f>
        <v>Lift</v>
      </c>
      <c r="BG254" s="55" t="str">
        <f aca="false">IF(A254="","",IF(BP254=1,"Neu; ","")&amp;IF(AND(BP254=0,BK254&lt;0),"negativer Bestand (Export "&amp;BK254&amp;"); ","")&amp;IF(J254&lt;=0,"Kein Verbrauch; ","")&amp;IF(CH254&gt;0,"Lift "&amp;W254&amp;" lt. Liftbericht (Fach "&amp;X254&amp;" Stk); ",IF(BU254=1,"Gebinde geschätzt ("&amp;T254&amp;"); ",IF(BT254=1,"Lose – Tablare geschätzt; ","")))&amp;IF(H254&gt;AR254,"Überbestand "&amp;ROUND(H254-AR254,0)&amp;" Stk / CHF "&amp;ROUND((H254-AR254)*G254,0)&amp;"; ","")&amp;IF(AND(CA254=1,CB254&lt;CC254),"MAX &lt; MB+LG; ","")&amp;IF(AND(CG254&gt;0,CF254*10&gt;CG254),"zu hoch für Tablar; ","")&amp;IF(AND(BP254=0,OR(CA254=1,AA254&lt;&gt;"",U254&lt;&gt;"",V254&lt;&gt;"",AB254&lt;&gt;"")),"manuell übersteuert; ","")&amp;IF(AND(BT254=0,R254=0),"Gebinde unbekannt / Stellmass fehlt; ","")&amp;IF(AND(BT254=0,N(V254)&lt;=0,N(Q254)&lt;=0),"Menge pro Gebinde fehlt (Ist = 1 Gebinde); ","")&amp;BO254)</f>
        <v>Gebinde geschätzt (Mittel); Menge pro Gebinde fehlt (Ist = 1 Gebinde); </v>
      </c>
      <c r="BH254" s="55"/>
      <c r="BI254" s="55"/>
      <c r="BJ254" s="62"/>
      <c r="BK254" s="57" t="n">
        <v>4</v>
      </c>
      <c r="BL254" s="57" t="n">
        <v>0</v>
      </c>
      <c r="BM254" s="56" t="n">
        <v>474.48</v>
      </c>
      <c r="BN254" s="57" t="n">
        <v>2</v>
      </c>
      <c r="BO254" s="55"/>
      <c r="BP254" s="60" t="n">
        <v>0</v>
      </c>
      <c r="BQ254" s="60" t="n">
        <v>254</v>
      </c>
      <c r="BR254" s="55" t="str">
        <f aca="false">IF(U254&lt;&gt;"",UPPER(TRIM(U254)),IF(BU254=1,UPPER(VLOOKUP(T254,Parameter!$I$27:$K$29,2,0)),IF(P254="","LOSE",P254)))</f>
        <v>S61</v>
      </c>
      <c r="BS254" s="57" t="n">
        <f aca="false">IF(BR254="LOSE",1,IF(N(V254)&gt;0,V254,IF(BU254=1,MAX(1,N(VLOOKUP(T254,Parameter!$I$27:$K$29,3,0)),H254,N(N254)),IF(N(Q254)&gt;0,Q254,MAX(1,H254)))))</f>
        <v>4</v>
      </c>
      <c r="BT254" s="60" t="n">
        <f aca="false">IF(BR254="LOSE",1,0)</f>
        <v>0</v>
      </c>
      <c r="BU254" s="60" t="n">
        <f aca="false">IF(AND(U254="",OR(P254="",P254="LOSE"),T254&lt;&gt;"",N(S254)&lt;=0,ISNUMBER(MATCH(T254,Parameter!$I$27:$I$29,0))),1,0)</f>
        <v>1</v>
      </c>
      <c r="BV254" s="55" t="str">
        <f aca="false">IF(AND(Parameter!$B$19="Ja",E254&lt;&gt;"",ISNUMBER(MATCH(E254,Parameter!$I$35:$I$52,0))),VLOOKUP(E254,Parameter!$I$35:$J$52,2,0),IFERROR(VLOOKUP(D254,Parameter!$A$35:$C$64,2,0),"Nein"))</f>
        <v>2+3</v>
      </c>
      <c r="BW254" s="59" t="n">
        <f aca="false">IF(BT254=0,0,IF(N(S254)&gt;0,S254,IFERROR(VLOOKUP(D254,Parameter!$A$35:$C$64,3,0)+0,0)))</f>
        <v>0</v>
      </c>
      <c r="BX254" s="55" t="n">
        <f aca="false">IF(AA254&lt;&gt;"",AA254,Z254)</f>
        <v>2</v>
      </c>
      <c r="BY254" s="55" t="str">
        <f aca="false">IF(BX254=1,"L1",IF(OR(BX254=2,BX254=3),"L23",IF(BX254="Aussen","Aussen","-")))</f>
        <v>L23</v>
      </c>
      <c r="BZ254" s="66" t="n">
        <f aca="false">IF(N(AB254)&gt;0,AB254,0)</f>
        <v>0</v>
      </c>
      <c r="CA254" s="60" t="n">
        <f aca="false">IF(ISNUMBER(AE254),1,0)</f>
        <v>0</v>
      </c>
      <c r="CB254" s="57" t="n">
        <f aca="false">N(AE254)</f>
        <v>0</v>
      </c>
      <c r="CC254" s="57" t="n">
        <f aca="false">N(M254)+N(N254)</f>
        <v>1</v>
      </c>
      <c r="CD254" s="57" t="n">
        <f aca="false">ROUNDUP(H254/BS254,0)</f>
        <v>1</v>
      </c>
      <c r="CE254" s="57" t="n">
        <f aca="false">ROUNDUP(CB254/BS254,0)</f>
        <v>0</v>
      </c>
      <c r="CF254" s="60" t="n">
        <f aca="false">IF(BT254=1,0,IFERROR(VLOOKUP(BR254,'Gebinde-Kategorie'!$A$5:$M$45,5,0)+0,0))</f>
        <v>11</v>
      </c>
      <c r="CG254" s="60" t="n">
        <f aca="false">IFERROR(IF(OR(BX254=1,BX254=2,BX254=3),N(INDEX(Parameter!$I$5:$I$7,BX254)),0),0)</f>
        <v>0</v>
      </c>
      <c r="CH254" s="59" t="n">
        <f aca="false">IF(AND(Parameter!$B$21="Ja",ISNUMBER(W254),N(X254)&gt;0),IFERROR(N(INDEX(Parameter!$L$5:$L$7,W254))*INDEX(Parameter!$E$5:$E$7,W254)*X254/SUMIFS($X$7:$X$1843,$W$7:$W$1843,W254),0),0)</f>
        <v>0</v>
      </c>
    </row>
    <row r="255" customFormat="false" ht="15" hidden="false" customHeight="false" outlineLevel="0" collapsed="false">
      <c r="A255" s="55" t="s">
        <v>693</v>
      </c>
      <c r="B255" s="55" t="s">
        <v>694</v>
      </c>
      <c r="C255" s="55" t="s">
        <v>164</v>
      </c>
      <c r="D255" s="55" t="s">
        <v>184</v>
      </c>
      <c r="E255" s="55"/>
      <c r="F255" s="55" t="s">
        <v>218</v>
      </c>
      <c r="G255" s="56" t="n">
        <v>5.93</v>
      </c>
      <c r="H255" s="57" t="n">
        <f aca="false">MAX(0,IF(AND(Parameter!$B$21="Ja",ISNUMBER(Y255)),Y255,IF(Parameter!$B$20="Jahresanfang 2025 + Export",BL255+BK255,BK255)))</f>
        <v>176</v>
      </c>
      <c r="I255" s="57" t="n">
        <f aca="false">H255*G255</f>
        <v>1043.68</v>
      </c>
      <c r="J255" s="57" t="n">
        <f aca="false">BN255*Parameter!$B$18</f>
        <v>193</v>
      </c>
      <c r="K255" s="58" t="n">
        <v>79</v>
      </c>
      <c r="L255" s="59" t="n">
        <v>2.44303797468354</v>
      </c>
      <c r="M255" s="57" t="n">
        <v>7</v>
      </c>
      <c r="N255" s="57" t="n">
        <v>195</v>
      </c>
      <c r="O255" s="60" t="n">
        <v>14</v>
      </c>
      <c r="P255" s="55" t="s">
        <v>168</v>
      </c>
      <c r="Q255" s="57"/>
      <c r="R255" s="60" t="n">
        <f aca="false">IF(BT255=1,0,IFERROR(VLOOKUP(BR255,'Gebinde-Kategorie'!$A$5:$M$45,13,0)+0,0))</f>
        <v>26</v>
      </c>
      <c r="S255" s="61"/>
      <c r="T255" s="62" t="s">
        <v>275</v>
      </c>
      <c r="U255" s="62"/>
      <c r="V255" s="62"/>
      <c r="W255" s="55"/>
      <c r="X255" s="57"/>
      <c r="Y255" s="57"/>
      <c r="Z255" s="55" t="n">
        <f aca="false">IF(A255="","",IF(AND(Parameter!$B$21="Ja",ISNUMBER(W255)),W255,IF(BV255="2+3",IF(ISNUMBER(SEARCH("grosser Artikel",BO255)),2,IFERROR(VLOOKUP(BR255,Parameter!$F$35:$G$64,2,0),2)),IF(OR(BV255="Nein",BV255=""),"-",BV255))))</f>
        <v>3</v>
      </c>
      <c r="AA255" s="62"/>
      <c r="AB255" s="63"/>
      <c r="AC255" s="57" t="n">
        <f aca="false">AR255</f>
        <v>390</v>
      </c>
      <c r="AD255" s="57" t="n">
        <f aca="false">MAX(AR255,H255)</f>
        <v>390</v>
      </c>
      <c r="AE255" s="64"/>
      <c r="AF255" s="57" t="n">
        <f aca="false">IF(LEFT(Cockpit!$C$5,1)="A",H255,IF(CA255=1,CB255,IF(LEFT(Cockpit!$C$5,1)="B",AJ255,MAX(AJ255,H255))))</f>
        <v>176</v>
      </c>
      <c r="AG255" s="57" t="n">
        <f aca="false">IF(BT255=1,0,ROUNDUP(AF255/BS255,0))</f>
        <v>1</v>
      </c>
      <c r="AH255" s="59" t="n">
        <f aca="false">IF(CH255&gt;0,CH255*MAX(1,AF255/X255),IF(BT255=1,IF(AF255&lt;=0,0,BW255*MAX(1,IF(H255&gt;0,AF255/H255,1))),IF(R255&gt;0,AG255/R255,0))/MAX(0.1,N(Parameter!$M$21)))</f>
        <v>0.0384615384615385</v>
      </c>
      <c r="AI255" s="57" t="n">
        <f aca="false">AF255*G255</f>
        <v>1043.68</v>
      </c>
      <c r="AJ255" s="57" t="n">
        <f aca="false">ROUNDUP(MAX(J255/IF(BZ255&gt;0,BZ255,MAX(0.1,N(Cockpit!$C$6))),CC255)/BS255,0)*BS255</f>
        <v>390</v>
      </c>
      <c r="AK255" s="58" t="n">
        <f aca="false">IF(AH255&gt;0,J255/AH255,-1)</f>
        <v>5018</v>
      </c>
      <c r="AL255" s="58" t="n">
        <f aca="false">IF(AND(OR(BY255="L1",BY255="L23"),AH255&gt;0),SUMIFS($AH$7:$AH$1843,$BY$7:$BY$1843,BY255,$AK$7:$AK$1843,"&gt;"&amp;AK255)+SUMIFS($AH$7:$AH$1843,$BY$7:$BY$1843,BY255,$AK$7:$AK$1843,AK255,$BQ$7:$BQ$1843,"&lt;="&amp;BQ255),"")</f>
        <v>7.16810242897199</v>
      </c>
      <c r="AM255" s="65" t="n">
        <f aca="false">IF(AL255="",0,MAX(0,MIN(1,(IF(BY255="L1",Parameter!$E$5,Parameter!$E$6+Parameter!$E$7)-(AL255-AH255))/AH255)))</f>
        <v>1</v>
      </c>
      <c r="AN255" s="57" t="n">
        <f aca="false">IF(LEFT(Cockpit!$I$5,1)="A",H255,IF(CA255=1,CB255,IF(LEFT(Cockpit!$I$5,1)="B",AR255,MAX(AR255,H255))))</f>
        <v>390</v>
      </c>
      <c r="AO255" s="57" t="n">
        <f aca="false">IF(BT255=1,0,ROUNDUP(AN255/BS255,0))</f>
        <v>2</v>
      </c>
      <c r="AP255" s="59" t="n">
        <f aca="false">IF(CH255&gt;0,CH255*MAX(1,AN255/X255),IF(BT255=1,IF(AN255&lt;=0,0,BW255*MAX(1,IF(H255&gt;0,AN255/H255,1))),IF(R255&gt;0,AO255/R255,0))/MAX(0.1,N(Parameter!$M$21)))</f>
        <v>0.0769230769230769</v>
      </c>
      <c r="AQ255" s="57" t="n">
        <f aca="false">AN255*G255</f>
        <v>2312.7</v>
      </c>
      <c r="AR255" s="57" t="n">
        <f aca="false">ROUNDUP(MAX(J255/IF(BZ255&gt;0,BZ255,MAX(0.1,N(Cockpit!$I$6))),CC255)/BS255,0)*BS255</f>
        <v>390</v>
      </c>
      <c r="AS255" s="58" t="n">
        <f aca="false">IF(AP255&gt;0,J255/AP255,-1)</f>
        <v>2509</v>
      </c>
      <c r="AT255" s="58" t="n">
        <f aca="false">IF(AND(OR(BY255="L1",BY255="L23"),AP255&gt;0),SUMIFS($AP$7:$AP$1843,$BY$7:$BY$1843,BY255,$AS$7:$AS$1843,"&gt;"&amp;AS255)+SUMIFS($AP$7:$AP$1843,$BY$7:$BY$1843,BY255,$AS$7:$AS$1843,AS255,$BQ$7:$BQ$1843,"&lt;="&amp;BQ255),"")</f>
        <v>16.8359008141617</v>
      </c>
      <c r="AU255" s="65" t="n">
        <f aca="false">IF(AT255="",0,MAX(0,MIN(1,(IF(BY255="L1",Parameter!$E$5,Parameter!$E$6+Parameter!$E$7)-(AT255-AP255))/AP255)))</f>
        <v>1</v>
      </c>
      <c r="AV255" s="57" t="n">
        <f aca="false">IF(LEFT(Cockpit!$O$5,1)="A",H255,IF(CA255=1,CB255,IF(LEFT(Cockpit!$O$5,1)="B",AZ255,MAX(AZ255,H255))))</f>
        <v>390</v>
      </c>
      <c r="AW255" s="57" t="n">
        <f aca="false">IF(BT255=1,0,ROUNDUP(AV255/BS255,0))</f>
        <v>2</v>
      </c>
      <c r="AX255" s="59" t="n">
        <f aca="false">IF(CH255&gt;0,CH255*MAX(1,AV255/X255),IF(BT255=1,IF(AV255&lt;=0,0,BW255*MAX(1,IF(H255&gt;0,AV255/H255,1))),IF(R255&gt;0,AW255/R255,0))/MAX(0.1,N(Parameter!$M$21)))</f>
        <v>0.0769230769230769</v>
      </c>
      <c r="AY255" s="57" t="n">
        <f aca="false">AV255*G255</f>
        <v>2312.7</v>
      </c>
      <c r="AZ255" s="57" t="n">
        <f aca="false">ROUNDUP(MAX(J255/IF(BZ255&gt;0,BZ255,MAX(0.1,N(Cockpit!$O$6))),CC255)/BS255,0)*BS255</f>
        <v>390</v>
      </c>
      <c r="BA255" s="58" t="n">
        <f aca="false">IF(AX255&gt;0,J255/AX255,-1)</f>
        <v>2509</v>
      </c>
      <c r="BB255" s="58" t="n">
        <f aca="false">IF(AND(OR(BY255="L1",BY255="L23"),AX255&gt;0),SUMIFS($AX$7:$AX$1843,$BY$7:$BY$1843,BY255,$BA$7:$BA$1843,"&gt;"&amp;BA255)+SUMIFS($AX$7:$AX$1843,$BY$7:$BY$1843,BY255,$BA$7:$BA$1843,BA255,$BQ$7:$BQ$1843,"&lt;="&amp;BQ255),"")</f>
        <v>15.4093273875883</v>
      </c>
      <c r="BC255" s="65" t="n">
        <f aca="false">IF(BB255="",0,MAX(0,MIN(1,(IF(BY255="L1",Parameter!$E$5,Parameter!$E$6+Parameter!$E$7)-(BB255-AX255))/AX255)))</f>
        <v>1</v>
      </c>
      <c r="BD255" s="55" t="str">
        <f aca="false">IF(AH255&lt;=0,"",IF(BY255="Aussen","Aussenlager",IF(BY255="-","Nicht im Lift",IF(AM255&gt;=1,"Lift",IF(AM255&lt;=0,"Aussenlager","teilweise")))))</f>
        <v>Lift</v>
      </c>
      <c r="BE255" s="55" t="str">
        <f aca="false">IF(AP255&lt;=0,"",IF(BY255="Aussen","Aussenlager",IF(BY255="-","Nicht im Lift",IF(AU255&gt;=1,"Lift",IF(AU255&lt;=0,"Aussenlager","teilweise")))))</f>
        <v>Lift</v>
      </c>
      <c r="BF255" s="55" t="str">
        <f aca="false">IF(AX255&lt;=0,"",IF(BY255="Aussen","Aussenlager",IF(BY255="-","Nicht im Lift",IF(BC255&gt;=1,"Lift",IF(BC255&lt;=0,"Aussenlager","teilweise")))))</f>
        <v>Lift</v>
      </c>
      <c r="BG255" s="55" t="str">
        <f aca="false">IF(A255="","",IF(BP255=1,"Neu; ","")&amp;IF(AND(BP255=0,BK255&lt;0),"negativer Bestand (Export "&amp;BK255&amp;"); ","")&amp;IF(J255&lt;=0,"Kein Verbrauch; ","")&amp;IF(CH255&gt;0,"Lift "&amp;W255&amp;" lt. Liftbericht (Fach "&amp;X255&amp;" Stk); ",IF(BU255=1,"Gebinde geschätzt ("&amp;T255&amp;"); ",IF(BT255=1,"Lose – Tablare geschätzt; ","")))&amp;IF(H255&gt;AR255,"Überbestand "&amp;ROUND(H255-AR255,0)&amp;" Stk / CHF "&amp;ROUND((H255-AR255)*G255,0)&amp;"; ","")&amp;IF(AND(CA255=1,CB255&lt;CC255),"MAX &lt; MB+LG; ","")&amp;IF(AND(CG255&gt;0,CF255*10&gt;CG255),"zu hoch für Tablar; ","")&amp;IF(AND(BP255=0,OR(CA255=1,AA255&lt;&gt;"",U255&lt;&gt;"",V255&lt;&gt;"",AB255&lt;&gt;"")),"manuell übersteuert; ","")&amp;IF(AND(BT255=0,R255=0),"Gebinde unbekannt / Stellmass fehlt; ","")&amp;IF(AND(BT255=0,N(V255)&lt;=0,N(Q255)&lt;=0),"Menge pro Gebinde fehlt (Ist = 1 Gebinde); ","")&amp;BO255)</f>
        <v>Gebinde geschätzt (Klein); Menge pro Gebinde fehlt (Ist = 1 Gebinde); </v>
      </c>
      <c r="BH255" s="55"/>
      <c r="BI255" s="55"/>
      <c r="BJ255" s="62"/>
      <c r="BK255" s="57" t="n">
        <v>83</v>
      </c>
      <c r="BL255" s="57" t="n">
        <v>93</v>
      </c>
      <c r="BM255" s="56" t="n">
        <v>470.8</v>
      </c>
      <c r="BN255" s="57" t="n">
        <v>193</v>
      </c>
      <c r="BO255" s="55"/>
      <c r="BP255" s="60" t="n">
        <v>0</v>
      </c>
      <c r="BQ255" s="60" t="n">
        <v>255</v>
      </c>
      <c r="BR255" s="55" t="str">
        <f aca="false">IF(U255&lt;&gt;"",UPPER(TRIM(U255)),IF(BU255=1,UPPER(VLOOKUP(T255,Parameter!$I$27:$K$29,2,0)),IF(P255="","LOSE",P255)))</f>
        <v>S51</v>
      </c>
      <c r="BS255" s="57" t="n">
        <f aca="false">IF(BR255="LOSE",1,IF(N(V255)&gt;0,V255,IF(BU255=1,MAX(1,N(VLOOKUP(T255,Parameter!$I$27:$K$29,3,0)),H255,N(N255)),IF(N(Q255)&gt;0,Q255,MAX(1,H255)))))</f>
        <v>195</v>
      </c>
      <c r="BT255" s="60" t="n">
        <f aca="false">IF(BR255="LOSE",1,0)</f>
        <v>0</v>
      </c>
      <c r="BU255" s="60" t="n">
        <f aca="false">IF(AND(U255="",OR(P255="",P255="LOSE"),T255&lt;&gt;"",N(S255)&lt;=0,ISNUMBER(MATCH(T255,Parameter!$I$27:$I$29,0))),1,0)</f>
        <v>1</v>
      </c>
      <c r="BV255" s="55" t="str">
        <f aca="false">IF(AND(Parameter!$B$19="Ja",E255&lt;&gt;"",ISNUMBER(MATCH(E255,Parameter!$I$35:$I$52,0))),VLOOKUP(E255,Parameter!$I$35:$J$52,2,0),IFERROR(VLOOKUP(D255,Parameter!$A$35:$C$64,2,0),"Nein"))</f>
        <v>2+3</v>
      </c>
      <c r="BW255" s="59" t="n">
        <f aca="false">IF(BT255=0,0,IF(N(S255)&gt;0,S255,IFERROR(VLOOKUP(D255,Parameter!$A$35:$C$64,3,0)+0,0)))</f>
        <v>0</v>
      </c>
      <c r="BX255" s="55" t="n">
        <f aca="false">IF(AA255&lt;&gt;"",AA255,Z255)</f>
        <v>3</v>
      </c>
      <c r="BY255" s="55" t="str">
        <f aca="false">IF(BX255=1,"L1",IF(OR(BX255=2,BX255=3),"L23",IF(BX255="Aussen","Aussen","-")))</f>
        <v>L23</v>
      </c>
      <c r="BZ255" s="66" t="n">
        <f aca="false">IF(N(AB255)&gt;0,AB255,0)</f>
        <v>0</v>
      </c>
      <c r="CA255" s="60" t="n">
        <f aca="false">IF(ISNUMBER(AE255),1,0)</f>
        <v>0</v>
      </c>
      <c r="CB255" s="57" t="n">
        <f aca="false">N(AE255)</f>
        <v>0</v>
      </c>
      <c r="CC255" s="57" t="n">
        <f aca="false">N(M255)+N(N255)</f>
        <v>202</v>
      </c>
      <c r="CD255" s="57" t="n">
        <f aca="false">ROUNDUP(H255/BS255,0)</f>
        <v>1</v>
      </c>
      <c r="CE255" s="57" t="n">
        <f aca="false">ROUNDUP(CB255/BS255,0)</f>
        <v>0</v>
      </c>
      <c r="CF255" s="60" t="n">
        <f aca="false">IF(BT255=1,0,IFERROR(VLOOKUP(BR255,'Gebinde-Kategorie'!$A$5:$M$45,5,0)+0,0))</f>
        <v>11</v>
      </c>
      <c r="CG255" s="60" t="n">
        <f aca="false">IFERROR(IF(OR(BX255=1,BX255=2,BX255=3),N(INDEX(Parameter!$I$5:$I$7,BX255)),0),0)</f>
        <v>0</v>
      </c>
      <c r="CH255" s="59" t="n">
        <f aca="false">IF(AND(Parameter!$B$21="Ja",ISNUMBER(W255),N(X255)&gt;0),IFERROR(N(INDEX(Parameter!$L$5:$L$7,W255))*INDEX(Parameter!$E$5:$E$7,W255)*X255/SUMIFS($X$7:$X$1843,$W$7:$W$1843,W255),0),0)</f>
        <v>0</v>
      </c>
    </row>
    <row r="256" customFormat="false" ht="15" hidden="false" customHeight="false" outlineLevel="0" collapsed="false">
      <c r="A256" s="55" t="s">
        <v>695</v>
      </c>
      <c r="B256" s="55" t="s">
        <v>696</v>
      </c>
      <c r="C256" s="55" t="s">
        <v>164</v>
      </c>
      <c r="D256" s="55" t="s">
        <v>184</v>
      </c>
      <c r="E256" s="55" t="s">
        <v>185</v>
      </c>
      <c r="F256" s="55" t="s">
        <v>218</v>
      </c>
      <c r="G256" s="56" t="n">
        <v>116.9</v>
      </c>
      <c r="H256" s="57" t="n">
        <f aca="false">MAX(0,IF(AND(Parameter!$B$21="Ja",ISNUMBER(Y256)),Y256,IF(Parameter!$B$20="Jahresanfang 2025 + Export",BL256+BK256,BK256)))</f>
        <v>4</v>
      </c>
      <c r="I256" s="57" t="n">
        <f aca="false">H256*G256</f>
        <v>467.6</v>
      </c>
      <c r="J256" s="57" t="n">
        <f aca="false">BN256*Parameter!$B$18</f>
        <v>0</v>
      </c>
      <c r="K256" s="58" t="n">
        <v>2.5</v>
      </c>
      <c r="L256" s="59" t="n">
        <v>0</v>
      </c>
      <c r="M256" s="57" t="n">
        <v>0</v>
      </c>
      <c r="N256" s="57" t="n">
        <v>1</v>
      </c>
      <c r="O256" s="60" t="n">
        <v>21</v>
      </c>
      <c r="P256" s="55" t="s">
        <v>233</v>
      </c>
      <c r="Q256" s="57" t="n">
        <v>9</v>
      </c>
      <c r="R256" s="60" t="n">
        <f aca="false">IF(BT256=1,0,IFERROR(VLOOKUP(BR256,'Gebinde-Kategorie'!$A$5:$M$45,13,0)+0,0))</f>
        <v>26</v>
      </c>
      <c r="S256" s="61"/>
      <c r="T256" s="62"/>
      <c r="U256" s="62"/>
      <c r="V256" s="62"/>
      <c r="W256" s="55"/>
      <c r="X256" s="57"/>
      <c r="Y256" s="57"/>
      <c r="Z256" s="55" t="n">
        <f aca="false">IF(A256="","",IF(AND(Parameter!$B$21="Ja",ISNUMBER(W256)),W256,IF(BV256="2+3",IF(ISNUMBER(SEARCH("grosser Artikel",BO256)),2,IFERROR(VLOOKUP(BR256,Parameter!$F$35:$G$64,2,0),2)),IF(OR(BV256="Nein",BV256=""),"-",BV256))))</f>
        <v>3</v>
      </c>
      <c r="AA256" s="62"/>
      <c r="AB256" s="63"/>
      <c r="AC256" s="57" t="n">
        <f aca="false">AR256</f>
        <v>9</v>
      </c>
      <c r="AD256" s="57" t="n">
        <f aca="false">MAX(AR256,H256)</f>
        <v>9</v>
      </c>
      <c r="AE256" s="64"/>
      <c r="AF256" s="57" t="n">
        <f aca="false">IF(LEFT(Cockpit!$C$5,1)="A",H256,IF(CA256=1,CB256,IF(LEFT(Cockpit!$C$5,1)="B",AJ256,MAX(AJ256,H256))))</f>
        <v>4</v>
      </c>
      <c r="AG256" s="57" t="n">
        <f aca="false">IF(BT256=1,0,ROUNDUP(AF256/BS256,0))</f>
        <v>1</v>
      </c>
      <c r="AH256" s="59" t="n">
        <f aca="false">IF(CH256&gt;0,CH256*MAX(1,AF256/X256),IF(BT256=1,IF(AF256&lt;=0,0,BW256*MAX(1,IF(H256&gt;0,AF256/H256,1))),IF(R256&gt;0,AG256/R256,0))/MAX(0.1,N(Parameter!$M$21)))</f>
        <v>0.0384615384615385</v>
      </c>
      <c r="AI256" s="57" t="n">
        <f aca="false">AF256*G256</f>
        <v>467.6</v>
      </c>
      <c r="AJ256" s="57" t="n">
        <f aca="false">ROUNDUP(MAX(J256/IF(BZ256&gt;0,BZ256,MAX(0.1,N(Cockpit!$C$6))),CC256)/BS256,0)*BS256</f>
        <v>9</v>
      </c>
      <c r="AK256" s="58" t="n">
        <f aca="false">IF(AH256&gt;0,J256/AH256,-1)</f>
        <v>0</v>
      </c>
      <c r="AL256" s="58" t="n">
        <f aca="false">IF(AND(OR(BY256="L1",BY256="L23"),AH256&gt;0),SUMIFS($AH$7:$AH$1843,$BY$7:$BY$1843,BY256,$AK$7:$AK$1843,"&gt;"&amp;AK256)+SUMIFS($AH$7:$AH$1843,$BY$7:$BY$1843,BY256,$AK$7:$AK$1843,AK256,$BQ$7:$BQ$1843,"&lt;="&amp;BQ256),"")</f>
        <v>71.7867048410527</v>
      </c>
      <c r="AM256" s="65" t="n">
        <f aca="false">IF(AL256="",0,MAX(0,MIN(1,(IF(BY256="L1",Parameter!$E$5,Parameter!$E$6+Parameter!$E$7)-(AL256-AH256))/AH256)))</f>
        <v>1</v>
      </c>
      <c r="AN256" s="57" t="n">
        <f aca="false">IF(LEFT(Cockpit!$I$5,1)="A",H256,IF(CA256=1,CB256,IF(LEFT(Cockpit!$I$5,1)="B",AR256,MAX(AR256,H256))))</f>
        <v>9</v>
      </c>
      <c r="AO256" s="57" t="n">
        <f aca="false">IF(BT256=1,0,ROUNDUP(AN256/BS256,0))</f>
        <v>1</v>
      </c>
      <c r="AP256" s="59" t="n">
        <f aca="false">IF(CH256&gt;0,CH256*MAX(1,AN256/X256),IF(BT256=1,IF(AN256&lt;=0,0,BW256*MAX(1,IF(H256&gt;0,AN256/H256,1))),IF(R256&gt;0,AO256/R256,0))/MAX(0.1,N(Parameter!$M$21)))</f>
        <v>0.0384615384615385</v>
      </c>
      <c r="AQ256" s="57" t="n">
        <f aca="false">AN256*G256</f>
        <v>1052.1</v>
      </c>
      <c r="AR256" s="57" t="n">
        <f aca="false">ROUNDUP(MAX(J256/IF(BZ256&gt;0,BZ256,MAX(0.1,N(Cockpit!$I$6))),CC256)/BS256,0)*BS256</f>
        <v>9</v>
      </c>
      <c r="AS256" s="58" t="n">
        <f aca="false">IF(AP256&gt;0,J256/AP256,-1)</f>
        <v>0</v>
      </c>
      <c r="AT256" s="58" t="n">
        <f aca="false">IF(AND(OR(BY256="L1",BY256="L23"),AP256&gt;0),SUMIFS($AP$7:$AP$1843,$BY$7:$BY$1843,BY256,$AS$7:$AS$1843,"&gt;"&amp;AS256)+SUMIFS($AP$7:$AP$1843,$BY$7:$BY$1843,BY256,$AS$7:$AS$1843,AS256,$BQ$7:$BQ$1843,"&lt;="&amp;BQ256),"")</f>
        <v>111.210829026046</v>
      </c>
      <c r="AU256" s="65" t="n">
        <f aca="false">IF(AT256="",0,MAX(0,MIN(1,(IF(BY256="L1",Parameter!$E$5,Parameter!$E$6+Parameter!$E$7)-(AT256-AP256))/AP256)))</f>
        <v>0</v>
      </c>
      <c r="AV256" s="57" t="n">
        <f aca="false">IF(LEFT(Cockpit!$O$5,1)="A",H256,IF(CA256=1,CB256,IF(LEFT(Cockpit!$O$5,1)="B",AZ256,MAX(AZ256,H256))))</f>
        <v>9</v>
      </c>
      <c r="AW256" s="57" t="n">
        <f aca="false">IF(BT256=1,0,ROUNDUP(AV256/BS256,0))</f>
        <v>1</v>
      </c>
      <c r="AX256" s="59" t="n">
        <f aca="false">IF(CH256&gt;0,CH256*MAX(1,AV256/X256),IF(BT256=1,IF(AV256&lt;=0,0,BW256*MAX(1,IF(H256&gt;0,AV256/H256,1))),IF(R256&gt;0,AW256/R256,0))/MAX(0.1,N(Parameter!$M$21)))</f>
        <v>0.0384615384615385</v>
      </c>
      <c r="AY256" s="57" t="n">
        <f aca="false">AV256*G256</f>
        <v>1052.1</v>
      </c>
      <c r="AZ256" s="57" t="n">
        <f aca="false">ROUNDUP(MAX(J256/IF(BZ256&gt;0,BZ256,MAX(0.1,N(Cockpit!$O$6))),CC256)/BS256,0)*BS256</f>
        <v>9</v>
      </c>
      <c r="BA256" s="58" t="n">
        <f aca="false">IF(AX256&gt;0,J256/AX256,-1)</f>
        <v>0</v>
      </c>
      <c r="BB256" s="58" t="n">
        <f aca="false">IF(AND(OR(BY256="L1",BY256="L23"),AX256&gt;0),SUMIFS($AX$7:$AX$1843,$BY$7:$BY$1843,BY256,$BA$7:$BA$1843,"&gt;"&amp;BA256)+SUMIFS($AX$7:$AX$1843,$BY$7:$BY$1843,BY256,$BA$7:$BA$1843,BA256,$BQ$7:$BQ$1843,"&lt;="&amp;BQ256),"")</f>
        <v>102.040665855883</v>
      </c>
      <c r="BC256" s="65" t="n">
        <f aca="false">IF(BB256="",0,MAX(0,MIN(1,(IF(BY256="L1",Parameter!$E$5,Parameter!$E$6+Parameter!$E$7)-(BB256-AX256))/AX256)))</f>
        <v>0</v>
      </c>
      <c r="BD256" s="55" t="str">
        <f aca="false">IF(AH256&lt;=0,"",IF(BY256="Aussen","Aussenlager",IF(BY256="-","Nicht im Lift",IF(AM256&gt;=1,"Lift",IF(AM256&lt;=0,"Aussenlager","teilweise")))))</f>
        <v>Lift</v>
      </c>
      <c r="BE256" s="55" t="str">
        <f aca="false">IF(AP256&lt;=0,"",IF(BY256="Aussen","Aussenlager",IF(BY256="-","Nicht im Lift",IF(AU256&gt;=1,"Lift",IF(AU256&lt;=0,"Aussenlager","teilweise")))))</f>
        <v>Aussenlager</v>
      </c>
      <c r="BF256" s="55" t="str">
        <f aca="false">IF(AX256&lt;=0,"",IF(BY256="Aussen","Aussenlager",IF(BY256="-","Nicht im Lift",IF(BC256&gt;=1,"Lift",IF(BC256&lt;=0,"Aussenlager","teilweise")))))</f>
        <v>Aussenlager</v>
      </c>
      <c r="BG256" s="55" t="str">
        <f aca="false">IF(A256="","",IF(BP256=1,"Neu; ","")&amp;IF(AND(BP256=0,BK256&lt;0),"negativer Bestand (Export "&amp;BK256&amp;"); ","")&amp;IF(J256&lt;=0,"Kein Verbrauch; ","")&amp;IF(CH256&gt;0,"Lift "&amp;W256&amp;" lt. Liftbericht (Fach "&amp;X256&amp;" Stk); ",IF(BU256=1,"Gebinde geschätzt ("&amp;T256&amp;"); ",IF(BT256=1,"Lose – Tablare geschätzt; ","")))&amp;IF(H256&gt;AR256,"Überbestand "&amp;ROUND(H256-AR256,0)&amp;" Stk / CHF "&amp;ROUND((H256-AR256)*G256,0)&amp;"; ","")&amp;IF(AND(CA256=1,CB256&lt;CC256),"MAX &lt; MB+LG; ","")&amp;IF(AND(CG256&gt;0,CF256*10&gt;CG256),"zu hoch für Tablar; ","")&amp;IF(AND(BP256=0,OR(CA256=1,AA256&lt;&gt;"",U256&lt;&gt;"",V256&lt;&gt;"",AB256&lt;&gt;"")),"manuell übersteuert; ","")&amp;IF(AND(BT256=0,R256=0),"Gebinde unbekannt / Stellmass fehlt; ","")&amp;IF(AND(BT256=0,N(V256)&lt;=0,N(Q256)&lt;=0),"Menge pro Gebinde fehlt (Ist = 1 Gebinde); ","")&amp;BO256)</f>
        <v>Kein Verbrauch; </v>
      </c>
      <c r="BH256" s="55"/>
      <c r="BI256" s="55"/>
      <c r="BJ256" s="62"/>
      <c r="BK256" s="57" t="n">
        <v>4</v>
      </c>
      <c r="BL256" s="57" t="n">
        <v>0</v>
      </c>
      <c r="BM256" s="56" t="n">
        <v>467.6</v>
      </c>
      <c r="BN256" s="57" t="n">
        <v>0</v>
      </c>
      <c r="BO256" s="55"/>
      <c r="BP256" s="60" t="n">
        <v>0</v>
      </c>
      <c r="BQ256" s="60" t="n">
        <v>256</v>
      </c>
      <c r="BR256" s="55" t="str">
        <f aca="false">IF(U256&lt;&gt;"",UPPER(TRIM(U256)),IF(BU256=1,UPPER(VLOOKUP(T256,Parameter!$I$27:$K$29,2,0)),IF(P256="","LOSE",P256)))</f>
        <v>S52</v>
      </c>
      <c r="BS256" s="57" t="n">
        <f aca="false">IF(BR256="LOSE",1,IF(N(V256)&gt;0,V256,IF(BU256=1,MAX(1,N(VLOOKUP(T256,Parameter!$I$27:$K$29,3,0)),H256,N(N256)),IF(N(Q256)&gt;0,Q256,MAX(1,H256)))))</f>
        <v>9</v>
      </c>
      <c r="BT256" s="60" t="n">
        <f aca="false">IF(BR256="LOSE",1,0)</f>
        <v>0</v>
      </c>
      <c r="BU256" s="60" t="n">
        <f aca="false">IF(AND(U256="",OR(P256="",P256="LOSE"),T256&lt;&gt;"",N(S256)&lt;=0,ISNUMBER(MATCH(T256,Parameter!$I$27:$I$29,0))),1,0)</f>
        <v>0</v>
      </c>
      <c r="BV256" s="55" t="str">
        <f aca="false">IF(AND(Parameter!$B$19="Ja",E256&lt;&gt;"",ISNUMBER(MATCH(E256,Parameter!$I$35:$I$52,0))),VLOOKUP(E256,Parameter!$I$35:$J$52,2,0),IFERROR(VLOOKUP(D256,Parameter!$A$35:$C$64,2,0),"Nein"))</f>
        <v>2+3</v>
      </c>
      <c r="BW256" s="59" t="n">
        <f aca="false">IF(BT256=0,0,IF(N(S256)&gt;0,S256,IFERROR(VLOOKUP(D256,Parameter!$A$35:$C$64,3,0)+0,0)))</f>
        <v>0</v>
      </c>
      <c r="BX256" s="55" t="n">
        <f aca="false">IF(AA256&lt;&gt;"",AA256,Z256)</f>
        <v>3</v>
      </c>
      <c r="BY256" s="55" t="str">
        <f aca="false">IF(BX256=1,"L1",IF(OR(BX256=2,BX256=3),"L23",IF(BX256="Aussen","Aussen","-")))</f>
        <v>L23</v>
      </c>
      <c r="BZ256" s="66" t="n">
        <f aca="false">IF(N(AB256)&gt;0,AB256,0)</f>
        <v>0</v>
      </c>
      <c r="CA256" s="60" t="n">
        <f aca="false">IF(ISNUMBER(AE256),1,0)</f>
        <v>0</v>
      </c>
      <c r="CB256" s="57" t="n">
        <f aca="false">N(AE256)</f>
        <v>0</v>
      </c>
      <c r="CC256" s="57" t="n">
        <f aca="false">N(M256)+N(N256)</f>
        <v>1</v>
      </c>
      <c r="CD256" s="57" t="n">
        <f aca="false">ROUNDUP(H256/BS256,0)</f>
        <v>1</v>
      </c>
      <c r="CE256" s="57" t="n">
        <f aca="false">ROUNDUP(CB256/BS256,0)</f>
        <v>0</v>
      </c>
      <c r="CF256" s="60" t="n">
        <f aca="false">IF(BT256=1,0,IFERROR(VLOOKUP(BR256,'Gebinde-Kategorie'!$A$5:$M$45,5,0)+0,0))</f>
        <v>21</v>
      </c>
      <c r="CG256" s="60" t="n">
        <f aca="false">IFERROR(IF(OR(BX256=1,BX256=2,BX256=3),N(INDEX(Parameter!$I$5:$I$7,BX256)),0),0)</f>
        <v>0</v>
      </c>
      <c r="CH256" s="59" t="n">
        <f aca="false">IF(AND(Parameter!$B$21="Ja",ISNUMBER(W256),N(X256)&gt;0),IFERROR(N(INDEX(Parameter!$L$5:$L$7,W256))*INDEX(Parameter!$E$5:$E$7,W256)*X256/SUMIFS($X$7:$X$1843,$W$7:$W$1843,W256),0),0)</f>
        <v>0</v>
      </c>
    </row>
    <row r="257" customFormat="false" ht="15" hidden="false" customHeight="false" outlineLevel="0" collapsed="false">
      <c r="A257" s="55" t="s">
        <v>697</v>
      </c>
      <c r="B257" s="55" t="s">
        <v>698</v>
      </c>
      <c r="C257" s="55" t="s">
        <v>164</v>
      </c>
      <c r="D257" s="55" t="s">
        <v>173</v>
      </c>
      <c r="E257" s="55" t="s">
        <v>173</v>
      </c>
      <c r="F257" s="55" t="s">
        <v>218</v>
      </c>
      <c r="G257" s="56" t="n">
        <v>467.1</v>
      </c>
      <c r="H257" s="57" t="n">
        <f aca="false">MAX(0,IF(AND(Parameter!$B$21="Ja",ISNUMBER(Y257)),Y257,IF(Parameter!$B$20="Jahresanfang 2025 + Export",BL257+BK257,BK257)))</f>
        <v>1</v>
      </c>
      <c r="I257" s="57" t="n">
        <f aca="false">H257*G257</f>
        <v>467.1</v>
      </c>
      <c r="J257" s="57" t="n">
        <f aca="false">BN257*Parameter!$B$18</f>
        <v>1</v>
      </c>
      <c r="K257" s="58" t="n">
        <v>0.5</v>
      </c>
      <c r="L257" s="59" t="n">
        <v>2</v>
      </c>
      <c r="M257" s="57" t="n">
        <v>0</v>
      </c>
      <c r="N257" s="57" t="n">
        <v>1</v>
      </c>
      <c r="O257" s="60" t="n">
        <v>28</v>
      </c>
      <c r="P257" s="55" t="s">
        <v>168</v>
      </c>
      <c r="Q257" s="57"/>
      <c r="R257" s="60" t="n">
        <f aca="false">IF(BT257=1,0,IFERROR(VLOOKUP(BR257,'Gebinde-Kategorie'!$A$5:$M$45,13,0)+0,0))</f>
        <v>12</v>
      </c>
      <c r="S257" s="61"/>
      <c r="T257" s="62" t="s">
        <v>179</v>
      </c>
      <c r="U257" s="62"/>
      <c r="V257" s="62"/>
      <c r="W257" s="55"/>
      <c r="X257" s="57"/>
      <c r="Y257" s="57"/>
      <c r="Z257" s="55" t="str">
        <f aca="false">IF(A257="","",IF(AND(Parameter!$B$21="Ja",ISNUMBER(W257)),W257,IF(BV257="2+3",IF(ISNUMBER(SEARCH("grosser Artikel",BO257)),2,IFERROR(VLOOKUP(BR257,Parameter!$F$35:$G$64,2,0),2)),IF(OR(BV257="Nein",BV257=""),"-",BV257))))</f>
        <v>-</v>
      </c>
      <c r="AA257" s="62"/>
      <c r="AB257" s="63"/>
      <c r="AC257" s="57" t="n">
        <f aca="false">AR257</f>
        <v>4</v>
      </c>
      <c r="AD257" s="57" t="n">
        <f aca="false">MAX(AR257,H257)</f>
        <v>4</v>
      </c>
      <c r="AE257" s="64"/>
      <c r="AF257" s="57" t="n">
        <f aca="false">IF(LEFT(Cockpit!$C$5,1)="A",H257,IF(CA257=1,CB257,IF(LEFT(Cockpit!$C$5,1)="B",AJ257,MAX(AJ257,H257))))</f>
        <v>1</v>
      </c>
      <c r="AG257" s="57" t="n">
        <f aca="false">IF(BT257=1,0,ROUNDUP(AF257/BS257,0))</f>
        <v>1</v>
      </c>
      <c r="AH257" s="59" t="n">
        <f aca="false">IF(CH257&gt;0,CH257*MAX(1,AF257/X257),IF(BT257=1,IF(AF257&lt;=0,0,BW257*MAX(1,IF(H257&gt;0,AF257/H257,1))),IF(R257&gt;0,AG257/R257,0))/MAX(0.1,N(Parameter!$M$21)))</f>
        <v>0.0833333333333333</v>
      </c>
      <c r="AI257" s="57" t="n">
        <f aca="false">AF257*G257</f>
        <v>467.1</v>
      </c>
      <c r="AJ257" s="57" t="n">
        <f aca="false">ROUNDUP(MAX(J257/IF(BZ257&gt;0,BZ257,MAX(0.1,N(Cockpit!$C$6))),CC257)/BS257,0)*BS257</f>
        <v>4</v>
      </c>
      <c r="AK257" s="58" t="n">
        <f aca="false">IF(AH257&gt;0,J257/AH257,-1)</f>
        <v>12</v>
      </c>
      <c r="AL257" s="58" t="str">
        <f aca="false">IF(AND(OR(BY257="L1",BY257="L23"),AH257&gt;0),SUMIFS($AH$7:$AH$1843,$BY$7:$BY$1843,BY257,$AK$7:$AK$1843,"&gt;"&amp;AK257)+SUMIFS($AH$7:$AH$1843,$BY$7:$BY$1843,BY257,$AK$7:$AK$1843,AK257,$BQ$7:$BQ$1843,"&lt;="&amp;BQ257),"")</f>
        <v/>
      </c>
      <c r="AM257" s="65" t="n">
        <f aca="false">IF(AL257="",0,MAX(0,MIN(1,(IF(BY257="L1",Parameter!$E$5,Parameter!$E$6+Parameter!$E$7)-(AL257-AH257))/AH257)))</f>
        <v>0</v>
      </c>
      <c r="AN257" s="57" t="n">
        <f aca="false">IF(LEFT(Cockpit!$I$5,1)="A",H257,IF(CA257=1,CB257,IF(LEFT(Cockpit!$I$5,1)="B",AR257,MAX(AR257,H257))))</f>
        <v>4</v>
      </c>
      <c r="AO257" s="57" t="n">
        <f aca="false">IF(BT257=1,0,ROUNDUP(AN257/BS257,0))</f>
        <v>1</v>
      </c>
      <c r="AP257" s="59" t="n">
        <f aca="false">IF(CH257&gt;0,CH257*MAX(1,AN257/X257),IF(BT257=1,IF(AN257&lt;=0,0,BW257*MAX(1,IF(H257&gt;0,AN257/H257,1))),IF(R257&gt;0,AO257/R257,0))/MAX(0.1,N(Parameter!$M$21)))</f>
        <v>0.0833333333333333</v>
      </c>
      <c r="AQ257" s="57" t="n">
        <f aca="false">AN257*G257</f>
        <v>1868.4</v>
      </c>
      <c r="AR257" s="57" t="n">
        <f aca="false">ROUNDUP(MAX(J257/IF(BZ257&gt;0,BZ257,MAX(0.1,N(Cockpit!$I$6))),CC257)/BS257,0)*BS257</f>
        <v>4</v>
      </c>
      <c r="AS257" s="58" t="n">
        <f aca="false">IF(AP257&gt;0,J257/AP257,-1)</f>
        <v>12</v>
      </c>
      <c r="AT257" s="58" t="str">
        <f aca="false">IF(AND(OR(BY257="L1",BY257="L23"),AP257&gt;0),SUMIFS($AP$7:$AP$1843,$BY$7:$BY$1843,BY257,$AS$7:$AS$1843,"&gt;"&amp;AS257)+SUMIFS($AP$7:$AP$1843,$BY$7:$BY$1843,BY257,$AS$7:$AS$1843,AS257,$BQ$7:$BQ$1843,"&lt;="&amp;BQ257),"")</f>
        <v/>
      </c>
      <c r="AU257" s="65" t="n">
        <f aca="false">IF(AT257="",0,MAX(0,MIN(1,(IF(BY257="L1",Parameter!$E$5,Parameter!$E$6+Parameter!$E$7)-(AT257-AP257))/AP257)))</f>
        <v>0</v>
      </c>
      <c r="AV257" s="57" t="n">
        <f aca="false">IF(LEFT(Cockpit!$O$5,1)="A",H257,IF(CA257=1,CB257,IF(LEFT(Cockpit!$O$5,1)="B",AZ257,MAX(AZ257,H257))))</f>
        <v>4</v>
      </c>
      <c r="AW257" s="57" t="n">
        <f aca="false">IF(BT257=1,0,ROUNDUP(AV257/BS257,0))</f>
        <v>1</v>
      </c>
      <c r="AX257" s="59" t="n">
        <f aca="false">IF(CH257&gt;0,CH257*MAX(1,AV257/X257),IF(BT257=1,IF(AV257&lt;=0,0,BW257*MAX(1,IF(H257&gt;0,AV257/H257,1))),IF(R257&gt;0,AW257/R257,0))/MAX(0.1,N(Parameter!$M$21)))</f>
        <v>0.0833333333333333</v>
      </c>
      <c r="AY257" s="57" t="n">
        <f aca="false">AV257*G257</f>
        <v>1868.4</v>
      </c>
      <c r="AZ257" s="57" t="n">
        <f aca="false">ROUNDUP(MAX(J257/IF(BZ257&gt;0,BZ257,MAX(0.1,N(Cockpit!$O$6))),CC257)/BS257,0)*BS257</f>
        <v>4</v>
      </c>
      <c r="BA257" s="58" t="n">
        <f aca="false">IF(AX257&gt;0,J257/AX257,-1)</f>
        <v>12</v>
      </c>
      <c r="BB257" s="58" t="str">
        <f aca="false">IF(AND(OR(BY257="L1",BY257="L23"),AX257&gt;0),SUMIFS($AX$7:$AX$1843,$BY$7:$BY$1843,BY257,$BA$7:$BA$1843,"&gt;"&amp;BA257)+SUMIFS($AX$7:$AX$1843,$BY$7:$BY$1843,BY257,$BA$7:$BA$1843,BA257,$BQ$7:$BQ$1843,"&lt;="&amp;BQ257),"")</f>
        <v/>
      </c>
      <c r="BC257" s="65" t="n">
        <f aca="false">IF(BB257="",0,MAX(0,MIN(1,(IF(BY257="L1",Parameter!$E$5,Parameter!$E$6+Parameter!$E$7)-(BB257-AX257))/AX257)))</f>
        <v>0</v>
      </c>
      <c r="BD257" s="55" t="str">
        <f aca="false">IF(AH257&lt;=0,"",IF(BY257="Aussen","Aussenlager",IF(BY257="-","Nicht im Lift",IF(AM257&gt;=1,"Lift",IF(AM257&lt;=0,"Aussenlager","teilweise")))))</f>
        <v>Nicht im Lift</v>
      </c>
      <c r="BE257" s="55" t="str">
        <f aca="false">IF(AP257&lt;=0,"",IF(BY257="Aussen","Aussenlager",IF(BY257="-","Nicht im Lift",IF(AU257&gt;=1,"Lift",IF(AU257&lt;=0,"Aussenlager","teilweise")))))</f>
        <v>Nicht im Lift</v>
      </c>
      <c r="BF257" s="55" t="str">
        <f aca="false">IF(AX257&lt;=0,"",IF(BY257="Aussen","Aussenlager",IF(BY257="-","Nicht im Lift",IF(BC257&gt;=1,"Lift",IF(BC257&lt;=0,"Aussenlager","teilweise")))))</f>
        <v>Nicht im Lift</v>
      </c>
      <c r="BG257" s="55" t="str">
        <f aca="false">IF(A257="","",IF(BP257=1,"Neu; ","")&amp;IF(AND(BP257=0,BK257&lt;0),"negativer Bestand (Export "&amp;BK257&amp;"); ","")&amp;IF(J257&lt;=0,"Kein Verbrauch; ","")&amp;IF(CH257&gt;0,"Lift "&amp;W257&amp;" lt. Liftbericht (Fach "&amp;X257&amp;" Stk); ",IF(BU257=1,"Gebinde geschätzt ("&amp;T257&amp;"); ",IF(BT257=1,"Lose – Tablare geschätzt; ","")))&amp;IF(H257&gt;AR257,"Überbestand "&amp;ROUND(H257-AR257,0)&amp;" Stk / CHF "&amp;ROUND((H257-AR257)*G257,0)&amp;"; ","")&amp;IF(AND(CA257=1,CB257&lt;CC257),"MAX &lt; MB+LG; ","")&amp;IF(AND(CG257&gt;0,CF257*10&gt;CG257),"zu hoch für Tablar; ","")&amp;IF(AND(BP257=0,OR(CA257=1,AA257&lt;&gt;"",U257&lt;&gt;"",V257&lt;&gt;"",AB257&lt;&gt;"")),"manuell übersteuert; ","")&amp;IF(AND(BT257=0,R257=0),"Gebinde unbekannt / Stellmass fehlt; ","")&amp;IF(AND(BT257=0,N(V257)&lt;=0,N(Q257)&lt;=0),"Menge pro Gebinde fehlt (Ist = 1 Gebinde); ","")&amp;BO257)</f>
        <v>Gebinde geschätzt (Mittel); Menge pro Gebinde fehlt (Ist = 1 Gebinde); </v>
      </c>
      <c r="BH257" s="55"/>
      <c r="BI257" s="55"/>
      <c r="BJ257" s="62"/>
      <c r="BK257" s="57" t="n">
        <v>1</v>
      </c>
      <c r="BL257" s="57" t="n">
        <v>0</v>
      </c>
      <c r="BM257" s="56" t="n">
        <v>467.1</v>
      </c>
      <c r="BN257" s="57" t="n">
        <v>1</v>
      </c>
      <c r="BO257" s="55"/>
      <c r="BP257" s="60" t="n">
        <v>0</v>
      </c>
      <c r="BQ257" s="60" t="n">
        <v>257</v>
      </c>
      <c r="BR257" s="55" t="str">
        <f aca="false">IF(U257&lt;&gt;"",UPPER(TRIM(U257)),IF(BU257=1,UPPER(VLOOKUP(T257,Parameter!$I$27:$K$29,2,0)),IF(P257="","LOSE",P257)))</f>
        <v>S61</v>
      </c>
      <c r="BS257" s="57" t="n">
        <f aca="false">IF(BR257="LOSE",1,IF(N(V257)&gt;0,V257,IF(BU257=1,MAX(1,N(VLOOKUP(T257,Parameter!$I$27:$K$29,3,0)),H257,N(N257)),IF(N(Q257)&gt;0,Q257,MAX(1,H257)))))</f>
        <v>4</v>
      </c>
      <c r="BT257" s="60" t="n">
        <f aca="false">IF(BR257="LOSE",1,0)</f>
        <v>0</v>
      </c>
      <c r="BU257" s="60" t="n">
        <f aca="false">IF(AND(U257="",OR(P257="",P257="LOSE"),T257&lt;&gt;"",N(S257)&lt;=0,ISNUMBER(MATCH(T257,Parameter!$I$27:$I$29,0))),1,0)</f>
        <v>1</v>
      </c>
      <c r="BV257" s="55" t="str">
        <f aca="false">IF(AND(Parameter!$B$19="Ja",E257&lt;&gt;"",ISNUMBER(MATCH(E257,Parameter!$I$35:$I$52,0))),VLOOKUP(E257,Parameter!$I$35:$J$52,2,0),IFERROR(VLOOKUP(D257,Parameter!$A$35:$C$64,2,0),"Nein"))</f>
        <v>Nein</v>
      </c>
      <c r="BW257" s="59" t="n">
        <f aca="false">IF(BT257=0,0,IF(N(S257)&gt;0,S257,IFERROR(VLOOKUP(D257,Parameter!$A$35:$C$64,3,0)+0,0)))</f>
        <v>0</v>
      </c>
      <c r="BX257" s="55" t="str">
        <f aca="false">IF(AA257&lt;&gt;"",AA257,Z257)</f>
        <v>-</v>
      </c>
      <c r="BY257" s="55" t="str">
        <f aca="false">IF(BX257=1,"L1",IF(OR(BX257=2,BX257=3),"L23",IF(BX257="Aussen","Aussen","-")))</f>
        <v>-</v>
      </c>
      <c r="BZ257" s="66" t="n">
        <f aca="false">IF(N(AB257)&gt;0,AB257,0)</f>
        <v>0</v>
      </c>
      <c r="CA257" s="60" t="n">
        <f aca="false">IF(ISNUMBER(AE257),1,0)</f>
        <v>0</v>
      </c>
      <c r="CB257" s="57" t="n">
        <f aca="false">N(AE257)</f>
        <v>0</v>
      </c>
      <c r="CC257" s="57" t="n">
        <f aca="false">N(M257)+N(N257)</f>
        <v>1</v>
      </c>
      <c r="CD257" s="57" t="n">
        <f aca="false">ROUNDUP(H257/BS257,0)</f>
        <v>1</v>
      </c>
      <c r="CE257" s="57" t="n">
        <f aca="false">ROUNDUP(CB257/BS257,0)</f>
        <v>0</v>
      </c>
      <c r="CF257" s="60" t="n">
        <f aca="false">IF(BT257=1,0,IFERROR(VLOOKUP(BR257,'Gebinde-Kategorie'!$A$5:$M$45,5,0)+0,0))</f>
        <v>11</v>
      </c>
      <c r="CG257" s="60" t="n">
        <f aca="false">IFERROR(IF(OR(BX257=1,BX257=2,BX257=3),N(INDEX(Parameter!$I$5:$I$7,BX257)),0),0)</f>
        <v>0</v>
      </c>
      <c r="CH257" s="59" t="n">
        <f aca="false">IF(AND(Parameter!$B$21="Ja",ISNUMBER(W257),N(X257)&gt;0),IFERROR(N(INDEX(Parameter!$L$5:$L$7,W257))*INDEX(Parameter!$E$5:$E$7,W257)*X257/SUMIFS($X$7:$X$1843,$W$7:$W$1843,W257),0),0)</f>
        <v>0</v>
      </c>
    </row>
    <row r="258" customFormat="false" ht="15" hidden="false" customHeight="false" outlineLevel="0" collapsed="false">
      <c r="A258" s="55" t="s">
        <v>699</v>
      </c>
      <c r="B258" s="55" t="s">
        <v>700</v>
      </c>
      <c r="C258" s="55" t="s">
        <v>164</v>
      </c>
      <c r="D258" s="55" t="s">
        <v>173</v>
      </c>
      <c r="E258" s="55" t="s">
        <v>185</v>
      </c>
      <c r="F258" s="55" t="s">
        <v>218</v>
      </c>
      <c r="G258" s="56" t="n">
        <v>84.68</v>
      </c>
      <c r="H258" s="57" t="n">
        <f aca="false">MAX(0,IF(AND(Parameter!$B$21="Ja",ISNUMBER(Y258)),Y258,IF(Parameter!$B$20="Jahresanfang 2025 + Export",BL258+BK258,BK258)))</f>
        <v>25</v>
      </c>
      <c r="I258" s="57" t="n">
        <f aca="false">H258*G258</f>
        <v>2117</v>
      </c>
      <c r="J258" s="57" t="n">
        <f aca="false">BN258*Parameter!$B$18</f>
        <v>83</v>
      </c>
      <c r="K258" s="58" t="n">
        <v>17</v>
      </c>
      <c r="L258" s="59" t="n">
        <v>4.88235294117647</v>
      </c>
      <c r="M258" s="57" t="n">
        <v>2</v>
      </c>
      <c r="N258" s="57" t="n">
        <v>20</v>
      </c>
      <c r="O258" s="60" t="n">
        <v>7</v>
      </c>
      <c r="P258" s="55" t="s">
        <v>226</v>
      </c>
      <c r="Q258" s="57" t="n">
        <v>45</v>
      </c>
      <c r="R258" s="60" t="n">
        <f aca="false">IF(BT258=1,0,IFERROR(VLOOKUP(BR258,'Gebinde-Kategorie'!$A$5:$M$45,13,0)+0,0))</f>
        <v>12</v>
      </c>
      <c r="S258" s="61"/>
      <c r="T258" s="62"/>
      <c r="U258" s="62"/>
      <c r="V258" s="62"/>
      <c r="W258" s="55"/>
      <c r="X258" s="57"/>
      <c r="Y258" s="57"/>
      <c r="Z258" s="55" t="n">
        <f aca="false">IF(A258="","",IF(AND(Parameter!$B$21="Ja",ISNUMBER(W258)),W258,IF(BV258="2+3",IF(ISNUMBER(SEARCH("grosser Artikel",BO258)),2,IFERROR(VLOOKUP(BR258,Parameter!$F$35:$G$64,2,0),2)),IF(OR(BV258="Nein",BV258=""),"-",BV258))))</f>
        <v>2</v>
      </c>
      <c r="AA258" s="62"/>
      <c r="AB258" s="63"/>
      <c r="AC258" s="57" t="n">
        <f aca="false">AR258</f>
        <v>45</v>
      </c>
      <c r="AD258" s="57" t="n">
        <f aca="false">MAX(AR258,H258)</f>
        <v>45</v>
      </c>
      <c r="AE258" s="64"/>
      <c r="AF258" s="57" t="n">
        <f aca="false">IF(LEFT(Cockpit!$C$5,1)="A",H258,IF(CA258=1,CB258,IF(LEFT(Cockpit!$C$5,1)="B",AJ258,MAX(AJ258,H258))))</f>
        <v>25</v>
      </c>
      <c r="AG258" s="57" t="n">
        <f aca="false">IF(BT258=1,0,ROUNDUP(AF258/BS258,0))</f>
        <v>1</v>
      </c>
      <c r="AH258" s="59" t="n">
        <f aca="false">IF(CH258&gt;0,CH258*MAX(1,AF258/X258),IF(BT258=1,IF(AF258&lt;=0,0,BW258*MAX(1,IF(H258&gt;0,AF258/H258,1))),IF(R258&gt;0,AG258/R258,0))/MAX(0.1,N(Parameter!$M$21)))</f>
        <v>0.0833333333333333</v>
      </c>
      <c r="AI258" s="57" t="n">
        <f aca="false">AF258*G258</f>
        <v>2117</v>
      </c>
      <c r="AJ258" s="57" t="n">
        <f aca="false">ROUNDUP(MAX(J258/IF(BZ258&gt;0,BZ258,MAX(0.1,N(Cockpit!$C$6))),CC258)/BS258,0)*BS258</f>
        <v>45</v>
      </c>
      <c r="AK258" s="58" t="n">
        <f aca="false">IF(AH258&gt;0,J258/AH258,-1)</f>
        <v>996</v>
      </c>
      <c r="AL258" s="58" t="n">
        <f aca="false">IF(AND(OR(BY258="L1",BY258="L23"),AH258&gt;0),SUMIFS($AH$7:$AH$1843,$BY$7:$BY$1843,BY258,$AK$7:$AK$1843,"&gt;"&amp;AK258)+SUMIFS($AH$7:$AH$1843,$BY$7:$BY$1843,BY258,$AK$7:$AK$1843,AK258,$BQ$7:$BQ$1843,"&lt;="&amp;BQ258),"")</f>
        <v>17.801104692409</v>
      </c>
      <c r="AM258" s="65" t="n">
        <f aca="false">IF(AL258="",0,MAX(0,MIN(1,(IF(BY258="L1",Parameter!$E$5,Parameter!$E$6+Parameter!$E$7)-(AL258-AH258))/AH258)))</f>
        <v>1</v>
      </c>
      <c r="AN258" s="57" t="n">
        <f aca="false">IF(LEFT(Cockpit!$I$5,1)="A",H258,IF(CA258=1,CB258,IF(LEFT(Cockpit!$I$5,1)="B",AR258,MAX(AR258,H258))))</f>
        <v>45</v>
      </c>
      <c r="AO258" s="57" t="n">
        <f aca="false">IF(BT258=1,0,ROUNDUP(AN258/BS258,0))</f>
        <v>1</v>
      </c>
      <c r="AP258" s="59" t="n">
        <f aca="false">IF(CH258&gt;0,CH258*MAX(1,AN258/X258),IF(BT258=1,IF(AN258&lt;=0,0,BW258*MAX(1,IF(H258&gt;0,AN258/H258,1))),IF(R258&gt;0,AO258/R258,0))/MAX(0.1,N(Parameter!$M$21)))</f>
        <v>0.0833333333333333</v>
      </c>
      <c r="AQ258" s="57" t="n">
        <f aca="false">AN258*G258</f>
        <v>3810.6</v>
      </c>
      <c r="AR258" s="57" t="n">
        <f aca="false">ROUNDUP(MAX(J258/IF(BZ258&gt;0,BZ258,MAX(0.1,N(Cockpit!$I$6))),CC258)/BS258,0)*BS258</f>
        <v>45</v>
      </c>
      <c r="AS258" s="58" t="n">
        <f aca="false">IF(AP258&gt;0,J258/AP258,-1)</f>
        <v>996</v>
      </c>
      <c r="AT258" s="58" t="n">
        <f aca="false">IF(AND(OR(BY258="L1",BY258="L23"),AP258&gt;0),SUMIFS($AP$7:$AP$1843,$BY$7:$BY$1843,BY258,$AS$7:$AS$1843,"&gt;"&amp;AS258)+SUMIFS($AP$7:$AP$1843,$BY$7:$BY$1843,BY258,$AS$7:$AS$1843,AS258,$BQ$7:$BQ$1843,"&lt;="&amp;BQ258),"")</f>
        <v>23.7123999189217</v>
      </c>
      <c r="AU258" s="65" t="n">
        <f aca="false">IF(AT258="",0,MAX(0,MIN(1,(IF(BY258="L1",Parameter!$E$5,Parameter!$E$6+Parameter!$E$7)-(AT258-AP258))/AP258)))</f>
        <v>1</v>
      </c>
      <c r="AV258" s="57" t="n">
        <f aca="false">IF(LEFT(Cockpit!$O$5,1)="A",H258,IF(CA258=1,CB258,IF(LEFT(Cockpit!$O$5,1)="B",AZ258,MAX(AZ258,H258))))</f>
        <v>45</v>
      </c>
      <c r="AW258" s="57" t="n">
        <f aca="false">IF(BT258=1,0,ROUNDUP(AV258/BS258,0))</f>
        <v>1</v>
      </c>
      <c r="AX258" s="59" t="n">
        <f aca="false">IF(CH258&gt;0,CH258*MAX(1,AV258/X258),IF(BT258=1,IF(AV258&lt;=0,0,BW258*MAX(1,IF(H258&gt;0,AV258/H258,1))),IF(R258&gt;0,AW258/R258,0))/MAX(0.1,N(Parameter!$M$21)))</f>
        <v>0.0833333333333333</v>
      </c>
      <c r="AY258" s="57" t="n">
        <f aca="false">AV258*G258</f>
        <v>3810.6</v>
      </c>
      <c r="AZ258" s="57" t="n">
        <f aca="false">ROUNDUP(MAX(J258/IF(BZ258&gt;0,BZ258,MAX(0.1,N(Cockpit!$O$6))),CC258)/BS258,0)*BS258</f>
        <v>45</v>
      </c>
      <c r="BA258" s="58" t="n">
        <f aca="false">IF(AX258&gt;0,J258/AX258,-1)</f>
        <v>996</v>
      </c>
      <c r="BB258" s="58" t="n">
        <f aca="false">IF(AND(OR(BY258="L1",BY258="L23"),AX258&gt;0),SUMIFS($AX$7:$AX$1843,$BY$7:$BY$1843,BY258,$BA$7:$BA$1843,"&gt;"&amp;BA258)+SUMIFS($AX$7:$AX$1843,$BY$7:$BY$1843,BY258,$BA$7:$BA$1843,BA258,$BQ$7:$BQ$1843,"&lt;="&amp;BQ258),"")</f>
        <v>23.1640316205534</v>
      </c>
      <c r="BC258" s="65" t="n">
        <f aca="false">IF(BB258="",0,MAX(0,MIN(1,(IF(BY258="L1",Parameter!$E$5,Parameter!$E$6+Parameter!$E$7)-(BB258-AX258))/AX258)))</f>
        <v>1</v>
      </c>
      <c r="BD258" s="55" t="str">
        <f aca="false">IF(AH258&lt;=0,"",IF(BY258="Aussen","Aussenlager",IF(BY258="-","Nicht im Lift",IF(AM258&gt;=1,"Lift",IF(AM258&lt;=0,"Aussenlager","teilweise")))))</f>
        <v>Lift</v>
      </c>
      <c r="BE258" s="55" t="str">
        <f aca="false">IF(AP258&lt;=0,"",IF(BY258="Aussen","Aussenlager",IF(BY258="-","Nicht im Lift",IF(AU258&gt;=1,"Lift",IF(AU258&lt;=0,"Aussenlager","teilweise")))))</f>
        <v>Lift</v>
      </c>
      <c r="BF258" s="55" t="str">
        <f aca="false">IF(AX258&lt;=0,"",IF(BY258="Aussen","Aussenlager",IF(BY258="-","Nicht im Lift",IF(BC258&gt;=1,"Lift",IF(BC258&lt;=0,"Aussenlager","teilweise")))))</f>
        <v>Lift</v>
      </c>
      <c r="BG258" s="55" t="str">
        <f aca="false">IF(A258="","",IF(BP258=1,"Neu; ","")&amp;IF(AND(BP258=0,BK258&lt;0),"negativer Bestand (Export "&amp;BK258&amp;"); ","")&amp;IF(J258&lt;=0,"Kein Verbrauch; ","")&amp;IF(CH258&gt;0,"Lift "&amp;W258&amp;" lt. Liftbericht (Fach "&amp;X258&amp;" Stk); ",IF(BU258=1,"Gebinde geschätzt ("&amp;T258&amp;"); ",IF(BT258=1,"Lose – Tablare geschätzt; ","")))&amp;IF(H258&gt;AR258,"Überbestand "&amp;ROUND(H258-AR258,0)&amp;" Stk / CHF "&amp;ROUND((H258-AR258)*G258,0)&amp;"; ","")&amp;IF(AND(CA258=1,CB258&lt;CC258),"MAX &lt; MB+LG; ","")&amp;IF(AND(CG258&gt;0,CF258*10&gt;CG258),"zu hoch für Tablar; ","")&amp;IF(AND(BP258=0,OR(CA258=1,AA258&lt;&gt;"",U258&lt;&gt;"",V258&lt;&gt;"",AB258&lt;&gt;"")),"manuell übersteuert; ","")&amp;IF(AND(BT258=0,R258=0),"Gebinde unbekannt / Stellmass fehlt; ","")&amp;IF(AND(BT258=0,N(V258)&lt;=0,N(Q258)&lt;=0),"Menge pro Gebinde fehlt (Ist = 1 Gebinde); ","")&amp;BO258)</f>
        <v/>
      </c>
      <c r="BH258" s="55"/>
      <c r="BI258" s="55"/>
      <c r="BJ258" s="62"/>
      <c r="BK258" s="57" t="n">
        <v>5</v>
      </c>
      <c r="BL258" s="57" t="n">
        <v>20</v>
      </c>
      <c r="BM258" s="56" t="n">
        <v>459.799999999999</v>
      </c>
      <c r="BN258" s="57" t="n">
        <v>83</v>
      </c>
      <c r="BO258" s="55"/>
      <c r="BP258" s="60" t="n">
        <v>0</v>
      </c>
      <c r="BQ258" s="60" t="n">
        <v>258</v>
      </c>
      <c r="BR258" s="55" t="str">
        <f aca="false">IF(U258&lt;&gt;"",UPPER(TRIM(U258)),IF(BU258=1,UPPER(VLOOKUP(T258,Parameter!$I$27:$K$29,2,0)),IF(P258="","LOSE",P258)))</f>
        <v>S63</v>
      </c>
      <c r="BS258" s="57" t="n">
        <f aca="false">IF(BR258="LOSE",1,IF(N(V258)&gt;0,V258,IF(BU258=1,MAX(1,N(VLOOKUP(T258,Parameter!$I$27:$K$29,3,0)),H258,N(N258)),IF(N(Q258)&gt;0,Q258,MAX(1,H258)))))</f>
        <v>45</v>
      </c>
      <c r="BT258" s="60" t="n">
        <f aca="false">IF(BR258="LOSE",1,0)</f>
        <v>0</v>
      </c>
      <c r="BU258" s="60" t="n">
        <f aca="false">IF(AND(U258="",OR(P258="",P258="LOSE"),T258&lt;&gt;"",N(S258)&lt;=0,ISNUMBER(MATCH(T258,Parameter!$I$27:$I$29,0))),1,0)</f>
        <v>0</v>
      </c>
      <c r="BV258" s="55" t="str">
        <f aca="false">IF(AND(Parameter!$B$19="Ja",E258&lt;&gt;"",ISNUMBER(MATCH(E258,Parameter!$I$35:$I$52,0))),VLOOKUP(E258,Parameter!$I$35:$J$52,2,0),IFERROR(VLOOKUP(D258,Parameter!$A$35:$C$64,2,0),"Nein"))</f>
        <v>2+3</v>
      </c>
      <c r="BW258" s="59" t="n">
        <f aca="false">IF(BT258=0,0,IF(N(S258)&gt;0,S258,IFERROR(VLOOKUP(D258,Parameter!$A$35:$C$64,3,0)+0,0)))</f>
        <v>0</v>
      </c>
      <c r="BX258" s="55" t="n">
        <f aca="false">IF(AA258&lt;&gt;"",AA258,Z258)</f>
        <v>2</v>
      </c>
      <c r="BY258" s="55" t="str">
        <f aca="false">IF(BX258=1,"L1",IF(OR(BX258=2,BX258=3),"L23",IF(BX258="Aussen","Aussen","-")))</f>
        <v>L23</v>
      </c>
      <c r="BZ258" s="66" t="n">
        <f aca="false">IF(N(AB258)&gt;0,AB258,0)</f>
        <v>0</v>
      </c>
      <c r="CA258" s="60" t="n">
        <f aca="false">IF(ISNUMBER(AE258),1,0)</f>
        <v>0</v>
      </c>
      <c r="CB258" s="57" t="n">
        <f aca="false">N(AE258)</f>
        <v>0</v>
      </c>
      <c r="CC258" s="57" t="n">
        <f aca="false">N(M258)+N(N258)</f>
        <v>22</v>
      </c>
      <c r="CD258" s="57" t="n">
        <f aca="false">ROUNDUP(H258/BS258,0)</f>
        <v>1</v>
      </c>
      <c r="CE258" s="57" t="n">
        <f aca="false">ROUNDUP(CB258/BS258,0)</f>
        <v>0</v>
      </c>
      <c r="CF258" s="60" t="n">
        <f aca="false">IF(BT258=1,0,IFERROR(VLOOKUP(BR258,'Gebinde-Kategorie'!$A$5:$M$45,5,0)+0,0))</f>
        <v>31</v>
      </c>
      <c r="CG258" s="60" t="n">
        <f aca="false">IFERROR(IF(OR(BX258=1,BX258=2,BX258=3),N(INDEX(Parameter!$I$5:$I$7,BX258)),0),0)</f>
        <v>0</v>
      </c>
      <c r="CH258" s="59" t="n">
        <f aca="false">IF(AND(Parameter!$B$21="Ja",ISNUMBER(W258),N(X258)&gt;0),IFERROR(N(INDEX(Parameter!$L$5:$L$7,W258))*INDEX(Parameter!$E$5:$E$7,W258)*X258/SUMIFS($X$7:$X$1843,$W$7:$W$1843,W258),0),0)</f>
        <v>0</v>
      </c>
    </row>
    <row r="259" customFormat="false" ht="15" hidden="false" customHeight="false" outlineLevel="0" collapsed="false">
      <c r="A259" s="55" t="s">
        <v>701</v>
      </c>
      <c r="B259" s="55" t="s">
        <v>407</v>
      </c>
      <c r="C259" s="55" t="s">
        <v>164</v>
      </c>
      <c r="D259" s="55" t="s">
        <v>184</v>
      </c>
      <c r="E259" s="55" t="s">
        <v>185</v>
      </c>
      <c r="F259" s="55" t="s">
        <v>218</v>
      </c>
      <c r="G259" s="56" t="n">
        <v>0.35</v>
      </c>
      <c r="H259" s="57" t="n">
        <f aca="false">MAX(0,IF(AND(Parameter!$B$21="Ja",ISNUMBER(Y259)),Y259,IF(Parameter!$B$20="Jahresanfang 2025 + Export",BL259+BK259,BK259)))</f>
        <v>2447</v>
      </c>
      <c r="I259" s="57" t="n">
        <f aca="false">H259*G259</f>
        <v>856.45</v>
      </c>
      <c r="J259" s="57" t="n">
        <f aca="false">BN259*Parameter!$B$18</f>
        <v>4586</v>
      </c>
      <c r="K259" s="58" t="n">
        <v>1287</v>
      </c>
      <c r="L259" s="59" t="n">
        <v>3.56332556332556</v>
      </c>
      <c r="M259" s="57" t="n">
        <v>267</v>
      </c>
      <c r="N259" s="57" t="n">
        <v>2000</v>
      </c>
      <c r="O259" s="60" t="n">
        <v>21</v>
      </c>
      <c r="P259" s="55" t="s">
        <v>233</v>
      </c>
      <c r="Q259" s="57" t="n">
        <v>1949</v>
      </c>
      <c r="R259" s="60" t="n">
        <f aca="false">IF(BT259=1,0,IFERROR(VLOOKUP(BR259,'Gebinde-Kategorie'!$A$5:$M$45,13,0)+0,0))</f>
        <v>26</v>
      </c>
      <c r="S259" s="61"/>
      <c r="T259" s="62"/>
      <c r="U259" s="62"/>
      <c r="V259" s="62"/>
      <c r="W259" s="55"/>
      <c r="X259" s="57"/>
      <c r="Y259" s="57"/>
      <c r="Z259" s="55" t="n">
        <f aca="false">IF(A259="","",IF(AND(Parameter!$B$21="Ja",ISNUMBER(W259)),W259,IF(BV259="2+3",IF(ISNUMBER(SEARCH("grosser Artikel",BO259)),2,IFERROR(VLOOKUP(BR259,Parameter!$F$35:$G$64,2,0),2)),IF(OR(BV259="Nein",BV259=""),"-",BV259))))</f>
        <v>3</v>
      </c>
      <c r="AA259" s="62"/>
      <c r="AB259" s="63"/>
      <c r="AC259" s="57" t="n">
        <f aca="false">AR259</f>
        <v>3898</v>
      </c>
      <c r="AD259" s="57" t="n">
        <f aca="false">MAX(AR259,H259)</f>
        <v>3898</v>
      </c>
      <c r="AE259" s="64"/>
      <c r="AF259" s="57" t="n">
        <f aca="false">IF(LEFT(Cockpit!$C$5,1)="A",H259,IF(CA259=1,CB259,IF(LEFT(Cockpit!$C$5,1)="B",AJ259,MAX(AJ259,H259))))</f>
        <v>2447</v>
      </c>
      <c r="AG259" s="57" t="n">
        <f aca="false">IF(BT259=1,0,ROUNDUP(AF259/BS259,0))</f>
        <v>2</v>
      </c>
      <c r="AH259" s="59" t="n">
        <f aca="false">IF(CH259&gt;0,CH259*MAX(1,AF259/X259),IF(BT259=1,IF(AF259&lt;=0,0,BW259*MAX(1,IF(H259&gt;0,AF259/H259,1))),IF(R259&gt;0,AG259/R259,0))/MAX(0.1,N(Parameter!$M$21)))</f>
        <v>0.0769230769230769</v>
      </c>
      <c r="AI259" s="57" t="n">
        <f aca="false">AF259*G259</f>
        <v>856.45</v>
      </c>
      <c r="AJ259" s="57" t="n">
        <f aca="false">ROUNDUP(MAX(J259/IF(BZ259&gt;0,BZ259,MAX(0.1,N(Cockpit!$C$6))),CC259)/BS259,0)*BS259</f>
        <v>3898</v>
      </c>
      <c r="AK259" s="58" t="n">
        <f aca="false">IF(AH259&gt;0,J259/AH259,-1)</f>
        <v>59618</v>
      </c>
      <c r="AL259" s="58" t="n">
        <f aca="false">IF(AND(OR(BY259="L1",BY259="L23"),AH259&gt;0),SUMIFS($AH$7:$AH$1843,$BY$7:$BY$1843,BY259,$AK$7:$AK$1843,"&gt;"&amp;AK259)+SUMIFS($AH$7:$AH$1843,$BY$7:$BY$1843,BY259,$AK$7:$AK$1843,AK259,$BQ$7:$BQ$1843,"&lt;="&amp;BQ259),"")</f>
        <v>1.07607851086112</v>
      </c>
      <c r="AM259" s="65" t="n">
        <f aca="false">IF(AL259="",0,MAX(0,MIN(1,(IF(BY259="L1",Parameter!$E$5,Parameter!$E$6+Parameter!$E$7)-(AL259-AH259))/AH259)))</f>
        <v>1</v>
      </c>
      <c r="AN259" s="57" t="n">
        <f aca="false">IF(LEFT(Cockpit!$I$5,1)="A",H259,IF(CA259=1,CB259,IF(LEFT(Cockpit!$I$5,1)="B",AR259,MAX(AR259,H259))))</f>
        <v>3898</v>
      </c>
      <c r="AO259" s="57" t="n">
        <f aca="false">IF(BT259=1,0,ROUNDUP(AN259/BS259,0))</f>
        <v>2</v>
      </c>
      <c r="AP259" s="59" t="n">
        <f aca="false">IF(CH259&gt;0,CH259*MAX(1,AN259/X259),IF(BT259=1,IF(AN259&lt;=0,0,BW259*MAX(1,IF(H259&gt;0,AN259/H259,1))),IF(R259&gt;0,AO259/R259,0))/MAX(0.1,N(Parameter!$M$21)))</f>
        <v>0.0769230769230769</v>
      </c>
      <c r="AQ259" s="57" t="n">
        <f aca="false">AN259*G259</f>
        <v>1364.3</v>
      </c>
      <c r="AR259" s="57" t="n">
        <f aca="false">ROUNDUP(MAX(J259/IF(BZ259&gt;0,BZ259,MAX(0.1,N(Cockpit!$I$6))),CC259)/BS259,0)*BS259</f>
        <v>3898</v>
      </c>
      <c r="AS259" s="58" t="n">
        <f aca="false">IF(AP259&gt;0,J259/AP259,-1)</f>
        <v>59618</v>
      </c>
      <c r="AT259" s="58" t="n">
        <f aca="false">IF(AND(OR(BY259="L1",BY259="L23"),AP259&gt;0),SUMIFS($AP$7:$AP$1843,$BY$7:$BY$1843,BY259,$AS$7:$AS$1843,"&gt;"&amp;AS259)+SUMIFS($AP$7:$AP$1843,$BY$7:$BY$1843,BY259,$AS$7:$AS$1843,AS259,$BQ$7:$BQ$1843,"&lt;="&amp;BQ259),"")</f>
        <v>0.709807101111449</v>
      </c>
      <c r="AU259" s="65" t="n">
        <f aca="false">IF(AT259="",0,MAX(0,MIN(1,(IF(BY259="L1",Parameter!$E$5,Parameter!$E$6+Parameter!$E$7)-(AT259-AP259))/AP259)))</f>
        <v>1</v>
      </c>
      <c r="AV259" s="57" t="n">
        <f aca="false">IF(LEFT(Cockpit!$O$5,1)="A",H259,IF(CA259=1,CB259,IF(LEFT(Cockpit!$O$5,1)="B",AZ259,MAX(AZ259,H259))))</f>
        <v>3898</v>
      </c>
      <c r="AW259" s="57" t="n">
        <f aca="false">IF(BT259=1,0,ROUNDUP(AV259/BS259,0))</f>
        <v>2</v>
      </c>
      <c r="AX259" s="59" t="n">
        <f aca="false">IF(CH259&gt;0,CH259*MAX(1,AV259/X259),IF(BT259=1,IF(AV259&lt;=0,0,BW259*MAX(1,IF(H259&gt;0,AV259/H259,1))),IF(R259&gt;0,AW259/R259,0))/MAX(0.1,N(Parameter!$M$21)))</f>
        <v>0.0769230769230769</v>
      </c>
      <c r="AY259" s="57" t="n">
        <f aca="false">AV259*G259</f>
        <v>1364.3</v>
      </c>
      <c r="AZ259" s="57" t="n">
        <f aca="false">ROUNDUP(MAX(J259/IF(BZ259&gt;0,BZ259,MAX(0.1,N(Cockpit!$O$6))),CC259)/BS259,0)*BS259</f>
        <v>3898</v>
      </c>
      <c r="BA259" s="58" t="n">
        <f aca="false">IF(AX259&gt;0,J259/AX259,-1)</f>
        <v>59618</v>
      </c>
      <c r="BB259" s="58" t="n">
        <f aca="false">IF(AND(OR(BY259="L1",BY259="L23"),AX259&gt;0),SUMIFS($AX$7:$AX$1843,$BY$7:$BY$1843,BY259,$BA$7:$BA$1843,"&gt;"&amp;BA259)+SUMIFS($AX$7:$AX$1843,$BY$7:$BY$1843,BY259,$BA$7:$BA$1843,BA259,$BQ$7:$BQ$1843,"&lt;="&amp;BQ259),"")</f>
        <v>0.859574000878349</v>
      </c>
      <c r="BC259" s="65" t="n">
        <f aca="false">IF(BB259="",0,MAX(0,MIN(1,(IF(BY259="L1",Parameter!$E$5,Parameter!$E$6+Parameter!$E$7)-(BB259-AX259))/AX259)))</f>
        <v>1</v>
      </c>
      <c r="BD259" s="55" t="str">
        <f aca="false">IF(AH259&lt;=0,"",IF(BY259="Aussen","Aussenlager",IF(BY259="-","Nicht im Lift",IF(AM259&gt;=1,"Lift",IF(AM259&lt;=0,"Aussenlager","teilweise")))))</f>
        <v>Lift</v>
      </c>
      <c r="BE259" s="55" t="str">
        <f aca="false">IF(AP259&lt;=0,"",IF(BY259="Aussen","Aussenlager",IF(BY259="-","Nicht im Lift",IF(AU259&gt;=1,"Lift",IF(AU259&lt;=0,"Aussenlager","teilweise")))))</f>
        <v>Lift</v>
      </c>
      <c r="BF259" s="55" t="str">
        <f aca="false">IF(AX259&lt;=0,"",IF(BY259="Aussen","Aussenlager",IF(BY259="-","Nicht im Lift",IF(BC259&gt;=1,"Lift",IF(BC259&lt;=0,"Aussenlager","teilweise")))))</f>
        <v>Lift</v>
      </c>
      <c r="BG259" s="55" t="str">
        <f aca="false">IF(A259="","",IF(BP259=1,"Neu; ","")&amp;IF(AND(BP259=0,BK259&lt;0),"negativer Bestand (Export "&amp;BK259&amp;"); ","")&amp;IF(J259&lt;=0,"Kein Verbrauch; ","")&amp;IF(CH259&gt;0,"Lift "&amp;W259&amp;" lt. Liftbericht (Fach "&amp;X259&amp;" Stk); ",IF(BU259=1,"Gebinde geschätzt ("&amp;T259&amp;"); ",IF(BT259=1,"Lose – Tablare geschätzt; ","")))&amp;IF(H259&gt;AR259,"Überbestand "&amp;ROUND(H259-AR259,0)&amp;" Stk / CHF "&amp;ROUND((H259-AR259)*G259,0)&amp;"; ","")&amp;IF(AND(CA259=1,CB259&lt;CC259),"MAX &lt; MB+LG; ","")&amp;IF(AND(CG259&gt;0,CF259*10&gt;CG259),"zu hoch für Tablar; ","")&amp;IF(AND(BP259=0,OR(CA259=1,AA259&lt;&gt;"",U259&lt;&gt;"",V259&lt;&gt;"",AB259&lt;&gt;"")),"manuell übersteuert; ","")&amp;IF(AND(BT259=0,R259=0),"Gebinde unbekannt / Stellmass fehlt; ","")&amp;IF(AND(BT259=0,N(V259)&lt;=0,N(Q259)&lt;=0),"Menge pro Gebinde fehlt (Ist = 1 Gebinde); ","")&amp;BO259)</f>
        <v/>
      </c>
      <c r="BH259" s="55"/>
      <c r="BI259" s="55"/>
      <c r="BJ259" s="62"/>
      <c r="BK259" s="57" t="n">
        <v>1293</v>
      </c>
      <c r="BL259" s="57" t="n">
        <v>1154</v>
      </c>
      <c r="BM259" s="56" t="n">
        <v>452.55</v>
      </c>
      <c r="BN259" s="57" t="n">
        <v>4586</v>
      </c>
      <c r="BO259" s="55"/>
      <c r="BP259" s="60" t="n">
        <v>0</v>
      </c>
      <c r="BQ259" s="60" t="n">
        <v>259</v>
      </c>
      <c r="BR259" s="55" t="str">
        <f aca="false">IF(U259&lt;&gt;"",UPPER(TRIM(U259)),IF(BU259=1,UPPER(VLOOKUP(T259,Parameter!$I$27:$K$29,2,0)),IF(P259="","LOSE",P259)))</f>
        <v>S52</v>
      </c>
      <c r="BS259" s="57" t="n">
        <f aca="false">IF(BR259="LOSE",1,IF(N(V259)&gt;0,V259,IF(BU259=1,MAX(1,N(VLOOKUP(T259,Parameter!$I$27:$K$29,3,0)),H259,N(N259)),IF(N(Q259)&gt;0,Q259,MAX(1,H259)))))</f>
        <v>1949</v>
      </c>
      <c r="BT259" s="60" t="n">
        <f aca="false">IF(BR259="LOSE",1,0)</f>
        <v>0</v>
      </c>
      <c r="BU259" s="60" t="n">
        <f aca="false">IF(AND(U259="",OR(P259="",P259="LOSE"),T259&lt;&gt;"",N(S259)&lt;=0,ISNUMBER(MATCH(T259,Parameter!$I$27:$I$29,0))),1,0)</f>
        <v>0</v>
      </c>
      <c r="BV259" s="55" t="str">
        <f aca="false">IF(AND(Parameter!$B$19="Ja",E259&lt;&gt;"",ISNUMBER(MATCH(E259,Parameter!$I$35:$I$52,0))),VLOOKUP(E259,Parameter!$I$35:$J$52,2,0),IFERROR(VLOOKUP(D259,Parameter!$A$35:$C$64,2,0),"Nein"))</f>
        <v>2+3</v>
      </c>
      <c r="BW259" s="59" t="n">
        <f aca="false">IF(BT259=0,0,IF(N(S259)&gt;0,S259,IFERROR(VLOOKUP(D259,Parameter!$A$35:$C$64,3,0)+0,0)))</f>
        <v>0</v>
      </c>
      <c r="BX259" s="55" t="n">
        <f aca="false">IF(AA259&lt;&gt;"",AA259,Z259)</f>
        <v>3</v>
      </c>
      <c r="BY259" s="55" t="str">
        <f aca="false">IF(BX259=1,"L1",IF(OR(BX259=2,BX259=3),"L23",IF(BX259="Aussen","Aussen","-")))</f>
        <v>L23</v>
      </c>
      <c r="BZ259" s="66" t="n">
        <f aca="false">IF(N(AB259)&gt;0,AB259,0)</f>
        <v>0</v>
      </c>
      <c r="CA259" s="60" t="n">
        <f aca="false">IF(ISNUMBER(AE259),1,0)</f>
        <v>0</v>
      </c>
      <c r="CB259" s="57" t="n">
        <f aca="false">N(AE259)</f>
        <v>0</v>
      </c>
      <c r="CC259" s="57" t="n">
        <f aca="false">N(M259)+N(N259)</f>
        <v>2267</v>
      </c>
      <c r="CD259" s="57" t="n">
        <f aca="false">ROUNDUP(H259/BS259,0)</f>
        <v>2</v>
      </c>
      <c r="CE259" s="57" t="n">
        <f aca="false">ROUNDUP(CB259/BS259,0)</f>
        <v>0</v>
      </c>
      <c r="CF259" s="60" t="n">
        <f aca="false">IF(BT259=1,0,IFERROR(VLOOKUP(BR259,'Gebinde-Kategorie'!$A$5:$M$45,5,0)+0,0))</f>
        <v>21</v>
      </c>
      <c r="CG259" s="60" t="n">
        <f aca="false">IFERROR(IF(OR(BX259=1,BX259=2,BX259=3),N(INDEX(Parameter!$I$5:$I$7,BX259)),0),0)</f>
        <v>0</v>
      </c>
      <c r="CH259" s="59" t="n">
        <f aca="false">IF(AND(Parameter!$B$21="Ja",ISNUMBER(W259),N(X259)&gt;0),IFERROR(N(INDEX(Parameter!$L$5:$L$7,W259))*INDEX(Parameter!$E$5:$E$7,W259)*X259/SUMIFS($X$7:$X$1843,$W$7:$W$1843,W259),0),0)</f>
        <v>0</v>
      </c>
    </row>
    <row r="260" customFormat="false" ht="15" hidden="false" customHeight="false" outlineLevel="0" collapsed="false">
      <c r="A260" s="55" t="s">
        <v>702</v>
      </c>
      <c r="B260" s="55" t="s">
        <v>703</v>
      </c>
      <c r="C260" s="55" t="s">
        <v>164</v>
      </c>
      <c r="D260" s="55" t="s">
        <v>173</v>
      </c>
      <c r="E260" s="55" t="s">
        <v>166</v>
      </c>
      <c r="F260" s="55" t="s">
        <v>218</v>
      </c>
      <c r="G260" s="56" t="n">
        <v>428.4</v>
      </c>
      <c r="H260" s="57" t="n">
        <f aca="false">MAX(0,IF(AND(Parameter!$B$21="Ja",ISNUMBER(Y260)),Y260,IF(Parameter!$B$20="Jahresanfang 2025 + Export",BL260+BK260,BK260)))</f>
        <v>14</v>
      </c>
      <c r="I260" s="57" t="n">
        <f aca="false">H260*G260</f>
        <v>5997.6</v>
      </c>
      <c r="J260" s="57" t="n">
        <f aca="false">BN260*Parameter!$B$18</f>
        <v>58</v>
      </c>
      <c r="K260" s="58" t="n">
        <v>9</v>
      </c>
      <c r="L260" s="59" t="n">
        <v>6.44444444444445</v>
      </c>
      <c r="M260" s="57" t="n">
        <v>5</v>
      </c>
      <c r="N260" s="57" t="n">
        <v>20</v>
      </c>
      <c r="O260" s="60" t="n">
        <v>35</v>
      </c>
      <c r="P260" s="55" t="s">
        <v>259</v>
      </c>
      <c r="Q260" s="57" t="n">
        <v>10</v>
      </c>
      <c r="R260" s="60" t="n">
        <f aca="false">IF(BT260=1,0,IFERROR(VLOOKUP(BR260,'Gebinde-Kategorie'!$A$5:$M$45,13,0)+0,0))</f>
        <v>6</v>
      </c>
      <c r="S260" s="61"/>
      <c r="T260" s="62"/>
      <c r="U260" s="62"/>
      <c r="V260" s="62"/>
      <c r="W260" s="55"/>
      <c r="X260" s="57"/>
      <c r="Y260" s="57"/>
      <c r="Z260" s="55" t="n">
        <f aca="false">IF(A260="","",IF(AND(Parameter!$B$21="Ja",ISNUMBER(W260)),W260,IF(BV260="2+3",IF(ISNUMBER(SEARCH("grosser Artikel",BO260)),2,IFERROR(VLOOKUP(BR260,Parameter!$F$35:$G$64,2,0),2)),IF(OR(BV260="Nein",BV260=""),"-",BV260))))</f>
        <v>1</v>
      </c>
      <c r="AA260" s="62"/>
      <c r="AB260" s="63"/>
      <c r="AC260" s="57" t="n">
        <f aca="false">AR260</f>
        <v>30</v>
      </c>
      <c r="AD260" s="57" t="n">
        <f aca="false">MAX(AR260,H260)</f>
        <v>30</v>
      </c>
      <c r="AE260" s="64"/>
      <c r="AF260" s="57" t="n">
        <f aca="false">IF(LEFT(Cockpit!$C$5,1)="A",H260,IF(CA260=1,CB260,IF(LEFT(Cockpit!$C$5,1)="B",AJ260,MAX(AJ260,H260))))</f>
        <v>14</v>
      </c>
      <c r="AG260" s="57" t="n">
        <f aca="false">IF(BT260=1,0,ROUNDUP(AF260/BS260,0))</f>
        <v>2</v>
      </c>
      <c r="AH260" s="59" t="n">
        <f aca="false">IF(CH260&gt;0,CH260*MAX(1,AF260/X260),IF(BT260=1,IF(AF260&lt;=0,0,BW260*MAX(1,IF(H260&gt;0,AF260/H260,1))),IF(R260&gt;0,AG260/R260,0))/MAX(0.1,N(Parameter!$M$21)))</f>
        <v>0.333333333333333</v>
      </c>
      <c r="AI260" s="57" t="n">
        <f aca="false">AF260*G260</f>
        <v>5997.6</v>
      </c>
      <c r="AJ260" s="57" t="n">
        <f aca="false">ROUNDUP(MAX(J260/IF(BZ260&gt;0,BZ260,MAX(0.1,N(Cockpit!$C$6))),CC260)/BS260,0)*BS260</f>
        <v>30</v>
      </c>
      <c r="AK260" s="58" t="n">
        <f aca="false">IF(AH260&gt;0,J260/AH260,-1)</f>
        <v>174</v>
      </c>
      <c r="AL260" s="58" t="n">
        <f aca="false">IF(AND(OR(BY260="L1",BY260="L23"),AH260&gt;0),SUMIFS($AH$7:$AH$1843,$BY$7:$BY$1843,BY260,$AK$7:$AK$1843,"&gt;"&amp;AK260)+SUMIFS($AH$7:$AH$1843,$BY$7:$BY$1843,BY260,$AK$7:$AK$1843,AK260,$BQ$7:$BQ$1843,"&lt;="&amp;BQ260),"")</f>
        <v>3.33416945373467</v>
      </c>
      <c r="AM260" s="65" t="n">
        <f aca="false">IF(AL260="",0,MAX(0,MIN(1,(IF(BY260="L1",Parameter!$E$5,Parameter!$E$6+Parameter!$E$7)-(AL260-AH260))/AH260)))</f>
        <v>1</v>
      </c>
      <c r="AN260" s="57" t="n">
        <f aca="false">IF(LEFT(Cockpit!$I$5,1)="A",H260,IF(CA260=1,CB260,IF(LEFT(Cockpit!$I$5,1)="B",AR260,MAX(AR260,H260))))</f>
        <v>30</v>
      </c>
      <c r="AO260" s="57" t="n">
        <f aca="false">IF(BT260=1,0,ROUNDUP(AN260/BS260,0))</f>
        <v>3</v>
      </c>
      <c r="AP260" s="59" t="n">
        <f aca="false">IF(CH260&gt;0,CH260*MAX(1,AN260/X260),IF(BT260=1,IF(AN260&lt;=0,0,BW260*MAX(1,IF(H260&gt;0,AN260/H260,1))),IF(R260&gt;0,AO260/R260,0))/MAX(0.1,N(Parameter!$M$21)))</f>
        <v>0.5</v>
      </c>
      <c r="AQ260" s="57" t="n">
        <f aca="false">AN260*G260</f>
        <v>12852</v>
      </c>
      <c r="AR260" s="57" t="n">
        <f aca="false">ROUNDUP(MAX(J260/IF(BZ260&gt;0,BZ260,MAX(0.1,N(Cockpit!$I$6))),CC260)/BS260,0)*BS260</f>
        <v>30</v>
      </c>
      <c r="AS260" s="58" t="n">
        <f aca="false">IF(AP260&gt;0,J260/AP260,-1)</f>
        <v>116</v>
      </c>
      <c r="AT260" s="58" t="n">
        <f aca="false">IF(AND(OR(BY260="L1",BY260="L23"),AP260&gt;0),SUMIFS($AP$7:$AP$1843,$BY$7:$BY$1843,BY260,$AS$7:$AS$1843,"&gt;"&amp;AS260)+SUMIFS($AP$7:$AP$1843,$BY$7:$BY$1843,BY260,$AS$7:$AS$1843,AS260,$BQ$7:$BQ$1843,"&lt;="&amp;BQ260),"")</f>
        <v>7.24442586399108</v>
      </c>
      <c r="AU260" s="65" t="n">
        <f aca="false">IF(AT260="",0,MAX(0,MIN(1,(IF(BY260="L1",Parameter!$E$5,Parameter!$E$6+Parameter!$E$7)-(AT260-AP260))/AP260)))</f>
        <v>1</v>
      </c>
      <c r="AV260" s="57" t="n">
        <f aca="false">IF(LEFT(Cockpit!$O$5,1)="A",H260,IF(CA260=1,CB260,IF(LEFT(Cockpit!$O$5,1)="B",AZ260,MAX(AZ260,H260))))</f>
        <v>30</v>
      </c>
      <c r="AW260" s="57" t="n">
        <f aca="false">IF(BT260=1,0,ROUNDUP(AV260/BS260,0))</f>
        <v>3</v>
      </c>
      <c r="AX260" s="59" t="n">
        <f aca="false">IF(CH260&gt;0,CH260*MAX(1,AV260/X260),IF(BT260=1,IF(AV260&lt;=0,0,BW260*MAX(1,IF(H260&gt;0,AV260/H260,1))),IF(R260&gt;0,AW260/R260,0))/MAX(0.1,N(Parameter!$M$21)))</f>
        <v>0.5</v>
      </c>
      <c r="AY260" s="57" t="n">
        <f aca="false">AV260*G260</f>
        <v>12852</v>
      </c>
      <c r="AZ260" s="57" t="n">
        <f aca="false">ROUNDUP(MAX(J260/IF(BZ260&gt;0,BZ260,MAX(0.1,N(Cockpit!$O$6))),CC260)/BS260,0)*BS260</f>
        <v>30</v>
      </c>
      <c r="BA260" s="58" t="n">
        <f aca="false">IF(AX260&gt;0,J260/AX260,-1)</f>
        <v>116</v>
      </c>
      <c r="BB260" s="58" t="n">
        <f aca="false">IF(AND(OR(BY260="L1",BY260="L23"),AX260&gt;0),SUMIFS($AX$7:$AX$1843,$BY$7:$BY$1843,BY260,$BA$7:$BA$1843,"&gt;"&amp;BA260)+SUMIFS($AX$7:$AX$1843,$BY$7:$BY$1843,BY260,$BA$7:$BA$1843,BA260,$BQ$7:$BQ$1843,"&lt;="&amp;BQ260),"")</f>
        <v>7.53929765886288</v>
      </c>
      <c r="BC260" s="65" t="n">
        <f aca="false">IF(BB260="",0,MAX(0,MIN(1,(IF(BY260="L1",Parameter!$E$5,Parameter!$E$6+Parameter!$E$7)-(BB260-AX260))/AX260)))</f>
        <v>1</v>
      </c>
      <c r="BD260" s="55" t="str">
        <f aca="false">IF(AH260&lt;=0,"",IF(BY260="Aussen","Aussenlager",IF(BY260="-","Nicht im Lift",IF(AM260&gt;=1,"Lift",IF(AM260&lt;=0,"Aussenlager","teilweise")))))</f>
        <v>Lift</v>
      </c>
      <c r="BE260" s="55" t="str">
        <f aca="false">IF(AP260&lt;=0,"",IF(BY260="Aussen","Aussenlager",IF(BY260="-","Nicht im Lift",IF(AU260&gt;=1,"Lift",IF(AU260&lt;=0,"Aussenlager","teilweise")))))</f>
        <v>Lift</v>
      </c>
      <c r="BF260" s="55" t="str">
        <f aca="false">IF(AX260&lt;=0,"",IF(BY260="Aussen","Aussenlager",IF(BY260="-","Nicht im Lift",IF(BC260&gt;=1,"Lift",IF(BC260&lt;=0,"Aussenlager","teilweise")))))</f>
        <v>Lift</v>
      </c>
      <c r="BG260" s="55" t="str">
        <f aca="false">IF(A260="","",IF(BP260=1,"Neu; ","")&amp;IF(AND(BP260=0,BK260&lt;0),"negativer Bestand (Export "&amp;BK260&amp;"); ","")&amp;IF(J260&lt;=0,"Kein Verbrauch; ","")&amp;IF(CH260&gt;0,"Lift "&amp;W260&amp;" lt. Liftbericht (Fach "&amp;X260&amp;" Stk); ",IF(BU260=1,"Gebinde geschätzt ("&amp;T260&amp;"); ",IF(BT260=1,"Lose – Tablare geschätzt; ","")))&amp;IF(H260&gt;AR260,"Überbestand "&amp;ROUND(H260-AR260,0)&amp;" Stk / CHF "&amp;ROUND((H260-AR260)*G260,0)&amp;"; ","")&amp;IF(AND(CA260=1,CB260&lt;CC260),"MAX &lt; MB+LG; ","")&amp;IF(AND(CG260&gt;0,CF260*10&gt;CG260),"zu hoch für Tablar; ","")&amp;IF(AND(BP260=0,OR(CA260=1,AA260&lt;&gt;"",U260&lt;&gt;"",V260&lt;&gt;"",AB260&lt;&gt;"")),"manuell übersteuert; ","")&amp;IF(AND(BT260=0,R260=0),"Gebinde unbekannt / Stellmass fehlt; ","")&amp;IF(AND(BT260=0,N(V260)&lt;=0,N(Q260)&lt;=0),"Menge pro Gebinde fehlt (Ist = 1 Gebinde); ","")&amp;BO260)</f>
        <v/>
      </c>
      <c r="BH260" s="55"/>
      <c r="BI260" s="55"/>
      <c r="BJ260" s="62"/>
      <c r="BK260" s="57" t="n">
        <v>1</v>
      </c>
      <c r="BL260" s="57" t="n">
        <v>13</v>
      </c>
      <c r="BM260" s="56" t="n">
        <v>449.2</v>
      </c>
      <c r="BN260" s="57" t="n">
        <v>58</v>
      </c>
      <c r="BO260" s="55"/>
      <c r="BP260" s="60" t="n">
        <v>0</v>
      </c>
      <c r="BQ260" s="60" t="n">
        <v>260</v>
      </c>
      <c r="BR260" s="55" t="str">
        <f aca="false">IF(U260&lt;&gt;"",UPPER(TRIM(U260)),IF(BU260=1,UPPER(VLOOKUP(T260,Parameter!$I$27:$K$29,2,0)),IF(P260="","LOSE",P260)))</f>
        <v>S72</v>
      </c>
      <c r="BS260" s="57" t="n">
        <f aca="false">IF(BR260="LOSE",1,IF(N(V260)&gt;0,V260,IF(BU260=1,MAX(1,N(VLOOKUP(T260,Parameter!$I$27:$K$29,3,0)),H260,N(N260)),IF(N(Q260)&gt;0,Q260,MAX(1,H260)))))</f>
        <v>10</v>
      </c>
      <c r="BT260" s="60" t="n">
        <f aca="false">IF(BR260="LOSE",1,0)</f>
        <v>0</v>
      </c>
      <c r="BU260" s="60" t="n">
        <f aca="false">IF(AND(U260="",OR(P260="",P260="LOSE"),T260&lt;&gt;"",N(S260)&lt;=0,ISNUMBER(MATCH(T260,Parameter!$I$27:$I$29,0))),1,0)</f>
        <v>0</v>
      </c>
      <c r="BV260" s="55" t="n">
        <f aca="false">IF(AND(Parameter!$B$19="Ja",E260&lt;&gt;"",ISNUMBER(MATCH(E260,Parameter!$I$35:$I$52,0))),VLOOKUP(E260,Parameter!$I$35:$J$52,2,0),IFERROR(VLOOKUP(D260,Parameter!$A$35:$C$64,2,0),"Nein"))</f>
        <v>1</v>
      </c>
      <c r="BW260" s="59" t="n">
        <f aca="false">IF(BT260=0,0,IF(N(S260)&gt;0,S260,IFERROR(VLOOKUP(D260,Parameter!$A$35:$C$64,3,0)+0,0)))</f>
        <v>0</v>
      </c>
      <c r="BX260" s="55" t="n">
        <f aca="false">IF(AA260&lt;&gt;"",AA260,Z260)</f>
        <v>1</v>
      </c>
      <c r="BY260" s="55" t="str">
        <f aca="false">IF(BX260=1,"L1",IF(OR(BX260=2,BX260=3),"L23",IF(BX260="Aussen","Aussen","-")))</f>
        <v>L1</v>
      </c>
      <c r="BZ260" s="66" t="n">
        <f aca="false">IF(N(AB260)&gt;0,AB260,0)</f>
        <v>0</v>
      </c>
      <c r="CA260" s="60" t="n">
        <f aca="false">IF(ISNUMBER(AE260),1,0)</f>
        <v>0</v>
      </c>
      <c r="CB260" s="57" t="n">
        <f aca="false">N(AE260)</f>
        <v>0</v>
      </c>
      <c r="CC260" s="57" t="n">
        <f aca="false">N(M260)+N(N260)</f>
        <v>25</v>
      </c>
      <c r="CD260" s="57" t="n">
        <f aca="false">ROUNDUP(H260/BS260,0)</f>
        <v>2</v>
      </c>
      <c r="CE260" s="57" t="n">
        <f aca="false">ROUNDUP(CB260/BS260,0)</f>
        <v>0</v>
      </c>
      <c r="CF260" s="60" t="n">
        <f aca="false">IF(BT260=1,0,IFERROR(VLOOKUP(BR260,'Gebinde-Kategorie'!$A$5:$M$45,5,0)+0,0))</f>
        <v>40</v>
      </c>
      <c r="CG260" s="60" t="n">
        <f aca="false">IFERROR(IF(OR(BX260=1,BX260=2,BX260=3),N(INDEX(Parameter!$I$5:$I$7,BX260)),0),0)</f>
        <v>0</v>
      </c>
      <c r="CH260" s="59" t="n">
        <f aca="false">IF(AND(Parameter!$B$21="Ja",ISNUMBER(W260),N(X260)&gt;0),IFERROR(N(INDEX(Parameter!$L$5:$L$7,W260))*INDEX(Parameter!$E$5:$E$7,W260)*X260/SUMIFS($X$7:$X$1843,$W$7:$W$1843,W260),0),0)</f>
        <v>0</v>
      </c>
    </row>
    <row r="261" customFormat="false" ht="15" hidden="false" customHeight="false" outlineLevel="0" collapsed="false">
      <c r="A261" s="55" t="s">
        <v>704</v>
      </c>
      <c r="B261" s="55" t="s">
        <v>705</v>
      </c>
      <c r="C261" s="55" t="s">
        <v>164</v>
      </c>
      <c r="D261" s="55" t="s">
        <v>184</v>
      </c>
      <c r="E261" s="55" t="s">
        <v>185</v>
      </c>
      <c r="F261" s="55" t="s">
        <v>218</v>
      </c>
      <c r="G261" s="56" t="n">
        <v>5.29</v>
      </c>
      <c r="H261" s="57" t="n">
        <f aca="false">MAX(0,IF(AND(Parameter!$B$21="Ja",ISNUMBER(Y261)),Y261,IF(Parameter!$B$20="Jahresanfang 2025 + Export",BL261+BK261,BK261)))</f>
        <v>188</v>
      </c>
      <c r="I261" s="57" t="n">
        <f aca="false">H261*G261</f>
        <v>994.52</v>
      </c>
      <c r="J261" s="57" t="n">
        <f aca="false">BN261*Parameter!$B$18</f>
        <v>198</v>
      </c>
      <c r="K261" s="58" t="n">
        <v>110</v>
      </c>
      <c r="L261" s="59" t="n">
        <v>1.8</v>
      </c>
      <c r="M261" s="57" t="n">
        <v>7</v>
      </c>
      <c r="N261" s="57" t="n">
        <v>200</v>
      </c>
      <c r="O261" s="60" t="n">
        <v>14</v>
      </c>
      <c r="P261" s="55" t="s">
        <v>302</v>
      </c>
      <c r="Q261" s="57" t="n">
        <v>150</v>
      </c>
      <c r="R261" s="60" t="n">
        <f aca="false">IF(BT261=1,0,IFERROR(VLOOKUP(BR261,'Gebinde-Kategorie'!$A$5:$M$45,13,0)+0,0))</f>
        <v>26</v>
      </c>
      <c r="S261" s="61"/>
      <c r="T261" s="62"/>
      <c r="U261" s="62"/>
      <c r="V261" s="62"/>
      <c r="W261" s="55"/>
      <c r="X261" s="57"/>
      <c r="Y261" s="57"/>
      <c r="Z261" s="55" t="n">
        <f aca="false">IF(A261="","",IF(AND(Parameter!$B$21="Ja",ISNUMBER(W261)),W261,IF(BV261="2+3",IF(ISNUMBER(SEARCH("grosser Artikel",BO261)),2,IFERROR(VLOOKUP(BR261,Parameter!$F$35:$G$64,2,0),2)),IF(OR(BV261="Nein",BV261=""),"-",BV261))))</f>
        <v>3</v>
      </c>
      <c r="AA261" s="62"/>
      <c r="AB261" s="63"/>
      <c r="AC261" s="57" t="n">
        <f aca="false">AR261</f>
        <v>300</v>
      </c>
      <c r="AD261" s="57" t="n">
        <f aca="false">MAX(AR261,H261)</f>
        <v>300</v>
      </c>
      <c r="AE261" s="64"/>
      <c r="AF261" s="57" t="n">
        <f aca="false">IF(LEFT(Cockpit!$C$5,1)="A",H261,IF(CA261=1,CB261,IF(LEFT(Cockpit!$C$5,1)="B",AJ261,MAX(AJ261,H261))))</f>
        <v>188</v>
      </c>
      <c r="AG261" s="57" t="n">
        <f aca="false">IF(BT261=1,0,ROUNDUP(AF261/BS261,0))</f>
        <v>2</v>
      </c>
      <c r="AH261" s="59" t="n">
        <f aca="false">IF(CH261&gt;0,CH261*MAX(1,AF261/X261),IF(BT261=1,IF(AF261&lt;=0,0,BW261*MAX(1,IF(H261&gt;0,AF261/H261,1))),IF(R261&gt;0,AG261/R261,0))/MAX(0.1,N(Parameter!$M$21)))</f>
        <v>0.0769230769230769</v>
      </c>
      <c r="AI261" s="57" t="n">
        <f aca="false">AF261*G261</f>
        <v>994.52</v>
      </c>
      <c r="AJ261" s="57" t="n">
        <f aca="false">ROUNDUP(MAX(J261/IF(BZ261&gt;0,BZ261,MAX(0.1,N(Cockpit!$C$6))),CC261)/BS261,0)*BS261</f>
        <v>300</v>
      </c>
      <c r="AK261" s="58" t="n">
        <f aca="false">IF(AH261&gt;0,J261/AH261,-1)</f>
        <v>2574</v>
      </c>
      <c r="AL261" s="58" t="n">
        <f aca="false">IF(AND(OR(BY261="L1",BY261="L23"),AH261&gt;0),SUMIFS($AH$7:$AH$1843,$BY$7:$BY$1843,BY261,$AK$7:$AK$1843,"&gt;"&amp;AK261)+SUMIFS($AH$7:$AH$1843,$BY$7:$BY$1843,BY261,$AK$7:$AK$1843,AK261,$BQ$7:$BQ$1843,"&lt;="&amp;BQ261),"")</f>
        <v>11.5112665112665</v>
      </c>
      <c r="AM261" s="65" t="n">
        <f aca="false">IF(AL261="",0,MAX(0,MIN(1,(IF(BY261="L1",Parameter!$E$5,Parameter!$E$6+Parameter!$E$7)-(AL261-AH261))/AH261)))</f>
        <v>1</v>
      </c>
      <c r="AN261" s="57" t="n">
        <f aca="false">IF(LEFT(Cockpit!$I$5,1)="A",H261,IF(CA261=1,CB261,IF(LEFT(Cockpit!$I$5,1)="B",AR261,MAX(AR261,H261))))</f>
        <v>300</v>
      </c>
      <c r="AO261" s="57" t="n">
        <f aca="false">IF(BT261=1,0,ROUNDUP(AN261/BS261,0))</f>
        <v>2</v>
      </c>
      <c r="AP261" s="59" t="n">
        <f aca="false">IF(CH261&gt;0,CH261*MAX(1,AN261/X261),IF(BT261=1,IF(AN261&lt;=0,0,BW261*MAX(1,IF(H261&gt;0,AN261/H261,1))),IF(R261&gt;0,AO261/R261,0))/MAX(0.1,N(Parameter!$M$21)))</f>
        <v>0.0769230769230769</v>
      </c>
      <c r="AQ261" s="57" t="n">
        <f aca="false">AN261*G261</f>
        <v>1587</v>
      </c>
      <c r="AR261" s="57" t="n">
        <f aca="false">ROUNDUP(MAX(J261/IF(BZ261&gt;0,BZ261,MAX(0.1,N(Cockpit!$I$6))),CC261)/BS261,0)*BS261</f>
        <v>300</v>
      </c>
      <c r="AS261" s="58" t="n">
        <f aca="false">IF(AP261&gt;0,J261/AP261,-1)</f>
        <v>2574</v>
      </c>
      <c r="AT261" s="58" t="n">
        <f aca="false">IF(AND(OR(BY261="L1",BY261="L23"),AP261&gt;0),SUMIFS($AP$7:$AP$1843,$BY$7:$BY$1843,BY261,$AS$7:$AS$1843,"&gt;"&amp;AS261)+SUMIFS($AP$7:$AP$1843,$BY$7:$BY$1843,BY261,$AS$7:$AS$1843,AS261,$BQ$7:$BQ$1843,"&lt;="&amp;BQ261),"")</f>
        <v>16.4512854295463</v>
      </c>
      <c r="AU261" s="65" t="n">
        <f aca="false">IF(AT261="",0,MAX(0,MIN(1,(IF(BY261="L1",Parameter!$E$5,Parameter!$E$6+Parameter!$E$7)-(AT261-AP261))/AP261)))</f>
        <v>1</v>
      </c>
      <c r="AV261" s="57" t="n">
        <f aca="false">IF(LEFT(Cockpit!$O$5,1)="A",H261,IF(CA261=1,CB261,IF(LEFT(Cockpit!$O$5,1)="B",AZ261,MAX(AZ261,H261))))</f>
        <v>300</v>
      </c>
      <c r="AW261" s="57" t="n">
        <f aca="false">IF(BT261=1,0,ROUNDUP(AV261/BS261,0))</f>
        <v>2</v>
      </c>
      <c r="AX261" s="59" t="n">
        <f aca="false">IF(CH261&gt;0,CH261*MAX(1,AV261/X261),IF(BT261=1,IF(AV261&lt;=0,0,BW261*MAX(1,IF(H261&gt;0,AV261/H261,1))),IF(R261&gt;0,AW261/R261,0))/MAX(0.1,N(Parameter!$M$21)))</f>
        <v>0.0769230769230769</v>
      </c>
      <c r="AY261" s="57" t="n">
        <f aca="false">AV261*G261</f>
        <v>1587</v>
      </c>
      <c r="AZ261" s="57" t="n">
        <f aca="false">ROUNDUP(MAX(J261/IF(BZ261&gt;0,BZ261,MAX(0.1,N(Cockpit!$O$6))),CC261)/BS261,0)*BS261</f>
        <v>300</v>
      </c>
      <c r="BA261" s="58" t="n">
        <f aca="false">IF(AX261&gt;0,J261/AX261,-1)</f>
        <v>2574</v>
      </c>
      <c r="BB261" s="58" t="n">
        <f aca="false">IF(AND(OR(BY261="L1",BY261="L23"),AX261&gt;0),SUMIFS($AX$7:$AX$1843,$BY$7:$BY$1843,BY261,$BA$7:$BA$1843,"&gt;"&amp;BA261)+SUMIFS($AX$7:$AX$1843,$BY$7:$BY$1843,BY261,$BA$7:$BA$1843,BA261,$BQ$7:$BQ$1843,"&lt;="&amp;BQ261),"")</f>
        <v>15.0247120029729</v>
      </c>
      <c r="BC261" s="65" t="n">
        <f aca="false">IF(BB261="",0,MAX(0,MIN(1,(IF(BY261="L1",Parameter!$E$5,Parameter!$E$6+Parameter!$E$7)-(BB261-AX261))/AX261)))</f>
        <v>1</v>
      </c>
      <c r="BD261" s="55" t="str">
        <f aca="false">IF(AH261&lt;=0,"",IF(BY261="Aussen","Aussenlager",IF(BY261="-","Nicht im Lift",IF(AM261&gt;=1,"Lift",IF(AM261&lt;=0,"Aussenlager","teilweise")))))</f>
        <v>Lift</v>
      </c>
      <c r="BE261" s="55" t="str">
        <f aca="false">IF(AP261&lt;=0,"",IF(BY261="Aussen","Aussenlager",IF(BY261="-","Nicht im Lift",IF(AU261&gt;=1,"Lift",IF(AU261&lt;=0,"Aussenlager","teilweise")))))</f>
        <v>Lift</v>
      </c>
      <c r="BF261" s="55" t="str">
        <f aca="false">IF(AX261&lt;=0,"",IF(BY261="Aussen","Aussenlager",IF(BY261="-","Nicht im Lift",IF(BC261&gt;=1,"Lift",IF(BC261&lt;=0,"Aussenlager","teilweise")))))</f>
        <v>Lift</v>
      </c>
      <c r="BG261" s="55" t="str">
        <f aca="false">IF(A261="","",IF(BP261=1,"Neu; ","")&amp;IF(AND(BP261=0,BK261&lt;0),"negativer Bestand (Export "&amp;BK261&amp;"); ","")&amp;IF(J261&lt;=0,"Kein Verbrauch; ","")&amp;IF(CH261&gt;0,"Lift "&amp;W261&amp;" lt. Liftbericht (Fach "&amp;X261&amp;" Stk); ",IF(BU261=1,"Gebinde geschätzt ("&amp;T261&amp;"); ",IF(BT261=1,"Lose – Tablare geschätzt; ","")))&amp;IF(H261&gt;AR261,"Überbestand "&amp;ROUND(H261-AR261,0)&amp;" Stk / CHF "&amp;ROUND((H261-AR261)*G261,0)&amp;"; ","")&amp;IF(AND(CA261=1,CB261&lt;CC261),"MAX &lt; MB+LG; ","")&amp;IF(AND(CG261&gt;0,CF261*10&gt;CG261),"zu hoch für Tablar; ","")&amp;IF(AND(BP261=0,OR(CA261=1,AA261&lt;&gt;"",U261&lt;&gt;"",V261&lt;&gt;"",AB261&lt;&gt;"")),"manuell übersteuert; ","")&amp;IF(AND(BT261=0,R261=0),"Gebinde unbekannt / Stellmass fehlt; ","")&amp;IF(AND(BT261=0,N(V261)&lt;=0,N(Q261)&lt;=0),"Menge pro Gebinde fehlt (Ist = 1 Gebinde); ","")&amp;BO261)</f>
        <v/>
      </c>
      <c r="BH261" s="55"/>
      <c r="BI261" s="55"/>
      <c r="BJ261" s="62"/>
      <c r="BK261" s="57" t="n">
        <v>80</v>
      </c>
      <c r="BL261" s="57" t="n">
        <v>108</v>
      </c>
      <c r="BM261" s="56" t="n">
        <v>448.04</v>
      </c>
      <c r="BN261" s="57" t="n">
        <v>198</v>
      </c>
      <c r="BO261" s="55"/>
      <c r="BP261" s="60" t="n">
        <v>0</v>
      </c>
      <c r="BQ261" s="60" t="n">
        <v>261</v>
      </c>
      <c r="BR261" s="55" t="str">
        <f aca="false">IF(U261&lt;&gt;"",UPPER(TRIM(U261)),IF(BU261=1,UPPER(VLOOKUP(T261,Parameter!$I$27:$K$29,2,0)),IF(P261="","LOSE",P261)))</f>
        <v>S51</v>
      </c>
      <c r="BS261" s="57" t="n">
        <f aca="false">IF(BR261="LOSE",1,IF(N(V261)&gt;0,V261,IF(BU261=1,MAX(1,N(VLOOKUP(T261,Parameter!$I$27:$K$29,3,0)),H261,N(N261)),IF(N(Q261)&gt;0,Q261,MAX(1,H261)))))</f>
        <v>150</v>
      </c>
      <c r="BT261" s="60" t="n">
        <f aca="false">IF(BR261="LOSE",1,0)</f>
        <v>0</v>
      </c>
      <c r="BU261" s="60" t="n">
        <f aca="false">IF(AND(U261="",OR(P261="",P261="LOSE"),T261&lt;&gt;"",N(S261)&lt;=0,ISNUMBER(MATCH(T261,Parameter!$I$27:$I$29,0))),1,0)</f>
        <v>0</v>
      </c>
      <c r="BV261" s="55" t="str">
        <f aca="false">IF(AND(Parameter!$B$19="Ja",E261&lt;&gt;"",ISNUMBER(MATCH(E261,Parameter!$I$35:$I$52,0))),VLOOKUP(E261,Parameter!$I$35:$J$52,2,0),IFERROR(VLOOKUP(D261,Parameter!$A$35:$C$64,2,0),"Nein"))</f>
        <v>2+3</v>
      </c>
      <c r="BW261" s="59" t="n">
        <f aca="false">IF(BT261=0,0,IF(N(S261)&gt;0,S261,IFERROR(VLOOKUP(D261,Parameter!$A$35:$C$64,3,0)+0,0)))</f>
        <v>0</v>
      </c>
      <c r="BX261" s="55" t="n">
        <f aca="false">IF(AA261&lt;&gt;"",AA261,Z261)</f>
        <v>3</v>
      </c>
      <c r="BY261" s="55" t="str">
        <f aca="false">IF(BX261=1,"L1",IF(OR(BX261=2,BX261=3),"L23",IF(BX261="Aussen","Aussen","-")))</f>
        <v>L23</v>
      </c>
      <c r="BZ261" s="66" t="n">
        <f aca="false">IF(N(AB261)&gt;0,AB261,0)</f>
        <v>0</v>
      </c>
      <c r="CA261" s="60" t="n">
        <f aca="false">IF(ISNUMBER(AE261),1,0)</f>
        <v>0</v>
      </c>
      <c r="CB261" s="57" t="n">
        <f aca="false">N(AE261)</f>
        <v>0</v>
      </c>
      <c r="CC261" s="57" t="n">
        <f aca="false">N(M261)+N(N261)</f>
        <v>207</v>
      </c>
      <c r="CD261" s="57" t="n">
        <f aca="false">ROUNDUP(H261/BS261,0)</f>
        <v>2</v>
      </c>
      <c r="CE261" s="57" t="n">
        <f aca="false">ROUNDUP(CB261/BS261,0)</f>
        <v>0</v>
      </c>
      <c r="CF261" s="60" t="n">
        <f aca="false">IF(BT261=1,0,IFERROR(VLOOKUP(BR261,'Gebinde-Kategorie'!$A$5:$M$45,5,0)+0,0))</f>
        <v>11</v>
      </c>
      <c r="CG261" s="60" t="n">
        <f aca="false">IFERROR(IF(OR(BX261=1,BX261=2,BX261=3),N(INDEX(Parameter!$I$5:$I$7,BX261)),0),0)</f>
        <v>0</v>
      </c>
      <c r="CH261" s="59" t="n">
        <f aca="false">IF(AND(Parameter!$B$21="Ja",ISNUMBER(W261),N(X261)&gt;0),IFERROR(N(INDEX(Parameter!$L$5:$L$7,W261))*INDEX(Parameter!$E$5:$E$7,W261)*X261/SUMIFS($X$7:$X$1843,$W$7:$W$1843,W261),0),0)</f>
        <v>0</v>
      </c>
    </row>
    <row r="262" customFormat="false" ht="15" hidden="false" customHeight="false" outlineLevel="0" collapsed="false">
      <c r="A262" s="55" t="s">
        <v>706</v>
      </c>
      <c r="B262" s="55" t="s">
        <v>229</v>
      </c>
      <c r="C262" s="55" t="s">
        <v>164</v>
      </c>
      <c r="D262" s="55" t="s">
        <v>173</v>
      </c>
      <c r="E262" s="55"/>
      <c r="F262" s="55" t="s">
        <v>218</v>
      </c>
      <c r="G262" s="56" t="n">
        <v>146.96</v>
      </c>
      <c r="H262" s="57" t="n">
        <f aca="false">MAX(0,IF(AND(Parameter!$B$21="Ja",ISNUMBER(Y262)),Y262,IF(Parameter!$B$20="Jahresanfang 2025 + Export",BL262+BK262,BK262)))</f>
        <v>3</v>
      </c>
      <c r="I262" s="57" t="n">
        <f aca="false">H262*G262</f>
        <v>440.88</v>
      </c>
      <c r="J262" s="57" t="n">
        <f aca="false">BN262*Parameter!$B$18</f>
        <v>11</v>
      </c>
      <c r="K262" s="58" t="n">
        <v>2.5</v>
      </c>
      <c r="L262" s="59" t="n">
        <v>4.4</v>
      </c>
      <c r="M262" s="57" t="n">
        <v>0</v>
      </c>
      <c r="N262" s="57" t="n">
        <v>10</v>
      </c>
      <c r="O262" s="60" t="n">
        <v>14</v>
      </c>
      <c r="P262" s="55" t="s">
        <v>168</v>
      </c>
      <c r="Q262" s="57"/>
      <c r="R262" s="60" t="n">
        <f aca="false">IF(BT262=1,0,IFERROR(VLOOKUP(BR262,'Gebinde-Kategorie'!$A$5:$M$45,13,0)+0,0))</f>
        <v>12</v>
      </c>
      <c r="S262" s="61"/>
      <c r="T262" s="62" t="s">
        <v>179</v>
      </c>
      <c r="U262" s="62"/>
      <c r="V262" s="62"/>
      <c r="W262" s="55"/>
      <c r="X262" s="57"/>
      <c r="Y262" s="57"/>
      <c r="Z262" s="55" t="n">
        <f aca="false">IF(A262="","",IF(AND(Parameter!$B$21="Ja",ISNUMBER(W262)),W262,IF(BV262="2+3",IF(ISNUMBER(SEARCH("grosser Artikel",BO262)),2,IFERROR(VLOOKUP(BR262,Parameter!$F$35:$G$64,2,0),2)),IF(OR(BV262="Nein",BV262=""),"-",BV262))))</f>
        <v>2</v>
      </c>
      <c r="AA262" s="62"/>
      <c r="AB262" s="63"/>
      <c r="AC262" s="57" t="n">
        <f aca="false">AR262</f>
        <v>10</v>
      </c>
      <c r="AD262" s="57" t="n">
        <f aca="false">MAX(AR262,H262)</f>
        <v>10</v>
      </c>
      <c r="AE262" s="64"/>
      <c r="AF262" s="57" t="n">
        <f aca="false">IF(LEFT(Cockpit!$C$5,1)="A",H262,IF(CA262=1,CB262,IF(LEFT(Cockpit!$C$5,1)="B",AJ262,MAX(AJ262,H262))))</f>
        <v>3</v>
      </c>
      <c r="AG262" s="57" t="n">
        <f aca="false">IF(BT262=1,0,ROUNDUP(AF262/BS262,0))</f>
        <v>1</v>
      </c>
      <c r="AH262" s="59" t="n">
        <f aca="false">IF(CH262&gt;0,CH262*MAX(1,AF262/X262),IF(BT262=1,IF(AF262&lt;=0,0,BW262*MAX(1,IF(H262&gt;0,AF262/H262,1))),IF(R262&gt;0,AG262/R262,0))/MAX(0.1,N(Parameter!$M$21)))</f>
        <v>0.0833333333333333</v>
      </c>
      <c r="AI262" s="57" t="n">
        <f aca="false">AF262*G262</f>
        <v>440.88</v>
      </c>
      <c r="AJ262" s="57" t="n">
        <f aca="false">ROUNDUP(MAX(J262/IF(BZ262&gt;0,BZ262,MAX(0.1,N(Cockpit!$C$6))),CC262)/BS262,0)*BS262</f>
        <v>10</v>
      </c>
      <c r="AK262" s="58" t="n">
        <f aca="false">IF(AH262&gt;0,J262/AH262,-1)</f>
        <v>132</v>
      </c>
      <c r="AL262" s="58" t="n">
        <f aca="false">IF(AND(OR(BY262="L1",BY262="L23"),AH262&gt;0),SUMIFS($AH$7:$AH$1843,$BY$7:$BY$1843,BY262,$AK$7:$AK$1843,"&gt;"&amp;AK262)+SUMIFS($AH$7:$AH$1843,$BY$7:$BY$1843,BY262,$AK$7:$AK$1843,AK262,$BQ$7:$BQ$1843,"&lt;="&amp;BQ262),"")</f>
        <v>35.9252052295531</v>
      </c>
      <c r="AM262" s="65" t="n">
        <f aca="false">IF(AL262="",0,MAX(0,MIN(1,(IF(BY262="L1",Parameter!$E$5,Parameter!$E$6+Parameter!$E$7)-(AL262-AH262))/AH262)))</f>
        <v>1</v>
      </c>
      <c r="AN262" s="57" t="n">
        <f aca="false">IF(LEFT(Cockpit!$I$5,1)="A",H262,IF(CA262=1,CB262,IF(LEFT(Cockpit!$I$5,1)="B",AR262,MAX(AR262,H262))))</f>
        <v>10</v>
      </c>
      <c r="AO262" s="57" t="n">
        <f aca="false">IF(BT262=1,0,ROUNDUP(AN262/BS262,0))</f>
        <v>1</v>
      </c>
      <c r="AP262" s="59" t="n">
        <f aca="false">IF(CH262&gt;0,CH262*MAX(1,AN262/X262),IF(BT262=1,IF(AN262&lt;=0,0,BW262*MAX(1,IF(H262&gt;0,AN262/H262,1))),IF(R262&gt;0,AO262/R262,0))/MAX(0.1,N(Parameter!$M$21)))</f>
        <v>0.0833333333333333</v>
      </c>
      <c r="AQ262" s="57" t="n">
        <f aca="false">AN262*G262</f>
        <v>1469.6</v>
      </c>
      <c r="AR262" s="57" t="n">
        <f aca="false">ROUNDUP(MAX(J262/IF(BZ262&gt;0,BZ262,MAX(0.1,N(Cockpit!$I$6))),CC262)/BS262,0)*BS262</f>
        <v>10</v>
      </c>
      <c r="AS262" s="58" t="n">
        <f aca="false">IF(AP262&gt;0,J262/AP262,-1)</f>
        <v>132</v>
      </c>
      <c r="AT262" s="58" t="n">
        <f aca="false">IF(AND(OR(BY262="L1",BY262="L23"),AP262&gt;0),SUMIFS($AP$7:$AP$1843,$BY$7:$BY$1843,BY262,$AS$7:$AS$1843,"&gt;"&amp;AS262)+SUMIFS($AP$7:$AP$1843,$BY$7:$BY$1843,BY262,$AS$7:$AS$1843,AS262,$BQ$7:$BQ$1843,"&lt;="&amp;BQ262),"")</f>
        <v>51.8242711394885</v>
      </c>
      <c r="AU262" s="65" t="n">
        <f aca="false">IF(AT262="",0,MAX(0,MIN(1,(IF(BY262="L1",Parameter!$E$5,Parameter!$E$6+Parameter!$E$7)-(AT262-AP262))/AP262)))</f>
        <v>1</v>
      </c>
      <c r="AV262" s="57" t="n">
        <f aca="false">IF(LEFT(Cockpit!$O$5,1)="A",H262,IF(CA262=1,CB262,IF(LEFT(Cockpit!$O$5,1)="B",AZ262,MAX(AZ262,H262))))</f>
        <v>10</v>
      </c>
      <c r="AW262" s="57" t="n">
        <f aca="false">IF(BT262=1,0,ROUNDUP(AV262/BS262,0))</f>
        <v>1</v>
      </c>
      <c r="AX262" s="59" t="n">
        <f aca="false">IF(CH262&gt;0,CH262*MAX(1,AV262/X262),IF(BT262=1,IF(AV262&lt;=0,0,BW262*MAX(1,IF(H262&gt;0,AV262/H262,1))),IF(R262&gt;0,AW262/R262,0))/MAX(0.1,N(Parameter!$M$21)))</f>
        <v>0.0833333333333333</v>
      </c>
      <c r="AY262" s="57" t="n">
        <f aca="false">AV262*G262</f>
        <v>1469.6</v>
      </c>
      <c r="AZ262" s="57" t="n">
        <f aca="false">ROUNDUP(MAX(J262/IF(BZ262&gt;0,BZ262,MAX(0.1,N(Cockpit!$O$6))),CC262)/BS262,0)*BS262</f>
        <v>10</v>
      </c>
      <c r="BA262" s="58" t="n">
        <f aca="false">IF(AX262&gt;0,J262/AX262,-1)</f>
        <v>132</v>
      </c>
      <c r="BB262" s="58" t="n">
        <f aca="false">IF(AND(OR(BY262="L1",BY262="L23"),AX262&gt;0),SUMIFS($AX$7:$AX$1843,$BY$7:$BY$1843,BY262,$BA$7:$BA$1843,"&gt;"&amp;BA262)+SUMIFS($AX$7:$AX$1843,$BY$7:$BY$1843,BY262,$BA$7:$BA$1843,BA262,$BQ$7:$BQ$1843,"&lt;="&amp;BQ262),"")</f>
        <v>48.4041079693254</v>
      </c>
      <c r="BC262" s="65" t="n">
        <f aca="false">IF(BB262="",0,MAX(0,MIN(1,(IF(BY262="L1",Parameter!$E$5,Parameter!$E$6+Parameter!$E$7)-(BB262-AX262))/AX262)))</f>
        <v>1</v>
      </c>
      <c r="BD262" s="55" t="str">
        <f aca="false">IF(AH262&lt;=0,"",IF(BY262="Aussen","Aussenlager",IF(BY262="-","Nicht im Lift",IF(AM262&gt;=1,"Lift",IF(AM262&lt;=0,"Aussenlager","teilweise")))))</f>
        <v>Lift</v>
      </c>
      <c r="BE262" s="55" t="str">
        <f aca="false">IF(AP262&lt;=0,"",IF(BY262="Aussen","Aussenlager",IF(BY262="-","Nicht im Lift",IF(AU262&gt;=1,"Lift",IF(AU262&lt;=0,"Aussenlager","teilweise")))))</f>
        <v>Lift</v>
      </c>
      <c r="BF262" s="55" t="str">
        <f aca="false">IF(AX262&lt;=0,"",IF(BY262="Aussen","Aussenlager",IF(BY262="-","Nicht im Lift",IF(BC262&gt;=1,"Lift",IF(BC262&lt;=0,"Aussenlager","teilweise")))))</f>
        <v>Lift</v>
      </c>
      <c r="BG262" s="55" t="str">
        <f aca="false">IF(A262="","",IF(BP262=1,"Neu; ","")&amp;IF(AND(BP262=0,BK262&lt;0),"negativer Bestand (Export "&amp;BK262&amp;"); ","")&amp;IF(J262&lt;=0,"Kein Verbrauch; ","")&amp;IF(CH262&gt;0,"Lift "&amp;W262&amp;" lt. Liftbericht (Fach "&amp;X262&amp;" Stk); ",IF(BU262=1,"Gebinde geschätzt ("&amp;T262&amp;"); ",IF(BT262=1,"Lose – Tablare geschätzt; ","")))&amp;IF(H262&gt;AR262,"Überbestand "&amp;ROUND(H262-AR262,0)&amp;" Stk / CHF "&amp;ROUND((H262-AR262)*G262,0)&amp;"; ","")&amp;IF(AND(CA262=1,CB262&lt;CC262),"MAX &lt; MB+LG; ","")&amp;IF(AND(CG262&gt;0,CF262*10&gt;CG262),"zu hoch für Tablar; ","")&amp;IF(AND(BP262=0,OR(CA262=1,AA262&lt;&gt;"",U262&lt;&gt;"",V262&lt;&gt;"",AB262&lt;&gt;"")),"manuell übersteuert; ","")&amp;IF(AND(BT262=0,R262=0),"Gebinde unbekannt / Stellmass fehlt; ","")&amp;IF(AND(BT262=0,N(V262)&lt;=0,N(Q262)&lt;=0),"Menge pro Gebinde fehlt (Ist = 1 Gebinde); ","")&amp;BO262)</f>
        <v>Gebinde geschätzt (Mittel); Menge pro Gebinde fehlt (Ist = 1 Gebinde); </v>
      </c>
      <c r="BH262" s="55"/>
      <c r="BI262" s="55"/>
      <c r="BJ262" s="62"/>
      <c r="BK262" s="57" t="n">
        <v>3</v>
      </c>
      <c r="BL262" s="57" t="n">
        <v>0</v>
      </c>
      <c r="BM262" s="56" t="n">
        <v>440.88</v>
      </c>
      <c r="BN262" s="57" t="n">
        <v>11</v>
      </c>
      <c r="BO262" s="55"/>
      <c r="BP262" s="60" t="n">
        <v>0</v>
      </c>
      <c r="BQ262" s="60" t="n">
        <v>262</v>
      </c>
      <c r="BR262" s="55" t="str">
        <f aca="false">IF(U262&lt;&gt;"",UPPER(TRIM(U262)),IF(BU262=1,UPPER(VLOOKUP(T262,Parameter!$I$27:$K$29,2,0)),IF(P262="","LOSE",P262)))</f>
        <v>S61</v>
      </c>
      <c r="BS262" s="57" t="n">
        <f aca="false">IF(BR262="LOSE",1,IF(N(V262)&gt;0,V262,IF(BU262=1,MAX(1,N(VLOOKUP(T262,Parameter!$I$27:$K$29,3,0)),H262,N(N262)),IF(N(Q262)&gt;0,Q262,MAX(1,H262)))))</f>
        <v>10</v>
      </c>
      <c r="BT262" s="60" t="n">
        <f aca="false">IF(BR262="LOSE",1,0)</f>
        <v>0</v>
      </c>
      <c r="BU262" s="60" t="n">
        <f aca="false">IF(AND(U262="",OR(P262="",P262="LOSE"),T262&lt;&gt;"",N(S262)&lt;=0,ISNUMBER(MATCH(T262,Parameter!$I$27:$I$29,0))),1,0)</f>
        <v>1</v>
      </c>
      <c r="BV262" s="55" t="str">
        <f aca="false">IF(AND(Parameter!$B$19="Ja",E262&lt;&gt;"",ISNUMBER(MATCH(E262,Parameter!$I$35:$I$52,0))),VLOOKUP(E262,Parameter!$I$35:$J$52,2,0),IFERROR(VLOOKUP(D262,Parameter!$A$35:$C$64,2,0),"Nein"))</f>
        <v>2+3</v>
      </c>
      <c r="BW262" s="59" t="n">
        <f aca="false">IF(BT262=0,0,IF(N(S262)&gt;0,S262,IFERROR(VLOOKUP(D262,Parameter!$A$35:$C$64,3,0)+0,0)))</f>
        <v>0</v>
      </c>
      <c r="BX262" s="55" t="n">
        <f aca="false">IF(AA262&lt;&gt;"",AA262,Z262)</f>
        <v>2</v>
      </c>
      <c r="BY262" s="55" t="str">
        <f aca="false">IF(BX262=1,"L1",IF(OR(BX262=2,BX262=3),"L23",IF(BX262="Aussen","Aussen","-")))</f>
        <v>L23</v>
      </c>
      <c r="BZ262" s="66" t="n">
        <f aca="false">IF(N(AB262)&gt;0,AB262,0)</f>
        <v>0</v>
      </c>
      <c r="CA262" s="60" t="n">
        <f aca="false">IF(ISNUMBER(AE262),1,0)</f>
        <v>0</v>
      </c>
      <c r="CB262" s="57" t="n">
        <f aca="false">N(AE262)</f>
        <v>0</v>
      </c>
      <c r="CC262" s="57" t="n">
        <f aca="false">N(M262)+N(N262)</f>
        <v>10</v>
      </c>
      <c r="CD262" s="57" t="n">
        <f aca="false">ROUNDUP(H262/BS262,0)</f>
        <v>1</v>
      </c>
      <c r="CE262" s="57" t="n">
        <f aca="false">ROUNDUP(CB262/BS262,0)</f>
        <v>0</v>
      </c>
      <c r="CF262" s="60" t="n">
        <f aca="false">IF(BT262=1,0,IFERROR(VLOOKUP(BR262,'Gebinde-Kategorie'!$A$5:$M$45,5,0)+0,0))</f>
        <v>11</v>
      </c>
      <c r="CG262" s="60" t="n">
        <f aca="false">IFERROR(IF(OR(BX262=1,BX262=2,BX262=3),N(INDEX(Parameter!$I$5:$I$7,BX262)),0),0)</f>
        <v>0</v>
      </c>
      <c r="CH262" s="59" t="n">
        <f aca="false">IF(AND(Parameter!$B$21="Ja",ISNUMBER(W262),N(X262)&gt;0),IFERROR(N(INDEX(Parameter!$L$5:$L$7,W262))*INDEX(Parameter!$E$5:$E$7,W262)*X262/SUMIFS($X$7:$X$1843,$W$7:$W$1843,W262),0),0)</f>
        <v>0</v>
      </c>
    </row>
    <row r="263" customFormat="false" ht="15" hidden="false" customHeight="false" outlineLevel="0" collapsed="false">
      <c r="A263" s="55" t="s">
        <v>707</v>
      </c>
      <c r="B263" s="55" t="s">
        <v>708</v>
      </c>
      <c r="C263" s="55" t="s">
        <v>164</v>
      </c>
      <c r="D263" s="55" t="s">
        <v>184</v>
      </c>
      <c r="E263" s="55"/>
      <c r="F263" s="55" t="s">
        <v>218</v>
      </c>
      <c r="G263" s="56" t="n">
        <v>17.59</v>
      </c>
      <c r="H263" s="57" t="n">
        <f aca="false">MAX(0,IF(AND(Parameter!$B$21="Ja",ISNUMBER(Y263)),Y263,IF(Parameter!$B$20="Jahresanfang 2025 + Export",BL263+BK263,BK263)))</f>
        <v>25</v>
      </c>
      <c r="I263" s="57" t="n">
        <f aca="false">H263*G263</f>
        <v>439.75</v>
      </c>
      <c r="J263" s="57" t="n">
        <f aca="false">BN263*Parameter!$B$18</f>
        <v>0</v>
      </c>
      <c r="K263" s="58" t="n">
        <v>0</v>
      </c>
      <c r="L263" s="59" t="n">
        <v>0</v>
      </c>
      <c r="M263" s="57" t="n">
        <v>0</v>
      </c>
      <c r="N263" s="57" t="n">
        <v>5</v>
      </c>
      <c r="O263" s="60" t="n">
        <v>9999</v>
      </c>
      <c r="P263" s="55" t="s">
        <v>168</v>
      </c>
      <c r="Q263" s="57"/>
      <c r="R263" s="60" t="n">
        <f aca="false">IF(BT263=1,0,IFERROR(VLOOKUP(BR263,'Gebinde-Kategorie'!$A$5:$M$45,13,0)+0,0))</f>
        <v>26</v>
      </c>
      <c r="S263" s="61"/>
      <c r="T263" s="62" t="s">
        <v>275</v>
      </c>
      <c r="U263" s="62"/>
      <c r="V263" s="62"/>
      <c r="W263" s="55"/>
      <c r="X263" s="57"/>
      <c r="Y263" s="57"/>
      <c r="Z263" s="55" t="n">
        <f aca="false">IF(A263="","",IF(AND(Parameter!$B$21="Ja",ISNUMBER(W263)),W263,IF(BV263="2+3",IF(ISNUMBER(SEARCH("grosser Artikel",BO263)),2,IFERROR(VLOOKUP(BR263,Parameter!$F$35:$G$64,2,0),2)),IF(OR(BV263="Nein",BV263=""),"-",BV263))))</f>
        <v>3</v>
      </c>
      <c r="AA263" s="62"/>
      <c r="AB263" s="63"/>
      <c r="AC263" s="57" t="n">
        <f aca="false">AR263</f>
        <v>25</v>
      </c>
      <c r="AD263" s="57" t="n">
        <f aca="false">MAX(AR263,H263)</f>
        <v>25</v>
      </c>
      <c r="AE263" s="64"/>
      <c r="AF263" s="57" t="n">
        <f aca="false">IF(LEFT(Cockpit!$C$5,1)="A",H263,IF(CA263=1,CB263,IF(LEFT(Cockpit!$C$5,1)="B",AJ263,MAX(AJ263,H263))))</f>
        <v>25</v>
      </c>
      <c r="AG263" s="57" t="n">
        <f aca="false">IF(BT263=1,0,ROUNDUP(AF263/BS263,0))</f>
        <v>1</v>
      </c>
      <c r="AH263" s="59" t="n">
        <f aca="false">IF(CH263&gt;0,CH263*MAX(1,AF263/X263),IF(BT263=1,IF(AF263&lt;=0,0,BW263*MAX(1,IF(H263&gt;0,AF263/H263,1))),IF(R263&gt;0,AG263/R263,0))/MAX(0.1,N(Parameter!$M$21)))</f>
        <v>0.0384615384615385</v>
      </c>
      <c r="AI263" s="57" t="n">
        <f aca="false">AF263*G263</f>
        <v>439.75</v>
      </c>
      <c r="AJ263" s="57" t="n">
        <f aca="false">ROUNDUP(MAX(J263/IF(BZ263&gt;0,BZ263,MAX(0.1,N(Cockpit!$C$6))),CC263)/BS263,0)*BS263</f>
        <v>25</v>
      </c>
      <c r="AK263" s="58" t="n">
        <f aca="false">IF(AH263&gt;0,J263/AH263,-1)</f>
        <v>0</v>
      </c>
      <c r="AL263" s="58" t="n">
        <f aca="false">IF(AND(OR(BY263="L1",BY263="L23"),AH263&gt;0),SUMIFS($AH$7:$AH$1843,$BY$7:$BY$1843,BY263,$AK$7:$AK$1843,"&gt;"&amp;AK263)+SUMIFS($AH$7:$AH$1843,$BY$7:$BY$1843,BY263,$AK$7:$AK$1843,AK263,$BQ$7:$BQ$1843,"&lt;="&amp;BQ263),"")</f>
        <v>71.8251663795142</v>
      </c>
      <c r="AM263" s="65" t="n">
        <f aca="false">IF(AL263="",0,MAX(0,MIN(1,(IF(BY263="L1",Parameter!$E$5,Parameter!$E$6+Parameter!$E$7)-(AL263-AH263))/AH263)))</f>
        <v>1</v>
      </c>
      <c r="AN263" s="57" t="n">
        <f aca="false">IF(LEFT(Cockpit!$I$5,1)="A",H263,IF(CA263=1,CB263,IF(LEFT(Cockpit!$I$5,1)="B",AR263,MAX(AR263,H263))))</f>
        <v>25</v>
      </c>
      <c r="AO263" s="57" t="n">
        <f aca="false">IF(BT263=1,0,ROUNDUP(AN263/BS263,0))</f>
        <v>1</v>
      </c>
      <c r="AP263" s="59" t="n">
        <f aca="false">IF(CH263&gt;0,CH263*MAX(1,AN263/X263),IF(BT263=1,IF(AN263&lt;=0,0,BW263*MAX(1,IF(H263&gt;0,AN263/H263,1))),IF(R263&gt;0,AO263/R263,0))/MAX(0.1,N(Parameter!$M$21)))</f>
        <v>0.0384615384615385</v>
      </c>
      <c r="AQ263" s="57" t="n">
        <f aca="false">AN263*G263</f>
        <v>439.75</v>
      </c>
      <c r="AR263" s="57" t="n">
        <f aca="false">ROUNDUP(MAX(J263/IF(BZ263&gt;0,BZ263,MAX(0.1,N(Cockpit!$I$6))),CC263)/BS263,0)*BS263</f>
        <v>25</v>
      </c>
      <c r="AS263" s="58" t="n">
        <f aca="false">IF(AP263&gt;0,J263/AP263,-1)</f>
        <v>0</v>
      </c>
      <c r="AT263" s="58" t="n">
        <f aca="false">IF(AND(OR(BY263="L1",BY263="L23"),AP263&gt;0),SUMIFS($AP$7:$AP$1843,$BY$7:$BY$1843,BY263,$AS$7:$AS$1843,"&gt;"&amp;AS263)+SUMIFS($AP$7:$AP$1843,$BY$7:$BY$1843,BY263,$AS$7:$AS$1843,AS263,$BQ$7:$BQ$1843,"&lt;="&amp;BQ263),"")</f>
        <v>111.249290564508</v>
      </c>
      <c r="AU263" s="65" t="n">
        <f aca="false">IF(AT263="",0,MAX(0,MIN(1,(IF(BY263="L1",Parameter!$E$5,Parameter!$E$6+Parameter!$E$7)-(AT263-AP263))/AP263)))</f>
        <v>0</v>
      </c>
      <c r="AV263" s="57" t="n">
        <f aca="false">IF(LEFT(Cockpit!$O$5,1)="A",H263,IF(CA263=1,CB263,IF(LEFT(Cockpit!$O$5,1)="B",AZ263,MAX(AZ263,H263))))</f>
        <v>25</v>
      </c>
      <c r="AW263" s="57" t="n">
        <f aca="false">IF(BT263=1,0,ROUNDUP(AV263/BS263,0))</f>
        <v>1</v>
      </c>
      <c r="AX263" s="59" t="n">
        <f aca="false">IF(CH263&gt;0,CH263*MAX(1,AV263/X263),IF(BT263=1,IF(AV263&lt;=0,0,BW263*MAX(1,IF(H263&gt;0,AV263/H263,1))),IF(R263&gt;0,AW263/R263,0))/MAX(0.1,N(Parameter!$M$21)))</f>
        <v>0.0384615384615385</v>
      </c>
      <c r="AY263" s="57" t="n">
        <f aca="false">AV263*G263</f>
        <v>439.75</v>
      </c>
      <c r="AZ263" s="57" t="n">
        <f aca="false">ROUNDUP(MAX(J263/IF(BZ263&gt;0,BZ263,MAX(0.1,N(Cockpit!$O$6))),CC263)/BS263,0)*BS263</f>
        <v>25</v>
      </c>
      <c r="BA263" s="58" t="n">
        <f aca="false">IF(AX263&gt;0,J263/AX263,-1)</f>
        <v>0</v>
      </c>
      <c r="BB263" s="58" t="n">
        <f aca="false">IF(AND(OR(BY263="L1",BY263="L23"),AX263&gt;0),SUMIFS($AX$7:$AX$1843,$BY$7:$BY$1843,BY263,$BA$7:$BA$1843,"&gt;"&amp;BA263)+SUMIFS($AX$7:$AX$1843,$BY$7:$BY$1843,BY263,$BA$7:$BA$1843,BA263,$BQ$7:$BQ$1843,"&lt;="&amp;BQ263),"")</f>
        <v>102.079127394345</v>
      </c>
      <c r="BC263" s="65" t="n">
        <f aca="false">IF(BB263="",0,MAX(0,MIN(1,(IF(BY263="L1",Parameter!$E$5,Parameter!$E$6+Parameter!$E$7)-(BB263-AX263))/AX263)))</f>
        <v>0</v>
      </c>
      <c r="BD263" s="55" t="str">
        <f aca="false">IF(AH263&lt;=0,"",IF(BY263="Aussen","Aussenlager",IF(BY263="-","Nicht im Lift",IF(AM263&gt;=1,"Lift",IF(AM263&lt;=0,"Aussenlager","teilweise")))))</f>
        <v>Lift</v>
      </c>
      <c r="BE263" s="55" t="str">
        <f aca="false">IF(AP263&lt;=0,"",IF(BY263="Aussen","Aussenlager",IF(BY263="-","Nicht im Lift",IF(AU263&gt;=1,"Lift",IF(AU263&lt;=0,"Aussenlager","teilweise")))))</f>
        <v>Aussenlager</v>
      </c>
      <c r="BF263" s="55" t="str">
        <f aca="false">IF(AX263&lt;=0,"",IF(BY263="Aussen","Aussenlager",IF(BY263="-","Nicht im Lift",IF(BC263&gt;=1,"Lift",IF(BC263&lt;=0,"Aussenlager","teilweise")))))</f>
        <v>Aussenlager</v>
      </c>
      <c r="BG263" s="55" t="str">
        <f aca="false">IF(A263="","",IF(BP263=1,"Neu; ","")&amp;IF(AND(BP263=0,BK263&lt;0),"negativer Bestand (Export "&amp;BK263&amp;"); ","")&amp;IF(J263&lt;=0,"Kein Verbrauch; ","")&amp;IF(CH263&gt;0,"Lift "&amp;W263&amp;" lt. Liftbericht (Fach "&amp;X263&amp;" Stk); ",IF(BU263=1,"Gebinde geschätzt ("&amp;T263&amp;"); ",IF(BT263=1,"Lose – Tablare geschätzt; ","")))&amp;IF(H263&gt;AR263,"Überbestand "&amp;ROUND(H263-AR263,0)&amp;" Stk / CHF "&amp;ROUND((H263-AR263)*G263,0)&amp;"; ","")&amp;IF(AND(CA263=1,CB263&lt;CC263),"MAX &lt; MB+LG; ","")&amp;IF(AND(CG263&gt;0,CF263*10&gt;CG263),"zu hoch für Tablar; ","")&amp;IF(AND(BP263=0,OR(CA263=1,AA263&lt;&gt;"",U263&lt;&gt;"",V263&lt;&gt;"",AB263&lt;&gt;"")),"manuell übersteuert; ","")&amp;IF(AND(BT263=0,R263=0),"Gebinde unbekannt / Stellmass fehlt; ","")&amp;IF(AND(BT263=0,N(V263)&lt;=0,N(Q263)&lt;=0),"Menge pro Gebinde fehlt (Ist = 1 Gebinde); ","")&amp;BO263)</f>
        <v>Kein Verbrauch; Gebinde geschätzt (Klein); Menge pro Gebinde fehlt (Ist = 1 Gebinde); </v>
      </c>
      <c r="BH263" s="55"/>
      <c r="BI263" s="55"/>
      <c r="BJ263" s="62"/>
      <c r="BK263" s="57" t="n">
        <v>25</v>
      </c>
      <c r="BL263" s="57" t="n">
        <v>0</v>
      </c>
      <c r="BM263" s="56" t="n">
        <v>439.75</v>
      </c>
      <c r="BN263" s="57" t="n">
        <v>0</v>
      </c>
      <c r="BO263" s="55"/>
      <c r="BP263" s="60" t="n">
        <v>0</v>
      </c>
      <c r="BQ263" s="60" t="n">
        <v>263</v>
      </c>
      <c r="BR263" s="55" t="str">
        <f aca="false">IF(U263&lt;&gt;"",UPPER(TRIM(U263)),IF(BU263=1,UPPER(VLOOKUP(T263,Parameter!$I$27:$K$29,2,0)),IF(P263="","LOSE",P263)))</f>
        <v>S51</v>
      </c>
      <c r="BS263" s="57" t="n">
        <f aca="false">IF(BR263="LOSE",1,IF(N(V263)&gt;0,V263,IF(BU263=1,MAX(1,N(VLOOKUP(T263,Parameter!$I$27:$K$29,3,0)),H263,N(N263)),IF(N(Q263)&gt;0,Q263,MAX(1,H263)))))</f>
        <v>25</v>
      </c>
      <c r="BT263" s="60" t="n">
        <f aca="false">IF(BR263="LOSE",1,0)</f>
        <v>0</v>
      </c>
      <c r="BU263" s="60" t="n">
        <f aca="false">IF(AND(U263="",OR(P263="",P263="LOSE"),T263&lt;&gt;"",N(S263)&lt;=0,ISNUMBER(MATCH(T263,Parameter!$I$27:$I$29,0))),1,0)</f>
        <v>1</v>
      </c>
      <c r="BV263" s="55" t="str">
        <f aca="false">IF(AND(Parameter!$B$19="Ja",E263&lt;&gt;"",ISNUMBER(MATCH(E263,Parameter!$I$35:$I$52,0))),VLOOKUP(E263,Parameter!$I$35:$J$52,2,0),IFERROR(VLOOKUP(D263,Parameter!$A$35:$C$64,2,0),"Nein"))</f>
        <v>2+3</v>
      </c>
      <c r="BW263" s="59" t="n">
        <f aca="false">IF(BT263=0,0,IF(N(S263)&gt;0,S263,IFERROR(VLOOKUP(D263,Parameter!$A$35:$C$64,3,0)+0,0)))</f>
        <v>0</v>
      </c>
      <c r="BX263" s="55" t="n">
        <f aca="false">IF(AA263&lt;&gt;"",AA263,Z263)</f>
        <v>3</v>
      </c>
      <c r="BY263" s="55" t="str">
        <f aca="false">IF(BX263=1,"L1",IF(OR(BX263=2,BX263=3),"L23",IF(BX263="Aussen","Aussen","-")))</f>
        <v>L23</v>
      </c>
      <c r="BZ263" s="66" t="n">
        <f aca="false">IF(N(AB263)&gt;0,AB263,0)</f>
        <v>0</v>
      </c>
      <c r="CA263" s="60" t="n">
        <f aca="false">IF(ISNUMBER(AE263),1,0)</f>
        <v>0</v>
      </c>
      <c r="CB263" s="57" t="n">
        <f aca="false">N(AE263)</f>
        <v>0</v>
      </c>
      <c r="CC263" s="57" t="n">
        <f aca="false">N(M263)+N(N263)</f>
        <v>5</v>
      </c>
      <c r="CD263" s="57" t="n">
        <f aca="false">ROUNDUP(H263/BS263,0)</f>
        <v>1</v>
      </c>
      <c r="CE263" s="57" t="n">
        <f aca="false">ROUNDUP(CB263/BS263,0)</f>
        <v>0</v>
      </c>
      <c r="CF263" s="60" t="n">
        <f aca="false">IF(BT263=1,0,IFERROR(VLOOKUP(BR263,'Gebinde-Kategorie'!$A$5:$M$45,5,0)+0,0))</f>
        <v>11</v>
      </c>
      <c r="CG263" s="60" t="n">
        <f aca="false">IFERROR(IF(OR(BX263=1,BX263=2,BX263=3),N(INDEX(Parameter!$I$5:$I$7,BX263)),0),0)</f>
        <v>0</v>
      </c>
      <c r="CH263" s="59" t="n">
        <f aca="false">IF(AND(Parameter!$B$21="Ja",ISNUMBER(W263),N(X263)&gt;0),IFERROR(N(INDEX(Parameter!$L$5:$L$7,W263))*INDEX(Parameter!$E$5:$E$7,W263)*X263/SUMIFS($X$7:$X$1843,$W$7:$W$1843,W263),0),0)</f>
        <v>0</v>
      </c>
    </row>
    <row r="264" customFormat="false" ht="15" hidden="false" customHeight="false" outlineLevel="0" collapsed="false">
      <c r="A264" s="55" t="s">
        <v>709</v>
      </c>
      <c r="B264" s="55" t="s">
        <v>468</v>
      </c>
      <c r="C264" s="55" t="s">
        <v>164</v>
      </c>
      <c r="D264" s="55" t="s">
        <v>184</v>
      </c>
      <c r="E264" s="55" t="s">
        <v>185</v>
      </c>
      <c r="F264" s="55" t="s">
        <v>218</v>
      </c>
      <c r="G264" s="56" t="n">
        <v>6.92</v>
      </c>
      <c r="H264" s="57" t="n">
        <f aca="false">MAX(0,IF(AND(Parameter!$B$21="Ja",ISNUMBER(Y264)),Y264,IF(Parameter!$B$20="Jahresanfang 2025 + Export",BL264+BK264,BK264)))</f>
        <v>100</v>
      </c>
      <c r="I264" s="57" t="n">
        <f aca="false">H264*G264</f>
        <v>692</v>
      </c>
      <c r="J264" s="57" t="n">
        <f aca="false">BN264*Parameter!$B$18</f>
        <v>150</v>
      </c>
      <c r="K264" s="58" t="n">
        <v>49.5</v>
      </c>
      <c r="L264" s="59" t="n">
        <v>3.03030303030303</v>
      </c>
      <c r="M264" s="57" t="n">
        <v>5</v>
      </c>
      <c r="N264" s="57" t="n">
        <v>150</v>
      </c>
      <c r="O264" s="60" t="n">
        <v>14</v>
      </c>
      <c r="P264" s="55" t="s">
        <v>302</v>
      </c>
      <c r="Q264" s="57" t="n">
        <v>72</v>
      </c>
      <c r="R264" s="60" t="n">
        <f aca="false">IF(BT264=1,0,IFERROR(VLOOKUP(BR264,'Gebinde-Kategorie'!$A$5:$M$45,13,0)+0,0))</f>
        <v>26</v>
      </c>
      <c r="S264" s="61"/>
      <c r="T264" s="62"/>
      <c r="U264" s="62"/>
      <c r="V264" s="62"/>
      <c r="W264" s="55"/>
      <c r="X264" s="57"/>
      <c r="Y264" s="57"/>
      <c r="Z264" s="55" t="n">
        <f aca="false">IF(A264="","",IF(AND(Parameter!$B$21="Ja",ISNUMBER(W264)),W264,IF(BV264="2+3",IF(ISNUMBER(SEARCH("grosser Artikel",BO264)),2,IFERROR(VLOOKUP(BR264,Parameter!$F$35:$G$64,2,0),2)),IF(OR(BV264="Nein",BV264=""),"-",BV264))))</f>
        <v>3</v>
      </c>
      <c r="AA264" s="62"/>
      <c r="AB264" s="63"/>
      <c r="AC264" s="57" t="n">
        <f aca="false">AR264</f>
        <v>216</v>
      </c>
      <c r="AD264" s="57" t="n">
        <f aca="false">MAX(AR264,H264)</f>
        <v>216</v>
      </c>
      <c r="AE264" s="64"/>
      <c r="AF264" s="57" t="n">
        <f aca="false">IF(LEFT(Cockpit!$C$5,1)="A",H264,IF(CA264=1,CB264,IF(LEFT(Cockpit!$C$5,1)="B",AJ264,MAX(AJ264,H264))))</f>
        <v>100</v>
      </c>
      <c r="AG264" s="57" t="n">
        <f aca="false">IF(BT264=1,0,ROUNDUP(AF264/BS264,0))</f>
        <v>2</v>
      </c>
      <c r="AH264" s="59" t="n">
        <f aca="false">IF(CH264&gt;0,CH264*MAX(1,AF264/X264),IF(BT264=1,IF(AF264&lt;=0,0,BW264*MAX(1,IF(H264&gt;0,AF264/H264,1))),IF(R264&gt;0,AG264/R264,0))/MAX(0.1,N(Parameter!$M$21)))</f>
        <v>0.0769230769230769</v>
      </c>
      <c r="AI264" s="57" t="n">
        <f aca="false">AF264*G264</f>
        <v>692</v>
      </c>
      <c r="AJ264" s="57" t="n">
        <f aca="false">ROUNDUP(MAX(J264/IF(BZ264&gt;0,BZ264,MAX(0.1,N(Cockpit!$C$6))),CC264)/BS264,0)*BS264</f>
        <v>216</v>
      </c>
      <c r="AK264" s="58" t="n">
        <f aca="false">IF(AH264&gt;0,J264/AH264,-1)</f>
        <v>1950</v>
      </c>
      <c r="AL264" s="58" t="n">
        <f aca="false">IF(AND(OR(BY264="L1",BY264="L23"),AH264&gt;0),SUMIFS($AH$7:$AH$1843,$BY$7:$BY$1843,BY264,$AK$7:$AK$1843,"&gt;"&amp;AK264)+SUMIFS($AH$7:$AH$1843,$BY$7:$BY$1843,BY264,$AK$7:$AK$1843,AK264,$BQ$7:$BQ$1843,"&lt;="&amp;BQ264),"")</f>
        <v>13.4190314516401</v>
      </c>
      <c r="AM264" s="65" t="n">
        <f aca="false">IF(AL264="",0,MAX(0,MIN(1,(IF(BY264="L1",Parameter!$E$5,Parameter!$E$6+Parameter!$E$7)-(AL264-AH264))/AH264)))</f>
        <v>1</v>
      </c>
      <c r="AN264" s="57" t="n">
        <f aca="false">IF(LEFT(Cockpit!$I$5,1)="A",H264,IF(CA264=1,CB264,IF(LEFT(Cockpit!$I$5,1)="B",AR264,MAX(AR264,H264))))</f>
        <v>216</v>
      </c>
      <c r="AO264" s="57" t="n">
        <f aca="false">IF(BT264=1,0,ROUNDUP(AN264/BS264,0))</f>
        <v>3</v>
      </c>
      <c r="AP264" s="59" t="n">
        <f aca="false">IF(CH264&gt;0,CH264*MAX(1,AN264/X264),IF(BT264=1,IF(AN264&lt;=0,0,BW264*MAX(1,IF(H264&gt;0,AN264/H264,1))),IF(R264&gt;0,AO264/R264,0))/MAX(0.1,N(Parameter!$M$21)))</f>
        <v>0.115384615384615</v>
      </c>
      <c r="AQ264" s="57" t="n">
        <f aca="false">AN264*G264</f>
        <v>1494.72</v>
      </c>
      <c r="AR264" s="57" t="n">
        <f aca="false">ROUNDUP(MAX(J264/IF(BZ264&gt;0,BZ264,MAX(0.1,N(Cockpit!$I$6))),CC264)/BS264,0)*BS264</f>
        <v>216</v>
      </c>
      <c r="AS264" s="58" t="n">
        <f aca="false">IF(AP264&gt;0,J264/AP264,-1)</f>
        <v>1300</v>
      </c>
      <c r="AT264" s="58" t="n">
        <f aca="false">IF(AND(OR(BY264="L1",BY264="L23"),AP264&gt;0),SUMIFS($AP$7:$AP$1843,$BY$7:$BY$1843,BY264,$AS$7:$AS$1843,"&gt;"&amp;AS264)+SUMIFS($AP$7:$AP$1843,$BY$7:$BY$1843,BY264,$AS$7:$AS$1843,AS264,$BQ$7:$BQ$1843,"&lt;="&amp;BQ264),"")</f>
        <v>21.9615891355022</v>
      </c>
      <c r="AU264" s="65" t="n">
        <f aca="false">IF(AT264="",0,MAX(0,MIN(1,(IF(BY264="L1",Parameter!$E$5,Parameter!$E$6+Parameter!$E$7)-(AT264-AP264))/AP264)))</f>
        <v>1</v>
      </c>
      <c r="AV264" s="57" t="n">
        <f aca="false">IF(LEFT(Cockpit!$O$5,1)="A",H264,IF(CA264=1,CB264,IF(LEFT(Cockpit!$O$5,1)="B",AZ264,MAX(AZ264,H264))))</f>
        <v>216</v>
      </c>
      <c r="AW264" s="57" t="n">
        <f aca="false">IF(BT264=1,0,ROUNDUP(AV264/BS264,0))</f>
        <v>3</v>
      </c>
      <c r="AX264" s="59" t="n">
        <f aca="false">IF(CH264&gt;0,CH264*MAX(1,AV264/X264),IF(BT264=1,IF(AV264&lt;=0,0,BW264*MAX(1,IF(H264&gt;0,AV264/H264,1))),IF(R264&gt;0,AW264/R264,0))/MAX(0.1,N(Parameter!$M$21)))</f>
        <v>0.115384615384615</v>
      </c>
      <c r="AY264" s="57" t="n">
        <f aca="false">AV264*G264</f>
        <v>1494.72</v>
      </c>
      <c r="AZ264" s="57" t="n">
        <f aca="false">ROUNDUP(MAX(J264/IF(BZ264&gt;0,BZ264,MAX(0.1,N(Cockpit!$O$6))),CC264)/BS264,0)*BS264</f>
        <v>216</v>
      </c>
      <c r="BA264" s="58" t="n">
        <f aca="false">IF(AX264&gt;0,J264/AX264,-1)</f>
        <v>1300</v>
      </c>
      <c r="BB264" s="58" t="n">
        <f aca="false">IF(AND(OR(BY264="L1",BY264="L23"),AX264&gt;0),SUMIFS($AX$7:$AX$1843,$BY$7:$BY$1843,BY264,$BA$7:$BA$1843,"&gt;"&amp;BA264)+SUMIFS($AX$7:$AX$1843,$BY$7:$BY$1843,BY264,$BA$7:$BA$1843,BA264,$BQ$7:$BQ$1843,"&lt;="&amp;BQ264),"")</f>
        <v>20.6568105807236</v>
      </c>
      <c r="BC264" s="65" t="n">
        <f aca="false">IF(BB264="",0,MAX(0,MIN(1,(IF(BY264="L1",Parameter!$E$5,Parameter!$E$6+Parameter!$E$7)-(BB264-AX264))/AX264)))</f>
        <v>1</v>
      </c>
      <c r="BD264" s="55" t="str">
        <f aca="false">IF(AH264&lt;=0,"",IF(BY264="Aussen","Aussenlager",IF(BY264="-","Nicht im Lift",IF(AM264&gt;=1,"Lift",IF(AM264&lt;=0,"Aussenlager","teilweise")))))</f>
        <v>Lift</v>
      </c>
      <c r="BE264" s="55" t="str">
        <f aca="false">IF(AP264&lt;=0,"",IF(BY264="Aussen","Aussenlager",IF(BY264="-","Nicht im Lift",IF(AU264&gt;=1,"Lift",IF(AU264&lt;=0,"Aussenlager","teilweise")))))</f>
        <v>Lift</v>
      </c>
      <c r="BF264" s="55" t="str">
        <f aca="false">IF(AX264&lt;=0,"",IF(BY264="Aussen","Aussenlager",IF(BY264="-","Nicht im Lift",IF(BC264&gt;=1,"Lift",IF(BC264&lt;=0,"Aussenlager","teilweise")))))</f>
        <v>Lift</v>
      </c>
      <c r="BG264" s="55" t="str">
        <f aca="false">IF(A264="","",IF(BP264=1,"Neu; ","")&amp;IF(AND(BP264=0,BK264&lt;0),"negativer Bestand (Export "&amp;BK264&amp;"); ","")&amp;IF(J264&lt;=0,"Kein Verbrauch; ","")&amp;IF(CH264&gt;0,"Lift "&amp;W264&amp;" lt. Liftbericht (Fach "&amp;X264&amp;" Stk); ",IF(BU264=1,"Gebinde geschätzt ("&amp;T264&amp;"); ",IF(BT264=1,"Lose – Tablare geschätzt; ","")))&amp;IF(H264&gt;AR264,"Überbestand "&amp;ROUND(H264-AR264,0)&amp;" Stk / CHF "&amp;ROUND((H264-AR264)*G264,0)&amp;"; ","")&amp;IF(AND(CA264=1,CB264&lt;CC264),"MAX &lt; MB+LG; ","")&amp;IF(AND(CG264&gt;0,CF264*10&gt;CG264),"zu hoch für Tablar; ","")&amp;IF(AND(BP264=0,OR(CA264=1,AA264&lt;&gt;"",U264&lt;&gt;"",V264&lt;&gt;"",AB264&lt;&gt;"")),"manuell übersteuert; ","")&amp;IF(AND(BT264=0,R264=0),"Gebinde unbekannt / Stellmass fehlt; ","")&amp;IF(AND(BT264=0,N(V264)&lt;=0,N(Q264)&lt;=0),"Menge pro Gebinde fehlt (Ist = 1 Gebinde); ","")&amp;BO264)</f>
        <v/>
      </c>
      <c r="BH264" s="55"/>
      <c r="BI264" s="55"/>
      <c r="BJ264" s="62"/>
      <c r="BK264" s="57" t="n">
        <v>64</v>
      </c>
      <c r="BL264" s="57" t="n">
        <v>36</v>
      </c>
      <c r="BM264" s="56" t="n">
        <v>439.69</v>
      </c>
      <c r="BN264" s="57" t="n">
        <v>150</v>
      </c>
      <c r="BO264" s="55"/>
      <c r="BP264" s="60" t="n">
        <v>0</v>
      </c>
      <c r="BQ264" s="60" t="n">
        <v>264</v>
      </c>
      <c r="BR264" s="55" t="str">
        <f aca="false">IF(U264&lt;&gt;"",UPPER(TRIM(U264)),IF(BU264=1,UPPER(VLOOKUP(T264,Parameter!$I$27:$K$29,2,0)),IF(P264="","LOSE",P264)))</f>
        <v>S51</v>
      </c>
      <c r="BS264" s="57" t="n">
        <f aca="false">IF(BR264="LOSE",1,IF(N(V264)&gt;0,V264,IF(BU264=1,MAX(1,N(VLOOKUP(T264,Parameter!$I$27:$K$29,3,0)),H264,N(N264)),IF(N(Q264)&gt;0,Q264,MAX(1,H264)))))</f>
        <v>72</v>
      </c>
      <c r="BT264" s="60" t="n">
        <f aca="false">IF(BR264="LOSE",1,0)</f>
        <v>0</v>
      </c>
      <c r="BU264" s="60" t="n">
        <f aca="false">IF(AND(U264="",OR(P264="",P264="LOSE"),T264&lt;&gt;"",N(S264)&lt;=0,ISNUMBER(MATCH(T264,Parameter!$I$27:$I$29,0))),1,0)</f>
        <v>0</v>
      </c>
      <c r="BV264" s="55" t="str">
        <f aca="false">IF(AND(Parameter!$B$19="Ja",E264&lt;&gt;"",ISNUMBER(MATCH(E264,Parameter!$I$35:$I$52,0))),VLOOKUP(E264,Parameter!$I$35:$J$52,2,0),IFERROR(VLOOKUP(D264,Parameter!$A$35:$C$64,2,0),"Nein"))</f>
        <v>2+3</v>
      </c>
      <c r="BW264" s="59" t="n">
        <f aca="false">IF(BT264=0,0,IF(N(S264)&gt;0,S264,IFERROR(VLOOKUP(D264,Parameter!$A$35:$C$64,3,0)+0,0)))</f>
        <v>0</v>
      </c>
      <c r="BX264" s="55" t="n">
        <f aca="false">IF(AA264&lt;&gt;"",AA264,Z264)</f>
        <v>3</v>
      </c>
      <c r="BY264" s="55" t="str">
        <f aca="false">IF(BX264=1,"L1",IF(OR(BX264=2,BX264=3),"L23",IF(BX264="Aussen","Aussen","-")))</f>
        <v>L23</v>
      </c>
      <c r="BZ264" s="66" t="n">
        <f aca="false">IF(N(AB264)&gt;0,AB264,0)</f>
        <v>0</v>
      </c>
      <c r="CA264" s="60" t="n">
        <f aca="false">IF(ISNUMBER(AE264),1,0)</f>
        <v>0</v>
      </c>
      <c r="CB264" s="57" t="n">
        <f aca="false">N(AE264)</f>
        <v>0</v>
      </c>
      <c r="CC264" s="57" t="n">
        <f aca="false">N(M264)+N(N264)</f>
        <v>155</v>
      </c>
      <c r="CD264" s="57" t="n">
        <f aca="false">ROUNDUP(H264/BS264,0)</f>
        <v>2</v>
      </c>
      <c r="CE264" s="57" t="n">
        <f aca="false">ROUNDUP(CB264/BS264,0)</f>
        <v>0</v>
      </c>
      <c r="CF264" s="60" t="n">
        <f aca="false">IF(BT264=1,0,IFERROR(VLOOKUP(BR264,'Gebinde-Kategorie'!$A$5:$M$45,5,0)+0,0))</f>
        <v>11</v>
      </c>
      <c r="CG264" s="60" t="n">
        <f aca="false">IFERROR(IF(OR(BX264=1,BX264=2,BX264=3),N(INDEX(Parameter!$I$5:$I$7,BX264)),0),0)</f>
        <v>0</v>
      </c>
      <c r="CH264" s="59" t="n">
        <f aca="false">IF(AND(Parameter!$B$21="Ja",ISNUMBER(W264),N(X264)&gt;0),IFERROR(N(INDEX(Parameter!$L$5:$L$7,W264))*INDEX(Parameter!$E$5:$E$7,W264)*X264/SUMIFS($X$7:$X$1843,$W$7:$W$1843,W264),0),0)</f>
        <v>0</v>
      </c>
    </row>
    <row r="265" customFormat="false" ht="15" hidden="false" customHeight="false" outlineLevel="0" collapsed="false">
      <c r="A265" s="55" t="s">
        <v>710</v>
      </c>
      <c r="B265" s="55" t="s">
        <v>571</v>
      </c>
      <c r="C265" s="55" t="s">
        <v>164</v>
      </c>
      <c r="D265" s="55" t="s">
        <v>184</v>
      </c>
      <c r="E265" s="55" t="s">
        <v>185</v>
      </c>
      <c r="F265" s="55" t="s">
        <v>218</v>
      </c>
      <c r="G265" s="56" t="n">
        <v>11.14</v>
      </c>
      <c r="H265" s="57" t="n">
        <f aca="false">MAX(0,IF(AND(Parameter!$B$21="Ja",ISNUMBER(Y265)),Y265,IF(Parameter!$B$20="Jahresanfang 2025 + Export",BL265+BK265,BK265)))</f>
        <v>85</v>
      </c>
      <c r="I265" s="57" t="n">
        <f aca="false">H265*G265</f>
        <v>946.9</v>
      </c>
      <c r="J265" s="57" t="n">
        <f aca="false">BN265*Parameter!$B$18</f>
        <v>221</v>
      </c>
      <c r="K265" s="58" t="n">
        <v>57</v>
      </c>
      <c r="L265" s="59" t="n">
        <v>3.87719298245614</v>
      </c>
      <c r="M265" s="57" t="n">
        <v>21</v>
      </c>
      <c r="N265" s="57" t="n">
        <v>100</v>
      </c>
      <c r="O265" s="60" t="n">
        <v>21</v>
      </c>
      <c r="P265" s="55" t="s">
        <v>328</v>
      </c>
      <c r="Q265" s="57" t="n">
        <v>188</v>
      </c>
      <c r="R265" s="60" t="n">
        <f aca="false">IF(BT265=1,0,IFERROR(VLOOKUP(BR265,'Gebinde-Kategorie'!$A$5:$M$45,13,0)+0,0))</f>
        <v>52</v>
      </c>
      <c r="S265" s="61"/>
      <c r="T265" s="62"/>
      <c r="U265" s="62"/>
      <c r="V265" s="62"/>
      <c r="W265" s="55"/>
      <c r="X265" s="57"/>
      <c r="Y265" s="57"/>
      <c r="Z265" s="55" t="n">
        <f aca="false">IF(A265="","",IF(AND(Parameter!$B$21="Ja",ISNUMBER(W265)),W265,IF(BV265="2+3",IF(ISNUMBER(SEARCH("grosser Artikel",BO265)),2,IFERROR(VLOOKUP(BR265,Parameter!$F$35:$G$64,2,0),2)),IF(OR(BV265="Nein",BV265=""),"-",BV265))))</f>
        <v>3</v>
      </c>
      <c r="AA265" s="62"/>
      <c r="AB265" s="63"/>
      <c r="AC265" s="57" t="n">
        <f aca="false">AR265</f>
        <v>188</v>
      </c>
      <c r="AD265" s="57" t="n">
        <f aca="false">MAX(AR265,H265)</f>
        <v>188</v>
      </c>
      <c r="AE265" s="64"/>
      <c r="AF265" s="57" t="n">
        <f aca="false">IF(LEFT(Cockpit!$C$5,1)="A",H265,IF(CA265=1,CB265,IF(LEFT(Cockpit!$C$5,1)="B",AJ265,MAX(AJ265,H265))))</f>
        <v>85</v>
      </c>
      <c r="AG265" s="57" t="n">
        <f aca="false">IF(BT265=1,0,ROUNDUP(AF265/BS265,0))</f>
        <v>1</v>
      </c>
      <c r="AH265" s="59" t="n">
        <f aca="false">IF(CH265&gt;0,CH265*MAX(1,AF265/X265),IF(BT265=1,IF(AF265&lt;=0,0,BW265*MAX(1,IF(H265&gt;0,AF265/H265,1))),IF(R265&gt;0,AG265/R265,0))/MAX(0.1,N(Parameter!$M$21)))</f>
        <v>0.0192307692307692</v>
      </c>
      <c r="AI265" s="57" t="n">
        <f aca="false">AF265*G265</f>
        <v>946.9</v>
      </c>
      <c r="AJ265" s="57" t="n">
        <f aca="false">ROUNDUP(MAX(J265/IF(BZ265&gt;0,BZ265,MAX(0.1,N(Cockpit!$C$6))),CC265)/BS265,0)*BS265</f>
        <v>188</v>
      </c>
      <c r="AK265" s="58" t="n">
        <f aca="false">IF(AH265&gt;0,J265/AH265,-1)</f>
        <v>11492</v>
      </c>
      <c r="AL265" s="58" t="n">
        <f aca="false">IF(AND(OR(BY265="L1",BY265="L23"),AH265&gt;0),SUMIFS($AH$7:$AH$1843,$BY$7:$BY$1843,BY265,$AK$7:$AK$1843,"&gt;"&amp;AK265)+SUMIFS($AH$7:$AH$1843,$BY$7:$BY$1843,BY265,$AK$7:$AK$1843,AK265,$BQ$7:$BQ$1843,"&lt;="&amp;BQ265),"")</f>
        <v>4.94229080098645</v>
      </c>
      <c r="AM265" s="65" t="n">
        <f aca="false">IF(AL265="",0,MAX(0,MIN(1,(IF(BY265="L1",Parameter!$E$5,Parameter!$E$6+Parameter!$E$7)-(AL265-AH265))/AH265)))</f>
        <v>1</v>
      </c>
      <c r="AN265" s="57" t="n">
        <f aca="false">IF(LEFT(Cockpit!$I$5,1)="A",H265,IF(CA265=1,CB265,IF(LEFT(Cockpit!$I$5,1)="B",AR265,MAX(AR265,H265))))</f>
        <v>188</v>
      </c>
      <c r="AO265" s="57" t="n">
        <f aca="false">IF(BT265=1,0,ROUNDUP(AN265/BS265,0))</f>
        <v>1</v>
      </c>
      <c r="AP265" s="59" t="n">
        <f aca="false">IF(CH265&gt;0,CH265*MAX(1,AN265/X265),IF(BT265=1,IF(AN265&lt;=0,0,BW265*MAX(1,IF(H265&gt;0,AN265/H265,1))),IF(R265&gt;0,AO265/R265,0))/MAX(0.1,N(Parameter!$M$21)))</f>
        <v>0.0192307692307692</v>
      </c>
      <c r="AQ265" s="57" t="n">
        <f aca="false">AN265*G265</f>
        <v>2094.32</v>
      </c>
      <c r="AR265" s="57" t="n">
        <f aca="false">ROUNDUP(MAX(J265/IF(BZ265&gt;0,BZ265,MAX(0.1,N(Cockpit!$I$6))),CC265)/BS265,0)*BS265</f>
        <v>188</v>
      </c>
      <c r="AS265" s="58" t="n">
        <f aca="false">IF(AP265&gt;0,J265/AP265,-1)</f>
        <v>11492</v>
      </c>
      <c r="AT265" s="58" t="n">
        <f aca="false">IF(AND(OR(BY265="L1",BY265="L23"),AP265&gt;0),SUMIFS($AP$7:$AP$1843,$BY$7:$BY$1843,BY265,$AS$7:$AS$1843,"&gt;"&amp;AS265)+SUMIFS($AP$7:$AP$1843,$BY$7:$BY$1843,BY265,$AS$7:$AS$1843,AS265,$BQ$7:$BQ$1843,"&lt;="&amp;BQ265),"")</f>
        <v>5.70895408938887</v>
      </c>
      <c r="AU265" s="65" t="n">
        <f aca="false">IF(AT265="",0,MAX(0,MIN(1,(IF(BY265="L1",Parameter!$E$5,Parameter!$E$6+Parameter!$E$7)-(AT265-AP265))/AP265)))</f>
        <v>1</v>
      </c>
      <c r="AV265" s="57" t="n">
        <f aca="false">IF(LEFT(Cockpit!$O$5,1)="A",H265,IF(CA265=1,CB265,IF(LEFT(Cockpit!$O$5,1)="B",AZ265,MAX(AZ265,H265))))</f>
        <v>188</v>
      </c>
      <c r="AW265" s="57" t="n">
        <f aca="false">IF(BT265=1,0,ROUNDUP(AV265/BS265,0))</f>
        <v>1</v>
      </c>
      <c r="AX265" s="59" t="n">
        <f aca="false">IF(CH265&gt;0,CH265*MAX(1,AV265/X265),IF(BT265=1,IF(AV265&lt;=0,0,BW265*MAX(1,IF(H265&gt;0,AV265/H265,1))),IF(R265&gt;0,AW265/R265,0))/MAX(0.1,N(Parameter!$M$21)))</f>
        <v>0.0192307692307692</v>
      </c>
      <c r="AY265" s="57" t="n">
        <f aca="false">AV265*G265</f>
        <v>2094.32</v>
      </c>
      <c r="AZ265" s="57" t="n">
        <f aca="false">ROUNDUP(MAX(J265/IF(BZ265&gt;0,BZ265,MAX(0.1,N(Cockpit!$O$6))),CC265)/BS265,0)*BS265</f>
        <v>188</v>
      </c>
      <c r="BA265" s="58" t="n">
        <f aca="false">IF(AX265&gt;0,J265/AX265,-1)</f>
        <v>11492</v>
      </c>
      <c r="BB265" s="58" t="n">
        <f aca="false">IF(AND(OR(BY265="L1",BY265="L23"),AX265&gt;0),SUMIFS($AX$7:$AX$1843,$BY$7:$BY$1843,BY265,$BA$7:$BA$1843,"&gt;"&amp;BA265)+SUMIFS($AX$7:$AX$1843,$BY$7:$BY$1843,BY265,$BA$7:$BA$1843,BA265,$BQ$7:$BQ$1843,"&lt;="&amp;BQ265),"")</f>
        <v>6.85930373973852</v>
      </c>
      <c r="BC265" s="65" t="n">
        <f aca="false">IF(BB265="",0,MAX(0,MIN(1,(IF(BY265="L1",Parameter!$E$5,Parameter!$E$6+Parameter!$E$7)-(BB265-AX265))/AX265)))</f>
        <v>1</v>
      </c>
      <c r="BD265" s="55" t="str">
        <f aca="false">IF(AH265&lt;=0,"",IF(BY265="Aussen","Aussenlager",IF(BY265="-","Nicht im Lift",IF(AM265&gt;=1,"Lift",IF(AM265&lt;=0,"Aussenlager","teilweise")))))</f>
        <v>Lift</v>
      </c>
      <c r="BE265" s="55" t="str">
        <f aca="false">IF(AP265&lt;=0,"",IF(BY265="Aussen","Aussenlager",IF(BY265="-","Nicht im Lift",IF(AU265&gt;=1,"Lift",IF(AU265&lt;=0,"Aussenlager","teilweise")))))</f>
        <v>Lift</v>
      </c>
      <c r="BF265" s="55" t="str">
        <f aca="false">IF(AX265&lt;=0,"",IF(BY265="Aussen","Aussenlager",IF(BY265="-","Nicht im Lift",IF(BC265&gt;=1,"Lift",IF(BC265&lt;=0,"Aussenlager","teilweise")))))</f>
        <v>Lift</v>
      </c>
      <c r="BG265" s="55" t="str">
        <f aca="false">IF(A265="","",IF(BP265=1,"Neu; ","")&amp;IF(AND(BP265=0,BK265&lt;0),"negativer Bestand (Export "&amp;BK265&amp;"); ","")&amp;IF(J265&lt;=0,"Kein Verbrauch; ","")&amp;IF(CH265&gt;0,"Lift "&amp;W265&amp;" lt. Liftbericht (Fach "&amp;X265&amp;" Stk); ",IF(BU265=1,"Gebinde geschätzt ("&amp;T265&amp;"); ",IF(BT265=1,"Lose – Tablare geschätzt; ","")))&amp;IF(H265&gt;AR265,"Überbestand "&amp;ROUND(H265-AR265,0)&amp;" Stk / CHF "&amp;ROUND((H265-AR265)*G265,0)&amp;"; ","")&amp;IF(AND(CA265=1,CB265&lt;CC265),"MAX &lt; MB+LG; ","")&amp;IF(AND(CG265&gt;0,CF265*10&gt;CG265),"zu hoch für Tablar; ","")&amp;IF(AND(BP265=0,OR(CA265=1,AA265&lt;&gt;"",U265&lt;&gt;"",V265&lt;&gt;"",AB265&lt;&gt;"")),"manuell übersteuert; ","")&amp;IF(AND(BT265=0,R265=0),"Gebinde unbekannt / Stellmass fehlt; ","")&amp;IF(AND(BT265=0,N(V265)&lt;=0,N(Q265)&lt;=0),"Menge pro Gebinde fehlt (Ist = 1 Gebinde); ","")&amp;BO265)</f>
        <v/>
      </c>
      <c r="BH265" s="55"/>
      <c r="BI265" s="55"/>
      <c r="BJ265" s="62"/>
      <c r="BK265" s="57" t="n">
        <v>18</v>
      </c>
      <c r="BL265" s="57" t="n">
        <v>67</v>
      </c>
      <c r="BM265" s="56" t="n">
        <v>429.840000000001</v>
      </c>
      <c r="BN265" s="57" t="n">
        <v>221</v>
      </c>
      <c r="BO265" s="55"/>
      <c r="BP265" s="60" t="n">
        <v>0</v>
      </c>
      <c r="BQ265" s="60" t="n">
        <v>265</v>
      </c>
      <c r="BR265" s="55" t="str">
        <f aca="false">IF(U265&lt;&gt;"",UPPER(TRIM(U265)),IF(BU265=1,UPPER(VLOOKUP(T265,Parameter!$I$27:$K$29,2,0)),IF(P265="","LOSE",P265)))</f>
        <v>S41</v>
      </c>
      <c r="BS265" s="57" t="n">
        <f aca="false">IF(BR265="LOSE",1,IF(N(V265)&gt;0,V265,IF(BU265=1,MAX(1,N(VLOOKUP(T265,Parameter!$I$27:$K$29,3,0)),H265,N(N265)),IF(N(Q265)&gt;0,Q265,MAX(1,H265)))))</f>
        <v>188</v>
      </c>
      <c r="BT265" s="60" t="n">
        <f aca="false">IF(BR265="LOSE",1,0)</f>
        <v>0</v>
      </c>
      <c r="BU265" s="60" t="n">
        <f aca="false">IF(AND(U265="",OR(P265="",P265="LOSE"),T265&lt;&gt;"",N(S265)&lt;=0,ISNUMBER(MATCH(T265,Parameter!$I$27:$I$29,0))),1,0)</f>
        <v>0</v>
      </c>
      <c r="BV265" s="55" t="str">
        <f aca="false">IF(AND(Parameter!$B$19="Ja",E265&lt;&gt;"",ISNUMBER(MATCH(E265,Parameter!$I$35:$I$52,0))),VLOOKUP(E265,Parameter!$I$35:$J$52,2,0),IFERROR(VLOOKUP(D265,Parameter!$A$35:$C$64,2,0),"Nein"))</f>
        <v>2+3</v>
      </c>
      <c r="BW265" s="59" t="n">
        <f aca="false">IF(BT265=0,0,IF(N(S265)&gt;0,S265,IFERROR(VLOOKUP(D265,Parameter!$A$35:$C$64,3,0)+0,0)))</f>
        <v>0</v>
      </c>
      <c r="BX265" s="55" t="n">
        <f aca="false">IF(AA265&lt;&gt;"",AA265,Z265)</f>
        <v>3</v>
      </c>
      <c r="BY265" s="55" t="str">
        <f aca="false">IF(BX265=1,"L1",IF(OR(BX265=2,BX265=3),"L23",IF(BX265="Aussen","Aussen","-")))</f>
        <v>L23</v>
      </c>
      <c r="BZ265" s="66" t="n">
        <f aca="false">IF(N(AB265)&gt;0,AB265,0)</f>
        <v>0</v>
      </c>
      <c r="CA265" s="60" t="n">
        <f aca="false">IF(ISNUMBER(AE265),1,0)</f>
        <v>0</v>
      </c>
      <c r="CB265" s="57" t="n">
        <f aca="false">N(AE265)</f>
        <v>0</v>
      </c>
      <c r="CC265" s="57" t="n">
        <f aca="false">N(M265)+N(N265)</f>
        <v>121</v>
      </c>
      <c r="CD265" s="57" t="n">
        <f aca="false">ROUNDUP(H265/BS265,0)</f>
        <v>1</v>
      </c>
      <c r="CE265" s="57" t="n">
        <f aca="false">ROUNDUP(CB265/BS265,0)</f>
        <v>0</v>
      </c>
      <c r="CF265" s="60" t="n">
        <f aca="false">IF(BT265=1,0,IFERROR(VLOOKUP(BR265,'Gebinde-Kategorie'!$A$5:$M$45,5,0)+0,0))</f>
        <v>11</v>
      </c>
      <c r="CG265" s="60" t="n">
        <f aca="false">IFERROR(IF(OR(BX265=1,BX265=2,BX265=3),N(INDEX(Parameter!$I$5:$I$7,BX265)),0),0)</f>
        <v>0</v>
      </c>
      <c r="CH265" s="59" t="n">
        <f aca="false">IF(AND(Parameter!$B$21="Ja",ISNUMBER(W265),N(X265)&gt;0),IFERROR(N(INDEX(Parameter!$L$5:$L$7,W265))*INDEX(Parameter!$E$5:$E$7,W265)*X265/SUMIFS($X$7:$X$1843,$W$7:$W$1843,W265),0),0)</f>
        <v>0</v>
      </c>
    </row>
    <row r="266" customFormat="false" ht="15" hidden="false" customHeight="false" outlineLevel="0" collapsed="false">
      <c r="A266" s="55" t="s">
        <v>711</v>
      </c>
      <c r="B266" s="55" t="s">
        <v>374</v>
      </c>
      <c r="C266" s="55" t="s">
        <v>164</v>
      </c>
      <c r="D266" s="55" t="s">
        <v>184</v>
      </c>
      <c r="E266" s="55"/>
      <c r="F266" s="55" t="s">
        <v>218</v>
      </c>
      <c r="G266" s="56" t="n">
        <v>2.9</v>
      </c>
      <c r="H266" s="57" t="n">
        <f aca="false">MAX(0,IF(AND(Parameter!$B$21="Ja",ISNUMBER(Y266)),Y266,IF(Parameter!$B$20="Jahresanfang 2025 + Export",BL266+BK266,BK266)))</f>
        <v>148</v>
      </c>
      <c r="I266" s="57" t="n">
        <f aca="false">H266*G266</f>
        <v>429.2</v>
      </c>
      <c r="J266" s="57" t="n">
        <f aca="false">BN266*Parameter!$B$18</f>
        <v>40</v>
      </c>
      <c r="K266" s="58" t="n">
        <v>0</v>
      </c>
      <c r="L266" s="59" t="n">
        <v>0</v>
      </c>
      <c r="M266" s="57" t="n">
        <v>1</v>
      </c>
      <c r="N266" s="57" t="n">
        <v>40</v>
      </c>
      <c r="O266" s="60" t="n">
        <v>14</v>
      </c>
      <c r="P266" s="55" t="s">
        <v>421</v>
      </c>
      <c r="Q266" s="57" t="n">
        <v>40</v>
      </c>
      <c r="R266" s="60" t="n">
        <f aca="false">IF(BT266=1,0,IFERROR(VLOOKUP(BR266,'Gebinde-Kategorie'!$A$5:$M$45,13,0)+0,0))</f>
        <v>132</v>
      </c>
      <c r="S266" s="61"/>
      <c r="T266" s="62"/>
      <c r="U266" s="62"/>
      <c r="V266" s="62"/>
      <c r="W266" s="55"/>
      <c r="X266" s="57"/>
      <c r="Y266" s="57"/>
      <c r="Z266" s="55" t="n">
        <f aca="false">IF(A266="","",IF(AND(Parameter!$B$21="Ja",ISNUMBER(W266)),W266,IF(BV266="2+3",IF(ISNUMBER(SEARCH("grosser Artikel",BO266)),2,IFERROR(VLOOKUP(BR266,Parameter!$F$35:$G$64,2,0),2)),IF(OR(BV266="Nein",BV266=""),"-",BV266))))</f>
        <v>3</v>
      </c>
      <c r="AA266" s="62"/>
      <c r="AB266" s="63"/>
      <c r="AC266" s="57" t="n">
        <f aca="false">AR266</f>
        <v>80</v>
      </c>
      <c r="AD266" s="57" t="n">
        <f aca="false">MAX(AR266,H266)</f>
        <v>148</v>
      </c>
      <c r="AE266" s="64"/>
      <c r="AF266" s="57" t="n">
        <f aca="false">IF(LEFT(Cockpit!$C$5,1)="A",H266,IF(CA266=1,CB266,IF(LEFT(Cockpit!$C$5,1)="B",AJ266,MAX(AJ266,H266))))</f>
        <v>148</v>
      </c>
      <c r="AG266" s="57" t="n">
        <f aca="false">IF(BT266=1,0,ROUNDUP(AF266/BS266,0))</f>
        <v>4</v>
      </c>
      <c r="AH266" s="59" t="n">
        <f aca="false">IF(CH266&gt;0,CH266*MAX(1,AF266/X266),IF(BT266=1,IF(AF266&lt;=0,0,BW266*MAX(1,IF(H266&gt;0,AF266/H266,1))),IF(R266&gt;0,AG266/R266,0))/MAX(0.1,N(Parameter!$M$21)))</f>
        <v>0.0303030303030303</v>
      </c>
      <c r="AI266" s="57" t="n">
        <f aca="false">AF266*G266</f>
        <v>429.2</v>
      </c>
      <c r="AJ266" s="57" t="n">
        <f aca="false">ROUNDUP(MAX(J266/IF(BZ266&gt;0,BZ266,MAX(0.1,N(Cockpit!$C$6))),CC266)/BS266,0)*BS266</f>
        <v>80</v>
      </c>
      <c r="AK266" s="58" t="n">
        <f aca="false">IF(AH266&gt;0,J266/AH266,-1)</f>
        <v>1320</v>
      </c>
      <c r="AL266" s="58" t="n">
        <f aca="false">IF(AND(OR(BY266="L1",BY266="L23"),AH266&gt;0),SUMIFS($AH$7:$AH$1843,$BY$7:$BY$1843,BY266,$AK$7:$AK$1843,"&gt;"&amp;AK266)+SUMIFS($AH$7:$AH$1843,$BY$7:$BY$1843,BY266,$AK$7:$AK$1843,AK266,$BQ$7:$BQ$1843,"&lt;="&amp;BQ266),"")</f>
        <v>16.3220245937637</v>
      </c>
      <c r="AM266" s="65" t="n">
        <f aca="false">IF(AL266="",0,MAX(0,MIN(1,(IF(BY266="L1",Parameter!$E$5,Parameter!$E$6+Parameter!$E$7)-(AL266-AH266))/AH266)))</f>
        <v>1</v>
      </c>
      <c r="AN266" s="57" t="n">
        <f aca="false">IF(LEFT(Cockpit!$I$5,1)="A",H266,IF(CA266=1,CB266,IF(LEFT(Cockpit!$I$5,1)="B",AR266,MAX(AR266,H266))))</f>
        <v>148</v>
      </c>
      <c r="AO266" s="57" t="n">
        <f aca="false">IF(BT266=1,0,ROUNDUP(AN266/BS266,0))</f>
        <v>4</v>
      </c>
      <c r="AP266" s="59" t="n">
        <f aca="false">IF(CH266&gt;0,CH266*MAX(1,AN266/X266),IF(BT266=1,IF(AN266&lt;=0,0,BW266*MAX(1,IF(H266&gt;0,AN266/H266,1))),IF(R266&gt;0,AO266/R266,0))/MAX(0.1,N(Parameter!$M$21)))</f>
        <v>0.0303030303030303</v>
      </c>
      <c r="AQ266" s="57" t="n">
        <f aca="false">AN266*G266</f>
        <v>429.2</v>
      </c>
      <c r="AR266" s="57" t="n">
        <f aca="false">ROUNDUP(MAX(J266/IF(BZ266&gt;0,BZ266,MAX(0.1,N(Cockpit!$I$6))),CC266)/BS266,0)*BS266</f>
        <v>80</v>
      </c>
      <c r="AS266" s="58" t="n">
        <f aca="false">IF(AP266&gt;0,J266/AP266,-1)</f>
        <v>1320</v>
      </c>
      <c r="AT266" s="58" t="n">
        <f aca="false">IF(AND(OR(BY266="L1",BY266="L23"),AP266&gt;0),SUMIFS($AP$7:$AP$1843,$BY$7:$BY$1843,BY266,$AS$7:$AS$1843,"&gt;"&amp;AS266)+SUMIFS($AP$7:$AP$1843,$BY$7:$BY$1843,BY266,$AS$7:$AS$1843,AS266,$BQ$7:$BQ$1843,"&lt;="&amp;BQ266),"")</f>
        <v>21.800749974663</v>
      </c>
      <c r="AU266" s="65" t="n">
        <f aca="false">IF(AT266="",0,MAX(0,MIN(1,(IF(BY266="L1",Parameter!$E$5,Parameter!$E$6+Parameter!$E$7)-(AT266-AP266))/AP266)))</f>
        <v>1</v>
      </c>
      <c r="AV266" s="57" t="n">
        <f aca="false">IF(LEFT(Cockpit!$O$5,1)="A",H266,IF(CA266=1,CB266,IF(LEFT(Cockpit!$O$5,1)="B",AZ266,MAX(AZ266,H266))))</f>
        <v>148</v>
      </c>
      <c r="AW266" s="57" t="n">
        <f aca="false">IF(BT266=1,0,ROUNDUP(AV266/BS266,0))</f>
        <v>4</v>
      </c>
      <c r="AX266" s="59" t="n">
        <f aca="false">IF(CH266&gt;0,CH266*MAX(1,AV266/X266),IF(BT266=1,IF(AV266&lt;=0,0,BW266*MAX(1,IF(H266&gt;0,AV266/H266,1))),IF(R266&gt;0,AW266/R266,0))/MAX(0.1,N(Parameter!$M$21)))</f>
        <v>0.0303030303030303</v>
      </c>
      <c r="AY266" s="57" t="n">
        <f aca="false">AV266*G266</f>
        <v>429.2</v>
      </c>
      <c r="AZ266" s="57" t="n">
        <f aca="false">ROUNDUP(MAX(J266/IF(BZ266&gt;0,BZ266,MAX(0.1,N(Cockpit!$O$6))),CC266)/BS266,0)*BS266</f>
        <v>80</v>
      </c>
      <c r="BA266" s="58" t="n">
        <f aca="false">IF(AX266&gt;0,J266/AX266,-1)</f>
        <v>1320</v>
      </c>
      <c r="BB266" s="58" t="n">
        <f aca="false">IF(AND(OR(BY266="L1",BY266="L23"),AX266&gt;0),SUMIFS($AX$7:$AX$1843,$BY$7:$BY$1843,BY266,$BA$7:$BA$1843,"&gt;"&amp;BA266)+SUMIFS($AX$7:$AX$1843,$BY$7:$BY$1843,BY266,$BA$7:$BA$1843,BA266,$BQ$7:$BQ$1843,"&lt;="&amp;BQ266),"")</f>
        <v>20.4959714198845</v>
      </c>
      <c r="BC266" s="65" t="n">
        <f aca="false">IF(BB266="",0,MAX(0,MIN(1,(IF(BY266="L1",Parameter!$E$5,Parameter!$E$6+Parameter!$E$7)-(BB266-AX266))/AX266)))</f>
        <v>1</v>
      </c>
      <c r="BD266" s="55" t="str">
        <f aca="false">IF(AH266&lt;=0,"",IF(BY266="Aussen","Aussenlager",IF(BY266="-","Nicht im Lift",IF(AM266&gt;=1,"Lift",IF(AM266&lt;=0,"Aussenlager","teilweise")))))</f>
        <v>Lift</v>
      </c>
      <c r="BE266" s="55" t="str">
        <f aca="false">IF(AP266&lt;=0,"",IF(BY266="Aussen","Aussenlager",IF(BY266="-","Nicht im Lift",IF(AU266&gt;=1,"Lift",IF(AU266&lt;=0,"Aussenlager","teilweise")))))</f>
        <v>Lift</v>
      </c>
      <c r="BF266" s="55" t="str">
        <f aca="false">IF(AX266&lt;=0,"",IF(BY266="Aussen","Aussenlager",IF(BY266="-","Nicht im Lift",IF(BC266&gt;=1,"Lift",IF(BC266&lt;=0,"Aussenlager","teilweise")))))</f>
        <v>Lift</v>
      </c>
      <c r="BG266" s="55" t="str">
        <f aca="false">IF(A266="","",IF(BP266=1,"Neu; ","")&amp;IF(AND(BP266=0,BK266&lt;0),"negativer Bestand (Export "&amp;BK266&amp;"); ","")&amp;IF(J266&lt;=0,"Kein Verbrauch; ","")&amp;IF(CH266&gt;0,"Lift "&amp;W266&amp;" lt. Liftbericht (Fach "&amp;X266&amp;" Stk); ",IF(BU266=1,"Gebinde geschätzt ("&amp;T266&amp;"); ",IF(BT266=1,"Lose – Tablare geschätzt; ","")))&amp;IF(H266&gt;AR266,"Überbestand "&amp;ROUND(H266-AR266,0)&amp;" Stk / CHF "&amp;ROUND((H266-AR266)*G266,0)&amp;"; ","")&amp;IF(AND(CA266=1,CB266&lt;CC266),"MAX &lt; MB+LG; ","")&amp;IF(AND(CG266&gt;0,CF266*10&gt;CG266),"zu hoch für Tablar; ","")&amp;IF(AND(BP266=0,OR(CA266=1,AA266&lt;&gt;"",U266&lt;&gt;"",V266&lt;&gt;"",AB266&lt;&gt;"")),"manuell übersteuert; ","")&amp;IF(AND(BT266=0,R266=0),"Gebinde unbekannt / Stellmass fehlt; ","")&amp;IF(AND(BT266=0,N(V266)&lt;=0,N(Q266)&lt;=0),"Menge pro Gebinde fehlt (Ist = 1 Gebinde); ","")&amp;BO266)</f>
        <v>Überbestand 68 Stk / CHF 197; </v>
      </c>
      <c r="BH266" s="55"/>
      <c r="BI266" s="55"/>
      <c r="BJ266" s="62"/>
      <c r="BK266" s="57" t="n">
        <v>148</v>
      </c>
      <c r="BL266" s="57" t="n">
        <v>0</v>
      </c>
      <c r="BM266" s="56" t="n">
        <v>429.2</v>
      </c>
      <c r="BN266" s="57" t="n">
        <v>40</v>
      </c>
      <c r="BO266" s="55"/>
      <c r="BP266" s="60" t="n">
        <v>0</v>
      </c>
      <c r="BQ266" s="60" t="n">
        <v>266</v>
      </c>
      <c r="BR266" s="55" t="str">
        <f aca="false">IF(U266&lt;&gt;"",UPPER(TRIM(U266)),IF(BU266=1,UPPER(VLOOKUP(T266,Parameter!$I$27:$K$29,2,0)),IF(P266="","LOSE",P266)))</f>
        <v>S32</v>
      </c>
      <c r="BS266" s="57" t="n">
        <f aca="false">IF(BR266="LOSE",1,IF(N(V266)&gt;0,V266,IF(BU266=1,MAX(1,N(VLOOKUP(T266,Parameter!$I$27:$K$29,3,0)),H266,N(N266)),IF(N(Q266)&gt;0,Q266,MAX(1,H266)))))</f>
        <v>40</v>
      </c>
      <c r="BT266" s="60" t="n">
        <f aca="false">IF(BR266="LOSE",1,0)</f>
        <v>0</v>
      </c>
      <c r="BU266" s="60" t="n">
        <f aca="false">IF(AND(U266="",OR(P266="",P266="LOSE"),T266&lt;&gt;"",N(S266)&lt;=0,ISNUMBER(MATCH(T266,Parameter!$I$27:$I$29,0))),1,0)</f>
        <v>0</v>
      </c>
      <c r="BV266" s="55" t="str">
        <f aca="false">IF(AND(Parameter!$B$19="Ja",E266&lt;&gt;"",ISNUMBER(MATCH(E266,Parameter!$I$35:$I$52,0))),VLOOKUP(E266,Parameter!$I$35:$J$52,2,0),IFERROR(VLOOKUP(D266,Parameter!$A$35:$C$64,2,0),"Nein"))</f>
        <v>2+3</v>
      </c>
      <c r="BW266" s="59" t="n">
        <f aca="false">IF(BT266=0,0,IF(N(S266)&gt;0,S266,IFERROR(VLOOKUP(D266,Parameter!$A$35:$C$64,3,0)+0,0)))</f>
        <v>0</v>
      </c>
      <c r="BX266" s="55" t="n">
        <f aca="false">IF(AA266&lt;&gt;"",AA266,Z266)</f>
        <v>3</v>
      </c>
      <c r="BY266" s="55" t="str">
        <f aca="false">IF(BX266=1,"L1",IF(OR(BX266=2,BX266=3),"L23",IF(BX266="Aussen","Aussen","-")))</f>
        <v>L23</v>
      </c>
      <c r="BZ266" s="66" t="n">
        <f aca="false">IF(N(AB266)&gt;0,AB266,0)</f>
        <v>0</v>
      </c>
      <c r="CA266" s="60" t="n">
        <f aca="false">IF(ISNUMBER(AE266),1,0)</f>
        <v>0</v>
      </c>
      <c r="CB266" s="57" t="n">
        <f aca="false">N(AE266)</f>
        <v>0</v>
      </c>
      <c r="CC266" s="57" t="n">
        <f aca="false">N(M266)+N(N266)</f>
        <v>41</v>
      </c>
      <c r="CD266" s="57" t="n">
        <f aca="false">ROUNDUP(H266/BS266,0)</f>
        <v>4</v>
      </c>
      <c r="CE266" s="57" t="n">
        <f aca="false">ROUNDUP(CB266/BS266,0)</f>
        <v>0</v>
      </c>
      <c r="CF266" s="60" t="n">
        <f aca="false">IF(BT266=1,0,IFERROR(VLOOKUP(BR266,'Gebinde-Kategorie'!$A$5:$M$45,5,0)+0,0))</f>
        <v>8</v>
      </c>
      <c r="CG266" s="60" t="n">
        <f aca="false">IFERROR(IF(OR(BX266=1,BX266=2,BX266=3),N(INDEX(Parameter!$I$5:$I$7,BX266)),0),0)</f>
        <v>0</v>
      </c>
      <c r="CH266" s="59" t="n">
        <f aca="false">IF(AND(Parameter!$B$21="Ja",ISNUMBER(W266),N(X266)&gt;0),IFERROR(N(INDEX(Parameter!$L$5:$L$7,W266))*INDEX(Parameter!$E$5:$E$7,W266)*X266/SUMIFS($X$7:$X$1843,$W$7:$W$1843,W266),0),0)</f>
        <v>0</v>
      </c>
    </row>
    <row r="267" customFormat="false" ht="15" hidden="false" customHeight="false" outlineLevel="0" collapsed="false">
      <c r="A267" s="55" t="s">
        <v>712</v>
      </c>
      <c r="B267" s="55" t="s">
        <v>713</v>
      </c>
      <c r="C267" s="55" t="s">
        <v>164</v>
      </c>
      <c r="D267" s="55" t="s">
        <v>184</v>
      </c>
      <c r="E267" s="55" t="s">
        <v>185</v>
      </c>
      <c r="F267" s="55" t="s">
        <v>218</v>
      </c>
      <c r="G267" s="56" t="n">
        <v>1.77</v>
      </c>
      <c r="H267" s="57" t="n">
        <f aca="false">MAX(0,IF(AND(Parameter!$B$21="Ja",ISNUMBER(Y267)),Y267,IF(Parameter!$B$20="Jahresanfang 2025 + Export",BL267+BK267,BK267)))</f>
        <v>315</v>
      </c>
      <c r="I267" s="57" t="n">
        <f aca="false">H267*G267</f>
        <v>557.55</v>
      </c>
      <c r="J267" s="57" t="n">
        <f aca="false">BN267*Parameter!$B$18</f>
        <v>258</v>
      </c>
      <c r="K267" s="58" t="n">
        <v>92</v>
      </c>
      <c r="L267" s="59" t="n">
        <v>2.80434782608696</v>
      </c>
      <c r="M267" s="57" t="n">
        <v>15</v>
      </c>
      <c r="N267" s="57" t="n">
        <v>300</v>
      </c>
      <c r="O267" s="60" t="n">
        <v>21</v>
      </c>
      <c r="P267" s="55" t="s">
        <v>421</v>
      </c>
      <c r="Q267" s="57" t="n">
        <v>241</v>
      </c>
      <c r="R267" s="60" t="n">
        <f aca="false">IF(BT267=1,0,IFERROR(VLOOKUP(BR267,'Gebinde-Kategorie'!$A$5:$M$45,13,0)+0,0))</f>
        <v>132</v>
      </c>
      <c r="S267" s="61"/>
      <c r="T267" s="62"/>
      <c r="U267" s="62"/>
      <c r="V267" s="62"/>
      <c r="W267" s="55"/>
      <c r="X267" s="57"/>
      <c r="Y267" s="57"/>
      <c r="Z267" s="55" t="n">
        <f aca="false">IF(A267="","",IF(AND(Parameter!$B$21="Ja",ISNUMBER(W267)),W267,IF(BV267="2+3",IF(ISNUMBER(SEARCH("grosser Artikel",BO267)),2,IFERROR(VLOOKUP(BR267,Parameter!$F$35:$G$64,2,0),2)),IF(OR(BV267="Nein",BV267=""),"-",BV267))))</f>
        <v>3</v>
      </c>
      <c r="AA267" s="62"/>
      <c r="AB267" s="63"/>
      <c r="AC267" s="57" t="n">
        <f aca="false">AR267</f>
        <v>482</v>
      </c>
      <c r="AD267" s="57" t="n">
        <f aca="false">MAX(AR267,H267)</f>
        <v>482</v>
      </c>
      <c r="AE267" s="64"/>
      <c r="AF267" s="57" t="n">
        <f aca="false">IF(LEFT(Cockpit!$C$5,1)="A",H267,IF(CA267=1,CB267,IF(LEFT(Cockpit!$C$5,1)="B",AJ267,MAX(AJ267,H267))))</f>
        <v>315</v>
      </c>
      <c r="AG267" s="57" t="n">
        <f aca="false">IF(BT267=1,0,ROUNDUP(AF267/BS267,0))</f>
        <v>2</v>
      </c>
      <c r="AH267" s="59" t="n">
        <f aca="false">IF(CH267&gt;0,CH267*MAX(1,AF267/X267),IF(BT267=1,IF(AF267&lt;=0,0,BW267*MAX(1,IF(H267&gt;0,AF267/H267,1))),IF(R267&gt;0,AG267/R267,0))/MAX(0.1,N(Parameter!$M$21)))</f>
        <v>0.0151515151515152</v>
      </c>
      <c r="AI267" s="57" t="n">
        <f aca="false">AF267*G267</f>
        <v>557.55</v>
      </c>
      <c r="AJ267" s="57" t="n">
        <f aca="false">ROUNDUP(MAX(J267/IF(BZ267&gt;0,BZ267,MAX(0.1,N(Cockpit!$C$6))),CC267)/BS267,0)*BS267</f>
        <v>482</v>
      </c>
      <c r="AK267" s="58" t="n">
        <f aca="false">IF(AH267&gt;0,J267/AH267,-1)</f>
        <v>17028</v>
      </c>
      <c r="AL267" s="58" t="n">
        <f aca="false">IF(AND(OR(BY267="L1",BY267="L23"),AH267&gt;0),SUMIFS($AH$7:$AH$1843,$BY$7:$BY$1843,BY267,$AK$7:$AK$1843,"&gt;"&amp;AK267)+SUMIFS($AH$7:$AH$1843,$BY$7:$BY$1843,BY267,$AK$7:$AK$1843,AK267,$BQ$7:$BQ$1843,"&lt;="&amp;BQ267),"")</f>
        <v>3.92550082767474</v>
      </c>
      <c r="AM267" s="65" t="n">
        <f aca="false">IF(AL267="",0,MAX(0,MIN(1,(IF(BY267="L1",Parameter!$E$5,Parameter!$E$6+Parameter!$E$7)-(AL267-AH267))/AH267)))</f>
        <v>1</v>
      </c>
      <c r="AN267" s="57" t="n">
        <f aca="false">IF(LEFT(Cockpit!$I$5,1)="A",H267,IF(CA267=1,CB267,IF(LEFT(Cockpit!$I$5,1)="B",AR267,MAX(AR267,H267))))</f>
        <v>482</v>
      </c>
      <c r="AO267" s="57" t="n">
        <f aca="false">IF(BT267=1,0,ROUNDUP(AN267/BS267,0))</f>
        <v>2</v>
      </c>
      <c r="AP267" s="59" t="n">
        <f aca="false">IF(CH267&gt;0,CH267*MAX(1,AN267/X267),IF(BT267=1,IF(AN267&lt;=0,0,BW267*MAX(1,IF(H267&gt;0,AN267/H267,1))),IF(R267&gt;0,AO267/R267,0))/MAX(0.1,N(Parameter!$M$21)))</f>
        <v>0.0151515151515152</v>
      </c>
      <c r="AQ267" s="57" t="n">
        <f aca="false">AN267*G267</f>
        <v>853.14</v>
      </c>
      <c r="AR267" s="57" t="n">
        <f aca="false">ROUNDUP(MAX(J267/IF(BZ267&gt;0,BZ267,MAX(0.1,N(Cockpit!$I$6))),CC267)/BS267,0)*BS267</f>
        <v>482</v>
      </c>
      <c r="AS267" s="58" t="n">
        <f aca="false">IF(AP267&gt;0,J267/AP267,-1)</f>
        <v>17028</v>
      </c>
      <c r="AT267" s="58" t="n">
        <f aca="false">IF(AND(OR(BY267="L1",BY267="L23"),AP267&gt;0),SUMIFS($AP$7:$AP$1843,$BY$7:$BY$1843,BY267,$AS$7:$AS$1843,"&gt;"&amp;AS267)+SUMIFS($AP$7:$AP$1843,$BY$7:$BY$1843,BY267,$AS$7:$AS$1843,AS267,$BQ$7:$BQ$1843,"&lt;="&amp;BQ267),"")</f>
        <v>4.66904834296139</v>
      </c>
      <c r="AU267" s="65" t="n">
        <f aca="false">IF(AT267="",0,MAX(0,MIN(1,(IF(BY267="L1",Parameter!$E$5,Parameter!$E$6+Parameter!$E$7)-(AT267-AP267))/AP267)))</f>
        <v>1</v>
      </c>
      <c r="AV267" s="57" t="n">
        <f aca="false">IF(LEFT(Cockpit!$O$5,1)="A",H267,IF(CA267=1,CB267,IF(LEFT(Cockpit!$O$5,1)="B",AZ267,MAX(AZ267,H267))))</f>
        <v>482</v>
      </c>
      <c r="AW267" s="57" t="n">
        <f aca="false">IF(BT267=1,0,ROUNDUP(AV267/BS267,0))</f>
        <v>2</v>
      </c>
      <c r="AX267" s="59" t="n">
        <f aca="false">IF(CH267&gt;0,CH267*MAX(1,AV267/X267),IF(BT267=1,IF(AV267&lt;=0,0,BW267*MAX(1,IF(H267&gt;0,AV267/H267,1))),IF(R267&gt;0,AW267/R267,0))/MAX(0.1,N(Parameter!$M$21)))</f>
        <v>0.0151515151515152</v>
      </c>
      <c r="AY267" s="57" t="n">
        <f aca="false">AV267*G267</f>
        <v>853.14</v>
      </c>
      <c r="AZ267" s="57" t="n">
        <f aca="false">ROUNDUP(MAX(J267/IF(BZ267&gt;0,BZ267,MAX(0.1,N(Cockpit!$O$6))),CC267)/BS267,0)*BS267</f>
        <v>482</v>
      </c>
      <c r="BA267" s="58" t="n">
        <f aca="false">IF(AX267&gt;0,J267/AX267,-1)</f>
        <v>17028</v>
      </c>
      <c r="BB267" s="58" t="n">
        <f aca="false">IF(AND(OR(BY267="L1",BY267="L23"),AX267&gt;0),SUMIFS($AX$7:$AX$1843,$BY$7:$BY$1843,BY267,$BA$7:$BA$1843,"&gt;"&amp;BA267)+SUMIFS($AX$7:$AX$1843,$BY$7:$BY$1843,BY267,$BA$7:$BA$1843,BA267,$BQ$7:$BQ$1843,"&lt;="&amp;BQ267),"")</f>
        <v>4.34503901895206</v>
      </c>
      <c r="BC267" s="65" t="n">
        <f aca="false">IF(BB267="",0,MAX(0,MIN(1,(IF(BY267="L1",Parameter!$E$5,Parameter!$E$6+Parameter!$E$7)-(BB267-AX267))/AX267)))</f>
        <v>1</v>
      </c>
      <c r="BD267" s="55" t="str">
        <f aca="false">IF(AH267&lt;=0,"",IF(BY267="Aussen","Aussenlager",IF(BY267="-","Nicht im Lift",IF(AM267&gt;=1,"Lift",IF(AM267&lt;=0,"Aussenlager","teilweise")))))</f>
        <v>Lift</v>
      </c>
      <c r="BE267" s="55" t="str">
        <f aca="false">IF(AP267&lt;=0,"",IF(BY267="Aussen","Aussenlager",IF(BY267="-","Nicht im Lift",IF(AU267&gt;=1,"Lift",IF(AU267&lt;=0,"Aussenlager","teilweise")))))</f>
        <v>Lift</v>
      </c>
      <c r="BF267" s="55" t="str">
        <f aca="false">IF(AX267&lt;=0,"",IF(BY267="Aussen","Aussenlager",IF(BY267="-","Nicht im Lift",IF(BC267&gt;=1,"Lift",IF(BC267&lt;=0,"Aussenlager","teilweise")))))</f>
        <v>Lift</v>
      </c>
      <c r="BG267" s="55" t="str">
        <f aca="false">IF(A267="","",IF(BP267=1,"Neu; ","")&amp;IF(AND(BP267=0,BK267&lt;0),"negativer Bestand (Export "&amp;BK267&amp;"); ","")&amp;IF(J267&lt;=0,"Kein Verbrauch; ","")&amp;IF(CH267&gt;0,"Lift "&amp;W267&amp;" lt. Liftbericht (Fach "&amp;X267&amp;" Stk); ",IF(BU267=1,"Gebinde geschätzt ("&amp;T267&amp;"); ",IF(BT267=1,"Lose – Tablare geschätzt; ","")))&amp;IF(H267&gt;AR267,"Überbestand "&amp;ROUND(H267-AR267,0)&amp;" Stk / CHF "&amp;ROUND((H267-AR267)*G267,0)&amp;"; ","")&amp;IF(AND(CA267=1,CB267&lt;CC267),"MAX &lt; MB+LG; ","")&amp;IF(AND(CG267&gt;0,CF267*10&gt;CG267),"zu hoch für Tablar; ","")&amp;IF(AND(BP267=0,OR(CA267=1,AA267&lt;&gt;"",U267&lt;&gt;"",V267&lt;&gt;"",AB267&lt;&gt;"")),"manuell übersteuert; ","")&amp;IF(AND(BT267=0,R267=0),"Gebinde unbekannt / Stellmass fehlt; ","")&amp;IF(AND(BT267=0,N(V267)&lt;=0,N(Q267)&lt;=0),"Menge pro Gebinde fehlt (Ist = 1 Gebinde); ","")&amp;BO267)</f>
        <v/>
      </c>
      <c r="BH267" s="55"/>
      <c r="BI267" s="55"/>
      <c r="BJ267" s="62"/>
      <c r="BK267" s="57" t="n">
        <v>242</v>
      </c>
      <c r="BL267" s="57" t="n">
        <v>73</v>
      </c>
      <c r="BM267" s="56" t="n">
        <v>426.15</v>
      </c>
      <c r="BN267" s="57" t="n">
        <v>258</v>
      </c>
      <c r="BO267" s="55"/>
      <c r="BP267" s="60" t="n">
        <v>0</v>
      </c>
      <c r="BQ267" s="60" t="n">
        <v>267</v>
      </c>
      <c r="BR267" s="55" t="str">
        <f aca="false">IF(U267&lt;&gt;"",UPPER(TRIM(U267)),IF(BU267=1,UPPER(VLOOKUP(T267,Parameter!$I$27:$K$29,2,0)),IF(P267="","LOSE",P267)))</f>
        <v>S32</v>
      </c>
      <c r="BS267" s="57" t="n">
        <f aca="false">IF(BR267="LOSE",1,IF(N(V267)&gt;0,V267,IF(BU267=1,MAX(1,N(VLOOKUP(T267,Parameter!$I$27:$K$29,3,0)),H267,N(N267)),IF(N(Q267)&gt;0,Q267,MAX(1,H267)))))</f>
        <v>241</v>
      </c>
      <c r="BT267" s="60" t="n">
        <f aca="false">IF(BR267="LOSE",1,0)</f>
        <v>0</v>
      </c>
      <c r="BU267" s="60" t="n">
        <f aca="false">IF(AND(U267="",OR(P267="",P267="LOSE"),T267&lt;&gt;"",N(S267)&lt;=0,ISNUMBER(MATCH(T267,Parameter!$I$27:$I$29,0))),1,0)</f>
        <v>0</v>
      </c>
      <c r="BV267" s="55" t="str">
        <f aca="false">IF(AND(Parameter!$B$19="Ja",E267&lt;&gt;"",ISNUMBER(MATCH(E267,Parameter!$I$35:$I$52,0))),VLOOKUP(E267,Parameter!$I$35:$J$52,2,0),IFERROR(VLOOKUP(D267,Parameter!$A$35:$C$64,2,0),"Nein"))</f>
        <v>2+3</v>
      </c>
      <c r="BW267" s="59" t="n">
        <f aca="false">IF(BT267=0,0,IF(N(S267)&gt;0,S267,IFERROR(VLOOKUP(D267,Parameter!$A$35:$C$64,3,0)+0,0)))</f>
        <v>0</v>
      </c>
      <c r="BX267" s="55" t="n">
        <f aca="false">IF(AA267&lt;&gt;"",AA267,Z267)</f>
        <v>3</v>
      </c>
      <c r="BY267" s="55" t="str">
        <f aca="false">IF(BX267=1,"L1",IF(OR(BX267=2,BX267=3),"L23",IF(BX267="Aussen","Aussen","-")))</f>
        <v>L23</v>
      </c>
      <c r="BZ267" s="66" t="n">
        <f aca="false">IF(N(AB267)&gt;0,AB267,0)</f>
        <v>0</v>
      </c>
      <c r="CA267" s="60" t="n">
        <f aca="false">IF(ISNUMBER(AE267),1,0)</f>
        <v>0</v>
      </c>
      <c r="CB267" s="57" t="n">
        <f aca="false">N(AE267)</f>
        <v>0</v>
      </c>
      <c r="CC267" s="57" t="n">
        <f aca="false">N(M267)+N(N267)</f>
        <v>315</v>
      </c>
      <c r="CD267" s="57" t="n">
        <f aca="false">ROUNDUP(H267/BS267,0)</f>
        <v>2</v>
      </c>
      <c r="CE267" s="57" t="n">
        <f aca="false">ROUNDUP(CB267/BS267,0)</f>
        <v>0</v>
      </c>
      <c r="CF267" s="60" t="n">
        <f aca="false">IF(BT267=1,0,IFERROR(VLOOKUP(BR267,'Gebinde-Kategorie'!$A$5:$M$45,5,0)+0,0))</f>
        <v>8</v>
      </c>
      <c r="CG267" s="60" t="n">
        <f aca="false">IFERROR(IF(OR(BX267=1,BX267=2,BX267=3),N(INDEX(Parameter!$I$5:$I$7,BX267)),0),0)</f>
        <v>0</v>
      </c>
      <c r="CH267" s="59" t="n">
        <f aca="false">IF(AND(Parameter!$B$21="Ja",ISNUMBER(W267),N(X267)&gt;0),IFERROR(N(INDEX(Parameter!$L$5:$L$7,W267))*INDEX(Parameter!$E$5:$E$7,W267)*X267/SUMIFS($X$7:$X$1843,$W$7:$W$1843,W267),0),0)</f>
        <v>0</v>
      </c>
    </row>
    <row r="268" customFormat="false" ht="15" hidden="false" customHeight="false" outlineLevel="0" collapsed="false">
      <c r="A268" s="55" t="s">
        <v>714</v>
      </c>
      <c r="B268" s="55" t="s">
        <v>715</v>
      </c>
      <c r="C268" s="55" t="s">
        <v>164</v>
      </c>
      <c r="D268" s="55" t="s">
        <v>184</v>
      </c>
      <c r="E268" s="55" t="s">
        <v>185</v>
      </c>
      <c r="F268" s="55" t="s">
        <v>218</v>
      </c>
      <c r="G268" s="56" t="n">
        <v>21.54</v>
      </c>
      <c r="H268" s="57" t="n">
        <f aca="false">MAX(0,IF(AND(Parameter!$B$21="Ja",ISNUMBER(Y268)),Y268,IF(Parameter!$B$20="Jahresanfang 2025 + Export",BL268+BK268,BK268)))</f>
        <v>67</v>
      </c>
      <c r="I268" s="57" t="n">
        <f aca="false">H268*G268</f>
        <v>1443.18</v>
      </c>
      <c r="J268" s="57" t="n">
        <f aca="false">BN268*Parameter!$B$18</f>
        <v>58</v>
      </c>
      <c r="K268" s="58" t="n">
        <v>42</v>
      </c>
      <c r="L268" s="59" t="n">
        <v>1.38095238095238</v>
      </c>
      <c r="M268" s="57" t="n">
        <v>4</v>
      </c>
      <c r="N268" s="57" t="n">
        <v>60</v>
      </c>
      <c r="O268" s="60" t="n">
        <v>28</v>
      </c>
      <c r="P268" s="55" t="s">
        <v>293</v>
      </c>
      <c r="Q268" s="57" t="n">
        <v>28</v>
      </c>
      <c r="R268" s="60" t="n">
        <f aca="false">IF(BT268=1,0,IFERROR(VLOOKUP(BR268,'Gebinde-Kategorie'!$A$5:$M$45,13,0)+0,0))</f>
        <v>12</v>
      </c>
      <c r="S268" s="61"/>
      <c r="T268" s="62"/>
      <c r="U268" s="62"/>
      <c r="V268" s="62"/>
      <c r="W268" s="55"/>
      <c r="X268" s="57"/>
      <c r="Y268" s="57"/>
      <c r="Z268" s="55" t="n">
        <f aca="false">IF(A268="","",IF(AND(Parameter!$B$21="Ja",ISNUMBER(W268)),W268,IF(BV268="2+3",IF(ISNUMBER(SEARCH("grosser Artikel",BO268)),2,IFERROR(VLOOKUP(BR268,Parameter!$F$35:$G$64,2,0),2)),IF(OR(BV268="Nein",BV268=""),"-",BV268))))</f>
        <v>2</v>
      </c>
      <c r="AA268" s="62"/>
      <c r="AB268" s="63"/>
      <c r="AC268" s="57" t="n">
        <f aca="false">AR268</f>
        <v>84</v>
      </c>
      <c r="AD268" s="57" t="n">
        <f aca="false">MAX(AR268,H268)</f>
        <v>84</v>
      </c>
      <c r="AE268" s="64"/>
      <c r="AF268" s="57" t="n">
        <f aca="false">IF(LEFT(Cockpit!$C$5,1)="A",H268,IF(CA268=1,CB268,IF(LEFT(Cockpit!$C$5,1)="B",AJ268,MAX(AJ268,H268))))</f>
        <v>67</v>
      </c>
      <c r="AG268" s="57" t="n">
        <f aca="false">IF(BT268=1,0,ROUNDUP(AF268/BS268,0))</f>
        <v>3</v>
      </c>
      <c r="AH268" s="59" t="n">
        <f aca="false">IF(CH268&gt;0,CH268*MAX(1,AF268/X268),IF(BT268=1,IF(AF268&lt;=0,0,BW268*MAX(1,IF(H268&gt;0,AF268/H268,1))),IF(R268&gt;0,AG268/R268,0))/MAX(0.1,N(Parameter!$M$21)))</f>
        <v>0.25</v>
      </c>
      <c r="AI268" s="57" t="n">
        <f aca="false">AF268*G268</f>
        <v>1443.18</v>
      </c>
      <c r="AJ268" s="57" t="n">
        <f aca="false">ROUNDUP(MAX(J268/IF(BZ268&gt;0,BZ268,MAX(0.1,N(Cockpit!$C$6))),CC268)/BS268,0)*BS268</f>
        <v>84</v>
      </c>
      <c r="AK268" s="58" t="n">
        <f aca="false">IF(AH268&gt;0,J268/AH268,-1)</f>
        <v>232</v>
      </c>
      <c r="AL268" s="58" t="n">
        <f aca="false">IF(AND(OR(BY268="L1",BY268="L23"),AH268&gt;0),SUMIFS($AH$7:$AH$1843,$BY$7:$BY$1843,BY268,$AK$7:$AK$1843,"&gt;"&amp;AK268)+SUMIFS($AH$7:$AH$1843,$BY$7:$BY$1843,BY268,$AK$7:$AK$1843,AK268,$BQ$7:$BQ$1843,"&lt;="&amp;BQ268),"")</f>
        <v>30.8812117833857</v>
      </c>
      <c r="AM268" s="65" t="n">
        <f aca="false">IF(AL268="",0,MAX(0,MIN(1,(IF(BY268="L1",Parameter!$E$5,Parameter!$E$6+Parameter!$E$7)-(AL268-AH268))/AH268)))</f>
        <v>1</v>
      </c>
      <c r="AN268" s="57" t="n">
        <f aca="false">IF(LEFT(Cockpit!$I$5,1)="A",H268,IF(CA268=1,CB268,IF(LEFT(Cockpit!$I$5,1)="B",AR268,MAX(AR268,H268))))</f>
        <v>84</v>
      </c>
      <c r="AO268" s="57" t="n">
        <f aca="false">IF(BT268=1,0,ROUNDUP(AN268/BS268,0))</f>
        <v>3</v>
      </c>
      <c r="AP268" s="59" t="n">
        <f aca="false">IF(CH268&gt;0,CH268*MAX(1,AN268/X268),IF(BT268=1,IF(AN268&lt;=0,0,BW268*MAX(1,IF(H268&gt;0,AN268/H268,1))),IF(R268&gt;0,AO268/R268,0))/MAX(0.1,N(Parameter!$M$21)))</f>
        <v>0.25</v>
      </c>
      <c r="AQ268" s="57" t="n">
        <f aca="false">AN268*G268</f>
        <v>1809.36</v>
      </c>
      <c r="AR268" s="57" t="n">
        <f aca="false">ROUNDUP(MAX(J268/IF(BZ268&gt;0,BZ268,MAX(0.1,N(Cockpit!$I$6))),CC268)/BS268,0)*BS268</f>
        <v>84</v>
      </c>
      <c r="AS268" s="58" t="n">
        <f aca="false">IF(AP268&gt;0,J268/AP268,-1)</f>
        <v>232</v>
      </c>
      <c r="AT268" s="58" t="n">
        <f aca="false">IF(AND(OR(BY268="L1",BY268="L23"),AP268&gt;0),SUMIFS($AP$7:$AP$1843,$BY$7:$BY$1843,BY268,$AS$7:$AS$1843,"&gt;"&amp;AS268)+SUMIFS($AP$7:$AP$1843,$BY$7:$BY$1843,BY268,$AS$7:$AS$1843,AS268,$BQ$7:$BQ$1843,"&lt;="&amp;BQ268),"")</f>
        <v>44.3915830546265</v>
      </c>
      <c r="AU268" s="65" t="n">
        <f aca="false">IF(AT268="",0,MAX(0,MIN(1,(IF(BY268="L1",Parameter!$E$5,Parameter!$E$6+Parameter!$E$7)-(AT268-AP268))/AP268)))</f>
        <v>1</v>
      </c>
      <c r="AV268" s="57" t="n">
        <f aca="false">IF(LEFT(Cockpit!$O$5,1)="A",H268,IF(CA268=1,CB268,IF(LEFT(Cockpit!$O$5,1)="B",AZ268,MAX(AZ268,H268))))</f>
        <v>84</v>
      </c>
      <c r="AW268" s="57" t="n">
        <f aca="false">IF(BT268=1,0,ROUNDUP(AV268/BS268,0))</f>
        <v>3</v>
      </c>
      <c r="AX268" s="59" t="n">
        <f aca="false">IF(CH268&gt;0,CH268*MAX(1,AV268/X268),IF(BT268=1,IF(AV268&lt;=0,0,BW268*MAX(1,IF(H268&gt;0,AV268/H268,1))),IF(R268&gt;0,AW268/R268,0))/MAX(0.1,N(Parameter!$M$21)))</f>
        <v>0.25</v>
      </c>
      <c r="AY268" s="57" t="n">
        <f aca="false">AV268*G268</f>
        <v>1809.36</v>
      </c>
      <c r="AZ268" s="57" t="n">
        <f aca="false">ROUNDUP(MAX(J268/IF(BZ268&gt;0,BZ268,MAX(0.1,N(Cockpit!$O$6))),CC268)/BS268,0)*BS268</f>
        <v>84</v>
      </c>
      <c r="BA268" s="58" t="n">
        <f aca="false">IF(AX268&gt;0,J268/AX268,-1)</f>
        <v>232</v>
      </c>
      <c r="BB268" s="58" t="n">
        <f aca="false">IF(AND(OR(BY268="L1",BY268="L23"),AX268&gt;0),SUMIFS($AX$7:$AX$1843,$BY$7:$BY$1843,BY268,$BA$7:$BA$1843,"&gt;"&amp;BA268)+SUMIFS($AX$7:$AX$1843,$BY$7:$BY$1843,BY268,$BA$7:$BA$1843,BA268,$BQ$7:$BQ$1843,"&lt;="&amp;BQ268),"")</f>
        <v>41.63808655113</v>
      </c>
      <c r="BC268" s="65" t="n">
        <f aca="false">IF(BB268="",0,MAX(0,MIN(1,(IF(BY268="L1",Parameter!$E$5,Parameter!$E$6+Parameter!$E$7)-(BB268-AX268))/AX268)))</f>
        <v>1</v>
      </c>
      <c r="BD268" s="55" t="str">
        <f aca="false">IF(AH268&lt;=0,"",IF(BY268="Aussen","Aussenlager",IF(BY268="-","Nicht im Lift",IF(AM268&gt;=1,"Lift",IF(AM268&lt;=0,"Aussenlager","teilweise")))))</f>
        <v>Lift</v>
      </c>
      <c r="BE268" s="55" t="str">
        <f aca="false">IF(AP268&lt;=0,"",IF(BY268="Aussen","Aussenlager",IF(BY268="-","Nicht im Lift",IF(AU268&gt;=1,"Lift",IF(AU268&lt;=0,"Aussenlager","teilweise")))))</f>
        <v>Lift</v>
      </c>
      <c r="BF268" s="55" t="str">
        <f aca="false">IF(AX268&lt;=0,"",IF(BY268="Aussen","Aussenlager",IF(BY268="-","Nicht im Lift",IF(BC268&gt;=1,"Lift",IF(BC268&lt;=0,"Aussenlager","teilweise")))))</f>
        <v>Lift</v>
      </c>
      <c r="BG268" s="55" t="str">
        <f aca="false">IF(A268="","",IF(BP268=1,"Neu; ","")&amp;IF(AND(BP268=0,BK268&lt;0),"negativer Bestand (Export "&amp;BK268&amp;"); ","")&amp;IF(J268&lt;=0,"Kein Verbrauch; ","")&amp;IF(CH268&gt;0,"Lift "&amp;W268&amp;" lt. Liftbericht (Fach "&amp;X268&amp;" Stk); ",IF(BU268=1,"Gebinde geschätzt ("&amp;T268&amp;"); ",IF(BT268=1,"Lose – Tablare geschätzt; ","")))&amp;IF(H268&gt;AR268,"Überbestand "&amp;ROUND(H268-AR268,0)&amp;" Stk / CHF "&amp;ROUND((H268-AR268)*G268,0)&amp;"; ","")&amp;IF(AND(CA268=1,CB268&lt;CC268),"MAX &lt; MB+LG; ","")&amp;IF(AND(CG268&gt;0,CF268*10&gt;CG268),"zu hoch für Tablar; ","")&amp;IF(AND(BP268=0,OR(CA268=1,AA268&lt;&gt;"",U268&lt;&gt;"",V268&lt;&gt;"",AB268&lt;&gt;"")),"manuell übersteuert; ","")&amp;IF(AND(BT268=0,R268=0),"Gebinde unbekannt / Stellmass fehlt; ","")&amp;IF(AND(BT268=0,N(V268)&lt;=0,N(Q268)&lt;=0),"Menge pro Gebinde fehlt (Ist = 1 Gebinde); ","")&amp;BO268)</f>
        <v/>
      </c>
      <c r="BH268" s="55"/>
      <c r="BI268" s="55"/>
      <c r="BJ268" s="62"/>
      <c r="BK268" s="57" t="n">
        <v>18</v>
      </c>
      <c r="BL268" s="57" t="n">
        <v>49</v>
      </c>
      <c r="BM268" s="56" t="n">
        <v>425.15</v>
      </c>
      <c r="BN268" s="57" t="n">
        <v>58</v>
      </c>
      <c r="BO268" s="55"/>
      <c r="BP268" s="60" t="n">
        <v>0</v>
      </c>
      <c r="BQ268" s="60" t="n">
        <v>268</v>
      </c>
      <c r="BR268" s="55" t="str">
        <f aca="false">IF(U268&lt;&gt;"",UPPER(TRIM(U268)),IF(BU268=1,UPPER(VLOOKUP(T268,Parameter!$I$27:$K$29,2,0)),IF(P268="","LOSE",P268)))</f>
        <v>S62</v>
      </c>
      <c r="BS268" s="57" t="n">
        <f aca="false">IF(BR268="LOSE",1,IF(N(V268)&gt;0,V268,IF(BU268=1,MAX(1,N(VLOOKUP(T268,Parameter!$I$27:$K$29,3,0)),H268,N(N268)),IF(N(Q268)&gt;0,Q268,MAX(1,H268)))))</f>
        <v>28</v>
      </c>
      <c r="BT268" s="60" t="n">
        <f aca="false">IF(BR268="LOSE",1,0)</f>
        <v>0</v>
      </c>
      <c r="BU268" s="60" t="n">
        <f aca="false">IF(AND(U268="",OR(P268="",P268="LOSE"),T268&lt;&gt;"",N(S268)&lt;=0,ISNUMBER(MATCH(T268,Parameter!$I$27:$I$29,0))),1,0)</f>
        <v>0</v>
      </c>
      <c r="BV268" s="55" t="str">
        <f aca="false">IF(AND(Parameter!$B$19="Ja",E268&lt;&gt;"",ISNUMBER(MATCH(E268,Parameter!$I$35:$I$52,0))),VLOOKUP(E268,Parameter!$I$35:$J$52,2,0),IFERROR(VLOOKUP(D268,Parameter!$A$35:$C$64,2,0),"Nein"))</f>
        <v>2+3</v>
      </c>
      <c r="BW268" s="59" t="n">
        <f aca="false">IF(BT268=0,0,IF(N(S268)&gt;0,S268,IFERROR(VLOOKUP(D268,Parameter!$A$35:$C$64,3,0)+0,0)))</f>
        <v>0</v>
      </c>
      <c r="BX268" s="55" t="n">
        <f aca="false">IF(AA268&lt;&gt;"",AA268,Z268)</f>
        <v>2</v>
      </c>
      <c r="BY268" s="55" t="str">
        <f aca="false">IF(BX268=1,"L1",IF(OR(BX268=2,BX268=3),"L23",IF(BX268="Aussen","Aussen","-")))</f>
        <v>L23</v>
      </c>
      <c r="BZ268" s="66" t="n">
        <f aca="false">IF(N(AB268)&gt;0,AB268,0)</f>
        <v>0</v>
      </c>
      <c r="CA268" s="60" t="n">
        <f aca="false">IF(ISNUMBER(AE268),1,0)</f>
        <v>0</v>
      </c>
      <c r="CB268" s="57" t="n">
        <f aca="false">N(AE268)</f>
        <v>0</v>
      </c>
      <c r="CC268" s="57" t="n">
        <f aca="false">N(M268)+N(N268)</f>
        <v>64</v>
      </c>
      <c r="CD268" s="57" t="n">
        <f aca="false">ROUNDUP(H268/BS268,0)</f>
        <v>3</v>
      </c>
      <c r="CE268" s="57" t="n">
        <f aca="false">ROUNDUP(CB268/BS268,0)</f>
        <v>0</v>
      </c>
      <c r="CF268" s="60" t="n">
        <f aca="false">IF(BT268=1,0,IFERROR(VLOOKUP(BR268,'Gebinde-Kategorie'!$A$5:$M$45,5,0)+0,0))</f>
        <v>21</v>
      </c>
      <c r="CG268" s="60" t="n">
        <f aca="false">IFERROR(IF(OR(BX268=1,BX268=2,BX268=3),N(INDEX(Parameter!$I$5:$I$7,BX268)),0),0)</f>
        <v>0</v>
      </c>
      <c r="CH268" s="59" t="n">
        <f aca="false">IF(AND(Parameter!$B$21="Ja",ISNUMBER(W268),N(X268)&gt;0),IFERROR(N(INDEX(Parameter!$L$5:$L$7,W268))*INDEX(Parameter!$E$5:$E$7,W268)*X268/SUMIFS($X$7:$X$1843,$W$7:$W$1843,W268),0),0)</f>
        <v>0</v>
      </c>
    </row>
    <row r="269" customFormat="false" ht="15" hidden="false" customHeight="false" outlineLevel="0" collapsed="false">
      <c r="A269" s="55" t="s">
        <v>716</v>
      </c>
      <c r="B269" s="55" t="s">
        <v>717</v>
      </c>
      <c r="C269" s="55" t="s">
        <v>164</v>
      </c>
      <c r="D269" s="55" t="s">
        <v>173</v>
      </c>
      <c r="E269" s="55" t="s">
        <v>166</v>
      </c>
      <c r="F269" s="55" t="s">
        <v>218</v>
      </c>
      <c r="G269" s="56" t="n">
        <v>97.95</v>
      </c>
      <c r="H269" s="57" t="n">
        <f aca="false">MAX(0,IF(AND(Parameter!$B$21="Ja",ISNUMBER(Y269)),Y269,IF(Parameter!$B$20="Jahresanfang 2025 + Export",BL269+BK269,BK269)))</f>
        <v>11</v>
      </c>
      <c r="I269" s="57" t="n">
        <f aca="false">H269*G269</f>
        <v>1077.45</v>
      </c>
      <c r="J269" s="57" t="n">
        <f aca="false">BN269*Parameter!$B$18</f>
        <v>25</v>
      </c>
      <c r="K269" s="58" t="n">
        <v>9.5</v>
      </c>
      <c r="L269" s="59" t="n">
        <v>2.63157894736842</v>
      </c>
      <c r="M269" s="57" t="n">
        <v>2</v>
      </c>
      <c r="N269" s="57" t="n">
        <v>25</v>
      </c>
      <c r="O269" s="60" t="n">
        <v>35</v>
      </c>
      <c r="P269" s="55" t="s">
        <v>186</v>
      </c>
      <c r="Q269" s="57" t="n">
        <v>13</v>
      </c>
      <c r="R269" s="60" t="n">
        <f aca="false">IF(BT269=1,0,IFERROR(VLOOKUP(BR269,'Gebinde-Kategorie'!$A$5:$M$45,13,0)+0,0))</f>
        <v>12</v>
      </c>
      <c r="S269" s="61"/>
      <c r="T269" s="62"/>
      <c r="U269" s="62"/>
      <c r="V269" s="62"/>
      <c r="W269" s="55"/>
      <c r="X269" s="57"/>
      <c r="Y269" s="57"/>
      <c r="Z269" s="55" t="n">
        <f aca="false">IF(A269="","",IF(AND(Parameter!$B$21="Ja",ISNUMBER(W269)),W269,IF(BV269="2+3",IF(ISNUMBER(SEARCH("grosser Artikel",BO269)),2,IFERROR(VLOOKUP(BR269,Parameter!$F$35:$G$64,2,0),2)),IF(OR(BV269="Nein",BV269=""),"-",BV269))))</f>
        <v>1</v>
      </c>
      <c r="AA269" s="62"/>
      <c r="AB269" s="63"/>
      <c r="AC269" s="57" t="n">
        <f aca="false">AR269</f>
        <v>39</v>
      </c>
      <c r="AD269" s="57" t="n">
        <f aca="false">MAX(AR269,H269)</f>
        <v>39</v>
      </c>
      <c r="AE269" s="64"/>
      <c r="AF269" s="57" t="n">
        <f aca="false">IF(LEFT(Cockpit!$C$5,1)="A",H269,IF(CA269=1,CB269,IF(LEFT(Cockpit!$C$5,1)="B",AJ269,MAX(AJ269,H269))))</f>
        <v>11</v>
      </c>
      <c r="AG269" s="57" t="n">
        <f aca="false">IF(BT269=1,0,ROUNDUP(AF269/BS269,0))</f>
        <v>1</v>
      </c>
      <c r="AH269" s="59" t="n">
        <f aca="false">IF(CH269&gt;0,CH269*MAX(1,AF269/X269),IF(BT269=1,IF(AF269&lt;=0,0,BW269*MAX(1,IF(H269&gt;0,AF269/H269,1))),IF(R269&gt;0,AG269/R269,0))/MAX(0.1,N(Parameter!$M$21)))</f>
        <v>0.0833333333333333</v>
      </c>
      <c r="AI269" s="57" t="n">
        <f aca="false">AF269*G269</f>
        <v>1077.45</v>
      </c>
      <c r="AJ269" s="57" t="n">
        <f aca="false">ROUNDUP(MAX(J269/IF(BZ269&gt;0,BZ269,MAX(0.1,N(Cockpit!$C$6))),CC269)/BS269,0)*BS269</f>
        <v>39</v>
      </c>
      <c r="AK269" s="58" t="n">
        <f aca="false">IF(AH269&gt;0,J269/AH269,-1)</f>
        <v>300</v>
      </c>
      <c r="AL269" s="58" t="n">
        <f aca="false">IF(AND(OR(BY269="L1",BY269="L23"),AH269&gt;0),SUMIFS($AH$7:$AH$1843,$BY$7:$BY$1843,BY269,$AK$7:$AK$1843,"&gt;"&amp;AK269)+SUMIFS($AH$7:$AH$1843,$BY$7:$BY$1843,BY269,$AK$7:$AK$1843,AK269,$BQ$7:$BQ$1843,"&lt;="&amp;BQ269),"")</f>
        <v>1.667502787068</v>
      </c>
      <c r="AM269" s="65" t="n">
        <f aca="false">IF(AL269="",0,MAX(0,MIN(1,(IF(BY269="L1",Parameter!$E$5,Parameter!$E$6+Parameter!$E$7)-(AL269-AH269))/AH269)))</f>
        <v>1</v>
      </c>
      <c r="AN269" s="57" t="n">
        <f aca="false">IF(LEFT(Cockpit!$I$5,1)="A",H269,IF(CA269=1,CB269,IF(LEFT(Cockpit!$I$5,1)="B",AR269,MAX(AR269,H269))))</f>
        <v>39</v>
      </c>
      <c r="AO269" s="57" t="n">
        <f aca="false">IF(BT269=1,0,ROUNDUP(AN269/BS269,0))</f>
        <v>3</v>
      </c>
      <c r="AP269" s="59" t="n">
        <f aca="false">IF(CH269&gt;0,CH269*MAX(1,AN269/X269),IF(BT269=1,IF(AN269&lt;=0,0,BW269*MAX(1,IF(H269&gt;0,AN269/H269,1))),IF(R269&gt;0,AO269/R269,0))/MAX(0.1,N(Parameter!$M$21)))</f>
        <v>0.25</v>
      </c>
      <c r="AQ269" s="57" t="n">
        <f aca="false">AN269*G269</f>
        <v>3820.05</v>
      </c>
      <c r="AR269" s="57" t="n">
        <f aca="false">ROUNDUP(MAX(J269/IF(BZ269&gt;0,BZ269,MAX(0.1,N(Cockpit!$I$6))),CC269)/BS269,0)*BS269</f>
        <v>39</v>
      </c>
      <c r="AS269" s="58" t="n">
        <f aca="false">IF(AP269&gt;0,J269/AP269,-1)</f>
        <v>100</v>
      </c>
      <c r="AT269" s="58" t="n">
        <f aca="false">IF(AND(OR(BY269="L1",BY269="L23"),AP269&gt;0),SUMIFS($AP$7:$AP$1843,$BY$7:$BY$1843,BY269,$AS$7:$AS$1843,"&gt;"&amp;AS269)+SUMIFS($AP$7:$AP$1843,$BY$7:$BY$1843,BY269,$AS$7:$AS$1843,AS269,$BQ$7:$BQ$1843,"&lt;="&amp;BQ269),"")</f>
        <v>7.82775919732441</v>
      </c>
      <c r="AU269" s="65" t="n">
        <f aca="false">IF(AT269="",0,MAX(0,MIN(1,(IF(BY269="L1",Parameter!$E$5,Parameter!$E$6+Parameter!$E$7)-(AT269-AP269))/AP269)))</f>
        <v>1</v>
      </c>
      <c r="AV269" s="57" t="n">
        <f aca="false">IF(LEFT(Cockpit!$O$5,1)="A",H269,IF(CA269=1,CB269,IF(LEFT(Cockpit!$O$5,1)="B",AZ269,MAX(AZ269,H269))))</f>
        <v>39</v>
      </c>
      <c r="AW269" s="57" t="n">
        <f aca="false">IF(BT269=1,0,ROUNDUP(AV269/BS269,0))</f>
        <v>3</v>
      </c>
      <c r="AX269" s="59" t="n">
        <f aca="false">IF(CH269&gt;0,CH269*MAX(1,AV269/X269),IF(BT269=1,IF(AV269&lt;=0,0,BW269*MAX(1,IF(H269&gt;0,AV269/H269,1))),IF(R269&gt;0,AW269/R269,0))/MAX(0.1,N(Parameter!$M$21)))</f>
        <v>0.25</v>
      </c>
      <c r="AY269" s="57" t="n">
        <f aca="false">AV269*G269</f>
        <v>3820.05</v>
      </c>
      <c r="AZ269" s="57" t="n">
        <f aca="false">ROUNDUP(MAX(J269/IF(BZ269&gt;0,BZ269,MAX(0.1,N(Cockpit!$O$6))),CC269)/BS269,0)*BS269</f>
        <v>39</v>
      </c>
      <c r="BA269" s="58" t="n">
        <f aca="false">IF(AX269&gt;0,J269/AX269,-1)</f>
        <v>100</v>
      </c>
      <c r="BB269" s="58" t="n">
        <f aca="false">IF(AND(OR(BY269="L1",BY269="L23"),AX269&gt;0),SUMIFS($AX$7:$AX$1843,$BY$7:$BY$1843,BY269,$BA$7:$BA$1843,"&gt;"&amp;BA269)+SUMIFS($AX$7:$AX$1843,$BY$7:$BY$1843,BY269,$BA$7:$BA$1843,BA269,$BQ$7:$BQ$1843,"&lt;="&amp;BQ269),"")</f>
        <v>8.12263099219621</v>
      </c>
      <c r="BC269" s="65" t="n">
        <f aca="false">IF(BB269="",0,MAX(0,MIN(1,(IF(BY269="L1",Parameter!$E$5,Parameter!$E$6+Parameter!$E$7)-(BB269-AX269))/AX269)))</f>
        <v>1</v>
      </c>
      <c r="BD269" s="55" t="str">
        <f aca="false">IF(AH269&lt;=0,"",IF(BY269="Aussen","Aussenlager",IF(BY269="-","Nicht im Lift",IF(AM269&gt;=1,"Lift",IF(AM269&lt;=0,"Aussenlager","teilweise")))))</f>
        <v>Lift</v>
      </c>
      <c r="BE269" s="55" t="str">
        <f aca="false">IF(AP269&lt;=0,"",IF(BY269="Aussen","Aussenlager",IF(BY269="-","Nicht im Lift",IF(AU269&gt;=1,"Lift",IF(AU269&lt;=0,"Aussenlager","teilweise")))))</f>
        <v>Lift</v>
      </c>
      <c r="BF269" s="55" t="str">
        <f aca="false">IF(AX269&lt;=0,"",IF(BY269="Aussen","Aussenlager",IF(BY269="-","Nicht im Lift",IF(BC269&gt;=1,"Lift",IF(BC269&lt;=0,"Aussenlager","teilweise")))))</f>
        <v>Lift</v>
      </c>
      <c r="BG269" s="55" t="str">
        <f aca="false">IF(A269="","",IF(BP269=1,"Neu; ","")&amp;IF(AND(BP269=0,BK269&lt;0),"negativer Bestand (Export "&amp;BK269&amp;"); ","")&amp;IF(J269&lt;=0,"Kein Verbrauch; ","")&amp;IF(CH269&gt;0,"Lift "&amp;W269&amp;" lt. Liftbericht (Fach "&amp;X269&amp;" Stk); ",IF(BU269=1,"Gebinde geschätzt ("&amp;T269&amp;"); ",IF(BT269=1,"Lose – Tablare geschätzt; ","")))&amp;IF(H269&gt;AR269,"Überbestand "&amp;ROUND(H269-AR269,0)&amp;" Stk / CHF "&amp;ROUND((H269-AR269)*G269,0)&amp;"; ","")&amp;IF(AND(CA269=1,CB269&lt;CC269),"MAX &lt; MB+LG; ","")&amp;IF(AND(CG269&gt;0,CF269*10&gt;CG269),"zu hoch für Tablar; ","")&amp;IF(AND(BP269=0,OR(CA269=1,AA269&lt;&gt;"",U269&lt;&gt;"",V269&lt;&gt;"",AB269&lt;&gt;"")),"manuell übersteuert; ","")&amp;IF(AND(BT269=0,R269=0),"Gebinde unbekannt / Stellmass fehlt; ","")&amp;IF(AND(BT269=0,N(V269)&lt;=0,N(Q269)&lt;=0),"Menge pro Gebinde fehlt (Ist = 1 Gebinde); ","")&amp;BO269)</f>
        <v/>
      </c>
      <c r="BH269" s="55"/>
      <c r="BI269" s="55"/>
      <c r="BJ269" s="62"/>
      <c r="BK269" s="57" t="n">
        <v>4</v>
      </c>
      <c r="BL269" s="57" t="n">
        <v>7</v>
      </c>
      <c r="BM269" s="56" t="n">
        <v>417.56</v>
      </c>
      <c r="BN269" s="57" t="n">
        <v>25</v>
      </c>
      <c r="BO269" s="55"/>
      <c r="BP269" s="60" t="n">
        <v>0</v>
      </c>
      <c r="BQ269" s="60" t="n">
        <v>269</v>
      </c>
      <c r="BR269" s="55" t="str">
        <f aca="false">IF(U269&lt;&gt;"",UPPER(TRIM(U269)),IF(BU269=1,UPPER(VLOOKUP(T269,Parameter!$I$27:$K$29,2,0)),IF(P269="","LOSE",P269)))</f>
        <v>S61</v>
      </c>
      <c r="BS269" s="57" t="n">
        <f aca="false">IF(BR269="LOSE",1,IF(N(V269)&gt;0,V269,IF(BU269=1,MAX(1,N(VLOOKUP(T269,Parameter!$I$27:$K$29,3,0)),H269,N(N269)),IF(N(Q269)&gt;0,Q269,MAX(1,H269)))))</f>
        <v>13</v>
      </c>
      <c r="BT269" s="60" t="n">
        <f aca="false">IF(BR269="LOSE",1,0)</f>
        <v>0</v>
      </c>
      <c r="BU269" s="60" t="n">
        <f aca="false">IF(AND(U269="",OR(P269="",P269="LOSE"),T269&lt;&gt;"",N(S269)&lt;=0,ISNUMBER(MATCH(T269,Parameter!$I$27:$I$29,0))),1,0)</f>
        <v>0</v>
      </c>
      <c r="BV269" s="55" t="n">
        <f aca="false">IF(AND(Parameter!$B$19="Ja",E269&lt;&gt;"",ISNUMBER(MATCH(E269,Parameter!$I$35:$I$52,0))),VLOOKUP(E269,Parameter!$I$35:$J$52,2,0),IFERROR(VLOOKUP(D269,Parameter!$A$35:$C$64,2,0),"Nein"))</f>
        <v>1</v>
      </c>
      <c r="BW269" s="59" t="n">
        <f aca="false">IF(BT269=0,0,IF(N(S269)&gt;0,S269,IFERROR(VLOOKUP(D269,Parameter!$A$35:$C$64,3,0)+0,0)))</f>
        <v>0</v>
      </c>
      <c r="BX269" s="55" t="n">
        <f aca="false">IF(AA269&lt;&gt;"",AA269,Z269)</f>
        <v>1</v>
      </c>
      <c r="BY269" s="55" t="str">
        <f aca="false">IF(BX269=1,"L1",IF(OR(BX269=2,BX269=3),"L23",IF(BX269="Aussen","Aussen","-")))</f>
        <v>L1</v>
      </c>
      <c r="BZ269" s="66" t="n">
        <f aca="false">IF(N(AB269)&gt;0,AB269,0)</f>
        <v>0</v>
      </c>
      <c r="CA269" s="60" t="n">
        <f aca="false">IF(ISNUMBER(AE269),1,0)</f>
        <v>0</v>
      </c>
      <c r="CB269" s="57" t="n">
        <f aca="false">N(AE269)</f>
        <v>0</v>
      </c>
      <c r="CC269" s="57" t="n">
        <f aca="false">N(M269)+N(N269)</f>
        <v>27</v>
      </c>
      <c r="CD269" s="57" t="n">
        <f aca="false">ROUNDUP(H269/BS269,0)</f>
        <v>1</v>
      </c>
      <c r="CE269" s="57" t="n">
        <f aca="false">ROUNDUP(CB269/BS269,0)</f>
        <v>0</v>
      </c>
      <c r="CF269" s="60" t="n">
        <f aca="false">IF(BT269=1,0,IFERROR(VLOOKUP(BR269,'Gebinde-Kategorie'!$A$5:$M$45,5,0)+0,0))</f>
        <v>11</v>
      </c>
      <c r="CG269" s="60" t="n">
        <f aca="false">IFERROR(IF(OR(BX269=1,BX269=2,BX269=3),N(INDEX(Parameter!$I$5:$I$7,BX269)),0),0)</f>
        <v>0</v>
      </c>
      <c r="CH269" s="59" t="n">
        <f aca="false">IF(AND(Parameter!$B$21="Ja",ISNUMBER(W269),N(X269)&gt;0),IFERROR(N(INDEX(Parameter!$L$5:$L$7,W269))*INDEX(Parameter!$E$5:$E$7,W269)*X269/SUMIFS($X$7:$X$1843,$W$7:$W$1843,W269),0),0)</f>
        <v>0</v>
      </c>
    </row>
    <row r="270" customFormat="false" ht="15" hidden="false" customHeight="false" outlineLevel="0" collapsed="false">
      <c r="A270" s="55" t="s">
        <v>718</v>
      </c>
      <c r="B270" s="55" t="s">
        <v>719</v>
      </c>
      <c r="C270" s="55" t="s">
        <v>164</v>
      </c>
      <c r="D270" s="55" t="s">
        <v>184</v>
      </c>
      <c r="E270" s="55"/>
      <c r="F270" s="55" t="s">
        <v>218</v>
      </c>
      <c r="G270" s="56" t="n">
        <v>16.65</v>
      </c>
      <c r="H270" s="57" t="n">
        <f aca="false">MAX(0,IF(AND(Parameter!$B$21="Ja",ISNUMBER(Y270)),Y270,IF(Parameter!$B$20="Jahresanfang 2025 + Export",BL270+BK270,BK270)))</f>
        <v>25</v>
      </c>
      <c r="I270" s="57" t="n">
        <f aca="false">H270*G270</f>
        <v>416.25</v>
      </c>
      <c r="J270" s="57" t="n">
        <f aca="false">BN270*Parameter!$B$18</f>
        <v>0</v>
      </c>
      <c r="K270" s="58" t="n">
        <v>0</v>
      </c>
      <c r="L270" s="59" t="n">
        <v>0</v>
      </c>
      <c r="M270" s="57" t="n">
        <v>0</v>
      </c>
      <c r="N270" s="57" t="n">
        <v>5</v>
      </c>
      <c r="O270" s="60" t="n">
        <v>9999</v>
      </c>
      <c r="P270" s="55" t="s">
        <v>168</v>
      </c>
      <c r="Q270" s="57"/>
      <c r="R270" s="60" t="n">
        <f aca="false">IF(BT270=1,0,IFERROR(VLOOKUP(BR270,'Gebinde-Kategorie'!$A$5:$M$45,13,0)+0,0))</f>
        <v>26</v>
      </c>
      <c r="S270" s="61"/>
      <c r="T270" s="62" t="s">
        <v>275</v>
      </c>
      <c r="U270" s="62"/>
      <c r="V270" s="62"/>
      <c r="W270" s="55"/>
      <c r="X270" s="57"/>
      <c r="Y270" s="57"/>
      <c r="Z270" s="55" t="n">
        <f aca="false">IF(A270="","",IF(AND(Parameter!$B$21="Ja",ISNUMBER(W270)),W270,IF(BV270="2+3",IF(ISNUMBER(SEARCH("grosser Artikel",BO270)),2,IFERROR(VLOOKUP(BR270,Parameter!$F$35:$G$64,2,0),2)),IF(OR(BV270="Nein",BV270=""),"-",BV270))))</f>
        <v>3</v>
      </c>
      <c r="AA270" s="62"/>
      <c r="AB270" s="63"/>
      <c r="AC270" s="57" t="n">
        <f aca="false">AR270</f>
        <v>25</v>
      </c>
      <c r="AD270" s="57" t="n">
        <f aca="false">MAX(AR270,H270)</f>
        <v>25</v>
      </c>
      <c r="AE270" s="64"/>
      <c r="AF270" s="57" t="n">
        <f aca="false">IF(LEFT(Cockpit!$C$5,1)="A",H270,IF(CA270=1,CB270,IF(LEFT(Cockpit!$C$5,1)="B",AJ270,MAX(AJ270,H270))))</f>
        <v>25</v>
      </c>
      <c r="AG270" s="57" t="n">
        <f aca="false">IF(BT270=1,0,ROUNDUP(AF270/BS270,0))</f>
        <v>1</v>
      </c>
      <c r="AH270" s="59" t="n">
        <f aca="false">IF(CH270&gt;0,CH270*MAX(1,AF270/X270),IF(BT270=1,IF(AF270&lt;=0,0,BW270*MAX(1,IF(H270&gt;0,AF270/H270,1))),IF(R270&gt;0,AG270/R270,0))/MAX(0.1,N(Parameter!$M$21)))</f>
        <v>0.0384615384615385</v>
      </c>
      <c r="AI270" s="57" t="n">
        <f aca="false">AF270*G270</f>
        <v>416.25</v>
      </c>
      <c r="AJ270" s="57" t="n">
        <f aca="false">ROUNDUP(MAX(J270/IF(BZ270&gt;0,BZ270,MAX(0.1,N(Cockpit!$C$6))),CC270)/BS270,0)*BS270</f>
        <v>25</v>
      </c>
      <c r="AK270" s="58" t="n">
        <f aca="false">IF(AH270&gt;0,J270/AH270,-1)</f>
        <v>0</v>
      </c>
      <c r="AL270" s="58" t="n">
        <f aca="false">IF(AND(OR(BY270="L1",BY270="L23"),AH270&gt;0),SUMIFS($AH$7:$AH$1843,$BY$7:$BY$1843,BY270,$AK$7:$AK$1843,"&gt;"&amp;AK270)+SUMIFS($AH$7:$AH$1843,$BY$7:$BY$1843,BY270,$AK$7:$AK$1843,AK270,$BQ$7:$BQ$1843,"&lt;="&amp;BQ270),"")</f>
        <v>71.8636279179758</v>
      </c>
      <c r="AM270" s="65" t="n">
        <f aca="false">IF(AL270="",0,MAX(0,MIN(1,(IF(BY270="L1",Parameter!$E$5,Parameter!$E$6+Parameter!$E$7)-(AL270-AH270))/AH270)))</f>
        <v>1</v>
      </c>
      <c r="AN270" s="57" t="n">
        <f aca="false">IF(LEFT(Cockpit!$I$5,1)="A",H270,IF(CA270=1,CB270,IF(LEFT(Cockpit!$I$5,1)="B",AR270,MAX(AR270,H270))))</f>
        <v>25</v>
      </c>
      <c r="AO270" s="57" t="n">
        <f aca="false">IF(BT270=1,0,ROUNDUP(AN270/BS270,0))</f>
        <v>1</v>
      </c>
      <c r="AP270" s="59" t="n">
        <f aca="false">IF(CH270&gt;0,CH270*MAX(1,AN270/X270),IF(BT270=1,IF(AN270&lt;=0,0,BW270*MAX(1,IF(H270&gt;0,AN270/H270,1))),IF(R270&gt;0,AO270/R270,0))/MAX(0.1,N(Parameter!$M$21)))</f>
        <v>0.0384615384615385</v>
      </c>
      <c r="AQ270" s="57" t="n">
        <f aca="false">AN270*G270</f>
        <v>416.25</v>
      </c>
      <c r="AR270" s="57" t="n">
        <f aca="false">ROUNDUP(MAX(J270/IF(BZ270&gt;0,BZ270,MAX(0.1,N(Cockpit!$I$6))),CC270)/BS270,0)*BS270</f>
        <v>25</v>
      </c>
      <c r="AS270" s="58" t="n">
        <f aca="false">IF(AP270&gt;0,J270/AP270,-1)</f>
        <v>0</v>
      </c>
      <c r="AT270" s="58" t="n">
        <f aca="false">IF(AND(OR(BY270="L1",BY270="L23"),AP270&gt;0),SUMIFS($AP$7:$AP$1843,$BY$7:$BY$1843,BY270,$AS$7:$AS$1843,"&gt;"&amp;AS270)+SUMIFS($AP$7:$AP$1843,$BY$7:$BY$1843,BY270,$AS$7:$AS$1843,AS270,$BQ$7:$BQ$1843,"&lt;="&amp;BQ270),"")</f>
        <v>111.287752102969</v>
      </c>
      <c r="AU270" s="65" t="n">
        <f aca="false">IF(AT270="",0,MAX(0,MIN(1,(IF(BY270="L1",Parameter!$E$5,Parameter!$E$6+Parameter!$E$7)-(AT270-AP270))/AP270)))</f>
        <v>0</v>
      </c>
      <c r="AV270" s="57" t="n">
        <f aca="false">IF(LEFT(Cockpit!$O$5,1)="A",H270,IF(CA270=1,CB270,IF(LEFT(Cockpit!$O$5,1)="B",AZ270,MAX(AZ270,H270))))</f>
        <v>25</v>
      </c>
      <c r="AW270" s="57" t="n">
        <f aca="false">IF(BT270=1,0,ROUNDUP(AV270/BS270,0))</f>
        <v>1</v>
      </c>
      <c r="AX270" s="59" t="n">
        <f aca="false">IF(CH270&gt;0,CH270*MAX(1,AV270/X270),IF(BT270=1,IF(AV270&lt;=0,0,BW270*MAX(1,IF(H270&gt;0,AV270/H270,1))),IF(R270&gt;0,AW270/R270,0))/MAX(0.1,N(Parameter!$M$21)))</f>
        <v>0.0384615384615385</v>
      </c>
      <c r="AY270" s="57" t="n">
        <f aca="false">AV270*G270</f>
        <v>416.25</v>
      </c>
      <c r="AZ270" s="57" t="n">
        <f aca="false">ROUNDUP(MAX(J270/IF(BZ270&gt;0,BZ270,MAX(0.1,N(Cockpit!$O$6))),CC270)/BS270,0)*BS270</f>
        <v>25</v>
      </c>
      <c r="BA270" s="58" t="n">
        <f aca="false">IF(AX270&gt;0,J270/AX270,-1)</f>
        <v>0</v>
      </c>
      <c r="BB270" s="58" t="n">
        <f aca="false">IF(AND(OR(BY270="L1",BY270="L23"),AX270&gt;0),SUMIFS($AX$7:$AX$1843,$BY$7:$BY$1843,BY270,$BA$7:$BA$1843,"&gt;"&amp;BA270)+SUMIFS($AX$7:$AX$1843,$BY$7:$BY$1843,BY270,$BA$7:$BA$1843,BA270,$BQ$7:$BQ$1843,"&lt;="&amp;BQ270),"")</f>
        <v>102.117588932806</v>
      </c>
      <c r="BC270" s="65" t="n">
        <f aca="false">IF(BB270="",0,MAX(0,MIN(1,(IF(BY270="L1",Parameter!$E$5,Parameter!$E$6+Parameter!$E$7)-(BB270-AX270))/AX270)))</f>
        <v>0</v>
      </c>
      <c r="BD270" s="55" t="str">
        <f aca="false">IF(AH270&lt;=0,"",IF(BY270="Aussen","Aussenlager",IF(BY270="-","Nicht im Lift",IF(AM270&gt;=1,"Lift",IF(AM270&lt;=0,"Aussenlager","teilweise")))))</f>
        <v>Lift</v>
      </c>
      <c r="BE270" s="55" t="str">
        <f aca="false">IF(AP270&lt;=0,"",IF(BY270="Aussen","Aussenlager",IF(BY270="-","Nicht im Lift",IF(AU270&gt;=1,"Lift",IF(AU270&lt;=0,"Aussenlager","teilweise")))))</f>
        <v>Aussenlager</v>
      </c>
      <c r="BF270" s="55" t="str">
        <f aca="false">IF(AX270&lt;=0,"",IF(BY270="Aussen","Aussenlager",IF(BY270="-","Nicht im Lift",IF(BC270&gt;=1,"Lift",IF(BC270&lt;=0,"Aussenlager","teilweise")))))</f>
        <v>Aussenlager</v>
      </c>
      <c r="BG270" s="55" t="str">
        <f aca="false">IF(A270="","",IF(BP270=1,"Neu; ","")&amp;IF(AND(BP270=0,BK270&lt;0),"negativer Bestand (Export "&amp;BK270&amp;"); ","")&amp;IF(J270&lt;=0,"Kein Verbrauch; ","")&amp;IF(CH270&gt;0,"Lift "&amp;W270&amp;" lt. Liftbericht (Fach "&amp;X270&amp;" Stk); ",IF(BU270=1,"Gebinde geschätzt ("&amp;T270&amp;"); ",IF(BT270=1,"Lose – Tablare geschätzt; ","")))&amp;IF(H270&gt;AR270,"Überbestand "&amp;ROUND(H270-AR270,0)&amp;" Stk / CHF "&amp;ROUND((H270-AR270)*G270,0)&amp;"; ","")&amp;IF(AND(CA270=1,CB270&lt;CC270),"MAX &lt; MB+LG; ","")&amp;IF(AND(CG270&gt;0,CF270*10&gt;CG270),"zu hoch für Tablar; ","")&amp;IF(AND(BP270=0,OR(CA270=1,AA270&lt;&gt;"",U270&lt;&gt;"",V270&lt;&gt;"",AB270&lt;&gt;"")),"manuell übersteuert; ","")&amp;IF(AND(BT270=0,R270=0),"Gebinde unbekannt / Stellmass fehlt; ","")&amp;IF(AND(BT270=0,N(V270)&lt;=0,N(Q270)&lt;=0),"Menge pro Gebinde fehlt (Ist = 1 Gebinde); ","")&amp;BO270)</f>
        <v>Kein Verbrauch; Gebinde geschätzt (Klein); Menge pro Gebinde fehlt (Ist = 1 Gebinde); </v>
      </c>
      <c r="BH270" s="55"/>
      <c r="BI270" s="55"/>
      <c r="BJ270" s="62"/>
      <c r="BK270" s="57" t="n">
        <v>25</v>
      </c>
      <c r="BL270" s="57" t="n">
        <v>0</v>
      </c>
      <c r="BM270" s="56" t="n">
        <v>416.25</v>
      </c>
      <c r="BN270" s="57" t="n">
        <v>0</v>
      </c>
      <c r="BO270" s="55"/>
      <c r="BP270" s="60" t="n">
        <v>0</v>
      </c>
      <c r="BQ270" s="60" t="n">
        <v>270</v>
      </c>
      <c r="BR270" s="55" t="str">
        <f aca="false">IF(U270&lt;&gt;"",UPPER(TRIM(U270)),IF(BU270=1,UPPER(VLOOKUP(T270,Parameter!$I$27:$K$29,2,0)),IF(P270="","LOSE",P270)))</f>
        <v>S51</v>
      </c>
      <c r="BS270" s="57" t="n">
        <f aca="false">IF(BR270="LOSE",1,IF(N(V270)&gt;0,V270,IF(BU270=1,MAX(1,N(VLOOKUP(T270,Parameter!$I$27:$K$29,3,0)),H270,N(N270)),IF(N(Q270)&gt;0,Q270,MAX(1,H270)))))</f>
        <v>25</v>
      </c>
      <c r="BT270" s="60" t="n">
        <f aca="false">IF(BR270="LOSE",1,0)</f>
        <v>0</v>
      </c>
      <c r="BU270" s="60" t="n">
        <f aca="false">IF(AND(U270="",OR(P270="",P270="LOSE"),T270&lt;&gt;"",N(S270)&lt;=0,ISNUMBER(MATCH(T270,Parameter!$I$27:$I$29,0))),1,0)</f>
        <v>1</v>
      </c>
      <c r="BV270" s="55" t="str">
        <f aca="false">IF(AND(Parameter!$B$19="Ja",E270&lt;&gt;"",ISNUMBER(MATCH(E270,Parameter!$I$35:$I$52,0))),VLOOKUP(E270,Parameter!$I$35:$J$52,2,0),IFERROR(VLOOKUP(D270,Parameter!$A$35:$C$64,2,0),"Nein"))</f>
        <v>2+3</v>
      </c>
      <c r="BW270" s="59" t="n">
        <f aca="false">IF(BT270=0,0,IF(N(S270)&gt;0,S270,IFERROR(VLOOKUP(D270,Parameter!$A$35:$C$64,3,0)+0,0)))</f>
        <v>0</v>
      </c>
      <c r="BX270" s="55" t="n">
        <f aca="false">IF(AA270&lt;&gt;"",AA270,Z270)</f>
        <v>3</v>
      </c>
      <c r="BY270" s="55" t="str">
        <f aca="false">IF(BX270=1,"L1",IF(OR(BX270=2,BX270=3),"L23",IF(BX270="Aussen","Aussen","-")))</f>
        <v>L23</v>
      </c>
      <c r="BZ270" s="66" t="n">
        <f aca="false">IF(N(AB270)&gt;0,AB270,0)</f>
        <v>0</v>
      </c>
      <c r="CA270" s="60" t="n">
        <f aca="false">IF(ISNUMBER(AE270),1,0)</f>
        <v>0</v>
      </c>
      <c r="CB270" s="57" t="n">
        <f aca="false">N(AE270)</f>
        <v>0</v>
      </c>
      <c r="CC270" s="57" t="n">
        <f aca="false">N(M270)+N(N270)</f>
        <v>5</v>
      </c>
      <c r="CD270" s="57" t="n">
        <f aca="false">ROUNDUP(H270/BS270,0)</f>
        <v>1</v>
      </c>
      <c r="CE270" s="57" t="n">
        <f aca="false">ROUNDUP(CB270/BS270,0)</f>
        <v>0</v>
      </c>
      <c r="CF270" s="60" t="n">
        <f aca="false">IF(BT270=1,0,IFERROR(VLOOKUP(BR270,'Gebinde-Kategorie'!$A$5:$M$45,5,0)+0,0))</f>
        <v>11</v>
      </c>
      <c r="CG270" s="60" t="n">
        <f aca="false">IFERROR(IF(OR(BX270=1,BX270=2,BX270=3),N(INDEX(Parameter!$I$5:$I$7,BX270)),0),0)</f>
        <v>0</v>
      </c>
      <c r="CH270" s="59" t="n">
        <f aca="false">IF(AND(Parameter!$B$21="Ja",ISNUMBER(W270),N(X270)&gt;0),IFERROR(N(INDEX(Parameter!$L$5:$L$7,W270))*INDEX(Parameter!$E$5:$E$7,W270)*X270/SUMIFS($X$7:$X$1843,$W$7:$W$1843,W270),0),0)</f>
        <v>0</v>
      </c>
    </row>
    <row r="271" customFormat="false" ht="15" hidden="false" customHeight="false" outlineLevel="0" collapsed="false">
      <c r="A271" s="55" t="s">
        <v>720</v>
      </c>
      <c r="B271" s="55" t="s">
        <v>483</v>
      </c>
      <c r="C271" s="55" t="s">
        <v>164</v>
      </c>
      <c r="D271" s="55" t="s">
        <v>184</v>
      </c>
      <c r="E271" s="55"/>
      <c r="F271" s="55" t="s">
        <v>218</v>
      </c>
      <c r="G271" s="56" t="n">
        <v>100.35</v>
      </c>
      <c r="H271" s="57" t="n">
        <f aca="false">MAX(0,IF(AND(Parameter!$B$21="Ja",ISNUMBER(Y271)),Y271,IF(Parameter!$B$20="Jahresanfang 2025 + Export",BL271+BK271,BK271)))</f>
        <v>4</v>
      </c>
      <c r="I271" s="57" t="n">
        <f aca="false">H271*G271</f>
        <v>401.4</v>
      </c>
      <c r="J271" s="57" t="n">
        <f aca="false">BN271*Parameter!$B$18</f>
        <v>6</v>
      </c>
      <c r="K271" s="58" t="n">
        <v>0</v>
      </c>
      <c r="L271" s="59" t="n">
        <v>0</v>
      </c>
      <c r="M271" s="57" t="n">
        <v>0</v>
      </c>
      <c r="N271" s="57" t="n">
        <v>5</v>
      </c>
      <c r="O271" s="60" t="n">
        <v>14</v>
      </c>
      <c r="P271" s="55" t="s">
        <v>421</v>
      </c>
      <c r="Q271" s="57" t="n">
        <v>4</v>
      </c>
      <c r="R271" s="60" t="n">
        <f aca="false">IF(BT271=1,0,IFERROR(VLOOKUP(BR271,'Gebinde-Kategorie'!$A$5:$M$45,13,0)+0,0))</f>
        <v>132</v>
      </c>
      <c r="S271" s="61"/>
      <c r="T271" s="62"/>
      <c r="U271" s="62"/>
      <c r="V271" s="62"/>
      <c r="W271" s="55"/>
      <c r="X271" s="57"/>
      <c r="Y271" s="57"/>
      <c r="Z271" s="55" t="n">
        <f aca="false">IF(A271="","",IF(AND(Parameter!$B$21="Ja",ISNUMBER(W271)),W271,IF(BV271="2+3",IF(ISNUMBER(SEARCH("grosser Artikel",BO271)),2,IFERROR(VLOOKUP(BR271,Parameter!$F$35:$G$64,2,0),2)),IF(OR(BV271="Nein",BV271=""),"-",BV271))))</f>
        <v>3</v>
      </c>
      <c r="AA271" s="62"/>
      <c r="AB271" s="63"/>
      <c r="AC271" s="57" t="n">
        <f aca="false">AR271</f>
        <v>8</v>
      </c>
      <c r="AD271" s="57" t="n">
        <f aca="false">MAX(AR271,H271)</f>
        <v>8</v>
      </c>
      <c r="AE271" s="64"/>
      <c r="AF271" s="57" t="n">
        <f aca="false">IF(LEFT(Cockpit!$C$5,1)="A",H271,IF(CA271=1,CB271,IF(LEFT(Cockpit!$C$5,1)="B",AJ271,MAX(AJ271,H271))))</f>
        <v>4</v>
      </c>
      <c r="AG271" s="57" t="n">
        <f aca="false">IF(BT271=1,0,ROUNDUP(AF271/BS271,0))</f>
        <v>1</v>
      </c>
      <c r="AH271" s="59" t="n">
        <f aca="false">IF(CH271&gt;0,CH271*MAX(1,AF271/X271),IF(BT271=1,IF(AF271&lt;=0,0,BW271*MAX(1,IF(H271&gt;0,AF271/H271,1))),IF(R271&gt;0,AG271/R271,0))/MAX(0.1,N(Parameter!$M$21)))</f>
        <v>0.00757575757575758</v>
      </c>
      <c r="AI271" s="57" t="n">
        <f aca="false">AF271*G271</f>
        <v>401.4</v>
      </c>
      <c r="AJ271" s="57" t="n">
        <f aca="false">ROUNDUP(MAX(J271/IF(BZ271&gt;0,BZ271,MAX(0.1,N(Cockpit!$C$6))),CC271)/BS271,0)*BS271</f>
        <v>8</v>
      </c>
      <c r="AK271" s="58" t="n">
        <f aca="false">IF(AH271&gt;0,J271/AH271,-1)</f>
        <v>792</v>
      </c>
      <c r="AL271" s="58" t="n">
        <f aca="false">IF(AND(OR(BY271="L1",BY271="L23"),AH271&gt;0),SUMIFS($AH$7:$AH$1843,$BY$7:$BY$1843,BY271,$AK$7:$AK$1843,"&gt;"&amp;AK271)+SUMIFS($AH$7:$AH$1843,$BY$7:$BY$1843,BY271,$AK$7:$AK$1843,AK271,$BQ$7:$BQ$1843,"&lt;="&amp;BQ271),"")</f>
        <v>20.74222999223</v>
      </c>
      <c r="AM271" s="65" t="n">
        <f aca="false">IF(AL271="",0,MAX(0,MIN(1,(IF(BY271="L1",Parameter!$E$5,Parameter!$E$6+Parameter!$E$7)-(AL271-AH271))/AH271)))</f>
        <v>1</v>
      </c>
      <c r="AN271" s="57" t="n">
        <f aca="false">IF(LEFT(Cockpit!$I$5,1)="A",H271,IF(CA271=1,CB271,IF(LEFT(Cockpit!$I$5,1)="B",AR271,MAX(AR271,H271))))</f>
        <v>8</v>
      </c>
      <c r="AO271" s="57" t="n">
        <f aca="false">IF(BT271=1,0,ROUNDUP(AN271/BS271,0))</f>
        <v>2</v>
      </c>
      <c r="AP271" s="59" t="n">
        <f aca="false">IF(CH271&gt;0,CH271*MAX(1,AN271/X271),IF(BT271=1,IF(AN271&lt;=0,0,BW271*MAX(1,IF(H271&gt;0,AN271/H271,1))),IF(R271&gt;0,AO271/R271,0))/MAX(0.1,N(Parameter!$M$21)))</f>
        <v>0.0151515151515152</v>
      </c>
      <c r="AQ271" s="57" t="n">
        <f aca="false">AN271*G271</f>
        <v>802.8</v>
      </c>
      <c r="AR271" s="57" t="n">
        <f aca="false">ROUNDUP(MAX(J271/IF(BZ271&gt;0,BZ271,MAX(0.1,N(Cockpit!$I$6))),CC271)/BS271,0)*BS271</f>
        <v>8</v>
      </c>
      <c r="AS271" s="58" t="n">
        <f aca="false">IF(AP271&gt;0,J271/AP271,-1)</f>
        <v>396</v>
      </c>
      <c r="AT271" s="58" t="n">
        <f aca="false">IF(AND(OR(BY271="L1",BY271="L23"),AP271&gt;0),SUMIFS($AP$7:$AP$1843,$BY$7:$BY$1843,BY271,$AS$7:$AS$1843,"&gt;"&amp;AS271)+SUMIFS($AP$7:$AP$1843,$BY$7:$BY$1843,BY271,$AS$7:$AS$1843,AS271,$BQ$7:$BQ$1843,"&lt;="&amp;BQ271),"")</f>
        <v>35.2828029458464</v>
      </c>
      <c r="AU271" s="65" t="n">
        <f aca="false">IF(AT271="",0,MAX(0,MIN(1,(IF(BY271="L1",Parameter!$E$5,Parameter!$E$6+Parameter!$E$7)-(AT271-AP271))/AP271)))</f>
        <v>1</v>
      </c>
      <c r="AV271" s="57" t="n">
        <f aca="false">IF(LEFT(Cockpit!$O$5,1)="A",H271,IF(CA271=1,CB271,IF(LEFT(Cockpit!$O$5,1)="B",AZ271,MAX(AZ271,H271))))</f>
        <v>8</v>
      </c>
      <c r="AW271" s="57" t="n">
        <f aca="false">IF(BT271=1,0,ROUNDUP(AV271/BS271,0))</f>
        <v>2</v>
      </c>
      <c r="AX271" s="59" t="n">
        <f aca="false">IF(CH271&gt;0,CH271*MAX(1,AV271/X271),IF(BT271=1,IF(AV271&lt;=0,0,BW271*MAX(1,IF(H271&gt;0,AV271/H271,1))),IF(R271&gt;0,AW271/R271,0))/MAX(0.1,N(Parameter!$M$21)))</f>
        <v>0.0151515151515152</v>
      </c>
      <c r="AY271" s="57" t="n">
        <f aca="false">AV271*G271</f>
        <v>802.8</v>
      </c>
      <c r="AZ271" s="57" t="n">
        <f aca="false">ROUNDUP(MAX(J271/IF(BZ271&gt;0,BZ271,MAX(0.1,N(Cockpit!$O$6))),CC271)/BS271,0)*BS271</f>
        <v>8</v>
      </c>
      <c r="BA271" s="58" t="n">
        <f aca="false">IF(AX271&gt;0,J271/AX271,-1)</f>
        <v>396</v>
      </c>
      <c r="BB271" s="58" t="n">
        <f aca="false">IF(AND(OR(BY271="L1",BY271="L23"),AX271&gt;0),SUMIFS($AX$7:$AX$1843,$BY$7:$BY$1843,BY271,$BA$7:$BA$1843,"&gt;"&amp;BA271)+SUMIFS($AX$7:$AX$1843,$BY$7:$BY$1843,BY271,$BA$7:$BA$1843,BA271,$BQ$7:$BQ$1843,"&lt;="&amp;BQ271),"")</f>
        <v>34.5293064423499</v>
      </c>
      <c r="BC271" s="65" t="n">
        <f aca="false">IF(BB271="",0,MAX(0,MIN(1,(IF(BY271="L1",Parameter!$E$5,Parameter!$E$6+Parameter!$E$7)-(BB271-AX271))/AX271)))</f>
        <v>1</v>
      </c>
      <c r="BD271" s="55" t="str">
        <f aca="false">IF(AH271&lt;=0,"",IF(BY271="Aussen","Aussenlager",IF(BY271="-","Nicht im Lift",IF(AM271&gt;=1,"Lift",IF(AM271&lt;=0,"Aussenlager","teilweise")))))</f>
        <v>Lift</v>
      </c>
      <c r="BE271" s="55" t="str">
        <f aca="false">IF(AP271&lt;=0,"",IF(BY271="Aussen","Aussenlager",IF(BY271="-","Nicht im Lift",IF(AU271&gt;=1,"Lift",IF(AU271&lt;=0,"Aussenlager","teilweise")))))</f>
        <v>Lift</v>
      </c>
      <c r="BF271" s="55" t="str">
        <f aca="false">IF(AX271&lt;=0,"",IF(BY271="Aussen","Aussenlager",IF(BY271="-","Nicht im Lift",IF(BC271&gt;=1,"Lift",IF(BC271&lt;=0,"Aussenlager","teilweise")))))</f>
        <v>Lift</v>
      </c>
      <c r="BG271" s="55" t="str">
        <f aca="false">IF(A271="","",IF(BP271=1,"Neu; ","")&amp;IF(AND(BP271=0,BK271&lt;0),"negativer Bestand (Export "&amp;BK271&amp;"); ","")&amp;IF(J271&lt;=0,"Kein Verbrauch; ","")&amp;IF(CH271&gt;0,"Lift "&amp;W271&amp;" lt. Liftbericht (Fach "&amp;X271&amp;" Stk); ",IF(BU271=1,"Gebinde geschätzt ("&amp;T271&amp;"); ",IF(BT271=1,"Lose – Tablare geschätzt; ","")))&amp;IF(H271&gt;AR271,"Überbestand "&amp;ROUND(H271-AR271,0)&amp;" Stk / CHF "&amp;ROUND((H271-AR271)*G271,0)&amp;"; ","")&amp;IF(AND(CA271=1,CB271&lt;CC271),"MAX &lt; MB+LG; ","")&amp;IF(AND(CG271&gt;0,CF271*10&gt;CG271),"zu hoch für Tablar; ","")&amp;IF(AND(BP271=0,OR(CA271=1,AA271&lt;&gt;"",U271&lt;&gt;"",V271&lt;&gt;"",AB271&lt;&gt;"")),"manuell übersteuert; ","")&amp;IF(AND(BT271=0,R271=0),"Gebinde unbekannt / Stellmass fehlt; ","")&amp;IF(AND(BT271=0,N(V271)&lt;=0,N(Q271)&lt;=0),"Menge pro Gebinde fehlt (Ist = 1 Gebinde); ","")&amp;BO271)</f>
        <v/>
      </c>
      <c r="BH271" s="55"/>
      <c r="BI271" s="55"/>
      <c r="BJ271" s="62"/>
      <c r="BK271" s="57" t="n">
        <v>4</v>
      </c>
      <c r="BL271" s="57" t="n">
        <v>0</v>
      </c>
      <c r="BM271" s="56" t="n">
        <v>401.4</v>
      </c>
      <c r="BN271" s="57" t="n">
        <v>6</v>
      </c>
      <c r="BO271" s="55"/>
      <c r="BP271" s="60" t="n">
        <v>0</v>
      </c>
      <c r="BQ271" s="60" t="n">
        <v>271</v>
      </c>
      <c r="BR271" s="55" t="str">
        <f aca="false">IF(U271&lt;&gt;"",UPPER(TRIM(U271)),IF(BU271=1,UPPER(VLOOKUP(T271,Parameter!$I$27:$K$29,2,0)),IF(P271="","LOSE",P271)))</f>
        <v>S32</v>
      </c>
      <c r="BS271" s="57" t="n">
        <f aca="false">IF(BR271="LOSE",1,IF(N(V271)&gt;0,V271,IF(BU271=1,MAX(1,N(VLOOKUP(T271,Parameter!$I$27:$K$29,3,0)),H271,N(N271)),IF(N(Q271)&gt;0,Q271,MAX(1,H271)))))</f>
        <v>4</v>
      </c>
      <c r="BT271" s="60" t="n">
        <f aca="false">IF(BR271="LOSE",1,0)</f>
        <v>0</v>
      </c>
      <c r="BU271" s="60" t="n">
        <f aca="false">IF(AND(U271="",OR(P271="",P271="LOSE"),T271&lt;&gt;"",N(S271)&lt;=0,ISNUMBER(MATCH(T271,Parameter!$I$27:$I$29,0))),1,0)</f>
        <v>0</v>
      </c>
      <c r="BV271" s="55" t="str">
        <f aca="false">IF(AND(Parameter!$B$19="Ja",E271&lt;&gt;"",ISNUMBER(MATCH(E271,Parameter!$I$35:$I$52,0))),VLOOKUP(E271,Parameter!$I$35:$J$52,2,0),IFERROR(VLOOKUP(D271,Parameter!$A$35:$C$64,2,0),"Nein"))</f>
        <v>2+3</v>
      </c>
      <c r="BW271" s="59" t="n">
        <f aca="false">IF(BT271=0,0,IF(N(S271)&gt;0,S271,IFERROR(VLOOKUP(D271,Parameter!$A$35:$C$64,3,0)+0,0)))</f>
        <v>0</v>
      </c>
      <c r="BX271" s="55" t="n">
        <f aca="false">IF(AA271&lt;&gt;"",AA271,Z271)</f>
        <v>3</v>
      </c>
      <c r="BY271" s="55" t="str">
        <f aca="false">IF(BX271=1,"L1",IF(OR(BX271=2,BX271=3),"L23",IF(BX271="Aussen","Aussen","-")))</f>
        <v>L23</v>
      </c>
      <c r="BZ271" s="66" t="n">
        <f aca="false">IF(N(AB271)&gt;0,AB271,0)</f>
        <v>0</v>
      </c>
      <c r="CA271" s="60" t="n">
        <f aca="false">IF(ISNUMBER(AE271),1,0)</f>
        <v>0</v>
      </c>
      <c r="CB271" s="57" t="n">
        <f aca="false">N(AE271)</f>
        <v>0</v>
      </c>
      <c r="CC271" s="57" t="n">
        <f aca="false">N(M271)+N(N271)</f>
        <v>5</v>
      </c>
      <c r="CD271" s="57" t="n">
        <f aca="false">ROUNDUP(H271/BS271,0)</f>
        <v>1</v>
      </c>
      <c r="CE271" s="57" t="n">
        <f aca="false">ROUNDUP(CB271/BS271,0)</f>
        <v>0</v>
      </c>
      <c r="CF271" s="60" t="n">
        <f aca="false">IF(BT271=1,0,IFERROR(VLOOKUP(BR271,'Gebinde-Kategorie'!$A$5:$M$45,5,0)+0,0))</f>
        <v>8</v>
      </c>
      <c r="CG271" s="60" t="n">
        <f aca="false">IFERROR(IF(OR(BX271=1,BX271=2,BX271=3),N(INDEX(Parameter!$I$5:$I$7,BX271)),0),0)</f>
        <v>0</v>
      </c>
      <c r="CH271" s="59" t="n">
        <f aca="false">IF(AND(Parameter!$B$21="Ja",ISNUMBER(W271),N(X271)&gt;0),IFERROR(N(INDEX(Parameter!$L$5:$L$7,W271))*INDEX(Parameter!$E$5:$E$7,W271)*X271/SUMIFS($X$7:$X$1843,$W$7:$W$1843,W271),0),0)</f>
        <v>0</v>
      </c>
    </row>
    <row r="272" customFormat="false" ht="15" hidden="false" customHeight="false" outlineLevel="0" collapsed="false">
      <c r="A272" s="55" t="s">
        <v>721</v>
      </c>
      <c r="B272" s="55" t="s">
        <v>722</v>
      </c>
      <c r="C272" s="55" t="s">
        <v>164</v>
      </c>
      <c r="D272" s="55" t="s">
        <v>184</v>
      </c>
      <c r="E272" s="55" t="s">
        <v>185</v>
      </c>
      <c r="F272" s="55" t="s">
        <v>218</v>
      </c>
      <c r="G272" s="56" t="n">
        <v>38.7</v>
      </c>
      <c r="H272" s="57" t="n">
        <f aca="false">MAX(0,IF(AND(Parameter!$B$21="Ja",ISNUMBER(Y272)),Y272,IF(Parameter!$B$20="Jahresanfang 2025 + Export",BL272+BK272,BK272)))</f>
        <v>21</v>
      </c>
      <c r="I272" s="57" t="n">
        <f aca="false">H272*G272</f>
        <v>812.7</v>
      </c>
      <c r="J272" s="57" t="n">
        <f aca="false">BN272*Parameter!$B$18</f>
        <v>13</v>
      </c>
      <c r="K272" s="58" t="n">
        <v>17</v>
      </c>
      <c r="L272" s="59" t="n">
        <v>0.764705882352941</v>
      </c>
      <c r="M272" s="57" t="n">
        <v>1</v>
      </c>
      <c r="N272" s="57" t="n">
        <v>15</v>
      </c>
      <c r="O272" s="60" t="n">
        <v>28</v>
      </c>
      <c r="P272" s="55" t="s">
        <v>421</v>
      </c>
      <c r="Q272" s="57" t="n">
        <v>31</v>
      </c>
      <c r="R272" s="60" t="n">
        <f aca="false">IF(BT272=1,0,IFERROR(VLOOKUP(BR272,'Gebinde-Kategorie'!$A$5:$M$45,13,0)+0,0))</f>
        <v>132</v>
      </c>
      <c r="S272" s="61"/>
      <c r="T272" s="62"/>
      <c r="U272" s="62"/>
      <c r="V272" s="62"/>
      <c r="W272" s="55"/>
      <c r="X272" s="57"/>
      <c r="Y272" s="57"/>
      <c r="Z272" s="55" t="n">
        <f aca="false">IF(A272="","",IF(AND(Parameter!$B$21="Ja",ISNUMBER(W272)),W272,IF(BV272="2+3",IF(ISNUMBER(SEARCH("grosser Artikel",BO272)),2,IFERROR(VLOOKUP(BR272,Parameter!$F$35:$G$64,2,0),2)),IF(OR(BV272="Nein",BV272=""),"-",BV272))))</f>
        <v>3</v>
      </c>
      <c r="AA272" s="62"/>
      <c r="AB272" s="63"/>
      <c r="AC272" s="57" t="n">
        <f aca="false">AR272</f>
        <v>31</v>
      </c>
      <c r="AD272" s="57" t="n">
        <f aca="false">MAX(AR272,H272)</f>
        <v>31</v>
      </c>
      <c r="AE272" s="64"/>
      <c r="AF272" s="57" t="n">
        <f aca="false">IF(LEFT(Cockpit!$C$5,1)="A",H272,IF(CA272=1,CB272,IF(LEFT(Cockpit!$C$5,1)="B",AJ272,MAX(AJ272,H272))))</f>
        <v>21</v>
      </c>
      <c r="AG272" s="57" t="n">
        <f aca="false">IF(BT272=1,0,ROUNDUP(AF272/BS272,0))</f>
        <v>1</v>
      </c>
      <c r="AH272" s="59" t="n">
        <f aca="false">IF(CH272&gt;0,CH272*MAX(1,AF272/X272),IF(BT272=1,IF(AF272&lt;=0,0,BW272*MAX(1,IF(H272&gt;0,AF272/H272,1))),IF(R272&gt;0,AG272/R272,0))/MAX(0.1,N(Parameter!$M$21)))</f>
        <v>0.00757575757575758</v>
      </c>
      <c r="AI272" s="57" t="n">
        <f aca="false">AF272*G272</f>
        <v>812.7</v>
      </c>
      <c r="AJ272" s="57" t="n">
        <f aca="false">ROUNDUP(MAX(J272/IF(BZ272&gt;0,BZ272,MAX(0.1,N(Cockpit!$C$6))),CC272)/BS272,0)*BS272</f>
        <v>31</v>
      </c>
      <c r="AK272" s="58" t="n">
        <f aca="false">IF(AH272&gt;0,J272/AH272,-1)</f>
        <v>1716</v>
      </c>
      <c r="AL272" s="58" t="n">
        <f aca="false">IF(AND(OR(BY272="L1",BY272="L23"),AH272&gt;0),SUMIFS($AH$7:$AH$1843,$BY$7:$BY$1843,BY272,$AK$7:$AK$1843,"&gt;"&amp;AK272)+SUMIFS($AH$7:$AH$1843,$BY$7:$BY$1843,BY272,$AK$7:$AK$1843,AK272,$BQ$7:$BQ$1843,"&lt;="&amp;BQ272),"")</f>
        <v>15.0619995946083</v>
      </c>
      <c r="AM272" s="65" t="n">
        <f aca="false">IF(AL272="",0,MAX(0,MIN(1,(IF(BY272="L1",Parameter!$E$5,Parameter!$E$6+Parameter!$E$7)-(AL272-AH272))/AH272)))</f>
        <v>1</v>
      </c>
      <c r="AN272" s="57" t="n">
        <f aca="false">IF(LEFT(Cockpit!$I$5,1)="A",H272,IF(CA272=1,CB272,IF(LEFT(Cockpit!$I$5,1)="B",AR272,MAX(AR272,H272))))</f>
        <v>31</v>
      </c>
      <c r="AO272" s="57" t="n">
        <f aca="false">IF(BT272=1,0,ROUNDUP(AN272/BS272,0))</f>
        <v>1</v>
      </c>
      <c r="AP272" s="59" t="n">
        <f aca="false">IF(CH272&gt;0,CH272*MAX(1,AN272/X272),IF(BT272=1,IF(AN272&lt;=0,0,BW272*MAX(1,IF(H272&gt;0,AN272/H272,1))),IF(R272&gt;0,AO272/R272,0))/MAX(0.1,N(Parameter!$M$21)))</f>
        <v>0.00757575757575758</v>
      </c>
      <c r="AQ272" s="57" t="n">
        <f aca="false">AN272*G272</f>
        <v>1199.7</v>
      </c>
      <c r="AR272" s="57" t="n">
        <f aca="false">ROUNDUP(MAX(J272/IF(BZ272&gt;0,BZ272,MAX(0.1,N(Cockpit!$I$6))),CC272)/BS272,0)*BS272</f>
        <v>31</v>
      </c>
      <c r="AS272" s="58" t="n">
        <f aca="false">IF(AP272&gt;0,J272/AP272,-1)</f>
        <v>1716</v>
      </c>
      <c r="AT272" s="58" t="n">
        <f aca="false">IF(AND(OR(BY272="L1",BY272="L23"),AP272&gt;0),SUMIFS($AP$7:$AP$1843,$BY$7:$BY$1843,BY272,$AS$7:$AS$1843,"&gt;"&amp;AS272)+SUMIFS($AP$7:$AP$1843,$BY$7:$BY$1843,BY272,$AS$7:$AS$1843,AS272,$BQ$7:$BQ$1843,"&lt;="&amp;BQ272),"")</f>
        <v>19.6777304820783</v>
      </c>
      <c r="AU272" s="65" t="n">
        <f aca="false">IF(AT272="",0,MAX(0,MIN(1,(IF(BY272="L1",Parameter!$E$5,Parameter!$E$6+Parameter!$E$7)-(AT272-AP272))/AP272)))</f>
        <v>1</v>
      </c>
      <c r="AV272" s="57" t="n">
        <f aca="false">IF(LEFT(Cockpit!$O$5,1)="A",H272,IF(CA272=1,CB272,IF(LEFT(Cockpit!$O$5,1)="B",AZ272,MAX(AZ272,H272))))</f>
        <v>31</v>
      </c>
      <c r="AW272" s="57" t="n">
        <f aca="false">IF(BT272=1,0,ROUNDUP(AV272/BS272,0))</f>
        <v>1</v>
      </c>
      <c r="AX272" s="59" t="n">
        <f aca="false">IF(CH272&gt;0,CH272*MAX(1,AV272/X272),IF(BT272=1,IF(AV272&lt;=0,0,BW272*MAX(1,IF(H272&gt;0,AV272/H272,1))),IF(R272&gt;0,AW272/R272,0))/MAX(0.1,N(Parameter!$M$21)))</f>
        <v>0.00757575757575758</v>
      </c>
      <c r="AY272" s="57" t="n">
        <f aca="false">AV272*G272</f>
        <v>1199.7</v>
      </c>
      <c r="AZ272" s="57" t="n">
        <f aca="false">ROUNDUP(MAX(J272/IF(BZ272&gt;0,BZ272,MAX(0.1,N(Cockpit!$O$6))),CC272)/BS272,0)*BS272</f>
        <v>31</v>
      </c>
      <c r="BA272" s="58" t="n">
        <f aca="false">IF(AX272&gt;0,J272/AX272,-1)</f>
        <v>1716</v>
      </c>
      <c r="BB272" s="58" t="n">
        <f aca="false">IF(AND(OR(BY272="L1",BY272="L23"),AX272&gt;0),SUMIFS($AX$7:$AX$1843,$BY$7:$BY$1843,BY272,$BA$7:$BA$1843,"&gt;"&amp;BA272)+SUMIFS($AX$7:$AX$1843,$BY$7:$BY$1843,BY272,$BA$7:$BA$1843,BA272,$BQ$7:$BQ$1843,"&lt;="&amp;BQ272),"")</f>
        <v>18.5396185939664</v>
      </c>
      <c r="BC272" s="65" t="n">
        <f aca="false">IF(BB272="",0,MAX(0,MIN(1,(IF(BY272="L1",Parameter!$E$5,Parameter!$E$6+Parameter!$E$7)-(BB272-AX272))/AX272)))</f>
        <v>1</v>
      </c>
      <c r="BD272" s="55" t="str">
        <f aca="false">IF(AH272&lt;=0,"",IF(BY272="Aussen","Aussenlager",IF(BY272="-","Nicht im Lift",IF(AM272&gt;=1,"Lift",IF(AM272&lt;=0,"Aussenlager","teilweise")))))</f>
        <v>Lift</v>
      </c>
      <c r="BE272" s="55" t="str">
        <f aca="false">IF(AP272&lt;=0,"",IF(BY272="Aussen","Aussenlager",IF(BY272="-","Nicht im Lift",IF(AU272&gt;=1,"Lift",IF(AU272&lt;=0,"Aussenlager","teilweise")))))</f>
        <v>Lift</v>
      </c>
      <c r="BF272" s="55" t="str">
        <f aca="false">IF(AX272&lt;=0,"",IF(BY272="Aussen","Aussenlager",IF(BY272="-","Nicht im Lift",IF(BC272&gt;=1,"Lift",IF(BC272&lt;=0,"Aussenlager","teilweise")))))</f>
        <v>Lift</v>
      </c>
      <c r="BG272" s="55" t="str">
        <f aca="false">IF(A272="","",IF(BP272=1,"Neu; ","")&amp;IF(AND(BP272=0,BK272&lt;0),"negativer Bestand (Export "&amp;BK272&amp;"); ","")&amp;IF(J272&lt;=0,"Kein Verbrauch; ","")&amp;IF(CH272&gt;0,"Lift "&amp;W272&amp;" lt. Liftbericht (Fach "&amp;X272&amp;" Stk); ",IF(BU272=1,"Gebinde geschätzt ("&amp;T272&amp;"); ",IF(BT272=1,"Lose – Tablare geschätzt; ","")))&amp;IF(H272&gt;AR272,"Überbestand "&amp;ROUND(H272-AR272,0)&amp;" Stk / CHF "&amp;ROUND((H272-AR272)*G272,0)&amp;"; ","")&amp;IF(AND(CA272=1,CB272&lt;CC272),"MAX &lt; MB+LG; ","")&amp;IF(AND(CG272&gt;0,CF272*10&gt;CG272),"zu hoch für Tablar; ","")&amp;IF(AND(BP272=0,OR(CA272=1,AA272&lt;&gt;"",U272&lt;&gt;"",V272&lt;&gt;"",AB272&lt;&gt;"")),"manuell übersteuert; ","")&amp;IF(AND(BT272=0,R272=0),"Gebinde unbekannt / Stellmass fehlt; ","")&amp;IF(AND(BT272=0,N(V272)&lt;=0,N(Q272)&lt;=0),"Menge pro Gebinde fehlt (Ist = 1 Gebinde); ","")&amp;BO272)</f>
        <v/>
      </c>
      <c r="BH272" s="55"/>
      <c r="BI272" s="55"/>
      <c r="BJ272" s="62"/>
      <c r="BK272" s="57" t="n">
        <v>10</v>
      </c>
      <c r="BL272" s="57" t="n">
        <v>11</v>
      </c>
      <c r="BM272" s="56" t="n">
        <v>387</v>
      </c>
      <c r="BN272" s="57" t="n">
        <v>13</v>
      </c>
      <c r="BO272" s="55"/>
      <c r="BP272" s="60" t="n">
        <v>0</v>
      </c>
      <c r="BQ272" s="60" t="n">
        <v>272</v>
      </c>
      <c r="BR272" s="55" t="str">
        <f aca="false">IF(U272&lt;&gt;"",UPPER(TRIM(U272)),IF(BU272=1,UPPER(VLOOKUP(T272,Parameter!$I$27:$K$29,2,0)),IF(P272="","LOSE",P272)))</f>
        <v>S32</v>
      </c>
      <c r="BS272" s="57" t="n">
        <f aca="false">IF(BR272="LOSE",1,IF(N(V272)&gt;0,V272,IF(BU272=1,MAX(1,N(VLOOKUP(T272,Parameter!$I$27:$K$29,3,0)),H272,N(N272)),IF(N(Q272)&gt;0,Q272,MAX(1,H272)))))</f>
        <v>31</v>
      </c>
      <c r="BT272" s="60" t="n">
        <f aca="false">IF(BR272="LOSE",1,0)</f>
        <v>0</v>
      </c>
      <c r="BU272" s="60" t="n">
        <f aca="false">IF(AND(U272="",OR(P272="",P272="LOSE"),T272&lt;&gt;"",N(S272)&lt;=0,ISNUMBER(MATCH(T272,Parameter!$I$27:$I$29,0))),1,0)</f>
        <v>0</v>
      </c>
      <c r="BV272" s="55" t="str">
        <f aca="false">IF(AND(Parameter!$B$19="Ja",E272&lt;&gt;"",ISNUMBER(MATCH(E272,Parameter!$I$35:$I$52,0))),VLOOKUP(E272,Parameter!$I$35:$J$52,2,0),IFERROR(VLOOKUP(D272,Parameter!$A$35:$C$64,2,0),"Nein"))</f>
        <v>2+3</v>
      </c>
      <c r="BW272" s="59" t="n">
        <f aca="false">IF(BT272=0,0,IF(N(S272)&gt;0,S272,IFERROR(VLOOKUP(D272,Parameter!$A$35:$C$64,3,0)+0,0)))</f>
        <v>0</v>
      </c>
      <c r="BX272" s="55" t="n">
        <f aca="false">IF(AA272&lt;&gt;"",AA272,Z272)</f>
        <v>3</v>
      </c>
      <c r="BY272" s="55" t="str">
        <f aca="false">IF(BX272=1,"L1",IF(OR(BX272=2,BX272=3),"L23",IF(BX272="Aussen","Aussen","-")))</f>
        <v>L23</v>
      </c>
      <c r="BZ272" s="66" t="n">
        <f aca="false">IF(N(AB272)&gt;0,AB272,0)</f>
        <v>0</v>
      </c>
      <c r="CA272" s="60" t="n">
        <f aca="false">IF(ISNUMBER(AE272),1,0)</f>
        <v>0</v>
      </c>
      <c r="CB272" s="57" t="n">
        <f aca="false">N(AE272)</f>
        <v>0</v>
      </c>
      <c r="CC272" s="57" t="n">
        <f aca="false">N(M272)+N(N272)</f>
        <v>16</v>
      </c>
      <c r="CD272" s="57" t="n">
        <f aca="false">ROUNDUP(H272/BS272,0)</f>
        <v>1</v>
      </c>
      <c r="CE272" s="57" t="n">
        <f aca="false">ROUNDUP(CB272/BS272,0)</f>
        <v>0</v>
      </c>
      <c r="CF272" s="60" t="n">
        <f aca="false">IF(BT272=1,0,IFERROR(VLOOKUP(BR272,'Gebinde-Kategorie'!$A$5:$M$45,5,0)+0,0))</f>
        <v>8</v>
      </c>
      <c r="CG272" s="60" t="n">
        <f aca="false">IFERROR(IF(OR(BX272=1,BX272=2,BX272=3),N(INDEX(Parameter!$I$5:$I$7,BX272)),0),0)</f>
        <v>0</v>
      </c>
      <c r="CH272" s="59" t="n">
        <f aca="false">IF(AND(Parameter!$B$21="Ja",ISNUMBER(W272),N(X272)&gt;0),IFERROR(N(INDEX(Parameter!$L$5:$L$7,W272))*INDEX(Parameter!$E$5:$E$7,W272)*X272/SUMIFS($X$7:$X$1843,$W$7:$W$1843,W272),0),0)</f>
        <v>0</v>
      </c>
    </row>
    <row r="273" customFormat="false" ht="15" hidden="false" customHeight="false" outlineLevel="0" collapsed="false">
      <c r="A273" s="55" t="s">
        <v>723</v>
      </c>
      <c r="B273" s="55" t="s">
        <v>724</v>
      </c>
      <c r="C273" s="55" t="s">
        <v>164</v>
      </c>
      <c r="D273" s="55" t="s">
        <v>184</v>
      </c>
      <c r="E273" s="55" t="s">
        <v>185</v>
      </c>
      <c r="F273" s="55" t="s">
        <v>218</v>
      </c>
      <c r="G273" s="56" t="n">
        <v>9.25</v>
      </c>
      <c r="H273" s="57" t="n">
        <f aca="false">MAX(0,IF(AND(Parameter!$B$21="Ja",ISNUMBER(Y273)),Y273,IF(Parameter!$B$20="Jahresanfang 2025 + Export",BL273+BK273,BK273)))</f>
        <v>53</v>
      </c>
      <c r="I273" s="57" t="n">
        <f aca="false">H273*G273</f>
        <v>490.25</v>
      </c>
      <c r="J273" s="57" t="n">
        <f aca="false">BN273*Parameter!$B$18</f>
        <v>8</v>
      </c>
      <c r="K273" s="58" t="n">
        <v>5.5</v>
      </c>
      <c r="L273" s="59" t="n">
        <v>1.45454545454546</v>
      </c>
      <c r="M273" s="57" t="n">
        <v>0</v>
      </c>
      <c r="N273" s="57" t="n">
        <v>10</v>
      </c>
      <c r="O273" s="60" t="n">
        <v>18</v>
      </c>
      <c r="P273" s="55" t="s">
        <v>426</v>
      </c>
      <c r="Q273" s="57" t="n">
        <v>21</v>
      </c>
      <c r="R273" s="60" t="n">
        <f aca="false">IF(BT273=1,0,IFERROR(VLOOKUP(BR273,'Gebinde-Kategorie'!$A$5:$M$45,13,0)+0,0))</f>
        <v>198</v>
      </c>
      <c r="S273" s="61"/>
      <c r="T273" s="62"/>
      <c r="U273" s="62"/>
      <c r="V273" s="62"/>
      <c r="W273" s="55"/>
      <c r="X273" s="57"/>
      <c r="Y273" s="57"/>
      <c r="Z273" s="55" t="n">
        <f aca="false">IF(A273="","",IF(AND(Parameter!$B$21="Ja",ISNUMBER(W273)),W273,IF(BV273="2+3",IF(ISNUMBER(SEARCH("grosser Artikel",BO273)),2,IFERROR(VLOOKUP(BR273,Parameter!$F$35:$G$64,2,0),2)),IF(OR(BV273="Nein",BV273=""),"-",BV273))))</f>
        <v>3</v>
      </c>
      <c r="AA273" s="62"/>
      <c r="AB273" s="63"/>
      <c r="AC273" s="57" t="n">
        <f aca="false">AR273</f>
        <v>21</v>
      </c>
      <c r="AD273" s="57" t="n">
        <f aca="false">MAX(AR273,H273)</f>
        <v>53</v>
      </c>
      <c r="AE273" s="64"/>
      <c r="AF273" s="57" t="n">
        <f aca="false">IF(LEFT(Cockpit!$C$5,1)="A",H273,IF(CA273=1,CB273,IF(LEFT(Cockpit!$C$5,1)="B",AJ273,MAX(AJ273,H273))))</f>
        <v>53</v>
      </c>
      <c r="AG273" s="57" t="n">
        <f aca="false">IF(BT273=1,0,ROUNDUP(AF273/BS273,0))</f>
        <v>3</v>
      </c>
      <c r="AH273" s="59" t="n">
        <f aca="false">IF(CH273&gt;0,CH273*MAX(1,AF273/X273),IF(BT273=1,IF(AF273&lt;=0,0,BW273*MAX(1,IF(H273&gt;0,AF273/H273,1))),IF(R273&gt;0,AG273/R273,0))/MAX(0.1,N(Parameter!$M$21)))</f>
        <v>0.0151515151515152</v>
      </c>
      <c r="AI273" s="57" t="n">
        <f aca="false">AF273*G273</f>
        <v>490.25</v>
      </c>
      <c r="AJ273" s="57" t="n">
        <f aca="false">ROUNDUP(MAX(J273/IF(BZ273&gt;0,BZ273,MAX(0.1,N(Cockpit!$C$6))),CC273)/BS273,0)*BS273</f>
        <v>21</v>
      </c>
      <c r="AK273" s="58" t="n">
        <f aca="false">IF(AH273&gt;0,J273/AH273,-1)</f>
        <v>528</v>
      </c>
      <c r="AL273" s="58" t="n">
        <f aca="false">IF(AND(OR(BY273="L1",BY273="L23"),AH273&gt;0),SUMIFS($AH$7:$AH$1843,$BY$7:$BY$1843,BY273,$AK$7:$AK$1843,"&gt;"&amp;AK273)+SUMIFS($AH$7:$AH$1843,$BY$7:$BY$1843,BY273,$AK$7:$AK$1843,AK273,$BQ$7:$BQ$1843,"&lt;="&amp;BQ273),"")</f>
        <v>23.7086247086247</v>
      </c>
      <c r="AM273" s="65" t="n">
        <f aca="false">IF(AL273="",0,MAX(0,MIN(1,(IF(BY273="L1",Parameter!$E$5,Parameter!$E$6+Parameter!$E$7)-(AL273-AH273))/AH273)))</f>
        <v>1</v>
      </c>
      <c r="AN273" s="57" t="n">
        <f aca="false">IF(LEFT(Cockpit!$I$5,1)="A",H273,IF(CA273=1,CB273,IF(LEFT(Cockpit!$I$5,1)="B",AR273,MAX(AR273,H273))))</f>
        <v>53</v>
      </c>
      <c r="AO273" s="57" t="n">
        <f aca="false">IF(BT273=1,0,ROUNDUP(AN273/BS273,0))</f>
        <v>3</v>
      </c>
      <c r="AP273" s="59" t="n">
        <f aca="false">IF(CH273&gt;0,CH273*MAX(1,AN273/X273),IF(BT273=1,IF(AN273&lt;=0,0,BW273*MAX(1,IF(H273&gt;0,AN273/H273,1))),IF(R273&gt;0,AO273/R273,0))/MAX(0.1,N(Parameter!$M$21)))</f>
        <v>0.0151515151515152</v>
      </c>
      <c r="AQ273" s="57" t="n">
        <f aca="false">AN273*G273</f>
        <v>490.25</v>
      </c>
      <c r="AR273" s="57" t="n">
        <f aca="false">ROUNDUP(MAX(J273/IF(BZ273&gt;0,BZ273,MAX(0.1,N(Cockpit!$I$6))),CC273)/BS273,0)*BS273</f>
        <v>21</v>
      </c>
      <c r="AS273" s="58" t="n">
        <f aca="false">IF(AP273&gt;0,J273/AP273,-1)</f>
        <v>528</v>
      </c>
      <c r="AT273" s="58" t="n">
        <f aca="false">IF(AND(OR(BY273="L1",BY273="L23"),AP273&gt;0),SUMIFS($AP$7:$AP$1843,$BY$7:$BY$1843,BY273,$AS$7:$AS$1843,"&gt;"&amp;AS273)+SUMIFS($AP$7:$AP$1843,$BY$7:$BY$1843,BY273,$AS$7:$AS$1843,AS273,$BQ$7:$BQ$1843,"&lt;="&amp;BQ273),"")</f>
        <v>32.4574507617986</v>
      </c>
      <c r="AU273" s="65" t="n">
        <f aca="false">IF(AT273="",0,MAX(0,MIN(1,(IF(BY273="L1",Parameter!$E$5,Parameter!$E$6+Parameter!$E$7)-(AT273-AP273))/AP273)))</f>
        <v>1</v>
      </c>
      <c r="AV273" s="57" t="n">
        <f aca="false">IF(LEFT(Cockpit!$O$5,1)="A",H273,IF(CA273=1,CB273,IF(LEFT(Cockpit!$O$5,1)="B",AZ273,MAX(AZ273,H273))))</f>
        <v>53</v>
      </c>
      <c r="AW273" s="57" t="n">
        <f aca="false">IF(BT273=1,0,ROUNDUP(AV273/BS273,0))</f>
        <v>3</v>
      </c>
      <c r="AX273" s="59" t="n">
        <f aca="false">IF(CH273&gt;0,CH273*MAX(1,AV273/X273),IF(BT273=1,IF(AV273&lt;=0,0,BW273*MAX(1,IF(H273&gt;0,AV273/H273,1))),IF(R273&gt;0,AW273/R273,0))/MAX(0.1,N(Parameter!$M$21)))</f>
        <v>0.0151515151515152</v>
      </c>
      <c r="AY273" s="57" t="n">
        <f aca="false">AV273*G273</f>
        <v>490.25</v>
      </c>
      <c r="AZ273" s="57" t="n">
        <f aca="false">ROUNDUP(MAX(J273/IF(BZ273&gt;0,BZ273,MAX(0.1,N(Cockpit!$O$6))),CC273)/BS273,0)*BS273</f>
        <v>21</v>
      </c>
      <c r="BA273" s="58" t="n">
        <f aca="false">IF(AX273&gt;0,J273/AX273,-1)</f>
        <v>528</v>
      </c>
      <c r="BB273" s="58" t="n">
        <f aca="false">IF(AND(OR(BY273="L1",BY273="L23"),AX273&gt;0),SUMIFS($AX$7:$AX$1843,$BY$7:$BY$1843,BY273,$BA$7:$BA$1843,"&gt;"&amp;BA273)+SUMIFS($AX$7:$AX$1843,$BY$7:$BY$1843,BY273,$BA$7:$BA$1843,BA273,$BQ$7:$BQ$1843,"&lt;="&amp;BQ273),"")</f>
        <v>30.0244670788149</v>
      </c>
      <c r="BC273" s="65" t="n">
        <f aca="false">IF(BB273="",0,MAX(0,MIN(1,(IF(BY273="L1",Parameter!$E$5,Parameter!$E$6+Parameter!$E$7)-(BB273-AX273))/AX273)))</f>
        <v>1</v>
      </c>
      <c r="BD273" s="55" t="str">
        <f aca="false">IF(AH273&lt;=0,"",IF(BY273="Aussen","Aussenlager",IF(BY273="-","Nicht im Lift",IF(AM273&gt;=1,"Lift",IF(AM273&lt;=0,"Aussenlager","teilweise")))))</f>
        <v>Lift</v>
      </c>
      <c r="BE273" s="55" t="str">
        <f aca="false">IF(AP273&lt;=0,"",IF(BY273="Aussen","Aussenlager",IF(BY273="-","Nicht im Lift",IF(AU273&gt;=1,"Lift",IF(AU273&lt;=0,"Aussenlager","teilweise")))))</f>
        <v>Lift</v>
      </c>
      <c r="BF273" s="55" t="str">
        <f aca="false">IF(AX273&lt;=0,"",IF(BY273="Aussen","Aussenlager",IF(BY273="-","Nicht im Lift",IF(BC273&gt;=1,"Lift",IF(BC273&lt;=0,"Aussenlager","teilweise")))))</f>
        <v>Lift</v>
      </c>
      <c r="BG273" s="55" t="str">
        <f aca="false">IF(A273="","",IF(BP273=1,"Neu; ","")&amp;IF(AND(BP273=0,BK273&lt;0),"negativer Bestand (Export "&amp;BK273&amp;"); ","")&amp;IF(J273&lt;=0,"Kein Verbrauch; ","")&amp;IF(CH273&gt;0,"Lift "&amp;W273&amp;" lt. Liftbericht (Fach "&amp;X273&amp;" Stk); ",IF(BU273=1,"Gebinde geschätzt ("&amp;T273&amp;"); ",IF(BT273=1,"Lose – Tablare geschätzt; ","")))&amp;IF(H273&gt;AR273,"Überbestand "&amp;ROUND(H273-AR273,0)&amp;" Stk / CHF "&amp;ROUND((H273-AR273)*G273,0)&amp;"; ","")&amp;IF(AND(CA273=1,CB273&lt;CC273),"MAX &lt; MB+LG; ","")&amp;IF(AND(CG273&gt;0,CF273*10&gt;CG273),"zu hoch für Tablar; ","")&amp;IF(AND(BP273=0,OR(CA273=1,AA273&lt;&gt;"",U273&lt;&gt;"",V273&lt;&gt;"",AB273&lt;&gt;"")),"manuell übersteuert; ","")&amp;IF(AND(BT273=0,R273=0),"Gebinde unbekannt / Stellmass fehlt; ","")&amp;IF(AND(BT273=0,N(V273)&lt;=0,N(Q273)&lt;=0),"Menge pro Gebinde fehlt (Ist = 1 Gebinde); ","")&amp;BO273)</f>
        <v>Überbestand 32 Stk / CHF 296; </v>
      </c>
      <c r="BH273" s="55"/>
      <c r="BI273" s="55"/>
      <c r="BJ273" s="62"/>
      <c r="BK273" s="57" t="n">
        <v>44</v>
      </c>
      <c r="BL273" s="57" t="n">
        <v>9</v>
      </c>
      <c r="BM273" s="56" t="n">
        <v>378.38</v>
      </c>
      <c r="BN273" s="57" t="n">
        <v>8</v>
      </c>
      <c r="BO273" s="55"/>
      <c r="BP273" s="60" t="n">
        <v>0</v>
      </c>
      <c r="BQ273" s="60" t="n">
        <v>273</v>
      </c>
      <c r="BR273" s="55" t="str">
        <f aca="false">IF(U273&lt;&gt;"",UPPER(TRIM(U273)),IF(BU273=1,UPPER(VLOOKUP(T273,Parameter!$I$27:$K$29,2,0)),IF(P273="","LOSE",P273)))</f>
        <v>S22</v>
      </c>
      <c r="BS273" s="57" t="n">
        <f aca="false">IF(BR273="LOSE",1,IF(N(V273)&gt;0,V273,IF(BU273=1,MAX(1,N(VLOOKUP(T273,Parameter!$I$27:$K$29,3,0)),H273,N(N273)),IF(N(Q273)&gt;0,Q273,MAX(1,H273)))))</f>
        <v>21</v>
      </c>
      <c r="BT273" s="60" t="n">
        <f aca="false">IF(BR273="LOSE",1,0)</f>
        <v>0</v>
      </c>
      <c r="BU273" s="60" t="n">
        <f aca="false">IF(AND(U273="",OR(P273="",P273="LOSE"),T273&lt;&gt;"",N(S273)&lt;=0,ISNUMBER(MATCH(T273,Parameter!$I$27:$I$29,0))),1,0)</f>
        <v>0</v>
      </c>
      <c r="BV273" s="55" t="str">
        <f aca="false">IF(AND(Parameter!$B$19="Ja",E273&lt;&gt;"",ISNUMBER(MATCH(E273,Parameter!$I$35:$I$52,0))),VLOOKUP(E273,Parameter!$I$35:$J$52,2,0),IFERROR(VLOOKUP(D273,Parameter!$A$35:$C$64,2,0),"Nein"))</f>
        <v>2+3</v>
      </c>
      <c r="BW273" s="59" t="n">
        <f aca="false">IF(BT273=0,0,IF(N(S273)&gt;0,S273,IFERROR(VLOOKUP(D273,Parameter!$A$35:$C$64,3,0)+0,0)))</f>
        <v>0</v>
      </c>
      <c r="BX273" s="55" t="n">
        <f aca="false">IF(AA273&lt;&gt;"",AA273,Z273)</f>
        <v>3</v>
      </c>
      <c r="BY273" s="55" t="str">
        <f aca="false">IF(BX273=1,"L1",IF(OR(BX273=2,BX273=3),"L23",IF(BX273="Aussen","Aussen","-")))</f>
        <v>L23</v>
      </c>
      <c r="BZ273" s="66" t="n">
        <f aca="false">IF(N(AB273)&gt;0,AB273,0)</f>
        <v>0</v>
      </c>
      <c r="CA273" s="60" t="n">
        <f aca="false">IF(ISNUMBER(AE273),1,0)</f>
        <v>0</v>
      </c>
      <c r="CB273" s="57" t="n">
        <f aca="false">N(AE273)</f>
        <v>0</v>
      </c>
      <c r="CC273" s="57" t="n">
        <f aca="false">N(M273)+N(N273)</f>
        <v>10</v>
      </c>
      <c r="CD273" s="57" t="n">
        <f aca="false">ROUNDUP(H273/BS273,0)</f>
        <v>3</v>
      </c>
      <c r="CE273" s="57" t="n">
        <f aca="false">ROUNDUP(CB273/BS273,0)</f>
        <v>0</v>
      </c>
      <c r="CF273" s="60" t="n">
        <f aca="false">IF(BT273=1,0,IFERROR(VLOOKUP(BR273,'Gebinde-Kategorie'!$A$5:$M$45,5,0)+0,0))</f>
        <v>8</v>
      </c>
      <c r="CG273" s="60" t="n">
        <f aca="false">IFERROR(IF(OR(BX273=1,BX273=2,BX273=3),N(INDEX(Parameter!$I$5:$I$7,BX273)),0),0)</f>
        <v>0</v>
      </c>
      <c r="CH273" s="59" t="n">
        <f aca="false">IF(AND(Parameter!$B$21="Ja",ISNUMBER(W273),N(X273)&gt;0),IFERROR(N(INDEX(Parameter!$L$5:$L$7,W273))*INDEX(Parameter!$E$5:$E$7,W273)*X273/SUMIFS($X$7:$X$1843,$W$7:$W$1843,W273),0),0)</f>
        <v>0</v>
      </c>
    </row>
    <row r="274" customFormat="false" ht="15" hidden="false" customHeight="false" outlineLevel="0" collapsed="false">
      <c r="A274" s="55" t="s">
        <v>725</v>
      </c>
      <c r="B274" s="55" t="s">
        <v>726</v>
      </c>
      <c r="C274" s="55" t="s">
        <v>164</v>
      </c>
      <c r="D274" s="55" t="s">
        <v>184</v>
      </c>
      <c r="E274" s="55" t="s">
        <v>185</v>
      </c>
      <c r="F274" s="55" t="s">
        <v>218</v>
      </c>
      <c r="G274" s="56" t="n">
        <v>15.2</v>
      </c>
      <c r="H274" s="57" t="n">
        <f aca="false">MAX(0,IF(AND(Parameter!$B$21="Ja",ISNUMBER(Y274)),Y274,IF(Parameter!$B$20="Jahresanfang 2025 + Export",BL274+BK274,BK274)))</f>
        <v>45</v>
      </c>
      <c r="I274" s="57" t="n">
        <f aca="false">H274*G274</f>
        <v>684</v>
      </c>
      <c r="J274" s="57" t="n">
        <f aca="false">BN274*Parameter!$B$18</f>
        <v>48</v>
      </c>
      <c r="K274" s="58" t="n">
        <v>17.5</v>
      </c>
      <c r="L274" s="59" t="n">
        <v>2.74285714285714</v>
      </c>
      <c r="M274" s="57" t="n">
        <v>1</v>
      </c>
      <c r="N274" s="57" t="n">
        <v>50</v>
      </c>
      <c r="O274" s="60" t="n">
        <v>14</v>
      </c>
      <c r="P274" s="55" t="s">
        <v>328</v>
      </c>
      <c r="Q274" s="57" t="n">
        <v>43</v>
      </c>
      <c r="R274" s="60" t="n">
        <f aca="false">IF(BT274=1,0,IFERROR(VLOOKUP(BR274,'Gebinde-Kategorie'!$A$5:$M$45,13,0)+0,0))</f>
        <v>52</v>
      </c>
      <c r="S274" s="61"/>
      <c r="T274" s="62"/>
      <c r="U274" s="62"/>
      <c r="V274" s="62"/>
      <c r="W274" s="55"/>
      <c r="X274" s="57"/>
      <c r="Y274" s="57"/>
      <c r="Z274" s="55" t="n">
        <f aca="false">IF(A274="","",IF(AND(Parameter!$B$21="Ja",ISNUMBER(W274)),W274,IF(BV274="2+3",IF(ISNUMBER(SEARCH("grosser Artikel",BO274)),2,IFERROR(VLOOKUP(BR274,Parameter!$F$35:$G$64,2,0),2)),IF(OR(BV274="Nein",BV274=""),"-",BV274))))</f>
        <v>3</v>
      </c>
      <c r="AA274" s="62"/>
      <c r="AB274" s="63"/>
      <c r="AC274" s="57" t="n">
        <f aca="false">AR274</f>
        <v>86</v>
      </c>
      <c r="AD274" s="57" t="n">
        <f aca="false">MAX(AR274,H274)</f>
        <v>86</v>
      </c>
      <c r="AE274" s="64"/>
      <c r="AF274" s="57" t="n">
        <f aca="false">IF(LEFT(Cockpit!$C$5,1)="A",H274,IF(CA274=1,CB274,IF(LEFT(Cockpit!$C$5,1)="B",AJ274,MAX(AJ274,H274))))</f>
        <v>45</v>
      </c>
      <c r="AG274" s="57" t="n">
        <f aca="false">IF(BT274=1,0,ROUNDUP(AF274/BS274,0))</f>
        <v>2</v>
      </c>
      <c r="AH274" s="59" t="n">
        <f aca="false">IF(CH274&gt;0,CH274*MAX(1,AF274/X274),IF(BT274=1,IF(AF274&lt;=0,0,BW274*MAX(1,IF(H274&gt;0,AF274/H274,1))),IF(R274&gt;0,AG274/R274,0))/MAX(0.1,N(Parameter!$M$21)))</f>
        <v>0.0384615384615385</v>
      </c>
      <c r="AI274" s="57" t="n">
        <f aca="false">AF274*G274</f>
        <v>684</v>
      </c>
      <c r="AJ274" s="57" t="n">
        <f aca="false">ROUNDUP(MAX(J274/IF(BZ274&gt;0,BZ274,MAX(0.1,N(Cockpit!$C$6))),CC274)/BS274,0)*BS274</f>
        <v>86</v>
      </c>
      <c r="AK274" s="58" t="n">
        <f aca="false">IF(AH274&gt;0,J274/AH274,-1)</f>
        <v>1248</v>
      </c>
      <c r="AL274" s="58" t="n">
        <f aca="false">IF(AND(OR(BY274="L1",BY274="L23"),AH274&gt;0),SUMIFS($AH$7:$AH$1843,$BY$7:$BY$1843,BY274,$AK$7:$AK$1843,"&gt;"&amp;AK274)+SUMIFS($AH$7:$AH$1843,$BY$7:$BY$1843,BY274,$AK$7:$AK$1843,AK274,$BQ$7:$BQ$1843,"&lt;="&amp;BQ274),"")</f>
        <v>16.4869430086821</v>
      </c>
      <c r="AM274" s="65" t="n">
        <f aca="false">IF(AL274="",0,MAX(0,MIN(1,(IF(BY274="L1",Parameter!$E$5,Parameter!$E$6+Parameter!$E$7)-(AL274-AH274))/AH274)))</f>
        <v>1</v>
      </c>
      <c r="AN274" s="57" t="n">
        <f aca="false">IF(LEFT(Cockpit!$I$5,1)="A",H274,IF(CA274=1,CB274,IF(LEFT(Cockpit!$I$5,1)="B",AR274,MAX(AR274,H274))))</f>
        <v>86</v>
      </c>
      <c r="AO274" s="57" t="n">
        <f aca="false">IF(BT274=1,0,ROUNDUP(AN274/BS274,0))</f>
        <v>2</v>
      </c>
      <c r="AP274" s="59" t="n">
        <f aca="false">IF(CH274&gt;0,CH274*MAX(1,AN274/X274),IF(BT274=1,IF(AN274&lt;=0,0,BW274*MAX(1,IF(H274&gt;0,AN274/H274,1))),IF(R274&gt;0,AO274/R274,0))/MAX(0.1,N(Parameter!$M$21)))</f>
        <v>0.0384615384615385</v>
      </c>
      <c r="AQ274" s="57" t="n">
        <f aca="false">AN274*G274</f>
        <v>1307.2</v>
      </c>
      <c r="AR274" s="57" t="n">
        <f aca="false">ROUNDUP(MAX(J274/IF(BZ274&gt;0,BZ274,MAX(0.1,N(Cockpit!$I$6))),CC274)/BS274,0)*BS274</f>
        <v>86</v>
      </c>
      <c r="AS274" s="58" t="n">
        <f aca="false">IF(AP274&gt;0,J274/AP274,-1)</f>
        <v>1248</v>
      </c>
      <c r="AT274" s="58" t="n">
        <f aca="false">IF(AND(OR(BY274="L1",BY274="L23"),AP274&gt;0),SUMIFS($AP$7:$AP$1843,$BY$7:$BY$1843,BY274,$AS$7:$AS$1843,"&gt;"&amp;AS274)+SUMIFS($AP$7:$AP$1843,$BY$7:$BY$1843,BY274,$AS$7:$AS$1843,AS274,$BQ$7:$BQ$1843,"&lt;="&amp;BQ274),"")</f>
        <v>22.0962045201176</v>
      </c>
      <c r="AU274" s="65" t="n">
        <f aca="false">IF(AT274="",0,MAX(0,MIN(1,(IF(BY274="L1",Parameter!$E$5,Parameter!$E$6+Parameter!$E$7)-(AT274-AP274))/AP274)))</f>
        <v>1</v>
      </c>
      <c r="AV274" s="57" t="n">
        <f aca="false">IF(LEFT(Cockpit!$O$5,1)="A",H274,IF(CA274=1,CB274,IF(LEFT(Cockpit!$O$5,1)="B",AZ274,MAX(AZ274,H274))))</f>
        <v>86</v>
      </c>
      <c r="AW274" s="57" t="n">
        <f aca="false">IF(BT274=1,0,ROUNDUP(AV274/BS274,0))</f>
        <v>2</v>
      </c>
      <c r="AX274" s="59" t="n">
        <f aca="false">IF(CH274&gt;0,CH274*MAX(1,AV274/X274),IF(BT274=1,IF(AV274&lt;=0,0,BW274*MAX(1,IF(H274&gt;0,AV274/H274,1))),IF(R274&gt;0,AW274/R274,0))/MAX(0.1,N(Parameter!$M$21)))</f>
        <v>0.0384615384615385</v>
      </c>
      <c r="AY274" s="57" t="n">
        <f aca="false">AV274*G274</f>
        <v>1307.2</v>
      </c>
      <c r="AZ274" s="57" t="n">
        <f aca="false">ROUNDUP(MAX(J274/IF(BZ274&gt;0,BZ274,MAX(0.1,N(Cockpit!$O$6))),CC274)/BS274,0)*BS274</f>
        <v>86</v>
      </c>
      <c r="BA274" s="58" t="n">
        <f aca="false">IF(AX274&gt;0,J274/AX274,-1)</f>
        <v>1248</v>
      </c>
      <c r="BB274" s="58" t="n">
        <f aca="false">IF(AND(OR(BY274="L1",BY274="L23"),AX274&gt;0),SUMIFS($AX$7:$AX$1843,$BY$7:$BY$1843,BY274,$BA$7:$BA$1843,"&gt;"&amp;BA274)+SUMIFS($AX$7:$AX$1843,$BY$7:$BY$1843,BY274,$BA$7:$BA$1843,BA274,$BQ$7:$BQ$1843,"&lt;="&amp;BQ274),"")</f>
        <v>20.791425965339</v>
      </c>
      <c r="BC274" s="65" t="n">
        <f aca="false">IF(BB274="",0,MAX(0,MIN(1,(IF(BY274="L1",Parameter!$E$5,Parameter!$E$6+Parameter!$E$7)-(BB274-AX274))/AX274)))</f>
        <v>1</v>
      </c>
      <c r="BD274" s="55" t="str">
        <f aca="false">IF(AH274&lt;=0,"",IF(BY274="Aussen","Aussenlager",IF(BY274="-","Nicht im Lift",IF(AM274&gt;=1,"Lift",IF(AM274&lt;=0,"Aussenlager","teilweise")))))</f>
        <v>Lift</v>
      </c>
      <c r="BE274" s="55" t="str">
        <f aca="false">IF(AP274&lt;=0,"",IF(BY274="Aussen","Aussenlager",IF(BY274="-","Nicht im Lift",IF(AU274&gt;=1,"Lift",IF(AU274&lt;=0,"Aussenlager","teilweise")))))</f>
        <v>Lift</v>
      </c>
      <c r="BF274" s="55" t="str">
        <f aca="false">IF(AX274&lt;=0,"",IF(BY274="Aussen","Aussenlager",IF(BY274="-","Nicht im Lift",IF(BC274&gt;=1,"Lift",IF(BC274&lt;=0,"Aussenlager","teilweise")))))</f>
        <v>Lift</v>
      </c>
      <c r="BG274" s="55" t="str">
        <f aca="false">IF(A274="","",IF(BP274=1,"Neu; ","")&amp;IF(AND(BP274=0,BK274&lt;0),"negativer Bestand (Export "&amp;BK274&amp;"); ","")&amp;IF(J274&lt;=0,"Kein Verbrauch; ","")&amp;IF(CH274&gt;0,"Lift "&amp;W274&amp;" lt. Liftbericht (Fach "&amp;X274&amp;" Stk); ",IF(BU274=1,"Gebinde geschätzt ("&amp;T274&amp;"); ",IF(BT274=1,"Lose – Tablare geschätzt; ","")))&amp;IF(H274&gt;AR274,"Überbestand "&amp;ROUND(H274-AR274,0)&amp;" Stk / CHF "&amp;ROUND((H274-AR274)*G274,0)&amp;"; ","")&amp;IF(AND(CA274=1,CB274&lt;CC274),"MAX &lt; MB+LG; ","")&amp;IF(AND(CG274&gt;0,CF274*10&gt;CG274),"zu hoch für Tablar; ","")&amp;IF(AND(BP274=0,OR(CA274=1,AA274&lt;&gt;"",U274&lt;&gt;"",V274&lt;&gt;"",AB274&lt;&gt;"")),"manuell übersteuert; ","")&amp;IF(AND(BT274=0,R274=0),"Gebinde unbekannt / Stellmass fehlt; ","")&amp;IF(AND(BT274=0,N(V274)&lt;=0,N(Q274)&lt;=0),"Menge pro Gebinde fehlt (Ist = 1 Gebinde); ","")&amp;BO274)</f>
        <v/>
      </c>
      <c r="BH274" s="55"/>
      <c r="BI274" s="55"/>
      <c r="BJ274" s="62"/>
      <c r="BK274" s="57" t="n">
        <v>26</v>
      </c>
      <c r="BL274" s="57" t="n">
        <v>19</v>
      </c>
      <c r="BM274" s="56" t="n">
        <v>375.06</v>
      </c>
      <c r="BN274" s="57" t="n">
        <v>48</v>
      </c>
      <c r="BO274" s="55"/>
      <c r="BP274" s="60" t="n">
        <v>0</v>
      </c>
      <c r="BQ274" s="60" t="n">
        <v>274</v>
      </c>
      <c r="BR274" s="55" t="str">
        <f aca="false">IF(U274&lt;&gt;"",UPPER(TRIM(U274)),IF(BU274=1,UPPER(VLOOKUP(T274,Parameter!$I$27:$K$29,2,0)),IF(P274="","LOSE",P274)))</f>
        <v>S41</v>
      </c>
      <c r="BS274" s="57" t="n">
        <f aca="false">IF(BR274="LOSE",1,IF(N(V274)&gt;0,V274,IF(BU274=1,MAX(1,N(VLOOKUP(T274,Parameter!$I$27:$K$29,3,0)),H274,N(N274)),IF(N(Q274)&gt;0,Q274,MAX(1,H274)))))</f>
        <v>43</v>
      </c>
      <c r="BT274" s="60" t="n">
        <f aca="false">IF(BR274="LOSE",1,0)</f>
        <v>0</v>
      </c>
      <c r="BU274" s="60" t="n">
        <f aca="false">IF(AND(U274="",OR(P274="",P274="LOSE"),T274&lt;&gt;"",N(S274)&lt;=0,ISNUMBER(MATCH(T274,Parameter!$I$27:$I$29,0))),1,0)</f>
        <v>0</v>
      </c>
      <c r="BV274" s="55" t="str">
        <f aca="false">IF(AND(Parameter!$B$19="Ja",E274&lt;&gt;"",ISNUMBER(MATCH(E274,Parameter!$I$35:$I$52,0))),VLOOKUP(E274,Parameter!$I$35:$J$52,2,0),IFERROR(VLOOKUP(D274,Parameter!$A$35:$C$64,2,0),"Nein"))</f>
        <v>2+3</v>
      </c>
      <c r="BW274" s="59" t="n">
        <f aca="false">IF(BT274=0,0,IF(N(S274)&gt;0,S274,IFERROR(VLOOKUP(D274,Parameter!$A$35:$C$64,3,0)+0,0)))</f>
        <v>0</v>
      </c>
      <c r="BX274" s="55" t="n">
        <f aca="false">IF(AA274&lt;&gt;"",AA274,Z274)</f>
        <v>3</v>
      </c>
      <c r="BY274" s="55" t="str">
        <f aca="false">IF(BX274=1,"L1",IF(OR(BX274=2,BX274=3),"L23",IF(BX274="Aussen","Aussen","-")))</f>
        <v>L23</v>
      </c>
      <c r="BZ274" s="66" t="n">
        <f aca="false">IF(N(AB274)&gt;0,AB274,0)</f>
        <v>0</v>
      </c>
      <c r="CA274" s="60" t="n">
        <f aca="false">IF(ISNUMBER(AE274),1,0)</f>
        <v>0</v>
      </c>
      <c r="CB274" s="57" t="n">
        <f aca="false">N(AE274)</f>
        <v>0</v>
      </c>
      <c r="CC274" s="57" t="n">
        <f aca="false">N(M274)+N(N274)</f>
        <v>51</v>
      </c>
      <c r="CD274" s="57" t="n">
        <f aca="false">ROUNDUP(H274/BS274,0)</f>
        <v>2</v>
      </c>
      <c r="CE274" s="57" t="n">
        <f aca="false">ROUNDUP(CB274/BS274,0)</f>
        <v>0</v>
      </c>
      <c r="CF274" s="60" t="n">
        <f aca="false">IF(BT274=1,0,IFERROR(VLOOKUP(BR274,'Gebinde-Kategorie'!$A$5:$M$45,5,0)+0,0))</f>
        <v>11</v>
      </c>
      <c r="CG274" s="60" t="n">
        <f aca="false">IFERROR(IF(OR(BX274=1,BX274=2,BX274=3),N(INDEX(Parameter!$I$5:$I$7,BX274)),0),0)</f>
        <v>0</v>
      </c>
      <c r="CH274" s="59" t="n">
        <f aca="false">IF(AND(Parameter!$B$21="Ja",ISNUMBER(W274),N(X274)&gt;0),IFERROR(N(INDEX(Parameter!$L$5:$L$7,W274))*INDEX(Parameter!$E$5:$E$7,W274)*X274/SUMIFS($X$7:$X$1843,$W$7:$W$1843,W274),0),0)</f>
        <v>0</v>
      </c>
    </row>
    <row r="275" customFormat="false" ht="15" hidden="false" customHeight="false" outlineLevel="0" collapsed="false">
      <c r="A275" s="55" t="s">
        <v>727</v>
      </c>
      <c r="B275" s="55" t="s">
        <v>717</v>
      </c>
      <c r="C275" s="55" t="s">
        <v>164</v>
      </c>
      <c r="D275" s="55" t="s">
        <v>173</v>
      </c>
      <c r="E275" s="55"/>
      <c r="F275" s="55" t="s">
        <v>218</v>
      </c>
      <c r="G275" s="56" t="n">
        <v>74.17</v>
      </c>
      <c r="H275" s="57" t="n">
        <f aca="false">MAX(0,IF(AND(Parameter!$B$21="Ja",ISNUMBER(Y275)),Y275,IF(Parameter!$B$20="Jahresanfang 2025 + Export",BL275+BK275,BK275)))</f>
        <v>11</v>
      </c>
      <c r="I275" s="57" t="n">
        <f aca="false">H275*G275</f>
        <v>815.87</v>
      </c>
      <c r="J275" s="57" t="n">
        <f aca="false">BN275*Parameter!$B$18</f>
        <v>2</v>
      </c>
      <c r="K275" s="58" t="n">
        <v>8.5</v>
      </c>
      <c r="L275" s="59" t="n">
        <v>0.235294117647059</v>
      </c>
      <c r="M275" s="57" t="n">
        <v>0</v>
      </c>
      <c r="N275" s="57" t="n">
        <v>1</v>
      </c>
      <c r="O275" s="60" t="n">
        <v>28</v>
      </c>
      <c r="P275" s="55" t="s">
        <v>186</v>
      </c>
      <c r="Q275" s="57" t="n">
        <v>12</v>
      </c>
      <c r="R275" s="60" t="n">
        <f aca="false">IF(BT275=1,0,IFERROR(VLOOKUP(BR275,'Gebinde-Kategorie'!$A$5:$M$45,13,0)+0,0))</f>
        <v>12</v>
      </c>
      <c r="S275" s="61"/>
      <c r="T275" s="62"/>
      <c r="U275" s="62"/>
      <c r="V275" s="62"/>
      <c r="W275" s="55"/>
      <c r="X275" s="57"/>
      <c r="Y275" s="57"/>
      <c r="Z275" s="55" t="n">
        <f aca="false">IF(A275="","",IF(AND(Parameter!$B$21="Ja",ISNUMBER(W275)),W275,IF(BV275="2+3",IF(ISNUMBER(SEARCH("grosser Artikel",BO275)),2,IFERROR(VLOOKUP(BR275,Parameter!$F$35:$G$64,2,0),2)),IF(OR(BV275="Nein",BV275=""),"-",BV275))))</f>
        <v>2</v>
      </c>
      <c r="AA275" s="62"/>
      <c r="AB275" s="63"/>
      <c r="AC275" s="57" t="n">
        <f aca="false">AR275</f>
        <v>12</v>
      </c>
      <c r="AD275" s="57" t="n">
        <f aca="false">MAX(AR275,H275)</f>
        <v>12</v>
      </c>
      <c r="AE275" s="64"/>
      <c r="AF275" s="57" t="n">
        <f aca="false">IF(LEFT(Cockpit!$C$5,1)="A",H275,IF(CA275=1,CB275,IF(LEFT(Cockpit!$C$5,1)="B",AJ275,MAX(AJ275,H275))))</f>
        <v>11</v>
      </c>
      <c r="AG275" s="57" t="n">
        <f aca="false">IF(BT275=1,0,ROUNDUP(AF275/BS275,0))</f>
        <v>1</v>
      </c>
      <c r="AH275" s="59" t="n">
        <f aca="false">IF(CH275&gt;0,CH275*MAX(1,AF275/X275),IF(BT275=1,IF(AF275&lt;=0,0,BW275*MAX(1,IF(H275&gt;0,AF275/H275,1))),IF(R275&gt;0,AG275/R275,0))/MAX(0.1,N(Parameter!$M$21)))</f>
        <v>0.0833333333333333</v>
      </c>
      <c r="AI275" s="57" t="n">
        <f aca="false">AF275*G275</f>
        <v>815.87</v>
      </c>
      <c r="AJ275" s="57" t="n">
        <f aca="false">ROUNDUP(MAX(J275/IF(BZ275&gt;0,BZ275,MAX(0.1,N(Cockpit!$C$6))),CC275)/BS275,0)*BS275</f>
        <v>12</v>
      </c>
      <c r="AK275" s="58" t="n">
        <f aca="false">IF(AH275&gt;0,J275/AH275,-1)</f>
        <v>24</v>
      </c>
      <c r="AL275" s="58" t="n">
        <f aca="false">IF(AND(OR(BY275="L1",BY275="L23"),AH275&gt;0),SUMIFS($AH$7:$AH$1843,$BY$7:$BY$1843,BY275,$AK$7:$AK$1843,"&gt;"&amp;AK275)+SUMIFS($AH$7:$AH$1843,$BY$7:$BY$1843,BY275,$AK$7:$AK$1843,AK275,$BQ$7:$BQ$1843,"&lt;="&amp;BQ275),"")</f>
        <v>49.1715144758623</v>
      </c>
      <c r="AM275" s="65" t="n">
        <f aca="false">IF(AL275="",0,MAX(0,MIN(1,(IF(BY275="L1",Parameter!$E$5,Parameter!$E$6+Parameter!$E$7)-(AL275-AH275))/AH275)))</f>
        <v>1</v>
      </c>
      <c r="AN275" s="57" t="n">
        <f aca="false">IF(LEFT(Cockpit!$I$5,1)="A",H275,IF(CA275=1,CB275,IF(LEFT(Cockpit!$I$5,1)="B",AR275,MAX(AR275,H275))))</f>
        <v>12</v>
      </c>
      <c r="AO275" s="57" t="n">
        <f aca="false">IF(BT275=1,0,ROUNDUP(AN275/BS275,0))</f>
        <v>1</v>
      </c>
      <c r="AP275" s="59" t="n">
        <f aca="false">IF(CH275&gt;0,CH275*MAX(1,AN275/X275),IF(BT275=1,IF(AN275&lt;=0,0,BW275*MAX(1,IF(H275&gt;0,AN275/H275,1))),IF(R275&gt;0,AO275/R275,0))/MAX(0.1,N(Parameter!$M$21)))</f>
        <v>0.0833333333333333</v>
      </c>
      <c r="AQ275" s="57" t="n">
        <f aca="false">AN275*G275</f>
        <v>890.04</v>
      </c>
      <c r="AR275" s="57" t="n">
        <f aca="false">ROUNDUP(MAX(J275/IF(BZ275&gt;0,BZ275,MAX(0.1,N(Cockpit!$I$6))),CC275)/BS275,0)*BS275</f>
        <v>12</v>
      </c>
      <c r="AS275" s="58" t="n">
        <f aca="false">IF(AP275&gt;0,J275/AP275,-1)</f>
        <v>24</v>
      </c>
      <c r="AT275" s="58" t="n">
        <f aca="false">IF(AND(OR(BY275="L1",BY275="L23"),AP275&gt;0),SUMIFS($AP$7:$AP$1843,$BY$7:$BY$1843,BY275,$AS$7:$AS$1843,"&gt;"&amp;AS275)+SUMIFS($AP$7:$AP$1843,$BY$7:$BY$1843,BY275,$AS$7:$AS$1843,AS275,$BQ$7:$BQ$1843,"&lt;="&amp;BQ275),"")</f>
        <v>74.3456386608561</v>
      </c>
      <c r="AU275" s="65" t="n">
        <f aca="false">IF(AT275="",0,MAX(0,MIN(1,(IF(BY275="L1",Parameter!$E$5,Parameter!$E$6+Parameter!$E$7)-(AT275-AP275))/AP275)))</f>
        <v>1</v>
      </c>
      <c r="AV275" s="57" t="n">
        <f aca="false">IF(LEFT(Cockpit!$O$5,1)="A",H275,IF(CA275=1,CB275,IF(LEFT(Cockpit!$O$5,1)="B",AZ275,MAX(AZ275,H275))))</f>
        <v>12</v>
      </c>
      <c r="AW275" s="57" t="n">
        <f aca="false">IF(BT275=1,0,ROUNDUP(AV275/BS275,0))</f>
        <v>1</v>
      </c>
      <c r="AX275" s="59" t="n">
        <f aca="false">IF(CH275&gt;0,CH275*MAX(1,AV275/X275),IF(BT275=1,IF(AV275&lt;=0,0,BW275*MAX(1,IF(H275&gt;0,AV275/H275,1))),IF(R275&gt;0,AW275/R275,0))/MAX(0.1,N(Parameter!$M$21)))</f>
        <v>0.0833333333333333</v>
      </c>
      <c r="AY275" s="57" t="n">
        <f aca="false">AV275*G275</f>
        <v>890.04</v>
      </c>
      <c r="AZ275" s="57" t="n">
        <f aca="false">ROUNDUP(MAX(J275/IF(BZ275&gt;0,BZ275,MAX(0.1,N(Cockpit!$O$6))),CC275)/BS275,0)*BS275</f>
        <v>12</v>
      </c>
      <c r="BA275" s="58" t="n">
        <f aca="false">IF(AX275&gt;0,J275/AX275,-1)</f>
        <v>24</v>
      </c>
      <c r="BB275" s="58" t="n">
        <f aca="false">IF(AND(OR(BY275="L1",BY275="L23"),AX275&gt;0),SUMIFS($AX$7:$AX$1843,$BY$7:$BY$1843,BY275,$BA$7:$BA$1843,"&gt;"&amp;BA275)+SUMIFS($AX$7:$AX$1843,$BY$7:$BY$1843,BY275,$BA$7:$BA$1843,BA275,$BQ$7:$BQ$1843,"&lt;="&amp;BQ275),"")</f>
        <v>69.8421421573596</v>
      </c>
      <c r="BC275" s="65" t="n">
        <f aca="false">IF(BB275="",0,MAX(0,MIN(1,(IF(BY275="L1",Parameter!$E$5,Parameter!$E$6+Parameter!$E$7)-(BB275-AX275))/AX275)))</f>
        <v>1</v>
      </c>
      <c r="BD275" s="55" t="str">
        <f aca="false">IF(AH275&lt;=0,"",IF(BY275="Aussen","Aussenlager",IF(BY275="-","Nicht im Lift",IF(AM275&gt;=1,"Lift",IF(AM275&lt;=0,"Aussenlager","teilweise")))))</f>
        <v>Lift</v>
      </c>
      <c r="BE275" s="55" t="str">
        <f aca="false">IF(AP275&lt;=0,"",IF(BY275="Aussen","Aussenlager",IF(BY275="-","Nicht im Lift",IF(AU275&gt;=1,"Lift",IF(AU275&lt;=0,"Aussenlager","teilweise")))))</f>
        <v>Lift</v>
      </c>
      <c r="BF275" s="55" t="str">
        <f aca="false">IF(AX275&lt;=0,"",IF(BY275="Aussen","Aussenlager",IF(BY275="-","Nicht im Lift",IF(BC275&gt;=1,"Lift",IF(BC275&lt;=0,"Aussenlager","teilweise")))))</f>
        <v>Lift</v>
      </c>
      <c r="BG275" s="55" t="str">
        <f aca="false">IF(A275="","",IF(BP275=1,"Neu; ","")&amp;IF(AND(BP275=0,BK275&lt;0),"negativer Bestand (Export "&amp;BK275&amp;"); ","")&amp;IF(J275&lt;=0,"Kein Verbrauch; ","")&amp;IF(CH275&gt;0,"Lift "&amp;W275&amp;" lt. Liftbericht (Fach "&amp;X275&amp;" Stk); ",IF(BU275=1,"Gebinde geschätzt ("&amp;T275&amp;"); ",IF(BT275=1,"Lose – Tablare geschätzt; ","")))&amp;IF(H275&gt;AR275,"Überbestand "&amp;ROUND(H275-AR275,0)&amp;" Stk / CHF "&amp;ROUND((H275-AR275)*G275,0)&amp;"; ","")&amp;IF(AND(CA275=1,CB275&lt;CC275),"MAX &lt; MB+LG; ","")&amp;IF(AND(CG275&gt;0,CF275*10&gt;CG275),"zu hoch für Tablar; ","")&amp;IF(AND(BP275=0,OR(CA275=1,AA275&lt;&gt;"",U275&lt;&gt;"",V275&lt;&gt;"",AB275&lt;&gt;"")),"manuell übersteuert; ","")&amp;IF(AND(BT275=0,R275=0),"Gebinde unbekannt / Stellmass fehlt; ","")&amp;IF(AND(BT275=0,N(V275)&lt;=0,N(Q275)&lt;=0),"Menge pro Gebinde fehlt (Ist = 1 Gebinde); ","")&amp;BO275)</f>
        <v/>
      </c>
      <c r="BH275" s="55"/>
      <c r="BI275" s="55"/>
      <c r="BJ275" s="62"/>
      <c r="BK275" s="57" t="n">
        <v>5</v>
      </c>
      <c r="BL275" s="57" t="n">
        <v>6</v>
      </c>
      <c r="BM275" s="56" t="n">
        <v>370.85</v>
      </c>
      <c r="BN275" s="57" t="n">
        <v>2</v>
      </c>
      <c r="BO275" s="55"/>
      <c r="BP275" s="60" t="n">
        <v>0</v>
      </c>
      <c r="BQ275" s="60" t="n">
        <v>275</v>
      </c>
      <c r="BR275" s="55" t="str">
        <f aca="false">IF(U275&lt;&gt;"",UPPER(TRIM(U275)),IF(BU275=1,UPPER(VLOOKUP(T275,Parameter!$I$27:$K$29,2,0)),IF(P275="","LOSE",P275)))</f>
        <v>S61</v>
      </c>
      <c r="BS275" s="57" t="n">
        <f aca="false">IF(BR275="LOSE",1,IF(N(V275)&gt;0,V275,IF(BU275=1,MAX(1,N(VLOOKUP(T275,Parameter!$I$27:$K$29,3,0)),H275,N(N275)),IF(N(Q275)&gt;0,Q275,MAX(1,H275)))))</f>
        <v>12</v>
      </c>
      <c r="BT275" s="60" t="n">
        <f aca="false">IF(BR275="LOSE",1,0)</f>
        <v>0</v>
      </c>
      <c r="BU275" s="60" t="n">
        <f aca="false">IF(AND(U275="",OR(P275="",P275="LOSE"),T275&lt;&gt;"",N(S275)&lt;=0,ISNUMBER(MATCH(T275,Parameter!$I$27:$I$29,0))),1,0)</f>
        <v>0</v>
      </c>
      <c r="BV275" s="55" t="str">
        <f aca="false">IF(AND(Parameter!$B$19="Ja",E275&lt;&gt;"",ISNUMBER(MATCH(E275,Parameter!$I$35:$I$52,0))),VLOOKUP(E275,Parameter!$I$35:$J$52,2,0),IFERROR(VLOOKUP(D275,Parameter!$A$35:$C$64,2,0),"Nein"))</f>
        <v>2+3</v>
      </c>
      <c r="BW275" s="59" t="n">
        <f aca="false">IF(BT275=0,0,IF(N(S275)&gt;0,S275,IFERROR(VLOOKUP(D275,Parameter!$A$35:$C$64,3,0)+0,0)))</f>
        <v>0</v>
      </c>
      <c r="BX275" s="55" t="n">
        <f aca="false">IF(AA275&lt;&gt;"",AA275,Z275)</f>
        <v>2</v>
      </c>
      <c r="BY275" s="55" t="str">
        <f aca="false">IF(BX275=1,"L1",IF(OR(BX275=2,BX275=3),"L23",IF(BX275="Aussen","Aussen","-")))</f>
        <v>L23</v>
      </c>
      <c r="BZ275" s="66" t="n">
        <f aca="false">IF(N(AB275)&gt;0,AB275,0)</f>
        <v>0</v>
      </c>
      <c r="CA275" s="60" t="n">
        <f aca="false">IF(ISNUMBER(AE275),1,0)</f>
        <v>0</v>
      </c>
      <c r="CB275" s="57" t="n">
        <f aca="false">N(AE275)</f>
        <v>0</v>
      </c>
      <c r="CC275" s="57" t="n">
        <f aca="false">N(M275)+N(N275)</f>
        <v>1</v>
      </c>
      <c r="CD275" s="57" t="n">
        <f aca="false">ROUNDUP(H275/BS275,0)</f>
        <v>1</v>
      </c>
      <c r="CE275" s="57" t="n">
        <f aca="false">ROUNDUP(CB275/BS275,0)</f>
        <v>0</v>
      </c>
      <c r="CF275" s="60" t="n">
        <f aca="false">IF(BT275=1,0,IFERROR(VLOOKUP(BR275,'Gebinde-Kategorie'!$A$5:$M$45,5,0)+0,0))</f>
        <v>11</v>
      </c>
      <c r="CG275" s="60" t="n">
        <f aca="false">IFERROR(IF(OR(BX275=1,BX275=2,BX275=3),N(INDEX(Parameter!$I$5:$I$7,BX275)),0),0)</f>
        <v>0</v>
      </c>
      <c r="CH275" s="59" t="n">
        <f aca="false">IF(AND(Parameter!$B$21="Ja",ISNUMBER(W275),N(X275)&gt;0),IFERROR(N(INDEX(Parameter!$L$5:$L$7,W275))*INDEX(Parameter!$E$5:$E$7,W275)*X275/SUMIFS($X$7:$X$1843,$W$7:$W$1843,W275),0),0)</f>
        <v>0</v>
      </c>
    </row>
    <row r="276" customFormat="false" ht="15" hidden="false" customHeight="false" outlineLevel="0" collapsed="false">
      <c r="A276" s="55" t="s">
        <v>728</v>
      </c>
      <c r="B276" s="55" t="s">
        <v>544</v>
      </c>
      <c r="C276" s="55" t="s">
        <v>164</v>
      </c>
      <c r="D276" s="55" t="s">
        <v>184</v>
      </c>
      <c r="E276" s="55"/>
      <c r="F276" s="55" t="s">
        <v>218</v>
      </c>
      <c r="G276" s="56" t="n">
        <v>24.5</v>
      </c>
      <c r="H276" s="57" t="n">
        <f aca="false">MAX(0,IF(AND(Parameter!$B$21="Ja",ISNUMBER(Y276)),Y276,IF(Parameter!$B$20="Jahresanfang 2025 + Export",BL276+BK276,BK276)))</f>
        <v>15</v>
      </c>
      <c r="I276" s="57" t="n">
        <f aca="false">H276*G276</f>
        <v>367.5</v>
      </c>
      <c r="J276" s="57" t="n">
        <f aca="false">BN276*Parameter!$B$18</f>
        <v>0</v>
      </c>
      <c r="K276" s="58" t="n">
        <v>0</v>
      </c>
      <c r="L276" s="59" t="n">
        <v>0</v>
      </c>
      <c r="M276" s="57" t="n">
        <v>0</v>
      </c>
      <c r="N276" s="57" t="n">
        <v>15</v>
      </c>
      <c r="O276" s="60" t="n">
        <v>9999</v>
      </c>
      <c r="P276" s="55" t="s">
        <v>168</v>
      </c>
      <c r="Q276" s="57"/>
      <c r="R276" s="60" t="n">
        <f aca="false">IF(BT276=1,0,IFERROR(VLOOKUP(BR276,'Gebinde-Kategorie'!$A$5:$M$45,13,0)+0,0))</f>
        <v>26</v>
      </c>
      <c r="S276" s="61"/>
      <c r="T276" s="62" t="s">
        <v>275</v>
      </c>
      <c r="U276" s="62"/>
      <c r="V276" s="62"/>
      <c r="W276" s="55"/>
      <c r="X276" s="57"/>
      <c r="Y276" s="57"/>
      <c r="Z276" s="55" t="n">
        <f aca="false">IF(A276="","",IF(AND(Parameter!$B$21="Ja",ISNUMBER(W276)),W276,IF(BV276="2+3",IF(ISNUMBER(SEARCH("grosser Artikel",BO276)),2,IFERROR(VLOOKUP(BR276,Parameter!$F$35:$G$64,2,0),2)),IF(OR(BV276="Nein",BV276=""),"-",BV276))))</f>
        <v>3</v>
      </c>
      <c r="AA276" s="62"/>
      <c r="AB276" s="63"/>
      <c r="AC276" s="57" t="n">
        <f aca="false">AR276</f>
        <v>20</v>
      </c>
      <c r="AD276" s="57" t="n">
        <f aca="false">MAX(AR276,H276)</f>
        <v>20</v>
      </c>
      <c r="AE276" s="64"/>
      <c r="AF276" s="57" t="n">
        <f aca="false">IF(LEFT(Cockpit!$C$5,1)="A",H276,IF(CA276=1,CB276,IF(LEFT(Cockpit!$C$5,1)="B",AJ276,MAX(AJ276,H276))))</f>
        <v>15</v>
      </c>
      <c r="AG276" s="57" t="n">
        <f aca="false">IF(BT276=1,0,ROUNDUP(AF276/BS276,0))</f>
        <v>1</v>
      </c>
      <c r="AH276" s="59" t="n">
        <f aca="false">IF(CH276&gt;0,CH276*MAX(1,AF276/X276),IF(BT276=1,IF(AF276&lt;=0,0,BW276*MAX(1,IF(H276&gt;0,AF276/H276,1))),IF(R276&gt;0,AG276/R276,0))/MAX(0.1,N(Parameter!$M$21)))</f>
        <v>0.0384615384615385</v>
      </c>
      <c r="AI276" s="57" t="n">
        <f aca="false">AF276*G276</f>
        <v>367.5</v>
      </c>
      <c r="AJ276" s="57" t="n">
        <f aca="false">ROUNDUP(MAX(J276/IF(BZ276&gt;0,BZ276,MAX(0.1,N(Cockpit!$C$6))),CC276)/BS276,0)*BS276</f>
        <v>20</v>
      </c>
      <c r="AK276" s="58" t="n">
        <f aca="false">IF(AH276&gt;0,J276/AH276,-1)</f>
        <v>0</v>
      </c>
      <c r="AL276" s="58" t="n">
        <f aca="false">IF(AND(OR(BY276="L1",BY276="L23"),AH276&gt;0),SUMIFS($AH$7:$AH$1843,$BY$7:$BY$1843,BY276,$AK$7:$AK$1843,"&gt;"&amp;AK276)+SUMIFS($AH$7:$AH$1843,$BY$7:$BY$1843,BY276,$AK$7:$AK$1843,AK276,$BQ$7:$BQ$1843,"&lt;="&amp;BQ276),"")</f>
        <v>71.9020894564373</v>
      </c>
      <c r="AM276" s="65" t="n">
        <f aca="false">IF(AL276="",0,MAX(0,MIN(1,(IF(BY276="L1",Parameter!$E$5,Parameter!$E$6+Parameter!$E$7)-(AL276-AH276))/AH276)))</f>
        <v>1</v>
      </c>
      <c r="AN276" s="57" t="n">
        <f aca="false">IF(LEFT(Cockpit!$I$5,1)="A",H276,IF(CA276=1,CB276,IF(LEFT(Cockpit!$I$5,1)="B",AR276,MAX(AR276,H276))))</f>
        <v>20</v>
      </c>
      <c r="AO276" s="57" t="n">
        <f aca="false">IF(BT276=1,0,ROUNDUP(AN276/BS276,0))</f>
        <v>1</v>
      </c>
      <c r="AP276" s="59" t="n">
        <f aca="false">IF(CH276&gt;0,CH276*MAX(1,AN276/X276),IF(BT276=1,IF(AN276&lt;=0,0,BW276*MAX(1,IF(H276&gt;0,AN276/H276,1))),IF(R276&gt;0,AO276/R276,0))/MAX(0.1,N(Parameter!$M$21)))</f>
        <v>0.0384615384615385</v>
      </c>
      <c r="AQ276" s="57" t="n">
        <f aca="false">AN276*G276</f>
        <v>490</v>
      </c>
      <c r="AR276" s="57" t="n">
        <f aca="false">ROUNDUP(MAX(J276/IF(BZ276&gt;0,BZ276,MAX(0.1,N(Cockpit!$I$6))),CC276)/BS276,0)*BS276</f>
        <v>20</v>
      </c>
      <c r="AS276" s="58" t="n">
        <f aca="false">IF(AP276&gt;0,J276/AP276,-1)</f>
        <v>0</v>
      </c>
      <c r="AT276" s="58" t="n">
        <f aca="false">IF(AND(OR(BY276="L1",BY276="L23"),AP276&gt;0),SUMIFS($AP$7:$AP$1843,$BY$7:$BY$1843,BY276,$AS$7:$AS$1843,"&gt;"&amp;AS276)+SUMIFS($AP$7:$AP$1843,$BY$7:$BY$1843,BY276,$AS$7:$AS$1843,AS276,$BQ$7:$BQ$1843,"&lt;="&amp;BQ276),"")</f>
        <v>111.326213641431</v>
      </c>
      <c r="AU276" s="65" t="n">
        <f aca="false">IF(AT276="",0,MAX(0,MIN(1,(IF(BY276="L1",Parameter!$E$5,Parameter!$E$6+Parameter!$E$7)-(AT276-AP276))/AP276)))</f>
        <v>0</v>
      </c>
      <c r="AV276" s="57" t="n">
        <f aca="false">IF(LEFT(Cockpit!$O$5,1)="A",H276,IF(CA276=1,CB276,IF(LEFT(Cockpit!$O$5,1)="B",AZ276,MAX(AZ276,H276))))</f>
        <v>20</v>
      </c>
      <c r="AW276" s="57" t="n">
        <f aca="false">IF(BT276=1,0,ROUNDUP(AV276/BS276,0))</f>
        <v>1</v>
      </c>
      <c r="AX276" s="59" t="n">
        <f aca="false">IF(CH276&gt;0,CH276*MAX(1,AV276/X276),IF(BT276=1,IF(AV276&lt;=0,0,BW276*MAX(1,IF(H276&gt;0,AV276/H276,1))),IF(R276&gt;0,AW276/R276,0))/MAX(0.1,N(Parameter!$M$21)))</f>
        <v>0.0384615384615385</v>
      </c>
      <c r="AY276" s="57" t="n">
        <f aca="false">AV276*G276</f>
        <v>490</v>
      </c>
      <c r="AZ276" s="57" t="n">
        <f aca="false">ROUNDUP(MAX(J276/IF(BZ276&gt;0,BZ276,MAX(0.1,N(Cockpit!$O$6))),CC276)/BS276,0)*BS276</f>
        <v>20</v>
      </c>
      <c r="BA276" s="58" t="n">
        <f aca="false">IF(AX276&gt;0,J276/AX276,-1)</f>
        <v>0</v>
      </c>
      <c r="BB276" s="58" t="n">
        <f aca="false">IF(AND(OR(BY276="L1",BY276="L23"),AX276&gt;0),SUMIFS($AX$7:$AX$1843,$BY$7:$BY$1843,BY276,$BA$7:$BA$1843,"&gt;"&amp;BA276)+SUMIFS($AX$7:$AX$1843,$BY$7:$BY$1843,BY276,$BA$7:$BA$1843,BA276,$BQ$7:$BQ$1843,"&lt;="&amp;BQ276),"")</f>
        <v>102.156050471268</v>
      </c>
      <c r="BC276" s="65" t="n">
        <f aca="false">IF(BB276="",0,MAX(0,MIN(1,(IF(BY276="L1",Parameter!$E$5,Parameter!$E$6+Parameter!$E$7)-(BB276-AX276))/AX276)))</f>
        <v>0</v>
      </c>
      <c r="BD276" s="55" t="str">
        <f aca="false">IF(AH276&lt;=0,"",IF(BY276="Aussen","Aussenlager",IF(BY276="-","Nicht im Lift",IF(AM276&gt;=1,"Lift",IF(AM276&lt;=0,"Aussenlager","teilweise")))))</f>
        <v>Lift</v>
      </c>
      <c r="BE276" s="55" t="str">
        <f aca="false">IF(AP276&lt;=0,"",IF(BY276="Aussen","Aussenlager",IF(BY276="-","Nicht im Lift",IF(AU276&gt;=1,"Lift",IF(AU276&lt;=0,"Aussenlager","teilweise")))))</f>
        <v>Aussenlager</v>
      </c>
      <c r="BF276" s="55" t="str">
        <f aca="false">IF(AX276&lt;=0,"",IF(BY276="Aussen","Aussenlager",IF(BY276="-","Nicht im Lift",IF(BC276&gt;=1,"Lift",IF(BC276&lt;=0,"Aussenlager","teilweise")))))</f>
        <v>Aussenlager</v>
      </c>
      <c r="BG276" s="55" t="str">
        <f aca="false">IF(A276="","",IF(BP276=1,"Neu; ","")&amp;IF(AND(BP276=0,BK276&lt;0),"negativer Bestand (Export "&amp;BK276&amp;"); ","")&amp;IF(J276&lt;=0,"Kein Verbrauch; ","")&amp;IF(CH276&gt;0,"Lift "&amp;W276&amp;" lt. Liftbericht (Fach "&amp;X276&amp;" Stk); ",IF(BU276=1,"Gebinde geschätzt ("&amp;T276&amp;"); ",IF(BT276=1,"Lose – Tablare geschätzt; ","")))&amp;IF(H276&gt;AR276,"Überbestand "&amp;ROUND(H276-AR276,0)&amp;" Stk / CHF "&amp;ROUND((H276-AR276)*G276,0)&amp;"; ","")&amp;IF(AND(CA276=1,CB276&lt;CC276),"MAX &lt; MB+LG; ","")&amp;IF(AND(CG276&gt;0,CF276*10&gt;CG276),"zu hoch für Tablar; ","")&amp;IF(AND(BP276=0,OR(CA276=1,AA276&lt;&gt;"",U276&lt;&gt;"",V276&lt;&gt;"",AB276&lt;&gt;"")),"manuell übersteuert; ","")&amp;IF(AND(BT276=0,R276=0),"Gebinde unbekannt / Stellmass fehlt; ","")&amp;IF(AND(BT276=0,N(V276)&lt;=0,N(Q276)&lt;=0),"Menge pro Gebinde fehlt (Ist = 1 Gebinde); ","")&amp;BO276)</f>
        <v>Kein Verbrauch; Gebinde geschätzt (Klein); Menge pro Gebinde fehlt (Ist = 1 Gebinde); </v>
      </c>
      <c r="BH276" s="55"/>
      <c r="BI276" s="55"/>
      <c r="BJ276" s="62"/>
      <c r="BK276" s="57" t="n">
        <v>15</v>
      </c>
      <c r="BL276" s="57" t="n">
        <v>0</v>
      </c>
      <c r="BM276" s="56" t="n">
        <v>367.5</v>
      </c>
      <c r="BN276" s="57" t="n">
        <v>0</v>
      </c>
      <c r="BO276" s="55"/>
      <c r="BP276" s="60" t="n">
        <v>0</v>
      </c>
      <c r="BQ276" s="60" t="n">
        <v>276</v>
      </c>
      <c r="BR276" s="55" t="str">
        <f aca="false">IF(U276&lt;&gt;"",UPPER(TRIM(U276)),IF(BU276=1,UPPER(VLOOKUP(T276,Parameter!$I$27:$K$29,2,0)),IF(P276="","LOSE",P276)))</f>
        <v>S51</v>
      </c>
      <c r="BS276" s="57" t="n">
        <f aca="false">IF(BR276="LOSE",1,IF(N(V276)&gt;0,V276,IF(BU276=1,MAX(1,N(VLOOKUP(T276,Parameter!$I$27:$K$29,3,0)),H276,N(N276)),IF(N(Q276)&gt;0,Q276,MAX(1,H276)))))</f>
        <v>20</v>
      </c>
      <c r="BT276" s="60" t="n">
        <f aca="false">IF(BR276="LOSE",1,0)</f>
        <v>0</v>
      </c>
      <c r="BU276" s="60" t="n">
        <f aca="false">IF(AND(U276="",OR(P276="",P276="LOSE"),T276&lt;&gt;"",N(S276)&lt;=0,ISNUMBER(MATCH(T276,Parameter!$I$27:$I$29,0))),1,0)</f>
        <v>1</v>
      </c>
      <c r="BV276" s="55" t="str">
        <f aca="false">IF(AND(Parameter!$B$19="Ja",E276&lt;&gt;"",ISNUMBER(MATCH(E276,Parameter!$I$35:$I$52,0))),VLOOKUP(E276,Parameter!$I$35:$J$52,2,0),IFERROR(VLOOKUP(D276,Parameter!$A$35:$C$64,2,0),"Nein"))</f>
        <v>2+3</v>
      </c>
      <c r="BW276" s="59" t="n">
        <f aca="false">IF(BT276=0,0,IF(N(S276)&gt;0,S276,IFERROR(VLOOKUP(D276,Parameter!$A$35:$C$64,3,0)+0,0)))</f>
        <v>0</v>
      </c>
      <c r="BX276" s="55" t="n">
        <f aca="false">IF(AA276&lt;&gt;"",AA276,Z276)</f>
        <v>3</v>
      </c>
      <c r="BY276" s="55" t="str">
        <f aca="false">IF(BX276=1,"L1",IF(OR(BX276=2,BX276=3),"L23",IF(BX276="Aussen","Aussen","-")))</f>
        <v>L23</v>
      </c>
      <c r="BZ276" s="66" t="n">
        <f aca="false">IF(N(AB276)&gt;0,AB276,0)</f>
        <v>0</v>
      </c>
      <c r="CA276" s="60" t="n">
        <f aca="false">IF(ISNUMBER(AE276),1,0)</f>
        <v>0</v>
      </c>
      <c r="CB276" s="57" t="n">
        <f aca="false">N(AE276)</f>
        <v>0</v>
      </c>
      <c r="CC276" s="57" t="n">
        <f aca="false">N(M276)+N(N276)</f>
        <v>15</v>
      </c>
      <c r="CD276" s="57" t="n">
        <f aca="false">ROUNDUP(H276/BS276,0)</f>
        <v>1</v>
      </c>
      <c r="CE276" s="57" t="n">
        <f aca="false">ROUNDUP(CB276/BS276,0)</f>
        <v>0</v>
      </c>
      <c r="CF276" s="60" t="n">
        <f aca="false">IF(BT276=1,0,IFERROR(VLOOKUP(BR276,'Gebinde-Kategorie'!$A$5:$M$45,5,0)+0,0))</f>
        <v>11</v>
      </c>
      <c r="CG276" s="60" t="n">
        <f aca="false">IFERROR(IF(OR(BX276=1,BX276=2,BX276=3),N(INDEX(Parameter!$I$5:$I$7,BX276)),0),0)</f>
        <v>0</v>
      </c>
      <c r="CH276" s="59" t="n">
        <f aca="false">IF(AND(Parameter!$B$21="Ja",ISNUMBER(W276),N(X276)&gt;0),IFERROR(N(INDEX(Parameter!$L$5:$L$7,W276))*INDEX(Parameter!$E$5:$E$7,W276)*X276/SUMIFS($X$7:$X$1843,$W$7:$W$1843,W276),0),0)</f>
        <v>0</v>
      </c>
    </row>
    <row r="277" customFormat="false" ht="15" hidden="false" customHeight="false" outlineLevel="0" collapsed="false">
      <c r="A277" s="55" t="s">
        <v>729</v>
      </c>
      <c r="B277" s="55" t="s">
        <v>730</v>
      </c>
      <c r="C277" s="55" t="s">
        <v>164</v>
      </c>
      <c r="D277" s="55" t="s">
        <v>184</v>
      </c>
      <c r="E277" s="55" t="s">
        <v>185</v>
      </c>
      <c r="F277" s="55" t="s">
        <v>218</v>
      </c>
      <c r="G277" s="56" t="n">
        <v>20.67</v>
      </c>
      <c r="H277" s="57" t="n">
        <f aca="false">MAX(0,IF(AND(Parameter!$B$21="Ja",ISNUMBER(Y277)),Y277,IF(Parameter!$B$20="Jahresanfang 2025 + Export",BL277+BK277,BK277)))</f>
        <v>22</v>
      </c>
      <c r="I277" s="57" t="n">
        <f aca="false">H277*G277</f>
        <v>454.74</v>
      </c>
      <c r="J277" s="57" t="n">
        <f aca="false">BN277*Parameter!$B$18</f>
        <v>4</v>
      </c>
      <c r="K277" s="58" t="n">
        <v>13</v>
      </c>
      <c r="L277" s="59" t="n">
        <v>0.307692307692308</v>
      </c>
      <c r="M277" s="57" t="n">
        <v>0</v>
      </c>
      <c r="N277" s="57" t="n">
        <v>5</v>
      </c>
      <c r="O277" s="60" t="n">
        <v>21</v>
      </c>
      <c r="P277" s="55" t="s">
        <v>421</v>
      </c>
      <c r="Q277" s="57" t="n">
        <v>13</v>
      </c>
      <c r="R277" s="60" t="n">
        <f aca="false">IF(BT277=1,0,IFERROR(VLOOKUP(BR277,'Gebinde-Kategorie'!$A$5:$M$45,13,0)+0,0))</f>
        <v>132</v>
      </c>
      <c r="S277" s="61"/>
      <c r="T277" s="62"/>
      <c r="U277" s="62"/>
      <c r="V277" s="62"/>
      <c r="W277" s="55"/>
      <c r="X277" s="57"/>
      <c r="Y277" s="57"/>
      <c r="Z277" s="55" t="n">
        <f aca="false">IF(A277="","",IF(AND(Parameter!$B$21="Ja",ISNUMBER(W277)),W277,IF(BV277="2+3",IF(ISNUMBER(SEARCH("grosser Artikel",BO277)),2,IFERROR(VLOOKUP(BR277,Parameter!$F$35:$G$64,2,0),2)),IF(OR(BV277="Nein",BV277=""),"-",BV277))))</f>
        <v>3</v>
      </c>
      <c r="AA277" s="62"/>
      <c r="AB277" s="63"/>
      <c r="AC277" s="57" t="n">
        <f aca="false">AR277</f>
        <v>13</v>
      </c>
      <c r="AD277" s="57" t="n">
        <f aca="false">MAX(AR277,H277)</f>
        <v>22</v>
      </c>
      <c r="AE277" s="64"/>
      <c r="AF277" s="57" t="n">
        <f aca="false">IF(LEFT(Cockpit!$C$5,1)="A",H277,IF(CA277=1,CB277,IF(LEFT(Cockpit!$C$5,1)="B",AJ277,MAX(AJ277,H277))))</f>
        <v>22</v>
      </c>
      <c r="AG277" s="57" t="n">
        <f aca="false">IF(BT277=1,0,ROUNDUP(AF277/BS277,0))</f>
        <v>2</v>
      </c>
      <c r="AH277" s="59" t="n">
        <f aca="false">IF(CH277&gt;0,CH277*MAX(1,AF277/X277),IF(BT277=1,IF(AF277&lt;=0,0,BW277*MAX(1,IF(H277&gt;0,AF277/H277,1))),IF(R277&gt;0,AG277/R277,0))/MAX(0.1,N(Parameter!$M$21)))</f>
        <v>0.0151515151515152</v>
      </c>
      <c r="AI277" s="57" t="n">
        <f aca="false">AF277*G277</f>
        <v>454.74</v>
      </c>
      <c r="AJ277" s="57" t="n">
        <f aca="false">ROUNDUP(MAX(J277/IF(BZ277&gt;0,BZ277,MAX(0.1,N(Cockpit!$C$6))),CC277)/BS277,0)*BS277</f>
        <v>13</v>
      </c>
      <c r="AK277" s="58" t="n">
        <f aca="false">IF(AH277&gt;0,J277/AH277,-1)</f>
        <v>264</v>
      </c>
      <c r="AL277" s="58" t="n">
        <f aca="false">IF(AND(OR(BY277="L1",BY277="L23"),AH277&gt;0),SUMIFS($AH$7:$AH$1843,$BY$7:$BY$1843,BY277,$AK$7:$AK$1843,"&gt;"&amp;AK277)+SUMIFS($AH$7:$AH$1843,$BY$7:$BY$1843,BY277,$AK$7:$AK$1843,AK277,$BQ$7:$BQ$1843,"&lt;="&amp;BQ277),"")</f>
        <v>29.0962467484207</v>
      </c>
      <c r="AM277" s="65" t="n">
        <f aca="false">IF(AL277="",0,MAX(0,MIN(1,(IF(BY277="L1",Parameter!$E$5,Parameter!$E$6+Parameter!$E$7)-(AL277-AH277))/AH277)))</f>
        <v>1</v>
      </c>
      <c r="AN277" s="57" t="n">
        <f aca="false">IF(LEFT(Cockpit!$I$5,1)="A",H277,IF(CA277=1,CB277,IF(LEFT(Cockpit!$I$5,1)="B",AR277,MAX(AR277,H277))))</f>
        <v>22</v>
      </c>
      <c r="AO277" s="57" t="n">
        <f aca="false">IF(BT277=1,0,ROUNDUP(AN277/BS277,0))</f>
        <v>2</v>
      </c>
      <c r="AP277" s="59" t="n">
        <f aca="false">IF(CH277&gt;0,CH277*MAX(1,AN277/X277),IF(BT277=1,IF(AN277&lt;=0,0,BW277*MAX(1,IF(H277&gt;0,AN277/H277,1))),IF(R277&gt;0,AO277/R277,0))/MAX(0.1,N(Parameter!$M$21)))</f>
        <v>0.0151515151515152</v>
      </c>
      <c r="AQ277" s="57" t="n">
        <f aca="false">AN277*G277</f>
        <v>454.74</v>
      </c>
      <c r="AR277" s="57" t="n">
        <f aca="false">ROUNDUP(MAX(J277/IF(BZ277&gt;0,BZ277,MAX(0.1,N(Cockpit!$I$6))),CC277)/BS277,0)*BS277</f>
        <v>13</v>
      </c>
      <c r="AS277" s="58" t="n">
        <f aca="false">IF(AP277&gt;0,J277/AP277,-1)</f>
        <v>264</v>
      </c>
      <c r="AT277" s="58" t="n">
        <f aca="false">IF(AND(OR(BY277="L1",BY277="L23"),AP277&gt;0),SUMIFS($AP$7:$AP$1843,$BY$7:$BY$1843,BY277,$AS$7:$AS$1843,"&gt;"&amp;AS277)+SUMIFS($AP$7:$AP$1843,$BY$7:$BY$1843,BY277,$AS$7:$AS$1843,AS277,$BQ$7:$BQ$1843,"&lt;="&amp;BQ277),"")</f>
        <v>42.2750329380764</v>
      </c>
      <c r="AU277" s="65" t="n">
        <f aca="false">IF(AT277="",0,MAX(0,MIN(1,(IF(BY277="L1",Parameter!$E$5,Parameter!$E$6+Parameter!$E$7)-(AT277-AP277))/AP277)))</f>
        <v>1</v>
      </c>
      <c r="AV277" s="57" t="n">
        <f aca="false">IF(LEFT(Cockpit!$O$5,1)="A",H277,IF(CA277=1,CB277,IF(LEFT(Cockpit!$O$5,1)="B",AZ277,MAX(AZ277,H277))))</f>
        <v>22</v>
      </c>
      <c r="AW277" s="57" t="n">
        <f aca="false">IF(BT277=1,0,ROUNDUP(AV277/BS277,0))</f>
        <v>2</v>
      </c>
      <c r="AX277" s="59" t="n">
        <f aca="false">IF(CH277&gt;0,CH277*MAX(1,AV277/X277),IF(BT277=1,IF(AV277&lt;=0,0,BW277*MAX(1,IF(H277&gt;0,AV277/H277,1))),IF(R277&gt;0,AW277/R277,0))/MAX(0.1,N(Parameter!$M$21)))</f>
        <v>0.0151515151515152</v>
      </c>
      <c r="AY277" s="57" t="n">
        <f aca="false">AV277*G277</f>
        <v>454.74</v>
      </c>
      <c r="AZ277" s="57" t="n">
        <f aca="false">ROUNDUP(MAX(J277/IF(BZ277&gt;0,BZ277,MAX(0.1,N(Cockpit!$O$6))),CC277)/BS277,0)*BS277</f>
        <v>13</v>
      </c>
      <c r="BA277" s="58" t="n">
        <f aca="false">IF(AX277&gt;0,J277/AX277,-1)</f>
        <v>264</v>
      </c>
      <c r="BB277" s="58" t="n">
        <f aca="false">IF(AND(OR(BY277="L1",BY277="L23"),AX277&gt;0),SUMIFS($AX$7:$AX$1843,$BY$7:$BY$1843,BY277,$BA$7:$BA$1843,"&gt;"&amp;BA277)+SUMIFS($AX$7:$AX$1843,$BY$7:$BY$1843,BY277,$BA$7:$BA$1843,BA277,$BQ$7:$BQ$1843,"&lt;="&amp;BQ277),"")</f>
        <v>38.6048697679133</v>
      </c>
      <c r="BC277" s="65" t="n">
        <f aca="false">IF(BB277="",0,MAX(0,MIN(1,(IF(BY277="L1",Parameter!$E$5,Parameter!$E$6+Parameter!$E$7)-(BB277-AX277))/AX277)))</f>
        <v>1</v>
      </c>
      <c r="BD277" s="55" t="str">
        <f aca="false">IF(AH277&lt;=0,"",IF(BY277="Aussen","Aussenlager",IF(BY277="-","Nicht im Lift",IF(AM277&gt;=1,"Lift",IF(AM277&lt;=0,"Aussenlager","teilweise")))))</f>
        <v>Lift</v>
      </c>
      <c r="BE277" s="55" t="str">
        <f aca="false">IF(AP277&lt;=0,"",IF(BY277="Aussen","Aussenlager",IF(BY277="-","Nicht im Lift",IF(AU277&gt;=1,"Lift",IF(AU277&lt;=0,"Aussenlager","teilweise")))))</f>
        <v>Lift</v>
      </c>
      <c r="BF277" s="55" t="str">
        <f aca="false">IF(AX277&lt;=0,"",IF(BY277="Aussen","Aussenlager",IF(BY277="-","Nicht im Lift",IF(BC277&gt;=1,"Lift",IF(BC277&lt;=0,"Aussenlager","teilweise")))))</f>
        <v>Lift</v>
      </c>
      <c r="BG277" s="55" t="str">
        <f aca="false">IF(A277="","",IF(BP277=1,"Neu; ","")&amp;IF(AND(BP277=0,BK277&lt;0),"negativer Bestand (Export "&amp;BK277&amp;"); ","")&amp;IF(J277&lt;=0,"Kein Verbrauch; ","")&amp;IF(CH277&gt;0,"Lift "&amp;W277&amp;" lt. Liftbericht (Fach "&amp;X277&amp;" Stk); ",IF(BU277=1,"Gebinde geschätzt ("&amp;T277&amp;"); ",IF(BT277=1,"Lose – Tablare geschätzt; ","")))&amp;IF(H277&gt;AR277,"Überbestand "&amp;ROUND(H277-AR277,0)&amp;" Stk / CHF "&amp;ROUND((H277-AR277)*G277,0)&amp;"; ","")&amp;IF(AND(CA277=1,CB277&lt;CC277),"MAX &lt; MB+LG; ","")&amp;IF(AND(CG277&gt;0,CF277*10&gt;CG277),"zu hoch für Tablar; ","")&amp;IF(AND(BP277=0,OR(CA277=1,AA277&lt;&gt;"",U277&lt;&gt;"",V277&lt;&gt;"",AB277&lt;&gt;"")),"manuell übersteuert; ","")&amp;IF(AND(BT277=0,R277=0),"Gebinde unbekannt / Stellmass fehlt; ","")&amp;IF(AND(BT277=0,N(V277)&lt;=0,N(Q277)&lt;=0),"Menge pro Gebinde fehlt (Ist = 1 Gebinde); ","")&amp;BO277)</f>
        <v>Überbestand 9 Stk / CHF 186; </v>
      </c>
      <c r="BH277" s="55"/>
      <c r="BI277" s="55"/>
      <c r="BJ277" s="62"/>
      <c r="BK277" s="57" t="n">
        <v>17</v>
      </c>
      <c r="BL277" s="57" t="n">
        <v>5</v>
      </c>
      <c r="BM277" s="56" t="n">
        <v>364.74</v>
      </c>
      <c r="BN277" s="57" t="n">
        <v>4</v>
      </c>
      <c r="BO277" s="55"/>
      <c r="BP277" s="60" t="n">
        <v>0</v>
      </c>
      <c r="BQ277" s="60" t="n">
        <v>277</v>
      </c>
      <c r="BR277" s="55" t="str">
        <f aca="false">IF(U277&lt;&gt;"",UPPER(TRIM(U277)),IF(BU277=1,UPPER(VLOOKUP(T277,Parameter!$I$27:$K$29,2,0)),IF(P277="","LOSE",P277)))</f>
        <v>S32</v>
      </c>
      <c r="BS277" s="57" t="n">
        <f aca="false">IF(BR277="LOSE",1,IF(N(V277)&gt;0,V277,IF(BU277=1,MAX(1,N(VLOOKUP(T277,Parameter!$I$27:$K$29,3,0)),H277,N(N277)),IF(N(Q277)&gt;0,Q277,MAX(1,H277)))))</f>
        <v>13</v>
      </c>
      <c r="BT277" s="60" t="n">
        <f aca="false">IF(BR277="LOSE",1,0)</f>
        <v>0</v>
      </c>
      <c r="BU277" s="60" t="n">
        <f aca="false">IF(AND(U277="",OR(P277="",P277="LOSE"),T277&lt;&gt;"",N(S277)&lt;=0,ISNUMBER(MATCH(T277,Parameter!$I$27:$I$29,0))),1,0)</f>
        <v>0</v>
      </c>
      <c r="BV277" s="55" t="str">
        <f aca="false">IF(AND(Parameter!$B$19="Ja",E277&lt;&gt;"",ISNUMBER(MATCH(E277,Parameter!$I$35:$I$52,0))),VLOOKUP(E277,Parameter!$I$35:$J$52,2,0),IFERROR(VLOOKUP(D277,Parameter!$A$35:$C$64,2,0),"Nein"))</f>
        <v>2+3</v>
      </c>
      <c r="BW277" s="59" t="n">
        <f aca="false">IF(BT277=0,0,IF(N(S277)&gt;0,S277,IFERROR(VLOOKUP(D277,Parameter!$A$35:$C$64,3,0)+0,0)))</f>
        <v>0</v>
      </c>
      <c r="BX277" s="55" t="n">
        <f aca="false">IF(AA277&lt;&gt;"",AA277,Z277)</f>
        <v>3</v>
      </c>
      <c r="BY277" s="55" t="str">
        <f aca="false">IF(BX277=1,"L1",IF(OR(BX277=2,BX277=3),"L23",IF(BX277="Aussen","Aussen","-")))</f>
        <v>L23</v>
      </c>
      <c r="BZ277" s="66" t="n">
        <f aca="false">IF(N(AB277)&gt;0,AB277,0)</f>
        <v>0</v>
      </c>
      <c r="CA277" s="60" t="n">
        <f aca="false">IF(ISNUMBER(AE277),1,0)</f>
        <v>0</v>
      </c>
      <c r="CB277" s="57" t="n">
        <f aca="false">N(AE277)</f>
        <v>0</v>
      </c>
      <c r="CC277" s="57" t="n">
        <f aca="false">N(M277)+N(N277)</f>
        <v>5</v>
      </c>
      <c r="CD277" s="57" t="n">
        <f aca="false">ROUNDUP(H277/BS277,0)</f>
        <v>2</v>
      </c>
      <c r="CE277" s="57" t="n">
        <f aca="false">ROUNDUP(CB277/BS277,0)</f>
        <v>0</v>
      </c>
      <c r="CF277" s="60" t="n">
        <f aca="false">IF(BT277=1,0,IFERROR(VLOOKUP(BR277,'Gebinde-Kategorie'!$A$5:$M$45,5,0)+0,0))</f>
        <v>8</v>
      </c>
      <c r="CG277" s="60" t="n">
        <f aca="false">IFERROR(IF(OR(BX277=1,BX277=2,BX277=3),N(INDEX(Parameter!$I$5:$I$7,BX277)),0),0)</f>
        <v>0</v>
      </c>
      <c r="CH277" s="59" t="n">
        <f aca="false">IF(AND(Parameter!$B$21="Ja",ISNUMBER(W277),N(X277)&gt;0),IFERROR(N(INDEX(Parameter!$L$5:$L$7,W277))*INDEX(Parameter!$E$5:$E$7,W277)*X277/SUMIFS($X$7:$X$1843,$W$7:$W$1843,W277),0),0)</f>
        <v>0</v>
      </c>
    </row>
    <row r="278" customFormat="false" ht="15" hidden="false" customHeight="false" outlineLevel="0" collapsed="false">
      <c r="A278" s="55" t="s">
        <v>731</v>
      </c>
      <c r="B278" s="55" t="s">
        <v>732</v>
      </c>
      <c r="C278" s="55" t="s">
        <v>164</v>
      </c>
      <c r="D278" s="55" t="s">
        <v>184</v>
      </c>
      <c r="E278" s="55"/>
      <c r="F278" s="55" t="s">
        <v>218</v>
      </c>
      <c r="G278" s="56" t="n">
        <v>364</v>
      </c>
      <c r="H278" s="57" t="n">
        <f aca="false">MAX(0,IF(AND(Parameter!$B$21="Ja",ISNUMBER(Y278)),Y278,IF(Parameter!$B$20="Jahresanfang 2025 + Export",BL278+BK278,BK278)))</f>
        <v>1</v>
      </c>
      <c r="I278" s="57" t="n">
        <f aca="false">H278*G278</f>
        <v>364</v>
      </c>
      <c r="J278" s="57" t="n">
        <f aca="false">BN278*Parameter!$B$18</f>
        <v>0</v>
      </c>
      <c r="K278" s="58" t="n">
        <v>0.5</v>
      </c>
      <c r="L278" s="59" t="n">
        <v>0</v>
      </c>
      <c r="M278" s="57" t="n">
        <v>0</v>
      </c>
      <c r="N278" s="57" t="n">
        <v>1</v>
      </c>
      <c r="O278" s="60" t="n">
        <v>110</v>
      </c>
      <c r="P278" s="55" t="s">
        <v>426</v>
      </c>
      <c r="Q278" s="57" t="n">
        <v>5</v>
      </c>
      <c r="R278" s="60" t="n">
        <f aca="false">IF(BT278=1,0,IFERROR(VLOOKUP(BR278,'Gebinde-Kategorie'!$A$5:$M$45,13,0)+0,0))</f>
        <v>198</v>
      </c>
      <c r="S278" s="61"/>
      <c r="T278" s="62"/>
      <c r="U278" s="62"/>
      <c r="V278" s="62"/>
      <c r="W278" s="55"/>
      <c r="X278" s="57"/>
      <c r="Y278" s="57"/>
      <c r="Z278" s="55" t="n">
        <f aca="false">IF(A278="","",IF(AND(Parameter!$B$21="Ja",ISNUMBER(W278)),W278,IF(BV278="2+3",IF(ISNUMBER(SEARCH("grosser Artikel",BO278)),2,IFERROR(VLOOKUP(BR278,Parameter!$F$35:$G$64,2,0),2)),IF(OR(BV278="Nein",BV278=""),"-",BV278))))</f>
        <v>3</v>
      </c>
      <c r="AA278" s="62"/>
      <c r="AB278" s="63"/>
      <c r="AC278" s="57" t="n">
        <f aca="false">AR278</f>
        <v>5</v>
      </c>
      <c r="AD278" s="57" t="n">
        <f aca="false">MAX(AR278,H278)</f>
        <v>5</v>
      </c>
      <c r="AE278" s="64"/>
      <c r="AF278" s="57" t="n">
        <f aca="false">IF(LEFT(Cockpit!$C$5,1)="A",H278,IF(CA278=1,CB278,IF(LEFT(Cockpit!$C$5,1)="B",AJ278,MAX(AJ278,H278))))</f>
        <v>1</v>
      </c>
      <c r="AG278" s="57" t="n">
        <f aca="false">IF(BT278=1,0,ROUNDUP(AF278/BS278,0))</f>
        <v>1</v>
      </c>
      <c r="AH278" s="59" t="n">
        <f aca="false">IF(CH278&gt;0,CH278*MAX(1,AF278/X278),IF(BT278=1,IF(AF278&lt;=0,0,BW278*MAX(1,IF(H278&gt;0,AF278/H278,1))),IF(R278&gt;0,AG278/R278,0))/MAX(0.1,N(Parameter!$M$21)))</f>
        <v>0.00505050505050505</v>
      </c>
      <c r="AI278" s="57" t="n">
        <f aca="false">AF278*G278</f>
        <v>364</v>
      </c>
      <c r="AJ278" s="57" t="n">
        <f aca="false">ROUNDUP(MAX(J278/IF(BZ278&gt;0,BZ278,MAX(0.1,N(Cockpit!$C$6))),CC278)/BS278,0)*BS278</f>
        <v>5</v>
      </c>
      <c r="AK278" s="58" t="n">
        <f aca="false">IF(AH278&gt;0,J278/AH278,-1)</f>
        <v>0</v>
      </c>
      <c r="AL278" s="58" t="n">
        <f aca="false">IF(AND(OR(BY278="L1",BY278="L23"),AH278&gt;0),SUMIFS($AH$7:$AH$1843,$BY$7:$BY$1843,BY278,$AK$7:$AK$1843,"&gt;"&amp;AK278)+SUMIFS($AH$7:$AH$1843,$BY$7:$BY$1843,BY278,$AK$7:$AK$1843,AK278,$BQ$7:$BQ$1843,"&lt;="&amp;BQ278),"")</f>
        <v>71.9071399614878</v>
      </c>
      <c r="AM278" s="65" t="n">
        <f aca="false">IF(AL278="",0,MAX(0,MIN(1,(IF(BY278="L1",Parameter!$E$5,Parameter!$E$6+Parameter!$E$7)-(AL278-AH278))/AH278)))</f>
        <v>1</v>
      </c>
      <c r="AN278" s="57" t="n">
        <f aca="false">IF(LEFT(Cockpit!$I$5,1)="A",H278,IF(CA278=1,CB278,IF(LEFT(Cockpit!$I$5,1)="B",AR278,MAX(AR278,H278))))</f>
        <v>5</v>
      </c>
      <c r="AO278" s="57" t="n">
        <f aca="false">IF(BT278=1,0,ROUNDUP(AN278/BS278,0))</f>
        <v>1</v>
      </c>
      <c r="AP278" s="59" t="n">
        <f aca="false">IF(CH278&gt;0,CH278*MAX(1,AN278/X278),IF(BT278=1,IF(AN278&lt;=0,0,BW278*MAX(1,IF(H278&gt;0,AN278/H278,1))),IF(R278&gt;0,AO278/R278,0))/MAX(0.1,N(Parameter!$M$21)))</f>
        <v>0.00505050505050505</v>
      </c>
      <c r="AQ278" s="57" t="n">
        <f aca="false">AN278*G278</f>
        <v>1820</v>
      </c>
      <c r="AR278" s="57" t="n">
        <f aca="false">ROUNDUP(MAX(J278/IF(BZ278&gt;0,BZ278,MAX(0.1,N(Cockpit!$I$6))),CC278)/BS278,0)*BS278</f>
        <v>5</v>
      </c>
      <c r="AS278" s="58" t="n">
        <f aca="false">IF(AP278&gt;0,J278/AP278,-1)</f>
        <v>0</v>
      </c>
      <c r="AT278" s="58" t="n">
        <f aca="false">IF(AND(OR(BY278="L1",BY278="L23"),AP278&gt;0),SUMIFS($AP$7:$AP$1843,$BY$7:$BY$1843,BY278,$AS$7:$AS$1843,"&gt;"&amp;AS278)+SUMIFS($AP$7:$AP$1843,$BY$7:$BY$1843,BY278,$AS$7:$AS$1843,AS278,$BQ$7:$BQ$1843,"&lt;="&amp;BQ278),"")</f>
        <v>111.331264146482</v>
      </c>
      <c r="AU278" s="65" t="n">
        <f aca="false">IF(AT278="",0,MAX(0,MIN(1,(IF(BY278="L1",Parameter!$E$5,Parameter!$E$6+Parameter!$E$7)-(AT278-AP278))/AP278)))</f>
        <v>0</v>
      </c>
      <c r="AV278" s="57" t="n">
        <f aca="false">IF(LEFT(Cockpit!$O$5,1)="A",H278,IF(CA278=1,CB278,IF(LEFT(Cockpit!$O$5,1)="B",AZ278,MAX(AZ278,H278))))</f>
        <v>5</v>
      </c>
      <c r="AW278" s="57" t="n">
        <f aca="false">IF(BT278=1,0,ROUNDUP(AV278/BS278,0))</f>
        <v>1</v>
      </c>
      <c r="AX278" s="59" t="n">
        <f aca="false">IF(CH278&gt;0,CH278*MAX(1,AV278/X278),IF(BT278=1,IF(AV278&lt;=0,0,BW278*MAX(1,IF(H278&gt;0,AV278/H278,1))),IF(R278&gt;0,AW278/R278,0))/MAX(0.1,N(Parameter!$M$21)))</f>
        <v>0.00505050505050505</v>
      </c>
      <c r="AY278" s="57" t="n">
        <f aca="false">AV278*G278</f>
        <v>1820</v>
      </c>
      <c r="AZ278" s="57" t="n">
        <f aca="false">ROUNDUP(MAX(J278/IF(BZ278&gt;0,BZ278,MAX(0.1,N(Cockpit!$O$6))),CC278)/BS278,0)*BS278</f>
        <v>5</v>
      </c>
      <c r="BA278" s="58" t="n">
        <f aca="false">IF(AX278&gt;0,J278/AX278,-1)</f>
        <v>0</v>
      </c>
      <c r="BB278" s="58" t="n">
        <f aca="false">IF(AND(OR(BY278="L1",BY278="L23"),AX278&gt;0),SUMIFS($AX$7:$AX$1843,$BY$7:$BY$1843,BY278,$BA$7:$BA$1843,"&gt;"&amp;BA278)+SUMIFS($AX$7:$AX$1843,$BY$7:$BY$1843,BY278,$BA$7:$BA$1843,BA278,$BQ$7:$BQ$1843,"&lt;="&amp;BQ278),"")</f>
        <v>102.161100976318</v>
      </c>
      <c r="BC278" s="65" t="n">
        <f aca="false">IF(BB278="",0,MAX(0,MIN(1,(IF(BY278="L1",Parameter!$E$5,Parameter!$E$6+Parameter!$E$7)-(BB278-AX278))/AX278)))</f>
        <v>0</v>
      </c>
      <c r="BD278" s="55" t="str">
        <f aca="false">IF(AH278&lt;=0,"",IF(BY278="Aussen","Aussenlager",IF(BY278="-","Nicht im Lift",IF(AM278&gt;=1,"Lift",IF(AM278&lt;=0,"Aussenlager","teilweise")))))</f>
        <v>Lift</v>
      </c>
      <c r="BE278" s="55" t="str">
        <f aca="false">IF(AP278&lt;=0,"",IF(BY278="Aussen","Aussenlager",IF(BY278="-","Nicht im Lift",IF(AU278&gt;=1,"Lift",IF(AU278&lt;=0,"Aussenlager","teilweise")))))</f>
        <v>Aussenlager</v>
      </c>
      <c r="BF278" s="55" t="str">
        <f aca="false">IF(AX278&lt;=0,"",IF(BY278="Aussen","Aussenlager",IF(BY278="-","Nicht im Lift",IF(BC278&gt;=1,"Lift",IF(BC278&lt;=0,"Aussenlager","teilweise")))))</f>
        <v>Aussenlager</v>
      </c>
      <c r="BG278" s="55" t="str">
        <f aca="false">IF(A278="","",IF(BP278=1,"Neu; ","")&amp;IF(AND(BP278=0,BK278&lt;0),"negativer Bestand (Export "&amp;BK278&amp;"); ","")&amp;IF(J278&lt;=0,"Kein Verbrauch; ","")&amp;IF(CH278&gt;0,"Lift "&amp;W278&amp;" lt. Liftbericht (Fach "&amp;X278&amp;" Stk); ",IF(BU278=1,"Gebinde geschätzt ("&amp;T278&amp;"); ",IF(BT278=1,"Lose – Tablare geschätzt; ","")))&amp;IF(H278&gt;AR278,"Überbestand "&amp;ROUND(H278-AR278,0)&amp;" Stk / CHF "&amp;ROUND((H278-AR278)*G278,0)&amp;"; ","")&amp;IF(AND(CA278=1,CB278&lt;CC278),"MAX &lt; MB+LG; ","")&amp;IF(AND(CG278&gt;0,CF278*10&gt;CG278),"zu hoch für Tablar; ","")&amp;IF(AND(BP278=0,OR(CA278=1,AA278&lt;&gt;"",U278&lt;&gt;"",V278&lt;&gt;"",AB278&lt;&gt;"")),"manuell übersteuert; ","")&amp;IF(AND(BT278=0,R278=0),"Gebinde unbekannt / Stellmass fehlt; ","")&amp;IF(AND(BT278=0,N(V278)&lt;=0,N(Q278)&lt;=0),"Menge pro Gebinde fehlt (Ist = 1 Gebinde); ","")&amp;BO278)</f>
        <v>Kein Verbrauch; </v>
      </c>
      <c r="BH278" s="55"/>
      <c r="BI278" s="55"/>
      <c r="BJ278" s="62"/>
      <c r="BK278" s="57" t="n">
        <v>1</v>
      </c>
      <c r="BL278" s="57" t="n">
        <v>0</v>
      </c>
      <c r="BM278" s="56" t="n">
        <v>364</v>
      </c>
      <c r="BN278" s="57" t="n">
        <v>0</v>
      </c>
      <c r="BO278" s="55"/>
      <c r="BP278" s="60" t="n">
        <v>0</v>
      </c>
      <c r="BQ278" s="60" t="n">
        <v>278</v>
      </c>
      <c r="BR278" s="55" t="str">
        <f aca="false">IF(U278&lt;&gt;"",UPPER(TRIM(U278)),IF(BU278=1,UPPER(VLOOKUP(T278,Parameter!$I$27:$K$29,2,0)),IF(P278="","LOSE",P278)))</f>
        <v>S22</v>
      </c>
      <c r="BS278" s="57" t="n">
        <f aca="false">IF(BR278="LOSE",1,IF(N(V278)&gt;0,V278,IF(BU278=1,MAX(1,N(VLOOKUP(T278,Parameter!$I$27:$K$29,3,0)),H278,N(N278)),IF(N(Q278)&gt;0,Q278,MAX(1,H278)))))</f>
        <v>5</v>
      </c>
      <c r="BT278" s="60" t="n">
        <f aca="false">IF(BR278="LOSE",1,0)</f>
        <v>0</v>
      </c>
      <c r="BU278" s="60" t="n">
        <f aca="false">IF(AND(U278="",OR(P278="",P278="LOSE"),T278&lt;&gt;"",N(S278)&lt;=0,ISNUMBER(MATCH(T278,Parameter!$I$27:$I$29,0))),1,0)</f>
        <v>0</v>
      </c>
      <c r="BV278" s="55" t="str">
        <f aca="false">IF(AND(Parameter!$B$19="Ja",E278&lt;&gt;"",ISNUMBER(MATCH(E278,Parameter!$I$35:$I$52,0))),VLOOKUP(E278,Parameter!$I$35:$J$52,2,0),IFERROR(VLOOKUP(D278,Parameter!$A$35:$C$64,2,0),"Nein"))</f>
        <v>2+3</v>
      </c>
      <c r="BW278" s="59" t="n">
        <f aca="false">IF(BT278=0,0,IF(N(S278)&gt;0,S278,IFERROR(VLOOKUP(D278,Parameter!$A$35:$C$64,3,0)+0,0)))</f>
        <v>0</v>
      </c>
      <c r="BX278" s="55" t="n">
        <f aca="false">IF(AA278&lt;&gt;"",AA278,Z278)</f>
        <v>3</v>
      </c>
      <c r="BY278" s="55" t="str">
        <f aca="false">IF(BX278=1,"L1",IF(OR(BX278=2,BX278=3),"L23",IF(BX278="Aussen","Aussen","-")))</f>
        <v>L23</v>
      </c>
      <c r="BZ278" s="66" t="n">
        <f aca="false">IF(N(AB278)&gt;0,AB278,0)</f>
        <v>0</v>
      </c>
      <c r="CA278" s="60" t="n">
        <f aca="false">IF(ISNUMBER(AE278),1,0)</f>
        <v>0</v>
      </c>
      <c r="CB278" s="57" t="n">
        <f aca="false">N(AE278)</f>
        <v>0</v>
      </c>
      <c r="CC278" s="57" t="n">
        <f aca="false">N(M278)+N(N278)</f>
        <v>1</v>
      </c>
      <c r="CD278" s="57" t="n">
        <f aca="false">ROUNDUP(H278/BS278,0)</f>
        <v>1</v>
      </c>
      <c r="CE278" s="57" t="n">
        <f aca="false">ROUNDUP(CB278/BS278,0)</f>
        <v>0</v>
      </c>
      <c r="CF278" s="60" t="n">
        <f aca="false">IF(BT278=1,0,IFERROR(VLOOKUP(BR278,'Gebinde-Kategorie'!$A$5:$M$45,5,0)+0,0))</f>
        <v>8</v>
      </c>
      <c r="CG278" s="60" t="n">
        <f aca="false">IFERROR(IF(OR(BX278=1,BX278=2,BX278=3),N(INDEX(Parameter!$I$5:$I$7,BX278)),0),0)</f>
        <v>0</v>
      </c>
      <c r="CH278" s="59" t="n">
        <f aca="false">IF(AND(Parameter!$B$21="Ja",ISNUMBER(W278),N(X278)&gt;0),IFERROR(N(INDEX(Parameter!$L$5:$L$7,W278))*INDEX(Parameter!$E$5:$E$7,W278)*X278/SUMIFS($X$7:$X$1843,$W$7:$W$1843,W278),0),0)</f>
        <v>0</v>
      </c>
    </row>
    <row r="279" customFormat="false" ht="15" hidden="false" customHeight="false" outlineLevel="0" collapsed="false">
      <c r="A279" s="55" t="s">
        <v>733</v>
      </c>
      <c r="B279" s="55" t="s">
        <v>734</v>
      </c>
      <c r="C279" s="55" t="s">
        <v>164</v>
      </c>
      <c r="D279" s="55" t="s">
        <v>184</v>
      </c>
      <c r="E279" s="55" t="s">
        <v>185</v>
      </c>
      <c r="F279" s="55" t="s">
        <v>218</v>
      </c>
      <c r="G279" s="56" t="n">
        <v>18.62</v>
      </c>
      <c r="H279" s="57" t="n">
        <f aca="false">MAX(0,IF(AND(Parameter!$B$21="Ja",ISNUMBER(Y279)),Y279,IF(Parameter!$B$20="Jahresanfang 2025 + Export",BL279+BK279,BK279)))</f>
        <v>36</v>
      </c>
      <c r="I279" s="57" t="n">
        <f aca="false">H279*G279</f>
        <v>670.32</v>
      </c>
      <c r="J279" s="57" t="n">
        <f aca="false">BN279*Parameter!$B$18</f>
        <v>23</v>
      </c>
      <c r="K279" s="58" t="n">
        <v>14.5</v>
      </c>
      <c r="L279" s="59" t="n">
        <v>1.58620689655172</v>
      </c>
      <c r="M279" s="57" t="n">
        <v>1</v>
      </c>
      <c r="N279" s="57" t="n">
        <v>25</v>
      </c>
      <c r="O279" s="60" t="n">
        <v>28</v>
      </c>
      <c r="P279" s="55" t="s">
        <v>328</v>
      </c>
      <c r="Q279" s="57" t="n">
        <v>13</v>
      </c>
      <c r="R279" s="60" t="n">
        <f aca="false">IF(BT279=1,0,IFERROR(VLOOKUP(BR279,'Gebinde-Kategorie'!$A$5:$M$45,13,0)+0,0))</f>
        <v>52</v>
      </c>
      <c r="S279" s="61"/>
      <c r="T279" s="62"/>
      <c r="U279" s="62"/>
      <c r="V279" s="62"/>
      <c r="W279" s="55"/>
      <c r="X279" s="57"/>
      <c r="Y279" s="57"/>
      <c r="Z279" s="55" t="n">
        <f aca="false">IF(A279="","",IF(AND(Parameter!$B$21="Ja",ISNUMBER(W279)),W279,IF(BV279="2+3",IF(ISNUMBER(SEARCH("grosser Artikel",BO279)),2,IFERROR(VLOOKUP(BR279,Parameter!$F$35:$G$64,2,0),2)),IF(OR(BV279="Nein",BV279=""),"-",BV279))))</f>
        <v>3</v>
      </c>
      <c r="AA279" s="62"/>
      <c r="AB279" s="63"/>
      <c r="AC279" s="57" t="n">
        <f aca="false">AR279</f>
        <v>26</v>
      </c>
      <c r="AD279" s="57" t="n">
        <f aca="false">MAX(AR279,H279)</f>
        <v>36</v>
      </c>
      <c r="AE279" s="64"/>
      <c r="AF279" s="57" t="n">
        <f aca="false">IF(LEFT(Cockpit!$C$5,1)="A",H279,IF(CA279=1,CB279,IF(LEFT(Cockpit!$C$5,1)="B",AJ279,MAX(AJ279,H279))))</f>
        <v>36</v>
      </c>
      <c r="AG279" s="57" t="n">
        <f aca="false">IF(BT279=1,0,ROUNDUP(AF279/BS279,0))</f>
        <v>3</v>
      </c>
      <c r="AH279" s="59" t="n">
        <f aca="false">IF(CH279&gt;0,CH279*MAX(1,AF279/X279),IF(BT279=1,IF(AF279&lt;=0,0,BW279*MAX(1,IF(H279&gt;0,AF279/H279,1))),IF(R279&gt;0,AG279/R279,0))/MAX(0.1,N(Parameter!$M$21)))</f>
        <v>0.0576923076923077</v>
      </c>
      <c r="AI279" s="57" t="n">
        <f aca="false">AF279*G279</f>
        <v>670.32</v>
      </c>
      <c r="AJ279" s="57" t="n">
        <f aca="false">ROUNDUP(MAX(J279/IF(BZ279&gt;0,BZ279,MAX(0.1,N(Cockpit!$C$6))),CC279)/BS279,0)*BS279</f>
        <v>26</v>
      </c>
      <c r="AK279" s="58" t="n">
        <f aca="false">IF(AH279&gt;0,J279/AH279,-1)</f>
        <v>398.666666666667</v>
      </c>
      <c r="AL279" s="58" t="n">
        <f aca="false">IF(AND(OR(BY279="L1",BY279="L23"),AH279&gt;0),SUMIFS($AH$7:$AH$1843,$BY$7:$BY$1843,BY279,$AK$7:$AK$1843,"&gt;"&amp;AK279)+SUMIFS($AH$7:$AH$1843,$BY$7:$BY$1843,BY279,$AK$7:$AK$1843,AK279,$BQ$7:$BQ$1843,"&lt;="&amp;BQ279),"")</f>
        <v>25.8217712239451</v>
      </c>
      <c r="AM279" s="65" t="n">
        <f aca="false">IF(AL279="",0,MAX(0,MIN(1,(IF(BY279="L1",Parameter!$E$5,Parameter!$E$6+Parameter!$E$7)-(AL279-AH279))/AH279)))</f>
        <v>1</v>
      </c>
      <c r="AN279" s="57" t="n">
        <f aca="false">IF(LEFT(Cockpit!$I$5,1)="A",H279,IF(CA279=1,CB279,IF(LEFT(Cockpit!$I$5,1)="B",AR279,MAX(AR279,H279))))</f>
        <v>36</v>
      </c>
      <c r="AO279" s="57" t="n">
        <f aca="false">IF(BT279=1,0,ROUNDUP(AN279/BS279,0))</f>
        <v>3</v>
      </c>
      <c r="AP279" s="59" t="n">
        <f aca="false">IF(CH279&gt;0,CH279*MAX(1,AN279/X279),IF(BT279=1,IF(AN279&lt;=0,0,BW279*MAX(1,IF(H279&gt;0,AN279/H279,1))),IF(R279&gt;0,AO279/R279,0))/MAX(0.1,N(Parameter!$M$21)))</f>
        <v>0.0576923076923077</v>
      </c>
      <c r="AQ279" s="57" t="n">
        <f aca="false">AN279*G279</f>
        <v>670.32</v>
      </c>
      <c r="AR279" s="57" t="n">
        <f aca="false">ROUNDUP(MAX(J279/IF(BZ279&gt;0,BZ279,MAX(0.1,N(Cockpit!$I$6))),CC279)/BS279,0)*BS279</f>
        <v>26</v>
      </c>
      <c r="AS279" s="58" t="n">
        <f aca="false">IF(AP279&gt;0,J279/AP279,-1)</f>
        <v>398.666666666667</v>
      </c>
      <c r="AT279" s="58" t="n">
        <f aca="false">IF(AND(OR(BY279="L1",BY279="L23"),AP279&gt;0),SUMIFS($AP$7:$AP$1843,$BY$7:$BY$1843,BY279,$AS$7:$AS$1843,"&gt;"&amp;AS279)+SUMIFS($AP$7:$AP$1843,$BY$7:$BY$1843,BY279,$AS$7:$AS$1843,AS279,$BQ$7:$BQ$1843,"&lt;="&amp;BQ279),"")</f>
        <v>35.2449241579676</v>
      </c>
      <c r="AU279" s="65" t="n">
        <f aca="false">IF(AT279="",0,MAX(0,MIN(1,(IF(BY279="L1",Parameter!$E$5,Parameter!$E$6+Parameter!$E$7)-(AT279-AP279))/AP279)))</f>
        <v>1</v>
      </c>
      <c r="AV279" s="57" t="n">
        <f aca="false">IF(LEFT(Cockpit!$O$5,1)="A",H279,IF(CA279=1,CB279,IF(LEFT(Cockpit!$O$5,1)="B",AZ279,MAX(AZ279,H279))))</f>
        <v>36</v>
      </c>
      <c r="AW279" s="57" t="n">
        <f aca="false">IF(BT279=1,0,ROUNDUP(AV279/BS279,0))</f>
        <v>3</v>
      </c>
      <c r="AX279" s="59" t="n">
        <f aca="false">IF(CH279&gt;0,CH279*MAX(1,AV279/X279),IF(BT279=1,IF(AV279&lt;=0,0,BW279*MAX(1,IF(H279&gt;0,AV279/H279,1))),IF(R279&gt;0,AW279/R279,0))/MAX(0.1,N(Parameter!$M$21)))</f>
        <v>0.0576923076923077</v>
      </c>
      <c r="AY279" s="57" t="n">
        <f aca="false">AV279*G279</f>
        <v>670.32</v>
      </c>
      <c r="AZ279" s="57" t="n">
        <f aca="false">ROUNDUP(MAX(J279/IF(BZ279&gt;0,BZ279,MAX(0.1,N(Cockpit!$O$6))),CC279)/BS279,0)*BS279</f>
        <v>26</v>
      </c>
      <c r="BA279" s="58" t="n">
        <f aca="false">IF(AX279&gt;0,J279/AX279,-1)</f>
        <v>398.666666666667</v>
      </c>
      <c r="BB279" s="58" t="n">
        <f aca="false">IF(AND(OR(BY279="L1",BY279="L23"),AX279&gt;0),SUMIFS($AX$7:$AX$1843,$BY$7:$BY$1843,BY279,$BA$7:$BA$1843,"&gt;"&amp;BA279)+SUMIFS($AX$7:$AX$1843,$BY$7:$BY$1843,BY279,$BA$7:$BA$1843,BA279,$BQ$7:$BQ$1843,"&lt;="&amp;BQ279),"")</f>
        <v>34.4914276544711</v>
      </c>
      <c r="BC279" s="65" t="n">
        <f aca="false">IF(BB279="",0,MAX(0,MIN(1,(IF(BY279="L1",Parameter!$E$5,Parameter!$E$6+Parameter!$E$7)-(BB279-AX279))/AX279)))</f>
        <v>1</v>
      </c>
      <c r="BD279" s="55" t="str">
        <f aca="false">IF(AH279&lt;=0,"",IF(BY279="Aussen","Aussenlager",IF(BY279="-","Nicht im Lift",IF(AM279&gt;=1,"Lift",IF(AM279&lt;=0,"Aussenlager","teilweise")))))</f>
        <v>Lift</v>
      </c>
      <c r="BE279" s="55" t="str">
        <f aca="false">IF(AP279&lt;=0,"",IF(BY279="Aussen","Aussenlager",IF(BY279="-","Nicht im Lift",IF(AU279&gt;=1,"Lift",IF(AU279&lt;=0,"Aussenlager","teilweise")))))</f>
        <v>Lift</v>
      </c>
      <c r="BF279" s="55" t="str">
        <f aca="false">IF(AX279&lt;=0,"",IF(BY279="Aussen","Aussenlager",IF(BY279="-","Nicht im Lift",IF(BC279&gt;=1,"Lift",IF(BC279&lt;=0,"Aussenlager","teilweise")))))</f>
        <v>Lift</v>
      </c>
      <c r="BG279" s="55" t="str">
        <f aca="false">IF(A279="","",IF(BP279=1,"Neu; ","")&amp;IF(AND(BP279=0,BK279&lt;0),"negativer Bestand (Export "&amp;BK279&amp;"); ","")&amp;IF(J279&lt;=0,"Kein Verbrauch; ","")&amp;IF(CH279&gt;0,"Lift "&amp;W279&amp;" lt. Liftbericht (Fach "&amp;X279&amp;" Stk); ",IF(BU279=1,"Gebinde geschätzt ("&amp;T279&amp;"); ",IF(BT279=1,"Lose – Tablare geschätzt; ","")))&amp;IF(H279&gt;AR279,"Überbestand "&amp;ROUND(H279-AR279,0)&amp;" Stk / CHF "&amp;ROUND((H279-AR279)*G279,0)&amp;"; ","")&amp;IF(AND(CA279=1,CB279&lt;CC279),"MAX &lt; MB+LG; ","")&amp;IF(AND(CG279&gt;0,CF279*10&gt;CG279),"zu hoch für Tablar; ","")&amp;IF(AND(BP279=0,OR(CA279=1,AA279&lt;&gt;"",U279&lt;&gt;"",V279&lt;&gt;"",AB279&lt;&gt;"")),"manuell übersteuert; ","")&amp;IF(AND(BT279=0,R279=0),"Gebinde unbekannt / Stellmass fehlt; ","")&amp;IF(AND(BT279=0,N(V279)&lt;=0,N(Q279)&lt;=0),"Menge pro Gebinde fehlt (Ist = 1 Gebinde); ","")&amp;BO279)</f>
        <v>Überbestand 10 Stk / CHF 186; </v>
      </c>
      <c r="BH279" s="55"/>
      <c r="BI279" s="55"/>
      <c r="BJ279" s="62"/>
      <c r="BK279" s="57" t="n">
        <v>22</v>
      </c>
      <c r="BL279" s="57" t="n">
        <v>14</v>
      </c>
      <c r="BM279" s="56" t="n">
        <v>361.480000000001</v>
      </c>
      <c r="BN279" s="57" t="n">
        <v>23</v>
      </c>
      <c r="BO279" s="55"/>
      <c r="BP279" s="60" t="n">
        <v>0</v>
      </c>
      <c r="BQ279" s="60" t="n">
        <v>279</v>
      </c>
      <c r="BR279" s="55" t="str">
        <f aca="false">IF(U279&lt;&gt;"",UPPER(TRIM(U279)),IF(BU279=1,UPPER(VLOOKUP(T279,Parameter!$I$27:$K$29,2,0)),IF(P279="","LOSE",P279)))</f>
        <v>S41</v>
      </c>
      <c r="BS279" s="57" t="n">
        <f aca="false">IF(BR279="LOSE",1,IF(N(V279)&gt;0,V279,IF(BU279=1,MAX(1,N(VLOOKUP(T279,Parameter!$I$27:$K$29,3,0)),H279,N(N279)),IF(N(Q279)&gt;0,Q279,MAX(1,H279)))))</f>
        <v>13</v>
      </c>
      <c r="BT279" s="60" t="n">
        <f aca="false">IF(BR279="LOSE",1,0)</f>
        <v>0</v>
      </c>
      <c r="BU279" s="60" t="n">
        <f aca="false">IF(AND(U279="",OR(P279="",P279="LOSE"),T279&lt;&gt;"",N(S279)&lt;=0,ISNUMBER(MATCH(T279,Parameter!$I$27:$I$29,0))),1,0)</f>
        <v>0</v>
      </c>
      <c r="BV279" s="55" t="str">
        <f aca="false">IF(AND(Parameter!$B$19="Ja",E279&lt;&gt;"",ISNUMBER(MATCH(E279,Parameter!$I$35:$I$52,0))),VLOOKUP(E279,Parameter!$I$35:$J$52,2,0),IFERROR(VLOOKUP(D279,Parameter!$A$35:$C$64,2,0),"Nein"))</f>
        <v>2+3</v>
      </c>
      <c r="BW279" s="59" t="n">
        <f aca="false">IF(BT279=0,0,IF(N(S279)&gt;0,S279,IFERROR(VLOOKUP(D279,Parameter!$A$35:$C$64,3,0)+0,0)))</f>
        <v>0</v>
      </c>
      <c r="BX279" s="55" t="n">
        <f aca="false">IF(AA279&lt;&gt;"",AA279,Z279)</f>
        <v>3</v>
      </c>
      <c r="BY279" s="55" t="str">
        <f aca="false">IF(BX279=1,"L1",IF(OR(BX279=2,BX279=3),"L23",IF(BX279="Aussen","Aussen","-")))</f>
        <v>L23</v>
      </c>
      <c r="BZ279" s="66" t="n">
        <f aca="false">IF(N(AB279)&gt;0,AB279,0)</f>
        <v>0</v>
      </c>
      <c r="CA279" s="60" t="n">
        <f aca="false">IF(ISNUMBER(AE279),1,0)</f>
        <v>0</v>
      </c>
      <c r="CB279" s="57" t="n">
        <f aca="false">N(AE279)</f>
        <v>0</v>
      </c>
      <c r="CC279" s="57" t="n">
        <f aca="false">N(M279)+N(N279)</f>
        <v>26</v>
      </c>
      <c r="CD279" s="57" t="n">
        <f aca="false">ROUNDUP(H279/BS279,0)</f>
        <v>3</v>
      </c>
      <c r="CE279" s="57" t="n">
        <f aca="false">ROUNDUP(CB279/BS279,0)</f>
        <v>0</v>
      </c>
      <c r="CF279" s="60" t="n">
        <f aca="false">IF(BT279=1,0,IFERROR(VLOOKUP(BR279,'Gebinde-Kategorie'!$A$5:$M$45,5,0)+0,0))</f>
        <v>11</v>
      </c>
      <c r="CG279" s="60" t="n">
        <f aca="false">IFERROR(IF(OR(BX279=1,BX279=2,BX279=3),N(INDEX(Parameter!$I$5:$I$7,BX279)),0),0)</f>
        <v>0</v>
      </c>
      <c r="CH279" s="59" t="n">
        <f aca="false">IF(AND(Parameter!$B$21="Ja",ISNUMBER(W279),N(X279)&gt;0),IFERROR(N(INDEX(Parameter!$L$5:$L$7,W279))*INDEX(Parameter!$E$5:$E$7,W279)*X279/SUMIFS($X$7:$X$1843,$W$7:$W$1843,W279),0),0)</f>
        <v>0</v>
      </c>
    </row>
    <row r="280" customFormat="false" ht="15" hidden="false" customHeight="false" outlineLevel="0" collapsed="false">
      <c r="A280" s="55" t="s">
        <v>735</v>
      </c>
      <c r="B280" s="55" t="s">
        <v>736</v>
      </c>
      <c r="C280" s="55" t="s">
        <v>164</v>
      </c>
      <c r="D280" s="55" t="s">
        <v>184</v>
      </c>
      <c r="E280" s="55"/>
      <c r="F280" s="55" t="s">
        <v>218</v>
      </c>
      <c r="G280" s="56" t="n">
        <v>13.98</v>
      </c>
      <c r="H280" s="57" t="n">
        <f aca="false">MAX(0,IF(AND(Parameter!$B$21="Ja",ISNUMBER(Y280)),Y280,IF(Parameter!$B$20="Jahresanfang 2025 + Export",BL280+BK280,BK280)))</f>
        <v>38</v>
      </c>
      <c r="I280" s="57" t="n">
        <f aca="false">H280*G280</f>
        <v>531.24</v>
      </c>
      <c r="J280" s="57" t="n">
        <f aca="false">BN280*Parameter!$B$18</f>
        <v>56</v>
      </c>
      <c r="K280" s="58" t="n">
        <v>6.5</v>
      </c>
      <c r="L280" s="59" t="n">
        <v>8.61538461538462</v>
      </c>
      <c r="M280" s="57" t="n">
        <v>4</v>
      </c>
      <c r="N280" s="57" t="n">
        <v>55</v>
      </c>
      <c r="O280" s="60" t="n">
        <v>28</v>
      </c>
      <c r="P280" s="55" t="s">
        <v>233</v>
      </c>
      <c r="Q280" s="57" t="n">
        <v>30</v>
      </c>
      <c r="R280" s="60" t="n">
        <f aca="false">IF(BT280=1,0,IFERROR(VLOOKUP(BR280,'Gebinde-Kategorie'!$A$5:$M$45,13,0)+0,0))</f>
        <v>26</v>
      </c>
      <c r="S280" s="61"/>
      <c r="T280" s="62"/>
      <c r="U280" s="62"/>
      <c r="V280" s="62"/>
      <c r="W280" s="55"/>
      <c r="X280" s="57"/>
      <c r="Y280" s="57"/>
      <c r="Z280" s="55" t="n">
        <f aca="false">IF(A280="","",IF(AND(Parameter!$B$21="Ja",ISNUMBER(W280)),W280,IF(BV280="2+3",IF(ISNUMBER(SEARCH("grosser Artikel",BO280)),2,IFERROR(VLOOKUP(BR280,Parameter!$F$35:$G$64,2,0),2)),IF(OR(BV280="Nein",BV280=""),"-",BV280))))</f>
        <v>3</v>
      </c>
      <c r="AA280" s="62"/>
      <c r="AB280" s="63"/>
      <c r="AC280" s="57" t="n">
        <f aca="false">AR280</f>
        <v>60</v>
      </c>
      <c r="AD280" s="57" t="n">
        <f aca="false">MAX(AR280,H280)</f>
        <v>60</v>
      </c>
      <c r="AE280" s="64"/>
      <c r="AF280" s="57" t="n">
        <f aca="false">IF(LEFT(Cockpit!$C$5,1)="A",H280,IF(CA280=1,CB280,IF(LEFT(Cockpit!$C$5,1)="B",AJ280,MAX(AJ280,H280))))</f>
        <v>38</v>
      </c>
      <c r="AG280" s="57" t="n">
        <f aca="false">IF(BT280=1,0,ROUNDUP(AF280/BS280,0))</f>
        <v>2</v>
      </c>
      <c r="AH280" s="59" t="n">
        <f aca="false">IF(CH280&gt;0,CH280*MAX(1,AF280/X280),IF(BT280=1,IF(AF280&lt;=0,0,BW280*MAX(1,IF(H280&gt;0,AF280/H280,1))),IF(R280&gt;0,AG280/R280,0))/MAX(0.1,N(Parameter!$M$21)))</f>
        <v>0.0769230769230769</v>
      </c>
      <c r="AI280" s="57" t="n">
        <f aca="false">AF280*G280</f>
        <v>531.24</v>
      </c>
      <c r="AJ280" s="57" t="n">
        <f aca="false">ROUNDUP(MAX(J280/IF(BZ280&gt;0,BZ280,MAX(0.1,N(Cockpit!$C$6))),CC280)/BS280,0)*BS280</f>
        <v>60</v>
      </c>
      <c r="AK280" s="58" t="n">
        <f aca="false">IF(AH280&gt;0,J280/AH280,-1)</f>
        <v>728</v>
      </c>
      <c r="AL280" s="58" t="n">
        <f aca="false">IF(AND(OR(BY280="L1",BY280="L23"),AH280&gt;0),SUMIFS($AH$7:$AH$1843,$BY$7:$BY$1843,BY280,$AK$7:$AK$1843,"&gt;"&amp;AK280)+SUMIFS($AH$7:$AH$1843,$BY$7:$BY$1843,BY280,$AK$7:$AK$1843,AK280,$BQ$7:$BQ$1843,"&lt;="&amp;BQ280),"")</f>
        <v>21.4698912198912</v>
      </c>
      <c r="AM280" s="65" t="n">
        <f aca="false">IF(AL280="",0,MAX(0,MIN(1,(IF(BY280="L1",Parameter!$E$5,Parameter!$E$6+Parameter!$E$7)-(AL280-AH280))/AH280)))</f>
        <v>1</v>
      </c>
      <c r="AN280" s="57" t="n">
        <f aca="false">IF(LEFT(Cockpit!$I$5,1)="A",H280,IF(CA280=1,CB280,IF(LEFT(Cockpit!$I$5,1)="B",AR280,MAX(AR280,H280))))</f>
        <v>60</v>
      </c>
      <c r="AO280" s="57" t="n">
        <f aca="false">IF(BT280=1,0,ROUNDUP(AN280/BS280,0))</f>
        <v>2</v>
      </c>
      <c r="AP280" s="59" t="n">
        <f aca="false">IF(CH280&gt;0,CH280*MAX(1,AN280/X280),IF(BT280=1,IF(AN280&lt;=0,0,BW280*MAX(1,IF(H280&gt;0,AN280/H280,1))),IF(R280&gt;0,AO280/R280,0))/MAX(0.1,N(Parameter!$M$21)))</f>
        <v>0.0769230769230769</v>
      </c>
      <c r="AQ280" s="57" t="n">
        <f aca="false">AN280*G280</f>
        <v>838.8</v>
      </c>
      <c r="AR280" s="57" t="n">
        <f aca="false">ROUNDUP(MAX(J280/IF(BZ280&gt;0,BZ280,MAX(0.1,N(Cockpit!$I$6))),CC280)/BS280,0)*BS280</f>
        <v>60</v>
      </c>
      <c r="AS280" s="58" t="n">
        <f aca="false">IF(AP280&gt;0,J280/AP280,-1)</f>
        <v>728</v>
      </c>
      <c r="AT280" s="58" t="n">
        <f aca="false">IF(AND(OR(BY280="L1",BY280="L23"),AP280&gt;0),SUMIFS($AP$7:$AP$1843,$BY$7:$BY$1843,BY280,$AS$7:$AS$1843,"&gt;"&amp;AS280)+SUMIFS($AP$7:$AP$1843,$BY$7:$BY$1843,BY280,$AS$7:$AS$1843,AS280,$BQ$7:$BQ$1843,"&lt;="&amp;BQ280),"")</f>
        <v>27.7787405830884</v>
      </c>
      <c r="AU280" s="65" t="n">
        <f aca="false">IF(AT280="",0,MAX(0,MIN(1,(IF(BY280="L1",Parameter!$E$5,Parameter!$E$6+Parameter!$E$7)-(AT280-AP280))/AP280)))</f>
        <v>1</v>
      </c>
      <c r="AV280" s="57" t="n">
        <f aca="false">IF(LEFT(Cockpit!$O$5,1)="A",H280,IF(CA280=1,CB280,IF(LEFT(Cockpit!$O$5,1)="B",AZ280,MAX(AZ280,H280))))</f>
        <v>60</v>
      </c>
      <c r="AW280" s="57" t="n">
        <f aca="false">IF(BT280=1,0,ROUNDUP(AV280/BS280,0))</f>
        <v>2</v>
      </c>
      <c r="AX280" s="59" t="n">
        <f aca="false">IF(CH280&gt;0,CH280*MAX(1,AV280/X280),IF(BT280=1,IF(AV280&lt;=0,0,BW280*MAX(1,IF(H280&gt;0,AV280/H280,1))),IF(R280&gt;0,AW280/R280,0))/MAX(0.1,N(Parameter!$M$21)))</f>
        <v>0.0769230769230769</v>
      </c>
      <c r="AY280" s="57" t="n">
        <f aca="false">AV280*G280</f>
        <v>838.8</v>
      </c>
      <c r="AZ280" s="57" t="n">
        <f aca="false">ROUNDUP(MAX(J280/IF(BZ280&gt;0,BZ280,MAX(0.1,N(Cockpit!$O$6))),CC280)/BS280,0)*BS280</f>
        <v>60</v>
      </c>
      <c r="BA280" s="58" t="n">
        <f aca="false">IF(AX280&gt;0,J280/AX280,-1)</f>
        <v>728</v>
      </c>
      <c r="BB280" s="58" t="n">
        <f aca="false">IF(AND(OR(BY280="L1",BY280="L23"),AX280&gt;0),SUMIFS($AX$7:$AX$1843,$BY$7:$BY$1843,BY280,$BA$7:$BA$1843,"&gt;"&amp;BA280)+SUMIFS($AX$7:$AX$1843,$BY$7:$BY$1843,BY280,$BA$7:$BA$1843,BA280,$BQ$7:$BQ$1843,"&lt;="&amp;BQ280),"")</f>
        <v>27.5637056180534</v>
      </c>
      <c r="BC280" s="65" t="n">
        <f aca="false">IF(BB280="",0,MAX(0,MIN(1,(IF(BY280="L1",Parameter!$E$5,Parameter!$E$6+Parameter!$E$7)-(BB280-AX280))/AX280)))</f>
        <v>1</v>
      </c>
      <c r="BD280" s="55" t="str">
        <f aca="false">IF(AH280&lt;=0,"",IF(BY280="Aussen","Aussenlager",IF(BY280="-","Nicht im Lift",IF(AM280&gt;=1,"Lift",IF(AM280&lt;=0,"Aussenlager","teilweise")))))</f>
        <v>Lift</v>
      </c>
      <c r="BE280" s="55" t="str">
        <f aca="false">IF(AP280&lt;=0,"",IF(BY280="Aussen","Aussenlager",IF(BY280="-","Nicht im Lift",IF(AU280&gt;=1,"Lift",IF(AU280&lt;=0,"Aussenlager","teilweise")))))</f>
        <v>Lift</v>
      </c>
      <c r="BF280" s="55" t="str">
        <f aca="false">IF(AX280&lt;=0,"",IF(BY280="Aussen","Aussenlager",IF(BY280="-","Nicht im Lift",IF(BC280&gt;=1,"Lift",IF(BC280&lt;=0,"Aussenlager","teilweise")))))</f>
        <v>Lift</v>
      </c>
      <c r="BG280" s="55" t="str">
        <f aca="false">IF(A280="","",IF(BP280=1,"Neu; ","")&amp;IF(AND(BP280=0,BK280&lt;0),"negativer Bestand (Export "&amp;BK280&amp;"); ","")&amp;IF(J280&lt;=0,"Kein Verbrauch; ","")&amp;IF(CH280&gt;0,"Lift "&amp;W280&amp;" lt. Liftbericht (Fach "&amp;X280&amp;" Stk); ",IF(BU280=1,"Gebinde geschätzt ("&amp;T280&amp;"); ",IF(BT280=1,"Lose – Tablare geschätzt; ","")))&amp;IF(H280&gt;AR280,"Überbestand "&amp;ROUND(H280-AR280,0)&amp;" Stk / CHF "&amp;ROUND((H280-AR280)*G280,0)&amp;"; ","")&amp;IF(AND(CA280=1,CB280&lt;CC280),"MAX &lt; MB+LG; ","")&amp;IF(AND(CG280&gt;0,CF280*10&gt;CG280),"zu hoch für Tablar; ","")&amp;IF(AND(BP280=0,OR(CA280=1,AA280&lt;&gt;"",U280&lt;&gt;"",V280&lt;&gt;"",AB280&lt;&gt;"")),"manuell übersteuert; ","")&amp;IF(AND(BT280=0,R280=0),"Gebinde unbekannt / Stellmass fehlt; ","")&amp;IF(AND(BT280=0,N(V280)&lt;=0,N(Q280)&lt;=0),"Menge pro Gebinde fehlt (Ist = 1 Gebinde); ","")&amp;BO280)</f>
        <v/>
      </c>
      <c r="BH280" s="55"/>
      <c r="BI280" s="55"/>
      <c r="BJ280" s="62"/>
      <c r="BK280" s="57" t="n">
        <v>25</v>
      </c>
      <c r="BL280" s="57" t="n">
        <v>13</v>
      </c>
      <c r="BM280" s="56" t="n">
        <v>351.06</v>
      </c>
      <c r="BN280" s="57" t="n">
        <v>56</v>
      </c>
      <c r="BO280" s="55"/>
      <c r="BP280" s="60" t="n">
        <v>0</v>
      </c>
      <c r="BQ280" s="60" t="n">
        <v>280</v>
      </c>
      <c r="BR280" s="55" t="str">
        <f aca="false">IF(U280&lt;&gt;"",UPPER(TRIM(U280)),IF(BU280=1,UPPER(VLOOKUP(T280,Parameter!$I$27:$K$29,2,0)),IF(P280="","LOSE",P280)))</f>
        <v>S52</v>
      </c>
      <c r="BS280" s="57" t="n">
        <f aca="false">IF(BR280="LOSE",1,IF(N(V280)&gt;0,V280,IF(BU280=1,MAX(1,N(VLOOKUP(T280,Parameter!$I$27:$K$29,3,0)),H280,N(N280)),IF(N(Q280)&gt;0,Q280,MAX(1,H280)))))</f>
        <v>30</v>
      </c>
      <c r="BT280" s="60" t="n">
        <f aca="false">IF(BR280="LOSE",1,0)</f>
        <v>0</v>
      </c>
      <c r="BU280" s="60" t="n">
        <f aca="false">IF(AND(U280="",OR(P280="",P280="LOSE"),T280&lt;&gt;"",N(S280)&lt;=0,ISNUMBER(MATCH(T280,Parameter!$I$27:$I$29,0))),1,0)</f>
        <v>0</v>
      </c>
      <c r="BV280" s="55" t="str">
        <f aca="false">IF(AND(Parameter!$B$19="Ja",E280&lt;&gt;"",ISNUMBER(MATCH(E280,Parameter!$I$35:$I$52,0))),VLOOKUP(E280,Parameter!$I$35:$J$52,2,0),IFERROR(VLOOKUP(D280,Parameter!$A$35:$C$64,2,0),"Nein"))</f>
        <v>2+3</v>
      </c>
      <c r="BW280" s="59" t="n">
        <f aca="false">IF(BT280=0,0,IF(N(S280)&gt;0,S280,IFERROR(VLOOKUP(D280,Parameter!$A$35:$C$64,3,0)+0,0)))</f>
        <v>0</v>
      </c>
      <c r="BX280" s="55" t="n">
        <f aca="false">IF(AA280&lt;&gt;"",AA280,Z280)</f>
        <v>3</v>
      </c>
      <c r="BY280" s="55" t="str">
        <f aca="false">IF(BX280=1,"L1",IF(OR(BX280=2,BX280=3),"L23",IF(BX280="Aussen","Aussen","-")))</f>
        <v>L23</v>
      </c>
      <c r="BZ280" s="66" t="n">
        <f aca="false">IF(N(AB280)&gt;0,AB280,0)</f>
        <v>0</v>
      </c>
      <c r="CA280" s="60" t="n">
        <f aca="false">IF(ISNUMBER(AE280),1,0)</f>
        <v>0</v>
      </c>
      <c r="CB280" s="57" t="n">
        <f aca="false">N(AE280)</f>
        <v>0</v>
      </c>
      <c r="CC280" s="57" t="n">
        <f aca="false">N(M280)+N(N280)</f>
        <v>59</v>
      </c>
      <c r="CD280" s="57" t="n">
        <f aca="false">ROUNDUP(H280/BS280,0)</f>
        <v>2</v>
      </c>
      <c r="CE280" s="57" t="n">
        <f aca="false">ROUNDUP(CB280/BS280,0)</f>
        <v>0</v>
      </c>
      <c r="CF280" s="60" t="n">
        <f aca="false">IF(BT280=1,0,IFERROR(VLOOKUP(BR280,'Gebinde-Kategorie'!$A$5:$M$45,5,0)+0,0))</f>
        <v>21</v>
      </c>
      <c r="CG280" s="60" t="n">
        <f aca="false">IFERROR(IF(OR(BX280=1,BX280=2,BX280=3),N(INDEX(Parameter!$I$5:$I$7,BX280)),0),0)</f>
        <v>0</v>
      </c>
      <c r="CH280" s="59" t="n">
        <f aca="false">IF(AND(Parameter!$B$21="Ja",ISNUMBER(W280),N(X280)&gt;0),IFERROR(N(INDEX(Parameter!$L$5:$L$7,W280))*INDEX(Parameter!$E$5:$E$7,W280)*X280/SUMIFS($X$7:$X$1843,$W$7:$W$1843,W280),0),0)</f>
        <v>0</v>
      </c>
    </row>
    <row r="281" customFormat="false" ht="15" hidden="false" customHeight="false" outlineLevel="0" collapsed="false">
      <c r="A281" s="55" t="s">
        <v>737</v>
      </c>
      <c r="B281" s="55" t="s">
        <v>532</v>
      </c>
      <c r="C281" s="55" t="s">
        <v>164</v>
      </c>
      <c r="D281" s="55" t="s">
        <v>184</v>
      </c>
      <c r="E281" s="55" t="s">
        <v>185</v>
      </c>
      <c r="F281" s="55" t="s">
        <v>218</v>
      </c>
      <c r="G281" s="56" t="n">
        <v>10</v>
      </c>
      <c r="H281" s="57" t="n">
        <f aca="false">MAX(0,IF(AND(Parameter!$B$21="Ja",ISNUMBER(Y281)),Y281,IF(Parameter!$B$20="Jahresanfang 2025 + Export",BL281+BK281,BK281)))</f>
        <v>52</v>
      </c>
      <c r="I281" s="57" t="n">
        <f aca="false">H281*G281</f>
        <v>520</v>
      </c>
      <c r="J281" s="57" t="n">
        <f aca="false">BN281*Parameter!$B$18</f>
        <v>0</v>
      </c>
      <c r="K281" s="58" t="n">
        <v>34.5</v>
      </c>
      <c r="L281" s="59" t="n">
        <v>0</v>
      </c>
      <c r="M281" s="57" t="n">
        <v>0</v>
      </c>
      <c r="N281" s="57" t="n">
        <v>1</v>
      </c>
      <c r="O281" s="60" t="n">
        <v>14</v>
      </c>
      <c r="P281" s="55" t="s">
        <v>302</v>
      </c>
      <c r="Q281" s="57" t="n">
        <v>44</v>
      </c>
      <c r="R281" s="60" t="n">
        <f aca="false">IF(BT281=1,0,IFERROR(VLOOKUP(BR281,'Gebinde-Kategorie'!$A$5:$M$45,13,0)+0,0))</f>
        <v>26</v>
      </c>
      <c r="S281" s="61"/>
      <c r="T281" s="62"/>
      <c r="U281" s="62"/>
      <c r="V281" s="62"/>
      <c r="W281" s="55"/>
      <c r="X281" s="57"/>
      <c r="Y281" s="57"/>
      <c r="Z281" s="55" t="n">
        <f aca="false">IF(A281="","",IF(AND(Parameter!$B$21="Ja",ISNUMBER(W281)),W281,IF(BV281="2+3",IF(ISNUMBER(SEARCH("grosser Artikel",BO281)),2,IFERROR(VLOOKUP(BR281,Parameter!$F$35:$G$64,2,0),2)),IF(OR(BV281="Nein",BV281=""),"-",BV281))))</f>
        <v>3</v>
      </c>
      <c r="AA281" s="62"/>
      <c r="AB281" s="63"/>
      <c r="AC281" s="57" t="n">
        <f aca="false">AR281</f>
        <v>44</v>
      </c>
      <c r="AD281" s="57" t="n">
        <f aca="false">MAX(AR281,H281)</f>
        <v>52</v>
      </c>
      <c r="AE281" s="64"/>
      <c r="AF281" s="57" t="n">
        <f aca="false">IF(LEFT(Cockpit!$C$5,1)="A",H281,IF(CA281=1,CB281,IF(LEFT(Cockpit!$C$5,1)="B",AJ281,MAX(AJ281,H281))))</f>
        <v>52</v>
      </c>
      <c r="AG281" s="57" t="n">
        <f aca="false">IF(BT281=1,0,ROUNDUP(AF281/BS281,0))</f>
        <v>2</v>
      </c>
      <c r="AH281" s="59" t="n">
        <f aca="false">IF(CH281&gt;0,CH281*MAX(1,AF281/X281),IF(BT281=1,IF(AF281&lt;=0,0,BW281*MAX(1,IF(H281&gt;0,AF281/H281,1))),IF(R281&gt;0,AG281/R281,0))/MAX(0.1,N(Parameter!$M$21)))</f>
        <v>0.0769230769230769</v>
      </c>
      <c r="AI281" s="57" t="n">
        <f aca="false">AF281*G281</f>
        <v>520</v>
      </c>
      <c r="AJ281" s="57" t="n">
        <f aca="false">ROUNDUP(MAX(J281/IF(BZ281&gt;0,BZ281,MAX(0.1,N(Cockpit!$C$6))),CC281)/BS281,0)*BS281</f>
        <v>44</v>
      </c>
      <c r="AK281" s="58" t="n">
        <f aca="false">IF(AH281&gt;0,J281/AH281,-1)</f>
        <v>0</v>
      </c>
      <c r="AL281" s="58" t="n">
        <f aca="false">IF(AND(OR(BY281="L1",BY281="L23"),AH281&gt;0),SUMIFS($AH$7:$AH$1843,$BY$7:$BY$1843,BY281,$AK$7:$AK$1843,"&gt;"&amp;AK281)+SUMIFS($AH$7:$AH$1843,$BY$7:$BY$1843,BY281,$AK$7:$AK$1843,AK281,$BQ$7:$BQ$1843,"&lt;="&amp;BQ281),"")</f>
        <v>71.9840630384109</v>
      </c>
      <c r="AM281" s="65" t="n">
        <f aca="false">IF(AL281="",0,MAX(0,MIN(1,(IF(BY281="L1",Parameter!$E$5,Parameter!$E$6+Parameter!$E$7)-(AL281-AH281))/AH281)))</f>
        <v>1</v>
      </c>
      <c r="AN281" s="57" t="n">
        <f aca="false">IF(LEFT(Cockpit!$I$5,1)="A",H281,IF(CA281=1,CB281,IF(LEFT(Cockpit!$I$5,1)="B",AR281,MAX(AR281,H281))))</f>
        <v>52</v>
      </c>
      <c r="AO281" s="57" t="n">
        <f aca="false">IF(BT281=1,0,ROUNDUP(AN281/BS281,0))</f>
        <v>2</v>
      </c>
      <c r="AP281" s="59" t="n">
        <f aca="false">IF(CH281&gt;0,CH281*MAX(1,AN281/X281),IF(BT281=1,IF(AN281&lt;=0,0,BW281*MAX(1,IF(H281&gt;0,AN281/H281,1))),IF(R281&gt;0,AO281/R281,0))/MAX(0.1,N(Parameter!$M$21)))</f>
        <v>0.0769230769230769</v>
      </c>
      <c r="AQ281" s="57" t="n">
        <f aca="false">AN281*G281</f>
        <v>520</v>
      </c>
      <c r="AR281" s="57" t="n">
        <f aca="false">ROUNDUP(MAX(J281/IF(BZ281&gt;0,BZ281,MAX(0.1,N(Cockpit!$I$6))),CC281)/BS281,0)*BS281</f>
        <v>44</v>
      </c>
      <c r="AS281" s="58" t="n">
        <f aca="false">IF(AP281&gt;0,J281/AP281,-1)</f>
        <v>0</v>
      </c>
      <c r="AT281" s="58" t="n">
        <f aca="false">IF(AND(OR(BY281="L1",BY281="L23"),AP281&gt;0),SUMIFS($AP$7:$AP$1843,$BY$7:$BY$1843,BY281,$AS$7:$AS$1843,"&gt;"&amp;AS281)+SUMIFS($AP$7:$AP$1843,$BY$7:$BY$1843,BY281,$AS$7:$AS$1843,AS281,$BQ$7:$BQ$1843,"&lt;="&amp;BQ281),"")</f>
        <v>111.408187223405</v>
      </c>
      <c r="AU281" s="65" t="n">
        <f aca="false">IF(AT281="",0,MAX(0,MIN(1,(IF(BY281="L1",Parameter!$E$5,Parameter!$E$6+Parameter!$E$7)-(AT281-AP281))/AP281)))</f>
        <v>0</v>
      </c>
      <c r="AV281" s="57" t="n">
        <f aca="false">IF(LEFT(Cockpit!$O$5,1)="A",H281,IF(CA281=1,CB281,IF(LEFT(Cockpit!$O$5,1)="B",AZ281,MAX(AZ281,H281))))</f>
        <v>52</v>
      </c>
      <c r="AW281" s="57" t="n">
        <f aca="false">IF(BT281=1,0,ROUNDUP(AV281/BS281,0))</f>
        <v>2</v>
      </c>
      <c r="AX281" s="59" t="n">
        <f aca="false">IF(CH281&gt;0,CH281*MAX(1,AV281/X281),IF(BT281=1,IF(AV281&lt;=0,0,BW281*MAX(1,IF(H281&gt;0,AV281/H281,1))),IF(R281&gt;0,AW281/R281,0))/MAX(0.1,N(Parameter!$M$21)))</f>
        <v>0.0769230769230769</v>
      </c>
      <c r="AY281" s="57" t="n">
        <f aca="false">AV281*G281</f>
        <v>520</v>
      </c>
      <c r="AZ281" s="57" t="n">
        <f aca="false">ROUNDUP(MAX(J281/IF(BZ281&gt;0,BZ281,MAX(0.1,N(Cockpit!$O$6))),CC281)/BS281,0)*BS281</f>
        <v>44</v>
      </c>
      <c r="BA281" s="58" t="n">
        <f aca="false">IF(AX281&gt;0,J281/AX281,-1)</f>
        <v>0</v>
      </c>
      <c r="BB281" s="58" t="n">
        <f aca="false">IF(AND(OR(BY281="L1",BY281="L23"),AX281&gt;0),SUMIFS($AX$7:$AX$1843,$BY$7:$BY$1843,BY281,$BA$7:$BA$1843,"&gt;"&amp;BA281)+SUMIFS($AX$7:$AX$1843,$BY$7:$BY$1843,BY281,$BA$7:$BA$1843,BA281,$BQ$7:$BQ$1843,"&lt;="&amp;BQ281),"")</f>
        <v>102.238024053241</v>
      </c>
      <c r="BC281" s="65" t="n">
        <f aca="false">IF(BB281="",0,MAX(0,MIN(1,(IF(BY281="L1",Parameter!$E$5,Parameter!$E$6+Parameter!$E$7)-(BB281-AX281))/AX281)))</f>
        <v>0</v>
      </c>
      <c r="BD281" s="55" t="str">
        <f aca="false">IF(AH281&lt;=0,"",IF(BY281="Aussen","Aussenlager",IF(BY281="-","Nicht im Lift",IF(AM281&gt;=1,"Lift",IF(AM281&lt;=0,"Aussenlager","teilweise")))))</f>
        <v>Lift</v>
      </c>
      <c r="BE281" s="55" t="str">
        <f aca="false">IF(AP281&lt;=0,"",IF(BY281="Aussen","Aussenlager",IF(BY281="-","Nicht im Lift",IF(AU281&gt;=1,"Lift",IF(AU281&lt;=0,"Aussenlager","teilweise")))))</f>
        <v>Aussenlager</v>
      </c>
      <c r="BF281" s="55" t="str">
        <f aca="false">IF(AX281&lt;=0,"",IF(BY281="Aussen","Aussenlager",IF(BY281="-","Nicht im Lift",IF(BC281&gt;=1,"Lift",IF(BC281&lt;=0,"Aussenlager","teilweise")))))</f>
        <v>Aussenlager</v>
      </c>
      <c r="BG281" s="55" t="str">
        <f aca="false">IF(A281="","",IF(BP281=1,"Neu; ","")&amp;IF(AND(BP281=0,BK281&lt;0),"negativer Bestand (Export "&amp;BK281&amp;"); ","")&amp;IF(J281&lt;=0,"Kein Verbrauch; ","")&amp;IF(CH281&gt;0,"Lift "&amp;W281&amp;" lt. Liftbericht (Fach "&amp;X281&amp;" Stk); ",IF(BU281=1,"Gebinde geschätzt ("&amp;T281&amp;"); ",IF(BT281=1,"Lose – Tablare geschätzt; ","")))&amp;IF(H281&gt;AR281,"Überbestand "&amp;ROUND(H281-AR281,0)&amp;" Stk / CHF "&amp;ROUND((H281-AR281)*G281,0)&amp;"; ","")&amp;IF(AND(CA281=1,CB281&lt;CC281),"MAX &lt; MB+LG; ","")&amp;IF(AND(CG281&gt;0,CF281*10&gt;CG281),"zu hoch für Tablar; ","")&amp;IF(AND(BP281=0,OR(CA281=1,AA281&lt;&gt;"",U281&lt;&gt;"",V281&lt;&gt;"",AB281&lt;&gt;"")),"manuell übersteuert; ","")&amp;IF(AND(BT281=0,R281=0),"Gebinde unbekannt / Stellmass fehlt; ","")&amp;IF(AND(BT281=0,N(V281)&lt;=0,N(Q281)&lt;=0),"Menge pro Gebinde fehlt (Ist = 1 Gebinde); ","")&amp;BO281)</f>
        <v>Kein Verbrauch; Überbestand 8 Stk / CHF 80; </v>
      </c>
      <c r="BH281" s="55"/>
      <c r="BI281" s="55"/>
      <c r="BJ281" s="62"/>
      <c r="BK281" s="57" t="n">
        <v>35</v>
      </c>
      <c r="BL281" s="57" t="n">
        <v>17</v>
      </c>
      <c r="BM281" s="56" t="n">
        <v>350</v>
      </c>
      <c r="BN281" s="57" t="n">
        <v>0</v>
      </c>
      <c r="BO281" s="55"/>
      <c r="BP281" s="60" t="n">
        <v>0</v>
      </c>
      <c r="BQ281" s="60" t="n">
        <v>281</v>
      </c>
      <c r="BR281" s="55" t="str">
        <f aca="false">IF(U281&lt;&gt;"",UPPER(TRIM(U281)),IF(BU281=1,UPPER(VLOOKUP(T281,Parameter!$I$27:$K$29,2,0)),IF(P281="","LOSE",P281)))</f>
        <v>S51</v>
      </c>
      <c r="BS281" s="57" t="n">
        <f aca="false">IF(BR281="LOSE",1,IF(N(V281)&gt;0,V281,IF(BU281=1,MAX(1,N(VLOOKUP(T281,Parameter!$I$27:$K$29,3,0)),H281,N(N281)),IF(N(Q281)&gt;0,Q281,MAX(1,H281)))))</f>
        <v>44</v>
      </c>
      <c r="BT281" s="60" t="n">
        <f aca="false">IF(BR281="LOSE",1,0)</f>
        <v>0</v>
      </c>
      <c r="BU281" s="60" t="n">
        <f aca="false">IF(AND(U281="",OR(P281="",P281="LOSE"),T281&lt;&gt;"",N(S281)&lt;=0,ISNUMBER(MATCH(T281,Parameter!$I$27:$I$29,0))),1,0)</f>
        <v>0</v>
      </c>
      <c r="BV281" s="55" t="str">
        <f aca="false">IF(AND(Parameter!$B$19="Ja",E281&lt;&gt;"",ISNUMBER(MATCH(E281,Parameter!$I$35:$I$52,0))),VLOOKUP(E281,Parameter!$I$35:$J$52,2,0),IFERROR(VLOOKUP(D281,Parameter!$A$35:$C$64,2,0),"Nein"))</f>
        <v>2+3</v>
      </c>
      <c r="BW281" s="59" t="n">
        <f aca="false">IF(BT281=0,0,IF(N(S281)&gt;0,S281,IFERROR(VLOOKUP(D281,Parameter!$A$35:$C$64,3,0)+0,0)))</f>
        <v>0</v>
      </c>
      <c r="BX281" s="55" t="n">
        <f aca="false">IF(AA281&lt;&gt;"",AA281,Z281)</f>
        <v>3</v>
      </c>
      <c r="BY281" s="55" t="str">
        <f aca="false">IF(BX281=1,"L1",IF(OR(BX281=2,BX281=3),"L23",IF(BX281="Aussen","Aussen","-")))</f>
        <v>L23</v>
      </c>
      <c r="BZ281" s="66" t="n">
        <f aca="false">IF(N(AB281)&gt;0,AB281,0)</f>
        <v>0</v>
      </c>
      <c r="CA281" s="60" t="n">
        <f aca="false">IF(ISNUMBER(AE281),1,0)</f>
        <v>0</v>
      </c>
      <c r="CB281" s="57" t="n">
        <f aca="false">N(AE281)</f>
        <v>0</v>
      </c>
      <c r="CC281" s="57" t="n">
        <f aca="false">N(M281)+N(N281)</f>
        <v>1</v>
      </c>
      <c r="CD281" s="57" t="n">
        <f aca="false">ROUNDUP(H281/BS281,0)</f>
        <v>2</v>
      </c>
      <c r="CE281" s="57" t="n">
        <f aca="false">ROUNDUP(CB281/BS281,0)</f>
        <v>0</v>
      </c>
      <c r="CF281" s="60" t="n">
        <f aca="false">IF(BT281=1,0,IFERROR(VLOOKUP(BR281,'Gebinde-Kategorie'!$A$5:$M$45,5,0)+0,0))</f>
        <v>11</v>
      </c>
      <c r="CG281" s="60" t="n">
        <f aca="false">IFERROR(IF(OR(BX281=1,BX281=2,BX281=3),N(INDEX(Parameter!$I$5:$I$7,BX281)),0),0)</f>
        <v>0</v>
      </c>
      <c r="CH281" s="59" t="n">
        <f aca="false">IF(AND(Parameter!$B$21="Ja",ISNUMBER(W281),N(X281)&gt;0),IFERROR(N(INDEX(Parameter!$L$5:$L$7,W281))*INDEX(Parameter!$E$5:$E$7,W281)*X281/SUMIFS($X$7:$X$1843,$W$7:$W$1843,W281),0),0)</f>
        <v>0</v>
      </c>
    </row>
    <row r="282" customFormat="false" ht="15" hidden="false" customHeight="false" outlineLevel="0" collapsed="false">
      <c r="A282" s="55" t="s">
        <v>738</v>
      </c>
      <c r="B282" s="55" t="s">
        <v>589</v>
      </c>
      <c r="C282" s="55" t="s">
        <v>164</v>
      </c>
      <c r="D282" s="55" t="s">
        <v>184</v>
      </c>
      <c r="E282" s="55" t="s">
        <v>185</v>
      </c>
      <c r="F282" s="55" t="s">
        <v>218</v>
      </c>
      <c r="G282" s="56" t="n">
        <v>1.62</v>
      </c>
      <c r="H282" s="57" t="n">
        <f aca="false">MAX(0,IF(AND(Parameter!$B$21="Ja",ISNUMBER(Y282)),Y282,IF(Parameter!$B$20="Jahresanfang 2025 + Export",BL282+BK282,BK282)))</f>
        <v>322</v>
      </c>
      <c r="I282" s="57" t="n">
        <f aca="false">H282*G282</f>
        <v>521.64</v>
      </c>
      <c r="J282" s="57" t="n">
        <f aca="false">BN282*Parameter!$B$18</f>
        <v>309</v>
      </c>
      <c r="K282" s="58" t="n">
        <v>85</v>
      </c>
      <c r="L282" s="59" t="n">
        <v>3.63529411764706</v>
      </c>
      <c r="M282" s="57" t="n">
        <v>18</v>
      </c>
      <c r="N282" s="57" t="n">
        <v>310</v>
      </c>
      <c r="O282" s="60" t="n">
        <v>21</v>
      </c>
      <c r="P282" s="55" t="s">
        <v>401</v>
      </c>
      <c r="Q282" s="57" t="n">
        <v>175</v>
      </c>
      <c r="R282" s="60" t="n">
        <f aca="false">IF(BT282=1,0,IFERROR(VLOOKUP(BR282,'Gebinde-Kategorie'!$A$5:$M$45,13,0)+0,0))</f>
        <v>414</v>
      </c>
      <c r="S282" s="61"/>
      <c r="T282" s="62"/>
      <c r="U282" s="62"/>
      <c r="V282" s="62"/>
      <c r="W282" s="55"/>
      <c r="X282" s="57"/>
      <c r="Y282" s="57"/>
      <c r="Z282" s="55" t="n">
        <f aca="false">IF(A282="","",IF(AND(Parameter!$B$21="Ja",ISNUMBER(W282)),W282,IF(BV282="2+3",IF(ISNUMBER(SEARCH("grosser Artikel",BO282)),2,IFERROR(VLOOKUP(BR282,Parameter!$F$35:$G$64,2,0),2)),IF(OR(BV282="Nein",BV282=""),"-",BV282))))</f>
        <v>3</v>
      </c>
      <c r="AA282" s="62"/>
      <c r="AB282" s="63"/>
      <c r="AC282" s="57" t="n">
        <f aca="false">AR282</f>
        <v>350</v>
      </c>
      <c r="AD282" s="57" t="n">
        <f aca="false">MAX(AR282,H282)</f>
        <v>350</v>
      </c>
      <c r="AE282" s="64"/>
      <c r="AF282" s="57" t="n">
        <f aca="false">IF(LEFT(Cockpit!$C$5,1)="A",H282,IF(CA282=1,CB282,IF(LEFT(Cockpit!$C$5,1)="B",AJ282,MAX(AJ282,H282))))</f>
        <v>322</v>
      </c>
      <c r="AG282" s="57" t="n">
        <f aca="false">IF(BT282=1,0,ROUNDUP(AF282/BS282,0))</f>
        <v>2</v>
      </c>
      <c r="AH282" s="59" t="n">
        <f aca="false">IF(CH282&gt;0,CH282*MAX(1,AF282/X282),IF(BT282=1,IF(AF282&lt;=0,0,BW282*MAX(1,IF(H282&gt;0,AF282/H282,1))),IF(R282&gt;0,AG282/R282,0))/MAX(0.1,N(Parameter!$M$21)))</f>
        <v>0.00483091787439614</v>
      </c>
      <c r="AI282" s="57" t="n">
        <f aca="false">AF282*G282</f>
        <v>521.64</v>
      </c>
      <c r="AJ282" s="57" t="n">
        <f aca="false">ROUNDUP(MAX(J282/IF(BZ282&gt;0,BZ282,MAX(0.1,N(Cockpit!$C$6))),CC282)/BS282,0)*BS282</f>
        <v>350</v>
      </c>
      <c r="AK282" s="58" t="n">
        <f aca="false">IF(AH282&gt;0,J282/AH282,-1)</f>
        <v>63963</v>
      </c>
      <c r="AL282" s="58" t="n">
        <f aca="false">IF(AND(OR(BY282="L1",BY282="L23"),AH282&gt;0),SUMIFS($AH$7:$AH$1843,$BY$7:$BY$1843,BY282,$AK$7:$AK$1843,"&gt;"&amp;AK282)+SUMIFS($AH$7:$AH$1843,$BY$7:$BY$1843,BY282,$AK$7:$AK$1843,AK282,$BQ$7:$BQ$1843,"&lt;="&amp;BQ282),"")</f>
        <v>0.927004155265025</v>
      </c>
      <c r="AM282" s="65" t="n">
        <f aca="false">IF(AL282="",0,MAX(0,MIN(1,(IF(BY282="L1",Parameter!$E$5,Parameter!$E$6+Parameter!$E$7)-(AL282-AH282))/AH282)))</f>
        <v>1</v>
      </c>
      <c r="AN282" s="57" t="n">
        <f aca="false">IF(LEFT(Cockpit!$I$5,1)="A",H282,IF(CA282=1,CB282,IF(LEFT(Cockpit!$I$5,1)="B",AR282,MAX(AR282,H282))))</f>
        <v>350</v>
      </c>
      <c r="AO282" s="57" t="n">
        <f aca="false">IF(BT282=1,0,ROUNDUP(AN282/BS282,0))</f>
        <v>2</v>
      </c>
      <c r="AP282" s="59" t="n">
        <f aca="false">IF(CH282&gt;0,CH282*MAX(1,AN282/X282),IF(BT282=1,IF(AN282&lt;=0,0,BW282*MAX(1,IF(H282&gt;0,AN282/H282,1))),IF(R282&gt;0,AO282/R282,0))/MAX(0.1,N(Parameter!$M$21)))</f>
        <v>0.00483091787439614</v>
      </c>
      <c r="AQ282" s="57" t="n">
        <f aca="false">AN282*G282</f>
        <v>567</v>
      </c>
      <c r="AR282" s="57" t="n">
        <f aca="false">ROUNDUP(MAX(J282/IF(BZ282&gt;0,BZ282,MAX(0.1,N(Cockpit!$I$6))),CC282)/BS282,0)*BS282</f>
        <v>350</v>
      </c>
      <c r="AS282" s="58" t="n">
        <f aca="false">IF(AP282&gt;0,J282/AP282,-1)</f>
        <v>63963</v>
      </c>
      <c r="AT282" s="58" t="n">
        <f aca="false">IF(AND(OR(BY282="L1",BY282="L23"),AP282&gt;0),SUMIFS($AP$7:$AP$1843,$BY$7:$BY$1843,BY282,$AS$7:$AS$1843,"&gt;"&amp;AS282)+SUMIFS($AP$7:$AP$1843,$BY$7:$BY$1843,BY282,$AS$7:$AS$1843,AS282,$BQ$7:$BQ$1843,"&lt;="&amp;BQ282),"")</f>
        <v>0.469629404412013</v>
      </c>
      <c r="AU282" s="65" t="n">
        <f aca="false">IF(AT282="",0,MAX(0,MIN(1,(IF(BY282="L1",Parameter!$E$5,Parameter!$E$6+Parameter!$E$7)-(AT282-AP282))/AP282)))</f>
        <v>1</v>
      </c>
      <c r="AV282" s="57" t="n">
        <f aca="false">IF(LEFT(Cockpit!$O$5,1)="A",H282,IF(CA282=1,CB282,IF(LEFT(Cockpit!$O$5,1)="B",AZ282,MAX(AZ282,H282))))</f>
        <v>350</v>
      </c>
      <c r="AW282" s="57" t="n">
        <f aca="false">IF(BT282=1,0,ROUNDUP(AV282/BS282,0))</f>
        <v>2</v>
      </c>
      <c r="AX282" s="59" t="n">
        <f aca="false">IF(CH282&gt;0,CH282*MAX(1,AV282/X282),IF(BT282=1,IF(AV282&lt;=0,0,BW282*MAX(1,IF(H282&gt;0,AV282/H282,1))),IF(R282&gt;0,AW282/R282,0))/MAX(0.1,N(Parameter!$M$21)))</f>
        <v>0.00483091787439614</v>
      </c>
      <c r="AY282" s="57" t="n">
        <f aca="false">AV282*G282</f>
        <v>567</v>
      </c>
      <c r="AZ282" s="57" t="n">
        <f aca="false">ROUNDUP(MAX(J282/IF(BZ282&gt;0,BZ282,MAX(0.1,N(Cockpit!$O$6))),CC282)/BS282,0)*BS282</f>
        <v>350</v>
      </c>
      <c r="BA282" s="58" t="n">
        <f aca="false">IF(AX282&gt;0,J282/AX282,-1)</f>
        <v>63963</v>
      </c>
      <c r="BB282" s="58" t="n">
        <f aca="false">IF(AND(OR(BY282="L1",BY282="L23"),AX282&gt;0),SUMIFS($AX$7:$AX$1843,$BY$7:$BY$1843,BY282,$BA$7:$BA$1843,"&gt;"&amp;BA282)+SUMIFS($AX$7:$AX$1843,$BY$7:$BY$1843,BY282,$BA$7:$BA$1843,BA282,$BQ$7:$BQ$1843,"&lt;="&amp;BQ282),"")</f>
        <v>0.715550150332759</v>
      </c>
      <c r="BC282" s="65" t="n">
        <f aca="false">IF(BB282="",0,MAX(0,MIN(1,(IF(BY282="L1",Parameter!$E$5,Parameter!$E$6+Parameter!$E$7)-(BB282-AX282))/AX282)))</f>
        <v>1</v>
      </c>
      <c r="BD282" s="55" t="str">
        <f aca="false">IF(AH282&lt;=0,"",IF(BY282="Aussen","Aussenlager",IF(BY282="-","Nicht im Lift",IF(AM282&gt;=1,"Lift",IF(AM282&lt;=0,"Aussenlager","teilweise")))))</f>
        <v>Lift</v>
      </c>
      <c r="BE282" s="55" t="str">
        <f aca="false">IF(AP282&lt;=0,"",IF(BY282="Aussen","Aussenlager",IF(BY282="-","Nicht im Lift",IF(AU282&gt;=1,"Lift",IF(AU282&lt;=0,"Aussenlager","teilweise")))))</f>
        <v>Lift</v>
      </c>
      <c r="BF282" s="55" t="str">
        <f aca="false">IF(AX282&lt;=0,"",IF(BY282="Aussen","Aussenlager",IF(BY282="-","Nicht im Lift",IF(BC282&gt;=1,"Lift",IF(BC282&lt;=0,"Aussenlager","teilweise")))))</f>
        <v>Lift</v>
      </c>
      <c r="BG282" s="55" t="str">
        <f aca="false">IF(A282="","",IF(BP282=1,"Neu; ","")&amp;IF(AND(BP282=0,BK282&lt;0),"negativer Bestand (Export "&amp;BK282&amp;"); ","")&amp;IF(J282&lt;=0,"Kein Verbrauch; ","")&amp;IF(CH282&gt;0,"Lift "&amp;W282&amp;" lt. Liftbericht (Fach "&amp;X282&amp;" Stk); ",IF(BU282=1,"Gebinde geschätzt ("&amp;T282&amp;"); ",IF(BT282=1,"Lose – Tablare geschätzt; ","")))&amp;IF(H282&gt;AR282,"Überbestand "&amp;ROUND(H282-AR282,0)&amp;" Stk / CHF "&amp;ROUND((H282-AR282)*G282,0)&amp;"; ","")&amp;IF(AND(CA282=1,CB282&lt;CC282),"MAX &lt; MB+LG; ","")&amp;IF(AND(CG282&gt;0,CF282*10&gt;CG282),"zu hoch für Tablar; ","")&amp;IF(AND(BP282=0,OR(CA282=1,AA282&lt;&gt;"",U282&lt;&gt;"",V282&lt;&gt;"",AB282&lt;&gt;"")),"manuell übersteuert; ","")&amp;IF(AND(BT282=0,R282=0),"Gebinde unbekannt / Stellmass fehlt; ","")&amp;IF(AND(BT282=0,N(V282)&lt;=0,N(Q282)&lt;=0),"Menge pro Gebinde fehlt (Ist = 1 Gebinde); ","")&amp;BO282)</f>
        <v/>
      </c>
      <c r="BH282" s="55"/>
      <c r="BI282" s="55"/>
      <c r="BJ282" s="62"/>
      <c r="BK282" s="57" t="n">
        <v>224</v>
      </c>
      <c r="BL282" s="57" t="n">
        <v>98</v>
      </c>
      <c r="BM282" s="56" t="n">
        <v>345.24</v>
      </c>
      <c r="BN282" s="57" t="n">
        <v>309</v>
      </c>
      <c r="BO282" s="55"/>
      <c r="BP282" s="60" t="n">
        <v>0</v>
      </c>
      <c r="BQ282" s="60" t="n">
        <v>282</v>
      </c>
      <c r="BR282" s="55" t="str">
        <f aca="false">IF(U282&lt;&gt;"",UPPER(TRIM(U282)),IF(BU282=1,UPPER(VLOOKUP(T282,Parameter!$I$27:$K$29,2,0)),IF(P282="","LOSE",P282)))</f>
        <v>S21</v>
      </c>
      <c r="BS282" s="57" t="n">
        <f aca="false">IF(BR282="LOSE",1,IF(N(V282)&gt;0,V282,IF(BU282=1,MAX(1,N(VLOOKUP(T282,Parameter!$I$27:$K$29,3,0)),H282,N(N282)),IF(N(Q282)&gt;0,Q282,MAX(1,H282)))))</f>
        <v>175</v>
      </c>
      <c r="BT282" s="60" t="n">
        <f aca="false">IF(BR282="LOSE",1,0)</f>
        <v>0</v>
      </c>
      <c r="BU282" s="60" t="n">
        <f aca="false">IF(AND(U282="",OR(P282="",P282="LOSE"),T282&lt;&gt;"",N(S282)&lt;=0,ISNUMBER(MATCH(T282,Parameter!$I$27:$I$29,0))),1,0)</f>
        <v>0</v>
      </c>
      <c r="BV282" s="55" t="str">
        <f aca="false">IF(AND(Parameter!$B$19="Ja",E282&lt;&gt;"",ISNUMBER(MATCH(E282,Parameter!$I$35:$I$52,0))),VLOOKUP(E282,Parameter!$I$35:$J$52,2,0),IFERROR(VLOOKUP(D282,Parameter!$A$35:$C$64,2,0),"Nein"))</f>
        <v>2+3</v>
      </c>
      <c r="BW282" s="59" t="n">
        <f aca="false">IF(BT282=0,0,IF(N(S282)&gt;0,S282,IFERROR(VLOOKUP(D282,Parameter!$A$35:$C$64,3,0)+0,0)))</f>
        <v>0</v>
      </c>
      <c r="BX282" s="55" t="n">
        <f aca="false">IF(AA282&lt;&gt;"",AA282,Z282)</f>
        <v>3</v>
      </c>
      <c r="BY282" s="55" t="str">
        <f aca="false">IF(BX282=1,"L1",IF(OR(BX282=2,BX282=3),"L23",IF(BX282="Aussen","Aussen","-")))</f>
        <v>L23</v>
      </c>
      <c r="BZ282" s="66" t="n">
        <f aca="false">IF(N(AB282)&gt;0,AB282,0)</f>
        <v>0</v>
      </c>
      <c r="CA282" s="60" t="n">
        <f aca="false">IF(ISNUMBER(AE282),1,0)</f>
        <v>0</v>
      </c>
      <c r="CB282" s="57" t="n">
        <f aca="false">N(AE282)</f>
        <v>0</v>
      </c>
      <c r="CC282" s="57" t="n">
        <f aca="false">N(M282)+N(N282)</f>
        <v>328</v>
      </c>
      <c r="CD282" s="57" t="n">
        <f aca="false">ROUNDUP(H282/BS282,0)</f>
        <v>2</v>
      </c>
      <c r="CE282" s="57" t="n">
        <f aca="false">ROUNDUP(CB282/BS282,0)</f>
        <v>0</v>
      </c>
      <c r="CF282" s="60" t="n">
        <f aca="false">IF(BT282=1,0,IFERROR(VLOOKUP(BR282,'Gebinde-Kategorie'!$A$5:$M$45,5,0)+0,0))</f>
        <v>8</v>
      </c>
      <c r="CG282" s="60" t="n">
        <f aca="false">IFERROR(IF(OR(BX282=1,BX282=2,BX282=3),N(INDEX(Parameter!$I$5:$I$7,BX282)),0),0)</f>
        <v>0</v>
      </c>
      <c r="CH282" s="59" t="n">
        <f aca="false">IF(AND(Parameter!$B$21="Ja",ISNUMBER(W282),N(X282)&gt;0),IFERROR(N(INDEX(Parameter!$L$5:$L$7,W282))*INDEX(Parameter!$E$5:$E$7,W282)*X282/SUMIFS($X$7:$X$1843,$W$7:$W$1843,W282),0),0)</f>
        <v>0</v>
      </c>
    </row>
    <row r="283" customFormat="false" ht="15" hidden="false" customHeight="false" outlineLevel="0" collapsed="false">
      <c r="A283" s="55" t="s">
        <v>739</v>
      </c>
      <c r="B283" s="55" t="s">
        <v>740</v>
      </c>
      <c r="C283" s="55" t="s">
        <v>164</v>
      </c>
      <c r="D283" s="55" t="s">
        <v>184</v>
      </c>
      <c r="E283" s="55"/>
      <c r="F283" s="55" t="s">
        <v>218</v>
      </c>
      <c r="G283" s="56" t="n">
        <v>22.11</v>
      </c>
      <c r="H283" s="57" t="n">
        <f aca="false">MAX(0,IF(AND(Parameter!$B$21="Ja",ISNUMBER(Y283)),Y283,IF(Parameter!$B$20="Jahresanfang 2025 + Export",BL283+BK283,BK283)))</f>
        <v>57</v>
      </c>
      <c r="I283" s="57" t="n">
        <f aca="false">H283*G283</f>
        <v>1260.27</v>
      </c>
      <c r="J283" s="57" t="n">
        <f aca="false">BN283*Parameter!$B$18</f>
        <v>152</v>
      </c>
      <c r="K283" s="58" t="n">
        <v>57</v>
      </c>
      <c r="L283" s="59" t="n">
        <v>2.66666666666667</v>
      </c>
      <c r="M283" s="57" t="n">
        <v>15</v>
      </c>
      <c r="N283" s="57" t="n">
        <v>24</v>
      </c>
      <c r="O283" s="60" t="n">
        <v>28</v>
      </c>
      <c r="P283" s="55" t="s">
        <v>186</v>
      </c>
      <c r="Q283" s="57" t="n">
        <v>80</v>
      </c>
      <c r="R283" s="60" t="n">
        <f aca="false">IF(BT283=1,0,IFERROR(VLOOKUP(BR283,'Gebinde-Kategorie'!$A$5:$M$45,13,0)+0,0))</f>
        <v>12</v>
      </c>
      <c r="S283" s="61"/>
      <c r="T283" s="62"/>
      <c r="U283" s="62"/>
      <c r="V283" s="62"/>
      <c r="W283" s="55"/>
      <c r="X283" s="57"/>
      <c r="Y283" s="57"/>
      <c r="Z283" s="55" t="n">
        <f aca="false">IF(A283="","",IF(AND(Parameter!$B$21="Ja",ISNUMBER(W283)),W283,IF(BV283="2+3",IF(ISNUMBER(SEARCH("grosser Artikel",BO283)),2,IFERROR(VLOOKUP(BR283,Parameter!$F$35:$G$64,2,0),2)),IF(OR(BV283="Nein",BV283=""),"-",BV283))))</f>
        <v>2</v>
      </c>
      <c r="AA283" s="62"/>
      <c r="AB283" s="63"/>
      <c r="AC283" s="57" t="n">
        <f aca="false">AR283</f>
        <v>80</v>
      </c>
      <c r="AD283" s="57" t="n">
        <f aca="false">MAX(AR283,H283)</f>
        <v>80</v>
      </c>
      <c r="AE283" s="64"/>
      <c r="AF283" s="57" t="n">
        <f aca="false">IF(LEFT(Cockpit!$C$5,1)="A",H283,IF(CA283=1,CB283,IF(LEFT(Cockpit!$C$5,1)="B",AJ283,MAX(AJ283,H283))))</f>
        <v>57</v>
      </c>
      <c r="AG283" s="57" t="n">
        <f aca="false">IF(BT283=1,0,ROUNDUP(AF283/BS283,0))</f>
        <v>1</v>
      </c>
      <c r="AH283" s="59" t="n">
        <f aca="false">IF(CH283&gt;0,CH283*MAX(1,AF283/X283),IF(BT283=1,IF(AF283&lt;=0,0,BW283*MAX(1,IF(H283&gt;0,AF283/H283,1))),IF(R283&gt;0,AG283/R283,0))/MAX(0.1,N(Parameter!$M$21)))</f>
        <v>0.0833333333333333</v>
      </c>
      <c r="AI283" s="57" t="n">
        <f aca="false">AF283*G283</f>
        <v>1260.27</v>
      </c>
      <c r="AJ283" s="57" t="n">
        <f aca="false">ROUNDUP(MAX(J283/IF(BZ283&gt;0,BZ283,MAX(0.1,N(Cockpit!$C$6))),CC283)/BS283,0)*BS283</f>
        <v>80</v>
      </c>
      <c r="AK283" s="58" t="n">
        <f aca="false">IF(AH283&gt;0,J283/AH283,-1)</f>
        <v>1824</v>
      </c>
      <c r="AL283" s="58" t="n">
        <f aca="false">IF(AND(OR(BY283="L1",BY283="L23"),AH283&gt;0),SUMIFS($AH$7:$AH$1843,$BY$7:$BY$1843,BY283,$AK$7:$AK$1843,"&gt;"&amp;AK283)+SUMIFS($AH$7:$AH$1843,$BY$7:$BY$1843,BY283,$AK$7:$AK$1843,AK283,$BQ$7:$BQ$1843,"&lt;="&amp;BQ283),"")</f>
        <v>14.1698084524171</v>
      </c>
      <c r="AM283" s="65" t="n">
        <f aca="false">IF(AL283="",0,MAX(0,MIN(1,(IF(BY283="L1",Parameter!$E$5,Parameter!$E$6+Parameter!$E$7)-(AL283-AH283))/AH283)))</f>
        <v>1</v>
      </c>
      <c r="AN283" s="57" t="n">
        <f aca="false">IF(LEFT(Cockpit!$I$5,1)="A",H283,IF(CA283=1,CB283,IF(LEFT(Cockpit!$I$5,1)="B",AR283,MAX(AR283,H283))))</f>
        <v>80</v>
      </c>
      <c r="AO283" s="57" t="n">
        <f aca="false">IF(BT283=1,0,ROUNDUP(AN283/BS283,0))</f>
        <v>1</v>
      </c>
      <c r="AP283" s="59" t="n">
        <f aca="false">IF(CH283&gt;0,CH283*MAX(1,AN283/X283),IF(BT283=1,IF(AN283&lt;=0,0,BW283*MAX(1,IF(H283&gt;0,AN283/H283,1))),IF(R283&gt;0,AO283/R283,0))/MAX(0.1,N(Parameter!$M$21)))</f>
        <v>0.0833333333333333</v>
      </c>
      <c r="AQ283" s="57" t="n">
        <f aca="false">AN283*G283</f>
        <v>1768.8</v>
      </c>
      <c r="AR283" s="57" t="n">
        <f aca="false">ROUNDUP(MAX(J283/IF(BZ283&gt;0,BZ283,MAX(0.1,N(Cockpit!$I$6))),CC283)/BS283,0)*BS283</f>
        <v>80</v>
      </c>
      <c r="AS283" s="58" t="n">
        <f aca="false">IF(AP283&gt;0,J283/AP283,-1)</f>
        <v>1824</v>
      </c>
      <c r="AT283" s="58" t="n">
        <f aca="false">IF(AND(OR(BY283="L1",BY283="L23"),AP283&gt;0),SUMIFS($AP$7:$AP$1843,$BY$7:$BY$1843,BY283,$AS$7:$AS$1843,"&gt;"&amp;AS283)+SUMIFS($AP$7:$AP$1843,$BY$7:$BY$1843,BY283,$AS$7:$AS$1843,AS283,$BQ$7:$BQ$1843,"&lt;="&amp;BQ283),"")</f>
        <v>19.3240008783487</v>
      </c>
      <c r="AU283" s="65" t="n">
        <f aca="false">IF(AT283="",0,MAX(0,MIN(1,(IF(BY283="L1",Parameter!$E$5,Parameter!$E$6+Parameter!$E$7)-(AT283-AP283))/AP283)))</f>
        <v>1</v>
      </c>
      <c r="AV283" s="57" t="n">
        <f aca="false">IF(LEFT(Cockpit!$O$5,1)="A",H283,IF(CA283=1,CB283,IF(LEFT(Cockpit!$O$5,1)="B",AZ283,MAX(AZ283,H283))))</f>
        <v>80</v>
      </c>
      <c r="AW283" s="57" t="n">
        <f aca="false">IF(BT283=1,0,ROUNDUP(AV283/BS283,0))</f>
        <v>1</v>
      </c>
      <c r="AX283" s="59" t="n">
        <f aca="false">IF(CH283&gt;0,CH283*MAX(1,AV283/X283),IF(BT283=1,IF(AV283&lt;=0,0,BW283*MAX(1,IF(H283&gt;0,AV283/H283,1))),IF(R283&gt;0,AW283/R283,0))/MAX(0.1,N(Parameter!$M$21)))</f>
        <v>0.0833333333333333</v>
      </c>
      <c r="AY283" s="57" t="n">
        <f aca="false">AV283*G283</f>
        <v>1768.8</v>
      </c>
      <c r="AZ283" s="57" t="n">
        <f aca="false">ROUNDUP(MAX(J283/IF(BZ283&gt;0,BZ283,MAX(0.1,N(Cockpit!$O$6))),CC283)/BS283,0)*BS283</f>
        <v>80</v>
      </c>
      <c r="BA283" s="58" t="n">
        <f aca="false">IF(AX283&gt;0,J283/AX283,-1)</f>
        <v>1824</v>
      </c>
      <c r="BB283" s="58" t="n">
        <f aca="false">IF(AND(OR(BY283="L1",BY283="L23"),AX283&gt;0),SUMIFS($AX$7:$AX$1843,$BY$7:$BY$1843,BY283,$BA$7:$BA$1843,"&gt;"&amp;BA283)+SUMIFS($AX$7:$AX$1843,$BY$7:$BY$1843,BY283,$BA$7:$BA$1843,BA283,$BQ$7:$BQ$1843,"&lt;="&amp;BQ283),"")</f>
        <v>18.1858889902368</v>
      </c>
      <c r="BC283" s="65" t="n">
        <f aca="false">IF(BB283="",0,MAX(0,MIN(1,(IF(BY283="L1",Parameter!$E$5,Parameter!$E$6+Parameter!$E$7)-(BB283-AX283))/AX283)))</f>
        <v>1</v>
      </c>
      <c r="BD283" s="55" t="str">
        <f aca="false">IF(AH283&lt;=0,"",IF(BY283="Aussen","Aussenlager",IF(BY283="-","Nicht im Lift",IF(AM283&gt;=1,"Lift",IF(AM283&lt;=0,"Aussenlager","teilweise")))))</f>
        <v>Lift</v>
      </c>
      <c r="BE283" s="55" t="str">
        <f aca="false">IF(AP283&lt;=0,"",IF(BY283="Aussen","Aussenlager",IF(BY283="-","Nicht im Lift",IF(AU283&gt;=1,"Lift",IF(AU283&lt;=0,"Aussenlager","teilweise")))))</f>
        <v>Lift</v>
      </c>
      <c r="BF283" s="55" t="str">
        <f aca="false">IF(AX283&lt;=0,"",IF(BY283="Aussen","Aussenlager",IF(BY283="-","Nicht im Lift",IF(BC283&gt;=1,"Lift",IF(BC283&lt;=0,"Aussenlager","teilweise")))))</f>
        <v>Lift</v>
      </c>
      <c r="BG283" s="55" t="str">
        <f aca="false">IF(A283="","",IF(BP283=1,"Neu; ","")&amp;IF(AND(BP283=0,BK283&lt;0),"negativer Bestand (Export "&amp;BK283&amp;"); ","")&amp;IF(J283&lt;=0,"Kein Verbrauch; ","")&amp;IF(CH283&gt;0,"Lift "&amp;W283&amp;" lt. Liftbericht (Fach "&amp;X283&amp;" Stk); ",IF(BU283=1,"Gebinde geschätzt ("&amp;T283&amp;"); ",IF(BT283=1,"Lose – Tablare geschätzt; ","")))&amp;IF(H283&gt;AR283,"Überbestand "&amp;ROUND(H283-AR283,0)&amp;" Stk / CHF "&amp;ROUND((H283-AR283)*G283,0)&amp;"; ","")&amp;IF(AND(CA283=1,CB283&lt;CC283),"MAX &lt; MB+LG; ","")&amp;IF(AND(CG283&gt;0,CF283*10&gt;CG283),"zu hoch für Tablar; ","")&amp;IF(AND(BP283=0,OR(CA283=1,AA283&lt;&gt;"",U283&lt;&gt;"",V283&lt;&gt;"",AB283&lt;&gt;"")),"manuell übersteuert; ","")&amp;IF(AND(BT283=0,R283=0),"Gebinde unbekannt / Stellmass fehlt; ","")&amp;IF(AND(BT283=0,N(V283)&lt;=0,N(Q283)&lt;=0),"Menge pro Gebinde fehlt (Ist = 1 Gebinde); ","")&amp;BO283)</f>
        <v/>
      </c>
      <c r="BH283" s="55"/>
      <c r="BI283" s="55"/>
      <c r="BJ283" s="62"/>
      <c r="BK283" s="57" t="n">
        <v>19</v>
      </c>
      <c r="BL283" s="57" t="n">
        <v>38</v>
      </c>
      <c r="BM283" s="56" t="n">
        <v>339.15</v>
      </c>
      <c r="BN283" s="57" t="n">
        <v>152</v>
      </c>
      <c r="BO283" s="55"/>
      <c r="BP283" s="60" t="n">
        <v>0</v>
      </c>
      <c r="BQ283" s="60" t="n">
        <v>283</v>
      </c>
      <c r="BR283" s="55" t="str">
        <f aca="false">IF(U283&lt;&gt;"",UPPER(TRIM(U283)),IF(BU283=1,UPPER(VLOOKUP(T283,Parameter!$I$27:$K$29,2,0)),IF(P283="","LOSE",P283)))</f>
        <v>S61</v>
      </c>
      <c r="BS283" s="57" t="n">
        <f aca="false">IF(BR283="LOSE",1,IF(N(V283)&gt;0,V283,IF(BU283=1,MAX(1,N(VLOOKUP(T283,Parameter!$I$27:$K$29,3,0)),H283,N(N283)),IF(N(Q283)&gt;0,Q283,MAX(1,H283)))))</f>
        <v>80</v>
      </c>
      <c r="BT283" s="60" t="n">
        <f aca="false">IF(BR283="LOSE",1,0)</f>
        <v>0</v>
      </c>
      <c r="BU283" s="60" t="n">
        <f aca="false">IF(AND(U283="",OR(P283="",P283="LOSE"),T283&lt;&gt;"",N(S283)&lt;=0,ISNUMBER(MATCH(T283,Parameter!$I$27:$I$29,0))),1,0)</f>
        <v>0</v>
      </c>
      <c r="BV283" s="55" t="str">
        <f aca="false">IF(AND(Parameter!$B$19="Ja",E283&lt;&gt;"",ISNUMBER(MATCH(E283,Parameter!$I$35:$I$52,0))),VLOOKUP(E283,Parameter!$I$35:$J$52,2,0),IFERROR(VLOOKUP(D283,Parameter!$A$35:$C$64,2,0),"Nein"))</f>
        <v>2+3</v>
      </c>
      <c r="BW283" s="59" t="n">
        <f aca="false">IF(BT283=0,0,IF(N(S283)&gt;0,S283,IFERROR(VLOOKUP(D283,Parameter!$A$35:$C$64,3,0)+0,0)))</f>
        <v>0</v>
      </c>
      <c r="BX283" s="55" t="n">
        <f aca="false">IF(AA283&lt;&gt;"",AA283,Z283)</f>
        <v>2</v>
      </c>
      <c r="BY283" s="55" t="str">
        <f aca="false">IF(BX283=1,"L1",IF(OR(BX283=2,BX283=3),"L23",IF(BX283="Aussen","Aussen","-")))</f>
        <v>L23</v>
      </c>
      <c r="BZ283" s="66" t="n">
        <f aca="false">IF(N(AB283)&gt;0,AB283,0)</f>
        <v>0</v>
      </c>
      <c r="CA283" s="60" t="n">
        <f aca="false">IF(ISNUMBER(AE283),1,0)</f>
        <v>0</v>
      </c>
      <c r="CB283" s="57" t="n">
        <f aca="false">N(AE283)</f>
        <v>0</v>
      </c>
      <c r="CC283" s="57" t="n">
        <f aca="false">N(M283)+N(N283)</f>
        <v>39</v>
      </c>
      <c r="CD283" s="57" t="n">
        <f aca="false">ROUNDUP(H283/BS283,0)</f>
        <v>1</v>
      </c>
      <c r="CE283" s="57" t="n">
        <f aca="false">ROUNDUP(CB283/BS283,0)</f>
        <v>0</v>
      </c>
      <c r="CF283" s="60" t="n">
        <f aca="false">IF(BT283=1,0,IFERROR(VLOOKUP(BR283,'Gebinde-Kategorie'!$A$5:$M$45,5,0)+0,0))</f>
        <v>11</v>
      </c>
      <c r="CG283" s="60" t="n">
        <f aca="false">IFERROR(IF(OR(BX283=1,BX283=2,BX283=3),N(INDEX(Parameter!$I$5:$I$7,BX283)),0),0)</f>
        <v>0</v>
      </c>
      <c r="CH283" s="59" t="n">
        <f aca="false">IF(AND(Parameter!$B$21="Ja",ISNUMBER(W283),N(X283)&gt;0),IFERROR(N(INDEX(Parameter!$L$5:$L$7,W283))*INDEX(Parameter!$E$5:$E$7,W283)*X283/SUMIFS($X$7:$X$1843,$W$7:$W$1843,W283),0),0)</f>
        <v>0</v>
      </c>
    </row>
    <row r="284" customFormat="false" ht="15" hidden="false" customHeight="false" outlineLevel="0" collapsed="false">
      <c r="A284" s="55" t="s">
        <v>741</v>
      </c>
      <c r="B284" s="55" t="s">
        <v>468</v>
      </c>
      <c r="C284" s="55" t="s">
        <v>164</v>
      </c>
      <c r="D284" s="55" t="s">
        <v>184</v>
      </c>
      <c r="E284" s="55" t="s">
        <v>185</v>
      </c>
      <c r="F284" s="55" t="s">
        <v>218</v>
      </c>
      <c r="G284" s="56" t="n">
        <v>0.53</v>
      </c>
      <c r="H284" s="57" t="n">
        <f aca="false">MAX(0,IF(AND(Parameter!$B$21="Ja",ISNUMBER(Y284)),Y284,IF(Parameter!$B$20="Jahresanfang 2025 + Export",BL284+BK284,BK284)))</f>
        <v>981</v>
      </c>
      <c r="I284" s="57" t="n">
        <f aca="false">H284*G284</f>
        <v>519.93</v>
      </c>
      <c r="J284" s="57" t="n">
        <f aca="false">BN284*Parameter!$B$18</f>
        <v>1116</v>
      </c>
      <c r="K284" s="58" t="n">
        <v>450</v>
      </c>
      <c r="L284" s="59" t="n">
        <v>2.48</v>
      </c>
      <c r="M284" s="57" t="n">
        <v>43</v>
      </c>
      <c r="N284" s="57" t="n">
        <v>1115</v>
      </c>
      <c r="O284" s="60" t="n">
        <v>14</v>
      </c>
      <c r="P284" s="55" t="s">
        <v>328</v>
      </c>
      <c r="Q284" s="57" t="n">
        <v>470</v>
      </c>
      <c r="R284" s="60" t="n">
        <f aca="false">IF(BT284=1,0,IFERROR(VLOOKUP(BR284,'Gebinde-Kategorie'!$A$5:$M$45,13,0)+0,0))</f>
        <v>52</v>
      </c>
      <c r="S284" s="61"/>
      <c r="T284" s="62"/>
      <c r="U284" s="62"/>
      <c r="V284" s="62"/>
      <c r="W284" s="55"/>
      <c r="X284" s="57"/>
      <c r="Y284" s="57"/>
      <c r="Z284" s="55" t="n">
        <f aca="false">IF(A284="","",IF(AND(Parameter!$B$21="Ja",ISNUMBER(W284)),W284,IF(BV284="2+3",IF(ISNUMBER(SEARCH("grosser Artikel",BO284)),2,IFERROR(VLOOKUP(BR284,Parameter!$F$35:$G$64,2,0),2)),IF(OR(BV284="Nein",BV284=""),"-",BV284))))</f>
        <v>3</v>
      </c>
      <c r="AA284" s="62"/>
      <c r="AB284" s="63"/>
      <c r="AC284" s="57" t="n">
        <f aca="false">AR284</f>
        <v>1410</v>
      </c>
      <c r="AD284" s="57" t="n">
        <f aca="false">MAX(AR284,H284)</f>
        <v>1410</v>
      </c>
      <c r="AE284" s="64"/>
      <c r="AF284" s="57" t="n">
        <f aca="false">IF(LEFT(Cockpit!$C$5,1)="A",H284,IF(CA284=1,CB284,IF(LEFT(Cockpit!$C$5,1)="B",AJ284,MAX(AJ284,H284))))</f>
        <v>981</v>
      </c>
      <c r="AG284" s="57" t="n">
        <f aca="false">IF(BT284=1,0,ROUNDUP(AF284/BS284,0))</f>
        <v>3</v>
      </c>
      <c r="AH284" s="59" t="n">
        <f aca="false">IF(CH284&gt;0,CH284*MAX(1,AF284/X284),IF(BT284=1,IF(AF284&lt;=0,0,BW284*MAX(1,IF(H284&gt;0,AF284/H284,1))),IF(R284&gt;0,AG284/R284,0))/MAX(0.1,N(Parameter!$M$21)))</f>
        <v>0.0576923076923077</v>
      </c>
      <c r="AI284" s="57" t="n">
        <f aca="false">AF284*G284</f>
        <v>519.93</v>
      </c>
      <c r="AJ284" s="57" t="n">
        <f aca="false">ROUNDUP(MAX(J284/IF(BZ284&gt;0,BZ284,MAX(0.1,N(Cockpit!$C$6))),CC284)/BS284,0)*BS284</f>
        <v>1410</v>
      </c>
      <c r="AK284" s="58" t="n">
        <f aca="false">IF(AH284&gt;0,J284/AH284,-1)</f>
        <v>19344</v>
      </c>
      <c r="AL284" s="58" t="n">
        <f aca="false">IF(AND(OR(BY284="L1",BY284="L23"),AH284&gt;0),SUMIFS($AH$7:$AH$1843,$BY$7:$BY$1843,BY284,$AK$7:$AK$1843,"&gt;"&amp;AK284)+SUMIFS($AH$7:$AH$1843,$BY$7:$BY$1843,BY284,$AK$7:$AK$1843,AK284,$BQ$7:$BQ$1843,"&lt;="&amp;BQ284),"")</f>
        <v>3.70599810817202</v>
      </c>
      <c r="AM284" s="65" t="n">
        <f aca="false">IF(AL284="",0,MAX(0,MIN(1,(IF(BY284="L1",Parameter!$E$5,Parameter!$E$6+Parameter!$E$7)-(AL284-AH284))/AH284)))</f>
        <v>1</v>
      </c>
      <c r="AN284" s="57" t="n">
        <f aca="false">IF(LEFT(Cockpit!$I$5,1)="A",H284,IF(CA284=1,CB284,IF(LEFT(Cockpit!$I$5,1)="B",AR284,MAX(AR284,H284))))</f>
        <v>1410</v>
      </c>
      <c r="AO284" s="57" t="n">
        <f aca="false">IF(BT284=1,0,ROUNDUP(AN284/BS284,0))</f>
        <v>3</v>
      </c>
      <c r="AP284" s="59" t="n">
        <f aca="false">IF(CH284&gt;0,CH284*MAX(1,AN284/X284),IF(BT284=1,IF(AN284&lt;=0,0,BW284*MAX(1,IF(H284&gt;0,AN284/H284,1))),IF(R284&gt;0,AO284/R284,0))/MAX(0.1,N(Parameter!$M$21)))</f>
        <v>0.0576923076923077</v>
      </c>
      <c r="AQ284" s="57" t="n">
        <f aca="false">AN284*G284</f>
        <v>747.3</v>
      </c>
      <c r="AR284" s="57" t="n">
        <f aca="false">ROUNDUP(MAX(J284/IF(BZ284&gt;0,BZ284,MAX(0.1,N(Cockpit!$I$6))),CC284)/BS284,0)*BS284</f>
        <v>1410</v>
      </c>
      <c r="AS284" s="58" t="n">
        <f aca="false">IF(AP284&gt;0,J284/AP284,-1)</f>
        <v>19344</v>
      </c>
      <c r="AT284" s="58" t="n">
        <f aca="false">IF(AND(OR(BY284="L1",BY284="L23"),AP284&gt;0),SUMIFS($AP$7:$AP$1843,$BY$7:$BY$1843,BY284,$AS$7:$AS$1843,"&gt;"&amp;AS284)+SUMIFS($AP$7:$AP$1843,$BY$7:$BY$1843,BY284,$AS$7:$AS$1843,AS284,$BQ$7:$BQ$1843,"&lt;="&amp;BQ284),"")</f>
        <v>4.25901151988109</v>
      </c>
      <c r="AU284" s="65" t="n">
        <f aca="false">IF(AT284="",0,MAX(0,MIN(1,(IF(BY284="L1",Parameter!$E$5,Parameter!$E$6+Parameter!$E$7)-(AT284-AP284))/AP284)))</f>
        <v>1</v>
      </c>
      <c r="AV284" s="57" t="n">
        <f aca="false">IF(LEFT(Cockpit!$O$5,1)="A",H284,IF(CA284=1,CB284,IF(LEFT(Cockpit!$O$5,1)="B",AZ284,MAX(AZ284,H284))))</f>
        <v>1410</v>
      </c>
      <c r="AW284" s="57" t="n">
        <f aca="false">IF(BT284=1,0,ROUNDUP(AV284/BS284,0))</f>
        <v>3</v>
      </c>
      <c r="AX284" s="59" t="n">
        <f aca="false">IF(CH284&gt;0,CH284*MAX(1,AV284/X284),IF(BT284=1,IF(AV284&lt;=0,0,BW284*MAX(1,IF(H284&gt;0,AV284/H284,1))),IF(R284&gt;0,AW284/R284,0))/MAX(0.1,N(Parameter!$M$21)))</f>
        <v>0.0576923076923077</v>
      </c>
      <c r="AY284" s="57" t="n">
        <f aca="false">AV284*G284</f>
        <v>747.3</v>
      </c>
      <c r="AZ284" s="57" t="n">
        <f aca="false">ROUNDUP(MAX(J284/IF(BZ284&gt;0,BZ284,MAX(0.1,N(Cockpit!$O$6))),CC284)/BS284,0)*BS284</f>
        <v>1410</v>
      </c>
      <c r="BA284" s="58" t="n">
        <f aca="false">IF(AX284&gt;0,J284/AX284,-1)</f>
        <v>19344</v>
      </c>
      <c r="BB284" s="58" t="n">
        <f aca="false">IF(AND(OR(BY284="L1",BY284="L23"),AX284&gt;0),SUMIFS($AX$7:$AX$1843,$BY$7:$BY$1843,BY284,$BA$7:$BA$1843,"&gt;"&amp;BA284)+SUMIFS($AX$7:$AX$1843,$BY$7:$BY$1843,BY284,$BA$7:$BA$1843,BA284,$BQ$7:$BQ$1843,"&lt;="&amp;BQ284),"")</f>
        <v>3.89654065741022</v>
      </c>
      <c r="BC284" s="65" t="n">
        <f aca="false">IF(BB284="",0,MAX(0,MIN(1,(IF(BY284="L1",Parameter!$E$5,Parameter!$E$6+Parameter!$E$7)-(BB284-AX284))/AX284)))</f>
        <v>1</v>
      </c>
      <c r="BD284" s="55" t="str">
        <f aca="false">IF(AH284&lt;=0,"",IF(BY284="Aussen","Aussenlager",IF(BY284="-","Nicht im Lift",IF(AM284&gt;=1,"Lift",IF(AM284&lt;=0,"Aussenlager","teilweise")))))</f>
        <v>Lift</v>
      </c>
      <c r="BE284" s="55" t="str">
        <f aca="false">IF(AP284&lt;=0,"",IF(BY284="Aussen","Aussenlager",IF(BY284="-","Nicht im Lift",IF(AU284&gt;=1,"Lift",IF(AU284&lt;=0,"Aussenlager","teilweise")))))</f>
        <v>Lift</v>
      </c>
      <c r="BF284" s="55" t="str">
        <f aca="false">IF(AX284&lt;=0,"",IF(BY284="Aussen","Aussenlager",IF(BY284="-","Nicht im Lift",IF(BC284&gt;=1,"Lift",IF(BC284&lt;=0,"Aussenlager","teilweise")))))</f>
        <v>Lift</v>
      </c>
      <c r="BG284" s="55" t="str">
        <f aca="false">IF(A284="","",IF(BP284=1,"Neu; ","")&amp;IF(AND(BP284=0,BK284&lt;0),"negativer Bestand (Export "&amp;BK284&amp;"); ","")&amp;IF(J284&lt;=0,"Kein Verbrauch; ","")&amp;IF(CH284&gt;0,"Lift "&amp;W284&amp;" lt. Liftbericht (Fach "&amp;X284&amp;" Stk); ",IF(BU284=1,"Gebinde geschätzt ("&amp;T284&amp;"); ",IF(BT284=1,"Lose – Tablare geschätzt; ","")))&amp;IF(H284&gt;AR284,"Überbestand "&amp;ROUND(H284-AR284,0)&amp;" Stk / CHF "&amp;ROUND((H284-AR284)*G284,0)&amp;"; ","")&amp;IF(AND(CA284=1,CB284&lt;CC284),"MAX &lt; MB+LG; ","")&amp;IF(AND(CG284&gt;0,CF284*10&gt;CG284),"zu hoch für Tablar; ","")&amp;IF(AND(BP284=0,OR(CA284=1,AA284&lt;&gt;"",U284&lt;&gt;"",V284&lt;&gt;"",AB284&lt;&gt;"")),"manuell übersteuert; ","")&amp;IF(AND(BT284=0,R284=0),"Gebinde unbekannt / Stellmass fehlt; ","")&amp;IF(AND(BT284=0,N(V284)&lt;=0,N(Q284)&lt;=0),"Menge pro Gebinde fehlt (Ist = 1 Gebinde); ","")&amp;BO284)</f>
        <v/>
      </c>
      <c r="BH284" s="55"/>
      <c r="BI284" s="55"/>
      <c r="BJ284" s="62"/>
      <c r="BK284" s="57" t="n">
        <v>700</v>
      </c>
      <c r="BL284" s="57" t="n">
        <v>281</v>
      </c>
      <c r="BM284" s="56" t="n">
        <v>335.51</v>
      </c>
      <c r="BN284" s="57" t="n">
        <v>1116</v>
      </c>
      <c r="BO284" s="55"/>
      <c r="BP284" s="60" t="n">
        <v>0</v>
      </c>
      <c r="BQ284" s="60" t="n">
        <v>284</v>
      </c>
      <c r="BR284" s="55" t="str">
        <f aca="false">IF(U284&lt;&gt;"",UPPER(TRIM(U284)),IF(BU284=1,UPPER(VLOOKUP(T284,Parameter!$I$27:$K$29,2,0)),IF(P284="","LOSE",P284)))</f>
        <v>S41</v>
      </c>
      <c r="BS284" s="57" t="n">
        <f aca="false">IF(BR284="LOSE",1,IF(N(V284)&gt;0,V284,IF(BU284=1,MAX(1,N(VLOOKUP(T284,Parameter!$I$27:$K$29,3,0)),H284,N(N284)),IF(N(Q284)&gt;0,Q284,MAX(1,H284)))))</f>
        <v>470</v>
      </c>
      <c r="BT284" s="60" t="n">
        <f aca="false">IF(BR284="LOSE",1,0)</f>
        <v>0</v>
      </c>
      <c r="BU284" s="60" t="n">
        <f aca="false">IF(AND(U284="",OR(P284="",P284="LOSE"),T284&lt;&gt;"",N(S284)&lt;=0,ISNUMBER(MATCH(T284,Parameter!$I$27:$I$29,0))),1,0)</f>
        <v>0</v>
      </c>
      <c r="BV284" s="55" t="str">
        <f aca="false">IF(AND(Parameter!$B$19="Ja",E284&lt;&gt;"",ISNUMBER(MATCH(E284,Parameter!$I$35:$I$52,0))),VLOOKUP(E284,Parameter!$I$35:$J$52,2,0),IFERROR(VLOOKUP(D284,Parameter!$A$35:$C$64,2,0),"Nein"))</f>
        <v>2+3</v>
      </c>
      <c r="BW284" s="59" t="n">
        <f aca="false">IF(BT284=0,0,IF(N(S284)&gt;0,S284,IFERROR(VLOOKUP(D284,Parameter!$A$35:$C$64,3,0)+0,0)))</f>
        <v>0</v>
      </c>
      <c r="BX284" s="55" t="n">
        <f aca="false">IF(AA284&lt;&gt;"",AA284,Z284)</f>
        <v>3</v>
      </c>
      <c r="BY284" s="55" t="str">
        <f aca="false">IF(BX284=1,"L1",IF(OR(BX284=2,BX284=3),"L23",IF(BX284="Aussen","Aussen","-")))</f>
        <v>L23</v>
      </c>
      <c r="BZ284" s="66" t="n">
        <f aca="false">IF(N(AB284)&gt;0,AB284,0)</f>
        <v>0</v>
      </c>
      <c r="CA284" s="60" t="n">
        <f aca="false">IF(ISNUMBER(AE284),1,0)</f>
        <v>0</v>
      </c>
      <c r="CB284" s="57" t="n">
        <f aca="false">N(AE284)</f>
        <v>0</v>
      </c>
      <c r="CC284" s="57" t="n">
        <f aca="false">N(M284)+N(N284)</f>
        <v>1158</v>
      </c>
      <c r="CD284" s="57" t="n">
        <f aca="false">ROUNDUP(H284/BS284,0)</f>
        <v>3</v>
      </c>
      <c r="CE284" s="57" t="n">
        <f aca="false">ROUNDUP(CB284/BS284,0)</f>
        <v>0</v>
      </c>
      <c r="CF284" s="60" t="n">
        <f aca="false">IF(BT284=1,0,IFERROR(VLOOKUP(BR284,'Gebinde-Kategorie'!$A$5:$M$45,5,0)+0,0))</f>
        <v>11</v>
      </c>
      <c r="CG284" s="60" t="n">
        <f aca="false">IFERROR(IF(OR(BX284=1,BX284=2,BX284=3),N(INDEX(Parameter!$I$5:$I$7,BX284)),0),0)</f>
        <v>0</v>
      </c>
      <c r="CH284" s="59" t="n">
        <f aca="false">IF(AND(Parameter!$B$21="Ja",ISNUMBER(W284),N(X284)&gt;0),IFERROR(N(INDEX(Parameter!$L$5:$L$7,W284))*INDEX(Parameter!$E$5:$E$7,W284)*X284/SUMIFS($X$7:$X$1843,$W$7:$W$1843,W284),0),0)</f>
        <v>0</v>
      </c>
    </row>
    <row r="285" customFormat="false" ht="15" hidden="false" customHeight="false" outlineLevel="0" collapsed="false">
      <c r="A285" s="55" t="s">
        <v>742</v>
      </c>
      <c r="B285" s="55" t="s">
        <v>743</v>
      </c>
      <c r="C285" s="55" t="s">
        <v>164</v>
      </c>
      <c r="D285" s="55" t="s">
        <v>184</v>
      </c>
      <c r="E285" s="55" t="s">
        <v>185</v>
      </c>
      <c r="F285" s="55" t="s">
        <v>218</v>
      </c>
      <c r="G285" s="56" t="n">
        <v>51.14</v>
      </c>
      <c r="H285" s="57" t="n">
        <f aca="false">MAX(0,IF(AND(Parameter!$B$21="Ja",ISNUMBER(Y285)),Y285,IF(Parameter!$B$20="Jahresanfang 2025 + Export",BL285+BK285,BK285)))</f>
        <v>18</v>
      </c>
      <c r="I285" s="57" t="n">
        <f aca="false">H285*G285</f>
        <v>920.52</v>
      </c>
      <c r="J285" s="57" t="n">
        <f aca="false">BN285*Parameter!$B$18</f>
        <v>25</v>
      </c>
      <c r="K285" s="58" t="n">
        <v>13.5</v>
      </c>
      <c r="L285" s="59" t="n">
        <v>1.85185185185185</v>
      </c>
      <c r="M285" s="57" t="n">
        <v>2</v>
      </c>
      <c r="N285" s="57" t="n">
        <v>25</v>
      </c>
      <c r="O285" s="60" t="n">
        <v>35</v>
      </c>
      <c r="P285" s="55" t="s">
        <v>233</v>
      </c>
      <c r="Q285" s="57" t="n">
        <v>33</v>
      </c>
      <c r="R285" s="60" t="n">
        <f aca="false">IF(BT285=1,0,IFERROR(VLOOKUP(BR285,'Gebinde-Kategorie'!$A$5:$M$45,13,0)+0,0))</f>
        <v>26</v>
      </c>
      <c r="S285" s="61"/>
      <c r="T285" s="62"/>
      <c r="U285" s="62"/>
      <c r="V285" s="62"/>
      <c r="W285" s="55"/>
      <c r="X285" s="57"/>
      <c r="Y285" s="57"/>
      <c r="Z285" s="55" t="n">
        <f aca="false">IF(A285="","",IF(AND(Parameter!$B$21="Ja",ISNUMBER(W285)),W285,IF(BV285="2+3",IF(ISNUMBER(SEARCH("grosser Artikel",BO285)),2,IFERROR(VLOOKUP(BR285,Parameter!$F$35:$G$64,2,0),2)),IF(OR(BV285="Nein",BV285=""),"-",BV285))))</f>
        <v>3</v>
      </c>
      <c r="AA285" s="62"/>
      <c r="AB285" s="63"/>
      <c r="AC285" s="57" t="n">
        <f aca="false">AR285</f>
        <v>33</v>
      </c>
      <c r="AD285" s="57" t="n">
        <f aca="false">MAX(AR285,H285)</f>
        <v>33</v>
      </c>
      <c r="AE285" s="64"/>
      <c r="AF285" s="57" t="n">
        <f aca="false">IF(LEFT(Cockpit!$C$5,1)="A",H285,IF(CA285=1,CB285,IF(LEFT(Cockpit!$C$5,1)="B",AJ285,MAX(AJ285,H285))))</f>
        <v>18</v>
      </c>
      <c r="AG285" s="57" t="n">
        <f aca="false">IF(BT285=1,0,ROUNDUP(AF285/BS285,0))</f>
        <v>1</v>
      </c>
      <c r="AH285" s="59" t="n">
        <f aca="false">IF(CH285&gt;0,CH285*MAX(1,AF285/X285),IF(BT285=1,IF(AF285&lt;=0,0,BW285*MAX(1,IF(H285&gt;0,AF285/H285,1))),IF(R285&gt;0,AG285/R285,0))/MAX(0.1,N(Parameter!$M$21)))</f>
        <v>0.0384615384615385</v>
      </c>
      <c r="AI285" s="57" t="n">
        <f aca="false">AF285*G285</f>
        <v>920.52</v>
      </c>
      <c r="AJ285" s="57" t="n">
        <f aca="false">ROUNDUP(MAX(J285/IF(BZ285&gt;0,BZ285,MAX(0.1,N(Cockpit!$C$6))),CC285)/BS285,0)*BS285</f>
        <v>33</v>
      </c>
      <c r="AK285" s="58" t="n">
        <f aca="false">IF(AH285&gt;0,J285/AH285,-1)</f>
        <v>650</v>
      </c>
      <c r="AL285" s="58" t="n">
        <f aca="false">IF(AND(OR(BY285="L1",BY285="L23"),AH285&gt;0),SUMIFS($AH$7:$AH$1843,$BY$7:$BY$1843,BY285,$AK$7:$AK$1843,"&gt;"&amp;AK285)+SUMIFS($AH$7:$AH$1843,$BY$7:$BY$1843,BY285,$AK$7:$AK$1843,AK285,$BQ$7:$BQ$1843,"&lt;="&amp;BQ285),"")</f>
        <v>22.4121989121989</v>
      </c>
      <c r="AM285" s="65" t="n">
        <f aca="false">IF(AL285="",0,MAX(0,MIN(1,(IF(BY285="L1",Parameter!$E$5,Parameter!$E$6+Parameter!$E$7)-(AL285-AH285))/AH285)))</f>
        <v>1</v>
      </c>
      <c r="AN285" s="57" t="n">
        <f aca="false">IF(LEFT(Cockpit!$I$5,1)="A",H285,IF(CA285=1,CB285,IF(LEFT(Cockpit!$I$5,1)="B",AR285,MAX(AR285,H285))))</f>
        <v>33</v>
      </c>
      <c r="AO285" s="57" t="n">
        <f aca="false">IF(BT285=1,0,ROUNDUP(AN285/BS285,0))</f>
        <v>1</v>
      </c>
      <c r="AP285" s="59" t="n">
        <f aca="false">IF(CH285&gt;0,CH285*MAX(1,AN285/X285),IF(BT285=1,IF(AN285&lt;=0,0,BW285*MAX(1,IF(H285&gt;0,AN285/H285,1))),IF(R285&gt;0,AO285/R285,0))/MAX(0.1,N(Parameter!$M$21)))</f>
        <v>0.0384615384615385</v>
      </c>
      <c r="AQ285" s="57" t="n">
        <f aca="false">AN285*G285</f>
        <v>1687.62</v>
      </c>
      <c r="AR285" s="57" t="n">
        <f aca="false">ROUNDUP(MAX(J285/IF(BZ285&gt;0,BZ285,MAX(0.1,N(Cockpit!$I$6))),CC285)/BS285,0)*BS285</f>
        <v>33</v>
      </c>
      <c r="AS285" s="58" t="n">
        <f aca="false">IF(AP285&gt;0,J285/AP285,-1)</f>
        <v>650</v>
      </c>
      <c r="AT285" s="58" t="n">
        <f aca="false">IF(AND(OR(BY285="L1",BY285="L23"),AP285&gt;0),SUMIFS($AP$7:$AP$1843,$BY$7:$BY$1843,BY285,$AS$7:$AS$1843,"&gt;"&amp;AS285)+SUMIFS($AP$7:$AP$1843,$BY$7:$BY$1843,BY285,$AS$7:$AS$1843,AS285,$BQ$7:$BQ$1843,"&lt;="&amp;BQ285),"")</f>
        <v>30.0328198371677</v>
      </c>
      <c r="AU285" s="65" t="n">
        <f aca="false">IF(AT285="",0,MAX(0,MIN(1,(IF(BY285="L1",Parameter!$E$5,Parameter!$E$6+Parameter!$E$7)-(AT285-AP285))/AP285)))</f>
        <v>1</v>
      </c>
      <c r="AV285" s="57" t="n">
        <f aca="false">IF(LEFT(Cockpit!$O$5,1)="A",H285,IF(CA285=1,CB285,IF(LEFT(Cockpit!$O$5,1)="B",AZ285,MAX(AZ285,H285))))</f>
        <v>33</v>
      </c>
      <c r="AW285" s="57" t="n">
        <f aca="false">IF(BT285=1,0,ROUNDUP(AV285/BS285,0))</f>
        <v>1</v>
      </c>
      <c r="AX285" s="59" t="n">
        <f aca="false">IF(CH285&gt;0,CH285*MAX(1,AV285/X285),IF(BT285=1,IF(AV285&lt;=0,0,BW285*MAX(1,IF(H285&gt;0,AV285/H285,1))),IF(R285&gt;0,AW285/R285,0))/MAX(0.1,N(Parameter!$M$21)))</f>
        <v>0.0384615384615385</v>
      </c>
      <c r="AY285" s="57" t="n">
        <f aca="false">AV285*G285</f>
        <v>1687.62</v>
      </c>
      <c r="AZ285" s="57" t="n">
        <f aca="false">ROUNDUP(MAX(J285/IF(BZ285&gt;0,BZ285,MAX(0.1,N(Cockpit!$O$6))),CC285)/BS285,0)*BS285</f>
        <v>33</v>
      </c>
      <c r="BA285" s="58" t="n">
        <f aca="false">IF(AX285&gt;0,J285/AX285,-1)</f>
        <v>650</v>
      </c>
      <c r="BB285" s="58" t="n">
        <f aca="false">IF(AND(OR(BY285="L1",BY285="L23"),AX285&gt;0),SUMIFS($AX$7:$AX$1843,$BY$7:$BY$1843,BY285,$BA$7:$BA$1843,"&gt;"&amp;BA285)+SUMIFS($AX$7:$AX$1843,$BY$7:$BY$1843,BY285,$BA$7:$BA$1843,BA285,$BQ$7:$BQ$1843,"&lt;="&amp;BQ285),"")</f>
        <v>28.7344515387994</v>
      </c>
      <c r="BC285" s="65" t="n">
        <f aca="false">IF(BB285="",0,MAX(0,MIN(1,(IF(BY285="L1",Parameter!$E$5,Parameter!$E$6+Parameter!$E$7)-(BB285-AX285))/AX285)))</f>
        <v>1</v>
      </c>
      <c r="BD285" s="55" t="str">
        <f aca="false">IF(AH285&lt;=0,"",IF(BY285="Aussen","Aussenlager",IF(BY285="-","Nicht im Lift",IF(AM285&gt;=1,"Lift",IF(AM285&lt;=0,"Aussenlager","teilweise")))))</f>
        <v>Lift</v>
      </c>
      <c r="BE285" s="55" t="str">
        <f aca="false">IF(AP285&lt;=0,"",IF(BY285="Aussen","Aussenlager",IF(BY285="-","Nicht im Lift",IF(AU285&gt;=1,"Lift",IF(AU285&lt;=0,"Aussenlager","teilweise")))))</f>
        <v>Lift</v>
      </c>
      <c r="BF285" s="55" t="str">
        <f aca="false">IF(AX285&lt;=0,"",IF(BY285="Aussen","Aussenlager",IF(BY285="-","Nicht im Lift",IF(BC285&gt;=1,"Lift",IF(BC285&lt;=0,"Aussenlager","teilweise")))))</f>
        <v>Lift</v>
      </c>
      <c r="BG285" s="55" t="str">
        <f aca="false">IF(A285="","",IF(BP285=1,"Neu; ","")&amp;IF(AND(BP285=0,BK285&lt;0),"negativer Bestand (Export "&amp;BK285&amp;"); ","")&amp;IF(J285&lt;=0,"Kein Verbrauch; ","")&amp;IF(CH285&gt;0,"Lift "&amp;W285&amp;" lt. Liftbericht (Fach "&amp;X285&amp;" Stk); ",IF(BU285=1,"Gebinde geschätzt ("&amp;T285&amp;"); ",IF(BT285=1,"Lose – Tablare geschätzt; ","")))&amp;IF(H285&gt;AR285,"Überbestand "&amp;ROUND(H285-AR285,0)&amp;" Stk / CHF "&amp;ROUND((H285-AR285)*G285,0)&amp;"; ","")&amp;IF(AND(CA285=1,CB285&lt;CC285),"MAX &lt; MB+LG; ","")&amp;IF(AND(CG285&gt;0,CF285*10&gt;CG285),"zu hoch für Tablar; ","")&amp;IF(AND(BP285=0,OR(CA285=1,AA285&lt;&gt;"",U285&lt;&gt;"",V285&lt;&gt;"",AB285&lt;&gt;"")),"manuell übersteuert; ","")&amp;IF(AND(BT285=0,R285=0),"Gebinde unbekannt / Stellmass fehlt; ","")&amp;IF(AND(BT285=0,N(V285)&lt;=0,N(Q285)&lt;=0),"Menge pro Gebinde fehlt (Ist = 1 Gebinde); ","")&amp;BO285)</f>
        <v/>
      </c>
      <c r="BH285" s="55"/>
      <c r="BI285" s="55"/>
      <c r="BJ285" s="62"/>
      <c r="BK285" s="57" t="n">
        <v>7</v>
      </c>
      <c r="BL285" s="57" t="n">
        <v>11</v>
      </c>
      <c r="BM285" s="56" t="n">
        <v>326.52</v>
      </c>
      <c r="BN285" s="57" t="n">
        <v>25</v>
      </c>
      <c r="BO285" s="55"/>
      <c r="BP285" s="60" t="n">
        <v>0</v>
      </c>
      <c r="BQ285" s="60" t="n">
        <v>285</v>
      </c>
      <c r="BR285" s="55" t="str">
        <f aca="false">IF(U285&lt;&gt;"",UPPER(TRIM(U285)),IF(BU285=1,UPPER(VLOOKUP(T285,Parameter!$I$27:$K$29,2,0)),IF(P285="","LOSE",P285)))</f>
        <v>S52</v>
      </c>
      <c r="BS285" s="57" t="n">
        <f aca="false">IF(BR285="LOSE",1,IF(N(V285)&gt;0,V285,IF(BU285=1,MAX(1,N(VLOOKUP(T285,Parameter!$I$27:$K$29,3,0)),H285,N(N285)),IF(N(Q285)&gt;0,Q285,MAX(1,H285)))))</f>
        <v>33</v>
      </c>
      <c r="BT285" s="60" t="n">
        <f aca="false">IF(BR285="LOSE",1,0)</f>
        <v>0</v>
      </c>
      <c r="BU285" s="60" t="n">
        <f aca="false">IF(AND(U285="",OR(P285="",P285="LOSE"),T285&lt;&gt;"",N(S285)&lt;=0,ISNUMBER(MATCH(T285,Parameter!$I$27:$I$29,0))),1,0)</f>
        <v>0</v>
      </c>
      <c r="BV285" s="55" t="str">
        <f aca="false">IF(AND(Parameter!$B$19="Ja",E285&lt;&gt;"",ISNUMBER(MATCH(E285,Parameter!$I$35:$I$52,0))),VLOOKUP(E285,Parameter!$I$35:$J$52,2,0),IFERROR(VLOOKUP(D285,Parameter!$A$35:$C$64,2,0),"Nein"))</f>
        <v>2+3</v>
      </c>
      <c r="BW285" s="59" t="n">
        <f aca="false">IF(BT285=0,0,IF(N(S285)&gt;0,S285,IFERROR(VLOOKUP(D285,Parameter!$A$35:$C$64,3,0)+0,0)))</f>
        <v>0</v>
      </c>
      <c r="BX285" s="55" t="n">
        <f aca="false">IF(AA285&lt;&gt;"",AA285,Z285)</f>
        <v>3</v>
      </c>
      <c r="BY285" s="55" t="str">
        <f aca="false">IF(BX285=1,"L1",IF(OR(BX285=2,BX285=3),"L23",IF(BX285="Aussen","Aussen","-")))</f>
        <v>L23</v>
      </c>
      <c r="BZ285" s="66" t="n">
        <f aca="false">IF(N(AB285)&gt;0,AB285,0)</f>
        <v>0</v>
      </c>
      <c r="CA285" s="60" t="n">
        <f aca="false">IF(ISNUMBER(AE285),1,0)</f>
        <v>0</v>
      </c>
      <c r="CB285" s="57" t="n">
        <f aca="false">N(AE285)</f>
        <v>0</v>
      </c>
      <c r="CC285" s="57" t="n">
        <f aca="false">N(M285)+N(N285)</f>
        <v>27</v>
      </c>
      <c r="CD285" s="57" t="n">
        <f aca="false">ROUNDUP(H285/BS285,0)</f>
        <v>1</v>
      </c>
      <c r="CE285" s="57" t="n">
        <f aca="false">ROUNDUP(CB285/BS285,0)</f>
        <v>0</v>
      </c>
      <c r="CF285" s="60" t="n">
        <f aca="false">IF(BT285=1,0,IFERROR(VLOOKUP(BR285,'Gebinde-Kategorie'!$A$5:$M$45,5,0)+0,0))</f>
        <v>21</v>
      </c>
      <c r="CG285" s="60" t="n">
        <f aca="false">IFERROR(IF(OR(BX285=1,BX285=2,BX285=3),N(INDEX(Parameter!$I$5:$I$7,BX285)),0),0)</f>
        <v>0</v>
      </c>
      <c r="CH285" s="59" t="n">
        <f aca="false">IF(AND(Parameter!$B$21="Ja",ISNUMBER(W285),N(X285)&gt;0),IFERROR(N(INDEX(Parameter!$L$5:$L$7,W285))*INDEX(Parameter!$E$5:$E$7,W285)*X285/SUMIFS($X$7:$X$1843,$W$7:$W$1843,W285),0),0)</f>
        <v>0</v>
      </c>
    </row>
    <row r="286" customFormat="false" ht="15" hidden="false" customHeight="false" outlineLevel="0" collapsed="false">
      <c r="A286" s="55" t="s">
        <v>744</v>
      </c>
      <c r="B286" s="55" t="s">
        <v>745</v>
      </c>
      <c r="C286" s="55" t="s">
        <v>164</v>
      </c>
      <c r="D286" s="55" t="s">
        <v>184</v>
      </c>
      <c r="E286" s="55"/>
      <c r="F286" s="55" t="s">
        <v>218</v>
      </c>
      <c r="G286" s="56" t="n">
        <v>147.94</v>
      </c>
      <c r="H286" s="57" t="n">
        <f aca="false">MAX(0,IF(AND(Parameter!$B$21="Ja",ISNUMBER(Y286)),Y286,IF(Parameter!$B$20="Jahresanfang 2025 + Export",BL286+BK286,BK286)))</f>
        <v>4</v>
      </c>
      <c r="I286" s="57" t="n">
        <f aca="false">H286*G286</f>
        <v>591.76</v>
      </c>
      <c r="J286" s="57" t="n">
        <f aca="false">BN286*Parameter!$B$18</f>
        <v>0</v>
      </c>
      <c r="K286" s="58" t="n">
        <v>3</v>
      </c>
      <c r="L286" s="59" t="n">
        <v>0</v>
      </c>
      <c r="M286" s="57" t="n">
        <v>0</v>
      </c>
      <c r="N286" s="57" t="n">
        <v>1</v>
      </c>
      <c r="O286" s="60" t="n">
        <v>42</v>
      </c>
      <c r="P286" s="55" t="s">
        <v>293</v>
      </c>
      <c r="Q286" s="57" t="n">
        <v>4</v>
      </c>
      <c r="R286" s="60" t="n">
        <f aca="false">IF(BT286=1,0,IFERROR(VLOOKUP(BR286,'Gebinde-Kategorie'!$A$5:$M$45,13,0)+0,0))</f>
        <v>12</v>
      </c>
      <c r="S286" s="61"/>
      <c r="T286" s="62"/>
      <c r="U286" s="62"/>
      <c r="V286" s="62"/>
      <c r="W286" s="55"/>
      <c r="X286" s="57"/>
      <c r="Y286" s="57"/>
      <c r="Z286" s="55" t="n">
        <f aca="false">IF(A286="","",IF(AND(Parameter!$B$21="Ja",ISNUMBER(W286)),W286,IF(BV286="2+3",IF(ISNUMBER(SEARCH("grosser Artikel",BO286)),2,IFERROR(VLOOKUP(BR286,Parameter!$F$35:$G$64,2,0),2)),IF(OR(BV286="Nein",BV286=""),"-",BV286))))</f>
        <v>2</v>
      </c>
      <c r="AA286" s="62"/>
      <c r="AB286" s="63"/>
      <c r="AC286" s="57" t="n">
        <f aca="false">AR286</f>
        <v>4</v>
      </c>
      <c r="AD286" s="57" t="n">
        <f aca="false">MAX(AR286,H286)</f>
        <v>4</v>
      </c>
      <c r="AE286" s="64"/>
      <c r="AF286" s="57" t="n">
        <f aca="false">IF(LEFT(Cockpit!$C$5,1)="A",H286,IF(CA286=1,CB286,IF(LEFT(Cockpit!$C$5,1)="B",AJ286,MAX(AJ286,H286))))</f>
        <v>4</v>
      </c>
      <c r="AG286" s="57" t="n">
        <f aca="false">IF(BT286=1,0,ROUNDUP(AF286/BS286,0))</f>
        <v>1</v>
      </c>
      <c r="AH286" s="59" t="n">
        <f aca="false">IF(CH286&gt;0,CH286*MAX(1,AF286/X286),IF(BT286=1,IF(AF286&lt;=0,0,BW286*MAX(1,IF(H286&gt;0,AF286/H286,1))),IF(R286&gt;0,AG286/R286,0))/MAX(0.1,N(Parameter!$M$21)))</f>
        <v>0.0833333333333333</v>
      </c>
      <c r="AI286" s="57" t="n">
        <f aca="false">AF286*G286</f>
        <v>591.76</v>
      </c>
      <c r="AJ286" s="57" t="n">
        <f aca="false">ROUNDUP(MAX(J286/IF(BZ286&gt;0,BZ286,MAX(0.1,N(Cockpit!$C$6))),CC286)/BS286,0)*BS286</f>
        <v>4</v>
      </c>
      <c r="AK286" s="58" t="n">
        <f aca="false">IF(AH286&gt;0,J286/AH286,-1)</f>
        <v>0</v>
      </c>
      <c r="AL286" s="58" t="n">
        <f aca="false">IF(AND(OR(BY286="L1",BY286="L23"),AH286&gt;0),SUMIFS($AH$7:$AH$1843,$BY$7:$BY$1843,BY286,$AK$7:$AK$1843,"&gt;"&amp;AK286)+SUMIFS($AH$7:$AH$1843,$BY$7:$BY$1843,BY286,$AK$7:$AK$1843,AK286,$BQ$7:$BQ$1843,"&lt;="&amp;BQ286),"")</f>
        <v>72.0673963717442</v>
      </c>
      <c r="AM286" s="65" t="n">
        <f aca="false">IF(AL286="",0,MAX(0,MIN(1,(IF(BY286="L1",Parameter!$E$5,Parameter!$E$6+Parameter!$E$7)-(AL286-AH286))/AH286)))</f>
        <v>1</v>
      </c>
      <c r="AN286" s="57" t="n">
        <f aca="false">IF(LEFT(Cockpit!$I$5,1)="A",H286,IF(CA286=1,CB286,IF(LEFT(Cockpit!$I$5,1)="B",AR286,MAX(AR286,H286))))</f>
        <v>4</v>
      </c>
      <c r="AO286" s="57" t="n">
        <f aca="false">IF(BT286=1,0,ROUNDUP(AN286/BS286,0))</f>
        <v>1</v>
      </c>
      <c r="AP286" s="59" t="n">
        <f aca="false">IF(CH286&gt;0,CH286*MAX(1,AN286/X286),IF(BT286=1,IF(AN286&lt;=0,0,BW286*MAX(1,IF(H286&gt;0,AN286/H286,1))),IF(R286&gt;0,AO286/R286,0))/MAX(0.1,N(Parameter!$M$21)))</f>
        <v>0.0833333333333333</v>
      </c>
      <c r="AQ286" s="57" t="n">
        <f aca="false">AN286*G286</f>
        <v>591.76</v>
      </c>
      <c r="AR286" s="57" t="n">
        <f aca="false">ROUNDUP(MAX(J286/IF(BZ286&gt;0,BZ286,MAX(0.1,N(Cockpit!$I$6))),CC286)/BS286,0)*BS286</f>
        <v>4</v>
      </c>
      <c r="AS286" s="58" t="n">
        <f aca="false">IF(AP286&gt;0,J286/AP286,-1)</f>
        <v>0</v>
      </c>
      <c r="AT286" s="58" t="n">
        <f aca="false">IF(AND(OR(BY286="L1",BY286="L23"),AP286&gt;0),SUMIFS($AP$7:$AP$1843,$BY$7:$BY$1843,BY286,$AS$7:$AS$1843,"&gt;"&amp;AS286)+SUMIFS($AP$7:$AP$1843,$BY$7:$BY$1843,BY286,$AS$7:$AS$1843,AS286,$BQ$7:$BQ$1843,"&lt;="&amp;BQ286),"")</f>
        <v>111.491520556738</v>
      </c>
      <c r="AU286" s="65" t="n">
        <f aca="false">IF(AT286="",0,MAX(0,MIN(1,(IF(BY286="L1",Parameter!$E$5,Parameter!$E$6+Parameter!$E$7)-(AT286-AP286))/AP286)))</f>
        <v>0</v>
      </c>
      <c r="AV286" s="57" t="n">
        <f aca="false">IF(LEFT(Cockpit!$O$5,1)="A",H286,IF(CA286=1,CB286,IF(LEFT(Cockpit!$O$5,1)="B",AZ286,MAX(AZ286,H286))))</f>
        <v>4</v>
      </c>
      <c r="AW286" s="57" t="n">
        <f aca="false">IF(BT286=1,0,ROUNDUP(AV286/BS286,0))</f>
        <v>1</v>
      </c>
      <c r="AX286" s="59" t="n">
        <f aca="false">IF(CH286&gt;0,CH286*MAX(1,AV286/X286),IF(BT286=1,IF(AV286&lt;=0,0,BW286*MAX(1,IF(H286&gt;0,AV286/H286,1))),IF(R286&gt;0,AW286/R286,0))/MAX(0.1,N(Parameter!$M$21)))</f>
        <v>0.0833333333333333</v>
      </c>
      <c r="AY286" s="57" t="n">
        <f aca="false">AV286*G286</f>
        <v>591.76</v>
      </c>
      <c r="AZ286" s="57" t="n">
        <f aca="false">ROUNDUP(MAX(J286/IF(BZ286&gt;0,BZ286,MAX(0.1,N(Cockpit!$O$6))),CC286)/BS286,0)*BS286</f>
        <v>4</v>
      </c>
      <c r="BA286" s="58" t="n">
        <f aca="false">IF(AX286&gt;0,J286/AX286,-1)</f>
        <v>0</v>
      </c>
      <c r="BB286" s="58" t="n">
        <f aca="false">IF(AND(OR(BY286="L1",BY286="L23"),AX286&gt;0),SUMIFS($AX$7:$AX$1843,$BY$7:$BY$1843,BY286,$BA$7:$BA$1843,"&gt;"&amp;BA286)+SUMIFS($AX$7:$AX$1843,$BY$7:$BY$1843,BY286,$BA$7:$BA$1843,BA286,$BQ$7:$BQ$1843,"&lt;="&amp;BQ286),"")</f>
        <v>102.321357386575</v>
      </c>
      <c r="BC286" s="65" t="n">
        <f aca="false">IF(BB286="",0,MAX(0,MIN(1,(IF(BY286="L1",Parameter!$E$5,Parameter!$E$6+Parameter!$E$7)-(BB286-AX286))/AX286)))</f>
        <v>0</v>
      </c>
      <c r="BD286" s="55" t="str">
        <f aca="false">IF(AH286&lt;=0,"",IF(BY286="Aussen","Aussenlager",IF(BY286="-","Nicht im Lift",IF(AM286&gt;=1,"Lift",IF(AM286&lt;=0,"Aussenlager","teilweise")))))</f>
        <v>Lift</v>
      </c>
      <c r="BE286" s="55" t="str">
        <f aca="false">IF(AP286&lt;=0,"",IF(BY286="Aussen","Aussenlager",IF(BY286="-","Nicht im Lift",IF(AU286&gt;=1,"Lift",IF(AU286&lt;=0,"Aussenlager","teilweise")))))</f>
        <v>Aussenlager</v>
      </c>
      <c r="BF286" s="55" t="str">
        <f aca="false">IF(AX286&lt;=0,"",IF(BY286="Aussen","Aussenlager",IF(BY286="-","Nicht im Lift",IF(BC286&gt;=1,"Lift",IF(BC286&lt;=0,"Aussenlager","teilweise")))))</f>
        <v>Aussenlager</v>
      </c>
      <c r="BG286" s="55" t="str">
        <f aca="false">IF(A286="","",IF(BP286=1,"Neu; ","")&amp;IF(AND(BP286=0,BK286&lt;0),"negativer Bestand (Export "&amp;BK286&amp;"); ","")&amp;IF(J286&lt;=0,"Kein Verbrauch; ","")&amp;IF(CH286&gt;0,"Lift "&amp;W286&amp;" lt. Liftbericht (Fach "&amp;X286&amp;" Stk); ",IF(BU286=1,"Gebinde geschätzt ("&amp;T286&amp;"); ",IF(BT286=1,"Lose – Tablare geschätzt; ","")))&amp;IF(H286&gt;AR286,"Überbestand "&amp;ROUND(H286-AR286,0)&amp;" Stk / CHF "&amp;ROUND((H286-AR286)*G286,0)&amp;"; ","")&amp;IF(AND(CA286=1,CB286&lt;CC286),"MAX &lt; MB+LG; ","")&amp;IF(AND(CG286&gt;0,CF286*10&gt;CG286),"zu hoch für Tablar; ","")&amp;IF(AND(BP286=0,OR(CA286=1,AA286&lt;&gt;"",U286&lt;&gt;"",V286&lt;&gt;"",AB286&lt;&gt;"")),"manuell übersteuert; ","")&amp;IF(AND(BT286=0,R286=0),"Gebinde unbekannt / Stellmass fehlt; ","")&amp;IF(AND(BT286=0,N(V286)&lt;=0,N(Q286)&lt;=0),"Menge pro Gebinde fehlt (Ist = 1 Gebinde); ","")&amp;BO286)</f>
        <v>Kein Verbrauch; </v>
      </c>
      <c r="BH286" s="55"/>
      <c r="BI286" s="55"/>
      <c r="BJ286" s="62"/>
      <c r="BK286" s="57" t="n">
        <v>1</v>
      </c>
      <c r="BL286" s="57" t="n">
        <v>3</v>
      </c>
      <c r="BM286" s="56" t="n">
        <v>325.81</v>
      </c>
      <c r="BN286" s="57" t="n">
        <v>0</v>
      </c>
      <c r="BO286" s="55"/>
      <c r="BP286" s="60" t="n">
        <v>0</v>
      </c>
      <c r="BQ286" s="60" t="n">
        <v>286</v>
      </c>
      <c r="BR286" s="55" t="str">
        <f aca="false">IF(U286&lt;&gt;"",UPPER(TRIM(U286)),IF(BU286=1,UPPER(VLOOKUP(T286,Parameter!$I$27:$K$29,2,0)),IF(P286="","LOSE",P286)))</f>
        <v>S62</v>
      </c>
      <c r="BS286" s="57" t="n">
        <f aca="false">IF(BR286="LOSE",1,IF(N(V286)&gt;0,V286,IF(BU286=1,MAX(1,N(VLOOKUP(T286,Parameter!$I$27:$K$29,3,0)),H286,N(N286)),IF(N(Q286)&gt;0,Q286,MAX(1,H286)))))</f>
        <v>4</v>
      </c>
      <c r="BT286" s="60" t="n">
        <f aca="false">IF(BR286="LOSE",1,0)</f>
        <v>0</v>
      </c>
      <c r="BU286" s="60" t="n">
        <f aca="false">IF(AND(U286="",OR(P286="",P286="LOSE"),T286&lt;&gt;"",N(S286)&lt;=0,ISNUMBER(MATCH(T286,Parameter!$I$27:$I$29,0))),1,0)</f>
        <v>0</v>
      </c>
      <c r="BV286" s="55" t="str">
        <f aca="false">IF(AND(Parameter!$B$19="Ja",E286&lt;&gt;"",ISNUMBER(MATCH(E286,Parameter!$I$35:$I$52,0))),VLOOKUP(E286,Parameter!$I$35:$J$52,2,0),IFERROR(VLOOKUP(D286,Parameter!$A$35:$C$64,2,0),"Nein"))</f>
        <v>2+3</v>
      </c>
      <c r="BW286" s="59" t="n">
        <f aca="false">IF(BT286=0,0,IF(N(S286)&gt;0,S286,IFERROR(VLOOKUP(D286,Parameter!$A$35:$C$64,3,0)+0,0)))</f>
        <v>0</v>
      </c>
      <c r="BX286" s="55" t="n">
        <f aca="false">IF(AA286&lt;&gt;"",AA286,Z286)</f>
        <v>2</v>
      </c>
      <c r="BY286" s="55" t="str">
        <f aca="false">IF(BX286=1,"L1",IF(OR(BX286=2,BX286=3),"L23",IF(BX286="Aussen","Aussen","-")))</f>
        <v>L23</v>
      </c>
      <c r="BZ286" s="66" t="n">
        <f aca="false">IF(N(AB286)&gt;0,AB286,0)</f>
        <v>0</v>
      </c>
      <c r="CA286" s="60" t="n">
        <f aca="false">IF(ISNUMBER(AE286),1,0)</f>
        <v>0</v>
      </c>
      <c r="CB286" s="57" t="n">
        <f aca="false">N(AE286)</f>
        <v>0</v>
      </c>
      <c r="CC286" s="57" t="n">
        <f aca="false">N(M286)+N(N286)</f>
        <v>1</v>
      </c>
      <c r="CD286" s="57" t="n">
        <f aca="false">ROUNDUP(H286/BS286,0)</f>
        <v>1</v>
      </c>
      <c r="CE286" s="57" t="n">
        <f aca="false">ROUNDUP(CB286/BS286,0)</f>
        <v>0</v>
      </c>
      <c r="CF286" s="60" t="n">
        <f aca="false">IF(BT286=1,0,IFERROR(VLOOKUP(BR286,'Gebinde-Kategorie'!$A$5:$M$45,5,0)+0,0))</f>
        <v>21</v>
      </c>
      <c r="CG286" s="60" t="n">
        <f aca="false">IFERROR(IF(OR(BX286=1,BX286=2,BX286=3),N(INDEX(Parameter!$I$5:$I$7,BX286)),0),0)</f>
        <v>0</v>
      </c>
      <c r="CH286" s="59" t="n">
        <f aca="false">IF(AND(Parameter!$B$21="Ja",ISNUMBER(W286),N(X286)&gt;0),IFERROR(N(INDEX(Parameter!$L$5:$L$7,W286))*INDEX(Parameter!$E$5:$E$7,W286)*X286/SUMIFS($X$7:$X$1843,$W$7:$W$1843,W286),0),0)</f>
        <v>0</v>
      </c>
    </row>
    <row r="287" customFormat="false" ht="15" hidden="false" customHeight="false" outlineLevel="0" collapsed="false">
      <c r="A287" s="55" t="s">
        <v>746</v>
      </c>
      <c r="B287" s="55" t="s">
        <v>747</v>
      </c>
      <c r="C287" s="55" t="s">
        <v>167</v>
      </c>
      <c r="D287" s="55" t="s">
        <v>184</v>
      </c>
      <c r="E287" s="55"/>
      <c r="F287" s="55" t="s">
        <v>218</v>
      </c>
      <c r="G287" s="56" t="n">
        <v>81</v>
      </c>
      <c r="H287" s="57" t="n">
        <f aca="false">MAX(0,IF(AND(Parameter!$B$21="Ja",ISNUMBER(Y287)),Y287,IF(Parameter!$B$20="Jahresanfang 2025 + Export",BL287+BK287,BK287)))</f>
        <v>11</v>
      </c>
      <c r="I287" s="57" t="n">
        <f aca="false">H287*G287</f>
        <v>891</v>
      </c>
      <c r="J287" s="57" t="n">
        <f aca="false">BN287*Parameter!$B$18</f>
        <v>0</v>
      </c>
      <c r="K287" s="58" t="n">
        <v>9</v>
      </c>
      <c r="L287" s="59" t="n">
        <v>0</v>
      </c>
      <c r="M287" s="57" t="n">
        <v>0</v>
      </c>
      <c r="N287" s="57" t="n">
        <v>1</v>
      </c>
      <c r="O287" s="60" t="n">
        <v>28</v>
      </c>
      <c r="P287" s="55" t="s">
        <v>328</v>
      </c>
      <c r="Q287" s="57" t="n">
        <v>6</v>
      </c>
      <c r="R287" s="60" t="n">
        <f aca="false">IF(BT287=1,0,IFERROR(VLOOKUP(BR287,'Gebinde-Kategorie'!$A$5:$M$45,13,0)+0,0))</f>
        <v>52</v>
      </c>
      <c r="S287" s="61"/>
      <c r="T287" s="62"/>
      <c r="U287" s="62"/>
      <c r="V287" s="62"/>
      <c r="W287" s="55"/>
      <c r="X287" s="57"/>
      <c r="Y287" s="57"/>
      <c r="Z287" s="55" t="n">
        <f aca="false">IF(A287="","",IF(AND(Parameter!$B$21="Ja",ISNUMBER(W287)),W287,IF(BV287="2+3",IF(ISNUMBER(SEARCH("grosser Artikel",BO287)),2,IFERROR(VLOOKUP(BR287,Parameter!$F$35:$G$64,2,0),2)),IF(OR(BV287="Nein",BV287=""),"-",BV287))))</f>
        <v>3</v>
      </c>
      <c r="AA287" s="62"/>
      <c r="AB287" s="63"/>
      <c r="AC287" s="57" t="n">
        <f aca="false">AR287</f>
        <v>6</v>
      </c>
      <c r="AD287" s="57" t="n">
        <f aca="false">MAX(AR287,H287)</f>
        <v>11</v>
      </c>
      <c r="AE287" s="64"/>
      <c r="AF287" s="57" t="n">
        <f aca="false">IF(LEFT(Cockpit!$C$5,1)="A",H287,IF(CA287=1,CB287,IF(LEFT(Cockpit!$C$5,1)="B",AJ287,MAX(AJ287,H287))))</f>
        <v>11</v>
      </c>
      <c r="AG287" s="57" t="n">
        <f aca="false">IF(BT287=1,0,ROUNDUP(AF287/BS287,0))</f>
        <v>2</v>
      </c>
      <c r="AH287" s="59" t="n">
        <f aca="false">IF(CH287&gt;0,CH287*MAX(1,AF287/X287),IF(BT287=1,IF(AF287&lt;=0,0,BW287*MAX(1,IF(H287&gt;0,AF287/H287,1))),IF(R287&gt;0,AG287/R287,0))/MAX(0.1,N(Parameter!$M$21)))</f>
        <v>0.0384615384615385</v>
      </c>
      <c r="AI287" s="57" t="n">
        <f aca="false">AF287*G287</f>
        <v>891</v>
      </c>
      <c r="AJ287" s="57" t="n">
        <f aca="false">ROUNDUP(MAX(J287/IF(BZ287&gt;0,BZ287,MAX(0.1,N(Cockpit!$C$6))),CC287)/BS287,0)*BS287</f>
        <v>6</v>
      </c>
      <c r="AK287" s="58" t="n">
        <f aca="false">IF(AH287&gt;0,J287/AH287,-1)</f>
        <v>0</v>
      </c>
      <c r="AL287" s="58" t="n">
        <f aca="false">IF(AND(OR(BY287="L1",BY287="L23"),AH287&gt;0),SUMIFS($AH$7:$AH$1843,$BY$7:$BY$1843,BY287,$AK$7:$AK$1843,"&gt;"&amp;AK287)+SUMIFS($AH$7:$AH$1843,$BY$7:$BY$1843,BY287,$AK$7:$AK$1843,AK287,$BQ$7:$BQ$1843,"&lt;="&amp;BQ287),"")</f>
        <v>72.1058579102057</v>
      </c>
      <c r="AM287" s="65" t="n">
        <f aca="false">IF(AL287="",0,MAX(0,MIN(1,(IF(BY287="L1",Parameter!$E$5,Parameter!$E$6+Parameter!$E$7)-(AL287-AH287))/AH287)))</f>
        <v>1</v>
      </c>
      <c r="AN287" s="57" t="n">
        <f aca="false">IF(LEFT(Cockpit!$I$5,1)="A",H287,IF(CA287=1,CB287,IF(LEFT(Cockpit!$I$5,1)="B",AR287,MAX(AR287,H287))))</f>
        <v>11</v>
      </c>
      <c r="AO287" s="57" t="n">
        <f aca="false">IF(BT287=1,0,ROUNDUP(AN287/BS287,0))</f>
        <v>2</v>
      </c>
      <c r="AP287" s="59" t="n">
        <f aca="false">IF(CH287&gt;0,CH287*MAX(1,AN287/X287),IF(BT287=1,IF(AN287&lt;=0,0,BW287*MAX(1,IF(H287&gt;0,AN287/H287,1))),IF(R287&gt;0,AO287/R287,0))/MAX(0.1,N(Parameter!$M$21)))</f>
        <v>0.0384615384615385</v>
      </c>
      <c r="AQ287" s="57" t="n">
        <f aca="false">AN287*G287</f>
        <v>891</v>
      </c>
      <c r="AR287" s="57" t="n">
        <f aca="false">ROUNDUP(MAX(J287/IF(BZ287&gt;0,BZ287,MAX(0.1,N(Cockpit!$I$6))),CC287)/BS287,0)*BS287</f>
        <v>6</v>
      </c>
      <c r="AS287" s="58" t="n">
        <f aca="false">IF(AP287&gt;0,J287/AP287,-1)</f>
        <v>0</v>
      </c>
      <c r="AT287" s="58" t="n">
        <f aca="false">IF(AND(OR(BY287="L1",BY287="L23"),AP287&gt;0),SUMIFS($AP$7:$AP$1843,$BY$7:$BY$1843,BY287,$AS$7:$AS$1843,"&gt;"&amp;AS287)+SUMIFS($AP$7:$AP$1843,$BY$7:$BY$1843,BY287,$AS$7:$AS$1843,AS287,$BQ$7:$BQ$1843,"&lt;="&amp;BQ287),"")</f>
        <v>111.529982095199</v>
      </c>
      <c r="AU287" s="65" t="n">
        <f aca="false">IF(AT287="",0,MAX(0,MIN(1,(IF(BY287="L1",Parameter!$E$5,Parameter!$E$6+Parameter!$E$7)-(AT287-AP287))/AP287)))</f>
        <v>0</v>
      </c>
      <c r="AV287" s="57" t="n">
        <f aca="false">IF(LEFT(Cockpit!$O$5,1)="A",H287,IF(CA287=1,CB287,IF(LEFT(Cockpit!$O$5,1)="B",AZ287,MAX(AZ287,H287))))</f>
        <v>11</v>
      </c>
      <c r="AW287" s="57" t="n">
        <f aca="false">IF(BT287=1,0,ROUNDUP(AV287/BS287,0))</f>
        <v>2</v>
      </c>
      <c r="AX287" s="59" t="n">
        <f aca="false">IF(CH287&gt;0,CH287*MAX(1,AV287/X287),IF(BT287=1,IF(AV287&lt;=0,0,BW287*MAX(1,IF(H287&gt;0,AV287/H287,1))),IF(R287&gt;0,AW287/R287,0))/MAX(0.1,N(Parameter!$M$21)))</f>
        <v>0.0384615384615385</v>
      </c>
      <c r="AY287" s="57" t="n">
        <f aca="false">AV287*G287</f>
        <v>891</v>
      </c>
      <c r="AZ287" s="57" t="n">
        <f aca="false">ROUNDUP(MAX(J287/IF(BZ287&gt;0,BZ287,MAX(0.1,N(Cockpit!$O$6))),CC287)/BS287,0)*BS287</f>
        <v>6</v>
      </c>
      <c r="BA287" s="58" t="n">
        <f aca="false">IF(AX287&gt;0,J287/AX287,-1)</f>
        <v>0</v>
      </c>
      <c r="BB287" s="58" t="n">
        <f aca="false">IF(AND(OR(BY287="L1",BY287="L23"),AX287&gt;0),SUMIFS($AX$7:$AX$1843,$BY$7:$BY$1843,BY287,$BA$7:$BA$1843,"&gt;"&amp;BA287)+SUMIFS($AX$7:$AX$1843,$BY$7:$BY$1843,BY287,$BA$7:$BA$1843,BA287,$BQ$7:$BQ$1843,"&lt;="&amp;BQ287),"")</f>
        <v>102.359818925036</v>
      </c>
      <c r="BC287" s="65" t="n">
        <f aca="false">IF(BB287="",0,MAX(0,MIN(1,(IF(BY287="L1",Parameter!$E$5,Parameter!$E$6+Parameter!$E$7)-(BB287-AX287))/AX287)))</f>
        <v>0</v>
      </c>
      <c r="BD287" s="55" t="str">
        <f aca="false">IF(AH287&lt;=0,"",IF(BY287="Aussen","Aussenlager",IF(BY287="-","Nicht im Lift",IF(AM287&gt;=1,"Lift",IF(AM287&lt;=0,"Aussenlager","teilweise")))))</f>
        <v>Lift</v>
      </c>
      <c r="BE287" s="55" t="str">
        <f aca="false">IF(AP287&lt;=0,"",IF(BY287="Aussen","Aussenlager",IF(BY287="-","Nicht im Lift",IF(AU287&gt;=1,"Lift",IF(AU287&lt;=0,"Aussenlager","teilweise")))))</f>
        <v>Aussenlager</v>
      </c>
      <c r="BF287" s="55" t="str">
        <f aca="false">IF(AX287&lt;=0,"",IF(BY287="Aussen","Aussenlager",IF(BY287="-","Nicht im Lift",IF(BC287&gt;=1,"Lift",IF(BC287&lt;=0,"Aussenlager","teilweise")))))</f>
        <v>Aussenlager</v>
      </c>
      <c r="BG287" s="55" t="str">
        <f aca="false">IF(A287="","",IF(BP287=1,"Neu; ","")&amp;IF(AND(BP287=0,BK287&lt;0),"negativer Bestand (Export "&amp;BK287&amp;"); ","")&amp;IF(J287&lt;=0,"Kein Verbrauch; ","")&amp;IF(CH287&gt;0,"Lift "&amp;W287&amp;" lt. Liftbericht (Fach "&amp;X287&amp;" Stk); ",IF(BU287=1,"Gebinde geschätzt ("&amp;T287&amp;"); ",IF(BT287=1,"Lose – Tablare geschätzt; ","")))&amp;IF(H287&gt;AR287,"Überbestand "&amp;ROUND(H287-AR287,0)&amp;" Stk / CHF "&amp;ROUND((H287-AR287)*G287,0)&amp;"; ","")&amp;IF(AND(CA287=1,CB287&lt;CC287),"MAX &lt; MB+LG; ","")&amp;IF(AND(CG287&gt;0,CF287*10&gt;CG287),"zu hoch für Tablar; ","")&amp;IF(AND(BP287=0,OR(CA287=1,AA287&lt;&gt;"",U287&lt;&gt;"",V287&lt;&gt;"",AB287&lt;&gt;"")),"manuell übersteuert; ","")&amp;IF(AND(BT287=0,R287=0),"Gebinde unbekannt / Stellmass fehlt; ","")&amp;IF(AND(BT287=0,N(V287)&lt;=0,N(Q287)&lt;=0),"Menge pro Gebinde fehlt (Ist = 1 Gebinde); ","")&amp;BO287)</f>
        <v>Kein Verbrauch; Überbestand 5 Stk / CHF 405; </v>
      </c>
      <c r="BH287" s="55"/>
      <c r="BI287" s="55"/>
      <c r="BJ287" s="62"/>
      <c r="BK287" s="57" t="n">
        <v>4</v>
      </c>
      <c r="BL287" s="57" t="n">
        <v>7</v>
      </c>
      <c r="BM287" s="56" t="n">
        <v>324</v>
      </c>
      <c r="BN287" s="57" t="n">
        <v>0</v>
      </c>
      <c r="BO287" s="55"/>
      <c r="BP287" s="60" t="n">
        <v>0</v>
      </c>
      <c r="BQ287" s="60" t="n">
        <v>287</v>
      </c>
      <c r="BR287" s="55" t="str">
        <f aca="false">IF(U287&lt;&gt;"",UPPER(TRIM(U287)),IF(BU287=1,UPPER(VLOOKUP(T287,Parameter!$I$27:$K$29,2,0)),IF(P287="","LOSE",P287)))</f>
        <v>S41</v>
      </c>
      <c r="BS287" s="57" t="n">
        <f aca="false">IF(BR287="LOSE",1,IF(N(V287)&gt;0,V287,IF(BU287=1,MAX(1,N(VLOOKUP(T287,Parameter!$I$27:$K$29,3,0)),H287,N(N287)),IF(N(Q287)&gt;0,Q287,MAX(1,H287)))))</f>
        <v>6</v>
      </c>
      <c r="BT287" s="60" t="n">
        <f aca="false">IF(BR287="LOSE",1,0)</f>
        <v>0</v>
      </c>
      <c r="BU287" s="60" t="n">
        <f aca="false">IF(AND(U287="",OR(P287="",P287="LOSE"),T287&lt;&gt;"",N(S287)&lt;=0,ISNUMBER(MATCH(T287,Parameter!$I$27:$I$29,0))),1,0)</f>
        <v>0</v>
      </c>
      <c r="BV287" s="55" t="str">
        <f aca="false">IF(AND(Parameter!$B$19="Ja",E287&lt;&gt;"",ISNUMBER(MATCH(E287,Parameter!$I$35:$I$52,0))),VLOOKUP(E287,Parameter!$I$35:$J$52,2,0),IFERROR(VLOOKUP(D287,Parameter!$A$35:$C$64,2,0),"Nein"))</f>
        <v>2+3</v>
      </c>
      <c r="BW287" s="59" t="n">
        <f aca="false">IF(BT287=0,0,IF(N(S287)&gt;0,S287,IFERROR(VLOOKUP(D287,Parameter!$A$35:$C$64,3,0)+0,0)))</f>
        <v>0</v>
      </c>
      <c r="BX287" s="55" t="n">
        <f aca="false">IF(AA287&lt;&gt;"",AA287,Z287)</f>
        <v>3</v>
      </c>
      <c r="BY287" s="55" t="str">
        <f aca="false">IF(BX287=1,"L1",IF(OR(BX287=2,BX287=3),"L23",IF(BX287="Aussen","Aussen","-")))</f>
        <v>L23</v>
      </c>
      <c r="BZ287" s="66" t="n">
        <f aca="false">IF(N(AB287)&gt;0,AB287,0)</f>
        <v>0</v>
      </c>
      <c r="CA287" s="60" t="n">
        <f aca="false">IF(ISNUMBER(AE287),1,0)</f>
        <v>0</v>
      </c>
      <c r="CB287" s="57" t="n">
        <f aca="false">N(AE287)</f>
        <v>0</v>
      </c>
      <c r="CC287" s="57" t="n">
        <f aca="false">N(M287)+N(N287)</f>
        <v>1</v>
      </c>
      <c r="CD287" s="57" t="n">
        <f aca="false">ROUNDUP(H287/BS287,0)</f>
        <v>2</v>
      </c>
      <c r="CE287" s="57" t="n">
        <f aca="false">ROUNDUP(CB287/BS287,0)</f>
        <v>0</v>
      </c>
      <c r="CF287" s="60" t="n">
        <f aca="false">IF(BT287=1,0,IFERROR(VLOOKUP(BR287,'Gebinde-Kategorie'!$A$5:$M$45,5,0)+0,0))</f>
        <v>11</v>
      </c>
      <c r="CG287" s="60" t="n">
        <f aca="false">IFERROR(IF(OR(BX287=1,BX287=2,BX287=3),N(INDEX(Parameter!$I$5:$I$7,BX287)),0),0)</f>
        <v>0</v>
      </c>
      <c r="CH287" s="59" t="n">
        <f aca="false">IF(AND(Parameter!$B$21="Ja",ISNUMBER(W287),N(X287)&gt;0),IFERROR(N(INDEX(Parameter!$L$5:$L$7,W287))*INDEX(Parameter!$E$5:$E$7,W287)*X287/SUMIFS($X$7:$X$1843,$W$7:$W$1843,W287),0),0)</f>
        <v>0</v>
      </c>
    </row>
    <row r="288" customFormat="false" ht="15" hidden="false" customHeight="false" outlineLevel="0" collapsed="false">
      <c r="A288" s="55" t="s">
        <v>748</v>
      </c>
      <c r="B288" s="55" t="s">
        <v>749</v>
      </c>
      <c r="C288" s="55" t="s">
        <v>164</v>
      </c>
      <c r="D288" s="55" t="s">
        <v>184</v>
      </c>
      <c r="E288" s="55"/>
      <c r="F288" s="55" t="s">
        <v>218</v>
      </c>
      <c r="G288" s="56" t="n">
        <v>152.26</v>
      </c>
      <c r="H288" s="57" t="n">
        <f aca="false">MAX(0,IF(AND(Parameter!$B$21="Ja",ISNUMBER(Y288)),Y288,IF(Parameter!$B$20="Jahresanfang 2025 + Export",BL288+BK288,BK288)))</f>
        <v>4</v>
      </c>
      <c r="I288" s="57" t="n">
        <f aca="false">H288*G288</f>
        <v>609.04</v>
      </c>
      <c r="J288" s="57" t="n">
        <f aca="false">BN288*Parameter!$B$18</f>
        <v>1</v>
      </c>
      <c r="K288" s="58" t="n">
        <v>3.5</v>
      </c>
      <c r="L288" s="59" t="n">
        <v>0.285714285714286</v>
      </c>
      <c r="M288" s="57" t="n">
        <v>0</v>
      </c>
      <c r="N288" s="57" t="n">
        <v>1</v>
      </c>
      <c r="O288" s="60" t="n">
        <v>28</v>
      </c>
      <c r="P288" s="55" t="s">
        <v>421</v>
      </c>
      <c r="Q288" s="57" t="n">
        <v>4</v>
      </c>
      <c r="R288" s="60" t="n">
        <f aca="false">IF(BT288=1,0,IFERROR(VLOOKUP(BR288,'Gebinde-Kategorie'!$A$5:$M$45,13,0)+0,0))</f>
        <v>132</v>
      </c>
      <c r="S288" s="61"/>
      <c r="T288" s="62"/>
      <c r="U288" s="62"/>
      <c r="V288" s="62"/>
      <c r="W288" s="55"/>
      <c r="X288" s="57"/>
      <c r="Y288" s="57"/>
      <c r="Z288" s="55" t="n">
        <f aca="false">IF(A288="","",IF(AND(Parameter!$B$21="Ja",ISNUMBER(W288)),W288,IF(BV288="2+3",IF(ISNUMBER(SEARCH("grosser Artikel",BO288)),2,IFERROR(VLOOKUP(BR288,Parameter!$F$35:$G$64,2,0),2)),IF(OR(BV288="Nein",BV288=""),"-",BV288))))</f>
        <v>3</v>
      </c>
      <c r="AA288" s="62"/>
      <c r="AB288" s="63"/>
      <c r="AC288" s="57" t="n">
        <f aca="false">AR288</f>
        <v>4</v>
      </c>
      <c r="AD288" s="57" t="n">
        <f aca="false">MAX(AR288,H288)</f>
        <v>4</v>
      </c>
      <c r="AE288" s="64"/>
      <c r="AF288" s="57" t="n">
        <f aca="false">IF(LEFT(Cockpit!$C$5,1)="A",H288,IF(CA288=1,CB288,IF(LEFT(Cockpit!$C$5,1)="B",AJ288,MAX(AJ288,H288))))</f>
        <v>4</v>
      </c>
      <c r="AG288" s="57" t="n">
        <f aca="false">IF(BT288=1,0,ROUNDUP(AF288/BS288,0))</f>
        <v>1</v>
      </c>
      <c r="AH288" s="59" t="n">
        <f aca="false">IF(CH288&gt;0,CH288*MAX(1,AF288/X288),IF(BT288=1,IF(AF288&lt;=0,0,BW288*MAX(1,IF(H288&gt;0,AF288/H288,1))),IF(R288&gt;0,AG288/R288,0))/MAX(0.1,N(Parameter!$M$21)))</f>
        <v>0.00757575757575758</v>
      </c>
      <c r="AI288" s="57" t="n">
        <f aca="false">AF288*G288</f>
        <v>609.04</v>
      </c>
      <c r="AJ288" s="57" t="n">
        <f aca="false">ROUNDUP(MAX(J288/IF(BZ288&gt;0,BZ288,MAX(0.1,N(Cockpit!$C$6))),CC288)/BS288,0)*BS288</f>
        <v>4</v>
      </c>
      <c r="AK288" s="58" t="n">
        <f aca="false">IF(AH288&gt;0,J288/AH288,-1)</f>
        <v>132</v>
      </c>
      <c r="AL288" s="58" t="n">
        <f aca="false">IF(AND(OR(BY288="L1",BY288="L23"),AH288&gt;0),SUMIFS($AH$7:$AH$1843,$BY$7:$BY$1843,BY288,$AK$7:$AK$1843,"&gt;"&amp;AK288)+SUMIFS($AH$7:$AH$1843,$BY$7:$BY$1843,BY288,$AK$7:$AK$1843,AK288,$BQ$7:$BQ$1843,"&lt;="&amp;BQ288),"")</f>
        <v>35.9327809871288</v>
      </c>
      <c r="AM288" s="65" t="n">
        <f aca="false">IF(AL288="",0,MAX(0,MIN(1,(IF(BY288="L1",Parameter!$E$5,Parameter!$E$6+Parameter!$E$7)-(AL288-AH288))/AH288)))</f>
        <v>1</v>
      </c>
      <c r="AN288" s="57" t="n">
        <f aca="false">IF(LEFT(Cockpit!$I$5,1)="A",H288,IF(CA288=1,CB288,IF(LEFT(Cockpit!$I$5,1)="B",AR288,MAX(AR288,H288))))</f>
        <v>4</v>
      </c>
      <c r="AO288" s="57" t="n">
        <f aca="false">IF(BT288=1,0,ROUNDUP(AN288/BS288,0))</f>
        <v>1</v>
      </c>
      <c r="AP288" s="59" t="n">
        <f aca="false">IF(CH288&gt;0,CH288*MAX(1,AN288/X288),IF(BT288=1,IF(AN288&lt;=0,0,BW288*MAX(1,IF(H288&gt;0,AN288/H288,1))),IF(R288&gt;0,AO288/R288,0))/MAX(0.1,N(Parameter!$M$21)))</f>
        <v>0.00757575757575758</v>
      </c>
      <c r="AQ288" s="57" t="n">
        <f aca="false">AN288*G288</f>
        <v>609.04</v>
      </c>
      <c r="AR288" s="57" t="n">
        <f aca="false">ROUNDUP(MAX(J288/IF(BZ288&gt;0,BZ288,MAX(0.1,N(Cockpit!$I$6))),CC288)/BS288,0)*BS288</f>
        <v>4</v>
      </c>
      <c r="AS288" s="58" t="n">
        <f aca="false">IF(AP288&gt;0,J288/AP288,-1)</f>
        <v>132</v>
      </c>
      <c r="AT288" s="58" t="n">
        <f aca="false">IF(AND(OR(BY288="L1",BY288="L23"),AP288&gt;0),SUMIFS($AP$7:$AP$1843,$BY$7:$BY$1843,BY288,$AS$7:$AS$1843,"&gt;"&amp;AS288)+SUMIFS($AP$7:$AP$1843,$BY$7:$BY$1843,BY288,$AS$7:$AS$1843,AS288,$BQ$7:$BQ$1843,"&lt;="&amp;BQ288),"")</f>
        <v>51.8318468970643</v>
      </c>
      <c r="AU288" s="65" t="n">
        <f aca="false">IF(AT288="",0,MAX(0,MIN(1,(IF(BY288="L1",Parameter!$E$5,Parameter!$E$6+Parameter!$E$7)-(AT288-AP288))/AP288)))</f>
        <v>1</v>
      </c>
      <c r="AV288" s="57" t="n">
        <f aca="false">IF(LEFT(Cockpit!$O$5,1)="A",H288,IF(CA288=1,CB288,IF(LEFT(Cockpit!$O$5,1)="B",AZ288,MAX(AZ288,H288))))</f>
        <v>4</v>
      </c>
      <c r="AW288" s="57" t="n">
        <f aca="false">IF(BT288=1,0,ROUNDUP(AV288/BS288,0))</f>
        <v>1</v>
      </c>
      <c r="AX288" s="59" t="n">
        <f aca="false">IF(CH288&gt;0,CH288*MAX(1,AV288/X288),IF(BT288=1,IF(AV288&lt;=0,0,BW288*MAX(1,IF(H288&gt;0,AV288/H288,1))),IF(R288&gt;0,AW288/R288,0))/MAX(0.1,N(Parameter!$M$21)))</f>
        <v>0.00757575757575758</v>
      </c>
      <c r="AY288" s="57" t="n">
        <f aca="false">AV288*G288</f>
        <v>609.04</v>
      </c>
      <c r="AZ288" s="57" t="n">
        <f aca="false">ROUNDUP(MAX(J288/IF(BZ288&gt;0,BZ288,MAX(0.1,N(Cockpit!$O$6))),CC288)/BS288,0)*BS288</f>
        <v>4</v>
      </c>
      <c r="BA288" s="58" t="n">
        <f aca="false">IF(AX288&gt;0,J288/AX288,-1)</f>
        <v>132</v>
      </c>
      <c r="BB288" s="58" t="n">
        <f aca="false">IF(AND(OR(BY288="L1",BY288="L23"),AX288&gt;0),SUMIFS($AX$7:$AX$1843,$BY$7:$BY$1843,BY288,$BA$7:$BA$1843,"&gt;"&amp;BA288)+SUMIFS($AX$7:$AX$1843,$BY$7:$BY$1843,BY288,$BA$7:$BA$1843,BA288,$BQ$7:$BQ$1843,"&lt;="&amp;BQ288),"")</f>
        <v>48.4116837269011</v>
      </c>
      <c r="BC288" s="65" t="n">
        <f aca="false">IF(BB288="",0,MAX(0,MIN(1,(IF(BY288="L1",Parameter!$E$5,Parameter!$E$6+Parameter!$E$7)-(BB288-AX288))/AX288)))</f>
        <v>1</v>
      </c>
      <c r="BD288" s="55" t="str">
        <f aca="false">IF(AH288&lt;=0,"",IF(BY288="Aussen","Aussenlager",IF(BY288="-","Nicht im Lift",IF(AM288&gt;=1,"Lift",IF(AM288&lt;=0,"Aussenlager","teilweise")))))</f>
        <v>Lift</v>
      </c>
      <c r="BE288" s="55" t="str">
        <f aca="false">IF(AP288&lt;=0,"",IF(BY288="Aussen","Aussenlager",IF(BY288="-","Nicht im Lift",IF(AU288&gt;=1,"Lift",IF(AU288&lt;=0,"Aussenlager","teilweise")))))</f>
        <v>Lift</v>
      </c>
      <c r="BF288" s="55" t="str">
        <f aca="false">IF(AX288&lt;=0,"",IF(BY288="Aussen","Aussenlager",IF(BY288="-","Nicht im Lift",IF(BC288&gt;=1,"Lift",IF(BC288&lt;=0,"Aussenlager","teilweise")))))</f>
        <v>Lift</v>
      </c>
      <c r="BG288" s="55" t="str">
        <f aca="false">IF(A288="","",IF(BP288=1,"Neu; ","")&amp;IF(AND(BP288=0,BK288&lt;0),"negativer Bestand (Export "&amp;BK288&amp;"); ","")&amp;IF(J288&lt;=0,"Kein Verbrauch; ","")&amp;IF(CH288&gt;0,"Lift "&amp;W288&amp;" lt. Liftbericht (Fach "&amp;X288&amp;" Stk); ",IF(BU288=1,"Gebinde geschätzt ("&amp;T288&amp;"); ",IF(BT288=1,"Lose – Tablare geschätzt; ","")))&amp;IF(H288&gt;AR288,"Überbestand "&amp;ROUND(H288-AR288,0)&amp;" Stk / CHF "&amp;ROUND((H288-AR288)*G288,0)&amp;"; ","")&amp;IF(AND(CA288=1,CB288&lt;CC288),"MAX &lt; MB+LG; ","")&amp;IF(AND(CG288&gt;0,CF288*10&gt;CG288),"zu hoch für Tablar; ","")&amp;IF(AND(BP288=0,OR(CA288=1,AA288&lt;&gt;"",U288&lt;&gt;"",V288&lt;&gt;"",AB288&lt;&gt;"")),"manuell übersteuert; ","")&amp;IF(AND(BT288=0,R288=0),"Gebinde unbekannt / Stellmass fehlt; ","")&amp;IF(AND(BT288=0,N(V288)&lt;=0,N(Q288)&lt;=0),"Menge pro Gebinde fehlt (Ist = 1 Gebinde); ","")&amp;BO288)</f>
        <v/>
      </c>
      <c r="BH288" s="55"/>
      <c r="BI288" s="55"/>
      <c r="BJ288" s="62"/>
      <c r="BK288" s="57" t="n">
        <v>2</v>
      </c>
      <c r="BL288" s="57" t="n">
        <v>2</v>
      </c>
      <c r="BM288" s="56" t="n">
        <v>322.92</v>
      </c>
      <c r="BN288" s="57" t="n">
        <v>1</v>
      </c>
      <c r="BO288" s="55"/>
      <c r="BP288" s="60" t="n">
        <v>0</v>
      </c>
      <c r="BQ288" s="60" t="n">
        <v>288</v>
      </c>
      <c r="BR288" s="55" t="str">
        <f aca="false">IF(U288&lt;&gt;"",UPPER(TRIM(U288)),IF(BU288=1,UPPER(VLOOKUP(T288,Parameter!$I$27:$K$29,2,0)),IF(P288="","LOSE",P288)))</f>
        <v>S32</v>
      </c>
      <c r="BS288" s="57" t="n">
        <f aca="false">IF(BR288="LOSE",1,IF(N(V288)&gt;0,V288,IF(BU288=1,MAX(1,N(VLOOKUP(T288,Parameter!$I$27:$K$29,3,0)),H288,N(N288)),IF(N(Q288)&gt;0,Q288,MAX(1,H288)))))</f>
        <v>4</v>
      </c>
      <c r="BT288" s="60" t="n">
        <f aca="false">IF(BR288="LOSE",1,0)</f>
        <v>0</v>
      </c>
      <c r="BU288" s="60" t="n">
        <f aca="false">IF(AND(U288="",OR(P288="",P288="LOSE"),T288&lt;&gt;"",N(S288)&lt;=0,ISNUMBER(MATCH(T288,Parameter!$I$27:$I$29,0))),1,0)</f>
        <v>0</v>
      </c>
      <c r="BV288" s="55" t="str">
        <f aca="false">IF(AND(Parameter!$B$19="Ja",E288&lt;&gt;"",ISNUMBER(MATCH(E288,Parameter!$I$35:$I$52,0))),VLOOKUP(E288,Parameter!$I$35:$J$52,2,0),IFERROR(VLOOKUP(D288,Parameter!$A$35:$C$64,2,0),"Nein"))</f>
        <v>2+3</v>
      </c>
      <c r="BW288" s="59" t="n">
        <f aca="false">IF(BT288=0,0,IF(N(S288)&gt;0,S288,IFERROR(VLOOKUP(D288,Parameter!$A$35:$C$64,3,0)+0,0)))</f>
        <v>0</v>
      </c>
      <c r="BX288" s="55" t="n">
        <f aca="false">IF(AA288&lt;&gt;"",AA288,Z288)</f>
        <v>3</v>
      </c>
      <c r="BY288" s="55" t="str">
        <f aca="false">IF(BX288=1,"L1",IF(OR(BX288=2,BX288=3),"L23",IF(BX288="Aussen","Aussen","-")))</f>
        <v>L23</v>
      </c>
      <c r="BZ288" s="66" t="n">
        <f aca="false">IF(N(AB288)&gt;0,AB288,0)</f>
        <v>0</v>
      </c>
      <c r="CA288" s="60" t="n">
        <f aca="false">IF(ISNUMBER(AE288),1,0)</f>
        <v>0</v>
      </c>
      <c r="CB288" s="57" t="n">
        <f aca="false">N(AE288)</f>
        <v>0</v>
      </c>
      <c r="CC288" s="57" t="n">
        <f aca="false">N(M288)+N(N288)</f>
        <v>1</v>
      </c>
      <c r="CD288" s="57" t="n">
        <f aca="false">ROUNDUP(H288/BS288,0)</f>
        <v>1</v>
      </c>
      <c r="CE288" s="57" t="n">
        <f aca="false">ROUNDUP(CB288/BS288,0)</f>
        <v>0</v>
      </c>
      <c r="CF288" s="60" t="n">
        <f aca="false">IF(BT288=1,0,IFERROR(VLOOKUP(BR288,'Gebinde-Kategorie'!$A$5:$M$45,5,0)+0,0))</f>
        <v>8</v>
      </c>
      <c r="CG288" s="60" t="n">
        <f aca="false">IFERROR(IF(OR(BX288=1,BX288=2,BX288=3),N(INDEX(Parameter!$I$5:$I$7,BX288)),0),0)</f>
        <v>0</v>
      </c>
      <c r="CH288" s="59" t="n">
        <f aca="false">IF(AND(Parameter!$B$21="Ja",ISNUMBER(W288),N(X288)&gt;0),IFERROR(N(INDEX(Parameter!$L$5:$L$7,W288))*INDEX(Parameter!$E$5:$E$7,W288)*X288/SUMIFS($X$7:$X$1843,$W$7:$W$1843,W288),0),0)</f>
        <v>0</v>
      </c>
    </row>
    <row r="289" customFormat="false" ht="15" hidden="false" customHeight="false" outlineLevel="0" collapsed="false">
      <c r="A289" s="55" t="s">
        <v>750</v>
      </c>
      <c r="B289" s="55" t="s">
        <v>751</v>
      </c>
      <c r="C289" s="55" t="s">
        <v>164</v>
      </c>
      <c r="D289" s="55" t="s">
        <v>184</v>
      </c>
      <c r="E289" s="55" t="s">
        <v>185</v>
      </c>
      <c r="F289" s="55" t="s">
        <v>218</v>
      </c>
      <c r="G289" s="56" t="n">
        <v>11.14</v>
      </c>
      <c r="H289" s="57" t="n">
        <f aca="false">MAX(0,IF(AND(Parameter!$B$21="Ja",ISNUMBER(Y289)),Y289,IF(Parameter!$B$20="Jahresanfang 2025 + Export",BL289+BK289,BK289)))</f>
        <v>34</v>
      </c>
      <c r="I289" s="57" t="n">
        <f aca="false">H289*G289</f>
        <v>378.76</v>
      </c>
      <c r="J289" s="57" t="n">
        <f aca="false">BN289*Parameter!$B$18</f>
        <v>5</v>
      </c>
      <c r="K289" s="58" t="n">
        <v>5</v>
      </c>
      <c r="L289" s="59" t="n">
        <v>1</v>
      </c>
      <c r="M289" s="57" t="n">
        <v>0</v>
      </c>
      <c r="N289" s="57" t="n">
        <v>5</v>
      </c>
      <c r="O289" s="60" t="n">
        <v>14</v>
      </c>
      <c r="P289" s="55" t="s">
        <v>421</v>
      </c>
      <c r="Q289" s="57" t="n">
        <v>11</v>
      </c>
      <c r="R289" s="60" t="n">
        <f aca="false">IF(BT289=1,0,IFERROR(VLOOKUP(BR289,'Gebinde-Kategorie'!$A$5:$M$45,13,0)+0,0))</f>
        <v>132</v>
      </c>
      <c r="S289" s="61"/>
      <c r="T289" s="62"/>
      <c r="U289" s="62"/>
      <c r="V289" s="62"/>
      <c r="W289" s="55"/>
      <c r="X289" s="57"/>
      <c r="Y289" s="57"/>
      <c r="Z289" s="55" t="n">
        <f aca="false">IF(A289="","",IF(AND(Parameter!$B$21="Ja",ISNUMBER(W289)),W289,IF(BV289="2+3",IF(ISNUMBER(SEARCH("grosser Artikel",BO289)),2,IFERROR(VLOOKUP(BR289,Parameter!$F$35:$G$64,2,0),2)),IF(OR(BV289="Nein",BV289=""),"-",BV289))))</f>
        <v>3</v>
      </c>
      <c r="AA289" s="62"/>
      <c r="AB289" s="63"/>
      <c r="AC289" s="57" t="n">
        <f aca="false">AR289</f>
        <v>11</v>
      </c>
      <c r="AD289" s="57" t="n">
        <f aca="false">MAX(AR289,H289)</f>
        <v>34</v>
      </c>
      <c r="AE289" s="64"/>
      <c r="AF289" s="57" t="n">
        <f aca="false">IF(LEFT(Cockpit!$C$5,1)="A",H289,IF(CA289=1,CB289,IF(LEFT(Cockpit!$C$5,1)="B",AJ289,MAX(AJ289,H289))))</f>
        <v>34</v>
      </c>
      <c r="AG289" s="57" t="n">
        <f aca="false">IF(BT289=1,0,ROUNDUP(AF289/BS289,0))</f>
        <v>4</v>
      </c>
      <c r="AH289" s="59" t="n">
        <f aca="false">IF(CH289&gt;0,CH289*MAX(1,AF289/X289),IF(BT289=1,IF(AF289&lt;=0,0,BW289*MAX(1,IF(H289&gt;0,AF289/H289,1))),IF(R289&gt;0,AG289/R289,0))/MAX(0.1,N(Parameter!$M$21)))</f>
        <v>0.0303030303030303</v>
      </c>
      <c r="AI289" s="57" t="n">
        <f aca="false">AF289*G289</f>
        <v>378.76</v>
      </c>
      <c r="AJ289" s="57" t="n">
        <f aca="false">ROUNDUP(MAX(J289/IF(BZ289&gt;0,BZ289,MAX(0.1,N(Cockpit!$C$6))),CC289)/BS289,0)*BS289</f>
        <v>11</v>
      </c>
      <c r="AK289" s="58" t="n">
        <f aca="false">IF(AH289&gt;0,J289/AH289,-1)</f>
        <v>165</v>
      </c>
      <c r="AL289" s="58" t="n">
        <f aca="false">IF(AND(OR(BY289="L1",BY289="L23"),AH289&gt;0),SUMIFS($AH$7:$AH$1843,$BY$7:$BY$1843,BY289,$AK$7:$AK$1843,"&gt;"&amp;AK289)+SUMIFS($AH$7:$AH$1843,$BY$7:$BY$1843,BY289,$AK$7:$AK$1843,AK289,$BQ$7:$BQ$1843,"&lt;="&amp;BQ289),"")</f>
        <v>34.1553917097395</v>
      </c>
      <c r="AM289" s="65" t="n">
        <f aca="false">IF(AL289="",0,MAX(0,MIN(1,(IF(BY289="L1",Parameter!$E$5,Parameter!$E$6+Parameter!$E$7)-(AL289-AH289))/AH289)))</f>
        <v>1</v>
      </c>
      <c r="AN289" s="57" t="n">
        <f aca="false">IF(LEFT(Cockpit!$I$5,1)="A",H289,IF(CA289=1,CB289,IF(LEFT(Cockpit!$I$5,1)="B",AR289,MAX(AR289,H289))))</f>
        <v>34</v>
      </c>
      <c r="AO289" s="57" t="n">
        <f aca="false">IF(BT289=1,0,ROUNDUP(AN289/BS289,0))</f>
        <v>4</v>
      </c>
      <c r="AP289" s="59" t="n">
        <f aca="false">IF(CH289&gt;0,CH289*MAX(1,AN289/X289),IF(BT289=1,IF(AN289&lt;=0,0,BW289*MAX(1,IF(H289&gt;0,AN289/H289,1))),IF(R289&gt;0,AO289/R289,0))/MAX(0.1,N(Parameter!$M$21)))</f>
        <v>0.0303030303030303</v>
      </c>
      <c r="AQ289" s="57" t="n">
        <f aca="false">AN289*G289</f>
        <v>378.76</v>
      </c>
      <c r="AR289" s="57" t="n">
        <f aca="false">ROUNDUP(MAX(J289/IF(BZ289&gt;0,BZ289,MAX(0.1,N(Cockpit!$I$6))),CC289)/BS289,0)*BS289</f>
        <v>11</v>
      </c>
      <c r="AS289" s="58" t="n">
        <f aca="false">IF(AP289&gt;0,J289/AP289,-1)</f>
        <v>165</v>
      </c>
      <c r="AT289" s="58" t="n">
        <f aca="false">IF(AND(OR(BY289="L1",BY289="L23"),AP289&gt;0),SUMIFS($AP$7:$AP$1843,$BY$7:$BY$1843,BY289,$AS$7:$AS$1843,"&gt;"&amp;AS289)+SUMIFS($AP$7:$AP$1843,$BY$7:$BY$1843,BY289,$AS$7:$AS$1843,AS289,$BQ$7:$BQ$1843,"&lt;="&amp;BQ289),"")</f>
        <v>48.4454832607007</v>
      </c>
      <c r="AU289" s="65" t="n">
        <f aca="false">IF(AT289="",0,MAX(0,MIN(1,(IF(BY289="L1",Parameter!$E$5,Parameter!$E$6+Parameter!$E$7)-(AT289-AP289))/AP289)))</f>
        <v>1</v>
      </c>
      <c r="AV289" s="57" t="n">
        <f aca="false">IF(LEFT(Cockpit!$O$5,1)="A",H289,IF(CA289=1,CB289,IF(LEFT(Cockpit!$O$5,1)="B",AZ289,MAX(AZ289,H289))))</f>
        <v>34</v>
      </c>
      <c r="AW289" s="57" t="n">
        <f aca="false">IF(BT289=1,0,ROUNDUP(AV289/BS289,0))</f>
        <v>4</v>
      </c>
      <c r="AX289" s="59" t="n">
        <f aca="false">IF(CH289&gt;0,CH289*MAX(1,AV289/X289),IF(BT289=1,IF(AV289&lt;=0,0,BW289*MAX(1,IF(H289&gt;0,AV289/H289,1))),IF(R289&gt;0,AW289/R289,0))/MAX(0.1,N(Parameter!$M$21)))</f>
        <v>0.0303030303030303</v>
      </c>
      <c r="AY289" s="57" t="n">
        <f aca="false">AV289*G289</f>
        <v>378.76</v>
      </c>
      <c r="AZ289" s="57" t="n">
        <f aca="false">ROUNDUP(MAX(J289/IF(BZ289&gt;0,BZ289,MAX(0.1,N(Cockpit!$O$6))),CC289)/BS289,0)*BS289</f>
        <v>11</v>
      </c>
      <c r="BA289" s="58" t="n">
        <f aca="false">IF(AX289&gt;0,J289/AX289,-1)</f>
        <v>165</v>
      </c>
      <c r="BB289" s="58" t="n">
        <f aca="false">IF(AND(OR(BY289="L1",BY289="L23"),AX289&gt;0),SUMIFS($AX$7:$AX$1843,$BY$7:$BY$1843,BY289,$BA$7:$BA$1843,"&gt;"&amp;BA289)+SUMIFS($AX$7:$AX$1843,$BY$7:$BY$1843,BY289,$BA$7:$BA$1843,BA289,$BQ$7:$BQ$1843,"&lt;="&amp;BQ289),"")</f>
        <v>44.0253200905375</v>
      </c>
      <c r="BC289" s="65" t="n">
        <f aca="false">IF(BB289="",0,MAX(0,MIN(1,(IF(BY289="L1",Parameter!$E$5,Parameter!$E$6+Parameter!$E$7)-(BB289-AX289))/AX289)))</f>
        <v>1</v>
      </c>
      <c r="BD289" s="55" t="str">
        <f aca="false">IF(AH289&lt;=0,"",IF(BY289="Aussen","Aussenlager",IF(BY289="-","Nicht im Lift",IF(AM289&gt;=1,"Lift",IF(AM289&lt;=0,"Aussenlager","teilweise")))))</f>
        <v>Lift</v>
      </c>
      <c r="BE289" s="55" t="str">
        <f aca="false">IF(AP289&lt;=0,"",IF(BY289="Aussen","Aussenlager",IF(BY289="-","Nicht im Lift",IF(AU289&gt;=1,"Lift",IF(AU289&lt;=0,"Aussenlager","teilweise")))))</f>
        <v>Lift</v>
      </c>
      <c r="BF289" s="55" t="str">
        <f aca="false">IF(AX289&lt;=0,"",IF(BY289="Aussen","Aussenlager",IF(BY289="-","Nicht im Lift",IF(BC289&gt;=1,"Lift",IF(BC289&lt;=0,"Aussenlager","teilweise")))))</f>
        <v>Lift</v>
      </c>
      <c r="BG289" s="55" t="str">
        <f aca="false">IF(A289="","",IF(BP289=1,"Neu; ","")&amp;IF(AND(BP289=0,BK289&lt;0),"negativer Bestand (Export "&amp;BK289&amp;"); ","")&amp;IF(J289&lt;=0,"Kein Verbrauch; ","")&amp;IF(CH289&gt;0,"Lift "&amp;W289&amp;" lt. Liftbericht (Fach "&amp;X289&amp;" Stk); ",IF(BU289=1,"Gebinde geschätzt ("&amp;T289&amp;"); ",IF(BT289=1,"Lose – Tablare geschätzt; ","")))&amp;IF(H289&gt;AR289,"Überbestand "&amp;ROUND(H289-AR289,0)&amp;" Stk / CHF "&amp;ROUND((H289-AR289)*G289,0)&amp;"; ","")&amp;IF(AND(CA289=1,CB289&lt;CC289),"MAX &lt; MB+LG; ","")&amp;IF(AND(CG289&gt;0,CF289*10&gt;CG289),"zu hoch für Tablar; ","")&amp;IF(AND(BP289=0,OR(CA289=1,AA289&lt;&gt;"",U289&lt;&gt;"",V289&lt;&gt;"",AB289&lt;&gt;"")),"manuell übersteuert; ","")&amp;IF(AND(BT289=0,R289=0),"Gebinde unbekannt / Stellmass fehlt; ","")&amp;IF(AND(BT289=0,N(V289)&lt;=0,N(Q289)&lt;=0),"Menge pro Gebinde fehlt (Ist = 1 Gebinde); ","")&amp;BO289)</f>
        <v>Überbestand 23 Stk / CHF 256; </v>
      </c>
      <c r="BH289" s="55"/>
      <c r="BI289" s="55"/>
      <c r="BJ289" s="62"/>
      <c r="BK289" s="57" t="n">
        <v>29</v>
      </c>
      <c r="BL289" s="57" t="n">
        <v>5</v>
      </c>
      <c r="BM289" s="56" t="n">
        <v>310.91</v>
      </c>
      <c r="BN289" s="57" t="n">
        <v>5</v>
      </c>
      <c r="BO289" s="55"/>
      <c r="BP289" s="60" t="n">
        <v>0</v>
      </c>
      <c r="BQ289" s="60" t="n">
        <v>289</v>
      </c>
      <c r="BR289" s="55" t="str">
        <f aca="false">IF(U289&lt;&gt;"",UPPER(TRIM(U289)),IF(BU289=1,UPPER(VLOOKUP(T289,Parameter!$I$27:$K$29,2,0)),IF(P289="","LOSE",P289)))</f>
        <v>S32</v>
      </c>
      <c r="BS289" s="57" t="n">
        <f aca="false">IF(BR289="LOSE",1,IF(N(V289)&gt;0,V289,IF(BU289=1,MAX(1,N(VLOOKUP(T289,Parameter!$I$27:$K$29,3,0)),H289,N(N289)),IF(N(Q289)&gt;0,Q289,MAX(1,H289)))))</f>
        <v>11</v>
      </c>
      <c r="BT289" s="60" t="n">
        <f aca="false">IF(BR289="LOSE",1,0)</f>
        <v>0</v>
      </c>
      <c r="BU289" s="60" t="n">
        <f aca="false">IF(AND(U289="",OR(P289="",P289="LOSE"),T289&lt;&gt;"",N(S289)&lt;=0,ISNUMBER(MATCH(T289,Parameter!$I$27:$I$29,0))),1,0)</f>
        <v>0</v>
      </c>
      <c r="BV289" s="55" t="str">
        <f aca="false">IF(AND(Parameter!$B$19="Ja",E289&lt;&gt;"",ISNUMBER(MATCH(E289,Parameter!$I$35:$I$52,0))),VLOOKUP(E289,Parameter!$I$35:$J$52,2,0),IFERROR(VLOOKUP(D289,Parameter!$A$35:$C$64,2,0),"Nein"))</f>
        <v>2+3</v>
      </c>
      <c r="BW289" s="59" t="n">
        <f aca="false">IF(BT289=0,0,IF(N(S289)&gt;0,S289,IFERROR(VLOOKUP(D289,Parameter!$A$35:$C$64,3,0)+0,0)))</f>
        <v>0</v>
      </c>
      <c r="BX289" s="55" t="n">
        <f aca="false">IF(AA289&lt;&gt;"",AA289,Z289)</f>
        <v>3</v>
      </c>
      <c r="BY289" s="55" t="str">
        <f aca="false">IF(BX289=1,"L1",IF(OR(BX289=2,BX289=3),"L23",IF(BX289="Aussen","Aussen","-")))</f>
        <v>L23</v>
      </c>
      <c r="BZ289" s="66" t="n">
        <f aca="false">IF(N(AB289)&gt;0,AB289,0)</f>
        <v>0</v>
      </c>
      <c r="CA289" s="60" t="n">
        <f aca="false">IF(ISNUMBER(AE289),1,0)</f>
        <v>0</v>
      </c>
      <c r="CB289" s="57" t="n">
        <f aca="false">N(AE289)</f>
        <v>0</v>
      </c>
      <c r="CC289" s="57" t="n">
        <f aca="false">N(M289)+N(N289)</f>
        <v>5</v>
      </c>
      <c r="CD289" s="57" t="n">
        <f aca="false">ROUNDUP(H289/BS289,0)</f>
        <v>4</v>
      </c>
      <c r="CE289" s="57" t="n">
        <f aca="false">ROUNDUP(CB289/BS289,0)</f>
        <v>0</v>
      </c>
      <c r="CF289" s="60" t="n">
        <f aca="false">IF(BT289=1,0,IFERROR(VLOOKUP(BR289,'Gebinde-Kategorie'!$A$5:$M$45,5,0)+0,0))</f>
        <v>8</v>
      </c>
      <c r="CG289" s="60" t="n">
        <f aca="false">IFERROR(IF(OR(BX289=1,BX289=2,BX289=3),N(INDEX(Parameter!$I$5:$I$7,BX289)),0),0)</f>
        <v>0</v>
      </c>
      <c r="CH289" s="59" t="n">
        <f aca="false">IF(AND(Parameter!$B$21="Ja",ISNUMBER(W289),N(X289)&gt;0),IFERROR(N(INDEX(Parameter!$L$5:$L$7,W289))*INDEX(Parameter!$E$5:$E$7,W289)*X289/SUMIFS($X$7:$X$1843,$W$7:$W$1843,W289),0),0)</f>
        <v>0</v>
      </c>
    </row>
    <row r="290" customFormat="false" ht="15" hidden="false" customHeight="false" outlineLevel="0" collapsed="false">
      <c r="A290" s="55" t="s">
        <v>752</v>
      </c>
      <c r="B290" s="55" t="s">
        <v>753</v>
      </c>
      <c r="C290" s="55" t="s">
        <v>164</v>
      </c>
      <c r="D290" s="55" t="s">
        <v>184</v>
      </c>
      <c r="E290" s="55" t="s">
        <v>185</v>
      </c>
      <c r="F290" s="55" t="s">
        <v>218</v>
      </c>
      <c r="G290" s="56" t="n">
        <v>4.03</v>
      </c>
      <c r="H290" s="57" t="n">
        <f aca="false">MAX(0,IF(AND(Parameter!$B$21="Ja",ISNUMBER(Y290)),Y290,IF(Parameter!$B$20="Jahresanfang 2025 + Export",BL290+BK290,BK290)))</f>
        <v>133</v>
      </c>
      <c r="I290" s="57" t="n">
        <f aca="false">H290*G290</f>
        <v>535.99</v>
      </c>
      <c r="J290" s="57" t="n">
        <f aca="false">BN290*Parameter!$B$18</f>
        <v>228</v>
      </c>
      <c r="K290" s="58" t="n">
        <v>92.5</v>
      </c>
      <c r="L290" s="59" t="n">
        <v>2.46486486486487</v>
      </c>
      <c r="M290" s="57" t="n">
        <v>17</v>
      </c>
      <c r="N290" s="57" t="n">
        <v>230</v>
      </c>
      <c r="O290" s="60" t="n">
        <v>28</v>
      </c>
      <c r="P290" s="55" t="s">
        <v>302</v>
      </c>
      <c r="Q290" s="57" t="n">
        <v>76</v>
      </c>
      <c r="R290" s="60" t="n">
        <f aca="false">IF(BT290=1,0,IFERROR(VLOOKUP(BR290,'Gebinde-Kategorie'!$A$5:$M$45,13,0)+0,0))</f>
        <v>26</v>
      </c>
      <c r="S290" s="61"/>
      <c r="T290" s="62"/>
      <c r="U290" s="62"/>
      <c r="V290" s="62"/>
      <c r="W290" s="55"/>
      <c r="X290" s="57"/>
      <c r="Y290" s="57"/>
      <c r="Z290" s="55" t="n">
        <f aca="false">IF(A290="","",IF(AND(Parameter!$B$21="Ja",ISNUMBER(W290)),W290,IF(BV290="2+3",IF(ISNUMBER(SEARCH("grosser Artikel",BO290)),2,IFERROR(VLOOKUP(BR290,Parameter!$F$35:$G$64,2,0),2)),IF(OR(BV290="Nein",BV290=""),"-",BV290))))</f>
        <v>3</v>
      </c>
      <c r="AA290" s="62"/>
      <c r="AB290" s="63"/>
      <c r="AC290" s="57" t="n">
        <f aca="false">AR290</f>
        <v>304</v>
      </c>
      <c r="AD290" s="57" t="n">
        <f aca="false">MAX(AR290,H290)</f>
        <v>304</v>
      </c>
      <c r="AE290" s="64"/>
      <c r="AF290" s="57" t="n">
        <f aca="false">IF(LEFT(Cockpit!$C$5,1)="A",H290,IF(CA290=1,CB290,IF(LEFT(Cockpit!$C$5,1)="B",AJ290,MAX(AJ290,H290))))</f>
        <v>133</v>
      </c>
      <c r="AG290" s="57" t="n">
        <f aca="false">IF(BT290=1,0,ROUNDUP(AF290/BS290,0))</f>
        <v>2</v>
      </c>
      <c r="AH290" s="59" t="n">
        <f aca="false">IF(CH290&gt;0,CH290*MAX(1,AF290/X290),IF(BT290=1,IF(AF290&lt;=0,0,BW290*MAX(1,IF(H290&gt;0,AF290/H290,1))),IF(R290&gt;0,AG290/R290,0))/MAX(0.1,N(Parameter!$M$21)))</f>
        <v>0.0769230769230769</v>
      </c>
      <c r="AI290" s="57" t="n">
        <f aca="false">AF290*G290</f>
        <v>535.99</v>
      </c>
      <c r="AJ290" s="57" t="n">
        <f aca="false">ROUNDUP(MAX(J290/IF(BZ290&gt;0,BZ290,MAX(0.1,N(Cockpit!$C$6))),CC290)/BS290,0)*BS290</f>
        <v>304</v>
      </c>
      <c r="AK290" s="58" t="n">
        <f aca="false">IF(AH290&gt;0,J290/AH290,-1)</f>
        <v>2964</v>
      </c>
      <c r="AL290" s="58" t="n">
        <f aca="false">IF(AND(OR(BY290="L1",BY290="L23"),AH290&gt;0),SUMIFS($AH$7:$AH$1843,$BY$7:$BY$1843,BY290,$AK$7:$AK$1843,"&gt;"&amp;AK290)+SUMIFS($AH$7:$AH$1843,$BY$7:$BY$1843,BY290,$AK$7:$AK$1843,AK290,$BQ$7:$BQ$1843,"&lt;="&amp;BQ290),"")</f>
        <v>10.7849903719469</v>
      </c>
      <c r="AM290" s="65" t="n">
        <f aca="false">IF(AL290="",0,MAX(0,MIN(1,(IF(BY290="L1",Parameter!$E$5,Parameter!$E$6+Parameter!$E$7)-(AL290-AH290))/AH290)))</f>
        <v>1</v>
      </c>
      <c r="AN290" s="57" t="n">
        <f aca="false">IF(LEFT(Cockpit!$I$5,1)="A",H290,IF(CA290=1,CB290,IF(LEFT(Cockpit!$I$5,1)="B",AR290,MAX(AR290,H290))))</f>
        <v>304</v>
      </c>
      <c r="AO290" s="57" t="n">
        <f aca="false">IF(BT290=1,0,ROUNDUP(AN290/BS290,0))</f>
        <v>4</v>
      </c>
      <c r="AP290" s="59" t="n">
        <f aca="false">IF(CH290&gt;0,CH290*MAX(1,AN290/X290),IF(BT290=1,IF(AN290&lt;=0,0,BW290*MAX(1,IF(H290&gt;0,AN290/H290,1))),IF(R290&gt;0,AO290/R290,0))/MAX(0.1,N(Parameter!$M$21)))</f>
        <v>0.153846153846154</v>
      </c>
      <c r="AQ290" s="57" t="n">
        <f aca="false">AN290*G290</f>
        <v>1225.12</v>
      </c>
      <c r="AR290" s="57" t="n">
        <f aca="false">ROUNDUP(MAX(J290/IF(BZ290&gt;0,BZ290,MAX(0.1,N(Cockpit!$I$6))),CC290)/BS290,0)*BS290</f>
        <v>304</v>
      </c>
      <c r="AS290" s="58" t="n">
        <f aca="false">IF(AP290&gt;0,J290/AP290,-1)</f>
        <v>1482</v>
      </c>
      <c r="AT290" s="58" t="n">
        <f aca="false">IF(AND(OR(BY290="L1",BY290="L23"),AP290&gt;0),SUMIFS($AP$7:$AP$1843,$BY$7:$BY$1843,BY290,$AS$7:$AS$1843,"&gt;"&amp;AS290)+SUMIFS($AP$7:$AP$1843,$BY$7:$BY$1843,BY290,$AS$7:$AS$1843,AS290,$BQ$7:$BQ$1843,"&lt;="&amp;BQ290),"")</f>
        <v>20.8732052971183</v>
      </c>
      <c r="AU290" s="65" t="n">
        <f aca="false">IF(AT290="",0,MAX(0,MIN(1,(IF(BY290="L1",Parameter!$E$5,Parameter!$E$6+Parameter!$E$7)-(AT290-AP290))/AP290)))</f>
        <v>1</v>
      </c>
      <c r="AV290" s="57" t="n">
        <f aca="false">IF(LEFT(Cockpit!$O$5,1)="A",H290,IF(CA290=1,CB290,IF(LEFT(Cockpit!$O$5,1)="B",AZ290,MAX(AZ290,H290))))</f>
        <v>304</v>
      </c>
      <c r="AW290" s="57" t="n">
        <f aca="false">IF(BT290=1,0,ROUNDUP(AV290/BS290,0))</f>
        <v>4</v>
      </c>
      <c r="AX290" s="59" t="n">
        <f aca="false">IF(CH290&gt;0,CH290*MAX(1,AV290/X290),IF(BT290=1,IF(AV290&lt;=0,0,BW290*MAX(1,IF(H290&gt;0,AV290/H290,1))),IF(R290&gt;0,AW290/R290,0))/MAX(0.1,N(Parameter!$M$21)))</f>
        <v>0.153846153846154</v>
      </c>
      <c r="AY290" s="57" t="n">
        <f aca="false">AV290*G290</f>
        <v>1225.12</v>
      </c>
      <c r="AZ290" s="57" t="n">
        <f aca="false">ROUNDUP(MAX(J290/IF(BZ290&gt;0,BZ290,MAX(0.1,N(Cockpit!$O$6))),CC290)/BS290,0)*BS290</f>
        <v>304</v>
      </c>
      <c r="BA290" s="58" t="n">
        <f aca="false">IF(AX290&gt;0,J290/AX290,-1)</f>
        <v>1482</v>
      </c>
      <c r="BB290" s="58" t="n">
        <f aca="false">IF(AND(OR(BY290="L1",BY290="L23"),AX290&gt;0),SUMIFS($AX$7:$AX$1843,$BY$7:$BY$1843,BY290,$BA$7:$BA$1843,"&gt;"&amp;BA290)+SUMIFS($AX$7:$AX$1843,$BY$7:$BY$1843,BY290,$BA$7:$BA$1843,BA290,$BQ$7:$BQ$1843,"&lt;="&amp;BQ290),"")</f>
        <v>19.7350934090065</v>
      </c>
      <c r="BC290" s="65" t="n">
        <f aca="false">IF(BB290="",0,MAX(0,MIN(1,(IF(BY290="L1",Parameter!$E$5,Parameter!$E$6+Parameter!$E$7)-(BB290-AX290))/AX290)))</f>
        <v>1</v>
      </c>
      <c r="BD290" s="55" t="str">
        <f aca="false">IF(AH290&lt;=0,"",IF(BY290="Aussen","Aussenlager",IF(BY290="-","Nicht im Lift",IF(AM290&gt;=1,"Lift",IF(AM290&lt;=0,"Aussenlager","teilweise")))))</f>
        <v>Lift</v>
      </c>
      <c r="BE290" s="55" t="str">
        <f aca="false">IF(AP290&lt;=0,"",IF(BY290="Aussen","Aussenlager",IF(BY290="-","Nicht im Lift",IF(AU290&gt;=1,"Lift",IF(AU290&lt;=0,"Aussenlager","teilweise")))))</f>
        <v>Lift</v>
      </c>
      <c r="BF290" s="55" t="str">
        <f aca="false">IF(AX290&lt;=0,"",IF(BY290="Aussen","Aussenlager",IF(BY290="-","Nicht im Lift",IF(BC290&gt;=1,"Lift",IF(BC290&lt;=0,"Aussenlager","teilweise")))))</f>
        <v>Lift</v>
      </c>
      <c r="BG290" s="55" t="str">
        <f aca="false">IF(A290="","",IF(BP290=1,"Neu; ","")&amp;IF(AND(BP290=0,BK290&lt;0),"negativer Bestand (Export "&amp;BK290&amp;"); ","")&amp;IF(J290&lt;=0,"Kein Verbrauch; ","")&amp;IF(CH290&gt;0,"Lift "&amp;W290&amp;" lt. Liftbericht (Fach "&amp;X290&amp;" Stk); ",IF(BU290=1,"Gebinde geschätzt ("&amp;T290&amp;"); ",IF(BT290=1,"Lose – Tablare geschätzt; ","")))&amp;IF(H290&gt;AR290,"Überbestand "&amp;ROUND(H290-AR290,0)&amp;" Stk / CHF "&amp;ROUND((H290-AR290)*G290,0)&amp;"; ","")&amp;IF(AND(CA290=1,CB290&lt;CC290),"MAX &lt; MB+LG; ","")&amp;IF(AND(CG290&gt;0,CF290*10&gt;CG290),"zu hoch für Tablar; ","")&amp;IF(AND(BP290=0,OR(CA290=1,AA290&lt;&gt;"",U290&lt;&gt;"",V290&lt;&gt;"",AB290&lt;&gt;"")),"manuell übersteuert; ","")&amp;IF(AND(BT290=0,R290=0),"Gebinde unbekannt / Stellmass fehlt; ","")&amp;IF(AND(BT290=0,N(V290)&lt;=0,N(Q290)&lt;=0),"Menge pro Gebinde fehlt (Ist = 1 Gebinde); ","")&amp;BO290)</f>
        <v/>
      </c>
      <c r="BH290" s="55"/>
      <c r="BI290" s="55"/>
      <c r="BJ290" s="62"/>
      <c r="BK290" s="57" t="n">
        <v>76</v>
      </c>
      <c r="BL290" s="57" t="n">
        <v>57</v>
      </c>
      <c r="BM290" s="56" t="n">
        <v>307.99</v>
      </c>
      <c r="BN290" s="57" t="n">
        <v>228</v>
      </c>
      <c r="BO290" s="55"/>
      <c r="BP290" s="60" t="n">
        <v>0</v>
      </c>
      <c r="BQ290" s="60" t="n">
        <v>290</v>
      </c>
      <c r="BR290" s="55" t="str">
        <f aca="false">IF(U290&lt;&gt;"",UPPER(TRIM(U290)),IF(BU290=1,UPPER(VLOOKUP(T290,Parameter!$I$27:$K$29,2,0)),IF(P290="","LOSE",P290)))</f>
        <v>S51</v>
      </c>
      <c r="BS290" s="57" t="n">
        <f aca="false">IF(BR290="LOSE",1,IF(N(V290)&gt;0,V290,IF(BU290=1,MAX(1,N(VLOOKUP(T290,Parameter!$I$27:$K$29,3,0)),H290,N(N290)),IF(N(Q290)&gt;0,Q290,MAX(1,H290)))))</f>
        <v>76</v>
      </c>
      <c r="BT290" s="60" t="n">
        <f aca="false">IF(BR290="LOSE",1,0)</f>
        <v>0</v>
      </c>
      <c r="BU290" s="60" t="n">
        <f aca="false">IF(AND(U290="",OR(P290="",P290="LOSE"),T290&lt;&gt;"",N(S290)&lt;=0,ISNUMBER(MATCH(T290,Parameter!$I$27:$I$29,0))),1,0)</f>
        <v>0</v>
      </c>
      <c r="BV290" s="55" t="str">
        <f aca="false">IF(AND(Parameter!$B$19="Ja",E290&lt;&gt;"",ISNUMBER(MATCH(E290,Parameter!$I$35:$I$52,0))),VLOOKUP(E290,Parameter!$I$35:$J$52,2,0),IFERROR(VLOOKUP(D290,Parameter!$A$35:$C$64,2,0),"Nein"))</f>
        <v>2+3</v>
      </c>
      <c r="BW290" s="59" t="n">
        <f aca="false">IF(BT290=0,0,IF(N(S290)&gt;0,S290,IFERROR(VLOOKUP(D290,Parameter!$A$35:$C$64,3,0)+0,0)))</f>
        <v>0</v>
      </c>
      <c r="BX290" s="55" t="n">
        <f aca="false">IF(AA290&lt;&gt;"",AA290,Z290)</f>
        <v>3</v>
      </c>
      <c r="BY290" s="55" t="str">
        <f aca="false">IF(BX290=1,"L1",IF(OR(BX290=2,BX290=3),"L23",IF(BX290="Aussen","Aussen","-")))</f>
        <v>L23</v>
      </c>
      <c r="BZ290" s="66" t="n">
        <f aca="false">IF(N(AB290)&gt;0,AB290,0)</f>
        <v>0</v>
      </c>
      <c r="CA290" s="60" t="n">
        <f aca="false">IF(ISNUMBER(AE290),1,0)</f>
        <v>0</v>
      </c>
      <c r="CB290" s="57" t="n">
        <f aca="false">N(AE290)</f>
        <v>0</v>
      </c>
      <c r="CC290" s="57" t="n">
        <f aca="false">N(M290)+N(N290)</f>
        <v>247</v>
      </c>
      <c r="CD290" s="57" t="n">
        <f aca="false">ROUNDUP(H290/BS290,0)</f>
        <v>2</v>
      </c>
      <c r="CE290" s="57" t="n">
        <f aca="false">ROUNDUP(CB290/BS290,0)</f>
        <v>0</v>
      </c>
      <c r="CF290" s="60" t="n">
        <f aca="false">IF(BT290=1,0,IFERROR(VLOOKUP(BR290,'Gebinde-Kategorie'!$A$5:$M$45,5,0)+0,0))</f>
        <v>11</v>
      </c>
      <c r="CG290" s="60" t="n">
        <f aca="false">IFERROR(IF(OR(BX290=1,BX290=2,BX290=3),N(INDEX(Parameter!$I$5:$I$7,BX290)),0),0)</f>
        <v>0</v>
      </c>
      <c r="CH290" s="59" t="n">
        <f aca="false">IF(AND(Parameter!$B$21="Ja",ISNUMBER(W290),N(X290)&gt;0),IFERROR(N(INDEX(Parameter!$L$5:$L$7,W290))*INDEX(Parameter!$E$5:$E$7,W290)*X290/SUMIFS($X$7:$X$1843,$W$7:$W$1843,W290),0),0)</f>
        <v>0</v>
      </c>
    </row>
    <row r="291" customFormat="false" ht="15" hidden="false" customHeight="false" outlineLevel="0" collapsed="false">
      <c r="A291" s="55" t="s">
        <v>754</v>
      </c>
      <c r="B291" s="55" t="s">
        <v>755</v>
      </c>
      <c r="C291" s="55" t="s">
        <v>164</v>
      </c>
      <c r="D291" s="55" t="s">
        <v>184</v>
      </c>
      <c r="E291" s="55"/>
      <c r="F291" s="55" t="s">
        <v>218</v>
      </c>
      <c r="G291" s="56" t="n">
        <v>138.11</v>
      </c>
      <c r="H291" s="57" t="n">
        <f aca="false">MAX(0,IF(AND(Parameter!$B$21="Ja",ISNUMBER(Y291)),Y291,IF(Parameter!$B$20="Jahresanfang 2025 + Export",BL291+BK291,BK291)))</f>
        <v>7</v>
      </c>
      <c r="I291" s="57" t="n">
        <f aca="false">H291*G291</f>
        <v>966.77</v>
      </c>
      <c r="J291" s="57" t="n">
        <f aca="false">BN291*Parameter!$B$18</f>
        <v>3</v>
      </c>
      <c r="K291" s="58" t="n">
        <v>6.5</v>
      </c>
      <c r="L291" s="59" t="n">
        <v>0.461538461538462</v>
      </c>
      <c r="M291" s="57" t="n">
        <v>0</v>
      </c>
      <c r="N291" s="57" t="n">
        <v>5</v>
      </c>
      <c r="O291" s="60" t="n">
        <v>35</v>
      </c>
      <c r="P291" s="55" t="s">
        <v>421</v>
      </c>
      <c r="Q291" s="57" t="n">
        <v>8</v>
      </c>
      <c r="R291" s="60" t="n">
        <f aca="false">IF(BT291=1,0,IFERROR(VLOOKUP(BR291,'Gebinde-Kategorie'!$A$5:$M$45,13,0)+0,0))</f>
        <v>132</v>
      </c>
      <c r="S291" s="61"/>
      <c r="T291" s="62"/>
      <c r="U291" s="62"/>
      <c r="V291" s="62"/>
      <c r="W291" s="55"/>
      <c r="X291" s="57"/>
      <c r="Y291" s="57"/>
      <c r="Z291" s="55" t="n">
        <f aca="false">IF(A291="","",IF(AND(Parameter!$B$21="Ja",ISNUMBER(W291)),W291,IF(BV291="2+3",IF(ISNUMBER(SEARCH("grosser Artikel",BO291)),2,IFERROR(VLOOKUP(BR291,Parameter!$F$35:$G$64,2,0),2)),IF(OR(BV291="Nein",BV291=""),"-",BV291))))</f>
        <v>3</v>
      </c>
      <c r="AA291" s="62"/>
      <c r="AB291" s="63"/>
      <c r="AC291" s="57" t="n">
        <f aca="false">AR291</f>
        <v>8</v>
      </c>
      <c r="AD291" s="57" t="n">
        <f aca="false">MAX(AR291,H291)</f>
        <v>8</v>
      </c>
      <c r="AE291" s="64"/>
      <c r="AF291" s="57" t="n">
        <f aca="false">IF(LEFT(Cockpit!$C$5,1)="A",H291,IF(CA291=1,CB291,IF(LEFT(Cockpit!$C$5,1)="B",AJ291,MAX(AJ291,H291))))</f>
        <v>7</v>
      </c>
      <c r="AG291" s="57" t="n">
        <f aca="false">IF(BT291=1,0,ROUNDUP(AF291/BS291,0))</f>
        <v>1</v>
      </c>
      <c r="AH291" s="59" t="n">
        <f aca="false">IF(CH291&gt;0,CH291*MAX(1,AF291/X291),IF(BT291=1,IF(AF291&lt;=0,0,BW291*MAX(1,IF(H291&gt;0,AF291/H291,1))),IF(R291&gt;0,AG291/R291,0))/MAX(0.1,N(Parameter!$M$21)))</f>
        <v>0.00757575757575758</v>
      </c>
      <c r="AI291" s="57" t="n">
        <f aca="false">AF291*G291</f>
        <v>966.77</v>
      </c>
      <c r="AJ291" s="57" t="n">
        <f aca="false">ROUNDUP(MAX(J291/IF(BZ291&gt;0,BZ291,MAX(0.1,N(Cockpit!$C$6))),CC291)/BS291,0)*BS291</f>
        <v>8</v>
      </c>
      <c r="AK291" s="58" t="n">
        <f aca="false">IF(AH291&gt;0,J291/AH291,-1)</f>
        <v>396</v>
      </c>
      <c r="AL291" s="58" t="n">
        <f aca="false">IF(AND(OR(BY291="L1",BY291="L23"),AH291&gt;0),SUMIFS($AH$7:$AH$1843,$BY$7:$BY$1843,BY291,$AK$7:$AK$1843,"&gt;"&amp;AK291)+SUMIFS($AH$7:$AH$1843,$BY$7:$BY$1843,BY291,$AK$7:$AK$1843,AK291,$BQ$7:$BQ$1843,"&lt;="&amp;BQ291),"")</f>
        <v>25.8520742542482</v>
      </c>
      <c r="AM291" s="65" t="n">
        <f aca="false">IF(AL291="",0,MAX(0,MIN(1,(IF(BY291="L1",Parameter!$E$5,Parameter!$E$6+Parameter!$E$7)-(AL291-AH291))/AH291)))</f>
        <v>1</v>
      </c>
      <c r="AN291" s="57" t="n">
        <f aca="false">IF(LEFT(Cockpit!$I$5,1)="A",H291,IF(CA291=1,CB291,IF(LEFT(Cockpit!$I$5,1)="B",AR291,MAX(AR291,H291))))</f>
        <v>8</v>
      </c>
      <c r="AO291" s="57" t="n">
        <f aca="false">IF(BT291=1,0,ROUNDUP(AN291/BS291,0))</f>
        <v>1</v>
      </c>
      <c r="AP291" s="59" t="n">
        <f aca="false">IF(CH291&gt;0,CH291*MAX(1,AN291/X291),IF(BT291=1,IF(AN291&lt;=0,0,BW291*MAX(1,IF(H291&gt;0,AN291/H291,1))),IF(R291&gt;0,AO291/R291,0))/MAX(0.1,N(Parameter!$M$21)))</f>
        <v>0.00757575757575758</v>
      </c>
      <c r="AQ291" s="57" t="n">
        <f aca="false">AN291*G291</f>
        <v>1104.88</v>
      </c>
      <c r="AR291" s="57" t="n">
        <f aca="false">ROUNDUP(MAX(J291/IF(BZ291&gt;0,BZ291,MAX(0.1,N(Cockpit!$I$6))),CC291)/BS291,0)*BS291</f>
        <v>8</v>
      </c>
      <c r="AS291" s="58" t="n">
        <f aca="false">IF(AP291&gt;0,J291/AP291,-1)</f>
        <v>396</v>
      </c>
      <c r="AT291" s="58" t="n">
        <f aca="false">IF(AND(OR(BY291="L1",BY291="L23"),AP291&gt;0),SUMIFS($AP$7:$AP$1843,$BY$7:$BY$1843,BY291,$AS$7:$AS$1843,"&gt;"&amp;AS291)+SUMIFS($AP$7:$AP$1843,$BY$7:$BY$1843,BY291,$AS$7:$AS$1843,AS291,$BQ$7:$BQ$1843,"&lt;="&amp;BQ291),"")</f>
        <v>35.2903787034222</v>
      </c>
      <c r="AU291" s="65" t="n">
        <f aca="false">IF(AT291="",0,MAX(0,MIN(1,(IF(BY291="L1",Parameter!$E$5,Parameter!$E$6+Parameter!$E$7)-(AT291-AP291))/AP291)))</f>
        <v>1</v>
      </c>
      <c r="AV291" s="57" t="n">
        <f aca="false">IF(LEFT(Cockpit!$O$5,1)="A",H291,IF(CA291=1,CB291,IF(LEFT(Cockpit!$O$5,1)="B",AZ291,MAX(AZ291,H291))))</f>
        <v>8</v>
      </c>
      <c r="AW291" s="57" t="n">
        <f aca="false">IF(BT291=1,0,ROUNDUP(AV291/BS291,0))</f>
        <v>1</v>
      </c>
      <c r="AX291" s="59" t="n">
        <f aca="false">IF(CH291&gt;0,CH291*MAX(1,AV291/X291),IF(BT291=1,IF(AV291&lt;=0,0,BW291*MAX(1,IF(H291&gt;0,AV291/H291,1))),IF(R291&gt;0,AW291/R291,0))/MAX(0.1,N(Parameter!$M$21)))</f>
        <v>0.00757575757575758</v>
      </c>
      <c r="AY291" s="57" t="n">
        <f aca="false">AV291*G291</f>
        <v>1104.88</v>
      </c>
      <c r="AZ291" s="57" t="n">
        <f aca="false">ROUNDUP(MAX(J291/IF(BZ291&gt;0,BZ291,MAX(0.1,N(Cockpit!$O$6))),CC291)/BS291,0)*BS291</f>
        <v>8</v>
      </c>
      <c r="BA291" s="58" t="n">
        <f aca="false">IF(AX291&gt;0,J291/AX291,-1)</f>
        <v>396</v>
      </c>
      <c r="BB291" s="58" t="n">
        <f aca="false">IF(AND(OR(BY291="L1",BY291="L23"),AX291&gt;0),SUMIFS($AX$7:$AX$1843,$BY$7:$BY$1843,BY291,$BA$7:$BA$1843,"&gt;"&amp;BA291)+SUMIFS($AX$7:$AX$1843,$BY$7:$BY$1843,BY291,$BA$7:$BA$1843,BA291,$BQ$7:$BQ$1843,"&lt;="&amp;BQ291),"")</f>
        <v>34.5368821999257</v>
      </c>
      <c r="BC291" s="65" t="n">
        <f aca="false">IF(BB291="",0,MAX(0,MIN(1,(IF(BY291="L1",Parameter!$E$5,Parameter!$E$6+Parameter!$E$7)-(BB291-AX291))/AX291)))</f>
        <v>1</v>
      </c>
      <c r="BD291" s="55" t="str">
        <f aca="false">IF(AH291&lt;=0,"",IF(BY291="Aussen","Aussenlager",IF(BY291="-","Nicht im Lift",IF(AM291&gt;=1,"Lift",IF(AM291&lt;=0,"Aussenlager","teilweise")))))</f>
        <v>Lift</v>
      </c>
      <c r="BE291" s="55" t="str">
        <f aca="false">IF(AP291&lt;=0,"",IF(BY291="Aussen","Aussenlager",IF(BY291="-","Nicht im Lift",IF(AU291&gt;=1,"Lift",IF(AU291&lt;=0,"Aussenlager","teilweise")))))</f>
        <v>Lift</v>
      </c>
      <c r="BF291" s="55" t="str">
        <f aca="false">IF(AX291&lt;=0,"",IF(BY291="Aussen","Aussenlager",IF(BY291="-","Nicht im Lift",IF(BC291&gt;=1,"Lift",IF(BC291&lt;=0,"Aussenlager","teilweise")))))</f>
        <v>Lift</v>
      </c>
      <c r="BG291" s="55" t="str">
        <f aca="false">IF(A291="","",IF(BP291=1,"Neu; ","")&amp;IF(AND(BP291=0,BK291&lt;0),"negativer Bestand (Export "&amp;BK291&amp;"); ","")&amp;IF(J291&lt;=0,"Kein Verbrauch; ","")&amp;IF(CH291&gt;0,"Lift "&amp;W291&amp;" lt. Liftbericht (Fach "&amp;X291&amp;" Stk); ",IF(BU291=1,"Gebinde geschätzt ("&amp;T291&amp;"); ",IF(BT291=1,"Lose – Tablare geschätzt; ","")))&amp;IF(H291&gt;AR291,"Überbestand "&amp;ROUND(H291-AR291,0)&amp;" Stk / CHF "&amp;ROUND((H291-AR291)*G291,0)&amp;"; ","")&amp;IF(AND(CA291=1,CB291&lt;CC291),"MAX &lt; MB+LG; ","")&amp;IF(AND(CG291&gt;0,CF291*10&gt;CG291),"zu hoch für Tablar; ","")&amp;IF(AND(BP291=0,OR(CA291=1,AA291&lt;&gt;"",U291&lt;&gt;"",V291&lt;&gt;"",AB291&lt;&gt;"")),"manuell übersteuert; ","")&amp;IF(AND(BT291=0,R291=0),"Gebinde unbekannt / Stellmass fehlt; ","")&amp;IF(AND(BT291=0,N(V291)&lt;=0,N(Q291)&lt;=0),"Menge pro Gebinde fehlt (Ist = 1 Gebinde); ","")&amp;BO291)</f>
        <v/>
      </c>
      <c r="BH291" s="55"/>
      <c r="BI291" s="55"/>
      <c r="BJ291" s="62"/>
      <c r="BK291" s="57" t="n">
        <v>2</v>
      </c>
      <c r="BL291" s="57" t="n">
        <v>5</v>
      </c>
      <c r="BM291" s="56" t="n">
        <v>303.87</v>
      </c>
      <c r="BN291" s="57" t="n">
        <v>3</v>
      </c>
      <c r="BO291" s="55"/>
      <c r="BP291" s="60" t="n">
        <v>0</v>
      </c>
      <c r="BQ291" s="60" t="n">
        <v>291</v>
      </c>
      <c r="BR291" s="55" t="str">
        <f aca="false">IF(U291&lt;&gt;"",UPPER(TRIM(U291)),IF(BU291=1,UPPER(VLOOKUP(T291,Parameter!$I$27:$K$29,2,0)),IF(P291="","LOSE",P291)))</f>
        <v>S32</v>
      </c>
      <c r="BS291" s="57" t="n">
        <f aca="false">IF(BR291="LOSE",1,IF(N(V291)&gt;0,V291,IF(BU291=1,MAX(1,N(VLOOKUP(T291,Parameter!$I$27:$K$29,3,0)),H291,N(N291)),IF(N(Q291)&gt;0,Q291,MAX(1,H291)))))</f>
        <v>8</v>
      </c>
      <c r="BT291" s="60" t="n">
        <f aca="false">IF(BR291="LOSE",1,0)</f>
        <v>0</v>
      </c>
      <c r="BU291" s="60" t="n">
        <f aca="false">IF(AND(U291="",OR(P291="",P291="LOSE"),T291&lt;&gt;"",N(S291)&lt;=0,ISNUMBER(MATCH(T291,Parameter!$I$27:$I$29,0))),1,0)</f>
        <v>0</v>
      </c>
      <c r="BV291" s="55" t="str">
        <f aca="false">IF(AND(Parameter!$B$19="Ja",E291&lt;&gt;"",ISNUMBER(MATCH(E291,Parameter!$I$35:$I$52,0))),VLOOKUP(E291,Parameter!$I$35:$J$52,2,0),IFERROR(VLOOKUP(D291,Parameter!$A$35:$C$64,2,0),"Nein"))</f>
        <v>2+3</v>
      </c>
      <c r="BW291" s="59" t="n">
        <f aca="false">IF(BT291=0,0,IF(N(S291)&gt;0,S291,IFERROR(VLOOKUP(D291,Parameter!$A$35:$C$64,3,0)+0,0)))</f>
        <v>0</v>
      </c>
      <c r="BX291" s="55" t="n">
        <f aca="false">IF(AA291&lt;&gt;"",AA291,Z291)</f>
        <v>3</v>
      </c>
      <c r="BY291" s="55" t="str">
        <f aca="false">IF(BX291=1,"L1",IF(OR(BX291=2,BX291=3),"L23",IF(BX291="Aussen","Aussen","-")))</f>
        <v>L23</v>
      </c>
      <c r="BZ291" s="66" t="n">
        <f aca="false">IF(N(AB291)&gt;0,AB291,0)</f>
        <v>0</v>
      </c>
      <c r="CA291" s="60" t="n">
        <f aca="false">IF(ISNUMBER(AE291),1,0)</f>
        <v>0</v>
      </c>
      <c r="CB291" s="57" t="n">
        <f aca="false">N(AE291)</f>
        <v>0</v>
      </c>
      <c r="CC291" s="57" t="n">
        <f aca="false">N(M291)+N(N291)</f>
        <v>5</v>
      </c>
      <c r="CD291" s="57" t="n">
        <f aca="false">ROUNDUP(H291/BS291,0)</f>
        <v>1</v>
      </c>
      <c r="CE291" s="57" t="n">
        <f aca="false">ROUNDUP(CB291/BS291,0)</f>
        <v>0</v>
      </c>
      <c r="CF291" s="60" t="n">
        <f aca="false">IF(BT291=1,0,IFERROR(VLOOKUP(BR291,'Gebinde-Kategorie'!$A$5:$M$45,5,0)+0,0))</f>
        <v>8</v>
      </c>
      <c r="CG291" s="60" t="n">
        <f aca="false">IFERROR(IF(OR(BX291=1,BX291=2,BX291=3),N(INDEX(Parameter!$I$5:$I$7,BX291)),0),0)</f>
        <v>0</v>
      </c>
      <c r="CH291" s="59" t="n">
        <f aca="false">IF(AND(Parameter!$B$21="Ja",ISNUMBER(W291),N(X291)&gt;0),IFERROR(N(INDEX(Parameter!$L$5:$L$7,W291))*INDEX(Parameter!$E$5:$E$7,W291)*X291/SUMIFS($X$7:$X$1843,$W$7:$W$1843,W291),0),0)</f>
        <v>0</v>
      </c>
    </row>
    <row r="292" customFormat="false" ht="15" hidden="false" customHeight="false" outlineLevel="0" collapsed="false">
      <c r="A292" s="55" t="s">
        <v>756</v>
      </c>
      <c r="B292" s="55" t="s">
        <v>757</v>
      </c>
      <c r="C292" s="55" t="s">
        <v>164</v>
      </c>
      <c r="D292" s="55" t="s">
        <v>184</v>
      </c>
      <c r="E292" s="55" t="s">
        <v>185</v>
      </c>
      <c r="F292" s="55" t="s">
        <v>218</v>
      </c>
      <c r="G292" s="56" t="n">
        <v>21.92</v>
      </c>
      <c r="H292" s="57" t="n">
        <f aca="false">MAX(0,IF(AND(Parameter!$B$21="Ja",ISNUMBER(Y292)),Y292,IF(Parameter!$B$20="Jahresanfang 2025 + Export",BL292+BK292,BK292)))</f>
        <v>74</v>
      </c>
      <c r="I292" s="57" t="n">
        <f aca="false">H292*G292</f>
        <v>1622.08</v>
      </c>
      <c r="J292" s="57" t="n">
        <f aca="false">BN292*Parameter!$B$18</f>
        <v>92</v>
      </c>
      <c r="K292" s="58" t="n">
        <v>62</v>
      </c>
      <c r="L292" s="59" t="n">
        <v>1.48387096774194</v>
      </c>
      <c r="M292" s="57" t="n">
        <v>21</v>
      </c>
      <c r="N292" s="57" t="n">
        <v>90</v>
      </c>
      <c r="O292" s="60" t="n">
        <v>84</v>
      </c>
      <c r="P292" s="55" t="s">
        <v>302</v>
      </c>
      <c r="Q292" s="57" t="n">
        <v>48</v>
      </c>
      <c r="R292" s="60" t="n">
        <f aca="false">IF(BT292=1,0,IFERROR(VLOOKUP(BR292,'Gebinde-Kategorie'!$A$5:$M$45,13,0)+0,0))</f>
        <v>26</v>
      </c>
      <c r="S292" s="61"/>
      <c r="T292" s="62"/>
      <c r="U292" s="62"/>
      <c r="V292" s="62"/>
      <c r="W292" s="55"/>
      <c r="X292" s="57"/>
      <c r="Y292" s="57"/>
      <c r="Z292" s="55" t="n">
        <f aca="false">IF(A292="","",IF(AND(Parameter!$B$21="Ja",ISNUMBER(W292)),W292,IF(BV292="2+3",IF(ISNUMBER(SEARCH("grosser Artikel",BO292)),2,IFERROR(VLOOKUP(BR292,Parameter!$F$35:$G$64,2,0),2)),IF(OR(BV292="Nein",BV292=""),"-",BV292))))</f>
        <v>3</v>
      </c>
      <c r="AA292" s="62"/>
      <c r="AB292" s="63"/>
      <c r="AC292" s="57" t="n">
        <f aca="false">AR292</f>
        <v>144</v>
      </c>
      <c r="AD292" s="57" t="n">
        <f aca="false">MAX(AR292,H292)</f>
        <v>144</v>
      </c>
      <c r="AE292" s="64"/>
      <c r="AF292" s="57" t="n">
        <f aca="false">IF(LEFT(Cockpit!$C$5,1)="A",H292,IF(CA292=1,CB292,IF(LEFT(Cockpit!$C$5,1)="B",AJ292,MAX(AJ292,H292))))</f>
        <v>74</v>
      </c>
      <c r="AG292" s="57" t="n">
        <f aca="false">IF(BT292=1,0,ROUNDUP(AF292/BS292,0))</f>
        <v>2</v>
      </c>
      <c r="AH292" s="59" t="n">
        <f aca="false">IF(CH292&gt;0,CH292*MAX(1,AF292/X292),IF(BT292=1,IF(AF292&lt;=0,0,BW292*MAX(1,IF(H292&gt;0,AF292/H292,1))),IF(R292&gt;0,AG292/R292,0))/MAX(0.1,N(Parameter!$M$21)))</f>
        <v>0.0769230769230769</v>
      </c>
      <c r="AI292" s="57" t="n">
        <f aca="false">AF292*G292</f>
        <v>1622.08</v>
      </c>
      <c r="AJ292" s="57" t="n">
        <f aca="false">ROUNDUP(MAX(J292/IF(BZ292&gt;0,BZ292,MAX(0.1,N(Cockpit!$C$6))),CC292)/BS292,0)*BS292</f>
        <v>144</v>
      </c>
      <c r="AK292" s="58" t="n">
        <f aca="false">IF(AH292&gt;0,J292/AH292,-1)</f>
        <v>1196</v>
      </c>
      <c r="AL292" s="58" t="n">
        <f aca="false">IF(AND(OR(BY292="L1",BY292="L23"),AH292&gt;0),SUMIFS($AH$7:$AH$1843,$BY$7:$BY$1843,BY292,$AK$7:$AK$1843,"&gt;"&amp;AK292)+SUMIFS($AH$7:$AH$1843,$BY$7:$BY$1843,BY292,$AK$7:$AK$1843,AK292,$BQ$7:$BQ$1843,"&lt;="&amp;BQ292),"")</f>
        <v>16.6288047701091</v>
      </c>
      <c r="AM292" s="65" t="n">
        <f aca="false">IF(AL292="",0,MAX(0,MIN(1,(IF(BY292="L1",Parameter!$E$5,Parameter!$E$6+Parameter!$E$7)-(AL292-AH292))/AH292)))</f>
        <v>1</v>
      </c>
      <c r="AN292" s="57" t="n">
        <f aca="false">IF(LEFT(Cockpit!$I$5,1)="A",H292,IF(CA292=1,CB292,IF(LEFT(Cockpit!$I$5,1)="B",AR292,MAX(AR292,H292))))</f>
        <v>144</v>
      </c>
      <c r="AO292" s="57" t="n">
        <f aca="false">IF(BT292=1,0,ROUNDUP(AN292/BS292,0))</f>
        <v>3</v>
      </c>
      <c r="AP292" s="59" t="n">
        <f aca="false">IF(CH292&gt;0,CH292*MAX(1,AN292/X292),IF(BT292=1,IF(AN292&lt;=0,0,BW292*MAX(1,IF(H292&gt;0,AN292/H292,1))),IF(R292&gt;0,AO292/R292,0))/MAX(0.1,N(Parameter!$M$21)))</f>
        <v>0.115384615384615</v>
      </c>
      <c r="AQ292" s="57" t="n">
        <f aca="false">AN292*G292</f>
        <v>3156.48</v>
      </c>
      <c r="AR292" s="57" t="n">
        <f aca="false">ROUNDUP(MAX(J292/IF(BZ292&gt;0,BZ292,MAX(0.1,N(Cockpit!$I$6))),CC292)/BS292,0)*BS292</f>
        <v>144</v>
      </c>
      <c r="AS292" s="58" t="n">
        <f aca="false">IF(AP292&gt;0,J292/AP292,-1)</f>
        <v>797.333333333333</v>
      </c>
      <c r="AT292" s="58" t="n">
        <f aca="false">IF(AND(OR(BY292="L1",BY292="L23"),AP292&gt;0),SUMIFS($AP$7:$AP$1843,$BY$7:$BY$1843,BY292,$AS$7:$AS$1843,"&gt;"&amp;AS292)+SUMIFS($AP$7:$AP$1843,$BY$7:$BY$1843,BY292,$AS$7:$AS$1843,AS292,$BQ$7:$BQ$1843,"&lt;="&amp;BQ292),"")</f>
        <v>26.4869767913246</v>
      </c>
      <c r="AU292" s="65" t="n">
        <f aca="false">IF(AT292="",0,MAX(0,MIN(1,(IF(BY292="L1",Parameter!$E$5,Parameter!$E$6+Parameter!$E$7)-(AT292-AP292))/AP292)))</f>
        <v>1</v>
      </c>
      <c r="AV292" s="57" t="n">
        <f aca="false">IF(LEFT(Cockpit!$O$5,1)="A",H292,IF(CA292=1,CB292,IF(LEFT(Cockpit!$O$5,1)="B",AZ292,MAX(AZ292,H292))))</f>
        <v>144</v>
      </c>
      <c r="AW292" s="57" t="n">
        <f aca="false">IF(BT292=1,0,ROUNDUP(AV292/BS292,0))</f>
        <v>3</v>
      </c>
      <c r="AX292" s="59" t="n">
        <f aca="false">IF(CH292&gt;0,CH292*MAX(1,AV292/X292),IF(BT292=1,IF(AV292&lt;=0,0,BW292*MAX(1,IF(H292&gt;0,AV292/H292,1))),IF(R292&gt;0,AW292/R292,0))/MAX(0.1,N(Parameter!$M$21)))</f>
        <v>0.115384615384615</v>
      </c>
      <c r="AY292" s="57" t="n">
        <f aca="false">AV292*G292</f>
        <v>3156.48</v>
      </c>
      <c r="AZ292" s="57" t="n">
        <f aca="false">ROUNDUP(MAX(J292/IF(BZ292&gt;0,BZ292,MAX(0.1,N(Cockpit!$O$6))),CC292)/BS292,0)*BS292</f>
        <v>144</v>
      </c>
      <c r="BA292" s="58" t="n">
        <f aca="false">IF(AX292&gt;0,J292/AX292,-1)</f>
        <v>797.333333333333</v>
      </c>
      <c r="BB292" s="58" t="n">
        <f aca="false">IF(AND(OR(BY292="L1",BY292="L23"),AX292&gt;0),SUMIFS($AX$7:$AX$1843,$BY$7:$BY$1843,BY292,$BA$7:$BA$1843,"&gt;"&amp;BA292)+SUMIFS($AX$7:$AX$1843,$BY$7:$BY$1843,BY292,$BA$7:$BA$1843,BA292,$BQ$7:$BQ$1843,"&lt;="&amp;BQ292),"")</f>
        <v>25.9386084929563</v>
      </c>
      <c r="BC292" s="65" t="n">
        <f aca="false">IF(BB292="",0,MAX(0,MIN(1,(IF(BY292="L1",Parameter!$E$5,Parameter!$E$6+Parameter!$E$7)-(BB292-AX292))/AX292)))</f>
        <v>1</v>
      </c>
      <c r="BD292" s="55" t="str">
        <f aca="false">IF(AH292&lt;=0,"",IF(BY292="Aussen","Aussenlager",IF(BY292="-","Nicht im Lift",IF(AM292&gt;=1,"Lift",IF(AM292&lt;=0,"Aussenlager","teilweise")))))</f>
        <v>Lift</v>
      </c>
      <c r="BE292" s="55" t="str">
        <f aca="false">IF(AP292&lt;=0,"",IF(BY292="Aussen","Aussenlager",IF(BY292="-","Nicht im Lift",IF(AU292&gt;=1,"Lift",IF(AU292&lt;=0,"Aussenlager","teilweise")))))</f>
        <v>Lift</v>
      </c>
      <c r="BF292" s="55" t="str">
        <f aca="false">IF(AX292&lt;=0,"",IF(BY292="Aussen","Aussenlager",IF(BY292="-","Nicht im Lift",IF(BC292&gt;=1,"Lift",IF(BC292&lt;=0,"Aussenlager","teilweise")))))</f>
        <v>Lift</v>
      </c>
      <c r="BG292" s="55" t="str">
        <f aca="false">IF(A292="","",IF(BP292=1,"Neu; ","")&amp;IF(AND(BP292=0,BK292&lt;0),"negativer Bestand (Export "&amp;BK292&amp;"); ","")&amp;IF(J292&lt;=0,"Kein Verbrauch; ","")&amp;IF(CH292&gt;0,"Lift "&amp;W292&amp;" lt. Liftbericht (Fach "&amp;X292&amp;" Stk); ",IF(BU292=1,"Gebinde geschätzt ("&amp;T292&amp;"); ",IF(BT292=1,"Lose – Tablare geschätzt; ","")))&amp;IF(H292&gt;AR292,"Überbestand "&amp;ROUND(H292-AR292,0)&amp;" Stk / CHF "&amp;ROUND((H292-AR292)*G292,0)&amp;"; ","")&amp;IF(AND(CA292=1,CB292&lt;CC292),"MAX &lt; MB+LG; ","")&amp;IF(AND(CG292&gt;0,CF292*10&gt;CG292),"zu hoch für Tablar; ","")&amp;IF(AND(BP292=0,OR(CA292=1,AA292&lt;&gt;"",U292&lt;&gt;"",V292&lt;&gt;"",AB292&lt;&gt;"")),"manuell übersteuert; ","")&amp;IF(AND(BT292=0,R292=0),"Gebinde unbekannt / Stellmass fehlt; ","")&amp;IF(AND(BT292=0,N(V292)&lt;=0,N(Q292)&lt;=0),"Menge pro Gebinde fehlt (Ist = 1 Gebinde); ","")&amp;BO292)</f>
        <v/>
      </c>
      <c r="BH292" s="55"/>
      <c r="BI292" s="55"/>
      <c r="BJ292" s="62"/>
      <c r="BK292" s="57" t="n">
        <v>17</v>
      </c>
      <c r="BL292" s="57" t="n">
        <v>57</v>
      </c>
      <c r="BM292" s="56" t="n">
        <v>296.830000000001</v>
      </c>
      <c r="BN292" s="57" t="n">
        <v>92</v>
      </c>
      <c r="BO292" s="55"/>
      <c r="BP292" s="60" t="n">
        <v>0</v>
      </c>
      <c r="BQ292" s="60" t="n">
        <v>292</v>
      </c>
      <c r="BR292" s="55" t="str">
        <f aca="false">IF(U292&lt;&gt;"",UPPER(TRIM(U292)),IF(BU292=1,UPPER(VLOOKUP(T292,Parameter!$I$27:$K$29,2,0)),IF(P292="","LOSE",P292)))</f>
        <v>S51</v>
      </c>
      <c r="BS292" s="57" t="n">
        <f aca="false">IF(BR292="LOSE",1,IF(N(V292)&gt;0,V292,IF(BU292=1,MAX(1,N(VLOOKUP(T292,Parameter!$I$27:$K$29,3,0)),H292,N(N292)),IF(N(Q292)&gt;0,Q292,MAX(1,H292)))))</f>
        <v>48</v>
      </c>
      <c r="BT292" s="60" t="n">
        <f aca="false">IF(BR292="LOSE",1,0)</f>
        <v>0</v>
      </c>
      <c r="BU292" s="60" t="n">
        <f aca="false">IF(AND(U292="",OR(P292="",P292="LOSE"),T292&lt;&gt;"",N(S292)&lt;=0,ISNUMBER(MATCH(T292,Parameter!$I$27:$I$29,0))),1,0)</f>
        <v>0</v>
      </c>
      <c r="BV292" s="55" t="str">
        <f aca="false">IF(AND(Parameter!$B$19="Ja",E292&lt;&gt;"",ISNUMBER(MATCH(E292,Parameter!$I$35:$I$52,0))),VLOOKUP(E292,Parameter!$I$35:$J$52,2,0),IFERROR(VLOOKUP(D292,Parameter!$A$35:$C$64,2,0),"Nein"))</f>
        <v>2+3</v>
      </c>
      <c r="BW292" s="59" t="n">
        <f aca="false">IF(BT292=0,0,IF(N(S292)&gt;0,S292,IFERROR(VLOOKUP(D292,Parameter!$A$35:$C$64,3,0)+0,0)))</f>
        <v>0</v>
      </c>
      <c r="BX292" s="55" t="n">
        <f aca="false">IF(AA292&lt;&gt;"",AA292,Z292)</f>
        <v>3</v>
      </c>
      <c r="BY292" s="55" t="str">
        <f aca="false">IF(BX292=1,"L1",IF(OR(BX292=2,BX292=3),"L23",IF(BX292="Aussen","Aussen","-")))</f>
        <v>L23</v>
      </c>
      <c r="BZ292" s="66" t="n">
        <f aca="false">IF(N(AB292)&gt;0,AB292,0)</f>
        <v>0</v>
      </c>
      <c r="CA292" s="60" t="n">
        <f aca="false">IF(ISNUMBER(AE292),1,0)</f>
        <v>0</v>
      </c>
      <c r="CB292" s="57" t="n">
        <f aca="false">N(AE292)</f>
        <v>0</v>
      </c>
      <c r="CC292" s="57" t="n">
        <f aca="false">N(M292)+N(N292)</f>
        <v>111</v>
      </c>
      <c r="CD292" s="57" t="n">
        <f aca="false">ROUNDUP(H292/BS292,0)</f>
        <v>2</v>
      </c>
      <c r="CE292" s="57" t="n">
        <f aca="false">ROUNDUP(CB292/BS292,0)</f>
        <v>0</v>
      </c>
      <c r="CF292" s="60" t="n">
        <f aca="false">IF(BT292=1,0,IFERROR(VLOOKUP(BR292,'Gebinde-Kategorie'!$A$5:$M$45,5,0)+0,0))</f>
        <v>11</v>
      </c>
      <c r="CG292" s="60" t="n">
        <f aca="false">IFERROR(IF(OR(BX292=1,BX292=2,BX292=3),N(INDEX(Parameter!$I$5:$I$7,BX292)),0),0)</f>
        <v>0</v>
      </c>
      <c r="CH292" s="59" t="n">
        <f aca="false">IF(AND(Parameter!$B$21="Ja",ISNUMBER(W292),N(X292)&gt;0),IFERROR(N(INDEX(Parameter!$L$5:$L$7,W292))*INDEX(Parameter!$E$5:$E$7,W292)*X292/SUMIFS($X$7:$X$1843,$W$7:$W$1843,W292),0),0)</f>
        <v>0</v>
      </c>
    </row>
    <row r="293" customFormat="false" ht="15" hidden="false" customHeight="false" outlineLevel="0" collapsed="false">
      <c r="A293" s="55" t="s">
        <v>758</v>
      </c>
      <c r="B293" s="55" t="s">
        <v>759</v>
      </c>
      <c r="C293" s="55" t="s">
        <v>164</v>
      </c>
      <c r="D293" s="55" t="s">
        <v>184</v>
      </c>
      <c r="E293" s="55" t="s">
        <v>185</v>
      </c>
      <c r="F293" s="55" t="s">
        <v>218</v>
      </c>
      <c r="G293" s="56" t="n">
        <v>2.8</v>
      </c>
      <c r="H293" s="57" t="n">
        <f aca="false">MAX(0,IF(AND(Parameter!$B$21="Ja",ISNUMBER(Y293)),Y293,IF(Parameter!$B$20="Jahresanfang 2025 + Export",BL293+BK293,BK293)))</f>
        <v>123</v>
      </c>
      <c r="I293" s="57" t="n">
        <f aca="false">H293*G293</f>
        <v>344.4</v>
      </c>
      <c r="J293" s="57" t="n">
        <f aca="false">BN293*Parameter!$B$18</f>
        <v>129</v>
      </c>
      <c r="K293" s="58" t="n">
        <v>54.5</v>
      </c>
      <c r="L293" s="59" t="n">
        <v>2.36697247706422</v>
      </c>
      <c r="M293" s="57" t="n">
        <v>10</v>
      </c>
      <c r="N293" s="57" t="n">
        <v>130</v>
      </c>
      <c r="O293" s="60" t="n">
        <v>28</v>
      </c>
      <c r="P293" s="55" t="s">
        <v>421</v>
      </c>
      <c r="Q293" s="57" t="n">
        <v>115</v>
      </c>
      <c r="R293" s="60" t="n">
        <f aca="false">IF(BT293=1,0,IFERROR(VLOOKUP(BR293,'Gebinde-Kategorie'!$A$5:$M$45,13,0)+0,0))</f>
        <v>132</v>
      </c>
      <c r="S293" s="61"/>
      <c r="T293" s="62"/>
      <c r="U293" s="62"/>
      <c r="V293" s="62"/>
      <c r="W293" s="55"/>
      <c r="X293" s="57"/>
      <c r="Y293" s="57"/>
      <c r="Z293" s="55" t="n">
        <f aca="false">IF(A293="","",IF(AND(Parameter!$B$21="Ja",ISNUMBER(W293)),W293,IF(BV293="2+3",IF(ISNUMBER(SEARCH("grosser Artikel",BO293)),2,IFERROR(VLOOKUP(BR293,Parameter!$F$35:$G$64,2,0),2)),IF(OR(BV293="Nein",BV293=""),"-",BV293))))</f>
        <v>3</v>
      </c>
      <c r="AA293" s="62"/>
      <c r="AB293" s="63"/>
      <c r="AC293" s="57" t="n">
        <f aca="false">AR293</f>
        <v>230</v>
      </c>
      <c r="AD293" s="57" t="n">
        <f aca="false">MAX(AR293,H293)</f>
        <v>230</v>
      </c>
      <c r="AE293" s="64"/>
      <c r="AF293" s="57" t="n">
        <f aca="false">IF(LEFT(Cockpit!$C$5,1)="A",H293,IF(CA293=1,CB293,IF(LEFT(Cockpit!$C$5,1)="B",AJ293,MAX(AJ293,H293))))</f>
        <v>123</v>
      </c>
      <c r="AG293" s="57" t="n">
        <f aca="false">IF(BT293=1,0,ROUNDUP(AF293/BS293,0))</f>
        <v>2</v>
      </c>
      <c r="AH293" s="59" t="n">
        <f aca="false">IF(CH293&gt;0,CH293*MAX(1,AF293/X293),IF(BT293=1,IF(AF293&lt;=0,0,BW293*MAX(1,IF(H293&gt;0,AF293/H293,1))),IF(R293&gt;0,AG293/R293,0))/MAX(0.1,N(Parameter!$M$21)))</f>
        <v>0.0151515151515152</v>
      </c>
      <c r="AI293" s="57" t="n">
        <f aca="false">AF293*G293</f>
        <v>344.4</v>
      </c>
      <c r="AJ293" s="57" t="n">
        <f aca="false">ROUNDUP(MAX(J293/IF(BZ293&gt;0,BZ293,MAX(0.1,N(Cockpit!$C$6))),CC293)/BS293,0)*BS293</f>
        <v>230</v>
      </c>
      <c r="AK293" s="58" t="n">
        <f aca="false">IF(AH293&gt;0,J293/AH293,-1)</f>
        <v>8514</v>
      </c>
      <c r="AL293" s="58" t="n">
        <f aca="false">IF(AND(OR(BY293="L1",BY293="L23"),AH293&gt;0),SUMIFS($AH$7:$AH$1843,$BY$7:$BY$1843,BY293,$AK$7:$AK$1843,"&gt;"&amp;AK293)+SUMIFS($AH$7:$AH$1843,$BY$7:$BY$1843,BY293,$AK$7:$AK$1843,AK293,$BQ$7:$BQ$1843,"&lt;="&amp;BQ293),"")</f>
        <v>5.80659437181176</v>
      </c>
      <c r="AM293" s="65" t="n">
        <f aca="false">IF(AL293="",0,MAX(0,MIN(1,(IF(BY293="L1",Parameter!$E$5,Parameter!$E$6+Parameter!$E$7)-(AL293-AH293))/AH293)))</f>
        <v>1</v>
      </c>
      <c r="AN293" s="57" t="n">
        <f aca="false">IF(LEFT(Cockpit!$I$5,1)="A",H293,IF(CA293=1,CB293,IF(LEFT(Cockpit!$I$5,1)="B",AR293,MAX(AR293,H293))))</f>
        <v>230</v>
      </c>
      <c r="AO293" s="57" t="n">
        <f aca="false">IF(BT293=1,0,ROUNDUP(AN293/BS293,0))</f>
        <v>2</v>
      </c>
      <c r="AP293" s="59" t="n">
        <f aca="false">IF(CH293&gt;0,CH293*MAX(1,AN293/X293),IF(BT293=1,IF(AN293&lt;=0,0,BW293*MAX(1,IF(H293&gt;0,AN293/H293,1))),IF(R293&gt;0,AO293/R293,0))/MAX(0.1,N(Parameter!$M$21)))</f>
        <v>0.0151515151515152</v>
      </c>
      <c r="AQ293" s="57" t="n">
        <f aca="false">AN293*G293</f>
        <v>644</v>
      </c>
      <c r="AR293" s="57" t="n">
        <f aca="false">ROUNDUP(MAX(J293/IF(BZ293&gt;0,BZ293,MAX(0.1,N(Cockpit!$I$6))),CC293)/BS293,0)*BS293</f>
        <v>230</v>
      </c>
      <c r="AS293" s="58" t="n">
        <f aca="false">IF(AP293&gt;0,J293/AP293,-1)</f>
        <v>8514</v>
      </c>
      <c r="AT293" s="58" t="n">
        <f aca="false">IF(AND(OR(BY293="L1",BY293="L23"),AP293&gt;0),SUMIFS($AP$7:$AP$1843,$BY$7:$BY$1843,BY293,$AS$7:$AS$1843,"&gt;"&amp;AS293)+SUMIFS($AP$7:$AP$1843,$BY$7:$BY$1843,BY293,$AS$7:$AS$1843,AS293,$BQ$7:$BQ$1843,"&lt;="&amp;BQ293),"")</f>
        <v>8.87978446674099</v>
      </c>
      <c r="AU293" s="65" t="n">
        <f aca="false">IF(AT293="",0,MAX(0,MIN(1,(IF(BY293="L1",Parameter!$E$5,Parameter!$E$6+Parameter!$E$7)-(AT293-AP293))/AP293)))</f>
        <v>1</v>
      </c>
      <c r="AV293" s="57" t="n">
        <f aca="false">IF(LEFT(Cockpit!$O$5,1)="A",H293,IF(CA293=1,CB293,IF(LEFT(Cockpit!$O$5,1)="B",AZ293,MAX(AZ293,H293))))</f>
        <v>230</v>
      </c>
      <c r="AW293" s="57" t="n">
        <f aca="false">IF(BT293=1,0,ROUNDUP(AV293/BS293,0))</f>
        <v>2</v>
      </c>
      <c r="AX293" s="59" t="n">
        <f aca="false">IF(CH293&gt;0,CH293*MAX(1,AV293/X293),IF(BT293=1,IF(AV293&lt;=0,0,BW293*MAX(1,IF(H293&gt;0,AV293/H293,1))),IF(R293&gt;0,AW293/R293,0))/MAX(0.1,N(Parameter!$M$21)))</f>
        <v>0.0151515151515152</v>
      </c>
      <c r="AY293" s="57" t="n">
        <f aca="false">AV293*G293</f>
        <v>644</v>
      </c>
      <c r="AZ293" s="57" t="n">
        <f aca="false">ROUNDUP(MAX(J293/IF(BZ293&gt;0,BZ293,MAX(0.1,N(Cockpit!$O$6))),CC293)/BS293,0)*BS293</f>
        <v>230</v>
      </c>
      <c r="BA293" s="58" t="n">
        <f aca="false">IF(AX293&gt;0,J293/AX293,-1)</f>
        <v>8514</v>
      </c>
      <c r="BB293" s="58" t="n">
        <f aca="false">IF(AND(OR(BY293="L1",BY293="L23"),AX293&gt;0),SUMIFS($AX$7:$AX$1843,$BY$7:$BY$1843,BY293,$BA$7:$BA$1843,"&gt;"&amp;BA293)+SUMIFS($AX$7:$AX$1843,$BY$7:$BY$1843,BY293,$BA$7:$BA$1843,BA293,$BQ$7:$BQ$1843,"&lt;="&amp;BQ293),"")</f>
        <v>8.61346745042397</v>
      </c>
      <c r="BC293" s="65" t="n">
        <f aca="false">IF(BB293="",0,MAX(0,MIN(1,(IF(BY293="L1",Parameter!$E$5,Parameter!$E$6+Parameter!$E$7)-(BB293-AX293))/AX293)))</f>
        <v>1</v>
      </c>
      <c r="BD293" s="55" t="str">
        <f aca="false">IF(AH293&lt;=0,"",IF(BY293="Aussen","Aussenlager",IF(BY293="-","Nicht im Lift",IF(AM293&gt;=1,"Lift",IF(AM293&lt;=0,"Aussenlager","teilweise")))))</f>
        <v>Lift</v>
      </c>
      <c r="BE293" s="55" t="str">
        <f aca="false">IF(AP293&lt;=0,"",IF(BY293="Aussen","Aussenlager",IF(BY293="-","Nicht im Lift",IF(AU293&gt;=1,"Lift",IF(AU293&lt;=0,"Aussenlager","teilweise")))))</f>
        <v>Lift</v>
      </c>
      <c r="BF293" s="55" t="str">
        <f aca="false">IF(AX293&lt;=0,"",IF(BY293="Aussen","Aussenlager",IF(BY293="-","Nicht im Lift",IF(BC293&gt;=1,"Lift",IF(BC293&lt;=0,"Aussenlager","teilweise")))))</f>
        <v>Lift</v>
      </c>
      <c r="BG293" s="55" t="str">
        <f aca="false">IF(A293="","",IF(BP293=1,"Neu; ","")&amp;IF(AND(BP293=0,BK293&lt;0),"negativer Bestand (Export "&amp;BK293&amp;"); ","")&amp;IF(J293&lt;=0,"Kein Verbrauch; ","")&amp;IF(CH293&gt;0,"Lift "&amp;W293&amp;" lt. Liftbericht (Fach "&amp;X293&amp;" Stk); ",IF(BU293=1,"Gebinde geschätzt ("&amp;T293&amp;"); ",IF(BT293=1,"Lose – Tablare geschätzt; ","")))&amp;IF(H293&gt;AR293,"Überbestand "&amp;ROUND(H293-AR293,0)&amp;" Stk / CHF "&amp;ROUND((H293-AR293)*G293,0)&amp;"; ","")&amp;IF(AND(CA293=1,CB293&lt;CC293),"MAX &lt; MB+LG; ","")&amp;IF(AND(CG293&gt;0,CF293*10&gt;CG293),"zu hoch für Tablar; ","")&amp;IF(AND(BP293=0,OR(CA293=1,AA293&lt;&gt;"",U293&lt;&gt;"",V293&lt;&gt;"",AB293&lt;&gt;"")),"manuell übersteuert; ","")&amp;IF(AND(BT293=0,R293=0),"Gebinde unbekannt / Stellmass fehlt; ","")&amp;IF(AND(BT293=0,N(V293)&lt;=0,N(Q293)&lt;=0),"Menge pro Gebinde fehlt (Ist = 1 Gebinde); ","")&amp;BO293)</f>
        <v/>
      </c>
      <c r="BH293" s="55"/>
      <c r="BI293" s="55"/>
      <c r="BJ293" s="62"/>
      <c r="BK293" s="57" t="n">
        <v>105</v>
      </c>
      <c r="BL293" s="57" t="n">
        <v>18</v>
      </c>
      <c r="BM293" s="56" t="n">
        <v>294.18</v>
      </c>
      <c r="BN293" s="57" t="n">
        <v>129</v>
      </c>
      <c r="BO293" s="55"/>
      <c r="BP293" s="60" t="n">
        <v>0</v>
      </c>
      <c r="BQ293" s="60" t="n">
        <v>293</v>
      </c>
      <c r="BR293" s="55" t="str">
        <f aca="false">IF(U293&lt;&gt;"",UPPER(TRIM(U293)),IF(BU293=1,UPPER(VLOOKUP(T293,Parameter!$I$27:$K$29,2,0)),IF(P293="","LOSE",P293)))</f>
        <v>S32</v>
      </c>
      <c r="BS293" s="57" t="n">
        <f aca="false">IF(BR293="LOSE",1,IF(N(V293)&gt;0,V293,IF(BU293=1,MAX(1,N(VLOOKUP(T293,Parameter!$I$27:$K$29,3,0)),H293,N(N293)),IF(N(Q293)&gt;0,Q293,MAX(1,H293)))))</f>
        <v>115</v>
      </c>
      <c r="BT293" s="60" t="n">
        <f aca="false">IF(BR293="LOSE",1,0)</f>
        <v>0</v>
      </c>
      <c r="BU293" s="60" t="n">
        <f aca="false">IF(AND(U293="",OR(P293="",P293="LOSE"),T293&lt;&gt;"",N(S293)&lt;=0,ISNUMBER(MATCH(T293,Parameter!$I$27:$I$29,0))),1,0)</f>
        <v>0</v>
      </c>
      <c r="BV293" s="55" t="str">
        <f aca="false">IF(AND(Parameter!$B$19="Ja",E293&lt;&gt;"",ISNUMBER(MATCH(E293,Parameter!$I$35:$I$52,0))),VLOOKUP(E293,Parameter!$I$35:$J$52,2,0),IFERROR(VLOOKUP(D293,Parameter!$A$35:$C$64,2,0),"Nein"))</f>
        <v>2+3</v>
      </c>
      <c r="BW293" s="59" t="n">
        <f aca="false">IF(BT293=0,0,IF(N(S293)&gt;0,S293,IFERROR(VLOOKUP(D293,Parameter!$A$35:$C$64,3,0)+0,0)))</f>
        <v>0</v>
      </c>
      <c r="BX293" s="55" t="n">
        <f aca="false">IF(AA293&lt;&gt;"",AA293,Z293)</f>
        <v>3</v>
      </c>
      <c r="BY293" s="55" t="str">
        <f aca="false">IF(BX293=1,"L1",IF(OR(BX293=2,BX293=3),"L23",IF(BX293="Aussen","Aussen","-")))</f>
        <v>L23</v>
      </c>
      <c r="BZ293" s="66" t="n">
        <f aca="false">IF(N(AB293)&gt;0,AB293,0)</f>
        <v>0</v>
      </c>
      <c r="CA293" s="60" t="n">
        <f aca="false">IF(ISNUMBER(AE293),1,0)</f>
        <v>0</v>
      </c>
      <c r="CB293" s="57" t="n">
        <f aca="false">N(AE293)</f>
        <v>0</v>
      </c>
      <c r="CC293" s="57" t="n">
        <f aca="false">N(M293)+N(N293)</f>
        <v>140</v>
      </c>
      <c r="CD293" s="57" t="n">
        <f aca="false">ROUNDUP(H293/BS293,0)</f>
        <v>2</v>
      </c>
      <c r="CE293" s="57" t="n">
        <f aca="false">ROUNDUP(CB293/BS293,0)</f>
        <v>0</v>
      </c>
      <c r="CF293" s="60" t="n">
        <f aca="false">IF(BT293=1,0,IFERROR(VLOOKUP(BR293,'Gebinde-Kategorie'!$A$5:$M$45,5,0)+0,0))</f>
        <v>8</v>
      </c>
      <c r="CG293" s="60" t="n">
        <f aca="false">IFERROR(IF(OR(BX293=1,BX293=2,BX293=3),N(INDEX(Parameter!$I$5:$I$7,BX293)),0),0)</f>
        <v>0</v>
      </c>
      <c r="CH293" s="59" t="n">
        <f aca="false">IF(AND(Parameter!$B$21="Ja",ISNUMBER(W293),N(X293)&gt;0),IFERROR(N(INDEX(Parameter!$L$5:$L$7,W293))*INDEX(Parameter!$E$5:$E$7,W293)*X293/SUMIFS($X$7:$X$1843,$W$7:$W$1843,W293),0),0)</f>
        <v>0</v>
      </c>
    </row>
    <row r="294" customFormat="false" ht="15" hidden="false" customHeight="false" outlineLevel="0" collapsed="false">
      <c r="A294" s="55" t="s">
        <v>760</v>
      </c>
      <c r="B294" s="55" t="s">
        <v>761</v>
      </c>
      <c r="C294" s="55" t="s">
        <v>164</v>
      </c>
      <c r="D294" s="55" t="s">
        <v>184</v>
      </c>
      <c r="E294" s="55" t="s">
        <v>185</v>
      </c>
      <c r="F294" s="55" t="s">
        <v>218</v>
      </c>
      <c r="G294" s="56" t="n">
        <v>30.7</v>
      </c>
      <c r="H294" s="57" t="n">
        <f aca="false">MAX(0,IF(AND(Parameter!$B$21="Ja",ISNUMBER(Y294)),Y294,IF(Parameter!$B$20="Jahresanfang 2025 + Export",BL294+BK294,BK294)))</f>
        <v>18</v>
      </c>
      <c r="I294" s="57" t="n">
        <f aca="false">H294*G294</f>
        <v>552.6</v>
      </c>
      <c r="J294" s="57" t="n">
        <f aca="false">BN294*Parameter!$B$18</f>
        <v>2</v>
      </c>
      <c r="K294" s="58" t="n">
        <v>14</v>
      </c>
      <c r="L294" s="59" t="n">
        <v>0.142857142857143</v>
      </c>
      <c r="M294" s="57" t="n">
        <v>0</v>
      </c>
      <c r="N294" s="57" t="n">
        <v>1</v>
      </c>
      <c r="O294" s="60" t="n">
        <v>21</v>
      </c>
      <c r="P294" s="55" t="s">
        <v>401</v>
      </c>
      <c r="Q294" s="57" t="n">
        <v>10</v>
      </c>
      <c r="R294" s="60" t="n">
        <f aca="false">IF(BT294=1,0,IFERROR(VLOOKUP(BR294,'Gebinde-Kategorie'!$A$5:$M$45,13,0)+0,0))</f>
        <v>414</v>
      </c>
      <c r="S294" s="61"/>
      <c r="T294" s="62"/>
      <c r="U294" s="62"/>
      <c r="V294" s="62"/>
      <c r="W294" s="55"/>
      <c r="X294" s="57"/>
      <c r="Y294" s="57"/>
      <c r="Z294" s="55" t="n">
        <f aca="false">IF(A294="","",IF(AND(Parameter!$B$21="Ja",ISNUMBER(W294)),W294,IF(BV294="2+3",IF(ISNUMBER(SEARCH("grosser Artikel",BO294)),2,IFERROR(VLOOKUP(BR294,Parameter!$F$35:$G$64,2,0),2)),IF(OR(BV294="Nein",BV294=""),"-",BV294))))</f>
        <v>3</v>
      </c>
      <c r="AA294" s="62"/>
      <c r="AB294" s="63"/>
      <c r="AC294" s="57" t="n">
        <f aca="false">AR294</f>
        <v>10</v>
      </c>
      <c r="AD294" s="57" t="n">
        <f aca="false">MAX(AR294,H294)</f>
        <v>18</v>
      </c>
      <c r="AE294" s="64"/>
      <c r="AF294" s="57" t="n">
        <f aca="false">IF(LEFT(Cockpit!$C$5,1)="A",H294,IF(CA294=1,CB294,IF(LEFT(Cockpit!$C$5,1)="B",AJ294,MAX(AJ294,H294))))</f>
        <v>18</v>
      </c>
      <c r="AG294" s="57" t="n">
        <f aca="false">IF(BT294=1,0,ROUNDUP(AF294/BS294,0))</f>
        <v>2</v>
      </c>
      <c r="AH294" s="59" t="n">
        <f aca="false">IF(CH294&gt;0,CH294*MAX(1,AF294/X294),IF(BT294=1,IF(AF294&lt;=0,0,BW294*MAX(1,IF(H294&gt;0,AF294/H294,1))),IF(R294&gt;0,AG294/R294,0))/MAX(0.1,N(Parameter!$M$21)))</f>
        <v>0.00483091787439614</v>
      </c>
      <c r="AI294" s="57" t="n">
        <f aca="false">AF294*G294</f>
        <v>552.6</v>
      </c>
      <c r="AJ294" s="57" t="n">
        <f aca="false">ROUNDUP(MAX(J294/IF(BZ294&gt;0,BZ294,MAX(0.1,N(Cockpit!$C$6))),CC294)/BS294,0)*BS294</f>
        <v>10</v>
      </c>
      <c r="AK294" s="58" t="n">
        <f aca="false">IF(AH294&gt;0,J294/AH294,-1)</f>
        <v>414</v>
      </c>
      <c r="AL294" s="58" t="n">
        <f aca="false">IF(AND(OR(BY294="L1",BY294="L23"),AH294&gt;0),SUMIFS($AH$7:$AH$1843,$BY$7:$BY$1843,BY294,$AK$7:$AK$1843,"&gt;"&amp;AK294)+SUMIFS($AH$7:$AH$1843,$BY$7:$BY$1843,BY294,$AK$7:$AK$1843,AK294,$BQ$7:$BQ$1843,"&lt;="&amp;BQ294),"")</f>
        <v>25.4162528292963</v>
      </c>
      <c r="AM294" s="65" t="n">
        <f aca="false">IF(AL294="",0,MAX(0,MIN(1,(IF(BY294="L1",Parameter!$E$5,Parameter!$E$6+Parameter!$E$7)-(AL294-AH294))/AH294)))</f>
        <v>1</v>
      </c>
      <c r="AN294" s="57" t="n">
        <f aca="false">IF(LEFT(Cockpit!$I$5,1)="A",H294,IF(CA294=1,CB294,IF(LEFT(Cockpit!$I$5,1)="B",AR294,MAX(AR294,H294))))</f>
        <v>18</v>
      </c>
      <c r="AO294" s="57" t="n">
        <f aca="false">IF(BT294=1,0,ROUNDUP(AN294/BS294,0))</f>
        <v>2</v>
      </c>
      <c r="AP294" s="59" t="n">
        <f aca="false">IF(CH294&gt;0,CH294*MAX(1,AN294/X294),IF(BT294=1,IF(AN294&lt;=0,0,BW294*MAX(1,IF(H294&gt;0,AN294/H294,1))),IF(R294&gt;0,AO294/R294,0))/MAX(0.1,N(Parameter!$M$21)))</f>
        <v>0.00483091787439614</v>
      </c>
      <c r="AQ294" s="57" t="n">
        <f aca="false">AN294*G294</f>
        <v>552.6</v>
      </c>
      <c r="AR294" s="57" t="n">
        <f aca="false">ROUNDUP(MAX(J294/IF(BZ294&gt;0,BZ294,MAX(0.1,N(Cockpit!$I$6))),CC294)/BS294,0)*BS294</f>
        <v>10</v>
      </c>
      <c r="AS294" s="58" t="n">
        <f aca="false">IF(AP294&gt;0,J294/AP294,-1)</f>
        <v>414</v>
      </c>
      <c r="AT294" s="58" t="n">
        <f aca="false">IF(AND(OR(BY294="L1",BY294="L23"),AP294&gt;0),SUMIFS($AP$7:$AP$1843,$BY$7:$BY$1843,BY294,$AS$7:$AS$1843,"&gt;"&amp;AS294)+SUMIFS($AP$7:$AP$1843,$BY$7:$BY$1843,BY294,$AS$7:$AS$1843,AS294,$BQ$7:$BQ$1843,"&lt;="&amp;BQ294),"")</f>
        <v>34.8369903043816</v>
      </c>
      <c r="AU294" s="65" t="n">
        <f aca="false">IF(AT294="",0,MAX(0,MIN(1,(IF(BY294="L1",Parameter!$E$5,Parameter!$E$6+Parameter!$E$7)-(AT294-AP294))/AP294)))</f>
        <v>1</v>
      </c>
      <c r="AV294" s="57" t="n">
        <f aca="false">IF(LEFT(Cockpit!$O$5,1)="A",H294,IF(CA294=1,CB294,IF(LEFT(Cockpit!$O$5,1)="B",AZ294,MAX(AZ294,H294))))</f>
        <v>18</v>
      </c>
      <c r="AW294" s="57" t="n">
        <f aca="false">IF(BT294=1,0,ROUNDUP(AV294/BS294,0))</f>
        <v>2</v>
      </c>
      <c r="AX294" s="59" t="n">
        <f aca="false">IF(CH294&gt;0,CH294*MAX(1,AV294/X294),IF(BT294=1,IF(AV294&lt;=0,0,BW294*MAX(1,IF(H294&gt;0,AV294/H294,1))),IF(R294&gt;0,AW294/R294,0))/MAX(0.1,N(Parameter!$M$21)))</f>
        <v>0.00483091787439614</v>
      </c>
      <c r="AY294" s="57" t="n">
        <f aca="false">AV294*G294</f>
        <v>552.6</v>
      </c>
      <c r="AZ294" s="57" t="n">
        <f aca="false">ROUNDUP(MAX(J294/IF(BZ294&gt;0,BZ294,MAX(0.1,N(Cockpit!$O$6))),CC294)/BS294,0)*BS294</f>
        <v>10</v>
      </c>
      <c r="BA294" s="58" t="n">
        <f aca="false">IF(AX294&gt;0,J294/AX294,-1)</f>
        <v>414</v>
      </c>
      <c r="BB294" s="58" t="n">
        <f aca="false">IF(AND(OR(BY294="L1",BY294="L23"),AX294&gt;0),SUMIFS($AX$7:$AX$1843,$BY$7:$BY$1843,BY294,$BA$7:$BA$1843,"&gt;"&amp;BA294)+SUMIFS($AX$7:$AX$1843,$BY$7:$BY$1843,BY294,$BA$7:$BA$1843,BA294,$BQ$7:$BQ$1843,"&lt;="&amp;BQ294),"")</f>
        <v>34.2501604675518</v>
      </c>
      <c r="BC294" s="65" t="n">
        <f aca="false">IF(BB294="",0,MAX(0,MIN(1,(IF(BY294="L1",Parameter!$E$5,Parameter!$E$6+Parameter!$E$7)-(BB294-AX294))/AX294)))</f>
        <v>1</v>
      </c>
      <c r="BD294" s="55" t="str">
        <f aca="false">IF(AH294&lt;=0,"",IF(BY294="Aussen","Aussenlager",IF(BY294="-","Nicht im Lift",IF(AM294&gt;=1,"Lift",IF(AM294&lt;=0,"Aussenlager","teilweise")))))</f>
        <v>Lift</v>
      </c>
      <c r="BE294" s="55" t="str">
        <f aca="false">IF(AP294&lt;=0,"",IF(BY294="Aussen","Aussenlager",IF(BY294="-","Nicht im Lift",IF(AU294&gt;=1,"Lift",IF(AU294&lt;=0,"Aussenlager","teilweise")))))</f>
        <v>Lift</v>
      </c>
      <c r="BF294" s="55" t="str">
        <f aca="false">IF(AX294&lt;=0,"",IF(BY294="Aussen","Aussenlager",IF(BY294="-","Nicht im Lift",IF(BC294&gt;=1,"Lift",IF(BC294&lt;=0,"Aussenlager","teilweise")))))</f>
        <v>Lift</v>
      </c>
      <c r="BG294" s="55" t="str">
        <f aca="false">IF(A294="","",IF(BP294=1,"Neu; ","")&amp;IF(AND(BP294=0,BK294&lt;0),"negativer Bestand (Export "&amp;BK294&amp;"); ","")&amp;IF(J294&lt;=0,"Kein Verbrauch; ","")&amp;IF(CH294&gt;0,"Lift "&amp;W294&amp;" lt. Liftbericht (Fach "&amp;X294&amp;" Stk); ",IF(BU294=1,"Gebinde geschätzt ("&amp;T294&amp;"); ",IF(BT294=1,"Lose – Tablare geschätzt; ","")))&amp;IF(H294&gt;AR294,"Überbestand "&amp;ROUND(H294-AR294,0)&amp;" Stk / CHF "&amp;ROUND((H294-AR294)*G294,0)&amp;"; ","")&amp;IF(AND(CA294=1,CB294&lt;CC294),"MAX &lt; MB+LG; ","")&amp;IF(AND(CG294&gt;0,CF294*10&gt;CG294),"zu hoch für Tablar; ","")&amp;IF(AND(BP294=0,OR(CA294=1,AA294&lt;&gt;"",U294&lt;&gt;"",V294&lt;&gt;"",AB294&lt;&gt;"")),"manuell übersteuert; ","")&amp;IF(AND(BT294=0,R294=0),"Gebinde unbekannt / Stellmass fehlt; ","")&amp;IF(AND(BT294=0,N(V294)&lt;=0,N(Q294)&lt;=0),"Menge pro Gebinde fehlt (Ist = 1 Gebinde); ","")&amp;BO294)</f>
        <v>Überbestand 8 Stk / CHF 246; </v>
      </c>
      <c r="BH294" s="55"/>
      <c r="BI294" s="55"/>
      <c r="BJ294" s="62"/>
      <c r="BK294" s="57" t="n">
        <v>8</v>
      </c>
      <c r="BL294" s="57" t="n">
        <v>10</v>
      </c>
      <c r="BM294" s="56" t="n">
        <v>286.9</v>
      </c>
      <c r="BN294" s="57" t="n">
        <v>2</v>
      </c>
      <c r="BO294" s="55"/>
      <c r="BP294" s="60" t="n">
        <v>0</v>
      </c>
      <c r="BQ294" s="60" t="n">
        <v>294</v>
      </c>
      <c r="BR294" s="55" t="str">
        <f aca="false">IF(U294&lt;&gt;"",UPPER(TRIM(U294)),IF(BU294=1,UPPER(VLOOKUP(T294,Parameter!$I$27:$K$29,2,0)),IF(P294="","LOSE",P294)))</f>
        <v>S21</v>
      </c>
      <c r="BS294" s="57" t="n">
        <f aca="false">IF(BR294="LOSE",1,IF(N(V294)&gt;0,V294,IF(BU294=1,MAX(1,N(VLOOKUP(T294,Parameter!$I$27:$K$29,3,0)),H294,N(N294)),IF(N(Q294)&gt;0,Q294,MAX(1,H294)))))</f>
        <v>10</v>
      </c>
      <c r="BT294" s="60" t="n">
        <f aca="false">IF(BR294="LOSE",1,0)</f>
        <v>0</v>
      </c>
      <c r="BU294" s="60" t="n">
        <f aca="false">IF(AND(U294="",OR(P294="",P294="LOSE"),T294&lt;&gt;"",N(S294)&lt;=0,ISNUMBER(MATCH(T294,Parameter!$I$27:$I$29,0))),1,0)</f>
        <v>0</v>
      </c>
      <c r="BV294" s="55" t="str">
        <f aca="false">IF(AND(Parameter!$B$19="Ja",E294&lt;&gt;"",ISNUMBER(MATCH(E294,Parameter!$I$35:$I$52,0))),VLOOKUP(E294,Parameter!$I$35:$J$52,2,0),IFERROR(VLOOKUP(D294,Parameter!$A$35:$C$64,2,0),"Nein"))</f>
        <v>2+3</v>
      </c>
      <c r="BW294" s="59" t="n">
        <f aca="false">IF(BT294=0,0,IF(N(S294)&gt;0,S294,IFERROR(VLOOKUP(D294,Parameter!$A$35:$C$64,3,0)+0,0)))</f>
        <v>0</v>
      </c>
      <c r="BX294" s="55" t="n">
        <f aca="false">IF(AA294&lt;&gt;"",AA294,Z294)</f>
        <v>3</v>
      </c>
      <c r="BY294" s="55" t="str">
        <f aca="false">IF(BX294=1,"L1",IF(OR(BX294=2,BX294=3),"L23",IF(BX294="Aussen","Aussen","-")))</f>
        <v>L23</v>
      </c>
      <c r="BZ294" s="66" t="n">
        <f aca="false">IF(N(AB294)&gt;0,AB294,0)</f>
        <v>0</v>
      </c>
      <c r="CA294" s="60" t="n">
        <f aca="false">IF(ISNUMBER(AE294),1,0)</f>
        <v>0</v>
      </c>
      <c r="CB294" s="57" t="n">
        <f aca="false">N(AE294)</f>
        <v>0</v>
      </c>
      <c r="CC294" s="57" t="n">
        <f aca="false">N(M294)+N(N294)</f>
        <v>1</v>
      </c>
      <c r="CD294" s="57" t="n">
        <f aca="false">ROUNDUP(H294/BS294,0)</f>
        <v>2</v>
      </c>
      <c r="CE294" s="57" t="n">
        <f aca="false">ROUNDUP(CB294/BS294,0)</f>
        <v>0</v>
      </c>
      <c r="CF294" s="60" t="n">
        <f aca="false">IF(BT294=1,0,IFERROR(VLOOKUP(BR294,'Gebinde-Kategorie'!$A$5:$M$45,5,0)+0,0))</f>
        <v>8</v>
      </c>
      <c r="CG294" s="60" t="n">
        <f aca="false">IFERROR(IF(OR(BX294=1,BX294=2,BX294=3),N(INDEX(Parameter!$I$5:$I$7,BX294)),0),0)</f>
        <v>0</v>
      </c>
      <c r="CH294" s="59" t="n">
        <f aca="false">IF(AND(Parameter!$B$21="Ja",ISNUMBER(W294),N(X294)&gt;0),IFERROR(N(INDEX(Parameter!$L$5:$L$7,W294))*INDEX(Parameter!$E$5:$E$7,W294)*X294/SUMIFS($X$7:$X$1843,$W$7:$W$1843,W294),0),0)</f>
        <v>0</v>
      </c>
    </row>
    <row r="295" customFormat="false" ht="15" hidden="false" customHeight="false" outlineLevel="0" collapsed="false">
      <c r="A295" s="55" t="s">
        <v>762</v>
      </c>
      <c r="B295" s="55" t="s">
        <v>763</v>
      </c>
      <c r="C295" s="55" t="s">
        <v>164</v>
      </c>
      <c r="D295" s="55" t="s">
        <v>184</v>
      </c>
      <c r="E295" s="55"/>
      <c r="F295" s="55" t="s">
        <v>218</v>
      </c>
      <c r="G295" s="56" t="n">
        <v>5.72</v>
      </c>
      <c r="H295" s="57" t="n">
        <f aca="false">MAX(0,IF(AND(Parameter!$B$21="Ja",ISNUMBER(Y295)),Y295,IF(Parameter!$B$20="Jahresanfang 2025 + Export",BL295+BK295,BK295)))</f>
        <v>50</v>
      </c>
      <c r="I295" s="57" t="n">
        <f aca="false">H295*G295</f>
        <v>286</v>
      </c>
      <c r="J295" s="57" t="n">
        <f aca="false">BN295*Parameter!$B$18</f>
        <v>0</v>
      </c>
      <c r="K295" s="58" t="n">
        <v>0</v>
      </c>
      <c r="L295" s="59" t="n">
        <v>0</v>
      </c>
      <c r="M295" s="57" t="n">
        <v>0</v>
      </c>
      <c r="N295" s="57" t="n">
        <v>1</v>
      </c>
      <c r="O295" s="60" t="n">
        <v>9999</v>
      </c>
      <c r="P295" s="55" t="s">
        <v>168</v>
      </c>
      <c r="Q295" s="57"/>
      <c r="R295" s="60" t="n">
        <f aca="false">IF(BT295=1,0,IFERROR(VLOOKUP(BR295,'Gebinde-Kategorie'!$A$5:$M$45,13,0)+0,0))</f>
        <v>26</v>
      </c>
      <c r="S295" s="61"/>
      <c r="T295" s="62" t="s">
        <v>275</v>
      </c>
      <c r="U295" s="62"/>
      <c r="V295" s="62"/>
      <c r="W295" s="55"/>
      <c r="X295" s="57"/>
      <c r="Y295" s="57"/>
      <c r="Z295" s="55" t="n">
        <f aca="false">IF(A295="","",IF(AND(Parameter!$B$21="Ja",ISNUMBER(W295)),W295,IF(BV295="2+3",IF(ISNUMBER(SEARCH("grosser Artikel",BO295)),2,IFERROR(VLOOKUP(BR295,Parameter!$F$35:$G$64,2,0),2)),IF(OR(BV295="Nein",BV295=""),"-",BV295))))</f>
        <v>3</v>
      </c>
      <c r="AA295" s="62"/>
      <c r="AB295" s="63"/>
      <c r="AC295" s="57" t="n">
        <f aca="false">AR295</f>
        <v>50</v>
      </c>
      <c r="AD295" s="57" t="n">
        <f aca="false">MAX(AR295,H295)</f>
        <v>50</v>
      </c>
      <c r="AE295" s="64"/>
      <c r="AF295" s="57" t="n">
        <f aca="false">IF(LEFT(Cockpit!$C$5,1)="A",H295,IF(CA295=1,CB295,IF(LEFT(Cockpit!$C$5,1)="B",AJ295,MAX(AJ295,H295))))</f>
        <v>50</v>
      </c>
      <c r="AG295" s="57" t="n">
        <f aca="false">IF(BT295=1,0,ROUNDUP(AF295/BS295,0))</f>
        <v>1</v>
      </c>
      <c r="AH295" s="59" t="n">
        <f aca="false">IF(CH295&gt;0,CH295*MAX(1,AF295/X295),IF(BT295=1,IF(AF295&lt;=0,0,BW295*MAX(1,IF(H295&gt;0,AF295/H295,1))),IF(R295&gt;0,AG295/R295,0))/MAX(0.1,N(Parameter!$M$21)))</f>
        <v>0.0384615384615385</v>
      </c>
      <c r="AI295" s="57" t="n">
        <f aca="false">AF295*G295</f>
        <v>286</v>
      </c>
      <c r="AJ295" s="57" t="n">
        <f aca="false">ROUNDUP(MAX(J295/IF(BZ295&gt;0,BZ295,MAX(0.1,N(Cockpit!$C$6))),CC295)/BS295,0)*BS295</f>
        <v>50</v>
      </c>
      <c r="AK295" s="58" t="n">
        <f aca="false">IF(AH295&gt;0,J295/AH295,-1)</f>
        <v>0</v>
      </c>
      <c r="AL295" s="58" t="n">
        <f aca="false">IF(AND(OR(BY295="L1",BY295="L23"),AH295&gt;0),SUMIFS($AH$7:$AH$1843,$BY$7:$BY$1843,BY295,$AK$7:$AK$1843,"&gt;"&amp;AK295)+SUMIFS($AH$7:$AH$1843,$BY$7:$BY$1843,BY295,$AK$7:$AK$1843,AK295,$BQ$7:$BQ$1843,"&lt;="&amp;BQ295),"")</f>
        <v>72.1443194486673</v>
      </c>
      <c r="AM295" s="65" t="n">
        <f aca="false">IF(AL295="",0,MAX(0,MIN(1,(IF(BY295="L1",Parameter!$E$5,Parameter!$E$6+Parameter!$E$7)-(AL295-AH295))/AH295)))</f>
        <v>1</v>
      </c>
      <c r="AN295" s="57" t="n">
        <f aca="false">IF(LEFT(Cockpit!$I$5,1)="A",H295,IF(CA295=1,CB295,IF(LEFT(Cockpit!$I$5,1)="B",AR295,MAX(AR295,H295))))</f>
        <v>50</v>
      </c>
      <c r="AO295" s="57" t="n">
        <f aca="false">IF(BT295=1,0,ROUNDUP(AN295/BS295,0))</f>
        <v>1</v>
      </c>
      <c r="AP295" s="59" t="n">
        <f aca="false">IF(CH295&gt;0,CH295*MAX(1,AN295/X295),IF(BT295=1,IF(AN295&lt;=0,0,BW295*MAX(1,IF(H295&gt;0,AN295/H295,1))),IF(R295&gt;0,AO295/R295,0))/MAX(0.1,N(Parameter!$M$21)))</f>
        <v>0.0384615384615385</v>
      </c>
      <c r="AQ295" s="57" t="n">
        <f aca="false">AN295*G295</f>
        <v>286</v>
      </c>
      <c r="AR295" s="57" t="n">
        <f aca="false">ROUNDUP(MAX(J295/IF(BZ295&gt;0,BZ295,MAX(0.1,N(Cockpit!$I$6))),CC295)/BS295,0)*BS295</f>
        <v>50</v>
      </c>
      <c r="AS295" s="58" t="n">
        <f aca="false">IF(AP295&gt;0,J295/AP295,-1)</f>
        <v>0</v>
      </c>
      <c r="AT295" s="58" t="n">
        <f aca="false">IF(AND(OR(BY295="L1",BY295="L23"),AP295&gt;0),SUMIFS($AP$7:$AP$1843,$BY$7:$BY$1843,BY295,$AS$7:$AS$1843,"&gt;"&amp;AS295)+SUMIFS($AP$7:$AP$1843,$BY$7:$BY$1843,BY295,$AS$7:$AS$1843,AS295,$BQ$7:$BQ$1843,"&lt;="&amp;BQ295),"")</f>
        <v>111.568443633661</v>
      </c>
      <c r="AU295" s="65" t="n">
        <f aca="false">IF(AT295="",0,MAX(0,MIN(1,(IF(BY295="L1",Parameter!$E$5,Parameter!$E$6+Parameter!$E$7)-(AT295-AP295))/AP295)))</f>
        <v>0</v>
      </c>
      <c r="AV295" s="57" t="n">
        <f aca="false">IF(LEFT(Cockpit!$O$5,1)="A",H295,IF(CA295=1,CB295,IF(LEFT(Cockpit!$O$5,1)="B",AZ295,MAX(AZ295,H295))))</f>
        <v>50</v>
      </c>
      <c r="AW295" s="57" t="n">
        <f aca="false">IF(BT295=1,0,ROUNDUP(AV295/BS295,0))</f>
        <v>1</v>
      </c>
      <c r="AX295" s="59" t="n">
        <f aca="false">IF(CH295&gt;0,CH295*MAX(1,AV295/X295),IF(BT295=1,IF(AV295&lt;=0,0,BW295*MAX(1,IF(H295&gt;0,AV295/H295,1))),IF(R295&gt;0,AW295/R295,0))/MAX(0.1,N(Parameter!$M$21)))</f>
        <v>0.0384615384615385</v>
      </c>
      <c r="AY295" s="57" t="n">
        <f aca="false">AV295*G295</f>
        <v>286</v>
      </c>
      <c r="AZ295" s="57" t="n">
        <f aca="false">ROUNDUP(MAX(J295/IF(BZ295&gt;0,BZ295,MAX(0.1,N(Cockpit!$O$6))),CC295)/BS295,0)*BS295</f>
        <v>50</v>
      </c>
      <c r="BA295" s="58" t="n">
        <f aca="false">IF(AX295&gt;0,J295/AX295,-1)</f>
        <v>0</v>
      </c>
      <c r="BB295" s="58" t="n">
        <f aca="false">IF(AND(OR(BY295="L1",BY295="L23"),AX295&gt;0),SUMIFS($AX$7:$AX$1843,$BY$7:$BY$1843,BY295,$BA$7:$BA$1843,"&gt;"&amp;BA295)+SUMIFS($AX$7:$AX$1843,$BY$7:$BY$1843,BY295,$BA$7:$BA$1843,BA295,$BQ$7:$BQ$1843,"&lt;="&amp;BQ295),"")</f>
        <v>102.398280463498</v>
      </c>
      <c r="BC295" s="65" t="n">
        <f aca="false">IF(BB295="",0,MAX(0,MIN(1,(IF(BY295="L1",Parameter!$E$5,Parameter!$E$6+Parameter!$E$7)-(BB295-AX295))/AX295)))</f>
        <v>0</v>
      </c>
      <c r="BD295" s="55" t="str">
        <f aca="false">IF(AH295&lt;=0,"",IF(BY295="Aussen","Aussenlager",IF(BY295="-","Nicht im Lift",IF(AM295&gt;=1,"Lift",IF(AM295&lt;=0,"Aussenlager","teilweise")))))</f>
        <v>Lift</v>
      </c>
      <c r="BE295" s="55" t="str">
        <f aca="false">IF(AP295&lt;=0,"",IF(BY295="Aussen","Aussenlager",IF(BY295="-","Nicht im Lift",IF(AU295&gt;=1,"Lift",IF(AU295&lt;=0,"Aussenlager","teilweise")))))</f>
        <v>Aussenlager</v>
      </c>
      <c r="BF295" s="55" t="str">
        <f aca="false">IF(AX295&lt;=0,"",IF(BY295="Aussen","Aussenlager",IF(BY295="-","Nicht im Lift",IF(BC295&gt;=1,"Lift",IF(BC295&lt;=0,"Aussenlager","teilweise")))))</f>
        <v>Aussenlager</v>
      </c>
      <c r="BG295" s="55" t="str">
        <f aca="false">IF(A295="","",IF(BP295=1,"Neu; ","")&amp;IF(AND(BP295=0,BK295&lt;0),"negativer Bestand (Export "&amp;BK295&amp;"); ","")&amp;IF(J295&lt;=0,"Kein Verbrauch; ","")&amp;IF(CH295&gt;0,"Lift "&amp;W295&amp;" lt. Liftbericht (Fach "&amp;X295&amp;" Stk); ",IF(BU295=1,"Gebinde geschätzt ("&amp;T295&amp;"); ",IF(BT295=1,"Lose – Tablare geschätzt; ","")))&amp;IF(H295&gt;AR295,"Überbestand "&amp;ROUND(H295-AR295,0)&amp;" Stk / CHF "&amp;ROUND((H295-AR295)*G295,0)&amp;"; ","")&amp;IF(AND(CA295=1,CB295&lt;CC295),"MAX &lt; MB+LG; ","")&amp;IF(AND(CG295&gt;0,CF295*10&gt;CG295),"zu hoch für Tablar; ","")&amp;IF(AND(BP295=0,OR(CA295=1,AA295&lt;&gt;"",U295&lt;&gt;"",V295&lt;&gt;"",AB295&lt;&gt;"")),"manuell übersteuert; ","")&amp;IF(AND(BT295=0,R295=0),"Gebinde unbekannt / Stellmass fehlt; ","")&amp;IF(AND(BT295=0,N(V295)&lt;=0,N(Q295)&lt;=0),"Menge pro Gebinde fehlt (Ist = 1 Gebinde); ","")&amp;BO295)</f>
        <v>Kein Verbrauch; Gebinde geschätzt (Klein); Menge pro Gebinde fehlt (Ist = 1 Gebinde); </v>
      </c>
      <c r="BH295" s="55"/>
      <c r="BI295" s="55"/>
      <c r="BJ295" s="62"/>
      <c r="BK295" s="57" t="n">
        <v>50</v>
      </c>
      <c r="BL295" s="57" t="n">
        <v>0</v>
      </c>
      <c r="BM295" s="56" t="n">
        <v>286</v>
      </c>
      <c r="BN295" s="57" t="n">
        <v>0</v>
      </c>
      <c r="BO295" s="55"/>
      <c r="BP295" s="60" t="n">
        <v>0</v>
      </c>
      <c r="BQ295" s="60" t="n">
        <v>295</v>
      </c>
      <c r="BR295" s="55" t="str">
        <f aca="false">IF(U295&lt;&gt;"",UPPER(TRIM(U295)),IF(BU295=1,UPPER(VLOOKUP(T295,Parameter!$I$27:$K$29,2,0)),IF(P295="","LOSE",P295)))</f>
        <v>S51</v>
      </c>
      <c r="BS295" s="57" t="n">
        <f aca="false">IF(BR295="LOSE",1,IF(N(V295)&gt;0,V295,IF(BU295=1,MAX(1,N(VLOOKUP(T295,Parameter!$I$27:$K$29,3,0)),H295,N(N295)),IF(N(Q295)&gt;0,Q295,MAX(1,H295)))))</f>
        <v>50</v>
      </c>
      <c r="BT295" s="60" t="n">
        <f aca="false">IF(BR295="LOSE",1,0)</f>
        <v>0</v>
      </c>
      <c r="BU295" s="60" t="n">
        <f aca="false">IF(AND(U295="",OR(P295="",P295="LOSE"),T295&lt;&gt;"",N(S295)&lt;=0,ISNUMBER(MATCH(T295,Parameter!$I$27:$I$29,0))),1,0)</f>
        <v>1</v>
      </c>
      <c r="BV295" s="55" t="str">
        <f aca="false">IF(AND(Parameter!$B$19="Ja",E295&lt;&gt;"",ISNUMBER(MATCH(E295,Parameter!$I$35:$I$52,0))),VLOOKUP(E295,Parameter!$I$35:$J$52,2,0),IFERROR(VLOOKUP(D295,Parameter!$A$35:$C$64,2,0),"Nein"))</f>
        <v>2+3</v>
      </c>
      <c r="BW295" s="59" t="n">
        <f aca="false">IF(BT295=0,0,IF(N(S295)&gt;0,S295,IFERROR(VLOOKUP(D295,Parameter!$A$35:$C$64,3,0)+0,0)))</f>
        <v>0</v>
      </c>
      <c r="BX295" s="55" t="n">
        <f aca="false">IF(AA295&lt;&gt;"",AA295,Z295)</f>
        <v>3</v>
      </c>
      <c r="BY295" s="55" t="str">
        <f aca="false">IF(BX295=1,"L1",IF(OR(BX295=2,BX295=3),"L23",IF(BX295="Aussen","Aussen","-")))</f>
        <v>L23</v>
      </c>
      <c r="BZ295" s="66" t="n">
        <f aca="false">IF(N(AB295)&gt;0,AB295,0)</f>
        <v>0</v>
      </c>
      <c r="CA295" s="60" t="n">
        <f aca="false">IF(ISNUMBER(AE295),1,0)</f>
        <v>0</v>
      </c>
      <c r="CB295" s="57" t="n">
        <f aca="false">N(AE295)</f>
        <v>0</v>
      </c>
      <c r="CC295" s="57" t="n">
        <f aca="false">N(M295)+N(N295)</f>
        <v>1</v>
      </c>
      <c r="CD295" s="57" t="n">
        <f aca="false">ROUNDUP(H295/BS295,0)</f>
        <v>1</v>
      </c>
      <c r="CE295" s="57" t="n">
        <f aca="false">ROUNDUP(CB295/BS295,0)</f>
        <v>0</v>
      </c>
      <c r="CF295" s="60" t="n">
        <f aca="false">IF(BT295=1,0,IFERROR(VLOOKUP(BR295,'Gebinde-Kategorie'!$A$5:$M$45,5,0)+0,0))</f>
        <v>11</v>
      </c>
      <c r="CG295" s="60" t="n">
        <f aca="false">IFERROR(IF(OR(BX295=1,BX295=2,BX295=3),N(INDEX(Parameter!$I$5:$I$7,BX295)),0),0)</f>
        <v>0</v>
      </c>
      <c r="CH295" s="59" t="n">
        <f aca="false">IF(AND(Parameter!$B$21="Ja",ISNUMBER(W295),N(X295)&gt;0),IFERROR(N(INDEX(Parameter!$L$5:$L$7,W295))*INDEX(Parameter!$E$5:$E$7,W295)*X295/SUMIFS($X$7:$X$1843,$W$7:$W$1843,W295),0),0)</f>
        <v>0</v>
      </c>
    </row>
    <row r="296" customFormat="false" ht="15" hidden="false" customHeight="false" outlineLevel="0" collapsed="false">
      <c r="A296" s="55" t="s">
        <v>764</v>
      </c>
      <c r="B296" s="55" t="s">
        <v>576</v>
      </c>
      <c r="C296" s="55" t="s">
        <v>164</v>
      </c>
      <c r="D296" s="55" t="s">
        <v>184</v>
      </c>
      <c r="E296" s="55"/>
      <c r="F296" s="55" t="s">
        <v>218</v>
      </c>
      <c r="G296" s="56" t="n">
        <v>738.65</v>
      </c>
      <c r="H296" s="57" t="n">
        <f aca="false">MAX(0,IF(AND(Parameter!$B$21="Ja",ISNUMBER(Y296)),Y296,IF(Parameter!$B$20="Jahresanfang 2025 + Export",BL296+BK296,BK296)))</f>
        <v>4</v>
      </c>
      <c r="I296" s="57" t="n">
        <f aca="false">H296*G296</f>
        <v>2954.6</v>
      </c>
      <c r="J296" s="57" t="n">
        <f aca="false">BN296*Parameter!$B$18</f>
        <v>14</v>
      </c>
      <c r="K296" s="58" t="n">
        <v>4.5</v>
      </c>
      <c r="L296" s="59" t="n">
        <v>3.11111111111111</v>
      </c>
      <c r="M296" s="57" t="n">
        <v>10</v>
      </c>
      <c r="N296" s="57" t="n">
        <v>5</v>
      </c>
      <c r="O296" s="60" t="n">
        <v>28</v>
      </c>
      <c r="P296" s="55" t="s">
        <v>168</v>
      </c>
      <c r="Q296" s="57"/>
      <c r="R296" s="60" t="n">
        <f aca="false">IF(BT296=1,0,IFERROR(VLOOKUP(BR296,'Gebinde-Kategorie'!$A$5:$M$45,13,0)+0,0))</f>
        <v>26</v>
      </c>
      <c r="S296" s="61"/>
      <c r="T296" s="62" t="s">
        <v>275</v>
      </c>
      <c r="U296" s="62"/>
      <c r="V296" s="62"/>
      <c r="W296" s="55"/>
      <c r="X296" s="57"/>
      <c r="Y296" s="57"/>
      <c r="Z296" s="55" t="n">
        <f aca="false">IF(A296="","",IF(AND(Parameter!$B$21="Ja",ISNUMBER(W296)),W296,IF(BV296="2+3",IF(ISNUMBER(SEARCH("grosser Artikel",BO296)),2,IFERROR(VLOOKUP(BR296,Parameter!$F$35:$G$64,2,0),2)),IF(OR(BV296="Nein",BV296=""),"-",BV296))))</f>
        <v>3</v>
      </c>
      <c r="AA296" s="62"/>
      <c r="AB296" s="63"/>
      <c r="AC296" s="57" t="n">
        <f aca="false">AR296</f>
        <v>20</v>
      </c>
      <c r="AD296" s="57" t="n">
        <f aca="false">MAX(AR296,H296)</f>
        <v>20</v>
      </c>
      <c r="AE296" s="64"/>
      <c r="AF296" s="57" t="n">
        <f aca="false">IF(LEFT(Cockpit!$C$5,1)="A",H296,IF(CA296=1,CB296,IF(LEFT(Cockpit!$C$5,1)="B",AJ296,MAX(AJ296,H296))))</f>
        <v>4</v>
      </c>
      <c r="AG296" s="57" t="n">
        <f aca="false">IF(BT296=1,0,ROUNDUP(AF296/BS296,0))</f>
        <v>1</v>
      </c>
      <c r="AH296" s="59" t="n">
        <f aca="false">IF(CH296&gt;0,CH296*MAX(1,AF296/X296),IF(BT296=1,IF(AF296&lt;=0,0,BW296*MAX(1,IF(H296&gt;0,AF296/H296,1))),IF(R296&gt;0,AG296/R296,0))/MAX(0.1,N(Parameter!$M$21)))</f>
        <v>0.0384615384615385</v>
      </c>
      <c r="AI296" s="57" t="n">
        <f aca="false">AF296*G296</f>
        <v>2954.6</v>
      </c>
      <c r="AJ296" s="57" t="n">
        <f aca="false">ROUNDUP(MAX(J296/IF(BZ296&gt;0,BZ296,MAX(0.1,N(Cockpit!$C$6))),CC296)/BS296,0)*BS296</f>
        <v>20</v>
      </c>
      <c r="AK296" s="58" t="n">
        <f aca="false">IF(AH296&gt;0,J296/AH296,-1)</f>
        <v>364</v>
      </c>
      <c r="AL296" s="58" t="n">
        <f aca="false">IF(AND(OR(BY296="L1",BY296="L23"),AH296&gt;0),SUMIFS($AH$7:$AH$1843,$BY$7:$BY$1843,BY296,$AK$7:$AK$1843,"&gt;"&amp;AK296)+SUMIFS($AH$7:$AH$1843,$BY$7:$BY$1843,BY296,$AK$7:$AK$1843,AK296,$BQ$7:$BQ$1843,"&lt;="&amp;BQ296),"")</f>
        <v>26.8928667950407</v>
      </c>
      <c r="AM296" s="65" t="n">
        <f aca="false">IF(AL296="",0,MAX(0,MIN(1,(IF(BY296="L1",Parameter!$E$5,Parameter!$E$6+Parameter!$E$7)-(AL296-AH296))/AH296)))</f>
        <v>1</v>
      </c>
      <c r="AN296" s="57" t="n">
        <f aca="false">IF(LEFT(Cockpit!$I$5,1)="A",H296,IF(CA296=1,CB296,IF(LEFT(Cockpit!$I$5,1)="B",AR296,MAX(AR296,H296))))</f>
        <v>20</v>
      </c>
      <c r="AO296" s="57" t="n">
        <f aca="false">IF(BT296=1,0,ROUNDUP(AN296/BS296,0))</f>
        <v>1</v>
      </c>
      <c r="AP296" s="59" t="n">
        <f aca="false">IF(CH296&gt;0,CH296*MAX(1,AN296/X296),IF(BT296=1,IF(AN296&lt;=0,0,BW296*MAX(1,IF(H296&gt;0,AN296/H296,1))),IF(R296&gt;0,AO296/R296,0))/MAX(0.1,N(Parameter!$M$21)))</f>
        <v>0.0384615384615385</v>
      </c>
      <c r="AQ296" s="57" t="n">
        <f aca="false">AN296*G296</f>
        <v>14773</v>
      </c>
      <c r="AR296" s="57" t="n">
        <f aca="false">ROUNDUP(MAX(J296/IF(BZ296&gt;0,BZ296,MAX(0.1,N(Cockpit!$I$6))),CC296)/BS296,0)*BS296</f>
        <v>20</v>
      </c>
      <c r="AS296" s="58" t="n">
        <f aca="false">IF(AP296&gt;0,J296/AP296,-1)</f>
        <v>364</v>
      </c>
      <c r="AT296" s="58" t="n">
        <f aca="false">IF(AND(OR(BY296="L1",BY296="L23"),AP296&gt;0),SUMIFS($AP$7:$AP$1843,$BY$7:$BY$1843,BY296,$AS$7:$AS$1843,"&gt;"&amp;AS296)+SUMIFS($AP$7:$AP$1843,$BY$7:$BY$1843,BY296,$AS$7:$AS$1843,AS296,$BQ$7:$BQ$1843,"&lt;="&amp;BQ296),"")</f>
        <v>36.4451961082396</v>
      </c>
      <c r="AU296" s="65" t="n">
        <f aca="false">IF(AT296="",0,MAX(0,MIN(1,(IF(BY296="L1",Parameter!$E$5,Parameter!$E$6+Parameter!$E$7)-(AT296-AP296))/AP296)))</f>
        <v>1</v>
      </c>
      <c r="AV296" s="57" t="n">
        <f aca="false">IF(LEFT(Cockpit!$O$5,1)="A",H296,IF(CA296=1,CB296,IF(LEFT(Cockpit!$O$5,1)="B",AZ296,MAX(AZ296,H296))))</f>
        <v>20</v>
      </c>
      <c r="AW296" s="57" t="n">
        <f aca="false">IF(BT296=1,0,ROUNDUP(AV296/BS296,0))</f>
        <v>1</v>
      </c>
      <c r="AX296" s="59" t="n">
        <f aca="false">IF(CH296&gt;0,CH296*MAX(1,AV296/X296),IF(BT296=1,IF(AV296&lt;=0,0,BW296*MAX(1,IF(H296&gt;0,AV296/H296,1))),IF(R296&gt;0,AW296/R296,0))/MAX(0.1,N(Parameter!$M$21)))</f>
        <v>0.0384615384615385</v>
      </c>
      <c r="AY296" s="57" t="n">
        <f aca="false">AV296*G296</f>
        <v>14773</v>
      </c>
      <c r="AZ296" s="57" t="n">
        <f aca="false">ROUNDUP(MAX(J296/IF(BZ296&gt;0,BZ296,MAX(0.1,N(Cockpit!$O$6))),CC296)/BS296,0)*BS296</f>
        <v>20</v>
      </c>
      <c r="BA296" s="58" t="n">
        <f aca="false">IF(AX296&gt;0,J296/AX296,-1)</f>
        <v>364</v>
      </c>
      <c r="BB296" s="58" t="n">
        <f aca="false">IF(AND(OR(BY296="L1",BY296="L23"),AX296&gt;0),SUMIFS($AX$7:$AX$1843,$BY$7:$BY$1843,BY296,$BA$7:$BA$1843,"&gt;"&amp;BA296)+SUMIFS($AX$7:$AX$1843,$BY$7:$BY$1843,BY296,$BA$7:$BA$1843,BA296,$BQ$7:$BQ$1843,"&lt;="&amp;BQ296),"")</f>
        <v>35.6916996047431</v>
      </c>
      <c r="BC296" s="65" t="n">
        <f aca="false">IF(BB296="",0,MAX(0,MIN(1,(IF(BY296="L1",Parameter!$E$5,Parameter!$E$6+Parameter!$E$7)-(BB296-AX296))/AX296)))</f>
        <v>1</v>
      </c>
      <c r="BD296" s="55" t="str">
        <f aca="false">IF(AH296&lt;=0,"",IF(BY296="Aussen","Aussenlager",IF(BY296="-","Nicht im Lift",IF(AM296&gt;=1,"Lift",IF(AM296&lt;=0,"Aussenlager","teilweise")))))</f>
        <v>Lift</v>
      </c>
      <c r="BE296" s="55" t="str">
        <f aca="false">IF(AP296&lt;=0,"",IF(BY296="Aussen","Aussenlager",IF(BY296="-","Nicht im Lift",IF(AU296&gt;=1,"Lift",IF(AU296&lt;=0,"Aussenlager","teilweise")))))</f>
        <v>Lift</v>
      </c>
      <c r="BF296" s="55" t="str">
        <f aca="false">IF(AX296&lt;=0,"",IF(BY296="Aussen","Aussenlager",IF(BY296="-","Nicht im Lift",IF(BC296&gt;=1,"Lift",IF(BC296&lt;=0,"Aussenlager","teilweise")))))</f>
        <v>Lift</v>
      </c>
      <c r="BG296" s="55" t="str">
        <f aca="false">IF(A296="","",IF(BP296=1,"Neu; ","")&amp;IF(AND(BP296=0,BK296&lt;0),"negativer Bestand (Export "&amp;BK296&amp;"); ","")&amp;IF(J296&lt;=0,"Kein Verbrauch; ","")&amp;IF(CH296&gt;0,"Lift "&amp;W296&amp;" lt. Liftbericht (Fach "&amp;X296&amp;" Stk); ",IF(BU296=1,"Gebinde geschätzt ("&amp;T296&amp;"); ",IF(BT296=1,"Lose – Tablare geschätzt; ","")))&amp;IF(H296&gt;AR296,"Überbestand "&amp;ROUND(H296-AR296,0)&amp;" Stk / CHF "&amp;ROUND((H296-AR296)*G296,0)&amp;"; ","")&amp;IF(AND(CA296=1,CB296&lt;CC296),"MAX &lt; MB+LG; ","")&amp;IF(AND(CG296&gt;0,CF296*10&gt;CG296),"zu hoch für Tablar; ","")&amp;IF(AND(BP296=0,OR(CA296=1,AA296&lt;&gt;"",U296&lt;&gt;"",V296&lt;&gt;"",AB296&lt;&gt;"")),"manuell übersteuert; ","")&amp;IF(AND(BT296=0,R296=0),"Gebinde unbekannt / Stellmass fehlt; ","")&amp;IF(AND(BT296=0,N(V296)&lt;=0,N(Q296)&lt;=0),"Menge pro Gebinde fehlt (Ist = 1 Gebinde); ","")&amp;BO296)</f>
        <v>Gebinde geschätzt (Klein); Menge pro Gebinde fehlt (Ist = 1 Gebinde); </v>
      </c>
      <c r="BH296" s="55"/>
      <c r="BI296" s="55"/>
      <c r="BJ296" s="62"/>
      <c r="BK296" s="57" t="n">
        <v>0</v>
      </c>
      <c r="BL296" s="57" t="n">
        <v>4</v>
      </c>
      <c r="BM296" s="56" t="n">
        <v>279.720000000003</v>
      </c>
      <c r="BN296" s="57" t="n">
        <v>14</v>
      </c>
      <c r="BO296" s="55"/>
      <c r="BP296" s="60" t="n">
        <v>0</v>
      </c>
      <c r="BQ296" s="60" t="n">
        <v>296</v>
      </c>
      <c r="BR296" s="55" t="str">
        <f aca="false">IF(U296&lt;&gt;"",UPPER(TRIM(U296)),IF(BU296=1,UPPER(VLOOKUP(T296,Parameter!$I$27:$K$29,2,0)),IF(P296="","LOSE",P296)))</f>
        <v>S51</v>
      </c>
      <c r="BS296" s="57" t="n">
        <f aca="false">IF(BR296="LOSE",1,IF(N(V296)&gt;0,V296,IF(BU296=1,MAX(1,N(VLOOKUP(T296,Parameter!$I$27:$K$29,3,0)),H296,N(N296)),IF(N(Q296)&gt;0,Q296,MAX(1,H296)))))</f>
        <v>20</v>
      </c>
      <c r="BT296" s="60" t="n">
        <f aca="false">IF(BR296="LOSE",1,0)</f>
        <v>0</v>
      </c>
      <c r="BU296" s="60" t="n">
        <f aca="false">IF(AND(U296="",OR(P296="",P296="LOSE"),T296&lt;&gt;"",N(S296)&lt;=0,ISNUMBER(MATCH(T296,Parameter!$I$27:$I$29,0))),1,0)</f>
        <v>1</v>
      </c>
      <c r="BV296" s="55" t="str">
        <f aca="false">IF(AND(Parameter!$B$19="Ja",E296&lt;&gt;"",ISNUMBER(MATCH(E296,Parameter!$I$35:$I$52,0))),VLOOKUP(E296,Parameter!$I$35:$J$52,2,0),IFERROR(VLOOKUP(D296,Parameter!$A$35:$C$64,2,0),"Nein"))</f>
        <v>2+3</v>
      </c>
      <c r="BW296" s="59" t="n">
        <f aca="false">IF(BT296=0,0,IF(N(S296)&gt;0,S296,IFERROR(VLOOKUP(D296,Parameter!$A$35:$C$64,3,0)+0,0)))</f>
        <v>0</v>
      </c>
      <c r="BX296" s="55" t="n">
        <f aca="false">IF(AA296&lt;&gt;"",AA296,Z296)</f>
        <v>3</v>
      </c>
      <c r="BY296" s="55" t="str">
        <f aca="false">IF(BX296=1,"L1",IF(OR(BX296=2,BX296=3),"L23",IF(BX296="Aussen","Aussen","-")))</f>
        <v>L23</v>
      </c>
      <c r="BZ296" s="66" t="n">
        <f aca="false">IF(N(AB296)&gt;0,AB296,0)</f>
        <v>0</v>
      </c>
      <c r="CA296" s="60" t="n">
        <f aca="false">IF(ISNUMBER(AE296),1,0)</f>
        <v>0</v>
      </c>
      <c r="CB296" s="57" t="n">
        <f aca="false">N(AE296)</f>
        <v>0</v>
      </c>
      <c r="CC296" s="57" t="n">
        <f aca="false">N(M296)+N(N296)</f>
        <v>15</v>
      </c>
      <c r="CD296" s="57" t="n">
        <f aca="false">ROUNDUP(H296/BS296,0)</f>
        <v>1</v>
      </c>
      <c r="CE296" s="57" t="n">
        <f aca="false">ROUNDUP(CB296/BS296,0)</f>
        <v>0</v>
      </c>
      <c r="CF296" s="60" t="n">
        <f aca="false">IF(BT296=1,0,IFERROR(VLOOKUP(BR296,'Gebinde-Kategorie'!$A$5:$M$45,5,0)+0,0))</f>
        <v>11</v>
      </c>
      <c r="CG296" s="60" t="n">
        <f aca="false">IFERROR(IF(OR(BX296=1,BX296=2,BX296=3),N(INDEX(Parameter!$I$5:$I$7,BX296)),0),0)</f>
        <v>0</v>
      </c>
      <c r="CH296" s="59" t="n">
        <f aca="false">IF(AND(Parameter!$B$21="Ja",ISNUMBER(W296),N(X296)&gt;0),IFERROR(N(INDEX(Parameter!$L$5:$L$7,W296))*INDEX(Parameter!$E$5:$E$7,W296)*X296/SUMIFS($X$7:$X$1843,$W$7:$W$1843,W296),0),0)</f>
        <v>0</v>
      </c>
    </row>
    <row r="297" customFormat="false" ht="15" hidden="false" customHeight="false" outlineLevel="0" collapsed="false">
      <c r="A297" s="55" t="s">
        <v>765</v>
      </c>
      <c r="B297" s="55" t="s">
        <v>766</v>
      </c>
      <c r="C297" s="55" t="s">
        <v>164</v>
      </c>
      <c r="D297" s="55" t="s">
        <v>184</v>
      </c>
      <c r="E297" s="55" t="s">
        <v>185</v>
      </c>
      <c r="F297" s="55" t="s">
        <v>218</v>
      </c>
      <c r="G297" s="56" t="n">
        <v>29.89</v>
      </c>
      <c r="H297" s="57" t="n">
        <f aca="false">MAX(0,IF(AND(Parameter!$B$21="Ja",ISNUMBER(Y297)),Y297,IF(Parameter!$B$20="Jahresanfang 2025 + Export",BL297+BK297,BK297)))</f>
        <v>14</v>
      </c>
      <c r="I297" s="57" t="n">
        <f aca="false">H297*G297</f>
        <v>418.46</v>
      </c>
      <c r="J297" s="57" t="n">
        <f aca="false">BN297*Parameter!$B$18</f>
        <v>2</v>
      </c>
      <c r="K297" s="58" t="n">
        <v>9</v>
      </c>
      <c r="L297" s="59" t="n">
        <v>0.222222222222222</v>
      </c>
      <c r="M297" s="57" t="n">
        <v>0</v>
      </c>
      <c r="N297" s="57" t="n">
        <v>1</v>
      </c>
      <c r="O297" s="60" t="n">
        <v>28</v>
      </c>
      <c r="P297" s="55" t="s">
        <v>476</v>
      </c>
      <c r="Q297" s="57" t="n">
        <v>12</v>
      </c>
      <c r="R297" s="60" t="n">
        <f aca="false">IF(BT297=1,0,IFERROR(VLOOKUP(BR297,'Gebinde-Kategorie'!$A$5:$M$45,13,0)+0,0))</f>
        <v>66</v>
      </c>
      <c r="S297" s="61"/>
      <c r="T297" s="62"/>
      <c r="U297" s="62"/>
      <c r="V297" s="62"/>
      <c r="W297" s="55"/>
      <c r="X297" s="57"/>
      <c r="Y297" s="57"/>
      <c r="Z297" s="55" t="n">
        <f aca="false">IF(A297="","",IF(AND(Parameter!$B$21="Ja",ISNUMBER(W297)),W297,IF(BV297="2+3",IF(ISNUMBER(SEARCH("grosser Artikel",BO297)),2,IFERROR(VLOOKUP(BR297,Parameter!$F$35:$G$64,2,0),2)),IF(OR(BV297="Nein",BV297=""),"-",BV297))))</f>
        <v>3</v>
      </c>
      <c r="AA297" s="62"/>
      <c r="AB297" s="63"/>
      <c r="AC297" s="57" t="n">
        <f aca="false">AR297</f>
        <v>12</v>
      </c>
      <c r="AD297" s="57" t="n">
        <f aca="false">MAX(AR297,H297)</f>
        <v>14</v>
      </c>
      <c r="AE297" s="64"/>
      <c r="AF297" s="57" t="n">
        <f aca="false">IF(LEFT(Cockpit!$C$5,1)="A",H297,IF(CA297=1,CB297,IF(LEFT(Cockpit!$C$5,1)="B",AJ297,MAX(AJ297,H297))))</f>
        <v>14</v>
      </c>
      <c r="AG297" s="57" t="n">
        <f aca="false">IF(BT297=1,0,ROUNDUP(AF297/BS297,0))</f>
        <v>2</v>
      </c>
      <c r="AH297" s="59" t="n">
        <f aca="false">IF(CH297&gt;0,CH297*MAX(1,AF297/X297),IF(BT297=1,IF(AF297&lt;=0,0,BW297*MAX(1,IF(H297&gt;0,AF297/H297,1))),IF(R297&gt;0,AG297/R297,0))/MAX(0.1,N(Parameter!$M$21)))</f>
        <v>0.0303030303030303</v>
      </c>
      <c r="AI297" s="57" t="n">
        <f aca="false">AF297*G297</f>
        <v>418.46</v>
      </c>
      <c r="AJ297" s="57" t="n">
        <f aca="false">ROUNDUP(MAX(J297/IF(BZ297&gt;0,BZ297,MAX(0.1,N(Cockpit!$C$6))),CC297)/BS297,0)*BS297</f>
        <v>12</v>
      </c>
      <c r="AK297" s="58" t="n">
        <f aca="false">IF(AH297&gt;0,J297/AH297,-1)</f>
        <v>66</v>
      </c>
      <c r="AL297" s="58" t="n">
        <f aca="false">IF(AND(OR(BY297="L1",BY297="L23"),AH297&gt;0),SUMIFS($AH$7:$AH$1843,$BY$7:$BY$1843,BY297,$AK$7:$AK$1843,"&gt;"&amp;AK297)+SUMIFS($AH$7:$AH$1843,$BY$7:$BY$1843,BY297,$AK$7:$AK$1843,AK297,$BQ$7:$BQ$1843,"&lt;="&amp;BQ297),"")</f>
        <v>42.6266426809905</v>
      </c>
      <c r="AM297" s="65" t="n">
        <f aca="false">IF(AL297="",0,MAX(0,MIN(1,(IF(BY297="L1",Parameter!$E$5,Parameter!$E$6+Parameter!$E$7)-(AL297-AH297))/AH297)))</f>
        <v>1</v>
      </c>
      <c r="AN297" s="57" t="n">
        <f aca="false">IF(LEFT(Cockpit!$I$5,1)="A",H297,IF(CA297=1,CB297,IF(LEFT(Cockpit!$I$5,1)="B",AR297,MAX(AR297,H297))))</f>
        <v>14</v>
      </c>
      <c r="AO297" s="57" t="n">
        <f aca="false">IF(BT297=1,0,ROUNDUP(AN297/BS297,0))</f>
        <v>2</v>
      </c>
      <c r="AP297" s="59" t="n">
        <f aca="false">IF(CH297&gt;0,CH297*MAX(1,AN297/X297),IF(BT297=1,IF(AN297&lt;=0,0,BW297*MAX(1,IF(H297&gt;0,AN297/H297,1))),IF(R297&gt;0,AO297/R297,0))/MAX(0.1,N(Parameter!$M$21)))</f>
        <v>0.0303030303030303</v>
      </c>
      <c r="AQ297" s="57" t="n">
        <f aca="false">AN297*G297</f>
        <v>418.46</v>
      </c>
      <c r="AR297" s="57" t="n">
        <f aca="false">ROUNDUP(MAX(J297/IF(BZ297&gt;0,BZ297,MAX(0.1,N(Cockpit!$I$6))),CC297)/BS297,0)*BS297</f>
        <v>12</v>
      </c>
      <c r="AS297" s="58" t="n">
        <f aca="false">IF(AP297&gt;0,J297/AP297,-1)</f>
        <v>66</v>
      </c>
      <c r="AT297" s="58" t="n">
        <f aca="false">IF(AND(OR(BY297="L1",BY297="L23"),AP297&gt;0),SUMIFS($AP$7:$AP$1843,$BY$7:$BY$1843,BY297,$AS$7:$AS$1843,"&gt;"&amp;AS297)+SUMIFS($AP$7:$AP$1843,$BY$7:$BY$1843,BY297,$AS$7:$AS$1843,AS297,$BQ$7:$BQ$1843,"&lt;="&amp;BQ297),"")</f>
        <v>64.8328181480355</v>
      </c>
      <c r="AU297" s="65" t="n">
        <f aca="false">IF(AT297="",0,MAX(0,MIN(1,(IF(BY297="L1",Parameter!$E$5,Parameter!$E$6+Parameter!$E$7)-(AT297-AP297))/AP297)))</f>
        <v>1</v>
      </c>
      <c r="AV297" s="57" t="n">
        <f aca="false">IF(LEFT(Cockpit!$O$5,1)="A",H297,IF(CA297=1,CB297,IF(LEFT(Cockpit!$O$5,1)="B",AZ297,MAX(AZ297,H297))))</f>
        <v>14</v>
      </c>
      <c r="AW297" s="57" t="n">
        <f aca="false">IF(BT297=1,0,ROUNDUP(AV297/BS297,0))</f>
        <v>2</v>
      </c>
      <c r="AX297" s="59" t="n">
        <f aca="false">IF(CH297&gt;0,CH297*MAX(1,AV297/X297),IF(BT297=1,IF(AV297&lt;=0,0,BW297*MAX(1,IF(H297&gt;0,AV297/H297,1))),IF(R297&gt;0,AW297/R297,0))/MAX(0.1,N(Parameter!$M$21)))</f>
        <v>0.0303030303030303</v>
      </c>
      <c r="AY297" s="57" t="n">
        <f aca="false">AV297*G297</f>
        <v>418.46</v>
      </c>
      <c r="AZ297" s="57" t="n">
        <f aca="false">ROUNDUP(MAX(J297/IF(BZ297&gt;0,BZ297,MAX(0.1,N(Cockpit!$O$6))),CC297)/BS297,0)*BS297</f>
        <v>12</v>
      </c>
      <c r="BA297" s="58" t="n">
        <f aca="false">IF(AX297&gt;0,J297/AX297,-1)</f>
        <v>66</v>
      </c>
      <c r="BB297" s="58" t="n">
        <f aca="false">IF(AND(OR(BY297="L1",BY297="L23"),AX297&gt;0),SUMIFS($AX$7:$AX$1843,$BY$7:$BY$1843,BY297,$BA$7:$BA$1843,"&gt;"&amp;BA297)+SUMIFS($AX$7:$AX$1843,$BY$7:$BY$1843,BY297,$BA$7:$BA$1843,BA297,$BQ$7:$BQ$1843,"&lt;="&amp;BQ297),"")</f>
        <v>59.329321644539</v>
      </c>
      <c r="BC297" s="65" t="n">
        <f aca="false">IF(BB297="",0,MAX(0,MIN(1,(IF(BY297="L1",Parameter!$E$5,Parameter!$E$6+Parameter!$E$7)-(BB297-AX297))/AX297)))</f>
        <v>1</v>
      </c>
      <c r="BD297" s="55" t="str">
        <f aca="false">IF(AH297&lt;=0,"",IF(BY297="Aussen","Aussenlager",IF(BY297="-","Nicht im Lift",IF(AM297&gt;=1,"Lift",IF(AM297&lt;=0,"Aussenlager","teilweise")))))</f>
        <v>Lift</v>
      </c>
      <c r="BE297" s="55" t="str">
        <f aca="false">IF(AP297&lt;=0,"",IF(BY297="Aussen","Aussenlager",IF(BY297="-","Nicht im Lift",IF(AU297&gt;=1,"Lift",IF(AU297&lt;=0,"Aussenlager","teilweise")))))</f>
        <v>Lift</v>
      </c>
      <c r="BF297" s="55" t="str">
        <f aca="false">IF(AX297&lt;=0,"",IF(BY297="Aussen","Aussenlager",IF(BY297="-","Nicht im Lift",IF(BC297&gt;=1,"Lift",IF(BC297&lt;=0,"Aussenlager","teilweise")))))</f>
        <v>Lift</v>
      </c>
      <c r="BG297" s="55" t="str">
        <f aca="false">IF(A297="","",IF(BP297=1,"Neu; ","")&amp;IF(AND(BP297=0,BK297&lt;0),"negativer Bestand (Export "&amp;BK297&amp;"); ","")&amp;IF(J297&lt;=0,"Kein Verbrauch; ","")&amp;IF(CH297&gt;0,"Lift "&amp;W297&amp;" lt. Liftbericht (Fach "&amp;X297&amp;" Stk); ",IF(BU297=1,"Gebinde geschätzt ("&amp;T297&amp;"); ",IF(BT297=1,"Lose – Tablare geschätzt; ","")))&amp;IF(H297&gt;AR297,"Überbestand "&amp;ROUND(H297-AR297,0)&amp;" Stk / CHF "&amp;ROUND((H297-AR297)*G297,0)&amp;"; ","")&amp;IF(AND(CA297=1,CB297&lt;CC297),"MAX &lt; MB+LG; ","")&amp;IF(AND(CG297&gt;0,CF297*10&gt;CG297),"zu hoch für Tablar; ","")&amp;IF(AND(BP297=0,OR(CA297=1,AA297&lt;&gt;"",U297&lt;&gt;"",V297&lt;&gt;"",AB297&lt;&gt;"")),"manuell übersteuert; ","")&amp;IF(AND(BT297=0,R297=0),"Gebinde unbekannt / Stellmass fehlt; ","")&amp;IF(AND(BT297=0,N(V297)&lt;=0,N(Q297)&lt;=0),"Menge pro Gebinde fehlt (Ist = 1 Gebinde); ","")&amp;BO297)</f>
        <v>Überbestand 2 Stk / CHF 60; </v>
      </c>
      <c r="BH297" s="55"/>
      <c r="BI297" s="55"/>
      <c r="BJ297" s="62"/>
      <c r="BK297" s="57" t="n">
        <v>9</v>
      </c>
      <c r="BL297" s="57" t="n">
        <v>5</v>
      </c>
      <c r="BM297" s="56" t="n">
        <v>276.66</v>
      </c>
      <c r="BN297" s="57" t="n">
        <v>2</v>
      </c>
      <c r="BO297" s="55"/>
      <c r="BP297" s="60" t="n">
        <v>0</v>
      </c>
      <c r="BQ297" s="60" t="n">
        <v>297</v>
      </c>
      <c r="BR297" s="55" t="str">
        <f aca="false">IF(U297&lt;&gt;"",UPPER(TRIM(U297)),IF(BU297=1,UPPER(VLOOKUP(T297,Parameter!$I$27:$K$29,2,0)),IF(P297="","LOSE",P297)))</f>
        <v>S33</v>
      </c>
      <c r="BS297" s="57" t="n">
        <f aca="false">IF(BR297="LOSE",1,IF(N(V297)&gt;0,V297,IF(BU297=1,MAX(1,N(VLOOKUP(T297,Parameter!$I$27:$K$29,3,0)),H297,N(N297)),IF(N(Q297)&gt;0,Q297,MAX(1,H297)))))</f>
        <v>12</v>
      </c>
      <c r="BT297" s="60" t="n">
        <f aca="false">IF(BR297="LOSE",1,0)</f>
        <v>0</v>
      </c>
      <c r="BU297" s="60" t="n">
        <f aca="false">IF(AND(U297="",OR(P297="",P297="LOSE"),T297&lt;&gt;"",N(S297)&lt;=0,ISNUMBER(MATCH(T297,Parameter!$I$27:$I$29,0))),1,0)</f>
        <v>0</v>
      </c>
      <c r="BV297" s="55" t="str">
        <f aca="false">IF(AND(Parameter!$B$19="Ja",E297&lt;&gt;"",ISNUMBER(MATCH(E297,Parameter!$I$35:$I$52,0))),VLOOKUP(E297,Parameter!$I$35:$J$52,2,0),IFERROR(VLOOKUP(D297,Parameter!$A$35:$C$64,2,0),"Nein"))</f>
        <v>2+3</v>
      </c>
      <c r="BW297" s="59" t="n">
        <f aca="false">IF(BT297=0,0,IF(N(S297)&gt;0,S297,IFERROR(VLOOKUP(D297,Parameter!$A$35:$C$64,3,0)+0,0)))</f>
        <v>0</v>
      </c>
      <c r="BX297" s="55" t="n">
        <f aca="false">IF(AA297&lt;&gt;"",AA297,Z297)</f>
        <v>3</v>
      </c>
      <c r="BY297" s="55" t="str">
        <f aca="false">IF(BX297=1,"L1",IF(OR(BX297=2,BX297=3),"L23",IF(BX297="Aussen","Aussen","-")))</f>
        <v>L23</v>
      </c>
      <c r="BZ297" s="66" t="n">
        <f aca="false">IF(N(AB297)&gt;0,AB297,0)</f>
        <v>0</v>
      </c>
      <c r="CA297" s="60" t="n">
        <f aca="false">IF(ISNUMBER(AE297),1,0)</f>
        <v>0</v>
      </c>
      <c r="CB297" s="57" t="n">
        <f aca="false">N(AE297)</f>
        <v>0</v>
      </c>
      <c r="CC297" s="57" t="n">
        <f aca="false">N(M297)+N(N297)</f>
        <v>1</v>
      </c>
      <c r="CD297" s="57" t="n">
        <f aca="false">ROUNDUP(H297/BS297,0)</f>
        <v>2</v>
      </c>
      <c r="CE297" s="57" t="n">
        <f aca="false">ROUNDUP(CB297/BS297,0)</f>
        <v>0</v>
      </c>
      <c r="CF297" s="60" t="n">
        <f aca="false">IF(BT297=1,0,IFERROR(VLOOKUP(BR297,'Gebinde-Kategorie'!$A$5:$M$45,5,0)+0,0))</f>
        <v>8</v>
      </c>
      <c r="CG297" s="60" t="n">
        <f aca="false">IFERROR(IF(OR(BX297=1,BX297=2,BX297=3),N(INDEX(Parameter!$I$5:$I$7,BX297)),0),0)</f>
        <v>0</v>
      </c>
      <c r="CH297" s="59" t="n">
        <f aca="false">IF(AND(Parameter!$B$21="Ja",ISNUMBER(W297),N(X297)&gt;0),IFERROR(N(INDEX(Parameter!$L$5:$L$7,W297))*INDEX(Parameter!$E$5:$E$7,W297)*X297/SUMIFS($X$7:$X$1843,$W$7:$W$1843,W297),0),0)</f>
        <v>0</v>
      </c>
    </row>
    <row r="298" customFormat="false" ht="15" hidden="false" customHeight="false" outlineLevel="0" collapsed="false">
      <c r="A298" s="55" t="s">
        <v>767</v>
      </c>
      <c r="B298" s="55" t="s">
        <v>768</v>
      </c>
      <c r="C298" s="55" t="s">
        <v>164</v>
      </c>
      <c r="D298" s="55" t="s">
        <v>184</v>
      </c>
      <c r="E298" s="55" t="s">
        <v>185</v>
      </c>
      <c r="F298" s="55" t="s">
        <v>218</v>
      </c>
      <c r="G298" s="56" t="n">
        <v>21.27</v>
      </c>
      <c r="H298" s="57" t="n">
        <f aca="false">MAX(0,IF(AND(Parameter!$B$21="Ja",ISNUMBER(Y298)),Y298,IF(Parameter!$B$20="Jahresanfang 2025 + Export",BL298+BK298,BK298)))</f>
        <v>43</v>
      </c>
      <c r="I298" s="57" t="n">
        <f aca="false">H298*G298</f>
        <v>914.61</v>
      </c>
      <c r="J298" s="57" t="n">
        <f aca="false">BN298*Parameter!$B$18</f>
        <v>0</v>
      </c>
      <c r="K298" s="58" t="n">
        <v>36.5</v>
      </c>
      <c r="L298" s="59" t="n">
        <v>0</v>
      </c>
      <c r="M298" s="57" t="n">
        <v>0</v>
      </c>
      <c r="N298" s="57" t="n">
        <v>1</v>
      </c>
      <c r="O298" s="60" t="n">
        <v>28</v>
      </c>
      <c r="P298" s="55" t="s">
        <v>293</v>
      </c>
      <c r="Q298" s="57" t="n">
        <v>32</v>
      </c>
      <c r="R298" s="60" t="n">
        <f aca="false">IF(BT298=1,0,IFERROR(VLOOKUP(BR298,'Gebinde-Kategorie'!$A$5:$M$45,13,0)+0,0))</f>
        <v>12</v>
      </c>
      <c r="S298" s="61"/>
      <c r="T298" s="62"/>
      <c r="U298" s="62"/>
      <c r="V298" s="62"/>
      <c r="W298" s="55"/>
      <c r="X298" s="57"/>
      <c r="Y298" s="57"/>
      <c r="Z298" s="55" t="n">
        <f aca="false">IF(A298="","",IF(AND(Parameter!$B$21="Ja",ISNUMBER(W298)),W298,IF(BV298="2+3",IF(ISNUMBER(SEARCH("grosser Artikel",BO298)),2,IFERROR(VLOOKUP(BR298,Parameter!$F$35:$G$64,2,0),2)),IF(OR(BV298="Nein",BV298=""),"-",BV298))))</f>
        <v>2</v>
      </c>
      <c r="AA298" s="62"/>
      <c r="AB298" s="63"/>
      <c r="AC298" s="57" t="n">
        <f aca="false">AR298</f>
        <v>32</v>
      </c>
      <c r="AD298" s="57" t="n">
        <f aca="false">MAX(AR298,H298)</f>
        <v>43</v>
      </c>
      <c r="AE298" s="64"/>
      <c r="AF298" s="57" t="n">
        <f aca="false">IF(LEFT(Cockpit!$C$5,1)="A",H298,IF(CA298=1,CB298,IF(LEFT(Cockpit!$C$5,1)="B",AJ298,MAX(AJ298,H298))))</f>
        <v>43</v>
      </c>
      <c r="AG298" s="57" t="n">
        <f aca="false">IF(BT298=1,0,ROUNDUP(AF298/BS298,0))</f>
        <v>2</v>
      </c>
      <c r="AH298" s="59" t="n">
        <f aca="false">IF(CH298&gt;0,CH298*MAX(1,AF298/X298),IF(BT298=1,IF(AF298&lt;=0,0,BW298*MAX(1,IF(H298&gt;0,AF298/H298,1))),IF(R298&gt;0,AG298/R298,0))/MAX(0.1,N(Parameter!$M$21)))</f>
        <v>0.166666666666667</v>
      </c>
      <c r="AI298" s="57" t="n">
        <f aca="false">AF298*G298</f>
        <v>914.61</v>
      </c>
      <c r="AJ298" s="57" t="n">
        <f aca="false">ROUNDUP(MAX(J298/IF(BZ298&gt;0,BZ298,MAX(0.1,N(Cockpit!$C$6))),CC298)/BS298,0)*BS298</f>
        <v>32</v>
      </c>
      <c r="AK298" s="58" t="n">
        <f aca="false">IF(AH298&gt;0,J298/AH298,-1)</f>
        <v>0</v>
      </c>
      <c r="AL298" s="58" t="n">
        <f aca="false">IF(AND(OR(BY298="L1",BY298="L23"),AH298&gt;0),SUMIFS($AH$7:$AH$1843,$BY$7:$BY$1843,BY298,$AK$7:$AK$1843,"&gt;"&amp;AK298)+SUMIFS($AH$7:$AH$1843,$BY$7:$BY$1843,BY298,$AK$7:$AK$1843,AK298,$BQ$7:$BQ$1843,"&lt;="&amp;BQ298),"")</f>
        <v>72.310986115334</v>
      </c>
      <c r="AM298" s="65" t="n">
        <f aca="false">IF(AL298="",0,MAX(0,MIN(1,(IF(BY298="L1",Parameter!$E$5,Parameter!$E$6+Parameter!$E$7)-(AL298-AH298))/AH298)))</f>
        <v>1</v>
      </c>
      <c r="AN298" s="57" t="n">
        <f aca="false">IF(LEFT(Cockpit!$I$5,1)="A",H298,IF(CA298=1,CB298,IF(LEFT(Cockpit!$I$5,1)="B",AR298,MAX(AR298,H298))))</f>
        <v>43</v>
      </c>
      <c r="AO298" s="57" t="n">
        <f aca="false">IF(BT298=1,0,ROUNDUP(AN298/BS298,0))</f>
        <v>2</v>
      </c>
      <c r="AP298" s="59" t="n">
        <f aca="false">IF(CH298&gt;0,CH298*MAX(1,AN298/X298),IF(BT298=1,IF(AN298&lt;=0,0,BW298*MAX(1,IF(H298&gt;0,AN298/H298,1))),IF(R298&gt;0,AO298/R298,0))/MAX(0.1,N(Parameter!$M$21)))</f>
        <v>0.166666666666667</v>
      </c>
      <c r="AQ298" s="57" t="n">
        <f aca="false">AN298*G298</f>
        <v>914.61</v>
      </c>
      <c r="AR298" s="57" t="n">
        <f aca="false">ROUNDUP(MAX(J298/IF(BZ298&gt;0,BZ298,MAX(0.1,N(Cockpit!$I$6))),CC298)/BS298,0)*BS298</f>
        <v>32</v>
      </c>
      <c r="AS298" s="58" t="n">
        <f aca="false">IF(AP298&gt;0,J298/AP298,-1)</f>
        <v>0</v>
      </c>
      <c r="AT298" s="58" t="n">
        <f aca="false">IF(AND(OR(BY298="L1",BY298="L23"),AP298&gt;0),SUMIFS($AP$7:$AP$1843,$BY$7:$BY$1843,BY298,$AS$7:$AS$1843,"&gt;"&amp;AS298)+SUMIFS($AP$7:$AP$1843,$BY$7:$BY$1843,BY298,$AS$7:$AS$1843,AS298,$BQ$7:$BQ$1843,"&lt;="&amp;BQ298),"")</f>
        <v>111.735110300328</v>
      </c>
      <c r="AU298" s="65" t="n">
        <f aca="false">IF(AT298="",0,MAX(0,MIN(1,(IF(BY298="L1",Parameter!$E$5,Parameter!$E$6+Parameter!$E$7)-(AT298-AP298))/AP298)))</f>
        <v>0</v>
      </c>
      <c r="AV298" s="57" t="n">
        <f aca="false">IF(LEFT(Cockpit!$O$5,1)="A",H298,IF(CA298=1,CB298,IF(LEFT(Cockpit!$O$5,1)="B",AZ298,MAX(AZ298,H298))))</f>
        <v>43</v>
      </c>
      <c r="AW298" s="57" t="n">
        <f aca="false">IF(BT298=1,0,ROUNDUP(AV298/BS298,0))</f>
        <v>2</v>
      </c>
      <c r="AX298" s="59" t="n">
        <f aca="false">IF(CH298&gt;0,CH298*MAX(1,AV298/X298),IF(BT298=1,IF(AV298&lt;=0,0,BW298*MAX(1,IF(H298&gt;0,AV298/H298,1))),IF(R298&gt;0,AW298/R298,0))/MAX(0.1,N(Parameter!$M$21)))</f>
        <v>0.166666666666667</v>
      </c>
      <c r="AY298" s="57" t="n">
        <f aca="false">AV298*G298</f>
        <v>914.61</v>
      </c>
      <c r="AZ298" s="57" t="n">
        <f aca="false">ROUNDUP(MAX(J298/IF(BZ298&gt;0,BZ298,MAX(0.1,N(Cockpit!$O$6))),CC298)/BS298,0)*BS298</f>
        <v>32</v>
      </c>
      <c r="BA298" s="58" t="n">
        <f aca="false">IF(AX298&gt;0,J298/AX298,-1)</f>
        <v>0</v>
      </c>
      <c r="BB298" s="58" t="n">
        <f aca="false">IF(AND(OR(BY298="L1",BY298="L23"),AX298&gt;0),SUMIFS($AX$7:$AX$1843,$BY$7:$BY$1843,BY298,$BA$7:$BA$1843,"&gt;"&amp;BA298)+SUMIFS($AX$7:$AX$1843,$BY$7:$BY$1843,BY298,$BA$7:$BA$1843,BA298,$BQ$7:$BQ$1843,"&lt;="&amp;BQ298),"")</f>
        <v>102.564947130165</v>
      </c>
      <c r="BC298" s="65" t="n">
        <f aca="false">IF(BB298="",0,MAX(0,MIN(1,(IF(BY298="L1",Parameter!$E$5,Parameter!$E$6+Parameter!$E$7)-(BB298-AX298))/AX298)))</f>
        <v>0</v>
      </c>
      <c r="BD298" s="55" t="str">
        <f aca="false">IF(AH298&lt;=0,"",IF(BY298="Aussen","Aussenlager",IF(BY298="-","Nicht im Lift",IF(AM298&gt;=1,"Lift",IF(AM298&lt;=0,"Aussenlager","teilweise")))))</f>
        <v>Lift</v>
      </c>
      <c r="BE298" s="55" t="str">
        <f aca="false">IF(AP298&lt;=0,"",IF(BY298="Aussen","Aussenlager",IF(BY298="-","Nicht im Lift",IF(AU298&gt;=1,"Lift",IF(AU298&lt;=0,"Aussenlager","teilweise")))))</f>
        <v>Aussenlager</v>
      </c>
      <c r="BF298" s="55" t="str">
        <f aca="false">IF(AX298&lt;=0,"",IF(BY298="Aussen","Aussenlager",IF(BY298="-","Nicht im Lift",IF(BC298&gt;=1,"Lift",IF(BC298&lt;=0,"Aussenlager","teilweise")))))</f>
        <v>Aussenlager</v>
      </c>
      <c r="BG298" s="55" t="str">
        <f aca="false">IF(A298="","",IF(BP298=1,"Neu; ","")&amp;IF(AND(BP298=0,BK298&lt;0),"negativer Bestand (Export "&amp;BK298&amp;"); ","")&amp;IF(J298&lt;=0,"Kein Verbrauch; ","")&amp;IF(CH298&gt;0,"Lift "&amp;W298&amp;" lt. Liftbericht (Fach "&amp;X298&amp;" Stk); ",IF(BU298=1,"Gebinde geschätzt ("&amp;T298&amp;"); ",IF(BT298=1,"Lose – Tablare geschätzt; ","")))&amp;IF(H298&gt;AR298,"Überbestand "&amp;ROUND(H298-AR298,0)&amp;" Stk / CHF "&amp;ROUND((H298-AR298)*G298,0)&amp;"; ","")&amp;IF(AND(CA298=1,CB298&lt;CC298),"MAX &lt; MB+LG; ","")&amp;IF(AND(CG298&gt;0,CF298*10&gt;CG298),"zu hoch für Tablar; ","")&amp;IF(AND(BP298=0,OR(CA298=1,AA298&lt;&gt;"",U298&lt;&gt;"",V298&lt;&gt;"",AB298&lt;&gt;"")),"manuell übersteuert; ","")&amp;IF(AND(BT298=0,R298=0),"Gebinde unbekannt / Stellmass fehlt; ","")&amp;IF(AND(BT298=0,N(V298)&lt;=0,N(Q298)&lt;=0),"Menge pro Gebinde fehlt (Ist = 1 Gebinde); ","")&amp;BO298)</f>
        <v>Kein Verbrauch; Überbestand 11 Stk / CHF 234; </v>
      </c>
      <c r="BH298" s="55"/>
      <c r="BI298" s="55"/>
      <c r="BJ298" s="62"/>
      <c r="BK298" s="57" t="n">
        <v>13</v>
      </c>
      <c r="BL298" s="57" t="n">
        <v>30</v>
      </c>
      <c r="BM298" s="56" t="n">
        <v>276.51</v>
      </c>
      <c r="BN298" s="57" t="n">
        <v>0</v>
      </c>
      <c r="BO298" s="55"/>
      <c r="BP298" s="60" t="n">
        <v>0</v>
      </c>
      <c r="BQ298" s="60" t="n">
        <v>298</v>
      </c>
      <c r="BR298" s="55" t="str">
        <f aca="false">IF(U298&lt;&gt;"",UPPER(TRIM(U298)),IF(BU298=1,UPPER(VLOOKUP(T298,Parameter!$I$27:$K$29,2,0)),IF(P298="","LOSE",P298)))</f>
        <v>S62</v>
      </c>
      <c r="BS298" s="57" t="n">
        <f aca="false">IF(BR298="LOSE",1,IF(N(V298)&gt;0,V298,IF(BU298=1,MAX(1,N(VLOOKUP(T298,Parameter!$I$27:$K$29,3,0)),H298,N(N298)),IF(N(Q298)&gt;0,Q298,MAX(1,H298)))))</f>
        <v>32</v>
      </c>
      <c r="BT298" s="60" t="n">
        <f aca="false">IF(BR298="LOSE",1,0)</f>
        <v>0</v>
      </c>
      <c r="BU298" s="60" t="n">
        <f aca="false">IF(AND(U298="",OR(P298="",P298="LOSE"),T298&lt;&gt;"",N(S298)&lt;=0,ISNUMBER(MATCH(T298,Parameter!$I$27:$I$29,0))),1,0)</f>
        <v>0</v>
      </c>
      <c r="BV298" s="55" t="str">
        <f aca="false">IF(AND(Parameter!$B$19="Ja",E298&lt;&gt;"",ISNUMBER(MATCH(E298,Parameter!$I$35:$I$52,0))),VLOOKUP(E298,Parameter!$I$35:$J$52,2,0),IFERROR(VLOOKUP(D298,Parameter!$A$35:$C$64,2,0),"Nein"))</f>
        <v>2+3</v>
      </c>
      <c r="BW298" s="59" t="n">
        <f aca="false">IF(BT298=0,0,IF(N(S298)&gt;0,S298,IFERROR(VLOOKUP(D298,Parameter!$A$35:$C$64,3,0)+0,0)))</f>
        <v>0</v>
      </c>
      <c r="BX298" s="55" t="n">
        <f aca="false">IF(AA298&lt;&gt;"",AA298,Z298)</f>
        <v>2</v>
      </c>
      <c r="BY298" s="55" t="str">
        <f aca="false">IF(BX298=1,"L1",IF(OR(BX298=2,BX298=3),"L23",IF(BX298="Aussen","Aussen","-")))</f>
        <v>L23</v>
      </c>
      <c r="BZ298" s="66" t="n">
        <f aca="false">IF(N(AB298)&gt;0,AB298,0)</f>
        <v>0</v>
      </c>
      <c r="CA298" s="60" t="n">
        <f aca="false">IF(ISNUMBER(AE298),1,0)</f>
        <v>0</v>
      </c>
      <c r="CB298" s="57" t="n">
        <f aca="false">N(AE298)</f>
        <v>0</v>
      </c>
      <c r="CC298" s="57" t="n">
        <f aca="false">N(M298)+N(N298)</f>
        <v>1</v>
      </c>
      <c r="CD298" s="57" t="n">
        <f aca="false">ROUNDUP(H298/BS298,0)</f>
        <v>2</v>
      </c>
      <c r="CE298" s="57" t="n">
        <f aca="false">ROUNDUP(CB298/BS298,0)</f>
        <v>0</v>
      </c>
      <c r="CF298" s="60" t="n">
        <f aca="false">IF(BT298=1,0,IFERROR(VLOOKUP(BR298,'Gebinde-Kategorie'!$A$5:$M$45,5,0)+0,0))</f>
        <v>21</v>
      </c>
      <c r="CG298" s="60" t="n">
        <f aca="false">IFERROR(IF(OR(BX298=1,BX298=2,BX298=3),N(INDEX(Parameter!$I$5:$I$7,BX298)),0),0)</f>
        <v>0</v>
      </c>
      <c r="CH298" s="59" t="n">
        <f aca="false">IF(AND(Parameter!$B$21="Ja",ISNUMBER(W298),N(X298)&gt;0),IFERROR(N(INDEX(Parameter!$L$5:$L$7,W298))*INDEX(Parameter!$E$5:$E$7,W298)*X298/SUMIFS($X$7:$X$1843,$W$7:$W$1843,W298),0),0)</f>
        <v>0</v>
      </c>
    </row>
    <row r="299" customFormat="false" ht="15" hidden="false" customHeight="false" outlineLevel="0" collapsed="false">
      <c r="A299" s="55" t="s">
        <v>769</v>
      </c>
      <c r="B299" s="55" t="s">
        <v>573</v>
      </c>
      <c r="C299" s="55" t="s">
        <v>164</v>
      </c>
      <c r="D299" s="55" t="s">
        <v>173</v>
      </c>
      <c r="E299" s="55" t="s">
        <v>185</v>
      </c>
      <c r="F299" s="55" t="s">
        <v>218</v>
      </c>
      <c r="G299" s="56" t="n">
        <v>86.22</v>
      </c>
      <c r="H299" s="57" t="n">
        <f aca="false">MAX(0,IF(AND(Parameter!$B$21="Ja",ISNUMBER(Y299)),Y299,IF(Parameter!$B$20="Jahresanfang 2025 + Export",BL299+BK299,BK299)))</f>
        <v>22</v>
      </c>
      <c r="I299" s="57" t="n">
        <f aca="false">H299*G299</f>
        <v>1896.84</v>
      </c>
      <c r="J299" s="57" t="n">
        <f aca="false">BN299*Parameter!$B$18</f>
        <v>69</v>
      </c>
      <c r="K299" s="58" t="n">
        <v>13</v>
      </c>
      <c r="L299" s="59" t="n">
        <v>5.30769230769231</v>
      </c>
      <c r="M299" s="57" t="n">
        <v>4</v>
      </c>
      <c r="N299" s="57" t="n">
        <v>20</v>
      </c>
      <c r="O299" s="60" t="n">
        <v>21</v>
      </c>
      <c r="P299" s="55" t="s">
        <v>226</v>
      </c>
      <c r="Q299" s="57" t="n">
        <v>33</v>
      </c>
      <c r="R299" s="60" t="n">
        <f aca="false">IF(BT299=1,0,IFERROR(VLOOKUP(BR299,'Gebinde-Kategorie'!$A$5:$M$45,13,0)+0,0))</f>
        <v>12</v>
      </c>
      <c r="S299" s="61"/>
      <c r="T299" s="62"/>
      <c r="U299" s="62"/>
      <c r="V299" s="62"/>
      <c r="W299" s="55"/>
      <c r="X299" s="57"/>
      <c r="Y299" s="57"/>
      <c r="Z299" s="55" t="n">
        <f aca="false">IF(A299="","",IF(AND(Parameter!$B$21="Ja",ISNUMBER(W299)),W299,IF(BV299="2+3",IF(ISNUMBER(SEARCH("grosser Artikel",BO299)),2,IFERROR(VLOOKUP(BR299,Parameter!$F$35:$G$64,2,0),2)),IF(OR(BV299="Nein",BV299=""),"-",BV299))))</f>
        <v>2</v>
      </c>
      <c r="AA299" s="62"/>
      <c r="AB299" s="63"/>
      <c r="AC299" s="57" t="n">
        <f aca="false">AR299</f>
        <v>66</v>
      </c>
      <c r="AD299" s="57" t="n">
        <f aca="false">MAX(AR299,H299)</f>
        <v>66</v>
      </c>
      <c r="AE299" s="64"/>
      <c r="AF299" s="57" t="n">
        <f aca="false">IF(LEFT(Cockpit!$C$5,1)="A",H299,IF(CA299=1,CB299,IF(LEFT(Cockpit!$C$5,1)="B",AJ299,MAX(AJ299,H299))))</f>
        <v>22</v>
      </c>
      <c r="AG299" s="57" t="n">
        <f aca="false">IF(BT299=1,0,ROUNDUP(AF299/BS299,0))</f>
        <v>1</v>
      </c>
      <c r="AH299" s="59" t="n">
        <f aca="false">IF(CH299&gt;0,CH299*MAX(1,AF299/X299),IF(BT299=1,IF(AF299&lt;=0,0,BW299*MAX(1,IF(H299&gt;0,AF299/H299,1))),IF(R299&gt;0,AG299/R299,0))/MAX(0.1,N(Parameter!$M$21)))</f>
        <v>0.0833333333333333</v>
      </c>
      <c r="AI299" s="57" t="n">
        <f aca="false">AF299*G299</f>
        <v>1896.84</v>
      </c>
      <c r="AJ299" s="57" t="n">
        <f aca="false">ROUNDUP(MAX(J299/IF(BZ299&gt;0,BZ299,MAX(0.1,N(Cockpit!$C$6))),CC299)/BS299,0)*BS299</f>
        <v>66</v>
      </c>
      <c r="AK299" s="58" t="n">
        <f aca="false">IF(AH299&gt;0,J299/AH299,-1)</f>
        <v>828</v>
      </c>
      <c r="AL299" s="58" t="n">
        <f aca="false">IF(AND(OR(BY299="L1",BY299="L23"),AH299&gt;0),SUMIFS($AH$7:$AH$1843,$BY$7:$BY$1843,BY299,$AK$7:$AK$1843,"&gt;"&amp;AK299)+SUMIFS($AH$7:$AH$1843,$BY$7:$BY$1843,BY299,$AK$7:$AK$1843,AK299,$BQ$7:$BQ$1843,"&lt;="&amp;BQ299),"")</f>
        <v>20.7129151042195</v>
      </c>
      <c r="AM299" s="65" t="n">
        <f aca="false">IF(AL299="",0,MAX(0,MIN(1,(IF(BY299="L1",Parameter!$E$5,Parameter!$E$6+Parameter!$E$7)-(AL299-AH299))/AH299)))</f>
        <v>1</v>
      </c>
      <c r="AN299" s="57" t="n">
        <f aca="false">IF(LEFT(Cockpit!$I$5,1)="A",H299,IF(CA299=1,CB299,IF(LEFT(Cockpit!$I$5,1)="B",AR299,MAX(AR299,H299))))</f>
        <v>66</v>
      </c>
      <c r="AO299" s="57" t="n">
        <f aca="false">IF(BT299=1,0,ROUNDUP(AN299/BS299,0))</f>
        <v>2</v>
      </c>
      <c r="AP299" s="59" t="n">
        <f aca="false">IF(CH299&gt;0,CH299*MAX(1,AN299/X299),IF(BT299=1,IF(AN299&lt;=0,0,BW299*MAX(1,IF(H299&gt;0,AN299/H299,1))),IF(R299&gt;0,AO299/R299,0))/MAX(0.1,N(Parameter!$M$21)))</f>
        <v>0.166666666666667</v>
      </c>
      <c r="AQ299" s="57" t="n">
        <f aca="false">AN299*G299</f>
        <v>5690.52</v>
      </c>
      <c r="AR299" s="57" t="n">
        <f aca="false">ROUNDUP(MAX(J299/IF(BZ299&gt;0,BZ299,MAX(0.1,N(Cockpit!$I$6))),CC299)/BS299,0)*BS299</f>
        <v>66</v>
      </c>
      <c r="AS299" s="58" t="n">
        <f aca="false">IF(AP299&gt;0,J299/AP299,-1)</f>
        <v>414</v>
      </c>
      <c r="AT299" s="58" t="n">
        <f aca="false">IF(AND(OR(BY299="L1",BY299="L23"),AP299&gt;0),SUMIFS($AP$7:$AP$1843,$BY$7:$BY$1843,BY299,$AS$7:$AS$1843,"&gt;"&amp;AS299)+SUMIFS($AP$7:$AP$1843,$BY$7:$BY$1843,BY299,$AS$7:$AS$1843,AS299,$BQ$7:$BQ$1843,"&lt;="&amp;BQ299),"")</f>
        <v>35.0036569710483</v>
      </c>
      <c r="AU299" s="65" t="n">
        <f aca="false">IF(AT299="",0,MAX(0,MIN(1,(IF(BY299="L1",Parameter!$E$5,Parameter!$E$6+Parameter!$E$7)-(AT299-AP299))/AP299)))</f>
        <v>1</v>
      </c>
      <c r="AV299" s="57" t="n">
        <f aca="false">IF(LEFT(Cockpit!$O$5,1)="A",H299,IF(CA299=1,CB299,IF(LEFT(Cockpit!$O$5,1)="B",AZ299,MAX(AZ299,H299))))</f>
        <v>33</v>
      </c>
      <c r="AW299" s="57" t="n">
        <f aca="false">IF(BT299=1,0,ROUNDUP(AV299/BS299,0))</f>
        <v>1</v>
      </c>
      <c r="AX299" s="59" t="n">
        <f aca="false">IF(CH299&gt;0,CH299*MAX(1,AV299/X299),IF(BT299=1,IF(AV299&lt;=0,0,BW299*MAX(1,IF(H299&gt;0,AV299/H299,1))),IF(R299&gt;0,AW299/R299,0))/MAX(0.1,N(Parameter!$M$21)))</f>
        <v>0.0833333333333333</v>
      </c>
      <c r="AY299" s="57" t="n">
        <f aca="false">AV299*G299</f>
        <v>2845.26</v>
      </c>
      <c r="AZ299" s="57" t="n">
        <f aca="false">ROUNDUP(MAX(J299/IF(BZ299&gt;0,BZ299,MAX(0.1,N(Cockpit!$O$6))),CC299)/BS299,0)*BS299</f>
        <v>33</v>
      </c>
      <c r="BA299" s="58" t="n">
        <f aca="false">IF(AX299&gt;0,J299/AX299,-1)</f>
        <v>828</v>
      </c>
      <c r="BB299" s="58" t="n">
        <f aca="false">IF(AND(OR(BY299="L1",BY299="L23"),AX299&gt;0),SUMIFS($AX$7:$AX$1843,$BY$7:$BY$1843,BY299,$BA$7:$BA$1843,"&gt;"&amp;BA299)+SUMIFS($AX$7:$AX$1843,$BY$7:$BY$1843,BY299,$BA$7:$BA$1843,BA299,$BQ$7:$BQ$1843,"&lt;="&amp;BQ299),"")</f>
        <v>25.7869919935137</v>
      </c>
      <c r="BC299" s="65" t="n">
        <f aca="false">IF(BB299="",0,MAX(0,MIN(1,(IF(BY299="L1",Parameter!$E$5,Parameter!$E$6+Parameter!$E$7)-(BB299-AX299))/AX299)))</f>
        <v>1</v>
      </c>
      <c r="BD299" s="55" t="str">
        <f aca="false">IF(AH299&lt;=0,"",IF(BY299="Aussen","Aussenlager",IF(BY299="-","Nicht im Lift",IF(AM299&gt;=1,"Lift",IF(AM299&lt;=0,"Aussenlager","teilweise")))))</f>
        <v>Lift</v>
      </c>
      <c r="BE299" s="55" t="str">
        <f aca="false">IF(AP299&lt;=0,"",IF(BY299="Aussen","Aussenlager",IF(BY299="-","Nicht im Lift",IF(AU299&gt;=1,"Lift",IF(AU299&lt;=0,"Aussenlager","teilweise")))))</f>
        <v>Lift</v>
      </c>
      <c r="BF299" s="55" t="str">
        <f aca="false">IF(AX299&lt;=0,"",IF(BY299="Aussen","Aussenlager",IF(BY299="-","Nicht im Lift",IF(BC299&gt;=1,"Lift",IF(BC299&lt;=0,"Aussenlager","teilweise")))))</f>
        <v>Lift</v>
      </c>
      <c r="BG299" s="55" t="str">
        <f aca="false">IF(A299="","",IF(BP299=1,"Neu; ","")&amp;IF(AND(BP299=0,BK299&lt;0),"negativer Bestand (Export "&amp;BK299&amp;"); ","")&amp;IF(J299&lt;=0,"Kein Verbrauch; ","")&amp;IF(CH299&gt;0,"Lift "&amp;W299&amp;" lt. Liftbericht (Fach "&amp;X299&amp;" Stk); ",IF(BU299=1,"Gebinde geschätzt ("&amp;T299&amp;"); ",IF(BT299=1,"Lose – Tablare geschätzt; ","")))&amp;IF(H299&gt;AR299,"Überbestand "&amp;ROUND(H299-AR299,0)&amp;" Stk / CHF "&amp;ROUND((H299-AR299)*G299,0)&amp;"; ","")&amp;IF(AND(CA299=1,CB299&lt;CC299),"MAX &lt; MB+LG; ","")&amp;IF(AND(CG299&gt;0,CF299*10&gt;CG299),"zu hoch für Tablar; ","")&amp;IF(AND(BP299=0,OR(CA299=1,AA299&lt;&gt;"",U299&lt;&gt;"",V299&lt;&gt;"",AB299&lt;&gt;"")),"manuell übersteuert; ","")&amp;IF(AND(BT299=0,R299=0),"Gebinde unbekannt / Stellmass fehlt; ","")&amp;IF(AND(BT299=0,N(V299)&lt;=0,N(Q299)&lt;=0),"Menge pro Gebinde fehlt (Ist = 1 Gebinde); ","")&amp;BO299)</f>
        <v/>
      </c>
      <c r="BH299" s="55"/>
      <c r="BI299" s="55"/>
      <c r="BJ299" s="62"/>
      <c r="BK299" s="57" t="n">
        <v>8</v>
      </c>
      <c r="BL299" s="57" t="n">
        <v>14</v>
      </c>
      <c r="BM299" s="56" t="n">
        <v>275.919999999997</v>
      </c>
      <c r="BN299" s="57" t="n">
        <v>69</v>
      </c>
      <c r="BO299" s="55"/>
      <c r="BP299" s="60" t="n">
        <v>0</v>
      </c>
      <c r="BQ299" s="60" t="n">
        <v>299</v>
      </c>
      <c r="BR299" s="55" t="str">
        <f aca="false">IF(U299&lt;&gt;"",UPPER(TRIM(U299)),IF(BU299=1,UPPER(VLOOKUP(T299,Parameter!$I$27:$K$29,2,0)),IF(P299="","LOSE",P299)))</f>
        <v>S63</v>
      </c>
      <c r="BS299" s="57" t="n">
        <f aca="false">IF(BR299="LOSE",1,IF(N(V299)&gt;0,V299,IF(BU299=1,MAX(1,N(VLOOKUP(T299,Parameter!$I$27:$K$29,3,0)),H299,N(N299)),IF(N(Q299)&gt;0,Q299,MAX(1,H299)))))</f>
        <v>33</v>
      </c>
      <c r="BT299" s="60" t="n">
        <f aca="false">IF(BR299="LOSE",1,0)</f>
        <v>0</v>
      </c>
      <c r="BU299" s="60" t="n">
        <f aca="false">IF(AND(U299="",OR(P299="",P299="LOSE"),T299&lt;&gt;"",N(S299)&lt;=0,ISNUMBER(MATCH(T299,Parameter!$I$27:$I$29,0))),1,0)</f>
        <v>0</v>
      </c>
      <c r="BV299" s="55" t="str">
        <f aca="false">IF(AND(Parameter!$B$19="Ja",E299&lt;&gt;"",ISNUMBER(MATCH(E299,Parameter!$I$35:$I$52,0))),VLOOKUP(E299,Parameter!$I$35:$J$52,2,0),IFERROR(VLOOKUP(D299,Parameter!$A$35:$C$64,2,0),"Nein"))</f>
        <v>2+3</v>
      </c>
      <c r="BW299" s="59" t="n">
        <f aca="false">IF(BT299=0,0,IF(N(S299)&gt;0,S299,IFERROR(VLOOKUP(D299,Parameter!$A$35:$C$64,3,0)+0,0)))</f>
        <v>0</v>
      </c>
      <c r="BX299" s="55" t="n">
        <f aca="false">IF(AA299&lt;&gt;"",AA299,Z299)</f>
        <v>2</v>
      </c>
      <c r="BY299" s="55" t="str">
        <f aca="false">IF(BX299=1,"L1",IF(OR(BX299=2,BX299=3),"L23",IF(BX299="Aussen","Aussen","-")))</f>
        <v>L23</v>
      </c>
      <c r="BZ299" s="66" t="n">
        <f aca="false">IF(N(AB299)&gt;0,AB299,0)</f>
        <v>0</v>
      </c>
      <c r="CA299" s="60" t="n">
        <f aca="false">IF(ISNUMBER(AE299),1,0)</f>
        <v>0</v>
      </c>
      <c r="CB299" s="57" t="n">
        <f aca="false">N(AE299)</f>
        <v>0</v>
      </c>
      <c r="CC299" s="57" t="n">
        <f aca="false">N(M299)+N(N299)</f>
        <v>24</v>
      </c>
      <c r="CD299" s="57" t="n">
        <f aca="false">ROUNDUP(H299/BS299,0)</f>
        <v>1</v>
      </c>
      <c r="CE299" s="57" t="n">
        <f aca="false">ROUNDUP(CB299/BS299,0)</f>
        <v>0</v>
      </c>
      <c r="CF299" s="60" t="n">
        <f aca="false">IF(BT299=1,0,IFERROR(VLOOKUP(BR299,'Gebinde-Kategorie'!$A$5:$M$45,5,0)+0,0))</f>
        <v>31</v>
      </c>
      <c r="CG299" s="60" t="n">
        <f aca="false">IFERROR(IF(OR(BX299=1,BX299=2,BX299=3),N(INDEX(Parameter!$I$5:$I$7,BX299)),0),0)</f>
        <v>0</v>
      </c>
      <c r="CH299" s="59" t="n">
        <f aca="false">IF(AND(Parameter!$B$21="Ja",ISNUMBER(W299),N(X299)&gt;0),IFERROR(N(INDEX(Parameter!$L$5:$L$7,W299))*INDEX(Parameter!$E$5:$E$7,W299)*X299/SUMIFS($X$7:$X$1843,$W$7:$W$1843,W299),0),0)</f>
        <v>0</v>
      </c>
    </row>
    <row r="300" customFormat="false" ht="15" hidden="false" customHeight="false" outlineLevel="0" collapsed="false">
      <c r="A300" s="55" t="s">
        <v>770</v>
      </c>
      <c r="B300" s="55" t="s">
        <v>771</v>
      </c>
      <c r="C300" s="55" t="s">
        <v>164</v>
      </c>
      <c r="D300" s="55" t="s">
        <v>184</v>
      </c>
      <c r="E300" s="55"/>
      <c r="F300" s="55" t="s">
        <v>218</v>
      </c>
      <c r="G300" s="56" t="n">
        <v>22.95</v>
      </c>
      <c r="H300" s="57" t="n">
        <f aca="false">MAX(0,IF(AND(Parameter!$B$21="Ja",ISNUMBER(Y300)),Y300,IF(Parameter!$B$20="Jahresanfang 2025 + Export",BL300+BK300,BK300)))</f>
        <v>12</v>
      </c>
      <c r="I300" s="57" t="n">
        <f aca="false">H300*G300</f>
        <v>275.4</v>
      </c>
      <c r="J300" s="57" t="n">
        <f aca="false">BN300*Parameter!$B$18</f>
        <v>5</v>
      </c>
      <c r="K300" s="58" t="n">
        <v>6</v>
      </c>
      <c r="L300" s="59" t="n">
        <v>0.833333333333333</v>
      </c>
      <c r="M300" s="57" t="n">
        <v>0</v>
      </c>
      <c r="N300" s="57" t="n">
        <v>15</v>
      </c>
      <c r="O300" s="60" t="n">
        <v>14</v>
      </c>
      <c r="P300" s="55" t="s">
        <v>401</v>
      </c>
      <c r="Q300" s="57" t="n">
        <v>15</v>
      </c>
      <c r="R300" s="60" t="n">
        <f aca="false">IF(BT300=1,0,IFERROR(VLOOKUP(BR300,'Gebinde-Kategorie'!$A$5:$M$45,13,0)+0,0))</f>
        <v>414</v>
      </c>
      <c r="S300" s="61"/>
      <c r="T300" s="62"/>
      <c r="U300" s="62"/>
      <c r="V300" s="62"/>
      <c r="W300" s="55"/>
      <c r="X300" s="57"/>
      <c r="Y300" s="57"/>
      <c r="Z300" s="55" t="n">
        <f aca="false">IF(A300="","",IF(AND(Parameter!$B$21="Ja",ISNUMBER(W300)),W300,IF(BV300="2+3",IF(ISNUMBER(SEARCH("grosser Artikel",BO300)),2,IFERROR(VLOOKUP(BR300,Parameter!$F$35:$G$64,2,0),2)),IF(OR(BV300="Nein",BV300=""),"-",BV300))))</f>
        <v>3</v>
      </c>
      <c r="AA300" s="62"/>
      <c r="AB300" s="63"/>
      <c r="AC300" s="57" t="n">
        <f aca="false">AR300</f>
        <v>15</v>
      </c>
      <c r="AD300" s="57" t="n">
        <f aca="false">MAX(AR300,H300)</f>
        <v>15</v>
      </c>
      <c r="AE300" s="64"/>
      <c r="AF300" s="57" t="n">
        <f aca="false">IF(LEFT(Cockpit!$C$5,1)="A",H300,IF(CA300=1,CB300,IF(LEFT(Cockpit!$C$5,1)="B",AJ300,MAX(AJ300,H300))))</f>
        <v>12</v>
      </c>
      <c r="AG300" s="57" t="n">
        <f aca="false">IF(BT300=1,0,ROUNDUP(AF300/BS300,0))</f>
        <v>1</v>
      </c>
      <c r="AH300" s="59" t="n">
        <f aca="false">IF(CH300&gt;0,CH300*MAX(1,AF300/X300),IF(BT300=1,IF(AF300&lt;=0,0,BW300*MAX(1,IF(H300&gt;0,AF300/H300,1))),IF(R300&gt;0,AG300/R300,0))/MAX(0.1,N(Parameter!$M$21)))</f>
        <v>0.00241545893719807</v>
      </c>
      <c r="AI300" s="57" t="n">
        <f aca="false">AF300*G300</f>
        <v>275.4</v>
      </c>
      <c r="AJ300" s="57" t="n">
        <f aca="false">ROUNDUP(MAX(J300/IF(BZ300&gt;0,BZ300,MAX(0.1,N(Cockpit!$C$6))),CC300)/BS300,0)*BS300</f>
        <v>15</v>
      </c>
      <c r="AK300" s="58" t="n">
        <f aca="false">IF(AH300&gt;0,J300/AH300,-1)</f>
        <v>2070</v>
      </c>
      <c r="AL300" s="58" t="n">
        <f aca="false">IF(AND(OR(BY300="L1",BY300="L23"),AH300&gt;0),SUMIFS($AH$7:$AH$1843,$BY$7:$BY$1843,BY300,$AK$7:$AK$1843,"&gt;"&amp;AK300)+SUMIFS($AH$7:$AH$1843,$BY$7:$BY$1843,BY300,$AK$7:$AK$1843,AK300,$BQ$7:$BQ$1843,"&lt;="&amp;BQ300),"")</f>
        <v>12.7929884125536</v>
      </c>
      <c r="AM300" s="65" t="n">
        <f aca="false">IF(AL300="",0,MAX(0,MIN(1,(IF(BY300="L1",Parameter!$E$5,Parameter!$E$6+Parameter!$E$7)-(AL300-AH300))/AH300)))</f>
        <v>1</v>
      </c>
      <c r="AN300" s="57" t="n">
        <f aca="false">IF(LEFT(Cockpit!$I$5,1)="A",H300,IF(CA300=1,CB300,IF(LEFT(Cockpit!$I$5,1)="B",AR300,MAX(AR300,H300))))</f>
        <v>15</v>
      </c>
      <c r="AO300" s="57" t="n">
        <f aca="false">IF(BT300=1,0,ROUNDUP(AN300/BS300,0))</f>
        <v>1</v>
      </c>
      <c r="AP300" s="59" t="n">
        <f aca="false">IF(CH300&gt;0,CH300*MAX(1,AN300/X300),IF(BT300=1,IF(AN300&lt;=0,0,BW300*MAX(1,IF(H300&gt;0,AN300/H300,1))),IF(R300&gt;0,AO300/R300,0))/MAX(0.1,N(Parameter!$M$21)))</f>
        <v>0.00241545893719807</v>
      </c>
      <c r="AQ300" s="57" t="n">
        <f aca="false">AN300*G300</f>
        <v>344.25</v>
      </c>
      <c r="AR300" s="57" t="n">
        <f aca="false">ROUNDUP(MAX(J300/IF(BZ300&gt;0,BZ300,MAX(0.1,N(Cockpit!$I$6))),CC300)/BS300,0)*BS300</f>
        <v>15</v>
      </c>
      <c r="AS300" s="58" t="n">
        <f aca="false">IF(AP300&gt;0,J300/AP300,-1)</f>
        <v>2070</v>
      </c>
      <c r="AT300" s="58" t="n">
        <f aca="false">IF(AND(OR(BY300="L1",BY300="L23"),AP300&gt;0),SUMIFS($AP$7:$AP$1843,$BY$7:$BY$1843,BY300,$AS$7:$AS$1843,"&gt;"&amp;AS300)+SUMIFS($AP$7:$AP$1843,$BY$7:$BY$1843,BY300,$AS$7:$AS$1843,AS300,$BQ$7:$BQ$1843,"&lt;="&amp;BQ300),"")</f>
        <v>18.4253150231411</v>
      </c>
      <c r="AU300" s="65" t="n">
        <f aca="false">IF(AT300="",0,MAX(0,MIN(1,(IF(BY300="L1",Parameter!$E$5,Parameter!$E$6+Parameter!$E$7)-(AT300-AP300))/AP300)))</f>
        <v>1</v>
      </c>
      <c r="AV300" s="57" t="n">
        <f aca="false">IF(LEFT(Cockpit!$O$5,1)="A",H300,IF(CA300=1,CB300,IF(LEFT(Cockpit!$O$5,1)="B",AZ300,MAX(AZ300,H300))))</f>
        <v>15</v>
      </c>
      <c r="AW300" s="57" t="n">
        <f aca="false">IF(BT300=1,0,ROUNDUP(AV300/BS300,0))</f>
        <v>1</v>
      </c>
      <c r="AX300" s="59" t="n">
        <f aca="false">IF(CH300&gt;0,CH300*MAX(1,AV300/X300),IF(BT300=1,IF(AV300&lt;=0,0,BW300*MAX(1,IF(H300&gt;0,AV300/H300,1))),IF(R300&gt;0,AW300/R300,0))/MAX(0.1,N(Parameter!$M$21)))</f>
        <v>0.00241545893719807</v>
      </c>
      <c r="AY300" s="57" t="n">
        <f aca="false">AV300*G300</f>
        <v>344.25</v>
      </c>
      <c r="AZ300" s="57" t="n">
        <f aca="false">ROUNDUP(MAX(J300/IF(BZ300&gt;0,BZ300,MAX(0.1,N(Cockpit!$O$6))),CC300)/BS300,0)*BS300</f>
        <v>15</v>
      </c>
      <c r="BA300" s="58" t="n">
        <f aca="false">IF(AX300&gt;0,J300/AX300,-1)</f>
        <v>2070</v>
      </c>
      <c r="BB300" s="58" t="n">
        <f aca="false">IF(AND(OR(BY300="L1",BY300="L23"),AX300&gt;0),SUMIFS($AX$7:$AX$1843,$BY$7:$BY$1843,BY300,$BA$7:$BA$1843,"&gt;"&amp;BA300)+SUMIFS($AX$7:$AX$1843,$BY$7:$BY$1843,BY300,$BA$7:$BA$1843,BA300,$BQ$7:$BQ$1843,"&lt;="&amp;BQ300),"")</f>
        <v>16.9987415965677</v>
      </c>
      <c r="BC300" s="65" t="n">
        <f aca="false">IF(BB300="",0,MAX(0,MIN(1,(IF(BY300="L1",Parameter!$E$5,Parameter!$E$6+Parameter!$E$7)-(BB300-AX300))/AX300)))</f>
        <v>1</v>
      </c>
      <c r="BD300" s="55" t="str">
        <f aca="false">IF(AH300&lt;=0,"",IF(BY300="Aussen","Aussenlager",IF(BY300="-","Nicht im Lift",IF(AM300&gt;=1,"Lift",IF(AM300&lt;=0,"Aussenlager","teilweise")))))</f>
        <v>Lift</v>
      </c>
      <c r="BE300" s="55" t="str">
        <f aca="false">IF(AP300&lt;=0,"",IF(BY300="Aussen","Aussenlager",IF(BY300="-","Nicht im Lift",IF(AU300&gt;=1,"Lift",IF(AU300&lt;=0,"Aussenlager","teilweise")))))</f>
        <v>Lift</v>
      </c>
      <c r="BF300" s="55" t="str">
        <f aca="false">IF(AX300&lt;=0,"",IF(BY300="Aussen","Aussenlager",IF(BY300="-","Nicht im Lift",IF(BC300&gt;=1,"Lift",IF(BC300&lt;=0,"Aussenlager","teilweise")))))</f>
        <v>Lift</v>
      </c>
      <c r="BG300" s="55" t="str">
        <f aca="false">IF(A300="","",IF(BP300=1,"Neu; ","")&amp;IF(AND(BP300=0,BK300&lt;0),"negativer Bestand (Export "&amp;BK300&amp;"); ","")&amp;IF(J300&lt;=0,"Kein Verbrauch; ","")&amp;IF(CH300&gt;0,"Lift "&amp;W300&amp;" lt. Liftbericht (Fach "&amp;X300&amp;" Stk); ",IF(BU300=1,"Gebinde geschätzt ("&amp;T300&amp;"); ",IF(BT300=1,"Lose – Tablare geschätzt; ","")))&amp;IF(H300&gt;AR300,"Überbestand "&amp;ROUND(H300-AR300,0)&amp;" Stk / CHF "&amp;ROUND((H300-AR300)*G300,0)&amp;"; ","")&amp;IF(AND(CA300=1,CB300&lt;CC300),"MAX &lt; MB+LG; ","")&amp;IF(AND(CG300&gt;0,CF300*10&gt;CG300),"zu hoch für Tablar; ","")&amp;IF(AND(BP300=0,OR(CA300=1,AA300&lt;&gt;"",U300&lt;&gt;"",V300&lt;&gt;"",AB300&lt;&gt;"")),"manuell übersteuert; ","")&amp;IF(AND(BT300=0,R300=0),"Gebinde unbekannt / Stellmass fehlt; ","")&amp;IF(AND(BT300=0,N(V300)&lt;=0,N(Q300)&lt;=0),"Menge pro Gebinde fehlt (Ist = 1 Gebinde); ","")&amp;BO300)</f>
        <v/>
      </c>
      <c r="BH300" s="55"/>
      <c r="BI300" s="55"/>
      <c r="BJ300" s="62"/>
      <c r="BK300" s="57" t="n">
        <v>12</v>
      </c>
      <c r="BL300" s="57" t="n">
        <v>0</v>
      </c>
      <c r="BM300" s="56" t="n">
        <v>275.4</v>
      </c>
      <c r="BN300" s="57" t="n">
        <v>5</v>
      </c>
      <c r="BO300" s="55"/>
      <c r="BP300" s="60" t="n">
        <v>0</v>
      </c>
      <c r="BQ300" s="60" t="n">
        <v>300</v>
      </c>
      <c r="BR300" s="55" t="str">
        <f aca="false">IF(U300&lt;&gt;"",UPPER(TRIM(U300)),IF(BU300=1,UPPER(VLOOKUP(T300,Parameter!$I$27:$K$29,2,0)),IF(P300="","LOSE",P300)))</f>
        <v>S21</v>
      </c>
      <c r="BS300" s="57" t="n">
        <f aca="false">IF(BR300="LOSE",1,IF(N(V300)&gt;0,V300,IF(BU300=1,MAX(1,N(VLOOKUP(T300,Parameter!$I$27:$K$29,3,0)),H300,N(N300)),IF(N(Q300)&gt;0,Q300,MAX(1,H300)))))</f>
        <v>15</v>
      </c>
      <c r="BT300" s="60" t="n">
        <f aca="false">IF(BR300="LOSE",1,0)</f>
        <v>0</v>
      </c>
      <c r="BU300" s="60" t="n">
        <f aca="false">IF(AND(U300="",OR(P300="",P300="LOSE"),T300&lt;&gt;"",N(S300)&lt;=0,ISNUMBER(MATCH(T300,Parameter!$I$27:$I$29,0))),1,0)</f>
        <v>0</v>
      </c>
      <c r="BV300" s="55" t="str">
        <f aca="false">IF(AND(Parameter!$B$19="Ja",E300&lt;&gt;"",ISNUMBER(MATCH(E300,Parameter!$I$35:$I$52,0))),VLOOKUP(E300,Parameter!$I$35:$J$52,2,0),IFERROR(VLOOKUP(D300,Parameter!$A$35:$C$64,2,0),"Nein"))</f>
        <v>2+3</v>
      </c>
      <c r="BW300" s="59" t="n">
        <f aca="false">IF(BT300=0,0,IF(N(S300)&gt;0,S300,IFERROR(VLOOKUP(D300,Parameter!$A$35:$C$64,3,0)+0,0)))</f>
        <v>0</v>
      </c>
      <c r="BX300" s="55" t="n">
        <f aca="false">IF(AA300&lt;&gt;"",AA300,Z300)</f>
        <v>3</v>
      </c>
      <c r="BY300" s="55" t="str">
        <f aca="false">IF(BX300=1,"L1",IF(OR(BX300=2,BX300=3),"L23",IF(BX300="Aussen","Aussen","-")))</f>
        <v>L23</v>
      </c>
      <c r="BZ300" s="66" t="n">
        <f aca="false">IF(N(AB300)&gt;0,AB300,0)</f>
        <v>0</v>
      </c>
      <c r="CA300" s="60" t="n">
        <f aca="false">IF(ISNUMBER(AE300),1,0)</f>
        <v>0</v>
      </c>
      <c r="CB300" s="57" t="n">
        <f aca="false">N(AE300)</f>
        <v>0</v>
      </c>
      <c r="CC300" s="57" t="n">
        <f aca="false">N(M300)+N(N300)</f>
        <v>15</v>
      </c>
      <c r="CD300" s="57" t="n">
        <f aca="false">ROUNDUP(H300/BS300,0)</f>
        <v>1</v>
      </c>
      <c r="CE300" s="57" t="n">
        <f aca="false">ROUNDUP(CB300/BS300,0)</f>
        <v>0</v>
      </c>
      <c r="CF300" s="60" t="n">
        <f aca="false">IF(BT300=1,0,IFERROR(VLOOKUP(BR300,'Gebinde-Kategorie'!$A$5:$M$45,5,0)+0,0))</f>
        <v>8</v>
      </c>
      <c r="CG300" s="60" t="n">
        <f aca="false">IFERROR(IF(OR(BX300=1,BX300=2,BX300=3),N(INDEX(Parameter!$I$5:$I$7,BX300)),0),0)</f>
        <v>0</v>
      </c>
      <c r="CH300" s="59" t="n">
        <f aca="false">IF(AND(Parameter!$B$21="Ja",ISNUMBER(W300),N(X300)&gt;0),IFERROR(N(INDEX(Parameter!$L$5:$L$7,W300))*INDEX(Parameter!$E$5:$E$7,W300)*X300/SUMIFS($X$7:$X$1843,$W$7:$W$1843,W300),0),0)</f>
        <v>0</v>
      </c>
    </row>
    <row r="301" customFormat="false" ht="15" hidden="false" customHeight="false" outlineLevel="0" collapsed="false">
      <c r="A301" s="55" t="s">
        <v>772</v>
      </c>
      <c r="B301" s="55" t="s">
        <v>773</v>
      </c>
      <c r="C301" s="55" t="s">
        <v>164</v>
      </c>
      <c r="D301" s="55" t="s">
        <v>184</v>
      </c>
      <c r="E301" s="55" t="s">
        <v>185</v>
      </c>
      <c r="F301" s="55" t="s">
        <v>218</v>
      </c>
      <c r="G301" s="56" t="n">
        <v>40.32</v>
      </c>
      <c r="H301" s="57" t="n">
        <f aca="false">MAX(0,IF(AND(Parameter!$B$21="Ja",ISNUMBER(Y301)),Y301,IF(Parameter!$B$20="Jahresanfang 2025 + Export",BL301+BK301,BK301)))</f>
        <v>16</v>
      </c>
      <c r="I301" s="57" t="n">
        <f aca="false">H301*G301</f>
        <v>645.12</v>
      </c>
      <c r="J301" s="57" t="n">
        <f aca="false">BN301*Parameter!$B$18</f>
        <v>40</v>
      </c>
      <c r="K301" s="58" t="n">
        <v>9</v>
      </c>
      <c r="L301" s="59" t="n">
        <v>4.44444444444445</v>
      </c>
      <c r="M301" s="57" t="n">
        <v>3</v>
      </c>
      <c r="N301" s="57" t="n">
        <v>10</v>
      </c>
      <c r="O301" s="60" t="n">
        <v>35</v>
      </c>
      <c r="P301" s="55" t="s">
        <v>293</v>
      </c>
      <c r="Q301" s="57" t="n">
        <v>48</v>
      </c>
      <c r="R301" s="60" t="n">
        <f aca="false">IF(BT301=1,0,IFERROR(VLOOKUP(BR301,'Gebinde-Kategorie'!$A$5:$M$45,13,0)+0,0))</f>
        <v>12</v>
      </c>
      <c r="S301" s="61"/>
      <c r="T301" s="62"/>
      <c r="U301" s="62"/>
      <c r="V301" s="62"/>
      <c r="W301" s="55"/>
      <c r="X301" s="57"/>
      <c r="Y301" s="57"/>
      <c r="Z301" s="55" t="n">
        <f aca="false">IF(A301="","",IF(AND(Parameter!$B$21="Ja",ISNUMBER(W301)),W301,IF(BV301="2+3",IF(ISNUMBER(SEARCH("grosser Artikel",BO301)),2,IFERROR(VLOOKUP(BR301,Parameter!$F$35:$G$64,2,0),2)),IF(OR(BV301="Nein",BV301=""),"-",BV301))))</f>
        <v>2</v>
      </c>
      <c r="AA301" s="62"/>
      <c r="AB301" s="63"/>
      <c r="AC301" s="57" t="n">
        <f aca="false">AR301</f>
        <v>48</v>
      </c>
      <c r="AD301" s="57" t="n">
        <f aca="false">MAX(AR301,H301)</f>
        <v>48</v>
      </c>
      <c r="AE301" s="64"/>
      <c r="AF301" s="57" t="n">
        <f aca="false">IF(LEFT(Cockpit!$C$5,1)="A",H301,IF(CA301=1,CB301,IF(LEFT(Cockpit!$C$5,1)="B",AJ301,MAX(AJ301,H301))))</f>
        <v>16</v>
      </c>
      <c r="AG301" s="57" t="n">
        <f aca="false">IF(BT301=1,0,ROUNDUP(AF301/BS301,0))</f>
        <v>1</v>
      </c>
      <c r="AH301" s="59" t="n">
        <f aca="false">IF(CH301&gt;0,CH301*MAX(1,AF301/X301),IF(BT301=1,IF(AF301&lt;=0,0,BW301*MAX(1,IF(H301&gt;0,AF301/H301,1))),IF(R301&gt;0,AG301/R301,0))/MAX(0.1,N(Parameter!$M$21)))</f>
        <v>0.0833333333333333</v>
      </c>
      <c r="AI301" s="57" t="n">
        <f aca="false">AF301*G301</f>
        <v>645.12</v>
      </c>
      <c r="AJ301" s="57" t="n">
        <f aca="false">ROUNDUP(MAX(J301/IF(BZ301&gt;0,BZ301,MAX(0.1,N(Cockpit!$C$6))),CC301)/BS301,0)*BS301</f>
        <v>48</v>
      </c>
      <c r="AK301" s="58" t="n">
        <f aca="false">IF(AH301&gt;0,J301/AH301,-1)</f>
        <v>480</v>
      </c>
      <c r="AL301" s="58" t="n">
        <f aca="false">IF(AND(OR(BY301="L1",BY301="L23"),AH301&gt;0),SUMIFS($AH$7:$AH$1843,$BY$7:$BY$1843,BY301,$AK$7:$AK$1843,"&gt;"&amp;AK301)+SUMIFS($AH$7:$AH$1843,$BY$7:$BY$1843,BY301,$AK$7:$AK$1843,AK301,$BQ$7:$BQ$1843,"&lt;="&amp;BQ301),"")</f>
        <v>24.1585081585082</v>
      </c>
      <c r="AM301" s="65" t="n">
        <f aca="false">IF(AL301="",0,MAX(0,MIN(1,(IF(BY301="L1",Parameter!$E$5,Parameter!$E$6+Parameter!$E$7)-(AL301-AH301))/AH301)))</f>
        <v>1</v>
      </c>
      <c r="AN301" s="57" t="n">
        <f aca="false">IF(LEFT(Cockpit!$I$5,1)="A",H301,IF(CA301=1,CB301,IF(LEFT(Cockpit!$I$5,1)="B",AR301,MAX(AR301,H301))))</f>
        <v>48</v>
      </c>
      <c r="AO301" s="57" t="n">
        <f aca="false">IF(BT301=1,0,ROUNDUP(AN301/BS301,0))</f>
        <v>1</v>
      </c>
      <c r="AP301" s="59" t="n">
        <f aca="false">IF(CH301&gt;0,CH301*MAX(1,AN301/X301),IF(BT301=1,IF(AN301&lt;=0,0,BW301*MAX(1,IF(H301&gt;0,AN301/H301,1))),IF(R301&gt;0,AO301/R301,0))/MAX(0.1,N(Parameter!$M$21)))</f>
        <v>0.0833333333333333</v>
      </c>
      <c r="AQ301" s="57" t="n">
        <f aca="false">AN301*G301</f>
        <v>1935.36</v>
      </c>
      <c r="AR301" s="57" t="n">
        <f aca="false">ROUNDUP(MAX(J301/IF(BZ301&gt;0,BZ301,MAX(0.1,N(Cockpit!$I$6))),CC301)/BS301,0)*BS301</f>
        <v>48</v>
      </c>
      <c r="AS301" s="58" t="n">
        <f aca="false">IF(AP301&gt;0,J301/AP301,-1)</f>
        <v>480</v>
      </c>
      <c r="AT301" s="58" t="n">
        <f aca="false">IF(AND(OR(BY301="L1",BY301="L23"),AP301&gt;0),SUMIFS($AP$7:$AP$1843,$BY$7:$BY$1843,BY301,$AS$7:$AS$1843,"&gt;"&amp;AS301)+SUMIFS($AP$7:$AP$1843,$BY$7:$BY$1843,BY301,$AS$7:$AS$1843,AS301,$BQ$7:$BQ$1843,"&lt;="&amp;BQ301),"")</f>
        <v>32.9702712746191</v>
      </c>
      <c r="AU301" s="65" t="n">
        <f aca="false">IF(AT301="",0,MAX(0,MIN(1,(IF(BY301="L1",Parameter!$E$5,Parameter!$E$6+Parameter!$E$7)-(AT301-AP301))/AP301)))</f>
        <v>1</v>
      </c>
      <c r="AV301" s="57" t="n">
        <f aca="false">IF(LEFT(Cockpit!$O$5,1)="A",H301,IF(CA301=1,CB301,IF(LEFT(Cockpit!$O$5,1)="B",AZ301,MAX(AZ301,H301))))</f>
        <v>48</v>
      </c>
      <c r="AW301" s="57" t="n">
        <f aca="false">IF(BT301=1,0,ROUNDUP(AV301/BS301,0))</f>
        <v>1</v>
      </c>
      <c r="AX301" s="59" t="n">
        <f aca="false">IF(CH301&gt;0,CH301*MAX(1,AV301/X301),IF(BT301=1,IF(AV301&lt;=0,0,BW301*MAX(1,IF(H301&gt;0,AV301/H301,1))),IF(R301&gt;0,AW301/R301,0))/MAX(0.1,N(Parameter!$M$21)))</f>
        <v>0.0833333333333333</v>
      </c>
      <c r="AY301" s="57" t="n">
        <f aca="false">AV301*G301</f>
        <v>1935.36</v>
      </c>
      <c r="AZ301" s="57" t="n">
        <f aca="false">ROUNDUP(MAX(J301/IF(BZ301&gt;0,BZ301,MAX(0.1,N(Cockpit!$O$6))),CC301)/BS301,0)*BS301</f>
        <v>48</v>
      </c>
      <c r="BA301" s="58" t="n">
        <f aca="false">IF(AX301&gt;0,J301/AX301,-1)</f>
        <v>480</v>
      </c>
      <c r="BB301" s="58" t="n">
        <f aca="false">IF(AND(OR(BY301="L1",BY301="L23"),AX301&gt;0),SUMIFS($AX$7:$AX$1843,$BY$7:$BY$1843,BY301,$BA$7:$BA$1843,"&gt;"&amp;BA301)+SUMIFS($AX$7:$AX$1843,$BY$7:$BY$1843,BY301,$BA$7:$BA$1843,BA301,$BQ$7:$BQ$1843,"&lt;="&amp;BQ301),"")</f>
        <v>32.2039542583021</v>
      </c>
      <c r="BC301" s="65" t="n">
        <f aca="false">IF(BB301="",0,MAX(0,MIN(1,(IF(BY301="L1",Parameter!$E$5,Parameter!$E$6+Parameter!$E$7)-(BB301-AX301))/AX301)))</f>
        <v>1</v>
      </c>
      <c r="BD301" s="55" t="str">
        <f aca="false">IF(AH301&lt;=0,"",IF(BY301="Aussen","Aussenlager",IF(BY301="-","Nicht im Lift",IF(AM301&gt;=1,"Lift",IF(AM301&lt;=0,"Aussenlager","teilweise")))))</f>
        <v>Lift</v>
      </c>
      <c r="BE301" s="55" t="str">
        <f aca="false">IF(AP301&lt;=0,"",IF(BY301="Aussen","Aussenlager",IF(BY301="-","Nicht im Lift",IF(AU301&gt;=1,"Lift",IF(AU301&lt;=0,"Aussenlager","teilweise")))))</f>
        <v>Lift</v>
      </c>
      <c r="BF301" s="55" t="str">
        <f aca="false">IF(AX301&lt;=0,"",IF(BY301="Aussen","Aussenlager",IF(BY301="-","Nicht im Lift",IF(BC301&gt;=1,"Lift",IF(BC301&lt;=0,"Aussenlager","teilweise")))))</f>
        <v>Lift</v>
      </c>
      <c r="BG301" s="55" t="str">
        <f aca="false">IF(A301="","",IF(BP301=1,"Neu; ","")&amp;IF(AND(BP301=0,BK301&lt;0),"negativer Bestand (Export "&amp;BK301&amp;"); ","")&amp;IF(J301&lt;=0,"Kein Verbrauch; ","")&amp;IF(CH301&gt;0,"Lift "&amp;W301&amp;" lt. Liftbericht (Fach "&amp;X301&amp;" Stk); ",IF(BU301=1,"Gebinde geschätzt ("&amp;T301&amp;"); ",IF(BT301=1,"Lose – Tablare geschätzt; ","")))&amp;IF(H301&gt;AR301,"Überbestand "&amp;ROUND(H301-AR301,0)&amp;" Stk / CHF "&amp;ROUND((H301-AR301)*G301,0)&amp;"; ","")&amp;IF(AND(CA301=1,CB301&lt;CC301),"MAX &lt; MB+LG; ","")&amp;IF(AND(CG301&gt;0,CF301*10&gt;CG301),"zu hoch für Tablar; ","")&amp;IF(AND(BP301=0,OR(CA301=1,AA301&lt;&gt;"",U301&lt;&gt;"",V301&lt;&gt;"",AB301&lt;&gt;"")),"manuell übersteuert; ","")&amp;IF(AND(BT301=0,R301=0),"Gebinde unbekannt / Stellmass fehlt; ","")&amp;IF(AND(BT301=0,N(V301)&lt;=0,N(Q301)&lt;=0),"Menge pro Gebinde fehlt (Ist = 1 Gebinde); ","")&amp;BO301)</f>
        <v/>
      </c>
      <c r="BH301" s="55"/>
      <c r="BI301" s="55"/>
      <c r="BJ301" s="62"/>
      <c r="BK301" s="57" t="n">
        <v>6</v>
      </c>
      <c r="BL301" s="57" t="n">
        <v>10</v>
      </c>
      <c r="BM301" s="56" t="n">
        <v>270.560000000001</v>
      </c>
      <c r="BN301" s="57" t="n">
        <v>40</v>
      </c>
      <c r="BO301" s="55"/>
      <c r="BP301" s="60" t="n">
        <v>0</v>
      </c>
      <c r="BQ301" s="60" t="n">
        <v>301</v>
      </c>
      <c r="BR301" s="55" t="str">
        <f aca="false">IF(U301&lt;&gt;"",UPPER(TRIM(U301)),IF(BU301=1,UPPER(VLOOKUP(T301,Parameter!$I$27:$K$29,2,0)),IF(P301="","LOSE",P301)))</f>
        <v>S62</v>
      </c>
      <c r="BS301" s="57" t="n">
        <f aca="false">IF(BR301="LOSE",1,IF(N(V301)&gt;0,V301,IF(BU301=1,MAX(1,N(VLOOKUP(T301,Parameter!$I$27:$K$29,3,0)),H301,N(N301)),IF(N(Q301)&gt;0,Q301,MAX(1,H301)))))</f>
        <v>48</v>
      </c>
      <c r="BT301" s="60" t="n">
        <f aca="false">IF(BR301="LOSE",1,0)</f>
        <v>0</v>
      </c>
      <c r="BU301" s="60" t="n">
        <f aca="false">IF(AND(U301="",OR(P301="",P301="LOSE"),T301&lt;&gt;"",N(S301)&lt;=0,ISNUMBER(MATCH(T301,Parameter!$I$27:$I$29,0))),1,0)</f>
        <v>0</v>
      </c>
      <c r="BV301" s="55" t="str">
        <f aca="false">IF(AND(Parameter!$B$19="Ja",E301&lt;&gt;"",ISNUMBER(MATCH(E301,Parameter!$I$35:$I$52,0))),VLOOKUP(E301,Parameter!$I$35:$J$52,2,0),IFERROR(VLOOKUP(D301,Parameter!$A$35:$C$64,2,0),"Nein"))</f>
        <v>2+3</v>
      </c>
      <c r="BW301" s="59" t="n">
        <f aca="false">IF(BT301=0,0,IF(N(S301)&gt;0,S301,IFERROR(VLOOKUP(D301,Parameter!$A$35:$C$64,3,0)+0,0)))</f>
        <v>0</v>
      </c>
      <c r="BX301" s="55" t="n">
        <f aca="false">IF(AA301&lt;&gt;"",AA301,Z301)</f>
        <v>2</v>
      </c>
      <c r="BY301" s="55" t="str">
        <f aca="false">IF(BX301=1,"L1",IF(OR(BX301=2,BX301=3),"L23",IF(BX301="Aussen","Aussen","-")))</f>
        <v>L23</v>
      </c>
      <c r="BZ301" s="66" t="n">
        <f aca="false">IF(N(AB301)&gt;0,AB301,0)</f>
        <v>0</v>
      </c>
      <c r="CA301" s="60" t="n">
        <f aca="false">IF(ISNUMBER(AE301),1,0)</f>
        <v>0</v>
      </c>
      <c r="CB301" s="57" t="n">
        <f aca="false">N(AE301)</f>
        <v>0</v>
      </c>
      <c r="CC301" s="57" t="n">
        <f aca="false">N(M301)+N(N301)</f>
        <v>13</v>
      </c>
      <c r="CD301" s="57" t="n">
        <f aca="false">ROUNDUP(H301/BS301,0)</f>
        <v>1</v>
      </c>
      <c r="CE301" s="57" t="n">
        <f aca="false">ROUNDUP(CB301/BS301,0)</f>
        <v>0</v>
      </c>
      <c r="CF301" s="60" t="n">
        <f aca="false">IF(BT301=1,0,IFERROR(VLOOKUP(BR301,'Gebinde-Kategorie'!$A$5:$M$45,5,0)+0,0))</f>
        <v>21</v>
      </c>
      <c r="CG301" s="60" t="n">
        <f aca="false">IFERROR(IF(OR(BX301=1,BX301=2,BX301=3),N(INDEX(Parameter!$I$5:$I$7,BX301)),0),0)</f>
        <v>0</v>
      </c>
      <c r="CH301" s="59" t="n">
        <f aca="false">IF(AND(Parameter!$B$21="Ja",ISNUMBER(W301),N(X301)&gt;0),IFERROR(N(INDEX(Parameter!$L$5:$L$7,W301))*INDEX(Parameter!$E$5:$E$7,W301)*X301/SUMIFS($X$7:$X$1843,$W$7:$W$1843,W301),0),0)</f>
        <v>0</v>
      </c>
    </row>
    <row r="302" customFormat="false" ht="15" hidden="false" customHeight="false" outlineLevel="0" collapsed="false">
      <c r="A302" s="55" t="s">
        <v>774</v>
      </c>
      <c r="B302" s="55" t="s">
        <v>654</v>
      </c>
      <c r="C302" s="55" t="s">
        <v>164</v>
      </c>
      <c r="D302" s="55" t="s">
        <v>184</v>
      </c>
      <c r="E302" s="55" t="s">
        <v>185</v>
      </c>
      <c r="F302" s="55" t="s">
        <v>218</v>
      </c>
      <c r="G302" s="56" t="n">
        <v>2.7</v>
      </c>
      <c r="H302" s="57" t="n">
        <f aca="false">MAX(0,IF(AND(Parameter!$B$21="Ja",ISNUMBER(Y302)),Y302,IF(Parameter!$B$20="Jahresanfang 2025 + Export",BL302+BK302,BK302)))</f>
        <v>317</v>
      </c>
      <c r="I302" s="57" t="n">
        <f aca="false">H302*G302</f>
        <v>855.9</v>
      </c>
      <c r="J302" s="57" t="n">
        <f aca="false">BN302*Parameter!$B$18</f>
        <v>20</v>
      </c>
      <c r="K302" s="58" t="n">
        <v>268.5</v>
      </c>
      <c r="L302" s="59" t="n">
        <v>0.074487895716946</v>
      </c>
      <c r="M302" s="57" t="n">
        <v>0</v>
      </c>
      <c r="N302" s="57" t="n">
        <v>20</v>
      </c>
      <c r="O302" s="60" t="n">
        <v>14</v>
      </c>
      <c r="P302" s="55" t="s">
        <v>426</v>
      </c>
      <c r="Q302" s="57" t="n">
        <v>235</v>
      </c>
      <c r="R302" s="60" t="n">
        <f aca="false">IF(BT302=1,0,IFERROR(VLOOKUP(BR302,'Gebinde-Kategorie'!$A$5:$M$45,13,0)+0,0))</f>
        <v>198</v>
      </c>
      <c r="S302" s="61"/>
      <c r="T302" s="62"/>
      <c r="U302" s="62"/>
      <c r="V302" s="62"/>
      <c r="W302" s="55"/>
      <c r="X302" s="57"/>
      <c r="Y302" s="57"/>
      <c r="Z302" s="55" t="n">
        <f aca="false">IF(A302="","",IF(AND(Parameter!$B$21="Ja",ISNUMBER(W302)),W302,IF(BV302="2+3",IF(ISNUMBER(SEARCH("grosser Artikel",BO302)),2,IFERROR(VLOOKUP(BR302,Parameter!$F$35:$G$64,2,0),2)),IF(OR(BV302="Nein",BV302=""),"-",BV302))))</f>
        <v>3</v>
      </c>
      <c r="AA302" s="62"/>
      <c r="AB302" s="63"/>
      <c r="AC302" s="57" t="n">
        <f aca="false">AR302</f>
        <v>235</v>
      </c>
      <c r="AD302" s="57" t="n">
        <f aca="false">MAX(AR302,H302)</f>
        <v>317</v>
      </c>
      <c r="AE302" s="64"/>
      <c r="AF302" s="57" t="n">
        <f aca="false">IF(LEFT(Cockpit!$C$5,1)="A",H302,IF(CA302=1,CB302,IF(LEFT(Cockpit!$C$5,1)="B",AJ302,MAX(AJ302,H302))))</f>
        <v>317</v>
      </c>
      <c r="AG302" s="57" t="n">
        <f aca="false">IF(BT302=1,0,ROUNDUP(AF302/BS302,0))</f>
        <v>2</v>
      </c>
      <c r="AH302" s="59" t="n">
        <f aca="false">IF(CH302&gt;0,CH302*MAX(1,AF302/X302),IF(BT302=1,IF(AF302&lt;=0,0,BW302*MAX(1,IF(H302&gt;0,AF302/H302,1))),IF(R302&gt;0,AG302/R302,0))/MAX(0.1,N(Parameter!$M$21)))</f>
        <v>0.0101010101010101</v>
      </c>
      <c r="AI302" s="57" t="n">
        <f aca="false">AF302*G302</f>
        <v>855.9</v>
      </c>
      <c r="AJ302" s="57" t="n">
        <f aca="false">ROUNDUP(MAX(J302/IF(BZ302&gt;0,BZ302,MAX(0.1,N(Cockpit!$C$6))),CC302)/BS302,0)*BS302</f>
        <v>235</v>
      </c>
      <c r="AK302" s="58" t="n">
        <f aca="false">IF(AH302&gt;0,J302/AH302,-1)</f>
        <v>1980</v>
      </c>
      <c r="AL302" s="58" t="n">
        <f aca="false">IF(AND(OR(BY302="L1",BY302="L23"),AH302&gt;0),SUMIFS($AH$7:$AH$1843,$BY$7:$BY$1843,BY302,$AK$7:$AK$1843,"&gt;"&amp;AK302)+SUMIFS($AH$7:$AH$1843,$BY$7:$BY$1843,BY302,$AK$7:$AK$1843,AK302,$BQ$7:$BQ$1843,"&lt;="&amp;BQ302),"")</f>
        <v>13.0771511097598</v>
      </c>
      <c r="AM302" s="65" t="n">
        <f aca="false">IF(AL302="",0,MAX(0,MIN(1,(IF(BY302="L1",Parameter!$E$5,Parameter!$E$6+Parameter!$E$7)-(AL302-AH302))/AH302)))</f>
        <v>1</v>
      </c>
      <c r="AN302" s="57" t="n">
        <f aca="false">IF(LEFT(Cockpit!$I$5,1)="A",H302,IF(CA302=1,CB302,IF(LEFT(Cockpit!$I$5,1)="B",AR302,MAX(AR302,H302))))</f>
        <v>317</v>
      </c>
      <c r="AO302" s="57" t="n">
        <f aca="false">IF(BT302=1,0,ROUNDUP(AN302/BS302,0))</f>
        <v>2</v>
      </c>
      <c r="AP302" s="59" t="n">
        <f aca="false">IF(CH302&gt;0,CH302*MAX(1,AN302/X302),IF(BT302=1,IF(AN302&lt;=0,0,BW302*MAX(1,IF(H302&gt;0,AN302/H302,1))),IF(R302&gt;0,AO302/R302,0))/MAX(0.1,N(Parameter!$M$21)))</f>
        <v>0.0101010101010101</v>
      </c>
      <c r="AQ302" s="57" t="n">
        <f aca="false">AN302*G302</f>
        <v>855.9</v>
      </c>
      <c r="AR302" s="57" t="n">
        <f aca="false">ROUNDUP(MAX(J302/IF(BZ302&gt;0,BZ302,MAX(0.1,N(Cockpit!$I$6))),CC302)/BS302,0)*BS302</f>
        <v>235</v>
      </c>
      <c r="AS302" s="58" t="n">
        <f aca="false">IF(AP302&gt;0,J302/AP302,-1)</f>
        <v>1980</v>
      </c>
      <c r="AT302" s="58" t="n">
        <f aca="false">IF(AND(OR(BY302="L1",BY302="L23"),AP302&gt;0),SUMIFS($AP$7:$AP$1843,$BY$7:$BY$1843,BY302,$AS$7:$AS$1843,"&gt;"&amp;AS302)+SUMIFS($AP$7:$AP$1843,$BY$7:$BY$1843,BY302,$AS$7:$AS$1843,AS302,$BQ$7:$BQ$1843,"&lt;="&amp;BQ302),"")</f>
        <v>18.630139184487</v>
      </c>
      <c r="AU302" s="65" t="n">
        <f aca="false">IF(AT302="",0,MAX(0,MIN(1,(IF(BY302="L1",Parameter!$E$5,Parameter!$E$6+Parameter!$E$7)-(AT302-AP302))/AP302)))</f>
        <v>1</v>
      </c>
      <c r="AV302" s="57" t="n">
        <f aca="false">IF(LEFT(Cockpit!$O$5,1)="A",H302,IF(CA302=1,CB302,IF(LEFT(Cockpit!$O$5,1)="B",AZ302,MAX(AZ302,H302))))</f>
        <v>317</v>
      </c>
      <c r="AW302" s="57" t="n">
        <f aca="false">IF(BT302=1,0,ROUNDUP(AV302/BS302,0))</f>
        <v>2</v>
      </c>
      <c r="AX302" s="59" t="n">
        <f aca="false">IF(CH302&gt;0,CH302*MAX(1,AV302/X302),IF(BT302=1,IF(AV302&lt;=0,0,BW302*MAX(1,IF(H302&gt;0,AV302/H302,1))),IF(R302&gt;0,AW302/R302,0))/MAX(0.1,N(Parameter!$M$21)))</f>
        <v>0.0101010101010101</v>
      </c>
      <c r="AY302" s="57" t="n">
        <f aca="false">AV302*G302</f>
        <v>855.9</v>
      </c>
      <c r="AZ302" s="57" t="n">
        <f aca="false">ROUNDUP(MAX(J302/IF(BZ302&gt;0,BZ302,MAX(0.1,N(Cockpit!$O$6))),CC302)/BS302,0)*BS302</f>
        <v>235</v>
      </c>
      <c r="BA302" s="58" t="n">
        <f aca="false">IF(AX302&gt;0,J302/AX302,-1)</f>
        <v>1980</v>
      </c>
      <c r="BB302" s="58" t="n">
        <f aca="false">IF(AND(OR(BY302="L1",BY302="L23"),AX302&gt;0),SUMIFS($AX$7:$AX$1843,$BY$7:$BY$1843,BY302,$BA$7:$BA$1843,"&gt;"&amp;BA302)+SUMIFS($AX$7:$AX$1843,$BY$7:$BY$1843,BY302,$BA$7:$BA$1843,BA302,$BQ$7:$BQ$1843,"&lt;="&amp;BQ302),"")</f>
        <v>17.2420272963751</v>
      </c>
      <c r="BC302" s="65" t="n">
        <f aca="false">IF(BB302="",0,MAX(0,MIN(1,(IF(BY302="L1",Parameter!$E$5,Parameter!$E$6+Parameter!$E$7)-(BB302-AX302))/AX302)))</f>
        <v>1</v>
      </c>
      <c r="BD302" s="55" t="str">
        <f aca="false">IF(AH302&lt;=0,"",IF(BY302="Aussen","Aussenlager",IF(BY302="-","Nicht im Lift",IF(AM302&gt;=1,"Lift",IF(AM302&lt;=0,"Aussenlager","teilweise")))))</f>
        <v>Lift</v>
      </c>
      <c r="BE302" s="55" t="str">
        <f aca="false">IF(AP302&lt;=0,"",IF(BY302="Aussen","Aussenlager",IF(BY302="-","Nicht im Lift",IF(AU302&gt;=1,"Lift",IF(AU302&lt;=0,"Aussenlager","teilweise")))))</f>
        <v>Lift</v>
      </c>
      <c r="BF302" s="55" t="str">
        <f aca="false">IF(AX302&lt;=0,"",IF(BY302="Aussen","Aussenlager",IF(BY302="-","Nicht im Lift",IF(BC302&gt;=1,"Lift",IF(BC302&lt;=0,"Aussenlager","teilweise")))))</f>
        <v>Lift</v>
      </c>
      <c r="BG302" s="55" t="str">
        <f aca="false">IF(A302="","",IF(BP302=1,"Neu; ","")&amp;IF(AND(BP302=0,BK302&lt;0),"negativer Bestand (Export "&amp;BK302&amp;"); ","")&amp;IF(J302&lt;=0,"Kein Verbrauch; ","")&amp;IF(CH302&gt;0,"Lift "&amp;W302&amp;" lt. Liftbericht (Fach "&amp;X302&amp;" Stk); ",IF(BU302=1,"Gebinde geschätzt ("&amp;T302&amp;"); ",IF(BT302=1,"Lose – Tablare geschätzt; ","")))&amp;IF(H302&gt;AR302,"Überbestand "&amp;ROUND(H302-AR302,0)&amp;" Stk / CHF "&amp;ROUND((H302-AR302)*G302,0)&amp;"; ","")&amp;IF(AND(CA302=1,CB302&lt;CC302),"MAX &lt; MB+LG; ","")&amp;IF(AND(CG302&gt;0,CF302*10&gt;CG302),"zu hoch für Tablar; ","")&amp;IF(AND(BP302=0,OR(CA302=1,AA302&lt;&gt;"",U302&lt;&gt;"",V302&lt;&gt;"",AB302&lt;&gt;"")),"manuell übersteuert; ","")&amp;IF(AND(BT302=0,R302=0),"Gebinde unbekannt / Stellmass fehlt; ","")&amp;IF(AND(BT302=0,N(V302)&lt;=0,N(Q302)&lt;=0),"Menge pro Gebinde fehlt (Ist = 1 Gebinde); ","")&amp;BO302)</f>
        <v>Überbestand 82 Stk / CHF 221; </v>
      </c>
      <c r="BH302" s="55"/>
      <c r="BI302" s="55"/>
      <c r="BJ302" s="62"/>
      <c r="BK302" s="57" t="n">
        <v>100</v>
      </c>
      <c r="BL302" s="57" t="n">
        <v>217</v>
      </c>
      <c r="BM302" s="56" t="n">
        <v>270</v>
      </c>
      <c r="BN302" s="57" t="n">
        <v>20</v>
      </c>
      <c r="BO302" s="55"/>
      <c r="BP302" s="60" t="n">
        <v>0</v>
      </c>
      <c r="BQ302" s="60" t="n">
        <v>302</v>
      </c>
      <c r="BR302" s="55" t="str">
        <f aca="false">IF(U302&lt;&gt;"",UPPER(TRIM(U302)),IF(BU302=1,UPPER(VLOOKUP(T302,Parameter!$I$27:$K$29,2,0)),IF(P302="","LOSE",P302)))</f>
        <v>S22</v>
      </c>
      <c r="BS302" s="57" t="n">
        <f aca="false">IF(BR302="LOSE",1,IF(N(V302)&gt;0,V302,IF(BU302=1,MAX(1,N(VLOOKUP(T302,Parameter!$I$27:$K$29,3,0)),H302,N(N302)),IF(N(Q302)&gt;0,Q302,MAX(1,H302)))))</f>
        <v>235</v>
      </c>
      <c r="BT302" s="60" t="n">
        <f aca="false">IF(BR302="LOSE",1,0)</f>
        <v>0</v>
      </c>
      <c r="BU302" s="60" t="n">
        <f aca="false">IF(AND(U302="",OR(P302="",P302="LOSE"),T302&lt;&gt;"",N(S302)&lt;=0,ISNUMBER(MATCH(T302,Parameter!$I$27:$I$29,0))),1,0)</f>
        <v>0</v>
      </c>
      <c r="BV302" s="55" t="str">
        <f aca="false">IF(AND(Parameter!$B$19="Ja",E302&lt;&gt;"",ISNUMBER(MATCH(E302,Parameter!$I$35:$I$52,0))),VLOOKUP(E302,Parameter!$I$35:$J$52,2,0),IFERROR(VLOOKUP(D302,Parameter!$A$35:$C$64,2,0),"Nein"))</f>
        <v>2+3</v>
      </c>
      <c r="BW302" s="59" t="n">
        <f aca="false">IF(BT302=0,0,IF(N(S302)&gt;0,S302,IFERROR(VLOOKUP(D302,Parameter!$A$35:$C$64,3,0)+0,0)))</f>
        <v>0</v>
      </c>
      <c r="BX302" s="55" t="n">
        <f aca="false">IF(AA302&lt;&gt;"",AA302,Z302)</f>
        <v>3</v>
      </c>
      <c r="BY302" s="55" t="str">
        <f aca="false">IF(BX302=1,"L1",IF(OR(BX302=2,BX302=3),"L23",IF(BX302="Aussen","Aussen","-")))</f>
        <v>L23</v>
      </c>
      <c r="BZ302" s="66" t="n">
        <f aca="false">IF(N(AB302)&gt;0,AB302,0)</f>
        <v>0</v>
      </c>
      <c r="CA302" s="60" t="n">
        <f aca="false">IF(ISNUMBER(AE302),1,0)</f>
        <v>0</v>
      </c>
      <c r="CB302" s="57" t="n">
        <f aca="false">N(AE302)</f>
        <v>0</v>
      </c>
      <c r="CC302" s="57" t="n">
        <f aca="false">N(M302)+N(N302)</f>
        <v>20</v>
      </c>
      <c r="CD302" s="57" t="n">
        <f aca="false">ROUNDUP(H302/BS302,0)</f>
        <v>2</v>
      </c>
      <c r="CE302" s="57" t="n">
        <f aca="false">ROUNDUP(CB302/BS302,0)</f>
        <v>0</v>
      </c>
      <c r="CF302" s="60" t="n">
        <f aca="false">IF(BT302=1,0,IFERROR(VLOOKUP(BR302,'Gebinde-Kategorie'!$A$5:$M$45,5,0)+0,0))</f>
        <v>8</v>
      </c>
      <c r="CG302" s="60" t="n">
        <f aca="false">IFERROR(IF(OR(BX302=1,BX302=2,BX302=3),N(INDEX(Parameter!$I$5:$I$7,BX302)),0),0)</f>
        <v>0</v>
      </c>
      <c r="CH302" s="59" t="n">
        <f aca="false">IF(AND(Parameter!$B$21="Ja",ISNUMBER(W302),N(X302)&gt;0),IFERROR(N(INDEX(Parameter!$L$5:$L$7,W302))*INDEX(Parameter!$E$5:$E$7,W302)*X302/SUMIFS($X$7:$X$1843,$W$7:$W$1843,W302),0),0)</f>
        <v>0</v>
      </c>
    </row>
    <row r="303" customFormat="false" ht="15" hidden="false" customHeight="false" outlineLevel="0" collapsed="false">
      <c r="A303" s="55" t="s">
        <v>775</v>
      </c>
      <c r="B303" s="55" t="s">
        <v>776</v>
      </c>
      <c r="C303" s="55" t="s">
        <v>164</v>
      </c>
      <c r="D303" s="55" t="s">
        <v>184</v>
      </c>
      <c r="E303" s="55" t="s">
        <v>185</v>
      </c>
      <c r="F303" s="55" t="s">
        <v>218</v>
      </c>
      <c r="G303" s="56" t="n">
        <v>0.79</v>
      </c>
      <c r="H303" s="57" t="n">
        <f aca="false">MAX(0,IF(AND(Parameter!$B$21="Ja",ISNUMBER(Y303)),Y303,IF(Parameter!$B$20="Jahresanfang 2025 + Export",BL303+BK303,BK303)))</f>
        <v>371</v>
      </c>
      <c r="I303" s="57" t="n">
        <f aca="false">H303*G303</f>
        <v>293.09</v>
      </c>
      <c r="J303" s="57" t="n">
        <f aca="false">BN303*Parameter!$B$18</f>
        <v>59</v>
      </c>
      <c r="K303" s="58" t="n">
        <v>115</v>
      </c>
      <c r="L303" s="59" t="n">
        <v>0.51304347826087</v>
      </c>
      <c r="M303" s="57" t="n">
        <v>2</v>
      </c>
      <c r="N303" s="57" t="n">
        <v>60</v>
      </c>
      <c r="O303" s="60" t="n">
        <v>14</v>
      </c>
      <c r="P303" s="55" t="s">
        <v>421</v>
      </c>
      <c r="Q303" s="57" t="n">
        <v>39</v>
      </c>
      <c r="R303" s="60" t="n">
        <f aca="false">IF(BT303=1,0,IFERROR(VLOOKUP(BR303,'Gebinde-Kategorie'!$A$5:$M$45,13,0)+0,0))</f>
        <v>132</v>
      </c>
      <c r="S303" s="61"/>
      <c r="T303" s="62"/>
      <c r="U303" s="62"/>
      <c r="V303" s="62"/>
      <c r="W303" s="55"/>
      <c r="X303" s="57"/>
      <c r="Y303" s="57"/>
      <c r="Z303" s="55" t="n">
        <f aca="false">IF(A303="","",IF(AND(Parameter!$B$21="Ja",ISNUMBER(W303)),W303,IF(BV303="2+3",IF(ISNUMBER(SEARCH("grosser Artikel",BO303)),2,IFERROR(VLOOKUP(BR303,Parameter!$F$35:$G$64,2,0),2)),IF(OR(BV303="Nein",BV303=""),"-",BV303))))</f>
        <v>3</v>
      </c>
      <c r="AA303" s="62"/>
      <c r="AB303" s="63"/>
      <c r="AC303" s="57" t="n">
        <f aca="false">AR303</f>
        <v>78</v>
      </c>
      <c r="AD303" s="57" t="n">
        <f aca="false">MAX(AR303,H303)</f>
        <v>371</v>
      </c>
      <c r="AE303" s="64"/>
      <c r="AF303" s="57" t="n">
        <f aca="false">IF(LEFT(Cockpit!$C$5,1)="A",H303,IF(CA303=1,CB303,IF(LEFT(Cockpit!$C$5,1)="B",AJ303,MAX(AJ303,H303))))</f>
        <v>371</v>
      </c>
      <c r="AG303" s="57" t="n">
        <f aca="false">IF(BT303=1,0,ROUNDUP(AF303/BS303,0))</f>
        <v>10</v>
      </c>
      <c r="AH303" s="59" t="n">
        <f aca="false">IF(CH303&gt;0,CH303*MAX(1,AF303/X303),IF(BT303=1,IF(AF303&lt;=0,0,BW303*MAX(1,IF(H303&gt;0,AF303/H303,1))),IF(R303&gt;0,AG303/R303,0))/MAX(0.1,N(Parameter!$M$21)))</f>
        <v>0.0757575757575758</v>
      </c>
      <c r="AI303" s="57" t="n">
        <f aca="false">AF303*G303</f>
        <v>293.09</v>
      </c>
      <c r="AJ303" s="57" t="n">
        <f aca="false">ROUNDUP(MAX(J303/IF(BZ303&gt;0,BZ303,MAX(0.1,N(Cockpit!$C$6))),CC303)/BS303,0)*BS303</f>
        <v>78</v>
      </c>
      <c r="AK303" s="58" t="n">
        <f aca="false">IF(AH303&gt;0,J303/AH303,-1)</f>
        <v>778.8</v>
      </c>
      <c r="AL303" s="58" t="n">
        <f aca="false">IF(AND(OR(BY303="L1",BY303="L23"),AH303&gt;0),SUMIFS($AH$7:$AH$1843,$BY$7:$BY$1843,BY303,$AK$7:$AK$1843,"&gt;"&amp;AK303)+SUMIFS($AH$7:$AH$1843,$BY$7:$BY$1843,BY303,$AK$7:$AK$1843,AK303,$BQ$7:$BQ$1843,"&lt;="&amp;BQ303),"")</f>
        <v>21.0019425019425</v>
      </c>
      <c r="AM303" s="65" t="n">
        <f aca="false">IF(AL303="",0,MAX(0,MIN(1,(IF(BY303="L1",Parameter!$E$5,Parameter!$E$6+Parameter!$E$7)-(AL303-AH303))/AH303)))</f>
        <v>1</v>
      </c>
      <c r="AN303" s="57" t="n">
        <f aca="false">IF(LEFT(Cockpit!$I$5,1)="A",H303,IF(CA303=1,CB303,IF(LEFT(Cockpit!$I$5,1)="B",AR303,MAX(AR303,H303))))</f>
        <v>371</v>
      </c>
      <c r="AO303" s="57" t="n">
        <f aca="false">IF(BT303=1,0,ROUNDUP(AN303/BS303,0))</f>
        <v>10</v>
      </c>
      <c r="AP303" s="59" t="n">
        <f aca="false">IF(CH303&gt;0,CH303*MAX(1,AN303/X303),IF(BT303=1,IF(AN303&lt;=0,0,BW303*MAX(1,IF(H303&gt;0,AN303/H303,1))),IF(R303&gt;0,AO303/R303,0))/MAX(0.1,N(Parameter!$M$21)))</f>
        <v>0.0757575757575758</v>
      </c>
      <c r="AQ303" s="57" t="n">
        <f aca="false">AN303*G303</f>
        <v>293.09</v>
      </c>
      <c r="AR303" s="57" t="n">
        <f aca="false">ROUNDUP(MAX(J303/IF(BZ303&gt;0,BZ303,MAX(0.1,N(Cockpit!$I$6))),CC303)/BS303,0)*BS303</f>
        <v>78</v>
      </c>
      <c r="AS303" s="58" t="n">
        <f aca="false">IF(AP303&gt;0,J303/AP303,-1)</f>
        <v>778.8</v>
      </c>
      <c r="AT303" s="58" t="n">
        <f aca="false">IF(AND(OR(BY303="L1",BY303="L23"),AP303&gt;0),SUMIFS($AP$7:$AP$1843,$BY$7:$BY$1843,BY303,$AS$7:$AS$1843,"&gt;"&amp;AS303)+SUMIFS($AP$7:$AP$1843,$BY$7:$BY$1843,BY303,$AS$7:$AS$1843,AS303,$BQ$7:$BQ$1843,"&lt;="&amp;BQ303),"")</f>
        <v>26.7274585318064</v>
      </c>
      <c r="AU303" s="65" t="n">
        <f aca="false">IF(AT303="",0,MAX(0,MIN(1,(IF(BY303="L1",Parameter!$E$5,Parameter!$E$6+Parameter!$E$7)-(AT303-AP303))/AP303)))</f>
        <v>1</v>
      </c>
      <c r="AV303" s="57" t="n">
        <f aca="false">IF(LEFT(Cockpit!$O$5,1)="A",H303,IF(CA303=1,CB303,IF(LEFT(Cockpit!$O$5,1)="B",AZ303,MAX(AZ303,H303))))</f>
        <v>371</v>
      </c>
      <c r="AW303" s="57" t="n">
        <f aca="false">IF(BT303=1,0,ROUNDUP(AV303/BS303,0))</f>
        <v>10</v>
      </c>
      <c r="AX303" s="59" t="n">
        <f aca="false">IF(CH303&gt;0,CH303*MAX(1,AV303/X303),IF(BT303=1,IF(AV303&lt;=0,0,BW303*MAX(1,IF(H303&gt;0,AV303/H303,1))),IF(R303&gt;0,AW303/R303,0))/MAX(0.1,N(Parameter!$M$21)))</f>
        <v>0.0757575757575758</v>
      </c>
      <c r="AY303" s="57" t="n">
        <f aca="false">AV303*G303</f>
        <v>293.09</v>
      </c>
      <c r="AZ303" s="57" t="n">
        <f aca="false">ROUNDUP(MAX(J303/IF(BZ303&gt;0,BZ303,MAX(0.1,N(Cockpit!$O$6))),CC303)/BS303,0)*BS303</f>
        <v>78</v>
      </c>
      <c r="BA303" s="58" t="n">
        <f aca="false">IF(AX303&gt;0,J303/AX303,-1)</f>
        <v>778.8</v>
      </c>
      <c r="BB303" s="58" t="n">
        <f aca="false">IF(AND(OR(BY303="L1",BY303="L23"),AX303&gt;0),SUMIFS($AX$7:$AX$1843,$BY$7:$BY$1843,BY303,$BA$7:$BA$1843,"&gt;"&amp;BA303)+SUMIFS($AX$7:$AX$1843,$BY$7:$BY$1843,BY303,$BA$7:$BA$1843,BA303,$BQ$7:$BQ$1843,"&lt;="&amp;BQ303),"")</f>
        <v>26.1790902334381</v>
      </c>
      <c r="BC303" s="65" t="n">
        <f aca="false">IF(BB303="",0,MAX(0,MIN(1,(IF(BY303="L1",Parameter!$E$5,Parameter!$E$6+Parameter!$E$7)-(BB303-AX303))/AX303)))</f>
        <v>1</v>
      </c>
      <c r="BD303" s="55" t="str">
        <f aca="false">IF(AH303&lt;=0,"",IF(BY303="Aussen","Aussenlager",IF(BY303="-","Nicht im Lift",IF(AM303&gt;=1,"Lift",IF(AM303&lt;=0,"Aussenlager","teilweise")))))</f>
        <v>Lift</v>
      </c>
      <c r="BE303" s="55" t="str">
        <f aca="false">IF(AP303&lt;=0,"",IF(BY303="Aussen","Aussenlager",IF(BY303="-","Nicht im Lift",IF(AU303&gt;=1,"Lift",IF(AU303&lt;=0,"Aussenlager","teilweise")))))</f>
        <v>Lift</v>
      </c>
      <c r="BF303" s="55" t="str">
        <f aca="false">IF(AX303&lt;=0,"",IF(BY303="Aussen","Aussenlager",IF(BY303="-","Nicht im Lift",IF(BC303&gt;=1,"Lift",IF(BC303&lt;=0,"Aussenlager","teilweise")))))</f>
        <v>Lift</v>
      </c>
      <c r="BG303" s="55" t="str">
        <f aca="false">IF(A303="","",IF(BP303=1,"Neu; ","")&amp;IF(AND(BP303=0,BK303&lt;0),"negativer Bestand (Export "&amp;BK303&amp;"); ","")&amp;IF(J303&lt;=0,"Kein Verbrauch; ","")&amp;IF(CH303&gt;0,"Lift "&amp;W303&amp;" lt. Liftbericht (Fach "&amp;X303&amp;" Stk); ",IF(BU303=1,"Gebinde geschätzt ("&amp;T303&amp;"); ",IF(BT303=1,"Lose – Tablare geschätzt; ","")))&amp;IF(H303&gt;AR303,"Überbestand "&amp;ROUND(H303-AR303,0)&amp;" Stk / CHF "&amp;ROUND((H303-AR303)*G303,0)&amp;"; ","")&amp;IF(AND(CA303=1,CB303&lt;CC303),"MAX &lt; MB+LG; ","")&amp;IF(AND(CG303&gt;0,CF303*10&gt;CG303),"zu hoch für Tablar; ","")&amp;IF(AND(BP303=0,OR(CA303=1,AA303&lt;&gt;"",U303&lt;&gt;"",V303&lt;&gt;"",AB303&lt;&gt;"")),"manuell übersteuert; ","")&amp;IF(AND(BT303=0,R303=0),"Gebinde unbekannt / Stellmass fehlt; ","")&amp;IF(AND(BT303=0,N(V303)&lt;=0,N(Q303)&lt;=0),"Menge pro Gebinde fehlt (Ist = 1 Gebinde); ","")&amp;BO303)</f>
        <v>Überbestand 293 Stk / CHF 231; </v>
      </c>
      <c r="BH303" s="55"/>
      <c r="BI303" s="55"/>
      <c r="BJ303" s="62"/>
      <c r="BK303" s="57" t="n">
        <v>339</v>
      </c>
      <c r="BL303" s="57" t="n">
        <v>32</v>
      </c>
      <c r="BM303" s="56" t="n">
        <v>267.81</v>
      </c>
      <c r="BN303" s="57" t="n">
        <v>59</v>
      </c>
      <c r="BO303" s="55"/>
      <c r="BP303" s="60" t="n">
        <v>0</v>
      </c>
      <c r="BQ303" s="60" t="n">
        <v>303</v>
      </c>
      <c r="BR303" s="55" t="str">
        <f aca="false">IF(U303&lt;&gt;"",UPPER(TRIM(U303)),IF(BU303=1,UPPER(VLOOKUP(T303,Parameter!$I$27:$K$29,2,0)),IF(P303="","LOSE",P303)))</f>
        <v>S32</v>
      </c>
      <c r="BS303" s="57" t="n">
        <f aca="false">IF(BR303="LOSE",1,IF(N(V303)&gt;0,V303,IF(BU303=1,MAX(1,N(VLOOKUP(T303,Parameter!$I$27:$K$29,3,0)),H303,N(N303)),IF(N(Q303)&gt;0,Q303,MAX(1,H303)))))</f>
        <v>39</v>
      </c>
      <c r="BT303" s="60" t="n">
        <f aca="false">IF(BR303="LOSE",1,0)</f>
        <v>0</v>
      </c>
      <c r="BU303" s="60" t="n">
        <f aca="false">IF(AND(U303="",OR(P303="",P303="LOSE"),T303&lt;&gt;"",N(S303)&lt;=0,ISNUMBER(MATCH(T303,Parameter!$I$27:$I$29,0))),1,0)</f>
        <v>0</v>
      </c>
      <c r="BV303" s="55" t="str">
        <f aca="false">IF(AND(Parameter!$B$19="Ja",E303&lt;&gt;"",ISNUMBER(MATCH(E303,Parameter!$I$35:$I$52,0))),VLOOKUP(E303,Parameter!$I$35:$J$52,2,0),IFERROR(VLOOKUP(D303,Parameter!$A$35:$C$64,2,0),"Nein"))</f>
        <v>2+3</v>
      </c>
      <c r="BW303" s="59" t="n">
        <f aca="false">IF(BT303=0,0,IF(N(S303)&gt;0,S303,IFERROR(VLOOKUP(D303,Parameter!$A$35:$C$64,3,0)+0,0)))</f>
        <v>0</v>
      </c>
      <c r="BX303" s="55" t="n">
        <f aca="false">IF(AA303&lt;&gt;"",AA303,Z303)</f>
        <v>3</v>
      </c>
      <c r="BY303" s="55" t="str">
        <f aca="false">IF(BX303=1,"L1",IF(OR(BX303=2,BX303=3),"L23",IF(BX303="Aussen","Aussen","-")))</f>
        <v>L23</v>
      </c>
      <c r="BZ303" s="66" t="n">
        <f aca="false">IF(N(AB303)&gt;0,AB303,0)</f>
        <v>0</v>
      </c>
      <c r="CA303" s="60" t="n">
        <f aca="false">IF(ISNUMBER(AE303),1,0)</f>
        <v>0</v>
      </c>
      <c r="CB303" s="57" t="n">
        <f aca="false">N(AE303)</f>
        <v>0</v>
      </c>
      <c r="CC303" s="57" t="n">
        <f aca="false">N(M303)+N(N303)</f>
        <v>62</v>
      </c>
      <c r="CD303" s="57" t="n">
        <f aca="false">ROUNDUP(H303/BS303,0)</f>
        <v>10</v>
      </c>
      <c r="CE303" s="57" t="n">
        <f aca="false">ROUNDUP(CB303/BS303,0)</f>
        <v>0</v>
      </c>
      <c r="CF303" s="60" t="n">
        <f aca="false">IF(BT303=1,0,IFERROR(VLOOKUP(BR303,'Gebinde-Kategorie'!$A$5:$M$45,5,0)+0,0))</f>
        <v>8</v>
      </c>
      <c r="CG303" s="60" t="n">
        <f aca="false">IFERROR(IF(OR(BX303=1,BX303=2,BX303=3),N(INDEX(Parameter!$I$5:$I$7,BX303)),0),0)</f>
        <v>0</v>
      </c>
      <c r="CH303" s="59" t="n">
        <f aca="false">IF(AND(Parameter!$B$21="Ja",ISNUMBER(W303),N(X303)&gt;0),IFERROR(N(INDEX(Parameter!$L$5:$L$7,W303))*INDEX(Parameter!$E$5:$E$7,W303)*X303/SUMIFS($X$7:$X$1843,$W$7:$W$1843,W303),0),0)</f>
        <v>0</v>
      </c>
    </row>
    <row r="304" customFormat="false" ht="15" hidden="false" customHeight="false" outlineLevel="0" collapsed="false">
      <c r="A304" s="55" t="s">
        <v>777</v>
      </c>
      <c r="B304" s="55" t="s">
        <v>489</v>
      </c>
      <c r="C304" s="55" t="s">
        <v>164</v>
      </c>
      <c r="D304" s="55" t="s">
        <v>184</v>
      </c>
      <c r="E304" s="55" t="s">
        <v>185</v>
      </c>
      <c r="F304" s="55" t="s">
        <v>218</v>
      </c>
      <c r="G304" s="56" t="n">
        <v>2.01</v>
      </c>
      <c r="H304" s="57" t="n">
        <f aca="false">MAX(0,IF(AND(Parameter!$B$21="Ja",ISNUMBER(Y304)),Y304,IF(Parameter!$B$20="Jahresanfang 2025 + Export",BL304+BK304,BK304)))</f>
        <v>193</v>
      </c>
      <c r="I304" s="57" t="n">
        <f aca="false">H304*G304</f>
        <v>387.93</v>
      </c>
      <c r="J304" s="57" t="n">
        <f aca="false">BN304*Parameter!$B$18</f>
        <v>172</v>
      </c>
      <c r="K304" s="58" t="n">
        <v>69</v>
      </c>
      <c r="L304" s="59" t="n">
        <v>2.49275362318841</v>
      </c>
      <c r="M304" s="57" t="n">
        <v>6</v>
      </c>
      <c r="N304" s="57" t="n">
        <v>200</v>
      </c>
      <c r="O304" s="60" t="n">
        <v>14</v>
      </c>
      <c r="P304" s="55" t="s">
        <v>476</v>
      </c>
      <c r="Q304" s="57" t="n">
        <v>342</v>
      </c>
      <c r="R304" s="60" t="n">
        <f aca="false">IF(BT304=1,0,IFERROR(VLOOKUP(BR304,'Gebinde-Kategorie'!$A$5:$M$45,13,0)+0,0))</f>
        <v>66</v>
      </c>
      <c r="S304" s="61"/>
      <c r="T304" s="62"/>
      <c r="U304" s="62"/>
      <c r="V304" s="62"/>
      <c r="W304" s="55"/>
      <c r="X304" s="57"/>
      <c r="Y304" s="57"/>
      <c r="Z304" s="55" t="n">
        <f aca="false">IF(A304="","",IF(AND(Parameter!$B$21="Ja",ISNUMBER(W304)),W304,IF(BV304="2+3",IF(ISNUMBER(SEARCH("grosser Artikel",BO304)),2,IFERROR(VLOOKUP(BR304,Parameter!$F$35:$G$64,2,0),2)),IF(OR(BV304="Nein",BV304=""),"-",BV304))))</f>
        <v>3</v>
      </c>
      <c r="AA304" s="62"/>
      <c r="AB304" s="63"/>
      <c r="AC304" s="57" t="n">
        <f aca="false">AR304</f>
        <v>342</v>
      </c>
      <c r="AD304" s="57" t="n">
        <f aca="false">MAX(AR304,H304)</f>
        <v>342</v>
      </c>
      <c r="AE304" s="64"/>
      <c r="AF304" s="57" t="n">
        <f aca="false">IF(LEFT(Cockpit!$C$5,1)="A",H304,IF(CA304=1,CB304,IF(LEFT(Cockpit!$C$5,1)="B",AJ304,MAX(AJ304,H304))))</f>
        <v>193</v>
      </c>
      <c r="AG304" s="57" t="n">
        <f aca="false">IF(BT304=1,0,ROUNDUP(AF304/BS304,0))</f>
        <v>1</v>
      </c>
      <c r="AH304" s="59" t="n">
        <f aca="false">IF(CH304&gt;0,CH304*MAX(1,AF304/X304),IF(BT304=1,IF(AF304&lt;=0,0,BW304*MAX(1,IF(H304&gt;0,AF304/H304,1))),IF(R304&gt;0,AG304/R304,0))/MAX(0.1,N(Parameter!$M$21)))</f>
        <v>0.0151515151515152</v>
      </c>
      <c r="AI304" s="57" t="n">
        <f aca="false">AF304*G304</f>
        <v>387.93</v>
      </c>
      <c r="AJ304" s="57" t="n">
        <f aca="false">ROUNDUP(MAX(J304/IF(BZ304&gt;0,BZ304,MAX(0.1,N(Cockpit!$C$6))),CC304)/BS304,0)*BS304</f>
        <v>342</v>
      </c>
      <c r="AK304" s="58" t="n">
        <f aca="false">IF(AH304&gt;0,J304/AH304,-1)</f>
        <v>11352</v>
      </c>
      <c r="AL304" s="58" t="n">
        <f aca="false">IF(AND(OR(BY304="L1",BY304="L23"),AH304&gt;0),SUMIFS($AH$7:$AH$1843,$BY$7:$BY$1843,BY304,$AK$7:$AK$1843,"&gt;"&amp;AK304)+SUMIFS($AH$7:$AH$1843,$BY$7:$BY$1843,BY304,$AK$7:$AK$1843,AK304,$BQ$7:$BQ$1843,"&lt;="&amp;BQ304),"")</f>
        <v>4.95744231613797</v>
      </c>
      <c r="AM304" s="65" t="n">
        <f aca="false">IF(AL304="",0,MAX(0,MIN(1,(IF(BY304="L1",Parameter!$E$5,Parameter!$E$6+Parameter!$E$7)-(AL304-AH304))/AH304)))</f>
        <v>1</v>
      </c>
      <c r="AN304" s="57" t="n">
        <f aca="false">IF(LEFT(Cockpit!$I$5,1)="A",H304,IF(CA304=1,CB304,IF(LEFT(Cockpit!$I$5,1)="B",AR304,MAX(AR304,H304))))</f>
        <v>342</v>
      </c>
      <c r="AO304" s="57" t="n">
        <f aca="false">IF(BT304=1,0,ROUNDUP(AN304/BS304,0))</f>
        <v>1</v>
      </c>
      <c r="AP304" s="59" t="n">
        <f aca="false">IF(CH304&gt;0,CH304*MAX(1,AN304/X304),IF(BT304=1,IF(AN304&lt;=0,0,BW304*MAX(1,IF(H304&gt;0,AN304/H304,1))),IF(R304&gt;0,AO304/R304,0))/MAX(0.1,N(Parameter!$M$21)))</f>
        <v>0.0151515151515152</v>
      </c>
      <c r="AQ304" s="57" t="n">
        <f aca="false">AN304*G304</f>
        <v>687.42</v>
      </c>
      <c r="AR304" s="57" t="n">
        <f aca="false">ROUNDUP(MAX(J304/IF(BZ304&gt;0,BZ304,MAX(0.1,N(Cockpit!$I$6))),CC304)/BS304,0)*BS304</f>
        <v>342</v>
      </c>
      <c r="AS304" s="58" t="n">
        <f aca="false">IF(AP304&gt;0,J304/AP304,-1)</f>
        <v>11352</v>
      </c>
      <c r="AT304" s="58" t="n">
        <f aca="false">IF(AND(OR(BY304="L1",BY304="L23"),AP304&gt;0),SUMIFS($AP$7:$AP$1843,$BY$7:$BY$1843,BY304,$AS$7:$AS$1843,"&gt;"&amp;AS304)+SUMIFS($AP$7:$AP$1843,$BY$7:$BY$1843,BY304,$AS$7:$AS$1843,AS304,$BQ$7:$BQ$1843,"&lt;="&amp;BQ304),"")</f>
        <v>5.72410560454039</v>
      </c>
      <c r="AU304" s="65" t="n">
        <f aca="false">IF(AT304="",0,MAX(0,MIN(1,(IF(BY304="L1",Parameter!$E$5,Parameter!$E$6+Parameter!$E$7)-(AT304-AP304))/AP304)))</f>
        <v>1</v>
      </c>
      <c r="AV304" s="57" t="n">
        <f aca="false">IF(LEFT(Cockpit!$O$5,1)="A",H304,IF(CA304=1,CB304,IF(LEFT(Cockpit!$O$5,1)="B",AZ304,MAX(AZ304,H304))))</f>
        <v>342</v>
      </c>
      <c r="AW304" s="57" t="n">
        <f aca="false">IF(BT304=1,0,ROUNDUP(AV304/BS304,0))</f>
        <v>1</v>
      </c>
      <c r="AX304" s="59" t="n">
        <f aca="false">IF(CH304&gt;0,CH304*MAX(1,AV304/X304),IF(BT304=1,IF(AV304&lt;=0,0,BW304*MAX(1,IF(H304&gt;0,AV304/H304,1))),IF(R304&gt;0,AW304/R304,0))/MAX(0.1,N(Parameter!$M$21)))</f>
        <v>0.0151515151515152</v>
      </c>
      <c r="AY304" s="57" t="n">
        <f aca="false">AV304*G304</f>
        <v>687.42</v>
      </c>
      <c r="AZ304" s="57" t="n">
        <f aca="false">ROUNDUP(MAX(J304/IF(BZ304&gt;0,BZ304,MAX(0.1,N(Cockpit!$O$6))),CC304)/BS304,0)*BS304</f>
        <v>342</v>
      </c>
      <c r="BA304" s="58" t="n">
        <f aca="false">IF(AX304&gt;0,J304/AX304,-1)</f>
        <v>11352</v>
      </c>
      <c r="BB304" s="58" t="n">
        <f aca="false">IF(AND(OR(BY304="L1",BY304="L23"),AX304&gt;0),SUMIFS($AX$7:$AX$1843,$BY$7:$BY$1843,BY304,$BA$7:$BA$1843,"&gt;"&amp;BA304)+SUMIFS($AX$7:$AX$1843,$BY$7:$BY$1843,BY304,$BA$7:$BA$1843,BA304,$BQ$7:$BQ$1843,"&lt;="&amp;BQ304),"")</f>
        <v>6.87445525489004</v>
      </c>
      <c r="BC304" s="65" t="n">
        <f aca="false">IF(BB304="",0,MAX(0,MIN(1,(IF(BY304="L1",Parameter!$E$5,Parameter!$E$6+Parameter!$E$7)-(BB304-AX304))/AX304)))</f>
        <v>1</v>
      </c>
      <c r="BD304" s="55" t="str">
        <f aca="false">IF(AH304&lt;=0,"",IF(BY304="Aussen","Aussenlager",IF(BY304="-","Nicht im Lift",IF(AM304&gt;=1,"Lift",IF(AM304&lt;=0,"Aussenlager","teilweise")))))</f>
        <v>Lift</v>
      </c>
      <c r="BE304" s="55" t="str">
        <f aca="false">IF(AP304&lt;=0,"",IF(BY304="Aussen","Aussenlager",IF(BY304="-","Nicht im Lift",IF(AU304&gt;=1,"Lift",IF(AU304&lt;=0,"Aussenlager","teilweise")))))</f>
        <v>Lift</v>
      </c>
      <c r="BF304" s="55" t="str">
        <f aca="false">IF(AX304&lt;=0,"",IF(BY304="Aussen","Aussenlager",IF(BY304="-","Nicht im Lift",IF(BC304&gt;=1,"Lift",IF(BC304&lt;=0,"Aussenlager","teilweise")))))</f>
        <v>Lift</v>
      </c>
      <c r="BG304" s="55" t="str">
        <f aca="false">IF(A304="","",IF(BP304=1,"Neu; ","")&amp;IF(AND(BP304=0,BK304&lt;0),"negativer Bestand (Export "&amp;BK304&amp;"); ","")&amp;IF(J304&lt;=0,"Kein Verbrauch; ","")&amp;IF(CH304&gt;0,"Lift "&amp;W304&amp;" lt. Liftbericht (Fach "&amp;X304&amp;" Stk); ",IF(BU304=1,"Gebinde geschätzt ("&amp;T304&amp;"); ",IF(BT304=1,"Lose – Tablare geschätzt; ","")))&amp;IF(H304&gt;AR304,"Überbestand "&amp;ROUND(H304-AR304,0)&amp;" Stk / CHF "&amp;ROUND((H304-AR304)*G304,0)&amp;"; ","")&amp;IF(AND(CA304=1,CB304&lt;CC304),"MAX &lt; MB+LG; ","")&amp;IF(AND(CG304&gt;0,CF304*10&gt;CG304),"zu hoch für Tablar; ","")&amp;IF(AND(BP304=0,OR(CA304=1,AA304&lt;&gt;"",U304&lt;&gt;"",V304&lt;&gt;"",AB304&lt;&gt;"")),"manuell übersteuert; ","")&amp;IF(AND(BT304=0,R304=0),"Gebinde unbekannt / Stellmass fehlt; ","")&amp;IF(AND(BT304=0,N(V304)&lt;=0,N(Q304)&lt;=0),"Menge pro Gebinde fehlt (Ist = 1 Gebinde); ","")&amp;BO304)</f>
        <v/>
      </c>
      <c r="BH304" s="55"/>
      <c r="BI304" s="55"/>
      <c r="BJ304" s="62"/>
      <c r="BK304" s="57" t="n">
        <v>136</v>
      </c>
      <c r="BL304" s="57" t="n">
        <v>57</v>
      </c>
      <c r="BM304" s="56" t="n">
        <v>267.48</v>
      </c>
      <c r="BN304" s="57" t="n">
        <v>172</v>
      </c>
      <c r="BO304" s="55"/>
      <c r="BP304" s="60" t="n">
        <v>0</v>
      </c>
      <c r="BQ304" s="60" t="n">
        <v>304</v>
      </c>
      <c r="BR304" s="55" t="str">
        <f aca="false">IF(U304&lt;&gt;"",UPPER(TRIM(U304)),IF(BU304=1,UPPER(VLOOKUP(T304,Parameter!$I$27:$K$29,2,0)),IF(P304="","LOSE",P304)))</f>
        <v>S33</v>
      </c>
      <c r="BS304" s="57" t="n">
        <f aca="false">IF(BR304="LOSE",1,IF(N(V304)&gt;0,V304,IF(BU304=1,MAX(1,N(VLOOKUP(T304,Parameter!$I$27:$K$29,3,0)),H304,N(N304)),IF(N(Q304)&gt;0,Q304,MAX(1,H304)))))</f>
        <v>342</v>
      </c>
      <c r="BT304" s="60" t="n">
        <f aca="false">IF(BR304="LOSE",1,0)</f>
        <v>0</v>
      </c>
      <c r="BU304" s="60" t="n">
        <f aca="false">IF(AND(U304="",OR(P304="",P304="LOSE"),T304&lt;&gt;"",N(S304)&lt;=0,ISNUMBER(MATCH(T304,Parameter!$I$27:$I$29,0))),1,0)</f>
        <v>0</v>
      </c>
      <c r="BV304" s="55" t="str">
        <f aca="false">IF(AND(Parameter!$B$19="Ja",E304&lt;&gt;"",ISNUMBER(MATCH(E304,Parameter!$I$35:$I$52,0))),VLOOKUP(E304,Parameter!$I$35:$J$52,2,0),IFERROR(VLOOKUP(D304,Parameter!$A$35:$C$64,2,0),"Nein"))</f>
        <v>2+3</v>
      </c>
      <c r="BW304" s="59" t="n">
        <f aca="false">IF(BT304=0,0,IF(N(S304)&gt;0,S304,IFERROR(VLOOKUP(D304,Parameter!$A$35:$C$64,3,0)+0,0)))</f>
        <v>0</v>
      </c>
      <c r="BX304" s="55" t="n">
        <f aca="false">IF(AA304&lt;&gt;"",AA304,Z304)</f>
        <v>3</v>
      </c>
      <c r="BY304" s="55" t="str">
        <f aca="false">IF(BX304=1,"L1",IF(OR(BX304=2,BX304=3),"L23",IF(BX304="Aussen","Aussen","-")))</f>
        <v>L23</v>
      </c>
      <c r="BZ304" s="66" t="n">
        <f aca="false">IF(N(AB304)&gt;0,AB304,0)</f>
        <v>0</v>
      </c>
      <c r="CA304" s="60" t="n">
        <f aca="false">IF(ISNUMBER(AE304),1,0)</f>
        <v>0</v>
      </c>
      <c r="CB304" s="57" t="n">
        <f aca="false">N(AE304)</f>
        <v>0</v>
      </c>
      <c r="CC304" s="57" t="n">
        <f aca="false">N(M304)+N(N304)</f>
        <v>206</v>
      </c>
      <c r="CD304" s="57" t="n">
        <f aca="false">ROUNDUP(H304/BS304,0)</f>
        <v>1</v>
      </c>
      <c r="CE304" s="57" t="n">
        <f aca="false">ROUNDUP(CB304/BS304,0)</f>
        <v>0</v>
      </c>
      <c r="CF304" s="60" t="n">
        <f aca="false">IF(BT304=1,0,IFERROR(VLOOKUP(BR304,'Gebinde-Kategorie'!$A$5:$M$45,5,0)+0,0))</f>
        <v>8</v>
      </c>
      <c r="CG304" s="60" t="n">
        <f aca="false">IFERROR(IF(OR(BX304=1,BX304=2,BX304=3),N(INDEX(Parameter!$I$5:$I$7,BX304)),0),0)</f>
        <v>0</v>
      </c>
      <c r="CH304" s="59" t="n">
        <f aca="false">IF(AND(Parameter!$B$21="Ja",ISNUMBER(W304),N(X304)&gt;0),IFERROR(N(INDEX(Parameter!$L$5:$L$7,W304))*INDEX(Parameter!$E$5:$E$7,W304)*X304/SUMIFS($X$7:$X$1843,$W$7:$W$1843,W304),0),0)</f>
        <v>0</v>
      </c>
    </row>
    <row r="305" customFormat="false" ht="15" hidden="false" customHeight="false" outlineLevel="0" collapsed="false">
      <c r="A305" s="55" t="s">
        <v>778</v>
      </c>
      <c r="B305" s="55" t="s">
        <v>779</v>
      </c>
      <c r="C305" s="55" t="s">
        <v>164</v>
      </c>
      <c r="D305" s="55" t="s">
        <v>184</v>
      </c>
      <c r="E305" s="55"/>
      <c r="F305" s="55" t="s">
        <v>218</v>
      </c>
      <c r="G305" s="56" t="n">
        <v>17.67</v>
      </c>
      <c r="H305" s="57" t="n">
        <f aca="false">MAX(0,IF(AND(Parameter!$B$21="Ja",ISNUMBER(Y305)),Y305,IF(Parameter!$B$20="Jahresanfang 2025 + Export",BL305+BK305,BK305)))</f>
        <v>15</v>
      </c>
      <c r="I305" s="57" t="n">
        <f aca="false">H305*G305</f>
        <v>265.05</v>
      </c>
      <c r="J305" s="57" t="n">
        <f aca="false">BN305*Parameter!$B$18</f>
        <v>0</v>
      </c>
      <c r="K305" s="58" t="n">
        <v>0</v>
      </c>
      <c r="L305" s="59" t="n">
        <v>0</v>
      </c>
      <c r="M305" s="57" t="n">
        <v>0</v>
      </c>
      <c r="N305" s="57" t="n">
        <v>1</v>
      </c>
      <c r="O305" s="60" t="n">
        <v>9999</v>
      </c>
      <c r="P305" s="55" t="s">
        <v>168</v>
      </c>
      <c r="Q305" s="57"/>
      <c r="R305" s="60" t="n">
        <f aca="false">IF(BT305=1,0,IFERROR(VLOOKUP(BR305,'Gebinde-Kategorie'!$A$5:$M$45,13,0)+0,0))</f>
        <v>12</v>
      </c>
      <c r="S305" s="61"/>
      <c r="T305" s="62" t="s">
        <v>179</v>
      </c>
      <c r="U305" s="62"/>
      <c r="V305" s="62"/>
      <c r="W305" s="55"/>
      <c r="X305" s="57"/>
      <c r="Y305" s="57"/>
      <c r="Z305" s="55" t="n">
        <f aca="false">IF(A305="","",IF(AND(Parameter!$B$21="Ja",ISNUMBER(W305)),W305,IF(BV305="2+3",IF(ISNUMBER(SEARCH("grosser Artikel",BO305)),2,IFERROR(VLOOKUP(BR305,Parameter!$F$35:$G$64,2,0),2)),IF(OR(BV305="Nein",BV305=""),"-",BV305))))</f>
        <v>2</v>
      </c>
      <c r="AA305" s="62"/>
      <c r="AB305" s="63"/>
      <c r="AC305" s="57" t="n">
        <f aca="false">AR305</f>
        <v>15</v>
      </c>
      <c r="AD305" s="57" t="n">
        <f aca="false">MAX(AR305,H305)</f>
        <v>15</v>
      </c>
      <c r="AE305" s="64"/>
      <c r="AF305" s="57" t="n">
        <f aca="false">IF(LEFT(Cockpit!$C$5,1)="A",H305,IF(CA305=1,CB305,IF(LEFT(Cockpit!$C$5,1)="B",AJ305,MAX(AJ305,H305))))</f>
        <v>15</v>
      </c>
      <c r="AG305" s="57" t="n">
        <f aca="false">IF(BT305=1,0,ROUNDUP(AF305/BS305,0))</f>
        <v>1</v>
      </c>
      <c r="AH305" s="59" t="n">
        <f aca="false">IF(CH305&gt;0,CH305*MAX(1,AF305/X305),IF(BT305=1,IF(AF305&lt;=0,0,BW305*MAX(1,IF(H305&gt;0,AF305/H305,1))),IF(R305&gt;0,AG305/R305,0))/MAX(0.1,N(Parameter!$M$21)))</f>
        <v>0.0833333333333333</v>
      </c>
      <c r="AI305" s="57" t="n">
        <f aca="false">AF305*G305</f>
        <v>265.05</v>
      </c>
      <c r="AJ305" s="57" t="n">
        <f aca="false">ROUNDUP(MAX(J305/IF(BZ305&gt;0,BZ305,MAX(0.1,N(Cockpit!$C$6))),CC305)/BS305,0)*BS305</f>
        <v>15</v>
      </c>
      <c r="AK305" s="58" t="n">
        <f aca="false">IF(AH305&gt;0,J305/AH305,-1)</f>
        <v>0</v>
      </c>
      <c r="AL305" s="58" t="n">
        <f aca="false">IF(AND(OR(BY305="L1",BY305="L23"),AH305&gt;0),SUMIFS($AH$7:$AH$1843,$BY$7:$BY$1843,BY305,$AK$7:$AK$1843,"&gt;"&amp;AK305)+SUMIFS($AH$7:$AH$1843,$BY$7:$BY$1843,BY305,$AK$7:$AK$1843,AK305,$BQ$7:$BQ$1843,"&lt;="&amp;BQ305),"")</f>
        <v>72.3943194486673</v>
      </c>
      <c r="AM305" s="65" t="n">
        <f aca="false">IF(AL305="",0,MAX(0,MIN(1,(IF(BY305="L1",Parameter!$E$5,Parameter!$E$6+Parameter!$E$7)-(AL305-AH305))/AH305)))</f>
        <v>1</v>
      </c>
      <c r="AN305" s="57" t="n">
        <f aca="false">IF(LEFT(Cockpit!$I$5,1)="A",H305,IF(CA305=1,CB305,IF(LEFT(Cockpit!$I$5,1)="B",AR305,MAX(AR305,H305))))</f>
        <v>15</v>
      </c>
      <c r="AO305" s="57" t="n">
        <f aca="false">IF(BT305=1,0,ROUNDUP(AN305/BS305,0))</f>
        <v>1</v>
      </c>
      <c r="AP305" s="59" t="n">
        <f aca="false">IF(CH305&gt;0,CH305*MAX(1,AN305/X305),IF(BT305=1,IF(AN305&lt;=0,0,BW305*MAX(1,IF(H305&gt;0,AN305/H305,1))),IF(R305&gt;0,AO305/R305,0))/MAX(0.1,N(Parameter!$M$21)))</f>
        <v>0.0833333333333333</v>
      </c>
      <c r="AQ305" s="57" t="n">
        <f aca="false">AN305*G305</f>
        <v>265.05</v>
      </c>
      <c r="AR305" s="57" t="n">
        <f aca="false">ROUNDUP(MAX(J305/IF(BZ305&gt;0,BZ305,MAX(0.1,N(Cockpit!$I$6))),CC305)/BS305,0)*BS305</f>
        <v>15</v>
      </c>
      <c r="AS305" s="58" t="n">
        <f aca="false">IF(AP305&gt;0,J305/AP305,-1)</f>
        <v>0</v>
      </c>
      <c r="AT305" s="58" t="n">
        <f aca="false">IF(AND(OR(BY305="L1",BY305="L23"),AP305&gt;0),SUMIFS($AP$7:$AP$1843,$BY$7:$BY$1843,BY305,$AS$7:$AS$1843,"&gt;"&amp;AS305)+SUMIFS($AP$7:$AP$1843,$BY$7:$BY$1843,BY305,$AS$7:$AS$1843,AS305,$BQ$7:$BQ$1843,"&lt;="&amp;BQ305),"")</f>
        <v>111.818443633661</v>
      </c>
      <c r="AU305" s="65" t="n">
        <f aca="false">IF(AT305="",0,MAX(0,MIN(1,(IF(BY305="L1",Parameter!$E$5,Parameter!$E$6+Parameter!$E$7)-(AT305-AP305))/AP305)))</f>
        <v>0</v>
      </c>
      <c r="AV305" s="57" t="n">
        <f aca="false">IF(LEFT(Cockpit!$O$5,1)="A",H305,IF(CA305=1,CB305,IF(LEFT(Cockpit!$O$5,1)="B",AZ305,MAX(AZ305,H305))))</f>
        <v>15</v>
      </c>
      <c r="AW305" s="57" t="n">
        <f aca="false">IF(BT305=1,0,ROUNDUP(AV305/BS305,0))</f>
        <v>1</v>
      </c>
      <c r="AX305" s="59" t="n">
        <f aca="false">IF(CH305&gt;0,CH305*MAX(1,AV305/X305),IF(BT305=1,IF(AV305&lt;=0,0,BW305*MAX(1,IF(H305&gt;0,AV305/H305,1))),IF(R305&gt;0,AW305/R305,0))/MAX(0.1,N(Parameter!$M$21)))</f>
        <v>0.0833333333333333</v>
      </c>
      <c r="AY305" s="57" t="n">
        <f aca="false">AV305*G305</f>
        <v>265.05</v>
      </c>
      <c r="AZ305" s="57" t="n">
        <f aca="false">ROUNDUP(MAX(J305/IF(BZ305&gt;0,BZ305,MAX(0.1,N(Cockpit!$O$6))),CC305)/BS305,0)*BS305</f>
        <v>15</v>
      </c>
      <c r="BA305" s="58" t="n">
        <f aca="false">IF(AX305&gt;0,J305/AX305,-1)</f>
        <v>0</v>
      </c>
      <c r="BB305" s="58" t="n">
        <f aca="false">IF(AND(OR(BY305="L1",BY305="L23"),AX305&gt;0),SUMIFS($AX$7:$AX$1843,$BY$7:$BY$1843,BY305,$BA$7:$BA$1843,"&gt;"&amp;BA305)+SUMIFS($AX$7:$AX$1843,$BY$7:$BY$1843,BY305,$BA$7:$BA$1843,BA305,$BQ$7:$BQ$1843,"&lt;="&amp;BQ305),"")</f>
        <v>102.648280463498</v>
      </c>
      <c r="BC305" s="65" t="n">
        <f aca="false">IF(BB305="",0,MAX(0,MIN(1,(IF(BY305="L1",Parameter!$E$5,Parameter!$E$6+Parameter!$E$7)-(BB305-AX305))/AX305)))</f>
        <v>0</v>
      </c>
      <c r="BD305" s="55" t="str">
        <f aca="false">IF(AH305&lt;=0,"",IF(BY305="Aussen","Aussenlager",IF(BY305="-","Nicht im Lift",IF(AM305&gt;=1,"Lift",IF(AM305&lt;=0,"Aussenlager","teilweise")))))</f>
        <v>Lift</v>
      </c>
      <c r="BE305" s="55" t="str">
        <f aca="false">IF(AP305&lt;=0,"",IF(BY305="Aussen","Aussenlager",IF(BY305="-","Nicht im Lift",IF(AU305&gt;=1,"Lift",IF(AU305&lt;=0,"Aussenlager","teilweise")))))</f>
        <v>Aussenlager</v>
      </c>
      <c r="BF305" s="55" t="str">
        <f aca="false">IF(AX305&lt;=0,"",IF(BY305="Aussen","Aussenlager",IF(BY305="-","Nicht im Lift",IF(BC305&gt;=1,"Lift",IF(BC305&lt;=0,"Aussenlager","teilweise")))))</f>
        <v>Aussenlager</v>
      </c>
      <c r="BG305" s="55" t="str">
        <f aca="false">IF(A305="","",IF(BP305=1,"Neu; ","")&amp;IF(AND(BP305=0,BK305&lt;0),"negativer Bestand (Export "&amp;BK305&amp;"); ","")&amp;IF(J305&lt;=0,"Kein Verbrauch; ","")&amp;IF(CH305&gt;0,"Lift "&amp;W305&amp;" lt. Liftbericht (Fach "&amp;X305&amp;" Stk); ",IF(BU305=1,"Gebinde geschätzt ("&amp;T305&amp;"); ",IF(BT305=1,"Lose – Tablare geschätzt; ","")))&amp;IF(H305&gt;AR305,"Überbestand "&amp;ROUND(H305-AR305,0)&amp;" Stk / CHF "&amp;ROUND((H305-AR305)*G305,0)&amp;"; ","")&amp;IF(AND(CA305=1,CB305&lt;CC305),"MAX &lt; MB+LG; ","")&amp;IF(AND(CG305&gt;0,CF305*10&gt;CG305),"zu hoch für Tablar; ","")&amp;IF(AND(BP305=0,OR(CA305=1,AA305&lt;&gt;"",U305&lt;&gt;"",V305&lt;&gt;"",AB305&lt;&gt;"")),"manuell übersteuert; ","")&amp;IF(AND(BT305=0,R305=0),"Gebinde unbekannt / Stellmass fehlt; ","")&amp;IF(AND(BT305=0,N(V305)&lt;=0,N(Q305)&lt;=0),"Menge pro Gebinde fehlt (Ist = 1 Gebinde); ","")&amp;BO305)</f>
        <v>Kein Verbrauch; Gebinde geschätzt (Mittel); Menge pro Gebinde fehlt (Ist = 1 Gebinde); </v>
      </c>
      <c r="BH305" s="55"/>
      <c r="BI305" s="55"/>
      <c r="BJ305" s="62"/>
      <c r="BK305" s="57" t="n">
        <v>15</v>
      </c>
      <c r="BL305" s="57" t="n">
        <v>0</v>
      </c>
      <c r="BM305" s="56" t="n">
        <v>265.05</v>
      </c>
      <c r="BN305" s="57" t="n">
        <v>0</v>
      </c>
      <c r="BO305" s="55"/>
      <c r="BP305" s="60" t="n">
        <v>0</v>
      </c>
      <c r="BQ305" s="60" t="n">
        <v>305</v>
      </c>
      <c r="BR305" s="55" t="str">
        <f aca="false">IF(U305&lt;&gt;"",UPPER(TRIM(U305)),IF(BU305=1,UPPER(VLOOKUP(T305,Parameter!$I$27:$K$29,2,0)),IF(P305="","LOSE",P305)))</f>
        <v>S61</v>
      </c>
      <c r="BS305" s="57" t="n">
        <f aca="false">IF(BR305="LOSE",1,IF(N(V305)&gt;0,V305,IF(BU305=1,MAX(1,N(VLOOKUP(T305,Parameter!$I$27:$K$29,3,0)),H305,N(N305)),IF(N(Q305)&gt;0,Q305,MAX(1,H305)))))</f>
        <v>15</v>
      </c>
      <c r="BT305" s="60" t="n">
        <f aca="false">IF(BR305="LOSE",1,0)</f>
        <v>0</v>
      </c>
      <c r="BU305" s="60" t="n">
        <f aca="false">IF(AND(U305="",OR(P305="",P305="LOSE"),T305&lt;&gt;"",N(S305)&lt;=0,ISNUMBER(MATCH(T305,Parameter!$I$27:$I$29,0))),1,0)</f>
        <v>1</v>
      </c>
      <c r="BV305" s="55" t="str">
        <f aca="false">IF(AND(Parameter!$B$19="Ja",E305&lt;&gt;"",ISNUMBER(MATCH(E305,Parameter!$I$35:$I$52,0))),VLOOKUP(E305,Parameter!$I$35:$J$52,2,0),IFERROR(VLOOKUP(D305,Parameter!$A$35:$C$64,2,0),"Nein"))</f>
        <v>2+3</v>
      </c>
      <c r="BW305" s="59" t="n">
        <f aca="false">IF(BT305=0,0,IF(N(S305)&gt;0,S305,IFERROR(VLOOKUP(D305,Parameter!$A$35:$C$64,3,0)+0,0)))</f>
        <v>0</v>
      </c>
      <c r="BX305" s="55" t="n">
        <f aca="false">IF(AA305&lt;&gt;"",AA305,Z305)</f>
        <v>2</v>
      </c>
      <c r="BY305" s="55" t="str">
        <f aca="false">IF(BX305=1,"L1",IF(OR(BX305=2,BX305=3),"L23",IF(BX305="Aussen","Aussen","-")))</f>
        <v>L23</v>
      </c>
      <c r="BZ305" s="66" t="n">
        <f aca="false">IF(N(AB305)&gt;0,AB305,0)</f>
        <v>0</v>
      </c>
      <c r="CA305" s="60" t="n">
        <f aca="false">IF(ISNUMBER(AE305),1,0)</f>
        <v>0</v>
      </c>
      <c r="CB305" s="57" t="n">
        <f aca="false">N(AE305)</f>
        <v>0</v>
      </c>
      <c r="CC305" s="57" t="n">
        <f aca="false">N(M305)+N(N305)</f>
        <v>1</v>
      </c>
      <c r="CD305" s="57" t="n">
        <f aca="false">ROUNDUP(H305/BS305,0)</f>
        <v>1</v>
      </c>
      <c r="CE305" s="57" t="n">
        <f aca="false">ROUNDUP(CB305/BS305,0)</f>
        <v>0</v>
      </c>
      <c r="CF305" s="60" t="n">
        <f aca="false">IF(BT305=1,0,IFERROR(VLOOKUP(BR305,'Gebinde-Kategorie'!$A$5:$M$45,5,0)+0,0))</f>
        <v>11</v>
      </c>
      <c r="CG305" s="60" t="n">
        <f aca="false">IFERROR(IF(OR(BX305=1,BX305=2,BX305=3),N(INDEX(Parameter!$I$5:$I$7,BX305)),0),0)</f>
        <v>0</v>
      </c>
      <c r="CH305" s="59" t="n">
        <f aca="false">IF(AND(Parameter!$B$21="Ja",ISNUMBER(W305),N(X305)&gt;0),IFERROR(N(INDEX(Parameter!$L$5:$L$7,W305))*INDEX(Parameter!$E$5:$E$7,W305)*X305/SUMIFS($X$7:$X$1843,$W$7:$W$1843,W305),0),0)</f>
        <v>0</v>
      </c>
    </row>
    <row r="306" customFormat="false" ht="15" hidden="false" customHeight="false" outlineLevel="0" collapsed="false">
      <c r="A306" s="55" t="s">
        <v>780</v>
      </c>
      <c r="B306" s="55" t="s">
        <v>468</v>
      </c>
      <c r="C306" s="55" t="s">
        <v>164</v>
      </c>
      <c r="D306" s="55" t="s">
        <v>184</v>
      </c>
      <c r="E306" s="55" t="s">
        <v>185</v>
      </c>
      <c r="F306" s="55" t="s">
        <v>218</v>
      </c>
      <c r="G306" s="56" t="n">
        <v>0.64</v>
      </c>
      <c r="H306" s="57" t="n">
        <f aca="false">MAX(0,IF(AND(Parameter!$B$21="Ja",ISNUMBER(Y306)),Y306,IF(Parameter!$B$20="Jahresanfang 2025 + Export",BL306+BK306,BK306)))</f>
        <v>2817</v>
      </c>
      <c r="I306" s="57" t="n">
        <f aca="false">H306*G306</f>
        <v>1802.88</v>
      </c>
      <c r="J306" s="57" t="n">
        <f aca="false">BN306*Parameter!$B$18</f>
        <v>2222</v>
      </c>
      <c r="K306" s="58" t="n">
        <v>2692</v>
      </c>
      <c r="L306" s="59" t="n">
        <v>0.825408618127786</v>
      </c>
      <c r="M306" s="57" t="n">
        <v>518</v>
      </c>
      <c r="N306" s="57" t="n">
        <v>2500</v>
      </c>
      <c r="O306" s="60" t="n">
        <v>84</v>
      </c>
      <c r="P306" s="55" t="s">
        <v>226</v>
      </c>
      <c r="Q306" s="57" t="n">
        <v>1500</v>
      </c>
      <c r="R306" s="60" t="n">
        <f aca="false">IF(BT306=1,0,IFERROR(VLOOKUP(BR306,'Gebinde-Kategorie'!$A$5:$M$45,13,0)+0,0))</f>
        <v>12</v>
      </c>
      <c r="S306" s="61"/>
      <c r="T306" s="62"/>
      <c r="U306" s="62"/>
      <c r="V306" s="62"/>
      <c r="W306" s="55"/>
      <c r="X306" s="57"/>
      <c r="Y306" s="57"/>
      <c r="Z306" s="55" t="n">
        <f aca="false">IF(A306="","",IF(AND(Parameter!$B$21="Ja",ISNUMBER(W306)),W306,IF(BV306="2+3",IF(ISNUMBER(SEARCH("grosser Artikel",BO306)),2,IFERROR(VLOOKUP(BR306,Parameter!$F$35:$G$64,2,0),2)),IF(OR(BV306="Nein",BV306=""),"-",BV306))))</f>
        <v>2</v>
      </c>
      <c r="AA306" s="62"/>
      <c r="AB306" s="63"/>
      <c r="AC306" s="57" t="n">
        <f aca="false">AR306</f>
        <v>4500</v>
      </c>
      <c r="AD306" s="57" t="n">
        <f aca="false">MAX(AR306,H306)</f>
        <v>4500</v>
      </c>
      <c r="AE306" s="64"/>
      <c r="AF306" s="57" t="n">
        <f aca="false">IF(LEFT(Cockpit!$C$5,1)="A",H306,IF(CA306=1,CB306,IF(LEFT(Cockpit!$C$5,1)="B",AJ306,MAX(AJ306,H306))))</f>
        <v>2817</v>
      </c>
      <c r="AG306" s="57" t="n">
        <f aca="false">IF(BT306=1,0,ROUNDUP(AF306/BS306,0))</f>
        <v>2</v>
      </c>
      <c r="AH306" s="59" t="n">
        <f aca="false">IF(CH306&gt;0,CH306*MAX(1,AF306/X306),IF(BT306=1,IF(AF306&lt;=0,0,BW306*MAX(1,IF(H306&gt;0,AF306/H306,1))),IF(R306&gt;0,AG306/R306,0))/MAX(0.1,N(Parameter!$M$21)))</f>
        <v>0.166666666666667</v>
      </c>
      <c r="AI306" s="57" t="n">
        <f aca="false">AF306*G306</f>
        <v>1802.88</v>
      </c>
      <c r="AJ306" s="57" t="n">
        <f aca="false">ROUNDUP(MAX(J306/IF(BZ306&gt;0,BZ306,MAX(0.1,N(Cockpit!$C$6))),CC306)/BS306,0)*BS306</f>
        <v>4500</v>
      </c>
      <c r="AK306" s="58" t="n">
        <f aca="false">IF(AH306&gt;0,J306/AH306,-1)</f>
        <v>13332</v>
      </c>
      <c r="AL306" s="58" t="n">
        <f aca="false">IF(AND(OR(BY306="L1",BY306="L23"),AH306&gt;0),SUMIFS($AH$7:$AH$1843,$BY$7:$BY$1843,BY306,$AK$7:$AK$1843,"&gt;"&amp;AK306)+SUMIFS($AH$7:$AH$1843,$BY$7:$BY$1843,BY306,$AK$7:$AK$1843,AK306,$BQ$7:$BQ$1843,"&lt;="&amp;BQ306),"")</f>
        <v>4.68685179554745</v>
      </c>
      <c r="AM306" s="65" t="n">
        <f aca="false">IF(AL306="",0,MAX(0,MIN(1,(IF(BY306="L1",Parameter!$E$5,Parameter!$E$6+Parameter!$E$7)-(AL306-AH306))/AH306)))</f>
        <v>1</v>
      </c>
      <c r="AN306" s="57" t="n">
        <f aca="false">IF(LEFT(Cockpit!$I$5,1)="A",H306,IF(CA306=1,CB306,IF(LEFT(Cockpit!$I$5,1)="B",AR306,MAX(AR306,H306))))</f>
        <v>4500</v>
      </c>
      <c r="AO306" s="57" t="n">
        <f aca="false">IF(BT306=1,0,ROUNDUP(AN306/BS306,0))</f>
        <v>3</v>
      </c>
      <c r="AP306" s="59" t="n">
        <f aca="false">IF(CH306&gt;0,CH306*MAX(1,AN306/X306),IF(BT306=1,IF(AN306&lt;=0,0,BW306*MAX(1,IF(H306&gt;0,AN306/H306,1))),IF(R306&gt;0,AO306/R306,0))/MAX(0.1,N(Parameter!$M$21)))</f>
        <v>0.25</v>
      </c>
      <c r="AQ306" s="57" t="n">
        <f aca="false">AN306*G306</f>
        <v>2880</v>
      </c>
      <c r="AR306" s="57" t="n">
        <f aca="false">ROUNDUP(MAX(J306/IF(BZ306&gt;0,BZ306,MAX(0.1,N(Cockpit!$I$6))),CC306)/BS306,0)*BS306</f>
        <v>4500</v>
      </c>
      <c r="AS306" s="58" t="n">
        <f aca="false">IF(AP306&gt;0,J306/AP306,-1)</f>
        <v>8888</v>
      </c>
      <c r="AT306" s="58" t="n">
        <f aca="false">IF(AND(OR(BY306="L1",BY306="L23"),AP306&gt;0),SUMIFS($AP$7:$AP$1843,$BY$7:$BY$1843,BY306,$AS$7:$AS$1843,"&gt;"&amp;AS306)+SUMIFS($AP$7:$AP$1843,$BY$7:$BY$1843,BY306,$AS$7:$AS$1843,AS306,$BQ$7:$BQ$1843,"&lt;="&amp;BQ306),"")</f>
        <v>8.74924833620486</v>
      </c>
      <c r="AU306" s="65" t="n">
        <f aca="false">IF(AT306="",0,MAX(0,MIN(1,(IF(BY306="L1",Parameter!$E$5,Parameter!$E$6+Parameter!$E$7)-(AT306-AP306))/AP306)))</f>
        <v>1</v>
      </c>
      <c r="AV306" s="57" t="n">
        <f aca="false">IF(LEFT(Cockpit!$O$5,1)="A",H306,IF(CA306=1,CB306,IF(LEFT(Cockpit!$O$5,1)="B",AZ306,MAX(AZ306,H306))))</f>
        <v>4500</v>
      </c>
      <c r="AW306" s="57" t="n">
        <f aca="false">IF(BT306=1,0,ROUNDUP(AV306/BS306,0))</f>
        <v>3</v>
      </c>
      <c r="AX306" s="59" t="n">
        <f aca="false">IF(CH306&gt;0,CH306*MAX(1,AV306/X306),IF(BT306=1,IF(AV306&lt;=0,0,BW306*MAX(1,IF(H306&gt;0,AV306/H306,1))),IF(R306&gt;0,AW306/R306,0))/MAX(0.1,N(Parameter!$M$21)))</f>
        <v>0.25</v>
      </c>
      <c r="AY306" s="57" t="n">
        <f aca="false">AV306*G306</f>
        <v>2880</v>
      </c>
      <c r="AZ306" s="57" t="n">
        <f aca="false">ROUNDUP(MAX(J306/IF(BZ306&gt;0,BZ306,MAX(0.1,N(Cockpit!$O$6))),CC306)/BS306,0)*BS306</f>
        <v>4500</v>
      </c>
      <c r="BA306" s="58" t="n">
        <f aca="false">IF(AX306&gt;0,J306/AX306,-1)</f>
        <v>8888</v>
      </c>
      <c r="BB306" s="58" t="n">
        <f aca="false">IF(AND(OR(BY306="L1",BY306="L23"),AX306&gt;0),SUMIFS($AX$7:$AX$1843,$BY$7:$BY$1843,BY306,$BA$7:$BA$1843,"&gt;"&amp;BA306)+SUMIFS($AX$7:$AX$1843,$BY$7:$BY$1843,BY306,$BA$7:$BA$1843,BA306,$BQ$7:$BQ$1843,"&lt;="&amp;BQ306),"")</f>
        <v>8.55985439681092</v>
      </c>
      <c r="BC306" s="65" t="n">
        <f aca="false">IF(BB306="",0,MAX(0,MIN(1,(IF(BY306="L1",Parameter!$E$5,Parameter!$E$6+Parameter!$E$7)-(BB306-AX306))/AX306)))</f>
        <v>1</v>
      </c>
      <c r="BD306" s="55" t="str">
        <f aca="false">IF(AH306&lt;=0,"",IF(BY306="Aussen","Aussenlager",IF(BY306="-","Nicht im Lift",IF(AM306&gt;=1,"Lift",IF(AM306&lt;=0,"Aussenlager","teilweise")))))</f>
        <v>Lift</v>
      </c>
      <c r="BE306" s="55" t="str">
        <f aca="false">IF(AP306&lt;=0,"",IF(BY306="Aussen","Aussenlager",IF(BY306="-","Nicht im Lift",IF(AU306&gt;=1,"Lift",IF(AU306&lt;=0,"Aussenlager","teilweise")))))</f>
        <v>Lift</v>
      </c>
      <c r="BF306" s="55" t="str">
        <f aca="false">IF(AX306&lt;=0,"",IF(BY306="Aussen","Aussenlager",IF(BY306="-","Nicht im Lift",IF(BC306&gt;=1,"Lift",IF(BC306&lt;=0,"Aussenlager","teilweise")))))</f>
        <v>Lift</v>
      </c>
      <c r="BG306" s="55" t="str">
        <f aca="false">IF(A306="","",IF(BP306=1,"Neu; ","")&amp;IF(AND(BP306=0,BK306&lt;0),"negativer Bestand (Export "&amp;BK306&amp;"); ","")&amp;IF(J306&lt;=0,"Kein Verbrauch; ","")&amp;IF(CH306&gt;0,"Lift "&amp;W306&amp;" lt. Liftbericht (Fach "&amp;X306&amp;" Stk); ",IF(BU306=1,"Gebinde geschätzt ("&amp;T306&amp;"); ",IF(BT306=1,"Lose – Tablare geschätzt; ","")))&amp;IF(H306&gt;AR306,"Überbestand "&amp;ROUND(H306-AR306,0)&amp;" Stk / CHF "&amp;ROUND((H306-AR306)*G306,0)&amp;"; ","")&amp;IF(AND(CA306=1,CB306&lt;CC306),"MAX &lt; MB+LG; ","")&amp;IF(AND(CG306&gt;0,CF306*10&gt;CG306),"zu hoch für Tablar; ","")&amp;IF(AND(BP306=0,OR(CA306=1,AA306&lt;&gt;"",U306&lt;&gt;"",V306&lt;&gt;"",AB306&lt;&gt;"")),"manuell übersteuert; ","")&amp;IF(AND(BT306=0,R306=0),"Gebinde unbekannt / Stellmass fehlt; ","")&amp;IF(AND(BT306=0,N(V306)&lt;=0,N(Q306)&lt;=0),"Menge pro Gebinde fehlt (Ist = 1 Gebinde); ","")&amp;BO306)</f>
        <v>negativer Bestand (Export -928); </v>
      </c>
      <c r="BH306" s="55"/>
      <c r="BI306" s="55"/>
      <c r="BJ306" s="62"/>
      <c r="BK306" s="57" t="n">
        <v>-928</v>
      </c>
      <c r="BL306" s="57" t="n">
        <v>3745</v>
      </c>
      <c r="BM306" s="56" t="n">
        <v>264.439999999999</v>
      </c>
      <c r="BN306" s="57" t="n">
        <v>2222</v>
      </c>
      <c r="BO306" s="55"/>
      <c r="BP306" s="60" t="n">
        <v>0</v>
      </c>
      <c r="BQ306" s="60" t="n">
        <v>306</v>
      </c>
      <c r="BR306" s="55" t="str">
        <f aca="false">IF(U306&lt;&gt;"",UPPER(TRIM(U306)),IF(BU306=1,UPPER(VLOOKUP(T306,Parameter!$I$27:$K$29,2,0)),IF(P306="","LOSE",P306)))</f>
        <v>S63</v>
      </c>
      <c r="BS306" s="57" t="n">
        <f aca="false">IF(BR306="LOSE",1,IF(N(V306)&gt;0,V306,IF(BU306=1,MAX(1,N(VLOOKUP(T306,Parameter!$I$27:$K$29,3,0)),H306,N(N306)),IF(N(Q306)&gt;0,Q306,MAX(1,H306)))))</f>
        <v>1500</v>
      </c>
      <c r="BT306" s="60" t="n">
        <f aca="false">IF(BR306="LOSE",1,0)</f>
        <v>0</v>
      </c>
      <c r="BU306" s="60" t="n">
        <f aca="false">IF(AND(U306="",OR(P306="",P306="LOSE"),T306&lt;&gt;"",N(S306)&lt;=0,ISNUMBER(MATCH(T306,Parameter!$I$27:$I$29,0))),1,0)</f>
        <v>0</v>
      </c>
      <c r="BV306" s="55" t="str">
        <f aca="false">IF(AND(Parameter!$B$19="Ja",E306&lt;&gt;"",ISNUMBER(MATCH(E306,Parameter!$I$35:$I$52,0))),VLOOKUP(E306,Parameter!$I$35:$J$52,2,0),IFERROR(VLOOKUP(D306,Parameter!$A$35:$C$64,2,0),"Nein"))</f>
        <v>2+3</v>
      </c>
      <c r="BW306" s="59" t="n">
        <f aca="false">IF(BT306=0,0,IF(N(S306)&gt;0,S306,IFERROR(VLOOKUP(D306,Parameter!$A$35:$C$64,3,0)+0,0)))</f>
        <v>0</v>
      </c>
      <c r="BX306" s="55" t="n">
        <f aca="false">IF(AA306&lt;&gt;"",AA306,Z306)</f>
        <v>2</v>
      </c>
      <c r="BY306" s="55" t="str">
        <f aca="false">IF(BX306=1,"L1",IF(OR(BX306=2,BX306=3),"L23",IF(BX306="Aussen","Aussen","-")))</f>
        <v>L23</v>
      </c>
      <c r="BZ306" s="66" t="n">
        <f aca="false">IF(N(AB306)&gt;0,AB306,0)</f>
        <v>0</v>
      </c>
      <c r="CA306" s="60" t="n">
        <f aca="false">IF(ISNUMBER(AE306),1,0)</f>
        <v>0</v>
      </c>
      <c r="CB306" s="57" t="n">
        <f aca="false">N(AE306)</f>
        <v>0</v>
      </c>
      <c r="CC306" s="57" t="n">
        <f aca="false">N(M306)+N(N306)</f>
        <v>3018</v>
      </c>
      <c r="CD306" s="57" t="n">
        <f aca="false">ROUNDUP(H306/BS306,0)</f>
        <v>2</v>
      </c>
      <c r="CE306" s="57" t="n">
        <f aca="false">ROUNDUP(CB306/BS306,0)</f>
        <v>0</v>
      </c>
      <c r="CF306" s="60" t="n">
        <f aca="false">IF(BT306=1,0,IFERROR(VLOOKUP(BR306,'Gebinde-Kategorie'!$A$5:$M$45,5,0)+0,0))</f>
        <v>31</v>
      </c>
      <c r="CG306" s="60" t="n">
        <f aca="false">IFERROR(IF(OR(BX306=1,BX306=2,BX306=3),N(INDEX(Parameter!$I$5:$I$7,BX306)),0),0)</f>
        <v>0</v>
      </c>
      <c r="CH306" s="59" t="n">
        <f aca="false">IF(AND(Parameter!$B$21="Ja",ISNUMBER(W306),N(X306)&gt;0),IFERROR(N(INDEX(Parameter!$L$5:$L$7,W306))*INDEX(Parameter!$E$5:$E$7,W306)*X306/SUMIFS($X$7:$X$1843,$W$7:$W$1843,W306),0),0)</f>
        <v>0</v>
      </c>
    </row>
    <row r="307" customFormat="false" ht="15" hidden="false" customHeight="false" outlineLevel="0" collapsed="false">
      <c r="A307" s="55" t="s">
        <v>781</v>
      </c>
      <c r="B307" s="55" t="s">
        <v>782</v>
      </c>
      <c r="C307" s="55" t="s">
        <v>164</v>
      </c>
      <c r="D307" s="55" t="s">
        <v>173</v>
      </c>
      <c r="E307" s="55" t="s">
        <v>185</v>
      </c>
      <c r="F307" s="55" t="s">
        <v>218</v>
      </c>
      <c r="G307" s="56" t="n">
        <v>21.55</v>
      </c>
      <c r="H307" s="57" t="n">
        <f aca="false">MAX(0,IF(AND(Parameter!$B$21="Ja",ISNUMBER(Y307)),Y307,IF(Parameter!$B$20="Jahresanfang 2025 + Export",BL307+BK307,BK307)))</f>
        <v>20</v>
      </c>
      <c r="I307" s="57" t="n">
        <f aca="false">H307*G307</f>
        <v>431</v>
      </c>
      <c r="J307" s="57" t="n">
        <f aca="false">BN307*Parameter!$B$18</f>
        <v>12</v>
      </c>
      <c r="K307" s="58" t="n">
        <v>12</v>
      </c>
      <c r="L307" s="59" t="n">
        <v>1</v>
      </c>
      <c r="M307" s="57" t="n">
        <v>0</v>
      </c>
      <c r="N307" s="57" t="n">
        <v>10</v>
      </c>
      <c r="O307" s="60" t="n">
        <v>21</v>
      </c>
      <c r="P307" s="55" t="s">
        <v>293</v>
      </c>
      <c r="Q307" s="57" t="n">
        <v>8</v>
      </c>
      <c r="R307" s="60" t="n">
        <f aca="false">IF(BT307=1,0,IFERROR(VLOOKUP(BR307,'Gebinde-Kategorie'!$A$5:$M$45,13,0)+0,0))</f>
        <v>12</v>
      </c>
      <c r="S307" s="61"/>
      <c r="T307" s="62"/>
      <c r="U307" s="62"/>
      <c r="V307" s="62"/>
      <c r="W307" s="55"/>
      <c r="X307" s="57"/>
      <c r="Y307" s="57"/>
      <c r="Z307" s="55" t="n">
        <f aca="false">IF(A307="","",IF(AND(Parameter!$B$21="Ja",ISNUMBER(W307)),W307,IF(BV307="2+3",IF(ISNUMBER(SEARCH("grosser Artikel",BO307)),2,IFERROR(VLOOKUP(BR307,Parameter!$F$35:$G$64,2,0),2)),IF(OR(BV307="Nein",BV307=""),"-",BV307))))</f>
        <v>2</v>
      </c>
      <c r="AA307" s="62"/>
      <c r="AB307" s="63"/>
      <c r="AC307" s="57" t="n">
        <f aca="false">AR307</f>
        <v>16</v>
      </c>
      <c r="AD307" s="57" t="n">
        <f aca="false">MAX(AR307,H307)</f>
        <v>20</v>
      </c>
      <c r="AE307" s="64"/>
      <c r="AF307" s="57" t="n">
        <f aca="false">IF(LEFT(Cockpit!$C$5,1)="A",H307,IF(CA307=1,CB307,IF(LEFT(Cockpit!$C$5,1)="B",AJ307,MAX(AJ307,H307))))</f>
        <v>20</v>
      </c>
      <c r="AG307" s="57" t="n">
        <f aca="false">IF(BT307=1,0,ROUNDUP(AF307/BS307,0))</f>
        <v>3</v>
      </c>
      <c r="AH307" s="59" t="n">
        <f aca="false">IF(CH307&gt;0,CH307*MAX(1,AF307/X307),IF(BT307=1,IF(AF307&lt;=0,0,BW307*MAX(1,IF(H307&gt;0,AF307/H307,1))),IF(R307&gt;0,AG307/R307,0))/MAX(0.1,N(Parameter!$M$21)))</f>
        <v>0.25</v>
      </c>
      <c r="AI307" s="57" t="n">
        <f aca="false">AF307*G307</f>
        <v>431</v>
      </c>
      <c r="AJ307" s="57" t="n">
        <f aca="false">ROUNDUP(MAX(J307/IF(BZ307&gt;0,BZ307,MAX(0.1,N(Cockpit!$C$6))),CC307)/BS307,0)*BS307</f>
        <v>16</v>
      </c>
      <c r="AK307" s="58" t="n">
        <f aca="false">IF(AH307&gt;0,J307/AH307,-1)</f>
        <v>48</v>
      </c>
      <c r="AL307" s="58" t="n">
        <f aca="false">IF(AND(OR(BY307="L1",BY307="L23"),AH307&gt;0),SUMIFS($AH$7:$AH$1843,$BY$7:$BY$1843,BY307,$AK$7:$AK$1843,"&gt;"&amp;AK307)+SUMIFS($AH$7:$AH$1843,$BY$7:$BY$1843,BY307,$AK$7:$AK$1843,AK307,$BQ$7:$BQ$1843,"&lt;="&amp;BQ307),"")</f>
        <v>45.2350342893821</v>
      </c>
      <c r="AM307" s="65" t="n">
        <f aca="false">IF(AL307="",0,MAX(0,MIN(1,(IF(BY307="L1",Parameter!$E$5,Parameter!$E$6+Parameter!$E$7)-(AL307-AH307))/AH307)))</f>
        <v>1</v>
      </c>
      <c r="AN307" s="57" t="n">
        <f aca="false">IF(LEFT(Cockpit!$I$5,1)="A",H307,IF(CA307=1,CB307,IF(LEFT(Cockpit!$I$5,1)="B",AR307,MAX(AR307,H307))))</f>
        <v>20</v>
      </c>
      <c r="AO307" s="57" t="n">
        <f aca="false">IF(BT307=1,0,ROUNDUP(AN307/BS307,0))</f>
        <v>3</v>
      </c>
      <c r="AP307" s="59" t="n">
        <f aca="false">IF(CH307&gt;0,CH307*MAX(1,AN307/X307),IF(BT307=1,IF(AN307&lt;=0,0,BW307*MAX(1,IF(H307&gt;0,AN307/H307,1))),IF(R307&gt;0,AO307/R307,0))/MAX(0.1,N(Parameter!$M$21)))</f>
        <v>0.25</v>
      </c>
      <c r="AQ307" s="57" t="n">
        <f aca="false">AN307*G307</f>
        <v>431</v>
      </c>
      <c r="AR307" s="57" t="n">
        <f aca="false">ROUNDUP(MAX(J307/IF(BZ307&gt;0,BZ307,MAX(0.1,N(Cockpit!$I$6))),CC307)/BS307,0)*BS307</f>
        <v>16</v>
      </c>
      <c r="AS307" s="58" t="n">
        <f aca="false">IF(AP307&gt;0,J307/AP307,-1)</f>
        <v>48</v>
      </c>
      <c r="AT307" s="58" t="n">
        <f aca="false">IF(AND(OR(BY307="L1",BY307="L23"),AP307&gt;0),SUMIFS($AP$7:$AP$1843,$BY$7:$BY$1843,BY307,$AS$7:$AS$1843,"&gt;"&amp;AS307)+SUMIFS($AP$7:$AP$1843,$BY$7:$BY$1843,BY307,$AS$7:$AS$1843,AS307,$BQ$7:$BQ$1843,"&lt;="&amp;BQ307),"")</f>
        <v>68.1783892436067</v>
      </c>
      <c r="AU307" s="65" t="n">
        <f aca="false">IF(AT307="",0,MAX(0,MIN(1,(IF(BY307="L1",Parameter!$E$5,Parameter!$E$6+Parameter!$E$7)-(AT307-AP307))/AP307)))</f>
        <v>1</v>
      </c>
      <c r="AV307" s="57" t="n">
        <f aca="false">IF(LEFT(Cockpit!$O$5,1)="A",H307,IF(CA307=1,CB307,IF(LEFT(Cockpit!$O$5,1)="B",AZ307,MAX(AZ307,H307))))</f>
        <v>20</v>
      </c>
      <c r="AW307" s="57" t="n">
        <f aca="false">IF(BT307=1,0,ROUNDUP(AV307/BS307,0))</f>
        <v>3</v>
      </c>
      <c r="AX307" s="59" t="n">
        <f aca="false">IF(CH307&gt;0,CH307*MAX(1,AV307/X307),IF(BT307=1,IF(AV307&lt;=0,0,BW307*MAX(1,IF(H307&gt;0,AV307/H307,1))),IF(R307&gt;0,AW307/R307,0))/MAX(0.1,N(Parameter!$M$21)))</f>
        <v>0.25</v>
      </c>
      <c r="AY307" s="57" t="n">
        <f aca="false">AV307*G307</f>
        <v>431</v>
      </c>
      <c r="AZ307" s="57" t="n">
        <f aca="false">ROUNDUP(MAX(J307/IF(BZ307&gt;0,BZ307,MAX(0.1,N(Cockpit!$O$6))),CC307)/BS307,0)*BS307</f>
        <v>16</v>
      </c>
      <c r="BA307" s="58" t="n">
        <f aca="false">IF(AX307&gt;0,J307/AX307,-1)</f>
        <v>48</v>
      </c>
      <c r="BB307" s="58" t="n">
        <f aca="false">IF(AND(OR(BY307="L1",BY307="L23"),AX307&gt;0),SUMIFS($AX$7:$AX$1843,$BY$7:$BY$1843,BY307,$BA$7:$BA$1843,"&gt;"&amp;BA307)+SUMIFS($AX$7:$AX$1843,$BY$7:$BY$1843,BY307,$BA$7:$BA$1843,BA307,$BQ$7:$BQ$1843,"&lt;="&amp;BQ307),"")</f>
        <v>62.6748927401101</v>
      </c>
      <c r="BC307" s="65" t="n">
        <f aca="false">IF(BB307="",0,MAX(0,MIN(1,(IF(BY307="L1",Parameter!$E$5,Parameter!$E$6+Parameter!$E$7)-(BB307-AX307))/AX307)))</f>
        <v>1</v>
      </c>
      <c r="BD307" s="55" t="str">
        <f aca="false">IF(AH307&lt;=0,"",IF(BY307="Aussen","Aussenlager",IF(BY307="-","Nicht im Lift",IF(AM307&gt;=1,"Lift",IF(AM307&lt;=0,"Aussenlager","teilweise")))))</f>
        <v>Lift</v>
      </c>
      <c r="BE307" s="55" t="str">
        <f aca="false">IF(AP307&lt;=0,"",IF(BY307="Aussen","Aussenlager",IF(BY307="-","Nicht im Lift",IF(AU307&gt;=1,"Lift",IF(AU307&lt;=0,"Aussenlager","teilweise")))))</f>
        <v>Lift</v>
      </c>
      <c r="BF307" s="55" t="str">
        <f aca="false">IF(AX307&lt;=0,"",IF(BY307="Aussen","Aussenlager",IF(BY307="-","Nicht im Lift",IF(BC307&gt;=1,"Lift",IF(BC307&lt;=0,"Aussenlager","teilweise")))))</f>
        <v>Lift</v>
      </c>
      <c r="BG307" s="55" t="str">
        <f aca="false">IF(A307="","",IF(BP307=1,"Neu; ","")&amp;IF(AND(BP307=0,BK307&lt;0),"negativer Bestand (Export "&amp;BK307&amp;"); ","")&amp;IF(J307&lt;=0,"Kein Verbrauch; ","")&amp;IF(CH307&gt;0,"Lift "&amp;W307&amp;" lt. Liftbericht (Fach "&amp;X307&amp;" Stk); ",IF(BU307=1,"Gebinde geschätzt ("&amp;T307&amp;"); ",IF(BT307=1,"Lose – Tablare geschätzt; ","")))&amp;IF(H307&gt;AR307,"Überbestand "&amp;ROUND(H307-AR307,0)&amp;" Stk / CHF "&amp;ROUND((H307-AR307)*G307,0)&amp;"; ","")&amp;IF(AND(CA307=1,CB307&lt;CC307),"MAX &lt; MB+LG; ","")&amp;IF(AND(CG307&gt;0,CF307*10&gt;CG307),"zu hoch für Tablar; ","")&amp;IF(AND(BP307=0,OR(CA307=1,AA307&lt;&gt;"",U307&lt;&gt;"",V307&lt;&gt;"",AB307&lt;&gt;"")),"manuell übersteuert; ","")&amp;IF(AND(BT307=0,R307=0),"Gebinde unbekannt / Stellmass fehlt; ","")&amp;IF(AND(BT307=0,N(V307)&lt;=0,N(Q307)&lt;=0),"Menge pro Gebinde fehlt (Ist = 1 Gebinde); ","")&amp;BO307)</f>
        <v>Überbestand 4 Stk / CHF 86; grosser Artikel &amp; nicht im KTL</v>
      </c>
      <c r="BH307" s="55"/>
      <c r="BI307" s="55"/>
      <c r="BJ307" s="62"/>
      <c r="BK307" s="57" t="n">
        <v>12</v>
      </c>
      <c r="BL307" s="57" t="n">
        <v>8</v>
      </c>
      <c r="BM307" s="56" t="n">
        <v>262.04</v>
      </c>
      <c r="BN307" s="57" t="n">
        <v>12</v>
      </c>
      <c r="BO307" s="55" t="s">
        <v>261</v>
      </c>
      <c r="BP307" s="60" t="n">
        <v>0</v>
      </c>
      <c r="BQ307" s="60" t="n">
        <v>307</v>
      </c>
      <c r="BR307" s="55" t="str">
        <f aca="false">IF(U307&lt;&gt;"",UPPER(TRIM(U307)),IF(BU307=1,UPPER(VLOOKUP(T307,Parameter!$I$27:$K$29,2,0)),IF(P307="","LOSE",P307)))</f>
        <v>S62</v>
      </c>
      <c r="BS307" s="57" t="n">
        <f aca="false">IF(BR307="LOSE",1,IF(N(V307)&gt;0,V307,IF(BU307=1,MAX(1,N(VLOOKUP(T307,Parameter!$I$27:$K$29,3,0)),H307,N(N307)),IF(N(Q307)&gt;0,Q307,MAX(1,H307)))))</f>
        <v>8</v>
      </c>
      <c r="BT307" s="60" t="n">
        <f aca="false">IF(BR307="LOSE",1,0)</f>
        <v>0</v>
      </c>
      <c r="BU307" s="60" t="n">
        <f aca="false">IF(AND(U307="",OR(P307="",P307="LOSE"),T307&lt;&gt;"",N(S307)&lt;=0,ISNUMBER(MATCH(T307,Parameter!$I$27:$I$29,0))),1,0)</f>
        <v>0</v>
      </c>
      <c r="BV307" s="55" t="str">
        <f aca="false">IF(AND(Parameter!$B$19="Ja",E307&lt;&gt;"",ISNUMBER(MATCH(E307,Parameter!$I$35:$I$52,0))),VLOOKUP(E307,Parameter!$I$35:$J$52,2,0),IFERROR(VLOOKUP(D307,Parameter!$A$35:$C$64,2,0),"Nein"))</f>
        <v>2+3</v>
      </c>
      <c r="BW307" s="59" t="n">
        <f aca="false">IF(BT307=0,0,IF(N(S307)&gt;0,S307,IFERROR(VLOOKUP(D307,Parameter!$A$35:$C$64,3,0)+0,0)))</f>
        <v>0</v>
      </c>
      <c r="BX307" s="55" t="n">
        <f aca="false">IF(AA307&lt;&gt;"",AA307,Z307)</f>
        <v>2</v>
      </c>
      <c r="BY307" s="55" t="str">
        <f aca="false">IF(BX307=1,"L1",IF(OR(BX307=2,BX307=3),"L23",IF(BX307="Aussen","Aussen","-")))</f>
        <v>L23</v>
      </c>
      <c r="BZ307" s="66" t="n">
        <f aca="false">IF(N(AB307)&gt;0,AB307,0)</f>
        <v>0</v>
      </c>
      <c r="CA307" s="60" t="n">
        <f aca="false">IF(ISNUMBER(AE307),1,0)</f>
        <v>0</v>
      </c>
      <c r="CB307" s="57" t="n">
        <f aca="false">N(AE307)</f>
        <v>0</v>
      </c>
      <c r="CC307" s="57" t="n">
        <f aca="false">N(M307)+N(N307)</f>
        <v>10</v>
      </c>
      <c r="CD307" s="57" t="n">
        <f aca="false">ROUNDUP(H307/BS307,0)</f>
        <v>3</v>
      </c>
      <c r="CE307" s="57" t="n">
        <f aca="false">ROUNDUP(CB307/BS307,0)</f>
        <v>0</v>
      </c>
      <c r="CF307" s="60" t="n">
        <f aca="false">IF(BT307=1,0,IFERROR(VLOOKUP(BR307,'Gebinde-Kategorie'!$A$5:$M$45,5,0)+0,0))</f>
        <v>21</v>
      </c>
      <c r="CG307" s="60" t="n">
        <f aca="false">IFERROR(IF(OR(BX307=1,BX307=2,BX307=3),N(INDEX(Parameter!$I$5:$I$7,BX307)),0),0)</f>
        <v>0</v>
      </c>
      <c r="CH307" s="59" t="n">
        <f aca="false">IF(AND(Parameter!$B$21="Ja",ISNUMBER(W307),N(X307)&gt;0),IFERROR(N(INDEX(Parameter!$L$5:$L$7,W307))*INDEX(Parameter!$E$5:$E$7,W307)*X307/SUMIFS($X$7:$X$1843,$W$7:$W$1843,W307),0),0)</f>
        <v>0</v>
      </c>
    </row>
    <row r="308" customFormat="false" ht="15" hidden="false" customHeight="false" outlineLevel="0" collapsed="false">
      <c r="A308" s="55" t="s">
        <v>783</v>
      </c>
      <c r="B308" s="55" t="s">
        <v>784</v>
      </c>
      <c r="C308" s="55" t="s">
        <v>164</v>
      </c>
      <c r="D308" s="55" t="s">
        <v>173</v>
      </c>
      <c r="E308" s="55" t="s">
        <v>166</v>
      </c>
      <c r="F308" s="55" t="s">
        <v>218</v>
      </c>
      <c r="G308" s="56" t="n">
        <v>452.4</v>
      </c>
      <c r="H308" s="57" t="n">
        <f aca="false">MAX(0,IF(AND(Parameter!$B$21="Ja",ISNUMBER(Y308)),Y308,IF(Parameter!$B$20="Jahresanfang 2025 + Export",BL308+BK308,BK308)))</f>
        <v>18</v>
      </c>
      <c r="I308" s="57" t="n">
        <f aca="false">H308*G308</f>
        <v>8143.2</v>
      </c>
      <c r="J308" s="57" t="n">
        <f aca="false">BN308*Parameter!$B$18</f>
        <v>118</v>
      </c>
      <c r="K308" s="58" t="n">
        <v>17</v>
      </c>
      <c r="L308" s="59" t="n">
        <v>6.94117647058824</v>
      </c>
      <c r="M308" s="57" t="n">
        <v>10</v>
      </c>
      <c r="N308" s="57" t="n">
        <v>25</v>
      </c>
      <c r="O308" s="60" t="n">
        <v>84</v>
      </c>
      <c r="P308" s="55" t="s">
        <v>174</v>
      </c>
      <c r="Q308" s="57" t="n">
        <v>20</v>
      </c>
      <c r="R308" s="60" t="n">
        <f aca="false">IF(BT308=1,0,IFERROR(VLOOKUP(BR308,'Gebinde-Kategorie'!$A$5:$M$45,13,0)+0,0))</f>
        <v>6</v>
      </c>
      <c r="S308" s="61"/>
      <c r="T308" s="62"/>
      <c r="U308" s="62"/>
      <c r="V308" s="62"/>
      <c r="W308" s="55"/>
      <c r="X308" s="57"/>
      <c r="Y308" s="57"/>
      <c r="Z308" s="55" t="n">
        <f aca="false">IF(A308="","",IF(AND(Parameter!$B$21="Ja",ISNUMBER(W308)),W308,IF(BV308="2+3",IF(ISNUMBER(SEARCH("grosser Artikel",BO308)),2,IFERROR(VLOOKUP(BR308,Parameter!$F$35:$G$64,2,0),2)),IF(OR(BV308="Nein",BV308=""),"-",BV308))))</f>
        <v>1</v>
      </c>
      <c r="AA308" s="62"/>
      <c r="AB308" s="63"/>
      <c r="AC308" s="57" t="n">
        <f aca="false">AR308</f>
        <v>60</v>
      </c>
      <c r="AD308" s="57" t="n">
        <f aca="false">MAX(AR308,H308)</f>
        <v>60</v>
      </c>
      <c r="AE308" s="64"/>
      <c r="AF308" s="57" t="n">
        <f aca="false">IF(LEFT(Cockpit!$C$5,1)="A",H308,IF(CA308=1,CB308,IF(LEFT(Cockpit!$C$5,1)="B",AJ308,MAX(AJ308,H308))))</f>
        <v>18</v>
      </c>
      <c r="AG308" s="57" t="n">
        <f aca="false">IF(BT308=1,0,ROUNDUP(AF308/BS308,0))</f>
        <v>1</v>
      </c>
      <c r="AH308" s="59" t="n">
        <f aca="false">IF(CH308&gt;0,CH308*MAX(1,AF308/X308),IF(BT308=1,IF(AF308&lt;=0,0,BW308*MAX(1,IF(H308&gt;0,AF308/H308,1))),IF(R308&gt;0,AG308/R308,0))/MAX(0.1,N(Parameter!$M$21)))</f>
        <v>0.166666666666667</v>
      </c>
      <c r="AI308" s="57" t="n">
        <f aca="false">AF308*G308</f>
        <v>8143.2</v>
      </c>
      <c r="AJ308" s="57" t="n">
        <f aca="false">ROUNDUP(MAX(J308/IF(BZ308&gt;0,BZ308,MAX(0.1,N(Cockpit!$C$6))),CC308)/BS308,0)*BS308</f>
        <v>60</v>
      </c>
      <c r="AK308" s="58" t="n">
        <f aca="false">IF(AH308&gt;0,J308/AH308,-1)</f>
        <v>708</v>
      </c>
      <c r="AL308" s="58" t="n">
        <f aca="false">IF(AND(OR(BY308="L1",BY308="L23"),AH308&gt;0),SUMIFS($AH$7:$AH$1843,$BY$7:$BY$1843,BY308,$AK$7:$AK$1843,"&gt;"&amp;AK308)+SUMIFS($AH$7:$AH$1843,$BY$7:$BY$1843,BY308,$AK$7:$AK$1843,AK308,$BQ$7:$BQ$1843,"&lt;="&amp;BQ308),"")</f>
        <v>0.834169453734671</v>
      </c>
      <c r="AM308" s="65" t="n">
        <f aca="false">IF(AL308="",0,MAX(0,MIN(1,(IF(BY308="L1",Parameter!$E$5,Parameter!$E$6+Parameter!$E$7)-(AL308-AH308))/AH308)))</f>
        <v>1</v>
      </c>
      <c r="AN308" s="57" t="n">
        <f aca="false">IF(LEFT(Cockpit!$I$5,1)="A",H308,IF(CA308=1,CB308,IF(LEFT(Cockpit!$I$5,1)="B",AR308,MAX(AR308,H308))))</f>
        <v>60</v>
      </c>
      <c r="AO308" s="57" t="n">
        <f aca="false">IF(BT308=1,0,ROUNDUP(AN308/BS308,0))</f>
        <v>3</v>
      </c>
      <c r="AP308" s="59" t="n">
        <f aca="false">IF(CH308&gt;0,CH308*MAX(1,AN308/X308),IF(BT308=1,IF(AN308&lt;=0,0,BW308*MAX(1,IF(H308&gt;0,AN308/H308,1))),IF(R308&gt;0,AO308/R308,0))/MAX(0.1,N(Parameter!$M$21)))</f>
        <v>0.5</v>
      </c>
      <c r="AQ308" s="57" t="n">
        <f aca="false">AN308*G308</f>
        <v>27144</v>
      </c>
      <c r="AR308" s="57" t="n">
        <f aca="false">ROUNDUP(MAX(J308/IF(BZ308&gt;0,BZ308,MAX(0.1,N(Cockpit!$I$6))),CC308)/BS308,0)*BS308</f>
        <v>60</v>
      </c>
      <c r="AS308" s="58" t="n">
        <f aca="false">IF(AP308&gt;0,J308/AP308,-1)</f>
        <v>236</v>
      </c>
      <c r="AT308" s="58" t="n">
        <f aca="false">IF(AND(OR(BY308="L1",BY308="L23"),AP308&gt;0),SUMIFS($AP$7:$AP$1843,$BY$7:$BY$1843,BY308,$AS$7:$AS$1843,"&gt;"&amp;AS308)+SUMIFS($AP$7:$AP$1843,$BY$7:$BY$1843,BY308,$AS$7:$AS$1843,AS308,$BQ$7:$BQ$1843,"&lt;="&amp;BQ308),"")</f>
        <v>2.32775919732442</v>
      </c>
      <c r="AU308" s="65" t="n">
        <f aca="false">IF(AT308="",0,MAX(0,MIN(1,(IF(BY308="L1",Parameter!$E$5,Parameter!$E$6+Parameter!$E$7)-(AT308-AP308))/AP308)))</f>
        <v>1</v>
      </c>
      <c r="AV308" s="57" t="n">
        <f aca="false">IF(LEFT(Cockpit!$O$5,1)="A",H308,IF(CA308=1,CB308,IF(LEFT(Cockpit!$O$5,1)="B",AZ308,MAX(AZ308,H308))))</f>
        <v>40</v>
      </c>
      <c r="AW308" s="57" t="n">
        <f aca="false">IF(BT308=1,0,ROUNDUP(AV308/BS308,0))</f>
        <v>2</v>
      </c>
      <c r="AX308" s="59" t="n">
        <f aca="false">IF(CH308&gt;0,CH308*MAX(1,AV308/X308),IF(BT308=1,IF(AV308&lt;=0,0,BW308*MAX(1,IF(H308&gt;0,AV308/H308,1))),IF(R308&gt;0,AW308/R308,0))/MAX(0.1,N(Parameter!$M$21)))</f>
        <v>0.333333333333333</v>
      </c>
      <c r="AY308" s="57" t="n">
        <f aca="false">AV308*G308</f>
        <v>18096</v>
      </c>
      <c r="AZ308" s="57" t="n">
        <f aca="false">ROUNDUP(MAX(J308/IF(BZ308&gt;0,BZ308,MAX(0.1,N(Cockpit!$O$6))),CC308)/BS308,0)*BS308</f>
        <v>40</v>
      </c>
      <c r="BA308" s="58" t="n">
        <f aca="false">IF(AX308&gt;0,J308/AX308,-1)</f>
        <v>354</v>
      </c>
      <c r="BB308" s="58" t="n">
        <f aca="false">IF(AND(OR(BY308="L1",BY308="L23"),AX308&gt;0),SUMIFS($AX$7:$AX$1843,$BY$7:$BY$1843,BY308,$BA$7:$BA$1843,"&gt;"&amp;BA308)+SUMIFS($AX$7:$AX$1843,$BY$7:$BY$1843,BY308,$BA$7:$BA$1843,BA308,$BQ$7:$BQ$1843,"&lt;="&amp;BQ308),"")</f>
        <v>2.167502787068</v>
      </c>
      <c r="BC308" s="65" t="n">
        <f aca="false">IF(BB308="",0,MAX(0,MIN(1,(IF(BY308="L1",Parameter!$E$5,Parameter!$E$6+Parameter!$E$7)-(BB308-AX308))/AX308)))</f>
        <v>1</v>
      </c>
      <c r="BD308" s="55" t="str">
        <f aca="false">IF(AH308&lt;=0,"",IF(BY308="Aussen","Aussenlager",IF(BY308="-","Nicht im Lift",IF(AM308&gt;=1,"Lift",IF(AM308&lt;=0,"Aussenlager","teilweise")))))</f>
        <v>Lift</v>
      </c>
      <c r="BE308" s="55" t="str">
        <f aca="false">IF(AP308&lt;=0,"",IF(BY308="Aussen","Aussenlager",IF(BY308="-","Nicht im Lift",IF(AU308&gt;=1,"Lift",IF(AU308&lt;=0,"Aussenlager","teilweise")))))</f>
        <v>Lift</v>
      </c>
      <c r="BF308" s="55" t="str">
        <f aca="false">IF(AX308&lt;=0,"",IF(BY308="Aussen","Aussenlager",IF(BY308="-","Nicht im Lift",IF(BC308&gt;=1,"Lift",IF(BC308&lt;=0,"Aussenlager","teilweise")))))</f>
        <v>Lift</v>
      </c>
      <c r="BG308" s="55" t="str">
        <f aca="false">IF(A308="","",IF(BP308=1,"Neu; ","")&amp;IF(AND(BP308=0,BK308&lt;0),"negativer Bestand (Export "&amp;BK308&amp;"); ","")&amp;IF(J308&lt;=0,"Kein Verbrauch; ","")&amp;IF(CH308&gt;0,"Lift "&amp;W308&amp;" lt. Liftbericht (Fach "&amp;X308&amp;" Stk); ",IF(BU308=1,"Gebinde geschätzt ("&amp;T308&amp;"); ",IF(BT308=1,"Lose – Tablare geschätzt; ","")))&amp;IF(H308&gt;AR308,"Überbestand "&amp;ROUND(H308-AR308,0)&amp;" Stk / CHF "&amp;ROUND((H308-AR308)*G308,0)&amp;"; ","")&amp;IF(AND(CA308=1,CB308&lt;CC308),"MAX &lt; MB+LG; ","")&amp;IF(AND(CG308&gt;0,CF308*10&gt;CG308),"zu hoch für Tablar; ","")&amp;IF(AND(BP308=0,OR(CA308=1,AA308&lt;&gt;"",U308&lt;&gt;"",V308&lt;&gt;"",AB308&lt;&gt;"")),"manuell übersteuert; ","")&amp;IF(AND(BT308=0,R308=0),"Gebinde unbekannt / Stellmass fehlt; ","")&amp;IF(AND(BT308=0,N(V308)&lt;=0,N(Q308)&lt;=0),"Menge pro Gebinde fehlt (Ist = 1 Gebinde); ","")&amp;BO308)</f>
        <v/>
      </c>
      <c r="BH308" s="55"/>
      <c r="BI308" s="55"/>
      <c r="BJ308" s="62"/>
      <c r="BK308" s="57" t="n">
        <v>1</v>
      </c>
      <c r="BL308" s="57" t="n">
        <v>17</v>
      </c>
      <c r="BM308" s="56" t="n">
        <v>258.500000000026</v>
      </c>
      <c r="BN308" s="57" t="n">
        <v>118</v>
      </c>
      <c r="BO308" s="55"/>
      <c r="BP308" s="60" t="n">
        <v>0</v>
      </c>
      <c r="BQ308" s="60" t="n">
        <v>308</v>
      </c>
      <c r="BR308" s="55" t="str">
        <f aca="false">IF(U308&lt;&gt;"",UPPER(TRIM(U308)),IF(BU308=1,UPPER(VLOOKUP(T308,Parameter!$I$27:$K$29,2,0)),IF(P308="","LOSE",P308)))</f>
        <v>S71</v>
      </c>
      <c r="BS308" s="57" t="n">
        <f aca="false">IF(BR308="LOSE",1,IF(N(V308)&gt;0,V308,IF(BU308=1,MAX(1,N(VLOOKUP(T308,Parameter!$I$27:$K$29,3,0)),H308,N(N308)),IF(N(Q308)&gt;0,Q308,MAX(1,H308)))))</f>
        <v>20</v>
      </c>
      <c r="BT308" s="60" t="n">
        <f aca="false">IF(BR308="LOSE",1,0)</f>
        <v>0</v>
      </c>
      <c r="BU308" s="60" t="n">
        <f aca="false">IF(AND(U308="",OR(P308="",P308="LOSE"),T308&lt;&gt;"",N(S308)&lt;=0,ISNUMBER(MATCH(T308,Parameter!$I$27:$I$29,0))),1,0)</f>
        <v>0</v>
      </c>
      <c r="BV308" s="55" t="n">
        <f aca="false">IF(AND(Parameter!$B$19="Ja",E308&lt;&gt;"",ISNUMBER(MATCH(E308,Parameter!$I$35:$I$52,0))),VLOOKUP(E308,Parameter!$I$35:$J$52,2,0),IFERROR(VLOOKUP(D308,Parameter!$A$35:$C$64,2,0),"Nein"))</f>
        <v>1</v>
      </c>
      <c r="BW308" s="59" t="n">
        <f aca="false">IF(BT308=0,0,IF(N(S308)&gt;0,S308,IFERROR(VLOOKUP(D308,Parameter!$A$35:$C$64,3,0)+0,0)))</f>
        <v>0</v>
      </c>
      <c r="BX308" s="55" t="n">
        <f aca="false">IF(AA308&lt;&gt;"",AA308,Z308)</f>
        <v>1</v>
      </c>
      <c r="BY308" s="55" t="str">
        <f aca="false">IF(BX308=1,"L1",IF(OR(BX308=2,BX308=3),"L23",IF(BX308="Aussen","Aussen","-")))</f>
        <v>L1</v>
      </c>
      <c r="BZ308" s="66" t="n">
        <f aca="false">IF(N(AB308)&gt;0,AB308,0)</f>
        <v>0</v>
      </c>
      <c r="CA308" s="60" t="n">
        <f aca="false">IF(ISNUMBER(AE308),1,0)</f>
        <v>0</v>
      </c>
      <c r="CB308" s="57" t="n">
        <f aca="false">N(AE308)</f>
        <v>0</v>
      </c>
      <c r="CC308" s="57" t="n">
        <f aca="false">N(M308)+N(N308)</f>
        <v>35</v>
      </c>
      <c r="CD308" s="57" t="n">
        <f aca="false">ROUNDUP(H308/BS308,0)</f>
        <v>1</v>
      </c>
      <c r="CE308" s="57" t="n">
        <f aca="false">ROUNDUP(CB308/BS308,0)</f>
        <v>0</v>
      </c>
      <c r="CF308" s="60" t="n">
        <f aca="false">IF(BT308=1,0,IFERROR(VLOOKUP(BR308,'Gebinde-Kategorie'!$A$5:$M$45,5,0)+0,0))</f>
        <v>20</v>
      </c>
      <c r="CG308" s="60" t="n">
        <f aca="false">IFERROR(IF(OR(BX308=1,BX308=2,BX308=3),N(INDEX(Parameter!$I$5:$I$7,BX308)),0),0)</f>
        <v>0</v>
      </c>
      <c r="CH308" s="59" t="n">
        <f aca="false">IF(AND(Parameter!$B$21="Ja",ISNUMBER(W308),N(X308)&gt;0),IFERROR(N(INDEX(Parameter!$L$5:$L$7,W308))*INDEX(Parameter!$E$5:$E$7,W308)*X308/SUMIFS($X$7:$X$1843,$W$7:$W$1843,W308),0),0)</f>
        <v>0</v>
      </c>
    </row>
    <row r="309" customFormat="false" ht="15" hidden="false" customHeight="false" outlineLevel="0" collapsed="false">
      <c r="A309" s="55" t="s">
        <v>785</v>
      </c>
      <c r="B309" s="55" t="s">
        <v>786</v>
      </c>
      <c r="C309" s="55" t="s">
        <v>164</v>
      </c>
      <c r="D309" s="55" t="s">
        <v>173</v>
      </c>
      <c r="E309" s="55"/>
      <c r="F309" s="55" t="s">
        <v>218</v>
      </c>
      <c r="G309" s="56" t="n">
        <v>258.1</v>
      </c>
      <c r="H309" s="57" t="n">
        <f aca="false">MAX(0,IF(AND(Parameter!$B$21="Ja",ISNUMBER(Y309)),Y309,IF(Parameter!$B$20="Jahresanfang 2025 + Export",BL309+BK309,BK309)))</f>
        <v>8</v>
      </c>
      <c r="I309" s="57" t="n">
        <f aca="false">H309*G309</f>
        <v>2064.8</v>
      </c>
      <c r="J309" s="57" t="n">
        <f aca="false">BN309*Parameter!$B$18</f>
        <v>0</v>
      </c>
      <c r="K309" s="58" t="n">
        <v>7.5</v>
      </c>
      <c r="L309" s="59" t="n">
        <v>0</v>
      </c>
      <c r="M309" s="57" t="n">
        <v>0</v>
      </c>
      <c r="N309" s="57" t="n">
        <v>1</v>
      </c>
      <c r="O309" s="60" t="n">
        <v>28</v>
      </c>
      <c r="P309" s="55" t="s">
        <v>168</v>
      </c>
      <c r="Q309" s="57"/>
      <c r="R309" s="60" t="n">
        <f aca="false">IF(BT309=1,0,IFERROR(VLOOKUP(BR309,'Gebinde-Kategorie'!$A$5:$M$45,13,0)+0,0))</f>
        <v>12</v>
      </c>
      <c r="S309" s="61"/>
      <c r="T309" s="62" t="s">
        <v>179</v>
      </c>
      <c r="U309" s="62"/>
      <c r="V309" s="62"/>
      <c r="W309" s="55"/>
      <c r="X309" s="57"/>
      <c r="Y309" s="57"/>
      <c r="Z309" s="55" t="n">
        <f aca="false">IF(A309="","",IF(AND(Parameter!$B$21="Ja",ISNUMBER(W309)),W309,IF(BV309="2+3",IF(ISNUMBER(SEARCH("grosser Artikel",BO309)),2,IFERROR(VLOOKUP(BR309,Parameter!$F$35:$G$64,2,0),2)),IF(OR(BV309="Nein",BV309=""),"-",BV309))))</f>
        <v>2</v>
      </c>
      <c r="AA309" s="62"/>
      <c r="AB309" s="63"/>
      <c r="AC309" s="57" t="n">
        <f aca="false">AR309</f>
        <v>8</v>
      </c>
      <c r="AD309" s="57" t="n">
        <f aca="false">MAX(AR309,H309)</f>
        <v>8</v>
      </c>
      <c r="AE309" s="64"/>
      <c r="AF309" s="57" t="n">
        <f aca="false">IF(LEFT(Cockpit!$C$5,1)="A",H309,IF(CA309=1,CB309,IF(LEFT(Cockpit!$C$5,1)="B",AJ309,MAX(AJ309,H309))))</f>
        <v>8</v>
      </c>
      <c r="AG309" s="57" t="n">
        <f aca="false">IF(BT309=1,0,ROUNDUP(AF309/BS309,0))</f>
        <v>1</v>
      </c>
      <c r="AH309" s="59" t="n">
        <f aca="false">IF(CH309&gt;0,CH309*MAX(1,AF309/X309),IF(BT309=1,IF(AF309&lt;=0,0,BW309*MAX(1,IF(H309&gt;0,AF309/H309,1))),IF(R309&gt;0,AG309/R309,0))/MAX(0.1,N(Parameter!$M$21)))</f>
        <v>0.0833333333333333</v>
      </c>
      <c r="AI309" s="57" t="n">
        <f aca="false">AF309*G309</f>
        <v>2064.8</v>
      </c>
      <c r="AJ309" s="57" t="n">
        <f aca="false">ROUNDUP(MAX(J309/IF(BZ309&gt;0,BZ309,MAX(0.1,N(Cockpit!$C$6))),CC309)/BS309,0)*BS309</f>
        <v>8</v>
      </c>
      <c r="AK309" s="58" t="n">
        <f aca="false">IF(AH309&gt;0,J309/AH309,-1)</f>
        <v>0</v>
      </c>
      <c r="AL309" s="58" t="n">
        <f aca="false">IF(AND(OR(BY309="L1",BY309="L23"),AH309&gt;0),SUMIFS($AH$7:$AH$1843,$BY$7:$BY$1843,BY309,$AK$7:$AK$1843,"&gt;"&amp;AK309)+SUMIFS($AH$7:$AH$1843,$BY$7:$BY$1843,BY309,$AK$7:$AK$1843,AK309,$BQ$7:$BQ$1843,"&lt;="&amp;BQ309),"")</f>
        <v>72.4776527820006</v>
      </c>
      <c r="AM309" s="65" t="n">
        <f aca="false">IF(AL309="",0,MAX(0,MIN(1,(IF(BY309="L1",Parameter!$E$5,Parameter!$E$6+Parameter!$E$7)-(AL309-AH309))/AH309)))</f>
        <v>1</v>
      </c>
      <c r="AN309" s="57" t="n">
        <f aca="false">IF(LEFT(Cockpit!$I$5,1)="A",H309,IF(CA309=1,CB309,IF(LEFT(Cockpit!$I$5,1)="B",AR309,MAX(AR309,H309))))</f>
        <v>8</v>
      </c>
      <c r="AO309" s="57" t="n">
        <f aca="false">IF(BT309=1,0,ROUNDUP(AN309/BS309,0))</f>
        <v>1</v>
      </c>
      <c r="AP309" s="59" t="n">
        <f aca="false">IF(CH309&gt;0,CH309*MAX(1,AN309/X309),IF(BT309=1,IF(AN309&lt;=0,0,BW309*MAX(1,IF(H309&gt;0,AN309/H309,1))),IF(R309&gt;0,AO309/R309,0))/MAX(0.1,N(Parameter!$M$21)))</f>
        <v>0.0833333333333333</v>
      </c>
      <c r="AQ309" s="57" t="n">
        <f aca="false">AN309*G309</f>
        <v>2064.8</v>
      </c>
      <c r="AR309" s="57" t="n">
        <f aca="false">ROUNDUP(MAX(J309/IF(BZ309&gt;0,BZ309,MAX(0.1,N(Cockpit!$I$6))),CC309)/BS309,0)*BS309</f>
        <v>8</v>
      </c>
      <c r="AS309" s="58" t="n">
        <f aca="false">IF(AP309&gt;0,J309/AP309,-1)</f>
        <v>0</v>
      </c>
      <c r="AT309" s="58" t="n">
        <f aca="false">IF(AND(OR(BY309="L1",BY309="L23"),AP309&gt;0),SUMIFS($AP$7:$AP$1843,$BY$7:$BY$1843,BY309,$AS$7:$AS$1843,"&gt;"&amp;AS309)+SUMIFS($AP$7:$AP$1843,$BY$7:$BY$1843,BY309,$AS$7:$AS$1843,AS309,$BQ$7:$BQ$1843,"&lt;="&amp;BQ309),"")</f>
        <v>111.901776966994</v>
      </c>
      <c r="AU309" s="65" t="n">
        <f aca="false">IF(AT309="",0,MAX(0,MIN(1,(IF(BY309="L1",Parameter!$E$5,Parameter!$E$6+Parameter!$E$7)-(AT309-AP309))/AP309)))</f>
        <v>0</v>
      </c>
      <c r="AV309" s="57" t="n">
        <f aca="false">IF(LEFT(Cockpit!$O$5,1)="A",H309,IF(CA309=1,CB309,IF(LEFT(Cockpit!$O$5,1)="B",AZ309,MAX(AZ309,H309))))</f>
        <v>8</v>
      </c>
      <c r="AW309" s="57" t="n">
        <f aca="false">IF(BT309=1,0,ROUNDUP(AV309/BS309,0))</f>
        <v>1</v>
      </c>
      <c r="AX309" s="59" t="n">
        <f aca="false">IF(CH309&gt;0,CH309*MAX(1,AV309/X309),IF(BT309=1,IF(AV309&lt;=0,0,BW309*MAX(1,IF(H309&gt;0,AV309/H309,1))),IF(R309&gt;0,AW309/R309,0))/MAX(0.1,N(Parameter!$M$21)))</f>
        <v>0.0833333333333333</v>
      </c>
      <c r="AY309" s="57" t="n">
        <f aca="false">AV309*G309</f>
        <v>2064.8</v>
      </c>
      <c r="AZ309" s="57" t="n">
        <f aca="false">ROUNDUP(MAX(J309/IF(BZ309&gt;0,BZ309,MAX(0.1,N(Cockpit!$O$6))),CC309)/BS309,0)*BS309</f>
        <v>8</v>
      </c>
      <c r="BA309" s="58" t="n">
        <f aca="false">IF(AX309&gt;0,J309/AX309,-1)</f>
        <v>0</v>
      </c>
      <c r="BB309" s="58" t="n">
        <f aca="false">IF(AND(OR(BY309="L1",BY309="L23"),AX309&gt;0),SUMIFS($AX$7:$AX$1843,$BY$7:$BY$1843,BY309,$BA$7:$BA$1843,"&gt;"&amp;BA309)+SUMIFS($AX$7:$AX$1843,$BY$7:$BY$1843,BY309,$BA$7:$BA$1843,BA309,$BQ$7:$BQ$1843,"&lt;="&amp;BQ309),"")</f>
        <v>102.731613796831</v>
      </c>
      <c r="BC309" s="65" t="n">
        <f aca="false">IF(BB309="",0,MAX(0,MIN(1,(IF(BY309="L1",Parameter!$E$5,Parameter!$E$6+Parameter!$E$7)-(BB309-AX309))/AX309)))</f>
        <v>0</v>
      </c>
      <c r="BD309" s="55" t="str">
        <f aca="false">IF(AH309&lt;=0,"",IF(BY309="Aussen","Aussenlager",IF(BY309="-","Nicht im Lift",IF(AM309&gt;=1,"Lift",IF(AM309&lt;=0,"Aussenlager","teilweise")))))</f>
        <v>Lift</v>
      </c>
      <c r="BE309" s="55" t="str">
        <f aca="false">IF(AP309&lt;=0,"",IF(BY309="Aussen","Aussenlager",IF(BY309="-","Nicht im Lift",IF(AU309&gt;=1,"Lift",IF(AU309&lt;=0,"Aussenlager","teilweise")))))</f>
        <v>Aussenlager</v>
      </c>
      <c r="BF309" s="55" t="str">
        <f aca="false">IF(AX309&lt;=0,"",IF(BY309="Aussen","Aussenlager",IF(BY309="-","Nicht im Lift",IF(BC309&gt;=1,"Lift",IF(BC309&lt;=0,"Aussenlager","teilweise")))))</f>
        <v>Aussenlager</v>
      </c>
      <c r="BG309" s="55" t="str">
        <f aca="false">IF(A309="","",IF(BP309=1,"Neu; ","")&amp;IF(AND(BP309=0,BK309&lt;0),"negativer Bestand (Export "&amp;BK309&amp;"); ","")&amp;IF(J309&lt;=0,"Kein Verbrauch; ","")&amp;IF(CH309&gt;0,"Lift "&amp;W309&amp;" lt. Liftbericht (Fach "&amp;X309&amp;" Stk); ",IF(BU309=1,"Gebinde geschätzt ("&amp;T309&amp;"); ",IF(BT309=1,"Lose – Tablare geschätzt; ","")))&amp;IF(H309&gt;AR309,"Überbestand "&amp;ROUND(H309-AR309,0)&amp;" Stk / CHF "&amp;ROUND((H309-AR309)*G309,0)&amp;"; ","")&amp;IF(AND(CA309=1,CB309&lt;CC309),"MAX &lt; MB+LG; ","")&amp;IF(AND(CG309&gt;0,CF309*10&gt;CG309),"zu hoch für Tablar; ","")&amp;IF(AND(BP309=0,OR(CA309=1,AA309&lt;&gt;"",U309&lt;&gt;"",V309&lt;&gt;"",AB309&lt;&gt;"")),"manuell übersteuert; ","")&amp;IF(AND(BT309=0,R309=0),"Gebinde unbekannt / Stellmass fehlt; ","")&amp;IF(AND(BT309=0,N(V309)&lt;=0,N(Q309)&lt;=0),"Menge pro Gebinde fehlt (Ist = 1 Gebinde); ","")&amp;BO309)</f>
        <v>Kein Verbrauch; Gebinde geschätzt (Mittel); Menge pro Gebinde fehlt (Ist = 1 Gebinde); </v>
      </c>
      <c r="BH309" s="55"/>
      <c r="BI309" s="55"/>
      <c r="BJ309" s="62"/>
      <c r="BK309" s="57" t="n">
        <v>1</v>
      </c>
      <c r="BL309" s="57" t="n">
        <v>7</v>
      </c>
      <c r="BM309" s="56" t="n">
        <v>258.1</v>
      </c>
      <c r="BN309" s="57" t="n">
        <v>0</v>
      </c>
      <c r="BO309" s="55"/>
      <c r="BP309" s="60" t="n">
        <v>0</v>
      </c>
      <c r="BQ309" s="60" t="n">
        <v>309</v>
      </c>
      <c r="BR309" s="55" t="str">
        <f aca="false">IF(U309&lt;&gt;"",UPPER(TRIM(U309)),IF(BU309=1,UPPER(VLOOKUP(T309,Parameter!$I$27:$K$29,2,0)),IF(P309="","LOSE",P309)))</f>
        <v>S61</v>
      </c>
      <c r="BS309" s="57" t="n">
        <f aca="false">IF(BR309="LOSE",1,IF(N(V309)&gt;0,V309,IF(BU309=1,MAX(1,N(VLOOKUP(T309,Parameter!$I$27:$K$29,3,0)),H309,N(N309)),IF(N(Q309)&gt;0,Q309,MAX(1,H309)))))</f>
        <v>8</v>
      </c>
      <c r="BT309" s="60" t="n">
        <f aca="false">IF(BR309="LOSE",1,0)</f>
        <v>0</v>
      </c>
      <c r="BU309" s="60" t="n">
        <f aca="false">IF(AND(U309="",OR(P309="",P309="LOSE"),T309&lt;&gt;"",N(S309)&lt;=0,ISNUMBER(MATCH(T309,Parameter!$I$27:$I$29,0))),1,0)</f>
        <v>1</v>
      </c>
      <c r="BV309" s="55" t="str">
        <f aca="false">IF(AND(Parameter!$B$19="Ja",E309&lt;&gt;"",ISNUMBER(MATCH(E309,Parameter!$I$35:$I$52,0))),VLOOKUP(E309,Parameter!$I$35:$J$52,2,0),IFERROR(VLOOKUP(D309,Parameter!$A$35:$C$64,2,0),"Nein"))</f>
        <v>2+3</v>
      </c>
      <c r="BW309" s="59" t="n">
        <f aca="false">IF(BT309=0,0,IF(N(S309)&gt;0,S309,IFERROR(VLOOKUP(D309,Parameter!$A$35:$C$64,3,0)+0,0)))</f>
        <v>0</v>
      </c>
      <c r="BX309" s="55" t="n">
        <f aca="false">IF(AA309&lt;&gt;"",AA309,Z309)</f>
        <v>2</v>
      </c>
      <c r="BY309" s="55" t="str">
        <f aca="false">IF(BX309=1,"L1",IF(OR(BX309=2,BX309=3),"L23",IF(BX309="Aussen","Aussen","-")))</f>
        <v>L23</v>
      </c>
      <c r="BZ309" s="66" t="n">
        <f aca="false">IF(N(AB309)&gt;0,AB309,0)</f>
        <v>0</v>
      </c>
      <c r="CA309" s="60" t="n">
        <f aca="false">IF(ISNUMBER(AE309),1,0)</f>
        <v>0</v>
      </c>
      <c r="CB309" s="57" t="n">
        <f aca="false">N(AE309)</f>
        <v>0</v>
      </c>
      <c r="CC309" s="57" t="n">
        <f aca="false">N(M309)+N(N309)</f>
        <v>1</v>
      </c>
      <c r="CD309" s="57" t="n">
        <f aca="false">ROUNDUP(H309/BS309,0)</f>
        <v>1</v>
      </c>
      <c r="CE309" s="57" t="n">
        <f aca="false">ROUNDUP(CB309/BS309,0)</f>
        <v>0</v>
      </c>
      <c r="CF309" s="60" t="n">
        <f aca="false">IF(BT309=1,0,IFERROR(VLOOKUP(BR309,'Gebinde-Kategorie'!$A$5:$M$45,5,0)+0,0))</f>
        <v>11</v>
      </c>
      <c r="CG309" s="60" t="n">
        <f aca="false">IFERROR(IF(OR(BX309=1,BX309=2,BX309=3),N(INDEX(Parameter!$I$5:$I$7,BX309)),0),0)</f>
        <v>0</v>
      </c>
      <c r="CH309" s="59" t="n">
        <f aca="false">IF(AND(Parameter!$B$21="Ja",ISNUMBER(W309),N(X309)&gt;0),IFERROR(N(INDEX(Parameter!$L$5:$L$7,W309))*INDEX(Parameter!$E$5:$E$7,W309)*X309/SUMIFS($X$7:$X$1843,$W$7:$W$1843,W309),0),0)</f>
        <v>0</v>
      </c>
    </row>
    <row r="310" customFormat="false" ht="15" hidden="false" customHeight="false" outlineLevel="0" collapsed="false">
      <c r="A310" s="55" t="s">
        <v>787</v>
      </c>
      <c r="B310" s="55" t="s">
        <v>788</v>
      </c>
      <c r="C310" s="55" t="s">
        <v>164</v>
      </c>
      <c r="D310" s="55" t="s">
        <v>173</v>
      </c>
      <c r="E310" s="55"/>
      <c r="F310" s="55" t="s">
        <v>218</v>
      </c>
      <c r="G310" s="56" t="n">
        <v>32.17</v>
      </c>
      <c r="H310" s="57" t="n">
        <f aca="false">MAX(0,IF(AND(Parameter!$B$21="Ja",ISNUMBER(Y310)),Y310,IF(Parameter!$B$20="Jahresanfang 2025 + Export",BL310+BK310,BK310)))</f>
        <v>19</v>
      </c>
      <c r="I310" s="57" t="n">
        <f aca="false">H310*G310</f>
        <v>611.23</v>
      </c>
      <c r="J310" s="57" t="n">
        <f aca="false">BN310*Parameter!$B$18</f>
        <v>22</v>
      </c>
      <c r="K310" s="58" t="n">
        <v>4.5</v>
      </c>
      <c r="L310" s="59" t="n">
        <v>4.88888888888889</v>
      </c>
      <c r="M310" s="57" t="n">
        <v>5</v>
      </c>
      <c r="N310" s="57" t="n">
        <v>30</v>
      </c>
      <c r="O310" s="60" t="n">
        <v>90</v>
      </c>
      <c r="P310" s="55" t="s">
        <v>186</v>
      </c>
      <c r="Q310" s="57" t="n">
        <v>15</v>
      </c>
      <c r="R310" s="60" t="n">
        <f aca="false">IF(BT310=1,0,IFERROR(VLOOKUP(BR310,'Gebinde-Kategorie'!$A$5:$M$45,13,0)+0,0))</f>
        <v>12</v>
      </c>
      <c r="S310" s="61"/>
      <c r="T310" s="62"/>
      <c r="U310" s="62"/>
      <c r="V310" s="62"/>
      <c r="W310" s="55"/>
      <c r="X310" s="57"/>
      <c r="Y310" s="57"/>
      <c r="Z310" s="55" t="n">
        <f aca="false">IF(A310="","",IF(AND(Parameter!$B$21="Ja",ISNUMBER(W310)),W310,IF(BV310="2+3",IF(ISNUMBER(SEARCH("grosser Artikel",BO310)),2,IFERROR(VLOOKUP(BR310,Parameter!$F$35:$G$64,2,0),2)),IF(OR(BV310="Nein",BV310=""),"-",BV310))))</f>
        <v>2</v>
      </c>
      <c r="AA310" s="62"/>
      <c r="AB310" s="63"/>
      <c r="AC310" s="57" t="n">
        <f aca="false">AR310</f>
        <v>45</v>
      </c>
      <c r="AD310" s="57" t="n">
        <f aca="false">MAX(AR310,H310)</f>
        <v>45</v>
      </c>
      <c r="AE310" s="64"/>
      <c r="AF310" s="57" t="n">
        <f aca="false">IF(LEFT(Cockpit!$C$5,1)="A",H310,IF(CA310=1,CB310,IF(LEFT(Cockpit!$C$5,1)="B",AJ310,MAX(AJ310,H310))))</f>
        <v>19</v>
      </c>
      <c r="AG310" s="57" t="n">
        <f aca="false">IF(BT310=1,0,ROUNDUP(AF310/BS310,0))</f>
        <v>2</v>
      </c>
      <c r="AH310" s="59" t="n">
        <f aca="false">IF(CH310&gt;0,CH310*MAX(1,AF310/X310),IF(BT310=1,IF(AF310&lt;=0,0,BW310*MAX(1,IF(H310&gt;0,AF310/H310,1))),IF(R310&gt;0,AG310/R310,0))/MAX(0.1,N(Parameter!$M$21)))</f>
        <v>0.166666666666667</v>
      </c>
      <c r="AI310" s="57" t="n">
        <f aca="false">AF310*G310</f>
        <v>611.23</v>
      </c>
      <c r="AJ310" s="57" t="n">
        <f aca="false">ROUNDUP(MAX(J310/IF(BZ310&gt;0,BZ310,MAX(0.1,N(Cockpit!$C$6))),CC310)/BS310,0)*BS310</f>
        <v>45</v>
      </c>
      <c r="AK310" s="58" t="n">
        <f aca="false">IF(AH310&gt;0,J310/AH310,-1)</f>
        <v>132</v>
      </c>
      <c r="AL310" s="58" t="n">
        <f aca="false">IF(AND(OR(BY310="L1",BY310="L23"),AH310&gt;0),SUMIFS($AH$7:$AH$1843,$BY$7:$BY$1843,BY310,$AK$7:$AK$1843,"&gt;"&amp;AK310)+SUMIFS($AH$7:$AH$1843,$BY$7:$BY$1843,BY310,$AK$7:$AK$1843,AK310,$BQ$7:$BQ$1843,"&lt;="&amp;BQ310),"")</f>
        <v>36.0994476537955</v>
      </c>
      <c r="AM310" s="65" t="n">
        <f aca="false">IF(AL310="",0,MAX(0,MIN(1,(IF(BY310="L1",Parameter!$E$5,Parameter!$E$6+Parameter!$E$7)-(AL310-AH310))/AH310)))</f>
        <v>1</v>
      </c>
      <c r="AN310" s="57" t="n">
        <f aca="false">IF(LEFT(Cockpit!$I$5,1)="A",H310,IF(CA310=1,CB310,IF(LEFT(Cockpit!$I$5,1)="B",AR310,MAX(AR310,H310))))</f>
        <v>45</v>
      </c>
      <c r="AO310" s="57" t="n">
        <f aca="false">IF(BT310=1,0,ROUNDUP(AN310/BS310,0))</f>
        <v>3</v>
      </c>
      <c r="AP310" s="59" t="n">
        <f aca="false">IF(CH310&gt;0,CH310*MAX(1,AN310/X310),IF(BT310=1,IF(AN310&lt;=0,0,BW310*MAX(1,IF(H310&gt;0,AN310/H310,1))),IF(R310&gt;0,AO310/R310,0))/MAX(0.1,N(Parameter!$M$21)))</f>
        <v>0.25</v>
      </c>
      <c r="AQ310" s="57" t="n">
        <f aca="false">AN310*G310</f>
        <v>1447.65</v>
      </c>
      <c r="AR310" s="57" t="n">
        <f aca="false">ROUNDUP(MAX(J310/IF(BZ310&gt;0,BZ310,MAX(0.1,N(Cockpit!$I$6))),CC310)/BS310,0)*BS310</f>
        <v>45</v>
      </c>
      <c r="AS310" s="58" t="n">
        <f aca="false">IF(AP310&gt;0,J310/AP310,-1)</f>
        <v>88</v>
      </c>
      <c r="AT310" s="58" t="n">
        <f aca="false">IF(AND(OR(BY310="L1",BY310="L23"),AP310&gt;0),SUMIFS($AP$7:$AP$1843,$BY$7:$BY$1843,BY310,$AS$7:$AS$1843,"&gt;"&amp;AS310)+SUMIFS($AP$7:$AP$1843,$BY$7:$BY$1843,BY310,$AS$7:$AS$1843,AS310,$BQ$7:$BQ$1843,"&lt;="&amp;BQ310),"")</f>
        <v>62.0175500827675</v>
      </c>
      <c r="AU310" s="65" t="n">
        <f aca="false">IF(AT310="",0,MAX(0,MIN(1,(IF(BY310="L1",Parameter!$E$5,Parameter!$E$6+Parameter!$E$7)-(AT310-AP310))/AP310)))</f>
        <v>1</v>
      </c>
      <c r="AV310" s="57" t="n">
        <f aca="false">IF(LEFT(Cockpit!$O$5,1)="A",H310,IF(CA310=1,CB310,IF(LEFT(Cockpit!$O$5,1)="B",AZ310,MAX(AZ310,H310))))</f>
        <v>45</v>
      </c>
      <c r="AW310" s="57" t="n">
        <f aca="false">IF(BT310=1,0,ROUNDUP(AV310/BS310,0))</f>
        <v>3</v>
      </c>
      <c r="AX310" s="59" t="n">
        <f aca="false">IF(CH310&gt;0,CH310*MAX(1,AV310/X310),IF(BT310=1,IF(AV310&lt;=0,0,BW310*MAX(1,IF(H310&gt;0,AV310/H310,1))),IF(R310&gt;0,AW310/R310,0))/MAX(0.1,N(Parameter!$M$21)))</f>
        <v>0.25</v>
      </c>
      <c r="AY310" s="57" t="n">
        <f aca="false">AV310*G310</f>
        <v>1447.65</v>
      </c>
      <c r="AZ310" s="57" t="n">
        <f aca="false">ROUNDUP(MAX(J310/IF(BZ310&gt;0,BZ310,MAX(0.1,N(Cockpit!$O$6))),CC310)/BS310,0)*BS310</f>
        <v>45</v>
      </c>
      <c r="BA310" s="58" t="n">
        <f aca="false">IF(AX310&gt;0,J310/AX310,-1)</f>
        <v>88</v>
      </c>
      <c r="BB310" s="58" t="n">
        <f aca="false">IF(AND(OR(BY310="L1",BY310="L23"),AX310&gt;0),SUMIFS($AX$7:$AX$1843,$BY$7:$BY$1843,BY310,$BA$7:$BA$1843,"&gt;"&amp;BA310)+SUMIFS($AX$7:$AX$1843,$BY$7:$BY$1843,BY310,$BA$7:$BA$1843,BA310,$BQ$7:$BQ$1843,"&lt;="&amp;BQ310),"")</f>
        <v>57.0973869126043</v>
      </c>
      <c r="BC310" s="65" t="n">
        <f aca="false">IF(BB310="",0,MAX(0,MIN(1,(IF(BY310="L1",Parameter!$E$5,Parameter!$E$6+Parameter!$E$7)-(BB310-AX310))/AX310)))</f>
        <v>1</v>
      </c>
      <c r="BD310" s="55" t="str">
        <f aca="false">IF(AH310&lt;=0,"",IF(BY310="Aussen","Aussenlager",IF(BY310="-","Nicht im Lift",IF(AM310&gt;=1,"Lift",IF(AM310&lt;=0,"Aussenlager","teilweise")))))</f>
        <v>Lift</v>
      </c>
      <c r="BE310" s="55" t="str">
        <f aca="false">IF(AP310&lt;=0,"",IF(BY310="Aussen","Aussenlager",IF(BY310="-","Nicht im Lift",IF(AU310&gt;=1,"Lift",IF(AU310&lt;=0,"Aussenlager","teilweise")))))</f>
        <v>Lift</v>
      </c>
      <c r="BF310" s="55" t="str">
        <f aca="false">IF(AX310&lt;=0,"",IF(BY310="Aussen","Aussenlager",IF(BY310="-","Nicht im Lift",IF(BC310&gt;=1,"Lift",IF(BC310&lt;=0,"Aussenlager","teilweise")))))</f>
        <v>Lift</v>
      </c>
      <c r="BG310" s="55" t="str">
        <f aca="false">IF(A310="","",IF(BP310=1,"Neu; ","")&amp;IF(AND(BP310=0,BK310&lt;0),"negativer Bestand (Export "&amp;BK310&amp;"); ","")&amp;IF(J310&lt;=0,"Kein Verbrauch; ","")&amp;IF(CH310&gt;0,"Lift "&amp;W310&amp;" lt. Liftbericht (Fach "&amp;X310&amp;" Stk); ",IF(BU310=1,"Gebinde geschätzt ("&amp;T310&amp;"); ",IF(BT310=1,"Lose – Tablare geschätzt; ","")))&amp;IF(H310&gt;AR310,"Überbestand "&amp;ROUND(H310-AR310,0)&amp;" Stk / CHF "&amp;ROUND((H310-AR310)*G310,0)&amp;"; ","")&amp;IF(AND(CA310=1,CB310&lt;CC310),"MAX &lt; MB+LG; ","")&amp;IF(AND(CG310&gt;0,CF310*10&gt;CG310),"zu hoch für Tablar; ","")&amp;IF(AND(BP310=0,OR(CA310=1,AA310&lt;&gt;"",U310&lt;&gt;"",V310&lt;&gt;"",AB310&lt;&gt;"")),"manuell übersteuert; ","")&amp;IF(AND(BT310=0,R310=0),"Gebinde unbekannt / Stellmass fehlt; ","")&amp;IF(AND(BT310=0,N(V310)&lt;=0,N(Q310)&lt;=0),"Menge pro Gebinde fehlt (Ist = 1 Gebinde); ","")&amp;BO310)</f>
        <v/>
      </c>
      <c r="BH310" s="55"/>
      <c r="BI310" s="55"/>
      <c r="BJ310" s="62"/>
      <c r="BK310" s="57" t="n">
        <v>13</v>
      </c>
      <c r="BL310" s="57" t="n">
        <v>6</v>
      </c>
      <c r="BM310" s="56" t="n">
        <v>255.25</v>
      </c>
      <c r="BN310" s="57" t="n">
        <v>22</v>
      </c>
      <c r="BO310" s="55"/>
      <c r="BP310" s="60" t="n">
        <v>0</v>
      </c>
      <c r="BQ310" s="60" t="n">
        <v>310</v>
      </c>
      <c r="BR310" s="55" t="str">
        <f aca="false">IF(U310&lt;&gt;"",UPPER(TRIM(U310)),IF(BU310=1,UPPER(VLOOKUP(T310,Parameter!$I$27:$K$29,2,0)),IF(P310="","LOSE",P310)))</f>
        <v>S61</v>
      </c>
      <c r="BS310" s="57" t="n">
        <f aca="false">IF(BR310="LOSE",1,IF(N(V310)&gt;0,V310,IF(BU310=1,MAX(1,N(VLOOKUP(T310,Parameter!$I$27:$K$29,3,0)),H310,N(N310)),IF(N(Q310)&gt;0,Q310,MAX(1,H310)))))</f>
        <v>15</v>
      </c>
      <c r="BT310" s="60" t="n">
        <f aca="false">IF(BR310="LOSE",1,0)</f>
        <v>0</v>
      </c>
      <c r="BU310" s="60" t="n">
        <f aca="false">IF(AND(U310="",OR(P310="",P310="LOSE"),T310&lt;&gt;"",N(S310)&lt;=0,ISNUMBER(MATCH(T310,Parameter!$I$27:$I$29,0))),1,0)</f>
        <v>0</v>
      </c>
      <c r="BV310" s="55" t="str">
        <f aca="false">IF(AND(Parameter!$B$19="Ja",E310&lt;&gt;"",ISNUMBER(MATCH(E310,Parameter!$I$35:$I$52,0))),VLOOKUP(E310,Parameter!$I$35:$J$52,2,0),IFERROR(VLOOKUP(D310,Parameter!$A$35:$C$64,2,0),"Nein"))</f>
        <v>2+3</v>
      </c>
      <c r="BW310" s="59" t="n">
        <f aca="false">IF(BT310=0,0,IF(N(S310)&gt;0,S310,IFERROR(VLOOKUP(D310,Parameter!$A$35:$C$64,3,0)+0,0)))</f>
        <v>0</v>
      </c>
      <c r="BX310" s="55" t="n">
        <f aca="false">IF(AA310&lt;&gt;"",AA310,Z310)</f>
        <v>2</v>
      </c>
      <c r="BY310" s="55" t="str">
        <f aca="false">IF(BX310=1,"L1",IF(OR(BX310=2,BX310=3),"L23",IF(BX310="Aussen","Aussen","-")))</f>
        <v>L23</v>
      </c>
      <c r="BZ310" s="66" t="n">
        <f aca="false">IF(N(AB310)&gt;0,AB310,0)</f>
        <v>0</v>
      </c>
      <c r="CA310" s="60" t="n">
        <f aca="false">IF(ISNUMBER(AE310),1,0)</f>
        <v>0</v>
      </c>
      <c r="CB310" s="57" t="n">
        <f aca="false">N(AE310)</f>
        <v>0</v>
      </c>
      <c r="CC310" s="57" t="n">
        <f aca="false">N(M310)+N(N310)</f>
        <v>35</v>
      </c>
      <c r="CD310" s="57" t="n">
        <f aca="false">ROUNDUP(H310/BS310,0)</f>
        <v>2</v>
      </c>
      <c r="CE310" s="57" t="n">
        <f aca="false">ROUNDUP(CB310/BS310,0)</f>
        <v>0</v>
      </c>
      <c r="CF310" s="60" t="n">
        <f aca="false">IF(BT310=1,0,IFERROR(VLOOKUP(BR310,'Gebinde-Kategorie'!$A$5:$M$45,5,0)+0,0))</f>
        <v>11</v>
      </c>
      <c r="CG310" s="60" t="n">
        <f aca="false">IFERROR(IF(OR(BX310=1,BX310=2,BX310=3),N(INDEX(Parameter!$I$5:$I$7,BX310)),0),0)</f>
        <v>0</v>
      </c>
      <c r="CH310" s="59" t="n">
        <f aca="false">IF(AND(Parameter!$B$21="Ja",ISNUMBER(W310),N(X310)&gt;0),IFERROR(N(INDEX(Parameter!$L$5:$L$7,W310))*INDEX(Parameter!$E$5:$E$7,W310)*X310/SUMIFS($X$7:$X$1843,$W$7:$W$1843,W310),0),0)</f>
        <v>0</v>
      </c>
    </row>
    <row r="311" customFormat="false" ht="15" hidden="false" customHeight="false" outlineLevel="0" collapsed="false">
      <c r="A311" s="55" t="s">
        <v>789</v>
      </c>
      <c r="B311" s="55" t="s">
        <v>790</v>
      </c>
      <c r="C311" s="55" t="s">
        <v>164</v>
      </c>
      <c r="D311" s="55" t="s">
        <v>184</v>
      </c>
      <c r="E311" s="55"/>
      <c r="F311" s="55" t="s">
        <v>218</v>
      </c>
      <c r="G311" s="56" t="n">
        <v>24.55</v>
      </c>
      <c r="H311" s="57" t="n">
        <f aca="false">MAX(0,IF(AND(Parameter!$B$21="Ja",ISNUMBER(Y311)),Y311,IF(Parameter!$B$20="Jahresanfang 2025 + Export",BL311+BK311,BK311)))</f>
        <v>12</v>
      </c>
      <c r="I311" s="57" t="n">
        <f aca="false">H311*G311</f>
        <v>294.6</v>
      </c>
      <c r="J311" s="57" t="n">
        <f aca="false">BN311*Parameter!$B$18</f>
        <v>0</v>
      </c>
      <c r="K311" s="58" t="n">
        <v>2</v>
      </c>
      <c r="L311" s="59" t="n">
        <v>0</v>
      </c>
      <c r="M311" s="57" t="n">
        <v>0</v>
      </c>
      <c r="N311" s="57" t="n">
        <v>1</v>
      </c>
      <c r="O311" s="60" t="n">
        <v>14</v>
      </c>
      <c r="P311" s="55" t="s">
        <v>328</v>
      </c>
      <c r="Q311" s="57" t="n">
        <v>30</v>
      </c>
      <c r="R311" s="60" t="n">
        <f aca="false">IF(BT311=1,0,IFERROR(VLOOKUP(BR311,'Gebinde-Kategorie'!$A$5:$M$45,13,0)+0,0))</f>
        <v>52</v>
      </c>
      <c r="S311" s="61"/>
      <c r="T311" s="62"/>
      <c r="U311" s="62"/>
      <c r="V311" s="62"/>
      <c r="W311" s="55"/>
      <c r="X311" s="57"/>
      <c r="Y311" s="57"/>
      <c r="Z311" s="55" t="n">
        <f aca="false">IF(A311="","",IF(AND(Parameter!$B$21="Ja",ISNUMBER(W311)),W311,IF(BV311="2+3",IF(ISNUMBER(SEARCH("grosser Artikel",BO311)),2,IFERROR(VLOOKUP(BR311,Parameter!$F$35:$G$64,2,0),2)),IF(OR(BV311="Nein",BV311=""),"-",BV311))))</f>
        <v>3</v>
      </c>
      <c r="AA311" s="62"/>
      <c r="AB311" s="63"/>
      <c r="AC311" s="57" t="n">
        <f aca="false">AR311</f>
        <v>30</v>
      </c>
      <c r="AD311" s="57" t="n">
        <f aca="false">MAX(AR311,H311)</f>
        <v>30</v>
      </c>
      <c r="AE311" s="64"/>
      <c r="AF311" s="57" t="n">
        <f aca="false">IF(LEFT(Cockpit!$C$5,1)="A",H311,IF(CA311=1,CB311,IF(LEFT(Cockpit!$C$5,1)="B",AJ311,MAX(AJ311,H311))))</f>
        <v>12</v>
      </c>
      <c r="AG311" s="57" t="n">
        <f aca="false">IF(BT311=1,0,ROUNDUP(AF311/BS311,0))</f>
        <v>1</v>
      </c>
      <c r="AH311" s="59" t="n">
        <f aca="false">IF(CH311&gt;0,CH311*MAX(1,AF311/X311),IF(BT311=1,IF(AF311&lt;=0,0,BW311*MAX(1,IF(H311&gt;0,AF311/H311,1))),IF(R311&gt;0,AG311/R311,0))/MAX(0.1,N(Parameter!$M$21)))</f>
        <v>0.0192307692307692</v>
      </c>
      <c r="AI311" s="57" t="n">
        <f aca="false">AF311*G311</f>
        <v>294.6</v>
      </c>
      <c r="AJ311" s="57" t="n">
        <f aca="false">ROUNDUP(MAX(J311/IF(BZ311&gt;0,BZ311,MAX(0.1,N(Cockpit!$C$6))),CC311)/BS311,0)*BS311</f>
        <v>30</v>
      </c>
      <c r="AK311" s="58" t="n">
        <f aca="false">IF(AH311&gt;0,J311/AH311,-1)</f>
        <v>0</v>
      </c>
      <c r="AL311" s="58" t="n">
        <f aca="false">IF(AND(OR(BY311="L1",BY311="L23"),AH311&gt;0),SUMIFS($AH$7:$AH$1843,$BY$7:$BY$1843,BY311,$AK$7:$AK$1843,"&gt;"&amp;AK311)+SUMIFS($AH$7:$AH$1843,$BY$7:$BY$1843,BY311,$AK$7:$AK$1843,AK311,$BQ$7:$BQ$1843,"&lt;="&amp;BQ311),"")</f>
        <v>72.4968835512314</v>
      </c>
      <c r="AM311" s="65" t="n">
        <f aca="false">IF(AL311="",0,MAX(0,MIN(1,(IF(BY311="L1",Parameter!$E$5,Parameter!$E$6+Parameter!$E$7)-(AL311-AH311))/AH311)))</f>
        <v>1</v>
      </c>
      <c r="AN311" s="57" t="n">
        <f aca="false">IF(LEFT(Cockpit!$I$5,1)="A",H311,IF(CA311=1,CB311,IF(LEFT(Cockpit!$I$5,1)="B",AR311,MAX(AR311,H311))))</f>
        <v>30</v>
      </c>
      <c r="AO311" s="57" t="n">
        <f aca="false">IF(BT311=1,0,ROUNDUP(AN311/BS311,0))</f>
        <v>1</v>
      </c>
      <c r="AP311" s="59" t="n">
        <f aca="false">IF(CH311&gt;0,CH311*MAX(1,AN311/X311),IF(BT311=1,IF(AN311&lt;=0,0,BW311*MAX(1,IF(H311&gt;0,AN311/H311,1))),IF(R311&gt;0,AO311/R311,0))/MAX(0.1,N(Parameter!$M$21)))</f>
        <v>0.0192307692307692</v>
      </c>
      <c r="AQ311" s="57" t="n">
        <f aca="false">AN311*G311</f>
        <v>736.5</v>
      </c>
      <c r="AR311" s="57" t="n">
        <f aca="false">ROUNDUP(MAX(J311/IF(BZ311&gt;0,BZ311,MAX(0.1,N(Cockpit!$I$6))),CC311)/BS311,0)*BS311</f>
        <v>30</v>
      </c>
      <c r="AS311" s="58" t="n">
        <f aca="false">IF(AP311&gt;0,J311/AP311,-1)</f>
        <v>0</v>
      </c>
      <c r="AT311" s="58" t="n">
        <f aca="false">IF(AND(OR(BY311="L1",BY311="L23"),AP311&gt;0),SUMIFS($AP$7:$AP$1843,$BY$7:$BY$1843,BY311,$AS$7:$AS$1843,"&gt;"&amp;AS311)+SUMIFS($AP$7:$AP$1843,$BY$7:$BY$1843,BY311,$AS$7:$AS$1843,AS311,$BQ$7:$BQ$1843,"&lt;="&amp;BQ311),"")</f>
        <v>111.921007736225</v>
      </c>
      <c r="AU311" s="65" t="n">
        <f aca="false">IF(AT311="",0,MAX(0,MIN(1,(IF(BY311="L1",Parameter!$E$5,Parameter!$E$6+Parameter!$E$7)-(AT311-AP311))/AP311)))</f>
        <v>0</v>
      </c>
      <c r="AV311" s="57" t="n">
        <f aca="false">IF(LEFT(Cockpit!$O$5,1)="A",H311,IF(CA311=1,CB311,IF(LEFT(Cockpit!$O$5,1)="B",AZ311,MAX(AZ311,H311))))</f>
        <v>30</v>
      </c>
      <c r="AW311" s="57" t="n">
        <f aca="false">IF(BT311=1,0,ROUNDUP(AV311/BS311,0))</f>
        <v>1</v>
      </c>
      <c r="AX311" s="59" t="n">
        <f aca="false">IF(CH311&gt;0,CH311*MAX(1,AV311/X311),IF(BT311=1,IF(AV311&lt;=0,0,BW311*MAX(1,IF(H311&gt;0,AV311/H311,1))),IF(R311&gt;0,AW311/R311,0))/MAX(0.1,N(Parameter!$M$21)))</f>
        <v>0.0192307692307692</v>
      </c>
      <c r="AY311" s="57" t="n">
        <f aca="false">AV311*G311</f>
        <v>736.5</v>
      </c>
      <c r="AZ311" s="57" t="n">
        <f aca="false">ROUNDUP(MAX(J311/IF(BZ311&gt;0,BZ311,MAX(0.1,N(Cockpit!$O$6))),CC311)/BS311,0)*BS311</f>
        <v>30</v>
      </c>
      <c r="BA311" s="58" t="n">
        <f aca="false">IF(AX311&gt;0,J311/AX311,-1)</f>
        <v>0</v>
      </c>
      <c r="BB311" s="58" t="n">
        <f aca="false">IF(AND(OR(BY311="L1",BY311="L23"),AX311&gt;0),SUMIFS($AX$7:$AX$1843,$BY$7:$BY$1843,BY311,$BA$7:$BA$1843,"&gt;"&amp;BA311)+SUMIFS($AX$7:$AX$1843,$BY$7:$BY$1843,BY311,$BA$7:$BA$1843,BA311,$BQ$7:$BQ$1843,"&lt;="&amp;BQ311),"")</f>
        <v>102.750844566062</v>
      </c>
      <c r="BC311" s="65" t="n">
        <f aca="false">IF(BB311="",0,MAX(0,MIN(1,(IF(BY311="L1",Parameter!$E$5,Parameter!$E$6+Parameter!$E$7)-(BB311-AX311))/AX311)))</f>
        <v>0</v>
      </c>
      <c r="BD311" s="55" t="str">
        <f aca="false">IF(AH311&lt;=0,"",IF(BY311="Aussen","Aussenlager",IF(BY311="-","Nicht im Lift",IF(AM311&gt;=1,"Lift",IF(AM311&lt;=0,"Aussenlager","teilweise")))))</f>
        <v>Lift</v>
      </c>
      <c r="BE311" s="55" t="str">
        <f aca="false">IF(AP311&lt;=0,"",IF(BY311="Aussen","Aussenlager",IF(BY311="-","Nicht im Lift",IF(AU311&gt;=1,"Lift",IF(AU311&lt;=0,"Aussenlager","teilweise")))))</f>
        <v>Aussenlager</v>
      </c>
      <c r="BF311" s="55" t="str">
        <f aca="false">IF(AX311&lt;=0,"",IF(BY311="Aussen","Aussenlager",IF(BY311="-","Nicht im Lift",IF(BC311&gt;=1,"Lift",IF(BC311&lt;=0,"Aussenlager","teilweise")))))</f>
        <v>Aussenlager</v>
      </c>
      <c r="BG311" s="55" t="str">
        <f aca="false">IF(A311="","",IF(BP311=1,"Neu; ","")&amp;IF(AND(BP311=0,BK311&lt;0),"negativer Bestand (Export "&amp;BK311&amp;"); ","")&amp;IF(J311&lt;=0,"Kein Verbrauch; ","")&amp;IF(CH311&gt;0,"Lift "&amp;W311&amp;" lt. Liftbericht (Fach "&amp;X311&amp;" Stk); ",IF(BU311=1,"Gebinde geschätzt ("&amp;T311&amp;"); ",IF(BT311=1,"Lose – Tablare geschätzt; ","")))&amp;IF(H311&gt;AR311,"Überbestand "&amp;ROUND(H311-AR311,0)&amp;" Stk / CHF "&amp;ROUND((H311-AR311)*G311,0)&amp;"; ","")&amp;IF(AND(CA311=1,CB311&lt;CC311),"MAX &lt; MB+LG; ","")&amp;IF(AND(CG311&gt;0,CF311*10&gt;CG311),"zu hoch für Tablar; ","")&amp;IF(AND(BP311=0,OR(CA311=1,AA311&lt;&gt;"",U311&lt;&gt;"",V311&lt;&gt;"",AB311&lt;&gt;"")),"manuell übersteuert; ","")&amp;IF(AND(BT311=0,R311=0),"Gebinde unbekannt / Stellmass fehlt; ","")&amp;IF(AND(BT311=0,N(V311)&lt;=0,N(Q311)&lt;=0),"Menge pro Gebinde fehlt (Ist = 1 Gebinde); ","")&amp;BO311)</f>
        <v>Kein Verbrauch; </v>
      </c>
      <c r="BH311" s="55"/>
      <c r="BI311" s="55"/>
      <c r="BJ311" s="62"/>
      <c r="BK311" s="57" t="n">
        <v>10</v>
      </c>
      <c r="BL311" s="57" t="n">
        <v>2</v>
      </c>
      <c r="BM311" s="56" t="n">
        <v>254.58</v>
      </c>
      <c r="BN311" s="57" t="n">
        <v>0</v>
      </c>
      <c r="BO311" s="55"/>
      <c r="BP311" s="60" t="n">
        <v>0</v>
      </c>
      <c r="BQ311" s="60" t="n">
        <v>311</v>
      </c>
      <c r="BR311" s="55" t="str">
        <f aca="false">IF(U311&lt;&gt;"",UPPER(TRIM(U311)),IF(BU311=1,UPPER(VLOOKUP(T311,Parameter!$I$27:$K$29,2,0)),IF(P311="","LOSE",P311)))</f>
        <v>S41</v>
      </c>
      <c r="BS311" s="57" t="n">
        <f aca="false">IF(BR311="LOSE",1,IF(N(V311)&gt;0,V311,IF(BU311=1,MAX(1,N(VLOOKUP(T311,Parameter!$I$27:$K$29,3,0)),H311,N(N311)),IF(N(Q311)&gt;0,Q311,MAX(1,H311)))))</f>
        <v>30</v>
      </c>
      <c r="BT311" s="60" t="n">
        <f aca="false">IF(BR311="LOSE",1,0)</f>
        <v>0</v>
      </c>
      <c r="BU311" s="60" t="n">
        <f aca="false">IF(AND(U311="",OR(P311="",P311="LOSE"),T311&lt;&gt;"",N(S311)&lt;=0,ISNUMBER(MATCH(T311,Parameter!$I$27:$I$29,0))),1,0)</f>
        <v>0</v>
      </c>
      <c r="BV311" s="55" t="str">
        <f aca="false">IF(AND(Parameter!$B$19="Ja",E311&lt;&gt;"",ISNUMBER(MATCH(E311,Parameter!$I$35:$I$52,0))),VLOOKUP(E311,Parameter!$I$35:$J$52,2,0),IFERROR(VLOOKUP(D311,Parameter!$A$35:$C$64,2,0),"Nein"))</f>
        <v>2+3</v>
      </c>
      <c r="BW311" s="59" t="n">
        <f aca="false">IF(BT311=0,0,IF(N(S311)&gt;0,S311,IFERROR(VLOOKUP(D311,Parameter!$A$35:$C$64,3,0)+0,0)))</f>
        <v>0</v>
      </c>
      <c r="BX311" s="55" t="n">
        <f aca="false">IF(AA311&lt;&gt;"",AA311,Z311)</f>
        <v>3</v>
      </c>
      <c r="BY311" s="55" t="str">
        <f aca="false">IF(BX311=1,"L1",IF(OR(BX311=2,BX311=3),"L23",IF(BX311="Aussen","Aussen","-")))</f>
        <v>L23</v>
      </c>
      <c r="BZ311" s="66" t="n">
        <f aca="false">IF(N(AB311)&gt;0,AB311,0)</f>
        <v>0</v>
      </c>
      <c r="CA311" s="60" t="n">
        <f aca="false">IF(ISNUMBER(AE311),1,0)</f>
        <v>0</v>
      </c>
      <c r="CB311" s="57" t="n">
        <f aca="false">N(AE311)</f>
        <v>0</v>
      </c>
      <c r="CC311" s="57" t="n">
        <f aca="false">N(M311)+N(N311)</f>
        <v>1</v>
      </c>
      <c r="CD311" s="57" t="n">
        <f aca="false">ROUNDUP(H311/BS311,0)</f>
        <v>1</v>
      </c>
      <c r="CE311" s="57" t="n">
        <f aca="false">ROUNDUP(CB311/BS311,0)</f>
        <v>0</v>
      </c>
      <c r="CF311" s="60" t="n">
        <f aca="false">IF(BT311=1,0,IFERROR(VLOOKUP(BR311,'Gebinde-Kategorie'!$A$5:$M$45,5,0)+0,0))</f>
        <v>11</v>
      </c>
      <c r="CG311" s="60" t="n">
        <f aca="false">IFERROR(IF(OR(BX311=1,BX311=2,BX311=3),N(INDEX(Parameter!$I$5:$I$7,BX311)),0),0)</f>
        <v>0</v>
      </c>
      <c r="CH311" s="59" t="n">
        <f aca="false">IF(AND(Parameter!$B$21="Ja",ISNUMBER(W311),N(X311)&gt;0),IFERROR(N(INDEX(Parameter!$L$5:$L$7,W311))*INDEX(Parameter!$E$5:$E$7,W311)*X311/SUMIFS($X$7:$X$1843,$W$7:$W$1843,W311),0),0)</f>
        <v>0</v>
      </c>
    </row>
    <row r="312" customFormat="false" ht="15" hidden="false" customHeight="false" outlineLevel="0" collapsed="false">
      <c r="A312" s="55" t="s">
        <v>791</v>
      </c>
      <c r="B312" s="55" t="s">
        <v>792</v>
      </c>
      <c r="C312" s="55" t="s">
        <v>164</v>
      </c>
      <c r="D312" s="55" t="s">
        <v>184</v>
      </c>
      <c r="E312" s="55"/>
      <c r="F312" s="55" t="s">
        <v>218</v>
      </c>
      <c r="G312" s="56" t="n">
        <v>10.09</v>
      </c>
      <c r="H312" s="57" t="n">
        <f aca="false">MAX(0,IF(AND(Parameter!$B$21="Ja",ISNUMBER(Y312)),Y312,IF(Parameter!$B$20="Jahresanfang 2025 + Export",BL312+BK312,BK312)))</f>
        <v>25</v>
      </c>
      <c r="I312" s="57" t="n">
        <f aca="false">H312*G312</f>
        <v>252.25</v>
      </c>
      <c r="J312" s="57" t="n">
        <f aca="false">BN312*Parameter!$B$18</f>
        <v>0</v>
      </c>
      <c r="K312" s="58" t="n">
        <v>0</v>
      </c>
      <c r="L312" s="59" t="n">
        <v>0</v>
      </c>
      <c r="M312" s="57" t="n">
        <v>0</v>
      </c>
      <c r="N312" s="57" t="n">
        <v>1</v>
      </c>
      <c r="O312" s="60" t="n">
        <v>9999</v>
      </c>
      <c r="P312" s="55" t="s">
        <v>168</v>
      </c>
      <c r="Q312" s="57"/>
      <c r="R312" s="60" t="n">
        <f aca="false">IF(BT312=1,0,IFERROR(VLOOKUP(BR312,'Gebinde-Kategorie'!$A$5:$M$45,13,0)+0,0))</f>
        <v>26</v>
      </c>
      <c r="S312" s="61"/>
      <c r="T312" s="62" t="s">
        <v>275</v>
      </c>
      <c r="U312" s="62"/>
      <c r="V312" s="62"/>
      <c r="W312" s="55"/>
      <c r="X312" s="57"/>
      <c r="Y312" s="57"/>
      <c r="Z312" s="55" t="n">
        <f aca="false">IF(A312="","",IF(AND(Parameter!$B$21="Ja",ISNUMBER(W312)),W312,IF(BV312="2+3",IF(ISNUMBER(SEARCH("grosser Artikel",BO312)),2,IFERROR(VLOOKUP(BR312,Parameter!$F$35:$G$64,2,0),2)),IF(OR(BV312="Nein",BV312=""),"-",BV312))))</f>
        <v>3</v>
      </c>
      <c r="AA312" s="62"/>
      <c r="AB312" s="63"/>
      <c r="AC312" s="57" t="n">
        <f aca="false">AR312</f>
        <v>25</v>
      </c>
      <c r="AD312" s="57" t="n">
        <f aca="false">MAX(AR312,H312)</f>
        <v>25</v>
      </c>
      <c r="AE312" s="64"/>
      <c r="AF312" s="57" t="n">
        <f aca="false">IF(LEFT(Cockpit!$C$5,1)="A",H312,IF(CA312=1,CB312,IF(LEFT(Cockpit!$C$5,1)="B",AJ312,MAX(AJ312,H312))))</f>
        <v>25</v>
      </c>
      <c r="AG312" s="57" t="n">
        <f aca="false">IF(BT312=1,0,ROUNDUP(AF312/BS312,0))</f>
        <v>1</v>
      </c>
      <c r="AH312" s="59" t="n">
        <f aca="false">IF(CH312&gt;0,CH312*MAX(1,AF312/X312),IF(BT312=1,IF(AF312&lt;=0,0,BW312*MAX(1,IF(H312&gt;0,AF312/H312,1))),IF(R312&gt;0,AG312/R312,0))/MAX(0.1,N(Parameter!$M$21)))</f>
        <v>0.0384615384615385</v>
      </c>
      <c r="AI312" s="57" t="n">
        <f aca="false">AF312*G312</f>
        <v>252.25</v>
      </c>
      <c r="AJ312" s="57" t="n">
        <f aca="false">ROUNDUP(MAX(J312/IF(BZ312&gt;0,BZ312,MAX(0.1,N(Cockpit!$C$6))),CC312)/BS312,0)*BS312</f>
        <v>25</v>
      </c>
      <c r="AK312" s="58" t="n">
        <f aca="false">IF(AH312&gt;0,J312/AH312,-1)</f>
        <v>0</v>
      </c>
      <c r="AL312" s="58" t="n">
        <f aca="false">IF(AND(OR(BY312="L1",BY312="L23"),AH312&gt;0),SUMIFS($AH$7:$AH$1843,$BY$7:$BY$1843,BY312,$AK$7:$AK$1843,"&gt;"&amp;AK312)+SUMIFS($AH$7:$AH$1843,$BY$7:$BY$1843,BY312,$AK$7:$AK$1843,AK312,$BQ$7:$BQ$1843,"&lt;="&amp;BQ312),"")</f>
        <v>72.5353450896929</v>
      </c>
      <c r="AM312" s="65" t="n">
        <f aca="false">IF(AL312="",0,MAX(0,MIN(1,(IF(BY312="L1",Parameter!$E$5,Parameter!$E$6+Parameter!$E$7)-(AL312-AH312))/AH312)))</f>
        <v>1</v>
      </c>
      <c r="AN312" s="57" t="n">
        <f aca="false">IF(LEFT(Cockpit!$I$5,1)="A",H312,IF(CA312=1,CB312,IF(LEFT(Cockpit!$I$5,1)="B",AR312,MAX(AR312,H312))))</f>
        <v>25</v>
      </c>
      <c r="AO312" s="57" t="n">
        <f aca="false">IF(BT312=1,0,ROUNDUP(AN312/BS312,0))</f>
        <v>1</v>
      </c>
      <c r="AP312" s="59" t="n">
        <f aca="false">IF(CH312&gt;0,CH312*MAX(1,AN312/X312),IF(BT312=1,IF(AN312&lt;=0,0,BW312*MAX(1,IF(H312&gt;0,AN312/H312,1))),IF(R312&gt;0,AO312/R312,0))/MAX(0.1,N(Parameter!$M$21)))</f>
        <v>0.0384615384615385</v>
      </c>
      <c r="AQ312" s="57" t="n">
        <f aca="false">AN312*G312</f>
        <v>252.25</v>
      </c>
      <c r="AR312" s="57" t="n">
        <f aca="false">ROUNDUP(MAX(J312/IF(BZ312&gt;0,BZ312,MAX(0.1,N(Cockpit!$I$6))),CC312)/BS312,0)*BS312</f>
        <v>25</v>
      </c>
      <c r="AS312" s="58" t="n">
        <f aca="false">IF(AP312&gt;0,J312/AP312,-1)</f>
        <v>0</v>
      </c>
      <c r="AT312" s="58" t="n">
        <f aca="false">IF(AND(OR(BY312="L1",BY312="L23"),AP312&gt;0),SUMIFS($AP$7:$AP$1843,$BY$7:$BY$1843,BY312,$AS$7:$AS$1843,"&gt;"&amp;AS312)+SUMIFS($AP$7:$AP$1843,$BY$7:$BY$1843,BY312,$AS$7:$AS$1843,AS312,$BQ$7:$BQ$1843,"&lt;="&amp;BQ312),"")</f>
        <v>111.959469274687</v>
      </c>
      <c r="AU312" s="65" t="n">
        <f aca="false">IF(AT312="",0,MAX(0,MIN(1,(IF(BY312="L1",Parameter!$E$5,Parameter!$E$6+Parameter!$E$7)-(AT312-AP312))/AP312)))</f>
        <v>0</v>
      </c>
      <c r="AV312" s="57" t="n">
        <f aca="false">IF(LEFT(Cockpit!$O$5,1)="A",H312,IF(CA312=1,CB312,IF(LEFT(Cockpit!$O$5,1)="B",AZ312,MAX(AZ312,H312))))</f>
        <v>25</v>
      </c>
      <c r="AW312" s="57" t="n">
        <f aca="false">IF(BT312=1,0,ROUNDUP(AV312/BS312,0))</f>
        <v>1</v>
      </c>
      <c r="AX312" s="59" t="n">
        <f aca="false">IF(CH312&gt;0,CH312*MAX(1,AV312/X312),IF(BT312=1,IF(AV312&lt;=0,0,BW312*MAX(1,IF(H312&gt;0,AV312/H312,1))),IF(R312&gt;0,AW312/R312,0))/MAX(0.1,N(Parameter!$M$21)))</f>
        <v>0.0384615384615385</v>
      </c>
      <c r="AY312" s="57" t="n">
        <f aca="false">AV312*G312</f>
        <v>252.25</v>
      </c>
      <c r="AZ312" s="57" t="n">
        <f aca="false">ROUNDUP(MAX(J312/IF(BZ312&gt;0,BZ312,MAX(0.1,N(Cockpit!$O$6))),CC312)/BS312,0)*BS312</f>
        <v>25</v>
      </c>
      <c r="BA312" s="58" t="n">
        <f aca="false">IF(AX312&gt;0,J312/AX312,-1)</f>
        <v>0</v>
      </c>
      <c r="BB312" s="58" t="n">
        <f aca="false">IF(AND(OR(BY312="L1",BY312="L23"),AX312&gt;0),SUMIFS($AX$7:$AX$1843,$BY$7:$BY$1843,BY312,$BA$7:$BA$1843,"&gt;"&amp;BA312)+SUMIFS($AX$7:$AX$1843,$BY$7:$BY$1843,BY312,$BA$7:$BA$1843,BA312,$BQ$7:$BQ$1843,"&lt;="&amp;BQ312),"")</f>
        <v>102.789306104523</v>
      </c>
      <c r="BC312" s="65" t="n">
        <f aca="false">IF(BB312="",0,MAX(0,MIN(1,(IF(BY312="L1",Parameter!$E$5,Parameter!$E$6+Parameter!$E$7)-(BB312-AX312))/AX312)))</f>
        <v>0</v>
      </c>
      <c r="BD312" s="55" t="str">
        <f aca="false">IF(AH312&lt;=0,"",IF(BY312="Aussen","Aussenlager",IF(BY312="-","Nicht im Lift",IF(AM312&gt;=1,"Lift",IF(AM312&lt;=0,"Aussenlager","teilweise")))))</f>
        <v>Lift</v>
      </c>
      <c r="BE312" s="55" t="str">
        <f aca="false">IF(AP312&lt;=0,"",IF(BY312="Aussen","Aussenlager",IF(BY312="-","Nicht im Lift",IF(AU312&gt;=1,"Lift",IF(AU312&lt;=0,"Aussenlager","teilweise")))))</f>
        <v>Aussenlager</v>
      </c>
      <c r="BF312" s="55" t="str">
        <f aca="false">IF(AX312&lt;=0,"",IF(BY312="Aussen","Aussenlager",IF(BY312="-","Nicht im Lift",IF(BC312&gt;=1,"Lift",IF(BC312&lt;=0,"Aussenlager","teilweise")))))</f>
        <v>Aussenlager</v>
      </c>
      <c r="BG312" s="55" t="str">
        <f aca="false">IF(A312="","",IF(BP312=1,"Neu; ","")&amp;IF(AND(BP312=0,BK312&lt;0),"negativer Bestand (Export "&amp;BK312&amp;"); ","")&amp;IF(J312&lt;=0,"Kein Verbrauch; ","")&amp;IF(CH312&gt;0,"Lift "&amp;W312&amp;" lt. Liftbericht (Fach "&amp;X312&amp;" Stk); ",IF(BU312=1,"Gebinde geschätzt ("&amp;T312&amp;"); ",IF(BT312=1,"Lose – Tablare geschätzt; ","")))&amp;IF(H312&gt;AR312,"Überbestand "&amp;ROUND(H312-AR312,0)&amp;" Stk / CHF "&amp;ROUND((H312-AR312)*G312,0)&amp;"; ","")&amp;IF(AND(CA312=1,CB312&lt;CC312),"MAX &lt; MB+LG; ","")&amp;IF(AND(CG312&gt;0,CF312*10&gt;CG312),"zu hoch für Tablar; ","")&amp;IF(AND(BP312=0,OR(CA312=1,AA312&lt;&gt;"",U312&lt;&gt;"",V312&lt;&gt;"",AB312&lt;&gt;"")),"manuell übersteuert; ","")&amp;IF(AND(BT312=0,R312=0),"Gebinde unbekannt / Stellmass fehlt; ","")&amp;IF(AND(BT312=0,N(V312)&lt;=0,N(Q312)&lt;=0),"Menge pro Gebinde fehlt (Ist = 1 Gebinde); ","")&amp;BO312)</f>
        <v>Kein Verbrauch; Gebinde geschätzt (Klein); Menge pro Gebinde fehlt (Ist = 1 Gebinde); </v>
      </c>
      <c r="BH312" s="55"/>
      <c r="BI312" s="55"/>
      <c r="BJ312" s="62"/>
      <c r="BK312" s="57" t="n">
        <v>25</v>
      </c>
      <c r="BL312" s="57" t="n">
        <v>0</v>
      </c>
      <c r="BM312" s="56" t="n">
        <v>252.25</v>
      </c>
      <c r="BN312" s="57" t="n">
        <v>0</v>
      </c>
      <c r="BO312" s="55"/>
      <c r="BP312" s="60" t="n">
        <v>0</v>
      </c>
      <c r="BQ312" s="60" t="n">
        <v>312</v>
      </c>
      <c r="BR312" s="55" t="str">
        <f aca="false">IF(U312&lt;&gt;"",UPPER(TRIM(U312)),IF(BU312=1,UPPER(VLOOKUP(T312,Parameter!$I$27:$K$29,2,0)),IF(P312="","LOSE",P312)))</f>
        <v>S51</v>
      </c>
      <c r="BS312" s="57" t="n">
        <f aca="false">IF(BR312="LOSE",1,IF(N(V312)&gt;0,V312,IF(BU312=1,MAX(1,N(VLOOKUP(T312,Parameter!$I$27:$K$29,3,0)),H312,N(N312)),IF(N(Q312)&gt;0,Q312,MAX(1,H312)))))</f>
        <v>25</v>
      </c>
      <c r="BT312" s="60" t="n">
        <f aca="false">IF(BR312="LOSE",1,0)</f>
        <v>0</v>
      </c>
      <c r="BU312" s="60" t="n">
        <f aca="false">IF(AND(U312="",OR(P312="",P312="LOSE"),T312&lt;&gt;"",N(S312)&lt;=0,ISNUMBER(MATCH(T312,Parameter!$I$27:$I$29,0))),1,0)</f>
        <v>1</v>
      </c>
      <c r="BV312" s="55" t="str">
        <f aca="false">IF(AND(Parameter!$B$19="Ja",E312&lt;&gt;"",ISNUMBER(MATCH(E312,Parameter!$I$35:$I$52,0))),VLOOKUP(E312,Parameter!$I$35:$J$52,2,0),IFERROR(VLOOKUP(D312,Parameter!$A$35:$C$64,2,0),"Nein"))</f>
        <v>2+3</v>
      </c>
      <c r="BW312" s="59" t="n">
        <f aca="false">IF(BT312=0,0,IF(N(S312)&gt;0,S312,IFERROR(VLOOKUP(D312,Parameter!$A$35:$C$64,3,0)+0,0)))</f>
        <v>0</v>
      </c>
      <c r="BX312" s="55" t="n">
        <f aca="false">IF(AA312&lt;&gt;"",AA312,Z312)</f>
        <v>3</v>
      </c>
      <c r="BY312" s="55" t="str">
        <f aca="false">IF(BX312=1,"L1",IF(OR(BX312=2,BX312=3),"L23",IF(BX312="Aussen","Aussen","-")))</f>
        <v>L23</v>
      </c>
      <c r="BZ312" s="66" t="n">
        <f aca="false">IF(N(AB312)&gt;0,AB312,0)</f>
        <v>0</v>
      </c>
      <c r="CA312" s="60" t="n">
        <f aca="false">IF(ISNUMBER(AE312),1,0)</f>
        <v>0</v>
      </c>
      <c r="CB312" s="57" t="n">
        <f aca="false">N(AE312)</f>
        <v>0</v>
      </c>
      <c r="CC312" s="57" t="n">
        <f aca="false">N(M312)+N(N312)</f>
        <v>1</v>
      </c>
      <c r="CD312" s="57" t="n">
        <f aca="false">ROUNDUP(H312/BS312,0)</f>
        <v>1</v>
      </c>
      <c r="CE312" s="57" t="n">
        <f aca="false">ROUNDUP(CB312/BS312,0)</f>
        <v>0</v>
      </c>
      <c r="CF312" s="60" t="n">
        <f aca="false">IF(BT312=1,0,IFERROR(VLOOKUP(BR312,'Gebinde-Kategorie'!$A$5:$M$45,5,0)+0,0))</f>
        <v>11</v>
      </c>
      <c r="CG312" s="60" t="n">
        <f aca="false">IFERROR(IF(OR(BX312=1,BX312=2,BX312=3),N(INDEX(Parameter!$I$5:$I$7,BX312)),0),0)</f>
        <v>0</v>
      </c>
      <c r="CH312" s="59" t="n">
        <f aca="false">IF(AND(Parameter!$B$21="Ja",ISNUMBER(W312),N(X312)&gt;0),IFERROR(N(INDEX(Parameter!$L$5:$L$7,W312))*INDEX(Parameter!$E$5:$E$7,W312)*X312/SUMIFS($X$7:$X$1843,$W$7:$W$1843,W312),0),0)</f>
        <v>0</v>
      </c>
    </row>
    <row r="313" customFormat="false" ht="15" hidden="false" customHeight="false" outlineLevel="0" collapsed="false">
      <c r="A313" s="55" t="s">
        <v>793</v>
      </c>
      <c r="B313" s="55" t="s">
        <v>794</v>
      </c>
      <c r="C313" s="55" t="s">
        <v>164</v>
      </c>
      <c r="D313" s="55" t="s">
        <v>184</v>
      </c>
      <c r="E313" s="55" t="s">
        <v>185</v>
      </c>
      <c r="F313" s="55" t="s">
        <v>218</v>
      </c>
      <c r="G313" s="56" t="n">
        <v>27.18</v>
      </c>
      <c r="H313" s="57" t="n">
        <f aca="false">MAX(0,IF(AND(Parameter!$B$21="Ja",ISNUMBER(Y313)),Y313,IF(Parameter!$B$20="Jahresanfang 2025 + Export",BL313+BK313,BK313)))</f>
        <v>28</v>
      </c>
      <c r="I313" s="57" t="n">
        <f aca="false">H313*G313</f>
        <v>761.04</v>
      </c>
      <c r="J313" s="57" t="n">
        <f aca="false">BN313*Parameter!$B$18</f>
        <v>24</v>
      </c>
      <c r="K313" s="58" t="n">
        <v>19.5</v>
      </c>
      <c r="L313" s="59" t="n">
        <v>1.23076923076923</v>
      </c>
      <c r="M313" s="57" t="n">
        <v>1</v>
      </c>
      <c r="N313" s="57" t="n">
        <v>25</v>
      </c>
      <c r="O313" s="60" t="n">
        <v>21</v>
      </c>
      <c r="P313" s="55" t="s">
        <v>233</v>
      </c>
      <c r="Q313" s="57" t="n">
        <v>8</v>
      </c>
      <c r="R313" s="60" t="n">
        <f aca="false">IF(BT313=1,0,IFERROR(VLOOKUP(BR313,'Gebinde-Kategorie'!$A$5:$M$45,13,0)+0,0))</f>
        <v>26</v>
      </c>
      <c r="S313" s="61"/>
      <c r="T313" s="62"/>
      <c r="U313" s="62"/>
      <c r="V313" s="62"/>
      <c r="W313" s="55"/>
      <c r="X313" s="57"/>
      <c r="Y313" s="57"/>
      <c r="Z313" s="55" t="n">
        <f aca="false">IF(A313="","",IF(AND(Parameter!$B$21="Ja",ISNUMBER(W313)),W313,IF(BV313="2+3",IF(ISNUMBER(SEARCH("grosser Artikel",BO313)),2,IFERROR(VLOOKUP(BR313,Parameter!$F$35:$G$64,2,0),2)),IF(OR(BV313="Nein",BV313=""),"-",BV313))))</f>
        <v>3</v>
      </c>
      <c r="AA313" s="62"/>
      <c r="AB313" s="63"/>
      <c r="AC313" s="57" t="n">
        <f aca="false">AR313</f>
        <v>32</v>
      </c>
      <c r="AD313" s="57" t="n">
        <f aca="false">MAX(AR313,H313)</f>
        <v>32</v>
      </c>
      <c r="AE313" s="64"/>
      <c r="AF313" s="57" t="n">
        <f aca="false">IF(LEFT(Cockpit!$C$5,1)="A",H313,IF(CA313=1,CB313,IF(LEFT(Cockpit!$C$5,1)="B",AJ313,MAX(AJ313,H313))))</f>
        <v>28</v>
      </c>
      <c r="AG313" s="57" t="n">
        <f aca="false">IF(BT313=1,0,ROUNDUP(AF313/BS313,0))</f>
        <v>4</v>
      </c>
      <c r="AH313" s="59" t="n">
        <f aca="false">IF(CH313&gt;0,CH313*MAX(1,AF313/X313),IF(BT313=1,IF(AF313&lt;=0,0,BW313*MAX(1,IF(H313&gt;0,AF313/H313,1))),IF(R313&gt;0,AG313/R313,0))/MAX(0.1,N(Parameter!$M$21)))</f>
        <v>0.153846153846154</v>
      </c>
      <c r="AI313" s="57" t="n">
        <f aca="false">AF313*G313</f>
        <v>761.04</v>
      </c>
      <c r="AJ313" s="57" t="n">
        <f aca="false">ROUNDUP(MAX(J313/IF(BZ313&gt;0,BZ313,MAX(0.1,N(Cockpit!$C$6))),CC313)/BS313,0)*BS313</f>
        <v>32</v>
      </c>
      <c r="AK313" s="58" t="n">
        <f aca="false">IF(AH313&gt;0,J313/AH313,-1)</f>
        <v>156</v>
      </c>
      <c r="AL313" s="58" t="n">
        <f aca="false">IF(AND(OR(BY313="L1",BY313="L23"),AH313&gt;0),SUMIFS($AH$7:$AH$1843,$BY$7:$BY$1843,BY313,$AK$7:$AK$1843,"&gt;"&amp;AK313)+SUMIFS($AH$7:$AH$1843,$BY$7:$BY$1843,BY313,$AK$7:$AK$1843,AK313,$BQ$7:$BQ$1843,"&lt;="&amp;BQ313),"")</f>
        <v>34.642571196919</v>
      </c>
      <c r="AM313" s="65" t="n">
        <f aca="false">IF(AL313="",0,MAX(0,MIN(1,(IF(BY313="L1",Parameter!$E$5,Parameter!$E$6+Parameter!$E$7)-(AL313-AH313))/AH313)))</f>
        <v>1</v>
      </c>
      <c r="AN313" s="57" t="n">
        <f aca="false">IF(LEFT(Cockpit!$I$5,1)="A",H313,IF(CA313=1,CB313,IF(LEFT(Cockpit!$I$5,1)="B",AR313,MAX(AR313,H313))))</f>
        <v>32</v>
      </c>
      <c r="AO313" s="57" t="n">
        <f aca="false">IF(BT313=1,0,ROUNDUP(AN313/BS313,0))</f>
        <v>4</v>
      </c>
      <c r="AP313" s="59" t="n">
        <f aca="false">IF(CH313&gt;0,CH313*MAX(1,AN313/X313),IF(BT313=1,IF(AN313&lt;=0,0,BW313*MAX(1,IF(H313&gt;0,AN313/H313,1))),IF(R313&gt;0,AO313/R313,0))/MAX(0.1,N(Parameter!$M$21)))</f>
        <v>0.153846153846154</v>
      </c>
      <c r="AQ313" s="57" t="n">
        <f aca="false">AN313*G313</f>
        <v>869.76</v>
      </c>
      <c r="AR313" s="57" t="n">
        <f aca="false">ROUNDUP(MAX(J313/IF(BZ313&gt;0,BZ313,MAX(0.1,N(Cockpit!$I$6))),CC313)/BS313,0)*BS313</f>
        <v>32</v>
      </c>
      <c r="AS313" s="58" t="n">
        <f aca="false">IF(AP313&gt;0,J313/AP313,-1)</f>
        <v>156</v>
      </c>
      <c r="AT313" s="58" t="n">
        <f aca="false">IF(AND(OR(BY313="L1",BY313="L23"),AP313&gt;0),SUMIFS($AP$7:$AP$1843,$BY$7:$BY$1843,BY313,$AS$7:$AS$1843,"&gt;"&amp;AS313)+SUMIFS($AP$7:$AP$1843,$BY$7:$BY$1843,BY313,$AS$7:$AS$1843,AS313,$BQ$7:$BQ$1843,"&lt;="&amp;BQ313),"")</f>
        <v>48.9326627478801</v>
      </c>
      <c r="AU313" s="65" t="n">
        <f aca="false">IF(AT313="",0,MAX(0,MIN(1,(IF(BY313="L1",Parameter!$E$5,Parameter!$E$6+Parameter!$E$7)-(AT313-AP313))/AP313)))</f>
        <v>1</v>
      </c>
      <c r="AV313" s="57" t="n">
        <f aca="false">IF(LEFT(Cockpit!$O$5,1)="A",H313,IF(CA313=1,CB313,IF(LEFT(Cockpit!$O$5,1)="B",AZ313,MAX(AZ313,H313))))</f>
        <v>32</v>
      </c>
      <c r="AW313" s="57" t="n">
        <f aca="false">IF(BT313=1,0,ROUNDUP(AV313/BS313,0))</f>
        <v>4</v>
      </c>
      <c r="AX313" s="59" t="n">
        <f aca="false">IF(CH313&gt;0,CH313*MAX(1,AV313/X313),IF(BT313=1,IF(AV313&lt;=0,0,BW313*MAX(1,IF(H313&gt;0,AV313/H313,1))),IF(R313&gt;0,AW313/R313,0))/MAX(0.1,N(Parameter!$M$21)))</f>
        <v>0.153846153846154</v>
      </c>
      <c r="AY313" s="57" t="n">
        <f aca="false">AV313*G313</f>
        <v>869.76</v>
      </c>
      <c r="AZ313" s="57" t="n">
        <f aca="false">ROUNDUP(MAX(J313/IF(BZ313&gt;0,BZ313,MAX(0.1,N(Cockpit!$O$6))),CC313)/BS313,0)*BS313</f>
        <v>32</v>
      </c>
      <c r="BA313" s="58" t="n">
        <f aca="false">IF(AX313&gt;0,J313/AX313,-1)</f>
        <v>156</v>
      </c>
      <c r="BB313" s="58" t="n">
        <f aca="false">IF(AND(OR(BY313="L1",BY313="L23"),AX313&gt;0),SUMIFS($AX$7:$AX$1843,$BY$7:$BY$1843,BY313,$BA$7:$BA$1843,"&gt;"&amp;BA313)+SUMIFS($AX$7:$AX$1843,$BY$7:$BY$1843,BY313,$BA$7:$BA$1843,BA313,$BQ$7:$BQ$1843,"&lt;="&amp;BQ313),"")</f>
        <v>44.512499577717</v>
      </c>
      <c r="BC313" s="65" t="n">
        <f aca="false">IF(BB313="",0,MAX(0,MIN(1,(IF(BY313="L1",Parameter!$E$5,Parameter!$E$6+Parameter!$E$7)-(BB313-AX313))/AX313)))</f>
        <v>1</v>
      </c>
      <c r="BD313" s="55" t="str">
        <f aca="false">IF(AH313&lt;=0,"",IF(BY313="Aussen","Aussenlager",IF(BY313="-","Nicht im Lift",IF(AM313&gt;=1,"Lift",IF(AM313&lt;=0,"Aussenlager","teilweise")))))</f>
        <v>Lift</v>
      </c>
      <c r="BE313" s="55" t="str">
        <f aca="false">IF(AP313&lt;=0,"",IF(BY313="Aussen","Aussenlager",IF(BY313="-","Nicht im Lift",IF(AU313&gt;=1,"Lift",IF(AU313&lt;=0,"Aussenlager","teilweise")))))</f>
        <v>Lift</v>
      </c>
      <c r="BF313" s="55" t="str">
        <f aca="false">IF(AX313&lt;=0,"",IF(BY313="Aussen","Aussenlager",IF(BY313="-","Nicht im Lift",IF(BC313&gt;=1,"Lift",IF(BC313&lt;=0,"Aussenlager","teilweise")))))</f>
        <v>Lift</v>
      </c>
      <c r="BG313" s="55" t="str">
        <f aca="false">IF(A313="","",IF(BP313=1,"Neu; ","")&amp;IF(AND(BP313=0,BK313&lt;0),"negativer Bestand (Export "&amp;BK313&amp;"); ","")&amp;IF(J313&lt;=0,"Kein Verbrauch; ","")&amp;IF(CH313&gt;0,"Lift "&amp;W313&amp;" lt. Liftbericht (Fach "&amp;X313&amp;" Stk); ",IF(BU313=1,"Gebinde geschätzt ("&amp;T313&amp;"); ",IF(BT313=1,"Lose – Tablare geschätzt; ","")))&amp;IF(H313&gt;AR313,"Überbestand "&amp;ROUND(H313-AR313,0)&amp;" Stk / CHF "&amp;ROUND((H313-AR313)*G313,0)&amp;"; ","")&amp;IF(AND(CA313=1,CB313&lt;CC313),"MAX &lt; MB+LG; ","")&amp;IF(AND(CG313&gt;0,CF313*10&gt;CG313),"zu hoch für Tablar; ","")&amp;IF(AND(BP313=0,OR(CA313=1,AA313&lt;&gt;"",U313&lt;&gt;"",V313&lt;&gt;"",AB313&lt;&gt;"")),"manuell übersteuert; ","")&amp;IF(AND(BT313=0,R313=0),"Gebinde unbekannt / Stellmass fehlt; ","")&amp;IF(AND(BT313=0,N(V313)&lt;=0,N(Q313)&lt;=0),"Menge pro Gebinde fehlt (Ist = 1 Gebinde); ","")&amp;BO313)</f>
        <v/>
      </c>
      <c r="BH313" s="55"/>
      <c r="BI313" s="55"/>
      <c r="BJ313" s="62"/>
      <c r="BK313" s="57" t="n">
        <v>9</v>
      </c>
      <c r="BL313" s="57" t="n">
        <v>19</v>
      </c>
      <c r="BM313" s="56" t="n">
        <v>249.88</v>
      </c>
      <c r="BN313" s="57" t="n">
        <v>24</v>
      </c>
      <c r="BO313" s="55"/>
      <c r="BP313" s="60" t="n">
        <v>0</v>
      </c>
      <c r="BQ313" s="60" t="n">
        <v>313</v>
      </c>
      <c r="BR313" s="55" t="str">
        <f aca="false">IF(U313&lt;&gt;"",UPPER(TRIM(U313)),IF(BU313=1,UPPER(VLOOKUP(T313,Parameter!$I$27:$K$29,2,0)),IF(P313="","LOSE",P313)))</f>
        <v>S52</v>
      </c>
      <c r="BS313" s="57" t="n">
        <f aca="false">IF(BR313="LOSE",1,IF(N(V313)&gt;0,V313,IF(BU313=1,MAX(1,N(VLOOKUP(T313,Parameter!$I$27:$K$29,3,0)),H313,N(N313)),IF(N(Q313)&gt;0,Q313,MAX(1,H313)))))</f>
        <v>8</v>
      </c>
      <c r="BT313" s="60" t="n">
        <f aca="false">IF(BR313="LOSE",1,0)</f>
        <v>0</v>
      </c>
      <c r="BU313" s="60" t="n">
        <f aca="false">IF(AND(U313="",OR(P313="",P313="LOSE"),T313&lt;&gt;"",N(S313)&lt;=0,ISNUMBER(MATCH(T313,Parameter!$I$27:$I$29,0))),1,0)</f>
        <v>0</v>
      </c>
      <c r="BV313" s="55" t="str">
        <f aca="false">IF(AND(Parameter!$B$19="Ja",E313&lt;&gt;"",ISNUMBER(MATCH(E313,Parameter!$I$35:$I$52,0))),VLOOKUP(E313,Parameter!$I$35:$J$52,2,0),IFERROR(VLOOKUP(D313,Parameter!$A$35:$C$64,2,0),"Nein"))</f>
        <v>2+3</v>
      </c>
      <c r="BW313" s="59" t="n">
        <f aca="false">IF(BT313=0,0,IF(N(S313)&gt;0,S313,IFERROR(VLOOKUP(D313,Parameter!$A$35:$C$64,3,0)+0,0)))</f>
        <v>0</v>
      </c>
      <c r="BX313" s="55" t="n">
        <f aca="false">IF(AA313&lt;&gt;"",AA313,Z313)</f>
        <v>3</v>
      </c>
      <c r="BY313" s="55" t="str">
        <f aca="false">IF(BX313=1,"L1",IF(OR(BX313=2,BX313=3),"L23",IF(BX313="Aussen","Aussen","-")))</f>
        <v>L23</v>
      </c>
      <c r="BZ313" s="66" t="n">
        <f aca="false">IF(N(AB313)&gt;0,AB313,0)</f>
        <v>0</v>
      </c>
      <c r="CA313" s="60" t="n">
        <f aca="false">IF(ISNUMBER(AE313),1,0)</f>
        <v>0</v>
      </c>
      <c r="CB313" s="57" t="n">
        <f aca="false">N(AE313)</f>
        <v>0</v>
      </c>
      <c r="CC313" s="57" t="n">
        <f aca="false">N(M313)+N(N313)</f>
        <v>26</v>
      </c>
      <c r="CD313" s="57" t="n">
        <f aca="false">ROUNDUP(H313/BS313,0)</f>
        <v>4</v>
      </c>
      <c r="CE313" s="57" t="n">
        <f aca="false">ROUNDUP(CB313/BS313,0)</f>
        <v>0</v>
      </c>
      <c r="CF313" s="60" t="n">
        <f aca="false">IF(BT313=1,0,IFERROR(VLOOKUP(BR313,'Gebinde-Kategorie'!$A$5:$M$45,5,0)+0,0))</f>
        <v>21</v>
      </c>
      <c r="CG313" s="60" t="n">
        <f aca="false">IFERROR(IF(OR(BX313=1,BX313=2,BX313=3),N(INDEX(Parameter!$I$5:$I$7,BX313)),0),0)</f>
        <v>0</v>
      </c>
      <c r="CH313" s="59" t="n">
        <f aca="false">IF(AND(Parameter!$B$21="Ja",ISNUMBER(W313),N(X313)&gt;0),IFERROR(N(INDEX(Parameter!$L$5:$L$7,W313))*INDEX(Parameter!$E$5:$E$7,W313)*X313/SUMIFS($X$7:$X$1843,$W$7:$W$1843,W313),0),0)</f>
        <v>0</v>
      </c>
    </row>
    <row r="314" customFormat="false" ht="15" hidden="false" customHeight="false" outlineLevel="0" collapsed="false">
      <c r="A314" s="55" t="s">
        <v>795</v>
      </c>
      <c r="B314" s="55" t="s">
        <v>796</v>
      </c>
      <c r="C314" s="55" t="s">
        <v>164</v>
      </c>
      <c r="D314" s="55" t="s">
        <v>184</v>
      </c>
      <c r="E314" s="55" t="s">
        <v>185</v>
      </c>
      <c r="F314" s="55" t="s">
        <v>218</v>
      </c>
      <c r="G314" s="56" t="n">
        <v>21.25</v>
      </c>
      <c r="H314" s="57" t="n">
        <f aca="false">MAX(0,IF(AND(Parameter!$B$21="Ja",ISNUMBER(Y314)),Y314,IF(Parameter!$B$20="Jahresanfang 2025 + Export",BL314+BK314,BK314)))</f>
        <v>17</v>
      </c>
      <c r="I314" s="57" t="n">
        <f aca="false">H314*G314</f>
        <v>361.25</v>
      </c>
      <c r="J314" s="57" t="n">
        <f aca="false">BN314*Parameter!$B$18</f>
        <v>16</v>
      </c>
      <c r="K314" s="58" t="n">
        <v>5.5</v>
      </c>
      <c r="L314" s="59" t="n">
        <v>2.90909090909091</v>
      </c>
      <c r="M314" s="57" t="n">
        <v>0</v>
      </c>
      <c r="N314" s="57" t="n">
        <v>15</v>
      </c>
      <c r="O314" s="60" t="n">
        <v>21</v>
      </c>
      <c r="P314" s="55" t="s">
        <v>421</v>
      </c>
      <c r="Q314" s="57" t="n">
        <v>9</v>
      </c>
      <c r="R314" s="60" t="n">
        <f aca="false">IF(BT314=1,0,IFERROR(VLOOKUP(BR314,'Gebinde-Kategorie'!$A$5:$M$45,13,0)+0,0))</f>
        <v>132</v>
      </c>
      <c r="S314" s="61"/>
      <c r="T314" s="62"/>
      <c r="U314" s="62"/>
      <c r="V314" s="62"/>
      <c r="W314" s="55"/>
      <c r="X314" s="57"/>
      <c r="Y314" s="57"/>
      <c r="Z314" s="55" t="n">
        <f aca="false">IF(A314="","",IF(AND(Parameter!$B$21="Ja",ISNUMBER(W314)),W314,IF(BV314="2+3",IF(ISNUMBER(SEARCH("grosser Artikel",BO314)),2,IFERROR(VLOOKUP(BR314,Parameter!$F$35:$G$64,2,0),2)),IF(OR(BV314="Nein",BV314=""),"-",BV314))))</f>
        <v>3</v>
      </c>
      <c r="AA314" s="62"/>
      <c r="AB314" s="63"/>
      <c r="AC314" s="57" t="n">
        <f aca="false">AR314</f>
        <v>18</v>
      </c>
      <c r="AD314" s="57" t="n">
        <f aca="false">MAX(AR314,H314)</f>
        <v>18</v>
      </c>
      <c r="AE314" s="64"/>
      <c r="AF314" s="57" t="n">
        <f aca="false">IF(LEFT(Cockpit!$C$5,1)="A",H314,IF(CA314=1,CB314,IF(LEFT(Cockpit!$C$5,1)="B",AJ314,MAX(AJ314,H314))))</f>
        <v>17</v>
      </c>
      <c r="AG314" s="57" t="n">
        <f aca="false">IF(BT314=1,0,ROUNDUP(AF314/BS314,0))</f>
        <v>2</v>
      </c>
      <c r="AH314" s="59" t="n">
        <f aca="false">IF(CH314&gt;0,CH314*MAX(1,AF314/X314),IF(BT314=1,IF(AF314&lt;=0,0,BW314*MAX(1,IF(H314&gt;0,AF314/H314,1))),IF(R314&gt;0,AG314/R314,0))/MAX(0.1,N(Parameter!$M$21)))</f>
        <v>0.0151515151515152</v>
      </c>
      <c r="AI314" s="57" t="n">
        <f aca="false">AF314*G314</f>
        <v>361.25</v>
      </c>
      <c r="AJ314" s="57" t="n">
        <f aca="false">ROUNDUP(MAX(J314/IF(BZ314&gt;0,BZ314,MAX(0.1,N(Cockpit!$C$6))),CC314)/BS314,0)*BS314</f>
        <v>18</v>
      </c>
      <c r="AK314" s="58" t="n">
        <f aca="false">IF(AH314&gt;0,J314/AH314,-1)</f>
        <v>1056</v>
      </c>
      <c r="AL314" s="58" t="n">
        <f aca="false">IF(AND(OR(BY314="L1",BY314="L23"),AH314&gt;0),SUMIFS($AH$7:$AH$1843,$BY$7:$BY$1843,BY314,$AK$7:$AK$1843,"&gt;"&amp;AK314)+SUMIFS($AH$7:$AH$1843,$BY$7:$BY$1843,BY314,$AK$7:$AK$1843,AK314,$BQ$7:$BQ$1843,"&lt;="&amp;BQ314),"")</f>
        <v>17.2096128509172</v>
      </c>
      <c r="AM314" s="65" t="n">
        <f aca="false">IF(AL314="",0,MAX(0,MIN(1,(IF(BY314="L1",Parameter!$E$5,Parameter!$E$6+Parameter!$E$7)-(AL314-AH314))/AH314)))</f>
        <v>1</v>
      </c>
      <c r="AN314" s="57" t="n">
        <f aca="false">IF(LEFT(Cockpit!$I$5,1)="A",H314,IF(CA314=1,CB314,IF(LEFT(Cockpit!$I$5,1)="B",AR314,MAX(AR314,H314))))</f>
        <v>18</v>
      </c>
      <c r="AO314" s="57" t="n">
        <f aca="false">IF(BT314=1,0,ROUNDUP(AN314/BS314,0))</f>
        <v>2</v>
      </c>
      <c r="AP314" s="59" t="n">
        <f aca="false">IF(CH314&gt;0,CH314*MAX(1,AN314/X314),IF(BT314=1,IF(AN314&lt;=0,0,BW314*MAX(1,IF(H314&gt;0,AN314/H314,1))),IF(R314&gt;0,AO314/R314,0))/MAX(0.1,N(Parameter!$M$21)))</f>
        <v>0.0151515151515152</v>
      </c>
      <c r="AQ314" s="57" t="n">
        <f aca="false">AN314*G314</f>
        <v>382.5</v>
      </c>
      <c r="AR314" s="57" t="n">
        <f aca="false">ROUNDUP(MAX(J314/IF(BZ314&gt;0,BZ314,MAX(0.1,N(Cockpit!$I$6))),CC314)/BS314,0)*BS314</f>
        <v>18</v>
      </c>
      <c r="AS314" s="58" t="n">
        <f aca="false">IF(AP314&gt;0,J314/AP314,-1)</f>
        <v>1056</v>
      </c>
      <c r="AT314" s="58" t="n">
        <f aca="false">IF(AND(OR(BY314="L1",BY314="L23"),AP314&gt;0),SUMIFS($AP$7:$AP$1843,$BY$7:$BY$1843,BY314,$AS$7:$AS$1843,"&gt;"&amp;AS314)+SUMIFS($AP$7:$AP$1843,$BY$7:$BY$1843,BY314,$AS$7:$AS$1843,AS314,$BQ$7:$BQ$1843,"&lt;="&amp;BQ314),"")</f>
        <v>23.4109489544272</v>
      </c>
      <c r="AU314" s="65" t="n">
        <f aca="false">IF(AT314="",0,MAX(0,MIN(1,(IF(BY314="L1",Parameter!$E$5,Parameter!$E$6+Parameter!$E$7)-(AT314-AP314))/AP314)))</f>
        <v>1</v>
      </c>
      <c r="AV314" s="57" t="n">
        <f aca="false">IF(LEFT(Cockpit!$O$5,1)="A",H314,IF(CA314=1,CB314,IF(LEFT(Cockpit!$O$5,1)="B",AZ314,MAX(AZ314,H314))))</f>
        <v>18</v>
      </c>
      <c r="AW314" s="57" t="n">
        <f aca="false">IF(BT314=1,0,ROUNDUP(AV314/BS314,0))</f>
        <v>2</v>
      </c>
      <c r="AX314" s="59" t="n">
        <f aca="false">IF(CH314&gt;0,CH314*MAX(1,AV314/X314),IF(BT314=1,IF(AV314&lt;=0,0,BW314*MAX(1,IF(H314&gt;0,AV314/H314,1))),IF(R314&gt;0,AW314/R314,0))/MAX(0.1,N(Parameter!$M$21)))</f>
        <v>0.0151515151515152</v>
      </c>
      <c r="AY314" s="57" t="n">
        <f aca="false">AV314*G314</f>
        <v>382.5</v>
      </c>
      <c r="AZ314" s="57" t="n">
        <f aca="false">ROUNDUP(MAX(J314/IF(BZ314&gt;0,BZ314,MAX(0.1,N(Cockpit!$O$6))),CC314)/BS314,0)*BS314</f>
        <v>18</v>
      </c>
      <c r="BA314" s="58" t="n">
        <f aca="false">IF(AX314&gt;0,J314/AX314,-1)</f>
        <v>1056</v>
      </c>
      <c r="BB314" s="58" t="n">
        <f aca="false">IF(AND(OR(BY314="L1",BY314="L23"),AX314&gt;0),SUMIFS($AX$7:$AX$1843,$BY$7:$BY$1843,BY314,$BA$7:$BA$1843,"&gt;"&amp;BA314)+SUMIFS($AX$7:$AX$1843,$BY$7:$BY$1843,BY314,$BA$7:$BA$1843,BA314,$BQ$7:$BQ$1843,"&lt;="&amp;BQ314),"")</f>
        <v>22.6061703996487</v>
      </c>
      <c r="BC314" s="65" t="n">
        <f aca="false">IF(BB314="",0,MAX(0,MIN(1,(IF(BY314="L1",Parameter!$E$5,Parameter!$E$6+Parameter!$E$7)-(BB314-AX314))/AX314)))</f>
        <v>1</v>
      </c>
      <c r="BD314" s="55" t="str">
        <f aca="false">IF(AH314&lt;=0,"",IF(BY314="Aussen","Aussenlager",IF(BY314="-","Nicht im Lift",IF(AM314&gt;=1,"Lift",IF(AM314&lt;=0,"Aussenlager","teilweise")))))</f>
        <v>Lift</v>
      </c>
      <c r="BE314" s="55" t="str">
        <f aca="false">IF(AP314&lt;=0,"",IF(BY314="Aussen","Aussenlager",IF(BY314="-","Nicht im Lift",IF(AU314&gt;=1,"Lift",IF(AU314&lt;=0,"Aussenlager","teilweise")))))</f>
        <v>Lift</v>
      </c>
      <c r="BF314" s="55" t="str">
        <f aca="false">IF(AX314&lt;=0,"",IF(BY314="Aussen","Aussenlager",IF(BY314="-","Nicht im Lift",IF(BC314&gt;=1,"Lift",IF(BC314&lt;=0,"Aussenlager","teilweise")))))</f>
        <v>Lift</v>
      </c>
      <c r="BG314" s="55" t="str">
        <f aca="false">IF(A314="","",IF(BP314=1,"Neu; ","")&amp;IF(AND(BP314=0,BK314&lt;0),"negativer Bestand (Export "&amp;BK314&amp;"); ","")&amp;IF(J314&lt;=0,"Kein Verbrauch; ","")&amp;IF(CH314&gt;0,"Lift "&amp;W314&amp;" lt. Liftbericht (Fach "&amp;X314&amp;" Stk); ",IF(BU314=1,"Gebinde geschätzt ("&amp;T314&amp;"); ",IF(BT314=1,"Lose – Tablare geschätzt; ","")))&amp;IF(H314&gt;AR314,"Überbestand "&amp;ROUND(H314-AR314,0)&amp;" Stk / CHF "&amp;ROUND((H314-AR314)*G314,0)&amp;"; ","")&amp;IF(AND(CA314=1,CB314&lt;CC314),"MAX &lt; MB+LG; ","")&amp;IF(AND(CG314&gt;0,CF314*10&gt;CG314),"zu hoch für Tablar; ","")&amp;IF(AND(BP314=0,OR(CA314=1,AA314&lt;&gt;"",U314&lt;&gt;"",V314&lt;&gt;"",AB314&lt;&gt;"")),"manuell übersteuert; ","")&amp;IF(AND(BT314=0,R314=0),"Gebinde unbekannt / Stellmass fehlt; ","")&amp;IF(AND(BT314=0,N(V314)&lt;=0,N(Q314)&lt;=0),"Menge pro Gebinde fehlt (Ist = 1 Gebinde); ","")&amp;BO314)</f>
        <v/>
      </c>
      <c r="BH314" s="55"/>
      <c r="BI314" s="55"/>
      <c r="BJ314" s="62"/>
      <c r="BK314" s="57" t="n">
        <v>11</v>
      </c>
      <c r="BL314" s="57" t="n">
        <v>6</v>
      </c>
      <c r="BM314" s="56" t="n">
        <v>249.53</v>
      </c>
      <c r="BN314" s="57" t="n">
        <v>16</v>
      </c>
      <c r="BO314" s="55"/>
      <c r="BP314" s="60" t="n">
        <v>0</v>
      </c>
      <c r="BQ314" s="60" t="n">
        <v>314</v>
      </c>
      <c r="BR314" s="55" t="str">
        <f aca="false">IF(U314&lt;&gt;"",UPPER(TRIM(U314)),IF(BU314=1,UPPER(VLOOKUP(T314,Parameter!$I$27:$K$29,2,0)),IF(P314="","LOSE",P314)))</f>
        <v>S32</v>
      </c>
      <c r="BS314" s="57" t="n">
        <f aca="false">IF(BR314="LOSE",1,IF(N(V314)&gt;0,V314,IF(BU314=1,MAX(1,N(VLOOKUP(T314,Parameter!$I$27:$K$29,3,0)),H314,N(N314)),IF(N(Q314)&gt;0,Q314,MAX(1,H314)))))</f>
        <v>9</v>
      </c>
      <c r="BT314" s="60" t="n">
        <f aca="false">IF(BR314="LOSE",1,0)</f>
        <v>0</v>
      </c>
      <c r="BU314" s="60" t="n">
        <f aca="false">IF(AND(U314="",OR(P314="",P314="LOSE"),T314&lt;&gt;"",N(S314)&lt;=0,ISNUMBER(MATCH(T314,Parameter!$I$27:$I$29,0))),1,0)</f>
        <v>0</v>
      </c>
      <c r="BV314" s="55" t="str">
        <f aca="false">IF(AND(Parameter!$B$19="Ja",E314&lt;&gt;"",ISNUMBER(MATCH(E314,Parameter!$I$35:$I$52,0))),VLOOKUP(E314,Parameter!$I$35:$J$52,2,0),IFERROR(VLOOKUP(D314,Parameter!$A$35:$C$64,2,0),"Nein"))</f>
        <v>2+3</v>
      </c>
      <c r="BW314" s="59" t="n">
        <f aca="false">IF(BT314=0,0,IF(N(S314)&gt;0,S314,IFERROR(VLOOKUP(D314,Parameter!$A$35:$C$64,3,0)+0,0)))</f>
        <v>0</v>
      </c>
      <c r="BX314" s="55" t="n">
        <f aca="false">IF(AA314&lt;&gt;"",AA314,Z314)</f>
        <v>3</v>
      </c>
      <c r="BY314" s="55" t="str">
        <f aca="false">IF(BX314=1,"L1",IF(OR(BX314=2,BX314=3),"L23",IF(BX314="Aussen","Aussen","-")))</f>
        <v>L23</v>
      </c>
      <c r="BZ314" s="66" t="n">
        <f aca="false">IF(N(AB314)&gt;0,AB314,0)</f>
        <v>0</v>
      </c>
      <c r="CA314" s="60" t="n">
        <f aca="false">IF(ISNUMBER(AE314),1,0)</f>
        <v>0</v>
      </c>
      <c r="CB314" s="57" t="n">
        <f aca="false">N(AE314)</f>
        <v>0</v>
      </c>
      <c r="CC314" s="57" t="n">
        <f aca="false">N(M314)+N(N314)</f>
        <v>15</v>
      </c>
      <c r="CD314" s="57" t="n">
        <f aca="false">ROUNDUP(H314/BS314,0)</f>
        <v>2</v>
      </c>
      <c r="CE314" s="57" t="n">
        <f aca="false">ROUNDUP(CB314/BS314,0)</f>
        <v>0</v>
      </c>
      <c r="CF314" s="60" t="n">
        <f aca="false">IF(BT314=1,0,IFERROR(VLOOKUP(BR314,'Gebinde-Kategorie'!$A$5:$M$45,5,0)+0,0))</f>
        <v>8</v>
      </c>
      <c r="CG314" s="60" t="n">
        <f aca="false">IFERROR(IF(OR(BX314=1,BX314=2,BX314=3),N(INDEX(Parameter!$I$5:$I$7,BX314)),0),0)</f>
        <v>0</v>
      </c>
      <c r="CH314" s="59" t="n">
        <f aca="false">IF(AND(Parameter!$B$21="Ja",ISNUMBER(W314),N(X314)&gt;0),IFERROR(N(INDEX(Parameter!$L$5:$L$7,W314))*INDEX(Parameter!$E$5:$E$7,W314)*X314/SUMIFS($X$7:$X$1843,$W$7:$W$1843,W314),0),0)</f>
        <v>0</v>
      </c>
    </row>
    <row r="315" customFormat="false" ht="15" hidden="false" customHeight="false" outlineLevel="0" collapsed="false">
      <c r="A315" s="55" t="s">
        <v>797</v>
      </c>
      <c r="B315" s="55" t="s">
        <v>591</v>
      </c>
      <c r="C315" s="55" t="s">
        <v>164</v>
      </c>
      <c r="D315" s="55" t="s">
        <v>184</v>
      </c>
      <c r="E315" s="55" t="s">
        <v>185</v>
      </c>
      <c r="F315" s="55" t="s">
        <v>218</v>
      </c>
      <c r="G315" s="56" t="n">
        <v>7.02</v>
      </c>
      <c r="H315" s="57" t="n">
        <f aca="false">MAX(0,IF(AND(Parameter!$B$21="Ja",ISNUMBER(Y315)),Y315,IF(Parameter!$B$20="Jahresanfang 2025 + Export",BL315+BK315,BK315)))</f>
        <v>61</v>
      </c>
      <c r="I315" s="57" t="n">
        <f aca="false">H315*G315</f>
        <v>428.22</v>
      </c>
      <c r="J315" s="57" t="n">
        <f aca="false">BN315*Parameter!$B$18</f>
        <v>63</v>
      </c>
      <c r="K315" s="58" t="n">
        <v>42</v>
      </c>
      <c r="L315" s="59" t="n">
        <v>1.5</v>
      </c>
      <c r="M315" s="57" t="n">
        <v>2</v>
      </c>
      <c r="N315" s="57" t="n">
        <v>60</v>
      </c>
      <c r="O315" s="60" t="n">
        <v>21</v>
      </c>
      <c r="P315" s="55" t="s">
        <v>476</v>
      </c>
      <c r="Q315" s="57" t="n">
        <v>58</v>
      </c>
      <c r="R315" s="60" t="n">
        <f aca="false">IF(BT315=1,0,IFERROR(VLOOKUP(BR315,'Gebinde-Kategorie'!$A$5:$M$45,13,0)+0,0))</f>
        <v>66</v>
      </c>
      <c r="S315" s="61"/>
      <c r="T315" s="62"/>
      <c r="U315" s="62"/>
      <c r="V315" s="62"/>
      <c r="W315" s="55"/>
      <c r="X315" s="57"/>
      <c r="Y315" s="57"/>
      <c r="Z315" s="55" t="n">
        <f aca="false">IF(A315="","",IF(AND(Parameter!$B$21="Ja",ISNUMBER(W315)),W315,IF(BV315="2+3",IF(ISNUMBER(SEARCH("grosser Artikel",BO315)),2,IFERROR(VLOOKUP(BR315,Parameter!$F$35:$G$64,2,0),2)),IF(OR(BV315="Nein",BV315=""),"-",BV315))))</f>
        <v>3</v>
      </c>
      <c r="AA315" s="62"/>
      <c r="AB315" s="63"/>
      <c r="AC315" s="57" t="n">
        <f aca="false">AR315</f>
        <v>116</v>
      </c>
      <c r="AD315" s="57" t="n">
        <f aca="false">MAX(AR315,H315)</f>
        <v>116</v>
      </c>
      <c r="AE315" s="64"/>
      <c r="AF315" s="57" t="n">
        <f aca="false">IF(LEFT(Cockpit!$C$5,1)="A",H315,IF(CA315=1,CB315,IF(LEFT(Cockpit!$C$5,1)="B",AJ315,MAX(AJ315,H315))))</f>
        <v>61</v>
      </c>
      <c r="AG315" s="57" t="n">
        <f aca="false">IF(BT315=1,0,ROUNDUP(AF315/BS315,0))</f>
        <v>2</v>
      </c>
      <c r="AH315" s="59" t="n">
        <f aca="false">IF(CH315&gt;0,CH315*MAX(1,AF315/X315),IF(BT315=1,IF(AF315&lt;=0,0,BW315*MAX(1,IF(H315&gt;0,AF315/H315,1))),IF(R315&gt;0,AG315/R315,0))/MAX(0.1,N(Parameter!$M$21)))</f>
        <v>0.0303030303030303</v>
      </c>
      <c r="AI315" s="57" t="n">
        <f aca="false">AF315*G315</f>
        <v>428.22</v>
      </c>
      <c r="AJ315" s="57" t="n">
        <f aca="false">ROUNDUP(MAX(J315/IF(BZ315&gt;0,BZ315,MAX(0.1,N(Cockpit!$C$6))),CC315)/BS315,0)*BS315</f>
        <v>116</v>
      </c>
      <c r="AK315" s="58" t="n">
        <f aca="false">IF(AH315&gt;0,J315/AH315,-1)</f>
        <v>2079</v>
      </c>
      <c r="AL315" s="58" t="n">
        <f aca="false">IF(AND(OR(BY315="L1",BY315="L23"),AH315&gt;0),SUMIFS($AH$7:$AH$1843,$BY$7:$BY$1843,BY315,$AK$7:$AK$1843,"&gt;"&amp;AK315)+SUMIFS($AH$7:$AH$1843,$BY$7:$BY$1843,BY315,$AK$7:$AK$1843,AK315,$BQ$7:$BQ$1843,"&lt;="&amp;BQ315),"")</f>
        <v>12.7905729536164</v>
      </c>
      <c r="AM315" s="65" t="n">
        <f aca="false">IF(AL315="",0,MAX(0,MIN(1,(IF(BY315="L1",Parameter!$E$5,Parameter!$E$6+Parameter!$E$7)-(AL315-AH315))/AH315)))</f>
        <v>1</v>
      </c>
      <c r="AN315" s="57" t="n">
        <f aca="false">IF(LEFT(Cockpit!$I$5,1)="A",H315,IF(CA315=1,CB315,IF(LEFT(Cockpit!$I$5,1)="B",AR315,MAX(AR315,H315))))</f>
        <v>116</v>
      </c>
      <c r="AO315" s="57" t="n">
        <f aca="false">IF(BT315=1,0,ROUNDUP(AN315/BS315,0))</f>
        <v>2</v>
      </c>
      <c r="AP315" s="59" t="n">
        <f aca="false">IF(CH315&gt;0,CH315*MAX(1,AN315/X315),IF(BT315=1,IF(AN315&lt;=0,0,BW315*MAX(1,IF(H315&gt;0,AN315/H315,1))),IF(R315&gt;0,AO315/R315,0))/MAX(0.1,N(Parameter!$M$21)))</f>
        <v>0.0303030303030303</v>
      </c>
      <c r="AQ315" s="57" t="n">
        <f aca="false">AN315*G315</f>
        <v>814.32</v>
      </c>
      <c r="AR315" s="57" t="n">
        <f aca="false">ROUNDUP(MAX(J315/IF(BZ315&gt;0,BZ315,MAX(0.1,N(Cockpit!$I$6))),CC315)/BS315,0)*BS315</f>
        <v>116</v>
      </c>
      <c r="AS315" s="58" t="n">
        <f aca="false">IF(AP315&gt;0,J315/AP315,-1)</f>
        <v>2079</v>
      </c>
      <c r="AT315" s="58" t="n">
        <f aca="false">IF(AND(OR(BY315="L1",BY315="L23"),AP315&gt;0),SUMIFS($AP$7:$AP$1843,$BY$7:$BY$1843,BY315,$AS$7:$AS$1843,"&gt;"&amp;AS315)+SUMIFS($AP$7:$AP$1843,$BY$7:$BY$1843,BY315,$AS$7:$AS$1843,AS315,$BQ$7:$BQ$1843,"&lt;="&amp;BQ315),"")</f>
        <v>18.4228995642039</v>
      </c>
      <c r="AU315" s="65" t="n">
        <f aca="false">IF(AT315="",0,MAX(0,MIN(1,(IF(BY315="L1",Parameter!$E$5,Parameter!$E$6+Parameter!$E$7)-(AT315-AP315))/AP315)))</f>
        <v>1</v>
      </c>
      <c r="AV315" s="57" t="n">
        <f aca="false">IF(LEFT(Cockpit!$O$5,1)="A",H315,IF(CA315=1,CB315,IF(LEFT(Cockpit!$O$5,1)="B",AZ315,MAX(AZ315,H315))))</f>
        <v>116</v>
      </c>
      <c r="AW315" s="57" t="n">
        <f aca="false">IF(BT315=1,0,ROUNDUP(AV315/BS315,0))</f>
        <v>2</v>
      </c>
      <c r="AX315" s="59" t="n">
        <f aca="false">IF(CH315&gt;0,CH315*MAX(1,AV315/X315),IF(BT315=1,IF(AV315&lt;=0,0,BW315*MAX(1,IF(H315&gt;0,AV315/H315,1))),IF(R315&gt;0,AW315/R315,0))/MAX(0.1,N(Parameter!$M$21)))</f>
        <v>0.0303030303030303</v>
      </c>
      <c r="AY315" s="57" t="n">
        <f aca="false">AV315*G315</f>
        <v>814.32</v>
      </c>
      <c r="AZ315" s="57" t="n">
        <f aca="false">ROUNDUP(MAX(J315/IF(BZ315&gt;0,BZ315,MAX(0.1,N(Cockpit!$O$6))),CC315)/BS315,0)*BS315</f>
        <v>116</v>
      </c>
      <c r="BA315" s="58" t="n">
        <f aca="false">IF(AX315&gt;0,J315/AX315,-1)</f>
        <v>2079</v>
      </c>
      <c r="BB315" s="58" t="n">
        <f aca="false">IF(AND(OR(BY315="L1",BY315="L23"),AX315&gt;0),SUMIFS($AX$7:$AX$1843,$BY$7:$BY$1843,BY315,$BA$7:$BA$1843,"&gt;"&amp;BA315)+SUMIFS($AX$7:$AX$1843,$BY$7:$BY$1843,BY315,$BA$7:$BA$1843,BA315,$BQ$7:$BQ$1843,"&lt;="&amp;BQ315),"")</f>
        <v>16.9963261376305</v>
      </c>
      <c r="BC315" s="65" t="n">
        <f aca="false">IF(BB315="",0,MAX(0,MIN(1,(IF(BY315="L1",Parameter!$E$5,Parameter!$E$6+Parameter!$E$7)-(BB315-AX315))/AX315)))</f>
        <v>1</v>
      </c>
      <c r="BD315" s="55" t="str">
        <f aca="false">IF(AH315&lt;=0,"",IF(BY315="Aussen","Aussenlager",IF(BY315="-","Nicht im Lift",IF(AM315&gt;=1,"Lift",IF(AM315&lt;=0,"Aussenlager","teilweise")))))</f>
        <v>Lift</v>
      </c>
      <c r="BE315" s="55" t="str">
        <f aca="false">IF(AP315&lt;=0,"",IF(BY315="Aussen","Aussenlager",IF(BY315="-","Nicht im Lift",IF(AU315&gt;=1,"Lift",IF(AU315&lt;=0,"Aussenlager","teilweise")))))</f>
        <v>Lift</v>
      </c>
      <c r="BF315" s="55" t="str">
        <f aca="false">IF(AX315&lt;=0,"",IF(BY315="Aussen","Aussenlager",IF(BY315="-","Nicht im Lift",IF(BC315&gt;=1,"Lift",IF(BC315&lt;=0,"Aussenlager","teilweise")))))</f>
        <v>Lift</v>
      </c>
      <c r="BG315" s="55" t="str">
        <f aca="false">IF(A315="","",IF(BP315=1,"Neu; ","")&amp;IF(AND(BP315=0,BK315&lt;0),"negativer Bestand (Export "&amp;BK315&amp;"); ","")&amp;IF(J315&lt;=0,"Kein Verbrauch; ","")&amp;IF(CH315&gt;0,"Lift "&amp;W315&amp;" lt. Liftbericht (Fach "&amp;X315&amp;" Stk); ",IF(BU315=1,"Gebinde geschätzt ("&amp;T315&amp;"); ",IF(BT315=1,"Lose – Tablare geschätzt; ","")))&amp;IF(H315&gt;AR315,"Überbestand "&amp;ROUND(H315-AR315,0)&amp;" Stk / CHF "&amp;ROUND((H315-AR315)*G315,0)&amp;"; ","")&amp;IF(AND(CA315=1,CB315&lt;CC315),"MAX &lt; MB+LG; ","")&amp;IF(AND(CG315&gt;0,CF315*10&gt;CG315),"zu hoch für Tablar; ","")&amp;IF(AND(BP315=0,OR(CA315=1,AA315&lt;&gt;"",U315&lt;&gt;"",V315&lt;&gt;"",AB315&lt;&gt;"")),"manuell übersteuert; ","")&amp;IF(AND(BT315=0,R315=0),"Gebinde unbekannt / Stellmass fehlt; ","")&amp;IF(AND(BT315=0,N(V315)&lt;=0,N(Q315)&lt;=0),"Menge pro Gebinde fehlt (Ist = 1 Gebinde); ","")&amp;BO315)</f>
        <v/>
      </c>
      <c r="BH315" s="55"/>
      <c r="BI315" s="55"/>
      <c r="BJ315" s="62"/>
      <c r="BK315" s="57" t="n">
        <v>38</v>
      </c>
      <c r="BL315" s="57" t="n">
        <v>23</v>
      </c>
      <c r="BM315" s="56" t="n">
        <v>248.82</v>
      </c>
      <c r="BN315" s="57" t="n">
        <v>63</v>
      </c>
      <c r="BO315" s="55"/>
      <c r="BP315" s="60" t="n">
        <v>0</v>
      </c>
      <c r="BQ315" s="60" t="n">
        <v>315</v>
      </c>
      <c r="BR315" s="55" t="str">
        <f aca="false">IF(U315&lt;&gt;"",UPPER(TRIM(U315)),IF(BU315=1,UPPER(VLOOKUP(T315,Parameter!$I$27:$K$29,2,0)),IF(P315="","LOSE",P315)))</f>
        <v>S33</v>
      </c>
      <c r="BS315" s="57" t="n">
        <f aca="false">IF(BR315="LOSE",1,IF(N(V315)&gt;0,V315,IF(BU315=1,MAX(1,N(VLOOKUP(T315,Parameter!$I$27:$K$29,3,0)),H315,N(N315)),IF(N(Q315)&gt;0,Q315,MAX(1,H315)))))</f>
        <v>58</v>
      </c>
      <c r="BT315" s="60" t="n">
        <f aca="false">IF(BR315="LOSE",1,0)</f>
        <v>0</v>
      </c>
      <c r="BU315" s="60" t="n">
        <f aca="false">IF(AND(U315="",OR(P315="",P315="LOSE"),T315&lt;&gt;"",N(S315)&lt;=0,ISNUMBER(MATCH(T315,Parameter!$I$27:$I$29,0))),1,0)</f>
        <v>0</v>
      </c>
      <c r="BV315" s="55" t="str">
        <f aca="false">IF(AND(Parameter!$B$19="Ja",E315&lt;&gt;"",ISNUMBER(MATCH(E315,Parameter!$I$35:$I$52,0))),VLOOKUP(E315,Parameter!$I$35:$J$52,2,0),IFERROR(VLOOKUP(D315,Parameter!$A$35:$C$64,2,0),"Nein"))</f>
        <v>2+3</v>
      </c>
      <c r="BW315" s="59" t="n">
        <f aca="false">IF(BT315=0,0,IF(N(S315)&gt;0,S315,IFERROR(VLOOKUP(D315,Parameter!$A$35:$C$64,3,0)+0,0)))</f>
        <v>0</v>
      </c>
      <c r="BX315" s="55" t="n">
        <f aca="false">IF(AA315&lt;&gt;"",AA315,Z315)</f>
        <v>3</v>
      </c>
      <c r="BY315" s="55" t="str">
        <f aca="false">IF(BX315=1,"L1",IF(OR(BX315=2,BX315=3),"L23",IF(BX315="Aussen","Aussen","-")))</f>
        <v>L23</v>
      </c>
      <c r="BZ315" s="66" t="n">
        <f aca="false">IF(N(AB315)&gt;0,AB315,0)</f>
        <v>0</v>
      </c>
      <c r="CA315" s="60" t="n">
        <f aca="false">IF(ISNUMBER(AE315),1,0)</f>
        <v>0</v>
      </c>
      <c r="CB315" s="57" t="n">
        <f aca="false">N(AE315)</f>
        <v>0</v>
      </c>
      <c r="CC315" s="57" t="n">
        <f aca="false">N(M315)+N(N315)</f>
        <v>62</v>
      </c>
      <c r="CD315" s="57" t="n">
        <f aca="false">ROUNDUP(H315/BS315,0)</f>
        <v>2</v>
      </c>
      <c r="CE315" s="57" t="n">
        <f aca="false">ROUNDUP(CB315/BS315,0)</f>
        <v>0</v>
      </c>
      <c r="CF315" s="60" t="n">
        <f aca="false">IF(BT315=1,0,IFERROR(VLOOKUP(BR315,'Gebinde-Kategorie'!$A$5:$M$45,5,0)+0,0))</f>
        <v>8</v>
      </c>
      <c r="CG315" s="60" t="n">
        <f aca="false">IFERROR(IF(OR(BX315=1,BX315=2,BX315=3),N(INDEX(Parameter!$I$5:$I$7,BX315)),0),0)</f>
        <v>0</v>
      </c>
      <c r="CH315" s="59" t="n">
        <f aca="false">IF(AND(Parameter!$B$21="Ja",ISNUMBER(W315),N(X315)&gt;0),IFERROR(N(INDEX(Parameter!$L$5:$L$7,W315))*INDEX(Parameter!$E$5:$E$7,W315)*X315/SUMIFS($X$7:$X$1843,$W$7:$W$1843,W315),0),0)</f>
        <v>0</v>
      </c>
    </row>
    <row r="316" customFormat="false" ht="15" hidden="false" customHeight="false" outlineLevel="0" collapsed="false">
      <c r="A316" s="55" t="s">
        <v>798</v>
      </c>
      <c r="B316" s="55" t="s">
        <v>792</v>
      </c>
      <c r="C316" s="55" t="s">
        <v>164</v>
      </c>
      <c r="D316" s="55" t="s">
        <v>184</v>
      </c>
      <c r="E316" s="55"/>
      <c r="F316" s="55" t="s">
        <v>218</v>
      </c>
      <c r="G316" s="56" t="n">
        <v>9.86</v>
      </c>
      <c r="H316" s="57" t="n">
        <f aca="false">MAX(0,IF(AND(Parameter!$B$21="Ja",ISNUMBER(Y316)),Y316,IF(Parameter!$B$20="Jahresanfang 2025 + Export",BL316+BK316,BK316)))</f>
        <v>25</v>
      </c>
      <c r="I316" s="57" t="n">
        <f aca="false">H316*G316</f>
        <v>246.5</v>
      </c>
      <c r="J316" s="57" t="n">
        <f aca="false">BN316*Parameter!$B$18</f>
        <v>0</v>
      </c>
      <c r="K316" s="58" t="n">
        <v>0</v>
      </c>
      <c r="L316" s="59" t="n">
        <v>0</v>
      </c>
      <c r="M316" s="57" t="n">
        <v>0</v>
      </c>
      <c r="N316" s="57" t="n">
        <v>1</v>
      </c>
      <c r="O316" s="60" t="n">
        <v>9999</v>
      </c>
      <c r="P316" s="55" t="s">
        <v>168</v>
      </c>
      <c r="Q316" s="57"/>
      <c r="R316" s="60" t="n">
        <f aca="false">IF(BT316=1,0,IFERROR(VLOOKUP(BR316,'Gebinde-Kategorie'!$A$5:$M$45,13,0)+0,0))</f>
        <v>26</v>
      </c>
      <c r="S316" s="61"/>
      <c r="T316" s="62" t="s">
        <v>275</v>
      </c>
      <c r="U316" s="62"/>
      <c r="V316" s="62"/>
      <c r="W316" s="55"/>
      <c r="X316" s="57"/>
      <c r="Y316" s="57"/>
      <c r="Z316" s="55" t="n">
        <f aca="false">IF(A316="","",IF(AND(Parameter!$B$21="Ja",ISNUMBER(W316)),W316,IF(BV316="2+3",IF(ISNUMBER(SEARCH("grosser Artikel",BO316)),2,IFERROR(VLOOKUP(BR316,Parameter!$F$35:$G$64,2,0),2)),IF(OR(BV316="Nein",BV316=""),"-",BV316))))</f>
        <v>3</v>
      </c>
      <c r="AA316" s="62"/>
      <c r="AB316" s="63"/>
      <c r="AC316" s="57" t="n">
        <f aca="false">AR316</f>
        <v>25</v>
      </c>
      <c r="AD316" s="57" t="n">
        <f aca="false">MAX(AR316,H316)</f>
        <v>25</v>
      </c>
      <c r="AE316" s="64"/>
      <c r="AF316" s="57" t="n">
        <f aca="false">IF(LEFT(Cockpit!$C$5,1)="A",H316,IF(CA316=1,CB316,IF(LEFT(Cockpit!$C$5,1)="B",AJ316,MAX(AJ316,H316))))</f>
        <v>25</v>
      </c>
      <c r="AG316" s="57" t="n">
        <f aca="false">IF(BT316=1,0,ROUNDUP(AF316/BS316,0))</f>
        <v>1</v>
      </c>
      <c r="AH316" s="59" t="n">
        <f aca="false">IF(CH316&gt;0,CH316*MAX(1,AF316/X316),IF(BT316=1,IF(AF316&lt;=0,0,BW316*MAX(1,IF(H316&gt;0,AF316/H316,1))),IF(R316&gt;0,AG316/R316,0))/MAX(0.1,N(Parameter!$M$21)))</f>
        <v>0.0384615384615385</v>
      </c>
      <c r="AI316" s="57" t="n">
        <f aca="false">AF316*G316</f>
        <v>246.5</v>
      </c>
      <c r="AJ316" s="57" t="n">
        <f aca="false">ROUNDUP(MAX(J316/IF(BZ316&gt;0,BZ316,MAX(0.1,N(Cockpit!$C$6))),CC316)/BS316,0)*BS316</f>
        <v>25</v>
      </c>
      <c r="AK316" s="58" t="n">
        <f aca="false">IF(AH316&gt;0,J316/AH316,-1)</f>
        <v>0</v>
      </c>
      <c r="AL316" s="58" t="n">
        <f aca="false">IF(AND(OR(BY316="L1",BY316="L23"),AH316&gt;0),SUMIFS($AH$7:$AH$1843,$BY$7:$BY$1843,BY316,$AK$7:$AK$1843,"&gt;"&amp;AK316)+SUMIFS($AH$7:$AH$1843,$BY$7:$BY$1843,BY316,$AK$7:$AK$1843,AK316,$BQ$7:$BQ$1843,"&lt;="&amp;BQ316),"")</f>
        <v>72.5738066281545</v>
      </c>
      <c r="AM316" s="65" t="n">
        <f aca="false">IF(AL316="",0,MAX(0,MIN(1,(IF(BY316="L1",Parameter!$E$5,Parameter!$E$6+Parameter!$E$7)-(AL316-AH316))/AH316)))</f>
        <v>1</v>
      </c>
      <c r="AN316" s="57" t="n">
        <f aca="false">IF(LEFT(Cockpit!$I$5,1)="A",H316,IF(CA316=1,CB316,IF(LEFT(Cockpit!$I$5,1)="B",AR316,MAX(AR316,H316))))</f>
        <v>25</v>
      </c>
      <c r="AO316" s="57" t="n">
        <f aca="false">IF(BT316=1,0,ROUNDUP(AN316/BS316,0))</f>
        <v>1</v>
      </c>
      <c r="AP316" s="59" t="n">
        <f aca="false">IF(CH316&gt;0,CH316*MAX(1,AN316/X316),IF(BT316=1,IF(AN316&lt;=0,0,BW316*MAX(1,IF(H316&gt;0,AN316/H316,1))),IF(R316&gt;0,AO316/R316,0))/MAX(0.1,N(Parameter!$M$21)))</f>
        <v>0.0384615384615385</v>
      </c>
      <c r="AQ316" s="57" t="n">
        <f aca="false">AN316*G316</f>
        <v>246.5</v>
      </c>
      <c r="AR316" s="57" t="n">
        <f aca="false">ROUNDUP(MAX(J316/IF(BZ316&gt;0,BZ316,MAX(0.1,N(Cockpit!$I$6))),CC316)/BS316,0)*BS316</f>
        <v>25</v>
      </c>
      <c r="AS316" s="58" t="n">
        <f aca="false">IF(AP316&gt;0,J316/AP316,-1)</f>
        <v>0</v>
      </c>
      <c r="AT316" s="58" t="n">
        <f aca="false">IF(AND(OR(BY316="L1",BY316="L23"),AP316&gt;0),SUMIFS($AP$7:$AP$1843,$BY$7:$BY$1843,BY316,$AS$7:$AS$1843,"&gt;"&amp;AS316)+SUMIFS($AP$7:$AP$1843,$BY$7:$BY$1843,BY316,$AS$7:$AS$1843,AS316,$BQ$7:$BQ$1843,"&lt;="&amp;BQ316),"")</f>
        <v>111.997930813148</v>
      </c>
      <c r="AU316" s="65" t="n">
        <f aca="false">IF(AT316="",0,MAX(0,MIN(1,(IF(BY316="L1",Parameter!$E$5,Parameter!$E$6+Parameter!$E$7)-(AT316-AP316))/AP316)))</f>
        <v>0</v>
      </c>
      <c r="AV316" s="57" t="n">
        <f aca="false">IF(LEFT(Cockpit!$O$5,1)="A",H316,IF(CA316=1,CB316,IF(LEFT(Cockpit!$O$5,1)="B",AZ316,MAX(AZ316,H316))))</f>
        <v>25</v>
      </c>
      <c r="AW316" s="57" t="n">
        <f aca="false">IF(BT316=1,0,ROUNDUP(AV316/BS316,0))</f>
        <v>1</v>
      </c>
      <c r="AX316" s="59" t="n">
        <f aca="false">IF(CH316&gt;0,CH316*MAX(1,AV316/X316),IF(BT316=1,IF(AV316&lt;=0,0,BW316*MAX(1,IF(H316&gt;0,AV316/H316,1))),IF(R316&gt;0,AW316/R316,0))/MAX(0.1,N(Parameter!$M$21)))</f>
        <v>0.0384615384615385</v>
      </c>
      <c r="AY316" s="57" t="n">
        <f aca="false">AV316*G316</f>
        <v>246.5</v>
      </c>
      <c r="AZ316" s="57" t="n">
        <f aca="false">ROUNDUP(MAX(J316/IF(BZ316&gt;0,BZ316,MAX(0.1,N(Cockpit!$O$6))),CC316)/BS316,0)*BS316</f>
        <v>25</v>
      </c>
      <c r="BA316" s="58" t="n">
        <f aca="false">IF(AX316&gt;0,J316/AX316,-1)</f>
        <v>0</v>
      </c>
      <c r="BB316" s="58" t="n">
        <f aca="false">IF(AND(OR(BY316="L1",BY316="L23"),AX316&gt;0),SUMIFS($AX$7:$AX$1843,$BY$7:$BY$1843,BY316,$BA$7:$BA$1843,"&gt;"&amp;BA316)+SUMIFS($AX$7:$AX$1843,$BY$7:$BY$1843,BY316,$BA$7:$BA$1843,BA316,$BQ$7:$BQ$1843,"&lt;="&amp;BQ316),"")</f>
        <v>102.827767642985</v>
      </c>
      <c r="BC316" s="65" t="n">
        <f aca="false">IF(BB316="",0,MAX(0,MIN(1,(IF(BY316="L1",Parameter!$E$5,Parameter!$E$6+Parameter!$E$7)-(BB316-AX316))/AX316)))</f>
        <v>0</v>
      </c>
      <c r="BD316" s="55" t="str">
        <f aca="false">IF(AH316&lt;=0,"",IF(BY316="Aussen","Aussenlager",IF(BY316="-","Nicht im Lift",IF(AM316&gt;=1,"Lift",IF(AM316&lt;=0,"Aussenlager","teilweise")))))</f>
        <v>Lift</v>
      </c>
      <c r="BE316" s="55" t="str">
        <f aca="false">IF(AP316&lt;=0,"",IF(BY316="Aussen","Aussenlager",IF(BY316="-","Nicht im Lift",IF(AU316&gt;=1,"Lift",IF(AU316&lt;=0,"Aussenlager","teilweise")))))</f>
        <v>Aussenlager</v>
      </c>
      <c r="BF316" s="55" t="str">
        <f aca="false">IF(AX316&lt;=0,"",IF(BY316="Aussen","Aussenlager",IF(BY316="-","Nicht im Lift",IF(BC316&gt;=1,"Lift",IF(BC316&lt;=0,"Aussenlager","teilweise")))))</f>
        <v>Aussenlager</v>
      </c>
      <c r="BG316" s="55" t="str">
        <f aca="false">IF(A316="","",IF(BP316=1,"Neu; ","")&amp;IF(AND(BP316=0,BK316&lt;0),"negativer Bestand (Export "&amp;BK316&amp;"); ","")&amp;IF(J316&lt;=0,"Kein Verbrauch; ","")&amp;IF(CH316&gt;0,"Lift "&amp;W316&amp;" lt. Liftbericht (Fach "&amp;X316&amp;" Stk); ",IF(BU316=1,"Gebinde geschätzt ("&amp;T316&amp;"); ",IF(BT316=1,"Lose – Tablare geschätzt; ","")))&amp;IF(H316&gt;AR316,"Überbestand "&amp;ROUND(H316-AR316,0)&amp;" Stk / CHF "&amp;ROUND((H316-AR316)*G316,0)&amp;"; ","")&amp;IF(AND(CA316=1,CB316&lt;CC316),"MAX &lt; MB+LG; ","")&amp;IF(AND(CG316&gt;0,CF316*10&gt;CG316),"zu hoch für Tablar; ","")&amp;IF(AND(BP316=0,OR(CA316=1,AA316&lt;&gt;"",U316&lt;&gt;"",V316&lt;&gt;"",AB316&lt;&gt;"")),"manuell übersteuert; ","")&amp;IF(AND(BT316=0,R316=0),"Gebinde unbekannt / Stellmass fehlt; ","")&amp;IF(AND(BT316=0,N(V316)&lt;=0,N(Q316)&lt;=0),"Menge pro Gebinde fehlt (Ist = 1 Gebinde); ","")&amp;BO316)</f>
        <v>Kein Verbrauch; Gebinde geschätzt (Klein); Menge pro Gebinde fehlt (Ist = 1 Gebinde); </v>
      </c>
      <c r="BH316" s="55"/>
      <c r="BI316" s="55"/>
      <c r="BJ316" s="62"/>
      <c r="BK316" s="57" t="n">
        <v>25</v>
      </c>
      <c r="BL316" s="57" t="n">
        <v>0</v>
      </c>
      <c r="BM316" s="56" t="n">
        <v>246.5</v>
      </c>
      <c r="BN316" s="57" t="n">
        <v>0</v>
      </c>
      <c r="BO316" s="55"/>
      <c r="BP316" s="60" t="n">
        <v>0</v>
      </c>
      <c r="BQ316" s="60" t="n">
        <v>316</v>
      </c>
      <c r="BR316" s="55" t="str">
        <f aca="false">IF(U316&lt;&gt;"",UPPER(TRIM(U316)),IF(BU316=1,UPPER(VLOOKUP(T316,Parameter!$I$27:$K$29,2,0)),IF(P316="","LOSE",P316)))</f>
        <v>S51</v>
      </c>
      <c r="BS316" s="57" t="n">
        <f aca="false">IF(BR316="LOSE",1,IF(N(V316)&gt;0,V316,IF(BU316=1,MAX(1,N(VLOOKUP(T316,Parameter!$I$27:$K$29,3,0)),H316,N(N316)),IF(N(Q316)&gt;0,Q316,MAX(1,H316)))))</f>
        <v>25</v>
      </c>
      <c r="BT316" s="60" t="n">
        <f aca="false">IF(BR316="LOSE",1,0)</f>
        <v>0</v>
      </c>
      <c r="BU316" s="60" t="n">
        <f aca="false">IF(AND(U316="",OR(P316="",P316="LOSE"),T316&lt;&gt;"",N(S316)&lt;=0,ISNUMBER(MATCH(T316,Parameter!$I$27:$I$29,0))),1,0)</f>
        <v>1</v>
      </c>
      <c r="BV316" s="55" t="str">
        <f aca="false">IF(AND(Parameter!$B$19="Ja",E316&lt;&gt;"",ISNUMBER(MATCH(E316,Parameter!$I$35:$I$52,0))),VLOOKUP(E316,Parameter!$I$35:$J$52,2,0),IFERROR(VLOOKUP(D316,Parameter!$A$35:$C$64,2,0),"Nein"))</f>
        <v>2+3</v>
      </c>
      <c r="BW316" s="59" t="n">
        <f aca="false">IF(BT316=0,0,IF(N(S316)&gt;0,S316,IFERROR(VLOOKUP(D316,Parameter!$A$35:$C$64,3,0)+0,0)))</f>
        <v>0</v>
      </c>
      <c r="BX316" s="55" t="n">
        <f aca="false">IF(AA316&lt;&gt;"",AA316,Z316)</f>
        <v>3</v>
      </c>
      <c r="BY316" s="55" t="str">
        <f aca="false">IF(BX316=1,"L1",IF(OR(BX316=2,BX316=3),"L23",IF(BX316="Aussen","Aussen","-")))</f>
        <v>L23</v>
      </c>
      <c r="BZ316" s="66" t="n">
        <f aca="false">IF(N(AB316)&gt;0,AB316,0)</f>
        <v>0</v>
      </c>
      <c r="CA316" s="60" t="n">
        <f aca="false">IF(ISNUMBER(AE316),1,0)</f>
        <v>0</v>
      </c>
      <c r="CB316" s="57" t="n">
        <f aca="false">N(AE316)</f>
        <v>0</v>
      </c>
      <c r="CC316" s="57" t="n">
        <f aca="false">N(M316)+N(N316)</f>
        <v>1</v>
      </c>
      <c r="CD316" s="57" t="n">
        <f aca="false">ROUNDUP(H316/BS316,0)</f>
        <v>1</v>
      </c>
      <c r="CE316" s="57" t="n">
        <f aca="false">ROUNDUP(CB316/BS316,0)</f>
        <v>0</v>
      </c>
      <c r="CF316" s="60" t="n">
        <f aca="false">IF(BT316=1,0,IFERROR(VLOOKUP(BR316,'Gebinde-Kategorie'!$A$5:$M$45,5,0)+0,0))</f>
        <v>11</v>
      </c>
      <c r="CG316" s="60" t="n">
        <f aca="false">IFERROR(IF(OR(BX316=1,BX316=2,BX316=3),N(INDEX(Parameter!$I$5:$I$7,BX316)),0),0)</f>
        <v>0</v>
      </c>
      <c r="CH316" s="59" t="n">
        <f aca="false">IF(AND(Parameter!$B$21="Ja",ISNUMBER(W316),N(X316)&gt;0),IFERROR(N(INDEX(Parameter!$L$5:$L$7,W316))*INDEX(Parameter!$E$5:$E$7,W316)*X316/SUMIFS($X$7:$X$1843,$W$7:$W$1843,W316),0),0)</f>
        <v>0</v>
      </c>
    </row>
    <row r="317" customFormat="false" ht="15" hidden="false" customHeight="false" outlineLevel="0" collapsed="false">
      <c r="A317" s="55" t="s">
        <v>799</v>
      </c>
      <c r="B317" s="55" t="s">
        <v>800</v>
      </c>
      <c r="C317" s="55" t="s">
        <v>164</v>
      </c>
      <c r="D317" s="55" t="s">
        <v>184</v>
      </c>
      <c r="E317" s="55"/>
      <c r="F317" s="55" t="s">
        <v>218</v>
      </c>
      <c r="G317" s="56" t="n">
        <v>81.98</v>
      </c>
      <c r="H317" s="57" t="n">
        <f aca="false">MAX(0,IF(AND(Parameter!$B$21="Ja",ISNUMBER(Y317)),Y317,IF(Parameter!$B$20="Jahresanfang 2025 + Export",BL317+BK317,BK317)))</f>
        <v>3</v>
      </c>
      <c r="I317" s="57" t="n">
        <f aca="false">H317*G317</f>
        <v>245.94</v>
      </c>
      <c r="J317" s="57" t="n">
        <f aca="false">BN317*Parameter!$B$18</f>
        <v>4</v>
      </c>
      <c r="K317" s="58" t="n">
        <v>3</v>
      </c>
      <c r="L317" s="59" t="n">
        <v>1.33333333333333</v>
      </c>
      <c r="M317" s="57" t="n">
        <v>0</v>
      </c>
      <c r="N317" s="57" t="n">
        <v>5</v>
      </c>
      <c r="O317" s="60" t="n">
        <v>14</v>
      </c>
      <c r="P317" s="55" t="s">
        <v>302</v>
      </c>
      <c r="Q317" s="57" t="n">
        <v>3</v>
      </c>
      <c r="R317" s="60" t="n">
        <f aca="false">IF(BT317=1,0,IFERROR(VLOOKUP(BR317,'Gebinde-Kategorie'!$A$5:$M$45,13,0)+0,0))</f>
        <v>26</v>
      </c>
      <c r="S317" s="61"/>
      <c r="T317" s="62"/>
      <c r="U317" s="62"/>
      <c r="V317" s="62"/>
      <c r="W317" s="55"/>
      <c r="X317" s="57"/>
      <c r="Y317" s="57"/>
      <c r="Z317" s="55" t="n">
        <f aca="false">IF(A317="","",IF(AND(Parameter!$B$21="Ja",ISNUMBER(W317)),W317,IF(BV317="2+3",IF(ISNUMBER(SEARCH("grosser Artikel",BO317)),2,IFERROR(VLOOKUP(BR317,Parameter!$F$35:$G$64,2,0),2)),IF(OR(BV317="Nein",BV317=""),"-",BV317))))</f>
        <v>3</v>
      </c>
      <c r="AA317" s="62"/>
      <c r="AB317" s="63"/>
      <c r="AC317" s="57" t="n">
        <f aca="false">AR317</f>
        <v>6</v>
      </c>
      <c r="AD317" s="57" t="n">
        <f aca="false">MAX(AR317,H317)</f>
        <v>6</v>
      </c>
      <c r="AE317" s="64"/>
      <c r="AF317" s="57" t="n">
        <f aca="false">IF(LEFT(Cockpit!$C$5,1)="A",H317,IF(CA317=1,CB317,IF(LEFT(Cockpit!$C$5,1)="B",AJ317,MAX(AJ317,H317))))</f>
        <v>3</v>
      </c>
      <c r="AG317" s="57" t="n">
        <f aca="false">IF(BT317=1,0,ROUNDUP(AF317/BS317,0))</f>
        <v>1</v>
      </c>
      <c r="AH317" s="59" t="n">
        <f aca="false">IF(CH317&gt;0,CH317*MAX(1,AF317/X317),IF(BT317=1,IF(AF317&lt;=0,0,BW317*MAX(1,IF(H317&gt;0,AF317/H317,1))),IF(R317&gt;0,AG317/R317,0))/MAX(0.1,N(Parameter!$M$21)))</f>
        <v>0.0384615384615385</v>
      </c>
      <c r="AI317" s="57" t="n">
        <f aca="false">AF317*G317</f>
        <v>245.94</v>
      </c>
      <c r="AJ317" s="57" t="n">
        <f aca="false">ROUNDUP(MAX(J317/IF(BZ317&gt;0,BZ317,MAX(0.1,N(Cockpit!$C$6))),CC317)/BS317,0)*BS317</f>
        <v>6</v>
      </c>
      <c r="AK317" s="58" t="n">
        <f aca="false">IF(AH317&gt;0,J317/AH317,-1)</f>
        <v>104</v>
      </c>
      <c r="AL317" s="58" t="n">
        <f aca="false">IF(AND(OR(BY317="L1",BY317="L23"),AH317&gt;0),SUMIFS($AH$7:$AH$1843,$BY$7:$BY$1843,BY317,$AK$7:$AK$1843,"&gt;"&amp;AK317)+SUMIFS($AH$7:$AH$1843,$BY$7:$BY$1843,BY317,$AK$7:$AK$1843,AK317,$BQ$7:$BQ$1843,"&lt;="&amp;BQ317),"")</f>
        <v>38.5534103577582</v>
      </c>
      <c r="AM317" s="65" t="n">
        <f aca="false">IF(AL317="",0,MAX(0,MIN(1,(IF(BY317="L1",Parameter!$E$5,Parameter!$E$6+Parameter!$E$7)-(AL317-AH317))/AH317)))</f>
        <v>1</v>
      </c>
      <c r="AN317" s="57" t="n">
        <f aca="false">IF(LEFT(Cockpit!$I$5,1)="A",H317,IF(CA317=1,CB317,IF(LEFT(Cockpit!$I$5,1)="B",AR317,MAX(AR317,H317))))</f>
        <v>6</v>
      </c>
      <c r="AO317" s="57" t="n">
        <f aca="false">IF(BT317=1,0,ROUNDUP(AN317/BS317,0))</f>
        <v>2</v>
      </c>
      <c r="AP317" s="59" t="n">
        <f aca="false">IF(CH317&gt;0,CH317*MAX(1,AN317/X317),IF(BT317=1,IF(AN317&lt;=0,0,BW317*MAX(1,IF(H317&gt;0,AN317/H317,1))),IF(R317&gt;0,AO317/R317,0))/MAX(0.1,N(Parameter!$M$21)))</f>
        <v>0.0769230769230769</v>
      </c>
      <c r="AQ317" s="57" t="n">
        <f aca="false">AN317*G317</f>
        <v>491.88</v>
      </c>
      <c r="AR317" s="57" t="n">
        <f aca="false">ROUNDUP(MAX(J317/IF(BZ317&gt;0,BZ317,MAX(0.1,N(Cockpit!$I$6))),CC317)/BS317,0)*BS317</f>
        <v>6</v>
      </c>
      <c r="AS317" s="58" t="n">
        <f aca="false">IF(AP317&gt;0,J317/AP317,-1)</f>
        <v>52</v>
      </c>
      <c r="AT317" s="58" t="n">
        <f aca="false">IF(AND(OR(BY317="L1",BY317="L23"),AP317&gt;0),SUMIFS($AP$7:$AP$1843,$BY$7:$BY$1843,BY317,$AS$7:$AS$1843,"&gt;"&amp;AS317)+SUMIFS($AP$7:$AP$1843,$BY$7:$BY$1843,BY317,$AS$7:$AS$1843,AS317,$BQ$7:$BQ$1843,"&lt;="&amp;BQ317),"")</f>
        <v>67.1463379615554</v>
      </c>
      <c r="AU317" s="65" t="n">
        <f aca="false">IF(AT317="",0,MAX(0,MIN(1,(IF(BY317="L1",Parameter!$E$5,Parameter!$E$6+Parameter!$E$7)-(AT317-AP317))/AP317)))</f>
        <v>1</v>
      </c>
      <c r="AV317" s="57" t="n">
        <f aca="false">IF(LEFT(Cockpit!$O$5,1)="A",H317,IF(CA317=1,CB317,IF(LEFT(Cockpit!$O$5,1)="B",AZ317,MAX(AZ317,H317))))</f>
        <v>6</v>
      </c>
      <c r="AW317" s="57" t="n">
        <f aca="false">IF(BT317=1,0,ROUNDUP(AV317/BS317,0))</f>
        <v>2</v>
      </c>
      <c r="AX317" s="59" t="n">
        <f aca="false">IF(CH317&gt;0,CH317*MAX(1,AV317/X317),IF(BT317=1,IF(AV317&lt;=0,0,BW317*MAX(1,IF(H317&gt;0,AV317/H317,1))),IF(R317&gt;0,AW317/R317,0))/MAX(0.1,N(Parameter!$M$21)))</f>
        <v>0.0769230769230769</v>
      </c>
      <c r="AY317" s="57" t="n">
        <f aca="false">AV317*G317</f>
        <v>491.88</v>
      </c>
      <c r="AZ317" s="57" t="n">
        <f aca="false">ROUNDUP(MAX(J317/IF(BZ317&gt;0,BZ317,MAX(0.1,N(Cockpit!$O$6))),CC317)/BS317,0)*BS317</f>
        <v>6</v>
      </c>
      <c r="BA317" s="58" t="n">
        <f aca="false">IF(AX317&gt;0,J317/AX317,-1)</f>
        <v>52</v>
      </c>
      <c r="BB317" s="58" t="n">
        <f aca="false">IF(AND(OR(BY317="L1",BY317="L23"),AX317&gt;0),SUMIFS($AX$7:$AX$1843,$BY$7:$BY$1843,BY317,$BA$7:$BA$1843,"&gt;"&amp;BA317)+SUMIFS($AX$7:$AX$1843,$BY$7:$BY$1843,BY317,$BA$7:$BA$1843,BA317,$BQ$7:$BQ$1843,"&lt;="&amp;BQ317),"")</f>
        <v>61.6428414580589</v>
      </c>
      <c r="BC317" s="65" t="n">
        <f aca="false">IF(BB317="",0,MAX(0,MIN(1,(IF(BY317="L1",Parameter!$E$5,Parameter!$E$6+Parameter!$E$7)-(BB317-AX317))/AX317)))</f>
        <v>1</v>
      </c>
      <c r="BD317" s="55" t="str">
        <f aca="false">IF(AH317&lt;=0,"",IF(BY317="Aussen","Aussenlager",IF(BY317="-","Nicht im Lift",IF(AM317&gt;=1,"Lift",IF(AM317&lt;=0,"Aussenlager","teilweise")))))</f>
        <v>Lift</v>
      </c>
      <c r="BE317" s="55" t="str">
        <f aca="false">IF(AP317&lt;=0,"",IF(BY317="Aussen","Aussenlager",IF(BY317="-","Nicht im Lift",IF(AU317&gt;=1,"Lift",IF(AU317&lt;=0,"Aussenlager","teilweise")))))</f>
        <v>Lift</v>
      </c>
      <c r="BF317" s="55" t="str">
        <f aca="false">IF(AX317&lt;=0,"",IF(BY317="Aussen","Aussenlager",IF(BY317="-","Nicht im Lift",IF(BC317&gt;=1,"Lift",IF(BC317&lt;=0,"Aussenlager","teilweise")))))</f>
        <v>Lift</v>
      </c>
      <c r="BG317" s="55" t="str">
        <f aca="false">IF(A317="","",IF(BP317=1,"Neu; ","")&amp;IF(AND(BP317=0,BK317&lt;0),"negativer Bestand (Export "&amp;BK317&amp;"); ","")&amp;IF(J317&lt;=0,"Kein Verbrauch; ","")&amp;IF(CH317&gt;0,"Lift "&amp;W317&amp;" lt. Liftbericht (Fach "&amp;X317&amp;" Stk); ",IF(BU317=1,"Gebinde geschätzt ("&amp;T317&amp;"); ",IF(BT317=1,"Lose – Tablare geschätzt; ","")))&amp;IF(H317&gt;AR317,"Überbestand "&amp;ROUND(H317-AR317,0)&amp;" Stk / CHF "&amp;ROUND((H317-AR317)*G317,0)&amp;"; ","")&amp;IF(AND(CA317=1,CB317&lt;CC317),"MAX &lt; MB+LG; ","")&amp;IF(AND(CG317&gt;0,CF317*10&gt;CG317),"zu hoch für Tablar; ","")&amp;IF(AND(BP317=0,OR(CA317=1,AA317&lt;&gt;"",U317&lt;&gt;"",V317&lt;&gt;"",AB317&lt;&gt;"")),"manuell übersteuert; ","")&amp;IF(AND(BT317=0,R317=0),"Gebinde unbekannt / Stellmass fehlt; ","")&amp;IF(AND(BT317=0,N(V317)&lt;=0,N(Q317)&lt;=0),"Menge pro Gebinde fehlt (Ist = 1 Gebinde); ","")&amp;BO317)</f>
        <v/>
      </c>
      <c r="BH317" s="55"/>
      <c r="BI317" s="55"/>
      <c r="BJ317" s="62"/>
      <c r="BK317" s="57" t="n">
        <v>3</v>
      </c>
      <c r="BL317" s="57" t="n">
        <v>0</v>
      </c>
      <c r="BM317" s="56" t="n">
        <v>245.94</v>
      </c>
      <c r="BN317" s="57" t="n">
        <v>4</v>
      </c>
      <c r="BO317" s="55"/>
      <c r="BP317" s="60" t="n">
        <v>0</v>
      </c>
      <c r="BQ317" s="60" t="n">
        <v>317</v>
      </c>
      <c r="BR317" s="55" t="str">
        <f aca="false">IF(U317&lt;&gt;"",UPPER(TRIM(U317)),IF(BU317=1,UPPER(VLOOKUP(T317,Parameter!$I$27:$K$29,2,0)),IF(P317="","LOSE",P317)))</f>
        <v>S51</v>
      </c>
      <c r="BS317" s="57" t="n">
        <f aca="false">IF(BR317="LOSE",1,IF(N(V317)&gt;0,V317,IF(BU317=1,MAX(1,N(VLOOKUP(T317,Parameter!$I$27:$K$29,3,0)),H317,N(N317)),IF(N(Q317)&gt;0,Q317,MAX(1,H317)))))</f>
        <v>3</v>
      </c>
      <c r="BT317" s="60" t="n">
        <f aca="false">IF(BR317="LOSE",1,0)</f>
        <v>0</v>
      </c>
      <c r="BU317" s="60" t="n">
        <f aca="false">IF(AND(U317="",OR(P317="",P317="LOSE"),T317&lt;&gt;"",N(S317)&lt;=0,ISNUMBER(MATCH(T317,Parameter!$I$27:$I$29,0))),1,0)</f>
        <v>0</v>
      </c>
      <c r="BV317" s="55" t="str">
        <f aca="false">IF(AND(Parameter!$B$19="Ja",E317&lt;&gt;"",ISNUMBER(MATCH(E317,Parameter!$I$35:$I$52,0))),VLOOKUP(E317,Parameter!$I$35:$J$52,2,0),IFERROR(VLOOKUP(D317,Parameter!$A$35:$C$64,2,0),"Nein"))</f>
        <v>2+3</v>
      </c>
      <c r="BW317" s="59" t="n">
        <f aca="false">IF(BT317=0,0,IF(N(S317)&gt;0,S317,IFERROR(VLOOKUP(D317,Parameter!$A$35:$C$64,3,0)+0,0)))</f>
        <v>0</v>
      </c>
      <c r="BX317" s="55" t="n">
        <f aca="false">IF(AA317&lt;&gt;"",AA317,Z317)</f>
        <v>3</v>
      </c>
      <c r="BY317" s="55" t="str">
        <f aca="false">IF(BX317=1,"L1",IF(OR(BX317=2,BX317=3),"L23",IF(BX317="Aussen","Aussen","-")))</f>
        <v>L23</v>
      </c>
      <c r="BZ317" s="66" t="n">
        <f aca="false">IF(N(AB317)&gt;0,AB317,0)</f>
        <v>0</v>
      </c>
      <c r="CA317" s="60" t="n">
        <f aca="false">IF(ISNUMBER(AE317),1,0)</f>
        <v>0</v>
      </c>
      <c r="CB317" s="57" t="n">
        <f aca="false">N(AE317)</f>
        <v>0</v>
      </c>
      <c r="CC317" s="57" t="n">
        <f aca="false">N(M317)+N(N317)</f>
        <v>5</v>
      </c>
      <c r="CD317" s="57" t="n">
        <f aca="false">ROUNDUP(H317/BS317,0)</f>
        <v>1</v>
      </c>
      <c r="CE317" s="57" t="n">
        <f aca="false">ROUNDUP(CB317/BS317,0)</f>
        <v>0</v>
      </c>
      <c r="CF317" s="60" t="n">
        <f aca="false">IF(BT317=1,0,IFERROR(VLOOKUP(BR317,'Gebinde-Kategorie'!$A$5:$M$45,5,0)+0,0))</f>
        <v>11</v>
      </c>
      <c r="CG317" s="60" t="n">
        <f aca="false">IFERROR(IF(OR(BX317=1,BX317=2,BX317=3),N(INDEX(Parameter!$I$5:$I$7,BX317)),0),0)</f>
        <v>0</v>
      </c>
      <c r="CH317" s="59" t="n">
        <f aca="false">IF(AND(Parameter!$B$21="Ja",ISNUMBER(W317),N(X317)&gt;0),IFERROR(N(INDEX(Parameter!$L$5:$L$7,W317))*INDEX(Parameter!$E$5:$E$7,W317)*X317/SUMIFS($X$7:$X$1843,$W$7:$W$1843,W317),0),0)</f>
        <v>0</v>
      </c>
    </row>
    <row r="318" customFormat="false" ht="15" hidden="false" customHeight="false" outlineLevel="0" collapsed="false">
      <c r="A318" s="55" t="s">
        <v>801</v>
      </c>
      <c r="B318" s="55" t="s">
        <v>802</v>
      </c>
      <c r="C318" s="55" t="s">
        <v>164</v>
      </c>
      <c r="D318" s="55" t="s">
        <v>184</v>
      </c>
      <c r="E318" s="55"/>
      <c r="F318" s="55" t="s">
        <v>218</v>
      </c>
      <c r="G318" s="56" t="n">
        <v>40.39</v>
      </c>
      <c r="H318" s="57" t="n">
        <f aca="false">MAX(0,IF(AND(Parameter!$B$21="Ja",ISNUMBER(Y318)),Y318,IF(Parameter!$B$20="Jahresanfang 2025 + Export",BL318+BK318,BK318)))</f>
        <v>6</v>
      </c>
      <c r="I318" s="57" t="n">
        <f aca="false">H318*G318</f>
        <v>242.34</v>
      </c>
      <c r="J318" s="57" t="n">
        <f aca="false">BN318*Parameter!$B$18</f>
        <v>0</v>
      </c>
      <c r="K318" s="58" t="n">
        <v>0</v>
      </c>
      <c r="L318" s="59" t="n">
        <v>0</v>
      </c>
      <c r="M318" s="57" t="n">
        <v>0</v>
      </c>
      <c r="N318" s="57" t="n">
        <v>5</v>
      </c>
      <c r="O318" s="60" t="n">
        <v>21</v>
      </c>
      <c r="P318" s="55" t="s">
        <v>421</v>
      </c>
      <c r="Q318" s="57" t="n">
        <v>8</v>
      </c>
      <c r="R318" s="60" t="n">
        <f aca="false">IF(BT318=1,0,IFERROR(VLOOKUP(BR318,'Gebinde-Kategorie'!$A$5:$M$45,13,0)+0,0))</f>
        <v>132</v>
      </c>
      <c r="S318" s="61"/>
      <c r="T318" s="62"/>
      <c r="U318" s="62"/>
      <c r="V318" s="62"/>
      <c r="W318" s="55"/>
      <c r="X318" s="57"/>
      <c r="Y318" s="57"/>
      <c r="Z318" s="55" t="n">
        <f aca="false">IF(A318="","",IF(AND(Parameter!$B$21="Ja",ISNUMBER(W318)),W318,IF(BV318="2+3",IF(ISNUMBER(SEARCH("grosser Artikel",BO318)),2,IFERROR(VLOOKUP(BR318,Parameter!$F$35:$G$64,2,0),2)),IF(OR(BV318="Nein",BV318=""),"-",BV318))))</f>
        <v>3</v>
      </c>
      <c r="AA318" s="62"/>
      <c r="AB318" s="63"/>
      <c r="AC318" s="57" t="n">
        <f aca="false">AR318</f>
        <v>8</v>
      </c>
      <c r="AD318" s="57" t="n">
        <f aca="false">MAX(AR318,H318)</f>
        <v>8</v>
      </c>
      <c r="AE318" s="64"/>
      <c r="AF318" s="57" t="n">
        <f aca="false">IF(LEFT(Cockpit!$C$5,1)="A",H318,IF(CA318=1,CB318,IF(LEFT(Cockpit!$C$5,1)="B",AJ318,MAX(AJ318,H318))))</f>
        <v>6</v>
      </c>
      <c r="AG318" s="57" t="n">
        <f aca="false">IF(BT318=1,0,ROUNDUP(AF318/BS318,0))</f>
        <v>1</v>
      </c>
      <c r="AH318" s="59" t="n">
        <f aca="false">IF(CH318&gt;0,CH318*MAX(1,AF318/X318),IF(BT318=1,IF(AF318&lt;=0,0,BW318*MAX(1,IF(H318&gt;0,AF318/H318,1))),IF(R318&gt;0,AG318/R318,0))/MAX(0.1,N(Parameter!$M$21)))</f>
        <v>0.00757575757575758</v>
      </c>
      <c r="AI318" s="57" t="n">
        <f aca="false">AF318*G318</f>
        <v>242.34</v>
      </c>
      <c r="AJ318" s="57" t="n">
        <f aca="false">ROUNDUP(MAX(J318/IF(BZ318&gt;0,BZ318,MAX(0.1,N(Cockpit!$C$6))),CC318)/BS318,0)*BS318</f>
        <v>8</v>
      </c>
      <c r="AK318" s="58" t="n">
        <f aca="false">IF(AH318&gt;0,J318/AH318,-1)</f>
        <v>0</v>
      </c>
      <c r="AL318" s="58" t="n">
        <f aca="false">IF(AND(OR(BY318="L1",BY318="L23"),AH318&gt;0),SUMIFS($AH$7:$AH$1843,$BY$7:$BY$1843,BY318,$AK$7:$AK$1843,"&gt;"&amp;AK318)+SUMIFS($AH$7:$AH$1843,$BY$7:$BY$1843,BY318,$AK$7:$AK$1843,AK318,$BQ$7:$BQ$1843,"&lt;="&amp;BQ318),"")</f>
        <v>72.5813823857302</v>
      </c>
      <c r="AM318" s="65" t="n">
        <f aca="false">IF(AL318="",0,MAX(0,MIN(1,(IF(BY318="L1",Parameter!$E$5,Parameter!$E$6+Parameter!$E$7)-(AL318-AH318))/AH318)))</f>
        <v>1</v>
      </c>
      <c r="AN318" s="57" t="n">
        <f aca="false">IF(LEFT(Cockpit!$I$5,1)="A",H318,IF(CA318=1,CB318,IF(LEFT(Cockpit!$I$5,1)="B",AR318,MAX(AR318,H318))))</f>
        <v>8</v>
      </c>
      <c r="AO318" s="57" t="n">
        <f aca="false">IF(BT318=1,0,ROUNDUP(AN318/BS318,0))</f>
        <v>1</v>
      </c>
      <c r="AP318" s="59" t="n">
        <f aca="false">IF(CH318&gt;0,CH318*MAX(1,AN318/X318),IF(BT318=1,IF(AN318&lt;=0,0,BW318*MAX(1,IF(H318&gt;0,AN318/H318,1))),IF(R318&gt;0,AO318/R318,0))/MAX(0.1,N(Parameter!$M$21)))</f>
        <v>0.00757575757575758</v>
      </c>
      <c r="AQ318" s="57" t="n">
        <f aca="false">AN318*G318</f>
        <v>323.12</v>
      </c>
      <c r="AR318" s="57" t="n">
        <f aca="false">ROUNDUP(MAX(J318/IF(BZ318&gt;0,BZ318,MAX(0.1,N(Cockpit!$I$6))),CC318)/BS318,0)*BS318</f>
        <v>8</v>
      </c>
      <c r="AS318" s="58" t="n">
        <f aca="false">IF(AP318&gt;0,J318/AP318,-1)</f>
        <v>0</v>
      </c>
      <c r="AT318" s="58" t="n">
        <f aca="false">IF(AND(OR(BY318="L1",BY318="L23"),AP318&gt;0),SUMIFS($AP$7:$AP$1843,$BY$7:$BY$1843,BY318,$AS$7:$AS$1843,"&gt;"&amp;AS318)+SUMIFS($AP$7:$AP$1843,$BY$7:$BY$1843,BY318,$AS$7:$AS$1843,AS318,$BQ$7:$BQ$1843,"&lt;="&amp;BQ318),"")</f>
        <v>112.005506570724</v>
      </c>
      <c r="AU318" s="65" t="n">
        <f aca="false">IF(AT318="",0,MAX(0,MIN(1,(IF(BY318="L1",Parameter!$E$5,Parameter!$E$6+Parameter!$E$7)-(AT318-AP318))/AP318)))</f>
        <v>0</v>
      </c>
      <c r="AV318" s="57" t="n">
        <f aca="false">IF(LEFT(Cockpit!$O$5,1)="A",H318,IF(CA318=1,CB318,IF(LEFT(Cockpit!$O$5,1)="B",AZ318,MAX(AZ318,H318))))</f>
        <v>8</v>
      </c>
      <c r="AW318" s="57" t="n">
        <f aca="false">IF(BT318=1,0,ROUNDUP(AV318/BS318,0))</f>
        <v>1</v>
      </c>
      <c r="AX318" s="59" t="n">
        <f aca="false">IF(CH318&gt;0,CH318*MAX(1,AV318/X318),IF(BT318=1,IF(AV318&lt;=0,0,BW318*MAX(1,IF(H318&gt;0,AV318/H318,1))),IF(R318&gt;0,AW318/R318,0))/MAX(0.1,N(Parameter!$M$21)))</f>
        <v>0.00757575757575758</v>
      </c>
      <c r="AY318" s="57" t="n">
        <f aca="false">AV318*G318</f>
        <v>323.12</v>
      </c>
      <c r="AZ318" s="57" t="n">
        <f aca="false">ROUNDUP(MAX(J318/IF(BZ318&gt;0,BZ318,MAX(0.1,N(Cockpit!$O$6))),CC318)/BS318,0)*BS318</f>
        <v>8</v>
      </c>
      <c r="BA318" s="58" t="n">
        <f aca="false">IF(AX318&gt;0,J318/AX318,-1)</f>
        <v>0</v>
      </c>
      <c r="BB318" s="58" t="n">
        <f aca="false">IF(AND(OR(BY318="L1",BY318="L23"),AX318&gt;0),SUMIFS($AX$7:$AX$1843,$BY$7:$BY$1843,BY318,$BA$7:$BA$1843,"&gt;"&amp;BA318)+SUMIFS($AX$7:$AX$1843,$BY$7:$BY$1843,BY318,$BA$7:$BA$1843,BA318,$BQ$7:$BQ$1843,"&lt;="&amp;BQ318),"")</f>
        <v>102.835343400561</v>
      </c>
      <c r="BC318" s="65" t="n">
        <f aca="false">IF(BB318="",0,MAX(0,MIN(1,(IF(BY318="L1",Parameter!$E$5,Parameter!$E$6+Parameter!$E$7)-(BB318-AX318))/AX318)))</f>
        <v>0</v>
      </c>
      <c r="BD318" s="55" t="str">
        <f aca="false">IF(AH318&lt;=0,"",IF(BY318="Aussen","Aussenlager",IF(BY318="-","Nicht im Lift",IF(AM318&gt;=1,"Lift",IF(AM318&lt;=0,"Aussenlager","teilweise")))))</f>
        <v>Lift</v>
      </c>
      <c r="BE318" s="55" t="str">
        <f aca="false">IF(AP318&lt;=0,"",IF(BY318="Aussen","Aussenlager",IF(BY318="-","Nicht im Lift",IF(AU318&gt;=1,"Lift",IF(AU318&lt;=0,"Aussenlager","teilweise")))))</f>
        <v>Aussenlager</v>
      </c>
      <c r="BF318" s="55" t="str">
        <f aca="false">IF(AX318&lt;=0,"",IF(BY318="Aussen","Aussenlager",IF(BY318="-","Nicht im Lift",IF(BC318&gt;=1,"Lift",IF(BC318&lt;=0,"Aussenlager","teilweise")))))</f>
        <v>Aussenlager</v>
      </c>
      <c r="BG318" s="55" t="str">
        <f aca="false">IF(A318="","",IF(BP318=1,"Neu; ","")&amp;IF(AND(BP318=0,BK318&lt;0),"negativer Bestand (Export "&amp;BK318&amp;"); ","")&amp;IF(J318&lt;=0,"Kein Verbrauch; ","")&amp;IF(CH318&gt;0,"Lift "&amp;W318&amp;" lt. Liftbericht (Fach "&amp;X318&amp;" Stk); ",IF(BU318=1,"Gebinde geschätzt ("&amp;T318&amp;"); ",IF(BT318=1,"Lose – Tablare geschätzt; ","")))&amp;IF(H318&gt;AR318,"Überbestand "&amp;ROUND(H318-AR318,0)&amp;" Stk / CHF "&amp;ROUND((H318-AR318)*G318,0)&amp;"; ","")&amp;IF(AND(CA318=1,CB318&lt;CC318),"MAX &lt; MB+LG; ","")&amp;IF(AND(CG318&gt;0,CF318*10&gt;CG318),"zu hoch für Tablar; ","")&amp;IF(AND(BP318=0,OR(CA318=1,AA318&lt;&gt;"",U318&lt;&gt;"",V318&lt;&gt;"",AB318&lt;&gt;"")),"manuell übersteuert; ","")&amp;IF(AND(BT318=0,R318=0),"Gebinde unbekannt / Stellmass fehlt; ","")&amp;IF(AND(BT318=0,N(V318)&lt;=0,N(Q318)&lt;=0),"Menge pro Gebinde fehlt (Ist = 1 Gebinde); ","")&amp;BO318)</f>
        <v>Kein Verbrauch; </v>
      </c>
      <c r="BH318" s="55"/>
      <c r="BI318" s="55"/>
      <c r="BJ318" s="62"/>
      <c r="BK318" s="57" t="n">
        <v>6</v>
      </c>
      <c r="BL318" s="57" t="n">
        <v>0</v>
      </c>
      <c r="BM318" s="56" t="n">
        <v>242.34</v>
      </c>
      <c r="BN318" s="57" t="n">
        <v>0</v>
      </c>
      <c r="BO318" s="55"/>
      <c r="BP318" s="60" t="n">
        <v>0</v>
      </c>
      <c r="BQ318" s="60" t="n">
        <v>318</v>
      </c>
      <c r="BR318" s="55" t="str">
        <f aca="false">IF(U318&lt;&gt;"",UPPER(TRIM(U318)),IF(BU318=1,UPPER(VLOOKUP(T318,Parameter!$I$27:$K$29,2,0)),IF(P318="","LOSE",P318)))</f>
        <v>S32</v>
      </c>
      <c r="BS318" s="57" t="n">
        <f aca="false">IF(BR318="LOSE",1,IF(N(V318)&gt;0,V318,IF(BU318=1,MAX(1,N(VLOOKUP(T318,Parameter!$I$27:$K$29,3,0)),H318,N(N318)),IF(N(Q318)&gt;0,Q318,MAX(1,H318)))))</f>
        <v>8</v>
      </c>
      <c r="BT318" s="60" t="n">
        <f aca="false">IF(BR318="LOSE",1,0)</f>
        <v>0</v>
      </c>
      <c r="BU318" s="60" t="n">
        <f aca="false">IF(AND(U318="",OR(P318="",P318="LOSE"),T318&lt;&gt;"",N(S318)&lt;=0,ISNUMBER(MATCH(T318,Parameter!$I$27:$I$29,0))),1,0)</f>
        <v>0</v>
      </c>
      <c r="BV318" s="55" t="str">
        <f aca="false">IF(AND(Parameter!$B$19="Ja",E318&lt;&gt;"",ISNUMBER(MATCH(E318,Parameter!$I$35:$I$52,0))),VLOOKUP(E318,Parameter!$I$35:$J$52,2,0),IFERROR(VLOOKUP(D318,Parameter!$A$35:$C$64,2,0),"Nein"))</f>
        <v>2+3</v>
      </c>
      <c r="BW318" s="59" t="n">
        <f aca="false">IF(BT318=0,0,IF(N(S318)&gt;0,S318,IFERROR(VLOOKUP(D318,Parameter!$A$35:$C$64,3,0)+0,0)))</f>
        <v>0</v>
      </c>
      <c r="BX318" s="55" t="n">
        <f aca="false">IF(AA318&lt;&gt;"",AA318,Z318)</f>
        <v>3</v>
      </c>
      <c r="BY318" s="55" t="str">
        <f aca="false">IF(BX318=1,"L1",IF(OR(BX318=2,BX318=3),"L23",IF(BX318="Aussen","Aussen","-")))</f>
        <v>L23</v>
      </c>
      <c r="BZ318" s="66" t="n">
        <f aca="false">IF(N(AB318)&gt;0,AB318,0)</f>
        <v>0</v>
      </c>
      <c r="CA318" s="60" t="n">
        <f aca="false">IF(ISNUMBER(AE318),1,0)</f>
        <v>0</v>
      </c>
      <c r="CB318" s="57" t="n">
        <f aca="false">N(AE318)</f>
        <v>0</v>
      </c>
      <c r="CC318" s="57" t="n">
        <f aca="false">N(M318)+N(N318)</f>
        <v>5</v>
      </c>
      <c r="CD318" s="57" t="n">
        <f aca="false">ROUNDUP(H318/BS318,0)</f>
        <v>1</v>
      </c>
      <c r="CE318" s="57" t="n">
        <f aca="false">ROUNDUP(CB318/BS318,0)</f>
        <v>0</v>
      </c>
      <c r="CF318" s="60" t="n">
        <f aca="false">IF(BT318=1,0,IFERROR(VLOOKUP(BR318,'Gebinde-Kategorie'!$A$5:$M$45,5,0)+0,0))</f>
        <v>8</v>
      </c>
      <c r="CG318" s="60" t="n">
        <f aca="false">IFERROR(IF(OR(BX318=1,BX318=2,BX318=3),N(INDEX(Parameter!$I$5:$I$7,BX318)),0),0)</f>
        <v>0</v>
      </c>
      <c r="CH318" s="59" t="n">
        <f aca="false">IF(AND(Parameter!$B$21="Ja",ISNUMBER(W318),N(X318)&gt;0),IFERROR(N(INDEX(Parameter!$L$5:$L$7,W318))*INDEX(Parameter!$E$5:$E$7,W318)*X318/SUMIFS($X$7:$X$1843,$W$7:$W$1843,W318),0),0)</f>
        <v>0</v>
      </c>
    </row>
    <row r="319" customFormat="false" ht="15" hidden="false" customHeight="false" outlineLevel="0" collapsed="false">
      <c r="A319" s="55" t="s">
        <v>803</v>
      </c>
      <c r="B319" s="55" t="s">
        <v>804</v>
      </c>
      <c r="C319" s="55" t="s">
        <v>164</v>
      </c>
      <c r="D319" s="55" t="s">
        <v>184</v>
      </c>
      <c r="E319" s="55"/>
      <c r="F319" s="55" t="s">
        <v>218</v>
      </c>
      <c r="G319" s="56" t="n">
        <v>34.48</v>
      </c>
      <c r="H319" s="57" t="n">
        <f aca="false">MAX(0,IF(AND(Parameter!$B$21="Ja",ISNUMBER(Y319)),Y319,IF(Parameter!$B$20="Jahresanfang 2025 + Export",BL319+BK319,BK319)))</f>
        <v>52</v>
      </c>
      <c r="I319" s="57" t="n">
        <f aca="false">H319*G319</f>
        <v>1792.96</v>
      </c>
      <c r="J319" s="57" t="n">
        <f aca="false">BN319*Parameter!$B$18</f>
        <v>4</v>
      </c>
      <c r="K319" s="58" t="n">
        <v>48.5</v>
      </c>
      <c r="L319" s="59" t="n">
        <v>0.0824742268041237</v>
      </c>
      <c r="M319" s="57" t="n">
        <v>0</v>
      </c>
      <c r="N319" s="57" t="n">
        <v>5</v>
      </c>
      <c r="O319" s="60" t="n">
        <v>49</v>
      </c>
      <c r="P319" s="55" t="s">
        <v>302</v>
      </c>
      <c r="Q319" s="57" t="n">
        <v>55</v>
      </c>
      <c r="R319" s="60" t="n">
        <f aca="false">IF(BT319=1,0,IFERROR(VLOOKUP(BR319,'Gebinde-Kategorie'!$A$5:$M$45,13,0)+0,0))</f>
        <v>26</v>
      </c>
      <c r="S319" s="61"/>
      <c r="T319" s="62"/>
      <c r="U319" s="62"/>
      <c r="V319" s="62"/>
      <c r="W319" s="55"/>
      <c r="X319" s="57"/>
      <c r="Y319" s="57"/>
      <c r="Z319" s="55" t="n">
        <f aca="false">IF(A319="","",IF(AND(Parameter!$B$21="Ja",ISNUMBER(W319)),W319,IF(BV319="2+3",IF(ISNUMBER(SEARCH("grosser Artikel",BO319)),2,IFERROR(VLOOKUP(BR319,Parameter!$F$35:$G$64,2,0),2)),IF(OR(BV319="Nein",BV319=""),"-",BV319))))</f>
        <v>3</v>
      </c>
      <c r="AA319" s="62"/>
      <c r="AB319" s="63"/>
      <c r="AC319" s="57" t="n">
        <f aca="false">AR319</f>
        <v>55</v>
      </c>
      <c r="AD319" s="57" t="n">
        <f aca="false">MAX(AR319,H319)</f>
        <v>55</v>
      </c>
      <c r="AE319" s="64"/>
      <c r="AF319" s="57" t="n">
        <f aca="false">IF(LEFT(Cockpit!$C$5,1)="A",H319,IF(CA319=1,CB319,IF(LEFT(Cockpit!$C$5,1)="B",AJ319,MAX(AJ319,H319))))</f>
        <v>52</v>
      </c>
      <c r="AG319" s="57" t="n">
        <f aca="false">IF(BT319=1,0,ROUNDUP(AF319/BS319,0))</f>
        <v>1</v>
      </c>
      <c r="AH319" s="59" t="n">
        <f aca="false">IF(CH319&gt;0,CH319*MAX(1,AF319/X319),IF(BT319=1,IF(AF319&lt;=0,0,BW319*MAX(1,IF(H319&gt;0,AF319/H319,1))),IF(R319&gt;0,AG319/R319,0))/MAX(0.1,N(Parameter!$M$21)))</f>
        <v>0.0384615384615385</v>
      </c>
      <c r="AI319" s="57" t="n">
        <f aca="false">AF319*G319</f>
        <v>1792.96</v>
      </c>
      <c r="AJ319" s="57" t="n">
        <f aca="false">ROUNDUP(MAX(J319/IF(BZ319&gt;0,BZ319,MAX(0.1,N(Cockpit!$C$6))),CC319)/BS319,0)*BS319</f>
        <v>55</v>
      </c>
      <c r="AK319" s="58" t="n">
        <f aca="false">IF(AH319&gt;0,J319/AH319,-1)</f>
        <v>104</v>
      </c>
      <c r="AL319" s="58" t="n">
        <f aca="false">IF(AND(OR(BY319="L1",BY319="L23"),AH319&gt;0),SUMIFS($AH$7:$AH$1843,$BY$7:$BY$1843,BY319,$AK$7:$AK$1843,"&gt;"&amp;AK319)+SUMIFS($AH$7:$AH$1843,$BY$7:$BY$1843,BY319,$AK$7:$AK$1843,AK319,$BQ$7:$BQ$1843,"&lt;="&amp;BQ319),"")</f>
        <v>38.5918718962197</v>
      </c>
      <c r="AM319" s="65" t="n">
        <f aca="false">IF(AL319="",0,MAX(0,MIN(1,(IF(BY319="L1",Parameter!$E$5,Parameter!$E$6+Parameter!$E$7)-(AL319-AH319))/AH319)))</f>
        <v>1</v>
      </c>
      <c r="AN319" s="57" t="n">
        <f aca="false">IF(LEFT(Cockpit!$I$5,1)="A",H319,IF(CA319=1,CB319,IF(LEFT(Cockpit!$I$5,1)="B",AR319,MAX(AR319,H319))))</f>
        <v>55</v>
      </c>
      <c r="AO319" s="57" t="n">
        <f aca="false">IF(BT319=1,0,ROUNDUP(AN319/BS319,0))</f>
        <v>1</v>
      </c>
      <c r="AP319" s="59" t="n">
        <f aca="false">IF(CH319&gt;0,CH319*MAX(1,AN319/X319),IF(BT319=1,IF(AN319&lt;=0,0,BW319*MAX(1,IF(H319&gt;0,AN319/H319,1))),IF(R319&gt;0,AO319/R319,0))/MAX(0.1,N(Parameter!$M$21)))</f>
        <v>0.0384615384615385</v>
      </c>
      <c r="AQ319" s="57" t="n">
        <f aca="false">AN319*G319</f>
        <v>1896.4</v>
      </c>
      <c r="AR319" s="57" t="n">
        <f aca="false">ROUNDUP(MAX(J319/IF(BZ319&gt;0,BZ319,MAX(0.1,N(Cockpit!$I$6))),CC319)/BS319,0)*BS319</f>
        <v>55</v>
      </c>
      <c r="AS319" s="58" t="n">
        <f aca="false">IF(AP319&gt;0,J319/AP319,-1)</f>
        <v>104</v>
      </c>
      <c r="AT319" s="58" t="n">
        <f aca="false">IF(AND(OR(BY319="L1",BY319="L23"),AP319&gt;0),SUMIFS($AP$7:$AP$1843,$BY$7:$BY$1843,BY319,$AS$7:$AS$1843,"&gt;"&amp;AS319)+SUMIFS($AP$7:$AP$1843,$BY$7:$BY$1843,BY319,$AS$7:$AS$1843,AS319,$BQ$7:$BQ$1843,"&lt;="&amp;BQ319),"")</f>
        <v>56.4076044728219</v>
      </c>
      <c r="AU319" s="65" t="n">
        <f aca="false">IF(AT319="",0,MAX(0,MIN(1,(IF(BY319="L1",Parameter!$E$5,Parameter!$E$6+Parameter!$E$7)-(AT319-AP319))/AP319)))</f>
        <v>1</v>
      </c>
      <c r="AV319" s="57" t="n">
        <f aca="false">IF(LEFT(Cockpit!$O$5,1)="A",H319,IF(CA319=1,CB319,IF(LEFT(Cockpit!$O$5,1)="B",AZ319,MAX(AZ319,H319))))</f>
        <v>55</v>
      </c>
      <c r="AW319" s="57" t="n">
        <f aca="false">IF(BT319=1,0,ROUNDUP(AV319/BS319,0))</f>
        <v>1</v>
      </c>
      <c r="AX319" s="59" t="n">
        <f aca="false">IF(CH319&gt;0,CH319*MAX(1,AV319/X319),IF(BT319=1,IF(AV319&lt;=0,0,BW319*MAX(1,IF(H319&gt;0,AV319/H319,1))),IF(R319&gt;0,AW319/R319,0))/MAX(0.1,N(Parameter!$M$21)))</f>
        <v>0.0384615384615385</v>
      </c>
      <c r="AY319" s="57" t="n">
        <f aca="false">AV319*G319</f>
        <v>1896.4</v>
      </c>
      <c r="AZ319" s="57" t="n">
        <f aca="false">ROUNDUP(MAX(J319/IF(BZ319&gt;0,BZ319,MAX(0.1,N(Cockpit!$O$6))),CC319)/BS319,0)*BS319</f>
        <v>55</v>
      </c>
      <c r="BA319" s="58" t="n">
        <f aca="false">IF(AX319&gt;0,J319/AX319,-1)</f>
        <v>104</v>
      </c>
      <c r="BB319" s="58" t="n">
        <f aca="false">IF(AND(OR(BY319="L1",BY319="L23"),AX319&gt;0),SUMIFS($AX$7:$AX$1843,$BY$7:$BY$1843,BY319,$BA$7:$BA$1843,"&gt;"&amp;BA319)+SUMIFS($AX$7:$AX$1843,$BY$7:$BY$1843,BY319,$BA$7:$BA$1843,BA319,$BQ$7:$BQ$1843,"&lt;="&amp;BQ319),"")</f>
        <v>54.2374413026587</v>
      </c>
      <c r="BC319" s="65" t="n">
        <f aca="false">IF(BB319="",0,MAX(0,MIN(1,(IF(BY319="L1",Parameter!$E$5,Parameter!$E$6+Parameter!$E$7)-(BB319-AX319))/AX319)))</f>
        <v>1</v>
      </c>
      <c r="BD319" s="55" t="str">
        <f aca="false">IF(AH319&lt;=0,"",IF(BY319="Aussen","Aussenlager",IF(BY319="-","Nicht im Lift",IF(AM319&gt;=1,"Lift",IF(AM319&lt;=0,"Aussenlager","teilweise")))))</f>
        <v>Lift</v>
      </c>
      <c r="BE319" s="55" t="str">
        <f aca="false">IF(AP319&lt;=0,"",IF(BY319="Aussen","Aussenlager",IF(BY319="-","Nicht im Lift",IF(AU319&gt;=1,"Lift",IF(AU319&lt;=0,"Aussenlager","teilweise")))))</f>
        <v>Lift</v>
      </c>
      <c r="BF319" s="55" t="str">
        <f aca="false">IF(AX319&lt;=0,"",IF(BY319="Aussen","Aussenlager",IF(BY319="-","Nicht im Lift",IF(BC319&gt;=1,"Lift",IF(BC319&lt;=0,"Aussenlager","teilweise")))))</f>
        <v>Lift</v>
      </c>
      <c r="BG319" s="55" t="str">
        <f aca="false">IF(A319="","",IF(BP319=1,"Neu; ","")&amp;IF(AND(BP319=0,BK319&lt;0),"negativer Bestand (Export "&amp;BK319&amp;"); ","")&amp;IF(J319&lt;=0,"Kein Verbrauch; ","")&amp;IF(CH319&gt;0,"Lift "&amp;W319&amp;" lt. Liftbericht (Fach "&amp;X319&amp;" Stk); ",IF(BU319=1,"Gebinde geschätzt ("&amp;T319&amp;"); ",IF(BT319=1,"Lose – Tablare geschätzt; ","")))&amp;IF(H319&gt;AR319,"Überbestand "&amp;ROUND(H319-AR319,0)&amp;" Stk / CHF "&amp;ROUND((H319-AR319)*G319,0)&amp;"; ","")&amp;IF(AND(CA319=1,CB319&lt;CC319),"MAX &lt; MB+LG; ","")&amp;IF(AND(CG319&gt;0,CF319*10&gt;CG319),"zu hoch für Tablar; ","")&amp;IF(AND(BP319=0,OR(CA319=1,AA319&lt;&gt;"",U319&lt;&gt;"",V319&lt;&gt;"",AB319&lt;&gt;"")),"manuell übersteuert; ","")&amp;IF(AND(BT319=0,R319=0),"Gebinde unbekannt / Stellmass fehlt; ","")&amp;IF(AND(BT319=0,N(V319)&lt;=0,N(Q319)&lt;=0),"Menge pro Gebinde fehlt (Ist = 1 Gebinde); ","")&amp;BO319)</f>
        <v>i.o</v>
      </c>
      <c r="BH319" s="55"/>
      <c r="BI319" s="55"/>
      <c r="BJ319" s="62"/>
      <c r="BK319" s="57" t="n">
        <v>7</v>
      </c>
      <c r="BL319" s="57" t="n">
        <v>45</v>
      </c>
      <c r="BM319" s="56" t="n">
        <v>241.36</v>
      </c>
      <c r="BN319" s="57" t="n">
        <v>4</v>
      </c>
      <c r="BO319" s="55" t="s">
        <v>536</v>
      </c>
      <c r="BP319" s="60" t="n">
        <v>0</v>
      </c>
      <c r="BQ319" s="60" t="n">
        <v>319</v>
      </c>
      <c r="BR319" s="55" t="str">
        <f aca="false">IF(U319&lt;&gt;"",UPPER(TRIM(U319)),IF(BU319=1,UPPER(VLOOKUP(T319,Parameter!$I$27:$K$29,2,0)),IF(P319="","LOSE",P319)))</f>
        <v>S51</v>
      </c>
      <c r="BS319" s="57" t="n">
        <f aca="false">IF(BR319="LOSE",1,IF(N(V319)&gt;0,V319,IF(BU319=1,MAX(1,N(VLOOKUP(T319,Parameter!$I$27:$K$29,3,0)),H319,N(N319)),IF(N(Q319)&gt;0,Q319,MAX(1,H319)))))</f>
        <v>55</v>
      </c>
      <c r="BT319" s="60" t="n">
        <f aca="false">IF(BR319="LOSE",1,0)</f>
        <v>0</v>
      </c>
      <c r="BU319" s="60" t="n">
        <f aca="false">IF(AND(U319="",OR(P319="",P319="LOSE"),T319&lt;&gt;"",N(S319)&lt;=0,ISNUMBER(MATCH(T319,Parameter!$I$27:$I$29,0))),1,0)</f>
        <v>0</v>
      </c>
      <c r="BV319" s="55" t="str">
        <f aca="false">IF(AND(Parameter!$B$19="Ja",E319&lt;&gt;"",ISNUMBER(MATCH(E319,Parameter!$I$35:$I$52,0))),VLOOKUP(E319,Parameter!$I$35:$J$52,2,0),IFERROR(VLOOKUP(D319,Parameter!$A$35:$C$64,2,0),"Nein"))</f>
        <v>2+3</v>
      </c>
      <c r="BW319" s="59" t="n">
        <f aca="false">IF(BT319=0,0,IF(N(S319)&gt;0,S319,IFERROR(VLOOKUP(D319,Parameter!$A$35:$C$64,3,0)+0,0)))</f>
        <v>0</v>
      </c>
      <c r="BX319" s="55" t="n">
        <f aca="false">IF(AA319&lt;&gt;"",AA319,Z319)</f>
        <v>3</v>
      </c>
      <c r="BY319" s="55" t="str">
        <f aca="false">IF(BX319=1,"L1",IF(OR(BX319=2,BX319=3),"L23",IF(BX319="Aussen","Aussen","-")))</f>
        <v>L23</v>
      </c>
      <c r="BZ319" s="66" t="n">
        <f aca="false">IF(N(AB319)&gt;0,AB319,0)</f>
        <v>0</v>
      </c>
      <c r="CA319" s="60" t="n">
        <f aca="false">IF(ISNUMBER(AE319),1,0)</f>
        <v>0</v>
      </c>
      <c r="CB319" s="57" t="n">
        <f aca="false">N(AE319)</f>
        <v>0</v>
      </c>
      <c r="CC319" s="57" t="n">
        <f aca="false">N(M319)+N(N319)</f>
        <v>5</v>
      </c>
      <c r="CD319" s="57" t="n">
        <f aca="false">ROUNDUP(H319/BS319,0)</f>
        <v>1</v>
      </c>
      <c r="CE319" s="57" t="n">
        <f aca="false">ROUNDUP(CB319/BS319,0)</f>
        <v>0</v>
      </c>
      <c r="CF319" s="60" t="n">
        <f aca="false">IF(BT319=1,0,IFERROR(VLOOKUP(BR319,'Gebinde-Kategorie'!$A$5:$M$45,5,0)+0,0))</f>
        <v>11</v>
      </c>
      <c r="CG319" s="60" t="n">
        <f aca="false">IFERROR(IF(OR(BX319=1,BX319=2,BX319=3),N(INDEX(Parameter!$I$5:$I$7,BX319)),0),0)</f>
        <v>0</v>
      </c>
      <c r="CH319" s="59" t="n">
        <f aca="false">IF(AND(Parameter!$B$21="Ja",ISNUMBER(W319),N(X319)&gt;0),IFERROR(N(INDEX(Parameter!$L$5:$L$7,W319))*INDEX(Parameter!$E$5:$E$7,W319)*X319/SUMIFS($X$7:$X$1843,$W$7:$W$1843,W319),0),0)</f>
        <v>0</v>
      </c>
    </row>
    <row r="320" customFormat="false" ht="15" hidden="false" customHeight="false" outlineLevel="0" collapsed="false">
      <c r="A320" s="55" t="s">
        <v>805</v>
      </c>
      <c r="B320" s="55" t="s">
        <v>806</v>
      </c>
      <c r="C320" s="55" t="s">
        <v>164</v>
      </c>
      <c r="D320" s="55" t="s">
        <v>184</v>
      </c>
      <c r="E320" s="55" t="s">
        <v>185</v>
      </c>
      <c r="F320" s="55" t="s">
        <v>218</v>
      </c>
      <c r="G320" s="56" t="n">
        <v>32.38</v>
      </c>
      <c r="H320" s="57" t="n">
        <f aca="false">MAX(0,IF(AND(Parameter!$B$21="Ja",ISNUMBER(Y320)),Y320,IF(Parameter!$B$20="Jahresanfang 2025 + Export",BL320+BK320,BK320)))</f>
        <v>12</v>
      </c>
      <c r="I320" s="57" t="n">
        <f aca="false">H320*G320</f>
        <v>388.56</v>
      </c>
      <c r="J320" s="57" t="n">
        <f aca="false">BN320*Parameter!$B$18</f>
        <v>10</v>
      </c>
      <c r="K320" s="58" t="n">
        <v>10</v>
      </c>
      <c r="L320" s="59" t="n">
        <v>1</v>
      </c>
      <c r="M320" s="57" t="n">
        <v>0</v>
      </c>
      <c r="N320" s="57" t="n">
        <v>10</v>
      </c>
      <c r="O320" s="60" t="n">
        <v>28</v>
      </c>
      <c r="P320" s="55" t="s">
        <v>421</v>
      </c>
      <c r="Q320" s="57" t="n">
        <v>9</v>
      </c>
      <c r="R320" s="60" t="n">
        <f aca="false">IF(BT320=1,0,IFERROR(VLOOKUP(BR320,'Gebinde-Kategorie'!$A$5:$M$45,13,0)+0,0))</f>
        <v>132</v>
      </c>
      <c r="S320" s="61"/>
      <c r="T320" s="62"/>
      <c r="U320" s="62"/>
      <c r="V320" s="62"/>
      <c r="W320" s="55"/>
      <c r="X320" s="57"/>
      <c r="Y320" s="57"/>
      <c r="Z320" s="55" t="n">
        <f aca="false">IF(A320="","",IF(AND(Parameter!$B$21="Ja",ISNUMBER(W320)),W320,IF(BV320="2+3",IF(ISNUMBER(SEARCH("grosser Artikel",BO320)),2,IFERROR(VLOOKUP(BR320,Parameter!$F$35:$G$64,2,0),2)),IF(OR(BV320="Nein",BV320=""),"-",BV320))))</f>
        <v>3</v>
      </c>
      <c r="AA320" s="62"/>
      <c r="AB320" s="63"/>
      <c r="AC320" s="57" t="n">
        <f aca="false">AR320</f>
        <v>18</v>
      </c>
      <c r="AD320" s="57" t="n">
        <f aca="false">MAX(AR320,H320)</f>
        <v>18</v>
      </c>
      <c r="AE320" s="64"/>
      <c r="AF320" s="57" t="n">
        <f aca="false">IF(LEFT(Cockpit!$C$5,1)="A",H320,IF(CA320=1,CB320,IF(LEFT(Cockpit!$C$5,1)="B",AJ320,MAX(AJ320,H320))))</f>
        <v>12</v>
      </c>
      <c r="AG320" s="57" t="n">
        <f aca="false">IF(BT320=1,0,ROUNDUP(AF320/BS320,0))</f>
        <v>2</v>
      </c>
      <c r="AH320" s="59" t="n">
        <f aca="false">IF(CH320&gt;0,CH320*MAX(1,AF320/X320),IF(BT320=1,IF(AF320&lt;=0,0,BW320*MAX(1,IF(H320&gt;0,AF320/H320,1))),IF(R320&gt;0,AG320/R320,0))/MAX(0.1,N(Parameter!$M$21)))</f>
        <v>0.0151515151515152</v>
      </c>
      <c r="AI320" s="57" t="n">
        <f aca="false">AF320*G320</f>
        <v>388.56</v>
      </c>
      <c r="AJ320" s="57" t="n">
        <f aca="false">ROUNDUP(MAX(J320/IF(BZ320&gt;0,BZ320,MAX(0.1,N(Cockpit!$C$6))),CC320)/BS320,0)*BS320</f>
        <v>18</v>
      </c>
      <c r="AK320" s="58" t="n">
        <f aca="false">IF(AH320&gt;0,J320/AH320,-1)</f>
        <v>660</v>
      </c>
      <c r="AL320" s="58" t="n">
        <f aca="false">IF(AND(OR(BY320="L1",BY320="L23"),AH320&gt;0),SUMIFS($AH$7:$AH$1843,$BY$7:$BY$1843,BY320,$AK$7:$AK$1843,"&gt;"&amp;AK320)+SUMIFS($AH$7:$AH$1843,$BY$7:$BY$1843,BY320,$AK$7:$AK$1843,AK320,$BQ$7:$BQ$1843,"&lt;="&amp;BQ320),"")</f>
        <v>22.2373737373737</v>
      </c>
      <c r="AM320" s="65" t="n">
        <f aca="false">IF(AL320="",0,MAX(0,MIN(1,(IF(BY320="L1",Parameter!$E$5,Parameter!$E$6+Parameter!$E$7)-(AL320-AH320))/AH320)))</f>
        <v>1</v>
      </c>
      <c r="AN320" s="57" t="n">
        <f aca="false">IF(LEFT(Cockpit!$I$5,1)="A",H320,IF(CA320=1,CB320,IF(LEFT(Cockpit!$I$5,1)="B",AR320,MAX(AR320,H320))))</f>
        <v>18</v>
      </c>
      <c r="AO320" s="57" t="n">
        <f aca="false">IF(BT320=1,0,ROUNDUP(AN320/BS320,0))</f>
        <v>2</v>
      </c>
      <c r="AP320" s="59" t="n">
        <f aca="false">IF(CH320&gt;0,CH320*MAX(1,AN320/X320),IF(BT320=1,IF(AN320&lt;=0,0,BW320*MAX(1,IF(H320&gt;0,AN320/H320,1))),IF(R320&gt;0,AO320/R320,0))/MAX(0.1,N(Parameter!$M$21)))</f>
        <v>0.0151515151515152</v>
      </c>
      <c r="AQ320" s="57" t="n">
        <f aca="false">AN320*G320</f>
        <v>582.84</v>
      </c>
      <c r="AR320" s="57" t="n">
        <f aca="false">ROUNDUP(MAX(J320/IF(BZ320&gt;0,BZ320,MAX(0.1,N(Cockpit!$I$6))),CC320)/BS320,0)*BS320</f>
        <v>18</v>
      </c>
      <c r="AS320" s="58" t="n">
        <f aca="false">IF(AP320&gt;0,J320/AP320,-1)</f>
        <v>660</v>
      </c>
      <c r="AT320" s="58" t="n">
        <f aca="false">IF(AND(OR(BY320="L1",BY320="L23"),AP320&gt;0),SUMIFS($AP$7:$AP$1843,$BY$7:$BY$1843,BY320,$AS$7:$AS$1843,"&gt;"&amp;AS320)+SUMIFS($AP$7:$AP$1843,$BY$7:$BY$1843,BY320,$AS$7:$AS$1843,AS320,$BQ$7:$BQ$1843,"&lt;="&amp;BQ320),"")</f>
        <v>29.873146177494</v>
      </c>
      <c r="AU320" s="65" t="n">
        <f aca="false">IF(AT320="",0,MAX(0,MIN(1,(IF(BY320="L1",Parameter!$E$5,Parameter!$E$6+Parameter!$E$7)-(AT320-AP320))/AP320)))</f>
        <v>1</v>
      </c>
      <c r="AV320" s="57" t="n">
        <f aca="false">IF(LEFT(Cockpit!$O$5,1)="A",H320,IF(CA320=1,CB320,IF(LEFT(Cockpit!$O$5,1)="B",AZ320,MAX(AZ320,H320))))</f>
        <v>18</v>
      </c>
      <c r="AW320" s="57" t="n">
        <f aca="false">IF(BT320=1,0,ROUNDUP(AV320/BS320,0))</f>
        <v>2</v>
      </c>
      <c r="AX320" s="59" t="n">
        <f aca="false">IF(CH320&gt;0,CH320*MAX(1,AV320/X320),IF(BT320=1,IF(AV320&lt;=0,0,BW320*MAX(1,IF(H320&gt;0,AV320/H320,1))),IF(R320&gt;0,AW320/R320,0))/MAX(0.1,N(Parameter!$M$21)))</f>
        <v>0.0151515151515152</v>
      </c>
      <c r="AY320" s="57" t="n">
        <f aca="false">AV320*G320</f>
        <v>582.84</v>
      </c>
      <c r="AZ320" s="57" t="n">
        <f aca="false">ROUNDUP(MAX(J320/IF(BZ320&gt;0,BZ320,MAX(0.1,N(Cockpit!$O$6))),CC320)/BS320,0)*BS320</f>
        <v>18</v>
      </c>
      <c r="BA320" s="58" t="n">
        <f aca="false">IF(AX320&gt;0,J320/AX320,-1)</f>
        <v>660</v>
      </c>
      <c r="BB320" s="58" t="n">
        <f aca="false">IF(AND(OR(BY320="L1",BY320="L23"),AX320&gt;0),SUMIFS($AX$7:$AX$1843,$BY$7:$BY$1843,BY320,$BA$7:$BA$1843,"&gt;"&amp;BA320)+SUMIFS($AX$7:$AX$1843,$BY$7:$BY$1843,BY320,$BA$7:$BA$1843,BA320,$BQ$7:$BQ$1843,"&lt;="&amp;BQ320),"")</f>
        <v>28.5747778791257</v>
      </c>
      <c r="BC320" s="65" t="n">
        <f aca="false">IF(BB320="",0,MAX(0,MIN(1,(IF(BY320="L1",Parameter!$E$5,Parameter!$E$6+Parameter!$E$7)-(BB320-AX320))/AX320)))</f>
        <v>1</v>
      </c>
      <c r="BD320" s="55" t="str">
        <f aca="false">IF(AH320&lt;=0,"",IF(BY320="Aussen","Aussenlager",IF(BY320="-","Nicht im Lift",IF(AM320&gt;=1,"Lift",IF(AM320&lt;=0,"Aussenlager","teilweise")))))</f>
        <v>Lift</v>
      </c>
      <c r="BE320" s="55" t="str">
        <f aca="false">IF(AP320&lt;=0,"",IF(BY320="Aussen","Aussenlager",IF(BY320="-","Nicht im Lift",IF(AU320&gt;=1,"Lift",IF(AU320&lt;=0,"Aussenlager","teilweise")))))</f>
        <v>Lift</v>
      </c>
      <c r="BF320" s="55" t="str">
        <f aca="false">IF(AX320&lt;=0,"",IF(BY320="Aussen","Aussenlager",IF(BY320="-","Nicht im Lift",IF(BC320&gt;=1,"Lift",IF(BC320&lt;=0,"Aussenlager","teilweise")))))</f>
        <v>Lift</v>
      </c>
      <c r="BG320" s="55" t="str">
        <f aca="false">IF(A320="","",IF(BP320=1,"Neu; ","")&amp;IF(AND(BP320=0,BK320&lt;0),"negativer Bestand (Export "&amp;BK320&amp;"); ","")&amp;IF(J320&lt;=0,"Kein Verbrauch; ","")&amp;IF(CH320&gt;0,"Lift "&amp;W320&amp;" lt. Liftbericht (Fach "&amp;X320&amp;" Stk); ",IF(BU320=1,"Gebinde geschätzt ("&amp;T320&amp;"); ",IF(BT320=1,"Lose – Tablare geschätzt; ","")))&amp;IF(H320&gt;AR320,"Überbestand "&amp;ROUND(H320-AR320,0)&amp;" Stk / CHF "&amp;ROUND((H320-AR320)*G320,0)&amp;"; ","")&amp;IF(AND(CA320=1,CB320&lt;CC320),"MAX &lt; MB+LG; ","")&amp;IF(AND(CG320&gt;0,CF320*10&gt;CG320),"zu hoch für Tablar; ","")&amp;IF(AND(BP320=0,OR(CA320=1,AA320&lt;&gt;"",U320&lt;&gt;"",V320&lt;&gt;"",AB320&lt;&gt;"")),"manuell übersteuert; ","")&amp;IF(AND(BT320=0,R320=0),"Gebinde unbekannt / Stellmass fehlt; ","")&amp;IF(AND(BT320=0,N(V320)&lt;=0,N(Q320)&lt;=0),"Menge pro Gebinde fehlt (Ist = 1 Gebinde); ","")&amp;BO320)</f>
        <v/>
      </c>
      <c r="BH320" s="55"/>
      <c r="BI320" s="55"/>
      <c r="BJ320" s="62"/>
      <c r="BK320" s="57" t="n">
        <v>7</v>
      </c>
      <c r="BL320" s="57" t="n">
        <v>5</v>
      </c>
      <c r="BM320" s="56" t="n">
        <v>238.56</v>
      </c>
      <c r="BN320" s="57" t="n">
        <v>10</v>
      </c>
      <c r="BO320" s="55"/>
      <c r="BP320" s="60" t="n">
        <v>0</v>
      </c>
      <c r="BQ320" s="60" t="n">
        <v>320</v>
      </c>
      <c r="BR320" s="55" t="str">
        <f aca="false">IF(U320&lt;&gt;"",UPPER(TRIM(U320)),IF(BU320=1,UPPER(VLOOKUP(T320,Parameter!$I$27:$K$29,2,0)),IF(P320="","LOSE",P320)))</f>
        <v>S32</v>
      </c>
      <c r="BS320" s="57" t="n">
        <f aca="false">IF(BR320="LOSE",1,IF(N(V320)&gt;0,V320,IF(BU320=1,MAX(1,N(VLOOKUP(T320,Parameter!$I$27:$K$29,3,0)),H320,N(N320)),IF(N(Q320)&gt;0,Q320,MAX(1,H320)))))</f>
        <v>9</v>
      </c>
      <c r="BT320" s="60" t="n">
        <f aca="false">IF(BR320="LOSE",1,0)</f>
        <v>0</v>
      </c>
      <c r="BU320" s="60" t="n">
        <f aca="false">IF(AND(U320="",OR(P320="",P320="LOSE"),T320&lt;&gt;"",N(S320)&lt;=0,ISNUMBER(MATCH(T320,Parameter!$I$27:$I$29,0))),1,0)</f>
        <v>0</v>
      </c>
      <c r="BV320" s="55" t="str">
        <f aca="false">IF(AND(Parameter!$B$19="Ja",E320&lt;&gt;"",ISNUMBER(MATCH(E320,Parameter!$I$35:$I$52,0))),VLOOKUP(E320,Parameter!$I$35:$J$52,2,0),IFERROR(VLOOKUP(D320,Parameter!$A$35:$C$64,2,0),"Nein"))</f>
        <v>2+3</v>
      </c>
      <c r="BW320" s="59" t="n">
        <f aca="false">IF(BT320=0,0,IF(N(S320)&gt;0,S320,IFERROR(VLOOKUP(D320,Parameter!$A$35:$C$64,3,0)+0,0)))</f>
        <v>0</v>
      </c>
      <c r="BX320" s="55" t="n">
        <f aca="false">IF(AA320&lt;&gt;"",AA320,Z320)</f>
        <v>3</v>
      </c>
      <c r="BY320" s="55" t="str">
        <f aca="false">IF(BX320=1,"L1",IF(OR(BX320=2,BX320=3),"L23",IF(BX320="Aussen","Aussen","-")))</f>
        <v>L23</v>
      </c>
      <c r="BZ320" s="66" t="n">
        <f aca="false">IF(N(AB320)&gt;0,AB320,0)</f>
        <v>0</v>
      </c>
      <c r="CA320" s="60" t="n">
        <f aca="false">IF(ISNUMBER(AE320),1,0)</f>
        <v>0</v>
      </c>
      <c r="CB320" s="57" t="n">
        <f aca="false">N(AE320)</f>
        <v>0</v>
      </c>
      <c r="CC320" s="57" t="n">
        <f aca="false">N(M320)+N(N320)</f>
        <v>10</v>
      </c>
      <c r="CD320" s="57" t="n">
        <f aca="false">ROUNDUP(H320/BS320,0)</f>
        <v>2</v>
      </c>
      <c r="CE320" s="57" t="n">
        <f aca="false">ROUNDUP(CB320/BS320,0)</f>
        <v>0</v>
      </c>
      <c r="CF320" s="60" t="n">
        <f aca="false">IF(BT320=1,0,IFERROR(VLOOKUP(BR320,'Gebinde-Kategorie'!$A$5:$M$45,5,0)+0,0))</f>
        <v>8</v>
      </c>
      <c r="CG320" s="60" t="n">
        <f aca="false">IFERROR(IF(OR(BX320=1,BX320=2,BX320=3),N(INDEX(Parameter!$I$5:$I$7,BX320)),0),0)</f>
        <v>0</v>
      </c>
      <c r="CH320" s="59" t="n">
        <f aca="false">IF(AND(Parameter!$B$21="Ja",ISNUMBER(W320),N(X320)&gt;0),IFERROR(N(INDEX(Parameter!$L$5:$L$7,W320))*INDEX(Parameter!$E$5:$E$7,W320)*X320/SUMIFS($X$7:$X$1843,$W$7:$W$1843,W320),0),0)</f>
        <v>0</v>
      </c>
    </row>
    <row r="321" customFormat="false" ht="15" hidden="false" customHeight="false" outlineLevel="0" collapsed="false">
      <c r="A321" s="55" t="s">
        <v>807</v>
      </c>
      <c r="B321" s="55" t="s">
        <v>808</v>
      </c>
      <c r="C321" s="55" t="s">
        <v>164</v>
      </c>
      <c r="D321" s="55" t="s">
        <v>184</v>
      </c>
      <c r="E321" s="55" t="s">
        <v>185</v>
      </c>
      <c r="F321" s="55" t="s">
        <v>218</v>
      </c>
      <c r="G321" s="56" t="n">
        <v>3.64</v>
      </c>
      <c r="H321" s="57" t="n">
        <f aca="false">MAX(0,IF(AND(Parameter!$B$21="Ja",ISNUMBER(Y321)),Y321,IF(Parameter!$B$20="Jahresanfang 2025 + Export",BL321+BK321,BK321)))</f>
        <v>182</v>
      </c>
      <c r="I321" s="57" t="n">
        <f aca="false">H321*G321</f>
        <v>662.48</v>
      </c>
      <c r="J321" s="57" t="n">
        <f aca="false">BN321*Parameter!$B$18</f>
        <v>198</v>
      </c>
      <c r="K321" s="58" t="n">
        <v>76</v>
      </c>
      <c r="L321" s="59" t="n">
        <v>2.60526315789474</v>
      </c>
      <c r="M321" s="57" t="n">
        <v>49</v>
      </c>
      <c r="N321" s="57" t="n">
        <v>200</v>
      </c>
      <c r="O321" s="60" t="n">
        <v>60</v>
      </c>
      <c r="P321" s="55" t="s">
        <v>328</v>
      </c>
      <c r="Q321" s="57" t="n">
        <v>280</v>
      </c>
      <c r="R321" s="60" t="n">
        <f aca="false">IF(BT321=1,0,IFERROR(VLOOKUP(BR321,'Gebinde-Kategorie'!$A$5:$M$45,13,0)+0,0))</f>
        <v>52</v>
      </c>
      <c r="S321" s="61"/>
      <c r="T321" s="62"/>
      <c r="U321" s="62"/>
      <c r="V321" s="62"/>
      <c r="W321" s="55"/>
      <c r="X321" s="57"/>
      <c r="Y321" s="57"/>
      <c r="Z321" s="55" t="n">
        <f aca="false">IF(A321="","",IF(AND(Parameter!$B$21="Ja",ISNUMBER(W321)),W321,IF(BV321="2+3",IF(ISNUMBER(SEARCH("grosser Artikel",BO321)),2,IFERROR(VLOOKUP(BR321,Parameter!$F$35:$G$64,2,0),2)),IF(OR(BV321="Nein",BV321=""),"-",BV321))))</f>
        <v>3</v>
      </c>
      <c r="AA321" s="62"/>
      <c r="AB321" s="63"/>
      <c r="AC321" s="57" t="n">
        <f aca="false">AR321</f>
        <v>280</v>
      </c>
      <c r="AD321" s="57" t="n">
        <f aca="false">MAX(AR321,H321)</f>
        <v>280</v>
      </c>
      <c r="AE321" s="64"/>
      <c r="AF321" s="57" t="n">
        <f aca="false">IF(LEFT(Cockpit!$C$5,1)="A",H321,IF(CA321=1,CB321,IF(LEFT(Cockpit!$C$5,1)="B",AJ321,MAX(AJ321,H321))))</f>
        <v>182</v>
      </c>
      <c r="AG321" s="57" t="n">
        <f aca="false">IF(BT321=1,0,ROUNDUP(AF321/BS321,0))</f>
        <v>1</v>
      </c>
      <c r="AH321" s="59" t="n">
        <f aca="false">IF(CH321&gt;0,CH321*MAX(1,AF321/X321),IF(BT321=1,IF(AF321&lt;=0,0,BW321*MAX(1,IF(H321&gt;0,AF321/H321,1))),IF(R321&gt;0,AG321/R321,0))/MAX(0.1,N(Parameter!$M$21)))</f>
        <v>0.0192307692307692</v>
      </c>
      <c r="AI321" s="57" t="n">
        <f aca="false">AF321*G321</f>
        <v>662.48</v>
      </c>
      <c r="AJ321" s="57" t="n">
        <f aca="false">ROUNDUP(MAX(J321/IF(BZ321&gt;0,BZ321,MAX(0.1,N(Cockpit!$C$6))),CC321)/BS321,0)*BS321</f>
        <v>280</v>
      </c>
      <c r="AK321" s="58" t="n">
        <f aca="false">IF(AH321&gt;0,J321/AH321,-1)</f>
        <v>10296</v>
      </c>
      <c r="AL321" s="58" t="n">
        <f aca="false">IF(AND(OR(BY321="L1",BY321="L23"),AH321&gt;0),SUMIFS($AH$7:$AH$1843,$BY$7:$BY$1843,BY321,$AK$7:$AK$1843,"&gt;"&amp;AK321)+SUMIFS($AH$7:$AH$1843,$BY$7:$BY$1843,BY321,$AK$7:$AK$1843,AK321,$BQ$7:$BQ$1843,"&lt;="&amp;BQ321),"")</f>
        <v>5.22190128711868</v>
      </c>
      <c r="AM321" s="65" t="n">
        <f aca="false">IF(AL321="",0,MAX(0,MIN(1,(IF(BY321="L1",Parameter!$E$5,Parameter!$E$6+Parameter!$E$7)-(AL321-AH321))/AH321)))</f>
        <v>1</v>
      </c>
      <c r="AN321" s="57" t="n">
        <f aca="false">IF(LEFT(Cockpit!$I$5,1)="A",H321,IF(CA321=1,CB321,IF(LEFT(Cockpit!$I$5,1)="B",AR321,MAX(AR321,H321))))</f>
        <v>280</v>
      </c>
      <c r="AO321" s="57" t="n">
        <f aca="false">IF(BT321=1,0,ROUNDUP(AN321/BS321,0))</f>
        <v>1</v>
      </c>
      <c r="AP321" s="59" t="n">
        <f aca="false">IF(CH321&gt;0,CH321*MAX(1,AN321/X321),IF(BT321=1,IF(AN321&lt;=0,0,BW321*MAX(1,IF(H321&gt;0,AN321/H321,1))),IF(R321&gt;0,AO321/R321,0))/MAX(0.1,N(Parameter!$M$21)))</f>
        <v>0.0192307692307692</v>
      </c>
      <c r="AQ321" s="57" t="n">
        <f aca="false">AN321*G321</f>
        <v>1019.2</v>
      </c>
      <c r="AR321" s="57" t="n">
        <f aca="false">ROUNDUP(MAX(J321/IF(BZ321&gt;0,BZ321,MAX(0.1,N(Cockpit!$I$6))),CC321)/BS321,0)*BS321</f>
        <v>280</v>
      </c>
      <c r="AS321" s="58" t="n">
        <f aca="false">IF(AP321&gt;0,J321/AP321,-1)</f>
        <v>10296</v>
      </c>
      <c r="AT321" s="58" t="n">
        <f aca="false">IF(AND(OR(BY321="L1",BY321="L23"),AP321&gt;0),SUMIFS($AP$7:$AP$1843,$BY$7:$BY$1843,BY321,$AS$7:$AS$1843,"&gt;"&amp;AS321)+SUMIFS($AP$7:$AP$1843,$BY$7:$BY$1843,BY321,$AS$7:$AS$1843,AS321,$BQ$7:$BQ$1843,"&lt;="&amp;BQ321),"")</f>
        <v>8.08238741934394</v>
      </c>
      <c r="AU321" s="65" t="n">
        <f aca="false">IF(AT321="",0,MAX(0,MIN(1,(IF(BY321="L1",Parameter!$E$5,Parameter!$E$6+Parameter!$E$7)-(AT321-AP321))/AP321)))</f>
        <v>1</v>
      </c>
      <c r="AV321" s="57" t="n">
        <f aca="false">IF(LEFT(Cockpit!$O$5,1)="A",H321,IF(CA321=1,CB321,IF(LEFT(Cockpit!$O$5,1)="B",AZ321,MAX(AZ321,H321))))</f>
        <v>280</v>
      </c>
      <c r="AW321" s="57" t="n">
        <f aca="false">IF(BT321=1,0,ROUNDUP(AV321/BS321,0))</f>
        <v>1</v>
      </c>
      <c r="AX321" s="59" t="n">
        <f aca="false">IF(CH321&gt;0,CH321*MAX(1,AV321/X321),IF(BT321=1,IF(AV321&lt;=0,0,BW321*MAX(1,IF(H321&gt;0,AV321/H321,1))),IF(R321&gt;0,AW321/R321,0))/MAX(0.1,N(Parameter!$M$21)))</f>
        <v>0.0192307692307692</v>
      </c>
      <c r="AY321" s="57" t="n">
        <f aca="false">AV321*G321</f>
        <v>1019.2</v>
      </c>
      <c r="AZ321" s="57" t="n">
        <f aca="false">ROUNDUP(MAX(J321/IF(BZ321&gt;0,BZ321,MAX(0.1,N(Cockpit!$O$6))),CC321)/BS321,0)*BS321</f>
        <v>280</v>
      </c>
      <c r="BA321" s="58" t="n">
        <f aca="false">IF(AX321&gt;0,J321/AX321,-1)</f>
        <v>10296</v>
      </c>
      <c r="BB321" s="58" t="n">
        <f aca="false">IF(AND(OR(BY321="L1",BY321="L23"),AX321&gt;0),SUMIFS($AX$7:$AX$1843,$BY$7:$BY$1843,BY321,$BA$7:$BA$1843,"&gt;"&amp;BA321)+SUMIFS($AX$7:$AX$1843,$BY$7:$BY$1843,BY321,$BA$7:$BA$1843,BA321,$BQ$7:$BQ$1843,"&lt;="&amp;BQ321),"")</f>
        <v>7.50196783892436</v>
      </c>
      <c r="BC321" s="65" t="n">
        <f aca="false">IF(BB321="",0,MAX(0,MIN(1,(IF(BY321="L1",Parameter!$E$5,Parameter!$E$6+Parameter!$E$7)-(BB321-AX321))/AX321)))</f>
        <v>1</v>
      </c>
      <c r="BD321" s="55" t="str">
        <f aca="false">IF(AH321&lt;=0,"",IF(BY321="Aussen","Aussenlager",IF(BY321="-","Nicht im Lift",IF(AM321&gt;=1,"Lift",IF(AM321&lt;=0,"Aussenlager","teilweise")))))</f>
        <v>Lift</v>
      </c>
      <c r="BE321" s="55" t="str">
        <f aca="false">IF(AP321&lt;=0,"",IF(BY321="Aussen","Aussenlager",IF(BY321="-","Nicht im Lift",IF(AU321&gt;=1,"Lift",IF(AU321&lt;=0,"Aussenlager","teilweise")))))</f>
        <v>Lift</v>
      </c>
      <c r="BF321" s="55" t="str">
        <f aca="false">IF(AX321&lt;=0,"",IF(BY321="Aussen","Aussenlager",IF(BY321="-","Nicht im Lift",IF(BC321&gt;=1,"Lift",IF(BC321&lt;=0,"Aussenlager","teilweise")))))</f>
        <v>Lift</v>
      </c>
      <c r="BG321" s="55" t="str">
        <f aca="false">IF(A321="","",IF(BP321=1,"Neu; ","")&amp;IF(AND(BP321=0,BK321&lt;0),"negativer Bestand (Export "&amp;BK321&amp;"); ","")&amp;IF(J321&lt;=0,"Kein Verbrauch; ","")&amp;IF(CH321&gt;0,"Lift "&amp;W321&amp;" lt. Liftbericht (Fach "&amp;X321&amp;" Stk); ",IF(BU321=1,"Gebinde geschätzt ("&amp;T321&amp;"); ",IF(BT321=1,"Lose – Tablare geschätzt; ","")))&amp;IF(H321&gt;AR321,"Überbestand "&amp;ROUND(H321-AR321,0)&amp;" Stk / CHF "&amp;ROUND((H321-AR321)*G321,0)&amp;"; ","")&amp;IF(AND(CA321=1,CB321&lt;CC321),"MAX &lt; MB+LG; ","")&amp;IF(AND(CG321&gt;0,CF321*10&gt;CG321),"zu hoch für Tablar; ","")&amp;IF(AND(BP321=0,OR(CA321=1,AA321&lt;&gt;"",U321&lt;&gt;"",V321&lt;&gt;"",AB321&lt;&gt;"")),"manuell übersteuert; ","")&amp;IF(AND(BT321=0,R321=0),"Gebinde unbekannt / Stellmass fehlt; ","")&amp;IF(AND(BT321=0,N(V321)&lt;=0,N(Q321)&lt;=0),"Menge pro Gebinde fehlt (Ist = 1 Gebinde); ","")&amp;BO321)</f>
        <v/>
      </c>
      <c r="BH321" s="55"/>
      <c r="BI321" s="55"/>
      <c r="BJ321" s="62"/>
      <c r="BK321" s="57" t="n">
        <v>137</v>
      </c>
      <c r="BL321" s="57" t="n">
        <v>45</v>
      </c>
      <c r="BM321" s="56" t="n">
        <v>237.88</v>
      </c>
      <c r="BN321" s="57" t="n">
        <v>198</v>
      </c>
      <c r="BO321" s="55"/>
      <c r="BP321" s="60" t="n">
        <v>0</v>
      </c>
      <c r="BQ321" s="60" t="n">
        <v>321</v>
      </c>
      <c r="BR321" s="55" t="str">
        <f aca="false">IF(U321&lt;&gt;"",UPPER(TRIM(U321)),IF(BU321=1,UPPER(VLOOKUP(T321,Parameter!$I$27:$K$29,2,0)),IF(P321="","LOSE",P321)))</f>
        <v>S41</v>
      </c>
      <c r="BS321" s="57" t="n">
        <f aca="false">IF(BR321="LOSE",1,IF(N(V321)&gt;0,V321,IF(BU321=1,MAX(1,N(VLOOKUP(T321,Parameter!$I$27:$K$29,3,0)),H321,N(N321)),IF(N(Q321)&gt;0,Q321,MAX(1,H321)))))</f>
        <v>280</v>
      </c>
      <c r="BT321" s="60" t="n">
        <f aca="false">IF(BR321="LOSE",1,0)</f>
        <v>0</v>
      </c>
      <c r="BU321" s="60" t="n">
        <f aca="false">IF(AND(U321="",OR(P321="",P321="LOSE"),T321&lt;&gt;"",N(S321)&lt;=0,ISNUMBER(MATCH(T321,Parameter!$I$27:$I$29,0))),1,0)</f>
        <v>0</v>
      </c>
      <c r="BV321" s="55" t="str">
        <f aca="false">IF(AND(Parameter!$B$19="Ja",E321&lt;&gt;"",ISNUMBER(MATCH(E321,Parameter!$I$35:$I$52,0))),VLOOKUP(E321,Parameter!$I$35:$J$52,2,0),IFERROR(VLOOKUP(D321,Parameter!$A$35:$C$64,2,0),"Nein"))</f>
        <v>2+3</v>
      </c>
      <c r="BW321" s="59" t="n">
        <f aca="false">IF(BT321=0,0,IF(N(S321)&gt;0,S321,IFERROR(VLOOKUP(D321,Parameter!$A$35:$C$64,3,0)+0,0)))</f>
        <v>0</v>
      </c>
      <c r="BX321" s="55" t="n">
        <f aca="false">IF(AA321&lt;&gt;"",AA321,Z321)</f>
        <v>3</v>
      </c>
      <c r="BY321" s="55" t="str">
        <f aca="false">IF(BX321=1,"L1",IF(OR(BX321=2,BX321=3),"L23",IF(BX321="Aussen","Aussen","-")))</f>
        <v>L23</v>
      </c>
      <c r="BZ321" s="66" t="n">
        <f aca="false">IF(N(AB321)&gt;0,AB321,0)</f>
        <v>0</v>
      </c>
      <c r="CA321" s="60" t="n">
        <f aca="false">IF(ISNUMBER(AE321),1,0)</f>
        <v>0</v>
      </c>
      <c r="CB321" s="57" t="n">
        <f aca="false">N(AE321)</f>
        <v>0</v>
      </c>
      <c r="CC321" s="57" t="n">
        <f aca="false">N(M321)+N(N321)</f>
        <v>249</v>
      </c>
      <c r="CD321" s="57" t="n">
        <f aca="false">ROUNDUP(H321/BS321,0)</f>
        <v>1</v>
      </c>
      <c r="CE321" s="57" t="n">
        <f aca="false">ROUNDUP(CB321/BS321,0)</f>
        <v>0</v>
      </c>
      <c r="CF321" s="60" t="n">
        <f aca="false">IF(BT321=1,0,IFERROR(VLOOKUP(BR321,'Gebinde-Kategorie'!$A$5:$M$45,5,0)+0,0))</f>
        <v>11</v>
      </c>
      <c r="CG321" s="60" t="n">
        <f aca="false">IFERROR(IF(OR(BX321=1,BX321=2,BX321=3),N(INDEX(Parameter!$I$5:$I$7,BX321)),0),0)</f>
        <v>0</v>
      </c>
      <c r="CH321" s="59" t="n">
        <f aca="false">IF(AND(Parameter!$B$21="Ja",ISNUMBER(W321),N(X321)&gt;0),IFERROR(N(INDEX(Parameter!$L$5:$L$7,W321))*INDEX(Parameter!$E$5:$E$7,W321)*X321/SUMIFS($X$7:$X$1843,$W$7:$W$1843,W321),0),0)</f>
        <v>0</v>
      </c>
    </row>
    <row r="322" customFormat="false" ht="15" hidden="false" customHeight="false" outlineLevel="0" collapsed="false">
      <c r="A322" s="55" t="s">
        <v>809</v>
      </c>
      <c r="B322" s="55" t="s">
        <v>763</v>
      </c>
      <c r="C322" s="55" t="s">
        <v>164</v>
      </c>
      <c r="D322" s="55" t="s">
        <v>184</v>
      </c>
      <c r="E322" s="55"/>
      <c r="F322" s="55" t="s">
        <v>218</v>
      </c>
      <c r="G322" s="56" t="n">
        <v>9.47</v>
      </c>
      <c r="H322" s="57" t="n">
        <f aca="false">MAX(0,IF(AND(Parameter!$B$21="Ja",ISNUMBER(Y322)),Y322,IF(Parameter!$B$20="Jahresanfang 2025 + Export",BL322+BK322,BK322)))</f>
        <v>25</v>
      </c>
      <c r="I322" s="57" t="n">
        <f aca="false">H322*G322</f>
        <v>236.75</v>
      </c>
      <c r="J322" s="57" t="n">
        <f aca="false">BN322*Parameter!$B$18</f>
        <v>0</v>
      </c>
      <c r="K322" s="58" t="n">
        <v>0</v>
      </c>
      <c r="L322" s="59" t="n">
        <v>0</v>
      </c>
      <c r="M322" s="57" t="n">
        <v>0</v>
      </c>
      <c r="N322" s="57" t="n">
        <v>1</v>
      </c>
      <c r="O322" s="60" t="n">
        <v>9999</v>
      </c>
      <c r="P322" s="55" t="s">
        <v>168</v>
      </c>
      <c r="Q322" s="57"/>
      <c r="R322" s="60" t="n">
        <f aca="false">IF(BT322=1,0,IFERROR(VLOOKUP(BR322,'Gebinde-Kategorie'!$A$5:$M$45,13,0)+0,0))</f>
        <v>26</v>
      </c>
      <c r="S322" s="61"/>
      <c r="T322" s="62" t="s">
        <v>275</v>
      </c>
      <c r="U322" s="62"/>
      <c r="V322" s="62"/>
      <c r="W322" s="55"/>
      <c r="X322" s="57"/>
      <c r="Y322" s="57"/>
      <c r="Z322" s="55" t="n">
        <f aca="false">IF(A322="","",IF(AND(Parameter!$B$21="Ja",ISNUMBER(W322)),W322,IF(BV322="2+3",IF(ISNUMBER(SEARCH("grosser Artikel",BO322)),2,IFERROR(VLOOKUP(BR322,Parameter!$F$35:$G$64,2,0),2)),IF(OR(BV322="Nein",BV322=""),"-",BV322))))</f>
        <v>3</v>
      </c>
      <c r="AA322" s="62"/>
      <c r="AB322" s="63"/>
      <c r="AC322" s="57" t="n">
        <f aca="false">AR322</f>
        <v>25</v>
      </c>
      <c r="AD322" s="57" t="n">
        <f aca="false">MAX(AR322,H322)</f>
        <v>25</v>
      </c>
      <c r="AE322" s="64"/>
      <c r="AF322" s="57" t="n">
        <f aca="false">IF(LEFT(Cockpit!$C$5,1)="A",H322,IF(CA322=1,CB322,IF(LEFT(Cockpit!$C$5,1)="B",AJ322,MAX(AJ322,H322))))</f>
        <v>25</v>
      </c>
      <c r="AG322" s="57" t="n">
        <f aca="false">IF(BT322=1,0,ROUNDUP(AF322/BS322,0))</f>
        <v>1</v>
      </c>
      <c r="AH322" s="59" t="n">
        <f aca="false">IF(CH322&gt;0,CH322*MAX(1,AF322/X322),IF(BT322=1,IF(AF322&lt;=0,0,BW322*MAX(1,IF(H322&gt;0,AF322/H322,1))),IF(R322&gt;0,AG322/R322,0))/MAX(0.1,N(Parameter!$M$21)))</f>
        <v>0.0384615384615385</v>
      </c>
      <c r="AI322" s="57" t="n">
        <f aca="false">AF322*G322</f>
        <v>236.75</v>
      </c>
      <c r="AJ322" s="57" t="n">
        <f aca="false">ROUNDUP(MAX(J322/IF(BZ322&gt;0,BZ322,MAX(0.1,N(Cockpit!$C$6))),CC322)/BS322,0)*BS322</f>
        <v>25</v>
      </c>
      <c r="AK322" s="58" t="n">
        <f aca="false">IF(AH322&gt;0,J322/AH322,-1)</f>
        <v>0</v>
      </c>
      <c r="AL322" s="58" t="n">
        <f aca="false">IF(AND(OR(BY322="L1",BY322="L23"),AH322&gt;0),SUMIFS($AH$7:$AH$1843,$BY$7:$BY$1843,BY322,$AK$7:$AK$1843,"&gt;"&amp;AK322)+SUMIFS($AH$7:$AH$1843,$BY$7:$BY$1843,BY322,$AK$7:$AK$1843,AK322,$BQ$7:$BQ$1843,"&lt;="&amp;BQ322),"")</f>
        <v>72.6198439241918</v>
      </c>
      <c r="AM322" s="65" t="n">
        <f aca="false">IF(AL322="",0,MAX(0,MIN(1,(IF(BY322="L1",Parameter!$E$5,Parameter!$E$6+Parameter!$E$7)-(AL322-AH322))/AH322)))</f>
        <v>1</v>
      </c>
      <c r="AN322" s="57" t="n">
        <f aca="false">IF(LEFT(Cockpit!$I$5,1)="A",H322,IF(CA322=1,CB322,IF(LEFT(Cockpit!$I$5,1)="B",AR322,MAX(AR322,H322))))</f>
        <v>25</v>
      </c>
      <c r="AO322" s="57" t="n">
        <f aca="false">IF(BT322=1,0,ROUNDUP(AN322/BS322,0))</f>
        <v>1</v>
      </c>
      <c r="AP322" s="59" t="n">
        <f aca="false">IF(CH322&gt;0,CH322*MAX(1,AN322/X322),IF(BT322=1,IF(AN322&lt;=0,0,BW322*MAX(1,IF(H322&gt;0,AN322/H322,1))),IF(R322&gt;0,AO322/R322,0))/MAX(0.1,N(Parameter!$M$21)))</f>
        <v>0.0384615384615385</v>
      </c>
      <c r="AQ322" s="57" t="n">
        <f aca="false">AN322*G322</f>
        <v>236.75</v>
      </c>
      <c r="AR322" s="57" t="n">
        <f aca="false">ROUNDUP(MAX(J322/IF(BZ322&gt;0,BZ322,MAX(0.1,N(Cockpit!$I$6))),CC322)/BS322,0)*BS322</f>
        <v>25</v>
      </c>
      <c r="AS322" s="58" t="n">
        <f aca="false">IF(AP322&gt;0,J322/AP322,-1)</f>
        <v>0</v>
      </c>
      <c r="AT322" s="58" t="n">
        <f aca="false">IF(AND(OR(BY322="L1",BY322="L23"),AP322&gt;0),SUMIFS($AP$7:$AP$1843,$BY$7:$BY$1843,BY322,$AS$7:$AS$1843,"&gt;"&amp;AS322)+SUMIFS($AP$7:$AP$1843,$BY$7:$BY$1843,BY322,$AS$7:$AS$1843,AS322,$BQ$7:$BQ$1843,"&lt;="&amp;BQ322),"")</f>
        <v>112.043968109186</v>
      </c>
      <c r="AU322" s="65" t="n">
        <f aca="false">IF(AT322="",0,MAX(0,MIN(1,(IF(BY322="L1",Parameter!$E$5,Parameter!$E$6+Parameter!$E$7)-(AT322-AP322))/AP322)))</f>
        <v>0</v>
      </c>
      <c r="AV322" s="57" t="n">
        <f aca="false">IF(LEFT(Cockpit!$O$5,1)="A",H322,IF(CA322=1,CB322,IF(LEFT(Cockpit!$O$5,1)="B",AZ322,MAX(AZ322,H322))))</f>
        <v>25</v>
      </c>
      <c r="AW322" s="57" t="n">
        <f aca="false">IF(BT322=1,0,ROUNDUP(AV322/BS322,0))</f>
        <v>1</v>
      </c>
      <c r="AX322" s="59" t="n">
        <f aca="false">IF(CH322&gt;0,CH322*MAX(1,AV322/X322),IF(BT322=1,IF(AV322&lt;=0,0,BW322*MAX(1,IF(H322&gt;0,AV322/H322,1))),IF(R322&gt;0,AW322/R322,0))/MAX(0.1,N(Parameter!$M$21)))</f>
        <v>0.0384615384615385</v>
      </c>
      <c r="AY322" s="57" t="n">
        <f aca="false">AV322*G322</f>
        <v>236.75</v>
      </c>
      <c r="AZ322" s="57" t="n">
        <f aca="false">ROUNDUP(MAX(J322/IF(BZ322&gt;0,BZ322,MAX(0.1,N(Cockpit!$O$6))),CC322)/BS322,0)*BS322</f>
        <v>25</v>
      </c>
      <c r="BA322" s="58" t="n">
        <f aca="false">IF(AX322&gt;0,J322/AX322,-1)</f>
        <v>0</v>
      </c>
      <c r="BB322" s="58" t="n">
        <f aca="false">IF(AND(OR(BY322="L1",BY322="L23"),AX322&gt;0),SUMIFS($AX$7:$AX$1843,$BY$7:$BY$1843,BY322,$BA$7:$BA$1843,"&gt;"&amp;BA322)+SUMIFS($AX$7:$AX$1843,$BY$7:$BY$1843,BY322,$BA$7:$BA$1843,BA322,$BQ$7:$BQ$1843,"&lt;="&amp;BQ322),"")</f>
        <v>102.873804939022</v>
      </c>
      <c r="BC322" s="65" t="n">
        <f aca="false">IF(BB322="",0,MAX(0,MIN(1,(IF(BY322="L1",Parameter!$E$5,Parameter!$E$6+Parameter!$E$7)-(BB322-AX322))/AX322)))</f>
        <v>0</v>
      </c>
      <c r="BD322" s="55" t="str">
        <f aca="false">IF(AH322&lt;=0,"",IF(BY322="Aussen","Aussenlager",IF(BY322="-","Nicht im Lift",IF(AM322&gt;=1,"Lift",IF(AM322&lt;=0,"Aussenlager","teilweise")))))</f>
        <v>Lift</v>
      </c>
      <c r="BE322" s="55" t="str">
        <f aca="false">IF(AP322&lt;=0,"",IF(BY322="Aussen","Aussenlager",IF(BY322="-","Nicht im Lift",IF(AU322&gt;=1,"Lift",IF(AU322&lt;=0,"Aussenlager","teilweise")))))</f>
        <v>Aussenlager</v>
      </c>
      <c r="BF322" s="55" t="str">
        <f aca="false">IF(AX322&lt;=0,"",IF(BY322="Aussen","Aussenlager",IF(BY322="-","Nicht im Lift",IF(BC322&gt;=1,"Lift",IF(BC322&lt;=0,"Aussenlager","teilweise")))))</f>
        <v>Aussenlager</v>
      </c>
      <c r="BG322" s="55" t="str">
        <f aca="false">IF(A322="","",IF(BP322=1,"Neu; ","")&amp;IF(AND(BP322=0,BK322&lt;0),"negativer Bestand (Export "&amp;BK322&amp;"); ","")&amp;IF(J322&lt;=0,"Kein Verbrauch; ","")&amp;IF(CH322&gt;0,"Lift "&amp;W322&amp;" lt. Liftbericht (Fach "&amp;X322&amp;" Stk); ",IF(BU322=1,"Gebinde geschätzt ("&amp;T322&amp;"); ",IF(BT322=1,"Lose – Tablare geschätzt; ","")))&amp;IF(H322&gt;AR322,"Überbestand "&amp;ROUND(H322-AR322,0)&amp;" Stk / CHF "&amp;ROUND((H322-AR322)*G322,0)&amp;"; ","")&amp;IF(AND(CA322=1,CB322&lt;CC322),"MAX &lt; MB+LG; ","")&amp;IF(AND(CG322&gt;0,CF322*10&gt;CG322),"zu hoch für Tablar; ","")&amp;IF(AND(BP322=0,OR(CA322=1,AA322&lt;&gt;"",U322&lt;&gt;"",V322&lt;&gt;"",AB322&lt;&gt;"")),"manuell übersteuert; ","")&amp;IF(AND(BT322=0,R322=0),"Gebinde unbekannt / Stellmass fehlt; ","")&amp;IF(AND(BT322=0,N(V322)&lt;=0,N(Q322)&lt;=0),"Menge pro Gebinde fehlt (Ist = 1 Gebinde); ","")&amp;BO322)</f>
        <v>Kein Verbrauch; Gebinde geschätzt (Klein); Menge pro Gebinde fehlt (Ist = 1 Gebinde); </v>
      </c>
      <c r="BH322" s="55"/>
      <c r="BI322" s="55"/>
      <c r="BJ322" s="62"/>
      <c r="BK322" s="57" t="n">
        <v>25</v>
      </c>
      <c r="BL322" s="57" t="n">
        <v>0</v>
      </c>
      <c r="BM322" s="56" t="n">
        <v>236.75</v>
      </c>
      <c r="BN322" s="57" t="n">
        <v>0</v>
      </c>
      <c r="BO322" s="55"/>
      <c r="BP322" s="60" t="n">
        <v>0</v>
      </c>
      <c r="BQ322" s="60" t="n">
        <v>322</v>
      </c>
      <c r="BR322" s="55" t="str">
        <f aca="false">IF(U322&lt;&gt;"",UPPER(TRIM(U322)),IF(BU322=1,UPPER(VLOOKUP(T322,Parameter!$I$27:$K$29,2,0)),IF(P322="","LOSE",P322)))</f>
        <v>S51</v>
      </c>
      <c r="BS322" s="57" t="n">
        <f aca="false">IF(BR322="LOSE",1,IF(N(V322)&gt;0,V322,IF(BU322=1,MAX(1,N(VLOOKUP(T322,Parameter!$I$27:$K$29,3,0)),H322,N(N322)),IF(N(Q322)&gt;0,Q322,MAX(1,H322)))))</f>
        <v>25</v>
      </c>
      <c r="BT322" s="60" t="n">
        <f aca="false">IF(BR322="LOSE",1,0)</f>
        <v>0</v>
      </c>
      <c r="BU322" s="60" t="n">
        <f aca="false">IF(AND(U322="",OR(P322="",P322="LOSE"),T322&lt;&gt;"",N(S322)&lt;=0,ISNUMBER(MATCH(T322,Parameter!$I$27:$I$29,0))),1,0)</f>
        <v>1</v>
      </c>
      <c r="BV322" s="55" t="str">
        <f aca="false">IF(AND(Parameter!$B$19="Ja",E322&lt;&gt;"",ISNUMBER(MATCH(E322,Parameter!$I$35:$I$52,0))),VLOOKUP(E322,Parameter!$I$35:$J$52,2,0),IFERROR(VLOOKUP(D322,Parameter!$A$35:$C$64,2,0),"Nein"))</f>
        <v>2+3</v>
      </c>
      <c r="BW322" s="59" t="n">
        <f aca="false">IF(BT322=0,0,IF(N(S322)&gt;0,S322,IFERROR(VLOOKUP(D322,Parameter!$A$35:$C$64,3,0)+0,0)))</f>
        <v>0</v>
      </c>
      <c r="BX322" s="55" t="n">
        <f aca="false">IF(AA322&lt;&gt;"",AA322,Z322)</f>
        <v>3</v>
      </c>
      <c r="BY322" s="55" t="str">
        <f aca="false">IF(BX322=1,"L1",IF(OR(BX322=2,BX322=3),"L23",IF(BX322="Aussen","Aussen","-")))</f>
        <v>L23</v>
      </c>
      <c r="BZ322" s="66" t="n">
        <f aca="false">IF(N(AB322)&gt;0,AB322,0)</f>
        <v>0</v>
      </c>
      <c r="CA322" s="60" t="n">
        <f aca="false">IF(ISNUMBER(AE322),1,0)</f>
        <v>0</v>
      </c>
      <c r="CB322" s="57" t="n">
        <f aca="false">N(AE322)</f>
        <v>0</v>
      </c>
      <c r="CC322" s="57" t="n">
        <f aca="false">N(M322)+N(N322)</f>
        <v>1</v>
      </c>
      <c r="CD322" s="57" t="n">
        <f aca="false">ROUNDUP(H322/BS322,0)</f>
        <v>1</v>
      </c>
      <c r="CE322" s="57" t="n">
        <f aca="false">ROUNDUP(CB322/BS322,0)</f>
        <v>0</v>
      </c>
      <c r="CF322" s="60" t="n">
        <f aca="false">IF(BT322=1,0,IFERROR(VLOOKUP(BR322,'Gebinde-Kategorie'!$A$5:$M$45,5,0)+0,0))</f>
        <v>11</v>
      </c>
      <c r="CG322" s="60" t="n">
        <f aca="false">IFERROR(IF(OR(BX322=1,BX322=2,BX322=3),N(INDEX(Parameter!$I$5:$I$7,BX322)),0),0)</f>
        <v>0</v>
      </c>
      <c r="CH322" s="59" t="n">
        <f aca="false">IF(AND(Parameter!$B$21="Ja",ISNUMBER(W322),N(X322)&gt;0),IFERROR(N(INDEX(Parameter!$L$5:$L$7,W322))*INDEX(Parameter!$E$5:$E$7,W322)*X322/SUMIFS($X$7:$X$1843,$W$7:$W$1843,W322),0),0)</f>
        <v>0</v>
      </c>
    </row>
    <row r="323" customFormat="false" ht="15" hidden="false" customHeight="false" outlineLevel="0" collapsed="false">
      <c r="A323" s="55" t="s">
        <v>810</v>
      </c>
      <c r="B323" s="55" t="s">
        <v>703</v>
      </c>
      <c r="C323" s="55" t="s">
        <v>164</v>
      </c>
      <c r="D323" s="55" t="s">
        <v>173</v>
      </c>
      <c r="E323" s="55" t="s">
        <v>166</v>
      </c>
      <c r="F323" s="55" t="s">
        <v>218</v>
      </c>
      <c r="G323" s="56" t="n">
        <v>445</v>
      </c>
      <c r="H323" s="57" t="n">
        <f aca="false">MAX(0,IF(AND(Parameter!$B$21="Ja",ISNUMBER(Y323)),Y323,IF(Parameter!$B$20="Jahresanfang 2025 + Export",BL323+BK323,BK323)))</f>
        <v>2</v>
      </c>
      <c r="I323" s="57" t="n">
        <f aca="false">H323*G323</f>
        <v>890</v>
      </c>
      <c r="J323" s="57" t="n">
        <f aca="false">BN323*Parameter!$B$18</f>
        <v>8</v>
      </c>
      <c r="K323" s="58" t="n">
        <v>2</v>
      </c>
      <c r="L323" s="59" t="n">
        <v>4</v>
      </c>
      <c r="M323" s="57" t="n">
        <v>0</v>
      </c>
      <c r="N323" s="57" t="n">
        <v>5</v>
      </c>
      <c r="O323" s="60" t="n">
        <v>35</v>
      </c>
      <c r="P323" s="55" t="s">
        <v>259</v>
      </c>
      <c r="Q323" s="57" t="n">
        <v>4</v>
      </c>
      <c r="R323" s="60" t="n">
        <f aca="false">IF(BT323=1,0,IFERROR(VLOOKUP(BR323,'Gebinde-Kategorie'!$A$5:$M$45,13,0)+0,0))</f>
        <v>6</v>
      </c>
      <c r="S323" s="61"/>
      <c r="T323" s="62"/>
      <c r="U323" s="62"/>
      <c r="V323" s="62"/>
      <c r="W323" s="55"/>
      <c r="X323" s="57"/>
      <c r="Y323" s="57"/>
      <c r="Z323" s="55" t="n">
        <f aca="false">IF(A323="","",IF(AND(Parameter!$B$21="Ja",ISNUMBER(W323)),W323,IF(BV323="2+3",IF(ISNUMBER(SEARCH("grosser Artikel",BO323)),2,IFERROR(VLOOKUP(BR323,Parameter!$F$35:$G$64,2,0),2)),IF(OR(BV323="Nein",BV323=""),"-",BV323))))</f>
        <v>1</v>
      </c>
      <c r="AA323" s="62"/>
      <c r="AB323" s="63"/>
      <c r="AC323" s="57" t="n">
        <f aca="false">AR323</f>
        <v>8</v>
      </c>
      <c r="AD323" s="57" t="n">
        <f aca="false">MAX(AR323,H323)</f>
        <v>8</v>
      </c>
      <c r="AE323" s="64"/>
      <c r="AF323" s="57" t="n">
        <f aca="false">IF(LEFT(Cockpit!$C$5,1)="A",H323,IF(CA323=1,CB323,IF(LEFT(Cockpit!$C$5,1)="B",AJ323,MAX(AJ323,H323))))</f>
        <v>2</v>
      </c>
      <c r="AG323" s="57" t="n">
        <f aca="false">IF(BT323=1,0,ROUNDUP(AF323/BS323,0))</f>
        <v>1</v>
      </c>
      <c r="AH323" s="59" t="n">
        <f aca="false">IF(CH323&gt;0,CH323*MAX(1,AF323/X323),IF(BT323=1,IF(AF323&lt;=0,0,BW323*MAX(1,IF(H323&gt;0,AF323/H323,1))),IF(R323&gt;0,AG323/R323,0))/MAX(0.1,N(Parameter!$M$21)))</f>
        <v>0.166666666666667</v>
      </c>
      <c r="AI323" s="57" t="n">
        <f aca="false">AF323*G323</f>
        <v>890</v>
      </c>
      <c r="AJ323" s="57" t="n">
        <f aca="false">ROUNDUP(MAX(J323/IF(BZ323&gt;0,BZ323,MAX(0.1,N(Cockpit!$C$6))),CC323)/BS323,0)*BS323</f>
        <v>8</v>
      </c>
      <c r="AK323" s="58" t="n">
        <f aca="false">IF(AH323&gt;0,J323/AH323,-1)</f>
        <v>48</v>
      </c>
      <c r="AL323" s="58" t="n">
        <f aca="false">IF(AND(OR(BY323="L1",BY323="L23"),AH323&gt;0),SUMIFS($AH$7:$AH$1843,$BY$7:$BY$1843,BY323,$AK$7:$AK$1843,"&gt;"&amp;AK323)+SUMIFS($AH$7:$AH$1843,$BY$7:$BY$1843,BY323,$AK$7:$AK$1843,AK323,$BQ$7:$BQ$1843,"&lt;="&amp;BQ323),"")</f>
        <v>9.58511107332036</v>
      </c>
      <c r="AM323" s="65" t="n">
        <f aca="false">IF(AL323="",0,MAX(0,MIN(1,(IF(BY323="L1",Parameter!$E$5,Parameter!$E$6+Parameter!$E$7)-(AL323-AH323))/AH323)))</f>
        <v>1</v>
      </c>
      <c r="AN323" s="57" t="n">
        <f aca="false">IF(LEFT(Cockpit!$I$5,1)="A",H323,IF(CA323=1,CB323,IF(LEFT(Cockpit!$I$5,1)="B",AR323,MAX(AR323,H323))))</f>
        <v>8</v>
      </c>
      <c r="AO323" s="57" t="n">
        <f aca="false">IF(BT323=1,0,ROUNDUP(AN323/BS323,0))</f>
        <v>2</v>
      </c>
      <c r="AP323" s="59" t="n">
        <f aca="false">IF(CH323&gt;0,CH323*MAX(1,AN323/X323),IF(BT323=1,IF(AN323&lt;=0,0,BW323*MAX(1,IF(H323&gt;0,AN323/H323,1))),IF(R323&gt;0,AO323/R323,0))/MAX(0.1,N(Parameter!$M$21)))</f>
        <v>0.333333333333333</v>
      </c>
      <c r="AQ323" s="57" t="n">
        <f aca="false">AN323*G323</f>
        <v>3560</v>
      </c>
      <c r="AR323" s="57" t="n">
        <f aca="false">ROUNDUP(MAX(J323/IF(BZ323&gt;0,BZ323,MAX(0.1,N(Cockpit!$I$6))),CC323)/BS323,0)*BS323</f>
        <v>8</v>
      </c>
      <c r="AS323" s="58" t="n">
        <f aca="false">IF(AP323&gt;0,J323/AP323,-1)</f>
        <v>24</v>
      </c>
      <c r="AT323" s="58" t="n">
        <f aca="false">IF(AND(OR(BY323="L1",BY323="L23"),AP323&gt;0),SUMIFS($AP$7:$AP$1843,$BY$7:$BY$1843,BY323,$AS$7:$AS$1843,"&gt;"&amp;AS323)+SUMIFS($AP$7:$AP$1843,$BY$7:$BY$1843,BY323,$AS$7:$AS$1843,AS323,$BQ$7:$BQ$1843,"&lt;="&amp;BQ323),"")</f>
        <v>31.7543128696408</v>
      </c>
      <c r="AU323" s="65" t="n">
        <f aca="false">IF(AT323="",0,MAX(0,MIN(1,(IF(BY323="L1",Parameter!$E$5,Parameter!$E$6+Parameter!$E$7)-(AT323-AP323))/AP323)))</f>
        <v>1</v>
      </c>
      <c r="AV323" s="57" t="n">
        <f aca="false">IF(LEFT(Cockpit!$O$5,1)="A",H323,IF(CA323=1,CB323,IF(LEFT(Cockpit!$O$5,1)="B",AZ323,MAX(AZ323,H323))))</f>
        <v>8</v>
      </c>
      <c r="AW323" s="57" t="n">
        <f aca="false">IF(BT323=1,0,ROUNDUP(AV323/BS323,0))</f>
        <v>2</v>
      </c>
      <c r="AX323" s="59" t="n">
        <f aca="false">IF(CH323&gt;0,CH323*MAX(1,AV323/X323),IF(BT323=1,IF(AV323&lt;=0,0,BW323*MAX(1,IF(H323&gt;0,AV323/H323,1))),IF(R323&gt;0,AW323/R323,0))/MAX(0.1,N(Parameter!$M$21)))</f>
        <v>0.333333333333333</v>
      </c>
      <c r="AY323" s="57" t="n">
        <f aca="false">AV323*G323</f>
        <v>3560</v>
      </c>
      <c r="AZ323" s="57" t="n">
        <f aca="false">ROUNDUP(MAX(J323/IF(BZ323&gt;0,BZ323,MAX(0.1,N(Cockpit!$O$6))),CC323)/BS323,0)*BS323</f>
        <v>8</v>
      </c>
      <c r="BA323" s="58" t="n">
        <f aca="false">IF(AX323&gt;0,J323/AX323,-1)</f>
        <v>24</v>
      </c>
      <c r="BB323" s="58" t="n">
        <f aca="false">IF(AND(OR(BY323="L1",BY323="L23"),AX323&gt;0),SUMIFS($AX$7:$AX$1843,$BY$7:$BY$1843,BY323,$BA$7:$BA$1843,"&gt;"&amp;BA323)+SUMIFS($AX$7:$AX$1843,$BY$7:$BY$1843,BY323,$BA$7:$BA$1843,BA323,$BQ$7:$BQ$1843,"&lt;="&amp;BQ323),"")</f>
        <v>26.9418400317442</v>
      </c>
      <c r="BC323" s="65" t="n">
        <f aca="false">IF(BB323="",0,MAX(0,MIN(1,(IF(BY323="L1",Parameter!$E$5,Parameter!$E$6+Parameter!$E$7)-(BB323-AX323))/AX323)))</f>
        <v>1</v>
      </c>
      <c r="BD323" s="55" t="str">
        <f aca="false">IF(AH323&lt;=0,"",IF(BY323="Aussen","Aussenlager",IF(BY323="-","Nicht im Lift",IF(AM323&gt;=1,"Lift",IF(AM323&lt;=0,"Aussenlager","teilweise")))))</f>
        <v>Lift</v>
      </c>
      <c r="BE323" s="55" t="str">
        <f aca="false">IF(AP323&lt;=0,"",IF(BY323="Aussen","Aussenlager",IF(BY323="-","Nicht im Lift",IF(AU323&gt;=1,"Lift",IF(AU323&lt;=0,"Aussenlager","teilweise")))))</f>
        <v>Lift</v>
      </c>
      <c r="BF323" s="55" t="str">
        <f aca="false">IF(AX323&lt;=0,"",IF(BY323="Aussen","Aussenlager",IF(BY323="-","Nicht im Lift",IF(BC323&gt;=1,"Lift",IF(BC323&lt;=0,"Aussenlager","teilweise")))))</f>
        <v>Lift</v>
      </c>
      <c r="BG323" s="55" t="str">
        <f aca="false">IF(A323="","",IF(BP323=1,"Neu; ","")&amp;IF(AND(BP323=0,BK323&lt;0),"negativer Bestand (Export "&amp;BK323&amp;"); ","")&amp;IF(J323&lt;=0,"Kein Verbrauch; ","")&amp;IF(CH323&gt;0,"Lift "&amp;W323&amp;" lt. Liftbericht (Fach "&amp;X323&amp;" Stk); ",IF(BU323=1,"Gebinde geschätzt ("&amp;T323&amp;"); ",IF(BT323=1,"Lose – Tablare geschätzt; ","")))&amp;IF(H323&gt;AR323,"Überbestand "&amp;ROUND(H323-AR323,0)&amp;" Stk / CHF "&amp;ROUND((H323-AR323)*G323,0)&amp;"; ","")&amp;IF(AND(CA323=1,CB323&lt;CC323),"MAX &lt; MB+LG; ","")&amp;IF(AND(CG323&gt;0,CF323*10&gt;CG323),"zu hoch für Tablar; ","")&amp;IF(AND(BP323=0,OR(CA323=1,AA323&lt;&gt;"",U323&lt;&gt;"",V323&lt;&gt;"",AB323&lt;&gt;"")),"manuell übersteuert; ","")&amp;IF(AND(BT323=0,R323=0),"Gebinde unbekannt / Stellmass fehlt; ","")&amp;IF(AND(BT323=0,N(V323)&lt;=0,N(Q323)&lt;=0),"Menge pro Gebinde fehlt (Ist = 1 Gebinde); ","")&amp;BO323)</f>
        <v/>
      </c>
      <c r="BH323" s="55"/>
      <c r="BI323" s="55"/>
      <c r="BJ323" s="62"/>
      <c r="BK323" s="57" t="n">
        <v>0</v>
      </c>
      <c r="BL323" s="57" t="n">
        <v>2</v>
      </c>
      <c r="BM323" s="56" t="n">
        <v>236</v>
      </c>
      <c r="BN323" s="57" t="n">
        <v>8</v>
      </c>
      <c r="BO323" s="55"/>
      <c r="BP323" s="60" t="n">
        <v>0</v>
      </c>
      <c r="BQ323" s="60" t="n">
        <v>323</v>
      </c>
      <c r="BR323" s="55" t="str">
        <f aca="false">IF(U323&lt;&gt;"",UPPER(TRIM(U323)),IF(BU323=1,UPPER(VLOOKUP(T323,Parameter!$I$27:$K$29,2,0)),IF(P323="","LOSE",P323)))</f>
        <v>S72</v>
      </c>
      <c r="BS323" s="57" t="n">
        <f aca="false">IF(BR323="LOSE",1,IF(N(V323)&gt;0,V323,IF(BU323=1,MAX(1,N(VLOOKUP(T323,Parameter!$I$27:$K$29,3,0)),H323,N(N323)),IF(N(Q323)&gt;0,Q323,MAX(1,H323)))))</f>
        <v>4</v>
      </c>
      <c r="BT323" s="60" t="n">
        <f aca="false">IF(BR323="LOSE",1,0)</f>
        <v>0</v>
      </c>
      <c r="BU323" s="60" t="n">
        <f aca="false">IF(AND(U323="",OR(P323="",P323="LOSE"),T323&lt;&gt;"",N(S323)&lt;=0,ISNUMBER(MATCH(T323,Parameter!$I$27:$I$29,0))),1,0)</f>
        <v>0</v>
      </c>
      <c r="BV323" s="55" t="n">
        <f aca="false">IF(AND(Parameter!$B$19="Ja",E323&lt;&gt;"",ISNUMBER(MATCH(E323,Parameter!$I$35:$I$52,0))),VLOOKUP(E323,Parameter!$I$35:$J$52,2,0),IFERROR(VLOOKUP(D323,Parameter!$A$35:$C$64,2,0),"Nein"))</f>
        <v>1</v>
      </c>
      <c r="BW323" s="59" t="n">
        <f aca="false">IF(BT323=0,0,IF(N(S323)&gt;0,S323,IFERROR(VLOOKUP(D323,Parameter!$A$35:$C$64,3,0)+0,0)))</f>
        <v>0</v>
      </c>
      <c r="BX323" s="55" t="n">
        <f aca="false">IF(AA323&lt;&gt;"",AA323,Z323)</f>
        <v>1</v>
      </c>
      <c r="BY323" s="55" t="str">
        <f aca="false">IF(BX323=1,"L1",IF(OR(BX323=2,BX323=3),"L23",IF(BX323="Aussen","Aussen","-")))</f>
        <v>L1</v>
      </c>
      <c r="BZ323" s="66" t="n">
        <f aca="false">IF(N(AB323)&gt;0,AB323,0)</f>
        <v>0</v>
      </c>
      <c r="CA323" s="60" t="n">
        <f aca="false">IF(ISNUMBER(AE323),1,0)</f>
        <v>0</v>
      </c>
      <c r="CB323" s="57" t="n">
        <f aca="false">N(AE323)</f>
        <v>0</v>
      </c>
      <c r="CC323" s="57" t="n">
        <f aca="false">N(M323)+N(N323)</f>
        <v>5</v>
      </c>
      <c r="CD323" s="57" t="n">
        <f aca="false">ROUNDUP(H323/BS323,0)</f>
        <v>1</v>
      </c>
      <c r="CE323" s="57" t="n">
        <f aca="false">ROUNDUP(CB323/BS323,0)</f>
        <v>0</v>
      </c>
      <c r="CF323" s="60" t="n">
        <f aca="false">IF(BT323=1,0,IFERROR(VLOOKUP(BR323,'Gebinde-Kategorie'!$A$5:$M$45,5,0)+0,0))</f>
        <v>40</v>
      </c>
      <c r="CG323" s="60" t="n">
        <f aca="false">IFERROR(IF(OR(BX323=1,BX323=2,BX323=3),N(INDEX(Parameter!$I$5:$I$7,BX323)),0),0)</f>
        <v>0</v>
      </c>
      <c r="CH323" s="59" t="n">
        <f aca="false">IF(AND(Parameter!$B$21="Ja",ISNUMBER(W323),N(X323)&gt;0),IFERROR(N(INDEX(Parameter!$L$5:$L$7,W323))*INDEX(Parameter!$E$5:$E$7,W323)*X323/SUMIFS($X$7:$X$1843,$W$7:$W$1843,W323),0),0)</f>
        <v>0</v>
      </c>
    </row>
    <row r="324" customFormat="false" ht="15" hidden="false" customHeight="false" outlineLevel="0" collapsed="false">
      <c r="A324" s="55" t="s">
        <v>811</v>
      </c>
      <c r="B324" s="55" t="s">
        <v>812</v>
      </c>
      <c r="C324" s="55" t="s">
        <v>164</v>
      </c>
      <c r="D324" s="55" t="s">
        <v>184</v>
      </c>
      <c r="E324" s="55"/>
      <c r="F324" s="55" t="s">
        <v>218</v>
      </c>
      <c r="G324" s="56" t="n">
        <v>13</v>
      </c>
      <c r="H324" s="57" t="n">
        <f aca="false">MAX(0,IF(AND(Parameter!$B$21="Ja",ISNUMBER(Y324)),Y324,IF(Parameter!$B$20="Jahresanfang 2025 + Export",BL324+BK324,BK324)))</f>
        <v>23</v>
      </c>
      <c r="I324" s="57" t="n">
        <f aca="false">H324*G324</f>
        <v>299</v>
      </c>
      <c r="J324" s="57" t="n">
        <f aca="false">BN324*Parameter!$B$18</f>
        <v>0</v>
      </c>
      <c r="K324" s="58" t="n">
        <v>11.5</v>
      </c>
      <c r="L324" s="59" t="n">
        <v>0</v>
      </c>
      <c r="M324" s="57" t="n">
        <v>0</v>
      </c>
      <c r="N324" s="57" t="n">
        <v>1</v>
      </c>
      <c r="O324" s="60" t="n">
        <v>21</v>
      </c>
      <c r="P324" s="55" t="s">
        <v>168</v>
      </c>
      <c r="Q324" s="57"/>
      <c r="R324" s="60" t="n">
        <f aca="false">IF(BT324=1,0,IFERROR(VLOOKUP(BR324,'Gebinde-Kategorie'!$A$5:$M$45,13,0)+0,0))</f>
        <v>26</v>
      </c>
      <c r="S324" s="61"/>
      <c r="T324" s="62" t="s">
        <v>275</v>
      </c>
      <c r="U324" s="62"/>
      <c r="V324" s="62"/>
      <c r="W324" s="55"/>
      <c r="X324" s="57"/>
      <c r="Y324" s="57"/>
      <c r="Z324" s="55" t="n">
        <f aca="false">IF(A324="","",IF(AND(Parameter!$B$21="Ja",ISNUMBER(W324)),W324,IF(BV324="2+3",IF(ISNUMBER(SEARCH("grosser Artikel",BO324)),2,IFERROR(VLOOKUP(BR324,Parameter!$F$35:$G$64,2,0),2)),IF(OR(BV324="Nein",BV324=""),"-",BV324))))</f>
        <v>3</v>
      </c>
      <c r="AA324" s="62"/>
      <c r="AB324" s="63"/>
      <c r="AC324" s="57" t="n">
        <f aca="false">AR324</f>
        <v>23</v>
      </c>
      <c r="AD324" s="57" t="n">
        <f aca="false">MAX(AR324,H324)</f>
        <v>23</v>
      </c>
      <c r="AE324" s="64"/>
      <c r="AF324" s="57" t="n">
        <f aca="false">IF(LEFT(Cockpit!$C$5,1)="A",H324,IF(CA324=1,CB324,IF(LEFT(Cockpit!$C$5,1)="B",AJ324,MAX(AJ324,H324))))</f>
        <v>23</v>
      </c>
      <c r="AG324" s="57" t="n">
        <f aca="false">IF(BT324=1,0,ROUNDUP(AF324/BS324,0))</f>
        <v>1</v>
      </c>
      <c r="AH324" s="59" t="n">
        <f aca="false">IF(CH324&gt;0,CH324*MAX(1,AF324/X324),IF(BT324=1,IF(AF324&lt;=0,0,BW324*MAX(1,IF(H324&gt;0,AF324/H324,1))),IF(R324&gt;0,AG324/R324,0))/MAX(0.1,N(Parameter!$M$21)))</f>
        <v>0.0384615384615385</v>
      </c>
      <c r="AI324" s="57" t="n">
        <f aca="false">AF324*G324</f>
        <v>299</v>
      </c>
      <c r="AJ324" s="57" t="n">
        <f aca="false">ROUNDUP(MAX(J324/IF(BZ324&gt;0,BZ324,MAX(0.1,N(Cockpit!$C$6))),CC324)/BS324,0)*BS324</f>
        <v>23</v>
      </c>
      <c r="AK324" s="58" t="n">
        <f aca="false">IF(AH324&gt;0,J324/AH324,-1)</f>
        <v>0</v>
      </c>
      <c r="AL324" s="58" t="n">
        <f aca="false">IF(AND(OR(BY324="L1",BY324="L23"),AH324&gt;0),SUMIFS($AH$7:$AH$1843,$BY$7:$BY$1843,BY324,$AK$7:$AK$1843,"&gt;"&amp;AK324)+SUMIFS($AH$7:$AH$1843,$BY$7:$BY$1843,BY324,$AK$7:$AK$1843,AK324,$BQ$7:$BQ$1843,"&lt;="&amp;BQ324),"")</f>
        <v>72.6583054626533</v>
      </c>
      <c r="AM324" s="65" t="n">
        <f aca="false">IF(AL324="",0,MAX(0,MIN(1,(IF(BY324="L1",Parameter!$E$5,Parameter!$E$6+Parameter!$E$7)-(AL324-AH324))/AH324)))</f>
        <v>1</v>
      </c>
      <c r="AN324" s="57" t="n">
        <f aca="false">IF(LEFT(Cockpit!$I$5,1)="A",H324,IF(CA324=1,CB324,IF(LEFT(Cockpit!$I$5,1)="B",AR324,MAX(AR324,H324))))</f>
        <v>23</v>
      </c>
      <c r="AO324" s="57" t="n">
        <f aca="false">IF(BT324=1,0,ROUNDUP(AN324/BS324,0))</f>
        <v>1</v>
      </c>
      <c r="AP324" s="59" t="n">
        <f aca="false">IF(CH324&gt;0,CH324*MAX(1,AN324/X324),IF(BT324=1,IF(AN324&lt;=0,0,BW324*MAX(1,IF(H324&gt;0,AN324/H324,1))),IF(R324&gt;0,AO324/R324,0))/MAX(0.1,N(Parameter!$M$21)))</f>
        <v>0.0384615384615385</v>
      </c>
      <c r="AQ324" s="57" t="n">
        <f aca="false">AN324*G324</f>
        <v>299</v>
      </c>
      <c r="AR324" s="57" t="n">
        <f aca="false">ROUNDUP(MAX(J324/IF(BZ324&gt;0,BZ324,MAX(0.1,N(Cockpit!$I$6))),CC324)/BS324,0)*BS324</f>
        <v>23</v>
      </c>
      <c r="AS324" s="58" t="n">
        <f aca="false">IF(AP324&gt;0,J324/AP324,-1)</f>
        <v>0</v>
      </c>
      <c r="AT324" s="58" t="n">
        <f aca="false">IF(AND(OR(BY324="L1",BY324="L23"),AP324&gt;0),SUMIFS($AP$7:$AP$1843,$BY$7:$BY$1843,BY324,$AS$7:$AS$1843,"&gt;"&amp;AS324)+SUMIFS($AP$7:$AP$1843,$BY$7:$BY$1843,BY324,$AS$7:$AS$1843,AS324,$BQ$7:$BQ$1843,"&lt;="&amp;BQ324),"")</f>
        <v>112.082429647647</v>
      </c>
      <c r="AU324" s="65" t="n">
        <f aca="false">IF(AT324="",0,MAX(0,MIN(1,(IF(BY324="L1",Parameter!$E$5,Parameter!$E$6+Parameter!$E$7)-(AT324-AP324))/AP324)))</f>
        <v>0</v>
      </c>
      <c r="AV324" s="57" t="n">
        <f aca="false">IF(LEFT(Cockpit!$O$5,1)="A",H324,IF(CA324=1,CB324,IF(LEFT(Cockpit!$O$5,1)="B",AZ324,MAX(AZ324,H324))))</f>
        <v>23</v>
      </c>
      <c r="AW324" s="57" t="n">
        <f aca="false">IF(BT324=1,0,ROUNDUP(AV324/BS324,0))</f>
        <v>1</v>
      </c>
      <c r="AX324" s="59" t="n">
        <f aca="false">IF(CH324&gt;0,CH324*MAX(1,AV324/X324),IF(BT324=1,IF(AV324&lt;=0,0,BW324*MAX(1,IF(H324&gt;0,AV324/H324,1))),IF(R324&gt;0,AW324/R324,0))/MAX(0.1,N(Parameter!$M$21)))</f>
        <v>0.0384615384615385</v>
      </c>
      <c r="AY324" s="57" t="n">
        <f aca="false">AV324*G324</f>
        <v>299</v>
      </c>
      <c r="AZ324" s="57" t="n">
        <f aca="false">ROUNDUP(MAX(J324/IF(BZ324&gt;0,BZ324,MAX(0.1,N(Cockpit!$O$6))),CC324)/BS324,0)*BS324</f>
        <v>23</v>
      </c>
      <c r="BA324" s="58" t="n">
        <f aca="false">IF(AX324&gt;0,J324/AX324,-1)</f>
        <v>0</v>
      </c>
      <c r="BB324" s="58" t="n">
        <f aca="false">IF(AND(OR(BY324="L1",BY324="L23"),AX324&gt;0),SUMIFS($AX$7:$AX$1843,$BY$7:$BY$1843,BY324,$BA$7:$BA$1843,"&gt;"&amp;BA324)+SUMIFS($AX$7:$AX$1843,$BY$7:$BY$1843,BY324,$BA$7:$BA$1843,BA324,$BQ$7:$BQ$1843,"&lt;="&amp;BQ324),"")</f>
        <v>102.912266477484</v>
      </c>
      <c r="BC324" s="65" t="n">
        <f aca="false">IF(BB324="",0,MAX(0,MIN(1,(IF(BY324="L1",Parameter!$E$5,Parameter!$E$6+Parameter!$E$7)-(BB324-AX324))/AX324)))</f>
        <v>0</v>
      </c>
      <c r="BD324" s="55" t="str">
        <f aca="false">IF(AH324&lt;=0,"",IF(BY324="Aussen","Aussenlager",IF(BY324="-","Nicht im Lift",IF(AM324&gt;=1,"Lift",IF(AM324&lt;=0,"Aussenlager","teilweise")))))</f>
        <v>Lift</v>
      </c>
      <c r="BE324" s="55" t="str">
        <f aca="false">IF(AP324&lt;=0,"",IF(BY324="Aussen","Aussenlager",IF(BY324="-","Nicht im Lift",IF(AU324&gt;=1,"Lift",IF(AU324&lt;=0,"Aussenlager","teilweise")))))</f>
        <v>Aussenlager</v>
      </c>
      <c r="BF324" s="55" t="str">
        <f aca="false">IF(AX324&lt;=0,"",IF(BY324="Aussen","Aussenlager",IF(BY324="-","Nicht im Lift",IF(BC324&gt;=1,"Lift",IF(BC324&lt;=0,"Aussenlager","teilweise")))))</f>
        <v>Aussenlager</v>
      </c>
      <c r="BG324" s="55" t="str">
        <f aca="false">IF(A324="","",IF(BP324=1,"Neu; ","")&amp;IF(AND(BP324=0,BK324&lt;0),"negativer Bestand (Export "&amp;BK324&amp;"); ","")&amp;IF(J324&lt;=0,"Kein Verbrauch; ","")&amp;IF(CH324&gt;0,"Lift "&amp;W324&amp;" lt. Liftbericht (Fach "&amp;X324&amp;" Stk); ",IF(BU324=1,"Gebinde geschätzt ("&amp;T324&amp;"); ",IF(BT324=1,"Lose – Tablare geschätzt; ","")))&amp;IF(H324&gt;AR324,"Überbestand "&amp;ROUND(H324-AR324,0)&amp;" Stk / CHF "&amp;ROUND((H324-AR324)*G324,0)&amp;"; ","")&amp;IF(AND(CA324=1,CB324&lt;CC324),"MAX &lt; MB+LG; ","")&amp;IF(AND(CG324&gt;0,CF324*10&gt;CG324),"zu hoch für Tablar; ","")&amp;IF(AND(BP324=0,OR(CA324=1,AA324&lt;&gt;"",U324&lt;&gt;"",V324&lt;&gt;"",AB324&lt;&gt;"")),"manuell übersteuert; ","")&amp;IF(AND(BT324=0,R324=0),"Gebinde unbekannt / Stellmass fehlt; ","")&amp;IF(AND(BT324=0,N(V324)&lt;=0,N(Q324)&lt;=0),"Menge pro Gebinde fehlt (Ist = 1 Gebinde); ","")&amp;BO324)</f>
        <v>Kein Verbrauch; Gebinde geschätzt (Klein); Menge pro Gebinde fehlt (Ist = 1 Gebinde); </v>
      </c>
      <c r="BH324" s="55"/>
      <c r="BI324" s="55"/>
      <c r="BJ324" s="62"/>
      <c r="BK324" s="57" t="n">
        <v>18</v>
      </c>
      <c r="BL324" s="57" t="n">
        <v>5</v>
      </c>
      <c r="BM324" s="56" t="n">
        <v>234</v>
      </c>
      <c r="BN324" s="57" t="n">
        <v>0</v>
      </c>
      <c r="BO324" s="55"/>
      <c r="BP324" s="60" t="n">
        <v>0</v>
      </c>
      <c r="BQ324" s="60" t="n">
        <v>324</v>
      </c>
      <c r="BR324" s="55" t="str">
        <f aca="false">IF(U324&lt;&gt;"",UPPER(TRIM(U324)),IF(BU324=1,UPPER(VLOOKUP(T324,Parameter!$I$27:$K$29,2,0)),IF(P324="","LOSE",P324)))</f>
        <v>S51</v>
      </c>
      <c r="BS324" s="57" t="n">
        <f aca="false">IF(BR324="LOSE",1,IF(N(V324)&gt;0,V324,IF(BU324=1,MAX(1,N(VLOOKUP(T324,Parameter!$I$27:$K$29,3,0)),H324,N(N324)),IF(N(Q324)&gt;0,Q324,MAX(1,H324)))))</f>
        <v>23</v>
      </c>
      <c r="BT324" s="60" t="n">
        <f aca="false">IF(BR324="LOSE",1,0)</f>
        <v>0</v>
      </c>
      <c r="BU324" s="60" t="n">
        <f aca="false">IF(AND(U324="",OR(P324="",P324="LOSE"),T324&lt;&gt;"",N(S324)&lt;=0,ISNUMBER(MATCH(T324,Parameter!$I$27:$I$29,0))),1,0)</f>
        <v>1</v>
      </c>
      <c r="BV324" s="55" t="str">
        <f aca="false">IF(AND(Parameter!$B$19="Ja",E324&lt;&gt;"",ISNUMBER(MATCH(E324,Parameter!$I$35:$I$52,0))),VLOOKUP(E324,Parameter!$I$35:$J$52,2,0),IFERROR(VLOOKUP(D324,Parameter!$A$35:$C$64,2,0),"Nein"))</f>
        <v>2+3</v>
      </c>
      <c r="BW324" s="59" t="n">
        <f aca="false">IF(BT324=0,0,IF(N(S324)&gt;0,S324,IFERROR(VLOOKUP(D324,Parameter!$A$35:$C$64,3,0)+0,0)))</f>
        <v>0</v>
      </c>
      <c r="BX324" s="55" t="n">
        <f aca="false">IF(AA324&lt;&gt;"",AA324,Z324)</f>
        <v>3</v>
      </c>
      <c r="BY324" s="55" t="str">
        <f aca="false">IF(BX324=1,"L1",IF(OR(BX324=2,BX324=3),"L23",IF(BX324="Aussen","Aussen","-")))</f>
        <v>L23</v>
      </c>
      <c r="BZ324" s="66" t="n">
        <f aca="false">IF(N(AB324)&gt;0,AB324,0)</f>
        <v>0</v>
      </c>
      <c r="CA324" s="60" t="n">
        <f aca="false">IF(ISNUMBER(AE324),1,0)</f>
        <v>0</v>
      </c>
      <c r="CB324" s="57" t="n">
        <f aca="false">N(AE324)</f>
        <v>0</v>
      </c>
      <c r="CC324" s="57" t="n">
        <f aca="false">N(M324)+N(N324)</f>
        <v>1</v>
      </c>
      <c r="CD324" s="57" t="n">
        <f aca="false">ROUNDUP(H324/BS324,0)</f>
        <v>1</v>
      </c>
      <c r="CE324" s="57" t="n">
        <f aca="false">ROUNDUP(CB324/BS324,0)</f>
        <v>0</v>
      </c>
      <c r="CF324" s="60" t="n">
        <f aca="false">IF(BT324=1,0,IFERROR(VLOOKUP(BR324,'Gebinde-Kategorie'!$A$5:$M$45,5,0)+0,0))</f>
        <v>11</v>
      </c>
      <c r="CG324" s="60" t="n">
        <f aca="false">IFERROR(IF(OR(BX324=1,BX324=2,BX324=3),N(INDEX(Parameter!$I$5:$I$7,BX324)),0),0)</f>
        <v>0</v>
      </c>
      <c r="CH324" s="59" t="n">
        <f aca="false">IF(AND(Parameter!$B$21="Ja",ISNUMBER(W324),N(X324)&gt;0),IFERROR(N(INDEX(Parameter!$L$5:$L$7,W324))*INDEX(Parameter!$E$5:$E$7,W324)*X324/SUMIFS($X$7:$X$1843,$W$7:$W$1843,W324),0),0)</f>
        <v>0</v>
      </c>
    </row>
    <row r="325" customFormat="false" ht="15" hidden="false" customHeight="false" outlineLevel="0" collapsed="false">
      <c r="A325" s="55" t="s">
        <v>813</v>
      </c>
      <c r="B325" s="55" t="s">
        <v>814</v>
      </c>
      <c r="C325" s="55" t="s">
        <v>164</v>
      </c>
      <c r="D325" s="55" t="s">
        <v>184</v>
      </c>
      <c r="E325" s="55" t="s">
        <v>185</v>
      </c>
      <c r="F325" s="55" t="s">
        <v>218</v>
      </c>
      <c r="G325" s="56" t="n">
        <v>74</v>
      </c>
      <c r="H325" s="57" t="n">
        <f aca="false">MAX(0,IF(AND(Parameter!$B$21="Ja",ISNUMBER(Y325)),Y325,IF(Parameter!$B$20="Jahresanfang 2025 + Export",BL325+BK325,BK325)))</f>
        <v>29</v>
      </c>
      <c r="I325" s="57" t="n">
        <f aca="false">H325*G325</f>
        <v>2146</v>
      </c>
      <c r="J325" s="57" t="n">
        <f aca="false">BN325*Parameter!$B$18</f>
        <v>13</v>
      </c>
      <c r="K325" s="58" t="n">
        <v>25</v>
      </c>
      <c r="L325" s="59" t="n">
        <v>0.52</v>
      </c>
      <c r="M325" s="57" t="n">
        <v>4</v>
      </c>
      <c r="N325" s="57" t="n">
        <v>50</v>
      </c>
      <c r="O325" s="60" t="n">
        <v>126</v>
      </c>
      <c r="P325" s="55" t="s">
        <v>421</v>
      </c>
      <c r="Q325" s="57" t="n">
        <v>37</v>
      </c>
      <c r="R325" s="60" t="n">
        <f aca="false">IF(BT325=1,0,IFERROR(VLOOKUP(BR325,'Gebinde-Kategorie'!$A$5:$M$45,13,0)+0,0))</f>
        <v>132</v>
      </c>
      <c r="S325" s="61"/>
      <c r="T325" s="62"/>
      <c r="U325" s="62"/>
      <c r="V325" s="62"/>
      <c r="W325" s="55"/>
      <c r="X325" s="57"/>
      <c r="Y325" s="57"/>
      <c r="Z325" s="55" t="n">
        <f aca="false">IF(A325="","",IF(AND(Parameter!$B$21="Ja",ISNUMBER(W325)),W325,IF(BV325="2+3",IF(ISNUMBER(SEARCH("grosser Artikel",BO325)),2,IFERROR(VLOOKUP(BR325,Parameter!$F$35:$G$64,2,0),2)),IF(OR(BV325="Nein",BV325=""),"-",BV325))))</f>
        <v>3</v>
      </c>
      <c r="AA325" s="62"/>
      <c r="AB325" s="63"/>
      <c r="AC325" s="57" t="n">
        <f aca="false">AR325</f>
        <v>74</v>
      </c>
      <c r="AD325" s="57" t="n">
        <f aca="false">MAX(AR325,H325)</f>
        <v>74</v>
      </c>
      <c r="AE325" s="64"/>
      <c r="AF325" s="57" t="n">
        <f aca="false">IF(LEFT(Cockpit!$C$5,1)="A",H325,IF(CA325=1,CB325,IF(LEFT(Cockpit!$C$5,1)="B",AJ325,MAX(AJ325,H325))))</f>
        <v>29</v>
      </c>
      <c r="AG325" s="57" t="n">
        <f aca="false">IF(BT325=1,0,ROUNDUP(AF325/BS325,0))</f>
        <v>1</v>
      </c>
      <c r="AH325" s="59" t="n">
        <f aca="false">IF(CH325&gt;0,CH325*MAX(1,AF325/X325),IF(BT325=1,IF(AF325&lt;=0,0,BW325*MAX(1,IF(H325&gt;0,AF325/H325,1))),IF(R325&gt;0,AG325/R325,0))/MAX(0.1,N(Parameter!$M$21)))</f>
        <v>0.00757575757575758</v>
      </c>
      <c r="AI325" s="57" t="n">
        <f aca="false">AF325*G325</f>
        <v>2146</v>
      </c>
      <c r="AJ325" s="57" t="n">
        <f aca="false">ROUNDUP(MAX(J325/IF(BZ325&gt;0,BZ325,MAX(0.1,N(Cockpit!$C$6))),CC325)/BS325,0)*BS325</f>
        <v>74</v>
      </c>
      <c r="AK325" s="58" t="n">
        <f aca="false">IF(AH325&gt;0,J325/AH325,-1)</f>
        <v>1716</v>
      </c>
      <c r="AL325" s="58" t="n">
        <f aca="false">IF(AND(OR(BY325="L1",BY325="L23"),AH325&gt;0),SUMIFS($AH$7:$AH$1843,$BY$7:$BY$1843,BY325,$AK$7:$AK$1843,"&gt;"&amp;AK325)+SUMIFS($AH$7:$AH$1843,$BY$7:$BY$1843,BY325,$AK$7:$AK$1843,AK325,$BQ$7:$BQ$1843,"&lt;="&amp;BQ325),"")</f>
        <v>15.069575352184</v>
      </c>
      <c r="AM325" s="65" t="n">
        <f aca="false">IF(AL325="",0,MAX(0,MIN(1,(IF(BY325="L1",Parameter!$E$5,Parameter!$E$6+Parameter!$E$7)-(AL325-AH325))/AH325)))</f>
        <v>1</v>
      </c>
      <c r="AN325" s="57" t="n">
        <f aca="false">IF(LEFT(Cockpit!$I$5,1)="A",H325,IF(CA325=1,CB325,IF(LEFT(Cockpit!$I$5,1)="B",AR325,MAX(AR325,H325))))</f>
        <v>74</v>
      </c>
      <c r="AO325" s="57" t="n">
        <f aca="false">IF(BT325=1,0,ROUNDUP(AN325/BS325,0))</f>
        <v>2</v>
      </c>
      <c r="AP325" s="59" t="n">
        <f aca="false">IF(CH325&gt;0,CH325*MAX(1,AN325/X325),IF(BT325=1,IF(AN325&lt;=0,0,BW325*MAX(1,IF(H325&gt;0,AN325/H325,1))),IF(R325&gt;0,AO325/R325,0))/MAX(0.1,N(Parameter!$M$21)))</f>
        <v>0.0151515151515152</v>
      </c>
      <c r="AQ325" s="57" t="n">
        <f aca="false">AN325*G325</f>
        <v>5476</v>
      </c>
      <c r="AR325" s="57" t="n">
        <f aca="false">ROUNDUP(MAX(J325/IF(BZ325&gt;0,BZ325,MAX(0.1,N(Cockpit!$I$6))),CC325)/BS325,0)*BS325</f>
        <v>74</v>
      </c>
      <c r="AS325" s="58" t="n">
        <f aca="false">IF(AP325&gt;0,J325/AP325,-1)</f>
        <v>858</v>
      </c>
      <c r="AT325" s="58" t="n">
        <f aca="false">IF(AND(OR(BY325="L1",BY325="L23"),AP325&gt;0),SUMIFS($AP$7:$AP$1843,$BY$7:$BY$1843,BY325,$AS$7:$AS$1843,"&gt;"&amp;AS325)+SUMIFS($AP$7:$AP$1843,$BY$7:$BY$1843,BY325,$AS$7:$AS$1843,AS325,$BQ$7:$BQ$1843,"&lt;="&amp;BQ325),"")</f>
        <v>25.4973649538867</v>
      </c>
      <c r="AU325" s="65" t="n">
        <f aca="false">IF(AT325="",0,MAX(0,MIN(1,(IF(BY325="L1",Parameter!$E$5,Parameter!$E$6+Parameter!$E$7)-(AT325-AP325))/AP325)))</f>
        <v>1</v>
      </c>
      <c r="AV325" s="57" t="n">
        <f aca="false">IF(LEFT(Cockpit!$O$5,1)="A",H325,IF(CA325=1,CB325,IF(LEFT(Cockpit!$O$5,1)="B",AZ325,MAX(AZ325,H325))))</f>
        <v>74</v>
      </c>
      <c r="AW325" s="57" t="n">
        <f aca="false">IF(BT325=1,0,ROUNDUP(AV325/BS325,0))</f>
        <v>2</v>
      </c>
      <c r="AX325" s="59" t="n">
        <f aca="false">IF(CH325&gt;0,CH325*MAX(1,AV325/X325),IF(BT325=1,IF(AV325&lt;=0,0,BW325*MAX(1,IF(H325&gt;0,AV325/H325,1))),IF(R325&gt;0,AW325/R325,0))/MAX(0.1,N(Parameter!$M$21)))</f>
        <v>0.0151515151515152</v>
      </c>
      <c r="AY325" s="57" t="n">
        <f aca="false">AV325*G325</f>
        <v>5476</v>
      </c>
      <c r="AZ325" s="57" t="n">
        <f aca="false">ROUNDUP(MAX(J325/IF(BZ325&gt;0,BZ325,MAX(0.1,N(Cockpit!$O$6))),CC325)/BS325,0)*BS325</f>
        <v>74</v>
      </c>
      <c r="BA325" s="58" t="n">
        <f aca="false">IF(AX325&gt;0,J325/AX325,-1)</f>
        <v>858</v>
      </c>
      <c r="BB325" s="58" t="n">
        <f aca="false">IF(AND(OR(BY325="L1",BY325="L23"),AX325&gt;0),SUMIFS($AX$7:$AX$1843,$BY$7:$BY$1843,BY325,$BA$7:$BA$1843,"&gt;"&amp;BA325)+SUMIFS($AX$7:$AX$1843,$BY$7:$BY$1843,BY325,$BA$7:$BA$1843,BA325,$BQ$7:$BQ$1843,"&lt;="&amp;BQ325),"")</f>
        <v>25.6156633221851</v>
      </c>
      <c r="BC325" s="65" t="n">
        <f aca="false">IF(BB325="",0,MAX(0,MIN(1,(IF(BY325="L1",Parameter!$E$5,Parameter!$E$6+Parameter!$E$7)-(BB325-AX325))/AX325)))</f>
        <v>1</v>
      </c>
      <c r="BD325" s="55" t="str">
        <f aca="false">IF(AH325&lt;=0,"",IF(BY325="Aussen","Aussenlager",IF(BY325="-","Nicht im Lift",IF(AM325&gt;=1,"Lift",IF(AM325&lt;=0,"Aussenlager","teilweise")))))</f>
        <v>Lift</v>
      </c>
      <c r="BE325" s="55" t="str">
        <f aca="false">IF(AP325&lt;=0,"",IF(BY325="Aussen","Aussenlager",IF(BY325="-","Nicht im Lift",IF(AU325&gt;=1,"Lift",IF(AU325&lt;=0,"Aussenlager","teilweise")))))</f>
        <v>Lift</v>
      </c>
      <c r="BF325" s="55" t="str">
        <f aca="false">IF(AX325&lt;=0,"",IF(BY325="Aussen","Aussenlager",IF(BY325="-","Nicht im Lift",IF(BC325&gt;=1,"Lift",IF(BC325&lt;=0,"Aussenlager","teilweise")))))</f>
        <v>Lift</v>
      </c>
      <c r="BG325" s="55" t="str">
        <f aca="false">IF(A325="","",IF(BP325=1,"Neu; ","")&amp;IF(AND(BP325=0,BK325&lt;0),"negativer Bestand (Export "&amp;BK325&amp;"); ","")&amp;IF(J325&lt;=0,"Kein Verbrauch; ","")&amp;IF(CH325&gt;0,"Lift "&amp;W325&amp;" lt. Liftbericht (Fach "&amp;X325&amp;" Stk); ",IF(BU325=1,"Gebinde geschätzt ("&amp;T325&amp;"); ",IF(BT325=1,"Lose – Tablare geschätzt; ","")))&amp;IF(H325&gt;AR325,"Überbestand "&amp;ROUND(H325-AR325,0)&amp;" Stk / CHF "&amp;ROUND((H325-AR325)*G325,0)&amp;"; ","")&amp;IF(AND(CA325=1,CB325&lt;CC325),"MAX &lt; MB+LG; ","")&amp;IF(AND(CG325&gt;0,CF325*10&gt;CG325),"zu hoch für Tablar; ","")&amp;IF(AND(BP325=0,OR(CA325=1,AA325&lt;&gt;"",U325&lt;&gt;"",V325&lt;&gt;"",AB325&lt;&gt;"")),"manuell übersteuert; ","")&amp;IF(AND(BT325=0,R325=0),"Gebinde unbekannt / Stellmass fehlt; ","")&amp;IF(AND(BT325=0,N(V325)&lt;=0,N(Q325)&lt;=0),"Menge pro Gebinde fehlt (Ist = 1 Gebinde); ","")&amp;BO325)</f>
        <v/>
      </c>
      <c r="BH325" s="55"/>
      <c r="BI325" s="55"/>
      <c r="BJ325" s="62"/>
      <c r="BK325" s="57" t="n">
        <v>8</v>
      </c>
      <c r="BL325" s="57" t="n">
        <v>21</v>
      </c>
      <c r="BM325" s="56" t="n">
        <v>228.28</v>
      </c>
      <c r="BN325" s="57" t="n">
        <v>13</v>
      </c>
      <c r="BO325" s="55"/>
      <c r="BP325" s="60" t="n">
        <v>0</v>
      </c>
      <c r="BQ325" s="60" t="n">
        <v>325</v>
      </c>
      <c r="BR325" s="55" t="str">
        <f aca="false">IF(U325&lt;&gt;"",UPPER(TRIM(U325)),IF(BU325=1,UPPER(VLOOKUP(T325,Parameter!$I$27:$K$29,2,0)),IF(P325="","LOSE",P325)))</f>
        <v>S32</v>
      </c>
      <c r="BS325" s="57" t="n">
        <f aca="false">IF(BR325="LOSE",1,IF(N(V325)&gt;0,V325,IF(BU325=1,MAX(1,N(VLOOKUP(T325,Parameter!$I$27:$K$29,3,0)),H325,N(N325)),IF(N(Q325)&gt;0,Q325,MAX(1,H325)))))</f>
        <v>37</v>
      </c>
      <c r="BT325" s="60" t="n">
        <f aca="false">IF(BR325="LOSE",1,0)</f>
        <v>0</v>
      </c>
      <c r="BU325" s="60" t="n">
        <f aca="false">IF(AND(U325="",OR(P325="",P325="LOSE"),T325&lt;&gt;"",N(S325)&lt;=0,ISNUMBER(MATCH(T325,Parameter!$I$27:$I$29,0))),1,0)</f>
        <v>0</v>
      </c>
      <c r="BV325" s="55" t="str">
        <f aca="false">IF(AND(Parameter!$B$19="Ja",E325&lt;&gt;"",ISNUMBER(MATCH(E325,Parameter!$I$35:$I$52,0))),VLOOKUP(E325,Parameter!$I$35:$J$52,2,0),IFERROR(VLOOKUP(D325,Parameter!$A$35:$C$64,2,0),"Nein"))</f>
        <v>2+3</v>
      </c>
      <c r="BW325" s="59" t="n">
        <f aca="false">IF(BT325=0,0,IF(N(S325)&gt;0,S325,IFERROR(VLOOKUP(D325,Parameter!$A$35:$C$64,3,0)+0,0)))</f>
        <v>0</v>
      </c>
      <c r="BX325" s="55" t="n">
        <f aca="false">IF(AA325&lt;&gt;"",AA325,Z325)</f>
        <v>3</v>
      </c>
      <c r="BY325" s="55" t="str">
        <f aca="false">IF(BX325=1,"L1",IF(OR(BX325=2,BX325=3),"L23",IF(BX325="Aussen","Aussen","-")))</f>
        <v>L23</v>
      </c>
      <c r="BZ325" s="66" t="n">
        <f aca="false">IF(N(AB325)&gt;0,AB325,0)</f>
        <v>0</v>
      </c>
      <c r="CA325" s="60" t="n">
        <f aca="false">IF(ISNUMBER(AE325),1,0)</f>
        <v>0</v>
      </c>
      <c r="CB325" s="57" t="n">
        <f aca="false">N(AE325)</f>
        <v>0</v>
      </c>
      <c r="CC325" s="57" t="n">
        <f aca="false">N(M325)+N(N325)</f>
        <v>54</v>
      </c>
      <c r="CD325" s="57" t="n">
        <f aca="false">ROUNDUP(H325/BS325,0)</f>
        <v>1</v>
      </c>
      <c r="CE325" s="57" t="n">
        <f aca="false">ROUNDUP(CB325/BS325,0)</f>
        <v>0</v>
      </c>
      <c r="CF325" s="60" t="n">
        <f aca="false">IF(BT325=1,0,IFERROR(VLOOKUP(BR325,'Gebinde-Kategorie'!$A$5:$M$45,5,0)+0,0))</f>
        <v>8</v>
      </c>
      <c r="CG325" s="60" t="n">
        <f aca="false">IFERROR(IF(OR(BX325=1,BX325=2,BX325=3),N(INDEX(Parameter!$I$5:$I$7,BX325)),0),0)</f>
        <v>0</v>
      </c>
      <c r="CH325" s="59" t="n">
        <f aca="false">IF(AND(Parameter!$B$21="Ja",ISNUMBER(W325),N(X325)&gt;0),IFERROR(N(INDEX(Parameter!$L$5:$L$7,W325))*INDEX(Parameter!$E$5:$E$7,W325)*X325/SUMIFS($X$7:$X$1843,$W$7:$W$1843,W325),0),0)</f>
        <v>0</v>
      </c>
    </row>
    <row r="326" customFormat="false" ht="15" hidden="false" customHeight="false" outlineLevel="0" collapsed="false">
      <c r="A326" s="55" t="s">
        <v>815</v>
      </c>
      <c r="B326" s="55" t="s">
        <v>816</v>
      </c>
      <c r="C326" s="55" t="s">
        <v>164</v>
      </c>
      <c r="D326" s="55" t="s">
        <v>184</v>
      </c>
      <c r="E326" s="55" t="s">
        <v>185</v>
      </c>
      <c r="F326" s="55" t="s">
        <v>218</v>
      </c>
      <c r="G326" s="56" t="n">
        <v>34.66</v>
      </c>
      <c r="H326" s="57" t="n">
        <f aca="false">MAX(0,IF(AND(Parameter!$B$21="Ja",ISNUMBER(Y326)),Y326,IF(Parameter!$B$20="Jahresanfang 2025 + Export",BL326+BK326,BK326)))</f>
        <v>33</v>
      </c>
      <c r="I326" s="57" t="n">
        <f aca="false">H326*G326</f>
        <v>1143.78</v>
      </c>
      <c r="J326" s="57" t="n">
        <f aca="false">BN326*Parameter!$B$18</f>
        <v>37</v>
      </c>
      <c r="K326" s="58" t="n">
        <v>23.5</v>
      </c>
      <c r="L326" s="59" t="n">
        <v>1.57446808510638</v>
      </c>
      <c r="M326" s="57" t="n">
        <v>4</v>
      </c>
      <c r="N326" s="57" t="n">
        <v>35</v>
      </c>
      <c r="O326" s="60" t="n">
        <v>42</v>
      </c>
      <c r="P326" s="55" t="s">
        <v>421</v>
      </c>
      <c r="Q326" s="57" t="n">
        <v>46</v>
      </c>
      <c r="R326" s="60" t="n">
        <f aca="false">IF(BT326=1,0,IFERROR(VLOOKUP(BR326,'Gebinde-Kategorie'!$A$5:$M$45,13,0)+0,0))</f>
        <v>132</v>
      </c>
      <c r="S326" s="61"/>
      <c r="T326" s="62"/>
      <c r="U326" s="62"/>
      <c r="V326" s="62"/>
      <c r="W326" s="55"/>
      <c r="X326" s="57"/>
      <c r="Y326" s="57"/>
      <c r="Z326" s="55" t="n">
        <f aca="false">IF(A326="","",IF(AND(Parameter!$B$21="Ja",ISNUMBER(W326)),W326,IF(BV326="2+3",IF(ISNUMBER(SEARCH("grosser Artikel",BO326)),2,IFERROR(VLOOKUP(BR326,Parameter!$F$35:$G$64,2,0),2)),IF(OR(BV326="Nein",BV326=""),"-",BV326))))</f>
        <v>3</v>
      </c>
      <c r="AA326" s="62"/>
      <c r="AB326" s="63"/>
      <c r="AC326" s="57" t="n">
        <f aca="false">AR326</f>
        <v>46</v>
      </c>
      <c r="AD326" s="57" t="n">
        <f aca="false">MAX(AR326,H326)</f>
        <v>46</v>
      </c>
      <c r="AE326" s="64"/>
      <c r="AF326" s="57" t="n">
        <f aca="false">IF(LEFT(Cockpit!$C$5,1)="A",H326,IF(CA326=1,CB326,IF(LEFT(Cockpit!$C$5,1)="B",AJ326,MAX(AJ326,H326))))</f>
        <v>33</v>
      </c>
      <c r="AG326" s="57" t="n">
        <f aca="false">IF(BT326=1,0,ROUNDUP(AF326/BS326,0))</f>
        <v>1</v>
      </c>
      <c r="AH326" s="59" t="n">
        <f aca="false">IF(CH326&gt;0,CH326*MAX(1,AF326/X326),IF(BT326=1,IF(AF326&lt;=0,0,BW326*MAX(1,IF(H326&gt;0,AF326/H326,1))),IF(R326&gt;0,AG326/R326,0))/MAX(0.1,N(Parameter!$M$21)))</f>
        <v>0.00757575757575758</v>
      </c>
      <c r="AI326" s="57" t="n">
        <f aca="false">AF326*G326</f>
        <v>1143.78</v>
      </c>
      <c r="AJ326" s="57" t="n">
        <f aca="false">ROUNDUP(MAX(J326/IF(BZ326&gt;0,BZ326,MAX(0.1,N(Cockpit!$C$6))),CC326)/BS326,0)*BS326</f>
        <v>46</v>
      </c>
      <c r="AK326" s="58" t="n">
        <f aca="false">IF(AH326&gt;0,J326/AH326,-1)</f>
        <v>4884</v>
      </c>
      <c r="AL326" s="58" t="n">
        <f aca="false">IF(AND(OR(BY326="L1",BY326="L23"),AH326&gt;0),SUMIFS($AH$7:$AH$1843,$BY$7:$BY$1843,BY326,$AK$7:$AK$1843,"&gt;"&amp;AK326)+SUMIFS($AH$7:$AH$1843,$BY$7:$BY$1843,BY326,$AK$7:$AK$1843,AK326,$BQ$7:$BQ$1843,"&lt;="&amp;BQ326),"")</f>
        <v>7.35982737069694</v>
      </c>
      <c r="AM326" s="65" t="n">
        <f aca="false">IF(AL326="",0,MAX(0,MIN(1,(IF(BY326="L1",Parameter!$E$5,Parameter!$E$6+Parameter!$E$7)-(AL326-AH326))/AH326)))</f>
        <v>1</v>
      </c>
      <c r="AN326" s="57" t="n">
        <f aca="false">IF(LEFT(Cockpit!$I$5,1)="A",H326,IF(CA326=1,CB326,IF(LEFT(Cockpit!$I$5,1)="B",AR326,MAX(AR326,H326))))</f>
        <v>46</v>
      </c>
      <c r="AO326" s="57" t="n">
        <f aca="false">IF(BT326=1,0,ROUNDUP(AN326/BS326,0))</f>
        <v>1</v>
      </c>
      <c r="AP326" s="59" t="n">
        <f aca="false">IF(CH326&gt;0,CH326*MAX(1,AN326/X326),IF(BT326=1,IF(AN326&lt;=0,0,BW326*MAX(1,IF(H326&gt;0,AN326/H326,1))),IF(R326&gt;0,AO326/R326,0))/MAX(0.1,N(Parameter!$M$21)))</f>
        <v>0.00757575757575758</v>
      </c>
      <c r="AQ326" s="57" t="n">
        <f aca="false">AN326*G326</f>
        <v>1594.36</v>
      </c>
      <c r="AR326" s="57" t="n">
        <f aca="false">ROUNDUP(MAX(J326/IF(BZ326&gt;0,BZ326,MAX(0.1,N(Cockpit!$I$6))),CC326)/BS326,0)*BS326</f>
        <v>46</v>
      </c>
      <c r="AS326" s="58" t="n">
        <f aca="false">IF(AP326&gt;0,J326/AP326,-1)</f>
        <v>4884</v>
      </c>
      <c r="AT326" s="58" t="n">
        <f aca="false">IF(AND(OR(BY326="L1",BY326="L23"),AP326&gt;0),SUMIFS($AP$7:$AP$1843,$BY$7:$BY$1843,BY326,$AS$7:$AS$1843,"&gt;"&amp;AS326)+SUMIFS($AP$7:$AP$1843,$BY$7:$BY$1843,BY326,$AS$7:$AS$1843,AS326,$BQ$7:$BQ$1843,"&lt;="&amp;BQ326),"")</f>
        <v>12.0049744941049</v>
      </c>
      <c r="AU326" s="65" t="n">
        <f aca="false">IF(AT326="",0,MAX(0,MIN(1,(IF(BY326="L1",Parameter!$E$5,Parameter!$E$6+Parameter!$E$7)-(AT326-AP326))/AP326)))</f>
        <v>1</v>
      </c>
      <c r="AV326" s="57" t="n">
        <f aca="false">IF(LEFT(Cockpit!$O$5,1)="A",H326,IF(CA326=1,CB326,IF(LEFT(Cockpit!$O$5,1)="B",AZ326,MAX(AZ326,H326))))</f>
        <v>46</v>
      </c>
      <c r="AW326" s="57" t="n">
        <f aca="false">IF(BT326=1,0,ROUNDUP(AV326/BS326,0))</f>
        <v>1</v>
      </c>
      <c r="AX326" s="59" t="n">
        <f aca="false">IF(CH326&gt;0,CH326*MAX(1,AV326/X326),IF(BT326=1,IF(AV326&lt;=0,0,BW326*MAX(1,IF(H326&gt;0,AV326/H326,1))),IF(R326&gt;0,AW326/R326,0))/MAX(0.1,N(Parameter!$M$21)))</f>
        <v>0.00757575757575758</v>
      </c>
      <c r="AY326" s="57" t="n">
        <f aca="false">AV326*G326</f>
        <v>1594.36</v>
      </c>
      <c r="AZ326" s="57" t="n">
        <f aca="false">ROUNDUP(MAX(J326/IF(BZ326&gt;0,BZ326,MAX(0.1,N(Cockpit!$O$6))),CC326)/BS326,0)*BS326</f>
        <v>46</v>
      </c>
      <c r="BA326" s="58" t="n">
        <f aca="false">IF(AX326&gt;0,J326/AX326,-1)</f>
        <v>4884</v>
      </c>
      <c r="BB326" s="58" t="n">
        <f aca="false">IF(AND(OR(BY326="L1",BY326="L23"),AX326&gt;0),SUMIFS($AX$7:$AX$1843,$BY$7:$BY$1843,BY326,$BA$7:$BA$1843,"&gt;"&amp;BA326)+SUMIFS($AX$7:$AX$1843,$BY$7:$BY$1843,BY326,$BA$7:$BA$1843,BA326,$BQ$7:$BQ$1843,"&lt;="&amp;BQ326),"")</f>
        <v>10.7258369649674</v>
      </c>
      <c r="BC326" s="65" t="n">
        <f aca="false">IF(BB326="",0,MAX(0,MIN(1,(IF(BY326="L1",Parameter!$E$5,Parameter!$E$6+Parameter!$E$7)-(BB326-AX326))/AX326)))</f>
        <v>1</v>
      </c>
      <c r="BD326" s="55" t="str">
        <f aca="false">IF(AH326&lt;=0,"",IF(BY326="Aussen","Aussenlager",IF(BY326="-","Nicht im Lift",IF(AM326&gt;=1,"Lift",IF(AM326&lt;=0,"Aussenlager","teilweise")))))</f>
        <v>Lift</v>
      </c>
      <c r="BE326" s="55" t="str">
        <f aca="false">IF(AP326&lt;=0,"",IF(BY326="Aussen","Aussenlager",IF(BY326="-","Nicht im Lift",IF(AU326&gt;=1,"Lift",IF(AU326&lt;=0,"Aussenlager","teilweise")))))</f>
        <v>Lift</v>
      </c>
      <c r="BF326" s="55" t="str">
        <f aca="false">IF(AX326&lt;=0,"",IF(BY326="Aussen","Aussenlager",IF(BY326="-","Nicht im Lift",IF(BC326&gt;=1,"Lift",IF(BC326&lt;=0,"Aussenlager","teilweise")))))</f>
        <v>Lift</v>
      </c>
      <c r="BG326" s="55" t="str">
        <f aca="false">IF(A326="","",IF(BP326=1,"Neu; ","")&amp;IF(AND(BP326=0,BK326&lt;0),"negativer Bestand (Export "&amp;BK326&amp;"); ","")&amp;IF(J326&lt;=0,"Kein Verbrauch; ","")&amp;IF(CH326&gt;0,"Lift "&amp;W326&amp;" lt. Liftbericht (Fach "&amp;X326&amp;" Stk); ",IF(BU326=1,"Gebinde geschätzt ("&amp;T326&amp;"); ",IF(BT326=1,"Lose – Tablare geschätzt; ","")))&amp;IF(H326&gt;AR326,"Überbestand "&amp;ROUND(H326-AR326,0)&amp;" Stk / CHF "&amp;ROUND((H326-AR326)*G326,0)&amp;"; ","")&amp;IF(AND(CA326=1,CB326&lt;CC326),"MAX &lt; MB+LG; ","")&amp;IF(AND(CG326&gt;0,CF326*10&gt;CG326),"zu hoch für Tablar; ","")&amp;IF(AND(BP326=0,OR(CA326=1,AA326&lt;&gt;"",U326&lt;&gt;"",V326&lt;&gt;"",AB326&lt;&gt;"")),"manuell übersteuert; ","")&amp;IF(AND(BT326=0,R326=0),"Gebinde unbekannt / Stellmass fehlt; ","")&amp;IF(AND(BT326=0,N(V326)&lt;=0,N(Q326)&lt;=0),"Menge pro Gebinde fehlt (Ist = 1 Gebinde); ","")&amp;BO326)</f>
        <v/>
      </c>
      <c r="BH326" s="55"/>
      <c r="BI326" s="55"/>
      <c r="BJ326" s="62"/>
      <c r="BK326" s="57" t="n">
        <v>11</v>
      </c>
      <c r="BL326" s="57" t="n">
        <v>22</v>
      </c>
      <c r="BM326" s="56" t="n">
        <v>227.04</v>
      </c>
      <c r="BN326" s="57" t="n">
        <v>37</v>
      </c>
      <c r="BO326" s="55"/>
      <c r="BP326" s="60" t="n">
        <v>0</v>
      </c>
      <c r="BQ326" s="60" t="n">
        <v>326</v>
      </c>
      <c r="BR326" s="55" t="str">
        <f aca="false">IF(U326&lt;&gt;"",UPPER(TRIM(U326)),IF(BU326=1,UPPER(VLOOKUP(T326,Parameter!$I$27:$K$29,2,0)),IF(P326="","LOSE",P326)))</f>
        <v>S32</v>
      </c>
      <c r="BS326" s="57" t="n">
        <f aca="false">IF(BR326="LOSE",1,IF(N(V326)&gt;0,V326,IF(BU326=1,MAX(1,N(VLOOKUP(T326,Parameter!$I$27:$K$29,3,0)),H326,N(N326)),IF(N(Q326)&gt;0,Q326,MAX(1,H326)))))</f>
        <v>46</v>
      </c>
      <c r="BT326" s="60" t="n">
        <f aca="false">IF(BR326="LOSE",1,0)</f>
        <v>0</v>
      </c>
      <c r="BU326" s="60" t="n">
        <f aca="false">IF(AND(U326="",OR(P326="",P326="LOSE"),T326&lt;&gt;"",N(S326)&lt;=0,ISNUMBER(MATCH(T326,Parameter!$I$27:$I$29,0))),1,0)</f>
        <v>0</v>
      </c>
      <c r="BV326" s="55" t="str">
        <f aca="false">IF(AND(Parameter!$B$19="Ja",E326&lt;&gt;"",ISNUMBER(MATCH(E326,Parameter!$I$35:$I$52,0))),VLOOKUP(E326,Parameter!$I$35:$J$52,2,0),IFERROR(VLOOKUP(D326,Parameter!$A$35:$C$64,2,0),"Nein"))</f>
        <v>2+3</v>
      </c>
      <c r="BW326" s="59" t="n">
        <f aca="false">IF(BT326=0,0,IF(N(S326)&gt;0,S326,IFERROR(VLOOKUP(D326,Parameter!$A$35:$C$64,3,0)+0,0)))</f>
        <v>0</v>
      </c>
      <c r="BX326" s="55" t="n">
        <f aca="false">IF(AA326&lt;&gt;"",AA326,Z326)</f>
        <v>3</v>
      </c>
      <c r="BY326" s="55" t="str">
        <f aca="false">IF(BX326=1,"L1",IF(OR(BX326=2,BX326=3),"L23",IF(BX326="Aussen","Aussen","-")))</f>
        <v>L23</v>
      </c>
      <c r="BZ326" s="66" t="n">
        <f aca="false">IF(N(AB326)&gt;0,AB326,0)</f>
        <v>0</v>
      </c>
      <c r="CA326" s="60" t="n">
        <f aca="false">IF(ISNUMBER(AE326),1,0)</f>
        <v>0</v>
      </c>
      <c r="CB326" s="57" t="n">
        <f aca="false">N(AE326)</f>
        <v>0</v>
      </c>
      <c r="CC326" s="57" t="n">
        <f aca="false">N(M326)+N(N326)</f>
        <v>39</v>
      </c>
      <c r="CD326" s="57" t="n">
        <f aca="false">ROUNDUP(H326/BS326,0)</f>
        <v>1</v>
      </c>
      <c r="CE326" s="57" t="n">
        <f aca="false">ROUNDUP(CB326/BS326,0)</f>
        <v>0</v>
      </c>
      <c r="CF326" s="60" t="n">
        <f aca="false">IF(BT326=1,0,IFERROR(VLOOKUP(BR326,'Gebinde-Kategorie'!$A$5:$M$45,5,0)+0,0))</f>
        <v>8</v>
      </c>
      <c r="CG326" s="60" t="n">
        <f aca="false">IFERROR(IF(OR(BX326=1,BX326=2,BX326=3),N(INDEX(Parameter!$I$5:$I$7,BX326)),0),0)</f>
        <v>0</v>
      </c>
      <c r="CH326" s="59" t="n">
        <f aca="false">IF(AND(Parameter!$B$21="Ja",ISNUMBER(W326),N(X326)&gt;0),IFERROR(N(INDEX(Parameter!$L$5:$L$7,W326))*INDEX(Parameter!$E$5:$E$7,W326)*X326/SUMIFS($X$7:$X$1843,$W$7:$W$1843,W326),0),0)</f>
        <v>0</v>
      </c>
    </row>
    <row r="327" customFormat="false" ht="15" hidden="false" customHeight="false" outlineLevel="0" collapsed="false">
      <c r="A327" s="55" t="s">
        <v>817</v>
      </c>
      <c r="B327" s="55" t="s">
        <v>818</v>
      </c>
      <c r="C327" s="55" t="s">
        <v>164</v>
      </c>
      <c r="D327" s="55" t="s">
        <v>184</v>
      </c>
      <c r="E327" s="55" t="s">
        <v>185</v>
      </c>
      <c r="F327" s="55" t="s">
        <v>218</v>
      </c>
      <c r="G327" s="56" t="n">
        <v>1.04</v>
      </c>
      <c r="H327" s="57" t="n">
        <f aca="false">MAX(0,IF(AND(Parameter!$B$21="Ja",ISNUMBER(Y327)),Y327,IF(Parameter!$B$20="Jahresanfang 2025 + Export",BL327+BK327,BK327)))</f>
        <v>219</v>
      </c>
      <c r="I327" s="57" t="n">
        <f aca="false">H327*G327</f>
        <v>227.76</v>
      </c>
      <c r="J327" s="57" t="n">
        <f aca="false">BN327*Parameter!$B$18</f>
        <v>100</v>
      </c>
      <c r="K327" s="58" t="n">
        <v>41.5</v>
      </c>
      <c r="L327" s="59" t="n">
        <v>2.40963855421687</v>
      </c>
      <c r="M327" s="57" t="n">
        <v>25</v>
      </c>
      <c r="N327" s="57" t="n">
        <v>200</v>
      </c>
      <c r="O327" s="60" t="n">
        <v>35</v>
      </c>
      <c r="P327" s="55" t="s">
        <v>426</v>
      </c>
      <c r="Q327" s="57" t="n">
        <v>200</v>
      </c>
      <c r="R327" s="60" t="n">
        <f aca="false">IF(BT327=1,0,IFERROR(VLOOKUP(BR327,'Gebinde-Kategorie'!$A$5:$M$45,13,0)+0,0))</f>
        <v>198</v>
      </c>
      <c r="S327" s="61"/>
      <c r="T327" s="62"/>
      <c r="U327" s="62"/>
      <c r="V327" s="62"/>
      <c r="W327" s="55"/>
      <c r="X327" s="57"/>
      <c r="Y327" s="57"/>
      <c r="Z327" s="55" t="n">
        <f aca="false">IF(A327="","",IF(AND(Parameter!$B$21="Ja",ISNUMBER(W327)),W327,IF(BV327="2+3",IF(ISNUMBER(SEARCH("grosser Artikel",BO327)),2,IFERROR(VLOOKUP(BR327,Parameter!$F$35:$G$64,2,0),2)),IF(OR(BV327="Nein",BV327=""),"-",BV327))))</f>
        <v>3</v>
      </c>
      <c r="AA327" s="62"/>
      <c r="AB327" s="63"/>
      <c r="AC327" s="57" t="n">
        <f aca="false">AR327</f>
        <v>400</v>
      </c>
      <c r="AD327" s="57" t="n">
        <f aca="false">MAX(AR327,H327)</f>
        <v>400</v>
      </c>
      <c r="AE327" s="64"/>
      <c r="AF327" s="57" t="n">
        <f aca="false">IF(LEFT(Cockpit!$C$5,1)="A",H327,IF(CA327=1,CB327,IF(LEFT(Cockpit!$C$5,1)="B",AJ327,MAX(AJ327,H327))))</f>
        <v>219</v>
      </c>
      <c r="AG327" s="57" t="n">
        <f aca="false">IF(BT327=1,0,ROUNDUP(AF327/BS327,0))</f>
        <v>2</v>
      </c>
      <c r="AH327" s="59" t="n">
        <f aca="false">IF(CH327&gt;0,CH327*MAX(1,AF327/X327),IF(BT327=1,IF(AF327&lt;=0,0,BW327*MAX(1,IF(H327&gt;0,AF327/H327,1))),IF(R327&gt;0,AG327/R327,0))/MAX(0.1,N(Parameter!$M$21)))</f>
        <v>0.0101010101010101</v>
      </c>
      <c r="AI327" s="57" t="n">
        <f aca="false">AF327*G327</f>
        <v>227.76</v>
      </c>
      <c r="AJ327" s="57" t="n">
        <f aca="false">ROUNDUP(MAX(J327/IF(BZ327&gt;0,BZ327,MAX(0.1,N(Cockpit!$C$6))),CC327)/BS327,0)*BS327</f>
        <v>400</v>
      </c>
      <c r="AK327" s="58" t="n">
        <f aca="false">IF(AH327&gt;0,J327/AH327,-1)</f>
        <v>9900</v>
      </c>
      <c r="AL327" s="58" t="n">
        <f aca="false">IF(AND(OR(BY327="L1",BY327="L23"),AH327&gt;0),SUMIFS($AH$7:$AH$1843,$BY$7:$BY$1843,BY327,$AK$7:$AK$1843,"&gt;"&amp;AK327)+SUMIFS($AH$7:$AH$1843,$BY$7:$BY$1843,BY327,$AK$7:$AK$1843,AK327,$BQ$7:$BQ$1843,"&lt;="&amp;BQ327),"")</f>
        <v>5.4464545116719</v>
      </c>
      <c r="AM327" s="65" t="n">
        <f aca="false">IF(AL327="",0,MAX(0,MIN(1,(IF(BY327="L1",Parameter!$E$5,Parameter!$E$6+Parameter!$E$7)-(AL327-AH327))/AH327)))</f>
        <v>1</v>
      </c>
      <c r="AN327" s="57" t="n">
        <f aca="false">IF(LEFT(Cockpit!$I$5,1)="A",H327,IF(CA327=1,CB327,IF(LEFT(Cockpit!$I$5,1)="B",AR327,MAX(AR327,H327))))</f>
        <v>400</v>
      </c>
      <c r="AO327" s="57" t="n">
        <f aca="false">IF(BT327=1,0,ROUNDUP(AN327/BS327,0))</f>
        <v>2</v>
      </c>
      <c r="AP327" s="59" t="n">
        <f aca="false">IF(CH327&gt;0,CH327*MAX(1,AN327/X327),IF(BT327=1,IF(AN327&lt;=0,0,BW327*MAX(1,IF(H327&gt;0,AN327/H327,1))),IF(R327&gt;0,AO327/R327,0))/MAX(0.1,N(Parameter!$M$21)))</f>
        <v>0.0101010101010101</v>
      </c>
      <c r="AQ327" s="57" t="n">
        <f aca="false">AN327*G327</f>
        <v>416</v>
      </c>
      <c r="AR327" s="57" t="n">
        <f aca="false">ROUNDUP(MAX(J327/IF(BZ327&gt;0,BZ327,MAX(0.1,N(Cockpit!$I$6))),CC327)/BS327,0)*BS327</f>
        <v>400</v>
      </c>
      <c r="AS327" s="58" t="n">
        <f aca="false">IF(AP327&gt;0,J327/AP327,-1)</f>
        <v>9900</v>
      </c>
      <c r="AT327" s="58" t="n">
        <f aca="false">IF(AND(OR(BY327="L1",BY327="L23"),AP327&gt;0),SUMIFS($AP$7:$AP$1843,$BY$7:$BY$1843,BY327,$AS$7:$AS$1843,"&gt;"&amp;AS327)+SUMIFS($AP$7:$AP$1843,$BY$7:$BY$1843,BY327,$AS$7:$AS$1843,AS327,$BQ$7:$BQ$1843,"&lt;="&amp;BQ327),"")</f>
        <v>8.21486605182257</v>
      </c>
      <c r="AU327" s="65" t="n">
        <f aca="false">IF(AT327="",0,MAX(0,MIN(1,(IF(BY327="L1",Parameter!$E$5,Parameter!$E$6+Parameter!$E$7)-(AT327-AP327))/AP327)))</f>
        <v>1</v>
      </c>
      <c r="AV327" s="57" t="n">
        <f aca="false">IF(LEFT(Cockpit!$O$5,1)="A",H327,IF(CA327=1,CB327,IF(LEFT(Cockpit!$O$5,1)="B",AZ327,MAX(AZ327,H327))))</f>
        <v>400</v>
      </c>
      <c r="AW327" s="57" t="n">
        <f aca="false">IF(BT327=1,0,ROUNDUP(AV327/BS327,0))</f>
        <v>2</v>
      </c>
      <c r="AX327" s="59" t="n">
        <f aca="false">IF(CH327&gt;0,CH327*MAX(1,AV327/X327),IF(BT327=1,IF(AV327&lt;=0,0,BW327*MAX(1,IF(H327&gt;0,AV327/H327,1))),IF(R327&gt;0,AW327/R327,0))/MAX(0.1,N(Parameter!$M$21)))</f>
        <v>0.0101010101010101</v>
      </c>
      <c r="AY327" s="57" t="n">
        <f aca="false">AV327*G327</f>
        <v>416</v>
      </c>
      <c r="AZ327" s="57" t="n">
        <f aca="false">ROUNDUP(MAX(J327/IF(BZ327&gt;0,BZ327,MAX(0.1,N(Cockpit!$O$6))),CC327)/BS327,0)*BS327</f>
        <v>400</v>
      </c>
      <c r="BA327" s="58" t="n">
        <f aca="false">IF(AX327&gt;0,J327/AX327,-1)</f>
        <v>9900</v>
      </c>
      <c r="BB327" s="58" t="n">
        <f aca="false">IF(AND(OR(BY327="L1",BY327="L23"),AX327&gt;0),SUMIFS($AX$7:$AX$1843,$BY$7:$BY$1843,BY327,$BA$7:$BA$1843,"&gt;"&amp;BA327)+SUMIFS($AX$7:$AX$1843,$BY$7:$BY$1843,BY327,$BA$7:$BA$1843,BA327,$BQ$7:$BQ$1843,"&lt;="&amp;BQ327),"")</f>
        <v>7.63444647140299</v>
      </c>
      <c r="BC327" s="65" t="n">
        <f aca="false">IF(BB327="",0,MAX(0,MIN(1,(IF(BY327="L1",Parameter!$E$5,Parameter!$E$6+Parameter!$E$7)-(BB327-AX327))/AX327)))</f>
        <v>1</v>
      </c>
      <c r="BD327" s="55" t="str">
        <f aca="false">IF(AH327&lt;=0,"",IF(BY327="Aussen","Aussenlager",IF(BY327="-","Nicht im Lift",IF(AM327&gt;=1,"Lift",IF(AM327&lt;=0,"Aussenlager","teilweise")))))</f>
        <v>Lift</v>
      </c>
      <c r="BE327" s="55" t="str">
        <f aca="false">IF(AP327&lt;=0,"",IF(BY327="Aussen","Aussenlager",IF(BY327="-","Nicht im Lift",IF(AU327&gt;=1,"Lift",IF(AU327&lt;=0,"Aussenlager","teilweise")))))</f>
        <v>Lift</v>
      </c>
      <c r="BF327" s="55" t="str">
        <f aca="false">IF(AX327&lt;=0,"",IF(BY327="Aussen","Aussenlager",IF(BY327="-","Nicht im Lift",IF(BC327&gt;=1,"Lift",IF(BC327&lt;=0,"Aussenlager","teilweise")))))</f>
        <v>Lift</v>
      </c>
      <c r="BG327" s="55" t="str">
        <f aca="false">IF(A327="","",IF(BP327=1,"Neu; ","")&amp;IF(AND(BP327=0,BK327&lt;0),"negativer Bestand (Export "&amp;BK327&amp;"); ","")&amp;IF(J327&lt;=0,"Kein Verbrauch; ","")&amp;IF(CH327&gt;0,"Lift "&amp;W327&amp;" lt. Liftbericht (Fach "&amp;X327&amp;" Stk); ",IF(BU327=1,"Gebinde geschätzt ("&amp;T327&amp;"); ",IF(BT327=1,"Lose – Tablare geschätzt; ","")))&amp;IF(H327&gt;AR327,"Überbestand "&amp;ROUND(H327-AR327,0)&amp;" Stk / CHF "&amp;ROUND((H327-AR327)*G327,0)&amp;"; ","")&amp;IF(AND(CA327=1,CB327&lt;CC327),"MAX &lt; MB+LG; ","")&amp;IF(AND(CG327&gt;0,CF327*10&gt;CG327),"zu hoch für Tablar; ","")&amp;IF(AND(BP327=0,OR(CA327=1,AA327&lt;&gt;"",U327&lt;&gt;"",V327&lt;&gt;"",AB327&lt;&gt;"")),"manuell übersteuert; ","")&amp;IF(AND(BT327=0,R327=0),"Gebinde unbekannt / Stellmass fehlt; ","")&amp;IF(AND(BT327=0,N(V327)&lt;=0,N(Q327)&lt;=0),"Menge pro Gebinde fehlt (Ist = 1 Gebinde); ","")&amp;BO327)</f>
        <v/>
      </c>
      <c r="BH327" s="55"/>
      <c r="BI327" s="55"/>
      <c r="BJ327" s="62"/>
      <c r="BK327" s="57" t="n">
        <v>215</v>
      </c>
      <c r="BL327" s="57" t="n">
        <v>4</v>
      </c>
      <c r="BM327" s="56" t="n">
        <v>223.6</v>
      </c>
      <c r="BN327" s="57" t="n">
        <v>100</v>
      </c>
      <c r="BO327" s="55"/>
      <c r="BP327" s="60" t="n">
        <v>0</v>
      </c>
      <c r="BQ327" s="60" t="n">
        <v>327</v>
      </c>
      <c r="BR327" s="55" t="str">
        <f aca="false">IF(U327&lt;&gt;"",UPPER(TRIM(U327)),IF(BU327=1,UPPER(VLOOKUP(T327,Parameter!$I$27:$K$29,2,0)),IF(P327="","LOSE",P327)))</f>
        <v>S22</v>
      </c>
      <c r="BS327" s="57" t="n">
        <f aca="false">IF(BR327="LOSE",1,IF(N(V327)&gt;0,V327,IF(BU327=1,MAX(1,N(VLOOKUP(T327,Parameter!$I$27:$K$29,3,0)),H327,N(N327)),IF(N(Q327)&gt;0,Q327,MAX(1,H327)))))</f>
        <v>200</v>
      </c>
      <c r="BT327" s="60" t="n">
        <f aca="false">IF(BR327="LOSE",1,0)</f>
        <v>0</v>
      </c>
      <c r="BU327" s="60" t="n">
        <f aca="false">IF(AND(U327="",OR(P327="",P327="LOSE"),T327&lt;&gt;"",N(S327)&lt;=0,ISNUMBER(MATCH(T327,Parameter!$I$27:$I$29,0))),1,0)</f>
        <v>0</v>
      </c>
      <c r="BV327" s="55" t="str">
        <f aca="false">IF(AND(Parameter!$B$19="Ja",E327&lt;&gt;"",ISNUMBER(MATCH(E327,Parameter!$I$35:$I$52,0))),VLOOKUP(E327,Parameter!$I$35:$J$52,2,0),IFERROR(VLOOKUP(D327,Parameter!$A$35:$C$64,2,0),"Nein"))</f>
        <v>2+3</v>
      </c>
      <c r="BW327" s="59" t="n">
        <f aca="false">IF(BT327=0,0,IF(N(S327)&gt;0,S327,IFERROR(VLOOKUP(D327,Parameter!$A$35:$C$64,3,0)+0,0)))</f>
        <v>0</v>
      </c>
      <c r="BX327" s="55" t="n">
        <f aca="false">IF(AA327&lt;&gt;"",AA327,Z327)</f>
        <v>3</v>
      </c>
      <c r="BY327" s="55" t="str">
        <f aca="false">IF(BX327=1,"L1",IF(OR(BX327=2,BX327=3),"L23",IF(BX327="Aussen","Aussen","-")))</f>
        <v>L23</v>
      </c>
      <c r="BZ327" s="66" t="n">
        <f aca="false">IF(N(AB327)&gt;0,AB327,0)</f>
        <v>0</v>
      </c>
      <c r="CA327" s="60" t="n">
        <f aca="false">IF(ISNUMBER(AE327),1,0)</f>
        <v>0</v>
      </c>
      <c r="CB327" s="57" t="n">
        <f aca="false">N(AE327)</f>
        <v>0</v>
      </c>
      <c r="CC327" s="57" t="n">
        <f aca="false">N(M327)+N(N327)</f>
        <v>225</v>
      </c>
      <c r="CD327" s="57" t="n">
        <f aca="false">ROUNDUP(H327/BS327,0)</f>
        <v>2</v>
      </c>
      <c r="CE327" s="57" t="n">
        <f aca="false">ROUNDUP(CB327/BS327,0)</f>
        <v>0</v>
      </c>
      <c r="CF327" s="60" t="n">
        <f aca="false">IF(BT327=1,0,IFERROR(VLOOKUP(BR327,'Gebinde-Kategorie'!$A$5:$M$45,5,0)+0,0))</f>
        <v>8</v>
      </c>
      <c r="CG327" s="60" t="n">
        <f aca="false">IFERROR(IF(OR(BX327=1,BX327=2,BX327=3),N(INDEX(Parameter!$I$5:$I$7,BX327)),0),0)</f>
        <v>0</v>
      </c>
      <c r="CH327" s="59" t="n">
        <f aca="false">IF(AND(Parameter!$B$21="Ja",ISNUMBER(W327),N(X327)&gt;0),IFERROR(N(INDEX(Parameter!$L$5:$L$7,W327))*INDEX(Parameter!$E$5:$E$7,W327)*X327/SUMIFS($X$7:$X$1843,$W$7:$W$1843,W327),0),0)</f>
        <v>0</v>
      </c>
    </row>
    <row r="328" customFormat="false" ht="15" hidden="false" customHeight="false" outlineLevel="0" collapsed="false">
      <c r="A328" s="55" t="s">
        <v>819</v>
      </c>
      <c r="B328" s="55" t="s">
        <v>589</v>
      </c>
      <c r="C328" s="55" t="s">
        <v>164</v>
      </c>
      <c r="D328" s="55" t="s">
        <v>184</v>
      </c>
      <c r="E328" s="55" t="s">
        <v>185</v>
      </c>
      <c r="F328" s="55" t="s">
        <v>218</v>
      </c>
      <c r="G328" s="56" t="n">
        <v>1.5</v>
      </c>
      <c r="H328" s="57" t="n">
        <f aca="false">MAX(0,IF(AND(Parameter!$B$21="Ja",ISNUMBER(Y328)),Y328,IF(Parameter!$B$20="Jahresanfang 2025 + Export",BL328+BK328,BK328)))</f>
        <v>283</v>
      </c>
      <c r="I328" s="57" t="n">
        <f aca="false">H328*G328</f>
        <v>424.5</v>
      </c>
      <c r="J328" s="57" t="n">
        <f aca="false">BN328*Parameter!$B$18</f>
        <v>362</v>
      </c>
      <c r="K328" s="58" t="n">
        <v>154.5</v>
      </c>
      <c r="L328" s="59" t="n">
        <v>2.34304207119741</v>
      </c>
      <c r="M328" s="57" t="n">
        <v>21</v>
      </c>
      <c r="N328" s="57" t="n">
        <v>360</v>
      </c>
      <c r="O328" s="60" t="n">
        <v>21</v>
      </c>
      <c r="P328" s="55" t="s">
        <v>426</v>
      </c>
      <c r="Q328" s="57" t="n">
        <v>121</v>
      </c>
      <c r="R328" s="60" t="n">
        <f aca="false">IF(BT328=1,0,IFERROR(VLOOKUP(BR328,'Gebinde-Kategorie'!$A$5:$M$45,13,0)+0,0))</f>
        <v>198</v>
      </c>
      <c r="S328" s="61"/>
      <c r="T328" s="62"/>
      <c r="U328" s="62"/>
      <c r="V328" s="62"/>
      <c r="W328" s="55"/>
      <c r="X328" s="57"/>
      <c r="Y328" s="57"/>
      <c r="Z328" s="55" t="n">
        <f aca="false">IF(A328="","",IF(AND(Parameter!$B$21="Ja",ISNUMBER(W328)),W328,IF(BV328="2+3",IF(ISNUMBER(SEARCH("grosser Artikel",BO328)),2,IFERROR(VLOOKUP(BR328,Parameter!$F$35:$G$64,2,0),2)),IF(OR(BV328="Nein",BV328=""),"-",BV328))))</f>
        <v>3</v>
      </c>
      <c r="AA328" s="62"/>
      <c r="AB328" s="63"/>
      <c r="AC328" s="57" t="n">
        <f aca="false">AR328</f>
        <v>484</v>
      </c>
      <c r="AD328" s="57" t="n">
        <f aca="false">MAX(AR328,H328)</f>
        <v>484</v>
      </c>
      <c r="AE328" s="64"/>
      <c r="AF328" s="57" t="n">
        <f aca="false">IF(LEFT(Cockpit!$C$5,1)="A",H328,IF(CA328=1,CB328,IF(LEFT(Cockpit!$C$5,1)="B",AJ328,MAX(AJ328,H328))))</f>
        <v>283</v>
      </c>
      <c r="AG328" s="57" t="n">
        <f aca="false">IF(BT328=1,0,ROUNDUP(AF328/BS328,0))</f>
        <v>3</v>
      </c>
      <c r="AH328" s="59" t="n">
        <f aca="false">IF(CH328&gt;0,CH328*MAX(1,AF328/X328),IF(BT328=1,IF(AF328&lt;=0,0,BW328*MAX(1,IF(H328&gt;0,AF328/H328,1))),IF(R328&gt;0,AG328/R328,0))/MAX(0.1,N(Parameter!$M$21)))</f>
        <v>0.0151515151515152</v>
      </c>
      <c r="AI328" s="57" t="n">
        <f aca="false">AF328*G328</f>
        <v>424.5</v>
      </c>
      <c r="AJ328" s="57" t="n">
        <f aca="false">ROUNDUP(MAX(J328/IF(BZ328&gt;0,BZ328,MAX(0.1,N(Cockpit!$C$6))),CC328)/BS328,0)*BS328</f>
        <v>484</v>
      </c>
      <c r="AK328" s="58" t="n">
        <f aca="false">IF(AH328&gt;0,J328/AH328,-1)</f>
        <v>23892</v>
      </c>
      <c r="AL328" s="58" t="n">
        <f aca="false">IF(AND(OR(BY328="L1",BY328="L23"),AH328&gt;0),SUMIFS($AH$7:$AH$1843,$BY$7:$BY$1843,BY328,$AK$7:$AK$1843,"&gt;"&amp;AK328)+SUMIFS($AH$7:$AH$1843,$BY$7:$BY$1843,BY328,$AK$7:$AK$1843,AK328,$BQ$7:$BQ$1843,"&lt;="&amp;BQ328),"")</f>
        <v>3.18521333738725</v>
      </c>
      <c r="AM328" s="65" t="n">
        <f aca="false">IF(AL328="",0,MAX(0,MIN(1,(IF(BY328="L1",Parameter!$E$5,Parameter!$E$6+Parameter!$E$7)-(AL328-AH328))/AH328)))</f>
        <v>1</v>
      </c>
      <c r="AN328" s="57" t="n">
        <f aca="false">IF(LEFT(Cockpit!$I$5,1)="A",H328,IF(CA328=1,CB328,IF(LEFT(Cockpit!$I$5,1)="B",AR328,MAX(AR328,H328))))</f>
        <v>484</v>
      </c>
      <c r="AO328" s="57" t="n">
        <f aca="false">IF(BT328=1,0,ROUNDUP(AN328/BS328,0))</f>
        <v>4</v>
      </c>
      <c r="AP328" s="59" t="n">
        <f aca="false">IF(CH328&gt;0,CH328*MAX(1,AN328/X328),IF(BT328=1,IF(AN328&lt;=0,0,BW328*MAX(1,IF(H328&gt;0,AN328/H328,1))),IF(R328&gt;0,AO328/R328,0))/MAX(0.1,N(Parameter!$M$21)))</f>
        <v>0.0202020202020202</v>
      </c>
      <c r="AQ328" s="57" t="n">
        <f aca="false">AN328*G328</f>
        <v>726</v>
      </c>
      <c r="AR328" s="57" t="n">
        <f aca="false">ROUNDUP(MAX(J328/IF(BZ328&gt;0,BZ328,MAX(0.1,N(Cockpit!$I$6))),CC328)/BS328,0)*BS328</f>
        <v>484</v>
      </c>
      <c r="AS328" s="58" t="n">
        <f aca="false">IF(AP328&gt;0,J328/AP328,-1)</f>
        <v>17919</v>
      </c>
      <c r="AT328" s="58" t="n">
        <f aca="false">IF(AND(OR(BY328="L1",BY328="L23"),AP328&gt;0),SUMIFS($AP$7:$AP$1843,$BY$7:$BY$1843,BY328,$AS$7:$AS$1843,"&gt;"&amp;AS328)+SUMIFS($AP$7:$AP$1843,$BY$7:$BY$1843,BY328,$AS$7:$AS$1843,AS328,$BQ$7:$BQ$1843,"&lt;="&amp;BQ328),"")</f>
        <v>4.50412992804297</v>
      </c>
      <c r="AU328" s="65" t="n">
        <f aca="false">IF(AT328="",0,MAX(0,MIN(1,(IF(BY328="L1",Parameter!$E$5,Parameter!$E$6+Parameter!$E$7)-(AT328-AP328))/AP328)))</f>
        <v>1</v>
      </c>
      <c r="AV328" s="57" t="n">
        <f aca="false">IF(LEFT(Cockpit!$O$5,1)="A",H328,IF(CA328=1,CB328,IF(LEFT(Cockpit!$O$5,1)="B",AZ328,MAX(AZ328,H328))))</f>
        <v>484</v>
      </c>
      <c r="AW328" s="57" t="n">
        <f aca="false">IF(BT328=1,0,ROUNDUP(AV328/BS328,0))</f>
        <v>4</v>
      </c>
      <c r="AX328" s="59" t="n">
        <f aca="false">IF(CH328&gt;0,CH328*MAX(1,AV328/X328),IF(BT328=1,IF(AV328&lt;=0,0,BW328*MAX(1,IF(H328&gt;0,AV328/H328,1))),IF(R328&gt;0,AW328/R328,0))/MAX(0.1,N(Parameter!$M$21)))</f>
        <v>0.0202020202020202</v>
      </c>
      <c r="AY328" s="57" t="n">
        <f aca="false">AV328*G328</f>
        <v>726</v>
      </c>
      <c r="AZ328" s="57" t="n">
        <f aca="false">ROUNDUP(MAX(J328/IF(BZ328&gt;0,BZ328,MAX(0.1,N(Cockpit!$O$6))),CC328)/BS328,0)*BS328</f>
        <v>484</v>
      </c>
      <c r="BA328" s="58" t="n">
        <f aca="false">IF(AX328&gt;0,J328/AX328,-1)</f>
        <v>17919</v>
      </c>
      <c r="BB328" s="58" t="n">
        <f aca="false">IF(AND(OR(BY328="L1",BY328="L23"),AX328&gt;0),SUMIFS($AX$7:$AX$1843,$BY$7:$BY$1843,BY328,$BA$7:$BA$1843,"&gt;"&amp;BA328)+SUMIFS($AX$7:$AX$1843,$BY$7:$BY$1843,BY328,$BA$7:$BA$1843,BA328,$BQ$7:$BQ$1843,"&lt;="&amp;BQ328),"")</f>
        <v>4.14165906557211</v>
      </c>
      <c r="BC328" s="65" t="n">
        <f aca="false">IF(BB328="",0,MAX(0,MIN(1,(IF(BY328="L1",Parameter!$E$5,Parameter!$E$6+Parameter!$E$7)-(BB328-AX328))/AX328)))</f>
        <v>1</v>
      </c>
      <c r="BD328" s="55" t="str">
        <f aca="false">IF(AH328&lt;=0,"",IF(BY328="Aussen","Aussenlager",IF(BY328="-","Nicht im Lift",IF(AM328&gt;=1,"Lift",IF(AM328&lt;=0,"Aussenlager","teilweise")))))</f>
        <v>Lift</v>
      </c>
      <c r="BE328" s="55" t="str">
        <f aca="false">IF(AP328&lt;=0,"",IF(BY328="Aussen","Aussenlager",IF(BY328="-","Nicht im Lift",IF(AU328&gt;=1,"Lift",IF(AU328&lt;=0,"Aussenlager","teilweise")))))</f>
        <v>Lift</v>
      </c>
      <c r="BF328" s="55" t="str">
        <f aca="false">IF(AX328&lt;=0,"",IF(BY328="Aussen","Aussenlager",IF(BY328="-","Nicht im Lift",IF(BC328&gt;=1,"Lift",IF(BC328&lt;=0,"Aussenlager","teilweise")))))</f>
        <v>Lift</v>
      </c>
      <c r="BG328" s="55" t="str">
        <f aca="false">IF(A328="","",IF(BP328=1,"Neu; ","")&amp;IF(AND(BP328=0,BK328&lt;0),"negativer Bestand (Export "&amp;BK328&amp;"); ","")&amp;IF(J328&lt;=0,"Kein Verbrauch; ","")&amp;IF(CH328&gt;0,"Lift "&amp;W328&amp;" lt. Liftbericht (Fach "&amp;X328&amp;" Stk); ",IF(BU328=1,"Gebinde geschätzt ("&amp;T328&amp;"); ",IF(BT328=1,"Lose – Tablare geschätzt; ","")))&amp;IF(H328&gt;AR328,"Überbestand "&amp;ROUND(H328-AR328,0)&amp;" Stk / CHF "&amp;ROUND((H328-AR328)*G328,0)&amp;"; ","")&amp;IF(AND(CA328=1,CB328&lt;CC328),"MAX &lt; MB+LG; ","")&amp;IF(AND(CG328&gt;0,CF328*10&gt;CG328),"zu hoch für Tablar; ","")&amp;IF(AND(BP328=0,OR(CA328=1,AA328&lt;&gt;"",U328&lt;&gt;"",V328&lt;&gt;"",AB328&lt;&gt;"")),"manuell übersteuert; ","")&amp;IF(AND(BT328=0,R328=0),"Gebinde unbekannt / Stellmass fehlt; ","")&amp;IF(AND(BT328=0,N(V328)&lt;=0,N(Q328)&lt;=0),"Menge pro Gebinde fehlt (Ist = 1 Gebinde); ","")&amp;BO328)</f>
        <v/>
      </c>
      <c r="BH328" s="55"/>
      <c r="BI328" s="55"/>
      <c r="BJ328" s="62"/>
      <c r="BK328" s="57" t="n">
        <v>148</v>
      </c>
      <c r="BL328" s="57" t="n">
        <v>135</v>
      </c>
      <c r="BM328" s="56" t="n">
        <v>222</v>
      </c>
      <c r="BN328" s="57" t="n">
        <v>362</v>
      </c>
      <c r="BO328" s="55"/>
      <c r="BP328" s="60" t="n">
        <v>0</v>
      </c>
      <c r="BQ328" s="60" t="n">
        <v>328</v>
      </c>
      <c r="BR328" s="55" t="str">
        <f aca="false">IF(U328&lt;&gt;"",UPPER(TRIM(U328)),IF(BU328=1,UPPER(VLOOKUP(T328,Parameter!$I$27:$K$29,2,0)),IF(P328="","LOSE",P328)))</f>
        <v>S22</v>
      </c>
      <c r="BS328" s="57" t="n">
        <f aca="false">IF(BR328="LOSE",1,IF(N(V328)&gt;0,V328,IF(BU328=1,MAX(1,N(VLOOKUP(T328,Parameter!$I$27:$K$29,3,0)),H328,N(N328)),IF(N(Q328)&gt;0,Q328,MAX(1,H328)))))</f>
        <v>121</v>
      </c>
      <c r="BT328" s="60" t="n">
        <f aca="false">IF(BR328="LOSE",1,0)</f>
        <v>0</v>
      </c>
      <c r="BU328" s="60" t="n">
        <f aca="false">IF(AND(U328="",OR(P328="",P328="LOSE"),T328&lt;&gt;"",N(S328)&lt;=0,ISNUMBER(MATCH(T328,Parameter!$I$27:$I$29,0))),1,0)</f>
        <v>0</v>
      </c>
      <c r="BV328" s="55" t="str">
        <f aca="false">IF(AND(Parameter!$B$19="Ja",E328&lt;&gt;"",ISNUMBER(MATCH(E328,Parameter!$I$35:$I$52,0))),VLOOKUP(E328,Parameter!$I$35:$J$52,2,0),IFERROR(VLOOKUP(D328,Parameter!$A$35:$C$64,2,0),"Nein"))</f>
        <v>2+3</v>
      </c>
      <c r="BW328" s="59" t="n">
        <f aca="false">IF(BT328=0,0,IF(N(S328)&gt;0,S328,IFERROR(VLOOKUP(D328,Parameter!$A$35:$C$64,3,0)+0,0)))</f>
        <v>0</v>
      </c>
      <c r="BX328" s="55" t="n">
        <f aca="false">IF(AA328&lt;&gt;"",AA328,Z328)</f>
        <v>3</v>
      </c>
      <c r="BY328" s="55" t="str">
        <f aca="false">IF(BX328=1,"L1",IF(OR(BX328=2,BX328=3),"L23",IF(BX328="Aussen","Aussen","-")))</f>
        <v>L23</v>
      </c>
      <c r="BZ328" s="66" t="n">
        <f aca="false">IF(N(AB328)&gt;0,AB328,0)</f>
        <v>0</v>
      </c>
      <c r="CA328" s="60" t="n">
        <f aca="false">IF(ISNUMBER(AE328),1,0)</f>
        <v>0</v>
      </c>
      <c r="CB328" s="57" t="n">
        <f aca="false">N(AE328)</f>
        <v>0</v>
      </c>
      <c r="CC328" s="57" t="n">
        <f aca="false">N(M328)+N(N328)</f>
        <v>381</v>
      </c>
      <c r="CD328" s="57" t="n">
        <f aca="false">ROUNDUP(H328/BS328,0)</f>
        <v>3</v>
      </c>
      <c r="CE328" s="57" t="n">
        <f aca="false">ROUNDUP(CB328/BS328,0)</f>
        <v>0</v>
      </c>
      <c r="CF328" s="60" t="n">
        <f aca="false">IF(BT328=1,0,IFERROR(VLOOKUP(BR328,'Gebinde-Kategorie'!$A$5:$M$45,5,0)+0,0))</f>
        <v>8</v>
      </c>
      <c r="CG328" s="60" t="n">
        <f aca="false">IFERROR(IF(OR(BX328=1,BX328=2,BX328=3),N(INDEX(Parameter!$I$5:$I$7,BX328)),0),0)</f>
        <v>0</v>
      </c>
      <c r="CH328" s="59" t="n">
        <f aca="false">IF(AND(Parameter!$B$21="Ja",ISNUMBER(W328),N(X328)&gt;0),IFERROR(N(INDEX(Parameter!$L$5:$L$7,W328))*INDEX(Parameter!$E$5:$E$7,W328)*X328/SUMIFS($X$7:$X$1843,$W$7:$W$1843,W328),0),0)</f>
        <v>0</v>
      </c>
    </row>
    <row r="329" customFormat="false" ht="15" hidden="false" customHeight="false" outlineLevel="0" collapsed="false">
      <c r="A329" s="55" t="s">
        <v>820</v>
      </c>
      <c r="B329" s="55" t="s">
        <v>367</v>
      </c>
      <c r="C329" s="55" t="s">
        <v>164</v>
      </c>
      <c r="D329" s="55" t="s">
        <v>184</v>
      </c>
      <c r="E329" s="55"/>
      <c r="F329" s="55" t="s">
        <v>218</v>
      </c>
      <c r="G329" s="56" t="n">
        <v>14.67</v>
      </c>
      <c r="H329" s="57" t="n">
        <f aca="false">MAX(0,IF(AND(Parameter!$B$21="Ja",ISNUMBER(Y329)),Y329,IF(Parameter!$B$20="Jahresanfang 2025 + Export",BL329+BK329,BK329)))</f>
        <v>15</v>
      </c>
      <c r="I329" s="57" t="n">
        <f aca="false">H329*G329</f>
        <v>220.05</v>
      </c>
      <c r="J329" s="57" t="n">
        <f aca="false">BN329*Parameter!$B$18</f>
        <v>0</v>
      </c>
      <c r="K329" s="58" t="n">
        <v>0</v>
      </c>
      <c r="L329" s="59" t="n">
        <v>0</v>
      </c>
      <c r="M329" s="57" t="n">
        <v>0</v>
      </c>
      <c r="N329" s="57" t="n">
        <v>1</v>
      </c>
      <c r="O329" s="60" t="n">
        <v>9999</v>
      </c>
      <c r="P329" s="55" t="s">
        <v>168</v>
      </c>
      <c r="Q329" s="57"/>
      <c r="R329" s="60" t="n">
        <f aca="false">IF(BT329=1,0,IFERROR(VLOOKUP(BR329,'Gebinde-Kategorie'!$A$5:$M$45,13,0)+0,0))</f>
        <v>3</v>
      </c>
      <c r="S329" s="61"/>
      <c r="T329" s="62" t="s">
        <v>189</v>
      </c>
      <c r="U329" s="62"/>
      <c r="V329" s="62"/>
      <c r="W329" s="55"/>
      <c r="X329" s="57"/>
      <c r="Y329" s="57"/>
      <c r="Z329" s="55" t="n">
        <f aca="false">IF(A329="","",IF(AND(Parameter!$B$21="Ja",ISNUMBER(W329)),W329,IF(BV329="2+3",IF(ISNUMBER(SEARCH("grosser Artikel",BO329)),2,IFERROR(VLOOKUP(BR329,Parameter!$F$35:$G$64,2,0),2)),IF(OR(BV329="Nein",BV329=""),"-",BV329))))</f>
        <v>2</v>
      </c>
      <c r="AA329" s="62"/>
      <c r="AB329" s="63"/>
      <c r="AC329" s="57" t="n">
        <f aca="false">AR329</f>
        <v>15</v>
      </c>
      <c r="AD329" s="57" t="n">
        <f aca="false">MAX(AR329,H329)</f>
        <v>15</v>
      </c>
      <c r="AE329" s="64"/>
      <c r="AF329" s="57" t="n">
        <f aca="false">IF(LEFT(Cockpit!$C$5,1)="A",H329,IF(CA329=1,CB329,IF(LEFT(Cockpit!$C$5,1)="B",AJ329,MAX(AJ329,H329))))</f>
        <v>15</v>
      </c>
      <c r="AG329" s="57" t="n">
        <f aca="false">IF(BT329=1,0,ROUNDUP(AF329/BS329,0))</f>
        <v>1</v>
      </c>
      <c r="AH329" s="59" t="n">
        <f aca="false">IF(CH329&gt;0,CH329*MAX(1,AF329/X329),IF(BT329=1,IF(AF329&lt;=0,0,BW329*MAX(1,IF(H329&gt;0,AF329/H329,1))),IF(R329&gt;0,AG329/R329,0))/MAX(0.1,N(Parameter!$M$21)))</f>
        <v>0.333333333333333</v>
      </c>
      <c r="AI329" s="57" t="n">
        <f aca="false">AF329*G329</f>
        <v>220.05</v>
      </c>
      <c r="AJ329" s="57" t="n">
        <f aca="false">ROUNDUP(MAX(J329/IF(BZ329&gt;0,BZ329,MAX(0.1,N(Cockpit!$C$6))),CC329)/BS329,0)*BS329</f>
        <v>15</v>
      </c>
      <c r="AK329" s="58" t="n">
        <f aca="false">IF(AH329&gt;0,J329/AH329,-1)</f>
        <v>0</v>
      </c>
      <c r="AL329" s="58" t="n">
        <f aca="false">IF(AND(OR(BY329="L1",BY329="L23"),AH329&gt;0),SUMIFS($AH$7:$AH$1843,$BY$7:$BY$1843,BY329,$AK$7:$AK$1843,"&gt;"&amp;AK329)+SUMIFS($AH$7:$AH$1843,$BY$7:$BY$1843,BY329,$AK$7:$AK$1843,AK329,$BQ$7:$BQ$1843,"&lt;="&amp;BQ329),"")</f>
        <v>72.9916387959866</v>
      </c>
      <c r="AM329" s="65" t="n">
        <f aca="false">IF(AL329="",0,MAX(0,MIN(1,(IF(BY329="L1",Parameter!$E$5,Parameter!$E$6+Parameter!$E$7)-(AL329-AH329))/AH329)))</f>
        <v>1</v>
      </c>
      <c r="AN329" s="57" t="n">
        <f aca="false">IF(LEFT(Cockpit!$I$5,1)="A",H329,IF(CA329=1,CB329,IF(LEFT(Cockpit!$I$5,1)="B",AR329,MAX(AR329,H329))))</f>
        <v>15</v>
      </c>
      <c r="AO329" s="57" t="n">
        <f aca="false">IF(BT329=1,0,ROUNDUP(AN329/BS329,0))</f>
        <v>1</v>
      </c>
      <c r="AP329" s="59" t="n">
        <f aca="false">IF(CH329&gt;0,CH329*MAX(1,AN329/X329),IF(BT329=1,IF(AN329&lt;=0,0,BW329*MAX(1,IF(H329&gt;0,AN329/H329,1))),IF(R329&gt;0,AO329/R329,0))/MAX(0.1,N(Parameter!$M$21)))</f>
        <v>0.333333333333333</v>
      </c>
      <c r="AQ329" s="57" t="n">
        <f aca="false">AN329*G329</f>
        <v>220.05</v>
      </c>
      <c r="AR329" s="57" t="n">
        <f aca="false">ROUNDUP(MAX(J329/IF(BZ329&gt;0,BZ329,MAX(0.1,N(Cockpit!$I$6))),CC329)/BS329,0)*BS329</f>
        <v>15</v>
      </c>
      <c r="AS329" s="58" t="n">
        <f aca="false">IF(AP329&gt;0,J329/AP329,-1)</f>
        <v>0</v>
      </c>
      <c r="AT329" s="58" t="n">
        <f aca="false">IF(AND(OR(BY329="L1",BY329="L23"),AP329&gt;0),SUMIFS($AP$7:$AP$1843,$BY$7:$BY$1843,BY329,$AS$7:$AS$1843,"&gt;"&amp;AS329)+SUMIFS($AP$7:$AP$1843,$BY$7:$BY$1843,BY329,$AS$7:$AS$1843,AS329,$BQ$7:$BQ$1843,"&lt;="&amp;BQ329),"")</f>
        <v>112.41576298098</v>
      </c>
      <c r="AU329" s="65" t="n">
        <f aca="false">IF(AT329="",0,MAX(0,MIN(1,(IF(BY329="L1",Parameter!$E$5,Parameter!$E$6+Parameter!$E$7)-(AT329-AP329))/AP329)))</f>
        <v>0</v>
      </c>
      <c r="AV329" s="57" t="n">
        <f aca="false">IF(LEFT(Cockpit!$O$5,1)="A",H329,IF(CA329=1,CB329,IF(LEFT(Cockpit!$O$5,1)="B",AZ329,MAX(AZ329,H329))))</f>
        <v>15</v>
      </c>
      <c r="AW329" s="57" t="n">
        <f aca="false">IF(BT329=1,0,ROUNDUP(AV329/BS329,0))</f>
        <v>1</v>
      </c>
      <c r="AX329" s="59" t="n">
        <f aca="false">IF(CH329&gt;0,CH329*MAX(1,AV329/X329),IF(BT329=1,IF(AV329&lt;=0,0,BW329*MAX(1,IF(H329&gt;0,AV329/H329,1))),IF(R329&gt;0,AW329/R329,0))/MAX(0.1,N(Parameter!$M$21)))</f>
        <v>0.333333333333333</v>
      </c>
      <c r="AY329" s="57" t="n">
        <f aca="false">AV329*G329</f>
        <v>220.05</v>
      </c>
      <c r="AZ329" s="57" t="n">
        <f aca="false">ROUNDUP(MAX(J329/IF(BZ329&gt;0,BZ329,MAX(0.1,N(Cockpit!$O$6))),CC329)/BS329,0)*BS329</f>
        <v>15</v>
      </c>
      <c r="BA329" s="58" t="n">
        <f aca="false">IF(AX329&gt;0,J329/AX329,-1)</f>
        <v>0</v>
      </c>
      <c r="BB329" s="58" t="n">
        <f aca="false">IF(AND(OR(BY329="L1",BY329="L23"),AX329&gt;0),SUMIFS($AX$7:$AX$1843,$BY$7:$BY$1843,BY329,$BA$7:$BA$1843,"&gt;"&amp;BA329)+SUMIFS($AX$7:$AX$1843,$BY$7:$BY$1843,BY329,$BA$7:$BA$1843,BA329,$BQ$7:$BQ$1843,"&lt;="&amp;BQ329),"")</f>
        <v>103.245599810817</v>
      </c>
      <c r="BC329" s="65" t="n">
        <f aca="false">IF(BB329="",0,MAX(0,MIN(1,(IF(BY329="L1",Parameter!$E$5,Parameter!$E$6+Parameter!$E$7)-(BB329-AX329))/AX329)))</f>
        <v>0</v>
      </c>
      <c r="BD329" s="55" t="str">
        <f aca="false">IF(AH329&lt;=0,"",IF(BY329="Aussen","Aussenlager",IF(BY329="-","Nicht im Lift",IF(AM329&gt;=1,"Lift",IF(AM329&lt;=0,"Aussenlager","teilweise")))))</f>
        <v>Lift</v>
      </c>
      <c r="BE329" s="55" t="str">
        <f aca="false">IF(AP329&lt;=0,"",IF(BY329="Aussen","Aussenlager",IF(BY329="-","Nicht im Lift",IF(AU329&gt;=1,"Lift",IF(AU329&lt;=0,"Aussenlager","teilweise")))))</f>
        <v>Aussenlager</v>
      </c>
      <c r="BF329" s="55" t="str">
        <f aca="false">IF(AX329&lt;=0,"",IF(BY329="Aussen","Aussenlager",IF(BY329="-","Nicht im Lift",IF(BC329&gt;=1,"Lift",IF(BC329&lt;=0,"Aussenlager","teilweise")))))</f>
        <v>Aussenlager</v>
      </c>
      <c r="BG329" s="55" t="str">
        <f aca="false">IF(A329="","",IF(BP329=1,"Neu; ","")&amp;IF(AND(BP329=0,BK329&lt;0),"negativer Bestand (Export "&amp;BK329&amp;"); ","")&amp;IF(J329&lt;=0,"Kein Verbrauch; ","")&amp;IF(CH329&gt;0,"Lift "&amp;W329&amp;" lt. Liftbericht (Fach "&amp;X329&amp;" Stk); ",IF(BU329=1,"Gebinde geschätzt ("&amp;T329&amp;"); ",IF(BT329=1,"Lose – Tablare geschätzt; ","")))&amp;IF(H329&gt;AR329,"Überbestand "&amp;ROUND(H329-AR329,0)&amp;" Stk / CHF "&amp;ROUND((H329-AR329)*G329,0)&amp;"; ","")&amp;IF(AND(CA329=1,CB329&lt;CC329),"MAX &lt; MB+LG; ","")&amp;IF(AND(CG329&gt;0,CF329*10&gt;CG329),"zu hoch für Tablar; ","")&amp;IF(AND(BP329=0,OR(CA329=1,AA329&lt;&gt;"",U329&lt;&gt;"",V329&lt;&gt;"",AB329&lt;&gt;"")),"manuell übersteuert; ","")&amp;IF(AND(BT329=0,R329=0),"Gebinde unbekannt / Stellmass fehlt; ","")&amp;IF(AND(BT329=0,N(V329)&lt;=0,N(Q329)&lt;=0),"Menge pro Gebinde fehlt (Ist = 1 Gebinde); ","")&amp;BO329)</f>
        <v>Kein Verbrauch; Gebinde geschätzt (Gross); Menge pro Gebinde fehlt (Ist = 1 Gebinde); </v>
      </c>
      <c r="BH329" s="55"/>
      <c r="BI329" s="55"/>
      <c r="BJ329" s="62"/>
      <c r="BK329" s="57" t="n">
        <v>15</v>
      </c>
      <c r="BL329" s="57" t="n">
        <v>0</v>
      </c>
      <c r="BM329" s="56" t="n">
        <v>220.05</v>
      </c>
      <c r="BN329" s="57" t="n">
        <v>0</v>
      </c>
      <c r="BO329" s="55"/>
      <c r="BP329" s="60" t="n">
        <v>0</v>
      </c>
      <c r="BQ329" s="60" t="n">
        <v>329</v>
      </c>
      <c r="BR329" s="55" t="str">
        <f aca="false">IF(U329&lt;&gt;"",UPPER(TRIM(U329)),IF(BU329=1,UPPER(VLOOKUP(T329,Parameter!$I$27:$K$29,2,0)),IF(P329="","LOSE",P329)))</f>
        <v>S81</v>
      </c>
      <c r="BS329" s="57" t="n">
        <f aca="false">IF(BR329="LOSE",1,IF(N(V329)&gt;0,V329,IF(BU329=1,MAX(1,N(VLOOKUP(T329,Parameter!$I$27:$K$29,3,0)),H329,N(N329)),IF(N(Q329)&gt;0,Q329,MAX(1,H329)))))</f>
        <v>15</v>
      </c>
      <c r="BT329" s="60" t="n">
        <f aca="false">IF(BR329="LOSE",1,0)</f>
        <v>0</v>
      </c>
      <c r="BU329" s="60" t="n">
        <f aca="false">IF(AND(U329="",OR(P329="",P329="LOSE"),T329&lt;&gt;"",N(S329)&lt;=0,ISNUMBER(MATCH(T329,Parameter!$I$27:$I$29,0))),1,0)</f>
        <v>1</v>
      </c>
      <c r="BV329" s="55" t="str">
        <f aca="false">IF(AND(Parameter!$B$19="Ja",E329&lt;&gt;"",ISNUMBER(MATCH(E329,Parameter!$I$35:$I$52,0))),VLOOKUP(E329,Parameter!$I$35:$J$52,2,0),IFERROR(VLOOKUP(D329,Parameter!$A$35:$C$64,2,0),"Nein"))</f>
        <v>2+3</v>
      </c>
      <c r="BW329" s="59" t="n">
        <f aca="false">IF(BT329=0,0,IF(N(S329)&gt;0,S329,IFERROR(VLOOKUP(D329,Parameter!$A$35:$C$64,3,0)+0,0)))</f>
        <v>0</v>
      </c>
      <c r="BX329" s="55" t="n">
        <f aca="false">IF(AA329&lt;&gt;"",AA329,Z329)</f>
        <v>2</v>
      </c>
      <c r="BY329" s="55" t="str">
        <f aca="false">IF(BX329=1,"L1",IF(OR(BX329=2,BX329=3),"L23",IF(BX329="Aussen","Aussen","-")))</f>
        <v>L23</v>
      </c>
      <c r="BZ329" s="66" t="n">
        <f aca="false">IF(N(AB329)&gt;0,AB329,0)</f>
        <v>0</v>
      </c>
      <c r="CA329" s="60" t="n">
        <f aca="false">IF(ISNUMBER(AE329),1,0)</f>
        <v>0</v>
      </c>
      <c r="CB329" s="57" t="n">
        <f aca="false">N(AE329)</f>
        <v>0</v>
      </c>
      <c r="CC329" s="57" t="n">
        <f aca="false">N(M329)+N(N329)</f>
        <v>1</v>
      </c>
      <c r="CD329" s="57" t="n">
        <f aca="false">ROUNDUP(H329/BS329,0)</f>
        <v>1</v>
      </c>
      <c r="CE329" s="57" t="n">
        <f aca="false">ROUNDUP(CB329/BS329,0)</f>
        <v>0</v>
      </c>
      <c r="CF329" s="60" t="n">
        <f aca="false">IF(BT329=1,0,IFERROR(VLOOKUP(BR329,'Gebinde-Kategorie'!$A$5:$M$45,5,0)+0,0))</f>
        <v>20</v>
      </c>
      <c r="CG329" s="60" t="n">
        <f aca="false">IFERROR(IF(OR(BX329=1,BX329=2,BX329=3),N(INDEX(Parameter!$I$5:$I$7,BX329)),0),0)</f>
        <v>0</v>
      </c>
      <c r="CH329" s="59" t="n">
        <f aca="false">IF(AND(Parameter!$B$21="Ja",ISNUMBER(W329),N(X329)&gt;0),IFERROR(N(INDEX(Parameter!$L$5:$L$7,W329))*INDEX(Parameter!$E$5:$E$7,W329)*X329/SUMIFS($X$7:$X$1843,$W$7:$W$1843,W329),0),0)</f>
        <v>0</v>
      </c>
    </row>
    <row r="330" customFormat="false" ht="15" hidden="false" customHeight="false" outlineLevel="0" collapsed="false">
      <c r="A330" s="55" t="s">
        <v>821</v>
      </c>
      <c r="B330" s="55" t="s">
        <v>822</v>
      </c>
      <c r="C330" s="55" t="s">
        <v>164</v>
      </c>
      <c r="D330" s="55" t="s">
        <v>173</v>
      </c>
      <c r="E330" s="55" t="s">
        <v>185</v>
      </c>
      <c r="F330" s="55" t="s">
        <v>218</v>
      </c>
      <c r="G330" s="56" t="n">
        <v>9.51</v>
      </c>
      <c r="H330" s="57" t="n">
        <f aca="false">MAX(0,IF(AND(Parameter!$B$21="Ja",ISNUMBER(Y330)),Y330,IF(Parameter!$B$20="Jahresanfang 2025 + Export",BL330+BK330,BK330)))</f>
        <v>52</v>
      </c>
      <c r="I330" s="57" t="n">
        <f aca="false">H330*G330</f>
        <v>494.52</v>
      </c>
      <c r="J330" s="57" t="n">
        <f aca="false">BN330*Parameter!$B$18</f>
        <v>142</v>
      </c>
      <c r="K330" s="58" t="n">
        <v>36</v>
      </c>
      <c r="L330" s="59" t="n">
        <v>3.94444444444445</v>
      </c>
      <c r="M330" s="57" t="n">
        <v>5</v>
      </c>
      <c r="N330" s="57" t="n">
        <v>30</v>
      </c>
      <c r="O330" s="60" t="n">
        <v>14</v>
      </c>
      <c r="P330" s="55" t="s">
        <v>226</v>
      </c>
      <c r="Q330" s="57" t="n">
        <v>171</v>
      </c>
      <c r="R330" s="60" t="n">
        <f aca="false">IF(BT330=1,0,IFERROR(VLOOKUP(BR330,'Gebinde-Kategorie'!$A$5:$M$45,13,0)+0,0))</f>
        <v>12</v>
      </c>
      <c r="S330" s="61"/>
      <c r="T330" s="62"/>
      <c r="U330" s="62"/>
      <c r="V330" s="62"/>
      <c r="W330" s="55"/>
      <c r="X330" s="57"/>
      <c r="Y330" s="57"/>
      <c r="Z330" s="55" t="n">
        <f aca="false">IF(A330="","",IF(AND(Parameter!$B$21="Ja",ISNUMBER(W330)),W330,IF(BV330="2+3",IF(ISNUMBER(SEARCH("grosser Artikel",BO330)),2,IFERROR(VLOOKUP(BR330,Parameter!$F$35:$G$64,2,0),2)),IF(OR(BV330="Nein",BV330=""),"-",BV330))))</f>
        <v>2</v>
      </c>
      <c r="AA330" s="62"/>
      <c r="AB330" s="63"/>
      <c r="AC330" s="57" t="n">
        <f aca="false">AR330</f>
        <v>171</v>
      </c>
      <c r="AD330" s="57" t="n">
        <f aca="false">MAX(AR330,H330)</f>
        <v>171</v>
      </c>
      <c r="AE330" s="64"/>
      <c r="AF330" s="57" t="n">
        <f aca="false">IF(LEFT(Cockpit!$C$5,1)="A",H330,IF(CA330=1,CB330,IF(LEFT(Cockpit!$C$5,1)="B",AJ330,MAX(AJ330,H330))))</f>
        <v>52</v>
      </c>
      <c r="AG330" s="57" t="n">
        <f aca="false">IF(BT330=1,0,ROUNDUP(AF330/BS330,0))</f>
        <v>1</v>
      </c>
      <c r="AH330" s="59" t="n">
        <f aca="false">IF(CH330&gt;0,CH330*MAX(1,AF330/X330),IF(BT330=1,IF(AF330&lt;=0,0,BW330*MAX(1,IF(H330&gt;0,AF330/H330,1))),IF(R330&gt;0,AG330/R330,0))/MAX(0.1,N(Parameter!$M$21)))</f>
        <v>0.0833333333333333</v>
      </c>
      <c r="AI330" s="57" t="n">
        <f aca="false">AF330*G330</f>
        <v>494.52</v>
      </c>
      <c r="AJ330" s="57" t="n">
        <f aca="false">ROUNDUP(MAX(J330/IF(BZ330&gt;0,BZ330,MAX(0.1,N(Cockpit!$C$6))),CC330)/BS330,0)*BS330</f>
        <v>171</v>
      </c>
      <c r="AK330" s="58" t="n">
        <f aca="false">IF(AH330&gt;0,J330/AH330,-1)</f>
        <v>1704</v>
      </c>
      <c r="AL330" s="58" t="n">
        <f aca="false">IF(AND(OR(BY330="L1",BY330="L23"),AH330&gt;0),SUMIFS($AH$7:$AH$1843,$BY$7:$BY$1843,BY330,$AK$7:$AK$1843,"&gt;"&amp;AK330)+SUMIFS($AH$7:$AH$1843,$BY$7:$BY$1843,BY330,$AK$7:$AK$1843,AK330,$BQ$7:$BQ$1843,"&lt;="&amp;BQ330),"")</f>
        <v>15.2513935340022</v>
      </c>
      <c r="AM330" s="65" t="n">
        <f aca="false">IF(AL330="",0,MAX(0,MIN(1,(IF(BY330="L1",Parameter!$E$5,Parameter!$E$6+Parameter!$E$7)-(AL330-AH330))/AH330)))</f>
        <v>1</v>
      </c>
      <c r="AN330" s="57" t="n">
        <f aca="false">IF(LEFT(Cockpit!$I$5,1)="A",H330,IF(CA330=1,CB330,IF(LEFT(Cockpit!$I$5,1)="B",AR330,MAX(AR330,H330))))</f>
        <v>171</v>
      </c>
      <c r="AO330" s="57" t="n">
        <f aca="false">IF(BT330=1,0,ROUNDUP(AN330/BS330,0))</f>
        <v>1</v>
      </c>
      <c r="AP330" s="59" t="n">
        <f aca="false">IF(CH330&gt;0,CH330*MAX(1,AN330/X330),IF(BT330=1,IF(AN330&lt;=0,0,BW330*MAX(1,IF(H330&gt;0,AN330/H330,1))),IF(R330&gt;0,AO330/R330,0))/MAX(0.1,N(Parameter!$M$21)))</f>
        <v>0.0833333333333333</v>
      </c>
      <c r="AQ330" s="57" t="n">
        <f aca="false">AN330*G330</f>
        <v>1626.21</v>
      </c>
      <c r="AR330" s="57" t="n">
        <f aca="false">ROUNDUP(MAX(J330/IF(BZ330&gt;0,BZ330,MAX(0.1,N(Cockpit!$I$6))),CC330)/BS330,0)*BS330</f>
        <v>171</v>
      </c>
      <c r="AS330" s="58" t="n">
        <f aca="false">IF(AP330&gt;0,J330/AP330,-1)</f>
        <v>1704</v>
      </c>
      <c r="AT330" s="58" t="n">
        <f aca="false">IF(AND(OR(BY330="L1",BY330="L23"),AP330&gt;0),SUMIFS($AP$7:$AP$1843,$BY$7:$BY$1843,BY330,$AS$7:$AS$1843,"&gt;"&amp;AS330)+SUMIFS($AP$7:$AP$1843,$BY$7:$BY$1843,BY330,$AS$7:$AS$1843,AS330,$BQ$7:$BQ$1843,"&lt;="&amp;BQ330),"")</f>
        <v>19.8595486638965</v>
      </c>
      <c r="AU330" s="65" t="n">
        <f aca="false">IF(AT330="",0,MAX(0,MIN(1,(IF(BY330="L1",Parameter!$E$5,Parameter!$E$6+Parameter!$E$7)-(AT330-AP330))/AP330)))</f>
        <v>1</v>
      </c>
      <c r="AV330" s="57" t="n">
        <f aca="false">IF(LEFT(Cockpit!$O$5,1)="A",H330,IF(CA330=1,CB330,IF(LEFT(Cockpit!$O$5,1)="B",AZ330,MAX(AZ330,H330))))</f>
        <v>171</v>
      </c>
      <c r="AW330" s="57" t="n">
        <f aca="false">IF(BT330=1,0,ROUNDUP(AV330/BS330,0))</f>
        <v>1</v>
      </c>
      <c r="AX330" s="59" t="n">
        <f aca="false">IF(CH330&gt;0,CH330*MAX(1,AV330/X330),IF(BT330=1,IF(AV330&lt;=0,0,BW330*MAX(1,IF(H330&gt;0,AV330/H330,1))),IF(R330&gt;0,AW330/R330,0))/MAX(0.1,N(Parameter!$M$21)))</f>
        <v>0.0833333333333333</v>
      </c>
      <c r="AY330" s="57" t="n">
        <f aca="false">AV330*G330</f>
        <v>1626.21</v>
      </c>
      <c r="AZ330" s="57" t="n">
        <f aca="false">ROUNDUP(MAX(J330/IF(BZ330&gt;0,BZ330,MAX(0.1,N(Cockpit!$O$6))),CC330)/BS330,0)*BS330</f>
        <v>171</v>
      </c>
      <c r="BA330" s="58" t="n">
        <f aca="false">IF(AX330&gt;0,J330/AX330,-1)</f>
        <v>1704</v>
      </c>
      <c r="BB330" s="58" t="n">
        <f aca="false">IF(AND(OR(BY330="L1",BY330="L23"),AX330&gt;0),SUMIFS($AX$7:$AX$1843,$BY$7:$BY$1843,BY330,$BA$7:$BA$1843,"&gt;"&amp;BA330)+SUMIFS($AX$7:$AX$1843,$BY$7:$BY$1843,BY330,$BA$7:$BA$1843,BA330,$BQ$7:$BQ$1843,"&lt;="&amp;BQ330),"")</f>
        <v>18.7214367757846</v>
      </c>
      <c r="BC330" s="65" t="n">
        <f aca="false">IF(BB330="",0,MAX(0,MIN(1,(IF(BY330="L1",Parameter!$E$5,Parameter!$E$6+Parameter!$E$7)-(BB330-AX330))/AX330)))</f>
        <v>1</v>
      </c>
      <c r="BD330" s="55" t="str">
        <f aca="false">IF(AH330&lt;=0,"",IF(BY330="Aussen","Aussenlager",IF(BY330="-","Nicht im Lift",IF(AM330&gt;=1,"Lift",IF(AM330&lt;=0,"Aussenlager","teilweise")))))</f>
        <v>Lift</v>
      </c>
      <c r="BE330" s="55" t="str">
        <f aca="false">IF(AP330&lt;=0,"",IF(BY330="Aussen","Aussenlager",IF(BY330="-","Nicht im Lift",IF(AU330&gt;=1,"Lift",IF(AU330&lt;=0,"Aussenlager","teilweise")))))</f>
        <v>Lift</v>
      </c>
      <c r="BF330" s="55" t="str">
        <f aca="false">IF(AX330&lt;=0,"",IF(BY330="Aussen","Aussenlager",IF(BY330="-","Nicht im Lift",IF(BC330&gt;=1,"Lift",IF(BC330&lt;=0,"Aussenlager","teilweise")))))</f>
        <v>Lift</v>
      </c>
      <c r="BG330" s="55" t="str">
        <f aca="false">IF(A330="","",IF(BP330=1,"Neu; ","")&amp;IF(AND(BP330=0,BK330&lt;0),"negativer Bestand (Export "&amp;BK330&amp;"); ","")&amp;IF(J330&lt;=0,"Kein Verbrauch; ","")&amp;IF(CH330&gt;0,"Lift "&amp;W330&amp;" lt. Liftbericht (Fach "&amp;X330&amp;" Stk); ",IF(BU330=1,"Gebinde geschätzt ("&amp;T330&amp;"); ",IF(BT330=1,"Lose – Tablare geschätzt; ","")))&amp;IF(H330&gt;AR330,"Überbestand "&amp;ROUND(H330-AR330,0)&amp;" Stk / CHF "&amp;ROUND((H330-AR330)*G330,0)&amp;"; ","")&amp;IF(AND(CA330=1,CB330&lt;CC330),"MAX &lt; MB+LG; ","")&amp;IF(AND(CG330&gt;0,CF330*10&gt;CG330),"zu hoch für Tablar; ","")&amp;IF(AND(BP330=0,OR(CA330=1,AA330&lt;&gt;"",U330&lt;&gt;"",V330&lt;&gt;"",AB330&lt;&gt;"")),"manuell übersteuert; ","")&amp;IF(AND(BT330=0,R330=0),"Gebinde unbekannt / Stellmass fehlt; ","")&amp;IF(AND(BT330=0,N(V330)&lt;=0,N(Q330)&lt;=0),"Menge pro Gebinde fehlt (Ist = 1 Gebinde); ","")&amp;BO330)</f>
        <v/>
      </c>
      <c r="BH330" s="55"/>
      <c r="BI330" s="55"/>
      <c r="BJ330" s="62"/>
      <c r="BK330" s="57" t="n">
        <v>22</v>
      </c>
      <c r="BL330" s="57" t="n">
        <v>30</v>
      </c>
      <c r="BM330" s="56" t="n">
        <v>217.62</v>
      </c>
      <c r="BN330" s="57" t="n">
        <v>142</v>
      </c>
      <c r="BO330" s="55"/>
      <c r="BP330" s="60" t="n">
        <v>0</v>
      </c>
      <c r="BQ330" s="60" t="n">
        <v>330</v>
      </c>
      <c r="BR330" s="55" t="str">
        <f aca="false">IF(U330&lt;&gt;"",UPPER(TRIM(U330)),IF(BU330=1,UPPER(VLOOKUP(T330,Parameter!$I$27:$K$29,2,0)),IF(P330="","LOSE",P330)))</f>
        <v>S63</v>
      </c>
      <c r="BS330" s="57" t="n">
        <f aca="false">IF(BR330="LOSE",1,IF(N(V330)&gt;0,V330,IF(BU330=1,MAX(1,N(VLOOKUP(T330,Parameter!$I$27:$K$29,3,0)),H330,N(N330)),IF(N(Q330)&gt;0,Q330,MAX(1,H330)))))</f>
        <v>171</v>
      </c>
      <c r="BT330" s="60" t="n">
        <f aca="false">IF(BR330="LOSE",1,0)</f>
        <v>0</v>
      </c>
      <c r="BU330" s="60" t="n">
        <f aca="false">IF(AND(U330="",OR(P330="",P330="LOSE"),T330&lt;&gt;"",N(S330)&lt;=0,ISNUMBER(MATCH(T330,Parameter!$I$27:$I$29,0))),1,0)</f>
        <v>0</v>
      </c>
      <c r="BV330" s="55" t="str">
        <f aca="false">IF(AND(Parameter!$B$19="Ja",E330&lt;&gt;"",ISNUMBER(MATCH(E330,Parameter!$I$35:$I$52,0))),VLOOKUP(E330,Parameter!$I$35:$J$52,2,0),IFERROR(VLOOKUP(D330,Parameter!$A$35:$C$64,2,0),"Nein"))</f>
        <v>2+3</v>
      </c>
      <c r="BW330" s="59" t="n">
        <f aca="false">IF(BT330=0,0,IF(N(S330)&gt;0,S330,IFERROR(VLOOKUP(D330,Parameter!$A$35:$C$64,3,0)+0,0)))</f>
        <v>0</v>
      </c>
      <c r="BX330" s="55" t="n">
        <f aca="false">IF(AA330&lt;&gt;"",AA330,Z330)</f>
        <v>2</v>
      </c>
      <c r="BY330" s="55" t="str">
        <f aca="false">IF(BX330=1,"L1",IF(OR(BX330=2,BX330=3),"L23",IF(BX330="Aussen","Aussen","-")))</f>
        <v>L23</v>
      </c>
      <c r="BZ330" s="66" t="n">
        <f aca="false">IF(N(AB330)&gt;0,AB330,0)</f>
        <v>0</v>
      </c>
      <c r="CA330" s="60" t="n">
        <f aca="false">IF(ISNUMBER(AE330),1,0)</f>
        <v>0</v>
      </c>
      <c r="CB330" s="57" t="n">
        <f aca="false">N(AE330)</f>
        <v>0</v>
      </c>
      <c r="CC330" s="57" t="n">
        <f aca="false">N(M330)+N(N330)</f>
        <v>35</v>
      </c>
      <c r="CD330" s="57" t="n">
        <f aca="false">ROUNDUP(H330/BS330,0)</f>
        <v>1</v>
      </c>
      <c r="CE330" s="57" t="n">
        <f aca="false">ROUNDUP(CB330/BS330,0)</f>
        <v>0</v>
      </c>
      <c r="CF330" s="60" t="n">
        <f aca="false">IF(BT330=1,0,IFERROR(VLOOKUP(BR330,'Gebinde-Kategorie'!$A$5:$M$45,5,0)+0,0))</f>
        <v>31</v>
      </c>
      <c r="CG330" s="60" t="n">
        <f aca="false">IFERROR(IF(OR(BX330=1,BX330=2,BX330=3),N(INDEX(Parameter!$I$5:$I$7,BX330)),0),0)</f>
        <v>0</v>
      </c>
      <c r="CH330" s="59" t="n">
        <f aca="false">IF(AND(Parameter!$B$21="Ja",ISNUMBER(W330),N(X330)&gt;0),IFERROR(N(INDEX(Parameter!$L$5:$L$7,W330))*INDEX(Parameter!$E$5:$E$7,W330)*X330/SUMIFS($X$7:$X$1843,$W$7:$W$1843,W330),0),0)</f>
        <v>0</v>
      </c>
    </row>
    <row r="331" customFormat="false" ht="15" hidden="false" customHeight="false" outlineLevel="0" collapsed="false">
      <c r="A331" s="55" t="s">
        <v>823</v>
      </c>
      <c r="B331" s="55" t="s">
        <v>824</v>
      </c>
      <c r="C331" s="55" t="s">
        <v>164</v>
      </c>
      <c r="D331" s="55" t="s">
        <v>184</v>
      </c>
      <c r="E331" s="55"/>
      <c r="F331" s="55" t="s">
        <v>218</v>
      </c>
      <c r="G331" s="56" t="n">
        <v>0.5</v>
      </c>
      <c r="H331" s="57" t="n">
        <f aca="false">MAX(0,IF(AND(Parameter!$B$21="Ja",ISNUMBER(Y331)),Y331,IF(Parameter!$B$20="Jahresanfang 2025 + Export",BL331+BK331,BK331)))</f>
        <v>497</v>
      </c>
      <c r="I331" s="57" t="n">
        <f aca="false">H331*G331</f>
        <v>248.5</v>
      </c>
      <c r="J331" s="57" t="n">
        <f aca="false">BN331*Parameter!$B$18</f>
        <v>0</v>
      </c>
      <c r="K331" s="58" t="n">
        <v>345.5</v>
      </c>
      <c r="L331" s="59" t="n">
        <v>0</v>
      </c>
      <c r="M331" s="57" t="n">
        <v>9</v>
      </c>
      <c r="N331" s="57" t="n">
        <v>250</v>
      </c>
      <c r="O331" s="60" t="n">
        <v>14</v>
      </c>
      <c r="P331" s="55" t="s">
        <v>421</v>
      </c>
      <c r="Q331" s="57" t="n">
        <v>600</v>
      </c>
      <c r="R331" s="60" t="n">
        <f aca="false">IF(BT331=1,0,IFERROR(VLOOKUP(BR331,'Gebinde-Kategorie'!$A$5:$M$45,13,0)+0,0))</f>
        <v>132</v>
      </c>
      <c r="S331" s="61"/>
      <c r="T331" s="62"/>
      <c r="U331" s="62"/>
      <c r="V331" s="62"/>
      <c r="W331" s="55"/>
      <c r="X331" s="57"/>
      <c r="Y331" s="57"/>
      <c r="Z331" s="55" t="n">
        <f aca="false">IF(A331="","",IF(AND(Parameter!$B$21="Ja",ISNUMBER(W331)),W331,IF(BV331="2+3",IF(ISNUMBER(SEARCH("grosser Artikel",BO331)),2,IFERROR(VLOOKUP(BR331,Parameter!$F$35:$G$64,2,0),2)),IF(OR(BV331="Nein",BV331=""),"-",BV331))))</f>
        <v>3</v>
      </c>
      <c r="AA331" s="62"/>
      <c r="AB331" s="63"/>
      <c r="AC331" s="57" t="n">
        <f aca="false">AR331</f>
        <v>600</v>
      </c>
      <c r="AD331" s="57" t="n">
        <f aca="false">MAX(AR331,H331)</f>
        <v>600</v>
      </c>
      <c r="AE331" s="64"/>
      <c r="AF331" s="57" t="n">
        <f aca="false">IF(LEFT(Cockpit!$C$5,1)="A",H331,IF(CA331=1,CB331,IF(LEFT(Cockpit!$C$5,1)="B",AJ331,MAX(AJ331,H331))))</f>
        <v>497</v>
      </c>
      <c r="AG331" s="57" t="n">
        <f aca="false">IF(BT331=1,0,ROUNDUP(AF331/BS331,0))</f>
        <v>1</v>
      </c>
      <c r="AH331" s="59" t="n">
        <f aca="false">IF(CH331&gt;0,CH331*MAX(1,AF331/X331),IF(BT331=1,IF(AF331&lt;=0,0,BW331*MAX(1,IF(H331&gt;0,AF331/H331,1))),IF(R331&gt;0,AG331/R331,0))/MAX(0.1,N(Parameter!$M$21)))</f>
        <v>0.00757575757575758</v>
      </c>
      <c r="AI331" s="57" t="n">
        <f aca="false">AF331*G331</f>
        <v>248.5</v>
      </c>
      <c r="AJ331" s="57" t="n">
        <f aca="false">ROUNDUP(MAX(J331/IF(BZ331&gt;0,BZ331,MAX(0.1,N(Cockpit!$C$6))),CC331)/BS331,0)*BS331</f>
        <v>600</v>
      </c>
      <c r="AK331" s="58" t="n">
        <f aca="false">IF(AH331&gt;0,J331/AH331,-1)</f>
        <v>0</v>
      </c>
      <c r="AL331" s="58" t="n">
        <f aca="false">IF(AND(OR(BY331="L1",BY331="L23"),AH331&gt;0),SUMIFS($AH$7:$AH$1843,$BY$7:$BY$1843,BY331,$AK$7:$AK$1843,"&gt;"&amp;AK331)+SUMIFS($AH$7:$AH$1843,$BY$7:$BY$1843,BY331,$AK$7:$AK$1843,AK331,$BQ$7:$BQ$1843,"&lt;="&amp;BQ331),"")</f>
        <v>72.9992145535624</v>
      </c>
      <c r="AM331" s="65" t="n">
        <f aca="false">IF(AL331="",0,MAX(0,MIN(1,(IF(BY331="L1",Parameter!$E$5,Parameter!$E$6+Parameter!$E$7)-(AL331-AH331))/AH331)))</f>
        <v>1</v>
      </c>
      <c r="AN331" s="57" t="n">
        <f aca="false">IF(LEFT(Cockpit!$I$5,1)="A",H331,IF(CA331=1,CB331,IF(LEFT(Cockpit!$I$5,1)="B",AR331,MAX(AR331,H331))))</f>
        <v>600</v>
      </c>
      <c r="AO331" s="57" t="n">
        <f aca="false">IF(BT331=1,0,ROUNDUP(AN331/BS331,0))</f>
        <v>1</v>
      </c>
      <c r="AP331" s="59" t="n">
        <f aca="false">IF(CH331&gt;0,CH331*MAX(1,AN331/X331),IF(BT331=1,IF(AN331&lt;=0,0,BW331*MAX(1,IF(H331&gt;0,AN331/H331,1))),IF(R331&gt;0,AO331/R331,0))/MAX(0.1,N(Parameter!$M$21)))</f>
        <v>0.00757575757575758</v>
      </c>
      <c r="AQ331" s="57" t="n">
        <f aca="false">AN331*G331</f>
        <v>300</v>
      </c>
      <c r="AR331" s="57" t="n">
        <f aca="false">ROUNDUP(MAX(J331/IF(BZ331&gt;0,BZ331,MAX(0.1,N(Cockpit!$I$6))),CC331)/BS331,0)*BS331</f>
        <v>600</v>
      </c>
      <c r="AS331" s="58" t="n">
        <f aca="false">IF(AP331&gt;0,J331/AP331,-1)</f>
        <v>0</v>
      </c>
      <c r="AT331" s="58" t="n">
        <f aca="false">IF(AND(OR(BY331="L1",BY331="L23"),AP331&gt;0),SUMIFS($AP$7:$AP$1843,$BY$7:$BY$1843,BY331,$AS$7:$AS$1843,"&gt;"&amp;AS331)+SUMIFS($AP$7:$AP$1843,$BY$7:$BY$1843,BY331,$AS$7:$AS$1843,AS331,$BQ$7:$BQ$1843,"&lt;="&amp;BQ331),"")</f>
        <v>112.423338738556</v>
      </c>
      <c r="AU331" s="65" t="n">
        <f aca="false">IF(AT331="",0,MAX(0,MIN(1,(IF(BY331="L1",Parameter!$E$5,Parameter!$E$6+Parameter!$E$7)-(AT331-AP331))/AP331)))</f>
        <v>0</v>
      </c>
      <c r="AV331" s="57" t="n">
        <f aca="false">IF(LEFT(Cockpit!$O$5,1)="A",H331,IF(CA331=1,CB331,IF(LEFT(Cockpit!$O$5,1)="B",AZ331,MAX(AZ331,H331))))</f>
        <v>600</v>
      </c>
      <c r="AW331" s="57" t="n">
        <f aca="false">IF(BT331=1,0,ROUNDUP(AV331/BS331,0))</f>
        <v>1</v>
      </c>
      <c r="AX331" s="59" t="n">
        <f aca="false">IF(CH331&gt;0,CH331*MAX(1,AV331/X331),IF(BT331=1,IF(AV331&lt;=0,0,BW331*MAX(1,IF(H331&gt;0,AV331/H331,1))),IF(R331&gt;0,AW331/R331,0))/MAX(0.1,N(Parameter!$M$21)))</f>
        <v>0.00757575757575758</v>
      </c>
      <c r="AY331" s="57" t="n">
        <f aca="false">AV331*G331</f>
        <v>300</v>
      </c>
      <c r="AZ331" s="57" t="n">
        <f aca="false">ROUNDUP(MAX(J331/IF(BZ331&gt;0,BZ331,MAX(0.1,N(Cockpit!$O$6))),CC331)/BS331,0)*BS331</f>
        <v>600</v>
      </c>
      <c r="BA331" s="58" t="n">
        <f aca="false">IF(AX331&gt;0,J331/AX331,-1)</f>
        <v>0</v>
      </c>
      <c r="BB331" s="58" t="n">
        <f aca="false">IF(AND(OR(BY331="L1",BY331="L23"),AX331&gt;0),SUMIFS($AX$7:$AX$1843,$BY$7:$BY$1843,BY331,$BA$7:$BA$1843,"&gt;"&amp;BA331)+SUMIFS($AX$7:$AX$1843,$BY$7:$BY$1843,BY331,$BA$7:$BA$1843,BA331,$BQ$7:$BQ$1843,"&lt;="&amp;BQ331),"")</f>
        <v>103.253175568393</v>
      </c>
      <c r="BC331" s="65" t="n">
        <f aca="false">IF(BB331="",0,MAX(0,MIN(1,(IF(BY331="L1",Parameter!$E$5,Parameter!$E$6+Parameter!$E$7)-(BB331-AX331))/AX331)))</f>
        <v>0</v>
      </c>
      <c r="BD331" s="55" t="str">
        <f aca="false">IF(AH331&lt;=0,"",IF(BY331="Aussen","Aussenlager",IF(BY331="-","Nicht im Lift",IF(AM331&gt;=1,"Lift",IF(AM331&lt;=0,"Aussenlager","teilweise")))))</f>
        <v>Lift</v>
      </c>
      <c r="BE331" s="55" t="str">
        <f aca="false">IF(AP331&lt;=0,"",IF(BY331="Aussen","Aussenlager",IF(BY331="-","Nicht im Lift",IF(AU331&gt;=1,"Lift",IF(AU331&lt;=0,"Aussenlager","teilweise")))))</f>
        <v>Aussenlager</v>
      </c>
      <c r="BF331" s="55" t="str">
        <f aca="false">IF(AX331&lt;=0,"",IF(BY331="Aussen","Aussenlager",IF(BY331="-","Nicht im Lift",IF(BC331&gt;=1,"Lift",IF(BC331&lt;=0,"Aussenlager","teilweise")))))</f>
        <v>Aussenlager</v>
      </c>
      <c r="BG331" s="55" t="str">
        <f aca="false">IF(A331="","",IF(BP331=1,"Neu; ","")&amp;IF(AND(BP331=0,BK331&lt;0),"negativer Bestand (Export "&amp;BK331&amp;"); ","")&amp;IF(J331&lt;=0,"Kein Verbrauch; ","")&amp;IF(CH331&gt;0,"Lift "&amp;W331&amp;" lt. Liftbericht (Fach "&amp;X331&amp;" Stk); ",IF(BU331=1,"Gebinde geschätzt ("&amp;T331&amp;"); ",IF(BT331=1,"Lose – Tablare geschätzt; ","")))&amp;IF(H331&gt;AR331,"Überbestand "&amp;ROUND(H331-AR331,0)&amp;" Stk / CHF "&amp;ROUND((H331-AR331)*G331,0)&amp;"; ","")&amp;IF(AND(CA331=1,CB331&lt;CC331),"MAX &lt; MB+LG; ","")&amp;IF(AND(CG331&gt;0,CF331*10&gt;CG331),"zu hoch für Tablar; ","")&amp;IF(AND(BP331=0,OR(CA331=1,AA331&lt;&gt;"",U331&lt;&gt;"",V331&lt;&gt;"",AB331&lt;&gt;"")),"manuell übersteuert; ","")&amp;IF(AND(BT331=0,R331=0),"Gebinde unbekannt / Stellmass fehlt; ","")&amp;IF(AND(BT331=0,N(V331)&lt;=0,N(Q331)&lt;=0),"Menge pro Gebinde fehlt (Ist = 1 Gebinde); ","")&amp;BO331)</f>
        <v>Kein Verbrauch; </v>
      </c>
      <c r="BH331" s="55"/>
      <c r="BI331" s="55"/>
      <c r="BJ331" s="62"/>
      <c r="BK331" s="57" t="n">
        <v>434</v>
      </c>
      <c r="BL331" s="57" t="n">
        <v>63</v>
      </c>
      <c r="BM331" s="56" t="n">
        <v>217</v>
      </c>
      <c r="BN331" s="57" t="n">
        <v>0</v>
      </c>
      <c r="BO331" s="55"/>
      <c r="BP331" s="60" t="n">
        <v>0</v>
      </c>
      <c r="BQ331" s="60" t="n">
        <v>331</v>
      </c>
      <c r="BR331" s="55" t="str">
        <f aca="false">IF(U331&lt;&gt;"",UPPER(TRIM(U331)),IF(BU331=1,UPPER(VLOOKUP(T331,Parameter!$I$27:$K$29,2,0)),IF(P331="","LOSE",P331)))</f>
        <v>S32</v>
      </c>
      <c r="BS331" s="57" t="n">
        <f aca="false">IF(BR331="LOSE",1,IF(N(V331)&gt;0,V331,IF(BU331=1,MAX(1,N(VLOOKUP(T331,Parameter!$I$27:$K$29,3,0)),H331,N(N331)),IF(N(Q331)&gt;0,Q331,MAX(1,H331)))))</f>
        <v>600</v>
      </c>
      <c r="BT331" s="60" t="n">
        <f aca="false">IF(BR331="LOSE",1,0)</f>
        <v>0</v>
      </c>
      <c r="BU331" s="60" t="n">
        <f aca="false">IF(AND(U331="",OR(P331="",P331="LOSE"),T331&lt;&gt;"",N(S331)&lt;=0,ISNUMBER(MATCH(T331,Parameter!$I$27:$I$29,0))),1,0)</f>
        <v>0</v>
      </c>
      <c r="BV331" s="55" t="str">
        <f aca="false">IF(AND(Parameter!$B$19="Ja",E331&lt;&gt;"",ISNUMBER(MATCH(E331,Parameter!$I$35:$I$52,0))),VLOOKUP(E331,Parameter!$I$35:$J$52,2,0),IFERROR(VLOOKUP(D331,Parameter!$A$35:$C$64,2,0),"Nein"))</f>
        <v>2+3</v>
      </c>
      <c r="BW331" s="59" t="n">
        <f aca="false">IF(BT331=0,0,IF(N(S331)&gt;0,S331,IFERROR(VLOOKUP(D331,Parameter!$A$35:$C$64,3,0)+0,0)))</f>
        <v>0</v>
      </c>
      <c r="BX331" s="55" t="n">
        <f aca="false">IF(AA331&lt;&gt;"",AA331,Z331)</f>
        <v>3</v>
      </c>
      <c r="BY331" s="55" t="str">
        <f aca="false">IF(BX331=1,"L1",IF(OR(BX331=2,BX331=3),"L23",IF(BX331="Aussen","Aussen","-")))</f>
        <v>L23</v>
      </c>
      <c r="BZ331" s="66" t="n">
        <f aca="false">IF(N(AB331)&gt;0,AB331,0)</f>
        <v>0</v>
      </c>
      <c r="CA331" s="60" t="n">
        <f aca="false">IF(ISNUMBER(AE331),1,0)</f>
        <v>0</v>
      </c>
      <c r="CB331" s="57" t="n">
        <f aca="false">N(AE331)</f>
        <v>0</v>
      </c>
      <c r="CC331" s="57" t="n">
        <f aca="false">N(M331)+N(N331)</f>
        <v>259</v>
      </c>
      <c r="CD331" s="57" t="n">
        <f aca="false">ROUNDUP(H331/BS331,0)</f>
        <v>1</v>
      </c>
      <c r="CE331" s="57" t="n">
        <f aca="false">ROUNDUP(CB331/BS331,0)</f>
        <v>0</v>
      </c>
      <c r="CF331" s="60" t="n">
        <f aca="false">IF(BT331=1,0,IFERROR(VLOOKUP(BR331,'Gebinde-Kategorie'!$A$5:$M$45,5,0)+0,0))</f>
        <v>8</v>
      </c>
      <c r="CG331" s="60" t="n">
        <f aca="false">IFERROR(IF(OR(BX331=1,BX331=2,BX331=3),N(INDEX(Parameter!$I$5:$I$7,BX331)),0),0)</f>
        <v>0</v>
      </c>
      <c r="CH331" s="59" t="n">
        <f aca="false">IF(AND(Parameter!$B$21="Ja",ISNUMBER(W331),N(X331)&gt;0),IFERROR(N(INDEX(Parameter!$L$5:$L$7,W331))*INDEX(Parameter!$E$5:$E$7,W331)*X331/SUMIFS($X$7:$X$1843,$W$7:$W$1843,W331),0),0)</f>
        <v>0</v>
      </c>
    </row>
    <row r="332" customFormat="false" ht="15" hidden="false" customHeight="false" outlineLevel="0" collapsed="false">
      <c r="A332" s="55" t="s">
        <v>825</v>
      </c>
      <c r="B332" s="55" t="s">
        <v>826</v>
      </c>
      <c r="C332" s="55" t="s">
        <v>164</v>
      </c>
      <c r="D332" s="55" t="s">
        <v>184</v>
      </c>
      <c r="E332" s="55" t="s">
        <v>185</v>
      </c>
      <c r="F332" s="55" t="s">
        <v>218</v>
      </c>
      <c r="G332" s="56" t="n">
        <v>16.63</v>
      </c>
      <c r="H332" s="57" t="n">
        <f aca="false">MAX(0,IF(AND(Parameter!$B$21="Ja",ISNUMBER(Y332)),Y332,IF(Parameter!$B$20="Jahresanfang 2025 + Export",BL332+BK332,BK332)))</f>
        <v>16</v>
      </c>
      <c r="I332" s="57" t="n">
        <f aca="false">H332*G332</f>
        <v>266.08</v>
      </c>
      <c r="J332" s="57" t="n">
        <f aca="false">BN332*Parameter!$B$18</f>
        <v>8</v>
      </c>
      <c r="K332" s="58" t="n">
        <v>15</v>
      </c>
      <c r="L332" s="59" t="n">
        <v>0.533333333333333</v>
      </c>
      <c r="M332" s="57" t="n">
        <v>0</v>
      </c>
      <c r="N332" s="57" t="n">
        <v>10</v>
      </c>
      <c r="O332" s="60" t="n">
        <v>14</v>
      </c>
      <c r="P332" s="55" t="s">
        <v>401</v>
      </c>
      <c r="Q332" s="57" t="n">
        <v>9</v>
      </c>
      <c r="R332" s="60" t="n">
        <f aca="false">IF(BT332=1,0,IFERROR(VLOOKUP(BR332,'Gebinde-Kategorie'!$A$5:$M$45,13,0)+0,0))</f>
        <v>414</v>
      </c>
      <c r="S332" s="61"/>
      <c r="T332" s="62"/>
      <c r="U332" s="62"/>
      <c r="V332" s="62"/>
      <c r="W332" s="55"/>
      <c r="X332" s="57"/>
      <c r="Y332" s="57"/>
      <c r="Z332" s="55" t="n">
        <f aca="false">IF(A332="","",IF(AND(Parameter!$B$21="Ja",ISNUMBER(W332)),W332,IF(BV332="2+3",IF(ISNUMBER(SEARCH("grosser Artikel",BO332)),2,IFERROR(VLOOKUP(BR332,Parameter!$F$35:$G$64,2,0),2)),IF(OR(BV332="Nein",BV332=""),"-",BV332))))</f>
        <v>3</v>
      </c>
      <c r="AA332" s="62"/>
      <c r="AB332" s="63"/>
      <c r="AC332" s="57" t="n">
        <f aca="false">AR332</f>
        <v>18</v>
      </c>
      <c r="AD332" s="57" t="n">
        <f aca="false">MAX(AR332,H332)</f>
        <v>18</v>
      </c>
      <c r="AE332" s="64"/>
      <c r="AF332" s="57" t="n">
        <f aca="false">IF(LEFT(Cockpit!$C$5,1)="A",H332,IF(CA332=1,CB332,IF(LEFT(Cockpit!$C$5,1)="B",AJ332,MAX(AJ332,H332))))</f>
        <v>16</v>
      </c>
      <c r="AG332" s="57" t="n">
        <f aca="false">IF(BT332=1,0,ROUNDUP(AF332/BS332,0))</f>
        <v>2</v>
      </c>
      <c r="AH332" s="59" t="n">
        <f aca="false">IF(CH332&gt;0,CH332*MAX(1,AF332/X332),IF(BT332=1,IF(AF332&lt;=0,0,BW332*MAX(1,IF(H332&gt;0,AF332/H332,1))),IF(R332&gt;0,AG332/R332,0))/MAX(0.1,N(Parameter!$M$21)))</f>
        <v>0.00483091787439614</v>
      </c>
      <c r="AI332" s="57" t="n">
        <f aca="false">AF332*G332</f>
        <v>266.08</v>
      </c>
      <c r="AJ332" s="57" t="n">
        <f aca="false">ROUNDUP(MAX(J332/IF(BZ332&gt;0,BZ332,MAX(0.1,N(Cockpit!$C$6))),CC332)/BS332,0)*BS332</f>
        <v>18</v>
      </c>
      <c r="AK332" s="58" t="n">
        <f aca="false">IF(AH332&gt;0,J332/AH332,-1)</f>
        <v>1656</v>
      </c>
      <c r="AL332" s="58" t="n">
        <f aca="false">IF(AND(OR(BY332="L1",BY332="L23"),AH332&gt;0),SUMIFS($AH$7:$AH$1843,$BY$7:$BY$1843,BY332,$AK$7:$AK$1843,"&gt;"&amp;AK332)+SUMIFS($AH$7:$AH$1843,$BY$7:$BY$1843,BY332,$AK$7:$AK$1843,AK332,$BQ$7:$BQ$1843,"&lt;="&amp;BQ332),"")</f>
        <v>15.4228911185433</v>
      </c>
      <c r="AM332" s="65" t="n">
        <f aca="false">IF(AL332="",0,MAX(0,MIN(1,(IF(BY332="L1",Parameter!$E$5,Parameter!$E$6+Parameter!$E$7)-(AL332-AH332))/AH332)))</f>
        <v>1</v>
      </c>
      <c r="AN332" s="57" t="n">
        <f aca="false">IF(LEFT(Cockpit!$I$5,1)="A",H332,IF(CA332=1,CB332,IF(LEFT(Cockpit!$I$5,1)="B",AR332,MAX(AR332,H332))))</f>
        <v>18</v>
      </c>
      <c r="AO332" s="57" t="n">
        <f aca="false">IF(BT332=1,0,ROUNDUP(AN332/BS332,0))</f>
        <v>2</v>
      </c>
      <c r="AP332" s="59" t="n">
        <f aca="false">IF(CH332&gt;0,CH332*MAX(1,AN332/X332),IF(BT332=1,IF(AN332&lt;=0,0,BW332*MAX(1,IF(H332&gt;0,AN332/H332,1))),IF(R332&gt;0,AO332/R332,0))/MAX(0.1,N(Parameter!$M$21)))</f>
        <v>0.00483091787439614</v>
      </c>
      <c r="AQ332" s="57" t="n">
        <f aca="false">AN332*G332</f>
        <v>299.34</v>
      </c>
      <c r="AR332" s="57" t="n">
        <f aca="false">ROUNDUP(MAX(J332/IF(BZ332&gt;0,BZ332,MAX(0.1,N(Cockpit!$I$6))),CC332)/BS332,0)*BS332</f>
        <v>18</v>
      </c>
      <c r="AS332" s="58" t="n">
        <f aca="false">IF(AP332&gt;0,J332/AP332,-1)</f>
        <v>1656</v>
      </c>
      <c r="AT332" s="58" t="n">
        <f aca="false">IF(AND(OR(BY332="L1",BY332="L23"),AP332&gt;0),SUMIFS($AP$7:$AP$1843,$BY$7:$BY$1843,BY332,$AS$7:$AS$1843,"&gt;"&amp;AS332)+SUMIFS($AP$7:$AP$1843,$BY$7:$BY$1843,BY332,$AS$7:$AS$1843,AS332,$BQ$7:$BQ$1843,"&lt;="&amp;BQ332),"")</f>
        <v>19.941302658694</v>
      </c>
      <c r="AU332" s="65" t="n">
        <f aca="false">IF(AT332="",0,MAX(0,MIN(1,(IF(BY332="L1",Parameter!$E$5,Parameter!$E$6+Parameter!$E$7)-(AT332-AP332))/AP332)))</f>
        <v>1</v>
      </c>
      <c r="AV332" s="57" t="n">
        <f aca="false">IF(LEFT(Cockpit!$O$5,1)="A",H332,IF(CA332=1,CB332,IF(LEFT(Cockpit!$O$5,1)="B",AZ332,MAX(AZ332,H332))))</f>
        <v>18</v>
      </c>
      <c r="AW332" s="57" t="n">
        <f aca="false">IF(BT332=1,0,ROUNDUP(AV332/BS332,0))</f>
        <v>2</v>
      </c>
      <c r="AX332" s="59" t="n">
        <f aca="false">IF(CH332&gt;0,CH332*MAX(1,AV332/X332),IF(BT332=1,IF(AV332&lt;=0,0,BW332*MAX(1,IF(H332&gt;0,AV332/H332,1))),IF(R332&gt;0,AW332/R332,0))/MAX(0.1,N(Parameter!$M$21)))</f>
        <v>0.00483091787439614</v>
      </c>
      <c r="AY332" s="57" t="n">
        <f aca="false">AV332*G332</f>
        <v>299.34</v>
      </c>
      <c r="AZ332" s="57" t="n">
        <f aca="false">ROUNDUP(MAX(J332/IF(BZ332&gt;0,BZ332,MAX(0.1,N(Cockpit!$O$6))),CC332)/BS332,0)*BS332</f>
        <v>18</v>
      </c>
      <c r="BA332" s="58" t="n">
        <f aca="false">IF(AX332&gt;0,J332/AX332,-1)</f>
        <v>1656</v>
      </c>
      <c r="BB332" s="58" t="n">
        <f aca="false">IF(AND(OR(BY332="L1",BY332="L23"),AX332&gt;0),SUMIFS($AX$7:$AX$1843,$BY$7:$BY$1843,BY332,$BA$7:$BA$1843,"&gt;"&amp;BA332)+SUMIFS($AX$7:$AX$1843,$BY$7:$BY$1843,BY332,$BA$7:$BA$1843,BA332,$BQ$7:$BQ$1843,"&lt;="&amp;BQ332),"")</f>
        <v>18.8031907705821</v>
      </c>
      <c r="BC332" s="65" t="n">
        <f aca="false">IF(BB332="",0,MAX(0,MIN(1,(IF(BY332="L1",Parameter!$E$5,Parameter!$E$6+Parameter!$E$7)-(BB332-AX332))/AX332)))</f>
        <v>1</v>
      </c>
      <c r="BD332" s="55" t="str">
        <f aca="false">IF(AH332&lt;=0,"",IF(BY332="Aussen","Aussenlager",IF(BY332="-","Nicht im Lift",IF(AM332&gt;=1,"Lift",IF(AM332&lt;=0,"Aussenlager","teilweise")))))</f>
        <v>Lift</v>
      </c>
      <c r="BE332" s="55" t="str">
        <f aca="false">IF(AP332&lt;=0,"",IF(BY332="Aussen","Aussenlager",IF(BY332="-","Nicht im Lift",IF(AU332&gt;=1,"Lift",IF(AU332&lt;=0,"Aussenlager","teilweise")))))</f>
        <v>Lift</v>
      </c>
      <c r="BF332" s="55" t="str">
        <f aca="false">IF(AX332&lt;=0,"",IF(BY332="Aussen","Aussenlager",IF(BY332="-","Nicht im Lift",IF(BC332&gt;=1,"Lift",IF(BC332&lt;=0,"Aussenlager","teilweise")))))</f>
        <v>Lift</v>
      </c>
      <c r="BG332" s="55" t="str">
        <f aca="false">IF(A332="","",IF(BP332=1,"Neu; ","")&amp;IF(AND(BP332=0,BK332&lt;0),"negativer Bestand (Export "&amp;BK332&amp;"); ","")&amp;IF(J332&lt;=0,"Kein Verbrauch; ","")&amp;IF(CH332&gt;0,"Lift "&amp;W332&amp;" lt. Liftbericht (Fach "&amp;X332&amp;" Stk); ",IF(BU332=1,"Gebinde geschätzt ("&amp;T332&amp;"); ",IF(BT332=1,"Lose – Tablare geschätzt; ","")))&amp;IF(H332&gt;AR332,"Überbestand "&amp;ROUND(H332-AR332,0)&amp;" Stk / CHF "&amp;ROUND((H332-AR332)*G332,0)&amp;"; ","")&amp;IF(AND(CA332=1,CB332&lt;CC332),"MAX &lt; MB+LG; ","")&amp;IF(AND(CG332&gt;0,CF332*10&gt;CG332),"zu hoch für Tablar; ","")&amp;IF(AND(BP332=0,OR(CA332=1,AA332&lt;&gt;"",U332&lt;&gt;"",V332&lt;&gt;"",AB332&lt;&gt;"")),"manuell übersteuert; ","")&amp;IF(AND(BT332=0,R332=0),"Gebinde unbekannt / Stellmass fehlt; ","")&amp;IF(AND(BT332=0,N(V332)&lt;=0,N(Q332)&lt;=0),"Menge pro Gebinde fehlt (Ist = 1 Gebinde); ","")&amp;BO332)</f>
        <v/>
      </c>
      <c r="BH332" s="55"/>
      <c r="BI332" s="55"/>
      <c r="BJ332" s="62"/>
      <c r="BK332" s="57" t="n">
        <v>13</v>
      </c>
      <c r="BL332" s="57" t="n">
        <v>3</v>
      </c>
      <c r="BM332" s="56" t="n">
        <v>216.19</v>
      </c>
      <c r="BN332" s="57" t="n">
        <v>8</v>
      </c>
      <c r="BO332" s="55"/>
      <c r="BP332" s="60" t="n">
        <v>0</v>
      </c>
      <c r="BQ332" s="60" t="n">
        <v>332</v>
      </c>
      <c r="BR332" s="55" t="str">
        <f aca="false">IF(U332&lt;&gt;"",UPPER(TRIM(U332)),IF(BU332=1,UPPER(VLOOKUP(T332,Parameter!$I$27:$K$29,2,0)),IF(P332="","LOSE",P332)))</f>
        <v>S21</v>
      </c>
      <c r="BS332" s="57" t="n">
        <f aca="false">IF(BR332="LOSE",1,IF(N(V332)&gt;0,V332,IF(BU332=1,MAX(1,N(VLOOKUP(T332,Parameter!$I$27:$K$29,3,0)),H332,N(N332)),IF(N(Q332)&gt;0,Q332,MAX(1,H332)))))</f>
        <v>9</v>
      </c>
      <c r="BT332" s="60" t="n">
        <f aca="false">IF(BR332="LOSE",1,0)</f>
        <v>0</v>
      </c>
      <c r="BU332" s="60" t="n">
        <f aca="false">IF(AND(U332="",OR(P332="",P332="LOSE"),T332&lt;&gt;"",N(S332)&lt;=0,ISNUMBER(MATCH(T332,Parameter!$I$27:$I$29,0))),1,0)</f>
        <v>0</v>
      </c>
      <c r="BV332" s="55" t="str">
        <f aca="false">IF(AND(Parameter!$B$19="Ja",E332&lt;&gt;"",ISNUMBER(MATCH(E332,Parameter!$I$35:$I$52,0))),VLOOKUP(E332,Parameter!$I$35:$J$52,2,0),IFERROR(VLOOKUP(D332,Parameter!$A$35:$C$64,2,0),"Nein"))</f>
        <v>2+3</v>
      </c>
      <c r="BW332" s="59" t="n">
        <f aca="false">IF(BT332=0,0,IF(N(S332)&gt;0,S332,IFERROR(VLOOKUP(D332,Parameter!$A$35:$C$64,3,0)+0,0)))</f>
        <v>0</v>
      </c>
      <c r="BX332" s="55" t="n">
        <f aca="false">IF(AA332&lt;&gt;"",AA332,Z332)</f>
        <v>3</v>
      </c>
      <c r="BY332" s="55" t="str">
        <f aca="false">IF(BX332=1,"L1",IF(OR(BX332=2,BX332=3),"L23",IF(BX332="Aussen","Aussen","-")))</f>
        <v>L23</v>
      </c>
      <c r="BZ332" s="66" t="n">
        <f aca="false">IF(N(AB332)&gt;0,AB332,0)</f>
        <v>0</v>
      </c>
      <c r="CA332" s="60" t="n">
        <f aca="false">IF(ISNUMBER(AE332),1,0)</f>
        <v>0</v>
      </c>
      <c r="CB332" s="57" t="n">
        <f aca="false">N(AE332)</f>
        <v>0</v>
      </c>
      <c r="CC332" s="57" t="n">
        <f aca="false">N(M332)+N(N332)</f>
        <v>10</v>
      </c>
      <c r="CD332" s="57" t="n">
        <f aca="false">ROUNDUP(H332/BS332,0)</f>
        <v>2</v>
      </c>
      <c r="CE332" s="57" t="n">
        <f aca="false">ROUNDUP(CB332/BS332,0)</f>
        <v>0</v>
      </c>
      <c r="CF332" s="60" t="n">
        <f aca="false">IF(BT332=1,0,IFERROR(VLOOKUP(BR332,'Gebinde-Kategorie'!$A$5:$M$45,5,0)+0,0))</f>
        <v>8</v>
      </c>
      <c r="CG332" s="60" t="n">
        <f aca="false">IFERROR(IF(OR(BX332=1,BX332=2,BX332=3),N(INDEX(Parameter!$I$5:$I$7,BX332)),0),0)</f>
        <v>0</v>
      </c>
      <c r="CH332" s="59" t="n">
        <f aca="false">IF(AND(Parameter!$B$21="Ja",ISNUMBER(W332),N(X332)&gt;0),IFERROR(N(INDEX(Parameter!$L$5:$L$7,W332))*INDEX(Parameter!$E$5:$E$7,W332)*X332/SUMIFS($X$7:$X$1843,$W$7:$W$1843,W332),0),0)</f>
        <v>0</v>
      </c>
    </row>
    <row r="333" customFormat="false" ht="15" hidden="false" customHeight="false" outlineLevel="0" collapsed="false">
      <c r="A333" s="55" t="s">
        <v>827</v>
      </c>
      <c r="B333" s="55" t="s">
        <v>828</v>
      </c>
      <c r="C333" s="55" t="s">
        <v>164</v>
      </c>
      <c r="D333" s="55" t="s">
        <v>173</v>
      </c>
      <c r="E333" s="55" t="s">
        <v>185</v>
      </c>
      <c r="F333" s="55" t="s">
        <v>218</v>
      </c>
      <c r="G333" s="56" t="n">
        <v>12.37</v>
      </c>
      <c r="H333" s="57" t="n">
        <f aca="false">MAX(0,IF(AND(Parameter!$B$21="Ja",ISNUMBER(Y333)),Y333,IF(Parameter!$B$20="Jahresanfang 2025 + Export",BL333+BK333,BK333)))</f>
        <v>154</v>
      </c>
      <c r="I333" s="57" t="n">
        <f aca="false">H333*G333</f>
        <v>1904.98</v>
      </c>
      <c r="J333" s="57" t="n">
        <f aca="false">BN333*Parameter!$B$18</f>
        <v>234</v>
      </c>
      <c r="K333" s="58" t="n">
        <v>120</v>
      </c>
      <c r="L333" s="59" t="n">
        <v>1.95</v>
      </c>
      <c r="M333" s="57" t="n">
        <v>30</v>
      </c>
      <c r="N333" s="57" t="n">
        <v>215</v>
      </c>
      <c r="O333" s="60" t="n">
        <v>42</v>
      </c>
      <c r="P333" s="55" t="s">
        <v>293</v>
      </c>
      <c r="Q333" s="57" t="n">
        <v>45</v>
      </c>
      <c r="R333" s="60" t="n">
        <f aca="false">IF(BT333=1,0,IFERROR(VLOOKUP(BR333,'Gebinde-Kategorie'!$A$5:$M$45,13,0)+0,0))</f>
        <v>12</v>
      </c>
      <c r="S333" s="61"/>
      <c r="T333" s="62"/>
      <c r="U333" s="62"/>
      <c r="V333" s="62"/>
      <c r="W333" s="55"/>
      <c r="X333" s="57"/>
      <c r="Y333" s="57"/>
      <c r="Z333" s="55" t="n">
        <f aca="false">IF(A333="","",IF(AND(Parameter!$B$21="Ja",ISNUMBER(W333)),W333,IF(BV333="2+3",IF(ISNUMBER(SEARCH("grosser Artikel",BO333)),2,IFERROR(VLOOKUP(BR333,Parameter!$F$35:$G$64,2,0),2)),IF(OR(BV333="Nein",BV333=""),"-",BV333))))</f>
        <v>2</v>
      </c>
      <c r="AA333" s="62"/>
      <c r="AB333" s="63"/>
      <c r="AC333" s="57" t="n">
        <f aca="false">AR333</f>
        <v>270</v>
      </c>
      <c r="AD333" s="57" t="n">
        <f aca="false">MAX(AR333,H333)</f>
        <v>270</v>
      </c>
      <c r="AE333" s="64"/>
      <c r="AF333" s="57" t="n">
        <f aca="false">IF(LEFT(Cockpit!$C$5,1)="A",H333,IF(CA333=1,CB333,IF(LEFT(Cockpit!$C$5,1)="B",AJ333,MAX(AJ333,H333))))</f>
        <v>154</v>
      </c>
      <c r="AG333" s="57" t="n">
        <f aca="false">IF(BT333=1,0,ROUNDUP(AF333/BS333,0))</f>
        <v>4</v>
      </c>
      <c r="AH333" s="59" t="n">
        <f aca="false">IF(CH333&gt;0,CH333*MAX(1,AF333/X333),IF(BT333=1,IF(AF333&lt;=0,0,BW333*MAX(1,IF(H333&gt;0,AF333/H333,1))),IF(R333&gt;0,AG333/R333,0))/MAX(0.1,N(Parameter!$M$21)))</f>
        <v>0.333333333333333</v>
      </c>
      <c r="AI333" s="57" t="n">
        <f aca="false">AF333*G333</f>
        <v>1904.98</v>
      </c>
      <c r="AJ333" s="57" t="n">
        <f aca="false">ROUNDUP(MAX(J333/IF(BZ333&gt;0,BZ333,MAX(0.1,N(Cockpit!$C$6))),CC333)/BS333,0)*BS333</f>
        <v>270</v>
      </c>
      <c r="AK333" s="58" t="n">
        <f aca="false">IF(AH333&gt;0,J333/AH333,-1)</f>
        <v>702</v>
      </c>
      <c r="AL333" s="58" t="n">
        <f aca="false">IF(AND(OR(BY333="L1",BY333="L23"),AH333&gt;0),SUMIFS($AH$7:$AH$1843,$BY$7:$BY$1843,BY333,$AK$7:$AK$1843,"&gt;"&amp;AK333)+SUMIFS($AH$7:$AH$1843,$BY$7:$BY$1843,BY333,$AK$7:$AK$1843,AK333,$BQ$7:$BQ$1843,"&lt;="&amp;BQ333),"")</f>
        <v>22.1686091686092</v>
      </c>
      <c r="AM333" s="65" t="n">
        <f aca="false">IF(AL333="",0,MAX(0,MIN(1,(IF(BY333="L1",Parameter!$E$5,Parameter!$E$6+Parameter!$E$7)-(AL333-AH333))/AH333)))</f>
        <v>1</v>
      </c>
      <c r="AN333" s="57" t="n">
        <f aca="false">IF(LEFT(Cockpit!$I$5,1)="A",H333,IF(CA333=1,CB333,IF(LEFT(Cockpit!$I$5,1)="B",AR333,MAX(AR333,H333))))</f>
        <v>270</v>
      </c>
      <c r="AO333" s="57" t="n">
        <f aca="false">IF(BT333=1,0,ROUNDUP(AN333/BS333,0))</f>
        <v>6</v>
      </c>
      <c r="AP333" s="59" t="n">
        <f aca="false">IF(CH333&gt;0,CH333*MAX(1,AN333/X333),IF(BT333=1,IF(AN333&lt;=0,0,BW333*MAX(1,IF(H333&gt;0,AN333/H333,1))),IF(R333&gt;0,AO333/R333,0))/MAX(0.1,N(Parameter!$M$21)))</f>
        <v>0.5</v>
      </c>
      <c r="AQ333" s="57" t="n">
        <f aca="false">AN333*G333</f>
        <v>3339.9</v>
      </c>
      <c r="AR333" s="57" t="n">
        <f aca="false">ROUNDUP(MAX(J333/IF(BZ333&gt;0,BZ333,MAX(0.1,N(Cockpit!$I$6))),CC333)/BS333,0)*BS333</f>
        <v>270</v>
      </c>
      <c r="AS333" s="58" t="n">
        <f aca="false">IF(AP333&gt;0,J333/AP333,-1)</f>
        <v>468</v>
      </c>
      <c r="AT333" s="58" t="n">
        <f aca="false">IF(AND(OR(BY333="L1",BY333="L23"),AP333&gt;0),SUMIFS($AP$7:$AP$1843,$BY$7:$BY$1843,BY333,$AS$7:$AS$1843,"&gt;"&amp;AS333)+SUMIFS($AP$7:$AP$1843,$BY$7:$BY$1843,BY333,$AS$7:$AS$1843,AS333,$BQ$7:$BQ$1843,"&lt;="&amp;BQ333),"")</f>
        <v>33.8036046079524</v>
      </c>
      <c r="AU333" s="65" t="n">
        <f aca="false">IF(AT333="",0,MAX(0,MIN(1,(IF(BY333="L1",Parameter!$E$5,Parameter!$E$6+Parameter!$E$7)-(AT333-AP333))/AP333)))</f>
        <v>1</v>
      </c>
      <c r="AV333" s="57" t="n">
        <f aca="false">IF(LEFT(Cockpit!$O$5,1)="A",H333,IF(CA333=1,CB333,IF(LEFT(Cockpit!$O$5,1)="B",AZ333,MAX(AZ333,H333))))</f>
        <v>270</v>
      </c>
      <c r="AW333" s="57" t="n">
        <f aca="false">IF(BT333=1,0,ROUNDUP(AV333/BS333,0))</f>
        <v>6</v>
      </c>
      <c r="AX333" s="59" t="n">
        <f aca="false">IF(CH333&gt;0,CH333*MAX(1,AV333/X333),IF(BT333=1,IF(AV333&lt;=0,0,BW333*MAX(1,IF(H333&gt;0,AV333/H333,1))),IF(R333&gt;0,AW333/R333,0))/MAX(0.1,N(Parameter!$M$21)))</f>
        <v>0.5</v>
      </c>
      <c r="AY333" s="57" t="n">
        <f aca="false">AV333*G333</f>
        <v>3339.9</v>
      </c>
      <c r="AZ333" s="57" t="n">
        <f aca="false">ROUNDUP(MAX(J333/IF(BZ333&gt;0,BZ333,MAX(0.1,N(Cockpit!$O$6))),CC333)/BS333,0)*BS333</f>
        <v>270</v>
      </c>
      <c r="BA333" s="58" t="n">
        <f aca="false">IF(AX333&gt;0,J333/AX333,-1)</f>
        <v>468</v>
      </c>
      <c r="BB333" s="58" t="n">
        <f aca="false">IF(AND(OR(BY333="L1",BY333="L23"),AX333&gt;0),SUMIFS($AX$7:$AX$1843,$BY$7:$BY$1843,BY333,$BA$7:$BA$1843,"&gt;"&amp;BA333)+SUMIFS($AX$7:$AX$1843,$BY$7:$BY$1843,BY333,$BA$7:$BA$1843,BA333,$BQ$7:$BQ$1843,"&lt;="&amp;BQ333),"")</f>
        <v>32.7039542583021</v>
      </c>
      <c r="BC333" s="65" t="n">
        <f aca="false">IF(BB333="",0,MAX(0,MIN(1,(IF(BY333="L1",Parameter!$E$5,Parameter!$E$6+Parameter!$E$7)-(BB333-AX333))/AX333)))</f>
        <v>1</v>
      </c>
      <c r="BD333" s="55" t="str">
        <f aca="false">IF(AH333&lt;=0,"",IF(BY333="Aussen","Aussenlager",IF(BY333="-","Nicht im Lift",IF(AM333&gt;=1,"Lift",IF(AM333&lt;=0,"Aussenlager","teilweise")))))</f>
        <v>Lift</v>
      </c>
      <c r="BE333" s="55" t="str">
        <f aca="false">IF(AP333&lt;=0,"",IF(BY333="Aussen","Aussenlager",IF(BY333="-","Nicht im Lift",IF(AU333&gt;=1,"Lift",IF(AU333&lt;=0,"Aussenlager","teilweise")))))</f>
        <v>Lift</v>
      </c>
      <c r="BF333" s="55" t="str">
        <f aca="false">IF(AX333&lt;=0,"",IF(BY333="Aussen","Aussenlager",IF(BY333="-","Nicht im Lift",IF(BC333&gt;=1,"Lift",IF(BC333&lt;=0,"Aussenlager","teilweise")))))</f>
        <v>Lift</v>
      </c>
      <c r="BG333" s="55" t="str">
        <f aca="false">IF(A333="","",IF(BP333=1,"Neu; ","")&amp;IF(AND(BP333=0,BK333&lt;0),"negativer Bestand (Export "&amp;BK333&amp;"); ","")&amp;IF(J333&lt;=0,"Kein Verbrauch; ","")&amp;IF(CH333&gt;0,"Lift "&amp;W333&amp;" lt. Liftbericht (Fach "&amp;X333&amp;" Stk); ",IF(BU333=1,"Gebinde geschätzt ("&amp;T333&amp;"); ",IF(BT333=1,"Lose – Tablare geschätzt; ","")))&amp;IF(H333&gt;AR333,"Überbestand "&amp;ROUND(H333-AR333,0)&amp;" Stk / CHF "&amp;ROUND((H333-AR333)*G333,0)&amp;"; ","")&amp;IF(AND(CA333=1,CB333&lt;CC333),"MAX &lt; MB+LG; ","")&amp;IF(AND(CG333&gt;0,CF333*10&gt;CG333),"zu hoch für Tablar; ","")&amp;IF(AND(BP333=0,OR(CA333=1,AA333&lt;&gt;"",U333&lt;&gt;"",V333&lt;&gt;"",AB333&lt;&gt;"")),"manuell übersteuert; ","")&amp;IF(AND(BT333=0,R333=0),"Gebinde unbekannt / Stellmass fehlt; ","")&amp;IF(AND(BT333=0,N(V333)&lt;=0,N(Q333)&lt;=0),"Menge pro Gebinde fehlt (Ist = 1 Gebinde); ","")&amp;BO333)</f>
        <v>grosser Artikel &amp; nicht im KTL</v>
      </c>
      <c r="BH333" s="55"/>
      <c r="BI333" s="55"/>
      <c r="BJ333" s="62"/>
      <c r="BK333" s="57" t="n">
        <v>22</v>
      </c>
      <c r="BL333" s="57" t="n">
        <v>132</v>
      </c>
      <c r="BM333" s="56" t="n">
        <v>214.059999999999</v>
      </c>
      <c r="BN333" s="57" t="n">
        <v>234</v>
      </c>
      <c r="BO333" s="55" t="s">
        <v>261</v>
      </c>
      <c r="BP333" s="60" t="n">
        <v>0</v>
      </c>
      <c r="BQ333" s="60" t="n">
        <v>333</v>
      </c>
      <c r="BR333" s="55" t="str">
        <f aca="false">IF(U333&lt;&gt;"",UPPER(TRIM(U333)),IF(BU333=1,UPPER(VLOOKUP(T333,Parameter!$I$27:$K$29,2,0)),IF(P333="","LOSE",P333)))</f>
        <v>S62</v>
      </c>
      <c r="BS333" s="57" t="n">
        <f aca="false">IF(BR333="LOSE",1,IF(N(V333)&gt;0,V333,IF(BU333=1,MAX(1,N(VLOOKUP(T333,Parameter!$I$27:$K$29,3,0)),H333,N(N333)),IF(N(Q333)&gt;0,Q333,MAX(1,H333)))))</f>
        <v>45</v>
      </c>
      <c r="BT333" s="60" t="n">
        <f aca="false">IF(BR333="LOSE",1,0)</f>
        <v>0</v>
      </c>
      <c r="BU333" s="60" t="n">
        <f aca="false">IF(AND(U333="",OR(P333="",P333="LOSE"),T333&lt;&gt;"",N(S333)&lt;=0,ISNUMBER(MATCH(T333,Parameter!$I$27:$I$29,0))),1,0)</f>
        <v>0</v>
      </c>
      <c r="BV333" s="55" t="str">
        <f aca="false">IF(AND(Parameter!$B$19="Ja",E333&lt;&gt;"",ISNUMBER(MATCH(E333,Parameter!$I$35:$I$52,0))),VLOOKUP(E333,Parameter!$I$35:$J$52,2,0),IFERROR(VLOOKUP(D333,Parameter!$A$35:$C$64,2,0),"Nein"))</f>
        <v>2+3</v>
      </c>
      <c r="BW333" s="59" t="n">
        <f aca="false">IF(BT333=0,0,IF(N(S333)&gt;0,S333,IFERROR(VLOOKUP(D333,Parameter!$A$35:$C$64,3,0)+0,0)))</f>
        <v>0</v>
      </c>
      <c r="BX333" s="55" t="n">
        <f aca="false">IF(AA333&lt;&gt;"",AA333,Z333)</f>
        <v>2</v>
      </c>
      <c r="BY333" s="55" t="str">
        <f aca="false">IF(BX333=1,"L1",IF(OR(BX333=2,BX333=3),"L23",IF(BX333="Aussen","Aussen","-")))</f>
        <v>L23</v>
      </c>
      <c r="BZ333" s="66" t="n">
        <f aca="false">IF(N(AB333)&gt;0,AB333,0)</f>
        <v>0</v>
      </c>
      <c r="CA333" s="60" t="n">
        <f aca="false">IF(ISNUMBER(AE333),1,0)</f>
        <v>0</v>
      </c>
      <c r="CB333" s="57" t="n">
        <f aca="false">N(AE333)</f>
        <v>0</v>
      </c>
      <c r="CC333" s="57" t="n">
        <f aca="false">N(M333)+N(N333)</f>
        <v>245</v>
      </c>
      <c r="CD333" s="57" t="n">
        <f aca="false">ROUNDUP(H333/BS333,0)</f>
        <v>4</v>
      </c>
      <c r="CE333" s="57" t="n">
        <f aca="false">ROUNDUP(CB333/BS333,0)</f>
        <v>0</v>
      </c>
      <c r="CF333" s="60" t="n">
        <f aca="false">IF(BT333=1,0,IFERROR(VLOOKUP(BR333,'Gebinde-Kategorie'!$A$5:$M$45,5,0)+0,0))</f>
        <v>21</v>
      </c>
      <c r="CG333" s="60" t="n">
        <f aca="false">IFERROR(IF(OR(BX333=1,BX333=2,BX333=3),N(INDEX(Parameter!$I$5:$I$7,BX333)),0),0)</f>
        <v>0</v>
      </c>
      <c r="CH333" s="59" t="n">
        <f aca="false">IF(AND(Parameter!$B$21="Ja",ISNUMBER(W333),N(X333)&gt;0),IFERROR(N(INDEX(Parameter!$L$5:$L$7,W333))*INDEX(Parameter!$E$5:$E$7,W333)*X333/SUMIFS($X$7:$X$1843,$W$7:$W$1843,W333),0),0)</f>
        <v>0</v>
      </c>
    </row>
    <row r="334" customFormat="false" ht="15" hidden="false" customHeight="false" outlineLevel="0" collapsed="false">
      <c r="A334" s="55" t="s">
        <v>829</v>
      </c>
      <c r="B334" s="55" t="s">
        <v>440</v>
      </c>
      <c r="C334" s="55" t="s">
        <v>164</v>
      </c>
      <c r="D334" s="55" t="s">
        <v>184</v>
      </c>
      <c r="E334" s="55" t="s">
        <v>185</v>
      </c>
      <c r="F334" s="55" t="s">
        <v>218</v>
      </c>
      <c r="G334" s="56" t="n">
        <v>107</v>
      </c>
      <c r="H334" s="57" t="n">
        <f aca="false">MAX(0,IF(AND(Parameter!$B$21="Ja",ISNUMBER(Y334)),Y334,IF(Parameter!$B$20="Jahresanfang 2025 + Export",BL334+BK334,BK334)))</f>
        <v>21</v>
      </c>
      <c r="I334" s="57" t="n">
        <f aca="false">H334*G334</f>
        <v>2247</v>
      </c>
      <c r="J334" s="57" t="n">
        <f aca="false">BN334*Parameter!$B$18</f>
        <v>6</v>
      </c>
      <c r="K334" s="58" t="n">
        <v>16</v>
      </c>
      <c r="L334" s="59" t="n">
        <v>0.375</v>
      </c>
      <c r="M334" s="57" t="n">
        <v>1</v>
      </c>
      <c r="N334" s="57" t="n">
        <v>5</v>
      </c>
      <c r="O334" s="60" t="n">
        <v>84</v>
      </c>
      <c r="P334" s="55" t="s">
        <v>233</v>
      </c>
      <c r="Q334" s="57" t="n">
        <v>23</v>
      </c>
      <c r="R334" s="60" t="n">
        <f aca="false">IF(BT334=1,0,IFERROR(VLOOKUP(BR334,'Gebinde-Kategorie'!$A$5:$M$45,13,0)+0,0))</f>
        <v>26</v>
      </c>
      <c r="S334" s="61"/>
      <c r="T334" s="62"/>
      <c r="U334" s="62"/>
      <c r="V334" s="62"/>
      <c r="W334" s="55"/>
      <c r="X334" s="57"/>
      <c r="Y334" s="57"/>
      <c r="Z334" s="55" t="n">
        <f aca="false">IF(A334="","",IF(AND(Parameter!$B$21="Ja",ISNUMBER(W334)),W334,IF(BV334="2+3",IF(ISNUMBER(SEARCH("grosser Artikel",BO334)),2,IFERROR(VLOOKUP(BR334,Parameter!$F$35:$G$64,2,0),2)),IF(OR(BV334="Nein",BV334=""),"-",BV334))))</f>
        <v>3</v>
      </c>
      <c r="AA334" s="62"/>
      <c r="AB334" s="63"/>
      <c r="AC334" s="57" t="n">
        <f aca="false">AR334</f>
        <v>23</v>
      </c>
      <c r="AD334" s="57" t="n">
        <f aca="false">MAX(AR334,H334)</f>
        <v>23</v>
      </c>
      <c r="AE334" s="64"/>
      <c r="AF334" s="57" t="n">
        <f aca="false">IF(LEFT(Cockpit!$C$5,1)="A",H334,IF(CA334=1,CB334,IF(LEFT(Cockpit!$C$5,1)="B",AJ334,MAX(AJ334,H334))))</f>
        <v>21</v>
      </c>
      <c r="AG334" s="57" t="n">
        <f aca="false">IF(BT334=1,0,ROUNDUP(AF334/BS334,0))</f>
        <v>1</v>
      </c>
      <c r="AH334" s="59" t="n">
        <f aca="false">IF(CH334&gt;0,CH334*MAX(1,AF334/X334),IF(BT334=1,IF(AF334&lt;=0,0,BW334*MAX(1,IF(H334&gt;0,AF334/H334,1))),IF(R334&gt;0,AG334/R334,0))/MAX(0.1,N(Parameter!$M$21)))</f>
        <v>0.0384615384615385</v>
      </c>
      <c r="AI334" s="57" t="n">
        <f aca="false">AF334*G334</f>
        <v>2247</v>
      </c>
      <c r="AJ334" s="57" t="n">
        <f aca="false">ROUNDUP(MAX(J334/IF(BZ334&gt;0,BZ334,MAX(0.1,N(Cockpit!$C$6))),CC334)/BS334,0)*BS334</f>
        <v>23</v>
      </c>
      <c r="AK334" s="58" t="n">
        <f aca="false">IF(AH334&gt;0,J334/AH334,-1)</f>
        <v>156</v>
      </c>
      <c r="AL334" s="58" t="n">
        <f aca="false">IF(AND(OR(BY334="L1",BY334="L23"),AH334&gt;0),SUMIFS($AH$7:$AH$1843,$BY$7:$BY$1843,BY334,$AK$7:$AK$1843,"&gt;"&amp;AK334)+SUMIFS($AH$7:$AH$1843,$BY$7:$BY$1843,BY334,$AK$7:$AK$1843,AK334,$BQ$7:$BQ$1843,"&lt;="&amp;BQ334),"")</f>
        <v>34.6810327353806</v>
      </c>
      <c r="AM334" s="65" t="n">
        <f aca="false">IF(AL334="",0,MAX(0,MIN(1,(IF(BY334="L1",Parameter!$E$5,Parameter!$E$6+Parameter!$E$7)-(AL334-AH334))/AH334)))</f>
        <v>1</v>
      </c>
      <c r="AN334" s="57" t="n">
        <f aca="false">IF(LEFT(Cockpit!$I$5,1)="A",H334,IF(CA334=1,CB334,IF(LEFT(Cockpit!$I$5,1)="B",AR334,MAX(AR334,H334))))</f>
        <v>23</v>
      </c>
      <c r="AO334" s="57" t="n">
        <f aca="false">IF(BT334=1,0,ROUNDUP(AN334/BS334,0))</f>
        <v>1</v>
      </c>
      <c r="AP334" s="59" t="n">
        <f aca="false">IF(CH334&gt;0,CH334*MAX(1,AN334/X334),IF(BT334=1,IF(AN334&lt;=0,0,BW334*MAX(1,IF(H334&gt;0,AN334/H334,1))),IF(R334&gt;0,AO334/R334,0))/MAX(0.1,N(Parameter!$M$21)))</f>
        <v>0.0384615384615385</v>
      </c>
      <c r="AQ334" s="57" t="n">
        <f aca="false">AN334*G334</f>
        <v>2461</v>
      </c>
      <c r="AR334" s="57" t="n">
        <f aca="false">ROUNDUP(MAX(J334/IF(BZ334&gt;0,BZ334,MAX(0.1,N(Cockpit!$I$6))),CC334)/BS334,0)*BS334</f>
        <v>23</v>
      </c>
      <c r="AS334" s="58" t="n">
        <f aca="false">IF(AP334&gt;0,J334/AP334,-1)</f>
        <v>156</v>
      </c>
      <c r="AT334" s="58" t="n">
        <f aca="false">IF(AND(OR(BY334="L1",BY334="L23"),AP334&gt;0),SUMIFS($AP$7:$AP$1843,$BY$7:$BY$1843,BY334,$AS$7:$AS$1843,"&gt;"&amp;AS334)+SUMIFS($AP$7:$AP$1843,$BY$7:$BY$1843,BY334,$AS$7:$AS$1843,AS334,$BQ$7:$BQ$1843,"&lt;="&amp;BQ334),"")</f>
        <v>48.9711242863417</v>
      </c>
      <c r="AU334" s="65" t="n">
        <f aca="false">IF(AT334="",0,MAX(0,MIN(1,(IF(BY334="L1",Parameter!$E$5,Parameter!$E$6+Parameter!$E$7)-(AT334-AP334))/AP334)))</f>
        <v>1</v>
      </c>
      <c r="AV334" s="57" t="n">
        <f aca="false">IF(LEFT(Cockpit!$O$5,1)="A",H334,IF(CA334=1,CB334,IF(LEFT(Cockpit!$O$5,1)="B",AZ334,MAX(AZ334,H334))))</f>
        <v>23</v>
      </c>
      <c r="AW334" s="57" t="n">
        <f aca="false">IF(BT334=1,0,ROUNDUP(AV334/BS334,0))</f>
        <v>1</v>
      </c>
      <c r="AX334" s="59" t="n">
        <f aca="false">IF(CH334&gt;0,CH334*MAX(1,AV334/X334),IF(BT334=1,IF(AV334&lt;=0,0,BW334*MAX(1,IF(H334&gt;0,AV334/H334,1))),IF(R334&gt;0,AW334/R334,0))/MAX(0.1,N(Parameter!$M$21)))</f>
        <v>0.0384615384615385</v>
      </c>
      <c r="AY334" s="57" t="n">
        <f aca="false">AV334*G334</f>
        <v>2461</v>
      </c>
      <c r="AZ334" s="57" t="n">
        <f aca="false">ROUNDUP(MAX(J334/IF(BZ334&gt;0,BZ334,MAX(0.1,N(Cockpit!$O$6))),CC334)/BS334,0)*BS334</f>
        <v>23</v>
      </c>
      <c r="BA334" s="58" t="n">
        <f aca="false">IF(AX334&gt;0,J334/AX334,-1)</f>
        <v>156</v>
      </c>
      <c r="BB334" s="58" t="n">
        <f aca="false">IF(AND(OR(BY334="L1",BY334="L23"),AX334&gt;0),SUMIFS($AX$7:$AX$1843,$BY$7:$BY$1843,BY334,$BA$7:$BA$1843,"&gt;"&amp;BA334)+SUMIFS($AX$7:$AX$1843,$BY$7:$BY$1843,BY334,$BA$7:$BA$1843,BA334,$BQ$7:$BQ$1843,"&lt;="&amp;BQ334),"")</f>
        <v>44.5509611161785</v>
      </c>
      <c r="BC334" s="65" t="n">
        <f aca="false">IF(BB334="",0,MAX(0,MIN(1,(IF(BY334="L1",Parameter!$E$5,Parameter!$E$6+Parameter!$E$7)-(BB334-AX334))/AX334)))</f>
        <v>1</v>
      </c>
      <c r="BD334" s="55" t="str">
        <f aca="false">IF(AH334&lt;=0,"",IF(BY334="Aussen","Aussenlager",IF(BY334="-","Nicht im Lift",IF(AM334&gt;=1,"Lift",IF(AM334&lt;=0,"Aussenlager","teilweise")))))</f>
        <v>Lift</v>
      </c>
      <c r="BE334" s="55" t="str">
        <f aca="false">IF(AP334&lt;=0,"",IF(BY334="Aussen","Aussenlager",IF(BY334="-","Nicht im Lift",IF(AU334&gt;=1,"Lift",IF(AU334&lt;=0,"Aussenlager","teilweise")))))</f>
        <v>Lift</v>
      </c>
      <c r="BF334" s="55" t="str">
        <f aca="false">IF(AX334&lt;=0,"",IF(BY334="Aussen","Aussenlager",IF(BY334="-","Nicht im Lift",IF(BC334&gt;=1,"Lift",IF(BC334&lt;=0,"Aussenlager","teilweise")))))</f>
        <v>Lift</v>
      </c>
      <c r="BG334" s="55" t="str">
        <f aca="false">IF(A334="","",IF(BP334=1,"Neu; ","")&amp;IF(AND(BP334=0,BK334&lt;0),"negativer Bestand (Export "&amp;BK334&amp;"); ","")&amp;IF(J334&lt;=0,"Kein Verbrauch; ","")&amp;IF(CH334&gt;0,"Lift "&amp;W334&amp;" lt. Liftbericht (Fach "&amp;X334&amp;" Stk); ",IF(BU334=1,"Gebinde geschätzt ("&amp;T334&amp;"); ",IF(BT334=1,"Lose – Tablare geschätzt; ","")))&amp;IF(H334&gt;AR334,"Überbestand "&amp;ROUND(H334-AR334,0)&amp;" Stk / CHF "&amp;ROUND((H334-AR334)*G334,0)&amp;"; ","")&amp;IF(AND(CA334=1,CB334&lt;CC334),"MAX &lt; MB+LG; ","")&amp;IF(AND(CG334&gt;0,CF334*10&gt;CG334),"zu hoch für Tablar; ","")&amp;IF(AND(BP334=0,OR(CA334=1,AA334&lt;&gt;"",U334&lt;&gt;"",V334&lt;&gt;"",AB334&lt;&gt;"")),"manuell übersteuert; ","")&amp;IF(AND(BT334=0,R334=0),"Gebinde unbekannt / Stellmass fehlt; ","")&amp;IF(AND(BT334=0,N(V334)&lt;=0,N(Q334)&lt;=0),"Menge pro Gebinde fehlt (Ist = 1 Gebinde); ","")&amp;BO334)</f>
        <v/>
      </c>
      <c r="BH334" s="55"/>
      <c r="BI334" s="55"/>
      <c r="BJ334" s="62"/>
      <c r="BK334" s="57" t="n">
        <v>2</v>
      </c>
      <c r="BL334" s="57" t="n">
        <v>19</v>
      </c>
      <c r="BM334" s="56" t="n">
        <v>214</v>
      </c>
      <c r="BN334" s="57" t="n">
        <v>6</v>
      </c>
      <c r="BO334" s="55"/>
      <c r="BP334" s="60" t="n">
        <v>0</v>
      </c>
      <c r="BQ334" s="60" t="n">
        <v>334</v>
      </c>
      <c r="BR334" s="55" t="str">
        <f aca="false">IF(U334&lt;&gt;"",UPPER(TRIM(U334)),IF(BU334=1,UPPER(VLOOKUP(T334,Parameter!$I$27:$K$29,2,0)),IF(P334="","LOSE",P334)))</f>
        <v>S52</v>
      </c>
      <c r="BS334" s="57" t="n">
        <f aca="false">IF(BR334="LOSE",1,IF(N(V334)&gt;0,V334,IF(BU334=1,MAX(1,N(VLOOKUP(T334,Parameter!$I$27:$K$29,3,0)),H334,N(N334)),IF(N(Q334)&gt;0,Q334,MAX(1,H334)))))</f>
        <v>23</v>
      </c>
      <c r="BT334" s="60" t="n">
        <f aca="false">IF(BR334="LOSE",1,0)</f>
        <v>0</v>
      </c>
      <c r="BU334" s="60" t="n">
        <f aca="false">IF(AND(U334="",OR(P334="",P334="LOSE"),T334&lt;&gt;"",N(S334)&lt;=0,ISNUMBER(MATCH(T334,Parameter!$I$27:$I$29,0))),1,0)</f>
        <v>0</v>
      </c>
      <c r="BV334" s="55" t="str">
        <f aca="false">IF(AND(Parameter!$B$19="Ja",E334&lt;&gt;"",ISNUMBER(MATCH(E334,Parameter!$I$35:$I$52,0))),VLOOKUP(E334,Parameter!$I$35:$J$52,2,0),IFERROR(VLOOKUP(D334,Parameter!$A$35:$C$64,2,0),"Nein"))</f>
        <v>2+3</v>
      </c>
      <c r="BW334" s="59" t="n">
        <f aca="false">IF(BT334=0,0,IF(N(S334)&gt;0,S334,IFERROR(VLOOKUP(D334,Parameter!$A$35:$C$64,3,0)+0,0)))</f>
        <v>0</v>
      </c>
      <c r="BX334" s="55" t="n">
        <f aca="false">IF(AA334&lt;&gt;"",AA334,Z334)</f>
        <v>3</v>
      </c>
      <c r="BY334" s="55" t="str">
        <f aca="false">IF(BX334=1,"L1",IF(OR(BX334=2,BX334=3),"L23",IF(BX334="Aussen","Aussen","-")))</f>
        <v>L23</v>
      </c>
      <c r="BZ334" s="66" t="n">
        <f aca="false">IF(N(AB334)&gt;0,AB334,0)</f>
        <v>0</v>
      </c>
      <c r="CA334" s="60" t="n">
        <f aca="false">IF(ISNUMBER(AE334),1,0)</f>
        <v>0</v>
      </c>
      <c r="CB334" s="57" t="n">
        <f aca="false">N(AE334)</f>
        <v>0</v>
      </c>
      <c r="CC334" s="57" t="n">
        <f aca="false">N(M334)+N(N334)</f>
        <v>6</v>
      </c>
      <c r="CD334" s="57" t="n">
        <f aca="false">ROUNDUP(H334/BS334,0)</f>
        <v>1</v>
      </c>
      <c r="CE334" s="57" t="n">
        <f aca="false">ROUNDUP(CB334/BS334,0)</f>
        <v>0</v>
      </c>
      <c r="CF334" s="60" t="n">
        <f aca="false">IF(BT334=1,0,IFERROR(VLOOKUP(BR334,'Gebinde-Kategorie'!$A$5:$M$45,5,0)+0,0))</f>
        <v>21</v>
      </c>
      <c r="CG334" s="60" t="n">
        <f aca="false">IFERROR(IF(OR(BX334=1,BX334=2,BX334=3),N(INDEX(Parameter!$I$5:$I$7,BX334)),0),0)</f>
        <v>0</v>
      </c>
      <c r="CH334" s="59" t="n">
        <f aca="false">IF(AND(Parameter!$B$21="Ja",ISNUMBER(W334),N(X334)&gt;0),IFERROR(N(INDEX(Parameter!$L$5:$L$7,W334))*INDEX(Parameter!$E$5:$E$7,W334)*X334/SUMIFS($X$7:$X$1843,$W$7:$W$1843,W334),0),0)</f>
        <v>0</v>
      </c>
    </row>
    <row r="335" customFormat="false" ht="15" hidden="false" customHeight="false" outlineLevel="0" collapsed="false">
      <c r="A335" s="55" t="s">
        <v>830</v>
      </c>
      <c r="B335" s="55" t="s">
        <v>831</v>
      </c>
      <c r="C335" s="55" t="s">
        <v>164</v>
      </c>
      <c r="D335" s="55" t="s">
        <v>184</v>
      </c>
      <c r="E335" s="55" t="s">
        <v>185</v>
      </c>
      <c r="F335" s="55" t="s">
        <v>218</v>
      </c>
      <c r="G335" s="56" t="n">
        <v>43.47</v>
      </c>
      <c r="H335" s="57" t="n">
        <f aca="false">MAX(0,IF(AND(Parameter!$B$21="Ja",ISNUMBER(Y335)),Y335,IF(Parameter!$B$20="Jahresanfang 2025 + Export",BL335+BK335,BK335)))</f>
        <v>15</v>
      </c>
      <c r="I335" s="57" t="n">
        <f aca="false">H335*G335</f>
        <v>652.05</v>
      </c>
      <c r="J335" s="57" t="n">
        <f aca="false">BN335*Parameter!$B$18</f>
        <v>6</v>
      </c>
      <c r="K335" s="58" t="n">
        <v>10</v>
      </c>
      <c r="L335" s="59" t="n">
        <v>0.6</v>
      </c>
      <c r="M335" s="57" t="n">
        <v>0</v>
      </c>
      <c r="N335" s="57" t="n">
        <v>5</v>
      </c>
      <c r="O335" s="60" t="n">
        <v>35</v>
      </c>
      <c r="P335" s="55" t="s">
        <v>476</v>
      </c>
      <c r="Q335" s="57" t="n">
        <v>18</v>
      </c>
      <c r="R335" s="60" t="n">
        <f aca="false">IF(BT335=1,0,IFERROR(VLOOKUP(BR335,'Gebinde-Kategorie'!$A$5:$M$45,13,0)+0,0))</f>
        <v>66</v>
      </c>
      <c r="S335" s="61"/>
      <c r="T335" s="62"/>
      <c r="U335" s="62"/>
      <c r="V335" s="62"/>
      <c r="W335" s="55"/>
      <c r="X335" s="57"/>
      <c r="Y335" s="57"/>
      <c r="Z335" s="55" t="n">
        <f aca="false">IF(A335="","",IF(AND(Parameter!$B$21="Ja",ISNUMBER(W335)),W335,IF(BV335="2+3",IF(ISNUMBER(SEARCH("grosser Artikel",BO335)),2,IFERROR(VLOOKUP(BR335,Parameter!$F$35:$G$64,2,0),2)),IF(OR(BV335="Nein",BV335=""),"-",BV335))))</f>
        <v>3</v>
      </c>
      <c r="AA335" s="62"/>
      <c r="AB335" s="63"/>
      <c r="AC335" s="57" t="n">
        <f aca="false">AR335</f>
        <v>18</v>
      </c>
      <c r="AD335" s="57" t="n">
        <f aca="false">MAX(AR335,H335)</f>
        <v>18</v>
      </c>
      <c r="AE335" s="64"/>
      <c r="AF335" s="57" t="n">
        <f aca="false">IF(LEFT(Cockpit!$C$5,1)="A",H335,IF(CA335=1,CB335,IF(LEFT(Cockpit!$C$5,1)="B",AJ335,MAX(AJ335,H335))))</f>
        <v>15</v>
      </c>
      <c r="AG335" s="57" t="n">
        <f aca="false">IF(BT335=1,0,ROUNDUP(AF335/BS335,0))</f>
        <v>1</v>
      </c>
      <c r="AH335" s="59" t="n">
        <f aca="false">IF(CH335&gt;0,CH335*MAX(1,AF335/X335),IF(BT335=1,IF(AF335&lt;=0,0,BW335*MAX(1,IF(H335&gt;0,AF335/H335,1))),IF(R335&gt;0,AG335/R335,0))/MAX(0.1,N(Parameter!$M$21)))</f>
        <v>0.0151515151515152</v>
      </c>
      <c r="AI335" s="57" t="n">
        <f aca="false">AF335*G335</f>
        <v>652.05</v>
      </c>
      <c r="AJ335" s="57" t="n">
        <f aca="false">ROUNDUP(MAX(J335/IF(BZ335&gt;0,BZ335,MAX(0.1,N(Cockpit!$C$6))),CC335)/BS335,0)*BS335</f>
        <v>18</v>
      </c>
      <c r="AK335" s="58" t="n">
        <f aca="false">IF(AH335&gt;0,J335/AH335,-1)</f>
        <v>396</v>
      </c>
      <c r="AL335" s="58" t="n">
        <f aca="false">IF(AND(OR(BY335="L1",BY335="L23"),AH335&gt;0),SUMIFS($AH$7:$AH$1843,$BY$7:$BY$1843,BY335,$AK$7:$AK$1843,"&gt;"&amp;AK335)+SUMIFS($AH$7:$AH$1843,$BY$7:$BY$1843,BY335,$AK$7:$AK$1843,AK335,$BQ$7:$BQ$1843,"&lt;="&amp;BQ335),"")</f>
        <v>25.8672257693997</v>
      </c>
      <c r="AM335" s="65" t="n">
        <f aca="false">IF(AL335="",0,MAX(0,MIN(1,(IF(BY335="L1",Parameter!$E$5,Parameter!$E$6+Parameter!$E$7)-(AL335-AH335))/AH335)))</f>
        <v>1</v>
      </c>
      <c r="AN335" s="57" t="n">
        <f aca="false">IF(LEFT(Cockpit!$I$5,1)="A",H335,IF(CA335=1,CB335,IF(LEFT(Cockpit!$I$5,1)="B",AR335,MAX(AR335,H335))))</f>
        <v>18</v>
      </c>
      <c r="AO335" s="57" t="n">
        <f aca="false">IF(BT335=1,0,ROUNDUP(AN335/BS335,0))</f>
        <v>1</v>
      </c>
      <c r="AP335" s="59" t="n">
        <f aca="false">IF(CH335&gt;0,CH335*MAX(1,AN335/X335),IF(BT335=1,IF(AN335&lt;=0,0,BW335*MAX(1,IF(H335&gt;0,AN335/H335,1))),IF(R335&gt;0,AO335/R335,0))/MAX(0.1,N(Parameter!$M$21)))</f>
        <v>0.0151515151515152</v>
      </c>
      <c r="AQ335" s="57" t="n">
        <f aca="false">AN335*G335</f>
        <v>782.46</v>
      </c>
      <c r="AR335" s="57" t="n">
        <f aca="false">ROUNDUP(MAX(J335/IF(BZ335&gt;0,BZ335,MAX(0.1,N(Cockpit!$I$6))),CC335)/BS335,0)*BS335</f>
        <v>18</v>
      </c>
      <c r="AS335" s="58" t="n">
        <f aca="false">IF(AP335&gt;0,J335/AP335,-1)</f>
        <v>396</v>
      </c>
      <c r="AT335" s="58" t="n">
        <f aca="false">IF(AND(OR(BY335="L1",BY335="L23"),AP335&gt;0),SUMIFS($AP$7:$AP$1843,$BY$7:$BY$1843,BY335,$AS$7:$AS$1843,"&gt;"&amp;AS335)+SUMIFS($AP$7:$AP$1843,$BY$7:$BY$1843,BY335,$AS$7:$AS$1843,AS335,$BQ$7:$BQ$1843,"&lt;="&amp;BQ335),"")</f>
        <v>35.3055302185737</v>
      </c>
      <c r="AU335" s="65" t="n">
        <f aca="false">IF(AT335="",0,MAX(0,MIN(1,(IF(BY335="L1",Parameter!$E$5,Parameter!$E$6+Parameter!$E$7)-(AT335-AP335))/AP335)))</f>
        <v>1</v>
      </c>
      <c r="AV335" s="57" t="n">
        <f aca="false">IF(LEFT(Cockpit!$O$5,1)="A",H335,IF(CA335=1,CB335,IF(LEFT(Cockpit!$O$5,1)="B",AZ335,MAX(AZ335,H335))))</f>
        <v>18</v>
      </c>
      <c r="AW335" s="57" t="n">
        <f aca="false">IF(BT335=1,0,ROUNDUP(AV335/BS335,0))</f>
        <v>1</v>
      </c>
      <c r="AX335" s="59" t="n">
        <f aca="false">IF(CH335&gt;0,CH335*MAX(1,AV335/X335),IF(BT335=1,IF(AV335&lt;=0,0,BW335*MAX(1,IF(H335&gt;0,AV335/H335,1))),IF(R335&gt;0,AW335/R335,0))/MAX(0.1,N(Parameter!$M$21)))</f>
        <v>0.0151515151515152</v>
      </c>
      <c r="AY335" s="57" t="n">
        <f aca="false">AV335*G335</f>
        <v>782.46</v>
      </c>
      <c r="AZ335" s="57" t="n">
        <f aca="false">ROUNDUP(MAX(J335/IF(BZ335&gt;0,BZ335,MAX(0.1,N(Cockpit!$O$6))),CC335)/BS335,0)*BS335</f>
        <v>18</v>
      </c>
      <c r="BA335" s="58" t="n">
        <f aca="false">IF(AX335&gt;0,J335/AX335,-1)</f>
        <v>396</v>
      </c>
      <c r="BB335" s="58" t="n">
        <f aca="false">IF(AND(OR(BY335="L1",BY335="L23"),AX335&gt;0),SUMIFS($AX$7:$AX$1843,$BY$7:$BY$1843,BY335,$BA$7:$BA$1843,"&gt;"&amp;BA335)+SUMIFS($AX$7:$AX$1843,$BY$7:$BY$1843,BY335,$BA$7:$BA$1843,BA335,$BQ$7:$BQ$1843,"&lt;="&amp;BQ335),"")</f>
        <v>34.5520337150772</v>
      </c>
      <c r="BC335" s="65" t="n">
        <f aca="false">IF(BB335="",0,MAX(0,MIN(1,(IF(BY335="L1",Parameter!$E$5,Parameter!$E$6+Parameter!$E$7)-(BB335-AX335))/AX335)))</f>
        <v>1</v>
      </c>
      <c r="BD335" s="55" t="str">
        <f aca="false">IF(AH335&lt;=0,"",IF(BY335="Aussen","Aussenlager",IF(BY335="-","Nicht im Lift",IF(AM335&gt;=1,"Lift",IF(AM335&lt;=0,"Aussenlager","teilweise")))))</f>
        <v>Lift</v>
      </c>
      <c r="BE335" s="55" t="str">
        <f aca="false">IF(AP335&lt;=0,"",IF(BY335="Aussen","Aussenlager",IF(BY335="-","Nicht im Lift",IF(AU335&gt;=1,"Lift",IF(AU335&lt;=0,"Aussenlager","teilweise")))))</f>
        <v>Lift</v>
      </c>
      <c r="BF335" s="55" t="str">
        <f aca="false">IF(AX335&lt;=0,"",IF(BY335="Aussen","Aussenlager",IF(BY335="-","Nicht im Lift",IF(BC335&gt;=1,"Lift",IF(BC335&lt;=0,"Aussenlager","teilweise")))))</f>
        <v>Lift</v>
      </c>
      <c r="BG335" s="55" t="str">
        <f aca="false">IF(A335="","",IF(BP335=1,"Neu; ","")&amp;IF(AND(BP335=0,BK335&lt;0),"negativer Bestand (Export "&amp;BK335&amp;"); ","")&amp;IF(J335&lt;=0,"Kein Verbrauch; ","")&amp;IF(CH335&gt;0,"Lift "&amp;W335&amp;" lt. Liftbericht (Fach "&amp;X335&amp;" Stk); ",IF(BU335=1,"Gebinde geschätzt ("&amp;T335&amp;"); ",IF(BT335=1,"Lose – Tablare geschätzt; ","")))&amp;IF(H335&gt;AR335,"Überbestand "&amp;ROUND(H335-AR335,0)&amp;" Stk / CHF "&amp;ROUND((H335-AR335)*G335,0)&amp;"; ","")&amp;IF(AND(CA335=1,CB335&lt;CC335),"MAX &lt; MB+LG; ","")&amp;IF(AND(CG335&gt;0,CF335*10&gt;CG335),"zu hoch für Tablar; ","")&amp;IF(AND(BP335=0,OR(CA335=1,AA335&lt;&gt;"",U335&lt;&gt;"",V335&lt;&gt;"",AB335&lt;&gt;"")),"manuell übersteuert; ","")&amp;IF(AND(BT335=0,R335=0),"Gebinde unbekannt / Stellmass fehlt; ","")&amp;IF(AND(BT335=0,N(V335)&lt;=0,N(Q335)&lt;=0),"Menge pro Gebinde fehlt (Ist = 1 Gebinde); ","")&amp;BO335)</f>
        <v/>
      </c>
      <c r="BH335" s="55"/>
      <c r="BI335" s="55"/>
      <c r="BJ335" s="62"/>
      <c r="BK335" s="57" t="n">
        <v>4</v>
      </c>
      <c r="BL335" s="57" t="n">
        <v>11</v>
      </c>
      <c r="BM335" s="56" t="n">
        <v>213.81</v>
      </c>
      <c r="BN335" s="57" t="n">
        <v>6</v>
      </c>
      <c r="BO335" s="55"/>
      <c r="BP335" s="60" t="n">
        <v>0</v>
      </c>
      <c r="BQ335" s="60" t="n">
        <v>335</v>
      </c>
      <c r="BR335" s="55" t="str">
        <f aca="false">IF(U335&lt;&gt;"",UPPER(TRIM(U335)),IF(BU335=1,UPPER(VLOOKUP(T335,Parameter!$I$27:$K$29,2,0)),IF(P335="","LOSE",P335)))</f>
        <v>S33</v>
      </c>
      <c r="BS335" s="57" t="n">
        <f aca="false">IF(BR335="LOSE",1,IF(N(V335)&gt;0,V335,IF(BU335=1,MAX(1,N(VLOOKUP(T335,Parameter!$I$27:$K$29,3,0)),H335,N(N335)),IF(N(Q335)&gt;0,Q335,MAX(1,H335)))))</f>
        <v>18</v>
      </c>
      <c r="BT335" s="60" t="n">
        <f aca="false">IF(BR335="LOSE",1,0)</f>
        <v>0</v>
      </c>
      <c r="BU335" s="60" t="n">
        <f aca="false">IF(AND(U335="",OR(P335="",P335="LOSE"),T335&lt;&gt;"",N(S335)&lt;=0,ISNUMBER(MATCH(T335,Parameter!$I$27:$I$29,0))),1,0)</f>
        <v>0</v>
      </c>
      <c r="BV335" s="55" t="str">
        <f aca="false">IF(AND(Parameter!$B$19="Ja",E335&lt;&gt;"",ISNUMBER(MATCH(E335,Parameter!$I$35:$I$52,0))),VLOOKUP(E335,Parameter!$I$35:$J$52,2,0),IFERROR(VLOOKUP(D335,Parameter!$A$35:$C$64,2,0),"Nein"))</f>
        <v>2+3</v>
      </c>
      <c r="BW335" s="59" t="n">
        <f aca="false">IF(BT335=0,0,IF(N(S335)&gt;0,S335,IFERROR(VLOOKUP(D335,Parameter!$A$35:$C$64,3,0)+0,0)))</f>
        <v>0</v>
      </c>
      <c r="BX335" s="55" t="n">
        <f aca="false">IF(AA335&lt;&gt;"",AA335,Z335)</f>
        <v>3</v>
      </c>
      <c r="BY335" s="55" t="str">
        <f aca="false">IF(BX335=1,"L1",IF(OR(BX335=2,BX335=3),"L23",IF(BX335="Aussen","Aussen","-")))</f>
        <v>L23</v>
      </c>
      <c r="BZ335" s="66" t="n">
        <f aca="false">IF(N(AB335)&gt;0,AB335,0)</f>
        <v>0</v>
      </c>
      <c r="CA335" s="60" t="n">
        <f aca="false">IF(ISNUMBER(AE335),1,0)</f>
        <v>0</v>
      </c>
      <c r="CB335" s="57" t="n">
        <f aca="false">N(AE335)</f>
        <v>0</v>
      </c>
      <c r="CC335" s="57" t="n">
        <f aca="false">N(M335)+N(N335)</f>
        <v>5</v>
      </c>
      <c r="CD335" s="57" t="n">
        <f aca="false">ROUNDUP(H335/BS335,0)</f>
        <v>1</v>
      </c>
      <c r="CE335" s="57" t="n">
        <f aca="false">ROUNDUP(CB335/BS335,0)</f>
        <v>0</v>
      </c>
      <c r="CF335" s="60" t="n">
        <f aca="false">IF(BT335=1,0,IFERROR(VLOOKUP(BR335,'Gebinde-Kategorie'!$A$5:$M$45,5,0)+0,0))</f>
        <v>8</v>
      </c>
      <c r="CG335" s="60" t="n">
        <f aca="false">IFERROR(IF(OR(BX335=1,BX335=2,BX335=3),N(INDEX(Parameter!$I$5:$I$7,BX335)),0),0)</f>
        <v>0</v>
      </c>
      <c r="CH335" s="59" t="n">
        <f aca="false">IF(AND(Parameter!$B$21="Ja",ISNUMBER(W335),N(X335)&gt;0),IFERROR(N(INDEX(Parameter!$L$5:$L$7,W335))*INDEX(Parameter!$E$5:$E$7,W335)*X335/SUMIFS($X$7:$X$1843,$W$7:$W$1843,W335),0),0)</f>
        <v>0</v>
      </c>
    </row>
    <row r="336" customFormat="false" ht="15" hidden="false" customHeight="false" outlineLevel="0" collapsed="false">
      <c r="A336" s="55" t="s">
        <v>832</v>
      </c>
      <c r="B336" s="55" t="s">
        <v>507</v>
      </c>
      <c r="C336" s="55" t="s">
        <v>164</v>
      </c>
      <c r="D336" s="55" t="s">
        <v>184</v>
      </c>
      <c r="E336" s="55" t="s">
        <v>185</v>
      </c>
      <c r="F336" s="55" t="s">
        <v>218</v>
      </c>
      <c r="G336" s="56" t="n">
        <v>4.65</v>
      </c>
      <c r="H336" s="57" t="n">
        <f aca="false">MAX(0,IF(AND(Parameter!$B$21="Ja",ISNUMBER(Y336)),Y336,IF(Parameter!$B$20="Jahresanfang 2025 + Export",BL336+BK336,BK336)))</f>
        <v>109</v>
      </c>
      <c r="I336" s="57" t="n">
        <f aca="false">H336*G336</f>
        <v>506.85</v>
      </c>
      <c r="J336" s="57" t="n">
        <f aca="false">BN336*Parameter!$B$18</f>
        <v>127</v>
      </c>
      <c r="K336" s="58" t="n">
        <v>60</v>
      </c>
      <c r="L336" s="59" t="n">
        <v>2.11666666666667</v>
      </c>
      <c r="M336" s="57" t="n">
        <v>7</v>
      </c>
      <c r="N336" s="57" t="n">
        <v>125</v>
      </c>
      <c r="O336" s="60" t="n">
        <v>21</v>
      </c>
      <c r="P336" s="55" t="s">
        <v>476</v>
      </c>
      <c r="Q336" s="57" t="n">
        <v>61</v>
      </c>
      <c r="R336" s="60" t="n">
        <f aca="false">IF(BT336=1,0,IFERROR(VLOOKUP(BR336,'Gebinde-Kategorie'!$A$5:$M$45,13,0)+0,0))</f>
        <v>66</v>
      </c>
      <c r="S336" s="61"/>
      <c r="T336" s="62"/>
      <c r="U336" s="62"/>
      <c r="V336" s="62"/>
      <c r="W336" s="55"/>
      <c r="X336" s="57"/>
      <c r="Y336" s="57"/>
      <c r="Z336" s="55" t="n">
        <f aca="false">IF(A336="","",IF(AND(Parameter!$B$21="Ja",ISNUMBER(W336)),W336,IF(BV336="2+3",IF(ISNUMBER(SEARCH("grosser Artikel",BO336)),2,IFERROR(VLOOKUP(BR336,Parameter!$F$35:$G$64,2,0),2)),IF(OR(BV336="Nein",BV336=""),"-",BV336))))</f>
        <v>3</v>
      </c>
      <c r="AA336" s="62"/>
      <c r="AB336" s="63"/>
      <c r="AC336" s="57" t="n">
        <f aca="false">AR336</f>
        <v>183</v>
      </c>
      <c r="AD336" s="57" t="n">
        <f aca="false">MAX(AR336,H336)</f>
        <v>183</v>
      </c>
      <c r="AE336" s="64"/>
      <c r="AF336" s="57" t="n">
        <f aca="false">IF(LEFT(Cockpit!$C$5,1)="A",H336,IF(CA336=1,CB336,IF(LEFT(Cockpit!$C$5,1)="B",AJ336,MAX(AJ336,H336))))</f>
        <v>109</v>
      </c>
      <c r="AG336" s="57" t="n">
        <f aca="false">IF(BT336=1,0,ROUNDUP(AF336/BS336,0))</f>
        <v>2</v>
      </c>
      <c r="AH336" s="59" t="n">
        <f aca="false">IF(CH336&gt;0,CH336*MAX(1,AF336/X336),IF(BT336=1,IF(AF336&lt;=0,0,BW336*MAX(1,IF(H336&gt;0,AF336/H336,1))),IF(R336&gt;0,AG336/R336,0))/MAX(0.1,N(Parameter!$M$21)))</f>
        <v>0.0303030303030303</v>
      </c>
      <c r="AI336" s="57" t="n">
        <f aca="false">AF336*G336</f>
        <v>506.85</v>
      </c>
      <c r="AJ336" s="57" t="n">
        <f aca="false">ROUNDUP(MAX(J336/IF(BZ336&gt;0,BZ336,MAX(0.1,N(Cockpit!$C$6))),CC336)/BS336,0)*BS336</f>
        <v>183</v>
      </c>
      <c r="AK336" s="58" t="n">
        <f aca="false">IF(AH336&gt;0,J336/AH336,-1)</f>
        <v>4191</v>
      </c>
      <c r="AL336" s="58" t="n">
        <f aca="false">IF(AND(OR(BY336="L1",BY336="L23"),AH336&gt;0),SUMIFS($AH$7:$AH$1843,$BY$7:$BY$1843,BY336,$AK$7:$AK$1843,"&gt;"&amp;AK336)+SUMIFS($AH$7:$AH$1843,$BY$7:$BY$1843,BY336,$AK$7:$AK$1843,AK336,$BQ$7:$BQ$1843,"&lt;="&amp;BQ336),"")</f>
        <v>8.27277794669099</v>
      </c>
      <c r="AM336" s="65" t="n">
        <f aca="false">IF(AL336="",0,MAX(0,MIN(1,(IF(BY336="L1",Parameter!$E$5,Parameter!$E$6+Parameter!$E$7)-(AL336-AH336))/AH336)))</f>
        <v>1</v>
      </c>
      <c r="AN336" s="57" t="n">
        <f aca="false">IF(LEFT(Cockpit!$I$5,1)="A",H336,IF(CA336=1,CB336,IF(LEFT(Cockpit!$I$5,1)="B",AR336,MAX(AR336,H336))))</f>
        <v>183</v>
      </c>
      <c r="AO336" s="57" t="n">
        <f aca="false">IF(BT336=1,0,ROUNDUP(AN336/BS336,0))</f>
        <v>3</v>
      </c>
      <c r="AP336" s="59" t="n">
        <f aca="false">IF(CH336&gt;0,CH336*MAX(1,AN336/X336),IF(BT336=1,IF(AN336&lt;=0,0,BW336*MAX(1,IF(H336&gt;0,AN336/H336,1))),IF(R336&gt;0,AO336/R336,0))/MAX(0.1,N(Parameter!$M$21)))</f>
        <v>0.0454545454545455</v>
      </c>
      <c r="AQ336" s="57" t="n">
        <f aca="false">AN336*G336</f>
        <v>850.95</v>
      </c>
      <c r="AR336" s="57" t="n">
        <f aca="false">ROUNDUP(MAX(J336/IF(BZ336&gt;0,BZ336,MAX(0.1,N(Cockpit!$I$6))),CC336)/BS336,0)*BS336</f>
        <v>183</v>
      </c>
      <c r="AS336" s="58" t="n">
        <f aca="false">IF(AP336&gt;0,J336/AP336,-1)</f>
        <v>2794</v>
      </c>
      <c r="AT336" s="58" t="n">
        <f aca="false">IF(AND(OR(BY336="L1",BY336="L23"),AP336&gt;0),SUMIFS($AP$7:$AP$1843,$BY$7:$BY$1843,BY336,$AS$7:$AS$1843,"&gt;"&amp;AS336)+SUMIFS($AP$7:$AP$1843,$BY$7:$BY$1843,BY336,$AS$7:$AS$1843,AS336,$BQ$7:$BQ$1843,"&lt;="&amp;BQ336),"")</f>
        <v>15.7856153508327</v>
      </c>
      <c r="AU336" s="65" t="n">
        <f aca="false">IF(AT336="",0,MAX(0,MIN(1,(IF(BY336="L1",Parameter!$E$5,Parameter!$E$6+Parameter!$E$7)-(AT336-AP336))/AP336)))</f>
        <v>1</v>
      </c>
      <c r="AV336" s="57" t="n">
        <f aca="false">IF(LEFT(Cockpit!$O$5,1)="A",H336,IF(CA336=1,CB336,IF(LEFT(Cockpit!$O$5,1)="B",AZ336,MAX(AZ336,H336))))</f>
        <v>183</v>
      </c>
      <c r="AW336" s="57" t="n">
        <f aca="false">IF(BT336=1,0,ROUNDUP(AV336/BS336,0))</f>
        <v>3</v>
      </c>
      <c r="AX336" s="59" t="n">
        <f aca="false">IF(CH336&gt;0,CH336*MAX(1,AV336/X336),IF(BT336=1,IF(AV336&lt;=0,0,BW336*MAX(1,IF(H336&gt;0,AV336/H336,1))),IF(R336&gt;0,AW336/R336,0))/MAX(0.1,N(Parameter!$M$21)))</f>
        <v>0.0454545454545455</v>
      </c>
      <c r="AY336" s="57" t="n">
        <f aca="false">AV336*G336</f>
        <v>850.95</v>
      </c>
      <c r="AZ336" s="57" t="n">
        <f aca="false">ROUNDUP(MAX(J336/IF(BZ336&gt;0,BZ336,MAX(0.1,N(Cockpit!$O$6))),CC336)/BS336,0)*BS336</f>
        <v>183</v>
      </c>
      <c r="BA336" s="58" t="n">
        <f aca="false">IF(AX336&gt;0,J336/AX336,-1)</f>
        <v>2794</v>
      </c>
      <c r="BB336" s="58" t="n">
        <f aca="false">IF(AND(OR(BY336="L1",BY336="L23"),AX336&gt;0),SUMIFS($AX$7:$AX$1843,$BY$7:$BY$1843,BY336,$BA$7:$BA$1843,"&gt;"&amp;BA336)+SUMIFS($AX$7:$AX$1843,$BY$7:$BY$1843,BY336,$BA$7:$BA$1843,BA336,$BQ$7:$BQ$1843,"&lt;="&amp;BQ336),"")</f>
        <v>14.275708590926</v>
      </c>
      <c r="BC336" s="65" t="n">
        <f aca="false">IF(BB336="",0,MAX(0,MIN(1,(IF(BY336="L1",Parameter!$E$5,Parameter!$E$6+Parameter!$E$7)-(BB336-AX336))/AX336)))</f>
        <v>1</v>
      </c>
      <c r="BD336" s="55" t="str">
        <f aca="false">IF(AH336&lt;=0,"",IF(BY336="Aussen","Aussenlager",IF(BY336="-","Nicht im Lift",IF(AM336&gt;=1,"Lift",IF(AM336&lt;=0,"Aussenlager","teilweise")))))</f>
        <v>Lift</v>
      </c>
      <c r="BE336" s="55" t="str">
        <f aca="false">IF(AP336&lt;=0,"",IF(BY336="Aussen","Aussenlager",IF(BY336="-","Nicht im Lift",IF(AU336&gt;=1,"Lift",IF(AU336&lt;=0,"Aussenlager","teilweise")))))</f>
        <v>Lift</v>
      </c>
      <c r="BF336" s="55" t="str">
        <f aca="false">IF(AX336&lt;=0,"",IF(BY336="Aussen","Aussenlager",IF(BY336="-","Nicht im Lift",IF(BC336&gt;=1,"Lift",IF(BC336&lt;=0,"Aussenlager","teilweise")))))</f>
        <v>Lift</v>
      </c>
      <c r="BG336" s="55" t="str">
        <f aca="false">IF(A336="","",IF(BP336=1,"Neu; ","")&amp;IF(AND(BP336=0,BK336&lt;0),"negativer Bestand (Export "&amp;BK336&amp;"); ","")&amp;IF(J336&lt;=0,"Kein Verbrauch; ","")&amp;IF(CH336&gt;0,"Lift "&amp;W336&amp;" lt. Liftbericht (Fach "&amp;X336&amp;" Stk); ",IF(BU336=1,"Gebinde geschätzt ("&amp;T336&amp;"); ",IF(BT336=1,"Lose – Tablare geschätzt; ","")))&amp;IF(H336&gt;AR336,"Überbestand "&amp;ROUND(H336-AR336,0)&amp;" Stk / CHF "&amp;ROUND((H336-AR336)*G336,0)&amp;"; ","")&amp;IF(AND(CA336=1,CB336&lt;CC336),"MAX &lt; MB+LG; ","")&amp;IF(AND(CG336&gt;0,CF336*10&gt;CG336),"zu hoch für Tablar; ","")&amp;IF(AND(BP336=0,OR(CA336=1,AA336&lt;&gt;"",U336&lt;&gt;"",V336&lt;&gt;"",AB336&lt;&gt;"")),"manuell übersteuert; ","")&amp;IF(AND(BT336=0,R336=0),"Gebinde unbekannt / Stellmass fehlt; ","")&amp;IF(AND(BT336=0,N(V336)&lt;=0,N(Q336)&lt;=0),"Menge pro Gebinde fehlt (Ist = 1 Gebinde); ","")&amp;BO336)</f>
        <v/>
      </c>
      <c r="BH336" s="55"/>
      <c r="BI336" s="55"/>
      <c r="BJ336" s="62"/>
      <c r="BK336" s="57" t="n">
        <v>46</v>
      </c>
      <c r="BL336" s="57" t="n">
        <v>63</v>
      </c>
      <c r="BM336" s="56" t="n">
        <v>212.640000000001</v>
      </c>
      <c r="BN336" s="57" t="n">
        <v>127</v>
      </c>
      <c r="BO336" s="55"/>
      <c r="BP336" s="60" t="n">
        <v>0</v>
      </c>
      <c r="BQ336" s="60" t="n">
        <v>336</v>
      </c>
      <c r="BR336" s="55" t="str">
        <f aca="false">IF(U336&lt;&gt;"",UPPER(TRIM(U336)),IF(BU336=1,UPPER(VLOOKUP(T336,Parameter!$I$27:$K$29,2,0)),IF(P336="","LOSE",P336)))</f>
        <v>S33</v>
      </c>
      <c r="BS336" s="57" t="n">
        <f aca="false">IF(BR336="LOSE",1,IF(N(V336)&gt;0,V336,IF(BU336=1,MAX(1,N(VLOOKUP(T336,Parameter!$I$27:$K$29,3,0)),H336,N(N336)),IF(N(Q336)&gt;0,Q336,MAX(1,H336)))))</f>
        <v>61</v>
      </c>
      <c r="BT336" s="60" t="n">
        <f aca="false">IF(BR336="LOSE",1,0)</f>
        <v>0</v>
      </c>
      <c r="BU336" s="60" t="n">
        <f aca="false">IF(AND(U336="",OR(P336="",P336="LOSE"),T336&lt;&gt;"",N(S336)&lt;=0,ISNUMBER(MATCH(T336,Parameter!$I$27:$I$29,0))),1,0)</f>
        <v>0</v>
      </c>
      <c r="BV336" s="55" t="str">
        <f aca="false">IF(AND(Parameter!$B$19="Ja",E336&lt;&gt;"",ISNUMBER(MATCH(E336,Parameter!$I$35:$I$52,0))),VLOOKUP(E336,Parameter!$I$35:$J$52,2,0),IFERROR(VLOOKUP(D336,Parameter!$A$35:$C$64,2,0),"Nein"))</f>
        <v>2+3</v>
      </c>
      <c r="BW336" s="59" t="n">
        <f aca="false">IF(BT336=0,0,IF(N(S336)&gt;0,S336,IFERROR(VLOOKUP(D336,Parameter!$A$35:$C$64,3,0)+0,0)))</f>
        <v>0</v>
      </c>
      <c r="BX336" s="55" t="n">
        <f aca="false">IF(AA336&lt;&gt;"",AA336,Z336)</f>
        <v>3</v>
      </c>
      <c r="BY336" s="55" t="str">
        <f aca="false">IF(BX336=1,"L1",IF(OR(BX336=2,BX336=3),"L23",IF(BX336="Aussen","Aussen","-")))</f>
        <v>L23</v>
      </c>
      <c r="BZ336" s="66" t="n">
        <f aca="false">IF(N(AB336)&gt;0,AB336,0)</f>
        <v>0</v>
      </c>
      <c r="CA336" s="60" t="n">
        <f aca="false">IF(ISNUMBER(AE336),1,0)</f>
        <v>0</v>
      </c>
      <c r="CB336" s="57" t="n">
        <f aca="false">N(AE336)</f>
        <v>0</v>
      </c>
      <c r="CC336" s="57" t="n">
        <f aca="false">N(M336)+N(N336)</f>
        <v>132</v>
      </c>
      <c r="CD336" s="57" t="n">
        <f aca="false">ROUNDUP(H336/BS336,0)</f>
        <v>2</v>
      </c>
      <c r="CE336" s="57" t="n">
        <f aca="false">ROUNDUP(CB336/BS336,0)</f>
        <v>0</v>
      </c>
      <c r="CF336" s="60" t="n">
        <f aca="false">IF(BT336=1,0,IFERROR(VLOOKUP(BR336,'Gebinde-Kategorie'!$A$5:$M$45,5,0)+0,0))</f>
        <v>8</v>
      </c>
      <c r="CG336" s="60" t="n">
        <f aca="false">IFERROR(IF(OR(BX336=1,BX336=2,BX336=3),N(INDEX(Parameter!$I$5:$I$7,BX336)),0),0)</f>
        <v>0</v>
      </c>
      <c r="CH336" s="59" t="n">
        <f aca="false">IF(AND(Parameter!$B$21="Ja",ISNUMBER(W336),N(X336)&gt;0),IFERROR(N(INDEX(Parameter!$L$5:$L$7,W336))*INDEX(Parameter!$E$5:$E$7,W336)*X336/SUMIFS($X$7:$X$1843,$W$7:$W$1843,W336),0),0)</f>
        <v>0</v>
      </c>
    </row>
    <row r="337" customFormat="false" ht="15" hidden="false" customHeight="false" outlineLevel="0" collapsed="false">
      <c r="A337" s="55" t="s">
        <v>833</v>
      </c>
      <c r="B337" s="55" t="s">
        <v>763</v>
      </c>
      <c r="C337" s="55" t="s">
        <v>164</v>
      </c>
      <c r="D337" s="55" t="s">
        <v>184</v>
      </c>
      <c r="E337" s="55"/>
      <c r="F337" s="55" t="s">
        <v>218</v>
      </c>
      <c r="G337" s="56" t="n">
        <v>8.48</v>
      </c>
      <c r="H337" s="57" t="n">
        <f aca="false">MAX(0,IF(AND(Parameter!$B$21="Ja",ISNUMBER(Y337)),Y337,IF(Parameter!$B$20="Jahresanfang 2025 + Export",BL337+BK337,BK337)))</f>
        <v>25</v>
      </c>
      <c r="I337" s="57" t="n">
        <f aca="false">H337*G337</f>
        <v>212</v>
      </c>
      <c r="J337" s="57" t="n">
        <f aca="false">BN337*Parameter!$B$18</f>
        <v>0</v>
      </c>
      <c r="K337" s="58" t="n">
        <v>0</v>
      </c>
      <c r="L337" s="59" t="n">
        <v>0</v>
      </c>
      <c r="M337" s="57" t="n">
        <v>0</v>
      </c>
      <c r="N337" s="57" t="n">
        <v>1</v>
      </c>
      <c r="O337" s="60" t="n">
        <v>9999</v>
      </c>
      <c r="P337" s="55" t="s">
        <v>168</v>
      </c>
      <c r="Q337" s="57"/>
      <c r="R337" s="60" t="n">
        <f aca="false">IF(BT337=1,0,IFERROR(VLOOKUP(BR337,'Gebinde-Kategorie'!$A$5:$M$45,13,0)+0,0))</f>
        <v>26</v>
      </c>
      <c r="S337" s="61"/>
      <c r="T337" s="62" t="s">
        <v>275</v>
      </c>
      <c r="U337" s="62"/>
      <c r="V337" s="62"/>
      <c r="W337" s="55"/>
      <c r="X337" s="57"/>
      <c r="Y337" s="57"/>
      <c r="Z337" s="55" t="n">
        <f aca="false">IF(A337="","",IF(AND(Parameter!$B$21="Ja",ISNUMBER(W337)),W337,IF(BV337="2+3",IF(ISNUMBER(SEARCH("grosser Artikel",BO337)),2,IFERROR(VLOOKUP(BR337,Parameter!$F$35:$G$64,2,0),2)),IF(OR(BV337="Nein",BV337=""),"-",BV337))))</f>
        <v>3</v>
      </c>
      <c r="AA337" s="62"/>
      <c r="AB337" s="63"/>
      <c r="AC337" s="57" t="n">
        <f aca="false">AR337</f>
        <v>25</v>
      </c>
      <c r="AD337" s="57" t="n">
        <f aca="false">MAX(AR337,H337)</f>
        <v>25</v>
      </c>
      <c r="AE337" s="64"/>
      <c r="AF337" s="57" t="n">
        <f aca="false">IF(LEFT(Cockpit!$C$5,1)="A",H337,IF(CA337=1,CB337,IF(LEFT(Cockpit!$C$5,1)="B",AJ337,MAX(AJ337,H337))))</f>
        <v>25</v>
      </c>
      <c r="AG337" s="57" t="n">
        <f aca="false">IF(BT337=1,0,ROUNDUP(AF337/BS337,0))</f>
        <v>1</v>
      </c>
      <c r="AH337" s="59" t="n">
        <f aca="false">IF(CH337&gt;0,CH337*MAX(1,AF337/X337),IF(BT337=1,IF(AF337&lt;=0,0,BW337*MAX(1,IF(H337&gt;0,AF337/H337,1))),IF(R337&gt;0,AG337/R337,0))/MAX(0.1,N(Parameter!$M$21)))</f>
        <v>0.0384615384615385</v>
      </c>
      <c r="AI337" s="57" t="n">
        <f aca="false">AF337*G337</f>
        <v>212</v>
      </c>
      <c r="AJ337" s="57" t="n">
        <f aca="false">ROUNDUP(MAX(J337/IF(BZ337&gt;0,BZ337,MAX(0.1,N(Cockpit!$C$6))),CC337)/BS337,0)*BS337</f>
        <v>25</v>
      </c>
      <c r="AK337" s="58" t="n">
        <f aca="false">IF(AH337&gt;0,J337/AH337,-1)</f>
        <v>0</v>
      </c>
      <c r="AL337" s="58" t="n">
        <f aca="false">IF(AND(OR(BY337="L1",BY337="L23"),AH337&gt;0),SUMIFS($AH$7:$AH$1843,$BY$7:$BY$1843,BY337,$AK$7:$AK$1843,"&gt;"&amp;AK337)+SUMIFS($AH$7:$AH$1843,$BY$7:$BY$1843,BY337,$AK$7:$AK$1843,AK337,$BQ$7:$BQ$1843,"&lt;="&amp;BQ337),"")</f>
        <v>73.0376760920239</v>
      </c>
      <c r="AM337" s="65" t="n">
        <f aca="false">IF(AL337="",0,MAX(0,MIN(1,(IF(BY337="L1",Parameter!$E$5,Parameter!$E$6+Parameter!$E$7)-(AL337-AH337))/AH337)))</f>
        <v>1</v>
      </c>
      <c r="AN337" s="57" t="n">
        <f aca="false">IF(LEFT(Cockpit!$I$5,1)="A",H337,IF(CA337=1,CB337,IF(LEFT(Cockpit!$I$5,1)="B",AR337,MAX(AR337,H337))))</f>
        <v>25</v>
      </c>
      <c r="AO337" s="57" t="n">
        <f aca="false">IF(BT337=1,0,ROUNDUP(AN337/BS337,0))</f>
        <v>1</v>
      </c>
      <c r="AP337" s="59" t="n">
        <f aca="false">IF(CH337&gt;0,CH337*MAX(1,AN337/X337),IF(BT337=1,IF(AN337&lt;=0,0,BW337*MAX(1,IF(H337&gt;0,AN337/H337,1))),IF(R337&gt;0,AO337/R337,0))/MAX(0.1,N(Parameter!$M$21)))</f>
        <v>0.0384615384615385</v>
      </c>
      <c r="AQ337" s="57" t="n">
        <f aca="false">AN337*G337</f>
        <v>212</v>
      </c>
      <c r="AR337" s="57" t="n">
        <f aca="false">ROUNDUP(MAX(J337/IF(BZ337&gt;0,BZ337,MAX(0.1,N(Cockpit!$I$6))),CC337)/BS337,0)*BS337</f>
        <v>25</v>
      </c>
      <c r="AS337" s="58" t="n">
        <f aca="false">IF(AP337&gt;0,J337/AP337,-1)</f>
        <v>0</v>
      </c>
      <c r="AT337" s="58" t="n">
        <f aca="false">IF(AND(OR(BY337="L1",BY337="L23"),AP337&gt;0),SUMIFS($AP$7:$AP$1843,$BY$7:$BY$1843,BY337,$AS$7:$AS$1843,"&gt;"&amp;AS337)+SUMIFS($AP$7:$AP$1843,$BY$7:$BY$1843,BY337,$AS$7:$AS$1843,AS337,$BQ$7:$BQ$1843,"&lt;="&amp;BQ337),"")</f>
        <v>112.461800277018</v>
      </c>
      <c r="AU337" s="65" t="n">
        <f aca="false">IF(AT337="",0,MAX(0,MIN(1,(IF(BY337="L1",Parameter!$E$5,Parameter!$E$6+Parameter!$E$7)-(AT337-AP337))/AP337)))</f>
        <v>0</v>
      </c>
      <c r="AV337" s="57" t="n">
        <f aca="false">IF(LEFT(Cockpit!$O$5,1)="A",H337,IF(CA337=1,CB337,IF(LEFT(Cockpit!$O$5,1)="B",AZ337,MAX(AZ337,H337))))</f>
        <v>25</v>
      </c>
      <c r="AW337" s="57" t="n">
        <f aca="false">IF(BT337=1,0,ROUNDUP(AV337/BS337,0))</f>
        <v>1</v>
      </c>
      <c r="AX337" s="59" t="n">
        <f aca="false">IF(CH337&gt;0,CH337*MAX(1,AV337/X337),IF(BT337=1,IF(AV337&lt;=0,0,BW337*MAX(1,IF(H337&gt;0,AV337/H337,1))),IF(R337&gt;0,AW337/R337,0))/MAX(0.1,N(Parameter!$M$21)))</f>
        <v>0.0384615384615385</v>
      </c>
      <c r="AY337" s="57" t="n">
        <f aca="false">AV337*G337</f>
        <v>212</v>
      </c>
      <c r="AZ337" s="57" t="n">
        <f aca="false">ROUNDUP(MAX(J337/IF(BZ337&gt;0,BZ337,MAX(0.1,N(Cockpit!$O$6))),CC337)/BS337,0)*BS337</f>
        <v>25</v>
      </c>
      <c r="BA337" s="58" t="n">
        <f aca="false">IF(AX337&gt;0,J337/AX337,-1)</f>
        <v>0</v>
      </c>
      <c r="BB337" s="58" t="n">
        <f aca="false">IF(AND(OR(BY337="L1",BY337="L23"),AX337&gt;0),SUMIFS($AX$7:$AX$1843,$BY$7:$BY$1843,BY337,$BA$7:$BA$1843,"&gt;"&amp;BA337)+SUMIFS($AX$7:$AX$1843,$BY$7:$BY$1843,BY337,$BA$7:$BA$1843,BA337,$BQ$7:$BQ$1843,"&lt;="&amp;BQ337),"")</f>
        <v>103.291637106855</v>
      </c>
      <c r="BC337" s="65" t="n">
        <f aca="false">IF(BB337="",0,MAX(0,MIN(1,(IF(BY337="L1",Parameter!$E$5,Parameter!$E$6+Parameter!$E$7)-(BB337-AX337))/AX337)))</f>
        <v>0</v>
      </c>
      <c r="BD337" s="55" t="str">
        <f aca="false">IF(AH337&lt;=0,"",IF(BY337="Aussen","Aussenlager",IF(BY337="-","Nicht im Lift",IF(AM337&gt;=1,"Lift",IF(AM337&lt;=0,"Aussenlager","teilweise")))))</f>
        <v>Lift</v>
      </c>
      <c r="BE337" s="55" t="str">
        <f aca="false">IF(AP337&lt;=0,"",IF(BY337="Aussen","Aussenlager",IF(BY337="-","Nicht im Lift",IF(AU337&gt;=1,"Lift",IF(AU337&lt;=0,"Aussenlager","teilweise")))))</f>
        <v>Aussenlager</v>
      </c>
      <c r="BF337" s="55" t="str">
        <f aca="false">IF(AX337&lt;=0,"",IF(BY337="Aussen","Aussenlager",IF(BY337="-","Nicht im Lift",IF(BC337&gt;=1,"Lift",IF(BC337&lt;=0,"Aussenlager","teilweise")))))</f>
        <v>Aussenlager</v>
      </c>
      <c r="BG337" s="55" t="str">
        <f aca="false">IF(A337="","",IF(BP337=1,"Neu; ","")&amp;IF(AND(BP337=0,BK337&lt;0),"negativer Bestand (Export "&amp;BK337&amp;"); ","")&amp;IF(J337&lt;=0,"Kein Verbrauch; ","")&amp;IF(CH337&gt;0,"Lift "&amp;W337&amp;" lt. Liftbericht (Fach "&amp;X337&amp;" Stk); ",IF(BU337=1,"Gebinde geschätzt ("&amp;T337&amp;"); ",IF(BT337=1,"Lose – Tablare geschätzt; ","")))&amp;IF(H337&gt;AR337,"Überbestand "&amp;ROUND(H337-AR337,0)&amp;" Stk / CHF "&amp;ROUND((H337-AR337)*G337,0)&amp;"; ","")&amp;IF(AND(CA337=1,CB337&lt;CC337),"MAX &lt; MB+LG; ","")&amp;IF(AND(CG337&gt;0,CF337*10&gt;CG337),"zu hoch für Tablar; ","")&amp;IF(AND(BP337=0,OR(CA337=1,AA337&lt;&gt;"",U337&lt;&gt;"",V337&lt;&gt;"",AB337&lt;&gt;"")),"manuell übersteuert; ","")&amp;IF(AND(BT337=0,R337=0),"Gebinde unbekannt / Stellmass fehlt; ","")&amp;IF(AND(BT337=0,N(V337)&lt;=0,N(Q337)&lt;=0),"Menge pro Gebinde fehlt (Ist = 1 Gebinde); ","")&amp;BO337)</f>
        <v>Kein Verbrauch; Gebinde geschätzt (Klein); Menge pro Gebinde fehlt (Ist = 1 Gebinde); </v>
      </c>
      <c r="BH337" s="55"/>
      <c r="BI337" s="55"/>
      <c r="BJ337" s="62"/>
      <c r="BK337" s="57" t="n">
        <v>25</v>
      </c>
      <c r="BL337" s="57" t="n">
        <v>0</v>
      </c>
      <c r="BM337" s="56" t="n">
        <v>212</v>
      </c>
      <c r="BN337" s="57" t="n">
        <v>0</v>
      </c>
      <c r="BO337" s="55"/>
      <c r="BP337" s="60" t="n">
        <v>0</v>
      </c>
      <c r="BQ337" s="60" t="n">
        <v>337</v>
      </c>
      <c r="BR337" s="55" t="str">
        <f aca="false">IF(U337&lt;&gt;"",UPPER(TRIM(U337)),IF(BU337=1,UPPER(VLOOKUP(T337,Parameter!$I$27:$K$29,2,0)),IF(P337="","LOSE",P337)))</f>
        <v>S51</v>
      </c>
      <c r="BS337" s="57" t="n">
        <f aca="false">IF(BR337="LOSE",1,IF(N(V337)&gt;0,V337,IF(BU337=1,MAX(1,N(VLOOKUP(T337,Parameter!$I$27:$K$29,3,0)),H337,N(N337)),IF(N(Q337)&gt;0,Q337,MAX(1,H337)))))</f>
        <v>25</v>
      </c>
      <c r="BT337" s="60" t="n">
        <f aca="false">IF(BR337="LOSE",1,0)</f>
        <v>0</v>
      </c>
      <c r="BU337" s="60" t="n">
        <f aca="false">IF(AND(U337="",OR(P337="",P337="LOSE"),T337&lt;&gt;"",N(S337)&lt;=0,ISNUMBER(MATCH(T337,Parameter!$I$27:$I$29,0))),1,0)</f>
        <v>1</v>
      </c>
      <c r="BV337" s="55" t="str">
        <f aca="false">IF(AND(Parameter!$B$19="Ja",E337&lt;&gt;"",ISNUMBER(MATCH(E337,Parameter!$I$35:$I$52,0))),VLOOKUP(E337,Parameter!$I$35:$J$52,2,0),IFERROR(VLOOKUP(D337,Parameter!$A$35:$C$64,2,0),"Nein"))</f>
        <v>2+3</v>
      </c>
      <c r="BW337" s="59" t="n">
        <f aca="false">IF(BT337=0,0,IF(N(S337)&gt;0,S337,IFERROR(VLOOKUP(D337,Parameter!$A$35:$C$64,3,0)+0,0)))</f>
        <v>0</v>
      </c>
      <c r="BX337" s="55" t="n">
        <f aca="false">IF(AA337&lt;&gt;"",AA337,Z337)</f>
        <v>3</v>
      </c>
      <c r="BY337" s="55" t="str">
        <f aca="false">IF(BX337=1,"L1",IF(OR(BX337=2,BX337=3),"L23",IF(BX337="Aussen","Aussen","-")))</f>
        <v>L23</v>
      </c>
      <c r="BZ337" s="66" t="n">
        <f aca="false">IF(N(AB337)&gt;0,AB337,0)</f>
        <v>0</v>
      </c>
      <c r="CA337" s="60" t="n">
        <f aca="false">IF(ISNUMBER(AE337),1,0)</f>
        <v>0</v>
      </c>
      <c r="CB337" s="57" t="n">
        <f aca="false">N(AE337)</f>
        <v>0</v>
      </c>
      <c r="CC337" s="57" t="n">
        <f aca="false">N(M337)+N(N337)</f>
        <v>1</v>
      </c>
      <c r="CD337" s="57" t="n">
        <f aca="false">ROUNDUP(H337/BS337,0)</f>
        <v>1</v>
      </c>
      <c r="CE337" s="57" t="n">
        <f aca="false">ROUNDUP(CB337/BS337,0)</f>
        <v>0</v>
      </c>
      <c r="CF337" s="60" t="n">
        <f aca="false">IF(BT337=1,0,IFERROR(VLOOKUP(BR337,'Gebinde-Kategorie'!$A$5:$M$45,5,0)+0,0))</f>
        <v>11</v>
      </c>
      <c r="CG337" s="60" t="n">
        <f aca="false">IFERROR(IF(OR(BX337=1,BX337=2,BX337=3),N(INDEX(Parameter!$I$5:$I$7,BX337)),0),0)</f>
        <v>0</v>
      </c>
      <c r="CH337" s="59" t="n">
        <f aca="false">IF(AND(Parameter!$B$21="Ja",ISNUMBER(W337),N(X337)&gt;0),IFERROR(N(INDEX(Parameter!$L$5:$L$7,W337))*INDEX(Parameter!$E$5:$E$7,W337)*X337/SUMIFS($X$7:$X$1843,$W$7:$W$1843,W337),0),0)</f>
        <v>0</v>
      </c>
    </row>
    <row r="338" customFormat="false" ht="15" hidden="false" customHeight="false" outlineLevel="0" collapsed="false">
      <c r="A338" s="55" t="s">
        <v>834</v>
      </c>
      <c r="B338" s="55" t="s">
        <v>835</v>
      </c>
      <c r="C338" s="55" t="s">
        <v>164</v>
      </c>
      <c r="D338" s="55" t="s">
        <v>184</v>
      </c>
      <c r="E338" s="55" t="s">
        <v>185</v>
      </c>
      <c r="F338" s="55" t="s">
        <v>218</v>
      </c>
      <c r="G338" s="56" t="n">
        <v>6.13</v>
      </c>
      <c r="H338" s="57" t="n">
        <f aca="false">MAX(0,IF(AND(Parameter!$B$21="Ja",ISNUMBER(Y338)),Y338,IF(Parameter!$B$20="Jahresanfang 2025 + Export",BL338+BK338,BK338)))</f>
        <v>44</v>
      </c>
      <c r="I338" s="57" t="n">
        <f aca="false">H338*G338</f>
        <v>269.72</v>
      </c>
      <c r="J338" s="57" t="n">
        <f aca="false">BN338*Parameter!$B$18</f>
        <v>0</v>
      </c>
      <c r="K338" s="58" t="n">
        <v>5.5</v>
      </c>
      <c r="L338" s="59" t="n">
        <v>0</v>
      </c>
      <c r="M338" s="57" t="n">
        <v>0</v>
      </c>
      <c r="N338" s="57" t="n">
        <v>1</v>
      </c>
      <c r="O338" s="60" t="n">
        <v>14</v>
      </c>
      <c r="P338" s="55" t="s">
        <v>302</v>
      </c>
      <c r="Q338" s="57" t="n">
        <v>15</v>
      </c>
      <c r="R338" s="60" t="n">
        <f aca="false">IF(BT338=1,0,IFERROR(VLOOKUP(BR338,'Gebinde-Kategorie'!$A$5:$M$45,13,0)+0,0))</f>
        <v>26</v>
      </c>
      <c r="S338" s="61"/>
      <c r="T338" s="62"/>
      <c r="U338" s="62"/>
      <c r="V338" s="62"/>
      <c r="W338" s="55"/>
      <c r="X338" s="57"/>
      <c r="Y338" s="57"/>
      <c r="Z338" s="55" t="n">
        <f aca="false">IF(A338="","",IF(AND(Parameter!$B$21="Ja",ISNUMBER(W338)),W338,IF(BV338="2+3",IF(ISNUMBER(SEARCH("grosser Artikel",BO338)),2,IFERROR(VLOOKUP(BR338,Parameter!$F$35:$G$64,2,0),2)),IF(OR(BV338="Nein",BV338=""),"-",BV338))))</f>
        <v>3</v>
      </c>
      <c r="AA338" s="62"/>
      <c r="AB338" s="63"/>
      <c r="AC338" s="57" t="n">
        <f aca="false">AR338</f>
        <v>15</v>
      </c>
      <c r="AD338" s="57" t="n">
        <f aca="false">MAX(AR338,H338)</f>
        <v>44</v>
      </c>
      <c r="AE338" s="64"/>
      <c r="AF338" s="57" t="n">
        <f aca="false">IF(LEFT(Cockpit!$C$5,1)="A",H338,IF(CA338=1,CB338,IF(LEFT(Cockpit!$C$5,1)="B",AJ338,MAX(AJ338,H338))))</f>
        <v>44</v>
      </c>
      <c r="AG338" s="57" t="n">
        <f aca="false">IF(BT338=1,0,ROUNDUP(AF338/BS338,0))</f>
        <v>3</v>
      </c>
      <c r="AH338" s="59" t="n">
        <f aca="false">IF(CH338&gt;0,CH338*MAX(1,AF338/X338),IF(BT338=1,IF(AF338&lt;=0,0,BW338*MAX(1,IF(H338&gt;0,AF338/H338,1))),IF(R338&gt;0,AG338/R338,0))/MAX(0.1,N(Parameter!$M$21)))</f>
        <v>0.115384615384615</v>
      </c>
      <c r="AI338" s="57" t="n">
        <f aca="false">AF338*G338</f>
        <v>269.72</v>
      </c>
      <c r="AJ338" s="57" t="n">
        <f aca="false">ROUNDUP(MAX(J338/IF(BZ338&gt;0,BZ338,MAX(0.1,N(Cockpit!$C$6))),CC338)/BS338,0)*BS338</f>
        <v>15</v>
      </c>
      <c r="AK338" s="58" t="n">
        <f aca="false">IF(AH338&gt;0,J338/AH338,-1)</f>
        <v>0</v>
      </c>
      <c r="AL338" s="58" t="n">
        <f aca="false">IF(AND(OR(BY338="L1",BY338="L23"),AH338&gt;0),SUMIFS($AH$7:$AH$1843,$BY$7:$BY$1843,BY338,$AK$7:$AK$1843,"&gt;"&amp;AK338)+SUMIFS($AH$7:$AH$1843,$BY$7:$BY$1843,BY338,$AK$7:$AK$1843,AK338,$BQ$7:$BQ$1843,"&lt;="&amp;BQ338),"")</f>
        <v>73.1530607074085</v>
      </c>
      <c r="AM338" s="65" t="n">
        <f aca="false">IF(AL338="",0,MAX(0,MIN(1,(IF(BY338="L1",Parameter!$E$5,Parameter!$E$6+Parameter!$E$7)-(AL338-AH338))/AH338)))</f>
        <v>1</v>
      </c>
      <c r="AN338" s="57" t="n">
        <f aca="false">IF(LEFT(Cockpit!$I$5,1)="A",H338,IF(CA338=1,CB338,IF(LEFT(Cockpit!$I$5,1)="B",AR338,MAX(AR338,H338))))</f>
        <v>44</v>
      </c>
      <c r="AO338" s="57" t="n">
        <f aca="false">IF(BT338=1,0,ROUNDUP(AN338/BS338,0))</f>
        <v>3</v>
      </c>
      <c r="AP338" s="59" t="n">
        <f aca="false">IF(CH338&gt;0,CH338*MAX(1,AN338/X338),IF(BT338=1,IF(AN338&lt;=0,0,BW338*MAX(1,IF(H338&gt;0,AN338/H338,1))),IF(R338&gt;0,AO338/R338,0))/MAX(0.1,N(Parameter!$M$21)))</f>
        <v>0.115384615384615</v>
      </c>
      <c r="AQ338" s="57" t="n">
        <f aca="false">AN338*G338</f>
        <v>269.72</v>
      </c>
      <c r="AR338" s="57" t="n">
        <f aca="false">ROUNDUP(MAX(J338/IF(BZ338&gt;0,BZ338,MAX(0.1,N(Cockpit!$I$6))),CC338)/BS338,0)*BS338</f>
        <v>15</v>
      </c>
      <c r="AS338" s="58" t="n">
        <f aca="false">IF(AP338&gt;0,J338/AP338,-1)</f>
        <v>0</v>
      </c>
      <c r="AT338" s="58" t="n">
        <f aca="false">IF(AND(OR(BY338="L1",BY338="L23"),AP338&gt;0),SUMIFS($AP$7:$AP$1843,$BY$7:$BY$1843,BY338,$AS$7:$AS$1843,"&gt;"&amp;AS338)+SUMIFS($AP$7:$AP$1843,$BY$7:$BY$1843,BY338,$AS$7:$AS$1843,AS338,$BQ$7:$BQ$1843,"&lt;="&amp;BQ338),"")</f>
        <v>112.577184892402</v>
      </c>
      <c r="AU338" s="65" t="n">
        <f aca="false">IF(AT338="",0,MAX(0,MIN(1,(IF(BY338="L1",Parameter!$E$5,Parameter!$E$6+Parameter!$E$7)-(AT338-AP338))/AP338)))</f>
        <v>0</v>
      </c>
      <c r="AV338" s="57" t="n">
        <f aca="false">IF(LEFT(Cockpit!$O$5,1)="A",H338,IF(CA338=1,CB338,IF(LEFT(Cockpit!$O$5,1)="B",AZ338,MAX(AZ338,H338))))</f>
        <v>44</v>
      </c>
      <c r="AW338" s="57" t="n">
        <f aca="false">IF(BT338=1,0,ROUNDUP(AV338/BS338,0))</f>
        <v>3</v>
      </c>
      <c r="AX338" s="59" t="n">
        <f aca="false">IF(CH338&gt;0,CH338*MAX(1,AV338/X338),IF(BT338=1,IF(AV338&lt;=0,0,BW338*MAX(1,IF(H338&gt;0,AV338/H338,1))),IF(R338&gt;0,AW338/R338,0))/MAX(0.1,N(Parameter!$M$21)))</f>
        <v>0.115384615384615</v>
      </c>
      <c r="AY338" s="57" t="n">
        <f aca="false">AV338*G338</f>
        <v>269.72</v>
      </c>
      <c r="AZ338" s="57" t="n">
        <f aca="false">ROUNDUP(MAX(J338/IF(BZ338&gt;0,BZ338,MAX(0.1,N(Cockpit!$O$6))),CC338)/BS338,0)*BS338</f>
        <v>15</v>
      </c>
      <c r="BA338" s="58" t="n">
        <f aca="false">IF(AX338&gt;0,J338/AX338,-1)</f>
        <v>0</v>
      </c>
      <c r="BB338" s="58" t="n">
        <f aca="false">IF(AND(OR(BY338="L1",BY338="L23"),AX338&gt;0),SUMIFS($AX$7:$AX$1843,$BY$7:$BY$1843,BY338,$BA$7:$BA$1843,"&gt;"&amp;BA338)+SUMIFS($AX$7:$AX$1843,$BY$7:$BY$1843,BY338,$BA$7:$BA$1843,BA338,$BQ$7:$BQ$1843,"&lt;="&amp;BQ338),"")</f>
        <v>103.407021722239</v>
      </c>
      <c r="BC338" s="65" t="n">
        <f aca="false">IF(BB338="",0,MAX(0,MIN(1,(IF(BY338="L1",Parameter!$E$5,Parameter!$E$6+Parameter!$E$7)-(BB338-AX338))/AX338)))</f>
        <v>0</v>
      </c>
      <c r="BD338" s="55" t="str">
        <f aca="false">IF(AH338&lt;=0,"",IF(BY338="Aussen","Aussenlager",IF(BY338="-","Nicht im Lift",IF(AM338&gt;=1,"Lift",IF(AM338&lt;=0,"Aussenlager","teilweise")))))</f>
        <v>Lift</v>
      </c>
      <c r="BE338" s="55" t="str">
        <f aca="false">IF(AP338&lt;=0,"",IF(BY338="Aussen","Aussenlager",IF(BY338="-","Nicht im Lift",IF(AU338&gt;=1,"Lift",IF(AU338&lt;=0,"Aussenlager","teilweise")))))</f>
        <v>Aussenlager</v>
      </c>
      <c r="BF338" s="55" t="str">
        <f aca="false">IF(AX338&lt;=0,"",IF(BY338="Aussen","Aussenlager",IF(BY338="-","Nicht im Lift",IF(BC338&gt;=1,"Lift",IF(BC338&lt;=0,"Aussenlager","teilweise")))))</f>
        <v>Aussenlager</v>
      </c>
      <c r="BG338" s="55" t="str">
        <f aca="false">IF(A338="","",IF(BP338=1,"Neu; ","")&amp;IF(AND(BP338=0,BK338&lt;0),"negativer Bestand (Export "&amp;BK338&amp;"); ","")&amp;IF(J338&lt;=0,"Kein Verbrauch; ","")&amp;IF(CH338&gt;0,"Lift "&amp;W338&amp;" lt. Liftbericht (Fach "&amp;X338&amp;" Stk); ",IF(BU338=1,"Gebinde geschätzt ("&amp;T338&amp;"); ",IF(BT338=1,"Lose – Tablare geschätzt; ","")))&amp;IF(H338&gt;AR338,"Überbestand "&amp;ROUND(H338-AR338,0)&amp;" Stk / CHF "&amp;ROUND((H338-AR338)*G338,0)&amp;"; ","")&amp;IF(AND(CA338=1,CB338&lt;CC338),"MAX &lt; MB+LG; ","")&amp;IF(AND(CG338&gt;0,CF338*10&gt;CG338),"zu hoch für Tablar; ","")&amp;IF(AND(BP338=0,OR(CA338=1,AA338&lt;&gt;"",U338&lt;&gt;"",V338&lt;&gt;"",AB338&lt;&gt;"")),"manuell übersteuert; ","")&amp;IF(AND(BT338=0,R338=0),"Gebinde unbekannt / Stellmass fehlt; ","")&amp;IF(AND(BT338=0,N(V338)&lt;=0,N(Q338)&lt;=0),"Menge pro Gebinde fehlt (Ist = 1 Gebinde); ","")&amp;BO338)</f>
        <v>Kein Verbrauch; Überbestand 29 Stk / CHF 178; </v>
      </c>
      <c r="BH338" s="55"/>
      <c r="BI338" s="55"/>
      <c r="BJ338" s="62"/>
      <c r="BK338" s="57" t="n">
        <v>35</v>
      </c>
      <c r="BL338" s="57" t="n">
        <v>9</v>
      </c>
      <c r="BM338" s="56" t="n">
        <v>204.92</v>
      </c>
      <c r="BN338" s="57" t="n">
        <v>0</v>
      </c>
      <c r="BO338" s="55"/>
      <c r="BP338" s="60" t="n">
        <v>0</v>
      </c>
      <c r="BQ338" s="60" t="n">
        <v>338</v>
      </c>
      <c r="BR338" s="55" t="str">
        <f aca="false">IF(U338&lt;&gt;"",UPPER(TRIM(U338)),IF(BU338=1,UPPER(VLOOKUP(T338,Parameter!$I$27:$K$29,2,0)),IF(P338="","LOSE",P338)))</f>
        <v>S51</v>
      </c>
      <c r="BS338" s="57" t="n">
        <f aca="false">IF(BR338="LOSE",1,IF(N(V338)&gt;0,V338,IF(BU338=1,MAX(1,N(VLOOKUP(T338,Parameter!$I$27:$K$29,3,0)),H338,N(N338)),IF(N(Q338)&gt;0,Q338,MAX(1,H338)))))</f>
        <v>15</v>
      </c>
      <c r="BT338" s="60" t="n">
        <f aca="false">IF(BR338="LOSE",1,0)</f>
        <v>0</v>
      </c>
      <c r="BU338" s="60" t="n">
        <f aca="false">IF(AND(U338="",OR(P338="",P338="LOSE"),T338&lt;&gt;"",N(S338)&lt;=0,ISNUMBER(MATCH(T338,Parameter!$I$27:$I$29,0))),1,0)</f>
        <v>0</v>
      </c>
      <c r="BV338" s="55" t="str">
        <f aca="false">IF(AND(Parameter!$B$19="Ja",E338&lt;&gt;"",ISNUMBER(MATCH(E338,Parameter!$I$35:$I$52,0))),VLOOKUP(E338,Parameter!$I$35:$J$52,2,0),IFERROR(VLOOKUP(D338,Parameter!$A$35:$C$64,2,0),"Nein"))</f>
        <v>2+3</v>
      </c>
      <c r="BW338" s="59" t="n">
        <f aca="false">IF(BT338=0,0,IF(N(S338)&gt;0,S338,IFERROR(VLOOKUP(D338,Parameter!$A$35:$C$64,3,0)+0,0)))</f>
        <v>0</v>
      </c>
      <c r="BX338" s="55" t="n">
        <f aca="false">IF(AA338&lt;&gt;"",AA338,Z338)</f>
        <v>3</v>
      </c>
      <c r="BY338" s="55" t="str">
        <f aca="false">IF(BX338=1,"L1",IF(OR(BX338=2,BX338=3),"L23",IF(BX338="Aussen","Aussen","-")))</f>
        <v>L23</v>
      </c>
      <c r="BZ338" s="66" t="n">
        <f aca="false">IF(N(AB338)&gt;0,AB338,0)</f>
        <v>0</v>
      </c>
      <c r="CA338" s="60" t="n">
        <f aca="false">IF(ISNUMBER(AE338),1,0)</f>
        <v>0</v>
      </c>
      <c r="CB338" s="57" t="n">
        <f aca="false">N(AE338)</f>
        <v>0</v>
      </c>
      <c r="CC338" s="57" t="n">
        <f aca="false">N(M338)+N(N338)</f>
        <v>1</v>
      </c>
      <c r="CD338" s="57" t="n">
        <f aca="false">ROUNDUP(H338/BS338,0)</f>
        <v>3</v>
      </c>
      <c r="CE338" s="57" t="n">
        <f aca="false">ROUNDUP(CB338/BS338,0)</f>
        <v>0</v>
      </c>
      <c r="CF338" s="60" t="n">
        <f aca="false">IF(BT338=1,0,IFERROR(VLOOKUP(BR338,'Gebinde-Kategorie'!$A$5:$M$45,5,0)+0,0))</f>
        <v>11</v>
      </c>
      <c r="CG338" s="60" t="n">
        <f aca="false">IFERROR(IF(OR(BX338=1,BX338=2,BX338=3),N(INDEX(Parameter!$I$5:$I$7,BX338)),0),0)</f>
        <v>0</v>
      </c>
      <c r="CH338" s="59" t="n">
        <f aca="false">IF(AND(Parameter!$B$21="Ja",ISNUMBER(W338),N(X338)&gt;0),IFERROR(N(INDEX(Parameter!$L$5:$L$7,W338))*INDEX(Parameter!$E$5:$E$7,W338)*X338/SUMIFS($X$7:$X$1843,$W$7:$W$1843,W338),0),0)</f>
        <v>0</v>
      </c>
    </row>
    <row r="339" customFormat="false" ht="15" hidden="false" customHeight="false" outlineLevel="0" collapsed="false">
      <c r="A339" s="55" t="s">
        <v>836</v>
      </c>
      <c r="B339" s="55" t="s">
        <v>688</v>
      </c>
      <c r="C339" s="55" t="s">
        <v>164</v>
      </c>
      <c r="D339" s="55" t="s">
        <v>184</v>
      </c>
      <c r="E339" s="55" t="s">
        <v>185</v>
      </c>
      <c r="F339" s="55" t="s">
        <v>218</v>
      </c>
      <c r="G339" s="56" t="n">
        <v>21.28</v>
      </c>
      <c r="H339" s="57" t="n">
        <f aca="false">MAX(0,IF(AND(Parameter!$B$21="Ja",ISNUMBER(Y339)),Y339,IF(Parameter!$B$20="Jahresanfang 2025 + Export",BL339+BK339,BK339)))</f>
        <v>22</v>
      </c>
      <c r="I339" s="57" t="n">
        <f aca="false">H339*G339</f>
        <v>468.16</v>
      </c>
      <c r="J339" s="57" t="n">
        <f aca="false">BN339*Parameter!$B$18</f>
        <v>26</v>
      </c>
      <c r="K339" s="58" t="n">
        <v>13</v>
      </c>
      <c r="L339" s="59" t="n">
        <v>2</v>
      </c>
      <c r="M339" s="57" t="n">
        <v>2</v>
      </c>
      <c r="N339" s="57" t="n">
        <v>25</v>
      </c>
      <c r="O339" s="60" t="n">
        <v>35</v>
      </c>
      <c r="P339" s="55" t="s">
        <v>233</v>
      </c>
      <c r="Q339" s="57" t="n">
        <v>17</v>
      </c>
      <c r="R339" s="60" t="n">
        <f aca="false">IF(BT339=1,0,IFERROR(VLOOKUP(BR339,'Gebinde-Kategorie'!$A$5:$M$45,13,0)+0,0))</f>
        <v>26</v>
      </c>
      <c r="S339" s="61"/>
      <c r="T339" s="62"/>
      <c r="U339" s="62"/>
      <c r="V339" s="62"/>
      <c r="W339" s="55"/>
      <c r="X339" s="57"/>
      <c r="Y339" s="57"/>
      <c r="Z339" s="55" t="n">
        <f aca="false">IF(A339="","",IF(AND(Parameter!$B$21="Ja",ISNUMBER(W339)),W339,IF(BV339="2+3",IF(ISNUMBER(SEARCH("grosser Artikel",BO339)),2,IFERROR(VLOOKUP(BR339,Parameter!$F$35:$G$64,2,0),2)),IF(OR(BV339="Nein",BV339=""),"-",BV339))))</f>
        <v>3</v>
      </c>
      <c r="AA339" s="62"/>
      <c r="AB339" s="63"/>
      <c r="AC339" s="57" t="n">
        <f aca="false">AR339</f>
        <v>34</v>
      </c>
      <c r="AD339" s="57" t="n">
        <f aca="false">MAX(AR339,H339)</f>
        <v>34</v>
      </c>
      <c r="AE339" s="64"/>
      <c r="AF339" s="57" t="n">
        <f aca="false">IF(LEFT(Cockpit!$C$5,1)="A",H339,IF(CA339=1,CB339,IF(LEFT(Cockpit!$C$5,1)="B",AJ339,MAX(AJ339,H339))))</f>
        <v>22</v>
      </c>
      <c r="AG339" s="57" t="n">
        <f aca="false">IF(BT339=1,0,ROUNDUP(AF339/BS339,0))</f>
        <v>2</v>
      </c>
      <c r="AH339" s="59" t="n">
        <f aca="false">IF(CH339&gt;0,CH339*MAX(1,AF339/X339),IF(BT339=1,IF(AF339&lt;=0,0,BW339*MAX(1,IF(H339&gt;0,AF339/H339,1))),IF(R339&gt;0,AG339/R339,0))/MAX(0.1,N(Parameter!$M$21)))</f>
        <v>0.0769230769230769</v>
      </c>
      <c r="AI339" s="57" t="n">
        <f aca="false">AF339*G339</f>
        <v>468.16</v>
      </c>
      <c r="AJ339" s="57" t="n">
        <f aca="false">ROUNDUP(MAX(J339/IF(BZ339&gt;0,BZ339,MAX(0.1,N(Cockpit!$C$6))),CC339)/BS339,0)*BS339</f>
        <v>34</v>
      </c>
      <c r="AK339" s="58" t="n">
        <f aca="false">IF(AH339&gt;0,J339/AH339,-1)</f>
        <v>338</v>
      </c>
      <c r="AL339" s="58" t="n">
        <f aca="false">IF(AND(OR(BY339="L1",BY339="L23"),AH339&gt;0),SUMIFS($AH$7:$AH$1843,$BY$7:$BY$1843,BY339,$AK$7:$AK$1843,"&gt;"&amp;AK339)+SUMIFS($AH$7:$AH$1843,$BY$7:$BY$1843,BY339,$AK$7:$AK$1843,AK339,$BQ$7:$BQ$1843,"&lt;="&amp;BQ339),"")</f>
        <v>27.7454308976048</v>
      </c>
      <c r="AM339" s="65" t="n">
        <f aca="false">IF(AL339="",0,MAX(0,MIN(1,(IF(BY339="L1",Parameter!$E$5,Parameter!$E$6+Parameter!$E$7)-(AL339-AH339))/AH339)))</f>
        <v>1</v>
      </c>
      <c r="AN339" s="57" t="n">
        <f aca="false">IF(LEFT(Cockpit!$I$5,1)="A",H339,IF(CA339=1,CB339,IF(LEFT(Cockpit!$I$5,1)="B",AR339,MAX(AR339,H339))))</f>
        <v>34</v>
      </c>
      <c r="AO339" s="57" t="n">
        <f aca="false">IF(BT339=1,0,ROUNDUP(AN339/BS339,0))</f>
        <v>2</v>
      </c>
      <c r="AP339" s="59" t="n">
        <f aca="false">IF(CH339&gt;0,CH339*MAX(1,AN339/X339),IF(BT339=1,IF(AN339&lt;=0,0,BW339*MAX(1,IF(H339&gt;0,AN339/H339,1))),IF(R339&gt;0,AO339/R339,0))/MAX(0.1,N(Parameter!$M$21)))</f>
        <v>0.0769230769230769</v>
      </c>
      <c r="AQ339" s="57" t="n">
        <f aca="false">AN339*G339</f>
        <v>723.52</v>
      </c>
      <c r="AR339" s="57" t="n">
        <f aca="false">ROUNDUP(MAX(J339/IF(BZ339&gt;0,BZ339,MAX(0.1,N(Cockpit!$I$6))),CC339)/BS339,0)*BS339</f>
        <v>34</v>
      </c>
      <c r="AS339" s="58" t="n">
        <f aca="false">IF(AP339&gt;0,J339/AP339,-1)</f>
        <v>338</v>
      </c>
      <c r="AT339" s="58" t="n">
        <f aca="false">IF(AND(OR(BY339="L1",BY339="L23"),AP339&gt;0),SUMIFS($AP$7:$AP$1843,$BY$7:$BY$1843,BY339,$AS$7:$AS$1843,"&gt;"&amp;AS339)+SUMIFS($AP$7:$AP$1843,$BY$7:$BY$1843,BY339,$AS$7:$AS$1843,AS339,$BQ$7:$BQ$1843,"&lt;="&amp;BQ339),"")</f>
        <v>39.881093544137</v>
      </c>
      <c r="AU339" s="65" t="n">
        <f aca="false">IF(AT339="",0,MAX(0,MIN(1,(IF(BY339="L1",Parameter!$E$5,Parameter!$E$6+Parameter!$E$7)-(AT339-AP339))/AP339)))</f>
        <v>1</v>
      </c>
      <c r="AV339" s="57" t="n">
        <f aca="false">IF(LEFT(Cockpit!$O$5,1)="A",H339,IF(CA339=1,CB339,IF(LEFT(Cockpit!$O$5,1)="B",AZ339,MAX(AZ339,H339))))</f>
        <v>34</v>
      </c>
      <c r="AW339" s="57" t="n">
        <f aca="false">IF(BT339=1,0,ROUNDUP(AV339/BS339,0))</f>
        <v>2</v>
      </c>
      <c r="AX339" s="59" t="n">
        <f aca="false">IF(CH339&gt;0,CH339*MAX(1,AV339/X339),IF(BT339=1,IF(AV339&lt;=0,0,BW339*MAX(1,IF(H339&gt;0,AV339/H339,1))),IF(R339&gt;0,AW339/R339,0))/MAX(0.1,N(Parameter!$M$21)))</f>
        <v>0.0769230769230769</v>
      </c>
      <c r="AY339" s="57" t="n">
        <f aca="false">AV339*G339</f>
        <v>723.52</v>
      </c>
      <c r="AZ339" s="57" t="n">
        <f aca="false">ROUNDUP(MAX(J339/IF(BZ339&gt;0,BZ339,MAX(0.1,N(Cockpit!$O$6))),CC339)/BS339,0)*BS339</f>
        <v>34</v>
      </c>
      <c r="BA339" s="58" t="n">
        <f aca="false">IF(AX339&gt;0,J339/AX339,-1)</f>
        <v>338</v>
      </c>
      <c r="BB339" s="58" t="n">
        <f aca="false">IF(AND(OR(BY339="L1",BY339="L23"),AX339&gt;0),SUMIFS($AX$7:$AX$1843,$BY$7:$BY$1843,BY339,$BA$7:$BA$1843,"&gt;"&amp;BA339)+SUMIFS($AX$7:$AX$1843,$BY$7:$BY$1843,BY339,$BA$7:$BA$1843,BA339,$BQ$7:$BQ$1843,"&lt;="&amp;BQ339),"")</f>
        <v>36.2109303739739</v>
      </c>
      <c r="BC339" s="65" t="n">
        <f aca="false">IF(BB339="",0,MAX(0,MIN(1,(IF(BY339="L1",Parameter!$E$5,Parameter!$E$6+Parameter!$E$7)-(BB339-AX339))/AX339)))</f>
        <v>1</v>
      </c>
      <c r="BD339" s="55" t="str">
        <f aca="false">IF(AH339&lt;=0,"",IF(BY339="Aussen","Aussenlager",IF(BY339="-","Nicht im Lift",IF(AM339&gt;=1,"Lift",IF(AM339&lt;=0,"Aussenlager","teilweise")))))</f>
        <v>Lift</v>
      </c>
      <c r="BE339" s="55" t="str">
        <f aca="false">IF(AP339&lt;=0,"",IF(BY339="Aussen","Aussenlager",IF(BY339="-","Nicht im Lift",IF(AU339&gt;=1,"Lift",IF(AU339&lt;=0,"Aussenlager","teilweise")))))</f>
        <v>Lift</v>
      </c>
      <c r="BF339" s="55" t="str">
        <f aca="false">IF(AX339&lt;=0,"",IF(BY339="Aussen","Aussenlager",IF(BY339="-","Nicht im Lift",IF(BC339&gt;=1,"Lift",IF(BC339&lt;=0,"Aussenlager","teilweise")))))</f>
        <v>Lift</v>
      </c>
      <c r="BG339" s="55" t="str">
        <f aca="false">IF(A339="","",IF(BP339=1,"Neu; ","")&amp;IF(AND(BP339=0,BK339&lt;0),"negativer Bestand (Export "&amp;BK339&amp;"); ","")&amp;IF(J339&lt;=0,"Kein Verbrauch; ","")&amp;IF(CH339&gt;0,"Lift "&amp;W339&amp;" lt. Liftbericht (Fach "&amp;X339&amp;" Stk); ",IF(BU339=1,"Gebinde geschätzt ("&amp;T339&amp;"); ",IF(BT339=1,"Lose – Tablare geschätzt; ","")))&amp;IF(H339&gt;AR339,"Überbestand "&amp;ROUND(H339-AR339,0)&amp;" Stk / CHF "&amp;ROUND((H339-AR339)*G339,0)&amp;"; ","")&amp;IF(AND(CA339=1,CB339&lt;CC339),"MAX &lt; MB+LG; ","")&amp;IF(AND(CG339&gt;0,CF339*10&gt;CG339),"zu hoch für Tablar; ","")&amp;IF(AND(BP339=0,OR(CA339=1,AA339&lt;&gt;"",U339&lt;&gt;"",V339&lt;&gt;"",AB339&lt;&gt;"")),"manuell übersteuert; ","")&amp;IF(AND(BT339=0,R339=0),"Gebinde unbekannt / Stellmass fehlt; ","")&amp;IF(AND(BT339=0,N(V339)&lt;=0,N(Q339)&lt;=0),"Menge pro Gebinde fehlt (Ist = 1 Gebinde); ","")&amp;BO339)</f>
        <v/>
      </c>
      <c r="BH339" s="55"/>
      <c r="BI339" s="55"/>
      <c r="BJ339" s="62"/>
      <c r="BK339" s="57" t="n">
        <v>11</v>
      </c>
      <c r="BL339" s="57" t="n">
        <v>11</v>
      </c>
      <c r="BM339" s="56" t="n">
        <v>202.73</v>
      </c>
      <c r="BN339" s="57" t="n">
        <v>26</v>
      </c>
      <c r="BO339" s="55"/>
      <c r="BP339" s="60" t="n">
        <v>0</v>
      </c>
      <c r="BQ339" s="60" t="n">
        <v>339</v>
      </c>
      <c r="BR339" s="55" t="str">
        <f aca="false">IF(U339&lt;&gt;"",UPPER(TRIM(U339)),IF(BU339=1,UPPER(VLOOKUP(T339,Parameter!$I$27:$K$29,2,0)),IF(P339="","LOSE",P339)))</f>
        <v>S52</v>
      </c>
      <c r="BS339" s="57" t="n">
        <f aca="false">IF(BR339="LOSE",1,IF(N(V339)&gt;0,V339,IF(BU339=1,MAX(1,N(VLOOKUP(T339,Parameter!$I$27:$K$29,3,0)),H339,N(N339)),IF(N(Q339)&gt;0,Q339,MAX(1,H339)))))</f>
        <v>17</v>
      </c>
      <c r="BT339" s="60" t="n">
        <f aca="false">IF(BR339="LOSE",1,0)</f>
        <v>0</v>
      </c>
      <c r="BU339" s="60" t="n">
        <f aca="false">IF(AND(U339="",OR(P339="",P339="LOSE"),T339&lt;&gt;"",N(S339)&lt;=0,ISNUMBER(MATCH(T339,Parameter!$I$27:$I$29,0))),1,0)</f>
        <v>0</v>
      </c>
      <c r="BV339" s="55" t="str">
        <f aca="false">IF(AND(Parameter!$B$19="Ja",E339&lt;&gt;"",ISNUMBER(MATCH(E339,Parameter!$I$35:$I$52,0))),VLOOKUP(E339,Parameter!$I$35:$J$52,2,0),IFERROR(VLOOKUP(D339,Parameter!$A$35:$C$64,2,0),"Nein"))</f>
        <v>2+3</v>
      </c>
      <c r="BW339" s="59" t="n">
        <f aca="false">IF(BT339=0,0,IF(N(S339)&gt;0,S339,IFERROR(VLOOKUP(D339,Parameter!$A$35:$C$64,3,0)+0,0)))</f>
        <v>0</v>
      </c>
      <c r="BX339" s="55" t="n">
        <f aca="false">IF(AA339&lt;&gt;"",AA339,Z339)</f>
        <v>3</v>
      </c>
      <c r="BY339" s="55" t="str">
        <f aca="false">IF(BX339=1,"L1",IF(OR(BX339=2,BX339=3),"L23",IF(BX339="Aussen","Aussen","-")))</f>
        <v>L23</v>
      </c>
      <c r="BZ339" s="66" t="n">
        <f aca="false">IF(N(AB339)&gt;0,AB339,0)</f>
        <v>0</v>
      </c>
      <c r="CA339" s="60" t="n">
        <f aca="false">IF(ISNUMBER(AE339),1,0)</f>
        <v>0</v>
      </c>
      <c r="CB339" s="57" t="n">
        <f aca="false">N(AE339)</f>
        <v>0</v>
      </c>
      <c r="CC339" s="57" t="n">
        <f aca="false">N(M339)+N(N339)</f>
        <v>27</v>
      </c>
      <c r="CD339" s="57" t="n">
        <f aca="false">ROUNDUP(H339/BS339,0)</f>
        <v>2</v>
      </c>
      <c r="CE339" s="57" t="n">
        <f aca="false">ROUNDUP(CB339/BS339,0)</f>
        <v>0</v>
      </c>
      <c r="CF339" s="60" t="n">
        <f aca="false">IF(BT339=1,0,IFERROR(VLOOKUP(BR339,'Gebinde-Kategorie'!$A$5:$M$45,5,0)+0,0))</f>
        <v>21</v>
      </c>
      <c r="CG339" s="60" t="n">
        <f aca="false">IFERROR(IF(OR(BX339=1,BX339=2,BX339=3),N(INDEX(Parameter!$I$5:$I$7,BX339)),0),0)</f>
        <v>0</v>
      </c>
      <c r="CH339" s="59" t="n">
        <f aca="false">IF(AND(Parameter!$B$21="Ja",ISNUMBER(W339),N(X339)&gt;0),IFERROR(N(INDEX(Parameter!$L$5:$L$7,W339))*INDEX(Parameter!$E$5:$E$7,W339)*X339/SUMIFS($X$7:$X$1843,$W$7:$W$1843,W339),0),0)</f>
        <v>0</v>
      </c>
    </row>
    <row r="340" customFormat="false" ht="15" hidden="false" customHeight="false" outlineLevel="0" collapsed="false">
      <c r="A340" s="55" t="s">
        <v>837</v>
      </c>
      <c r="B340" s="55" t="s">
        <v>468</v>
      </c>
      <c r="C340" s="55" t="s">
        <v>164</v>
      </c>
      <c r="D340" s="55" t="s">
        <v>184</v>
      </c>
      <c r="E340" s="55" t="s">
        <v>185</v>
      </c>
      <c r="F340" s="55" t="s">
        <v>218</v>
      </c>
      <c r="G340" s="56" t="n">
        <v>1.22</v>
      </c>
      <c r="H340" s="57" t="n">
        <f aca="false">MAX(0,IF(AND(Parameter!$B$21="Ja",ISNUMBER(Y340)),Y340,IF(Parameter!$B$20="Jahresanfang 2025 + Export",BL340+BK340,BK340)))</f>
        <v>282</v>
      </c>
      <c r="I340" s="57" t="n">
        <f aca="false">H340*G340</f>
        <v>344.04</v>
      </c>
      <c r="J340" s="57" t="n">
        <f aca="false">BN340*Parameter!$B$18</f>
        <v>142</v>
      </c>
      <c r="K340" s="58" t="n">
        <v>92</v>
      </c>
      <c r="L340" s="59" t="n">
        <v>1.54347826086957</v>
      </c>
      <c r="M340" s="57" t="n">
        <v>5</v>
      </c>
      <c r="N340" s="57" t="n">
        <v>140</v>
      </c>
      <c r="O340" s="60" t="n">
        <v>14</v>
      </c>
      <c r="P340" s="55" t="s">
        <v>302</v>
      </c>
      <c r="Q340" s="57" t="n">
        <v>264</v>
      </c>
      <c r="R340" s="60" t="n">
        <f aca="false">IF(BT340=1,0,IFERROR(VLOOKUP(BR340,'Gebinde-Kategorie'!$A$5:$M$45,13,0)+0,0))</f>
        <v>26</v>
      </c>
      <c r="S340" s="61"/>
      <c r="T340" s="62"/>
      <c r="U340" s="62"/>
      <c r="V340" s="62"/>
      <c r="W340" s="55"/>
      <c r="X340" s="57"/>
      <c r="Y340" s="57"/>
      <c r="Z340" s="55" t="n">
        <f aca="false">IF(A340="","",IF(AND(Parameter!$B$21="Ja",ISNUMBER(W340)),W340,IF(BV340="2+3",IF(ISNUMBER(SEARCH("grosser Artikel",BO340)),2,IFERROR(VLOOKUP(BR340,Parameter!$F$35:$G$64,2,0),2)),IF(OR(BV340="Nein",BV340=""),"-",BV340))))</f>
        <v>3</v>
      </c>
      <c r="AA340" s="62"/>
      <c r="AB340" s="63"/>
      <c r="AC340" s="57" t="n">
        <f aca="false">AR340</f>
        <v>264</v>
      </c>
      <c r="AD340" s="57" t="n">
        <f aca="false">MAX(AR340,H340)</f>
        <v>282</v>
      </c>
      <c r="AE340" s="64"/>
      <c r="AF340" s="57" t="n">
        <f aca="false">IF(LEFT(Cockpit!$C$5,1)="A",H340,IF(CA340=1,CB340,IF(LEFT(Cockpit!$C$5,1)="B",AJ340,MAX(AJ340,H340))))</f>
        <v>282</v>
      </c>
      <c r="AG340" s="57" t="n">
        <f aca="false">IF(BT340=1,0,ROUNDUP(AF340/BS340,0))</f>
        <v>2</v>
      </c>
      <c r="AH340" s="59" t="n">
        <f aca="false">IF(CH340&gt;0,CH340*MAX(1,AF340/X340),IF(BT340=1,IF(AF340&lt;=0,0,BW340*MAX(1,IF(H340&gt;0,AF340/H340,1))),IF(R340&gt;0,AG340/R340,0))/MAX(0.1,N(Parameter!$M$21)))</f>
        <v>0.0769230769230769</v>
      </c>
      <c r="AI340" s="57" t="n">
        <f aca="false">AF340*G340</f>
        <v>344.04</v>
      </c>
      <c r="AJ340" s="57" t="n">
        <f aca="false">ROUNDUP(MAX(J340/IF(BZ340&gt;0,BZ340,MAX(0.1,N(Cockpit!$C$6))),CC340)/BS340,0)*BS340</f>
        <v>264</v>
      </c>
      <c r="AK340" s="58" t="n">
        <f aca="false">IF(AH340&gt;0,J340/AH340,-1)</f>
        <v>1846</v>
      </c>
      <c r="AL340" s="58" t="n">
        <f aca="false">IF(AND(OR(BY340="L1",BY340="L23"),AH340&gt;0),SUMIFS($AH$7:$AH$1843,$BY$7:$BY$1843,BY340,$AK$7:$AK$1843,"&gt;"&amp;AK340)+SUMIFS($AH$7:$AH$1843,$BY$7:$BY$1843,BY340,$AK$7:$AK$1843,AK340,$BQ$7:$BQ$1843,"&lt;="&amp;BQ340),"")</f>
        <v>13.9646802472889</v>
      </c>
      <c r="AM340" s="65" t="n">
        <f aca="false">IF(AL340="",0,MAX(0,MIN(1,(IF(BY340="L1",Parameter!$E$5,Parameter!$E$6+Parameter!$E$7)-(AL340-AH340))/AH340)))</f>
        <v>1</v>
      </c>
      <c r="AN340" s="57" t="n">
        <f aca="false">IF(LEFT(Cockpit!$I$5,1)="A",H340,IF(CA340=1,CB340,IF(LEFT(Cockpit!$I$5,1)="B",AR340,MAX(AR340,H340))))</f>
        <v>282</v>
      </c>
      <c r="AO340" s="57" t="n">
        <f aca="false">IF(BT340=1,0,ROUNDUP(AN340/BS340,0))</f>
        <v>2</v>
      </c>
      <c r="AP340" s="59" t="n">
        <f aca="false">IF(CH340&gt;0,CH340*MAX(1,AN340/X340),IF(BT340=1,IF(AN340&lt;=0,0,BW340*MAX(1,IF(H340&gt;0,AN340/H340,1))),IF(R340&gt;0,AO340/R340,0))/MAX(0.1,N(Parameter!$M$21)))</f>
        <v>0.0769230769230769</v>
      </c>
      <c r="AQ340" s="57" t="n">
        <f aca="false">AN340*G340</f>
        <v>344.04</v>
      </c>
      <c r="AR340" s="57" t="n">
        <f aca="false">ROUNDUP(MAX(J340/IF(BZ340&gt;0,BZ340,MAX(0.1,N(Cockpit!$I$6))),CC340)/BS340,0)*BS340</f>
        <v>264</v>
      </c>
      <c r="AS340" s="58" t="n">
        <f aca="false">IF(AP340&gt;0,J340/AP340,-1)</f>
        <v>1846</v>
      </c>
      <c r="AT340" s="58" t="n">
        <f aca="false">IF(AND(OR(BY340="L1",BY340="L23"),AP340&gt;0),SUMIFS($AP$7:$AP$1843,$BY$7:$BY$1843,BY340,$AS$7:$AS$1843,"&gt;"&amp;AS340)+SUMIFS($AP$7:$AP$1843,$BY$7:$BY$1843,BY340,$AS$7:$AS$1843,AS340,$BQ$7:$BQ$1843,"&lt;="&amp;BQ340),"")</f>
        <v>19.1188726732205</v>
      </c>
      <c r="AU340" s="65" t="n">
        <f aca="false">IF(AT340="",0,MAX(0,MIN(1,(IF(BY340="L1",Parameter!$E$5,Parameter!$E$6+Parameter!$E$7)-(AT340-AP340))/AP340)))</f>
        <v>1</v>
      </c>
      <c r="AV340" s="57" t="n">
        <f aca="false">IF(LEFT(Cockpit!$O$5,1)="A",H340,IF(CA340=1,CB340,IF(LEFT(Cockpit!$O$5,1)="B",AZ340,MAX(AZ340,H340))))</f>
        <v>282</v>
      </c>
      <c r="AW340" s="57" t="n">
        <f aca="false">IF(BT340=1,0,ROUNDUP(AV340/BS340,0))</f>
        <v>2</v>
      </c>
      <c r="AX340" s="59" t="n">
        <f aca="false">IF(CH340&gt;0,CH340*MAX(1,AV340/X340),IF(BT340=1,IF(AV340&lt;=0,0,BW340*MAX(1,IF(H340&gt;0,AV340/H340,1))),IF(R340&gt;0,AW340/R340,0))/MAX(0.1,N(Parameter!$M$21)))</f>
        <v>0.0769230769230769</v>
      </c>
      <c r="AY340" s="57" t="n">
        <f aca="false">AV340*G340</f>
        <v>344.04</v>
      </c>
      <c r="AZ340" s="57" t="n">
        <f aca="false">ROUNDUP(MAX(J340/IF(BZ340&gt;0,BZ340,MAX(0.1,N(Cockpit!$O$6))),CC340)/BS340,0)*BS340</f>
        <v>264</v>
      </c>
      <c r="BA340" s="58" t="n">
        <f aca="false">IF(AX340&gt;0,J340/AX340,-1)</f>
        <v>1846</v>
      </c>
      <c r="BB340" s="58" t="n">
        <f aca="false">IF(AND(OR(BY340="L1",BY340="L23"),AX340&gt;0),SUMIFS($AX$7:$AX$1843,$BY$7:$BY$1843,BY340,$BA$7:$BA$1843,"&gt;"&amp;BA340)+SUMIFS($AX$7:$AX$1843,$BY$7:$BY$1843,BY340,$BA$7:$BA$1843,BA340,$BQ$7:$BQ$1843,"&lt;="&amp;BQ340),"")</f>
        <v>17.9807607851086</v>
      </c>
      <c r="BC340" s="65" t="n">
        <f aca="false">IF(BB340="",0,MAX(0,MIN(1,(IF(BY340="L1",Parameter!$E$5,Parameter!$E$6+Parameter!$E$7)-(BB340-AX340))/AX340)))</f>
        <v>1</v>
      </c>
      <c r="BD340" s="55" t="str">
        <f aca="false">IF(AH340&lt;=0,"",IF(BY340="Aussen","Aussenlager",IF(BY340="-","Nicht im Lift",IF(AM340&gt;=1,"Lift",IF(AM340&lt;=0,"Aussenlager","teilweise")))))</f>
        <v>Lift</v>
      </c>
      <c r="BE340" s="55" t="str">
        <f aca="false">IF(AP340&lt;=0,"",IF(BY340="Aussen","Aussenlager",IF(BY340="-","Nicht im Lift",IF(AU340&gt;=1,"Lift",IF(AU340&lt;=0,"Aussenlager","teilweise")))))</f>
        <v>Lift</v>
      </c>
      <c r="BF340" s="55" t="str">
        <f aca="false">IF(AX340&lt;=0,"",IF(BY340="Aussen","Aussenlager",IF(BY340="-","Nicht im Lift",IF(BC340&gt;=1,"Lift",IF(BC340&lt;=0,"Aussenlager","teilweise")))))</f>
        <v>Lift</v>
      </c>
      <c r="BG340" s="55" t="str">
        <f aca="false">IF(A340="","",IF(BP340=1,"Neu; ","")&amp;IF(AND(BP340=0,BK340&lt;0),"negativer Bestand (Export "&amp;BK340&amp;"); ","")&amp;IF(J340&lt;=0,"Kein Verbrauch; ","")&amp;IF(CH340&gt;0,"Lift "&amp;W340&amp;" lt. Liftbericht (Fach "&amp;X340&amp;" Stk); ",IF(BU340=1,"Gebinde geschätzt ("&amp;T340&amp;"); ",IF(BT340=1,"Lose – Tablare geschätzt; ","")))&amp;IF(H340&gt;AR340,"Überbestand "&amp;ROUND(H340-AR340,0)&amp;" Stk / CHF "&amp;ROUND((H340-AR340)*G340,0)&amp;"; ","")&amp;IF(AND(CA340=1,CB340&lt;CC340),"MAX &lt; MB+LG; ","")&amp;IF(AND(CG340&gt;0,CF340*10&gt;CG340),"zu hoch für Tablar; ","")&amp;IF(AND(BP340=0,OR(CA340=1,AA340&lt;&gt;"",U340&lt;&gt;"",V340&lt;&gt;"",AB340&lt;&gt;"")),"manuell übersteuert; ","")&amp;IF(AND(BT340=0,R340=0),"Gebinde unbekannt / Stellmass fehlt; ","")&amp;IF(AND(BT340=0,N(V340)&lt;=0,N(Q340)&lt;=0),"Menge pro Gebinde fehlt (Ist = 1 Gebinde); ","")&amp;BO340)</f>
        <v>Überbestand 18 Stk / CHF 22; Überbestand</v>
      </c>
      <c r="BH340" s="55"/>
      <c r="BI340" s="55"/>
      <c r="BJ340" s="62"/>
      <c r="BK340" s="57" t="n">
        <v>174</v>
      </c>
      <c r="BL340" s="57" t="n">
        <v>108</v>
      </c>
      <c r="BM340" s="56" t="n">
        <v>201.17</v>
      </c>
      <c r="BN340" s="57" t="n">
        <v>142</v>
      </c>
      <c r="BO340" s="55" t="s">
        <v>392</v>
      </c>
      <c r="BP340" s="60" t="n">
        <v>0</v>
      </c>
      <c r="BQ340" s="60" t="n">
        <v>340</v>
      </c>
      <c r="BR340" s="55" t="str">
        <f aca="false">IF(U340&lt;&gt;"",UPPER(TRIM(U340)),IF(BU340=1,UPPER(VLOOKUP(T340,Parameter!$I$27:$K$29,2,0)),IF(P340="","LOSE",P340)))</f>
        <v>S51</v>
      </c>
      <c r="BS340" s="57" t="n">
        <f aca="false">IF(BR340="LOSE",1,IF(N(V340)&gt;0,V340,IF(BU340=1,MAX(1,N(VLOOKUP(T340,Parameter!$I$27:$K$29,3,0)),H340,N(N340)),IF(N(Q340)&gt;0,Q340,MAX(1,H340)))))</f>
        <v>264</v>
      </c>
      <c r="BT340" s="60" t="n">
        <f aca="false">IF(BR340="LOSE",1,0)</f>
        <v>0</v>
      </c>
      <c r="BU340" s="60" t="n">
        <f aca="false">IF(AND(U340="",OR(P340="",P340="LOSE"),T340&lt;&gt;"",N(S340)&lt;=0,ISNUMBER(MATCH(T340,Parameter!$I$27:$I$29,0))),1,0)</f>
        <v>0</v>
      </c>
      <c r="BV340" s="55" t="str">
        <f aca="false">IF(AND(Parameter!$B$19="Ja",E340&lt;&gt;"",ISNUMBER(MATCH(E340,Parameter!$I$35:$I$52,0))),VLOOKUP(E340,Parameter!$I$35:$J$52,2,0),IFERROR(VLOOKUP(D340,Parameter!$A$35:$C$64,2,0),"Nein"))</f>
        <v>2+3</v>
      </c>
      <c r="BW340" s="59" t="n">
        <f aca="false">IF(BT340=0,0,IF(N(S340)&gt;0,S340,IFERROR(VLOOKUP(D340,Parameter!$A$35:$C$64,3,0)+0,0)))</f>
        <v>0</v>
      </c>
      <c r="BX340" s="55" t="n">
        <f aca="false">IF(AA340&lt;&gt;"",AA340,Z340)</f>
        <v>3</v>
      </c>
      <c r="BY340" s="55" t="str">
        <f aca="false">IF(BX340=1,"L1",IF(OR(BX340=2,BX340=3),"L23",IF(BX340="Aussen","Aussen","-")))</f>
        <v>L23</v>
      </c>
      <c r="BZ340" s="66" t="n">
        <f aca="false">IF(N(AB340)&gt;0,AB340,0)</f>
        <v>0</v>
      </c>
      <c r="CA340" s="60" t="n">
        <f aca="false">IF(ISNUMBER(AE340),1,0)</f>
        <v>0</v>
      </c>
      <c r="CB340" s="57" t="n">
        <f aca="false">N(AE340)</f>
        <v>0</v>
      </c>
      <c r="CC340" s="57" t="n">
        <f aca="false">N(M340)+N(N340)</f>
        <v>145</v>
      </c>
      <c r="CD340" s="57" t="n">
        <f aca="false">ROUNDUP(H340/BS340,0)</f>
        <v>2</v>
      </c>
      <c r="CE340" s="57" t="n">
        <f aca="false">ROUNDUP(CB340/BS340,0)</f>
        <v>0</v>
      </c>
      <c r="CF340" s="60" t="n">
        <f aca="false">IF(BT340=1,0,IFERROR(VLOOKUP(BR340,'Gebinde-Kategorie'!$A$5:$M$45,5,0)+0,0))</f>
        <v>11</v>
      </c>
      <c r="CG340" s="60" t="n">
        <f aca="false">IFERROR(IF(OR(BX340=1,BX340=2,BX340=3),N(INDEX(Parameter!$I$5:$I$7,BX340)),0),0)</f>
        <v>0</v>
      </c>
      <c r="CH340" s="59" t="n">
        <f aca="false">IF(AND(Parameter!$B$21="Ja",ISNUMBER(W340),N(X340)&gt;0),IFERROR(N(INDEX(Parameter!$L$5:$L$7,W340))*INDEX(Parameter!$E$5:$E$7,W340)*X340/SUMIFS($X$7:$X$1843,$W$7:$W$1843,W340),0),0)</f>
        <v>0</v>
      </c>
    </row>
    <row r="341" customFormat="false" ht="15" hidden="false" customHeight="false" outlineLevel="0" collapsed="false">
      <c r="A341" s="55" t="s">
        <v>838</v>
      </c>
      <c r="B341" s="55" t="s">
        <v>839</v>
      </c>
      <c r="C341" s="55" t="s">
        <v>164</v>
      </c>
      <c r="D341" s="55" t="s">
        <v>184</v>
      </c>
      <c r="E341" s="55" t="s">
        <v>185</v>
      </c>
      <c r="F341" s="55" t="s">
        <v>218</v>
      </c>
      <c r="G341" s="56" t="n">
        <v>33.5</v>
      </c>
      <c r="H341" s="57" t="n">
        <f aca="false">MAX(0,IF(AND(Parameter!$B$21="Ja",ISNUMBER(Y341)),Y341,IF(Parameter!$B$20="Jahresanfang 2025 + Export",BL341+BK341,BK341)))</f>
        <v>9</v>
      </c>
      <c r="I341" s="57" t="n">
        <f aca="false">H341*G341</f>
        <v>301.5</v>
      </c>
      <c r="J341" s="57" t="n">
        <f aca="false">BN341*Parameter!$B$18</f>
        <v>7</v>
      </c>
      <c r="K341" s="58" t="n">
        <v>2.5</v>
      </c>
      <c r="L341" s="59" t="n">
        <v>2.8</v>
      </c>
      <c r="M341" s="57" t="n">
        <v>0</v>
      </c>
      <c r="N341" s="57" t="n">
        <v>5</v>
      </c>
      <c r="O341" s="60" t="n">
        <v>14</v>
      </c>
      <c r="P341" s="55" t="s">
        <v>476</v>
      </c>
      <c r="Q341" s="57" t="n">
        <v>5</v>
      </c>
      <c r="R341" s="60" t="n">
        <f aca="false">IF(BT341=1,0,IFERROR(VLOOKUP(BR341,'Gebinde-Kategorie'!$A$5:$M$45,13,0)+0,0))</f>
        <v>66</v>
      </c>
      <c r="S341" s="61"/>
      <c r="T341" s="62"/>
      <c r="U341" s="62"/>
      <c r="V341" s="62"/>
      <c r="W341" s="55"/>
      <c r="X341" s="57"/>
      <c r="Y341" s="57"/>
      <c r="Z341" s="55" t="n">
        <f aca="false">IF(A341="","",IF(AND(Parameter!$B$21="Ja",ISNUMBER(W341)),W341,IF(BV341="2+3",IF(ISNUMBER(SEARCH("grosser Artikel",BO341)),2,IFERROR(VLOOKUP(BR341,Parameter!$F$35:$G$64,2,0),2)),IF(OR(BV341="Nein",BV341=""),"-",BV341))))</f>
        <v>3</v>
      </c>
      <c r="AA341" s="62"/>
      <c r="AB341" s="63"/>
      <c r="AC341" s="57" t="n">
        <f aca="false">AR341</f>
        <v>5</v>
      </c>
      <c r="AD341" s="57" t="n">
        <f aca="false">MAX(AR341,H341)</f>
        <v>9</v>
      </c>
      <c r="AE341" s="64"/>
      <c r="AF341" s="57" t="n">
        <f aca="false">IF(LEFT(Cockpit!$C$5,1)="A",H341,IF(CA341=1,CB341,IF(LEFT(Cockpit!$C$5,1)="B",AJ341,MAX(AJ341,H341))))</f>
        <v>9</v>
      </c>
      <c r="AG341" s="57" t="n">
        <f aca="false">IF(BT341=1,0,ROUNDUP(AF341/BS341,0))</f>
        <v>2</v>
      </c>
      <c r="AH341" s="59" t="n">
        <f aca="false">IF(CH341&gt;0,CH341*MAX(1,AF341/X341),IF(BT341=1,IF(AF341&lt;=0,0,BW341*MAX(1,IF(H341&gt;0,AF341/H341,1))),IF(R341&gt;0,AG341/R341,0))/MAX(0.1,N(Parameter!$M$21)))</f>
        <v>0.0303030303030303</v>
      </c>
      <c r="AI341" s="57" t="n">
        <f aca="false">AF341*G341</f>
        <v>301.5</v>
      </c>
      <c r="AJ341" s="57" t="n">
        <f aca="false">ROUNDUP(MAX(J341/IF(BZ341&gt;0,BZ341,MAX(0.1,N(Cockpit!$C$6))),CC341)/BS341,0)*BS341</f>
        <v>5</v>
      </c>
      <c r="AK341" s="58" t="n">
        <f aca="false">IF(AH341&gt;0,J341/AH341,-1)</f>
        <v>231</v>
      </c>
      <c r="AL341" s="58" t="n">
        <f aca="false">IF(AND(OR(BY341="L1",BY341="L23"),AH341&gt;0),SUMIFS($AH$7:$AH$1843,$BY$7:$BY$1843,BY341,$AK$7:$AK$1843,"&gt;"&amp;AK341)+SUMIFS($AH$7:$AH$1843,$BY$7:$BY$1843,BY341,$AK$7:$AK$1843,AK341,$BQ$7:$BQ$1843,"&lt;="&amp;BQ341),"")</f>
        <v>31.2448481470221</v>
      </c>
      <c r="AM341" s="65" t="n">
        <f aca="false">IF(AL341="",0,MAX(0,MIN(1,(IF(BY341="L1",Parameter!$E$5,Parameter!$E$6+Parameter!$E$7)-(AL341-AH341))/AH341)))</f>
        <v>1</v>
      </c>
      <c r="AN341" s="57" t="n">
        <f aca="false">IF(LEFT(Cockpit!$I$5,1)="A",H341,IF(CA341=1,CB341,IF(LEFT(Cockpit!$I$5,1)="B",AR341,MAX(AR341,H341))))</f>
        <v>9</v>
      </c>
      <c r="AO341" s="57" t="n">
        <f aca="false">IF(BT341=1,0,ROUNDUP(AN341/BS341,0))</f>
        <v>2</v>
      </c>
      <c r="AP341" s="59" t="n">
        <f aca="false">IF(CH341&gt;0,CH341*MAX(1,AN341/X341),IF(BT341=1,IF(AN341&lt;=0,0,BW341*MAX(1,IF(H341&gt;0,AN341/H341,1))),IF(R341&gt;0,AO341/R341,0))/MAX(0.1,N(Parameter!$M$21)))</f>
        <v>0.0303030303030303</v>
      </c>
      <c r="AQ341" s="57" t="n">
        <f aca="false">AN341*G341</f>
        <v>301.5</v>
      </c>
      <c r="AR341" s="57" t="n">
        <f aca="false">ROUNDUP(MAX(J341/IF(BZ341&gt;0,BZ341,MAX(0.1,N(Cockpit!$I$6))),CC341)/BS341,0)*BS341</f>
        <v>5</v>
      </c>
      <c r="AS341" s="58" t="n">
        <f aca="false">IF(AP341&gt;0,J341/AP341,-1)</f>
        <v>231</v>
      </c>
      <c r="AT341" s="58" t="n">
        <f aca="false">IF(AND(OR(BY341="L1",BY341="L23"),AP341&gt;0),SUMIFS($AP$7:$AP$1843,$BY$7:$BY$1843,BY341,$AS$7:$AS$1843,"&gt;"&amp;AS341)+SUMIFS($AP$7:$AP$1843,$BY$7:$BY$1843,BY341,$AS$7:$AS$1843,AS341,$BQ$7:$BQ$1843,"&lt;="&amp;BQ341),"")</f>
        <v>44.4218860849296</v>
      </c>
      <c r="AU341" s="65" t="n">
        <f aca="false">IF(AT341="",0,MAX(0,MIN(1,(IF(BY341="L1",Parameter!$E$5,Parameter!$E$6+Parameter!$E$7)-(AT341-AP341))/AP341)))</f>
        <v>1</v>
      </c>
      <c r="AV341" s="57" t="n">
        <f aca="false">IF(LEFT(Cockpit!$O$5,1)="A",H341,IF(CA341=1,CB341,IF(LEFT(Cockpit!$O$5,1)="B",AZ341,MAX(AZ341,H341))))</f>
        <v>9</v>
      </c>
      <c r="AW341" s="57" t="n">
        <f aca="false">IF(BT341=1,0,ROUNDUP(AV341/BS341,0))</f>
        <v>2</v>
      </c>
      <c r="AX341" s="59" t="n">
        <f aca="false">IF(CH341&gt;0,CH341*MAX(1,AV341/X341),IF(BT341=1,IF(AV341&lt;=0,0,BW341*MAX(1,IF(H341&gt;0,AV341/H341,1))),IF(R341&gt;0,AW341/R341,0))/MAX(0.1,N(Parameter!$M$21)))</f>
        <v>0.0303030303030303</v>
      </c>
      <c r="AY341" s="57" t="n">
        <f aca="false">AV341*G341</f>
        <v>301.5</v>
      </c>
      <c r="AZ341" s="57" t="n">
        <f aca="false">ROUNDUP(MAX(J341/IF(BZ341&gt;0,BZ341,MAX(0.1,N(Cockpit!$O$6))),CC341)/BS341,0)*BS341</f>
        <v>5</v>
      </c>
      <c r="BA341" s="58" t="n">
        <f aca="false">IF(AX341&gt;0,J341/AX341,-1)</f>
        <v>231</v>
      </c>
      <c r="BB341" s="58" t="n">
        <f aca="false">IF(AND(OR(BY341="L1",BY341="L23"),AX341&gt;0),SUMIFS($AX$7:$AX$1843,$BY$7:$BY$1843,BY341,$BA$7:$BA$1843,"&gt;"&amp;BA341)+SUMIFS($AX$7:$AX$1843,$BY$7:$BY$1843,BY341,$BA$7:$BA$1843,BA341,$BQ$7:$BQ$1843,"&lt;="&amp;BQ341),"")</f>
        <v>41.6683895814331</v>
      </c>
      <c r="BC341" s="65" t="n">
        <f aca="false">IF(BB341="",0,MAX(0,MIN(1,(IF(BY341="L1",Parameter!$E$5,Parameter!$E$6+Parameter!$E$7)-(BB341-AX341))/AX341)))</f>
        <v>1</v>
      </c>
      <c r="BD341" s="55" t="str">
        <f aca="false">IF(AH341&lt;=0,"",IF(BY341="Aussen","Aussenlager",IF(BY341="-","Nicht im Lift",IF(AM341&gt;=1,"Lift",IF(AM341&lt;=0,"Aussenlager","teilweise")))))</f>
        <v>Lift</v>
      </c>
      <c r="BE341" s="55" t="str">
        <f aca="false">IF(AP341&lt;=0,"",IF(BY341="Aussen","Aussenlager",IF(BY341="-","Nicht im Lift",IF(AU341&gt;=1,"Lift",IF(AU341&lt;=0,"Aussenlager","teilweise")))))</f>
        <v>Lift</v>
      </c>
      <c r="BF341" s="55" t="str">
        <f aca="false">IF(AX341&lt;=0,"",IF(BY341="Aussen","Aussenlager",IF(BY341="-","Nicht im Lift",IF(BC341&gt;=1,"Lift",IF(BC341&lt;=0,"Aussenlager","teilweise")))))</f>
        <v>Lift</v>
      </c>
      <c r="BG341" s="55" t="str">
        <f aca="false">IF(A341="","",IF(BP341=1,"Neu; ","")&amp;IF(AND(BP341=0,BK341&lt;0),"negativer Bestand (Export "&amp;BK341&amp;"); ","")&amp;IF(J341&lt;=0,"Kein Verbrauch; ","")&amp;IF(CH341&gt;0,"Lift "&amp;W341&amp;" lt. Liftbericht (Fach "&amp;X341&amp;" Stk); ",IF(BU341=1,"Gebinde geschätzt ("&amp;T341&amp;"); ",IF(BT341=1,"Lose – Tablare geschätzt; ","")))&amp;IF(H341&gt;AR341,"Überbestand "&amp;ROUND(H341-AR341,0)&amp;" Stk / CHF "&amp;ROUND((H341-AR341)*G341,0)&amp;"; ","")&amp;IF(AND(CA341=1,CB341&lt;CC341),"MAX &lt; MB+LG; ","")&amp;IF(AND(CG341&gt;0,CF341*10&gt;CG341),"zu hoch für Tablar; ","")&amp;IF(AND(BP341=0,OR(CA341=1,AA341&lt;&gt;"",U341&lt;&gt;"",V341&lt;&gt;"",AB341&lt;&gt;"")),"manuell übersteuert; ","")&amp;IF(AND(BT341=0,R341=0),"Gebinde unbekannt / Stellmass fehlt; ","")&amp;IF(AND(BT341=0,N(V341)&lt;=0,N(Q341)&lt;=0),"Menge pro Gebinde fehlt (Ist = 1 Gebinde); ","")&amp;BO341)</f>
        <v>Überbestand 4 Stk / CHF 134; </v>
      </c>
      <c r="BH341" s="55"/>
      <c r="BI341" s="55"/>
      <c r="BJ341" s="62"/>
      <c r="BK341" s="57" t="n">
        <v>6</v>
      </c>
      <c r="BL341" s="57" t="n">
        <v>3</v>
      </c>
      <c r="BM341" s="56" t="n">
        <v>201</v>
      </c>
      <c r="BN341" s="57" t="n">
        <v>7</v>
      </c>
      <c r="BO341" s="55"/>
      <c r="BP341" s="60" t="n">
        <v>0</v>
      </c>
      <c r="BQ341" s="60" t="n">
        <v>341</v>
      </c>
      <c r="BR341" s="55" t="str">
        <f aca="false">IF(U341&lt;&gt;"",UPPER(TRIM(U341)),IF(BU341=1,UPPER(VLOOKUP(T341,Parameter!$I$27:$K$29,2,0)),IF(P341="","LOSE",P341)))</f>
        <v>S33</v>
      </c>
      <c r="BS341" s="57" t="n">
        <f aca="false">IF(BR341="LOSE",1,IF(N(V341)&gt;0,V341,IF(BU341=1,MAX(1,N(VLOOKUP(T341,Parameter!$I$27:$K$29,3,0)),H341,N(N341)),IF(N(Q341)&gt;0,Q341,MAX(1,H341)))))</f>
        <v>5</v>
      </c>
      <c r="BT341" s="60" t="n">
        <f aca="false">IF(BR341="LOSE",1,0)</f>
        <v>0</v>
      </c>
      <c r="BU341" s="60" t="n">
        <f aca="false">IF(AND(U341="",OR(P341="",P341="LOSE"),T341&lt;&gt;"",N(S341)&lt;=0,ISNUMBER(MATCH(T341,Parameter!$I$27:$I$29,0))),1,0)</f>
        <v>0</v>
      </c>
      <c r="BV341" s="55" t="str">
        <f aca="false">IF(AND(Parameter!$B$19="Ja",E341&lt;&gt;"",ISNUMBER(MATCH(E341,Parameter!$I$35:$I$52,0))),VLOOKUP(E341,Parameter!$I$35:$J$52,2,0),IFERROR(VLOOKUP(D341,Parameter!$A$35:$C$64,2,0),"Nein"))</f>
        <v>2+3</v>
      </c>
      <c r="BW341" s="59" t="n">
        <f aca="false">IF(BT341=0,0,IF(N(S341)&gt;0,S341,IFERROR(VLOOKUP(D341,Parameter!$A$35:$C$64,3,0)+0,0)))</f>
        <v>0</v>
      </c>
      <c r="BX341" s="55" t="n">
        <f aca="false">IF(AA341&lt;&gt;"",AA341,Z341)</f>
        <v>3</v>
      </c>
      <c r="BY341" s="55" t="str">
        <f aca="false">IF(BX341=1,"L1",IF(OR(BX341=2,BX341=3),"L23",IF(BX341="Aussen","Aussen","-")))</f>
        <v>L23</v>
      </c>
      <c r="BZ341" s="66" t="n">
        <f aca="false">IF(N(AB341)&gt;0,AB341,0)</f>
        <v>0</v>
      </c>
      <c r="CA341" s="60" t="n">
        <f aca="false">IF(ISNUMBER(AE341),1,0)</f>
        <v>0</v>
      </c>
      <c r="CB341" s="57" t="n">
        <f aca="false">N(AE341)</f>
        <v>0</v>
      </c>
      <c r="CC341" s="57" t="n">
        <f aca="false">N(M341)+N(N341)</f>
        <v>5</v>
      </c>
      <c r="CD341" s="57" t="n">
        <f aca="false">ROUNDUP(H341/BS341,0)</f>
        <v>2</v>
      </c>
      <c r="CE341" s="57" t="n">
        <f aca="false">ROUNDUP(CB341/BS341,0)</f>
        <v>0</v>
      </c>
      <c r="CF341" s="60" t="n">
        <f aca="false">IF(BT341=1,0,IFERROR(VLOOKUP(BR341,'Gebinde-Kategorie'!$A$5:$M$45,5,0)+0,0))</f>
        <v>8</v>
      </c>
      <c r="CG341" s="60" t="n">
        <f aca="false">IFERROR(IF(OR(BX341=1,BX341=2,BX341=3),N(INDEX(Parameter!$I$5:$I$7,BX341)),0),0)</f>
        <v>0</v>
      </c>
      <c r="CH341" s="59" t="n">
        <f aca="false">IF(AND(Parameter!$B$21="Ja",ISNUMBER(W341),N(X341)&gt;0),IFERROR(N(INDEX(Parameter!$L$5:$L$7,W341))*INDEX(Parameter!$E$5:$E$7,W341)*X341/SUMIFS($X$7:$X$1843,$W$7:$W$1843,W341),0),0)</f>
        <v>0</v>
      </c>
    </row>
    <row r="342" customFormat="false" ht="15" hidden="false" customHeight="false" outlineLevel="0" collapsed="false">
      <c r="A342" s="55" t="s">
        <v>840</v>
      </c>
      <c r="B342" s="55" t="s">
        <v>841</v>
      </c>
      <c r="C342" s="55" t="s">
        <v>164</v>
      </c>
      <c r="D342" s="55" t="s">
        <v>184</v>
      </c>
      <c r="E342" s="55"/>
      <c r="F342" s="55" t="s">
        <v>218</v>
      </c>
      <c r="G342" s="56" t="n">
        <v>0.23</v>
      </c>
      <c r="H342" s="57" t="n">
        <f aca="false">MAX(0,IF(AND(Parameter!$B$21="Ja",ISNUMBER(Y342)),Y342,IF(Parameter!$B$20="Jahresanfang 2025 + Export",BL342+BK342,BK342)))</f>
        <v>1280</v>
      </c>
      <c r="I342" s="57" t="n">
        <f aca="false">H342*G342</f>
        <v>294.4</v>
      </c>
      <c r="J342" s="57" t="n">
        <f aca="false">BN342*Parameter!$B$18</f>
        <v>515</v>
      </c>
      <c r="K342" s="58" t="n">
        <v>467.5</v>
      </c>
      <c r="L342" s="59" t="n">
        <v>1.10160427807487</v>
      </c>
      <c r="M342" s="57" t="n">
        <v>30</v>
      </c>
      <c r="N342" s="57" t="n">
        <v>515</v>
      </c>
      <c r="O342" s="60" t="n">
        <v>21</v>
      </c>
      <c r="P342" s="55" t="s">
        <v>233</v>
      </c>
      <c r="Q342" s="57" t="n">
        <v>400</v>
      </c>
      <c r="R342" s="60" t="n">
        <f aca="false">IF(BT342=1,0,IFERROR(VLOOKUP(BR342,'Gebinde-Kategorie'!$A$5:$M$45,13,0)+0,0))</f>
        <v>26</v>
      </c>
      <c r="S342" s="61"/>
      <c r="T342" s="62"/>
      <c r="U342" s="62"/>
      <c r="V342" s="62"/>
      <c r="W342" s="55"/>
      <c r="X342" s="57"/>
      <c r="Y342" s="57"/>
      <c r="Z342" s="55" t="n">
        <f aca="false">IF(A342="","",IF(AND(Parameter!$B$21="Ja",ISNUMBER(W342)),W342,IF(BV342="2+3",IF(ISNUMBER(SEARCH("grosser Artikel",BO342)),2,IFERROR(VLOOKUP(BR342,Parameter!$F$35:$G$64,2,0),2)),IF(OR(BV342="Nein",BV342=""),"-",BV342))))</f>
        <v>3</v>
      </c>
      <c r="AA342" s="62"/>
      <c r="AB342" s="63"/>
      <c r="AC342" s="57" t="n">
        <f aca="false">AR342</f>
        <v>800</v>
      </c>
      <c r="AD342" s="57" t="n">
        <f aca="false">MAX(AR342,H342)</f>
        <v>1280</v>
      </c>
      <c r="AE342" s="64"/>
      <c r="AF342" s="57" t="n">
        <f aca="false">IF(LEFT(Cockpit!$C$5,1)="A",H342,IF(CA342=1,CB342,IF(LEFT(Cockpit!$C$5,1)="B",AJ342,MAX(AJ342,H342))))</f>
        <v>1280</v>
      </c>
      <c r="AG342" s="57" t="n">
        <f aca="false">IF(BT342=1,0,ROUNDUP(AF342/BS342,0))</f>
        <v>4</v>
      </c>
      <c r="AH342" s="59" t="n">
        <f aca="false">IF(CH342&gt;0,CH342*MAX(1,AF342/X342),IF(BT342=1,IF(AF342&lt;=0,0,BW342*MAX(1,IF(H342&gt;0,AF342/H342,1))),IF(R342&gt;0,AG342/R342,0))/MAX(0.1,N(Parameter!$M$21)))</f>
        <v>0.153846153846154</v>
      </c>
      <c r="AI342" s="57" t="n">
        <f aca="false">AF342*G342</f>
        <v>294.4</v>
      </c>
      <c r="AJ342" s="57" t="n">
        <f aca="false">ROUNDUP(MAX(J342/IF(BZ342&gt;0,BZ342,MAX(0.1,N(Cockpit!$C$6))),CC342)/BS342,0)*BS342</f>
        <v>800</v>
      </c>
      <c r="AK342" s="58" t="n">
        <f aca="false">IF(AH342&gt;0,J342/AH342,-1)</f>
        <v>3347.5</v>
      </c>
      <c r="AL342" s="58" t="n">
        <f aca="false">IF(AND(OR(BY342="L1",BY342="L23"),AH342&gt;0),SUMIFS($AH$7:$AH$1843,$BY$7:$BY$1843,BY342,$AK$7:$AK$1843,"&gt;"&amp;AK342)+SUMIFS($AH$7:$AH$1843,$BY$7:$BY$1843,BY342,$AK$7:$AK$1843,AK342,$BQ$7:$BQ$1843,"&lt;="&amp;BQ342),"")</f>
        <v>10.3447349751698</v>
      </c>
      <c r="AM342" s="65" t="n">
        <f aca="false">IF(AL342="",0,MAX(0,MIN(1,(IF(BY342="L1",Parameter!$E$5,Parameter!$E$6+Parameter!$E$7)-(AL342-AH342))/AH342)))</f>
        <v>1</v>
      </c>
      <c r="AN342" s="57" t="n">
        <f aca="false">IF(LEFT(Cockpit!$I$5,1)="A",H342,IF(CA342=1,CB342,IF(LEFT(Cockpit!$I$5,1)="B",AR342,MAX(AR342,H342))))</f>
        <v>1280</v>
      </c>
      <c r="AO342" s="57" t="n">
        <f aca="false">IF(BT342=1,0,ROUNDUP(AN342/BS342,0))</f>
        <v>4</v>
      </c>
      <c r="AP342" s="59" t="n">
        <f aca="false">IF(CH342&gt;0,CH342*MAX(1,AN342/X342),IF(BT342=1,IF(AN342&lt;=0,0,BW342*MAX(1,IF(H342&gt;0,AN342/H342,1))),IF(R342&gt;0,AO342/R342,0))/MAX(0.1,N(Parameter!$M$21)))</f>
        <v>0.153846153846154</v>
      </c>
      <c r="AQ342" s="57" t="n">
        <f aca="false">AN342*G342</f>
        <v>294.4</v>
      </c>
      <c r="AR342" s="57" t="n">
        <f aca="false">ROUNDUP(MAX(J342/IF(BZ342&gt;0,BZ342,MAX(0.1,N(Cockpit!$I$6))),CC342)/BS342,0)*BS342</f>
        <v>800</v>
      </c>
      <c r="AS342" s="58" t="n">
        <f aca="false">IF(AP342&gt;0,J342/AP342,-1)</f>
        <v>3347.5</v>
      </c>
      <c r="AT342" s="58" t="n">
        <f aca="false">IF(AND(OR(BY342="L1",BY342="L23"),AP342&gt;0),SUMIFS($AP$7:$AP$1843,$BY$7:$BY$1843,BY342,$AS$7:$AS$1843,"&gt;"&amp;AS342)+SUMIFS($AP$7:$AP$1843,$BY$7:$BY$1843,BY342,$AS$7:$AS$1843,AS342,$BQ$7:$BQ$1843,"&lt;="&amp;BQ342),"")</f>
        <v>15.2495946082903</v>
      </c>
      <c r="AU342" s="65" t="n">
        <f aca="false">IF(AT342="",0,MAX(0,MIN(1,(IF(BY342="L1",Parameter!$E$5,Parameter!$E$6+Parameter!$E$7)-(AT342-AP342))/AP342)))</f>
        <v>1</v>
      </c>
      <c r="AV342" s="57" t="n">
        <f aca="false">IF(LEFT(Cockpit!$O$5,1)="A",H342,IF(CA342=1,CB342,IF(LEFT(Cockpit!$O$5,1)="B",AZ342,MAX(AZ342,H342))))</f>
        <v>1280</v>
      </c>
      <c r="AW342" s="57" t="n">
        <f aca="false">IF(BT342=1,0,ROUNDUP(AV342/BS342,0))</f>
        <v>4</v>
      </c>
      <c r="AX342" s="59" t="n">
        <f aca="false">IF(CH342&gt;0,CH342*MAX(1,AV342/X342),IF(BT342=1,IF(AV342&lt;=0,0,BW342*MAX(1,IF(H342&gt;0,AV342/H342,1))),IF(R342&gt;0,AW342/R342,0))/MAX(0.1,N(Parameter!$M$21)))</f>
        <v>0.153846153846154</v>
      </c>
      <c r="AY342" s="57" t="n">
        <f aca="false">AV342*G342</f>
        <v>294.4</v>
      </c>
      <c r="AZ342" s="57" t="n">
        <f aca="false">ROUNDUP(MAX(J342/IF(BZ342&gt;0,BZ342,MAX(0.1,N(Cockpit!$O$6))),CC342)/BS342,0)*BS342</f>
        <v>800</v>
      </c>
      <c r="BA342" s="58" t="n">
        <f aca="false">IF(AX342&gt;0,J342/AX342,-1)</f>
        <v>3347.5</v>
      </c>
      <c r="BB342" s="58" t="n">
        <f aca="false">IF(AND(OR(BY342="L1",BY342="L23"),AX342&gt;0),SUMIFS($AX$7:$AX$1843,$BY$7:$BY$1843,BY342,$BA$7:$BA$1843,"&gt;"&amp;BA342)+SUMIFS($AX$7:$AX$1843,$BY$7:$BY$1843,BY342,$BA$7:$BA$1843,BA342,$BQ$7:$BQ$1843,"&lt;="&amp;BQ342),"")</f>
        <v>13.8166109253066</v>
      </c>
      <c r="BC342" s="65" t="n">
        <f aca="false">IF(BB342="",0,MAX(0,MIN(1,(IF(BY342="L1",Parameter!$E$5,Parameter!$E$6+Parameter!$E$7)-(BB342-AX342))/AX342)))</f>
        <v>1</v>
      </c>
      <c r="BD342" s="55" t="str">
        <f aca="false">IF(AH342&lt;=0,"",IF(BY342="Aussen","Aussenlager",IF(BY342="-","Nicht im Lift",IF(AM342&gt;=1,"Lift",IF(AM342&lt;=0,"Aussenlager","teilweise")))))</f>
        <v>Lift</v>
      </c>
      <c r="BE342" s="55" t="str">
        <f aca="false">IF(AP342&lt;=0,"",IF(BY342="Aussen","Aussenlager",IF(BY342="-","Nicht im Lift",IF(AU342&gt;=1,"Lift",IF(AU342&lt;=0,"Aussenlager","teilweise")))))</f>
        <v>Lift</v>
      </c>
      <c r="BF342" s="55" t="str">
        <f aca="false">IF(AX342&lt;=0,"",IF(BY342="Aussen","Aussenlager",IF(BY342="-","Nicht im Lift",IF(BC342&gt;=1,"Lift",IF(BC342&lt;=0,"Aussenlager","teilweise")))))</f>
        <v>Lift</v>
      </c>
      <c r="BG342" s="55" t="str">
        <f aca="false">IF(A342="","",IF(BP342=1,"Neu; ","")&amp;IF(AND(BP342=0,BK342&lt;0),"negativer Bestand (Export "&amp;BK342&amp;"); ","")&amp;IF(J342&lt;=0,"Kein Verbrauch; ","")&amp;IF(CH342&gt;0,"Lift "&amp;W342&amp;" lt. Liftbericht (Fach "&amp;X342&amp;" Stk); ",IF(BU342=1,"Gebinde geschätzt ("&amp;T342&amp;"); ",IF(BT342=1,"Lose – Tablare geschätzt; ","")))&amp;IF(H342&gt;AR342,"Überbestand "&amp;ROUND(H342-AR342,0)&amp;" Stk / CHF "&amp;ROUND((H342-AR342)*G342,0)&amp;"; ","")&amp;IF(AND(CA342=1,CB342&lt;CC342),"MAX &lt; MB+LG; ","")&amp;IF(AND(CG342&gt;0,CF342*10&gt;CG342),"zu hoch für Tablar; ","")&amp;IF(AND(BP342=0,OR(CA342=1,AA342&lt;&gt;"",U342&lt;&gt;"",V342&lt;&gt;"",AB342&lt;&gt;"")),"manuell übersteuert; ","")&amp;IF(AND(BT342=0,R342=0),"Gebinde unbekannt / Stellmass fehlt; ","")&amp;IF(AND(BT342=0,N(V342)&lt;=0,N(Q342)&lt;=0),"Menge pro Gebinde fehlt (Ist = 1 Gebinde); ","")&amp;BO342)</f>
        <v>Überbestand 480 Stk / CHF 110; </v>
      </c>
      <c r="BH342" s="55"/>
      <c r="BI342" s="55"/>
      <c r="BJ342" s="62"/>
      <c r="BK342" s="57" t="n">
        <v>818</v>
      </c>
      <c r="BL342" s="57" t="n">
        <v>462</v>
      </c>
      <c r="BM342" s="56" t="n">
        <v>197.38</v>
      </c>
      <c r="BN342" s="57" t="n">
        <v>515</v>
      </c>
      <c r="BO342" s="55"/>
      <c r="BP342" s="60" t="n">
        <v>0</v>
      </c>
      <c r="BQ342" s="60" t="n">
        <v>342</v>
      </c>
      <c r="BR342" s="55" t="str">
        <f aca="false">IF(U342&lt;&gt;"",UPPER(TRIM(U342)),IF(BU342=1,UPPER(VLOOKUP(T342,Parameter!$I$27:$K$29,2,0)),IF(P342="","LOSE",P342)))</f>
        <v>S52</v>
      </c>
      <c r="BS342" s="57" t="n">
        <f aca="false">IF(BR342="LOSE",1,IF(N(V342)&gt;0,V342,IF(BU342=1,MAX(1,N(VLOOKUP(T342,Parameter!$I$27:$K$29,3,0)),H342,N(N342)),IF(N(Q342)&gt;0,Q342,MAX(1,H342)))))</f>
        <v>400</v>
      </c>
      <c r="BT342" s="60" t="n">
        <f aca="false">IF(BR342="LOSE",1,0)</f>
        <v>0</v>
      </c>
      <c r="BU342" s="60" t="n">
        <f aca="false">IF(AND(U342="",OR(P342="",P342="LOSE"),T342&lt;&gt;"",N(S342)&lt;=0,ISNUMBER(MATCH(T342,Parameter!$I$27:$I$29,0))),1,0)</f>
        <v>0</v>
      </c>
      <c r="BV342" s="55" t="str">
        <f aca="false">IF(AND(Parameter!$B$19="Ja",E342&lt;&gt;"",ISNUMBER(MATCH(E342,Parameter!$I$35:$I$52,0))),VLOOKUP(E342,Parameter!$I$35:$J$52,2,0),IFERROR(VLOOKUP(D342,Parameter!$A$35:$C$64,2,0),"Nein"))</f>
        <v>2+3</v>
      </c>
      <c r="BW342" s="59" t="n">
        <f aca="false">IF(BT342=0,0,IF(N(S342)&gt;0,S342,IFERROR(VLOOKUP(D342,Parameter!$A$35:$C$64,3,0)+0,0)))</f>
        <v>0</v>
      </c>
      <c r="BX342" s="55" t="n">
        <f aca="false">IF(AA342&lt;&gt;"",AA342,Z342)</f>
        <v>3</v>
      </c>
      <c r="BY342" s="55" t="str">
        <f aca="false">IF(BX342=1,"L1",IF(OR(BX342=2,BX342=3),"L23",IF(BX342="Aussen","Aussen","-")))</f>
        <v>L23</v>
      </c>
      <c r="BZ342" s="66" t="n">
        <f aca="false">IF(N(AB342)&gt;0,AB342,0)</f>
        <v>0</v>
      </c>
      <c r="CA342" s="60" t="n">
        <f aca="false">IF(ISNUMBER(AE342),1,0)</f>
        <v>0</v>
      </c>
      <c r="CB342" s="57" t="n">
        <f aca="false">N(AE342)</f>
        <v>0</v>
      </c>
      <c r="CC342" s="57" t="n">
        <f aca="false">N(M342)+N(N342)</f>
        <v>545</v>
      </c>
      <c r="CD342" s="57" t="n">
        <f aca="false">ROUNDUP(H342/BS342,0)</f>
        <v>4</v>
      </c>
      <c r="CE342" s="57" t="n">
        <f aca="false">ROUNDUP(CB342/BS342,0)</f>
        <v>0</v>
      </c>
      <c r="CF342" s="60" t="n">
        <f aca="false">IF(BT342=1,0,IFERROR(VLOOKUP(BR342,'Gebinde-Kategorie'!$A$5:$M$45,5,0)+0,0))</f>
        <v>21</v>
      </c>
      <c r="CG342" s="60" t="n">
        <f aca="false">IFERROR(IF(OR(BX342=1,BX342=2,BX342=3),N(INDEX(Parameter!$I$5:$I$7,BX342)),0),0)</f>
        <v>0</v>
      </c>
      <c r="CH342" s="59" t="n">
        <f aca="false">IF(AND(Parameter!$B$21="Ja",ISNUMBER(W342),N(X342)&gt;0),IFERROR(N(INDEX(Parameter!$L$5:$L$7,W342))*INDEX(Parameter!$E$5:$E$7,W342)*X342/SUMIFS($X$7:$X$1843,$W$7:$W$1843,W342),0),0)</f>
        <v>0</v>
      </c>
    </row>
    <row r="343" customFormat="false" ht="15" hidden="false" customHeight="false" outlineLevel="0" collapsed="false">
      <c r="A343" s="55" t="s">
        <v>842</v>
      </c>
      <c r="B343" s="55" t="s">
        <v>843</v>
      </c>
      <c r="C343" s="55" t="s">
        <v>164</v>
      </c>
      <c r="D343" s="55" t="s">
        <v>184</v>
      </c>
      <c r="E343" s="55"/>
      <c r="F343" s="55" t="s">
        <v>218</v>
      </c>
      <c r="G343" s="56" t="n">
        <v>47.25</v>
      </c>
      <c r="H343" s="57" t="n">
        <f aca="false">MAX(0,IF(AND(Parameter!$B$21="Ja",ISNUMBER(Y343)),Y343,IF(Parameter!$B$20="Jahresanfang 2025 + Export",BL343+BK343,BK343)))</f>
        <v>6</v>
      </c>
      <c r="I343" s="57" t="n">
        <f aca="false">H343*G343</f>
        <v>283.5</v>
      </c>
      <c r="J343" s="57" t="n">
        <f aca="false">BN343*Parameter!$B$18</f>
        <v>7</v>
      </c>
      <c r="K343" s="58" t="n">
        <v>1.5</v>
      </c>
      <c r="L343" s="59" t="n">
        <v>4.66666666666667</v>
      </c>
      <c r="M343" s="57" t="n">
        <v>0</v>
      </c>
      <c r="N343" s="57" t="n">
        <v>5</v>
      </c>
      <c r="O343" s="60" t="n">
        <v>35</v>
      </c>
      <c r="P343" s="55" t="s">
        <v>328</v>
      </c>
      <c r="Q343" s="57" t="n">
        <v>6</v>
      </c>
      <c r="R343" s="60" t="n">
        <f aca="false">IF(BT343=1,0,IFERROR(VLOOKUP(BR343,'Gebinde-Kategorie'!$A$5:$M$45,13,0)+0,0))</f>
        <v>52</v>
      </c>
      <c r="S343" s="61"/>
      <c r="T343" s="62"/>
      <c r="U343" s="62"/>
      <c r="V343" s="62"/>
      <c r="W343" s="55"/>
      <c r="X343" s="57"/>
      <c r="Y343" s="57"/>
      <c r="Z343" s="55" t="n">
        <f aca="false">IF(A343="","",IF(AND(Parameter!$B$21="Ja",ISNUMBER(W343)),W343,IF(BV343="2+3",IF(ISNUMBER(SEARCH("grosser Artikel",BO343)),2,IFERROR(VLOOKUP(BR343,Parameter!$F$35:$G$64,2,0),2)),IF(OR(BV343="Nein",BV343=""),"-",BV343))))</f>
        <v>3</v>
      </c>
      <c r="AA343" s="62"/>
      <c r="AB343" s="63"/>
      <c r="AC343" s="57" t="n">
        <f aca="false">AR343</f>
        <v>6</v>
      </c>
      <c r="AD343" s="57" t="n">
        <f aca="false">MAX(AR343,H343)</f>
        <v>6</v>
      </c>
      <c r="AE343" s="64"/>
      <c r="AF343" s="57" t="n">
        <f aca="false">IF(LEFT(Cockpit!$C$5,1)="A",H343,IF(CA343=1,CB343,IF(LEFT(Cockpit!$C$5,1)="B",AJ343,MAX(AJ343,H343))))</f>
        <v>6</v>
      </c>
      <c r="AG343" s="57" t="n">
        <f aca="false">IF(BT343=1,0,ROUNDUP(AF343/BS343,0))</f>
        <v>1</v>
      </c>
      <c r="AH343" s="59" t="n">
        <f aca="false">IF(CH343&gt;0,CH343*MAX(1,AF343/X343),IF(BT343=1,IF(AF343&lt;=0,0,BW343*MAX(1,IF(H343&gt;0,AF343/H343,1))),IF(R343&gt;0,AG343/R343,0))/MAX(0.1,N(Parameter!$M$21)))</f>
        <v>0.0192307692307692</v>
      </c>
      <c r="AI343" s="57" t="n">
        <f aca="false">AF343*G343</f>
        <v>283.5</v>
      </c>
      <c r="AJ343" s="57" t="n">
        <f aca="false">ROUNDUP(MAX(J343/IF(BZ343&gt;0,BZ343,MAX(0.1,N(Cockpit!$C$6))),CC343)/BS343,0)*BS343</f>
        <v>6</v>
      </c>
      <c r="AK343" s="58" t="n">
        <f aca="false">IF(AH343&gt;0,J343/AH343,-1)</f>
        <v>364</v>
      </c>
      <c r="AL343" s="58" t="n">
        <f aca="false">IF(AND(OR(BY343="L1",BY343="L23"),AH343&gt;0),SUMIFS($AH$7:$AH$1843,$BY$7:$BY$1843,BY343,$AK$7:$AK$1843,"&gt;"&amp;AK343)+SUMIFS($AH$7:$AH$1843,$BY$7:$BY$1843,BY343,$AK$7:$AK$1843,AK343,$BQ$7:$BQ$1843,"&lt;="&amp;BQ343),"")</f>
        <v>26.9120975642715</v>
      </c>
      <c r="AM343" s="65" t="n">
        <f aca="false">IF(AL343="",0,MAX(0,MIN(1,(IF(BY343="L1",Parameter!$E$5,Parameter!$E$6+Parameter!$E$7)-(AL343-AH343))/AH343)))</f>
        <v>1</v>
      </c>
      <c r="AN343" s="57" t="n">
        <f aca="false">IF(LEFT(Cockpit!$I$5,1)="A",H343,IF(CA343=1,CB343,IF(LEFT(Cockpit!$I$5,1)="B",AR343,MAX(AR343,H343))))</f>
        <v>6</v>
      </c>
      <c r="AO343" s="57" t="n">
        <f aca="false">IF(BT343=1,0,ROUNDUP(AN343/BS343,0))</f>
        <v>1</v>
      </c>
      <c r="AP343" s="59" t="n">
        <f aca="false">IF(CH343&gt;0,CH343*MAX(1,AN343/X343),IF(BT343=1,IF(AN343&lt;=0,0,BW343*MAX(1,IF(H343&gt;0,AN343/H343,1))),IF(R343&gt;0,AO343/R343,0))/MAX(0.1,N(Parameter!$M$21)))</f>
        <v>0.0192307692307692</v>
      </c>
      <c r="AQ343" s="57" t="n">
        <f aca="false">AN343*G343</f>
        <v>283.5</v>
      </c>
      <c r="AR343" s="57" t="n">
        <f aca="false">ROUNDUP(MAX(J343/IF(BZ343&gt;0,BZ343,MAX(0.1,N(Cockpit!$I$6))),CC343)/BS343,0)*BS343</f>
        <v>6</v>
      </c>
      <c r="AS343" s="58" t="n">
        <f aca="false">IF(AP343&gt;0,J343/AP343,-1)</f>
        <v>364</v>
      </c>
      <c r="AT343" s="58" t="n">
        <f aca="false">IF(AND(OR(BY343="L1",BY343="L23"),AP343&gt;0),SUMIFS($AP$7:$AP$1843,$BY$7:$BY$1843,BY343,$AS$7:$AS$1843,"&gt;"&amp;AS343)+SUMIFS($AP$7:$AP$1843,$BY$7:$BY$1843,BY343,$AS$7:$AS$1843,AS343,$BQ$7:$BQ$1843,"&lt;="&amp;BQ343),"")</f>
        <v>36.4644268774704</v>
      </c>
      <c r="AU343" s="65" t="n">
        <f aca="false">IF(AT343="",0,MAX(0,MIN(1,(IF(BY343="L1",Parameter!$E$5,Parameter!$E$6+Parameter!$E$7)-(AT343-AP343))/AP343)))</f>
        <v>1</v>
      </c>
      <c r="AV343" s="57" t="n">
        <f aca="false">IF(LEFT(Cockpit!$O$5,1)="A",H343,IF(CA343=1,CB343,IF(LEFT(Cockpit!$O$5,1)="B",AZ343,MAX(AZ343,H343))))</f>
        <v>6</v>
      </c>
      <c r="AW343" s="57" t="n">
        <f aca="false">IF(BT343=1,0,ROUNDUP(AV343/BS343,0))</f>
        <v>1</v>
      </c>
      <c r="AX343" s="59" t="n">
        <f aca="false">IF(CH343&gt;0,CH343*MAX(1,AV343/X343),IF(BT343=1,IF(AV343&lt;=0,0,BW343*MAX(1,IF(H343&gt;0,AV343/H343,1))),IF(R343&gt;0,AW343/R343,0))/MAX(0.1,N(Parameter!$M$21)))</f>
        <v>0.0192307692307692</v>
      </c>
      <c r="AY343" s="57" t="n">
        <f aca="false">AV343*G343</f>
        <v>283.5</v>
      </c>
      <c r="AZ343" s="57" t="n">
        <f aca="false">ROUNDUP(MAX(J343/IF(BZ343&gt;0,BZ343,MAX(0.1,N(Cockpit!$O$6))),CC343)/BS343,0)*BS343</f>
        <v>6</v>
      </c>
      <c r="BA343" s="58" t="n">
        <f aca="false">IF(AX343&gt;0,J343/AX343,-1)</f>
        <v>364</v>
      </c>
      <c r="BB343" s="58" t="n">
        <f aca="false">IF(AND(OR(BY343="L1",BY343="L23"),AX343&gt;0),SUMIFS($AX$7:$AX$1843,$BY$7:$BY$1843,BY343,$BA$7:$BA$1843,"&gt;"&amp;BA343)+SUMIFS($AX$7:$AX$1843,$BY$7:$BY$1843,BY343,$BA$7:$BA$1843,BA343,$BQ$7:$BQ$1843,"&lt;="&amp;BQ343),"")</f>
        <v>35.7109303739739</v>
      </c>
      <c r="BC343" s="65" t="n">
        <f aca="false">IF(BB343="",0,MAX(0,MIN(1,(IF(BY343="L1",Parameter!$E$5,Parameter!$E$6+Parameter!$E$7)-(BB343-AX343))/AX343)))</f>
        <v>1</v>
      </c>
      <c r="BD343" s="55" t="str">
        <f aca="false">IF(AH343&lt;=0,"",IF(BY343="Aussen","Aussenlager",IF(BY343="-","Nicht im Lift",IF(AM343&gt;=1,"Lift",IF(AM343&lt;=0,"Aussenlager","teilweise")))))</f>
        <v>Lift</v>
      </c>
      <c r="BE343" s="55" t="str">
        <f aca="false">IF(AP343&lt;=0,"",IF(BY343="Aussen","Aussenlager",IF(BY343="-","Nicht im Lift",IF(AU343&gt;=1,"Lift",IF(AU343&lt;=0,"Aussenlager","teilweise")))))</f>
        <v>Lift</v>
      </c>
      <c r="BF343" s="55" t="str">
        <f aca="false">IF(AX343&lt;=0,"",IF(BY343="Aussen","Aussenlager",IF(BY343="-","Nicht im Lift",IF(BC343&gt;=1,"Lift",IF(BC343&lt;=0,"Aussenlager","teilweise")))))</f>
        <v>Lift</v>
      </c>
      <c r="BG343" s="55" t="str">
        <f aca="false">IF(A343="","",IF(BP343=1,"Neu; ","")&amp;IF(AND(BP343=0,BK343&lt;0),"negativer Bestand (Export "&amp;BK343&amp;"); ","")&amp;IF(J343&lt;=0,"Kein Verbrauch; ","")&amp;IF(CH343&gt;0,"Lift "&amp;W343&amp;" lt. Liftbericht (Fach "&amp;X343&amp;" Stk); ",IF(BU343=1,"Gebinde geschätzt ("&amp;T343&amp;"); ",IF(BT343=1,"Lose – Tablare geschätzt; ","")))&amp;IF(H343&gt;AR343,"Überbestand "&amp;ROUND(H343-AR343,0)&amp;" Stk / CHF "&amp;ROUND((H343-AR343)*G343,0)&amp;"; ","")&amp;IF(AND(CA343=1,CB343&lt;CC343),"MAX &lt; MB+LG; ","")&amp;IF(AND(CG343&gt;0,CF343*10&gt;CG343),"zu hoch für Tablar; ","")&amp;IF(AND(BP343=0,OR(CA343=1,AA343&lt;&gt;"",U343&lt;&gt;"",V343&lt;&gt;"",AB343&lt;&gt;"")),"manuell übersteuert; ","")&amp;IF(AND(BT343=0,R343=0),"Gebinde unbekannt / Stellmass fehlt; ","")&amp;IF(AND(BT343=0,N(V343)&lt;=0,N(Q343)&lt;=0),"Menge pro Gebinde fehlt (Ist = 1 Gebinde); ","")&amp;BO343)</f>
        <v/>
      </c>
      <c r="BH343" s="55"/>
      <c r="BI343" s="55"/>
      <c r="BJ343" s="62"/>
      <c r="BK343" s="57" t="n">
        <v>4</v>
      </c>
      <c r="BL343" s="57" t="n">
        <v>2</v>
      </c>
      <c r="BM343" s="56" t="n">
        <v>197.18</v>
      </c>
      <c r="BN343" s="57" t="n">
        <v>7</v>
      </c>
      <c r="BO343" s="55"/>
      <c r="BP343" s="60" t="n">
        <v>0</v>
      </c>
      <c r="BQ343" s="60" t="n">
        <v>343</v>
      </c>
      <c r="BR343" s="55" t="str">
        <f aca="false">IF(U343&lt;&gt;"",UPPER(TRIM(U343)),IF(BU343=1,UPPER(VLOOKUP(T343,Parameter!$I$27:$K$29,2,0)),IF(P343="","LOSE",P343)))</f>
        <v>S41</v>
      </c>
      <c r="BS343" s="57" t="n">
        <f aca="false">IF(BR343="LOSE",1,IF(N(V343)&gt;0,V343,IF(BU343=1,MAX(1,N(VLOOKUP(T343,Parameter!$I$27:$K$29,3,0)),H343,N(N343)),IF(N(Q343)&gt;0,Q343,MAX(1,H343)))))</f>
        <v>6</v>
      </c>
      <c r="BT343" s="60" t="n">
        <f aca="false">IF(BR343="LOSE",1,0)</f>
        <v>0</v>
      </c>
      <c r="BU343" s="60" t="n">
        <f aca="false">IF(AND(U343="",OR(P343="",P343="LOSE"),T343&lt;&gt;"",N(S343)&lt;=0,ISNUMBER(MATCH(T343,Parameter!$I$27:$I$29,0))),1,0)</f>
        <v>0</v>
      </c>
      <c r="BV343" s="55" t="str">
        <f aca="false">IF(AND(Parameter!$B$19="Ja",E343&lt;&gt;"",ISNUMBER(MATCH(E343,Parameter!$I$35:$I$52,0))),VLOOKUP(E343,Parameter!$I$35:$J$52,2,0),IFERROR(VLOOKUP(D343,Parameter!$A$35:$C$64,2,0),"Nein"))</f>
        <v>2+3</v>
      </c>
      <c r="BW343" s="59" t="n">
        <f aca="false">IF(BT343=0,0,IF(N(S343)&gt;0,S343,IFERROR(VLOOKUP(D343,Parameter!$A$35:$C$64,3,0)+0,0)))</f>
        <v>0</v>
      </c>
      <c r="BX343" s="55" t="n">
        <f aca="false">IF(AA343&lt;&gt;"",AA343,Z343)</f>
        <v>3</v>
      </c>
      <c r="BY343" s="55" t="str">
        <f aca="false">IF(BX343=1,"L1",IF(OR(BX343=2,BX343=3),"L23",IF(BX343="Aussen","Aussen","-")))</f>
        <v>L23</v>
      </c>
      <c r="BZ343" s="66" t="n">
        <f aca="false">IF(N(AB343)&gt;0,AB343,0)</f>
        <v>0</v>
      </c>
      <c r="CA343" s="60" t="n">
        <f aca="false">IF(ISNUMBER(AE343),1,0)</f>
        <v>0</v>
      </c>
      <c r="CB343" s="57" t="n">
        <f aca="false">N(AE343)</f>
        <v>0</v>
      </c>
      <c r="CC343" s="57" t="n">
        <f aca="false">N(M343)+N(N343)</f>
        <v>5</v>
      </c>
      <c r="CD343" s="57" t="n">
        <f aca="false">ROUNDUP(H343/BS343,0)</f>
        <v>1</v>
      </c>
      <c r="CE343" s="57" t="n">
        <f aca="false">ROUNDUP(CB343/BS343,0)</f>
        <v>0</v>
      </c>
      <c r="CF343" s="60" t="n">
        <f aca="false">IF(BT343=1,0,IFERROR(VLOOKUP(BR343,'Gebinde-Kategorie'!$A$5:$M$45,5,0)+0,0))</f>
        <v>11</v>
      </c>
      <c r="CG343" s="60" t="n">
        <f aca="false">IFERROR(IF(OR(BX343=1,BX343=2,BX343=3),N(INDEX(Parameter!$I$5:$I$7,BX343)),0),0)</f>
        <v>0</v>
      </c>
      <c r="CH343" s="59" t="n">
        <f aca="false">IF(AND(Parameter!$B$21="Ja",ISNUMBER(W343),N(X343)&gt;0),IFERROR(N(INDEX(Parameter!$L$5:$L$7,W343))*INDEX(Parameter!$E$5:$E$7,W343)*X343/SUMIFS($X$7:$X$1843,$W$7:$W$1843,W343),0),0)</f>
        <v>0</v>
      </c>
    </row>
    <row r="344" customFormat="false" ht="15" hidden="false" customHeight="false" outlineLevel="0" collapsed="false">
      <c r="A344" s="55" t="s">
        <v>844</v>
      </c>
      <c r="B344" s="55" t="s">
        <v>845</v>
      </c>
      <c r="C344" s="55" t="s">
        <v>164</v>
      </c>
      <c r="D344" s="55" t="s">
        <v>184</v>
      </c>
      <c r="E344" s="55"/>
      <c r="F344" s="55" t="s">
        <v>218</v>
      </c>
      <c r="G344" s="56" t="n">
        <v>7.87</v>
      </c>
      <c r="H344" s="57" t="n">
        <f aca="false">MAX(0,IF(AND(Parameter!$B$21="Ja",ISNUMBER(Y344)),Y344,IF(Parameter!$B$20="Jahresanfang 2025 + Export",BL344+BK344,BK344)))</f>
        <v>25</v>
      </c>
      <c r="I344" s="57" t="n">
        <f aca="false">H344*G344</f>
        <v>196.75</v>
      </c>
      <c r="J344" s="57" t="n">
        <f aca="false">BN344*Parameter!$B$18</f>
        <v>0</v>
      </c>
      <c r="K344" s="58" t="n">
        <v>0</v>
      </c>
      <c r="L344" s="59" t="n">
        <v>0</v>
      </c>
      <c r="M344" s="57" t="n">
        <v>0</v>
      </c>
      <c r="N344" s="57" t="n">
        <v>5</v>
      </c>
      <c r="O344" s="60" t="n">
        <v>9999</v>
      </c>
      <c r="P344" s="55" t="s">
        <v>168</v>
      </c>
      <c r="Q344" s="57"/>
      <c r="R344" s="60" t="n">
        <f aca="false">IF(BT344=1,0,IFERROR(VLOOKUP(BR344,'Gebinde-Kategorie'!$A$5:$M$45,13,0)+0,0))</f>
        <v>26</v>
      </c>
      <c r="S344" s="61"/>
      <c r="T344" s="62" t="s">
        <v>275</v>
      </c>
      <c r="U344" s="62"/>
      <c r="V344" s="62"/>
      <c r="W344" s="55"/>
      <c r="X344" s="57"/>
      <c r="Y344" s="57"/>
      <c r="Z344" s="55" t="n">
        <f aca="false">IF(A344="","",IF(AND(Parameter!$B$21="Ja",ISNUMBER(W344)),W344,IF(BV344="2+3",IF(ISNUMBER(SEARCH("grosser Artikel",BO344)),2,IFERROR(VLOOKUP(BR344,Parameter!$F$35:$G$64,2,0),2)),IF(OR(BV344="Nein",BV344=""),"-",BV344))))</f>
        <v>3</v>
      </c>
      <c r="AA344" s="62"/>
      <c r="AB344" s="63"/>
      <c r="AC344" s="57" t="n">
        <f aca="false">AR344</f>
        <v>25</v>
      </c>
      <c r="AD344" s="57" t="n">
        <f aca="false">MAX(AR344,H344)</f>
        <v>25</v>
      </c>
      <c r="AE344" s="64"/>
      <c r="AF344" s="57" t="n">
        <f aca="false">IF(LEFT(Cockpit!$C$5,1)="A",H344,IF(CA344=1,CB344,IF(LEFT(Cockpit!$C$5,1)="B",AJ344,MAX(AJ344,H344))))</f>
        <v>25</v>
      </c>
      <c r="AG344" s="57" t="n">
        <f aca="false">IF(BT344=1,0,ROUNDUP(AF344/BS344,0))</f>
        <v>1</v>
      </c>
      <c r="AH344" s="59" t="n">
        <f aca="false">IF(CH344&gt;0,CH344*MAX(1,AF344/X344),IF(BT344=1,IF(AF344&lt;=0,0,BW344*MAX(1,IF(H344&gt;0,AF344/H344,1))),IF(R344&gt;0,AG344/R344,0))/MAX(0.1,N(Parameter!$M$21)))</f>
        <v>0.0384615384615385</v>
      </c>
      <c r="AI344" s="57" t="n">
        <f aca="false">AF344*G344</f>
        <v>196.75</v>
      </c>
      <c r="AJ344" s="57" t="n">
        <f aca="false">ROUNDUP(MAX(J344/IF(BZ344&gt;0,BZ344,MAX(0.1,N(Cockpit!$C$6))),CC344)/BS344,0)*BS344</f>
        <v>25</v>
      </c>
      <c r="AK344" s="58" t="n">
        <f aca="false">IF(AH344&gt;0,J344/AH344,-1)</f>
        <v>0</v>
      </c>
      <c r="AL344" s="58" t="n">
        <f aca="false">IF(AND(OR(BY344="L1",BY344="L23"),AH344&gt;0),SUMIFS($AH$7:$AH$1843,$BY$7:$BY$1843,BY344,$AK$7:$AK$1843,"&gt;"&amp;AK344)+SUMIFS($AH$7:$AH$1843,$BY$7:$BY$1843,BY344,$AK$7:$AK$1843,AK344,$BQ$7:$BQ$1843,"&lt;="&amp;BQ344),"")</f>
        <v>73.1915222458701</v>
      </c>
      <c r="AM344" s="65" t="n">
        <f aca="false">IF(AL344="",0,MAX(0,MIN(1,(IF(BY344="L1",Parameter!$E$5,Parameter!$E$6+Parameter!$E$7)-(AL344-AH344))/AH344)))</f>
        <v>1</v>
      </c>
      <c r="AN344" s="57" t="n">
        <f aca="false">IF(LEFT(Cockpit!$I$5,1)="A",H344,IF(CA344=1,CB344,IF(LEFT(Cockpit!$I$5,1)="B",AR344,MAX(AR344,H344))))</f>
        <v>25</v>
      </c>
      <c r="AO344" s="57" t="n">
        <f aca="false">IF(BT344=1,0,ROUNDUP(AN344/BS344,0))</f>
        <v>1</v>
      </c>
      <c r="AP344" s="59" t="n">
        <f aca="false">IF(CH344&gt;0,CH344*MAX(1,AN344/X344),IF(BT344=1,IF(AN344&lt;=0,0,BW344*MAX(1,IF(H344&gt;0,AN344/H344,1))),IF(R344&gt;0,AO344/R344,0))/MAX(0.1,N(Parameter!$M$21)))</f>
        <v>0.0384615384615385</v>
      </c>
      <c r="AQ344" s="57" t="n">
        <f aca="false">AN344*G344</f>
        <v>196.75</v>
      </c>
      <c r="AR344" s="57" t="n">
        <f aca="false">ROUNDUP(MAX(J344/IF(BZ344&gt;0,BZ344,MAX(0.1,N(Cockpit!$I$6))),CC344)/BS344,0)*BS344</f>
        <v>25</v>
      </c>
      <c r="AS344" s="58" t="n">
        <f aca="false">IF(AP344&gt;0,J344/AP344,-1)</f>
        <v>0</v>
      </c>
      <c r="AT344" s="58" t="n">
        <f aca="false">IF(AND(OR(BY344="L1",BY344="L23"),AP344&gt;0),SUMIFS($AP$7:$AP$1843,$BY$7:$BY$1843,BY344,$AS$7:$AS$1843,"&gt;"&amp;AS344)+SUMIFS($AP$7:$AP$1843,$BY$7:$BY$1843,BY344,$AS$7:$AS$1843,AS344,$BQ$7:$BQ$1843,"&lt;="&amp;BQ344),"")</f>
        <v>112.615646430864</v>
      </c>
      <c r="AU344" s="65" t="n">
        <f aca="false">IF(AT344="",0,MAX(0,MIN(1,(IF(BY344="L1",Parameter!$E$5,Parameter!$E$6+Parameter!$E$7)-(AT344-AP344))/AP344)))</f>
        <v>0</v>
      </c>
      <c r="AV344" s="57" t="n">
        <f aca="false">IF(LEFT(Cockpit!$O$5,1)="A",H344,IF(CA344=1,CB344,IF(LEFT(Cockpit!$O$5,1)="B",AZ344,MAX(AZ344,H344))))</f>
        <v>25</v>
      </c>
      <c r="AW344" s="57" t="n">
        <f aca="false">IF(BT344=1,0,ROUNDUP(AV344/BS344,0))</f>
        <v>1</v>
      </c>
      <c r="AX344" s="59" t="n">
        <f aca="false">IF(CH344&gt;0,CH344*MAX(1,AV344/X344),IF(BT344=1,IF(AV344&lt;=0,0,BW344*MAX(1,IF(H344&gt;0,AV344/H344,1))),IF(R344&gt;0,AW344/R344,0))/MAX(0.1,N(Parameter!$M$21)))</f>
        <v>0.0384615384615385</v>
      </c>
      <c r="AY344" s="57" t="n">
        <f aca="false">AV344*G344</f>
        <v>196.75</v>
      </c>
      <c r="AZ344" s="57" t="n">
        <f aca="false">ROUNDUP(MAX(J344/IF(BZ344&gt;0,BZ344,MAX(0.1,N(Cockpit!$O$6))),CC344)/BS344,0)*BS344</f>
        <v>25</v>
      </c>
      <c r="BA344" s="58" t="n">
        <f aca="false">IF(AX344&gt;0,J344/AX344,-1)</f>
        <v>0</v>
      </c>
      <c r="BB344" s="58" t="n">
        <f aca="false">IF(AND(OR(BY344="L1",BY344="L23"),AX344&gt;0),SUMIFS($AX$7:$AX$1843,$BY$7:$BY$1843,BY344,$BA$7:$BA$1843,"&gt;"&amp;BA344)+SUMIFS($AX$7:$AX$1843,$BY$7:$BY$1843,BY344,$BA$7:$BA$1843,BA344,$BQ$7:$BQ$1843,"&lt;="&amp;BQ344),"")</f>
        <v>103.445483260701</v>
      </c>
      <c r="BC344" s="65" t="n">
        <f aca="false">IF(BB344="",0,MAX(0,MIN(1,(IF(BY344="L1",Parameter!$E$5,Parameter!$E$6+Parameter!$E$7)-(BB344-AX344))/AX344)))</f>
        <v>0</v>
      </c>
      <c r="BD344" s="55" t="str">
        <f aca="false">IF(AH344&lt;=0,"",IF(BY344="Aussen","Aussenlager",IF(BY344="-","Nicht im Lift",IF(AM344&gt;=1,"Lift",IF(AM344&lt;=0,"Aussenlager","teilweise")))))</f>
        <v>Lift</v>
      </c>
      <c r="BE344" s="55" t="str">
        <f aca="false">IF(AP344&lt;=0,"",IF(BY344="Aussen","Aussenlager",IF(BY344="-","Nicht im Lift",IF(AU344&gt;=1,"Lift",IF(AU344&lt;=0,"Aussenlager","teilweise")))))</f>
        <v>Aussenlager</v>
      </c>
      <c r="BF344" s="55" t="str">
        <f aca="false">IF(AX344&lt;=0,"",IF(BY344="Aussen","Aussenlager",IF(BY344="-","Nicht im Lift",IF(BC344&gt;=1,"Lift",IF(BC344&lt;=0,"Aussenlager","teilweise")))))</f>
        <v>Aussenlager</v>
      </c>
      <c r="BG344" s="55" t="str">
        <f aca="false">IF(A344="","",IF(BP344=1,"Neu; ","")&amp;IF(AND(BP344=0,BK344&lt;0),"negativer Bestand (Export "&amp;BK344&amp;"); ","")&amp;IF(J344&lt;=0,"Kein Verbrauch; ","")&amp;IF(CH344&gt;0,"Lift "&amp;W344&amp;" lt. Liftbericht (Fach "&amp;X344&amp;" Stk); ",IF(BU344=1,"Gebinde geschätzt ("&amp;T344&amp;"); ",IF(BT344=1,"Lose – Tablare geschätzt; ","")))&amp;IF(H344&gt;AR344,"Überbestand "&amp;ROUND(H344-AR344,0)&amp;" Stk / CHF "&amp;ROUND((H344-AR344)*G344,0)&amp;"; ","")&amp;IF(AND(CA344=1,CB344&lt;CC344),"MAX &lt; MB+LG; ","")&amp;IF(AND(CG344&gt;0,CF344*10&gt;CG344),"zu hoch für Tablar; ","")&amp;IF(AND(BP344=0,OR(CA344=1,AA344&lt;&gt;"",U344&lt;&gt;"",V344&lt;&gt;"",AB344&lt;&gt;"")),"manuell übersteuert; ","")&amp;IF(AND(BT344=0,R344=0),"Gebinde unbekannt / Stellmass fehlt; ","")&amp;IF(AND(BT344=0,N(V344)&lt;=0,N(Q344)&lt;=0),"Menge pro Gebinde fehlt (Ist = 1 Gebinde); ","")&amp;BO344)</f>
        <v>Kein Verbrauch; Gebinde geschätzt (Klein); Menge pro Gebinde fehlt (Ist = 1 Gebinde); </v>
      </c>
      <c r="BH344" s="55"/>
      <c r="BI344" s="55"/>
      <c r="BJ344" s="62"/>
      <c r="BK344" s="57" t="n">
        <v>25</v>
      </c>
      <c r="BL344" s="57" t="n">
        <v>0</v>
      </c>
      <c r="BM344" s="56" t="n">
        <v>196.75</v>
      </c>
      <c r="BN344" s="57" t="n">
        <v>0</v>
      </c>
      <c r="BO344" s="55"/>
      <c r="BP344" s="60" t="n">
        <v>0</v>
      </c>
      <c r="BQ344" s="60" t="n">
        <v>344</v>
      </c>
      <c r="BR344" s="55" t="str">
        <f aca="false">IF(U344&lt;&gt;"",UPPER(TRIM(U344)),IF(BU344=1,UPPER(VLOOKUP(T344,Parameter!$I$27:$K$29,2,0)),IF(P344="","LOSE",P344)))</f>
        <v>S51</v>
      </c>
      <c r="BS344" s="57" t="n">
        <f aca="false">IF(BR344="LOSE",1,IF(N(V344)&gt;0,V344,IF(BU344=1,MAX(1,N(VLOOKUP(T344,Parameter!$I$27:$K$29,3,0)),H344,N(N344)),IF(N(Q344)&gt;0,Q344,MAX(1,H344)))))</f>
        <v>25</v>
      </c>
      <c r="BT344" s="60" t="n">
        <f aca="false">IF(BR344="LOSE",1,0)</f>
        <v>0</v>
      </c>
      <c r="BU344" s="60" t="n">
        <f aca="false">IF(AND(U344="",OR(P344="",P344="LOSE"),T344&lt;&gt;"",N(S344)&lt;=0,ISNUMBER(MATCH(T344,Parameter!$I$27:$I$29,0))),1,0)</f>
        <v>1</v>
      </c>
      <c r="BV344" s="55" t="str">
        <f aca="false">IF(AND(Parameter!$B$19="Ja",E344&lt;&gt;"",ISNUMBER(MATCH(E344,Parameter!$I$35:$I$52,0))),VLOOKUP(E344,Parameter!$I$35:$J$52,2,0),IFERROR(VLOOKUP(D344,Parameter!$A$35:$C$64,2,0),"Nein"))</f>
        <v>2+3</v>
      </c>
      <c r="BW344" s="59" t="n">
        <f aca="false">IF(BT344=0,0,IF(N(S344)&gt;0,S344,IFERROR(VLOOKUP(D344,Parameter!$A$35:$C$64,3,0)+0,0)))</f>
        <v>0</v>
      </c>
      <c r="BX344" s="55" t="n">
        <f aca="false">IF(AA344&lt;&gt;"",AA344,Z344)</f>
        <v>3</v>
      </c>
      <c r="BY344" s="55" t="str">
        <f aca="false">IF(BX344=1,"L1",IF(OR(BX344=2,BX344=3),"L23",IF(BX344="Aussen","Aussen","-")))</f>
        <v>L23</v>
      </c>
      <c r="BZ344" s="66" t="n">
        <f aca="false">IF(N(AB344)&gt;0,AB344,0)</f>
        <v>0</v>
      </c>
      <c r="CA344" s="60" t="n">
        <f aca="false">IF(ISNUMBER(AE344),1,0)</f>
        <v>0</v>
      </c>
      <c r="CB344" s="57" t="n">
        <f aca="false">N(AE344)</f>
        <v>0</v>
      </c>
      <c r="CC344" s="57" t="n">
        <f aca="false">N(M344)+N(N344)</f>
        <v>5</v>
      </c>
      <c r="CD344" s="57" t="n">
        <f aca="false">ROUNDUP(H344/BS344,0)</f>
        <v>1</v>
      </c>
      <c r="CE344" s="57" t="n">
        <f aca="false">ROUNDUP(CB344/BS344,0)</f>
        <v>0</v>
      </c>
      <c r="CF344" s="60" t="n">
        <f aca="false">IF(BT344=1,0,IFERROR(VLOOKUP(BR344,'Gebinde-Kategorie'!$A$5:$M$45,5,0)+0,0))</f>
        <v>11</v>
      </c>
      <c r="CG344" s="60" t="n">
        <f aca="false">IFERROR(IF(OR(BX344=1,BX344=2,BX344=3),N(INDEX(Parameter!$I$5:$I$7,BX344)),0),0)</f>
        <v>0</v>
      </c>
      <c r="CH344" s="59" t="n">
        <f aca="false">IF(AND(Parameter!$B$21="Ja",ISNUMBER(W344),N(X344)&gt;0),IFERROR(N(INDEX(Parameter!$L$5:$L$7,W344))*INDEX(Parameter!$E$5:$E$7,W344)*X344/SUMIFS($X$7:$X$1843,$W$7:$W$1843,W344),0),0)</f>
        <v>0</v>
      </c>
    </row>
    <row r="345" customFormat="false" ht="15" hidden="false" customHeight="false" outlineLevel="0" collapsed="false">
      <c r="A345" s="55" t="s">
        <v>846</v>
      </c>
      <c r="B345" s="55" t="s">
        <v>847</v>
      </c>
      <c r="C345" s="55" t="s">
        <v>164</v>
      </c>
      <c r="D345" s="55" t="s">
        <v>184</v>
      </c>
      <c r="E345" s="55" t="s">
        <v>185</v>
      </c>
      <c r="F345" s="55" t="s">
        <v>218</v>
      </c>
      <c r="G345" s="56" t="n">
        <v>32.53</v>
      </c>
      <c r="H345" s="57" t="n">
        <f aca="false">MAX(0,IF(AND(Parameter!$B$21="Ja",ISNUMBER(Y345)),Y345,IF(Parameter!$B$20="Jahresanfang 2025 + Export",BL345+BK345,BK345)))</f>
        <v>16</v>
      </c>
      <c r="I345" s="57" t="n">
        <f aca="false">H345*G345</f>
        <v>520.48</v>
      </c>
      <c r="J345" s="57" t="n">
        <f aca="false">BN345*Parameter!$B$18</f>
        <v>20</v>
      </c>
      <c r="K345" s="58" t="n">
        <v>10</v>
      </c>
      <c r="L345" s="59" t="n">
        <v>2</v>
      </c>
      <c r="M345" s="57" t="n">
        <v>0</v>
      </c>
      <c r="N345" s="57" t="n">
        <v>20</v>
      </c>
      <c r="O345" s="60" t="n">
        <v>14</v>
      </c>
      <c r="P345" s="55" t="s">
        <v>302</v>
      </c>
      <c r="Q345" s="57" t="n">
        <v>37</v>
      </c>
      <c r="R345" s="60" t="n">
        <f aca="false">IF(BT345=1,0,IFERROR(VLOOKUP(BR345,'Gebinde-Kategorie'!$A$5:$M$45,13,0)+0,0))</f>
        <v>26</v>
      </c>
      <c r="S345" s="61"/>
      <c r="T345" s="62"/>
      <c r="U345" s="62"/>
      <c r="V345" s="62"/>
      <c r="W345" s="55"/>
      <c r="X345" s="57"/>
      <c r="Y345" s="57"/>
      <c r="Z345" s="55" t="n">
        <f aca="false">IF(A345="","",IF(AND(Parameter!$B$21="Ja",ISNUMBER(W345)),W345,IF(BV345="2+3",IF(ISNUMBER(SEARCH("grosser Artikel",BO345)),2,IFERROR(VLOOKUP(BR345,Parameter!$F$35:$G$64,2,0),2)),IF(OR(BV345="Nein",BV345=""),"-",BV345))))</f>
        <v>3</v>
      </c>
      <c r="AA345" s="62"/>
      <c r="AB345" s="63"/>
      <c r="AC345" s="57" t="n">
        <f aca="false">AR345</f>
        <v>37</v>
      </c>
      <c r="AD345" s="57" t="n">
        <f aca="false">MAX(AR345,H345)</f>
        <v>37</v>
      </c>
      <c r="AE345" s="64"/>
      <c r="AF345" s="57" t="n">
        <f aca="false">IF(LEFT(Cockpit!$C$5,1)="A",H345,IF(CA345=1,CB345,IF(LEFT(Cockpit!$C$5,1)="B",AJ345,MAX(AJ345,H345))))</f>
        <v>16</v>
      </c>
      <c r="AG345" s="57" t="n">
        <f aca="false">IF(BT345=1,0,ROUNDUP(AF345/BS345,0))</f>
        <v>1</v>
      </c>
      <c r="AH345" s="59" t="n">
        <f aca="false">IF(CH345&gt;0,CH345*MAX(1,AF345/X345),IF(BT345=1,IF(AF345&lt;=0,0,BW345*MAX(1,IF(H345&gt;0,AF345/H345,1))),IF(R345&gt;0,AG345/R345,0))/MAX(0.1,N(Parameter!$M$21)))</f>
        <v>0.0384615384615385</v>
      </c>
      <c r="AI345" s="57" t="n">
        <f aca="false">AF345*G345</f>
        <v>520.48</v>
      </c>
      <c r="AJ345" s="57" t="n">
        <f aca="false">ROUNDUP(MAX(J345/IF(BZ345&gt;0,BZ345,MAX(0.1,N(Cockpit!$C$6))),CC345)/BS345,0)*BS345</f>
        <v>37</v>
      </c>
      <c r="AK345" s="58" t="n">
        <f aca="false">IF(AH345&gt;0,J345/AH345,-1)</f>
        <v>520</v>
      </c>
      <c r="AL345" s="58" t="n">
        <f aca="false">IF(AND(OR(BY345="L1",BY345="L23"),AH345&gt;0),SUMIFS($AH$7:$AH$1843,$BY$7:$BY$1843,BY345,$AK$7:$AK$1843,"&gt;"&amp;AK345)+SUMIFS($AH$7:$AH$1843,$BY$7:$BY$1843,BY345,$AK$7:$AK$1843,AK345,$BQ$7:$BQ$1843,"&lt;="&amp;BQ345),"")</f>
        <v>23.8379953379953</v>
      </c>
      <c r="AM345" s="65" t="n">
        <f aca="false">IF(AL345="",0,MAX(0,MIN(1,(IF(BY345="L1",Parameter!$E$5,Parameter!$E$6+Parameter!$E$7)-(AL345-AH345))/AH345)))</f>
        <v>1</v>
      </c>
      <c r="AN345" s="57" t="n">
        <f aca="false">IF(LEFT(Cockpit!$I$5,1)="A",H345,IF(CA345=1,CB345,IF(LEFT(Cockpit!$I$5,1)="B",AR345,MAX(AR345,H345))))</f>
        <v>37</v>
      </c>
      <c r="AO345" s="57" t="n">
        <f aca="false">IF(BT345=1,0,ROUNDUP(AN345/BS345,0))</f>
        <v>1</v>
      </c>
      <c r="AP345" s="59" t="n">
        <f aca="false">IF(CH345&gt;0,CH345*MAX(1,AN345/X345),IF(BT345=1,IF(AN345&lt;=0,0,BW345*MAX(1,IF(H345&gt;0,AN345/H345,1))),IF(R345&gt;0,AO345/R345,0))/MAX(0.1,N(Parameter!$M$21)))</f>
        <v>0.0384615384615385</v>
      </c>
      <c r="AQ345" s="57" t="n">
        <f aca="false">AN345*G345</f>
        <v>1203.61</v>
      </c>
      <c r="AR345" s="57" t="n">
        <f aca="false">ROUNDUP(MAX(J345/IF(BZ345&gt;0,BZ345,MAX(0.1,N(Cockpit!$I$6))),CC345)/BS345,0)*BS345</f>
        <v>37</v>
      </c>
      <c r="AS345" s="58" t="n">
        <f aca="false">IF(AP345&gt;0,J345/AP345,-1)</f>
        <v>520</v>
      </c>
      <c r="AT345" s="58" t="n">
        <f aca="false">IF(AND(OR(BY345="L1",BY345="L23"),AP345&gt;0),SUMIFS($AP$7:$AP$1843,$BY$7:$BY$1843,BY345,$AS$7:$AS$1843,"&gt;"&amp;AS345)+SUMIFS($AP$7:$AP$1843,$BY$7:$BY$1843,BY345,$AS$7:$AS$1843,AS345,$BQ$7:$BQ$1843,"&lt;="&amp;BQ345),"")</f>
        <v>32.5792456335935</v>
      </c>
      <c r="AU345" s="65" t="n">
        <f aca="false">IF(AT345="",0,MAX(0,MIN(1,(IF(BY345="L1",Parameter!$E$5,Parameter!$E$6+Parameter!$E$7)-(AT345-AP345))/AP345)))</f>
        <v>1</v>
      </c>
      <c r="AV345" s="57" t="n">
        <f aca="false">IF(LEFT(Cockpit!$O$5,1)="A",H345,IF(CA345=1,CB345,IF(LEFT(Cockpit!$O$5,1)="B",AZ345,MAX(AZ345,H345))))</f>
        <v>37</v>
      </c>
      <c r="AW345" s="57" t="n">
        <f aca="false">IF(BT345=1,0,ROUNDUP(AV345/BS345,0))</f>
        <v>1</v>
      </c>
      <c r="AX345" s="59" t="n">
        <f aca="false">IF(CH345&gt;0,CH345*MAX(1,AV345/X345),IF(BT345=1,IF(AV345&lt;=0,0,BW345*MAX(1,IF(H345&gt;0,AV345/H345,1))),IF(R345&gt;0,AW345/R345,0))/MAX(0.1,N(Parameter!$M$21)))</f>
        <v>0.0384615384615385</v>
      </c>
      <c r="AY345" s="57" t="n">
        <f aca="false">AV345*G345</f>
        <v>1203.61</v>
      </c>
      <c r="AZ345" s="57" t="n">
        <f aca="false">ROUNDUP(MAX(J345/IF(BZ345&gt;0,BZ345,MAX(0.1,N(Cockpit!$O$6))),CC345)/BS345,0)*BS345</f>
        <v>37</v>
      </c>
      <c r="BA345" s="58" t="n">
        <f aca="false">IF(AX345&gt;0,J345/AX345,-1)</f>
        <v>520</v>
      </c>
      <c r="BB345" s="58" t="n">
        <f aca="false">IF(AND(OR(BY345="L1",BY345="L23"),AX345&gt;0),SUMIFS($AX$7:$AX$1843,$BY$7:$BY$1843,BY345,$BA$7:$BA$1843,"&gt;"&amp;BA345)+SUMIFS($AX$7:$AX$1843,$BY$7:$BY$1843,BY345,$BA$7:$BA$1843,BA345,$BQ$7:$BQ$1843,"&lt;="&amp;BQ345),"")</f>
        <v>30.1462619506098</v>
      </c>
      <c r="BC345" s="65" t="n">
        <f aca="false">IF(BB345="",0,MAX(0,MIN(1,(IF(BY345="L1",Parameter!$E$5,Parameter!$E$6+Parameter!$E$7)-(BB345-AX345))/AX345)))</f>
        <v>1</v>
      </c>
      <c r="BD345" s="55" t="str">
        <f aca="false">IF(AH345&lt;=0,"",IF(BY345="Aussen","Aussenlager",IF(BY345="-","Nicht im Lift",IF(AM345&gt;=1,"Lift",IF(AM345&lt;=0,"Aussenlager","teilweise")))))</f>
        <v>Lift</v>
      </c>
      <c r="BE345" s="55" t="str">
        <f aca="false">IF(AP345&lt;=0,"",IF(BY345="Aussen","Aussenlager",IF(BY345="-","Nicht im Lift",IF(AU345&gt;=1,"Lift",IF(AU345&lt;=0,"Aussenlager","teilweise")))))</f>
        <v>Lift</v>
      </c>
      <c r="BF345" s="55" t="str">
        <f aca="false">IF(AX345&lt;=0,"",IF(BY345="Aussen","Aussenlager",IF(BY345="-","Nicht im Lift",IF(BC345&gt;=1,"Lift",IF(BC345&lt;=0,"Aussenlager","teilweise")))))</f>
        <v>Lift</v>
      </c>
      <c r="BG345" s="55" t="str">
        <f aca="false">IF(A345="","",IF(BP345=1,"Neu; ","")&amp;IF(AND(BP345=0,BK345&lt;0),"negativer Bestand (Export "&amp;BK345&amp;"); ","")&amp;IF(J345&lt;=0,"Kein Verbrauch; ","")&amp;IF(CH345&gt;0,"Lift "&amp;W345&amp;" lt. Liftbericht (Fach "&amp;X345&amp;" Stk); ",IF(BU345=1,"Gebinde geschätzt ("&amp;T345&amp;"); ",IF(BT345=1,"Lose – Tablare geschätzt; ","")))&amp;IF(H345&gt;AR345,"Überbestand "&amp;ROUND(H345-AR345,0)&amp;" Stk / CHF "&amp;ROUND((H345-AR345)*G345,0)&amp;"; ","")&amp;IF(AND(CA345=1,CB345&lt;CC345),"MAX &lt; MB+LG; ","")&amp;IF(AND(CG345&gt;0,CF345*10&gt;CG345),"zu hoch für Tablar; ","")&amp;IF(AND(BP345=0,OR(CA345=1,AA345&lt;&gt;"",U345&lt;&gt;"",V345&lt;&gt;"",AB345&lt;&gt;"")),"manuell übersteuert; ","")&amp;IF(AND(BT345=0,R345=0),"Gebinde unbekannt / Stellmass fehlt; ","")&amp;IF(AND(BT345=0,N(V345)&lt;=0,N(Q345)&lt;=0),"Menge pro Gebinde fehlt (Ist = 1 Gebinde); ","")&amp;BO345)</f>
        <v/>
      </c>
      <c r="BH345" s="55"/>
      <c r="BI345" s="55"/>
      <c r="BJ345" s="62"/>
      <c r="BK345" s="57" t="n">
        <v>6</v>
      </c>
      <c r="BL345" s="57" t="n">
        <v>10</v>
      </c>
      <c r="BM345" s="56" t="n">
        <v>195.58</v>
      </c>
      <c r="BN345" s="57" t="n">
        <v>20</v>
      </c>
      <c r="BO345" s="55"/>
      <c r="BP345" s="60" t="n">
        <v>0</v>
      </c>
      <c r="BQ345" s="60" t="n">
        <v>345</v>
      </c>
      <c r="BR345" s="55" t="str">
        <f aca="false">IF(U345&lt;&gt;"",UPPER(TRIM(U345)),IF(BU345=1,UPPER(VLOOKUP(T345,Parameter!$I$27:$K$29,2,0)),IF(P345="","LOSE",P345)))</f>
        <v>S51</v>
      </c>
      <c r="BS345" s="57" t="n">
        <f aca="false">IF(BR345="LOSE",1,IF(N(V345)&gt;0,V345,IF(BU345=1,MAX(1,N(VLOOKUP(T345,Parameter!$I$27:$K$29,3,0)),H345,N(N345)),IF(N(Q345)&gt;0,Q345,MAX(1,H345)))))</f>
        <v>37</v>
      </c>
      <c r="BT345" s="60" t="n">
        <f aca="false">IF(BR345="LOSE",1,0)</f>
        <v>0</v>
      </c>
      <c r="BU345" s="60" t="n">
        <f aca="false">IF(AND(U345="",OR(P345="",P345="LOSE"),T345&lt;&gt;"",N(S345)&lt;=0,ISNUMBER(MATCH(T345,Parameter!$I$27:$I$29,0))),1,0)</f>
        <v>0</v>
      </c>
      <c r="BV345" s="55" t="str">
        <f aca="false">IF(AND(Parameter!$B$19="Ja",E345&lt;&gt;"",ISNUMBER(MATCH(E345,Parameter!$I$35:$I$52,0))),VLOOKUP(E345,Parameter!$I$35:$J$52,2,0),IFERROR(VLOOKUP(D345,Parameter!$A$35:$C$64,2,0),"Nein"))</f>
        <v>2+3</v>
      </c>
      <c r="BW345" s="59" t="n">
        <f aca="false">IF(BT345=0,0,IF(N(S345)&gt;0,S345,IFERROR(VLOOKUP(D345,Parameter!$A$35:$C$64,3,0)+0,0)))</f>
        <v>0</v>
      </c>
      <c r="BX345" s="55" t="n">
        <f aca="false">IF(AA345&lt;&gt;"",AA345,Z345)</f>
        <v>3</v>
      </c>
      <c r="BY345" s="55" t="str">
        <f aca="false">IF(BX345=1,"L1",IF(OR(BX345=2,BX345=3),"L23",IF(BX345="Aussen","Aussen","-")))</f>
        <v>L23</v>
      </c>
      <c r="BZ345" s="66" t="n">
        <f aca="false">IF(N(AB345)&gt;0,AB345,0)</f>
        <v>0</v>
      </c>
      <c r="CA345" s="60" t="n">
        <f aca="false">IF(ISNUMBER(AE345),1,0)</f>
        <v>0</v>
      </c>
      <c r="CB345" s="57" t="n">
        <f aca="false">N(AE345)</f>
        <v>0</v>
      </c>
      <c r="CC345" s="57" t="n">
        <f aca="false">N(M345)+N(N345)</f>
        <v>20</v>
      </c>
      <c r="CD345" s="57" t="n">
        <f aca="false">ROUNDUP(H345/BS345,0)</f>
        <v>1</v>
      </c>
      <c r="CE345" s="57" t="n">
        <f aca="false">ROUNDUP(CB345/BS345,0)</f>
        <v>0</v>
      </c>
      <c r="CF345" s="60" t="n">
        <f aca="false">IF(BT345=1,0,IFERROR(VLOOKUP(BR345,'Gebinde-Kategorie'!$A$5:$M$45,5,0)+0,0))</f>
        <v>11</v>
      </c>
      <c r="CG345" s="60" t="n">
        <f aca="false">IFERROR(IF(OR(BX345=1,BX345=2,BX345=3),N(INDEX(Parameter!$I$5:$I$7,BX345)),0),0)</f>
        <v>0</v>
      </c>
      <c r="CH345" s="59" t="n">
        <f aca="false">IF(AND(Parameter!$B$21="Ja",ISNUMBER(W345),N(X345)&gt;0),IFERROR(N(INDEX(Parameter!$L$5:$L$7,W345))*INDEX(Parameter!$E$5:$E$7,W345)*X345/SUMIFS($X$7:$X$1843,$W$7:$W$1843,W345),0),0)</f>
        <v>0</v>
      </c>
    </row>
    <row r="346" customFormat="false" ht="15" hidden="false" customHeight="false" outlineLevel="0" collapsed="false">
      <c r="A346" s="55" t="s">
        <v>848</v>
      </c>
      <c r="B346" s="55" t="s">
        <v>849</v>
      </c>
      <c r="C346" s="55" t="s">
        <v>164</v>
      </c>
      <c r="D346" s="55" t="s">
        <v>850</v>
      </c>
      <c r="E346" s="55"/>
      <c r="F346" s="55" t="s">
        <v>218</v>
      </c>
      <c r="G346" s="56" t="n">
        <v>32.1</v>
      </c>
      <c r="H346" s="57" t="n">
        <f aca="false">MAX(0,IF(AND(Parameter!$B$21="Ja",ISNUMBER(Y346)),Y346,IF(Parameter!$B$20="Jahresanfang 2025 + Export",BL346+BK346,BK346)))</f>
        <v>6</v>
      </c>
      <c r="I346" s="57" t="n">
        <f aca="false">H346*G346</f>
        <v>192.6</v>
      </c>
      <c r="J346" s="57" t="n">
        <f aca="false">BN346*Parameter!$B$18</f>
        <v>6</v>
      </c>
      <c r="K346" s="58" t="n">
        <v>0</v>
      </c>
      <c r="L346" s="59" t="n">
        <v>0</v>
      </c>
      <c r="M346" s="57" t="n">
        <v>0</v>
      </c>
      <c r="N346" s="57" t="n">
        <v>6</v>
      </c>
      <c r="O346" s="60" t="n">
        <v>14</v>
      </c>
      <c r="P346" s="55" t="s">
        <v>168</v>
      </c>
      <c r="Q346" s="57"/>
      <c r="R346" s="60" t="n">
        <f aca="false">IF(BT346=1,0,IFERROR(VLOOKUP(BR346,'Gebinde-Kategorie'!$A$5:$M$45,13,0)+0,0))</f>
        <v>0</v>
      </c>
      <c r="S346" s="61"/>
      <c r="T346" s="62"/>
      <c r="U346" s="62"/>
      <c r="V346" s="62"/>
      <c r="W346" s="55"/>
      <c r="X346" s="57"/>
      <c r="Y346" s="57"/>
      <c r="Z346" s="55" t="str">
        <f aca="false">IF(A346="","",IF(AND(Parameter!$B$21="Ja",ISNUMBER(W346)),W346,IF(BV346="2+3",IF(ISNUMBER(SEARCH("grosser Artikel",BO346)),2,IFERROR(VLOOKUP(BR346,Parameter!$F$35:$G$64,2,0),2)),IF(OR(BV346="Nein",BV346=""),"-",BV346))))</f>
        <v>-</v>
      </c>
      <c r="AA346" s="62"/>
      <c r="AB346" s="63"/>
      <c r="AC346" s="57" t="n">
        <f aca="false">AR346</f>
        <v>6</v>
      </c>
      <c r="AD346" s="57" t="n">
        <f aca="false">MAX(AR346,H346)</f>
        <v>6</v>
      </c>
      <c r="AE346" s="64"/>
      <c r="AF346" s="57" t="n">
        <f aca="false">IF(LEFT(Cockpit!$C$5,1)="A",H346,IF(CA346=1,CB346,IF(LEFT(Cockpit!$C$5,1)="B",AJ346,MAX(AJ346,H346))))</f>
        <v>6</v>
      </c>
      <c r="AG346" s="57" t="n">
        <f aca="false">IF(BT346=1,0,ROUNDUP(AF346/BS346,0))</f>
        <v>0</v>
      </c>
      <c r="AH346" s="59" t="n">
        <f aca="false">IF(CH346&gt;0,CH346*MAX(1,AF346/X346),IF(BT346=1,IF(AF346&lt;=0,0,BW346*MAX(1,IF(H346&gt;0,AF346/H346,1))),IF(R346&gt;0,AG346/R346,0))/MAX(0.1,N(Parameter!$M$21)))</f>
        <v>0.15</v>
      </c>
      <c r="AI346" s="57" t="n">
        <f aca="false">AF346*G346</f>
        <v>192.6</v>
      </c>
      <c r="AJ346" s="57" t="n">
        <f aca="false">ROUNDUP(MAX(J346/IF(BZ346&gt;0,BZ346,MAX(0.1,N(Cockpit!$C$6))),CC346)/BS346,0)*BS346</f>
        <v>6</v>
      </c>
      <c r="AK346" s="58" t="n">
        <f aca="false">IF(AH346&gt;0,J346/AH346,-1)</f>
        <v>40</v>
      </c>
      <c r="AL346" s="58" t="str">
        <f aca="false">IF(AND(OR(BY346="L1",BY346="L23"),AH346&gt;0),SUMIFS($AH$7:$AH$1843,$BY$7:$BY$1843,BY346,$AK$7:$AK$1843,"&gt;"&amp;AK346)+SUMIFS($AH$7:$AH$1843,$BY$7:$BY$1843,BY346,$AK$7:$AK$1843,AK346,$BQ$7:$BQ$1843,"&lt;="&amp;BQ346),"")</f>
        <v/>
      </c>
      <c r="AM346" s="65" t="n">
        <f aca="false">IF(AL346="",0,MAX(0,MIN(1,(IF(BY346="L1",Parameter!$E$5,Parameter!$E$6+Parameter!$E$7)-(AL346-AH346))/AH346)))</f>
        <v>0</v>
      </c>
      <c r="AN346" s="57" t="n">
        <f aca="false">IF(LEFT(Cockpit!$I$5,1)="A",H346,IF(CA346=1,CB346,IF(LEFT(Cockpit!$I$5,1)="B",AR346,MAX(AR346,H346))))</f>
        <v>6</v>
      </c>
      <c r="AO346" s="57" t="n">
        <f aca="false">IF(BT346=1,0,ROUNDUP(AN346/BS346,0))</f>
        <v>0</v>
      </c>
      <c r="AP346" s="59" t="n">
        <f aca="false">IF(CH346&gt;0,CH346*MAX(1,AN346/X346),IF(BT346=1,IF(AN346&lt;=0,0,BW346*MAX(1,IF(H346&gt;0,AN346/H346,1))),IF(R346&gt;0,AO346/R346,0))/MAX(0.1,N(Parameter!$M$21)))</f>
        <v>0.15</v>
      </c>
      <c r="AQ346" s="57" t="n">
        <f aca="false">AN346*G346</f>
        <v>192.6</v>
      </c>
      <c r="AR346" s="57" t="n">
        <f aca="false">ROUNDUP(MAX(J346/IF(BZ346&gt;0,BZ346,MAX(0.1,N(Cockpit!$I$6))),CC346)/BS346,0)*BS346</f>
        <v>6</v>
      </c>
      <c r="AS346" s="58" t="n">
        <f aca="false">IF(AP346&gt;0,J346/AP346,-1)</f>
        <v>40</v>
      </c>
      <c r="AT346" s="58" t="str">
        <f aca="false">IF(AND(OR(BY346="L1",BY346="L23"),AP346&gt;0),SUMIFS($AP$7:$AP$1843,$BY$7:$BY$1843,BY346,$AS$7:$AS$1843,"&gt;"&amp;AS346)+SUMIFS($AP$7:$AP$1843,$BY$7:$BY$1843,BY346,$AS$7:$AS$1843,AS346,$BQ$7:$BQ$1843,"&lt;="&amp;BQ346),"")</f>
        <v/>
      </c>
      <c r="AU346" s="65" t="n">
        <f aca="false">IF(AT346="",0,MAX(0,MIN(1,(IF(BY346="L1",Parameter!$E$5,Parameter!$E$6+Parameter!$E$7)-(AT346-AP346))/AP346)))</f>
        <v>0</v>
      </c>
      <c r="AV346" s="57" t="n">
        <f aca="false">IF(LEFT(Cockpit!$O$5,1)="A",H346,IF(CA346=1,CB346,IF(LEFT(Cockpit!$O$5,1)="B",AZ346,MAX(AZ346,H346))))</f>
        <v>6</v>
      </c>
      <c r="AW346" s="57" t="n">
        <f aca="false">IF(BT346=1,0,ROUNDUP(AV346/BS346,0))</f>
        <v>0</v>
      </c>
      <c r="AX346" s="59" t="n">
        <f aca="false">IF(CH346&gt;0,CH346*MAX(1,AV346/X346),IF(BT346=1,IF(AV346&lt;=0,0,BW346*MAX(1,IF(H346&gt;0,AV346/H346,1))),IF(R346&gt;0,AW346/R346,0))/MAX(0.1,N(Parameter!$M$21)))</f>
        <v>0.15</v>
      </c>
      <c r="AY346" s="57" t="n">
        <f aca="false">AV346*G346</f>
        <v>192.6</v>
      </c>
      <c r="AZ346" s="57" t="n">
        <f aca="false">ROUNDUP(MAX(J346/IF(BZ346&gt;0,BZ346,MAX(0.1,N(Cockpit!$O$6))),CC346)/BS346,0)*BS346</f>
        <v>6</v>
      </c>
      <c r="BA346" s="58" t="n">
        <f aca="false">IF(AX346&gt;0,J346/AX346,-1)</f>
        <v>40</v>
      </c>
      <c r="BB346" s="58" t="str">
        <f aca="false">IF(AND(OR(BY346="L1",BY346="L23"),AX346&gt;0),SUMIFS($AX$7:$AX$1843,$BY$7:$BY$1843,BY346,$BA$7:$BA$1843,"&gt;"&amp;BA346)+SUMIFS($AX$7:$AX$1843,$BY$7:$BY$1843,BY346,$BA$7:$BA$1843,BA346,$BQ$7:$BQ$1843,"&lt;="&amp;BQ346),"")</f>
        <v/>
      </c>
      <c r="BC346" s="65" t="n">
        <f aca="false">IF(BB346="",0,MAX(0,MIN(1,(IF(BY346="L1",Parameter!$E$5,Parameter!$E$6+Parameter!$E$7)-(BB346-AX346))/AX346)))</f>
        <v>0</v>
      </c>
      <c r="BD346" s="55" t="str">
        <f aca="false">IF(AH346&lt;=0,"",IF(BY346="Aussen","Aussenlager",IF(BY346="-","Nicht im Lift",IF(AM346&gt;=1,"Lift",IF(AM346&lt;=0,"Aussenlager","teilweise")))))</f>
        <v>Nicht im Lift</v>
      </c>
      <c r="BE346" s="55" t="str">
        <f aca="false">IF(AP346&lt;=0,"",IF(BY346="Aussen","Aussenlager",IF(BY346="-","Nicht im Lift",IF(AU346&gt;=1,"Lift",IF(AU346&lt;=0,"Aussenlager","teilweise")))))</f>
        <v>Nicht im Lift</v>
      </c>
      <c r="BF346" s="55" t="str">
        <f aca="false">IF(AX346&lt;=0,"",IF(BY346="Aussen","Aussenlager",IF(BY346="-","Nicht im Lift",IF(BC346&gt;=1,"Lift",IF(BC346&lt;=0,"Aussenlager","teilweise")))))</f>
        <v>Nicht im Lift</v>
      </c>
      <c r="BG346" s="55" t="str">
        <f aca="false">IF(A346="","",IF(BP346=1,"Neu; ","")&amp;IF(AND(BP346=0,BK346&lt;0),"negativer Bestand (Export "&amp;BK346&amp;"); ","")&amp;IF(J346&lt;=0,"Kein Verbrauch; ","")&amp;IF(CH346&gt;0,"Lift "&amp;W346&amp;" lt. Liftbericht (Fach "&amp;X346&amp;" Stk); ",IF(BU346=1,"Gebinde geschätzt ("&amp;T346&amp;"); ",IF(BT346=1,"Lose – Tablare geschätzt; ","")))&amp;IF(H346&gt;AR346,"Überbestand "&amp;ROUND(H346-AR346,0)&amp;" Stk / CHF "&amp;ROUND((H346-AR346)*G346,0)&amp;"; ","")&amp;IF(AND(CA346=1,CB346&lt;CC346),"MAX &lt; MB+LG; ","")&amp;IF(AND(CG346&gt;0,CF346*10&gt;CG346),"zu hoch für Tablar; ","")&amp;IF(AND(BP346=0,OR(CA346=1,AA346&lt;&gt;"",U346&lt;&gt;"",V346&lt;&gt;"",AB346&lt;&gt;"")),"manuell übersteuert; ","")&amp;IF(AND(BT346=0,R346=0),"Gebinde unbekannt / Stellmass fehlt; ","")&amp;IF(AND(BT346=0,N(V346)&lt;=0,N(Q346)&lt;=0),"Menge pro Gebinde fehlt (Ist = 1 Gebinde); ","")&amp;BO346)</f>
        <v>Lose – Tablare geschätzt; </v>
      </c>
      <c r="BH346" s="55"/>
      <c r="BI346" s="55"/>
      <c r="BJ346" s="62"/>
      <c r="BK346" s="57" t="n">
        <v>6</v>
      </c>
      <c r="BL346" s="57" t="n">
        <v>0</v>
      </c>
      <c r="BM346" s="56" t="n">
        <v>192.6</v>
      </c>
      <c r="BN346" s="57" t="n">
        <v>6</v>
      </c>
      <c r="BO346" s="55"/>
      <c r="BP346" s="60" t="n">
        <v>0</v>
      </c>
      <c r="BQ346" s="60" t="n">
        <v>346</v>
      </c>
      <c r="BR346" s="55" t="str">
        <f aca="false">IF(U346&lt;&gt;"",UPPER(TRIM(U346)),IF(BU346=1,UPPER(VLOOKUP(T346,Parameter!$I$27:$K$29,2,0)),IF(P346="","LOSE",P346)))</f>
        <v>LOSE</v>
      </c>
      <c r="BS346" s="57" t="n">
        <f aca="false">IF(BR346="LOSE",1,IF(N(V346)&gt;0,V346,IF(BU346=1,MAX(1,N(VLOOKUP(T346,Parameter!$I$27:$K$29,3,0)),H346,N(N346)),IF(N(Q346)&gt;0,Q346,MAX(1,H346)))))</f>
        <v>1</v>
      </c>
      <c r="BT346" s="60" t="n">
        <f aca="false">IF(BR346="LOSE",1,0)</f>
        <v>1</v>
      </c>
      <c r="BU346" s="60" t="n">
        <f aca="false">IF(AND(U346="",OR(P346="",P346="LOSE"),T346&lt;&gt;"",N(S346)&lt;=0,ISNUMBER(MATCH(T346,Parameter!$I$27:$I$29,0))),1,0)</f>
        <v>0</v>
      </c>
      <c r="BV346" s="55" t="str">
        <f aca="false">IF(AND(Parameter!$B$19="Ja",E346&lt;&gt;"",ISNUMBER(MATCH(E346,Parameter!$I$35:$I$52,0))),VLOOKUP(E346,Parameter!$I$35:$J$52,2,0),IFERROR(VLOOKUP(D346,Parameter!$A$35:$C$64,2,0),"Nein"))</f>
        <v>Nein</v>
      </c>
      <c r="BW346" s="59" t="n">
        <f aca="false">IF(BT346=0,0,IF(N(S346)&gt;0,S346,IFERROR(VLOOKUP(D346,Parameter!$A$35:$C$64,3,0)+0,0)))</f>
        <v>0.15</v>
      </c>
      <c r="BX346" s="55" t="str">
        <f aca="false">IF(AA346&lt;&gt;"",AA346,Z346)</f>
        <v>-</v>
      </c>
      <c r="BY346" s="55" t="str">
        <f aca="false">IF(BX346=1,"L1",IF(OR(BX346=2,BX346=3),"L23",IF(BX346="Aussen","Aussen","-")))</f>
        <v>-</v>
      </c>
      <c r="BZ346" s="66" t="n">
        <f aca="false">IF(N(AB346)&gt;0,AB346,0)</f>
        <v>0</v>
      </c>
      <c r="CA346" s="60" t="n">
        <f aca="false">IF(ISNUMBER(AE346),1,0)</f>
        <v>0</v>
      </c>
      <c r="CB346" s="57" t="n">
        <f aca="false">N(AE346)</f>
        <v>0</v>
      </c>
      <c r="CC346" s="57" t="n">
        <f aca="false">N(M346)+N(N346)</f>
        <v>6</v>
      </c>
      <c r="CD346" s="57" t="n">
        <f aca="false">ROUNDUP(H346/BS346,0)</f>
        <v>6</v>
      </c>
      <c r="CE346" s="57" t="n">
        <f aca="false">ROUNDUP(CB346/BS346,0)</f>
        <v>0</v>
      </c>
      <c r="CF346" s="60" t="n">
        <f aca="false">IF(BT346=1,0,IFERROR(VLOOKUP(BR346,'Gebinde-Kategorie'!$A$5:$M$45,5,0)+0,0))</f>
        <v>0</v>
      </c>
      <c r="CG346" s="60" t="n">
        <f aca="false">IFERROR(IF(OR(BX346=1,BX346=2,BX346=3),N(INDEX(Parameter!$I$5:$I$7,BX346)),0),0)</f>
        <v>0</v>
      </c>
      <c r="CH346" s="59" t="n">
        <f aca="false">IF(AND(Parameter!$B$21="Ja",ISNUMBER(W346),N(X346)&gt;0),IFERROR(N(INDEX(Parameter!$L$5:$L$7,W346))*INDEX(Parameter!$E$5:$E$7,W346)*X346/SUMIFS($X$7:$X$1843,$W$7:$W$1843,W346),0),0)</f>
        <v>0</v>
      </c>
    </row>
    <row r="347" customFormat="false" ht="15" hidden="false" customHeight="false" outlineLevel="0" collapsed="false">
      <c r="A347" s="55" t="s">
        <v>851</v>
      </c>
      <c r="B347" s="55" t="s">
        <v>852</v>
      </c>
      <c r="C347" s="55" t="s">
        <v>164</v>
      </c>
      <c r="D347" s="55" t="s">
        <v>184</v>
      </c>
      <c r="E347" s="55" t="s">
        <v>185</v>
      </c>
      <c r="F347" s="55" t="s">
        <v>218</v>
      </c>
      <c r="G347" s="56" t="n">
        <v>5.4</v>
      </c>
      <c r="H347" s="57" t="n">
        <f aca="false">MAX(0,IF(AND(Parameter!$B$21="Ja",ISNUMBER(Y347)),Y347,IF(Parameter!$B$20="Jahresanfang 2025 + Export",BL347+BK347,BK347)))</f>
        <v>47</v>
      </c>
      <c r="I347" s="57" t="n">
        <f aca="false">H347*G347</f>
        <v>253.8</v>
      </c>
      <c r="J347" s="57" t="n">
        <f aca="false">BN347*Parameter!$B$18</f>
        <v>50</v>
      </c>
      <c r="K347" s="58" t="n">
        <v>11</v>
      </c>
      <c r="L347" s="59" t="n">
        <v>4.54545454545455</v>
      </c>
      <c r="M347" s="57" t="n">
        <v>1</v>
      </c>
      <c r="N347" s="57" t="n">
        <v>50</v>
      </c>
      <c r="O347" s="60" t="n">
        <v>14</v>
      </c>
      <c r="P347" s="55" t="s">
        <v>302</v>
      </c>
      <c r="Q347" s="57" t="n">
        <v>30</v>
      </c>
      <c r="R347" s="60" t="n">
        <f aca="false">IF(BT347=1,0,IFERROR(VLOOKUP(BR347,'Gebinde-Kategorie'!$A$5:$M$45,13,0)+0,0))</f>
        <v>26</v>
      </c>
      <c r="S347" s="61"/>
      <c r="T347" s="62"/>
      <c r="U347" s="62"/>
      <c r="V347" s="62"/>
      <c r="W347" s="55"/>
      <c r="X347" s="57"/>
      <c r="Y347" s="57"/>
      <c r="Z347" s="55" t="n">
        <f aca="false">IF(A347="","",IF(AND(Parameter!$B$21="Ja",ISNUMBER(W347)),W347,IF(BV347="2+3",IF(ISNUMBER(SEARCH("grosser Artikel",BO347)),2,IFERROR(VLOOKUP(BR347,Parameter!$F$35:$G$64,2,0),2)),IF(OR(BV347="Nein",BV347=""),"-",BV347))))</f>
        <v>3</v>
      </c>
      <c r="AA347" s="62"/>
      <c r="AB347" s="63"/>
      <c r="AC347" s="57" t="n">
        <f aca="false">AR347</f>
        <v>60</v>
      </c>
      <c r="AD347" s="57" t="n">
        <f aca="false">MAX(AR347,H347)</f>
        <v>60</v>
      </c>
      <c r="AE347" s="64"/>
      <c r="AF347" s="57" t="n">
        <f aca="false">IF(LEFT(Cockpit!$C$5,1)="A",H347,IF(CA347=1,CB347,IF(LEFT(Cockpit!$C$5,1)="B",AJ347,MAX(AJ347,H347))))</f>
        <v>47</v>
      </c>
      <c r="AG347" s="57" t="n">
        <f aca="false">IF(BT347=1,0,ROUNDUP(AF347/BS347,0))</f>
        <v>2</v>
      </c>
      <c r="AH347" s="59" t="n">
        <f aca="false">IF(CH347&gt;0,CH347*MAX(1,AF347/X347),IF(BT347=1,IF(AF347&lt;=0,0,BW347*MAX(1,IF(H347&gt;0,AF347/H347,1))),IF(R347&gt;0,AG347/R347,0))/MAX(0.1,N(Parameter!$M$21)))</f>
        <v>0.0769230769230769</v>
      </c>
      <c r="AI347" s="57" t="n">
        <f aca="false">AF347*G347</f>
        <v>253.8</v>
      </c>
      <c r="AJ347" s="57" t="n">
        <f aca="false">ROUNDUP(MAX(J347/IF(BZ347&gt;0,BZ347,MAX(0.1,N(Cockpit!$C$6))),CC347)/BS347,0)*BS347</f>
        <v>60</v>
      </c>
      <c r="AK347" s="58" t="n">
        <f aca="false">IF(AH347&gt;0,J347/AH347,-1)</f>
        <v>650</v>
      </c>
      <c r="AL347" s="58" t="n">
        <f aca="false">IF(AND(OR(BY347="L1",BY347="L23"),AH347&gt;0),SUMIFS($AH$7:$AH$1843,$BY$7:$BY$1843,BY347,$AK$7:$AK$1843,"&gt;"&amp;AK347)+SUMIFS($AH$7:$AH$1843,$BY$7:$BY$1843,BY347,$AK$7:$AK$1843,AK347,$BQ$7:$BQ$1843,"&lt;="&amp;BQ347),"")</f>
        <v>22.489121989122</v>
      </c>
      <c r="AM347" s="65" t="n">
        <f aca="false">IF(AL347="",0,MAX(0,MIN(1,(IF(BY347="L1",Parameter!$E$5,Parameter!$E$6+Parameter!$E$7)-(AL347-AH347))/AH347)))</f>
        <v>1</v>
      </c>
      <c r="AN347" s="57" t="n">
        <f aca="false">IF(LEFT(Cockpit!$I$5,1)="A",H347,IF(CA347=1,CB347,IF(LEFT(Cockpit!$I$5,1)="B",AR347,MAX(AR347,H347))))</f>
        <v>60</v>
      </c>
      <c r="AO347" s="57" t="n">
        <f aca="false">IF(BT347=1,0,ROUNDUP(AN347/BS347,0))</f>
        <v>2</v>
      </c>
      <c r="AP347" s="59" t="n">
        <f aca="false">IF(CH347&gt;0,CH347*MAX(1,AN347/X347),IF(BT347=1,IF(AN347&lt;=0,0,BW347*MAX(1,IF(H347&gt;0,AN347/H347,1))),IF(R347&gt;0,AO347/R347,0))/MAX(0.1,N(Parameter!$M$21)))</f>
        <v>0.0769230769230769</v>
      </c>
      <c r="AQ347" s="57" t="n">
        <f aca="false">AN347*G347</f>
        <v>324</v>
      </c>
      <c r="AR347" s="57" t="n">
        <f aca="false">ROUNDUP(MAX(J347/IF(BZ347&gt;0,BZ347,MAX(0.1,N(Cockpit!$I$6))),CC347)/BS347,0)*BS347</f>
        <v>60</v>
      </c>
      <c r="AS347" s="58" t="n">
        <f aca="false">IF(AP347&gt;0,J347/AP347,-1)</f>
        <v>650</v>
      </c>
      <c r="AT347" s="58" t="n">
        <f aca="false">IF(AND(OR(BY347="L1",BY347="L23"),AP347&gt;0),SUMIFS($AP$7:$AP$1843,$BY$7:$BY$1843,BY347,$AS$7:$AS$1843,"&gt;"&amp;AS347)+SUMIFS($AP$7:$AP$1843,$BY$7:$BY$1843,BY347,$AS$7:$AS$1843,AS347,$BQ$7:$BQ$1843,"&lt;="&amp;BQ347),"")</f>
        <v>30.1097429140907</v>
      </c>
      <c r="AU347" s="65" t="n">
        <f aca="false">IF(AT347="",0,MAX(0,MIN(1,(IF(BY347="L1",Parameter!$E$5,Parameter!$E$6+Parameter!$E$7)-(AT347-AP347))/AP347)))</f>
        <v>1</v>
      </c>
      <c r="AV347" s="57" t="n">
        <f aca="false">IF(LEFT(Cockpit!$O$5,1)="A",H347,IF(CA347=1,CB347,IF(LEFT(Cockpit!$O$5,1)="B",AZ347,MAX(AZ347,H347))))</f>
        <v>60</v>
      </c>
      <c r="AW347" s="57" t="n">
        <f aca="false">IF(BT347=1,0,ROUNDUP(AV347/BS347,0))</f>
        <v>2</v>
      </c>
      <c r="AX347" s="59" t="n">
        <f aca="false">IF(CH347&gt;0,CH347*MAX(1,AV347/X347),IF(BT347=1,IF(AV347&lt;=0,0,BW347*MAX(1,IF(H347&gt;0,AV347/H347,1))),IF(R347&gt;0,AW347/R347,0))/MAX(0.1,N(Parameter!$M$21)))</f>
        <v>0.0769230769230769</v>
      </c>
      <c r="AY347" s="57" t="n">
        <f aca="false">AV347*G347</f>
        <v>324</v>
      </c>
      <c r="AZ347" s="57" t="n">
        <f aca="false">ROUNDUP(MAX(J347/IF(BZ347&gt;0,BZ347,MAX(0.1,N(Cockpit!$O$6))),CC347)/BS347,0)*BS347</f>
        <v>60</v>
      </c>
      <c r="BA347" s="58" t="n">
        <f aca="false">IF(AX347&gt;0,J347/AX347,-1)</f>
        <v>650</v>
      </c>
      <c r="BB347" s="58" t="n">
        <f aca="false">IF(AND(OR(BY347="L1",BY347="L23"),AX347&gt;0),SUMIFS($AX$7:$AX$1843,$BY$7:$BY$1843,BY347,$BA$7:$BA$1843,"&gt;"&amp;BA347)+SUMIFS($AX$7:$AX$1843,$BY$7:$BY$1843,BY347,$BA$7:$BA$1843,BA347,$BQ$7:$BQ$1843,"&lt;="&amp;BQ347),"")</f>
        <v>28.8113746157224</v>
      </c>
      <c r="BC347" s="65" t="n">
        <f aca="false">IF(BB347="",0,MAX(0,MIN(1,(IF(BY347="L1",Parameter!$E$5,Parameter!$E$6+Parameter!$E$7)-(BB347-AX347))/AX347)))</f>
        <v>1</v>
      </c>
      <c r="BD347" s="55" t="str">
        <f aca="false">IF(AH347&lt;=0,"",IF(BY347="Aussen","Aussenlager",IF(BY347="-","Nicht im Lift",IF(AM347&gt;=1,"Lift",IF(AM347&lt;=0,"Aussenlager","teilweise")))))</f>
        <v>Lift</v>
      </c>
      <c r="BE347" s="55" t="str">
        <f aca="false">IF(AP347&lt;=0,"",IF(BY347="Aussen","Aussenlager",IF(BY347="-","Nicht im Lift",IF(AU347&gt;=1,"Lift",IF(AU347&lt;=0,"Aussenlager","teilweise")))))</f>
        <v>Lift</v>
      </c>
      <c r="BF347" s="55" t="str">
        <f aca="false">IF(AX347&lt;=0,"",IF(BY347="Aussen","Aussenlager",IF(BY347="-","Nicht im Lift",IF(BC347&gt;=1,"Lift",IF(BC347&lt;=0,"Aussenlager","teilweise")))))</f>
        <v>Lift</v>
      </c>
      <c r="BG347" s="55" t="str">
        <f aca="false">IF(A347="","",IF(BP347=1,"Neu; ","")&amp;IF(AND(BP347=0,BK347&lt;0),"negativer Bestand (Export "&amp;BK347&amp;"); ","")&amp;IF(J347&lt;=0,"Kein Verbrauch; ","")&amp;IF(CH347&gt;0,"Lift "&amp;W347&amp;" lt. Liftbericht (Fach "&amp;X347&amp;" Stk); ",IF(BU347=1,"Gebinde geschätzt ("&amp;T347&amp;"); ",IF(BT347=1,"Lose – Tablare geschätzt; ","")))&amp;IF(H347&gt;AR347,"Überbestand "&amp;ROUND(H347-AR347,0)&amp;" Stk / CHF "&amp;ROUND((H347-AR347)*G347,0)&amp;"; ","")&amp;IF(AND(CA347=1,CB347&lt;CC347),"MAX &lt; MB+LG; ","")&amp;IF(AND(CG347&gt;0,CF347*10&gt;CG347),"zu hoch für Tablar; ","")&amp;IF(AND(BP347=0,OR(CA347=1,AA347&lt;&gt;"",U347&lt;&gt;"",V347&lt;&gt;"",AB347&lt;&gt;"")),"manuell übersteuert; ","")&amp;IF(AND(BT347=0,R347=0),"Gebinde unbekannt / Stellmass fehlt; ","")&amp;IF(AND(BT347=0,N(V347)&lt;=0,N(Q347)&lt;=0),"Menge pro Gebinde fehlt (Ist = 1 Gebinde); ","")&amp;BO347)</f>
        <v/>
      </c>
      <c r="BH347" s="55"/>
      <c r="BI347" s="55"/>
      <c r="BJ347" s="62"/>
      <c r="BK347" s="57" t="n">
        <v>35</v>
      </c>
      <c r="BL347" s="57" t="n">
        <v>12</v>
      </c>
      <c r="BM347" s="56" t="n">
        <v>185.4</v>
      </c>
      <c r="BN347" s="57" t="n">
        <v>50</v>
      </c>
      <c r="BO347" s="55"/>
      <c r="BP347" s="60" t="n">
        <v>0</v>
      </c>
      <c r="BQ347" s="60" t="n">
        <v>347</v>
      </c>
      <c r="BR347" s="55" t="str">
        <f aca="false">IF(U347&lt;&gt;"",UPPER(TRIM(U347)),IF(BU347=1,UPPER(VLOOKUP(T347,Parameter!$I$27:$K$29,2,0)),IF(P347="","LOSE",P347)))</f>
        <v>S51</v>
      </c>
      <c r="BS347" s="57" t="n">
        <f aca="false">IF(BR347="LOSE",1,IF(N(V347)&gt;0,V347,IF(BU347=1,MAX(1,N(VLOOKUP(T347,Parameter!$I$27:$K$29,3,0)),H347,N(N347)),IF(N(Q347)&gt;0,Q347,MAX(1,H347)))))</f>
        <v>30</v>
      </c>
      <c r="BT347" s="60" t="n">
        <f aca="false">IF(BR347="LOSE",1,0)</f>
        <v>0</v>
      </c>
      <c r="BU347" s="60" t="n">
        <f aca="false">IF(AND(U347="",OR(P347="",P347="LOSE"),T347&lt;&gt;"",N(S347)&lt;=0,ISNUMBER(MATCH(T347,Parameter!$I$27:$I$29,0))),1,0)</f>
        <v>0</v>
      </c>
      <c r="BV347" s="55" t="str">
        <f aca="false">IF(AND(Parameter!$B$19="Ja",E347&lt;&gt;"",ISNUMBER(MATCH(E347,Parameter!$I$35:$I$52,0))),VLOOKUP(E347,Parameter!$I$35:$J$52,2,0),IFERROR(VLOOKUP(D347,Parameter!$A$35:$C$64,2,0),"Nein"))</f>
        <v>2+3</v>
      </c>
      <c r="BW347" s="59" t="n">
        <f aca="false">IF(BT347=0,0,IF(N(S347)&gt;0,S347,IFERROR(VLOOKUP(D347,Parameter!$A$35:$C$64,3,0)+0,0)))</f>
        <v>0</v>
      </c>
      <c r="BX347" s="55" t="n">
        <f aca="false">IF(AA347&lt;&gt;"",AA347,Z347)</f>
        <v>3</v>
      </c>
      <c r="BY347" s="55" t="str">
        <f aca="false">IF(BX347=1,"L1",IF(OR(BX347=2,BX347=3),"L23",IF(BX347="Aussen","Aussen","-")))</f>
        <v>L23</v>
      </c>
      <c r="BZ347" s="66" t="n">
        <f aca="false">IF(N(AB347)&gt;0,AB347,0)</f>
        <v>0</v>
      </c>
      <c r="CA347" s="60" t="n">
        <f aca="false">IF(ISNUMBER(AE347),1,0)</f>
        <v>0</v>
      </c>
      <c r="CB347" s="57" t="n">
        <f aca="false">N(AE347)</f>
        <v>0</v>
      </c>
      <c r="CC347" s="57" t="n">
        <f aca="false">N(M347)+N(N347)</f>
        <v>51</v>
      </c>
      <c r="CD347" s="57" t="n">
        <f aca="false">ROUNDUP(H347/BS347,0)</f>
        <v>2</v>
      </c>
      <c r="CE347" s="57" t="n">
        <f aca="false">ROUNDUP(CB347/BS347,0)</f>
        <v>0</v>
      </c>
      <c r="CF347" s="60" t="n">
        <f aca="false">IF(BT347=1,0,IFERROR(VLOOKUP(BR347,'Gebinde-Kategorie'!$A$5:$M$45,5,0)+0,0))</f>
        <v>11</v>
      </c>
      <c r="CG347" s="60" t="n">
        <f aca="false">IFERROR(IF(OR(BX347=1,BX347=2,BX347=3),N(INDEX(Parameter!$I$5:$I$7,BX347)),0),0)</f>
        <v>0</v>
      </c>
      <c r="CH347" s="59" t="n">
        <f aca="false">IF(AND(Parameter!$B$21="Ja",ISNUMBER(W347),N(X347)&gt;0),IFERROR(N(INDEX(Parameter!$L$5:$L$7,W347))*INDEX(Parameter!$E$5:$E$7,W347)*X347/SUMIFS($X$7:$X$1843,$W$7:$W$1843,W347),0),0)</f>
        <v>0</v>
      </c>
    </row>
    <row r="348" customFormat="false" ht="15" hidden="false" customHeight="false" outlineLevel="0" collapsed="false">
      <c r="A348" s="55" t="s">
        <v>853</v>
      </c>
      <c r="B348" s="55" t="s">
        <v>763</v>
      </c>
      <c r="C348" s="55" t="s">
        <v>164</v>
      </c>
      <c r="D348" s="55" t="s">
        <v>184</v>
      </c>
      <c r="E348" s="55"/>
      <c r="F348" s="55" t="s">
        <v>218</v>
      </c>
      <c r="G348" s="56" t="n">
        <v>7.4</v>
      </c>
      <c r="H348" s="57" t="n">
        <f aca="false">MAX(0,IF(AND(Parameter!$B$21="Ja",ISNUMBER(Y348)),Y348,IF(Parameter!$B$20="Jahresanfang 2025 + Export",BL348+BK348,BK348)))</f>
        <v>25</v>
      </c>
      <c r="I348" s="57" t="n">
        <f aca="false">H348*G348</f>
        <v>185</v>
      </c>
      <c r="J348" s="57" t="n">
        <f aca="false">BN348*Parameter!$B$18</f>
        <v>0</v>
      </c>
      <c r="K348" s="58" t="n">
        <v>0</v>
      </c>
      <c r="L348" s="59" t="n">
        <v>0</v>
      </c>
      <c r="M348" s="57" t="n">
        <v>0</v>
      </c>
      <c r="N348" s="57" t="n">
        <v>1</v>
      </c>
      <c r="O348" s="60" t="n">
        <v>9999</v>
      </c>
      <c r="P348" s="55" t="s">
        <v>168</v>
      </c>
      <c r="Q348" s="57"/>
      <c r="R348" s="60" t="n">
        <f aca="false">IF(BT348=1,0,IFERROR(VLOOKUP(BR348,'Gebinde-Kategorie'!$A$5:$M$45,13,0)+0,0))</f>
        <v>26</v>
      </c>
      <c r="S348" s="61"/>
      <c r="T348" s="62" t="s">
        <v>275</v>
      </c>
      <c r="U348" s="62"/>
      <c r="V348" s="62"/>
      <c r="W348" s="55"/>
      <c r="X348" s="57"/>
      <c r="Y348" s="57"/>
      <c r="Z348" s="55" t="n">
        <f aca="false">IF(A348="","",IF(AND(Parameter!$B$21="Ja",ISNUMBER(W348)),W348,IF(BV348="2+3",IF(ISNUMBER(SEARCH("grosser Artikel",BO348)),2,IFERROR(VLOOKUP(BR348,Parameter!$F$35:$G$64,2,0),2)),IF(OR(BV348="Nein",BV348=""),"-",BV348))))</f>
        <v>3</v>
      </c>
      <c r="AA348" s="62"/>
      <c r="AB348" s="63"/>
      <c r="AC348" s="57" t="n">
        <f aca="false">AR348</f>
        <v>25</v>
      </c>
      <c r="AD348" s="57" t="n">
        <f aca="false">MAX(AR348,H348)</f>
        <v>25</v>
      </c>
      <c r="AE348" s="64"/>
      <c r="AF348" s="57" t="n">
        <f aca="false">IF(LEFT(Cockpit!$C$5,1)="A",H348,IF(CA348=1,CB348,IF(LEFT(Cockpit!$C$5,1)="B",AJ348,MAX(AJ348,H348))))</f>
        <v>25</v>
      </c>
      <c r="AG348" s="57" t="n">
        <f aca="false">IF(BT348=1,0,ROUNDUP(AF348/BS348,0))</f>
        <v>1</v>
      </c>
      <c r="AH348" s="59" t="n">
        <f aca="false">IF(CH348&gt;0,CH348*MAX(1,AF348/X348),IF(BT348=1,IF(AF348&lt;=0,0,BW348*MAX(1,IF(H348&gt;0,AF348/H348,1))),IF(R348&gt;0,AG348/R348,0))/MAX(0.1,N(Parameter!$M$21)))</f>
        <v>0.0384615384615385</v>
      </c>
      <c r="AI348" s="57" t="n">
        <f aca="false">AF348*G348</f>
        <v>185</v>
      </c>
      <c r="AJ348" s="57" t="n">
        <f aca="false">ROUNDUP(MAX(J348/IF(BZ348&gt;0,BZ348,MAX(0.1,N(Cockpit!$C$6))),CC348)/BS348,0)*BS348</f>
        <v>25</v>
      </c>
      <c r="AK348" s="58" t="n">
        <f aca="false">IF(AH348&gt;0,J348/AH348,-1)</f>
        <v>0</v>
      </c>
      <c r="AL348" s="58" t="n">
        <f aca="false">IF(AND(OR(BY348="L1",BY348="L23"),AH348&gt;0),SUMIFS($AH$7:$AH$1843,$BY$7:$BY$1843,BY348,$AK$7:$AK$1843,"&gt;"&amp;AK348)+SUMIFS($AH$7:$AH$1843,$BY$7:$BY$1843,BY348,$AK$7:$AK$1843,AK348,$BQ$7:$BQ$1843,"&lt;="&amp;BQ348),"")</f>
        <v>73.2299837843316</v>
      </c>
      <c r="AM348" s="65" t="n">
        <f aca="false">IF(AL348="",0,MAX(0,MIN(1,(IF(BY348="L1",Parameter!$E$5,Parameter!$E$6+Parameter!$E$7)-(AL348-AH348))/AH348)))</f>
        <v>1</v>
      </c>
      <c r="AN348" s="57" t="n">
        <f aca="false">IF(LEFT(Cockpit!$I$5,1)="A",H348,IF(CA348=1,CB348,IF(LEFT(Cockpit!$I$5,1)="B",AR348,MAX(AR348,H348))))</f>
        <v>25</v>
      </c>
      <c r="AO348" s="57" t="n">
        <f aca="false">IF(BT348=1,0,ROUNDUP(AN348/BS348,0))</f>
        <v>1</v>
      </c>
      <c r="AP348" s="59" t="n">
        <f aca="false">IF(CH348&gt;0,CH348*MAX(1,AN348/X348),IF(BT348=1,IF(AN348&lt;=0,0,BW348*MAX(1,IF(H348&gt;0,AN348/H348,1))),IF(R348&gt;0,AO348/R348,0))/MAX(0.1,N(Parameter!$M$21)))</f>
        <v>0.0384615384615385</v>
      </c>
      <c r="AQ348" s="57" t="n">
        <f aca="false">AN348*G348</f>
        <v>185</v>
      </c>
      <c r="AR348" s="57" t="n">
        <f aca="false">ROUNDUP(MAX(J348/IF(BZ348&gt;0,BZ348,MAX(0.1,N(Cockpit!$I$6))),CC348)/BS348,0)*BS348</f>
        <v>25</v>
      </c>
      <c r="AS348" s="58" t="n">
        <f aca="false">IF(AP348&gt;0,J348/AP348,-1)</f>
        <v>0</v>
      </c>
      <c r="AT348" s="58" t="n">
        <f aca="false">IF(AND(OR(BY348="L1",BY348="L23"),AP348&gt;0),SUMIFS($AP$7:$AP$1843,$BY$7:$BY$1843,BY348,$AS$7:$AS$1843,"&gt;"&amp;AS348)+SUMIFS($AP$7:$AP$1843,$BY$7:$BY$1843,BY348,$AS$7:$AS$1843,AS348,$BQ$7:$BQ$1843,"&lt;="&amp;BQ348),"")</f>
        <v>112.654107969325</v>
      </c>
      <c r="AU348" s="65" t="n">
        <f aca="false">IF(AT348="",0,MAX(0,MIN(1,(IF(BY348="L1",Parameter!$E$5,Parameter!$E$6+Parameter!$E$7)-(AT348-AP348))/AP348)))</f>
        <v>0</v>
      </c>
      <c r="AV348" s="57" t="n">
        <f aca="false">IF(LEFT(Cockpit!$O$5,1)="A",H348,IF(CA348=1,CB348,IF(LEFT(Cockpit!$O$5,1)="B",AZ348,MAX(AZ348,H348))))</f>
        <v>25</v>
      </c>
      <c r="AW348" s="57" t="n">
        <f aca="false">IF(BT348=1,0,ROUNDUP(AV348/BS348,0))</f>
        <v>1</v>
      </c>
      <c r="AX348" s="59" t="n">
        <f aca="false">IF(CH348&gt;0,CH348*MAX(1,AV348/X348),IF(BT348=1,IF(AV348&lt;=0,0,BW348*MAX(1,IF(H348&gt;0,AV348/H348,1))),IF(R348&gt;0,AW348/R348,0))/MAX(0.1,N(Parameter!$M$21)))</f>
        <v>0.0384615384615385</v>
      </c>
      <c r="AY348" s="57" t="n">
        <f aca="false">AV348*G348</f>
        <v>185</v>
      </c>
      <c r="AZ348" s="57" t="n">
        <f aca="false">ROUNDUP(MAX(J348/IF(BZ348&gt;0,BZ348,MAX(0.1,N(Cockpit!$O$6))),CC348)/BS348,0)*BS348</f>
        <v>25</v>
      </c>
      <c r="BA348" s="58" t="n">
        <f aca="false">IF(AX348&gt;0,J348/AX348,-1)</f>
        <v>0</v>
      </c>
      <c r="BB348" s="58" t="n">
        <f aca="false">IF(AND(OR(BY348="L1",BY348="L23"),AX348&gt;0),SUMIFS($AX$7:$AX$1843,$BY$7:$BY$1843,BY348,$BA$7:$BA$1843,"&gt;"&amp;BA348)+SUMIFS($AX$7:$AX$1843,$BY$7:$BY$1843,BY348,$BA$7:$BA$1843,BA348,$BQ$7:$BQ$1843,"&lt;="&amp;BQ348),"")</f>
        <v>103.483944799162</v>
      </c>
      <c r="BC348" s="65" t="n">
        <f aca="false">IF(BB348="",0,MAX(0,MIN(1,(IF(BY348="L1",Parameter!$E$5,Parameter!$E$6+Parameter!$E$7)-(BB348-AX348))/AX348)))</f>
        <v>0</v>
      </c>
      <c r="BD348" s="55" t="str">
        <f aca="false">IF(AH348&lt;=0,"",IF(BY348="Aussen","Aussenlager",IF(BY348="-","Nicht im Lift",IF(AM348&gt;=1,"Lift",IF(AM348&lt;=0,"Aussenlager","teilweise")))))</f>
        <v>Lift</v>
      </c>
      <c r="BE348" s="55" t="str">
        <f aca="false">IF(AP348&lt;=0,"",IF(BY348="Aussen","Aussenlager",IF(BY348="-","Nicht im Lift",IF(AU348&gt;=1,"Lift",IF(AU348&lt;=0,"Aussenlager","teilweise")))))</f>
        <v>Aussenlager</v>
      </c>
      <c r="BF348" s="55" t="str">
        <f aca="false">IF(AX348&lt;=0,"",IF(BY348="Aussen","Aussenlager",IF(BY348="-","Nicht im Lift",IF(BC348&gt;=1,"Lift",IF(BC348&lt;=0,"Aussenlager","teilweise")))))</f>
        <v>Aussenlager</v>
      </c>
      <c r="BG348" s="55" t="str">
        <f aca="false">IF(A348="","",IF(BP348=1,"Neu; ","")&amp;IF(AND(BP348=0,BK348&lt;0),"negativer Bestand (Export "&amp;BK348&amp;"); ","")&amp;IF(J348&lt;=0,"Kein Verbrauch; ","")&amp;IF(CH348&gt;0,"Lift "&amp;W348&amp;" lt. Liftbericht (Fach "&amp;X348&amp;" Stk); ",IF(BU348=1,"Gebinde geschätzt ("&amp;T348&amp;"); ",IF(BT348=1,"Lose – Tablare geschätzt; ","")))&amp;IF(H348&gt;AR348,"Überbestand "&amp;ROUND(H348-AR348,0)&amp;" Stk / CHF "&amp;ROUND((H348-AR348)*G348,0)&amp;"; ","")&amp;IF(AND(CA348=1,CB348&lt;CC348),"MAX &lt; MB+LG; ","")&amp;IF(AND(CG348&gt;0,CF348*10&gt;CG348),"zu hoch für Tablar; ","")&amp;IF(AND(BP348=0,OR(CA348=1,AA348&lt;&gt;"",U348&lt;&gt;"",V348&lt;&gt;"",AB348&lt;&gt;"")),"manuell übersteuert; ","")&amp;IF(AND(BT348=0,R348=0),"Gebinde unbekannt / Stellmass fehlt; ","")&amp;IF(AND(BT348=0,N(V348)&lt;=0,N(Q348)&lt;=0),"Menge pro Gebinde fehlt (Ist = 1 Gebinde); ","")&amp;BO348)</f>
        <v>Kein Verbrauch; Gebinde geschätzt (Klein); Menge pro Gebinde fehlt (Ist = 1 Gebinde); </v>
      </c>
      <c r="BH348" s="55"/>
      <c r="BI348" s="55"/>
      <c r="BJ348" s="62"/>
      <c r="BK348" s="57" t="n">
        <v>25</v>
      </c>
      <c r="BL348" s="57" t="n">
        <v>0</v>
      </c>
      <c r="BM348" s="56" t="n">
        <v>185</v>
      </c>
      <c r="BN348" s="57" t="n">
        <v>0</v>
      </c>
      <c r="BO348" s="55"/>
      <c r="BP348" s="60" t="n">
        <v>0</v>
      </c>
      <c r="BQ348" s="60" t="n">
        <v>348</v>
      </c>
      <c r="BR348" s="55" t="str">
        <f aca="false">IF(U348&lt;&gt;"",UPPER(TRIM(U348)),IF(BU348=1,UPPER(VLOOKUP(T348,Parameter!$I$27:$K$29,2,0)),IF(P348="","LOSE",P348)))</f>
        <v>S51</v>
      </c>
      <c r="BS348" s="57" t="n">
        <f aca="false">IF(BR348="LOSE",1,IF(N(V348)&gt;0,V348,IF(BU348=1,MAX(1,N(VLOOKUP(T348,Parameter!$I$27:$K$29,3,0)),H348,N(N348)),IF(N(Q348)&gt;0,Q348,MAX(1,H348)))))</f>
        <v>25</v>
      </c>
      <c r="BT348" s="60" t="n">
        <f aca="false">IF(BR348="LOSE",1,0)</f>
        <v>0</v>
      </c>
      <c r="BU348" s="60" t="n">
        <f aca="false">IF(AND(U348="",OR(P348="",P348="LOSE"),T348&lt;&gt;"",N(S348)&lt;=0,ISNUMBER(MATCH(T348,Parameter!$I$27:$I$29,0))),1,0)</f>
        <v>1</v>
      </c>
      <c r="BV348" s="55" t="str">
        <f aca="false">IF(AND(Parameter!$B$19="Ja",E348&lt;&gt;"",ISNUMBER(MATCH(E348,Parameter!$I$35:$I$52,0))),VLOOKUP(E348,Parameter!$I$35:$J$52,2,0),IFERROR(VLOOKUP(D348,Parameter!$A$35:$C$64,2,0),"Nein"))</f>
        <v>2+3</v>
      </c>
      <c r="BW348" s="59" t="n">
        <f aca="false">IF(BT348=0,0,IF(N(S348)&gt;0,S348,IFERROR(VLOOKUP(D348,Parameter!$A$35:$C$64,3,0)+0,0)))</f>
        <v>0</v>
      </c>
      <c r="BX348" s="55" t="n">
        <f aca="false">IF(AA348&lt;&gt;"",AA348,Z348)</f>
        <v>3</v>
      </c>
      <c r="BY348" s="55" t="str">
        <f aca="false">IF(BX348=1,"L1",IF(OR(BX348=2,BX348=3),"L23",IF(BX348="Aussen","Aussen","-")))</f>
        <v>L23</v>
      </c>
      <c r="BZ348" s="66" t="n">
        <f aca="false">IF(N(AB348)&gt;0,AB348,0)</f>
        <v>0</v>
      </c>
      <c r="CA348" s="60" t="n">
        <f aca="false">IF(ISNUMBER(AE348),1,0)</f>
        <v>0</v>
      </c>
      <c r="CB348" s="57" t="n">
        <f aca="false">N(AE348)</f>
        <v>0</v>
      </c>
      <c r="CC348" s="57" t="n">
        <f aca="false">N(M348)+N(N348)</f>
        <v>1</v>
      </c>
      <c r="CD348" s="57" t="n">
        <f aca="false">ROUNDUP(H348/BS348,0)</f>
        <v>1</v>
      </c>
      <c r="CE348" s="57" t="n">
        <f aca="false">ROUNDUP(CB348/BS348,0)</f>
        <v>0</v>
      </c>
      <c r="CF348" s="60" t="n">
        <f aca="false">IF(BT348=1,0,IFERROR(VLOOKUP(BR348,'Gebinde-Kategorie'!$A$5:$M$45,5,0)+0,0))</f>
        <v>11</v>
      </c>
      <c r="CG348" s="60" t="n">
        <f aca="false">IFERROR(IF(OR(BX348=1,BX348=2,BX348=3),N(INDEX(Parameter!$I$5:$I$7,BX348)),0),0)</f>
        <v>0</v>
      </c>
      <c r="CH348" s="59" t="n">
        <f aca="false">IF(AND(Parameter!$B$21="Ja",ISNUMBER(W348),N(X348)&gt;0),IFERROR(N(INDEX(Parameter!$L$5:$L$7,W348))*INDEX(Parameter!$E$5:$E$7,W348)*X348/SUMIFS($X$7:$X$1843,$W$7:$W$1843,W348),0),0)</f>
        <v>0</v>
      </c>
    </row>
    <row r="349" customFormat="false" ht="15" hidden="false" customHeight="false" outlineLevel="0" collapsed="false">
      <c r="A349" s="55" t="s">
        <v>854</v>
      </c>
      <c r="B349" s="55" t="s">
        <v>855</v>
      </c>
      <c r="C349" s="55" t="s">
        <v>164</v>
      </c>
      <c r="D349" s="55" t="s">
        <v>184</v>
      </c>
      <c r="E349" s="55" t="s">
        <v>185</v>
      </c>
      <c r="F349" s="55" t="s">
        <v>218</v>
      </c>
      <c r="G349" s="56" t="n">
        <v>0.05</v>
      </c>
      <c r="H349" s="57" t="n">
        <f aca="false">MAX(0,IF(AND(Parameter!$B$21="Ja",ISNUMBER(Y349)),Y349,IF(Parameter!$B$20="Jahresanfang 2025 + Export",BL349+BK349,BK349)))</f>
        <v>4500</v>
      </c>
      <c r="I349" s="57" t="n">
        <f aca="false">H349*G349</f>
        <v>225</v>
      </c>
      <c r="J349" s="57" t="n">
        <f aca="false">BN349*Parameter!$B$18</f>
        <v>7399</v>
      </c>
      <c r="K349" s="58" t="n">
        <v>1074.5</v>
      </c>
      <c r="L349" s="59" t="n">
        <v>6.88599348534202</v>
      </c>
      <c r="M349" s="57" t="n">
        <v>750</v>
      </c>
      <c r="N349" s="57" t="n">
        <v>2500</v>
      </c>
      <c r="O349" s="60" t="n">
        <v>14</v>
      </c>
      <c r="P349" s="55" t="s">
        <v>186</v>
      </c>
      <c r="Q349" s="57" t="n">
        <v>3500</v>
      </c>
      <c r="R349" s="60" t="n">
        <f aca="false">IF(BT349=1,0,IFERROR(VLOOKUP(BR349,'Gebinde-Kategorie'!$A$5:$M$45,13,0)+0,0))</f>
        <v>12</v>
      </c>
      <c r="S349" s="61"/>
      <c r="T349" s="62"/>
      <c r="U349" s="62"/>
      <c r="V349" s="62"/>
      <c r="W349" s="55"/>
      <c r="X349" s="57"/>
      <c r="Y349" s="57"/>
      <c r="Z349" s="55" t="n">
        <f aca="false">IF(A349="","",IF(AND(Parameter!$B$21="Ja",ISNUMBER(W349)),W349,IF(BV349="2+3",IF(ISNUMBER(SEARCH("grosser Artikel",BO349)),2,IFERROR(VLOOKUP(BR349,Parameter!$F$35:$G$64,2,0),2)),IF(OR(BV349="Nein",BV349=""),"-",BV349))))</f>
        <v>2</v>
      </c>
      <c r="AA349" s="62"/>
      <c r="AB349" s="63"/>
      <c r="AC349" s="57" t="n">
        <f aca="false">AR349</f>
        <v>7000</v>
      </c>
      <c r="AD349" s="57" t="n">
        <f aca="false">MAX(AR349,H349)</f>
        <v>7000</v>
      </c>
      <c r="AE349" s="64"/>
      <c r="AF349" s="57" t="n">
        <f aca="false">IF(LEFT(Cockpit!$C$5,1)="A",H349,IF(CA349=1,CB349,IF(LEFT(Cockpit!$C$5,1)="B",AJ349,MAX(AJ349,H349))))</f>
        <v>4500</v>
      </c>
      <c r="AG349" s="57" t="n">
        <f aca="false">IF(BT349=1,0,ROUNDUP(AF349/BS349,0))</f>
        <v>2</v>
      </c>
      <c r="AH349" s="59" t="n">
        <f aca="false">IF(CH349&gt;0,CH349*MAX(1,AF349/X349),IF(BT349=1,IF(AF349&lt;=0,0,BW349*MAX(1,IF(H349&gt;0,AF349/H349,1))),IF(R349&gt;0,AG349/R349,0))/MAX(0.1,N(Parameter!$M$21)))</f>
        <v>0.166666666666667</v>
      </c>
      <c r="AI349" s="57" t="n">
        <f aca="false">AF349*G349</f>
        <v>225</v>
      </c>
      <c r="AJ349" s="57" t="n">
        <f aca="false">ROUNDUP(MAX(J349/IF(BZ349&gt;0,BZ349,MAX(0.1,N(Cockpit!$C$6))),CC349)/BS349,0)*BS349</f>
        <v>7000</v>
      </c>
      <c r="AK349" s="58" t="n">
        <f aca="false">IF(AH349&gt;0,J349/AH349,-1)</f>
        <v>44394</v>
      </c>
      <c r="AL349" s="58" t="n">
        <f aca="false">IF(AND(OR(BY349="L1",BY349="L23"),AH349&gt;0),SUMIFS($AH$7:$AH$1843,$BY$7:$BY$1843,BY349,$AK$7:$AK$1843,"&gt;"&amp;AK349)+SUMIFS($AH$7:$AH$1843,$BY$7:$BY$1843,BY349,$AK$7:$AK$1843,AK349,$BQ$7:$BQ$1843,"&lt;="&amp;BQ349),"")</f>
        <v>1.95082091821222</v>
      </c>
      <c r="AM349" s="65" t="n">
        <f aca="false">IF(AL349="",0,MAX(0,MIN(1,(IF(BY349="L1",Parameter!$E$5,Parameter!$E$6+Parameter!$E$7)-(AL349-AH349))/AH349)))</f>
        <v>1</v>
      </c>
      <c r="AN349" s="57" t="n">
        <f aca="false">IF(LEFT(Cockpit!$I$5,1)="A",H349,IF(CA349=1,CB349,IF(LEFT(Cockpit!$I$5,1)="B",AR349,MAX(AR349,H349))))</f>
        <v>7000</v>
      </c>
      <c r="AO349" s="57" t="n">
        <f aca="false">IF(BT349=1,0,ROUNDUP(AN349/BS349,0))</f>
        <v>2</v>
      </c>
      <c r="AP349" s="59" t="n">
        <f aca="false">IF(CH349&gt;0,CH349*MAX(1,AN349/X349),IF(BT349=1,IF(AN349&lt;=0,0,BW349*MAX(1,IF(H349&gt;0,AN349/H349,1))),IF(R349&gt;0,AO349/R349,0))/MAX(0.1,N(Parameter!$M$21)))</f>
        <v>0.166666666666667</v>
      </c>
      <c r="AQ349" s="57" t="n">
        <f aca="false">AN349*G349</f>
        <v>350</v>
      </c>
      <c r="AR349" s="57" t="n">
        <f aca="false">ROUNDUP(MAX(J349/IF(BZ349&gt;0,BZ349,MAX(0.1,N(Cockpit!$I$6))),CC349)/BS349,0)*BS349</f>
        <v>7000</v>
      </c>
      <c r="AS349" s="58" t="n">
        <f aca="false">IF(AP349&gt;0,J349/AP349,-1)</f>
        <v>44394</v>
      </c>
      <c r="AT349" s="58" t="n">
        <f aca="false">IF(AND(OR(BY349="L1",BY349="L23"),AP349&gt;0),SUMIFS($AP$7:$AP$1843,$BY$7:$BY$1843,BY349,$AS$7:$AS$1843,"&gt;"&amp;AS349)+SUMIFS($AP$7:$AP$1843,$BY$7:$BY$1843,BY349,$AS$7:$AS$1843,AS349,$BQ$7:$BQ$1843,"&lt;="&amp;BQ349),"")</f>
        <v>1.90306915306915</v>
      </c>
      <c r="AU349" s="65" t="n">
        <f aca="false">IF(AT349="",0,MAX(0,MIN(1,(IF(BY349="L1",Parameter!$E$5,Parameter!$E$6+Parameter!$E$7)-(AT349-AP349))/AP349)))</f>
        <v>1</v>
      </c>
      <c r="AV349" s="57" t="n">
        <f aca="false">IF(LEFT(Cockpit!$O$5,1)="A",H349,IF(CA349=1,CB349,IF(LEFT(Cockpit!$O$5,1)="B",AZ349,MAX(AZ349,H349))))</f>
        <v>4500</v>
      </c>
      <c r="AW349" s="57" t="n">
        <f aca="false">IF(BT349=1,0,ROUNDUP(AV349/BS349,0))</f>
        <v>2</v>
      </c>
      <c r="AX349" s="59" t="n">
        <f aca="false">IF(CH349&gt;0,CH349*MAX(1,AV349/X349),IF(BT349=1,IF(AV349&lt;=0,0,BW349*MAX(1,IF(H349&gt;0,AV349/H349,1))),IF(R349&gt;0,AW349/R349,0))/MAX(0.1,N(Parameter!$M$21)))</f>
        <v>0.166666666666667</v>
      </c>
      <c r="AY349" s="57" t="n">
        <f aca="false">AV349*G349</f>
        <v>225</v>
      </c>
      <c r="AZ349" s="57" t="n">
        <f aca="false">ROUNDUP(MAX(J349/IF(BZ349&gt;0,BZ349,MAX(0.1,N(Cockpit!$O$6))),CC349)/BS349,0)*BS349</f>
        <v>3500</v>
      </c>
      <c r="BA349" s="58" t="n">
        <f aca="false">IF(AX349&gt;0,J349/AX349,-1)</f>
        <v>44394</v>
      </c>
      <c r="BB349" s="58" t="n">
        <f aca="false">IF(AND(OR(BY349="L1",BY349="L23"),AX349&gt;0),SUMIFS($AX$7:$AX$1843,$BY$7:$BY$1843,BY349,$BA$7:$BA$1843,"&gt;"&amp;BA349)+SUMIFS($AX$7:$AX$1843,$BY$7:$BY$1843,BY349,$BA$7:$BA$1843,BA349,$BQ$7:$BQ$1843,"&lt;="&amp;BQ349),"")</f>
        <v>2.19386169386169</v>
      </c>
      <c r="BC349" s="65" t="n">
        <f aca="false">IF(BB349="",0,MAX(0,MIN(1,(IF(BY349="L1",Parameter!$E$5,Parameter!$E$6+Parameter!$E$7)-(BB349-AX349))/AX349)))</f>
        <v>1</v>
      </c>
      <c r="BD349" s="55" t="str">
        <f aca="false">IF(AH349&lt;=0,"",IF(BY349="Aussen","Aussenlager",IF(BY349="-","Nicht im Lift",IF(AM349&gt;=1,"Lift",IF(AM349&lt;=0,"Aussenlager","teilweise")))))</f>
        <v>Lift</v>
      </c>
      <c r="BE349" s="55" t="str">
        <f aca="false">IF(AP349&lt;=0,"",IF(BY349="Aussen","Aussenlager",IF(BY349="-","Nicht im Lift",IF(AU349&gt;=1,"Lift",IF(AU349&lt;=0,"Aussenlager","teilweise")))))</f>
        <v>Lift</v>
      </c>
      <c r="BF349" s="55" t="str">
        <f aca="false">IF(AX349&lt;=0,"",IF(BY349="Aussen","Aussenlager",IF(BY349="-","Nicht im Lift",IF(BC349&gt;=1,"Lift",IF(BC349&lt;=0,"Aussenlager","teilweise")))))</f>
        <v>Lift</v>
      </c>
      <c r="BG349" s="55" t="str">
        <f aca="false">IF(A349="","",IF(BP349=1,"Neu; ","")&amp;IF(AND(BP349=0,BK349&lt;0),"negativer Bestand (Export "&amp;BK349&amp;"); ","")&amp;IF(J349&lt;=0,"Kein Verbrauch; ","")&amp;IF(CH349&gt;0,"Lift "&amp;W349&amp;" lt. Liftbericht (Fach "&amp;X349&amp;" Stk); ",IF(BU349=1,"Gebinde geschätzt ("&amp;T349&amp;"); ",IF(BT349=1,"Lose – Tablare geschätzt; ","")))&amp;IF(H349&gt;AR349,"Überbestand "&amp;ROUND(H349-AR349,0)&amp;" Stk / CHF "&amp;ROUND((H349-AR349)*G349,0)&amp;"; ","")&amp;IF(AND(CA349=1,CB349&lt;CC349),"MAX &lt; MB+LG; ","")&amp;IF(AND(CG349&gt;0,CF349*10&gt;CG349),"zu hoch für Tablar; ","")&amp;IF(AND(BP349=0,OR(CA349=1,AA349&lt;&gt;"",U349&lt;&gt;"",V349&lt;&gt;"",AB349&lt;&gt;"")),"manuell übersteuert; ","")&amp;IF(AND(BT349=0,R349=0),"Gebinde unbekannt / Stellmass fehlt; ","")&amp;IF(AND(BT349=0,N(V349)&lt;=0,N(Q349)&lt;=0),"Menge pro Gebinde fehlt (Ist = 1 Gebinde); ","")&amp;BO349)</f>
        <v/>
      </c>
      <c r="BH349" s="55"/>
      <c r="BI349" s="55"/>
      <c r="BJ349" s="62"/>
      <c r="BK349" s="57" t="n">
        <v>3601</v>
      </c>
      <c r="BL349" s="57" t="n">
        <v>899</v>
      </c>
      <c r="BM349" s="56" t="n">
        <v>184.04</v>
      </c>
      <c r="BN349" s="57" t="n">
        <v>7399</v>
      </c>
      <c r="BO349" s="55"/>
      <c r="BP349" s="60" t="n">
        <v>0</v>
      </c>
      <c r="BQ349" s="60" t="n">
        <v>349</v>
      </c>
      <c r="BR349" s="55" t="str">
        <f aca="false">IF(U349&lt;&gt;"",UPPER(TRIM(U349)),IF(BU349=1,UPPER(VLOOKUP(T349,Parameter!$I$27:$K$29,2,0)),IF(P349="","LOSE",P349)))</f>
        <v>S61</v>
      </c>
      <c r="BS349" s="57" t="n">
        <f aca="false">IF(BR349="LOSE",1,IF(N(V349)&gt;0,V349,IF(BU349=1,MAX(1,N(VLOOKUP(T349,Parameter!$I$27:$K$29,3,0)),H349,N(N349)),IF(N(Q349)&gt;0,Q349,MAX(1,H349)))))</f>
        <v>3500</v>
      </c>
      <c r="BT349" s="60" t="n">
        <f aca="false">IF(BR349="LOSE",1,0)</f>
        <v>0</v>
      </c>
      <c r="BU349" s="60" t="n">
        <f aca="false">IF(AND(U349="",OR(P349="",P349="LOSE"),T349&lt;&gt;"",N(S349)&lt;=0,ISNUMBER(MATCH(T349,Parameter!$I$27:$I$29,0))),1,0)</f>
        <v>0</v>
      </c>
      <c r="BV349" s="55" t="str">
        <f aca="false">IF(AND(Parameter!$B$19="Ja",E349&lt;&gt;"",ISNUMBER(MATCH(E349,Parameter!$I$35:$I$52,0))),VLOOKUP(E349,Parameter!$I$35:$J$52,2,0),IFERROR(VLOOKUP(D349,Parameter!$A$35:$C$64,2,0),"Nein"))</f>
        <v>2+3</v>
      </c>
      <c r="BW349" s="59" t="n">
        <f aca="false">IF(BT349=0,0,IF(N(S349)&gt;0,S349,IFERROR(VLOOKUP(D349,Parameter!$A$35:$C$64,3,0)+0,0)))</f>
        <v>0</v>
      </c>
      <c r="BX349" s="55" t="n">
        <f aca="false">IF(AA349&lt;&gt;"",AA349,Z349)</f>
        <v>2</v>
      </c>
      <c r="BY349" s="55" t="str">
        <f aca="false">IF(BX349=1,"L1",IF(OR(BX349=2,BX349=3),"L23",IF(BX349="Aussen","Aussen","-")))</f>
        <v>L23</v>
      </c>
      <c r="BZ349" s="66" t="n">
        <f aca="false">IF(N(AB349)&gt;0,AB349,0)</f>
        <v>0</v>
      </c>
      <c r="CA349" s="60" t="n">
        <f aca="false">IF(ISNUMBER(AE349),1,0)</f>
        <v>0</v>
      </c>
      <c r="CB349" s="57" t="n">
        <f aca="false">N(AE349)</f>
        <v>0</v>
      </c>
      <c r="CC349" s="57" t="n">
        <f aca="false">N(M349)+N(N349)</f>
        <v>3250</v>
      </c>
      <c r="CD349" s="57" t="n">
        <f aca="false">ROUNDUP(H349/BS349,0)</f>
        <v>2</v>
      </c>
      <c r="CE349" s="57" t="n">
        <f aca="false">ROUNDUP(CB349/BS349,0)</f>
        <v>0</v>
      </c>
      <c r="CF349" s="60" t="n">
        <f aca="false">IF(BT349=1,0,IFERROR(VLOOKUP(BR349,'Gebinde-Kategorie'!$A$5:$M$45,5,0)+0,0))</f>
        <v>11</v>
      </c>
      <c r="CG349" s="60" t="n">
        <f aca="false">IFERROR(IF(OR(BX349=1,BX349=2,BX349=3),N(INDEX(Parameter!$I$5:$I$7,BX349)),0),0)</f>
        <v>0</v>
      </c>
      <c r="CH349" s="59" t="n">
        <f aca="false">IF(AND(Parameter!$B$21="Ja",ISNUMBER(W349),N(X349)&gt;0),IFERROR(N(INDEX(Parameter!$L$5:$L$7,W349))*INDEX(Parameter!$E$5:$E$7,W349)*X349/SUMIFS($X$7:$X$1843,$W$7:$W$1843,W349),0),0)</f>
        <v>0</v>
      </c>
    </row>
    <row r="350" customFormat="false" ht="15" hidden="false" customHeight="false" outlineLevel="0" collapsed="false">
      <c r="A350" s="55" t="s">
        <v>856</v>
      </c>
      <c r="B350" s="55" t="s">
        <v>857</v>
      </c>
      <c r="C350" s="55" t="s">
        <v>164</v>
      </c>
      <c r="D350" s="55" t="s">
        <v>184</v>
      </c>
      <c r="E350" s="55"/>
      <c r="F350" s="55" t="s">
        <v>218</v>
      </c>
      <c r="G350" s="56" t="n">
        <v>42.95</v>
      </c>
      <c r="H350" s="57" t="n">
        <f aca="false">MAX(0,IF(AND(Parameter!$B$21="Ja",ISNUMBER(Y350)),Y350,IF(Parameter!$B$20="Jahresanfang 2025 + Export",BL350+BK350,BK350)))</f>
        <v>15</v>
      </c>
      <c r="I350" s="57" t="n">
        <f aca="false">H350*G350</f>
        <v>644.25</v>
      </c>
      <c r="J350" s="57" t="n">
        <f aca="false">BN350*Parameter!$B$18</f>
        <v>10</v>
      </c>
      <c r="K350" s="58" t="n">
        <v>15.5</v>
      </c>
      <c r="L350" s="59" t="n">
        <v>0.645161290322581</v>
      </c>
      <c r="M350" s="57" t="n">
        <v>0</v>
      </c>
      <c r="N350" s="57" t="n">
        <v>10</v>
      </c>
      <c r="O350" s="60" t="n">
        <v>35</v>
      </c>
      <c r="P350" s="55" t="s">
        <v>421</v>
      </c>
      <c r="Q350" s="57" t="n">
        <v>18</v>
      </c>
      <c r="R350" s="60" t="n">
        <f aca="false">IF(BT350=1,0,IFERROR(VLOOKUP(BR350,'Gebinde-Kategorie'!$A$5:$M$45,13,0)+0,0))</f>
        <v>132</v>
      </c>
      <c r="S350" s="61"/>
      <c r="T350" s="62"/>
      <c r="U350" s="62"/>
      <c r="V350" s="62"/>
      <c r="W350" s="55"/>
      <c r="X350" s="57"/>
      <c r="Y350" s="57"/>
      <c r="Z350" s="55" t="n">
        <f aca="false">IF(A350="","",IF(AND(Parameter!$B$21="Ja",ISNUMBER(W350)),W350,IF(BV350="2+3",IF(ISNUMBER(SEARCH("grosser Artikel",BO350)),2,IFERROR(VLOOKUP(BR350,Parameter!$F$35:$G$64,2,0),2)),IF(OR(BV350="Nein",BV350=""),"-",BV350))))</f>
        <v>3</v>
      </c>
      <c r="AA350" s="62"/>
      <c r="AB350" s="63"/>
      <c r="AC350" s="57" t="n">
        <f aca="false">AR350</f>
        <v>18</v>
      </c>
      <c r="AD350" s="57" t="n">
        <f aca="false">MAX(AR350,H350)</f>
        <v>18</v>
      </c>
      <c r="AE350" s="64"/>
      <c r="AF350" s="57" t="n">
        <f aca="false">IF(LEFT(Cockpit!$C$5,1)="A",H350,IF(CA350=1,CB350,IF(LEFT(Cockpit!$C$5,1)="B",AJ350,MAX(AJ350,H350))))</f>
        <v>15</v>
      </c>
      <c r="AG350" s="57" t="n">
        <f aca="false">IF(BT350=1,0,ROUNDUP(AF350/BS350,0))</f>
        <v>1</v>
      </c>
      <c r="AH350" s="59" t="n">
        <f aca="false">IF(CH350&gt;0,CH350*MAX(1,AF350/X350),IF(BT350=1,IF(AF350&lt;=0,0,BW350*MAX(1,IF(H350&gt;0,AF350/H350,1))),IF(R350&gt;0,AG350/R350,0))/MAX(0.1,N(Parameter!$M$21)))</f>
        <v>0.00757575757575758</v>
      </c>
      <c r="AI350" s="57" t="n">
        <f aca="false">AF350*G350</f>
        <v>644.25</v>
      </c>
      <c r="AJ350" s="57" t="n">
        <f aca="false">ROUNDUP(MAX(J350/IF(BZ350&gt;0,BZ350,MAX(0.1,N(Cockpit!$C$6))),CC350)/BS350,0)*BS350</f>
        <v>18</v>
      </c>
      <c r="AK350" s="58" t="n">
        <f aca="false">IF(AH350&gt;0,J350/AH350,-1)</f>
        <v>1320</v>
      </c>
      <c r="AL350" s="58" t="n">
        <f aca="false">IF(AND(OR(BY350="L1",BY350="L23"),AH350&gt;0),SUMIFS($AH$7:$AH$1843,$BY$7:$BY$1843,BY350,$AK$7:$AK$1843,"&gt;"&amp;AK350)+SUMIFS($AH$7:$AH$1843,$BY$7:$BY$1843,BY350,$AK$7:$AK$1843,AK350,$BQ$7:$BQ$1843,"&lt;="&amp;BQ350),"")</f>
        <v>16.3296003513395</v>
      </c>
      <c r="AM350" s="65" t="n">
        <f aca="false">IF(AL350="",0,MAX(0,MIN(1,(IF(BY350="L1",Parameter!$E$5,Parameter!$E$6+Parameter!$E$7)-(AL350-AH350))/AH350)))</f>
        <v>1</v>
      </c>
      <c r="AN350" s="57" t="n">
        <f aca="false">IF(LEFT(Cockpit!$I$5,1)="A",H350,IF(CA350=1,CB350,IF(LEFT(Cockpit!$I$5,1)="B",AR350,MAX(AR350,H350))))</f>
        <v>18</v>
      </c>
      <c r="AO350" s="57" t="n">
        <f aca="false">IF(BT350=1,0,ROUNDUP(AN350/BS350,0))</f>
        <v>1</v>
      </c>
      <c r="AP350" s="59" t="n">
        <f aca="false">IF(CH350&gt;0,CH350*MAX(1,AN350/X350),IF(BT350=1,IF(AN350&lt;=0,0,BW350*MAX(1,IF(H350&gt;0,AN350/H350,1))),IF(R350&gt;0,AO350/R350,0))/MAX(0.1,N(Parameter!$M$21)))</f>
        <v>0.00757575757575758</v>
      </c>
      <c r="AQ350" s="57" t="n">
        <f aca="false">AN350*G350</f>
        <v>773.1</v>
      </c>
      <c r="AR350" s="57" t="n">
        <f aca="false">ROUNDUP(MAX(J350/IF(BZ350&gt;0,BZ350,MAX(0.1,N(Cockpit!$I$6))),CC350)/BS350,0)*BS350</f>
        <v>18</v>
      </c>
      <c r="AS350" s="58" t="n">
        <f aca="false">IF(AP350&gt;0,J350/AP350,-1)</f>
        <v>1320</v>
      </c>
      <c r="AT350" s="58" t="n">
        <f aca="false">IF(AND(OR(BY350="L1",BY350="L23"),AP350&gt;0),SUMIFS($AP$7:$AP$1843,$BY$7:$BY$1843,BY350,$AS$7:$AS$1843,"&gt;"&amp;AS350)+SUMIFS($AP$7:$AP$1843,$BY$7:$BY$1843,BY350,$AS$7:$AS$1843,AS350,$BQ$7:$BQ$1843,"&lt;="&amp;BQ350),"")</f>
        <v>21.8083257322388</v>
      </c>
      <c r="AU350" s="65" t="n">
        <f aca="false">IF(AT350="",0,MAX(0,MIN(1,(IF(BY350="L1",Parameter!$E$5,Parameter!$E$6+Parameter!$E$7)-(AT350-AP350))/AP350)))</f>
        <v>1</v>
      </c>
      <c r="AV350" s="57" t="n">
        <f aca="false">IF(LEFT(Cockpit!$O$5,1)="A",H350,IF(CA350=1,CB350,IF(LEFT(Cockpit!$O$5,1)="B",AZ350,MAX(AZ350,H350))))</f>
        <v>18</v>
      </c>
      <c r="AW350" s="57" t="n">
        <f aca="false">IF(BT350=1,0,ROUNDUP(AV350/BS350,0))</f>
        <v>1</v>
      </c>
      <c r="AX350" s="59" t="n">
        <f aca="false">IF(CH350&gt;0,CH350*MAX(1,AV350/X350),IF(BT350=1,IF(AV350&lt;=0,0,BW350*MAX(1,IF(H350&gt;0,AV350/H350,1))),IF(R350&gt;0,AW350/R350,0))/MAX(0.1,N(Parameter!$M$21)))</f>
        <v>0.00757575757575758</v>
      </c>
      <c r="AY350" s="57" t="n">
        <f aca="false">AV350*G350</f>
        <v>773.1</v>
      </c>
      <c r="AZ350" s="57" t="n">
        <f aca="false">ROUNDUP(MAX(J350/IF(BZ350&gt;0,BZ350,MAX(0.1,N(Cockpit!$O$6))),CC350)/BS350,0)*BS350</f>
        <v>18</v>
      </c>
      <c r="BA350" s="58" t="n">
        <f aca="false">IF(AX350&gt;0,J350/AX350,-1)</f>
        <v>1320</v>
      </c>
      <c r="BB350" s="58" t="n">
        <f aca="false">IF(AND(OR(BY350="L1",BY350="L23"),AX350&gt;0),SUMIFS($AX$7:$AX$1843,$BY$7:$BY$1843,BY350,$BA$7:$BA$1843,"&gt;"&amp;BA350)+SUMIFS($AX$7:$AX$1843,$BY$7:$BY$1843,BY350,$BA$7:$BA$1843,BA350,$BQ$7:$BQ$1843,"&lt;="&amp;BQ350),"")</f>
        <v>20.5035471774602</v>
      </c>
      <c r="BC350" s="65" t="n">
        <f aca="false">IF(BB350="",0,MAX(0,MIN(1,(IF(BY350="L1",Parameter!$E$5,Parameter!$E$6+Parameter!$E$7)-(BB350-AX350))/AX350)))</f>
        <v>1</v>
      </c>
      <c r="BD350" s="55" t="str">
        <f aca="false">IF(AH350&lt;=0,"",IF(BY350="Aussen","Aussenlager",IF(BY350="-","Nicht im Lift",IF(AM350&gt;=1,"Lift",IF(AM350&lt;=0,"Aussenlager","teilweise")))))</f>
        <v>Lift</v>
      </c>
      <c r="BE350" s="55" t="str">
        <f aca="false">IF(AP350&lt;=0,"",IF(BY350="Aussen","Aussenlager",IF(BY350="-","Nicht im Lift",IF(AU350&gt;=1,"Lift",IF(AU350&lt;=0,"Aussenlager","teilweise")))))</f>
        <v>Lift</v>
      </c>
      <c r="BF350" s="55" t="str">
        <f aca="false">IF(AX350&lt;=0,"",IF(BY350="Aussen","Aussenlager",IF(BY350="-","Nicht im Lift",IF(BC350&gt;=1,"Lift",IF(BC350&lt;=0,"Aussenlager","teilweise")))))</f>
        <v>Lift</v>
      </c>
      <c r="BG350" s="55" t="str">
        <f aca="false">IF(A350="","",IF(BP350=1,"Neu; ","")&amp;IF(AND(BP350=0,BK350&lt;0),"negativer Bestand (Export "&amp;BK350&amp;"); ","")&amp;IF(J350&lt;=0,"Kein Verbrauch; ","")&amp;IF(CH350&gt;0,"Lift "&amp;W350&amp;" lt. Liftbericht (Fach "&amp;X350&amp;" Stk); ",IF(BU350=1,"Gebinde geschätzt ("&amp;T350&amp;"); ",IF(BT350=1,"Lose – Tablare geschätzt; ","")))&amp;IF(H350&gt;AR350,"Überbestand "&amp;ROUND(H350-AR350,0)&amp;" Stk / CHF "&amp;ROUND((H350-AR350)*G350,0)&amp;"; ","")&amp;IF(AND(CA350=1,CB350&lt;CC350),"MAX &lt; MB+LG; ","")&amp;IF(AND(CG350&gt;0,CF350*10&gt;CG350),"zu hoch für Tablar; ","")&amp;IF(AND(BP350=0,OR(CA350=1,AA350&lt;&gt;"",U350&lt;&gt;"",V350&lt;&gt;"",AB350&lt;&gt;"")),"manuell übersteuert; ","")&amp;IF(AND(BT350=0,R350=0),"Gebinde unbekannt / Stellmass fehlt; ","")&amp;IF(AND(BT350=0,N(V350)&lt;=0,N(Q350)&lt;=0),"Menge pro Gebinde fehlt (Ist = 1 Gebinde); ","")&amp;BO350)</f>
        <v/>
      </c>
      <c r="BH350" s="55"/>
      <c r="BI350" s="55"/>
      <c r="BJ350" s="62"/>
      <c r="BK350" s="57" t="n">
        <v>4</v>
      </c>
      <c r="BL350" s="57" t="n">
        <v>11</v>
      </c>
      <c r="BM350" s="56" t="n">
        <v>178.84</v>
      </c>
      <c r="BN350" s="57" t="n">
        <v>10</v>
      </c>
      <c r="BO350" s="55"/>
      <c r="BP350" s="60" t="n">
        <v>0</v>
      </c>
      <c r="BQ350" s="60" t="n">
        <v>350</v>
      </c>
      <c r="BR350" s="55" t="str">
        <f aca="false">IF(U350&lt;&gt;"",UPPER(TRIM(U350)),IF(BU350=1,UPPER(VLOOKUP(T350,Parameter!$I$27:$K$29,2,0)),IF(P350="","LOSE",P350)))</f>
        <v>S32</v>
      </c>
      <c r="BS350" s="57" t="n">
        <f aca="false">IF(BR350="LOSE",1,IF(N(V350)&gt;0,V350,IF(BU350=1,MAX(1,N(VLOOKUP(T350,Parameter!$I$27:$K$29,3,0)),H350,N(N350)),IF(N(Q350)&gt;0,Q350,MAX(1,H350)))))</f>
        <v>18</v>
      </c>
      <c r="BT350" s="60" t="n">
        <f aca="false">IF(BR350="LOSE",1,0)</f>
        <v>0</v>
      </c>
      <c r="BU350" s="60" t="n">
        <f aca="false">IF(AND(U350="",OR(P350="",P350="LOSE"),T350&lt;&gt;"",N(S350)&lt;=0,ISNUMBER(MATCH(T350,Parameter!$I$27:$I$29,0))),1,0)</f>
        <v>0</v>
      </c>
      <c r="BV350" s="55" t="str">
        <f aca="false">IF(AND(Parameter!$B$19="Ja",E350&lt;&gt;"",ISNUMBER(MATCH(E350,Parameter!$I$35:$I$52,0))),VLOOKUP(E350,Parameter!$I$35:$J$52,2,0),IFERROR(VLOOKUP(D350,Parameter!$A$35:$C$64,2,0),"Nein"))</f>
        <v>2+3</v>
      </c>
      <c r="BW350" s="59" t="n">
        <f aca="false">IF(BT350=0,0,IF(N(S350)&gt;0,S350,IFERROR(VLOOKUP(D350,Parameter!$A$35:$C$64,3,0)+0,0)))</f>
        <v>0</v>
      </c>
      <c r="BX350" s="55" t="n">
        <f aca="false">IF(AA350&lt;&gt;"",AA350,Z350)</f>
        <v>3</v>
      </c>
      <c r="BY350" s="55" t="str">
        <f aca="false">IF(BX350=1,"L1",IF(OR(BX350=2,BX350=3),"L23",IF(BX350="Aussen","Aussen","-")))</f>
        <v>L23</v>
      </c>
      <c r="BZ350" s="66" t="n">
        <f aca="false">IF(N(AB350)&gt;0,AB350,0)</f>
        <v>0</v>
      </c>
      <c r="CA350" s="60" t="n">
        <f aca="false">IF(ISNUMBER(AE350),1,0)</f>
        <v>0</v>
      </c>
      <c r="CB350" s="57" t="n">
        <f aca="false">N(AE350)</f>
        <v>0</v>
      </c>
      <c r="CC350" s="57" t="n">
        <f aca="false">N(M350)+N(N350)</f>
        <v>10</v>
      </c>
      <c r="CD350" s="57" t="n">
        <f aca="false">ROUNDUP(H350/BS350,0)</f>
        <v>1</v>
      </c>
      <c r="CE350" s="57" t="n">
        <f aca="false">ROUNDUP(CB350/BS350,0)</f>
        <v>0</v>
      </c>
      <c r="CF350" s="60" t="n">
        <f aca="false">IF(BT350=1,0,IFERROR(VLOOKUP(BR350,'Gebinde-Kategorie'!$A$5:$M$45,5,0)+0,0))</f>
        <v>8</v>
      </c>
      <c r="CG350" s="60" t="n">
        <f aca="false">IFERROR(IF(OR(BX350=1,BX350=2,BX350=3),N(INDEX(Parameter!$I$5:$I$7,BX350)),0),0)</f>
        <v>0</v>
      </c>
      <c r="CH350" s="59" t="n">
        <f aca="false">IF(AND(Parameter!$B$21="Ja",ISNUMBER(W350),N(X350)&gt;0),IFERROR(N(INDEX(Parameter!$L$5:$L$7,W350))*INDEX(Parameter!$E$5:$E$7,W350)*X350/SUMIFS($X$7:$X$1843,$W$7:$W$1843,W350),0),0)</f>
        <v>0</v>
      </c>
    </row>
    <row r="351" customFormat="false" ht="15" hidden="false" customHeight="false" outlineLevel="0" collapsed="false">
      <c r="A351" s="55" t="s">
        <v>858</v>
      </c>
      <c r="B351" s="55" t="s">
        <v>859</v>
      </c>
      <c r="C351" s="55" t="s">
        <v>164</v>
      </c>
      <c r="D351" s="55" t="s">
        <v>184</v>
      </c>
      <c r="E351" s="55"/>
      <c r="F351" s="55" t="s">
        <v>218</v>
      </c>
      <c r="G351" s="56" t="n">
        <v>6.12</v>
      </c>
      <c r="H351" s="57" t="n">
        <f aca="false">MAX(0,IF(AND(Parameter!$B$21="Ja",ISNUMBER(Y351)),Y351,IF(Parameter!$B$20="Jahresanfang 2025 + Export",BL351+BK351,BK351)))</f>
        <v>155</v>
      </c>
      <c r="I351" s="57" t="n">
        <f aca="false">H351*G351</f>
        <v>948.6</v>
      </c>
      <c r="J351" s="57" t="n">
        <f aca="false">BN351*Parameter!$B$18</f>
        <v>11</v>
      </c>
      <c r="K351" s="58" t="n">
        <v>142</v>
      </c>
      <c r="L351" s="59" t="n">
        <v>0.0774647887323944</v>
      </c>
      <c r="M351" s="57" t="n">
        <v>1</v>
      </c>
      <c r="N351" s="57" t="n">
        <v>10</v>
      </c>
      <c r="O351" s="60" t="n">
        <v>56</v>
      </c>
      <c r="P351" s="55" t="s">
        <v>186</v>
      </c>
      <c r="Q351" s="57" t="n">
        <v>155</v>
      </c>
      <c r="R351" s="60" t="n">
        <f aca="false">IF(BT351=1,0,IFERROR(VLOOKUP(BR351,'Gebinde-Kategorie'!$A$5:$M$45,13,0)+0,0))</f>
        <v>12</v>
      </c>
      <c r="S351" s="61"/>
      <c r="T351" s="62"/>
      <c r="U351" s="62"/>
      <c r="V351" s="62"/>
      <c r="W351" s="55"/>
      <c r="X351" s="57"/>
      <c r="Y351" s="57"/>
      <c r="Z351" s="55" t="n">
        <f aca="false">IF(A351="","",IF(AND(Parameter!$B$21="Ja",ISNUMBER(W351)),W351,IF(BV351="2+3",IF(ISNUMBER(SEARCH("grosser Artikel",BO351)),2,IFERROR(VLOOKUP(BR351,Parameter!$F$35:$G$64,2,0),2)),IF(OR(BV351="Nein",BV351=""),"-",BV351))))</f>
        <v>2</v>
      </c>
      <c r="AA351" s="62"/>
      <c r="AB351" s="63"/>
      <c r="AC351" s="57" t="n">
        <f aca="false">AR351</f>
        <v>155</v>
      </c>
      <c r="AD351" s="57" t="n">
        <f aca="false">MAX(AR351,H351)</f>
        <v>155</v>
      </c>
      <c r="AE351" s="64"/>
      <c r="AF351" s="57" t="n">
        <f aca="false">IF(LEFT(Cockpit!$C$5,1)="A",H351,IF(CA351=1,CB351,IF(LEFT(Cockpit!$C$5,1)="B",AJ351,MAX(AJ351,H351))))</f>
        <v>155</v>
      </c>
      <c r="AG351" s="57" t="n">
        <f aca="false">IF(BT351=1,0,ROUNDUP(AF351/BS351,0))</f>
        <v>1</v>
      </c>
      <c r="AH351" s="59" t="n">
        <f aca="false">IF(CH351&gt;0,CH351*MAX(1,AF351/X351),IF(BT351=1,IF(AF351&lt;=0,0,BW351*MAX(1,IF(H351&gt;0,AF351/H351,1))),IF(R351&gt;0,AG351/R351,0))/MAX(0.1,N(Parameter!$M$21)))</f>
        <v>0.0833333333333333</v>
      </c>
      <c r="AI351" s="57" t="n">
        <f aca="false">AF351*G351</f>
        <v>948.6</v>
      </c>
      <c r="AJ351" s="57" t="n">
        <f aca="false">ROUNDUP(MAX(J351/IF(BZ351&gt;0,BZ351,MAX(0.1,N(Cockpit!$C$6))),CC351)/BS351,0)*BS351</f>
        <v>155</v>
      </c>
      <c r="AK351" s="58" t="n">
        <f aca="false">IF(AH351&gt;0,J351/AH351,-1)</f>
        <v>132</v>
      </c>
      <c r="AL351" s="58" t="n">
        <f aca="false">IF(AND(OR(BY351="L1",BY351="L23"),AH351&gt;0),SUMIFS($AH$7:$AH$1843,$BY$7:$BY$1843,BY351,$AK$7:$AK$1843,"&gt;"&amp;AK351)+SUMIFS($AH$7:$AH$1843,$BY$7:$BY$1843,BY351,$AK$7:$AK$1843,AK351,$BQ$7:$BQ$1843,"&lt;="&amp;BQ351),"")</f>
        <v>36.1827809871288</v>
      </c>
      <c r="AM351" s="65" t="n">
        <f aca="false">IF(AL351="",0,MAX(0,MIN(1,(IF(BY351="L1",Parameter!$E$5,Parameter!$E$6+Parameter!$E$7)-(AL351-AH351))/AH351)))</f>
        <v>1</v>
      </c>
      <c r="AN351" s="57" t="n">
        <f aca="false">IF(LEFT(Cockpit!$I$5,1)="A",H351,IF(CA351=1,CB351,IF(LEFT(Cockpit!$I$5,1)="B",AR351,MAX(AR351,H351))))</f>
        <v>155</v>
      </c>
      <c r="AO351" s="57" t="n">
        <f aca="false">IF(BT351=1,0,ROUNDUP(AN351/BS351,0))</f>
        <v>1</v>
      </c>
      <c r="AP351" s="59" t="n">
        <f aca="false">IF(CH351&gt;0,CH351*MAX(1,AN351/X351),IF(BT351=1,IF(AN351&lt;=0,0,BW351*MAX(1,IF(H351&gt;0,AN351/H351,1))),IF(R351&gt;0,AO351/R351,0))/MAX(0.1,N(Parameter!$M$21)))</f>
        <v>0.0833333333333333</v>
      </c>
      <c r="AQ351" s="57" t="n">
        <f aca="false">AN351*G351</f>
        <v>948.6</v>
      </c>
      <c r="AR351" s="57" t="n">
        <f aca="false">ROUNDUP(MAX(J351/IF(BZ351&gt;0,BZ351,MAX(0.1,N(Cockpit!$I$6))),CC351)/BS351,0)*BS351</f>
        <v>155</v>
      </c>
      <c r="AS351" s="58" t="n">
        <f aca="false">IF(AP351&gt;0,J351/AP351,-1)</f>
        <v>132</v>
      </c>
      <c r="AT351" s="58" t="n">
        <f aca="false">IF(AND(OR(BY351="L1",BY351="L23"),AP351&gt;0),SUMIFS($AP$7:$AP$1843,$BY$7:$BY$1843,BY351,$AS$7:$AS$1843,"&gt;"&amp;AS351)+SUMIFS($AP$7:$AP$1843,$BY$7:$BY$1843,BY351,$AS$7:$AS$1843,AS351,$BQ$7:$BQ$1843,"&lt;="&amp;BQ351),"")</f>
        <v>51.9151802303976</v>
      </c>
      <c r="AU351" s="65" t="n">
        <f aca="false">IF(AT351="",0,MAX(0,MIN(1,(IF(BY351="L1",Parameter!$E$5,Parameter!$E$6+Parameter!$E$7)-(AT351-AP351))/AP351)))</f>
        <v>1</v>
      </c>
      <c r="AV351" s="57" t="n">
        <f aca="false">IF(LEFT(Cockpit!$O$5,1)="A",H351,IF(CA351=1,CB351,IF(LEFT(Cockpit!$O$5,1)="B",AZ351,MAX(AZ351,H351))))</f>
        <v>155</v>
      </c>
      <c r="AW351" s="57" t="n">
        <f aca="false">IF(BT351=1,0,ROUNDUP(AV351/BS351,0))</f>
        <v>1</v>
      </c>
      <c r="AX351" s="59" t="n">
        <f aca="false">IF(CH351&gt;0,CH351*MAX(1,AV351/X351),IF(BT351=1,IF(AV351&lt;=0,0,BW351*MAX(1,IF(H351&gt;0,AV351/H351,1))),IF(R351&gt;0,AW351/R351,0))/MAX(0.1,N(Parameter!$M$21)))</f>
        <v>0.0833333333333333</v>
      </c>
      <c r="AY351" s="57" t="n">
        <f aca="false">AV351*G351</f>
        <v>948.6</v>
      </c>
      <c r="AZ351" s="57" t="n">
        <f aca="false">ROUNDUP(MAX(J351/IF(BZ351&gt;0,BZ351,MAX(0.1,N(Cockpit!$O$6))),CC351)/BS351,0)*BS351</f>
        <v>155</v>
      </c>
      <c r="BA351" s="58" t="n">
        <f aca="false">IF(AX351&gt;0,J351/AX351,-1)</f>
        <v>132</v>
      </c>
      <c r="BB351" s="58" t="n">
        <f aca="false">IF(AND(OR(BY351="L1",BY351="L23"),AX351&gt;0),SUMIFS($AX$7:$AX$1843,$BY$7:$BY$1843,BY351,$BA$7:$BA$1843,"&gt;"&amp;BA351)+SUMIFS($AX$7:$AX$1843,$BY$7:$BY$1843,BY351,$BA$7:$BA$1843,BA351,$BQ$7:$BQ$1843,"&lt;="&amp;BQ351),"")</f>
        <v>48.4950170602345</v>
      </c>
      <c r="BC351" s="65" t="n">
        <f aca="false">IF(BB351="",0,MAX(0,MIN(1,(IF(BY351="L1",Parameter!$E$5,Parameter!$E$6+Parameter!$E$7)-(BB351-AX351))/AX351)))</f>
        <v>1</v>
      </c>
      <c r="BD351" s="55" t="str">
        <f aca="false">IF(AH351&lt;=0,"",IF(BY351="Aussen","Aussenlager",IF(BY351="-","Nicht im Lift",IF(AM351&gt;=1,"Lift",IF(AM351&lt;=0,"Aussenlager","teilweise")))))</f>
        <v>Lift</v>
      </c>
      <c r="BE351" s="55" t="str">
        <f aca="false">IF(AP351&lt;=0,"",IF(BY351="Aussen","Aussenlager",IF(BY351="-","Nicht im Lift",IF(AU351&gt;=1,"Lift",IF(AU351&lt;=0,"Aussenlager","teilweise")))))</f>
        <v>Lift</v>
      </c>
      <c r="BF351" s="55" t="str">
        <f aca="false">IF(AX351&lt;=0,"",IF(BY351="Aussen","Aussenlager",IF(BY351="-","Nicht im Lift",IF(BC351&gt;=1,"Lift",IF(BC351&lt;=0,"Aussenlager","teilweise")))))</f>
        <v>Lift</v>
      </c>
      <c r="BG351" s="55" t="str">
        <f aca="false">IF(A351="","",IF(BP351=1,"Neu; ","")&amp;IF(AND(BP351=0,BK351&lt;0),"negativer Bestand (Export "&amp;BK351&amp;"); ","")&amp;IF(J351&lt;=0,"Kein Verbrauch; ","")&amp;IF(CH351&gt;0,"Lift "&amp;W351&amp;" lt. Liftbericht (Fach "&amp;X351&amp;" Stk); ",IF(BU351=1,"Gebinde geschätzt ("&amp;T351&amp;"); ",IF(BT351=1,"Lose – Tablare geschätzt; ","")))&amp;IF(H351&gt;AR351,"Überbestand "&amp;ROUND(H351-AR351,0)&amp;" Stk / CHF "&amp;ROUND((H351-AR351)*G351,0)&amp;"; ","")&amp;IF(AND(CA351=1,CB351&lt;CC351),"MAX &lt; MB+LG; ","")&amp;IF(AND(CG351&gt;0,CF351*10&gt;CG351),"zu hoch für Tablar; ","")&amp;IF(AND(BP351=0,OR(CA351=1,AA351&lt;&gt;"",U351&lt;&gt;"",V351&lt;&gt;"",AB351&lt;&gt;"")),"manuell übersteuert; ","")&amp;IF(AND(BT351=0,R351=0),"Gebinde unbekannt / Stellmass fehlt; ","")&amp;IF(AND(BT351=0,N(V351)&lt;=0,N(Q351)&lt;=0),"Menge pro Gebinde fehlt (Ist = 1 Gebinde); ","")&amp;BO351)</f>
        <v>Neuer Art.</v>
      </c>
      <c r="BH351" s="55"/>
      <c r="BI351" s="55"/>
      <c r="BJ351" s="62"/>
      <c r="BK351" s="57" t="n">
        <v>29</v>
      </c>
      <c r="BL351" s="57" t="n">
        <v>126</v>
      </c>
      <c r="BM351" s="56" t="n">
        <v>177.48</v>
      </c>
      <c r="BN351" s="57" t="n">
        <v>11</v>
      </c>
      <c r="BO351" s="55" t="s">
        <v>512</v>
      </c>
      <c r="BP351" s="60" t="n">
        <v>0</v>
      </c>
      <c r="BQ351" s="60" t="n">
        <v>351</v>
      </c>
      <c r="BR351" s="55" t="str">
        <f aca="false">IF(U351&lt;&gt;"",UPPER(TRIM(U351)),IF(BU351=1,UPPER(VLOOKUP(T351,Parameter!$I$27:$K$29,2,0)),IF(P351="","LOSE",P351)))</f>
        <v>S61</v>
      </c>
      <c r="BS351" s="57" t="n">
        <f aca="false">IF(BR351="LOSE",1,IF(N(V351)&gt;0,V351,IF(BU351=1,MAX(1,N(VLOOKUP(T351,Parameter!$I$27:$K$29,3,0)),H351,N(N351)),IF(N(Q351)&gt;0,Q351,MAX(1,H351)))))</f>
        <v>155</v>
      </c>
      <c r="BT351" s="60" t="n">
        <f aca="false">IF(BR351="LOSE",1,0)</f>
        <v>0</v>
      </c>
      <c r="BU351" s="60" t="n">
        <f aca="false">IF(AND(U351="",OR(P351="",P351="LOSE"),T351&lt;&gt;"",N(S351)&lt;=0,ISNUMBER(MATCH(T351,Parameter!$I$27:$I$29,0))),1,0)</f>
        <v>0</v>
      </c>
      <c r="BV351" s="55" t="str">
        <f aca="false">IF(AND(Parameter!$B$19="Ja",E351&lt;&gt;"",ISNUMBER(MATCH(E351,Parameter!$I$35:$I$52,0))),VLOOKUP(E351,Parameter!$I$35:$J$52,2,0),IFERROR(VLOOKUP(D351,Parameter!$A$35:$C$64,2,0),"Nein"))</f>
        <v>2+3</v>
      </c>
      <c r="BW351" s="59" t="n">
        <f aca="false">IF(BT351=0,0,IF(N(S351)&gt;0,S351,IFERROR(VLOOKUP(D351,Parameter!$A$35:$C$64,3,0)+0,0)))</f>
        <v>0</v>
      </c>
      <c r="BX351" s="55" t="n">
        <f aca="false">IF(AA351&lt;&gt;"",AA351,Z351)</f>
        <v>2</v>
      </c>
      <c r="BY351" s="55" t="str">
        <f aca="false">IF(BX351=1,"L1",IF(OR(BX351=2,BX351=3),"L23",IF(BX351="Aussen","Aussen","-")))</f>
        <v>L23</v>
      </c>
      <c r="BZ351" s="66" t="n">
        <f aca="false">IF(N(AB351)&gt;0,AB351,0)</f>
        <v>0</v>
      </c>
      <c r="CA351" s="60" t="n">
        <f aca="false">IF(ISNUMBER(AE351),1,0)</f>
        <v>0</v>
      </c>
      <c r="CB351" s="57" t="n">
        <f aca="false">N(AE351)</f>
        <v>0</v>
      </c>
      <c r="CC351" s="57" t="n">
        <f aca="false">N(M351)+N(N351)</f>
        <v>11</v>
      </c>
      <c r="CD351" s="57" t="n">
        <f aca="false">ROUNDUP(H351/BS351,0)</f>
        <v>1</v>
      </c>
      <c r="CE351" s="57" t="n">
        <f aca="false">ROUNDUP(CB351/BS351,0)</f>
        <v>0</v>
      </c>
      <c r="CF351" s="60" t="n">
        <f aca="false">IF(BT351=1,0,IFERROR(VLOOKUP(BR351,'Gebinde-Kategorie'!$A$5:$M$45,5,0)+0,0))</f>
        <v>11</v>
      </c>
      <c r="CG351" s="60" t="n">
        <f aca="false">IFERROR(IF(OR(BX351=1,BX351=2,BX351=3),N(INDEX(Parameter!$I$5:$I$7,BX351)),0),0)</f>
        <v>0</v>
      </c>
      <c r="CH351" s="59" t="n">
        <f aca="false">IF(AND(Parameter!$B$21="Ja",ISNUMBER(W351),N(X351)&gt;0),IFERROR(N(INDEX(Parameter!$L$5:$L$7,W351))*INDEX(Parameter!$E$5:$E$7,W351)*X351/SUMIFS($X$7:$X$1843,$W$7:$W$1843,W351),0),0)</f>
        <v>0</v>
      </c>
    </row>
    <row r="352" customFormat="false" ht="15" hidden="false" customHeight="false" outlineLevel="0" collapsed="false">
      <c r="A352" s="55" t="s">
        <v>860</v>
      </c>
      <c r="B352" s="55" t="s">
        <v>861</v>
      </c>
      <c r="C352" s="55" t="s">
        <v>164</v>
      </c>
      <c r="D352" s="55" t="s">
        <v>184</v>
      </c>
      <c r="E352" s="55"/>
      <c r="F352" s="55" t="s">
        <v>218</v>
      </c>
      <c r="G352" s="56" t="n">
        <v>6.79</v>
      </c>
      <c r="H352" s="57" t="n">
        <f aca="false">MAX(0,IF(AND(Parameter!$B$21="Ja",ISNUMBER(Y352)),Y352,IF(Parameter!$B$20="Jahresanfang 2025 + Export",BL352+BK352,BK352)))</f>
        <v>43</v>
      </c>
      <c r="I352" s="57" t="n">
        <f aca="false">H352*G352</f>
        <v>291.97</v>
      </c>
      <c r="J352" s="57" t="n">
        <f aca="false">BN352*Parameter!$B$18</f>
        <v>9</v>
      </c>
      <c r="K352" s="58" t="n">
        <v>22</v>
      </c>
      <c r="L352" s="59" t="n">
        <v>0.409090909090909</v>
      </c>
      <c r="M352" s="57" t="n">
        <v>0</v>
      </c>
      <c r="N352" s="57" t="n">
        <v>10</v>
      </c>
      <c r="O352" s="60" t="n">
        <v>21</v>
      </c>
      <c r="P352" s="55" t="s">
        <v>421</v>
      </c>
      <c r="Q352" s="57" t="n">
        <v>60</v>
      </c>
      <c r="R352" s="60" t="n">
        <f aca="false">IF(BT352=1,0,IFERROR(VLOOKUP(BR352,'Gebinde-Kategorie'!$A$5:$M$45,13,0)+0,0))</f>
        <v>132</v>
      </c>
      <c r="S352" s="61"/>
      <c r="T352" s="62"/>
      <c r="U352" s="62"/>
      <c r="V352" s="62"/>
      <c r="W352" s="55"/>
      <c r="X352" s="57"/>
      <c r="Y352" s="57"/>
      <c r="Z352" s="55" t="n">
        <f aca="false">IF(A352="","",IF(AND(Parameter!$B$21="Ja",ISNUMBER(W352)),W352,IF(BV352="2+3",IF(ISNUMBER(SEARCH("grosser Artikel",BO352)),2,IFERROR(VLOOKUP(BR352,Parameter!$F$35:$G$64,2,0),2)),IF(OR(BV352="Nein",BV352=""),"-",BV352))))</f>
        <v>3</v>
      </c>
      <c r="AA352" s="62"/>
      <c r="AB352" s="63"/>
      <c r="AC352" s="57" t="n">
        <f aca="false">AR352</f>
        <v>60</v>
      </c>
      <c r="AD352" s="57" t="n">
        <f aca="false">MAX(AR352,H352)</f>
        <v>60</v>
      </c>
      <c r="AE352" s="64"/>
      <c r="AF352" s="57" t="n">
        <f aca="false">IF(LEFT(Cockpit!$C$5,1)="A",H352,IF(CA352=1,CB352,IF(LEFT(Cockpit!$C$5,1)="B",AJ352,MAX(AJ352,H352))))</f>
        <v>43</v>
      </c>
      <c r="AG352" s="57" t="n">
        <f aca="false">IF(BT352=1,0,ROUNDUP(AF352/BS352,0))</f>
        <v>1</v>
      </c>
      <c r="AH352" s="59" t="n">
        <f aca="false">IF(CH352&gt;0,CH352*MAX(1,AF352/X352),IF(BT352=1,IF(AF352&lt;=0,0,BW352*MAX(1,IF(H352&gt;0,AF352/H352,1))),IF(R352&gt;0,AG352/R352,0))/MAX(0.1,N(Parameter!$M$21)))</f>
        <v>0.00757575757575758</v>
      </c>
      <c r="AI352" s="57" t="n">
        <f aca="false">AF352*G352</f>
        <v>291.97</v>
      </c>
      <c r="AJ352" s="57" t="n">
        <f aca="false">ROUNDUP(MAX(J352/IF(BZ352&gt;0,BZ352,MAX(0.1,N(Cockpit!$C$6))),CC352)/BS352,0)*BS352</f>
        <v>60</v>
      </c>
      <c r="AK352" s="58" t="n">
        <f aca="false">IF(AH352&gt;0,J352/AH352,-1)</f>
        <v>1188</v>
      </c>
      <c r="AL352" s="58" t="n">
        <f aca="false">IF(AND(OR(BY352="L1",BY352="L23"),AH352&gt;0),SUMIFS($AH$7:$AH$1843,$BY$7:$BY$1843,BY352,$AK$7:$AK$1843,"&gt;"&amp;AK352)+SUMIFS($AH$7:$AH$1843,$BY$7:$BY$1843,BY352,$AK$7:$AK$1843,AK352,$BQ$7:$BQ$1843,"&lt;="&amp;BQ352),"")</f>
        <v>16.6748420661464</v>
      </c>
      <c r="AM352" s="65" t="n">
        <f aca="false">IF(AL352="",0,MAX(0,MIN(1,(IF(BY352="L1",Parameter!$E$5,Parameter!$E$6+Parameter!$E$7)-(AL352-AH352))/AH352)))</f>
        <v>1</v>
      </c>
      <c r="AN352" s="57" t="n">
        <f aca="false">IF(LEFT(Cockpit!$I$5,1)="A",H352,IF(CA352=1,CB352,IF(LEFT(Cockpit!$I$5,1)="B",AR352,MAX(AR352,H352))))</f>
        <v>60</v>
      </c>
      <c r="AO352" s="57" t="n">
        <f aca="false">IF(BT352=1,0,ROUNDUP(AN352/BS352,0))</f>
        <v>1</v>
      </c>
      <c r="AP352" s="59" t="n">
        <f aca="false">IF(CH352&gt;0,CH352*MAX(1,AN352/X352),IF(BT352=1,IF(AN352&lt;=0,0,BW352*MAX(1,IF(H352&gt;0,AN352/H352,1))),IF(R352&gt;0,AO352/R352,0))/MAX(0.1,N(Parameter!$M$21)))</f>
        <v>0.00757575757575758</v>
      </c>
      <c r="AQ352" s="57" t="n">
        <f aca="false">AN352*G352</f>
        <v>407.4</v>
      </c>
      <c r="AR352" s="57" t="n">
        <f aca="false">ROUNDUP(MAX(J352/IF(BZ352&gt;0,BZ352,MAX(0.1,N(Cockpit!$I$6))),CC352)/BS352,0)*BS352</f>
        <v>60</v>
      </c>
      <c r="AS352" s="58" t="n">
        <f aca="false">IF(AP352&gt;0,J352/AP352,-1)</f>
        <v>1188</v>
      </c>
      <c r="AT352" s="58" t="n">
        <f aca="false">IF(AND(OR(BY352="L1",BY352="L23"),AP352&gt;0),SUMIFS($AP$7:$AP$1843,$BY$7:$BY$1843,BY352,$AS$7:$AS$1843,"&gt;"&amp;AS352)+SUMIFS($AP$7:$AP$1843,$BY$7:$BY$1843,BY352,$AS$7:$AS$1843,AS352,$BQ$7:$BQ$1843,"&lt;="&amp;BQ352),"")</f>
        <v>22.2841035775818</v>
      </c>
      <c r="AU352" s="65" t="n">
        <f aca="false">IF(AT352="",0,MAX(0,MIN(1,(IF(BY352="L1",Parameter!$E$5,Parameter!$E$6+Parameter!$E$7)-(AT352-AP352))/AP352)))</f>
        <v>1</v>
      </c>
      <c r="AV352" s="57" t="n">
        <f aca="false">IF(LEFT(Cockpit!$O$5,1)="A",H352,IF(CA352=1,CB352,IF(LEFT(Cockpit!$O$5,1)="B",AZ352,MAX(AZ352,H352))))</f>
        <v>60</v>
      </c>
      <c r="AW352" s="57" t="n">
        <f aca="false">IF(BT352=1,0,ROUNDUP(AV352/BS352,0))</f>
        <v>1</v>
      </c>
      <c r="AX352" s="59" t="n">
        <f aca="false">IF(CH352&gt;0,CH352*MAX(1,AV352/X352),IF(BT352=1,IF(AV352&lt;=0,0,BW352*MAX(1,IF(H352&gt;0,AV352/H352,1))),IF(R352&gt;0,AW352/R352,0))/MAX(0.1,N(Parameter!$M$21)))</f>
        <v>0.00757575757575758</v>
      </c>
      <c r="AY352" s="57" t="n">
        <f aca="false">AV352*G352</f>
        <v>407.4</v>
      </c>
      <c r="AZ352" s="57" t="n">
        <f aca="false">ROUNDUP(MAX(J352/IF(BZ352&gt;0,BZ352,MAX(0.1,N(Cockpit!$O$6))),CC352)/BS352,0)*BS352</f>
        <v>60</v>
      </c>
      <c r="BA352" s="58" t="n">
        <f aca="false">IF(AX352&gt;0,J352/AX352,-1)</f>
        <v>1188</v>
      </c>
      <c r="BB352" s="58" t="n">
        <f aca="false">IF(AND(OR(BY352="L1",BY352="L23"),AX352&gt;0),SUMIFS($AX$7:$AX$1843,$BY$7:$BY$1843,BY352,$BA$7:$BA$1843,"&gt;"&amp;BA352)+SUMIFS($AX$7:$AX$1843,$BY$7:$BY$1843,BY352,$BA$7:$BA$1843,BA352,$BQ$7:$BQ$1843,"&lt;="&amp;BQ352),"")</f>
        <v>21.2293250228033</v>
      </c>
      <c r="BC352" s="65" t="n">
        <f aca="false">IF(BB352="",0,MAX(0,MIN(1,(IF(BY352="L1",Parameter!$E$5,Parameter!$E$6+Parameter!$E$7)-(BB352-AX352))/AX352)))</f>
        <v>1</v>
      </c>
      <c r="BD352" s="55" t="str">
        <f aca="false">IF(AH352&lt;=0,"",IF(BY352="Aussen","Aussenlager",IF(BY352="-","Nicht im Lift",IF(AM352&gt;=1,"Lift",IF(AM352&lt;=0,"Aussenlager","teilweise")))))</f>
        <v>Lift</v>
      </c>
      <c r="BE352" s="55" t="str">
        <f aca="false">IF(AP352&lt;=0,"",IF(BY352="Aussen","Aussenlager",IF(BY352="-","Nicht im Lift",IF(AU352&gt;=1,"Lift",IF(AU352&lt;=0,"Aussenlager","teilweise")))))</f>
        <v>Lift</v>
      </c>
      <c r="BF352" s="55" t="str">
        <f aca="false">IF(AX352&lt;=0,"",IF(BY352="Aussen","Aussenlager",IF(BY352="-","Nicht im Lift",IF(BC352&gt;=1,"Lift",IF(BC352&lt;=0,"Aussenlager","teilweise")))))</f>
        <v>Lift</v>
      </c>
      <c r="BG352" s="55" t="str">
        <f aca="false">IF(A352="","",IF(BP352=1,"Neu; ","")&amp;IF(AND(BP352=0,BK352&lt;0),"negativer Bestand (Export "&amp;BK352&amp;"); ","")&amp;IF(J352&lt;=0,"Kein Verbrauch; ","")&amp;IF(CH352&gt;0,"Lift "&amp;W352&amp;" lt. Liftbericht (Fach "&amp;X352&amp;" Stk); ",IF(BU352=1,"Gebinde geschätzt ("&amp;T352&amp;"); ",IF(BT352=1,"Lose – Tablare geschätzt; ","")))&amp;IF(H352&gt;AR352,"Überbestand "&amp;ROUND(H352-AR352,0)&amp;" Stk / CHF "&amp;ROUND((H352-AR352)*G352,0)&amp;"; ","")&amp;IF(AND(CA352=1,CB352&lt;CC352),"MAX &lt; MB+LG; ","")&amp;IF(AND(CG352&gt;0,CF352*10&gt;CG352),"zu hoch für Tablar; ","")&amp;IF(AND(BP352=0,OR(CA352=1,AA352&lt;&gt;"",U352&lt;&gt;"",V352&lt;&gt;"",AB352&lt;&gt;"")),"manuell übersteuert; ","")&amp;IF(AND(BT352=0,R352=0),"Gebinde unbekannt / Stellmass fehlt; ","")&amp;IF(AND(BT352=0,N(V352)&lt;=0,N(Q352)&lt;=0),"Menge pro Gebinde fehlt (Ist = 1 Gebinde); ","")&amp;BO352)</f>
        <v/>
      </c>
      <c r="BH352" s="55"/>
      <c r="BI352" s="55"/>
      <c r="BJ352" s="62"/>
      <c r="BK352" s="57" t="n">
        <v>26</v>
      </c>
      <c r="BL352" s="57" t="n">
        <v>17</v>
      </c>
      <c r="BM352" s="56" t="n">
        <v>176.54</v>
      </c>
      <c r="BN352" s="57" t="n">
        <v>9</v>
      </c>
      <c r="BO352" s="55"/>
      <c r="BP352" s="60" t="n">
        <v>0</v>
      </c>
      <c r="BQ352" s="60" t="n">
        <v>352</v>
      </c>
      <c r="BR352" s="55" t="str">
        <f aca="false">IF(U352&lt;&gt;"",UPPER(TRIM(U352)),IF(BU352=1,UPPER(VLOOKUP(T352,Parameter!$I$27:$K$29,2,0)),IF(P352="","LOSE",P352)))</f>
        <v>S32</v>
      </c>
      <c r="BS352" s="57" t="n">
        <f aca="false">IF(BR352="LOSE",1,IF(N(V352)&gt;0,V352,IF(BU352=1,MAX(1,N(VLOOKUP(T352,Parameter!$I$27:$K$29,3,0)),H352,N(N352)),IF(N(Q352)&gt;0,Q352,MAX(1,H352)))))</f>
        <v>60</v>
      </c>
      <c r="BT352" s="60" t="n">
        <f aca="false">IF(BR352="LOSE",1,0)</f>
        <v>0</v>
      </c>
      <c r="BU352" s="60" t="n">
        <f aca="false">IF(AND(U352="",OR(P352="",P352="LOSE"),T352&lt;&gt;"",N(S352)&lt;=0,ISNUMBER(MATCH(T352,Parameter!$I$27:$I$29,0))),1,0)</f>
        <v>0</v>
      </c>
      <c r="BV352" s="55" t="str">
        <f aca="false">IF(AND(Parameter!$B$19="Ja",E352&lt;&gt;"",ISNUMBER(MATCH(E352,Parameter!$I$35:$I$52,0))),VLOOKUP(E352,Parameter!$I$35:$J$52,2,0),IFERROR(VLOOKUP(D352,Parameter!$A$35:$C$64,2,0),"Nein"))</f>
        <v>2+3</v>
      </c>
      <c r="BW352" s="59" t="n">
        <f aca="false">IF(BT352=0,0,IF(N(S352)&gt;0,S352,IFERROR(VLOOKUP(D352,Parameter!$A$35:$C$64,3,0)+0,0)))</f>
        <v>0</v>
      </c>
      <c r="BX352" s="55" t="n">
        <f aca="false">IF(AA352&lt;&gt;"",AA352,Z352)</f>
        <v>3</v>
      </c>
      <c r="BY352" s="55" t="str">
        <f aca="false">IF(BX352=1,"L1",IF(OR(BX352=2,BX352=3),"L23",IF(BX352="Aussen","Aussen","-")))</f>
        <v>L23</v>
      </c>
      <c r="BZ352" s="66" t="n">
        <f aca="false">IF(N(AB352)&gt;0,AB352,0)</f>
        <v>0</v>
      </c>
      <c r="CA352" s="60" t="n">
        <f aca="false">IF(ISNUMBER(AE352),1,0)</f>
        <v>0</v>
      </c>
      <c r="CB352" s="57" t="n">
        <f aca="false">N(AE352)</f>
        <v>0</v>
      </c>
      <c r="CC352" s="57" t="n">
        <f aca="false">N(M352)+N(N352)</f>
        <v>10</v>
      </c>
      <c r="CD352" s="57" t="n">
        <f aca="false">ROUNDUP(H352/BS352,0)</f>
        <v>1</v>
      </c>
      <c r="CE352" s="57" t="n">
        <f aca="false">ROUNDUP(CB352/BS352,0)</f>
        <v>0</v>
      </c>
      <c r="CF352" s="60" t="n">
        <f aca="false">IF(BT352=1,0,IFERROR(VLOOKUP(BR352,'Gebinde-Kategorie'!$A$5:$M$45,5,0)+0,0))</f>
        <v>8</v>
      </c>
      <c r="CG352" s="60" t="n">
        <f aca="false">IFERROR(IF(OR(BX352=1,BX352=2,BX352=3),N(INDEX(Parameter!$I$5:$I$7,BX352)),0),0)</f>
        <v>0</v>
      </c>
      <c r="CH352" s="59" t="n">
        <f aca="false">IF(AND(Parameter!$B$21="Ja",ISNUMBER(W352),N(X352)&gt;0),IFERROR(N(INDEX(Parameter!$L$5:$L$7,W352))*INDEX(Parameter!$E$5:$E$7,W352)*X352/SUMIFS($X$7:$X$1843,$W$7:$W$1843,W352),0),0)</f>
        <v>0</v>
      </c>
    </row>
    <row r="353" customFormat="false" ht="15" hidden="false" customHeight="false" outlineLevel="0" collapsed="false">
      <c r="A353" s="55" t="s">
        <v>862</v>
      </c>
      <c r="B353" s="55" t="s">
        <v>367</v>
      </c>
      <c r="C353" s="55" t="s">
        <v>164</v>
      </c>
      <c r="D353" s="55" t="s">
        <v>184</v>
      </c>
      <c r="E353" s="55"/>
      <c r="F353" s="55" t="s">
        <v>218</v>
      </c>
      <c r="G353" s="56" t="n">
        <v>10.47</v>
      </c>
      <c r="H353" s="57" t="n">
        <f aca="false">MAX(0,IF(AND(Parameter!$B$21="Ja",ISNUMBER(Y353)),Y353,IF(Parameter!$B$20="Jahresanfang 2025 + Export",BL353+BK353,BK353)))</f>
        <v>26</v>
      </c>
      <c r="I353" s="57" t="n">
        <f aca="false">H353*G353</f>
        <v>272.22</v>
      </c>
      <c r="J353" s="57" t="n">
        <f aca="false">BN353*Parameter!$B$18</f>
        <v>0</v>
      </c>
      <c r="K353" s="58" t="n">
        <v>18.5</v>
      </c>
      <c r="L353" s="59" t="n">
        <v>0</v>
      </c>
      <c r="M353" s="57" t="n">
        <v>0</v>
      </c>
      <c r="N353" s="57" t="n">
        <v>10</v>
      </c>
      <c r="O353" s="60" t="n">
        <v>21</v>
      </c>
      <c r="P353" s="55" t="s">
        <v>328</v>
      </c>
      <c r="Q353" s="57" t="n">
        <v>50</v>
      </c>
      <c r="R353" s="60" t="n">
        <f aca="false">IF(BT353=1,0,IFERROR(VLOOKUP(BR353,'Gebinde-Kategorie'!$A$5:$M$45,13,0)+0,0))</f>
        <v>52</v>
      </c>
      <c r="S353" s="61"/>
      <c r="T353" s="62"/>
      <c r="U353" s="62"/>
      <c r="V353" s="62"/>
      <c r="W353" s="55"/>
      <c r="X353" s="57"/>
      <c r="Y353" s="57"/>
      <c r="Z353" s="55" t="n">
        <f aca="false">IF(A353="","",IF(AND(Parameter!$B$21="Ja",ISNUMBER(W353)),W353,IF(BV353="2+3",IF(ISNUMBER(SEARCH("grosser Artikel",BO353)),2,IFERROR(VLOOKUP(BR353,Parameter!$F$35:$G$64,2,0),2)),IF(OR(BV353="Nein",BV353=""),"-",BV353))))</f>
        <v>3</v>
      </c>
      <c r="AA353" s="62"/>
      <c r="AB353" s="63"/>
      <c r="AC353" s="57" t="n">
        <f aca="false">AR353</f>
        <v>50</v>
      </c>
      <c r="AD353" s="57" t="n">
        <f aca="false">MAX(AR353,H353)</f>
        <v>50</v>
      </c>
      <c r="AE353" s="64"/>
      <c r="AF353" s="57" t="n">
        <f aca="false">IF(LEFT(Cockpit!$C$5,1)="A",H353,IF(CA353=1,CB353,IF(LEFT(Cockpit!$C$5,1)="B",AJ353,MAX(AJ353,H353))))</f>
        <v>26</v>
      </c>
      <c r="AG353" s="57" t="n">
        <f aca="false">IF(BT353=1,0,ROUNDUP(AF353/BS353,0))</f>
        <v>1</v>
      </c>
      <c r="AH353" s="59" t="n">
        <f aca="false">IF(CH353&gt;0,CH353*MAX(1,AF353/X353),IF(BT353=1,IF(AF353&lt;=0,0,BW353*MAX(1,IF(H353&gt;0,AF353/H353,1))),IF(R353&gt;0,AG353/R353,0))/MAX(0.1,N(Parameter!$M$21)))</f>
        <v>0.0192307692307692</v>
      </c>
      <c r="AI353" s="57" t="n">
        <f aca="false">AF353*G353</f>
        <v>272.22</v>
      </c>
      <c r="AJ353" s="57" t="n">
        <f aca="false">ROUNDUP(MAX(J353/IF(BZ353&gt;0,BZ353,MAX(0.1,N(Cockpit!$C$6))),CC353)/BS353,0)*BS353</f>
        <v>50</v>
      </c>
      <c r="AK353" s="58" t="n">
        <f aca="false">IF(AH353&gt;0,J353/AH353,-1)</f>
        <v>0</v>
      </c>
      <c r="AL353" s="58" t="n">
        <f aca="false">IF(AND(OR(BY353="L1",BY353="L23"),AH353&gt;0),SUMIFS($AH$7:$AH$1843,$BY$7:$BY$1843,BY353,$AK$7:$AK$1843,"&gt;"&amp;AK353)+SUMIFS($AH$7:$AH$1843,$BY$7:$BY$1843,BY353,$AK$7:$AK$1843,AK353,$BQ$7:$BQ$1843,"&lt;="&amp;BQ353),"")</f>
        <v>73.2492145535624</v>
      </c>
      <c r="AM353" s="65" t="n">
        <f aca="false">IF(AL353="",0,MAX(0,MIN(1,(IF(BY353="L1",Parameter!$E$5,Parameter!$E$6+Parameter!$E$7)-(AL353-AH353))/AH353)))</f>
        <v>1</v>
      </c>
      <c r="AN353" s="57" t="n">
        <f aca="false">IF(LEFT(Cockpit!$I$5,1)="A",H353,IF(CA353=1,CB353,IF(LEFT(Cockpit!$I$5,1)="B",AR353,MAX(AR353,H353))))</f>
        <v>50</v>
      </c>
      <c r="AO353" s="57" t="n">
        <f aca="false">IF(BT353=1,0,ROUNDUP(AN353/BS353,0))</f>
        <v>1</v>
      </c>
      <c r="AP353" s="59" t="n">
        <f aca="false">IF(CH353&gt;0,CH353*MAX(1,AN353/X353),IF(BT353=1,IF(AN353&lt;=0,0,BW353*MAX(1,IF(H353&gt;0,AN353/H353,1))),IF(R353&gt;0,AO353/R353,0))/MAX(0.1,N(Parameter!$M$21)))</f>
        <v>0.0192307692307692</v>
      </c>
      <c r="AQ353" s="57" t="n">
        <f aca="false">AN353*G353</f>
        <v>523.5</v>
      </c>
      <c r="AR353" s="57" t="n">
        <f aca="false">ROUNDUP(MAX(J353/IF(BZ353&gt;0,BZ353,MAX(0.1,N(Cockpit!$I$6))),CC353)/BS353,0)*BS353</f>
        <v>50</v>
      </c>
      <c r="AS353" s="58" t="n">
        <f aca="false">IF(AP353&gt;0,J353/AP353,-1)</f>
        <v>0</v>
      </c>
      <c r="AT353" s="58" t="n">
        <f aca="false">IF(AND(OR(BY353="L1",BY353="L23"),AP353&gt;0),SUMIFS($AP$7:$AP$1843,$BY$7:$BY$1843,BY353,$AS$7:$AS$1843,"&gt;"&amp;AS353)+SUMIFS($AP$7:$AP$1843,$BY$7:$BY$1843,BY353,$AS$7:$AS$1843,AS353,$BQ$7:$BQ$1843,"&lt;="&amp;BQ353),"")</f>
        <v>112.673338738556</v>
      </c>
      <c r="AU353" s="65" t="n">
        <f aca="false">IF(AT353="",0,MAX(0,MIN(1,(IF(BY353="L1",Parameter!$E$5,Parameter!$E$6+Parameter!$E$7)-(AT353-AP353))/AP353)))</f>
        <v>0</v>
      </c>
      <c r="AV353" s="57" t="n">
        <f aca="false">IF(LEFT(Cockpit!$O$5,1)="A",H353,IF(CA353=1,CB353,IF(LEFT(Cockpit!$O$5,1)="B",AZ353,MAX(AZ353,H353))))</f>
        <v>50</v>
      </c>
      <c r="AW353" s="57" t="n">
        <f aca="false">IF(BT353=1,0,ROUNDUP(AV353/BS353,0))</f>
        <v>1</v>
      </c>
      <c r="AX353" s="59" t="n">
        <f aca="false">IF(CH353&gt;0,CH353*MAX(1,AV353/X353),IF(BT353=1,IF(AV353&lt;=0,0,BW353*MAX(1,IF(H353&gt;0,AV353/H353,1))),IF(R353&gt;0,AW353/R353,0))/MAX(0.1,N(Parameter!$M$21)))</f>
        <v>0.0192307692307692</v>
      </c>
      <c r="AY353" s="57" t="n">
        <f aca="false">AV353*G353</f>
        <v>523.5</v>
      </c>
      <c r="AZ353" s="57" t="n">
        <f aca="false">ROUNDUP(MAX(J353/IF(BZ353&gt;0,BZ353,MAX(0.1,N(Cockpit!$O$6))),CC353)/BS353,0)*BS353</f>
        <v>50</v>
      </c>
      <c r="BA353" s="58" t="n">
        <f aca="false">IF(AX353&gt;0,J353/AX353,-1)</f>
        <v>0</v>
      </c>
      <c r="BB353" s="58" t="n">
        <f aca="false">IF(AND(OR(BY353="L1",BY353="L23"),AX353&gt;0),SUMIFS($AX$7:$AX$1843,$BY$7:$BY$1843,BY353,$BA$7:$BA$1843,"&gt;"&amp;BA353)+SUMIFS($AX$7:$AX$1843,$BY$7:$BY$1843,BY353,$BA$7:$BA$1843,BA353,$BQ$7:$BQ$1843,"&lt;="&amp;BQ353),"")</f>
        <v>103.503175568393</v>
      </c>
      <c r="BC353" s="65" t="n">
        <f aca="false">IF(BB353="",0,MAX(0,MIN(1,(IF(BY353="L1",Parameter!$E$5,Parameter!$E$6+Parameter!$E$7)-(BB353-AX353))/AX353)))</f>
        <v>0</v>
      </c>
      <c r="BD353" s="55" t="str">
        <f aca="false">IF(AH353&lt;=0,"",IF(BY353="Aussen","Aussenlager",IF(BY353="-","Nicht im Lift",IF(AM353&gt;=1,"Lift",IF(AM353&lt;=0,"Aussenlager","teilweise")))))</f>
        <v>Lift</v>
      </c>
      <c r="BE353" s="55" t="str">
        <f aca="false">IF(AP353&lt;=0,"",IF(BY353="Aussen","Aussenlager",IF(BY353="-","Nicht im Lift",IF(AU353&gt;=1,"Lift",IF(AU353&lt;=0,"Aussenlager","teilweise")))))</f>
        <v>Aussenlager</v>
      </c>
      <c r="BF353" s="55" t="str">
        <f aca="false">IF(AX353&lt;=0,"",IF(BY353="Aussen","Aussenlager",IF(BY353="-","Nicht im Lift",IF(BC353&gt;=1,"Lift",IF(BC353&lt;=0,"Aussenlager","teilweise")))))</f>
        <v>Aussenlager</v>
      </c>
      <c r="BG353" s="55" t="str">
        <f aca="false">IF(A353="","",IF(BP353=1,"Neu; ","")&amp;IF(AND(BP353=0,BK353&lt;0),"negativer Bestand (Export "&amp;BK353&amp;"); ","")&amp;IF(J353&lt;=0,"Kein Verbrauch; ","")&amp;IF(CH353&gt;0,"Lift "&amp;W353&amp;" lt. Liftbericht (Fach "&amp;X353&amp;" Stk); ",IF(BU353=1,"Gebinde geschätzt ("&amp;T353&amp;"); ",IF(BT353=1,"Lose – Tablare geschätzt; ","")))&amp;IF(H353&gt;AR353,"Überbestand "&amp;ROUND(H353-AR353,0)&amp;" Stk / CHF "&amp;ROUND((H353-AR353)*G353,0)&amp;"; ","")&amp;IF(AND(CA353=1,CB353&lt;CC353),"MAX &lt; MB+LG; ","")&amp;IF(AND(CG353&gt;0,CF353*10&gt;CG353),"zu hoch für Tablar; ","")&amp;IF(AND(BP353=0,OR(CA353=1,AA353&lt;&gt;"",U353&lt;&gt;"",V353&lt;&gt;"",AB353&lt;&gt;"")),"manuell übersteuert; ","")&amp;IF(AND(BT353=0,R353=0),"Gebinde unbekannt / Stellmass fehlt; ","")&amp;IF(AND(BT353=0,N(V353)&lt;=0,N(Q353)&lt;=0),"Menge pro Gebinde fehlt (Ist = 1 Gebinde); ","")&amp;BO353)</f>
        <v>Kein Verbrauch; </v>
      </c>
      <c r="BH353" s="55"/>
      <c r="BI353" s="55"/>
      <c r="BJ353" s="62"/>
      <c r="BK353" s="57" t="n">
        <v>15</v>
      </c>
      <c r="BL353" s="57" t="n">
        <v>11</v>
      </c>
      <c r="BM353" s="56" t="n">
        <v>175.2</v>
      </c>
      <c r="BN353" s="57" t="n">
        <v>0</v>
      </c>
      <c r="BO353" s="55"/>
      <c r="BP353" s="60" t="n">
        <v>0</v>
      </c>
      <c r="BQ353" s="60" t="n">
        <v>353</v>
      </c>
      <c r="BR353" s="55" t="str">
        <f aca="false">IF(U353&lt;&gt;"",UPPER(TRIM(U353)),IF(BU353=1,UPPER(VLOOKUP(T353,Parameter!$I$27:$K$29,2,0)),IF(P353="","LOSE",P353)))</f>
        <v>S41</v>
      </c>
      <c r="BS353" s="57" t="n">
        <f aca="false">IF(BR353="LOSE",1,IF(N(V353)&gt;0,V353,IF(BU353=1,MAX(1,N(VLOOKUP(T353,Parameter!$I$27:$K$29,3,0)),H353,N(N353)),IF(N(Q353)&gt;0,Q353,MAX(1,H353)))))</f>
        <v>50</v>
      </c>
      <c r="BT353" s="60" t="n">
        <f aca="false">IF(BR353="LOSE",1,0)</f>
        <v>0</v>
      </c>
      <c r="BU353" s="60" t="n">
        <f aca="false">IF(AND(U353="",OR(P353="",P353="LOSE"),T353&lt;&gt;"",N(S353)&lt;=0,ISNUMBER(MATCH(T353,Parameter!$I$27:$I$29,0))),1,0)</f>
        <v>0</v>
      </c>
      <c r="BV353" s="55" t="str">
        <f aca="false">IF(AND(Parameter!$B$19="Ja",E353&lt;&gt;"",ISNUMBER(MATCH(E353,Parameter!$I$35:$I$52,0))),VLOOKUP(E353,Parameter!$I$35:$J$52,2,0),IFERROR(VLOOKUP(D353,Parameter!$A$35:$C$64,2,0),"Nein"))</f>
        <v>2+3</v>
      </c>
      <c r="BW353" s="59" t="n">
        <f aca="false">IF(BT353=0,0,IF(N(S353)&gt;0,S353,IFERROR(VLOOKUP(D353,Parameter!$A$35:$C$64,3,0)+0,0)))</f>
        <v>0</v>
      </c>
      <c r="BX353" s="55" t="n">
        <f aca="false">IF(AA353&lt;&gt;"",AA353,Z353)</f>
        <v>3</v>
      </c>
      <c r="BY353" s="55" t="str">
        <f aca="false">IF(BX353=1,"L1",IF(OR(BX353=2,BX353=3),"L23",IF(BX353="Aussen","Aussen","-")))</f>
        <v>L23</v>
      </c>
      <c r="BZ353" s="66" t="n">
        <f aca="false">IF(N(AB353)&gt;0,AB353,0)</f>
        <v>0</v>
      </c>
      <c r="CA353" s="60" t="n">
        <f aca="false">IF(ISNUMBER(AE353),1,0)</f>
        <v>0</v>
      </c>
      <c r="CB353" s="57" t="n">
        <f aca="false">N(AE353)</f>
        <v>0</v>
      </c>
      <c r="CC353" s="57" t="n">
        <f aca="false">N(M353)+N(N353)</f>
        <v>10</v>
      </c>
      <c r="CD353" s="57" t="n">
        <f aca="false">ROUNDUP(H353/BS353,0)</f>
        <v>1</v>
      </c>
      <c r="CE353" s="57" t="n">
        <f aca="false">ROUNDUP(CB353/BS353,0)</f>
        <v>0</v>
      </c>
      <c r="CF353" s="60" t="n">
        <f aca="false">IF(BT353=1,0,IFERROR(VLOOKUP(BR353,'Gebinde-Kategorie'!$A$5:$M$45,5,0)+0,0))</f>
        <v>11</v>
      </c>
      <c r="CG353" s="60" t="n">
        <f aca="false">IFERROR(IF(OR(BX353=1,BX353=2,BX353=3),N(INDEX(Parameter!$I$5:$I$7,BX353)),0),0)</f>
        <v>0</v>
      </c>
      <c r="CH353" s="59" t="n">
        <f aca="false">IF(AND(Parameter!$B$21="Ja",ISNUMBER(W353),N(X353)&gt;0),IFERROR(N(INDEX(Parameter!$L$5:$L$7,W353))*INDEX(Parameter!$E$5:$E$7,W353)*X353/SUMIFS($X$7:$X$1843,$W$7:$W$1843,W353),0),0)</f>
        <v>0</v>
      </c>
    </row>
    <row r="354" customFormat="false" ht="15" hidden="false" customHeight="false" outlineLevel="0" collapsed="false">
      <c r="A354" s="55" t="s">
        <v>863</v>
      </c>
      <c r="B354" s="55" t="s">
        <v>864</v>
      </c>
      <c r="C354" s="55" t="s">
        <v>164</v>
      </c>
      <c r="D354" s="55" t="s">
        <v>184</v>
      </c>
      <c r="E354" s="55"/>
      <c r="F354" s="55" t="s">
        <v>218</v>
      </c>
      <c r="G354" s="56" t="n">
        <v>35</v>
      </c>
      <c r="H354" s="57" t="n">
        <f aca="false">MAX(0,IF(AND(Parameter!$B$21="Ja",ISNUMBER(Y354)),Y354,IF(Parameter!$B$20="Jahresanfang 2025 + Export",BL354+BK354,BK354)))</f>
        <v>5</v>
      </c>
      <c r="I354" s="57" t="n">
        <f aca="false">H354*G354</f>
        <v>175</v>
      </c>
      <c r="J354" s="57" t="n">
        <f aca="false">BN354*Parameter!$B$18</f>
        <v>0</v>
      </c>
      <c r="K354" s="58" t="n">
        <v>2.5</v>
      </c>
      <c r="L354" s="59" t="n">
        <v>0</v>
      </c>
      <c r="M354" s="57" t="n">
        <v>0</v>
      </c>
      <c r="N354" s="57" t="n">
        <v>1</v>
      </c>
      <c r="O354" s="60" t="n">
        <v>28</v>
      </c>
      <c r="P354" s="55" t="s">
        <v>328</v>
      </c>
      <c r="Q354" s="57" t="n">
        <v>10</v>
      </c>
      <c r="R354" s="60" t="n">
        <f aca="false">IF(BT354=1,0,IFERROR(VLOOKUP(BR354,'Gebinde-Kategorie'!$A$5:$M$45,13,0)+0,0))</f>
        <v>52</v>
      </c>
      <c r="S354" s="61"/>
      <c r="T354" s="62"/>
      <c r="U354" s="62"/>
      <c r="V354" s="62"/>
      <c r="W354" s="55"/>
      <c r="X354" s="57"/>
      <c r="Y354" s="57"/>
      <c r="Z354" s="55" t="n">
        <f aca="false">IF(A354="","",IF(AND(Parameter!$B$21="Ja",ISNUMBER(W354)),W354,IF(BV354="2+3",IF(ISNUMBER(SEARCH("grosser Artikel",BO354)),2,IFERROR(VLOOKUP(BR354,Parameter!$F$35:$G$64,2,0),2)),IF(OR(BV354="Nein",BV354=""),"-",BV354))))</f>
        <v>3</v>
      </c>
      <c r="AA354" s="62"/>
      <c r="AB354" s="63"/>
      <c r="AC354" s="57" t="n">
        <f aca="false">AR354</f>
        <v>10</v>
      </c>
      <c r="AD354" s="57" t="n">
        <f aca="false">MAX(AR354,H354)</f>
        <v>10</v>
      </c>
      <c r="AE354" s="64"/>
      <c r="AF354" s="57" t="n">
        <f aca="false">IF(LEFT(Cockpit!$C$5,1)="A",H354,IF(CA354=1,CB354,IF(LEFT(Cockpit!$C$5,1)="B",AJ354,MAX(AJ354,H354))))</f>
        <v>5</v>
      </c>
      <c r="AG354" s="57" t="n">
        <f aca="false">IF(BT354=1,0,ROUNDUP(AF354/BS354,0))</f>
        <v>1</v>
      </c>
      <c r="AH354" s="59" t="n">
        <f aca="false">IF(CH354&gt;0,CH354*MAX(1,AF354/X354),IF(BT354=1,IF(AF354&lt;=0,0,BW354*MAX(1,IF(H354&gt;0,AF354/H354,1))),IF(R354&gt;0,AG354/R354,0))/MAX(0.1,N(Parameter!$M$21)))</f>
        <v>0.0192307692307692</v>
      </c>
      <c r="AI354" s="57" t="n">
        <f aca="false">AF354*G354</f>
        <v>175</v>
      </c>
      <c r="AJ354" s="57" t="n">
        <f aca="false">ROUNDUP(MAX(J354/IF(BZ354&gt;0,BZ354,MAX(0.1,N(Cockpit!$C$6))),CC354)/BS354,0)*BS354</f>
        <v>10</v>
      </c>
      <c r="AK354" s="58" t="n">
        <f aca="false">IF(AH354&gt;0,J354/AH354,-1)</f>
        <v>0</v>
      </c>
      <c r="AL354" s="58" t="n">
        <f aca="false">IF(AND(OR(BY354="L1",BY354="L23"),AH354&gt;0),SUMIFS($AH$7:$AH$1843,$BY$7:$BY$1843,BY354,$AK$7:$AK$1843,"&gt;"&amp;AK354)+SUMIFS($AH$7:$AH$1843,$BY$7:$BY$1843,BY354,$AK$7:$AK$1843,AK354,$BQ$7:$BQ$1843,"&lt;="&amp;BQ354),"")</f>
        <v>73.2684453227932</v>
      </c>
      <c r="AM354" s="65" t="n">
        <f aca="false">IF(AL354="",0,MAX(0,MIN(1,(IF(BY354="L1",Parameter!$E$5,Parameter!$E$6+Parameter!$E$7)-(AL354-AH354))/AH354)))</f>
        <v>1</v>
      </c>
      <c r="AN354" s="57" t="n">
        <f aca="false">IF(LEFT(Cockpit!$I$5,1)="A",H354,IF(CA354=1,CB354,IF(LEFT(Cockpit!$I$5,1)="B",AR354,MAX(AR354,H354))))</f>
        <v>10</v>
      </c>
      <c r="AO354" s="57" t="n">
        <f aca="false">IF(BT354=1,0,ROUNDUP(AN354/BS354,0))</f>
        <v>1</v>
      </c>
      <c r="AP354" s="59" t="n">
        <f aca="false">IF(CH354&gt;0,CH354*MAX(1,AN354/X354),IF(BT354=1,IF(AN354&lt;=0,0,BW354*MAX(1,IF(H354&gt;0,AN354/H354,1))),IF(R354&gt;0,AO354/R354,0))/MAX(0.1,N(Parameter!$M$21)))</f>
        <v>0.0192307692307692</v>
      </c>
      <c r="AQ354" s="57" t="n">
        <f aca="false">AN354*G354</f>
        <v>350</v>
      </c>
      <c r="AR354" s="57" t="n">
        <f aca="false">ROUNDUP(MAX(J354/IF(BZ354&gt;0,BZ354,MAX(0.1,N(Cockpit!$I$6))),CC354)/BS354,0)*BS354</f>
        <v>10</v>
      </c>
      <c r="AS354" s="58" t="n">
        <f aca="false">IF(AP354&gt;0,J354/AP354,-1)</f>
        <v>0</v>
      </c>
      <c r="AT354" s="58" t="n">
        <f aca="false">IF(AND(OR(BY354="L1",BY354="L23"),AP354&gt;0),SUMIFS($AP$7:$AP$1843,$BY$7:$BY$1843,BY354,$AS$7:$AS$1843,"&gt;"&amp;AS354)+SUMIFS($AP$7:$AP$1843,$BY$7:$BY$1843,BY354,$AS$7:$AS$1843,AS354,$BQ$7:$BQ$1843,"&lt;="&amp;BQ354),"")</f>
        <v>112.692569507787</v>
      </c>
      <c r="AU354" s="65" t="n">
        <f aca="false">IF(AT354="",0,MAX(0,MIN(1,(IF(BY354="L1",Parameter!$E$5,Parameter!$E$6+Parameter!$E$7)-(AT354-AP354))/AP354)))</f>
        <v>0</v>
      </c>
      <c r="AV354" s="57" t="n">
        <f aca="false">IF(LEFT(Cockpit!$O$5,1)="A",H354,IF(CA354=1,CB354,IF(LEFT(Cockpit!$O$5,1)="B",AZ354,MAX(AZ354,H354))))</f>
        <v>10</v>
      </c>
      <c r="AW354" s="57" t="n">
        <f aca="false">IF(BT354=1,0,ROUNDUP(AV354/BS354,0))</f>
        <v>1</v>
      </c>
      <c r="AX354" s="59" t="n">
        <f aca="false">IF(CH354&gt;0,CH354*MAX(1,AV354/X354),IF(BT354=1,IF(AV354&lt;=0,0,BW354*MAX(1,IF(H354&gt;0,AV354/H354,1))),IF(R354&gt;0,AW354/R354,0))/MAX(0.1,N(Parameter!$M$21)))</f>
        <v>0.0192307692307692</v>
      </c>
      <c r="AY354" s="57" t="n">
        <f aca="false">AV354*G354</f>
        <v>350</v>
      </c>
      <c r="AZ354" s="57" t="n">
        <f aca="false">ROUNDUP(MAX(J354/IF(BZ354&gt;0,BZ354,MAX(0.1,N(Cockpit!$O$6))),CC354)/BS354,0)*BS354</f>
        <v>10</v>
      </c>
      <c r="BA354" s="58" t="n">
        <f aca="false">IF(AX354&gt;0,J354/AX354,-1)</f>
        <v>0</v>
      </c>
      <c r="BB354" s="58" t="n">
        <f aca="false">IF(AND(OR(BY354="L1",BY354="L23"),AX354&gt;0),SUMIFS($AX$7:$AX$1843,$BY$7:$BY$1843,BY354,$BA$7:$BA$1843,"&gt;"&amp;BA354)+SUMIFS($AX$7:$AX$1843,$BY$7:$BY$1843,BY354,$BA$7:$BA$1843,BA354,$BQ$7:$BQ$1843,"&lt;="&amp;BQ354),"")</f>
        <v>103.522406337624</v>
      </c>
      <c r="BC354" s="65" t="n">
        <f aca="false">IF(BB354="",0,MAX(0,MIN(1,(IF(BY354="L1",Parameter!$E$5,Parameter!$E$6+Parameter!$E$7)-(BB354-AX354))/AX354)))</f>
        <v>0</v>
      </c>
      <c r="BD354" s="55" t="str">
        <f aca="false">IF(AH354&lt;=0,"",IF(BY354="Aussen","Aussenlager",IF(BY354="-","Nicht im Lift",IF(AM354&gt;=1,"Lift",IF(AM354&lt;=0,"Aussenlager","teilweise")))))</f>
        <v>Lift</v>
      </c>
      <c r="BE354" s="55" t="str">
        <f aca="false">IF(AP354&lt;=0,"",IF(BY354="Aussen","Aussenlager",IF(BY354="-","Nicht im Lift",IF(AU354&gt;=1,"Lift",IF(AU354&lt;=0,"Aussenlager","teilweise")))))</f>
        <v>Aussenlager</v>
      </c>
      <c r="BF354" s="55" t="str">
        <f aca="false">IF(AX354&lt;=0,"",IF(BY354="Aussen","Aussenlager",IF(BY354="-","Nicht im Lift",IF(BC354&gt;=1,"Lift",IF(BC354&lt;=0,"Aussenlager","teilweise")))))</f>
        <v>Aussenlager</v>
      </c>
      <c r="BG354" s="55" t="str">
        <f aca="false">IF(A354="","",IF(BP354=1,"Neu; ","")&amp;IF(AND(BP354=0,BK354&lt;0),"negativer Bestand (Export "&amp;BK354&amp;"); ","")&amp;IF(J354&lt;=0,"Kein Verbrauch; ","")&amp;IF(CH354&gt;0,"Lift "&amp;W354&amp;" lt. Liftbericht (Fach "&amp;X354&amp;" Stk); ",IF(BU354=1,"Gebinde geschätzt ("&amp;T354&amp;"); ",IF(BT354=1,"Lose – Tablare geschätzt; ","")))&amp;IF(H354&gt;AR354,"Überbestand "&amp;ROUND(H354-AR354,0)&amp;" Stk / CHF "&amp;ROUND((H354-AR354)*G354,0)&amp;"; ","")&amp;IF(AND(CA354=1,CB354&lt;CC354),"MAX &lt; MB+LG; ","")&amp;IF(AND(CG354&gt;0,CF354*10&gt;CG354),"zu hoch für Tablar; ","")&amp;IF(AND(BP354=0,OR(CA354=1,AA354&lt;&gt;"",U354&lt;&gt;"",V354&lt;&gt;"",AB354&lt;&gt;"")),"manuell übersteuert; ","")&amp;IF(AND(BT354=0,R354=0),"Gebinde unbekannt / Stellmass fehlt; ","")&amp;IF(AND(BT354=0,N(V354)&lt;=0,N(Q354)&lt;=0),"Menge pro Gebinde fehlt (Ist = 1 Gebinde); ","")&amp;BO354)</f>
        <v>Kein Verbrauch; </v>
      </c>
      <c r="BH354" s="55"/>
      <c r="BI354" s="55"/>
      <c r="BJ354" s="62"/>
      <c r="BK354" s="57" t="n">
        <v>5</v>
      </c>
      <c r="BL354" s="57" t="n">
        <v>0</v>
      </c>
      <c r="BM354" s="56" t="n">
        <v>175</v>
      </c>
      <c r="BN354" s="57" t="n">
        <v>0</v>
      </c>
      <c r="BO354" s="55"/>
      <c r="BP354" s="60" t="n">
        <v>0</v>
      </c>
      <c r="BQ354" s="60" t="n">
        <v>354</v>
      </c>
      <c r="BR354" s="55" t="str">
        <f aca="false">IF(U354&lt;&gt;"",UPPER(TRIM(U354)),IF(BU354=1,UPPER(VLOOKUP(T354,Parameter!$I$27:$K$29,2,0)),IF(P354="","LOSE",P354)))</f>
        <v>S41</v>
      </c>
      <c r="BS354" s="57" t="n">
        <f aca="false">IF(BR354="LOSE",1,IF(N(V354)&gt;0,V354,IF(BU354=1,MAX(1,N(VLOOKUP(T354,Parameter!$I$27:$K$29,3,0)),H354,N(N354)),IF(N(Q354)&gt;0,Q354,MAX(1,H354)))))</f>
        <v>10</v>
      </c>
      <c r="BT354" s="60" t="n">
        <f aca="false">IF(BR354="LOSE",1,0)</f>
        <v>0</v>
      </c>
      <c r="BU354" s="60" t="n">
        <f aca="false">IF(AND(U354="",OR(P354="",P354="LOSE"),T354&lt;&gt;"",N(S354)&lt;=0,ISNUMBER(MATCH(T354,Parameter!$I$27:$I$29,0))),1,0)</f>
        <v>0</v>
      </c>
      <c r="BV354" s="55" t="str">
        <f aca="false">IF(AND(Parameter!$B$19="Ja",E354&lt;&gt;"",ISNUMBER(MATCH(E354,Parameter!$I$35:$I$52,0))),VLOOKUP(E354,Parameter!$I$35:$J$52,2,0),IFERROR(VLOOKUP(D354,Parameter!$A$35:$C$64,2,0),"Nein"))</f>
        <v>2+3</v>
      </c>
      <c r="BW354" s="59" t="n">
        <f aca="false">IF(BT354=0,0,IF(N(S354)&gt;0,S354,IFERROR(VLOOKUP(D354,Parameter!$A$35:$C$64,3,0)+0,0)))</f>
        <v>0</v>
      </c>
      <c r="BX354" s="55" t="n">
        <f aca="false">IF(AA354&lt;&gt;"",AA354,Z354)</f>
        <v>3</v>
      </c>
      <c r="BY354" s="55" t="str">
        <f aca="false">IF(BX354=1,"L1",IF(OR(BX354=2,BX354=3),"L23",IF(BX354="Aussen","Aussen","-")))</f>
        <v>L23</v>
      </c>
      <c r="BZ354" s="66" t="n">
        <f aca="false">IF(N(AB354)&gt;0,AB354,0)</f>
        <v>0</v>
      </c>
      <c r="CA354" s="60" t="n">
        <f aca="false">IF(ISNUMBER(AE354),1,0)</f>
        <v>0</v>
      </c>
      <c r="CB354" s="57" t="n">
        <f aca="false">N(AE354)</f>
        <v>0</v>
      </c>
      <c r="CC354" s="57" t="n">
        <f aca="false">N(M354)+N(N354)</f>
        <v>1</v>
      </c>
      <c r="CD354" s="57" t="n">
        <f aca="false">ROUNDUP(H354/BS354,0)</f>
        <v>1</v>
      </c>
      <c r="CE354" s="57" t="n">
        <f aca="false">ROUNDUP(CB354/BS354,0)</f>
        <v>0</v>
      </c>
      <c r="CF354" s="60" t="n">
        <f aca="false">IF(BT354=1,0,IFERROR(VLOOKUP(BR354,'Gebinde-Kategorie'!$A$5:$M$45,5,0)+0,0))</f>
        <v>11</v>
      </c>
      <c r="CG354" s="60" t="n">
        <f aca="false">IFERROR(IF(OR(BX354=1,BX354=2,BX354=3),N(INDEX(Parameter!$I$5:$I$7,BX354)),0),0)</f>
        <v>0</v>
      </c>
      <c r="CH354" s="59" t="n">
        <f aca="false">IF(AND(Parameter!$B$21="Ja",ISNUMBER(W354),N(X354)&gt;0),IFERROR(N(INDEX(Parameter!$L$5:$L$7,W354))*INDEX(Parameter!$E$5:$E$7,W354)*X354/SUMIFS($X$7:$X$1843,$W$7:$W$1843,W354),0),0)</f>
        <v>0</v>
      </c>
    </row>
    <row r="355" customFormat="false" ht="15" hidden="false" customHeight="false" outlineLevel="0" collapsed="false">
      <c r="A355" s="55" t="s">
        <v>865</v>
      </c>
      <c r="B355" s="55" t="s">
        <v>589</v>
      </c>
      <c r="C355" s="55" t="s">
        <v>164</v>
      </c>
      <c r="D355" s="55" t="s">
        <v>184</v>
      </c>
      <c r="E355" s="55" t="s">
        <v>185</v>
      </c>
      <c r="F355" s="55" t="s">
        <v>218</v>
      </c>
      <c r="G355" s="56" t="n">
        <v>17.2</v>
      </c>
      <c r="H355" s="57" t="n">
        <f aca="false">MAX(0,IF(AND(Parameter!$B$21="Ja",ISNUMBER(Y355)),Y355,IF(Parameter!$B$20="Jahresanfang 2025 + Export",BL355+BK355,BK355)))</f>
        <v>78</v>
      </c>
      <c r="I355" s="57" t="n">
        <f aca="false">H355*G355</f>
        <v>1341.6</v>
      </c>
      <c r="J355" s="57" t="n">
        <f aca="false">BN355*Parameter!$B$18</f>
        <v>0</v>
      </c>
      <c r="K355" s="58" t="n">
        <v>73</v>
      </c>
      <c r="L355" s="59" t="n">
        <v>0</v>
      </c>
      <c r="M355" s="57" t="n">
        <v>0</v>
      </c>
      <c r="N355" s="57" t="n">
        <v>1</v>
      </c>
      <c r="O355" s="60" t="n">
        <v>35</v>
      </c>
      <c r="P355" s="55" t="s">
        <v>426</v>
      </c>
      <c r="Q355" s="57" t="n">
        <v>114</v>
      </c>
      <c r="R355" s="60" t="n">
        <f aca="false">IF(BT355=1,0,IFERROR(VLOOKUP(BR355,'Gebinde-Kategorie'!$A$5:$M$45,13,0)+0,0))</f>
        <v>198</v>
      </c>
      <c r="S355" s="61"/>
      <c r="T355" s="62"/>
      <c r="U355" s="62"/>
      <c r="V355" s="62"/>
      <c r="W355" s="55"/>
      <c r="X355" s="57"/>
      <c r="Y355" s="57"/>
      <c r="Z355" s="55" t="n">
        <f aca="false">IF(A355="","",IF(AND(Parameter!$B$21="Ja",ISNUMBER(W355)),W355,IF(BV355="2+3",IF(ISNUMBER(SEARCH("grosser Artikel",BO355)),2,IFERROR(VLOOKUP(BR355,Parameter!$F$35:$G$64,2,0),2)),IF(OR(BV355="Nein",BV355=""),"-",BV355))))</f>
        <v>3</v>
      </c>
      <c r="AA355" s="62"/>
      <c r="AB355" s="63"/>
      <c r="AC355" s="57" t="n">
        <f aca="false">AR355</f>
        <v>114</v>
      </c>
      <c r="AD355" s="57" t="n">
        <f aca="false">MAX(AR355,H355)</f>
        <v>114</v>
      </c>
      <c r="AE355" s="64"/>
      <c r="AF355" s="57" t="n">
        <f aca="false">IF(LEFT(Cockpit!$C$5,1)="A",H355,IF(CA355=1,CB355,IF(LEFT(Cockpit!$C$5,1)="B",AJ355,MAX(AJ355,H355))))</f>
        <v>78</v>
      </c>
      <c r="AG355" s="57" t="n">
        <f aca="false">IF(BT355=1,0,ROUNDUP(AF355/BS355,0))</f>
        <v>1</v>
      </c>
      <c r="AH355" s="59" t="n">
        <f aca="false">IF(CH355&gt;0,CH355*MAX(1,AF355/X355),IF(BT355=1,IF(AF355&lt;=0,0,BW355*MAX(1,IF(H355&gt;0,AF355/H355,1))),IF(R355&gt;0,AG355/R355,0))/MAX(0.1,N(Parameter!$M$21)))</f>
        <v>0.00505050505050505</v>
      </c>
      <c r="AI355" s="57" t="n">
        <f aca="false">AF355*G355</f>
        <v>1341.6</v>
      </c>
      <c r="AJ355" s="57" t="n">
        <f aca="false">ROUNDUP(MAX(J355/IF(BZ355&gt;0,BZ355,MAX(0.1,N(Cockpit!$C$6))),CC355)/BS355,0)*BS355</f>
        <v>114</v>
      </c>
      <c r="AK355" s="58" t="n">
        <f aca="false">IF(AH355&gt;0,J355/AH355,-1)</f>
        <v>0</v>
      </c>
      <c r="AL355" s="58" t="n">
        <f aca="false">IF(AND(OR(BY355="L1",BY355="L23"),AH355&gt;0),SUMIFS($AH$7:$AH$1843,$BY$7:$BY$1843,BY355,$AK$7:$AK$1843,"&gt;"&amp;AK355)+SUMIFS($AH$7:$AH$1843,$BY$7:$BY$1843,BY355,$AK$7:$AK$1843,AK355,$BQ$7:$BQ$1843,"&lt;="&amp;BQ355),"")</f>
        <v>73.2734958278437</v>
      </c>
      <c r="AM355" s="65" t="n">
        <f aca="false">IF(AL355="",0,MAX(0,MIN(1,(IF(BY355="L1",Parameter!$E$5,Parameter!$E$6+Parameter!$E$7)-(AL355-AH355))/AH355)))</f>
        <v>1</v>
      </c>
      <c r="AN355" s="57" t="n">
        <f aca="false">IF(LEFT(Cockpit!$I$5,1)="A",H355,IF(CA355=1,CB355,IF(LEFT(Cockpit!$I$5,1)="B",AR355,MAX(AR355,H355))))</f>
        <v>114</v>
      </c>
      <c r="AO355" s="57" t="n">
        <f aca="false">IF(BT355=1,0,ROUNDUP(AN355/BS355,0))</f>
        <v>1</v>
      </c>
      <c r="AP355" s="59" t="n">
        <f aca="false">IF(CH355&gt;0,CH355*MAX(1,AN355/X355),IF(BT355=1,IF(AN355&lt;=0,0,BW355*MAX(1,IF(H355&gt;0,AN355/H355,1))),IF(R355&gt;0,AO355/R355,0))/MAX(0.1,N(Parameter!$M$21)))</f>
        <v>0.00505050505050505</v>
      </c>
      <c r="AQ355" s="57" t="n">
        <f aca="false">AN355*G355</f>
        <v>1960.8</v>
      </c>
      <c r="AR355" s="57" t="n">
        <f aca="false">ROUNDUP(MAX(J355/IF(BZ355&gt;0,BZ355,MAX(0.1,N(Cockpit!$I$6))),CC355)/BS355,0)*BS355</f>
        <v>114</v>
      </c>
      <c r="AS355" s="58" t="n">
        <f aca="false">IF(AP355&gt;0,J355/AP355,-1)</f>
        <v>0</v>
      </c>
      <c r="AT355" s="58" t="n">
        <f aca="false">IF(AND(OR(BY355="L1",BY355="L23"),AP355&gt;0),SUMIFS($AP$7:$AP$1843,$BY$7:$BY$1843,BY355,$AS$7:$AS$1843,"&gt;"&amp;AS355)+SUMIFS($AP$7:$AP$1843,$BY$7:$BY$1843,BY355,$AS$7:$AS$1843,AS355,$BQ$7:$BQ$1843,"&lt;="&amp;BQ355),"")</f>
        <v>112.697620012837</v>
      </c>
      <c r="AU355" s="65" t="n">
        <f aca="false">IF(AT355="",0,MAX(0,MIN(1,(IF(BY355="L1",Parameter!$E$5,Parameter!$E$6+Parameter!$E$7)-(AT355-AP355))/AP355)))</f>
        <v>0</v>
      </c>
      <c r="AV355" s="57" t="n">
        <f aca="false">IF(LEFT(Cockpit!$O$5,1)="A",H355,IF(CA355=1,CB355,IF(LEFT(Cockpit!$O$5,1)="B",AZ355,MAX(AZ355,H355))))</f>
        <v>114</v>
      </c>
      <c r="AW355" s="57" t="n">
        <f aca="false">IF(BT355=1,0,ROUNDUP(AV355/BS355,0))</f>
        <v>1</v>
      </c>
      <c r="AX355" s="59" t="n">
        <f aca="false">IF(CH355&gt;0,CH355*MAX(1,AV355/X355),IF(BT355=1,IF(AV355&lt;=0,0,BW355*MAX(1,IF(H355&gt;0,AV355/H355,1))),IF(R355&gt;0,AW355/R355,0))/MAX(0.1,N(Parameter!$M$21)))</f>
        <v>0.00505050505050505</v>
      </c>
      <c r="AY355" s="57" t="n">
        <f aca="false">AV355*G355</f>
        <v>1960.8</v>
      </c>
      <c r="AZ355" s="57" t="n">
        <f aca="false">ROUNDUP(MAX(J355/IF(BZ355&gt;0,BZ355,MAX(0.1,N(Cockpit!$O$6))),CC355)/BS355,0)*BS355</f>
        <v>114</v>
      </c>
      <c r="BA355" s="58" t="n">
        <f aca="false">IF(AX355&gt;0,J355/AX355,-1)</f>
        <v>0</v>
      </c>
      <c r="BB355" s="58" t="n">
        <f aca="false">IF(AND(OR(BY355="L1",BY355="L23"),AX355&gt;0),SUMIFS($AX$7:$AX$1843,$BY$7:$BY$1843,BY355,$BA$7:$BA$1843,"&gt;"&amp;BA355)+SUMIFS($AX$7:$AX$1843,$BY$7:$BY$1843,BY355,$BA$7:$BA$1843,BA355,$BQ$7:$BQ$1843,"&lt;="&amp;BQ355),"")</f>
        <v>103.527456842674</v>
      </c>
      <c r="BC355" s="65" t="n">
        <f aca="false">IF(BB355="",0,MAX(0,MIN(1,(IF(BY355="L1",Parameter!$E$5,Parameter!$E$6+Parameter!$E$7)-(BB355-AX355))/AX355)))</f>
        <v>0</v>
      </c>
      <c r="BD355" s="55" t="str">
        <f aca="false">IF(AH355&lt;=0,"",IF(BY355="Aussen","Aussenlager",IF(BY355="-","Nicht im Lift",IF(AM355&gt;=1,"Lift",IF(AM355&lt;=0,"Aussenlager","teilweise")))))</f>
        <v>Lift</v>
      </c>
      <c r="BE355" s="55" t="str">
        <f aca="false">IF(AP355&lt;=0,"",IF(BY355="Aussen","Aussenlager",IF(BY355="-","Nicht im Lift",IF(AU355&gt;=1,"Lift",IF(AU355&lt;=0,"Aussenlager","teilweise")))))</f>
        <v>Aussenlager</v>
      </c>
      <c r="BF355" s="55" t="str">
        <f aca="false">IF(AX355&lt;=0,"",IF(BY355="Aussen","Aussenlager",IF(BY355="-","Nicht im Lift",IF(BC355&gt;=1,"Lift",IF(BC355&lt;=0,"Aussenlager","teilweise")))))</f>
        <v>Aussenlager</v>
      </c>
      <c r="BG355" s="55" t="str">
        <f aca="false">IF(A355="","",IF(BP355=1,"Neu; ","")&amp;IF(AND(BP355=0,BK355&lt;0),"negativer Bestand (Export "&amp;BK355&amp;"); ","")&amp;IF(J355&lt;=0,"Kein Verbrauch; ","")&amp;IF(CH355&gt;0,"Lift "&amp;W355&amp;" lt. Liftbericht (Fach "&amp;X355&amp;" Stk); ",IF(BU355=1,"Gebinde geschätzt ("&amp;T355&amp;"); ",IF(BT355=1,"Lose – Tablare geschätzt; ","")))&amp;IF(H355&gt;AR355,"Überbestand "&amp;ROUND(H355-AR355,0)&amp;" Stk / CHF "&amp;ROUND((H355-AR355)*G355,0)&amp;"; ","")&amp;IF(AND(CA355=1,CB355&lt;CC355),"MAX &lt; MB+LG; ","")&amp;IF(AND(CG355&gt;0,CF355*10&gt;CG355),"zu hoch für Tablar; ","")&amp;IF(AND(BP355=0,OR(CA355=1,AA355&lt;&gt;"",U355&lt;&gt;"",V355&lt;&gt;"",AB355&lt;&gt;"")),"manuell übersteuert; ","")&amp;IF(AND(BT355=0,R355=0),"Gebinde unbekannt / Stellmass fehlt; ","")&amp;IF(AND(BT355=0,N(V355)&lt;=0,N(Q355)&lt;=0),"Menge pro Gebinde fehlt (Ist = 1 Gebinde); ","")&amp;BO355)</f>
        <v>Kein Verbrauch; Überbestand</v>
      </c>
      <c r="BH355" s="55"/>
      <c r="BI355" s="55"/>
      <c r="BJ355" s="62"/>
      <c r="BK355" s="57" t="n">
        <v>10</v>
      </c>
      <c r="BL355" s="57" t="n">
        <v>68</v>
      </c>
      <c r="BM355" s="56" t="n">
        <v>172</v>
      </c>
      <c r="BN355" s="57" t="n">
        <v>0</v>
      </c>
      <c r="BO355" s="55" t="s">
        <v>392</v>
      </c>
      <c r="BP355" s="60" t="n">
        <v>0</v>
      </c>
      <c r="BQ355" s="60" t="n">
        <v>355</v>
      </c>
      <c r="BR355" s="55" t="str">
        <f aca="false">IF(U355&lt;&gt;"",UPPER(TRIM(U355)),IF(BU355=1,UPPER(VLOOKUP(T355,Parameter!$I$27:$K$29,2,0)),IF(P355="","LOSE",P355)))</f>
        <v>S22</v>
      </c>
      <c r="BS355" s="57" t="n">
        <f aca="false">IF(BR355="LOSE",1,IF(N(V355)&gt;0,V355,IF(BU355=1,MAX(1,N(VLOOKUP(T355,Parameter!$I$27:$K$29,3,0)),H355,N(N355)),IF(N(Q355)&gt;0,Q355,MAX(1,H355)))))</f>
        <v>114</v>
      </c>
      <c r="BT355" s="60" t="n">
        <f aca="false">IF(BR355="LOSE",1,0)</f>
        <v>0</v>
      </c>
      <c r="BU355" s="60" t="n">
        <f aca="false">IF(AND(U355="",OR(P355="",P355="LOSE"),T355&lt;&gt;"",N(S355)&lt;=0,ISNUMBER(MATCH(T355,Parameter!$I$27:$I$29,0))),1,0)</f>
        <v>0</v>
      </c>
      <c r="BV355" s="55" t="str">
        <f aca="false">IF(AND(Parameter!$B$19="Ja",E355&lt;&gt;"",ISNUMBER(MATCH(E355,Parameter!$I$35:$I$52,0))),VLOOKUP(E355,Parameter!$I$35:$J$52,2,0),IFERROR(VLOOKUP(D355,Parameter!$A$35:$C$64,2,0),"Nein"))</f>
        <v>2+3</v>
      </c>
      <c r="BW355" s="59" t="n">
        <f aca="false">IF(BT355=0,0,IF(N(S355)&gt;0,S355,IFERROR(VLOOKUP(D355,Parameter!$A$35:$C$64,3,0)+0,0)))</f>
        <v>0</v>
      </c>
      <c r="BX355" s="55" t="n">
        <f aca="false">IF(AA355&lt;&gt;"",AA355,Z355)</f>
        <v>3</v>
      </c>
      <c r="BY355" s="55" t="str">
        <f aca="false">IF(BX355=1,"L1",IF(OR(BX355=2,BX355=3),"L23",IF(BX355="Aussen","Aussen","-")))</f>
        <v>L23</v>
      </c>
      <c r="BZ355" s="66" t="n">
        <f aca="false">IF(N(AB355)&gt;0,AB355,0)</f>
        <v>0</v>
      </c>
      <c r="CA355" s="60" t="n">
        <f aca="false">IF(ISNUMBER(AE355),1,0)</f>
        <v>0</v>
      </c>
      <c r="CB355" s="57" t="n">
        <f aca="false">N(AE355)</f>
        <v>0</v>
      </c>
      <c r="CC355" s="57" t="n">
        <f aca="false">N(M355)+N(N355)</f>
        <v>1</v>
      </c>
      <c r="CD355" s="57" t="n">
        <f aca="false">ROUNDUP(H355/BS355,0)</f>
        <v>1</v>
      </c>
      <c r="CE355" s="57" t="n">
        <f aca="false">ROUNDUP(CB355/BS355,0)</f>
        <v>0</v>
      </c>
      <c r="CF355" s="60" t="n">
        <f aca="false">IF(BT355=1,0,IFERROR(VLOOKUP(BR355,'Gebinde-Kategorie'!$A$5:$M$45,5,0)+0,0))</f>
        <v>8</v>
      </c>
      <c r="CG355" s="60" t="n">
        <f aca="false">IFERROR(IF(OR(BX355=1,BX355=2,BX355=3),N(INDEX(Parameter!$I$5:$I$7,BX355)),0),0)</f>
        <v>0</v>
      </c>
      <c r="CH355" s="59" t="n">
        <f aca="false">IF(AND(Parameter!$B$21="Ja",ISNUMBER(W355),N(X355)&gt;0),IFERROR(N(INDEX(Parameter!$L$5:$L$7,W355))*INDEX(Parameter!$E$5:$E$7,W355)*X355/SUMIFS($X$7:$X$1843,$W$7:$W$1843,W355),0),0)</f>
        <v>0</v>
      </c>
    </row>
    <row r="356" customFormat="false" ht="15" hidden="false" customHeight="false" outlineLevel="0" collapsed="false">
      <c r="A356" s="55" t="s">
        <v>866</v>
      </c>
      <c r="B356" s="55" t="s">
        <v>867</v>
      </c>
      <c r="C356" s="55" t="s">
        <v>164</v>
      </c>
      <c r="D356" s="55" t="s">
        <v>184</v>
      </c>
      <c r="E356" s="55" t="s">
        <v>185</v>
      </c>
      <c r="F356" s="55" t="s">
        <v>218</v>
      </c>
      <c r="G356" s="56" t="n">
        <v>19.05</v>
      </c>
      <c r="H356" s="57" t="n">
        <f aca="false">MAX(0,IF(AND(Parameter!$B$21="Ja",ISNUMBER(Y356)),Y356,IF(Parameter!$B$20="Jahresanfang 2025 + Export",BL356+BK356,BK356)))</f>
        <v>9</v>
      </c>
      <c r="I356" s="57" t="n">
        <f aca="false">H356*G356</f>
        <v>171.45</v>
      </c>
      <c r="J356" s="57" t="n">
        <f aca="false">BN356*Parameter!$B$18</f>
        <v>6</v>
      </c>
      <c r="K356" s="58" t="n">
        <v>4.5</v>
      </c>
      <c r="L356" s="59" t="n">
        <v>1.33333333333333</v>
      </c>
      <c r="M356" s="57" t="n">
        <v>0</v>
      </c>
      <c r="N356" s="57" t="n">
        <v>5</v>
      </c>
      <c r="O356" s="60" t="n">
        <v>14</v>
      </c>
      <c r="P356" s="55" t="s">
        <v>168</v>
      </c>
      <c r="Q356" s="57"/>
      <c r="R356" s="60" t="n">
        <f aca="false">IF(BT356=1,0,IFERROR(VLOOKUP(BR356,'Gebinde-Kategorie'!$A$5:$M$45,13,0)+0,0))</f>
        <v>26</v>
      </c>
      <c r="S356" s="61"/>
      <c r="T356" s="62" t="s">
        <v>275</v>
      </c>
      <c r="U356" s="62"/>
      <c r="V356" s="62"/>
      <c r="W356" s="55"/>
      <c r="X356" s="57"/>
      <c r="Y356" s="57"/>
      <c r="Z356" s="55" t="n">
        <f aca="false">IF(A356="","",IF(AND(Parameter!$B$21="Ja",ISNUMBER(W356)),W356,IF(BV356="2+3",IF(ISNUMBER(SEARCH("grosser Artikel",BO356)),2,IFERROR(VLOOKUP(BR356,Parameter!$F$35:$G$64,2,0),2)),IF(OR(BV356="Nein",BV356=""),"-",BV356))))</f>
        <v>3</v>
      </c>
      <c r="AA356" s="62"/>
      <c r="AB356" s="63"/>
      <c r="AC356" s="57" t="n">
        <f aca="false">AR356</f>
        <v>20</v>
      </c>
      <c r="AD356" s="57" t="n">
        <f aca="false">MAX(AR356,H356)</f>
        <v>20</v>
      </c>
      <c r="AE356" s="64"/>
      <c r="AF356" s="57" t="n">
        <f aca="false">IF(LEFT(Cockpit!$C$5,1)="A",H356,IF(CA356=1,CB356,IF(LEFT(Cockpit!$C$5,1)="B",AJ356,MAX(AJ356,H356))))</f>
        <v>9</v>
      </c>
      <c r="AG356" s="57" t="n">
        <f aca="false">IF(BT356=1,0,ROUNDUP(AF356/BS356,0))</f>
        <v>1</v>
      </c>
      <c r="AH356" s="59" t="n">
        <f aca="false">IF(CH356&gt;0,CH356*MAX(1,AF356/X356),IF(BT356=1,IF(AF356&lt;=0,0,BW356*MAX(1,IF(H356&gt;0,AF356/H356,1))),IF(R356&gt;0,AG356/R356,0))/MAX(0.1,N(Parameter!$M$21)))</f>
        <v>0.0384615384615385</v>
      </c>
      <c r="AI356" s="57" t="n">
        <f aca="false">AF356*G356</f>
        <v>171.45</v>
      </c>
      <c r="AJ356" s="57" t="n">
        <f aca="false">ROUNDUP(MAX(J356/IF(BZ356&gt;0,BZ356,MAX(0.1,N(Cockpit!$C$6))),CC356)/BS356,0)*BS356</f>
        <v>20</v>
      </c>
      <c r="AK356" s="58" t="n">
        <f aca="false">IF(AH356&gt;0,J356/AH356,-1)</f>
        <v>156</v>
      </c>
      <c r="AL356" s="58" t="n">
        <f aca="false">IF(AND(OR(BY356="L1",BY356="L23"),AH356&gt;0),SUMIFS($AH$7:$AH$1843,$BY$7:$BY$1843,BY356,$AK$7:$AK$1843,"&gt;"&amp;AK356)+SUMIFS($AH$7:$AH$1843,$BY$7:$BY$1843,BY356,$AK$7:$AK$1843,AK356,$BQ$7:$BQ$1843,"&lt;="&amp;BQ356),"")</f>
        <v>34.7194942738421</v>
      </c>
      <c r="AM356" s="65" t="n">
        <f aca="false">IF(AL356="",0,MAX(0,MIN(1,(IF(BY356="L1",Parameter!$E$5,Parameter!$E$6+Parameter!$E$7)-(AL356-AH356))/AH356)))</f>
        <v>1</v>
      </c>
      <c r="AN356" s="57" t="n">
        <f aca="false">IF(LEFT(Cockpit!$I$5,1)="A",H356,IF(CA356=1,CB356,IF(LEFT(Cockpit!$I$5,1)="B",AR356,MAX(AR356,H356))))</f>
        <v>20</v>
      </c>
      <c r="AO356" s="57" t="n">
        <f aca="false">IF(BT356=1,0,ROUNDUP(AN356/BS356,0))</f>
        <v>1</v>
      </c>
      <c r="AP356" s="59" t="n">
        <f aca="false">IF(CH356&gt;0,CH356*MAX(1,AN356/X356),IF(BT356=1,IF(AN356&lt;=0,0,BW356*MAX(1,IF(H356&gt;0,AN356/H356,1))),IF(R356&gt;0,AO356/R356,0))/MAX(0.1,N(Parameter!$M$21)))</f>
        <v>0.0384615384615385</v>
      </c>
      <c r="AQ356" s="57" t="n">
        <f aca="false">AN356*G356</f>
        <v>381</v>
      </c>
      <c r="AR356" s="57" t="n">
        <f aca="false">ROUNDUP(MAX(J356/IF(BZ356&gt;0,BZ356,MAX(0.1,N(Cockpit!$I$6))),CC356)/BS356,0)*BS356</f>
        <v>20</v>
      </c>
      <c r="AS356" s="58" t="n">
        <f aca="false">IF(AP356&gt;0,J356/AP356,-1)</f>
        <v>156</v>
      </c>
      <c r="AT356" s="58" t="n">
        <f aca="false">IF(AND(OR(BY356="L1",BY356="L23"),AP356&gt;0),SUMIFS($AP$7:$AP$1843,$BY$7:$BY$1843,BY356,$AS$7:$AS$1843,"&gt;"&amp;AS356)+SUMIFS($AP$7:$AP$1843,$BY$7:$BY$1843,BY356,$AS$7:$AS$1843,AS356,$BQ$7:$BQ$1843,"&lt;="&amp;BQ356),"")</f>
        <v>49.0095858248032</v>
      </c>
      <c r="AU356" s="65" t="n">
        <f aca="false">IF(AT356="",0,MAX(0,MIN(1,(IF(BY356="L1",Parameter!$E$5,Parameter!$E$6+Parameter!$E$7)-(AT356-AP356))/AP356)))</f>
        <v>1</v>
      </c>
      <c r="AV356" s="57" t="n">
        <f aca="false">IF(LEFT(Cockpit!$O$5,1)="A",H356,IF(CA356=1,CB356,IF(LEFT(Cockpit!$O$5,1)="B",AZ356,MAX(AZ356,H356))))</f>
        <v>20</v>
      </c>
      <c r="AW356" s="57" t="n">
        <f aca="false">IF(BT356=1,0,ROUNDUP(AV356/BS356,0))</f>
        <v>1</v>
      </c>
      <c r="AX356" s="59" t="n">
        <f aca="false">IF(CH356&gt;0,CH356*MAX(1,AV356/X356),IF(BT356=1,IF(AV356&lt;=0,0,BW356*MAX(1,IF(H356&gt;0,AV356/H356,1))),IF(R356&gt;0,AW356/R356,0))/MAX(0.1,N(Parameter!$M$21)))</f>
        <v>0.0384615384615385</v>
      </c>
      <c r="AY356" s="57" t="n">
        <f aca="false">AV356*G356</f>
        <v>381</v>
      </c>
      <c r="AZ356" s="57" t="n">
        <f aca="false">ROUNDUP(MAX(J356/IF(BZ356&gt;0,BZ356,MAX(0.1,N(Cockpit!$O$6))),CC356)/BS356,0)*BS356</f>
        <v>20</v>
      </c>
      <c r="BA356" s="58" t="n">
        <f aca="false">IF(AX356&gt;0,J356/AX356,-1)</f>
        <v>156</v>
      </c>
      <c r="BB356" s="58" t="n">
        <f aca="false">IF(AND(OR(BY356="L1",BY356="L23"),AX356&gt;0),SUMIFS($AX$7:$AX$1843,$BY$7:$BY$1843,BY356,$BA$7:$BA$1843,"&gt;"&amp;BA356)+SUMIFS($AX$7:$AX$1843,$BY$7:$BY$1843,BY356,$BA$7:$BA$1843,BA356,$BQ$7:$BQ$1843,"&lt;="&amp;BQ356),"")</f>
        <v>44.58942265464</v>
      </c>
      <c r="BC356" s="65" t="n">
        <f aca="false">IF(BB356="",0,MAX(0,MIN(1,(IF(BY356="L1",Parameter!$E$5,Parameter!$E$6+Parameter!$E$7)-(BB356-AX356))/AX356)))</f>
        <v>1</v>
      </c>
      <c r="BD356" s="55" t="str">
        <f aca="false">IF(AH356&lt;=0,"",IF(BY356="Aussen","Aussenlager",IF(BY356="-","Nicht im Lift",IF(AM356&gt;=1,"Lift",IF(AM356&lt;=0,"Aussenlager","teilweise")))))</f>
        <v>Lift</v>
      </c>
      <c r="BE356" s="55" t="str">
        <f aca="false">IF(AP356&lt;=0,"",IF(BY356="Aussen","Aussenlager",IF(BY356="-","Nicht im Lift",IF(AU356&gt;=1,"Lift",IF(AU356&lt;=0,"Aussenlager","teilweise")))))</f>
        <v>Lift</v>
      </c>
      <c r="BF356" s="55" t="str">
        <f aca="false">IF(AX356&lt;=0,"",IF(BY356="Aussen","Aussenlager",IF(BY356="-","Nicht im Lift",IF(BC356&gt;=1,"Lift",IF(BC356&lt;=0,"Aussenlager","teilweise")))))</f>
        <v>Lift</v>
      </c>
      <c r="BG356" s="55" t="str">
        <f aca="false">IF(A356="","",IF(BP356=1,"Neu; ","")&amp;IF(AND(BP356=0,BK356&lt;0),"negativer Bestand (Export "&amp;BK356&amp;"); ","")&amp;IF(J356&lt;=0,"Kein Verbrauch; ","")&amp;IF(CH356&gt;0,"Lift "&amp;W356&amp;" lt. Liftbericht (Fach "&amp;X356&amp;" Stk); ",IF(BU356=1,"Gebinde geschätzt ("&amp;T356&amp;"); ",IF(BT356=1,"Lose – Tablare geschätzt; ","")))&amp;IF(H356&gt;AR356,"Überbestand "&amp;ROUND(H356-AR356,0)&amp;" Stk / CHF "&amp;ROUND((H356-AR356)*G356,0)&amp;"; ","")&amp;IF(AND(CA356=1,CB356&lt;CC356),"MAX &lt; MB+LG; ","")&amp;IF(AND(CG356&gt;0,CF356*10&gt;CG356),"zu hoch für Tablar; ","")&amp;IF(AND(BP356=0,OR(CA356=1,AA356&lt;&gt;"",U356&lt;&gt;"",V356&lt;&gt;"",AB356&lt;&gt;"")),"manuell übersteuert; ","")&amp;IF(AND(BT356=0,R356=0),"Gebinde unbekannt / Stellmass fehlt; ","")&amp;IF(AND(BT356=0,N(V356)&lt;=0,N(Q356)&lt;=0),"Menge pro Gebinde fehlt (Ist = 1 Gebinde); ","")&amp;BO356)</f>
        <v>Gebinde geschätzt (Klein); Menge pro Gebinde fehlt (Ist = 1 Gebinde); nicht im KTL vorhanden</v>
      </c>
      <c r="BH356" s="55"/>
      <c r="BI356" s="55"/>
      <c r="BJ356" s="62"/>
      <c r="BK356" s="57" t="n">
        <v>9</v>
      </c>
      <c r="BL356" s="57" t="n">
        <v>0</v>
      </c>
      <c r="BM356" s="56" t="n">
        <v>171.45</v>
      </c>
      <c r="BN356" s="57" t="n">
        <v>6</v>
      </c>
      <c r="BO356" s="55" t="s">
        <v>230</v>
      </c>
      <c r="BP356" s="60" t="n">
        <v>0</v>
      </c>
      <c r="BQ356" s="60" t="n">
        <v>356</v>
      </c>
      <c r="BR356" s="55" t="str">
        <f aca="false">IF(U356&lt;&gt;"",UPPER(TRIM(U356)),IF(BU356=1,UPPER(VLOOKUP(T356,Parameter!$I$27:$K$29,2,0)),IF(P356="","LOSE",P356)))</f>
        <v>S51</v>
      </c>
      <c r="BS356" s="57" t="n">
        <f aca="false">IF(BR356="LOSE",1,IF(N(V356)&gt;0,V356,IF(BU356=1,MAX(1,N(VLOOKUP(T356,Parameter!$I$27:$K$29,3,0)),H356,N(N356)),IF(N(Q356)&gt;0,Q356,MAX(1,H356)))))</f>
        <v>20</v>
      </c>
      <c r="BT356" s="60" t="n">
        <f aca="false">IF(BR356="LOSE",1,0)</f>
        <v>0</v>
      </c>
      <c r="BU356" s="60" t="n">
        <f aca="false">IF(AND(U356="",OR(P356="",P356="LOSE"),T356&lt;&gt;"",N(S356)&lt;=0,ISNUMBER(MATCH(T356,Parameter!$I$27:$I$29,0))),1,0)</f>
        <v>1</v>
      </c>
      <c r="BV356" s="55" t="str">
        <f aca="false">IF(AND(Parameter!$B$19="Ja",E356&lt;&gt;"",ISNUMBER(MATCH(E356,Parameter!$I$35:$I$52,0))),VLOOKUP(E356,Parameter!$I$35:$J$52,2,0),IFERROR(VLOOKUP(D356,Parameter!$A$35:$C$64,2,0),"Nein"))</f>
        <v>2+3</v>
      </c>
      <c r="BW356" s="59" t="n">
        <f aca="false">IF(BT356=0,0,IF(N(S356)&gt;0,S356,IFERROR(VLOOKUP(D356,Parameter!$A$35:$C$64,3,0)+0,0)))</f>
        <v>0</v>
      </c>
      <c r="BX356" s="55" t="n">
        <f aca="false">IF(AA356&lt;&gt;"",AA356,Z356)</f>
        <v>3</v>
      </c>
      <c r="BY356" s="55" t="str">
        <f aca="false">IF(BX356=1,"L1",IF(OR(BX356=2,BX356=3),"L23",IF(BX356="Aussen","Aussen","-")))</f>
        <v>L23</v>
      </c>
      <c r="BZ356" s="66" t="n">
        <f aca="false">IF(N(AB356)&gt;0,AB356,0)</f>
        <v>0</v>
      </c>
      <c r="CA356" s="60" t="n">
        <f aca="false">IF(ISNUMBER(AE356),1,0)</f>
        <v>0</v>
      </c>
      <c r="CB356" s="57" t="n">
        <f aca="false">N(AE356)</f>
        <v>0</v>
      </c>
      <c r="CC356" s="57" t="n">
        <f aca="false">N(M356)+N(N356)</f>
        <v>5</v>
      </c>
      <c r="CD356" s="57" t="n">
        <f aca="false">ROUNDUP(H356/BS356,0)</f>
        <v>1</v>
      </c>
      <c r="CE356" s="57" t="n">
        <f aca="false">ROUNDUP(CB356/BS356,0)</f>
        <v>0</v>
      </c>
      <c r="CF356" s="60" t="n">
        <f aca="false">IF(BT356=1,0,IFERROR(VLOOKUP(BR356,'Gebinde-Kategorie'!$A$5:$M$45,5,0)+0,0))</f>
        <v>11</v>
      </c>
      <c r="CG356" s="60" t="n">
        <f aca="false">IFERROR(IF(OR(BX356=1,BX356=2,BX356=3),N(INDEX(Parameter!$I$5:$I$7,BX356)),0),0)</f>
        <v>0</v>
      </c>
      <c r="CH356" s="59" t="n">
        <f aca="false">IF(AND(Parameter!$B$21="Ja",ISNUMBER(W356),N(X356)&gt;0),IFERROR(N(INDEX(Parameter!$L$5:$L$7,W356))*INDEX(Parameter!$E$5:$E$7,W356)*X356/SUMIFS($X$7:$X$1843,$W$7:$W$1843,W356),0),0)</f>
        <v>0</v>
      </c>
    </row>
    <row r="357" customFormat="false" ht="15" hidden="false" customHeight="false" outlineLevel="0" collapsed="false">
      <c r="A357" s="55" t="s">
        <v>868</v>
      </c>
      <c r="B357" s="55" t="s">
        <v>571</v>
      </c>
      <c r="C357" s="55" t="s">
        <v>164</v>
      </c>
      <c r="D357" s="55" t="s">
        <v>184</v>
      </c>
      <c r="E357" s="55" t="s">
        <v>185</v>
      </c>
      <c r="F357" s="55" t="s">
        <v>218</v>
      </c>
      <c r="G357" s="56" t="n">
        <v>8.04</v>
      </c>
      <c r="H357" s="57" t="n">
        <f aca="false">MAX(0,IF(AND(Parameter!$B$21="Ja",ISNUMBER(Y357)),Y357,IF(Parameter!$B$20="Jahresanfang 2025 + Export",BL357+BK357,BK357)))</f>
        <v>117</v>
      </c>
      <c r="I357" s="57" t="n">
        <f aca="false">H357*G357</f>
        <v>940.68</v>
      </c>
      <c r="J357" s="57" t="n">
        <f aca="false">BN357*Parameter!$B$18</f>
        <v>672</v>
      </c>
      <c r="K357" s="58" t="n">
        <v>128</v>
      </c>
      <c r="L357" s="59" t="n">
        <v>5.25</v>
      </c>
      <c r="M357" s="57" t="n">
        <v>39</v>
      </c>
      <c r="N357" s="57" t="n">
        <v>150</v>
      </c>
      <c r="O357" s="60" t="n">
        <v>21</v>
      </c>
      <c r="P357" s="55" t="s">
        <v>302</v>
      </c>
      <c r="Q357" s="57" t="n">
        <v>266</v>
      </c>
      <c r="R357" s="60" t="n">
        <f aca="false">IF(BT357=1,0,IFERROR(VLOOKUP(BR357,'Gebinde-Kategorie'!$A$5:$M$45,13,0)+0,0))</f>
        <v>26</v>
      </c>
      <c r="S357" s="61"/>
      <c r="T357" s="62"/>
      <c r="U357" s="62"/>
      <c r="V357" s="62"/>
      <c r="W357" s="55"/>
      <c r="X357" s="57"/>
      <c r="Y357" s="57"/>
      <c r="Z357" s="55" t="n">
        <f aca="false">IF(A357="","",IF(AND(Parameter!$B$21="Ja",ISNUMBER(W357)),W357,IF(BV357="2+3",IF(ISNUMBER(SEARCH("grosser Artikel",BO357)),2,IFERROR(VLOOKUP(BR357,Parameter!$F$35:$G$64,2,0),2)),IF(OR(BV357="Nein",BV357=""),"-",BV357))))</f>
        <v>3</v>
      </c>
      <c r="AA357" s="62"/>
      <c r="AB357" s="63"/>
      <c r="AC357" s="57" t="n">
        <f aca="false">AR357</f>
        <v>532</v>
      </c>
      <c r="AD357" s="57" t="n">
        <f aca="false">MAX(AR357,H357)</f>
        <v>532</v>
      </c>
      <c r="AE357" s="64"/>
      <c r="AF357" s="57" t="n">
        <f aca="false">IF(LEFT(Cockpit!$C$5,1)="A",H357,IF(CA357=1,CB357,IF(LEFT(Cockpit!$C$5,1)="B",AJ357,MAX(AJ357,H357))))</f>
        <v>117</v>
      </c>
      <c r="AG357" s="57" t="n">
        <f aca="false">IF(BT357=1,0,ROUNDUP(AF357/BS357,0))</f>
        <v>1</v>
      </c>
      <c r="AH357" s="59" t="n">
        <f aca="false">IF(CH357&gt;0,CH357*MAX(1,AF357/X357),IF(BT357=1,IF(AF357&lt;=0,0,BW357*MAX(1,IF(H357&gt;0,AF357/H357,1))),IF(R357&gt;0,AG357/R357,0))/MAX(0.1,N(Parameter!$M$21)))</f>
        <v>0.0384615384615385</v>
      </c>
      <c r="AI357" s="57" t="n">
        <f aca="false">AF357*G357</f>
        <v>940.68</v>
      </c>
      <c r="AJ357" s="57" t="n">
        <f aca="false">ROUNDUP(MAX(J357/IF(BZ357&gt;0,BZ357,MAX(0.1,N(Cockpit!$C$6))),CC357)/BS357,0)*BS357</f>
        <v>532</v>
      </c>
      <c r="AK357" s="58" t="n">
        <f aca="false">IF(AH357&gt;0,J357/AH357,-1)</f>
        <v>17472</v>
      </c>
      <c r="AL357" s="58" t="n">
        <f aca="false">IF(AND(OR(BY357="L1",BY357="L23"),AH357&gt;0),SUMIFS($AH$7:$AH$1843,$BY$7:$BY$1843,BY357,$AK$7:$AK$1843,"&gt;"&amp;AK357)+SUMIFS($AH$7:$AH$1843,$BY$7:$BY$1843,BY357,$AK$7:$AK$1843,AK357,$BQ$7:$BQ$1843,"&lt;="&amp;BQ357),"")</f>
        <v>3.89519779737171</v>
      </c>
      <c r="AM357" s="65" t="n">
        <f aca="false">IF(AL357="",0,MAX(0,MIN(1,(IF(BY357="L1",Parameter!$E$5,Parameter!$E$6+Parameter!$E$7)-(AL357-AH357))/AH357)))</f>
        <v>1</v>
      </c>
      <c r="AN357" s="57" t="n">
        <f aca="false">IF(LEFT(Cockpit!$I$5,1)="A",H357,IF(CA357=1,CB357,IF(LEFT(Cockpit!$I$5,1)="B",AR357,MAX(AR357,H357))))</f>
        <v>532</v>
      </c>
      <c r="AO357" s="57" t="n">
        <f aca="false">IF(BT357=1,0,ROUNDUP(AN357/BS357,0))</f>
        <v>2</v>
      </c>
      <c r="AP357" s="59" t="n">
        <f aca="false">IF(CH357&gt;0,CH357*MAX(1,AN357/X357),IF(BT357=1,IF(AN357&lt;=0,0,BW357*MAX(1,IF(H357&gt;0,AN357/H357,1))),IF(R357&gt;0,AO357/R357,0))/MAX(0.1,N(Parameter!$M$21)))</f>
        <v>0.0769230769230769</v>
      </c>
      <c r="AQ357" s="57" t="n">
        <f aca="false">AN357*G357</f>
        <v>4277.28</v>
      </c>
      <c r="AR357" s="57" t="n">
        <f aca="false">ROUNDUP(MAX(J357/IF(BZ357&gt;0,BZ357,MAX(0.1,N(Cockpit!$I$6))),CC357)/BS357,0)*BS357</f>
        <v>532</v>
      </c>
      <c r="AS357" s="58" t="n">
        <f aca="false">IF(AP357&gt;0,J357/AP357,-1)</f>
        <v>8736</v>
      </c>
      <c r="AT357" s="58" t="n">
        <f aca="false">IF(AND(OR(BY357="L1",BY357="L23"),AP357&gt;0),SUMIFS($AP$7:$AP$1843,$BY$7:$BY$1843,BY357,$AS$7:$AS$1843,"&gt;"&amp;AS357)+SUMIFS($AP$7:$AP$1843,$BY$7:$BY$1843,BY357,$AS$7:$AS$1843,AS357,$BQ$7:$BQ$1843,"&lt;="&amp;BQ357),"")</f>
        <v>8.82617141312793</v>
      </c>
      <c r="AU357" s="65" t="n">
        <f aca="false">IF(AT357="",0,MAX(0,MIN(1,(IF(BY357="L1",Parameter!$E$5,Parameter!$E$6+Parameter!$E$7)-(AT357-AP357))/AP357)))</f>
        <v>1</v>
      </c>
      <c r="AV357" s="57" t="n">
        <f aca="false">IF(LEFT(Cockpit!$O$5,1)="A",H357,IF(CA357=1,CB357,IF(LEFT(Cockpit!$O$5,1)="B",AZ357,MAX(AZ357,H357))))</f>
        <v>266</v>
      </c>
      <c r="AW357" s="57" t="n">
        <f aca="false">IF(BT357=1,0,ROUNDUP(AV357/BS357,0))</f>
        <v>1</v>
      </c>
      <c r="AX357" s="59" t="n">
        <f aca="false">IF(CH357&gt;0,CH357*MAX(1,AV357/X357),IF(BT357=1,IF(AV357&lt;=0,0,BW357*MAX(1,IF(H357&gt;0,AV357/H357,1))),IF(R357&gt;0,AW357/R357,0))/MAX(0.1,N(Parameter!$M$21)))</f>
        <v>0.0384615384615385</v>
      </c>
      <c r="AY357" s="57" t="n">
        <f aca="false">AV357*G357</f>
        <v>2138.64</v>
      </c>
      <c r="AZ357" s="57" t="n">
        <f aca="false">ROUNDUP(MAX(J357/IF(BZ357&gt;0,BZ357,MAX(0.1,N(Cockpit!$O$6))),CC357)/BS357,0)*BS357</f>
        <v>266</v>
      </c>
      <c r="BA357" s="58" t="n">
        <f aca="false">IF(AX357&gt;0,J357/AX357,-1)</f>
        <v>17472</v>
      </c>
      <c r="BB357" s="58" t="n">
        <f aca="false">IF(AND(OR(BY357="L1",BY357="L23"),AX357&gt;0),SUMIFS($AX$7:$AX$1843,$BY$7:$BY$1843,BY357,$BA$7:$BA$1843,"&gt;"&amp;BA357)+SUMIFS($AX$7:$AX$1843,$BY$7:$BY$1843,BY357,$BA$7:$BA$1843,BA357,$BQ$7:$BQ$1843,"&lt;="&amp;BQ357),"")</f>
        <v>4.25704368095672</v>
      </c>
      <c r="BC357" s="65" t="n">
        <f aca="false">IF(BB357="",0,MAX(0,MIN(1,(IF(BY357="L1",Parameter!$E$5,Parameter!$E$6+Parameter!$E$7)-(BB357-AX357))/AX357)))</f>
        <v>1</v>
      </c>
      <c r="BD357" s="55" t="str">
        <f aca="false">IF(AH357&lt;=0,"",IF(BY357="Aussen","Aussenlager",IF(BY357="-","Nicht im Lift",IF(AM357&gt;=1,"Lift",IF(AM357&lt;=0,"Aussenlager","teilweise")))))</f>
        <v>Lift</v>
      </c>
      <c r="BE357" s="55" t="str">
        <f aca="false">IF(AP357&lt;=0,"",IF(BY357="Aussen","Aussenlager",IF(BY357="-","Nicht im Lift",IF(AU357&gt;=1,"Lift",IF(AU357&lt;=0,"Aussenlager","teilweise")))))</f>
        <v>Lift</v>
      </c>
      <c r="BF357" s="55" t="str">
        <f aca="false">IF(AX357&lt;=0,"",IF(BY357="Aussen","Aussenlager",IF(BY357="-","Nicht im Lift",IF(BC357&gt;=1,"Lift",IF(BC357&lt;=0,"Aussenlager","teilweise")))))</f>
        <v>Lift</v>
      </c>
      <c r="BG357" s="55" t="str">
        <f aca="false">IF(A357="","",IF(BP357=1,"Neu; ","")&amp;IF(AND(BP357=0,BK357&lt;0),"negativer Bestand (Export "&amp;BK357&amp;"); ","")&amp;IF(J357&lt;=0,"Kein Verbrauch; ","")&amp;IF(CH357&gt;0,"Lift "&amp;W357&amp;" lt. Liftbericht (Fach "&amp;X357&amp;" Stk); ",IF(BU357=1,"Gebinde geschätzt ("&amp;T357&amp;"); ",IF(BT357=1,"Lose – Tablare geschätzt; ","")))&amp;IF(H357&gt;AR357,"Überbestand "&amp;ROUND(H357-AR357,0)&amp;" Stk / CHF "&amp;ROUND((H357-AR357)*G357,0)&amp;"; ","")&amp;IF(AND(CA357=1,CB357&lt;CC357),"MAX &lt; MB+LG; ","")&amp;IF(AND(CG357&gt;0,CF357*10&gt;CG357),"zu hoch für Tablar; ","")&amp;IF(AND(BP357=0,OR(CA357=1,AA357&lt;&gt;"",U357&lt;&gt;"",V357&lt;&gt;"",AB357&lt;&gt;"")),"manuell übersteuert; ","")&amp;IF(AND(BT357=0,R357=0),"Gebinde unbekannt / Stellmass fehlt; ","")&amp;IF(AND(BT357=0,N(V357)&lt;=0,N(Q357)&lt;=0),"Menge pro Gebinde fehlt (Ist = 1 Gebinde); ","")&amp;BO357)</f>
        <v/>
      </c>
      <c r="BH357" s="55"/>
      <c r="BI357" s="55"/>
      <c r="BJ357" s="62"/>
      <c r="BK357" s="57" t="n">
        <v>25</v>
      </c>
      <c r="BL357" s="57" t="n">
        <v>92</v>
      </c>
      <c r="BM357" s="56" t="n">
        <v>170.599999999999</v>
      </c>
      <c r="BN357" s="57" t="n">
        <v>672</v>
      </c>
      <c r="BO357" s="55"/>
      <c r="BP357" s="60" t="n">
        <v>0</v>
      </c>
      <c r="BQ357" s="60" t="n">
        <v>357</v>
      </c>
      <c r="BR357" s="55" t="str">
        <f aca="false">IF(U357&lt;&gt;"",UPPER(TRIM(U357)),IF(BU357=1,UPPER(VLOOKUP(T357,Parameter!$I$27:$K$29,2,0)),IF(P357="","LOSE",P357)))</f>
        <v>S51</v>
      </c>
      <c r="BS357" s="57" t="n">
        <f aca="false">IF(BR357="LOSE",1,IF(N(V357)&gt;0,V357,IF(BU357=1,MAX(1,N(VLOOKUP(T357,Parameter!$I$27:$K$29,3,0)),H357,N(N357)),IF(N(Q357)&gt;0,Q357,MAX(1,H357)))))</f>
        <v>266</v>
      </c>
      <c r="BT357" s="60" t="n">
        <f aca="false">IF(BR357="LOSE",1,0)</f>
        <v>0</v>
      </c>
      <c r="BU357" s="60" t="n">
        <f aca="false">IF(AND(U357="",OR(P357="",P357="LOSE"),T357&lt;&gt;"",N(S357)&lt;=0,ISNUMBER(MATCH(T357,Parameter!$I$27:$I$29,0))),1,0)</f>
        <v>0</v>
      </c>
      <c r="BV357" s="55" t="str">
        <f aca="false">IF(AND(Parameter!$B$19="Ja",E357&lt;&gt;"",ISNUMBER(MATCH(E357,Parameter!$I$35:$I$52,0))),VLOOKUP(E357,Parameter!$I$35:$J$52,2,0),IFERROR(VLOOKUP(D357,Parameter!$A$35:$C$64,2,0),"Nein"))</f>
        <v>2+3</v>
      </c>
      <c r="BW357" s="59" t="n">
        <f aca="false">IF(BT357=0,0,IF(N(S357)&gt;0,S357,IFERROR(VLOOKUP(D357,Parameter!$A$35:$C$64,3,0)+0,0)))</f>
        <v>0</v>
      </c>
      <c r="BX357" s="55" t="n">
        <f aca="false">IF(AA357&lt;&gt;"",AA357,Z357)</f>
        <v>3</v>
      </c>
      <c r="BY357" s="55" t="str">
        <f aca="false">IF(BX357=1,"L1",IF(OR(BX357=2,BX357=3),"L23",IF(BX357="Aussen","Aussen","-")))</f>
        <v>L23</v>
      </c>
      <c r="BZ357" s="66" t="n">
        <f aca="false">IF(N(AB357)&gt;0,AB357,0)</f>
        <v>0</v>
      </c>
      <c r="CA357" s="60" t="n">
        <f aca="false">IF(ISNUMBER(AE357),1,0)</f>
        <v>0</v>
      </c>
      <c r="CB357" s="57" t="n">
        <f aca="false">N(AE357)</f>
        <v>0</v>
      </c>
      <c r="CC357" s="57" t="n">
        <f aca="false">N(M357)+N(N357)</f>
        <v>189</v>
      </c>
      <c r="CD357" s="57" t="n">
        <f aca="false">ROUNDUP(H357/BS357,0)</f>
        <v>1</v>
      </c>
      <c r="CE357" s="57" t="n">
        <f aca="false">ROUNDUP(CB357/BS357,0)</f>
        <v>0</v>
      </c>
      <c r="CF357" s="60" t="n">
        <f aca="false">IF(BT357=1,0,IFERROR(VLOOKUP(BR357,'Gebinde-Kategorie'!$A$5:$M$45,5,0)+0,0))</f>
        <v>11</v>
      </c>
      <c r="CG357" s="60" t="n">
        <f aca="false">IFERROR(IF(OR(BX357=1,BX357=2,BX357=3),N(INDEX(Parameter!$I$5:$I$7,BX357)),0),0)</f>
        <v>0</v>
      </c>
      <c r="CH357" s="59" t="n">
        <f aca="false">IF(AND(Parameter!$B$21="Ja",ISNUMBER(W357),N(X357)&gt;0),IFERROR(N(INDEX(Parameter!$L$5:$L$7,W357))*INDEX(Parameter!$E$5:$E$7,W357)*X357/SUMIFS($X$7:$X$1843,$W$7:$W$1843,W357),0),0)</f>
        <v>0</v>
      </c>
    </row>
    <row r="358" customFormat="false" ht="15" hidden="false" customHeight="false" outlineLevel="0" collapsed="false">
      <c r="A358" s="55" t="s">
        <v>869</v>
      </c>
      <c r="B358" s="55" t="s">
        <v>637</v>
      </c>
      <c r="C358" s="55" t="s">
        <v>164</v>
      </c>
      <c r="D358" s="55" t="s">
        <v>184</v>
      </c>
      <c r="E358" s="55" t="s">
        <v>185</v>
      </c>
      <c r="F358" s="55" t="s">
        <v>218</v>
      </c>
      <c r="G358" s="56" t="n">
        <v>5.65</v>
      </c>
      <c r="H358" s="57" t="n">
        <f aca="false">MAX(0,IF(AND(Parameter!$B$21="Ja",ISNUMBER(Y358)),Y358,IF(Parameter!$B$20="Jahresanfang 2025 + Export",BL358+BK358,BK358)))</f>
        <v>133</v>
      </c>
      <c r="I358" s="57" t="n">
        <f aca="false">H358*G358</f>
        <v>751.45</v>
      </c>
      <c r="J358" s="57" t="n">
        <f aca="false">BN358*Parameter!$B$18</f>
        <v>18</v>
      </c>
      <c r="K358" s="58" t="n">
        <v>122.5</v>
      </c>
      <c r="L358" s="59" t="n">
        <v>0.146938775510204</v>
      </c>
      <c r="M358" s="57" t="n">
        <v>3</v>
      </c>
      <c r="N358" s="57" t="n">
        <v>20</v>
      </c>
      <c r="O358" s="60" t="n">
        <v>63</v>
      </c>
      <c r="P358" s="55" t="s">
        <v>233</v>
      </c>
      <c r="Q358" s="57" t="n">
        <v>110</v>
      </c>
      <c r="R358" s="60" t="n">
        <f aca="false">IF(BT358=1,0,IFERROR(VLOOKUP(BR358,'Gebinde-Kategorie'!$A$5:$M$45,13,0)+0,0))</f>
        <v>26</v>
      </c>
      <c r="S358" s="61"/>
      <c r="T358" s="62"/>
      <c r="U358" s="62"/>
      <c r="V358" s="62"/>
      <c r="W358" s="55"/>
      <c r="X358" s="57"/>
      <c r="Y358" s="57"/>
      <c r="Z358" s="55" t="n">
        <f aca="false">IF(A358="","",IF(AND(Parameter!$B$21="Ja",ISNUMBER(W358)),W358,IF(BV358="2+3",IF(ISNUMBER(SEARCH("grosser Artikel",BO358)),2,IFERROR(VLOOKUP(BR358,Parameter!$F$35:$G$64,2,0),2)),IF(OR(BV358="Nein",BV358=""),"-",BV358))))</f>
        <v>3</v>
      </c>
      <c r="AA358" s="62"/>
      <c r="AB358" s="63"/>
      <c r="AC358" s="57" t="n">
        <f aca="false">AR358</f>
        <v>110</v>
      </c>
      <c r="AD358" s="57" t="n">
        <f aca="false">MAX(AR358,H358)</f>
        <v>133</v>
      </c>
      <c r="AE358" s="64"/>
      <c r="AF358" s="57" t="n">
        <f aca="false">IF(LEFT(Cockpit!$C$5,1)="A",H358,IF(CA358=1,CB358,IF(LEFT(Cockpit!$C$5,1)="B",AJ358,MAX(AJ358,H358))))</f>
        <v>133</v>
      </c>
      <c r="AG358" s="57" t="n">
        <f aca="false">IF(BT358=1,0,ROUNDUP(AF358/BS358,0))</f>
        <v>2</v>
      </c>
      <c r="AH358" s="59" t="n">
        <f aca="false">IF(CH358&gt;0,CH358*MAX(1,AF358/X358),IF(BT358=1,IF(AF358&lt;=0,0,BW358*MAX(1,IF(H358&gt;0,AF358/H358,1))),IF(R358&gt;0,AG358/R358,0))/MAX(0.1,N(Parameter!$M$21)))</f>
        <v>0.0769230769230769</v>
      </c>
      <c r="AI358" s="57" t="n">
        <f aca="false">AF358*G358</f>
        <v>751.45</v>
      </c>
      <c r="AJ358" s="57" t="n">
        <f aca="false">ROUNDUP(MAX(J358/IF(BZ358&gt;0,BZ358,MAX(0.1,N(Cockpit!$C$6))),CC358)/BS358,0)*BS358</f>
        <v>110</v>
      </c>
      <c r="AK358" s="58" t="n">
        <f aca="false">IF(AH358&gt;0,J358/AH358,-1)</f>
        <v>234</v>
      </c>
      <c r="AL358" s="58" t="n">
        <f aca="false">IF(AND(OR(BY358="L1",BY358="L23"),AH358&gt;0),SUMIFS($AH$7:$AH$1843,$BY$7:$BY$1843,BY358,$AK$7:$AK$1843,"&gt;"&amp;AK358)+SUMIFS($AH$7:$AH$1843,$BY$7:$BY$1843,BY358,$AK$7:$AK$1843,AK358,$BQ$7:$BQ$1843,"&lt;="&amp;BQ358),"")</f>
        <v>30.4773656295395</v>
      </c>
      <c r="AM358" s="65" t="n">
        <f aca="false">IF(AL358="",0,MAX(0,MIN(1,(IF(BY358="L1",Parameter!$E$5,Parameter!$E$6+Parameter!$E$7)-(AL358-AH358))/AH358)))</f>
        <v>1</v>
      </c>
      <c r="AN358" s="57" t="n">
        <f aca="false">IF(LEFT(Cockpit!$I$5,1)="A",H358,IF(CA358=1,CB358,IF(LEFT(Cockpit!$I$5,1)="B",AR358,MAX(AR358,H358))))</f>
        <v>133</v>
      </c>
      <c r="AO358" s="57" t="n">
        <f aca="false">IF(BT358=1,0,ROUNDUP(AN358/BS358,0))</f>
        <v>2</v>
      </c>
      <c r="AP358" s="59" t="n">
        <f aca="false">IF(CH358&gt;0,CH358*MAX(1,AN358/X358),IF(BT358=1,IF(AN358&lt;=0,0,BW358*MAX(1,IF(H358&gt;0,AN358/H358,1))),IF(R358&gt;0,AO358/R358,0))/MAX(0.1,N(Parameter!$M$21)))</f>
        <v>0.0769230769230769</v>
      </c>
      <c r="AQ358" s="57" t="n">
        <f aca="false">AN358*G358</f>
        <v>751.45</v>
      </c>
      <c r="AR358" s="57" t="n">
        <f aca="false">ROUNDUP(MAX(J358/IF(BZ358&gt;0,BZ358,MAX(0.1,N(Cockpit!$I$6))),CC358)/BS358,0)*BS358</f>
        <v>110</v>
      </c>
      <c r="AS358" s="58" t="n">
        <f aca="false">IF(AP358&gt;0,J358/AP358,-1)</f>
        <v>234</v>
      </c>
      <c r="AT358" s="58" t="n">
        <f aca="false">IF(AND(OR(BY358="L1",BY358="L23"),AP358&gt;0),SUMIFS($AP$7:$AP$1843,$BY$7:$BY$1843,BY358,$AS$7:$AS$1843,"&gt;"&amp;AS358)+SUMIFS($AP$7:$AP$1843,$BY$7:$BY$1843,BY358,$AS$7:$AS$1843,AS358,$BQ$7:$BQ$1843,"&lt;="&amp;BQ358),"")</f>
        <v>43.8723522853958</v>
      </c>
      <c r="AU358" s="65" t="n">
        <f aca="false">IF(AT358="",0,MAX(0,MIN(1,(IF(BY358="L1",Parameter!$E$5,Parameter!$E$6+Parameter!$E$7)-(AT358-AP358))/AP358)))</f>
        <v>1</v>
      </c>
      <c r="AV358" s="57" t="n">
        <f aca="false">IF(LEFT(Cockpit!$O$5,1)="A",H358,IF(CA358=1,CB358,IF(LEFT(Cockpit!$O$5,1)="B",AZ358,MAX(AZ358,H358))))</f>
        <v>133</v>
      </c>
      <c r="AW358" s="57" t="n">
        <f aca="false">IF(BT358=1,0,ROUNDUP(AV358/BS358,0))</f>
        <v>2</v>
      </c>
      <c r="AX358" s="59" t="n">
        <f aca="false">IF(CH358&gt;0,CH358*MAX(1,AV358/X358),IF(BT358=1,IF(AV358&lt;=0,0,BW358*MAX(1,IF(H358&gt;0,AV358/H358,1))),IF(R358&gt;0,AW358/R358,0))/MAX(0.1,N(Parameter!$M$21)))</f>
        <v>0.0769230769230769</v>
      </c>
      <c r="AY358" s="57" t="n">
        <f aca="false">AV358*G358</f>
        <v>751.45</v>
      </c>
      <c r="AZ358" s="57" t="n">
        <f aca="false">ROUNDUP(MAX(J358/IF(BZ358&gt;0,BZ358,MAX(0.1,N(Cockpit!$O$6))),CC358)/BS358,0)*BS358</f>
        <v>110</v>
      </c>
      <c r="BA358" s="58" t="n">
        <f aca="false">IF(AX358&gt;0,J358/AX358,-1)</f>
        <v>234</v>
      </c>
      <c r="BB358" s="58" t="n">
        <f aca="false">IF(AND(OR(BY358="L1",BY358="L23"),AX358&gt;0),SUMIFS($AX$7:$AX$1843,$BY$7:$BY$1843,BY358,$BA$7:$BA$1843,"&gt;"&amp;BA358)+SUMIFS($AX$7:$AX$1843,$BY$7:$BY$1843,BY358,$BA$7:$BA$1843,BA358,$BQ$7:$BQ$1843,"&lt;="&amp;BQ358),"")</f>
        <v>41.1188557818993</v>
      </c>
      <c r="BC358" s="65" t="n">
        <f aca="false">IF(BB358="",0,MAX(0,MIN(1,(IF(BY358="L1",Parameter!$E$5,Parameter!$E$6+Parameter!$E$7)-(BB358-AX358))/AX358)))</f>
        <v>1</v>
      </c>
      <c r="BD358" s="55" t="str">
        <f aca="false">IF(AH358&lt;=0,"",IF(BY358="Aussen","Aussenlager",IF(BY358="-","Nicht im Lift",IF(AM358&gt;=1,"Lift",IF(AM358&lt;=0,"Aussenlager","teilweise")))))</f>
        <v>Lift</v>
      </c>
      <c r="BE358" s="55" t="str">
        <f aca="false">IF(AP358&lt;=0,"",IF(BY358="Aussen","Aussenlager",IF(BY358="-","Nicht im Lift",IF(AU358&gt;=1,"Lift",IF(AU358&lt;=0,"Aussenlager","teilweise")))))</f>
        <v>Lift</v>
      </c>
      <c r="BF358" s="55" t="str">
        <f aca="false">IF(AX358&lt;=0,"",IF(BY358="Aussen","Aussenlager",IF(BY358="-","Nicht im Lift",IF(BC358&gt;=1,"Lift",IF(BC358&lt;=0,"Aussenlager","teilweise")))))</f>
        <v>Lift</v>
      </c>
      <c r="BG358" s="55" t="str">
        <f aca="false">IF(A358="","",IF(BP358=1,"Neu; ","")&amp;IF(AND(BP358=0,BK358&lt;0),"negativer Bestand (Export "&amp;BK358&amp;"); ","")&amp;IF(J358&lt;=0,"Kein Verbrauch; ","")&amp;IF(CH358&gt;0,"Lift "&amp;W358&amp;" lt. Liftbericht (Fach "&amp;X358&amp;" Stk); ",IF(BU358=1,"Gebinde geschätzt ("&amp;T358&amp;"); ",IF(BT358=1,"Lose – Tablare geschätzt; ","")))&amp;IF(H358&gt;AR358,"Überbestand "&amp;ROUND(H358-AR358,0)&amp;" Stk / CHF "&amp;ROUND((H358-AR358)*G358,0)&amp;"; ","")&amp;IF(AND(CA358=1,CB358&lt;CC358),"MAX &lt; MB+LG; ","")&amp;IF(AND(CG358&gt;0,CF358*10&gt;CG358),"zu hoch für Tablar; ","")&amp;IF(AND(BP358=0,OR(CA358=1,AA358&lt;&gt;"",U358&lt;&gt;"",V358&lt;&gt;"",AB358&lt;&gt;"")),"manuell übersteuert; ","")&amp;IF(AND(BT358=0,R358=0),"Gebinde unbekannt / Stellmass fehlt; ","")&amp;IF(AND(BT358=0,N(V358)&lt;=0,N(Q358)&lt;=0),"Menge pro Gebinde fehlt (Ist = 1 Gebinde); ","")&amp;BO358)</f>
        <v>Überbestand 23 Stk / CHF 130; </v>
      </c>
      <c r="BH358" s="55"/>
      <c r="BI358" s="55"/>
      <c r="BJ358" s="62"/>
      <c r="BK358" s="57" t="n">
        <v>30</v>
      </c>
      <c r="BL358" s="57" t="n">
        <v>103</v>
      </c>
      <c r="BM358" s="56" t="n">
        <v>169.5</v>
      </c>
      <c r="BN358" s="57" t="n">
        <v>18</v>
      </c>
      <c r="BO358" s="55"/>
      <c r="BP358" s="60" t="n">
        <v>0</v>
      </c>
      <c r="BQ358" s="60" t="n">
        <v>358</v>
      </c>
      <c r="BR358" s="55" t="str">
        <f aca="false">IF(U358&lt;&gt;"",UPPER(TRIM(U358)),IF(BU358=1,UPPER(VLOOKUP(T358,Parameter!$I$27:$K$29,2,0)),IF(P358="","LOSE",P358)))</f>
        <v>S52</v>
      </c>
      <c r="BS358" s="57" t="n">
        <f aca="false">IF(BR358="LOSE",1,IF(N(V358)&gt;0,V358,IF(BU358=1,MAX(1,N(VLOOKUP(T358,Parameter!$I$27:$K$29,3,0)),H358,N(N358)),IF(N(Q358)&gt;0,Q358,MAX(1,H358)))))</f>
        <v>110</v>
      </c>
      <c r="BT358" s="60" t="n">
        <f aca="false">IF(BR358="LOSE",1,0)</f>
        <v>0</v>
      </c>
      <c r="BU358" s="60" t="n">
        <f aca="false">IF(AND(U358="",OR(P358="",P358="LOSE"),T358&lt;&gt;"",N(S358)&lt;=0,ISNUMBER(MATCH(T358,Parameter!$I$27:$I$29,0))),1,0)</f>
        <v>0</v>
      </c>
      <c r="BV358" s="55" t="str">
        <f aca="false">IF(AND(Parameter!$B$19="Ja",E358&lt;&gt;"",ISNUMBER(MATCH(E358,Parameter!$I$35:$I$52,0))),VLOOKUP(E358,Parameter!$I$35:$J$52,2,0),IFERROR(VLOOKUP(D358,Parameter!$A$35:$C$64,2,0),"Nein"))</f>
        <v>2+3</v>
      </c>
      <c r="BW358" s="59" t="n">
        <f aca="false">IF(BT358=0,0,IF(N(S358)&gt;0,S358,IFERROR(VLOOKUP(D358,Parameter!$A$35:$C$64,3,0)+0,0)))</f>
        <v>0</v>
      </c>
      <c r="BX358" s="55" t="n">
        <f aca="false">IF(AA358&lt;&gt;"",AA358,Z358)</f>
        <v>3</v>
      </c>
      <c r="BY358" s="55" t="str">
        <f aca="false">IF(BX358=1,"L1",IF(OR(BX358=2,BX358=3),"L23",IF(BX358="Aussen","Aussen","-")))</f>
        <v>L23</v>
      </c>
      <c r="BZ358" s="66" t="n">
        <f aca="false">IF(N(AB358)&gt;0,AB358,0)</f>
        <v>0</v>
      </c>
      <c r="CA358" s="60" t="n">
        <f aca="false">IF(ISNUMBER(AE358),1,0)</f>
        <v>0</v>
      </c>
      <c r="CB358" s="57" t="n">
        <f aca="false">N(AE358)</f>
        <v>0</v>
      </c>
      <c r="CC358" s="57" t="n">
        <f aca="false">N(M358)+N(N358)</f>
        <v>23</v>
      </c>
      <c r="CD358" s="57" t="n">
        <f aca="false">ROUNDUP(H358/BS358,0)</f>
        <v>2</v>
      </c>
      <c r="CE358" s="57" t="n">
        <f aca="false">ROUNDUP(CB358/BS358,0)</f>
        <v>0</v>
      </c>
      <c r="CF358" s="60" t="n">
        <f aca="false">IF(BT358=1,0,IFERROR(VLOOKUP(BR358,'Gebinde-Kategorie'!$A$5:$M$45,5,0)+0,0))</f>
        <v>21</v>
      </c>
      <c r="CG358" s="60" t="n">
        <f aca="false">IFERROR(IF(OR(BX358=1,BX358=2,BX358=3),N(INDEX(Parameter!$I$5:$I$7,BX358)),0),0)</f>
        <v>0</v>
      </c>
      <c r="CH358" s="59" t="n">
        <f aca="false">IF(AND(Parameter!$B$21="Ja",ISNUMBER(W358),N(X358)&gt;0),IFERROR(N(INDEX(Parameter!$L$5:$L$7,W358))*INDEX(Parameter!$E$5:$E$7,W358)*X358/SUMIFS($X$7:$X$1843,$W$7:$W$1843,W358),0),0)</f>
        <v>0</v>
      </c>
    </row>
    <row r="359" customFormat="false" ht="15" hidden="false" customHeight="false" outlineLevel="0" collapsed="false">
      <c r="A359" s="55" t="s">
        <v>870</v>
      </c>
      <c r="B359" s="55" t="s">
        <v>871</v>
      </c>
      <c r="C359" s="55" t="s">
        <v>164</v>
      </c>
      <c r="D359" s="55" t="s">
        <v>184</v>
      </c>
      <c r="E359" s="55" t="s">
        <v>185</v>
      </c>
      <c r="F359" s="55" t="s">
        <v>218</v>
      </c>
      <c r="G359" s="56" t="n">
        <v>11.4</v>
      </c>
      <c r="H359" s="57" t="n">
        <f aca="false">MAX(0,IF(AND(Parameter!$B$21="Ja",ISNUMBER(Y359)),Y359,IF(Parameter!$B$20="Jahresanfang 2025 + Export",BL359+BK359,BK359)))</f>
        <v>49</v>
      </c>
      <c r="I359" s="57" t="n">
        <f aca="false">H359*G359</f>
        <v>558.6</v>
      </c>
      <c r="J359" s="57" t="n">
        <f aca="false">BN359*Parameter!$B$18</f>
        <v>57</v>
      </c>
      <c r="K359" s="58" t="n">
        <v>48</v>
      </c>
      <c r="L359" s="59" t="n">
        <v>1.1875</v>
      </c>
      <c r="M359" s="57" t="n">
        <v>4</v>
      </c>
      <c r="N359" s="57" t="n">
        <v>55</v>
      </c>
      <c r="O359" s="60" t="n">
        <v>28</v>
      </c>
      <c r="P359" s="55" t="s">
        <v>293</v>
      </c>
      <c r="Q359" s="57" t="n">
        <v>26</v>
      </c>
      <c r="R359" s="60" t="n">
        <f aca="false">IF(BT359=1,0,IFERROR(VLOOKUP(BR359,'Gebinde-Kategorie'!$A$5:$M$45,13,0)+0,0))</f>
        <v>12</v>
      </c>
      <c r="S359" s="61"/>
      <c r="T359" s="62"/>
      <c r="U359" s="62"/>
      <c r="V359" s="62"/>
      <c r="W359" s="55"/>
      <c r="X359" s="57"/>
      <c r="Y359" s="57"/>
      <c r="Z359" s="55" t="n">
        <f aca="false">IF(A359="","",IF(AND(Parameter!$B$21="Ja",ISNUMBER(W359)),W359,IF(BV359="2+3",IF(ISNUMBER(SEARCH("grosser Artikel",BO359)),2,IFERROR(VLOOKUP(BR359,Parameter!$F$35:$G$64,2,0),2)),IF(OR(BV359="Nein",BV359=""),"-",BV359))))</f>
        <v>2</v>
      </c>
      <c r="AA359" s="62"/>
      <c r="AB359" s="63"/>
      <c r="AC359" s="57" t="n">
        <f aca="false">AR359</f>
        <v>78</v>
      </c>
      <c r="AD359" s="57" t="n">
        <f aca="false">MAX(AR359,H359)</f>
        <v>78</v>
      </c>
      <c r="AE359" s="64"/>
      <c r="AF359" s="57" t="n">
        <f aca="false">IF(LEFT(Cockpit!$C$5,1)="A",H359,IF(CA359=1,CB359,IF(LEFT(Cockpit!$C$5,1)="B",AJ359,MAX(AJ359,H359))))</f>
        <v>49</v>
      </c>
      <c r="AG359" s="57" t="n">
        <f aca="false">IF(BT359=1,0,ROUNDUP(AF359/BS359,0))</f>
        <v>2</v>
      </c>
      <c r="AH359" s="59" t="n">
        <f aca="false">IF(CH359&gt;0,CH359*MAX(1,AF359/X359),IF(BT359=1,IF(AF359&lt;=0,0,BW359*MAX(1,IF(H359&gt;0,AF359/H359,1))),IF(R359&gt;0,AG359/R359,0))/MAX(0.1,N(Parameter!$M$21)))</f>
        <v>0.166666666666667</v>
      </c>
      <c r="AI359" s="57" t="n">
        <f aca="false">AF359*G359</f>
        <v>558.6</v>
      </c>
      <c r="AJ359" s="57" t="n">
        <f aca="false">ROUNDUP(MAX(J359/IF(BZ359&gt;0,BZ359,MAX(0.1,N(Cockpit!$C$6))),CC359)/BS359,0)*BS359</f>
        <v>78</v>
      </c>
      <c r="AK359" s="58" t="n">
        <f aca="false">IF(AH359&gt;0,J359/AH359,-1)</f>
        <v>342</v>
      </c>
      <c r="AL359" s="58" t="n">
        <f aca="false">IF(AND(OR(BY359="L1",BY359="L23"),AH359&gt;0),SUMIFS($AH$7:$AH$1843,$BY$7:$BY$1843,BY359,$AK$7:$AK$1843,"&gt;"&amp;AK359)+SUMIFS($AH$7:$AH$1843,$BY$7:$BY$1843,BY359,$AK$7:$AK$1843,AK359,$BQ$7:$BQ$1843,"&lt;="&amp;BQ359),"")</f>
        <v>27.6685078206817</v>
      </c>
      <c r="AM359" s="65" t="n">
        <f aca="false">IF(AL359="",0,MAX(0,MIN(1,(IF(BY359="L1",Parameter!$E$5,Parameter!$E$6+Parameter!$E$7)-(AL359-AH359))/AH359)))</f>
        <v>1</v>
      </c>
      <c r="AN359" s="57" t="n">
        <f aca="false">IF(LEFT(Cockpit!$I$5,1)="A",H359,IF(CA359=1,CB359,IF(LEFT(Cockpit!$I$5,1)="B",AR359,MAX(AR359,H359))))</f>
        <v>78</v>
      </c>
      <c r="AO359" s="57" t="n">
        <f aca="false">IF(BT359=1,0,ROUNDUP(AN359/BS359,0))</f>
        <v>3</v>
      </c>
      <c r="AP359" s="59" t="n">
        <f aca="false">IF(CH359&gt;0,CH359*MAX(1,AN359/X359),IF(BT359=1,IF(AN359&lt;=0,0,BW359*MAX(1,IF(H359&gt;0,AN359/H359,1))),IF(R359&gt;0,AO359/R359,0))/MAX(0.1,N(Parameter!$M$21)))</f>
        <v>0.25</v>
      </c>
      <c r="AQ359" s="57" t="n">
        <f aca="false">AN359*G359</f>
        <v>889.2</v>
      </c>
      <c r="AR359" s="57" t="n">
        <f aca="false">ROUNDUP(MAX(J359/IF(BZ359&gt;0,BZ359,MAX(0.1,N(Cockpit!$I$6))),CC359)/BS359,0)*BS359</f>
        <v>78</v>
      </c>
      <c r="AS359" s="58" t="n">
        <f aca="false">IF(AP359&gt;0,J359/AP359,-1)</f>
        <v>228</v>
      </c>
      <c r="AT359" s="58" t="n">
        <f aca="false">IF(AND(OR(BY359="L1",BY359="L23"),AP359&gt;0),SUMIFS($AP$7:$AP$1843,$BY$7:$BY$1843,BY359,$AS$7:$AS$1843,"&gt;"&amp;AS359)+SUMIFS($AP$7:$AP$1843,$BY$7:$BY$1843,BY359,$AS$7:$AS$1843,AS359,$BQ$7:$BQ$1843,"&lt;="&amp;BQ359),"")</f>
        <v>44.6718860849296</v>
      </c>
      <c r="AU359" s="65" t="n">
        <f aca="false">IF(AT359="",0,MAX(0,MIN(1,(IF(BY359="L1",Parameter!$E$5,Parameter!$E$6+Parameter!$E$7)-(AT359-AP359))/AP359)))</f>
        <v>1</v>
      </c>
      <c r="AV359" s="57" t="n">
        <f aca="false">IF(LEFT(Cockpit!$O$5,1)="A",H359,IF(CA359=1,CB359,IF(LEFT(Cockpit!$O$5,1)="B",AZ359,MAX(AZ359,H359))))</f>
        <v>78</v>
      </c>
      <c r="AW359" s="57" t="n">
        <f aca="false">IF(BT359=1,0,ROUNDUP(AV359/BS359,0))</f>
        <v>3</v>
      </c>
      <c r="AX359" s="59" t="n">
        <f aca="false">IF(CH359&gt;0,CH359*MAX(1,AV359/X359),IF(BT359=1,IF(AV359&lt;=0,0,BW359*MAX(1,IF(H359&gt;0,AV359/H359,1))),IF(R359&gt;0,AW359/R359,0))/MAX(0.1,N(Parameter!$M$21)))</f>
        <v>0.25</v>
      </c>
      <c r="AY359" s="57" t="n">
        <f aca="false">AV359*G359</f>
        <v>889.2</v>
      </c>
      <c r="AZ359" s="57" t="n">
        <f aca="false">ROUNDUP(MAX(J359/IF(BZ359&gt;0,BZ359,MAX(0.1,N(Cockpit!$O$6))),CC359)/BS359,0)*BS359</f>
        <v>78</v>
      </c>
      <c r="BA359" s="58" t="n">
        <f aca="false">IF(AX359&gt;0,J359/AX359,-1)</f>
        <v>228</v>
      </c>
      <c r="BB359" s="58" t="n">
        <f aca="false">IF(AND(OR(BY359="L1",BY359="L23"),AX359&gt;0),SUMIFS($AX$7:$AX$1843,$BY$7:$BY$1843,BY359,$BA$7:$BA$1843,"&gt;"&amp;BA359)+SUMIFS($AX$7:$AX$1843,$BY$7:$BY$1843,BY359,$BA$7:$BA$1843,BA359,$BQ$7:$BQ$1843,"&lt;="&amp;BQ359),"")</f>
        <v>41.9183895814331</v>
      </c>
      <c r="BC359" s="65" t="n">
        <f aca="false">IF(BB359="",0,MAX(0,MIN(1,(IF(BY359="L1",Parameter!$E$5,Parameter!$E$6+Parameter!$E$7)-(BB359-AX359))/AX359)))</f>
        <v>1</v>
      </c>
      <c r="BD359" s="55" t="str">
        <f aca="false">IF(AH359&lt;=0,"",IF(BY359="Aussen","Aussenlager",IF(BY359="-","Nicht im Lift",IF(AM359&gt;=1,"Lift",IF(AM359&lt;=0,"Aussenlager","teilweise")))))</f>
        <v>Lift</v>
      </c>
      <c r="BE359" s="55" t="str">
        <f aca="false">IF(AP359&lt;=0,"",IF(BY359="Aussen","Aussenlager",IF(BY359="-","Nicht im Lift",IF(AU359&gt;=1,"Lift",IF(AU359&lt;=0,"Aussenlager","teilweise")))))</f>
        <v>Lift</v>
      </c>
      <c r="BF359" s="55" t="str">
        <f aca="false">IF(AX359&lt;=0,"",IF(BY359="Aussen","Aussenlager",IF(BY359="-","Nicht im Lift",IF(BC359&gt;=1,"Lift",IF(BC359&lt;=0,"Aussenlager","teilweise")))))</f>
        <v>Lift</v>
      </c>
      <c r="BG359" s="55" t="str">
        <f aca="false">IF(A359="","",IF(BP359=1,"Neu; ","")&amp;IF(AND(BP359=0,BK359&lt;0),"negativer Bestand (Export "&amp;BK359&amp;"); ","")&amp;IF(J359&lt;=0,"Kein Verbrauch; ","")&amp;IF(CH359&gt;0,"Lift "&amp;W359&amp;" lt. Liftbericht (Fach "&amp;X359&amp;" Stk); ",IF(BU359=1,"Gebinde geschätzt ("&amp;T359&amp;"); ",IF(BT359=1,"Lose – Tablare geschätzt; ","")))&amp;IF(H359&gt;AR359,"Überbestand "&amp;ROUND(H359-AR359,0)&amp;" Stk / CHF "&amp;ROUND((H359-AR359)*G359,0)&amp;"; ","")&amp;IF(AND(CA359=1,CB359&lt;CC359),"MAX &lt; MB+LG; ","")&amp;IF(AND(CG359&gt;0,CF359*10&gt;CG359),"zu hoch für Tablar; ","")&amp;IF(AND(BP359=0,OR(CA359=1,AA359&lt;&gt;"",U359&lt;&gt;"",V359&lt;&gt;"",AB359&lt;&gt;"")),"manuell übersteuert; ","")&amp;IF(AND(BT359=0,R359=0),"Gebinde unbekannt / Stellmass fehlt; ","")&amp;IF(AND(BT359=0,N(V359)&lt;=0,N(Q359)&lt;=0),"Menge pro Gebinde fehlt (Ist = 1 Gebinde); ","")&amp;BO359)</f>
        <v/>
      </c>
      <c r="BH359" s="55"/>
      <c r="BI359" s="55"/>
      <c r="BJ359" s="62"/>
      <c r="BK359" s="57" t="n">
        <v>14</v>
      </c>
      <c r="BL359" s="57" t="n">
        <v>35</v>
      </c>
      <c r="BM359" s="56" t="n">
        <v>168.35</v>
      </c>
      <c r="BN359" s="57" t="n">
        <v>57</v>
      </c>
      <c r="BO359" s="55"/>
      <c r="BP359" s="60" t="n">
        <v>0</v>
      </c>
      <c r="BQ359" s="60" t="n">
        <v>359</v>
      </c>
      <c r="BR359" s="55" t="str">
        <f aca="false">IF(U359&lt;&gt;"",UPPER(TRIM(U359)),IF(BU359=1,UPPER(VLOOKUP(T359,Parameter!$I$27:$K$29,2,0)),IF(P359="","LOSE",P359)))</f>
        <v>S62</v>
      </c>
      <c r="BS359" s="57" t="n">
        <f aca="false">IF(BR359="LOSE",1,IF(N(V359)&gt;0,V359,IF(BU359=1,MAX(1,N(VLOOKUP(T359,Parameter!$I$27:$K$29,3,0)),H359,N(N359)),IF(N(Q359)&gt;0,Q359,MAX(1,H359)))))</f>
        <v>26</v>
      </c>
      <c r="BT359" s="60" t="n">
        <f aca="false">IF(BR359="LOSE",1,0)</f>
        <v>0</v>
      </c>
      <c r="BU359" s="60" t="n">
        <f aca="false">IF(AND(U359="",OR(P359="",P359="LOSE"),T359&lt;&gt;"",N(S359)&lt;=0,ISNUMBER(MATCH(T359,Parameter!$I$27:$I$29,0))),1,0)</f>
        <v>0</v>
      </c>
      <c r="BV359" s="55" t="str">
        <f aca="false">IF(AND(Parameter!$B$19="Ja",E359&lt;&gt;"",ISNUMBER(MATCH(E359,Parameter!$I$35:$I$52,0))),VLOOKUP(E359,Parameter!$I$35:$J$52,2,0),IFERROR(VLOOKUP(D359,Parameter!$A$35:$C$64,2,0),"Nein"))</f>
        <v>2+3</v>
      </c>
      <c r="BW359" s="59" t="n">
        <f aca="false">IF(BT359=0,0,IF(N(S359)&gt;0,S359,IFERROR(VLOOKUP(D359,Parameter!$A$35:$C$64,3,0)+0,0)))</f>
        <v>0</v>
      </c>
      <c r="BX359" s="55" t="n">
        <f aca="false">IF(AA359&lt;&gt;"",AA359,Z359)</f>
        <v>2</v>
      </c>
      <c r="BY359" s="55" t="str">
        <f aca="false">IF(BX359=1,"L1",IF(OR(BX359=2,BX359=3),"L23",IF(BX359="Aussen","Aussen","-")))</f>
        <v>L23</v>
      </c>
      <c r="BZ359" s="66" t="n">
        <f aca="false">IF(N(AB359)&gt;0,AB359,0)</f>
        <v>0</v>
      </c>
      <c r="CA359" s="60" t="n">
        <f aca="false">IF(ISNUMBER(AE359),1,0)</f>
        <v>0</v>
      </c>
      <c r="CB359" s="57" t="n">
        <f aca="false">N(AE359)</f>
        <v>0</v>
      </c>
      <c r="CC359" s="57" t="n">
        <f aca="false">N(M359)+N(N359)</f>
        <v>59</v>
      </c>
      <c r="CD359" s="57" t="n">
        <f aca="false">ROUNDUP(H359/BS359,0)</f>
        <v>2</v>
      </c>
      <c r="CE359" s="57" t="n">
        <f aca="false">ROUNDUP(CB359/BS359,0)</f>
        <v>0</v>
      </c>
      <c r="CF359" s="60" t="n">
        <f aca="false">IF(BT359=1,0,IFERROR(VLOOKUP(BR359,'Gebinde-Kategorie'!$A$5:$M$45,5,0)+0,0))</f>
        <v>21</v>
      </c>
      <c r="CG359" s="60" t="n">
        <f aca="false">IFERROR(IF(OR(BX359=1,BX359=2,BX359=3),N(INDEX(Parameter!$I$5:$I$7,BX359)),0),0)</f>
        <v>0</v>
      </c>
      <c r="CH359" s="59" t="n">
        <f aca="false">IF(AND(Parameter!$B$21="Ja",ISNUMBER(W359),N(X359)&gt;0),IFERROR(N(INDEX(Parameter!$L$5:$L$7,W359))*INDEX(Parameter!$E$5:$E$7,W359)*X359/SUMIFS($X$7:$X$1843,$W$7:$W$1843,W359),0),0)</f>
        <v>0</v>
      </c>
    </row>
    <row r="360" customFormat="false" ht="15" hidden="false" customHeight="false" outlineLevel="0" collapsed="false">
      <c r="A360" s="55" t="s">
        <v>872</v>
      </c>
      <c r="B360" s="55" t="s">
        <v>468</v>
      </c>
      <c r="C360" s="55" t="s">
        <v>164</v>
      </c>
      <c r="D360" s="55" t="s">
        <v>184</v>
      </c>
      <c r="E360" s="55" t="s">
        <v>185</v>
      </c>
      <c r="F360" s="55" t="s">
        <v>218</v>
      </c>
      <c r="G360" s="56" t="n">
        <v>0.28</v>
      </c>
      <c r="H360" s="57" t="n">
        <f aca="false">MAX(0,IF(AND(Parameter!$B$21="Ja",ISNUMBER(Y360)),Y360,IF(Parameter!$B$20="Jahresanfang 2025 + Export",BL360+BK360,BK360)))</f>
        <v>1117</v>
      </c>
      <c r="I360" s="57" t="n">
        <f aca="false">H360*G360</f>
        <v>312.76</v>
      </c>
      <c r="J360" s="57" t="n">
        <f aca="false">BN360*Parameter!$B$18</f>
        <v>1232</v>
      </c>
      <c r="K360" s="58" t="n">
        <v>530</v>
      </c>
      <c r="L360" s="59" t="n">
        <v>2.32452830188679</v>
      </c>
      <c r="M360" s="57" t="n">
        <v>47</v>
      </c>
      <c r="N360" s="57" t="n">
        <v>1235</v>
      </c>
      <c r="O360" s="60" t="n">
        <v>14</v>
      </c>
      <c r="P360" s="55" t="s">
        <v>328</v>
      </c>
      <c r="Q360" s="57" t="n">
        <v>534</v>
      </c>
      <c r="R360" s="60" t="n">
        <f aca="false">IF(BT360=1,0,IFERROR(VLOOKUP(BR360,'Gebinde-Kategorie'!$A$5:$M$45,13,0)+0,0))</f>
        <v>52</v>
      </c>
      <c r="S360" s="61"/>
      <c r="T360" s="62"/>
      <c r="U360" s="62"/>
      <c r="V360" s="62"/>
      <c r="W360" s="55"/>
      <c r="X360" s="57"/>
      <c r="Y360" s="57"/>
      <c r="Z360" s="55" t="n">
        <f aca="false">IF(A360="","",IF(AND(Parameter!$B$21="Ja",ISNUMBER(W360)),W360,IF(BV360="2+3",IF(ISNUMBER(SEARCH("grosser Artikel",BO360)),2,IFERROR(VLOOKUP(BR360,Parameter!$F$35:$G$64,2,0),2)),IF(OR(BV360="Nein",BV360=""),"-",BV360))))</f>
        <v>3</v>
      </c>
      <c r="AA360" s="62"/>
      <c r="AB360" s="63"/>
      <c r="AC360" s="57" t="n">
        <f aca="false">AR360</f>
        <v>1602</v>
      </c>
      <c r="AD360" s="57" t="n">
        <f aca="false">MAX(AR360,H360)</f>
        <v>1602</v>
      </c>
      <c r="AE360" s="64"/>
      <c r="AF360" s="57" t="n">
        <f aca="false">IF(LEFT(Cockpit!$C$5,1)="A",H360,IF(CA360=1,CB360,IF(LEFT(Cockpit!$C$5,1)="B",AJ360,MAX(AJ360,H360))))</f>
        <v>1117</v>
      </c>
      <c r="AG360" s="57" t="n">
        <f aca="false">IF(BT360=1,0,ROUNDUP(AF360/BS360,0))</f>
        <v>3</v>
      </c>
      <c r="AH360" s="59" t="n">
        <f aca="false">IF(CH360&gt;0,CH360*MAX(1,AF360/X360),IF(BT360=1,IF(AF360&lt;=0,0,BW360*MAX(1,IF(H360&gt;0,AF360/H360,1))),IF(R360&gt;0,AG360/R360,0))/MAX(0.1,N(Parameter!$M$21)))</f>
        <v>0.0576923076923077</v>
      </c>
      <c r="AI360" s="57" t="n">
        <f aca="false">AF360*G360</f>
        <v>312.76</v>
      </c>
      <c r="AJ360" s="57" t="n">
        <f aca="false">ROUNDUP(MAX(J360/IF(BZ360&gt;0,BZ360,MAX(0.1,N(Cockpit!$C$6))),CC360)/BS360,0)*BS360</f>
        <v>1602</v>
      </c>
      <c r="AK360" s="58" t="n">
        <f aca="false">IF(AH360&gt;0,J360/AH360,-1)</f>
        <v>21354.6666666667</v>
      </c>
      <c r="AL360" s="58" t="n">
        <f aca="false">IF(AND(OR(BY360="L1",BY360="L23"),AH360&gt;0),SUMIFS($AH$7:$AH$1843,$BY$7:$BY$1843,BY360,$AK$7:$AK$1843,"&gt;"&amp;AK360)+SUMIFS($AH$7:$AH$1843,$BY$7:$BY$1843,BY360,$AK$7:$AK$1843,AK360,$BQ$7:$BQ$1843,"&lt;="&amp;BQ360),"")</f>
        <v>3.54457619675011</v>
      </c>
      <c r="AM360" s="65" t="n">
        <f aca="false">IF(AL360="",0,MAX(0,MIN(1,(IF(BY360="L1",Parameter!$E$5,Parameter!$E$6+Parameter!$E$7)-(AL360-AH360))/AH360)))</f>
        <v>1</v>
      </c>
      <c r="AN360" s="57" t="n">
        <f aca="false">IF(LEFT(Cockpit!$I$5,1)="A",H360,IF(CA360=1,CB360,IF(LEFT(Cockpit!$I$5,1)="B",AR360,MAX(AR360,H360))))</f>
        <v>1602</v>
      </c>
      <c r="AO360" s="57" t="n">
        <f aca="false">IF(BT360=1,0,ROUNDUP(AN360/BS360,0))</f>
        <v>3</v>
      </c>
      <c r="AP360" s="59" t="n">
        <f aca="false">IF(CH360&gt;0,CH360*MAX(1,AN360/X360),IF(BT360=1,IF(AN360&lt;=0,0,BW360*MAX(1,IF(H360&gt;0,AN360/H360,1))),IF(R360&gt;0,AO360/R360,0))/MAX(0.1,N(Parameter!$M$21)))</f>
        <v>0.0576923076923077</v>
      </c>
      <c r="AQ360" s="57" t="n">
        <f aca="false">AN360*G360</f>
        <v>448.56</v>
      </c>
      <c r="AR360" s="57" t="n">
        <f aca="false">ROUNDUP(MAX(J360/IF(BZ360&gt;0,BZ360,MAX(0.1,N(Cockpit!$I$6))),CC360)/BS360,0)*BS360</f>
        <v>1602</v>
      </c>
      <c r="AS360" s="58" t="n">
        <f aca="false">IF(AP360&gt;0,J360/AP360,-1)</f>
        <v>21354.6666666667</v>
      </c>
      <c r="AT360" s="58" t="n">
        <f aca="false">IF(AND(OR(BY360="L1",BY360="L23"),AP360&gt;0),SUMIFS($AP$7:$AP$1843,$BY$7:$BY$1843,BY360,$AS$7:$AS$1843,"&gt;"&amp;AS360)+SUMIFS($AP$7:$AP$1843,$BY$7:$BY$1843,BY360,$AS$7:$AS$1843,AS360,$BQ$7:$BQ$1843,"&lt;="&amp;BQ360),"")</f>
        <v>4.06036958210871</v>
      </c>
      <c r="AU360" s="65" t="n">
        <f aca="false">IF(AT360="",0,MAX(0,MIN(1,(IF(BY360="L1",Parameter!$E$5,Parameter!$E$6+Parameter!$E$7)-(AT360-AP360))/AP360)))</f>
        <v>1</v>
      </c>
      <c r="AV360" s="57" t="n">
        <f aca="false">IF(LEFT(Cockpit!$O$5,1)="A",H360,IF(CA360=1,CB360,IF(LEFT(Cockpit!$O$5,1)="B",AZ360,MAX(AZ360,H360))))</f>
        <v>1602</v>
      </c>
      <c r="AW360" s="57" t="n">
        <f aca="false">IF(BT360=1,0,ROUNDUP(AV360/BS360,0))</f>
        <v>3</v>
      </c>
      <c r="AX360" s="59" t="n">
        <f aca="false">IF(CH360&gt;0,CH360*MAX(1,AV360/X360),IF(BT360=1,IF(AV360&lt;=0,0,BW360*MAX(1,IF(H360&gt;0,AV360/H360,1))),IF(R360&gt;0,AW360/R360,0))/MAX(0.1,N(Parameter!$M$21)))</f>
        <v>0.0576923076923077</v>
      </c>
      <c r="AY360" s="57" t="n">
        <f aca="false">AV360*G360</f>
        <v>448.56</v>
      </c>
      <c r="AZ360" s="57" t="n">
        <f aca="false">ROUNDUP(MAX(J360/IF(BZ360&gt;0,BZ360,MAX(0.1,N(Cockpit!$O$6))),CC360)/BS360,0)*BS360</f>
        <v>1602</v>
      </c>
      <c r="BA360" s="58" t="n">
        <f aca="false">IF(AX360&gt;0,J360/AX360,-1)</f>
        <v>21354.6666666667</v>
      </c>
      <c r="BB360" s="58" t="n">
        <f aca="false">IF(AND(OR(BY360="L1",BY360="L23"),AX360&gt;0),SUMIFS($AX$7:$AX$1843,$BY$7:$BY$1843,BY360,$BA$7:$BA$1843,"&gt;"&amp;BA360)+SUMIFS($AX$7:$AX$1843,$BY$7:$BY$1843,BY360,$BA$7:$BA$1843,BA360,$BQ$7:$BQ$1843,"&lt;="&amp;BQ360),"")</f>
        <v>3.69789871963785</v>
      </c>
      <c r="BC360" s="65" t="n">
        <f aca="false">IF(BB360="",0,MAX(0,MIN(1,(IF(BY360="L1",Parameter!$E$5,Parameter!$E$6+Parameter!$E$7)-(BB360-AX360))/AX360)))</f>
        <v>1</v>
      </c>
      <c r="BD360" s="55" t="str">
        <f aca="false">IF(AH360&lt;=0,"",IF(BY360="Aussen","Aussenlager",IF(BY360="-","Nicht im Lift",IF(AM360&gt;=1,"Lift",IF(AM360&lt;=0,"Aussenlager","teilweise")))))</f>
        <v>Lift</v>
      </c>
      <c r="BE360" s="55" t="str">
        <f aca="false">IF(AP360&lt;=0,"",IF(BY360="Aussen","Aussenlager",IF(BY360="-","Nicht im Lift",IF(AU360&gt;=1,"Lift",IF(AU360&lt;=0,"Aussenlager","teilweise")))))</f>
        <v>Lift</v>
      </c>
      <c r="BF360" s="55" t="str">
        <f aca="false">IF(AX360&lt;=0,"",IF(BY360="Aussen","Aussenlager",IF(BY360="-","Nicht im Lift",IF(BC360&gt;=1,"Lift",IF(BC360&lt;=0,"Aussenlager","teilweise")))))</f>
        <v>Lift</v>
      </c>
      <c r="BG360" s="55" t="str">
        <f aca="false">IF(A360="","",IF(BP360=1,"Neu; ","")&amp;IF(AND(BP360=0,BK360&lt;0),"negativer Bestand (Export "&amp;BK360&amp;"); ","")&amp;IF(J360&lt;=0,"Kein Verbrauch; ","")&amp;IF(CH360&gt;0,"Lift "&amp;W360&amp;" lt. Liftbericht (Fach "&amp;X360&amp;" Stk); ",IF(BU360=1,"Gebinde geschätzt ("&amp;T360&amp;"); ",IF(BT360=1,"Lose – Tablare geschätzt; ","")))&amp;IF(H360&gt;AR360,"Überbestand "&amp;ROUND(H360-AR360,0)&amp;" Stk / CHF "&amp;ROUND((H360-AR360)*G360,0)&amp;"; ","")&amp;IF(AND(CA360=1,CB360&lt;CC360),"MAX &lt; MB+LG; ","")&amp;IF(AND(CG360&gt;0,CF360*10&gt;CG360),"zu hoch für Tablar; ","")&amp;IF(AND(BP360=0,OR(CA360=1,AA360&lt;&gt;"",U360&lt;&gt;"",V360&lt;&gt;"",AB360&lt;&gt;"")),"manuell übersteuert; ","")&amp;IF(AND(BT360=0,R360=0),"Gebinde unbekannt / Stellmass fehlt; ","")&amp;IF(AND(BT360=0,N(V360)&lt;=0,N(Q360)&lt;=0),"Menge pro Gebinde fehlt (Ist = 1 Gebinde); ","")&amp;BO360)</f>
        <v/>
      </c>
      <c r="BH360" s="55"/>
      <c r="BI360" s="55"/>
      <c r="BJ360" s="62"/>
      <c r="BK360" s="57" t="n">
        <v>688</v>
      </c>
      <c r="BL360" s="57" t="n">
        <v>429</v>
      </c>
      <c r="BM360" s="56" t="n">
        <v>167.5</v>
      </c>
      <c r="BN360" s="57" t="n">
        <v>1232</v>
      </c>
      <c r="BO360" s="55"/>
      <c r="BP360" s="60" t="n">
        <v>0</v>
      </c>
      <c r="BQ360" s="60" t="n">
        <v>360</v>
      </c>
      <c r="BR360" s="55" t="str">
        <f aca="false">IF(U360&lt;&gt;"",UPPER(TRIM(U360)),IF(BU360=1,UPPER(VLOOKUP(T360,Parameter!$I$27:$K$29,2,0)),IF(P360="","LOSE",P360)))</f>
        <v>S41</v>
      </c>
      <c r="BS360" s="57" t="n">
        <f aca="false">IF(BR360="LOSE",1,IF(N(V360)&gt;0,V360,IF(BU360=1,MAX(1,N(VLOOKUP(T360,Parameter!$I$27:$K$29,3,0)),H360,N(N360)),IF(N(Q360)&gt;0,Q360,MAX(1,H360)))))</f>
        <v>534</v>
      </c>
      <c r="BT360" s="60" t="n">
        <f aca="false">IF(BR360="LOSE",1,0)</f>
        <v>0</v>
      </c>
      <c r="BU360" s="60" t="n">
        <f aca="false">IF(AND(U360="",OR(P360="",P360="LOSE"),T360&lt;&gt;"",N(S360)&lt;=0,ISNUMBER(MATCH(T360,Parameter!$I$27:$I$29,0))),1,0)</f>
        <v>0</v>
      </c>
      <c r="BV360" s="55" t="str">
        <f aca="false">IF(AND(Parameter!$B$19="Ja",E360&lt;&gt;"",ISNUMBER(MATCH(E360,Parameter!$I$35:$I$52,0))),VLOOKUP(E360,Parameter!$I$35:$J$52,2,0),IFERROR(VLOOKUP(D360,Parameter!$A$35:$C$64,2,0),"Nein"))</f>
        <v>2+3</v>
      </c>
      <c r="BW360" s="59" t="n">
        <f aca="false">IF(BT360=0,0,IF(N(S360)&gt;0,S360,IFERROR(VLOOKUP(D360,Parameter!$A$35:$C$64,3,0)+0,0)))</f>
        <v>0</v>
      </c>
      <c r="BX360" s="55" t="n">
        <f aca="false">IF(AA360&lt;&gt;"",AA360,Z360)</f>
        <v>3</v>
      </c>
      <c r="BY360" s="55" t="str">
        <f aca="false">IF(BX360=1,"L1",IF(OR(BX360=2,BX360=3),"L23",IF(BX360="Aussen","Aussen","-")))</f>
        <v>L23</v>
      </c>
      <c r="BZ360" s="66" t="n">
        <f aca="false">IF(N(AB360)&gt;0,AB360,0)</f>
        <v>0</v>
      </c>
      <c r="CA360" s="60" t="n">
        <f aca="false">IF(ISNUMBER(AE360),1,0)</f>
        <v>0</v>
      </c>
      <c r="CB360" s="57" t="n">
        <f aca="false">N(AE360)</f>
        <v>0</v>
      </c>
      <c r="CC360" s="57" t="n">
        <f aca="false">N(M360)+N(N360)</f>
        <v>1282</v>
      </c>
      <c r="CD360" s="57" t="n">
        <f aca="false">ROUNDUP(H360/BS360,0)</f>
        <v>3</v>
      </c>
      <c r="CE360" s="57" t="n">
        <f aca="false">ROUNDUP(CB360/BS360,0)</f>
        <v>0</v>
      </c>
      <c r="CF360" s="60" t="n">
        <f aca="false">IF(BT360=1,0,IFERROR(VLOOKUP(BR360,'Gebinde-Kategorie'!$A$5:$M$45,5,0)+0,0))</f>
        <v>11</v>
      </c>
      <c r="CG360" s="60" t="n">
        <f aca="false">IFERROR(IF(OR(BX360=1,BX360=2,BX360=3),N(INDEX(Parameter!$I$5:$I$7,BX360)),0),0)</f>
        <v>0</v>
      </c>
      <c r="CH360" s="59" t="n">
        <f aca="false">IF(AND(Parameter!$B$21="Ja",ISNUMBER(W360),N(X360)&gt;0),IFERROR(N(INDEX(Parameter!$L$5:$L$7,W360))*INDEX(Parameter!$E$5:$E$7,W360)*X360/SUMIFS($X$7:$X$1843,$W$7:$W$1843,W360),0),0)</f>
        <v>0</v>
      </c>
    </row>
    <row r="361" customFormat="false" ht="15" hidden="false" customHeight="false" outlineLevel="0" collapsed="false">
      <c r="A361" s="55" t="s">
        <v>873</v>
      </c>
      <c r="B361" s="55" t="s">
        <v>845</v>
      </c>
      <c r="C361" s="55" t="s">
        <v>164</v>
      </c>
      <c r="D361" s="55" t="s">
        <v>184</v>
      </c>
      <c r="E361" s="55"/>
      <c r="F361" s="55" t="s">
        <v>218</v>
      </c>
      <c r="G361" s="56" t="n">
        <v>6.7</v>
      </c>
      <c r="H361" s="57" t="n">
        <f aca="false">MAX(0,IF(AND(Parameter!$B$21="Ja",ISNUMBER(Y361)),Y361,IF(Parameter!$B$20="Jahresanfang 2025 + Export",BL361+BK361,BK361)))</f>
        <v>25</v>
      </c>
      <c r="I361" s="57" t="n">
        <f aca="false">H361*G361</f>
        <v>167.5</v>
      </c>
      <c r="J361" s="57" t="n">
        <f aca="false">BN361*Parameter!$B$18</f>
        <v>0</v>
      </c>
      <c r="K361" s="58" t="n">
        <v>0</v>
      </c>
      <c r="L361" s="59" t="n">
        <v>0</v>
      </c>
      <c r="M361" s="57" t="n">
        <v>0</v>
      </c>
      <c r="N361" s="57" t="n">
        <v>5</v>
      </c>
      <c r="O361" s="60" t="n">
        <v>9999</v>
      </c>
      <c r="P361" s="55" t="s">
        <v>168</v>
      </c>
      <c r="Q361" s="57"/>
      <c r="R361" s="60" t="n">
        <f aca="false">IF(BT361=1,0,IFERROR(VLOOKUP(BR361,'Gebinde-Kategorie'!$A$5:$M$45,13,0)+0,0))</f>
        <v>26</v>
      </c>
      <c r="S361" s="61"/>
      <c r="T361" s="62" t="s">
        <v>275</v>
      </c>
      <c r="U361" s="62"/>
      <c r="V361" s="62"/>
      <c r="W361" s="55"/>
      <c r="X361" s="57"/>
      <c r="Y361" s="57"/>
      <c r="Z361" s="55" t="n">
        <f aca="false">IF(A361="","",IF(AND(Parameter!$B$21="Ja",ISNUMBER(W361)),W361,IF(BV361="2+3",IF(ISNUMBER(SEARCH("grosser Artikel",BO361)),2,IFERROR(VLOOKUP(BR361,Parameter!$F$35:$G$64,2,0),2)),IF(OR(BV361="Nein",BV361=""),"-",BV361))))</f>
        <v>3</v>
      </c>
      <c r="AA361" s="62"/>
      <c r="AB361" s="63"/>
      <c r="AC361" s="57" t="n">
        <f aca="false">AR361</f>
        <v>25</v>
      </c>
      <c r="AD361" s="57" t="n">
        <f aca="false">MAX(AR361,H361)</f>
        <v>25</v>
      </c>
      <c r="AE361" s="64"/>
      <c r="AF361" s="57" t="n">
        <f aca="false">IF(LEFT(Cockpit!$C$5,1)="A",H361,IF(CA361=1,CB361,IF(LEFT(Cockpit!$C$5,1)="B",AJ361,MAX(AJ361,H361))))</f>
        <v>25</v>
      </c>
      <c r="AG361" s="57" t="n">
        <f aca="false">IF(BT361=1,0,ROUNDUP(AF361/BS361,0))</f>
        <v>1</v>
      </c>
      <c r="AH361" s="59" t="n">
        <f aca="false">IF(CH361&gt;0,CH361*MAX(1,AF361/X361),IF(BT361=1,IF(AF361&lt;=0,0,BW361*MAX(1,IF(H361&gt;0,AF361/H361,1))),IF(R361&gt;0,AG361/R361,0))/MAX(0.1,N(Parameter!$M$21)))</f>
        <v>0.0384615384615385</v>
      </c>
      <c r="AI361" s="57" t="n">
        <f aca="false">AF361*G361</f>
        <v>167.5</v>
      </c>
      <c r="AJ361" s="57" t="n">
        <f aca="false">ROUNDUP(MAX(J361/IF(BZ361&gt;0,BZ361,MAX(0.1,N(Cockpit!$C$6))),CC361)/BS361,0)*BS361</f>
        <v>25</v>
      </c>
      <c r="AK361" s="58" t="n">
        <f aca="false">IF(AH361&gt;0,J361/AH361,-1)</f>
        <v>0</v>
      </c>
      <c r="AL361" s="58" t="n">
        <f aca="false">IF(AND(OR(BY361="L1",BY361="L23"),AH361&gt;0),SUMIFS($AH$7:$AH$1843,$BY$7:$BY$1843,BY361,$AK$7:$AK$1843,"&gt;"&amp;AK361)+SUMIFS($AH$7:$AH$1843,$BY$7:$BY$1843,BY361,$AK$7:$AK$1843,AK361,$BQ$7:$BQ$1843,"&lt;="&amp;BQ361),"")</f>
        <v>73.3119573663052</v>
      </c>
      <c r="AM361" s="65" t="n">
        <f aca="false">IF(AL361="",0,MAX(0,MIN(1,(IF(BY361="L1",Parameter!$E$5,Parameter!$E$6+Parameter!$E$7)-(AL361-AH361))/AH361)))</f>
        <v>1</v>
      </c>
      <c r="AN361" s="57" t="n">
        <f aca="false">IF(LEFT(Cockpit!$I$5,1)="A",H361,IF(CA361=1,CB361,IF(LEFT(Cockpit!$I$5,1)="B",AR361,MAX(AR361,H361))))</f>
        <v>25</v>
      </c>
      <c r="AO361" s="57" t="n">
        <f aca="false">IF(BT361=1,0,ROUNDUP(AN361/BS361,0))</f>
        <v>1</v>
      </c>
      <c r="AP361" s="59" t="n">
        <f aca="false">IF(CH361&gt;0,CH361*MAX(1,AN361/X361),IF(BT361=1,IF(AN361&lt;=0,0,BW361*MAX(1,IF(H361&gt;0,AN361/H361,1))),IF(R361&gt;0,AO361/R361,0))/MAX(0.1,N(Parameter!$M$21)))</f>
        <v>0.0384615384615385</v>
      </c>
      <c r="AQ361" s="57" t="n">
        <f aca="false">AN361*G361</f>
        <v>167.5</v>
      </c>
      <c r="AR361" s="57" t="n">
        <f aca="false">ROUNDUP(MAX(J361/IF(BZ361&gt;0,BZ361,MAX(0.1,N(Cockpit!$I$6))),CC361)/BS361,0)*BS361</f>
        <v>25</v>
      </c>
      <c r="AS361" s="58" t="n">
        <f aca="false">IF(AP361&gt;0,J361/AP361,-1)</f>
        <v>0</v>
      </c>
      <c r="AT361" s="58" t="n">
        <f aca="false">IF(AND(OR(BY361="L1",BY361="L23"),AP361&gt;0),SUMIFS($AP$7:$AP$1843,$BY$7:$BY$1843,BY361,$AS$7:$AS$1843,"&gt;"&amp;AS361)+SUMIFS($AP$7:$AP$1843,$BY$7:$BY$1843,BY361,$AS$7:$AS$1843,AS361,$BQ$7:$BQ$1843,"&lt;="&amp;BQ361),"")</f>
        <v>112.736081551299</v>
      </c>
      <c r="AU361" s="65" t="n">
        <f aca="false">IF(AT361="",0,MAX(0,MIN(1,(IF(BY361="L1",Parameter!$E$5,Parameter!$E$6+Parameter!$E$7)-(AT361-AP361))/AP361)))</f>
        <v>0</v>
      </c>
      <c r="AV361" s="57" t="n">
        <f aca="false">IF(LEFT(Cockpit!$O$5,1)="A",H361,IF(CA361=1,CB361,IF(LEFT(Cockpit!$O$5,1)="B",AZ361,MAX(AZ361,H361))))</f>
        <v>25</v>
      </c>
      <c r="AW361" s="57" t="n">
        <f aca="false">IF(BT361=1,0,ROUNDUP(AV361/BS361,0))</f>
        <v>1</v>
      </c>
      <c r="AX361" s="59" t="n">
        <f aca="false">IF(CH361&gt;0,CH361*MAX(1,AV361/X361),IF(BT361=1,IF(AV361&lt;=0,0,BW361*MAX(1,IF(H361&gt;0,AV361/H361,1))),IF(R361&gt;0,AW361/R361,0))/MAX(0.1,N(Parameter!$M$21)))</f>
        <v>0.0384615384615385</v>
      </c>
      <c r="AY361" s="57" t="n">
        <f aca="false">AV361*G361</f>
        <v>167.5</v>
      </c>
      <c r="AZ361" s="57" t="n">
        <f aca="false">ROUNDUP(MAX(J361/IF(BZ361&gt;0,BZ361,MAX(0.1,N(Cockpit!$O$6))),CC361)/BS361,0)*BS361</f>
        <v>25</v>
      </c>
      <c r="BA361" s="58" t="n">
        <f aca="false">IF(AX361&gt;0,J361/AX361,-1)</f>
        <v>0</v>
      </c>
      <c r="BB361" s="58" t="n">
        <f aca="false">IF(AND(OR(BY361="L1",BY361="L23"),AX361&gt;0),SUMIFS($AX$7:$AX$1843,$BY$7:$BY$1843,BY361,$BA$7:$BA$1843,"&gt;"&amp;BA361)+SUMIFS($AX$7:$AX$1843,$BY$7:$BY$1843,BY361,$BA$7:$BA$1843,BA361,$BQ$7:$BQ$1843,"&lt;="&amp;BQ361),"")</f>
        <v>103.565918381136</v>
      </c>
      <c r="BC361" s="65" t="n">
        <f aca="false">IF(BB361="",0,MAX(0,MIN(1,(IF(BY361="L1",Parameter!$E$5,Parameter!$E$6+Parameter!$E$7)-(BB361-AX361))/AX361)))</f>
        <v>0</v>
      </c>
      <c r="BD361" s="55" t="str">
        <f aca="false">IF(AH361&lt;=0,"",IF(BY361="Aussen","Aussenlager",IF(BY361="-","Nicht im Lift",IF(AM361&gt;=1,"Lift",IF(AM361&lt;=0,"Aussenlager","teilweise")))))</f>
        <v>Lift</v>
      </c>
      <c r="BE361" s="55" t="str">
        <f aca="false">IF(AP361&lt;=0,"",IF(BY361="Aussen","Aussenlager",IF(BY361="-","Nicht im Lift",IF(AU361&gt;=1,"Lift",IF(AU361&lt;=0,"Aussenlager","teilweise")))))</f>
        <v>Aussenlager</v>
      </c>
      <c r="BF361" s="55" t="str">
        <f aca="false">IF(AX361&lt;=0,"",IF(BY361="Aussen","Aussenlager",IF(BY361="-","Nicht im Lift",IF(BC361&gt;=1,"Lift",IF(BC361&lt;=0,"Aussenlager","teilweise")))))</f>
        <v>Aussenlager</v>
      </c>
      <c r="BG361" s="55" t="str">
        <f aca="false">IF(A361="","",IF(BP361=1,"Neu; ","")&amp;IF(AND(BP361=0,BK361&lt;0),"negativer Bestand (Export "&amp;BK361&amp;"); ","")&amp;IF(J361&lt;=0,"Kein Verbrauch; ","")&amp;IF(CH361&gt;0,"Lift "&amp;W361&amp;" lt. Liftbericht (Fach "&amp;X361&amp;" Stk); ",IF(BU361=1,"Gebinde geschätzt ("&amp;T361&amp;"); ",IF(BT361=1,"Lose – Tablare geschätzt; ","")))&amp;IF(H361&gt;AR361,"Überbestand "&amp;ROUND(H361-AR361,0)&amp;" Stk / CHF "&amp;ROUND((H361-AR361)*G361,0)&amp;"; ","")&amp;IF(AND(CA361=1,CB361&lt;CC361),"MAX &lt; MB+LG; ","")&amp;IF(AND(CG361&gt;0,CF361*10&gt;CG361),"zu hoch für Tablar; ","")&amp;IF(AND(BP361=0,OR(CA361=1,AA361&lt;&gt;"",U361&lt;&gt;"",V361&lt;&gt;"",AB361&lt;&gt;"")),"manuell übersteuert; ","")&amp;IF(AND(BT361=0,R361=0),"Gebinde unbekannt / Stellmass fehlt; ","")&amp;IF(AND(BT361=0,N(V361)&lt;=0,N(Q361)&lt;=0),"Menge pro Gebinde fehlt (Ist = 1 Gebinde); ","")&amp;BO361)</f>
        <v>Kein Verbrauch; Gebinde geschätzt (Klein); Menge pro Gebinde fehlt (Ist = 1 Gebinde); </v>
      </c>
      <c r="BH361" s="55"/>
      <c r="BI361" s="55"/>
      <c r="BJ361" s="62"/>
      <c r="BK361" s="57" t="n">
        <v>25</v>
      </c>
      <c r="BL361" s="57" t="n">
        <v>0</v>
      </c>
      <c r="BM361" s="56" t="n">
        <v>167.5</v>
      </c>
      <c r="BN361" s="57" t="n">
        <v>0</v>
      </c>
      <c r="BO361" s="55"/>
      <c r="BP361" s="60" t="n">
        <v>0</v>
      </c>
      <c r="BQ361" s="60" t="n">
        <v>361</v>
      </c>
      <c r="BR361" s="55" t="str">
        <f aca="false">IF(U361&lt;&gt;"",UPPER(TRIM(U361)),IF(BU361=1,UPPER(VLOOKUP(T361,Parameter!$I$27:$K$29,2,0)),IF(P361="","LOSE",P361)))</f>
        <v>S51</v>
      </c>
      <c r="BS361" s="57" t="n">
        <f aca="false">IF(BR361="LOSE",1,IF(N(V361)&gt;0,V361,IF(BU361=1,MAX(1,N(VLOOKUP(T361,Parameter!$I$27:$K$29,3,0)),H361,N(N361)),IF(N(Q361)&gt;0,Q361,MAX(1,H361)))))</f>
        <v>25</v>
      </c>
      <c r="BT361" s="60" t="n">
        <f aca="false">IF(BR361="LOSE",1,0)</f>
        <v>0</v>
      </c>
      <c r="BU361" s="60" t="n">
        <f aca="false">IF(AND(U361="",OR(P361="",P361="LOSE"),T361&lt;&gt;"",N(S361)&lt;=0,ISNUMBER(MATCH(T361,Parameter!$I$27:$I$29,0))),1,0)</f>
        <v>1</v>
      </c>
      <c r="BV361" s="55" t="str">
        <f aca="false">IF(AND(Parameter!$B$19="Ja",E361&lt;&gt;"",ISNUMBER(MATCH(E361,Parameter!$I$35:$I$52,0))),VLOOKUP(E361,Parameter!$I$35:$J$52,2,0),IFERROR(VLOOKUP(D361,Parameter!$A$35:$C$64,2,0),"Nein"))</f>
        <v>2+3</v>
      </c>
      <c r="BW361" s="59" t="n">
        <f aca="false">IF(BT361=0,0,IF(N(S361)&gt;0,S361,IFERROR(VLOOKUP(D361,Parameter!$A$35:$C$64,3,0)+0,0)))</f>
        <v>0</v>
      </c>
      <c r="BX361" s="55" t="n">
        <f aca="false">IF(AA361&lt;&gt;"",AA361,Z361)</f>
        <v>3</v>
      </c>
      <c r="BY361" s="55" t="str">
        <f aca="false">IF(BX361=1,"L1",IF(OR(BX361=2,BX361=3),"L23",IF(BX361="Aussen","Aussen","-")))</f>
        <v>L23</v>
      </c>
      <c r="BZ361" s="66" t="n">
        <f aca="false">IF(N(AB361)&gt;0,AB361,0)</f>
        <v>0</v>
      </c>
      <c r="CA361" s="60" t="n">
        <f aca="false">IF(ISNUMBER(AE361),1,0)</f>
        <v>0</v>
      </c>
      <c r="CB361" s="57" t="n">
        <f aca="false">N(AE361)</f>
        <v>0</v>
      </c>
      <c r="CC361" s="57" t="n">
        <f aca="false">N(M361)+N(N361)</f>
        <v>5</v>
      </c>
      <c r="CD361" s="57" t="n">
        <f aca="false">ROUNDUP(H361/BS361,0)</f>
        <v>1</v>
      </c>
      <c r="CE361" s="57" t="n">
        <f aca="false">ROUNDUP(CB361/BS361,0)</f>
        <v>0</v>
      </c>
      <c r="CF361" s="60" t="n">
        <f aca="false">IF(BT361=1,0,IFERROR(VLOOKUP(BR361,'Gebinde-Kategorie'!$A$5:$M$45,5,0)+0,0))</f>
        <v>11</v>
      </c>
      <c r="CG361" s="60" t="n">
        <f aca="false">IFERROR(IF(OR(BX361=1,BX361=2,BX361=3),N(INDEX(Parameter!$I$5:$I$7,BX361)),0),0)</f>
        <v>0</v>
      </c>
      <c r="CH361" s="59" t="n">
        <f aca="false">IF(AND(Parameter!$B$21="Ja",ISNUMBER(W361),N(X361)&gt;0),IFERROR(N(INDEX(Parameter!$L$5:$L$7,W361))*INDEX(Parameter!$E$5:$E$7,W361)*X361/SUMIFS($X$7:$X$1843,$W$7:$W$1843,W361),0),0)</f>
        <v>0</v>
      </c>
    </row>
    <row r="362" customFormat="false" ht="15" hidden="false" customHeight="false" outlineLevel="0" collapsed="false">
      <c r="A362" s="55" t="s">
        <v>874</v>
      </c>
      <c r="B362" s="55" t="s">
        <v>875</v>
      </c>
      <c r="C362" s="55" t="s">
        <v>164</v>
      </c>
      <c r="D362" s="55" t="s">
        <v>173</v>
      </c>
      <c r="E362" s="55"/>
      <c r="F362" s="55" t="s">
        <v>218</v>
      </c>
      <c r="G362" s="56" t="n">
        <v>33.5</v>
      </c>
      <c r="H362" s="57" t="n">
        <f aca="false">MAX(0,IF(AND(Parameter!$B$21="Ja",ISNUMBER(Y362)),Y362,IF(Parameter!$B$20="Jahresanfang 2025 + Export",BL362+BK362,BK362)))</f>
        <v>14</v>
      </c>
      <c r="I362" s="57" t="n">
        <f aca="false">H362*G362</f>
        <v>469</v>
      </c>
      <c r="J362" s="57" t="n">
        <f aca="false">BN362*Parameter!$B$18</f>
        <v>21</v>
      </c>
      <c r="K362" s="58" t="n">
        <v>9.5</v>
      </c>
      <c r="L362" s="59" t="n">
        <v>2.21052631578947</v>
      </c>
      <c r="M362" s="57" t="n">
        <v>3</v>
      </c>
      <c r="N362" s="57" t="n">
        <v>20</v>
      </c>
      <c r="O362" s="60" t="n">
        <v>56</v>
      </c>
      <c r="P362" s="55" t="s">
        <v>223</v>
      </c>
      <c r="Q362" s="57" t="n">
        <v>24</v>
      </c>
      <c r="R362" s="60" t="n">
        <f aca="false">IF(BT362=1,0,IFERROR(VLOOKUP(BR362,'Gebinde-Kategorie'!$A$5:$M$45,13,0)+0,0))</f>
        <v>3</v>
      </c>
      <c r="S362" s="61"/>
      <c r="T362" s="62"/>
      <c r="U362" s="62"/>
      <c r="V362" s="62"/>
      <c r="W362" s="55"/>
      <c r="X362" s="57"/>
      <c r="Y362" s="57"/>
      <c r="Z362" s="55" t="n">
        <f aca="false">IF(A362="","",IF(AND(Parameter!$B$21="Ja",ISNUMBER(W362)),W362,IF(BV362="2+3",IF(ISNUMBER(SEARCH("grosser Artikel",BO362)),2,IFERROR(VLOOKUP(BR362,Parameter!$F$35:$G$64,2,0),2)),IF(OR(BV362="Nein",BV362=""),"-",BV362))))</f>
        <v>2</v>
      </c>
      <c r="AA362" s="62"/>
      <c r="AB362" s="63"/>
      <c r="AC362" s="57" t="n">
        <f aca="false">AR362</f>
        <v>24</v>
      </c>
      <c r="AD362" s="57" t="n">
        <f aca="false">MAX(AR362,H362)</f>
        <v>24</v>
      </c>
      <c r="AE362" s="64"/>
      <c r="AF362" s="57" t="n">
        <f aca="false">IF(LEFT(Cockpit!$C$5,1)="A",H362,IF(CA362=1,CB362,IF(LEFT(Cockpit!$C$5,1)="B",AJ362,MAX(AJ362,H362))))</f>
        <v>14</v>
      </c>
      <c r="AG362" s="57" t="n">
        <f aca="false">IF(BT362=1,0,ROUNDUP(AF362/BS362,0))</f>
        <v>1</v>
      </c>
      <c r="AH362" s="59" t="n">
        <f aca="false">IF(CH362&gt;0,CH362*MAX(1,AF362/X362),IF(BT362=1,IF(AF362&lt;=0,0,BW362*MAX(1,IF(H362&gt;0,AF362/H362,1))),IF(R362&gt;0,AG362/R362,0))/MAX(0.1,N(Parameter!$M$21)))</f>
        <v>0.333333333333333</v>
      </c>
      <c r="AI362" s="57" t="n">
        <f aca="false">AF362*G362</f>
        <v>469</v>
      </c>
      <c r="AJ362" s="57" t="n">
        <f aca="false">ROUNDUP(MAX(J362/IF(BZ362&gt;0,BZ362,MAX(0.1,N(Cockpit!$C$6))),CC362)/BS362,0)*BS362</f>
        <v>24</v>
      </c>
      <c r="AK362" s="58" t="n">
        <f aca="false">IF(AH362&gt;0,J362/AH362,-1)</f>
        <v>63</v>
      </c>
      <c r="AL362" s="58" t="n">
        <f aca="false">IF(AND(OR(BY362="L1",BY362="L23"),AH362&gt;0),SUMIFS($AH$7:$AH$1843,$BY$7:$BY$1843,BY362,$AK$7:$AK$1843,"&gt;"&amp;AK362)+SUMIFS($AH$7:$AH$1843,$BY$7:$BY$1843,BY362,$AK$7:$AK$1843,AK362,$BQ$7:$BQ$1843,"&lt;="&amp;BQ362),"")</f>
        <v>43.081188135536</v>
      </c>
      <c r="AM362" s="65" t="n">
        <f aca="false">IF(AL362="",0,MAX(0,MIN(1,(IF(BY362="L1",Parameter!$E$5,Parameter!$E$6+Parameter!$E$7)-(AL362-AH362))/AH362)))</f>
        <v>1</v>
      </c>
      <c r="AN362" s="57" t="n">
        <f aca="false">IF(LEFT(Cockpit!$I$5,1)="A",H362,IF(CA362=1,CB362,IF(LEFT(Cockpit!$I$5,1)="B",AR362,MAX(AR362,H362))))</f>
        <v>24</v>
      </c>
      <c r="AO362" s="57" t="n">
        <f aca="false">IF(BT362=1,0,ROUNDUP(AN362/BS362,0))</f>
        <v>1</v>
      </c>
      <c r="AP362" s="59" t="n">
        <f aca="false">IF(CH362&gt;0,CH362*MAX(1,AN362/X362),IF(BT362=1,IF(AN362&lt;=0,0,BW362*MAX(1,IF(H362&gt;0,AN362/H362,1))),IF(R362&gt;0,AO362/R362,0))/MAX(0.1,N(Parameter!$M$21)))</f>
        <v>0.333333333333333</v>
      </c>
      <c r="AQ362" s="57" t="n">
        <f aca="false">AN362*G362</f>
        <v>804</v>
      </c>
      <c r="AR362" s="57" t="n">
        <f aca="false">ROUNDUP(MAX(J362/IF(BZ362&gt;0,BZ362,MAX(0.1,N(Cockpit!$I$6))),CC362)/BS362,0)*BS362</f>
        <v>24</v>
      </c>
      <c r="AS362" s="58" t="n">
        <f aca="false">IF(AP362&gt;0,J362/AP362,-1)</f>
        <v>63</v>
      </c>
      <c r="AT362" s="58" t="n">
        <f aca="false">IF(AND(OR(BY362="L1",BY362="L23"),AP362&gt;0),SUMIFS($AP$7:$AP$1843,$BY$7:$BY$1843,BY362,$AS$7:$AS$1843,"&gt;"&amp;AS362)+SUMIFS($AP$7:$AP$1843,$BY$7:$BY$1843,BY362,$AS$7:$AS$1843,AS362,$BQ$7:$BQ$1843,"&lt;="&amp;BQ362),"")</f>
        <v>65.287363602581</v>
      </c>
      <c r="AU362" s="65" t="n">
        <f aca="false">IF(AT362="",0,MAX(0,MIN(1,(IF(BY362="L1",Parameter!$E$5,Parameter!$E$6+Parameter!$E$7)-(AT362-AP362))/AP362)))</f>
        <v>1</v>
      </c>
      <c r="AV362" s="57" t="n">
        <f aca="false">IF(LEFT(Cockpit!$O$5,1)="A",H362,IF(CA362=1,CB362,IF(LEFT(Cockpit!$O$5,1)="B",AZ362,MAX(AZ362,H362))))</f>
        <v>24</v>
      </c>
      <c r="AW362" s="57" t="n">
        <f aca="false">IF(BT362=1,0,ROUNDUP(AV362/BS362,0))</f>
        <v>1</v>
      </c>
      <c r="AX362" s="59" t="n">
        <f aca="false">IF(CH362&gt;0,CH362*MAX(1,AV362/X362),IF(BT362=1,IF(AV362&lt;=0,0,BW362*MAX(1,IF(H362&gt;0,AV362/H362,1))),IF(R362&gt;0,AW362/R362,0))/MAX(0.1,N(Parameter!$M$21)))</f>
        <v>0.333333333333333</v>
      </c>
      <c r="AY362" s="57" t="n">
        <f aca="false">AV362*G362</f>
        <v>804</v>
      </c>
      <c r="AZ362" s="57" t="n">
        <f aca="false">ROUNDUP(MAX(J362/IF(BZ362&gt;0,BZ362,MAX(0.1,N(Cockpit!$O$6))),CC362)/BS362,0)*BS362</f>
        <v>24</v>
      </c>
      <c r="BA362" s="58" t="n">
        <f aca="false">IF(AX362&gt;0,J362/AX362,-1)</f>
        <v>63</v>
      </c>
      <c r="BB362" s="58" t="n">
        <f aca="false">IF(AND(OR(BY362="L1",BY362="L23"),AX362&gt;0),SUMIFS($AX$7:$AX$1843,$BY$7:$BY$1843,BY362,$BA$7:$BA$1843,"&gt;"&amp;BA362)+SUMIFS($AX$7:$AX$1843,$BY$7:$BY$1843,BY362,$BA$7:$BA$1843,BA362,$BQ$7:$BQ$1843,"&lt;="&amp;BQ362),"")</f>
        <v>59.7838670990845</v>
      </c>
      <c r="BC362" s="65" t="n">
        <f aca="false">IF(BB362="",0,MAX(0,MIN(1,(IF(BY362="L1",Parameter!$E$5,Parameter!$E$6+Parameter!$E$7)-(BB362-AX362))/AX362)))</f>
        <v>1</v>
      </c>
      <c r="BD362" s="55" t="str">
        <f aca="false">IF(AH362&lt;=0,"",IF(BY362="Aussen","Aussenlager",IF(BY362="-","Nicht im Lift",IF(AM362&gt;=1,"Lift",IF(AM362&lt;=0,"Aussenlager","teilweise")))))</f>
        <v>Lift</v>
      </c>
      <c r="BE362" s="55" t="str">
        <f aca="false">IF(AP362&lt;=0,"",IF(BY362="Aussen","Aussenlager",IF(BY362="-","Nicht im Lift",IF(AU362&gt;=1,"Lift",IF(AU362&lt;=0,"Aussenlager","teilweise")))))</f>
        <v>Lift</v>
      </c>
      <c r="BF362" s="55" t="str">
        <f aca="false">IF(AX362&lt;=0,"",IF(BY362="Aussen","Aussenlager",IF(BY362="-","Nicht im Lift",IF(BC362&gt;=1,"Lift",IF(BC362&lt;=0,"Aussenlager","teilweise")))))</f>
        <v>Lift</v>
      </c>
      <c r="BG362" s="55" t="str">
        <f aca="false">IF(A362="","",IF(BP362=1,"Neu; ","")&amp;IF(AND(BP362=0,BK362&lt;0),"negativer Bestand (Export "&amp;BK362&amp;"); ","")&amp;IF(J362&lt;=0,"Kein Verbrauch; ","")&amp;IF(CH362&gt;0,"Lift "&amp;W362&amp;" lt. Liftbericht (Fach "&amp;X362&amp;" Stk); ",IF(BU362=1,"Gebinde geschätzt ("&amp;T362&amp;"); ",IF(BT362=1,"Lose – Tablare geschätzt; ","")))&amp;IF(H362&gt;AR362,"Überbestand "&amp;ROUND(H362-AR362,0)&amp;" Stk / CHF "&amp;ROUND((H362-AR362)*G362,0)&amp;"; ","")&amp;IF(AND(CA362=1,CB362&lt;CC362),"MAX &lt; MB+LG; ","")&amp;IF(AND(CG362&gt;0,CF362*10&gt;CG362),"zu hoch für Tablar; ","")&amp;IF(AND(BP362=0,OR(CA362=1,AA362&lt;&gt;"",U362&lt;&gt;"",V362&lt;&gt;"",AB362&lt;&gt;"")),"manuell übersteuert; ","")&amp;IF(AND(BT362=0,R362=0),"Gebinde unbekannt / Stellmass fehlt; ","")&amp;IF(AND(BT362=0,N(V362)&lt;=0,N(Q362)&lt;=0),"Menge pro Gebinde fehlt (Ist = 1 Gebinde); ","")&amp;BO362)</f>
        <v/>
      </c>
      <c r="BH362" s="55"/>
      <c r="BI362" s="55"/>
      <c r="BJ362" s="62"/>
      <c r="BK362" s="57" t="n">
        <v>5</v>
      </c>
      <c r="BL362" s="57" t="n">
        <v>9</v>
      </c>
      <c r="BM362" s="56" t="n">
        <v>167.5</v>
      </c>
      <c r="BN362" s="57" t="n">
        <v>21</v>
      </c>
      <c r="BO362" s="55"/>
      <c r="BP362" s="60" t="n">
        <v>0</v>
      </c>
      <c r="BQ362" s="60" t="n">
        <v>362</v>
      </c>
      <c r="BR362" s="55" t="str">
        <f aca="false">IF(U362&lt;&gt;"",UPPER(TRIM(U362)),IF(BU362=1,UPPER(VLOOKUP(T362,Parameter!$I$27:$K$29,2,0)),IF(P362="","LOSE",P362)))</f>
        <v>S81</v>
      </c>
      <c r="BS362" s="57" t="n">
        <f aca="false">IF(BR362="LOSE",1,IF(N(V362)&gt;0,V362,IF(BU362=1,MAX(1,N(VLOOKUP(T362,Parameter!$I$27:$K$29,3,0)),H362,N(N362)),IF(N(Q362)&gt;0,Q362,MAX(1,H362)))))</f>
        <v>24</v>
      </c>
      <c r="BT362" s="60" t="n">
        <f aca="false">IF(BR362="LOSE",1,0)</f>
        <v>0</v>
      </c>
      <c r="BU362" s="60" t="n">
        <f aca="false">IF(AND(U362="",OR(P362="",P362="LOSE"),T362&lt;&gt;"",N(S362)&lt;=0,ISNUMBER(MATCH(T362,Parameter!$I$27:$I$29,0))),1,0)</f>
        <v>0</v>
      </c>
      <c r="BV362" s="55" t="str">
        <f aca="false">IF(AND(Parameter!$B$19="Ja",E362&lt;&gt;"",ISNUMBER(MATCH(E362,Parameter!$I$35:$I$52,0))),VLOOKUP(E362,Parameter!$I$35:$J$52,2,0),IFERROR(VLOOKUP(D362,Parameter!$A$35:$C$64,2,0),"Nein"))</f>
        <v>2+3</v>
      </c>
      <c r="BW362" s="59" t="n">
        <f aca="false">IF(BT362=0,0,IF(N(S362)&gt;0,S362,IFERROR(VLOOKUP(D362,Parameter!$A$35:$C$64,3,0)+0,0)))</f>
        <v>0</v>
      </c>
      <c r="BX362" s="55" t="n">
        <f aca="false">IF(AA362&lt;&gt;"",AA362,Z362)</f>
        <v>2</v>
      </c>
      <c r="BY362" s="55" t="str">
        <f aca="false">IF(BX362=1,"L1",IF(OR(BX362=2,BX362=3),"L23",IF(BX362="Aussen","Aussen","-")))</f>
        <v>L23</v>
      </c>
      <c r="BZ362" s="66" t="n">
        <f aca="false">IF(N(AB362)&gt;0,AB362,0)</f>
        <v>0</v>
      </c>
      <c r="CA362" s="60" t="n">
        <f aca="false">IF(ISNUMBER(AE362),1,0)</f>
        <v>0</v>
      </c>
      <c r="CB362" s="57" t="n">
        <f aca="false">N(AE362)</f>
        <v>0</v>
      </c>
      <c r="CC362" s="57" t="n">
        <f aca="false">N(M362)+N(N362)</f>
        <v>23</v>
      </c>
      <c r="CD362" s="57" t="n">
        <f aca="false">ROUNDUP(H362/BS362,0)</f>
        <v>1</v>
      </c>
      <c r="CE362" s="57" t="n">
        <f aca="false">ROUNDUP(CB362/BS362,0)</f>
        <v>0</v>
      </c>
      <c r="CF362" s="60" t="n">
        <f aca="false">IF(BT362=1,0,IFERROR(VLOOKUP(BR362,'Gebinde-Kategorie'!$A$5:$M$45,5,0)+0,0))</f>
        <v>20</v>
      </c>
      <c r="CG362" s="60" t="n">
        <f aca="false">IFERROR(IF(OR(BX362=1,BX362=2,BX362=3),N(INDEX(Parameter!$I$5:$I$7,BX362)),0),0)</f>
        <v>0</v>
      </c>
      <c r="CH362" s="59" t="n">
        <f aca="false">IF(AND(Parameter!$B$21="Ja",ISNUMBER(W362),N(X362)&gt;0),IFERROR(N(INDEX(Parameter!$L$5:$L$7,W362))*INDEX(Parameter!$E$5:$E$7,W362)*X362/SUMIFS($X$7:$X$1843,$W$7:$W$1843,W362),0),0)</f>
        <v>0</v>
      </c>
    </row>
    <row r="363" customFormat="false" ht="15" hidden="false" customHeight="false" outlineLevel="0" collapsed="false">
      <c r="A363" s="55" t="s">
        <v>876</v>
      </c>
      <c r="B363" s="55" t="s">
        <v>857</v>
      </c>
      <c r="C363" s="55" t="s">
        <v>164</v>
      </c>
      <c r="D363" s="55" t="s">
        <v>184</v>
      </c>
      <c r="E363" s="55"/>
      <c r="F363" s="55" t="s">
        <v>218</v>
      </c>
      <c r="G363" s="56" t="n">
        <v>138.25</v>
      </c>
      <c r="H363" s="57" t="n">
        <f aca="false">MAX(0,IF(AND(Parameter!$B$21="Ja",ISNUMBER(Y363)),Y363,IF(Parameter!$B$20="Jahresanfang 2025 + Export",BL363+BK363,BK363)))</f>
        <v>5</v>
      </c>
      <c r="I363" s="57" t="n">
        <f aca="false">H363*G363</f>
        <v>691.25</v>
      </c>
      <c r="J363" s="57" t="n">
        <f aca="false">BN363*Parameter!$B$18</f>
        <v>2</v>
      </c>
      <c r="K363" s="58" t="n">
        <v>5</v>
      </c>
      <c r="L363" s="59" t="n">
        <v>0.4</v>
      </c>
      <c r="M363" s="57" t="n">
        <v>0</v>
      </c>
      <c r="N363" s="57" t="n">
        <v>1</v>
      </c>
      <c r="O363" s="60" t="n">
        <v>35</v>
      </c>
      <c r="P363" s="55" t="s">
        <v>426</v>
      </c>
      <c r="Q363" s="57" t="n">
        <v>5</v>
      </c>
      <c r="R363" s="60" t="n">
        <f aca="false">IF(BT363=1,0,IFERROR(VLOOKUP(BR363,'Gebinde-Kategorie'!$A$5:$M$45,13,0)+0,0))</f>
        <v>198</v>
      </c>
      <c r="S363" s="61"/>
      <c r="T363" s="62"/>
      <c r="U363" s="62"/>
      <c r="V363" s="62"/>
      <c r="W363" s="55"/>
      <c r="X363" s="57"/>
      <c r="Y363" s="57"/>
      <c r="Z363" s="55" t="n">
        <f aca="false">IF(A363="","",IF(AND(Parameter!$B$21="Ja",ISNUMBER(W363)),W363,IF(BV363="2+3",IF(ISNUMBER(SEARCH("grosser Artikel",BO363)),2,IFERROR(VLOOKUP(BR363,Parameter!$F$35:$G$64,2,0),2)),IF(OR(BV363="Nein",BV363=""),"-",BV363))))</f>
        <v>3</v>
      </c>
      <c r="AA363" s="62"/>
      <c r="AB363" s="63"/>
      <c r="AC363" s="57" t="n">
        <f aca="false">AR363</f>
        <v>5</v>
      </c>
      <c r="AD363" s="57" t="n">
        <f aca="false">MAX(AR363,H363)</f>
        <v>5</v>
      </c>
      <c r="AE363" s="64"/>
      <c r="AF363" s="57" t="n">
        <f aca="false">IF(LEFT(Cockpit!$C$5,1)="A",H363,IF(CA363=1,CB363,IF(LEFT(Cockpit!$C$5,1)="B",AJ363,MAX(AJ363,H363))))</f>
        <v>5</v>
      </c>
      <c r="AG363" s="57" t="n">
        <f aca="false">IF(BT363=1,0,ROUNDUP(AF363/BS363,0))</f>
        <v>1</v>
      </c>
      <c r="AH363" s="59" t="n">
        <f aca="false">IF(CH363&gt;0,CH363*MAX(1,AF363/X363),IF(BT363=1,IF(AF363&lt;=0,0,BW363*MAX(1,IF(H363&gt;0,AF363/H363,1))),IF(R363&gt;0,AG363/R363,0))/MAX(0.1,N(Parameter!$M$21)))</f>
        <v>0.00505050505050505</v>
      </c>
      <c r="AI363" s="57" t="n">
        <f aca="false">AF363*G363</f>
        <v>691.25</v>
      </c>
      <c r="AJ363" s="57" t="n">
        <f aca="false">ROUNDUP(MAX(J363/IF(BZ363&gt;0,BZ363,MAX(0.1,N(Cockpit!$C$6))),CC363)/BS363,0)*BS363</f>
        <v>5</v>
      </c>
      <c r="AK363" s="58" t="n">
        <f aca="false">IF(AH363&gt;0,J363/AH363,-1)</f>
        <v>396</v>
      </c>
      <c r="AL363" s="58" t="n">
        <f aca="false">IF(AND(OR(BY363="L1",BY363="L23"),AH363&gt;0),SUMIFS($AH$7:$AH$1843,$BY$7:$BY$1843,BY363,$AK$7:$AK$1843,"&gt;"&amp;AK363)+SUMIFS($AH$7:$AH$1843,$BY$7:$BY$1843,BY363,$AK$7:$AK$1843,AK363,$BQ$7:$BQ$1843,"&lt;="&amp;BQ363),"")</f>
        <v>25.8722762744502</v>
      </c>
      <c r="AM363" s="65" t="n">
        <f aca="false">IF(AL363="",0,MAX(0,MIN(1,(IF(BY363="L1",Parameter!$E$5,Parameter!$E$6+Parameter!$E$7)-(AL363-AH363))/AH363)))</f>
        <v>1</v>
      </c>
      <c r="AN363" s="57" t="n">
        <f aca="false">IF(LEFT(Cockpit!$I$5,1)="A",H363,IF(CA363=1,CB363,IF(LEFT(Cockpit!$I$5,1)="B",AR363,MAX(AR363,H363))))</f>
        <v>5</v>
      </c>
      <c r="AO363" s="57" t="n">
        <f aca="false">IF(BT363=1,0,ROUNDUP(AN363/BS363,0))</f>
        <v>1</v>
      </c>
      <c r="AP363" s="59" t="n">
        <f aca="false">IF(CH363&gt;0,CH363*MAX(1,AN363/X363),IF(BT363=1,IF(AN363&lt;=0,0,BW363*MAX(1,IF(H363&gt;0,AN363/H363,1))),IF(R363&gt;0,AO363/R363,0))/MAX(0.1,N(Parameter!$M$21)))</f>
        <v>0.00505050505050505</v>
      </c>
      <c r="AQ363" s="57" t="n">
        <f aca="false">AN363*G363</f>
        <v>691.25</v>
      </c>
      <c r="AR363" s="57" t="n">
        <f aca="false">ROUNDUP(MAX(J363/IF(BZ363&gt;0,BZ363,MAX(0.1,N(Cockpit!$I$6))),CC363)/BS363,0)*BS363</f>
        <v>5</v>
      </c>
      <c r="AS363" s="58" t="n">
        <f aca="false">IF(AP363&gt;0,J363/AP363,-1)</f>
        <v>396</v>
      </c>
      <c r="AT363" s="58" t="n">
        <f aca="false">IF(AND(OR(BY363="L1",BY363="L23"),AP363&gt;0),SUMIFS($AP$7:$AP$1843,$BY$7:$BY$1843,BY363,$AS$7:$AS$1843,"&gt;"&amp;AS363)+SUMIFS($AP$7:$AP$1843,$BY$7:$BY$1843,BY363,$AS$7:$AS$1843,AS363,$BQ$7:$BQ$1843,"&lt;="&amp;BQ363),"")</f>
        <v>35.3105807236242</v>
      </c>
      <c r="AU363" s="65" t="n">
        <f aca="false">IF(AT363="",0,MAX(0,MIN(1,(IF(BY363="L1",Parameter!$E$5,Parameter!$E$6+Parameter!$E$7)-(AT363-AP363))/AP363)))</f>
        <v>1</v>
      </c>
      <c r="AV363" s="57" t="n">
        <f aca="false">IF(LEFT(Cockpit!$O$5,1)="A",H363,IF(CA363=1,CB363,IF(LEFT(Cockpit!$O$5,1)="B",AZ363,MAX(AZ363,H363))))</f>
        <v>5</v>
      </c>
      <c r="AW363" s="57" t="n">
        <f aca="false">IF(BT363=1,0,ROUNDUP(AV363/BS363,0))</f>
        <v>1</v>
      </c>
      <c r="AX363" s="59" t="n">
        <f aca="false">IF(CH363&gt;0,CH363*MAX(1,AV363/X363),IF(BT363=1,IF(AV363&lt;=0,0,BW363*MAX(1,IF(H363&gt;0,AV363/H363,1))),IF(R363&gt;0,AW363/R363,0))/MAX(0.1,N(Parameter!$M$21)))</f>
        <v>0.00505050505050505</v>
      </c>
      <c r="AY363" s="57" t="n">
        <f aca="false">AV363*G363</f>
        <v>691.25</v>
      </c>
      <c r="AZ363" s="57" t="n">
        <f aca="false">ROUNDUP(MAX(J363/IF(BZ363&gt;0,BZ363,MAX(0.1,N(Cockpit!$O$6))),CC363)/BS363,0)*BS363</f>
        <v>5</v>
      </c>
      <c r="BA363" s="58" t="n">
        <f aca="false">IF(AX363&gt;0,J363/AX363,-1)</f>
        <v>396</v>
      </c>
      <c r="BB363" s="58" t="n">
        <f aca="false">IF(AND(OR(BY363="L1",BY363="L23"),AX363&gt;0),SUMIFS($AX$7:$AX$1843,$BY$7:$BY$1843,BY363,$BA$7:$BA$1843,"&gt;"&amp;BA363)+SUMIFS($AX$7:$AX$1843,$BY$7:$BY$1843,BY363,$BA$7:$BA$1843,BA363,$BQ$7:$BQ$1843,"&lt;="&amp;BQ363),"")</f>
        <v>34.5570842201277</v>
      </c>
      <c r="BC363" s="65" t="n">
        <f aca="false">IF(BB363="",0,MAX(0,MIN(1,(IF(BY363="L1",Parameter!$E$5,Parameter!$E$6+Parameter!$E$7)-(BB363-AX363))/AX363)))</f>
        <v>1</v>
      </c>
      <c r="BD363" s="55" t="str">
        <f aca="false">IF(AH363&lt;=0,"",IF(BY363="Aussen","Aussenlager",IF(BY363="-","Nicht im Lift",IF(AM363&gt;=1,"Lift",IF(AM363&lt;=0,"Aussenlager","teilweise")))))</f>
        <v>Lift</v>
      </c>
      <c r="BE363" s="55" t="str">
        <f aca="false">IF(AP363&lt;=0,"",IF(BY363="Aussen","Aussenlager",IF(BY363="-","Nicht im Lift",IF(AU363&gt;=1,"Lift",IF(AU363&lt;=0,"Aussenlager","teilweise")))))</f>
        <v>Lift</v>
      </c>
      <c r="BF363" s="55" t="str">
        <f aca="false">IF(AX363&lt;=0,"",IF(BY363="Aussen","Aussenlager",IF(BY363="-","Nicht im Lift",IF(BC363&gt;=1,"Lift",IF(BC363&lt;=0,"Aussenlager","teilweise")))))</f>
        <v>Lift</v>
      </c>
      <c r="BG363" s="55" t="str">
        <f aca="false">IF(A363="","",IF(BP363=1,"Neu; ","")&amp;IF(AND(BP363=0,BK363&lt;0),"negativer Bestand (Export "&amp;BK363&amp;"); ","")&amp;IF(J363&lt;=0,"Kein Verbrauch; ","")&amp;IF(CH363&gt;0,"Lift "&amp;W363&amp;" lt. Liftbericht (Fach "&amp;X363&amp;" Stk); ",IF(BU363=1,"Gebinde geschätzt ("&amp;T363&amp;"); ",IF(BT363=1,"Lose – Tablare geschätzt; ","")))&amp;IF(H363&gt;AR363,"Überbestand "&amp;ROUND(H363-AR363,0)&amp;" Stk / CHF "&amp;ROUND((H363-AR363)*G363,0)&amp;"; ","")&amp;IF(AND(CA363=1,CB363&lt;CC363),"MAX &lt; MB+LG; ","")&amp;IF(AND(CG363&gt;0,CF363*10&gt;CG363),"zu hoch für Tablar; ","")&amp;IF(AND(BP363=0,OR(CA363=1,AA363&lt;&gt;"",U363&lt;&gt;"",V363&lt;&gt;"",AB363&lt;&gt;"")),"manuell übersteuert; ","")&amp;IF(AND(BT363=0,R363=0),"Gebinde unbekannt / Stellmass fehlt; ","")&amp;IF(AND(BT363=0,N(V363)&lt;=0,N(Q363)&lt;=0),"Menge pro Gebinde fehlt (Ist = 1 Gebinde); ","")&amp;BO363)</f>
        <v/>
      </c>
      <c r="BH363" s="55"/>
      <c r="BI363" s="55"/>
      <c r="BJ363" s="62"/>
      <c r="BK363" s="57" t="n">
        <v>1</v>
      </c>
      <c r="BL363" s="57" t="n">
        <v>4</v>
      </c>
      <c r="BM363" s="56" t="n">
        <v>160.93</v>
      </c>
      <c r="BN363" s="57" t="n">
        <v>2</v>
      </c>
      <c r="BO363" s="55"/>
      <c r="BP363" s="60" t="n">
        <v>0</v>
      </c>
      <c r="BQ363" s="60" t="n">
        <v>363</v>
      </c>
      <c r="BR363" s="55" t="str">
        <f aca="false">IF(U363&lt;&gt;"",UPPER(TRIM(U363)),IF(BU363=1,UPPER(VLOOKUP(T363,Parameter!$I$27:$K$29,2,0)),IF(P363="","LOSE",P363)))</f>
        <v>S22</v>
      </c>
      <c r="BS363" s="57" t="n">
        <f aca="false">IF(BR363="LOSE",1,IF(N(V363)&gt;0,V363,IF(BU363=1,MAX(1,N(VLOOKUP(T363,Parameter!$I$27:$K$29,3,0)),H363,N(N363)),IF(N(Q363)&gt;0,Q363,MAX(1,H363)))))</f>
        <v>5</v>
      </c>
      <c r="BT363" s="60" t="n">
        <f aca="false">IF(BR363="LOSE",1,0)</f>
        <v>0</v>
      </c>
      <c r="BU363" s="60" t="n">
        <f aca="false">IF(AND(U363="",OR(P363="",P363="LOSE"),T363&lt;&gt;"",N(S363)&lt;=0,ISNUMBER(MATCH(T363,Parameter!$I$27:$I$29,0))),1,0)</f>
        <v>0</v>
      </c>
      <c r="BV363" s="55" t="str">
        <f aca="false">IF(AND(Parameter!$B$19="Ja",E363&lt;&gt;"",ISNUMBER(MATCH(E363,Parameter!$I$35:$I$52,0))),VLOOKUP(E363,Parameter!$I$35:$J$52,2,0),IFERROR(VLOOKUP(D363,Parameter!$A$35:$C$64,2,0),"Nein"))</f>
        <v>2+3</v>
      </c>
      <c r="BW363" s="59" t="n">
        <f aca="false">IF(BT363=0,0,IF(N(S363)&gt;0,S363,IFERROR(VLOOKUP(D363,Parameter!$A$35:$C$64,3,0)+0,0)))</f>
        <v>0</v>
      </c>
      <c r="BX363" s="55" t="n">
        <f aca="false">IF(AA363&lt;&gt;"",AA363,Z363)</f>
        <v>3</v>
      </c>
      <c r="BY363" s="55" t="str">
        <f aca="false">IF(BX363=1,"L1",IF(OR(BX363=2,BX363=3),"L23",IF(BX363="Aussen","Aussen","-")))</f>
        <v>L23</v>
      </c>
      <c r="BZ363" s="66" t="n">
        <f aca="false">IF(N(AB363)&gt;0,AB363,0)</f>
        <v>0</v>
      </c>
      <c r="CA363" s="60" t="n">
        <f aca="false">IF(ISNUMBER(AE363),1,0)</f>
        <v>0</v>
      </c>
      <c r="CB363" s="57" t="n">
        <f aca="false">N(AE363)</f>
        <v>0</v>
      </c>
      <c r="CC363" s="57" t="n">
        <f aca="false">N(M363)+N(N363)</f>
        <v>1</v>
      </c>
      <c r="CD363" s="57" t="n">
        <f aca="false">ROUNDUP(H363/BS363,0)</f>
        <v>1</v>
      </c>
      <c r="CE363" s="57" t="n">
        <f aca="false">ROUNDUP(CB363/BS363,0)</f>
        <v>0</v>
      </c>
      <c r="CF363" s="60" t="n">
        <f aca="false">IF(BT363=1,0,IFERROR(VLOOKUP(BR363,'Gebinde-Kategorie'!$A$5:$M$45,5,0)+0,0))</f>
        <v>8</v>
      </c>
      <c r="CG363" s="60" t="n">
        <f aca="false">IFERROR(IF(OR(BX363=1,BX363=2,BX363=3),N(INDEX(Parameter!$I$5:$I$7,BX363)),0),0)</f>
        <v>0</v>
      </c>
      <c r="CH363" s="59" t="n">
        <f aca="false">IF(AND(Parameter!$B$21="Ja",ISNUMBER(W363),N(X363)&gt;0),IFERROR(N(INDEX(Parameter!$L$5:$L$7,W363))*INDEX(Parameter!$E$5:$E$7,W363)*X363/SUMIFS($X$7:$X$1843,$W$7:$W$1843,W363),0),0)</f>
        <v>0</v>
      </c>
    </row>
    <row r="364" customFormat="false" ht="15" hidden="false" customHeight="false" outlineLevel="0" collapsed="false">
      <c r="A364" s="55" t="s">
        <v>877</v>
      </c>
      <c r="B364" s="55" t="s">
        <v>763</v>
      </c>
      <c r="C364" s="55" t="s">
        <v>164</v>
      </c>
      <c r="D364" s="55" t="s">
        <v>184</v>
      </c>
      <c r="E364" s="55"/>
      <c r="F364" s="55" t="s">
        <v>218</v>
      </c>
      <c r="G364" s="56" t="n">
        <v>6.23</v>
      </c>
      <c r="H364" s="57" t="n">
        <f aca="false">MAX(0,IF(AND(Parameter!$B$21="Ja",ISNUMBER(Y364)),Y364,IF(Parameter!$B$20="Jahresanfang 2025 + Export",BL364+BK364,BK364)))</f>
        <v>25</v>
      </c>
      <c r="I364" s="57" t="n">
        <f aca="false">H364*G364</f>
        <v>155.75</v>
      </c>
      <c r="J364" s="57" t="n">
        <f aca="false">BN364*Parameter!$B$18</f>
        <v>0</v>
      </c>
      <c r="K364" s="58" t="n">
        <v>0</v>
      </c>
      <c r="L364" s="59" t="n">
        <v>0</v>
      </c>
      <c r="M364" s="57" t="n">
        <v>0</v>
      </c>
      <c r="N364" s="57" t="n">
        <v>1</v>
      </c>
      <c r="O364" s="60" t="n">
        <v>9999</v>
      </c>
      <c r="P364" s="55" t="s">
        <v>168</v>
      </c>
      <c r="Q364" s="57"/>
      <c r="R364" s="60" t="n">
        <f aca="false">IF(BT364=1,0,IFERROR(VLOOKUP(BR364,'Gebinde-Kategorie'!$A$5:$M$45,13,0)+0,0))</f>
        <v>26</v>
      </c>
      <c r="S364" s="61"/>
      <c r="T364" s="62" t="s">
        <v>275</v>
      </c>
      <c r="U364" s="62"/>
      <c r="V364" s="62"/>
      <c r="W364" s="55"/>
      <c r="X364" s="57"/>
      <c r="Y364" s="57"/>
      <c r="Z364" s="55" t="n">
        <f aca="false">IF(A364="","",IF(AND(Parameter!$B$21="Ja",ISNUMBER(W364)),W364,IF(BV364="2+3",IF(ISNUMBER(SEARCH("grosser Artikel",BO364)),2,IFERROR(VLOOKUP(BR364,Parameter!$F$35:$G$64,2,0),2)),IF(OR(BV364="Nein",BV364=""),"-",BV364))))</f>
        <v>3</v>
      </c>
      <c r="AA364" s="62"/>
      <c r="AB364" s="63"/>
      <c r="AC364" s="57" t="n">
        <f aca="false">AR364</f>
        <v>25</v>
      </c>
      <c r="AD364" s="57" t="n">
        <f aca="false">MAX(AR364,H364)</f>
        <v>25</v>
      </c>
      <c r="AE364" s="64"/>
      <c r="AF364" s="57" t="n">
        <f aca="false">IF(LEFT(Cockpit!$C$5,1)="A",H364,IF(CA364=1,CB364,IF(LEFT(Cockpit!$C$5,1)="B",AJ364,MAX(AJ364,H364))))</f>
        <v>25</v>
      </c>
      <c r="AG364" s="57" t="n">
        <f aca="false">IF(BT364=1,0,ROUNDUP(AF364/BS364,0))</f>
        <v>1</v>
      </c>
      <c r="AH364" s="59" t="n">
        <f aca="false">IF(CH364&gt;0,CH364*MAX(1,AF364/X364),IF(BT364=1,IF(AF364&lt;=0,0,BW364*MAX(1,IF(H364&gt;0,AF364/H364,1))),IF(R364&gt;0,AG364/R364,0))/MAX(0.1,N(Parameter!$M$21)))</f>
        <v>0.0384615384615385</v>
      </c>
      <c r="AI364" s="57" t="n">
        <f aca="false">AF364*G364</f>
        <v>155.75</v>
      </c>
      <c r="AJ364" s="57" t="n">
        <f aca="false">ROUNDUP(MAX(J364/IF(BZ364&gt;0,BZ364,MAX(0.1,N(Cockpit!$C$6))),CC364)/BS364,0)*BS364</f>
        <v>25</v>
      </c>
      <c r="AK364" s="58" t="n">
        <f aca="false">IF(AH364&gt;0,J364/AH364,-1)</f>
        <v>0</v>
      </c>
      <c r="AL364" s="58" t="n">
        <f aca="false">IF(AND(OR(BY364="L1",BY364="L23"),AH364&gt;0),SUMIFS($AH$7:$AH$1843,$BY$7:$BY$1843,BY364,$AK$7:$AK$1843,"&gt;"&amp;AK364)+SUMIFS($AH$7:$AH$1843,$BY$7:$BY$1843,BY364,$AK$7:$AK$1843,AK364,$BQ$7:$BQ$1843,"&lt;="&amp;BQ364),"")</f>
        <v>73.3504189047667</v>
      </c>
      <c r="AM364" s="65" t="n">
        <f aca="false">IF(AL364="",0,MAX(0,MIN(1,(IF(BY364="L1",Parameter!$E$5,Parameter!$E$6+Parameter!$E$7)-(AL364-AH364))/AH364)))</f>
        <v>1</v>
      </c>
      <c r="AN364" s="57" t="n">
        <f aca="false">IF(LEFT(Cockpit!$I$5,1)="A",H364,IF(CA364=1,CB364,IF(LEFT(Cockpit!$I$5,1)="B",AR364,MAX(AR364,H364))))</f>
        <v>25</v>
      </c>
      <c r="AO364" s="57" t="n">
        <f aca="false">IF(BT364=1,0,ROUNDUP(AN364/BS364,0))</f>
        <v>1</v>
      </c>
      <c r="AP364" s="59" t="n">
        <f aca="false">IF(CH364&gt;0,CH364*MAX(1,AN364/X364),IF(BT364=1,IF(AN364&lt;=0,0,BW364*MAX(1,IF(H364&gt;0,AN364/H364,1))),IF(R364&gt;0,AO364/R364,0))/MAX(0.1,N(Parameter!$M$21)))</f>
        <v>0.0384615384615385</v>
      </c>
      <c r="AQ364" s="57" t="n">
        <f aca="false">AN364*G364</f>
        <v>155.75</v>
      </c>
      <c r="AR364" s="57" t="n">
        <f aca="false">ROUNDUP(MAX(J364/IF(BZ364&gt;0,BZ364,MAX(0.1,N(Cockpit!$I$6))),CC364)/BS364,0)*BS364</f>
        <v>25</v>
      </c>
      <c r="AS364" s="58" t="n">
        <f aca="false">IF(AP364&gt;0,J364/AP364,-1)</f>
        <v>0</v>
      </c>
      <c r="AT364" s="58" t="n">
        <f aca="false">IF(AND(OR(BY364="L1",BY364="L23"),AP364&gt;0),SUMIFS($AP$7:$AP$1843,$BY$7:$BY$1843,BY364,$AS$7:$AS$1843,"&gt;"&amp;AS364)+SUMIFS($AP$7:$AP$1843,$BY$7:$BY$1843,BY364,$AS$7:$AS$1843,AS364,$BQ$7:$BQ$1843,"&lt;="&amp;BQ364),"")</f>
        <v>112.77454308976</v>
      </c>
      <c r="AU364" s="65" t="n">
        <f aca="false">IF(AT364="",0,MAX(0,MIN(1,(IF(BY364="L1",Parameter!$E$5,Parameter!$E$6+Parameter!$E$7)-(AT364-AP364))/AP364)))</f>
        <v>0</v>
      </c>
      <c r="AV364" s="57" t="n">
        <f aca="false">IF(LEFT(Cockpit!$O$5,1)="A",H364,IF(CA364=1,CB364,IF(LEFT(Cockpit!$O$5,1)="B",AZ364,MAX(AZ364,H364))))</f>
        <v>25</v>
      </c>
      <c r="AW364" s="57" t="n">
        <f aca="false">IF(BT364=1,0,ROUNDUP(AV364/BS364,0))</f>
        <v>1</v>
      </c>
      <c r="AX364" s="59" t="n">
        <f aca="false">IF(CH364&gt;0,CH364*MAX(1,AV364/X364),IF(BT364=1,IF(AV364&lt;=0,0,BW364*MAX(1,IF(H364&gt;0,AV364/H364,1))),IF(R364&gt;0,AW364/R364,0))/MAX(0.1,N(Parameter!$M$21)))</f>
        <v>0.0384615384615385</v>
      </c>
      <c r="AY364" s="57" t="n">
        <f aca="false">AV364*G364</f>
        <v>155.75</v>
      </c>
      <c r="AZ364" s="57" t="n">
        <f aca="false">ROUNDUP(MAX(J364/IF(BZ364&gt;0,BZ364,MAX(0.1,N(Cockpit!$O$6))),CC364)/BS364,0)*BS364</f>
        <v>25</v>
      </c>
      <c r="BA364" s="58" t="n">
        <f aca="false">IF(AX364&gt;0,J364/AX364,-1)</f>
        <v>0</v>
      </c>
      <c r="BB364" s="58" t="n">
        <f aca="false">IF(AND(OR(BY364="L1",BY364="L23"),AX364&gt;0),SUMIFS($AX$7:$AX$1843,$BY$7:$BY$1843,BY364,$BA$7:$BA$1843,"&gt;"&amp;BA364)+SUMIFS($AX$7:$AX$1843,$BY$7:$BY$1843,BY364,$BA$7:$BA$1843,BA364,$BQ$7:$BQ$1843,"&lt;="&amp;BQ364),"")</f>
        <v>103.604379919597</v>
      </c>
      <c r="BC364" s="65" t="n">
        <f aca="false">IF(BB364="",0,MAX(0,MIN(1,(IF(BY364="L1",Parameter!$E$5,Parameter!$E$6+Parameter!$E$7)-(BB364-AX364))/AX364)))</f>
        <v>0</v>
      </c>
      <c r="BD364" s="55" t="str">
        <f aca="false">IF(AH364&lt;=0,"",IF(BY364="Aussen","Aussenlager",IF(BY364="-","Nicht im Lift",IF(AM364&gt;=1,"Lift",IF(AM364&lt;=0,"Aussenlager","teilweise")))))</f>
        <v>Lift</v>
      </c>
      <c r="BE364" s="55" t="str">
        <f aca="false">IF(AP364&lt;=0,"",IF(BY364="Aussen","Aussenlager",IF(BY364="-","Nicht im Lift",IF(AU364&gt;=1,"Lift",IF(AU364&lt;=0,"Aussenlager","teilweise")))))</f>
        <v>Aussenlager</v>
      </c>
      <c r="BF364" s="55" t="str">
        <f aca="false">IF(AX364&lt;=0,"",IF(BY364="Aussen","Aussenlager",IF(BY364="-","Nicht im Lift",IF(BC364&gt;=1,"Lift",IF(BC364&lt;=0,"Aussenlager","teilweise")))))</f>
        <v>Aussenlager</v>
      </c>
      <c r="BG364" s="55" t="str">
        <f aca="false">IF(A364="","",IF(BP364=1,"Neu; ","")&amp;IF(AND(BP364=0,BK364&lt;0),"negativer Bestand (Export "&amp;BK364&amp;"); ","")&amp;IF(J364&lt;=0,"Kein Verbrauch; ","")&amp;IF(CH364&gt;0,"Lift "&amp;W364&amp;" lt. Liftbericht (Fach "&amp;X364&amp;" Stk); ",IF(BU364=1,"Gebinde geschätzt ("&amp;T364&amp;"); ",IF(BT364=1,"Lose – Tablare geschätzt; ","")))&amp;IF(H364&gt;AR364,"Überbestand "&amp;ROUND(H364-AR364,0)&amp;" Stk / CHF "&amp;ROUND((H364-AR364)*G364,0)&amp;"; ","")&amp;IF(AND(CA364=1,CB364&lt;CC364),"MAX &lt; MB+LG; ","")&amp;IF(AND(CG364&gt;0,CF364*10&gt;CG364),"zu hoch für Tablar; ","")&amp;IF(AND(BP364=0,OR(CA364=1,AA364&lt;&gt;"",U364&lt;&gt;"",V364&lt;&gt;"",AB364&lt;&gt;"")),"manuell übersteuert; ","")&amp;IF(AND(BT364=0,R364=0),"Gebinde unbekannt / Stellmass fehlt; ","")&amp;IF(AND(BT364=0,N(V364)&lt;=0,N(Q364)&lt;=0),"Menge pro Gebinde fehlt (Ist = 1 Gebinde); ","")&amp;BO364)</f>
        <v>Kein Verbrauch; Gebinde geschätzt (Klein); Menge pro Gebinde fehlt (Ist = 1 Gebinde); </v>
      </c>
      <c r="BH364" s="55"/>
      <c r="BI364" s="55"/>
      <c r="BJ364" s="62"/>
      <c r="BK364" s="57" t="n">
        <v>25</v>
      </c>
      <c r="BL364" s="57" t="n">
        <v>0</v>
      </c>
      <c r="BM364" s="56" t="n">
        <v>155.75</v>
      </c>
      <c r="BN364" s="57" t="n">
        <v>0</v>
      </c>
      <c r="BO364" s="55"/>
      <c r="BP364" s="60" t="n">
        <v>0</v>
      </c>
      <c r="BQ364" s="60" t="n">
        <v>364</v>
      </c>
      <c r="BR364" s="55" t="str">
        <f aca="false">IF(U364&lt;&gt;"",UPPER(TRIM(U364)),IF(BU364=1,UPPER(VLOOKUP(T364,Parameter!$I$27:$K$29,2,0)),IF(P364="","LOSE",P364)))</f>
        <v>S51</v>
      </c>
      <c r="BS364" s="57" t="n">
        <f aca="false">IF(BR364="LOSE",1,IF(N(V364)&gt;0,V364,IF(BU364=1,MAX(1,N(VLOOKUP(T364,Parameter!$I$27:$K$29,3,0)),H364,N(N364)),IF(N(Q364)&gt;0,Q364,MAX(1,H364)))))</f>
        <v>25</v>
      </c>
      <c r="BT364" s="60" t="n">
        <f aca="false">IF(BR364="LOSE",1,0)</f>
        <v>0</v>
      </c>
      <c r="BU364" s="60" t="n">
        <f aca="false">IF(AND(U364="",OR(P364="",P364="LOSE"),T364&lt;&gt;"",N(S364)&lt;=0,ISNUMBER(MATCH(T364,Parameter!$I$27:$I$29,0))),1,0)</f>
        <v>1</v>
      </c>
      <c r="BV364" s="55" t="str">
        <f aca="false">IF(AND(Parameter!$B$19="Ja",E364&lt;&gt;"",ISNUMBER(MATCH(E364,Parameter!$I$35:$I$52,0))),VLOOKUP(E364,Parameter!$I$35:$J$52,2,0),IFERROR(VLOOKUP(D364,Parameter!$A$35:$C$64,2,0),"Nein"))</f>
        <v>2+3</v>
      </c>
      <c r="BW364" s="59" t="n">
        <f aca="false">IF(BT364=0,0,IF(N(S364)&gt;0,S364,IFERROR(VLOOKUP(D364,Parameter!$A$35:$C$64,3,0)+0,0)))</f>
        <v>0</v>
      </c>
      <c r="BX364" s="55" t="n">
        <f aca="false">IF(AA364&lt;&gt;"",AA364,Z364)</f>
        <v>3</v>
      </c>
      <c r="BY364" s="55" t="str">
        <f aca="false">IF(BX364=1,"L1",IF(OR(BX364=2,BX364=3),"L23",IF(BX364="Aussen","Aussen","-")))</f>
        <v>L23</v>
      </c>
      <c r="BZ364" s="66" t="n">
        <f aca="false">IF(N(AB364)&gt;0,AB364,0)</f>
        <v>0</v>
      </c>
      <c r="CA364" s="60" t="n">
        <f aca="false">IF(ISNUMBER(AE364),1,0)</f>
        <v>0</v>
      </c>
      <c r="CB364" s="57" t="n">
        <f aca="false">N(AE364)</f>
        <v>0</v>
      </c>
      <c r="CC364" s="57" t="n">
        <f aca="false">N(M364)+N(N364)</f>
        <v>1</v>
      </c>
      <c r="CD364" s="57" t="n">
        <f aca="false">ROUNDUP(H364/BS364,0)</f>
        <v>1</v>
      </c>
      <c r="CE364" s="57" t="n">
        <f aca="false">ROUNDUP(CB364/BS364,0)</f>
        <v>0</v>
      </c>
      <c r="CF364" s="60" t="n">
        <f aca="false">IF(BT364=1,0,IFERROR(VLOOKUP(BR364,'Gebinde-Kategorie'!$A$5:$M$45,5,0)+0,0))</f>
        <v>11</v>
      </c>
      <c r="CG364" s="60" t="n">
        <f aca="false">IFERROR(IF(OR(BX364=1,BX364=2,BX364=3),N(INDEX(Parameter!$I$5:$I$7,BX364)),0),0)</f>
        <v>0</v>
      </c>
      <c r="CH364" s="59" t="n">
        <f aca="false">IF(AND(Parameter!$B$21="Ja",ISNUMBER(W364),N(X364)&gt;0),IFERROR(N(INDEX(Parameter!$L$5:$L$7,W364))*INDEX(Parameter!$E$5:$E$7,W364)*X364/SUMIFS($X$7:$X$1843,$W$7:$W$1843,W364),0),0)</f>
        <v>0</v>
      </c>
    </row>
    <row r="365" customFormat="false" ht="15" hidden="false" customHeight="false" outlineLevel="0" collapsed="false">
      <c r="A365" s="55" t="s">
        <v>878</v>
      </c>
      <c r="B365" s="55" t="s">
        <v>879</v>
      </c>
      <c r="C365" s="55" t="s">
        <v>164</v>
      </c>
      <c r="D365" s="55" t="s">
        <v>184</v>
      </c>
      <c r="E365" s="55" t="s">
        <v>185</v>
      </c>
      <c r="F365" s="55" t="s">
        <v>218</v>
      </c>
      <c r="G365" s="56" t="n">
        <v>15.5</v>
      </c>
      <c r="H365" s="57" t="n">
        <f aca="false">MAX(0,IF(AND(Parameter!$B$21="Ja",ISNUMBER(Y365)),Y365,IF(Parameter!$B$20="Jahresanfang 2025 + Export",BL365+BK365,BK365)))</f>
        <v>20</v>
      </c>
      <c r="I365" s="57" t="n">
        <f aca="false">H365*G365</f>
        <v>310</v>
      </c>
      <c r="J365" s="57" t="n">
        <f aca="false">BN365*Parameter!$B$18</f>
        <v>9</v>
      </c>
      <c r="K365" s="58" t="n">
        <v>15.5</v>
      </c>
      <c r="L365" s="59" t="n">
        <v>0.580645161290323</v>
      </c>
      <c r="M365" s="57" t="n">
        <v>0</v>
      </c>
      <c r="N365" s="57" t="n">
        <v>10</v>
      </c>
      <c r="O365" s="60" t="n">
        <v>28</v>
      </c>
      <c r="P365" s="55" t="s">
        <v>328</v>
      </c>
      <c r="Q365" s="57" t="n">
        <v>24</v>
      </c>
      <c r="R365" s="60" t="n">
        <f aca="false">IF(BT365=1,0,IFERROR(VLOOKUP(BR365,'Gebinde-Kategorie'!$A$5:$M$45,13,0)+0,0))</f>
        <v>52</v>
      </c>
      <c r="S365" s="61"/>
      <c r="T365" s="62"/>
      <c r="U365" s="62"/>
      <c r="V365" s="62"/>
      <c r="W365" s="55"/>
      <c r="X365" s="57"/>
      <c r="Y365" s="57"/>
      <c r="Z365" s="55" t="n">
        <f aca="false">IF(A365="","",IF(AND(Parameter!$B$21="Ja",ISNUMBER(W365)),W365,IF(BV365="2+3",IF(ISNUMBER(SEARCH("grosser Artikel",BO365)),2,IFERROR(VLOOKUP(BR365,Parameter!$F$35:$G$64,2,0),2)),IF(OR(BV365="Nein",BV365=""),"-",BV365))))</f>
        <v>3</v>
      </c>
      <c r="AA365" s="62"/>
      <c r="AB365" s="63"/>
      <c r="AC365" s="57" t="n">
        <f aca="false">AR365</f>
        <v>24</v>
      </c>
      <c r="AD365" s="57" t="n">
        <f aca="false">MAX(AR365,H365)</f>
        <v>24</v>
      </c>
      <c r="AE365" s="64"/>
      <c r="AF365" s="57" t="n">
        <f aca="false">IF(LEFT(Cockpit!$C$5,1)="A",H365,IF(CA365=1,CB365,IF(LEFT(Cockpit!$C$5,1)="B",AJ365,MAX(AJ365,H365))))</f>
        <v>20</v>
      </c>
      <c r="AG365" s="57" t="n">
        <f aca="false">IF(BT365=1,0,ROUNDUP(AF365/BS365,0))</f>
        <v>1</v>
      </c>
      <c r="AH365" s="59" t="n">
        <f aca="false">IF(CH365&gt;0,CH365*MAX(1,AF365/X365),IF(BT365=1,IF(AF365&lt;=0,0,BW365*MAX(1,IF(H365&gt;0,AF365/H365,1))),IF(R365&gt;0,AG365/R365,0))/MAX(0.1,N(Parameter!$M$21)))</f>
        <v>0.0192307692307692</v>
      </c>
      <c r="AI365" s="57" t="n">
        <f aca="false">AF365*G365</f>
        <v>310</v>
      </c>
      <c r="AJ365" s="57" t="n">
        <f aca="false">ROUNDUP(MAX(J365/IF(BZ365&gt;0,BZ365,MAX(0.1,N(Cockpit!$C$6))),CC365)/BS365,0)*BS365</f>
        <v>24</v>
      </c>
      <c r="AK365" s="58" t="n">
        <f aca="false">IF(AH365&gt;0,J365/AH365,-1)</f>
        <v>468</v>
      </c>
      <c r="AL365" s="58" t="n">
        <f aca="false">IF(AND(OR(BY365="L1",BY365="L23"),AH365&gt;0),SUMIFS($AH$7:$AH$1843,$BY$7:$BY$1843,BY365,$AK$7:$AK$1843,"&gt;"&amp;AK365)+SUMIFS($AH$7:$AH$1843,$BY$7:$BY$1843,BY365,$AK$7:$AK$1843,AK365,$BQ$7:$BQ$1843,"&lt;="&amp;BQ365),"")</f>
        <v>24.5110722610723</v>
      </c>
      <c r="AM365" s="65" t="n">
        <f aca="false">IF(AL365="",0,MAX(0,MIN(1,(IF(BY365="L1",Parameter!$E$5,Parameter!$E$6+Parameter!$E$7)-(AL365-AH365))/AH365)))</f>
        <v>1</v>
      </c>
      <c r="AN365" s="57" t="n">
        <f aca="false">IF(LEFT(Cockpit!$I$5,1)="A",H365,IF(CA365=1,CB365,IF(LEFT(Cockpit!$I$5,1)="B",AR365,MAX(AR365,H365))))</f>
        <v>24</v>
      </c>
      <c r="AO365" s="57" t="n">
        <f aca="false">IF(BT365=1,0,ROUNDUP(AN365/BS365,0))</f>
        <v>1</v>
      </c>
      <c r="AP365" s="59" t="n">
        <f aca="false">IF(CH365&gt;0,CH365*MAX(1,AN365/X365),IF(BT365=1,IF(AN365&lt;=0,0,BW365*MAX(1,IF(H365&gt;0,AN365/H365,1))),IF(R365&gt;0,AO365/R365,0))/MAX(0.1,N(Parameter!$M$21)))</f>
        <v>0.0192307692307692</v>
      </c>
      <c r="AQ365" s="57" t="n">
        <f aca="false">AN365*G365</f>
        <v>372</v>
      </c>
      <c r="AR365" s="57" t="n">
        <f aca="false">ROUNDUP(MAX(J365/IF(BZ365&gt;0,BZ365,MAX(0.1,N(Cockpit!$I$6))),CC365)/BS365,0)*BS365</f>
        <v>24</v>
      </c>
      <c r="AS365" s="58" t="n">
        <f aca="false">IF(AP365&gt;0,J365/AP365,-1)</f>
        <v>468</v>
      </c>
      <c r="AT365" s="58" t="n">
        <f aca="false">IF(AND(OR(BY365="L1",BY365="L23"),AP365&gt;0),SUMIFS($AP$7:$AP$1843,$BY$7:$BY$1843,BY365,$AS$7:$AS$1843,"&gt;"&amp;AS365)+SUMIFS($AP$7:$AP$1843,$BY$7:$BY$1843,BY365,$AS$7:$AS$1843,AS365,$BQ$7:$BQ$1843,"&lt;="&amp;BQ365),"")</f>
        <v>33.8228353771832</v>
      </c>
      <c r="AU365" s="65" t="n">
        <f aca="false">IF(AT365="",0,MAX(0,MIN(1,(IF(BY365="L1",Parameter!$E$5,Parameter!$E$6+Parameter!$E$7)-(AT365-AP365))/AP365)))</f>
        <v>1</v>
      </c>
      <c r="AV365" s="57" t="n">
        <f aca="false">IF(LEFT(Cockpit!$O$5,1)="A",H365,IF(CA365=1,CB365,IF(LEFT(Cockpit!$O$5,1)="B",AZ365,MAX(AZ365,H365))))</f>
        <v>24</v>
      </c>
      <c r="AW365" s="57" t="n">
        <f aca="false">IF(BT365=1,0,ROUNDUP(AV365/BS365,0))</f>
        <v>1</v>
      </c>
      <c r="AX365" s="59" t="n">
        <f aca="false">IF(CH365&gt;0,CH365*MAX(1,AV365/X365),IF(BT365=1,IF(AV365&lt;=0,0,BW365*MAX(1,IF(H365&gt;0,AV365/H365,1))),IF(R365&gt;0,AW365/R365,0))/MAX(0.1,N(Parameter!$M$21)))</f>
        <v>0.0192307692307692</v>
      </c>
      <c r="AY365" s="57" t="n">
        <f aca="false">AV365*G365</f>
        <v>372</v>
      </c>
      <c r="AZ365" s="57" t="n">
        <f aca="false">ROUNDUP(MAX(J365/IF(BZ365&gt;0,BZ365,MAX(0.1,N(Cockpit!$O$6))),CC365)/BS365,0)*BS365</f>
        <v>24</v>
      </c>
      <c r="BA365" s="58" t="n">
        <f aca="false">IF(AX365&gt;0,J365/AX365,-1)</f>
        <v>468</v>
      </c>
      <c r="BB365" s="58" t="n">
        <f aca="false">IF(AND(OR(BY365="L1",BY365="L23"),AX365&gt;0),SUMIFS($AX$7:$AX$1843,$BY$7:$BY$1843,BY365,$BA$7:$BA$1843,"&gt;"&amp;BA365)+SUMIFS($AX$7:$AX$1843,$BY$7:$BY$1843,BY365,$BA$7:$BA$1843,BA365,$BQ$7:$BQ$1843,"&lt;="&amp;BQ365),"")</f>
        <v>32.7231850275329</v>
      </c>
      <c r="BC365" s="65" t="n">
        <f aca="false">IF(BB365="",0,MAX(0,MIN(1,(IF(BY365="L1",Parameter!$E$5,Parameter!$E$6+Parameter!$E$7)-(BB365-AX365))/AX365)))</f>
        <v>1</v>
      </c>
      <c r="BD365" s="55" t="str">
        <f aca="false">IF(AH365&lt;=0,"",IF(BY365="Aussen","Aussenlager",IF(BY365="-","Nicht im Lift",IF(AM365&gt;=1,"Lift",IF(AM365&lt;=0,"Aussenlager","teilweise")))))</f>
        <v>Lift</v>
      </c>
      <c r="BE365" s="55" t="str">
        <f aca="false">IF(AP365&lt;=0,"",IF(BY365="Aussen","Aussenlager",IF(BY365="-","Nicht im Lift",IF(AU365&gt;=1,"Lift",IF(AU365&lt;=0,"Aussenlager","teilweise")))))</f>
        <v>Lift</v>
      </c>
      <c r="BF365" s="55" t="str">
        <f aca="false">IF(AX365&lt;=0,"",IF(BY365="Aussen","Aussenlager",IF(BY365="-","Nicht im Lift",IF(BC365&gt;=1,"Lift",IF(BC365&lt;=0,"Aussenlager","teilweise")))))</f>
        <v>Lift</v>
      </c>
      <c r="BG365" s="55" t="str">
        <f aca="false">IF(A365="","",IF(BP365=1,"Neu; ","")&amp;IF(AND(BP365=0,BK365&lt;0),"negativer Bestand (Export "&amp;BK365&amp;"); ","")&amp;IF(J365&lt;=0,"Kein Verbrauch; ","")&amp;IF(CH365&gt;0,"Lift "&amp;W365&amp;" lt. Liftbericht (Fach "&amp;X365&amp;" Stk); ",IF(BU365=1,"Gebinde geschätzt ("&amp;T365&amp;"); ",IF(BT365=1,"Lose – Tablare geschätzt; ","")))&amp;IF(H365&gt;AR365,"Überbestand "&amp;ROUND(H365-AR365,0)&amp;" Stk / CHF "&amp;ROUND((H365-AR365)*G365,0)&amp;"; ","")&amp;IF(AND(CA365=1,CB365&lt;CC365),"MAX &lt; MB+LG; ","")&amp;IF(AND(CG365&gt;0,CF365*10&gt;CG365),"zu hoch für Tablar; ","")&amp;IF(AND(BP365=0,OR(CA365=1,AA365&lt;&gt;"",U365&lt;&gt;"",V365&lt;&gt;"",AB365&lt;&gt;"")),"manuell übersteuert; ","")&amp;IF(AND(BT365=0,R365=0),"Gebinde unbekannt / Stellmass fehlt; ","")&amp;IF(AND(BT365=0,N(V365)&lt;=0,N(Q365)&lt;=0),"Menge pro Gebinde fehlt (Ist = 1 Gebinde); ","")&amp;BO365)</f>
        <v/>
      </c>
      <c r="BH365" s="55"/>
      <c r="BI365" s="55"/>
      <c r="BJ365" s="62"/>
      <c r="BK365" s="57" t="n">
        <v>10</v>
      </c>
      <c r="BL365" s="57" t="n">
        <v>10</v>
      </c>
      <c r="BM365" s="56" t="n">
        <v>155</v>
      </c>
      <c r="BN365" s="57" t="n">
        <v>9</v>
      </c>
      <c r="BO365" s="55"/>
      <c r="BP365" s="60" t="n">
        <v>0</v>
      </c>
      <c r="BQ365" s="60" t="n">
        <v>365</v>
      </c>
      <c r="BR365" s="55" t="str">
        <f aca="false">IF(U365&lt;&gt;"",UPPER(TRIM(U365)),IF(BU365=1,UPPER(VLOOKUP(T365,Parameter!$I$27:$K$29,2,0)),IF(P365="","LOSE",P365)))</f>
        <v>S41</v>
      </c>
      <c r="BS365" s="57" t="n">
        <f aca="false">IF(BR365="LOSE",1,IF(N(V365)&gt;0,V365,IF(BU365=1,MAX(1,N(VLOOKUP(T365,Parameter!$I$27:$K$29,3,0)),H365,N(N365)),IF(N(Q365)&gt;0,Q365,MAX(1,H365)))))</f>
        <v>24</v>
      </c>
      <c r="BT365" s="60" t="n">
        <f aca="false">IF(BR365="LOSE",1,0)</f>
        <v>0</v>
      </c>
      <c r="BU365" s="60" t="n">
        <f aca="false">IF(AND(U365="",OR(P365="",P365="LOSE"),T365&lt;&gt;"",N(S365)&lt;=0,ISNUMBER(MATCH(T365,Parameter!$I$27:$I$29,0))),1,0)</f>
        <v>0</v>
      </c>
      <c r="BV365" s="55" t="str">
        <f aca="false">IF(AND(Parameter!$B$19="Ja",E365&lt;&gt;"",ISNUMBER(MATCH(E365,Parameter!$I$35:$I$52,0))),VLOOKUP(E365,Parameter!$I$35:$J$52,2,0),IFERROR(VLOOKUP(D365,Parameter!$A$35:$C$64,2,0),"Nein"))</f>
        <v>2+3</v>
      </c>
      <c r="BW365" s="59" t="n">
        <f aca="false">IF(BT365=0,0,IF(N(S365)&gt;0,S365,IFERROR(VLOOKUP(D365,Parameter!$A$35:$C$64,3,0)+0,0)))</f>
        <v>0</v>
      </c>
      <c r="BX365" s="55" t="n">
        <f aca="false">IF(AA365&lt;&gt;"",AA365,Z365)</f>
        <v>3</v>
      </c>
      <c r="BY365" s="55" t="str">
        <f aca="false">IF(BX365=1,"L1",IF(OR(BX365=2,BX365=3),"L23",IF(BX365="Aussen","Aussen","-")))</f>
        <v>L23</v>
      </c>
      <c r="BZ365" s="66" t="n">
        <f aca="false">IF(N(AB365)&gt;0,AB365,0)</f>
        <v>0</v>
      </c>
      <c r="CA365" s="60" t="n">
        <f aca="false">IF(ISNUMBER(AE365),1,0)</f>
        <v>0</v>
      </c>
      <c r="CB365" s="57" t="n">
        <f aca="false">N(AE365)</f>
        <v>0</v>
      </c>
      <c r="CC365" s="57" t="n">
        <f aca="false">N(M365)+N(N365)</f>
        <v>10</v>
      </c>
      <c r="CD365" s="57" t="n">
        <f aca="false">ROUNDUP(H365/BS365,0)</f>
        <v>1</v>
      </c>
      <c r="CE365" s="57" t="n">
        <f aca="false">ROUNDUP(CB365/BS365,0)</f>
        <v>0</v>
      </c>
      <c r="CF365" s="60" t="n">
        <f aca="false">IF(BT365=1,0,IFERROR(VLOOKUP(BR365,'Gebinde-Kategorie'!$A$5:$M$45,5,0)+0,0))</f>
        <v>11</v>
      </c>
      <c r="CG365" s="60" t="n">
        <f aca="false">IFERROR(IF(OR(BX365=1,BX365=2,BX365=3),N(INDEX(Parameter!$I$5:$I$7,BX365)),0),0)</f>
        <v>0</v>
      </c>
      <c r="CH365" s="59" t="n">
        <f aca="false">IF(AND(Parameter!$B$21="Ja",ISNUMBER(W365),N(X365)&gt;0),IFERROR(N(INDEX(Parameter!$L$5:$L$7,W365))*INDEX(Parameter!$E$5:$E$7,W365)*X365/SUMIFS($X$7:$X$1843,$W$7:$W$1843,W365),0),0)</f>
        <v>0</v>
      </c>
    </row>
    <row r="366" customFormat="false" ht="15" hidden="false" customHeight="false" outlineLevel="0" collapsed="false">
      <c r="A366" s="55" t="s">
        <v>880</v>
      </c>
      <c r="B366" s="55" t="s">
        <v>881</v>
      </c>
      <c r="C366" s="55" t="s">
        <v>164</v>
      </c>
      <c r="D366" s="55" t="s">
        <v>184</v>
      </c>
      <c r="E366" s="55"/>
      <c r="F366" s="55" t="s">
        <v>218</v>
      </c>
      <c r="G366" s="56" t="n">
        <v>38</v>
      </c>
      <c r="H366" s="57" t="n">
        <f aca="false">MAX(0,IF(AND(Parameter!$B$21="Ja",ISNUMBER(Y366)),Y366,IF(Parameter!$B$20="Jahresanfang 2025 + Export",BL366+BK366,BK366)))</f>
        <v>4</v>
      </c>
      <c r="I366" s="57" t="n">
        <f aca="false">H366*G366</f>
        <v>152</v>
      </c>
      <c r="J366" s="57" t="n">
        <f aca="false">BN366*Parameter!$B$18</f>
        <v>2</v>
      </c>
      <c r="K366" s="58" t="n">
        <v>3</v>
      </c>
      <c r="L366" s="59" t="n">
        <v>0.666666666666667</v>
      </c>
      <c r="M366" s="57" t="n">
        <v>0</v>
      </c>
      <c r="N366" s="57" t="n">
        <v>1</v>
      </c>
      <c r="O366" s="60" t="n">
        <v>31</v>
      </c>
      <c r="P366" s="55" t="s">
        <v>401</v>
      </c>
      <c r="Q366" s="57" t="n">
        <v>4</v>
      </c>
      <c r="R366" s="60" t="n">
        <f aca="false">IF(BT366=1,0,IFERROR(VLOOKUP(BR366,'Gebinde-Kategorie'!$A$5:$M$45,13,0)+0,0))</f>
        <v>414</v>
      </c>
      <c r="S366" s="61"/>
      <c r="T366" s="62"/>
      <c r="U366" s="62"/>
      <c r="V366" s="62"/>
      <c r="W366" s="55"/>
      <c r="X366" s="57"/>
      <c r="Y366" s="57"/>
      <c r="Z366" s="55" t="n">
        <f aca="false">IF(A366="","",IF(AND(Parameter!$B$21="Ja",ISNUMBER(W366)),W366,IF(BV366="2+3",IF(ISNUMBER(SEARCH("grosser Artikel",BO366)),2,IFERROR(VLOOKUP(BR366,Parameter!$F$35:$G$64,2,0),2)),IF(OR(BV366="Nein",BV366=""),"-",BV366))))</f>
        <v>3</v>
      </c>
      <c r="AA366" s="62"/>
      <c r="AB366" s="63"/>
      <c r="AC366" s="57" t="n">
        <f aca="false">AR366</f>
        <v>4</v>
      </c>
      <c r="AD366" s="57" t="n">
        <f aca="false">MAX(AR366,H366)</f>
        <v>4</v>
      </c>
      <c r="AE366" s="64"/>
      <c r="AF366" s="57" t="n">
        <f aca="false">IF(LEFT(Cockpit!$C$5,1)="A",H366,IF(CA366=1,CB366,IF(LEFT(Cockpit!$C$5,1)="B",AJ366,MAX(AJ366,H366))))</f>
        <v>4</v>
      </c>
      <c r="AG366" s="57" t="n">
        <f aca="false">IF(BT366=1,0,ROUNDUP(AF366/BS366,0))</f>
        <v>1</v>
      </c>
      <c r="AH366" s="59" t="n">
        <f aca="false">IF(CH366&gt;0,CH366*MAX(1,AF366/X366),IF(BT366=1,IF(AF366&lt;=0,0,BW366*MAX(1,IF(H366&gt;0,AF366/H366,1))),IF(R366&gt;0,AG366/R366,0))/MAX(0.1,N(Parameter!$M$21)))</f>
        <v>0.00241545893719807</v>
      </c>
      <c r="AI366" s="57" t="n">
        <f aca="false">AF366*G366</f>
        <v>152</v>
      </c>
      <c r="AJ366" s="57" t="n">
        <f aca="false">ROUNDUP(MAX(J366/IF(BZ366&gt;0,BZ366,MAX(0.1,N(Cockpit!$C$6))),CC366)/BS366,0)*BS366</f>
        <v>4</v>
      </c>
      <c r="AK366" s="58" t="n">
        <f aca="false">IF(AH366&gt;0,J366/AH366,-1)</f>
        <v>828</v>
      </c>
      <c r="AL366" s="58" t="n">
        <f aca="false">IF(AND(OR(BY366="L1",BY366="L23"),AH366&gt;0),SUMIFS($AH$7:$AH$1843,$BY$7:$BY$1843,BY366,$AK$7:$AK$1843,"&gt;"&amp;AK366)+SUMIFS($AH$7:$AH$1843,$BY$7:$BY$1843,BY366,$AK$7:$AK$1843,AK366,$BQ$7:$BQ$1843,"&lt;="&amp;BQ366),"")</f>
        <v>20.7153305631567</v>
      </c>
      <c r="AM366" s="65" t="n">
        <f aca="false">IF(AL366="",0,MAX(0,MIN(1,(IF(BY366="L1",Parameter!$E$5,Parameter!$E$6+Parameter!$E$7)-(AL366-AH366))/AH366)))</f>
        <v>1</v>
      </c>
      <c r="AN366" s="57" t="n">
        <f aca="false">IF(LEFT(Cockpit!$I$5,1)="A",H366,IF(CA366=1,CB366,IF(LEFT(Cockpit!$I$5,1)="B",AR366,MAX(AR366,H366))))</f>
        <v>4</v>
      </c>
      <c r="AO366" s="57" t="n">
        <f aca="false">IF(BT366=1,0,ROUNDUP(AN366/BS366,0))</f>
        <v>1</v>
      </c>
      <c r="AP366" s="59" t="n">
        <f aca="false">IF(CH366&gt;0,CH366*MAX(1,AN366/X366),IF(BT366=1,IF(AN366&lt;=0,0,BW366*MAX(1,IF(H366&gt;0,AN366/H366,1))),IF(R366&gt;0,AO366/R366,0))/MAX(0.1,N(Parameter!$M$21)))</f>
        <v>0.00241545893719807</v>
      </c>
      <c r="AQ366" s="57" t="n">
        <f aca="false">AN366*G366</f>
        <v>152</v>
      </c>
      <c r="AR366" s="57" t="n">
        <f aca="false">ROUNDUP(MAX(J366/IF(BZ366&gt;0,BZ366,MAX(0.1,N(Cockpit!$I$6))),CC366)/BS366,0)*BS366</f>
        <v>4</v>
      </c>
      <c r="AS366" s="58" t="n">
        <f aca="false">IF(AP366&gt;0,J366/AP366,-1)</f>
        <v>828</v>
      </c>
      <c r="AT366" s="58" t="n">
        <f aca="false">IF(AND(OR(BY366="L1",BY366="L23"),AP366&gt;0),SUMIFS($AP$7:$AP$1843,$BY$7:$BY$1843,BY366,$AS$7:$AS$1843,"&gt;"&amp;AS366)+SUMIFS($AP$7:$AP$1843,$BY$7:$BY$1843,BY366,$AS$7:$AS$1843,AS366,$BQ$7:$BQ$1843,"&lt;="&amp;BQ366),"")</f>
        <v>25.9211090841526</v>
      </c>
      <c r="AU366" s="65" t="n">
        <f aca="false">IF(AT366="",0,MAX(0,MIN(1,(IF(BY366="L1",Parameter!$E$5,Parameter!$E$6+Parameter!$E$7)-(AT366-AP366))/AP366)))</f>
        <v>1</v>
      </c>
      <c r="AV366" s="57" t="n">
        <f aca="false">IF(LEFT(Cockpit!$O$5,1)="A",H366,IF(CA366=1,CB366,IF(LEFT(Cockpit!$O$5,1)="B",AZ366,MAX(AZ366,H366))))</f>
        <v>4</v>
      </c>
      <c r="AW366" s="57" t="n">
        <f aca="false">IF(BT366=1,0,ROUNDUP(AV366/BS366,0))</f>
        <v>1</v>
      </c>
      <c r="AX366" s="59" t="n">
        <f aca="false">IF(CH366&gt;0,CH366*MAX(1,AV366/X366),IF(BT366=1,IF(AV366&lt;=0,0,BW366*MAX(1,IF(H366&gt;0,AV366/H366,1))),IF(R366&gt;0,AW366/R366,0))/MAX(0.1,N(Parameter!$M$21)))</f>
        <v>0.00241545893719807</v>
      </c>
      <c r="AY366" s="57" t="n">
        <f aca="false">AV366*G366</f>
        <v>152</v>
      </c>
      <c r="AZ366" s="57" t="n">
        <f aca="false">ROUNDUP(MAX(J366/IF(BZ366&gt;0,BZ366,MAX(0.1,N(Cockpit!$O$6))),CC366)/BS366,0)*BS366</f>
        <v>4</v>
      </c>
      <c r="BA366" s="58" t="n">
        <f aca="false">IF(AX366&gt;0,J366/AX366,-1)</f>
        <v>828</v>
      </c>
      <c r="BB366" s="58" t="n">
        <f aca="false">IF(AND(OR(BY366="L1",BY366="L23"),AX366&gt;0),SUMIFS($AX$7:$AX$1843,$BY$7:$BY$1843,BY366,$BA$7:$BA$1843,"&gt;"&amp;BA366)+SUMIFS($AX$7:$AX$1843,$BY$7:$BY$1843,BY366,$BA$7:$BA$1843,BA366,$BQ$7:$BQ$1843,"&lt;="&amp;BQ366),"")</f>
        <v>25.7894074524509</v>
      </c>
      <c r="BC366" s="65" t="n">
        <f aca="false">IF(BB366="",0,MAX(0,MIN(1,(IF(BY366="L1",Parameter!$E$5,Parameter!$E$6+Parameter!$E$7)-(BB366-AX366))/AX366)))</f>
        <v>1</v>
      </c>
      <c r="BD366" s="55" t="str">
        <f aca="false">IF(AH366&lt;=0,"",IF(BY366="Aussen","Aussenlager",IF(BY366="-","Nicht im Lift",IF(AM366&gt;=1,"Lift",IF(AM366&lt;=0,"Aussenlager","teilweise")))))</f>
        <v>Lift</v>
      </c>
      <c r="BE366" s="55" t="str">
        <f aca="false">IF(AP366&lt;=0,"",IF(BY366="Aussen","Aussenlager",IF(BY366="-","Nicht im Lift",IF(AU366&gt;=1,"Lift",IF(AU366&lt;=0,"Aussenlager","teilweise")))))</f>
        <v>Lift</v>
      </c>
      <c r="BF366" s="55" t="str">
        <f aca="false">IF(AX366&lt;=0,"",IF(BY366="Aussen","Aussenlager",IF(BY366="-","Nicht im Lift",IF(BC366&gt;=1,"Lift",IF(BC366&lt;=0,"Aussenlager","teilweise")))))</f>
        <v>Lift</v>
      </c>
      <c r="BG366" s="55" t="str">
        <f aca="false">IF(A366="","",IF(BP366=1,"Neu; ","")&amp;IF(AND(BP366=0,BK366&lt;0),"negativer Bestand (Export "&amp;BK366&amp;"); ","")&amp;IF(J366&lt;=0,"Kein Verbrauch; ","")&amp;IF(CH366&gt;0,"Lift "&amp;W366&amp;" lt. Liftbericht (Fach "&amp;X366&amp;" Stk); ",IF(BU366=1,"Gebinde geschätzt ("&amp;T366&amp;"); ",IF(BT366=1,"Lose – Tablare geschätzt; ","")))&amp;IF(H366&gt;AR366,"Überbestand "&amp;ROUND(H366-AR366,0)&amp;" Stk / CHF "&amp;ROUND((H366-AR366)*G366,0)&amp;"; ","")&amp;IF(AND(CA366=1,CB366&lt;CC366),"MAX &lt; MB+LG; ","")&amp;IF(AND(CG366&gt;0,CF366*10&gt;CG366),"zu hoch für Tablar; ","")&amp;IF(AND(BP366=0,OR(CA366=1,AA366&lt;&gt;"",U366&lt;&gt;"",V366&lt;&gt;"",AB366&lt;&gt;"")),"manuell übersteuert; ","")&amp;IF(AND(BT366=0,R366=0),"Gebinde unbekannt / Stellmass fehlt; ","")&amp;IF(AND(BT366=0,N(V366)&lt;=0,N(Q366)&lt;=0),"Menge pro Gebinde fehlt (Ist = 1 Gebinde); ","")&amp;BO366)</f>
        <v/>
      </c>
      <c r="BH366" s="55"/>
      <c r="BI366" s="55"/>
      <c r="BJ366" s="62"/>
      <c r="BK366" s="57" t="n">
        <v>4</v>
      </c>
      <c r="BL366" s="57" t="n">
        <v>0</v>
      </c>
      <c r="BM366" s="56" t="n">
        <v>152</v>
      </c>
      <c r="BN366" s="57" t="n">
        <v>2</v>
      </c>
      <c r="BO366" s="55"/>
      <c r="BP366" s="60" t="n">
        <v>0</v>
      </c>
      <c r="BQ366" s="60" t="n">
        <v>366</v>
      </c>
      <c r="BR366" s="55" t="str">
        <f aca="false">IF(U366&lt;&gt;"",UPPER(TRIM(U366)),IF(BU366=1,UPPER(VLOOKUP(T366,Parameter!$I$27:$K$29,2,0)),IF(P366="","LOSE",P366)))</f>
        <v>S21</v>
      </c>
      <c r="BS366" s="57" t="n">
        <f aca="false">IF(BR366="LOSE",1,IF(N(V366)&gt;0,V366,IF(BU366=1,MAX(1,N(VLOOKUP(T366,Parameter!$I$27:$K$29,3,0)),H366,N(N366)),IF(N(Q366)&gt;0,Q366,MAX(1,H366)))))</f>
        <v>4</v>
      </c>
      <c r="BT366" s="60" t="n">
        <f aca="false">IF(BR366="LOSE",1,0)</f>
        <v>0</v>
      </c>
      <c r="BU366" s="60" t="n">
        <f aca="false">IF(AND(U366="",OR(P366="",P366="LOSE"),T366&lt;&gt;"",N(S366)&lt;=0,ISNUMBER(MATCH(T366,Parameter!$I$27:$I$29,0))),1,0)</f>
        <v>0</v>
      </c>
      <c r="BV366" s="55" t="str">
        <f aca="false">IF(AND(Parameter!$B$19="Ja",E366&lt;&gt;"",ISNUMBER(MATCH(E366,Parameter!$I$35:$I$52,0))),VLOOKUP(E366,Parameter!$I$35:$J$52,2,0),IFERROR(VLOOKUP(D366,Parameter!$A$35:$C$64,2,0),"Nein"))</f>
        <v>2+3</v>
      </c>
      <c r="BW366" s="59" t="n">
        <f aca="false">IF(BT366=0,0,IF(N(S366)&gt;0,S366,IFERROR(VLOOKUP(D366,Parameter!$A$35:$C$64,3,0)+0,0)))</f>
        <v>0</v>
      </c>
      <c r="BX366" s="55" t="n">
        <f aca="false">IF(AA366&lt;&gt;"",AA366,Z366)</f>
        <v>3</v>
      </c>
      <c r="BY366" s="55" t="str">
        <f aca="false">IF(BX366=1,"L1",IF(OR(BX366=2,BX366=3),"L23",IF(BX366="Aussen","Aussen","-")))</f>
        <v>L23</v>
      </c>
      <c r="BZ366" s="66" t="n">
        <f aca="false">IF(N(AB366)&gt;0,AB366,0)</f>
        <v>0</v>
      </c>
      <c r="CA366" s="60" t="n">
        <f aca="false">IF(ISNUMBER(AE366),1,0)</f>
        <v>0</v>
      </c>
      <c r="CB366" s="57" t="n">
        <f aca="false">N(AE366)</f>
        <v>0</v>
      </c>
      <c r="CC366" s="57" t="n">
        <f aca="false">N(M366)+N(N366)</f>
        <v>1</v>
      </c>
      <c r="CD366" s="57" t="n">
        <f aca="false">ROUNDUP(H366/BS366,0)</f>
        <v>1</v>
      </c>
      <c r="CE366" s="57" t="n">
        <f aca="false">ROUNDUP(CB366/BS366,0)</f>
        <v>0</v>
      </c>
      <c r="CF366" s="60" t="n">
        <f aca="false">IF(BT366=1,0,IFERROR(VLOOKUP(BR366,'Gebinde-Kategorie'!$A$5:$M$45,5,0)+0,0))</f>
        <v>8</v>
      </c>
      <c r="CG366" s="60" t="n">
        <f aca="false">IFERROR(IF(OR(BX366=1,BX366=2,BX366=3),N(INDEX(Parameter!$I$5:$I$7,BX366)),0),0)</f>
        <v>0</v>
      </c>
      <c r="CH366" s="59" t="n">
        <f aca="false">IF(AND(Parameter!$B$21="Ja",ISNUMBER(W366),N(X366)&gt;0),IFERROR(N(INDEX(Parameter!$L$5:$L$7,W366))*INDEX(Parameter!$E$5:$E$7,W366)*X366/SUMIFS($X$7:$X$1843,$W$7:$W$1843,W366),0),0)</f>
        <v>0</v>
      </c>
    </row>
    <row r="367" customFormat="false" ht="15" hidden="false" customHeight="false" outlineLevel="0" collapsed="false">
      <c r="A367" s="55" t="s">
        <v>882</v>
      </c>
      <c r="B367" s="55" t="s">
        <v>883</v>
      </c>
      <c r="C367" s="55" t="s">
        <v>164</v>
      </c>
      <c r="D367" s="55" t="s">
        <v>184</v>
      </c>
      <c r="E367" s="55" t="s">
        <v>185</v>
      </c>
      <c r="F367" s="55" t="s">
        <v>218</v>
      </c>
      <c r="G367" s="56" t="n">
        <v>49.23</v>
      </c>
      <c r="H367" s="57" t="n">
        <f aca="false">MAX(0,IF(AND(Parameter!$B$21="Ja",ISNUMBER(Y367)),Y367,IF(Parameter!$B$20="Jahresanfang 2025 + Export",BL367+BK367,BK367)))</f>
        <v>7</v>
      </c>
      <c r="I367" s="57" t="n">
        <f aca="false">H367*G367</f>
        <v>344.61</v>
      </c>
      <c r="J367" s="57" t="n">
        <f aca="false">BN367*Parameter!$B$18</f>
        <v>1</v>
      </c>
      <c r="K367" s="58" t="n">
        <v>5</v>
      </c>
      <c r="L367" s="59" t="n">
        <v>0.2</v>
      </c>
      <c r="M367" s="57" t="n">
        <v>0</v>
      </c>
      <c r="N367" s="57" t="n">
        <v>1</v>
      </c>
      <c r="O367" s="60" t="n">
        <v>14</v>
      </c>
      <c r="P367" s="55" t="s">
        <v>233</v>
      </c>
      <c r="Q367" s="57" t="n">
        <v>10</v>
      </c>
      <c r="R367" s="60" t="n">
        <f aca="false">IF(BT367=1,0,IFERROR(VLOOKUP(BR367,'Gebinde-Kategorie'!$A$5:$M$45,13,0)+0,0))</f>
        <v>26</v>
      </c>
      <c r="S367" s="61"/>
      <c r="T367" s="62"/>
      <c r="U367" s="62"/>
      <c r="V367" s="62"/>
      <c r="W367" s="55"/>
      <c r="X367" s="57"/>
      <c r="Y367" s="57"/>
      <c r="Z367" s="55" t="n">
        <f aca="false">IF(A367="","",IF(AND(Parameter!$B$21="Ja",ISNUMBER(W367)),W367,IF(BV367="2+3",IF(ISNUMBER(SEARCH("grosser Artikel",BO367)),2,IFERROR(VLOOKUP(BR367,Parameter!$F$35:$G$64,2,0),2)),IF(OR(BV367="Nein",BV367=""),"-",BV367))))</f>
        <v>3</v>
      </c>
      <c r="AA367" s="62"/>
      <c r="AB367" s="63"/>
      <c r="AC367" s="57" t="n">
        <f aca="false">AR367</f>
        <v>10</v>
      </c>
      <c r="AD367" s="57" t="n">
        <f aca="false">MAX(AR367,H367)</f>
        <v>10</v>
      </c>
      <c r="AE367" s="64"/>
      <c r="AF367" s="57" t="n">
        <f aca="false">IF(LEFT(Cockpit!$C$5,1)="A",H367,IF(CA367=1,CB367,IF(LEFT(Cockpit!$C$5,1)="B",AJ367,MAX(AJ367,H367))))</f>
        <v>7</v>
      </c>
      <c r="AG367" s="57" t="n">
        <f aca="false">IF(BT367=1,0,ROUNDUP(AF367/BS367,0))</f>
        <v>1</v>
      </c>
      <c r="AH367" s="59" t="n">
        <f aca="false">IF(CH367&gt;0,CH367*MAX(1,AF367/X367),IF(BT367=1,IF(AF367&lt;=0,0,BW367*MAX(1,IF(H367&gt;0,AF367/H367,1))),IF(R367&gt;0,AG367/R367,0))/MAX(0.1,N(Parameter!$M$21)))</f>
        <v>0.0384615384615385</v>
      </c>
      <c r="AI367" s="57" t="n">
        <f aca="false">AF367*G367</f>
        <v>344.61</v>
      </c>
      <c r="AJ367" s="57" t="n">
        <f aca="false">ROUNDUP(MAX(J367/IF(BZ367&gt;0,BZ367,MAX(0.1,N(Cockpit!$C$6))),CC367)/BS367,0)*BS367</f>
        <v>10</v>
      </c>
      <c r="AK367" s="58" t="n">
        <f aca="false">IF(AH367&gt;0,J367/AH367,-1)</f>
        <v>26</v>
      </c>
      <c r="AL367" s="58" t="n">
        <f aca="false">IF(AND(OR(BY367="L1",BY367="L23"),AH367&gt;0),SUMIFS($AH$7:$AH$1843,$BY$7:$BY$1843,BY367,$AK$7:$AK$1843,"&gt;"&amp;AK367)+SUMIFS($AH$7:$AH$1843,$BY$7:$BY$1843,BY367,$AK$7:$AK$1843,AK367,$BQ$7:$BQ$1843,"&lt;="&amp;BQ367),"")</f>
        <v>48.2676683220162</v>
      </c>
      <c r="AM367" s="65" t="n">
        <f aca="false">IF(AL367="",0,MAX(0,MIN(1,(IF(BY367="L1",Parameter!$E$5,Parameter!$E$6+Parameter!$E$7)-(AL367-AH367))/AH367)))</f>
        <v>1</v>
      </c>
      <c r="AN367" s="57" t="n">
        <f aca="false">IF(LEFT(Cockpit!$I$5,1)="A",H367,IF(CA367=1,CB367,IF(LEFT(Cockpit!$I$5,1)="B",AR367,MAX(AR367,H367))))</f>
        <v>10</v>
      </c>
      <c r="AO367" s="57" t="n">
        <f aca="false">IF(BT367=1,0,ROUNDUP(AN367/BS367,0))</f>
        <v>1</v>
      </c>
      <c r="AP367" s="59" t="n">
        <f aca="false">IF(CH367&gt;0,CH367*MAX(1,AN367/X367),IF(BT367=1,IF(AN367&lt;=0,0,BW367*MAX(1,IF(H367&gt;0,AN367/H367,1))),IF(R367&gt;0,AO367/R367,0))/MAX(0.1,N(Parameter!$M$21)))</f>
        <v>0.0384615384615385</v>
      </c>
      <c r="AQ367" s="57" t="n">
        <f aca="false">AN367*G367</f>
        <v>492.3</v>
      </c>
      <c r="AR367" s="57" t="n">
        <f aca="false">ROUNDUP(MAX(J367/IF(BZ367&gt;0,BZ367,MAX(0.1,N(Cockpit!$I$6))),CC367)/BS367,0)*BS367</f>
        <v>10</v>
      </c>
      <c r="AS367" s="58" t="n">
        <f aca="false">IF(AP367&gt;0,J367/AP367,-1)</f>
        <v>26</v>
      </c>
      <c r="AT367" s="58" t="n">
        <f aca="false">IF(AND(OR(BY367="L1",BY367="L23"),AP367&gt;0),SUMIFS($AP$7:$AP$1843,$BY$7:$BY$1843,BY367,$AS$7:$AS$1843,"&gt;"&amp;AS367)+SUMIFS($AP$7:$AP$1843,$BY$7:$BY$1843,BY367,$AS$7:$AS$1843,AS367,$BQ$7:$BQ$1843,"&lt;="&amp;BQ367),"")</f>
        <v>73.3648694300868</v>
      </c>
      <c r="AU367" s="65" t="n">
        <f aca="false">IF(AT367="",0,MAX(0,MIN(1,(IF(BY367="L1",Parameter!$E$5,Parameter!$E$6+Parameter!$E$7)-(AT367-AP367))/AP367)))</f>
        <v>1</v>
      </c>
      <c r="AV367" s="57" t="n">
        <f aca="false">IF(LEFT(Cockpit!$O$5,1)="A",H367,IF(CA367=1,CB367,IF(LEFT(Cockpit!$O$5,1)="B",AZ367,MAX(AZ367,H367))))</f>
        <v>10</v>
      </c>
      <c r="AW367" s="57" t="n">
        <f aca="false">IF(BT367=1,0,ROUNDUP(AV367/BS367,0))</f>
        <v>1</v>
      </c>
      <c r="AX367" s="59" t="n">
        <f aca="false">IF(CH367&gt;0,CH367*MAX(1,AV367/X367),IF(BT367=1,IF(AV367&lt;=0,0,BW367*MAX(1,IF(H367&gt;0,AV367/H367,1))),IF(R367&gt;0,AW367/R367,0))/MAX(0.1,N(Parameter!$M$21)))</f>
        <v>0.0384615384615385</v>
      </c>
      <c r="AY367" s="57" t="n">
        <f aca="false">AV367*G367</f>
        <v>492.3</v>
      </c>
      <c r="AZ367" s="57" t="n">
        <f aca="false">ROUNDUP(MAX(J367/IF(BZ367&gt;0,BZ367,MAX(0.1,N(Cockpit!$O$6))),CC367)/BS367,0)*BS367</f>
        <v>10</v>
      </c>
      <c r="BA367" s="58" t="n">
        <f aca="false">IF(AX367&gt;0,J367/AX367,-1)</f>
        <v>26</v>
      </c>
      <c r="BB367" s="58" t="n">
        <f aca="false">IF(AND(OR(BY367="L1",BY367="L23"),AX367&gt;0),SUMIFS($AX$7:$AX$1843,$BY$7:$BY$1843,BY367,$BA$7:$BA$1843,"&gt;"&amp;BA367)+SUMIFS($AX$7:$AX$1843,$BY$7:$BY$1843,BY367,$BA$7:$BA$1843,BA367,$BQ$7:$BQ$1843,"&lt;="&amp;BQ367),"")</f>
        <v>67.8613729265903</v>
      </c>
      <c r="BC367" s="65" t="n">
        <f aca="false">IF(BB367="",0,MAX(0,MIN(1,(IF(BY367="L1",Parameter!$E$5,Parameter!$E$6+Parameter!$E$7)-(BB367-AX367))/AX367)))</f>
        <v>1</v>
      </c>
      <c r="BD367" s="55" t="str">
        <f aca="false">IF(AH367&lt;=0,"",IF(BY367="Aussen","Aussenlager",IF(BY367="-","Nicht im Lift",IF(AM367&gt;=1,"Lift",IF(AM367&lt;=0,"Aussenlager","teilweise")))))</f>
        <v>Lift</v>
      </c>
      <c r="BE367" s="55" t="str">
        <f aca="false">IF(AP367&lt;=0,"",IF(BY367="Aussen","Aussenlager",IF(BY367="-","Nicht im Lift",IF(AU367&gt;=1,"Lift",IF(AU367&lt;=0,"Aussenlager","teilweise")))))</f>
        <v>Lift</v>
      </c>
      <c r="BF367" s="55" t="str">
        <f aca="false">IF(AX367&lt;=0,"",IF(BY367="Aussen","Aussenlager",IF(BY367="-","Nicht im Lift",IF(BC367&gt;=1,"Lift",IF(BC367&lt;=0,"Aussenlager","teilweise")))))</f>
        <v>Lift</v>
      </c>
      <c r="BG367" s="55" t="str">
        <f aca="false">IF(A367="","",IF(BP367=1,"Neu; ","")&amp;IF(AND(BP367=0,BK367&lt;0),"negativer Bestand (Export "&amp;BK367&amp;"); ","")&amp;IF(J367&lt;=0,"Kein Verbrauch; ","")&amp;IF(CH367&gt;0,"Lift "&amp;W367&amp;" lt. Liftbericht (Fach "&amp;X367&amp;" Stk); ",IF(BU367=1,"Gebinde geschätzt ("&amp;T367&amp;"); ",IF(BT367=1,"Lose – Tablare geschätzt; ","")))&amp;IF(H367&gt;AR367,"Überbestand "&amp;ROUND(H367-AR367,0)&amp;" Stk / CHF "&amp;ROUND((H367-AR367)*G367,0)&amp;"; ","")&amp;IF(AND(CA367=1,CB367&lt;CC367),"MAX &lt; MB+LG; ","")&amp;IF(AND(CG367&gt;0,CF367*10&gt;CG367),"zu hoch für Tablar; ","")&amp;IF(AND(BP367=0,OR(CA367=1,AA367&lt;&gt;"",U367&lt;&gt;"",V367&lt;&gt;"",AB367&lt;&gt;"")),"manuell übersteuert; ","")&amp;IF(AND(BT367=0,R367=0),"Gebinde unbekannt / Stellmass fehlt; ","")&amp;IF(AND(BT367=0,N(V367)&lt;=0,N(Q367)&lt;=0),"Menge pro Gebinde fehlt (Ist = 1 Gebinde); ","")&amp;BO367)</f>
        <v/>
      </c>
      <c r="BH367" s="55"/>
      <c r="BI367" s="55"/>
      <c r="BJ367" s="62"/>
      <c r="BK367" s="57" t="n">
        <v>3</v>
      </c>
      <c r="BL367" s="57" t="n">
        <v>4</v>
      </c>
      <c r="BM367" s="56" t="n">
        <v>151.81</v>
      </c>
      <c r="BN367" s="57" t="n">
        <v>1</v>
      </c>
      <c r="BO367" s="55"/>
      <c r="BP367" s="60" t="n">
        <v>0</v>
      </c>
      <c r="BQ367" s="60" t="n">
        <v>367</v>
      </c>
      <c r="BR367" s="55" t="str">
        <f aca="false">IF(U367&lt;&gt;"",UPPER(TRIM(U367)),IF(BU367=1,UPPER(VLOOKUP(T367,Parameter!$I$27:$K$29,2,0)),IF(P367="","LOSE",P367)))</f>
        <v>S52</v>
      </c>
      <c r="BS367" s="57" t="n">
        <f aca="false">IF(BR367="LOSE",1,IF(N(V367)&gt;0,V367,IF(BU367=1,MAX(1,N(VLOOKUP(T367,Parameter!$I$27:$K$29,3,0)),H367,N(N367)),IF(N(Q367)&gt;0,Q367,MAX(1,H367)))))</f>
        <v>10</v>
      </c>
      <c r="BT367" s="60" t="n">
        <f aca="false">IF(BR367="LOSE",1,0)</f>
        <v>0</v>
      </c>
      <c r="BU367" s="60" t="n">
        <f aca="false">IF(AND(U367="",OR(P367="",P367="LOSE"),T367&lt;&gt;"",N(S367)&lt;=0,ISNUMBER(MATCH(T367,Parameter!$I$27:$I$29,0))),1,0)</f>
        <v>0</v>
      </c>
      <c r="BV367" s="55" t="str">
        <f aca="false">IF(AND(Parameter!$B$19="Ja",E367&lt;&gt;"",ISNUMBER(MATCH(E367,Parameter!$I$35:$I$52,0))),VLOOKUP(E367,Parameter!$I$35:$J$52,2,0),IFERROR(VLOOKUP(D367,Parameter!$A$35:$C$64,2,0),"Nein"))</f>
        <v>2+3</v>
      </c>
      <c r="BW367" s="59" t="n">
        <f aca="false">IF(BT367=0,0,IF(N(S367)&gt;0,S367,IFERROR(VLOOKUP(D367,Parameter!$A$35:$C$64,3,0)+0,0)))</f>
        <v>0</v>
      </c>
      <c r="BX367" s="55" t="n">
        <f aca="false">IF(AA367&lt;&gt;"",AA367,Z367)</f>
        <v>3</v>
      </c>
      <c r="BY367" s="55" t="str">
        <f aca="false">IF(BX367=1,"L1",IF(OR(BX367=2,BX367=3),"L23",IF(BX367="Aussen","Aussen","-")))</f>
        <v>L23</v>
      </c>
      <c r="BZ367" s="66" t="n">
        <f aca="false">IF(N(AB367)&gt;0,AB367,0)</f>
        <v>0</v>
      </c>
      <c r="CA367" s="60" t="n">
        <f aca="false">IF(ISNUMBER(AE367),1,0)</f>
        <v>0</v>
      </c>
      <c r="CB367" s="57" t="n">
        <f aca="false">N(AE367)</f>
        <v>0</v>
      </c>
      <c r="CC367" s="57" t="n">
        <f aca="false">N(M367)+N(N367)</f>
        <v>1</v>
      </c>
      <c r="CD367" s="57" t="n">
        <f aca="false">ROUNDUP(H367/BS367,0)</f>
        <v>1</v>
      </c>
      <c r="CE367" s="57" t="n">
        <f aca="false">ROUNDUP(CB367/BS367,0)</f>
        <v>0</v>
      </c>
      <c r="CF367" s="60" t="n">
        <f aca="false">IF(BT367=1,0,IFERROR(VLOOKUP(BR367,'Gebinde-Kategorie'!$A$5:$M$45,5,0)+0,0))</f>
        <v>21</v>
      </c>
      <c r="CG367" s="60" t="n">
        <f aca="false">IFERROR(IF(OR(BX367=1,BX367=2,BX367=3),N(INDEX(Parameter!$I$5:$I$7,BX367)),0),0)</f>
        <v>0</v>
      </c>
      <c r="CH367" s="59" t="n">
        <f aca="false">IF(AND(Parameter!$B$21="Ja",ISNUMBER(W367),N(X367)&gt;0),IFERROR(N(INDEX(Parameter!$L$5:$L$7,W367))*INDEX(Parameter!$E$5:$E$7,W367)*X367/SUMIFS($X$7:$X$1843,$W$7:$W$1843,W367),0),0)</f>
        <v>0</v>
      </c>
    </row>
    <row r="368" customFormat="false" ht="15" hidden="false" customHeight="false" outlineLevel="0" collapsed="false">
      <c r="A368" s="55" t="s">
        <v>884</v>
      </c>
      <c r="B368" s="55" t="s">
        <v>614</v>
      </c>
      <c r="C368" s="55" t="s">
        <v>164</v>
      </c>
      <c r="D368" s="55" t="s">
        <v>184</v>
      </c>
      <c r="E368" s="55" t="s">
        <v>185</v>
      </c>
      <c r="F368" s="55" t="s">
        <v>218</v>
      </c>
      <c r="G368" s="56" t="n">
        <v>3.89</v>
      </c>
      <c r="H368" s="57" t="n">
        <f aca="false">MAX(0,IF(AND(Parameter!$B$21="Ja",ISNUMBER(Y368)),Y368,IF(Parameter!$B$20="Jahresanfang 2025 + Export",BL368+BK368,BK368)))</f>
        <v>75</v>
      </c>
      <c r="I368" s="57" t="n">
        <f aca="false">H368*G368</f>
        <v>291.75</v>
      </c>
      <c r="J368" s="57" t="n">
        <f aca="false">BN368*Parameter!$B$18</f>
        <v>21</v>
      </c>
      <c r="K368" s="58" t="n">
        <v>70.5</v>
      </c>
      <c r="L368" s="59" t="n">
        <v>0.297872340425532</v>
      </c>
      <c r="M368" s="57" t="n">
        <v>3</v>
      </c>
      <c r="N368" s="57" t="n">
        <v>20</v>
      </c>
      <c r="O368" s="60" t="n">
        <v>56</v>
      </c>
      <c r="P368" s="55" t="s">
        <v>401</v>
      </c>
      <c r="Q368" s="57" t="n">
        <v>69</v>
      </c>
      <c r="R368" s="60" t="n">
        <f aca="false">IF(BT368=1,0,IFERROR(VLOOKUP(BR368,'Gebinde-Kategorie'!$A$5:$M$45,13,0)+0,0))</f>
        <v>414</v>
      </c>
      <c r="S368" s="61"/>
      <c r="T368" s="62"/>
      <c r="U368" s="62"/>
      <c r="V368" s="62"/>
      <c r="W368" s="55"/>
      <c r="X368" s="57"/>
      <c r="Y368" s="57"/>
      <c r="Z368" s="55" t="n">
        <f aca="false">IF(A368="","",IF(AND(Parameter!$B$21="Ja",ISNUMBER(W368)),W368,IF(BV368="2+3",IF(ISNUMBER(SEARCH("grosser Artikel",BO368)),2,IFERROR(VLOOKUP(BR368,Parameter!$F$35:$G$64,2,0),2)),IF(OR(BV368="Nein",BV368=""),"-",BV368))))</f>
        <v>3</v>
      </c>
      <c r="AA368" s="62"/>
      <c r="AB368" s="63"/>
      <c r="AC368" s="57" t="n">
        <f aca="false">AR368</f>
        <v>69</v>
      </c>
      <c r="AD368" s="57" t="n">
        <f aca="false">MAX(AR368,H368)</f>
        <v>75</v>
      </c>
      <c r="AE368" s="64"/>
      <c r="AF368" s="57" t="n">
        <f aca="false">IF(LEFT(Cockpit!$C$5,1)="A",H368,IF(CA368=1,CB368,IF(LEFT(Cockpit!$C$5,1)="B",AJ368,MAX(AJ368,H368))))</f>
        <v>75</v>
      </c>
      <c r="AG368" s="57" t="n">
        <f aca="false">IF(BT368=1,0,ROUNDUP(AF368/BS368,0))</f>
        <v>2</v>
      </c>
      <c r="AH368" s="59" t="n">
        <f aca="false">IF(CH368&gt;0,CH368*MAX(1,AF368/X368),IF(BT368=1,IF(AF368&lt;=0,0,BW368*MAX(1,IF(H368&gt;0,AF368/H368,1))),IF(R368&gt;0,AG368/R368,0))/MAX(0.1,N(Parameter!$M$21)))</f>
        <v>0.00483091787439614</v>
      </c>
      <c r="AI368" s="57" t="n">
        <f aca="false">AF368*G368</f>
        <v>291.75</v>
      </c>
      <c r="AJ368" s="57" t="n">
        <f aca="false">ROUNDUP(MAX(J368/IF(BZ368&gt;0,BZ368,MAX(0.1,N(Cockpit!$C$6))),CC368)/BS368,0)*BS368</f>
        <v>69</v>
      </c>
      <c r="AK368" s="58" t="n">
        <f aca="false">IF(AH368&gt;0,J368/AH368,-1)</f>
        <v>4347</v>
      </c>
      <c r="AL368" s="58" t="n">
        <f aca="false">IF(AND(OR(BY368="L1",BY368="L23"),AH368&gt;0),SUMIFS($AH$7:$AH$1843,$BY$7:$BY$1843,BY368,$AK$7:$AK$1843,"&gt;"&amp;AK368)+SUMIFS($AH$7:$AH$1843,$BY$7:$BY$1843,BY368,$AK$7:$AK$1843,AK368,$BQ$7:$BQ$1843,"&lt;="&amp;BQ368),"")</f>
        <v>8.24247491638796</v>
      </c>
      <c r="AM368" s="65" t="n">
        <f aca="false">IF(AL368="",0,MAX(0,MIN(1,(IF(BY368="L1",Parameter!$E$5,Parameter!$E$6+Parameter!$E$7)-(AL368-AH368))/AH368)))</f>
        <v>1</v>
      </c>
      <c r="AN368" s="57" t="n">
        <f aca="false">IF(LEFT(Cockpit!$I$5,1)="A",H368,IF(CA368=1,CB368,IF(LEFT(Cockpit!$I$5,1)="B",AR368,MAX(AR368,H368))))</f>
        <v>75</v>
      </c>
      <c r="AO368" s="57" t="n">
        <f aca="false">IF(BT368=1,0,ROUNDUP(AN368/BS368,0))</f>
        <v>2</v>
      </c>
      <c r="AP368" s="59" t="n">
        <f aca="false">IF(CH368&gt;0,CH368*MAX(1,AN368/X368),IF(BT368=1,IF(AN368&lt;=0,0,BW368*MAX(1,IF(H368&gt;0,AN368/H368,1))),IF(R368&gt;0,AO368/R368,0))/MAX(0.1,N(Parameter!$M$21)))</f>
        <v>0.00483091787439614</v>
      </c>
      <c r="AQ368" s="57" t="n">
        <f aca="false">AN368*G368</f>
        <v>291.75</v>
      </c>
      <c r="AR368" s="57" t="n">
        <f aca="false">ROUNDUP(MAX(J368/IF(BZ368&gt;0,BZ368,MAX(0.1,N(Cockpit!$I$6))),CC368)/BS368,0)*BS368</f>
        <v>69</v>
      </c>
      <c r="AS368" s="58" t="n">
        <f aca="false">IF(AP368&gt;0,J368/AP368,-1)</f>
        <v>4347</v>
      </c>
      <c r="AT368" s="58" t="n">
        <f aca="false">IF(AND(OR(BY368="L1",BY368="L23"),AP368&gt;0),SUMIFS($AP$7:$AP$1843,$BY$7:$BY$1843,BY368,$AS$7:$AS$1843,"&gt;"&amp;AS368)+SUMIFS($AP$7:$AP$1843,$BY$7:$BY$1843,BY368,$AS$7:$AS$1843,AS368,$BQ$7:$BQ$1843,"&lt;="&amp;BQ368),"")</f>
        <v>12.8742187763927</v>
      </c>
      <c r="AU368" s="65" t="n">
        <f aca="false">IF(AT368="",0,MAX(0,MIN(1,(IF(BY368="L1",Parameter!$E$5,Parameter!$E$6+Parameter!$E$7)-(AT368-AP368))/AP368)))</f>
        <v>1</v>
      </c>
      <c r="AV368" s="57" t="n">
        <f aca="false">IF(LEFT(Cockpit!$O$5,1)="A",H368,IF(CA368=1,CB368,IF(LEFT(Cockpit!$O$5,1)="B",AZ368,MAX(AZ368,H368))))</f>
        <v>75</v>
      </c>
      <c r="AW368" s="57" t="n">
        <f aca="false">IF(BT368=1,0,ROUNDUP(AV368/BS368,0))</f>
        <v>2</v>
      </c>
      <c r="AX368" s="59" t="n">
        <f aca="false">IF(CH368&gt;0,CH368*MAX(1,AV368/X368),IF(BT368=1,IF(AV368&lt;=0,0,BW368*MAX(1,IF(H368&gt;0,AV368/H368,1))),IF(R368&gt;0,AW368/R368,0))/MAX(0.1,N(Parameter!$M$21)))</f>
        <v>0.00483091787439614</v>
      </c>
      <c r="AY368" s="57" t="n">
        <f aca="false">AV368*G368</f>
        <v>291.75</v>
      </c>
      <c r="AZ368" s="57" t="n">
        <f aca="false">ROUNDUP(MAX(J368/IF(BZ368&gt;0,BZ368,MAX(0.1,N(Cockpit!$O$6))),CC368)/BS368,0)*BS368</f>
        <v>69</v>
      </c>
      <c r="BA368" s="58" t="n">
        <f aca="false">IF(AX368&gt;0,J368/AX368,-1)</f>
        <v>4347</v>
      </c>
      <c r="BB368" s="58" t="n">
        <f aca="false">IF(AND(OR(BY368="L1",BY368="L23"),AX368&gt;0),SUMIFS($AX$7:$AX$1843,$BY$7:$BY$1843,BY368,$BA$7:$BA$1843,"&gt;"&amp;BA368)+SUMIFS($AX$7:$AX$1843,$BY$7:$BY$1843,BY368,$BA$7:$BA$1843,BA368,$BQ$7:$BQ$1843,"&lt;="&amp;BQ368),"")</f>
        <v>11.441235093409</v>
      </c>
      <c r="BC368" s="65" t="n">
        <f aca="false">IF(BB368="",0,MAX(0,MIN(1,(IF(BY368="L1",Parameter!$E$5,Parameter!$E$6+Parameter!$E$7)-(BB368-AX368))/AX368)))</f>
        <v>1</v>
      </c>
      <c r="BD368" s="55" t="str">
        <f aca="false">IF(AH368&lt;=0,"",IF(BY368="Aussen","Aussenlager",IF(BY368="-","Nicht im Lift",IF(AM368&gt;=1,"Lift",IF(AM368&lt;=0,"Aussenlager","teilweise")))))</f>
        <v>Lift</v>
      </c>
      <c r="BE368" s="55" t="str">
        <f aca="false">IF(AP368&lt;=0,"",IF(BY368="Aussen","Aussenlager",IF(BY368="-","Nicht im Lift",IF(AU368&gt;=1,"Lift",IF(AU368&lt;=0,"Aussenlager","teilweise")))))</f>
        <v>Lift</v>
      </c>
      <c r="BF368" s="55" t="str">
        <f aca="false">IF(AX368&lt;=0,"",IF(BY368="Aussen","Aussenlager",IF(BY368="-","Nicht im Lift",IF(BC368&gt;=1,"Lift",IF(BC368&lt;=0,"Aussenlager","teilweise")))))</f>
        <v>Lift</v>
      </c>
      <c r="BG368" s="55" t="str">
        <f aca="false">IF(A368="","",IF(BP368=1,"Neu; ","")&amp;IF(AND(BP368=0,BK368&lt;0),"negativer Bestand (Export "&amp;BK368&amp;"); ","")&amp;IF(J368&lt;=0,"Kein Verbrauch; ","")&amp;IF(CH368&gt;0,"Lift "&amp;W368&amp;" lt. Liftbericht (Fach "&amp;X368&amp;" Stk); ",IF(BU368=1,"Gebinde geschätzt ("&amp;T368&amp;"); ",IF(BT368=1,"Lose – Tablare geschätzt; ","")))&amp;IF(H368&gt;AR368,"Überbestand "&amp;ROUND(H368-AR368,0)&amp;" Stk / CHF "&amp;ROUND((H368-AR368)*G368,0)&amp;"; ","")&amp;IF(AND(CA368=1,CB368&lt;CC368),"MAX &lt; MB+LG; ","")&amp;IF(AND(CG368&gt;0,CF368*10&gt;CG368),"zu hoch für Tablar; ","")&amp;IF(AND(BP368=0,OR(CA368=1,AA368&lt;&gt;"",U368&lt;&gt;"",V368&lt;&gt;"",AB368&lt;&gt;"")),"manuell übersteuert; ","")&amp;IF(AND(BT368=0,R368=0),"Gebinde unbekannt / Stellmass fehlt; ","")&amp;IF(AND(BT368=0,N(V368)&lt;=0,N(Q368)&lt;=0),"Menge pro Gebinde fehlt (Ist = 1 Gebinde); ","")&amp;BO368)</f>
        <v>Überbestand 6 Stk / CHF 23; </v>
      </c>
      <c r="BH368" s="55"/>
      <c r="BI368" s="55"/>
      <c r="BJ368" s="62"/>
      <c r="BK368" s="57" t="n">
        <v>37</v>
      </c>
      <c r="BL368" s="57" t="n">
        <v>38</v>
      </c>
      <c r="BM368" s="56" t="n">
        <v>151.28</v>
      </c>
      <c r="BN368" s="57" t="n">
        <v>21</v>
      </c>
      <c r="BO368" s="55"/>
      <c r="BP368" s="60" t="n">
        <v>0</v>
      </c>
      <c r="BQ368" s="60" t="n">
        <v>368</v>
      </c>
      <c r="BR368" s="55" t="str">
        <f aca="false">IF(U368&lt;&gt;"",UPPER(TRIM(U368)),IF(BU368=1,UPPER(VLOOKUP(T368,Parameter!$I$27:$K$29,2,0)),IF(P368="","LOSE",P368)))</f>
        <v>S21</v>
      </c>
      <c r="BS368" s="57" t="n">
        <f aca="false">IF(BR368="LOSE",1,IF(N(V368)&gt;0,V368,IF(BU368=1,MAX(1,N(VLOOKUP(T368,Parameter!$I$27:$K$29,3,0)),H368,N(N368)),IF(N(Q368)&gt;0,Q368,MAX(1,H368)))))</f>
        <v>69</v>
      </c>
      <c r="BT368" s="60" t="n">
        <f aca="false">IF(BR368="LOSE",1,0)</f>
        <v>0</v>
      </c>
      <c r="BU368" s="60" t="n">
        <f aca="false">IF(AND(U368="",OR(P368="",P368="LOSE"),T368&lt;&gt;"",N(S368)&lt;=0,ISNUMBER(MATCH(T368,Parameter!$I$27:$I$29,0))),1,0)</f>
        <v>0</v>
      </c>
      <c r="BV368" s="55" t="str">
        <f aca="false">IF(AND(Parameter!$B$19="Ja",E368&lt;&gt;"",ISNUMBER(MATCH(E368,Parameter!$I$35:$I$52,0))),VLOOKUP(E368,Parameter!$I$35:$J$52,2,0),IFERROR(VLOOKUP(D368,Parameter!$A$35:$C$64,2,0),"Nein"))</f>
        <v>2+3</v>
      </c>
      <c r="BW368" s="59" t="n">
        <f aca="false">IF(BT368=0,0,IF(N(S368)&gt;0,S368,IFERROR(VLOOKUP(D368,Parameter!$A$35:$C$64,3,0)+0,0)))</f>
        <v>0</v>
      </c>
      <c r="BX368" s="55" t="n">
        <f aca="false">IF(AA368&lt;&gt;"",AA368,Z368)</f>
        <v>3</v>
      </c>
      <c r="BY368" s="55" t="str">
        <f aca="false">IF(BX368=1,"L1",IF(OR(BX368=2,BX368=3),"L23",IF(BX368="Aussen","Aussen","-")))</f>
        <v>L23</v>
      </c>
      <c r="BZ368" s="66" t="n">
        <f aca="false">IF(N(AB368)&gt;0,AB368,0)</f>
        <v>0</v>
      </c>
      <c r="CA368" s="60" t="n">
        <f aca="false">IF(ISNUMBER(AE368),1,0)</f>
        <v>0</v>
      </c>
      <c r="CB368" s="57" t="n">
        <f aca="false">N(AE368)</f>
        <v>0</v>
      </c>
      <c r="CC368" s="57" t="n">
        <f aca="false">N(M368)+N(N368)</f>
        <v>23</v>
      </c>
      <c r="CD368" s="57" t="n">
        <f aca="false">ROUNDUP(H368/BS368,0)</f>
        <v>2</v>
      </c>
      <c r="CE368" s="57" t="n">
        <f aca="false">ROUNDUP(CB368/BS368,0)</f>
        <v>0</v>
      </c>
      <c r="CF368" s="60" t="n">
        <f aca="false">IF(BT368=1,0,IFERROR(VLOOKUP(BR368,'Gebinde-Kategorie'!$A$5:$M$45,5,0)+0,0))</f>
        <v>8</v>
      </c>
      <c r="CG368" s="60" t="n">
        <f aca="false">IFERROR(IF(OR(BX368=1,BX368=2,BX368=3),N(INDEX(Parameter!$I$5:$I$7,BX368)),0),0)</f>
        <v>0</v>
      </c>
      <c r="CH368" s="59" t="n">
        <f aca="false">IF(AND(Parameter!$B$21="Ja",ISNUMBER(W368),N(X368)&gt;0),IFERROR(N(INDEX(Parameter!$L$5:$L$7,W368))*INDEX(Parameter!$E$5:$E$7,W368)*X368/SUMIFS($X$7:$X$1843,$W$7:$W$1843,W368),0),0)</f>
        <v>0</v>
      </c>
    </row>
    <row r="369" customFormat="false" ht="15" hidden="false" customHeight="false" outlineLevel="0" collapsed="false">
      <c r="A369" s="55" t="s">
        <v>885</v>
      </c>
      <c r="B369" s="55" t="s">
        <v>886</v>
      </c>
      <c r="C369" s="55" t="s">
        <v>164</v>
      </c>
      <c r="D369" s="55" t="s">
        <v>184</v>
      </c>
      <c r="E369" s="55" t="s">
        <v>185</v>
      </c>
      <c r="F369" s="55" t="s">
        <v>218</v>
      </c>
      <c r="G369" s="56" t="n">
        <v>12.66</v>
      </c>
      <c r="H369" s="57" t="n">
        <f aca="false">MAX(0,IF(AND(Parameter!$B$21="Ja",ISNUMBER(Y369)),Y369,IF(Parameter!$B$20="Jahresanfang 2025 + Export",BL369+BK369,BK369)))</f>
        <v>14</v>
      </c>
      <c r="I369" s="57" t="n">
        <f aca="false">H369*G369</f>
        <v>177.24</v>
      </c>
      <c r="J369" s="57" t="n">
        <f aca="false">BN369*Parameter!$B$18</f>
        <v>7</v>
      </c>
      <c r="K369" s="58" t="n">
        <v>3.5</v>
      </c>
      <c r="L369" s="59" t="n">
        <v>2</v>
      </c>
      <c r="M369" s="57" t="n">
        <v>0</v>
      </c>
      <c r="N369" s="57" t="n">
        <v>5</v>
      </c>
      <c r="O369" s="60" t="n">
        <v>18</v>
      </c>
      <c r="P369" s="55" t="s">
        <v>421</v>
      </c>
      <c r="Q369" s="57" t="n">
        <v>10</v>
      </c>
      <c r="R369" s="60" t="n">
        <f aca="false">IF(BT369=1,0,IFERROR(VLOOKUP(BR369,'Gebinde-Kategorie'!$A$5:$M$45,13,0)+0,0))</f>
        <v>132</v>
      </c>
      <c r="S369" s="61"/>
      <c r="T369" s="62"/>
      <c r="U369" s="62"/>
      <c r="V369" s="62"/>
      <c r="W369" s="55"/>
      <c r="X369" s="57"/>
      <c r="Y369" s="57"/>
      <c r="Z369" s="55" t="n">
        <f aca="false">IF(A369="","",IF(AND(Parameter!$B$21="Ja",ISNUMBER(W369)),W369,IF(BV369="2+3",IF(ISNUMBER(SEARCH("grosser Artikel",BO369)),2,IFERROR(VLOOKUP(BR369,Parameter!$F$35:$G$64,2,0),2)),IF(OR(BV369="Nein",BV369=""),"-",BV369))))</f>
        <v>3</v>
      </c>
      <c r="AA369" s="62"/>
      <c r="AB369" s="63"/>
      <c r="AC369" s="57" t="n">
        <f aca="false">AR369</f>
        <v>10</v>
      </c>
      <c r="AD369" s="57" t="n">
        <f aca="false">MAX(AR369,H369)</f>
        <v>14</v>
      </c>
      <c r="AE369" s="64"/>
      <c r="AF369" s="57" t="n">
        <f aca="false">IF(LEFT(Cockpit!$C$5,1)="A",H369,IF(CA369=1,CB369,IF(LEFT(Cockpit!$C$5,1)="B",AJ369,MAX(AJ369,H369))))</f>
        <v>14</v>
      </c>
      <c r="AG369" s="57" t="n">
        <f aca="false">IF(BT369=1,0,ROUNDUP(AF369/BS369,0))</f>
        <v>2</v>
      </c>
      <c r="AH369" s="59" t="n">
        <f aca="false">IF(CH369&gt;0,CH369*MAX(1,AF369/X369),IF(BT369=1,IF(AF369&lt;=0,0,BW369*MAX(1,IF(H369&gt;0,AF369/H369,1))),IF(R369&gt;0,AG369/R369,0))/MAX(0.1,N(Parameter!$M$21)))</f>
        <v>0.0151515151515152</v>
      </c>
      <c r="AI369" s="57" t="n">
        <f aca="false">AF369*G369</f>
        <v>177.24</v>
      </c>
      <c r="AJ369" s="57" t="n">
        <f aca="false">ROUNDUP(MAX(J369/IF(BZ369&gt;0,BZ369,MAX(0.1,N(Cockpit!$C$6))),CC369)/BS369,0)*BS369</f>
        <v>10</v>
      </c>
      <c r="AK369" s="58" t="n">
        <f aca="false">IF(AH369&gt;0,J369/AH369,-1)</f>
        <v>462</v>
      </c>
      <c r="AL369" s="58" t="n">
        <f aca="false">IF(AND(OR(BY369="L1",BY369="L23"),AH369&gt;0),SUMIFS($AH$7:$AH$1843,$BY$7:$BY$1843,BY369,$AK$7:$AK$1843,"&gt;"&amp;AK369)+SUMIFS($AH$7:$AH$1843,$BY$7:$BY$1843,BY369,$AK$7:$AK$1843,AK369,$BQ$7:$BQ$1843,"&lt;="&amp;BQ369),"")</f>
        <v>24.5646853146853</v>
      </c>
      <c r="AM369" s="65" t="n">
        <f aca="false">IF(AL369="",0,MAX(0,MIN(1,(IF(BY369="L1",Parameter!$E$5,Parameter!$E$6+Parameter!$E$7)-(AL369-AH369))/AH369)))</f>
        <v>1</v>
      </c>
      <c r="AN369" s="57" t="n">
        <f aca="false">IF(LEFT(Cockpit!$I$5,1)="A",H369,IF(CA369=1,CB369,IF(LEFT(Cockpit!$I$5,1)="B",AR369,MAX(AR369,H369))))</f>
        <v>14</v>
      </c>
      <c r="AO369" s="57" t="n">
        <f aca="false">IF(BT369=1,0,ROUNDUP(AN369/BS369,0))</f>
        <v>2</v>
      </c>
      <c r="AP369" s="59" t="n">
        <f aca="false">IF(CH369&gt;0,CH369*MAX(1,AN369/X369),IF(BT369=1,IF(AN369&lt;=0,0,BW369*MAX(1,IF(H369&gt;0,AN369/H369,1))),IF(R369&gt;0,AO369/R369,0))/MAX(0.1,N(Parameter!$M$21)))</f>
        <v>0.0151515151515152</v>
      </c>
      <c r="AQ369" s="57" t="n">
        <f aca="false">AN369*G369</f>
        <v>177.24</v>
      </c>
      <c r="AR369" s="57" t="n">
        <f aca="false">ROUNDUP(MAX(J369/IF(BZ369&gt;0,BZ369,MAX(0.1,N(Cockpit!$I$6))),CC369)/BS369,0)*BS369</f>
        <v>10</v>
      </c>
      <c r="AS369" s="58" t="n">
        <f aca="false">IF(AP369&gt;0,J369/AP369,-1)</f>
        <v>462</v>
      </c>
      <c r="AT369" s="58" t="n">
        <f aca="false">IF(AND(OR(BY369="L1",BY369="L23"),AP369&gt;0),SUMIFS($AP$7:$AP$1843,$BY$7:$BY$1843,BY369,$AS$7:$AS$1843,"&gt;"&amp;AS369)+SUMIFS($AP$7:$AP$1843,$BY$7:$BY$1843,BY369,$AS$7:$AS$1843,AS369,$BQ$7:$BQ$1843,"&lt;="&amp;BQ369),"")</f>
        <v>33.8379868923347</v>
      </c>
      <c r="AU369" s="65" t="n">
        <f aca="false">IF(AT369="",0,MAX(0,MIN(1,(IF(BY369="L1",Parameter!$E$5,Parameter!$E$6+Parameter!$E$7)-(AT369-AP369))/AP369)))</f>
        <v>1</v>
      </c>
      <c r="AV369" s="57" t="n">
        <f aca="false">IF(LEFT(Cockpit!$O$5,1)="A",H369,IF(CA369=1,CB369,IF(LEFT(Cockpit!$O$5,1)="B",AZ369,MAX(AZ369,H369))))</f>
        <v>14</v>
      </c>
      <c r="AW369" s="57" t="n">
        <f aca="false">IF(BT369=1,0,ROUNDUP(AV369/BS369,0))</f>
        <v>2</v>
      </c>
      <c r="AX369" s="59" t="n">
        <f aca="false">IF(CH369&gt;0,CH369*MAX(1,AV369/X369),IF(BT369=1,IF(AV369&lt;=0,0,BW369*MAX(1,IF(H369&gt;0,AV369/H369,1))),IF(R369&gt;0,AW369/R369,0))/MAX(0.1,N(Parameter!$M$21)))</f>
        <v>0.0151515151515152</v>
      </c>
      <c r="AY369" s="57" t="n">
        <f aca="false">AV369*G369</f>
        <v>177.24</v>
      </c>
      <c r="AZ369" s="57" t="n">
        <f aca="false">ROUNDUP(MAX(J369/IF(BZ369&gt;0,BZ369,MAX(0.1,N(Cockpit!$O$6))),CC369)/BS369,0)*BS369</f>
        <v>10</v>
      </c>
      <c r="BA369" s="58" t="n">
        <f aca="false">IF(AX369&gt;0,J369/AX369,-1)</f>
        <v>462</v>
      </c>
      <c r="BB369" s="58" t="n">
        <f aca="false">IF(AND(OR(BY369="L1",BY369="L23"),AX369&gt;0),SUMIFS($AX$7:$AX$1843,$BY$7:$BY$1843,BY369,$BA$7:$BA$1843,"&gt;"&amp;BA369)+SUMIFS($AX$7:$AX$1843,$BY$7:$BY$1843,BY369,$BA$7:$BA$1843,BA369,$BQ$7:$BQ$1843,"&lt;="&amp;BQ369),"")</f>
        <v>32.7383365426844</v>
      </c>
      <c r="BC369" s="65" t="n">
        <f aca="false">IF(BB369="",0,MAX(0,MIN(1,(IF(BY369="L1",Parameter!$E$5,Parameter!$E$6+Parameter!$E$7)-(BB369-AX369))/AX369)))</f>
        <v>1</v>
      </c>
      <c r="BD369" s="55" t="str">
        <f aca="false">IF(AH369&lt;=0,"",IF(BY369="Aussen","Aussenlager",IF(BY369="-","Nicht im Lift",IF(AM369&gt;=1,"Lift",IF(AM369&lt;=0,"Aussenlager","teilweise")))))</f>
        <v>Lift</v>
      </c>
      <c r="BE369" s="55" t="str">
        <f aca="false">IF(AP369&lt;=0,"",IF(BY369="Aussen","Aussenlager",IF(BY369="-","Nicht im Lift",IF(AU369&gt;=1,"Lift",IF(AU369&lt;=0,"Aussenlager","teilweise")))))</f>
        <v>Lift</v>
      </c>
      <c r="BF369" s="55" t="str">
        <f aca="false">IF(AX369&lt;=0,"",IF(BY369="Aussen","Aussenlager",IF(BY369="-","Nicht im Lift",IF(BC369&gt;=1,"Lift",IF(BC369&lt;=0,"Aussenlager","teilweise")))))</f>
        <v>Lift</v>
      </c>
      <c r="BG369" s="55" t="str">
        <f aca="false">IF(A369="","",IF(BP369=1,"Neu; ","")&amp;IF(AND(BP369=0,BK369&lt;0),"negativer Bestand (Export "&amp;BK369&amp;"); ","")&amp;IF(J369&lt;=0,"Kein Verbrauch; ","")&amp;IF(CH369&gt;0,"Lift "&amp;W369&amp;" lt. Liftbericht (Fach "&amp;X369&amp;" Stk); ",IF(BU369=1,"Gebinde geschätzt ("&amp;T369&amp;"); ",IF(BT369=1,"Lose – Tablare geschätzt; ","")))&amp;IF(H369&gt;AR369,"Überbestand "&amp;ROUND(H369-AR369,0)&amp;" Stk / CHF "&amp;ROUND((H369-AR369)*G369,0)&amp;"; ","")&amp;IF(AND(CA369=1,CB369&lt;CC369),"MAX &lt; MB+LG; ","")&amp;IF(AND(CG369&gt;0,CF369*10&gt;CG369),"zu hoch für Tablar; ","")&amp;IF(AND(BP369=0,OR(CA369=1,AA369&lt;&gt;"",U369&lt;&gt;"",V369&lt;&gt;"",AB369&lt;&gt;"")),"manuell übersteuert; ","")&amp;IF(AND(BT369=0,R369=0),"Gebinde unbekannt / Stellmass fehlt; ","")&amp;IF(AND(BT369=0,N(V369)&lt;=0,N(Q369)&lt;=0),"Menge pro Gebinde fehlt (Ist = 1 Gebinde); ","")&amp;BO369)</f>
        <v>Überbestand 4 Stk / CHF 51; </v>
      </c>
      <c r="BH369" s="55"/>
      <c r="BI369" s="55"/>
      <c r="BJ369" s="62"/>
      <c r="BK369" s="57" t="n">
        <v>12</v>
      </c>
      <c r="BL369" s="57" t="n">
        <v>2</v>
      </c>
      <c r="BM369" s="56" t="n">
        <v>151.28</v>
      </c>
      <c r="BN369" s="57" t="n">
        <v>7</v>
      </c>
      <c r="BO369" s="55"/>
      <c r="BP369" s="60" t="n">
        <v>0</v>
      </c>
      <c r="BQ369" s="60" t="n">
        <v>369</v>
      </c>
      <c r="BR369" s="55" t="str">
        <f aca="false">IF(U369&lt;&gt;"",UPPER(TRIM(U369)),IF(BU369=1,UPPER(VLOOKUP(T369,Parameter!$I$27:$K$29,2,0)),IF(P369="","LOSE",P369)))</f>
        <v>S32</v>
      </c>
      <c r="BS369" s="57" t="n">
        <f aca="false">IF(BR369="LOSE",1,IF(N(V369)&gt;0,V369,IF(BU369=1,MAX(1,N(VLOOKUP(T369,Parameter!$I$27:$K$29,3,0)),H369,N(N369)),IF(N(Q369)&gt;0,Q369,MAX(1,H369)))))</f>
        <v>10</v>
      </c>
      <c r="BT369" s="60" t="n">
        <f aca="false">IF(BR369="LOSE",1,0)</f>
        <v>0</v>
      </c>
      <c r="BU369" s="60" t="n">
        <f aca="false">IF(AND(U369="",OR(P369="",P369="LOSE"),T369&lt;&gt;"",N(S369)&lt;=0,ISNUMBER(MATCH(T369,Parameter!$I$27:$I$29,0))),1,0)</f>
        <v>0</v>
      </c>
      <c r="BV369" s="55" t="str">
        <f aca="false">IF(AND(Parameter!$B$19="Ja",E369&lt;&gt;"",ISNUMBER(MATCH(E369,Parameter!$I$35:$I$52,0))),VLOOKUP(E369,Parameter!$I$35:$J$52,2,0),IFERROR(VLOOKUP(D369,Parameter!$A$35:$C$64,2,0),"Nein"))</f>
        <v>2+3</v>
      </c>
      <c r="BW369" s="59" t="n">
        <f aca="false">IF(BT369=0,0,IF(N(S369)&gt;0,S369,IFERROR(VLOOKUP(D369,Parameter!$A$35:$C$64,3,0)+0,0)))</f>
        <v>0</v>
      </c>
      <c r="BX369" s="55" t="n">
        <f aca="false">IF(AA369&lt;&gt;"",AA369,Z369)</f>
        <v>3</v>
      </c>
      <c r="BY369" s="55" t="str">
        <f aca="false">IF(BX369=1,"L1",IF(OR(BX369=2,BX369=3),"L23",IF(BX369="Aussen","Aussen","-")))</f>
        <v>L23</v>
      </c>
      <c r="BZ369" s="66" t="n">
        <f aca="false">IF(N(AB369)&gt;0,AB369,0)</f>
        <v>0</v>
      </c>
      <c r="CA369" s="60" t="n">
        <f aca="false">IF(ISNUMBER(AE369),1,0)</f>
        <v>0</v>
      </c>
      <c r="CB369" s="57" t="n">
        <f aca="false">N(AE369)</f>
        <v>0</v>
      </c>
      <c r="CC369" s="57" t="n">
        <f aca="false">N(M369)+N(N369)</f>
        <v>5</v>
      </c>
      <c r="CD369" s="57" t="n">
        <f aca="false">ROUNDUP(H369/BS369,0)</f>
        <v>2</v>
      </c>
      <c r="CE369" s="57" t="n">
        <f aca="false">ROUNDUP(CB369/BS369,0)</f>
        <v>0</v>
      </c>
      <c r="CF369" s="60" t="n">
        <f aca="false">IF(BT369=1,0,IFERROR(VLOOKUP(BR369,'Gebinde-Kategorie'!$A$5:$M$45,5,0)+0,0))</f>
        <v>8</v>
      </c>
      <c r="CG369" s="60" t="n">
        <f aca="false">IFERROR(IF(OR(BX369=1,BX369=2,BX369=3),N(INDEX(Parameter!$I$5:$I$7,BX369)),0),0)</f>
        <v>0</v>
      </c>
      <c r="CH369" s="59" t="n">
        <f aca="false">IF(AND(Parameter!$B$21="Ja",ISNUMBER(W369),N(X369)&gt;0),IFERROR(N(INDEX(Parameter!$L$5:$L$7,W369))*INDEX(Parameter!$E$5:$E$7,W369)*X369/SUMIFS($X$7:$X$1843,$W$7:$W$1843,W369),0),0)</f>
        <v>0</v>
      </c>
    </row>
    <row r="370" customFormat="false" ht="15" hidden="false" customHeight="false" outlineLevel="0" collapsed="false">
      <c r="A370" s="55" t="s">
        <v>887</v>
      </c>
      <c r="B370" s="55" t="s">
        <v>888</v>
      </c>
      <c r="C370" s="55" t="s">
        <v>164</v>
      </c>
      <c r="D370" s="55" t="s">
        <v>184</v>
      </c>
      <c r="E370" s="55"/>
      <c r="F370" s="55" t="s">
        <v>218</v>
      </c>
      <c r="G370" s="56" t="n">
        <v>7.44</v>
      </c>
      <c r="H370" s="57" t="n">
        <f aca="false">MAX(0,IF(AND(Parameter!$B$21="Ja",ISNUMBER(Y370)),Y370,IF(Parameter!$B$20="Jahresanfang 2025 + Export",BL370+BK370,BK370)))</f>
        <v>32</v>
      </c>
      <c r="I370" s="57" t="n">
        <f aca="false">H370*G370</f>
        <v>238.08</v>
      </c>
      <c r="J370" s="57" t="n">
        <f aca="false">BN370*Parameter!$B$18</f>
        <v>0</v>
      </c>
      <c r="K370" s="58" t="n">
        <v>12</v>
      </c>
      <c r="L370" s="59" t="n">
        <v>0</v>
      </c>
      <c r="M370" s="57" t="n">
        <v>0</v>
      </c>
      <c r="N370" s="57" t="n">
        <v>1</v>
      </c>
      <c r="O370" s="60" t="n">
        <v>28</v>
      </c>
      <c r="P370" s="55" t="s">
        <v>168</v>
      </c>
      <c r="Q370" s="57"/>
      <c r="R370" s="60" t="n">
        <f aca="false">IF(BT370=1,0,IFERROR(VLOOKUP(BR370,'Gebinde-Kategorie'!$A$5:$M$45,13,0)+0,0))</f>
        <v>26</v>
      </c>
      <c r="S370" s="61"/>
      <c r="T370" s="62" t="s">
        <v>275</v>
      </c>
      <c r="U370" s="62"/>
      <c r="V370" s="62"/>
      <c r="W370" s="55"/>
      <c r="X370" s="57"/>
      <c r="Y370" s="57"/>
      <c r="Z370" s="55" t="n">
        <f aca="false">IF(A370="","",IF(AND(Parameter!$B$21="Ja",ISNUMBER(W370)),W370,IF(BV370="2+3",IF(ISNUMBER(SEARCH("grosser Artikel",BO370)),2,IFERROR(VLOOKUP(BR370,Parameter!$F$35:$G$64,2,0),2)),IF(OR(BV370="Nein",BV370=""),"-",BV370))))</f>
        <v>3</v>
      </c>
      <c r="AA370" s="62"/>
      <c r="AB370" s="63"/>
      <c r="AC370" s="57" t="n">
        <f aca="false">AR370</f>
        <v>32</v>
      </c>
      <c r="AD370" s="57" t="n">
        <f aca="false">MAX(AR370,H370)</f>
        <v>32</v>
      </c>
      <c r="AE370" s="64"/>
      <c r="AF370" s="57" t="n">
        <f aca="false">IF(LEFT(Cockpit!$C$5,1)="A",H370,IF(CA370=1,CB370,IF(LEFT(Cockpit!$C$5,1)="B",AJ370,MAX(AJ370,H370))))</f>
        <v>32</v>
      </c>
      <c r="AG370" s="57" t="n">
        <f aca="false">IF(BT370=1,0,ROUNDUP(AF370/BS370,0))</f>
        <v>1</v>
      </c>
      <c r="AH370" s="59" t="n">
        <f aca="false">IF(CH370&gt;0,CH370*MAX(1,AF370/X370),IF(BT370=1,IF(AF370&lt;=0,0,BW370*MAX(1,IF(H370&gt;0,AF370/H370,1))),IF(R370&gt;0,AG370/R370,0))/MAX(0.1,N(Parameter!$M$21)))</f>
        <v>0.0384615384615385</v>
      </c>
      <c r="AI370" s="57" t="n">
        <f aca="false">AF370*G370</f>
        <v>238.08</v>
      </c>
      <c r="AJ370" s="57" t="n">
        <f aca="false">ROUNDUP(MAX(J370/IF(BZ370&gt;0,BZ370,MAX(0.1,N(Cockpit!$C$6))),CC370)/BS370,0)*BS370</f>
        <v>32</v>
      </c>
      <c r="AK370" s="58" t="n">
        <f aca="false">IF(AH370&gt;0,J370/AH370,-1)</f>
        <v>0</v>
      </c>
      <c r="AL370" s="58" t="n">
        <f aca="false">IF(AND(OR(BY370="L1",BY370="L23"),AH370&gt;0),SUMIFS($AH$7:$AH$1843,$BY$7:$BY$1843,BY370,$AK$7:$AK$1843,"&gt;"&amp;AK370)+SUMIFS($AH$7:$AH$1843,$BY$7:$BY$1843,BY370,$AK$7:$AK$1843,AK370,$BQ$7:$BQ$1843,"&lt;="&amp;BQ370),"")</f>
        <v>73.3888804432283</v>
      </c>
      <c r="AM370" s="65" t="n">
        <f aca="false">IF(AL370="",0,MAX(0,MIN(1,(IF(BY370="L1",Parameter!$E$5,Parameter!$E$6+Parameter!$E$7)-(AL370-AH370))/AH370)))</f>
        <v>1</v>
      </c>
      <c r="AN370" s="57" t="n">
        <f aca="false">IF(LEFT(Cockpit!$I$5,1)="A",H370,IF(CA370=1,CB370,IF(LEFT(Cockpit!$I$5,1)="B",AR370,MAX(AR370,H370))))</f>
        <v>32</v>
      </c>
      <c r="AO370" s="57" t="n">
        <f aca="false">IF(BT370=1,0,ROUNDUP(AN370/BS370,0))</f>
        <v>1</v>
      </c>
      <c r="AP370" s="59" t="n">
        <f aca="false">IF(CH370&gt;0,CH370*MAX(1,AN370/X370),IF(BT370=1,IF(AN370&lt;=0,0,BW370*MAX(1,IF(H370&gt;0,AN370/H370,1))),IF(R370&gt;0,AO370/R370,0))/MAX(0.1,N(Parameter!$M$21)))</f>
        <v>0.0384615384615385</v>
      </c>
      <c r="AQ370" s="57" t="n">
        <f aca="false">AN370*G370</f>
        <v>238.08</v>
      </c>
      <c r="AR370" s="57" t="n">
        <f aca="false">ROUNDUP(MAX(J370/IF(BZ370&gt;0,BZ370,MAX(0.1,N(Cockpit!$I$6))),CC370)/BS370,0)*BS370</f>
        <v>32</v>
      </c>
      <c r="AS370" s="58" t="n">
        <f aca="false">IF(AP370&gt;0,J370/AP370,-1)</f>
        <v>0</v>
      </c>
      <c r="AT370" s="58" t="n">
        <f aca="false">IF(AND(OR(BY370="L1",BY370="L23"),AP370&gt;0),SUMIFS($AP$7:$AP$1843,$BY$7:$BY$1843,BY370,$AS$7:$AS$1843,"&gt;"&amp;AS370)+SUMIFS($AP$7:$AP$1843,$BY$7:$BY$1843,BY370,$AS$7:$AS$1843,AS370,$BQ$7:$BQ$1843,"&lt;="&amp;BQ370),"")</f>
        <v>112.813004628222</v>
      </c>
      <c r="AU370" s="65" t="n">
        <f aca="false">IF(AT370="",0,MAX(0,MIN(1,(IF(BY370="L1",Parameter!$E$5,Parameter!$E$6+Parameter!$E$7)-(AT370-AP370))/AP370)))</f>
        <v>0</v>
      </c>
      <c r="AV370" s="57" t="n">
        <f aca="false">IF(LEFT(Cockpit!$O$5,1)="A",H370,IF(CA370=1,CB370,IF(LEFT(Cockpit!$O$5,1)="B",AZ370,MAX(AZ370,H370))))</f>
        <v>32</v>
      </c>
      <c r="AW370" s="57" t="n">
        <f aca="false">IF(BT370=1,0,ROUNDUP(AV370/BS370,0))</f>
        <v>1</v>
      </c>
      <c r="AX370" s="59" t="n">
        <f aca="false">IF(CH370&gt;0,CH370*MAX(1,AV370/X370),IF(BT370=1,IF(AV370&lt;=0,0,BW370*MAX(1,IF(H370&gt;0,AV370/H370,1))),IF(R370&gt;0,AW370/R370,0))/MAX(0.1,N(Parameter!$M$21)))</f>
        <v>0.0384615384615385</v>
      </c>
      <c r="AY370" s="57" t="n">
        <f aca="false">AV370*G370</f>
        <v>238.08</v>
      </c>
      <c r="AZ370" s="57" t="n">
        <f aca="false">ROUNDUP(MAX(J370/IF(BZ370&gt;0,BZ370,MAX(0.1,N(Cockpit!$O$6))),CC370)/BS370,0)*BS370</f>
        <v>32</v>
      </c>
      <c r="BA370" s="58" t="n">
        <f aca="false">IF(AX370&gt;0,J370/AX370,-1)</f>
        <v>0</v>
      </c>
      <c r="BB370" s="58" t="n">
        <f aca="false">IF(AND(OR(BY370="L1",BY370="L23"),AX370&gt;0),SUMIFS($AX$7:$AX$1843,$BY$7:$BY$1843,BY370,$BA$7:$BA$1843,"&gt;"&amp;BA370)+SUMIFS($AX$7:$AX$1843,$BY$7:$BY$1843,BY370,$BA$7:$BA$1843,BA370,$BQ$7:$BQ$1843,"&lt;="&amp;BQ370),"")</f>
        <v>103.642841458059</v>
      </c>
      <c r="BC370" s="65" t="n">
        <f aca="false">IF(BB370="",0,MAX(0,MIN(1,(IF(BY370="L1",Parameter!$E$5,Parameter!$E$6+Parameter!$E$7)-(BB370-AX370))/AX370)))</f>
        <v>0</v>
      </c>
      <c r="BD370" s="55" t="str">
        <f aca="false">IF(AH370&lt;=0,"",IF(BY370="Aussen","Aussenlager",IF(BY370="-","Nicht im Lift",IF(AM370&gt;=1,"Lift",IF(AM370&lt;=0,"Aussenlager","teilweise")))))</f>
        <v>Lift</v>
      </c>
      <c r="BE370" s="55" t="str">
        <f aca="false">IF(AP370&lt;=0,"",IF(BY370="Aussen","Aussenlager",IF(BY370="-","Nicht im Lift",IF(AU370&gt;=1,"Lift",IF(AU370&lt;=0,"Aussenlager","teilweise")))))</f>
        <v>Aussenlager</v>
      </c>
      <c r="BF370" s="55" t="str">
        <f aca="false">IF(AX370&lt;=0,"",IF(BY370="Aussen","Aussenlager",IF(BY370="-","Nicht im Lift",IF(BC370&gt;=1,"Lift",IF(BC370&lt;=0,"Aussenlager","teilweise")))))</f>
        <v>Aussenlager</v>
      </c>
      <c r="BG370" s="55" t="str">
        <f aca="false">IF(A370="","",IF(BP370=1,"Neu; ","")&amp;IF(AND(BP370=0,BK370&lt;0),"negativer Bestand (Export "&amp;BK370&amp;"); ","")&amp;IF(J370&lt;=0,"Kein Verbrauch; ","")&amp;IF(CH370&gt;0,"Lift "&amp;W370&amp;" lt. Liftbericht (Fach "&amp;X370&amp;" Stk); ",IF(BU370=1,"Gebinde geschätzt ("&amp;T370&amp;"); ",IF(BT370=1,"Lose – Tablare geschätzt; ","")))&amp;IF(H370&gt;AR370,"Überbestand "&amp;ROUND(H370-AR370,0)&amp;" Stk / CHF "&amp;ROUND((H370-AR370)*G370,0)&amp;"; ","")&amp;IF(AND(CA370=1,CB370&lt;CC370),"MAX &lt; MB+LG; ","")&amp;IF(AND(CG370&gt;0,CF370*10&gt;CG370),"zu hoch für Tablar; ","")&amp;IF(AND(BP370=0,OR(CA370=1,AA370&lt;&gt;"",U370&lt;&gt;"",V370&lt;&gt;"",AB370&lt;&gt;"")),"manuell übersteuert; ","")&amp;IF(AND(BT370=0,R370=0),"Gebinde unbekannt / Stellmass fehlt; ","")&amp;IF(AND(BT370=0,N(V370)&lt;=0,N(Q370)&lt;=0),"Menge pro Gebinde fehlt (Ist = 1 Gebinde); ","")&amp;BO370)</f>
        <v>Kein Verbrauch; Gebinde geschätzt (Klein); Menge pro Gebinde fehlt (Ist = 1 Gebinde); </v>
      </c>
      <c r="BH370" s="55"/>
      <c r="BI370" s="55"/>
      <c r="BJ370" s="62"/>
      <c r="BK370" s="57" t="n">
        <v>20</v>
      </c>
      <c r="BL370" s="57" t="n">
        <v>12</v>
      </c>
      <c r="BM370" s="56" t="n">
        <v>148.8</v>
      </c>
      <c r="BN370" s="57" t="n">
        <v>0</v>
      </c>
      <c r="BO370" s="55"/>
      <c r="BP370" s="60" t="n">
        <v>0</v>
      </c>
      <c r="BQ370" s="60" t="n">
        <v>370</v>
      </c>
      <c r="BR370" s="55" t="str">
        <f aca="false">IF(U370&lt;&gt;"",UPPER(TRIM(U370)),IF(BU370=1,UPPER(VLOOKUP(T370,Parameter!$I$27:$K$29,2,0)),IF(P370="","LOSE",P370)))</f>
        <v>S51</v>
      </c>
      <c r="BS370" s="57" t="n">
        <f aca="false">IF(BR370="LOSE",1,IF(N(V370)&gt;0,V370,IF(BU370=1,MAX(1,N(VLOOKUP(T370,Parameter!$I$27:$K$29,3,0)),H370,N(N370)),IF(N(Q370)&gt;0,Q370,MAX(1,H370)))))</f>
        <v>32</v>
      </c>
      <c r="BT370" s="60" t="n">
        <f aca="false">IF(BR370="LOSE",1,0)</f>
        <v>0</v>
      </c>
      <c r="BU370" s="60" t="n">
        <f aca="false">IF(AND(U370="",OR(P370="",P370="LOSE"),T370&lt;&gt;"",N(S370)&lt;=0,ISNUMBER(MATCH(T370,Parameter!$I$27:$I$29,0))),1,0)</f>
        <v>1</v>
      </c>
      <c r="BV370" s="55" t="str">
        <f aca="false">IF(AND(Parameter!$B$19="Ja",E370&lt;&gt;"",ISNUMBER(MATCH(E370,Parameter!$I$35:$I$52,0))),VLOOKUP(E370,Parameter!$I$35:$J$52,2,0),IFERROR(VLOOKUP(D370,Parameter!$A$35:$C$64,2,0),"Nein"))</f>
        <v>2+3</v>
      </c>
      <c r="BW370" s="59" t="n">
        <f aca="false">IF(BT370=0,0,IF(N(S370)&gt;0,S370,IFERROR(VLOOKUP(D370,Parameter!$A$35:$C$64,3,0)+0,0)))</f>
        <v>0</v>
      </c>
      <c r="BX370" s="55" t="n">
        <f aca="false">IF(AA370&lt;&gt;"",AA370,Z370)</f>
        <v>3</v>
      </c>
      <c r="BY370" s="55" t="str">
        <f aca="false">IF(BX370=1,"L1",IF(OR(BX370=2,BX370=3),"L23",IF(BX370="Aussen","Aussen","-")))</f>
        <v>L23</v>
      </c>
      <c r="BZ370" s="66" t="n">
        <f aca="false">IF(N(AB370)&gt;0,AB370,0)</f>
        <v>0</v>
      </c>
      <c r="CA370" s="60" t="n">
        <f aca="false">IF(ISNUMBER(AE370),1,0)</f>
        <v>0</v>
      </c>
      <c r="CB370" s="57" t="n">
        <f aca="false">N(AE370)</f>
        <v>0</v>
      </c>
      <c r="CC370" s="57" t="n">
        <f aca="false">N(M370)+N(N370)</f>
        <v>1</v>
      </c>
      <c r="CD370" s="57" t="n">
        <f aca="false">ROUNDUP(H370/BS370,0)</f>
        <v>1</v>
      </c>
      <c r="CE370" s="57" t="n">
        <f aca="false">ROUNDUP(CB370/BS370,0)</f>
        <v>0</v>
      </c>
      <c r="CF370" s="60" t="n">
        <f aca="false">IF(BT370=1,0,IFERROR(VLOOKUP(BR370,'Gebinde-Kategorie'!$A$5:$M$45,5,0)+0,0))</f>
        <v>11</v>
      </c>
      <c r="CG370" s="60" t="n">
        <f aca="false">IFERROR(IF(OR(BX370=1,BX370=2,BX370=3),N(INDEX(Parameter!$I$5:$I$7,BX370)),0),0)</f>
        <v>0</v>
      </c>
      <c r="CH370" s="59" t="n">
        <f aca="false">IF(AND(Parameter!$B$21="Ja",ISNUMBER(W370),N(X370)&gt;0),IFERROR(N(INDEX(Parameter!$L$5:$L$7,W370))*INDEX(Parameter!$E$5:$E$7,W370)*X370/SUMIFS($X$7:$X$1843,$W$7:$W$1843,W370),0),0)</f>
        <v>0</v>
      </c>
    </row>
    <row r="371" customFormat="false" ht="15" hidden="false" customHeight="false" outlineLevel="0" collapsed="false">
      <c r="A371" s="55" t="s">
        <v>889</v>
      </c>
      <c r="B371" s="55" t="s">
        <v>582</v>
      </c>
      <c r="C371" s="55" t="s">
        <v>164</v>
      </c>
      <c r="D371" s="55" t="s">
        <v>184</v>
      </c>
      <c r="E371" s="55" t="s">
        <v>185</v>
      </c>
      <c r="F371" s="55" t="s">
        <v>218</v>
      </c>
      <c r="G371" s="56" t="n">
        <v>28.04</v>
      </c>
      <c r="H371" s="57" t="n">
        <f aca="false">MAX(0,IF(AND(Parameter!$B$21="Ja",ISNUMBER(Y371)),Y371,IF(Parameter!$B$20="Jahresanfang 2025 + Export",BL371+BK371,BK371)))</f>
        <v>159</v>
      </c>
      <c r="I371" s="57" t="n">
        <f aca="false">H371*G371</f>
        <v>4458.36</v>
      </c>
      <c r="J371" s="57" t="n">
        <f aca="false">BN371*Parameter!$B$18</f>
        <v>218</v>
      </c>
      <c r="K371" s="58" t="n">
        <v>130.5</v>
      </c>
      <c r="L371" s="59" t="n">
        <v>1.67049808429119</v>
      </c>
      <c r="M371" s="57" t="n">
        <v>55</v>
      </c>
      <c r="N371" s="57" t="n">
        <v>130</v>
      </c>
      <c r="O371" s="60" t="n">
        <v>84</v>
      </c>
      <c r="P371" s="55" t="s">
        <v>421</v>
      </c>
      <c r="Q371" s="57" t="n">
        <v>189</v>
      </c>
      <c r="R371" s="60" t="n">
        <f aca="false">IF(BT371=1,0,IFERROR(VLOOKUP(BR371,'Gebinde-Kategorie'!$A$5:$M$45,13,0)+0,0))</f>
        <v>132</v>
      </c>
      <c r="S371" s="61"/>
      <c r="T371" s="62"/>
      <c r="U371" s="62"/>
      <c r="V371" s="62"/>
      <c r="W371" s="55"/>
      <c r="X371" s="57"/>
      <c r="Y371" s="57"/>
      <c r="Z371" s="55" t="n">
        <f aca="false">IF(A371="","",IF(AND(Parameter!$B$21="Ja",ISNUMBER(W371)),W371,IF(BV371="2+3",IF(ISNUMBER(SEARCH("grosser Artikel",BO371)),2,IFERROR(VLOOKUP(BR371,Parameter!$F$35:$G$64,2,0),2)),IF(OR(BV371="Nein",BV371=""),"-",BV371))))</f>
        <v>3</v>
      </c>
      <c r="AA371" s="62"/>
      <c r="AB371" s="63"/>
      <c r="AC371" s="57" t="n">
        <f aca="false">AR371</f>
        <v>189</v>
      </c>
      <c r="AD371" s="57" t="n">
        <f aca="false">MAX(AR371,H371)</f>
        <v>189</v>
      </c>
      <c r="AE371" s="64"/>
      <c r="AF371" s="57" t="n">
        <f aca="false">IF(LEFT(Cockpit!$C$5,1)="A",H371,IF(CA371=1,CB371,IF(LEFT(Cockpit!$C$5,1)="B",AJ371,MAX(AJ371,H371))))</f>
        <v>159</v>
      </c>
      <c r="AG371" s="57" t="n">
        <f aca="false">IF(BT371=1,0,ROUNDUP(AF371/BS371,0))</f>
        <v>1</v>
      </c>
      <c r="AH371" s="59" t="n">
        <f aca="false">IF(CH371&gt;0,CH371*MAX(1,AF371/X371),IF(BT371=1,IF(AF371&lt;=0,0,BW371*MAX(1,IF(H371&gt;0,AF371/H371,1))),IF(R371&gt;0,AG371/R371,0))/MAX(0.1,N(Parameter!$M$21)))</f>
        <v>0.00757575757575758</v>
      </c>
      <c r="AI371" s="57" t="n">
        <f aca="false">AF371*G371</f>
        <v>4458.36</v>
      </c>
      <c r="AJ371" s="57" t="n">
        <f aca="false">ROUNDUP(MAX(J371/IF(BZ371&gt;0,BZ371,MAX(0.1,N(Cockpit!$C$6))),CC371)/BS371,0)*BS371</f>
        <v>189</v>
      </c>
      <c r="AK371" s="58" t="n">
        <f aca="false">IF(AH371&gt;0,J371/AH371,-1)</f>
        <v>28776</v>
      </c>
      <c r="AL371" s="58" t="n">
        <f aca="false">IF(AND(OR(BY371="L1",BY371="L23"),AH371&gt;0),SUMIFS($AH$7:$AH$1843,$BY$7:$BY$1843,BY371,$AK$7:$AK$1843,"&gt;"&amp;AK371)+SUMIFS($AH$7:$AH$1843,$BY$7:$BY$1843,BY371,$AK$7:$AK$1843,AK371,$BQ$7:$BQ$1843,"&lt;="&amp;BQ371),"")</f>
        <v>2.49908786865309</v>
      </c>
      <c r="AM371" s="65" t="n">
        <f aca="false">IF(AL371="",0,MAX(0,MIN(1,(IF(BY371="L1",Parameter!$E$5,Parameter!$E$6+Parameter!$E$7)-(AL371-AH371))/AH371)))</f>
        <v>1</v>
      </c>
      <c r="AN371" s="57" t="n">
        <f aca="false">IF(LEFT(Cockpit!$I$5,1)="A",H371,IF(CA371=1,CB371,IF(LEFT(Cockpit!$I$5,1)="B",AR371,MAX(AR371,H371))))</f>
        <v>189</v>
      </c>
      <c r="AO371" s="57" t="n">
        <f aca="false">IF(BT371=1,0,ROUNDUP(AN371/BS371,0))</f>
        <v>1</v>
      </c>
      <c r="AP371" s="59" t="n">
        <f aca="false">IF(CH371&gt;0,CH371*MAX(1,AN371/X371),IF(BT371=1,IF(AN371&lt;=0,0,BW371*MAX(1,IF(H371&gt;0,AN371/H371,1))),IF(R371&gt;0,AO371/R371,0))/MAX(0.1,N(Parameter!$M$21)))</f>
        <v>0.00757575757575758</v>
      </c>
      <c r="AQ371" s="57" t="n">
        <f aca="false">AN371*G371</f>
        <v>5299.56</v>
      </c>
      <c r="AR371" s="57" t="n">
        <f aca="false">ROUNDUP(MAX(J371/IF(BZ371&gt;0,BZ371,MAX(0.1,N(Cockpit!$I$6))),CC371)/BS371,0)*BS371</f>
        <v>189</v>
      </c>
      <c r="AS371" s="58" t="n">
        <f aca="false">IF(AP371&gt;0,J371/AP371,-1)</f>
        <v>28776</v>
      </c>
      <c r="AT371" s="58" t="n">
        <f aca="false">IF(AND(OR(BY371="L1",BY371="L23"),AP371&gt;0),SUMIFS($AP$7:$AP$1843,$BY$7:$BY$1843,BY371,$AS$7:$AS$1843,"&gt;"&amp;AS371)+SUMIFS($AP$7:$AP$1843,$BY$7:$BY$1843,BY371,$AS$7:$AS$1843,AS371,$BQ$7:$BQ$1843,"&lt;="&amp;BQ371),"")</f>
        <v>3.34416067024763</v>
      </c>
      <c r="AU371" s="65" t="n">
        <f aca="false">IF(AT371="",0,MAX(0,MIN(1,(IF(BY371="L1",Parameter!$E$5,Parameter!$E$6+Parameter!$E$7)-(AT371-AP371))/AP371)))</f>
        <v>1</v>
      </c>
      <c r="AV371" s="57" t="n">
        <f aca="false">IF(LEFT(Cockpit!$O$5,1)="A",H371,IF(CA371=1,CB371,IF(LEFT(Cockpit!$O$5,1)="B",AZ371,MAX(AZ371,H371))))</f>
        <v>189</v>
      </c>
      <c r="AW371" s="57" t="n">
        <f aca="false">IF(BT371=1,0,ROUNDUP(AV371/BS371,0))</f>
        <v>1</v>
      </c>
      <c r="AX371" s="59" t="n">
        <f aca="false">IF(CH371&gt;0,CH371*MAX(1,AV371/X371),IF(BT371=1,IF(AV371&lt;=0,0,BW371*MAX(1,IF(H371&gt;0,AV371/H371,1))),IF(R371&gt;0,AW371/R371,0))/MAX(0.1,N(Parameter!$M$21)))</f>
        <v>0.00757575757575758</v>
      </c>
      <c r="AY371" s="57" t="n">
        <f aca="false">AV371*G371</f>
        <v>5299.56</v>
      </c>
      <c r="AZ371" s="57" t="n">
        <f aca="false">ROUNDUP(MAX(J371/IF(BZ371&gt;0,BZ371,MAX(0.1,N(Cockpit!$O$6))),CC371)/BS371,0)*BS371</f>
        <v>189</v>
      </c>
      <c r="BA371" s="58" t="n">
        <f aca="false">IF(AX371&gt;0,J371/AX371,-1)</f>
        <v>28776</v>
      </c>
      <c r="BB371" s="58" t="n">
        <f aca="false">IF(AND(OR(BY371="L1",BY371="L23"),AX371&gt;0),SUMIFS($AX$7:$AX$1843,$BY$7:$BY$1843,BY371,$BA$7:$BA$1843,"&gt;"&amp;BA371)+SUMIFS($AX$7:$AX$1843,$BY$7:$BY$1843,BY371,$BA$7:$BA$1843,BA371,$BQ$7:$BQ$1843,"&lt;="&amp;BQ371),"")</f>
        <v>3.07376439985136</v>
      </c>
      <c r="BC371" s="65" t="n">
        <f aca="false">IF(BB371="",0,MAX(0,MIN(1,(IF(BY371="L1",Parameter!$E$5,Parameter!$E$6+Parameter!$E$7)-(BB371-AX371))/AX371)))</f>
        <v>1</v>
      </c>
      <c r="BD371" s="55" t="str">
        <f aca="false">IF(AH371&lt;=0,"",IF(BY371="Aussen","Aussenlager",IF(BY371="-","Nicht im Lift",IF(AM371&gt;=1,"Lift",IF(AM371&lt;=0,"Aussenlager","teilweise")))))</f>
        <v>Lift</v>
      </c>
      <c r="BE371" s="55" t="str">
        <f aca="false">IF(AP371&lt;=0,"",IF(BY371="Aussen","Aussenlager",IF(BY371="-","Nicht im Lift",IF(AU371&gt;=1,"Lift",IF(AU371&lt;=0,"Aussenlager","teilweise")))))</f>
        <v>Lift</v>
      </c>
      <c r="BF371" s="55" t="str">
        <f aca="false">IF(AX371&lt;=0,"",IF(BY371="Aussen","Aussenlager",IF(BY371="-","Nicht im Lift",IF(BC371&gt;=1,"Lift",IF(BC371&lt;=0,"Aussenlager","teilweise")))))</f>
        <v>Lift</v>
      </c>
      <c r="BG371" s="55" t="str">
        <f aca="false">IF(A371="","",IF(BP371=1,"Neu; ","")&amp;IF(AND(BP371=0,BK371&lt;0),"negativer Bestand (Export "&amp;BK371&amp;"); ","")&amp;IF(J371&lt;=0,"Kein Verbrauch; ","")&amp;IF(CH371&gt;0,"Lift "&amp;W371&amp;" lt. Liftbericht (Fach "&amp;X371&amp;" Stk); ",IF(BU371=1,"Gebinde geschätzt ("&amp;T371&amp;"); ",IF(BT371=1,"Lose – Tablare geschätzt; ","")))&amp;IF(H371&gt;AR371,"Überbestand "&amp;ROUND(H371-AR371,0)&amp;" Stk / CHF "&amp;ROUND((H371-AR371)*G371,0)&amp;"; ","")&amp;IF(AND(CA371=1,CB371&lt;CC371),"MAX &lt; MB+LG; ","")&amp;IF(AND(CG371&gt;0,CF371*10&gt;CG371),"zu hoch für Tablar; ","")&amp;IF(AND(BP371=0,OR(CA371=1,AA371&lt;&gt;"",U371&lt;&gt;"",V371&lt;&gt;"",AB371&lt;&gt;"")),"manuell übersteuert; ","")&amp;IF(AND(BT371=0,R371=0),"Gebinde unbekannt / Stellmass fehlt; ","")&amp;IF(AND(BT371=0,N(V371)&lt;=0,N(Q371)&lt;=0),"Menge pro Gebinde fehlt (Ist = 1 Gebinde); ","")&amp;BO371)</f>
        <v>negativer Bestand (Export -20); </v>
      </c>
      <c r="BH371" s="55"/>
      <c r="BI371" s="55"/>
      <c r="BJ371" s="62"/>
      <c r="BK371" s="57" t="n">
        <v>-20</v>
      </c>
      <c r="BL371" s="57" t="n">
        <v>179</v>
      </c>
      <c r="BM371" s="56" t="n">
        <v>148.479999999999</v>
      </c>
      <c r="BN371" s="57" t="n">
        <v>218</v>
      </c>
      <c r="BO371" s="55"/>
      <c r="BP371" s="60" t="n">
        <v>0</v>
      </c>
      <c r="BQ371" s="60" t="n">
        <v>371</v>
      </c>
      <c r="BR371" s="55" t="str">
        <f aca="false">IF(U371&lt;&gt;"",UPPER(TRIM(U371)),IF(BU371=1,UPPER(VLOOKUP(T371,Parameter!$I$27:$K$29,2,0)),IF(P371="","LOSE",P371)))</f>
        <v>S32</v>
      </c>
      <c r="BS371" s="57" t="n">
        <f aca="false">IF(BR371="LOSE",1,IF(N(V371)&gt;0,V371,IF(BU371=1,MAX(1,N(VLOOKUP(T371,Parameter!$I$27:$K$29,3,0)),H371,N(N371)),IF(N(Q371)&gt;0,Q371,MAX(1,H371)))))</f>
        <v>189</v>
      </c>
      <c r="BT371" s="60" t="n">
        <f aca="false">IF(BR371="LOSE",1,0)</f>
        <v>0</v>
      </c>
      <c r="BU371" s="60" t="n">
        <f aca="false">IF(AND(U371="",OR(P371="",P371="LOSE"),T371&lt;&gt;"",N(S371)&lt;=0,ISNUMBER(MATCH(T371,Parameter!$I$27:$I$29,0))),1,0)</f>
        <v>0</v>
      </c>
      <c r="BV371" s="55" t="str">
        <f aca="false">IF(AND(Parameter!$B$19="Ja",E371&lt;&gt;"",ISNUMBER(MATCH(E371,Parameter!$I$35:$I$52,0))),VLOOKUP(E371,Parameter!$I$35:$J$52,2,0),IFERROR(VLOOKUP(D371,Parameter!$A$35:$C$64,2,0),"Nein"))</f>
        <v>2+3</v>
      </c>
      <c r="BW371" s="59" t="n">
        <f aca="false">IF(BT371=0,0,IF(N(S371)&gt;0,S371,IFERROR(VLOOKUP(D371,Parameter!$A$35:$C$64,3,0)+0,0)))</f>
        <v>0</v>
      </c>
      <c r="BX371" s="55" t="n">
        <f aca="false">IF(AA371&lt;&gt;"",AA371,Z371)</f>
        <v>3</v>
      </c>
      <c r="BY371" s="55" t="str">
        <f aca="false">IF(BX371=1,"L1",IF(OR(BX371=2,BX371=3),"L23",IF(BX371="Aussen","Aussen","-")))</f>
        <v>L23</v>
      </c>
      <c r="BZ371" s="66" t="n">
        <f aca="false">IF(N(AB371)&gt;0,AB371,0)</f>
        <v>0</v>
      </c>
      <c r="CA371" s="60" t="n">
        <f aca="false">IF(ISNUMBER(AE371),1,0)</f>
        <v>0</v>
      </c>
      <c r="CB371" s="57" t="n">
        <f aca="false">N(AE371)</f>
        <v>0</v>
      </c>
      <c r="CC371" s="57" t="n">
        <f aca="false">N(M371)+N(N371)</f>
        <v>185</v>
      </c>
      <c r="CD371" s="57" t="n">
        <f aca="false">ROUNDUP(H371/BS371,0)</f>
        <v>1</v>
      </c>
      <c r="CE371" s="57" t="n">
        <f aca="false">ROUNDUP(CB371/BS371,0)</f>
        <v>0</v>
      </c>
      <c r="CF371" s="60" t="n">
        <f aca="false">IF(BT371=1,0,IFERROR(VLOOKUP(BR371,'Gebinde-Kategorie'!$A$5:$M$45,5,0)+0,0))</f>
        <v>8</v>
      </c>
      <c r="CG371" s="60" t="n">
        <f aca="false">IFERROR(IF(OR(BX371=1,BX371=2,BX371=3),N(INDEX(Parameter!$I$5:$I$7,BX371)),0),0)</f>
        <v>0</v>
      </c>
      <c r="CH371" s="59" t="n">
        <f aca="false">IF(AND(Parameter!$B$21="Ja",ISNUMBER(W371),N(X371)&gt;0),IFERROR(N(INDEX(Parameter!$L$5:$L$7,W371))*INDEX(Parameter!$E$5:$E$7,W371)*X371/SUMIFS($X$7:$X$1843,$W$7:$W$1843,W371),0),0)</f>
        <v>0</v>
      </c>
    </row>
    <row r="372" customFormat="false" ht="15" hidden="false" customHeight="false" outlineLevel="0" collapsed="false">
      <c r="A372" s="55" t="s">
        <v>890</v>
      </c>
      <c r="B372" s="55" t="s">
        <v>405</v>
      </c>
      <c r="C372" s="55" t="s">
        <v>164</v>
      </c>
      <c r="D372" s="55" t="s">
        <v>184</v>
      </c>
      <c r="E372" s="55" t="s">
        <v>185</v>
      </c>
      <c r="F372" s="55" t="s">
        <v>218</v>
      </c>
      <c r="G372" s="56" t="n">
        <v>0.22</v>
      </c>
      <c r="H372" s="57" t="n">
        <f aca="false">MAX(0,IF(AND(Parameter!$B$21="Ja",ISNUMBER(Y372)),Y372,IF(Parameter!$B$20="Jahresanfang 2025 + Export",BL372+BK372,BK372)))</f>
        <v>1149</v>
      </c>
      <c r="I372" s="57" t="n">
        <f aca="false">H372*G372</f>
        <v>252.78</v>
      </c>
      <c r="J372" s="57" t="n">
        <f aca="false">BN372*Parameter!$B$18</f>
        <v>1248</v>
      </c>
      <c r="K372" s="58" t="n">
        <v>405</v>
      </c>
      <c r="L372" s="59" t="n">
        <v>3.08148148148148</v>
      </c>
      <c r="M372" s="57" t="n">
        <v>72</v>
      </c>
      <c r="N372" s="57" t="n">
        <v>1300</v>
      </c>
      <c r="O372" s="60" t="n">
        <v>21</v>
      </c>
      <c r="P372" s="55" t="s">
        <v>302</v>
      </c>
      <c r="Q372" s="57" t="n">
        <v>496</v>
      </c>
      <c r="R372" s="60" t="n">
        <f aca="false">IF(BT372=1,0,IFERROR(VLOOKUP(BR372,'Gebinde-Kategorie'!$A$5:$M$45,13,0)+0,0))</f>
        <v>26</v>
      </c>
      <c r="S372" s="61"/>
      <c r="T372" s="62"/>
      <c r="U372" s="62"/>
      <c r="V372" s="62"/>
      <c r="W372" s="55"/>
      <c r="X372" s="57"/>
      <c r="Y372" s="57"/>
      <c r="Z372" s="55" t="n">
        <f aca="false">IF(A372="","",IF(AND(Parameter!$B$21="Ja",ISNUMBER(W372)),W372,IF(BV372="2+3",IF(ISNUMBER(SEARCH("grosser Artikel",BO372)),2,IFERROR(VLOOKUP(BR372,Parameter!$F$35:$G$64,2,0),2)),IF(OR(BV372="Nein",BV372=""),"-",BV372))))</f>
        <v>3</v>
      </c>
      <c r="AA372" s="62"/>
      <c r="AB372" s="63"/>
      <c r="AC372" s="57" t="n">
        <f aca="false">AR372</f>
        <v>1488</v>
      </c>
      <c r="AD372" s="57" t="n">
        <f aca="false">MAX(AR372,H372)</f>
        <v>1488</v>
      </c>
      <c r="AE372" s="64"/>
      <c r="AF372" s="57" t="n">
        <f aca="false">IF(LEFT(Cockpit!$C$5,1)="A",H372,IF(CA372=1,CB372,IF(LEFT(Cockpit!$C$5,1)="B",AJ372,MAX(AJ372,H372))))</f>
        <v>1149</v>
      </c>
      <c r="AG372" s="57" t="n">
        <f aca="false">IF(BT372=1,0,ROUNDUP(AF372/BS372,0))</f>
        <v>3</v>
      </c>
      <c r="AH372" s="59" t="n">
        <f aca="false">IF(CH372&gt;0,CH372*MAX(1,AF372/X372),IF(BT372=1,IF(AF372&lt;=0,0,BW372*MAX(1,IF(H372&gt;0,AF372/H372,1))),IF(R372&gt;0,AG372/R372,0))/MAX(0.1,N(Parameter!$M$21)))</f>
        <v>0.115384615384615</v>
      </c>
      <c r="AI372" s="57" t="n">
        <f aca="false">AF372*G372</f>
        <v>252.78</v>
      </c>
      <c r="AJ372" s="57" t="n">
        <f aca="false">ROUNDUP(MAX(J372/IF(BZ372&gt;0,BZ372,MAX(0.1,N(Cockpit!$C$6))),CC372)/BS372,0)*BS372</f>
        <v>1488</v>
      </c>
      <c r="AK372" s="58" t="n">
        <f aca="false">IF(AH372&gt;0,J372/AH372,-1)</f>
        <v>10816</v>
      </c>
      <c r="AL372" s="58" t="n">
        <f aca="false">IF(AND(OR(BY372="L1",BY372="L23"),AH372&gt;0),SUMIFS($AH$7:$AH$1843,$BY$7:$BY$1843,BY372,$AK$7:$AK$1843,"&gt;"&amp;AK372)+SUMIFS($AH$7:$AH$1843,$BY$7:$BY$1843,BY372,$AK$7:$AK$1843,AK372,$BQ$7:$BQ$1843,"&lt;="&amp;BQ372),"")</f>
        <v>5.15480051349617</v>
      </c>
      <c r="AM372" s="65" t="n">
        <f aca="false">IF(AL372="",0,MAX(0,MIN(1,(IF(BY372="L1",Parameter!$E$5,Parameter!$E$6+Parameter!$E$7)-(AL372-AH372))/AH372)))</f>
        <v>1</v>
      </c>
      <c r="AN372" s="57" t="n">
        <f aca="false">IF(LEFT(Cockpit!$I$5,1)="A",H372,IF(CA372=1,CB372,IF(LEFT(Cockpit!$I$5,1)="B",AR372,MAX(AR372,H372))))</f>
        <v>1488</v>
      </c>
      <c r="AO372" s="57" t="n">
        <f aca="false">IF(BT372=1,0,ROUNDUP(AN372/BS372,0))</f>
        <v>3</v>
      </c>
      <c r="AP372" s="59" t="n">
        <f aca="false">IF(CH372&gt;0,CH372*MAX(1,AN372/X372),IF(BT372=1,IF(AN372&lt;=0,0,BW372*MAX(1,IF(H372&gt;0,AN372/H372,1))),IF(R372&gt;0,AO372/R372,0))/MAX(0.1,N(Parameter!$M$21)))</f>
        <v>0.115384615384615</v>
      </c>
      <c r="AQ372" s="57" t="n">
        <f aca="false">AN372*G372</f>
        <v>327.36</v>
      </c>
      <c r="AR372" s="57" t="n">
        <f aca="false">ROUNDUP(MAX(J372/IF(BZ372&gt;0,BZ372,MAX(0.1,N(Cockpit!$I$6))),CC372)/BS372,0)*BS372</f>
        <v>1488</v>
      </c>
      <c r="AS372" s="58" t="n">
        <f aca="false">IF(AP372&gt;0,J372/AP372,-1)</f>
        <v>10816</v>
      </c>
      <c r="AT372" s="58" t="n">
        <f aca="false">IF(AND(OR(BY372="L1",BY372="L23"),AP372&gt;0),SUMIFS($AP$7:$AP$1843,$BY$7:$BY$1843,BY372,$AS$7:$AS$1843,"&gt;"&amp;AS372)+SUMIFS($AP$7:$AP$1843,$BY$7:$BY$1843,BY372,$AS$7:$AS$1843,AS372,$BQ$7:$BQ$1843,"&lt;="&amp;BQ372),"")</f>
        <v>6.23148711192189</v>
      </c>
      <c r="AU372" s="65" t="n">
        <f aca="false">IF(AT372="",0,MAX(0,MIN(1,(IF(BY372="L1",Parameter!$E$5,Parameter!$E$6+Parameter!$E$7)-(AT372-AP372))/AP372)))</f>
        <v>1</v>
      </c>
      <c r="AV372" s="57" t="n">
        <f aca="false">IF(LEFT(Cockpit!$O$5,1)="A",H372,IF(CA372=1,CB372,IF(LEFT(Cockpit!$O$5,1)="B",AZ372,MAX(AZ372,H372))))</f>
        <v>1488</v>
      </c>
      <c r="AW372" s="57" t="n">
        <f aca="false">IF(BT372=1,0,ROUNDUP(AV372/BS372,0))</f>
        <v>3</v>
      </c>
      <c r="AX372" s="59" t="n">
        <f aca="false">IF(CH372&gt;0,CH372*MAX(1,AV372/X372),IF(BT372=1,IF(AV372&lt;=0,0,BW372*MAX(1,IF(H372&gt;0,AV372/H372,1))),IF(R372&gt;0,AW372/R372,0))/MAX(0.1,N(Parameter!$M$21)))</f>
        <v>0.115384615384615</v>
      </c>
      <c r="AY372" s="57" t="n">
        <f aca="false">AV372*G372</f>
        <v>327.36</v>
      </c>
      <c r="AZ372" s="57" t="n">
        <f aca="false">ROUNDUP(MAX(J372/IF(BZ372&gt;0,BZ372,MAX(0.1,N(Cockpit!$O$6))),CC372)/BS372,0)*BS372</f>
        <v>1488</v>
      </c>
      <c r="BA372" s="58" t="n">
        <f aca="false">IF(AX372&gt;0,J372/AX372,-1)</f>
        <v>10816</v>
      </c>
      <c r="BB372" s="58" t="n">
        <f aca="false">IF(AND(OR(BY372="L1",BY372="L23"),AX372&gt;0),SUMIFS($AX$7:$AX$1843,$BY$7:$BY$1843,BY372,$BA$7:$BA$1843,"&gt;"&amp;BA372)+SUMIFS($AX$7:$AX$1843,$BY$7:$BY$1843,BY372,$BA$7:$BA$1843,BA372,$BQ$7:$BQ$1843,"&lt;="&amp;BQ372),"")</f>
        <v>7.38183676227154</v>
      </c>
      <c r="BC372" s="65" t="n">
        <f aca="false">IF(BB372="",0,MAX(0,MIN(1,(IF(BY372="L1",Parameter!$E$5,Parameter!$E$6+Parameter!$E$7)-(BB372-AX372))/AX372)))</f>
        <v>1</v>
      </c>
      <c r="BD372" s="55" t="str">
        <f aca="false">IF(AH372&lt;=0,"",IF(BY372="Aussen","Aussenlager",IF(BY372="-","Nicht im Lift",IF(AM372&gt;=1,"Lift",IF(AM372&lt;=0,"Aussenlager","teilweise")))))</f>
        <v>Lift</v>
      </c>
      <c r="BE372" s="55" t="str">
        <f aca="false">IF(AP372&lt;=0,"",IF(BY372="Aussen","Aussenlager",IF(BY372="-","Nicht im Lift",IF(AU372&gt;=1,"Lift",IF(AU372&lt;=0,"Aussenlager","teilweise")))))</f>
        <v>Lift</v>
      </c>
      <c r="BF372" s="55" t="str">
        <f aca="false">IF(AX372&lt;=0,"",IF(BY372="Aussen","Aussenlager",IF(BY372="-","Nicht im Lift",IF(BC372&gt;=1,"Lift",IF(BC372&lt;=0,"Aussenlager","teilweise")))))</f>
        <v>Lift</v>
      </c>
      <c r="BG372" s="55" t="str">
        <f aca="false">IF(A372="","",IF(BP372=1,"Neu; ","")&amp;IF(AND(BP372=0,BK372&lt;0),"negativer Bestand (Export "&amp;BK372&amp;"); ","")&amp;IF(J372&lt;=0,"Kein Verbrauch; ","")&amp;IF(CH372&gt;0,"Lift "&amp;W372&amp;" lt. Liftbericht (Fach "&amp;X372&amp;" Stk); ",IF(BU372=1,"Gebinde geschätzt ("&amp;T372&amp;"); ",IF(BT372=1,"Lose – Tablare geschätzt; ","")))&amp;IF(H372&gt;AR372,"Überbestand "&amp;ROUND(H372-AR372,0)&amp;" Stk / CHF "&amp;ROUND((H372-AR372)*G372,0)&amp;"; ","")&amp;IF(AND(CA372=1,CB372&lt;CC372),"MAX &lt; MB+LG; ","")&amp;IF(AND(CG372&gt;0,CF372*10&gt;CG372),"zu hoch für Tablar; ","")&amp;IF(AND(BP372=0,OR(CA372=1,AA372&lt;&gt;"",U372&lt;&gt;"",V372&lt;&gt;"",AB372&lt;&gt;"")),"manuell übersteuert; ","")&amp;IF(AND(BT372=0,R372=0),"Gebinde unbekannt / Stellmass fehlt; ","")&amp;IF(AND(BT372=0,N(V372)&lt;=0,N(Q372)&lt;=0),"Menge pro Gebinde fehlt (Ist = 1 Gebinde); ","")&amp;BO372)</f>
        <v/>
      </c>
      <c r="BH372" s="55"/>
      <c r="BI372" s="55"/>
      <c r="BJ372" s="62"/>
      <c r="BK372" s="57" t="n">
        <v>671</v>
      </c>
      <c r="BL372" s="57" t="n">
        <v>478</v>
      </c>
      <c r="BM372" s="56" t="n">
        <v>147.62</v>
      </c>
      <c r="BN372" s="57" t="n">
        <v>1248</v>
      </c>
      <c r="BO372" s="55"/>
      <c r="BP372" s="60" t="n">
        <v>0</v>
      </c>
      <c r="BQ372" s="60" t="n">
        <v>372</v>
      </c>
      <c r="BR372" s="55" t="str">
        <f aca="false">IF(U372&lt;&gt;"",UPPER(TRIM(U372)),IF(BU372=1,UPPER(VLOOKUP(T372,Parameter!$I$27:$K$29,2,0)),IF(P372="","LOSE",P372)))</f>
        <v>S51</v>
      </c>
      <c r="BS372" s="57" t="n">
        <f aca="false">IF(BR372="LOSE",1,IF(N(V372)&gt;0,V372,IF(BU372=1,MAX(1,N(VLOOKUP(T372,Parameter!$I$27:$K$29,3,0)),H372,N(N372)),IF(N(Q372)&gt;0,Q372,MAX(1,H372)))))</f>
        <v>496</v>
      </c>
      <c r="BT372" s="60" t="n">
        <f aca="false">IF(BR372="LOSE",1,0)</f>
        <v>0</v>
      </c>
      <c r="BU372" s="60" t="n">
        <f aca="false">IF(AND(U372="",OR(P372="",P372="LOSE"),T372&lt;&gt;"",N(S372)&lt;=0,ISNUMBER(MATCH(T372,Parameter!$I$27:$I$29,0))),1,0)</f>
        <v>0</v>
      </c>
      <c r="BV372" s="55" t="str">
        <f aca="false">IF(AND(Parameter!$B$19="Ja",E372&lt;&gt;"",ISNUMBER(MATCH(E372,Parameter!$I$35:$I$52,0))),VLOOKUP(E372,Parameter!$I$35:$J$52,2,0),IFERROR(VLOOKUP(D372,Parameter!$A$35:$C$64,2,0),"Nein"))</f>
        <v>2+3</v>
      </c>
      <c r="BW372" s="59" t="n">
        <f aca="false">IF(BT372=0,0,IF(N(S372)&gt;0,S372,IFERROR(VLOOKUP(D372,Parameter!$A$35:$C$64,3,0)+0,0)))</f>
        <v>0</v>
      </c>
      <c r="BX372" s="55" t="n">
        <f aca="false">IF(AA372&lt;&gt;"",AA372,Z372)</f>
        <v>3</v>
      </c>
      <c r="BY372" s="55" t="str">
        <f aca="false">IF(BX372=1,"L1",IF(OR(BX372=2,BX372=3),"L23",IF(BX372="Aussen","Aussen","-")))</f>
        <v>L23</v>
      </c>
      <c r="BZ372" s="66" t="n">
        <f aca="false">IF(N(AB372)&gt;0,AB372,0)</f>
        <v>0</v>
      </c>
      <c r="CA372" s="60" t="n">
        <f aca="false">IF(ISNUMBER(AE372),1,0)</f>
        <v>0</v>
      </c>
      <c r="CB372" s="57" t="n">
        <f aca="false">N(AE372)</f>
        <v>0</v>
      </c>
      <c r="CC372" s="57" t="n">
        <f aca="false">N(M372)+N(N372)</f>
        <v>1372</v>
      </c>
      <c r="CD372" s="57" t="n">
        <f aca="false">ROUNDUP(H372/BS372,0)</f>
        <v>3</v>
      </c>
      <c r="CE372" s="57" t="n">
        <f aca="false">ROUNDUP(CB372/BS372,0)</f>
        <v>0</v>
      </c>
      <c r="CF372" s="60" t="n">
        <f aca="false">IF(BT372=1,0,IFERROR(VLOOKUP(BR372,'Gebinde-Kategorie'!$A$5:$M$45,5,0)+0,0))</f>
        <v>11</v>
      </c>
      <c r="CG372" s="60" t="n">
        <f aca="false">IFERROR(IF(OR(BX372=1,BX372=2,BX372=3),N(INDEX(Parameter!$I$5:$I$7,BX372)),0),0)</f>
        <v>0</v>
      </c>
      <c r="CH372" s="59" t="n">
        <f aca="false">IF(AND(Parameter!$B$21="Ja",ISNUMBER(W372),N(X372)&gt;0),IFERROR(N(INDEX(Parameter!$L$5:$L$7,W372))*INDEX(Parameter!$E$5:$E$7,W372)*X372/SUMIFS($X$7:$X$1843,$W$7:$W$1843,W372),0),0)</f>
        <v>0</v>
      </c>
    </row>
    <row r="373" customFormat="false" ht="15" hidden="false" customHeight="false" outlineLevel="0" collapsed="false">
      <c r="A373" s="55" t="s">
        <v>891</v>
      </c>
      <c r="B373" s="55" t="s">
        <v>892</v>
      </c>
      <c r="C373" s="55" t="s">
        <v>164</v>
      </c>
      <c r="D373" s="55" t="s">
        <v>184</v>
      </c>
      <c r="E373" s="55" t="s">
        <v>185</v>
      </c>
      <c r="F373" s="55" t="s">
        <v>218</v>
      </c>
      <c r="G373" s="56" t="n">
        <v>16.45</v>
      </c>
      <c r="H373" s="57" t="n">
        <f aca="false">MAX(0,IF(AND(Parameter!$B$21="Ja",ISNUMBER(Y373)),Y373,IF(Parameter!$B$20="Jahresanfang 2025 + Export",BL373+BK373,BK373)))</f>
        <v>15</v>
      </c>
      <c r="I373" s="57" t="n">
        <f aca="false">H373*G373</f>
        <v>246.75</v>
      </c>
      <c r="J373" s="57" t="n">
        <f aca="false">BN373*Parameter!$B$18</f>
        <v>20</v>
      </c>
      <c r="K373" s="58" t="n">
        <v>8.5</v>
      </c>
      <c r="L373" s="59" t="n">
        <v>2.35294117647059</v>
      </c>
      <c r="M373" s="57" t="n">
        <v>0</v>
      </c>
      <c r="N373" s="57" t="n">
        <v>20</v>
      </c>
      <c r="O373" s="60" t="n">
        <v>14</v>
      </c>
      <c r="P373" s="55" t="s">
        <v>328</v>
      </c>
      <c r="Q373" s="57" t="n">
        <v>16</v>
      </c>
      <c r="R373" s="60" t="n">
        <f aca="false">IF(BT373=1,0,IFERROR(VLOOKUP(BR373,'Gebinde-Kategorie'!$A$5:$M$45,13,0)+0,0))</f>
        <v>52</v>
      </c>
      <c r="S373" s="61"/>
      <c r="T373" s="62"/>
      <c r="U373" s="62"/>
      <c r="V373" s="62"/>
      <c r="W373" s="55"/>
      <c r="X373" s="57"/>
      <c r="Y373" s="57"/>
      <c r="Z373" s="55" t="n">
        <f aca="false">IF(A373="","",IF(AND(Parameter!$B$21="Ja",ISNUMBER(W373)),W373,IF(BV373="2+3",IF(ISNUMBER(SEARCH("grosser Artikel",BO373)),2,IFERROR(VLOOKUP(BR373,Parameter!$F$35:$G$64,2,0),2)),IF(OR(BV373="Nein",BV373=""),"-",BV373))))</f>
        <v>3</v>
      </c>
      <c r="AA373" s="62"/>
      <c r="AB373" s="63"/>
      <c r="AC373" s="57" t="n">
        <f aca="false">AR373</f>
        <v>32</v>
      </c>
      <c r="AD373" s="57" t="n">
        <f aca="false">MAX(AR373,H373)</f>
        <v>32</v>
      </c>
      <c r="AE373" s="64"/>
      <c r="AF373" s="57" t="n">
        <f aca="false">IF(LEFT(Cockpit!$C$5,1)="A",H373,IF(CA373=1,CB373,IF(LEFT(Cockpit!$C$5,1)="B",AJ373,MAX(AJ373,H373))))</f>
        <v>15</v>
      </c>
      <c r="AG373" s="57" t="n">
        <f aca="false">IF(BT373=1,0,ROUNDUP(AF373/BS373,0))</f>
        <v>1</v>
      </c>
      <c r="AH373" s="59" t="n">
        <f aca="false">IF(CH373&gt;0,CH373*MAX(1,AF373/X373),IF(BT373=1,IF(AF373&lt;=0,0,BW373*MAX(1,IF(H373&gt;0,AF373/H373,1))),IF(R373&gt;0,AG373/R373,0))/MAX(0.1,N(Parameter!$M$21)))</f>
        <v>0.0192307692307692</v>
      </c>
      <c r="AI373" s="57" t="n">
        <f aca="false">AF373*G373</f>
        <v>246.75</v>
      </c>
      <c r="AJ373" s="57" t="n">
        <f aca="false">ROUNDUP(MAX(J373/IF(BZ373&gt;0,BZ373,MAX(0.1,N(Cockpit!$C$6))),CC373)/BS373,0)*BS373</f>
        <v>32</v>
      </c>
      <c r="AK373" s="58" t="n">
        <f aca="false">IF(AH373&gt;0,J373/AH373,-1)</f>
        <v>1040</v>
      </c>
      <c r="AL373" s="58" t="n">
        <f aca="false">IF(AND(OR(BY373="L1",BY373="L23"),AH373&gt;0),SUMIFS($AH$7:$AH$1843,$BY$7:$BY$1843,BY373,$AK$7:$AK$1843,"&gt;"&amp;AK373)+SUMIFS($AH$7:$AH$1843,$BY$7:$BY$1843,BY373,$AK$7:$AK$1843,AK373,$BQ$7:$BQ$1843,"&lt;="&amp;BQ373),"")</f>
        <v>17.3652072565116</v>
      </c>
      <c r="AM373" s="65" t="n">
        <f aca="false">IF(AL373="",0,MAX(0,MIN(1,(IF(BY373="L1",Parameter!$E$5,Parameter!$E$6+Parameter!$E$7)-(AL373-AH373))/AH373)))</f>
        <v>1</v>
      </c>
      <c r="AN373" s="57" t="n">
        <f aca="false">IF(LEFT(Cockpit!$I$5,1)="A",H373,IF(CA373=1,CB373,IF(LEFT(Cockpit!$I$5,1)="B",AR373,MAX(AR373,H373))))</f>
        <v>32</v>
      </c>
      <c r="AO373" s="57" t="n">
        <f aca="false">IF(BT373=1,0,ROUNDUP(AN373/BS373,0))</f>
        <v>2</v>
      </c>
      <c r="AP373" s="59" t="n">
        <f aca="false">IF(CH373&gt;0,CH373*MAX(1,AN373/X373),IF(BT373=1,IF(AN373&lt;=0,0,BW373*MAX(1,IF(H373&gt;0,AN373/H373,1))),IF(R373&gt;0,AO373/R373,0))/MAX(0.1,N(Parameter!$M$21)))</f>
        <v>0.0384615384615385</v>
      </c>
      <c r="AQ373" s="57" t="n">
        <f aca="false">AN373*G373</f>
        <v>526.4</v>
      </c>
      <c r="AR373" s="57" t="n">
        <f aca="false">ROUNDUP(MAX(J373/IF(BZ373&gt;0,BZ373,MAX(0.1,N(Cockpit!$I$6))),CC373)/BS373,0)*BS373</f>
        <v>32</v>
      </c>
      <c r="AS373" s="58" t="n">
        <f aca="false">IF(AP373&gt;0,J373/AP373,-1)</f>
        <v>520</v>
      </c>
      <c r="AT373" s="58" t="n">
        <f aca="false">IF(AND(OR(BY373="L1",BY373="L23"),AP373&gt;0),SUMIFS($AP$7:$AP$1843,$BY$7:$BY$1843,BY373,$AS$7:$AS$1843,"&gt;"&amp;AS373)+SUMIFS($AP$7:$AP$1843,$BY$7:$BY$1843,BY373,$AS$7:$AS$1843,AS373,$BQ$7:$BQ$1843,"&lt;="&amp;BQ373),"")</f>
        <v>32.617707172055</v>
      </c>
      <c r="AU373" s="65" t="n">
        <f aca="false">IF(AT373="",0,MAX(0,MIN(1,(IF(BY373="L1",Parameter!$E$5,Parameter!$E$6+Parameter!$E$7)-(AT373-AP373))/AP373)))</f>
        <v>1</v>
      </c>
      <c r="AV373" s="57" t="n">
        <f aca="false">IF(LEFT(Cockpit!$O$5,1)="A",H373,IF(CA373=1,CB373,IF(LEFT(Cockpit!$O$5,1)="B",AZ373,MAX(AZ373,H373))))</f>
        <v>32</v>
      </c>
      <c r="AW373" s="57" t="n">
        <f aca="false">IF(BT373=1,0,ROUNDUP(AV373/BS373,0))</f>
        <v>2</v>
      </c>
      <c r="AX373" s="59" t="n">
        <f aca="false">IF(CH373&gt;0,CH373*MAX(1,AV373/X373),IF(BT373=1,IF(AV373&lt;=0,0,BW373*MAX(1,IF(H373&gt;0,AV373/H373,1))),IF(R373&gt;0,AW373/R373,0))/MAX(0.1,N(Parameter!$M$21)))</f>
        <v>0.0384615384615385</v>
      </c>
      <c r="AY373" s="57" t="n">
        <f aca="false">AV373*G373</f>
        <v>526.4</v>
      </c>
      <c r="AZ373" s="57" t="n">
        <f aca="false">ROUNDUP(MAX(J373/IF(BZ373&gt;0,BZ373,MAX(0.1,N(Cockpit!$O$6))),CC373)/BS373,0)*BS373</f>
        <v>32</v>
      </c>
      <c r="BA373" s="58" t="n">
        <f aca="false">IF(AX373&gt;0,J373/AX373,-1)</f>
        <v>520</v>
      </c>
      <c r="BB373" s="58" t="n">
        <f aca="false">IF(AND(OR(BY373="L1",BY373="L23"),AX373&gt;0),SUMIFS($AX$7:$AX$1843,$BY$7:$BY$1843,BY373,$BA$7:$BA$1843,"&gt;"&amp;BA373)+SUMIFS($AX$7:$AX$1843,$BY$7:$BY$1843,BY373,$BA$7:$BA$1843,BA373,$BQ$7:$BQ$1843,"&lt;="&amp;BQ373),"")</f>
        <v>30.1847234890713</v>
      </c>
      <c r="BC373" s="65" t="n">
        <f aca="false">IF(BB373="",0,MAX(0,MIN(1,(IF(BY373="L1",Parameter!$E$5,Parameter!$E$6+Parameter!$E$7)-(BB373-AX373))/AX373)))</f>
        <v>1</v>
      </c>
      <c r="BD373" s="55" t="str">
        <f aca="false">IF(AH373&lt;=0,"",IF(BY373="Aussen","Aussenlager",IF(BY373="-","Nicht im Lift",IF(AM373&gt;=1,"Lift",IF(AM373&lt;=0,"Aussenlager","teilweise")))))</f>
        <v>Lift</v>
      </c>
      <c r="BE373" s="55" t="str">
        <f aca="false">IF(AP373&lt;=0,"",IF(BY373="Aussen","Aussenlager",IF(BY373="-","Nicht im Lift",IF(AU373&gt;=1,"Lift",IF(AU373&lt;=0,"Aussenlager","teilweise")))))</f>
        <v>Lift</v>
      </c>
      <c r="BF373" s="55" t="str">
        <f aca="false">IF(AX373&lt;=0,"",IF(BY373="Aussen","Aussenlager",IF(BY373="-","Nicht im Lift",IF(BC373&gt;=1,"Lift",IF(BC373&lt;=0,"Aussenlager","teilweise")))))</f>
        <v>Lift</v>
      </c>
      <c r="BG373" s="55" t="str">
        <f aca="false">IF(A373="","",IF(BP373=1,"Neu; ","")&amp;IF(AND(BP373=0,BK373&lt;0),"negativer Bestand (Export "&amp;BK373&amp;"); ","")&amp;IF(J373&lt;=0,"Kein Verbrauch; ","")&amp;IF(CH373&gt;0,"Lift "&amp;W373&amp;" lt. Liftbericht (Fach "&amp;X373&amp;" Stk); ",IF(BU373=1,"Gebinde geschätzt ("&amp;T373&amp;"); ",IF(BT373=1,"Lose – Tablare geschätzt; ","")))&amp;IF(H373&gt;AR373,"Überbestand "&amp;ROUND(H373-AR373,0)&amp;" Stk / CHF "&amp;ROUND((H373-AR373)*G373,0)&amp;"; ","")&amp;IF(AND(CA373=1,CB373&lt;CC373),"MAX &lt; MB+LG; ","")&amp;IF(AND(CG373&gt;0,CF373*10&gt;CG373),"zu hoch für Tablar; ","")&amp;IF(AND(BP373=0,OR(CA373=1,AA373&lt;&gt;"",U373&lt;&gt;"",V373&lt;&gt;"",AB373&lt;&gt;"")),"manuell übersteuert; ","")&amp;IF(AND(BT373=0,R373=0),"Gebinde unbekannt / Stellmass fehlt; ","")&amp;IF(AND(BT373=0,N(V373)&lt;=0,N(Q373)&lt;=0),"Menge pro Gebinde fehlt (Ist = 1 Gebinde); ","")&amp;BO373)</f>
        <v/>
      </c>
      <c r="BH373" s="55"/>
      <c r="BI373" s="55"/>
      <c r="BJ373" s="62"/>
      <c r="BK373" s="57" t="n">
        <v>9</v>
      </c>
      <c r="BL373" s="57" t="n">
        <v>6</v>
      </c>
      <c r="BM373" s="56" t="n">
        <v>146.07</v>
      </c>
      <c r="BN373" s="57" t="n">
        <v>20</v>
      </c>
      <c r="BO373" s="55"/>
      <c r="BP373" s="60" t="n">
        <v>0</v>
      </c>
      <c r="BQ373" s="60" t="n">
        <v>373</v>
      </c>
      <c r="BR373" s="55" t="str">
        <f aca="false">IF(U373&lt;&gt;"",UPPER(TRIM(U373)),IF(BU373=1,UPPER(VLOOKUP(T373,Parameter!$I$27:$K$29,2,0)),IF(P373="","LOSE",P373)))</f>
        <v>S41</v>
      </c>
      <c r="BS373" s="57" t="n">
        <f aca="false">IF(BR373="LOSE",1,IF(N(V373)&gt;0,V373,IF(BU373=1,MAX(1,N(VLOOKUP(T373,Parameter!$I$27:$K$29,3,0)),H373,N(N373)),IF(N(Q373)&gt;0,Q373,MAX(1,H373)))))</f>
        <v>16</v>
      </c>
      <c r="BT373" s="60" t="n">
        <f aca="false">IF(BR373="LOSE",1,0)</f>
        <v>0</v>
      </c>
      <c r="BU373" s="60" t="n">
        <f aca="false">IF(AND(U373="",OR(P373="",P373="LOSE"),T373&lt;&gt;"",N(S373)&lt;=0,ISNUMBER(MATCH(T373,Parameter!$I$27:$I$29,0))),1,0)</f>
        <v>0</v>
      </c>
      <c r="BV373" s="55" t="str">
        <f aca="false">IF(AND(Parameter!$B$19="Ja",E373&lt;&gt;"",ISNUMBER(MATCH(E373,Parameter!$I$35:$I$52,0))),VLOOKUP(E373,Parameter!$I$35:$J$52,2,0),IFERROR(VLOOKUP(D373,Parameter!$A$35:$C$64,2,0),"Nein"))</f>
        <v>2+3</v>
      </c>
      <c r="BW373" s="59" t="n">
        <f aca="false">IF(BT373=0,0,IF(N(S373)&gt;0,S373,IFERROR(VLOOKUP(D373,Parameter!$A$35:$C$64,3,0)+0,0)))</f>
        <v>0</v>
      </c>
      <c r="BX373" s="55" t="n">
        <f aca="false">IF(AA373&lt;&gt;"",AA373,Z373)</f>
        <v>3</v>
      </c>
      <c r="BY373" s="55" t="str">
        <f aca="false">IF(BX373=1,"L1",IF(OR(BX373=2,BX373=3),"L23",IF(BX373="Aussen","Aussen","-")))</f>
        <v>L23</v>
      </c>
      <c r="BZ373" s="66" t="n">
        <f aca="false">IF(N(AB373)&gt;0,AB373,0)</f>
        <v>0</v>
      </c>
      <c r="CA373" s="60" t="n">
        <f aca="false">IF(ISNUMBER(AE373),1,0)</f>
        <v>0</v>
      </c>
      <c r="CB373" s="57" t="n">
        <f aca="false">N(AE373)</f>
        <v>0</v>
      </c>
      <c r="CC373" s="57" t="n">
        <f aca="false">N(M373)+N(N373)</f>
        <v>20</v>
      </c>
      <c r="CD373" s="57" t="n">
        <f aca="false">ROUNDUP(H373/BS373,0)</f>
        <v>1</v>
      </c>
      <c r="CE373" s="57" t="n">
        <f aca="false">ROUNDUP(CB373/BS373,0)</f>
        <v>0</v>
      </c>
      <c r="CF373" s="60" t="n">
        <f aca="false">IF(BT373=1,0,IFERROR(VLOOKUP(BR373,'Gebinde-Kategorie'!$A$5:$M$45,5,0)+0,0))</f>
        <v>11</v>
      </c>
      <c r="CG373" s="60" t="n">
        <f aca="false">IFERROR(IF(OR(BX373=1,BX373=2,BX373=3),N(INDEX(Parameter!$I$5:$I$7,BX373)),0),0)</f>
        <v>0</v>
      </c>
      <c r="CH373" s="59" t="n">
        <f aca="false">IF(AND(Parameter!$B$21="Ja",ISNUMBER(W373),N(X373)&gt;0),IFERROR(N(INDEX(Parameter!$L$5:$L$7,W373))*INDEX(Parameter!$E$5:$E$7,W373)*X373/SUMIFS($X$7:$X$1843,$W$7:$W$1843,W373),0),0)</f>
        <v>0</v>
      </c>
    </row>
    <row r="374" customFormat="false" ht="15" hidden="false" customHeight="false" outlineLevel="0" collapsed="false">
      <c r="A374" s="55" t="s">
        <v>893</v>
      </c>
      <c r="B374" s="55" t="s">
        <v>894</v>
      </c>
      <c r="C374" s="55" t="s">
        <v>164</v>
      </c>
      <c r="D374" s="55" t="s">
        <v>184</v>
      </c>
      <c r="E374" s="55" t="s">
        <v>185</v>
      </c>
      <c r="F374" s="55" t="s">
        <v>218</v>
      </c>
      <c r="G374" s="56" t="n">
        <v>1.38</v>
      </c>
      <c r="H374" s="57" t="n">
        <f aca="false">MAX(0,IF(AND(Parameter!$B$21="Ja",ISNUMBER(Y374)),Y374,IF(Parameter!$B$20="Jahresanfang 2025 + Export",BL374+BK374,BK374)))</f>
        <v>366</v>
      </c>
      <c r="I374" s="57" t="n">
        <f aca="false">H374*G374</f>
        <v>505.08</v>
      </c>
      <c r="J374" s="57" t="n">
        <f aca="false">BN374*Parameter!$B$18</f>
        <v>2</v>
      </c>
      <c r="K374" s="58" t="n">
        <v>296.5</v>
      </c>
      <c r="L374" s="59" t="n">
        <v>0.00674536256323777</v>
      </c>
      <c r="M374" s="57" t="n">
        <v>0</v>
      </c>
      <c r="N374" s="57" t="n">
        <v>1</v>
      </c>
      <c r="O374" s="60" t="n">
        <v>21</v>
      </c>
      <c r="P374" s="55" t="s">
        <v>421</v>
      </c>
      <c r="Q374" s="57" t="n">
        <v>169</v>
      </c>
      <c r="R374" s="60" t="n">
        <f aca="false">IF(BT374=1,0,IFERROR(VLOOKUP(BR374,'Gebinde-Kategorie'!$A$5:$M$45,13,0)+0,0))</f>
        <v>132</v>
      </c>
      <c r="S374" s="61"/>
      <c r="T374" s="62"/>
      <c r="U374" s="62"/>
      <c r="V374" s="62"/>
      <c r="W374" s="55"/>
      <c r="X374" s="57"/>
      <c r="Y374" s="57"/>
      <c r="Z374" s="55" t="n">
        <f aca="false">IF(A374="","",IF(AND(Parameter!$B$21="Ja",ISNUMBER(W374)),W374,IF(BV374="2+3",IF(ISNUMBER(SEARCH("grosser Artikel",BO374)),2,IFERROR(VLOOKUP(BR374,Parameter!$F$35:$G$64,2,0),2)),IF(OR(BV374="Nein",BV374=""),"-",BV374))))</f>
        <v>3</v>
      </c>
      <c r="AA374" s="62"/>
      <c r="AB374" s="63"/>
      <c r="AC374" s="57" t="n">
        <f aca="false">AR374</f>
        <v>169</v>
      </c>
      <c r="AD374" s="57" t="n">
        <f aca="false">MAX(AR374,H374)</f>
        <v>366</v>
      </c>
      <c r="AE374" s="64"/>
      <c r="AF374" s="57" t="n">
        <f aca="false">IF(LEFT(Cockpit!$C$5,1)="A",H374,IF(CA374=1,CB374,IF(LEFT(Cockpit!$C$5,1)="B",AJ374,MAX(AJ374,H374))))</f>
        <v>366</v>
      </c>
      <c r="AG374" s="57" t="n">
        <f aca="false">IF(BT374=1,0,ROUNDUP(AF374/BS374,0))</f>
        <v>3</v>
      </c>
      <c r="AH374" s="59" t="n">
        <f aca="false">IF(CH374&gt;0,CH374*MAX(1,AF374/X374),IF(BT374=1,IF(AF374&lt;=0,0,BW374*MAX(1,IF(H374&gt;0,AF374/H374,1))),IF(R374&gt;0,AG374/R374,0))/MAX(0.1,N(Parameter!$M$21)))</f>
        <v>0.0227272727272727</v>
      </c>
      <c r="AI374" s="57" t="n">
        <f aca="false">AF374*G374</f>
        <v>505.08</v>
      </c>
      <c r="AJ374" s="57" t="n">
        <f aca="false">ROUNDUP(MAX(J374/IF(BZ374&gt;0,BZ374,MAX(0.1,N(Cockpit!$C$6))),CC374)/BS374,0)*BS374</f>
        <v>169</v>
      </c>
      <c r="AK374" s="58" t="n">
        <f aca="false">IF(AH374&gt;0,J374/AH374,-1)</f>
        <v>88</v>
      </c>
      <c r="AL374" s="58" t="n">
        <f aca="false">IF(AND(OR(BY374="L1",BY374="L23"),AH374&gt;0),SUMIFS($AH$7:$AH$1843,$BY$7:$BY$1843,BY374,$AK$7:$AK$1843,"&gt;"&amp;AK374)+SUMIFS($AH$7:$AH$1843,$BY$7:$BY$1843,BY374,$AK$7:$AK$1843,AK374,$BQ$7:$BQ$1843,"&lt;="&amp;BQ374),"")</f>
        <v>40.4809550353029</v>
      </c>
      <c r="AM374" s="65" t="n">
        <f aca="false">IF(AL374="",0,MAX(0,MIN(1,(IF(BY374="L1",Parameter!$E$5,Parameter!$E$6+Parameter!$E$7)-(AL374-AH374))/AH374)))</f>
        <v>1</v>
      </c>
      <c r="AN374" s="57" t="n">
        <f aca="false">IF(LEFT(Cockpit!$I$5,1)="A",H374,IF(CA374=1,CB374,IF(LEFT(Cockpit!$I$5,1)="B",AR374,MAX(AR374,H374))))</f>
        <v>366</v>
      </c>
      <c r="AO374" s="57" t="n">
        <f aca="false">IF(BT374=1,0,ROUNDUP(AN374/BS374,0))</f>
        <v>3</v>
      </c>
      <c r="AP374" s="59" t="n">
        <f aca="false">IF(CH374&gt;0,CH374*MAX(1,AN374/X374),IF(BT374=1,IF(AN374&lt;=0,0,BW374*MAX(1,IF(H374&gt;0,AN374/H374,1))),IF(R374&gt;0,AO374/R374,0))/MAX(0.1,N(Parameter!$M$21)))</f>
        <v>0.0227272727272727</v>
      </c>
      <c r="AQ374" s="57" t="n">
        <f aca="false">AN374*G374</f>
        <v>505.08</v>
      </c>
      <c r="AR374" s="57" t="n">
        <f aca="false">ROUNDUP(MAX(J374/IF(BZ374&gt;0,BZ374,MAX(0.1,N(Cockpit!$I$6))),CC374)/BS374,0)*BS374</f>
        <v>169</v>
      </c>
      <c r="AS374" s="58" t="n">
        <f aca="false">IF(AP374&gt;0,J374/AP374,-1)</f>
        <v>88</v>
      </c>
      <c r="AT374" s="58" t="n">
        <f aca="false">IF(AND(OR(BY374="L1",BY374="L23"),AP374&gt;0),SUMIFS($AP$7:$AP$1843,$BY$7:$BY$1843,BY374,$AS$7:$AS$1843,"&gt;"&amp;AS374)+SUMIFS($AP$7:$AP$1843,$BY$7:$BY$1843,BY374,$AS$7:$AS$1843,AS374,$BQ$7:$BQ$1843,"&lt;="&amp;BQ374),"")</f>
        <v>62.0402773554947</v>
      </c>
      <c r="AU374" s="65" t="n">
        <f aca="false">IF(AT374="",0,MAX(0,MIN(1,(IF(BY374="L1",Parameter!$E$5,Parameter!$E$6+Parameter!$E$7)-(AT374-AP374))/AP374)))</f>
        <v>1</v>
      </c>
      <c r="AV374" s="57" t="n">
        <f aca="false">IF(LEFT(Cockpit!$O$5,1)="A",H374,IF(CA374=1,CB374,IF(LEFT(Cockpit!$O$5,1)="B",AZ374,MAX(AZ374,H374))))</f>
        <v>366</v>
      </c>
      <c r="AW374" s="57" t="n">
        <f aca="false">IF(BT374=1,0,ROUNDUP(AV374/BS374,0))</f>
        <v>3</v>
      </c>
      <c r="AX374" s="59" t="n">
        <f aca="false">IF(CH374&gt;0,CH374*MAX(1,AV374/X374),IF(BT374=1,IF(AV374&lt;=0,0,BW374*MAX(1,IF(H374&gt;0,AV374/H374,1))),IF(R374&gt;0,AW374/R374,0))/MAX(0.1,N(Parameter!$M$21)))</f>
        <v>0.0227272727272727</v>
      </c>
      <c r="AY374" s="57" t="n">
        <f aca="false">AV374*G374</f>
        <v>505.08</v>
      </c>
      <c r="AZ374" s="57" t="n">
        <f aca="false">ROUNDUP(MAX(J374/IF(BZ374&gt;0,BZ374,MAX(0.1,N(Cockpit!$O$6))),CC374)/BS374,0)*BS374</f>
        <v>169</v>
      </c>
      <c r="BA374" s="58" t="n">
        <f aca="false">IF(AX374&gt;0,J374/AX374,-1)</f>
        <v>88</v>
      </c>
      <c r="BB374" s="58" t="n">
        <f aca="false">IF(AND(OR(BY374="L1",BY374="L23"),AX374&gt;0),SUMIFS($AX$7:$AX$1843,$BY$7:$BY$1843,BY374,$BA$7:$BA$1843,"&gt;"&amp;BA374)+SUMIFS($AX$7:$AX$1843,$BY$7:$BY$1843,BY374,$BA$7:$BA$1843,BA374,$BQ$7:$BQ$1843,"&lt;="&amp;BQ374),"")</f>
        <v>57.1201141853316</v>
      </c>
      <c r="BC374" s="65" t="n">
        <f aca="false">IF(BB374="",0,MAX(0,MIN(1,(IF(BY374="L1",Parameter!$E$5,Parameter!$E$6+Parameter!$E$7)-(BB374-AX374))/AX374)))</f>
        <v>1</v>
      </c>
      <c r="BD374" s="55" t="str">
        <f aca="false">IF(AH374&lt;=0,"",IF(BY374="Aussen","Aussenlager",IF(BY374="-","Nicht im Lift",IF(AM374&gt;=1,"Lift",IF(AM374&lt;=0,"Aussenlager","teilweise")))))</f>
        <v>Lift</v>
      </c>
      <c r="BE374" s="55" t="str">
        <f aca="false">IF(AP374&lt;=0,"",IF(BY374="Aussen","Aussenlager",IF(BY374="-","Nicht im Lift",IF(AU374&gt;=1,"Lift",IF(AU374&lt;=0,"Aussenlager","teilweise")))))</f>
        <v>Lift</v>
      </c>
      <c r="BF374" s="55" t="str">
        <f aca="false">IF(AX374&lt;=0,"",IF(BY374="Aussen","Aussenlager",IF(BY374="-","Nicht im Lift",IF(BC374&gt;=1,"Lift",IF(BC374&lt;=0,"Aussenlager","teilweise")))))</f>
        <v>Lift</v>
      </c>
      <c r="BG374" s="55" t="str">
        <f aca="false">IF(A374="","",IF(BP374=1,"Neu; ","")&amp;IF(AND(BP374=0,BK374&lt;0),"negativer Bestand (Export "&amp;BK374&amp;"); ","")&amp;IF(J374&lt;=0,"Kein Verbrauch; ","")&amp;IF(CH374&gt;0,"Lift "&amp;W374&amp;" lt. Liftbericht (Fach "&amp;X374&amp;" Stk); ",IF(BU374=1,"Gebinde geschätzt ("&amp;T374&amp;"); ",IF(BT374=1,"Lose – Tablare geschätzt; ","")))&amp;IF(H374&gt;AR374,"Überbestand "&amp;ROUND(H374-AR374,0)&amp;" Stk / CHF "&amp;ROUND((H374-AR374)*G374,0)&amp;"; ","")&amp;IF(AND(CA374=1,CB374&lt;CC374),"MAX &lt; MB+LG; ","")&amp;IF(AND(CG374&gt;0,CF374*10&gt;CG374),"zu hoch für Tablar; ","")&amp;IF(AND(BP374=0,OR(CA374=1,AA374&lt;&gt;"",U374&lt;&gt;"",V374&lt;&gt;"",AB374&lt;&gt;"")),"manuell übersteuert; ","")&amp;IF(AND(BT374=0,R374=0),"Gebinde unbekannt / Stellmass fehlt; ","")&amp;IF(AND(BT374=0,N(V374)&lt;=0,N(Q374)&lt;=0),"Menge pro Gebinde fehlt (Ist = 1 Gebinde); ","")&amp;BO374)</f>
        <v>Überbestand 197 Stk / CHF 272; Handlager</v>
      </c>
      <c r="BH374" s="55"/>
      <c r="BI374" s="55"/>
      <c r="BJ374" s="62"/>
      <c r="BK374" s="57" t="n">
        <v>102</v>
      </c>
      <c r="BL374" s="57" t="n">
        <v>264</v>
      </c>
      <c r="BM374" s="56" t="n">
        <v>140.76</v>
      </c>
      <c r="BN374" s="57" t="n">
        <v>2</v>
      </c>
      <c r="BO374" s="55" t="s">
        <v>895</v>
      </c>
      <c r="BP374" s="60" t="n">
        <v>0</v>
      </c>
      <c r="BQ374" s="60" t="n">
        <v>374</v>
      </c>
      <c r="BR374" s="55" t="str">
        <f aca="false">IF(U374&lt;&gt;"",UPPER(TRIM(U374)),IF(BU374=1,UPPER(VLOOKUP(T374,Parameter!$I$27:$K$29,2,0)),IF(P374="","LOSE",P374)))</f>
        <v>S32</v>
      </c>
      <c r="BS374" s="57" t="n">
        <f aca="false">IF(BR374="LOSE",1,IF(N(V374)&gt;0,V374,IF(BU374=1,MAX(1,N(VLOOKUP(T374,Parameter!$I$27:$K$29,3,0)),H374,N(N374)),IF(N(Q374)&gt;0,Q374,MAX(1,H374)))))</f>
        <v>169</v>
      </c>
      <c r="BT374" s="60" t="n">
        <f aca="false">IF(BR374="LOSE",1,0)</f>
        <v>0</v>
      </c>
      <c r="BU374" s="60" t="n">
        <f aca="false">IF(AND(U374="",OR(P374="",P374="LOSE"),T374&lt;&gt;"",N(S374)&lt;=0,ISNUMBER(MATCH(T374,Parameter!$I$27:$I$29,0))),1,0)</f>
        <v>0</v>
      </c>
      <c r="BV374" s="55" t="str">
        <f aca="false">IF(AND(Parameter!$B$19="Ja",E374&lt;&gt;"",ISNUMBER(MATCH(E374,Parameter!$I$35:$I$52,0))),VLOOKUP(E374,Parameter!$I$35:$J$52,2,0),IFERROR(VLOOKUP(D374,Parameter!$A$35:$C$64,2,0),"Nein"))</f>
        <v>2+3</v>
      </c>
      <c r="BW374" s="59" t="n">
        <f aca="false">IF(BT374=0,0,IF(N(S374)&gt;0,S374,IFERROR(VLOOKUP(D374,Parameter!$A$35:$C$64,3,0)+0,0)))</f>
        <v>0</v>
      </c>
      <c r="BX374" s="55" t="n">
        <f aca="false">IF(AA374&lt;&gt;"",AA374,Z374)</f>
        <v>3</v>
      </c>
      <c r="BY374" s="55" t="str">
        <f aca="false">IF(BX374=1,"L1",IF(OR(BX374=2,BX374=3),"L23",IF(BX374="Aussen","Aussen","-")))</f>
        <v>L23</v>
      </c>
      <c r="BZ374" s="66" t="n">
        <f aca="false">IF(N(AB374)&gt;0,AB374,0)</f>
        <v>0</v>
      </c>
      <c r="CA374" s="60" t="n">
        <f aca="false">IF(ISNUMBER(AE374),1,0)</f>
        <v>0</v>
      </c>
      <c r="CB374" s="57" t="n">
        <f aca="false">N(AE374)</f>
        <v>0</v>
      </c>
      <c r="CC374" s="57" t="n">
        <f aca="false">N(M374)+N(N374)</f>
        <v>1</v>
      </c>
      <c r="CD374" s="57" t="n">
        <f aca="false">ROUNDUP(H374/BS374,0)</f>
        <v>3</v>
      </c>
      <c r="CE374" s="57" t="n">
        <f aca="false">ROUNDUP(CB374/BS374,0)</f>
        <v>0</v>
      </c>
      <c r="CF374" s="60" t="n">
        <f aca="false">IF(BT374=1,0,IFERROR(VLOOKUP(BR374,'Gebinde-Kategorie'!$A$5:$M$45,5,0)+0,0))</f>
        <v>8</v>
      </c>
      <c r="CG374" s="60" t="n">
        <f aca="false">IFERROR(IF(OR(BX374=1,BX374=2,BX374=3),N(INDEX(Parameter!$I$5:$I$7,BX374)),0),0)</f>
        <v>0</v>
      </c>
      <c r="CH374" s="59" t="n">
        <f aca="false">IF(AND(Parameter!$B$21="Ja",ISNUMBER(W374),N(X374)&gt;0),IFERROR(N(INDEX(Parameter!$L$5:$L$7,W374))*INDEX(Parameter!$E$5:$E$7,W374)*X374/SUMIFS($X$7:$X$1843,$W$7:$W$1843,W374),0),0)</f>
        <v>0</v>
      </c>
    </row>
    <row r="375" customFormat="false" ht="15" hidden="false" customHeight="false" outlineLevel="0" collapsed="false">
      <c r="A375" s="55" t="s">
        <v>896</v>
      </c>
      <c r="B375" s="55" t="s">
        <v>403</v>
      </c>
      <c r="C375" s="55" t="s">
        <v>164</v>
      </c>
      <c r="D375" s="55" t="s">
        <v>184</v>
      </c>
      <c r="E375" s="55" t="s">
        <v>185</v>
      </c>
      <c r="F375" s="55" t="s">
        <v>218</v>
      </c>
      <c r="G375" s="56" t="n">
        <v>0.6</v>
      </c>
      <c r="H375" s="57" t="n">
        <f aca="false">MAX(0,IF(AND(Parameter!$B$21="Ja",ISNUMBER(Y375)),Y375,IF(Parameter!$B$20="Jahresanfang 2025 + Export",BL375+BK375,BK375)))</f>
        <v>450</v>
      </c>
      <c r="I375" s="57" t="n">
        <f aca="false">H375*G375</f>
        <v>270</v>
      </c>
      <c r="J375" s="57" t="n">
        <f aca="false">BN375*Parameter!$B$18</f>
        <v>561</v>
      </c>
      <c r="K375" s="58" t="n">
        <v>360</v>
      </c>
      <c r="L375" s="59" t="n">
        <v>1.55833333333333</v>
      </c>
      <c r="M375" s="57" t="n">
        <v>33</v>
      </c>
      <c r="N375" s="57" t="n">
        <v>600</v>
      </c>
      <c r="O375" s="60" t="n">
        <v>21</v>
      </c>
      <c r="P375" s="55" t="s">
        <v>293</v>
      </c>
      <c r="Q375" s="57" t="n">
        <v>449</v>
      </c>
      <c r="R375" s="60" t="n">
        <f aca="false">IF(BT375=1,0,IFERROR(VLOOKUP(BR375,'Gebinde-Kategorie'!$A$5:$M$45,13,0)+0,0))</f>
        <v>12</v>
      </c>
      <c r="S375" s="61"/>
      <c r="T375" s="62"/>
      <c r="U375" s="62"/>
      <c r="V375" s="62"/>
      <c r="W375" s="55"/>
      <c r="X375" s="57"/>
      <c r="Y375" s="57"/>
      <c r="Z375" s="55" t="n">
        <f aca="false">IF(A375="","",IF(AND(Parameter!$B$21="Ja",ISNUMBER(W375)),W375,IF(BV375="2+3",IF(ISNUMBER(SEARCH("grosser Artikel",BO375)),2,IFERROR(VLOOKUP(BR375,Parameter!$F$35:$G$64,2,0),2)),IF(OR(BV375="Nein",BV375=""),"-",BV375))))</f>
        <v>2</v>
      </c>
      <c r="AA375" s="62"/>
      <c r="AB375" s="63"/>
      <c r="AC375" s="57" t="n">
        <f aca="false">AR375</f>
        <v>898</v>
      </c>
      <c r="AD375" s="57" t="n">
        <f aca="false">MAX(AR375,H375)</f>
        <v>898</v>
      </c>
      <c r="AE375" s="64"/>
      <c r="AF375" s="57" t="n">
        <f aca="false">IF(LEFT(Cockpit!$C$5,1)="A",H375,IF(CA375=1,CB375,IF(LEFT(Cockpit!$C$5,1)="B",AJ375,MAX(AJ375,H375))))</f>
        <v>450</v>
      </c>
      <c r="AG375" s="57" t="n">
        <f aca="false">IF(BT375=1,0,ROUNDUP(AF375/BS375,0))</f>
        <v>2</v>
      </c>
      <c r="AH375" s="59" t="n">
        <f aca="false">IF(CH375&gt;0,CH375*MAX(1,AF375/X375),IF(BT375=1,IF(AF375&lt;=0,0,BW375*MAX(1,IF(H375&gt;0,AF375/H375,1))),IF(R375&gt;0,AG375/R375,0))/MAX(0.1,N(Parameter!$M$21)))</f>
        <v>0.166666666666667</v>
      </c>
      <c r="AI375" s="57" t="n">
        <f aca="false">AF375*G375</f>
        <v>270</v>
      </c>
      <c r="AJ375" s="57" t="n">
        <f aca="false">ROUNDUP(MAX(J375/IF(BZ375&gt;0,BZ375,MAX(0.1,N(Cockpit!$C$6))),CC375)/BS375,0)*BS375</f>
        <v>898</v>
      </c>
      <c r="AK375" s="58" t="n">
        <f aca="false">IF(AH375&gt;0,J375/AH375,-1)</f>
        <v>3366</v>
      </c>
      <c r="AL375" s="58" t="n">
        <f aca="false">IF(AND(OR(BY375="L1",BY375="L23"),AH375&gt;0),SUMIFS($AH$7:$AH$1843,$BY$7:$BY$1843,BY375,$AK$7:$AK$1843,"&gt;"&amp;AK375)+SUMIFS($AH$7:$AH$1843,$BY$7:$BY$1843,BY375,$AK$7:$AK$1843,AK375,$BQ$7:$BQ$1843,"&lt;="&amp;BQ375),"")</f>
        <v>10.1524272828621</v>
      </c>
      <c r="AM375" s="65" t="n">
        <f aca="false">IF(AL375="",0,MAX(0,MIN(1,(IF(BY375="L1",Parameter!$E$5,Parameter!$E$6+Parameter!$E$7)-(AL375-AH375))/AH375)))</f>
        <v>1</v>
      </c>
      <c r="AN375" s="57" t="n">
        <f aca="false">IF(LEFT(Cockpit!$I$5,1)="A",H375,IF(CA375=1,CB375,IF(LEFT(Cockpit!$I$5,1)="B",AR375,MAX(AR375,H375))))</f>
        <v>898</v>
      </c>
      <c r="AO375" s="57" t="n">
        <f aca="false">IF(BT375=1,0,ROUNDUP(AN375/BS375,0))</f>
        <v>2</v>
      </c>
      <c r="AP375" s="59" t="n">
        <f aca="false">IF(CH375&gt;0,CH375*MAX(1,AN375/X375),IF(BT375=1,IF(AN375&lt;=0,0,BW375*MAX(1,IF(H375&gt;0,AN375/H375,1))),IF(R375&gt;0,AO375/R375,0))/MAX(0.1,N(Parameter!$M$21)))</f>
        <v>0.166666666666667</v>
      </c>
      <c r="AQ375" s="57" t="n">
        <f aca="false">AN375*G375</f>
        <v>538.8</v>
      </c>
      <c r="AR375" s="57" t="n">
        <f aca="false">ROUNDUP(MAX(J375/IF(BZ375&gt;0,BZ375,MAX(0.1,N(Cockpit!$I$6))),CC375)/BS375,0)*BS375</f>
        <v>898</v>
      </c>
      <c r="AS375" s="58" t="n">
        <f aca="false">IF(AP375&gt;0,J375/AP375,-1)</f>
        <v>3366</v>
      </c>
      <c r="AT375" s="58" t="n">
        <f aca="false">IF(AND(OR(BY375="L1",BY375="L23"),AP375&gt;0),SUMIFS($AP$7:$AP$1843,$BY$7:$BY$1843,BY375,$AS$7:$AS$1843,"&gt;"&amp;AS375)+SUMIFS($AP$7:$AP$1843,$BY$7:$BY$1843,BY375,$AS$7:$AS$1843,AS375,$BQ$7:$BQ$1843,"&lt;="&amp;BQ375),"")</f>
        <v>15.0957484544441</v>
      </c>
      <c r="AU375" s="65" t="n">
        <f aca="false">IF(AT375="",0,MAX(0,MIN(1,(IF(BY375="L1",Parameter!$E$5,Parameter!$E$6+Parameter!$E$7)-(AT375-AP375))/AP375)))</f>
        <v>1</v>
      </c>
      <c r="AV375" s="57" t="n">
        <f aca="false">IF(LEFT(Cockpit!$O$5,1)="A",H375,IF(CA375=1,CB375,IF(LEFT(Cockpit!$O$5,1)="B",AZ375,MAX(AZ375,H375))))</f>
        <v>898</v>
      </c>
      <c r="AW375" s="57" t="n">
        <f aca="false">IF(BT375=1,0,ROUNDUP(AV375/BS375,0))</f>
        <v>2</v>
      </c>
      <c r="AX375" s="59" t="n">
        <f aca="false">IF(CH375&gt;0,CH375*MAX(1,AV375/X375),IF(BT375=1,IF(AV375&lt;=0,0,BW375*MAX(1,IF(H375&gt;0,AV375/H375,1))),IF(R375&gt;0,AW375/R375,0))/MAX(0.1,N(Parameter!$M$21)))</f>
        <v>0.166666666666667</v>
      </c>
      <c r="AY375" s="57" t="n">
        <f aca="false">AV375*G375</f>
        <v>538.8</v>
      </c>
      <c r="AZ375" s="57" t="n">
        <f aca="false">ROUNDUP(MAX(J375/IF(BZ375&gt;0,BZ375,MAX(0.1,N(Cockpit!$O$6))),CC375)/BS375,0)*BS375</f>
        <v>898</v>
      </c>
      <c r="BA375" s="58" t="n">
        <f aca="false">IF(AX375&gt;0,J375/AX375,-1)</f>
        <v>3366</v>
      </c>
      <c r="BB375" s="58" t="n">
        <f aca="false">IF(AND(OR(BY375="L1",BY375="L23"),AX375&gt;0),SUMIFS($AX$7:$AX$1843,$BY$7:$BY$1843,BY375,$BA$7:$BA$1843,"&gt;"&amp;BA375)+SUMIFS($AX$7:$AX$1843,$BY$7:$BY$1843,BY375,$BA$7:$BA$1843,BA375,$BQ$7:$BQ$1843,"&lt;="&amp;BQ375),"")</f>
        <v>13.6627647714604</v>
      </c>
      <c r="BC375" s="65" t="n">
        <f aca="false">IF(BB375="",0,MAX(0,MIN(1,(IF(BY375="L1",Parameter!$E$5,Parameter!$E$6+Parameter!$E$7)-(BB375-AX375))/AX375)))</f>
        <v>1</v>
      </c>
      <c r="BD375" s="55" t="str">
        <f aca="false">IF(AH375&lt;=0,"",IF(BY375="Aussen","Aussenlager",IF(BY375="-","Nicht im Lift",IF(AM375&gt;=1,"Lift",IF(AM375&lt;=0,"Aussenlager","teilweise")))))</f>
        <v>Lift</v>
      </c>
      <c r="BE375" s="55" t="str">
        <f aca="false">IF(AP375&lt;=0,"",IF(BY375="Aussen","Aussenlager",IF(BY375="-","Nicht im Lift",IF(AU375&gt;=1,"Lift",IF(AU375&lt;=0,"Aussenlager","teilweise")))))</f>
        <v>Lift</v>
      </c>
      <c r="BF375" s="55" t="str">
        <f aca="false">IF(AX375&lt;=0,"",IF(BY375="Aussen","Aussenlager",IF(BY375="-","Nicht im Lift",IF(BC375&gt;=1,"Lift",IF(BC375&lt;=0,"Aussenlager","teilweise")))))</f>
        <v>Lift</v>
      </c>
      <c r="BG375" s="55" t="str">
        <f aca="false">IF(A375="","",IF(BP375=1,"Neu; ","")&amp;IF(AND(BP375=0,BK375&lt;0),"negativer Bestand (Export "&amp;BK375&amp;"); ","")&amp;IF(J375&lt;=0,"Kein Verbrauch; ","")&amp;IF(CH375&gt;0,"Lift "&amp;W375&amp;" lt. Liftbericht (Fach "&amp;X375&amp;" Stk); ",IF(BU375=1,"Gebinde geschätzt ("&amp;T375&amp;"); ",IF(BT375=1,"Lose – Tablare geschätzt; ","")))&amp;IF(H375&gt;AR375,"Überbestand "&amp;ROUND(H375-AR375,0)&amp;" Stk / CHF "&amp;ROUND((H375-AR375)*G375,0)&amp;"; ","")&amp;IF(AND(CA375=1,CB375&lt;CC375),"MAX &lt; MB+LG; ","")&amp;IF(AND(CG375&gt;0,CF375*10&gt;CG375),"zu hoch für Tablar; ","")&amp;IF(AND(BP375=0,OR(CA375=1,AA375&lt;&gt;"",U375&lt;&gt;"",V375&lt;&gt;"",AB375&lt;&gt;"")),"manuell übersteuert; ","")&amp;IF(AND(BT375=0,R375=0),"Gebinde unbekannt / Stellmass fehlt; ","")&amp;IF(AND(BT375=0,N(V375)&lt;=0,N(Q375)&lt;=0),"Menge pro Gebinde fehlt (Ist = 1 Gebinde); ","")&amp;BO375)</f>
        <v/>
      </c>
      <c r="BH375" s="55"/>
      <c r="BI375" s="55"/>
      <c r="BJ375" s="62"/>
      <c r="BK375" s="57" t="n">
        <v>229</v>
      </c>
      <c r="BL375" s="57" t="n">
        <v>221</v>
      </c>
      <c r="BM375" s="56" t="n">
        <v>139.61</v>
      </c>
      <c r="BN375" s="57" t="n">
        <v>561</v>
      </c>
      <c r="BO375" s="55"/>
      <c r="BP375" s="60" t="n">
        <v>0</v>
      </c>
      <c r="BQ375" s="60" t="n">
        <v>375</v>
      </c>
      <c r="BR375" s="55" t="str">
        <f aca="false">IF(U375&lt;&gt;"",UPPER(TRIM(U375)),IF(BU375=1,UPPER(VLOOKUP(T375,Parameter!$I$27:$K$29,2,0)),IF(P375="","LOSE",P375)))</f>
        <v>S62</v>
      </c>
      <c r="BS375" s="57" t="n">
        <f aca="false">IF(BR375="LOSE",1,IF(N(V375)&gt;0,V375,IF(BU375=1,MAX(1,N(VLOOKUP(T375,Parameter!$I$27:$K$29,3,0)),H375,N(N375)),IF(N(Q375)&gt;0,Q375,MAX(1,H375)))))</f>
        <v>449</v>
      </c>
      <c r="BT375" s="60" t="n">
        <f aca="false">IF(BR375="LOSE",1,0)</f>
        <v>0</v>
      </c>
      <c r="BU375" s="60" t="n">
        <f aca="false">IF(AND(U375="",OR(P375="",P375="LOSE"),T375&lt;&gt;"",N(S375)&lt;=0,ISNUMBER(MATCH(T375,Parameter!$I$27:$I$29,0))),1,0)</f>
        <v>0</v>
      </c>
      <c r="BV375" s="55" t="str">
        <f aca="false">IF(AND(Parameter!$B$19="Ja",E375&lt;&gt;"",ISNUMBER(MATCH(E375,Parameter!$I$35:$I$52,0))),VLOOKUP(E375,Parameter!$I$35:$J$52,2,0),IFERROR(VLOOKUP(D375,Parameter!$A$35:$C$64,2,0),"Nein"))</f>
        <v>2+3</v>
      </c>
      <c r="BW375" s="59" t="n">
        <f aca="false">IF(BT375=0,0,IF(N(S375)&gt;0,S375,IFERROR(VLOOKUP(D375,Parameter!$A$35:$C$64,3,0)+0,0)))</f>
        <v>0</v>
      </c>
      <c r="BX375" s="55" t="n">
        <f aca="false">IF(AA375&lt;&gt;"",AA375,Z375)</f>
        <v>2</v>
      </c>
      <c r="BY375" s="55" t="str">
        <f aca="false">IF(BX375=1,"L1",IF(OR(BX375=2,BX375=3),"L23",IF(BX375="Aussen","Aussen","-")))</f>
        <v>L23</v>
      </c>
      <c r="BZ375" s="66" t="n">
        <f aca="false">IF(N(AB375)&gt;0,AB375,0)</f>
        <v>0</v>
      </c>
      <c r="CA375" s="60" t="n">
        <f aca="false">IF(ISNUMBER(AE375),1,0)</f>
        <v>0</v>
      </c>
      <c r="CB375" s="57" t="n">
        <f aca="false">N(AE375)</f>
        <v>0</v>
      </c>
      <c r="CC375" s="57" t="n">
        <f aca="false">N(M375)+N(N375)</f>
        <v>633</v>
      </c>
      <c r="CD375" s="57" t="n">
        <f aca="false">ROUNDUP(H375/BS375,0)</f>
        <v>2</v>
      </c>
      <c r="CE375" s="57" t="n">
        <f aca="false">ROUNDUP(CB375/BS375,0)</f>
        <v>0</v>
      </c>
      <c r="CF375" s="60" t="n">
        <f aca="false">IF(BT375=1,0,IFERROR(VLOOKUP(BR375,'Gebinde-Kategorie'!$A$5:$M$45,5,0)+0,0))</f>
        <v>21</v>
      </c>
      <c r="CG375" s="60" t="n">
        <f aca="false">IFERROR(IF(OR(BX375=1,BX375=2,BX375=3),N(INDEX(Parameter!$I$5:$I$7,BX375)),0),0)</f>
        <v>0</v>
      </c>
      <c r="CH375" s="59" t="n">
        <f aca="false">IF(AND(Parameter!$B$21="Ja",ISNUMBER(W375),N(X375)&gt;0),IFERROR(N(INDEX(Parameter!$L$5:$L$7,W375))*INDEX(Parameter!$E$5:$E$7,W375)*X375/SUMIFS($X$7:$X$1843,$W$7:$W$1843,W375),0),0)</f>
        <v>0</v>
      </c>
    </row>
    <row r="376" customFormat="false" ht="15" hidden="false" customHeight="false" outlineLevel="0" collapsed="false">
      <c r="A376" s="55" t="s">
        <v>897</v>
      </c>
      <c r="B376" s="55" t="s">
        <v>898</v>
      </c>
      <c r="C376" s="55" t="s">
        <v>164</v>
      </c>
      <c r="D376" s="55" t="s">
        <v>184</v>
      </c>
      <c r="E376" s="55" t="s">
        <v>185</v>
      </c>
      <c r="F376" s="55" t="s">
        <v>218</v>
      </c>
      <c r="G376" s="56" t="n">
        <v>2.5</v>
      </c>
      <c r="H376" s="57" t="n">
        <f aca="false">MAX(0,IF(AND(Parameter!$B$21="Ja",ISNUMBER(Y376)),Y376,IF(Parameter!$B$20="Jahresanfang 2025 + Export",BL376+BK376,BK376)))</f>
        <v>98</v>
      </c>
      <c r="I376" s="57" t="n">
        <f aca="false">H376*G376</f>
        <v>245</v>
      </c>
      <c r="J376" s="57" t="n">
        <f aca="false">BN376*Parameter!$B$18</f>
        <v>69</v>
      </c>
      <c r="K376" s="58" t="n">
        <v>61.5</v>
      </c>
      <c r="L376" s="59" t="n">
        <v>1.1219512195122</v>
      </c>
      <c r="M376" s="57" t="n">
        <v>4</v>
      </c>
      <c r="N376" s="57" t="n">
        <v>100</v>
      </c>
      <c r="O376" s="60" t="n">
        <v>21</v>
      </c>
      <c r="P376" s="55" t="s">
        <v>421</v>
      </c>
      <c r="Q376" s="57" t="n">
        <v>102</v>
      </c>
      <c r="R376" s="60" t="n">
        <f aca="false">IF(BT376=1,0,IFERROR(VLOOKUP(BR376,'Gebinde-Kategorie'!$A$5:$M$45,13,0)+0,0))</f>
        <v>132</v>
      </c>
      <c r="S376" s="61"/>
      <c r="T376" s="62"/>
      <c r="U376" s="62"/>
      <c r="V376" s="62"/>
      <c r="W376" s="55"/>
      <c r="X376" s="57"/>
      <c r="Y376" s="57"/>
      <c r="Z376" s="55" t="n">
        <f aca="false">IF(A376="","",IF(AND(Parameter!$B$21="Ja",ISNUMBER(W376)),W376,IF(BV376="2+3",IF(ISNUMBER(SEARCH("grosser Artikel",BO376)),2,IFERROR(VLOOKUP(BR376,Parameter!$F$35:$G$64,2,0),2)),IF(OR(BV376="Nein",BV376=""),"-",BV376))))</f>
        <v>3</v>
      </c>
      <c r="AA376" s="62"/>
      <c r="AB376" s="63"/>
      <c r="AC376" s="57" t="n">
        <f aca="false">AR376</f>
        <v>204</v>
      </c>
      <c r="AD376" s="57" t="n">
        <f aca="false">MAX(AR376,H376)</f>
        <v>204</v>
      </c>
      <c r="AE376" s="64"/>
      <c r="AF376" s="57" t="n">
        <f aca="false">IF(LEFT(Cockpit!$C$5,1)="A",H376,IF(CA376=1,CB376,IF(LEFT(Cockpit!$C$5,1)="B",AJ376,MAX(AJ376,H376))))</f>
        <v>98</v>
      </c>
      <c r="AG376" s="57" t="n">
        <f aca="false">IF(BT376=1,0,ROUNDUP(AF376/BS376,0))</f>
        <v>1</v>
      </c>
      <c r="AH376" s="59" t="n">
        <f aca="false">IF(CH376&gt;0,CH376*MAX(1,AF376/X376),IF(BT376=1,IF(AF376&lt;=0,0,BW376*MAX(1,IF(H376&gt;0,AF376/H376,1))),IF(R376&gt;0,AG376/R376,0))/MAX(0.1,N(Parameter!$M$21)))</f>
        <v>0.00757575757575758</v>
      </c>
      <c r="AI376" s="57" t="n">
        <f aca="false">AF376*G376</f>
        <v>245</v>
      </c>
      <c r="AJ376" s="57" t="n">
        <f aca="false">ROUNDUP(MAX(J376/IF(BZ376&gt;0,BZ376,MAX(0.1,N(Cockpit!$C$6))),CC376)/BS376,0)*BS376</f>
        <v>204</v>
      </c>
      <c r="AK376" s="58" t="n">
        <f aca="false">IF(AH376&gt;0,J376/AH376,-1)</f>
        <v>9108</v>
      </c>
      <c r="AL376" s="58" t="n">
        <f aca="false">IF(AND(OR(BY376="L1",BY376="L23"),AH376&gt;0),SUMIFS($AH$7:$AH$1843,$BY$7:$BY$1843,BY376,$AK$7:$AK$1843,"&gt;"&amp;AK376)+SUMIFS($AH$7:$AH$1843,$BY$7:$BY$1843,BY376,$AK$7:$AK$1843,AK376,$BQ$7:$BQ$1843,"&lt;="&amp;BQ376),"")</f>
        <v>5.6917925070099</v>
      </c>
      <c r="AM376" s="65" t="n">
        <f aca="false">IF(AL376="",0,MAX(0,MIN(1,(IF(BY376="L1",Parameter!$E$5,Parameter!$E$6+Parameter!$E$7)-(AL376-AH376))/AH376)))</f>
        <v>1</v>
      </c>
      <c r="AN376" s="57" t="n">
        <f aca="false">IF(LEFT(Cockpit!$I$5,1)="A",H376,IF(CA376=1,CB376,IF(LEFT(Cockpit!$I$5,1)="B",AR376,MAX(AR376,H376))))</f>
        <v>204</v>
      </c>
      <c r="AO376" s="57" t="n">
        <f aca="false">IF(BT376=1,0,ROUNDUP(AN376/BS376,0))</f>
        <v>2</v>
      </c>
      <c r="AP376" s="59" t="n">
        <f aca="false">IF(CH376&gt;0,CH376*MAX(1,AN376/X376),IF(BT376=1,IF(AN376&lt;=0,0,BW376*MAX(1,IF(H376&gt;0,AN376/H376,1))),IF(R376&gt;0,AO376/R376,0))/MAX(0.1,N(Parameter!$M$21)))</f>
        <v>0.0151515151515152</v>
      </c>
      <c r="AQ376" s="57" t="n">
        <f aca="false">AN376*G376</f>
        <v>510</v>
      </c>
      <c r="AR376" s="57" t="n">
        <f aca="false">ROUNDUP(MAX(J376/IF(BZ376&gt;0,BZ376,MAX(0.1,N(Cockpit!$I$6))),CC376)/BS376,0)*BS376</f>
        <v>204</v>
      </c>
      <c r="AS376" s="58" t="n">
        <f aca="false">IF(AP376&gt;0,J376/AP376,-1)</f>
        <v>4554</v>
      </c>
      <c r="AT376" s="58" t="n">
        <f aca="false">IF(AND(OR(BY376="L1",BY376="L23"),AP376&gt;0),SUMIFS($AP$7:$AP$1843,$BY$7:$BY$1843,BY376,$AS$7:$AS$1843,"&gt;"&amp;AS376)+SUMIFS($AP$7:$AP$1843,$BY$7:$BY$1843,BY376,$AS$7:$AS$1843,AS376,$BQ$7:$BQ$1843,"&lt;="&amp;BQ376),"")</f>
        <v>12.8441353332658</v>
      </c>
      <c r="AU376" s="65" t="n">
        <f aca="false">IF(AT376="",0,MAX(0,MIN(1,(IF(BY376="L1",Parameter!$E$5,Parameter!$E$6+Parameter!$E$7)-(AT376-AP376))/AP376)))</f>
        <v>1</v>
      </c>
      <c r="AV376" s="57" t="n">
        <f aca="false">IF(LEFT(Cockpit!$O$5,1)="A",H376,IF(CA376=1,CB376,IF(LEFT(Cockpit!$O$5,1)="B",AZ376,MAX(AZ376,H376))))</f>
        <v>204</v>
      </c>
      <c r="AW376" s="57" t="n">
        <f aca="false">IF(BT376=1,0,ROUNDUP(AV376/BS376,0))</f>
        <v>2</v>
      </c>
      <c r="AX376" s="59" t="n">
        <f aca="false">IF(CH376&gt;0,CH376*MAX(1,AV376/X376),IF(BT376=1,IF(AV376&lt;=0,0,BW376*MAX(1,IF(H376&gt;0,AV376/H376,1))),IF(R376&gt;0,AW376/R376,0))/MAX(0.1,N(Parameter!$M$21)))</f>
        <v>0.0151515151515152</v>
      </c>
      <c r="AY376" s="57" t="n">
        <f aca="false">AV376*G376</f>
        <v>510</v>
      </c>
      <c r="AZ376" s="57" t="n">
        <f aca="false">ROUNDUP(MAX(J376/IF(BZ376&gt;0,BZ376,MAX(0.1,N(Cockpit!$O$6))),CC376)/BS376,0)*BS376</f>
        <v>204</v>
      </c>
      <c r="BA376" s="58" t="n">
        <f aca="false">IF(AX376&gt;0,J376/AX376,-1)</f>
        <v>4554</v>
      </c>
      <c r="BB376" s="58" t="n">
        <f aca="false">IF(AND(OR(BY376="L1",BY376="L23"),AX376&gt;0),SUMIFS($AX$7:$AX$1843,$BY$7:$BY$1843,BY376,$BA$7:$BA$1843,"&gt;"&amp;BA376)+SUMIFS($AX$7:$AX$1843,$BY$7:$BY$1843,BY376,$BA$7:$BA$1843,BA376,$BQ$7:$BQ$1843,"&lt;="&amp;BQ376),"")</f>
        <v>11.4111516502821</v>
      </c>
      <c r="BC376" s="65" t="n">
        <f aca="false">IF(BB376="",0,MAX(0,MIN(1,(IF(BY376="L1",Parameter!$E$5,Parameter!$E$6+Parameter!$E$7)-(BB376-AX376))/AX376)))</f>
        <v>1</v>
      </c>
      <c r="BD376" s="55" t="str">
        <f aca="false">IF(AH376&lt;=0,"",IF(BY376="Aussen","Aussenlager",IF(BY376="-","Nicht im Lift",IF(AM376&gt;=1,"Lift",IF(AM376&lt;=0,"Aussenlager","teilweise")))))</f>
        <v>Lift</v>
      </c>
      <c r="BE376" s="55" t="str">
        <f aca="false">IF(AP376&lt;=0,"",IF(BY376="Aussen","Aussenlager",IF(BY376="-","Nicht im Lift",IF(AU376&gt;=1,"Lift",IF(AU376&lt;=0,"Aussenlager","teilweise")))))</f>
        <v>Lift</v>
      </c>
      <c r="BF376" s="55" t="str">
        <f aca="false">IF(AX376&lt;=0,"",IF(BY376="Aussen","Aussenlager",IF(BY376="-","Nicht im Lift",IF(BC376&gt;=1,"Lift",IF(BC376&lt;=0,"Aussenlager","teilweise")))))</f>
        <v>Lift</v>
      </c>
      <c r="BG376" s="55" t="str">
        <f aca="false">IF(A376="","",IF(BP376=1,"Neu; ","")&amp;IF(AND(BP376=0,BK376&lt;0),"negativer Bestand (Export "&amp;BK376&amp;"); ","")&amp;IF(J376&lt;=0,"Kein Verbrauch; ","")&amp;IF(CH376&gt;0,"Lift "&amp;W376&amp;" lt. Liftbericht (Fach "&amp;X376&amp;" Stk); ",IF(BU376=1,"Gebinde geschätzt ("&amp;T376&amp;"); ",IF(BT376=1,"Lose – Tablare geschätzt; ","")))&amp;IF(H376&gt;AR376,"Überbestand "&amp;ROUND(H376-AR376,0)&amp;" Stk / CHF "&amp;ROUND((H376-AR376)*G376,0)&amp;"; ","")&amp;IF(AND(CA376=1,CB376&lt;CC376),"MAX &lt; MB+LG; ","")&amp;IF(AND(CG376&gt;0,CF376*10&gt;CG376),"zu hoch für Tablar; ","")&amp;IF(AND(BP376=0,OR(CA376=1,AA376&lt;&gt;"",U376&lt;&gt;"",V376&lt;&gt;"",AB376&lt;&gt;"")),"manuell übersteuert; ","")&amp;IF(AND(BT376=0,R376=0),"Gebinde unbekannt / Stellmass fehlt; ","")&amp;IF(AND(BT376=0,N(V376)&lt;=0,N(Q376)&lt;=0),"Menge pro Gebinde fehlt (Ist = 1 Gebinde); ","")&amp;BO376)</f>
        <v>Neu</v>
      </c>
      <c r="BH376" s="55"/>
      <c r="BI376" s="55"/>
      <c r="BJ376" s="62"/>
      <c r="BK376" s="57" t="n">
        <v>56</v>
      </c>
      <c r="BL376" s="57" t="n">
        <v>42</v>
      </c>
      <c r="BM376" s="56" t="n">
        <v>137.9</v>
      </c>
      <c r="BN376" s="57" t="n">
        <v>69</v>
      </c>
      <c r="BO376" s="55" t="s">
        <v>626</v>
      </c>
      <c r="BP376" s="60" t="n">
        <v>0</v>
      </c>
      <c r="BQ376" s="60" t="n">
        <v>376</v>
      </c>
      <c r="BR376" s="55" t="str">
        <f aca="false">IF(U376&lt;&gt;"",UPPER(TRIM(U376)),IF(BU376=1,UPPER(VLOOKUP(T376,Parameter!$I$27:$K$29,2,0)),IF(P376="","LOSE",P376)))</f>
        <v>S32</v>
      </c>
      <c r="BS376" s="57" t="n">
        <f aca="false">IF(BR376="LOSE",1,IF(N(V376)&gt;0,V376,IF(BU376=1,MAX(1,N(VLOOKUP(T376,Parameter!$I$27:$K$29,3,0)),H376,N(N376)),IF(N(Q376)&gt;0,Q376,MAX(1,H376)))))</f>
        <v>102</v>
      </c>
      <c r="BT376" s="60" t="n">
        <f aca="false">IF(BR376="LOSE",1,0)</f>
        <v>0</v>
      </c>
      <c r="BU376" s="60" t="n">
        <f aca="false">IF(AND(U376="",OR(P376="",P376="LOSE"),T376&lt;&gt;"",N(S376)&lt;=0,ISNUMBER(MATCH(T376,Parameter!$I$27:$I$29,0))),1,0)</f>
        <v>0</v>
      </c>
      <c r="BV376" s="55" t="str">
        <f aca="false">IF(AND(Parameter!$B$19="Ja",E376&lt;&gt;"",ISNUMBER(MATCH(E376,Parameter!$I$35:$I$52,0))),VLOOKUP(E376,Parameter!$I$35:$J$52,2,0),IFERROR(VLOOKUP(D376,Parameter!$A$35:$C$64,2,0),"Nein"))</f>
        <v>2+3</v>
      </c>
      <c r="BW376" s="59" t="n">
        <f aca="false">IF(BT376=0,0,IF(N(S376)&gt;0,S376,IFERROR(VLOOKUP(D376,Parameter!$A$35:$C$64,3,0)+0,0)))</f>
        <v>0</v>
      </c>
      <c r="BX376" s="55" t="n">
        <f aca="false">IF(AA376&lt;&gt;"",AA376,Z376)</f>
        <v>3</v>
      </c>
      <c r="BY376" s="55" t="str">
        <f aca="false">IF(BX376=1,"L1",IF(OR(BX376=2,BX376=3),"L23",IF(BX376="Aussen","Aussen","-")))</f>
        <v>L23</v>
      </c>
      <c r="BZ376" s="66" t="n">
        <f aca="false">IF(N(AB376)&gt;0,AB376,0)</f>
        <v>0</v>
      </c>
      <c r="CA376" s="60" t="n">
        <f aca="false">IF(ISNUMBER(AE376),1,0)</f>
        <v>0</v>
      </c>
      <c r="CB376" s="57" t="n">
        <f aca="false">N(AE376)</f>
        <v>0</v>
      </c>
      <c r="CC376" s="57" t="n">
        <f aca="false">N(M376)+N(N376)</f>
        <v>104</v>
      </c>
      <c r="CD376" s="57" t="n">
        <f aca="false">ROUNDUP(H376/BS376,0)</f>
        <v>1</v>
      </c>
      <c r="CE376" s="57" t="n">
        <f aca="false">ROUNDUP(CB376/BS376,0)</f>
        <v>0</v>
      </c>
      <c r="CF376" s="60" t="n">
        <f aca="false">IF(BT376=1,0,IFERROR(VLOOKUP(BR376,'Gebinde-Kategorie'!$A$5:$M$45,5,0)+0,0))</f>
        <v>8</v>
      </c>
      <c r="CG376" s="60" t="n">
        <f aca="false">IFERROR(IF(OR(BX376=1,BX376=2,BX376=3),N(INDEX(Parameter!$I$5:$I$7,BX376)),0),0)</f>
        <v>0</v>
      </c>
      <c r="CH376" s="59" t="n">
        <f aca="false">IF(AND(Parameter!$B$21="Ja",ISNUMBER(W376),N(X376)&gt;0),IFERROR(N(INDEX(Parameter!$L$5:$L$7,W376))*INDEX(Parameter!$E$5:$E$7,W376)*X376/SUMIFS($X$7:$X$1843,$W$7:$W$1843,W376),0),0)</f>
        <v>0</v>
      </c>
    </row>
    <row r="377" customFormat="false" ht="15" hidden="false" customHeight="false" outlineLevel="0" collapsed="false">
      <c r="A377" s="55" t="s">
        <v>899</v>
      </c>
      <c r="B377" s="55" t="s">
        <v>900</v>
      </c>
      <c r="C377" s="55" t="s">
        <v>164</v>
      </c>
      <c r="D377" s="55" t="s">
        <v>184</v>
      </c>
      <c r="E377" s="55" t="s">
        <v>185</v>
      </c>
      <c r="F377" s="55" t="s">
        <v>218</v>
      </c>
      <c r="G377" s="56" t="n">
        <v>56.62</v>
      </c>
      <c r="H377" s="57" t="n">
        <f aca="false">MAX(0,IF(AND(Parameter!$B$21="Ja",ISNUMBER(Y377)),Y377,IF(Parameter!$B$20="Jahresanfang 2025 + Export",BL377+BK377,BK377)))</f>
        <v>5</v>
      </c>
      <c r="I377" s="57" t="n">
        <f aca="false">H377*G377</f>
        <v>283.1</v>
      </c>
      <c r="J377" s="57" t="n">
        <f aca="false">BN377*Parameter!$B$18</f>
        <v>5</v>
      </c>
      <c r="K377" s="58" t="n">
        <v>4.5</v>
      </c>
      <c r="L377" s="59" t="n">
        <v>1.11111111111111</v>
      </c>
      <c r="M377" s="57" t="n">
        <v>0</v>
      </c>
      <c r="N377" s="57" t="n">
        <v>5</v>
      </c>
      <c r="O377" s="60" t="n">
        <v>21</v>
      </c>
      <c r="P377" s="55" t="s">
        <v>421</v>
      </c>
      <c r="Q377" s="57" t="n">
        <v>9</v>
      </c>
      <c r="R377" s="60" t="n">
        <f aca="false">IF(BT377=1,0,IFERROR(VLOOKUP(BR377,'Gebinde-Kategorie'!$A$5:$M$45,13,0)+0,0))</f>
        <v>132</v>
      </c>
      <c r="S377" s="61"/>
      <c r="T377" s="62"/>
      <c r="U377" s="62"/>
      <c r="V377" s="62"/>
      <c r="W377" s="55"/>
      <c r="X377" s="57"/>
      <c r="Y377" s="57"/>
      <c r="Z377" s="55" t="n">
        <f aca="false">IF(A377="","",IF(AND(Parameter!$B$21="Ja",ISNUMBER(W377)),W377,IF(BV377="2+3",IF(ISNUMBER(SEARCH("grosser Artikel",BO377)),2,IFERROR(VLOOKUP(BR377,Parameter!$F$35:$G$64,2,0),2)),IF(OR(BV377="Nein",BV377=""),"-",BV377))))</f>
        <v>3</v>
      </c>
      <c r="AA377" s="62"/>
      <c r="AB377" s="63"/>
      <c r="AC377" s="57" t="n">
        <f aca="false">AR377</f>
        <v>9</v>
      </c>
      <c r="AD377" s="57" t="n">
        <f aca="false">MAX(AR377,H377)</f>
        <v>9</v>
      </c>
      <c r="AE377" s="64"/>
      <c r="AF377" s="57" t="n">
        <f aca="false">IF(LEFT(Cockpit!$C$5,1)="A",H377,IF(CA377=1,CB377,IF(LEFT(Cockpit!$C$5,1)="B",AJ377,MAX(AJ377,H377))))</f>
        <v>5</v>
      </c>
      <c r="AG377" s="57" t="n">
        <f aca="false">IF(BT377=1,0,ROUNDUP(AF377/BS377,0))</f>
        <v>1</v>
      </c>
      <c r="AH377" s="59" t="n">
        <f aca="false">IF(CH377&gt;0,CH377*MAX(1,AF377/X377),IF(BT377=1,IF(AF377&lt;=0,0,BW377*MAX(1,IF(H377&gt;0,AF377/H377,1))),IF(R377&gt;0,AG377/R377,0))/MAX(0.1,N(Parameter!$M$21)))</f>
        <v>0.00757575757575758</v>
      </c>
      <c r="AI377" s="57" t="n">
        <f aca="false">AF377*G377</f>
        <v>283.1</v>
      </c>
      <c r="AJ377" s="57" t="n">
        <f aca="false">ROUNDUP(MAX(J377/IF(BZ377&gt;0,BZ377,MAX(0.1,N(Cockpit!$C$6))),CC377)/BS377,0)*BS377</f>
        <v>9</v>
      </c>
      <c r="AK377" s="58" t="n">
        <f aca="false">IF(AH377&gt;0,J377/AH377,-1)</f>
        <v>660</v>
      </c>
      <c r="AL377" s="58" t="n">
        <f aca="false">IF(AND(OR(BY377="L1",BY377="L23"),AH377&gt;0),SUMIFS($AH$7:$AH$1843,$BY$7:$BY$1843,BY377,$AK$7:$AK$1843,"&gt;"&amp;AK377)+SUMIFS($AH$7:$AH$1843,$BY$7:$BY$1843,BY377,$AK$7:$AK$1843,AK377,$BQ$7:$BQ$1843,"&lt;="&amp;BQ377),"")</f>
        <v>22.2449494949495</v>
      </c>
      <c r="AM377" s="65" t="n">
        <f aca="false">IF(AL377="",0,MAX(0,MIN(1,(IF(BY377="L1",Parameter!$E$5,Parameter!$E$6+Parameter!$E$7)-(AL377-AH377))/AH377)))</f>
        <v>1</v>
      </c>
      <c r="AN377" s="57" t="n">
        <f aca="false">IF(LEFT(Cockpit!$I$5,1)="A",H377,IF(CA377=1,CB377,IF(LEFT(Cockpit!$I$5,1)="B",AR377,MAX(AR377,H377))))</f>
        <v>9</v>
      </c>
      <c r="AO377" s="57" t="n">
        <f aca="false">IF(BT377=1,0,ROUNDUP(AN377/BS377,0))</f>
        <v>1</v>
      </c>
      <c r="AP377" s="59" t="n">
        <f aca="false">IF(CH377&gt;0,CH377*MAX(1,AN377/X377),IF(BT377=1,IF(AN377&lt;=0,0,BW377*MAX(1,IF(H377&gt;0,AN377/H377,1))),IF(R377&gt;0,AO377/R377,0))/MAX(0.1,N(Parameter!$M$21)))</f>
        <v>0.00757575757575758</v>
      </c>
      <c r="AQ377" s="57" t="n">
        <f aca="false">AN377*G377</f>
        <v>509.58</v>
      </c>
      <c r="AR377" s="57" t="n">
        <f aca="false">ROUNDUP(MAX(J377/IF(BZ377&gt;0,BZ377,MAX(0.1,N(Cockpit!$I$6))),CC377)/BS377,0)*BS377</f>
        <v>9</v>
      </c>
      <c r="AS377" s="58" t="n">
        <f aca="false">IF(AP377&gt;0,J377/AP377,-1)</f>
        <v>660</v>
      </c>
      <c r="AT377" s="58" t="n">
        <f aca="false">IF(AND(OR(BY377="L1",BY377="L23"),AP377&gt;0),SUMIFS($AP$7:$AP$1843,$BY$7:$BY$1843,BY377,$AS$7:$AS$1843,"&gt;"&amp;AS377)+SUMIFS($AP$7:$AP$1843,$BY$7:$BY$1843,BY377,$AS$7:$AS$1843,AS377,$BQ$7:$BQ$1843,"&lt;="&amp;BQ377),"")</f>
        <v>29.8807219350698</v>
      </c>
      <c r="AU377" s="65" t="n">
        <f aca="false">IF(AT377="",0,MAX(0,MIN(1,(IF(BY377="L1",Parameter!$E$5,Parameter!$E$6+Parameter!$E$7)-(AT377-AP377))/AP377)))</f>
        <v>1</v>
      </c>
      <c r="AV377" s="57" t="n">
        <f aca="false">IF(LEFT(Cockpit!$O$5,1)="A",H377,IF(CA377=1,CB377,IF(LEFT(Cockpit!$O$5,1)="B",AZ377,MAX(AZ377,H377))))</f>
        <v>9</v>
      </c>
      <c r="AW377" s="57" t="n">
        <f aca="false">IF(BT377=1,0,ROUNDUP(AV377/BS377,0))</f>
        <v>1</v>
      </c>
      <c r="AX377" s="59" t="n">
        <f aca="false">IF(CH377&gt;0,CH377*MAX(1,AV377/X377),IF(BT377=1,IF(AV377&lt;=0,0,BW377*MAX(1,IF(H377&gt;0,AV377/H377,1))),IF(R377&gt;0,AW377/R377,0))/MAX(0.1,N(Parameter!$M$21)))</f>
        <v>0.00757575757575758</v>
      </c>
      <c r="AY377" s="57" t="n">
        <f aca="false">AV377*G377</f>
        <v>509.58</v>
      </c>
      <c r="AZ377" s="57" t="n">
        <f aca="false">ROUNDUP(MAX(J377/IF(BZ377&gt;0,BZ377,MAX(0.1,N(Cockpit!$O$6))),CC377)/BS377,0)*BS377</f>
        <v>9</v>
      </c>
      <c r="BA377" s="58" t="n">
        <f aca="false">IF(AX377&gt;0,J377/AX377,-1)</f>
        <v>660</v>
      </c>
      <c r="BB377" s="58" t="n">
        <f aca="false">IF(AND(OR(BY377="L1",BY377="L23"),AX377&gt;0),SUMIFS($AX$7:$AX$1843,$BY$7:$BY$1843,BY377,$BA$7:$BA$1843,"&gt;"&amp;BA377)+SUMIFS($AX$7:$AX$1843,$BY$7:$BY$1843,BY377,$BA$7:$BA$1843,BA377,$BQ$7:$BQ$1843,"&lt;="&amp;BQ377),"")</f>
        <v>28.5823536367015</v>
      </c>
      <c r="BC377" s="65" t="n">
        <f aca="false">IF(BB377="",0,MAX(0,MIN(1,(IF(BY377="L1",Parameter!$E$5,Parameter!$E$6+Parameter!$E$7)-(BB377-AX377))/AX377)))</f>
        <v>1</v>
      </c>
      <c r="BD377" s="55" t="str">
        <f aca="false">IF(AH377&lt;=0,"",IF(BY377="Aussen","Aussenlager",IF(BY377="-","Nicht im Lift",IF(AM377&gt;=1,"Lift",IF(AM377&lt;=0,"Aussenlager","teilweise")))))</f>
        <v>Lift</v>
      </c>
      <c r="BE377" s="55" t="str">
        <f aca="false">IF(AP377&lt;=0,"",IF(BY377="Aussen","Aussenlager",IF(BY377="-","Nicht im Lift",IF(AU377&gt;=1,"Lift",IF(AU377&lt;=0,"Aussenlager","teilweise")))))</f>
        <v>Lift</v>
      </c>
      <c r="BF377" s="55" t="str">
        <f aca="false">IF(AX377&lt;=0,"",IF(BY377="Aussen","Aussenlager",IF(BY377="-","Nicht im Lift",IF(BC377&gt;=1,"Lift",IF(BC377&lt;=0,"Aussenlager","teilweise")))))</f>
        <v>Lift</v>
      </c>
      <c r="BG377" s="55" t="str">
        <f aca="false">IF(A377="","",IF(BP377=1,"Neu; ","")&amp;IF(AND(BP377=0,BK377&lt;0),"negativer Bestand (Export "&amp;BK377&amp;"); ","")&amp;IF(J377&lt;=0,"Kein Verbrauch; ","")&amp;IF(CH377&gt;0,"Lift "&amp;W377&amp;" lt. Liftbericht (Fach "&amp;X377&amp;" Stk); ",IF(BU377=1,"Gebinde geschätzt ("&amp;T377&amp;"); ",IF(BT377=1,"Lose – Tablare geschätzt; ","")))&amp;IF(H377&gt;AR377,"Überbestand "&amp;ROUND(H377-AR377,0)&amp;" Stk / CHF "&amp;ROUND((H377-AR377)*G377,0)&amp;"; ","")&amp;IF(AND(CA377=1,CB377&lt;CC377),"MAX &lt; MB+LG; ","")&amp;IF(AND(CG377&gt;0,CF377*10&gt;CG377),"zu hoch für Tablar; ","")&amp;IF(AND(BP377=0,OR(CA377=1,AA377&lt;&gt;"",U377&lt;&gt;"",V377&lt;&gt;"",AB377&lt;&gt;"")),"manuell übersteuert; ","")&amp;IF(AND(BT377=0,R377=0),"Gebinde unbekannt / Stellmass fehlt; ","")&amp;IF(AND(BT377=0,N(V377)&lt;=0,N(Q377)&lt;=0),"Menge pro Gebinde fehlt (Ist = 1 Gebinde); ","")&amp;BO377)</f>
        <v/>
      </c>
      <c r="BH377" s="55"/>
      <c r="BI377" s="55"/>
      <c r="BJ377" s="62"/>
      <c r="BK377" s="57" t="n">
        <v>2</v>
      </c>
      <c r="BL377" s="57" t="n">
        <v>3</v>
      </c>
      <c r="BM377" s="56" t="n">
        <v>136.34</v>
      </c>
      <c r="BN377" s="57" t="n">
        <v>5</v>
      </c>
      <c r="BO377" s="55"/>
      <c r="BP377" s="60" t="n">
        <v>0</v>
      </c>
      <c r="BQ377" s="60" t="n">
        <v>377</v>
      </c>
      <c r="BR377" s="55" t="str">
        <f aca="false">IF(U377&lt;&gt;"",UPPER(TRIM(U377)),IF(BU377=1,UPPER(VLOOKUP(T377,Parameter!$I$27:$K$29,2,0)),IF(P377="","LOSE",P377)))</f>
        <v>S32</v>
      </c>
      <c r="BS377" s="57" t="n">
        <f aca="false">IF(BR377="LOSE",1,IF(N(V377)&gt;0,V377,IF(BU377=1,MAX(1,N(VLOOKUP(T377,Parameter!$I$27:$K$29,3,0)),H377,N(N377)),IF(N(Q377)&gt;0,Q377,MAX(1,H377)))))</f>
        <v>9</v>
      </c>
      <c r="BT377" s="60" t="n">
        <f aca="false">IF(BR377="LOSE",1,0)</f>
        <v>0</v>
      </c>
      <c r="BU377" s="60" t="n">
        <f aca="false">IF(AND(U377="",OR(P377="",P377="LOSE"),T377&lt;&gt;"",N(S377)&lt;=0,ISNUMBER(MATCH(T377,Parameter!$I$27:$I$29,0))),1,0)</f>
        <v>0</v>
      </c>
      <c r="BV377" s="55" t="str">
        <f aca="false">IF(AND(Parameter!$B$19="Ja",E377&lt;&gt;"",ISNUMBER(MATCH(E377,Parameter!$I$35:$I$52,0))),VLOOKUP(E377,Parameter!$I$35:$J$52,2,0),IFERROR(VLOOKUP(D377,Parameter!$A$35:$C$64,2,0),"Nein"))</f>
        <v>2+3</v>
      </c>
      <c r="BW377" s="59" t="n">
        <f aca="false">IF(BT377=0,0,IF(N(S377)&gt;0,S377,IFERROR(VLOOKUP(D377,Parameter!$A$35:$C$64,3,0)+0,0)))</f>
        <v>0</v>
      </c>
      <c r="BX377" s="55" t="n">
        <f aca="false">IF(AA377&lt;&gt;"",AA377,Z377)</f>
        <v>3</v>
      </c>
      <c r="BY377" s="55" t="str">
        <f aca="false">IF(BX377=1,"L1",IF(OR(BX377=2,BX377=3),"L23",IF(BX377="Aussen","Aussen","-")))</f>
        <v>L23</v>
      </c>
      <c r="BZ377" s="66" t="n">
        <f aca="false">IF(N(AB377)&gt;0,AB377,0)</f>
        <v>0</v>
      </c>
      <c r="CA377" s="60" t="n">
        <f aca="false">IF(ISNUMBER(AE377),1,0)</f>
        <v>0</v>
      </c>
      <c r="CB377" s="57" t="n">
        <f aca="false">N(AE377)</f>
        <v>0</v>
      </c>
      <c r="CC377" s="57" t="n">
        <f aca="false">N(M377)+N(N377)</f>
        <v>5</v>
      </c>
      <c r="CD377" s="57" t="n">
        <f aca="false">ROUNDUP(H377/BS377,0)</f>
        <v>1</v>
      </c>
      <c r="CE377" s="57" t="n">
        <f aca="false">ROUNDUP(CB377/BS377,0)</f>
        <v>0</v>
      </c>
      <c r="CF377" s="60" t="n">
        <f aca="false">IF(BT377=1,0,IFERROR(VLOOKUP(BR377,'Gebinde-Kategorie'!$A$5:$M$45,5,0)+0,0))</f>
        <v>8</v>
      </c>
      <c r="CG377" s="60" t="n">
        <f aca="false">IFERROR(IF(OR(BX377=1,BX377=2,BX377=3),N(INDEX(Parameter!$I$5:$I$7,BX377)),0),0)</f>
        <v>0</v>
      </c>
      <c r="CH377" s="59" t="n">
        <f aca="false">IF(AND(Parameter!$B$21="Ja",ISNUMBER(W377),N(X377)&gt;0),IFERROR(N(INDEX(Parameter!$L$5:$L$7,W377))*INDEX(Parameter!$E$5:$E$7,W377)*X377/SUMIFS($X$7:$X$1843,$W$7:$W$1843,W377),0),0)</f>
        <v>0</v>
      </c>
    </row>
    <row r="378" customFormat="false" ht="15" hidden="false" customHeight="false" outlineLevel="0" collapsed="false">
      <c r="A378" s="55" t="s">
        <v>901</v>
      </c>
      <c r="B378" s="55" t="s">
        <v>902</v>
      </c>
      <c r="C378" s="55" t="s">
        <v>164</v>
      </c>
      <c r="D378" s="55" t="s">
        <v>173</v>
      </c>
      <c r="E378" s="55"/>
      <c r="F378" s="55" t="s">
        <v>218</v>
      </c>
      <c r="G378" s="56" t="n">
        <v>136</v>
      </c>
      <c r="H378" s="57" t="n">
        <f aca="false">MAX(0,IF(AND(Parameter!$B$21="Ja",ISNUMBER(Y378)),Y378,IF(Parameter!$B$20="Jahresanfang 2025 + Export",BL378+BK378,BK378)))</f>
        <v>1</v>
      </c>
      <c r="I378" s="57" t="n">
        <f aca="false">H378*G378</f>
        <v>136</v>
      </c>
      <c r="J378" s="57" t="n">
        <f aca="false">BN378*Parameter!$B$18</f>
        <v>0</v>
      </c>
      <c r="K378" s="58" t="n">
        <v>0</v>
      </c>
      <c r="L378" s="59" t="n">
        <v>0</v>
      </c>
      <c r="M378" s="57" t="n">
        <v>0</v>
      </c>
      <c r="N378" s="57" t="n">
        <v>1</v>
      </c>
      <c r="O378" s="60" t="n">
        <v>28</v>
      </c>
      <c r="P378" s="55" t="s">
        <v>168</v>
      </c>
      <c r="Q378" s="57"/>
      <c r="R378" s="60" t="n">
        <f aca="false">IF(BT378=1,0,IFERROR(VLOOKUP(BR378,'Gebinde-Kategorie'!$A$5:$M$45,13,0)+0,0))</f>
        <v>12</v>
      </c>
      <c r="S378" s="61"/>
      <c r="T378" s="62" t="s">
        <v>179</v>
      </c>
      <c r="U378" s="62"/>
      <c r="V378" s="62"/>
      <c r="W378" s="55"/>
      <c r="X378" s="57"/>
      <c r="Y378" s="57"/>
      <c r="Z378" s="55" t="n">
        <f aca="false">IF(A378="","",IF(AND(Parameter!$B$21="Ja",ISNUMBER(W378)),W378,IF(BV378="2+3",IF(ISNUMBER(SEARCH("grosser Artikel",BO378)),2,IFERROR(VLOOKUP(BR378,Parameter!$F$35:$G$64,2,0),2)),IF(OR(BV378="Nein",BV378=""),"-",BV378))))</f>
        <v>2</v>
      </c>
      <c r="AA378" s="62"/>
      <c r="AB378" s="63"/>
      <c r="AC378" s="57" t="n">
        <f aca="false">AR378</f>
        <v>4</v>
      </c>
      <c r="AD378" s="57" t="n">
        <f aca="false">MAX(AR378,H378)</f>
        <v>4</v>
      </c>
      <c r="AE378" s="64"/>
      <c r="AF378" s="57" t="n">
        <f aca="false">IF(LEFT(Cockpit!$C$5,1)="A",H378,IF(CA378=1,CB378,IF(LEFT(Cockpit!$C$5,1)="B",AJ378,MAX(AJ378,H378))))</f>
        <v>1</v>
      </c>
      <c r="AG378" s="57" t="n">
        <f aca="false">IF(BT378=1,0,ROUNDUP(AF378/BS378,0))</f>
        <v>1</v>
      </c>
      <c r="AH378" s="59" t="n">
        <f aca="false">IF(CH378&gt;0,CH378*MAX(1,AF378/X378),IF(BT378=1,IF(AF378&lt;=0,0,BW378*MAX(1,IF(H378&gt;0,AF378/H378,1))),IF(R378&gt;0,AG378/R378,0))/MAX(0.1,N(Parameter!$M$21)))</f>
        <v>0.0833333333333333</v>
      </c>
      <c r="AI378" s="57" t="n">
        <f aca="false">AF378*G378</f>
        <v>136</v>
      </c>
      <c r="AJ378" s="57" t="n">
        <f aca="false">ROUNDUP(MAX(J378/IF(BZ378&gt;0,BZ378,MAX(0.1,N(Cockpit!$C$6))),CC378)/BS378,0)*BS378</f>
        <v>4</v>
      </c>
      <c r="AK378" s="58" t="n">
        <f aca="false">IF(AH378&gt;0,J378/AH378,-1)</f>
        <v>0</v>
      </c>
      <c r="AL378" s="58" t="n">
        <f aca="false">IF(AND(OR(BY378="L1",BY378="L23"),AH378&gt;0),SUMIFS($AH$7:$AH$1843,$BY$7:$BY$1843,BY378,$AK$7:$AK$1843,"&gt;"&amp;AK378)+SUMIFS($AH$7:$AH$1843,$BY$7:$BY$1843,BY378,$AK$7:$AK$1843,AK378,$BQ$7:$BQ$1843,"&lt;="&amp;BQ378),"")</f>
        <v>73.4722137765616</v>
      </c>
      <c r="AM378" s="65" t="n">
        <f aca="false">IF(AL378="",0,MAX(0,MIN(1,(IF(BY378="L1",Parameter!$E$5,Parameter!$E$6+Parameter!$E$7)-(AL378-AH378))/AH378)))</f>
        <v>1</v>
      </c>
      <c r="AN378" s="57" t="n">
        <f aca="false">IF(LEFT(Cockpit!$I$5,1)="A",H378,IF(CA378=1,CB378,IF(LEFT(Cockpit!$I$5,1)="B",AR378,MAX(AR378,H378))))</f>
        <v>4</v>
      </c>
      <c r="AO378" s="57" t="n">
        <f aca="false">IF(BT378=1,0,ROUNDUP(AN378/BS378,0))</f>
        <v>1</v>
      </c>
      <c r="AP378" s="59" t="n">
        <f aca="false">IF(CH378&gt;0,CH378*MAX(1,AN378/X378),IF(BT378=1,IF(AN378&lt;=0,0,BW378*MAX(1,IF(H378&gt;0,AN378/H378,1))),IF(R378&gt;0,AO378/R378,0))/MAX(0.1,N(Parameter!$M$21)))</f>
        <v>0.0833333333333333</v>
      </c>
      <c r="AQ378" s="57" t="n">
        <f aca="false">AN378*G378</f>
        <v>544</v>
      </c>
      <c r="AR378" s="57" t="n">
        <f aca="false">ROUNDUP(MAX(J378/IF(BZ378&gt;0,BZ378,MAX(0.1,N(Cockpit!$I$6))),CC378)/BS378,0)*BS378</f>
        <v>4</v>
      </c>
      <c r="AS378" s="58" t="n">
        <f aca="false">IF(AP378&gt;0,J378/AP378,-1)</f>
        <v>0</v>
      </c>
      <c r="AT378" s="58" t="n">
        <f aca="false">IF(AND(OR(BY378="L1",BY378="L23"),AP378&gt;0),SUMIFS($AP$7:$AP$1843,$BY$7:$BY$1843,BY378,$AS$7:$AS$1843,"&gt;"&amp;AS378)+SUMIFS($AP$7:$AP$1843,$BY$7:$BY$1843,BY378,$AS$7:$AS$1843,AS378,$BQ$7:$BQ$1843,"&lt;="&amp;BQ378),"")</f>
        <v>112.896337961555</v>
      </c>
      <c r="AU378" s="65" t="n">
        <f aca="false">IF(AT378="",0,MAX(0,MIN(1,(IF(BY378="L1",Parameter!$E$5,Parameter!$E$6+Parameter!$E$7)-(AT378-AP378))/AP378)))</f>
        <v>0</v>
      </c>
      <c r="AV378" s="57" t="n">
        <f aca="false">IF(LEFT(Cockpit!$O$5,1)="A",H378,IF(CA378=1,CB378,IF(LEFT(Cockpit!$O$5,1)="B",AZ378,MAX(AZ378,H378))))</f>
        <v>4</v>
      </c>
      <c r="AW378" s="57" t="n">
        <f aca="false">IF(BT378=1,0,ROUNDUP(AV378/BS378,0))</f>
        <v>1</v>
      </c>
      <c r="AX378" s="59" t="n">
        <f aca="false">IF(CH378&gt;0,CH378*MAX(1,AV378/X378),IF(BT378=1,IF(AV378&lt;=0,0,BW378*MAX(1,IF(H378&gt;0,AV378/H378,1))),IF(R378&gt;0,AW378/R378,0))/MAX(0.1,N(Parameter!$M$21)))</f>
        <v>0.0833333333333333</v>
      </c>
      <c r="AY378" s="57" t="n">
        <f aca="false">AV378*G378</f>
        <v>544</v>
      </c>
      <c r="AZ378" s="57" t="n">
        <f aca="false">ROUNDUP(MAX(J378/IF(BZ378&gt;0,BZ378,MAX(0.1,N(Cockpit!$O$6))),CC378)/BS378,0)*BS378</f>
        <v>4</v>
      </c>
      <c r="BA378" s="58" t="n">
        <f aca="false">IF(AX378&gt;0,J378/AX378,-1)</f>
        <v>0</v>
      </c>
      <c r="BB378" s="58" t="n">
        <f aca="false">IF(AND(OR(BY378="L1",BY378="L23"),AX378&gt;0),SUMIFS($AX$7:$AX$1843,$BY$7:$BY$1843,BY378,$BA$7:$BA$1843,"&gt;"&amp;BA378)+SUMIFS($AX$7:$AX$1843,$BY$7:$BY$1843,BY378,$BA$7:$BA$1843,BA378,$BQ$7:$BQ$1843,"&lt;="&amp;BQ378),"")</f>
        <v>103.726174791392</v>
      </c>
      <c r="BC378" s="65" t="n">
        <f aca="false">IF(BB378="",0,MAX(0,MIN(1,(IF(BY378="L1",Parameter!$E$5,Parameter!$E$6+Parameter!$E$7)-(BB378-AX378))/AX378)))</f>
        <v>0</v>
      </c>
      <c r="BD378" s="55" t="str">
        <f aca="false">IF(AH378&lt;=0,"",IF(BY378="Aussen","Aussenlager",IF(BY378="-","Nicht im Lift",IF(AM378&gt;=1,"Lift",IF(AM378&lt;=0,"Aussenlager","teilweise")))))</f>
        <v>Lift</v>
      </c>
      <c r="BE378" s="55" t="str">
        <f aca="false">IF(AP378&lt;=0,"",IF(BY378="Aussen","Aussenlager",IF(BY378="-","Nicht im Lift",IF(AU378&gt;=1,"Lift",IF(AU378&lt;=0,"Aussenlager","teilweise")))))</f>
        <v>Aussenlager</v>
      </c>
      <c r="BF378" s="55" t="str">
        <f aca="false">IF(AX378&lt;=0,"",IF(BY378="Aussen","Aussenlager",IF(BY378="-","Nicht im Lift",IF(BC378&gt;=1,"Lift",IF(BC378&lt;=0,"Aussenlager","teilweise")))))</f>
        <v>Aussenlager</v>
      </c>
      <c r="BG378" s="55" t="str">
        <f aca="false">IF(A378="","",IF(BP378=1,"Neu; ","")&amp;IF(AND(BP378=0,BK378&lt;0),"negativer Bestand (Export "&amp;BK378&amp;"); ","")&amp;IF(J378&lt;=0,"Kein Verbrauch; ","")&amp;IF(CH378&gt;0,"Lift "&amp;W378&amp;" lt. Liftbericht (Fach "&amp;X378&amp;" Stk); ",IF(BU378=1,"Gebinde geschätzt ("&amp;T378&amp;"); ",IF(BT378=1,"Lose – Tablare geschätzt; ","")))&amp;IF(H378&gt;AR378,"Überbestand "&amp;ROUND(H378-AR378,0)&amp;" Stk / CHF "&amp;ROUND((H378-AR378)*G378,0)&amp;"; ","")&amp;IF(AND(CA378=1,CB378&lt;CC378),"MAX &lt; MB+LG; ","")&amp;IF(AND(CG378&gt;0,CF378*10&gt;CG378),"zu hoch für Tablar; ","")&amp;IF(AND(BP378=0,OR(CA378=1,AA378&lt;&gt;"",U378&lt;&gt;"",V378&lt;&gt;"",AB378&lt;&gt;"")),"manuell übersteuert; ","")&amp;IF(AND(BT378=0,R378=0),"Gebinde unbekannt / Stellmass fehlt; ","")&amp;IF(AND(BT378=0,N(V378)&lt;=0,N(Q378)&lt;=0),"Menge pro Gebinde fehlt (Ist = 1 Gebinde); ","")&amp;BO378)</f>
        <v>Kein Verbrauch; Gebinde geschätzt (Mittel); Menge pro Gebinde fehlt (Ist = 1 Gebinde); </v>
      </c>
      <c r="BH378" s="55"/>
      <c r="BI378" s="55"/>
      <c r="BJ378" s="62"/>
      <c r="BK378" s="57" t="n">
        <v>1</v>
      </c>
      <c r="BL378" s="57" t="n">
        <v>0</v>
      </c>
      <c r="BM378" s="56" t="n">
        <v>136</v>
      </c>
      <c r="BN378" s="57" t="n">
        <v>0</v>
      </c>
      <c r="BO378" s="55"/>
      <c r="BP378" s="60" t="n">
        <v>0</v>
      </c>
      <c r="BQ378" s="60" t="n">
        <v>378</v>
      </c>
      <c r="BR378" s="55" t="str">
        <f aca="false">IF(U378&lt;&gt;"",UPPER(TRIM(U378)),IF(BU378=1,UPPER(VLOOKUP(T378,Parameter!$I$27:$K$29,2,0)),IF(P378="","LOSE",P378)))</f>
        <v>S61</v>
      </c>
      <c r="BS378" s="57" t="n">
        <f aca="false">IF(BR378="LOSE",1,IF(N(V378)&gt;0,V378,IF(BU378=1,MAX(1,N(VLOOKUP(T378,Parameter!$I$27:$K$29,3,0)),H378,N(N378)),IF(N(Q378)&gt;0,Q378,MAX(1,H378)))))</f>
        <v>4</v>
      </c>
      <c r="BT378" s="60" t="n">
        <f aca="false">IF(BR378="LOSE",1,0)</f>
        <v>0</v>
      </c>
      <c r="BU378" s="60" t="n">
        <f aca="false">IF(AND(U378="",OR(P378="",P378="LOSE"),T378&lt;&gt;"",N(S378)&lt;=0,ISNUMBER(MATCH(T378,Parameter!$I$27:$I$29,0))),1,0)</f>
        <v>1</v>
      </c>
      <c r="BV378" s="55" t="str">
        <f aca="false">IF(AND(Parameter!$B$19="Ja",E378&lt;&gt;"",ISNUMBER(MATCH(E378,Parameter!$I$35:$I$52,0))),VLOOKUP(E378,Parameter!$I$35:$J$52,2,0),IFERROR(VLOOKUP(D378,Parameter!$A$35:$C$64,2,0),"Nein"))</f>
        <v>2+3</v>
      </c>
      <c r="BW378" s="59" t="n">
        <f aca="false">IF(BT378=0,0,IF(N(S378)&gt;0,S378,IFERROR(VLOOKUP(D378,Parameter!$A$35:$C$64,3,0)+0,0)))</f>
        <v>0</v>
      </c>
      <c r="BX378" s="55" t="n">
        <f aca="false">IF(AA378&lt;&gt;"",AA378,Z378)</f>
        <v>2</v>
      </c>
      <c r="BY378" s="55" t="str">
        <f aca="false">IF(BX378=1,"L1",IF(OR(BX378=2,BX378=3),"L23",IF(BX378="Aussen","Aussen","-")))</f>
        <v>L23</v>
      </c>
      <c r="BZ378" s="66" t="n">
        <f aca="false">IF(N(AB378)&gt;0,AB378,0)</f>
        <v>0</v>
      </c>
      <c r="CA378" s="60" t="n">
        <f aca="false">IF(ISNUMBER(AE378),1,0)</f>
        <v>0</v>
      </c>
      <c r="CB378" s="57" t="n">
        <f aca="false">N(AE378)</f>
        <v>0</v>
      </c>
      <c r="CC378" s="57" t="n">
        <f aca="false">N(M378)+N(N378)</f>
        <v>1</v>
      </c>
      <c r="CD378" s="57" t="n">
        <f aca="false">ROUNDUP(H378/BS378,0)</f>
        <v>1</v>
      </c>
      <c r="CE378" s="57" t="n">
        <f aca="false">ROUNDUP(CB378/BS378,0)</f>
        <v>0</v>
      </c>
      <c r="CF378" s="60" t="n">
        <f aca="false">IF(BT378=1,0,IFERROR(VLOOKUP(BR378,'Gebinde-Kategorie'!$A$5:$M$45,5,0)+0,0))</f>
        <v>11</v>
      </c>
      <c r="CG378" s="60" t="n">
        <f aca="false">IFERROR(IF(OR(BX378=1,BX378=2,BX378=3),N(INDEX(Parameter!$I$5:$I$7,BX378)),0),0)</f>
        <v>0</v>
      </c>
      <c r="CH378" s="59" t="n">
        <f aca="false">IF(AND(Parameter!$B$21="Ja",ISNUMBER(W378),N(X378)&gt;0),IFERROR(N(INDEX(Parameter!$L$5:$L$7,W378))*INDEX(Parameter!$E$5:$E$7,W378)*X378/SUMIFS($X$7:$X$1843,$W$7:$W$1843,W378),0),0)</f>
        <v>0</v>
      </c>
    </row>
    <row r="379" customFormat="false" ht="15" hidden="false" customHeight="false" outlineLevel="0" collapsed="false">
      <c r="A379" s="55" t="s">
        <v>903</v>
      </c>
      <c r="B379" s="55" t="s">
        <v>589</v>
      </c>
      <c r="C379" s="55" t="s">
        <v>164</v>
      </c>
      <c r="D379" s="55" t="s">
        <v>184</v>
      </c>
      <c r="E379" s="55" t="s">
        <v>185</v>
      </c>
      <c r="F379" s="55" t="s">
        <v>218</v>
      </c>
      <c r="G379" s="56" t="n">
        <v>21.9</v>
      </c>
      <c r="H379" s="57" t="n">
        <f aca="false">MAX(0,IF(AND(Parameter!$B$21="Ja",ISNUMBER(Y379)),Y379,IF(Parameter!$B$20="Jahresanfang 2025 + Export",BL379+BK379,BK379)))</f>
        <v>34</v>
      </c>
      <c r="I379" s="57" t="n">
        <f aca="false">H379*G379</f>
        <v>744.6</v>
      </c>
      <c r="J379" s="57" t="n">
        <f aca="false">BN379*Parameter!$B$18</f>
        <v>25</v>
      </c>
      <c r="K379" s="58" t="n">
        <v>48</v>
      </c>
      <c r="L379" s="59" t="n">
        <v>0.520833333333333</v>
      </c>
      <c r="M379" s="57" t="n">
        <v>3</v>
      </c>
      <c r="N379" s="57" t="n">
        <v>25</v>
      </c>
      <c r="O379" s="60" t="n">
        <v>56</v>
      </c>
      <c r="P379" s="55" t="s">
        <v>401</v>
      </c>
      <c r="Q379" s="57" t="n">
        <v>65</v>
      </c>
      <c r="R379" s="60" t="n">
        <f aca="false">IF(BT379=1,0,IFERROR(VLOOKUP(BR379,'Gebinde-Kategorie'!$A$5:$M$45,13,0)+0,0))</f>
        <v>414</v>
      </c>
      <c r="S379" s="61"/>
      <c r="T379" s="62"/>
      <c r="U379" s="62"/>
      <c r="V379" s="62"/>
      <c r="W379" s="55"/>
      <c r="X379" s="57"/>
      <c r="Y379" s="57"/>
      <c r="Z379" s="55" t="n">
        <f aca="false">IF(A379="","",IF(AND(Parameter!$B$21="Ja",ISNUMBER(W379)),W379,IF(BV379="2+3",IF(ISNUMBER(SEARCH("grosser Artikel",BO379)),2,IFERROR(VLOOKUP(BR379,Parameter!$F$35:$G$64,2,0),2)),IF(OR(BV379="Nein",BV379=""),"-",BV379))))</f>
        <v>3</v>
      </c>
      <c r="AA379" s="62"/>
      <c r="AB379" s="63"/>
      <c r="AC379" s="57" t="n">
        <f aca="false">AR379</f>
        <v>65</v>
      </c>
      <c r="AD379" s="57" t="n">
        <f aca="false">MAX(AR379,H379)</f>
        <v>65</v>
      </c>
      <c r="AE379" s="64"/>
      <c r="AF379" s="57" t="n">
        <f aca="false">IF(LEFT(Cockpit!$C$5,1)="A",H379,IF(CA379=1,CB379,IF(LEFT(Cockpit!$C$5,1)="B",AJ379,MAX(AJ379,H379))))</f>
        <v>34</v>
      </c>
      <c r="AG379" s="57" t="n">
        <f aca="false">IF(BT379=1,0,ROUNDUP(AF379/BS379,0))</f>
        <v>1</v>
      </c>
      <c r="AH379" s="59" t="n">
        <f aca="false">IF(CH379&gt;0,CH379*MAX(1,AF379/X379),IF(BT379=1,IF(AF379&lt;=0,0,BW379*MAX(1,IF(H379&gt;0,AF379/H379,1))),IF(R379&gt;0,AG379/R379,0))/MAX(0.1,N(Parameter!$M$21)))</f>
        <v>0.00241545893719807</v>
      </c>
      <c r="AI379" s="57" t="n">
        <f aca="false">AF379*G379</f>
        <v>744.6</v>
      </c>
      <c r="AJ379" s="57" t="n">
        <f aca="false">ROUNDUP(MAX(J379/IF(BZ379&gt;0,BZ379,MAX(0.1,N(Cockpit!$C$6))),CC379)/BS379,0)*BS379</f>
        <v>65</v>
      </c>
      <c r="AK379" s="58" t="n">
        <f aca="false">IF(AH379&gt;0,J379/AH379,-1)</f>
        <v>10350</v>
      </c>
      <c r="AL379" s="58" t="n">
        <f aca="false">IF(AND(OR(BY379="L1",BY379="L23"),AH379&gt;0),SUMIFS($AH$7:$AH$1843,$BY$7:$BY$1843,BY379,$AK$7:$AK$1843,"&gt;"&amp;AK379)+SUMIFS($AH$7:$AH$1843,$BY$7:$BY$1843,BY379,$AK$7:$AK$1843,AK379,$BQ$7:$BQ$1843,"&lt;="&amp;BQ379),"")</f>
        <v>5.20267051788791</v>
      </c>
      <c r="AM379" s="65" t="n">
        <f aca="false">IF(AL379="",0,MAX(0,MIN(1,(IF(BY379="L1",Parameter!$E$5,Parameter!$E$6+Parameter!$E$7)-(AL379-AH379))/AH379)))</f>
        <v>1</v>
      </c>
      <c r="AN379" s="57" t="n">
        <f aca="false">IF(LEFT(Cockpit!$I$5,1)="A",H379,IF(CA379=1,CB379,IF(LEFT(Cockpit!$I$5,1)="B",AR379,MAX(AR379,H379))))</f>
        <v>65</v>
      </c>
      <c r="AO379" s="57" t="n">
        <f aca="false">IF(BT379=1,0,ROUNDUP(AN379/BS379,0))</f>
        <v>1</v>
      </c>
      <c r="AP379" s="59" t="n">
        <f aca="false">IF(CH379&gt;0,CH379*MAX(1,AN379/X379),IF(BT379=1,IF(AN379&lt;=0,0,BW379*MAX(1,IF(H379&gt;0,AN379/H379,1))),IF(R379&gt;0,AO379/R379,0))/MAX(0.1,N(Parameter!$M$21)))</f>
        <v>0.00241545893719807</v>
      </c>
      <c r="AQ379" s="57" t="n">
        <f aca="false">AN379*G379</f>
        <v>1423.5</v>
      </c>
      <c r="AR379" s="57" t="n">
        <f aca="false">ROUNDUP(MAX(J379/IF(BZ379&gt;0,BZ379,MAX(0.1,N(Cockpit!$I$6))),CC379)/BS379,0)*BS379</f>
        <v>65</v>
      </c>
      <c r="AS379" s="58" t="n">
        <f aca="false">IF(AP379&gt;0,J379/AP379,-1)</f>
        <v>10350</v>
      </c>
      <c r="AT379" s="58" t="n">
        <f aca="false">IF(AND(OR(BY379="L1",BY379="L23"),AP379&gt;0),SUMIFS($AP$7:$AP$1843,$BY$7:$BY$1843,BY379,$AS$7:$AS$1843,"&gt;"&amp;AS379)+SUMIFS($AP$7:$AP$1843,$BY$7:$BY$1843,BY379,$AS$7:$AS$1843,AS379,$BQ$7:$BQ$1843,"&lt;="&amp;BQ379),"")</f>
        <v>7.97982331677984</v>
      </c>
      <c r="AU379" s="65" t="n">
        <f aca="false">IF(AT379="",0,MAX(0,MIN(1,(IF(BY379="L1",Parameter!$E$5,Parameter!$E$6+Parameter!$E$7)-(AT379-AP379))/AP379)))</f>
        <v>1</v>
      </c>
      <c r="AV379" s="57" t="n">
        <f aca="false">IF(LEFT(Cockpit!$O$5,1)="A",H379,IF(CA379=1,CB379,IF(LEFT(Cockpit!$O$5,1)="B",AZ379,MAX(AZ379,H379))))</f>
        <v>65</v>
      </c>
      <c r="AW379" s="57" t="n">
        <f aca="false">IF(BT379=1,0,ROUNDUP(AV379/BS379,0))</f>
        <v>1</v>
      </c>
      <c r="AX379" s="59" t="n">
        <f aca="false">IF(CH379&gt;0,CH379*MAX(1,AV379/X379),IF(BT379=1,IF(AV379&lt;=0,0,BW379*MAX(1,IF(H379&gt;0,AV379/H379,1))),IF(R379&gt;0,AW379/R379,0))/MAX(0.1,N(Parameter!$M$21)))</f>
        <v>0.00241545893719807</v>
      </c>
      <c r="AY379" s="57" t="n">
        <f aca="false">AV379*G379</f>
        <v>1423.5</v>
      </c>
      <c r="AZ379" s="57" t="n">
        <f aca="false">ROUNDUP(MAX(J379/IF(BZ379&gt;0,BZ379,MAX(0.1,N(Cockpit!$O$6))),CC379)/BS379,0)*BS379</f>
        <v>65</v>
      </c>
      <c r="BA379" s="58" t="n">
        <f aca="false">IF(AX379&gt;0,J379/AX379,-1)</f>
        <v>10350</v>
      </c>
      <c r="BB379" s="58" t="n">
        <f aca="false">IF(AND(OR(BY379="L1",BY379="L23"),AX379&gt;0),SUMIFS($AX$7:$AX$1843,$BY$7:$BY$1843,BY379,$BA$7:$BA$1843,"&gt;"&amp;BA379)+SUMIFS($AX$7:$AX$1843,$BY$7:$BY$1843,BY379,$BA$7:$BA$1843,BA379,$BQ$7:$BQ$1843,"&lt;="&amp;BQ379),"")</f>
        <v>7.39940373636026</v>
      </c>
      <c r="BC379" s="65" t="n">
        <f aca="false">IF(BB379="",0,MAX(0,MIN(1,(IF(BY379="L1",Parameter!$E$5,Parameter!$E$6+Parameter!$E$7)-(BB379-AX379))/AX379)))</f>
        <v>1</v>
      </c>
      <c r="BD379" s="55" t="str">
        <f aca="false">IF(AH379&lt;=0,"",IF(BY379="Aussen","Aussenlager",IF(BY379="-","Nicht im Lift",IF(AM379&gt;=1,"Lift",IF(AM379&lt;=0,"Aussenlager","teilweise")))))</f>
        <v>Lift</v>
      </c>
      <c r="BE379" s="55" t="str">
        <f aca="false">IF(AP379&lt;=0,"",IF(BY379="Aussen","Aussenlager",IF(BY379="-","Nicht im Lift",IF(AU379&gt;=1,"Lift",IF(AU379&lt;=0,"Aussenlager","teilweise")))))</f>
        <v>Lift</v>
      </c>
      <c r="BF379" s="55" t="str">
        <f aca="false">IF(AX379&lt;=0,"",IF(BY379="Aussen","Aussenlager",IF(BY379="-","Nicht im Lift",IF(BC379&gt;=1,"Lift",IF(BC379&lt;=0,"Aussenlager","teilweise")))))</f>
        <v>Lift</v>
      </c>
      <c r="BG379" s="55" t="str">
        <f aca="false">IF(A379="","",IF(BP379=1,"Neu; ","")&amp;IF(AND(BP379=0,BK379&lt;0),"negativer Bestand (Export "&amp;BK379&amp;"); ","")&amp;IF(J379&lt;=0,"Kein Verbrauch; ","")&amp;IF(CH379&gt;0,"Lift "&amp;W379&amp;" lt. Liftbericht (Fach "&amp;X379&amp;" Stk); ",IF(BU379=1,"Gebinde geschätzt ("&amp;T379&amp;"); ",IF(BT379=1,"Lose – Tablare geschätzt; ","")))&amp;IF(H379&gt;AR379,"Überbestand "&amp;ROUND(H379-AR379,0)&amp;" Stk / CHF "&amp;ROUND((H379-AR379)*G379,0)&amp;"; ","")&amp;IF(AND(CA379=1,CB379&lt;CC379),"MAX &lt; MB+LG; ","")&amp;IF(AND(CG379&gt;0,CF379*10&gt;CG379),"zu hoch für Tablar; ","")&amp;IF(AND(BP379=0,OR(CA379=1,AA379&lt;&gt;"",U379&lt;&gt;"",V379&lt;&gt;"",AB379&lt;&gt;"")),"manuell übersteuert; ","")&amp;IF(AND(BT379=0,R379=0),"Gebinde unbekannt / Stellmass fehlt; ","")&amp;IF(AND(BT379=0,N(V379)&lt;=0,N(Q379)&lt;=0),"Menge pro Gebinde fehlt (Ist = 1 Gebinde); ","")&amp;BO379)</f>
        <v/>
      </c>
      <c r="BH379" s="55"/>
      <c r="BI379" s="55"/>
      <c r="BJ379" s="62"/>
      <c r="BK379" s="57" t="n">
        <v>1</v>
      </c>
      <c r="BL379" s="57" t="n">
        <v>33</v>
      </c>
      <c r="BM379" s="56" t="n">
        <v>135.75</v>
      </c>
      <c r="BN379" s="57" t="n">
        <v>25</v>
      </c>
      <c r="BO379" s="55"/>
      <c r="BP379" s="60" t="n">
        <v>0</v>
      </c>
      <c r="BQ379" s="60" t="n">
        <v>379</v>
      </c>
      <c r="BR379" s="55" t="str">
        <f aca="false">IF(U379&lt;&gt;"",UPPER(TRIM(U379)),IF(BU379=1,UPPER(VLOOKUP(T379,Parameter!$I$27:$K$29,2,0)),IF(P379="","LOSE",P379)))</f>
        <v>S21</v>
      </c>
      <c r="BS379" s="57" t="n">
        <f aca="false">IF(BR379="LOSE",1,IF(N(V379)&gt;0,V379,IF(BU379=1,MAX(1,N(VLOOKUP(T379,Parameter!$I$27:$K$29,3,0)),H379,N(N379)),IF(N(Q379)&gt;0,Q379,MAX(1,H379)))))</f>
        <v>65</v>
      </c>
      <c r="BT379" s="60" t="n">
        <f aca="false">IF(BR379="LOSE",1,0)</f>
        <v>0</v>
      </c>
      <c r="BU379" s="60" t="n">
        <f aca="false">IF(AND(U379="",OR(P379="",P379="LOSE"),T379&lt;&gt;"",N(S379)&lt;=0,ISNUMBER(MATCH(T379,Parameter!$I$27:$I$29,0))),1,0)</f>
        <v>0</v>
      </c>
      <c r="BV379" s="55" t="str">
        <f aca="false">IF(AND(Parameter!$B$19="Ja",E379&lt;&gt;"",ISNUMBER(MATCH(E379,Parameter!$I$35:$I$52,0))),VLOOKUP(E379,Parameter!$I$35:$J$52,2,0),IFERROR(VLOOKUP(D379,Parameter!$A$35:$C$64,2,0),"Nein"))</f>
        <v>2+3</v>
      </c>
      <c r="BW379" s="59" t="n">
        <f aca="false">IF(BT379=0,0,IF(N(S379)&gt;0,S379,IFERROR(VLOOKUP(D379,Parameter!$A$35:$C$64,3,0)+0,0)))</f>
        <v>0</v>
      </c>
      <c r="BX379" s="55" t="n">
        <f aca="false">IF(AA379&lt;&gt;"",AA379,Z379)</f>
        <v>3</v>
      </c>
      <c r="BY379" s="55" t="str">
        <f aca="false">IF(BX379=1,"L1",IF(OR(BX379=2,BX379=3),"L23",IF(BX379="Aussen","Aussen","-")))</f>
        <v>L23</v>
      </c>
      <c r="BZ379" s="66" t="n">
        <f aca="false">IF(N(AB379)&gt;0,AB379,0)</f>
        <v>0</v>
      </c>
      <c r="CA379" s="60" t="n">
        <f aca="false">IF(ISNUMBER(AE379),1,0)</f>
        <v>0</v>
      </c>
      <c r="CB379" s="57" t="n">
        <f aca="false">N(AE379)</f>
        <v>0</v>
      </c>
      <c r="CC379" s="57" t="n">
        <f aca="false">N(M379)+N(N379)</f>
        <v>28</v>
      </c>
      <c r="CD379" s="57" t="n">
        <f aca="false">ROUNDUP(H379/BS379,0)</f>
        <v>1</v>
      </c>
      <c r="CE379" s="57" t="n">
        <f aca="false">ROUNDUP(CB379/BS379,0)</f>
        <v>0</v>
      </c>
      <c r="CF379" s="60" t="n">
        <f aca="false">IF(BT379=1,0,IFERROR(VLOOKUP(BR379,'Gebinde-Kategorie'!$A$5:$M$45,5,0)+0,0))</f>
        <v>8</v>
      </c>
      <c r="CG379" s="60" t="n">
        <f aca="false">IFERROR(IF(OR(BX379=1,BX379=2,BX379=3),N(INDEX(Parameter!$I$5:$I$7,BX379)),0),0)</f>
        <v>0</v>
      </c>
      <c r="CH379" s="59" t="n">
        <f aca="false">IF(AND(Parameter!$B$21="Ja",ISNUMBER(W379),N(X379)&gt;0),IFERROR(N(INDEX(Parameter!$L$5:$L$7,W379))*INDEX(Parameter!$E$5:$E$7,W379)*X379/SUMIFS($X$7:$X$1843,$W$7:$W$1843,W379),0),0)</f>
        <v>0</v>
      </c>
    </row>
    <row r="380" customFormat="false" ht="15" hidden="false" customHeight="false" outlineLevel="0" collapsed="false">
      <c r="A380" s="55" t="s">
        <v>904</v>
      </c>
      <c r="B380" s="55" t="s">
        <v>905</v>
      </c>
      <c r="C380" s="55" t="s">
        <v>164</v>
      </c>
      <c r="D380" s="55" t="s">
        <v>184</v>
      </c>
      <c r="E380" s="55"/>
      <c r="F380" s="55" t="s">
        <v>218</v>
      </c>
      <c r="G380" s="56" t="n">
        <v>5.43</v>
      </c>
      <c r="H380" s="57" t="n">
        <f aca="false">MAX(0,IF(AND(Parameter!$B$21="Ja",ISNUMBER(Y380)),Y380,IF(Parameter!$B$20="Jahresanfang 2025 + Export",BL380+BK380,BK380)))</f>
        <v>25</v>
      </c>
      <c r="I380" s="57" t="n">
        <f aca="false">H380*G380</f>
        <v>135.75</v>
      </c>
      <c r="J380" s="57" t="n">
        <f aca="false">BN380*Parameter!$B$18</f>
        <v>0</v>
      </c>
      <c r="K380" s="58" t="n">
        <v>0</v>
      </c>
      <c r="L380" s="59" t="n">
        <v>0</v>
      </c>
      <c r="M380" s="57" t="n">
        <v>0</v>
      </c>
      <c r="N380" s="57" t="n">
        <v>1</v>
      </c>
      <c r="O380" s="60" t="n">
        <v>9999</v>
      </c>
      <c r="P380" s="55" t="s">
        <v>168</v>
      </c>
      <c r="Q380" s="57"/>
      <c r="R380" s="60" t="n">
        <f aca="false">IF(BT380=1,0,IFERROR(VLOOKUP(BR380,'Gebinde-Kategorie'!$A$5:$M$45,13,0)+0,0))</f>
        <v>12</v>
      </c>
      <c r="S380" s="61"/>
      <c r="T380" s="62" t="s">
        <v>179</v>
      </c>
      <c r="U380" s="62"/>
      <c r="V380" s="62"/>
      <c r="W380" s="55"/>
      <c r="X380" s="57"/>
      <c r="Y380" s="57"/>
      <c r="Z380" s="55" t="n">
        <f aca="false">IF(A380="","",IF(AND(Parameter!$B$21="Ja",ISNUMBER(W380)),W380,IF(BV380="2+3",IF(ISNUMBER(SEARCH("grosser Artikel",BO380)),2,IFERROR(VLOOKUP(BR380,Parameter!$F$35:$G$64,2,0),2)),IF(OR(BV380="Nein",BV380=""),"-",BV380))))</f>
        <v>2</v>
      </c>
      <c r="AA380" s="62"/>
      <c r="AB380" s="63"/>
      <c r="AC380" s="57" t="n">
        <f aca="false">AR380</f>
        <v>25</v>
      </c>
      <c r="AD380" s="57" t="n">
        <f aca="false">MAX(AR380,H380)</f>
        <v>25</v>
      </c>
      <c r="AE380" s="64"/>
      <c r="AF380" s="57" t="n">
        <f aca="false">IF(LEFT(Cockpit!$C$5,1)="A",H380,IF(CA380=1,CB380,IF(LEFT(Cockpit!$C$5,1)="B",AJ380,MAX(AJ380,H380))))</f>
        <v>25</v>
      </c>
      <c r="AG380" s="57" t="n">
        <f aca="false">IF(BT380=1,0,ROUNDUP(AF380/BS380,0))</f>
        <v>1</v>
      </c>
      <c r="AH380" s="59" t="n">
        <f aca="false">IF(CH380&gt;0,CH380*MAX(1,AF380/X380),IF(BT380=1,IF(AF380&lt;=0,0,BW380*MAX(1,IF(H380&gt;0,AF380/H380,1))),IF(R380&gt;0,AG380/R380,0))/MAX(0.1,N(Parameter!$M$21)))</f>
        <v>0.0833333333333333</v>
      </c>
      <c r="AI380" s="57" t="n">
        <f aca="false">AF380*G380</f>
        <v>135.75</v>
      </c>
      <c r="AJ380" s="57" t="n">
        <f aca="false">ROUNDUP(MAX(J380/IF(BZ380&gt;0,BZ380,MAX(0.1,N(Cockpit!$C$6))),CC380)/BS380,0)*BS380</f>
        <v>25</v>
      </c>
      <c r="AK380" s="58" t="n">
        <f aca="false">IF(AH380&gt;0,J380/AH380,-1)</f>
        <v>0</v>
      </c>
      <c r="AL380" s="58" t="n">
        <f aca="false">IF(AND(OR(BY380="L1",BY380="L23"),AH380&gt;0),SUMIFS($AH$7:$AH$1843,$BY$7:$BY$1843,BY380,$AK$7:$AK$1843,"&gt;"&amp;AK380)+SUMIFS($AH$7:$AH$1843,$BY$7:$BY$1843,BY380,$AK$7:$AK$1843,AK380,$BQ$7:$BQ$1843,"&lt;="&amp;BQ380),"")</f>
        <v>73.555547109895</v>
      </c>
      <c r="AM380" s="65" t="n">
        <f aca="false">IF(AL380="",0,MAX(0,MIN(1,(IF(BY380="L1",Parameter!$E$5,Parameter!$E$6+Parameter!$E$7)-(AL380-AH380))/AH380)))</f>
        <v>1</v>
      </c>
      <c r="AN380" s="57" t="n">
        <f aca="false">IF(LEFT(Cockpit!$I$5,1)="A",H380,IF(CA380=1,CB380,IF(LEFT(Cockpit!$I$5,1)="B",AR380,MAX(AR380,H380))))</f>
        <v>25</v>
      </c>
      <c r="AO380" s="57" t="n">
        <f aca="false">IF(BT380=1,0,ROUNDUP(AN380/BS380,0))</f>
        <v>1</v>
      </c>
      <c r="AP380" s="59" t="n">
        <f aca="false">IF(CH380&gt;0,CH380*MAX(1,AN380/X380),IF(BT380=1,IF(AN380&lt;=0,0,BW380*MAX(1,IF(H380&gt;0,AN380/H380,1))),IF(R380&gt;0,AO380/R380,0))/MAX(0.1,N(Parameter!$M$21)))</f>
        <v>0.0833333333333333</v>
      </c>
      <c r="AQ380" s="57" t="n">
        <f aca="false">AN380*G380</f>
        <v>135.75</v>
      </c>
      <c r="AR380" s="57" t="n">
        <f aca="false">ROUNDUP(MAX(J380/IF(BZ380&gt;0,BZ380,MAX(0.1,N(Cockpit!$I$6))),CC380)/BS380,0)*BS380</f>
        <v>25</v>
      </c>
      <c r="AS380" s="58" t="n">
        <f aca="false">IF(AP380&gt;0,J380/AP380,-1)</f>
        <v>0</v>
      </c>
      <c r="AT380" s="58" t="n">
        <f aca="false">IF(AND(OR(BY380="L1",BY380="L23"),AP380&gt;0),SUMIFS($AP$7:$AP$1843,$BY$7:$BY$1843,BY380,$AS$7:$AS$1843,"&gt;"&amp;AS380)+SUMIFS($AP$7:$AP$1843,$BY$7:$BY$1843,BY380,$AS$7:$AS$1843,AS380,$BQ$7:$BQ$1843,"&lt;="&amp;BQ380),"")</f>
        <v>112.979671294889</v>
      </c>
      <c r="AU380" s="65" t="n">
        <f aca="false">IF(AT380="",0,MAX(0,MIN(1,(IF(BY380="L1",Parameter!$E$5,Parameter!$E$6+Parameter!$E$7)-(AT380-AP380))/AP380)))</f>
        <v>0</v>
      </c>
      <c r="AV380" s="57" t="n">
        <f aca="false">IF(LEFT(Cockpit!$O$5,1)="A",H380,IF(CA380=1,CB380,IF(LEFT(Cockpit!$O$5,1)="B",AZ380,MAX(AZ380,H380))))</f>
        <v>25</v>
      </c>
      <c r="AW380" s="57" t="n">
        <f aca="false">IF(BT380=1,0,ROUNDUP(AV380/BS380,0))</f>
        <v>1</v>
      </c>
      <c r="AX380" s="59" t="n">
        <f aca="false">IF(CH380&gt;0,CH380*MAX(1,AV380/X380),IF(BT380=1,IF(AV380&lt;=0,0,BW380*MAX(1,IF(H380&gt;0,AV380/H380,1))),IF(R380&gt;0,AW380/R380,0))/MAX(0.1,N(Parameter!$M$21)))</f>
        <v>0.0833333333333333</v>
      </c>
      <c r="AY380" s="57" t="n">
        <f aca="false">AV380*G380</f>
        <v>135.75</v>
      </c>
      <c r="AZ380" s="57" t="n">
        <f aca="false">ROUNDUP(MAX(J380/IF(BZ380&gt;0,BZ380,MAX(0.1,N(Cockpit!$O$6))),CC380)/BS380,0)*BS380</f>
        <v>25</v>
      </c>
      <c r="BA380" s="58" t="n">
        <f aca="false">IF(AX380&gt;0,J380/AX380,-1)</f>
        <v>0</v>
      </c>
      <c r="BB380" s="58" t="n">
        <f aca="false">IF(AND(OR(BY380="L1",BY380="L23"),AX380&gt;0),SUMIFS($AX$7:$AX$1843,$BY$7:$BY$1843,BY380,$BA$7:$BA$1843,"&gt;"&amp;BA380)+SUMIFS($AX$7:$AX$1843,$BY$7:$BY$1843,BY380,$BA$7:$BA$1843,BA380,$BQ$7:$BQ$1843,"&lt;="&amp;BQ380),"")</f>
        <v>103.809508124726</v>
      </c>
      <c r="BC380" s="65" t="n">
        <f aca="false">IF(BB380="",0,MAX(0,MIN(1,(IF(BY380="L1",Parameter!$E$5,Parameter!$E$6+Parameter!$E$7)-(BB380-AX380))/AX380)))</f>
        <v>0</v>
      </c>
      <c r="BD380" s="55" t="str">
        <f aca="false">IF(AH380&lt;=0,"",IF(BY380="Aussen","Aussenlager",IF(BY380="-","Nicht im Lift",IF(AM380&gt;=1,"Lift",IF(AM380&lt;=0,"Aussenlager","teilweise")))))</f>
        <v>Lift</v>
      </c>
      <c r="BE380" s="55" t="str">
        <f aca="false">IF(AP380&lt;=0,"",IF(BY380="Aussen","Aussenlager",IF(BY380="-","Nicht im Lift",IF(AU380&gt;=1,"Lift",IF(AU380&lt;=0,"Aussenlager","teilweise")))))</f>
        <v>Aussenlager</v>
      </c>
      <c r="BF380" s="55" t="str">
        <f aca="false">IF(AX380&lt;=0,"",IF(BY380="Aussen","Aussenlager",IF(BY380="-","Nicht im Lift",IF(BC380&gt;=1,"Lift",IF(BC380&lt;=0,"Aussenlager","teilweise")))))</f>
        <v>Aussenlager</v>
      </c>
      <c r="BG380" s="55" t="str">
        <f aca="false">IF(A380="","",IF(BP380=1,"Neu; ","")&amp;IF(AND(BP380=0,BK380&lt;0),"negativer Bestand (Export "&amp;BK380&amp;"); ","")&amp;IF(J380&lt;=0,"Kein Verbrauch; ","")&amp;IF(CH380&gt;0,"Lift "&amp;W380&amp;" lt. Liftbericht (Fach "&amp;X380&amp;" Stk); ",IF(BU380=1,"Gebinde geschätzt ("&amp;T380&amp;"); ",IF(BT380=1,"Lose – Tablare geschätzt; ","")))&amp;IF(H380&gt;AR380,"Überbestand "&amp;ROUND(H380-AR380,0)&amp;" Stk / CHF "&amp;ROUND((H380-AR380)*G380,0)&amp;"; ","")&amp;IF(AND(CA380=1,CB380&lt;CC380),"MAX &lt; MB+LG; ","")&amp;IF(AND(CG380&gt;0,CF380*10&gt;CG380),"zu hoch für Tablar; ","")&amp;IF(AND(BP380=0,OR(CA380=1,AA380&lt;&gt;"",U380&lt;&gt;"",V380&lt;&gt;"",AB380&lt;&gt;"")),"manuell übersteuert; ","")&amp;IF(AND(BT380=0,R380=0),"Gebinde unbekannt / Stellmass fehlt; ","")&amp;IF(AND(BT380=0,N(V380)&lt;=0,N(Q380)&lt;=0),"Menge pro Gebinde fehlt (Ist = 1 Gebinde); ","")&amp;BO380)</f>
        <v>Kein Verbrauch; Gebinde geschätzt (Mittel); Menge pro Gebinde fehlt (Ist = 1 Gebinde); </v>
      </c>
      <c r="BH380" s="55"/>
      <c r="BI380" s="55"/>
      <c r="BJ380" s="62"/>
      <c r="BK380" s="57" t="n">
        <v>25</v>
      </c>
      <c r="BL380" s="57" t="n">
        <v>0</v>
      </c>
      <c r="BM380" s="56" t="n">
        <v>135.75</v>
      </c>
      <c r="BN380" s="57" t="n">
        <v>0</v>
      </c>
      <c r="BO380" s="55"/>
      <c r="BP380" s="60" t="n">
        <v>0</v>
      </c>
      <c r="BQ380" s="60" t="n">
        <v>380</v>
      </c>
      <c r="BR380" s="55" t="str">
        <f aca="false">IF(U380&lt;&gt;"",UPPER(TRIM(U380)),IF(BU380=1,UPPER(VLOOKUP(T380,Parameter!$I$27:$K$29,2,0)),IF(P380="","LOSE",P380)))</f>
        <v>S61</v>
      </c>
      <c r="BS380" s="57" t="n">
        <f aca="false">IF(BR380="LOSE",1,IF(N(V380)&gt;0,V380,IF(BU380=1,MAX(1,N(VLOOKUP(T380,Parameter!$I$27:$K$29,3,0)),H380,N(N380)),IF(N(Q380)&gt;0,Q380,MAX(1,H380)))))</f>
        <v>25</v>
      </c>
      <c r="BT380" s="60" t="n">
        <f aca="false">IF(BR380="LOSE",1,0)</f>
        <v>0</v>
      </c>
      <c r="BU380" s="60" t="n">
        <f aca="false">IF(AND(U380="",OR(P380="",P380="LOSE"),T380&lt;&gt;"",N(S380)&lt;=0,ISNUMBER(MATCH(T380,Parameter!$I$27:$I$29,0))),1,0)</f>
        <v>1</v>
      </c>
      <c r="BV380" s="55" t="str">
        <f aca="false">IF(AND(Parameter!$B$19="Ja",E380&lt;&gt;"",ISNUMBER(MATCH(E380,Parameter!$I$35:$I$52,0))),VLOOKUP(E380,Parameter!$I$35:$J$52,2,0),IFERROR(VLOOKUP(D380,Parameter!$A$35:$C$64,2,0),"Nein"))</f>
        <v>2+3</v>
      </c>
      <c r="BW380" s="59" t="n">
        <f aca="false">IF(BT380=0,0,IF(N(S380)&gt;0,S380,IFERROR(VLOOKUP(D380,Parameter!$A$35:$C$64,3,0)+0,0)))</f>
        <v>0</v>
      </c>
      <c r="BX380" s="55" t="n">
        <f aca="false">IF(AA380&lt;&gt;"",AA380,Z380)</f>
        <v>2</v>
      </c>
      <c r="BY380" s="55" t="str">
        <f aca="false">IF(BX380=1,"L1",IF(OR(BX380=2,BX380=3),"L23",IF(BX380="Aussen","Aussen","-")))</f>
        <v>L23</v>
      </c>
      <c r="BZ380" s="66" t="n">
        <f aca="false">IF(N(AB380)&gt;0,AB380,0)</f>
        <v>0</v>
      </c>
      <c r="CA380" s="60" t="n">
        <f aca="false">IF(ISNUMBER(AE380),1,0)</f>
        <v>0</v>
      </c>
      <c r="CB380" s="57" t="n">
        <f aca="false">N(AE380)</f>
        <v>0</v>
      </c>
      <c r="CC380" s="57" t="n">
        <f aca="false">N(M380)+N(N380)</f>
        <v>1</v>
      </c>
      <c r="CD380" s="57" t="n">
        <f aca="false">ROUNDUP(H380/BS380,0)</f>
        <v>1</v>
      </c>
      <c r="CE380" s="57" t="n">
        <f aca="false">ROUNDUP(CB380/BS380,0)</f>
        <v>0</v>
      </c>
      <c r="CF380" s="60" t="n">
        <f aca="false">IF(BT380=1,0,IFERROR(VLOOKUP(BR380,'Gebinde-Kategorie'!$A$5:$M$45,5,0)+0,0))</f>
        <v>11</v>
      </c>
      <c r="CG380" s="60" t="n">
        <f aca="false">IFERROR(IF(OR(BX380=1,BX380=2,BX380=3),N(INDEX(Parameter!$I$5:$I$7,BX380)),0),0)</f>
        <v>0</v>
      </c>
      <c r="CH380" s="59" t="n">
        <f aca="false">IF(AND(Parameter!$B$21="Ja",ISNUMBER(W380),N(X380)&gt;0),IFERROR(N(INDEX(Parameter!$L$5:$L$7,W380))*INDEX(Parameter!$E$5:$E$7,W380)*X380/SUMIFS($X$7:$X$1843,$W$7:$W$1843,W380),0),0)</f>
        <v>0</v>
      </c>
    </row>
    <row r="381" customFormat="false" ht="15" hidden="false" customHeight="false" outlineLevel="0" collapsed="false">
      <c r="A381" s="55" t="s">
        <v>906</v>
      </c>
      <c r="B381" s="55" t="s">
        <v>907</v>
      </c>
      <c r="C381" s="55" t="s">
        <v>164</v>
      </c>
      <c r="D381" s="55" t="s">
        <v>184</v>
      </c>
      <c r="E381" s="55"/>
      <c r="F381" s="55" t="s">
        <v>218</v>
      </c>
      <c r="G381" s="56" t="n">
        <v>0.8</v>
      </c>
      <c r="H381" s="57" t="n">
        <f aca="false">MAX(0,IF(AND(Parameter!$B$21="Ja",ISNUMBER(Y381)),Y381,IF(Parameter!$B$20="Jahresanfang 2025 + Export",BL381+BK381,BK381)))</f>
        <v>449</v>
      </c>
      <c r="I381" s="57" t="n">
        <f aca="false">H381*G381</f>
        <v>359.2</v>
      </c>
      <c r="J381" s="57" t="n">
        <f aca="false">BN381*Parameter!$B$18</f>
        <v>206</v>
      </c>
      <c r="K381" s="58" t="n">
        <v>264.5</v>
      </c>
      <c r="L381" s="59" t="n">
        <v>0.77882797731569</v>
      </c>
      <c r="M381" s="57" t="n">
        <v>12</v>
      </c>
      <c r="N381" s="57" t="n">
        <v>250</v>
      </c>
      <c r="O381" s="60" t="n">
        <v>21</v>
      </c>
      <c r="P381" s="55" t="s">
        <v>168</v>
      </c>
      <c r="Q381" s="57"/>
      <c r="R381" s="60" t="n">
        <f aca="false">IF(BT381=1,0,IFERROR(VLOOKUP(BR381,'Gebinde-Kategorie'!$A$5:$M$45,13,0)+0,0))</f>
        <v>26</v>
      </c>
      <c r="S381" s="61"/>
      <c r="T381" s="62" t="s">
        <v>275</v>
      </c>
      <c r="U381" s="62"/>
      <c r="V381" s="62"/>
      <c r="W381" s="55"/>
      <c r="X381" s="57"/>
      <c r="Y381" s="57"/>
      <c r="Z381" s="55" t="n">
        <f aca="false">IF(A381="","",IF(AND(Parameter!$B$21="Ja",ISNUMBER(W381)),W381,IF(BV381="2+3",IF(ISNUMBER(SEARCH("grosser Artikel",BO381)),2,IFERROR(VLOOKUP(BR381,Parameter!$F$35:$G$64,2,0),2)),IF(OR(BV381="Nein",BV381=""),"-",BV381))))</f>
        <v>3</v>
      </c>
      <c r="AA381" s="62"/>
      <c r="AB381" s="63"/>
      <c r="AC381" s="57" t="n">
        <f aca="false">AR381</f>
        <v>449</v>
      </c>
      <c r="AD381" s="57" t="n">
        <f aca="false">MAX(AR381,H381)</f>
        <v>449</v>
      </c>
      <c r="AE381" s="64"/>
      <c r="AF381" s="57" t="n">
        <f aca="false">IF(LEFT(Cockpit!$C$5,1)="A",H381,IF(CA381=1,CB381,IF(LEFT(Cockpit!$C$5,1)="B",AJ381,MAX(AJ381,H381))))</f>
        <v>449</v>
      </c>
      <c r="AG381" s="57" t="n">
        <f aca="false">IF(BT381=1,0,ROUNDUP(AF381/BS381,0))</f>
        <v>1</v>
      </c>
      <c r="AH381" s="59" t="n">
        <f aca="false">IF(CH381&gt;0,CH381*MAX(1,AF381/X381),IF(BT381=1,IF(AF381&lt;=0,0,BW381*MAX(1,IF(H381&gt;0,AF381/H381,1))),IF(R381&gt;0,AG381/R381,0))/MAX(0.1,N(Parameter!$M$21)))</f>
        <v>0.0384615384615385</v>
      </c>
      <c r="AI381" s="57" t="n">
        <f aca="false">AF381*G381</f>
        <v>359.2</v>
      </c>
      <c r="AJ381" s="57" t="n">
        <f aca="false">ROUNDUP(MAX(J381/IF(BZ381&gt;0,BZ381,MAX(0.1,N(Cockpit!$C$6))),CC381)/BS381,0)*BS381</f>
        <v>449</v>
      </c>
      <c r="AK381" s="58" t="n">
        <f aca="false">IF(AH381&gt;0,J381/AH381,-1)</f>
        <v>5356</v>
      </c>
      <c r="AL381" s="58" t="n">
        <f aca="false">IF(AND(OR(BY381="L1",BY381="L23"),AH381&gt;0),SUMIFS($AH$7:$AH$1843,$BY$7:$BY$1843,BY381,$AK$7:$AK$1843,"&gt;"&amp;AK381)+SUMIFS($AH$7:$AH$1843,$BY$7:$BY$1843,BY381,$AK$7:$AK$1843,AK381,$BQ$7:$BQ$1843,"&lt;="&amp;BQ381),"")</f>
        <v>6.84525860612817</v>
      </c>
      <c r="AM381" s="65" t="n">
        <f aca="false">IF(AL381="",0,MAX(0,MIN(1,(IF(BY381="L1",Parameter!$E$5,Parameter!$E$6+Parameter!$E$7)-(AL381-AH381))/AH381)))</f>
        <v>1</v>
      </c>
      <c r="AN381" s="57" t="n">
        <f aca="false">IF(LEFT(Cockpit!$I$5,1)="A",H381,IF(CA381=1,CB381,IF(LEFT(Cockpit!$I$5,1)="B",AR381,MAX(AR381,H381))))</f>
        <v>449</v>
      </c>
      <c r="AO381" s="57" t="n">
        <f aca="false">IF(BT381=1,0,ROUNDUP(AN381/BS381,0))</f>
        <v>1</v>
      </c>
      <c r="AP381" s="59" t="n">
        <f aca="false">IF(CH381&gt;0,CH381*MAX(1,AN381/X381),IF(BT381=1,IF(AN381&lt;=0,0,BW381*MAX(1,IF(H381&gt;0,AN381/H381,1))),IF(R381&gt;0,AO381/R381,0))/MAX(0.1,N(Parameter!$M$21)))</f>
        <v>0.0384615384615385</v>
      </c>
      <c r="AQ381" s="57" t="n">
        <f aca="false">AN381*G381</f>
        <v>359.2</v>
      </c>
      <c r="AR381" s="57" t="n">
        <f aca="false">ROUNDUP(MAX(J381/IF(BZ381&gt;0,BZ381,MAX(0.1,N(Cockpit!$I$6))),CC381)/BS381,0)*BS381</f>
        <v>449</v>
      </c>
      <c r="AS381" s="58" t="n">
        <f aca="false">IF(AP381&gt;0,J381/AP381,-1)</f>
        <v>5356</v>
      </c>
      <c r="AT381" s="58" t="n">
        <f aca="false">IF(AND(OR(BY381="L1",BY381="L23"),AP381&gt;0),SUMIFS($AP$7:$AP$1843,$BY$7:$BY$1843,BY381,$AS$7:$AS$1843,"&gt;"&amp;AS381)+SUMIFS($AP$7:$AP$1843,$BY$7:$BY$1843,BY381,$AS$7:$AS$1843,AS381,$BQ$7:$BQ$1843,"&lt;="&amp;BQ381),"")</f>
        <v>11.6751376642681</v>
      </c>
      <c r="AU381" s="65" t="n">
        <f aca="false">IF(AT381="",0,MAX(0,MIN(1,(IF(BY381="L1",Parameter!$E$5,Parameter!$E$6+Parameter!$E$7)-(AT381-AP381))/AP381)))</f>
        <v>1</v>
      </c>
      <c r="AV381" s="57" t="n">
        <f aca="false">IF(LEFT(Cockpit!$O$5,1)="A",H381,IF(CA381=1,CB381,IF(LEFT(Cockpit!$O$5,1)="B",AZ381,MAX(AZ381,H381))))</f>
        <v>449</v>
      </c>
      <c r="AW381" s="57" t="n">
        <f aca="false">IF(BT381=1,0,ROUNDUP(AV381/BS381,0))</f>
        <v>1</v>
      </c>
      <c r="AX381" s="59" t="n">
        <f aca="false">IF(CH381&gt;0,CH381*MAX(1,AV381/X381),IF(BT381=1,IF(AV381&lt;=0,0,BW381*MAX(1,IF(H381&gt;0,AV381/H381,1))),IF(R381&gt;0,AW381/R381,0))/MAX(0.1,N(Parameter!$M$21)))</f>
        <v>0.0384615384615385</v>
      </c>
      <c r="AY381" s="57" t="n">
        <f aca="false">AV381*G381</f>
        <v>359.2</v>
      </c>
      <c r="AZ381" s="57" t="n">
        <f aca="false">ROUNDUP(MAX(J381/IF(BZ381&gt;0,BZ381,MAX(0.1,N(Cockpit!$O$6))),CC381)/BS381,0)*BS381</f>
        <v>449</v>
      </c>
      <c r="BA381" s="58" t="n">
        <f aca="false">IF(AX381&gt;0,J381/AX381,-1)</f>
        <v>5356</v>
      </c>
      <c r="BB381" s="58" t="n">
        <f aca="false">IF(AND(OR(BY381="L1",BY381="L23"),AX381&gt;0),SUMIFS($AX$7:$AX$1843,$BY$7:$BY$1843,BY381,$BA$7:$BA$1843,"&gt;"&amp;BA381)+SUMIFS($AX$7:$AX$1843,$BY$7:$BY$1843,BY381,$BA$7:$BA$1843,BA381,$BQ$7:$BQ$1843,"&lt;="&amp;BQ381),"")</f>
        <v>10.3960001351306</v>
      </c>
      <c r="BC381" s="65" t="n">
        <f aca="false">IF(BB381="",0,MAX(0,MIN(1,(IF(BY381="L1",Parameter!$E$5,Parameter!$E$6+Parameter!$E$7)-(BB381-AX381))/AX381)))</f>
        <v>1</v>
      </c>
      <c r="BD381" s="55" t="str">
        <f aca="false">IF(AH381&lt;=0,"",IF(BY381="Aussen","Aussenlager",IF(BY381="-","Nicht im Lift",IF(AM381&gt;=1,"Lift",IF(AM381&lt;=0,"Aussenlager","teilweise")))))</f>
        <v>Lift</v>
      </c>
      <c r="BE381" s="55" t="str">
        <f aca="false">IF(AP381&lt;=0,"",IF(BY381="Aussen","Aussenlager",IF(BY381="-","Nicht im Lift",IF(AU381&gt;=1,"Lift",IF(AU381&lt;=0,"Aussenlager","teilweise")))))</f>
        <v>Lift</v>
      </c>
      <c r="BF381" s="55" t="str">
        <f aca="false">IF(AX381&lt;=0,"",IF(BY381="Aussen","Aussenlager",IF(BY381="-","Nicht im Lift",IF(BC381&gt;=1,"Lift",IF(BC381&lt;=0,"Aussenlager","teilweise")))))</f>
        <v>Lift</v>
      </c>
      <c r="BG381" s="55" t="str">
        <f aca="false">IF(A381="","",IF(BP381=1,"Neu; ","")&amp;IF(AND(BP381=0,BK381&lt;0),"negativer Bestand (Export "&amp;BK381&amp;"); ","")&amp;IF(J381&lt;=0,"Kein Verbrauch; ","")&amp;IF(CH381&gt;0,"Lift "&amp;W381&amp;" lt. Liftbericht (Fach "&amp;X381&amp;" Stk); ",IF(BU381=1,"Gebinde geschätzt ("&amp;T381&amp;"); ",IF(BT381=1,"Lose – Tablare geschätzt; ","")))&amp;IF(H381&gt;AR381,"Überbestand "&amp;ROUND(H381-AR381,0)&amp;" Stk / CHF "&amp;ROUND((H381-AR381)*G381,0)&amp;"; ","")&amp;IF(AND(CA381=1,CB381&lt;CC381),"MAX &lt; MB+LG; ","")&amp;IF(AND(CG381&gt;0,CF381*10&gt;CG381),"zu hoch für Tablar; ","")&amp;IF(AND(BP381=0,OR(CA381=1,AA381&lt;&gt;"",U381&lt;&gt;"",V381&lt;&gt;"",AB381&lt;&gt;"")),"manuell übersteuert; ","")&amp;IF(AND(BT381=0,R381=0),"Gebinde unbekannt / Stellmass fehlt; ","")&amp;IF(AND(BT381=0,N(V381)&lt;=0,N(Q381)&lt;=0),"Menge pro Gebinde fehlt (Ist = 1 Gebinde); ","")&amp;BO381)</f>
        <v>Gebinde geschätzt (Klein); Menge pro Gebinde fehlt (Ist = 1 Gebinde); </v>
      </c>
      <c r="BH381" s="55"/>
      <c r="BI381" s="55"/>
      <c r="BJ381" s="62"/>
      <c r="BK381" s="57" t="n">
        <v>216</v>
      </c>
      <c r="BL381" s="57" t="n">
        <v>233</v>
      </c>
      <c r="BM381" s="56" t="n">
        <v>133.19</v>
      </c>
      <c r="BN381" s="57" t="n">
        <v>206</v>
      </c>
      <c r="BO381" s="55"/>
      <c r="BP381" s="60" t="n">
        <v>0</v>
      </c>
      <c r="BQ381" s="60" t="n">
        <v>381</v>
      </c>
      <c r="BR381" s="55" t="str">
        <f aca="false">IF(U381&lt;&gt;"",UPPER(TRIM(U381)),IF(BU381=1,UPPER(VLOOKUP(T381,Parameter!$I$27:$K$29,2,0)),IF(P381="","LOSE",P381)))</f>
        <v>S51</v>
      </c>
      <c r="BS381" s="57" t="n">
        <f aca="false">IF(BR381="LOSE",1,IF(N(V381)&gt;0,V381,IF(BU381=1,MAX(1,N(VLOOKUP(T381,Parameter!$I$27:$K$29,3,0)),H381,N(N381)),IF(N(Q381)&gt;0,Q381,MAX(1,H381)))))</f>
        <v>449</v>
      </c>
      <c r="BT381" s="60" t="n">
        <f aca="false">IF(BR381="LOSE",1,0)</f>
        <v>0</v>
      </c>
      <c r="BU381" s="60" t="n">
        <f aca="false">IF(AND(U381="",OR(P381="",P381="LOSE"),T381&lt;&gt;"",N(S381)&lt;=0,ISNUMBER(MATCH(T381,Parameter!$I$27:$I$29,0))),1,0)</f>
        <v>1</v>
      </c>
      <c r="BV381" s="55" t="str">
        <f aca="false">IF(AND(Parameter!$B$19="Ja",E381&lt;&gt;"",ISNUMBER(MATCH(E381,Parameter!$I$35:$I$52,0))),VLOOKUP(E381,Parameter!$I$35:$J$52,2,0),IFERROR(VLOOKUP(D381,Parameter!$A$35:$C$64,2,0),"Nein"))</f>
        <v>2+3</v>
      </c>
      <c r="BW381" s="59" t="n">
        <f aca="false">IF(BT381=0,0,IF(N(S381)&gt;0,S381,IFERROR(VLOOKUP(D381,Parameter!$A$35:$C$64,3,0)+0,0)))</f>
        <v>0</v>
      </c>
      <c r="BX381" s="55" t="n">
        <f aca="false">IF(AA381&lt;&gt;"",AA381,Z381)</f>
        <v>3</v>
      </c>
      <c r="BY381" s="55" t="str">
        <f aca="false">IF(BX381=1,"L1",IF(OR(BX381=2,BX381=3),"L23",IF(BX381="Aussen","Aussen","-")))</f>
        <v>L23</v>
      </c>
      <c r="BZ381" s="66" t="n">
        <f aca="false">IF(N(AB381)&gt;0,AB381,0)</f>
        <v>0</v>
      </c>
      <c r="CA381" s="60" t="n">
        <f aca="false">IF(ISNUMBER(AE381),1,0)</f>
        <v>0</v>
      </c>
      <c r="CB381" s="57" t="n">
        <f aca="false">N(AE381)</f>
        <v>0</v>
      </c>
      <c r="CC381" s="57" t="n">
        <f aca="false">N(M381)+N(N381)</f>
        <v>262</v>
      </c>
      <c r="CD381" s="57" t="n">
        <f aca="false">ROUNDUP(H381/BS381,0)</f>
        <v>1</v>
      </c>
      <c r="CE381" s="57" t="n">
        <f aca="false">ROUNDUP(CB381/BS381,0)</f>
        <v>0</v>
      </c>
      <c r="CF381" s="60" t="n">
        <f aca="false">IF(BT381=1,0,IFERROR(VLOOKUP(BR381,'Gebinde-Kategorie'!$A$5:$M$45,5,0)+0,0))</f>
        <v>11</v>
      </c>
      <c r="CG381" s="60" t="n">
        <f aca="false">IFERROR(IF(OR(BX381=1,BX381=2,BX381=3),N(INDEX(Parameter!$I$5:$I$7,BX381)),0),0)</f>
        <v>0</v>
      </c>
      <c r="CH381" s="59" t="n">
        <f aca="false">IF(AND(Parameter!$B$21="Ja",ISNUMBER(W381),N(X381)&gt;0),IFERROR(N(INDEX(Parameter!$L$5:$L$7,W381))*INDEX(Parameter!$E$5:$E$7,W381)*X381/SUMIFS($X$7:$X$1843,$W$7:$W$1843,W381),0),0)</f>
        <v>0</v>
      </c>
    </row>
    <row r="382" customFormat="false" ht="15" hidden="false" customHeight="false" outlineLevel="0" collapsed="false">
      <c r="A382" s="55" t="s">
        <v>908</v>
      </c>
      <c r="B382" s="55" t="s">
        <v>909</v>
      </c>
      <c r="C382" s="55" t="s">
        <v>164</v>
      </c>
      <c r="D382" s="55" t="s">
        <v>184</v>
      </c>
      <c r="E382" s="55" t="s">
        <v>185</v>
      </c>
      <c r="F382" s="55" t="s">
        <v>218</v>
      </c>
      <c r="G382" s="56" t="n">
        <v>0.99</v>
      </c>
      <c r="H382" s="57" t="n">
        <f aca="false">MAX(0,IF(AND(Parameter!$B$21="Ja",ISNUMBER(Y382)),Y382,IF(Parameter!$B$20="Jahresanfang 2025 + Export",BL382+BK382,BK382)))</f>
        <v>223</v>
      </c>
      <c r="I382" s="57" t="n">
        <f aca="false">H382*G382</f>
        <v>220.77</v>
      </c>
      <c r="J382" s="57" t="n">
        <f aca="false">BN382*Parameter!$B$18</f>
        <v>302</v>
      </c>
      <c r="K382" s="58" t="n">
        <v>86</v>
      </c>
      <c r="L382" s="59" t="n">
        <v>3.51162790697674</v>
      </c>
      <c r="M382" s="57" t="n">
        <v>23</v>
      </c>
      <c r="N382" s="57" t="n">
        <v>300</v>
      </c>
      <c r="O382" s="60" t="n">
        <v>28</v>
      </c>
      <c r="P382" s="55" t="s">
        <v>476</v>
      </c>
      <c r="Q382" s="57" t="n">
        <v>176</v>
      </c>
      <c r="R382" s="60" t="n">
        <f aca="false">IF(BT382=1,0,IFERROR(VLOOKUP(BR382,'Gebinde-Kategorie'!$A$5:$M$45,13,0)+0,0))</f>
        <v>66</v>
      </c>
      <c r="S382" s="61"/>
      <c r="T382" s="62"/>
      <c r="U382" s="62"/>
      <c r="V382" s="62"/>
      <c r="W382" s="55"/>
      <c r="X382" s="57"/>
      <c r="Y382" s="57"/>
      <c r="Z382" s="55" t="n">
        <f aca="false">IF(A382="","",IF(AND(Parameter!$B$21="Ja",ISNUMBER(W382)),W382,IF(BV382="2+3",IF(ISNUMBER(SEARCH("grosser Artikel",BO382)),2,IFERROR(VLOOKUP(BR382,Parameter!$F$35:$G$64,2,0),2)),IF(OR(BV382="Nein",BV382=""),"-",BV382))))</f>
        <v>3</v>
      </c>
      <c r="AA382" s="62"/>
      <c r="AB382" s="63"/>
      <c r="AC382" s="57" t="n">
        <f aca="false">AR382</f>
        <v>352</v>
      </c>
      <c r="AD382" s="57" t="n">
        <f aca="false">MAX(AR382,H382)</f>
        <v>352</v>
      </c>
      <c r="AE382" s="64"/>
      <c r="AF382" s="57" t="n">
        <f aca="false">IF(LEFT(Cockpit!$C$5,1)="A",H382,IF(CA382=1,CB382,IF(LEFT(Cockpit!$C$5,1)="B",AJ382,MAX(AJ382,H382))))</f>
        <v>223</v>
      </c>
      <c r="AG382" s="57" t="n">
        <f aca="false">IF(BT382=1,0,ROUNDUP(AF382/BS382,0))</f>
        <v>2</v>
      </c>
      <c r="AH382" s="59" t="n">
        <f aca="false">IF(CH382&gt;0,CH382*MAX(1,AF382/X382),IF(BT382=1,IF(AF382&lt;=0,0,BW382*MAX(1,IF(H382&gt;0,AF382/H382,1))),IF(R382&gt;0,AG382/R382,0))/MAX(0.1,N(Parameter!$M$21)))</f>
        <v>0.0303030303030303</v>
      </c>
      <c r="AI382" s="57" t="n">
        <f aca="false">AF382*G382</f>
        <v>220.77</v>
      </c>
      <c r="AJ382" s="57" t="n">
        <f aca="false">ROUNDUP(MAX(J382/IF(BZ382&gt;0,BZ382,MAX(0.1,N(Cockpit!$C$6))),CC382)/BS382,0)*BS382</f>
        <v>352</v>
      </c>
      <c r="AK382" s="58" t="n">
        <f aca="false">IF(AH382&gt;0,J382/AH382,-1)</f>
        <v>9966</v>
      </c>
      <c r="AL382" s="58" t="n">
        <f aca="false">IF(AND(OR(BY382="L1",BY382="L23"),AH382&gt;0),SUMIFS($AH$7:$AH$1843,$BY$7:$BY$1843,BY382,$AK$7:$AK$1843,"&gt;"&amp;AK382)+SUMIFS($AH$7:$AH$1843,$BY$7:$BY$1843,BY382,$AK$7:$AK$1843,AK382,$BQ$7:$BQ$1843,"&lt;="&amp;BQ382),"")</f>
        <v>5.39789196310935</v>
      </c>
      <c r="AM382" s="65" t="n">
        <f aca="false">IF(AL382="",0,MAX(0,MIN(1,(IF(BY382="L1",Parameter!$E$5,Parameter!$E$6+Parameter!$E$7)-(AL382-AH382))/AH382)))</f>
        <v>1</v>
      </c>
      <c r="AN382" s="57" t="n">
        <f aca="false">IF(LEFT(Cockpit!$I$5,1)="A",H382,IF(CA382=1,CB382,IF(LEFT(Cockpit!$I$5,1)="B",AR382,MAX(AR382,H382))))</f>
        <v>352</v>
      </c>
      <c r="AO382" s="57" t="n">
        <f aca="false">IF(BT382=1,0,ROUNDUP(AN382/BS382,0))</f>
        <v>2</v>
      </c>
      <c r="AP382" s="59" t="n">
        <f aca="false">IF(CH382&gt;0,CH382*MAX(1,AN382/X382),IF(BT382=1,IF(AN382&lt;=0,0,BW382*MAX(1,IF(H382&gt;0,AN382/H382,1))),IF(R382&gt;0,AO382/R382,0))/MAX(0.1,N(Parameter!$M$21)))</f>
        <v>0.0303030303030303</v>
      </c>
      <c r="AQ382" s="57" t="n">
        <f aca="false">AN382*G382</f>
        <v>348.48</v>
      </c>
      <c r="AR382" s="57" t="n">
        <f aca="false">ROUNDUP(MAX(J382/IF(BZ382&gt;0,BZ382,MAX(0.1,N(Cockpit!$I$6))),CC382)/BS382,0)*BS382</f>
        <v>352</v>
      </c>
      <c r="AS382" s="58" t="n">
        <f aca="false">IF(AP382&gt;0,J382/AP382,-1)</f>
        <v>9966</v>
      </c>
      <c r="AT382" s="58" t="n">
        <f aca="false">IF(AND(OR(BY382="L1",BY382="L23"),AP382&gt;0),SUMIFS($AP$7:$AP$1843,$BY$7:$BY$1843,BY382,$AS$7:$AS$1843,"&gt;"&amp;AS382)+SUMIFS($AP$7:$AP$1843,$BY$7:$BY$1843,BY382,$AS$7:$AS$1843,AS382,$BQ$7:$BQ$1843,"&lt;="&amp;BQ382),"")</f>
        <v>8.15115198810851</v>
      </c>
      <c r="AU382" s="65" t="n">
        <f aca="false">IF(AT382="",0,MAX(0,MIN(1,(IF(BY382="L1",Parameter!$E$5,Parameter!$E$6+Parameter!$E$7)-(AT382-AP382))/AP382)))</f>
        <v>1</v>
      </c>
      <c r="AV382" s="57" t="n">
        <f aca="false">IF(LEFT(Cockpit!$O$5,1)="A",H382,IF(CA382=1,CB382,IF(LEFT(Cockpit!$O$5,1)="B",AZ382,MAX(AZ382,H382))))</f>
        <v>352</v>
      </c>
      <c r="AW382" s="57" t="n">
        <f aca="false">IF(BT382=1,0,ROUNDUP(AV382/BS382,0))</f>
        <v>2</v>
      </c>
      <c r="AX382" s="59" t="n">
        <f aca="false">IF(CH382&gt;0,CH382*MAX(1,AV382/X382),IF(BT382=1,IF(AV382&lt;=0,0,BW382*MAX(1,IF(H382&gt;0,AV382/H382,1))),IF(R382&gt;0,AW382/R382,0))/MAX(0.1,N(Parameter!$M$21)))</f>
        <v>0.0303030303030303</v>
      </c>
      <c r="AY382" s="57" t="n">
        <f aca="false">AV382*G382</f>
        <v>348.48</v>
      </c>
      <c r="AZ382" s="57" t="n">
        <f aca="false">ROUNDUP(MAX(J382/IF(BZ382&gt;0,BZ382,MAX(0.1,N(Cockpit!$O$6))),CC382)/BS382,0)*BS382</f>
        <v>352</v>
      </c>
      <c r="BA382" s="58" t="n">
        <f aca="false">IF(AX382&gt;0,J382/AX382,-1)</f>
        <v>9966</v>
      </c>
      <c r="BB382" s="58" t="n">
        <f aca="false">IF(AND(OR(BY382="L1",BY382="L23"),AX382&gt;0),SUMIFS($AX$7:$AX$1843,$BY$7:$BY$1843,BY382,$BA$7:$BA$1843,"&gt;"&amp;BA382)+SUMIFS($AX$7:$AX$1843,$BY$7:$BY$1843,BY382,$BA$7:$BA$1843,BA382,$BQ$7:$BQ$1843,"&lt;="&amp;BQ382),"")</f>
        <v>7.57073240768893</v>
      </c>
      <c r="BC382" s="65" t="n">
        <f aca="false">IF(BB382="",0,MAX(0,MIN(1,(IF(BY382="L1",Parameter!$E$5,Parameter!$E$6+Parameter!$E$7)-(BB382-AX382))/AX382)))</f>
        <v>1</v>
      </c>
      <c r="BD382" s="55" t="str">
        <f aca="false">IF(AH382&lt;=0,"",IF(BY382="Aussen","Aussenlager",IF(BY382="-","Nicht im Lift",IF(AM382&gt;=1,"Lift",IF(AM382&lt;=0,"Aussenlager","teilweise")))))</f>
        <v>Lift</v>
      </c>
      <c r="BE382" s="55" t="str">
        <f aca="false">IF(AP382&lt;=0,"",IF(BY382="Aussen","Aussenlager",IF(BY382="-","Nicht im Lift",IF(AU382&gt;=1,"Lift",IF(AU382&lt;=0,"Aussenlager","teilweise")))))</f>
        <v>Lift</v>
      </c>
      <c r="BF382" s="55" t="str">
        <f aca="false">IF(AX382&lt;=0,"",IF(BY382="Aussen","Aussenlager",IF(BY382="-","Nicht im Lift",IF(BC382&gt;=1,"Lift",IF(BC382&lt;=0,"Aussenlager","teilweise")))))</f>
        <v>Lift</v>
      </c>
      <c r="BG382" s="55" t="str">
        <f aca="false">IF(A382="","",IF(BP382=1,"Neu; ","")&amp;IF(AND(BP382=0,BK382&lt;0),"negativer Bestand (Export "&amp;BK382&amp;"); ","")&amp;IF(J382&lt;=0,"Kein Verbrauch; ","")&amp;IF(CH382&gt;0,"Lift "&amp;W382&amp;" lt. Liftbericht (Fach "&amp;X382&amp;" Stk); ",IF(BU382=1,"Gebinde geschätzt ("&amp;T382&amp;"); ",IF(BT382=1,"Lose – Tablare geschätzt; ","")))&amp;IF(H382&gt;AR382,"Überbestand "&amp;ROUND(H382-AR382,0)&amp;" Stk / CHF "&amp;ROUND((H382-AR382)*G382,0)&amp;"; ","")&amp;IF(AND(CA382=1,CB382&lt;CC382),"MAX &lt; MB+LG; ","")&amp;IF(AND(CG382&gt;0,CF382*10&gt;CG382),"zu hoch für Tablar; ","")&amp;IF(AND(BP382=0,OR(CA382=1,AA382&lt;&gt;"",U382&lt;&gt;"",V382&lt;&gt;"",AB382&lt;&gt;"")),"manuell übersteuert; ","")&amp;IF(AND(BT382=0,R382=0),"Gebinde unbekannt / Stellmass fehlt; ","")&amp;IF(AND(BT382=0,N(V382)&lt;=0,N(Q382)&lt;=0),"Menge pro Gebinde fehlt (Ist = 1 Gebinde); ","")&amp;BO382)</f>
        <v/>
      </c>
      <c r="BH382" s="55"/>
      <c r="BI382" s="55"/>
      <c r="BJ382" s="62"/>
      <c r="BK382" s="57" t="n">
        <v>134</v>
      </c>
      <c r="BL382" s="57" t="n">
        <v>89</v>
      </c>
      <c r="BM382" s="56" t="n">
        <v>132.66</v>
      </c>
      <c r="BN382" s="57" t="n">
        <v>302</v>
      </c>
      <c r="BO382" s="55"/>
      <c r="BP382" s="60" t="n">
        <v>0</v>
      </c>
      <c r="BQ382" s="60" t="n">
        <v>382</v>
      </c>
      <c r="BR382" s="55" t="str">
        <f aca="false">IF(U382&lt;&gt;"",UPPER(TRIM(U382)),IF(BU382=1,UPPER(VLOOKUP(T382,Parameter!$I$27:$K$29,2,0)),IF(P382="","LOSE",P382)))</f>
        <v>S33</v>
      </c>
      <c r="BS382" s="57" t="n">
        <f aca="false">IF(BR382="LOSE",1,IF(N(V382)&gt;0,V382,IF(BU382=1,MAX(1,N(VLOOKUP(T382,Parameter!$I$27:$K$29,3,0)),H382,N(N382)),IF(N(Q382)&gt;0,Q382,MAX(1,H382)))))</f>
        <v>176</v>
      </c>
      <c r="BT382" s="60" t="n">
        <f aca="false">IF(BR382="LOSE",1,0)</f>
        <v>0</v>
      </c>
      <c r="BU382" s="60" t="n">
        <f aca="false">IF(AND(U382="",OR(P382="",P382="LOSE"),T382&lt;&gt;"",N(S382)&lt;=0,ISNUMBER(MATCH(T382,Parameter!$I$27:$I$29,0))),1,0)</f>
        <v>0</v>
      </c>
      <c r="BV382" s="55" t="str">
        <f aca="false">IF(AND(Parameter!$B$19="Ja",E382&lt;&gt;"",ISNUMBER(MATCH(E382,Parameter!$I$35:$I$52,0))),VLOOKUP(E382,Parameter!$I$35:$J$52,2,0),IFERROR(VLOOKUP(D382,Parameter!$A$35:$C$64,2,0),"Nein"))</f>
        <v>2+3</v>
      </c>
      <c r="BW382" s="59" t="n">
        <f aca="false">IF(BT382=0,0,IF(N(S382)&gt;0,S382,IFERROR(VLOOKUP(D382,Parameter!$A$35:$C$64,3,0)+0,0)))</f>
        <v>0</v>
      </c>
      <c r="BX382" s="55" t="n">
        <f aca="false">IF(AA382&lt;&gt;"",AA382,Z382)</f>
        <v>3</v>
      </c>
      <c r="BY382" s="55" t="str">
        <f aca="false">IF(BX382=1,"L1",IF(OR(BX382=2,BX382=3),"L23",IF(BX382="Aussen","Aussen","-")))</f>
        <v>L23</v>
      </c>
      <c r="BZ382" s="66" t="n">
        <f aca="false">IF(N(AB382)&gt;0,AB382,0)</f>
        <v>0</v>
      </c>
      <c r="CA382" s="60" t="n">
        <f aca="false">IF(ISNUMBER(AE382),1,0)</f>
        <v>0</v>
      </c>
      <c r="CB382" s="57" t="n">
        <f aca="false">N(AE382)</f>
        <v>0</v>
      </c>
      <c r="CC382" s="57" t="n">
        <f aca="false">N(M382)+N(N382)</f>
        <v>323</v>
      </c>
      <c r="CD382" s="57" t="n">
        <f aca="false">ROUNDUP(H382/BS382,0)</f>
        <v>2</v>
      </c>
      <c r="CE382" s="57" t="n">
        <f aca="false">ROUNDUP(CB382/BS382,0)</f>
        <v>0</v>
      </c>
      <c r="CF382" s="60" t="n">
        <f aca="false">IF(BT382=1,0,IFERROR(VLOOKUP(BR382,'Gebinde-Kategorie'!$A$5:$M$45,5,0)+0,0))</f>
        <v>8</v>
      </c>
      <c r="CG382" s="60" t="n">
        <f aca="false">IFERROR(IF(OR(BX382=1,BX382=2,BX382=3),N(INDEX(Parameter!$I$5:$I$7,BX382)),0),0)</f>
        <v>0</v>
      </c>
      <c r="CH382" s="59" t="n">
        <f aca="false">IF(AND(Parameter!$B$21="Ja",ISNUMBER(W382),N(X382)&gt;0),IFERROR(N(INDEX(Parameter!$L$5:$L$7,W382))*INDEX(Parameter!$E$5:$E$7,W382)*X382/SUMIFS($X$7:$X$1843,$W$7:$W$1843,W382),0),0)</f>
        <v>0</v>
      </c>
    </row>
    <row r="383" customFormat="false" ht="15" hidden="false" customHeight="false" outlineLevel="0" collapsed="false">
      <c r="A383" s="55" t="s">
        <v>910</v>
      </c>
      <c r="B383" s="55" t="s">
        <v>911</v>
      </c>
      <c r="C383" s="55" t="s">
        <v>164</v>
      </c>
      <c r="D383" s="55" t="s">
        <v>184</v>
      </c>
      <c r="E383" s="55" t="s">
        <v>185</v>
      </c>
      <c r="F383" s="55" t="s">
        <v>218</v>
      </c>
      <c r="G383" s="56" t="n">
        <v>64.76</v>
      </c>
      <c r="H383" s="57" t="n">
        <f aca="false">MAX(0,IF(AND(Parameter!$B$21="Ja",ISNUMBER(Y383)),Y383,IF(Parameter!$B$20="Jahresanfang 2025 + Export",BL383+BK383,BK383)))</f>
        <v>9</v>
      </c>
      <c r="I383" s="57" t="n">
        <f aca="false">H383*G383</f>
        <v>582.84</v>
      </c>
      <c r="J383" s="57" t="n">
        <f aca="false">BN383*Parameter!$B$18</f>
        <v>22</v>
      </c>
      <c r="K383" s="58" t="n">
        <v>11.5</v>
      </c>
      <c r="L383" s="59" t="n">
        <v>1.91304347826087</v>
      </c>
      <c r="M383" s="57" t="n">
        <v>1</v>
      </c>
      <c r="N383" s="57" t="n">
        <v>20</v>
      </c>
      <c r="O383" s="60" t="n">
        <v>28</v>
      </c>
      <c r="P383" s="55" t="s">
        <v>328</v>
      </c>
      <c r="Q383" s="57" t="n">
        <v>27</v>
      </c>
      <c r="R383" s="60" t="n">
        <f aca="false">IF(BT383=1,0,IFERROR(VLOOKUP(BR383,'Gebinde-Kategorie'!$A$5:$M$45,13,0)+0,0))</f>
        <v>52</v>
      </c>
      <c r="S383" s="61"/>
      <c r="T383" s="62"/>
      <c r="U383" s="62"/>
      <c r="V383" s="62"/>
      <c r="W383" s="55"/>
      <c r="X383" s="57"/>
      <c r="Y383" s="57"/>
      <c r="Z383" s="55" t="n">
        <f aca="false">IF(A383="","",IF(AND(Parameter!$B$21="Ja",ISNUMBER(W383)),W383,IF(BV383="2+3",IF(ISNUMBER(SEARCH("grosser Artikel",BO383)),2,IFERROR(VLOOKUP(BR383,Parameter!$F$35:$G$64,2,0),2)),IF(OR(BV383="Nein",BV383=""),"-",BV383))))</f>
        <v>3</v>
      </c>
      <c r="AA383" s="62"/>
      <c r="AB383" s="63"/>
      <c r="AC383" s="57" t="n">
        <f aca="false">AR383</f>
        <v>27</v>
      </c>
      <c r="AD383" s="57" t="n">
        <f aca="false">MAX(AR383,H383)</f>
        <v>27</v>
      </c>
      <c r="AE383" s="64"/>
      <c r="AF383" s="57" t="n">
        <f aca="false">IF(LEFT(Cockpit!$C$5,1)="A",H383,IF(CA383=1,CB383,IF(LEFT(Cockpit!$C$5,1)="B",AJ383,MAX(AJ383,H383))))</f>
        <v>9</v>
      </c>
      <c r="AG383" s="57" t="n">
        <f aca="false">IF(BT383=1,0,ROUNDUP(AF383/BS383,0))</f>
        <v>1</v>
      </c>
      <c r="AH383" s="59" t="n">
        <f aca="false">IF(CH383&gt;0,CH383*MAX(1,AF383/X383),IF(BT383=1,IF(AF383&lt;=0,0,BW383*MAX(1,IF(H383&gt;0,AF383/H383,1))),IF(R383&gt;0,AG383/R383,0))/MAX(0.1,N(Parameter!$M$21)))</f>
        <v>0.0192307692307692</v>
      </c>
      <c r="AI383" s="57" t="n">
        <f aca="false">AF383*G383</f>
        <v>582.84</v>
      </c>
      <c r="AJ383" s="57" t="n">
        <f aca="false">ROUNDUP(MAX(J383/IF(BZ383&gt;0,BZ383,MAX(0.1,N(Cockpit!$C$6))),CC383)/BS383,0)*BS383</f>
        <v>27</v>
      </c>
      <c r="AK383" s="58" t="n">
        <f aca="false">IF(AH383&gt;0,J383/AH383,-1)</f>
        <v>1144</v>
      </c>
      <c r="AL383" s="58" t="n">
        <f aca="false">IF(AND(OR(BY383="L1",BY383="L23"),AH383&gt;0),SUMIFS($AH$7:$AH$1843,$BY$7:$BY$1843,BY383,$AK$7:$AK$1843,"&gt;"&amp;AK383)+SUMIFS($AH$7:$AH$1843,$BY$7:$BY$1843,BY383,$AK$7:$AK$1843,AK383,$BQ$7:$BQ$1843,"&lt;="&amp;BQ383),"")</f>
        <v>17.0336221749265</v>
      </c>
      <c r="AM383" s="65" t="n">
        <f aca="false">IF(AL383="",0,MAX(0,MIN(1,(IF(BY383="L1",Parameter!$E$5,Parameter!$E$6+Parameter!$E$7)-(AL383-AH383))/AH383)))</f>
        <v>1</v>
      </c>
      <c r="AN383" s="57" t="n">
        <f aca="false">IF(LEFT(Cockpit!$I$5,1)="A",H383,IF(CA383=1,CB383,IF(LEFT(Cockpit!$I$5,1)="B",AR383,MAX(AR383,H383))))</f>
        <v>27</v>
      </c>
      <c r="AO383" s="57" t="n">
        <f aca="false">IF(BT383=1,0,ROUNDUP(AN383/BS383,0))</f>
        <v>1</v>
      </c>
      <c r="AP383" s="59" t="n">
        <f aca="false">IF(CH383&gt;0,CH383*MAX(1,AN383/X383),IF(BT383=1,IF(AN383&lt;=0,0,BW383*MAX(1,IF(H383&gt;0,AN383/H383,1))),IF(R383&gt;0,AO383/R383,0))/MAX(0.1,N(Parameter!$M$21)))</f>
        <v>0.0192307692307692</v>
      </c>
      <c r="AQ383" s="57" t="n">
        <f aca="false">AN383*G383</f>
        <v>1748.52</v>
      </c>
      <c r="AR383" s="57" t="n">
        <f aca="false">ROUNDUP(MAX(J383/IF(BZ383&gt;0,BZ383,MAX(0.1,N(Cockpit!$I$6))),CC383)/BS383,0)*BS383</f>
        <v>27</v>
      </c>
      <c r="AS383" s="58" t="n">
        <f aca="false">IF(AP383&gt;0,J383/AP383,-1)</f>
        <v>1144</v>
      </c>
      <c r="AT383" s="58" t="n">
        <f aca="false">IF(AND(OR(BY383="L1",BY383="L23"),AP383&gt;0),SUMIFS($AP$7:$AP$1843,$BY$7:$BY$1843,BY383,$AS$7:$AS$1843,"&gt;"&amp;AS383)+SUMIFS($AP$7:$AP$1843,$BY$7:$BY$1843,BY383,$AS$7:$AS$1843,AS383,$BQ$7:$BQ$1843,"&lt;="&amp;BQ383),"")</f>
        <v>22.9849582784365</v>
      </c>
      <c r="AU383" s="65" t="n">
        <f aca="false">IF(AT383="",0,MAX(0,MIN(1,(IF(BY383="L1",Parameter!$E$5,Parameter!$E$6+Parameter!$E$7)-(AT383-AP383))/AP383)))</f>
        <v>1</v>
      </c>
      <c r="AV383" s="57" t="n">
        <f aca="false">IF(LEFT(Cockpit!$O$5,1)="A",H383,IF(CA383=1,CB383,IF(LEFT(Cockpit!$O$5,1)="B",AZ383,MAX(AZ383,H383))))</f>
        <v>27</v>
      </c>
      <c r="AW383" s="57" t="n">
        <f aca="false">IF(BT383=1,0,ROUNDUP(AV383/BS383,0))</f>
        <v>1</v>
      </c>
      <c r="AX383" s="59" t="n">
        <f aca="false">IF(CH383&gt;0,CH383*MAX(1,AV383/X383),IF(BT383=1,IF(AV383&lt;=0,0,BW383*MAX(1,IF(H383&gt;0,AV383/H383,1))),IF(R383&gt;0,AW383/R383,0))/MAX(0.1,N(Parameter!$M$21)))</f>
        <v>0.0192307692307692</v>
      </c>
      <c r="AY383" s="57" t="n">
        <f aca="false">AV383*G383</f>
        <v>1748.52</v>
      </c>
      <c r="AZ383" s="57" t="n">
        <f aca="false">ROUNDUP(MAX(J383/IF(BZ383&gt;0,BZ383,MAX(0.1,N(Cockpit!$O$6))),CC383)/BS383,0)*BS383</f>
        <v>27</v>
      </c>
      <c r="BA383" s="58" t="n">
        <f aca="false">IF(AX383&gt;0,J383/AX383,-1)</f>
        <v>1144</v>
      </c>
      <c r="BB383" s="58" t="n">
        <f aca="false">IF(AND(OR(BY383="L1",BY383="L23"),AX383&gt;0),SUMIFS($AX$7:$AX$1843,$BY$7:$BY$1843,BY383,$BA$7:$BA$1843,"&gt;"&amp;BA383)+SUMIFS($AX$7:$AX$1843,$BY$7:$BY$1843,BY383,$BA$7:$BA$1843,BA383,$BQ$7:$BQ$1843,"&lt;="&amp;BQ383),"")</f>
        <v>21.930179723658</v>
      </c>
      <c r="BC383" s="65" t="n">
        <f aca="false">IF(BB383="",0,MAX(0,MIN(1,(IF(BY383="L1",Parameter!$E$5,Parameter!$E$6+Parameter!$E$7)-(BB383-AX383))/AX383)))</f>
        <v>1</v>
      </c>
      <c r="BD383" s="55" t="str">
        <f aca="false">IF(AH383&lt;=0,"",IF(BY383="Aussen","Aussenlager",IF(BY383="-","Nicht im Lift",IF(AM383&gt;=1,"Lift",IF(AM383&lt;=0,"Aussenlager","teilweise")))))</f>
        <v>Lift</v>
      </c>
      <c r="BE383" s="55" t="str">
        <f aca="false">IF(AP383&lt;=0,"",IF(BY383="Aussen","Aussenlager",IF(BY383="-","Nicht im Lift",IF(AU383&gt;=1,"Lift",IF(AU383&lt;=0,"Aussenlager","teilweise")))))</f>
        <v>Lift</v>
      </c>
      <c r="BF383" s="55" t="str">
        <f aca="false">IF(AX383&lt;=0,"",IF(BY383="Aussen","Aussenlager",IF(BY383="-","Nicht im Lift",IF(BC383&gt;=1,"Lift",IF(BC383&lt;=0,"Aussenlager","teilweise")))))</f>
        <v>Lift</v>
      </c>
      <c r="BG383" s="55" t="str">
        <f aca="false">IF(A383="","",IF(BP383=1,"Neu; ","")&amp;IF(AND(BP383=0,BK383&lt;0),"negativer Bestand (Export "&amp;BK383&amp;"); ","")&amp;IF(J383&lt;=0,"Kein Verbrauch; ","")&amp;IF(CH383&gt;0,"Lift "&amp;W383&amp;" lt. Liftbericht (Fach "&amp;X383&amp;" Stk); ",IF(BU383=1,"Gebinde geschätzt ("&amp;T383&amp;"); ",IF(BT383=1,"Lose – Tablare geschätzt; ","")))&amp;IF(H383&gt;AR383,"Überbestand "&amp;ROUND(H383-AR383,0)&amp;" Stk / CHF "&amp;ROUND((H383-AR383)*G383,0)&amp;"; ","")&amp;IF(AND(CA383=1,CB383&lt;CC383),"MAX &lt; MB+LG; ","")&amp;IF(AND(CG383&gt;0,CF383*10&gt;CG383),"zu hoch für Tablar; ","")&amp;IF(AND(BP383=0,OR(CA383=1,AA383&lt;&gt;"",U383&lt;&gt;"",V383&lt;&gt;"",AB383&lt;&gt;"")),"manuell übersteuert; ","")&amp;IF(AND(BT383=0,R383=0),"Gebinde unbekannt / Stellmass fehlt; ","")&amp;IF(AND(BT383=0,N(V383)&lt;=0,N(Q383)&lt;=0),"Menge pro Gebinde fehlt (Ist = 1 Gebinde); ","")&amp;BO383)</f>
        <v/>
      </c>
      <c r="BH383" s="55"/>
      <c r="BI383" s="55"/>
      <c r="BJ383" s="62"/>
      <c r="BK383" s="57" t="n">
        <v>1</v>
      </c>
      <c r="BL383" s="57" t="n">
        <v>8</v>
      </c>
      <c r="BM383" s="56" t="n">
        <v>132.6</v>
      </c>
      <c r="BN383" s="57" t="n">
        <v>22</v>
      </c>
      <c r="BO383" s="55"/>
      <c r="BP383" s="60" t="n">
        <v>0</v>
      </c>
      <c r="BQ383" s="60" t="n">
        <v>383</v>
      </c>
      <c r="BR383" s="55" t="str">
        <f aca="false">IF(U383&lt;&gt;"",UPPER(TRIM(U383)),IF(BU383=1,UPPER(VLOOKUP(T383,Parameter!$I$27:$K$29,2,0)),IF(P383="","LOSE",P383)))</f>
        <v>S41</v>
      </c>
      <c r="BS383" s="57" t="n">
        <f aca="false">IF(BR383="LOSE",1,IF(N(V383)&gt;0,V383,IF(BU383=1,MAX(1,N(VLOOKUP(T383,Parameter!$I$27:$K$29,3,0)),H383,N(N383)),IF(N(Q383)&gt;0,Q383,MAX(1,H383)))))</f>
        <v>27</v>
      </c>
      <c r="BT383" s="60" t="n">
        <f aca="false">IF(BR383="LOSE",1,0)</f>
        <v>0</v>
      </c>
      <c r="BU383" s="60" t="n">
        <f aca="false">IF(AND(U383="",OR(P383="",P383="LOSE"),T383&lt;&gt;"",N(S383)&lt;=0,ISNUMBER(MATCH(T383,Parameter!$I$27:$I$29,0))),1,0)</f>
        <v>0</v>
      </c>
      <c r="BV383" s="55" t="str">
        <f aca="false">IF(AND(Parameter!$B$19="Ja",E383&lt;&gt;"",ISNUMBER(MATCH(E383,Parameter!$I$35:$I$52,0))),VLOOKUP(E383,Parameter!$I$35:$J$52,2,0),IFERROR(VLOOKUP(D383,Parameter!$A$35:$C$64,2,0),"Nein"))</f>
        <v>2+3</v>
      </c>
      <c r="BW383" s="59" t="n">
        <f aca="false">IF(BT383=0,0,IF(N(S383)&gt;0,S383,IFERROR(VLOOKUP(D383,Parameter!$A$35:$C$64,3,0)+0,0)))</f>
        <v>0</v>
      </c>
      <c r="BX383" s="55" t="n">
        <f aca="false">IF(AA383&lt;&gt;"",AA383,Z383)</f>
        <v>3</v>
      </c>
      <c r="BY383" s="55" t="str">
        <f aca="false">IF(BX383=1,"L1",IF(OR(BX383=2,BX383=3),"L23",IF(BX383="Aussen","Aussen","-")))</f>
        <v>L23</v>
      </c>
      <c r="BZ383" s="66" t="n">
        <f aca="false">IF(N(AB383)&gt;0,AB383,0)</f>
        <v>0</v>
      </c>
      <c r="CA383" s="60" t="n">
        <f aca="false">IF(ISNUMBER(AE383),1,0)</f>
        <v>0</v>
      </c>
      <c r="CB383" s="57" t="n">
        <f aca="false">N(AE383)</f>
        <v>0</v>
      </c>
      <c r="CC383" s="57" t="n">
        <f aca="false">N(M383)+N(N383)</f>
        <v>21</v>
      </c>
      <c r="CD383" s="57" t="n">
        <f aca="false">ROUNDUP(H383/BS383,0)</f>
        <v>1</v>
      </c>
      <c r="CE383" s="57" t="n">
        <f aca="false">ROUNDUP(CB383/BS383,0)</f>
        <v>0</v>
      </c>
      <c r="CF383" s="60" t="n">
        <f aca="false">IF(BT383=1,0,IFERROR(VLOOKUP(BR383,'Gebinde-Kategorie'!$A$5:$M$45,5,0)+0,0))</f>
        <v>11</v>
      </c>
      <c r="CG383" s="60" t="n">
        <f aca="false">IFERROR(IF(OR(BX383=1,BX383=2,BX383=3),N(INDEX(Parameter!$I$5:$I$7,BX383)),0),0)</f>
        <v>0</v>
      </c>
      <c r="CH383" s="59" t="n">
        <f aca="false">IF(AND(Parameter!$B$21="Ja",ISNUMBER(W383),N(X383)&gt;0),IFERROR(N(INDEX(Parameter!$L$5:$L$7,W383))*INDEX(Parameter!$E$5:$E$7,W383)*X383/SUMIFS($X$7:$X$1843,$W$7:$W$1843,W383),0),0)</f>
        <v>0</v>
      </c>
    </row>
    <row r="384" customFormat="false" ht="15" hidden="false" customHeight="false" outlineLevel="0" collapsed="false">
      <c r="A384" s="55" t="s">
        <v>912</v>
      </c>
      <c r="B384" s="55" t="s">
        <v>913</v>
      </c>
      <c r="C384" s="55" t="s">
        <v>164</v>
      </c>
      <c r="D384" s="55" t="s">
        <v>184</v>
      </c>
      <c r="E384" s="55" t="s">
        <v>185</v>
      </c>
      <c r="F384" s="55" t="s">
        <v>218</v>
      </c>
      <c r="G384" s="56" t="n">
        <v>22.61</v>
      </c>
      <c r="H384" s="57" t="n">
        <f aca="false">MAX(0,IF(AND(Parameter!$B$21="Ja",ISNUMBER(Y384)),Y384,IF(Parameter!$B$20="Jahresanfang 2025 + Export",BL384+BK384,BK384)))</f>
        <v>9</v>
      </c>
      <c r="I384" s="57" t="n">
        <f aca="false">H384*G384</f>
        <v>203.49</v>
      </c>
      <c r="J384" s="57" t="n">
        <f aca="false">BN384*Parameter!$B$18</f>
        <v>6</v>
      </c>
      <c r="K384" s="58" t="n">
        <v>3.5</v>
      </c>
      <c r="L384" s="59" t="n">
        <v>1.71428571428571</v>
      </c>
      <c r="M384" s="57" t="n">
        <v>0</v>
      </c>
      <c r="N384" s="57" t="n">
        <v>5</v>
      </c>
      <c r="O384" s="60" t="n">
        <v>21</v>
      </c>
      <c r="P384" s="55" t="s">
        <v>476</v>
      </c>
      <c r="Q384" s="57" t="n">
        <v>10</v>
      </c>
      <c r="R384" s="60" t="n">
        <f aca="false">IF(BT384=1,0,IFERROR(VLOOKUP(BR384,'Gebinde-Kategorie'!$A$5:$M$45,13,0)+0,0))</f>
        <v>66</v>
      </c>
      <c r="S384" s="61"/>
      <c r="T384" s="62"/>
      <c r="U384" s="62"/>
      <c r="V384" s="62"/>
      <c r="W384" s="55"/>
      <c r="X384" s="57"/>
      <c r="Y384" s="57"/>
      <c r="Z384" s="55" t="n">
        <f aca="false">IF(A384="","",IF(AND(Parameter!$B$21="Ja",ISNUMBER(W384)),W384,IF(BV384="2+3",IF(ISNUMBER(SEARCH("grosser Artikel",BO384)),2,IFERROR(VLOOKUP(BR384,Parameter!$F$35:$G$64,2,0),2)),IF(OR(BV384="Nein",BV384=""),"-",BV384))))</f>
        <v>3</v>
      </c>
      <c r="AA384" s="62"/>
      <c r="AB384" s="63"/>
      <c r="AC384" s="57" t="n">
        <f aca="false">AR384</f>
        <v>10</v>
      </c>
      <c r="AD384" s="57" t="n">
        <f aca="false">MAX(AR384,H384)</f>
        <v>10</v>
      </c>
      <c r="AE384" s="64"/>
      <c r="AF384" s="57" t="n">
        <f aca="false">IF(LEFT(Cockpit!$C$5,1)="A",H384,IF(CA384=1,CB384,IF(LEFT(Cockpit!$C$5,1)="B",AJ384,MAX(AJ384,H384))))</f>
        <v>9</v>
      </c>
      <c r="AG384" s="57" t="n">
        <f aca="false">IF(BT384=1,0,ROUNDUP(AF384/BS384,0))</f>
        <v>1</v>
      </c>
      <c r="AH384" s="59" t="n">
        <f aca="false">IF(CH384&gt;0,CH384*MAX(1,AF384/X384),IF(BT384=1,IF(AF384&lt;=0,0,BW384*MAX(1,IF(H384&gt;0,AF384/H384,1))),IF(R384&gt;0,AG384/R384,0))/MAX(0.1,N(Parameter!$M$21)))</f>
        <v>0.0151515151515152</v>
      </c>
      <c r="AI384" s="57" t="n">
        <f aca="false">AF384*G384</f>
        <v>203.49</v>
      </c>
      <c r="AJ384" s="57" t="n">
        <f aca="false">ROUNDUP(MAX(J384/IF(BZ384&gt;0,BZ384,MAX(0.1,N(Cockpit!$C$6))),CC384)/BS384,0)*BS384</f>
        <v>10</v>
      </c>
      <c r="AK384" s="58" t="n">
        <f aca="false">IF(AH384&gt;0,J384/AH384,-1)</f>
        <v>396</v>
      </c>
      <c r="AL384" s="58" t="n">
        <f aca="false">IF(AND(OR(BY384="L1",BY384="L23"),AH384&gt;0),SUMIFS($AH$7:$AH$1843,$BY$7:$BY$1843,BY384,$AK$7:$AK$1843,"&gt;"&amp;AK384)+SUMIFS($AH$7:$AH$1843,$BY$7:$BY$1843,BY384,$AK$7:$AK$1843,AK384,$BQ$7:$BQ$1843,"&lt;="&amp;BQ384),"")</f>
        <v>25.8874277896017</v>
      </c>
      <c r="AM384" s="65" t="n">
        <f aca="false">IF(AL384="",0,MAX(0,MIN(1,(IF(BY384="L1",Parameter!$E$5,Parameter!$E$6+Parameter!$E$7)-(AL384-AH384))/AH384)))</f>
        <v>1</v>
      </c>
      <c r="AN384" s="57" t="n">
        <f aca="false">IF(LEFT(Cockpit!$I$5,1)="A",H384,IF(CA384=1,CB384,IF(LEFT(Cockpit!$I$5,1)="B",AR384,MAX(AR384,H384))))</f>
        <v>10</v>
      </c>
      <c r="AO384" s="57" t="n">
        <f aca="false">IF(BT384=1,0,ROUNDUP(AN384/BS384,0))</f>
        <v>1</v>
      </c>
      <c r="AP384" s="59" t="n">
        <f aca="false">IF(CH384&gt;0,CH384*MAX(1,AN384/X384),IF(BT384=1,IF(AN384&lt;=0,0,BW384*MAX(1,IF(H384&gt;0,AN384/H384,1))),IF(R384&gt;0,AO384/R384,0))/MAX(0.1,N(Parameter!$M$21)))</f>
        <v>0.0151515151515152</v>
      </c>
      <c r="AQ384" s="57" t="n">
        <f aca="false">AN384*G384</f>
        <v>226.1</v>
      </c>
      <c r="AR384" s="57" t="n">
        <f aca="false">ROUNDUP(MAX(J384/IF(BZ384&gt;0,BZ384,MAX(0.1,N(Cockpit!$I$6))),CC384)/BS384,0)*BS384</f>
        <v>10</v>
      </c>
      <c r="AS384" s="58" t="n">
        <f aca="false">IF(AP384&gt;0,J384/AP384,-1)</f>
        <v>396</v>
      </c>
      <c r="AT384" s="58" t="n">
        <f aca="false">IF(AND(OR(BY384="L1",BY384="L23"),AP384&gt;0),SUMIFS($AP$7:$AP$1843,$BY$7:$BY$1843,BY384,$AS$7:$AS$1843,"&gt;"&amp;AS384)+SUMIFS($AP$7:$AP$1843,$BY$7:$BY$1843,BY384,$AS$7:$AS$1843,AS384,$BQ$7:$BQ$1843,"&lt;="&amp;BQ384),"")</f>
        <v>35.3257322387757</v>
      </c>
      <c r="AU384" s="65" t="n">
        <f aca="false">IF(AT384="",0,MAX(0,MIN(1,(IF(BY384="L1",Parameter!$E$5,Parameter!$E$6+Parameter!$E$7)-(AT384-AP384))/AP384)))</f>
        <v>1</v>
      </c>
      <c r="AV384" s="57" t="n">
        <f aca="false">IF(LEFT(Cockpit!$O$5,1)="A",H384,IF(CA384=1,CB384,IF(LEFT(Cockpit!$O$5,1)="B",AZ384,MAX(AZ384,H384))))</f>
        <v>10</v>
      </c>
      <c r="AW384" s="57" t="n">
        <f aca="false">IF(BT384=1,0,ROUNDUP(AV384/BS384,0))</f>
        <v>1</v>
      </c>
      <c r="AX384" s="59" t="n">
        <f aca="false">IF(CH384&gt;0,CH384*MAX(1,AV384/X384),IF(BT384=1,IF(AV384&lt;=0,0,BW384*MAX(1,IF(H384&gt;0,AV384/H384,1))),IF(R384&gt;0,AW384/R384,0))/MAX(0.1,N(Parameter!$M$21)))</f>
        <v>0.0151515151515152</v>
      </c>
      <c r="AY384" s="57" t="n">
        <f aca="false">AV384*G384</f>
        <v>226.1</v>
      </c>
      <c r="AZ384" s="57" t="n">
        <f aca="false">ROUNDUP(MAX(J384/IF(BZ384&gt;0,BZ384,MAX(0.1,N(Cockpit!$O$6))),CC384)/BS384,0)*BS384</f>
        <v>10</v>
      </c>
      <c r="BA384" s="58" t="n">
        <f aca="false">IF(AX384&gt;0,J384/AX384,-1)</f>
        <v>396</v>
      </c>
      <c r="BB384" s="58" t="n">
        <f aca="false">IF(AND(OR(BY384="L1",BY384="L23"),AX384&gt;0),SUMIFS($AX$7:$AX$1843,$BY$7:$BY$1843,BY384,$BA$7:$BA$1843,"&gt;"&amp;BA384)+SUMIFS($AX$7:$AX$1843,$BY$7:$BY$1843,BY384,$BA$7:$BA$1843,BA384,$BQ$7:$BQ$1843,"&lt;="&amp;BQ384),"")</f>
        <v>34.5722357352792</v>
      </c>
      <c r="BC384" s="65" t="n">
        <f aca="false">IF(BB384="",0,MAX(0,MIN(1,(IF(BY384="L1",Parameter!$E$5,Parameter!$E$6+Parameter!$E$7)-(BB384-AX384))/AX384)))</f>
        <v>1</v>
      </c>
      <c r="BD384" s="55" t="str">
        <f aca="false">IF(AH384&lt;=0,"",IF(BY384="Aussen","Aussenlager",IF(BY384="-","Nicht im Lift",IF(AM384&gt;=1,"Lift",IF(AM384&lt;=0,"Aussenlager","teilweise")))))</f>
        <v>Lift</v>
      </c>
      <c r="BE384" s="55" t="str">
        <f aca="false">IF(AP384&lt;=0,"",IF(BY384="Aussen","Aussenlager",IF(BY384="-","Nicht im Lift",IF(AU384&gt;=1,"Lift",IF(AU384&lt;=0,"Aussenlager","teilweise")))))</f>
        <v>Lift</v>
      </c>
      <c r="BF384" s="55" t="str">
        <f aca="false">IF(AX384&lt;=0,"",IF(BY384="Aussen","Aussenlager",IF(BY384="-","Nicht im Lift",IF(BC384&gt;=1,"Lift",IF(BC384&lt;=0,"Aussenlager","teilweise")))))</f>
        <v>Lift</v>
      </c>
      <c r="BG384" s="55" t="str">
        <f aca="false">IF(A384="","",IF(BP384=1,"Neu; ","")&amp;IF(AND(BP384=0,BK384&lt;0),"negativer Bestand (Export "&amp;BK384&amp;"); ","")&amp;IF(J384&lt;=0,"Kein Verbrauch; ","")&amp;IF(CH384&gt;0,"Lift "&amp;W384&amp;" lt. Liftbericht (Fach "&amp;X384&amp;" Stk); ",IF(BU384=1,"Gebinde geschätzt ("&amp;T384&amp;"); ",IF(BT384=1,"Lose – Tablare geschätzt; ","")))&amp;IF(H384&gt;AR384,"Überbestand "&amp;ROUND(H384-AR384,0)&amp;" Stk / CHF "&amp;ROUND((H384-AR384)*G384,0)&amp;"; ","")&amp;IF(AND(CA384=1,CB384&lt;CC384),"MAX &lt; MB+LG; ","")&amp;IF(AND(CG384&gt;0,CF384*10&gt;CG384),"zu hoch für Tablar; ","")&amp;IF(AND(BP384=0,OR(CA384=1,AA384&lt;&gt;"",U384&lt;&gt;"",V384&lt;&gt;"",AB384&lt;&gt;"")),"manuell übersteuert; ","")&amp;IF(AND(BT384=0,R384=0),"Gebinde unbekannt / Stellmass fehlt; ","")&amp;IF(AND(BT384=0,N(V384)&lt;=0,N(Q384)&lt;=0),"Menge pro Gebinde fehlt (Ist = 1 Gebinde); ","")&amp;BO384)</f>
        <v/>
      </c>
      <c r="BH384" s="55"/>
      <c r="BI384" s="55"/>
      <c r="BJ384" s="62"/>
      <c r="BK384" s="57" t="n">
        <v>5</v>
      </c>
      <c r="BL384" s="57" t="n">
        <v>4</v>
      </c>
      <c r="BM384" s="56" t="n">
        <v>130.89</v>
      </c>
      <c r="BN384" s="57" t="n">
        <v>6</v>
      </c>
      <c r="BO384" s="55"/>
      <c r="BP384" s="60" t="n">
        <v>0</v>
      </c>
      <c r="BQ384" s="60" t="n">
        <v>384</v>
      </c>
      <c r="BR384" s="55" t="str">
        <f aca="false">IF(U384&lt;&gt;"",UPPER(TRIM(U384)),IF(BU384=1,UPPER(VLOOKUP(T384,Parameter!$I$27:$K$29,2,0)),IF(P384="","LOSE",P384)))</f>
        <v>S33</v>
      </c>
      <c r="BS384" s="57" t="n">
        <f aca="false">IF(BR384="LOSE",1,IF(N(V384)&gt;0,V384,IF(BU384=1,MAX(1,N(VLOOKUP(T384,Parameter!$I$27:$K$29,3,0)),H384,N(N384)),IF(N(Q384)&gt;0,Q384,MAX(1,H384)))))</f>
        <v>10</v>
      </c>
      <c r="BT384" s="60" t="n">
        <f aca="false">IF(BR384="LOSE",1,0)</f>
        <v>0</v>
      </c>
      <c r="BU384" s="60" t="n">
        <f aca="false">IF(AND(U384="",OR(P384="",P384="LOSE"),T384&lt;&gt;"",N(S384)&lt;=0,ISNUMBER(MATCH(T384,Parameter!$I$27:$I$29,0))),1,0)</f>
        <v>0</v>
      </c>
      <c r="BV384" s="55" t="str">
        <f aca="false">IF(AND(Parameter!$B$19="Ja",E384&lt;&gt;"",ISNUMBER(MATCH(E384,Parameter!$I$35:$I$52,0))),VLOOKUP(E384,Parameter!$I$35:$J$52,2,0),IFERROR(VLOOKUP(D384,Parameter!$A$35:$C$64,2,0),"Nein"))</f>
        <v>2+3</v>
      </c>
      <c r="BW384" s="59" t="n">
        <f aca="false">IF(BT384=0,0,IF(N(S384)&gt;0,S384,IFERROR(VLOOKUP(D384,Parameter!$A$35:$C$64,3,0)+0,0)))</f>
        <v>0</v>
      </c>
      <c r="BX384" s="55" t="n">
        <f aca="false">IF(AA384&lt;&gt;"",AA384,Z384)</f>
        <v>3</v>
      </c>
      <c r="BY384" s="55" t="str">
        <f aca="false">IF(BX384=1,"L1",IF(OR(BX384=2,BX384=3),"L23",IF(BX384="Aussen","Aussen","-")))</f>
        <v>L23</v>
      </c>
      <c r="BZ384" s="66" t="n">
        <f aca="false">IF(N(AB384)&gt;0,AB384,0)</f>
        <v>0</v>
      </c>
      <c r="CA384" s="60" t="n">
        <f aca="false">IF(ISNUMBER(AE384),1,0)</f>
        <v>0</v>
      </c>
      <c r="CB384" s="57" t="n">
        <f aca="false">N(AE384)</f>
        <v>0</v>
      </c>
      <c r="CC384" s="57" t="n">
        <f aca="false">N(M384)+N(N384)</f>
        <v>5</v>
      </c>
      <c r="CD384" s="57" t="n">
        <f aca="false">ROUNDUP(H384/BS384,0)</f>
        <v>1</v>
      </c>
      <c r="CE384" s="57" t="n">
        <f aca="false">ROUNDUP(CB384/BS384,0)</f>
        <v>0</v>
      </c>
      <c r="CF384" s="60" t="n">
        <f aca="false">IF(BT384=1,0,IFERROR(VLOOKUP(BR384,'Gebinde-Kategorie'!$A$5:$M$45,5,0)+0,0))</f>
        <v>8</v>
      </c>
      <c r="CG384" s="60" t="n">
        <f aca="false">IFERROR(IF(OR(BX384=1,BX384=2,BX384=3),N(INDEX(Parameter!$I$5:$I$7,BX384)),0),0)</f>
        <v>0</v>
      </c>
      <c r="CH384" s="59" t="n">
        <f aca="false">IF(AND(Parameter!$B$21="Ja",ISNUMBER(W384),N(X384)&gt;0),IFERROR(N(INDEX(Parameter!$L$5:$L$7,W384))*INDEX(Parameter!$E$5:$E$7,W384)*X384/SUMIFS($X$7:$X$1843,$W$7:$W$1843,W384),0),0)</f>
        <v>0</v>
      </c>
    </row>
    <row r="385" customFormat="false" ht="15" hidden="false" customHeight="false" outlineLevel="0" collapsed="false">
      <c r="A385" s="55" t="s">
        <v>914</v>
      </c>
      <c r="B385" s="55" t="s">
        <v>407</v>
      </c>
      <c r="C385" s="55" t="s">
        <v>164</v>
      </c>
      <c r="D385" s="55" t="s">
        <v>184</v>
      </c>
      <c r="E385" s="55" t="s">
        <v>185</v>
      </c>
      <c r="F385" s="55" t="s">
        <v>218</v>
      </c>
      <c r="G385" s="56" t="n">
        <v>0.51</v>
      </c>
      <c r="H385" s="57" t="n">
        <f aca="false">MAX(0,IF(AND(Parameter!$B$21="Ja",ISNUMBER(Y385)),Y385,IF(Parameter!$B$20="Jahresanfang 2025 + Export",BL385+BK385,BK385)))</f>
        <v>407</v>
      </c>
      <c r="I385" s="57" t="n">
        <f aca="false">H385*G385</f>
        <v>207.57</v>
      </c>
      <c r="J385" s="57" t="n">
        <f aca="false">BN385*Parameter!$B$18</f>
        <v>309</v>
      </c>
      <c r="K385" s="58" t="n">
        <v>146</v>
      </c>
      <c r="L385" s="59" t="n">
        <v>2.11643835616438</v>
      </c>
      <c r="M385" s="57" t="n">
        <v>18</v>
      </c>
      <c r="N385" s="57" t="n">
        <v>400</v>
      </c>
      <c r="O385" s="60" t="n">
        <v>21</v>
      </c>
      <c r="P385" s="55" t="s">
        <v>426</v>
      </c>
      <c r="Q385" s="57" t="n">
        <v>118</v>
      </c>
      <c r="R385" s="60" t="n">
        <f aca="false">IF(BT385=1,0,IFERROR(VLOOKUP(BR385,'Gebinde-Kategorie'!$A$5:$M$45,13,0)+0,0))</f>
        <v>198</v>
      </c>
      <c r="S385" s="61"/>
      <c r="T385" s="62"/>
      <c r="U385" s="62"/>
      <c r="V385" s="62"/>
      <c r="W385" s="55"/>
      <c r="X385" s="57"/>
      <c r="Y385" s="57"/>
      <c r="Z385" s="55" t="n">
        <f aca="false">IF(A385="","",IF(AND(Parameter!$B$21="Ja",ISNUMBER(W385)),W385,IF(BV385="2+3",IF(ISNUMBER(SEARCH("grosser Artikel",BO385)),2,IFERROR(VLOOKUP(BR385,Parameter!$F$35:$G$64,2,0),2)),IF(OR(BV385="Nein",BV385=""),"-",BV385))))</f>
        <v>3</v>
      </c>
      <c r="AA385" s="62"/>
      <c r="AB385" s="63"/>
      <c r="AC385" s="57" t="n">
        <f aca="false">AR385</f>
        <v>472</v>
      </c>
      <c r="AD385" s="57" t="n">
        <f aca="false">MAX(AR385,H385)</f>
        <v>472</v>
      </c>
      <c r="AE385" s="64"/>
      <c r="AF385" s="57" t="n">
        <f aca="false">IF(LEFT(Cockpit!$C$5,1)="A",H385,IF(CA385=1,CB385,IF(LEFT(Cockpit!$C$5,1)="B",AJ385,MAX(AJ385,H385))))</f>
        <v>407</v>
      </c>
      <c r="AG385" s="57" t="n">
        <f aca="false">IF(BT385=1,0,ROUNDUP(AF385/BS385,0))</f>
        <v>4</v>
      </c>
      <c r="AH385" s="59" t="n">
        <f aca="false">IF(CH385&gt;0,CH385*MAX(1,AF385/X385),IF(BT385=1,IF(AF385&lt;=0,0,BW385*MAX(1,IF(H385&gt;0,AF385/H385,1))),IF(R385&gt;0,AG385/R385,0))/MAX(0.1,N(Parameter!$M$21)))</f>
        <v>0.0202020202020202</v>
      </c>
      <c r="AI385" s="57" t="n">
        <f aca="false">AF385*G385</f>
        <v>207.57</v>
      </c>
      <c r="AJ385" s="57" t="n">
        <f aca="false">ROUNDUP(MAX(J385/IF(BZ385&gt;0,BZ385,MAX(0.1,N(Cockpit!$C$6))),CC385)/BS385,0)*BS385</f>
        <v>472</v>
      </c>
      <c r="AK385" s="58" t="n">
        <f aca="false">IF(AH385&gt;0,J385/AH385,-1)</f>
        <v>15295.5</v>
      </c>
      <c r="AL385" s="58" t="n">
        <f aca="false">IF(AND(OR(BY385="L1",BY385="L23"),AH385&gt;0),SUMIFS($AH$7:$AH$1843,$BY$7:$BY$1843,BY385,$AK$7:$AK$1843,"&gt;"&amp;AK385)+SUMIFS($AH$7:$AH$1843,$BY$7:$BY$1843,BY385,$AK$7:$AK$1843,AK385,$BQ$7:$BQ$1843,"&lt;="&amp;BQ385),"")</f>
        <v>4.41043376912942</v>
      </c>
      <c r="AM385" s="65" t="n">
        <f aca="false">IF(AL385="",0,MAX(0,MIN(1,(IF(BY385="L1",Parameter!$E$5,Parameter!$E$6+Parameter!$E$7)-(AL385-AH385))/AH385)))</f>
        <v>1</v>
      </c>
      <c r="AN385" s="57" t="n">
        <f aca="false">IF(LEFT(Cockpit!$I$5,1)="A",H385,IF(CA385=1,CB385,IF(LEFT(Cockpit!$I$5,1)="B",AR385,MAX(AR385,H385))))</f>
        <v>472</v>
      </c>
      <c r="AO385" s="57" t="n">
        <f aca="false">IF(BT385=1,0,ROUNDUP(AN385/BS385,0))</f>
        <v>4</v>
      </c>
      <c r="AP385" s="59" t="n">
        <f aca="false">IF(CH385&gt;0,CH385*MAX(1,AN385/X385),IF(BT385=1,IF(AN385&lt;=0,0,BW385*MAX(1,IF(H385&gt;0,AN385/H385,1))),IF(R385&gt;0,AO385/R385,0))/MAX(0.1,N(Parameter!$M$21)))</f>
        <v>0.0202020202020202</v>
      </c>
      <c r="AQ385" s="57" t="n">
        <f aca="false">AN385*G385</f>
        <v>240.72</v>
      </c>
      <c r="AR385" s="57" t="n">
        <f aca="false">ROUNDUP(MAX(J385/IF(BZ385&gt;0,BZ385,MAX(0.1,N(Cockpit!$I$6))),CC385)/BS385,0)*BS385</f>
        <v>472</v>
      </c>
      <c r="AS385" s="58" t="n">
        <f aca="false">IF(AP385&gt;0,J385/AP385,-1)</f>
        <v>15295.5</v>
      </c>
      <c r="AT385" s="58" t="n">
        <f aca="false">IF(AND(OR(BY385="L1",BY385="L23"),AP385&gt;0),SUMIFS($AP$7:$AP$1843,$BY$7:$BY$1843,BY385,$AS$7:$AS$1843,"&gt;"&amp;AS385)+SUMIFS($AP$7:$AP$1843,$BY$7:$BY$1843,BY385,$AS$7:$AS$1843,AS385,$BQ$7:$BQ$1843,"&lt;="&amp;BQ385),"")</f>
        <v>4.85056248099726</v>
      </c>
      <c r="AU385" s="65" t="n">
        <f aca="false">IF(AT385="",0,MAX(0,MIN(1,(IF(BY385="L1",Parameter!$E$5,Parameter!$E$6+Parameter!$E$7)-(AT385-AP385))/AP385)))</f>
        <v>1</v>
      </c>
      <c r="AV385" s="57" t="n">
        <f aca="false">IF(LEFT(Cockpit!$O$5,1)="A",H385,IF(CA385=1,CB385,IF(LEFT(Cockpit!$O$5,1)="B",AZ385,MAX(AZ385,H385))))</f>
        <v>472</v>
      </c>
      <c r="AW385" s="57" t="n">
        <f aca="false">IF(BT385=1,0,ROUNDUP(AV385/BS385,0))</f>
        <v>4</v>
      </c>
      <c r="AX385" s="59" t="n">
        <f aca="false">IF(CH385&gt;0,CH385*MAX(1,AV385/X385),IF(BT385=1,IF(AV385&lt;=0,0,BW385*MAX(1,IF(H385&gt;0,AV385/H385,1))),IF(R385&gt;0,AW385/R385,0))/MAX(0.1,N(Parameter!$M$21)))</f>
        <v>0.0202020202020202</v>
      </c>
      <c r="AY385" s="57" t="n">
        <f aca="false">AV385*G385</f>
        <v>240.72</v>
      </c>
      <c r="AZ385" s="57" t="n">
        <f aca="false">ROUNDUP(MAX(J385/IF(BZ385&gt;0,BZ385,MAX(0.1,N(Cockpit!$O$6))),CC385)/BS385,0)*BS385</f>
        <v>472</v>
      </c>
      <c r="BA385" s="58" t="n">
        <f aca="false">IF(AX385&gt;0,J385/AX385,-1)</f>
        <v>15295.5</v>
      </c>
      <c r="BB385" s="58" t="n">
        <f aca="false">IF(AND(OR(BY385="L1",BY385="L23"),AX385&gt;0),SUMIFS($AX$7:$AX$1843,$BY$7:$BY$1843,BY385,$BA$7:$BA$1843,"&gt;"&amp;BA385)+SUMIFS($AX$7:$AX$1843,$BY$7:$BY$1843,BY385,$BA$7:$BA$1843,BA385,$BQ$7:$BQ$1843,"&lt;="&amp;BQ385),"")</f>
        <v>5.68039931083409</v>
      </c>
      <c r="BC385" s="65" t="n">
        <f aca="false">IF(BB385="",0,MAX(0,MIN(1,(IF(BY385="L1",Parameter!$E$5,Parameter!$E$6+Parameter!$E$7)-(BB385-AX385))/AX385)))</f>
        <v>1</v>
      </c>
      <c r="BD385" s="55" t="str">
        <f aca="false">IF(AH385&lt;=0,"",IF(BY385="Aussen","Aussenlager",IF(BY385="-","Nicht im Lift",IF(AM385&gt;=1,"Lift",IF(AM385&lt;=0,"Aussenlager","teilweise")))))</f>
        <v>Lift</v>
      </c>
      <c r="BE385" s="55" t="str">
        <f aca="false">IF(AP385&lt;=0,"",IF(BY385="Aussen","Aussenlager",IF(BY385="-","Nicht im Lift",IF(AU385&gt;=1,"Lift",IF(AU385&lt;=0,"Aussenlager","teilweise")))))</f>
        <v>Lift</v>
      </c>
      <c r="BF385" s="55" t="str">
        <f aca="false">IF(AX385&lt;=0,"",IF(BY385="Aussen","Aussenlager",IF(BY385="-","Nicht im Lift",IF(BC385&gt;=1,"Lift",IF(BC385&lt;=0,"Aussenlager","teilweise")))))</f>
        <v>Lift</v>
      </c>
      <c r="BG385" s="55" t="str">
        <f aca="false">IF(A385="","",IF(BP385=1,"Neu; ","")&amp;IF(AND(BP385=0,BK385&lt;0),"negativer Bestand (Export "&amp;BK385&amp;"); ","")&amp;IF(J385&lt;=0,"Kein Verbrauch; ","")&amp;IF(CH385&gt;0,"Lift "&amp;W385&amp;" lt. Liftbericht (Fach "&amp;X385&amp;" Stk); ",IF(BU385=1,"Gebinde geschätzt ("&amp;T385&amp;"); ",IF(BT385=1,"Lose – Tablare geschätzt; ","")))&amp;IF(H385&gt;AR385,"Überbestand "&amp;ROUND(H385-AR385,0)&amp;" Stk / CHF "&amp;ROUND((H385-AR385)*G385,0)&amp;"; ","")&amp;IF(AND(CA385=1,CB385&lt;CC385),"MAX &lt; MB+LG; ","")&amp;IF(AND(CG385&gt;0,CF385*10&gt;CG385),"zu hoch für Tablar; ","")&amp;IF(AND(BP385=0,OR(CA385=1,AA385&lt;&gt;"",U385&lt;&gt;"",V385&lt;&gt;"",AB385&lt;&gt;"")),"manuell übersteuert; ","")&amp;IF(AND(BT385=0,R385=0),"Gebinde unbekannt / Stellmass fehlt; ","")&amp;IF(AND(BT385=0,N(V385)&lt;=0,N(Q385)&lt;=0),"Menge pro Gebinde fehlt (Ist = 1 Gebinde); ","")&amp;BO385)</f>
        <v/>
      </c>
      <c r="BH385" s="55"/>
      <c r="BI385" s="55"/>
      <c r="BJ385" s="62"/>
      <c r="BK385" s="57" t="n">
        <v>257</v>
      </c>
      <c r="BL385" s="57" t="n">
        <v>150</v>
      </c>
      <c r="BM385" s="56" t="n">
        <v>129.57</v>
      </c>
      <c r="BN385" s="57" t="n">
        <v>309</v>
      </c>
      <c r="BO385" s="55"/>
      <c r="BP385" s="60" t="n">
        <v>0</v>
      </c>
      <c r="BQ385" s="60" t="n">
        <v>385</v>
      </c>
      <c r="BR385" s="55" t="str">
        <f aca="false">IF(U385&lt;&gt;"",UPPER(TRIM(U385)),IF(BU385=1,UPPER(VLOOKUP(T385,Parameter!$I$27:$K$29,2,0)),IF(P385="","LOSE",P385)))</f>
        <v>S22</v>
      </c>
      <c r="BS385" s="57" t="n">
        <f aca="false">IF(BR385="LOSE",1,IF(N(V385)&gt;0,V385,IF(BU385=1,MAX(1,N(VLOOKUP(T385,Parameter!$I$27:$K$29,3,0)),H385,N(N385)),IF(N(Q385)&gt;0,Q385,MAX(1,H385)))))</f>
        <v>118</v>
      </c>
      <c r="BT385" s="60" t="n">
        <f aca="false">IF(BR385="LOSE",1,0)</f>
        <v>0</v>
      </c>
      <c r="BU385" s="60" t="n">
        <f aca="false">IF(AND(U385="",OR(P385="",P385="LOSE"),T385&lt;&gt;"",N(S385)&lt;=0,ISNUMBER(MATCH(T385,Parameter!$I$27:$I$29,0))),1,0)</f>
        <v>0</v>
      </c>
      <c r="BV385" s="55" t="str">
        <f aca="false">IF(AND(Parameter!$B$19="Ja",E385&lt;&gt;"",ISNUMBER(MATCH(E385,Parameter!$I$35:$I$52,0))),VLOOKUP(E385,Parameter!$I$35:$J$52,2,0),IFERROR(VLOOKUP(D385,Parameter!$A$35:$C$64,2,0),"Nein"))</f>
        <v>2+3</v>
      </c>
      <c r="BW385" s="59" t="n">
        <f aca="false">IF(BT385=0,0,IF(N(S385)&gt;0,S385,IFERROR(VLOOKUP(D385,Parameter!$A$35:$C$64,3,0)+0,0)))</f>
        <v>0</v>
      </c>
      <c r="BX385" s="55" t="n">
        <f aca="false">IF(AA385&lt;&gt;"",AA385,Z385)</f>
        <v>3</v>
      </c>
      <c r="BY385" s="55" t="str">
        <f aca="false">IF(BX385=1,"L1",IF(OR(BX385=2,BX385=3),"L23",IF(BX385="Aussen","Aussen","-")))</f>
        <v>L23</v>
      </c>
      <c r="BZ385" s="66" t="n">
        <f aca="false">IF(N(AB385)&gt;0,AB385,0)</f>
        <v>0</v>
      </c>
      <c r="CA385" s="60" t="n">
        <f aca="false">IF(ISNUMBER(AE385),1,0)</f>
        <v>0</v>
      </c>
      <c r="CB385" s="57" t="n">
        <f aca="false">N(AE385)</f>
        <v>0</v>
      </c>
      <c r="CC385" s="57" t="n">
        <f aca="false">N(M385)+N(N385)</f>
        <v>418</v>
      </c>
      <c r="CD385" s="57" t="n">
        <f aca="false">ROUNDUP(H385/BS385,0)</f>
        <v>4</v>
      </c>
      <c r="CE385" s="57" t="n">
        <f aca="false">ROUNDUP(CB385/BS385,0)</f>
        <v>0</v>
      </c>
      <c r="CF385" s="60" t="n">
        <f aca="false">IF(BT385=1,0,IFERROR(VLOOKUP(BR385,'Gebinde-Kategorie'!$A$5:$M$45,5,0)+0,0))</f>
        <v>8</v>
      </c>
      <c r="CG385" s="60" t="n">
        <f aca="false">IFERROR(IF(OR(BX385=1,BX385=2,BX385=3),N(INDEX(Parameter!$I$5:$I$7,BX385)),0),0)</f>
        <v>0</v>
      </c>
      <c r="CH385" s="59" t="n">
        <f aca="false">IF(AND(Parameter!$B$21="Ja",ISNUMBER(W385),N(X385)&gt;0),IFERROR(N(INDEX(Parameter!$L$5:$L$7,W385))*INDEX(Parameter!$E$5:$E$7,W385)*X385/SUMIFS($X$7:$X$1843,$W$7:$W$1843,W385),0),0)</f>
        <v>0</v>
      </c>
    </row>
    <row r="386" customFormat="false" ht="15" hidden="false" customHeight="false" outlineLevel="0" collapsed="false">
      <c r="A386" s="55" t="s">
        <v>915</v>
      </c>
      <c r="B386" s="55" t="s">
        <v>301</v>
      </c>
      <c r="C386" s="55" t="s">
        <v>164</v>
      </c>
      <c r="D386" s="55" t="s">
        <v>184</v>
      </c>
      <c r="E386" s="55"/>
      <c r="F386" s="55" t="s">
        <v>218</v>
      </c>
      <c r="G386" s="56" t="n">
        <v>512.66</v>
      </c>
      <c r="H386" s="57" t="n">
        <f aca="false">MAX(0,IF(AND(Parameter!$B$21="Ja",ISNUMBER(Y386)),Y386,IF(Parameter!$B$20="Jahresanfang 2025 + Export",BL386+BK386,BK386)))</f>
        <v>4</v>
      </c>
      <c r="I386" s="57" t="n">
        <f aca="false">H386*G386</f>
        <v>2050.64</v>
      </c>
      <c r="J386" s="57" t="n">
        <f aca="false">BN386*Parameter!$B$18</f>
        <v>9</v>
      </c>
      <c r="K386" s="58" t="n">
        <v>4.5</v>
      </c>
      <c r="L386" s="59" t="n">
        <v>2</v>
      </c>
      <c r="M386" s="57" t="n">
        <v>0</v>
      </c>
      <c r="N386" s="57" t="n">
        <v>5</v>
      </c>
      <c r="O386" s="60" t="n">
        <v>35</v>
      </c>
      <c r="P386" s="55" t="s">
        <v>168</v>
      </c>
      <c r="Q386" s="57"/>
      <c r="R386" s="60" t="n">
        <f aca="false">IF(BT386=1,0,IFERROR(VLOOKUP(BR386,'Gebinde-Kategorie'!$A$5:$M$45,13,0)+0,0))</f>
        <v>26</v>
      </c>
      <c r="S386" s="61"/>
      <c r="T386" s="62" t="s">
        <v>275</v>
      </c>
      <c r="U386" s="62"/>
      <c r="V386" s="62"/>
      <c r="W386" s="55"/>
      <c r="X386" s="57"/>
      <c r="Y386" s="57"/>
      <c r="Z386" s="55" t="n">
        <f aca="false">IF(A386="","",IF(AND(Parameter!$B$21="Ja",ISNUMBER(W386)),W386,IF(BV386="2+3",IF(ISNUMBER(SEARCH("grosser Artikel",BO386)),2,IFERROR(VLOOKUP(BR386,Parameter!$F$35:$G$64,2,0),2)),IF(OR(BV386="Nein",BV386=""),"-",BV386))))</f>
        <v>3</v>
      </c>
      <c r="AA386" s="62"/>
      <c r="AB386" s="63"/>
      <c r="AC386" s="57" t="n">
        <f aca="false">AR386</f>
        <v>20</v>
      </c>
      <c r="AD386" s="57" t="n">
        <f aca="false">MAX(AR386,H386)</f>
        <v>20</v>
      </c>
      <c r="AE386" s="64"/>
      <c r="AF386" s="57" t="n">
        <f aca="false">IF(LEFT(Cockpit!$C$5,1)="A",H386,IF(CA386=1,CB386,IF(LEFT(Cockpit!$C$5,1)="B",AJ386,MAX(AJ386,H386))))</f>
        <v>4</v>
      </c>
      <c r="AG386" s="57" t="n">
        <f aca="false">IF(BT386=1,0,ROUNDUP(AF386/BS386,0))</f>
        <v>1</v>
      </c>
      <c r="AH386" s="59" t="n">
        <f aca="false">IF(CH386&gt;0,CH386*MAX(1,AF386/X386),IF(BT386=1,IF(AF386&lt;=0,0,BW386*MAX(1,IF(H386&gt;0,AF386/H386,1))),IF(R386&gt;0,AG386/R386,0))/MAX(0.1,N(Parameter!$M$21)))</f>
        <v>0.0384615384615385</v>
      </c>
      <c r="AI386" s="57" t="n">
        <f aca="false">AF386*G386</f>
        <v>2050.64</v>
      </c>
      <c r="AJ386" s="57" t="n">
        <f aca="false">ROUNDUP(MAX(J386/IF(BZ386&gt;0,BZ386,MAX(0.1,N(Cockpit!$C$6))),CC386)/BS386,0)*BS386</f>
        <v>20</v>
      </c>
      <c r="AK386" s="58" t="n">
        <f aca="false">IF(AH386&gt;0,J386/AH386,-1)</f>
        <v>234</v>
      </c>
      <c r="AL386" s="58" t="n">
        <f aca="false">IF(AND(OR(BY386="L1",BY386="L23"),AH386&gt;0),SUMIFS($AH$7:$AH$1843,$BY$7:$BY$1843,BY386,$AK$7:$AK$1843,"&gt;"&amp;AK386)+SUMIFS($AH$7:$AH$1843,$BY$7:$BY$1843,BY386,$AK$7:$AK$1843,AK386,$BQ$7:$BQ$1843,"&lt;="&amp;BQ386),"")</f>
        <v>30.5158271680011</v>
      </c>
      <c r="AM386" s="65" t="n">
        <f aca="false">IF(AL386="",0,MAX(0,MIN(1,(IF(BY386="L1",Parameter!$E$5,Parameter!$E$6+Parameter!$E$7)-(AL386-AH386))/AH386)))</f>
        <v>1</v>
      </c>
      <c r="AN386" s="57" t="n">
        <f aca="false">IF(LEFT(Cockpit!$I$5,1)="A",H386,IF(CA386=1,CB386,IF(LEFT(Cockpit!$I$5,1)="B",AR386,MAX(AR386,H386))))</f>
        <v>20</v>
      </c>
      <c r="AO386" s="57" t="n">
        <f aca="false">IF(BT386=1,0,ROUNDUP(AN386/BS386,0))</f>
        <v>1</v>
      </c>
      <c r="AP386" s="59" t="n">
        <f aca="false">IF(CH386&gt;0,CH386*MAX(1,AN386/X386),IF(BT386=1,IF(AN386&lt;=0,0,BW386*MAX(1,IF(H386&gt;0,AN386/H386,1))),IF(R386&gt;0,AO386/R386,0))/MAX(0.1,N(Parameter!$M$21)))</f>
        <v>0.0384615384615385</v>
      </c>
      <c r="AQ386" s="57" t="n">
        <f aca="false">AN386*G386</f>
        <v>10253.2</v>
      </c>
      <c r="AR386" s="57" t="n">
        <f aca="false">ROUNDUP(MAX(J386/IF(BZ386&gt;0,BZ386,MAX(0.1,N(Cockpit!$I$6))),CC386)/BS386,0)*BS386</f>
        <v>20</v>
      </c>
      <c r="AS386" s="58" t="n">
        <f aca="false">IF(AP386&gt;0,J386/AP386,-1)</f>
        <v>234</v>
      </c>
      <c r="AT386" s="58" t="n">
        <f aca="false">IF(AND(OR(BY386="L1",BY386="L23"),AP386&gt;0),SUMIFS($AP$7:$AP$1843,$BY$7:$BY$1843,BY386,$AS$7:$AS$1843,"&gt;"&amp;AS386)+SUMIFS($AP$7:$AP$1843,$BY$7:$BY$1843,BY386,$AS$7:$AS$1843,AS386,$BQ$7:$BQ$1843,"&lt;="&amp;BQ386),"")</f>
        <v>43.9108138238573</v>
      </c>
      <c r="AU386" s="65" t="n">
        <f aca="false">IF(AT386="",0,MAX(0,MIN(1,(IF(BY386="L1",Parameter!$E$5,Parameter!$E$6+Parameter!$E$7)-(AT386-AP386))/AP386)))</f>
        <v>1</v>
      </c>
      <c r="AV386" s="57" t="n">
        <f aca="false">IF(LEFT(Cockpit!$O$5,1)="A",H386,IF(CA386=1,CB386,IF(LEFT(Cockpit!$O$5,1)="B",AZ386,MAX(AZ386,H386))))</f>
        <v>20</v>
      </c>
      <c r="AW386" s="57" t="n">
        <f aca="false">IF(BT386=1,0,ROUNDUP(AV386/BS386,0))</f>
        <v>1</v>
      </c>
      <c r="AX386" s="59" t="n">
        <f aca="false">IF(CH386&gt;0,CH386*MAX(1,AV386/X386),IF(BT386=1,IF(AV386&lt;=0,0,BW386*MAX(1,IF(H386&gt;0,AV386/H386,1))),IF(R386&gt;0,AW386/R386,0))/MAX(0.1,N(Parameter!$M$21)))</f>
        <v>0.0384615384615385</v>
      </c>
      <c r="AY386" s="57" t="n">
        <f aca="false">AV386*G386</f>
        <v>10253.2</v>
      </c>
      <c r="AZ386" s="57" t="n">
        <f aca="false">ROUNDUP(MAX(J386/IF(BZ386&gt;0,BZ386,MAX(0.1,N(Cockpit!$O$6))),CC386)/BS386,0)*BS386</f>
        <v>20</v>
      </c>
      <c r="BA386" s="58" t="n">
        <f aca="false">IF(AX386&gt;0,J386/AX386,-1)</f>
        <v>234</v>
      </c>
      <c r="BB386" s="58" t="n">
        <f aca="false">IF(AND(OR(BY386="L1",BY386="L23"),AX386&gt;0),SUMIFS($AX$7:$AX$1843,$BY$7:$BY$1843,BY386,$BA$7:$BA$1843,"&gt;"&amp;BA386)+SUMIFS($AX$7:$AX$1843,$BY$7:$BY$1843,BY386,$BA$7:$BA$1843,BA386,$BQ$7:$BQ$1843,"&lt;="&amp;BQ386),"")</f>
        <v>41.1573173203608</v>
      </c>
      <c r="BC386" s="65" t="n">
        <f aca="false">IF(BB386="",0,MAX(0,MIN(1,(IF(BY386="L1",Parameter!$E$5,Parameter!$E$6+Parameter!$E$7)-(BB386-AX386))/AX386)))</f>
        <v>1</v>
      </c>
      <c r="BD386" s="55" t="str">
        <f aca="false">IF(AH386&lt;=0,"",IF(BY386="Aussen","Aussenlager",IF(BY386="-","Nicht im Lift",IF(AM386&gt;=1,"Lift",IF(AM386&lt;=0,"Aussenlager","teilweise")))))</f>
        <v>Lift</v>
      </c>
      <c r="BE386" s="55" t="str">
        <f aca="false">IF(AP386&lt;=0,"",IF(BY386="Aussen","Aussenlager",IF(BY386="-","Nicht im Lift",IF(AU386&gt;=1,"Lift",IF(AU386&lt;=0,"Aussenlager","teilweise")))))</f>
        <v>Lift</v>
      </c>
      <c r="BF386" s="55" t="str">
        <f aca="false">IF(AX386&lt;=0,"",IF(BY386="Aussen","Aussenlager",IF(BY386="-","Nicht im Lift",IF(BC386&gt;=1,"Lift",IF(BC386&lt;=0,"Aussenlager","teilweise")))))</f>
        <v>Lift</v>
      </c>
      <c r="BG386" s="55" t="str">
        <f aca="false">IF(A386="","",IF(BP386=1,"Neu; ","")&amp;IF(AND(BP386=0,BK386&lt;0),"negativer Bestand (Export "&amp;BK386&amp;"); ","")&amp;IF(J386&lt;=0,"Kein Verbrauch; ","")&amp;IF(CH386&gt;0,"Lift "&amp;W386&amp;" lt. Liftbericht (Fach "&amp;X386&amp;" Stk); ",IF(BU386=1,"Gebinde geschätzt ("&amp;T386&amp;"); ",IF(BT386=1,"Lose – Tablare geschätzt; ","")))&amp;IF(H386&gt;AR386,"Überbestand "&amp;ROUND(H386-AR386,0)&amp;" Stk / CHF "&amp;ROUND((H386-AR386)*G386,0)&amp;"; ","")&amp;IF(AND(CA386=1,CB386&lt;CC386),"MAX &lt; MB+LG; ","")&amp;IF(AND(CG386&gt;0,CF386*10&gt;CG386),"zu hoch für Tablar; ","")&amp;IF(AND(BP386=0,OR(CA386=1,AA386&lt;&gt;"",U386&lt;&gt;"",V386&lt;&gt;"",AB386&lt;&gt;"")),"manuell übersteuert; ","")&amp;IF(AND(BT386=0,R386=0),"Gebinde unbekannt / Stellmass fehlt; ","")&amp;IF(AND(BT386=0,N(V386)&lt;=0,N(Q386)&lt;=0),"Menge pro Gebinde fehlt (Ist = 1 Gebinde); ","")&amp;BO386)</f>
        <v>Gebinde geschätzt (Klein); Menge pro Gebinde fehlt (Ist = 1 Gebinde); </v>
      </c>
      <c r="BH386" s="55"/>
      <c r="BI386" s="55"/>
      <c r="BJ386" s="62"/>
      <c r="BK386" s="57" t="n">
        <v>0</v>
      </c>
      <c r="BL386" s="57" t="n">
        <v>4</v>
      </c>
      <c r="BM386" s="56" t="n">
        <v>129.360000000001</v>
      </c>
      <c r="BN386" s="57" t="n">
        <v>9</v>
      </c>
      <c r="BO386" s="55"/>
      <c r="BP386" s="60" t="n">
        <v>0</v>
      </c>
      <c r="BQ386" s="60" t="n">
        <v>386</v>
      </c>
      <c r="BR386" s="55" t="str">
        <f aca="false">IF(U386&lt;&gt;"",UPPER(TRIM(U386)),IF(BU386=1,UPPER(VLOOKUP(T386,Parameter!$I$27:$K$29,2,0)),IF(P386="","LOSE",P386)))</f>
        <v>S51</v>
      </c>
      <c r="BS386" s="57" t="n">
        <f aca="false">IF(BR386="LOSE",1,IF(N(V386)&gt;0,V386,IF(BU386=1,MAX(1,N(VLOOKUP(T386,Parameter!$I$27:$K$29,3,0)),H386,N(N386)),IF(N(Q386)&gt;0,Q386,MAX(1,H386)))))</f>
        <v>20</v>
      </c>
      <c r="BT386" s="60" t="n">
        <f aca="false">IF(BR386="LOSE",1,0)</f>
        <v>0</v>
      </c>
      <c r="BU386" s="60" t="n">
        <f aca="false">IF(AND(U386="",OR(P386="",P386="LOSE"),T386&lt;&gt;"",N(S386)&lt;=0,ISNUMBER(MATCH(T386,Parameter!$I$27:$I$29,0))),1,0)</f>
        <v>1</v>
      </c>
      <c r="BV386" s="55" t="str">
        <f aca="false">IF(AND(Parameter!$B$19="Ja",E386&lt;&gt;"",ISNUMBER(MATCH(E386,Parameter!$I$35:$I$52,0))),VLOOKUP(E386,Parameter!$I$35:$J$52,2,0),IFERROR(VLOOKUP(D386,Parameter!$A$35:$C$64,2,0),"Nein"))</f>
        <v>2+3</v>
      </c>
      <c r="BW386" s="59" t="n">
        <f aca="false">IF(BT386=0,0,IF(N(S386)&gt;0,S386,IFERROR(VLOOKUP(D386,Parameter!$A$35:$C$64,3,0)+0,0)))</f>
        <v>0</v>
      </c>
      <c r="BX386" s="55" t="n">
        <f aca="false">IF(AA386&lt;&gt;"",AA386,Z386)</f>
        <v>3</v>
      </c>
      <c r="BY386" s="55" t="str">
        <f aca="false">IF(BX386=1,"L1",IF(OR(BX386=2,BX386=3),"L23",IF(BX386="Aussen","Aussen","-")))</f>
        <v>L23</v>
      </c>
      <c r="BZ386" s="66" t="n">
        <f aca="false">IF(N(AB386)&gt;0,AB386,0)</f>
        <v>0</v>
      </c>
      <c r="CA386" s="60" t="n">
        <f aca="false">IF(ISNUMBER(AE386),1,0)</f>
        <v>0</v>
      </c>
      <c r="CB386" s="57" t="n">
        <f aca="false">N(AE386)</f>
        <v>0</v>
      </c>
      <c r="CC386" s="57" t="n">
        <f aca="false">N(M386)+N(N386)</f>
        <v>5</v>
      </c>
      <c r="CD386" s="57" t="n">
        <f aca="false">ROUNDUP(H386/BS386,0)</f>
        <v>1</v>
      </c>
      <c r="CE386" s="57" t="n">
        <f aca="false">ROUNDUP(CB386/BS386,0)</f>
        <v>0</v>
      </c>
      <c r="CF386" s="60" t="n">
        <f aca="false">IF(BT386=1,0,IFERROR(VLOOKUP(BR386,'Gebinde-Kategorie'!$A$5:$M$45,5,0)+0,0))</f>
        <v>11</v>
      </c>
      <c r="CG386" s="60" t="n">
        <f aca="false">IFERROR(IF(OR(BX386=1,BX386=2,BX386=3),N(INDEX(Parameter!$I$5:$I$7,BX386)),0),0)</f>
        <v>0</v>
      </c>
      <c r="CH386" s="59" t="n">
        <f aca="false">IF(AND(Parameter!$B$21="Ja",ISNUMBER(W386),N(X386)&gt;0),IFERROR(N(INDEX(Parameter!$L$5:$L$7,W386))*INDEX(Parameter!$E$5:$E$7,W386)*X386/SUMIFS($X$7:$X$1843,$W$7:$W$1843,W386),0),0)</f>
        <v>0</v>
      </c>
    </row>
    <row r="387" customFormat="false" ht="15" hidden="false" customHeight="false" outlineLevel="0" collapsed="false">
      <c r="A387" s="55" t="s">
        <v>916</v>
      </c>
      <c r="B387" s="55" t="s">
        <v>917</v>
      </c>
      <c r="C387" s="55" t="s">
        <v>164</v>
      </c>
      <c r="D387" s="55" t="s">
        <v>184</v>
      </c>
      <c r="E387" s="55" t="s">
        <v>185</v>
      </c>
      <c r="F387" s="55" t="s">
        <v>218</v>
      </c>
      <c r="G387" s="56" t="n">
        <v>1.54</v>
      </c>
      <c r="H387" s="57" t="n">
        <f aca="false">MAX(0,IF(AND(Parameter!$B$21="Ja",ISNUMBER(Y387)),Y387,IF(Parameter!$B$20="Jahresanfang 2025 + Export",BL387+BK387,BK387)))</f>
        <v>130</v>
      </c>
      <c r="I387" s="57" t="n">
        <f aca="false">H387*G387</f>
        <v>200.2</v>
      </c>
      <c r="J387" s="57" t="n">
        <f aca="false">BN387*Parameter!$B$18</f>
        <v>129</v>
      </c>
      <c r="K387" s="58" t="n">
        <v>42</v>
      </c>
      <c r="L387" s="59" t="n">
        <v>3.07142857142857</v>
      </c>
      <c r="M387" s="57" t="n">
        <v>7</v>
      </c>
      <c r="N387" s="57" t="n">
        <v>130</v>
      </c>
      <c r="O387" s="60" t="n">
        <v>21</v>
      </c>
      <c r="P387" s="55" t="s">
        <v>421</v>
      </c>
      <c r="Q387" s="57" t="n">
        <v>131</v>
      </c>
      <c r="R387" s="60" t="n">
        <f aca="false">IF(BT387=1,0,IFERROR(VLOOKUP(BR387,'Gebinde-Kategorie'!$A$5:$M$45,13,0)+0,0))</f>
        <v>132</v>
      </c>
      <c r="S387" s="61"/>
      <c r="T387" s="62"/>
      <c r="U387" s="62"/>
      <c r="V387" s="62"/>
      <c r="W387" s="55"/>
      <c r="X387" s="57"/>
      <c r="Y387" s="57"/>
      <c r="Z387" s="55" t="n">
        <f aca="false">IF(A387="","",IF(AND(Parameter!$B$21="Ja",ISNUMBER(W387)),W387,IF(BV387="2+3",IF(ISNUMBER(SEARCH("grosser Artikel",BO387)),2,IFERROR(VLOOKUP(BR387,Parameter!$F$35:$G$64,2,0),2)),IF(OR(BV387="Nein",BV387=""),"-",BV387))))</f>
        <v>3</v>
      </c>
      <c r="AA387" s="62"/>
      <c r="AB387" s="63"/>
      <c r="AC387" s="57" t="n">
        <f aca="false">AR387</f>
        <v>262</v>
      </c>
      <c r="AD387" s="57" t="n">
        <f aca="false">MAX(AR387,H387)</f>
        <v>262</v>
      </c>
      <c r="AE387" s="64"/>
      <c r="AF387" s="57" t="n">
        <f aca="false">IF(LEFT(Cockpit!$C$5,1)="A",H387,IF(CA387=1,CB387,IF(LEFT(Cockpit!$C$5,1)="B",AJ387,MAX(AJ387,H387))))</f>
        <v>130</v>
      </c>
      <c r="AG387" s="57" t="n">
        <f aca="false">IF(BT387=1,0,ROUNDUP(AF387/BS387,0))</f>
        <v>1</v>
      </c>
      <c r="AH387" s="59" t="n">
        <f aca="false">IF(CH387&gt;0,CH387*MAX(1,AF387/X387),IF(BT387=1,IF(AF387&lt;=0,0,BW387*MAX(1,IF(H387&gt;0,AF387/H387,1))),IF(R387&gt;0,AG387/R387,0))/MAX(0.1,N(Parameter!$M$21)))</f>
        <v>0.00757575757575758</v>
      </c>
      <c r="AI387" s="57" t="n">
        <f aca="false">AF387*G387</f>
        <v>200.2</v>
      </c>
      <c r="AJ387" s="57" t="n">
        <f aca="false">ROUNDUP(MAX(J387/IF(BZ387&gt;0,BZ387,MAX(0.1,N(Cockpit!$C$6))),CC387)/BS387,0)*BS387</f>
        <v>262</v>
      </c>
      <c r="AK387" s="58" t="n">
        <f aca="false">IF(AH387&gt;0,J387/AH387,-1)</f>
        <v>17028</v>
      </c>
      <c r="AL387" s="58" t="n">
        <f aca="false">IF(AND(OR(BY387="L1",BY387="L23"),AH387&gt;0),SUMIFS($AH$7:$AH$1843,$BY$7:$BY$1843,BY387,$AK$7:$AK$1843,"&gt;"&amp;AK387)+SUMIFS($AH$7:$AH$1843,$BY$7:$BY$1843,BY387,$AK$7:$AK$1843,AK387,$BQ$7:$BQ$1843,"&lt;="&amp;BQ387),"")</f>
        <v>3.9330765852505</v>
      </c>
      <c r="AM387" s="65" t="n">
        <f aca="false">IF(AL387="",0,MAX(0,MIN(1,(IF(BY387="L1",Parameter!$E$5,Parameter!$E$6+Parameter!$E$7)-(AL387-AH387))/AH387)))</f>
        <v>1</v>
      </c>
      <c r="AN387" s="57" t="n">
        <f aca="false">IF(LEFT(Cockpit!$I$5,1)="A",H387,IF(CA387=1,CB387,IF(LEFT(Cockpit!$I$5,1)="B",AR387,MAX(AR387,H387))))</f>
        <v>262</v>
      </c>
      <c r="AO387" s="57" t="n">
        <f aca="false">IF(BT387=1,0,ROUNDUP(AN387/BS387,0))</f>
        <v>2</v>
      </c>
      <c r="AP387" s="59" t="n">
        <f aca="false">IF(CH387&gt;0,CH387*MAX(1,AN387/X387),IF(BT387=1,IF(AN387&lt;=0,0,BW387*MAX(1,IF(H387&gt;0,AN387/H387,1))),IF(R387&gt;0,AO387/R387,0))/MAX(0.1,N(Parameter!$M$21)))</f>
        <v>0.0151515151515152</v>
      </c>
      <c r="AQ387" s="57" t="n">
        <f aca="false">AN387*G387</f>
        <v>403.48</v>
      </c>
      <c r="AR387" s="57" t="n">
        <f aca="false">ROUNDUP(MAX(J387/IF(BZ387&gt;0,BZ387,MAX(0.1,N(Cockpit!$I$6))),CC387)/BS387,0)*BS387</f>
        <v>262</v>
      </c>
      <c r="AS387" s="58" t="n">
        <f aca="false">IF(AP387&gt;0,J387/AP387,-1)</f>
        <v>8514</v>
      </c>
      <c r="AT387" s="58" t="n">
        <f aca="false">IF(AND(OR(BY387="L1",BY387="L23"),AP387&gt;0),SUMIFS($AP$7:$AP$1843,$BY$7:$BY$1843,BY387,$AS$7:$AS$1843,"&gt;"&amp;AS387)+SUMIFS($AP$7:$AP$1843,$BY$7:$BY$1843,BY387,$AS$7:$AS$1843,AS387,$BQ$7:$BQ$1843,"&lt;="&amp;BQ387),"")</f>
        <v>8.89493598189251</v>
      </c>
      <c r="AU387" s="65" t="n">
        <f aca="false">IF(AT387="",0,MAX(0,MIN(1,(IF(BY387="L1",Parameter!$E$5,Parameter!$E$6+Parameter!$E$7)-(AT387-AP387))/AP387)))</f>
        <v>1</v>
      </c>
      <c r="AV387" s="57" t="n">
        <f aca="false">IF(LEFT(Cockpit!$O$5,1)="A",H387,IF(CA387=1,CB387,IF(LEFT(Cockpit!$O$5,1)="B",AZ387,MAX(AZ387,H387))))</f>
        <v>262</v>
      </c>
      <c r="AW387" s="57" t="n">
        <f aca="false">IF(BT387=1,0,ROUNDUP(AV387/BS387,0))</f>
        <v>2</v>
      </c>
      <c r="AX387" s="59" t="n">
        <f aca="false">IF(CH387&gt;0,CH387*MAX(1,AV387/X387),IF(BT387=1,IF(AV387&lt;=0,0,BW387*MAX(1,IF(H387&gt;0,AV387/H387,1))),IF(R387&gt;0,AW387/R387,0))/MAX(0.1,N(Parameter!$M$21)))</f>
        <v>0.0151515151515152</v>
      </c>
      <c r="AY387" s="57" t="n">
        <f aca="false">AV387*G387</f>
        <v>403.48</v>
      </c>
      <c r="AZ387" s="57" t="n">
        <f aca="false">ROUNDUP(MAX(J387/IF(BZ387&gt;0,BZ387,MAX(0.1,N(Cockpit!$O$6))),CC387)/BS387,0)*BS387</f>
        <v>262</v>
      </c>
      <c r="BA387" s="58" t="n">
        <f aca="false">IF(AX387&gt;0,J387/AX387,-1)</f>
        <v>8514</v>
      </c>
      <c r="BB387" s="58" t="n">
        <f aca="false">IF(AND(OR(BY387="L1",BY387="L23"),AX387&gt;0),SUMIFS($AX$7:$AX$1843,$BY$7:$BY$1843,BY387,$BA$7:$BA$1843,"&gt;"&amp;BA387)+SUMIFS($AX$7:$AX$1843,$BY$7:$BY$1843,BY387,$BA$7:$BA$1843,BA387,$BQ$7:$BQ$1843,"&lt;="&amp;BQ387),"")</f>
        <v>8.62861896557549</v>
      </c>
      <c r="BC387" s="65" t="n">
        <f aca="false">IF(BB387="",0,MAX(0,MIN(1,(IF(BY387="L1",Parameter!$E$5,Parameter!$E$6+Parameter!$E$7)-(BB387-AX387))/AX387)))</f>
        <v>1</v>
      </c>
      <c r="BD387" s="55" t="str">
        <f aca="false">IF(AH387&lt;=0,"",IF(BY387="Aussen","Aussenlager",IF(BY387="-","Nicht im Lift",IF(AM387&gt;=1,"Lift",IF(AM387&lt;=0,"Aussenlager","teilweise")))))</f>
        <v>Lift</v>
      </c>
      <c r="BE387" s="55" t="str">
        <f aca="false">IF(AP387&lt;=0,"",IF(BY387="Aussen","Aussenlager",IF(BY387="-","Nicht im Lift",IF(AU387&gt;=1,"Lift",IF(AU387&lt;=0,"Aussenlager","teilweise")))))</f>
        <v>Lift</v>
      </c>
      <c r="BF387" s="55" t="str">
        <f aca="false">IF(AX387&lt;=0,"",IF(BY387="Aussen","Aussenlager",IF(BY387="-","Nicht im Lift",IF(BC387&gt;=1,"Lift",IF(BC387&lt;=0,"Aussenlager","teilweise")))))</f>
        <v>Lift</v>
      </c>
      <c r="BG387" s="55" t="str">
        <f aca="false">IF(A387="","",IF(BP387=1,"Neu; ","")&amp;IF(AND(BP387=0,BK387&lt;0),"negativer Bestand (Export "&amp;BK387&amp;"); ","")&amp;IF(J387&lt;=0,"Kein Verbrauch; ","")&amp;IF(CH387&gt;0,"Lift "&amp;W387&amp;" lt. Liftbericht (Fach "&amp;X387&amp;" Stk); ",IF(BU387=1,"Gebinde geschätzt ("&amp;T387&amp;"); ",IF(BT387=1,"Lose – Tablare geschätzt; ","")))&amp;IF(H387&gt;AR387,"Überbestand "&amp;ROUND(H387-AR387,0)&amp;" Stk / CHF "&amp;ROUND((H387-AR387)*G387,0)&amp;"; ","")&amp;IF(AND(CA387=1,CB387&lt;CC387),"MAX &lt; MB+LG; ","")&amp;IF(AND(CG387&gt;0,CF387*10&gt;CG387),"zu hoch für Tablar; ","")&amp;IF(AND(BP387=0,OR(CA387=1,AA387&lt;&gt;"",U387&lt;&gt;"",V387&lt;&gt;"",AB387&lt;&gt;"")),"manuell übersteuert; ","")&amp;IF(AND(BT387=0,R387=0),"Gebinde unbekannt / Stellmass fehlt; ","")&amp;IF(AND(BT387=0,N(V387)&lt;=0,N(Q387)&lt;=0),"Menge pro Gebinde fehlt (Ist = 1 Gebinde); ","")&amp;BO387)</f>
        <v/>
      </c>
      <c r="BH387" s="55"/>
      <c r="BI387" s="55"/>
      <c r="BJ387" s="62"/>
      <c r="BK387" s="57" t="n">
        <v>84</v>
      </c>
      <c r="BL387" s="57" t="n">
        <v>46</v>
      </c>
      <c r="BM387" s="56" t="n">
        <v>129.36</v>
      </c>
      <c r="BN387" s="57" t="n">
        <v>129</v>
      </c>
      <c r="BO387" s="55"/>
      <c r="BP387" s="60" t="n">
        <v>0</v>
      </c>
      <c r="BQ387" s="60" t="n">
        <v>387</v>
      </c>
      <c r="BR387" s="55" t="str">
        <f aca="false">IF(U387&lt;&gt;"",UPPER(TRIM(U387)),IF(BU387=1,UPPER(VLOOKUP(T387,Parameter!$I$27:$K$29,2,0)),IF(P387="","LOSE",P387)))</f>
        <v>S32</v>
      </c>
      <c r="BS387" s="57" t="n">
        <f aca="false">IF(BR387="LOSE",1,IF(N(V387)&gt;0,V387,IF(BU387=1,MAX(1,N(VLOOKUP(T387,Parameter!$I$27:$K$29,3,0)),H387,N(N387)),IF(N(Q387)&gt;0,Q387,MAX(1,H387)))))</f>
        <v>131</v>
      </c>
      <c r="BT387" s="60" t="n">
        <f aca="false">IF(BR387="LOSE",1,0)</f>
        <v>0</v>
      </c>
      <c r="BU387" s="60" t="n">
        <f aca="false">IF(AND(U387="",OR(P387="",P387="LOSE"),T387&lt;&gt;"",N(S387)&lt;=0,ISNUMBER(MATCH(T387,Parameter!$I$27:$I$29,0))),1,0)</f>
        <v>0</v>
      </c>
      <c r="BV387" s="55" t="str">
        <f aca="false">IF(AND(Parameter!$B$19="Ja",E387&lt;&gt;"",ISNUMBER(MATCH(E387,Parameter!$I$35:$I$52,0))),VLOOKUP(E387,Parameter!$I$35:$J$52,2,0),IFERROR(VLOOKUP(D387,Parameter!$A$35:$C$64,2,0),"Nein"))</f>
        <v>2+3</v>
      </c>
      <c r="BW387" s="59" t="n">
        <f aca="false">IF(BT387=0,0,IF(N(S387)&gt;0,S387,IFERROR(VLOOKUP(D387,Parameter!$A$35:$C$64,3,0)+0,0)))</f>
        <v>0</v>
      </c>
      <c r="BX387" s="55" t="n">
        <f aca="false">IF(AA387&lt;&gt;"",AA387,Z387)</f>
        <v>3</v>
      </c>
      <c r="BY387" s="55" t="str">
        <f aca="false">IF(BX387=1,"L1",IF(OR(BX387=2,BX387=3),"L23",IF(BX387="Aussen","Aussen","-")))</f>
        <v>L23</v>
      </c>
      <c r="BZ387" s="66" t="n">
        <f aca="false">IF(N(AB387)&gt;0,AB387,0)</f>
        <v>0</v>
      </c>
      <c r="CA387" s="60" t="n">
        <f aca="false">IF(ISNUMBER(AE387),1,0)</f>
        <v>0</v>
      </c>
      <c r="CB387" s="57" t="n">
        <f aca="false">N(AE387)</f>
        <v>0</v>
      </c>
      <c r="CC387" s="57" t="n">
        <f aca="false">N(M387)+N(N387)</f>
        <v>137</v>
      </c>
      <c r="CD387" s="57" t="n">
        <f aca="false">ROUNDUP(H387/BS387,0)</f>
        <v>1</v>
      </c>
      <c r="CE387" s="57" t="n">
        <f aca="false">ROUNDUP(CB387/BS387,0)</f>
        <v>0</v>
      </c>
      <c r="CF387" s="60" t="n">
        <f aca="false">IF(BT387=1,0,IFERROR(VLOOKUP(BR387,'Gebinde-Kategorie'!$A$5:$M$45,5,0)+0,0))</f>
        <v>8</v>
      </c>
      <c r="CG387" s="60" t="n">
        <f aca="false">IFERROR(IF(OR(BX387=1,BX387=2,BX387=3),N(INDEX(Parameter!$I$5:$I$7,BX387)),0),0)</f>
        <v>0</v>
      </c>
      <c r="CH387" s="59" t="n">
        <f aca="false">IF(AND(Parameter!$B$21="Ja",ISNUMBER(W387),N(X387)&gt;0),IFERROR(N(INDEX(Parameter!$L$5:$L$7,W387))*INDEX(Parameter!$E$5:$E$7,W387)*X387/SUMIFS($X$7:$X$1843,$W$7:$W$1843,W387),0),0)</f>
        <v>0</v>
      </c>
    </row>
    <row r="388" customFormat="false" ht="15" hidden="false" customHeight="false" outlineLevel="0" collapsed="false">
      <c r="A388" s="55" t="s">
        <v>918</v>
      </c>
      <c r="B388" s="55" t="s">
        <v>405</v>
      </c>
      <c r="C388" s="55" t="s">
        <v>164</v>
      </c>
      <c r="D388" s="55" t="s">
        <v>184</v>
      </c>
      <c r="E388" s="55"/>
      <c r="F388" s="55" t="s">
        <v>218</v>
      </c>
      <c r="G388" s="56" t="n">
        <v>0.6</v>
      </c>
      <c r="H388" s="57" t="n">
        <f aca="false">MAX(0,IF(AND(Parameter!$B$21="Ja",ISNUMBER(Y388)),Y388,IF(Parameter!$B$20="Jahresanfang 2025 + Export",BL388+BK388,BK388)))</f>
        <v>414</v>
      </c>
      <c r="I388" s="57" t="n">
        <f aca="false">H388*G388</f>
        <v>248.4</v>
      </c>
      <c r="J388" s="57" t="n">
        <f aca="false">BN388*Parameter!$B$18</f>
        <v>605</v>
      </c>
      <c r="K388" s="58" t="n">
        <v>279</v>
      </c>
      <c r="L388" s="59" t="n">
        <v>2.16845878136201</v>
      </c>
      <c r="M388" s="57" t="n">
        <v>35</v>
      </c>
      <c r="N388" s="57" t="n">
        <v>500</v>
      </c>
      <c r="O388" s="60" t="n">
        <v>21</v>
      </c>
      <c r="P388" s="55" t="s">
        <v>328</v>
      </c>
      <c r="Q388" s="57" t="n">
        <v>620</v>
      </c>
      <c r="R388" s="60" t="n">
        <f aca="false">IF(BT388=1,0,IFERROR(VLOOKUP(BR388,'Gebinde-Kategorie'!$A$5:$M$45,13,0)+0,0))</f>
        <v>52</v>
      </c>
      <c r="S388" s="61"/>
      <c r="T388" s="62"/>
      <c r="U388" s="62"/>
      <c r="V388" s="62"/>
      <c r="W388" s="55"/>
      <c r="X388" s="57"/>
      <c r="Y388" s="57"/>
      <c r="Z388" s="55" t="n">
        <f aca="false">IF(A388="","",IF(AND(Parameter!$B$21="Ja",ISNUMBER(W388)),W388,IF(BV388="2+3",IF(ISNUMBER(SEARCH("grosser Artikel",BO388)),2,IFERROR(VLOOKUP(BR388,Parameter!$F$35:$G$64,2,0),2)),IF(OR(BV388="Nein",BV388=""),"-",BV388))))</f>
        <v>3</v>
      </c>
      <c r="AA388" s="62"/>
      <c r="AB388" s="63"/>
      <c r="AC388" s="57" t="n">
        <f aca="false">AR388</f>
        <v>620</v>
      </c>
      <c r="AD388" s="57" t="n">
        <f aca="false">MAX(AR388,H388)</f>
        <v>620</v>
      </c>
      <c r="AE388" s="64"/>
      <c r="AF388" s="57" t="n">
        <f aca="false">IF(LEFT(Cockpit!$C$5,1)="A",H388,IF(CA388=1,CB388,IF(LEFT(Cockpit!$C$5,1)="B",AJ388,MAX(AJ388,H388))))</f>
        <v>414</v>
      </c>
      <c r="AG388" s="57" t="n">
        <f aca="false">IF(BT388=1,0,ROUNDUP(AF388/BS388,0))</f>
        <v>1</v>
      </c>
      <c r="AH388" s="59" t="n">
        <f aca="false">IF(CH388&gt;0,CH388*MAX(1,AF388/X388),IF(BT388=1,IF(AF388&lt;=0,0,BW388*MAX(1,IF(H388&gt;0,AF388/H388,1))),IF(R388&gt;0,AG388/R388,0))/MAX(0.1,N(Parameter!$M$21)))</f>
        <v>0.0192307692307692</v>
      </c>
      <c r="AI388" s="57" t="n">
        <f aca="false">AF388*G388</f>
        <v>248.4</v>
      </c>
      <c r="AJ388" s="57" t="n">
        <f aca="false">ROUNDUP(MAX(J388/IF(BZ388&gt;0,BZ388,MAX(0.1,N(Cockpit!$C$6))),CC388)/BS388,0)*BS388</f>
        <v>620</v>
      </c>
      <c r="AK388" s="58" t="n">
        <f aca="false">IF(AH388&gt;0,J388/AH388,-1)</f>
        <v>31460</v>
      </c>
      <c r="AL388" s="58" t="n">
        <f aca="false">IF(AND(OR(BY388="L1",BY388="L23"),AH388&gt;0),SUMIFS($AH$7:$AH$1843,$BY$7:$BY$1843,BY388,$AK$7:$AK$1843,"&gt;"&amp;AK388)+SUMIFS($AH$7:$AH$1843,$BY$7:$BY$1843,BY388,$AK$7:$AK$1843,AK388,$BQ$7:$BQ$1843,"&lt;="&amp;BQ388),"")</f>
        <v>2.24364886321408</v>
      </c>
      <c r="AM388" s="65" t="n">
        <f aca="false">IF(AL388="",0,MAX(0,MIN(1,(IF(BY388="L1",Parameter!$E$5,Parameter!$E$6+Parameter!$E$7)-(AL388-AH388))/AH388)))</f>
        <v>1</v>
      </c>
      <c r="AN388" s="57" t="n">
        <f aca="false">IF(LEFT(Cockpit!$I$5,1)="A",H388,IF(CA388=1,CB388,IF(LEFT(Cockpit!$I$5,1)="B",AR388,MAX(AR388,H388))))</f>
        <v>620</v>
      </c>
      <c r="AO388" s="57" t="n">
        <f aca="false">IF(BT388=1,0,ROUNDUP(AN388/BS388,0))</f>
        <v>1</v>
      </c>
      <c r="AP388" s="59" t="n">
        <f aca="false">IF(CH388&gt;0,CH388*MAX(1,AN388/X388),IF(BT388=1,IF(AN388&lt;=0,0,BW388*MAX(1,IF(H388&gt;0,AN388/H388,1))),IF(R388&gt;0,AO388/R388,0))/MAX(0.1,N(Parameter!$M$21)))</f>
        <v>0.0192307692307692</v>
      </c>
      <c r="AQ388" s="57" t="n">
        <f aca="false">AN388*G388</f>
        <v>372</v>
      </c>
      <c r="AR388" s="57" t="n">
        <f aca="false">ROUNDUP(MAX(J388/IF(BZ388&gt;0,BZ388,MAX(0.1,N(Cockpit!$I$6))),CC388)/BS388,0)*BS388</f>
        <v>620</v>
      </c>
      <c r="AS388" s="58" t="n">
        <f aca="false">IF(AP388&gt;0,J388/AP388,-1)</f>
        <v>31460</v>
      </c>
      <c r="AT388" s="58" t="n">
        <f aca="false">IF(AND(OR(BY388="L1",BY388="L23"),AP388&gt;0),SUMIFS($AP$7:$AP$1843,$BY$7:$BY$1843,BY388,$AS$7:$AS$1843,"&gt;"&amp;AS388)+SUMIFS($AP$7:$AP$1843,$BY$7:$BY$1843,BY388,$AS$7:$AS$1843,AS388,$BQ$7:$BQ$1843,"&lt;="&amp;BQ388),"")</f>
        <v>2.82881490490186</v>
      </c>
      <c r="AU388" s="65" t="n">
        <f aca="false">IF(AT388="",0,MAX(0,MIN(1,(IF(BY388="L1",Parameter!$E$5,Parameter!$E$6+Parameter!$E$7)-(AT388-AP388))/AP388)))</f>
        <v>1</v>
      </c>
      <c r="AV388" s="57" t="n">
        <f aca="false">IF(LEFT(Cockpit!$O$5,1)="A",H388,IF(CA388=1,CB388,IF(LEFT(Cockpit!$O$5,1)="B",AZ388,MAX(AZ388,H388))))</f>
        <v>620</v>
      </c>
      <c r="AW388" s="57" t="n">
        <f aca="false">IF(BT388=1,0,ROUNDUP(AV388/BS388,0))</f>
        <v>1</v>
      </c>
      <c r="AX388" s="59" t="n">
        <f aca="false">IF(CH388&gt;0,CH388*MAX(1,AV388/X388),IF(BT388=1,IF(AV388&lt;=0,0,BW388*MAX(1,IF(H388&gt;0,AV388/H388,1))),IF(R388&gt;0,AW388/R388,0))/MAX(0.1,N(Parameter!$M$21)))</f>
        <v>0.0192307692307692</v>
      </c>
      <c r="AY388" s="57" t="n">
        <f aca="false">AV388*G388</f>
        <v>372</v>
      </c>
      <c r="AZ388" s="57" t="n">
        <f aca="false">ROUNDUP(MAX(J388/IF(BZ388&gt;0,BZ388,MAX(0.1,N(Cockpit!$O$6))),CC388)/BS388,0)*BS388</f>
        <v>620</v>
      </c>
      <c r="BA388" s="58" t="n">
        <f aca="false">IF(AX388&gt;0,J388/AX388,-1)</f>
        <v>31460</v>
      </c>
      <c r="BB388" s="58" t="n">
        <f aca="false">IF(AND(OR(BY388="L1",BY388="L23"),AX388&gt;0),SUMIFS($AX$7:$AX$1843,$BY$7:$BY$1843,BY388,$BA$7:$BA$1843,"&gt;"&amp;BA388)+SUMIFS($AX$7:$AX$1843,$BY$7:$BY$1843,BY388,$BA$7:$BA$1843,BA388,$BQ$7:$BQ$1843,"&lt;="&amp;BQ388),"")</f>
        <v>2.59688017296713</v>
      </c>
      <c r="BC388" s="65" t="n">
        <f aca="false">IF(BB388="",0,MAX(0,MIN(1,(IF(BY388="L1",Parameter!$E$5,Parameter!$E$6+Parameter!$E$7)-(BB388-AX388))/AX388)))</f>
        <v>1</v>
      </c>
      <c r="BD388" s="55" t="str">
        <f aca="false">IF(AH388&lt;=0,"",IF(BY388="Aussen","Aussenlager",IF(BY388="-","Nicht im Lift",IF(AM388&gt;=1,"Lift",IF(AM388&lt;=0,"Aussenlager","teilweise")))))</f>
        <v>Lift</v>
      </c>
      <c r="BE388" s="55" t="str">
        <f aca="false">IF(AP388&lt;=0,"",IF(BY388="Aussen","Aussenlager",IF(BY388="-","Nicht im Lift",IF(AU388&gt;=1,"Lift",IF(AU388&lt;=0,"Aussenlager","teilweise")))))</f>
        <v>Lift</v>
      </c>
      <c r="BF388" s="55" t="str">
        <f aca="false">IF(AX388&lt;=0,"",IF(BY388="Aussen","Aussenlager",IF(BY388="-","Nicht im Lift",IF(BC388&gt;=1,"Lift",IF(BC388&lt;=0,"Aussenlager","teilweise")))))</f>
        <v>Lift</v>
      </c>
      <c r="BG388" s="55" t="str">
        <f aca="false">IF(A388="","",IF(BP388=1,"Neu; ","")&amp;IF(AND(BP388=0,BK388&lt;0),"negativer Bestand (Export "&amp;BK388&amp;"); ","")&amp;IF(J388&lt;=0,"Kein Verbrauch; ","")&amp;IF(CH388&gt;0,"Lift "&amp;W388&amp;" lt. Liftbericht (Fach "&amp;X388&amp;" Stk); ",IF(BU388=1,"Gebinde geschätzt ("&amp;T388&amp;"); ",IF(BT388=1,"Lose – Tablare geschätzt; ","")))&amp;IF(H388&gt;AR388,"Überbestand "&amp;ROUND(H388-AR388,0)&amp;" Stk / CHF "&amp;ROUND((H388-AR388)*G388,0)&amp;"; ","")&amp;IF(AND(CA388=1,CB388&lt;CC388),"MAX &lt; MB+LG; ","")&amp;IF(AND(CG388&gt;0,CF388*10&gt;CG388),"zu hoch für Tablar; ","")&amp;IF(AND(BP388=0,OR(CA388=1,AA388&lt;&gt;"",U388&lt;&gt;"",V388&lt;&gt;"",AB388&lt;&gt;"")),"manuell übersteuert; ","")&amp;IF(AND(BT388=0,R388=0),"Gebinde unbekannt / Stellmass fehlt; ","")&amp;IF(AND(BT388=0,N(V388)&lt;=0,N(Q388)&lt;=0),"Menge pro Gebinde fehlt (Ist = 1 Gebinde); ","")&amp;BO388)</f>
        <v/>
      </c>
      <c r="BH388" s="55"/>
      <c r="BI388" s="55"/>
      <c r="BJ388" s="62"/>
      <c r="BK388" s="57" t="n">
        <v>210</v>
      </c>
      <c r="BL388" s="57" t="n">
        <v>204</v>
      </c>
      <c r="BM388" s="56" t="n">
        <v>128.04</v>
      </c>
      <c r="BN388" s="57" t="n">
        <v>605</v>
      </c>
      <c r="BO388" s="55"/>
      <c r="BP388" s="60" t="n">
        <v>0</v>
      </c>
      <c r="BQ388" s="60" t="n">
        <v>388</v>
      </c>
      <c r="BR388" s="55" t="str">
        <f aca="false">IF(U388&lt;&gt;"",UPPER(TRIM(U388)),IF(BU388=1,UPPER(VLOOKUP(T388,Parameter!$I$27:$K$29,2,0)),IF(P388="","LOSE",P388)))</f>
        <v>S41</v>
      </c>
      <c r="BS388" s="57" t="n">
        <f aca="false">IF(BR388="LOSE",1,IF(N(V388)&gt;0,V388,IF(BU388=1,MAX(1,N(VLOOKUP(T388,Parameter!$I$27:$K$29,3,0)),H388,N(N388)),IF(N(Q388)&gt;0,Q388,MAX(1,H388)))))</f>
        <v>620</v>
      </c>
      <c r="BT388" s="60" t="n">
        <f aca="false">IF(BR388="LOSE",1,0)</f>
        <v>0</v>
      </c>
      <c r="BU388" s="60" t="n">
        <f aca="false">IF(AND(U388="",OR(P388="",P388="LOSE"),T388&lt;&gt;"",N(S388)&lt;=0,ISNUMBER(MATCH(T388,Parameter!$I$27:$I$29,0))),1,0)</f>
        <v>0</v>
      </c>
      <c r="BV388" s="55" t="str">
        <f aca="false">IF(AND(Parameter!$B$19="Ja",E388&lt;&gt;"",ISNUMBER(MATCH(E388,Parameter!$I$35:$I$52,0))),VLOOKUP(E388,Parameter!$I$35:$J$52,2,0),IFERROR(VLOOKUP(D388,Parameter!$A$35:$C$64,2,0),"Nein"))</f>
        <v>2+3</v>
      </c>
      <c r="BW388" s="59" t="n">
        <f aca="false">IF(BT388=0,0,IF(N(S388)&gt;0,S388,IFERROR(VLOOKUP(D388,Parameter!$A$35:$C$64,3,0)+0,0)))</f>
        <v>0</v>
      </c>
      <c r="BX388" s="55" t="n">
        <f aca="false">IF(AA388&lt;&gt;"",AA388,Z388)</f>
        <v>3</v>
      </c>
      <c r="BY388" s="55" t="str">
        <f aca="false">IF(BX388=1,"L1",IF(OR(BX388=2,BX388=3),"L23",IF(BX388="Aussen","Aussen","-")))</f>
        <v>L23</v>
      </c>
      <c r="BZ388" s="66" t="n">
        <f aca="false">IF(N(AB388)&gt;0,AB388,0)</f>
        <v>0</v>
      </c>
      <c r="CA388" s="60" t="n">
        <f aca="false">IF(ISNUMBER(AE388),1,0)</f>
        <v>0</v>
      </c>
      <c r="CB388" s="57" t="n">
        <f aca="false">N(AE388)</f>
        <v>0</v>
      </c>
      <c r="CC388" s="57" t="n">
        <f aca="false">N(M388)+N(N388)</f>
        <v>535</v>
      </c>
      <c r="CD388" s="57" t="n">
        <f aca="false">ROUNDUP(H388/BS388,0)</f>
        <v>1</v>
      </c>
      <c r="CE388" s="57" t="n">
        <f aca="false">ROUNDUP(CB388/BS388,0)</f>
        <v>0</v>
      </c>
      <c r="CF388" s="60" t="n">
        <f aca="false">IF(BT388=1,0,IFERROR(VLOOKUP(BR388,'Gebinde-Kategorie'!$A$5:$M$45,5,0)+0,0))</f>
        <v>11</v>
      </c>
      <c r="CG388" s="60" t="n">
        <f aca="false">IFERROR(IF(OR(BX388=1,BX388=2,BX388=3),N(INDEX(Parameter!$I$5:$I$7,BX388)),0),0)</f>
        <v>0</v>
      </c>
      <c r="CH388" s="59" t="n">
        <f aca="false">IF(AND(Parameter!$B$21="Ja",ISNUMBER(W388),N(X388)&gt;0),IFERROR(N(INDEX(Parameter!$L$5:$L$7,W388))*INDEX(Parameter!$E$5:$E$7,W388)*X388/SUMIFS($X$7:$X$1843,$W$7:$W$1843,W388),0),0)</f>
        <v>0</v>
      </c>
    </row>
    <row r="389" customFormat="false" ht="15" hidden="false" customHeight="false" outlineLevel="0" collapsed="false">
      <c r="A389" s="55" t="s">
        <v>919</v>
      </c>
      <c r="B389" s="55" t="s">
        <v>501</v>
      </c>
      <c r="C389" s="55" t="s">
        <v>164</v>
      </c>
      <c r="D389" s="55" t="s">
        <v>184</v>
      </c>
      <c r="E389" s="55" t="s">
        <v>185</v>
      </c>
      <c r="F389" s="55" t="s">
        <v>218</v>
      </c>
      <c r="G389" s="56" t="n">
        <v>8.3</v>
      </c>
      <c r="H389" s="57" t="n">
        <f aca="false">MAX(0,IF(AND(Parameter!$B$21="Ja",ISNUMBER(Y389)),Y389,IF(Parameter!$B$20="Jahresanfang 2025 + Export",BL389+BK389,BK389)))</f>
        <v>34</v>
      </c>
      <c r="I389" s="57" t="n">
        <f aca="false">H389*G389</f>
        <v>282.2</v>
      </c>
      <c r="J389" s="57" t="n">
        <f aca="false">BN389*Parameter!$B$18</f>
        <v>46</v>
      </c>
      <c r="K389" s="58" t="n">
        <v>14</v>
      </c>
      <c r="L389" s="59" t="n">
        <v>3.28571428571429</v>
      </c>
      <c r="M389" s="57" t="n">
        <v>3</v>
      </c>
      <c r="N389" s="57" t="n">
        <v>50</v>
      </c>
      <c r="O389" s="60" t="n">
        <v>28</v>
      </c>
      <c r="P389" s="55" t="s">
        <v>328</v>
      </c>
      <c r="Q389" s="57" t="n">
        <v>27</v>
      </c>
      <c r="R389" s="60" t="n">
        <f aca="false">IF(BT389=1,0,IFERROR(VLOOKUP(BR389,'Gebinde-Kategorie'!$A$5:$M$45,13,0)+0,0))</f>
        <v>52</v>
      </c>
      <c r="S389" s="61"/>
      <c r="T389" s="62"/>
      <c r="U389" s="62"/>
      <c r="V389" s="62"/>
      <c r="W389" s="55"/>
      <c r="X389" s="57"/>
      <c r="Y389" s="57"/>
      <c r="Z389" s="55" t="n">
        <f aca="false">IF(A389="","",IF(AND(Parameter!$B$21="Ja",ISNUMBER(W389)),W389,IF(BV389="2+3",IF(ISNUMBER(SEARCH("grosser Artikel",BO389)),2,IFERROR(VLOOKUP(BR389,Parameter!$F$35:$G$64,2,0),2)),IF(OR(BV389="Nein",BV389=""),"-",BV389))))</f>
        <v>3</v>
      </c>
      <c r="AA389" s="62"/>
      <c r="AB389" s="63"/>
      <c r="AC389" s="57" t="n">
        <f aca="false">AR389</f>
        <v>54</v>
      </c>
      <c r="AD389" s="57" t="n">
        <f aca="false">MAX(AR389,H389)</f>
        <v>54</v>
      </c>
      <c r="AE389" s="64"/>
      <c r="AF389" s="57" t="n">
        <f aca="false">IF(LEFT(Cockpit!$C$5,1)="A",H389,IF(CA389=1,CB389,IF(LEFT(Cockpit!$C$5,1)="B",AJ389,MAX(AJ389,H389))))</f>
        <v>34</v>
      </c>
      <c r="AG389" s="57" t="n">
        <f aca="false">IF(BT389=1,0,ROUNDUP(AF389/BS389,0))</f>
        <v>2</v>
      </c>
      <c r="AH389" s="59" t="n">
        <f aca="false">IF(CH389&gt;0,CH389*MAX(1,AF389/X389),IF(BT389=1,IF(AF389&lt;=0,0,BW389*MAX(1,IF(H389&gt;0,AF389/H389,1))),IF(R389&gt;0,AG389/R389,0))/MAX(0.1,N(Parameter!$M$21)))</f>
        <v>0.0384615384615385</v>
      </c>
      <c r="AI389" s="57" t="n">
        <f aca="false">AF389*G389</f>
        <v>282.2</v>
      </c>
      <c r="AJ389" s="57" t="n">
        <f aca="false">ROUNDUP(MAX(J389/IF(BZ389&gt;0,BZ389,MAX(0.1,N(Cockpit!$C$6))),CC389)/BS389,0)*BS389</f>
        <v>54</v>
      </c>
      <c r="AK389" s="58" t="n">
        <f aca="false">IF(AH389&gt;0,J389/AH389,-1)</f>
        <v>1196</v>
      </c>
      <c r="AL389" s="58" t="n">
        <f aca="false">IF(AND(OR(BY389="L1",BY389="L23"),AH389&gt;0),SUMIFS($AH$7:$AH$1843,$BY$7:$BY$1843,BY389,$AK$7:$AK$1843,"&gt;"&amp;AK389)+SUMIFS($AH$7:$AH$1843,$BY$7:$BY$1843,BY389,$AK$7:$AK$1843,AK389,$BQ$7:$BQ$1843,"&lt;="&amp;BQ389),"")</f>
        <v>16.6672663085707</v>
      </c>
      <c r="AM389" s="65" t="n">
        <f aca="false">IF(AL389="",0,MAX(0,MIN(1,(IF(BY389="L1",Parameter!$E$5,Parameter!$E$6+Parameter!$E$7)-(AL389-AH389))/AH389)))</f>
        <v>1</v>
      </c>
      <c r="AN389" s="57" t="n">
        <f aca="false">IF(LEFT(Cockpit!$I$5,1)="A",H389,IF(CA389=1,CB389,IF(LEFT(Cockpit!$I$5,1)="B",AR389,MAX(AR389,H389))))</f>
        <v>54</v>
      </c>
      <c r="AO389" s="57" t="n">
        <f aca="false">IF(BT389=1,0,ROUNDUP(AN389/BS389,0))</f>
        <v>2</v>
      </c>
      <c r="AP389" s="59" t="n">
        <f aca="false">IF(CH389&gt;0,CH389*MAX(1,AN389/X389),IF(BT389=1,IF(AN389&lt;=0,0,BW389*MAX(1,IF(H389&gt;0,AN389/H389,1))),IF(R389&gt;0,AO389/R389,0))/MAX(0.1,N(Parameter!$M$21)))</f>
        <v>0.0384615384615385</v>
      </c>
      <c r="AQ389" s="57" t="n">
        <f aca="false">AN389*G389</f>
        <v>448.2</v>
      </c>
      <c r="AR389" s="57" t="n">
        <f aca="false">ROUNDUP(MAX(J389/IF(BZ389&gt;0,BZ389,MAX(0.1,N(Cockpit!$I$6))),CC389)/BS389,0)*BS389</f>
        <v>54</v>
      </c>
      <c r="AS389" s="58" t="n">
        <f aca="false">IF(AP389&gt;0,J389/AP389,-1)</f>
        <v>1196</v>
      </c>
      <c r="AT389" s="58" t="n">
        <f aca="false">IF(AND(OR(BY389="L1",BY389="L23"),AP389&gt;0),SUMIFS($AP$7:$AP$1843,$BY$7:$BY$1843,BY389,$AS$7:$AS$1843,"&gt;"&amp;AS389)+SUMIFS($AP$7:$AP$1843,$BY$7:$BY$1843,BY389,$AS$7:$AS$1843,AS389,$BQ$7:$BQ$1843,"&lt;="&amp;BQ389),"")</f>
        <v>22.2765278200061</v>
      </c>
      <c r="AU389" s="65" t="n">
        <f aca="false">IF(AT389="",0,MAX(0,MIN(1,(IF(BY389="L1",Parameter!$E$5,Parameter!$E$6+Parameter!$E$7)-(AT389-AP389))/AP389)))</f>
        <v>1</v>
      </c>
      <c r="AV389" s="57" t="n">
        <f aca="false">IF(LEFT(Cockpit!$O$5,1)="A",H389,IF(CA389=1,CB389,IF(LEFT(Cockpit!$O$5,1)="B",AZ389,MAX(AZ389,H389))))</f>
        <v>54</v>
      </c>
      <c r="AW389" s="57" t="n">
        <f aca="false">IF(BT389=1,0,ROUNDUP(AV389/BS389,0))</f>
        <v>2</v>
      </c>
      <c r="AX389" s="59" t="n">
        <f aca="false">IF(CH389&gt;0,CH389*MAX(1,AV389/X389),IF(BT389=1,IF(AV389&lt;=0,0,BW389*MAX(1,IF(H389&gt;0,AV389/H389,1))),IF(R389&gt;0,AW389/R389,0))/MAX(0.1,N(Parameter!$M$21)))</f>
        <v>0.0384615384615385</v>
      </c>
      <c r="AY389" s="57" t="n">
        <f aca="false">AV389*G389</f>
        <v>448.2</v>
      </c>
      <c r="AZ389" s="57" t="n">
        <f aca="false">ROUNDUP(MAX(J389/IF(BZ389&gt;0,BZ389,MAX(0.1,N(Cockpit!$O$6))),CC389)/BS389,0)*BS389</f>
        <v>54</v>
      </c>
      <c r="BA389" s="58" t="n">
        <f aca="false">IF(AX389&gt;0,J389/AX389,-1)</f>
        <v>1196</v>
      </c>
      <c r="BB389" s="58" t="n">
        <f aca="false">IF(AND(OR(BY389="L1",BY389="L23"),AX389&gt;0),SUMIFS($AX$7:$AX$1843,$BY$7:$BY$1843,BY389,$BA$7:$BA$1843,"&gt;"&amp;BA389)+SUMIFS($AX$7:$AX$1843,$BY$7:$BY$1843,BY389,$BA$7:$BA$1843,BA389,$BQ$7:$BQ$1843,"&lt;="&amp;BQ389),"")</f>
        <v>20.9717492652275</v>
      </c>
      <c r="BC389" s="65" t="n">
        <f aca="false">IF(BB389="",0,MAX(0,MIN(1,(IF(BY389="L1",Parameter!$E$5,Parameter!$E$6+Parameter!$E$7)-(BB389-AX389))/AX389)))</f>
        <v>1</v>
      </c>
      <c r="BD389" s="55" t="str">
        <f aca="false">IF(AH389&lt;=0,"",IF(BY389="Aussen","Aussenlager",IF(BY389="-","Nicht im Lift",IF(AM389&gt;=1,"Lift",IF(AM389&lt;=0,"Aussenlager","teilweise")))))</f>
        <v>Lift</v>
      </c>
      <c r="BE389" s="55" t="str">
        <f aca="false">IF(AP389&lt;=0,"",IF(BY389="Aussen","Aussenlager",IF(BY389="-","Nicht im Lift",IF(AU389&gt;=1,"Lift",IF(AU389&lt;=0,"Aussenlager","teilweise")))))</f>
        <v>Lift</v>
      </c>
      <c r="BF389" s="55" t="str">
        <f aca="false">IF(AX389&lt;=0,"",IF(BY389="Aussen","Aussenlager",IF(BY389="-","Nicht im Lift",IF(BC389&gt;=1,"Lift",IF(BC389&lt;=0,"Aussenlager","teilweise")))))</f>
        <v>Lift</v>
      </c>
      <c r="BG389" s="55" t="str">
        <f aca="false">IF(A389="","",IF(BP389=1,"Neu; ","")&amp;IF(AND(BP389=0,BK389&lt;0),"negativer Bestand (Export "&amp;BK389&amp;"); ","")&amp;IF(J389&lt;=0,"Kein Verbrauch; ","")&amp;IF(CH389&gt;0,"Lift "&amp;W389&amp;" lt. Liftbericht (Fach "&amp;X389&amp;" Stk); ",IF(BU389=1,"Gebinde geschätzt ("&amp;T389&amp;"); ",IF(BT389=1,"Lose – Tablare geschätzt; ","")))&amp;IF(H389&gt;AR389,"Überbestand "&amp;ROUND(H389-AR389,0)&amp;" Stk / CHF "&amp;ROUND((H389-AR389)*G389,0)&amp;"; ","")&amp;IF(AND(CA389=1,CB389&lt;CC389),"MAX &lt; MB+LG; ","")&amp;IF(AND(CG389&gt;0,CF389*10&gt;CG389),"zu hoch für Tablar; ","")&amp;IF(AND(BP389=0,OR(CA389=1,AA389&lt;&gt;"",U389&lt;&gt;"",V389&lt;&gt;"",AB389&lt;&gt;"")),"manuell übersteuert; ","")&amp;IF(AND(BT389=0,R389=0),"Gebinde unbekannt / Stellmass fehlt; ","")&amp;IF(AND(BT389=0,N(V389)&lt;=0,N(Q389)&lt;=0),"Menge pro Gebinde fehlt (Ist = 1 Gebinde); ","")&amp;BO389)</f>
        <v/>
      </c>
      <c r="BH389" s="55"/>
      <c r="BI389" s="55"/>
      <c r="BJ389" s="62"/>
      <c r="BK389" s="57" t="n">
        <v>22</v>
      </c>
      <c r="BL389" s="57" t="n">
        <v>12</v>
      </c>
      <c r="BM389" s="56" t="n">
        <v>127.28</v>
      </c>
      <c r="BN389" s="57" t="n">
        <v>46</v>
      </c>
      <c r="BO389" s="55"/>
      <c r="BP389" s="60" t="n">
        <v>0</v>
      </c>
      <c r="BQ389" s="60" t="n">
        <v>389</v>
      </c>
      <c r="BR389" s="55" t="str">
        <f aca="false">IF(U389&lt;&gt;"",UPPER(TRIM(U389)),IF(BU389=1,UPPER(VLOOKUP(T389,Parameter!$I$27:$K$29,2,0)),IF(P389="","LOSE",P389)))</f>
        <v>S41</v>
      </c>
      <c r="BS389" s="57" t="n">
        <f aca="false">IF(BR389="LOSE",1,IF(N(V389)&gt;0,V389,IF(BU389=1,MAX(1,N(VLOOKUP(T389,Parameter!$I$27:$K$29,3,0)),H389,N(N389)),IF(N(Q389)&gt;0,Q389,MAX(1,H389)))))</f>
        <v>27</v>
      </c>
      <c r="BT389" s="60" t="n">
        <f aca="false">IF(BR389="LOSE",1,0)</f>
        <v>0</v>
      </c>
      <c r="BU389" s="60" t="n">
        <f aca="false">IF(AND(U389="",OR(P389="",P389="LOSE"),T389&lt;&gt;"",N(S389)&lt;=0,ISNUMBER(MATCH(T389,Parameter!$I$27:$I$29,0))),1,0)</f>
        <v>0</v>
      </c>
      <c r="BV389" s="55" t="str">
        <f aca="false">IF(AND(Parameter!$B$19="Ja",E389&lt;&gt;"",ISNUMBER(MATCH(E389,Parameter!$I$35:$I$52,0))),VLOOKUP(E389,Parameter!$I$35:$J$52,2,0),IFERROR(VLOOKUP(D389,Parameter!$A$35:$C$64,2,0),"Nein"))</f>
        <v>2+3</v>
      </c>
      <c r="BW389" s="59" t="n">
        <f aca="false">IF(BT389=0,0,IF(N(S389)&gt;0,S389,IFERROR(VLOOKUP(D389,Parameter!$A$35:$C$64,3,0)+0,0)))</f>
        <v>0</v>
      </c>
      <c r="BX389" s="55" t="n">
        <f aca="false">IF(AA389&lt;&gt;"",AA389,Z389)</f>
        <v>3</v>
      </c>
      <c r="BY389" s="55" t="str">
        <f aca="false">IF(BX389=1,"L1",IF(OR(BX389=2,BX389=3),"L23",IF(BX389="Aussen","Aussen","-")))</f>
        <v>L23</v>
      </c>
      <c r="BZ389" s="66" t="n">
        <f aca="false">IF(N(AB389)&gt;0,AB389,0)</f>
        <v>0</v>
      </c>
      <c r="CA389" s="60" t="n">
        <f aca="false">IF(ISNUMBER(AE389),1,0)</f>
        <v>0</v>
      </c>
      <c r="CB389" s="57" t="n">
        <f aca="false">N(AE389)</f>
        <v>0</v>
      </c>
      <c r="CC389" s="57" t="n">
        <f aca="false">N(M389)+N(N389)</f>
        <v>53</v>
      </c>
      <c r="CD389" s="57" t="n">
        <f aca="false">ROUNDUP(H389/BS389,0)</f>
        <v>2</v>
      </c>
      <c r="CE389" s="57" t="n">
        <f aca="false">ROUNDUP(CB389/BS389,0)</f>
        <v>0</v>
      </c>
      <c r="CF389" s="60" t="n">
        <f aca="false">IF(BT389=1,0,IFERROR(VLOOKUP(BR389,'Gebinde-Kategorie'!$A$5:$M$45,5,0)+0,0))</f>
        <v>11</v>
      </c>
      <c r="CG389" s="60" t="n">
        <f aca="false">IFERROR(IF(OR(BX389=1,BX389=2,BX389=3),N(INDEX(Parameter!$I$5:$I$7,BX389)),0),0)</f>
        <v>0</v>
      </c>
      <c r="CH389" s="59" t="n">
        <f aca="false">IF(AND(Parameter!$B$21="Ja",ISNUMBER(W389),N(X389)&gt;0),IFERROR(N(INDEX(Parameter!$L$5:$L$7,W389))*INDEX(Parameter!$E$5:$E$7,W389)*X389/SUMIFS($X$7:$X$1843,$W$7:$W$1843,W389),0),0)</f>
        <v>0</v>
      </c>
    </row>
    <row r="390" customFormat="false" ht="15" hidden="false" customHeight="false" outlineLevel="0" collapsed="false">
      <c r="A390" s="55" t="s">
        <v>920</v>
      </c>
      <c r="B390" s="55" t="s">
        <v>921</v>
      </c>
      <c r="C390" s="55" t="s">
        <v>164</v>
      </c>
      <c r="D390" s="55" t="s">
        <v>184</v>
      </c>
      <c r="E390" s="55" t="s">
        <v>185</v>
      </c>
      <c r="F390" s="55" t="s">
        <v>218</v>
      </c>
      <c r="G390" s="56" t="n">
        <v>3.81</v>
      </c>
      <c r="H390" s="57" t="n">
        <f aca="false">MAX(0,IF(AND(Parameter!$B$21="Ja",ISNUMBER(Y390)),Y390,IF(Parameter!$B$20="Jahresanfang 2025 + Export",BL390+BK390,BK390)))</f>
        <v>66</v>
      </c>
      <c r="I390" s="57" t="n">
        <f aca="false">H390*G390</f>
        <v>251.46</v>
      </c>
      <c r="J390" s="57" t="n">
        <f aca="false">BN390*Parameter!$B$18</f>
        <v>29</v>
      </c>
      <c r="K390" s="58" t="n">
        <v>74.5</v>
      </c>
      <c r="L390" s="59" t="n">
        <v>0.389261744966443</v>
      </c>
      <c r="M390" s="57" t="n">
        <v>2</v>
      </c>
      <c r="N390" s="57" t="n">
        <v>100</v>
      </c>
      <c r="O390" s="60" t="n">
        <v>28</v>
      </c>
      <c r="P390" s="55" t="s">
        <v>328</v>
      </c>
      <c r="Q390" s="57" t="n">
        <v>128</v>
      </c>
      <c r="R390" s="60" t="n">
        <f aca="false">IF(BT390=1,0,IFERROR(VLOOKUP(BR390,'Gebinde-Kategorie'!$A$5:$M$45,13,0)+0,0))</f>
        <v>52</v>
      </c>
      <c r="S390" s="61"/>
      <c r="T390" s="62"/>
      <c r="U390" s="62"/>
      <c r="V390" s="62"/>
      <c r="W390" s="55"/>
      <c r="X390" s="57"/>
      <c r="Y390" s="57"/>
      <c r="Z390" s="55" t="n">
        <f aca="false">IF(A390="","",IF(AND(Parameter!$B$21="Ja",ISNUMBER(W390)),W390,IF(BV390="2+3",IF(ISNUMBER(SEARCH("grosser Artikel",BO390)),2,IFERROR(VLOOKUP(BR390,Parameter!$F$35:$G$64,2,0),2)),IF(OR(BV390="Nein",BV390=""),"-",BV390))))</f>
        <v>3</v>
      </c>
      <c r="AA390" s="62"/>
      <c r="AB390" s="63"/>
      <c r="AC390" s="57" t="n">
        <f aca="false">AR390</f>
        <v>128</v>
      </c>
      <c r="AD390" s="57" t="n">
        <f aca="false">MAX(AR390,H390)</f>
        <v>128</v>
      </c>
      <c r="AE390" s="64"/>
      <c r="AF390" s="57" t="n">
        <f aca="false">IF(LEFT(Cockpit!$C$5,1)="A",H390,IF(CA390=1,CB390,IF(LEFT(Cockpit!$C$5,1)="B",AJ390,MAX(AJ390,H390))))</f>
        <v>66</v>
      </c>
      <c r="AG390" s="57" t="n">
        <f aca="false">IF(BT390=1,0,ROUNDUP(AF390/BS390,0))</f>
        <v>1</v>
      </c>
      <c r="AH390" s="59" t="n">
        <f aca="false">IF(CH390&gt;0,CH390*MAX(1,AF390/X390),IF(BT390=1,IF(AF390&lt;=0,0,BW390*MAX(1,IF(H390&gt;0,AF390/H390,1))),IF(R390&gt;0,AG390/R390,0))/MAX(0.1,N(Parameter!$M$21)))</f>
        <v>0.0192307692307692</v>
      </c>
      <c r="AI390" s="57" t="n">
        <f aca="false">AF390*G390</f>
        <v>251.46</v>
      </c>
      <c r="AJ390" s="57" t="n">
        <f aca="false">ROUNDUP(MAX(J390/IF(BZ390&gt;0,BZ390,MAX(0.1,N(Cockpit!$C$6))),CC390)/BS390,0)*BS390</f>
        <v>128</v>
      </c>
      <c r="AK390" s="58" t="n">
        <f aca="false">IF(AH390&gt;0,J390/AH390,-1)</f>
        <v>1508</v>
      </c>
      <c r="AL390" s="58" t="n">
        <f aca="false">IF(AND(OR(BY390="L1",BY390="L23"),AH390&gt;0),SUMIFS($AH$7:$AH$1843,$BY$7:$BY$1843,BY390,$AK$7:$AK$1843,"&gt;"&amp;AK390)+SUMIFS($AH$7:$AH$1843,$BY$7:$BY$1843,BY390,$AK$7:$AK$1843,AK390,$BQ$7:$BQ$1843,"&lt;="&amp;BQ390),"")</f>
        <v>15.8496081213473</v>
      </c>
      <c r="AM390" s="65" t="n">
        <f aca="false">IF(AL390="",0,MAX(0,MIN(1,(IF(BY390="L1",Parameter!$E$5,Parameter!$E$6+Parameter!$E$7)-(AL390-AH390))/AH390)))</f>
        <v>1</v>
      </c>
      <c r="AN390" s="57" t="n">
        <f aca="false">IF(LEFT(Cockpit!$I$5,1)="A",H390,IF(CA390=1,CB390,IF(LEFT(Cockpit!$I$5,1)="B",AR390,MAX(AR390,H390))))</f>
        <v>128</v>
      </c>
      <c r="AO390" s="57" t="n">
        <f aca="false">IF(BT390=1,0,ROUNDUP(AN390/BS390,0))</f>
        <v>1</v>
      </c>
      <c r="AP390" s="59" t="n">
        <f aca="false">IF(CH390&gt;0,CH390*MAX(1,AN390/X390),IF(BT390=1,IF(AN390&lt;=0,0,BW390*MAX(1,IF(H390&gt;0,AN390/H390,1))),IF(R390&gt;0,AO390/R390,0))/MAX(0.1,N(Parameter!$M$21)))</f>
        <v>0.0192307692307692</v>
      </c>
      <c r="AQ390" s="57" t="n">
        <f aca="false">AN390*G390</f>
        <v>487.68</v>
      </c>
      <c r="AR390" s="57" t="n">
        <f aca="false">ROUNDUP(MAX(J390/IF(BZ390&gt;0,BZ390,MAX(0.1,N(Cockpit!$I$6))),CC390)/BS390,0)*BS390</f>
        <v>128</v>
      </c>
      <c r="AS390" s="58" t="n">
        <f aca="false">IF(AP390&gt;0,J390/AP390,-1)</f>
        <v>1508</v>
      </c>
      <c r="AT390" s="58" t="n">
        <f aca="false">IF(AND(OR(BY390="L1",BY390="L23"),AP390&gt;0),SUMIFS($AP$7:$AP$1843,$BY$7:$BY$1843,BY390,$AS$7:$AS$1843,"&gt;"&amp;AS390)+SUMIFS($AP$7:$AP$1843,$BY$7:$BY$1843,BY390,$AS$7:$AS$1843,AS390,$BQ$7:$BQ$1843,"&lt;="&amp;BQ390),"")</f>
        <v>20.4592581331712</v>
      </c>
      <c r="AU390" s="65" t="n">
        <f aca="false">IF(AT390="",0,MAX(0,MIN(1,(IF(BY390="L1",Parameter!$E$5,Parameter!$E$6+Parameter!$E$7)-(AT390-AP390))/AP390)))</f>
        <v>1</v>
      </c>
      <c r="AV390" s="57" t="n">
        <f aca="false">IF(LEFT(Cockpit!$O$5,1)="A",H390,IF(CA390=1,CB390,IF(LEFT(Cockpit!$O$5,1)="B",AZ390,MAX(AZ390,H390))))</f>
        <v>128</v>
      </c>
      <c r="AW390" s="57" t="n">
        <f aca="false">IF(BT390=1,0,ROUNDUP(AV390/BS390,0))</f>
        <v>1</v>
      </c>
      <c r="AX390" s="59" t="n">
        <f aca="false">IF(CH390&gt;0,CH390*MAX(1,AV390/X390),IF(BT390=1,IF(AV390&lt;=0,0,BW390*MAX(1,IF(H390&gt;0,AV390/H390,1))),IF(R390&gt;0,AW390/R390,0))/MAX(0.1,N(Parameter!$M$21)))</f>
        <v>0.0192307692307692</v>
      </c>
      <c r="AY390" s="57" t="n">
        <f aca="false">AV390*G390</f>
        <v>487.68</v>
      </c>
      <c r="AZ390" s="57" t="n">
        <f aca="false">ROUNDUP(MAX(J390/IF(BZ390&gt;0,BZ390,MAX(0.1,N(Cockpit!$O$6))),CC390)/BS390,0)*BS390</f>
        <v>128</v>
      </c>
      <c r="BA390" s="58" t="n">
        <f aca="false">IF(AX390&gt;0,J390/AX390,-1)</f>
        <v>1508</v>
      </c>
      <c r="BB390" s="58" t="n">
        <f aca="false">IF(AND(OR(BY390="L1",BY390="L23"),AX390&gt;0),SUMIFS($AX$7:$AX$1843,$BY$7:$BY$1843,BY390,$BA$7:$BA$1843,"&gt;"&amp;BA390)+SUMIFS($AX$7:$AX$1843,$BY$7:$BY$1843,BY390,$BA$7:$BA$1843,BA390,$BQ$7:$BQ$1843,"&lt;="&amp;BQ390),"")</f>
        <v>19.3211462450593</v>
      </c>
      <c r="BC390" s="65" t="n">
        <f aca="false">IF(BB390="",0,MAX(0,MIN(1,(IF(BY390="L1",Parameter!$E$5,Parameter!$E$6+Parameter!$E$7)-(BB390-AX390))/AX390)))</f>
        <v>1</v>
      </c>
      <c r="BD390" s="55" t="str">
        <f aca="false">IF(AH390&lt;=0,"",IF(BY390="Aussen","Aussenlager",IF(BY390="-","Nicht im Lift",IF(AM390&gt;=1,"Lift",IF(AM390&lt;=0,"Aussenlager","teilweise")))))</f>
        <v>Lift</v>
      </c>
      <c r="BE390" s="55" t="str">
        <f aca="false">IF(AP390&lt;=0,"",IF(BY390="Aussen","Aussenlager",IF(BY390="-","Nicht im Lift",IF(AU390&gt;=1,"Lift",IF(AU390&lt;=0,"Aussenlager","teilweise")))))</f>
        <v>Lift</v>
      </c>
      <c r="BF390" s="55" t="str">
        <f aca="false">IF(AX390&lt;=0,"",IF(BY390="Aussen","Aussenlager",IF(BY390="-","Nicht im Lift",IF(BC390&gt;=1,"Lift",IF(BC390&lt;=0,"Aussenlager","teilweise")))))</f>
        <v>Lift</v>
      </c>
      <c r="BG390" s="55" t="str">
        <f aca="false">IF(A390="","",IF(BP390=1,"Neu; ","")&amp;IF(AND(BP390=0,BK390&lt;0),"negativer Bestand (Export "&amp;BK390&amp;"); ","")&amp;IF(J390&lt;=0,"Kein Verbrauch; ","")&amp;IF(CH390&gt;0,"Lift "&amp;W390&amp;" lt. Liftbericht (Fach "&amp;X390&amp;" Stk); ",IF(BU390=1,"Gebinde geschätzt ("&amp;T390&amp;"); ",IF(BT390=1,"Lose – Tablare geschätzt; ","")))&amp;IF(H390&gt;AR390,"Überbestand "&amp;ROUND(H390-AR390,0)&amp;" Stk / CHF "&amp;ROUND((H390-AR390)*G390,0)&amp;"; ","")&amp;IF(AND(CA390=1,CB390&lt;CC390),"MAX &lt; MB+LG; ","")&amp;IF(AND(CG390&gt;0,CF390*10&gt;CG390),"zu hoch für Tablar; ","")&amp;IF(AND(BP390=0,OR(CA390=1,AA390&lt;&gt;"",U390&lt;&gt;"",V390&lt;&gt;"",AB390&lt;&gt;"")),"manuell übersteuert; ","")&amp;IF(AND(BT390=0,R390=0),"Gebinde unbekannt / Stellmass fehlt; ","")&amp;IF(AND(BT390=0,N(V390)&lt;=0,N(Q390)&lt;=0),"Menge pro Gebinde fehlt (Ist = 1 Gebinde); ","")&amp;BO390)</f>
        <v/>
      </c>
      <c r="BH390" s="55"/>
      <c r="BI390" s="55"/>
      <c r="BJ390" s="62"/>
      <c r="BK390" s="57" t="n">
        <v>32</v>
      </c>
      <c r="BL390" s="57" t="n">
        <v>34</v>
      </c>
      <c r="BM390" s="56" t="n">
        <v>122.94</v>
      </c>
      <c r="BN390" s="57" t="n">
        <v>29</v>
      </c>
      <c r="BO390" s="55"/>
      <c r="BP390" s="60" t="n">
        <v>0</v>
      </c>
      <c r="BQ390" s="60" t="n">
        <v>390</v>
      </c>
      <c r="BR390" s="55" t="str">
        <f aca="false">IF(U390&lt;&gt;"",UPPER(TRIM(U390)),IF(BU390=1,UPPER(VLOOKUP(T390,Parameter!$I$27:$K$29,2,0)),IF(P390="","LOSE",P390)))</f>
        <v>S41</v>
      </c>
      <c r="BS390" s="57" t="n">
        <f aca="false">IF(BR390="LOSE",1,IF(N(V390)&gt;0,V390,IF(BU390=1,MAX(1,N(VLOOKUP(T390,Parameter!$I$27:$K$29,3,0)),H390,N(N390)),IF(N(Q390)&gt;0,Q390,MAX(1,H390)))))</f>
        <v>128</v>
      </c>
      <c r="BT390" s="60" t="n">
        <f aca="false">IF(BR390="LOSE",1,0)</f>
        <v>0</v>
      </c>
      <c r="BU390" s="60" t="n">
        <f aca="false">IF(AND(U390="",OR(P390="",P390="LOSE"),T390&lt;&gt;"",N(S390)&lt;=0,ISNUMBER(MATCH(T390,Parameter!$I$27:$I$29,0))),1,0)</f>
        <v>0</v>
      </c>
      <c r="BV390" s="55" t="str">
        <f aca="false">IF(AND(Parameter!$B$19="Ja",E390&lt;&gt;"",ISNUMBER(MATCH(E390,Parameter!$I$35:$I$52,0))),VLOOKUP(E390,Parameter!$I$35:$J$52,2,0),IFERROR(VLOOKUP(D390,Parameter!$A$35:$C$64,2,0),"Nein"))</f>
        <v>2+3</v>
      </c>
      <c r="BW390" s="59" t="n">
        <f aca="false">IF(BT390=0,0,IF(N(S390)&gt;0,S390,IFERROR(VLOOKUP(D390,Parameter!$A$35:$C$64,3,0)+0,0)))</f>
        <v>0</v>
      </c>
      <c r="BX390" s="55" t="n">
        <f aca="false">IF(AA390&lt;&gt;"",AA390,Z390)</f>
        <v>3</v>
      </c>
      <c r="BY390" s="55" t="str">
        <f aca="false">IF(BX390=1,"L1",IF(OR(BX390=2,BX390=3),"L23",IF(BX390="Aussen","Aussen","-")))</f>
        <v>L23</v>
      </c>
      <c r="BZ390" s="66" t="n">
        <f aca="false">IF(N(AB390)&gt;0,AB390,0)</f>
        <v>0</v>
      </c>
      <c r="CA390" s="60" t="n">
        <f aca="false">IF(ISNUMBER(AE390),1,0)</f>
        <v>0</v>
      </c>
      <c r="CB390" s="57" t="n">
        <f aca="false">N(AE390)</f>
        <v>0</v>
      </c>
      <c r="CC390" s="57" t="n">
        <f aca="false">N(M390)+N(N390)</f>
        <v>102</v>
      </c>
      <c r="CD390" s="57" t="n">
        <f aca="false">ROUNDUP(H390/BS390,0)</f>
        <v>1</v>
      </c>
      <c r="CE390" s="57" t="n">
        <f aca="false">ROUNDUP(CB390/BS390,0)</f>
        <v>0</v>
      </c>
      <c r="CF390" s="60" t="n">
        <f aca="false">IF(BT390=1,0,IFERROR(VLOOKUP(BR390,'Gebinde-Kategorie'!$A$5:$M$45,5,0)+0,0))</f>
        <v>11</v>
      </c>
      <c r="CG390" s="60" t="n">
        <f aca="false">IFERROR(IF(OR(BX390=1,BX390=2,BX390=3),N(INDEX(Parameter!$I$5:$I$7,BX390)),0),0)</f>
        <v>0</v>
      </c>
      <c r="CH390" s="59" t="n">
        <f aca="false">IF(AND(Parameter!$B$21="Ja",ISNUMBER(W390),N(X390)&gt;0),IFERROR(N(INDEX(Parameter!$L$5:$L$7,W390))*INDEX(Parameter!$E$5:$E$7,W390)*X390/SUMIFS($X$7:$X$1843,$W$7:$W$1843,W390),0),0)</f>
        <v>0</v>
      </c>
    </row>
    <row r="391" customFormat="false" ht="15" hidden="false" customHeight="false" outlineLevel="0" collapsed="false">
      <c r="A391" s="55" t="s">
        <v>922</v>
      </c>
      <c r="B391" s="55" t="s">
        <v>923</v>
      </c>
      <c r="C391" s="55" t="s">
        <v>164</v>
      </c>
      <c r="D391" s="55" t="s">
        <v>184</v>
      </c>
      <c r="E391" s="55" t="s">
        <v>185</v>
      </c>
      <c r="F391" s="55" t="s">
        <v>218</v>
      </c>
      <c r="G391" s="56" t="n">
        <v>203.54</v>
      </c>
      <c r="H391" s="57" t="n">
        <f aca="false">MAX(0,IF(AND(Parameter!$B$21="Ja",ISNUMBER(Y391)),Y391,IF(Parameter!$B$20="Jahresanfang 2025 + Export",BL391+BK391,BK391)))</f>
        <v>8</v>
      </c>
      <c r="I391" s="57" t="n">
        <f aca="false">H391*G391</f>
        <v>1628.32</v>
      </c>
      <c r="J391" s="57" t="n">
        <f aca="false">BN391*Parameter!$B$18</f>
        <v>2</v>
      </c>
      <c r="K391" s="58" t="n">
        <v>8</v>
      </c>
      <c r="L391" s="59" t="n">
        <v>0.25</v>
      </c>
      <c r="M391" s="57" t="n">
        <v>0</v>
      </c>
      <c r="N391" s="57" t="n">
        <v>1</v>
      </c>
      <c r="O391" s="60" t="n">
        <v>14</v>
      </c>
      <c r="P391" s="55" t="s">
        <v>233</v>
      </c>
      <c r="Q391" s="57" t="n">
        <v>14</v>
      </c>
      <c r="R391" s="60" t="n">
        <f aca="false">IF(BT391=1,0,IFERROR(VLOOKUP(BR391,'Gebinde-Kategorie'!$A$5:$M$45,13,0)+0,0))</f>
        <v>26</v>
      </c>
      <c r="S391" s="61"/>
      <c r="T391" s="62"/>
      <c r="U391" s="62"/>
      <c r="V391" s="62"/>
      <c r="W391" s="55"/>
      <c r="X391" s="57"/>
      <c r="Y391" s="57"/>
      <c r="Z391" s="55" t="n">
        <f aca="false">IF(A391="","",IF(AND(Parameter!$B$21="Ja",ISNUMBER(W391)),W391,IF(BV391="2+3",IF(ISNUMBER(SEARCH("grosser Artikel",BO391)),2,IFERROR(VLOOKUP(BR391,Parameter!$F$35:$G$64,2,0),2)),IF(OR(BV391="Nein",BV391=""),"-",BV391))))</f>
        <v>3</v>
      </c>
      <c r="AA391" s="62"/>
      <c r="AB391" s="63"/>
      <c r="AC391" s="57" t="n">
        <f aca="false">AR391</f>
        <v>14</v>
      </c>
      <c r="AD391" s="57" t="n">
        <f aca="false">MAX(AR391,H391)</f>
        <v>14</v>
      </c>
      <c r="AE391" s="64"/>
      <c r="AF391" s="57" t="n">
        <f aca="false">IF(LEFT(Cockpit!$C$5,1)="A",H391,IF(CA391=1,CB391,IF(LEFT(Cockpit!$C$5,1)="B",AJ391,MAX(AJ391,H391))))</f>
        <v>8</v>
      </c>
      <c r="AG391" s="57" t="n">
        <f aca="false">IF(BT391=1,0,ROUNDUP(AF391/BS391,0))</f>
        <v>1</v>
      </c>
      <c r="AH391" s="59" t="n">
        <f aca="false">IF(CH391&gt;0,CH391*MAX(1,AF391/X391),IF(BT391=1,IF(AF391&lt;=0,0,BW391*MAX(1,IF(H391&gt;0,AF391/H391,1))),IF(R391&gt;0,AG391/R391,0))/MAX(0.1,N(Parameter!$M$21)))</f>
        <v>0.0384615384615385</v>
      </c>
      <c r="AI391" s="57" t="n">
        <f aca="false">AF391*G391</f>
        <v>1628.32</v>
      </c>
      <c r="AJ391" s="57" t="n">
        <f aca="false">ROUNDUP(MAX(J391/IF(BZ391&gt;0,BZ391,MAX(0.1,N(Cockpit!$C$6))),CC391)/BS391,0)*BS391</f>
        <v>14</v>
      </c>
      <c r="AK391" s="58" t="n">
        <f aca="false">IF(AH391&gt;0,J391/AH391,-1)</f>
        <v>52</v>
      </c>
      <c r="AL391" s="58" t="n">
        <f aca="false">IF(AND(OR(BY391="L1",BY391="L23"),AH391&gt;0),SUMIFS($AH$7:$AH$1843,$BY$7:$BY$1843,BY391,$AK$7:$AK$1843,"&gt;"&amp;AK391)+SUMIFS($AH$7:$AH$1843,$BY$7:$BY$1843,BY391,$AK$7:$AK$1843,AK391,$BQ$7:$BQ$1843,"&lt;="&amp;BQ391),"")</f>
        <v>44.3183676227155</v>
      </c>
      <c r="AM391" s="65" t="n">
        <f aca="false">IF(AL391="",0,MAX(0,MIN(1,(IF(BY391="L1",Parameter!$E$5,Parameter!$E$6+Parameter!$E$7)-(AL391-AH391))/AH391)))</f>
        <v>1</v>
      </c>
      <c r="AN391" s="57" t="n">
        <f aca="false">IF(LEFT(Cockpit!$I$5,1)="A",H391,IF(CA391=1,CB391,IF(LEFT(Cockpit!$I$5,1)="B",AR391,MAX(AR391,H391))))</f>
        <v>14</v>
      </c>
      <c r="AO391" s="57" t="n">
        <f aca="false">IF(BT391=1,0,ROUNDUP(AN391/BS391,0))</f>
        <v>1</v>
      </c>
      <c r="AP391" s="59" t="n">
        <f aca="false">IF(CH391&gt;0,CH391*MAX(1,AN391/X391),IF(BT391=1,IF(AN391&lt;=0,0,BW391*MAX(1,IF(H391&gt;0,AN391/H391,1))),IF(R391&gt;0,AO391/R391,0))/MAX(0.1,N(Parameter!$M$21)))</f>
        <v>0.0384615384615385</v>
      </c>
      <c r="AQ391" s="57" t="n">
        <f aca="false">AN391*G391</f>
        <v>2849.56</v>
      </c>
      <c r="AR391" s="57" t="n">
        <f aca="false">ROUNDUP(MAX(J391/IF(BZ391&gt;0,BZ391,MAX(0.1,N(Cockpit!$I$6))),CC391)/BS391,0)*BS391</f>
        <v>14</v>
      </c>
      <c r="AS391" s="58" t="n">
        <f aca="false">IF(AP391&gt;0,J391/AP391,-1)</f>
        <v>52</v>
      </c>
      <c r="AT391" s="58" t="n">
        <f aca="false">IF(AND(OR(BY391="L1",BY391="L23"),AP391&gt;0),SUMIFS($AP$7:$AP$1843,$BY$7:$BY$1843,BY391,$AS$7:$AS$1843,"&gt;"&amp;AS391)+SUMIFS($AP$7:$AP$1843,$BY$7:$BY$1843,BY391,$AS$7:$AS$1843,AS391,$BQ$7:$BQ$1843,"&lt;="&amp;BQ391),"")</f>
        <v>67.1847995000169</v>
      </c>
      <c r="AU391" s="65" t="n">
        <f aca="false">IF(AT391="",0,MAX(0,MIN(1,(IF(BY391="L1",Parameter!$E$5,Parameter!$E$6+Parameter!$E$7)-(AT391-AP391))/AP391)))</f>
        <v>1</v>
      </c>
      <c r="AV391" s="57" t="n">
        <f aca="false">IF(LEFT(Cockpit!$O$5,1)="A",H391,IF(CA391=1,CB391,IF(LEFT(Cockpit!$O$5,1)="B",AZ391,MAX(AZ391,H391))))</f>
        <v>14</v>
      </c>
      <c r="AW391" s="57" t="n">
        <f aca="false">IF(BT391=1,0,ROUNDUP(AV391/BS391,0))</f>
        <v>1</v>
      </c>
      <c r="AX391" s="59" t="n">
        <f aca="false">IF(CH391&gt;0,CH391*MAX(1,AV391/X391),IF(BT391=1,IF(AV391&lt;=0,0,BW391*MAX(1,IF(H391&gt;0,AV391/H391,1))),IF(R391&gt;0,AW391/R391,0))/MAX(0.1,N(Parameter!$M$21)))</f>
        <v>0.0384615384615385</v>
      </c>
      <c r="AY391" s="57" t="n">
        <f aca="false">AV391*G391</f>
        <v>2849.56</v>
      </c>
      <c r="AZ391" s="57" t="n">
        <f aca="false">ROUNDUP(MAX(J391/IF(BZ391&gt;0,BZ391,MAX(0.1,N(Cockpit!$O$6))),CC391)/BS391,0)*BS391</f>
        <v>14</v>
      </c>
      <c r="BA391" s="58" t="n">
        <f aca="false">IF(AX391&gt;0,J391/AX391,-1)</f>
        <v>52</v>
      </c>
      <c r="BB391" s="58" t="n">
        <f aca="false">IF(AND(OR(BY391="L1",BY391="L23"),AX391&gt;0),SUMIFS($AX$7:$AX$1843,$BY$7:$BY$1843,BY391,$BA$7:$BA$1843,"&gt;"&amp;BA391)+SUMIFS($AX$7:$AX$1843,$BY$7:$BY$1843,BY391,$BA$7:$BA$1843,BA391,$BQ$7:$BQ$1843,"&lt;="&amp;BQ391),"")</f>
        <v>61.6813029965204</v>
      </c>
      <c r="BC391" s="65" t="n">
        <f aca="false">IF(BB391="",0,MAX(0,MIN(1,(IF(BY391="L1",Parameter!$E$5,Parameter!$E$6+Parameter!$E$7)-(BB391-AX391))/AX391)))</f>
        <v>1</v>
      </c>
      <c r="BD391" s="55" t="str">
        <f aca="false">IF(AH391&lt;=0,"",IF(BY391="Aussen","Aussenlager",IF(BY391="-","Nicht im Lift",IF(AM391&gt;=1,"Lift",IF(AM391&lt;=0,"Aussenlager","teilweise")))))</f>
        <v>Lift</v>
      </c>
      <c r="BE391" s="55" t="str">
        <f aca="false">IF(AP391&lt;=0,"",IF(BY391="Aussen","Aussenlager",IF(BY391="-","Nicht im Lift",IF(AU391&gt;=1,"Lift",IF(AU391&lt;=0,"Aussenlager","teilweise")))))</f>
        <v>Lift</v>
      </c>
      <c r="BF391" s="55" t="str">
        <f aca="false">IF(AX391&lt;=0,"",IF(BY391="Aussen","Aussenlager",IF(BY391="-","Nicht im Lift",IF(BC391&gt;=1,"Lift",IF(BC391&lt;=0,"Aussenlager","teilweise")))))</f>
        <v>Lift</v>
      </c>
      <c r="BG391" s="55" t="str">
        <f aca="false">IF(A391="","",IF(BP391=1,"Neu; ","")&amp;IF(AND(BP391=0,BK391&lt;0),"negativer Bestand (Export "&amp;BK391&amp;"); ","")&amp;IF(J391&lt;=0,"Kein Verbrauch; ","")&amp;IF(CH391&gt;0,"Lift "&amp;W391&amp;" lt. Liftbericht (Fach "&amp;X391&amp;" Stk); ",IF(BU391=1,"Gebinde geschätzt ("&amp;T391&amp;"); ",IF(BT391=1,"Lose – Tablare geschätzt; ","")))&amp;IF(H391&gt;AR391,"Überbestand "&amp;ROUND(H391-AR391,0)&amp;" Stk / CHF "&amp;ROUND((H391-AR391)*G391,0)&amp;"; ","")&amp;IF(AND(CA391=1,CB391&lt;CC391),"MAX &lt; MB+LG; ","")&amp;IF(AND(CG391&gt;0,CF391*10&gt;CG391),"zu hoch für Tablar; ","")&amp;IF(AND(BP391=0,OR(CA391=1,AA391&lt;&gt;"",U391&lt;&gt;"",V391&lt;&gt;"",AB391&lt;&gt;"")),"manuell übersteuert; ","")&amp;IF(AND(BT391=0,R391=0),"Gebinde unbekannt / Stellmass fehlt; ","")&amp;IF(AND(BT391=0,N(V391)&lt;=0,N(Q391)&lt;=0),"Menge pro Gebinde fehlt (Ist = 1 Gebinde); ","")&amp;BO391)</f>
        <v/>
      </c>
      <c r="BH391" s="55"/>
      <c r="BI391" s="55"/>
      <c r="BJ391" s="62"/>
      <c r="BK391" s="57" t="n">
        <v>0</v>
      </c>
      <c r="BL391" s="57" t="n">
        <v>8</v>
      </c>
      <c r="BM391" s="56" t="n">
        <v>122.72</v>
      </c>
      <c r="BN391" s="57" t="n">
        <v>2</v>
      </c>
      <c r="BO391" s="55"/>
      <c r="BP391" s="60" t="n">
        <v>0</v>
      </c>
      <c r="BQ391" s="60" t="n">
        <v>391</v>
      </c>
      <c r="BR391" s="55" t="str">
        <f aca="false">IF(U391&lt;&gt;"",UPPER(TRIM(U391)),IF(BU391=1,UPPER(VLOOKUP(T391,Parameter!$I$27:$K$29,2,0)),IF(P391="","LOSE",P391)))</f>
        <v>S52</v>
      </c>
      <c r="BS391" s="57" t="n">
        <f aca="false">IF(BR391="LOSE",1,IF(N(V391)&gt;0,V391,IF(BU391=1,MAX(1,N(VLOOKUP(T391,Parameter!$I$27:$K$29,3,0)),H391,N(N391)),IF(N(Q391)&gt;0,Q391,MAX(1,H391)))))</f>
        <v>14</v>
      </c>
      <c r="BT391" s="60" t="n">
        <f aca="false">IF(BR391="LOSE",1,0)</f>
        <v>0</v>
      </c>
      <c r="BU391" s="60" t="n">
        <f aca="false">IF(AND(U391="",OR(P391="",P391="LOSE"),T391&lt;&gt;"",N(S391)&lt;=0,ISNUMBER(MATCH(T391,Parameter!$I$27:$I$29,0))),1,0)</f>
        <v>0</v>
      </c>
      <c r="BV391" s="55" t="str">
        <f aca="false">IF(AND(Parameter!$B$19="Ja",E391&lt;&gt;"",ISNUMBER(MATCH(E391,Parameter!$I$35:$I$52,0))),VLOOKUP(E391,Parameter!$I$35:$J$52,2,0),IFERROR(VLOOKUP(D391,Parameter!$A$35:$C$64,2,0),"Nein"))</f>
        <v>2+3</v>
      </c>
      <c r="BW391" s="59" t="n">
        <f aca="false">IF(BT391=0,0,IF(N(S391)&gt;0,S391,IFERROR(VLOOKUP(D391,Parameter!$A$35:$C$64,3,0)+0,0)))</f>
        <v>0</v>
      </c>
      <c r="BX391" s="55" t="n">
        <f aca="false">IF(AA391&lt;&gt;"",AA391,Z391)</f>
        <v>3</v>
      </c>
      <c r="BY391" s="55" t="str">
        <f aca="false">IF(BX391=1,"L1",IF(OR(BX391=2,BX391=3),"L23",IF(BX391="Aussen","Aussen","-")))</f>
        <v>L23</v>
      </c>
      <c r="BZ391" s="66" t="n">
        <f aca="false">IF(N(AB391)&gt;0,AB391,0)</f>
        <v>0</v>
      </c>
      <c r="CA391" s="60" t="n">
        <f aca="false">IF(ISNUMBER(AE391),1,0)</f>
        <v>0</v>
      </c>
      <c r="CB391" s="57" t="n">
        <f aca="false">N(AE391)</f>
        <v>0</v>
      </c>
      <c r="CC391" s="57" t="n">
        <f aca="false">N(M391)+N(N391)</f>
        <v>1</v>
      </c>
      <c r="CD391" s="57" t="n">
        <f aca="false">ROUNDUP(H391/BS391,0)</f>
        <v>1</v>
      </c>
      <c r="CE391" s="57" t="n">
        <f aca="false">ROUNDUP(CB391/BS391,0)</f>
        <v>0</v>
      </c>
      <c r="CF391" s="60" t="n">
        <f aca="false">IF(BT391=1,0,IFERROR(VLOOKUP(BR391,'Gebinde-Kategorie'!$A$5:$M$45,5,0)+0,0))</f>
        <v>21</v>
      </c>
      <c r="CG391" s="60" t="n">
        <f aca="false">IFERROR(IF(OR(BX391=1,BX391=2,BX391=3),N(INDEX(Parameter!$I$5:$I$7,BX391)),0),0)</f>
        <v>0</v>
      </c>
      <c r="CH391" s="59" t="n">
        <f aca="false">IF(AND(Parameter!$B$21="Ja",ISNUMBER(W391),N(X391)&gt;0),IFERROR(N(INDEX(Parameter!$L$5:$L$7,W391))*INDEX(Parameter!$E$5:$E$7,W391)*X391/SUMIFS($X$7:$X$1843,$W$7:$W$1843,W391),0),0)</f>
        <v>0</v>
      </c>
    </row>
    <row r="392" customFormat="false" ht="15" hidden="false" customHeight="false" outlineLevel="0" collapsed="false">
      <c r="A392" s="55" t="s">
        <v>924</v>
      </c>
      <c r="B392" s="55" t="s">
        <v>661</v>
      </c>
      <c r="C392" s="55" t="s">
        <v>164</v>
      </c>
      <c r="D392" s="55" t="s">
        <v>184</v>
      </c>
      <c r="E392" s="55" t="s">
        <v>185</v>
      </c>
      <c r="F392" s="55" t="s">
        <v>218</v>
      </c>
      <c r="G392" s="56" t="n">
        <v>5.28</v>
      </c>
      <c r="H392" s="57" t="n">
        <f aca="false">MAX(0,IF(AND(Parameter!$B$21="Ja",ISNUMBER(Y392)),Y392,IF(Parameter!$B$20="Jahresanfang 2025 + Export",BL392+BK392,BK392)))</f>
        <v>150</v>
      </c>
      <c r="I392" s="57" t="n">
        <f aca="false">H392*G392</f>
        <v>792</v>
      </c>
      <c r="J392" s="57" t="n">
        <f aca="false">BN392*Parameter!$B$18</f>
        <v>585</v>
      </c>
      <c r="K392" s="58" t="n">
        <v>130.5</v>
      </c>
      <c r="L392" s="59" t="n">
        <v>4.48275862068966</v>
      </c>
      <c r="M392" s="57" t="n">
        <v>15</v>
      </c>
      <c r="N392" s="57" t="n">
        <v>200</v>
      </c>
      <c r="O392" s="60" t="n">
        <v>7</v>
      </c>
      <c r="P392" s="55" t="s">
        <v>421</v>
      </c>
      <c r="Q392" s="57" t="n">
        <v>231</v>
      </c>
      <c r="R392" s="60" t="n">
        <f aca="false">IF(BT392=1,0,IFERROR(VLOOKUP(BR392,'Gebinde-Kategorie'!$A$5:$M$45,13,0)+0,0))</f>
        <v>132</v>
      </c>
      <c r="S392" s="61"/>
      <c r="T392" s="62"/>
      <c r="U392" s="62"/>
      <c r="V392" s="62"/>
      <c r="W392" s="55"/>
      <c r="X392" s="57"/>
      <c r="Y392" s="57"/>
      <c r="Z392" s="55" t="n">
        <f aca="false">IF(A392="","",IF(AND(Parameter!$B$21="Ja",ISNUMBER(W392)),W392,IF(BV392="2+3",IF(ISNUMBER(SEARCH("grosser Artikel",BO392)),2,IFERROR(VLOOKUP(BR392,Parameter!$F$35:$G$64,2,0),2)),IF(OR(BV392="Nein",BV392=""),"-",BV392))))</f>
        <v>3</v>
      </c>
      <c r="AA392" s="62"/>
      <c r="AB392" s="63"/>
      <c r="AC392" s="57" t="n">
        <f aca="false">AR392</f>
        <v>462</v>
      </c>
      <c r="AD392" s="57" t="n">
        <f aca="false">MAX(AR392,H392)</f>
        <v>462</v>
      </c>
      <c r="AE392" s="64"/>
      <c r="AF392" s="57" t="n">
        <f aca="false">IF(LEFT(Cockpit!$C$5,1)="A",H392,IF(CA392=1,CB392,IF(LEFT(Cockpit!$C$5,1)="B",AJ392,MAX(AJ392,H392))))</f>
        <v>150</v>
      </c>
      <c r="AG392" s="57" t="n">
        <f aca="false">IF(BT392=1,0,ROUNDUP(AF392/BS392,0))</f>
        <v>1</v>
      </c>
      <c r="AH392" s="59" t="n">
        <f aca="false">IF(CH392&gt;0,CH392*MAX(1,AF392/X392),IF(BT392=1,IF(AF392&lt;=0,0,BW392*MAX(1,IF(H392&gt;0,AF392/H392,1))),IF(R392&gt;0,AG392/R392,0))/MAX(0.1,N(Parameter!$M$21)))</f>
        <v>0.00757575757575758</v>
      </c>
      <c r="AI392" s="57" t="n">
        <f aca="false">AF392*G392</f>
        <v>792</v>
      </c>
      <c r="AJ392" s="57" t="n">
        <f aca="false">ROUNDUP(MAX(J392/IF(BZ392&gt;0,BZ392,MAX(0.1,N(Cockpit!$C$6))),CC392)/BS392,0)*BS392</f>
        <v>462</v>
      </c>
      <c r="AK392" s="58" t="n">
        <f aca="false">IF(AH392&gt;0,J392/AH392,-1)</f>
        <v>77220</v>
      </c>
      <c r="AL392" s="58" t="n">
        <f aca="false">IF(AND(OR(BY392="L1",BY392="L23"),AH392&gt;0),SUMIFS($AH$7:$AH$1843,$BY$7:$BY$1843,BY392,$AK$7:$AK$1843,"&gt;"&amp;AK392)+SUMIFS($AH$7:$AH$1843,$BY$7:$BY$1843,BY392,$AK$7:$AK$1843,AK392,$BQ$7:$BQ$1843,"&lt;="&amp;BQ392),"")</f>
        <v>0.860984426201818</v>
      </c>
      <c r="AM392" s="65" t="n">
        <f aca="false">IF(AL392="",0,MAX(0,MIN(1,(IF(BY392="L1",Parameter!$E$5,Parameter!$E$6+Parameter!$E$7)-(AL392-AH392))/AH392)))</f>
        <v>1</v>
      </c>
      <c r="AN392" s="57" t="n">
        <f aca="false">IF(LEFT(Cockpit!$I$5,1)="A",H392,IF(CA392=1,CB392,IF(LEFT(Cockpit!$I$5,1)="B",AR392,MAX(AR392,H392))))</f>
        <v>462</v>
      </c>
      <c r="AO392" s="57" t="n">
        <f aca="false">IF(BT392=1,0,ROUNDUP(AN392/BS392,0))</f>
        <v>2</v>
      </c>
      <c r="AP392" s="59" t="n">
        <f aca="false">IF(CH392&gt;0,CH392*MAX(1,AN392/X392),IF(BT392=1,IF(AN392&lt;=0,0,BW392*MAX(1,IF(H392&gt;0,AN392/H392,1))),IF(R392&gt;0,AO392/R392,0))/MAX(0.1,N(Parameter!$M$21)))</f>
        <v>0.0151515151515152</v>
      </c>
      <c r="AQ392" s="57" t="n">
        <f aca="false">AN392*G392</f>
        <v>2439.36</v>
      </c>
      <c r="AR392" s="57" t="n">
        <f aca="false">ROUNDUP(MAX(J392/IF(BZ392&gt;0,BZ392,MAX(0.1,N(Cockpit!$I$6))),CC392)/BS392,0)*BS392</f>
        <v>462</v>
      </c>
      <c r="AS392" s="58" t="n">
        <f aca="false">IF(AP392&gt;0,J392/AP392,-1)</f>
        <v>38610</v>
      </c>
      <c r="AT392" s="58" t="n">
        <f aca="false">IF(AND(OR(BY392="L1",BY392="L23"),AP392&gt;0),SUMIFS($AP$7:$AP$1843,$BY$7:$BY$1843,BY392,$AS$7:$AS$1843,"&gt;"&amp;AS392)+SUMIFS($AP$7:$AP$1843,$BY$7:$BY$1843,BY392,$AS$7:$AS$1843,AS392,$BQ$7:$BQ$1843,"&lt;="&amp;BQ392),"")</f>
        <v>2.02453464409986</v>
      </c>
      <c r="AU392" s="65" t="n">
        <f aca="false">IF(AT392="",0,MAX(0,MIN(1,(IF(BY392="L1",Parameter!$E$5,Parameter!$E$6+Parameter!$E$7)-(AT392-AP392))/AP392)))</f>
        <v>1</v>
      </c>
      <c r="AV392" s="57" t="n">
        <f aca="false">IF(LEFT(Cockpit!$O$5,1)="A",H392,IF(CA392=1,CB392,IF(LEFT(Cockpit!$O$5,1)="B",AZ392,MAX(AZ392,H392))))</f>
        <v>231</v>
      </c>
      <c r="AW392" s="57" t="n">
        <f aca="false">IF(BT392=1,0,ROUNDUP(AV392/BS392,0))</f>
        <v>1</v>
      </c>
      <c r="AX392" s="59" t="n">
        <f aca="false">IF(CH392&gt;0,CH392*MAX(1,AV392/X392),IF(BT392=1,IF(AV392&lt;=0,0,BW392*MAX(1,IF(H392&gt;0,AV392/H392,1))),IF(R392&gt;0,AW392/R392,0))/MAX(0.1,N(Parameter!$M$21)))</f>
        <v>0.00757575757575758</v>
      </c>
      <c r="AY392" s="57" t="n">
        <f aca="false">AV392*G392</f>
        <v>1219.68</v>
      </c>
      <c r="AZ392" s="57" t="n">
        <f aca="false">ROUNDUP(MAX(J392/IF(BZ392&gt;0,BZ392,MAX(0.1,N(Cockpit!$O$6))),CC392)/BS392,0)*BS392</f>
        <v>231</v>
      </c>
      <c r="BA392" s="58" t="n">
        <f aca="false">IF(AX392&gt;0,J392/AX392,-1)</f>
        <v>77220</v>
      </c>
      <c r="BB392" s="58" t="n">
        <f aca="false">IF(AND(OR(BY392="L1",BY392="L23"),AX392&gt;0),SUMIFS($AX$7:$AX$1843,$BY$7:$BY$1843,BY392,$BA$7:$BA$1843,"&gt;"&amp;BA392)+SUMIFS($AX$7:$AX$1843,$BY$7:$BY$1843,BY392,$BA$7:$BA$1843,BA392,$BQ$7:$BQ$1843,"&lt;="&amp;BQ392),"")</f>
        <v>0.698312557008209</v>
      </c>
      <c r="BC392" s="65" t="n">
        <f aca="false">IF(BB392="",0,MAX(0,MIN(1,(IF(BY392="L1",Parameter!$E$5,Parameter!$E$6+Parameter!$E$7)-(BB392-AX392))/AX392)))</f>
        <v>1</v>
      </c>
      <c r="BD392" s="55" t="str">
        <f aca="false">IF(AH392&lt;=0,"",IF(BY392="Aussen","Aussenlager",IF(BY392="-","Nicht im Lift",IF(AM392&gt;=1,"Lift",IF(AM392&lt;=0,"Aussenlager","teilweise")))))</f>
        <v>Lift</v>
      </c>
      <c r="BE392" s="55" t="str">
        <f aca="false">IF(AP392&lt;=0,"",IF(BY392="Aussen","Aussenlager",IF(BY392="-","Nicht im Lift",IF(AU392&gt;=1,"Lift",IF(AU392&lt;=0,"Aussenlager","teilweise")))))</f>
        <v>Lift</v>
      </c>
      <c r="BF392" s="55" t="str">
        <f aca="false">IF(AX392&lt;=0,"",IF(BY392="Aussen","Aussenlager",IF(BY392="-","Nicht im Lift",IF(BC392&gt;=1,"Lift",IF(BC392&lt;=0,"Aussenlager","teilweise")))))</f>
        <v>Lift</v>
      </c>
      <c r="BG392" s="55" t="str">
        <f aca="false">IF(A392="","",IF(BP392=1,"Neu; ","")&amp;IF(AND(BP392=0,BK392&lt;0),"negativer Bestand (Export "&amp;BK392&amp;"); ","")&amp;IF(J392&lt;=0,"Kein Verbrauch; ","")&amp;IF(CH392&gt;0,"Lift "&amp;W392&amp;" lt. Liftbericht (Fach "&amp;X392&amp;" Stk); ",IF(BU392=1,"Gebinde geschätzt ("&amp;T392&amp;"); ",IF(BT392=1,"Lose – Tablare geschätzt; ","")))&amp;IF(H392&gt;AR392,"Überbestand "&amp;ROUND(H392-AR392,0)&amp;" Stk / CHF "&amp;ROUND((H392-AR392)*G392,0)&amp;"; ","")&amp;IF(AND(CA392=1,CB392&lt;CC392),"MAX &lt; MB+LG; ","")&amp;IF(AND(CG392&gt;0,CF392*10&gt;CG392),"zu hoch für Tablar; ","")&amp;IF(AND(BP392=0,OR(CA392=1,AA392&lt;&gt;"",U392&lt;&gt;"",V392&lt;&gt;"",AB392&lt;&gt;"")),"manuell übersteuert; ","")&amp;IF(AND(BT392=0,R392=0),"Gebinde unbekannt / Stellmass fehlt; ","")&amp;IF(AND(BT392=0,N(V392)&lt;=0,N(Q392)&lt;=0),"Menge pro Gebinde fehlt (Ist = 1 Gebinde); ","")&amp;BO392)</f>
        <v/>
      </c>
      <c r="BH392" s="55"/>
      <c r="BI392" s="55"/>
      <c r="BJ392" s="62"/>
      <c r="BK392" s="57" t="n">
        <v>23</v>
      </c>
      <c r="BL392" s="57" t="n">
        <v>127</v>
      </c>
      <c r="BM392" s="56" t="n">
        <v>120.28</v>
      </c>
      <c r="BN392" s="57" t="n">
        <v>585</v>
      </c>
      <c r="BO392" s="55"/>
      <c r="BP392" s="60" t="n">
        <v>0</v>
      </c>
      <c r="BQ392" s="60" t="n">
        <v>392</v>
      </c>
      <c r="BR392" s="55" t="str">
        <f aca="false">IF(U392&lt;&gt;"",UPPER(TRIM(U392)),IF(BU392=1,UPPER(VLOOKUP(T392,Parameter!$I$27:$K$29,2,0)),IF(P392="","LOSE",P392)))</f>
        <v>S32</v>
      </c>
      <c r="BS392" s="57" t="n">
        <f aca="false">IF(BR392="LOSE",1,IF(N(V392)&gt;0,V392,IF(BU392=1,MAX(1,N(VLOOKUP(T392,Parameter!$I$27:$K$29,3,0)),H392,N(N392)),IF(N(Q392)&gt;0,Q392,MAX(1,H392)))))</f>
        <v>231</v>
      </c>
      <c r="BT392" s="60" t="n">
        <f aca="false">IF(BR392="LOSE",1,0)</f>
        <v>0</v>
      </c>
      <c r="BU392" s="60" t="n">
        <f aca="false">IF(AND(U392="",OR(P392="",P392="LOSE"),T392&lt;&gt;"",N(S392)&lt;=0,ISNUMBER(MATCH(T392,Parameter!$I$27:$I$29,0))),1,0)</f>
        <v>0</v>
      </c>
      <c r="BV392" s="55" t="str">
        <f aca="false">IF(AND(Parameter!$B$19="Ja",E392&lt;&gt;"",ISNUMBER(MATCH(E392,Parameter!$I$35:$I$52,0))),VLOOKUP(E392,Parameter!$I$35:$J$52,2,0),IFERROR(VLOOKUP(D392,Parameter!$A$35:$C$64,2,0),"Nein"))</f>
        <v>2+3</v>
      </c>
      <c r="BW392" s="59" t="n">
        <f aca="false">IF(BT392=0,0,IF(N(S392)&gt;0,S392,IFERROR(VLOOKUP(D392,Parameter!$A$35:$C$64,3,0)+0,0)))</f>
        <v>0</v>
      </c>
      <c r="BX392" s="55" t="n">
        <f aca="false">IF(AA392&lt;&gt;"",AA392,Z392)</f>
        <v>3</v>
      </c>
      <c r="BY392" s="55" t="str">
        <f aca="false">IF(BX392=1,"L1",IF(OR(BX392=2,BX392=3),"L23",IF(BX392="Aussen","Aussen","-")))</f>
        <v>L23</v>
      </c>
      <c r="BZ392" s="66" t="n">
        <f aca="false">IF(N(AB392)&gt;0,AB392,0)</f>
        <v>0</v>
      </c>
      <c r="CA392" s="60" t="n">
        <f aca="false">IF(ISNUMBER(AE392),1,0)</f>
        <v>0</v>
      </c>
      <c r="CB392" s="57" t="n">
        <f aca="false">N(AE392)</f>
        <v>0</v>
      </c>
      <c r="CC392" s="57" t="n">
        <f aca="false">N(M392)+N(N392)</f>
        <v>215</v>
      </c>
      <c r="CD392" s="57" t="n">
        <f aca="false">ROUNDUP(H392/BS392,0)</f>
        <v>1</v>
      </c>
      <c r="CE392" s="57" t="n">
        <f aca="false">ROUNDUP(CB392/BS392,0)</f>
        <v>0</v>
      </c>
      <c r="CF392" s="60" t="n">
        <f aca="false">IF(BT392=1,0,IFERROR(VLOOKUP(BR392,'Gebinde-Kategorie'!$A$5:$M$45,5,0)+0,0))</f>
        <v>8</v>
      </c>
      <c r="CG392" s="60" t="n">
        <f aca="false">IFERROR(IF(OR(BX392=1,BX392=2,BX392=3),N(INDEX(Parameter!$I$5:$I$7,BX392)),0),0)</f>
        <v>0</v>
      </c>
      <c r="CH392" s="59" t="n">
        <f aca="false">IF(AND(Parameter!$B$21="Ja",ISNUMBER(W392),N(X392)&gt;0),IFERROR(N(INDEX(Parameter!$L$5:$L$7,W392))*INDEX(Parameter!$E$5:$E$7,W392)*X392/SUMIFS($X$7:$X$1843,$W$7:$W$1843,W392),0),0)</f>
        <v>0</v>
      </c>
    </row>
    <row r="393" customFormat="false" ht="15" hidden="false" customHeight="false" outlineLevel="0" collapsed="false">
      <c r="A393" s="55" t="s">
        <v>925</v>
      </c>
      <c r="B393" s="55" t="s">
        <v>926</v>
      </c>
      <c r="C393" s="55" t="s">
        <v>164</v>
      </c>
      <c r="D393" s="55" t="s">
        <v>184</v>
      </c>
      <c r="E393" s="55" t="s">
        <v>185</v>
      </c>
      <c r="F393" s="55" t="s">
        <v>218</v>
      </c>
      <c r="G393" s="56" t="n">
        <v>3.4</v>
      </c>
      <c r="H393" s="57" t="n">
        <f aca="false">MAX(0,IF(AND(Parameter!$B$21="Ja",ISNUMBER(Y393)),Y393,IF(Parameter!$B$20="Jahresanfang 2025 + Export",BL393+BK393,BK393)))</f>
        <v>40</v>
      </c>
      <c r="I393" s="57" t="n">
        <f aca="false">H393*G393</f>
        <v>136</v>
      </c>
      <c r="J393" s="57" t="n">
        <f aca="false">BN393*Parameter!$B$18</f>
        <v>44</v>
      </c>
      <c r="K393" s="58" t="n">
        <v>11</v>
      </c>
      <c r="L393" s="59" t="n">
        <v>4</v>
      </c>
      <c r="M393" s="57" t="n">
        <v>2</v>
      </c>
      <c r="N393" s="57" t="n">
        <v>45</v>
      </c>
      <c r="O393" s="60" t="n">
        <v>20</v>
      </c>
      <c r="P393" s="55" t="s">
        <v>328</v>
      </c>
      <c r="Q393" s="57" t="n">
        <v>42</v>
      </c>
      <c r="R393" s="60" t="n">
        <f aca="false">IF(BT393=1,0,IFERROR(VLOOKUP(BR393,'Gebinde-Kategorie'!$A$5:$M$45,13,0)+0,0))</f>
        <v>52</v>
      </c>
      <c r="S393" s="61"/>
      <c r="T393" s="62"/>
      <c r="U393" s="62"/>
      <c r="V393" s="62"/>
      <c r="W393" s="55"/>
      <c r="X393" s="57"/>
      <c r="Y393" s="57"/>
      <c r="Z393" s="55" t="n">
        <f aca="false">IF(A393="","",IF(AND(Parameter!$B$21="Ja",ISNUMBER(W393)),W393,IF(BV393="2+3",IF(ISNUMBER(SEARCH("grosser Artikel",BO393)),2,IFERROR(VLOOKUP(BR393,Parameter!$F$35:$G$64,2,0),2)),IF(OR(BV393="Nein",BV393=""),"-",BV393))))</f>
        <v>3</v>
      </c>
      <c r="AA393" s="62"/>
      <c r="AB393" s="63"/>
      <c r="AC393" s="57" t="n">
        <f aca="false">AR393</f>
        <v>84</v>
      </c>
      <c r="AD393" s="57" t="n">
        <f aca="false">MAX(AR393,H393)</f>
        <v>84</v>
      </c>
      <c r="AE393" s="64"/>
      <c r="AF393" s="57" t="n">
        <f aca="false">IF(LEFT(Cockpit!$C$5,1)="A",H393,IF(CA393=1,CB393,IF(LEFT(Cockpit!$C$5,1)="B",AJ393,MAX(AJ393,H393))))</f>
        <v>40</v>
      </c>
      <c r="AG393" s="57" t="n">
        <f aca="false">IF(BT393=1,0,ROUNDUP(AF393/BS393,0))</f>
        <v>1</v>
      </c>
      <c r="AH393" s="59" t="n">
        <f aca="false">IF(CH393&gt;0,CH393*MAX(1,AF393/X393),IF(BT393=1,IF(AF393&lt;=0,0,BW393*MAX(1,IF(H393&gt;0,AF393/H393,1))),IF(R393&gt;0,AG393/R393,0))/MAX(0.1,N(Parameter!$M$21)))</f>
        <v>0.0192307692307692</v>
      </c>
      <c r="AI393" s="57" t="n">
        <f aca="false">AF393*G393</f>
        <v>136</v>
      </c>
      <c r="AJ393" s="57" t="n">
        <f aca="false">ROUNDUP(MAX(J393/IF(BZ393&gt;0,BZ393,MAX(0.1,N(Cockpit!$C$6))),CC393)/BS393,0)*BS393</f>
        <v>84</v>
      </c>
      <c r="AK393" s="58" t="n">
        <f aca="false">IF(AH393&gt;0,J393/AH393,-1)</f>
        <v>2288</v>
      </c>
      <c r="AL393" s="58" t="n">
        <f aca="false">IF(AND(OR(BY393="L1",BY393="L23"),AH393&gt;0),SUMIFS($AH$7:$AH$1843,$BY$7:$BY$1843,BY393,$AK$7:$AK$1843,"&gt;"&amp;AK393)+SUMIFS($AH$7:$AH$1843,$BY$7:$BY$1843,BY393,$AK$7:$AK$1843,AK393,$BQ$7:$BQ$1843,"&lt;="&amp;BQ393),"")</f>
        <v>12.4838772338772</v>
      </c>
      <c r="AM393" s="65" t="n">
        <f aca="false">IF(AL393="",0,MAX(0,MIN(1,(IF(BY393="L1",Parameter!$E$5,Parameter!$E$6+Parameter!$E$7)-(AL393-AH393))/AH393)))</f>
        <v>1</v>
      </c>
      <c r="AN393" s="57" t="n">
        <f aca="false">IF(LEFT(Cockpit!$I$5,1)="A",H393,IF(CA393=1,CB393,IF(LEFT(Cockpit!$I$5,1)="B",AR393,MAX(AR393,H393))))</f>
        <v>84</v>
      </c>
      <c r="AO393" s="57" t="n">
        <f aca="false">IF(BT393=1,0,ROUNDUP(AN393/BS393,0))</f>
        <v>2</v>
      </c>
      <c r="AP393" s="59" t="n">
        <f aca="false">IF(CH393&gt;0,CH393*MAX(1,AN393/X393),IF(BT393=1,IF(AN393&lt;=0,0,BW393*MAX(1,IF(H393&gt;0,AN393/H393,1))),IF(R393&gt;0,AO393/R393,0))/MAX(0.1,N(Parameter!$M$21)))</f>
        <v>0.0384615384615385</v>
      </c>
      <c r="AQ393" s="57" t="n">
        <f aca="false">AN393*G393</f>
        <v>285.6</v>
      </c>
      <c r="AR393" s="57" t="n">
        <f aca="false">ROUNDUP(MAX(J393/IF(BZ393&gt;0,BZ393,MAX(0.1,N(Cockpit!$I$6))),CC393)/BS393,0)*BS393</f>
        <v>84</v>
      </c>
      <c r="AS393" s="58" t="n">
        <f aca="false">IF(AP393&gt;0,J393/AP393,-1)</f>
        <v>1144</v>
      </c>
      <c r="AT393" s="58" t="n">
        <f aca="false">IF(AND(OR(BY393="L1",BY393="L23"),AP393&gt;0),SUMIFS($AP$7:$AP$1843,$BY$7:$BY$1843,BY393,$AS$7:$AS$1843,"&gt;"&amp;AS393)+SUMIFS($AP$7:$AP$1843,$BY$7:$BY$1843,BY393,$AS$7:$AS$1843,AS393,$BQ$7:$BQ$1843,"&lt;="&amp;BQ393),"")</f>
        <v>23.0234198168981</v>
      </c>
      <c r="AU393" s="65" t="n">
        <f aca="false">IF(AT393="",0,MAX(0,MIN(1,(IF(BY393="L1",Parameter!$E$5,Parameter!$E$6+Parameter!$E$7)-(AT393-AP393))/AP393)))</f>
        <v>1</v>
      </c>
      <c r="AV393" s="57" t="n">
        <f aca="false">IF(LEFT(Cockpit!$O$5,1)="A",H393,IF(CA393=1,CB393,IF(LEFT(Cockpit!$O$5,1)="B",AZ393,MAX(AZ393,H393))))</f>
        <v>84</v>
      </c>
      <c r="AW393" s="57" t="n">
        <f aca="false">IF(BT393=1,0,ROUNDUP(AV393/BS393,0))</f>
        <v>2</v>
      </c>
      <c r="AX393" s="59" t="n">
        <f aca="false">IF(CH393&gt;0,CH393*MAX(1,AV393/X393),IF(BT393=1,IF(AV393&lt;=0,0,BW393*MAX(1,IF(H393&gt;0,AV393/H393,1))),IF(R393&gt;0,AW393/R393,0))/MAX(0.1,N(Parameter!$M$21)))</f>
        <v>0.0384615384615385</v>
      </c>
      <c r="AY393" s="57" t="n">
        <f aca="false">AV393*G393</f>
        <v>285.6</v>
      </c>
      <c r="AZ393" s="57" t="n">
        <f aca="false">ROUNDUP(MAX(J393/IF(BZ393&gt;0,BZ393,MAX(0.1,N(Cockpit!$O$6))),CC393)/BS393,0)*BS393</f>
        <v>84</v>
      </c>
      <c r="BA393" s="58" t="n">
        <f aca="false">IF(AX393&gt;0,J393/AX393,-1)</f>
        <v>1144</v>
      </c>
      <c r="BB393" s="58" t="n">
        <f aca="false">IF(AND(OR(BY393="L1",BY393="L23"),AX393&gt;0),SUMIFS($AX$7:$AX$1843,$BY$7:$BY$1843,BY393,$BA$7:$BA$1843,"&gt;"&amp;BA393)+SUMIFS($AX$7:$AX$1843,$BY$7:$BY$1843,BY393,$BA$7:$BA$1843,BA393,$BQ$7:$BQ$1843,"&lt;="&amp;BQ393),"")</f>
        <v>21.9686412621195</v>
      </c>
      <c r="BC393" s="65" t="n">
        <f aca="false">IF(BB393="",0,MAX(0,MIN(1,(IF(BY393="L1",Parameter!$E$5,Parameter!$E$6+Parameter!$E$7)-(BB393-AX393))/AX393)))</f>
        <v>1</v>
      </c>
      <c r="BD393" s="55" t="str">
        <f aca="false">IF(AH393&lt;=0,"",IF(BY393="Aussen","Aussenlager",IF(BY393="-","Nicht im Lift",IF(AM393&gt;=1,"Lift",IF(AM393&lt;=0,"Aussenlager","teilweise")))))</f>
        <v>Lift</v>
      </c>
      <c r="BE393" s="55" t="str">
        <f aca="false">IF(AP393&lt;=0,"",IF(BY393="Aussen","Aussenlager",IF(BY393="-","Nicht im Lift",IF(AU393&gt;=1,"Lift",IF(AU393&lt;=0,"Aussenlager","teilweise")))))</f>
        <v>Lift</v>
      </c>
      <c r="BF393" s="55" t="str">
        <f aca="false">IF(AX393&lt;=0,"",IF(BY393="Aussen","Aussenlager",IF(BY393="-","Nicht im Lift",IF(BC393&gt;=1,"Lift",IF(BC393&lt;=0,"Aussenlager","teilweise")))))</f>
        <v>Lift</v>
      </c>
      <c r="BG393" s="55" t="str">
        <f aca="false">IF(A393="","",IF(BP393=1,"Neu; ","")&amp;IF(AND(BP393=0,BK393&lt;0),"negativer Bestand (Export "&amp;BK393&amp;"); ","")&amp;IF(J393&lt;=0,"Kein Verbrauch; ","")&amp;IF(CH393&gt;0,"Lift "&amp;W393&amp;" lt. Liftbericht (Fach "&amp;X393&amp;" Stk); ",IF(BU393=1,"Gebinde geschätzt ("&amp;T393&amp;"); ",IF(BT393=1,"Lose – Tablare geschätzt; ","")))&amp;IF(H393&gt;AR393,"Überbestand "&amp;ROUND(H393-AR393,0)&amp;" Stk / CHF "&amp;ROUND((H393-AR393)*G393,0)&amp;"; ","")&amp;IF(AND(CA393=1,CB393&lt;CC393),"MAX &lt; MB+LG; ","")&amp;IF(AND(CG393&gt;0,CF393*10&gt;CG393),"zu hoch für Tablar; ","")&amp;IF(AND(BP393=0,OR(CA393=1,AA393&lt;&gt;"",U393&lt;&gt;"",V393&lt;&gt;"",AB393&lt;&gt;"")),"manuell übersteuert; ","")&amp;IF(AND(BT393=0,R393=0),"Gebinde unbekannt / Stellmass fehlt; ","")&amp;IF(AND(BT393=0,N(V393)&lt;=0,N(Q393)&lt;=0),"Menge pro Gebinde fehlt (Ist = 1 Gebinde); ","")&amp;BO393)</f>
        <v/>
      </c>
      <c r="BH393" s="55"/>
      <c r="BI393" s="55"/>
      <c r="BJ393" s="62"/>
      <c r="BK393" s="57" t="n">
        <v>34</v>
      </c>
      <c r="BL393" s="57" t="n">
        <v>6</v>
      </c>
      <c r="BM393" s="56" t="n">
        <v>116.32</v>
      </c>
      <c r="BN393" s="57" t="n">
        <v>44</v>
      </c>
      <c r="BO393" s="55"/>
      <c r="BP393" s="60" t="n">
        <v>0</v>
      </c>
      <c r="BQ393" s="60" t="n">
        <v>393</v>
      </c>
      <c r="BR393" s="55" t="str">
        <f aca="false">IF(U393&lt;&gt;"",UPPER(TRIM(U393)),IF(BU393=1,UPPER(VLOOKUP(T393,Parameter!$I$27:$K$29,2,0)),IF(P393="","LOSE",P393)))</f>
        <v>S41</v>
      </c>
      <c r="BS393" s="57" t="n">
        <f aca="false">IF(BR393="LOSE",1,IF(N(V393)&gt;0,V393,IF(BU393=1,MAX(1,N(VLOOKUP(T393,Parameter!$I$27:$K$29,3,0)),H393,N(N393)),IF(N(Q393)&gt;0,Q393,MAX(1,H393)))))</f>
        <v>42</v>
      </c>
      <c r="BT393" s="60" t="n">
        <f aca="false">IF(BR393="LOSE",1,0)</f>
        <v>0</v>
      </c>
      <c r="BU393" s="60" t="n">
        <f aca="false">IF(AND(U393="",OR(P393="",P393="LOSE"),T393&lt;&gt;"",N(S393)&lt;=0,ISNUMBER(MATCH(T393,Parameter!$I$27:$I$29,0))),1,0)</f>
        <v>0</v>
      </c>
      <c r="BV393" s="55" t="str">
        <f aca="false">IF(AND(Parameter!$B$19="Ja",E393&lt;&gt;"",ISNUMBER(MATCH(E393,Parameter!$I$35:$I$52,0))),VLOOKUP(E393,Parameter!$I$35:$J$52,2,0),IFERROR(VLOOKUP(D393,Parameter!$A$35:$C$64,2,0),"Nein"))</f>
        <v>2+3</v>
      </c>
      <c r="BW393" s="59" t="n">
        <f aca="false">IF(BT393=0,0,IF(N(S393)&gt;0,S393,IFERROR(VLOOKUP(D393,Parameter!$A$35:$C$64,3,0)+0,0)))</f>
        <v>0</v>
      </c>
      <c r="BX393" s="55" t="n">
        <f aca="false">IF(AA393&lt;&gt;"",AA393,Z393)</f>
        <v>3</v>
      </c>
      <c r="BY393" s="55" t="str">
        <f aca="false">IF(BX393=1,"L1",IF(OR(BX393=2,BX393=3),"L23",IF(BX393="Aussen","Aussen","-")))</f>
        <v>L23</v>
      </c>
      <c r="BZ393" s="66" t="n">
        <f aca="false">IF(N(AB393)&gt;0,AB393,0)</f>
        <v>0</v>
      </c>
      <c r="CA393" s="60" t="n">
        <f aca="false">IF(ISNUMBER(AE393),1,0)</f>
        <v>0</v>
      </c>
      <c r="CB393" s="57" t="n">
        <f aca="false">N(AE393)</f>
        <v>0</v>
      </c>
      <c r="CC393" s="57" t="n">
        <f aca="false">N(M393)+N(N393)</f>
        <v>47</v>
      </c>
      <c r="CD393" s="57" t="n">
        <f aca="false">ROUNDUP(H393/BS393,0)</f>
        <v>1</v>
      </c>
      <c r="CE393" s="57" t="n">
        <f aca="false">ROUNDUP(CB393/BS393,0)</f>
        <v>0</v>
      </c>
      <c r="CF393" s="60" t="n">
        <f aca="false">IF(BT393=1,0,IFERROR(VLOOKUP(BR393,'Gebinde-Kategorie'!$A$5:$M$45,5,0)+0,0))</f>
        <v>11</v>
      </c>
      <c r="CG393" s="60" t="n">
        <f aca="false">IFERROR(IF(OR(BX393=1,BX393=2,BX393=3),N(INDEX(Parameter!$I$5:$I$7,BX393)),0),0)</f>
        <v>0</v>
      </c>
      <c r="CH393" s="59" t="n">
        <f aca="false">IF(AND(Parameter!$B$21="Ja",ISNUMBER(W393),N(X393)&gt;0),IFERROR(N(INDEX(Parameter!$L$5:$L$7,W393))*INDEX(Parameter!$E$5:$E$7,W393)*X393/SUMIFS($X$7:$X$1843,$W$7:$W$1843,W393),0),0)</f>
        <v>0</v>
      </c>
    </row>
    <row r="394" customFormat="false" ht="15" hidden="false" customHeight="false" outlineLevel="0" collapsed="false">
      <c r="A394" s="55" t="s">
        <v>927</v>
      </c>
      <c r="B394" s="55" t="s">
        <v>928</v>
      </c>
      <c r="C394" s="55" t="s">
        <v>164</v>
      </c>
      <c r="D394" s="55" t="s">
        <v>184</v>
      </c>
      <c r="E394" s="55" t="s">
        <v>185</v>
      </c>
      <c r="F394" s="55" t="s">
        <v>218</v>
      </c>
      <c r="G394" s="56" t="n">
        <v>2.18</v>
      </c>
      <c r="H394" s="57" t="n">
        <f aca="false">MAX(0,IF(AND(Parameter!$B$21="Ja",ISNUMBER(Y394)),Y394,IF(Parameter!$B$20="Jahresanfang 2025 + Export",BL394+BK394,BK394)))</f>
        <v>111</v>
      </c>
      <c r="I394" s="57" t="n">
        <f aca="false">H394*G394</f>
        <v>241.98</v>
      </c>
      <c r="J394" s="57" t="n">
        <f aca="false">BN394*Parameter!$B$18</f>
        <v>126</v>
      </c>
      <c r="K394" s="58" t="n">
        <v>41.5</v>
      </c>
      <c r="L394" s="59" t="n">
        <v>3.03614457831325</v>
      </c>
      <c r="M394" s="57" t="n">
        <v>4</v>
      </c>
      <c r="N394" s="57" t="n">
        <v>125</v>
      </c>
      <c r="O394" s="60" t="n">
        <v>14</v>
      </c>
      <c r="P394" s="55" t="s">
        <v>476</v>
      </c>
      <c r="Q394" s="57" t="n">
        <v>79</v>
      </c>
      <c r="R394" s="60" t="n">
        <f aca="false">IF(BT394=1,0,IFERROR(VLOOKUP(BR394,'Gebinde-Kategorie'!$A$5:$M$45,13,0)+0,0))</f>
        <v>66</v>
      </c>
      <c r="S394" s="61"/>
      <c r="T394" s="62"/>
      <c r="U394" s="62"/>
      <c r="V394" s="62"/>
      <c r="W394" s="55"/>
      <c r="X394" s="57"/>
      <c r="Y394" s="57"/>
      <c r="Z394" s="55" t="n">
        <f aca="false">IF(A394="","",IF(AND(Parameter!$B$21="Ja",ISNUMBER(W394)),W394,IF(BV394="2+3",IF(ISNUMBER(SEARCH("grosser Artikel",BO394)),2,IFERROR(VLOOKUP(BR394,Parameter!$F$35:$G$64,2,0),2)),IF(OR(BV394="Nein",BV394=""),"-",BV394))))</f>
        <v>3</v>
      </c>
      <c r="AA394" s="62"/>
      <c r="AB394" s="63"/>
      <c r="AC394" s="57" t="n">
        <f aca="false">AR394</f>
        <v>158</v>
      </c>
      <c r="AD394" s="57" t="n">
        <f aca="false">MAX(AR394,H394)</f>
        <v>158</v>
      </c>
      <c r="AE394" s="64"/>
      <c r="AF394" s="57" t="n">
        <f aca="false">IF(LEFT(Cockpit!$C$5,1)="A",H394,IF(CA394=1,CB394,IF(LEFT(Cockpit!$C$5,1)="B",AJ394,MAX(AJ394,H394))))</f>
        <v>111</v>
      </c>
      <c r="AG394" s="57" t="n">
        <f aca="false">IF(BT394=1,0,ROUNDUP(AF394/BS394,0))</f>
        <v>2</v>
      </c>
      <c r="AH394" s="59" t="n">
        <f aca="false">IF(CH394&gt;0,CH394*MAX(1,AF394/X394),IF(BT394=1,IF(AF394&lt;=0,0,BW394*MAX(1,IF(H394&gt;0,AF394/H394,1))),IF(R394&gt;0,AG394/R394,0))/MAX(0.1,N(Parameter!$M$21)))</f>
        <v>0.0303030303030303</v>
      </c>
      <c r="AI394" s="57" t="n">
        <f aca="false">AF394*G394</f>
        <v>241.98</v>
      </c>
      <c r="AJ394" s="57" t="n">
        <f aca="false">ROUNDUP(MAX(J394/IF(BZ394&gt;0,BZ394,MAX(0.1,N(Cockpit!$C$6))),CC394)/BS394,0)*BS394</f>
        <v>158</v>
      </c>
      <c r="AK394" s="58" t="n">
        <f aca="false">IF(AH394&gt;0,J394/AH394,-1)</f>
        <v>4158</v>
      </c>
      <c r="AL394" s="58" t="n">
        <f aca="false">IF(AND(OR(BY394="L1",BY394="L23"),AH394&gt;0),SUMIFS($AH$7:$AH$1843,$BY$7:$BY$1843,BY394,$AK$7:$AK$1843,"&gt;"&amp;AK394)+SUMIFS($AH$7:$AH$1843,$BY$7:$BY$1843,BY394,$AK$7:$AK$1843,AK394,$BQ$7:$BQ$1843,"&lt;="&amp;BQ394),"")</f>
        <v>8.80308097699402</v>
      </c>
      <c r="AM394" s="65" t="n">
        <f aca="false">IF(AL394="",0,MAX(0,MIN(1,(IF(BY394="L1",Parameter!$E$5,Parameter!$E$6+Parameter!$E$7)-(AL394-AH394))/AH394)))</f>
        <v>1</v>
      </c>
      <c r="AN394" s="57" t="n">
        <f aca="false">IF(LEFT(Cockpit!$I$5,1)="A",H394,IF(CA394=1,CB394,IF(LEFT(Cockpit!$I$5,1)="B",AR394,MAX(AR394,H394))))</f>
        <v>158</v>
      </c>
      <c r="AO394" s="57" t="n">
        <f aca="false">IF(BT394=1,0,ROUNDUP(AN394/BS394,0))</f>
        <v>2</v>
      </c>
      <c r="AP394" s="59" t="n">
        <f aca="false">IF(CH394&gt;0,CH394*MAX(1,AN394/X394),IF(BT394=1,IF(AN394&lt;=0,0,BW394*MAX(1,IF(H394&gt;0,AN394/H394,1))),IF(R394&gt;0,AO394/R394,0))/MAX(0.1,N(Parameter!$M$21)))</f>
        <v>0.0303030303030303</v>
      </c>
      <c r="AQ394" s="57" t="n">
        <f aca="false">AN394*G394</f>
        <v>344.44</v>
      </c>
      <c r="AR394" s="57" t="n">
        <f aca="false">ROUNDUP(MAX(J394/IF(BZ394&gt;0,BZ394,MAX(0.1,N(Cockpit!$I$6))),CC394)/BS394,0)*BS394</f>
        <v>158</v>
      </c>
      <c r="AS394" s="58" t="n">
        <f aca="false">IF(AP394&gt;0,J394/AP394,-1)</f>
        <v>4158</v>
      </c>
      <c r="AT394" s="58" t="n">
        <f aca="false">IF(AND(OR(BY394="L1",BY394="L23"),AP394&gt;0),SUMIFS($AP$7:$AP$1843,$BY$7:$BY$1843,BY394,$AS$7:$AS$1843,"&gt;"&amp;AS394)+SUMIFS($AP$7:$AP$1843,$BY$7:$BY$1843,BY394,$AS$7:$AS$1843,AS394,$BQ$7:$BQ$1843,"&lt;="&amp;BQ394),"")</f>
        <v>13.4045218066957</v>
      </c>
      <c r="AU394" s="65" t="n">
        <f aca="false">IF(AT394="",0,MAX(0,MIN(1,(IF(BY394="L1",Parameter!$E$5,Parameter!$E$6+Parameter!$E$7)-(AT394-AP394))/AP394)))</f>
        <v>1</v>
      </c>
      <c r="AV394" s="57" t="n">
        <f aca="false">IF(LEFT(Cockpit!$O$5,1)="A",H394,IF(CA394=1,CB394,IF(LEFT(Cockpit!$O$5,1)="B",AZ394,MAX(AZ394,H394))))</f>
        <v>158</v>
      </c>
      <c r="AW394" s="57" t="n">
        <f aca="false">IF(BT394=1,0,ROUNDUP(AV394/BS394,0))</f>
        <v>2</v>
      </c>
      <c r="AX394" s="59" t="n">
        <f aca="false">IF(CH394&gt;0,CH394*MAX(1,AV394/X394),IF(BT394=1,IF(AV394&lt;=0,0,BW394*MAX(1,IF(H394&gt;0,AV394/H394,1))),IF(R394&gt;0,AW394/R394,0))/MAX(0.1,N(Parameter!$M$21)))</f>
        <v>0.0303030303030303</v>
      </c>
      <c r="AY394" s="57" t="n">
        <f aca="false">AV394*G394</f>
        <v>344.44</v>
      </c>
      <c r="AZ394" s="57" t="n">
        <f aca="false">ROUNDUP(MAX(J394/IF(BZ394&gt;0,BZ394,MAX(0.1,N(Cockpit!$O$6))),CC394)/BS394,0)*BS394</f>
        <v>158</v>
      </c>
      <c r="BA394" s="58" t="n">
        <f aca="false">IF(AX394&gt;0,J394/AX394,-1)</f>
        <v>4158</v>
      </c>
      <c r="BB394" s="58" t="n">
        <f aca="false">IF(AND(OR(BY394="L1",BY394="L23"),AX394&gt;0),SUMIFS($AX$7:$AX$1843,$BY$7:$BY$1843,BY394,$BA$7:$BA$1843,"&gt;"&amp;BA394)+SUMIFS($AX$7:$AX$1843,$BY$7:$BY$1843,BY394,$BA$7:$BA$1843,BA394,$BQ$7:$BQ$1843,"&lt;="&amp;BQ394),"")</f>
        <v>11.971538123712</v>
      </c>
      <c r="BC394" s="65" t="n">
        <f aca="false">IF(BB394="",0,MAX(0,MIN(1,(IF(BY394="L1",Parameter!$E$5,Parameter!$E$6+Parameter!$E$7)-(BB394-AX394))/AX394)))</f>
        <v>1</v>
      </c>
      <c r="BD394" s="55" t="str">
        <f aca="false">IF(AH394&lt;=0,"",IF(BY394="Aussen","Aussenlager",IF(BY394="-","Nicht im Lift",IF(AM394&gt;=1,"Lift",IF(AM394&lt;=0,"Aussenlager","teilweise")))))</f>
        <v>Lift</v>
      </c>
      <c r="BE394" s="55" t="str">
        <f aca="false">IF(AP394&lt;=0,"",IF(BY394="Aussen","Aussenlager",IF(BY394="-","Nicht im Lift",IF(AU394&gt;=1,"Lift",IF(AU394&lt;=0,"Aussenlager","teilweise")))))</f>
        <v>Lift</v>
      </c>
      <c r="BF394" s="55" t="str">
        <f aca="false">IF(AX394&lt;=0,"",IF(BY394="Aussen","Aussenlager",IF(BY394="-","Nicht im Lift",IF(BC394&gt;=1,"Lift",IF(BC394&lt;=0,"Aussenlager","teilweise")))))</f>
        <v>Lift</v>
      </c>
      <c r="BG394" s="55" t="str">
        <f aca="false">IF(A394="","",IF(BP394=1,"Neu; ","")&amp;IF(AND(BP394=0,BK394&lt;0),"negativer Bestand (Export "&amp;BK394&amp;"); ","")&amp;IF(J394&lt;=0,"Kein Verbrauch; ","")&amp;IF(CH394&gt;0,"Lift "&amp;W394&amp;" lt. Liftbericht (Fach "&amp;X394&amp;" Stk); ",IF(BU394=1,"Gebinde geschätzt ("&amp;T394&amp;"); ",IF(BT394=1,"Lose – Tablare geschätzt; ","")))&amp;IF(H394&gt;AR394,"Überbestand "&amp;ROUND(H394-AR394,0)&amp;" Stk / CHF "&amp;ROUND((H394-AR394)*G394,0)&amp;"; ","")&amp;IF(AND(CA394=1,CB394&lt;CC394),"MAX &lt; MB+LG; ","")&amp;IF(AND(CG394&gt;0,CF394*10&gt;CG394),"zu hoch für Tablar; ","")&amp;IF(AND(BP394=0,OR(CA394=1,AA394&lt;&gt;"",U394&lt;&gt;"",V394&lt;&gt;"",AB394&lt;&gt;"")),"manuell übersteuert; ","")&amp;IF(AND(BT394=0,R394=0),"Gebinde unbekannt / Stellmass fehlt; ","")&amp;IF(AND(BT394=0,N(V394)&lt;=0,N(Q394)&lt;=0),"Menge pro Gebinde fehlt (Ist = 1 Gebinde); ","")&amp;BO394)</f>
        <v/>
      </c>
      <c r="BH394" s="55"/>
      <c r="BI394" s="55"/>
      <c r="BJ394" s="62"/>
      <c r="BK394" s="57" t="n">
        <v>54</v>
      </c>
      <c r="BL394" s="57" t="n">
        <v>57</v>
      </c>
      <c r="BM394" s="56" t="n">
        <v>115.44</v>
      </c>
      <c r="BN394" s="57" t="n">
        <v>126</v>
      </c>
      <c r="BO394" s="55"/>
      <c r="BP394" s="60" t="n">
        <v>0</v>
      </c>
      <c r="BQ394" s="60" t="n">
        <v>394</v>
      </c>
      <c r="BR394" s="55" t="str">
        <f aca="false">IF(U394&lt;&gt;"",UPPER(TRIM(U394)),IF(BU394=1,UPPER(VLOOKUP(T394,Parameter!$I$27:$K$29,2,0)),IF(P394="","LOSE",P394)))</f>
        <v>S33</v>
      </c>
      <c r="BS394" s="57" t="n">
        <f aca="false">IF(BR394="LOSE",1,IF(N(V394)&gt;0,V394,IF(BU394=1,MAX(1,N(VLOOKUP(T394,Parameter!$I$27:$K$29,3,0)),H394,N(N394)),IF(N(Q394)&gt;0,Q394,MAX(1,H394)))))</f>
        <v>79</v>
      </c>
      <c r="BT394" s="60" t="n">
        <f aca="false">IF(BR394="LOSE",1,0)</f>
        <v>0</v>
      </c>
      <c r="BU394" s="60" t="n">
        <f aca="false">IF(AND(U394="",OR(P394="",P394="LOSE"),T394&lt;&gt;"",N(S394)&lt;=0,ISNUMBER(MATCH(T394,Parameter!$I$27:$I$29,0))),1,0)</f>
        <v>0</v>
      </c>
      <c r="BV394" s="55" t="str">
        <f aca="false">IF(AND(Parameter!$B$19="Ja",E394&lt;&gt;"",ISNUMBER(MATCH(E394,Parameter!$I$35:$I$52,0))),VLOOKUP(E394,Parameter!$I$35:$J$52,2,0),IFERROR(VLOOKUP(D394,Parameter!$A$35:$C$64,2,0),"Nein"))</f>
        <v>2+3</v>
      </c>
      <c r="BW394" s="59" t="n">
        <f aca="false">IF(BT394=0,0,IF(N(S394)&gt;0,S394,IFERROR(VLOOKUP(D394,Parameter!$A$35:$C$64,3,0)+0,0)))</f>
        <v>0</v>
      </c>
      <c r="BX394" s="55" t="n">
        <f aca="false">IF(AA394&lt;&gt;"",AA394,Z394)</f>
        <v>3</v>
      </c>
      <c r="BY394" s="55" t="str">
        <f aca="false">IF(BX394=1,"L1",IF(OR(BX394=2,BX394=3),"L23",IF(BX394="Aussen","Aussen","-")))</f>
        <v>L23</v>
      </c>
      <c r="BZ394" s="66" t="n">
        <f aca="false">IF(N(AB394)&gt;0,AB394,0)</f>
        <v>0</v>
      </c>
      <c r="CA394" s="60" t="n">
        <f aca="false">IF(ISNUMBER(AE394),1,0)</f>
        <v>0</v>
      </c>
      <c r="CB394" s="57" t="n">
        <f aca="false">N(AE394)</f>
        <v>0</v>
      </c>
      <c r="CC394" s="57" t="n">
        <f aca="false">N(M394)+N(N394)</f>
        <v>129</v>
      </c>
      <c r="CD394" s="57" t="n">
        <f aca="false">ROUNDUP(H394/BS394,0)</f>
        <v>2</v>
      </c>
      <c r="CE394" s="57" t="n">
        <f aca="false">ROUNDUP(CB394/BS394,0)</f>
        <v>0</v>
      </c>
      <c r="CF394" s="60" t="n">
        <f aca="false">IF(BT394=1,0,IFERROR(VLOOKUP(BR394,'Gebinde-Kategorie'!$A$5:$M$45,5,0)+0,0))</f>
        <v>8</v>
      </c>
      <c r="CG394" s="60" t="n">
        <f aca="false">IFERROR(IF(OR(BX394=1,BX394=2,BX394=3),N(INDEX(Parameter!$I$5:$I$7,BX394)),0),0)</f>
        <v>0</v>
      </c>
      <c r="CH394" s="59" t="n">
        <f aca="false">IF(AND(Parameter!$B$21="Ja",ISNUMBER(W394),N(X394)&gt;0),IFERROR(N(INDEX(Parameter!$L$5:$L$7,W394))*INDEX(Parameter!$E$5:$E$7,W394)*X394/SUMIFS($X$7:$X$1843,$W$7:$W$1843,W394),0),0)</f>
        <v>0</v>
      </c>
    </row>
    <row r="395" customFormat="false" ht="15" hidden="false" customHeight="false" outlineLevel="0" collapsed="false">
      <c r="A395" s="55" t="s">
        <v>929</v>
      </c>
      <c r="B395" s="55" t="s">
        <v>861</v>
      </c>
      <c r="C395" s="55" t="s">
        <v>164</v>
      </c>
      <c r="D395" s="55" t="s">
        <v>173</v>
      </c>
      <c r="E395" s="55"/>
      <c r="F395" s="55" t="s">
        <v>218</v>
      </c>
      <c r="G395" s="56" t="n">
        <v>12.74</v>
      </c>
      <c r="H395" s="57" t="n">
        <f aca="false">MAX(0,IF(AND(Parameter!$B$21="Ja",ISNUMBER(Y395)),Y395,IF(Parameter!$B$20="Jahresanfang 2025 + Export",BL395+BK395,BK395)))</f>
        <v>9</v>
      </c>
      <c r="I395" s="57" t="n">
        <f aca="false">H395*G395</f>
        <v>114.66</v>
      </c>
      <c r="J395" s="57" t="n">
        <f aca="false">BN395*Parameter!$B$18</f>
        <v>10</v>
      </c>
      <c r="K395" s="58" t="n">
        <v>0</v>
      </c>
      <c r="L395" s="59" t="n">
        <v>0</v>
      </c>
      <c r="M395" s="57" t="n">
        <v>0</v>
      </c>
      <c r="N395" s="57" t="n">
        <v>10</v>
      </c>
      <c r="O395" s="60" t="n">
        <v>14</v>
      </c>
      <c r="P395" s="55" t="s">
        <v>168</v>
      </c>
      <c r="Q395" s="57"/>
      <c r="R395" s="60" t="n">
        <f aca="false">IF(BT395=1,0,IFERROR(VLOOKUP(BR395,'Gebinde-Kategorie'!$A$5:$M$45,13,0)+0,0))</f>
        <v>12</v>
      </c>
      <c r="S395" s="61"/>
      <c r="T395" s="62" t="s">
        <v>179</v>
      </c>
      <c r="U395" s="62"/>
      <c r="V395" s="62"/>
      <c r="W395" s="55"/>
      <c r="X395" s="57"/>
      <c r="Y395" s="57"/>
      <c r="Z395" s="55" t="n">
        <f aca="false">IF(A395="","",IF(AND(Parameter!$B$21="Ja",ISNUMBER(W395)),W395,IF(BV395="2+3",IF(ISNUMBER(SEARCH("grosser Artikel",BO395)),2,IFERROR(VLOOKUP(BR395,Parameter!$F$35:$G$64,2,0),2)),IF(OR(BV395="Nein",BV395=""),"-",BV395))))</f>
        <v>2</v>
      </c>
      <c r="AA395" s="62"/>
      <c r="AB395" s="63"/>
      <c r="AC395" s="57" t="n">
        <f aca="false">AR395</f>
        <v>10</v>
      </c>
      <c r="AD395" s="57" t="n">
        <f aca="false">MAX(AR395,H395)</f>
        <v>10</v>
      </c>
      <c r="AE395" s="64"/>
      <c r="AF395" s="57" t="n">
        <f aca="false">IF(LEFT(Cockpit!$C$5,1)="A",H395,IF(CA395=1,CB395,IF(LEFT(Cockpit!$C$5,1)="B",AJ395,MAX(AJ395,H395))))</f>
        <v>9</v>
      </c>
      <c r="AG395" s="57" t="n">
        <f aca="false">IF(BT395=1,0,ROUNDUP(AF395/BS395,0))</f>
        <v>1</v>
      </c>
      <c r="AH395" s="59" t="n">
        <f aca="false">IF(CH395&gt;0,CH395*MAX(1,AF395/X395),IF(BT395=1,IF(AF395&lt;=0,0,BW395*MAX(1,IF(H395&gt;0,AF395/H395,1))),IF(R395&gt;0,AG395/R395,0))/MAX(0.1,N(Parameter!$M$21)))</f>
        <v>0.0833333333333333</v>
      </c>
      <c r="AI395" s="57" t="n">
        <f aca="false">AF395*G395</f>
        <v>114.66</v>
      </c>
      <c r="AJ395" s="57" t="n">
        <f aca="false">ROUNDUP(MAX(J395/IF(BZ395&gt;0,BZ395,MAX(0.1,N(Cockpit!$C$6))),CC395)/BS395,0)*BS395</f>
        <v>10</v>
      </c>
      <c r="AK395" s="58" t="n">
        <f aca="false">IF(AH395&gt;0,J395/AH395,-1)</f>
        <v>120</v>
      </c>
      <c r="AL395" s="58" t="n">
        <f aca="false">IF(AND(OR(BY395="L1",BY395="L23"),AH395&gt;0),SUMIFS($AH$7:$AH$1843,$BY$7:$BY$1843,BY395,$AK$7:$AK$1843,"&gt;"&amp;AK395)+SUMIFS($AH$7:$AH$1843,$BY$7:$BY$1843,BY395,$AK$7:$AK$1843,AK395,$BQ$7:$BQ$1843,"&lt;="&amp;BQ395),"")</f>
        <v>36.7072565116043</v>
      </c>
      <c r="AM395" s="65" t="n">
        <f aca="false">IF(AL395="",0,MAX(0,MIN(1,(IF(BY395="L1",Parameter!$E$5,Parameter!$E$6+Parameter!$E$7)-(AL395-AH395))/AH395)))</f>
        <v>1</v>
      </c>
      <c r="AN395" s="57" t="n">
        <f aca="false">IF(LEFT(Cockpit!$I$5,1)="A",H395,IF(CA395=1,CB395,IF(LEFT(Cockpit!$I$5,1)="B",AR395,MAX(AR395,H395))))</f>
        <v>10</v>
      </c>
      <c r="AO395" s="57" t="n">
        <f aca="false">IF(BT395=1,0,ROUNDUP(AN395/BS395,0))</f>
        <v>1</v>
      </c>
      <c r="AP395" s="59" t="n">
        <f aca="false">IF(CH395&gt;0,CH395*MAX(1,AN395/X395),IF(BT395=1,IF(AN395&lt;=0,0,BW395*MAX(1,IF(H395&gt;0,AN395/H395,1))),IF(R395&gt;0,AO395/R395,0))/MAX(0.1,N(Parameter!$M$21)))</f>
        <v>0.0833333333333333</v>
      </c>
      <c r="AQ395" s="57" t="n">
        <f aca="false">AN395*G395</f>
        <v>127.4</v>
      </c>
      <c r="AR395" s="57" t="n">
        <f aca="false">ROUNDUP(MAX(J395/IF(BZ395&gt;0,BZ395,MAX(0.1,N(Cockpit!$I$6))),CC395)/BS395,0)*BS395</f>
        <v>10</v>
      </c>
      <c r="AS395" s="58" t="n">
        <f aca="false">IF(AP395&gt;0,J395/AP395,-1)</f>
        <v>120</v>
      </c>
      <c r="AT395" s="58" t="n">
        <f aca="false">IF(AND(OR(BY395="L1",BY395="L23"),AP395&gt;0),SUMIFS($AP$7:$AP$1843,$BY$7:$BY$1843,BY395,$AS$7:$AS$1843,"&gt;"&amp;AS395)+SUMIFS($AP$7:$AP$1843,$BY$7:$BY$1843,BY395,$AS$7:$AS$1843,AS395,$BQ$7:$BQ$1843,"&lt;="&amp;BQ395),"")</f>
        <v>54.311450626668</v>
      </c>
      <c r="AU395" s="65" t="n">
        <f aca="false">IF(AT395="",0,MAX(0,MIN(1,(IF(BY395="L1",Parameter!$E$5,Parameter!$E$6+Parameter!$E$7)-(AT395-AP395))/AP395)))</f>
        <v>1</v>
      </c>
      <c r="AV395" s="57" t="n">
        <f aca="false">IF(LEFT(Cockpit!$O$5,1)="A",H395,IF(CA395=1,CB395,IF(LEFT(Cockpit!$O$5,1)="B",AZ395,MAX(AZ395,H395))))</f>
        <v>10</v>
      </c>
      <c r="AW395" s="57" t="n">
        <f aca="false">IF(BT395=1,0,ROUNDUP(AV395/BS395,0))</f>
        <v>1</v>
      </c>
      <c r="AX395" s="59" t="n">
        <f aca="false">IF(CH395&gt;0,CH395*MAX(1,AV395/X395),IF(BT395=1,IF(AV395&lt;=0,0,BW395*MAX(1,IF(H395&gt;0,AV395/H395,1))),IF(R395&gt;0,AW395/R395,0))/MAX(0.1,N(Parameter!$M$21)))</f>
        <v>0.0833333333333333</v>
      </c>
      <c r="AY395" s="57" t="n">
        <f aca="false">AV395*G395</f>
        <v>127.4</v>
      </c>
      <c r="AZ395" s="57" t="n">
        <f aca="false">ROUNDUP(MAX(J395/IF(BZ395&gt;0,BZ395,MAX(0.1,N(Cockpit!$O$6))),CC395)/BS395,0)*BS395</f>
        <v>10</v>
      </c>
      <c r="BA395" s="58" t="n">
        <f aca="false">IF(AX395&gt;0,J395/AX395,-1)</f>
        <v>120</v>
      </c>
      <c r="BB395" s="58" t="n">
        <f aca="false">IF(AND(OR(BY395="L1",BY395="L23"),AX395&gt;0),SUMIFS($AX$7:$AX$1843,$BY$7:$BY$1843,BY395,$BA$7:$BA$1843,"&gt;"&amp;BA395)+SUMIFS($AX$7:$AX$1843,$BY$7:$BY$1843,BY395,$BA$7:$BA$1843,BA395,$BQ$7:$BQ$1843,"&lt;="&amp;BQ395),"")</f>
        <v>51.7246207898382</v>
      </c>
      <c r="BC395" s="65" t="n">
        <f aca="false">IF(BB395="",0,MAX(0,MIN(1,(IF(BY395="L1",Parameter!$E$5,Parameter!$E$6+Parameter!$E$7)-(BB395-AX395))/AX395)))</f>
        <v>1</v>
      </c>
      <c r="BD395" s="55" t="str">
        <f aca="false">IF(AH395&lt;=0,"",IF(BY395="Aussen","Aussenlager",IF(BY395="-","Nicht im Lift",IF(AM395&gt;=1,"Lift",IF(AM395&lt;=0,"Aussenlager","teilweise")))))</f>
        <v>Lift</v>
      </c>
      <c r="BE395" s="55" t="str">
        <f aca="false">IF(AP395&lt;=0,"",IF(BY395="Aussen","Aussenlager",IF(BY395="-","Nicht im Lift",IF(AU395&gt;=1,"Lift",IF(AU395&lt;=0,"Aussenlager","teilweise")))))</f>
        <v>Lift</v>
      </c>
      <c r="BF395" s="55" t="str">
        <f aca="false">IF(AX395&lt;=0,"",IF(BY395="Aussen","Aussenlager",IF(BY395="-","Nicht im Lift",IF(BC395&gt;=1,"Lift",IF(BC395&lt;=0,"Aussenlager","teilweise")))))</f>
        <v>Lift</v>
      </c>
      <c r="BG395" s="55" t="str">
        <f aca="false">IF(A395="","",IF(BP395=1,"Neu; ","")&amp;IF(AND(BP395=0,BK395&lt;0),"negativer Bestand (Export "&amp;BK395&amp;"); ","")&amp;IF(J395&lt;=0,"Kein Verbrauch; ","")&amp;IF(CH395&gt;0,"Lift "&amp;W395&amp;" lt. Liftbericht (Fach "&amp;X395&amp;" Stk); ",IF(BU395=1,"Gebinde geschätzt ("&amp;T395&amp;"); ",IF(BT395=1,"Lose – Tablare geschätzt; ","")))&amp;IF(H395&gt;AR395,"Überbestand "&amp;ROUND(H395-AR395,0)&amp;" Stk / CHF "&amp;ROUND((H395-AR395)*G395,0)&amp;"; ","")&amp;IF(AND(CA395=1,CB395&lt;CC395),"MAX &lt; MB+LG; ","")&amp;IF(AND(CG395&gt;0,CF395*10&gt;CG395),"zu hoch für Tablar; ","")&amp;IF(AND(BP395=0,OR(CA395=1,AA395&lt;&gt;"",U395&lt;&gt;"",V395&lt;&gt;"",AB395&lt;&gt;"")),"manuell übersteuert; ","")&amp;IF(AND(BT395=0,R395=0),"Gebinde unbekannt / Stellmass fehlt; ","")&amp;IF(AND(BT395=0,N(V395)&lt;=0,N(Q395)&lt;=0),"Menge pro Gebinde fehlt (Ist = 1 Gebinde); ","")&amp;BO395)</f>
        <v>Gebinde geschätzt (Mittel); Menge pro Gebinde fehlt (Ist = 1 Gebinde); </v>
      </c>
      <c r="BH395" s="55"/>
      <c r="BI395" s="55"/>
      <c r="BJ395" s="62"/>
      <c r="BK395" s="57" t="n">
        <v>9</v>
      </c>
      <c r="BL395" s="57" t="n">
        <v>0</v>
      </c>
      <c r="BM395" s="56" t="n">
        <v>114.66</v>
      </c>
      <c r="BN395" s="57" t="n">
        <v>10</v>
      </c>
      <c r="BO395" s="55"/>
      <c r="BP395" s="60" t="n">
        <v>0</v>
      </c>
      <c r="BQ395" s="60" t="n">
        <v>395</v>
      </c>
      <c r="BR395" s="55" t="str">
        <f aca="false">IF(U395&lt;&gt;"",UPPER(TRIM(U395)),IF(BU395=1,UPPER(VLOOKUP(T395,Parameter!$I$27:$K$29,2,0)),IF(P395="","LOSE",P395)))</f>
        <v>S61</v>
      </c>
      <c r="BS395" s="57" t="n">
        <f aca="false">IF(BR395="LOSE",1,IF(N(V395)&gt;0,V395,IF(BU395=1,MAX(1,N(VLOOKUP(T395,Parameter!$I$27:$K$29,3,0)),H395,N(N395)),IF(N(Q395)&gt;0,Q395,MAX(1,H395)))))</f>
        <v>10</v>
      </c>
      <c r="BT395" s="60" t="n">
        <f aca="false">IF(BR395="LOSE",1,0)</f>
        <v>0</v>
      </c>
      <c r="BU395" s="60" t="n">
        <f aca="false">IF(AND(U395="",OR(P395="",P395="LOSE"),T395&lt;&gt;"",N(S395)&lt;=0,ISNUMBER(MATCH(T395,Parameter!$I$27:$I$29,0))),1,0)</f>
        <v>1</v>
      </c>
      <c r="BV395" s="55" t="str">
        <f aca="false">IF(AND(Parameter!$B$19="Ja",E395&lt;&gt;"",ISNUMBER(MATCH(E395,Parameter!$I$35:$I$52,0))),VLOOKUP(E395,Parameter!$I$35:$J$52,2,0),IFERROR(VLOOKUP(D395,Parameter!$A$35:$C$64,2,0),"Nein"))</f>
        <v>2+3</v>
      </c>
      <c r="BW395" s="59" t="n">
        <f aca="false">IF(BT395=0,0,IF(N(S395)&gt;0,S395,IFERROR(VLOOKUP(D395,Parameter!$A$35:$C$64,3,0)+0,0)))</f>
        <v>0</v>
      </c>
      <c r="BX395" s="55" t="n">
        <f aca="false">IF(AA395&lt;&gt;"",AA395,Z395)</f>
        <v>2</v>
      </c>
      <c r="BY395" s="55" t="str">
        <f aca="false">IF(BX395=1,"L1",IF(OR(BX395=2,BX395=3),"L23",IF(BX395="Aussen","Aussen","-")))</f>
        <v>L23</v>
      </c>
      <c r="BZ395" s="66" t="n">
        <f aca="false">IF(N(AB395)&gt;0,AB395,0)</f>
        <v>0</v>
      </c>
      <c r="CA395" s="60" t="n">
        <f aca="false">IF(ISNUMBER(AE395),1,0)</f>
        <v>0</v>
      </c>
      <c r="CB395" s="57" t="n">
        <f aca="false">N(AE395)</f>
        <v>0</v>
      </c>
      <c r="CC395" s="57" t="n">
        <f aca="false">N(M395)+N(N395)</f>
        <v>10</v>
      </c>
      <c r="CD395" s="57" t="n">
        <f aca="false">ROUNDUP(H395/BS395,0)</f>
        <v>1</v>
      </c>
      <c r="CE395" s="57" t="n">
        <f aca="false">ROUNDUP(CB395/BS395,0)</f>
        <v>0</v>
      </c>
      <c r="CF395" s="60" t="n">
        <f aca="false">IF(BT395=1,0,IFERROR(VLOOKUP(BR395,'Gebinde-Kategorie'!$A$5:$M$45,5,0)+0,0))</f>
        <v>11</v>
      </c>
      <c r="CG395" s="60" t="n">
        <f aca="false">IFERROR(IF(OR(BX395=1,BX395=2,BX395=3),N(INDEX(Parameter!$I$5:$I$7,BX395)),0),0)</f>
        <v>0</v>
      </c>
      <c r="CH395" s="59" t="n">
        <f aca="false">IF(AND(Parameter!$B$21="Ja",ISNUMBER(W395),N(X395)&gt;0),IFERROR(N(INDEX(Parameter!$L$5:$L$7,W395))*INDEX(Parameter!$E$5:$E$7,W395)*X395/SUMIFS($X$7:$X$1843,$W$7:$W$1843,W395),0),0)</f>
        <v>0</v>
      </c>
    </row>
    <row r="396" customFormat="false" ht="15" hidden="false" customHeight="false" outlineLevel="0" collapsed="false">
      <c r="A396" s="55" t="s">
        <v>930</v>
      </c>
      <c r="B396" s="55" t="s">
        <v>589</v>
      </c>
      <c r="C396" s="55" t="s">
        <v>164</v>
      </c>
      <c r="D396" s="55" t="s">
        <v>184</v>
      </c>
      <c r="E396" s="55" t="s">
        <v>185</v>
      </c>
      <c r="F396" s="55" t="s">
        <v>218</v>
      </c>
      <c r="G396" s="56" t="n">
        <v>18.24</v>
      </c>
      <c r="H396" s="57" t="n">
        <f aca="false">MAX(0,IF(AND(Parameter!$B$21="Ja",ISNUMBER(Y396)),Y396,IF(Parameter!$B$20="Jahresanfang 2025 + Export",BL396+BK396,BK396)))</f>
        <v>56</v>
      </c>
      <c r="I396" s="57" t="n">
        <f aca="false">H396*G396</f>
        <v>1021.44</v>
      </c>
      <c r="J396" s="57" t="n">
        <f aca="false">BN396*Parameter!$B$18</f>
        <v>40</v>
      </c>
      <c r="K396" s="58" t="n">
        <v>39</v>
      </c>
      <c r="L396" s="59" t="n">
        <v>1.02564102564103</v>
      </c>
      <c r="M396" s="57" t="n">
        <v>3</v>
      </c>
      <c r="N396" s="57" t="n">
        <v>40</v>
      </c>
      <c r="O396" s="60" t="n">
        <v>35</v>
      </c>
      <c r="P396" s="55" t="s">
        <v>401</v>
      </c>
      <c r="Q396" s="57" t="n">
        <v>52</v>
      </c>
      <c r="R396" s="60" t="n">
        <f aca="false">IF(BT396=1,0,IFERROR(VLOOKUP(BR396,'Gebinde-Kategorie'!$A$5:$M$45,13,0)+0,0))</f>
        <v>414</v>
      </c>
      <c r="S396" s="61"/>
      <c r="T396" s="62"/>
      <c r="U396" s="62"/>
      <c r="V396" s="62"/>
      <c r="W396" s="55"/>
      <c r="X396" s="57"/>
      <c r="Y396" s="57"/>
      <c r="Z396" s="55" t="n">
        <f aca="false">IF(A396="","",IF(AND(Parameter!$B$21="Ja",ISNUMBER(W396)),W396,IF(BV396="2+3",IF(ISNUMBER(SEARCH("grosser Artikel",BO396)),2,IFERROR(VLOOKUP(BR396,Parameter!$F$35:$G$64,2,0),2)),IF(OR(BV396="Nein",BV396=""),"-",BV396))))</f>
        <v>3</v>
      </c>
      <c r="AA396" s="62"/>
      <c r="AB396" s="63"/>
      <c r="AC396" s="57" t="n">
        <f aca="false">AR396</f>
        <v>52</v>
      </c>
      <c r="AD396" s="57" t="n">
        <f aca="false">MAX(AR396,H396)</f>
        <v>56</v>
      </c>
      <c r="AE396" s="64"/>
      <c r="AF396" s="57" t="n">
        <f aca="false">IF(LEFT(Cockpit!$C$5,1)="A",H396,IF(CA396=1,CB396,IF(LEFT(Cockpit!$C$5,1)="B",AJ396,MAX(AJ396,H396))))</f>
        <v>56</v>
      </c>
      <c r="AG396" s="57" t="n">
        <f aca="false">IF(BT396=1,0,ROUNDUP(AF396/BS396,0))</f>
        <v>2</v>
      </c>
      <c r="AH396" s="59" t="n">
        <f aca="false">IF(CH396&gt;0,CH396*MAX(1,AF396/X396),IF(BT396=1,IF(AF396&lt;=0,0,BW396*MAX(1,IF(H396&gt;0,AF396/H396,1))),IF(R396&gt;0,AG396/R396,0))/MAX(0.1,N(Parameter!$M$21)))</f>
        <v>0.00483091787439614</v>
      </c>
      <c r="AI396" s="57" t="n">
        <f aca="false">AF396*G396</f>
        <v>1021.44</v>
      </c>
      <c r="AJ396" s="57" t="n">
        <f aca="false">ROUNDUP(MAX(J396/IF(BZ396&gt;0,BZ396,MAX(0.1,N(Cockpit!$C$6))),CC396)/BS396,0)*BS396</f>
        <v>52</v>
      </c>
      <c r="AK396" s="58" t="n">
        <f aca="false">IF(AH396&gt;0,J396/AH396,-1)</f>
        <v>8280</v>
      </c>
      <c r="AL396" s="58" t="n">
        <f aca="false">IF(AND(OR(BY396="L1",BY396="L23"),AH396&gt;0),SUMIFS($AH$7:$AH$1843,$BY$7:$BY$1843,BY396,$AK$7:$AK$1843,"&gt;"&amp;AK396)+SUMIFS($AH$7:$AH$1843,$BY$7:$BY$1843,BY396,$AK$7:$AK$1843,AK396,$BQ$7:$BQ$1843,"&lt;="&amp;BQ396),"")</f>
        <v>5.81142528968616</v>
      </c>
      <c r="AM396" s="65" t="n">
        <f aca="false">IF(AL396="",0,MAX(0,MIN(1,(IF(BY396="L1",Parameter!$E$5,Parameter!$E$6+Parameter!$E$7)-(AL396-AH396))/AH396)))</f>
        <v>1</v>
      </c>
      <c r="AN396" s="57" t="n">
        <f aca="false">IF(LEFT(Cockpit!$I$5,1)="A",H396,IF(CA396=1,CB396,IF(LEFT(Cockpit!$I$5,1)="B",AR396,MAX(AR396,H396))))</f>
        <v>56</v>
      </c>
      <c r="AO396" s="57" t="n">
        <f aca="false">IF(BT396=1,0,ROUNDUP(AN396/BS396,0))</f>
        <v>2</v>
      </c>
      <c r="AP396" s="59" t="n">
        <f aca="false">IF(CH396&gt;0,CH396*MAX(1,AN396/X396),IF(BT396=1,IF(AN396&lt;=0,0,BW396*MAX(1,IF(H396&gt;0,AN396/H396,1))),IF(R396&gt;0,AO396/R396,0))/MAX(0.1,N(Parameter!$M$21)))</f>
        <v>0.00483091787439614</v>
      </c>
      <c r="AQ396" s="57" t="n">
        <f aca="false">AN396*G396</f>
        <v>1021.44</v>
      </c>
      <c r="AR396" s="57" t="n">
        <f aca="false">ROUNDUP(MAX(J396/IF(BZ396&gt;0,BZ396,MAX(0.1,N(Cockpit!$I$6))),CC396)/BS396,0)*BS396</f>
        <v>52</v>
      </c>
      <c r="AS396" s="58" t="n">
        <f aca="false">IF(AP396&gt;0,J396/AP396,-1)</f>
        <v>8280</v>
      </c>
      <c r="AT396" s="58" t="n">
        <f aca="false">IF(AND(OR(BY396="L1",BY396="L23"),AP396&gt;0),SUMIFS($AP$7:$AP$1843,$BY$7:$BY$1843,BY396,$AS$7:$AS$1843,"&gt;"&amp;AS396)+SUMIFS($AP$7:$AP$1843,$BY$7:$BY$1843,BY396,$AS$7:$AS$1843,AS396,$BQ$7:$BQ$1843,"&lt;="&amp;BQ396),"")</f>
        <v>9.01398601398601</v>
      </c>
      <c r="AU396" s="65" t="n">
        <f aca="false">IF(AT396="",0,MAX(0,MIN(1,(IF(BY396="L1",Parameter!$E$5,Parameter!$E$6+Parameter!$E$7)-(AT396-AP396))/AP396)))</f>
        <v>1</v>
      </c>
      <c r="AV396" s="57" t="n">
        <f aca="false">IF(LEFT(Cockpit!$O$5,1)="A",H396,IF(CA396=1,CB396,IF(LEFT(Cockpit!$O$5,1)="B",AZ396,MAX(AZ396,H396))))</f>
        <v>56</v>
      </c>
      <c r="AW396" s="57" t="n">
        <f aca="false">IF(BT396=1,0,ROUNDUP(AV396/BS396,0))</f>
        <v>2</v>
      </c>
      <c r="AX396" s="59" t="n">
        <f aca="false">IF(CH396&gt;0,CH396*MAX(1,AV396/X396),IF(BT396=1,IF(AV396&lt;=0,0,BW396*MAX(1,IF(H396&gt;0,AV396/H396,1))),IF(R396&gt;0,AW396/R396,0))/MAX(0.1,N(Parameter!$M$21)))</f>
        <v>0.00483091787439614</v>
      </c>
      <c r="AY396" s="57" t="n">
        <f aca="false">AV396*G396</f>
        <v>1021.44</v>
      </c>
      <c r="AZ396" s="57" t="n">
        <f aca="false">ROUNDUP(MAX(J396/IF(BZ396&gt;0,BZ396,MAX(0.1,N(Cockpit!$O$6))),CC396)/BS396,0)*BS396</f>
        <v>52</v>
      </c>
      <c r="BA396" s="58" t="n">
        <f aca="false">IF(AX396&gt;0,J396/AX396,-1)</f>
        <v>8280</v>
      </c>
      <c r="BB396" s="58" t="n">
        <f aca="false">IF(AND(OR(BY396="L1",BY396="L23"),AX396&gt;0),SUMIFS($AX$7:$AX$1843,$BY$7:$BY$1843,BY396,$BA$7:$BA$1843,"&gt;"&amp;BA396)+SUMIFS($AX$7:$AX$1843,$BY$7:$BY$1843,BY396,$BA$7:$BA$1843,BA396,$BQ$7:$BQ$1843,"&lt;="&amp;BQ396),"")</f>
        <v>8.747668997669</v>
      </c>
      <c r="BC396" s="65" t="n">
        <f aca="false">IF(BB396="",0,MAX(0,MIN(1,(IF(BY396="L1",Parameter!$E$5,Parameter!$E$6+Parameter!$E$7)-(BB396-AX396))/AX396)))</f>
        <v>1</v>
      </c>
      <c r="BD396" s="55" t="str">
        <f aca="false">IF(AH396&lt;=0,"",IF(BY396="Aussen","Aussenlager",IF(BY396="-","Nicht im Lift",IF(AM396&gt;=1,"Lift",IF(AM396&lt;=0,"Aussenlager","teilweise")))))</f>
        <v>Lift</v>
      </c>
      <c r="BE396" s="55" t="str">
        <f aca="false">IF(AP396&lt;=0,"",IF(BY396="Aussen","Aussenlager",IF(BY396="-","Nicht im Lift",IF(AU396&gt;=1,"Lift",IF(AU396&lt;=0,"Aussenlager","teilweise")))))</f>
        <v>Lift</v>
      </c>
      <c r="BF396" s="55" t="str">
        <f aca="false">IF(AX396&lt;=0,"",IF(BY396="Aussen","Aussenlager",IF(BY396="-","Nicht im Lift",IF(BC396&gt;=1,"Lift",IF(BC396&lt;=0,"Aussenlager","teilweise")))))</f>
        <v>Lift</v>
      </c>
      <c r="BG396" s="55" t="str">
        <f aca="false">IF(A396="","",IF(BP396=1,"Neu; ","")&amp;IF(AND(BP396=0,BK396&lt;0),"negativer Bestand (Export "&amp;BK396&amp;"); ","")&amp;IF(J396&lt;=0,"Kein Verbrauch; ","")&amp;IF(CH396&gt;0,"Lift "&amp;W396&amp;" lt. Liftbericht (Fach "&amp;X396&amp;" Stk); ",IF(BU396=1,"Gebinde geschätzt ("&amp;T396&amp;"); ",IF(BT396=1,"Lose – Tablare geschätzt; ","")))&amp;IF(H396&gt;AR396,"Überbestand "&amp;ROUND(H396-AR396,0)&amp;" Stk / CHF "&amp;ROUND((H396-AR396)*G396,0)&amp;"; ","")&amp;IF(AND(CA396=1,CB396&lt;CC396),"MAX &lt; MB+LG; ","")&amp;IF(AND(CG396&gt;0,CF396*10&gt;CG396),"zu hoch für Tablar; ","")&amp;IF(AND(BP396=0,OR(CA396=1,AA396&lt;&gt;"",U396&lt;&gt;"",V396&lt;&gt;"",AB396&lt;&gt;"")),"manuell übersteuert; ","")&amp;IF(AND(BT396=0,R396=0),"Gebinde unbekannt / Stellmass fehlt; ","")&amp;IF(AND(BT396=0,N(V396)&lt;=0,N(Q396)&lt;=0),"Menge pro Gebinde fehlt (Ist = 1 Gebinde); ","")&amp;BO396)</f>
        <v>Überbestand 4 Stk / CHF 73; </v>
      </c>
      <c r="BH396" s="55"/>
      <c r="BI396" s="55"/>
      <c r="BJ396" s="62"/>
      <c r="BK396" s="57" t="n">
        <v>4</v>
      </c>
      <c r="BL396" s="57" t="n">
        <v>52</v>
      </c>
      <c r="BM396" s="56" t="n">
        <v>114.04</v>
      </c>
      <c r="BN396" s="57" t="n">
        <v>40</v>
      </c>
      <c r="BO396" s="55"/>
      <c r="BP396" s="60" t="n">
        <v>0</v>
      </c>
      <c r="BQ396" s="60" t="n">
        <v>396</v>
      </c>
      <c r="BR396" s="55" t="str">
        <f aca="false">IF(U396&lt;&gt;"",UPPER(TRIM(U396)),IF(BU396=1,UPPER(VLOOKUP(T396,Parameter!$I$27:$K$29,2,0)),IF(P396="","LOSE",P396)))</f>
        <v>S21</v>
      </c>
      <c r="BS396" s="57" t="n">
        <f aca="false">IF(BR396="LOSE",1,IF(N(V396)&gt;0,V396,IF(BU396=1,MAX(1,N(VLOOKUP(T396,Parameter!$I$27:$K$29,3,0)),H396,N(N396)),IF(N(Q396)&gt;0,Q396,MAX(1,H396)))))</f>
        <v>52</v>
      </c>
      <c r="BT396" s="60" t="n">
        <f aca="false">IF(BR396="LOSE",1,0)</f>
        <v>0</v>
      </c>
      <c r="BU396" s="60" t="n">
        <f aca="false">IF(AND(U396="",OR(P396="",P396="LOSE"),T396&lt;&gt;"",N(S396)&lt;=0,ISNUMBER(MATCH(T396,Parameter!$I$27:$I$29,0))),1,0)</f>
        <v>0</v>
      </c>
      <c r="BV396" s="55" t="str">
        <f aca="false">IF(AND(Parameter!$B$19="Ja",E396&lt;&gt;"",ISNUMBER(MATCH(E396,Parameter!$I$35:$I$52,0))),VLOOKUP(E396,Parameter!$I$35:$J$52,2,0),IFERROR(VLOOKUP(D396,Parameter!$A$35:$C$64,2,0),"Nein"))</f>
        <v>2+3</v>
      </c>
      <c r="BW396" s="59" t="n">
        <f aca="false">IF(BT396=0,0,IF(N(S396)&gt;0,S396,IFERROR(VLOOKUP(D396,Parameter!$A$35:$C$64,3,0)+0,0)))</f>
        <v>0</v>
      </c>
      <c r="BX396" s="55" t="n">
        <f aca="false">IF(AA396&lt;&gt;"",AA396,Z396)</f>
        <v>3</v>
      </c>
      <c r="BY396" s="55" t="str">
        <f aca="false">IF(BX396=1,"L1",IF(OR(BX396=2,BX396=3),"L23",IF(BX396="Aussen","Aussen","-")))</f>
        <v>L23</v>
      </c>
      <c r="BZ396" s="66" t="n">
        <f aca="false">IF(N(AB396)&gt;0,AB396,0)</f>
        <v>0</v>
      </c>
      <c r="CA396" s="60" t="n">
        <f aca="false">IF(ISNUMBER(AE396),1,0)</f>
        <v>0</v>
      </c>
      <c r="CB396" s="57" t="n">
        <f aca="false">N(AE396)</f>
        <v>0</v>
      </c>
      <c r="CC396" s="57" t="n">
        <f aca="false">N(M396)+N(N396)</f>
        <v>43</v>
      </c>
      <c r="CD396" s="57" t="n">
        <f aca="false">ROUNDUP(H396/BS396,0)</f>
        <v>2</v>
      </c>
      <c r="CE396" s="57" t="n">
        <f aca="false">ROUNDUP(CB396/BS396,0)</f>
        <v>0</v>
      </c>
      <c r="CF396" s="60" t="n">
        <f aca="false">IF(BT396=1,0,IFERROR(VLOOKUP(BR396,'Gebinde-Kategorie'!$A$5:$M$45,5,0)+0,0))</f>
        <v>8</v>
      </c>
      <c r="CG396" s="60" t="n">
        <f aca="false">IFERROR(IF(OR(BX396=1,BX396=2,BX396=3),N(INDEX(Parameter!$I$5:$I$7,BX396)),0),0)</f>
        <v>0</v>
      </c>
      <c r="CH396" s="59" t="n">
        <f aca="false">IF(AND(Parameter!$B$21="Ja",ISNUMBER(W396),N(X396)&gt;0),IFERROR(N(INDEX(Parameter!$L$5:$L$7,W396))*INDEX(Parameter!$E$5:$E$7,W396)*X396/SUMIFS($X$7:$X$1843,$W$7:$W$1843,W396),0),0)</f>
        <v>0</v>
      </c>
    </row>
    <row r="397" customFormat="false" ht="15" hidden="false" customHeight="false" outlineLevel="0" collapsed="false">
      <c r="A397" s="55" t="s">
        <v>931</v>
      </c>
      <c r="B397" s="55" t="s">
        <v>407</v>
      </c>
      <c r="C397" s="55" t="s">
        <v>164</v>
      </c>
      <c r="D397" s="55" t="s">
        <v>184</v>
      </c>
      <c r="E397" s="55" t="s">
        <v>185</v>
      </c>
      <c r="F397" s="55" t="s">
        <v>218</v>
      </c>
      <c r="G397" s="56" t="n">
        <v>0.15</v>
      </c>
      <c r="H397" s="57" t="n">
        <f aca="false">MAX(0,IF(AND(Parameter!$B$21="Ja",ISNUMBER(Y397)),Y397,IF(Parameter!$B$20="Jahresanfang 2025 + Export",BL397+BK397,BK397)))</f>
        <v>1403</v>
      </c>
      <c r="I397" s="57" t="n">
        <f aca="false">H397*G397</f>
        <v>210.45</v>
      </c>
      <c r="J397" s="57" t="n">
        <f aca="false">BN397*Parameter!$B$18</f>
        <v>2706</v>
      </c>
      <c r="K397" s="58" t="n">
        <v>656</v>
      </c>
      <c r="L397" s="59" t="n">
        <v>4.125</v>
      </c>
      <c r="M397" s="57" t="n">
        <v>157</v>
      </c>
      <c r="N397" s="57" t="n">
        <v>1000</v>
      </c>
      <c r="O397" s="60" t="n">
        <v>21</v>
      </c>
      <c r="P397" s="55" t="s">
        <v>421</v>
      </c>
      <c r="Q397" s="57" t="n">
        <v>783</v>
      </c>
      <c r="R397" s="60" t="n">
        <f aca="false">IF(BT397=1,0,IFERROR(VLOOKUP(BR397,'Gebinde-Kategorie'!$A$5:$M$45,13,0)+0,0))</f>
        <v>132</v>
      </c>
      <c r="S397" s="61"/>
      <c r="T397" s="62"/>
      <c r="U397" s="62"/>
      <c r="V397" s="62"/>
      <c r="W397" s="55"/>
      <c r="X397" s="57"/>
      <c r="Y397" s="57"/>
      <c r="Z397" s="55" t="n">
        <f aca="false">IF(A397="","",IF(AND(Parameter!$B$21="Ja",ISNUMBER(W397)),W397,IF(BV397="2+3",IF(ISNUMBER(SEARCH("grosser Artikel",BO397)),2,IFERROR(VLOOKUP(BR397,Parameter!$F$35:$G$64,2,0),2)),IF(OR(BV397="Nein",BV397=""),"-",BV397))))</f>
        <v>3</v>
      </c>
      <c r="AA397" s="62"/>
      <c r="AB397" s="63"/>
      <c r="AC397" s="57" t="n">
        <f aca="false">AR397</f>
        <v>1566</v>
      </c>
      <c r="AD397" s="57" t="n">
        <f aca="false">MAX(AR397,H397)</f>
        <v>1566</v>
      </c>
      <c r="AE397" s="64"/>
      <c r="AF397" s="57" t="n">
        <f aca="false">IF(LEFT(Cockpit!$C$5,1)="A",H397,IF(CA397=1,CB397,IF(LEFT(Cockpit!$C$5,1)="B",AJ397,MAX(AJ397,H397))))</f>
        <v>1403</v>
      </c>
      <c r="AG397" s="57" t="n">
        <f aca="false">IF(BT397=1,0,ROUNDUP(AF397/BS397,0))</f>
        <v>2</v>
      </c>
      <c r="AH397" s="59" t="n">
        <f aca="false">IF(CH397&gt;0,CH397*MAX(1,AF397/X397),IF(BT397=1,IF(AF397&lt;=0,0,BW397*MAX(1,IF(H397&gt;0,AF397/H397,1))),IF(R397&gt;0,AG397/R397,0))/MAX(0.1,N(Parameter!$M$21)))</f>
        <v>0.0151515151515152</v>
      </c>
      <c r="AI397" s="57" t="n">
        <f aca="false">AF397*G397</f>
        <v>210.45</v>
      </c>
      <c r="AJ397" s="57" t="n">
        <f aca="false">ROUNDUP(MAX(J397/IF(BZ397&gt;0,BZ397,MAX(0.1,N(Cockpit!$C$6))),CC397)/BS397,0)*BS397</f>
        <v>1566</v>
      </c>
      <c r="AK397" s="58" t="n">
        <f aca="false">IF(AH397&gt;0,J397/AH397,-1)</f>
        <v>178596</v>
      </c>
      <c r="AL397" s="58" t="n">
        <f aca="false">IF(AND(OR(BY397="L1",BY397="L23"),AH397&gt;0),SUMIFS($AH$7:$AH$1843,$BY$7:$BY$1843,BY397,$AK$7:$AK$1843,"&gt;"&amp;AK397)+SUMIFS($AH$7:$AH$1843,$BY$7:$BY$1843,BY397,$AK$7:$AK$1843,AK397,$BQ$7:$BQ$1843,"&lt;="&amp;BQ397),"")</f>
        <v>0.176159589203067</v>
      </c>
      <c r="AM397" s="65" t="n">
        <f aca="false">IF(AL397="",0,MAX(0,MIN(1,(IF(BY397="L1",Parameter!$E$5,Parameter!$E$6+Parameter!$E$7)-(AL397-AH397))/AH397)))</f>
        <v>1</v>
      </c>
      <c r="AN397" s="57" t="n">
        <f aca="false">IF(LEFT(Cockpit!$I$5,1)="A",H397,IF(CA397=1,CB397,IF(LEFT(Cockpit!$I$5,1)="B",AR397,MAX(AR397,H397))))</f>
        <v>1566</v>
      </c>
      <c r="AO397" s="57" t="n">
        <f aca="false">IF(BT397=1,0,ROUNDUP(AN397/BS397,0))</f>
        <v>2</v>
      </c>
      <c r="AP397" s="59" t="n">
        <f aca="false">IF(CH397&gt;0,CH397*MAX(1,AN397/X397),IF(BT397=1,IF(AN397&lt;=0,0,BW397*MAX(1,IF(H397&gt;0,AN397/H397,1))),IF(R397&gt;0,AO397/R397,0))/MAX(0.1,N(Parameter!$M$21)))</f>
        <v>0.0151515151515152</v>
      </c>
      <c r="AQ397" s="57" t="n">
        <f aca="false">AN397*G397</f>
        <v>234.9</v>
      </c>
      <c r="AR397" s="57" t="n">
        <f aca="false">ROUNDUP(MAX(J397/IF(BZ397&gt;0,BZ397,MAX(0.1,N(Cockpit!$I$6))),CC397)/BS397,0)*BS397</f>
        <v>1566</v>
      </c>
      <c r="AS397" s="58" t="n">
        <f aca="false">IF(AP397&gt;0,J397/AP397,-1)</f>
        <v>178596</v>
      </c>
      <c r="AT397" s="58" t="n">
        <f aca="false">IF(AND(OR(BY397="L1",BY397="L23"),AP397&gt;0),SUMIFS($AP$7:$AP$1843,$BY$7:$BY$1843,BY397,$AS$7:$AS$1843,"&gt;"&amp;AS397)+SUMIFS($AP$7:$AP$1843,$BY$7:$BY$1843,BY397,$AS$7:$AS$1843,AS397,$BQ$7:$BQ$1843,"&lt;="&amp;BQ397),"")</f>
        <v>0.135282591804331</v>
      </c>
      <c r="AU397" s="65" t="n">
        <f aca="false">IF(AT397="",0,MAX(0,MIN(1,(IF(BY397="L1",Parameter!$E$5,Parameter!$E$6+Parameter!$E$7)-(AT397-AP397))/AP397)))</f>
        <v>1</v>
      </c>
      <c r="AV397" s="57" t="n">
        <f aca="false">IF(LEFT(Cockpit!$O$5,1)="A",H397,IF(CA397=1,CB397,IF(LEFT(Cockpit!$O$5,1)="B",AZ397,MAX(AZ397,H397))))</f>
        <v>1566</v>
      </c>
      <c r="AW397" s="57" t="n">
        <f aca="false">IF(BT397=1,0,ROUNDUP(AV397/BS397,0))</f>
        <v>2</v>
      </c>
      <c r="AX397" s="59" t="n">
        <f aca="false">IF(CH397&gt;0,CH397*MAX(1,AV397/X397),IF(BT397=1,IF(AV397&lt;=0,0,BW397*MAX(1,IF(H397&gt;0,AV397/H397,1))),IF(R397&gt;0,AW397/R397,0))/MAX(0.1,N(Parameter!$M$21)))</f>
        <v>0.0151515151515152</v>
      </c>
      <c r="AY397" s="57" t="n">
        <f aca="false">AV397*G397</f>
        <v>234.9</v>
      </c>
      <c r="AZ397" s="57" t="n">
        <f aca="false">ROUNDUP(MAX(J397/IF(BZ397&gt;0,BZ397,MAX(0.1,N(Cockpit!$O$6))),CC397)/BS397,0)*BS397</f>
        <v>1566</v>
      </c>
      <c r="BA397" s="58" t="n">
        <f aca="false">IF(AX397&gt;0,J397/AX397,-1)</f>
        <v>178596</v>
      </c>
      <c r="BB397" s="58" t="n">
        <f aca="false">IF(AND(OR(BY397="L1",BY397="L23"),AX397&gt;0),SUMIFS($AX$7:$AX$1843,$BY$7:$BY$1843,BY397,$BA$7:$BA$1843,"&gt;"&amp;BA397)+SUMIFS($AX$7:$AX$1843,$BY$7:$BY$1843,BY397,$BA$7:$BA$1843,BA397,$BQ$7:$BQ$1843,"&lt;="&amp;BQ397),"")</f>
        <v>0.135282591804331</v>
      </c>
      <c r="BC397" s="65" t="n">
        <f aca="false">IF(BB397="",0,MAX(0,MIN(1,(IF(BY397="L1",Parameter!$E$5,Parameter!$E$6+Parameter!$E$7)-(BB397-AX397))/AX397)))</f>
        <v>1</v>
      </c>
      <c r="BD397" s="55" t="str">
        <f aca="false">IF(AH397&lt;=0,"",IF(BY397="Aussen","Aussenlager",IF(BY397="-","Nicht im Lift",IF(AM397&gt;=1,"Lift",IF(AM397&lt;=0,"Aussenlager","teilweise")))))</f>
        <v>Lift</v>
      </c>
      <c r="BE397" s="55" t="str">
        <f aca="false">IF(AP397&lt;=0,"",IF(BY397="Aussen","Aussenlager",IF(BY397="-","Nicht im Lift",IF(AU397&gt;=1,"Lift",IF(AU397&lt;=0,"Aussenlager","teilweise")))))</f>
        <v>Lift</v>
      </c>
      <c r="BF397" s="55" t="str">
        <f aca="false">IF(AX397&lt;=0,"",IF(BY397="Aussen","Aussenlager",IF(BY397="-","Nicht im Lift",IF(BC397&gt;=1,"Lift",IF(BC397&lt;=0,"Aussenlager","teilweise")))))</f>
        <v>Lift</v>
      </c>
      <c r="BG397" s="55" t="str">
        <f aca="false">IF(A397="","",IF(BP397=1,"Neu; ","")&amp;IF(AND(BP397=0,BK397&lt;0),"negativer Bestand (Export "&amp;BK397&amp;"); ","")&amp;IF(J397&lt;=0,"Kein Verbrauch; ","")&amp;IF(CH397&gt;0,"Lift "&amp;W397&amp;" lt. Liftbericht (Fach "&amp;X397&amp;" Stk); ",IF(BU397=1,"Gebinde geschätzt ("&amp;T397&amp;"); ",IF(BT397=1,"Lose – Tablare geschätzt; ","")))&amp;IF(H397&gt;AR397,"Überbestand "&amp;ROUND(H397-AR397,0)&amp;" Stk / CHF "&amp;ROUND((H397-AR397)*G397,0)&amp;"; ","")&amp;IF(AND(CA397=1,CB397&lt;CC397),"MAX &lt; MB+LG; ","")&amp;IF(AND(CG397&gt;0,CF397*10&gt;CG397),"zu hoch für Tablar; ","")&amp;IF(AND(BP397=0,OR(CA397=1,AA397&lt;&gt;"",U397&lt;&gt;"",V397&lt;&gt;"",AB397&lt;&gt;"")),"manuell übersteuert; ","")&amp;IF(AND(BT397=0,R397=0),"Gebinde unbekannt / Stellmass fehlt; ","")&amp;IF(AND(BT397=0,N(V397)&lt;=0,N(Q397)&lt;=0),"Menge pro Gebinde fehlt (Ist = 1 Gebinde); ","")&amp;BO397)</f>
        <v/>
      </c>
      <c r="BH397" s="55"/>
      <c r="BI397" s="55"/>
      <c r="BJ397" s="62"/>
      <c r="BK397" s="57" t="n">
        <v>708</v>
      </c>
      <c r="BL397" s="57" t="n">
        <v>695</v>
      </c>
      <c r="BM397" s="56" t="n">
        <v>113.07</v>
      </c>
      <c r="BN397" s="57" t="n">
        <v>2706</v>
      </c>
      <c r="BO397" s="55"/>
      <c r="BP397" s="60" t="n">
        <v>0</v>
      </c>
      <c r="BQ397" s="60" t="n">
        <v>397</v>
      </c>
      <c r="BR397" s="55" t="str">
        <f aca="false">IF(U397&lt;&gt;"",UPPER(TRIM(U397)),IF(BU397=1,UPPER(VLOOKUP(T397,Parameter!$I$27:$K$29,2,0)),IF(P397="","LOSE",P397)))</f>
        <v>S32</v>
      </c>
      <c r="BS397" s="57" t="n">
        <f aca="false">IF(BR397="LOSE",1,IF(N(V397)&gt;0,V397,IF(BU397=1,MAX(1,N(VLOOKUP(T397,Parameter!$I$27:$K$29,3,0)),H397,N(N397)),IF(N(Q397)&gt;0,Q397,MAX(1,H397)))))</f>
        <v>783</v>
      </c>
      <c r="BT397" s="60" t="n">
        <f aca="false">IF(BR397="LOSE",1,0)</f>
        <v>0</v>
      </c>
      <c r="BU397" s="60" t="n">
        <f aca="false">IF(AND(U397="",OR(P397="",P397="LOSE"),T397&lt;&gt;"",N(S397)&lt;=0,ISNUMBER(MATCH(T397,Parameter!$I$27:$I$29,0))),1,0)</f>
        <v>0</v>
      </c>
      <c r="BV397" s="55" t="str">
        <f aca="false">IF(AND(Parameter!$B$19="Ja",E397&lt;&gt;"",ISNUMBER(MATCH(E397,Parameter!$I$35:$I$52,0))),VLOOKUP(E397,Parameter!$I$35:$J$52,2,0),IFERROR(VLOOKUP(D397,Parameter!$A$35:$C$64,2,0),"Nein"))</f>
        <v>2+3</v>
      </c>
      <c r="BW397" s="59" t="n">
        <f aca="false">IF(BT397=0,0,IF(N(S397)&gt;0,S397,IFERROR(VLOOKUP(D397,Parameter!$A$35:$C$64,3,0)+0,0)))</f>
        <v>0</v>
      </c>
      <c r="BX397" s="55" t="n">
        <f aca="false">IF(AA397&lt;&gt;"",AA397,Z397)</f>
        <v>3</v>
      </c>
      <c r="BY397" s="55" t="str">
        <f aca="false">IF(BX397=1,"L1",IF(OR(BX397=2,BX397=3),"L23",IF(BX397="Aussen","Aussen","-")))</f>
        <v>L23</v>
      </c>
      <c r="BZ397" s="66" t="n">
        <f aca="false">IF(N(AB397)&gt;0,AB397,0)</f>
        <v>0</v>
      </c>
      <c r="CA397" s="60" t="n">
        <f aca="false">IF(ISNUMBER(AE397),1,0)</f>
        <v>0</v>
      </c>
      <c r="CB397" s="57" t="n">
        <f aca="false">N(AE397)</f>
        <v>0</v>
      </c>
      <c r="CC397" s="57" t="n">
        <f aca="false">N(M397)+N(N397)</f>
        <v>1157</v>
      </c>
      <c r="CD397" s="57" t="n">
        <f aca="false">ROUNDUP(H397/BS397,0)</f>
        <v>2</v>
      </c>
      <c r="CE397" s="57" t="n">
        <f aca="false">ROUNDUP(CB397/BS397,0)</f>
        <v>0</v>
      </c>
      <c r="CF397" s="60" t="n">
        <f aca="false">IF(BT397=1,0,IFERROR(VLOOKUP(BR397,'Gebinde-Kategorie'!$A$5:$M$45,5,0)+0,0))</f>
        <v>8</v>
      </c>
      <c r="CG397" s="60" t="n">
        <f aca="false">IFERROR(IF(OR(BX397=1,BX397=2,BX397=3),N(INDEX(Parameter!$I$5:$I$7,BX397)),0),0)</f>
        <v>0</v>
      </c>
      <c r="CH397" s="59" t="n">
        <f aca="false">IF(AND(Parameter!$B$21="Ja",ISNUMBER(W397),N(X397)&gt;0),IFERROR(N(INDEX(Parameter!$L$5:$L$7,W397))*INDEX(Parameter!$E$5:$E$7,W397)*X397/SUMIFS($X$7:$X$1843,$W$7:$W$1843,W397),0),0)</f>
        <v>0</v>
      </c>
    </row>
    <row r="398" customFormat="false" ht="15" hidden="false" customHeight="false" outlineLevel="0" collapsed="false">
      <c r="A398" s="55" t="s">
        <v>932</v>
      </c>
      <c r="B398" s="55" t="s">
        <v>933</v>
      </c>
      <c r="C398" s="55" t="s">
        <v>164</v>
      </c>
      <c r="D398" s="55" t="s">
        <v>184</v>
      </c>
      <c r="E398" s="55"/>
      <c r="F398" s="55" t="s">
        <v>218</v>
      </c>
      <c r="G398" s="56" t="n">
        <v>28.08</v>
      </c>
      <c r="H398" s="57" t="n">
        <f aca="false">MAX(0,IF(AND(Parameter!$B$21="Ja",ISNUMBER(Y398)),Y398,IF(Parameter!$B$20="Jahresanfang 2025 + Export",BL398+BK398,BK398)))</f>
        <v>4</v>
      </c>
      <c r="I398" s="57" t="n">
        <f aca="false">H398*G398</f>
        <v>112.32</v>
      </c>
      <c r="J398" s="57" t="n">
        <f aca="false">BN398*Parameter!$B$18</f>
        <v>0</v>
      </c>
      <c r="K398" s="58" t="n">
        <v>2</v>
      </c>
      <c r="L398" s="59" t="n">
        <v>0</v>
      </c>
      <c r="M398" s="57" t="n">
        <v>1</v>
      </c>
      <c r="N398" s="57" t="n">
        <v>4</v>
      </c>
      <c r="O398" s="60" t="n">
        <v>14</v>
      </c>
      <c r="P398" s="55" t="s">
        <v>168</v>
      </c>
      <c r="Q398" s="57"/>
      <c r="R398" s="60" t="n">
        <f aca="false">IF(BT398=1,0,IFERROR(VLOOKUP(BR398,'Gebinde-Kategorie'!$A$5:$M$45,13,0)+0,0))</f>
        <v>26</v>
      </c>
      <c r="S398" s="61"/>
      <c r="T398" s="62" t="s">
        <v>275</v>
      </c>
      <c r="U398" s="62"/>
      <c r="V398" s="62"/>
      <c r="W398" s="55"/>
      <c r="X398" s="57"/>
      <c r="Y398" s="57"/>
      <c r="Z398" s="55" t="n">
        <f aca="false">IF(A398="","",IF(AND(Parameter!$B$21="Ja",ISNUMBER(W398)),W398,IF(BV398="2+3",IF(ISNUMBER(SEARCH("grosser Artikel",BO398)),2,IFERROR(VLOOKUP(BR398,Parameter!$F$35:$G$64,2,0),2)),IF(OR(BV398="Nein",BV398=""),"-",BV398))))</f>
        <v>3</v>
      </c>
      <c r="AA398" s="62"/>
      <c r="AB398" s="63"/>
      <c r="AC398" s="57" t="n">
        <f aca="false">AR398</f>
        <v>20</v>
      </c>
      <c r="AD398" s="57" t="n">
        <f aca="false">MAX(AR398,H398)</f>
        <v>20</v>
      </c>
      <c r="AE398" s="64"/>
      <c r="AF398" s="57" t="n">
        <f aca="false">IF(LEFT(Cockpit!$C$5,1)="A",H398,IF(CA398=1,CB398,IF(LEFT(Cockpit!$C$5,1)="B",AJ398,MAX(AJ398,H398))))</f>
        <v>4</v>
      </c>
      <c r="AG398" s="57" t="n">
        <f aca="false">IF(BT398=1,0,ROUNDUP(AF398/BS398,0))</f>
        <v>1</v>
      </c>
      <c r="AH398" s="59" t="n">
        <f aca="false">IF(CH398&gt;0,CH398*MAX(1,AF398/X398),IF(BT398=1,IF(AF398&lt;=0,0,BW398*MAX(1,IF(H398&gt;0,AF398/H398,1))),IF(R398&gt;0,AG398/R398,0))/MAX(0.1,N(Parameter!$M$21)))</f>
        <v>0.0384615384615385</v>
      </c>
      <c r="AI398" s="57" t="n">
        <f aca="false">AF398*G398</f>
        <v>112.32</v>
      </c>
      <c r="AJ398" s="57" t="n">
        <f aca="false">ROUNDUP(MAX(J398/IF(BZ398&gt;0,BZ398,MAX(0.1,N(Cockpit!$C$6))),CC398)/BS398,0)*BS398</f>
        <v>20</v>
      </c>
      <c r="AK398" s="58" t="n">
        <f aca="false">IF(AH398&gt;0,J398/AH398,-1)</f>
        <v>0</v>
      </c>
      <c r="AL398" s="58" t="n">
        <f aca="false">IF(AND(OR(BY398="L1",BY398="L23"),AH398&gt;0),SUMIFS($AH$7:$AH$1843,$BY$7:$BY$1843,BY398,$AK$7:$AK$1843,"&gt;"&amp;AK398)+SUMIFS($AH$7:$AH$1843,$BY$7:$BY$1843,BY398,$AK$7:$AK$1843,AK398,$BQ$7:$BQ$1843,"&lt;="&amp;BQ398),"")</f>
        <v>73.5940086483565</v>
      </c>
      <c r="AM398" s="65" t="n">
        <f aca="false">IF(AL398="",0,MAX(0,MIN(1,(IF(BY398="L1",Parameter!$E$5,Parameter!$E$6+Parameter!$E$7)-(AL398-AH398))/AH398)))</f>
        <v>1</v>
      </c>
      <c r="AN398" s="57" t="n">
        <f aca="false">IF(LEFT(Cockpit!$I$5,1)="A",H398,IF(CA398=1,CB398,IF(LEFT(Cockpit!$I$5,1)="B",AR398,MAX(AR398,H398))))</f>
        <v>20</v>
      </c>
      <c r="AO398" s="57" t="n">
        <f aca="false">IF(BT398=1,0,ROUNDUP(AN398/BS398,0))</f>
        <v>1</v>
      </c>
      <c r="AP398" s="59" t="n">
        <f aca="false">IF(CH398&gt;0,CH398*MAX(1,AN398/X398),IF(BT398=1,IF(AN398&lt;=0,0,BW398*MAX(1,IF(H398&gt;0,AN398/H398,1))),IF(R398&gt;0,AO398/R398,0))/MAX(0.1,N(Parameter!$M$21)))</f>
        <v>0.0384615384615385</v>
      </c>
      <c r="AQ398" s="57" t="n">
        <f aca="false">AN398*G398</f>
        <v>561.6</v>
      </c>
      <c r="AR398" s="57" t="n">
        <f aca="false">ROUNDUP(MAX(J398/IF(BZ398&gt;0,BZ398,MAX(0.1,N(Cockpit!$I$6))),CC398)/BS398,0)*BS398</f>
        <v>20</v>
      </c>
      <c r="AS398" s="58" t="n">
        <f aca="false">IF(AP398&gt;0,J398/AP398,-1)</f>
        <v>0</v>
      </c>
      <c r="AT398" s="58" t="n">
        <f aca="false">IF(AND(OR(BY398="L1",BY398="L23"),AP398&gt;0),SUMIFS($AP$7:$AP$1843,$BY$7:$BY$1843,BY398,$AS$7:$AS$1843,"&gt;"&amp;AS398)+SUMIFS($AP$7:$AP$1843,$BY$7:$BY$1843,BY398,$AS$7:$AS$1843,AS398,$BQ$7:$BQ$1843,"&lt;="&amp;BQ398),"")</f>
        <v>113.01813283335</v>
      </c>
      <c r="AU398" s="65" t="n">
        <f aca="false">IF(AT398="",0,MAX(0,MIN(1,(IF(BY398="L1",Parameter!$E$5,Parameter!$E$6+Parameter!$E$7)-(AT398-AP398))/AP398)))</f>
        <v>0</v>
      </c>
      <c r="AV398" s="57" t="n">
        <f aca="false">IF(LEFT(Cockpit!$O$5,1)="A",H398,IF(CA398=1,CB398,IF(LEFT(Cockpit!$O$5,1)="B",AZ398,MAX(AZ398,H398))))</f>
        <v>20</v>
      </c>
      <c r="AW398" s="57" t="n">
        <f aca="false">IF(BT398=1,0,ROUNDUP(AV398/BS398,0))</f>
        <v>1</v>
      </c>
      <c r="AX398" s="59" t="n">
        <f aca="false">IF(CH398&gt;0,CH398*MAX(1,AV398/X398),IF(BT398=1,IF(AV398&lt;=0,0,BW398*MAX(1,IF(H398&gt;0,AV398/H398,1))),IF(R398&gt;0,AW398/R398,0))/MAX(0.1,N(Parameter!$M$21)))</f>
        <v>0.0384615384615385</v>
      </c>
      <c r="AY398" s="57" t="n">
        <f aca="false">AV398*G398</f>
        <v>561.6</v>
      </c>
      <c r="AZ398" s="57" t="n">
        <f aca="false">ROUNDUP(MAX(J398/IF(BZ398&gt;0,BZ398,MAX(0.1,N(Cockpit!$O$6))),CC398)/BS398,0)*BS398</f>
        <v>20</v>
      </c>
      <c r="BA398" s="58" t="n">
        <f aca="false">IF(AX398&gt;0,J398/AX398,-1)</f>
        <v>0</v>
      </c>
      <c r="BB398" s="58" t="n">
        <f aca="false">IF(AND(OR(BY398="L1",BY398="L23"),AX398&gt;0),SUMIFS($AX$7:$AX$1843,$BY$7:$BY$1843,BY398,$BA$7:$BA$1843,"&gt;"&amp;BA398)+SUMIFS($AX$7:$AX$1843,$BY$7:$BY$1843,BY398,$BA$7:$BA$1843,BA398,$BQ$7:$BQ$1843,"&lt;="&amp;BQ398),"")</f>
        <v>103.847969663187</v>
      </c>
      <c r="BC398" s="65" t="n">
        <f aca="false">IF(BB398="",0,MAX(0,MIN(1,(IF(BY398="L1",Parameter!$E$5,Parameter!$E$6+Parameter!$E$7)-(BB398-AX398))/AX398)))</f>
        <v>0</v>
      </c>
      <c r="BD398" s="55" t="str">
        <f aca="false">IF(AH398&lt;=0,"",IF(BY398="Aussen","Aussenlager",IF(BY398="-","Nicht im Lift",IF(AM398&gt;=1,"Lift",IF(AM398&lt;=0,"Aussenlager","teilweise")))))</f>
        <v>Lift</v>
      </c>
      <c r="BE398" s="55" t="str">
        <f aca="false">IF(AP398&lt;=0,"",IF(BY398="Aussen","Aussenlager",IF(BY398="-","Nicht im Lift",IF(AU398&gt;=1,"Lift",IF(AU398&lt;=0,"Aussenlager","teilweise")))))</f>
        <v>Aussenlager</v>
      </c>
      <c r="BF398" s="55" t="str">
        <f aca="false">IF(AX398&lt;=0,"",IF(BY398="Aussen","Aussenlager",IF(BY398="-","Nicht im Lift",IF(BC398&gt;=1,"Lift",IF(BC398&lt;=0,"Aussenlager","teilweise")))))</f>
        <v>Aussenlager</v>
      </c>
      <c r="BG398" s="55" t="str">
        <f aca="false">IF(A398="","",IF(BP398=1,"Neu; ","")&amp;IF(AND(BP398=0,BK398&lt;0),"negativer Bestand (Export "&amp;BK398&amp;"); ","")&amp;IF(J398&lt;=0,"Kein Verbrauch; ","")&amp;IF(CH398&gt;0,"Lift "&amp;W398&amp;" lt. Liftbericht (Fach "&amp;X398&amp;" Stk); ",IF(BU398=1,"Gebinde geschätzt ("&amp;T398&amp;"); ",IF(BT398=1,"Lose – Tablare geschätzt; ","")))&amp;IF(H398&gt;AR398,"Überbestand "&amp;ROUND(H398-AR398,0)&amp;" Stk / CHF "&amp;ROUND((H398-AR398)*G398,0)&amp;"; ","")&amp;IF(AND(CA398=1,CB398&lt;CC398),"MAX &lt; MB+LG; ","")&amp;IF(AND(CG398&gt;0,CF398*10&gt;CG398),"zu hoch für Tablar; ","")&amp;IF(AND(BP398=0,OR(CA398=1,AA398&lt;&gt;"",U398&lt;&gt;"",V398&lt;&gt;"",AB398&lt;&gt;"")),"manuell übersteuert; ","")&amp;IF(AND(BT398=0,R398=0),"Gebinde unbekannt / Stellmass fehlt; ","")&amp;IF(AND(BT398=0,N(V398)&lt;=0,N(Q398)&lt;=0),"Menge pro Gebinde fehlt (Ist = 1 Gebinde); ","")&amp;BO398)</f>
        <v>Kein Verbrauch; Gebinde geschätzt (Klein); Menge pro Gebinde fehlt (Ist = 1 Gebinde); </v>
      </c>
      <c r="BH398" s="55"/>
      <c r="BI398" s="55"/>
      <c r="BJ398" s="62"/>
      <c r="BK398" s="57" t="n">
        <v>4</v>
      </c>
      <c r="BL398" s="57" t="n">
        <v>0</v>
      </c>
      <c r="BM398" s="56" t="n">
        <v>112.32</v>
      </c>
      <c r="BN398" s="57" t="n">
        <v>0</v>
      </c>
      <c r="BO398" s="55"/>
      <c r="BP398" s="60" t="n">
        <v>0</v>
      </c>
      <c r="BQ398" s="60" t="n">
        <v>398</v>
      </c>
      <c r="BR398" s="55" t="str">
        <f aca="false">IF(U398&lt;&gt;"",UPPER(TRIM(U398)),IF(BU398=1,UPPER(VLOOKUP(T398,Parameter!$I$27:$K$29,2,0)),IF(P398="","LOSE",P398)))</f>
        <v>S51</v>
      </c>
      <c r="BS398" s="57" t="n">
        <f aca="false">IF(BR398="LOSE",1,IF(N(V398)&gt;0,V398,IF(BU398=1,MAX(1,N(VLOOKUP(T398,Parameter!$I$27:$K$29,3,0)),H398,N(N398)),IF(N(Q398)&gt;0,Q398,MAX(1,H398)))))</f>
        <v>20</v>
      </c>
      <c r="BT398" s="60" t="n">
        <f aca="false">IF(BR398="LOSE",1,0)</f>
        <v>0</v>
      </c>
      <c r="BU398" s="60" t="n">
        <f aca="false">IF(AND(U398="",OR(P398="",P398="LOSE"),T398&lt;&gt;"",N(S398)&lt;=0,ISNUMBER(MATCH(T398,Parameter!$I$27:$I$29,0))),1,0)</f>
        <v>1</v>
      </c>
      <c r="BV398" s="55" t="str">
        <f aca="false">IF(AND(Parameter!$B$19="Ja",E398&lt;&gt;"",ISNUMBER(MATCH(E398,Parameter!$I$35:$I$52,0))),VLOOKUP(E398,Parameter!$I$35:$J$52,2,0),IFERROR(VLOOKUP(D398,Parameter!$A$35:$C$64,2,0),"Nein"))</f>
        <v>2+3</v>
      </c>
      <c r="BW398" s="59" t="n">
        <f aca="false">IF(BT398=0,0,IF(N(S398)&gt;0,S398,IFERROR(VLOOKUP(D398,Parameter!$A$35:$C$64,3,0)+0,0)))</f>
        <v>0</v>
      </c>
      <c r="BX398" s="55" t="n">
        <f aca="false">IF(AA398&lt;&gt;"",AA398,Z398)</f>
        <v>3</v>
      </c>
      <c r="BY398" s="55" t="str">
        <f aca="false">IF(BX398=1,"L1",IF(OR(BX398=2,BX398=3),"L23",IF(BX398="Aussen","Aussen","-")))</f>
        <v>L23</v>
      </c>
      <c r="BZ398" s="66" t="n">
        <f aca="false">IF(N(AB398)&gt;0,AB398,0)</f>
        <v>0</v>
      </c>
      <c r="CA398" s="60" t="n">
        <f aca="false">IF(ISNUMBER(AE398),1,0)</f>
        <v>0</v>
      </c>
      <c r="CB398" s="57" t="n">
        <f aca="false">N(AE398)</f>
        <v>0</v>
      </c>
      <c r="CC398" s="57" t="n">
        <f aca="false">N(M398)+N(N398)</f>
        <v>5</v>
      </c>
      <c r="CD398" s="57" t="n">
        <f aca="false">ROUNDUP(H398/BS398,0)</f>
        <v>1</v>
      </c>
      <c r="CE398" s="57" t="n">
        <f aca="false">ROUNDUP(CB398/BS398,0)</f>
        <v>0</v>
      </c>
      <c r="CF398" s="60" t="n">
        <f aca="false">IF(BT398=1,0,IFERROR(VLOOKUP(BR398,'Gebinde-Kategorie'!$A$5:$M$45,5,0)+0,0))</f>
        <v>11</v>
      </c>
      <c r="CG398" s="60" t="n">
        <f aca="false">IFERROR(IF(OR(BX398=1,BX398=2,BX398=3),N(INDEX(Parameter!$I$5:$I$7,BX398)),0),0)</f>
        <v>0</v>
      </c>
      <c r="CH398" s="59" t="n">
        <f aca="false">IF(AND(Parameter!$B$21="Ja",ISNUMBER(W398),N(X398)&gt;0),IFERROR(N(INDEX(Parameter!$L$5:$L$7,W398))*INDEX(Parameter!$E$5:$E$7,W398)*X398/SUMIFS($X$7:$X$1843,$W$7:$W$1843,W398),0),0)</f>
        <v>0</v>
      </c>
    </row>
    <row r="399" customFormat="false" ht="15" hidden="false" customHeight="false" outlineLevel="0" collapsed="false">
      <c r="A399" s="55" t="s">
        <v>934</v>
      </c>
      <c r="B399" s="55" t="s">
        <v>736</v>
      </c>
      <c r="C399" s="55" t="s">
        <v>164</v>
      </c>
      <c r="D399" s="55" t="s">
        <v>173</v>
      </c>
      <c r="E399" s="55"/>
      <c r="F399" s="55" t="s">
        <v>218</v>
      </c>
      <c r="G399" s="56" t="n">
        <v>37.2</v>
      </c>
      <c r="H399" s="57" t="n">
        <f aca="false">MAX(0,IF(AND(Parameter!$B$21="Ja",ISNUMBER(Y399)),Y399,IF(Parameter!$B$20="Jahresanfang 2025 + Export",BL399+BK399,BK399)))</f>
        <v>7</v>
      </c>
      <c r="I399" s="57" t="n">
        <f aca="false">H399*G399</f>
        <v>260.4</v>
      </c>
      <c r="J399" s="57" t="n">
        <f aca="false">BN399*Parameter!$B$18</f>
        <v>0</v>
      </c>
      <c r="K399" s="58" t="n">
        <v>5.5</v>
      </c>
      <c r="L399" s="59" t="n">
        <v>0</v>
      </c>
      <c r="M399" s="57" t="n">
        <v>4</v>
      </c>
      <c r="N399" s="57" t="n">
        <v>1</v>
      </c>
      <c r="O399" s="60" t="n">
        <v>35</v>
      </c>
      <c r="P399" s="55" t="s">
        <v>168</v>
      </c>
      <c r="Q399" s="57"/>
      <c r="R399" s="60" t="n">
        <f aca="false">IF(BT399=1,0,IFERROR(VLOOKUP(BR399,'Gebinde-Kategorie'!$A$5:$M$45,13,0)+0,0))</f>
        <v>12</v>
      </c>
      <c r="S399" s="61"/>
      <c r="T399" s="62" t="s">
        <v>179</v>
      </c>
      <c r="U399" s="62"/>
      <c r="V399" s="62"/>
      <c r="W399" s="55"/>
      <c r="X399" s="57"/>
      <c r="Y399" s="57"/>
      <c r="Z399" s="55" t="n">
        <f aca="false">IF(A399="","",IF(AND(Parameter!$B$21="Ja",ISNUMBER(W399)),W399,IF(BV399="2+3",IF(ISNUMBER(SEARCH("grosser Artikel",BO399)),2,IFERROR(VLOOKUP(BR399,Parameter!$F$35:$G$64,2,0),2)),IF(OR(BV399="Nein",BV399=""),"-",BV399))))</f>
        <v>2</v>
      </c>
      <c r="AA399" s="62"/>
      <c r="AB399" s="63"/>
      <c r="AC399" s="57" t="n">
        <f aca="false">AR399</f>
        <v>7</v>
      </c>
      <c r="AD399" s="57" t="n">
        <f aca="false">MAX(AR399,H399)</f>
        <v>7</v>
      </c>
      <c r="AE399" s="64"/>
      <c r="AF399" s="57" t="n">
        <f aca="false">IF(LEFT(Cockpit!$C$5,1)="A",H399,IF(CA399=1,CB399,IF(LEFT(Cockpit!$C$5,1)="B",AJ399,MAX(AJ399,H399))))</f>
        <v>7</v>
      </c>
      <c r="AG399" s="57" t="n">
        <f aca="false">IF(BT399=1,0,ROUNDUP(AF399/BS399,0))</f>
        <v>1</v>
      </c>
      <c r="AH399" s="59" t="n">
        <f aca="false">IF(CH399&gt;0,CH399*MAX(1,AF399/X399),IF(BT399=1,IF(AF399&lt;=0,0,BW399*MAX(1,IF(H399&gt;0,AF399/H399,1))),IF(R399&gt;0,AG399/R399,0))/MAX(0.1,N(Parameter!$M$21)))</f>
        <v>0.0833333333333333</v>
      </c>
      <c r="AI399" s="57" t="n">
        <f aca="false">AF399*G399</f>
        <v>260.4</v>
      </c>
      <c r="AJ399" s="57" t="n">
        <f aca="false">ROUNDUP(MAX(J399/IF(BZ399&gt;0,BZ399,MAX(0.1,N(Cockpit!$C$6))),CC399)/BS399,0)*BS399</f>
        <v>7</v>
      </c>
      <c r="AK399" s="58" t="n">
        <f aca="false">IF(AH399&gt;0,J399/AH399,-1)</f>
        <v>0</v>
      </c>
      <c r="AL399" s="58" t="n">
        <f aca="false">IF(AND(OR(BY399="L1",BY399="L23"),AH399&gt;0),SUMIFS($AH$7:$AH$1843,$BY$7:$BY$1843,BY399,$AK$7:$AK$1843,"&gt;"&amp;AK399)+SUMIFS($AH$7:$AH$1843,$BY$7:$BY$1843,BY399,$AK$7:$AK$1843,AK399,$BQ$7:$BQ$1843,"&lt;="&amp;BQ399),"")</f>
        <v>73.6773419816898</v>
      </c>
      <c r="AM399" s="65" t="n">
        <f aca="false">IF(AL399="",0,MAX(0,MIN(1,(IF(BY399="L1",Parameter!$E$5,Parameter!$E$6+Parameter!$E$7)-(AL399-AH399))/AH399)))</f>
        <v>1</v>
      </c>
      <c r="AN399" s="57" t="n">
        <f aca="false">IF(LEFT(Cockpit!$I$5,1)="A",H399,IF(CA399=1,CB399,IF(LEFT(Cockpit!$I$5,1)="B",AR399,MAX(AR399,H399))))</f>
        <v>7</v>
      </c>
      <c r="AO399" s="57" t="n">
        <f aca="false">IF(BT399=1,0,ROUNDUP(AN399/BS399,0))</f>
        <v>1</v>
      </c>
      <c r="AP399" s="59" t="n">
        <f aca="false">IF(CH399&gt;0,CH399*MAX(1,AN399/X399),IF(BT399=1,IF(AN399&lt;=0,0,BW399*MAX(1,IF(H399&gt;0,AN399/H399,1))),IF(R399&gt;0,AO399/R399,0))/MAX(0.1,N(Parameter!$M$21)))</f>
        <v>0.0833333333333333</v>
      </c>
      <c r="AQ399" s="57" t="n">
        <f aca="false">AN399*G399</f>
        <v>260.4</v>
      </c>
      <c r="AR399" s="57" t="n">
        <f aca="false">ROUNDUP(MAX(J399/IF(BZ399&gt;0,BZ399,MAX(0.1,N(Cockpit!$I$6))),CC399)/BS399,0)*BS399</f>
        <v>7</v>
      </c>
      <c r="AS399" s="58" t="n">
        <f aca="false">IF(AP399&gt;0,J399/AP399,-1)</f>
        <v>0</v>
      </c>
      <c r="AT399" s="58" t="n">
        <f aca="false">IF(AND(OR(BY399="L1",BY399="L23"),AP399&gt;0),SUMIFS($AP$7:$AP$1843,$BY$7:$BY$1843,BY399,$AS$7:$AS$1843,"&gt;"&amp;AS399)+SUMIFS($AP$7:$AP$1843,$BY$7:$BY$1843,BY399,$AS$7:$AS$1843,AS399,$BQ$7:$BQ$1843,"&lt;="&amp;BQ399),"")</f>
        <v>113.101466166684</v>
      </c>
      <c r="AU399" s="65" t="n">
        <f aca="false">IF(AT399="",0,MAX(0,MIN(1,(IF(BY399="L1",Parameter!$E$5,Parameter!$E$6+Parameter!$E$7)-(AT399-AP399))/AP399)))</f>
        <v>0</v>
      </c>
      <c r="AV399" s="57" t="n">
        <f aca="false">IF(LEFT(Cockpit!$O$5,1)="A",H399,IF(CA399=1,CB399,IF(LEFT(Cockpit!$O$5,1)="B",AZ399,MAX(AZ399,H399))))</f>
        <v>7</v>
      </c>
      <c r="AW399" s="57" t="n">
        <f aca="false">IF(BT399=1,0,ROUNDUP(AV399/BS399,0))</f>
        <v>1</v>
      </c>
      <c r="AX399" s="59" t="n">
        <f aca="false">IF(CH399&gt;0,CH399*MAX(1,AV399/X399),IF(BT399=1,IF(AV399&lt;=0,0,BW399*MAX(1,IF(H399&gt;0,AV399/H399,1))),IF(R399&gt;0,AW399/R399,0))/MAX(0.1,N(Parameter!$M$21)))</f>
        <v>0.0833333333333333</v>
      </c>
      <c r="AY399" s="57" t="n">
        <f aca="false">AV399*G399</f>
        <v>260.4</v>
      </c>
      <c r="AZ399" s="57" t="n">
        <f aca="false">ROUNDUP(MAX(J399/IF(BZ399&gt;0,BZ399,MAX(0.1,N(Cockpit!$O$6))),CC399)/BS399,0)*BS399</f>
        <v>7</v>
      </c>
      <c r="BA399" s="58" t="n">
        <f aca="false">IF(AX399&gt;0,J399/AX399,-1)</f>
        <v>0</v>
      </c>
      <c r="BB399" s="58" t="n">
        <f aca="false">IF(AND(OR(BY399="L1",BY399="L23"),AX399&gt;0),SUMIFS($AX$7:$AX$1843,$BY$7:$BY$1843,BY399,$BA$7:$BA$1843,"&gt;"&amp;BA399)+SUMIFS($AX$7:$AX$1843,$BY$7:$BY$1843,BY399,$BA$7:$BA$1843,BA399,$BQ$7:$BQ$1843,"&lt;="&amp;BQ399),"")</f>
        <v>103.93130299652</v>
      </c>
      <c r="BC399" s="65" t="n">
        <f aca="false">IF(BB399="",0,MAX(0,MIN(1,(IF(BY399="L1",Parameter!$E$5,Parameter!$E$6+Parameter!$E$7)-(BB399-AX399))/AX399)))</f>
        <v>0</v>
      </c>
      <c r="BD399" s="55" t="str">
        <f aca="false">IF(AH399&lt;=0,"",IF(BY399="Aussen","Aussenlager",IF(BY399="-","Nicht im Lift",IF(AM399&gt;=1,"Lift",IF(AM399&lt;=0,"Aussenlager","teilweise")))))</f>
        <v>Lift</v>
      </c>
      <c r="BE399" s="55" t="str">
        <f aca="false">IF(AP399&lt;=0,"",IF(BY399="Aussen","Aussenlager",IF(BY399="-","Nicht im Lift",IF(AU399&gt;=1,"Lift",IF(AU399&lt;=0,"Aussenlager","teilweise")))))</f>
        <v>Aussenlager</v>
      </c>
      <c r="BF399" s="55" t="str">
        <f aca="false">IF(AX399&lt;=0,"",IF(BY399="Aussen","Aussenlager",IF(BY399="-","Nicht im Lift",IF(BC399&gt;=1,"Lift",IF(BC399&lt;=0,"Aussenlager","teilweise")))))</f>
        <v>Aussenlager</v>
      </c>
      <c r="BG399" s="55" t="str">
        <f aca="false">IF(A399="","",IF(BP399=1,"Neu; ","")&amp;IF(AND(BP399=0,BK399&lt;0),"negativer Bestand (Export "&amp;BK399&amp;"); ","")&amp;IF(J399&lt;=0,"Kein Verbrauch; ","")&amp;IF(CH399&gt;0,"Lift "&amp;W399&amp;" lt. Liftbericht (Fach "&amp;X399&amp;" Stk); ",IF(BU399=1,"Gebinde geschätzt ("&amp;T399&amp;"); ",IF(BT399=1,"Lose – Tablare geschätzt; ","")))&amp;IF(H399&gt;AR399,"Überbestand "&amp;ROUND(H399-AR399,0)&amp;" Stk / CHF "&amp;ROUND((H399-AR399)*G399,0)&amp;"; ","")&amp;IF(AND(CA399=1,CB399&lt;CC399),"MAX &lt; MB+LG; ","")&amp;IF(AND(CG399&gt;0,CF399*10&gt;CG399),"zu hoch für Tablar; ","")&amp;IF(AND(BP399=0,OR(CA399=1,AA399&lt;&gt;"",U399&lt;&gt;"",V399&lt;&gt;"",AB399&lt;&gt;"")),"manuell übersteuert; ","")&amp;IF(AND(BT399=0,R399=0),"Gebinde unbekannt / Stellmass fehlt; ","")&amp;IF(AND(BT399=0,N(V399)&lt;=0,N(Q399)&lt;=0),"Menge pro Gebinde fehlt (Ist = 1 Gebinde); ","")&amp;BO399)</f>
        <v>Kein Verbrauch; Gebinde geschätzt (Mittel); Menge pro Gebinde fehlt (Ist = 1 Gebinde); </v>
      </c>
      <c r="BH399" s="55"/>
      <c r="BI399" s="55"/>
      <c r="BJ399" s="62"/>
      <c r="BK399" s="57" t="n">
        <v>3</v>
      </c>
      <c r="BL399" s="57" t="n">
        <v>4</v>
      </c>
      <c r="BM399" s="56" t="n">
        <v>111.6</v>
      </c>
      <c r="BN399" s="57" t="n">
        <v>0</v>
      </c>
      <c r="BO399" s="55"/>
      <c r="BP399" s="60" t="n">
        <v>0</v>
      </c>
      <c r="BQ399" s="60" t="n">
        <v>399</v>
      </c>
      <c r="BR399" s="55" t="str">
        <f aca="false">IF(U399&lt;&gt;"",UPPER(TRIM(U399)),IF(BU399=1,UPPER(VLOOKUP(T399,Parameter!$I$27:$K$29,2,0)),IF(P399="","LOSE",P399)))</f>
        <v>S61</v>
      </c>
      <c r="BS399" s="57" t="n">
        <f aca="false">IF(BR399="LOSE",1,IF(N(V399)&gt;0,V399,IF(BU399=1,MAX(1,N(VLOOKUP(T399,Parameter!$I$27:$K$29,3,0)),H399,N(N399)),IF(N(Q399)&gt;0,Q399,MAX(1,H399)))))</f>
        <v>7</v>
      </c>
      <c r="BT399" s="60" t="n">
        <f aca="false">IF(BR399="LOSE",1,0)</f>
        <v>0</v>
      </c>
      <c r="BU399" s="60" t="n">
        <f aca="false">IF(AND(U399="",OR(P399="",P399="LOSE"),T399&lt;&gt;"",N(S399)&lt;=0,ISNUMBER(MATCH(T399,Parameter!$I$27:$I$29,0))),1,0)</f>
        <v>1</v>
      </c>
      <c r="BV399" s="55" t="str">
        <f aca="false">IF(AND(Parameter!$B$19="Ja",E399&lt;&gt;"",ISNUMBER(MATCH(E399,Parameter!$I$35:$I$52,0))),VLOOKUP(E399,Parameter!$I$35:$J$52,2,0),IFERROR(VLOOKUP(D399,Parameter!$A$35:$C$64,2,0),"Nein"))</f>
        <v>2+3</v>
      </c>
      <c r="BW399" s="59" t="n">
        <f aca="false">IF(BT399=0,0,IF(N(S399)&gt;0,S399,IFERROR(VLOOKUP(D399,Parameter!$A$35:$C$64,3,0)+0,0)))</f>
        <v>0</v>
      </c>
      <c r="BX399" s="55" t="n">
        <f aca="false">IF(AA399&lt;&gt;"",AA399,Z399)</f>
        <v>2</v>
      </c>
      <c r="BY399" s="55" t="str">
        <f aca="false">IF(BX399=1,"L1",IF(OR(BX399=2,BX399=3),"L23",IF(BX399="Aussen","Aussen","-")))</f>
        <v>L23</v>
      </c>
      <c r="BZ399" s="66" t="n">
        <f aca="false">IF(N(AB399)&gt;0,AB399,0)</f>
        <v>0</v>
      </c>
      <c r="CA399" s="60" t="n">
        <f aca="false">IF(ISNUMBER(AE399),1,0)</f>
        <v>0</v>
      </c>
      <c r="CB399" s="57" t="n">
        <f aca="false">N(AE399)</f>
        <v>0</v>
      </c>
      <c r="CC399" s="57" t="n">
        <f aca="false">N(M399)+N(N399)</f>
        <v>5</v>
      </c>
      <c r="CD399" s="57" t="n">
        <f aca="false">ROUNDUP(H399/BS399,0)</f>
        <v>1</v>
      </c>
      <c r="CE399" s="57" t="n">
        <f aca="false">ROUNDUP(CB399/BS399,0)</f>
        <v>0</v>
      </c>
      <c r="CF399" s="60" t="n">
        <f aca="false">IF(BT399=1,0,IFERROR(VLOOKUP(BR399,'Gebinde-Kategorie'!$A$5:$M$45,5,0)+0,0))</f>
        <v>11</v>
      </c>
      <c r="CG399" s="60" t="n">
        <f aca="false">IFERROR(IF(OR(BX399=1,BX399=2,BX399=3),N(INDEX(Parameter!$I$5:$I$7,BX399)),0),0)</f>
        <v>0</v>
      </c>
      <c r="CH399" s="59" t="n">
        <f aca="false">IF(AND(Parameter!$B$21="Ja",ISNUMBER(W399),N(X399)&gt;0),IFERROR(N(INDEX(Parameter!$L$5:$L$7,W399))*INDEX(Parameter!$E$5:$E$7,W399)*X399/SUMIFS($X$7:$X$1843,$W$7:$W$1843,W399),0),0)</f>
        <v>0</v>
      </c>
    </row>
    <row r="400" customFormat="false" ht="15" hidden="false" customHeight="false" outlineLevel="0" collapsed="false">
      <c r="A400" s="55" t="s">
        <v>935</v>
      </c>
      <c r="B400" s="55" t="s">
        <v>724</v>
      </c>
      <c r="C400" s="55" t="s">
        <v>164</v>
      </c>
      <c r="D400" s="55" t="s">
        <v>184</v>
      </c>
      <c r="E400" s="55" t="s">
        <v>185</v>
      </c>
      <c r="F400" s="55" t="s">
        <v>218</v>
      </c>
      <c r="G400" s="56" t="n">
        <v>10.97</v>
      </c>
      <c r="H400" s="57" t="n">
        <f aca="false">MAX(0,IF(AND(Parameter!$B$21="Ja",ISNUMBER(Y400)),Y400,IF(Parameter!$B$20="Jahresanfang 2025 + Export",BL400+BK400,BK400)))</f>
        <v>13</v>
      </c>
      <c r="I400" s="57" t="n">
        <f aca="false">H400*G400</f>
        <v>142.61</v>
      </c>
      <c r="J400" s="57" t="n">
        <f aca="false">BN400*Parameter!$B$18</f>
        <v>8</v>
      </c>
      <c r="K400" s="58" t="n">
        <v>2.5</v>
      </c>
      <c r="L400" s="59" t="n">
        <v>3.2</v>
      </c>
      <c r="M400" s="57" t="n">
        <v>0</v>
      </c>
      <c r="N400" s="57" t="n">
        <v>10</v>
      </c>
      <c r="O400" s="60" t="n">
        <v>14</v>
      </c>
      <c r="P400" s="55" t="s">
        <v>426</v>
      </c>
      <c r="Q400" s="57" t="n">
        <v>12</v>
      </c>
      <c r="R400" s="60" t="n">
        <f aca="false">IF(BT400=1,0,IFERROR(VLOOKUP(BR400,'Gebinde-Kategorie'!$A$5:$M$45,13,0)+0,0))</f>
        <v>198</v>
      </c>
      <c r="S400" s="61"/>
      <c r="T400" s="62"/>
      <c r="U400" s="62"/>
      <c r="V400" s="62"/>
      <c r="W400" s="55"/>
      <c r="X400" s="57"/>
      <c r="Y400" s="57"/>
      <c r="Z400" s="55" t="n">
        <f aca="false">IF(A400="","",IF(AND(Parameter!$B$21="Ja",ISNUMBER(W400)),W400,IF(BV400="2+3",IF(ISNUMBER(SEARCH("grosser Artikel",BO400)),2,IFERROR(VLOOKUP(BR400,Parameter!$F$35:$G$64,2,0),2)),IF(OR(BV400="Nein",BV400=""),"-",BV400))))</f>
        <v>3</v>
      </c>
      <c r="AA400" s="62"/>
      <c r="AB400" s="63"/>
      <c r="AC400" s="57" t="n">
        <f aca="false">AR400</f>
        <v>12</v>
      </c>
      <c r="AD400" s="57" t="n">
        <f aca="false">MAX(AR400,H400)</f>
        <v>13</v>
      </c>
      <c r="AE400" s="64"/>
      <c r="AF400" s="57" t="n">
        <f aca="false">IF(LEFT(Cockpit!$C$5,1)="A",H400,IF(CA400=1,CB400,IF(LEFT(Cockpit!$C$5,1)="B",AJ400,MAX(AJ400,H400))))</f>
        <v>13</v>
      </c>
      <c r="AG400" s="57" t="n">
        <f aca="false">IF(BT400=1,0,ROUNDUP(AF400/BS400,0))</f>
        <v>2</v>
      </c>
      <c r="AH400" s="59" t="n">
        <f aca="false">IF(CH400&gt;0,CH400*MAX(1,AF400/X400),IF(BT400=1,IF(AF400&lt;=0,0,BW400*MAX(1,IF(H400&gt;0,AF400/H400,1))),IF(R400&gt;0,AG400/R400,0))/MAX(0.1,N(Parameter!$M$21)))</f>
        <v>0.0101010101010101</v>
      </c>
      <c r="AI400" s="57" t="n">
        <f aca="false">AF400*G400</f>
        <v>142.61</v>
      </c>
      <c r="AJ400" s="57" t="n">
        <f aca="false">ROUNDUP(MAX(J400/IF(BZ400&gt;0,BZ400,MAX(0.1,N(Cockpit!$C$6))),CC400)/BS400,0)*BS400</f>
        <v>12</v>
      </c>
      <c r="AK400" s="58" t="n">
        <f aca="false">IF(AH400&gt;0,J400/AH400,-1)</f>
        <v>792</v>
      </c>
      <c r="AL400" s="58" t="n">
        <f aca="false">IF(AND(OR(BY400="L1",BY400="L23"),AH400&gt;0),SUMIFS($AH$7:$AH$1843,$BY$7:$BY$1843,BY400,$AK$7:$AK$1843,"&gt;"&amp;AK400)+SUMIFS($AH$7:$AH$1843,$BY$7:$BY$1843,BY400,$AK$7:$AK$1843,AK400,$BQ$7:$BQ$1843,"&lt;="&amp;BQ400),"")</f>
        <v>20.752331002331</v>
      </c>
      <c r="AM400" s="65" t="n">
        <f aca="false">IF(AL400="",0,MAX(0,MIN(1,(IF(BY400="L1",Parameter!$E$5,Parameter!$E$6+Parameter!$E$7)-(AL400-AH400))/AH400)))</f>
        <v>1</v>
      </c>
      <c r="AN400" s="57" t="n">
        <f aca="false">IF(LEFT(Cockpit!$I$5,1)="A",H400,IF(CA400=1,CB400,IF(LEFT(Cockpit!$I$5,1)="B",AR400,MAX(AR400,H400))))</f>
        <v>13</v>
      </c>
      <c r="AO400" s="57" t="n">
        <f aca="false">IF(BT400=1,0,ROUNDUP(AN400/BS400,0))</f>
        <v>2</v>
      </c>
      <c r="AP400" s="59" t="n">
        <f aca="false">IF(CH400&gt;0,CH400*MAX(1,AN400/X400),IF(BT400=1,IF(AN400&lt;=0,0,BW400*MAX(1,IF(H400&gt;0,AN400/H400,1))),IF(R400&gt;0,AO400/R400,0))/MAX(0.1,N(Parameter!$M$21)))</f>
        <v>0.0101010101010101</v>
      </c>
      <c r="AQ400" s="57" t="n">
        <f aca="false">AN400*G400</f>
        <v>142.61</v>
      </c>
      <c r="AR400" s="57" t="n">
        <f aca="false">ROUNDUP(MAX(J400/IF(BZ400&gt;0,BZ400,MAX(0.1,N(Cockpit!$I$6))),CC400)/BS400,0)*BS400</f>
        <v>12</v>
      </c>
      <c r="AS400" s="58" t="n">
        <f aca="false">IF(AP400&gt;0,J400/AP400,-1)</f>
        <v>792</v>
      </c>
      <c r="AT400" s="58" t="n">
        <f aca="false">IF(AND(OR(BY400="L1",BY400="L23"),AP400&gt;0),SUMIFS($AP$7:$AP$1843,$BY$7:$BY$1843,BY400,$AS$7:$AS$1843,"&gt;"&amp;AS400)+SUMIFS($AP$7:$AP$1843,$BY$7:$BY$1843,BY400,$AS$7:$AS$1843,AS400,$BQ$7:$BQ$1843,"&lt;="&amp;BQ400),"")</f>
        <v>26.4970778014256</v>
      </c>
      <c r="AU400" s="65" t="n">
        <f aca="false">IF(AT400="",0,MAX(0,MIN(1,(IF(BY400="L1",Parameter!$E$5,Parameter!$E$6+Parameter!$E$7)-(AT400-AP400))/AP400)))</f>
        <v>1</v>
      </c>
      <c r="AV400" s="57" t="n">
        <f aca="false">IF(LEFT(Cockpit!$O$5,1)="A",H400,IF(CA400=1,CB400,IF(LEFT(Cockpit!$O$5,1)="B",AZ400,MAX(AZ400,H400))))</f>
        <v>13</v>
      </c>
      <c r="AW400" s="57" t="n">
        <f aca="false">IF(BT400=1,0,ROUNDUP(AV400/BS400,0))</f>
        <v>2</v>
      </c>
      <c r="AX400" s="59" t="n">
        <f aca="false">IF(CH400&gt;0,CH400*MAX(1,AV400/X400),IF(BT400=1,IF(AV400&lt;=0,0,BW400*MAX(1,IF(H400&gt;0,AV400/H400,1))),IF(R400&gt;0,AW400/R400,0))/MAX(0.1,N(Parameter!$M$21)))</f>
        <v>0.0101010101010101</v>
      </c>
      <c r="AY400" s="57" t="n">
        <f aca="false">AV400*G400</f>
        <v>142.61</v>
      </c>
      <c r="AZ400" s="57" t="n">
        <f aca="false">ROUNDUP(MAX(J400/IF(BZ400&gt;0,BZ400,MAX(0.1,N(Cockpit!$O$6))),CC400)/BS400,0)*BS400</f>
        <v>12</v>
      </c>
      <c r="BA400" s="58" t="n">
        <f aca="false">IF(AX400&gt;0,J400/AX400,-1)</f>
        <v>792</v>
      </c>
      <c r="BB400" s="58" t="n">
        <f aca="false">IF(AND(OR(BY400="L1",BY400="L23"),AX400&gt;0),SUMIFS($AX$7:$AX$1843,$BY$7:$BY$1843,BY400,$BA$7:$BA$1843,"&gt;"&amp;BA400)+SUMIFS($AX$7:$AX$1843,$BY$7:$BY$1843,BY400,$BA$7:$BA$1843,BA400,$BQ$7:$BQ$1843,"&lt;="&amp;BQ400),"")</f>
        <v>25.9487095030573</v>
      </c>
      <c r="BC400" s="65" t="n">
        <f aca="false">IF(BB400="",0,MAX(0,MIN(1,(IF(BY400="L1",Parameter!$E$5,Parameter!$E$6+Parameter!$E$7)-(BB400-AX400))/AX400)))</f>
        <v>1</v>
      </c>
      <c r="BD400" s="55" t="str">
        <f aca="false">IF(AH400&lt;=0,"",IF(BY400="Aussen","Aussenlager",IF(BY400="-","Nicht im Lift",IF(AM400&gt;=1,"Lift",IF(AM400&lt;=0,"Aussenlager","teilweise")))))</f>
        <v>Lift</v>
      </c>
      <c r="BE400" s="55" t="str">
        <f aca="false">IF(AP400&lt;=0,"",IF(BY400="Aussen","Aussenlager",IF(BY400="-","Nicht im Lift",IF(AU400&gt;=1,"Lift",IF(AU400&lt;=0,"Aussenlager","teilweise")))))</f>
        <v>Lift</v>
      </c>
      <c r="BF400" s="55" t="str">
        <f aca="false">IF(AX400&lt;=0,"",IF(BY400="Aussen","Aussenlager",IF(BY400="-","Nicht im Lift",IF(BC400&gt;=1,"Lift",IF(BC400&lt;=0,"Aussenlager","teilweise")))))</f>
        <v>Lift</v>
      </c>
      <c r="BG400" s="55" t="str">
        <f aca="false">IF(A400="","",IF(BP400=1,"Neu; ","")&amp;IF(AND(BP400=0,BK400&lt;0),"negativer Bestand (Export "&amp;BK400&amp;"); ","")&amp;IF(J400&lt;=0,"Kein Verbrauch; ","")&amp;IF(CH400&gt;0,"Lift "&amp;W400&amp;" lt. Liftbericht (Fach "&amp;X400&amp;" Stk); ",IF(BU400=1,"Gebinde geschätzt ("&amp;T400&amp;"); ",IF(BT400=1,"Lose – Tablare geschätzt; ","")))&amp;IF(H400&gt;AR400,"Überbestand "&amp;ROUND(H400-AR400,0)&amp;" Stk / CHF "&amp;ROUND((H400-AR400)*G400,0)&amp;"; ","")&amp;IF(AND(CA400=1,CB400&lt;CC400),"MAX &lt; MB+LG; ","")&amp;IF(AND(CG400&gt;0,CF400*10&gt;CG400),"zu hoch für Tablar; ","")&amp;IF(AND(BP400=0,OR(CA400=1,AA400&lt;&gt;"",U400&lt;&gt;"",V400&lt;&gt;"",AB400&lt;&gt;"")),"manuell übersteuert; ","")&amp;IF(AND(BT400=0,R400=0),"Gebinde unbekannt / Stellmass fehlt; ","")&amp;IF(AND(BT400=0,N(V400)&lt;=0,N(Q400)&lt;=0),"Menge pro Gebinde fehlt (Ist = 1 Gebinde); ","")&amp;BO400)</f>
        <v>Überbestand 1 Stk / CHF 11; </v>
      </c>
      <c r="BH400" s="55"/>
      <c r="BI400" s="55"/>
      <c r="BJ400" s="62"/>
      <c r="BK400" s="57" t="n">
        <v>10</v>
      </c>
      <c r="BL400" s="57" t="n">
        <v>3</v>
      </c>
      <c r="BM400" s="56" t="n">
        <v>110.9</v>
      </c>
      <c r="BN400" s="57" t="n">
        <v>8</v>
      </c>
      <c r="BO400" s="55"/>
      <c r="BP400" s="60" t="n">
        <v>0</v>
      </c>
      <c r="BQ400" s="60" t="n">
        <v>400</v>
      </c>
      <c r="BR400" s="55" t="str">
        <f aca="false">IF(U400&lt;&gt;"",UPPER(TRIM(U400)),IF(BU400=1,UPPER(VLOOKUP(T400,Parameter!$I$27:$K$29,2,0)),IF(P400="","LOSE",P400)))</f>
        <v>S22</v>
      </c>
      <c r="BS400" s="57" t="n">
        <f aca="false">IF(BR400="LOSE",1,IF(N(V400)&gt;0,V400,IF(BU400=1,MAX(1,N(VLOOKUP(T400,Parameter!$I$27:$K$29,3,0)),H400,N(N400)),IF(N(Q400)&gt;0,Q400,MAX(1,H400)))))</f>
        <v>12</v>
      </c>
      <c r="BT400" s="60" t="n">
        <f aca="false">IF(BR400="LOSE",1,0)</f>
        <v>0</v>
      </c>
      <c r="BU400" s="60" t="n">
        <f aca="false">IF(AND(U400="",OR(P400="",P400="LOSE"),T400&lt;&gt;"",N(S400)&lt;=0,ISNUMBER(MATCH(T400,Parameter!$I$27:$I$29,0))),1,0)</f>
        <v>0</v>
      </c>
      <c r="BV400" s="55" t="str">
        <f aca="false">IF(AND(Parameter!$B$19="Ja",E400&lt;&gt;"",ISNUMBER(MATCH(E400,Parameter!$I$35:$I$52,0))),VLOOKUP(E400,Parameter!$I$35:$J$52,2,0),IFERROR(VLOOKUP(D400,Parameter!$A$35:$C$64,2,0),"Nein"))</f>
        <v>2+3</v>
      </c>
      <c r="BW400" s="59" t="n">
        <f aca="false">IF(BT400=0,0,IF(N(S400)&gt;0,S400,IFERROR(VLOOKUP(D400,Parameter!$A$35:$C$64,3,0)+0,0)))</f>
        <v>0</v>
      </c>
      <c r="BX400" s="55" t="n">
        <f aca="false">IF(AA400&lt;&gt;"",AA400,Z400)</f>
        <v>3</v>
      </c>
      <c r="BY400" s="55" t="str">
        <f aca="false">IF(BX400=1,"L1",IF(OR(BX400=2,BX400=3),"L23",IF(BX400="Aussen","Aussen","-")))</f>
        <v>L23</v>
      </c>
      <c r="BZ400" s="66" t="n">
        <f aca="false">IF(N(AB400)&gt;0,AB400,0)</f>
        <v>0</v>
      </c>
      <c r="CA400" s="60" t="n">
        <f aca="false">IF(ISNUMBER(AE400),1,0)</f>
        <v>0</v>
      </c>
      <c r="CB400" s="57" t="n">
        <f aca="false">N(AE400)</f>
        <v>0</v>
      </c>
      <c r="CC400" s="57" t="n">
        <f aca="false">N(M400)+N(N400)</f>
        <v>10</v>
      </c>
      <c r="CD400" s="57" t="n">
        <f aca="false">ROUNDUP(H400/BS400,0)</f>
        <v>2</v>
      </c>
      <c r="CE400" s="57" t="n">
        <f aca="false">ROUNDUP(CB400/BS400,0)</f>
        <v>0</v>
      </c>
      <c r="CF400" s="60" t="n">
        <f aca="false">IF(BT400=1,0,IFERROR(VLOOKUP(BR400,'Gebinde-Kategorie'!$A$5:$M$45,5,0)+0,0))</f>
        <v>8</v>
      </c>
      <c r="CG400" s="60" t="n">
        <f aca="false">IFERROR(IF(OR(BX400=1,BX400=2,BX400=3),N(INDEX(Parameter!$I$5:$I$7,BX400)),0),0)</f>
        <v>0</v>
      </c>
      <c r="CH400" s="59" t="n">
        <f aca="false">IF(AND(Parameter!$B$21="Ja",ISNUMBER(W400),N(X400)&gt;0),IFERROR(N(INDEX(Parameter!$L$5:$L$7,W400))*INDEX(Parameter!$E$5:$E$7,W400)*X400/SUMIFS($X$7:$X$1843,$W$7:$W$1843,W400),0),0)</f>
        <v>0</v>
      </c>
    </row>
    <row r="401" customFormat="false" ht="15" hidden="false" customHeight="false" outlineLevel="0" collapsed="false">
      <c r="A401" s="55" t="s">
        <v>936</v>
      </c>
      <c r="B401" s="55" t="s">
        <v>937</v>
      </c>
      <c r="C401" s="55" t="s">
        <v>164</v>
      </c>
      <c r="D401" s="55" t="s">
        <v>184</v>
      </c>
      <c r="E401" s="55" t="s">
        <v>185</v>
      </c>
      <c r="F401" s="55" t="s">
        <v>218</v>
      </c>
      <c r="G401" s="56" t="n">
        <v>0.08</v>
      </c>
      <c r="H401" s="57" t="n">
        <f aca="false">MAX(0,IF(AND(Parameter!$B$21="Ja",ISNUMBER(Y401)),Y401,IF(Parameter!$B$20="Jahresanfang 2025 + Export",BL401+BK401,BK401)))</f>
        <v>1784</v>
      </c>
      <c r="I401" s="57" t="n">
        <f aca="false">H401*G401</f>
        <v>142.72</v>
      </c>
      <c r="J401" s="57" t="n">
        <f aca="false">BN401*Parameter!$B$18</f>
        <v>2732</v>
      </c>
      <c r="K401" s="58" t="n">
        <v>1000</v>
      </c>
      <c r="L401" s="59" t="n">
        <v>2.732</v>
      </c>
      <c r="M401" s="57" t="n">
        <v>159</v>
      </c>
      <c r="N401" s="57" t="n">
        <v>3000</v>
      </c>
      <c r="O401" s="60" t="n">
        <v>21</v>
      </c>
      <c r="P401" s="55" t="s">
        <v>302</v>
      </c>
      <c r="Q401" s="57" t="n">
        <v>2000</v>
      </c>
      <c r="R401" s="60" t="n">
        <f aca="false">IF(BT401=1,0,IFERROR(VLOOKUP(BR401,'Gebinde-Kategorie'!$A$5:$M$45,13,0)+0,0))</f>
        <v>26</v>
      </c>
      <c r="S401" s="61"/>
      <c r="T401" s="62"/>
      <c r="U401" s="62"/>
      <c r="V401" s="62"/>
      <c r="W401" s="55"/>
      <c r="X401" s="57"/>
      <c r="Y401" s="57"/>
      <c r="Z401" s="55" t="n">
        <f aca="false">IF(A401="","",IF(AND(Parameter!$B$21="Ja",ISNUMBER(W401)),W401,IF(BV401="2+3",IF(ISNUMBER(SEARCH("grosser Artikel",BO401)),2,IFERROR(VLOOKUP(BR401,Parameter!$F$35:$G$64,2,0),2)),IF(OR(BV401="Nein",BV401=""),"-",BV401))))</f>
        <v>3</v>
      </c>
      <c r="AA401" s="62"/>
      <c r="AB401" s="63"/>
      <c r="AC401" s="57" t="n">
        <f aca="false">AR401</f>
        <v>4000</v>
      </c>
      <c r="AD401" s="57" t="n">
        <f aca="false">MAX(AR401,H401)</f>
        <v>4000</v>
      </c>
      <c r="AE401" s="64"/>
      <c r="AF401" s="57" t="n">
        <f aca="false">IF(LEFT(Cockpit!$C$5,1)="A",H401,IF(CA401=1,CB401,IF(LEFT(Cockpit!$C$5,1)="B",AJ401,MAX(AJ401,H401))))</f>
        <v>1784</v>
      </c>
      <c r="AG401" s="57" t="n">
        <f aca="false">IF(BT401=1,0,ROUNDUP(AF401/BS401,0))</f>
        <v>1</v>
      </c>
      <c r="AH401" s="59" t="n">
        <f aca="false">IF(CH401&gt;0,CH401*MAX(1,AF401/X401),IF(BT401=1,IF(AF401&lt;=0,0,BW401*MAX(1,IF(H401&gt;0,AF401/H401,1))),IF(R401&gt;0,AG401/R401,0))/MAX(0.1,N(Parameter!$M$21)))</f>
        <v>0.0384615384615385</v>
      </c>
      <c r="AI401" s="57" t="n">
        <f aca="false">AF401*G401</f>
        <v>142.72</v>
      </c>
      <c r="AJ401" s="57" t="n">
        <f aca="false">ROUNDUP(MAX(J401/IF(BZ401&gt;0,BZ401,MAX(0.1,N(Cockpit!$C$6))),CC401)/BS401,0)*BS401</f>
        <v>4000</v>
      </c>
      <c r="AK401" s="58" t="n">
        <f aca="false">IF(AH401&gt;0,J401/AH401,-1)</f>
        <v>71032</v>
      </c>
      <c r="AL401" s="58" t="n">
        <f aca="false">IF(AND(OR(BY401="L1",BY401="L23"),AH401&gt;0),SUMIFS($AH$7:$AH$1843,$BY$7:$BY$1843,BY401,$AK$7:$AK$1843,"&gt;"&amp;AK401)+SUMIFS($AH$7:$AH$1843,$BY$7:$BY$1843,BY401,$AK$7:$AK$1843,AK401,$BQ$7:$BQ$1843,"&lt;="&amp;BQ401),"")</f>
        <v>0.914597479814871</v>
      </c>
      <c r="AM401" s="65" t="n">
        <f aca="false">IF(AL401="",0,MAX(0,MIN(1,(IF(BY401="L1",Parameter!$E$5,Parameter!$E$6+Parameter!$E$7)-(AL401-AH401))/AH401)))</f>
        <v>1</v>
      </c>
      <c r="AN401" s="57" t="n">
        <f aca="false">IF(LEFT(Cockpit!$I$5,1)="A",H401,IF(CA401=1,CB401,IF(LEFT(Cockpit!$I$5,1)="B",AR401,MAX(AR401,H401))))</f>
        <v>4000</v>
      </c>
      <c r="AO401" s="57" t="n">
        <f aca="false">IF(BT401=1,0,ROUNDUP(AN401/BS401,0))</f>
        <v>2</v>
      </c>
      <c r="AP401" s="59" t="n">
        <f aca="false">IF(CH401&gt;0,CH401*MAX(1,AN401/X401),IF(BT401=1,IF(AN401&lt;=0,0,BW401*MAX(1,IF(H401&gt;0,AN401/H401,1))),IF(R401&gt;0,AO401/R401,0))/MAX(0.1,N(Parameter!$M$21)))</f>
        <v>0.0769230769230769</v>
      </c>
      <c r="AQ401" s="57" t="n">
        <f aca="false">AN401*G401</f>
        <v>320</v>
      </c>
      <c r="AR401" s="57" t="n">
        <f aca="false">ROUNDUP(MAX(J401/IF(BZ401&gt;0,BZ401,MAX(0.1,N(Cockpit!$I$6))),CC401)/BS401,0)*BS401</f>
        <v>4000</v>
      </c>
      <c r="AS401" s="58" t="n">
        <f aca="false">IF(AP401&gt;0,J401/AP401,-1)</f>
        <v>35516</v>
      </c>
      <c r="AT401" s="58" t="n">
        <f aca="false">IF(AND(OR(BY401="L1",BY401="L23"),AP401&gt;0),SUMIFS($AP$7:$AP$1843,$BY$7:$BY$1843,BY401,$AS$7:$AS$1843,"&gt;"&amp;AS401)+SUMIFS($AP$7:$AP$1843,$BY$7:$BY$1843,BY401,$AS$7:$AS$1843,AS401,$BQ$7:$BQ$1843,"&lt;="&amp;BQ401),"")</f>
        <v>2.65196277152799</v>
      </c>
      <c r="AU401" s="65" t="n">
        <f aca="false">IF(AT401="",0,MAX(0,MIN(1,(IF(BY401="L1",Parameter!$E$5,Parameter!$E$6+Parameter!$E$7)-(AT401-AP401))/AP401)))</f>
        <v>1</v>
      </c>
      <c r="AV401" s="57" t="n">
        <f aca="false">IF(LEFT(Cockpit!$O$5,1)="A",H401,IF(CA401=1,CB401,IF(LEFT(Cockpit!$O$5,1)="B",AZ401,MAX(AZ401,H401))))</f>
        <v>4000</v>
      </c>
      <c r="AW401" s="57" t="n">
        <f aca="false">IF(BT401=1,0,ROUNDUP(AV401/BS401,0))</f>
        <v>2</v>
      </c>
      <c r="AX401" s="59" t="n">
        <f aca="false">IF(CH401&gt;0,CH401*MAX(1,AV401/X401),IF(BT401=1,IF(AV401&lt;=0,0,BW401*MAX(1,IF(H401&gt;0,AV401/H401,1))),IF(R401&gt;0,AW401/R401,0))/MAX(0.1,N(Parameter!$M$21)))</f>
        <v>0.0769230769230769</v>
      </c>
      <c r="AY401" s="57" t="n">
        <f aca="false">AV401*G401</f>
        <v>320</v>
      </c>
      <c r="AZ401" s="57" t="n">
        <f aca="false">ROUNDUP(MAX(J401/IF(BZ401&gt;0,BZ401,MAX(0.1,N(Cockpit!$O$6))),CC401)/BS401,0)*BS401</f>
        <v>4000</v>
      </c>
      <c r="BA401" s="58" t="n">
        <f aca="false">IF(AX401&gt;0,J401/AX401,-1)</f>
        <v>35516</v>
      </c>
      <c r="BB401" s="58" t="n">
        <f aca="false">IF(AND(OR(BY401="L1",BY401="L23"),AX401&gt;0),SUMIFS($AX$7:$AX$1843,$BY$7:$BY$1843,BY401,$BA$7:$BA$1843,"&gt;"&amp;BA401)+SUMIFS($AX$7:$AX$1843,$BY$7:$BY$1843,BY401,$BA$7:$BA$1843,BA401,$BQ$7:$BQ$1843,"&lt;="&amp;BQ401),"")</f>
        <v>2.42002803959326</v>
      </c>
      <c r="BC401" s="65" t="n">
        <f aca="false">IF(BB401="",0,MAX(0,MIN(1,(IF(BY401="L1",Parameter!$E$5,Parameter!$E$6+Parameter!$E$7)-(BB401-AX401))/AX401)))</f>
        <v>1</v>
      </c>
      <c r="BD401" s="55" t="str">
        <f aca="false">IF(AH401&lt;=0,"",IF(BY401="Aussen","Aussenlager",IF(BY401="-","Nicht im Lift",IF(AM401&gt;=1,"Lift",IF(AM401&lt;=0,"Aussenlager","teilweise")))))</f>
        <v>Lift</v>
      </c>
      <c r="BE401" s="55" t="str">
        <f aca="false">IF(AP401&lt;=0,"",IF(BY401="Aussen","Aussenlager",IF(BY401="-","Nicht im Lift",IF(AU401&gt;=1,"Lift",IF(AU401&lt;=0,"Aussenlager","teilweise")))))</f>
        <v>Lift</v>
      </c>
      <c r="BF401" s="55" t="str">
        <f aca="false">IF(AX401&lt;=0,"",IF(BY401="Aussen","Aussenlager",IF(BY401="-","Nicht im Lift",IF(BC401&gt;=1,"Lift",IF(BC401&lt;=0,"Aussenlager","teilweise")))))</f>
        <v>Lift</v>
      </c>
      <c r="BG401" s="55" t="str">
        <f aca="false">IF(A401="","",IF(BP401=1,"Neu; ","")&amp;IF(AND(BP401=0,BK401&lt;0),"negativer Bestand (Export "&amp;BK401&amp;"); ","")&amp;IF(J401&lt;=0,"Kein Verbrauch; ","")&amp;IF(CH401&gt;0,"Lift "&amp;W401&amp;" lt. Liftbericht (Fach "&amp;X401&amp;" Stk); ",IF(BU401=1,"Gebinde geschätzt ("&amp;T401&amp;"); ",IF(BT401=1,"Lose – Tablare geschätzt; ","")))&amp;IF(H401&gt;AR401,"Überbestand "&amp;ROUND(H401-AR401,0)&amp;" Stk / CHF "&amp;ROUND((H401-AR401)*G401,0)&amp;"; ","")&amp;IF(AND(CA401=1,CB401&lt;CC401),"MAX &lt; MB+LG; ","")&amp;IF(AND(CG401&gt;0,CF401*10&gt;CG401),"zu hoch für Tablar; ","")&amp;IF(AND(BP401=0,OR(CA401=1,AA401&lt;&gt;"",U401&lt;&gt;"",V401&lt;&gt;"",AB401&lt;&gt;"")),"manuell übersteuert; ","")&amp;IF(AND(BT401=0,R401=0),"Gebinde unbekannt / Stellmass fehlt; ","")&amp;IF(AND(BT401=0,N(V401)&lt;=0,N(Q401)&lt;=0),"Menge pro Gebinde fehlt (Ist = 1 Gebinde); ","")&amp;BO401)</f>
        <v/>
      </c>
      <c r="BH401" s="55"/>
      <c r="BI401" s="55"/>
      <c r="BJ401" s="62"/>
      <c r="BK401" s="57" t="n">
        <v>1384</v>
      </c>
      <c r="BL401" s="57" t="n">
        <v>400</v>
      </c>
      <c r="BM401" s="56" t="n">
        <v>110.72</v>
      </c>
      <c r="BN401" s="57" t="n">
        <v>2732</v>
      </c>
      <c r="BO401" s="55"/>
      <c r="BP401" s="60" t="n">
        <v>0</v>
      </c>
      <c r="BQ401" s="60" t="n">
        <v>401</v>
      </c>
      <c r="BR401" s="55" t="str">
        <f aca="false">IF(U401&lt;&gt;"",UPPER(TRIM(U401)),IF(BU401=1,UPPER(VLOOKUP(T401,Parameter!$I$27:$K$29,2,0)),IF(P401="","LOSE",P401)))</f>
        <v>S51</v>
      </c>
      <c r="BS401" s="57" t="n">
        <f aca="false">IF(BR401="LOSE",1,IF(N(V401)&gt;0,V401,IF(BU401=1,MAX(1,N(VLOOKUP(T401,Parameter!$I$27:$K$29,3,0)),H401,N(N401)),IF(N(Q401)&gt;0,Q401,MAX(1,H401)))))</f>
        <v>2000</v>
      </c>
      <c r="BT401" s="60" t="n">
        <f aca="false">IF(BR401="LOSE",1,0)</f>
        <v>0</v>
      </c>
      <c r="BU401" s="60" t="n">
        <f aca="false">IF(AND(U401="",OR(P401="",P401="LOSE"),T401&lt;&gt;"",N(S401)&lt;=0,ISNUMBER(MATCH(T401,Parameter!$I$27:$I$29,0))),1,0)</f>
        <v>0</v>
      </c>
      <c r="BV401" s="55" t="str">
        <f aca="false">IF(AND(Parameter!$B$19="Ja",E401&lt;&gt;"",ISNUMBER(MATCH(E401,Parameter!$I$35:$I$52,0))),VLOOKUP(E401,Parameter!$I$35:$J$52,2,0),IFERROR(VLOOKUP(D401,Parameter!$A$35:$C$64,2,0),"Nein"))</f>
        <v>2+3</v>
      </c>
      <c r="BW401" s="59" t="n">
        <f aca="false">IF(BT401=0,0,IF(N(S401)&gt;0,S401,IFERROR(VLOOKUP(D401,Parameter!$A$35:$C$64,3,0)+0,0)))</f>
        <v>0</v>
      </c>
      <c r="BX401" s="55" t="n">
        <f aca="false">IF(AA401&lt;&gt;"",AA401,Z401)</f>
        <v>3</v>
      </c>
      <c r="BY401" s="55" t="str">
        <f aca="false">IF(BX401=1,"L1",IF(OR(BX401=2,BX401=3),"L23",IF(BX401="Aussen","Aussen","-")))</f>
        <v>L23</v>
      </c>
      <c r="BZ401" s="66" t="n">
        <f aca="false">IF(N(AB401)&gt;0,AB401,0)</f>
        <v>0</v>
      </c>
      <c r="CA401" s="60" t="n">
        <f aca="false">IF(ISNUMBER(AE401),1,0)</f>
        <v>0</v>
      </c>
      <c r="CB401" s="57" t="n">
        <f aca="false">N(AE401)</f>
        <v>0</v>
      </c>
      <c r="CC401" s="57" t="n">
        <f aca="false">N(M401)+N(N401)</f>
        <v>3159</v>
      </c>
      <c r="CD401" s="57" t="n">
        <f aca="false">ROUNDUP(H401/BS401,0)</f>
        <v>1</v>
      </c>
      <c r="CE401" s="57" t="n">
        <f aca="false">ROUNDUP(CB401/BS401,0)</f>
        <v>0</v>
      </c>
      <c r="CF401" s="60" t="n">
        <f aca="false">IF(BT401=1,0,IFERROR(VLOOKUP(BR401,'Gebinde-Kategorie'!$A$5:$M$45,5,0)+0,0))</f>
        <v>11</v>
      </c>
      <c r="CG401" s="60" t="n">
        <f aca="false">IFERROR(IF(OR(BX401=1,BX401=2,BX401=3),N(INDEX(Parameter!$I$5:$I$7,BX401)),0),0)</f>
        <v>0</v>
      </c>
      <c r="CH401" s="59" t="n">
        <f aca="false">IF(AND(Parameter!$B$21="Ja",ISNUMBER(W401),N(X401)&gt;0),IFERROR(N(INDEX(Parameter!$L$5:$L$7,W401))*INDEX(Parameter!$E$5:$E$7,W401)*X401/SUMIFS($X$7:$X$1843,$W$7:$W$1843,W401),0),0)</f>
        <v>0</v>
      </c>
    </row>
    <row r="402" customFormat="false" ht="15" hidden="false" customHeight="false" outlineLevel="0" collapsed="false">
      <c r="A402" s="55" t="s">
        <v>938</v>
      </c>
      <c r="B402" s="55" t="s">
        <v>939</v>
      </c>
      <c r="C402" s="55" t="s">
        <v>164</v>
      </c>
      <c r="D402" s="55" t="s">
        <v>173</v>
      </c>
      <c r="E402" s="55"/>
      <c r="F402" s="55" t="s">
        <v>218</v>
      </c>
      <c r="G402" s="56" t="n">
        <v>43</v>
      </c>
      <c r="H402" s="57" t="n">
        <f aca="false">MAX(0,IF(AND(Parameter!$B$21="Ja",ISNUMBER(Y402)),Y402,IF(Parameter!$B$20="Jahresanfang 2025 + Export",BL402+BK402,BK402)))</f>
        <v>10</v>
      </c>
      <c r="I402" s="57" t="n">
        <f aca="false">H402*G402</f>
        <v>430</v>
      </c>
      <c r="J402" s="57" t="n">
        <f aca="false">BN402*Parameter!$B$18</f>
        <v>12</v>
      </c>
      <c r="K402" s="58" t="n">
        <v>2</v>
      </c>
      <c r="L402" s="59" t="n">
        <v>6</v>
      </c>
      <c r="M402" s="57" t="n">
        <v>1</v>
      </c>
      <c r="N402" s="57" t="n">
        <v>10</v>
      </c>
      <c r="O402" s="60" t="n">
        <v>42</v>
      </c>
      <c r="P402" s="55" t="s">
        <v>168</v>
      </c>
      <c r="Q402" s="57"/>
      <c r="R402" s="60" t="n">
        <f aca="false">IF(BT402=1,0,IFERROR(VLOOKUP(BR402,'Gebinde-Kategorie'!$A$5:$M$45,13,0)+0,0))</f>
        <v>12</v>
      </c>
      <c r="S402" s="61"/>
      <c r="T402" s="62" t="s">
        <v>179</v>
      </c>
      <c r="U402" s="62"/>
      <c r="V402" s="62"/>
      <c r="W402" s="55"/>
      <c r="X402" s="57"/>
      <c r="Y402" s="57"/>
      <c r="Z402" s="55" t="n">
        <f aca="false">IF(A402="","",IF(AND(Parameter!$B$21="Ja",ISNUMBER(W402)),W402,IF(BV402="2+3",IF(ISNUMBER(SEARCH("grosser Artikel",BO402)),2,IFERROR(VLOOKUP(BR402,Parameter!$F$35:$G$64,2,0),2)),IF(OR(BV402="Nein",BV402=""),"-",BV402))))</f>
        <v>2</v>
      </c>
      <c r="AA402" s="62"/>
      <c r="AB402" s="63"/>
      <c r="AC402" s="57" t="n">
        <f aca="false">AR402</f>
        <v>20</v>
      </c>
      <c r="AD402" s="57" t="n">
        <f aca="false">MAX(AR402,H402)</f>
        <v>20</v>
      </c>
      <c r="AE402" s="64"/>
      <c r="AF402" s="57" t="n">
        <f aca="false">IF(LEFT(Cockpit!$C$5,1)="A",H402,IF(CA402=1,CB402,IF(LEFT(Cockpit!$C$5,1)="B",AJ402,MAX(AJ402,H402))))</f>
        <v>10</v>
      </c>
      <c r="AG402" s="57" t="n">
        <f aca="false">IF(BT402=1,0,ROUNDUP(AF402/BS402,0))</f>
        <v>1</v>
      </c>
      <c r="AH402" s="59" t="n">
        <f aca="false">IF(CH402&gt;0,CH402*MAX(1,AF402/X402),IF(BT402=1,IF(AF402&lt;=0,0,BW402*MAX(1,IF(H402&gt;0,AF402/H402,1))),IF(R402&gt;0,AG402/R402,0))/MAX(0.1,N(Parameter!$M$21)))</f>
        <v>0.0833333333333333</v>
      </c>
      <c r="AI402" s="57" t="n">
        <f aca="false">AF402*G402</f>
        <v>430</v>
      </c>
      <c r="AJ402" s="57" t="n">
        <f aca="false">ROUNDUP(MAX(J402/IF(BZ402&gt;0,BZ402,MAX(0.1,N(Cockpit!$C$6))),CC402)/BS402,0)*BS402</f>
        <v>20</v>
      </c>
      <c r="AK402" s="58" t="n">
        <f aca="false">IF(AH402&gt;0,J402/AH402,-1)</f>
        <v>144</v>
      </c>
      <c r="AL402" s="58" t="n">
        <f aca="false">IF(AND(OR(BY402="L1",BY402="L23"),AH402&gt;0),SUMIFS($AH$7:$AH$1843,$BY$7:$BY$1843,BY402,$AK$7:$AK$1843,"&gt;"&amp;AK402)+SUMIFS($AH$7:$AH$1843,$BY$7:$BY$1843,BY402,$AK$7:$AK$1843,AK402,$BQ$7:$BQ$1843,"&lt;="&amp;BQ402),"")</f>
        <v>34.9059744603223</v>
      </c>
      <c r="AM402" s="65" t="n">
        <f aca="false">IF(AL402="",0,MAX(0,MIN(1,(IF(BY402="L1",Parameter!$E$5,Parameter!$E$6+Parameter!$E$7)-(AL402-AH402))/AH402)))</f>
        <v>1</v>
      </c>
      <c r="AN402" s="57" t="n">
        <f aca="false">IF(LEFT(Cockpit!$I$5,1)="A",H402,IF(CA402=1,CB402,IF(LEFT(Cockpit!$I$5,1)="B",AR402,MAX(AR402,H402))))</f>
        <v>20</v>
      </c>
      <c r="AO402" s="57" t="n">
        <f aca="false">IF(BT402=1,0,ROUNDUP(AN402/BS402,0))</f>
        <v>2</v>
      </c>
      <c r="AP402" s="59" t="n">
        <f aca="false">IF(CH402&gt;0,CH402*MAX(1,AN402/X402),IF(BT402=1,IF(AN402&lt;=0,0,BW402*MAX(1,IF(H402&gt;0,AN402/H402,1))),IF(R402&gt;0,AO402/R402,0))/MAX(0.1,N(Parameter!$M$21)))</f>
        <v>0.166666666666667</v>
      </c>
      <c r="AQ402" s="57" t="n">
        <f aca="false">AN402*G402</f>
        <v>860</v>
      </c>
      <c r="AR402" s="57" t="n">
        <f aca="false">ROUNDUP(MAX(J402/IF(BZ402&gt;0,BZ402,MAX(0.1,N(Cockpit!$I$6))),CC402)/BS402,0)*BS402</f>
        <v>20</v>
      </c>
      <c r="AS402" s="58" t="n">
        <f aca="false">IF(AP402&gt;0,J402/AP402,-1)</f>
        <v>72</v>
      </c>
      <c r="AT402" s="58" t="n">
        <f aca="false">IF(AND(OR(BY402="L1",BY402="L23"),AP402&gt;0),SUMIFS($AP$7:$AP$1843,$BY$7:$BY$1843,BY402,$AS$7:$AS$1843,"&gt;"&amp;AS402)+SUMIFS($AP$7:$AP$1843,$BY$7:$BY$1843,BY402,$AS$7:$AS$1843,AS402,$BQ$7:$BQ$1843,"&lt;="&amp;BQ402),"")</f>
        <v>63.8025151177325</v>
      </c>
      <c r="AU402" s="65" t="n">
        <f aca="false">IF(AT402="",0,MAX(0,MIN(1,(IF(BY402="L1",Parameter!$E$5,Parameter!$E$6+Parameter!$E$7)-(AT402-AP402))/AP402)))</f>
        <v>1</v>
      </c>
      <c r="AV402" s="57" t="n">
        <f aca="false">IF(LEFT(Cockpit!$O$5,1)="A",H402,IF(CA402=1,CB402,IF(LEFT(Cockpit!$O$5,1)="B",AZ402,MAX(AZ402,H402))))</f>
        <v>20</v>
      </c>
      <c r="AW402" s="57" t="n">
        <f aca="false">IF(BT402=1,0,ROUNDUP(AV402/BS402,0))</f>
        <v>2</v>
      </c>
      <c r="AX402" s="59" t="n">
        <f aca="false">IF(CH402&gt;0,CH402*MAX(1,AV402/X402),IF(BT402=1,IF(AV402&lt;=0,0,BW402*MAX(1,IF(H402&gt;0,AV402/H402,1))),IF(R402&gt;0,AW402/R402,0))/MAX(0.1,N(Parameter!$M$21)))</f>
        <v>0.166666666666667</v>
      </c>
      <c r="AY402" s="57" t="n">
        <f aca="false">AV402*G402</f>
        <v>860</v>
      </c>
      <c r="AZ402" s="57" t="n">
        <f aca="false">ROUNDUP(MAX(J402/IF(BZ402&gt;0,BZ402,MAX(0.1,N(Cockpit!$O$6))),CC402)/BS402,0)*BS402</f>
        <v>20</v>
      </c>
      <c r="BA402" s="58" t="n">
        <f aca="false">IF(AX402&gt;0,J402/AX402,-1)</f>
        <v>72</v>
      </c>
      <c r="BB402" s="58" t="n">
        <f aca="false">IF(AND(OR(BY402="L1",BY402="L23"),AX402&gt;0),SUMIFS($AX$7:$AX$1843,$BY$7:$BY$1843,BY402,$BA$7:$BA$1843,"&gt;"&amp;BA402)+SUMIFS($AX$7:$AX$1843,$BY$7:$BY$1843,BY402,$BA$7:$BA$1843,BA402,$BQ$7:$BQ$1843,"&lt;="&amp;BQ402),"")</f>
        <v>58.299018614236</v>
      </c>
      <c r="BC402" s="65" t="n">
        <f aca="false">IF(BB402="",0,MAX(0,MIN(1,(IF(BY402="L1",Parameter!$E$5,Parameter!$E$6+Parameter!$E$7)-(BB402-AX402))/AX402)))</f>
        <v>1</v>
      </c>
      <c r="BD402" s="55" t="str">
        <f aca="false">IF(AH402&lt;=0,"",IF(BY402="Aussen","Aussenlager",IF(BY402="-","Nicht im Lift",IF(AM402&gt;=1,"Lift",IF(AM402&lt;=0,"Aussenlager","teilweise")))))</f>
        <v>Lift</v>
      </c>
      <c r="BE402" s="55" t="str">
        <f aca="false">IF(AP402&lt;=0,"",IF(BY402="Aussen","Aussenlager",IF(BY402="-","Nicht im Lift",IF(AU402&gt;=1,"Lift",IF(AU402&lt;=0,"Aussenlager","teilweise")))))</f>
        <v>Lift</v>
      </c>
      <c r="BF402" s="55" t="str">
        <f aca="false">IF(AX402&lt;=0,"",IF(BY402="Aussen","Aussenlager",IF(BY402="-","Nicht im Lift",IF(BC402&gt;=1,"Lift",IF(BC402&lt;=0,"Aussenlager","teilweise")))))</f>
        <v>Lift</v>
      </c>
      <c r="BG402" s="55" t="str">
        <f aca="false">IF(A402="","",IF(BP402=1,"Neu; ","")&amp;IF(AND(BP402=0,BK402&lt;0),"negativer Bestand (Export "&amp;BK402&amp;"); ","")&amp;IF(J402&lt;=0,"Kein Verbrauch; ","")&amp;IF(CH402&gt;0,"Lift "&amp;W402&amp;" lt. Liftbericht (Fach "&amp;X402&amp;" Stk); ",IF(BU402=1,"Gebinde geschätzt ("&amp;T402&amp;"); ",IF(BT402=1,"Lose – Tablare geschätzt; ","")))&amp;IF(H402&gt;AR402,"Überbestand "&amp;ROUND(H402-AR402,0)&amp;" Stk / CHF "&amp;ROUND((H402-AR402)*G402,0)&amp;"; ","")&amp;IF(AND(CA402=1,CB402&lt;CC402),"MAX &lt; MB+LG; ","")&amp;IF(AND(CG402&gt;0,CF402*10&gt;CG402),"zu hoch für Tablar; ","")&amp;IF(AND(BP402=0,OR(CA402=1,AA402&lt;&gt;"",U402&lt;&gt;"",V402&lt;&gt;"",AB402&lt;&gt;"")),"manuell übersteuert; ","")&amp;IF(AND(BT402=0,R402=0),"Gebinde unbekannt / Stellmass fehlt; ","")&amp;IF(AND(BT402=0,N(V402)&lt;=0,N(Q402)&lt;=0),"Menge pro Gebinde fehlt (Ist = 1 Gebinde); ","")&amp;BO402)</f>
        <v>Gebinde geschätzt (Mittel); Menge pro Gebinde fehlt (Ist = 1 Gebinde); </v>
      </c>
      <c r="BH402" s="55"/>
      <c r="BI402" s="55"/>
      <c r="BJ402" s="62"/>
      <c r="BK402" s="57" t="n">
        <v>6</v>
      </c>
      <c r="BL402" s="57" t="n">
        <v>4</v>
      </c>
      <c r="BM402" s="56" t="n">
        <v>110</v>
      </c>
      <c r="BN402" s="57" t="n">
        <v>12</v>
      </c>
      <c r="BO402" s="55"/>
      <c r="BP402" s="60" t="n">
        <v>0</v>
      </c>
      <c r="BQ402" s="60" t="n">
        <v>402</v>
      </c>
      <c r="BR402" s="55" t="str">
        <f aca="false">IF(U402&lt;&gt;"",UPPER(TRIM(U402)),IF(BU402=1,UPPER(VLOOKUP(T402,Parameter!$I$27:$K$29,2,0)),IF(P402="","LOSE",P402)))</f>
        <v>S61</v>
      </c>
      <c r="BS402" s="57" t="n">
        <f aca="false">IF(BR402="LOSE",1,IF(N(V402)&gt;0,V402,IF(BU402=1,MAX(1,N(VLOOKUP(T402,Parameter!$I$27:$K$29,3,0)),H402,N(N402)),IF(N(Q402)&gt;0,Q402,MAX(1,H402)))))</f>
        <v>10</v>
      </c>
      <c r="BT402" s="60" t="n">
        <f aca="false">IF(BR402="LOSE",1,0)</f>
        <v>0</v>
      </c>
      <c r="BU402" s="60" t="n">
        <f aca="false">IF(AND(U402="",OR(P402="",P402="LOSE"),T402&lt;&gt;"",N(S402)&lt;=0,ISNUMBER(MATCH(T402,Parameter!$I$27:$I$29,0))),1,0)</f>
        <v>1</v>
      </c>
      <c r="BV402" s="55" t="str">
        <f aca="false">IF(AND(Parameter!$B$19="Ja",E402&lt;&gt;"",ISNUMBER(MATCH(E402,Parameter!$I$35:$I$52,0))),VLOOKUP(E402,Parameter!$I$35:$J$52,2,0),IFERROR(VLOOKUP(D402,Parameter!$A$35:$C$64,2,0),"Nein"))</f>
        <v>2+3</v>
      </c>
      <c r="BW402" s="59" t="n">
        <f aca="false">IF(BT402=0,0,IF(N(S402)&gt;0,S402,IFERROR(VLOOKUP(D402,Parameter!$A$35:$C$64,3,0)+0,0)))</f>
        <v>0</v>
      </c>
      <c r="BX402" s="55" t="n">
        <f aca="false">IF(AA402&lt;&gt;"",AA402,Z402)</f>
        <v>2</v>
      </c>
      <c r="BY402" s="55" t="str">
        <f aca="false">IF(BX402=1,"L1",IF(OR(BX402=2,BX402=3),"L23",IF(BX402="Aussen","Aussen","-")))</f>
        <v>L23</v>
      </c>
      <c r="BZ402" s="66" t="n">
        <f aca="false">IF(N(AB402)&gt;0,AB402,0)</f>
        <v>0</v>
      </c>
      <c r="CA402" s="60" t="n">
        <f aca="false">IF(ISNUMBER(AE402),1,0)</f>
        <v>0</v>
      </c>
      <c r="CB402" s="57" t="n">
        <f aca="false">N(AE402)</f>
        <v>0</v>
      </c>
      <c r="CC402" s="57" t="n">
        <f aca="false">N(M402)+N(N402)</f>
        <v>11</v>
      </c>
      <c r="CD402" s="57" t="n">
        <f aca="false">ROUNDUP(H402/BS402,0)</f>
        <v>1</v>
      </c>
      <c r="CE402" s="57" t="n">
        <f aca="false">ROUNDUP(CB402/BS402,0)</f>
        <v>0</v>
      </c>
      <c r="CF402" s="60" t="n">
        <f aca="false">IF(BT402=1,0,IFERROR(VLOOKUP(BR402,'Gebinde-Kategorie'!$A$5:$M$45,5,0)+0,0))</f>
        <v>11</v>
      </c>
      <c r="CG402" s="60" t="n">
        <f aca="false">IFERROR(IF(OR(BX402=1,BX402=2,BX402=3),N(INDEX(Parameter!$I$5:$I$7,BX402)),0),0)</f>
        <v>0</v>
      </c>
      <c r="CH402" s="59" t="n">
        <f aca="false">IF(AND(Parameter!$B$21="Ja",ISNUMBER(W402),N(X402)&gt;0),IFERROR(N(INDEX(Parameter!$L$5:$L$7,W402))*INDEX(Parameter!$E$5:$E$7,W402)*X402/SUMIFS($X$7:$X$1843,$W$7:$W$1843,W402),0),0)</f>
        <v>0</v>
      </c>
    </row>
    <row r="403" customFormat="false" ht="15" hidden="false" customHeight="false" outlineLevel="0" collapsed="false">
      <c r="A403" s="55" t="s">
        <v>940</v>
      </c>
      <c r="B403" s="55" t="s">
        <v>941</v>
      </c>
      <c r="C403" s="55" t="s">
        <v>164</v>
      </c>
      <c r="D403" s="55" t="s">
        <v>173</v>
      </c>
      <c r="E403" s="55" t="s">
        <v>370</v>
      </c>
      <c r="F403" s="55" t="s">
        <v>218</v>
      </c>
      <c r="G403" s="56" t="n">
        <v>406.5</v>
      </c>
      <c r="H403" s="57" t="n">
        <f aca="false">MAX(0,IF(AND(Parameter!$B$21="Ja",ISNUMBER(Y403)),Y403,IF(Parameter!$B$20="Jahresanfang 2025 + Export",BL403+BK403,BK403)))</f>
        <v>1</v>
      </c>
      <c r="I403" s="57" t="n">
        <f aca="false">H403*G403</f>
        <v>406.5</v>
      </c>
      <c r="J403" s="57" t="n">
        <f aca="false">BN403*Parameter!$B$18</f>
        <v>12</v>
      </c>
      <c r="K403" s="58" t="n">
        <v>0.5</v>
      </c>
      <c r="L403" s="59" t="n">
        <v>24</v>
      </c>
      <c r="M403" s="57" t="n">
        <v>0</v>
      </c>
      <c r="N403" s="57" t="n">
        <v>1</v>
      </c>
      <c r="O403" s="60" t="n">
        <v>14</v>
      </c>
      <c r="P403" s="55" t="s">
        <v>168</v>
      </c>
      <c r="Q403" s="57"/>
      <c r="R403" s="60" t="n">
        <f aca="false">IF(BT403=1,0,IFERROR(VLOOKUP(BR403,'Gebinde-Kategorie'!$A$5:$M$45,13,0)+0,0))</f>
        <v>3</v>
      </c>
      <c r="S403" s="61"/>
      <c r="T403" s="62" t="s">
        <v>189</v>
      </c>
      <c r="U403" s="62"/>
      <c r="V403" s="62"/>
      <c r="W403" s="55"/>
      <c r="X403" s="57"/>
      <c r="Y403" s="57"/>
      <c r="Z403" s="55" t="str">
        <f aca="false">IF(A403="","",IF(AND(Parameter!$B$21="Ja",ISNUMBER(W403)),W403,IF(BV403="2+3",IF(ISNUMBER(SEARCH("grosser Artikel",BO403)),2,IFERROR(VLOOKUP(BR403,Parameter!$F$35:$G$64,2,0),2)),IF(OR(BV403="Nein",BV403=""),"-",BV403))))</f>
        <v>-</v>
      </c>
      <c r="AA403" s="62"/>
      <c r="AB403" s="63"/>
      <c r="AC403" s="57" t="n">
        <f aca="false">AR403</f>
        <v>6</v>
      </c>
      <c r="AD403" s="57" t="n">
        <f aca="false">MAX(AR403,H403)</f>
        <v>6</v>
      </c>
      <c r="AE403" s="64"/>
      <c r="AF403" s="57" t="n">
        <f aca="false">IF(LEFT(Cockpit!$C$5,1)="A",H403,IF(CA403=1,CB403,IF(LEFT(Cockpit!$C$5,1)="B",AJ403,MAX(AJ403,H403))))</f>
        <v>1</v>
      </c>
      <c r="AG403" s="57" t="n">
        <f aca="false">IF(BT403=1,0,ROUNDUP(AF403/BS403,0))</f>
        <v>1</v>
      </c>
      <c r="AH403" s="59" t="n">
        <f aca="false">IF(CH403&gt;0,CH403*MAX(1,AF403/X403),IF(BT403=1,IF(AF403&lt;=0,0,BW403*MAX(1,IF(H403&gt;0,AF403/H403,1))),IF(R403&gt;0,AG403/R403,0))/MAX(0.1,N(Parameter!$M$21)))</f>
        <v>0.333333333333333</v>
      </c>
      <c r="AI403" s="57" t="n">
        <f aca="false">AF403*G403</f>
        <v>406.5</v>
      </c>
      <c r="AJ403" s="57" t="n">
        <f aca="false">ROUNDUP(MAX(J403/IF(BZ403&gt;0,BZ403,MAX(0.1,N(Cockpit!$C$6))),CC403)/BS403,0)*BS403</f>
        <v>6</v>
      </c>
      <c r="AK403" s="58" t="n">
        <f aca="false">IF(AH403&gt;0,J403/AH403,-1)</f>
        <v>36</v>
      </c>
      <c r="AL403" s="58" t="str">
        <f aca="false">IF(AND(OR(BY403="L1",BY403="L23"),AH403&gt;0),SUMIFS($AH$7:$AH$1843,$BY$7:$BY$1843,BY403,$AK$7:$AK$1843,"&gt;"&amp;AK403)+SUMIFS($AH$7:$AH$1843,$BY$7:$BY$1843,BY403,$AK$7:$AK$1843,AK403,$BQ$7:$BQ$1843,"&lt;="&amp;BQ403),"")</f>
        <v/>
      </c>
      <c r="AM403" s="65" t="n">
        <f aca="false">IF(AL403="",0,MAX(0,MIN(1,(IF(BY403="L1",Parameter!$E$5,Parameter!$E$6+Parameter!$E$7)-(AL403-AH403))/AH403)))</f>
        <v>0</v>
      </c>
      <c r="AN403" s="57" t="n">
        <f aca="false">IF(LEFT(Cockpit!$I$5,1)="A",H403,IF(CA403=1,CB403,IF(LEFT(Cockpit!$I$5,1)="B",AR403,MAX(AR403,H403))))</f>
        <v>6</v>
      </c>
      <c r="AO403" s="57" t="n">
        <f aca="false">IF(BT403=1,0,ROUNDUP(AN403/BS403,0))</f>
        <v>3</v>
      </c>
      <c r="AP403" s="59" t="n">
        <f aca="false">IF(CH403&gt;0,CH403*MAX(1,AN403/X403),IF(BT403=1,IF(AN403&lt;=0,0,BW403*MAX(1,IF(H403&gt;0,AN403/H403,1))),IF(R403&gt;0,AO403/R403,0))/MAX(0.1,N(Parameter!$M$21)))</f>
        <v>1</v>
      </c>
      <c r="AQ403" s="57" t="n">
        <f aca="false">AN403*G403</f>
        <v>2439</v>
      </c>
      <c r="AR403" s="57" t="n">
        <f aca="false">ROUNDUP(MAX(J403/IF(BZ403&gt;0,BZ403,MAX(0.1,N(Cockpit!$I$6))),CC403)/BS403,0)*BS403</f>
        <v>6</v>
      </c>
      <c r="AS403" s="58" t="n">
        <f aca="false">IF(AP403&gt;0,J403/AP403,-1)</f>
        <v>12</v>
      </c>
      <c r="AT403" s="58" t="str">
        <f aca="false">IF(AND(OR(BY403="L1",BY403="L23"),AP403&gt;0),SUMIFS($AP$7:$AP$1843,$BY$7:$BY$1843,BY403,$AS$7:$AS$1843,"&gt;"&amp;AS403)+SUMIFS($AP$7:$AP$1843,$BY$7:$BY$1843,BY403,$AS$7:$AS$1843,AS403,$BQ$7:$BQ$1843,"&lt;="&amp;BQ403),"")</f>
        <v/>
      </c>
      <c r="AU403" s="65" t="n">
        <f aca="false">IF(AT403="",0,MAX(0,MIN(1,(IF(BY403="L1",Parameter!$E$5,Parameter!$E$6+Parameter!$E$7)-(AT403-AP403))/AP403)))</f>
        <v>0</v>
      </c>
      <c r="AV403" s="57" t="n">
        <f aca="false">IF(LEFT(Cockpit!$O$5,1)="A",H403,IF(CA403=1,CB403,IF(LEFT(Cockpit!$O$5,1)="B",AZ403,MAX(AZ403,H403))))</f>
        <v>4</v>
      </c>
      <c r="AW403" s="57" t="n">
        <f aca="false">IF(BT403=1,0,ROUNDUP(AV403/BS403,0))</f>
        <v>2</v>
      </c>
      <c r="AX403" s="59" t="n">
        <f aca="false">IF(CH403&gt;0,CH403*MAX(1,AV403/X403),IF(BT403=1,IF(AV403&lt;=0,0,BW403*MAX(1,IF(H403&gt;0,AV403/H403,1))),IF(R403&gt;0,AW403/R403,0))/MAX(0.1,N(Parameter!$M$21)))</f>
        <v>0.666666666666667</v>
      </c>
      <c r="AY403" s="57" t="n">
        <f aca="false">AV403*G403</f>
        <v>1626</v>
      </c>
      <c r="AZ403" s="57" t="n">
        <f aca="false">ROUNDUP(MAX(J403/IF(BZ403&gt;0,BZ403,MAX(0.1,N(Cockpit!$O$6))),CC403)/BS403,0)*BS403</f>
        <v>4</v>
      </c>
      <c r="BA403" s="58" t="n">
        <f aca="false">IF(AX403&gt;0,J403/AX403,-1)</f>
        <v>18</v>
      </c>
      <c r="BB403" s="58" t="str">
        <f aca="false">IF(AND(OR(BY403="L1",BY403="L23"),AX403&gt;0),SUMIFS($AX$7:$AX$1843,$BY$7:$BY$1843,BY403,$BA$7:$BA$1843,"&gt;"&amp;BA403)+SUMIFS($AX$7:$AX$1843,$BY$7:$BY$1843,BY403,$BA$7:$BA$1843,BA403,$BQ$7:$BQ$1843,"&lt;="&amp;BQ403),"")</f>
        <v/>
      </c>
      <c r="BC403" s="65" t="n">
        <f aca="false">IF(BB403="",0,MAX(0,MIN(1,(IF(BY403="L1",Parameter!$E$5,Parameter!$E$6+Parameter!$E$7)-(BB403-AX403))/AX403)))</f>
        <v>0</v>
      </c>
      <c r="BD403" s="55" t="str">
        <f aca="false">IF(AH403&lt;=0,"",IF(BY403="Aussen","Aussenlager",IF(BY403="-","Nicht im Lift",IF(AM403&gt;=1,"Lift",IF(AM403&lt;=0,"Aussenlager","teilweise")))))</f>
        <v>Nicht im Lift</v>
      </c>
      <c r="BE403" s="55" t="str">
        <f aca="false">IF(AP403&lt;=0,"",IF(BY403="Aussen","Aussenlager",IF(BY403="-","Nicht im Lift",IF(AU403&gt;=1,"Lift",IF(AU403&lt;=0,"Aussenlager","teilweise")))))</f>
        <v>Nicht im Lift</v>
      </c>
      <c r="BF403" s="55" t="str">
        <f aca="false">IF(AX403&lt;=0,"",IF(BY403="Aussen","Aussenlager",IF(BY403="-","Nicht im Lift",IF(BC403&gt;=1,"Lift",IF(BC403&lt;=0,"Aussenlager","teilweise")))))</f>
        <v>Nicht im Lift</v>
      </c>
      <c r="BG403" s="55" t="str">
        <f aca="false">IF(A403="","",IF(BP403=1,"Neu; ","")&amp;IF(AND(BP403=0,BK403&lt;0),"negativer Bestand (Export "&amp;BK403&amp;"); ","")&amp;IF(J403&lt;=0,"Kein Verbrauch; ","")&amp;IF(CH403&gt;0,"Lift "&amp;W403&amp;" lt. Liftbericht (Fach "&amp;X403&amp;" Stk); ",IF(BU403=1,"Gebinde geschätzt ("&amp;T403&amp;"); ",IF(BT403=1,"Lose – Tablare geschätzt; ","")))&amp;IF(H403&gt;AR403,"Überbestand "&amp;ROUND(H403-AR403,0)&amp;" Stk / CHF "&amp;ROUND((H403-AR403)*G403,0)&amp;"; ","")&amp;IF(AND(CA403=1,CB403&lt;CC403),"MAX &lt; MB+LG; ","")&amp;IF(AND(CG403&gt;0,CF403*10&gt;CG403),"zu hoch für Tablar; ","")&amp;IF(AND(BP403=0,OR(CA403=1,AA403&lt;&gt;"",U403&lt;&gt;"",V403&lt;&gt;"",AB403&lt;&gt;"")),"manuell übersteuert; ","")&amp;IF(AND(BT403=0,R403=0),"Gebinde unbekannt / Stellmass fehlt; ","")&amp;IF(AND(BT403=0,N(V403)&lt;=0,N(Q403)&lt;=0),"Menge pro Gebinde fehlt (Ist = 1 Gebinde); ","")&amp;BO403)</f>
        <v>Gebinde geschätzt (Gross); Menge pro Gebinde fehlt (Ist = 1 Gebinde); </v>
      </c>
      <c r="BH403" s="55"/>
      <c r="BI403" s="55"/>
      <c r="BJ403" s="62"/>
      <c r="BK403" s="57" t="n">
        <v>0</v>
      </c>
      <c r="BL403" s="57" t="n">
        <v>1</v>
      </c>
      <c r="BM403" s="56" t="n">
        <v>108.3</v>
      </c>
      <c r="BN403" s="57" t="n">
        <v>12</v>
      </c>
      <c r="BO403" s="55"/>
      <c r="BP403" s="60" t="n">
        <v>0</v>
      </c>
      <c r="BQ403" s="60" t="n">
        <v>403</v>
      </c>
      <c r="BR403" s="55" t="str">
        <f aca="false">IF(U403&lt;&gt;"",UPPER(TRIM(U403)),IF(BU403=1,UPPER(VLOOKUP(T403,Parameter!$I$27:$K$29,2,0)),IF(P403="","LOSE",P403)))</f>
        <v>S81</v>
      </c>
      <c r="BS403" s="57" t="n">
        <f aca="false">IF(BR403="LOSE",1,IF(N(V403)&gt;0,V403,IF(BU403=1,MAX(1,N(VLOOKUP(T403,Parameter!$I$27:$K$29,3,0)),H403,N(N403)),IF(N(Q403)&gt;0,Q403,MAX(1,H403)))))</f>
        <v>2</v>
      </c>
      <c r="BT403" s="60" t="n">
        <f aca="false">IF(BR403="LOSE",1,0)</f>
        <v>0</v>
      </c>
      <c r="BU403" s="60" t="n">
        <f aca="false">IF(AND(U403="",OR(P403="",P403="LOSE"),T403&lt;&gt;"",N(S403)&lt;=0,ISNUMBER(MATCH(T403,Parameter!$I$27:$I$29,0))),1,0)</f>
        <v>1</v>
      </c>
      <c r="BV403" s="55" t="str">
        <f aca="false">IF(AND(Parameter!$B$19="Ja",E403&lt;&gt;"",ISNUMBER(MATCH(E403,Parameter!$I$35:$I$52,0))),VLOOKUP(E403,Parameter!$I$35:$J$52,2,0),IFERROR(VLOOKUP(D403,Parameter!$A$35:$C$64,2,0),"Nein"))</f>
        <v>Nein</v>
      </c>
      <c r="BW403" s="59" t="n">
        <f aca="false">IF(BT403=0,0,IF(N(S403)&gt;0,S403,IFERROR(VLOOKUP(D403,Parameter!$A$35:$C$64,3,0)+0,0)))</f>
        <v>0</v>
      </c>
      <c r="BX403" s="55" t="str">
        <f aca="false">IF(AA403&lt;&gt;"",AA403,Z403)</f>
        <v>-</v>
      </c>
      <c r="BY403" s="55" t="str">
        <f aca="false">IF(BX403=1,"L1",IF(OR(BX403=2,BX403=3),"L23",IF(BX403="Aussen","Aussen","-")))</f>
        <v>-</v>
      </c>
      <c r="BZ403" s="66" t="n">
        <f aca="false">IF(N(AB403)&gt;0,AB403,0)</f>
        <v>0</v>
      </c>
      <c r="CA403" s="60" t="n">
        <f aca="false">IF(ISNUMBER(AE403),1,0)</f>
        <v>0</v>
      </c>
      <c r="CB403" s="57" t="n">
        <f aca="false">N(AE403)</f>
        <v>0</v>
      </c>
      <c r="CC403" s="57" t="n">
        <f aca="false">N(M403)+N(N403)</f>
        <v>1</v>
      </c>
      <c r="CD403" s="57" t="n">
        <f aca="false">ROUNDUP(H403/BS403,0)</f>
        <v>1</v>
      </c>
      <c r="CE403" s="57" t="n">
        <f aca="false">ROUNDUP(CB403/BS403,0)</f>
        <v>0</v>
      </c>
      <c r="CF403" s="60" t="n">
        <f aca="false">IF(BT403=1,0,IFERROR(VLOOKUP(BR403,'Gebinde-Kategorie'!$A$5:$M$45,5,0)+0,0))</f>
        <v>20</v>
      </c>
      <c r="CG403" s="60" t="n">
        <f aca="false">IFERROR(IF(OR(BX403=1,BX403=2,BX403=3),N(INDEX(Parameter!$I$5:$I$7,BX403)),0),0)</f>
        <v>0</v>
      </c>
      <c r="CH403" s="59" t="n">
        <f aca="false">IF(AND(Parameter!$B$21="Ja",ISNUMBER(W403),N(X403)&gt;0),IFERROR(N(INDEX(Parameter!$L$5:$L$7,W403))*INDEX(Parameter!$E$5:$E$7,W403)*X403/SUMIFS($X$7:$X$1843,$W$7:$W$1843,W403),0),0)</f>
        <v>0</v>
      </c>
    </row>
    <row r="404" customFormat="false" ht="15" hidden="false" customHeight="false" outlineLevel="0" collapsed="false">
      <c r="A404" s="55" t="s">
        <v>942</v>
      </c>
      <c r="B404" s="55" t="s">
        <v>943</v>
      </c>
      <c r="C404" s="55" t="s">
        <v>164</v>
      </c>
      <c r="D404" s="55" t="s">
        <v>184</v>
      </c>
      <c r="E404" s="55" t="s">
        <v>185</v>
      </c>
      <c r="F404" s="55" t="s">
        <v>218</v>
      </c>
      <c r="G404" s="56" t="n">
        <v>10.8</v>
      </c>
      <c r="H404" s="57" t="n">
        <f aca="false">MAX(0,IF(AND(Parameter!$B$21="Ja",ISNUMBER(Y404)),Y404,IF(Parameter!$B$20="Jahresanfang 2025 + Export",BL404+BK404,BK404)))</f>
        <v>12</v>
      </c>
      <c r="I404" s="57" t="n">
        <f aca="false">H404*G404</f>
        <v>129.6</v>
      </c>
      <c r="J404" s="57" t="n">
        <f aca="false">BN404*Parameter!$B$18</f>
        <v>7</v>
      </c>
      <c r="K404" s="58" t="n">
        <v>2</v>
      </c>
      <c r="L404" s="59" t="n">
        <v>3.5</v>
      </c>
      <c r="M404" s="57" t="n">
        <v>0</v>
      </c>
      <c r="N404" s="57" t="n">
        <v>5</v>
      </c>
      <c r="O404" s="60" t="n">
        <v>28</v>
      </c>
      <c r="P404" s="55" t="s">
        <v>476</v>
      </c>
      <c r="Q404" s="57" t="n">
        <v>5</v>
      </c>
      <c r="R404" s="60" t="n">
        <f aca="false">IF(BT404=1,0,IFERROR(VLOOKUP(BR404,'Gebinde-Kategorie'!$A$5:$M$45,13,0)+0,0))</f>
        <v>66</v>
      </c>
      <c r="S404" s="61"/>
      <c r="T404" s="62"/>
      <c r="U404" s="62"/>
      <c r="V404" s="62"/>
      <c r="W404" s="55"/>
      <c r="X404" s="57"/>
      <c r="Y404" s="57"/>
      <c r="Z404" s="55" t="n">
        <f aca="false">IF(A404="","",IF(AND(Parameter!$B$21="Ja",ISNUMBER(W404)),W404,IF(BV404="2+3",IF(ISNUMBER(SEARCH("grosser Artikel",BO404)),2,IFERROR(VLOOKUP(BR404,Parameter!$F$35:$G$64,2,0),2)),IF(OR(BV404="Nein",BV404=""),"-",BV404))))</f>
        <v>3</v>
      </c>
      <c r="AA404" s="62"/>
      <c r="AB404" s="63"/>
      <c r="AC404" s="57" t="n">
        <f aca="false">AR404</f>
        <v>5</v>
      </c>
      <c r="AD404" s="57" t="n">
        <f aca="false">MAX(AR404,H404)</f>
        <v>12</v>
      </c>
      <c r="AE404" s="64"/>
      <c r="AF404" s="57" t="n">
        <f aca="false">IF(LEFT(Cockpit!$C$5,1)="A",H404,IF(CA404=1,CB404,IF(LEFT(Cockpit!$C$5,1)="B",AJ404,MAX(AJ404,H404))))</f>
        <v>12</v>
      </c>
      <c r="AG404" s="57" t="n">
        <f aca="false">IF(BT404=1,0,ROUNDUP(AF404/BS404,0))</f>
        <v>3</v>
      </c>
      <c r="AH404" s="59" t="n">
        <f aca="false">IF(CH404&gt;0,CH404*MAX(1,AF404/X404),IF(BT404=1,IF(AF404&lt;=0,0,BW404*MAX(1,IF(H404&gt;0,AF404/H404,1))),IF(R404&gt;0,AG404/R404,0))/MAX(0.1,N(Parameter!$M$21)))</f>
        <v>0.0454545454545455</v>
      </c>
      <c r="AI404" s="57" t="n">
        <f aca="false">AF404*G404</f>
        <v>129.6</v>
      </c>
      <c r="AJ404" s="57" t="n">
        <f aca="false">ROUNDUP(MAX(J404/IF(BZ404&gt;0,BZ404,MAX(0.1,N(Cockpit!$C$6))),CC404)/BS404,0)*BS404</f>
        <v>5</v>
      </c>
      <c r="AK404" s="58" t="n">
        <f aca="false">IF(AH404&gt;0,J404/AH404,-1)</f>
        <v>154</v>
      </c>
      <c r="AL404" s="58" t="n">
        <f aca="false">IF(AND(OR(BY404="L1",BY404="L23"),AH404&gt;0),SUMIFS($AH$7:$AH$1843,$BY$7:$BY$1843,BY404,$AK$7:$AK$1843,"&gt;"&amp;AK404)+SUMIFS($AH$7:$AH$1843,$BY$7:$BY$1843,BY404,$AK$7:$AK$1843,AK404,$BQ$7:$BQ$1843,"&lt;="&amp;BQ404),"")</f>
        <v>34.822641126989</v>
      </c>
      <c r="AM404" s="65" t="n">
        <f aca="false">IF(AL404="",0,MAX(0,MIN(1,(IF(BY404="L1",Parameter!$E$5,Parameter!$E$6+Parameter!$E$7)-(AL404-AH404))/AH404)))</f>
        <v>1</v>
      </c>
      <c r="AN404" s="57" t="n">
        <f aca="false">IF(LEFT(Cockpit!$I$5,1)="A",H404,IF(CA404=1,CB404,IF(LEFT(Cockpit!$I$5,1)="B",AR404,MAX(AR404,H404))))</f>
        <v>12</v>
      </c>
      <c r="AO404" s="57" t="n">
        <f aca="false">IF(BT404=1,0,ROUNDUP(AN404/BS404,0))</f>
        <v>3</v>
      </c>
      <c r="AP404" s="59" t="n">
        <f aca="false">IF(CH404&gt;0,CH404*MAX(1,AN404/X404),IF(BT404=1,IF(AN404&lt;=0,0,BW404*MAX(1,IF(H404&gt;0,AN404/H404,1))),IF(R404&gt;0,AO404/R404,0))/MAX(0.1,N(Parameter!$M$21)))</f>
        <v>0.0454545454545455</v>
      </c>
      <c r="AQ404" s="57" t="n">
        <f aca="false">AN404*G404</f>
        <v>129.6</v>
      </c>
      <c r="AR404" s="57" t="n">
        <f aca="false">ROUNDUP(MAX(J404/IF(BZ404&gt;0,BZ404,MAX(0.1,N(Cockpit!$I$6))),CC404)/BS404,0)*BS404</f>
        <v>5</v>
      </c>
      <c r="AS404" s="58" t="n">
        <f aca="false">IF(AP404&gt;0,J404/AP404,-1)</f>
        <v>154</v>
      </c>
      <c r="AT404" s="58" t="n">
        <f aca="false">IF(AND(OR(BY404="L1",BY404="L23"),AP404&gt;0),SUMIFS($AP$7:$AP$1843,$BY$7:$BY$1843,BY404,$AS$7:$AS$1843,"&gt;"&amp;AS404)+SUMIFS($AP$7:$AP$1843,$BY$7:$BY$1843,BY404,$AS$7:$AS$1843,AS404,$BQ$7:$BQ$1843,"&lt;="&amp;BQ404),"")</f>
        <v>49.1127326779501</v>
      </c>
      <c r="AU404" s="65" t="n">
        <f aca="false">IF(AT404="",0,MAX(0,MIN(1,(IF(BY404="L1",Parameter!$E$5,Parameter!$E$6+Parameter!$E$7)-(AT404-AP404))/AP404)))</f>
        <v>1</v>
      </c>
      <c r="AV404" s="57" t="n">
        <f aca="false">IF(LEFT(Cockpit!$O$5,1)="A",H404,IF(CA404=1,CB404,IF(LEFT(Cockpit!$O$5,1)="B",AZ404,MAX(AZ404,H404))))</f>
        <v>12</v>
      </c>
      <c r="AW404" s="57" t="n">
        <f aca="false">IF(BT404=1,0,ROUNDUP(AV404/BS404,0))</f>
        <v>3</v>
      </c>
      <c r="AX404" s="59" t="n">
        <f aca="false">IF(CH404&gt;0,CH404*MAX(1,AV404/X404),IF(BT404=1,IF(AV404&lt;=0,0,BW404*MAX(1,IF(H404&gt;0,AV404/H404,1))),IF(R404&gt;0,AW404/R404,0))/MAX(0.1,N(Parameter!$M$21)))</f>
        <v>0.0454545454545455</v>
      </c>
      <c r="AY404" s="57" t="n">
        <f aca="false">AV404*G404</f>
        <v>129.6</v>
      </c>
      <c r="AZ404" s="57" t="n">
        <f aca="false">ROUNDUP(MAX(J404/IF(BZ404&gt;0,BZ404,MAX(0.1,N(Cockpit!$O$6))),CC404)/BS404,0)*BS404</f>
        <v>5</v>
      </c>
      <c r="BA404" s="58" t="n">
        <f aca="false">IF(AX404&gt;0,J404/AX404,-1)</f>
        <v>154</v>
      </c>
      <c r="BB404" s="58" t="n">
        <f aca="false">IF(AND(OR(BY404="L1",BY404="L23"),AX404&gt;0),SUMIFS($AX$7:$AX$1843,$BY$7:$BY$1843,BY404,$BA$7:$BA$1843,"&gt;"&amp;BA404)+SUMIFS($AX$7:$AX$1843,$BY$7:$BY$1843,BY404,$BA$7:$BA$1843,BA404,$BQ$7:$BQ$1843,"&lt;="&amp;BQ404),"")</f>
        <v>44.6925695077869</v>
      </c>
      <c r="BC404" s="65" t="n">
        <f aca="false">IF(BB404="",0,MAX(0,MIN(1,(IF(BY404="L1",Parameter!$E$5,Parameter!$E$6+Parameter!$E$7)-(BB404-AX404))/AX404)))</f>
        <v>1</v>
      </c>
      <c r="BD404" s="55" t="str">
        <f aca="false">IF(AH404&lt;=0,"",IF(BY404="Aussen","Aussenlager",IF(BY404="-","Nicht im Lift",IF(AM404&gt;=1,"Lift",IF(AM404&lt;=0,"Aussenlager","teilweise")))))</f>
        <v>Lift</v>
      </c>
      <c r="BE404" s="55" t="str">
        <f aca="false">IF(AP404&lt;=0,"",IF(BY404="Aussen","Aussenlager",IF(BY404="-","Nicht im Lift",IF(AU404&gt;=1,"Lift",IF(AU404&lt;=0,"Aussenlager","teilweise")))))</f>
        <v>Lift</v>
      </c>
      <c r="BF404" s="55" t="str">
        <f aca="false">IF(AX404&lt;=0,"",IF(BY404="Aussen","Aussenlager",IF(BY404="-","Nicht im Lift",IF(BC404&gt;=1,"Lift",IF(BC404&lt;=0,"Aussenlager","teilweise")))))</f>
        <v>Lift</v>
      </c>
      <c r="BG404" s="55" t="str">
        <f aca="false">IF(A404="","",IF(BP404=1,"Neu; ","")&amp;IF(AND(BP404=0,BK404&lt;0),"negativer Bestand (Export "&amp;BK404&amp;"); ","")&amp;IF(J404&lt;=0,"Kein Verbrauch; ","")&amp;IF(CH404&gt;0,"Lift "&amp;W404&amp;" lt. Liftbericht (Fach "&amp;X404&amp;" Stk); ",IF(BU404=1,"Gebinde geschätzt ("&amp;T404&amp;"); ",IF(BT404=1,"Lose – Tablare geschätzt; ","")))&amp;IF(H404&gt;AR404,"Überbestand "&amp;ROUND(H404-AR404,0)&amp;" Stk / CHF "&amp;ROUND((H404-AR404)*G404,0)&amp;"; ","")&amp;IF(AND(CA404=1,CB404&lt;CC404),"MAX &lt; MB+LG; ","")&amp;IF(AND(CG404&gt;0,CF404*10&gt;CG404),"zu hoch für Tablar; ","")&amp;IF(AND(BP404=0,OR(CA404=1,AA404&lt;&gt;"",U404&lt;&gt;"",V404&lt;&gt;"",AB404&lt;&gt;"")),"manuell übersteuert; ","")&amp;IF(AND(BT404=0,R404=0),"Gebinde unbekannt / Stellmass fehlt; ","")&amp;IF(AND(BT404=0,N(V404)&lt;=0,N(Q404)&lt;=0),"Menge pro Gebinde fehlt (Ist = 1 Gebinde); ","")&amp;BO404)</f>
        <v>Überbestand 7 Stk / CHF 76; </v>
      </c>
      <c r="BH404" s="55"/>
      <c r="BI404" s="55"/>
      <c r="BJ404" s="62"/>
      <c r="BK404" s="57" t="n">
        <v>10</v>
      </c>
      <c r="BL404" s="57" t="n">
        <v>2</v>
      </c>
      <c r="BM404" s="56" t="n">
        <v>108</v>
      </c>
      <c r="BN404" s="57" t="n">
        <v>7</v>
      </c>
      <c r="BO404" s="55"/>
      <c r="BP404" s="60" t="n">
        <v>0</v>
      </c>
      <c r="BQ404" s="60" t="n">
        <v>404</v>
      </c>
      <c r="BR404" s="55" t="str">
        <f aca="false">IF(U404&lt;&gt;"",UPPER(TRIM(U404)),IF(BU404=1,UPPER(VLOOKUP(T404,Parameter!$I$27:$K$29,2,0)),IF(P404="","LOSE",P404)))</f>
        <v>S33</v>
      </c>
      <c r="BS404" s="57" t="n">
        <f aca="false">IF(BR404="LOSE",1,IF(N(V404)&gt;0,V404,IF(BU404=1,MAX(1,N(VLOOKUP(T404,Parameter!$I$27:$K$29,3,0)),H404,N(N404)),IF(N(Q404)&gt;0,Q404,MAX(1,H404)))))</f>
        <v>5</v>
      </c>
      <c r="BT404" s="60" t="n">
        <f aca="false">IF(BR404="LOSE",1,0)</f>
        <v>0</v>
      </c>
      <c r="BU404" s="60" t="n">
        <f aca="false">IF(AND(U404="",OR(P404="",P404="LOSE"),T404&lt;&gt;"",N(S404)&lt;=0,ISNUMBER(MATCH(T404,Parameter!$I$27:$I$29,0))),1,0)</f>
        <v>0</v>
      </c>
      <c r="BV404" s="55" t="str">
        <f aca="false">IF(AND(Parameter!$B$19="Ja",E404&lt;&gt;"",ISNUMBER(MATCH(E404,Parameter!$I$35:$I$52,0))),VLOOKUP(E404,Parameter!$I$35:$J$52,2,0),IFERROR(VLOOKUP(D404,Parameter!$A$35:$C$64,2,0),"Nein"))</f>
        <v>2+3</v>
      </c>
      <c r="BW404" s="59" t="n">
        <f aca="false">IF(BT404=0,0,IF(N(S404)&gt;0,S404,IFERROR(VLOOKUP(D404,Parameter!$A$35:$C$64,3,0)+0,0)))</f>
        <v>0</v>
      </c>
      <c r="BX404" s="55" t="n">
        <f aca="false">IF(AA404&lt;&gt;"",AA404,Z404)</f>
        <v>3</v>
      </c>
      <c r="BY404" s="55" t="str">
        <f aca="false">IF(BX404=1,"L1",IF(OR(BX404=2,BX404=3),"L23",IF(BX404="Aussen","Aussen","-")))</f>
        <v>L23</v>
      </c>
      <c r="BZ404" s="66" t="n">
        <f aca="false">IF(N(AB404)&gt;0,AB404,0)</f>
        <v>0</v>
      </c>
      <c r="CA404" s="60" t="n">
        <f aca="false">IF(ISNUMBER(AE404),1,0)</f>
        <v>0</v>
      </c>
      <c r="CB404" s="57" t="n">
        <f aca="false">N(AE404)</f>
        <v>0</v>
      </c>
      <c r="CC404" s="57" t="n">
        <f aca="false">N(M404)+N(N404)</f>
        <v>5</v>
      </c>
      <c r="CD404" s="57" t="n">
        <f aca="false">ROUNDUP(H404/BS404,0)</f>
        <v>3</v>
      </c>
      <c r="CE404" s="57" t="n">
        <f aca="false">ROUNDUP(CB404/BS404,0)</f>
        <v>0</v>
      </c>
      <c r="CF404" s="60" t="n">
        <f aca="false">IF(BT404=1,0,IFERROR(VLOOKUP(BR404,'Gebinde-Kategorie'!$A$5:$M$45,5,0)+0,0))</f>
        <v>8</v>
      </c>
      <c r="CG404" s="60" t="n">
        <f aca="false">IFERROR(IF(OR(BX404=1,BX404=2,BX404=3),N(INDEX(Parameter!$I$5:$I$7,BX404)),0),0)</f>
        <v>0</v>
      </c>
      <c r="CH404" s="59" t="n">
        <f aca="false">IF(AND(Parameter!$B$21="Ja",ISNUMBER(W404),N(X404)&gt;0),IFERROR(N(INDEX(Parameter!$L$5:$L$7,W404))*INDEX(Parameter!$E$5:$E$7,W404)*X404/SUMIFS($X$7:$X$1843,$W$7:$W$1843,W404),0),0)</f>
        <v>0</v>
      </c>
    </row>
    <row r="405" customFormat="false" ht="15" hidden="false" customHeight="false" outlineLevel="0" collapsed="false">
      <c r="A405" s="55" t="s">
        <v>944</v>
      </c>
      <c r="B405" s="55" t="s">
        <v>945</v>
      </c>
      <c r="C405" s="55" t="s">
        <v>164</v>
      </c>
      <c r="D405" s="55" t="s">
        <v>184</v>
      </c>
      <c r="E405" s="55"/>
      <c r="F405" s="55" t="s">
        <v>218</v>
      </c>
      <c r="G405" s="56" t="n">
        <v>22.9</v>
      </c>
      <c r="H405" s="57" t="n">
        <f aca="false">MAX(0,IF(AND(Parameter!$B$21="Ja",ISNUMBER(Y405)),Y405,IF(Parameter!$B$20="Jahresanfang 2025 + Export",BL405+BK405,BK405)))</f>
        <v>4.685</v>
      </c>
      <c r="I405" s="57" t="n">
        <f aca="false">H405*G405</f>
        <v>107.2865</v>
      </c>
      <c r="J405" s="57" t="n">
        <f aca="false">BN405*Parameter!$B$18</f>
        <v>0</v>
      </c>
      <c r="K405" s="58" t="n">
        <v>0</v>
      </c>
      <c r="L405" s="59" t="n">
        <v>0</v>
      </c>
      <c r="M405" s="57" t="n">
        <v>1</v>
      </c>
      <c r="N405" s="57" t="n">
        <v>5</v>
      </c>
      <c r="O405" s="60" t="n">
        <v>0</v>
      </c>
      <c r="P405" s="55" t="s">
        <v>168</v>
      </c>
      <c r="Q405" s="57"/>
      <c r="R405" s="60" t="n">
        <f aca="false">IF(BT405=1,0,IFERROR(VLOOKUP(BR405,'Gebinde-Kategorie'!$A$5:$M$45,13,0)+0,0))</f>
        <v>26</v>
      </c>
      <c r="S405" s="61"/>
      <c r="T405" s="62" t="s">
        <v>275</v>
      </c>
      <c r="U405" s="62"/>
      <c r="V405" s="62"/>
      <c r="W405" s="55"/>
      <c r="X405" s="57"/>
      <c r="Y405" s="57"/>
      <c r="Z405" s="55" t="n">
        <f aca="false">IF(A405="","",IF(AND(Parameter!$B$21="Ja",ISNUMBER(W405)),W405,IF(BV405="2+3",IF(ISNUMBER(SEARCH("grosser Artikel",BO405)),2,IFERROR(VLOOKUP(BR405,Parameter!$F$35:$G$64,2,0),2)),IF(OR(BV405="Nein",BV405=""),"-",BV405))))</f>
        <v>3</v>
      </c>
      <c r="AA405" s="62"/>
      <c r="AB405" s="63"/>
      <c r="AC405" s="57" t="n">
        <f aca="false">AR405</f>
        <v>20</v>
      </c>
      <c r="AD405" s="57" t="n">
        <f aca="false">MAX(AR405,H405)</f>
        <v>20</v>
      </c>
      <c r="AE405" s="64"/>
      <c r="AF405" s="57" t="n">
        <f aca="false">IF(LEFT(Cockpit!$C$5,1)="A",H405,IF(CA405=1,CB405,IF(LEFT(Cockpit!$C$5,1)="B",AJ405,MAX(AJ405,H405))))</f>
        <v>4.685</v>
      </c>
      <c r="AG405" s="57" t="n">
        <f aca="false">IF(BT405=1,0,ROUNDUP(AF405/BS405,0))</f>
        <v>1</v>
      </c>
      <c r="AH405" s="59" t="n">
        <f aca="false">IF(CH405&gt;0,CH405*MAX(1,AF405/X405),IF(BT405=1,IF(AF405&lt;=0,0,BW405*MAX(1,IF(H405&gt;0,AF405/H405,1))),IF(R405&gt;0,AG405/R405,0))/MAX(0.1,N(Parameter!$M$21)))</f>
        <v>0.0384615384615385</v>
      </c>
      <c r="AI405" s="57" t="n">
        <f aca="false">AF405*G405</f>
        <v>107.2865</v>
      </c>
      <c r="AJ405" s="57" t="n">
        <f aca="false">ROUNDUP(MAX(J405/IF(BZ405&gt;0,BZ405,MAX(0.1,N(Cockpit!$C$6))),CC405)/BS405,0)*BS405</f>
        <v>20</v>
      </c>
      <c r="AK405" s="58" t="n">
        <f aca="false">IF(AH405&gt;0,J405/AH405,-1)</f>
        <v>0</v>
      </c>
      <c r="AL405" s="58" t="n">
        <f aca="false">IF(AND(OR(BY405="L1",BY405="L23"),AH405&gt;0),SUMIFS($AH$7:$AH$1843,$BY$7:$BY$1843,BY405,$AK$7:$AK$1843,"&gt;"&amp;AK405)+SUMIFS($AH$7:$AH$1843,$BY$7:$BY$1843,BY405,$AK$7:$AK$1843,AK405,$BQ$7:$BQ$1843,"&lt;="&amp;BQ405),"")</f>
        <v>73.7158035201514</v>
      </c>
      <c r="AM405" s="65" t="n">
        <f aca="false">IF(AL405="",0,MAX(0,MIN(1,(IF(BY405="L1",Parameter!$E$5,Parameter!$E$6+Parameter!$E$7)-(AL405-AH405))/AH405)))</f>
        <v>1</v>
      </c>
      <c r="AN405" s="57" t="n">
        <f aca="false">IF(LEFT(Cockpit!$I$5,1)="A",H405,IF(CA405=1,CB405,IF(LEFT(Cockpit!$I$5,1)="B",AR405,MAX(AR405,H405))))</f>
        <v>20</v>
      </c>
      <c r="AO405" s="57" t="n">
        <f aca="false">IF(BT405=1,0,ROUNDUP(AN405/BS405,0))</f>
        <v>1</v>
      </c>
      <c r="AP405" s="59" t="n">
        <f aca="false">IF(CH405&gt;0,CH405*MAX(1,AN405/X405),IF(BT405=1,IF(AN405&lt;=0,0,BW405*MAX(1,IF(H405&gt;0,AN405/H405,1))),IF(R405&gt;0,AO405/R405,0))/MAX(0.1,N(Parameter!$M$21)))</f>
        <v>0.0384615384615385</v>
      </c>
      <c r="AQ405" s="57" t="n">
        <f aca="false">AN405*G405</f>
        <v>458</v>
      </c>
      <c r="AR405" s="57" t="n">
        <f aca="false">ROUNDUP(MAX(J405/IF(BZ405&gt;0,BZ405,MAX(0.1,N(Cockpit!$I$6))),CC405)/BS405,0)*BS405</f>
        <v>20</v>
      </c>
      <c r="AS405" s="58" t="n">
        <f aca="false">IF(AP405&gt;0,J405/AP405,-1)</f>
        <v>0</v>
      </c>
      <c r="AT405" s="58" t="n">
        <f aca="false">IF(AND(OR(BY405="L1",BY405="L23"),AP405&gt;0),SUMIFS($AP$7:$AP$1843,$BY$7:$BY$1843,BY405,$AS$7:$AS$1843,"&gt;"&amp;AS405)+SUMIFS($AP$7:$AP$1843,$BY$7:$BY$1843,BY405,$AS$7:$AS$1843,AS405,$BQ$7:$BQ$1843,"&lt;="&amp;BQ405),"")</f>
        <v>113.139927705145</v>
      </c>
      <c r="AU405" s="65" t="n">
        <f aca="false">IF(AT405="",0,MAX(0,MIN(1,(IF(BY405="L1",Parameter!$E$5,Parameter!$E$6+Parameter!$E$7)-(AT405-AP405))/AP405)))</f>
        <v>0</v>
      </c>
      <c r="AV405" s="57" t="n">
        <f aca="false">IF(LEFT(Cockpit!$O$5,1)="A",H405,IF(CA405=1,CB405,IF(LEFT(Cockpit!$O$5,1)="B",AZ405,MAX(AZ405,H405))))</f>
        <v>20</v>
      </c>
      <c r="AW405" s="57" t="n">
        <f aca="false">IF(BT405=1,0,ROUNDUP(AV405/BS405,0))</f>
        <v>1</v>
      </c>
      <c r="AX405" s="59" t="n">
        <f aca="false">IF(CH405&gt;0,CH405*MAX(1,AV405/X405),IF(BT405=1,IF(AV405&lt;=0,0,BW405*MAX(1,IF(H405&gt;0,AV405/H405,1))),IF(R405&gt;0,AW405/R405,0))/MAX(0.1,N(Parameter!$M$21)))</f>
        <v>0.0384615384615385</v>
      </c>
      <c r="AY405" s="57" t="n">
        <f aca="false">AV405*G405</f>
        <v>458</v>
      </c>
      <c r="AZ405" s="57" t="n">
        <f aca="false">ROUNDUP(MAX(J405/IF(BZ405&gt;0,BZ405,MAX(0.1,N(Cockpit!$O$6))),CC405)/BS405,0)*BS405</f>
        <v>20</v>
      </c>
      <c r="BA405" s="58" t="n">
        <f aca="false">IF(AX405&gt;0,J405/AX405,-1)</f>
        <v>0</v>
      </c>
      <c r="BB405" s="58" t="n">
        <f aca="false">IF(AND(OR(BY405="L1",BY405="L23"),AX405&gt;0),SUMIFS($AX$7:$AX$1843,$BY$7:$BY$1843,BY405,$BA$7:$BA$1843,"&gt;"&amp;BA405)+SUMIFS($AX$7:$AX$1843,$BY$7:$BY$1843,BY405,$BA$7:$BA$1843,BA405,$BQ$7:$BQ$1843,"&lt;="&amp;BQ405),"")</f>
        <v>103.969764534982</v>
      </c>
      <c r="BC405" s="65" t="n">
        <f aca="false">IF(BB405="",0,MAX(0,MIN(1,(IF(BY405="L1",Parameter!$E$5,Parameter!$E$6+Parameter!$E$7)-(BB405-AX405))/AX405)))</f>
        <v>0</v>
      </c>
      <c r="BD405" s="55" t="str">
        <f aca="false">IF(AH405&lt;=0,"",IF(BY405="Aussen","Aussenlager",IF(BY405="-","Nicht im Lift",IF(AM405&gt;=1,"Lift",IF(AM405&lt;=0,"Aussenlager","teilweise")))))</f>
        <v>Lift</v>
      </c>
      <c r="BE405" s="55" t="str">
        <f aca="false">IF(AP405&lt;=0,"",IF(BY405="Aussen","Aussenlager",IF(BY405="-","Nicht im Lift",IF(AU405&gt;=1,"Lift",IF(AU405&lt;=0,"Aussenlager","teilweise")))))</f>
        <v>Aussenlager</v>
      </c>
      <c r="BF405" s="55" t="str">
        <f aca="false">IF(AX405&lt;=0,"",IF(BY405="Aussen","Aussenlager",IF(BY405="-","Nicht im Lift",IF(BC405&gt;=1,"Lift",IF(BC405&lt;=0,"Aussenlager","teilweise")))))</f>
        <v>Aussenlager</v>
      </c>
      <c r="BG405" s="55" t="str">
        <f aca="false">IF(A405="","",IF(BP405=1,"Neu; ","")&amp;IF(AND(BP405=0,BK405&lt;0),"negativer Bestand (Export "&amp;BK405&amp;"); ","")&amp;IF(J405&lt;=0,"Kein Verbrauch; ","")&amp;IF(CH405&gt;0,"Lift "&amp;W405&amp;" lt. Liftbericht (Fach "&amp;X405&amp;" Stk); ",IF(BU405=1,"Gebinde geschätzt ("&amp;T405&amp;"); ",IF(BT405=1,"Lose – Tablare geschätzt; ","")))&amp;IF(H405&gt;AR405,"Überbestand "&amp;ROUND(H405-AR405,0)&amp;" Stk / CHF "&amp;ROUND((H405-AR405)*G405,0)&amp;"; ","")&amp;IF(AND(CA405=1,CB405&lt;CC405),"MAX &lt; MB+LG; ","")&amp;IF(AND(CG405&gt;0,CF405*10&gt;CG405),"zu hoch für Tablar; ","")&amp;IF(AND(BP405=0,OR(CA405=1,AA405&lt;&gt;"",U405&lt;&gt;"",V405&lt;&gt;"",AB405&lt;&gt;"")),"manuell übersteuert; ","")&amp;IF(AND(BT405=0,R405=0),"Gebinde unbekannt / Stellmass fehlt; ","")&amp;IF(AND(BT405=0,N(V405)&lt;=0,N(Q405)&lt;=0),"Menge pro Gebinde fehlt (Ist = 1 Gebinde); ","")&amp;BO405)</f>
        <v>Kein Verbrauch; Gebinde geschätzt (Klein); Menge pro Gebinde fehlt (Ist = 1 Gebinde); </v>
      </c>
      <c r="BH405" s="55"/>
      <c r="BI405" s="55"/>
      <c r="BJ405" s="62"/>
      <c r="BK405" s="57" t="n">
        <v>4.685</v>
      </c>
      <c r="BL405" s="57" t="n">
        <v>0</v>
      </c>
      <c r="BM405" s="56" t="n">
        <v>107.29</v>
      </c>
      <c r="BN405" s="57" t="n">
        <v>0</v>
      </c>
      <c r="BO405" s="55"/>
      <c r="BP405" s="60" t="n">
        <v>0</v>
      </c>
      <c r="BQ405" s="60" t="n">
        <v>405</v>
      </c>
      <c r="BR405" s="55" t="str">
        <f aca="false">IF(U405&lt;&gt;"",UPPER(TRIM(U405)),IF(BU405=1,UPPER(VLOOKUP(T405,Parameter!$I$27:$K$29,2,0)),IF(P405="","LOSE",P405)))</f>
        <v>S51</v>
      </c>
      <c r="BS405" s="57" t="n">
        <f aca="false">IF(BR405="LOSE",1,IF(N(V405)&gt;0,V405,IF(BU405=1,MAX(1,N(VLOOKUP(T405,Parameter!$I$27:$K$29,3,0)),H405,N(N405)),IF(N(Q405)&gt;0,Q405,MAX(1,H405)))))</f>
        <v>20</v>
      </c>
      <c r="BT405" s="60" t="n">
        <f aca="false">IF(BR405="LOSE",1,0)</f>
        <v>0</v>
      </c>
      <c r="BU405" s="60" t="n">
        <f aca="false">IF(AND(U405="",OR(P405="",P405="LOSE"),T405&lt;&gt;"",N(S405)&lt;=0,ISNUMBER(MATCH(T405,Parameter!$I$27:$I$29,0))),1,0)</f>
        <v>1</v>
      </c>
      <c r="BV405" s="55" t="str">
        <f aca="false">IF(AND(Parameter!$B$19="Ja",E405&lt;&gt;"",ISNUMBER(MATCH(E405,Parameter!$I$35:$I$52,0))),VLOOKUP(E405,Parameter!$I$35:$J$52,2,0),IFERROR(VLOOKUP(D405,Parameter!$A$35:$C$64,2,0),"Nein"))</f>
        <v>2+3</v>
      </c>
      <c r="BW405" s="59" t="n">
        <f aca="false">IF(BT405=0,0,IF(N(S405)&gt;0,S405,IFERROR(VLOOKUP(D405,Parameter!$A$35:$C$64,3,0)+0,0)))</f>
        <v>0</v>
      </c>
      <c r="BX405" s="55" t="n">
        <f aca="false">IF(AA405&lt;&gt;"",AA405,Z405)</f>
        <v>3</v>
      </c>
      <c r="BY405" s="55" t="str">
        <f aca="false">IF(BX405=1,"L1",IF(OR(BX405=2,BX405=3),"L23",IF(BX405="Aussen","Aussen","-")))</f>
        <v>L23</v>
      </c>
      <c r="BZ405" s="66" t="n">
        <f aca="false">IF(N(AB405)&gt;0,AB405,0)</f>
        <v>0</v>
      </c>
      <c r="CA405" s="60" t="n">
        <f aca="false">IF(ISNUMBER(AE405),1,0)</f>
        <v>0</v>
      </c>
      <c r="CB405" s="57" t="n">
        <f aca="false">N(AE405)</f>
        <v>0</v>
      </c>
      <c r="CC405" s="57" t="n">
        <f aca="false">N(M405)+N(N405)</f>
        <v>6</v>
      </c>
      <c r="CD405" s="57" t="n">
        <f aca="false">ROUNDUP(H405/BS405,0)</f>
        <v>1</v>
      </c>
      <c r="CE405" s="57" t="n">
        <f aca="false">ROUNDUP(CB405/BS405,0)</f>
        <v>0</v>
      </c>
      <c r="CF405" s="60" t="n">
        <f aca="false">IF(BT405=1,0,IFERROR(VLOOKUP(BR405,'Gebinde-Kategorie'!$A$5:$M$45,5,0)+0,0))</f>
        <v>11</v>
      </c>
      <c r="CG405" s="60" t="n">
        <f aca="false">IFERROR(IF(OR(BX405=1,BX405=2,BX405=3),N(INDEX(Parameter!$I$5:$I$7,BX405)),0),0)</f>
        <v>0</v>
      </c>
      <c r="CH405" s="59" t="n">
        <f aca="false">IF(AND(Parameter!$B$21="Ja",ISNUMBER(W405),N(X405)&gt;0),IFERROR(N(INDEX(Parameter!$L$5:$L$7,W405))*INDEX(Parameter!$E$5:$E$7,W405)*X405/SUMIFS($X$7:$X$1843,$W$7:$W$1843,W405),0),0)</f>
        <v>0</v>
      </c>
    </row>
    <row r="406" customFormat="false" ht="15" hidden="false" customHeight="false" outlineLevel="0" collapsed="false">
      <c r="A406" s="55" t="s">
        <v>946</v>
      </c>
      <c r="B406" s="55" t="s">
        <v>947</v>
      </c>
      <c r="C406" s="55" t="s">
        <v>164</v>
      </c>
      <c r="D406" s="55" t="s">
        <v>184</v>
      </c>
      <c r="E406" s="55"/>
      <c r="F406" s="55" t="s">
        <v>218</v>
      </c>
      <c r="G406" s="56" t="n">
        <v>4.65</v>
      </c>
      <c r="H406" s="57" t="n">
        <f aca="false">MAX(0,IF(AND(Parameter!$B$21="Ja",ISNUMBER(Y406)),Y406,IF(Parameter!$B$20="Jahresanfang 2025 + Export",BL406+BK406,BK406)))</f>
        <v>23</v>
      </c>
      <c r="I406" s="57" t="n">
        <f aca="false">H406*G406</f>
        <v>106.95</v>
      </c>
      <c r="J406" s="57" t="n">
        <f aca="false">BN406*Parameter!$B$18</f>
        <v>0</v>
      </c>
      <c r="K406" s="58" t="n">
        <v>0</v>
      </c>
      <c r="L406" s="59" t="n">
        <v>0</v>
      </c>
      <c r="M406" s="57" t="n">
        <v>0</v>
      </c>
      <c r="N406" s="57" t="n">
        <v>5</v>
      </c>
      <c r="O406" s="60" t="n">
        <v>9999</v>
      </c>
      <c r="P406" s="55" t="s">
        <v>168</v>
      </c>
      <c r="Q406" s="57"/>
      <c r="R406" s="60" t="n">
        <f aca="false">IF(BT406=1,0,IFERROR(VLOOKUP(BR406,'Gebinde-Kategorie'!$A$5:$M$45,13,0)+0,0))</f>
        <v>26</v>
      </c>
      <c r="S406" s="61"/>
      <c r="T406" s="62" t="s">
        <v>275</v>
      </c>
      <c r="U406" s="62"/>
      <c r="V406" s="62"/>
      <c r="W406" s="55"/>
      <c r="X406" s="57"/>
      <c r="Y406" s="57"/>
      <c r="Z406" s="55" t="n">
        <f aca="false">IF(A406="","",IF(AND(Parameter!$B$21="Ja",ISNUMBER(W406)),W406,IF(BV406="2+3",IF(ISNUMBER(SEARCH("grosser Artikel",BO406)),2,IFERROR(VLOOKUP(BR406,Parameter!$F$35:$G$64,2,0),2)),IF(OR(BV406="Nein",BV406=""),"-",BV406))))</f>
        <v>3</v>
      </c>
      <c r="AA406" s="62"/>
      <c r="AB406" s="63"/>
      <c r="AC406" s="57" t="n">
        <f aca="false">AR406</f>
        <v>23</v>
      </c>
      <c r="AD406" s="57" t="n">
        <f aca="false">MAX(AR406,H406)</f>
        <v>23</v>
      </c>
      <c r="AE406" s="64"/>
      <c r="AF406" s="57" t="n">
        <f aca="false">IF(LEFT(Cockpit!$C$5,1)="A",H406,IF(CA406=1,CB406,IF(LEFT(Cockpit!$C$5,1)="B",AJ406,MAX(AJ406,H406))))</f>
        <v>23</v>
      </c>
      <c r="AG406" s="57" t="n">
        <f aca="false">IF(BT406=1,0,ROUNDUP(AF406/BS406,0))</f>
        <v>1</v>
      </c>
      <c r="AH406" s="59" t="n">
        <f aca="false">IF(CH406&gt;0,CH406*MAX(1,AF406/X406),IF(BT406=1,IF(AF406&lt;=0,0,BW406*MAX(1,IF(H406&gt;0,AF406/H406,1))),IF(R406&gt;0,AG406/R406,0))/MAX(0.1,N(Parameter!$M$21)))</f>
        <v>0.0384615384615385</v>
      </c>
      <c r="AI406" s="57" t="n">
        <f aca="false">AF406*G406</f>
        <v>106.95</v>
      </c>
      <c r="AJ406" s="57" t="n">
        <f aca="false">ROUNDUP(MAX(J406/IF(BZ406&gt;0,BZ406,MAX(0.1,N(Cockpit!$C$6))),CC406)/BS406,0)*BS406</f>
        <v>23</v>
      </c>
      <c r="AK406" s="58" t="n">
        <f aca="false">IF(AH406&gt;0,J406/AH406,-1)</f>
        <v>0</v>
      </c>
      <c r="AL406" s="58" t="n">
        <f aca="false">IF(AND(OR(BY406="L1",BY406="L23"),AH406&gt;0),SUMIFS($AH$7:$AH$1843,$BY$7:$BY$1843,BY406,$AK$7:$AK$1843,"&gt;"&amp;AK406)+SUMIFS($AH$7:$AH$1843,$BY$7:$BY$1843,BY406,$AK$7:$AK$1843,AK406,$BQ$7:$BQ$1843,"&lt;="&amp;BQ406),"")</f>
        <v>73.7542650586129</v>
      </c>
      <c r="AM406" s="65" t="n">
        <f aca="false">IF(AL406="",0,MAX(0,MIN(1,(IF(BY406="L1",Parameter!$E$5,Parameter!$E$6+Parameter!$E$7)-(AL406-AH406))/AH406)))</f>
        <v>1</v>
      </c>
      <c r="AN406" s="57" t="n">
        <f aca="false">IF(LEFT(Cockpit!$I$5,1)="A",H406,IF(CA406=1,CB406,IF(LEFT(Cockpit!$I$5,1)="B",AR406,MAX(AR406,H406))))</f>
        <v>23</v>
      </c>
      <c r="AO406" s="57" t="n">
        <f aca="false">IF(BT406=1,0,ROUNDUP(AN406/BS406,0))</f>
        <v>1</v>
      </c>
      <c r="AP406" s="59" t="n">
        <f aca="false">IF(CH406&gt;0,CH406*MAX(1,AN406/X406),IF(BT406=1,IF(AN406&lt;=0,0,BW406*MAX(1,IF(H406&gt;0,AN406/H406,1))),IF(R406&gt;0,AO406/R406,0))/MAX(0.1,N(Parameter!$M$21)))</f>
        <v>0.0384615384615385</v>
      </c>
      <c r="AQ406" s="57" t="n">
        <f aca="false">AN406*G406</f>
        <v>106.95</v>
      </c>
      <c r="AR406" s="57" t="n">
        <f aca="false">ROUNDUP(MAX(J406/IF(BZ406&gt;0,BZ406,MAX(0.1,N(Cockpit!$I$6))),CC406)/BS406,0)*BS406</f>
        <v>23</v>
      </c>
      <c r="AS406" s="58" t="n">
        <f aca="false">IF(AP406&gt;0,J406/AP406,-1)</f>
        <v>0</v>
      </c>
      <c r="AT406" s="58" t="n">
        <f aca="false">IF(AND(OR(BY406="L1",BY406="L23"),AP406&gt;0),SUMIFS($AP$7:$AP$1843,$BY$7:$BY$1843,BY406,$AS$7:$AS$1843,"&gt;"&amp;AS406)+SUMIFS($AP$7:$AP$1843,$BY$7:$BY$1843,BY406,$AS$7:$AS$1843,AS406,$BQ$7:$BQ$1843,"&lt;="&amp;BQ406),"")</f>
        <v>113.178389243607</v>
      </c>
      <c r="AU406" s="65" t="n">
        <f aca="false">IF(AT406="",0,MAX(0,MIN(1,(IF(BY406="L1",Parameter!$E$5,Parameter!$E$6+Parameter!$E$7)-(AT406-AP406))/AP406)))</f>
        <v>0</v>
      </c>
      <c r="AV406" s="57" t="n">
        <f aca="false">IF(LEFT(Cockpit!$O$5,1)="A",H406,IF(CA406=1,CB406,IF(LEFT(Cockpit!$O$5,1)="B",AZ406,MAX(AZ406,H406))))</f>
        <v>23</v>
      </c>
      <c r="AW406" s="57" t="n">
        <f aca="false">IF(BT406=1,0,ROUNDUP(AV406/BS406,0))</f>
        <v>1</v>
      </c>
      <c r="AX406" s="59" t="n">
        <f aca="false">IF(CH406&gt;0,CH406*MAX(1,AV406/X406),IF(BT406=1,IF(AV406&lt;=0,0,BW406*MAX(1,IF(H406&gt;0,AV406/H406,1))),IF(R406&gt;0,AW406/R406,0))/MAX(0.1,N(Parameter!$M$21)))</f>
        <v>0.0384615384615385</v>
      </c>
      <c r="AY406" s="57" t="n">
        <f aca="false">AV406*G406</f>
        <v>106.95</v>
      </c>
      <c r="AZ406" s="57" t="n">
        <f aca="false">ROUNDUP(MAX(J406/IF(BZ406&gt;0,BZ406,MAX(0.1,N(Cockpit!$O$6))),CC406)/BS406,0)*BS406</f>
        <v>23</v>
      </c>
      <c r="BA406" s="58" t="n">
        <f aca="false">IF(AX406&gt;0,J406/AX406,-1)</f>
        <v>0</v>
      </c>
      <c r="BB406" s="58" t="n">
        <f aca="false">IF(AND(OR(BY406="L1",BY406="L23"),AX406&gt;0),SUMIFS($AX$7:$AX$1843,$BY$7:$BY$1843,BY406,$BA$7:$BA$1843,"&gt;"&amp;BA406)+SUMIFS($AX$7:$AX$1843,$BY$7:$BY$1843,BY406,$BA$7:$BA$1843,BA406,$BQ$7:$BQ$1843,"&lt;="&amp;BQ406),"")</f>
        <v>104.008226073443</v>
      </c>
      <c r="BC406" s="65" t="n">
        <f aca="false">IF(BB406="",0,MAX(0,MIN(1,(IF(BY406="L1",Parameter!$E$5,Parameter!$E$6+Parameter!$E$7)-(BB406-AX406))/AX406)))</f>
        <v>0</v>
      </c>
      <c r="BD406" s="55" t="str">
        <f aca="false">IF(AH406&lt;=0,"",IF(BY406="Aussen","Aussenlager",IF(BY406="-","Nicht im Lift",IF(AM406&gt;=1,"Lift",IF(AM406&lt;=0,"Aussenlager","teilweise")))))</f>
        <v>Lift</v>
      </c>
      <c r="BE406" s="55" t="str">
        <f aca="false">IF(AP406&lt;=0,"",IF(BY406="Aussen","Aussenlager",IF(BY406="-","Nicht im Lift",IF(AU406&gt;=1,"Lift",IF(AU406&lt;=0,"Aussenlager","teilweise")))))</f>
        <v>Aussenlager</v>
      </c>
      <c r="BF406" s="55" t="str">
        <f aca="false">IF(AX406&lt;=0,"",IF(BY406="Aussen","Aussenlager",IF(BY406="-","Nicht im Lift",IF(BC406&gt;=1,"Lift",IF(BC406&lt;=0,"Aussenlager","teilweise")))))</f>
        <v>Aussenlager</v>
      </c>
      <c r="BG406" s="55" t="str">
        <f aca="false">IF(A406="","",IF(BP406=1,"Neu; ","")&amp;IF(AND(BP406=0,BK406&lt;0),"negativer Bestand (Export "&amp;BK406&amp;"); ","")&amp;IF(J406&lt;=0,"Kein Verbrauch; ","")&amp;IF(CH406&gt;0,"Lift "&amp;W406&amp;" lt. Liftbericht (Fach "&amp;X406&amp;" Stk); ",IF(BU406=1,"Gebinde geschätzt ("&amp;T406&amp;"); ",IF(BT406=1,"Lose – Tablare geschätzt; ","")))&amp;IF(H406&gt;AR406,"Überbestand "&amp;ROUND(H406-AR406,0)&amp;" Stk / CHF "&amp;ROUND((H406-AR406)*G406,0)&amp;"; ","")&amp;IF(AND(CA406=1,CB406&lt;CC406),"MAX &lt; MB+LG; ","")&amp;IF(AND(CG406&gt;0,CF406*10&gt;CG406),"zu hoch für Tablar; ","")&amp;IF(AND(BP406=0,OR(CA406=1,AA406&lt;&gt;"",U406&lt;&gt;"",V406&lt;&gt;"",AB406&lt;&gt;"")),"manuell übersteuert; ","")&amp;IF(AND(BT406=0,R406=0),"Gebinde unbekannt / Stellmass fehlt; ","")&amp;IF(AND(BT406=0,N(V406)&lt;=0,N(Q406)&lt;=0),"Menge pro Gebinde fehlt (Ist = 1 Gebinde); ","")&amp;BO406)</f>
        <v>Kein Verbrauch; Gebinde geschätzt (Klein); Menge pro Gebinde fehlt (Ist = 1 Gebinde); </v>
      </c>
      <c r="BH406" s="55"/>
      <c r="BI406" s="55"/>
      <c r="BJ406" s="62"/>
      <c r="BK406" s="57" t="n">
        <v>23</v>
      </c>
      <c r="BL406" s="57" t="n">
        <v>0</v>
      </c>
      <c r="BM406" s="56" t="n">
        <v>106.95</v>
      </c>
      <c r="BN406" s="57" t="n">
        <v>0</v>
      </c>
      <c r="BO406" s="55"/>
      <c r="BP406" s="60" t="n">
        <v>0</v>
      </c>
      <c r="BQ406" s="60" t="n">
        <v>406</v>
      </c>
      <c r="BR406" s="55" t="str">
        <f aca="false">IF(U406&lt;&gt;"",UPPER(TRIM(U406)),IF(BU406=1,UPPER(VLOOKUP(T406,Parameter!$I$27:$K$29,2,0)),IF(P406="","LOSE",P406)))</f>
        <v>S51</v>
      </c>
      <c r="BS406" s="57" t="n">
        <f aca="false">IF(BR406="LOSE",1,IF(N(V406)&gt;0,V406,IF(BU406=1,MAX(1,N(VLOOKUP(T406,Parameter!$I$27:$K$29,3,0)),H406,N(N406)),IF(N(Q406)&gt;0,Q406,MAX(1,H406)))))</f>
        <v>23</v>
      </c>
      <c r="BT406" s="60" t="n">
        <f aca="false">IF(BR406="LOSE",1,0)</f>
        <v>0</v>
      </c>
      <c r="BU406" s="60" t="n">
        <f aca="false">IF(AND(U406="",OR(P406="",P406="LOSE"),T406&lt;&gt;"",N(S406)&lt;=0,ISNUMBER(MATCH(T406,Parameter!$I$27:$I$29,0))),1,0)</f>
        <v>1</v>
      </c>
      <c r="BV406" s="55" t="str">
        <f aca="false">IF(AND(Parameter!$B$19="Ja",E406&lt;&gt;"",ISNUMBER(MATCH(E406,Parameter!$I$35:$I$52,0))),VLOOKUP(E406,Parameter!$I$35:$J$52,2,0),IFERROR(VLOOKUP(D406,Parameter!$A$35:$C$64,2,0),"Nein"))</f>
        <v>2+3</v>
      </c>
      <c r="BW406" s="59" t="n">
        <f aca="false">IF(BT406=0,0,IF(N(S406)&gt;0,S406,IFERROR(VLOOKUP(D406,Parameter!$A$35:$C$64,3,0)+0,0)))</f>
        <v>0</v>
      </c>
      <c r="BX406" s="55" t="n">
        <f aca="false">IF(AA406&lt;&gt;"",AA406,Z406)</f>
        <v>3</v>
      </c>
      <c r="BY406" s="55" t="str">
        <f aca="false">IF(BX406=1,"L1",IF(OR(BX406=2,BX406=3),"L23",IF(BX406="Aussen","Aussen","-")))</f>
        <v>L23</v>
      </c>
      <c r="BZ406" s="66" t="n">
        <f aca="false">IF(N(AB406)&gt;0,AB406,0)</f>
        <v>0</v>
      </c>
      <c r="CA406" s="60" t="n">
        <f aca="false">IF(ISNUMBER(AE406),1,0)</f>
        <v>0</v>
      </c>
      <c r="CB406" s="57" t="n">
        <f aca="false">N(AE406)</f>
        <v>0</v>
      </c>
      <c r="CC406" s="57" t="n">
        <f aca="false">N(M406)+N(N406)</f>
        <v>5</v>
      </c>
      <c r="CD406" s="57" t="n">
        <f aca="false">ROUNDUP(H406/BS406,0)</f>
        <v>1</v>
      </c>
      <c r="CE406" s="57" t="n">
        <f aca="false">ROUNDUP(CB406/BS406,0)</f>
        <v>0</v>
      </c>
      <c r="CF406" s="60" t="n">
        <f aca="false">IF(BT406=1,0,IFERROR(VLOOKUP(BR406,'Gebinde-Kategorie'!$A$5:$M$45,5,0)+0,0))</f>
        <v>11</v>
      </c>
      <c r="CG406" s="60" t="n">
        <f aca="false">IFERROR(IF(OR(BX406=1,BX406=2,BX406=3),N(INDEX(Parameter!$I$5:$I$7,BX406)),0),0)</f>
        <v>0</v>
      </c>
      <c r="CH406" s="59" t="n">
        <f aca="false">IF(AND(Parameter!$B$21="Ja",ISNUMBER(W406),N(X406)&gt;0),IFERROR(N(INDEX(Parameter!$L$5:$L$7,W406))*INDEX(Parameter!$E$5:$E$7,W406)*X406/SUMIFS($X$7:$X$1843,$W$7:$W$1843,W406),0),0)</f>
        <v>0</v>
      </c>
    </row>
    <row r="407" customFormat="false" ht="15" hidden="false" customHeight="false" outlineLevel="0" collapsed="false">
      <c r="A407" s="55" t="s">
        <v>948</v>
      </c>
      <c r="B407" s="55" t="s">
        <v>949</v>
      </c>
      <c r="C407" s="55" t="s">
        <v>164</v>
      </c>
      <c r="D407" s="55" t="s">
        <v>184</v>
      </c>
      <c r="E407" s="55" t="s">
        <v>185</v>
      </c>
      <c r="F407" s="55" t="s">
        <v>218</v>
      </c>
      <c r="G407" s="56" t="n">
        <v>0.13</v>
      </c>
      <c r="H407" s="57" t="n">
        <f aca="false">MAX(0,IF(AND(Parameter!$B$21="Ja",ISNUMBER(Y407)),Y407,IF(Parameter!$B$20="Jahresanfang 2025 + Export",BL407+BK407,BK407)))</f>
        <v>929</v>
      </c>
      <c r="I407" s="57" t="n">
        <f aca="false">H407*G407</f>
        <v>120.77</v>
      </c>
      <c r="J407" s="57" t="n">
        <f aca="false">BN407*Parameter!$B$18</f>
        <v>678</v>
      </c>
      <c r="K407" s="58" t="n">
        <v>181</v>
      </c>
      <c r="L407" s="59" t="n">
        <v>3.74585635359116</v>
      </c>
      <c r="M407" s="57" t="n">
        <v>39</v>
      </c>
      <c r="N407" s="57" t="n">
        <v>680</v>
      </c>
      <c r="O407" s="60" t="n">
        <v>21</v>
      </c>
      <c r="P407" s="55" t="s">
        <v>476</v>
      </c>
      <c r="Q407" s="57" t="n">
        <v>598</v>
      </c>
      <c r="R407" s="60" t="n">
        <f aca="false">IF(BT407=1,0,IFERROR(VLOOKUP(BR407,'Gebinde-Kategorie'!$A$5:$M$45,13,0)+0,0))</f>
        <v>66</v>
      </c>
      <c r="S407" s="61"/>
      <c r="T407" s="62"/>
      <c r="U407" s="62"/>
      <c r="V407" s="62"/>
      <c r="W407" s="55"/>
      <c r="X407" s="57"/>
      <c r="Y407" s="57"/>
      <c r="Z407" s="55" t="n">
        <f aca="false">IF(A407="","",IF(AND(Parameter!$B$21="Ja",ISNUMBER(W407)),W407,IF(BV407="2+3",IF(ISNUMBER(SEARCH("grosser Artikel",BO407)),2,IFERROR(VLOOKUP(BR407,Parameter!$F$35:$G$64,2,0),2)),IF(OR(BV407="Nein",BV407=""),"-",BV407))))</f>
        <v>3</v>
      </c>
      <c r="AA407" s="62"/>
      <c r="AB407" s="63"/>
      <c r="AC407" s="57" t="n">
        <f aca="false">AR407</f>
        <v>1196</v>
      </c>
      <c r="AD407" s="57" t="n">
        <f aca="false">MAX(AR407,H407)</f>
        <v>1196</v>
      </c>
      <c r="AE407" s="64"/>
      <c r="AF407" s="57" t="n">
        <f aca="false">IF(LEFT(Cockpit!$C$5,1)="A",H407,IF(CA407=1,CB407,IF(LEFT(Cockpit!$C$5,1)="B",AJ407,MAX(AJ407,H407))))</f>
        <v>929</v>
      </c>
      <c r="AG407" s="57" t="n">
        <f aca="false">IF(BT407=1,0,ROUNDUP(AF407/BS407,0))</f>
        <v>2</v>
      </c>
      <c r="AH407" s="59" t="n">
        <f aca="false">IF(CH407&gt;0,CH407*MAX(1,AF407/X407),IF(BT407=1,IF(AF407&lt;=0,0,BW407*MAX(1,IF(H407&gt;0,AF407/H407,1))),IF(R407&gt;0,AG407/R407,0))/MAX(0.1,N(Parameter!$M$21)))</f>
        <v>0.0303030303030303</v>
      </c>
      <c r="AI407" s="57" t="n">
        <f aca="false">AF407*G407</f>
        <v>120.77</v>
      </c>
      <c r="AJ407" s="57" t="n">
        <f aca="false">ROUNDUP(MAX(J407/IF(BZ407&gt;0,BZ407,MAX(0.1,N(Cockpit!$C$6))),CC407)/BS407,0)*BS407</f>
        <v>1196</v>
      </c>
      <c r="AK407" s="58" t="n">
        <f aca="false">IF(AH407&gt;0,J407/AH407,-1)</f>
        <v>22374</v>
      </c>
      <c r="AL407" s="58" t="n">
        <f aca="false">IF(AND(OR(BY407="L1",BY407="L23"),AH407&gt;0),SUMIFS($AH$7:$AH$1843,$BY$7:$BY$1843,BY407,$AK$7:$AK$1843,"&gt;"&amp;AK407)+SUMIFS($AH$7:$AH$1843,$BY$7:$BY$1843,BY407,$AK$7:$AK$1843,AK407,$BQ$7:$BQ$1843,"&lt;="&amp;BQ407),"")</f>
        <v>3.4818333840073</v>
      </c>
      <c r="AM407" s="65" t="n">
        <f aca="false">IF(AL407="",0,MAX(0,MIN(1,(IF(BY407="L1",Parameter!$E$5,Parameter!$E$6+Parameter!$E$7)-(AL407-AH407))/AH407)))</f>
        <v>1</v>
      </c>
      <c r="AN407" s="57" t="n">
        <f aca="false">IF(LEFT(Cockpit!$I$5,1)="A",H407,IF(CA407=1,CB407,IF(LEFT(Cockpit!$I$5,1)="B",AR407,MAX(AR407,H407))))</f>
        <v>1196</v>
      </c>
      <c r="AO407" s="57" t="n">
        <f aca="false">IF(BT407=1,0,ROUNDUP(AN407/BS407,0))</f>
        <v>2</v>
      </c>
      <c r="AP407" s="59" t="n">
        <f aca="false">IF(CH407&gt;0,CH407*MAX(1,AN407/X407),IF(BT407=1,IF(AN407&lt;=0,0,BW407*MAX(1,IF(H407&gt;0,AN407/H407,1))),IF(R407&gt;0,AO407/R407,0))/MAX(0.1,N(Parameter!$M$21)))</f>
        <v>0.0303030303030303</v>
      </c>
      <c r="AQ407" s="57" t="n">
        <f aca="false">AN407*G407</f>
        <v>155.48</v>
      </c>
      <c r="AR407" s="57" t="n">
        <f aca="false">ROUNDUP(MAX(J407/IF(BZ407&gt;0,BZ407,MAX(0.1,N(Cockpit!$I$6))),CC407)/BS407,0)*BS407</f>
        <v>1196</v>
      </c>
      <c r="AS407" s="58" t="n">
        <f aca="false">IF(AP407&gt;0,J407/AP407,-1)</f>
        <v>22374</v>
      </c>
      <c r="AT407" s="58" t="n">
        <f aca="false">IF(AND(OR(BY407="L1",BY407="L23"),AP407&gt;0),SUMIFS($AP$7:$AP$1843,$BY$7:$BY$1843,BY407,$AS$7:$AS$1843,"&gt;"&amp;AS407)+SUMIFS($AP$7:$AP$1843,$BY$7:$BY$1843,BY407,$AS$7:$AS$1843,AS407,$BQ$7:$BQ$1843,"&lt;="&amp;BQ407),"")</f>
        <v>3.81580858754772</v>
      </c>
      <c r="AU407" s="65" t="n">
        <f aca="false">IF(AT407="",0,MAX(0,MIN(1,(IF(BY407="L1",Parameter!$E$5,Parameter!$E$6+Parameter!$E$7)-(AT407-AP407))/AP407)))</f>
        <v>1</v>
      </c>
      <c r="AV407" s="57" t="n">
        <f aca="false">IF(LEFT(Cockpit!$O$5,1)="A",H407,IF(CA407=1,CB407,IF(LEFT(Cockpit!$O$5,1)="B",AZ407,MAX(AZ407,H407))))</f>
        <v>1196</v>
      </c>
      <c r="AW407" s="57" t="n">
        <f aca="false">IF(BT407=1,0,ROUNDUP(AV407/BS407,0))</f>
        <v>2</v>
      </c>
      <c r="AX407" s="59" t="n">
        <f aca="false">IF(CH407&gt;0,CH407*MAX(1,AV407/X407),IF(BT407=1,IF(AV407&lt;=0,0,BW407*MAX(1,IF(H407&gt;0,AV407/H407,1))),IF(R407&gt;0,AW407/R407,0))/MAX(0.1,N(Parameter!$M$21)))</f>
        <v>0.0303030303030303</v>
      </c>
      <c r="AY407" s="57" t="n">
        <f aca="false">AV407*G407</f>
        <v>155.48</v>
      </c>
      <c r="AZ407" s="57" t="n">
        <f aca="false">ROUNDUP(MAX(J407/IF(BZ407&gt;0,BZ407,MAX(0.1,N(Cockpit!$O$6))),CC407)/BS407,0)*BS407</f>
        <v>1196</v>
      </c>
      <c r="BA407" s="58" t="n">
        <f aca="false">IF(AX407&gt;0,J407/AX407,-1)</f>
        <v>22374</v>
      </c>
      <c r="BB407" s="58" t="n">
        <f aca="false">IF(AND(OR(BY407="L1",BY407="L23"),AX407&gt;0),SUMIFS($AX$7:$AX$1843,$BY$7:$BY$1843,BY407,$BA$7:$BA$1843,"&gt;"&amp;BA407)+SUMIFS($AX$7:$AX$1843,$BY$7:$BY$1843,BY407,$BA$7:$BA$1843,BA407,$BQ$7:$BQ$1843,"&lt;="&amp;BQ407),"")</f>
        <v>3.46848924022837</v>
      </c>
      <c r="BC407" s="65" t="n">
        <f aca="false">IF(BB407="",0,MAX(0,MIN(1,(IF(BY407="L1",Parameter!$E$5,Parameter!$E$6+Parameter!$E$7)-(BB407-AX407))/AX407)))</f>
        <v>1</v>
      </c>
      <c r="BD407" s="55" t="str">
        <f aca="false">IF(AH407&lt;=0,"",IF(BY407="Aussen","Aussenlager",IF(BY407="-","Nicht im Lift",IF(AM407&gt;=1,"Lift",IF(AM407&lt;=0,"Aussenlager","teilweise")))))</f>
        <v>Lift</v>
      </c>
      <c r="BE407" s="55" t="str">
        <f aca="false">IF(AP407&lt;=0,"",IF(BY407="Aussen","Aussenlager",IF(BY407="-","Nicht im Lift",IF(AU407&gt;=1,"Lift",IF(AU407&lt;=0,"Aussenlager","teilweise")))))</f>
        <v>Lift</v>
      </c>
      <c r="BF407" s="55" t="str">
        <f aca="false">IF(AX407&lt;=0,"",IF(BY407="Aussen","Aussenlager",IF(BY407="-","Nicht im Lift",IF(BC407&gt;=1,"Lift",IF(BC407&lt;=0,"Aussenlager","teilweise")))))</f>
        <v>Lift</v>
      </c>
      <c r="BG407" s="55" t="str">
        <f aca="false">IF(A407="","",IF(BP407=1,"Neu; ","")&amp;IF(AND(BP407=0,BK407&lt;0),"negativer Bestand (Export "&amp;BK407&amp;"); ","")&amp;IF(J407&lt;=0,"Kein Verbrauch; ","")&amp;IF(CH407&gt;0,"Lift "&amp;W407&amp;" lt. Liftbericht (Fach "&amp;X407&amp;" Stk); ",IF(BU407=1,"Gebinde geschätzt ("&amp;T407&amp;"); ",IF(BT407=1,"Lose – Tablare geschätzt; ","")))&amp;IF(H407&gt;AR407,"Überbestand "&amp;ROUND(H407-AR407,0)&amp;" Stk / CHF "&amp;ROUND((H407-AR407)*G407,0)&amp;"; ","")&amp;IF(AND(CA407=1,CB407&lt;CC407),"MAX &lt; MB+LG; ","")&amp;IF(AND(CG407&gt;0,CF407*10&gt;CG407),"zu hoch für Tablar; ","")&amp;IF(AND(BP407=0,OR(CA407=1,AA407&lt;&gt;"",U407&lt;&gt;"",V407&lt;&gt;"",AB407&lt;&gt;"")),"manuell übersteuert; ","")&amp;IF(AND(BT407=0,R407=0),"Gebinde unbekannt / Stellmass fehlt; ","")&amp;IF(AND(BT407=0,N(V407)&lt;=0,N(Q407)&lt;=0),"Menge pro Gebinde fehlt (Ist = 1 Gebinde); ","")&amp;BO407)</f>
        <v/>
      </c>
      <c r="BH407" s="55"/>
      <c r="BI407" s="55"/>
      <c r="BJ407" s="62"/>
      <c r="BK407" s="57" t="n">
        <v>786</v>
      </c>
      <c r="BL407" s="57" t="n">
        <v>143</v>
      </c>
      <c r="BM407" s="56" t="n">
        <v>106.47</v>
      </c>
      <c r="BN407" s="57" t="n">
        <v>678</v>
      </c>
      <c r="BO407" s="55"/>
      <c r="BP407" s="60" t="n">
        <v>0</v>
      </c>
      <c r="BQ407" s="60" t="n">
        <v>407</v>
      </c>
      <c r="BR407" s="55" t="str">
        <f aca="false">IF(U407&lt;&gt;"",UPPER(TRIM(U407)),IF(BU407=1,UPPER(VLOOKUP(T407,Parameter!$I$27:$K$29,2,0)),IF(P407="","LOSE",P407)))</f>
        <v>S33</v>
      </c>
      <c r="BS407" s="57" t="n">
        <f aca="false">IF(BR407="LOSE",1,IF(N(V407)&gt;0,V407,IF(BU407=1,MAX(1,N(VLOOKUP(T407,Parameter!$I$27:$K$29,3,0)),H407,N(N407)),IF(N(Q407)&gt;0,Q407,MAX(1,H407)))))</f>
        <v>598</v>
      </c>
      <c r="BT407" s="60" t="n">
        <f aca="false">IF(BR407="LOSE",1,0)</f>
        <v>0</v>
      </c>
      <c r="BU407" s="60" t="n">
        <f aca="false">IF(AND(U407="",OR(P407="",P407="LOSE"),T407&lt;&gt;"",N(S407)&lt;=0,ISNUMBER(MATCH(T407,Parameter!$I$27:$I$29,0))),1,0)</f>
        <v>0</v>
      </c>
      <c r="BV407" s="55" t="str">
        <f aca="false">IF(AND(Parameter!$B$19="Ja",E407&lt;&gt;"",ISNUMBER(MATCH(E407,Parameter!$I$35:$I$52,0))),VLOOKUP(E407,Parameter!$I$35:$J$52,2,0),IFERROR(VLOOKUP(D407,Parameter!$A$35:$C$64,2,0),"Nein"))</f>
        <v>2+3</v>
      </c>
      <c r="BW407" s="59" t="n">
        <f aca="false">IF(BT407=0,0,IF(N(S407)&gt;0,S407,IFERROR(VLOOKUP(D407,Parameter!$A$35:$C$64,3,0)+0,0)))</f>
        <v>0</v>
      </c>
      <c r="BX407" s="55" t="n">
        <f aca="false">IF(AA407&lt;&gt;"",AA407,Z407)</f>
        <v>3</v>
      </c>
      <c r="BY407" s="55" t="str">
        <f aca="false">IF(BX407=1,"L1",IF(OR(BX407=2,BX407=3),"L23",IF(BX407="Aussen","Aussen","-")))</f>
        <v>L23</v>
      </c>
      <c r="BZ407" s="66" t="n">
        <f aca="false">IF(N(AB407)&gt;0,AB407,0)</f>
        <v>0</v>
      </c>
      <c r="CA407" s="60" t="n">
        <f aca="false">IF(ISNUMBER(AE407),1,0)</f>
        <v>0</v>
      </c>
      <c r="CB407" s="57" t="n">
        <f aca="false">N(AE407)</f>
        <v>0</v>
      </c>
      <c r="CC407" s="57" t="n">
        <f aca="false">N(M407)+N(N407)</f>
        <v>719</v>
      </c>
      <c r="CD407" s="57" t="n">
        <f aca="false">ROUNDUP(H407/BS407,0)</f>
        <v>2</v>
      </c>
      <c r="CE407" s="57" t="n">
        <f aca="false">ROUNDUP(CB407/BS407,0)</f>
        <v>0</v>
      </c>
      <c r="CF407" s="60" t="n">
        <f aca="false">IF(BT407=1,0,IFERROR(VLOOKUP(BR407,'Gebinde-Kategorie'!$A$5:$M$45,5,0)+0,0))</f>
        <v>8</v>
      </c>
      <c r="CG407" s="60" t="n">
        <f aca="false">IFERROR(IF(OR(BX407=1,BX407=2,BX407=3),N(INDEX(Parameter!$I$5:$I$7,BX407)),0),0)</f>
        <v>0</v>
      </c>
      <c r="CH407" s="59" t="n">
        <f aca="false">IF(AND(Parameter!$B$21="Ja",ISNUMBER(W407),N(X407)&gt;0),IFERROR(N(INDEX(Parameter!$L$5:$L$7,W407))*INDEX(Parameter!$E$5:$E$7,W407)*X407/SUMIFS($X$7:$X$1843,$W$7:$W$1843,W407),0),0)</f>
        <v>0</v>
      </c>
    </row>
    <row r="408" customFormat="false" ht="15" hidden="false" customHeight="false" outlineLevel="0" collapsed="false">
      <c r="A408" s="55" t="s">
        <v>950</v>
      </c>
      <c r="B408" s="55" t="s">
        <v>951</v>
      </c>
      <c r="C408" s="55" t="s">
        <v>164</v>
      </c>
      <c r="D408" s="55" t="s">
        <v>184</v>
      </c>
      <c r="E408" s="55" t="s">
        <v>185</v>
      </c>
      <c r="F408" s="55" t="s">
        <v>218</v>
      </c>
      <c r="G408" s="56" t="n">
        <v>2.38</v>
      </c>
      <c r="H408" s="57" t="n">
        <f aca="false">MAX(0,IF(AND(Parameter!$B$21="Ja",ISNUMBER(Y408)),Y408,IF(Parameter!$B$20="Jahresanfang 2025 + Export",BL408+BK408,BK408)))</f>
        <v>97</v>
      </c>
      <c r="I408" s="57" t="n">
        <f aca="false">H408*G408</f>
        <v>230.86</v>
      </c>
      <c r="J408" s="57" t="n">
        <f aca="false">BN408*Parameter!$B$18</f>
        <v>35</v>
      </c>
      <c r="K408" s="58" t="n">
        <v>35.5</v>
      </c>
      <c r="L408" s="59" t="n">
        <v>0.985915492957747</v>
      </c>
      <c r="M408" s="57" t="n">
        <v>2</v>
      </c>
      <c r="N408" s="57" t="n">
        <v>50</v>
      </c>
      <c r="O408" s="60" t="n">
        <v>28</v>
      </c>
      <c r="P408" s="55" t="s">
        <v>328</v>
      </c>
      <c r="Q408" s="57" t="n">
        <v>101</v>
      </c>
      <c r="R408" s="60" t="n">
        <f aca="false">IF(BT408=1,0,IFERROR(VLOOKUP(BR408,'Gebinde-Kategorie'!$A$5:$M$45,13,0)+0,0))</f>
        <v>52</v>
      </c>
      <c r="S408" s="61"/>
      <c r="T408" s="62"/>
      <c r="U408" s="62"/>
      <c r="V408" s="62"/>
      <c r="W408" s="55"/>
      <c r="X408" s="57"/>
      <c r="Y408" s="57"/>
      <c r="Z408" s="55" t="n">
        <f aca="false">IF(A408="","",IF(AND(Parameter!$B$21="Ja",ISNUMBER(W408)),W408,IF(BV408="2+3",IF(ISNUMBER(SEARCH("grosser Artikel",BO408)),2,IFERROR(VLOOKUP(BR408,Parameter!$F$35:$G$64,2,0),2)),IF(OR(BV408="Nein",BV408=""),"-",BV408))))</f>
        <v>3</v>
      </c>
      <c r="AA408" s="62"/>
      <c r="AB408" s="63"/>
      <c r="AC408" s="57" t="n">
        <f aca="false">AR408</f>
        <v>101</v>
      </c>
      <c r="AD408" s="57" t="n">
        <f aca="false">MAX(AR408,H408)</f>
        <v>101</v>
      </c>
      <c r="AE408" s="64"/>
      <c r="AF408" s="57" t="n">
        <f aca="false">IF(LEFT(Cockpit!$C$5,1)="A",H408,IF(CA408=1,CB408,IF(LEFT(Cockpit!$C$5,1)="B",AJ408,MAX(AJ408,H408))))</f>
        <v>97</v>
      </c>
      <c r="AG408" s="57" t="n">
        <f aca="false">IF(BT408=1,0,ROUNDUP(AF408/BS408,0))</f>
        <v>1</v>
      </c>
      <c r="AH408" s="59" t="n">
        <f aca="false">IF(CH408&gt;0,CH408*MAX(1,AF408/X408),IF(BT408=1,IF(AF408&lt;=0,0,BW408*MAX(1,IF(H408&gt;0,AF408/H408,1))),IF(R408&gt;0,AG408/R408,0))/MAX(0.1,N(Parameter!$M$21)))</f>
        <v>0.0192307692307692</v>
      </c>
      <c r="AI408" s="57" t="n">
        <f aca="false">AF408*G408</f>
        <v>230.86</v>
      </c>
      <c r="AJ408" s="57" t="n">
        <f aca="false">ROUNDUP(MAX(J408/IF(BZ408&gt;0,BZ408,MAX(0.1,N(Cockpit!$C$6))),CC408)/BS408,0)*BS408</f>
        <v>101</v>
      </c>
      <c r="AK408" s="58" t="n">
        <f aca="false">IF(AH408&gt;0,J408/AH408,-1)</f>
        <v>1820</v>
      </c>
      <c r="AL408" s="58" t="n">
        <f aca="false">IF(AND(OR(BY408="L1",BY408="L23"),AH408&gt;0),SUMIFS($AH$7:$AH$1843,$BY$7:$BY$1843,BY408,$AK$7:$AK$1843,"&gt;"&amp;AK408)+SUMIFS($AH$7:$AH$1843,$BY$7:$BY$1843,BY408,$AK$7:$AK$1843,AK408,$BQ$7:$BQ$1843,"&lt;="&amp;BQ408),"")</f>
        <v>14.1890392216479</v>
      </c>
      <c r="AM408" s="65" t="n">
        <f aca="false">IF(AL408="",0,MAX(0,MIN(1,(IF(BY408="L1",Parameter!$E$5,Parameter!$E$6+Parameter!$E$7)-(AL408-AH408))/AH408)))</f>
        <v>1</v>
      </c>
      <c r="AN408" s="57" t="n">
        <f aca="false">IF(LEFT(Cockpit!$I$5,1)="A",H408,IF(CA408=1,CB408,IF(LEFT(Cockpit!$I$5,1)="B",AR408,MAX(AR408,H408))))</f>
        <v>101</v>
      </c>
      <c r="AO408" s="57" t="n">
        <f aca="false">IF(BT408=1,0,ROUNDUP(AN408/BS408,0))</f>
        <v>1</v>
      </c>
      <c r="AP408" s="59" t="n">
        <f aca="false">IF(CH408&gt;0,CH408*MAX(1,AN408/X408),IF(BT408=1,IF(AN408&lt;=0,0,BW408*MAX(1,IF(H408&gt;0,AN408/H408,1))),IF(R408&gt;0,AO408/R408,0))/MAX(0.1,N(Parameter!$M$21)))</f>
        <v>0.0192307692307692</v>
      </c>
      <c r="AQ408" s="57" t="n">
        <f aca="false">AN408*G408</f>
        <v>240.38</v>
      </c>
      <c r="AR408" s="57" t="n">
        <f aca="false">ROUNDUP(MAX(J408/IF(BZ408&gt;0,BZ408,MAX(0.1,N(Cockpit!$I$6))),CC408)/BS408,0)*BS408</f>
        <v>101</v>
      </c>
      <c r="AS408" s="58" t="n">
        <f aca="false">IF(AP408&gt;0,J408/AP408,-1)</f>
        <v>1820</v>
      </c>
      <c r="AT408" s="58" t="n">
        <f aca="false">IF(AND(OR(BY408="L1",BY408="L23"),AP408&gt;0),SUMIFS($AP$7:$AP$1843,$BY$7:$BY$1843,BY408,$AS$7:$AS$1843,"&gt;"&amp;AS408)+SUMIFS($AP$7:$AP$1843,$BY$7:$BY$1843,BY408,$AS$7:$AS$1843,AS408,$BQ$7:$BQ$1843,"&lt;="&amp;BQ408),"")</f>
        <v>19.3432316475795</v>
      </c>
      <c r="AU408" s="65" t="n">
        <f aca="false">IF(AT408="",0,MAX(0,MIN(1,(IF(BY408="L1",Parameter!$E$5,Parameter!$E$6+Parameter!$E$7)-(AT408-AP408))/AP408)))</f>
        <v>1</v>
      </c>
      <c r="AV408" s="57" t="n">
        <f aca="false">IF(LEFT(Cockpit!$O$5,1)="A",H408,IF(CA408=1,CB408,IF(LEFT(Cockpit!$O$5,1)="B",AZ408,MAX(AZ408,H408))))</f>
        <v>101</v>
      </c>
      <c r="AW408" s="57" t="n">
        <f aca="false">IF(BT408=1,0,ROUNDUP(AV408/BS408,0))</f>
        <v>1</v>
      </c>
      <c r="AX408" s="59" t="n">
        <f aca="false">IF(CH408&gt;0,CH408*MAX(1,AV408/X408),IF(BT408=1,IF(AV408&lt;=0,0,BW408*MAX(1,IF(H408&gt;0,AV408/H408,1))),IF(R408&gt;0,AW408/R408,0))/MAX(0.1,N(Parameter!$M$21)))</f>
        <v>0.0192307692307692</v>
      </c>
      <c r="AY408" s="57" t="n">
        <f aca="false">AV408*G408</f>
        <v>240.38</v>
      </c>
      <c r="AZ408" s="57" t="n">
        <f aca="false">ROUNDUP(MAX(J408/IF(BZ408&gt;0,BZ408,MAX(0.1,N(Cockpit!$O$6))),CC408)/BS408,0)*BS408</f>
        <v>101</v>
      </c>
      <c r="BA408" s="58" t="n">
        <f aca="false">IF(AX408&gt;0,J408/AX408,-1)</f>
        <v>1820</v>
      </c>
      <c r="BB408" s="58" t="n">
        <f aca="false">IF(AND(OR(BY408="L1",BY408="L23"),AX408&gt;0),SUMIFS($AX$7:$AX$1843,$BY$7:$BY$1843,BY408,$BA$7:$BA$1843,"&gt;"&amp;BA408)+SUMIFS($AX$7:$AX$1843,$BY$7:$BY$1843,BY408,$BA$7:$BA$1843,BA408,$BQ$7:$BQ$1843,"&lt;="&amp;BQ408),"")</f>
        <v>18.2051197594676</v>
      </c>
      <c r="BC408" s="65" t="n">
        <f aca="false">IF(BB408="",0,MAX(0,MIN(1,(IF(BY408="L1",Parameter!$E$5,Parameter!$E$6+Parameter!$E$7)-(BB408-AX408))/AX408)))</f>
        <v>1</v>
      </c>
      <c r="BD408" s="55" t="str">
        <f aca="false">IF(AH408&lt;=0,"",IF(BY408="Aussen","Aussenlager",IF(BY408="-","Nicht im Lift",IF(AM408&gt;=1,"Lift",IF(AM408&lt;=0,"Aussenlager","teilweise")))))</f>
        <v>Lift</v>
      </c>
      <c r="BE408" s="55" t="str">
        <f aca="false">IF(AP408&lt;=0,"",IF(BY408="Aussen","Aussenlager",IF(BY408="-","Nicht im Lift",IF(AU408&gt;=1,"Lift",IF(AU408&lt;=0,"Aussenlager","teilweise")))))</f>
        <v>Lift</v>
      </c>
      <c r="BF408" s="55" t="str">
        <f aca="false">IF(AX408&lt;=0,"",IF(BY408="Aussen","Aussenlager",IF(BY408="-","Nicht im Lift",IF(BC408&gt;=1,"Lift",IF(BC408&lt;=0,"Aussenlager","teilweise")))))</f>
        <v>Lift</v>
      </c>
      <c r="BG408" s="55" t="str">
        <f aca="false">IF(A408="","",IF(BP408=1,"Neu; ","")&amp;IF(AND(BP408=0,BK408&lt;0),"negativer Bestand (Export "&amp;BK408&amp;"); ","")&amp;IF(J408&lt;=0,"Kein Verbrauch; ","")&amp;IF(CH408&gt;0,"Lift "&amp;W408&amp;" lt. Liftbericht (Fach "&amp;X408&amp;" Stk); ",IF(BU408=1,"Gebinde geschätzt ("&amp;T408&amp;"); ",IF(BT408=1,"Lose – Tablare geschätzt; ","")))&amp;IF(H408&gt;AR408,"Überbestand "&amp;ROUND(H408-AR408,0)&amp;" Stk / CHF "&amp;ROUND((H408-AR408)*G408,0)&amp;"; ","")&amp;IF(AND(CA408=1,CB408&lt;CC408),"MAX &lt; MB+LG; ","")&amp;IF(AND(CG408&gt;0,CF408*10&gt;CG408),"zu hoch für Tablar; ","")&amp;IF(AND(BP408=0,OR(CA408=1,AA408&lt;&gt;"",U408&lt;&gt;"",V408&lt;&gt;"",AB408&lt;&gt;"")),"manuell übersteuert; ","")&amp;IF(AND(BT408=0,R408=0),"Gebinde unbekannt / Stellmass fehlt; ","")&amp;IF(AND(BT408=0,N(V408)&lt;=0,N(Q408)&lt;=0),"Menge pro Gebinde fehlt (Ist = 1 Gebinde); ","")&amp;BO408)</f>
        <v>Neu</v>
      </c>
      <c r="BH408" s="55"/>
      <c r="BI408" s="55"/>
      <c r="BJ408" s="62"/>
      <c r="BK408" s="57" t="n">
        <v>44</v>
      </c>
      <c r="BL408" s="57" t="n">
        <v>53</v>
      </c>
      <c r="BM408" s="56" t="n">
        <v>104.72</v>
      </c>
      <c r="BN408" s="57" t="n">
        <v>35</v>
      </c>
      <c r="BO408" s="55" t="s">
        <v>626</v>
      </c>
      <c r="BP408" s="60" t="n">
        <v>0</v>
      </c>
      <c r="BQ408" s="60" t="n">
        <v>408</v>
      </c>
      <c r="BR408" s="55" t="str">
        <f aca="false">IF(U408&lt;&gt;"",UPPER(TRIM(U408)),IF(BU408=1,UPPER(VLOOKUP(T408,Parameter!$I$27:$K$29,2,0)),IF(P408="","LOSE",P408)))</f>
        <v>S41</v>
      </c>
      <c r="BS408" s="57" t="n">
        <f aca="false">IF(BR408="LOSE",1,IF(N(V408)&gt;0,V408,IF(BU408=1,MAX(1,N(VLOOKUP(T408,Parameter!$I$27:$K$29,3,0)),H408,N(N408)),IF(N(Q408)&gt;0,Q408,MAX(1,H408)))))</f>
        <v>101</v>
      </c>
      <c r="BT408" s="60" t="n">
        <f aca="false">IF(BR408="LOSE",1,0)</f>
        <v>0</v>
      </c>
      <c r="BU408" s="60" t="n">
        <f aca="false">IF(AND(U408="",OR(P408="",P408="LOSE"),T408&lt;&gt;"",N(S408)&lt;=0,ISNUMBER(MATCH(T408,Parameter!$I$27:$I$29,0))),1,0)</f>
        <v>0</v>
      </c>
      <c r="BV408" s="55" t="str">
        <f aca="false">IF(AND(Parameter!$B$19="Ja",E408&lt;&gt;"",ISNUMBER(MATCH(E408,Parameter!$I$35:$I$52,0))),VLOOKUP(E408,Parameter!$I$35:$J$52,2,0),IFERROR(VLOOKUP(D408,Parameter!$A$35:$C$64,2,0),"Nein"))</f>
        <v>2+3</v>
      </c>
      <c r="BW408" s="59" t="n">
        <f aca="false">IF(BT408=0,0,IF(N(S408)&gt;0,S408,IFERROR(VLOOKUP(D408,Parameter!$A$35:$C$64,3,0)+0,0)))</f>
        <v>0</v>
      </c>
      <c r="BX408" s="55" t="n">
        <f aca="false">IF(AA408&lt;&gt;"",AA408,Z408)</f>
        <v>3</v>
      </c>
      <c r="BY408" s="55" t="str">
        <f aca="false">IF(BX408=1,"L1",IF(OR(BX408=2,BX408=3),"L23",IF(BX408="Aussen","Aussen","-")))</f>
        <v>L23</v>
      </c>
      <c r="BZ408" s="66" t="n">
        <f aca="false">IF(N(AB408)&gt;0,AB408,0)</f>
        <v>0</v>
      </c>
      <c r="CA408" s="60" t="n">
        <f aca="false">IF(ISNUMBER(AE408),1,0)</f>
        <v>0</v>
      </c>
      <c r="CB408" s="57" t="n">
        <f aca="false">N(AE408)</f>
        <v>0</v>
      </c>
      <c r="CC408" s="57" t="n">
        <f aca="false">N(M408)+N(N408)</f>
        <v>52</v>
      </c>
      <c r="CD408" s="57" t="n">
        <f aca="false">ROUNDUP(H408/BS408,0)</f>
        <v>1</v>
      </c>
      <c r="CE408" s="57" t="n">
        <f aca="false">ROUNDUP(CB408/BS408,0)</f>
        <v>0</v>
      </c>
      <c r="CF408" s="60" t="n">
        <f aca="false">IF(BT408=1,0,IFERROR(VLOOKUP(BR408,'Gebinde-Kategorie'!$A$5:$M$45,5,0)+0,0))</f>
        <v>11</v>
      </c>
      <c r="CG408" s="60" t="n">
        <f aca="false">IFERROR(IF(OR(BX408=1,BX408=2,BX408=3),N(INDEX(Parameter!$I$5:$I$7,BX408)),0),0)</f>
        <v>0</v>
      </c>
      <c r="CH408" s="59" t="n">
        <f aca="false">IF(AND(Parameter!$B$21="Ja",ISNUMBER(W408),N(X408)&gt;0),IFERROR(N(INDEX(Parameter!$L$5:$L$7,W408))*INDEX(Parameter!$E$5:$E$7,W408)*X408/SUMIFS($X$7:$X$1843,$W$7:$W$1843,W408),0),0)</f>
        <v>0</v>
      </c>
    </row>
    <row r="409" customFormat="false" ht="15" hidden="false" customHeight="false" outlineLevel="0" collapsed="false">
      <c r="A409" s="55" t="s">
        <v>952</v>
      </c>
      <c r="B409" s="55" t="s">
        <v>953</v>
      </c>
      <c r="C409" s="55" t="s">
        <v>164</v>
      </c>
      <c r="D409" s="55" t="s">
        <v>184</v>
      </c>
      <c r="E409" s="55" t="s">
        <v>185</v>
      </c>
      <c r="F409" s="55" t="s">
        <v>218</v>
      </c>
      <c r="G409" s="56" t="n">
        <v>0.35</v>
      </c>
      <c r="H409" s="57" t="n">
        <f aca="false">MAX(0,IF(AND(Parameter!$B$21="Ja",ISNUMBER(Y409)),Y409,IF(Parameter!$B$20="Jahresanfang 2025 + Export",BL409+BK409,BK409)))</f>
        <v>387</v>
      </c>
      <c r="I409" s="57" t="n">
        <f aca="false">H409*G409</f>
        <v>135.45</v>
      </c>
      <c r="J409" s="57" t="n">
        <f aca="false">BN409*Parameter!$B$18</f>
        <v>356</v>
      </c>
      <c r="K409" s="58" t="n">
        <v>94</v>
      </c>
      <c r="L409" s="59" t="n">
        <v>3.78723404255319</v>
      </c>
      <c r="M409" s="57" t="n">
        <v>13</v>
      </c>
      <c r="N409" s="57" t="n">
        <v>400</v>
      </c>
      <c r="O409" s="60" t="n">
        <v>14</v>
      </c>
      <c r="P409" s="55" t="s">
        <v>421</v>
      </c>
      <c r="Q409" s="57" t="n">
        <v>122</v>
      </c>
      <c r="R409" s="60" t="n">
        <f aca="false">IF(BT409=1,0,IFERROR(VLOOKUP(BR409,'Gebinde-Kategorie'!$A$5:$M$45,13,0)+0,0))</f>
        <v>132</v>
      </c>
      <c r="S409" s="61"/>
      <c r="T409" s="62"/>
      <c r="U409" s="62"/>
      <c r="V409" s="62"/>
      <c r="W409" s="55"/>
      <c r="X409" s="57"/>
      <c r="Y409" s="57"/>
      <c r="Z409" s="55" t="n">
        <f aca="false">IF(A409="","",IF(AND(Parameter!$B$21="Ja",ISNUMBER(W409)),W409,IF(BV409="2+3",IF(ISNUMBER(SEARCH("grosser Artikel",BO409)),2,IFERROR(VLOOKUP(BR409,Parameter!$F$35:$G$64,2,0),2)),IF(OR(BV409="Nein",BV409=""),"-",BV409))))</f>
        <v>3</v>
      </c>
      <c r="AA409" s="62"/>
      <c r="AB409" s="63"/>
      <c r="AC409" s="57" t="n">
        <f aca="false">AR409</f>
        <v>488</v>
      </c>
      <c r="AD409" s="57" t="n">
        <f aca="false">MAX(AR409,H409)</f>
        <v>488</v>
      </c>
      <c r="AE409" s="64"/>
      <c r="AF409" s="57" t="n">
        <f aca="false">IF(LEFT(Cockpit!$C$5,1)="A",H409,IF(CA409=1,CB409,IF(LEFT(Cockpit!$C$5,1)="B",AJ409,MAX(AJ409,H409))))</f>
        <v>387</v>
      </c>
      <c r="AG409" s="57" t="n">
        <f aca="false">IF(BT409=1,0,ROUNDUP(AF409/BS409,0))</f>
        <v>4</v>
      </c>
      <c r="AH409" s="59" t="n">
        <f aca="false">IF(CH409&gt;0,CH409*MAX(1,AF409/X409),IF(BT409=1,IF(AF409&lt;=0,0,BW409*MAX(1,IF(H409&gt;0,AF409/H409,1))),IF(R409&gt;0,AG409/R409,0))/MAX(0.1,N(Parameter!$M$21)))</f>
        <v>0.0303030303030303</v>
      </c>
      <c r="AI409" s="57" t="n">
        <f aca="false">AF409*G409</f>
        <v>135.45</v>
      </c>
      <c r="AJ409" s="57" t="n">
        <f aca="false">ROUNDUP(MAX(J409/IF(BZ409&gt;0,BZ409,MAX(0.1,N(Cockpit!$C$6))),CC409)/BS409,0)*BS409</f>
        <v>488</v>
      </c>
      <c r="AK409" s="58" t="n">
        <f aca="false">IF(AH409&gt;0,J409/AH409,-1)</f>
        <v>11748</v>
      </c>
      <c r="AL409" s="58" t="n">
        <f aca="false">IF(AND(OR(BY409="L1",BY409="L23"),AH409&gt;0),SUMIFS($AH$7:$AH$1843,$BY$7:$BY$1843,BY409,$AK$7:$AK$1843,"&gt;"&amp;AK409)+SUMIFS($AH$7:$AH$1843,$BY$7:$BY$1843,BY409,$AK$7:$AK$1843,AK409,$BQ$7:$BQ$1843,"&lt;="&amp;BQ409),"")</f>
        <v>4.92306003175568</v>
      </c>
      <c r="AM409" s="65" t="n">
        <f aca="false">IF(AL409="",0,MAX(0,MIN(1,(IF(BY409="L1",Parameter!$E$5,Parameter!$E$6+Parameter!$E$7)-(AL409-AH409))/AH409)))</f>
        <v>1</v>
      </c>
      <c r="AN409" s="57" t="n">
        <f aca="false">IF(LEFT(Cockpit!$I$5,1)="A",H409,IF(CA409=1,CB409,IF(LEFT(Cockpit!$I$5,1)="B",AR409,MAX(AR409,H409))))</f>
        <v>488</v>
      </c>
      <c r="AO409" s="57" t="n">
        <f aca="false">IF(BT409=1,0,ROUNDUP(AN409/BS409,0))</f>
        <v>4</v>
      </c>
      <c r="AP409" s="59" t="n">
        <f aca="false">IF(CH409&gt;0,CH409*MAX(1,AN409/X409),IF(BT409=1,IF(AN409&lt;=0,0,BW409*MAX(1,IF(H409&gt;0,AN409/H409,1))),IF(R409&gt;0,AO409/R409,0))/MAX(0.1,N(Parameter!$M$21)))</f>
        <v>0.0303030303030303</v>
      </c>
      <c r="AQ409" s="57" t="n">
        <f aca="false">AN409*G409</f>
        <v>170.8</v>
      </c>
      <c r="AR409" s="57" t="n">
        <f aca="false">ROUNDUP(MAX(J409/IF(BZ409&gt;0,BZ409,MAX(0.1,N(Cockpit!$I$6))),CC409)/BS409,0)*BS409</f>
        <v>488</v>
      </c>
      <c r="AS409" s="58" t="n">
        <f aca="false">IF(AP409&gt;0,J409/AP409,-1)</f>
        <v>11748</v>
      </c>
      <c r="AT409" s="58" t="n">
        <f aca="false">IF(AND(OR(BY409="L1",BY409="L23"),AP409&gt;0),SUMIFS($AP$7:$AP$1843,$BY$7:$BY$1843,BY409,$AS$7:$AS$1843,"&gt;"&amp;AS409)+SUMIFS($AP$7:$AP$1843,$BY$7:$BY$1843,BY409,$AS$7:$AS$1843,AS409,$BQ$7:$BQ$1843,"&lt;="&amp;BQ409),"")</f>
        <v>5.61280024323503</v>
      </c>
      <c r="AU409" s="65" t="n">
        <f aca="false">IF(AT409="",0,MAX(0,MIN(1,(IF(BY409="L1",Parameter!$E$5,Parameter!$E$6+Parameter!$E$7)-(AT409-AP409))/AP409)))</f>
        <v>1</v>
      </c>
      <c r="AV409" s="57" t="n">
        <f aca="false">IF(LEFT(Cockpit!$O$5,1)="A",H409,IF(CA409=1,CB409,IF(LEFT(Cockpit!$O$5,1)="B",AZ409,MAX(AZ409,H409))))</f>
        <v>488</v>
      </c>
      <c r="AW409" s="57" t="n">
        <f aca="false">IF(BT409=1,0,ROUNDUP(AV409/BS409,0))</f>
        <v>4</v>
      </c>
      <c r="AX409" s="59" t="n">
        <f aca="false">IF(CH409&gt;0,CH409*MAX(1,AV409/X409),IF(BT409=1,IF(AV409&lt;=0,0,BW409*MAX(1,IF(H409&gt;0,AV409/H409,1))),IF(R409&gt;0,AW409/R409,0))/MAX(0.1,N(Parameter!$M$21)))</f>
        <v>0.0303030303030303</v>
      </c>
      <c r="AY409" s="57" t="n">
        <f aca="false">AV409*G409</f>
        <v>170.8</v>
      </c>
      <c r="AZ409" s="57" t="n">
        <f aca="false">ROUNDUP(MAX(J409/IF(BZ409&gt;0,BZ409,MAX(0.1,N(Cockpit!$O$6))),CC409)/BS409,0)*BS409</f>
        <v>488</v>
      </c>
      <c r="BA409" s="58" t="n">
        <f aca="false">IF(AX409&gt;0,J409/AX409,-1)</f>
        <v>11748</v>
      </c>
      <c r="BB409" s="58" t="n">
        <f aca="false">IF(AND(OR(BY409="L1",BY409="L23"),AX409&gt;0),SUMIFS($AX$7:$AX$1843,$BY$7:$BY$1843,BY409,$BA$7:$BA$1843,"&gt;"&amp;BA409)+SUMIFS($AX$7:$AX$1843,$BY$7:$BY$1843,BY409,$BA$7:$BA$1843,BA409,$BQ$7:$BQ$1843,"&lt;="&amp;BQ409),"")</f>
        <v>6.60930373973852</v>
      </c>
      <c r="BC409" s="65" t="n">
        <f aca="false">IF(BB409="",0,MAX(0,MIN(1,(IF(BY409="L1",Parameter!$E$5,Parameter!$E$6+Parameter!$E$7)-(BB409-AX409))/AX409)))</f>
        <v>1</v>
      </c>
      <c r="BD409" s="55" t="str">
        <f aca="false">IF(AH409&lt;=0,"",IF(BY409="Aussen","Aussenlager",IF(BY409="-","Nicht im Lift",IF(AM409&gt;=1,"Lift",IF(AM409&lt;=0,"Aussenlager","teilweise")))))</f>
        <v>Lift</v>
      </c>
      <c r="BE409" s="55" t="str">
        <f aca="false">IF(AP409&lt;=0,"",IF(BY409="Aussen","Aussenlager",IF(BY409="-","Nicht im Lift",IF(AU409&gt;=1,"Lift",IF(AU409&lt;=0,"Aussenlager","teilweise")))))</f>
        <v>Lift</v>
      </c>
      <c r="BF409" s="55" t="str">
        <f aca="false">IF(AX409&lt;=0,"",IF(BY409="Aussen","Aussenlager",IF(BY409="-","Nicht im Lift",IF(BC409&gt;=1,"Lift",IF(BC409&lt;=0,"Aussenlager","teilweise")))))</f>
        <v>Lift</v>
      </c>
      <c r="BG409" s="55" t="str">
        <f aca="false">IF(A409="","",IF(BP409=1,"Neu; ","")&amp;IF(AND(BP409=0,BK409&lt;0),"negativer Bestand (Export "&amp;BK409&amp;"); ","")&amp;IF(J409&lt;=0,"Kein Verbrauch; ","")&amp;IF(CH409&gt;0,"Lift "&amp;W409&amp;" lt. Liftbericht (Fach "&amp;X409&amp;" Stk); ",IF(BU409=1,"Gebinde geschätzt ("&amp;T409&amp;"); ",IF(BT409=1,"Lose – Tablare geschätzt; ","")))&amp;IF(H409&gt;AR409,"Überbestand "&amp;ROUND(H409-AR409,0)&amp;" Stk / CHF "&amp;ROUND((H409-AR409)*G409,0)&amp;"; ","")&amp;IF(AND(CA409=1,CB409&lt;CC409),"MAX &lt; MB+LG; ","")&amp;IF(AND(CG409&gt;0,CF409*10&gt;CG409),"zu hoch für Tablar; ","")&amp;IF(AND(BP409=0,OR(CA409=1,AA409&lt;&gt;"",U409&lt;&gt;"",V409&lt;&gt;"",AB409&lt;&gt;"")),"manuell übersteuert; ","")&amp;IF(AND(BT409=0,R409=0),"Gebinde unbekannt / Stellmass fehlt; ","")&amp;IF(AND(BT409=0,N(V409)&lt;=0,N(Q409)&lt;=0),"Menge pro Gebinde fehlt (Ist = 1 Gebinde); ","")&amp;BO409)</f>
        <v/>
      </c>
      <c r="BH409" s="55"/>
      <c r="BI409" s="55"/>
      <c r="BJ409" s="62"/>
      <c r="BK409" s="57" t="n">
        <v>294</v>
      </c>
      <c r="BL409" s="57" t="n">
        <v>93</v>
      </c>
      <c r="BM409" s="56" t="n">
        <v>103.83</v>
      </c>
      <c r="BN409" s="57" t="n">
        <v>356</v>
      </c>
      <c r="BO409" s="55"/>
      <c r="BP409" s="60" t="n">
        <v>0</v>
      </c>
      <c r="BQ409" s="60" t="n">
        <v>409</v>
      </c>
      <c r="BR409" s="55" t="str">
        <f aca="false">IF(U409&lt;&gt;"",UPPER(TRIM(U409)),IF(BU409=1,UPPER(VLOOKUP(T409,Parameter!$I$27:$K$29,2,0)),IF(P409="","LOSE",P409)))</f>
        <v>S32</v>
      </c>
      <c r="BS409" s="57" t="n">
        <f aca="false">IF(BR409="LOSE",1,IF(N(V409)&gt;0,V409,IF(BU409=1,MAX(1,N(VLOOKUP(T409,Parameter!$I$27:$K$29,3,0)),H409,N(N409)),IF(N(Q409)&gt;0,Q409,MAX(1,H409)))))</f>
        <v>122</v>
      </c>
      <c r="BT409" s="60" t="n">
        <f aca="false">IF(BR409="LOSE",1,0)</f>
        <v>0</v>
      </c>
      <c r="BU409" s="60" t="n">
        <f aca="false">IF(AND(U409="",OR(P409="",P409="LOSE"),T409&lt;&gt;"",N(S409)&lt;=0,ISNUMBER(MATCH(T409,Parameter!$I$27:$I$29,0))),1,0)</f>
        <v>0</v>
      </c>
      <c r="BV409" s="55" t="str">
        <f aca="false">IF(AND(Parameter!$B$19="Ja",E409&lt;&gt;"",ISNUMBER(MATCH(E409,Parameter!$I$35:$I$52,0))),VLOOKUP(E409,Parameter!$I$35:$J$52,2,0),IFERROR(VLOOKUP(D409,Parameter!$A$35:$C$64,2,0),"Nein"))</f>
        <v>2+3</v>
      </c>
      <c r="BW409" s="59" t="n">
        <f aca="false">IF(BT409=0,0,IF(N(S409)&gt;0,S409,IFERROR(VLOOKUP(D409,Parameter!$A$35:$C$64,3,0)+0,0)))</f>
        <v>0</v>
      </c>
      <c r="BX409" s="55" t="n">
        <f aca="false">IF(AA409&lt;&gt;"",AA409,Z409)</f>
        <v>3</v>
      </c>
      <c r="BY409" s="55" t="str">
        <f aca="false">IF(BX409=1,"L1",IF(OR(BX409=2,BX409=3),"L23",IF(BX409="Aussen","Aussen","-")))</f>
        <v>L23</v>
      </c>
      <c r="BZ409" s="66" t="n">
        <f aca="false">IF(N(AB409)&gt;0,AB409,0)</f>
        <v>0</v>
      </c>
      <c r="CA409" s="60" t="n">
        <f aca="false">IF(ISNUMBER(AE409),1,0)</f>
        <v>0</v>
      </c>
      <c r="CB409" s="57" t="n">
        <f aca="false">N(AE409)</f>
        <v>0</v>
      </c>
      <c r="CC409" s="57" t="n">
        <f aca="false">N(M409)+N(N409)</f>
        <v>413</v>
      </c>
      <c r="CD409" s="57" t="n">
        <f aca="false">ROUNDUP(H409/BS409,0)</f>
        <v>4</v>
      </c>
      <c r="CE409" s="57" t="n">
        <f aca="false">ROUNDUP(CB409/BS409,0)</f>
        <v>0</v>
      </c>
      <c r="CF409" s="60" t="n">
        <f aca="false">IF(BT409=1,0,IFERROR(VLOOKUP(BR409,'Gebinde-Kategorie'!$A$5:$M$45,5,0)+0,0))</f>
        <v>8</v>
      </c>
      <c r="CG409" s="60" t="n">
        <f aca="false">IFERROR(IF(OR(BX409=1,BX409=2,BX409=3),N(INDEX(Parameter!$I$5:$I$7,BX409)),0),0)</f>
        <v>0</v>
      </c>
      <c r="CH409" s="59" t="n">
        <f aca="false">IF(AND(Parameter!$B$21="Ja",ISNUMBER(W409),N(X409)&gt;0),IFERROR(N(INDEX(Parameter!$L$5:$L$7,W409))*INDEX(Parameter!$E$5:$E$7,W409)*X409/SUMIFS($X$7:$X$1843,$W$7:$W$1843,W409),0),0)</f>
        <v>0</v>
      </c>
    </row>
    <row r="410" customFormat="false" ht="15" hidden="false" customHeight="false" outlineLevel="0" collapsed="false">
      <c r="A410" s="55" t="s">
        <v>954</v>
      </c>
      <c r="B410" s="55" t="s">
        <v>955</v>
      </c>
      <c r="C410" s="55" t="s">
        <v>164</v>
      </c>
      <c r="D410" s="55" t="s">
        <v>184</v>
      </c>
      <c r="E410" s="55"/>
      <c r="F410" s="55" t="s">
        <v>218</v>
      </c>
      <c r="G410" s="56" t="n">
        <v>49.6</v>
      </c>
      <c r="H410" s="57" t="n">
        <f aca="false">MAX(0,IF(AND(Parameter!$B$21="Ja",ISNUMBER(Y410)),Y410,IF(Parameter!$B$20="Jahresanfang 2025 + Export",BL410+BK410,BK410)))</f>
        <v>3</v>
      </c>
      <c r="I410" s="57" t="n">
        <f aca="false">H410*G410</f>
        <v>148.8</v>
      </c>
      <c r="J410" s="57" t="n">
        <f aca="false">BN410*Parameter!$B$18</f>
        <v>0</v>
      </c>
      <c r="K410" s="58" t="n">
        <v>1</v>
      </c>
      <c r="L410" s="59" t="n">
        <v>0</v>
      </c>
      <c r="M410" s="57" t="n">
        <v>0</v>
      </c>
      <c r="N410" s="57" t="n">
        <v>1</v>
      </c>
      <c r="O410" s="60" t="n">
        <v>42</v>
      </c>
      <c r="P410" s="55" t="s">
        <v>233</v>
      </c>
      <c r="Q410" s="57" t="n">
        <v>3</v>
      </c>
      <c r="R410" s="60" t="n">
        <f aca="false">IF(BT410=1,0,IFERROR(VLOOKUP(BR410,'Gebinde-Kategorie'!$A$5:$M$45,13,0)+0,0))</f>
        <v>26</v>
      </c>
      <c r="S410" s="61"/>
      <c r="T410" s="62"/>
      <c r="U410" s="62"/>
      <c r="V410" s="62"/>
      <c r="W410" s="55"/>
      <c r="X410" s="57"/>
      <c r="Y410" s="57"/>
      <c r="Z410" s="55" t="n">
        <f aca="false">IF(A410="","",IF(AND(Parameter!$B$21="Ja",ISNUMBER(W410)),W410,IF(BV410="2+3",IF(ISNUMBER(SEARCH("grosser Artikel",BO410)),2,IFERROR(VLOOKUP(BR410,Parameter!$F$35:$G$64,2,0),2)),IF(OR(BV410="Nein",BV410=""),"-",BV410))))</f>
        <v>3</v>
      </c>
      <c r="AA410" s="62"/>
      <c r="AB410" s="63"/>
      <c r="AC410" s="57" t="n">
        <f aca="false">AR410</f>
        <v>3</v>
      </c>
      <c r="AD410" s="57" t="n">
        <f aca="false">MAX(AR410,H410)</f>
        <v>3</v>
      </c>
      <c r="AE410" s="64"/>
      <c r="AF410" s="57" t="n">
        <f aca="false">IF(LEFT(Cockpit!$C$5,1)="A",H410,IF(CA410=1,CB410,IF(LEFT(Cockpit!$C$5,1)="B",AJ410,MAX(AJ410,H410))))</f>
        <v>3</v>
      </c>
      <c r="AG410" s="57" t="n">
        <f aca="false">IF(BT410=1,0,ROUNDUP(AF410/BS410,0))</f>
        <v>1</v>
      </c>
      <c r="AH410" s="59" t="n">
        <f aca="false">IF(CH410&gt;0,CH410*MAX(1,AF410/X410),IF(BT410=1,IF(AF410&lt;=0,0,BW410*MAX(1,IF(H410&gt;0,AF410/H410,1))),IF(R410&gt;0,AG410/R410,0))/MAX(0.1,N(Parameter!$M$21)))</f>
        <v>0.0384615384615385</v>
      </c>
      <c r="AI410" s="57" t="n">
        <f aca="false">AF410*G410</f>
        <v>148.8</v>
      </c>
      <c r="AJ410" s="57" t="n">
        <f aca="false">ROUNDUP(MAX(J410/IF(BZ410&gt;0,BZ410,MAX(0.1,N(Cockpit!$C$6))),CC410)/BS410,0)*BS410</f>
        <v>3</v>
      </c>
      <c r="AK410" s="58" t="n">
        <f aca="false">IF(AH410&gt;0,J410/AH410,-1)</f>
        <v>0</v>
      </c>
      <c r="AL410" s="58" t="n">
        <f aca="false">IF(AND(OR(BY410="L1",BY410="L23"),AH410&gt;0),SUMIFS($AH$7:$AH$1843,$BY$7:$BY$1843,BY410,$AK$7:$AK$1843,"&gt;"&amp;AK410)+SUMIFS($AH$7:$AH$1843,$BY$7:$BY$1843,BY410,$AK$7:$AK$1843,AK410,$BQ$7:$BQ$1843,"&lt;="&amp;BQ410),"")</f>
        <v>73.7927265970744</v>
      </c>
      <c r="AM410" s="65" t="n">
        <f aca="false">IF(AL410="",0,MAX(0,MIN(1,(IF(BY410="L1",Parameter!$E$5,Parameter!$E$6+Parameter!$E$7)-(AL410-AH410))/AH410)))</f>
        <v>1</v>
      </c>
      <c r="AN410" s="57" t="n">
        <f aca="false">IF(LEFT(Cockpit!$I$5,1)="A",H410,IF(CA410=1,CB410,IF(LEFT(Cockpit!$I$5,1)="B",AR410,MAX(AR410,H410))))</f>
        <v>3</v>
      </c>
      <c r="AO410" s="57" t="n">
        <f aca="false">IF(BT410=1,0,ROUNDUP(AN410/BS410,0))</f>
        <v>1</v>
      </c>
      <c r="AP410" s="59" t="n">
        <f aca="false">IF(CH410&gt;0,CH410*MAX(1,AN410/X410),IF(BT410=1,IF(AN410&lt;=0,0,BW410*MAX(1,IF(H410&gt;0,AN410/H410,1))),IF(R410&gt;0,AO410/R410,0))/MAX(0.1,N(Parameter!$M$21)))</f>
        <v>0.0384615384615385</v>
      </c>
      <c r="AQ410" s="57" t="n">
        <f aca="false">AN410*G410</f>
        <v>148.8</v>
      </c>
      <c r="AR410" s="57" t="n">
        <f aca="false">ROUNDUP(MAX(J410/IF(BZ410&gt;0,BZ410,MAX(0.1,N(Cockpit!$I$6))),CC410)/BS410,0)*BS410</f>
        <v>3</v>
      </c>
      <c r="AS410" s="58" t="n">
        <f aca="false">IF(AP410&gt;0,J410/AP410,-1)</f>
        <v>0</v>
      </c>
      <c r="AT410" s="58" t="n">
        <f aca="false">IF(AND(OR(BY410="L1",BY410="L23"),AP410&gt;0),SUMIFS($AP$7:$AP$1843,$BY$7:$BY$1843,BY410,$AS$7:$AS$1843,"&gt;"&amp;AS410)+SUMIFS($AP$7:$AP$1843,$BY$7:$BY$1843,BY410,$AS$7:$AS$1843,AS410,$BQ$7:$BQ$1843,"&lt;="&amp;BQ410),"")</f>
        <v>113.216850782068</v>
      </c>
      <c r="AU410" s="65" t="n">
        <f aca="false">IF(AT410="",0,MAX(0,MIN(1,(IF(BY410="L1",Parameter!$E$5,Parameter!$E$6+Parameter!$E$7)-(AT410-AP410))/AP410)))</f>
        <v>0</v>
      </c>
      <c r="AV410" s="57" t="n">
        <f aca="false">IF(LEFT(Cockpit!$O$5,1)="A",H410,IF(CA410=1,CB410,IF(LEFT(Cockpit!$O$5,1)="B",AZ410,MAX(AZ410,H410))))</f>
        <v>3</v>
      </c>
      <c r="AW410" s="57" t="n">
        <f aca="false">IF(BT410=1,0,ROUNDUP(AV410/BS410,0))</f>
        <v>1</v>
      </c>
      <c r="AX410" s="59" t="n">
        <f aca="false">IF(CH410&gt;0,CH410*MAX(1,AV410/X410),IF(BT410=1,IF(AV410&lt;=0,0,BW410*MAX(1,IF(H410&gt;0,AV410/H410,1))),IF(R410&gt;0,AW410/R410,0))/MAX(0.1,N(Parameter!$M$21)))</f>
        <v>0.0384615384615385</v>
      </c>
      <c r="AY410" s="57" t="n">
        <f aca="false">AV410*G410</f>
        <v>148.8</v>
      </c>
      <c r="AZ410" s="57" t="n">
        <f aca="false">ROUNDUP(MAX(J410/IF(BZ410&gt;0,BZ410,MAX(0.1,N(Cockpit!$O$6))),CC410)/BS410,0)*BS410</f>
        <v>3</v>
      </c>
      <c r="BA410" s="58" t="n">
        <f aca="false">IF(AX410&gt;0,J410/AX410,-1)</f>
        <v>0</v>
      </c>
      <c r="BB410" s="58" t="n">
        <f aca="false">IF(AND(OR(BY410="L1",BY410="L23"),AX410&gt;0),SUMIFS($AX$7:$AX$1843,$BY$7:$BY$1843,BY410,$BA$7:$BA$1843,"&gt;"&amp;BA410)+SUMIFS($AX$7:$AX$1843,$BY$7:$BY$1843,BY410,$BA$7:$BA$1843,BA410,$BQ$7:$BQ$1843,"&lt;="&amp;BQ410),"")</f>
        <v>104.046687611905</v>
      </c>
      <c r="BC410" s="65" t="n">
        <f aca="false">IF(BB410="",0,MAX(0,MIN(1,(IF(BY410="L1",Parameter!$E$5,Parameter!$E$6+Parameter!$E$7)-(BB410-AX410))/AX410)))</f>
        <v>0</v>
      </c>
      <c r="BD410" s="55" t="str">
        <f aca="false">IF(AH410&lt;=0,"",IF(BY410="Aussen","Aussenlager",IF(BY410="-","Nicht im Lift",IF(AM410&gt;=1,"Lift",IF(AM410&lt;=0,"Aussenlager","teilweise")))))</f>
        <v>Lift</v>
      </c>
      <c r="BE410" s="55" t="str">
        <f aca="false">IF(AP410&lt;=0,"",IF(BY410="Aussen","Aussenlager",IF(BY410="-","Nicht im Lift",IF(AU410&gt;=1,"Lift",IF(AU410&lt;=0,"Aussenlager","teilweise")))))</f>
        <v>Aussenlager</v>
      </c>
      <c r="BF410" s="55" t="str">
        <f aca="false">IF(AX410&lt;=0,"",IF(BY410="Aussen","Aussenlager",IF(BY410="-","Nicht im Lift",IF(BC410&gt;=1,"Lift",IF(BC410&lt;=0,"Aussenlager","teilweise")))))</f>
        <v>Aussenlager</v>
      </c>
      <c r="BG410" s="55" t="str">
        <f aca="false">IF(A410="","",IF(BP410=1,"Neu; ","")&amp;IF(AND(BP410=0,BK410&lt;0),"negativer Bestand (Export "&amp;BK410&amp;"); ","")&amp;IF(J410&lt;=0,"Kein Verbrauch; ","")&amp;IF(CH410&gt;0,"Lift "&amp;W410&amp;" lt. Liftbericht (Fach "&amp;X410&amp;" Stk); ",IF(BU410=1,"Gebinde geschätzt ("&amp;T410&amp;"); ",IF(BT410=1,"Lose – Tablare geschätzt; ","")))&amp;IF(H410&gt;AR410,"Überbestand "&amp;ROUND(H410-AR410,0)&amp;" Stk / CHF "&amp;ROUND((H410-AR410)*G410,0)&amp;"; ","")&amp;IF(AND(CA410=1,CB410&lt;CC410),"MAX &lt; MB+LG; ","")&amp;IF(AND(CG410&gt;0,CF410*10&gt;CG410),"zu hoch für Tablar; ","")&amp;IF(AND(BP410=0,OR(CA410=1,AA410&lt;&gt;"",U410&lt;&gt;"",V410&lt;&gt;"",AB410&lt;&gt;"")),"manuell übersteuert; ","")&amp;IF(AND(BT410=0,R410=0),"Gebinde unbekannt / Stellmass fehlt; ","")&amp;IF(AND(BT410=0,N(V410)&lt;=0,N(Q410)&lt;=0),"Menge pro Gebinde fehlt (Ist = 1 Gebinde); ","")&amp;BO410)</f>
        <v>Kein Verbrauch; </v>
      </c>
      <c r="BH410" s="55"/>
      <c r="BI410" s="55"/>
      <c r="BJ410" s="62"/>
      <c r="BK410" s="57" t="n">
        <v>2</v>
      </c>
      <c r="BL410" s="57" t="n">
        <v>1</v>
      </c>
      <c r="BM410" s="56" t="n">
        <v>103.4</v>
      </c>
      <c r="BN410" s="57" t="n">
        <v>0</v>
      </c>
      <c r="BO410" s="55"/>
      <c r="BP410" s="60" t="n">
        <v>0</v>
      </c>
      <c r="BQ410" s="60" t="n">
        <v>410</v>
      </c>
      <c r="BR410" s="55" t="str">
        <f aca="false">IF(U410&lt;&gt;"",UPPER(TRIM(U410)),IF(BU410=1,UPPER(VLOOKUP(T410,Parameter!$I$27:$K$29,2,0)),IF(P410="","LOSE",P410)))</f>
        <v>S52</v>
      </c>
      <c r="BS410" s="57" t="n">
        <f aca="false">IF(BR410="LOSE",1,IF(N(V410)&gt;0,V410,IF(BU410=1,MAX(1,N(VLOOKUP(T410,Parameter!$I$27:$K$29,3,0)),H410,N(N410)),IF(N(Q410)&gt;0,Q410,MAX(1,H410)))))</f>
        <v>3</v>
      </c>
      <c r="BT410" s="60" t="n">
        <f aca="false">IF(BR410="LOSE",1,0)</f>
        <v>0</v>
      </c>
      <c r="BU410" s="60" t="n">
        <f aca="false">IF(AND(U410="",OR(P410="",P410="LOSE"),T410&lt;&gt;"",N(S410)&lt;=0,ISNUMBER(MATCH(T410,Parameter!$I$27:$I$29,0))),1,0)</f>
        <v>0</v>
      </c>
      <c r="BV410" s="55" t="str">
        <f aca="false">IF(AND(Parameter!$B$19="Ja",E410&lt;&gt;"",ISNUMBER(MATCH(E410,Parameter!$I$35:$I$52,0))),VLOOKUP(E410,Parameter!$I$35:$J$52,2,0),IFERROR(VLOOKUP(D410,Parameter!$A$35:$C$64,2,0),"Nein"))</f>
        <v>2+3</v>
      </c>
      <c r="BW410" s="59" t="n">
        <f aca="false">IF(BT410=0,0,IF(N(S410)&gt;0,S410,IFERROR(VLOOKUP(D410,Parameter!$A$35:$C$64,3,0)+0,0)))</f>
        <v>0</v>
      </c>
      <c r="BX410" s="55" t="n">
        <f aca="false">IF(AA410&lt;&gt;"",AA410,Z410)</f>
        <v>3</v>
      </c>
      <c r="BY410" s="55" t="str">
        <f aca="false">IF(BX410=1,"L1",IF(OR(BX410=2,BX410=3),"L23",IF(BX410="Aussen","Aussen","-")))</f>
        <v>L23</v>
      </c>
      <c r="BZ410" s="66" t="n">
        <f aca="false">IF(N(AB410)&gt;0,AB410,0)</f>
        <v>0</v>
      </c>
      <c r="CA410" s="60" t="n">
        <f aca="false">IF(ISNUMBER(AE410),1,0)</f>
        <v>0</v>
      </c>
      <c r="CB410" s="57" t="n">
        <f aca="false">N(AE410)</f>
        <v>0</v>
      </c>
      <c r="CC410" s="57" t="n">
        <f aca="false">N(M410)+N(N410)</f>
        <v>1</v>
      </c>
      <c r="CD410" s="57" t="n">
        <f aca="false">ROUNDUP(H410/BS410,0)</f>
        <v>1</v>
      </c>
      <c r="CE410" s="57" t="n">
        <f aca="false">ROUNDUP(CB410/BS410,0)</f>
        <v>0</v>
      </c>
      <c r="CF410" s="60" t="n">
        <f aca="false">IF(BT410=1,0,IFERROR(VLOOKUP(BR410,'Gebinde-Kategorie'!$A$5:$M$45,5,0)+0,0))</f>
        <v>21</v>
      </c>
      <c r="CG410" s="60" t="n">
        <f aca="false">IFERROR(IF(OR(BX410=1,BX410=2,BX410=3),N(INDEX(Parameter!$I$5:$I$7,BX410)),0),0)</f>
        <v>0</v>
      </c>
      <c r="CH410" s="59" t="n">
        <f aca="false">IF(AND(Parameter!$B$21="Ja",ISNUMBER(W410),N(X410)&gt;0),IFERROR(N(INDEX(Parameter!$L$5:$L$7,W410))*INDEX(Parameter!$E$5:$E$7,W410)*X410/SUMIFS($X$7:$X$1843,$W$7:$W$1843,W410),0),0)</f>
        <v>0</v>
      </c>
    </row>
    <row r="411" customFormat="false" ht="15" hidden="false" customHeight="false" outlineLevel="0" collapsed="false">
      <c r="A411" s="55" t="s">
        <v>956</v>
      </c>
      <c r="B411" s="55" t="s">
        <v>957</v>
      </c>
      <c r="C411" s="55" t="s">
        <v>164</v>
      </c>
      <c r="D411" s="55" t="s">
        <v>184</v>
      </c>
      <c r="E411" s="55"/>
      <c r="F411" s="55" t="s">
        <v>218</v>
      </c>
      <c r="G411" s="56" t="n">
        <v>32.65</v>
      </c>
      <c r="H411" s="57" t="n">
        <f aca="false">MAX(0,IF(AND(Parameter!$B$21="Ja",ISNUMBER(Y411)),Y411,IF(Parameter!$B$20="Jahresanfang 2025 + Export",BL411+BK411,BK411)))</f>
        <v>6</v>
      </c>
      <c r="I411" s="57" t="n">
        <f aca="false">H411*G411</f>
        <v>195.9</v>
      </c>
      <c r="J411" s="57" t="n">
        <f aca="false">BN411*Parameter!$B$18</f>
        <v>9</v>
      </c>
      <c r="K411" s="58" t="n">
        <v>2.5</v>
      </c>
      <c r="L411" s="59" t="n">
        <v>3.6</v>
      </c>
      <c r="M411" s="57" t="n">
        <v>0</v>
      </c>
      <c r="N411" s="57" t="n">
        <v>3</v>
      </c>
      <c r="O411" s="60" t="n">
        <v>14</v>
      </c>
      <c r="P411" s="55" t="s">
        <v>168</v>
      </c>
      <c r="Q411" s="57"/>
      <c r="R411" s="60" t="n">
        <f aca="false">IF(BT411=1,0,IFERROR(VLOOKUP(BR411,'Gebinde-Kategorie'!$A$5:$M$45,13,0)+0,0))</f>
        <v>26</v>
      </c>
      <c r="S411" s="61"/>
      <c r="T411" s="62" t="s">
        <v>275</v>
      </c>
      <c r="U411" s="62"/>
      <c r="V411" s="62"/>
      <c r="W411" s="55"/>
      <c r="X411" s="57"/>
      <c r="Y411" s="57"/>
      <c r="Z411" s="55" t="n">
        <f aca="false">IF(A411="","",IF(AND(Parameter!$B$21="Ja",ISNUMBER(W411)),W411,IF(BV411="2+3",IF(ISNUMBER(SEARCH("grosser Artikel",BO411)),2,IFERROR(VLOOKUP(BR411,Parameter!$F$35:$G$64,2,0),2)),IF(OR(BV411="Nein",BV411=""),"-",BV411))))</f>
        <v>3</v>
      </c>
      <c r="AA411" s="62"/>
      <c r="AB411" s="63"/>
      <c r="AC411" s="57" t="n">
        <f aca="false">AR411</f>
        <v>20</v>
      </c>
      <c r="AD411" s="57" t="n">
        <f aca="false">MAX(AR411,H411)</f>
        <v>20</v>
      </c>
      <c r="AE411" s="64"/>
      <c r="AF411" s="57" t="n">
        <f aca="false">IF(LEFT(Cockpit!$C$5,1)="A",H411,IF(CA411=1,CB411,IF(LEFT(Cockpit!$C$5,1)="B",AJ411,MAX(AJ411,H411))))</f>
        <v>6</v>
      </c>
      <c r="AG411" s="57" t="n">
        <f aca="false">IF(BT411=1,0,ROUNDUP(AF411/BS411,0))</f>
        <v>1</v>
      </c>
      <c r="AH411" s="59" t="n">
        <f aca="false">IF(CH411&gt;0,CH411*MAX(1,AF411/X411),IF(BT411=1,IF(AF411&lt;=0,0,BW411*MAX(1,IF(H411&gt;0,AF411/H411,1))),IF(R411&gt;0,AG411/R411,0))/MAX(0.1,N(Parameter!$M$21)))</f>
        <v>0.0384615384615385</v>
      </c>
      <c r="AI411" s="57" t="n">
        <f aca="false">AF411*G411</f>
        <v>195.9</v>
      </c>
      <c r="AJ411" s="57" t="n">
        <f aca="false">ROUNDUP(MAX(J411/IF(BZ411&gt;0,BZ411,MAX(0.1,N(Cockpit!$C$6))),CC411)/BS411,0)*BS411</f>
        <v>20</v>
      </c>
      <c r="AK411" s="58" t="n">
        <f aca="false">IF(AH411&gt;0,J411/AH411,-1)</f>
        <v>234</v>
      </c>
      <c r="AL411" s="58" t="n">
        <f aca="false">IF(AND(OR(BY411="L1",BY411="L23"),AH411&gt;0),SUMIFS($AH$7:$AH$1843,$BY$7:$BY$1843,BY411,$AK$7:$AK$1843,"&gt;"&amp;AK411)+SUMIFS($AH$7:$AH$1843,$BY$7:$BY$1843,BY411,$AK$7:$AK$1843,AK411,$BQ$7:$BQ$1843,"&lt;="&amp;BQ411),"")</f>
        <v>30.5542887064626</v>
      </c>
      <c r="AM411" s="65" t="n">
        <f aca="false">IF(AL411="",0,MAX(0,MIN(1,(IF(BY411="L1",Parameter!$E$5,Parameter!$E$6+Parameter!$E$7)-(AL411-AH411))/AH411)))</f>
        <v>1</v>
      </c>
      <c r="AN411" s="57" t="n">
        <f aca="false">IF(LEFT(Cockpit!$I$5,1)="A",H411,IF(CA411=1,CB411,IF(LEFT(Cockpit!$I$5,1)="B",AR411,MAX(AR411,H411))))</f>
        <v>20</v>
      </c>
      <c r="AO411" s="57" t="n">
        <f aca="false">IF(BT411=1,0,ROUNDUP(AN411/BS411,0))</f>
        <v>1</v>
      </c>
      <c r="AP411" s="59" t="n">
        <f aca="false">IF(CH411&gt;0,CH411*MAX(1,AN411/X411),IF(BT411=1,IF(AN411&lt;=0,0,BW411*MAX(1,IF(H411&gt;0,AN411/H411,1))),IF(R411&gt;0,AO411/R411,0))/MAX(0.1,N(Parameter!$M$21)))</f>
        <v>0.0384615384615385</v>
      </c>
      <c r="AQ411" s="57" t="n">
        <f aca="false">AN411*G411</f>
        <v>653</v>
      </c>
      <c r="AR411" s="57" t="n">
        <f aca="false">ROUNDUP(MAX(J411/IF(BZ411&gt;0,BZ411,MAX(0.1,N(Cockpit!$I$6))),CC411)/BS411,0)*BS411</f>
        <v>20</v>
      </c>
      <c r="AS411" s="58" t="n">
        <f aca="false">IF(AP411&gt;0,J411/AP411,-1)</f>
        <v>234</v>
      </c>
      <c r="AT411" s="58" t="n">
        <f aca="false">IF(AND(OR(BY411="L1",BY411="L23"),AP411&gt;0),SUMIFS($AP$7:$AP$1843,$BY$7:$BY$1843,BY411,$AS$7:$AS$1843,"&gt;"&amp;AS411)+SUMIFS($AP$7:$AP$1843,$BY$7:$BY$1843,BY411,$AS$7:$AS$1843,AS411,$BQ$7:$BQ$1843,"&lt;="&amp;BQ411),"")</f>
        <v>43.9492753623188</v>
      </c>
      <c r="AU411" s="65" t="n">
        <f aca="false">IF(AT411="",0,MAX(0,MIN(1,(IF(BY411="L1",Parameter!$E$5,Parameter!$E$6+Parameter!$E$7)-(AT411-AP411))/AP411)))</f>
        <v>1</v>
      </c>
      <c r="AV411" s="57" t="n">
        <f aca="false">IF(LEFT(Cockpit!$O$5,1)="A",H411,IF(CA411=1,CB411,IF(LEFT(Cockpit!$O$5,1)="B",AZ411,MAX(AZ411,H411))))</f>
        <v>20</v>
      </c>
      <c r="AW411" s="57" t="n">
        <f aca="false">IF(BT411=1,0,ROUNDUP(AV411/BS411,0))</f>
        <v>1</v>
      </c>
      <c r="AX411" s="59" t="n">
        <f aca="false">IF(CH411&gt;0,CH411*MAX(1,AV411/X411),IF(BT411=1,IF(AV411&lt;=0,0,BW411*MAX(1,IF(H411&gt;0,AV411/H411,1))),IF(R411&gt;0,AW411/R411,0))/MAX(0.1,N(Parameter!$M$21)))</f>
        <v>0.0384615384615385</v>
      </c>
      <c r="AY411" s="57" t="n">
        <f aca="false">AV411*G411</f>
        <v>653</v>
      </c>
      <c r="AZ411" s="57" t="n">
        <f aca="false">ROUNDUP(MAX(J411/IF(BZ411&gt;0,BZ411,MAX(0.1,N(Cockpit!$O$6))),CC411)/BS411,0)*BS411</f>
        <v>20</v>
      </c>
      <c r="BA411" s="58" t="n">
        <f aca="false">IF(AX411&gt;0,J411/AX411,-1)</f>
        <v>234</v>
      </c>
      <c r="BB411" s="58" t="n">
        <f aca="false">IF(AND(OR(BY411="L1",BY411="L23"),AX411&gt;0),SUMIFS($AX$7:$AX$1843,$BY$7:$BY$1843,BY411,$BA$7:$BA$1843,"&gt;"&amp;BA411)+SUMIFS($AX$7:$AX$1843,$BY$7:$BY$1843,BY411,$BA$7:$BA$1843,BA411,$BQ$7:$BQ$1843,"&lt;="&amp;BQ411),"")</f>
        <v>41.1957788588223</v>
      </c>
      <c r="BC411" s="65" t="n">
        <f aca="false">IF(BB411="",0,MAX(0,MIN(1,(IF(BY411="L1",Parameter!$E$5,Parameter!$E$6+Parameter!$E$7)-(BB411-AX411))/AX411)))</f>
        <v>1</v>
      </c>
      <c r="BD411" s="55" t="str">
        <f aca="false">IF(AH411&lt;=0,"",IF(BY411="Aussen","Aussenlager",IF(BY411="-","Nicht im Lift",IF(AM411&gt;=1,"Lift",IF(AM411&lt;=0,"Aussenlager","teilweise")))))</f>
        <v>Lift</v>
      </c>
      <c r="BE411" s="55" t="str">
        <f aca="false">IF(AP411&lt;=0,"",IF(BY411="Aussen","Aussenlager",IF(BY411="-","Nicht im Lift",IF(AU411&gt;=1,"Lift",IF(AU411&lt;=0,"Aussenlager","teilweise")))))</f>
        <v>Lift</v>
      </c>
      <c r="BF411" s="55" t="str">
        <f aca="false">IF(AX411&lt;=0,"",IF(BY411="Aussen","Aussenlager",IF(BY411="-","Nicht im Lift",IF(BC411&gt;=1,"Lift",IF(BC411&lt;=0,"Aussenlager","teilweise")))))</f>
        <v>Lift</v>
      </c>
      <c r="BG411" s="55" t="str">
        <f aca="false">IF(A411="","",IF(BP411=1,"Neu; ","")&amp;IF(AND(BP411=0,BK411&lt;0),"negativer Bestand (Export "&amp;BK411&amp;"); ","")&amp;IF(J411&lt;=0,"Kein Verbrauch; ","")&amp;IF(CH411&gt;0,"Lift "&amp;W411&amp;" lt. Liftbericht (Fach "&amp;X411&amp;" Stk); ",IF(BU411=1,"Gebinde geschätzt ("&amp;T411&amp;"); ",IF(BT411=1,"Lose – Tablare geschätzt; ","")))&amp;IF(H411&gt;AR411,"Überbestand "&amp;ROUND(H411-AR411,0)&amp;" Stk / CHF "&amp;ROUND((H411-AR411)*G411,0)&amp;"; ","")&amp;IF(AND(CA411=1,CB411&lt;CC411),"MAX &lt; MB+LG; ","")&amp;IF(AND(CG411&gt;0,CF411*10&gt;CG411),"zu hoch für Tablar; ","")&amp;IF(AND(BP411=0,OR(CA411=1,AA411&lt;&gt;"",U411&lt;&gt;"",V411&lt;&gt;"",AB411&lt;&gt;"")),"manuell übersteuert; ","")&amp;IF(AND(BT411=0,R411=0),"Gebinde unbekannt / Stellmass fehlt; ","")&amp;IF(AND(BT411=0,N(V411)&lt;=0,N(Q411)&lt;=0),"Menge pro Gebinde fehlt (Ist = 1 Gebinde); ","")&amp;BO411)</f>
        <v>Gebinde geschätzt (Klein); Menge pro Gebinde fehlt (Ist = 1 Gebinde); </v>
      </c>
      <c r="BH411" s="55"/>
      <c r="BI411" s="55"/>
      <c r="BJ411" s="62"/>
      <c r="BK411" s="57" t="n">
        <v>3</v>
      </c>
      <c r="BL411" s="57" t="n">
        <v>3</v>
      </c>
      <c r="BM411" s="56" t="n">
        <v>101.19</v>
      </c>
      <c r="BN411" s="57" t="n">
        <v>9</v>
      </c>
      <c r="BO411" s="55"/>
      <c r="BP411" s="60" t="n">
        <v>0</v>
      </c>
      <c r="BQ411" s="60" t="n">
        <v>411</v>
      </c>
      <c r="BR411" s="55" t="str">
        <f aca="false">IF(U411&lt;&gt;"",UPPER(TRIM(U411)),IF(BU411=1,UPPER(VLOOKUP(T411,Parameter!$I$27:$K$29,2,0)),IF(P411="","LOSE",P411)))</f>
        <v>S51</v>
      </c>
      <c r="BS411" s="57" t="n">
        <f aca="false">IF(BR411="LOSE",1,IF(N(V411)&gt;0,V411,IF(BU411=1,MAX(1,N(VLOOKUP(T411,Parameter!$I$27:$K$29,3,0)),H411,N(N411)),IF(N(Q411)&gt;0,Q411,MAX(1,H411)))))</f>
        <v>20</v>
      </c>
      <c r="BT411" s="60" t="n">
        <f aca="false">IF(BR411="LOSE",1,0)</f>
        <v>0</v>
      </c>
      <c r="BU411" s="60" t="n">
        <f aca="false">IF(AND(U411="",OR(P411="",P411="LOSE"),T411&lt;&gt;"",N(S411)&lt;=0,ISNUMBER(MATCH(T411,Parameter!$I$27:$I$29,0))),1,0)</f>
        <v>1</v>
      </c>
      <c r="BV411" s="55" t="str">
        <f aca="false">IF(AND(Parameter!$B$19="Ja",E411&lt;&gt;"",ISNUMBER(MATCH(E411,Parameter!$I$35:$I$52,0))),VLOOKUP(E411,Parameter!$I$35:$J$52,2,0),IFERROR(VLOOKUP(D411,Parameter!$A$35:$C$64,2,0),"Nein"))</f>
        <v>2+3</v>
      </c>
      <c r="BW411" s="59" t="n">
        <f aca="false">IF(BT411=0,0,IF(N(S411)&gt;0,S411,IFERROR(VLOOKUP(D411,Parameter!$A$35:$C$64,3,0)+0,0)))</f>
        <v>0</v>
      </c>
      <c r="BX411" s="55" t="n">
        <f aca="false">IF(AA411&lt;&gt;"",AA411,Z411)</f>
        <v>3</v>
      </c>
      <c r="BY411" s="55" t="str">
        <f aca="false">IF(BX411=1,"L1",IF(OR(BX411=2,BX411=3),"L23",IF(BX411="Aussen","Aussen","-")))</f>
        <v>L23</v>
      </c>
      <c r="BZ411" s="66" t="n">
        <f aca="false">IF(N(AB411)&gt;0,AB411,0)</f>
        <v>0</v>
      </c>
      <c r="CA411" s="60" t="n">
        <f aca="false">IF(ISNUMBER(AE411),1,0)</f>
        <v>0</v>
      </c>
      <c r="CB411" s="57" t="n">
        <f aca="false">N(AE411)</f>
        <v>0</v>
      </c>
      <c r="CC411" s="57" t="n">
        <f aca="false">N(M411)+N(N411)</f>
        <v>3</v>
      </c>
      <c r="CD411" s="57" t="n">
        <f aca="false">ROUNDUP(H411/BS411,0)</f>
        <v>1</v>
      </c>
      <c r="CE411" s="57" t="n">
        <f aca="false">ROUNDUP(CB411/BS411,0)</f>
        <v>0</v>
      </c>
      <c r="CF411" s="60" t="n">
        <f aca="false">IF(BT411=1,0,IFERROR(VLOOKUP(BR411,'Gebinde-Kategorie'!$A$5:$M$45,5,0)+0,0))</f>
        <v>11</v>
      </c>
      <c r="CG411" s="60" t="n">
        <f aca="false">IFERROR(IF(OR(BX411=1,BX411=2,BX411=3),N(INDEX(Parameter!$I$5:$I$7,BX411)),0),0)</f>
        <v>0</v>
      </c>
      <c r="CH411" s="59" t="n">
        <f aca="false">IF(AND(Parameter!$B$21="Ja",ISNUMBER(W411),N(X411)&gt;0),IFERROR(N(INDEX(Parameter!$L$5:$L$7,W411))*INDEX(Parameter!$E$5:$E$7,W411)*X411/SUMIFS($X$7:$X$1843,$W$7:$W$1843,W411),0),0)</f>
        <v>0</v>
      </c>
    </row>
    <row r="412" customFormat="false" ht="15" hidden="false" customHeight="false" outlineLevel="0" collapsed="false">
      <c r="A412" s="55" t="s">
        <v>958</v>
      </c>
      <c r="B412" s="55" t="s">
        <v>949</v>
      </c>
      <c r="C412" s="55" t="s">
        <v>164</v>
      </c>
      <c r="D412" s="55" t="s">
        <v>184</v>
      </c>
      <c r="E412" s="55"/>
      <c r="F412" s="55" t="s">
        <v>218</v>
      </c>
      <c r="G412" s="56" t="n">
        <v>0.19</v>
      </c>
      <c r="H412" s="57" t="n">
        <f aca="false">MAX(0,IF(AND(Parameter!$B$21="Ja",ISNUMBER(Y412)),Y412,IF(Parameter!$B$20="Jahresanfang 2025 + Export",BL412+BK412,BK412)))</f>
        <v>747</v>
      </c>
      <c r="I412" s="57" t="n">
        <f aca="false">H412*G412</f>
        <v>141.93</v>
      </c>
      <c r="J412" s="57" t="n">
        <f aca="false">BN412*Parameter!$B$18</f>
        <v>740</v>
      </c>
      <c r="K412" s="58" t="n">
        <v>252.5</v>
      </c>
      <c r="L412" s="59" t="n">
        <v>2.93069306930693</v>
      </c>
      <c r="M412" s="57" t="n">
        <v>43</v>
      </c>
      <c r="N412" s="57" t="n">
        <v>800</v>
      </c>
      <c r="O412" s="60" t="n">
        <v>21</v>
      </c>
      <c r="P412" s="55" t="s">
        <v>421</v>
      </c>
      <c r="Q412" s="57" t="n">
        <v>400</v>
      </c>
      <c r="R412" s="60" t="n">
        <f aca="false">IF(BT412=1,0,IFERROR(VLOOKUP(BR412,'Gebinde-Kategorie'!$A$5:$M$45,13,0)+0,0))</f>
        <v>132</v>
      </c>
      <c r="S412" s="61"/>
      <c r="T412" s="62"/>
      <c r="U412" s="62"/>
      <c r="V412" s="62"/>
      <c r="W412" s="55"/>
      <c r="X412" s="57"/>
      <c r="Y412" s="57"/>
      <c r="Z412" s="55" t="n">
        <f aca="false">IF(A412="","",IF(AND(Parameter!$B$21="Ja",ISNUMBER(W412)),W412,IF(BV412="2+3",IF(ISNUMBER(SEARCH("grosser Artikel",BO412)),2,IFERROR(VLOOKUP(BR412,Parameter!$F$35:$G$64,2,0),2)),IF(OR(BV412="Nein",BV412=""),"-",BV412))))</f>
        <v>3</v>
      </c>
      <c r="AA412" s="62"/>
      <c r="AB412" s="63"/>
      <c r="AC412" s="57" t="n">
        <f aca="false">AR412</f>
        <v>1200</v>
      </c>
      <c r="AD412" s="57" t="n">
        <f aca="false">MAX(AR412,H412)</f>
        <v>1200</v>
      </c>
      <c r="AE412" s="64"/>
      <c r="AF412" s="57" t="n">
        <f aca="false">IF(LEFT(Cockpit!$C$5,1)="A",H412,IF(CA412=1,CB412,IF(LEFT(Cockpit!$C$5,1)="B",AJ412,MAX(AJ412,H412))))</f>
        <v>747</v>
      </c>
      <c r="AG412" s="57" t="n">
        <f aca="false">IF(BT412=1,0,ROUNDUP(AF412/BS412,0))</f>
        <v>2</v>
      </c>
      <c r="AH412" s="59" t="n">
        <f aca="false">IF(CH412&gt;0,CH412*MAX(1,AF412/X412),IF(BT412=1,IF(AF412&lt;=0,0,BW412*MAX(1,IF(H412&gt;0,AF412/H412,1))),IF(R412&gt;0,AG412/R412,0))/MAX(0.1,N(Parameter!$M$21)))</f>
        <v>0.0151515151515152</v>
      </c>
      <c r="AI412" s="57" t="n">
        <f aca="false">AF412*G412</f>
        <v>141.93</v>
      </c>
      <c r="AJ412" s="57" t="n">
        <f aca="false">ROUNDUP(MAX(J412/IF(BZ412&gt;0,BZ412,MAX(0.1,N(Cockpit!$C$6))),CC412)/BS412,0)*BS412</f>
        <v>1200</v>
      </c>
      <c r="AK412" s="58" t="n">
        <f aca="false">IF(AH412&gt;0,J412/AH412,-1)</f>
        <v>48840</v>
      </c>
      <c r="AL412" s="58" t="n">
        <f aca="false">IF(AND(OR(BY412="L1",BY412="L23"),AH412&gt;0),SUMIFS($AH$7:$AH$1843,$BY$7:$BY$1843,BY412,$AK$7:$AK$1843,"&gt;"&amp;AK412)+SUMIFS($AH$7:$AH$1843,$BY$7:$BY$1843,BY412,$AK$7:$AK$1843,AK412,$BQ$7:$BQ$1843,"&lt;="&amp;BQ412),"")</f>
        <v>1.42967298402081</v>
      </c>
      <c r="AM412" s="65" t="n">
        <f aca="false">IF(AL412="",0,MAX(0,MIN(1,(IF(BY412="L1",Parameter!$E$5,Parameter!$E$6+Parameter!$E$7)-(AL412-AH412))/AH412)))</f>
        <v>1</v>
      </c>
      <c r="AN412" s="57" t="n">
        <f aca="false">IF(LEFT(Cockpit!$I$5,1)="A",H412,IF(CA412=1,CB412,IF(LEFT(Cockpit!$I$5,1)="B",AR412,MAX(AR412,H412))))</f>
        <v>1200</v>
      </c>
      <c r="AO412" s="57" t="n">
        <f aca="false">IF(BT412=1,0,ROUNDUP(AN412/BS412,0))</f>
        <v>3</v>
      </c>
      <c r="AP412" s="59" t="n">
        <f aca="false">IF(CH412&gt;0,CH412*MAX(1,AN412/X412),IF(BT412=1,IF(AN412&lt;=0,0,BW412*MAX(1,IF(H412&gt;0,AN412/H412,1))),IF(R412&gt;0,AO412/R412,0))/MAX(0.1,N(Parameter!$M$21)))</f>
        <v>0.0227272727272727</v>
      </c>
      <c r="AQ412" s="57" t="n">
        <f aca="false">AN412*G412</f>
        <v>228</v>
      </c>
      <c r="AR412" s="57" t="n">
        <f aca="false">ROUNDUP(MAX(J412/IF(BZ412&gt;0,BZ412,MAX(0.1,N(Cockpit!$I$6))),CC412)/BS412,0)*BS412</f>
        <v>1200</v>
      </c>
      <c r="AS412" s="58" t="n">
        <f aca="false">IF(AP412&gt;0,J412/AP412,-1)</f>
        <v>32560</v>
      </c>
      <c r="AT412" s="58" t="n">
        <f aca="false">IF(AND(OR(BY412="L1",BY412="L23"),AP412&gt;0),SUMIFS($AP$7:$AP$1843,$BY$7:$BY$1843,BY412,$AS$7:$AS$1843,"&gt;"&amp;AS412)+SUMIFS($AP$7:$AP$1843,$BY$7:$BY$1843,BY412,$AS$7:$AS$1843,AS412,$BQ$7:$BQ$1843,"&lt;="&amp;BQ412),"")</f>
        <v>2.80716867673389</v>
      </c>
      <c r="AU412" s="65" t="n">
        <f aca="false">IF(AT412="",0,MAX(0,MIN(1,(IF(BY412="L1",Parameter!$E$5,Parameter!$E$6+Parameter!$E$7)-(AT412-AP412))/AP412)))</f>
        <v>1</v>
      </c>
      <c r="AV412" s="57" t="n">
        <f aca="false">IF(LEFT(Cockpit!$O$5,1)="A",H412,IF(CA412=1,CB412,IF(LEFT(Cockpit!$O$5,1)="B",AZ412,MAX(AZ412,H412))))</f>
        <v>1200</v>
      </c>
      <c r="AW412" s="57" t="n">
        <f aca="false">IF(BT412=1,0,ROUNDUP(AV412/BS412,0))</f>
        <v>3</v>
      </c>
      <c r="AX412" s="59" t="n">
        <f aca="false">IF(CH412&gt;0,CH412*MAX(1,AV412/X412),IF(BT412=1,IF(AV412&lt;=0,0,BW412*MAX(1,IF(H412&gt;0,AV412/H412,1))),IF(R412&gt;0,AW412/R412,0))/MAX(0.1,N(Parameter!$M$21)))</f>
        <v>0.0227272727272727</v>
      </c>
      <c r="AY412" s="57" t="n">
        <f aca="false">AV412*G412</f>
        <v>228</v>
      </c>
      <c r="AZ412" s="57" t="n">
        <f aca="false">ROUNDUP(MAX(J412/IF(BZ412&gt;0,BZ412,MAX(0.1,N(Cockpit!$O$6))),CC412)/BS412,0)*BS412</f>
        <v>1200</v>
      </c>
      <c r="BA412" s="58" t="n">
        <f aca="false">IF(AX412&gt;0,J412/AX412,-1)</f>
        <v>32560</v>
      </c>
      <c r="BB412" s="58" t="n">
        <f aca="false">IF(AND(OR(BY412="L1",BY412="L23"),AX412&gt;0),SUMIFS($AX$7:$AX$1843,$BY$7:$BY$1843,BY412,$BA$7:$BA$1843,"&gt;"&amp;BA412)+SUMIFS($AX$7:$AX$1843,$BY$7:$BY$1843,BY412,$BA$7:$BA$1843,BA412,$BQ$7:$BQ$1843,"&lt;="&amp;BQ412),"")</f>
        <v>2.57523394479916</v>
      </c>
      <c r="BC412" s="65" t="n">
        <f aca="false">IF(BB412="",0,MAX(0,MIN(1,(IF(BY412="L1",Parameter!$E$5,Parameter!$E$6+Parameter!$E$7)-(BB412-AX412))/AX412)))</f>
        <v>1</v>
      </c>
      <c r="BD412" s="55" t="str">
        <f aca="false">IF(AH412&lt;=0,"",IF(BY412="Aussen","Aussenlager",IF(BY412="-","Nicht im Lift",IF(AM412&gt;=1,"Lift",IF(AM412&lt;=0,"Aussenlager","teilweise")))))</f>
        <v>Lift</v>
      </c>
      <c r="BE412" s="55" t="str">
        <f aca="false">IF(AP412&lt;=0,"",IF(BY412="Aussen","Aussenlager",IF(BY412="-","Nicht im Lift",IF(AU412&gt;=1,"Lift",IF(AU412&lt;=0,"Aussenlager","teilweise")))))</f>
        <v>Lift</v>
      </c>
      <c r="BF412" s="55" t="str">
        <f aca="false">IF(AX412&lt;=0,"",IF(BY412="Aussen","Aussenlager",IF(BY412="-","Nicht im Lift",IF(BC412&gt;=1,"Lift",IF(BC412&lt;=0,"Aussenlager","teilweise")))))</f>
        <v>Lift</v>
      </c>
      <c r="BG412" s="55" t="str">
        <f aca="false">IF(A412="","",IF(BP412=1,"Neu; ","")&amp;IF(AND(BP412=0,BK412&lt;0),"negativer Bestand (Export "&amp;BK412&amp;"); ","")&amp;IF(J412&lt;=0,"Kein Verbrauch; ","")&amp;IF(CH412&gt;0,"Lift "&amp;W412&amp;" lt. Liftbericht (Fach "&amp;X412&amp;" Stk); ",IF(BU412=1,"Gebinde geschätzt ("&amp;T412&amp;"); ",IF(BT412=1,"Lose – Tablare geschätzt; ","")))&amp;IF(H412&gt;AR412,"Überbestand "&amp;ROUND(H412-AR412,0)&amp;" Stk / CHF "&amp;ROUND((H412-AR412)*G412,0)&amp;"; ","")&amp;IF(AND(CA412=1,CB412&lt;CC412),"MAX &lt; MB+LG; ","")&amp;IF(AND(CG412&gt;0,CF412*10&gt;CG412),"zu hoch für Tablar; ","")&amp;IF(AND(BP412=0,OR(CA412=1,AA412&lt;&gt;"",U412&lt;&gt;"",V412&lt;&gt;"",AB412&lt;&gt;"")),"manuell übersteuert; ","")&amp;IF(AND(BT412=0,R412=0),"Gebinde unbekannt / Stellmass fehlt; ","")&amp;IF(AND(BT412=0,N(V412)&lt;=0,N(Q412)&lt;=0),"Menge pro Gebinde fehlt (Ist = 1 Gebinde); ","")&amp;BO412)</f>
        <v/>
      </c>
      <c r="BH412" s="55"/>
      <c r="BI412" s="55"/>
      <c r="BJ412" s="62"/>
      <c r="BK412" s="57" t="n">
        <v>517</v>
      </c>
      <c r="BL412" s="57" t="n">
        <v>230</v>
      </c>
      <c r="BM412" s="56" t="n">
        <v>100.53</v>
      </c>
      <c r="BN412" s="57" t="n">
        <v>740</v>
      </c>
      <c r="BO412" s="55"/>
      <c r="BP412" s="60" t="n">
        <v>0</v>
      </c>
      <c r="BQ412" s="60" t="n">
        <v>412</v>
      </c>
      <c r="BR412" s="55" t="str">
        <f aca="false">IF(U412&lt;&gt;"",UPPER(TRIM(U412)),IF(BU412=1,UPPER(VLOOKUP(T412,Parameter!$I$27:$K$29,2,0)),IF(P412="","LOSE",P412)))</f>
        <v>S32</v>
      </c>
      <c r="BS412" s="57" t="n">
        <f aca="false">IF(BR412="LOSE",1,IF(N(V412)&gt;0,V412,IF(BU412=1,MAX(1,N(VLOOKUP(T412,Parameter!$I$27:$K$29,3,0)),H412,N(N412)),IF(N(Q412)&gt;0,Q412,MAX(1,H412)))))</f>
        <v>400</v>
      </c>
      <c r="BT412" s="60" t="n">
        <f aca="false">IF(BR412="LOSE",1,0)</f>
        <v>0</v>
      </c>
      <c r="BU412" s="60" t="n">
        <f aca="false">IF(AND(U412="",OR(P412="",P412="LOSE"),T412&lt;&gt;"",N(S412)&lt;=0,ISNUMBER(MATCH(T412,Parameter!$I$27:$I$29,0))),1,0)</f>
        <v>0</v>
      </c>
      <c r="BV412" s="55" t="str">
        <f aca="false">IF(AND(Parameter!$B$19="Ja",E412&lt;&gt;"",ISNUMBER(MATCH(E412,Parameter!$I$35:$I$52,0))),VLOOKUP(E412,Parameter!$I$35:$J$52,2,0),IFERROR(VLOOKUP(D412,Parameter!$A$35:$C$64,2,0),"Nein"))</f>
        <v>2+3</v>
      </c>
      <c r="BW412" s="59" t="n">
        <f aca="false">IF(BT412=0,0,IF(N(S412)&gt;0,S412,IFERROR(VLOOKUP(D412,Parameter!$A$35:$C$64,3,0)+0,0)))</f>
        <v>0</v>
      </c>
      <c r="BX412" s="55" t="n">
        <f aca="false">IF(AA412&lt;&gt;"",AA412,Z412)</f>
        <v>3</v>
      </c>
      <c r="BY412" s="55" t="str">
        <f aca="false">IF(BX412=1,"L1",IF(OR(BX412=2,BX412=3),"L23",IF(BX412="Aussen","Aussen","-")))</f>
        <v>L23</v>
      </c>
      <c r="BZ412" s="66" t="n">
        <f aca="false">IF(N(AB412)&gt;0,AB412,0)</f>
        <v>0</v>
      </c>
      <c r="CA412" s="60" t="n">
        <f aca="false">IF(ISNUMBER(AE412),1,0)</f>
        <v>0</v>
      </c>
      <c r="CB412" s="57" t="n">
        <f aca="false">N(AE412)</f>
        <v>0</v>
      </c>
      <c r="CC412" s="57" t="n">
        <f aca="false">N(M412)+N(N412)</f>
        <v>843</v>
      </c>
      <c r="CD412" s="57" t="n">
        <f aca="false">ROUNDUP(H412/BS412,0)</f>
        <v>2</v>
      </c>
      <c r="CE412" s="57" t="n">
        <f aca="false">ROUNDUP(CB412/BS412,0)</f>
        <v>0</v>
      </c>
      <c r="CF412" s="60" t="n">
        <f aca="false">IF(BT412=1,0,IFERROR(VLOOKUP(BR412,'Gebinde-Kategorie'!$A$5:$M$45,5,0)+0,0))</f>
        <v>8</v>
      </c>
      <c r="CG412" s="60" t="n">
        <f aca="false">IFERROR(IF(OR(BX412=1,BX412=2,BX412=3),N(INDEX(Parameter!$I$5:$I$7,BX412)),0),0)</f>
        <v>0</v>
      </c>
      <c r="CH412" s="59" t="n">
        <f aca="false">IF(AND(Parameter!$B$21="Ja",ISNUMBER(W412),N(X412)&gt;0),IFERROR(N(INDEX(Parameter!$L$5:$L$7,W412))*INDEX(Parameter!$E$5:$E$7,W412)*X412/SUMIFS($X$7:$X$1843,$W$7:$W$1843,W412),0),0)</f>
        <v>0</v>
      </c>
    </row>
    <row r="413" customFormat="false" ht="15" hidden="false" customHeight="false" outlineLevel="0" collapsed="false">
      <c r="A413" s="55" t="s">
        <v>959</v>
      </c>
      <c r="B413" s="55" t="s">
        <v>507</v>
      </c>
      <c r="C413" s="55" t="s">
        <v>164</v>
      </c>
      <c r="D413" s="55" t="s">
        <v>184</v>
      </c>
      <c r="E413" s="55" t="s">
        <v>185</v>
      </c>
      <c r="F413" s="55" t="s">
        <v>218</v>
      </c>
      <c r="G413" s="56" t="n">
        <v>2.79</v>
      </c>
      <c r="H413" s="57" t="n">
        <f aca="false">MAX(0,IF(AND(Parameter!$B$21="Ja",ISNUMBER(Y413)),Y413,IF(Parameter!$B$20="Jahresanfang 2025 + Export",BL413+BK413,BK413)))</f>
        <v>77</v>
      </c>
      <c r="I413" s="57" t="n">
        <f aca="false">H413*G413</f>
        <v>214.83</v>
      </c>
      <c r="J413" s="57" t="n">
        <f aca="false">BN413*Parameter!$B$18</f>
        <v>30</v>
      </c>
      <c r="K413" s="58" t="n">
        <v>29</v>
      </c>
      <c r="L413" s="59" t="n">
        <v>1.03448275862069</v>
      </c>
      <c r="M413" s="57" t="n">
        <v>1</v>
      </c>
      <c r="N413" s="57" t="n">
        <v>30</v>
      </c>
      <c r="O413" s="60" t="n">
        <v>14</v>
      </c>
      <c r="P413" s="55" t="s">
        <v>476</v>
      </c>
      <c r="Q413" s="57" t="n">
        <v>28</v>
      </c>
      <c r="R413" s="60" t="n">
        <f aca="false">IF(BT413=1,0,IFERROR(VLOOKUP(BR413,'Gebinde-Kategorie'!$A$5:$M$45,13,0)+0,0))</f>
        <v>66</v>
      </c>
      <c r="S413" s="61"/>
      <c r="T413" s="62"/>
      <c r="U413" s="62"/>
      <c r="V413" s="62"/>
      <c r="W413" s="55"/>
      <c r="X413" s="57"/>
      <c r="Y413" s="57"/>
      <c r="Z413" s="55" t="n">
        <f aca="false">IF(A413="","",IF(AND(Parameter!$B$21="Ja",ISNUMBER(W413)),W413,IF(BV413="2+3",IF(ISNUMBER(SEARCH("grosser Artikel",BO413)),2,IFERROR(VLOOKUP(BR413,Parameter!$F$35:$G$64,2,0),2)),IF(OR(BV413="Nein",BV413=""),"-",BV413))))</f>
        <v>3</v>
      </c>
      <c r="AA413" s="62"/>
      <c r="AB413" s="63"/>
      <c r="AC413" s="57" t="n">
        <f aca="false">AR413</f>
        <v>56</v>
      </c>
      <c r="AD413" s="57" t="n">
        <f aca="false">MAX(AR413,H413)</f>
        <v>77</v>
      </c>
      <c r="AE413" s="64"/>
      <c r="AF413" s="57" t="n">
        <f aca="false">IF(LEFT(Cockpit!$C$5,1)="A",H413,IF(CA413=1,CB413,IF(LEFT(Cockpit!$C$5,1)="B",AJ413,MAX(AJ413,H413))))</f>
        <v>77</v>
      </c>
      <c r="AG413" s="57" t="n">
        <f aca="false">IF(BT413=1,0,ROUNDUP(AF413/BS413,0))</f>
        <v>3</v>
      </c>
      <c r="AH413" s="59" t="n">
        <f aca="false">IF(CH413&gt;0,CH413*MAX(1,AF413/X413),IF(BT413=1,IF(AF413&lt;=0,0,BW413*MAX(1,IF(H413&gt;0,AF413/H413,1))),IF(R413&gt;0,AG413/R413,0))/MAX(0.1,N(Parameter!$M$21)))</f>
        <v>0.0454545454545455</v>
      </c>
      <c r="AI413" s="57" t="n">
        <f aca="false">AF413*G413</f>
        <v>214.83</v>
      </c>
      <c r="AJ413" s="57" t="n">
        <f aca="false">ROUNDUP(MAX(J413/IF(BZ413&gt;0,BZ413,MAX(0.1,N(Cockpit!$C$6))),CC413)/BS413,0)*BS413</f>
        <v>56</v>
      </c>
      <c r="AK413" s="58" t="n">
        <f aca="false">IF(AH413&gt;0,J413/AH413,-1)</f>
        <v>660</v>
      </c>
      <c r="AL413" s="58" t="n">
        <f aca="false">IF(AND(OR(BY413="L1",BY413="L23"),AH413&gt;0),SUMIFS($AH$7:$AH$1843,$BY$7:$BY$1843,BY413,$AK$7:$AK$1843,"&gt;"&amp;AK413)+SUMIFS($AH$7:$AH$1843,$BY$7:$BY$1843,BY413,$AK$7:$AK$1843,AK413,$BQ$7:$BQ$1843,"&lt;="&amp;BQ413),"")</f>
        <v>22.290404040404</v>
      </c>
      <c r="AM413" s="65" t="n">
        <f aca="false">IF(AL413="",0,MAX(0,MIN(1,(IF(BY413="L1",Parameter!$E$5,Parameter!$E$6+Parameter!$E$7)-(AL413-AH413))/AH413)))</f>
        <v>1</v>
      </c>
      <c r="AN413" s="57" t="n">
        <f aca="false">IF(LEFT(Cockpit!$I$5,1)="A",H413,IF(CA413=1,CB413,IF(LEFT(Cockpit!$I$5,1)="B",AR413,MAX(AR413,H413))))</f>
        <v>77</v>
      </c>
      <c r="AO413" s="57" t="n">
        <f aca="false">IF(BT413=1,0,ROUNDUP(AN413/BS413,0))</f>
        <v>3</v>
      </c>
      <c r="AP413" s="59" t="n">
        <f aca="false">IF(CH413&gt;0,CH413*MAX(1,AN413/X413),IF(BT413=1,IF(AN413&lt;=0,0,BW413*MAX(1,IF(H413&gt;0,AN413/H413,1))),IF(R413&gt;0,AO413/R413,0))/MAX(0.1,N(Parameter!$M$21)))</f>
        <v>0.0454545454545455</v>
      </c>
      <c r="AQ413" s="57" t="n">
        <f aca="false">AN413*G413</f>
        <v>214.83</v>
      </c>
      <c r="AR413" s="57" t="n">
        <f aca="false">ROUNDUP(MAX(J413/IF(BZ413&gt;0,BZ413,MAX(0.1,N(Cockpit!$I$6))),CC413)/BS413,0)*BS413</f>
        <v>56</v>
      </c>
      <c r="AS413" s="58" t="n">
        <f aca="false">IF(AP413&gt;0,J413/AP413,-1)</f>
        <v>660</v>
      </c>
      <c r="AT413" s="58" t="n">
        <f aca="false">IF(AND(OR(BY413="L1",BY413="L23"),AP413&gt;0),SUMIFS($AP$7:$AP$1843,$BY$7:$BY$1843,BY413,$AS$7:$AS$1843,"&gt;"&amp;AS413)+SUMIFS($AP$7:$AP$1843,$BY$7:$BY$1843,BY413,$AS$7:$AS$1843,AS413,$BQ$7:$BQ$1843,"&lt;="&amp;BQ413),"")</f>
        <v>29.9261764805243</v>
      </c>
      <c r="AU413" s="65" t="n">
        <f aca="false">IF(AT413="",0,MAX(0,MIN(1,(IF(BY413="L1",Parameter!$E$5,Parameter!$E$6+Parameter!$E$7)-(AT413-AP413))/AP413)))</f>
        <v>1</v>
      </c>
      <c r="AV413" s="57" t="n">
        <f aca="false">IF(LEFT(Cockpit!$O$5,1)="A",H413,IF(CA413=1,CB413,IF(LEFT(Cockpit!$O$5,1)="B",AZ413,MAX(AZ413,H413))))</f>
        <v>77</v>
      </c>
      <c r="AW413" s="57" t="n">
        <f aca="false">IF(BT413=1,0,ROUNDUP(AV413/BS413,0))</f>
        <v>3</v>
      </c>
      <c r="AX413" s="59" t="n">
        <f aca="false">IF(CH413&gt;0,CH413*MAX(1,AV413/X413),IF(BT413=1,IF(AV413&lt;=0,0,BW413*MAX(1,IF(H413&gt;0,AV413/H413,1))),IF(R413&gt;0,AW413/R413,0))/MAX(0.1,N(Parameter!$M$21)))</f>
        <v>0.0454545454545455</v>
      </c>
      <c r="AY413" s="57" t="n">
        <f aca="false">AV413*G413</f>
        <v>214.83</v>
      </c>
      <c r="AZ413" s="57" t="n">
        <f aca="false">ROUNDUP(MAX(J413/IF(BZ413&gt;0,BZ413,MAX(0.1,N(Cockpit!$O$6))),CC413)/BS413,0)*BS413</f>
        <v>56</v>
      </c>
      <c r="BA413" s="58" t="n">
        <f aca="false">IF(AX413&gt;0,J413/AX413,-1)</f>
        <v>660</v>
      </c>
      <c r="BB413" s="58" t="n">
        <f aca="false">IF(AND(OR(BY413="L1",BY413="L23"),AX413&gt;0),SUMIFS($AX$7:$AX$1843,$BY$7:$BY$1843,BY413,$BA$7:$BA$1843,"&gt;"&amp;BA413)+SUMIFS($AX$7:$AX$1843,$BY$7:$BY$1843,BY413,$BA$7:$BA$1843,BA413,$BQ$7:$BQ$1843,"&lt;="&amp;BQ413),"")</f>
        <v>28.627808182156</v>
      </c>
      <c r="BC413" s="65" t="n">
        <f aca="false">IF(BB413="",0,MAX(0,MIN(1,(IF(BY413="L1",Parameter!$E$5,Parameter!$E$6+Parameter!$E$7)-(BB413-AX413))/AX413)))</f>
        <v>1</v>
      </c>
      <c r="BD413" s="55" t="str">
        <f aca="false">IF(AH413&lt;=0,"",IF(BY413="Aussen","Aussenlager",IF(BY413="-","Nicht im Lift",IF(AM413&gt;=1,"Lift",IF(AM413&lt;=0,"Aussenlager","teilweise")))))</f>
        <v>Lift</v>
      </c>
      <c r="BE413" s="55" t="str">
        <f aca="false">IF(AP413&lt;=0,"",IF(BY413="Aussen","Aussenlager",IF(BY413="-","Nicht im Lift",IF(AU413&gt;=1,"Lift",IF(AU413&lt;=0,"Aussenlager","teilweise")))))</f>
        <v>Lift</v>
      </c>
      <c r="BF413" s="55" t="str">
        <f aca="false">IF(AX413&lt;=0,"",IF(BY413="Aussen","Aussenlager",IF(BY413="-","Nicht im Lift",IF(BC413&gt;=1,"Lift",IF(BC413&lt;=0,"Aussenlager","teilweise")))))</f>
        <v>Lift</v>
      </c>
      <c r="BG413" s="55" t="str">
        <f aca="false">IF(A413="","",IF(BP413=1,"Neu; ","")&amp;IF(AND(BP413=0,BK413&lt;0),"negativer Bestand (Export "&amp;BK413&amp;"); ","")&amp;IF(J413&lt;=0,"Kein Verbrauch; ","")&amp;IF(CH413&gt;0,"Lift "&amp;W413&amp;" lt. Liftbericht (Fach "&amp;X413&amp;" Stk); ",IF(BU413=1,"Gebinde geschätzt ("&amp;T413&amp;"); ",IF(BT413=1,"Lose – Tablare geschätzt; ","")))&amp;IF(H413&gt;AR413,"Überbestand "&amp;ROUND(H413-AR413,0)&amp;" Stk / CHF "&amp;ROUND((H413-AR413)*G413,0)&amp;"; ","")&amp;IF(AND(CA413=1,CB413&lt;CC413),"MAX &lt; MB+LG; ","")&amp;IF(AND(CG413&gt;0,CF413*10&gt;CG413),"zu hoch für Tablar; ","")&amp;IF(AND(BP413=0,OR(CA413=1,AA413&lt;&gt;"",U413&lt;&gt;"",V413&lt;&gt;"",AB413&lt;&gt;"")),"manuell übersteuert; ","")&amp;IF(AND(BT413=0,R413=0),"Gebinde unbekannt / Stellmass fehlt; ","")&amp;IF(AND(BT413=0,N(V413)&lt;=0,N(Q413)&lt;=0),"Menge pro Gebinde fehlt (Ist = 1 Gebinde); ","")&amp;BO413)</f>
        <v>Überbestand 21 Stk / CHF 59; </v>
      </c>
      <c r="BH413" s="55"/>
      <c r="BI413" s="55"/>
      <c r="BJ413" s="62"/>
      <c r="BK413" s="57" t="n">
        <v>39</v>
      </c>
      <c r="BL413" s="57" t="n">
        <v>38</v>
      </c>
      <c r="BM413" s="56" t="n">
        <v>100.06</v>
      </c>
      <c r="BN413" s="57" t="n">
        <v>30</v>
      </c>
      <c r="BO413" s="55"/>
      <c r="BP413" s="60" t="n">
        <v>0</v>
      </c>
      <c r="BQ413" s="60" t="n">
        <v>413</v>
      </c>
      <c r="BR413" s="55" t="str">
        <f aca="false">IF(U413&lt;&gt;"",UPPER(TRIM(U413)),IF(BU413=1,UPPER(VLOOKUP(T413,Parameter!$I$27:$K$29,2,0)),IF(P413="","LOSE",P413)))</f>
        <v>S33</v>
      </c>
      <c r="BS413" s="57" t="n">
        <f aca="false">IF(BR413="LOSE",1,IF(N(V413)&gt;0,V413,IF(BU413=1,MAX(1,N(VLOOKUP(T413,Parameter!$I$27:$K$29,3,0)),H413,N(N413)),IF(N(Q413)&gt;0,Q413,MAX(1,H413)))))</f>
        <v>28</v>
      </c>
      <c r="BT413" s="60" t="n">
        <f aca="false">IF(BR413="LOSE",1,0)</f>
        <v>0</v>
      </c>
      <c r="BU413" s="60" t="n">
        <f aca="false">IF(AND(U413="",OR(P413="",P413="LOSE"),T413&lt;&gt;"",N(S413)&lt;=0,ISNUMBER(MATCH(T413,Parameter!$I$27:$I$29,0))),1,0)</f>
        <v>0</v>
      </c>
      <c r="BV413" s="55" t="str">
        <f aca="false">IF(AND(Parameter!$B$19="Ja",E413&lt;&gt;"",ISNUMBER(MATCH(E413,Parameter!$I$35:$I$52,0))),VLOOKUP(E413,Parameter!$I$35:$J$52,2,0),IFERROR(VLOOKUP(D413,Parameter!$A$35:$C$64,2,0),"Nein"))</f>
        <v>2+3</v>
      </c>
      <c r="BW413" s="59" t="n">
        <f aca="false">IF(BT413=0,0,IF(N(S413)&gt;0,S413,IFERROR(VLOOKUP(D413,Parameter!$A$35:$C$64,3,0)+0,0)))</f>
        <v>0</v>
      </c>
      <c r="BX413" s="55" t="n">
        <f aca="false">IF(AA413&lt;&gt;"",AA413,Z413)</f>
        <v>3</v>
      </c>
      <c r="BY413" s="55" t="str">
        <f aca="false">IF(BX413=1,"L1",IF(OR(BX413=2,BX413=3),"L23",IF(BX413="Aussen","Aussen","-")))</f>
        <v>L23</v>
      </c>
      <c r="BZ413" s="66" t="n">
        <f aca="false">IF(N(AB413)&gt;0,AB413,0)</f>
        <v>0</v>
      </c>
      <c r="CA413" s="60" t="n">
        <f aca="false">IF(ISNUMBER(AE413),1,0)</f>
        <v>0</v>
      </c>
      <c r="CB413" s="57" t="n">
        <f aca="false">N(AE413)</f>
        <v>0</v>
      </c>
      <c r="CC413" s="57" t="n">
        <f aca="false">N(M413)+N(N413)</f>
        <v>31</v>
      </c>
      <c r="CD413" s="57" t="n">
        <f aca="false">ROUNDUP(H413/BS413,0)</f>
        <v>3</v>
      </c>
      <c r="CE413" s="57" t="n">
        <f aca="false">ROUNDUP(CB413/BS413,0)</f>
        <v>0</v>
      </c>
      <c r="CF413" s="60" t="n">
        <f aca="false">IF(BT413=1,0,IFERROR(VLOOKUP(BR413,'Gebinde-Kategorie'!$A$5:$M$45,5,0)+0,0))</f>
        <v>8</v>
      </c>
      <c r="CG413" s="60" t="n">
        <f aca="false">IFERROR(IF(OR(BX413=1,BX413=2,BX413=3),N(INDEX(Parameter!$I$5:$I$7,BX413)),0),0)</f>
        <v>0</v>
      </c>
      <c r="CH413" s="59" t="n">
        <f aca="false">IF(AND(Parameter!$B$21="Ja",ISNUMBER(W413),N(X413)&gt;0),IFERROR(N(INDEX(Parameter!$L$5:$L$7,W413))*INDEX(Parameter!$E$5:$E$7,W413)*X413/SUMIFS($X$7:$X$1843,$W$7:$W$1843,W413),0),0)</f>
        <v>0</v>
      </c>
    </row>
    <row r="414" customFormat="false" ht="15" hidden="false" customHeight="false" outlineLevel="0" collapsed="false">
      <c r="A414" s="55" t="s">
        <v>960</v>
      </c>
      <c r="B414" s="55" t="s">
        <v>947</v>
      </c>
      <c r="C414" s="55" t="s">
        <v>164</v>
      </c>
      <c r="D414" s="55" t="s">
        <v>184</v>
      </c>
      <c r="E414" s="55" t="s">
        <v>185</v>
      </c>
      <c r="F414" s="55" t="s">
        <v>218</v>
      </c>
      <c r="G414" s="56" t="n">
        <v>3.21</v>
      </c>
      <c r="H414" s="57" t="n">
        <f aca="false">MAX(0,IF(AND(Parameter!$B$21="Ja",ISNUMBER(Y414)),Y414,IF(Parameter!$B$20="Jahresanfang 2025 + Export",BL414+BK414,BK414)))</f>
        <v>62</v>
      </c>
      <c r="I414" s="57" t="n">
        <f aca="false">H414*G414</f>
        <v>199.02</v>
      </c>
      <c r="J414" s="57" t="n">
        <f aca="false">BN414*Parameter!$B$18</f>
        <v>162</v>
      </c>
      <c r="K414" s="58" t="n">
        <v>52.5</v>
      </c>
      <c r="L414" s="59" t="n">
        <v>3.08571428571429</v>
      </c>
      <c r="M414" s="57" t="n">
        <v>9</v>
      </c>
      <c r="N414" s="57" t="n">
        <v>160</v>
      </c>
      <c r="O414" s="60" t="n">
        <v>21</v>
      </c>
      <c r="P414" s="55" t="s">
        <v>421</v>
      </c>
      <c r="Q414" s="57" t="n">
        <v>56</v>
      </c>
      <c r="R414" s="60" t="n">
        <f aca="false">IF(BT414=1,0,IFERROR(VLOOKUP(BR414,'Gebinde-Kategorie'!$A$5:$M$45,13,0)+0,0))</f>
        <v>132</v>
      </c>
      <c r="S414" s="61"/>
      <c r="T414" s="62"/>
      <c r="U414" s="62"/>
      <c r="V414" s="62"/>
      <c r="W414" s="55"/>
      <c r="X414" s="57"/>
      <c r="Y414" s="57"/>
      <c r="Z414" s="55" t="n">
        <f aca="false">IF(A414="","",IF(AND(Parameter!$B$21="Ja",ISNUMBER(W414)),W414,IF(BV414="2+3",IF(ISNUMBER(SEARCH("grosser Artikel",BO414)),2,IFERROR(VLOOKUP(BR414,Parameter!$F$35:$G$64,2,0),2)),IF(OR(BV414="Nein",BV414=""),"-",BV414))))</f>
        <v>3</v>
      </c>
      <c r="AA414" s="62"/>
      <c r="AB414" s="63"/>
      <c r="AC414" s="57" t="n">
        <f aca="false">AR414</f>
        <v>224</v>
      </c>
      <c r="AD414" s="57" t="n">
        <f aca="false">MAX(AR414,H414)</f>
        <v>224</v>
      </c>
      <c r="AE414" s="64"/>
      <c r="AF414" s="57" t="n">
        <f aca="false">IF(LEFT(Cockpit!$C$5,1)="A",H414,IF(CA414=1,CB414,IF(LEFT(Cockpit!$C$5,1)="B",AJ414,MAX(AJ414,H414))))</f>
        <v>62</v>
      </c>
      <c r="AG414" s="57" t="n">
        <f aca="false">IF(BT414=1,0,ROUNDUP(AF414/BS414,0))</f>
        <v>2</v>
      </c>
      <c r="AH414" s="59" t="n">
        <f aca="false">IF(CH414&gt;0,CH414*MAX(1,AF414/X414),IF(BT414=1,IF(AF414&lt;=0,0,BW414*MAX(1,IF(H414&gt;0,AF414/H414,1))),IF(R414&gt;0,AG414/R414,0))/MAX(0.1,N(Parameter!$M$21)))</f>
        <v>0.0151515151515152</v>
      </c>
      <c r="AI414" s="57" t="n">
        <f aca="false">AF414*G414</f>
        <v>199.02</v>
      </c>
      <c r="AJ414" s="57" t="n">
        <f aca="false">ROUNDUP(MAX(J414/IF(BZ414&gt;0,BZ414,MAX(0.1,N(Cockpit!$C$6))),CC414)/BS414,0)*BS414</f>
        <v>224</v>
      </c>
      <c r="AK414" s="58" t="n">
        <f aca="false">IF(AH414&gt;0,J414/AH414,-1)</f>
        <v>10692</v>
      </c>
      <c r="AL414" s="58" t="n">
        <f aca="false">IF(AND(OR(BY414="L1",BY414="L23"),AH414&gt;0),SUMIFS($AH$7:$AH$1843,$BY$7:$BY$1843,BY414,$AK$7:$AK$1843,"&gt;"&amp;AK414)+SUMIFS($AH$7:$AH$1843,$BY$7:$BY$1843,BY414,$AK$7:$AK$1843,AK414,$BQ$7:$BQ$1843,"&lt;="&amp;BQ414),"")</f>
        <v>5.1851035437992</v>
      </c>
      <c r="AM414" s="65" t="n">
        <f aca="false">IF(AL414="",0,MAX(0,MIN(1,(IF(BY414="L1",Parameter!$E$5,Parameter!$E$6+Parameter!$E$7)-(AL414-AH414))/AH414)))</f>
        <v>1</v>
      </c>
      <c r="AN414" s="57" t="n">
        <f aca="false">IF(LEFT(Cockpit!$I$5,1)="A",H414,IF(CA414=1,CB414,IF(LEFT(Cockpit!$I$5,1)="B",AR414,MAX(AR414,H414))))</f>
        <v>224</v>
      </c>
      <c r="AO414" s="57" t="n">
        <f aca="false">IF(BT414=1,0,ROUNDUP(AN414/BS414,0))</f>
        <v>4</v>
      </c>
      <c r="AP414" s="59" t="n">
        <f aca="false">IF(CH414&gt;0,CH414*MAX(1,AN414/X414),IF(BT414=1,IF(AN414&lt;=0,0,BW414*MAX(1,IF(H414&gt;0,AN414/H414,1))),IF(R414&gt;0,AO414/R414,0))/MAX(0.1,N(Parameter!$M$21)))</f>
        <v>0.0303030303030303</v>
      </c>
      <c r="AQ414" s="57" t="n">
        <f aca="false">AN414*G414</f>
        <v>719.04</v>
      </c>
      <c r="AR414" s="57" t="n">
        <f aca="false">ROUNDUP(MAX(J414/IF(BZ414&gt;0,BZ414,MAX(0.1,N(Cockpit!$I$6))),CC414)/BS414,0)*BS414</f>
        <v>224</v>
      </c>
      <c r="AS414" s="58" t="n">
        <f aca="false">IF(AP414&gt;0,J414/AP414,-1)</f>
        <v>5346</v>
      </c>
      <c r="AT414" s="58" t="n">
        <f aca="false">IF(AND(OR(BY414="L1",BY414="L23"),AP414&gt;0),SUMIFS($AP$7:$AP$1843,$BY$7:$BY$1843,BY414,$AS$7:$AS$1843,"&gt;"&amp;AS414)+SUMIFS($AP$7:$AP$1843,$BY$7:$BY$1843,BY414,$AS$7:$AS$1843,AS414,$BQ$7:$BQ$1843,"&lt;="&amp;BQ414),"")</f>
        <v>11.7054406945711</v>
      </c>
      <c r="AU414" s="65" t="n">
        <f aca="false">IF(AT414="",0,MAX(0,MIN(1,(IF(BY414="L1",Parameter!$E$5,Parameter!$E$6+Parameter!$E$7)-(AT414-AP414))/AP414)))</f>
        <v>1</v>
      </c>
      <c r="AV414" s="57" t="n">
        <f aca="false">IF(LEFT(Cockpit!$O$5,1)="A",H414,IF(CA414=1,CB414,IF(LEFT(Cockpit!$O$5,1)="B",AZ414,MAX(AZ414,H414))))</f>
        <v>224</v>
      </c>
      <c r="AW414" s="57" t="n">
        <f aca="false">IF(BT414=1,0,ROUNDUP(AV414/BS414,0))</f>
        <v>4</v>
      </c>
      <c r="AX414" s="59" t="n">
        <f aca="false">IF(CH414&gt;0,CH414*MAX(1,AV414/X414),IF(BT414=1,IF(AV414&lt;=0,0,BW414*MAX(1,IF(H414&gt;0,AV414/H414,1))),IF(R414&gt;0,AW414/R414,0))/MAX(0.1,N(Parameter!$M$21)))</f>
        <v>0.0303030303030303</v>
      </c>
      <c r="AY414" s="57" t="n">
        <f aca="false">AV414*G414</f>
        <v>719.04</v>
      </c>
      <c r="AZ414" s="57" t="n">
        <f aca="false">ROUNDUP(MAX(J414/IF(BZ414&gt;0,BZ414,MAX(0.1,N(Cockpit!$O$6))),CC414)/BS414,0)*BS414</f>
        <v>224</v>
      </c>
      <c r="BA414" s="58" t="n">
        <f aca="false">IF(AX414&gt;0,J414/AX414,-1)</f>
        <v>5346</v>
      </c>
      <c r="BB414" s="58" t="n">
        <f aca="false">IF(AND(OR(BY414="L1",BY414="L23"),AX414&gt;0),SUMIFS($AX$7:$AX$1843,$BY$7:$BY$1843,BY414,$BA$7:$BA$1843,"&gt;"&amp;BA414)+SUMIFS($AX$7:$AX$1843,$BY$7:$BY$1843,BY414,$BA$7:$BA$1843,BA414,$BQ$7:$BQ$1843,"&lt;="&amp;BQ414),"")</f>
        <v>10.4263031654336</v>
      </c>
      <c r="BC414" s="65" t="n">
        <f aca="false">IF(BB414="",0,MAX(0,MIN(1,(IF(BY414="L1",Parameter!$E$5,Parameter!$E$6+Parameter!$E$7)-(BB414-AX414))/AX414)))</f>
        <v>1</v>
      </c>
      <c r="BD414" s="55" t="str">
        <f aca="false">IF(AH414&lt;=0,"",IF(BY414="Aussen","Aussenlager",IF(BY414="-","Nicht im Lift",IF(AM414&gt;=1,"Lift",IF(AM414&lt;=0,"Aussenlager","teilweise")))))</f>
        <v>Lift</v>
      </c>
      <c r="BE414" s="55" t="str">
        <f aca="false">IF(AP414&lt;=0,"",IF(BY414="Aussen","Aussenlager",IF(BY414="-","Nicht im Lift",IF(AU414&gt;=1,"Lift",IF(AU414&lt;=0,"Aussenlager","teilweise")))))</f>
        <v>Lift</v>
      </c>
      <c r="BF414" s="55" t="str">
        <f aca="false">IF(AX414&lt;=0,"",IF(BY414="Aussen","Aussenlager",IF(BY414="-","Nicht im Lift",IF(BC414&gt;=1,"Lift",IF(BC414&lt;=0,"Aussenlager","teilweise")))))</f>
        <v>Lift</v>
      </c>
      <c r="BG414" s="55" t="str">
        <f aca="false">IF(A414="","",IF(BP414=1,"Neu; ","")&amp;IF(AND(BP414=0,BK414&lt;0),"negativer Bestand (Export "&amp;BK414&amp;"); ","")&amp;IF(J414&lt;=0,"Kein Verbrauch; ","")&amp;IF(CH414&gt;0,"Lift "&amp;W414&amp;" lt. Liftbericht (Fach "&amp;X414&amp;" Stk); ",IF(BU414=1,"Gebinde geschätzt ("&amp;T414&amp;"); ",IF(BT414=1,"Lose – Tablare geschätzt; ","")))&amp;IF(H414&gt;AR414,"Überbestand "&amp;ROUND(H414-AR414,0)&amp;" Stk / CHF "&amp;ROUND((H414-AR414)*G414,0)&amp;"; ","")&amp;IF(AND(CA414=1,CB414&lt;CC414),"MAX &lt; MB+LG; ","")&amp;IF(AND(CG414&gt;0,CF414*10&gt;CG414),"zu hoch für Tablar; ","")&amp;IF(AND(BP414=0,OR(CA414=1,AA414&lt;&gt;"",U414&lt;&gt;"",V414&lt;&gt;"",AB414&lt;&gt;"")),"manuell übersteuert; ","")&amp;IF(AND(BT414=0,R414=0),"Gebinde unbekannt / Stellmass fehlt; ","")&amp;IF(AND(BT414=0,N(V414)&lt;=0,N(Q414)&lt;=0),"Menge pro Gebinde fehlt (Ist = 1 Gebinde); ","")&amp;BO414)</f>
        <v/>
      </c>
      <c r="BH414" s="55"/>
      <c r="BI414" s="55"/>
      <c r="BJ414" s="62"/>
      <c r="BK414" s="57" t="n">
        <v>30</v>
      </c>
      <c r="BL414" s="57" t="n">
        <v>32</v>
      </c>
      <c r="BM414" s="56" t="n">
        <v>98.5399999999998</v>
      </c>
      <c r="BN414" s="57" t="n">
        <v>162</v>
      </c>
      <c r="BO414" s="55"/>
      <c r="BP414" s="60" t="n">
        <v>0</v>
      </c>
      <c r="BQ414" s="60" t="n">
        <v>414</v>
      </c>
      <c r="BR414" s="55" t="str">
        <f aca="false">IF(U414&lt;&gt;"",UPPER(TRIM(U414)),IF(BU414=1,UPPER(VLOOKUP(T414,Parameter!$I$27:$K$29,2,0)),IF(P414="","LOSE",P414)))</f>
        <v>S32</v>
      </c>
      <c r="BS414" s="57" t="n">
        <f aca="false">IF(BR414="LOSE",1,IF(N(V414)&gt;0,V414,IF(BU414=1,MAX(1,N(VLOOKUP(T414,Parameter!$I$27:$K$29,3,0)),H414,N(N414)),IF(N(Q414)&gt;0,Q414,MAX(1,H414)))))</f>
        <v>56</v>
      </c>
      <c r="BT414" s="60" t="n">
        <f aca="false">IF(BR414="LOSE",1,0)</f>
        <v>0</v>
      </c>
      <c r="BU414" s="60" t="n">
        <f aca="false">IF(AND(U414="",OR(P414="",P414="LOSE"),T414&lt;&gt;"",N(S414)&lt;=0,ISNUMBER(MATCH(T414,Parameter!$I$27:$I$29,0))),1,0)</f>
        <v>0</v>
      </c>
      <c r="BV414" s="55" t="str">
        <f aca="false">IF(AND(Parameter!$B$19="Ja",E414&lt;&gt;"",ISNUMBER(MATCH(E414,Parameter!$I$35:$I$52,0))),VLOOKUP(E414,Parameter!$I$35:$J$52,2,0),IFERROR(VLOOKUP(D414,Parameter!$A$35:$C$64,2,0),"Nein"))</f>
        <v>2+3</v>
      </c>
      <c r="BW414" s="59" t="n">
        <f aca="false">IF(BT414=0,0,IF(N(S414)&gt;0,S414,IFERROR(VLOOKUP(D414,Parameter!$A$35:$C$64,3,0)+0,0)))</f>
        <v>0</v>
      </c>
      <c r="BX414" s="55" t="n">
        <f aca="false">IF(AA414&lt;&gt;"",AA414,Z414)</f>
        <v>3</v>
      </c>
      <c r="BY414" s="55" t="str">
        <f aca="false">IF(BX414=1,"L1",IF(OR(BX414=2,BX414=3),"L23",IF(BX414="Aussen","Aussen","-")))</f>
        <v>L23</v>
      </c>
      <c r="BZ414" s="66" t="n">
        <f aca="false">IF(N(AB414)&gt;0,AB414,0)</f>
        <v>0</v>
      </c>
      <c r="CA414" s="60" t="n">
        <f aca="false">IF(ISNUMBER(AE414),1,0)</f>
        <v>0</v>
      </c>
      <c r="CB414" s="57" t="n">
        <f aca="false">N(AE414)</f>
        <v>0</v>
      </c>
      <c r="CC414" s="57" t="n">
        <f aca="false">N(M414)+N(N414)</f>
        <v>169</v>
      </c>
      <c r="CD414" s="57" t="n">
        <f aca="false">ROUNDUP(H414/BS414,0)</f>
        <v>2</v>
      </c>
      <c r="CE414" s="57" t="n">
        <f aca="false">ROUNDUP(CB414/BS414,0)</f>
        <v>0</v>
      </c>
      <c r="CF414" s="60" t="n">
        <f aca="false">IF(BT414=1,0,IFERROR(VLOOKUP(BR414,'Gebinde-Kategorie'!$A$5:$M$45,5,0)+0,0))</f>
        <v>8</v>
      </c>
      <c r="CG414" s="60" t="n">
        <f aca="false">IFERROR(IF(OR(BX414=1,BX414=2,BX414=3),N(INDEX(Parameter!$I$5:$I$7,BX414)),0),0)</f>
        <v>0</v>
      </c>
      <c r="CH414" s="59" t="n">
        <f aca="false">IF(AND(Parameter!$B$21="Ja",ISNUMBER(W414),N(X414)&gt;0),IFERROR(N(INDEX(Parameter!$L$5:$L$7,W414))*INDEX(Parameter!$E$5:$E$7,W414)*X414/SUMIFS($X$7:$X$1843,$W$7:$W$1843,W414),0),0)</f>
        <v>0</v>
      </c>
    </row>
    <row r="415" customFormat="false" ht="15" hidden="false" customHeight="false" outlineLevel="0" collapsed="false">
      <c r="A415" s="55" t="s">
        <v>961</v>
      </c>
      <c r="B415" s="55" t="s">
        <v>407</v>
      </c>
      <c r="C415" s="55" t="s">
        <v>164</v>
      </c>
      <c r="D415" s="55" t="s">
        <v>184</v>
      </c>
      <c r="E415" s="55" t="s">
        <v>185</v>
      </c>
      <c r="F415" s="55" t="s">
        <v>218</v>
      </c>
      <c r="G415" s="56" t="n">
        <v>0.12</v>
      </c>
      <c r="H415" s="57" t="n">
        <f aca="false">MAX(0,IF(AND(Parameter!$B$21="Ja",ISNUMBER(Y415)),Y415,IF(Parameter!$B$20="Jahresanfang 2025 + Export",BL415+BK415,BK415)))</f>
        <v>1198</v>
      </c>
      <c r="I415" s="57" t="n">
        <f aca="false">H415*G415</f>
        <v>143.76</v>
      </c>
      <c r="J415" s="57" t="n">
        <f aca="false">BN415*Parameter!$B$18</f>
        <v>2222</v>
      </c>
      <c r="K415" s="58" t="n">
        <v>530.5</v>
      </c>
      <c r="L415" s="59" t="n">
        <v>4.1885014137606</v>
      </c>
      <c r="M415" s="57" t="n">
        <v>86</v>
      </c>
      <c r="N415" s="57" t="n">
        <v>2000</v>
      </c>
      <c r="O415" s="60" t="n">
        <v>14</v>
      </c>
      <c r="P415" s="55" t="s">
        <v>476</v>
      </c>
      <c r="Q415" s="57" t="n">
        <v>432</v>
      </c>
      <c r="R415" s="60" t="n">
        <f aca="false">IF(BT415=1,0,IFERROR(VLOOKUP(BR415,'Gebinde-Kategorie'!$A$5:$M$45,13,0)+0,0))</f>
        <v>66</v>
      </c>
      <c r="S415" s="61"/>
      <c r="T415" s="62"/>
      <c r="U415" s="62"/>
      <c r="V415" s="62"/>
      <c r="W415" s="55"/>
      <c r="X415" s="57"/>
      <c r="Y415" s="57"/>
      <c r="Z415" s="55" t="n">
        <f aca="false">IF(A415="","",IF(AND(Parameter!$B$21="Ja",ISNUMBER(W415)),W415,IF(BV415="2+3",IF(ISNUMBER(SEARCH("grosser Artikel",BO415)),2,IFERROR(VLOOKUP(BR415,Parameter!$F$35:$G$64,2,0),2)),IF(OR(BV415="Nein",BV415=""),"-",BV415))))</f>
        <v>3</v>
      </c>
      <c r="AA415" s="62"/>
      <c r="AB415" s="63"/>
      <c r="AC415" s="57" t="n">
        <f aca="false">AR415</f>
        <v>2160</v>
      </c>
      <c r="AD415" s="57" t="n">
        <f aca="false">MAX(AR415,H415)</f>
        <v>2160</v>
      </c>
      <c r="AE415" s="64"/>
      <c r="AF415" s="57" t="n">
        <f aca="false">IF(LEFT(Cockpit!$C$5,1)="A",H415,IF(CA415=1,CB415,IF(LEFT(Cockpit!$C$5,1)="B",AJ415,MAX(AJ415,H415))))</f>
        <v>1198</v>
      </c>
      <c r="AG415" s="57" t="n">
        <f aca="false">IF(BT415=1,0,ROUNDUP(AF415/BS415,0))</f>
        <v>3</v>
      </c>
      <c r="AH415" s="59" t="n">
        <f aca="false">IF(CH415&gt;0,CH415*MAX(1,AF415/X415),IF(BT415=1,IF(AF415&lt;=0,0,BW415*MAX(1,IF(H415&gt;0,AF415/H415,1))),IF(R415&gt;0,AG415/R415,0))/MAX(0.1,N(Parameter!$M$21)))</f>
        <v>0.0454545454545455</v>
      </c>
      <c r="AI415" s="57" t="n">
        <f aca="false">AF415*G415</f>
        <v>143.76</v>
      </c>
      <c r="AJ415" s="57" t="n">
        <f aca="false">ROUNDUP(MAX(J415/IF(BZ415&gt;0,BZ415,MAX(0.1,N(Cockpit!$C$6))),CC415)/BS415,0)*BS415</f>
        <v>2160</v>
      </c>
      <c r="AK415" s="58" t="n">
        <f aca="false">IF(AH415&gt;0,J415/AH415,-1)</f>
        <v>48884</v>
      </c>
      <c r="AL415" s="58" t="n">
        <f aca="false">IF(AND(OR(BY415="L1",BY415="L23"),AH415&gt;0),SUMIFS($AH$7:$AH$1843,$BY$7:$BY$1843,BY415,$AK$7:$AK$1843,"&gt;"&amp;AK415)+SUMIFS($AH$7:$AH$1843,$BY$7:$BY$1843,BY415,$AK$7:$AK$1843,AK415,$BQ$7:$BQ$1843,"&lt;="&amp;BQ415),"")</f>
        <v>1.4121060099321</v>
      </c>
      <c r="AM415" s="65" t="n">
        <f aca="false">IF(AL415="",0,MAX(0,MIN(1,(IF(BY415="L1",Parameter!$E$5,Parameter!$E$6+Parameter!$E$7)-(AL415-AH415))/AH415)))</f>
        <v>1</v>
      </c>
      <c r="AN415" s="57" t="n">
        <f aca="false">IF(LEFT(Cockpit!$I$5,1)="A",H415,IF(CA415=1,CB415,IF(LEFT(Cockpit!$I$5,1)="B",AR415,MAX(AR415,H415))))</f>
        <v>2160</v>
      </c>
      <c r="AO415" s="57" t="n">
        <f aca="false">IF(BT415=1,0,ROUNDUP(AN415/BS415,0))</f>
        <v>5</v>
      </c>
      <c r="AP415" s="59" t="n">
        <f aca="false">IF(CH415&gt;0,CH415*MAX(1,AN415/X415),IF(BT415=1,IF(AN415&lt;=0,0,BW415*MAX(1,IF(H415&gt;0,AN415/H415,1))),IF(R415&gt;0,AO415/R415,0))/MAX(0.1,N(Parameter!$M$21)))</f>
        <v>0.0757575757575758</v>
      </c>
      <c r="AQ415" s="57" t="n">
        <f aca="false">AN415*G415</f>
        <v>259.2</v>
      </c>
      <c r="AR415" s="57" t="n">
        <f aca="false">ROUNDUP(MAX(J415/IF(BZ415&gt;0,BZ415,MAX(0.1,N(Cockpit!$I$6))),CC415)/BS415,0)*BS415</f>
        <v>2160</v>
      </c>
      <c r="AS415" s="58" t="n">
        <f aca="false">IF(AP415&gt;0,J415/AP415,-1)</f>
        <v>29330.4</v>
      </c>
      <c r="AT415" s="58" t="n">
        <f aca="false">IF(AND(OR(BY415="L1",BY415="L23"),AP415&gt;0),SUMIFS($AP$7:$AP$1843,$BY$7:$BY$1843,BY415,$AS$7:$AS$1843,"&gt;"&amp;AS415)+SUMIFS($AP$7:$AP$1843,$BY$7:$BY$1843,BY415,$AS$7:$AS$1843,AS415,$BQ$7:$BQ$1843,"&lt;="&amp;BQ415),"")</f>
        <v>3.22120029728725</v>
      </c>
      <c r="AU415" s="65" t="n">
        <f aca="false">IF(AT415="",0,MAX(0,MIN(1,(IF(BY415="L1",Parameter!$E$5,Parameter!$E$6+Parameter!$E$7)-(AT415-AP415))/AP415)))</f>
        <v>1</v>
      </c>
      <c r="AV415" s="57" t="n">
        <f aca="false">IF(LEFT(Cockpit!$O$5,1)="A",H415,IF(CA415=1,CB415,IF(LEFT(Cockpit!$O$5,1)="B",AZ415,MAX(AZ415,H415))))</f>
        <v>2160</v>
      </c>
      <c r="AW415" s="57" t="n">
        <f aca="false">IF(BT415=1,0,ROUNDUP(AV415/BS415,0))</f>
        <v>5</v>
      </c>
      <c r="AX415" s="59" t="n">
        <f aca="false">IF(CH415&gt;0,CH415*MAX(1,AV415/X415),IF(BT415=1,IF(AV415&lt;=0,0,BW415*MAX(1,IF(H415&gt;0,AV415/H415,1))),IF(R415&gt;0,AW415/R415,0))/MAX(0.1,N(Parameter!$M$21)))</f>
        <v>0.0757575757575758</v>
      </c>
      <c r="AY415" s="57" t="n">
        <f aca="false">AV415*G415</f>
        <v>259.2</v>
      </c>
      <c r="AZ415" s="57" t="n">
        <f aca="false">ROUNDUP(MAX(J415/IF(BZ415&gt;0,BZ415,MAX(0.1,N(Cockpit!$O$6))),CC415)/BS415,0)*BS415</f>
        <v>2160</v>
      </c>
      <c r="BA415" s="58" t="n">
        <f aca="false">IF(AX415&gt;0,J415/AX415,-1)</f>
        <v>29330.4</v>
      </c>
      <c r="BB415" s="58" t="n">
        <f aca="false">IF(AND(OR(BY415="L1",BY415="L23"),AX415&gt;0),SUMIFS($AX$7:$AX$1843,$BY$7:$BY$1843,BY415,$BA$7:$BA$1843,"&gt;"&amp;BA415)+SUMIFS($AX$7:$AX$1843,$BY$7:$BY$1843,BY415,$BA$7:$BA$1843,BA415,$BQ$7:$BQ$1843,"&lt;="&amp;BQ415),"")</f>
        <v>2.95080402689098</v>
      </c>
      <c r="BC415" s="65" t="n">
        <f aca="false">IF(BB415="",0,MAX(0,MIN(1,(IF(BY415="L1",Parameter!$E$5,Parameter!$E$6+Parameter!$E$7)-(BB415-AX415))/AX415)))</f>
        <v>1</v>
      </c>
      <c r="BD415" s="55" t="str">
        <f aca="false">IF(AH415&lt;=0,"",IF(BY415="Aussen","Aussenlager",IF(BY415="-","Nicht im Lift",IF(AM415&gt;=1,"Lift",IF(AM415&lt;=0,"Aussenlager","teilweise")))))</f>
        <v>Lift</v>
      </c>
      <c r="BE415" s="55" t="str">
        <f aca="false">IF(AP415&lt;=0,"",IF(BY415="Aussen","Aussenlager",IF(BY415="-","Nicht im Lift",IF(AU415&gt;=1,"Lift",IF(AU415&lt;=0,"Aussenlager","teilweise")))))</f>
        <v>Lift</v>
      </c>
      <c r="BF415" s="55" t="str">
        <f aca="false">IF(AX415&lt;=0,"",IF(BY415="Aussen","Aussenlager",IF(BY415="-","Nicht im Lift",IF(BC415&gt;=1,"Lift",IF(BC415&lt;=0,"Aussenlager","teilweise")))))</f>
        <v>Lift</v>
      </c>
      <c r="BG415" s="55" t="str">
        <f aca="false">IF(A415="","",IF(BP415=1,"Neu; ","")&amp;IF(AND(BP415=0,BK415&lt;0),"negativer Bestand (Export "&amp;BK415&amp;"); ","")&amp;IF(J415&lt;=0,"Kein Verbrauch; ","")&amp;IF(CH415&gt;0,"Lift "&amp;W415&amp;" lt. Liftbericht (Fach "&amp;X415&amp;" Stk); ",IF(BU415=1,"Gebinde geschätzt ("&amp;T415&amp;"); ",IF(BT415=1,"Lose – Tablare geschätzt; ","")))&amp;IF(H415&gt;AR415,"Überbestand "&amp;ROUND(H415-AR415,0)&amp;" Stk / CHF "&amp;ROUND((H415-AR415)*G415,0)&amp;"; ","")&amp;IF(AND(CA415=1,CB415&lt;CC415),"MAX &lt; MB+LG; ","")&amp;IF(AND(CG415&gt;0,CF415*10&gt;CG415),"zu hoch für Tablar; ","")&amp;IF(AND(BP415=0,OR(CA415=1,AA415&lt;&gt;"",U415&lt;&gt;"",V415&lt;&gt;"",AB415&lt;&gt;"")),"manuell übersteuert; ","")&amp;IF(AND(BT415=0,R415=0),"Gebinde unbekannt / Stellmass fehlt; ","")&amp;IF(AND(BT415=0,N(V415)&lt;=0,N(Q415)&lt;=0),"Menge pro Gebinde fehlt (Ist = 1 Gebinde); ","")&amp;BO415)</f>
        <v/>
      </c>
      <c r="BH415" s="55"/>
      <c r="BI415" s="55"/>
      <c r="BJ415" s="62"/>
      <c r="BK415" s="57" t="n">
        <v>771</v>
      </c>
      <c r="BL415" s="57" t="n">
        <v>427</v>
      </c>
      <c r="BM415" s="56" t="n">
        <v>96.7300000000001</v>
      </c>
      <c r="BN415" s="57" t="n">
        <v>2222</v>
      </c>
      <c r="BO415" s="55"/>
      <c r="BP415" s="60" t="n">
        <v>0</v>
      </c>
      <c r="BQ415" s="60" t="n">
        <v>415</v>
      </c>
      <c r="BR415" s="55" t="str">
        <f aca="false">IF(U415&lt;&gt;"",UPPER(TRIM(U415)),IF(BU415=1,UPPER(VLOOKUP(T415,Parameter!$I$27:$K$29,2,0)),IF(P415="","LOSE",P415)))</f>
        <v>S33</v>
      </c>
      <c r="BS415" s="57" t="n">
        <f aca="false">IF(BR415="LOSE",1,IF(N(V415)&gt;0,V415,IF(BU415=1,MAX(1,N(VLOOKUP(T415,Parameter!$I$27:$K$29,3,0)),H415,N(N415)),IF(N(Q415)&gt;0,Q415,MAX(1,H415)))))</f>
        <v>432</v>
      </c>
      <c r="BT415" s="60" t="n">
        <f aca="false">IF(BR415="LOSE",1,0)</f>
        <v>0</v>
      </c>
      <c r="BU415" s="60" t="n">
        <f aca="false">IF(AND(U415="",OR(P415="",P415="LOSE"),T415&lt;&gt;"",N(S415)&lt;=0,ISNUMBER(MATCH(T415,Parameter!$I$27:$I$29,0))),1,0)</f>
        <v>0</v>
      </c>
      <c r="BV415" s="55" t="str">
        <f aca="false">IF(AND(Parameter!$B$19="Ja",E415&lt;&gt;"",ISNUMBER(MATCH(E415,Parameter!$I$35:$I$52,0))),VLOOKUP(E415,Parameter!$I$35:$J$52,2,0),IFERROR(VLOOKUP(D415,Parameter!$A$35:$C$64,2,0),"Nein"))</f>
        <v>2+3</v>
      </c>
      <c r="BW415" s="59" t="n">
        <f aca="false">IF(BT415=0,0,IF(N(S415)&gt;0,S415,IFERROR(VLOOKUP(D415,Parameter!$A$35:$C$64,3,0)+0,0)))</f>
        <v>0</v>
      </c>
      <c r="BX415" s="55" t="n">
        <f aca="false">IF(AA415&lt;&gt;"",AA415,Z415)</f>
        <v>3</v>
      </c>
      <c r="BY415" s="55" t="str">
        <f aca="false">IF(BX415=1,"L1",IF(OR(BX415=2,BX415=3),"L23",IF(BX415="Aussen","Aussen","-")))</f>
        <v>L23</v>
      </c>
      <c r="BZ415" s="66" t="n">
        <f aca="false">IF(N(AB415)&gt;0,AB415,0)</f>
        <v>0</v>
      </c>
      <c r="CA415" s="60" t="n">
        <f aca="false">IF(ISNUMBER(AE415),1,0)</f>
        <v>0</v>
      </c>
      <c r="CB415" s="57" t="n">
        <f aca="false">N(AE415)</f>
        <v>0</v>
      </c>
      <c r="CC415" s="57" t="n">
        <f aca="false">N(M415)+N(N415)</f>
        <v>2086</v>
      </c>
      <c r="CD415" s="57" t="n">
        <f aca="false">ROUNDUP(H415/BS415,0)</f>
        <v>3</v>
      </c>
      <c r="CE415" s="57" t="n">
        <f aca="false">ROUNDUP(CB415/BS415,0)</f>
        <v>0</v>
      </c>
      <c r="CF415" s="60" t="n">
        <f aca="false">IF(BT415=1,0,IFERROR(VLOOKUP(BR415,'Gebinde-Kategorie'!$A$5:$M$45,5,0)+0,0))</f>
        <v>8</v>
      </c>
      <c r="CG415" s="60" t="n">
        <f aca="false">IFERROR(IF(OR(BX415=1,BX415=2,BX415=3),N(INDEX(Parameter!$I$5:$I$7,BX415)),0),0)</f>
        <v>0</v>
      </c>
      <c r="CH415" s="59" t="n">
        <f aca="false">IF(AND(Parameter!$B$21="Ja",ISNUMBER(W415),N(X415)&gt;0),IFERROR(N(INDEX(Parameter!$L$5:$L$7,W415))*INDEX(Parameter!$E$5:$E$7,W415)*X415/SUMIFS($X$7:$X$1843,$W$7:$W$1843,W415),0),0)</f>
        <v>0</v>
      </c>
    </row>
    <row r="416" customFormat="false" ht="15" hidden="false" customHeight="false" outlineLevel="0" collapsed="false">
      <c r="A416" s="55" t="s">
        <v>962</v>
      </c>
      <c r="B416" s="55" t="s">
        <v>963</v>
      </c>
      <c r="C416" s="55" t="s">
        <v>164</v>
      </c>
      <c r="D416" s="55" t="s">
        <v>184</v>
      </c>
      <c r="E416" s="55" t="s">
        <v>185</v>
      </c>
      <c r="F416" s="55" t="s">
        <v>218</v>
      </c>
      <c r="G416" s="56" t="n">
        <v>0.56</v>
      </c>
      <c r="H416" s="57" t="n">
        <f aca="false">MAX(0,IF(AND(Parameter!$B$21="Ja",ISNUMBER(Y416)),Y416,IF(Parameter!$B$20="Jahresanfang 2025 + Export",BL416+BK416,BK416)))</f>
        <v>523</v>
      </c>
      <c r="I416" s="57" t="n">
        <f aca="false">H416*G416</f>
        <v>292.88</v>
      </c>
      <c r="J416" s="57" t="n">
        <f aca="false">BN416*Parameter!$B$18</f>
        <v>383</v>
      </c>
      <c r="K416" s="58" t="n">
        <v>255</v>
      </c>
      <c r="L416" s="59" t="n">
        <v>1.50196078431373</v>
      </c>
      <c r="M416" s="57" t="n">
        <v>22</v>
      </c>
      <c r="N416" s="57" t="n">
        <v>500</v>
      </c>
      <c r="O416" s="60" t="n">
        <v>21</v>
      </c>
      <c r="P416" s="55" t="s">
        <v>328</v>
      </c>
      <c r="Q416" s="57" t="n">
        <v>402</v>
      </c>
      <c r="R416" s="60" t="n">
        <f aca="false">IF(BT416=1,0,IFERROR(VLOOKUP(BR416,'Gebinde-Kategorie'!$A$5:$M$45,13,0)+0,0))</f>
        <v>52</v>
      </c>
      <c r="S416" s="61"/>
      <c r="T416" s="62"/>
      <c r="U416" s="62"/>
      <c r="V416" s="62"/>
      <c r="W416" s="55"/>
      <c r="X416" s="57"/>
      <c r="Y416" s="57"/>
      <c r="Z416" s="55" t="n">
        <f aca="false">IF(A416="","",IF(AND(Parameter!$B$21="Ja",ISNUMBER(W416)),W416,IF(BV416="2+3",IF(ISNUMBER(SEARCH("grosser Artikel",BO416)),2,IFERROR(VLOOKUP(BR416,Parameter!$F$35:$G$64,2,0),2)),IF(OR(BV416="Nein",BV416=""),"-",BV416))))</f>
        <v>3</v>
      </c>
      <c r="AA416" s="62"/>
      <c r="AB416" s="63"/>
      <c r="AC416" s="57" t="n">
        <f aca="false">AR416</f>
        <v>804</v>
      </c>
      <c r="AD416" s="57" t="n">
        <f aca="false">MAX(AR416,H416)</f>
        <v>804</v>
      </c>
      <c r="AE416" s="64"/>
      <c r="AF416" s="57" t="n">
        <f aca="false">IF(LEFT(Cockpit!$C$5,1)="A",H416,IF(CA416=1,CB416,IF(LEFT(Cockpit!$C$5,1)="B",AJ416,MAX(AJ416,H416))))</f>
        <v>523</v>
      </c>
      <c r="AG416" s="57" t="n">
        <f aca="false">IF(BT416=1,0,ROUNDUP(AF416/BS416,0))</f>
        <v>2</v>
      </c>
      <c r="AH416" s="59" t="n">
        <f aca="false">IF(CH416&gt;0,CH416*MAX(1,AF416/X416),IF(BT416=1,IF(AF416&lt;=0,0,BW416*MAX(1,IF(H416&gt;0,AF416/H416,1))),IF(R416&gt;0,AG416/R416,0))/MAX(0.1,N(Parameter!$M$21)))</f>
        <v>0.0384615384615385</v>
      </c>
      <c r="AI416" s="57" t="n">
        <f aca="false">AF416*G416</f>
        <v>292.88</v>
      </c>
      <c r="AJ416" s="57" t="n">
        <f aca="false">ROUNDUP(MAX(J416/IF(BZ416&gt;0,BZ416,MAX(0.1,N(Cockpit!$C$6))),CC416)/BS416,0)*BS416</f>
        <v>804</v>
      </c>
      <c r="AK416" s="58" t="n">
        <f aca="false">IF(AH416&gt;0,J416/AH416,-1)</f>
        <v>9958</v>
      </c>
      <c r="AL416" s="58" t="n">
        <f aca="false">IF(AND(OR(BY416="L1",BY416="L23"),AH416&gt;0),SUMIFS($AH$7:$AH$1843,$BY$7:$BY$1843,BY416,$AK$7:$AK$1843,"&gt;"&amp;AK416)+SUMIFS($AH$7:$AH$1843,$BY$7:$BY$1843,BY416,$AK$7:$AK$1843,AK416,$BQ$7:$BQ$1843,"&lt;="&amp;BQ416),"")</f>
        <v>5.43635350157089</v>
      </c>
      <c r="AM416" s="65" t="n">
        <f aca="false">IF(AL416="",0,MAX(0,MIN(1,(IF(BY416="L1",Parameter!$E$5,Parameter!$E$6+Parameter!$E$7)-(AL416-AH416))/AH416)))</f>
        <v>1</v>
      </c>
      <c r="AN416" s="57" t="n">
        <f aca="false">IF(LEFT(Cockpit!$I$5,1)="A",H416,IF(CA416=1,CB416,IF(LEFT(Cockpit!$I$5,1)="B",AR416,MAX(AR416,H416))))</f>
        <v>804</v>
      </c>
      <c r="AO416" s="57" t="n">
        <f aca="false">IF(BT416=1,0,ROUNDUP(AN416/BS416,0))</f>
        <v>2</v>
      </c>
      <c r="AP416" s="59" t="n">
        <f aca="false">IF(CH416&gt;0,CH416*MAX(1,AN416/X416),IF(BT416=1,IF(AN416&lt;=0,0,BW416*MAX(1,IF(H416&gt;0,AN416/H416,1))),IF(R416&gt;0,AO416/R416,0))/MAX(0.1,N(Parameter!$M$21)))</f>
        <v>0.0384615384615385</v>
      </c>
      <c r="AQ416" s="57" t="n">
        <f aca="false">AN416*G416</f>
        <v>450.24</v>
      </c>
      <c r="AR416" s="57" t="n">
        <f aca="false">ROUNDUP(MAX(J416/IF(BZ416&gt;0,BZ416,MAX(0.1,N(Cockpit!$I$6))),CC416)/BS416,0)*BS416</f>
        <v>804</v>
      </c>
      <c r="AS416" s="58" t="n">
        <f aca="false">IF(AP416&gt;0,J416/AP416,-1)</f>
        <v>9958</v>
      </c>
      <c r="AT416" s="58" t="n">
        <f aca="false">IF(AND(OR(BY416="L1",BY416="L23"),AP416&gt;0),SUMIFS($AP$7:$AP$1843,$BY$7:$BY$1843,BY416,$AS$7:$AS$1843,"&gt;"&amp;AS416)+SUMIFS($AP$7:$AP$1843,$BY$7:$BY$1843,BY416,$AS$7:$AS$1843,AS416,$BQ$7:$BQ$1843,"&lt;="&amp;BQ416),"")</f>
        <v>8.20476504172156</v>
      </c>
      <c r="AU416" s="65" t="n">
        <f aca="false">IF(AT416="",0,MAX(0,MIN(1,(IF(BY416="L1",Parameter!$E$5,Parameter!$E$6+Parameter!$E$7)-(AT416-AP416))/AP416)))</f>
        <v>1</v>
      </c>
      <c r="AV416" s="57" t="n">
        <f aca="false">IF(LEFT(Cockpit!$O$5,1)="A",H416,IF(CA416=1,CB416,IF(LEFT(Cockpit!$O$5,1)="B",AZ416,MAX(AZ416,H416))))</f>
        <v>804</v>
      </c>
      <c r="AW416" s="57" t="n">
        <f aca="false">IF(BT416=1,0,ROUNDUP(AV416/BS416,0))</f>
        <v>2</v>
      </c>
      <c r="AX416" s="59" t="n">
        <f aca="false">IF(CH416&gt;0,CH416*MAX(1,AV416/X416),IF(BT416=1,IF(AV416&lt;=0,0,BW416*MAX(1,IF(H416&gt;0,AV416/H416,1))),IF(R416&gt;0,AW416/R416,0))/MAX(0.1,N(Parameter!$M$21)))</f>
        <v>0.0384615384615385</v>
      </c>
      <c r="AY416" s="57" t="n">
        <f aca="false">AV416*G416</f>
        <v>450.24</v>
      </c>
      <c r="AZ416" s="57" t="n">
        <f aca="false">ROUNDUP(MAX(J416/IF(BZ416&gt;0,BZ416,MAX(0.1,N(Cockpit!$O$6))),CC416)/BS416,0)*BS416</f>
        <v>804</v>
      </c>
      <c r="BA416" s="58" t="n">
        <f aca="false">IF(AX416&gt;0,J416/AX416,-1)</f>
        <v>9958</v>
      </c>
      <c r="BB416" s="58" t="n">
        <f aca="false">IF(AND(OR(BY416="L1",BY416="L23"),AX416&gt;0),SUMIFS($AX$7:$AX$1843,$BY$7:$BY$1843,BY416,$BA$7:$BA$1843,"&gt;"&amp;BA416)+SUMIFS($AX$7:$AX$1843,$BY$7:$BY$1843,BY416,$BA$7:$BA$1843,BA416,$BQ$7:$BQ$1843,"&lt;="&amp;BQ416),"")</f>
        <v>7.62434546130198</v>
      </c>
      <c r="BC416" s="65" t="n">
        <f aca="false">IF(BB416="",0,MAX(0,MIN(1,(IF(BY416="L1",Parameter!$E$5,Parameter!$E$6+Parameter!$E$7)-(BB416-AX416))/AX416)))</f>
        <v>1</v>
      </c>
      <c r="BD416" s="55" t="str">
        <f aca="false">IF(AH416&lt;=0,"",IF(BY416="Aussen","Aussenlager",IF(BY416="-","Nicht im Lift",IF(AM416&gt;=1,"Lift",IF(AM416&lt;=0,"Aussenlager","teilweise")))))</f>
        <v>Lift</v>
      </c>
      <c r="BE416" s="55" t="str">
        <f aca="false">IF(AP416&lt;=0,"",IF(BY416="Aussen","Aussenlager",IF(BY416="-","Nicht im Lift",IF(AU416&gt;=1,"Lift",IF(AU416&lt;=0,"Aussenlager","teilweise")))))</f>
        <v>Lift</v>
      </c>
      <c r="BF416" s="55" t="str">
        <f aca="false">IF(AX416&lt;=0,"",IF(BY416="Aussen","Aussenlager",IF(BY416="-","Nicht im Lift",IF(BC416&gt;=1,"Lift",IF(BC416&lt;=0,"Aussenlager","teilweise")))))</f>
        <v>Lift</v>
      </c>
      <c r="BG416" s="55" t="str">
        <f aca="false">IF(A416="","",IF(BP416=1,"Neu; ","")&amp;IF(AND(BP416=0,BK416&lt;0),"negativer Bestand (Export "&amp;BK416&amp;"); ","")&amp;IF(J416&lt;=0,"Kein Verbrauch; ","")&amp;IF(CH416&gt;0,"Lift "&amp;W416&amp;" lt. Liftbericht (Fach "&amp;X416&amp;" Stk); ",IF(BU416=1,"Gebinde geschätzt ("&amp;T416&amp;"); ",IF(BT416=1,"Lose – Tablare geschätzt; ","")))&amp;IF(H416&gt;AR416,"Überbestand "&amp;ROUND(H416-AR416,0)&amp;" Stk / CHF "&amp;ROUND((H416-AR416)*G416,0)&amp;"; ","")&amp;IF(AND(CA416=1,CB416&lt;CC416),"MAX &lt; MB+LG; ","")&amp;IF(AND(CG416&gt;0,CF416*10&gt;CG416),"zu hoch für Tablar; ","")&amp;IF(AND(BP416=0,OR(CA416=1,AA416&lt;&gt;"",U416&lt;&gt;"",V416&lt;&gt;"",AB416&lt;&gt;"")),"manuell übersteuert; ","")&amp;IF(AND(BT416=0,R416=0),"Gebinde unbekannt / Stellmass fehlt; ","")&amp;IF(AND(BT416=0,N(V416)&lt;=0,N(Q416)&lt;=0),"Menge pro Gebinde fehlt (Ist = 1 Gebinde); ","")&amp;BO416)</f>
        <v/>
      </c>
      <c r="BH416" s="55"/>
      <c r="BI416" s="55"/>
      <c r="BJ416" s="62"/>
      <c r="BK416" s="57" t="n">
        <v>234</v>
      </c>
      <c r="BL416" s="57" t="n">
        <v>289</v>
      </c>
      <c r="BM416" s="56" t="n">
        <v>95.7399999999999</v>
      </c>
      <c r="BN416" s="57" t="n">
        <v>383</v>
      </c>
      <c r="BO416" s="55"/>
      <c r="BP416" s="60" t="n">
        <v>0</v>
      </c>
      <c r="BQ416" s="60" t="n">
        <v>416</v>
      </c>
      <c r="BR416" s="55" t="str">
        <f aca="false">IF(U416&lt;&gt;"",UPPER(TRIM(U416)),IF(BU416=1,UPPER(VLOOKUP(T416,Parameter!$I$27:$K$29,2,0)),IF(P416="","LOSE",P416)))</f>
        <v>S41</v>
      </c>
      <c r="BS416" s="57" t="n">
        <f aca="false">IF(BR416="LOSE",1,IF(N(V416)&gt;0,V416,IF(BU416=1,MAX(1,N(VLOOKUP(T416,Parameter!$I$27:$K$29,3,0)),H416,N(N416)),IF(N(Q416)&gt;0,Q416,MAX(1,H416)))))</f>
        <v>402</v>
      </c>
      <c r="BT416" s="60" t="n">
        <f aca="false">IF(BR416="LOSE",1,0)</f>
        <v>0</v>
      </c>
      <c r="BU416" s="60" t="n">
        <f aca="false">IF(AND(U416="",OR(P416="",P416="LOSE"),T416&lt;&gt;"",N(S416)&lt;=0,ISNUMBER(MATCH(T416,Parameter!$I$27:$I$29,0))),1,0)</f>
        <v>0</v>
      </c>
      <c r="BV416" s="55" t="str">
        <f aca="false">IF(AND(Parameter!$B$19="Ja",E416&lt;&gt;"",ISNUMBER(MATCH(E416,Parameter!$I$35:$I$52,0))),VLOOKUP(E416,Parameter!$I$35:$J$52,2,0),IFERROR(VLOOKUP(D416,Parameter!$A$35:$C$64,2,0),"Nein"))</f>
        <v>2+3</v>
      </c>
      <c r="BW416" s="59" t="n">
        <f aca="false">IF(BT416=0,0,IF(N(S416)&gt;0,S416,IFERROR(VLOOKUP(D416,Parameter!$A$35:$C$64,3,0)+0,0)))</f>
        <v>0</v>
      </c>
      <c r="BX416" s="55" t="n">
        <f aca="false">IF(AA416&lt;&gt;"",AA416,Z416)</f>
        <v>3</v>
      </c>
      <c r="BY416" s="55" t="str">
        <f aca="false">IF(BX416=1,"L1",IF(OR(BX416=2,BX416=3),"L23",IF(BX416="Aussen","Aussen","-")))</f>
        <v>L23</v>
      </c>
      <c r="BZ416" s="66" t="n">
        <f aca="false">IF(N(AB416)&gt;0,AB416,0)</f>
        <v>0</v>
      </c>
      <c r="CA416" s="60" t="n">
        <f aca="false">IF(ISNUMBER(AE416),1,0)</f>
        <v>0</v>
      </c>
      <c r="CB416" s="57" t="n">
        <f aca="false">N(AE416)</f>
        <v>0</v>
      </c>
      <c r="CC416" s="57" t="n">
        <f aca="false">N(M416)+N(N416)</f>
        <v>522</v>
      </c>
      <c r="CD416" s="57" t="n">
        <f aca="false">ROUNDUP(H416/BS416,0)</f>
        <v>2</v>
      </c>
      <c r="CE416" s="57" t="n">
        <f aca="false">ROUNDUP(CB416/BS416,0)</f>
        <v>0</v>
      </c>
      <c r="CF416" s="60" t="n">
        <f aca="false">IF(BT416=1,0,IFERROR(VLOOKUP(BR416,'Gebinde-Kategorie'!$A$5:$M$45,5,0)+0,0))</f>
        <v>11</v>
      </c>
      <c r="CG416" s="60" t="n">
        <f aca="false">IFERROR(IF(OR(BX416=1,BX416=2,BX416=3),N(INDEX(Parameter!$I$5:$I$7,BX416)),0),0)</f>
        <v>0</v>
      </c>
      <c r="CH416" s="59" t="n">
        <f aca="false">IF(AND(Parameter!$B$21="Ja",ISNUMBER(W416),N(X416)&gt;0),IFERROR(N(INDEX(Parameter!$L$5:$L$7,W416))*INDEX(Parameter!$E$5:$E$7,W416)*X416/SUMIFS($X$7:$X$1843,$W$7:$W$1843,W416),0),0)</f>
        <v>0</v>
      </c>
    </row>
    <row r="417" customFormat="false" ht="15" hidden="false" customHeight="false" outlineLevel="0" collapsed="false">
      <c r="A417" s="55" t="s">
        <v>964</v>
      </c>
      <c r="B417" s="55" t="s">
        <v>965</v>
      </c>
      <c r="C417" s="55" t="s">
        <v>164</v>
      </c>
      <c r="D417" s="55" t="s">
        <v>184</v>
      </c>
      <c r="E417" s="55" t="s">
        <v>185</v>
      </c>
      <c r="F417" s="55" t="s">
        <v>218</v>
      </c>
      <c r="G417" s="56" t="n">
        <v>19.36</v>
      </c>
      <c r="H417" s="57" t="n">
        <f aca="false">MAX(0,IF(AND(Parameter!$B$21="Ja",ISNUMBER(Y417)),Y417,IF(Parameter!$B$20="Jahresanfang 2025 + Export",BL417+BK417,BK417)))</f>
        <v>13</v>
      </c>
      <c r="I417" s="57" t="n">
        <f aca="false">H417*G417</f>
        <v>251.68</v>
      </c>
      <c r="J417" s="57" t="n">
        <f aca="false">BN417*Parameter!$B$18</f>
        <v>20</v>
      </c>
      <c r="K417" s="58" t="n">
        <v>11.5</v>
      </c>
      <c r="L417" s="59" t="n">
        <v>1.73913043478261</v>
      </c>
      <c r="M417" s="57" t="n">
        <v>1</v>
      </c>
      <c r="N417" s="57" t="n">
        <v>20</v>
      </c>
      <c r="O417" s="60" t="n">
        <v>28</v>
      </c>
      <c r="P417" s="55" t="s">
        <v>302</v>
      </c>
      <c r="Q417" s="57" t="n">
        <v>15</v>
      </c>
      <c r="R417" s="60" t="n">
        <f aca="false">IF(BT417=1,0,IFERROR(VLOOKUP(BR417,'Gebinde-Kategorie'!$A$5:$M$45,13,0)+0,0))</f>
        <v>26</v>
      </c>
      <c r="S417" s="61"/>
      <c r="T417" s="62"/>
      <c r="U417" s="62"/>
      <c r="V417" s="62"/>
      <c r="W417" s="55"/>
      <c r="X417" s="57"/>
      <c r="Y417" s="57"/>
      <c r="Z417" s="55" t="n">
        <f aca="false">IF(A417="","",IF(AND(Parameter!$B$21="Ja",ISNUMBER(W417)),W417,IF(BV417="2+3",IF(ISNUMBER(SEARCH("grosser Artikel",BO417)),2,IFERROR(VLOOKUP(BR417,Parameter!$F$35:$G$64,2,0),2)),IF(OR(BV417="Nein",BV417=""),"-",BV417))))</f>
        <v>3</v>
      </c>
      <c r="AA417" s="62"/>
      <c r="AB417" s="63"/>
      <c r="AC417" s="57" t="n">
        <f aca="false">AR417</f>
        <v>30</v>
      </c>
      <c r="AD417" s="57" t="n">
        <f aca="false">MAX(AR417,H417)</f>
        <v>30</v>
      </c>
      <c r="AE417" s="64"/>
      <c r="AF417" s="57" t="n">
        <f aca="false">IF(LEFT(Cockpit!$C$5,1)="A",H417,IF(CA417=1,CB417,IF(LEFT(Cockpit!$C$5,1)="B",AJ417,MAX(AJ417,H417))))</f>
        <v>13</v>
      </c>
      <c r="AG417" s="57" t="n">
        <f aca="false">IF(BT417=1,0,ROUNDUP(AF417/BS417,0))</f>
        <v>1</v>
      </c>
      <c r="AH417" s="59" t="n">
        <f aca="false">IF(CH417&gt;0,CH417*MAX(1,AF417/X417),IF(BT417=1,IF(AF417&lt;=0,0,BW417*MAX(1,IF(H417&gt;0,AF417/H417,1))),IF(R417&gt;0,AG417/R417,0))/MAX(0.1,N(Parameter!$M$21)))</f>
        <v>0.0384615384615385</v>
      </c>
      <c r="AI417" s="57" t="n">
        <f aca="false">AF417*G417</f>
        <v>251.68</v>
      </c>
      <c r="AJ417" s="57" t="n">
        <f aca="false">ROUNDUP(MAX(J417/IF(BZ417&gt;0,BZ417,MAX(0.1,N(Cockpit!$C$6))),CC417)/BS417,0)*BS417</f>
        <v>30</v>
      </c>
      <c r="AK417" s="58" t="n">
        <f aca="false">IF(AH417&gt;0,J417/AH417,-1)</f>
        <v>520</v>
      </c>
      <c r="AL417" s="58" t="n">
        <f aca="false">IF(AND(OR(BY417="L1",BY417="L23"),AH417&gt;0),SUMIFS($AH$7:$AH$1843,$BY$7:$BY$1843,BY417,$AK$7:$AK$1843,"&gt;"&amp;AK417)+SUMIFS($AH$7:$AH$1843,$BY$7:$BY$1843,BY417,$AK$7:$AK$1843,AK417,$BQ$7:$BQ$1843,"&lt;="&amp;BQ417),"")</f>
        <v>23.8764568764569</v>
      </c>
      <c r="AM417" s="65" t="n">
        <f aca="false">IF(AL417="",0,MAX(0,MIN(1,(IF(BY417="L1",Parameter!$E$5,Parameter!$E$6+Parameter!$E$7)-(AL417-AH417))/AH417)))</f>
        <v>1</v>
      </c>
      <c r="AN417" s="57" t="n">
        <f aca="false">IF(LEFT(Cockpit!$I$5,1)="A",H417,IF(CA417=1,CB417,IF(LEFT(Cockpit!$I$5,1)="B",AR417,MAX(AR417,H417))))</f>
        <v>30</v>
      </c>
      <c r="AO417" s="57" t="n">
        <f aca="false">IF(BT417=1,0,ROUNDUP(AN417/BS417,0))</f>
        <v>2</v>
      </c>
      <c r="AP417" s="59" t="n">
        <f aca="false">IF(CH417&gt;0,CH417*MAX(1,AN417/X417),IF(BT417=1,IF(AN417&lt;=0,0,BW417*MAX(1,IF(H417&gt;0,AN417/H417,1))),IF(R417&gt;0,AO417/R417,0))/MAX(0.1,N(Parameter!$M$21)))</f>
        <v>0.0769230769230769</v>
      </c>
      <c r="AQ417" s="57" t="n">
        <f aca="false">AN417*G417</f>
        <v>580.8</v>
      </c>
      <c r="AR417" s="57" t="n">
        <f aca="false">ROUNDUP(MAX(J417/IF(BZ417&gt;0,BZ417,MAX(0.1,N(Cockpit!$I$6))),CC417)/BS417,0)*BS417</f>
        <v>30</v>
      </c>
      <c r="AS417" s="58" t="n">
        <f aca="false">IF(AP417&gt;0,J417/AP417,-1)</f>
        <v>260</v>
      </c>
      <c r="AT417" s="58" t="n">
        <f aca="false">IF(AND(OR(BY417="L1",BY417="L23"),AP417&gt;0),SUMIFS($AP$7:$AP$1843,$BY$7:$BY$1843,BY417,$AS$7:$AS$1843,"&gt;"&amp;AS417)+SUMIFS($AP$7:$AP$1843,$BY$7:$BY$1843,BY417,$AS$7:$AS$1843,AS417,$BQ$7:$BQ$1843,"&lt;="&amp;BQ417),"")</f>
        <v>42.4428651059086</v>
      </c>
      <c r="AU417" s="65" t="n">
        <f aca="false">IF(AT417="",0,MAX(0,MIN(1,(IF(BY417="L1",Parameter!$E$5,Parameter!$E$6+Parameter!$E$7)-(AT417-AP417))/AP417)))</f>
        <v>1</v>
      </c>
      <c r="AV417" s="57" t="n">
        <f aca="false">IF(LEFT(Cockpit!$O$5,1)="A",H417,IF(CA417=1,CB417,IF(LEFT(Cockpit!$O$5,1)="B",AZ417,MAX(AZ417,H417))))</f>
        <v>30</v>
      </c>
      <c r="AW417" s="57" t="n">
        <f aca="false">IF(BT417=1,0,ROUNDUP(AV417/BS417,0))</f>
        <v>2</v>
      </c>
      <c r="AX417" s="59" t="n">
        <f aca="false">IF(CH417&gt;0,CH417*MAX(1,AV417/X417),IF(BT417=1,IF(AV417&lt;=0,0,BW417*MAX(1,IF(H417&gt;0,AV417/H417,1))),IF(R417&gt;0,AW417/R417,0))/MAX(0.1,N(Parameter!$M$21)))</f>
        <v>0.0769230769230769</v>
      </c>
      <c r="AY417" s="57" t="n">
        <f aca="false">AV417*G417</f>
        <v>580.8</v>
      </c>
      <c r="AZ417" s="57" t="n">
        <f aca="false">ROUNDUP(MAX(J417/IF(BZ417&gt;0,BZ417,MAX(0.1,N(Cockpit!$O$6))),CC417)/BS417,0)*BS417</f>
        <v>30</v>
      </c>
      <c r="BA417" s="58" t="n">
        <f aca="false">IF(AX417&gt;0,J417/AX417,-1)</f>
        <v>260</v>
      </c>
      <c r="BB417" s="58" t="n">
        <f aca="false">IF(AND(OR(BY417="L1",BY417="L23"),AX417&gt;0),SUMIFS($AX$7:$AX$1843,$BY$7:$BY$1843,BY417,$BA$7:$BA$1843,"&gt;"&amp;BA417)+SUMIFS($AX$7:$AX$1843,$BY$7:$BY$1843,BY417,$BA$7:$BA$1843,BA417,$BQ$7:$BQ$1843,"&lt;="&amp;BQ417),"")</f>
        <v>38.7727019357454</v>
      </c>
      <c r="BC417" s="65" t="n">
        <f aca="false">IF(BB417="",0,MAX(0,MIN(1,(IF(BY417="L1",Parameter!$E$5,Parameter!$E$6+Parameter!$E$7)-(BB417-AX417))/AX417)))</f>
        <v>1</v>
      </c>
      <c r="BD417" s="55" t="str">
        <f aca="false">IF(AH417&lt;=0,"",IF(BY417="Aussen","Aussenlager",IF(BY417="-","Nicht im Lift",IF(AM417&gt;=1,"Lift",IF(AM417&lt;=0,"Aussenlager","teilweise")))))</f>
        <v>Lift</v>
      </c>
      <c r="BE417" s="55" t="str">
        <f aca="false">IF(AP417&lt;=0,"",IF(BY417="Aussen","Aussenlager",IF(BY417="-","Nicht im Lift",IF(AU417&gt;=1,"Lift",IF(AU417&lt;=0,"Aussenlager","teilweise")))))</f>
        <v>Lift</v>
      </c>
      <c r="BF417" s="55" t="str">
        <f aca="false">IF(AX417&lt;=0,"",IF(BY417="Aussen","Aussenlager",IF(BY417="-","Nicht im Lift",IF(BC417&gt;=1,"Lift",IF(BC417&lt;=0,"Aussenlager","teilweise")))))</f>
        <v>Lift</v>
      </c>
      <c r="BG417" s="55" t="str">
        <f aca="false">IF(A417="","",IF(BP417=1,"Neu; ","")&amp;IF(AND(BP417=0,BK417&lt;0),"negativer Bestand (Export "&amp;BK417&amp;"); ","")&amp;IF(J417&lt;=0,"Kein Verbrauch; ","")&amp;IF(CH417&gt;0,"Lift "&amp;W417&amp;" lt. Liftbericht (Fach "&amp;X417&amp;" Stk); ",IF(BU417=1,"Gebinde geschätzt ("&amp;T417&amp;"); ",IF(BT417=1,"Lose – Tablare geschätzt; ","")))&amp;IF(H417&gt;AR417,"Überbestand "&amp;ROUND(H417-AR417,0)&amp;" Stk / CHF "&amp;ROUND((H417-AR417)*G417,0)&amp;"; ","")&amp;IF(AND(CA417=1,CB417&lt;CC417),"MAX &lt; MB+LG; ","")&amp;IF(AND(CG417&gt;0,CF417*10&gt;CG417),"zu hoch für Tablar; ","")&amp;IF(AND(BP417=0,OR(CA417=1,AA417&lt;&gt;"",U417&lt;&gt;"",V417&lt;&gt;"",AB417&lt;&gt;"")),"manuell übersteuert; ","")&amp;IF(AND(BT417=0,R417=0),"Gebinde unbekannt / Stellmass fehlt; ","")&amp;IF(AND(BT417=0,N(V417)&lt;=0,N(Q417)&lt;=0),"Menge pro Gebinde fehlt (Ist = 1 Gebinde); ","")&amp;BO417)</f>
        <v/>
      </c>
      <c r="BH417" s="55"/>
      <c r="BI417" s="55"/>
      <c r="BJ417" s="62"/>
      <c r="BK417" s="57" t="n">
        <v>6</v>
      </c>
      <c r="BL417" s="57" t="n">
        <v>7</v>
      </c>
      <c r="BM417" s="56" t="n">
        <v>95.2299999999999</v>
      </c>
      <c r="BN417" s="57" t="n">
        <v>20</v>
      </c>
      <c r="BO417" s="55"/>
      <c r="BP417" s="60" t="n">
        <v>0</v>
      </c>
      <c r="BQ417" s="60" t="n">
        <v>417</v>
      </c>
      <c r="BR417" s="55" t="str">
        <f aca="false">IF(U417&lt;&gt;"",UPPER(TRIM(U417)),IF(BU417=1,UPPER(VLOOKUP(T417,Parameter!$I$27:$K$29,2,0)),IF(P417="","LOSE",P417)))</f>
        <v>S51</v>
      </c>
      <c r="BS417" s="57" t="n">
        <f aca="false">IF(BR417="LOSE",1,IF(N(V417)&gt;0,V417,IF(BU417=1,MAX(1,N(VLOOKUP(T417,Parameter!$I$27:$K$29,3,0)),H417,N(N417)),IF(N(Q417)&gt;0,Q417,MAX(1,H417)))))</f>
        <v>15</v>
      </c>
      <c r="BT417" s="60" t="n">
        <f aca="false">IF(BR417="LOSE",1,0)</f>
        <v>0</v>
      </c>
      <c r="BU417" s="60" t="n">
        <f aca="false">IF(AND(U417="",OR(P417="",P417="LOSE"),T417&lt;&gt;"",N(S417)&lt;=0,ISNUMBER(MATCH(T417,Parameter!$I$27:$I$29,0))),1,0)</f>
        <v>0</v>
      </c>
      <c r="BV417" s="55" t="str">
        <f aca="false">IF(AND(Parameter!$B$19="Ja",E417&lt;&gt;"",ISNUMBER(MATCH(E417,Parameter!$I$35:$I$52,0))),VLOOKUP(E417,Parameter!$I$35:$J$52,2,0),IFERROR(VLOOKUP(D417,Parameter!$A$35:$C$64,2,0),"Nein"))</f>
        <v>2+3</v>
      </c>
      <c r="BW417" s="59" t="n">
        <f aca="false">IF(BT417=0,0,IF(N(S417)&gt;0,S417,IFERROR(VLOOKUP(D417,Parameter!$A$35:$C$64,3,0)+0,0)))</f>
        <v>0</v>
      </c>
      <c r="BX417" s="55" t="n">
        <f aca="false">IF(AA417&lt;&gt;"",AA417,Z417)</f>
        <v>3</v>
      </c>
      <c r="BY417" s="55" t="str">
        <f aca="false">IF(BX417=1,"L1",IF(OR(BX417=2,BX417=3),"L23",IF(BX417="Aussen","Aussen","-")))</f>
        <v>L23</v>
      </c>
      <c r="BZ417" s="66" t="n">
        <f aca="false">IF(N(AB417)&gt;0,AB417,0)</f>
        <v>0</v>
      </c>
      <c r="CA417" s="60" t="n">
        <f aca="false">IF(ISNUMBER(AE417),1,0)</f>
        <v>0</v>
      </c>
      <c r="CB417" s="57" t="n">
        <f aca="false">N(AE417)</f>
        <v>0</v>
      </c>
      <c r="CC417" s="57" t="n">
        <f aca="false">N(M417)+N(N417)</f>
        <v>21</v>
      </c>
      <c r="CD417" s="57" t="n">
        <f aca="false">ROUNDUP(H417/BS417,0)</f>
        <v>1</v>
      </c>
      <c r="CE417" s="57" t="n">
        <f aca="false">ROUNDUP(CB417/BS417,0)</f>
        <v>0</v>
      </c>
      <c r="CF417" s="60" t="n">
        <f aca="false">IF(BT417=1,0,IFERROR(VLOOKUP(BR417,'Gebinde-Kategorie'!$A$5:$M$45,5,0)+0,0))</f>
        <v>11</v>
      </c>
      <c r="CG417" s="60" t="n">
        <f aca="false">IFERROR(IF(OR(BX417=1,BX417=2,BX417=3),N(INDEX(Parameter!$I$5:$I$7,BX417)),0),0)</f>
        <v>0</v>
      </c>
      <c r="CH417" s="59" t="n">
        <f aca="false">IF(AND(Parameter!$B$21="Ja",ISNUMBER(W417),N(X417)&gt;0),IFERROR(N(INDEX(Parameter!$L$5:$L$7,W417))*INDEX(Parameter!$E$5:$E$7,W417)*X417/SUMIFS($X$7:$X$1843,$W$7:$W$1843,W417),0),0)</f>
        <v>0</v>
      </c>
    </row>
    <row r="418" customFormat="false" ht="15" hidden="false" customHeight="false" outlineLevel="0" collapsed="false">
      <c r="A418" s="55" t="s">
        <v>966</v>
      </c>
      <c r="B418" s="55" t="s">
        <v>548</v>
      </c>
      <c r="C418" s="55" t="s">
        <v>164</v>
      </c>
      <c r="D418" s="55" t="s">
        <v>184</v>
      </c>
      <c r="E418" s="55"/>
      <c r="F418" s="55" t="s">
        <v>218</v>
      </c>
      <c r="G418" s="56" t="n">
        <v>47.27</v>
      </c>
      <c r="H418" s="57" t="n">
        <f aca="false">MAX(0,IF(AND(Parameter!$B$21="Ja",ISNUMBER(Y418)),Y418,IF(Parameter!$B$20="Jahresanfang 2025 + Export",BL418+BK418,BK418)))</f>
        <v>4</v>
      </c>
      <c r="I418" s="57" t="n">
        <f aca="false">H418*G418</f>
        <v>189.08</v>
      </c>
      <c r="J418" s="57" t="n">
        <f aca="false">BN418*Parameter!$B$18</f>
        <v>0</v>
      </c>
      <c r="K418" s="58" t="n">
        <v>3</v>
      </c>
      <c r="L418" s="59" t="n">
        <v>0</v>
      </c>
      <c r="M418" s="57" t="n">
        <v>0</v>
      </c>
      <c r="N418" s="57" t="n">
        <v>1</v>
      </c>
      <c r="O418" s="60" t="n">
        <v>28</v>
      </c>
      <c r="P418" s="55" t="s">
        <v>168</v>
      </c>
      <c r="Q418" s="57"/>
      <c r="R418" s="60" t="n">
        <f aca="false">IF(BT418=1,0,IFERROR(VLOOKUP(BR418,'Gebinde-Kategorie'!$A$5:$M$45,13,0)+0,0))</f>
        <v>26</v>
      </c>
      <c r="S418" s="61"/>
      <c r="T418" s="62" t="s">
        <v>275</v>
      </c>
      <c r="U418" s="62"/>
      <c r="V418" s="62"/>
      <c r="W418" s="55"/>
      <c r="X418" s="57"/>
      <c r="Y418" s="57"/>
      <c r="Z418" s="55" t="n">
        <f aca="false">IF(A418="","",IF(AND(Parameter!$B$21="Ja",ISNUMBER(W418)),W418,IF(BV418="2+3",IF(ISNUMBER(SEARCH("grosser Artikel",BO418)),2,IFERROR(VLOOKUP(BR418,Parameter!$F$35:$G$64,2,0),2)),IF(OR(BV418="Nein",BV418=""),"-",BV418))))</f>
        <v>3</v>
      </c>
      <c r="AA418" s="62"/>
      <c r="AB418" s="63"/>
      <c r="AC418" s="57" t="n">
        <f aca="false">AR418</f>
        <v>20</v>
      </c>
      <c r="AD418" s="57" t="n">
        <f aca="false">MAX(AR418,H418)</f>
        <v>20</v>
      </c>
      <c r="AE418" s="64"/>
      <c r="AF418" s="57" t="n">
        <f aca="false">IF(LEFT(Cockpit!$C$5,1)="A",H418,IF(CA418=1,CB418,IF(LEFT(Cockpit!$C$5,1)="B",AJ418,MAX(AJ418,H418))))</f>
        <v>4</v>
      </c>
      <c r="AG418" s="57" t="n">
        <f aca="false">IF(BT418=1,0,ROUNDUP(AF418/BS418,0))</f>
        <v>1</v>
      </c>
      <c r="AH418" s="59" t="n">
        <f aca="false">IF(CH418&gt;0,CH418*MAX(1,AF418/X418),IF(BT418=1,IF(AF418&lt;=0,0,BW418*MAX(1,IF(H418&gt;0,AF418/H418,1))),IF(R418&gt;0,AG418/R418,0))/MAX(0.1,N(Parameter!$M$21)))</f>
        <v>0.0384615384615385</v>
      </c>
      <c r="AI418" s="57" t="n">
        <f aca="false">AF418*G418</f>
        <v>189.08</v>
      </c>
      <c r="AJ418" s="57" t="n">
        <f aca="false">ROUNDUP(MAX(J418/IF(BZ418&gt;0,BZ418,MAX(0.1,N(Cockpit!$C$6))),CC418)/BS418,0)*BS418</f>
        <v>20</v>
      </c>
      <c r="AK418" s="58" t="n">
        <f aca="false">IF(AH418&gt;0,J418/AH418,-1)</f>
        <v>0</v>
      </c>
      <c r="AL418" s="58" t="n">
        <f aca="false">IF(AND(OR(BY418="L1",BY418="L23"),AH418&gt;0),SUMIFS($AH$7:$AH$1843,$BY$7:$BY$1843,BY418,$AK$7:$AK$1843,"&gt;"&amp;AK418)+SUMIFS($AH$7:$AH$1843,$BY$7:$BY$1843,BY418,$AK$7:$AK$1843,AK418,$BQ$7:$BQ$1843,"&lt;="&amp;BQ418),"")</f>
        <v>73.831188135536</v>
      </c>
      <c r="AM418" s="65" t="n">
        <f aca="false">IF(AL418="",0,MAX(0,MIN(1,(IF(BY418="L1",Parameter!$E$5,Parameter!$E$6+Parameter!$E$7)-(AL418-AH418))/AH418)))</f>
        <v>1</v>
      </c>
      <c r="AN418" s="57" t="n">
        <f aca="false">IF(LEFT(Cockpit!$I$5,1)="A",H418,IF(CA418=1,CB418,IF(LEFT(Cockpit!$I$5,1)="B",AR418,MAX(AR418,H418))))</f>
        <v>20</v>
      </c>
      <c r="AO418" s="57" t="n">
        <f aca="false">IF(BT418=1,0,ROUNDUP(AN418/BS418,0))</f>
        <v>1</v>
      </c>
      <c r="AP418" s="59" t="n">
        <f aca="false">IF(CH418&gt;0,CH418*MAX(1,AN418/X418),IF(BT418=1,IF(AN418&lt;=0,0,BW418*MAX(1,IF(H418&gt;0,AN418/H418,1))),IF(R418&gt;0,AO418/R418,0))/MAX(0.1,N(Parameter!$M$21)))</f>
        <v>0.0384615384615385</v>
      </c>
      <c r="AQ418" s="57" t="n">
        <f aca="false">AN418*G418</f>
        <v>945.4</v>
      </c>
      <c r="AR418" s="57" t="n">
        <f aca="false">ROUNDUP(MAX(J418/IF(BZ418&gt;0,BZ418,MAX(0.1,N(Cockpit!$I$6))),CC418)/BS418,0)*BS418</f>
        <v>20</v>
      </c>
      <c r="AS418" s="58" t="n">
        <f aca="false">IF(AP418&gt;0,J418/AP418,-1)</f>
        <v>0</v>
      </c>
      <c r="AT418" s="58" t="n">
        <f aca="false">IF(AND(OR(BY418="L1",BY418="L23"),AP418&gt;0),SUMIFS($AP$7:$AP$1843,$BY$7:$BY$1843,BY418,$AS$7:$AS$1843,"&gt;"&amp;AS418)+SUMIFS($AP$7:$AP$1843,$BY$7:$BY$1843,BY418,$AS$7:$AS$1843,AS418,$BQ$7:$BQ$1843,"&lt;="&amp;BQ418),"")</f>
        <v>113.25531232053</v>
      </c>
      <c r="AU418" s="65" t="n">
        <f aca="false">IF(AT418="",0,MAX(0,MIN(1,(IF(BY418="L1",Parameter!$E$5,Parameter!$E$6+Parameter!$E$7)-(AT418-AP418))/AP418)))</f>
        <v>0</v>
      </c>
      <c r="AV418" s="57" t="n">
        <f aca="false">IF(LEFT(Cockpit!$O$5,1)="A",H418,IF(CA418=1,CB418,IF(LEFT(Cockpit!$O$5,1)="B",AZ418,MAX(AZ418,H418))))</f>
        <v>20</v>
      </c>
      <c r="AW418" s="57" t="n">
        <f aca="false">IF(BT418=1,0,ROUNDUP(AV418/BS418,0))</f>
        <v>1</v>
      </c>
      <c r="AX418" s="59" t="n">
        <f aca="false">IF(CH418&gt;0,CH418*MAX(1,AV418/X418),IF(BT418=1,IF(AV418&lt;=0,0,BW418*MAX(1,IF(H418&gt;0,AV418/H418,1))),IF(R418&gt;0,AW418/R418,0))/MAX(0.1,N(Parameter!$M$21)))</f>
        <v>0.0384615384615385</v>
      </c>
      <c r="AY418" s="57" t="n">
        <f aca="false">AV418*G418</f>
        <v>945.4</v>
      </c>
      <c r="AZ418" s="57" t="n">
        <f aca="false">ROUNDUP(MAX(J418/IF(BZ418&gt;0,BZ418,MAX(0.1,N(Cockpit!$O$6))),CC418)/BS418,0)*BS418</f>
        <v>20</v>
      </c>
      <c r="BA418" s="58" t="n">
        <f aca="false">IF(AX418&gt;0,J418/AX418,-1)</f>
        <v>0</v>
      </c>
      <c r="BB418" s="58" t="n">
        <f aca="false">IF(AND(OR(BY418="L1",BY418="L23"),AX418&gt;0),SUMIFS($AX$7:$AX$1843,$BY$7:$BY$1843,BY418,$BA$7:$BA$1843,"&gt;"&amp;BA418)+SUMIFS($AX$7:$AX$1843,$BY$7:$BY$1843,BY418,$BA$7:$BA$1843,BA418,$BQ$7:$BQ$1843,"&lt;="&amp;BQ418),"")</f>
        <v>104.085149150367</v>
      </c>
      <c r="BC418" s="65" t="n">
        <f aca="false">IF(BB418="",0,MAX(0,MIN(1,(IF(BY418="L1",Parameter!$E$5,Parameter!$E$6+Parameter!$E$7)-(BB418-AX418))/AX418)))</f>
        <v>0</v>
      </c>
      <c r="BD418" s="55" t="str">
        <f aca="false">IF(AH418&lt;=0,"",IF(BY418="Aussen","Aussenlager",IF(BY418="-","Nicht im Lift",IF(AM418&gt;=1,"Lift",IF(AM418&lt;=0,"Aussenlager","teilweise")))))</f>
        <v>Lift</v>
      </c>
      <c r="BE418" s="55" t="str">
        <f aca="false">IF(AP418&lt;=0,"",IF(BY418="Aussen","Aussenlager",IF(BY418="-","Nicht im Lift",IF(AU418&gt;=1,"Lift",IF(AU418&lt;=0,"Aussenlager","teilweise")))))</f>
        <v>Aussenlager</v>
      </c>
      <c r="BF418" s="55" t="str">
        <f aca="false">IF(AX418&lt;=0,"",IF(BY418="Aussen","Aussenlager",IF(BY418="-","Nicht im Lift",IF(BC418&gt;=1,"Lift",IF(BC418&lt;=0,"Aussenlager","teilweise")))))</f>
        <v>Aussenlager</v>
      </c>
      <c r="BG418" s="55" t="str">
        <f aca="false">IF(A418="","",IF(BP418=1,"Neu; ","")&amp;IF(AND(BP418=0,BK418&lt;0),"negativer Bestand (Export "&amp;BK418&amp;"); ","")&amp;IF(J418&lt;=0,"Kein Verbrauch; ","")&amp;IF(CH418&gt;0,"Lift "&amp;W418&amp;" lt. Liftbericht (Fach "&amp;X418&amp;" Stk); ",IF(BU418=1,"Gebinde geschätzt ("&amp;T418&amp;"); ",IF(BT418=1,"Lose – Tablare geschätzt; ","")))&amp;IF(H418&gt;AR418,"Überbestand "&amp;ROUND(H418-AR418,0)&amp;" Stk / CHF "&amp;ROUND((H418-AR418)*G418,0)&amp;"; ","")&amp;IF(AND(CA418=1,CB418&lt;CC418),"MAX &lt; MB+LG; ","")&amp;IF(AND(CG418&gt;0,CF418*10&gt;CG418),"zu hoch für Tablar; ","")&amp;IF(AND(BP418=0,OR(CA418=1,AA418&lt;&gt;"",U418&lt;&gt;"",V418&lt;&gt;"",AB418&lt;&gt;"")),"manuell übersteuert; ","")&amp;IF(AND(BT418=0,R418=0),"Gebinde unbekannt / Stellmass fehlt; ","")&amp;IF(AND(BT418=0,N(V418)&lt;=0,N(Q418)&lt;=0),"Menge pro Gebinde fehlt (Ist = 1 Gebinde); ","")&amp;BO418)</f>
        <v>Kein Verbrauch; Gebinde geschätzt (Klein); Menge pro Gebinde fehlt (Ist = 1 Gebinde); </v>
      </c>
      <c r="BH418" s="55"/>
      <c r="BI418" s="55"/>
      <c r="BJ418" s="62"/>
      <c r="BK418" s="57" t="n">
        <v>2</v>
      </c>
      <c r="BL418" s="57" t="n">
        <v>2</v>
      </c>
      <c r="BM418" s="56" t="n">
        <v>94.54</v>
      </c>
      <c r="BN418" s="57" t="n">
        <v>0</v>
      </c>
      <c r="BO418" s="55"/>
      <c r="BP418" s="60" t="n">
        <v>0</v>
      </c>
      <c r="BQ418" s="60" t="n">
        <v>418</v>
      </c>
      <c r="BR418" s="55" t="str">
        <f aca="false">IF(U418&lt;&gt;"",UPPER(TRIM(U418)),IF(BU418=1,UPPER(VLOOKUP(T418,Parameter!$I$27:$K$29,2,0)),IF(P418="","LOSE",P418)))</f>
        <v>S51</v>
      </c>
      <c r="BS418" s="57" t="n">
        <f aca="false">IF(BR418="LOSE",1,IF(N(V418)&gt;0,V418,IF(BU418=1,MAX(1,N(VLOOKUP(T418,Parameter!$I$27:$K$29,3,0)),H418,N(N418)),IF(N(Q418)&gt;0,Q418,MAX(1,H418)))))</f>
        <v>20</v>
      </c>
      <c r="BT418" s="60" t="n">
        <f aca="false">IF(BR418="LOSE",1,0)</f>
        <v>0</v>
      </c>
      <c r="BU418" s="60" t="n">
        <f aca="false">IF(AND(U418="",OR(P418="",P418="LOSE"),T418&lt;&gt;"",N(S418)&lt;=0,ISNUMBER(MATCH(T418,Parameter!$I$27:$I$29,0))),1,0)</f>
        <v>1</v>
      </c>
      <c r="BV418" s="55" t="str">
        <f aca="false">IF(AND(Parameter!$B$19="Ja",E418&lt;&gt;"",ISNUMBER(MATCH(E418,Parameter!$I$35:$I$52,0))),VLOOKUP(E418,Parameter!$I$35:$J$52,2,0),IFERROR(VLOOKUP(D418,Parameter!$A$35:$C$64,2,0),"Nein"))</f>
        <v>2+3</v>
      </c>
      <c r="BW418" s="59" t="n">
        <f aca="false">IF(BT418=0,0,IF(N(S418)&gt;0,S418,IFERROR(VLOOKUP(D418,Parameter!$A$35:$C$64,3,0)+0,0)))</f>
        <v>0</v>
      </c>
      <c r="BX418" s="55" t="n">
        <f aca="false">IF(AA418&lt;&gt;"",AA418,Z418)</f>
        <v>3</v>
      </c>
      <c r="BY418" s="55" t="str">
        <f aca="false">IF(BX418=1,"L1",IF(OR(BX418=2,BX418=3),"L23",IF(BX418="Aussen","Aussen","-")))</f>
        <v>L23</v>
      </c>
      <c r="BZ418" s="66" t="n">
        <f aca="false">IF(N(AB418)&gt;0,AB418,0)</f>
        <v>0</v>
      </c>
      <c r="CA418" s="60" t="n">
        <f aca="false">IF(ISNUMBER(AE418),1,0)</f>
        <v>0</v>
      </c>
      <c r="CB418" s="57" t="n">
        <f aca="false">N(AE418)</f>
        <v>0</v>
      </c>
      <c r="CC418" s="57" t="n">
        <f aca="false">N(M418)+N(N418)</f>
        <v>1</v>
      </c>
      <c r="CD418" s="57" t="n">
        <f aca="false">ROUNDUP(H418/BS418,0)</f>
        <v>1</v>
      </c>
      <c r="CE418" s="57" t="n">
        <f aca="false">ROUNDUP(CB418/BS418,0)</f>
        <v>0</v>
      </c>
      <c r="CF418" s="60" t="n">
        <f aca="false">IF(BT418=1,0,IFERROR(VLOOKUP(BR418,'Gebinde-Kategorie'!$A$5:$M$45,5,0)+0,0))</f>
        <v>11</v>
      </c>
      <c r="CG418" s="60" t="n">
        <f aca="false">IFERROR(IF(OR(BX418=1,BX418=2,BX418=3),N(INDEX(Parameter!$I$5:$I$7,BX418)),0),0)</f>
        <v>0</v>
      </c>
      <c r="CH418" s="59" t="n">
        <f aca="false">IF(AND(Parameter!$B$21="Ja",ISNUMBER(W418),N(X418)&gt;0),IFERROR(N(INDEX(Parameter!$L$5:$L$7,W418))*INDEX(Parameter!$E$5:$E$7,W418)*X418/SUMIFS($X$7:$X$1843,$W$7:$W$1843,W418),0),0)</f>
        <v>0</v>
      </c>
    </row>
    <row r="419" customFormat="false" ht="15" hidden="false" customHeight="false" outlineLevel="0" collapsed="false">
      <c r="A419" s="55" t="s">
        <v>967</v>
      </c>
      <c r="B419" s="55" t="s">
        <v>468</v>
      </c>
      <c r="C419" s="55" t="s">
        <v>164</v>
      </c>
      <c r="D419" s="55" t="s">
        <v>173</v>
      </c>
      <c r="E419" s="55"/>
      <c r="F419" s="55" t="s">
        <v>218</v>
      </c>
      <c r="G419" s="56" t="n">
        <v>0.45</v>
      </c>
      <c r="H419" s="57" t="n">
        <f aca="false">MAX(0,IF(AND(Parameter!$B$21="Ja",ISNUMBER(Y419)),Y419,IF(Parameter!$B$20="Jahresanfang 2025 + Export",BL419+BK419,BK419)))</f>
        <v>210</v>
      </c>
      <c r="I419" s="57" t="n">
        <f aca="false">H419*G419</f>
        <v>94.5</v>
      </c>
      <c r="J419" s="57" t="n">
        <f aca="false">BN419*Parameter!$B$18</f>
        <v>20</v>
      </c>
      <c r="K419" s="58" t="n">
        <v>0</v>
      </c>
      <c r="L419" s="59" t="n">
        <v>0</v>
      </c>
      <c r="M419" s="57" t="n">
        <v>1</v>
      </c>
      <c r="N419" s="57" t="n">
        <v>20</v>
      </c>
      <c r="O419" s="60" t="n">
        <v>31</v>
      </c>
      <c r="P419" s="55" t="s">
        <v>168</v>
      </c>
      <c r="Q419" s="57"/>
      <c r="R419" s="60" t="n">
        <f aca="false">IF(BT419=1,0,IFERROR(VLOOKUP(BR419,'Gebinde-Kategorie'!$A$5:$M$45,13,0)+0,0))</f>
        <v>26</v>
      </c>
      <c r="S419" s="61"/>
      <c r="T419" s="62" t="s">
        <v>275</v>
      </c>
      <c r="U419" s="62"/>
      <c r="V419" s="62"/>
      <c r="W419" s="55"/>
      <c r="X419" s="57"/>
      <c r="Y419" s="57"/>
      <c r="Z419" s="55" t="n">
        <f aca="false">IF(A419="","",IF(AND(Parameter!$B$21="Ja",ISNUMBER(W419)),W419,IF(BV419="2+3",IF(ISNUMBER(SEARCH("grosser Artikel",BO419)),2,IFERROR(VLOOKUP(BR419,Parameter!$F$35:$G$64,2,0),2)),IF(OR(BV419="Nein",BV419=""),"-",BV419))))</f>
        <v>3</v>
      </c>
      <c r="AA419" s="62"/>
      <c r="AB419" s="63"/>
      <c r="AC419" s="57" t="n">
        <f aca="false">AR419</f>
        <v>210</v>
      </c>
      <c r="AD419" s="57" t="n">
        <f aca="false">MAX(AR419,H419)</f>
        <v>210</v>
      </c>
      <c r="AE419" s="64"/>
      <c r="AF419" s="57" t="n">
        <f aca="false">IF(LEFT(Cockpit!$C$5,1)="A",H419,IF(CA419=1,CB419,IF(LEFT(Cockpit!$C$5,1)="B",AJ419,MAX(AJ419,H419))))</f>
        <v>210</v>
      </c>
      <c r="AG419" s="57" t="n">
        <f aca="false">IF(BT419=1,0,ROUNDUP(AF419/BS419,0))</f>
        <v>1</v>
      </c>
      <c r="AH419" s="59" t="n">
        <f aca="false">IF(CH419&gt;0,CH419*MAX(1,AF419/X419),IF(BT419=1,IF(AF419&lt;=0,0,BW419*MAX(1,IF(H419&gt;0,AF419/H419,1))),IF(R419&gt;0,AG419/R419,0))/MAX(0.1,N(Parameter!$M$21)))</f>
        <v>0.0384615384615385</v>
      </c>
      <c r="AI419" s="57" t="n">
        <f aca="false">AF419*G419</f>
        <v>94.5</v>
      </c>
      <c r="AJ419" s="57" t="n">
        <f aca="false">ROUNDUP(MAX(J419/IF(BZ419&gt;0,BZ419,MAX(0.1,N(Cockpit!$C$6))),CC419)/BS419,0)*BS419</f>
        <v>210</v>
      </c>
      <c r="AK419" s="58" t="n">
        <f aca="false">IF(AH419&gt;0,J419/AH419,-1)</f>
        <v>520</v>
      </c>
      <c r="AL419" s="58" t="n">
        <f aca="false">IF(AND(OR(BY419="L1",BY419="L23"),AH419&gt;0),SUMIFS($AH$7:$AH$1843,$BY$7:$BY$1843,BY419,$AK$7:$AK$1843,"&gt;"&amp;AK419)+SUMIFS($AH$7:$AH$1843,$BY$7:$BY$1843,BY419,$AK$7:$AK$1843,AK419,$BQ$7:$BQ$1843,"&lt;="&amp;BQ419),"")</f>
        <v>23.9149184149184</v>
      </c>
      <c r="AM419" s="65" t="n">
        <f aca="false">IF(AL419="",0,MAX(0,MIN(1,(IF(BY419="L1",Parameter!$E$5,Parameter!$E$6+Parameter!$E$7)-(AL419-AH419))/AH419)))</f>
        <v>1</v>
      </c>
      <c r="AN419" s="57" t="n">
        <f aca="false">IF(LEFT(Cockpit!$I$5,1)="A",H419,IF(CA419=1,CB419,IF(LEFT(Cockpit!$I$5,1)="B",AR419,MAX(AR419,H419))))</f>
        <v>210</v>
      </c>
      <c r="AO419" s="57" t="n">
        <f aca="false">IF(BT419=1,0,ROUNDUP(AN419/BS419,0))</f>
        <v>1</v>
      </c>
      <c r="AP419" s="59" t="n">
        <f aca="false">IF(CH419&gt;0,CH419*MAX(1,AN419/X419),IF(BT419=1,IF(AN419&lt;=0,0,BW419*MAX(1,IF(H419&gt;0,AN419/H419,1))),IF(R419&gt;0,AO419/R419,0))/MAX(0.1,N(Parameter!$M$21)))</f>
        <v>0.0384615384615385</v>
      </c>
      <c r="AQ419" s="57" t="n">
        <f aca="false">AN419*G419</f>
        <v>94.5</v>
      </c>
      <c r="AR419" s="57" t="n">
        <f aca="false">ROUNDUP(MAX(J419/IF(BZ419&gt;0,BZ419,MAX(0.1,N(Cockpit!$I$6))),CC419)/BS419,0)*BS419</f>
        <v>210</v>
      </c>
      <c r="AS419" s="58" t="n">
        <f aca="false">IF(AP419&gt;0,J419/AP419,-1)</f>
        <v>520</v>
      </c>
      <c r="AT419" s="58" t="n">
        <f aca="false">IF(AND(OR(BY419="L1",BY419="L23"),AP419&gt;0),SUMIFS($AP$7:$AP$1843,$BY$7:$BY$1843,BY419,$AS$7:$AS$1843,"&gt;"&amp;AS419)+SUMIFS($AP$7:$AP$1843,$BY$7:$BY$1843,BY419,$AS$7:$AS$1843,AS419,$BQ$7:$BQ$1843,"&lt;="&amp;BQ419),"")</f>
        <v>32.6561687105165</v>
      </c>
      <c r="AU419" s="65" t="n">
        <f aca="false">IF(AT419="",0,MAX(0,MIN(1,(IF(BY419="L1",Parameter!$E$5,Parameter!$E$6+Parameter!$E$7)-(AT419-AP419))/AP419)))</f>
        <v>1</v>
      </c>
      <c r="AV419" s="57" t="n">
        <f aca="false">IF(LEFT(Cockpit!$O$5,1)="A",H419,IF(CA419=1,CB419,IF(LEFT(Cockpit!$O$5,1)="B",AZ419,MAX(AZ419,H419))))</f>
        <v>210</v>
      </c>
      <c r="AW419" s="57" t="n">
        <f aca="false">IF(BT419=1,0,ROUNDUP(AV419/BS419,0))</f>
        <v>1</v>
      </c>
      <c r="AX419" s="59" t="n">
        <f aca="false">IF(CH419&gt;0,CH419*MAX(1,AV419/X419),IF(BT419=1,IF(AV419&lt;=0,0,BW419*MAX(1,IF(H419&gt;0,AV419/H419,1))),IF(R419&gt;0,AW419/R419,0))/MAX(0.1,N(Parameter!$M$21)))</f>
        <v>0.0384615384615385</v>
      </c>
      <c r="AY419" s="57" t="n">
        <f aca="false">AV419*G419</f>
        <v>94.5</v>
      </c>
      <c r="AZ419" s="57" t="n">
        <f aca="false">ROUNDUP(MAX(J419/IF(BZ419&gt;0,BZ419,MAX(0.1,N(Cockpit!$O$6))),CC419)/BS419,0)*BS419</f>
        <v>210</v>
      </c>
      <c r="BA419" s="58" t="n">
        <f aca="false">IF(AX419&gt;0,J419/AX419,-1)</f>
        <v>520</v>
      </c>
      <c r="BB419" s="58" t="n">
        <f aca="false">IF(AND(OR(BY419="L1",BY419="L23"),AX419&gt;0),SUMIFS($AX$7:$AX$1843,$BY$7:$BY$1843,BY419,$BA$7:$BA$1843,"&gt;"&amp;BA419)+SUMIFS($AX$7:$AX$1843,$BY$7:$BY$1843,BY419,$BA$7:$BA$1843,BA419,$BQ$7:$BQ$1843,"&lt;="&amp;BQ419),"")</f>
        <v>30.2231850275329</v>
      </c>
      <c r="BC419" s="65" t="n">
        <f aca="false">IF(BB419="",0,MAX(0,MIN(1,(IF(BY419="L1",Parameter!$E$5,Parameter!$E$6+Parameter!$E$7)-(BB419-AX419))/AX419)))</f>
        <v>1</v>
      </c>
      <c r="BD419" s="55" t="str">
        <f aca="false">IF(AH419&lt;=0,"",IF(BY419="Aussen","Aussenlager",IF(BY419="-","Nicht im Lift",IF(AM419&gt;=1,"Lift",IF(AM419&lt;=0,"Aussenlager","teilweise")))))</f>
        <v>Lift</v>
      </c>
      <c r="BE419" s="55" t="str">
        <f aca="false">IF(AP419&lt;=0,"",IF(BY419="Aussen","Aussenlager",IF(BY419="-","Nicht im Lift",IF(AU419&gt;=1,"Lift",IF(AU419&lt;=0,"Aussenlager","teilweise")))))</f>
        <v>Lift</v>
      </c>
      <c r="BF419" s="55" t="str">
        <f aca="false">IF(AX419&lt;=0,"",IF(BY419="Aussen","Aussenlager",IF(BY419="-","Nicht im Lift",IF(BC419&gt;=1,"Lift",IF(BC419&lt;=0,"Aussenlager","teilweise")))))</f>
        <v>Lift</v>
      </c>
      <c r="BG419" s="55" t="str">
        <f aca="false">IF(A419="","",IF(BP419=1,"Neu; ","")&amp;IF(AND(BP419=0,BK419&lt;0),"negativer Bestand (Export "&amp;BK419&amp;"); ","")&amp;IF(J419&lt;=0,"Kein Verbrauch; ","")&amp;IF(CH419&gt;0,"Lift "&amp;W419&amp;" lt. Liftbericht (Fach "&amp;X419&amp;" Stk); ",IF(BU419=1,"Gebinde geschätzt ("&amp;T419&amp;"); ",IF(BT419=1,"Lose – Tablare geschätzt; ","")))&amp;IF(H419&gt;AR419,"Überbestand "&amp;ROUND(H419-AR419,0)&amp;" Stk / CHF "&amp;ROUND((H419-AR419)*G419,0)&amp;"; ","")&amp;IF(AND(CA419=1,CB419&lt;CC419),"MAX &lt; MB+LG; ","")&amp;IF(AND(CG419&gt;0,CF419*10&gt;CG419),"zu hoch für Tablar; ","")&amp;IF(AND(BP419=0,OR(CA419=1,AA419&lt;&gt;"",U419&lt;&gt;"",V419&lt;&gt;"",AB419&lt;&gt;"")),"manuell übersteuert; ","")&amp;IF(AND(BT419=0,R419=0),"Gebinde unbekannt / Stellmass fehlt; ","")&amp;IF(AND(BT419=0,N(V419)&lt;=0,N(Q419)&lt;=0),"Menge pro Gebinde fehlt (Ist = 1 Gebinde); ","")&amp;BO419)</f>
        <v>Gebinde geschätzt (Klein); Menge pro Gebinde fehlt (Ist = 1 Gebinde); </v>
      </c>
      <c r="BH419" s="55"/>
      <c r="BI419" s="55"/>
      <c r="BJ419" s="62"/>
      <c r="BK419" s="57" t="n">
        <v>210</v>
      </c>
      <c r="BL419" s="57" t="n">
        <v>0</v>
      </c>
      <c r="BM419" s="56" t="n">
        <v>94.5</v>
      </c>
      <c r="BN419" s="57" t="n">
        <v>20</v>
      </c>
      <c r="BO419" s="55"/>
      <c r="BP419" s="60" t="n">
        <v>0</v>
      </c>
      <c r="BQ419" s="60" t="n">
        <v>419</v>
      </c>
      <c r="BR419" s="55" t="str">
        <f aca="false">IF(U419&lt;&gt;"",UPPER(TRIM(U419)),IF(BU419=1,UPPER(VLOOKUP(T419,Parameter!$I$27:$K$29,2,0)),IF(P419="","LOSE",P419)))</f>
        <v>S51</v>
      </c>
      <c r="BS419" s="57" t="n">
        <f aca="false">IF(BR419="LOSE",1,IF(N(V419)&gt;0,V419,IF(BU419=1,MAX(1,N(VLOOKUP(T419,Parameter!$I$27:$K$29,3,0)),H419,N(N419)),IF(N(Q419)&gt;0,Q419,MAX(1,H419)))))</f>
        <v>210</v>
      </c>
      <c r="BT419" s="60" t="n">
        <f aca="false">IF(BR419="LOSE",1,0)</f>
        <v>0</v>
      </c>
      <c r="BU419" s="60" t="n">
        <f aca="false">IF(AND(U419="",OR(P419="",P419="LOSE"),T419&lt;&gt;"",N(S419)&lt;=0,ISNUMBER(MATCH(T419,Parameter!$I$27:$I$29,0))),1,0)</f>
        <v>1</v>
      </c>
      <c r="BV419" s="55" t="str">
        <f aca="false">IF(AND(Parameter!$B$19="Ja",E419&lt;&gt;"",ISNUMBER(MATCH(E419,Parameter!$I$35:$I$52,0))),VLOOKUP(E419,Parameter!$I$35:$J$52,2,0),IFERROR(VLOOKUP(D419,Parameter!$A$35:$C$64,2,0),"Nein"))</f>
        <v>2+3</v>
      </c>
      <c r="BW419" s="59" t="n">
        <f aca="false">IF(BT419=0,0,IF(N(S419)&gt;0,S419,IFERROR(VLOOKUP(D419,Parameter!$A$35:$C$64,3,0)+0,0)))</f>
        <v>0</v>
      </c>
      <c r="BX419" s="55" t="n">
        <f aca="false">IF(AA419&lt;&gt;"",AA419,Z419)</f>
        <v>3</v>
      </c>
      <c r="BY419" s="55" t="str">
        <f aca="false">IF(BX419=1,"L1",IF(OR(BX419=2,BX419=3),"L23",IF(BX419="Aussen","Aussen","-")))</f>
        <v>L23</v>
      </c>
      <c r="BZ419" s="66" t="n">
        <f aca="false">IF(N(AB419)&gt;0,AB419,0)</f>
        <v>0</v>
      </c>
      <c r="CA419" s="60" t="n">
        <f aca="false">IF(ISNUMBER(AE419),1,0)</f>
        <v>0</v>
      </c>
      <c r="CB419" s="57" t="n">
        <f aca="false">N(AE419)</f>
        <v>0</v>
      </c>
      <c r="CC419" s="57" t="n">
        <f aca="false">N(M419)+N(N419)</f>
        <v>21</v>
      </c>
      <c r="CD419" s="57" t="n">
        <f aca="false">ROUNDUP(H419/BS419,0)</f>
        <v>1</v>
      </c>
      <c r="CE419" s="57" t="n">
        <f aca="false">ROUNDUP(CB419/BS419,0)</f>
        <v>0</v>
      </c>
      <c r="CF419" s="60" t="n">
        <f aca="false">IF(BT419=1,0,IFERROR(VLOOKUP(BR419,'Gebinde-Kategorie'!$A$5:$M$45,5,0)+0,0))</f>
        <v>11</v>
      </c>
      <c r="CG419" s="60" t="n">
        <f aca="false">IFERROR(IF(OR(BX419=1,BX419=2,BX419=3),N(INDEX(Parameter!$I$5:$I$7,BX419)),0),0)</f>
        <v>0</v>
      </c>
      <c r="CH419" s="59" t="n">
        <f aca="false">IF(AND(Parameter!$B$21="Ja",ISNUMBER(W419),N(X419)&gt;0),IFERROR(N(INDEX(Parameter!$L$5:$L$7,W419))*INDEX(Parameter!$E$5:$E$7,W419)*X419/SUMIFS($X$7:$X$1843,$W$7:$W$1843,W419),0),0)</f>
        <v>0</v>
      </c>
    </row>
    <row r="420" customFormat="false" ht="15" hidden="false" customHeight="false" outlineLevel="0" collapsed="false">
      <c r="A420" s="55" t="s">
        <v>968</v>
      </c>
      <c r="B420" s="55" t="s">
        <v>405</v>
      </c>
      <c r="C420" s="55" t="s">
        <v>164</v>
      </c>
      <c r="D420" s="55" t="s">
        <v>184</v>
      </c>
      <c r="E420" s="55"/>
      <c r="F420" s="55" t="s">
        <v>218</v>
      </c>
      <c r="G420" s="56" t="n">
        <v>0.47</v>
      </c>
      <c r="H420" s="57" t="n">
        <f aca="false">MAX(0,IF(AND(Parameter!$B$21="Ja",ISNUMBER(Y420)),Y420,IF(Parameter!$B$20="Jahresanfang 2025 + Export",BL420+BK420,BK420)))</f>
        <v>200</v>
      </c>
      <c r="I420" s="57" t="n">
        <f aca="false">H420*G420</f>
        <v>94</v>
      </c>
      <c r="J420" s="57" t="n">
        <f aca="false">BN420*Parameter!$B$18</f>
        <v>180</v>
      </c>
      <c r="K420" s="58" t="n">
        <v>10</v>
      </c>
      <c r="L420" s="59" t="n">
        <v>18</v>
      </c>
      <c r="M420" s="57" t="n">
        <v>7</v>
      </c>
      <c r="N420" s="57" t="n">
        <v>200</v>
      </c>
      <c r="O420" s="60" t="n">
        <v>14</v>
      </c>
      <c r="P420" s="55" t="s">
        <v>328</v>
      </c>
      <c r="Q420" s="57" t="n">
        <v>100</v>
      </c>
      <c r="R420" s="60" t="n">
        <f aca="false">IF(BT420=1,0,IFERROR(VLOOKUP(BR420,'Gebinde-Kategorie'!$A$5:$M$45,13,0)+0,0))</f>
        <v>52</v>
      </c>
      <c r="S420" s="61"/>
      <c r="T420" s="62"/>
      <c r="U420" s="62"/>
      <c r="V420" s="62"/>
      <c r="W420" s="55"/>
      <c r="X420" s="57"/>
      <c r="Y420" s="57"/>
      <c r="Z420" s="55" t="n">
        <f aca="false">IF(A420="","",IF(AND(Parameter!$B$21="Ja",ISNUMBER(W420)),W420,IF(BV420="2+3",IF(ISNUMBER(SEARCH("grosser Artikel",BO420)),2,IFERROR(VLOOKUP(BR420,Parameter!$F$35:$G$64,2,0),2)),IF(OR(BV420="Nein",BV420=""),"-",BV420))))</f>
        <v>3</v>
      </c>
      <c r="AA420" s="62"/>
      <c r="AB420" s="63"/>
      <c r="AC420" s="57" t="n">
        <f aca="false">AR420</f>
        <v>300</v>
      </c>
      <c r="AD420" s="57" t="n">
        <f aca="false">MAX(AR420,H420)</f>
        <v>300</v>
      </c>
      <c r="AE420" s="64"/>
      <c r="AF420" s="57" t="n">
        <f aca="false">IF(LEFT(Cockpit!$C$5,1)="A",H420,IF(CA420=1,CB420,IF(LEFT(Cockpit!$C$5,1)="B",AJ420,MAX(AJ420,H420))))</f>
        <v>200</v>
      </c>
      <c r="AG420" s="57" t="n">
        <f aca="false">IF(BT420=1,0,ROUNDUP(AF420/BS420,0))</f>
        <v>2</v>
      </c>
      <c r="AH420" s="59" t="n">
        <f aca="false">IF(CH420&gt;0,CH420*MAX(1,AF420/X420),IF(BT420=1,IF(AF420&lt;=0,0,BW420*MAX(1,IF(H420&gt;0,AF420/H420,1))),IF(R420&gt;0,AG420/R420,0))/MAX(0.1,N(Parameter!$M$21)))</f>
        <v>0.0384615384615385</v>
      </c>
      <c r="AI420" s="57" t="n">
        <f aca="false">AF420*G420</f>
        <v>94</v>
      </c>
      <c r="AJ420" s="57" t="n">
        <f aca="false">ROUNDUP(MAX(J420/IF(BZ420&gt;0,BZ420,MAX(0.1,N(Cockpit!$C$6))),CC420)/BS420,0)*BS420</f>
        <v>300</v>
      </c>
      <c r="AK420" s="58" t="n">
        <f aca="false">IF(AH420&gt;0,J420/AH420,-1)</f>
        <v>4680</v>
      </c>
      <c r="AL420" s="58" t="n">
        <f aca="false">IF(AND(OR(BY420="L1",BY420="L23"),AH420&gt;0),SUMIFS($AH$7:$AH$1843,$BY$7:$BY$1843,BY420,$AK$7:$AK$1843,"&gt;"&amp;AK420)+SUMIFS($AH$7:$AH$1843,$BY$7:$BY$1843,BY420,$AK$7:$AK$1843,AK420,$BQ$7:$BQ$1843,"&lt;="&amp;BQ420),"")</f>
        <v>7.97521198608155</v>
      </c>
      <c r="AM420" s="65" t="n">
        <f aca="false">IF(AL420="",0,MAX(0,MIN(1,(IF(BY420="L1",Parameter!$E$5,Parameter!$E$6+Parameter!$E$7)-(AL420-AH420))/AH420)))</f>
        <v>1</v>
      </c>
      <c r="AN420" s="57" t="n">
        <f aca="false">IF(LEFT(Cockpit!$I$5,1)="A",H420,IF(CA420=1,CB420,IF(LEFT(Cockpit!$I$5,1)="B",AR420,MAX(AR420,H420))))</f>
        <v>300</v>
      </c>
      <c r="AO420" s="57" t="n">
        <f aca="false">IF(BT420=1,0,ROUNDUP(AN420/BS420,0))</f>
        <v>3</v>
      </c>
      <c r="AP420" s="59" t="n">
        <f aca="false">IF(CH420&gt;0,CH420*MAX(1,AN420/X420),IF(BT420=1,IF(AN420&lt;=0,0,BW420*MAX(1,IF(H420&gt;0,AN420/H420,1))),IF(R420&gt;0,AO420/R420,0))/MAX(0.1,N(Parameter!$M$21)))</f>
        <v>0.0576923076923077</v>
      </c>
      <c r="AQ420" s="57" t="n">
        <f aca="false">AN420*G420</f>
        <v>141</v>
      </c>
      <c r="AR420" s="57" t="n">
        <f aca="false">ROUNDUP(MAX(J420/IF(BZ420&gt;0,BZ420,MAX(0.1,N(Cockpit!$I$6))),CC420)/BS420,0)*BS420</f>
        <v>300</v>
      </c>
      <c r="AS420" s="58" t="n">
        <f aca="false">IF(AP420&gt;0,J420/AP420,-1)</f>
        <v>3120</v>
      </c>
      <c r="AT420" s="58" t="n">
        <f aca="false">IF(AND(OR(BY420="L1",BY420="L23"),AP420&gt;0),SUMIFS($AP$7:$AP$1843,$BY$7:$BY$1843,BY420,$AS$7:$AS$1843,"&gt;"&amp;AS420)+SUMIFS($AP$7:$AP$1843,$BY$7:$BY$1843,BY420,$AS$7:$AS$1843,AS420,$BQ$7:$BQ$1843,"&lt;="&amp;BQ420),"")</f>
        <v>15.4755920408094</v>
      </c>
      <c r="AU420" s="65" t="n">
        <f aca="false">IF(AT420="",0,MAX(0,MIN(1,(IF(BY420="L1",Parameter!$E$5,Parameter!$E$6+Parameter!$E$7)-(AT420-AP420))/AP420)))</f>
        <v>1</v>
      </c>
      <c r="AV420" s="57" t="n">
        <f aca="false">IF(LEFT(Cockpit!$O$5,1)="A",H420,IF(CA420=1,CB420,IF(LEFT(Cockpit!$O$5,1)="B",AZ420,MAX(AZ420,H420))))</f>
        <v>300</v>
      </c>
      <c r="AW420" s="57" t="n">
        <f aca="false">IF(BT420=1,0,ROUNDUP(AV420/BS420,0))</f>
        <v>3</v>
      </c>
      <c r="AX420" s="59" t="n">
        <f aca="false">IF(CH420&gt;0,CH420*MAX(1,AV420/X420),IF(BT420=1,IF(AV420&lt;=0,0,BW420*MAX(1,IF(H420&gt;0,AV420/H420,1))),IF(R420&gt;0,AW420/R420,0))/MAX(0.1,N(Parameter!$M$21)))</f>
        <v>0.0576923076923077</v>
      </c>
      <c r="AY420" s="57" t="n">
        <f aca="false">AV420*G420</f>
        <v>141</v>
      </c>
      <c r="AZ420" s="57" t="n">
        <f aca="false">ROUNDUP(MAX(J420/IF(BZ420&gt;0,BZ420,MAX(0.1,N(Cockpit!$O$6))),CC420)/BS420,0)*BS420</f>
        <v>300</v>
      </c>
      <c r="BA420" s="58" t="n">
        <f aca="false">IF(AX420&gt;0,J420/AX420,-1)</f>
        <v>3120</v>
      </c>
      <c r="BB420" s="58" t="n">
        <f aca="false">IF(AND(OR(BY420="L1",BY420="L23"),AX420&gt;0),SUMIFS($AX$7:$AX$1843,$BY$7:$BY$1843,BY420,$BA$7:$BA$1843,"&gt;"&amp;BA420)+SUMIFS($AX$7:$AX$1843,$BY$7:$BY$1843,BY420,$BA$7:$BA$1843,BA420,$BQ$7:$BQ$1843,"&lt;="&amp;BQ420),"")</f>
        <v>14.0426083578257</v>
      </c>
      <c r="BC420" s="65" t="n">
        <f aca="false">IF(BB420="",0,MAX(0,MIN(1,(IF(BY420="L1",Parameter!$E$5,Parameter!$E$6+Parameter!$E$7)-(BB420-AX420))/AX420)))</f>
        <v>1</v>
      </c>
      <c r="BD420" s="55" t="str">
        <f aca="false">IF(AH420&lt;=0,"",IF(BY420="Aussen","Aussenlager",IF(BY420="-","Nicht im Lift",IF(AM420&gt;=1,"Lift",IF(AM420&lt;=0,"Aussenlager","teilweise")))))</f>
        <v>Lift</v>
      </c>
      <c r="BE420" s="55" t="str">
        <f aca="false">IF(AP420&lt;=0,"",IF(BY420="Aussen","Aussenlager",IF(BY420="-","Nicht im Lift",IF(AU420&gt;=1,"Lift",IF(AU420&lt;=0,"Aussenlager","teilweise")))))</f>
        <v>Lift</v>
      </c>
      <c r="BF420" s="55" t="str">
        <f aca="false">IF(AX420&lt;=0,"",IF(BY420="Aussen","Aussenlager",IF(BY420="-","Nicht im Lift",IF(BC420&gt;=1,"Lift",IF(BC420&lt;=0,"Aussenlager","teilweise")))))</f>
        <v>Lift</v>
      </c>
      <c r="BG420" s="55" t="str">
        <f aca="false">IF(A420="","",IF(BP420=1,"Neu; ","")&amp;IF(AND(BP420=0,BK420&lt;0),"negativer Bestand (Export "&amp;BK420&amp;"); ","")&amp;IF(J420&lt;=0,"Kein Verbrauch; ","")&amp;IF(CH420&gt;0,"Lift "&amp;W420&amp;" lt. Liftbericht (Fach "&amp;X420&amp;" Stk); ",IF(BU420=1,"Gebinde geschätzt ("&amp;T420&amp;"); ",IF(BT420=1,"Lose – Tablare geschätzt; ","")))&amp;IF(H420&gt;AR420,"Überbestand "&amp;ROUND(H420-AR420,0)&amp;" Stk / CHF "&amp;ROUND((H420-AR420)*G420,0)&amp;"; ","")&amp;IF(AND(CA420=1,CB420&lt;CC420),"MAX &lt; MB+LG; ","")&amp;IF(AND(CG420&gt;0,CF420*10&gt;CG420),"zu hoch für Tablar; ","")&amp;IF(AND(BP420=0,OR(CA420=1,AA420&lt;&gt;"",U420&lt;&gt;"",V420&lt;&gt;"",AB420&lt;&gt;"")),"manuell übersteuert; ","")&amp;IF(AND(BT420=0,R420=0),"Gebinde unbekannt / Stellmass fehlt; ","")&amp;IF(AND(BT420=0,N(V420)&lt;=0,N(Q420)&lt;=0),"Menge pro Gebinde fehlt (Ist = 1 Gebinde); ","")&amp;BO420)</f>
        <v/>
      </c>
      <c r="BH420" s="55"/>
      <c r="BI420" s="55"/>
      <c r="BJ420" s="62"/>
      <c r="BK420" s="57" t="n">
        <v>200</v>
      </c>
      <c r="BL420" s="57" t="n">
        <v>0</v>
      </c>
      <c r="BM420" s="56" t="n">
        <v>94</v>
      </c>
      <c r="BN420" s="57" t="n">
        <v>180</v>
      </c>
      <c r="BO420" s="55"/>
      <c r="BP420" s="60" t="n">
        <v>0</v>
      </c>
      <c r="BQ420" s="60" t="n">
        <v>420</v>
      </c>
      <c r="BR420" s="55" t="str">
        <f aca="false">IF(U420&lt;&gt;"",UPPER(TRIM(U420)),IF(BU420=1,UPPER(VLOOKUP(T420,Parameter!$I$27:$K$29,2,0)),IF(P420="","LOSE",P420)))</f>
        <v>S41</v>
      </c>
      <c r="BS420" s="57" t="n">
        <f aca="false">IF(BR420="LOSE",1,IF(N(V420)&gt;0,V420,IF(BU420=1,MAX(1,N(VLOOKUP(T420,Parameter!$I$27:$K$29,3,0)),H420,N(N420)),IF(N(Q420)&gt;0,Q420,MAX(1,H420)))))</f>
        <v>100</v>
      </c>
      <c r="BT420" s="60" t="n">
        <f aca="false">IF(BR420="LOSE",1,0)</f>
        <v>0</v>
      </c>
      <c r="BU420" s="60" t="n">
        <f aca="false">IF(AND(U420="",OR(P420="",P420="LOSE"),T420&lt;&gt;"",N(S420)&lt;=0,ISNUMBER(MATCH(T420,Parameter!$I$27:$I$29,0))),1,0)</f>
        <v>0</v>
      </c>
      <c r="BV420" s="55" t="str">
        <f aca="false">IF(AND(Parameter!$B$19="Ja",E420&lt;&gt;"",ISNUMBER(MATCH(E420,Parameter!$I$35:$I$52,0))),VLOOKUP(E420,Parameter!$I$35:$J$52,2,0),IFERROR(VLOOKUP(D420,Parameter!$A$35:$C$64,2,0),"Nein"))</f>
        <v>2+3</v>
      </c>
      <c r="BW420" s="59" t="n">
        <f aca="false">IF(BT420=0,0,IF(N(S420)&gt;0,S420,IFERROR(VLOOKUP(D420,Parameter!$A$35:$C$64,3,0)+0,0)))</f>
        <v>0</v>
      </c>
      <c r="BX420" s="55" t="n">
        <f aca="false">IF(AA420&lt;&gt;"",AA420,Z420)</f>
        <v>3</v>
      </c>
      <c r="BY420" s="55" t="str">
        <f aca="false">IF(BX420=1,"L1",IF(OR(BX420=2,BX420=3),"L23",IF(BX420="Aussen","Aussen","-")))</f>
        <v>L23</v>
      </c>
      <c r="BZ420" s="66" t="n">
        <f aca="false">IF(N(AB420)&gt;0,AB420,0)</f>
        <v>0</v>
      </c>
      <c r="CA420" s="60" t="n">
        <f aca="false">IF(ISNUMBER(AE420),1,0)</f>
        <v>0</v>
      </c>
      <c r="CB420" s="57" t="n">
        <f aca="false">N(AE420)</f>
        <v>0</v>
      </c>
      <c r="CC420" s="57" t="n">
        <f aca="false">N(M420)+N(N420)</f>
        <v>207</v>
      </c>
      <c r="CD420" s="57" t="n">
        <f aca="false">ROUNDUP(H420/BS420,0)</f>
        <v>2</v>
      </c>
      <c r="CE420" s="57" t="n">
        <f aca="false">ROUNDUP(CB420/BS420,0)</f>
        <v>0</v>
      </c>
      <c r="CF420" s="60" t="n">
        <f aca="false">IF(BT420=1,0,IFERROR(VLOOKUP(BR420,'Gebinde-Kategorie'!$A$5:$M$45,5,0)+0,0))</f>
        <v>11</v>
      </c>
      <c r="CG420" s="60" t="n">
        <f aca="false">IFERROR(IF(OR(BX420=1,BX420=2,BX420=3),N(INDEX(Parameter!$I$5:$I$7,BX420)),0),0)</f>
        <v>0</v>
      </c>
      <c r="CH420" s="59" t="n">
        <f aca="false">IF(AND(Parameter!$B$21="Ja",ISNUMBER(W420),N(X420)&gt;0),IFERROR(N(INDEX(Parameter!$L$5:$L$7,W420))*INDEX(Parameter!$E$5:$E$7,W420)*X420/SUMIFS($X$7:$X$1843,$W$7:$W$1843,W420),0),0)</f>
        <v>0</v>
      </c>
    </row>
    <row r="421" customFormat="false" ht="15" hidden="false" customHeight="false" outlineLevel="0" collapsed="false">
      <c r="A421" s="55" t="s">
        <v>969</v>
      </c>
      <c r="B421" s="55" t="s">
        <v>970</v>
      </c>
      <c r="C421" s="55" t="s">
        <v>164</v>
      </c>
      <c r="D421" s="55" t="s">
        <v>173</v>
      </c>
      <c r="E421" s="55" t="s">
        <v>185</v>
      </c>
      <c r="F421" s="55" t="s">
        <v>218</v>
      </c>
      <c r="G421" s="56" t="n">
        <v>23.5</v>
      </c>
      <c r="H421" s="57" t="n">
        <f aca="false">MAX(0,IF(AND(Parameter!$B$21="Ja",ISNUMBER(Y421)),Y421,IF(Parameter!$B$20="Jahresanfang 2025 + Export",BL421+BK421,BK421)))</f>
        <v>10</v>
      </c>
      <c r="I421" s="57" t="n">
        <f aca="false">H421*G421</f>
        <v>235</v>
      </c>
      <c r="J421" s="57" t="n">
        <f aca="false">BN421*Parameter!$B$18</f>
        <v>34</v>
      </c>
      <c r="K421" s="58" t="n">
        <v>19</v>
      </c>
      <c r="L421" s="59" t="n">
        <v>1.78947368421053</v>
      </c>
      <c r="M421" s="57" t="n">
        <v>1</v>
      </c>
      <c r="N421" s="57" t="n">
        <v>35</v>
      </c>
      <c r="O421" s="60" t="n">
        <v>21</v>
      </c>
      <c r="P421" s="55" t="s">
        <v>233</v>
      </c>
      <c r="Q421" s="57" t="n">
        <v>28</v>
      </c>
      <c r="R421" s="60" t="n">
        <f aca="false">IF(BT421=1,0,IFERROR(VLOOKUP(BR421,'Gebinde-Kategorie'!$A$5:$M$45,13,0)+0,0))</f>
        <v>26</v>
      </c>
      <c r="S421" s="61"/>
      <c r="T421" s="62"/>
      <c r="U421" s="62"/>
      <c r="V421" s="62"/>
      <c r="W421" s="55"/>
      <c r="X421" s="57"/>
      <c r="Y421" s="57"/>
      <c r="Z421" s="55" t="n">
        <f aca="false">IF(A421="","",IF(AND(Parameter!$B$21="Ja",ISNUMBER(W421)),W421,IF(BV421="2+3",IF(ISNUMBER(SEARCH("grosser Artikel",BO421)),2,IFERROR(VLOOKUP(BR421,Parameter!$F$35:$G$64,2,0),2)),IF(OR(BV421="Nein",BV421=""),"-",BV421))))</f>
        <v>3</v>
      </c>
      <c r="AA421" s="62"/>
      <c r="AB421" s="63"/>
      <c r="AC421" s="57" t="n">
        <f aca="false">AR421</f>
        <v>56</v>
      </c>
      <c r="AD421" s="57" t="n">
        <f aca="false">MAX(AR421,H421)</f>
        <v>56</v>
      </c>
      <c r="AE421" s="64"/>
      <c r="AF421" s="57" t="n">
        <f aca="false">IF(LEFT(Cockpit!$C$5,1)="A",H421,IF(CA421=1,CB421,IF(LEFT(Cockpit!$C$5,1)="B",AJ421,MAX(AJ421,H421))))</f>
        <v>10</v>
      </c>
      <c r="AG421" s="57" t="n">
        <f aca="false">IF(BT421=1,0,ROUNDUP(AF421/BS421,0))</f>
        <v>1</v>
      </c>
      <c r="AH421" s="59" t="n">
        <f aca="false">IF(CH421&gt;0,CH421*MAX(1,AF421/X421),IF(BT421=1,IF(AF421&lt;=0,0,BW421*MAX(1,IF(H421&gt;0,AF421/H421,1))),IF(R421&gt;0,AG421/R421,0))/MAX(0.1,N(Parameter!$M$21)))</f>
        <v>0.0384615384615385</v>
      </c>
      <c r="AI421" s="57" t="n">
        <f aca="false">AF421*G421</f>
        <v>235</v>
      </c>
      <c r="AJ421" s="57" t="n">
        <f aca="false">ROUNDUP(MAX(J421/IF(BZ421&gt;0,BZ421,MAX(0.1,N(Cockpit!$C$6))),CC421)/BS421,0)*BS421</f>
        <v>56</v>
      </c>
      <c r="AK421" s="58" t="n">
        <f aca="false">IF(AH421&gt;0,J421/AH421,-1)</f>
        <v>884</v>
      </c>
      <c r="AL421" s="58" t="n">
        <f aca="false">IF(AND(OR(BY421="L1",BY421="L23"),AH421&gt;0),SUMIFS($AH$7:$AH$1843,$BY$7:$BY$1843,BY421,$AK$7:$AK$1843,"&gt;"&amp;AK421)+SUMIFS($AH$7:$AH$1843,$BY$7:$BY$1843,BY421,$AK$7:$AK$1843,AK421,$BQ$7:$BQ$1843,"&lt;="&amp;BQ421),"")</f>
        <v>19.8854092767136</v>
      </c>
      <c r="AM421" s="65" t="n">
        <f aca="false">IF(AL421="",0,MAX(0,MIN(1,(IF(BY421="L1",Parameter!$E$5,Parameter!$E$6+Parameter!$E$7)-(AL421-AH421))/AH421)))</f>
        <v>1</v>
      </c>
      <c r="AN421" s="57" t="n">
        <f aca="false">IF(LEFT(Cockpit!$I$5,1)="A",H421,IF(CA421=1,CB421,IF(LEFT(Cockpit!$I$5,1)="B",AR421,MAX(AR421,H421))))</f>
        <v>56</v>
      </c>
      <c r="AO421" s="57" t="n">
        <f aca="false">IF(BT421=1,0,ROUNDUP(AN421/BS421,0))</f>
        <v>2</v>
      </c>
      <c r="AP421" s="59" t="n">
        <f aca="false">IF(CH421&gt;0,CH421*MAX(1,AN421/X421),IF(BT421=1,IF(AN421&lt;=0,0,BW421*MAX(1,IF(H421&gt;0,AN421/H421,1))),IF(R421&gt;0,AO421/R421,0))/MAX(0.1,N(Parameter!$M$21)))</f>
        <v>0.0769230769230769</v>
      </c>
      <c r="AQ421" s="57" t="n">
        <f aca="false">AN421*G421</f>
        <v>1316</v>
      </c>
      <c r="AR421" s="57" t="n">
        <f aca="false">ROUNDUP(MAX(J421/IF(BZ421&gt;0,BZ421,MAX(0.1,N(Cockpit!$I$6))),CC421)/BS421,0)*BS421</f>
        <v>56</v>
      </c>
      <c r="AS421" s="58" t="n">
        <f aca="false">IF(AP421&gt;0,J421/AP421,-1)</f>
        <v>442</v>
      </c>
      <c r="AT421" s="58" t="n">
        <f aca="false">IF(AND(OR(BY421="L1",BY421="L23"),AP421&gt;0),SUMIFS($AP$7:$AP$1843,$BY$7:$BY$1843,BY421,$AS$7:$AS$1843,"&gt;"&amp;AS421)+SUMIFS($AP$7:$AP$1843,$BY$7:$BY$1843,BY421,$AS$7:$AS$1843,AS421,$BQ$7:$BQ$1843,"&lt;="&amp;BQ421),"")</f>
        <v>34.4475440018918</v>
      </c>
      <c r="AU421" s="65" t="n">
        <f aca="false">IF(AT421="",0,MAX(0,MIN(1,(IF(BY421="L1",Parameter!$E$5,Parameter!$E$6+Parameter!$E$7)-(AT421-AP421))/AP421)))</f>
        <v>1</v>
      </c>
      <c r="AV421" s="57" t="n">
        <f aca="false">IF(LEFT(Cockpit!$O$5,1)="A",H421,IF(CA421=1,CB421,IF(LEFT(Cockpit!$O$5,1)="B",AZ421,MAX(AZ421,H421))))</f>
        <v>56</v>
      </c>
      <c r="AW421" s="57" t="n">
        <f aca="false">IF(BT421=1,0,ROUNDUP(AV421/BS421,0))</f>
        <v>2</v>
      </c>
      <c r="AX421" s="59" t="n">
        <f aca="false">IF(CH421&gt;0,CH421*MAX(1,AV421/X421),IF(BT421=1,IF(AV421&lt;=0,0,BW421*MAX(1,IF(H421&gt;0,AV421/H421,1))),IF(R421&gt;0,AW421/R421,0))/MAX(0.1,N(Parameter!$M$21)))</f>
        <v>0.0769230769230769</v>
      </c>
      <c r="AY421" s="57" t="n">
        <f aca="false">AV421*G421</f>
        <v>1316</v>
      </c>
      <c r="AZ421" s="57" t="n">
        <f aca="false">ROUNDUP(MAX(J421/IF(BZ421&gt;0,BZ421,MAX(0.1,N(Cockpit!$O$6))),CC421)/BS421,0)*BS421</f>
        <v>56</v>
      </c>
      <c r="BA421" s="58" t="n">
        <f aca="false">IF(AX421&gt;0,J421/AX421,-1)</f>
        <v>442</v>
      </c>
      <c r="BB421" s="58" t="n">
        <f aca="false">IF(AND(OR(BY421="L1",BY421="L23"),AX421&gt;0),SUMIFS($AX$7:$AX$1843,$BY$7:$BY$1843,BY421,$BA$7:$BA$1843,"&gt;"&amp;BA421)+SUMIFS($AX$7:$AX$1843,$BY$7:$BY$1843,BY421,$BA$7:$BA$1843,BA421,$BQ$7:$BQ$1843,"&lt;="&amp;BQ421),"")</f>
        <v>33.5273808317287</v>
      </c>
      <c r="BC421" s="65" t="n">
        <f aca="false">IF(BB421="",0,MAX(0,MIN(1,(IF(BY421="L1",Parameter!$E$5,Parameter!$E$6+Parameter!$E$7)-(BB421-AX421))/AX421)))</f>
        <v>1</v>
      </c>
      <c r="BD421" s="55" t="str">
        <f aca="false">IF(AH421&lt;=0,"",IF(BY421="Aussen","Aussenlager",IF(BY421="-","Nicht im Lift",IF(AM421&gt;=1,"Lift",IF(AM421&lt;=0,"Aussenlager","teilweise")))))</f>
        <v>Lift</v>
      </c>
      <c r="BE421" s="55" t="str">
        <f aca="false">IF(AP421&lt;=0,"",IF(BY421="Aussen","Aussenlager",IF(BY421="-","Nicht im Lift",IF(AU421&gt;=1,"Lift",IF(AU421&lt;=0,"Aussenlager","teilweise")))))</f>
        <v>Lift</v>
      </c>
      <c r="BF421" s="55" t="str">
        <f aca="false">IF(AX421&lt;=0,"",IF(BY421="Aussen","Aussenlager",IF(BY421="-","Nicht im Lift",IF(BC421&gt;=1,"Lift",IF(BC421&lt;=0,"Aussenlager","teilweise")))))</f>
        <v>Lift</v>
      </c>
      <c r="BG421" s="55" t="str">
        <f aca="false">IF(A421="","",IF(BP421=1,"Neu; ","")&amp;IF(AND(BP421=0,BK421&lt;0),"negativer Bestand (Export "&amp;BK421&amp;"); ","")&amp;IF(J421&lt;=0,"Kein Verbrauch; ","")&amp;IF(CH421&gt;0,"Lift "&amp;W421&amp;" lt. Liftbericht (Fach "&amp;X421&amp;" Stk); ",IF(BU421=1,"Gebinde geschätzt ("&amp;T421&amp;"); ",IF(BT421=1,"Lose – Tablare geschätzt; ","")))&amp;IF(H421&gt;AR421,"Überbestand "&amp;ROUND(H421-AR421,0)&amp;" Stk / CHF "&amp;ROUND((H421-AR421)*G421,0)&amp;"; ","")&amp;IF(AND(CA421=1,CB421&lt;CC421),"MAX &lt; MB+LG; ","")&amp;IF(AND(CG421&gt;0,CF421*10&gt;CG421),"zu hoch für Tablar; ","")&amp;IF(AND(BP421=0,OR(CA421=1,AA421&lt;&gt;"",U421&lt;&gt;"",V421&lt;&gt;"",AB421&lt;&gt;"")),"manuell übersteuert; ","")&amp;IF(AND(BT421=0,R421=0),"Gebinde unbekannt / Stellmass fehlt; ","")&amp;IF(AND(BT421=0,N(V421)&lt;=0,N(Q421)&lt;=0),"Menge pro Gebinde fehlt (Ist = 1 Gebinde); ","")&amp;BO421)</f>
        <v>Neu</v>
      </c>
      <c r="BH421" s="55"/>
      <c r="BI421" s="55"/>
      <c r="BJ421" s="62"/>
      <c r="BK421" s="57" t="n">
        <v>4</v>
      </c>
      <c r="BL421" s="57" t="n">
        <v>6</v>
      </c>
      <c r="BM421" s="56" t="n">
        <v>94</v>
      </c>
      <c r="BN421" s="57" t="n">
        <v>34</v>
      </c>
      <c r="BO421" s="55" t="s">
        <v>626</v>
      </c>
      <c r="BP421" s="60" t="n">
        <v>0</v>
      </c>
      <c r="BQ421" s="60" t="n">
        <v>421</v>
      </c>
      <c r="BR421" s="55" t="str">
        <f aca="false">IF(U421&lt;&gt;"",UPPER(TRIM(U421)),IF(BU421=1,UPPER(VLOOKUP(T421,Parameter!$I$27:$K$29,2,0)),IF(P421="","LOSE",P421)))</f>
        <v>S52</v>
      </c>
      <c r="BS421" s="57" t="n">
        <f aca="false">IF(BR421="LOSE",1,IF(N(V421)&gt;0,V421,IF(BU421=1,MAX(1,N(VLOOKUP(T421,Parameter!$I$27:$K$29,3,0)),H421,N(N421)),IF(N(Q421)&gt;0,Q421,MAX(1,H421)))))</f>
        <v>28</v>
      </c>
      <c r="BT421" s="60" t="n">
        <f aca="false">IF(BR421="LOSE",1,0)</f>
        <v>0</v>
      </c>
      <c r="BU421" s="60" t="n">
        <f aca="false">IF(AND(U421="",OR(P421="",P421="LOSE"),T421&lt;&gt;"",N(S421)&lt;=0,ISNUMBER(MATCH(T421,Parameter!$I$27:$I$29,0))),1,0)</f>
        <v>0</v>
      </c>
      <c r="BV421" s="55" t="str">
        <f aca="false">IF(AND(Parameter!$B$19="Ja",E421&lt;&gt;"",ISNUMBER(MATCH(E421,Parameter!$I$35:$I$52,0))),VLOOKUP(E421,Parameter!$I$35:$J$52,2,0),IFERROR(VLOOKUP(D421,Parameter!$A$35:$C$64,2,0),"Nein"))</f>
        <v>2+3</v>
      </c>
      <c r="BW421" s="59" t="n">
        <f aca="false">IF(BT421=0,0,IF(N(S421)&gt;0,S421,IFERROR(VLOOKUP(D421,Parameter!$A$35:$C$64,3,0)+0,0)))</f>
        <v>0</v>
      </c>
      <c r="BX421" s="55" t="n">
        <f aca="false">IF(AA421&lt;&gt;"",AA421,Z421)</f>
        <v>3</v>
      </c>
      <c r="BY421" s="55" t="str">
        <f aca="false">IF(BX421=1,"L1",IF(OR(BX421=2,BX421=3),"L23",IF(BX421="Aussen","Aussen","-")))</f>
        <v>L23</v>
      </c>
      <c r="BZ421" s="66" t="n">
        <f aca="false">IF(N(AB421)&gt;0,AB421,0)</f>
        <v>0</v>
      </c>
      <c r="CA421" s="60" t="n">
        <f aca="false">IF(ISNUMBER(AE421),1,0)</f>
        <v>0</v>
      </c>
      <c r="CB421" s="57" t="n">
        <f aca="false">N(AE421)</f>
        <v>0</v>
      </c>
      <c r="CC421" s="57" t="n">
        <f aca="false">N(M421)+N(N421)</f>
        <v>36</v>
      </c>
      <c r="CD421" s="57" t="n">
        <f aca="false">ROUNDUP(H421/BS421,0)</f>
        <v>1</v>
      </c>
      <c r="CE421" s="57" t="n">
        <f aca="false">ROUNDUP(CB421/BS421,0)</f>
        <v>0</v>
      </c>
      <c r="CF421" s="60" t="n">
        <f aca="false">IF(BT421=1,0,IFERROR(VLOOKUP(BR421,'Gebinde-Kategorie'!$A$5:$M$45,5,0)+0,0))</f>
        <v>21</v>
      </c>
      <c r="CG421" s="60" t="n">
        <f aca="false">IFERROR(IF(OR(BX421=1,BX421=2,BX421=3),N(INDEX(Parameter!$I$5:$I$7,BX421)),0),0)</f>
        <v>0</v>
      </c>
      <c r="CH421" s="59" t="n">
        <f aca="false">IF(AND(Parameter!$B$21="Ja",ISNUMBER(W421),N(X421)&gt;0),IFERROR(N(INDEX(Parameter!$L$5:$L$7,W421))*INDEX(Parameter!$E$5:$E$7,W421)*X421/SUMIFS($X$7:$X$1843,$W$7:$W$1843,W421),0),0)</f>
        <v>0</v>
      </c>
    </row>
    <row r="422" customFormat="false" ht="15" hidden="false" customHeight="false" outlineLevel="0" collapsed="false">
      <c r="A422" s="55" t="s">
        <v>971</v>
      </c>
      <c r="B422" s="55" t="s">
        <v>972</v>
      </c>
      <c r="C422" s="55" t="s">
        <v>164</v>
      </c>
      <c r="D422" s="55" t="s">
        <v>184</v>
      </c>
      <c r="E422" s="55" t="s">
        <v>185</v>
      </c>
      <c r="F422" s="55" t="s">
        <v>218</v>
      </c>
      <c r="G422" s="56" t="n">
        <v>3.86</v>
      </c>
      <c r="H422" s="57" t="n">
        <f aca="false">MAX(0,IF(AND(Parameter!$B$21="Ja",ISNUMBER(Y422)),Y422,IF(Parameter!$B$20="Jahresanfang 2025 + Export",BL422+BK422,BK422)))</f>
        <v>139</v>
      </c>
      <c r="I422" s="57" t="n">
        <f aca="false">H422*G422</f>
        <v>536.54</v>
      </c>
      <c r="J422" s="57" t="n">
        <f aca="false">BN422*Parameter!$B$18</f>
        <v>137</v>
      </c>
      <c r="K422" s="58" t="n">
        <v>98</v>
      </c>
      <c r="L422" s="59" t="n">
        <v>1.39795918367347</v>
      </c>
      <c r="M422" s="57" t="n">
        <v>5</v>
      </c>
      <c r="N422" s="57" t="n">
        <v>135</v>
      </c>
      <c r="O422" s="60" t="n">
        <v>14</v>
      </c>
      <c r="P422" s="55" t="s">
        <v>302</v>
      </c>
      <c r="Q422" s="57" t="n">
        <v>45</v>
      </c>
      <c r="R422" s="60" t="n">
        <f aca="false">IF(BT422=1,0,IFERROR(VLOOKUP(BR422,'Gebinde-Kategorie'!$A$5:$M$45,13,0)+0,0))</f>
        <v>26</v>
      </c>
      <c r="S422" s="61"/>
      <c r="T422" s="62"/>
      <c r="U422" s="62"/>
      <c r="V422" s="62"/>
      <c r="W422" s="55"/>
      <c r="X422" s="57"/>
      <c r="Y422" s="57"/>
      <c r="Z422" s="55" t="n">
        <f aca="false">IF(A422="","",IF(AND(Parameter!$B$21="Ja",ISNUMBER(W422)),W422,IF(BV422="2+3",IF(ISNUMBER(SEARCH("grosser Artikel",BO422)),2,IFERROR(VLOOKUP(BR422,Parameter!$F$35:$G$64,2,0),2)),IF(OR(BV422="Nein",BV422=""),"-",BV422))))</f>
        <v>3</v>
      </c>
      <c r="AA422" s="62"/>
      <c r="AB422" s="63"/>
      <c r="AC422" s="57" t="n">
        <f aca="false">AR422</f>
        <v>180</v>
      </c>
      <c r="AD422" s="57" t="n">
        <f aca="false">MAX(AR422,H422)</f>
        <v>180</v>
      </c>
      <c r="AE422" s="64"/>
      <c r="AF422" s="57" t="n">
        <f aca="false">IF(LEFT(Cockpit!$C$5,1)="A",H422,IF(CA422=1,CB422,IF(LEFT(Cockpit!$C$5,1)="B",AJ422,MAX(AJ422,H422))))</f>
        <v>139</v>
      </c>
      <c r="AG422" s="57" t="n">
        <f aca="false">IF(BT422=1,0,ROUNDUP(AF422/BS422,0))</f>
        <v>4</v>
      </c>
      <c r="AH422" s="59" t="n">
        <f aca="false">IF(CH422&gt;0,CH422*MAX(1,AF422/X422),IF(BT422=1,IF(AF422&lt;=0,0,BW422*MAX(1,IF(H422&gt;0,AF422/H422,1))),IF(R422&gt;0,AG422/R422,0))/MAX(0.1,N(Parameter!$M$21)))</f>
        <v>0.153846153846154</v>
      </c>
      <c r="AI422" s="57" t="n">
        <f aca="false">AF422*G422</f>
        <v>536.54</v>
      </c>
      <c r="AJ422" s="57" t="n">
        <f aca="false">ROUNDUP(MAX(J422/IF(BZ422&gt;0,BZ422,MAX(0.1,N(Cockpit!$C$6))),CC422)/BS422,0)*BS422</f>
        <v>180</v>
      </c>
      <c r="AK422" s="58" t="n">
        <f aca="false">IF(AH422&gt;0,J422/AH422,-1)</f>
        <v>890.5</v>
      </c>
      <c r="AL422" s="58" t="n">
        <f aca="false">IF(AND(OR(BY422="L1",BY422="L23"),AH422&gt;0),SUMIFS($AH$7:$AH$1843,$BY$7:$BY$1843,BY422,$AK$7:$AK$1843,"&gt;"&amp;AK422)+SUMIFS($AH$7:$AH$1843,$BY$7:$BY$1843,BY422,$AK$7:$AK$1843,AK422,$BQ$7:$BQ$1843,"&lt;="&amp;BQ422),"")</f>
        <v>19.1802810715854</v>
      </c>
      <c r="AM422" s="65" t="n">
        <f aca="false">IF(AL422="",0,MAX(0,MIN(1,(IF(BY422="L1",Parameter!$E$5,Parameter!$E$6+Parameter!$E$7)-(AL422-AH422))/AH422)))</f>
        <v>1</v>
      </c>
      <c r="AN422" s="57" t="n">
        <f aca="false">IF(LEFT(Cockpit!$I$5,1)="A",H422,IF(CA422=1,CB422,IF(LEFT(Cockpit!$I$5,1)="B",AR422,MAX(AR422,H422))))</f>
        <v>180</v>
      </c>
      <c r="AO422" s="57" t="n">
        <f aca="false">IF(BT422=1,0,ROUNDUP(AN422/BS422,0))</f>
        <v>4</v>
      </c>
      <c r="AP422" s="59" t="n">
        <f aca="false">IF(CH422&gt;0,CH422*MAX(1,AN422/X422),IF(BT422=1,IF(AN422&lt;=0,0,BW422*MAX(1,IF(H422&gt;0,AN422/H422,1))),IF(R422&gt;0,AO422/R422,0))/MAX(0.1,N(Parameter!$M$21)))</f>
        <v>0.153846153846154</v>
      </c>
      <c r="AQ422" s="57" t="n">
        <f aca="false">AN422*G422</f>
        <v>694.8</v>
      </c>
      <c r="AR422" s="57" t="n">
        <f aca="false">ROUNDUP(MAX(J422/IF(BZ422&gt;0,BZ422,MAX(0.1,N(Cockpit!$I$6))),CC422)/BS422,0)*BS422</f>
        <v>180</v>
      </c>
      <c r="AS422" s="58" t="n">
        <f aca="false">IF(AP422&gt;0,J422/AP422,-1)</f>
        <v>890.5</v>
      </c>
      <c r="AT422" s="58" t="n">
        <f aca="false">IF(AND(OR(BY422="L1",BY422="L23"),AP422&gt;0),SUMIFS($AP$7:$AP$1843,$BY$7:$BY$1843,BY422,$AS$7:$AS$1843,"&gt;"&amp;AS422)+SUMIFS($AP$7:$AP$1843,$BY$7:$BY$1843,BY422,$AS$7:$AS$1843,AS422,$BQ$7:$BQ$1843,"&lt;="&amp;BQ422),"")</f>
        <v>24.9093696158914</v>
      </c>
      <c r="AU422" s="65" t="n">
        <f aca="false">IF(AT422="",0,MAX(0,MIN(1,(IF(BY422="L1",Parameter!$E$5,Parameter!$E$6+Parameter!$E$7)-(AT422-AP422))/AP422)))</f>
        <v>1</v>
      </c>
      <c r="AV422" s="57" t="n">
        <f aca="false">IF(LEFT(Cockpit!$O$5,1)="A",H422,IF(CA422=1,CB422,IF(LEFT(Cockpit!$O$5,1)="B",AZ422,MAX(AZ422,H422))))</f>
        <v>180</v>
      </c>
      <c r="AW422" s="57" t="n">
        <f aca="false">IF(BT422=1,0,ROUNDUP(AV422/BS422,0))</f>
        <v>4</v>
      </c>
      <c r="AX422" s="59" t="n">
        <f aca="false">IF(CH422&gt;0,CH422*MAX(1,AV422/X422),IF(BT422=1,IF(AV422&lt;=0,0,BW422*MAX(1,IF(H422&gt;0,AV422/H422,1))),IF(R422&gt;0,AW422/R422,0))/MAX(0.1,N(Parameter!$M$21)))</f>
        <v>0.153846153846154</v>
      </c>
      <c r="AY422" s="57" t="n">
        <f aca="false">AV422*G422</f>
        <v>694.8</v>
      </c>
      <c r="AZ422" s="57" t="n">
        <f aca="false">ROUNDUP(MAX(J422/IF(BZ422&gt;0,BZ422,MAX(0.1,N(Cockpit!$O$6))),CC422)/BS422,0)*BS422</f>
        <v>180</v>
      </c>
      <c r="BA422" s="58" t="n">
        <f aca="false">IF(AX422&gt;0,J422/AX422,-1)</f>
        <v>890.5</v>
      </c>
      <c r="BB422" s="58" t="n">
        <f aca="false">IF(AND(OR(BY422="L1",BY422="L23"),AX422&gt;0),SUMIFS($AX$7:$AX$1843,$BY$7:$BY$1843,BY422,$BA$7:$BA$1843,"&gt;"&amp;BA422)+SUMIFS($AX$7:$AX$1843,$BY$7:$BY$1843,BY422,$BA$7:$BA$1843,BA422,$BQ$7:$BQ$1843,"&lt;="&amp;BQ422),"")</f>
        <v>24.5276679841897</v>
      </c>
      <c r="BC422" s="65" t="n">
        <f aca="false">IF(BB422="",0,MAX(0,MIN(1,(IF(BY422="L1",Parameter!$E$5,Parameter!$E$6+Parameter!$E$7)-(BB422-AX422))/AX422)))</f>
        <v>1</v>
      </c>
      <c r="BD422" s="55" t="str">
        <f aca="false">IF(AH422&lt;=0,"",IF(BY422="Aussen","Aussenlager",IF(BY422="-","Nicht im Lift",IF(AM422&gt;=1,"Lift",IF(AM422&lt;=0,"Aussenlager","teilweise")))))</f>
        <v>Lift</v>
      </c>
      <c r="BE422" s="55" t="str">
        <f aca="false">IF(AP422&lt;=0,"",IF(BY422="Aussen","Aussenlager",IF(BY422="-","Nicht im Lift",IF(AU422&gt;=1,"Lift",IF(AU422&lt;=0,"Aussenlager","teilweise")))))</f>
        <v>Lift</v>
      </c>
      <c r="BF422" s="55" t="str">
        <f aca="false">IF(AX422&lt;=0,"",IF(BY422="Aussen","Aussenlager",IF(BY422="-","Nicht im Lift",IF(BC422&gt;=1,"Lift",IF(BC422&lt;=0,"Aussenlager","teilweise")))))</f>
        <v>Lift</v>
      </c>
      <c r="BG422" s="55" t="str">
        <f aca="false">IF(A422="","",IF(BP422=1,"Neu; ","")&amp;IF(AND(BP422=0,BK422&lt;0),"negativer Bestand (Export "&amp;BK422&amp;"); ","")&amp;IF(J422&lt;=0,"Kein Verbrauch; ","")&amp;IF(CH422&gt;0,"Lift "&amp;W422&amp;" lt. Liftbericht (Fach "&amp;X422&amp;" Stk); ",IF(BU422=1,"Gebinde geschätzt ("&amp;T422&amp;"); ",IF(BT422=1,"Lose – Tablare geschätzt; ","")))&amp;IF(H422&gt;AR422,"Überbestand "&amp;ROUND(H422-AR422,0)&amp;" Stk / CHF "&amp;ROUND((H422-AR422)*G422,0)&amp;"; ","")&amp;IF(AND(CA422=1,CB422&lt;CC422),"MAX &lt; MB+LG; ","")&amp;IF(AND(CG422&gt;0,CF422*10&gt;CG422),"zu hoch für Tablar; ","")&amp;IF(AND(BP422=0,OR(CA422=1,AA422&lt;&gt;"",U422&lt;&gt;"",V422&lt;&gt;"",AB422&lt;&gt;"")),"manuell übersteuert; ","")&amp;IF(AND(BT422=0,R422=0),"Gebinde unbekannt / Stellmass fehlt; ","")&amp;IF(AND(BT422=0,N(V422)&lt;=0,N(Q422)&lt;=0),"Menge pro Gebinde fehlt (Ist = 1 Gebinde); ","")&amp;BO422)</f>
        <v/>
      </c>
      <c r="BH422" s="55"/>
      <c r="BI422" s="55"/>
      <c r="BJ422" s="62"/>
      <c r="BK422" s="57" t="n">
        <v>48</v>
      </c>
      <c r="BL422" s="57" t="n">
        <v>91</v>
      </c>
      <c r="BM422" s="56" t="n">
        <v>93.37</v>
      </c>
      <c r="BN422" s="57" t="n">
        <v>137</v>
      </c>
      <c r="BO422" s="55"/>
      <c r="BP422" s="60" t="n">
        <v>0</v>
      </c>
      <c r="BQ422" s="60" t="n">
        <v>422</v>
      </c>
      <c r="BR422" s="55" t="str">
        <f aca="false">IF(U422&lt;&gt;"",UPPER(TRIM(U422)),IF(BU422=1,UPPER(VLOOKUP(T422,Parameter!$I$27:$K$29,2,0)),IF(P422="","LOSE",P422)))</f>
        <v>S51</v>
      </c>
      <c r="BS422" s="57" t="n">
        <f aca="false">IF(BR422="LOSE",1,IF(N(V422)&gt;0,V422,IF(BU422=1,MAX(1,N(VLOOKUP(T422,Parameter!$I$27:$K$29,3,0)),H422,N(N422)),IF(N(Q422)&gt;0,Q422,MAX(1,H422)))))</f>
        <v>45</v>
      </c>
      <c r="BT422" s="60" t="n">
        <f aca="false">IF(BR422="LOSE",1,0)</f>
        <v>0</v>
      </c>
      <c r="BU422" s="60" t="n">
        <f aca="false">IF(AND(U422="",OR(P422="",P422="LOSE"),T422&lt;&gt;"",N(S422)&lt;=0,ISNUMBER(MATCH(T422,Parameter!$I$27:$I$29,0))),1,0)</f>
        <v>0</v>
      </c>
      <c r="BV422" s="55" t="str">
        <f aca="false">IF(AND(Parameter!$B$19="Ja",E422&lt;&gt;"",ISNUMBER(MATCH(E422,Parameter!$I$35:$I$52,0))),VLOOKUP(E422,Parameter!$I$35:$J$52,2,0),IFERROR(VLOOKUP(D422,Parameter!$A$35:$C$64,2,0),"Nein"))</f>
        <v>2+3</v>
      </c>
      <c r="BW422" s="59" t="n">
        <f aca="false">IF(BT422=0,0,IF(N(S422)&gt;0,S422,IFERROR(VLOOKUP(D422,Parameter!$A$35:$C$64,3,0)+0,0)))</f>
        <v>0</v>
      </c>
      <c r="BX422" s="55" t="n">
        <f aca="false">IF(AA422&lt;&gt;"",AA422,Z422)</f>
        <v>3</v>
      </c>
      <c r="BY422" s="55" t="str">
        <f aca="false">IF(BX422=1,"L1",IF(OR(BX422=2,BX422=3),"L23",IF(BX422="Aussen","Aussen","-")))</f>
        <v>L23</v>
      </c>
      <c r="BZ422" s="66" t="n">
        <f aca="false">IF(N(AB422)&gt;0,AB422,0)</f>
        <v>0</v>
      </c>
      <c r="CA422" s="60" t="n">
        <f aca="false">IF(ISNUMBER(AE422),1,0)</f>
        <v>0</v>
      </c>
      <c r="CB422" s="57" t="n">
        <f aca="false">N(AE422)</f>
        <v>0</v>
      </c>
      <c r="CC422" s="57" t="n">
        <f aca="false">N(M422)+N(N422)</f>
        <v>140</v>
      </c>
      <c r="CD422" s="57" t="n">
        <f aca="false">ROUNDUP(H422/BS422,0)</f>
        <v>4</v>
      </c>
      <c r="CE422" s="57" t="n">
        <f aca="false">ROUNDUP(CB422/BS422,0)</f>
        <v>0</v>
      </c>
      <c r="CF422" s="60" t="n">
        <f aca="false">IF(BT422=1,0,IFERROR(VLOOKUP(BR422,'Gebinde-Kategorie'!$A$5:$M$45,5,0)+0,0))</f>
        <v>11</v>
      </c>
      <c r="CG422" s="60" t="n">
        <f aca="false">IFERROR(IF(OR(BX422=1,BX422=2,BX422=3),N(INDEX(Parameter!$I$5:$I$7,BX422)),0),0)</f>
        <v>0</v>
      </c>
      <c r="CH422" s="59" t="n">
        <f aca="false">IF(AND(Parameter!$B$21="Ja",ISNUMBER(W422),N(X422)&gt;0),IFERROR(N(INDEX(Parameter!$L$5:$L$7,W422))*INDEX(Parameter!$E$5:$E$7,W422)*X422/SUMIFS($X$7:$X$1843,$W$7:$W$1843,W422),0),0)</f>
        <v>0</v>
      </c>
    </row>
    <row r="423" customFormat="false" ht="15" hidden="false" customHeight="false" outlineLevel="0" collapsed="false">
      <c r="A423" s="55" t="s">
        <v>973</v>
      </c>
      <c r="B423" s="55" t="s">
        <v>974</v>
      </c>
      <c r="C423" s="55" t="s">
        <v>164</v>
      </c>
      <c r="D423" s="55" t="s">
        <v>184</v>
      </c>
      <c r="E423" s="55"/>
      <c r="F423" s="55" t="s">
        <v>218</v>
      </c>
      <c r="G423" s="56" t="n">
        <v>13.78</v>
      </c>
      <c r="H423" s="57" t="n">
        <f aca="false">MAX(0,IF(AND(Parameter!$B$21="Ja",ISNUMBER(Y423)),Y423,IF(Parameter!$B$20="Jahresanfang 2025 + Export",BL423+BK423,BK423)))</f>
        <v>9</v>
      </c>
      <c r="I423" s="57" t="n">
        <f aca="false">H423*G423</f>
        <v>124.02</v>
      </c>
      <c r="J423" s="57" t="n">
        <f aca="false">BN423*Parameter!$B$18</f>
        <v>1</v>
      </c>
      <c r="K423" s="58" t="n">
        <v>4</v>
      </c>
      <c r="L423" s="59" t="n">
        <v>0.25</v>
      </c>
      <c r="M423" s="57" t="n">
        <v>5</v>
      </c>
      <c r="N423" s="57" t="n">
        <v>1</v>
      </c>
      <c r="O423" s="60" t="n">
        <v>14</v>
      </c>
      <c r="P423" s="55" t="s">
        <v>302</v>
      </c>
      <c r="Q423" s="57" t="n">
        <v>9</v>
      </c>
      <c r="R423" s="60" t="n">
        <f aca="false">IF(BT423=1,0,IFERROR(VLOOKUP(BR423,'Gebinde-Kategorie'!$A$5:$M$45,13,0)+0,0))</f>
        <v>26</v>
      </c>
      <c r="S423" s="61"/>
      <c r="T423" s="62"/>
      <c r="U423" s="62"/>
      <c r="V423" s="62"/>
      <c r="W423" s="55"/>
      <c r="X423" s="57"/>
      <c r="Y423" s="57"/>
      <c r="Z423" s="55" t="n">
        <f aca="false">IF(A423="","",IF(AND(Parameter!$B$21="Ja",ISNUMBER(W423)),W423,IF(BV423="2+3",IF(ISNUMBER(SEARCH("grosser Artikel",BO423)),2,IFERROR(VLOOKUP(BR423,Parameter!$F$35:$G$64,2,0),2)),IF(OR(BV423="Nein",BV423=""),"-",BV423))))</f>
        <v>3</v>
      </c>
      <c r="AA423" s="62"/>
      <c r="AB423" s="63"/>
      <c r="AC423" s="57" t="n">
        <f aca="false">AR423</f>
        <v>9</v>
      </c>
      <c r="AD423" s="57" t="n">
        <f aca="false">MAX(AR423,H423)</f>
        <v>9</v>
      </c>
      <c r="AE423" s="64"/>
      <c r="AF423" s="57" t="n">
        <f aca="false">IF(LEFT(Cockpit!$C$5,1)="A",H423,IF(CA423=1,CB423,IF(LEFT(Cockpit!$C$5,1)="B",AJ423,MAX(AJ423,H423))))</f>
        <v>9</v>
      </c>
      <c r="AG423" s="57" t="n">
        <f aca="false">IF(BT423=1,0,ROUNDUP(AF423/BS423,0))</f>
        <v>1</v>
      </c>
      <c r="AH423" s="59" t="n">
        <f aca="false">IF(CH423&gt;0,CH423*MAX(1,AF423/X423),IF(BT423=1,IF(AF423&lt;=0,0,BW423*MAX(1,IF(H423&gt;0,AF423/H423,1))),IF(R423&gt;0,AG423/R423,0))/MAX(0.1,N(Parameter!$M$21)))</f>
        <v>0.0384615384615385</v>
      </c>
      <c r="AI423" s="57" t="n">
        <f aca="false">AF423*G423</f>
        <v>124.02</v>
      </c>
      <c r="AJ423" s="57" t="n">
        <f aca="false">ROUNDUP(MAX(J423/IF(BZ423&gt;0,BZ423,MAX(0.1,N(Cockpit!$C$6))),CC423)/BS423,0)*BS423</f>
        <v>9</v>
      </c>
      <c r="AK423" s="58" t="n">
        <f aca="false">IF(AH423&gt;0,J423/AH423,-1)</f>
        <v>26</v>
      </c>
      <c r="AL423" s="58" t="n">
        <f aca="false">IF(AND(OR(BY423="L1",BY423="L23"),AH423&gt;0),SUMIFS($AH$7:$AH$1843,$BY$7:$BY$1843,BY423,$AK$7:$AK$1843,"&gt;"&amp;AK423)+SUMIFS($AH$7:$AH$1843,$BY$7:$BY$1843,BY423,$AK$7:$AK$1843,AK423,$BQ$7:$BQ$1843,"&lt;="&amp;BQ423),"")</f>
        <v>48.3061298604777</v>
      </c>
      <c r="AM423" s="65" t="n">
        <f aca="false">IF(AL423="",0,MAX(0,MIN(1,(IF(BY423="L1",Parameter!$E$5,Parameter!$E$6+Parameter!$E$7)-(AL423-AH423))/AH423)))</f>
        <v>1</v>
      </c>
      <c r="AN423" s="57" t="n">
        <f aca="false">IF(LEFT(Cockpit!$I$5,1)="A",H423,IF(CA423=1,CB423,IF(LEFT(Cockpit!$I$5,1)="B",AR423,MAX(AR423,H423))))</f>
        <v>9</v>
      </c>
      <c r="AO423" s="57" t="n">
        <f aca="false">IF(BT423=1,0,ROUNDUP(AN423/BS423,0))</f>
        <v>1</v>
      </c>
      <c r="AP423" s="59" t="n">
        <f aca="false">IF(CH423&gt;0,CH423*MAX(1,AN423/X423),IF(BT423=1,IF(AN423&lt;=0,0,BW423*MAX(1,IF(H423&gt;0,AN423/H423,1))),IF(R423&gt;0,AO423/R423,0))/MAX(0.1,N(Parameter!$M$21)))</f>
        <v>0.0384615384615385</v>
      </c>
      <c r="AQ423" s="57" t="n">
        <f aca="false">AN423*G423</f>
        <v>124.02</v>
      </c>
      <c r="AR423" s="57" t="n">
        <f aca="false">ROUNDUP(MAX(J423/IF(BZ423&gt;0,BZ423,MAX(0.1,N(Cockpit!$I$6))),CC423)/BS423,0)*BS423</f>
        <v>9</v>
      </c>
      <c r="AS423" s="58" t="n">
        <f aca="false">IF(AP423&gt;0,J423/AP423,-1)</f>
        <v>26</v>
      </c>
      <c r="AT423" s="58" t="n">
        <f aca="false">IF(AND(OR(BY423="L1",BY423="L23"),AP423&gt;0),SUMIFS($AP$7:$AP$1843,$BY$7:$BY$1843,BY423,$AS$7:$AS$1843,"&gt;"&amp;AS423)+SUMIFS($AP$7:$AP$1843,$BY$7:$BY$1843,BY423,$AS$7:$AS$1843,AS423,$BQ$7:$BQ$1843,"&lt;="&amp;BQ423),"")</f>
        <v>73.4033309685484</v>
      </c>
      <c r="AU423" s="65" t="n">
        <f aca="false">IF(AT423="",0,MAX(0,MIN(1,(IF(BY423="L1",Parameter!$E$5,Parameter!$E$6+Parameter!$E$7)-(AT423-AP423))/AP423)))</f>
        <v>1</v>
      </c>
      <c r="AV423" s="57" t="n">
        <f aca="false">IF(LEFT(Cockpit!$O$5,1)="A",H423,IF(CA423=1,CB423,IF(LEFT(Cockpit!$O$5,1)="B",AZ423,MAX(AZ423,H423))))</f>
        <v>9</v>
      </c>
      <c r="AW423" s="57" t="n">
        <f aca="false">IF(BT423=1,0,ROUNDUP(AV423/BS423,0))</f>
        <v>1</v>
      </c>
      <c r="AX423" s="59" t="n">
        <f aca="false">IF(CH423&gt;0,CH423*MAX(1,AV423/X423),IF(BT423=1,IF(AV423&lt;=0,0,BW423*MAX(1,IF(H423&gt;0,AV423/H423,1))),IF(R423&gt;0,AW423/R423,0))/MAX(0.1,N(Parameter!$M$21)))</f>
        <v>0.0384615384615385</v>
      </c>
      <c r="AY423" s="57" t="n">
        <f aca="false">AV423*G423</f>
        <v>124.02</v>
      </c>
      <c r="AZ423" s="57" t="n">
        <f aca="false">ROUNDUP(MAX(J423/IF(BZ423&gt;0,BZ423,MAX(0.1,N(Cockpit!$O$6))),CC423)/BS423,0)*BS423</f>
        <v>9</v>
      </c>
      <c r="BA423" s="58" t="n">
        <f aca="false">IF(AX423&gt;0,J423/AX423,-1)</f>
        <v>26</v>
      </c>
      <c r="BB423" s="58" t="n">
        <f aca="false">IF(AND(OR(BY423="L1",BY423="L23"),AX423&gt;0),SUMIFS($AX$7:$AX$1843,$BY$7:$BY$1843,BY423,$BA$7:$BA$1843,"&gt;"&amp;BA423)+SUMIFS($AX$7:$AX$1843,$BY$7:$BY$1843,BY423,$BA$7:$BA$1843,BA423,$BQ$7:$BQ$1843,"&lt;="&amp;BQ423),"")</f>
        <v>67.8998344650519</v>
      </c>
      <c r="BC423" s="65" t="n">
        <f aca="false">IF(BB423="",0,MAX(0,MIN(1,(IF(BY423="L1",Parameter!$E$5,Parameter!$E$6+Parameter!$E$7)-(BB423-AX423))/AX423)))</f>
        <v>1</v>
      </c>
      <c r="BD423" s="55" t="str">
        <f aca="false">IF(AH423&lt;=0,"",IF(BY423="Aussen","Aussenlager",IF(BY423="-","Nicht im Lift",IF(AM423&gt;=1,"Lift",IF(AM423&lt;=0,"Aussenlager","teilweise")))))</f>
        <v>Lift</v>
      </c>
      <c r="BE423" s="55" t="str">
        <f aca="false">IF(AP423&lt;=0,"",IF(BY423="Aussen","Aussenlager",IF(BY423="-","Nicht im Lift",IF(AU423&gt;=1,"Lift",IF(AU423&lt;=0,"Aussenlager","teilweise")))))</f>
        <v>Lift</v>
      </c>
      <c r="BF423" s="55" t="str">
        <f aca="false">IF(AX423&lt;=0,"",IF(BY423="Aussen","Aussenlager",IF(BY423="-","Nicht im Lift",IF(BC423&gt;=1,"Lift",IF(BC423&lt;=0,"Aussenlager","teilweise")))))</f>
        <v>Lift</v>
      </c>
      <c r="BG423" s="55" t="str">
        <f aca="false">IF(A423="","",IF(BP423=1,"Neu; ","")&amp;IF(AND(BP423=0,BK423&lt;0),"negativer Bestand (Export "&amp;BK423&amp;"); ","")&amp;IF(J423&lt;=0,"Kein Verbrauch; ","")&amp;IF(CH423&gt;0,"Lift "&amp;W423&amp;" lt. Liftbericht (Fach "&amp;X423&amp;" Stk); ",IF(BU423=1,"Gebinde geschätzt ("&amp;T423&amp;"); ",IF(BT423=1,"Lose – Tablare geschätzt; ","")))&amp;IF(H423&gt;AR423,"Überbestand "&amp;ROUND(H423-AR423,0)&amp;" Stk / CHF "&amp;ROUND((H423-AR423)*G423,0)&amp;"; ","")&amp;IF(AND(CA423=1,CB423&lt;CC423),"MAX &lt; MB+LG; ","")&amp;IF(AND(CG423&gt;0,CF423*10&gt;CG423),"zu hoch für Tablar; ","")&amp;IF(AND(BP423=0,OR(CA423=1,AA423&lt;&gt;"",U423&lt;&gt;"",V423&lt;&gt;"",AB423&lt;&gt;"")),"manuell übersteuert; ","")&amp;IF(AND(BT423=0,R423=0),"Gebinde unbekannt / Stellmass fehlt; ","")&amp;IF(AND(BT423=0,N(V423)&lt;=0,N(Q423)&lt;=0),"Menge pro Gebinde fehlt (Ist = 1 Gebinde); ","")&amp;BO423)</f>
        <v>liegend gelagert</v>
      </c>
      <c r="BH423" s="55"/>
      <c r="BI423" s="55"/>
      <c r="BJ423" s="62"/>
      <c r="BK423" s="57" t="n">
        <v>7</v>
      </c>
      <c r="BL423" s="57" t="n">
        <v>2</v>
      </c>
      <c r="BM423" s="56" t="n">
        <v>91.76</v>
      </c>
      <c r="BN423" s="57" t="n">
        <v>1</v>
      </c>
      <c r="BO423" s="55" t="s">
        <v>975</v>
      </c>
      <c r="BP423" s="60" t="n">
        <v>0</v>
      </c>
      <c r="BQ423" s="60" t="n">
        <v>423</v>
      </c>
      <c r="BR423" s="55" t="str">
        <f aca="false">IF(U423&lt;&gt;"",UPPER(TRIM(U423)),IF(BU423=1,UPPER(VLOOKUP(T423,Parameter!$I$27:$K$29,2,0)),IF(P423="","LOSE",P423)))</f>
        <v>S51</v>
      </c>
      <c r="BS423" s="57" t="n">
        <f aca="false">IF(BR423="LOSE",1,IF(N(V423)&gt;0,V423,IF(BU423=1,MAX(1,N(VLOOKUP(T423,Parameter!$I$27:$K$29,3,0)),H423,N(N423)),IF(N(Q423)&gt;0,Q423,MAX(1,H423)))))</f>
        <v>9</v>
      </c>
      <c r="BT423" s="60" t="n">
        <f aca="false">IF(BR423="LOSE",1,0)</f>
        <v>0</v>
      </c>
      <c r="BU423" s="60" t="n">
        <f aca="false">IF(AND(U423="",OR(P423="",P423="LOSE"),T423&lt;&gt;"",N(S423)&lt;=0,ISNUMBER(MATCH(T423,Parameter!$I$27:$I$29,0))),1,0)</f>
        <v>0</v>
      </c>
      <c r="BV423" s="55" t="str">
        <f aca="false">IF(AND(Parameter!$B$19="Ja",E423&lt;&gt;"",ISNUMBER(MATCH(E423,Parameter!$I$35:$I$52,0))),VLOOKUP(E423,Parameter!$I$35:$J$52,2,0),IFERROR(VLOOKUP(D423,Parameter!$A$35:$C$64,2,0),"Nein"))</f>
        <v>2+3</v>
      </c>
      <c r="BW423" s="59" t="n">
        <f aca="false">IF(BT423=0,0,IF(N(S423)&gt;0,S423,IFERROR(VLOOKUP(D423,Parameter!$A$35:$C$64,3,0)+0,0)))</f>
        <v>0</v>
      </c>
      <c r="BX423" s="55" t="n">
        <f aca="false">IF(AA423&lt;&gt;"",AA423,Z423)</f>
        <v>3</v>
      </c>
      <c r="BY423" s="55" t="str">
        <f aca="false">IF(BX423=1,"L1",IF(OR(BX423=2,BX423=3),"L23",IF(BX423="Aussen","Aussen","-")))</f>
        <v>L23</v>
      </c>
      <c r="BZ423" s="66" t="n">
        <f aca="false">IF(N(AB423)&gt;0,AB423,0)</f>
        <v>0</v>
      </c>
      <c r="CA423" s="60" t="n">
        <f aca="false">IF(ISNUMBER(AE423),1,0)</f>
        <v>0</v>
      </c>
      <c r="CB423" s="57" t="n">
        <f aca="false">N(AE423)</f>
        <v>0</v>
      </c>
      <c r="CC423" s="57" t="n">
        <f aca="false">N(M423)+N(N423)</f>
        <v>6</v>
      </c>
      <c r="CD423" s="57" t="n">
        <f aca="false">ROUNDUP(H423/BS423,0)</f>
        <v>1</v>
      </c>
      <c r="CE423" s="57" t="n">
        <f aca="false">ROUNDUP(CB423/BS423,0)</f>
        <v>0</v>
      </c>
      <c r="CF423" s="60" t="n">
        <f aca="false">IF(BT423=1,0,IFERROR(VLOOKUP(BR423,'Gebinde-Kategorie'!$A$5:$M$45,5,0)+0,0))</f>
        <v>11</v>
      </c>
      <c r="CG423" s="60" t="n">
        <f aca="false">IFERROR(IF(OR(BX423=1,BX423=2,BX423=3),N(INDEX(Parameter!$I$5:$I$7,BX423)),0),0)</f>
        <v>0</v>
      </c>
      <c r="CH423" s="59" t="n">
        <f aca="false">IF(AND(Parameter!$B$21="Ja",ISNUMBER(W423),N(X423)&gt;0),IFERROR(N(INDEX(Parameter!$L$5:$L$7,W423))*INDEX(Parameter!$E$5:$E$7,W423)*X423/SUMIFS($X$7:$X$1843,$W$7:$W$1843,W423),0),0)</f>
        <v>0</v>
      </c>
    </row>
    <row r="424" customFormat="false" ht="15" hidden="false" customHeight="false" outlineLevel="0" collapsed="false">
      <c r="A424" s="55" t="s">
        <v>976</v>
      </c>
      <c r="B424" s="55" t="s">
        <v>977</v>
      </c>
      <c r="C424" s="55" t="s">
        <v>164</v>
      </c>
      <c r="D424" s="55" t="s">
        <v>184</v>
      </c>
      <c r="E424" s="55" t="s">
        <v>185</v>
      </c>
      <c r="F424" s="55" t="s">
        <v>218</v>
      </c>
      <c r="G424" s="56" t="n">
        <v>2.67</v>
      </c>
      <c r="H424" s="57" t="n">
        <f aca="false">MAX(0,IF(AND(Parameter!$B$21="Ja",ISNUMBER(Y424)),Y424,IF(Parameter!$B$20="Jahresanfang 2025 + Export",BL424+BK424,BK424)))</f>
        <v>45</v>
      </c>
      <c r="I424" s="57" t="n">
        <f aca="false">H424*G424</f>
        <v>120.15</v>
      </c>
      <c r="J424" s="57" t="n">
        <f aca="false">BN424*Parameter!$B$18</f>
        <v>13</v>
      </c>
      <c r="K424" s="58" t="n">
        <v>19.5</v>
      </c>
      <c r="L424" s="59" t="n">
        <v>0.666666666666667</v>
      </c>
      <c r="M424" s="57" t="n">
        <v>0</v>
      </c>
      <c r="N424" s="57" t="n">
        <v>20</v>
      </c>
      <c r="O424" s="60" t="n">
        <v>14</v>
      </c>
      <c r="P424" s="55" t="s">
        <v>421</v>
      </c>
      <c r="Q424" s="57" t="n">
        <v>35</v>
      </c>
      <c r="R424" s="60" t="n">
        <f aca="false">IF(BT424=1,0,IFERROR(VLOOKUP(BR424,'Gebinde-Kategorie'!$A$5:$M$45,13,0)+0,0))</f>
        <v>132</v>
      </c>
      <c r="S424" s="61"/>
      <c r="T424" s="62"/>
      <c r="U424" s="62"/>
      <c r="V424" s="62"/>
      <c r="W424" s="55"/>
      <c r="X424" s="57"/>
      <c r="Y424" s="57"/>
      <c r="Z424" s="55" t="n">
        <f aca="false">IF(A424="","",IF(AND(Parameter!$B$21="Ja",ISNUMBER(W424)),W424,IF(BV424="2+3",IF(ISNUMBER(SEARCH("grosser Artikel",BO424)),2,IFERROR(VLOOKUP(BR424,Parameter!$F$35:$G$64,2,0),2)),IF(OR(BV424="Nein",BV424=""),"-",BV424))))</f>
        <v>3</v>
      </c>
      <c r="AA424" s="62"/>
      <c r="AB424" s="63"/>
      <c r="AC424" s="57" t="n">
        <f aca="false">AR424</f>
        <v>35</v>
      </c>
      <c r="AD424" s="57" t="n">
        <f aca="false">MAX(AR424,H424)</f>
        <v>45</v>
      </c>
      <c r="AE424" s="64"/>
      <c r="AF424" s="57" t="n">
        <f aca="false">IF(LEFT(Cockpit!$C$5,1)="A",H424,IF(CA424=1,CB424,IF(LEFT(Cockpit!$C$5,1)="B",AJ424,MAX(AJ424,H424))))</f>
        <v>45</v>
      </c>
      <c r="AG424" s="57" t="n">
        <f aca="false">IF(BT424=1,0,ROUNDUP(AF424/BS424,0))</f>
        <v>2</v>
      </c>
      <c r="AH424" s="59" t="n">
        <f aca="false">IF(CH424&gt;0,CH424*MAX(1,AF424/X424),IF(BT424=1,IF(AF424&lt;=0,0,BW424*MAX(1,IF(H424&gt;0,AF424/H424,1))),IF(R424&gt;0,AG424/R424,0))/MAX(0.1,N(Parameter!$M$21)))</f>
        <v>0.0151515151515152</v>
      </c>
      <c r="AI424" s="57" t="n">
        <f aca="false">AF424*G424</f>
        <v>120.15</v>
      </c>
      <c r="AJ424" s="57" t="n">
        <f aca="false">ROUNDUP(MAX(J424/IF(BZ424&gt;0,BZ424,MAX(0.1,N(Cockpit!$C$6))),CC424)/BS424,0)*BS424</f>
        <v>35</v>
      </c>
      <c r="AK424" s="58" t="n">
        <f aca="false">IF(AH424&gt;0,J424/AH424,-1)</f>
        <v>858</v>
      </c>
      <c r="AL424" s="58" t="n">
        <f aca="false">IF(AND(OR(BY424="L1",BY424="L23"),AH424&gt;0),SUMIFS($AH$7:$AH$1843,$BY$7:$BY$1843,BY424,$AK$7:$AK$1843,"&gt;"&amp;AK424)+SUMIFS($AH$7:$AH$1843,$BY$7:$BY$1843,BY424,$AK$7:$AK$1843,AK424,$BQ$7:$BQ$1843,"&lt;="&amp;BQ424),"")</f>
        <v>20.5567379480423</v>
      </c>
      <c r="AM424" s="65" t="n">
        <f aca="false">IF(AL424="",0,MAX(0,MIN(1,(IF(BY424="L1",Parameter!$E$5,Parameter!$E$6+Parameter!$E$7)-(AL424-AH424))/AH424)))</f>
        <v>1</v>
      </c>
      <c r="AN424" s="57" t="n">
        <f aca="false">IF(LEFT(Cockpit!$I$5,1)="A",H424,IF(CA424=1,CB424,IF(LEFT(Cockpit!$I$5,1)="B",AR424,MAX(AR424,H424))))</f>
        <v>45</v>
      </c>
      <c r="AO424" s="57" t="n">
        <f aca="false">IF(BT424=1,0,ROUNDUP(AN424/BS424,0))</f>
        <v>2</v>
      </c>
      <c r="AP424" s="59" t="n">
        <f aca="false">IF(CH424&gt;0,CH424*MAX(1,AN424/X424),IF(BT424=1,IF(AN424&lt;=0,0,BW424*MAX(1,IF(H424&gt;0,AN424/H424,1))),IF(R424&gt;0,AO424/R424,0))/MAX(0.1,N(Parameter!$M$21)))</f>
        <v>0.0151515151515152</v>
      </c>
      <c r="AQ424" s="57" t="n">
        <f aca="false">AN424*G424</f>
        <v>120.15</v>
      </c>
      <c r="AR424" s="57" t="n">
        <f aca="false">ROUNDUP(MAX(J424/IF(BZ424&gt;0,BZ424,MAX(0.1,N(Cockpit!$I$6))),CC424)/BS424,0)*BS424</f>
        <v>35</v>
      </c>
      <c r="AS424" s="58" t="n">
        <f aca="false">IF(AP424&gt;0,J424/AP424,-1)</f>
        <v>858</v>
      </c>
      <c r="AT424" s="58" t="n">
        <f aca="false">IF(AND(OR(BY424="L1",BY424="L23"),AP424&gt;0),SUMIFS($AP$7:$AP$1843,$BY$7:$BY$1843,BY424,$AS$7:$AS$1843,"&gt;"&amp;AS424)+SUMIFS($AP$7:$AP$1843,$BY$7:$BY$1843,BY424,$AS$7:$AS$1843,AS424,$BQ$7:$BQ$1843,"&lt;="&amp;BQ424),"")</f>
        <v>25.5125164690382</v>
      </c>
      <c r="AU424" s="65" t="n">
        <f aca="false">IF(AT424="",0,MAX(0,MIN(1,(IF(BY424="L1",Parameter!$E$5,Parameter!$E$6+Parameter!$E$7)-(AT424-AP424))/AP424)))</f>
        <v>1</v>
      </c>
      <c r="AV424" s="57" t="n">
        <f aca="false">IF(LEFT(Cockpit!$O$5,1)="A",H424,IF(CA424=1,CB424,IF(LEFT(Cockpit!$O$5,1)="B",AZ424,MAX(AZ424,H424))))</f>
        <v>45</v>
      </c>
      <c r="AW424" s="57" t="n">
        <f aca="false">IF(BT424=1,0,ROUNDUP(AV424/BS424,0))</f>
        <v>2</v>
      </c>
      <c r="AX424" s="59" t="n">
        <f aca="false">IF(CH424&gt;0,CH424*MAX(1,AV424/X424),IF(BT424=1,IF(AV424&lt;=0,0,BW424*MAX(1,IF(H424&gt;0,AV424/H424,1))),IF(R424&gt;0,AW424/R424,0))/MAX(0.1,N(Parameter!$M$21)))</f>
        <v>0.0151515151515152</v>
      </c>
      <c r="AY424" s="57" t="n">
        <f aca="false">AV424*G424</f>
        <v>120.15</v>
      </c>
      <c r="AZ424" s="57" t="n">
        <f aca="false">ROUNDUP(MAX(J424/IF(BZ424&gt;0,BZ424,MAX(0.1,N(Cockpit!$O$6))),CC424)/BS424,0)*BS424</f>
        <v>35</v>
      </c>
      <c r="BA424" s="58" t="n">
        <f aca="false">IF(AX424&gt;0,J424/AX424,-1)</f>
        <v>858</v>
      </c>
      <c r="BB424" s="58" t="n">
        <f aca="false">IF(AND(OR(BY424="L1",BY424="L23"),AX424&gt;0),SUMIFS($AX$7:$AX$1843,$BY$7:$BY$1843,BY424,$BA$7:$BA$1843,"&gt;"&amp;BA424)+SUMIFS($AX$7:$AX$1843,$BY$7:$BY$1843,BY424,$BA$7:$BA$1843,BA424,$BQ$7:$BQ$1843,"&lt;="&amp;BQ424),"")</f>
        <v>25.6308148373366</v>
      </c>
      <c r="BC424" s="65" t="n">
        <f aca="false">IF(BB424="",0,MAX(0,MIN(1,(IF(BY424="L1",Parameter!$E$5,Parameter!$E$6+Parameter!$E$7)-(BB424-AX424))/AX424)))</f>
        <v>1</v>
      </c>
      <c r="BD424" s="55" t="str">
        <f aca="false">IF(AH424&lt;=0,"",IF(BY424="Aussen","Aussenlager",IF(BY424="-","Nicht im Lift",IF(AM424&gt;=1,"Lift",IF(AM424&lt;=0,"Aussenlager","teilweise")))))</f>
        <v>Lift</v>
      </c>
      <c r="BE424" s="55" t="str">
        <f aca="false">IF(AP424&lt;=0,"",IF(BY424="Aussen","Aussenlager",IF(BY424="-","Nicht im Lift",IF(AU424&gt;=1,"Lift",IF(AU424&lt;=0,"Aussenlager","teilweise")))))</f>
        <v>Lift</v>
      </c>
      <c r="BF424" s="55" t="str">
        <f aca="false">IF(AX424&lt;=0,"",IF(BY424="Aussen","Aussenlager",IF(BY424="-","Nicht im Lift",IF(BC424&gt;=1,"Lift",IF(BC424&lt;=0,"Aussenlager","teilweise")))))</f>
        <v>Lift</v>
      </c>
      <c r="BG424" s="55" t="str">
        <f aca="false">IF(A424="","",IF(BP424=1,"Neu; ","")&amp;IF(AND(BP424=0,BK424&lt;0),"negativer Bestand (Export "&amp;BK424&amp;"); ","")&amp;IF(J424&lt;=0,"Kein Verbrauch; ","")&amp;IF(CH424&gt;0,"Lift "&amp;W424&amp;" lt. Liftbericht (Fach "&amp;X424&amp;" Stk); ",IF(BU424=1,"Gebinde geschätzt ("&amp;T424&amp;"); ",IF(BT424=1,"Lose – Tablare geschätzt; ","")))&amp;IF(H424&gt;AR424,"Überbestand "&amp;ROUND(H424-AR424,0)&amp;" Stk / CHF "&amp;ROUND((H424-AR424)*G424,0)&amp;"; ","")&amp;IF(AND(CA424=1,CB424&lt;CC424),"MAX &lt; MB+LG; ","")&amp;IF(AND(CG424&gt;0,CF424*10&gt;CG424),"zu hoch für Tablar; ","")&amp;IF(AND(BP424=0,OR(CA424=1,AA424&lt;&gt;"",U424&lt;&gt;"",V424&lt;&gt;"",AB424&lt;&gt;"")),"manuell übersteuert; ","")&amp;IF(AND(BT424=0,R424=0),"Gebinde unbekannt / Stellmass fehlt; ","")&amp;IF(AND(BT424=0,N(V424)&lt;=0,N(Q424)&lt;=0),"Menge pro Gebinde fehlt (Ist = 1 Gebinde); ","")&amp;BO424)</f>
        <v>Überbestand 10 Stk / CHF 27; </v>
      </c>
      <c r="BH424" s="55"/>
      <c r="BI424" s="55"/>
      <c r="BJ424" s="62"/>
      <c r="BK424" s="57" t="n">
        <v>34</v>
      </c>
      <c r="BL424" s="57" t="n">
        <v>11</v>
      </c>
      <c r="BM424" s="56" t="n">
        <v>90.23</v>
      </c>
      <c r="BN424" s="57" t="n">
        <v>13</v>
      </c>
      <c r="BO424" s="55"/>
      <c r="BP424" s="60" t="n">
        <v>0</v>
      </c>
      <c r="BQ424" s="60" t="n">
        <v>424</v>
      </c>
      <c r="BR424" s="55" t="str">
        <f aca="false">IF(U424&lt;&gt;"",UPPER(TRIM(U424)),IF(BU424=1,UPPER(VLOOKUP(T424,Parameter!$I$27:$K$29,2,0)),IF(P424="","LOSE",P424)))</f>
        <v>S32</v>
      </c>
      <c r="BS424" s="57" t="n">
        <f aca="false">IF(BR424="LOSE",1,IF(N(V424)&gt;0,V424,IF(BU424=1,MAX(1,N(VLOOKUP(T424,Parameter!$I$27:$K$29,3,0)),H424,N(N424)),IF(N(Q424)&gt;0,Q424,MAX(1,H424)))))</f>
        <v>35</v>
      </c>
      <c r="BT424" s="60" t="n">
        <f aca="false">IF(BR424="LOSE",1,0)</f>
        <v>0</v>
      </c>
      <c r="BU424" s="60" t="n">
        <f aca="false">IF(AND(U424="",OR(P424="",P424="LOSE"),T424&lt;&gt;"",N(S424)&lt;=0,ISNUMBER(MATCH(T424,Parameter!$I$27:$I$29,0))),1,0)</f>
        <v>0</v>
      </c>
      <c r="BV424" s="55" t="str">
        <f aca="false">IF(AND(Parameter!$B$19="Ja",E424&lt;&gt;"",ISNUMBER(MATCH(E424,Parameter!$I$35:$I$52,0))),VLOOKUP(E424,Parameter!$I$35:$J$52,2,0),IFERROR(VLOOKUP(D424,Parameter!$A$35:$C$64,2,0),"Nein"))</f>
        <v>2+3</v>
      </c>
      <c r="BW424" s="59" t="n">
        <f aca="false">IF(BT424=0,0,IF(N(S424)&gt;0,S424,IFERROR(VLOOKUP(D424,Parameter!$A$35:$C$64,3,0)+0,0)))</f>
        <v>0</v>
      </c>
      <c r="BX424" s="55" t="n">
        <f aca="false">IF(AA424&lt;&gt;"",AA424,Z424)</f>
        <v>3</v>
      </c>
      <c r="BY424" s="55" t="str">
        <f aca="false">IF(BX424=1,"L1",IF(OR(BX424=2,BX424=3),"L23",IF(BX424="Aussen","Aussen","-")))</f>
        <v>L23</v>
      </c>
      <c r="BZ424" s="66" t="n">
        <f aca="false">IF(N(AB424)&gt;0,AB424,0)</f>
        <v>0</v>
      </c>
      <c r="CA424" s="60" t="n">
        <f aca="false">IF(ISNUMBER(AE424),1,0)</f>
        <v>0</v>
      </c>
      <c r="CB424" s="57" t="n">
        <f aca="false">N(AE424)</f>
        <v>0</v>
      </c>
      <c r="CC424" s="57" t="n">
        <f aca="false">N(M424)+N(N424)</f>
        <v>20</v>
      </c>
      <c r="CD424" s="57" t="n">
        <f aca="false">ROUNDUP(H424/BS424,0)</f>
        <v>2</v>
      </c>
      <c r="CE424" s="57" t="n">
        <f aca="false">ROUNDUP(CB424/BS424,0)</f>
        <v>0</v>
      </c>
      <c r="CF424" s="60" t="n">
        <f aca="false">IF(BT424=1,0,IFERROR(VLOOKUP(BR424,'Gebinde-Kategorie'!$A$5:$M$45,5,0)+0,0))</f>
        <v>8</v>
      </c>
      <c r="CG424" s="60" t="n">
        <f aca="false">IFERROR(IF(OR(BX424=1,BX424=2,BX424=3),N(INDEX(Parameter!$I$5:$I$7,BX424)),0),0)</f>
        <v>0</v>
      </c>
      <c r="CH424" s="59" t="n">
        <f aca="false">IF(AND(Parameter!$B$21="Ja",ISNUMBER(W424),N(X424)&gt;0),IFERROR(N(INDEX(Parameter!$L$5:$L$7,W424))*INDEX(Parameter!$E$5:$E$7,W424)*X424/SUMIFS($X$7:$X$1843,$W$7:$W$1843,W424),0),0)</f>
        <v>0</v>
      </c>
    </row>
    <row r="425" customFormat="false" ht="15" hidden="false" customHeight="false" outlineLevel="0" collapsed="false">
      <c r="A425" s="55" t="s">
        <v>978</v>
      </c>
      <c r="B425" s="55" t="s">
        <v>979</v>
      </c>
      <c r="C425" s="55" t="s">
        <v>164</v>
      </c>
      <c r="D425" s="55" t="s">
        <v>173</v>
      </c>
      <c r="E425" s="55" t="s">
        <v>185</v>
      </c>
      <c r="F425" s="55" t="s">
        <v>218</v>
      </c>
      <c r="G425" s="56" t="n">
        <v>74.27</v>
      </c>
      <c r="H425" s="57" t="n">
        <f aca="false">MAX(0,IF(AND(Parameter!$B$21="Ja",ISNUMBER(Y425)),Y425,IF(Parameter!$B$20="Jahresanfang 2025 + Export",BL425+BK425,BK425)))</f>
        <v>3</v>
      </c>
      <c r="I425" s="57" t="n">
        <f aca="false">H425*G425</f>
        <v>222.81</v>
      </c>
      <c r="J425" s="57" t="n">
        <f aca="false">BN425*Parameter!$B$18</f>
        <v>26</v>
      </c>
      <c r="K425" s="58" t="n">
        <v>1.5</v>
      </c>
      <c r="L425" s="59" t="n">
        <v>17.3333333333333</v>
      </c>
      <c r="M425" s="57" t="n">
        <v>2</v>
      </c>
      <c r="N425" s="57" t="n">
        <v>2</v>
      </c>
      <c r="O425" s="60" t="n">
        <v>21</v>
      </c>
      <c r="P425" s="55" t="s">
        <v>168</v>
      </c>
      <c r="Q425" s="57"/>
      <c r="R425" s="60" t="n">
        <f aca="false">IF(BT425=1,0,IFERROR(VLOOKUP(BR425,'Gebinde-Kategorie'!$A$5:$M$45,13,0)+0,0))</f>
        <v>3</v>
      </c>
      <c r="S425" s="61"/>
      <c r="T425" s="62" t="s">
        <v>189</v>
      </c>
      <c r="U425" s="62"/>
      <c r="V425" s="62"/>
      <c r="W425" s="55"/>
      <c r="X425" s="57"/>
      <c r="Y425" s="57"/>
      <c r="Z425" s="55" t="n">
        <f aca="false">IF(A425="","",IF(AND(Parameter!$B$21="Ja",ISNUMBER(W425)),W425,IF(BV425="2+3",IF(ISNUMBER(SEARCH("grosser Artikel",BO425)),2,IFERROR(VLOOKUP(BR425,Parameter!$F$35:$G$64,2,0),2)),IF(OR(BV425="Nein",BV425=""),"-",BV425))))</f>
        <v>2</v>
      </c>
      <c r="AA425" s="62"/>
      <c r="AB425" s="63"/>
      <c r="AC425" s="57" t="n">
        <f aca="false">AR425</f>
        <v>15</v>
      </c>
      <c r="AD425" s="57" t="n">
        <f aca="false">MAX(AR425,H425)</f>
        <v>15</v>
      </c>
      <c r="AE425" s="64"/>
      <c r="AF425" s="57" t="n">
        <f aca="false">IF(LEFT(Cockpit!$C$5,1)="A",H425,IF(CA425=1,CB425,IF(LEFT(Cockpit!$C$5,1)="B",AJ425,MAX(AJ425,H425))))</f>
        <v>3</v>
      </c>
      <c r="AG425" s="57" t="n">
        <f aca="false">IF(BT425=1,0,ROUNDUP(AF425/BS425,0))</f>
        <v>1</v>
      </c>
      <c r="AH425" s="59" t="n">
        <f aca="false">IF(CH425&gt;0,CH425*MAX(1,AF425/X425),IF(BT425=1,IF(AF425&lt;=0,0,BW425*MAX(1,IF(H425&gt;0,AF425/H425,1))),IF(R425&gt;0,AG425/R425,0))/MAX(0.1,N(Parameter!$M$21)))</f>
        <v>0.333333333333333</v>
      </c>
      <c r="AI425" s="57" t="n">
        <f aca="false">AF425*G425</f>
        <v>222.81</v>
      </c>
      <c r="AJ425" s="57" t="n">
        <f aca="false">ROUNDUP(MAX(J425/IF(BZ425&gt;0,BZ425,MAX(0.1,N(Cockpit!$C$6))),CC425)/BS425,0)*BS425</f>
        <v>15</v>
      </c>
      <c r="AK425" s="58" t="n">
        <f aca="false">IF(AH425&gt;0,J425/AH425,-1)</f>
        <v>78</v>
      </c>
      <c r="AL425" s="58" t="n">
        <f aca="false">IF(AND(OR(BY425="L1",BY425="L23"),AH425&gt;0),SUMIFS($AH$7:$AH$1843,$BY$7:$BY$1843,BY425,$AK$7:$AK$1843,"&gt;"&amp;AK425)+SUMIFS($AH$7:$AH$1843,$BY$7:$BY$1843,BY425,$AK$7:$AK$1843,AK425,$BQ$7:$BQ$1843,"&lt;="&amp;BQ425),"")</f>
        <v>41.3976217019695</v>
      </c>
      <c r="AM425" s="65" t="n">
        <f aca="false">IF(AL425="",0,MAX(0,MIN(1,(IF(BY425="L1",Parameter!$E$5,Parameter!$E$6+Parameter!$E$7)-(AL425-AH425))/AH425)))</f>
        <v>1</v>
      </c>
      <c r="AN425" s="57" t="n">
        <f aca="false">IF(LEFT(Cockpit!$I$5,1)="A",H425,IF(CA425=1,CB425,IF(LEFT(Cockpit!$I$5,1)="B",AR425,MAX(AR425,H425))))</f>
        <v>15</v>
      </c>
      <c r="AO425" s="57" t="n">
        <f aca="false">IF(BT425=1,0,ROUNDUP(AN425/BS425,0))</f>
        <v>5</v>
      </c>
      <c r="AP425" s="59" t="n">
        <f aca="false">IF(CH425&gt;0,CH425*MAX(1,AN425/X425),IF(BT425=1,IF(AN425&lt;=0,0,BW425*MAX(1,IF(H425&gt;0,AN425/H425,1))),IF(R425&gt;0,AO425/R425,0))/MAX(0.1,N(Parameter!$M$21)))</f>
        <v>1.66666666666667</v>
      </c>
      <c r="AQ425" s="57" t="n">
        <f aca="false">AN425*G425</f>
        <v>1114.05</v>
      </c>
      <c r="AR425" s="57" t="n">
        <f aca="false">ROUNDUP(MAX(J425/IF(BZ425&gt;0,BZ425,MAX(0.1,N(Cockpit!$I$6))),CC425)/BS425,0)*BS425</f>
        <v>15</v>
      </c>
      <c r="AS425" s="58" t="n">
        <f aca="false">IF(AP425&gt;0,J425/AP425,-1)</f>
        <v>15.6</v>
      </c>
      <c r="AT425" s="58" t="n">
        <f aca="false">IF(AND(OR(BY425="L1",BY425="L23"),AP425&gt;0),SUMIFS($AP$7:$AP$1843,$BY$7:$BY$1843,BY425,$AS$7:$AS$1843,"&gt;"&amp;AS425)+SUMIFS($AP$7:$AP$1843,$BY$7:$BY$1843,BY425,$AS$7:$AS$1843,AS425,$BQ$7:$BQ$1843,"&lt;="&amp;BQ425),"")</f>
        <v>80.0123053275227</v>
      </c>
      <c r="AU425" s="65" t="n">
        <f aca="false">IF(AT425="",0,MAX(0,MIN(1,(IF(BY425="L1",Parameter!$E$5,Parameter!$E$6+Parameter!$E$7)-(AT425-AP425))/AP425)))</f>
        <v>1</v>
      </c>
      <c r="AV425" s="57" t="n">
        <f aca="false">IF(LEFT(Cockpit!$O$5,1)="A",H425,IF(CA425=1,CB425,IF(LEFT(Cockpit!$O$5,1)="B",AZ425,MAX(AZ425,H425))))</f>
        <v>9</v>
      </c>
      <c r="AW425" s="57" t="n">
        <f aca="false">IF(BT425=1,0,ROUNDUP(AV425/BS425,0))</f>
        <v>3</v>
      </c>
      <c r="AX425" s="59" t="n">
        <f aca="false">IF(CH425&gt;0,CH425*MAX(1,AV425/X425),IF(BT425=1,IF(AV425&lt;=0,0,BW425*MAX(1,IF(H425&gt;0,AV425/H425,1))),IF(R425&gt;0,AW425/R425,0))/MAX(0.1,N(Parameter!$M$21)))</f>
        <v>1</v>
      </c>
      <c r="AY425" s="57" t="n">
        <f aca="false">AV425*G425</f>
        <v>668.43</v>
      </c>
      <c r="AZ425" s="57" t="n">
        <f aca="false">ROUNDUP(MAX(J425/IF(BZ425&gt;0,BZ425,MAX(0.1,N(Cockpit!$O$6))),CC425)/BS425,0)*BS425</f>
        <v>9</v>
      </c>
      <c r="BA425" s="58" t="n">
        <f aca="false">IF(AX425&gt;0,J425/AX425,-1)</f>
        <v>26</v>
      </c>
      <c r="BB425" s="58" t="n">
        <f aca="false">IF(AND(OR(BY425="L1",BY425="L23"),AX425&gt;0),SUMIFS($AX$7:$AX$1843,$BY$7:$BY$1843,BY425,$BA$7:$BA$1843,"&gt;"&amp;BA425)+SUMIFS($AX$7:$AX$1843,$BY$7:$BY$1843,BY425,$BA$7:$BA$1843,BA425,$BQ$7:$BQ$1843,"&lt;="&amp;BQ425),"")</f>
        <v>68.8998344650519</v>
      </c>
      <c r="BC425" s="65" t="n">
        <f aca="false">IF(BB425="",0,MAX(0,MIN(1,(IF(BY425="L1",Parameter!$E$5,Parameter!$E$6+Parameter!$E$7)-(BB425-AX425))/AX425)))</f>
        <v>1</v>
      </c>
      <c r="BD425" s="55" t="str">
        <f aca="false">IF(AH425&lt;=0,"",IF(BY425="Aussen","Aussenlager",IF(BY425="-","Nicht im Lift",IF(AM425&gt;=1,"Lift",IF(AM425&lt;=0,"Aussenlager","teilweise")))))</f>
        <v>Lift</v>
      </c>
      <c r="BE425" s="55" t="str">
        <f aca="false">IF(AP425&lt;=0,"",IF(BY425="Aussen","Aussenlager",IF(BY425="-","Nicht im Lift",IF(AU425&gt;=1,"Lift",IF(AU425&lt;=0,"Aussenlager","teilweise")))))</f>
        <v>Lift</v>
      </c>
      <c r="BF425" s="55" t="str">
        <f aca="false">IF(AX425&lt;=0,"",IF(BY425="Aussen","Aussenlager",IF(BY425="-","Nicht im Lift",IF(BC425&gt;=1,"Lift",IF(BC425&lt;=0,"Aussenlager","teilweise")))))</f>
        <v>Lift</v>
      </c>
      <c r="BG425" s="55" t="str">
        <f aca="false">IF(A425="","",IF(BP425=1,"Neu; ","")&amp;IF(AND(BP425=0,BK425&lt;0),"negativer Bestand (Export "&amp;BK425&amp;"); ","")&amp;IF(J425&lt;=0,"Kein Verbrauch; ","")&amp;IF(CH425&gt;0,"Lift "&amp;W425&amp;" lt. Liftbericht (Fach "&amp;X425&amp;" Stk); ",IF(BU425=1,"Gebinde geschätzt ("&amp;T425&amp;"); ",IF(BT425=1,"Lose – Tablare geschätzt; ","")))&amp;IF(H425&gt;AR425,"Überbestand "&amp;ROUND(H425-AR425,0)&amp;" Stk / CHF "&amp;ROUND((H425-AR425)*G425,0)&amp;"; ","")&amp;IF(AND(CA425=1,CB425&lt;CC425),"MAX &lt; MB+LG; ","")&amp;IF(AND(CG425&gt;0,CF425*10&gt;CG425),"zu hoch für Tablar; ","")&amp;IF(AND(BP425=0,OR(CA425=1,AA425&lt;&gt;"",U425&lt;&gt;"",V425&lt;&gt;"",AB425&lt;&gt;"")),"manuell übersteuert; ","")&amp;IF(AND(BT425=0,R425=0),"Gebinde unbekannt / Stellmass fehlt; ","")&amp;IF(AND(BT425=0,N(V425)&lt;=0,N(Q425)&lt;=0),"Menge pro Gebinde fehlt (Ist = 1 Gebinde); ","")&amp;BO425)</f>
        <v>Gebinde geschätzt (Gross); Menge pro Gebinde fehlt (Ist = 1 Gebinde); grosser Artikel &amp; nicht im KTL</v>
      </c>
      <c r="BH425" s="55"/>
      <c r="BI425" s="55"/>
      <c r="BJ425" s="62"/>
      <c r="BK425" s="57" t="n">
        <v>1</v>
      </c>
      <c r="BL425" s="57" t="n">
        <v>2</v>
      </c>
      <c r="BM425" s="56" t="n">
        <v>90.0999999999997</v>
      </c>
      <c r="BN425" s="57" t="n">
        <v>26</v>
      </c>
      <c r="BO425" s="55" t="s">
        <v>261</v>
      </c>
      <c r="BP425" s="60" t="n">
        <v>0</v>
      </c>
      <c r="BQ425" s="60" t="n">
        <v>425</v>
      </c>
      <c r="BR425" s="55" t="str">
        <f aca="false">IF(U425&lt;&gt;"",UPPER(TRIM(U425)),IF(BU425=1,UPPER(VLOOKUP(T425,Parameter!$I$27:$K$29,2,0)),IF(P425="","LOSE",P425)))</f>
        <v>S81</v>
      </c>
      <c r="BS425" s="57" t="n">
        <f aca="false">IF(BR425="LOSE",1,IF(N(V425)&gt;0,V425,IF(BU425=1,MAX(1,N(VLOOKUP(T425,Parameter!$I$27:$K$29,3,0)),H425,N(N425)),IF(N(Q425)&gt;0,Q425,MAX(1,H425)))))</f>
        <v>3</v>
      </c>
      <c r="BT425" s="60" t="n">
        <f aca="false">IF(BR425="LOSE",1,0)</f>
        <v>0</v>
      </c>
      <c r="BU425" s="60" t="n">
        <f aca="false">IF(AND(U425="",OR(P425="",P425="LOSE"),T425&lt;&gt;"",N(S425)&lt;=0,ISNUMBER(MATCH(T425,Parameter!$I$27:$I$29,0))),1,0)</f>
        <v>1</v>
      </c>
      <c r="BV425" s="55" t="str">
        <f aca="false">IF(AND(Parameter!$B$19="Ja",E425&lt;&gt;"",ISNUMBER(MATCH(E425,Parameter!$I$35:$I$52,0))),VLOOKUP(E425,Parameter!$I$35:$J$52,2,0),IFERROR(VLOOKUP(D425,Parameter!$A$35:$C$64,2,0),"Nein"))</f>
        <v>2+3</v>
      </c>
      <c r="BW425" s="59" t="n">
        <f aca="false">IF(BT425=0,0,IF(N(S425)&gt;0,S425,IFERROR(VLOOKUP(D425,Parameter!$A$35:$C$64,3,0)+0,0)))</f>
        <v>0</v>
      </c>
      <c r="BX425" s="55" t="n">
        <f aca="false">IF(AA425&lt;&gt;"",AA425,Z425)</f>
        <v>2</v>
      </c>
      <c r="BY425" s="55" t="str">
        <f aca="false">IF(BX425=1,"L1",IF(OR(BX425=2,BX425=3),"L23",IF(BX425="Aussen","Aussen","-")))</f>
        <v>L23</v>
      </c>
      <c r="BZ425" s="66" t="n">
        <f aca="false">IF(N(AB425)&gt;0,AB425,0)</f>
        <v>0</v>
      </c>
      <c r="CA425" s="60" t="n">
        <f aca="false">IF(ISNUMBER(AE425),1,0)</f>
        <v>0</v>
      </c>
      <c r="CB425" s="57" t="n">
        <f aca="false">N(AE425)</f>
        <v>0</v>
      </c>
      <c r="CC425" s="57" t="n">
        <f aca="false">N(M425)+N(N425)</f>
        <v>4</v>
      </c>
      <c r="CD425" s="57" t="n">
        <f aca="false">ROUNDUP(H425/BS425,0)</f>
        <v>1</v>
      </c>
      <c r="CE425" s="57" t="n">
        <f aca="false">ROUNDUP(CB425/BS425,0)</f>
        <v>0</v>
      </c>
      <c r="CF425" s="60" t="n">
        <f aca="false">IF(BT425=1,0,IFERROR(VLOOKUP(BR425,'Gebinde-Kategorie'!$A$5:$M$45,5,0)+0,0))</f>
        <v>20</v>
      </c>
      <c r="CG425" s="60" t="n">
        <f aca="false">IFERROR(IF(OR(BX425=1,BX425=2,BX425=3),N(INDEX(Parameter!$I$5:$I$7,BX425)),0),0)</f>
        <v>0</v>
      </c>
      <c r="CH425" s="59" t="n">
        <f aca="false">IF(AND(Parameter!$B$21="Ja",ISNUMBER(W425),N(X425)&gt;0),IFERROR(N(INDEX(Parameter!$L$5:$L$7,W425))*INDEX(Parameter!$E$5:$E$7,W425)*X425/SUMIFS($X$7:$X$1843,$W$7:$W$1843,W425),0),0)</f>
        <v>0</v>
      </c>
    </row>
    <row r="426" customFormat="false" ht="15" hidden="false" customHeight="false" outlineLevel="0" collapsed="false">
      <c r="A426" s="55" t="s">
        <v>980</v>
      </c>
      <c r="B426" s="55" t="s">
        <v>981</v>
      </c>
      <c r="C426" s="55" t="s">
        <v>164</v>
      </c>
      <c r="D426" s="55" t="s">
        <v>184</v>
      </c>
      <c r="E426" s="55"/>
      <c r="F426" s="55" t="s">
        <v>218</v>
      </c>
      <c r="G426" s="56" t="n">
        <v>0.1</v>
      </c>
      <c r="H426" s="57" t="n">
        <f aca="false">MAX(0,IF(AND(Parameter!$B$21="Ja",ISNUMBER(Y426)),Y426,IF(Parameter!$B$20="Jahresanfang 2025 + Export",BL426+BK426,BK426)))</f>
        <v>1000</v>
      </c>
      <c r="I426" s="57" t="n">
        <f aca="false">H426*G426</f>
        <v>100</v>
      </c>
      <c r="J426" s="57" t="n">
        <f aca="false">BN426*Parameter!$B$18</f>
        <v>701</v>
      </c>
      <c r="K426" s="58" t="n">
        <v>551.5</v>
      </c>
      <c r="L426" s="59" t="n">
        <v>1.27107887579329</v>
      </c>
      <c r="M426" s="57" t="n">
        <v>40</v>
      </c>
      <c r="N426" s="57" t="n">
        <v>1000</v>
      </c>
      <c r="O426" s="60" t="n">
        <v>21</v>
      </c>
      <c r="P426" s="55" t="s">
        <v>302</v>
      </c>
      <c r="Q426" s="57" t="n">
        <v>1000</v>
      </c>
      <c r="R426" s="60" t="n">
        <f aca="false">IF(BT426=1,0,IFERROR(VLOOKUP(BR426,'Gebinde-Kategorie'!$A$5:$M$45,13,0)+0,0))</f>
        <v>26</v>
      </c>
      <c r="S426" s="61"/>
      <c r="T426" s="62"/>
      <c r="U426" s="62"/>
      <c r="V426" s="62"/>
      <c r="W426" s="55"/>
      <c r="X426" s="57"/>
      <c r="Y426" s="57"/>
      <c r="Z426" s="55" t="n">
        <f aca="false">IF(A426="","",IF(AND(Parameter!$B$21="Ja",ISNUMBER(W426)),W426,IF(BV426="2+3",IF(ISNUMBER(SEARCH("grosser Artikel",BO426)),2,IFERROR(VLOOKUP(BR426,Parameter!$F$35:$G$64,2,0),2)),IF(OR(BV426="Nein",BV426=""),"-",BV426))))</f>
        <v>3</v>
      </c>
      <c r="AA426" s="62"/>
      <c r="AB426" s="63"/>
      <c r="AC426" s="57" t="n">
        <f aca="false">AR426</f>
        <v>2000</v>
      </c>
      <c r="AD426" s="57" t="n">
        <f aca="false">MAX(AR426,H426)</f>
        <v>2000</v>
      </c>
      <c r="AE426" s="64"/>
      <c r="AF426" s="57" t="n">
        <f aca="false">IF(LEFT(Cockpit!$C$5,1)="A",H426,IF(CA426=1,CB426,IF(LEFT(Cockpit!$C$5,1)="B",AJ426,MAX(AJ426,H426))))</f>
        <v>1000</v>
      </c>
      <c r="AG426" s="57" t="n">
        <f aca="false">IF(BT426=1,0,ROUNDUP(AF426/BS426,0))</f>
        <v>1</v>
      </c>
      <c r="AH426" s="59" t="n">
        <f aca="false">IF(CH426&gt;0,CH426*MAX(1,AF426/X426),IF(BT426=1,IF(AF426&lt;=0,0,BW426*MAX(1,IF(H426&gt;0,AF426/H426,1))),IF(R426&gt;0,AG426/R426,0))/MAX(0.1,N(Parameter!$M$21)))</f>
        <v>0.0384615384615385</v>
      </c>
      <c r="AI426" s="57" t="n">
        <f aca="false">AF426*G426</f>
        <v>100</v>
      </c>
      <c r="AJ426" s="57" t="n">
        <f aca="false">ROUNDUP(MAX(J426/IF(BZ426&gt;0,BZ426,MAX(0.1,N(Cockpit!$C$6))),CC426)/BS426,0)*BS426</f>
        <v>2000</v>
      </c>
      <c r="AK426" s="58" t="n">
        <f aca="false">IF(AH426&gt;0,J426/AH426,-1)</f>
        <v>18226</v>
      </c>
      <c r="AL426" s="58" t="n">
        <f aca="false">IF(AND(OR(BY426="L1",BY426="L23"),AH426&gt;0),SUMIFS($AH$7:$AH$1843,$BY$7:$BY$1843,BY426,$AK$7:$AK$1843,"&gt;"&amp;AK426)+SUMIFS($AH$7:$AH$1843,$BY$7:$BY$1843,BY426,$AK$7:$AK$1843,AK426,$BQ$7:$BQ$1843,"&lt;="&amp;BQ426),"")</f>
        <v>3.75708590925982</v>
      </c>
      <c r="AM426" s="65" t="n">
        <f aca="false">IF(AL426="",0,MAX(0,MIN(1,(IF(BY426="L1",Parameter!$E$5,Parameter!$E$6+Parameter!$E$7)-(AL426-AH426))/AH426)))</f>
        <v>1</v>
      </c>
      <c r="AN426" s="57" t="n">
        <f aca="false">IF(LEFT(Cockpit!$I$5,1)="A",H426,IF(CA426=1,CB426,IF(LEFT(Cockpit!$I$5,1)="B",AR426,MAX(AR426,H426))))</f>
        <v>2000</v>
      </c>
      <c r="AO426" s="57" t="n">
        <f aca="false">IF(BT426=1,0,ROUNDUP(AN426/BS426,0))</f>
        <v>2</v>
      </c>
      <c r="AP426" s="59" t="n">
        <f aca="false">IF(CH426&gt;0,CH426*MAX(1,AN426/X426),IF(BT426=1,IF(AN426&lt;=0,0,BW426*MAX(1,IF(H426&gt;0,AN426/H426,1))),IF(R426&gt;0,AO426/R426,0))/MAX(0.1,N(Parameter!$M$21)))</f>
        <v>0.0769230769230769</v>
      </c>
      <c r="AQ426" s="57" t="n">
        <f aca="false">AN426*G426</f>
        <v>200</v>
      </c>
      <c r="AR426" s="57" t="n">
        <f aca="false">ROUNDUP(MAX(J426/IF(BZ426&gt;0,BZ426,MAX(0.1,N(Cockpit!$I$6))),CC426)/BS426,0)*BS426</f>
        <v>2000</v>
      </c>
      <c r="AS426" s="58" t="n">
        <f aca="false">IF(AP426&gt;0,J426/AP426,-1)</f>
        <v>9113</v>
      </c>
      <c r="AT426" s="58" t="n">
        <f aca="false">IF(AND(OR(BY426="L1",BY426="L23"),AP426&gt;0),SUMIFS($AP$7:$AP$1843,$BY$7:$BY$1843,BY426,$AS$7:$AS$1843,"&gt;"&amp;AS426)+SUMIFS($AP$7:$AP$1843,$BY$7:$BY$1843,BY426,$AS$7:$AS$1843,AS426,$BQ$7:$BQ$1843,"&lt;="&amp;BQ426),"")</f>
        <v>8.48409682105334</v>
      </c>
      <c r="AU426" s="65" t="n">
        <f aca="false">IF(AT426="",0,MAX(0,MIN(1,(IF(BY426="L1",Parameter!$E$5,Parameter!$E$6+Parameter!$E$7)-(AT426-AP426))/AP426)))</f>
        <v>1</v>
      </c>
      <c r="AV426" s="57" t="n">
        <f aca="false">IF(LEFT(Cockpit!$O$5,1)="A",H426,IF(CA426=1,CB426,IF(LEFT(Cockpit!$O$5,1)="B",AZ426,MAX(AZ426,H426))))</f>
        <v>2000</v>
      </c>
      <c r="AW426" s="57" t="n">
        <f aca="false">IF(BT426=1,0,ROUNDUP(AV426/BS426,0))</f>
        <v>2</v>
      </c>
      <c r="AX426" s="59" t="n">
        <f aca="false">IF(CH426&gt;0,CH426*MAX(1,AV426/X426),IF(BT426=1,IF(AV426&lt;=0,0,BW426*MAX(1,IF(H426&gt;0,AV426/H426,1))),IF(R426&gt;0,AW426/R426,0))/MAX(0.1,N(Parameter!$M$21)))</f>
        <v>0.0769230769230769</v>
      </c>
      <c r="AY426" s="57" t="n">
        <f aca="false">AV426*G426</f>
        <v>200</v>
      </c>
      <c r="AZ426" s="57" t="n">
        <f aca="false">ROUNDUP(MAX(J426/IF(BZ426&gt;0,BZ426,MAX(0.1,N(Cockpit!$O$6))),CC426)/BS426,0)*BS426</f>
        <v>2000</v>
      </c>
      <c r="BA426" s="58" t="n">
        <f aca="false">IF(AX426&gt;0,J426/AX426,-1)</f>
        <v>9113</v>
      </c>
      <c r="BB426" s="58" t="n">
        <f aca="false">IF(AND(OR(BY426="L1",BY426="L23"),AX426&gt;0),SUMIFS($AX$7:$AX$1843,$BY$7:$BY$1843,BY426,$BA$7:$BA$1843,"&gt;"&amp;BA426)+SUMIFS($AX$7:$AX$1843,$BY$7:$BY$1843,BY426,$BA$7:$BA$1843,BA426,$BQ$7:$BQ$1843,"&lt;="&amp;BQ426),"")</f>
        <v>8.2947028816594</v>
      </c>
      <c r="BC426" s="65" t="n">
        <f aca="false">IF(BB426="",0,MAX(0,MIN(1,(IF(BY426="L1",Parameter!$E$5,Parameter!$E$6+Parameter!$E$7)-(BB426-AX426))/AX426)))</f>
        <v>1</v>
      </c>
      <c r="BD426" s="55" t="str">
        <f aca="false">IF(AH426&lt;=0,"",IF(BY426="Aussen","Aussenlager",IF(BY426="-","Nicht im Lift",IF(AM426&gt;=1,"Lift",IF(AM426&lt;=0,"Aussenlager","teilweise")))))</f>
        <v>Lift</v>
      </c>
      <c r="BE426" s="55" t="str">
        <f aca="false">IF(AP426&lt;=0,"",IF(BY426="Aussen","Aussenlager",IF(BY426="-","Nicht im Lift",IF(AU426&gt;=1,"Lift",IF(AU426&lt;=0,"Aussenlager","teilweise")))))</f>
        <v>Lift</v>
      </c>
      <c r="BF426" s="55" t="str">
        <f aca="false">IF(AX426&lt;=0,"",IF(BY426="Aussen","Aussenlager",IF(BY426="-","Nicht im Lift",IF(BC426&gt;=1,"Lift",IF(BC426&lt;=0,"Aussenlager","teilweise")))))</f>
        <v>Lift</v>
      </c>
      <c r="BG426" s="55" t="str">
        <f aca="false">IF(A426="","",IF(BP426=1,"Neu; ","")&amp;IF(AND(BP426=0,BK426&lt;0),"negativer Bestand (Export "&amp;BK426&amp;"); ","")&amp;IF(J426&lt;=0,"Kein Verbrauch; ","")&amp;IF(CH426&gt;0,"Lift "&amp;W426&amp;" lt. Liftbericht (Fach "&amp;X426&amp;" Stk); ",IF(BU426=1,"Gebinde geschätzt ("&amp;T426&amp;"); ",IF(BT426=1,"Lose – Tablare geschätzt; ","")))&amp;IF(H426&gt;AR426,"Überbestand "&amp;ROUND(H426-AR426,0)&amp;" Stk / CHF "&amp;ROUND((H426-AR426)*G426,0)&amp;"; ","")&amp;IF(AND(CA426=1,CB426&lt;CC426),"MAX &lt; MB+LG; ","")&amp;IF(AND(CG426&gt;0,CF426*10&gt;CG426),"zu hoch für Tablar; ","")&amp;IF(AND(BP426=0,OR(CA426=1,AA426&lt;&gt;"",U426&lt;&gt;"",V426&lt;&gt;"",AB426&lt;&gt;"")),"manuell übersteuert; ","")&amp;IF(AND(BT426=0,R426=0),"Gebinde unbekannt / Stellmass fehlt; ","")&amp;IF(AND(BT426=0,N(V426)&lt;=0,N(Q426)&lt;=0),"Menge pro Gebinde fehlt (Ist = 1 Gebinde); ","")&amp;BO426)</f>
        <v/>
      </c>
      <c r="BH426" s="55"/>
      <c r="BI426" s="55"/>
      <c r="BJ426" s="62"/>
      <c r="BK426" s="57" t="n">
        <v>900</v>
      </c>
      <c r="BL426" s="57" t="n">
        <v>100</v>
      </c>
      <c r="BM426" s="56" t="n">
        <v>90</v>
      </c>
      <c r="BN426" s="57" t="n">
        <v>701</v>
      </c>
      <c r="BO426" s="55"/>
      <c r="BP426" s="60" t="n">
        <v>0</v>
      </c>
      <c r="BQ426" s="60" t="n">
        <v>426</v>
      </c>
      <c r="BR426" s="55" t="str">
        <f aca="false">IF(U426&lt;&gt;"",UPPER(TRIM(U426)),IF(BU426=1,UPPER(VLOOKUP(T426,Parameter!$I$27:$K$29,2,0)),IF(P426="","LOSE",P426)))</f>
        <v>S51</v>
      </c>
      <c r="BS426" s="57" t="n">
        <f aca="false">IF(BR426="LOSE",1,IF(N(V426)&gt;0,V426,IF(BU426=1,MAX(1,N(VLOOKUP(T426,Parameter!$I$27:$K$29,3,0)),H426,N(N426)),IF(N(Q426)&gt;0,Q426,MAX(1,H426)))))</f>
        <v>1000</v>
      </c>
      <c r="BT426" s="60" t="n">
        <f aca="false">IF(BR426="LOSE",1,0)</f>
        <v>0</v>
      </c>
      <c r="BU426" s="60" t="n">
        <f aca="false">IF(AND(U426="",OR(P426="",P426="LOSE"),T426&lt;&gt;"",N(S426)&lt;=0,ISNUMBER(MATCH(T426,Parameter!$I$27:$I$29,0))),1,0)</f>
        <v>0</v>
      </c>
      <c r="BV426" s="55" t="str">
        <f aca="false">IF(AND(Parameter!$B$19="Ja",E426&lt;&gt;"",ISNUMBER(MATCH(E426,Parameter!$I$35:$I$52,0))),VLOOKUP(E426,Parameter!$I$35:$J$52,2,0),IFERROR(VLOOKUP(D426,Parameter!$A$35:$C$64,2,0),"Nein"))</f>
        <v>2+3</v>
      </c>
      <c r="BW426" s="59" t="n">
        <f aca="false">IF(BT426=0,0,IF(N(S426)&gt;0,S426,IFERROR(VLOOKUP(D426,Parameter!$A$35:$C$64,3,0)+0,0)))</f>
        <v>0</v>
      </c>
      <c r="BX426" s="55" t="n">
        <f aca="false">IF(AA426&lt;&gt;"",AA426,Z426)</f>
        <v>3</v>
      </c>
      <c r="BY426" s="55" t="str">
        <f aca="false">IF(BX426=1,"L1",IF(OR(BX426=2,BX426=3),"L23",IF(BX426="Aussen","Aussen","-")))</f>
        <v>L23</v>
      </c>
      <c r="BZ426" s="66" t="n">
        <f aca="false">IF(N(AB426)&gt;0,AB426,0)</f>
        <v>0</v>
      </c>
      <c r="CA426" s="60" t="n">
        <f aca="false">IF(ISNUMBER(AE426),1,0)</f>
        <v>0</v>
      </c>
      <c r="CB426" s="57" t="n">
        <f aca="false">N(AE426)</f>
        <v>0</v>
      </c>
      <c r="CC426" s="57" t="n">
        <f aca="false">N(M426)+N(N426)</f>
        <v>1040</v>
      </c>
      <c r="CD426" s="57" t="n">
        <f aca="false">ROUNDUP(H426/BS426,0)</f>
        <v>1</v>
      </c>
      <c r="CE426" s="57" t="n">
        <f aca="false">ROUNDUP(CB426/BS426,0)</f>
        <v>0</v>
      </c>
      <c r="CF426" s="60" t="n">
        <f aca="false">IF(BT426=1,0,IFERROR(VLOOKUP(BR426,'Gebinde-Kategorie'!$A$5:$M$45,5,0)+0,0))</f>
        <v>11</v>
      </c>
      <c r="CG426" s="60" t="n">
        <f aca="false">IFERROR(IF(OR(BX426=1,BX426=2,BX426=3),N(INDEX(Parameter!$I$5:$I$7,BX426)),0),0)</f>
        <v>0</v>
      </c>
      <c r="CH426" s="59" t="n">
        <f aca="false">IF(AND(Parameter!$B$21="Ja",ISNUMBER(W426),N(X426)&gt;0),IFERROR(N(INDEX(Parameter!$L$5:$L$7,W426))*INDEX(Parameter!$E$5:$E$7,W426)*X426/SUMIFS($X$7:$X$1843,$W$7:$W$1843,W426),0),0)</f>
        <v>0</v>
      </c>
    </row>
    <row r="427" customFormat="false" ht="15" hidden="false" customHeight="false" outlineLevel="0" collapsed="false">
      <c r="A427" s="55" t="s">
        <v>982</v>
      </c>
      <c r="B427" s="55" t="s">
        <v>983</v>
      </c>
      <c r="C427" s="55" t="s">
        <v>164</v>
      </c>
      <c r="D427" s="55" t="s">
        <v>184</v>
      </c>
      <c r="E427" s="55" t="s">
        <v>185</v>
      </c>
      <c r="F427" s="55" t="s">
        <v>218</v>
      </c>
      <c r="G427" s="56" t="n">
        <v>11.9</v>
      </c>
      <c r="H427" s="57" t="n">
        <f aca="false">MAX(0,IF(AND(Parameter!$B$21="Ja",ISNUMBER(Y427)),Y427,IF(Parameter!$B$20="Jahresanfang 2025 + Export",BL427+BK427,BK427)))</f>
        <v>13</v>
      </c>
      <c r="I427" s="57" t="n">
        <f aca="false">H427*G427</f>
        <v>154.7</v>
      </c>
      <c r="J427" s="57" t="n">
        <f aca="false">BN427*Parameter!$B$18</f>
        <v>19</v>
      </c>
      <c r="K427" s="58" t="n">
        <v>7</v>
      </c>
      <c r="L427" s="59" t="n">
        <v>2.71428571428571</v>
      </c>
      <c r="M427" s="57" t="n">
        <v>0</v>
      </c>
      <c r="N427" s="57" t="n">
        <v>20</v>
      </c>
      <c r="O427" s="60" t="n">
        <v>14</v>
      </c>
      <c r="P427" s="55" t="s">
        <v>476</v>
      </c>
      <c r="Q427" s="57" t="n">
        <v>12</v>
      </c>
      <c r="R427" s="60" t="n">
        <f aca="false">IF(BT427=1,0,IFERROR(VLOOKUP(BR427,'Gebinde-Kategorie'!$A$5:$M$45,13,0)+0,0))</f>
        <v>66</v>
      </c>
      <c r="S427" s="61"/>
      <c r="T427" s="62"/>
      <c r="U427" s="62"/>
      <c r="V427" s="62"/>
      <c r="W427" s="55"/>
      <c r="X427" s="57"/>
      <c r="Y427" s="57"/>
      <c r="Z427" s="55" t="n">
        <f aca="false">IF(A427="","",IF(AND(Parameter!$B$21="Ja",ISNUMBER(W427)),W427,IF(BV427="2+3",IF(ISNUMBER(SEARCH("grosser Artikel",BO427)),2,IFERROR(VLOOKUP(BR427,Parameter!$F$35:$G$64,2,0),2)),IF(OR(BV427="Nein",BV427=""),"-",BV427))))</f>
        <v>3</v>
      </c>
      <c r="AA427" s="62"/>
      <c r="AB427" s="63"/>
      <c r="AC427" s="57" t="n">
        <f aca="false">AR427</f>
        <v>24</v>
      </c>
      <c r="AD427" s="57" t="n">
        <f aca="false">MAX(AR427,H427)</f>
        <v>24</v>
      </c>
      <c r="AE427" s="64"/>
      <c r="AF427" s="57" t="n">
        <f aca="false">IF(LEFT(Cockpit!$C$5,1)="A",H427,IF(CA427=1,CB427,IF(LEFT(Cockpit!$C$5,1)="B",AJ427,MAX(AJ427,H427))))</f>
        <v>13</v>
      </c>
      <c r="AG427" s="57" t="n">
        <f aca="false">IF(BT427=1,0,ROUNDUP(AF427/BS427,0))</f>
        <v>2</v>
      </c>
      <c r="AH427" s="59" t="n">
        <f aca="false">IF(CH427&gt;0,CH427*MAX(1,AF427/X427),IF(BT427=1,IF(AF427&lt;=0,0,BW427*MAX(1,IF(H427&gt;0,AF427/H427,1))),IF(R427&gt;0,AG427/R427,0))/MAX(0.1,N(Parameter!$M$21)))</f>
        <v>0.0303030303030303</v>
      </c>
      <c r="AI427" s="57" t="n">
        <f aca="false">AF427*G427</f>
        <v>154.7</v>
      </c>
      <c r="AJ427" s="57" t="n">
        <f aca="false">ROUNDUP(MAX(J427/IF(BZ427&gt;0,BZ427,MAX(0.1,N(Cockpit!$C$6))),CC427)/BS427,0)*BS427</f>
        <v>24</v>
      </c>
      <c r="AK427" s="58" t="n">
        <f aca="false">IF(AH427&gt;0,J427/AH427,-1)</f>
        <v>627</v>
      </c>
      <c r="AL427" s="58" t="n">
        <f aca="false">IF(AND(OR(BY427="L1",BY427="L23"),AH427&gt;0),SUMIFS($AH$7:$AH$1843,$BY$7:$BY$1843,BY427,$AK$7:$AK$1843,"&gt;"&amp;AK427)+SUMIFS($AH$7:$AH$1843,$BY$7:$BY$1843,BY427,$AK$7:$AK$1843,AK427,$BQ$7:$BQ$1843,"&lt;="&amp;BQ427),"")</f>
        <v>22.769425019425</v>
      </c>
      <c r="AM427" s="65" t="n">
        <f aca="false">IF(AL427="",0,MAX(0,MIN(1,(IF(BY427="L1",Parameter!$E$5,Parameter!$E$6+Parameter!$E$7)-(AL427-AH427))/AH427)))</f>
        <v>1</v>
      </c>
      <c r="AN427" s="57" t="n">
        <f aca="false">IF(LEFT(Cockpit!$I$5,1)="A",H427,IF(CA427=1,CB427,IF(LEFT(Cockpit!$I$5,1)="B",AR427,MAX(AR427,H427))))</f>
        <v>24</v>
      </c>
      <c r="AO427" s="57" t="n">
        <f aca="false">IF(BT427=1,0,ROUNDUP(AN427/BS427,0))</f>
        <v>2</v>
      </c>
      <c r="AP427" s="59" t="n">
        <f aca="false">IF(CH427&gt;0,CH427*MAX(1,AN427/X427),IF(BT427=1,IF(AN427&lt;=0,0,BW427*MAX(1,IF(H427&gt;0,AN427/H427,1))),IF(R427&gt;0,AO427/R427,0))/MAX(0.1,N(Parameter!$M$21)))</f>
        <v>0.0303030303030303</v>
      </c>
      <c r="AQ427" s="57" t="n">
        <f aca="false">AN427*G427</f>
        <v>285.6</v>
      </c>
      <c r="AR427" s="57" t="n">
        <f aca="false">ROUNDUP(MAX(J427/IF(BZ427&gt;0,BZ427,MAX(0.1,N(Cockpit!$I$6))),CC427)/BS427,0)*BS427</f>
        <v>24</v>
      </c>
      <c r="AS427" s="58" t="n">
        <f aca="false">IF(AP427&gt;0,J427/AP427,-1)</f>
        <v>627</v>
      </c>
      <c r="AT427" s="58" t="n">
        <f aca="false">IF(AND(OR(BY427="L1",BY427="L23"),AP427&gt;0),SUMIFS($AP$7:$AP$1843,$BY$7:$BY$1843,BY427,$AS$7:$AS$1843,"&gt;"&amp;AS427)+SUMIFS($AP$7:$AP$1843,$BY$7:$BY$1843,BY427,$AS$7:$AS$1843,AS427,$BQ$7:$BQ$1843,"&lt;="&amp;BQ427),"")</f>
        <v>30.1400459443938</v>
      </c>
      <c r="AU427" s="65" t="n">
        <f aca="false">IF(AT427="",0,MAX(0,MIN(1,(IF(BY427="L1",Parameter!$E$5,Parameter!$E$6+Parameter!$E$7)-(AT427-AP427))/AP427)))</f>
        <v>1</v>
      </c>
      <c r="AV427" s="57" t="n">
        <f aca="false">IF(LEFT(Cockpit!$O$5,1)="A",H427,IF(CA427=1,CB427,IF(LEFT(Cockpit!$O$5,1)="B",AZ427,MAX(AZ427,H427))))</f>
        <v>24</v>
      </c>
      <c r="AW427" s="57" t="n">
        <f aca="false">IF(BT427=1,0,ROUNDUP(AV427/BS427,0))</f>
        <v>2</v>
      </c>
      <c r="AX427" s="59" t="n">
        <f aca="false">IF(CH427&gt;0,CH427*MAX(1,AV427/X427),IF(BT427=1,IF(AV427&lt;=0,0,BW427*MAX(1,IF(H427&gt;0,AV427/H427,1))),IF(R427&gt;0,AW427/R427,0))/MAX(0.1,N(Parameter!$M$21)))</f>
        <v>0.0303030303030303</v>
      </c>
      <c r="AY427" s="57" t="n">
        <f aca="false">AV427*G427</f>
        <v>285.6</v>
      </c>
      <c r="AZ427" s="57" t="n">
        <f aca="false">ROUNDUP(MAX(J427/IF(BZ427&gt;0,BZ427,MAX(0.1,N(Cockpit!$O$6))),CC427)/BS427,0)*BS427</f>
        <v>24</v>
      </c>
      <c r="BA427" s="58" t="n">
        <f aca="false">IF(AX427&gt;0,J427/AX427,-1)</f>
        <v>627</v>
      </c>
      <c r="BB427" s="58" t="n">
        <f aca="false">IF(AND(OR(BY427="L1",BY427="L23"),AX427&gt;0),SUMIFS($AX$7:$AX$1843,$BY$7:$BY$1843,BY427,$BA$7:$BA$1843,"&gt;"&amp;BA427)+SUMIFS($AX$7:$AX$1843,$BY$7:$BY$1843,BY427,$BA$7:$BA$1843,BA427,$BQ$7:$BQ$1843,"&lt;="&amp;BQ427),"")</f>
        <v>28.8416776460255</v>
      </c>
      <c r="BC427" s="65" t="n">
        <f aca="false">IF(BB427="",0,MAX(0,MIN(1,(IF(BY427="L1",Parameter!$E$5,Parameter!$E$6+Parameter!$E$7)-(BB427-AX427))/AX427)))</f>
        <v>1</v>
      </c>
      <c r="BD427" s="55" t="str">
        <f aca="false">IF(AH427&lt;=0,"",IF(BY427="Aussen","Aussenlager",IF(BY427="-","Nicht im Lift",IF(AM427&gt;=1,"Lift",IF(AM427&lt;=0,"Aussenlager","teilweise")))))</f>
        <v>Lift</v>
      </c>
      <c r="BE427" s="55" t="str">
        <f aca="false">IF(AP427&lt;=0,"",IF(BY427="Aussen","Aussenlager",IF(BY427="-","Nicht im Lift",IF(AU427&gt;=1,"Lift",IF(AU427&lt;=0,"Aussenlager","teilweise")))))</f>
        <v>Lift</v>
      </c>
      <c r="BF427" s="55" t="str">
        <f aca="false">IF(AX427&lt;=0,"",IF(BY427="Aussen","Aussenlager",IF(BY427="-","Nicht im Lift",IF(BC427&gt;=1,"Lift",IF(BC427&lt;=0,"Aussenlager","teilweise")))))</f>
        <v>Lift</v>
      </c>
      <c r="BG427" s="55" t="str">
        <f aca="false">IF(A427="","",IF(BP427=1,"Neu; ","")&amp;IF(AND(BP427=0,BK427&lt;0),"negativer Bestand (Export "&amp;BK427&amp;"); ","")&amp;IF(J427&lt;=0,"Kein Verbrauch; ","")&amp;IF(CH427&gt;0,"Lift "&amp;W427&amp;" lt. Liftbericht (Fach "&amp;X427&amp;" Stk); ",IF(BU427=1,"Gebinde geschätzt ("&amp;T427&amp;"); ",IF(BT427=1,"Lose – Tablare geschätzt; ","")))&amp;IF(H427&gt;AR427,"Überbestand "&amp;ROUND(H427-AR427,0)&amp;" Stk / CHF "&amp;ROUND((H427-AR427)*G427,0)&amp;"; ","")&amp;IF(AND(CA427=1,CB427&lt;CC427),"MAX &lt; MB+LG; ","")&amp;IF(AND(CG427&gt;0,CF427*10&gt;CG427),"zu hoch für Tablar; ","")&amp;IF(AND(BP427=0,OR(CA427=1,AA427&lt;&gt;"",U427&lt;&gt;"",V427&lt;&gt;"",AB427&lt;&gt;"")),"manuell übersteuert; ","")&amp;IF(AND(BT427=0,R427=0),"Gebinde unbekannt / Stellmass fehlt; ","")&amp;IF(AND(BT427=0,N(V427)&lt;=0,N(Q427)&lt;=0),"Menge pro Gebinde fehlt (Ist = 1 Gebinde); ","")&amp;BO427)</f>
        <v/>
      </c>
      <c r="BH427" s="55"/>
      <c r="BI427" s="55"/>
      <c r="BJ427" s="62"/>
      <c r="BK427" s="57" t="n">
        <v>6</v>
      </c>
      <c r="BL427" s="57" t="n">
        <v>7</v>
      </c>
      <c r="BM427" s="56" t="n">
        <v>87.92</v>
      </c>
      <c r="BN427" s="57" t="n">
        <v>19</v>
      </c>
      <c r="BO427" s="55"/>
      <c r="BP427" s="60" t="n">
        <v>0</v>
      </c>
      <c r="BQ427" s="60" t="n">
        <v>427</v>
      </c>
      <c r="BR427" s="55" t="str">
        <f aca="false">IF(U427&lt;&gt;"",UPPER(TRIM(U427)),IF(BU427=1,UPPER(VLOOKUP(T427,Parameter!$I$27:$K$29,2,0)),IF(P427="","LOSE",P427)))</f>
        <v>S33</v>
      </c>
      <c r="BS427" s="57" t="n">
        <f aca="false">IF(BR427="LOSE",1,IF(N(V427)&gt;0,V427,IF(BU427=1,MAX(1,N(VLOOKUP(T427,Parameter!$I$27:$K$29,3,0)),H427,N(N427)),IF(N(Q427)&gt;0,Q427,MAX(1,H427)))))</f>
        <v>12</v>
      </c>
      <c r="BT427" s="60" t="n">
        <f aca="false">IF(BR427="LOSE",1,0)</f>
        <v>0</v>
      </c>
      <c r="BU427" s="60" t="n">
        <f aca="false">IF(AND(U427="",OR(P427="",P427="LOSE"),T427&lt;&gt;"",N(S427)&lt;=0,ISNUMBER(MATCH(T427,Parameter!$I$27:$I$29,0))),1,0)</f>
        <v>0</v>
      </c>
      <c r="BV427" s="55" t="str">
        <f aca="false">IF(AND(Parameter!$B$19="Ja",E427&lt;&gt;"",ISNUMBER(MATCH(E427,Parameter!$I$35:$I$52,0))),VLOOKUP(E427,Parameter!$I$35:$J$52,2,0),IFERROR(VLOOKUP(D427,Parameter!$A$35:$C$64,2,0),"Nein"))</f>
        <v>2+3</v>
      </c>
      <c r="BW427" s="59" t="n">
        <f aca="false">IF(BT427=0,0,IF(N(S427)&gt;0,S427,IFERROR(VLOOKUP(D427,Parameter!$A$35:$C$64,3,0)+0,0)))</f>
        <v>0</v>
      </c>
      <c r="BX427" s="55" t="n">
        <f aca="false">IF(AA427&lt;&gt;"",AA427,Z427)</f>
        <v>3</v>
      </c>
      <c r="BY427" s="55" t="str">
        <f aca="false">IF(BX427=1,"L1",IF(OR(BX427=2,BX427=3),"L23",IF(BX427="Aussen","Aussen","-")))</f>
        <v>L23</v>
      </c>
      <c r="BZ427" s="66" t="n">
        <f aca="false">IF(N(AB427)&gt;0,AB427,0)</f>
        <v>0</v>
      </c>
      <c r="CA427" s="60" t="n">
        <f aca="false">IF(ISNUMBER(AE427),1,0)</f>
        <v>0</v>
      </c>
      <c r="CB427" s="57" t="n">
        <f aca="false">N(AE427)</f>
        <v>0</v>
      </c>
      <c r="CC427" s="57" t="n">
        <f aca="false">N(M427)+N(N427)</f>
        <v>20</v>
      </c>
      <c r="CD427" s="57" t="n">
        <f aca="false">ROUNDUP(H427/BS427,0)</f>
        <v>2</v>
      </c>
      <c r="CE427" s="57" t="n">
        <f aca="false">ROUNDUP(CB427/BS427,0)</f>
        <v>0</v>
      </c>
      <c r="CF427" s="60" t="n">
        <f aca="false">IF(BT427=1,0,IFERROR(VLOOKUP(BR427,'Gebinde-Kategorie'!$A$5:$M$45,5,0)+0,0))</f>
        <v>8</v>
      </c>
      <c r="CG427" s="60" t="n">
        <f aca="false">IFERROR(IF(OR(BX427=1,BX427=2,BX427=3),N(INDEX(Parameter!$I$5:$I$7,BX427)),0),0)</f>
        <v>0</v>
      </c>
      <c r="CH427" s="59" t="n">
        <f aca="false">IF(AND(Parameter!$B$21="Ja",ISNUMBER(W427),N(X427)&gt;0),IFERROR(N(INDEX(Parameter!$L$5:$L$7,W427))*INDEX(Parameter!$E$5:$E$7,W427)*X427/SUMIFS($X$7:$X$1843,$W$7:$W$1843,W427),0),0)</f>
        <v>0</v>
      </c>
    </row>
    <row r="428" customFormat="false" ht="15" hidden="false" customHeight="false" outlineLevel="0" collapsed="false">
      <c r="A428" s="55" t="s">
        <v>984</v>
      </c>
      <c r="B428" s="55" t="s">
        <v>589</v>
      </c>
      <c r="C428" s="55" t="s">
        <v>164</v>
      </c>
      <c r="D428" s="55" t="s">
        <v>184</v>
      </c>
      <c r="E428" s="55" t="s">
        <v>185</v>
      </c>
      <c r="F428" s="55" t="s">
        <v>218</v>
      </c>
      <c r="G428" s="56" t="n">
        <v>43.94</v>
      </c>
      <c r="H428" s="57" t="n">
        <f aca="false">MAX(0,IF(AND(Parameter!$B$21="Ja",ISNUMBER(Y428)),Y428,IF(Parameter!$B$20="Jahresanfang 2025 + Export",BL428+BK428,BK428)))</f>
        <v>67</v>
      </c>
      <c r="I428" s="57" t="n">
        <f aca="false">H428*G428</f>
        <v>2943.98</v>
      </c>
      <c r="J428" s="57" t="n">
        <f aca="false">BN428*Parameter!$B$18</f>
        <v>0</v>
      </c>
      <c r="K428" s="58" t="n">
        <v>66</v>
      </c>
      <c r="L428" s="59" t="n">
        <v>0</v>
      </c>
      <c r="M428" s="57" t="n">
        <v>0</v>
      </c>
      <c r="N428" s="57" t="n">
        <v>1</v>
      </c>
      <c r="O428" s="60" t="n">
        <v>35</v>
      </c>
      <c r="P428" s="55" t="s">
        <v>426</v>
      </c>
      <c r="Q428" s="57" t="n">
        <v>65</v>
      </c>
      <c r="R428" s="60" t="n">
        <f aca="false">IF(BT428=1,0,IFERROR(VLOOKUP(BR428,'Gebinde-Kategorie'!$A$5:$M$45,13,0)+0,0))</f>
        <v>198</v>
      </c>
      <c r="S428" s="61"/>
      <c r="T428" s="62"/>
      <c r="U428" s="62"/>
      <c r="V428" s="62"/>
      <c r="W428" s="55"/>
      <c r="X428" s="57"/>
      <c r="Y428" s="57"/>
      <c r="Z428" s="55" t="n">
        <f aca="false">IF(A428="","",IF(AND(Parameter!$B$21="Ja",ISNUMBER(W428)),W428,IF(BV428="2+3",IF(ISNUMBER(SEARCH("grosser Artikel",BO428)),2,IFERROR(VLOOKUP(BR428,Parameter!$F$35:$G$64,2,0),2)),IF(OR(BV428="Nein",BV428=""),"-",BV428))))</f>
        <v>3</v>
      </c>
      <c r="AA428" s="62"/>
      <c r="AB428" s="63"/>
      <c r="AC428" s="57" t="n">
        <f aca="false">AR428</f>
        <v>65</v>
      </c>
      <c r="AD428" s="57" t="n">
        <f aca="false">MAX(AR428,H428)</f>
        <v>67</v>
      </c>
      <c r="AE428" s="64"/>
      <c r="AF428" s="57" t="n">
        <f aca="false">IF(LEFT(Cockpit!$C$5,1)="A",H428,IF(CA428=1,CB428,IF(LEFT(Cockpit!$C$5,1)="B",AJ428,MAX(AJ428,H428))))</f>
        <v>67</v>
      </c>
      <c r="AG428" s="57" t="n">
        <f aca="false">IF(BT428=1,0,ROUNDUP(AF428/BS428,0))</f>
        <v>2</v>
      </c>
      <c r="AH428" s="59" t="n">
        <f aca="false">IF(CH428&gt;0,CH428*MAX(1,AF428/X428),IF(BT428=1,IF(AF428&lt;=0,0,BW428*MAX(1,IF(H428&gt;0,AF428/H428,1))),IF(R428&gt;0,AG428/R428,0))/MAX(0.1,N(Parameter!$M$21)))</f>
        <v>0.0101010101010101</v>
      </c>
      <c r="AI428" s="57" t="n">
        <f aca="false">AF428*G428</f>
        <v>2943.98</v>
      </c>
      <c r="AJ428" s="57" t="n">
        <f aca="false">ROUNDUP(MAX(J428/IF(BZ428&gt;0,BZ428,MAX(0.1,N(Cockpit!$C$6))),CC428)/BS428,0)*BS428</f>
        <v>65</v>
      </c>
      <c r="AK428" s="58" t="n">
        <f aca="false">IF(AH428&gt;0,J428/AH428,-1)</f>
        <v>0</v>
      </c>
      <c r="AL428" s="58" t="n">
        <f aca="false">IF(AND(OR(BY428="L1",BY428="L23"),AH428&gt;0),SUMIFS($AH$7:$AH$1843,$BY$7:$BY$1843,BY428,$AK$7:$AK$1843,"&gt;"&amp;AK428)+SUMIFS($AH$7:$AH$1843,$BY$7:$BY$1843,BY428,$AK$7:$AK$1843,AK428,$BQ$7:$BQ$1843,"&lt;="&amp;BQ428),"")</f>
        <v>73.841289145637</v>
      </c>
      <c r="AM428" s="65" t="n">
        <f aca="false">IF(AL428="",0,MAX(0,MIN(1,(IF(BY428="L1",Parameter!$E$5,Parameter!$E$6+Parameter!$E$7)-(AL428-AH428))/AH428)))</f>
        <v>1</v>
      </c>
      <c r="AN428" s="57" t="n">
        <f aca="false">IF(LEFT(Cockpit!$I$5,1)="A",H428,IF(CA428=1,CB428,IF(LEFT(Cockpit!$I$5,1)="B",AR428,MAX(AR428,H428))))</f>
        <v>67</v>
      </c>
      <c r="AO428" s="57" t="n">
        <f aca="false">IF(BT428=1,0,ROUNDUP(AN428/BS428,0))</f>
        <v>2</v>
      </c>
      <c r="AP428" s="59" t="n">
        <f aca="false">IF(CH428&gt;0,CH428*MAX(1,AN428/X428),IF(BT428=1,IF(AN428&lt;=0,0,BW428*MAX(1,IF(H428&gt;0,AN428/H428,1))),IF(R428&gt;0,AO428/R428,0))/MAX(0.1,N(Parameter!$M$21)))</f>
        <v>0.0101010101010101</v>
      </c>
      <c r="AQ428" s="57" t="n">
        <f aca="false">AN428*G428</f>
        <v>2943.98</v>
      </c>
      <c r="AR428" s="57" t="n">
        <f aca="false">ROUNDUP(MAX(J428/IF(BZ428&gt;0,BZ428,MAX(0.1,N(Cockpit!$I$6))),CC428)/BS428,0)*BS428</f>
        <v>65</v>
      </c>
      <c r="AS428" s="58" t="n">
        <f aca="false">IF(AP428&gt;0,J428/AP428,-1)</f>
        <v>0</v>
      </c>
      <c r="AT428" s="58" t="n">
        <f aca="false">IF(AND(OR(BY428="L1",BY428="L23"),AP428&gt;0),SUMIFS($AP$7:$AP$1843,$BY$7:$BY$1843,BY428,$AS$7:$AS$1843,"&gt;"&amp;AS428)+SUMIFS($AP$7:$AP$1843,$BY$7:$BY$1843,BY428,$AS$7:$AS$1843,AS428,$BQ$7:$BQ$1843,"&lt;="&amp;BQ428),"")</f>
        <v>113.265413330631</v>
      </c>
      <c r="AU428" s="65" t="n">
        <f aca="false">IF(AT428="",0,MAX(0,MIN(1,(IF(BY428="L1",Parameter!$E$5,Parameter!$E$6+Parameter!$E$7)-(AT428-AP428))/AP428)))</f>
        <v>0</v>
      </c>
      <c r="AV428" s="57" t="n">
        <f aca="false">IF(LEFT(Cockpit!$O$5,1)="A",H428,IF(CA428=1,CB428,IF(LEFT(Cockpit!$O$5,1)="B",AZ428,MAX(AZ428,H428))))</f>
        <v>67</v>
      </c>
      <c r="AW428" s="57" t="n">
        <f aca="false">IF(BT428=1,0,ROUNDUP(AV428/BS428,0))</f>
        <v>2</v>
      </c>
      <c r="AX428" s="59" t="n">
        <f aca="false">IF(CH428&gt;0,CH428*MAX(1,AV428/X428),IF(BT428=1,IF(AV428&lt;=0,0,BW428*MAX(1,IF(H428&gt;0,AV428/H428,1))),IF(R428&gt;0,AW428/R428,0))/MAX(0.1,N(Parameter!$M$21)))</f>
        <v>0.0101010101010101</v>
      </c>
      <c r="AY428" s="57" t="n">
        <f aca="false">AV428*G428</f>
        <v>2943.98</v>
      </c>
      <c r="AZ428" s="57" t="n">
        <f aca="false">ROUNDUP(MAX(J428/IF(BZ428&gt;0,BZ428,MAX(0.1,N(Cockpit!$O$6))),CC428)/BS428,0)*BS428</f>
        <v>65</v>
      </c>
      <c r="BA428" s="58" t="n">
        <f aca="false">IF(AX428&gt;0,J428/AX428,-1)</f>
        <v>0</v>
      </c>
      <c r="BB428" s="58" t="n">
        <f aca="false">IF(AND(OR(BY428="L1",BY428="L23"),AX428&gt;0),SUMIFS($AX$7:$AX$1843,$BY$7:$BY$1843,BY428,$BA$7:$BA$1843,"&gt;"&amp;BA428)+SUMIFS($AX$7:$AX$1843,$BY$7:$BY$1843,BY428,$BA$7:$BA$1843,BA428,$BQ$7:$BQ$1843,"&lt;="&amp;BQ428),"")</f>
        <v>104.095250160468</v>
      </c>
      <c r="BC428" s="65" t="n">
        <f aca="false">IF(BB428="",0,MAX(0,MIN(1,(IF(BY428="L1",Parameter!$E$5,Parameter!$E$6+Parameter!$E$7)-(BB428-AX428))/AX428)))</f>
        <v>0</v>
      </c>
      <c r="BD428" s="55" t="str">
        <f aca="false">IF(AH428&lt;=0,"",IF(BY428="Aussen","Aussenlager",IF(BY428="-","Nicht im Lift",IF(AM428&gt;=1,"Lift",IF(AM428&lt;=0,"Aussenlager","teilweise")))))</f>
        <v>Lift</v>
      </c>
      <c r="BE428" s="55" t="str">
        <f aca="false">IF(AP428&lt;=0,"",IF(BY428="Aussen","Aussenlager",IF(BY428="-","Nicht im Lift",IF(AU428&gt;=1,"Lift",IF(AU428&lt;=0,"Aussenlager","teilweise")))))</f>
        <v>Aussenlager</v>
      </c>
      <c r="BF428" s="55" t="str">
        <f aca="false">IF(AX428&lt;=0,"",IF(BY428="Aussen","Aussenlager",IF(BY428="-","Nicht im Lift",IF(BC428&gt;=1,"Lift",IF(BC428&lt;=0,"Aussenlager","teilweise")))))</f>
        <v>Aussenlager</v>
      </c>
      <c r="BG428" s="55" t="str">
        <f aca="false">IF(A428="","",IF(BP428=1,"Neu; ","")&amp;IF(AND(BP428=0,BK428&lt;0),"negativer Bestand (Export "&amp;BK428&amp;"); ","")&amp;IF(J428&lt;=0,"Kein Verbrauch; ","")&amp;IF(CH428&gt;0,"Lift "&amp;W428&amp;" lt. Liftbericht (Fach "&amp;X428&amp;" Stk); ",IF(BU428=1,"Gebinde geschätzt ("&amp;T428&amp;"); ",IF(BT428=1,"Lose – Tablare geschätzt; ","")))&amp;IF(H428&gt;AR428,"Überbestand "&amp;ROUND(H428-AR428,0)&amp;" Stk / CHF "&amp;ROUND((H428-AR428)*G428,0)&amp;"; ","")&amp;IF(AND(CA428=1,CB428&lt;CC428),"MAX &lt; MB+LG; ","")&amp;IF(AND(CG428&gt;0,CF428*10&gt;CG428),"zu hoch für Tablar; ","")&amp;IF(AND(BP428=0,OR(CA428=1,AA428&lt;&gt;"",U428&lt;&gt;"",V428&lt;&gt;"",AB428&lt;&gt;"")),"manuell übersteuert; ","")&amp;IF(AND(BT428=0,R428=0),"Gebinde unbekannt / Stellmass fehlt; ","")&amp;IF(AND(BT428=0,N(V428)&lt;=0,N(Q428)&lt;=0),"Menge pro Gebinde fehlt (Ist = 1 Gebinde); ","")&amp;BO428)</f>
        <v>Kein Verbrauch; Überbestand 2 Stk / CHF 88; Neu</v>
      </c>
      <c r="BH428" s="55"/>
      <c r="BI428" s="55"/>
      <c r="BJ428" s="62"/>
      <c r="BK428" s="57" t="n">
        <v>2</v>
      </c>
      <c r="BL428" s="57" t="n">
        <v>65</v>
      </c>
      <c r="BM428" s="56" t="n">
        <v>87.88</v>
      </c>
      <c r="BN428" s="57" t="n">
        <v>0</v>
      </c>
      <c r="BO428" s="55" t="s">
        <v>626</v>
      </c>
      <c r="BP428" s="60" t="n">
        <v>0</v>
      </c>
      <c r="BQ428" s="60" t="n">
        <v>428</v>
      </c>
      <c r="BR428" s="55" t="str">
        <f aca="false">IF(U428&lt;&gt;"",UPPER(TRIM(U428)),IF(BU428=1,UPPER(VLOOKUP(T428,Parameter!$I$27:$K$29,2,0)),IF(P428="","LOSE",P428)))</f>
        <v>S22</v>
      </c>
      <c r="BS428" s="57" t="n">
        <f aca="false">IF(BR428="LOSE",1,IF(N(V428)&gt;0,V428,IF(BU428=1,MAX(1,N(VLOOKUP(T428,Parameter!$I$27:$K$29,3,0)),H428,N(N428)),IF(N(Q428)&gt;0,Q428,MAX(1,H428)))))</f>
        <v>65</v>
      </c>
      <c r="BT428" s="60" t="n">
        <f aca="false">IF(BR428="LOSE",1,0)</f>
        <v>0</v>
      </c>
      <c r="BU428" s="60" t="n">
        <f aca="false">IF(AND(U428="",OR(P428="",P428="LOSE"),T428&lt;&gt;"",N(S428)&lt;=0,ISNUMBER(MATCH(T428,Parameter!$I$27:$I$29,0))),1,0)</f>
        <v>0</v>
      </c>
      <c r="BV428" s="55" t="str">
        <f aca="false">IF(AND(Parameter!$B$19="Ja",E428&lt;&gt;"",ISNUMBER(MATCH(E428,Parameter!$I$35:$I$52,0))),VLOOKUP(E428,Parameter!$I$35:$J$52,2,0),IFERROR(VLOOKUP(D428,Parameter!$A$35:$C$64,2,0),"Nein"))</f>
        <v>2+3</v>
      </c>
      <c r="BW428" s="59" t="n">
        <f aca="false">IF(BT428=0,0,IF(N(S428)&gt;0,S428,IFERROR(VLOOKUP(D428,Parameter!$A$35:$C$64,3,0)+0,0)))</f>
        <v>0</v>
      </c>
      <c r="BX428" s="55" t="n">
        <f aca="false">IF(AA428&lt;&gt;"",AA428,Z428)</f>
        <v>3</v>
      </c>
      <c r="BY428" s="55" t="str">
        <f aca="false">IF(BX428=1,"L1",IF(OR(BX428=2,BX428=3),"L23",IF(BX428="Aussen","Aussen","-")))</f>
        <v>L23</v>
      </c>
      <c r="BZ428" s="66" t="n">
        <f aca="false">IF(N(AB428)&gt;0,AB428,0)</f>
        <v>0</v>
      </c>
      <c r="CA428" s="60" t="n">
        <f aca="false">IF(ISNUMBER(AE428),1,0)</f>
        <v>0</v>
      </c>
      <c r="CB428" s="57" t="n">
        <f aca="false">N(AE428)</f>
        <v>0</v>
      </c>
      <c r="CC428" s="57" t="n">
        <f aca="false">N(M428)+N(N428)</f>
        <v>1</v>
      </c>
      <c r="CD428" s="57" t="n">
        <f aca="false">ROUNDUP(H428/BS428,0)</f>
        <v>2</v>
      </c>
      <c r="CE428" s="57" t="n">
        <f aca="false">ROUNDUP(CB428/BS428,0)</f>
        <v>0</v>
      </c>
      <c r="CF428" s="60" t="n">
        <f aca="false">IF(BT428=1,0,IFERROR(VLOOKUP(BR428,'Gebinde-Kategorie'!$A$5:$M$45,5,0)+0,0))</f>
        <v>8</v>
      </c>
      <c r="CG428" s="60" t="n">
        <f aca="false">IFERROR(IF(OR(BX428=1,BX428=2,BX428=3),N(INDEX(Parameter!$I$5:$I$7,BX428)),0),0)</f>
        <v>0</v>
      </c>
      <c r="CH428" s="59" t="n">
        <f aca="false">IF(AND(Parameter!$B$21="Ja",ISNUMBER(W428),N(X428)&gt;0),IFERROR(N(INDEX(Parameter!$L$5:$L$7,W428))*INDEX(Parameter!$E$5:$E$7,W428)*X428/SUMIFS($X$7:$X$1843,$W$7:$W$1843,W428),0),0)</f>
        <v>0</v>
      </c>
    </row>
    <row r="429" customFormat="false" ht="15" hidden="false" customHeight="false" outlineLevel="0" collapsed="false">
      <c r="A429" s="55" t="s">
        <v>985</v>
      </c>
      <c r="B429" s="55" t="s">
        <v>947</v>
      </c>
      <c r="C429" s="55" t="s">
        <v>164</v>
      </c>
      <c r="D429" s="55" t="s">
        <v>184</v>
      </c>
      <c r="E429" s="55"/>
      <c r="F429" s="55" t="s">
        <v>218</v>
      </c>
      <c r="G429" s="56" t="n">
        <v>2.85</v>
      </c>
      <c r="H429" s="57" t="n">
        <f aca="false">MAX(0,IF(AND(Parameter!$B$21="Ja",ISNUMBER(Y429)),Y429,IF(Parameter!$B$20="Jahresanfang 2025 + Export",BL429+BK429,BK429)))</f>
        <v>30</v>
      </c>
      <c r="I429" s="57" t="n">
        <f aca="false">H429*G429</f>
        <v>85.5</v>
      </c>
      <c r="J429" s="57" t="n">
        <f aca="false">BN429*Parameter!$B$18</f>
        <v>0</v>
      </c>
      <c r="K429" s="58" t="n">
        <v>0</v>
      </c>
      <c r="L429" s="59" t="n">
        <v>0</v>
      </c>
      <c r="M429" s="57" t="n">
        <v>0</v>
      </c>
      <c r="N429" s="57" t="n">
        <v>20</v>
      </c>
      <c r="O429" s="60" t="n">
        <v>9999</v>
      </c>
      <c r="P429" s="55" t="s">
        <v>168</v>
      </c>
      <c r="Q429" s="57"/>
      <c r="R429" s="60" t="n">
        <f aca="false">IF(BT429=1,0,IFERROR(VLOOKUP(BR429,'Gebinde-Kategorie'!$A$5:$M$45,13,0)+0,0))</f>
        <v>26</v>
      </c>
      <c r="S429" s="61"/>
      <c r="T429" s="62" t="s">
        <v>275</v>
      </c>
      <c r="U429" s="62"/>
      <c r="V429" s="62"/>
      <c r="W429" s="55"/>
      <c r="X429" s="57"/>
      <c r="Y429" s="57"/>
      <c r="Z429" s="55" t="n">
        <f aca="false">IF(A429="","",IF(AND(Parameter!$B$21="Ja",ISNUMBER(W429)),W429,IF(BV429="2+3",IF(ISNUMBER(SEARCH("grosser Artikel",BO429)),2,IFERROR(VLOOKUP(BR429,Parameter!$F$35:$G$64,2,0),2)),IF(OR(BV429="Nein",BV429=""),"-",BV429))))</f>
        <v>3</v>
      </c>
      <c r="AA429" s="62"/>
      <c r="AB429" s="63"/>
      <c r="AC429" s="57" t="n">
        <f aca="false">AR429</f>
        <v>30</v>
      </c>
      <c r="AD429" s="57" t="n">
        <f aca="false">MAX(AR429,H429)</f>
        <v>30</v>
      </c>
      <c r="AE429" s="64"/>
      <c r="AF429" s="57" t="n">
        <f aca="false">IF(LEFT(Cockpit!$C$5,1)="A",H429,IF(CA429=1,CB429,IF(LEFT(Cockpit!$C$5,1)="B",AJ429,MAX(AJ429,H429))))</f>
        <v>30</v>
      </c>
      <c r="AG429" s="57" t="n">
        <f aca="false">IF(BT429=1,0,ROUNDUP(AF429/BS429,0))</f>
        <v>1</v>
      </c>
      <c r="AH429" s="59" t="n">
        <f aca="false">IF(CH429&gt;0,CH429*MAX(1,AF429/X429),IF(BT429=1,IF(AF429&lt;=0,0,BW429*MAX(1,IF(H429&gt;0,AF429/H429,1))),IF(R429&gt;0,AG429/R429,0))/MAX(0.1,N(Parameter!$M$21)))</f>
        <v>0.0384615384615385</v>
      </c>
      <c r="AI429" s="57" t="n">
        <f aca="false">AF429*G429</f>
        <v>85.5</v>
      </c>
      <c r="AJ429" s="57" t="n">
        <f aca="false">ROUNDUP(MAX(J429/IF(BZ429&gt;0,BZ429,MAX(0.1,N(Cockpit!$C$6))),CC429)/BS429,0)*BS429</f>
        <v>30</v>
      </c>
      <c r="AK429" s="58" t="n">
        <f aca="false">IF(AH429&gt;0,J429/AH429,-1)</f>
        <v>0</v>
      </c>
      <c r="AL429" s="58" t="n">
        <f aca="false">IF(AND(OR(BY429="L1",BY429="L23"),AH429&gt;0),SUMIFS($AH$7:$AH$1843,$BY$7:$BY$1843,BY429,$AK$7:$AK$1843,"&gt;"&amp;AK429)+SUMIFS($AH$7:$AH$1843,$BY$7:$BY$1843,BY429,$AK$7:$AK$1843,AK429,$BQ$7:$BQ$1843,"&lt;="&amp;BQ429),"")</f>
        <v>73.8797506840985</v>
      </c>
      <c r="AM429" s="65" t="n">
        <f aca="false">IF(AL429="",0,MAX(0,MIN(1,(IF(BY429="L1",Parameter!$E$5,Parameter!$E$6+Parameter!$E$7)-(AL429-AH429))/AH429)))</f>
        <v>1</v>
      </c>
      <c r="AN429" s="57" t="n">
        <f aca="false">IF(LEFT(Cockpit!$I$5,1)="A",H429,IF(CA429=1,CB429,IF(LEFT(Cockpit!$I$5,1)="B",AR429,MAX(AR429,H429))))</f>
        <v>30</v>
      </c>
      <c r="AO429" s="57" t="n">
        <f aca="false">IF(BT429=1,0,ROUNDUP(AN429/BS429,0))</f>
        <v>1</v>
      </c>
      <c r="AP429" s="59" t="n">
        <f aca="false">IF(CH429&gt;0,CH429*MAX(1,AN429/X429),IF(BT429=1,IF(AN429&lt;=0,0,BW429*MAX(1,IF(H429&gt;0,AN429/H429,1))),IF(R429&gt;0,AO429/R429,0))/MAX(0.1,N(Parameter!$M$21)))</f>
        <v>0.0384615384615385</v>
      </c>
      <c r="AQ429" s="57" t="n">
        <f aca="false">AN429*G429</f>
        <v>85.5</v>
      </c>
      <c r="AR429" s="57" t="n">
        <f aca="false">ROUNDUP(MAX(J429/IF(BZ429&gt;0,BZ429,MAX(0.1,N(Cockpit!$I$6))),CC429)/BS429,0)*BS429</f>
        <v>30</v>
      </c>
      <c r="AS429" s="58" t="n">
        <f aca="false">IF(AP429&gt;0,J429/AP429,-1)</f>
        <v>0</v>
      </c>
      <c r="AT429" s="58" t="n">
        <f aca="false">IF(AND(OR(BY429="L1",BY429="L23"),AP429&gt;0),SUMIFS($AP$7:$AP$1843,$BY$7:$BY$1843,BY429,$AS$7:$AS$1843,"&gt;"&amp;AS429)+SUMIFS($AP$7:$AP$1843,$BY$7:$BY$1843,BY429,$AS$7:$AS$1843,AS429,$BQ$7:$BQ$1843,"&lt;="&amp;BQ429),"")</f>
        <v>113.303874869092</v>
      </c>
      <c r="AU429" s="65" t="n">
        <f aca="false">IF(AT429="",0,MAX(0,MIN(1,(IF(BY429="L1",Parameter!$E$5,Parameter!$E$6+Parameter!$E$7)-(AT429-AP429))/AP429)))</f>
        <v>0</v>
      </c>
      <c r="AV429" s="57" t="n">
        <f aca="false">IF(LEFT(Cockpit!$O$5,1)="A",H429,IF(CA429=1,CB429,IF(LEFT(Cockpit!$O$5,1)="B",AZ429,MAX(AZ429,H429))))</f>
        <v>30</v>
      </c>
      <c r="AW429" s="57" t="n">
        <f aca="false">IF(BT429=1,0,ROUNDUP(AV429/BS429,0))</f>
        <v>1</v>
      </c>
      <c r="AX429" s="59" t="n">
        <f aca="false">IF(CH429&gt;0,CH429*MAX(1,AV429/X429),IF(BT429=1,IF(AV429&lt;=0,0,BW429*MAX(1,IF(H429&gt;0,AV429/H429,1))),IF(R429&gt;0,AW429/R429,0))/MAX(0.1,N(Parameter!$M$21)))</f>
        <v>0.0384615384615385</v>
      </c>
      <c r="AY429" s="57" t="n">
        <f aca="false">AV429*G429</f>
        <v>85.5</v>
      </c>
      <c r="AZ429" s="57" t="n">
        <f aca="false">ROUNDUP(MAX(J429/IF(BZ429&gt;0,BZ429,MAX(0.1,N(Cockpit!$O$6))),CC429)/BS429,0)*BS429</f>
        <v>30</v>
      </c>
      <c r="BA429" s="58" t="n">
        <f aca="false">IF(AX429&gt;0,J429/AX429,-1)</f>
        <v>0</v>
      </c>
      <c r="BB429" s="58" t="n">
        <f aca="false">IF(AND(OR(BY429="L1",BY429="L23"),AX429&gt;0),SUMIFS($AX$7:$AX$1843,$BY$7:$BY$1843,BY429,$BA$7:$BA$1843,"&gt;"&amp;BA429)+SUMIFS($AX$7:$AX$1843,$BY$7:$BY$1843,BY429,$BA$7:$BA$1843,BA429,$BQ$7:$BQ$1843,"&lt;="&amp;BQ429),"")</f>
        <v>104.133711698929</v>
      </c>
      <c r="BC429" s="65" t="n">
        <f aca="false">IF(BB429="",0,MAX(0,MIN(1,(IF(BY429="L1",Parameter!$E$5,Parameter!$E$6+Parameter!$E$7)-(BB429-AX429))/AX429)))</f>
        <v>0</v>
      </c>
      <c r="BD429" s="55" t="str">
        <f aca="false">IF(AH429&lt;=0,"",IF(BY429="Aussen","Aussenlager",IF(BY429="-","Nicht im Lift",IF(AM429&gt;=1,"Lift",IF(AM429&lt;=0,"Aussenlager","teilweise")))))</f>
        <v>Lift</v>
      </c>
      <c r="BE429" s="55" t="str">
        <f aca="false">IF(AP429&lt;=0,"",IF(BY429="Aussen","Aussenlager",IF(BY429="-","Nicht im Lift",IF(AU429&gt;=1,"Lift",IF(AU429&lt;=0,"Aussenlager","teilweise")))))</f>
        <v>Aussenlager</v>
      </c>
      <c r="BF429" s="55" t="str">
        <f aca="false">IF(AX429&lt;=0,"",IF(BY429="Aussen","Aussenlager",IF(BY429="-","Nicht im Lift",IF(BC429&gt;=1,"Lift",IF(BC429&lt;=0,"Aussenlager","teilweise")))))</f>
        <v>Aussenlager</v>
      </c>
      <c r="BG429" s="55" t="str">
        <f aca="false">IF(A429="","",IF(BP429=1,"Neu; ","")&amp;IF(AND(BP429=0,BK429&lt;0),"negativer Bestand (Export "&amp;BK429&amp;"); ","")&amp;IF(J429&lt;=0,"Kein Verbrauch; ","")&amp;IF(CH429&gt;0,"Lift "&amp;W429&amp;" lt. Liftbericht (Fach "&amp;X429&amp;" Stk); ",IF(BU429=1,"Gebinde geschätzt ("&amp;T429&amp;"); ",IF(BT429=1,"Lose – Tablare geschätzt; ","")))&amp;IF(H429&gt;AR429,"Überbestand "&amp;ROUND(H429-AR429,0)&amp;" Stk / CHF "&amp;ROUND((H429-AR429)*G429,0)&amp;"; ","")&amp;IF(AND(CA429=1,CB429&lt;CC429),"MAX &lt; MB+LG; ","")&amp;IF(AND(CG429&gt;0,CF429*10&gt;CG429),"zu hoch für Tablar; ","")&amp;IF(AND(BP429=0,OR(CA429=1,AA429&lt;&gt;"",U429&lt;&gt;"",V429&lt;&gt;"",AB429&lt;&gt;"")),"manuell übersteuert; ","")&amp;IF(AND(BT429=0,R429=0),"Gebinde unbekannt / Stellmass fehlt; ","")&amp;IF(AND(BT429=0,N(V429)&lt;=0,N(Q429)&lt;=0),"Menge pro Gebinde fehlt (Ist = 1 Gebinde); ","")&amp;BO429)</f>
        <v>Kein Verbrauch; Gebinde geschätzt (Klein); Menge pro Gebinde fehlt (Ist = 1 Gebinde); </v>
      </c>
      <c r="BH429" s="55"/>
      <c r="BI429" s="55"/>
      <c r="BJ429" s="62"/>
      <c r="BK429" s="57" t="n">
        <v>30</v>
      </c>
      <c r="BL429" s="57" t="n">
        <v>0</v>
      </c>
      <c r="BM429" s="56" t="n">
        <v>85.5</v>
      </c>
      <c r="BN429" s="57" t="n">
        <v>0</v>
      </c>
      <c r="BO429" s="55"/>
      <c r="BP429" s="60" t="n">
        <v>0</v>
      </c>
      <c r="BQ429" s="60" t="n">
        <v>429</v>
      </c>
      <c r="BR429" s="55" t="str">
        <f aca="false">IF(U429&lt;&gt;"",UPPER(TRIM(U429)),IF(BU429=1,UPPER(VLOOKUP(T429,Parameter!$I$27:$K$29,2,0)),IF(P429="","LOSE",P429)))</f>
        <v>S51</v>
      </c>
      <c r="BS429" s="57" t="n">
        <f aca="false">IF(BR429="LOSE",1,IF(N(V429)&gt;0,V429,IF(BU429=1,MAX(1,N(VLOOKUP(T429,Parameter!$I$27:$K$29,3,0)),H429,N(N429)),IF(N(Q429)&gt;0,Q429,MAX(1,H429)))))</f>
        <v>30</v>
      </c>
      <c r="BT429" s="60" t="n">
        <f aca="false">IF(BR429="LOSE",1,0)</f>
        <v>0</v>
      </c>
      <c r="BU429" s="60" t="n">
        <f aca="false">IF(AND(U429="",OR(P429="",P429="LOSE"),T429&lt;&gt;"",N(S429)&lt;=0,ISNUMBER(MATCH(T429,Parameter!$I$27:$I$29,0))),1,0)</f>
        <v>1</v>
      </c>
      <c r="BV429" s="55" t="str">
        <f aca="false">IF(AND(Parameter!$B$19="Ja",E429&lt;&gt;"",ISNUMBER(MATCH(E429,Parameter!$I$35:$I$52,0))),VLOOKUP(E429,Parameter!$I$35:$J$52,2,0),IFERROR(VLOOKUP(D429,Parameter!$A$35:$C$64,2,0),"Nein"))</f>
        <v>2+3</v>
      </c>
      <c r="BW429" s="59" t="n">
        <f aca="false">IF(BT429=0,0,IF(N(S429)&gt;0,S429,IFERROR(VLOOKUP(D429,Parameter!$A$35:$C$64,3,0)+0,0)))</f>
        <v>0</v>
      </c>
      <c r="BX429" s="55" t="n">
        <f aca="false">IF(AA429&lt;&gt;"",AA429,Z429)</f>
        <v>3</v>
      </c>
      <c r="BY429" s="55" t="str">
        <f aca="false">IF(BX429=1,"L1",IF(OR(BX429=2,BX429=3),"L23",IF(BX429="Aussen","Aussen","-")))</f>
        <v>L23</v>
      </c>
      <c r="BZ429" s="66" t="n">
        <f aca="false">IF(N(AB429)&gt;0,AB429,0)</f>
        <v>0</v>
      </c>
      <c r="CA429" s="60" t="n">
        <f aca="false">IF(ISNUMBER(AE429),1,0)</f>
        <v>0</v>
      </c>
      <c r="CB429" s="57" t="n">
        <f aca="false">N(AE429)</f>
        <v>0</v>
      </c>
      <c r="CC429" s="57" t="n">
        <f aca="false">N(M429)+N(N429)</f>
        <v>20</v>
      </c>
      <c r="CD429" s="57" t="n">
        <f aca="false">ROUNDUP(H429/BS429,0)</f>
        <v>1</v>
      </c>
      <c r="CE429" s="57" t="n">
        <f aca="false">ROUNDUP(CB429/BS429,0)</f>
        <v>0</v>
      </c>
      <c r="CF429" s="60" t="n">
        <f aca="false">IF(BT429=1,0,IFERROR(VLOOKUP(BR429,'Gebinde-Kategorie'!$A$5:$M$45,5,0)+0,0))</f>
        <v>11</v>
      </c>
      <c r="CG429" s="60" t="n">
        <f aca="false">IFERROR(IF(OR(BX429=1,BX429=2,BX429=3),N(INDEX(Parameter!$I$5:$I$7,BX429)),0),0)</f>
        <v>0</v>
      </c>
      <c r="CH429" s="59" t="n">
        <f aca="false">IF(AND(Parameter!$B$21="Ja",ISNUMBER(W429),N(X429)&gt;0),IFERROR(N(INDEX(Parameter!$L$5:$L$7,W429))*INDEX(Parameter!$E$5:$E$7,W429)*X429/SUMIFS($X$7:$X$1843,$W$7:$W$1843,W429),0),0)</f>
        <v>0</v>
      </c>
    </row>
    <row r="430" customFormat="false" ht="15" hidden="false" customHeight="false" outlineLevel="0" collapsed="false">
      <c r="A430" s="55" t="s">
        <v>986</v>
      </c>
      <c r="B430" s="55" t="s">
        <v>571</v>
      </c>
      <c r="C430" s="55" t="s">
        <v>164</v>
      </c>
      <c r="D430" s="55" t="s">
        <v>184</v>
      </c>
      <c r="E430" s="55" t="s">
        <v>185</v>
      </c>
      <c r="F430" s="55" t="s">
        <v>218</v>
      </c>
      <c r="G430" s="56" t="n">
        <v>6.17</v>
      </c>
      <c r="H430" s="57" t="n">
        <f aca="false">MAX(0,IF(AND(Parameter!$B$21="Ja",ISNUMBER(Y430)),Y430,IF(Parameter!$B$20="Jahresanfang 2025 + Export",BL430+BK430,BK430)))</f>
        <v>75</v>
      </c>
      <c r="I430" s="57" t="n">
        <f aca="false">H430*G430</f>
        <v>462.75</v>
      </c>
      <c r="J430" s="57" t="n">
        <f aca="false">BN430*Parameter!$B$18</f>
        <v>258</v>
      </c>
      <c r="K430" s="58" t="n">
        <v>86.5</v>
      </c>
      <c r="L430" s="59" t="n">
        <v>2.98265895953757</v>
      </c>
      <c r="M430" s="57" t="n">
        <v>16</v>
      </c>
      <c r="N430" s="57" t="n">
        <v>100</v>
      </c>
      <c r="O430" s="60" t="n">
        <v>21</v>
      </c>
      <c r="P430" s="55" t="s">
        <v>328</v>
      </c>
      <c r="Q430" s="57" t="n">
        <v>166</v>
      </c>
      <c r="R430" s="60" t="n">
        <f aca="false">IF(BT430=1,0,IFERROR(VLOOKUP(BR430,'Gebinde-Kategorie'!$A$5:$M$45,13,0)+0,0))</f>
        <v>52</v>
      </c>
      <c r="S430" s="61"/>
      <c r="T430" s="62"/>
      <c r="U430" s="62"/>
      <c r="V430" s="62"/>
      <c r="W430" s="55"/>
      <c r="X430" s="57"/>
      <c r="Y430" s="57"/>
      <c r="Z430" s="55" t="n">
        <f aca="false">IF(A430="","",IF(AND(Parameter!$B$21="Ja",ISNUMBER(W430)),W430,IF(BV430="2+3",IF(ISNUMBER(SEARCH("grosser Artikel",BO430)),2,IFERROR(VLOOKUP(BR430,Parameter!$F$35:$G$64,2,0),2)),IF(OR(BV430="Nein",BV430=""),"-",BV430))))</f>
        <v>3</v>
      </c>
      <c r="AA430" s="62"/>
      <c r="AB430" s="63"/>
      <c r="AC430" s="57" t="n">
        <f aca="false">AR430</f>
        <v>166</v>
      </c>
      <c r="AD430" s="57" t="n">
        <f aca="false">MAX(AR430,H430)</f>
        <v>166</v>
      </c>
      <c r="AE430" s="64"/>
      <c r="AF430" s="57" t="n">
        <f aca="false">IF(LEFT(Cockpit!$C$5,1)="A",H430,IF(CA430=1,CB430,IF(LEFT(Cockpit!$C$5,1)="B",AJ430,MAX(AJ430,H430))))</f>
        <v>75</v>
      </c>
      <c r="AG430" s="57" t="n">
        <f aca="false">IF(BT430=1,0,ROUNDUP(AF430/BS430,0))</f>
        <v>1</v>
      </c>
      <c r="AH430" s="59" t="n">
        <f aca="false">IF(CH430&gt;0,CH430*MAX(1,AF430/X430),IF(BT430=1,IF(AF430&lt;=0,0,BW430*MAX(1,IF(H430&gt;0,AF430/H430,1))),IF(R430&gt;0,AG430/R430,0))/MAX(0.1,N(Parameter!$M$21)))</f>
        <v>0.0192307692307692</v>
      </c>
      <c r="AI430" s="57" t="n">
        <f aca="false">AF430*G430</f>
        <v>462.75</v>
      </c>
      <c r="AJ430" s="57" t="n">
        <f aca="false">ROUNDUP(MAX(J430/IF(BZ430&gt;0,BZ430,MAX(0.1,N(Cockpit!$C$6))),CC430)/BS430,0)*BS430</f>
        <v>166</v>
      </c>
      <c r="AK430" s="58" t="n">
        <f aca="false">IF(AH430&gt;0,J430/AH430,-1)</f>
        <v>13416</v>
      </c>
      <c r="AL430" s="58" t="n">
        <f aca="false">IF(AND(OR(BY430="L1",BY430="L23"),AH430&gt;0),SUMIFS($AH$7:$AH$1843,$BY$7:$BY$1843,BY430,$AK$7:$AK$1843,"&gt;"&amp;AK430)+SUMIFS($AH$7:$AH$1843,$BY$7:$BY$1843,BY430,$AK$7:$AK$1843,AK430,$BQ$7:$BQ$1843,"&lt;="&amp;BQ430),"")</f>
        <v>4.52018512888078</v>
      </c>
      <c r="AM430" s="65" t="n">
        <f aca="false">IF(AL430="",0,MAX(0,MIN(1,(IF(BY430="L1",Parameter!$E$5,Parameter!$E$6+Parameter!$E$7)-(AL430-AH430))/AH430)))</f>
        <v>1</v>
      </c>
      <c r="AN430" s="57" t="n">
        <f aca="false">IF(LEFT(Cockpit!$I$5,1)="A",H430,IF(CA430=1,CB430,IF(LEFT(Cockpit!$I$5,1)="B",AR430,MAX(AR430,H430))))</f>
        <v>166</v>
      </c>
      <c r="AO430" s="57" t="n">
        <f aca="false">IF(BT430=1,0,ROUNDUP(AN430/BS430,0))</f>
        <v>1</v>
      </c>
      <c r="AP430" s="59" t="n">
        <f aca="false">IF(CH430&gt;0,CH430*MAX(1,AN430/X430),IF(BT430=1,IF(AN430&lt;=0,0,BW430*MAX(1,IF(H430&gt;0,AN430/H430,1))),IF(R430&gt;0,AO430/R430,0))/MAX(0.1,N(Parameter!$M$21)))</f>
        <v>0.0192307692307692</v>
      </c>
      <c r="AQ430" s="57" t="n">
        <f aca="false">AN430*G430</f>
        <v>1024.22</v>
      </c>
      <c r="AR430" s="57" t="n">
        <f aca="false">ROUNDUP(MAX(J430/IF(BZ430&gt;0,BZ430,MAX(0.1,N(Cockpit!$I$6))),CC430)/BS430,0)*BS430</f>
        <v>166</v>
      </c>
      <c r="AS430" s="58" t="n">
        <f aca="false">IF(AP430&gt;0,J430/AP430,-1)</f>
        <v>13416</v>
      </c>
      <c r="AT430" s="58" t="n">
        <f aca="false">IF(AND(OR(BY430="L1",BY430="L23"),AP430&gt;0),SUMIFS($AP$7:$AP$1843,$BY$7:$BY$1843,BY430,$AS$7:$AS$1843,"&gt;"&amp;AS430)+SUMIFS($AP$7:$AP$1843,$BY$7:$BY$1843,BY430,$AS$7:$AS$1843,AS430,$BQ$7:$BQ$1843,"&lt;="&amp;BQ430),"")</f>
        <v>4.96031384074862</v>
      </c>
      <c r="AU430" s="65" t="n">
        <f aca="false">IF(AT430="",0,MAX(0,MIN(1,(IF(BY430="L1",Parameter!$E$5,Parameter!$E$6+Parameter!$E$7)-(AT430-AP430))/AP430)))</f>
        <v>1</v>
      </c>
      <c r="AV430" s="57" t="n">
        <f aca="false">IF(LEFT(Cockpit!$O$5,1)="A",H430,IF(CA430=1,CB430,IF(LEFT(Cockpit!$O$5,1)="B",AZ430,MAX(AZ430,H430))))</f>
        <v>166</v>
      </c>
      <c r="AW430" s="57" t="n">
        <f aca="false">IF(BT430=1,0,ROUNDUP(AV430/BS430,0))</f>
        <v>1</v>
      </c>
      <c r="AX430" s="59" t="n">
        <f aca="false">IF(CH430&gt;0,CH430*MAX(1,AV430/X430),IF(BT430=1,IF(AV430&lt;=0,0,BW430*MAX(1,IF(H430&gt;0,AV430/H430,1))),IF(R430&gt;0,AW430/R430,0))/MAX(0.1,N(Parameter!$M$21)))</f>
        <v>0.0192307692307692</v>
      </c>
      <c r="AY430" s="57" t="n">
        <f aca="false">AV430*G430</f>
        <v>1024.22</v>
      </c>
      <c r="AZ430" s="57" t="n">
        <f aca="false">ROUNDUP(MAX(J430/IF(BZ430&gt;0,BZ430,MAX(0.1,N(Cockpit!$O$6))),CC430)/BS430,0)*BS430</f>
        <v>166</v>
      </c>
      <c r="BA430" s="58" t="n">
        <f aca="false">IF(AX430&gt;0,J430/AX430,-1)</f>
        <v>13416</v>
      </c>
      <c r="BB430" s="58" t="n">
        <f aca="false">IF(AND(OR(BY430="L1",BY430="L23"),AX430&gt;0),SUMIFS($AX$7:$AX$1843,$BY$7:$BY$1843,BY430,$BA$7:$BA$1843,"&gt;"&amp;BA430)+SUMIFS($AX$7:$AX$1843,$BY$7:$BY$1843,BY430,$BA$7:$BA$1843,BA430,$BQ$7:$BQ$1843,"&lt;="&amp;BQ430),"")</f>
        <v>5.95681733725212</v>
      </c>
      <c r="BC430" s="65" t="n">
        <f aca="false">IF(BB430="",0,MAX(0,MIN(1,(IF(BY430="L1",Parameter!$E$5,Parameter!$E$6+Parameter!$E$7)-(BB430-AX430))/AX430)))</f>
        <v>1</v>
      </c>
      <c r="BD430" s="55" t="str">
        <f aca="false">IF(AH430&lt;=0,"",IF(BY430="Aussen","Aussenlager",IF(BY430="-","Nicht im Lift",IF(AM430&gt;=1,"Lift",IF(AM430&lt;=0,"Aussenlager","teilweise")))))</f>
        <v>Lift</v>
      </c>
      <c r="BE430" s="55" t="str">
        <f aca="false">IF(AP430&lt;=0,"",IF(BY430="Aussen","Aussenlager",IF(BY430="-","Nicht im Lift",IF(AU430&gt;=1,"Lift",IF(AU430&lt;=0,"Aussenlager","teilweise")))))</f>
        <v>Lift</v>
      </c>
      <c r="BF430" s="55" t="str">
        <f aca="false">IF(AX430&lt;=0,"",IF(BY430="Aussen","Aussenlager",IF(BY430="-","Nicht im Lift",IF(BC430&gt;=1,"Lift",IF(BC430&lt;=0,"Aussenlager","teilweise")))))</f>
        <v>Lift</v>
      </c>
      <c r="BG430" s="55" t="str">
        <f aca="false">IF(A430="","",IF(BP430=1,"Neu; ","")&amp;IF(AND(BP430=0,BK430&lt;0),"negativer Bestand (Export "&amp;BK430&amp;"); ","")&amp;IF(J430&lt;=0,"Kein Verbrauch; ","")&amp;IF(CH430&gt;0,"Lift "&amp;W430&amp;" lt. Liftbericht (Fach "&amp;X430&amp;" Stk); ",IF(BU430=1,"Gebinde geschätzt ("&amp;T430&amp;"); ",IF(BT430=1,"Lose – Tablare geschätzt; ","")))&amp;IF(H430&gt;AR430,"Überbestand "&amp;ROUND(H430-AR430,0)&amp;" Stk / CHF "&amp;ROUND((H430-AR430)*G430,0)&amp;"; ","")&amp;IF(AND(CA430=1,CB430&lt;CC430),"MAX &lt; MB+LG; ","")&amp;IF(AND(CG430&gt;0,CF430*10&gt;CG430),"zu hoch für Tablar; ","")&amp;IF(AND(BP430=0,OR(CA430=1,AA430&lt;&gt;"",U430&lt;&gt;"",V430&lt;&gt;"",AB430&lt;&gt;"")),"manuell übersteuert; ","")&amp;IF(AND(BT430=0,R430=0),"Gebinde unbekannt / Stellmass fehlt; ","")&amp;IF(AND(BT430=0,N(V430)&lt;=0,N(Q430)&lt;=0),"Menge pro Gebinde fehlt (Ist = 1 Gebinde); ","")&amp;BO430)</f>
        <v/>
      </c>
      <c r="BH430" s="55"/>
      <c r="BI430" s="55"/>
      <c r="BJ430" s="62"/>
      <c r="BK430" s="57" t="n">
        <v>7</v>
      </c>
      <c r="BL430" s="57" t="n">
        <v>68</v>
      </c>
      <c r="BM430" s="56" t="n">
        <v>84.0599999999997</v>
      </c>
      <c r="BN430" s="57" t="n">
        <v>258</v>
      </c>
      <c r="BO430" s="55"/>
      <c r="BP430" s="60" t="n">
        <v>0</v>
      </c>
      <c r="BQ430" s="60" t="n">
        <v>430</v>
      </c>
      <c r="BR430" s="55" t="str">
        <f aca="false">IF(U430&lt;&gt;"",UPPER(TRIM(U430)),IF(BU430=1,UPPER(VLOOKUP(T430,Parameter!$I$27:$K$29,2,0)),IF(P430="","LOSE",P430)))</f>
        <v>S41</v>
      </c>
      <c r="BS430" s="57" t="n">
        <f aca="false">IF(BR430="LOSE",1,IF(N(V430)&gt;0,V430,IF(BU430=1,MAX(1,N(VLOOKUP(T430,Parameter!$I$27:$K$29,3,0)),H430,N(N430)),IF(N(Q430)&gt;0,Q430,MAX(1,H430)))))</f>
        <v>166</v>
      </c>
      <c r="BT430" s="60" t="n">
        <f aca="false">IF(BR430="LOSE",1,0)</f>
        <v>0</v>
      </c>
      <c r="BU430" s="60" t="n">
        <f aca="false">IF(AND(U430="",OR(P430="",P430="LOSE"),T430&lt;&gt;"",N(S430)&lt;=0,ISNUMBER(MATCH(T430,Parameter!$I$27:$I$29,0))),1,0)</f>
        <v>0</v>
      </c>
      <c r="BV430" s="55" t="str">
        <f aca="false">IF(AND(Parameter!$B$19="Ja",E430&lt;&gt;"",ISNUMBER(MATCH(E430,Parameter!$I$35:$I$52,0))),VLOOKUP(E430,Parameter!$I$35:$J$52,2,0),IFERROR(VLOOKUP(D430,Parameter!$A$35:$C$64,2,0),"Nein"))</f>
        <v>2+3</v>
      </c>
      <c r="BW430" s="59" t="n">
        <f aca="false">IF(BT430=0,0,IF(N(S430)&gt;0,S430,IFERROR(VLOOKUP(D430,Parameter!$A$35:$C$64,3,0)+0,0)))</f>
        <v>0</v>
      </c>
      <c r="BX430" s="55" t="n">
        <f aca="false">IF(AA430&lt;&gt;"",AA430,Z430)</f>
        <v>3</v>
      </c>
      <c r="BY430" s="55" t="str">
        <f aca="false">IF(BX430=1,"L1",IF(OR(BX430=2,BX430=3),"L23",IF(BX430="Aussen","Aussen","-")))</f>
        <v>L23</v>
      </c>
      <c r="BZ430" s="66" t="n">
        <f aca="false">IF(N(AB430)&gt;0,AB430,0)</f>
        <v>0</v>
      </c>
      <c r="CA430" s="60" t="n">
        <f aca="false">IF(ISNUMBER(AE430),1,0)</f>
        <v>0</v>
      </c>
      <c r="CB430" s="57" t="n">
        <f aca="false">N(AE430)</f>
        <v>0</v>
      </c>
      <c r="CC430" s="57" t="n">
        <f aca="false">N(M430)+N(N430)</f>
        <v>116</v>
      </c>
      <c r="CD430" s="57" t="n">
        <f aca="false">ROUNDUP(H430/BS430,0)</f>
        <v>1</v>
      </c>
      <c r="CE430" s="57" t="n">
        <f aca="false">ROUNDUP(CB430/BS430,0)</f>
        <v>0</v>
      </c>
      <c r="CF430" s="60" t="n">
        <f aca="false">IF(BT430=1,0,IFERROR(VLOOKUP(BR430,'Gebinde-Kategorie'!$A$5:$M$45,5,0)+0,0))</f>
        <v>11</v>
      </c>
      <c r="CG430" s="60" t="n">
        <f aca="false">IFERROR(IF(OR(BX430=1,BX430=2,BX430=3),N(INDEX(Parameter!$I$5:$I$7,BX430)),0),0)</f>
        <v>0</v>
      </c>
      <c r="CH430" s="59" t="n">
        <f aca="false">IF(AND(Parameter!$B$21="Ja",ISNUMBER(W430),N(X430)&gt;0),IFERROR(N(INDEX(Parameter!$L$5:$L$7,W430))*INDEX(Parameter!$E$5:$E$7,W430)*X430/SUMIFS($X$7:$X$1843,$W$7:$W$1843,W430),0),0)</f>
        <v>0</v>
      </c>
    </row>
    <row r="431" customFormat="false" ht="15" hidden="false" customHeight="false" outlineLevel="0" collapsed="false">
      <c r="A431" s="55" t="s">
        <v>987</v>
      </c>
      <c r="B431" s="55" t="s">
        <v>495</v>
      </c>
      <c r="C431" s="55" t="s">
        <v>164</v>
      </c>
      <c r="D431" s="55" t="s">
        <v>184</v>
      </c>
      <c r="E431" s="55" t="s">
        <v>185</v>
      </c>
      <c r="F431" s="55" t="s">
        <v>218</v>
      </c>
      <c r="G431" s="56" t="n">
        <v>3.27</v>
      </c>
      <c r="H431" s="57" t="n">
        <f aca="false">MAX(0,IF(AND(Parameter!$B$21="Ja",ISNUMBER(Y431)),Y431,IF(Parameter!$B$20="Jahresanfang 2025 + Export",BL431+BK431,BK431)))</f>
        <v>155</v>
      </c>
      <c r="I431" s="57" t="n">
        <f aca="false">H431*G431</f>
        <v>506.85</v>
      </c>
      <c r="J431" s="57" t="n">
        <f aca="false">BN431*Parameter!$B$18</f>
        <v>158</v>
      </c>
      <c r="K431" s="58" t="n">
        <v>126.5</v>
      </c>
      <c r="L431" s="59" t="n">
        <v>1.24901185770751</v>
      </c>
      <c r="M431" s="57" t="n">
        <v>9</v>
      </c>
      <c r="N431" s="57" t="n">
        <v>160</v>
      </c>
      <c r="O431" s="60" t="n">
        <v>21</v>
      </c>
      <c r="P431" s="55" t="s">
        <v>421</v>
      </c>
      <c r="Q431" s="57" t="n">
        <v>125</v>
      </c>
      <c r="R431" s="60" t="n">
        <f aca="false">IF(BT431=1,0,IFERROR(VLOOKUP(BR431,'Gebinde-Kategorie'!$A$5:$M$45,13,0)+0,0))</f>
        <v>132</v>
      </c>
      <c r="S431" s="61"/>
      <c r="T431" s="62"/>
      <c r="U431" s="62"/>
      <c r="V431" s="62"/>
      <c r="W431" s="55"/>
      <c r="X431" s="57"/>
      <c r="Y431" s="57"/>
      <c r="Z431" s="55" t="n">
        <f aca="false">IF(A431="","",IF(AND(Parameter!$B$21="Ja",ISNUMBER(W431)),W431,IF(BV431="2+3",IF(ISNUMBER(SEARCH("grosser Artikel",BO431)),2,IFERROR(VLOOKUP(BR431,Parameter!$F$35:$G$64,2,0),2)),IF(OR(BV431="Nein",BV431=""),"-",BV431))))</f>
        <v>3</v>
      </c>
      <c r="AA431" s="62"/>
      <c r="AB431" s="63"/>
      <c r="AC431" s="57" t="n">
        <f aca="false">AR431</f>
        <v>250</v>
      </c>
      <c r="AD431" s="57" t="n">
        <f aca="false">MAX(AR431,H431)</f>
        <v>250</v>
      </c>
      <c r="AE431" s="64"/>
      <c r="AF431" s="57" t="n">
        <f aca="false">IF(LEFT(Cockpit!$C$5,1)="A",H431,IF(CA431=1,CB431,IF(LEFT(Cockpit!$C$5,1)="B",AJ431,MAX(AJ431,H431))))</f>
        <v>155</v>
      </c>
      <c r="AG431" s="57" t="n">
        <f aca="false">IF(BT431=1,0,ROUNDUP(AF431/BS431,0))</f>
        <v>2</v>
      </c>
      <c r="AH431" s="59" t="n">
        <f aca="false">IF(CH431&gt;0,CH431*MAX(1,AF431/X431),IF(BT431=1,IF(AF431&lt;=0,0,BW431*MAX(1,IF(H431&gt;0,AF431/H431,1))),IF(R431&gt;0,AG431/R431,0))/MAX(0.1,N(Parameter!$M$21)))</f>
        <v>0.0151515151515152</v>
      </c>
      <c r="AI431" s="57" t="n">
        <f aca="false">AF431*G431</f>
        <v>506.85</v>
      </c>
      <c r="AJ431" s="57" t="n">
        <f aca="false">ROUNDUP(MAX(J431/IF(BZ431&gt;0,BZ431,MAX(0.1,N(Cockpit!$C$6))),CC431)/BS431,0)*BS431</f>
        <v>250</v>
      </c>
      <c r="AK431" s="58" t="n">
        <f aca="false">IF(AH431&gt;0,J431/AH431,-1)</f>
        <v>10428</v>
      </c>
      <c r="AL431" s="58" t="n">
        <f aca="false">IF(AND(OR(BY431="L1",BY431="L23"),AH431&gt;0),SUMIFS($AH$7:$AH$1843,$BY$7:$BY$1843,BY431,$AK$7:$AK$1843,"&gt;"&amp;AK431)+SUMIFS($AH$7:$AH$1843,$BY$7:$BY$1843,BY431,$AK$7:$AK$1843,AK431,$BQ$7:$BQ$1843,"&lt;="&amp;BQ431),"")</f>
        <v>5.20025505895071</v>
      </c>
      <c r="AM431" s="65" t="n">
        <f aca="false">IF(AL431="",0,MAX(0,MIN(1,(IF(BY431="L1",Parameter!$E$5,Parameter!$E$6+Parameter!$E$7)-(AL431-AH431))/AH431)))</f>
        <v>1</v>
      </c>
      <c r="AN431" s="57" t="n">
        <f aca="false">IF(LEFT(Cockpit!$I$5,1)="A",H431,IF(CA431=1,CB431,IF(LEFT(Cockpit!$I$5,1)="B",AR431,MAX(AR431,H431))))</f>
        <v>250</v>
      </c>
      <c r="AO431" s="57" t="n">
        <f aca="false">IF(BT431=1,0,ROUNDUP(AN431/BS431,0))</f>
        <v>2</v>
      </c>
      <c r="AP431" s="59" t="n">
        <f aca="false">IF(CH431&gt;0,CH431*MAX(1,AN431/X431),IF(BT431=1,IF(AN431&lt;=0,0,BW431*MAX(1,IF(H431&gt;0,AN431/H431,1))),IF(R431&gt;0,AO431/R431,0))/MAX(0.1,N(Parameter!$M$21)))</f>
        <v>0.0151515151515152</v>
      </c>
      <c r="AQ431" s="57" t="n">
        <f aca="false">AN431*G431</f>
        <v>817.5</v>
      </c>
      <c r="AR431" s="57" t="n">
        <f aca="false">ROUNDUP(MAX(J431/IF(BZ431&gt;0,BZ431,MAX(0.1,N(Cockpit!$I$6))),CC431)/BS431,0)*BS431</f>
        <v>250</v>
      </c>
      <c r="AS431" s="58" t="n">
        <f aca="false">IF(AP431&gt;0,J431/AP431,-1)</f>
        <v>10428</v>
      </c>
      <c r="AT431" s="58" t="n">
        <f aca="false">IF(AND(OR(BY431="L1",BY431="L23"),AP431&gt;0),SUMIFS($AP$7:$AP$1843,$BY$7:$BY$1843,BY431,$AS$7:$AS$1843,"&gt;"&amp;AS431)+SUMIFS($AP$7:$AP$1843,$BY$7:$BY$1843,BY431,$AS$7:$AS$1843,AS431,$BQ$7:$BQ$1843,"&lt;="&amp;BQ431),"")</f>
        <v>6.24663862707341</v>
      </c>
      <c r="AU431" s="65" t="n">
        <f aca="false">IF(AT431="",0,MAX(0,MIN(1,(IF(BY431="L1",Parameter!$E$5,Parameter!$E$6+Parameter!$E$7)-(AT431-AP431))/AP431)))</f>
        <v>1</v>
      </c>
      <c r="AV431" s="57" t="n">
        <f aca="false">IF(LEFT(Cockpit!$O$5,1)="A",H431,IF(CA431=1,CB431,IF(LEFT(Cockpit!$O$5,1)="B",AZ431,MAX(AZ431,H431))))</f>
        <v>250</v>
      </c>
      <c r="AW431" s="57" t="n">
        <f aca="false">IF(BT431=1,0,ROUNDUP(AV431/BS431,0))</f>
        <v>2</v>
      </c>
      <c r="AX431" s="59" t="n">
        <f aca="false">IF(CH431&gt;0,CH431*MAX(1,AV431/X431),IF(BT431=1,IF(AV431&lt;=0,0,BW431*MAX(1,IF(H431&gt;0,AV431/H431,1))),IF(R431&gt;0,AW431/R431,0))/MAX(0.1,N(Parameter!$M$21)))</f>
        <v>0.0151515151515152</v>
      </c>
      <c r="AY431" s="57" t="n">
        <f aca="false">AV431*G431</f>
        <v>817.5</v>
      </c>
      <c r="AZ431" s="57" t="n">
        <f aca="false">ROUNDUP(MAX(J431/IF(BZ431&gt;0,BZ431,MAX(0.1,N(Cockpit!$O$6))),CC431)/BS431,0)*BS431</f>
        <v>250</v>
      </c>
      <c r="BA431" s="58" t="n">
        <f aca="false">IF(AX431&gt;0,J431/AX431,-1)</f>
        <v>10428</v>
      </c>
      <c r="BB431" s="58" t="n">
        <f aca="false">IF(AND(OR(BY431="L1",BY431="L23"),AX431&gt;0),SUMIFS($AX$7:$AX$1843,$BY$7:$BY$1843,BY431,$BA$7:$BA$1843,"&gt;"&amp;BA431)+SUMIFS($AX$7:$AX$1843,$BY$7:$BY$1843,BY431,$BA$7:$BA$1843,BA431,$BQ$7:$BQ$1843,"&lt;="&amp;BQ431),"")</f>
        <v>7.39698827742306</v>
      </c>
      <c r="BC431" s="65" t="n">
        <f aca="false">IF(BB431="",0,MAX(0,MIN(1,(IF(BY431="L1",Parameter!$E$5,Parameter!$E$6+Parameter!$E$7)-(BB431-AX431))/AX431)))</f>
        <v>1</v>
      </c>
      <c r="BD431" s="55" t="str">
        <f aca="false">IF(AH431&lt;=0,"",IF(BY431="Aussen","Aussenlager",IF(BY431="-","Nicht im Lift",IF(AM431&gt;=1,"Lift",IF(AM431&lt;=0,"Aussenlager","teilweise")))))</f>
        <v>Lift</v>
      </c>
      <c r="BE431" s="55" t="str">
        <f aca="false">IF(AP431&lt;=0,"",IF(BY431="Aussen","Aussenlager",IF(BY431="-","Nicht im Lift",IF(AU431&gt;=1,"Lift",IF(AU431&lt;=0,"Aussenlager","teilweise")))))</f>
        <v>Lift</v>
      </c>
      <c r="BF431" s="55" t="str">
        <f aca="false">IF(AX431&lt;=0,"",IF(BY431="Aussen","Aussenlager",IF(BY431="-","Nicht im Lift",IF(BC431&gt;=1,"Lift",IF(BC431&lt;=0,"Aussenlager","teilweise")))))</f>
        <v>Lift</v>
      </c>
      <c r="BG431" s="55" t="str">
        <f aca="false">IF(A431="","",IF(BP431=1,"Neu; ","")&amp;IF(AND(BP431=0,BK431&lt;0),"negativer Bestand (Export "&amp;BK431&amp;"); ","")&amp;IF(J431&lt;=0,"Kein Verbrauch; ","")&amp;IF(CH431&gt;0,"Lift "&amp;W431&amp;" lt. Liftbericht (Fach "&amp;X431&amp;" Stk); ",IF(BU431=1,"Gebinde geschätzt ("&amp;T431&amp;"); ",IF(BT431=1,"Lose – Tablare geschätzt; ","")))&amp;IF(H431&gt;AR431,"Überbestand "&amp;ROUND(H431-AR431,0)&amp;" Stk / CHF "&amp;ROUND((H431-AR431)*G431,0)&amp;"; ","")&amp;IF(AND(CA431=1,CB431&lt;CC431),"MAX &lt; MB+LG; ","")&amp;IF(AND(CG431&gt;0,CF431*10&gt;CG431),"zu hoch für Tablar; ","")&amp;IF(AND(BP431=0,OR(CA431=1,AA431&lt;&gt;"",U431&lt;&gt;"",V431&lt;&gt;"",AB431&lt;&gt;"")),"manuell übersteuert; ","")&amp;IF(AND(BT431=0,R431=0),"Gebinde unbekannt / Stellmass fehlt; ","")&amp;IF(AND(BT431=0,N(V431)&lt;=0,N(Q431)&lt;=0),"Menge pro Gebinde fehlt (Ist = 1 Gebinde); ","")&amp;BO431)</f>
        <v/>
      </c>
      <c r="BH431" s="55"/>
      <c r="BI431" s="55"/>
      <c r="BJ431" s="62"/>
      <c r="BK431" s="57" t="n">
        <v>44</v>
      </c>
      <c r="BL431" s="57" t="n">
        <v>111</v>
      </c>
      <c r="BM431" s="56" t="n">
        <v>83.9600000000007</v>
      </c>
      <c r="BN431" s="57" t="n">
        <v>158</v>
      </c>
      <c r="BO431" s="55"/>
      <c r="BP431" s="60" t="n">
        <v>0</v>
      </c>
      <c r="BQ431" s="60" t="n">
        <v>431</v>
      </c>
      <c r="BR431" s="55" t="str">
        <f aca="false">IF(U431&lt;&gt;"",UPPER(TRIM(U431)),IF(BU431=1,UPPER(VLOOKUP(T431,Parameter!$I$27:$K$29,2,0)),IF(P431="","LOSE",P431)))</f>
        <v>S32</v>
      </c>
      <c r="BS431" s="57" t="n">
        <f aca="false">IF(BR431="LOSE",1,IF(N(V431)&gt;0,V431,IF(BU431=1,MAX(1,N(VLOOKUP(T431,Parameter!$I$27:$K$29,3,0)),H431,N(N431)),IF(N(Q431)&gt;0,Q431,MAX(1,H431)))))</f>
        <v>125</v>
      </c>
      <c r="BT431" s="60" t="n">
        <f aca="false">IF(BR431="LOSE",1,0)</f>
        <v>0</v>
      </c>
      <c r="BU431" s="60" t="n">
        <f aca="false">IF(AND(U431="",OR(P431="",P431="LOSE"),T431&lt;&gt;"",N(S431)&lt;=0,ISNUMBER(MATCH(T431,Parameter!$I$27:$I$29,0))),1,0)</f>
        <v>0</v>
      </c>
      <c r="BV431" s="55" t="str">
        <f aca="false">IF(AND(Parameter!$B$19="Ja",E431&lt;&gt;"",ISNUMBER(MATCH(E431,Parameter!$I$35:$I$52,0))),VLOOKUP(E431,Parameter!$I$35:$J$52,2,0),IFERROR(VLOOKUP(D431,Parameter!$A$35:$C$64,2,0),"Nein"))</f>
        <v>2+3</v>
      </c>
      <c r="BW431" s="59" t="n">
        <f aca="false">IF(BT431=0,0,IF(N(S431)&gt;0,S431,IFERROR(VLOOKUP(D431,Parameter!$A$35:$C$64,3,0)+0,0)))</f>
        <v>0</v>
      </c>
      <c r="BX431" s="55" t="n">
        <f aca="false">IF(AA431&lt;&gt;"",AA431,Z431)</f>
        <v>3</v>
      </c>
      <c r="BY431" s="55" t="str">
        <f aca="false">IF(BX431=1,"L1",IF(OR(BX431=2,BX431=3),"L23",IF(BX431="Aussen","Aussen","-")))</f>
        <v>L23</v>
      </c>
      <c r="BZ431" s="66" t="n">
        <f aca="false">IF(N(AB431)&gt;0,AB431,0)</f>
        <v>0</v>
      </c>
      <c r="CA431" s="60" t="n">
        <f aca="false">IF(ISNUMBER(AE431),1,0)</f>
        <v>0</v>
      </c>
      <c r="CB431" s="57" t="n">
        <f aca="false">N(AE431)</f>
        <v>0</v>
      </c>
      <c r="CC431" s="57" t="n">
        <f aca="false">N(M431)+N(N431)</f>
        <v>169</v>
      </c>
      <c r="CD431" s="57" t="n">
        <f aca="false">ROUNDUP(H431/BS431,0)</f>
        <v>2</v>
      </c>
      <c r="CE431" s="57" t="n">
        <f aca="false">ROUNDUP(CB431/BS431,0)</f>
        <v>0</v>
      </c>
      <c r="CF431" s="60" t="n">
        <f aca="false">IF(BT431=1,0,IFERROR(VLOOKUP(BR431,'Gebinde-Kategorie'!$A$5:$M$45,5,0)+0,0))</f>
        <v>8</v>
      </c>
      <c r="CG431" s="60" t="n">
        <f aca="false">IFERROR(IF(OR(BX431=1,BX431=2,BX431=3),N(INDEX(Parameter!$I$5:$I$7,BX431)),0),0)</f>
        <v>0</v>
      </c>
      <c r="CH431" s="59" t="n">
        <f aca="false">IF(AND(Parameter!$B$21="Ja",ISNUMBER(W431),N(X431)&gt;0),IFERROR(N(INDEX(Parameter!$L$5:$L$7,W431))*INDEX(Parameter!$E$5:$E$7,W431)*X431/SUMIFS($X$7:$X$1843,$W$7:$W$1843,W431),0),0)</f>
        <v>0</v>
      </c>
    </row>
    <row r="432" customFormat="false" ht="15" hidden="false" customHeight="false" outlineLevel="0" collapsed="false">
      <c r="A432" s="55" t="s">
        <v>988</v>
      </c>
      <c r="B432" s="55" t="s">
        <v>989</v>
      </c>
      <c r="C432" s="55" t="s">
        <v>164</v>
      </c>
      <c r="D432" s="55" t="s">
        <v>184</v>
      </c>
      <c r="E432" s="55"/>
      <c r="F432" s="55" t="s">
        <v>218</v>
      </c>
      <c r="G432" s="56" t="n">
        <v>75.18</v>
      </c>
      <c r="H432" s="57" t="n">
        <f aca="false">MAX(0,IF(AND(Parameter!$B$21="Ja",ISNUMBER(Y432)),Y432,IF(Parameter!$B$20="Jahresanfang 2025 + Export",BL432+BK432,BK432)))</f>
        <v>8</v>
      </c>
      <c r="I432" s="57" t="n">
        <f aca="false">H432*G432</f>
        <v>601.44</v>
      </c>
      <c r="J432" s="57" t="n">
        <f aca="false">BN432*Parameter!$B$18</f>
        <v>5</v>
      </c>
      <c r="K432" s="58" t="n">
        <v>8.5</v>
      </c>
      <c r="L432" s="59" t="n">
        <v>0.588235294117647</v>
      </c>
      <c r="M432" s="57" t="n">
        <v>0</v>
      </c>
      <c r="N432" s="57" t="n">
        <v>10</v>
      </c>
      <c r="O432" s="60" t="n">
        <v>21</v>
      </c>
      <c r="P432" s="55" t="s">
        <v>401</v>
      </c>
      <c r="Q432" s="57" t="n">
        <v>10</v>
      </c>
      <c r="R432" s="60" t="n">
        <f aca="false">IF(BT432=1,0,IFERROR(VLOOKUP(BR432,'Gebinde-Kategorie'!$A$5:$M$45,13,0)+0,0))</f>
        <v>414</v>
      </c>
      <c r="S432" s="61"/>
      <c r="T432" s="62"/>
      <c r="U432" s="62"/>
      <c r="V432" s="62"/>
      <c r="W432" s="55"/>
      <c r="X432" s="57"/>
      <c r="Y432" s="57"/>
      <c r="Z432" s="55" t="n">
        <f aca="false">IF(A432="","",IF(AND(Parameter!$B$21="Ja",ISNUMBER(W432)),W432,IF(BV432="2+3",IF(ISNUMBER(SEARCH("grosser Artikel",BO432)),2,IFERROR(VLOOKUP(BR432,Parameter!$F$35:$G$64,2,0),2)),IF(OR(BV432="Nein",BV432=""),"-",BV432))))</f>
        <v>3</v>
      </c>
      <c r="AA432" s="62"/>
      <c r="AB432" s="63"/>
      <c r="AC432" s="57" t="n">
        <f aca="false">AR432</f>
        <v>10</v>
      </c>
      <c r="AD432" s="57" t="n">
        <f aca="false">MAX(AR432,H432)</f>
        <v>10</v>
      </c>
      <c r="AE432" s="64"/>
      <c r="AF432" s="57" t="n">
        <f aca="false">IF(LEFT(Cockpit!$C$5,1)="A",H432,IF(CA432=1,CB432,IF(LEFT(Cockpit!$C$5,1)="B",AJ432,MAX(AJ432,H432))))</f>
        <v>8</v>
      </c>
      <c r="AG432" s="57" t="n">
        <f aca="false">IF(BT432=1,0,ROUNDUP(AF432/BS432,0))</f>
        <v>1</v>
      </c>
      <c r="AH432" s="59" t="n">
        <f aca="false">IF(CH432&gt;0,CH432*MAX(1,AF432/X432),IF(BT432=1,IF(AF432&lt;=0,0,BW432*MAX(1,IF(H432&gt;0,AF432/H432,1))),IF(R432&gt;0,AG432/R432,0))/MAX(0.1,N(Parameter!$M$21)))</f>
        <v>0.00241545893719807</v>
      </c>
      <c r="AI432" s="57" t="n">
        <f aca="false">AF432*G432</f>
        <v>601.44</v>
      </c>
      <c r="AJ432" s="57" t="n">
        <f aca="false">ROUNDUP(MAX(J432/IF(BZ432&gt;0,BZ432,MAX(0.1,N(Cockpit!$C$6))),CC432)/BS432,0)*BS432</f>
        <v>10</v>
      </c>
      <c r="AK432" s="58" t="n">
        <f aca="false">IF(AH432&gt;0,J432/AH432,-1)</f>
        <v>2070</v>
      </c>
      <c r="AL432" s="58" t="n">
        <f aca="false">IF(AND(OR(BY432="L1",BY432="L23"),AH432&gt;0),SUMIFS($AH$7:$AH$1843,$BY$7:$BY$1843,BY432,$AK$7:$AK$1843,"&gt;"&amp;AK432)+SUMIFS($AH$7:$AH$1843,$BY$7:$BY$1843,BY432,$AK$7:$AK$1843,AK432,$BQ$7:$BQ$1843,"&lt;="&amp;BQ432),"")</f>
        <v>12.7954038714908</v>
      </c>
      <c r="AM432" s="65" t="n">
        <f aca="false">IF(AL432="",0,MAX(0,MIN(1,(IF(BY432="L1",Parameter!$E$5,Parameter!$E$6+Parameter!$E$7)-(AL432-AH432))/AH432)))</f>
        <v>1</v>
      </c>
      <c r="AN432" s="57" t="n">
        <f aca="false">IF(LEFT(Cockpit!$I$5,1)="A",H432,IF(CA432=1,CB432,IF(LEFT(Cockpit!$I$5,1)="B",AR432,MAX(AR432,H432))))</f>
        <v>10</v>
      </c>
      <c r="AO432" s="57" t="n">
        <f aca="false">IF(BT432=1,0,ROUNDUP(AN432/BS432,0))</f>
        <v>1</v>
      </c>
      <c r="AP432" s="59" t="n">
        <f aca="false">IF(CH432&gt;0,CH432*MAX(1,AN432/X432),IF(BT432=1,IF(AN432&lt;=0,0,BW432*MAX(1,IF(H432&gt;0,AN432/H432,1))),IF(R432&gt;0,AO432/R432,0))/MAX(0.1,N(Parameter!$M$21)))</f>
        <v>0.00241545893719807</v>
      </c>
      <c r="AQ432" s="57" t="n">
        <f aca="false">AN432*G432</f>
        <v>751.8</v>
      </c>
      <c r="AR432" s="57" t="n">
        <f aca="false">ROUNDUP(MAX(J432/IF(BZ432&gt;0,BZ432,MAX(0.1,N(Cockpit!$I$6))),CC432)/BS432,0)*BS432</f>
        <v>10</v>
      </c>
      <c r="AS432" s="58" t="n">
        <f aca="false">IF(AP432&gt;0,J432/AP432,-1)</f>
        <v>2070</v>
      </c>
      <c r="AT432" s="58" t="n">
        <f aca="false">IF(AND(OR(BY432="L1",BY432="L23"),AP432&gt;0),SUMIFS($AP$7:$AP$1843,$BY$7:$BY$1843,BY432,$AS$7:$AS$1843,"&gt;"&amp;AS432)+SUMIFS($AP$7:$AP$1843,$BY$7:$BY$1843,BY432,$AS$7:$AS$1843,AS432,$BQ$7:$BQ$1843,"&lt;="&amp;BQ432),"")</f>
        <v>18.4277304820783</v>
      </c>
      <c r="AU432" s="65" t="n">
        <f aca="false">IF(AT432="",0,MAX(0,MIN(1,(IF(BY432="L1",Parameter!$E$5,Parameter!$E$6+Parameter!$E$7)-(AT432-AP432))/AP432)))</f>
        <v>1</v>
      </c>
      <c r="AV432" s="57" t="n">
        <f aca="false">IF(LEFT(Cockpit!$O$5,1)="A",H432,IF(CA432=1,CB432,IF(LEFT(Cockpit!$O$5,1)="B",AZ432,MAX(AZ432,H432))))</f>
        <v>10</v>
      </c>
      <c r="AW432" s="57" t="n">
        <f aca="false">IF(BT432=1,0,ROUNDUP(AV432/BS432,0))</f>
        <v>1</v>
      </c>
      <c r="AX432" s="59" t="n">
        <f aca="false">IF(CH432&gt;0,CH432*MAX(1,AV432/X432),IF(BT432=1,IF(AV432&lt;=0,0,BW432*MAX(1,IF(H432&gt;0,AV432/H432,1))),IF(R432&gt;0,AW432/R432,0))/MAX(0.1,N(Parameter!$M$21)))</f>
        <v>0.00241545893719807</v>
      </c>
      <c r="AY432" s="57" t="n">
        <f aca="false">AV432*G432</f>
        <v>751.8</v>
      </c>
      <c r="AZ432" s="57" t="n">
        <f aca="false">ROUNDUP(MAX(J432/IF(BZ432&gt;0,BZ432,MAX(0.1,N(Cockpit!$O$6))),CC432)/BS432,0)*BS432</f>
        <v>10</v>
      </c>
      <c r="BA432" s="58" t="n">
        <f aca="false">IF(AX432&gt;0,J432/AX432,-1)</f>
        <v>2070</v>
      </c>
      <c r="BB432" s="58" t="n">
        <f aca="false">IF(AND(OR(BY432="L1",BY432="L23"),AX432&gt;0),SUMIFS($AX$7:$AX$1843,$BY$7:$BY$1843,BY432,$BA$7:$BA$1843,"&gt;"&amp;BA432)+SUMIFS($AX$7:$AX$1843,$BY$7:$BY$1843,BY432,$BA$7:$BA$1843,BA432,$BQ$7:$BQ$1843,"&lt;="&amp;BQ432),"")</f>
        <v>17.0011570555049</v>
      </c>
      <c r="BC432" s="65" t="n">
        <f aca="false">IF(BB432="",0,MAX(0,MIN(1,(IF(BY432="L1",Parameter!$E$5,Parameter!$E$6+Parameter!$E$7)-(BB432-AX432))/AX432)))</f>
        <v>1</v>
      </c>
      <c r="BD432" s="55" t="str">
        <f aca="false">IF(AH432&lt;=0,"",IF(BY432="Aussen","Aussenlager",IF(BY432="-","Nicht im Lift",IF(AM432&gt;=1,"Lift",IF(AM432&lt;=0,"Aussenlager","teilweise")))))</f>
        <v>Lift</v>
      </c>
      <c r="BE432" s="55" t="str">
        <f aca="false">IF(AP432&lt;=0,"",IF(BY432="Aussen","Aussenlager",IF(BY432="-","Nicht im Lift",IF(AU432&gt;=1,"Lift",IF(AU432&lt;=0,"Aussenlager","teilweise")))))</f>
        <v>Lift</v>
      </c>
      <c r="BF432" s="55" t="str">
        <f aca="false">IF(AX432&lt;=0,"",IF(BY432="Aussen","Aussenlager",IF(BY432="-","Nicht im Lift",IF(BC432&gt;=1,"Lift",IF(BC432&lt;=0,"Aussenlager","teilweise")))))</f>
        <v>Lift</v>
      </c>
      <c r="BG432" s="55" t="str">
        <f aca="false">IF(A432="","",IF(BP432=1,"Neu; ","")&amp;IF(AND(BP432=0,BK432&lt;0),"negativer Bestand (Export "&amp;BK432&amp;"); ","")&amp;IF(J432&lt;=0,"Kein Verbrauch; ","")&amp;IF(CH432&gt;0,"Lift "&amp;W432&amp;" lt. Liftbericht (Fach "&amp;X432&amp;" Stk); ",IF(BU432=1,"Gebinde geschätzt ("&amp;T432&amp;"); ",IF(BT432=1,"Lose – Tablare geschätzt; ","")))&amp;IF(H432&gt;AR432,"Überbestand "&amp;ROUND(H432-AR432,0)&amp;" Stk / CHF "&amp;ROUND((H432-AR432)*G432,0)&amp;"; ","")&amp;IF(AND(CA432=1,CB432&lt;CC432),"MAX &lt; MB+LG; ","")&amp;IF(AND(CG432&gt;0,CF432*10&gt;CG432),"zu hoch für Tablar; ","")&amp;IF(AND(BP432=0,OR(CA432=1,AA432&lt;&gt;"",U432&lt;&gt;"",V432&lt;&gt;"",AB432&lt;&gt;"")),"manuell übersteuert; ","")&amp;IF(AND(BT432=0,R432=0),"Gebinde unbekannt / Stellmass fehlt; ","")&amp;IF(AND(BT432=0,N(V432)&lt;=0,N(Q432)&lt;=0),"Menge pro Gebinde fehlt (Ist = 1 Gebinde); ","")&amp;BO432)</f>
        <v>negativer Bestand (Export -1); </v>
      </c>
      <c r="BH432" s="55"/>
      <c r="BI432" s="55"/>
      <c r="BJ432" s="62"/>
      <c r="BK432" s="57" t="n">
        <v>-1</v>
      </c>
      <c r="BL432" s="57" t="n">
        <v>9</v>
      </c>
      <c r="BM432" s="56" t="n">
        <v>80.7900000000001</v>
      </c>
      <c r="BN432" s="57" t="n">
        <v>5</v>
      </c>
      <c r="BO432" s="55"/>
      <c r="BP432" s="60" t="n">
        <v>0</v>
      </c>
      <c r="BQ432" s="60" t="n">
        <v>432</v>
      </c>
      <c r="BR432" s="55" t="str">
        <f aca="false">IF(U432&lt;&gt;"",UPPER(TRIM(U432)),IF(BU432=1,UPPER(VLOOKUP(T432,Parameter!$I$27:$K$29,2,0)),IF(P432="","LOSE",P432)))</f>
        <v>S21</v>
      </c>
      <c r="BS432" s="57" t="n">
        <f aca="false">IF(BR432="LOSE",1,IF(N(V432)&gt;0,V432,IF(BU432=1,MAX(1,N(VLOOKUP(T432,Parameter!$I$27:$K$29,3,0)),H432,N(N432)),IF(N(Q432)&gt;0,Q432,MAX(1,H432)))))</f>
        <v>10</v>
      </c>
      <c r="BT432" s="60" t="n">
        <f aca="false">IF(BR432="LOSE",1,0)</f>
        <v>0</v>
      </c>
      <c r="BU432" s="60" t="n">
        <f aca="false">IF(AND(U432="",OR(P432="",P432="LOSE"),T432&lt;&gt;"",N(S432)&lt;=0,ISNUMBER(MATCH(T432,Parameter!$I$27:$I$29,0))),1,0)</f>
        <v>0</v>
      </c>
      <c r="BV432" s="55" t="str">
        <f aca="false">IF(AND(Parameter!$B$19="Ja",E432&lt;&gt;"",ISNUMBER(MATCH(E432,Parameter!$I$35:$I$52,0))),VLOOKUP(E432,Parameter!$I$35:$J$52,2,0),IFERROR(VLOOKUP(D432,Parameter!$A$35:$C$64,2,0),"Nein"))</f>
        <v>2+3</v>
      </c>
      <c r="BW432" s="59" t="n">
        <f aca="false">IF(BT432=0,0,IF(N(S432)&gt;0,S432,IFERROR(VLOOKUP(D432,Parameter!$A$35:$C$64,3,0)+0,0)))</f>
        <v>0</v>
      </c>
      <c r="BX432" s="55" t="n">
        <f aca="false">IF(AA432&lt;&gt;"",AA432,Z432)</f>
        <v>3</v>
      </c>
      <c r="BY432" s="55" t="str">
        <f aca="false">IF(BX432=1,"L1",IF(OR(BX432=2,BX432=3),"L23",IF(BX432="Aussen","Aussen","-")))</f>
        <v>L23</v>
      </c>
      <c r="BZ432" s="66" t="n">
        <f aca="false">IF(N(AB432)&gt;0,AB432,0)</f>
        <v>0</v>
      </c>
      <c r="CA432" s="60" t="n">
        <f aca="false">IF(ISNUMBER(AE432),1,0)</f>
        <v>0</v>
      </c>
      <c r="CB432" s="57" t="n">
        <f aca="false">N(AE432)</f>
        <v>0</v>
      </c>
      <c r="CC432" s="57" t="n">
        <f aca="false">N(M432)+N(N432)</f>
        <v>10</v>
      </c>
      <c r="CD432" s="57" t="n">
        <f aca="false">ROUNDUP(H432/BS432,0)</f>
        <v>1</v>
      </c>
      <c r="CE432" s="57" t="n">
        <f aca="false">ROUNDUP(CB432/BS432,0)</f>
        <v>0</v>
      </c>
      <c r="CF432" s="60" t="n">
        <f aca="false">IF(BT432=1,0,IFERROR(VLOOKUP(BR432,'Gebinde-Kategorie'!$A$5:$M$45,5,0)+0,0))</f>
        <v>8</v>
      </c>
      <c r="CG432" s="60" t="n">
        <f aca="false">IFERROR(IF(OR(BX432=1,BX432=2,BX432=3),N(INDEX(Parameter!$I$5:$I$7,BX432)),0),0)</f>
        <v>0</v>
      </c>
      <c r="CH432" s="59" t="n">
        <f aca="false">IF(AND(Parameter!$B$21="Ja",ISNUMBER(W432),N(X432)&gt;0),IFERROR(N(INDEX(Parameter!$L$5:$L$7,W432))*INDEX(Parameter!$E$5:$E$7,W432)*X432/SUMIFS($X$7:$X$1843,$W$7:$W$1843,W432),0),0)</f>
        <v>0</v>
      </c>
    </row>
    <row r="433" customFormat="false" ht="15" hidden="false" customHeight="false" outlineLevel="0" collapsed="false">
      <c r="A433" s="55" t="s">
        <v>990</v>
      </c>
      <c r="B433" s="55" t="s">
        <v>991</v>
      </c>
      <c r="C433" s="55" t="s">
        <v>164</v>
      </c>
      <c r="D433" s="55" t="s">
        <v>184</v>
      </c>
      <c r="E433" s="55" t="s">
        <v>185</v>
      </c>
      <c r="F433" s="55" t="s">
        <v>218</v>
      </c>
      <c r="G433" s="56" t="n">
        <v>9.53</v>
      </c>
      <c r="H433" s="57" t="n">
        <f aca="false">MAX(0,IF(AND(Parameter!$B$21="Ja",ISNUMBER(Y433)),Y433,IF(Parameter!$B$20="Jahresanfang 2025 + Export",BL433+BK433,BK433)))</f>
        <v>19</v>
      </c>
      <c r="I433" s="57" t="n">
        <f aca="false">H433*G433</f>
        <v>181.07</v>
      </c>
      <c r="J433" s="57" t="n">
        <f aca="false">BN433*Parameter!$B$18</f>
        <v>129</v>
      </c>
      <c r="K433" s="58" t="n">
        <v>11.5</v>
      </c>
      <c r="L433" s="59" t="n">
        <v>11.2173913043478</v>
      </c>
      <c r="M433" s="57" t="n">
        <v>5</v>
      </c>
      <c r="N433" s="57" t="n">
        <v>25</v>
      </c>
      <c r="O433" s="60" t="n">
        <v>14</v>
      </c>
      <c r="P433" s="55" t="s">
        <v>226</v>
      </c>
      <c r="Q433" s="57" t="n">
        <v>40</v>
      </c>
      <c r="R433" s="60" t="n">
        <f aca="false">IF(BT433=1,0,IFERROR(VLOOKUP(BR433,'Gebinde-Kategorie'!$A$5:$M$45,13,0)+0,0))</f>
        <v>12</v>
      </c>
      <c r="S433" s="61"/>
      <c r="T433" s="62"/>
      <c r="U433" s="62"/>
      <c r="V433" s="62"/>
      <c r="W433" s="55"/>
      <c r="X433" s="57"/>
      <c r="Y433" s="57"/>
      <c r="Z433" s="55" t="n">
        <f aca="false">IF(A433="","",IF(AND(Parameter!$B$21="Ja",ISNUMBER(W433)),W433,IF(BV433="2+3",IF(ISNUMBER(SEARCH("grosser Artikel",BO433)),2,IFERROR(VLOOKUP(BR433,Parameter!$F$35:$G$64,2,0),2)),IF(OR(BV433="Nein",BV433=""),"-",BV433))))</f>
        <v>2</v>
      </c>
      <c r="AA433" s="62"/>
      <c r="AB433" s="63"/>
      <c r="AC433" s="57" t="n">
        <f aca="false">AR433</f>
        <v>80</v>
      </c>
      <c r="AD433" s="57" t="n">
        <f aca="false">MAX(AR433,H433)</f>
        <v>80</v>
      </c>
      <c r="AE433" s="64"/>
      <c r="AF433" s="57" t="n">
        <f aca="false">IF(LEFT(Cockpit!$C$5,1)="A",H433,IF(CA433=1,CB433,IF(LEFT(Cockpit!$C$5,1)="B",AJ433,MAX(AJ433,H433))))</f>
        <v>19</v>
      </c>
      <c r="AG433" s="57" t="n">
        <f aca="false">IF(BT433=1,0,ROUNDUP(AF433/BS433,0))</f>
        <v>1</v>
      </c>
      <c r="AH433" s="59" t="n">
        <f aca="false">IF(CH433&gt;0,CH433*MAX(1,AF433/X433),IF(BT433=1,IF(AF433&lt;=0,0,BW433*MAX(1,IF(H433&gt;0,AF433/H433,1))),IF(R433&gt;0,AG433/R433,0))/MAX(0.1,N(Parameter!$M$21)))</f>
        <v>0.0833333333333333</v>
      </c>
      <c r="AI433" s="57" t="n">
        <f aca="false">AF433*G433</f>
        <v>181.07</v>
      </c>
      <c r="AJ433" s="57" t="n">
        <f aca="false">ROUNDUP(MAX(J433/IF(BZ433&gt;0,BZ433,MAX(0.1,N(Cockpit!$C$6))),CC433)/BS433,0)*BS433</f>
        <v>80</v>
      </c>
      <c r="AK433" s="58" t="n">
        <f aca="false">IF(AH433&gt;0,J433/AH433,-1)</f>
        <v>1548</v>
      </c>
      <c r="AL433" s="58" t="n">
        <f aca="false">IF(AND(OR(BY433="L1",BY433="L23"),AH433&gt;0),SUMIFS($AH$7:$AH$1843,$BY$7:$BY$1843,BY433,$AK$7:$AK$1843,"&gt;"&amp;AK433)+SUMIFS($AH$7:$AH$1843,$BY$7:$BY$1843,BY433,$AK$7:$AK$1843,AK433,$BQ$7:$BQ$1843,"&lt;="&amp;BQ433),"")</f>
        <v>15.7318925036316</v>
      </c>
      <c r="AM433" s="65" t="n">
        <f aca="false">IF(AL433="",0,MAX(0,MIN(1,(IF(BY433="L1",Parameter!$E$5,Parameter!$E$6+Parameter!$E$7)-(AL433-AH433))/AH433)))</f>
        <v>1</v>
      </c>
      <c r="AN433" s="57" t="n">
        <f aca="false">IF(LEFT(Cockpit!$I$5,1)="A",H433,IF(CA433=1,CB433,IF(LEFT(Cockpit!$I$5,1)="B",AR433,MAX(AR433,H433))))</f>
        <v>80</v>
      </c>
      <c r="AO433" s="57" t="n">
        <f aca="false">IF(BT433=1,0,ROUNDUP(AN433/BS433,0))</f>
        <v>2</v>
      </c>
      <c r="AP433" s="59" t="n">
        <f aca="false">IF(CH433&gt;0,CH433*MAX(1,AN433/X433),IF(BT433=1,IF(AN433&lt;=0,0,BW433*MAX(1,IF(H433&gt;0,AN433/H433,1))),IF(R433&gt;0,AO433/R433,0))/MAX(0.1,N(Parameter!$M$21)))</f>
        <v>0.166666666666667</v>
      </c>
      <c r="AQ433" s="57" t="n">
        <f aca="false">AN433*G433</f>
        <v>762.4</v>
      </c>
      <c r="AR433" s="57" t="n">
        <f aca="false">ROUNDUP(MAX(J433/IF(BZ433&gt;0,BZ433,MAX(0.1,N(Cockpit!$I$6))),CC433)/BS433,0)*BS433</f>
        <v>80</v>
      </c>
      <c r="AS433" s="58" t="n">
        <f aca="false">IF(AP433&gt;0,J433/AP433,-1)</f>
        <v>774</v>
      </c>
      <c r="AT433" s="58" t="n">
        <f aca="false">IF(AND(OR(BY433="L1",BY433="L23"),AP433&gt;0),SUMIFS($AP$7:$AP$1843,$BY$7:$BY$1843,BY433,$AS$7:$AS$1843,"&gt;"&amp;AS433)+SUMIFS($AP$7:$AP$1843,$BY$7:$BY$1843,BY433,$AS$7:$AS$1843,AS433,$BQ$7:$BQ$1843,"&lt;="&amp;BQ433),"")</f>
        <v>26.894125198473</v>
      </c>
      <c r="AU433" s="65" t="n">
        <f aca="false">IF(AT433="",0,MAX(0,MIN(1,(IF(BY433="L1",Parameter!$E$5,Parameter!$E$6+Parameter!$E$7)-(AT433-AP433))/AP433)))</f>
        <v>1</v>
      </c>
      <c r="AV433" s="57" t="n">
        <f aca="false">IF(LEFT(Cockpit!$O$5,1)="A",H433,IF(CA433=1,CB433,IF(LEFT(Cockpit!$O$5,1)="B",AZ433,MAX(AZ433,H433))))</f>
        <v>80</v>
      </c>
      <c r="AW433" s="57" t="n">
        <f aca="false">IF(BT433=1,0,ROUNDUP(AV433/BS433,0))</f>
        <v>2</v>
      </c>
      <c r="AX433" s="59" t="n">
        <f aca="false">IF(CH433&gt;0,CH433*MAX(1,AV433/X433),IF(BT433=1,IF(AV433&lt;=0,0,BW433*MAX(1,IF(H433&gt;0,AV433/H433,1))),IF(R433&gt;0,AW433/R433,0))/MAX(0.1,N(Parameter!$M$21)))</f>
        <v>0.166666666666667</v>
      </c>
      <c r="AY433" s="57" t="n">
        <f aca="false">AV433*G433</f>
        <v>762.4</v>
      </c>
      <c r="AZ433" s="57" t="n">
        <f aca="false">ROUNDUP(MAX(J433/IF(BZ433&gt;0,BZ433,MAX(0.1,N(Cockpit!$O$6))),CC433)/BS433,0)*BS433</f>
        <v>80</v>
      </c>
      <c r="BA433" s="58" t="n">
        <f aca="false">IF(AX433&gt;0,J433/AX433,-1)</f>
        <v>774</v>
      </c>
      <c r="BB433" s="58" t="n">
        <f aca="false">IF(AND(OR(BY433="L1",BY433="L23"),AX433&gt;0),SUMIFS($AX$7:$AX$1843,$BY$7:$BY$1843,BY433,$BA$7:$BA$1843,"&gt;"&amp;BA433)+SUMIFS($AX$7:$AX$1843,$BY$7:$BY$1843,BY433,$BA$7:$BA$1843,BA433,$BQ$7:$BQ$1843,"&lt;="&amp;BQ433),"")</f>
        <v>26.3457569001047</v>
      </c>
      <c r="BC433" s="65" t="n">
        <f aca="false">IF(BB433="",0,MAX(0,MIN(1,(IF(BY433="L1",Parameter!$E$5,Parameter!$E$6+Parameter!$E$7)-(BB433-AX433))/AX433)))</f>
        <v>1</v>
      </c>
      <c r="BD433" s="55" t="str">
        <f aca="false">IF(AH433&lt;=0,"",IF(BY433="Aussen","Aussenlager",IF(BY433="-","Nicht im Lift",IF(AM433&gt;=1,"Lift",IF(AM433&lt;=0,"Aussenlager","teilweise")))))</f>
        <v>Lift</v>
      </c>
      <c r="BE433" s="55" t="str">
        <f aca="false">IF(AP433&lt;=0,"",IF(BY433="Aussen","Aussenlager",IF(BY433="-","Nicht im Lift",IF(AU433&gt;=1,"Lift",IF(AU433&lt;=0,"Aussenlager","teilweise")))))</f>
        <v>Lift</v>
      </c>
      <c r="BF433" s="55" t="str">
        <f aca="false">IF(AX433&lt;=0,"",IF(BY433="Aussen","Aussenlager",IF(BY433="-","Nicht im Lift",IF(BC433&gt;=1,"Lift",IF(BC433&lt;=0,"Aussenlager","teilweise")))))</f>
        <v>Lift</v>
      </c>
      <c r="BG433" s="55" t="str">
        <f aca="false">IF(A433="","",IF(BP433=1,"Neu; ","")&amp;IF(AND(BP433=0,BK433&lt;0),"negativer Bestand (Export "&amp;BK433&amp;"); ","")&amp;IF(J433&lt;=0,"Kein Verbrauch; ","")&amp;IF(CH433&gt;0,"Lift "&amp;W433&amp;" lt. Liftbericht (Fach "&amp;X433&amp;" Stk); ",IF(BU433=1,"Gebinde geschätzt ("&amp;T433&amp;"); ",IF(BT433=1,"Lose – Tablare geschätzt; ","")))&amp;IF(H433&gt;AR433,"Überbestand "&amp;ROUND(H433-AR433,0)&amp;" Stk / CHF "&amp;ROUND((H433-AR433)*G433,0)&amp;"; ","")&amp;IF(AND(CA433=1,CB433&lt;CC433),"MAX &lt; MB+LG; ","")&amp;IF(AND(CG433&gt;0,CF433*10&gt;CG433),"zu hoch für Tablar; ","")&amp;IF(AND(BP433=0,OR(CA433=1,AA433&lt;&gt;"",U433&lt;&gt;"",V433&lt;&gt;"",AB433&lt;&gt;"")),"manuell übersteuert; ","")&amp;IF(AND(BT433=0,R433=0),"Gebinde unbekannt / Stellmass fehlt; ","")&amp;IF(AND(BT433=0,N(V433)&lt;=0,N(Q433)&lt;=0),"Menge pro Gebinde fehlt (Ist = 1 Gebinde); ","")&amp;BO433)</f>
        <v/>
      </c>
      <c r="BH433" s="55"/>
      <c r="BI433" s="55"/>
      <c r="BJ433" s="62"/>
      <c r="BK433" s="57" t="n">
        <v>8</v>
      </c>
      <c r="BL433" s="57" t="n">
        <v>11</v>
      </c>
      <c r="BM433" s="56" t="n">
        <v>79.4300000000001</v>
      </c>
      <c r="BN433" s="57" t="n">
        <v>129</v>
      </c>
      <c r="BO433" s="55"/>
      <c r="BP433" s="60" t="n">
        <v>0</v>
      </c>
      <c r="BQ433" s="60" t="n">
        <v>433</v>
      </c>
      <c r="BR433" s="55" t="str">
        <f aca="false">IF(U433&lt;&gt;"",UPPER(TRIM(U433)),IF(BU433=1,UPPER(VLOOKUP(T433,Parameter!$I$27:$K$29,2,0)),IF(P433="","LOSE",P433)))</f>
        <v>S63</v>
      </c>
      <c r="BS433" s="57" t="n">
        <f aca="false">IF(BR433="LOSE",1,IF(N(V433)&gt;0,V433,IF(BU433=1,MAX(1,N(VLOOKUP(T433,Parameter!$I$27:$K$29,3,0)),H433,N(N433)),IF(N(Q433)&gt;0,Q433,MAX(1,H433)))))</f>
        <v>40</v>
      </c>
      <c r="BT433" s="60" t="n">
        <f aca="false">IF(BR433="LOSE",1,0)</f>
        <v>0</v>
      </c>
      <c r="BU433" s="60" t="n">
        <f aca="false">IF(AND(U433="",OR(P433="",P433="LOSE"),T433&lt;&gt;"",N(S433)&lt;=0,ISNUMBER(MATCH(T433,Parameter!$I$27:$I$29,0))),1,0)</f>
        <v>0</v>
      </c>
      <c r="BV433" s="55" t="str">
        <f aca="false">IF(AND(Parameter!$B$19="Ja",E433&lt;&gt;"",ISNUMBER(MATCH(E433,Parameter!$I$35:$I$52,0))),VLOOKUP(E433,Parameter!$I$35:$J$52,2,0),IFERROR(VLOOKUP(D433,Parameter!$A$35:$C$64,2,0),"Nein"))</f>
        <v>2+3</v>
      </c>
      <c r="BW433" s="59" t="n">
        <f aca="false">IF(BT433=0,0,IF(N(S433)&gt;0,S433,IFERROR(VLOOKUP(D433,Parameter!$A$35:$C$64,3,0)+0,0)))</f>
        <v>0</v>
      </c>
      <c r="BX433" s="55" t="n">
        <f aca="false">IF(AA433&lt;&gt;"",AA433,Z433)</f>
        <v>2</v>
      </c>
      <c r="BY433" s="55" t="str">
        <f aca="false">IF(BX433=1,"L1",IF(OR(BX433=2,BX433=3),"L23",IF(BX433="Aussen","Aussen","-")))</f>
        <v>L23</v>
      </c>
      <c r="BZ433" s="66" t="n">
        <f aca="false">IF(N(AB433)&gt;0,AB433,0)</f>
        <v>0</v>
      </c>
      <c r="CA433" s="60" t="n">
        <f aca="false">IF(ISNUMBER(AE433),1,0)</f>
        <v>0</v>
      </c>
      <c r="CB433" s="57" t="n">
        <f aca="false">N(AE433)</f>
        <v>0</v>
      </c>
      <c r="CC433" s="57" t="n">
        <f aca="false">N(M433)+N(N433)</f>
        <v>30</v>
      </c>
      <c r="CD433" s="57" t="n">
        <f aca="false">ROUNDUP(H433/BS433,0)</f>
        <v>1</v>
      </c>
      <c r="CE433" s="57" t="n">
        <f aca="false">ROUNDUP(CB433/BS433,0)</f>
        <v>0</v>
      </c>
      <c r="CF433" s="60" t="n">
        <f aca="false">IF(BT433=1,0,IFERROR(VLOOKUP(BR433,'Gebinde-Kategorie'!$A$5:$M$45,5,0)+0,0))</f>
        <v>31</v>
      </c>
      <c r="CG433" s="60" t="n">
        <f aca="false">IFERROR(IF(OR(BX433=1,BX433=2,BX433=3),N(INDEX(Parameter!$I$5:$I$7,BX433)),0),0)</f>
        <v>0</v>
      </c>
      <c r="CH433" s="59" t="n">
        <f aca="false">IF(AND(Parameter!$B$21="Ja",ISNUMBER(W433),N(X433)&gt;0),IFERROR(N(INDEX(Parameter!$L$5:$L$7,W433))*INDEX(Parameter!$E$5:$E$7,W433)*X433/SUMIFS($X$7:$X$1843,$W$7:$W$1843,W433),0),0)</f>
        <v>0</v>
      </c>
    </row>
    <row r="434" customFormat="false" ht="15" hidden="false" customHeight="false" outlineLevel="0" collapsed="false">
      <c r="A434" s="55" t="s">
        <v>992</v>
      </c>
      <c r="B434" s="55" t="s">
        <v>993</v>
      </c>
      <c r="C434" s="55" t="s">
        <v>164</v>
      </c>
      <c r="D434" s="55" t="s">
        <v>184</v>
      </c>
      <c r="E434" s="55"/>
      <c r="F434" s="55" t="s">
        <v>218</v>
      </c>
      <c r="G434" s="56" t="n">
        <v>16.05</v>
      </c>
      <c r="H434" s="57" t="n">
        <f aca="false">MAX(0,IF(AND(Parameter!$B$21="Ja",ISNUMBER(Y434)),Y434,IF(Parameter!$B$20="Jahresanfang 2025 + Export",BL434+BK434,BK434)))</f>
        <v>4.91</v>
      </c>
      <c r="I434" s="57" t="n">
        <f aca="false">H434*G434</f>
        <v>78.8055</v>
      </c>
      <c r="J434" s="57" t="n">
        <f aca="false">BN434*Parameter!$B$18</f>
        <v>0</v>
      </c>
      <c r="K434" s="58" t="n">
        <v>0</v>
      </c>
      <c r="L434" s="59" t="n">
        <v>0</v>
      </c>
      <c r="M434" s="57" t="n">
        <v>1</v>
      </c>
      <c r="N434" s="57" t="n">
        <v>5</v>
      </c>
      <c r="O434" s="60" t="n">
        <v>0</v>
      </c>
      <c r="P434" s="55" t="s">
        <v>168</v>
      </c>
      <c r="Q434" s="57"/>
      <c r="R434" s="60" t="n">
        <f aca="false">IF(BT434=1,0,IFERROR(VLOOKUP(BR434,'Gebinde-Kategorie'!$A$5:$M$45,13,0)+0,0))</f>
        <v>26</v>
      </c>
      <c r="S434" s="61"/>
      <c r="T434" s="62" t="s">
        <v>275</v>
      </c>
      <c r="U434" s="62"/>
      <c r="V434" s="62"/>
      <c r="W434" s="55"/>
      <c r="X434" s="57"/>
      <c r="Y434" s="57"/>
      <c r="Z434" s="55" t="n">
        <f aca="false">IF(A434="","",IF(AND(Parameter!$B$21="Ja",ISNUMBER(W434)),W434,IF(BV434="2+3",IF(ISNUMBER(SEARCH("grosser Artikel",BO434)),2,IFERROR(VLOOKUP(BR434,Parameter!$F$35:$G$64,2,0),2)),IF(OR(BV434="Nein",BV434=""),"-",BV434))))</f>
        <v>3</v>
      </c>
      <c r="AA434" s="62"/>
      <c r="AB434" s="63"/>
      <c r="AC434" s="57" t="n">
        <f aca="false">AR434</f>
        <v>20</v>
      </c>
      <c r="AD434" s="57" t="n">
        <f aca="false">MAX(AR434,H434)</f>
        <v>20</v>
      </c>
      <c r="AE434" s="64"/>
      <c r="AF434" s="57" t="n">
        <f aca="false">IF(LEFT(Cockpit!$C$5,1)="A",H434,IF(CA434=1,CB434,IF(LEFT(Cockpit!$C$5,1)="B",AJ434,MAX(AJ434,H434))))</f>
        <v>4.91</v>
      </c>
      <c r="AG434" s="57" t="n">
        <f aca="false">IF(BT434=1,0,ROUNDUP(AF434/BS434,0))</f>
        <v>1</v>
      </c>
      <c r="AH434" s="59" t="n">
        <f aca="false">IF(CH434&gt;0,CH434*MAX(1,AF434/X434),IF(BT434=1,IF(AF434&lt;=0,0,BW434*MAX(1,IF(H434&gt;0,AF434/H434,1))),IF(R434&gt;0,AG434/R434,0))/MAX(0.1,N(Parameter!$M$21)))</f>
        <v>0.0384615384615385</v>
      </c>
      <c r="AI434" s="57" t="n">
        <f aca="false">AF434*G434</f>
        <v>78.8055</v>
      </c>
      <c r="AJ434" s="57" t="n">
        <f aca="false">ROUNDUP(MAX(J434/IF(BZ434&gt;0,BZ434,MAX(0.1,N(Cockpit!$C$6))),CC434)/BS434,0)*BS434</f>
        <v>20</v>
      </c>
      <c r="AK434" s="58" t="n">
        <f aca="false">IF(AH434&gt;0,J434/AH434,-1)</f>
        <v>0</v>
      </c>
      <c r="AL434" s="58" t="n">
        <f aca="false">IF(AND(OR(BY434="L1",BY434="L23"),AH434&gt;0),SUMIFS($AH$7:$AH$1843,$BY$7:$BY$1843,BY434,$AK$7:$AK$1843,"&gt;"&amp;AK434)+SUMIFS($AH$7:$AH$1843,$BY$7:$BY$1843,BY434,$AK$7:$AK$1843,AK434,$BQ$7:$BQ$1843,"&lt;="&amp;BQ434),"")</f>
        <v>73.9182122225601</v>
      </c>
      <c r="AM434" s="65" t="n">
        <f aca="false">IF(AL434="",0,MAX(0,MIN(1,(IF(BY434="L1",Parameter!$E$5,Parameter!$E$6+Parameter!$E$7)-(AL434-AH434))/AH434)))</f>
        <v>1</v>
      </c>
      <c r="AN434" s="57" t="n">
        <f aca="false">IF(LEFT(Cockpit!$I$5,1)="A",H434,IF(CA434=1,CB434,IF(LEFT(Cockpit!$I$5,1)="B",AR434,MAX(AR434,H434))))</f>
        <v>20</v>
      </c>
      <c r="AO434" s="57" t="n">
        <f aca="false">IF(BT434=1,0,ROUNDUP(AN434/BS434,0))</f>
        <v>1</v>
      </c>
      <c r="AP434" s="59" t="n">
        <f aca="false">IF(CH434&gt;0,CH434*MAX(1,AN434/X434),IF(BT434=1,IF(AN434&lt;=0,0,BW434*MAX(1,IF(H434&gt;0,AN434/H434,1))),IF(R434&gt;0,AO434/R434,0))/MAX(0.1,N(Parameter!$M$21)))</f>
        <v>0.0384615384615385</v>
      </c>
      <c r="AQ434" s="57" t="n">
        <f aca="false">AN434*G434</f>
        <v>321</v>
      </c>
      <c r="AR434" s="57" t="n">
        <f aca="false">ROUNDUP(MAX(J434/IF(BZ434&gt;0,BZ434,MAX(0.1,N(Cockpit!$I$6))),CC434)/BS434,0)*BS434</f>
        <v>20</v>
      </c>
      <c r="AS434" s="58" t="n">
        <f aca="false">IF(AP434&gt;0,J434/AP434,-1)</f>
        <v>0</v>
      </c>
      <c r="AT434" s="58" t="n">
        <f aca="false">IF(AND(OR(BY434="L1",BY434="L23"),AP434&gt;0),SUMIFS($AP$7:$AP$1843,$BY$7:$BY$1843,BY434,$AS$7:$AS$1843,"&gt;"&amp;AS434)+SUMIFS($AP$7:$AP$1843,$BY$7:$BY$1843,BY434,$AS$7:$AS$1843,AS434,$BQ$7:$BQ$1843,"&lt;="&amp;BQ434),"")</f>
        <v>113.342336407554</v>
      </c>
      <c r="AU434" s="65" t="n">
        <f aca="false">IF(AT434="",0,MAX(0,MIN(1,(IF(BY434="L1",Parameter!$E$5,Parameter!$E$6+Parameter!$E$7)-(AT434-AP434))/AP434)))</f>
        <v>0</v>
      </c>
      <c r="AV434" s="57" t="n">
        <f aca="false">IF(LEFT(Cockpit!$O$5,1)="A",H434,IF(CA434=1,CB434,IF(LEFT(Cockpit!$O$5,1)="B",AZ434,MAX(AZ434,H434))))</f>
        <v>20</v>
      </c>
      <c r="AW434" s="57" t="n">
        <f aca="false">IF(BT434=1,0,ROUNDUP(AV434/BS434,0))</f>
        <v>1</v>
      </c>
      <c r="AX434" s="59" t="n">
        <f aca="false">IF(CH434&gt;0,CH434*MAX(1,AV434/X434),IF(BT434=1,IF(AV434&lt;=0,0,BW434*MAX(1,IF(H434&gt;0,AV434/H434,1))),IF(R434&gt;0,AW434/R434,0))/MAX(0.1,N(Parameter!$M$21)))</f>
        <v>0.0384615384615385</v>
      </c>
      <c r="AY434" s="57" t="n">
        <f aca="false">AV434*G434</f>
        <v>321</v>
      </c>
      <c r="AZ434" s="57" t="n">
        <f aca="false">ROUNDUP(MAX(J434/IF(BZ434&gt;0,BZ434,MAX(0.1,N(Cockpit!$O$6))),CC434)/BS434,0)*BS434</f>
        <v>20</v>
      </c>
      <c r="BA434" s="58" t="n">
        <f aca="false">IF(AX434&gt;0,J434/AX434,-1)</f>
        <v>0</v>
      </c>
      <c r="BB434" s="58" t="n">
        <f aca="false">IF(AND(OR(BY434="L1",BY434="L23"),AX434&gt;0),SUMIFS($AX$7:$AX$1843,$BY$7:$BY$1843,BY434,$BA$7:$BA$1843,"&gt;"&amp;BA434)+SUMIFS($AX$7:$AX$1843,$BY$7:$BY$1843,BY434,$BA$7:$BA$1843,BA434,$BQ$7:$BQ$1843,"&lt;="&amp;BQ434),"")</f>
        <v>104.172173237391</v>
      </c>
      <c r="BC434" s="65" t="n">
        <f aca="false">IF(BB434="",0,MAX(0,MIN(1,(IF(BY434="L1",Parameter!$E$5,Parameter!$E$6+Parameter!$E$7)-(BB434-AX434))/AX434)))</f>
        <v>0</v>
      </c>
      <c r="BD434" s="55" t="str">
        <f aca="false">IF(AH434&lt;=0,"",IF(BY434="Aussen","Aussenlager",IF(BY434="-","Nicht im Lift",IF(AM434&gt;=1,"Lift",IF(AM434&lt;=0,"Aussenlager","teilweise")))))</f>
        <v>Lift</v>
      </c>
      <c r="BE434" s="55" t="str">
        <f aca="false">IF(AP434&lt;=0,"",IF(BY434="Aussen","Aussenlager",IF(BY434="-","Nicht im Lift",IF(AU434&gt;=1,"Lift",IF(AU434&lt;=0,"Aussenlager","teilweise")))))</f>
        <v>Aussenlager</v>
      </c>
      <c r="BF434" s="55" t="str">
        <f aca="false">IF(AX434&lt;=0,"",IF(BY434="Aussen","Aussenlager",IF(BY434="-","Nicht im Lift",IF(BC434&gt;=1,"Lift",IF(BC434&lt;=0,"Aussenlager","teilweise")))))</f>
        <v>Aussenlager</v>
      </c>
      <c r="BG434" s="55" t="str">
        <f aca="false">IF(A434="","",IF(BP434=1,"Neu; ","")&amp;IF(AND(BP434=0,BK434&lt;0),"negativer Bestand (Export "&amp;BK434&amp;"); ","")&amp;IF(J434&lt;=0,"Kein Verbrauch; ","")&amp;IF(CH434&gt;0,"Lift "&amp;W434&amp;" lt. Liftbericht (Fach "&amp;X434&amp;" Stk); ",IF(BU434=1,"Gebinde geschätzt ("&amp;T434&amp;"); ",IF(BT434=1,"Lose – Tablare geschätzt; ","")))&amp;IF(H434&gt;AR434,"Überbestand "&amp;ROUND(H434-AR434,0)&amp;" Stk / CHF "&amp;ROUND((H434-AR434)*G434,0)&amp;"; ","")&amp;IF(AND(CA434=1,CB434&lt;CC434),"MAX &lt; MB+LG; ","")&amp;IF(AND(CG434&gt;0,CF434*10&gt;CG434),"zu hoch für Tablar; ","")&amp;IF(AND(BP434=0,OR(CA434=1,AA434&lt;&gt;"",U434&lt;&gt;"",V434&lt;&gt;"",AB434&lt;&gt;"")),"manuell übersteuert; ","")&amp;IF(AND(BT434=0,R434=0),"Gebinde unbekannt / Stellmass fehlt; ","")&amp;IF(AND(BT434=0,N(V434)&lt;=0,N(Q434)&lt;=0),"Menge pro Gebinde fehlt (Ist = 1 Gebinde); ","")&amp;BO434)</f>
        <v>Kein Verbrauch; Gebinde geschätzt (Klein); Menge pro Gebinde fehlt (Ist = 1 Gebinde); </v>
      </c>
      <c r="BH434" s="55"/>
      <c r="BI434" s="55"/>
      <c r="BJ434" s="62"/>
      <c r="BK434" s="57" t="n">
        <v>4.91</v>
      </c>
      <c r="BL434" s="57" t="n">
        <v>0</v>
      </c>
      <c r="BM434" s="56" t="n">
        <v>78.81</v>
      </c>
      <c r="BN434" s="57" t="n">
        <v>0</v>
      </c>
      <c r="BO434" s="55"/>
      <c r="BP434" s="60" t="n">
        <v>0</v>
      </c>
      <c r="BQ434" s="60" t="n">
        <v>434</v>
      </c>
      <c r="BR434" s="55" t="str">
        <f aca="false">IF(U434&lt;&gt;"",UPPER(TRIM(U434)),IF(BU434=1,UPPER(VLOOKUP(T434,Parameter!$I$27:$K$29,2,0)),IF(P434="","LOSE",P434)))</f>
        <v>S51</v>
      </c>
      <c r="BS434" s="57" t="n">
        <f aca="false">IF(BR434="LOSE",1,IF(N(V434)&gt;0,V434,IF(BU434=1,MAX(1,N(VLOOKUP(T434,Parameter!$I$27:$K$29,3,0)),H434,N(N434)),IF(N(Q434)&gt;0,Q434,MAX(1,H434)))))</f>
        <v>20</v>
      </c>
      <c r="BT434" s="60" t="n">
        <f aca="false">IF(BR434="LOSE",1,0)</f>
        <v>0</v>
      </c>
      <c r="BU434" s="60" t="n">
        <f aca="false">IF(AND(U434="",OR(P434="",P434="LOSE"),T434&lt;&gt;"",N(S434)&lt;=0,ISNUMBER(MATCH(T434,Parameter!$I$27:$I$29,0))),1,0)</f>
        <v>1</v>
      </c>
      <c r="BV434" s="55" t="str">
        <f aca="false">IF(AND(Parameter!$B$19="Ja",E434&lt;&gt;"",ISNUMBER(MATCH(E434,Parameter!$I$35:$I$52,0))),VLOOKUP(E434,Parameter!$I$35:$J$52,2,0),IFERROR(VLOOKUP(D434,Parameter!$A$35:$C$64,2,0),"Nein"))</f>
        <v>2+3</v>
      </c>
      <c r="BW434" s="59" t="n">
        <f aca="false">IF(BT434=0,0,IF(N(S434)&gt;0,S434,IFERROR(VLOOKUP(D434,Parameter!$A$35:$C$64,3,0)+0,0)))</f>
        <v>0</v>
      </c>
      <c r="BX434" s="55" t="n">
        <f aca="false">IF(AA434&lt;&gt;"",AA434,Z434)</f>
        <v>3</v>
      </c>
      <c r="BY434" s="55" t="str">
        <f aca="false">IF(BX434=1,"L1",IF(OR(BX434=2,BX434=3),"L23",IF(BX434="Aussen","Aussen","-")))</f>
        <v>L23</v>
      </c>
      <c r="BZ434" s="66" t="n">
        <f aca="false">IF(N(AB434)&gt;0,AB434,0)</f>
        <v>0</v>
      </c>
      <c r="CA434" s="60" t="n">
        <f aca="false">IF(ISNUMBER(AE434),1,0)</f>
        <v>0</v>
      </c>
      <c r="CB434" s="57" t="n">
        <f aca="false">N(AE434)</f>
        <v>0</v>
      </c>
      <c r="CC434" s="57" t="n">
        <f aca="false">N(M434)+N(N434)</f>
        <v>6</v>
      </c>
      <c r="CD434" s="57" t="n">
        <f aca="false">ROUNDUP(H434/BS434,0)</f>
        <v>1</v>
      </c>
      <c r="CE434" s="57" t="n">
        <f aca="false">ROUNDUP(CB434/BS434,0)</f>
        <v>0</v>
      </c>
      <c r="CF434" s="60" t="n">
        <f aca="false">IF(BT434=1,0,IFERROR(VLOOKUP(BR434,'Gebinde-Kategorie'!$A$5:$M$45,5,0)+0,0))</f>
        <v>11</v>
      </c>
      <c r="CG434" s="60" t="n">
        <f aca="false">IFERROR(IF(OR(BX434=1,BX434=2,BX434=3),N(INDEX(Parameter!$I$5:$I$7,BX434)),0),0)</f>
        <v>0</v>
      </c>
      <c r="CH434" s="59" t="n">
        <f aca="false">IF(AND(Parameter!$B$21="Ja",ISNUMBER(W434),N(X434)&gt;0),IFERROR(N(INDEX(Parameter!$L$5:$L$7,W434))*INDEX(Parameter!$E$5:$E$7,W434)*X434/SUMIFS($X$7:$X$1843,$W$7:$W$1843,W434),0),0)</f>
        <v>0</v>
      </c>
    </row>
    <row r="435" customFormat="false" ht="15" hidden="false" customHeight="false" outlineLevel="0" collapsed="false">
      <c r="A435" s="55" t="s">
        <v>994</v>
      </c>
      <c r="B435" s="55" t="s">
        <v>407</v>
      </c>
      <c r="C435" s="55" t="s">
        <v>164</v>
      </c>
      <c r="D435" s="55" t="s">
        <v>995</v>
      </c>
      <c r="E435" s="55"/>
      <c r="F435" s="55" t="s">
        <v>218</v>
      </c>
      <c r="G435" s="56" t="n">
        <v>1.96</v>
      </c>
      <c r="H435" s="57" t="n">
        <f aca="false">MAX(0,IF(AND(Parameter!$B$21="Ja",ISNUMBER(Y435)),Y435,IF(Parameter!$B$20="Jahresanfang 2025 + Export",BL435+BK435,BK435)))</f>
        <v>40</v>
      </c>
      <c r="I435" s="57" t="n">
        <f aca="false">H435*G435</f>
        <v>78.4</v>
      </c>
      <c r="J435" s="57" t="n">
        <f aca="false">BN435*Parameter!$B$18</f>
        <v>60</v>
      </c>
      <c r="K435" s="58" t="n">
        <v>20</v>
      </c>
      <c r="L435" s="59" t="n">
        <v>3</v>
      </c>
      <c r="M435" s="57" t="n">
        <v>0</v>
      </c>
      <c r="N435" s="57" t="n">
        <v>100</v>
      </c>
      <c r="O435" s="60" t="n">
        <v>28</v>
      </c>
      <c r="P435" s="55" t="s">
        <v>168</v>
      </c>
      <c r="Q435" s="57"/>
      <c r="R435" s="60" t="n">
        <f aca="false">IF(BT435=1,0,IFERROR(VLOOKUP(BR435,'Gebinde-Kategorie'!$A$5:$M$45,13,0)+0,0))</f>
        <v>0</v>
      </c>
      <c r="S435" s="61"/>
      <c r="T435" s="62"/>
      <c r="U435" s="62"/>
      <c r="V435" s="62"/>
      <c r="W435" s="55"/>
      <c r="X435" s="57"/>
      <c r="Y435" s="57"/>
      <c r="Z435" s="55" t="str">
        <f aca="false">IF(A435="","",IF(AND(Parameter!$B$21="Ja",ISNUMBER(W435)),W435,IF(BV435="2+3",IF(ISNUMBER(SEARCH("grosser Artikel",BO435)),2,IFERROR(VLOOKUP(BR435,Parameter!$F$35:$G$64,2,0),2)),IF(OR(BV435="Nein",BV435=""),"-",BV435))))</f>
        <v>-</v>
      </c>
      <c r="AA435" s="62"/>
      <c r="AB435" s="63"/>
      <c r="AC435" s="57" t="n">
        <f aca="false">AR435</f>
        <v>100</v>
      </c>
      <c r="AD435" s="57" t="n">
        <f aca="false">MAX(AR435,H435)</f>
        <v>100</v>
      </c>
      <c r="AE435" s="64"/>
      <c r="AF435" s="57" t="n">
        <f aca="false">IF(LEFT(Cockpit!$C$5,1)="A",H435,IF(CA435=1,CB435,IF(LEFT(Cockpit!$C$5,1)="B",AJ435,MAX(AJ435,H435))))</f>
        <v>40</v>
      </c>
      <c r="AG435" s="57" t="n">
        <f aca="false">IF(BT435=1,0,ROUNDUP(AF435/BS435,0))</f>
        <v>0</v>
      </c>
      <c r="AH435" s="59" t="n">
        <f aca="false">IF(CH435&gt;0,CH435*MAX(1,AF435/X435),IF(BT435=1,IF(AF435&lt;=0,0,BW435*MAX(1,IF(H435&gt;0,AF435/H435,1))),IF(R435&gt;0,AG435/R435,0))/MAX(0.1,N(Parameter!$M$21)))</f>
        <v>0.15</v>
      </c>
      <c r="AI435" s="57" t="n">
        <f aca="false">AF435*G435</f>
        <v>78.4</v>
      </c>
      <c r="AJ435" s="57" t="n">
        <f aca="false">ROUNDUP(MAX(J435/IF(BZ435&gt;0,BZ435,MAX(0.1,N(Cockpit!$C$6))),CC435)/BS435,0)*BS435</f>
        <v>100</v>
      </c>
      <c r="AK435" s="58" t="n">
        <f aca="false">IF(AH435&gt;0,J435/AH435,-1)</f>
        <v>400</v>
      </c>
      <c r="AL435" s="58" t="str">
        <f aca="false">IF(AND(OR(BY435="L1",BY435="L23"),AH435&gt;0),SUMIFS($AH$7:$AH$1843,$BY$7:$BY$1843,BY435,$AK$7:$AK$1843,"&gt;"&amp;AK435)+SUMIFS($AH$7:$AH$1843,$BY$7:$BY$1843,BY435,$AK$7:$AK$1843,AK435,$BQ$7:$BQ$1843,"&lt;="&amp;BQ435),"")</f>
        <v/>
      </c>
      <c r="AM435" s="65" t="n">
        <f aca="false">IF(AL435="",0,MAX(0,MIN(1,(IF(BY435="L1",Parameter!$E$5,Parameter!$E$6+Parameter!$E$7)-(AL435-AH435))/AH435)))</f>
        <v>0</v>
      </c>
      <c r="AN435" s="57" t="n">
        <f aca="false">IF(LEFT(Cockpit!$I$5,1)="A",H435,IF(CA435=1,CB435,IF(LEFT(Cockpit!$I$5,1)="B",AR435,MAX(AR435,H435))))</f>
        <v>100</v>
      </c>
      <c r="AO435" s="57" t="n">
        <f aca="false">IF(BT435=1,0,ROUNDUP(AN435/BS435,0))</f>
        <v>0</v>
      </c>
      <c r="AP435" s="59" t="n">
        <f aca="false">IF(CH435&gt;0,CH435*MAX(1,AN435/X435),IF(BT435=1,IF(AN435&lt;=0,0,BW435*MAX(1,IF(H435&gt;0,AN435/H435,1))),IF(R435&gt;0,AO435/R435,0))/MAX(0.1,N(Parameter!$M$21)))</f>
        <v>0.375</v>
      </c>
      <c r="AQ435" s="57" t="n">
        <f aca="false">AN435*G435</f>
        <v>196</v>
      </c>
      <c r="AR435" s="57" t="n">
        <f aca="false">ROUNDUP(MAX(J435/IF(BZ435&gt;0,BZ435,MAX(0.1,N(Cockpit!$I$6))),CC435)/BS435,0)*BS435</f>
        <v>100</v>
      </c>
      <c r="AS435" s="58" t="n">
        <f aca="false">IF(AP435&gt;0,J435/AP435,-1)</f>
        <v>160</v>
      </c>
      <c r="AT435" s="58" t="str">
        <f aca="false">IF(AND(OR(BY435="L1",BY435="L23"),AP435&gt;0),SUMIFS($AP$7:$AP$1843,$BY$7:$BY$1843,BY435,$AS$7:$AS$1843,"&gt;"&amp;AS435)+SUMIFS($AP$7:$AP$1843,$BY$7:$BY$1843,BY435,$AS$7:$AS$1843,AS435,$BQ$7:$BQ$1843,"&lt;="&amp;BQ435),"")</f>
        <v/>
      </c>
      <c r="AU435" s="65" t="n">
        <f aca="false">IF(AT435="",0,MAX(0,MIN(1,(IF(BY435="L1",Parameter!$E$5,Parameter!$E$6+Parameter!$E$7)-(AT435-AP435))/AP435)))</f>
        <v>0</v>
      </c>
      <c r="AV435" s="57" t="n">
        <f aca="false">IF(LEFT(Cockpit!$O$5,1)="A",H435,IF(CA435=1,CB435,IF(LEFT(Cockpit!$O$5,1)="B",AZ435,MAX(AZ435,H435))))</f>
        <v>100</v>
      </c>
      <c r="AW435" s="57" t="n">
        <f aca="false">IF(BT435=1,0,ROUNDUP(AV435/BS435,0))</f>
        <v>0</v>
      </c>
      <c r="AX435" s="59" t="n">
        <f aca="false">IF(CH435&gt;0,CH435*MAX(1,AV435/X435),IF(BT435=1,IF(AV435&lt;=0,0,BW435*MAX(1,IF(H435&gt;0,AV435/H435,1))),IF(R435&gt;0,AW435/R435,0))/MAX(0.1,N(Parameter!$M$21)))</f>
        <v>0.375</v>
      </c>
      <c r="AY435" s="57" t="n">
        <f aca="false">AV435*G435</f>
        <v>196</v>
      </c>
      <c r="AZ435" s="57" t="n">
        <f aca="false">ROUNDUP(MAX(J435/IF(BZ435&gt;0,BZ435,MAX(0.1,N(Cockpit!$O$6))),CC435)/BS435,0)*BS435</f>
        <v>100</v>
      </c>
      <c r="BA435" s="58" t="n">
        <f aca="false">IF(AX435&gt;0,J435/AX435,-1)</f>
        <v>160</v>
      </c>
      <c r="BB435" s="58" t="str">
        <f aca="false">IF(AND(OR(BY435="L1",BY435="L23"),AX435&gt;0),SUMIFS($AX$7:$AX$1843,$BY$7:$BY$1843,BY435,$BA$7:$BA$1843,"&gt;"&amp;BA435)+SUMIFS($AX$7:$AX$1843,$BY$7:$BY$1843,BY435,$BA$7:$BA$1843,BA435,$BQ$7:$BQ$1843,"&lt;="&amp;BQ435),"")</f>
        <v/>
      </c>
      <c r="BC435" s="65" t="n">
        <f aca="false">IF(BB435="",0,MAX(0,MIN(1,(IF(BY435="L1",Parameter!$E$5,Parameter!$E$6+Parameter!$E$7)-(BB435-AX435))/AX435)))</f>
        <v>0</v>
      </c>
      <c r="BD435" s="55" t="str">
        <f aca="false">IF(AH435&lt;=0,"",IF(BY435="Aussen","Aussenlager",IF(BY435="-","Nicht im Lift",IF(AM435&gt;=1,"Lift",IF(AM435&lt;=0,"Aussenlager","teilweise")))))</f>
        <v>Nicht im Lift</v>
      </c>
      <c r="BE435" s="55" t="str">
        <f aca="false">IF(AP435&lt;=0,"",IF(BY435="Aussen","Aussenlager",IF(BY435="-","Nicht im Lift",IF(AU435&gt;=1,"Lift",IF(AU435&lt;=0,"Aussenlager","teilweise")))))</f>
        <v>Nicht im Lift</v>
      </c>
      <c r="BF435" s="55" t="str">
        <f aca="false">IF(AX435&lt;=0,"",IF(BY435="Aussen","Aussenlager",IF(BY435="-","Nicht im Lift",IF(BC435&gt;=1,"Lift",IF(BC435&lt;=0,"Aussenlager","teilweise")))))</f>
        <v>Nicht im Lift</v>
      </c>
      <c r="BG435" s="55" t="str">
        <f aca="false">IF(A435="","",IF(BP435=1,"Neu; ","")&amp;IF(AND(BP435=0,BK435&lt;0),"negativer Bestand (Export "&amp;BK435&amp;"); ","")&amp;IF(J435&lt;=0,"Kein Verbrauch; ","")&amp;IF(CH435&gt;0,"Lift "&amp;W435&amp;" lt. Liftbericht (Fach "&amp;X435&amp;" Stk); ",IF(BU435=1,"Gebinde geschätzt ("&amp;T435&amp;"); ",IF(BT435=1,"Lose – Tablare geschätzt; ","")))&amp;IF(H435&gt;AR435,"Überbestand "&amp;ROUND(H435-AR435,0)&amp;" Stk / CHF "&amp;ROUND((H435-AR435)*G435,0)&amp;"; ","")&amp;IF(AND(CA435=1,CB435&lt;CC435),"MAX &lt; MB+LG; ","")&amp;IF(AND(CG435&gt;0,CF435*10&gt;CG435),"zu hoch für Tablar; ","")&amp;IF(AND(BP435=0,OR(CA435=1,AA435&lt;&gt;"",U435&lt;&gt;"",V435&lt;&gt;"",AB435&lt;&gt;"")),"manuell übersteuert; ","")&amp;IF(AND(BT435=0,R435=0),"Gebinde unbekannt / Stellmass fehlt; ","")&amp;IF(AND(BT435=0,N(V435)&lt;=0,N(Q435)&lt;=0),"Menge pro Gebinde fehlt (Ist = 1 Gebinde); ","")&amp;BO435)</f>
        <v>Lose – Tablare geschätzt; </v>
      </c>
      <c r="BH435" s="55"/>
      <c r="BI435" s="55"/>
      <c r="BJ435" s="62"/>
      <c r="BK435" s="57" t="n">
        <v>40</v>
      </c>
      <c r="BL435" s="57" t="n">
        <v>0</v>
      </c>
      <c r="BM435" s="56" t="n">
        <v>78.4</v>
      </c>
      <c r="BN435" s="57" t="n">
        <v>60</v>
      </c>
      <c r="BO435" s="55"/>
      <c r="BP435" s="60" t="n">
        <v>0</v>
      </c>
      <c r="BQ435" s="60" t="n">
        <v>435</v>
      </c>
      <c r="BR435" s="55" t="str">
        <f aca="false">IF(U435&lt;&gt;"",UPPER(TRIM(U435)),IF(BU435=1,UPPER(VLOOKUP(T435,Parameter!$I$27:$K$29,2,0)),IF(P435="","LOSE",P435)))</f>
        <v>LOSE</v>
      </c>
      <c r="BS435" s="57" t="n">
        <f aca="false">IF(BR435="LOSE",1,IF(N(V435)&gt;0,V435,IF(BU435=1,MAX(1,N(VLOOKUP(T435,Parameter!$I$27:$K$29,3,0)),H435,N(N435)),IF(N(Q435)&gt;0,Q435,MAX(1,H435)))))</f>
        <v>1</v>
      </c>
      <c r="BT435" s="60" t="n">
        <f aca="false">IF(BR435="LOSE",1,0)</f>
        <v>1</v>
      </c>
      <c r="BU435" s="60" t="n">
        <f aca="false">IF(AND(U435="",OR(P435="",P435="LOSE"),T435&lt;&gt;"",N(S435)&lt;=0,ISNUMBER(MATCH(T435,Parameter!$I$27:$I$29,0))),1,0)</f>
        <v>0</v>
      </c>
      <c r="BV435" s="55" t="str">
        <f aca="false">IF(AND(Parameter!$B$19="Ja",E435&lt;&gt;"",ISNUMBER(MATCH(E435,Parameter!$I$35:$I$52,0))),VLOOKUP(E435,Parameter!$I$35:$J$52,2,0),IFERROR(VLOOKUP(D435,Parameter!$A$35:$C$64,2,0),"Nein"))</f>
        <v>Nein</v>
      </c>
      <c r="BW435" s="59" t="n">
        <f aca="false">IF(BT435=0,0,IF(N(S435)&gt;0,S435,IFERROR(VLOOKUP(D435,Parameter!$A$35:$C$64,3,0)+0,0)))</f>
        <v>0.15</v>
      </c>
      <c r="BX435" s="55" t="str">
        <f aca="false">IF(AA435&lt;&gt;"",AA435,Z435)</f>
        <v>-</v>
      </c>
      <c r="BY435" s="55" t="str">
        <f aca="false">IF(BX435=1,"L1",IF(OR(BX435=2,BX435=3),"L23",IF(BX435="Aussen","Aussen","-")))</f>
        <v>-</v>
      </c>
      <c r="BZ435" s="66" t="n">
        <f aca="false">IF(N(AB435)&gt;0,AB435,0)</f>
        <v>0</v>
      </c>
      <c r="CA435" s="60" t="n">
        <f aca="false">IF(ISNUMBER(AE435),1,0)</f>
        <v>0</v>
      </c>
      <c r="CB435" s="57" t="n">
        <f aca="false">N(AE435)</f>
        <v>0</v>
      </c>
      <c r="CC435" s="57" t="n">
        <f aca="false">N(M435)+N(N435)</f>
        <v>100</v>
      </c>
      <c r="CD435" s="57" t="n">
        <f aca="false">ROUNDUP(H435/BS435,0)</f>
        <v>40</v>
      </c>
      <c r="CE435" s="57" t="n">
        <f aca="false">ROUNDUP(CB435/BS435,0)</f>
        <v>0</v>
      </c>
      <c r="CF435" s="60" t="n">
        <f aca="false">IF(BT435=1,0,IFERROR(VLOOKUP(BR435,'Gebinde-Kategorie'!$A$5:$M$45,5,0)+0,0))</f>
        <v>0</v>
      </c>
      <c r="CG435" s="60" t="n">
        <f aca="false">IFERROR(IF(OR(BX435=1,BX435=2,BX435=3),N(INDEX(Parameter!$I$5:$I$7,BX435)),0),0)</f>
        <v>0</v>
      </c>
      <c r="CH435" s="59" t="n">
        <f aca="false">IF(AND(Parameter!$B$21="Ja",ISNUMBER(W435),N(X435)&gt;0),IFERROR(N(INDEX(Parameter!$L$5:$L$7,W435))*INDEX(Parameter!$E$5:$E$7,W435)*X435/SUMIFS($X$7:$X$1843,$W$7:$W$1843,W435),0),0)</f>
        <v>0</v>
      </c>
    </row>
    <row r="436" customFormat="false" ht="15" hidden="false" customHeight="false" outlineLevel="0" collapsed="false">
      <c r="A436" s="55" t="s">
        <v>996</v>
      </c>
      <c r="B436" s="55" t="s">
        <v>855</v>
      </c>
      <c r="C436" s="55" t="s">
        <v>164</v>
      </c>
      <c r="D436" s="55" t="s">
        <v>184</v>
      </c>
      <c r="E436" s="55" t="s">
        <v>185</v>
      </c>
      <c r="F436" s="55" t="s">
        <v>218</v>
      </c>
      <c r="G436" s="56" t="n">
        <v>0.02</v>
      </c>
      <c r="H436" s="57" t="n">
        <f aca="false">MAX(0,IF(AND(Parameter!$B$21="Ja",ISNUMBER(Y436)),Y436,IF(Parameter!$B$20="Jahresanfang 2025 + Export",BL436+BK436,BK436)))</f>
        <v>4000</v>
      </c>
      <c r="I436" s="57" t="n">
        <f aca="false">H436*G436</f>
        <v>80</v>
      </c>
      <c r="J436" s="57" t="n">
        <f aca="false">BN436*Parameter!$B$18</f>
        <v>105</v>
      </c>
      <c r="K436" s="58" t="n">
        <v>52.5</v>
      </c>
      <c r="L436" s="59" t="n">
        <v>2</v>
      </c>
      <c r="M436" s="57" t="n">
        <v>100</v>
      </c>
      <c r="N436" s="57" t="n">
        <v>1000</v>
      </c>
      <c r="O436" s="60" t="n">
        <v>14</v>
      </c>
      <c r="P436" s="55" t="s">
        <v>328</v>
      </c>
      <c r="Q436" s="57" t="n">
        <v>2000</v>
      </c>
      <c r="R436" s="60" t="n">
        <f aca="false">IF(BT436=1,0,IFERROR(VLOOKUP(BR436,'Gebinde-Kategorie'!$A$5:$M$45,13,0)+0,0))</f>
        <v>52</v>
      </c>
      <c r="S436" s="61"/>
      <c r="T436" s="62"/>
      <c r="U436" s="62"/>
      <c r="V436" s="62"/>
      <c r="W436" s="55"/>
      <c r="X436" s="57"/>
      <c r="Y436" s="57"/>
      <c r="Z436" s="55" t="n">
        <f aca="false">IF(A436="","",IF(AND(Parameter!$B$21="Ja",ISNUMBER(W436)),W436,IF(BV436="2+3",IF(ISNUMBER(SEARCH("grosser Artikel",BO436)),2,IFERROR(VLOOKUP(BR436,Parameter!$F$35:$G$64,2,0),2)),IF(OR(BV436="Nein",BV436=""),"-",BV436))))</f>
        <v>3</v>
      </c>
      <c r="AA436" s="62"/>
      <c r="AB436" s="63"/>
      <c r="AC436" s="57" t="n">
        <f aca="false">AR436</f>
        <v>2000</v>
      </c>
      <c r="AD436" s="57" t="n">
        <f aca="false">MAX(AR436,H436)</f>
        <v>4000</v>
      </c>
      <c r="AE436" s="64"/>
      <c r="AF436" s="57" t="n">
        <f aca="false">IF(LEFT(Cockpit!$C$5,1)="A",H436,IF(CA436=1,CB436,IF(LEFT(Cockpit!$C$5,1)="B",AJ436,MAX(AJ436,H436))))</f>
        <v>4000</v>
      </c>
      <c r="AG436" s="57" t="n">
        <f aca="false">IF(BT436=1,0,ROUNDUP(AF436/BS436,0))</f>
        <v>2</v>
      </c>
      <c r="AH436" s="59" t="n">
        <f aca="false">IF(CH436&gt;0,CH436*MAX(1,AF436/X436),IF(BT436=1,IF(AF436&lt;=0,0,BW436*MAX(1,IF(H436&gt;0,AF436/H436,1))),IF(R436&gt;0,AG436/R436,0))/MAX(0.1,N(Parameter!$M$21)))</f>
        <v>0.0384615384615385</v>
      </c>
      <c r="AI436" s="57" t="n">
        <f aca="false">AF436*G436</f>
        <v>80</v>
      </c>
      <c r="AJ436" s="57" t="n">
        <f aca="false">ROUNDUP(MAX(J436/IF(BZ436&gt;0,BZ436,MAX(0.1,N(Cockpit!$C$6))),CC436)/BS436,0)*BS436</f>
        <v>2000</v>
      </c>
      <c r="AK436" s="58" t="n">
        <f aca="false">IF(AH436&gt;0,J436/AH436,-1)</f>
        <v>2730</v>
      </c>
      <c r="AL436" s="58" t="n">
        <f aca="false">IF(AND(OR(BY436="L1",BY436="L23"),AH436&gt;0),SUMIFS($AH$7:$AH$1843,$BY$7:$BY$1843,BY436,$AK$7:$AK$1843,"&gt;"&amp;AK436)+SUMIFS($AH$7:$AH$1843,$BY$7:$BY$1843,BY436,$AK$7:$AK$1843,AK436,$BQ$7:$BQ$1843,"&lt;="&amp;BQ436),"")</f>
        <v>11.2220533090098</v>
      </c>
      <c r="AM436" s="65" t="n">
        <f aca="false">IF(AL436="",0,MAX(0,MIN(1,(IF(BY436="L1",Parameter!$E$5,Parameter!$E$6+Parameter!$E$7)-(AL436-AH436))/AH436)))</f>
        <v>1</v>
      </c>
      <c r="AN436" s="57" t="n">
        <f aca="false">IF(LEFT(Cockpit!$I$5,1)="A",H436,IF(CA436=1,CB436,IF(LEFT(Cockpit!$I$5,1)="B",AR436,MAX(AR436,H436))))</f>
        <v>4000</v>
      </c>
      <c r="AO436" s="57" t="n">
        <f aca="false">IF(BT436=1,0,ROUNDUP(AN436/BS436,0))</f>
        <v>2</v>
      </c>
      <c r="AP436" s="59" t="n">
        <f aca="false">IF(CH436&gt;0,CH436*MAX(1,AN436/X436),IF(BT436=1,IF(AN436&lt;=0,0,BW436*MAX(1,IF(H436&gt;0,AN436/H436,1))),IF(R436&gt;0,AO436/R436,0))/MAX(0.1,N(Parameter!$M$21)))</f>
        <v>0.0384615384615385</v>
      </c>
      <c r="AQ436" s="57" t="n">
        <f aca="false">AN436*G436</f>
        <v>80</v>
      </c>
      <c r="AR436" s="57" t="n">
        <f aca="false">ROUNDUP(MAX(J436/IF(BZ436&gt;0,BZ436,MAX(0.1,N(Cockpit!$I$6))),CC436)/BS436,0)*BS436</f>
        <v>2000</v>
      </c>
      <c r="AS436" s="58" t="n">
        <f aca="false">IF(AP436&gt;0,J436/AP436,-1)</f>
        <v>2730</v>
      </c>
      <c r="AT436" s="58" t="n">
        <f aca="false">IF(AND(OR(BY436="L1",BY436="L23"),AP436&gt;0),SUMIFS($AP$7:$AP$1843,$BY$7:$BY$1843,BY436,$AS$7:$AS$1843,"&gt;"&amp;AS436)+SUMIFS($AP$7:$AP$1843,$BY$7:$BY$1843,BY436,$AS$7:$AS$1843,AS436,$BQ$7:$BQ$1843,"&lt;="&amp;BQ436),"")</f>
        <v>15.9779230431404</v>
      </c>
      <c r="AU436" s="65" t="n">
        <f aca="false">IF(AT436="",0,MAX(0,MIN(1,(IF(BY436="L1",Parameter!$E$5,Parameter!$E$6+Parameter!$E$7)-(AT436-AP436))/AP436)))</f>
        <v>1</v>
      </c>
      <c r="AV436" s="57" t="n">
        <f aca="false">IF(LEFT(Cockpit!$O$5,1)="A",H436,IF(CA436=1,CB436,IF(LEFT(Cockpit!$O$5,1)="B",AZ436,MAX(AZ436,H436))))</f>
        <v>4000</v>
      </c>
      <c r="AW436" s="57" t="n">
        <f aca="false">IF(BT436=1,0,ROUNDUP(AV436/BS436,0))</f>
        <v>2</v>
      </c>
      <c r="AX436" s="59" t="n">
        <f aca="false">IF(CH436&gt;0,CH436*MAX(1,AV436/X436),IF(BT436=1,IF(AV436&lt;=0,0,BW436*MAX(1,IF(H436&gt;0,AV436/H436,1))),IF(R436&gt;0,AW436/R436,0))/MAX(0.1,N(Parameter!$M$21)))</f>
        <v>0.0384615384615385</v>
      </c>
      <c r="AY436" s="57" t="n">
        <f aca="false">AV436*G436</f>
        <v>80</v>
      </c>
      <c r="AZ436" s="57" t="n">
        <f aca="false">ROUNDUP(MAX(J436/IF(BZ436&gt;0,BZ436,MAX(0.1,N(Cockpit!$O$6))),CC436)/BS436,0)*BS436</f>
        <v>2000</v>
      </c>
      <c r="BA436" s="58" t="n">
        <f aca="false">IF(AX436&gt;0,J436/AX436,-1)</f>
        <v>2730</v>
      </c>
      <c r="BB436" s="58" t="n">
        <f aca="false">IF(AND(OR(BY436="L1",BY436="L23"),AX436&gt;0),SUMIFS($AX$7:$AX$1843,$BY$7:$BY$1843,BY436,$BA$7:$BA$1843,"&gt;"&amp;BA436)+SUMIFS($AX$7:$AX$1843,$BY$7:$BY$1843,BY436,$BA$7:$BA$1843,BA436,$BQ$7:$BQ$1843,"&lt;="&amp;BQ436),"")</f>
        <v>14.551349616567</v>
      </c>
      <c r="BC436" s="65" t="n">
        <f aca="false">IF(BB436="",0,MAX(0,MIN(1,(IF(BY436="L1",Parameter!$E$5,Parameter!$E$6+Parameter!$E$7)-(BB436-AX436))/AX436)))</f>
        <v>1</v>
      </c>
      <c r="BD436" s="55" t="str">
        <f aca="false">IF(AH436&lt;=0,"",IF(BY436="Aussen","Aussenlager",IF(BY436="-","Nicht im Lift",IF(AM436&gt;=1,"Lift",IF(AM436&lt;=0,"Aussenlager","teilweise")))))</f>
        <v>Lift</v>
      </c>
      <c r="BE436" s="55" t="str">
        <f aca="false">IF(AP436&lt;=0,"",IF(BY436="Aussen","Aussenlager",IF(BY436="-","Nicht im Lift",IF(AU436&gt;=1,"Lift",IF(AU436&lt;=0,"Aussenlager","teilweise")))))</f>
        <v>Lift</v>
      </c>
      <c r="BF436" s="55" t="str">
        <f aca="false">IF(AX436&lt;=0,"",IF(BY436="Aussen","Aussenlager",IF(BY436="-","Nicht im Lift",IF(BC436&gt;=1,"Lift",IF(BC436&lt;=0,"Aussenlager","teilweise")))))</f>
        <v>Lift</v>
      </c>
      <c r="BG436" s="55" t="str">
        <f aca="false">IF(A436="","",IF(BP436=1,"Neu; ","")&amp;IF(AND(BP436=0,BK436&lt;0),"negativer Bestand (Export "&amp;BK436&amp;"); ","")&amp;IF(J436&lt;=0,"Kein Verbrauch; ","")&amp;IF(CH436&gt;0,"Lift "&amp;W436&amp;" lt. Liftbericht (Fach "&amp;X436&amp;" Stk); ",IF(BU436=1,"Gebinde geschätzt ("&amp;T436&amp;"); ",IF(BT436=1,"Lose – Tablare geschätzt; ","")))&amp;IF(H436&gt;AR436,"Überbestand "&amp;ROUND(H436-AR436,0)&amp;" Stk / CHF "&amp;ROUND((H436-AR436)*G436,0)&amp;"; ","")&amp;IF(AND(CA436=1,CB436&lt;CC436),"MAX &lt; MB+LG; ","")&amp;IF(AND(CG436&gt;0,CF436*10&gt;CG436),"zu hoch für Tablar; ","")&amp;IF(AND(BP436=0,OR(CA436=1,AA436&lt;&gt;"",U436&lt;&gt;"",V436&lt;&gt;"",AB436&lt;&gt;"")),"manuell übersteuert; ","")&amp;IF(AND(BT436=0,R436=0),"Gebinde unbekannt / Stellmass fehlt; ","")&amp;IF(AND(BT436=0,N(V436)&lt;=0,N(Q436)&lt;=0),"Menge pro Gebinde fehlt (Ist = 1 Gebinde); ","")&amp;BO436)</f>
        <v>Überbestand 2000 Stk / CHF 40; </v>
      </c>
      <c r="BH436" s="55"/>
      <c r="BI436" s="55"/>
      <c r="BJ436" s="62"/>
      <c r="BK436" s="57" t="n">
        <v>3895</v>
      </c>
      <c r="BL436" s="57" t="n">
        <v>105</v>
      </c>
      <c r="BM436" s="56" t="n">
        <v>77.9</v>
      </c>
      <c r="BN436" s="57" t="n">
        <v>105</v>
      </c>
      <c r="BO436" s="55"/>
      <c r="BP436" s="60" t="n">
        <v>0</v>
      </c>
      <c r="BQ436" s="60" t="n">
        <v>436</v>
      </c>
      <c r="BR436" s="55" t="str">
        <f aca="false">IF(U436&lt;&gt;"",UPPER(TRIM(U436)),IF(BU436=1,UPPER(VLOOKUP(T436,Parameter!$I$27:$K$29,2,0)),IF(P436="","LOSE",P436)))</f>
        <v>S41</v>
      </c>
      <c r="BS436" s="57" t="n">
        <f aca="false">IF(BR436="LOSE",1,IF(N(V436)&gt;0,V436,IF(BU436=1,MAX(1,N(VLOOKUP(T436,Parameter!$I$27:$K$29,3,0)),H436,N(N436)),IF(N(Q436)&gt;0,Q436,MAX(1,H436)))))</f>
        <v>2000</v>
      </c>
      <c r="BT436" s="60" t="n">
        <f aca="false">IF(BR436="LOSE",1,0)</f>
        <v>0</v>
      </c>
      <c r="BU436" s="60" t="n">
        <f aca="false">IF(AND(U436="",OR(P436="",P436="LOSE"),T436&lt;&gt;"",N(S436)&lt;=0,ISNUMBER(MATCH(T436,Parameter!$I$27:$I$29,0))),1,0)</f>
        <v>0</v>
      </c>
      <c r="BV436" s="55" t="str">
        <f aca="false">IF(AND(Parameter!$B$19="Ja",E436&lt;&gt;"",ISNUMBER(MATCH(E436,Parameter!$I$35:$I$52,0))),VLOOKUP(E436,Parameter!$I$35:$J$52,2,0),IFERROR(VLOOKUP(D436,Parameter!$A$35:$C$64,2,0),"Nein"))</f>
        <v>2+3</v>
      </c>
      <c r="BW436" s="59" t="n">
        <f aca="false">IF(BT436=0,0,IF(N(S436)&gt;0,S436,IFERROR(VLOOKUP(D436,Parameter!$A$35:$C$64,3,0)+0,0)))</f>
        <v>0</v>
      </c>
      <c r="BX436" s="55" t="n">
        <f aca="false">IF(AA436&lt;&gt;"",AA436,Z436)</f>
        <v>3</v>
      </c>
      <c r="BY436" s="55" t="str">
        <f aca="false">IF(BX436=1,"L1",IF(OR(BX436=2,BX436=3),"L23",IF(BX436="Aussen","Aussen","-")))</f>
        <v>L23</v>
      </c>
      <c r="BZ436" s="66" t="n">
        <f aca="false">IF(N(AB436)&gt;0,AB436,0)</f>
        <v>0</v>
      </c>
      <c r="CA436" s="60" t="n">
        <f aca="false">IF(ISNUMBER(AE436),1,0)</f>
        <v>0</v>
      </c>
      <c r="CB436" s="57" t="n">
        <f aca="false">N(AE436)</f>
        <v>0</v>
      </c>
      <c r="CC436" s="57" t="n">
        <f aca="false">N(M436)+N(N436)</f>
        <v>1100</v>
      </c>
      <c r="CD436" s="57" t="n">
        <f aca="false">ROUNDUP(H436/BS436,0)</f>
        <v>2</v>
      </c>
      <c r="CE436" s="57" t="n">
        <f aca="false">ROUNDUP(CB436/BS436,0)</f>
        <v>0</v>
      </c>
      <c r="CF436" s="60" t="n">
        <f aca="false">IF(BT436=1,0,IFERROR(VLOOKUP(BR436,'Gebinde-Kategorie'!$A$5:$M$45,5,0)+0,0))</f>
        <v>11</v>
      </c>
      <c r="CG436" s="60" t="n">
        <f aca="false">IFERROR(IF(OR(BX436=1,BX436=2,BX436=3),N(INDEX(Parameter!$I$5:$I$7,BX436)),0),0)</f>
        <v>0</v>
      </c>
      <c r="CH436" s="59" t="n">
        <f aca="false">IF(AND(Parameter!$B$21="Ja",ISNUMBER(W436),N(X436)&gt;0),IFERROR(N(INDEX(Parameter!$L$5:$L$7,W436))*INDEX(Parameter!$E$5:$E$7,W436)*X436/SUMIFS($X$7:$X$1843,$W$7:$W$1843,W436),0),0)</f>
        <v>0</v>
      </c>
    </row>
    <row r="437" customFormat="false" ht="15" hidden="false" customHeight="false" outlineLevel="0" collapsed="false">
      <c r="A437" s="55" t="s">
        <v>997</v>
      </c>
      <c r="B437" s="55" t="s">
        <v>998</v>
      </c>
      <c r="C437" s="55" t="s">
        <v>164</v>
      </c>
      <c r="D437" s="55" t="s">
        <v>184</v>
      </c>
      <c r="E437" s="55" t="s">
        <v>185</v>
      </c>
      <c r="F437" s="55" t="s">
        <v>218</v>
      </c>
      <c r="G437" s="56" t="n">
        <v>13.18</v>
      </c>
      <c r="H437" s="57" t="n">
        <f aca="false">MAX(0,IF(AND(Parameter!$B$21="Ja",ISNUMBER(Y437)),Y437,IF(Parameter!$B$20="Jahresanfang 2025 + Export",BL437+BK437,BK437)))</f>
        <v>25</v>
      </c>
      <c r="I437" s="57" t="n">
        <f aca="false">H437*G437</f>
        <v>329.5</v>
      </c>
      <c r="J437" s="57" t="n">
        <f aca="false">BN437*Parameter!$B$18</f>
        <v>30</v>
      </c>
      <c r="K437" s="58" t="n">
        <v>27</v>
      </c>
      <c r="L437" s="59" t="n">
        <v>1.11111111111111</v>
      </c>
      <c r="M437" s="57" t="n">
        <v>2</v>
      </c>
      <c r="N437" s="57" t="n">
        <v>30</v>
      </c>
      <c r="O437" s="60" t="n">
        <v>35</v>
      </c>
      <c r="P437" s="55" t="s">
        <v>186</v>
      </c>
      <c r="Q437" s="57" t="n">
        <v>25</v>
      </c>
      <c r="R437" s="60" t="n">
        <f aca="false">IF(BT437=1,0,IFERROR(VLOOKUP(BR437,'Gebinde-Kategorie'!$A$5:$M$45,13,0)+0,0))</f>
        <v>12</v>
      </c>
      <c r="S437" s="61"/>
      <c r="T437" s="62"/>
      <c r="U437" s="62"/>
      <c r="V437" s="62"/>
      <c r="W437" s="55"/>
      <c r="X437" s="57"/>
      <c r="Y437" s="57"/>
      <c r="Z437" s="55" t="n">
        <f aca="false">IF(A437="","",IF(AND(Parameter!$B$21="Ja",ISNUMBER(W437)),W437,IF(BV437="2+3",IF(ISNUMBER(SEARCH("grosser Artikel",BO437)),2,IFERROR(VLOOKUP(BR437,Parameter!$F$35:$G$64,2,0),2)),IF(OR(BV437="Nein",BV437=""),"-",BV437))))</f>
        <v>2</v>
      </c>
      <c r="AA437" s="62"/>
      <c r="AB437" s="63"/>
      <c r="AC437" s="57" t="n">
        <f aca="false">AR437</f>
        <v>50</v>
      </c>
      <c r="AD437" s="57" t="n">
        <f aca="false">MAX(AR437,H437)</f>
        <v>50</v>
      </c>
      <c r="AE437" s="64"/>
      <c r="AF437" s="57" t="n">
        <f aca="false">IF(LEFT(Cockpit!$C$5,1)="A",H437,IF(CA437=1,CB437,IF(LEFT(Cockpit!$C$5,1)="B",AJ437,MAX(AJ437,H437))))</f>
        <v>25</v>
      </c>
      <c r="AG437" s="57" t="n">
        <f aca="false">IF(BT437=1,0,ROUNDUP(AF437/BS437,0))</f>
        <v>1</v>
      </c>
      <c r="AH437" s="59" t="n">
        <f aca="false">IF(CH437&gt;0,CH437*MAX(1,AF437/X437),IF(BT437=1,IF(AF437&lt;=0,0,BW437*MAX(1,IF(H437&gt;0,AF437/H437,1))),IF(R437&gt;0,AG437/R437,0))/MAX(0.1,N(Parameter!$M$21)))</f>
        <v>0.0833333333333333</v>
      </c>
      <c r="AI437" s="57" t="n">
        <f aca="false">AF437*G437</f>
        <v>329.5</v>
      </c>
      <c r="AJ437" s="57" t="n">
        <f aca="false">ROUNDUP(MAX(J437/IF(BZ437&gt;0,BZ437,MAX(0.1,N(Cockpit!$C$6))),CC437)/BS437,0)*BS437</f>
        <v>50</v>
      </c>
      <c r="AK437" s="58" t="n">
        <f aca="false">IF(AH437&gt;0,J437/AH437,-1)</f>
        <v>360</v>
      </c>
      <c r="AL437" s="58" t="n">
        <f aca="false">IF(AND(OR(BY437="L1",BY437="L23"),AH437&gt;0),SUMIFS($AH$7:$AH$1843,$BY$7:$BY$1843,BY437,$AK$7:$AK$1843,"&gt;"&amp;AK437)+SUMIFS($AH$7:$AH$1843,$BY$7:$BY$1843,BY437,$AK$7:$AK$1843,AK437,$BQ$7:$BQ$1843,"&lt;="&amp;BQ437),"")</f>
        <v>27.2518411540151</v>
      </c>
      <c r="AM437" s="65" t="n">
        <f aca="false">IF(AL437="",0,MAX(0,MIN(1,(IF(BY437="L1",Parameter!$E$5,Parameter!$E$6+Parameter!$E$7)-(AL437-AH437))/AH437)))</f>
        <v>1</v>
      </c>
      <c r="AN437" s="57" t="n">
        <f aca="false">IF(LEFT(Cockpit!$I$5,1)="A",H437,IF(CA437=1,CB437,IF(LEFT(Cockpit!$I$5,1)="B",AR437,MAX(AR437,H437))))</f>
        <v>50</v>
      </c>
      <c r="AO437" s="57" t="n">
        <f aca="false">IF(BT437=1,0,ROUNDUP(AN437/BS437,0))</f>
        <v>2</v>
      </c>
      <c r="AP437" s="59" t="n">
        <f aca="false">IF(CH437&gt;0,CH437*MAX(1,AN437/X437),IF(BT437=1,IF(AN437&lt;=0,0,BW437*MAX(1,IF(H437&gt;0,AN437/H437,1))),IF(R437&gt;0,AO437/R437,0))/MAX(0.1,N(Parameter!$M$21)))</f>
        <v>0.166666666666667</v>
      </c>
      <c r="AQ437" s="57" t="n">
        <f aca="false">AN437*G437</f>
        <v>659</v>
      </c>
      <c r="AR437" s="57" t="n">
        <f aca="false">ROUNDUP(MAX(J437/IF(BZ437&gt;0,BZ437,MAX(0.1,N(Cockpit!$I$6))),CC437)/BS437,0)*BS437</f>
        <v>50</v>
      </c>
      <c r="AS437" s="58" t="n">
        <f aca="false">IF(AP437&gt;0,J437/AP437,-1)</f>
        <v>180</v>
      </c>
      <c r="AT437" s="58" t="n">
        <f aca="false">IF(AND(OR(BY437="L1",BY437="L23"),AP437&gt;0),SUMIFS($AP$7:$AP$1843,$BY$7:$BY$1843,BY437,$AS$7:$AS$1843,"&gt;"&amp;AS437)+SUMIFS($AP$7:$AP$1843,$BY$7:$BY$1843,BY437,$AS$7:$AS$1843,AS437,$BQ$7:$BQ$1843,"&lt;="&amp;BQ437),"")</f>
        <v>48.04280260802</v>
      </c>
      <c r="AU437" s="65" t="n">
        <f aca="false">IF(AT437="",0,MAX(0,MIN(1,(IF(BY437="L1",Parameter!$E$5,Parameter!$E$6+Parameter!$E$7)-(AT437-AP437))/AP437)))</f>
        <v>1</v>
      </c>
      <c r="AV437" s="57" t="n">
        <f aca="false">IF(LEFT(Cockpit!$O$5,1)="A",H437,IF(CA437=1,CB437,IF(LEFT(Cockpit!$O$5,1)="B",AZ437,MAX(AZ437,H437))))</f>
        <v>50</v>
      </c>
      <c r="AW437" s="57" t="n">
        <f aca="false">IF(BT437=1,0,ROUNDUP(AV437/BS437,0))</f>
        <v>2</v>
      </c>
      <c r="AX437" s="59" t="n">
        <f aca="false">IF(CH437&gt;0,CH437*MAX(1,AV437/X437),IF(BT437=1,IF(AV437&lt;=0,0,BW437*MAX(1,IF(H437&gt;0,AV437/H437,1))),IF(R437&gt;0,AW437/R437,0))/MAX(0.1,N(Parameter!$M$21)))</f>
        <v>0.166666666666667</v>
      </c>
      <c r="AY437" s="57" t="n">
        <f aca="false">AV437*G437</f>
        <v>659</v>
      </c>
      <c r="AZ437" s="57" t="n">
        <f aca="false">ROUNDUP(MAX(J437/IF(BZ437&gt;0,BZ437,MAX(0.1,N(Cockpit!$O$6))),CC437)/BS437,0)*BS437</f>
        <v>50</v>
      </c>
      <c r="BA437" s="58" t="n">
        <f aca="false">IF(AX437&gt;0,J437/AX437,-1)</f>
        <v>180</v>
      </c>
      <c r="BB437" s="58" t="n">
        <f aca="false">IF(AND(OR(BY437="L1",BY437="L23"),AX437&gt;0),SUMIFS($AX$7:$AX$1843,$BY$7:$BY$1843,BY437,$BA$7:$BA$1843,"&gt;"&amp;BA437)+SUMIFS($AX$7:$AX$1843,$BY$7:$BY$1843,BY437,$BA$7:$BA$1843,BA437,$BQ$7:$BQ$1843,"&lt;="&amp;BQ437),"")</f>
        <v>43.6226394378568</v>
      </c>
      <c r="BC437" s="65" t="n">
        <f aca="false">IF(BB437="",0,MAX(0,MIN(1,(IF(BY437="L1",Parameter!$E$5,Parameter!$E$6+Parameter!$E$7)-(BB437-AX437))/AX437)))</f>
        <v>1</v>
      </c>
      <c r="BD437" s="55" t="str">
        <f aca="false">IF(AH437&lt;=0,"",IF(BY437="Aussen","Aussenlager",IF(BY437="-","Nicht im Lift",IF(AM437&gt;=1,"Lift",IF(AM437&lt;=0,"Aussenlager","teilweise")))))</f>
        <v>Lift</v>
      </c>
      <c r="BE437" s="55" t="str">
        <f aca="false">IF(AP437&lt;=0,"",IF(BY437="Aussen","Aussenlager",IF(BY437="-","Nicht im Lift",IF(AU437&gt;=1,"Lift",IF(AU437&lt;=0,"Aussenlager","teilweise")))))</f>
        <v>Lift</v>
      </c>
      <c r="BF437" s="55" t="str">
        <f aca="false">IF(AX437&lt;=0,"",IF(BY437="Aussen","Aussenlager",IF(BY437="-","Nicht im Lift",IF(BC437&gt;=1,"Lift",IF(BC437&lt;=0,"Aussenlager","teilweise")))))</f>
        <v>Lift</v>
      </c>
      <c r="BG437" s="55" t="str">
        <f aca="false">IF(A437="","",IF(BP437=1,"Neu; ","")&amp;IF(AND(BP437=0,BK437&lt;0),"negativer Bestand (Export "&amp;BK437&amp;"); ","")&amp;IF(J437&lt;=0,"Kein Verbrauch; ","")&amp;IF(CH437&gt;0,"Lift "&amp;W437&amp;" lt. Liftbericht (Fach "&amp;X437&amp;" Stk); ",IF(BU437=1,"Gebinde geschätzt ("&amp;T437&amp;"); ",IF(BT437=1,"Lose – Tablare geschätzt; ","")))&amp;IF(H437&gt;AR437,"Überbestand "&amp;ROUND(H437-AR437,0)&amp;" Stk / CHF "&amp;ROUND((H437-AR437)*G437,0)&amp;"; ","")&amp;IF(AND(CA437=1,CB437&lt;CC437),"MAX &lt; MB+LG; ","")&amp;IF(AND(CG437&gt;0,CF437*10&gt;CG437),"zu hoch für Tablar; ","")&amp;IF(AND(BP437=0,OR(CA437=1,AA437&lt;&gt;"",U437&lt;&gt;"",V437&lt;&gt;"",AB437&lt;&gt;"")),"manuell übersteuert; ","")&amp;IF(AND(BT437=0,R437=0),"Gebinde unbekannt / Stellmass fehlt; ","")&amp;IF(AND(BT437=0,N(V437)&lt;=0,N(Q437)&lt;=0),"Menge pro Gebinde fehlt (Ist = 1 Gebinde); ","")&amp;BO437)</f>
        <v/>
      </c>
      <c r="BH437" s="55"/>
      <c r="BI437" s="55"/>
      <c r="BJ437" s="62"/>
      <c r="BK437" s="57" t="n">
        <v>5</v>
      </c>
      <c r="BL437" s="57" t="n">
        <v>20</v>
      </c>
      <c r="BM437" s="56" t="n">
        <v>77.5</v>
      </c>
      <c r="BN437" s="57" t="n">
        <v>30</v>
      </c>
      <c r="BO437" s="55"/>
      <c r="BP437" s="60" t="n">
        <v>0</v>
      </c>
      <c r="BQ437" s="60" t="n">
        <v>437</v>
      </c>
      <c r="BR437" s="55" t="str">
        <f aca="false">IF(U437&lt;&gt;"",UPPER(TRIM(U437)),IF(BU437=1,UPPER(VLOOKUP(T437,Parameter!$I$27:$K$29,2,0)),IF(P437="","LOSE",P437)))</f>
        <v>S61</v>
      </c>
      <c r="BS437" s="57" t="n">
        <f aca="false">IF(BR437="LOSE",1,IF(N(V437)&gt;0,V437,IF(BU437=1,MAX(1,N(VLOOKUP(T437,Parameter!$I$27:$K$29,3,0)),H437,N(N437)),IF(N(Q437)&gt;0,Q437,MAX(1,H437)))))</f>
        <v>25</v>
      </c>
      <c r="BT437" s="60" t="n">
        <f aca="false">IF(BR437="LOSE",1,0)</f>
        <v>0</v>
      </c>
      <c r="BU437" s="60" t="n">
        <f aca="false">IF(AND(U437="",OR(P437="",P437="LOSE"),T437&lt;&gt;"",N(S437)&lt;=0,ISNUMBER(MATCH(T437,Parameter!$I$27:$I$29,0))),1,0)</f>
        <v>0</v>
      </c>
      <c r="BV437" s="55" t="str">
        <f aca="false">IF(AND(Parameter!$B$19="Ja",E437&lt;&gt;"",ISNUMBER(MATCH(E437,Parameter!$I$35:$I$52,0))),VLOOKUP(E437,Parameter!$I$35:$J$52,2,0),IFERROR(VLOOKUP(D437,Parameter!$A$35:$C$64,2,0),"Nein"))</f>
        <v>2+3</v>
      </c>
      <c r="BW437" s="59" t="n">
        <f aca="false">IF(BT437=0,0,IF(N(S437)&gt;0,S437,IFERROR(VLOOKUP(D437,Parameter!$A$35:$C$64,3,0)+0,0)))</f>
        <v>0</v>
      </c>
      <c r="BX437" s="55" t="n">
        <f aca="false">IF(AA437&lt;&gt;"",AA437,Z437)</f>
        <v>2</v>
      </c>
      <c r="BY437" s="55" t="str">
        <f aca="false">IF(BX437=1,"L1",IF(OR(BX437=2,BX437=3),"L23",IF(BX437="Aussen","Aussen","-")))</f>
        <v>L23</v>
      </c>
      <c r="BZ437" s="66" t="n">
        <f aca="false">IF(N(AB437)&gt;0,AB437,0)</f>
        <v>0</v>
      </c>
      <c r="CA437" s="60" t="n">
        <f aca="false">IF(ISNUMBER(AE437),1,0)</f>
        <v>0</v>
      </c>
      <c r="CB437" s="57" t="n">
        <f aca="false">N(AE437)</f>
        <v>0</v>
      </c>
      <c r="CC437" s="57" t="n">
        <f aca="false">N(M437)+N(N437)</f>
        <v>32</v>
      </c>
      <c r="CD437" s="57" t="n">
        <f aca="false">ROUNDUP(H437/BS437,0)</f>
        <v>1</v>
      </c>
      <c r="CE437" s="57" t="n">
        <f aca="false">ROUNDUP(CB437/BS437,0)</f>
        <v>0</v>
      </c>
      <c r="CF437" s="60" t="n">
        <f aca="false">IF(BT437=1,0,IFERROR(VLOOKUP(BR437,'Gebinde-Kategorie'!$A$5:$M$45,5,0)+0,0))</f>
        <v>11</v>
      </c>
      <c r="CG437" s="60" t="n">
        <f aca="false">IFERROR(IF(OR(BX437=1,BX437=2,BX437=3),N(INDEX(Parameter!$I$5:$I$7,BX437)),0),0)</f>
        <v>0</v>
      </c>
      <c r="CH437" s="59" t="n">
        <f aca="false">IF(AND(Parameter!$B$21="Ja",ISNUMBER(W437),N(X437)&gt;0),IFERROR(N(INDEX(Parameter!$L$5:$L$7,W437))*INDEX(Parameter!$E$5:$E$7,W437)*X437/SUMIFS($X$7:$X$1843,$W$7:$W$1843,W437),0),0)</f>
        <v>0</v>
      </c>
    </row>
    <row r="438" customFormat="false" ht="15" hidden="false" customHeight="false" outlineLevel="0" collapsed="false">
      <c r="A438" s="55" t="s">
        <v>999</v>
      </c>
      <c r="B438" s="55" t="s">
        <v>1000</v>
      </c>
      <c r="C438" s="55" t="s">
        <v>164</v>
      </c>
      <c r="D438" s="55" t="s">
        <v>184</v>
      </c>
      <c r="E438" s="55" t="s">
        <v>185</v>
      </c>
      <c r="F438" s="55" t="s">
        <v>218</v>
      </c>
      <c r="G438" s="56" t="n">
        <v>19.07</v>
      </c>
      <c r="H438" s="57" t="n">
        <f aca="false">MAX(0,IF(AND(Parameter!$B$21="Ja",ISNUMBER(Y438)),Y438,IF(Parameter!$B$20="Jahresanfang 2025 + Export",BL438+BK438,BK438)))</f>
        <v>10</v>
      </c>
      <c r="I438" s="57" t="n">
        <f aca="false">H438*G438</f>
        <v>190.7</v>
      </c>
      <c r="J438" s="57" t="n">
        <f aca="false">BN438*Parameter!$B$18</f>
        <v>0</v>
      </c>
      <c r="K438" s="58" t="n">
        <v>7.5</v>
      </c>
      <c r="L438" s="59" t="n">
        <v>0</v>
      </c>
      <c r="M438" s="57" t="n">
        <v>0</v>
      </c>
      <c r="N438" s="57" t="n">
        <v>1</v>
      </c>
      <c r="O438" s="60" t="n">
        <v>42</v>
      </c>
      <c r="P438" s="55" t="s">
        <v>476</v>
      </c>
      <c r="Q438" s="57" t="n">
        <v>9</v>
      </c>
      <c r="R438" s="60" t="n">
        <f aca="false">IF(BT438=1,0,IFERROR(VLOOKUP(BR438,'Gebinde-Kategorie'!$A$5:$M$45,13,0)+0,0))</f>
        <v>66</v>
      </c>
      <c r="S438" s="61"/>
      <c r="T438" s="62"/>
      <c r="U438" s="62"/>
      <c r="V438" s="62"/>
      <c r="W438" s="55"/>
      <c r="X438" s="57"/>
      <c r="Y438" s="57"/>
      <c r="Z438" s="55" t="n">
        <f aca="false">IF(A438="","",IF(AND(Parameter!$B$21="Ja",ISNUMBER(W438)),W438,IF(BV438="2+3",IF(ISNUMBER(SEARCH("grosser Artikel",BO438)),2,IFERROR(VLOOKUP(BR438,Parameter!$F$35:$G$64,2,0),2)),IF(OR(BV438="Nein",BV438=""),"-",BV438))))</f>
        <v>3</v>
      </c>
      <c r="AA438" s="62"/>
      <c r="AB438" s="63"/>
      <c r="AC438" s="57" t="n">
        <f aca="false">AR438</f>
        <v>9</v>
      </c>
      <c r="AD438" s="57" t="n">
        <f aca="false">MAX(AR438,H438)</f>
        <v>10</v>
      </c>
      <c r="AE438" s="64"/>
      <c r="AF438" s="57" t="n">
        <f aca="false">IF(LEFT(Cockpit!$C$5,1)="A",H438,IF(CA438=1,CB438,IF(LEFT(Cockpit!$C$5,1)="B",AJ438,MAX(AJ438,H438))))</f>
        <v>10</v>
      </c>
      <c r="AG438" s="57" t="n">
        <f aca="false">IF(BT438=1,0,ROUNDUP(AF438/BS438,0))</f>
        <v>2</v>
      </c>
      <c r="AH438" s="59" t="n">
        <f aca="false">IF(CH438&gt;0,CH438*MAX(1,AF438/X438),IF(BT438=1,IF(AF438&lt;=0,0,BW438*MAX(1,IF(H438&gt;0,AF438/H438,1))),IF(R438&gt;0,AG438/R438,0))/MAX(0.1,N(Parameter!$M$21)))</f>
        <v>0.0303030303030303</v>
      </c>
      <c r="AI438" s="57" t="n">
        <f aca="false">AF438*G438</f>
        <v>190.7</v>
      </c>
      <c r="AJ438" s="57" t="n">
        <f aca="false">ROUNDUP(MAX(J438/IF(BZ438&gt;0,BZ438,MAX(0.1,N(Cockpit!$C$6))),CC438)/BS438,0)*BS438</f>
        <v>9</v>
      </c>
      <c r="AK438" s="58" t="n">
        <f aca="false">IF(AH438&gt;0,J438/AH438,-1)</f>
        <v>0</v>
      </c>
      <c r="AL438" s="58" t="n">
        <f aca="false">IF(AND(OR(BY438="L1",BY438="L23"),AH438&gt;0),SUMIFS($AH$7:$AH$1843,$BY$7:$BY$1843,BY438,$AK$7:$AK$1843,"&gt;"&amp;AK438)+SUMIFS($AH$7:$AH$1843,$BY$7:$BY$1843,BY438,$AK$7:$AK$1843,AK438,$BQ$7:$BQ$1843,"&lt;="&amp;BQ438),"")</f>
        <v>73.9485152528631</v>
      </c>
      <c r="AM438" s="65" t="n">
        <f aca="false">IF(AL438="",0,MAX(0,MIN(1,(IF(BY438="L1",Parameter!$E$5,Parameter!$E$6+Parameter!$E$7)-(AL438-AH438))/AH438)))</f>
        <v>1</v>
      </c>
      <c r="AN438" s="57" t="n">
        <f aca="false">IF(LEFT(Cockpit!$I$5,1)="A",H438,IF(CA438=1,CB438,IF(LEFT(Cockpit!$I$5,1)="B",AR438,MAX(AR438,H438))))</f>
        <v>10</v>
      </c>
      <c r="AO438" s="57" t="n">
        <f aca="false">IF(BT438=1,0,ROUNDUP(AN438/BS438,0))</f>
        <v>2</v>
      </c>
      <c r="AP438" s="59" t="n">
        <f aca="false">IF(CH438&gt;0,CH438*MAX(1,AN438/X438),IF(BT438=1,IF(AN438&lt;=0,0,BW438*MAX(1,IF(H438&gt;0,AN438/H438,1))),IF(R438&gt;0,AO438/R438,0))/MAX(0.1,N(Parameter!$M$21)))</f>
        <v>0.0303030303030303</v>
      </c>
      <c r="AQ438" s="57" t="n">
        <f aca="false">AN438*G438</f>
        <v>190.7</v>
      </c>
      <c r="AR438" s="57" t="n">
        <f aca="false">ROUNDUP(MAX(J438/IF(BZ438&gt;0,BZ438,MAX(0.1,N(Cockpit!$I$6))),CC438)/BS438,0)*BS438</f>
        <v>9</v>
      </c>
      <c r="AS438" s="58" t="n">
        <f aca="false">IF(AP438&gt;0,J438/AP438,-1)</f>
        <v>0</v>
      </c>
      <c r="AT438" s="58" t="n">
        <f aca="false">IF(AND(OR(BY438="L1",BY438="L23"),AP438&gt;0),SUMIFS($AP$7:$AP$1843,$BY$7:$BY$1843,BY438,$AS$7:$AS$1843,"&gt;"&amp;AS438)+SUMIFS($AP$7:$AP$1843,$BY$7:$BY$1843,BY438,$AS$7:$AS$1843,AS438,$BQ$7:$BQ$1843,"&lt;="&amp;BQ438),"")</f>
        <v>113.372639437857</v>
      </c>
      <c r="AU438" s="65" t="n">
        <f aca="false">IF(AT438="",0,MAX(0,MIN(1,(IF(BY438="L1",Parameter!$E$5,Parameter!$E$6+Parameter!$E$7)-(AT438-AP438))/AP438)))</f>
        <v>0</v>
      </c>
      <c r="AV438" s="57" t="n">
        <f aca="false">IF(LEFT(Cockpit!$O$5,1)="A",H438,IF(CA438=1,CB438,IF(LEFT(Cockpit!$O$5,1)="B",AZ438,MAX(AZ438,H438))))</f>
        <v>10</v>
      </c>
      <c r="AW438" s="57" t="n">
        <f aca="false">IF(BT438=1,0,ROUNDUP(AV438/BS438,0))</f>
        <v>2</v>
      </c>
      <c r="AX438" s="59" t="n">
        <f aca="false">IF(CH438&gt;0,CH438*MAX(1,AV438/X438),IF(BT438=1,IF(AV438&lt;=0,0,BW438*MAX(1,IF(H438&gt;0,AV438/H438,1))),IF(R438&gt;0,AW438/R438,0))/MAX(0.1,N(Parameter!$M$21)))</f>
        <v>0.0303030303030303</v>
      </c>
      <c r="AY438" s="57" t="n">
        <f aca="false">AV438*G438</f>
        <v>190.7</v>
      </c>
      <c r="AZ438" s="57" t="n">
        <f aca="false">ROUNDUP(MAX(J438/IF(BZ438&gt;0,BZ438,MAX(0.1,N(Cockpit!$O$6))),CC438)/BS438,0)*BS438</f>
        <v>9</v>
      </c>
      <c r="BA438" s="58" t="n">
        <f aca="false">IF(AX438&gt;0,J438/AX438,-1)</f>
        <v>0</v>
      </c>
      <c r="BB438" s="58" t="n">
        <f aca="false">IF(AND(OR(BY438="L1",BY438="L23"),AX438&gt;0),SUMIFS($AX$7:$AX$1843,$BY$7:$BY$1843,BY438,$BA$7:$BA$1843,"&gt;"&amp;BA438)+SUMIFS($AX$7:$AX$1843,$BY$7:$BY$1843,BY438,$BA$7:$BA$1843,BA438,$BQ$7:$BQ$1843,"&lt;="&amp;BQ438),"")</f>
        <v>104.202476267694</v>
      </c>
      <c r="BC438" s="65" t="n">
        <f aca="false">IF(BB438="",0,MAX(0,MIN(1,(IF(BY438="L1",Parameter!$E$5,Parameter!$E$6+Parameter!$E$7)-(BB438-AX438))/AX438)))</f>
        <v>0</v>
      </c>
      <c r="BD438" s="55" t="str">
        <f aca="false">IF(AH438&lt;=0,"",IF(BY438="Aussen","Aussenlager",IF(BY438="-","Nicht im Lift",IF(AM438&gt;=1,"Lift",IF(AM438&lt;=0,"Aussenlager","teilweise")))))</f>
        <v>Lift</v>
      </c>
      <c r="BE438" s="55" t="str">
        <f aca="false">IF(AP438&lt;=0,"",IF(BY438="Aussen","Aussenlager",IF(BY438="-","Nicht im Lift",IF(AU438&gt;=1,"Lift",IF(AU438&lt;=0,"Aussenlager","teilweise")))))</f>
        <v>Aussenlager</v>
      </c>
      <c r="BF438" s="55" t="str">
        <f aca="false">IF(AX438&lt;=0,"",IF(BY438="Aussen","Aussenlager",IF(BY438="-","Nicht im Lift",IF(BC438&gt;=1,"Lift",IF(BC438&lt;=0,"Aussenlager","teilweise")))))</f>
        <v>Aussenlager</v>
      </c>
      <c r="BG438" s="55" t="str">
        <f aca="false">IF(A438="","",IF(BP438=1,"Neu; ","")&amp;IF(AND(BP438=0,BK438&lt;0),"negativer Bestand (Export "&amp;BK438&amp;"); ","")&amp;IF(J438&lt;=0,"Kein Verbrauch; ","")&amp;IF(CH438&gt;0,"Lift "&amp;W438&amp;" lt. Liftbericht (Fach "&amp;X438&amp;" Stk); ",IF(BU438=1,"Gebinde geschätzt ("&amp;T438&amp;"); ",IF(BT438=1,"Lose – Tablare geschätzt; ","")))&amp;IF(H438&gt;AR438,"Überbestand "&amp;ROUND(H438-AR438,0)&amp;" Stk / CHF "&amp;ROUND((H438-AR438)*G438,0)&amp;"; ","")&amp;IF(AND(CA438=1,CB438&lt;CC438),"MAX &lt; MB+LG; ","")&amp;IF(AND(CG438&gt;0,CF438*10&gt;CG438),"zu hoch für Tablar; ","")&amp;IF(AND(BP438=0,OR(CA438=1,AA438&lt;&gt;"",U438&lt;&gt;"",V438&lt;&gt;"",AB438&lt;&gt;"")),"manuell übersteuert; ","")&amp;IF(AND(BT438=0,R438=0),"Gebinde unbekannt / Stellmass fehlt; ","")&amp;IF(AND(BT438=0,N(V438)&lt;=0,N(Q438)&lt;=0),"Menge pro Gebinde fehlt (Ist = 1 Gebinde); ","")&amp;BO438)</f>
        <v>Kein Verbrauch; Überbestand 1 Stk / CHF 19; </v>
      </c>
      <c r="BH438" s="55"/>
      <c r="BI438" s="55"/>
      <c r="BJ438" s="62"/>
      <c r="BK438" s="57" t="n">
        <v>4</v>
      </c>
      <c r="BL438" s="57" t="n">
        <v>6</v>
      </c>
      <c r="BM438" s="56" t="n">
        <v>76.28</v>
      </c>
      <c r="BN438" s="57" t="n">
        <v>0</v>
      </c>
      <c r="BO438" s="55"/>
      <c r="BP438" s="60" t="n">
        <v>0</v>
      </c>
      <c r="BQ438" s="60" t="n">
        <v>438</v>
      </c>
      <c r="BR438" s="55" t="str">
        <f aca="false">IF(U438&lt;&gt;"",UPPER(TRIM(U438)),IF(BU438=1,UPPER(VLOOKUP(T438,Parameter!$I$27:$K$29,2,0)),IF(P438="","LOSE",P438)))</f>
        <v>S33</v>
      </c>
      <c r="BS438" s="57" t="n">
        <f aca="false">IF(BR438="LOSE",1,IF(N(V438)&gt;0,V438,IF(BU438=1,MAX(1,N(VLOOKUP(T438,Parameter!$I$27:$K$29,3,0)),H438,N(N438)),IF(N(Q438)&gt;0,Q438,MAX(1,H438)))))</f>
        <v>9</v>
      </c>
      <c r="BT438" s="60" t="n">
        <f aca="false">IF(BR438="LOSE",1,0)</f>
        <v>0</v>
      </c>
      <c r="BU438" s="60" t="n">
        <f aca="false">IF(AND(U438="",OR(P438="",P438="LOSE"),T438&lt;&gt;"",N(S438)&lt;=0,ISNUMBER(MATCH(T438,Parameter!$I$27:$I$29,0))),1,0)</f>
        <v>0</v>
      </c>
      <c r="BV438" s="55" t="str">
        <f aca="false">IF(AND(Parameter!$B$19="Ja",E438&lt;&gt;"",ISNUMBER(MATCH(E438,Parameter!$I$35:$I$52,0))),VLOOKUP(E438,Parameter!$I$35:$J$52,2,0),IFERROR(VLOOKUP(D438,Parameter!$A$35:$C$64,2,0),"Nein"))</f>
        <v>2+3</v>
      </c>
      <c r="BW438" s="59" t="n">
        <f aca="false">IF(BT438=0,0,IF(N(S438)&gt;0,S438,IFERROR(VLOOKUP(D438,Parameter!$A$35:$C$64,3,0)+0,0)))</f>
        <v>0</v>
      </c>
      <c r="BX438" s="55" t="n">
        <f aca="false">IF(AA438&lt;&gt;"",AA438,Z438)</f>
        <v>3</v>
      </c>
      <c r="BY438" s="55" t="str">
        <f aca="false">IF(BX438=1,"L1",IF(OR(BX438=2,BX438=3),"L23",IF(BX438="Aussen","Aussen","-")))</f>
        <v>L23</v>
      </c>
      <c r="BZ438" s="66" t="n">
        <f aca="false">IF(N(AB438)&gt;0,AB438,0)</f>
        <v>0</v>
      </c>
      <c r="CA438" s="60" t="n">
        <f aca="false">IF(ISNUMBER(AE438),1,0)</f>
        <v>0</v>
      </c>
      <c r="CB438" s="57" t="n">
        <f aca="false">N(AE438)</f>
        <v>0</v>
      </c>
      <c r="CC438" s="57" t="n">
        <f aca="false">N(M438)+N(N438)</f>
        <v>1</v>
      </c>
      <c r="CD438" s="57" t="n">
        <f aca="false">ROUNDUP(H438/BS438,0)</f>
        <v>2</v>
      </c>
      <c r="CE438" s="57" t="n">
        <f aca="false">ROUNDUP(CB438/BS438,0)</f>
        <v>0</v>
      </c>
      <c r="CF438" s="60" t="n">
        <f aca="false">IF(BT438=1,0,IFERROR(VLOOKUP(BR438,'Gebinde-Kategorie'!$A$5:$M$45,5,0)+0,0))</f>
        <v>8</v>
      </c>
      <c r="CG438" s="60" t="n">
        <f aca="false">IFERROR(IF(OR(BX438=1,BX438=2,BX438=3),N(INDEX(Parameter!$I$5:$I$7,BX438)),0),0)</f>
        <v>0</v>
      </c>
      <c r="CH438" s="59" t="n">
        <f aca="false">IF(AND(Parameter!$B$21="Ja",ISNUMBER(W438),N(X438)&gt;0),IFERROR(N(INDEX(Parameter!$L$5:$L$7,W438))*INDEX(Parameter!$E$5:$E$7,W438)*X438/SUMIFS($X$7:$X$1843,$W$7:$W$1843,W438),0),0)</f>
        <v>0</v>
      </c>
    </row>
    <row r="439" customFormat="false" ht="15" hidden="false" customHeight="false" outlineLevel="0" collapsed="false">
      <c r="A439" s="55" t="s">
        <v>1001</v>
      </c>
      <c r="B439" s="55" t="s">
        <v>1002</v>
      </c>
      <c r="C439" s="55" t="s">
        <v>164</v>
      </c>
      <c r="D439" s="55" t="s">
        <v>184</v>
      </c>
      <c r="E439" s="55"/>
      <c r="F439" s="55" t="s">
        <v>218</v>
      </c>
      <c r="G439" s="56" t="n">
        <v>2.99</v>
      </c>
      <c r="H439" s="57" t="n">
        <f aca="false">MAX(0,IF(AND(Parameter!$B$21="Ja",ISNUMBER(Y439)),Y439,IF(Parameter!$B$20="Jahresanfang 2025 + Export",BL439+BK439,BK439)))</f>
        <v>25</v>
      </c>
      <c r="I439" s="57" t="n">
        <f aca="false">H439*G439</f>
        <v>74.75</v>
      </c>
      <c r="J439" s="57" t="n">
        <f aca="false">BN439*Parameter!$B$18</f>
        <v>0</v>
      </c>
      <c r="K439" s="58" t="n">
        <v>0</v>
      </c>
      <c r="L439" s="59" t="n">
        <v>0</v>
      </c>
      <c r="M439" s="57" t="n">
        <v>0</v>
      </c>
      <c r="N439" s="57" t="n">
        <v>5</v>
      </c>
      <c r="O439" s="60" t="n">
        <v>90</v>
      </c>
      <c r="P439" s="55" t="s">
        <v>168</v>
      </c>
      <c r="Q439" s="57"/>
      <c r="R439" s="60" t="n">
        <f aca="false">IF(BT439=1,0,IFERROR(VLOOKUP(BR439,'Gebinde-Kategorie'!$A$5:$M$45,13,0)+0,0))</f>
        <v>12</v>
      </c>
      <c r="S439" s="61"/>
      <c r="T439" s="62" t="s">
        <v>179</v>
      </c>
      <c r="U439" s="62"/>
      <c r="V439" s="62"/>
      <c r="W439" s="55"/>
      <c r="X439" s="57"/>
      <c r="Y439" s="57"/>
      <c r="Z439" s="55" t="n">
        <f aca="false">IF(A439="","",IF(AND(Parameter!$B$21="Ja",ISNUMBER(W439)),W439,IF(BV439="2+3",IF(ISNUMBER(SEARCH("grosser Artikel",BO439)),2,IFERROR(VLOOKUP(BR439,Parameter!$F$35:$G$64,2,0),2)),IF(OR(BV439="Nein",BV439=""),"-",BV439))))</f>
        <v>2</v>
      </c>
      <c r="AA439" s="62"/>
      <c r="AB439" s="63"/>
      <c r="AC439" s="57" t="n">
        <f aca="false">AR439</f>
        <v>25</v>
      </c>
      <c r="AD439" s="57" t="n">
        <f aca="false">MAX(AR439,H439)</f>
        <v>25</v>
      </c>
      <c r="AE439" s="64"/>
      <c r="AF439" s="57" t="n">
        <f aca="false">IF(LEFT(Cockpit!$C$5,1)="A",H439,IF(CA439=1,CB439,IF(LEFT(Cockpit!$C$5,1)="B",AJ439,MAX(AJ439,H439))))</f>
        <v>25</v>
      </c>
      <c r="AG439" s="57" t="n">
        <f aca="false">IF(BT439=1,0,ROUNDUP(AF439/BS439,0))</f>
        <v>1</v>
      </c>
      <c r="AH439" s="59" t="n">
        <f aca="false">IF(CH439&gt;0,CH439*MAX(1,AF439/X439),IF(BT439=1,IF(AF439&lt;=0,0,BW439*MAX(1,IF(H439&gt;0,AF439/H439,1))),IF(R439&gt;0,AG439/R439,0))/MAX(0.1,N(Parameter!$M$21)))</f>
        <v>0.0833333333333333</v>
      </c>
      <c r="AI439" s="57" t="n">
        <f aca="false">AF439*G439</f>
        <v>74.75</v>
      </c>
      <c r="AJ439" s="57" t="n">
        <f aca="false">ROUNDUP(MAX(J439/IF(BZ439&gt;0,BZ439,MAX(0.1,N(Cockpit!$C$6))),CC439)/BS439,0)*BS439</f>
        <v>25</v>
      </c>
      <c r="AK439" s="58" t="n">
        <f aca="false">IF(AH439&gt;0,J439/AH439,-1)</f>
        <v>0</v>
      </c>
      <c r="AL439" s="58" t="n">
        <f aca="false">IF(AND(OR(BY439="L1",BY439="L23"),AH439&gt;0),SUMIFS($AH$7:$AH$1843,$BY$7:$BY$1843,BY439,$AK$7:$AK$1843,"&gt;"&amp;AK439)+SUMIFS($AH$7:$AH$1843,$BY$7:$BY$1843,BY439,$AK$7:$AK$1843,AK439,$BQ$7:$BQ$1843,"&lt;="&amp;BQ439),"")</f>
        <v>74.0318485861964</v>
      </c>
      <c r="AM439" s="65" t="n">
        <f aca="false">IF(AL439="",0,MAX(0,MIN(1,(IF(BY439="L1",Parameter!$E$5,Parameter!$E$6+Parameter!$E$7)-(AL439-AH439))/AH439)))</f>
        <v>1</v>
      </c>
      <c r="AN439" s="57" t="n">
        <f aca="false">IF(LEFT(Cockpit!$I$5,1)="A",H439,IF(CA439=1,CB439,IF(LEFT(Cockpit!$I$5,1)="B",AR439,MAX(AR439,H439))))</f>
        <v>25</v>
      </c>
      <c r="AO439" s="57" t="n">
        <f aca="false">IF(BT439=1,0,ROUNDUP(AN439/BS439,0))</f>
        <v>1</v>
      </c>
      <c r="AP439" s="59" t="n">
        <f aca="false">IF(CH439&gt;0,CH439*MAX(1,AN439/X439),IF(BT439=1,IF(AN439&lt;=0,0,BW439*MAX(1,IF(H439&gt;0,AN439/H439,1))),IF(R439&gt;0,AO439/R439,0))/MAX(0.1,N(Parameter!$M$21)))</f>
        <v>0.0833333333333333</v>
      </c>
      <c r="AQ439" s="57" t="n">
        <f aca="false">AN439*G439</f>
        <v>74.75</v>
      </c>
      <c r="AR439" s="57" t="n">
        <f aca="false">ROUNDUP(MAX(J439/IF(BZ439&gt;0,BZ439,MAX(0.1,N(Cockpit!$I$6))),CC439)/BS439,0)*BS439</f>
        <v>25</v>
      </c>
      <c r="AS439" s="58" t="n">
        <f aca="false">IF(AP439&gt;0,J439/AP439,-1)</f>
        <v>0</v>
      </c>
      <c r="AT439" s="58" t="n">
        <f aca="false">IF(AND(OR(BY439="L1",BY439="L23"),AP439&gt;0),SUMIFS($AP$7:$AP$1843,$BY$7:$BY$1843,BY439,$AS$7:$AS$1843,"&gt;"&amp;AS439)+SUMIFS($AP$7:$AP$1843,$BY$7:$BY$1843,BY439,$AS$7:$AS$1843,AS439,$BQ$7:$BQ$1843,"&lt;="&amp;BQ439),"")</f>
        <v>113.45597277119</v>
      </c>
      <c r="AU439" s="65" t="n">
        <f aca="false">IF(AT439="",0,MAX(0,MIN(1,(IF(BY439="L1",Parameter!$E$5,Parameter!$E$6+Parameter!$E$7)-(AT439-AP439))/AP439)))</f>
        <v>0</v>
      </c>
      <c r="AV439" s="57" t="n">
        <f aca="false">IF(LEFT(Cockpit!$O$5,1)="A",H439,IF(CA439=1,CB439,IF(LEFT(Cockpit!$O$5,1)="B",AZ439,MAX(AZ439,H439))))</f>
        <v>25</v>
      </c>
      <c r="AW439" s="57" t="n">
        <f aca="false">IF(BT439=1,0,ROUNDUP(AV439/BS439,0))</f>
        <v>1</v>
      </c>
      <c r="AX439" s="59" t="n">
        <f aca="false">IF(CH439&gt;0,CH439*MAX(1,AV439/X439),IF(BT439=1,IF(AV439&lt;=0,0,BW439*MAX(1,IF(H439&gt;0,AV439/H439,1))),IF(R439&gt;0,AW439/R439,0))/MAX(0.1,N(Parameter!$M$21)))</f>
        <v>0.0833333333333333</v>
      </c>
      <c r="AY439" s="57" t="n">
        <f aca="false">AV439*G439</f>
        <v>74.75</v>
      </c>
      <c r="AZ439" s="57" t="n">
        <f aca="false">ROUNDUP(MAX(J439/IF(BZ439&gt;0,BZ439,MAX(0.1,N(Cockpit!$O$6))),CC439)/BS439,0)*BS439</f>
        <v>25</v>
      </c>
      <c r="BA439" s="58" t="n">
        <f aca="false">IF(AX439&gt;0,J439/AX439,-1)</f>
        <v>0</v>
      </c>
      <c r="BB439" s="58" t="n">
        <f aca="false">IF(AND(OR(BY439="L1",BY439="L23"),AX439&gt;0),SUMIFS($AX$7:$AX$1843,$BY$7:$BY$1843,BY439,$BA$7:$BA$1843,"&gt;"&amp;BA439)+SUMIFS($AX$7:$AX$1843,$BY$7:$BY$1843,BY439,$BA$7:$BA$1843,BA439,$BQ$7:$BQ$1843,"&lt;="&amp;BQ439),"")</f>
        <v>104.285809601027</v>
      </c>
      <c r="BC439" s="65" t="n">
        <f aca="false">IF(BB439="",0,MAX(0,MIN(1,(IF(BY439="L1",Parameter!$E$5,Parameter!$E$6+Parameter!$E$7)-(BB439-AX439))/AX439)))</f>
        <v>0</v>
      </c>
      <c r="BD439" s="55" t="str">
        <f aca="false">IF(AH439&lt;=0,"",IF(BY439="Aussen","Aussenlager",IF(BY439="-","Nicht im Lift",IF(AM439&gt;=1,"Lift",IF(AM439&lt;=0,"Aussenlager","teilweise")))))</f>
        <v>Lift</v>
      </c>
      <c r="BE439" s="55" t="str">
        <f aca="false">IF(AP439&lt;=0,"",IF(BY439="Aussen","Aussenlager",IF(BY439="-","Nicht im Lift",IF(AU439&gt;=1,"Lift",IF(AU439&lt;=0,"Aussenlager","teilweise")))))</f>
        <v>Aussenlager</v>
      </c>
      <c r="BF439" s="55" t="str">
        <f aca="false">IF(AX439&lt;=0,"",IF(BY439="Aussen","Aussenlager",IF(BY439="-","Nicht im Lift",IF(BC439&gt;=1,"Lift",IF(BC439&lt;=0,"Aussenlager","teilweise")))))</f>
        <v>Aussenlager</v>
      </c>
      <c r="BG439" s="55" t="str">
        <f aca="false">IF(A439="","",IF(BP439=1,"Neu; ","")&amp;IF(AND(BP439=0,BK439&lt;0),"negativer Bestand (Export "&amp;BK439&amp;"); ","")&amp;IF(J439&lt;=0,"Kein Verbrauch; ","")&amp;IF(CH439&gt;0,"Lift "&amp;W439&amp;" lt. Liftbericht (Fach "&amp;X439&amp;" Stk); ",IF(BU439=1,"Gebinde geschätzt ("&amp;T439&amp;"); ",IF(BT439=1,"Lose – Tablare geschätzt; ","")))&amp;IF(H439&gt;AR439,"Überbestand "&amp;ROUND(H439-AR439,0)&amp;" Stk / CHF "&amp;ROUND((H439-AR439)*G439,0)&amp;"; ","")&amp;IF(AND(CA439=1,CB439&lt;CC439),"MAX &lt; MB+LG; ","")&amp;IF(AND(CG439&gt;0,CF439*10&gt;CG439),"zu hoch für Tablar; ","")&amp;IF(AND(BP439=0,OR(CA439=1,AA439&lt;&gt;"",U439&lt;&gt;"",V439&lt;&gt;"",AB439&lt;&gt;"")),"manuell übersteuert; ","")&amp;IF(AND(BT439=0,R439=0),"Gebinde unbekannt / Stellmass fehlt; ","")&amp;IF(AND(BT439=0,N(V439)&lt;=0,N(Q439)&lt;=0),"Menge pro Gebinde fehlt (Ist = 1 Gebinde); ","")&amp;BO439)</f>
        <v>Kein Verbrauch; Gebinde geschätzt (Mittel); Menge pro Gebinde fehlt (Ist = 1 Gebinde); </v>
      </c>
      <c r="BH439" s="55"/>
      <c r="BI439" s="55"/>
      <c r="BJ439" s="62"/>
      <c r="BK439" s="57" t="n">
        <v>25</v>
      </c>
      <c r="BL439" s="57" t="n">
        <v>0</v>
      </c>
      <c r="BM439" s="56" t="n">
        <v>74.75</v>
      </c>
      <c r="BN439" s="57" t="n">
        <v>0</v>
      </c>
      <c r="BO439" s="55"/>
      <c r="BP439" s="60" t="n">
        <v>0</v>
      </c>
      <c r="BQ439" s="60" t="n">
        <v>439</v>
      </c>
      <c r="BR439" s="55" t="str">
        <f aca="false">IF(U439&lt;&gt;"",UPPER(TRIM(U439)),IF(BU439=1,UPPER(VLOOKUP(T439,Parameter!$I$27:$K$29,2,0)),IF(P439="","LOSE",P439)))</f>
        <v>S61</v>
      </c>
      <c r="BS439" s="57" t="n">
        <f aca="false">IF(BR439="LOSE",1,IF(N(V439)&gt;0,V439,IF(BU439=1,MAX(1,N(VLOOKUP(T439,Parameter!$I$27:$K$29,3,0)),H439,N(N439)),IF(N(Q439)&gt;0,Q439,MAX(1,H439)))))</f>
        <v>25</v>
      </c>
      <c r="BT439" s="60" t="n">
        <f aca="false">IF(BR439="LOSE",1,0)</f>
        <v>0</v>
      </c>
      <c r="BU439" s="60" t="n">
        <f aca="false">IF(AND(U439="",OR(P439="",P439="LOSE"),T439&lt;&gt;"",N(S439)&lt;=0,ISNUMBER(MATCH(T439,Parameter!$I$27:$I$29,0))),1,0)</f>
        <v>1</v>
      </c>
      <c r="BV439" s="55" t="str">
        <f aca="false">IF(AND(Parameter!$B$19="Ja",E439&lt;&gt;"",ISNUMBER(MATCH(E439,Parameter!$I$35:$I$52,0))),VLOOKUP(E439,Parameter!$I$35:$J$52,2,0),IFERROR(VLOOKUP(D439,Parameter!$A$35:$C$64,2,0),"Nein"))</f>
        <v>2+3</v>
      </c>
      <c r="BW439" s="59" t="n">
        <f aca="false">IF(BT439=0,0,IF(N(S439)&gt;0,S439,IFERROR(VLOOKUP(D439,Parameter!$A$35:$C$64,3,0)+0,0)))</f>
        <v>0</v>
      </c>
      <c r="BX439" s="55" t="n">
        <f aca="false">IF(AA439&lt;&gt;"",AA439,Z439)</f>
        <v>2</v>
      </c>
      <c r="BY439" s="55" t="str">
        <f aca="false">IF(BX439=1,"L1",IF(OR(BX439=2,BX439=3),"L23",IF(BX439="Aussen","Aussen","-")))</f>
        <v>L23</v>
      </c>
      <c r="BZ439" s="66" t="n">
        <f aca="false">IF(N(AB439)&gt;0,AB439,0)</f>
        <v>0</v>
      </c>
      <c r="CA439" s="60" t="n">
        <f aca="false">IF(ISNUMBER(AE439),1,0)</f>
        <v>0</v>
      </c>
      <c r="CB439" s="57" t="n">
        <f aca="false">N(AE439)</f>
        <v>0</v>
      </c>
      <c r="CC439" s="57" t="n">
        <f aca="false">N(M439)+N(N439)</f>
        <v>5</v>
      </c>
      <c r="CD439" s="57" t="n">
        <f aca="false">ROUNDUP(H439/BS439,0)</f>
        <v>1</v>
      </c>
      <c r="CE439" s="57" t="n">
        <f aca="false">ROUNDUP(CB439/BS439,0)</f>
        <v>0</v>
      </c>
      <c r="CF439" s="60" t="n">
        <f aca="false">IF(BT439=1,0,IFERROR(VLOOKUP(BR439,'Gebinde-Kategorie'!$A$5:$M$45,5,0)+0,0))</f>
        <v>11</v>
      </c>
      <c r="CG439" s="60" t="n">
        <f aca="false">IFERROR(IF(OR(BX439=1,BX439=2,BX439=3),N(INDEX(Parameter!$I$5:$I$7,BX439)),0),0)</f>
        <v>0</v>
      </c>
      <c r="CH439" s="59" t="n">
        <f aca="false">IF(AND(Parameter!$B$21="Ja",ISNUMBER(W439),N(X439)&gt;0),IFERROR(N(INDEX(Parameter!$L$5:$L$7,W439))*INDEX(Parameter!$E$5:$E$7,W439)*X439/SUMIFS($X$7:$X$1843,$W$7:$W$1843,W439),0),0)</f>
        <v>0</v>
      </c>
    </row>
    <row r="440" customFormat="false" ht="15" hidden="false" customHeight="false" outlineLevel="0" collapsed="false">
      <c r="A440" s="55" t="s">
        <v>1003</v>
      </c>
      <c r="B440" s="55" t="s">
        <v>1004</v>
      </c>
      <c r="C440" s="55" t="s">
        <v>164</v>
      </c>
      <c r="D440" s="55" t="s">
        <v>184</v>
      </c>
      <c r="E440" s="55"/>
      <c r="F440" s="55" t="s">
        <v>218</v>
      </c>
      <c r="G440" s="56" t="n">
        <v>7.88</v>
      </c>
      <c r="H440" s="57" t="n">
        <f aca="false">MAX(0,IF(AND(Parameter!$B$21="Ja",ISNUMBER(Y440)),Y440,IF(Parameter!$B$20="Jahresanfang 2025 + Export",BL440+BK440,BK440)))</f>
        <v>63</v>
      </c>
      <c r="I440" s="57" t="n">
        <f aca="false">H440*G440</f>
        <v>496.44</v>
      </c>
      <c r="J440" s="57" t="n">
        <f aca="false">BN440*Parameter!$B$18</f>
        <v>1</v>
      </c>
      <c r="K440" s="58" t="n">
        <v>54</v>
      </c>
      <c r="L440" s="59" t="n">
        <v>0.0185185185185185</v>
      </c>
      <c r="M440" s="57" t="n">
        <v>0</v>
      </c>
      <c r="N440" s="57" t="n">
        <v>1</v>
      </c>
      <c r="O440" s="60" t="n">
        <v>70</v>
      </c>
      <c r="P440" s="55" t="s">
        <v>186</v>
      </c>
      <c r="Q440" s="57" t="n">
        <v>55</v>
      </c>
      <c r="R440" s="60" t="n">
        <f aca="false">IF(BT440=1,0,IFERROR(VLOOKUP(BR440,'Gebinde-Kategorie'!$A$5:$M$45,13,0)+0,0))</f>
        <v>12</v>
      </c>
      <c r="S440" s="61"/>
      <c r="T440" s="62"/>
      <c r="U440" s="62"/>
      <c r="V440" s="62"/>
      <c r="W440" s="55"/>
      <c r="X440" s="57"/>
      <c r="Y440" s="57"/>
      <c r="Z440" s="55" t="n">
        <f aca="false">IF(A440="","",IF(AND(Parameter!$B$21="Ja",ISNUMBER(W440)),W440,IF(BV440="2+3",IF(ISNUMBER(SEARCH("grosser Artikel",BO440)),2,IFERROR(VLOOKUP(BR440,Parameter!$F$35:$G$64,2,0),2)),IF(OR(BV440="Nein",BV440=""),"-",BV440))))</f>
        <v>2</v>
      </c>
      <c r="AA440" s="62"/>
      <c r="AB440" s="63"/>
      <c r="AC440" s="57" t="n">
        <f aca="false">AR440</f>
        <v>55</v>
      </c>
      <c r="AD440" s="57" t="n">
        <f aca="false">MAX(AR440,H440)</f>
        <v>63</v>
      </c>
      <c r="AE440" s="64"/>
      <c r="AF440" s="57" t="n">
        <f aca="false">IF(LEFT(Cockpit!$C$5,1)="A",H440,IF(CA440=1,CB440,IF(LEFT(Cockpit!$C$5,1)="B",AJ440,MAX(AJ440,H440))))</f>
        <v>63</v>
      </c>
      <c r="AG440" s="57" t="n">
        <f aca="false">IF(BT440=1,0,ROUNDUP(AF440/BS440,0))</f>
        <v>2</v>
      </c>
      <c r="AH440" s="59" t="n">
        <f aca="false">IF(CH440&gt;0,CH440*MAX(1,AF440/X440),IF(BT440=1,IF(AF440&lt;=0,0,BW440*MAX(1,IF(H440&gt;0,AF440/H440,1))),IF(R440&gt;0,AG440/R440,0))/MAX(0.1,N(Parameter!$M$21)))</f>
        <v>0.166666666666667</v>
      </c>
      <c r="AI440" s="57" t="n">
        <f aca="false">AF440*G440</f>
        <v>496.44</v>
      </c>
      <c r="AJ440" s="57" t="n">
        <f aca="false">ROUNDUP(MAX(J440/IF(BZ440&gt;0,BZ440,MAX(0.1,N(Cockpit!$C$6))),CC440)/BS440,0)*BS440</f>
        <v>55</v>
      </c>
      <c r="AK440" s="58" t="n">
        <f aca="false">IF(AH440&gt;0,J440/AH440,-1)</f>
        <v>6</v>
      </c>
      <c r="AL440" s="58" t="n">
        <f aca="false">IF(AND(OR(BY440="L1",BY440="L23"),AH440&gt;0),SUMIFS($AH$7:$AH$1843,$BY$7:$BY$1843,BY440,$AK$7:$AK$1843,"&gt;"&amp;AK440)+SUMIFS($AH$7:$AH$1843,$BY$7:$BY$1843,BY440,$AK$7:$AK$1843,AK440,$BQ$7:$BQ$1843,"&lt;="&amp;BQ440),"")</f>
        <v>56.4792067835546</v>
      </c>
      <c r="AM440" s="65" t="n">
        <f aca="false">IF(AL440="",0,MAX(0,MIN(1,(IF(BY440="L1",Parameter!$E$5,Parameter!$E$6+Parameter!$E$7)-(AL440-AH440))/AH440)))</f>
        <v>1</v>
      </c>
      <c r="AN440" s="57" t="n">
        <f aca="false">IF(LEFT(Cockpit!$I$5,1)="A",H440,IF(CA440=1,CB440,IF(LEFT(Cockpit!$I$5,1)="B",AR440,MAX(AR440,H440))))</f>
        <v>63</v>
      </c>
      <c r="AO440" s="57" t="n">
        <f aca="false">IF(BT440=1,0,ROUNDUP(AN440/BS440,0))</f>
        <v>2</v>
      </c>
      <c r="AP440" s="59" t="n">
        <f aca="false">IF(CH440&gt;0,CH440*MAX(1,AN440/X440),IF(BT440=1,IF(AN440&lt;=0,0,BW440*MAX(1,IF(H440&gt;0,AN440/H440,1))),IF(R440&gt;0,AO440/R440,0))/MAX(0.1,N(Parameter!$M$21)))</f>
        <v>0.166666666666667</v>
      </c>
      <c r="AQ440" s="57" t="n">
        <f aca="false">AN440*G440</f>
        <v>496.44</v>
      </c>
      <c r="AR440" s="57" t="n">
        <f aca="false">ROUNDUP(MAX(J440/IF(BZ440&gt;0,BZ440,MAX(0.1,N(Cockpit!$I$6))),CC440)/BS440,0)*BS440</f>
        <v>55</v>
      </c>
      <c r="AS440" s="58" t="n">
        <f aca="false">IF(AP440&gt;0,J440/AP440,-1)</f>
        <v>6</v>
      </c>
      <c r="AT440" s="58" t="n">
        <f aca="false">IF(AND(OR(BY440="L1",BY440="L23"),AP440&gt;0),SUMIFS($AP$7:$AP$1843,$BY$7:$BY$1843,BY440,$AS$7:$AS$1843,"&gt;"&amp;AS440)+SUMIFS($AP$7:$AP$1843,$BY$7:$BY$1843,BY440,$AS$7:$AS$1843,AS440,$BQ$7:$BQ$1843,"&lt;="&amp;BQ440),"")</f>
        <v>92.7366643018817</v>
      </c>
      <c r="AU440" s="65" t="n">
        <f aca="false">IF(AT440="",0,MAX(0,MIN(1,(IF(BY440="L1",Parameter!$E$5,Parameter!$E$6+Parameter!$E$7)-(AT440-AP440))/AP440)))</f>
        <v>1</v>
      </c>
      <c r="AV440" s="57" t="n">
        <f aca="false">IF(LEFT(Cockpit!$O$5,1)="A",H440,IF(CA440=1,CB440,IF(LEFT(Cockpit!$O$5,1)="B",AZ440,MAX(AZ440,H440))))</f>
        <v>63</v>
      </c>
      <c r="AW440" s="57" t="n">
        <f aca="false">IF(BT440=1,0,ROUNDUP(AV440/BS440,0))</f>
        <v>2</v>
      </c>
      <c r="AX440" s="59" t="n">
        <f aca="false">IF(CH440&gt;0,CH440*MAX(1,AV440/X440),IF(BT440=1,IF(AV440&lt;=0,0,BW440*MAX(1,IF(H440&gt;0,AV440/H440,1))),IF(R440&gt;0,AW440/R440,0))/MAX(0.1,N(Parameter!$M$21)))</f>
        <v>0.166666666666667</v>
      </c>
      <c r="AY440" s="57" t="n">
        <f aca="false">AV440*G440</f>
        <v>496.44</v>
      </c>
      <c r="AZ440" s="57" t="n">
        <f aca="false">ROUNDUP(MAX(J440/IF(BZ440&gt;0,BZ440,MAX(0.1,N(Cockpit!$O$6))),CC440)/BS440,0)*BS440</f>
        <v>55</v>
      </c>
      <c r="BA440" s="58" t="n">
        <f aca="false">IF(AX440&gt;0,J440/AX440,-1)</f>
        <v>6</v>
      </c>
      <c r="BB440" s="58" t="n">
        <f aca="false">IF(AND(OR(BY440="L1",BY440="L23"),AX440&gt;0),SUMIFS($AX$7:$AX$1843,$BY$7:$BY$1843,BY440,$BA$7:$BA$1843,"&gt;"&amp;BA440)+SUMIFS($AX$7:$AX$1843,$BY$7:$BY$1843,BY440,$BA$7:$BA$1843,BA440,$BQ$7:$BQ$1843,"&lt;="&amp;BQ440),"")</f>
        <v>83.5665011317185</v>
      </c>
      <c r="BC440" s="65" t="n">
        <f aca="false">IF(BB440="",0,MAX(0,MIN(1,(IF(BY440="L1",Parameter!$E$5,Parameter!$E$6+Parameter!$E$7)-(BB440-AX440))/AX440)))</f>
        <v>1</v>
      </c>
      <c r="BD440" s="55" t="str">
        <f aca="false">IF(AH440&lt;=0,"",IF(BY440="Aussen","Aussenlager",IF(BY440="-","Nicht im Lift",IF(AM440&gt;=1,"Lift",IF(AM440&lt;=0,"Aussenlager","teilweise")))))</f>
        <v>Lift</v>
      </c>
      <c r="BE440" s="55" t="str">
        <f aca="false">IF(AP440&lt;=0,"",IF(BY440="Aussen","Aussenlager",IF(BY440="-","Nicht im Lift",IF(AU440&gt;=1,"Lift",IF(AU440&lt;=0,"Aussenlager","teilweise")))))</f>
        <v>Lift</v>
      </c>
      <c r="BF440" s="55" t="str">
        <f aca="false">IF(AX440&lt;=0,"",IF(BY440="Aussen","Aussenlager",IF(BY440="-","Nicht im Lift",IF(BC440&gt;=1,"Lift",IF(BC440&lt;=0,"Aussenlager","teilweise")))))</f>
        <v>Lift</v>
      </c>
      <c r="BG440" s="55" t="str">
        <f aca="false">IF(A440="","",IF(BP440=1,"Neu; ","")&amp;IF(AND(BP440=0,BK440&lt;0),"negativer Bestand (Export "&amp;BK440&amp;"); ","")&amp;IF(J440&lt;=0,"Kein Verbrauch; ","")&amp;IF(CH440&gt;0,"Lift "&amp;W440&amp;" lt. Liftbericht (Fach "&amp;X440&amp;" Stk); ",IF(BU440=1,"Gebinde geschätzt ("&amp;T440&amp;"); ",IF(BT440=1,"Lose – Tablare geschätzt; ","")))&amp;IF(H440&gt;AR440,"Überbestand "&amp;ROUND(H440-AR440,0)&amp;" Stk / CHF "&amp;ROUND((H440-AR440)*G440,0)&amp;"; ","")&amp;IF(AND(CA440=1,CB440&lt;CC440),"MAX &lt; MB+LG; ","")&amp;IF(AND(CG440&gt;0,CF440*10&gt;CG440),"zu hoch für Tablar; ","")&amp;IF(AND(BP440=0,OR(CA440=1,AA440&lt;&gt;"",U440&lt;&gt;"",V440&lt;&gt;"",AB440&lt;&gt;"")),"manuell übersteuert; ","")&amp;IF(AND(BT440=0,R440=0),"Gebinde unbekannt / Stellmass fehlt; ","")&amp;IF(AND(BT440=0,N(V440)&lt;=0,N(Q440)&lt;=0),"Menge pro Gebinde fehlt (Ist = 1 Gebinde); ","")&amp;BO440)</f>
        <v>Überbestand 8 Stk / CHF 63; i.o</v>
      </c>
      <c r="BH440" s="55"/>
      <c r="BI440" s="55"/>
      <c r="BJ440" s="62"/>
      <c r="BK440" s="57" t="n">
        <v>8</v>
      </c>
      <c r="BL440" s="57" t="n">
        <v>55</v>
      </c>
      <c r="BM440" s="56" t="n">
        <v>74.66</v>
      </c>
      <c r="BN440" s="57" t="n">
        <v>1</v>
      </c>
      <c r="BO440" s="55" t="s">
        <v>536</v>
      </c>
      <c r="BP440" s="60" t="n">
        <v>0</v>
      </c>
      <c r="BQ440" s="60" t="n">
        <v>440</v>
      </c>
      <c r="BR440" s="55" t="str">
        <f aca="false">IF(U440&lt;&gt;"",UPPER(TRIM(U440)),IF(BU440=1,UPPER(VLOOKUP(T440,Parameter!$I$27:$K$29,2,0)),IF(P440="","LOSE",P440)))</f>
        <v>S61</v>
      </c>
      <c r="BS440" s="57" t="n">
        <f aca="false">IF(BR440="LOSE",1,IF(N(V440)&gt;0,V440,IF(BU440=1,MAX(1,N(VLOOKUP(T440,Parameter!$I$27:$K$29,3,0)),H440,N(N440)),IF(N(Q440)&gt;0,Q440,MAX(1,H440)))))</f>
        <v>55</v>
      </c>
      <c r="BT440" s="60" t="n">
        <f aca="false">IF(BR440="LOSE",1,0)</f>
        <v>0</v>
      </c>
      <c r="BU440" s="60" t="n">
        <f aca="false">IF(AND(U440="",OR(P440="",P440="LOSE"),T440&lt;&gt;"",N(S440)&lt;=0,ISNUMBER(MATCH(T440,Parameter!$I$27:$I$29,0))),1,0)</f>
        <v>0</v>
      </c>
      <c r="BV440" s="55" t="str">
        <f aca="false">IF(AND(Parameter!$B$19="Ja",E440&lt;&gt;"",ISNUMBER(MATCH(E440,Parameter!$I$35:$I$52,0))),VLOOKUP(E440,Parameter!$I$35:$J$52,2,0),IFERROR(VLOOKUP(D440,Parameter!$A$35:$C$64,2,0),"Nein"))</f>
        <v>2+3</v>
      </c>
      <c r="BW440" s="59" t="n">
        <f aca="false">IF(BT440=0,0,IF(N(S440)&gt;0,S440,IFERROR(VLOOKUP(D440,Parameter!$A$35:$C$64,3,0)+0,0)))</f>
        <v>0</v>
      </c>
      <c r="BX440" s="55" t="n">
        <f aca="false">IF(AA440&lt;&gt;"",AA440,Z440)</f>
        <v>2</v>
      </c>
      <c r="BY440" s="55" t="str">
        <f aca="false">IF(BX440=1,"L1",IF(OR(BX440=2,BX440=3),"L23",IF(BX440="Aussen","Aussen","-")))</f>
        <v>L23</v>
      </c>
      <c r="BZ440" s="66" t="n">
        <f aca="false">IF(N(AB440)&gt;0,AB440,0)</f>
        <v>0</v>
      </c>
      <c r="CA440" s="60" t="n">
        <f aca="false">IF(ISNUMBER(AE440),1,0)</f>
        <v>0</v>
      </c>
      <c r="CB440" s="57" t="n">
        <f aca="false">N(AE440)</f>
        <v>0</v>
      </c>
      <c r="CC440" s="57" t="n">
        <f aca="false">N(M440)+N(N440)</f>
        <v>1</v>
      </c>
      <c r="CD440" s="57" t="n">
        <f aca="false">ROUNDUP(H440/BS440,0)</f>
        <v>2</v>
      </c>
      <c r="CE440" s="57" t="n">
        <f aca="false">ROUNDUP(CB440/BS440,0)</f>
        <v>0</v>
      </c>
      <c r="CF440" s="60" t="n">
        <f aca="false">IF(BT440=1,0,IFERROR(VLOOKUP(BR440,'Gebinde-Kategorie'!$A$5:$M$45,5,0)+0,0))</f>
        <v>11</v>
      </c>
      <c r="CG440" s="60" t="n">
        <f aca="false">IFERROR(IF(OR(BX440=1,BX440=2,BX440=3),N(INDEX(Parameter!$I$5:$I$7,BX440)),0),0)</f>
        <v>0</v>
      </c>
      <c r="CH440" s="59" t="n">
        <f aca="false">IF(AND(Parameter!$B$21="Ja",ISNUMBER(W440),N(X440)&gt;0),IFERROR(N(INDEX(Parameter!$L$5:$L$7,W440))*INDEX(Parameter!$E$5:$E$7,W440)*X440/SUMIFS($X$7:$X$1843,$W$7:$W$1843,W440),0),0)</f>
        <v>0</v>
      </c>
    </row>
    <row r="441" customFormat="false" ht="15" hidden="false" customHeight="false" outlineLevel="0" collapsed="false">
      <c r="A441" s="55" t="s">
        <v>1005</v>
      </c>
      <c r="B441" s="55" t="s">
        <v>1006</v>
      </c>
      <c r="C441" s="55" t="s">
        <v>164</v>
      </c>
      <c r="D441" s="55" t="s">
        <v>184</v>
      </c>
      <c r="E441" s="55"/>
      <c r="F441" s="55" t="s">
        <v>218</v>
      </c>
      <c r="G441" s="56" t="n">
        <v>73.69</v>
      </c>
      <c r="H441" s="57" t="n">
        <f aca="false">MAX(0,IF(AND(Parameter!$B$21="Ja",ISNUMBER(Y441)),Y441,IF(Parameter!$B$20="Jahresanfang 2025 + Export",BL441+BK441,BK441)))</f>
        <v>6</v>
      </c>
      <c r="I441" s="57" t="n">
        <f aca="false">H441*G441</f>
        <v>442.14</v>
      </c>
      <c r="J441" s="57" t="n">
        <f aca="false">BN441*Parameter!$B$18</f>
        <v>0</v>
      </c>
      <c r="K441" s="58" t="n">
        <v>5.5</v>
      </c>
      <c r="L441" s="59" t="n">
        <v>0</v>
      </c>
      <c r="M441" s="57" t="n">
        <v>0</v>
      </c>
      <c r="N441" s="57" t="n">
        <v>1</v>
      </c>
      <c r="O441" s="60" t="n">
        <v>14</v>
      </c>
      <c r="P441" s="55" t="s">
        <v>426</v>
      </c>
      <c r="Q441" s="57" t="n">
        <v>2</v>
      </c>
      <c r="R441" s="60" t="n">
        <f aca="false">IF(BT441=1,0,IFERROR(VLOOKUP(BR441,'Gebinde-Kategorie'!$A$5:$M$45,13,0)+0,0))</f>
        <v>198</v>
      </c>
      <c r="S441" s="61"/>
      <c r="T441" s="62"/>
      <c r="U441" s="62"/>
      <c r="V441" s="62"/>
      <c r="W441" s="55"/>
      <c r="X441" s="57"/>
      <c r="Y441" s="57"/>
      <c r="Z441" s="55" t="n">
        <f aca="false">IF(A441="","",IF(AND(Parameter!$B$21="Ja",ISNUMBER(W441)),W441,IF(BV441="2+3",IF(ISNUMBER(SEARCH("grosser Artikel",BO441)),2,IFERROR(VLOOKUP(BR441,Parameter!$F$35:$G$64,2,0),2)),IF(OR(BV441="Nein",BV441=""),"-",BV441))))</f>
        <v>3</v>
      </c>
      <c r="AA441" s="62"/>
      <c r="AB441" s="63"/>
      <c r="AC441" s="57" t="n">
        <f aca="false">AR441</f>
        <v>2</v>
      </c>
      <c r="AD441" s="57" t="n">
        <f aca="false">MAX(AR441,H441)</f>
        <v>6</v>
      </c>
      <c r="AE441" s="64"/>
      <c r="AF441" s="57" t="n">
        <f aca="false">IF(LEFT(Cockpit!$C$5,1)="A",H441,IF(CA441=1,CB441,IF(LEFT(Cockpit!$C$5,1)="B",AJ441,MAX(AJ441,H441))))</f>
        <v>6</v>
      </c>
      <c r="AG441" s="57" t="n">
        <f aca="false">IF(BT441=1,0,ROUNDUP(AF441/BS441,0))</f>
        <v>3</v>
      </c>
      <c r="AH441" s="59" t="n">
        <f aca="false">IF(CH441&gt;0,CH441*MAX(1,AF441/X441),IF(BT441=1,IF(AF441&lt;=0,0,BW441*MAX(1,IF(H441&gt;0,AF441/H441,1))),IF(R441&gt;0,AG441/R441,0))/MAX(0.1,N(Parameter!$M$21)))</f>
        <v>0.0151515151515152</v>
      </c>
      <c r="AI441" s="57" t="n">
        <f aca="false">AF441*G441</f>
        <v>442.14</v>
      </c>
      <c r="AJ441" s="57" t="n">
        <f aca="false">ROUNDUP(MAX(J441/IF(BZ441&gt;0,BZ441,MAX(0.1,N(Cockpit!$C$6))),CC441)/BS441,0)*BS441</f>
        <v>2</v>
      </c>
      <c r="AK441" s="58" t="n">
        <f aca="false">IF(AH441&gt;0,J441/AH441,-1)</f>
        <v>0</v>
      </c>
      <c r="AL441" s="58" t="n">
        <f aca="false">IF(AND(OR(BY441="L1",BY441="L23"),AH441&gt;0),SUMIFS($AH$7:$AH$1843,$BY$7:$BY$1843,BY441,$AK$7:$AK$1843,"&gt;"&amp;AK441)+SUMIFS($AH$7:$AH$1843,$BY$7:$BY$1843,BY441,$AK$7:$AK$1843,AK441,$BQ$7:$BQ$1843,"&lt;="&amp;BQ441),"")</f>
        <v>74.0470001013479</v>
      </c>
      <c r="AM441" s="65" t="n">
        <f aca="false">IF(AL441="",0,MAX(0,MIN(1,(IF(BY441="L1",Parameter!$E$5,Parameter!$E$6+Parameter!$E$7)-(AL441-AH441))/AH441)))</f>
        <v>1</v>
      </c>
      <c r="AN441" s="57" t="n">
        <f aca="false">IF(LEFT(Cockpit!$I$5,1)="A",H441,IF(CA441=1,CB441,IF(LEFT(Cockpit!$I$5,1)="B",AR441,MAX(AR441,H441))))</f>
        <v>6</v>
      </c>
      <c r="AO441" s="57" t="n">
        <f aca="false">IF(BT441=1,0,ROUNDUP(AN441/BS441,0))</f>
        <v>3</v>
      </c>
      <c r="AP441" s="59" t="n">
        <f aca="false">IF(CH441&gt;0,CH441*MAX(1,AN441/X441),IF(BT441=1,IF(AN441&lt;=0,0,BW441*MAX(1,IF(H441&gt;0,AN441/H441,1))),IF(R441&gt;0,AO441/R441,0))/MAX(0.1,N(Parameter!$M$21)))</f>
        <v>0.0151515151515152</v>
      </c>
      <c r="AQ441" s="57" t="n">
        <f aca="false">AN441*G441</f>
        <v>442.14</v>
      </c>
      <c r="AR441" s="57" t="n">
        <f aca="false">ROUNDUP(MAX(J441/IF(BZ441&gt;0,BZ441,MAX(0.1,N(Cockpit!$I$6))),CC441)/BS441,0)*BS441</f>
        <v>2</v>
      </c>
      <c r="AS441" s="58" t="n">
        <f aca="false">IF(AP441&gt;0,J441/AP441,-1)</f>
        <v>0</v>
      </c>
      <c r="AT441" s="58" t="n">
        <f aca="false">IF(AND(OR(BY441="L1",BY441="L23"),AP441&gt;0),SUMIFS($AP$7:$AP$1843,$BY$7:$BY$1843,BY441,$AS$7:$AS$1843,"&gt;"&amp;AS441)+SUMIFS($AP$7:$AP$1843,$BY$7:$BY$1843,BY441,$AS$7:$AS$1843,AS441,$BQ$7:$BQ$1843,"&lt;="&amp;BQ441),"")</f>
        <v>113.471124286342</v>
      </c>
      <c r="AU441" s="65" t="n">
        <f aca="false">IF(AT441="",0,MAX(0,MIN(1,(IF(BY441="L1",Parameter!$E$5,Parameter!$E$6+Parameter!$E$7)-(AT441-AP441))/AP441)))</f>
        <v>0</v>
      </c>
      <c r="AV441" s="57" t="n">
        <f aca="false">IF(LEFT(Cockpit!$O$5,1)="A",H441,IF(CA441=1,CB441,IF(LEFT(Cockpit!$O$5,1)="B",AZ441,MAX(AZ441,H441))))</f>
        <v>6</v>
      </c>
      <c r="AW441" s="57" t="n">
        <f aca="false">IF(BT441=1,0,ROUNDUP(AV441/BS441,0))</f>
        <v>3</v>
      </c>
      <c r="AX441" s="59" t="n">
        <f aca="false">IF(CH441&gt;0,CH441*MAX(1,AV441/X441),IF(BT441=1,IF(AV441&lt;=0,0,BW441*MAX(1,IF(H441&gt;0,AV441/H441,1))),IF(R441&gt;0,AW441/R441,0))/MAX(0.1,N(Parameter!$M$21)))</f>
        <v>0.0151515151515152</v>
      </c>
      <c r="AY441" s="57" t="n">
        <f aca="false">AV441*G441</f>
        <v>442.14</v>
      </c>
      <c r="AZ441" s="57" t="n">
        <f aca="false">ROUNDUP(MAX(J441/IF(BZ441&gt;0,BZ441,MAX(0.1,N(Cockpit!$O$6))),CC441)/BS441,0)*BS441</f>
        <v>2</v>
      </c>
      <c r="BA441" s="58" t="n">
        <f aca="false">IF(AX441&gt;0,J441/AX441,-1)</f>
        <v>0</v>
      </c>
      <c r="BB441" s="58" t="n">
        <f aca="false">IF(AND(OR(BY441="L1",BY441="L23"),AX441&gt;0),SUMIFS($AX$7:$AX$1843,$BY$7:$BY$1843,BY441,$BA$7:$BA$1843,"&gt;"&amp;BA441)+SUMIFS($AX$7:$AX$1843,$BY$7:$BY$1843,BY441,$BA$7:$BA$1843,BA441,$BQ$7:$BQ$1843,"&lt;="&amp;BQ441),"")</f>
        <v>104.300961116179</v>
      </c>
      <c r="BC441" s="65" t="n">
        <f aca="false">IF(BB441="",0,MAX(0,MIN(1,(IF(BY441="L1",Parameter!$E$5,Parameter!$E$6+Parameter!$E$7)-(BB441-AX441))/AX441)))</f>
        <v>0</v>
      </c>
      <c r="BD441" s="55" t="str">
        <f aca="false">IF(AH441&lt;=0,"",IF(BY441="Aussen","Aussenlager",IF(BY441="-","Nicht im Lift",IF(AM441&gt;=1,"Lift",IF(AM441&lt;=0,"Aussenlager","teilweise")))))</f>
        <v>Lift</v>
      </c>
      <c r="BE441" s="55" t="str">
        <f aca="false">IF(AP441&lt;=0,"",IF(BY441="Aussen","Aussenlager",IF(BY441="-","Nicht im Lift",IF(AU441&gt;=1,"Lift",IF(AU441&lt;=0,"Aussenlager","teilweise")))))</f>
        <v>Aussenlager</v>
      </c>
      <c r="BF441" s="55" t="str">
        <f aca="false">IF(AX441&lt;=0,"",IF(BY441="Aussen","Aussenlager",IF(BY441="-","Nicht im Lift",IF(BC441&gt;=1,"Lift",IF(BC441&lt;=0,"Aussenlager","teilweise")))))</f>
        <v>Aussenlager</v>
      </c>
      <c r="BG441" s="55" t="str">
        <f aca="false">IF(A441="","",IF(BP441=1,"Neu; ","")&amp;IF(AND(BP441=0,BK441&lt;0),"negativer Bestand (Export "&amp;BK441&amp;"); ","")&amp;IF(J441&lt;=0,"Kein Verbrauch; ","")&amp;IF(CH441&gt;0,"Lift "&amp;W441&amp;" lt. Liftbericht (Fach "&amp;X441&amp;" Stk); ",IF(BU441=1,"Gebinde geschätzt ("&amp;T441&amp;"); ",IF(BT441=1,"Lose – Tablare geschätzt; ","")))&amp;IF(H441&gt;AR441,"Überbestand "&amp;ROUND(H441-AR441,0)&amp;" Stk / CHF "&amp;ROUND((H441-AR441)*G441,0)&amp;"; ","")&amp;IF(AND(CA441=1,CB441&lt;CC441),"MAX &lt; MB+LG; ","")&amp;IF(AND(CG441&gt;0,CF441*10&gt;CG441),"zu hoch für Tablar; ","")&amp;IF(AND(BP441=0,OR(CA441=1,AA441&lt;&gt;"",U441&lt;&gt;"",V441&lt;&gt;"",AB441&lt;&gt;"")),"manuell übersteuert; ","")&amp;IF(AND(BT441=0,R441=0),"Gebinde unbekannt / Stellmass fehlt; ","")&amp;IF(AND(BT441=0,N(V441)&lt;=0,N(Q441)&lt;=0),"Menge pro Gebinde fehlt (Ist = 1 Gebinde); ","")&amp;BO441)</f>
        <v>Kein Verbrauch; Überbestand 4 Stk / CHF 295; i.o</v>
      </c>
      <c r="BH441" s="55"/>
      <c r="BI441" s="55"/>
      <c r="BJ441" s="62"/>
      <c r="BK441" s="57" t="n">
        <v>1</v>
      </c>
      <c r="BL441" s="57" t="n">
        <v>5</v>
      </c>
      <c r="BM441" s="56" t="n">
        <v>73.69</v>
      </c>
      <c r="BN441" s="57" t="n">
        <v>0</v>
      </c>
      <c r="BO441" s="55" t="s">
        <v>536</v>
      </c>
      <c r="BP441" s="60" t="n">
        <v>0</v>
      </c>
      <c r="BQ441" s="60" t="n">
        <v>441</v>
      </c>
      <c r="BR441" s="55" t="str">
        <f aca="false">IF(U441&lt;&gt;"",UPPER(TRIM(U441)),IF(BU441=1,UPPER(VLOOKUP(T441,Parameter!$I$27:$K$29,2,0)),IF(P441="","LOSE",P441)))</f>
        <v>S22</v>
      </c>
      <c r="BS441" s="57" t="n">
        <f aca="false">IF(BR441="LOSE",1,IF(N(V441)&gt;0,V441,IF(BU441=1,MAX(1,N(VLOOKUP(T441,Parameter!$I$27:$K$29,3,0)),H441,N(N441)),IF(N(Q441)&gt;0,Q441,MAX(1,H441)))))</f>
        <v>2</v>
      </c>
      <c r="BT441" s="60" t="n">
        <f aca="false">IF(BR441="LOSE",1,0)</f>
        <v>0</v>
      </c>
      <c r="BU441" s="60" t="n">
        <f aca="false">IF(AND(U441="",OR(P441="",P441="LOSE"),T441&lt;&gt;"",N(S441)&lt;=0,ISNUMBER(MATCH(T441,Parameter!$I$27:$I$29,0))),1,0)</f>
        <v>0</v>
      </c>
      <c r="BV441" s="55" t="str">
        <f aca="false">IF(AND(Parameter!$B$19="Ja",E441&lt;&gt;"",ISNUMBER(MATCH(E441,Parameter!$I$35:$I$52,0))),VLOOKUP(E441,Parameter!$I$35:$J$52,2,0),IFERROR(VLOOKUP(D441,Parameter!$A$35:$C$64,2,0),"Nein"))</f>
        <v>2+3</v>
      </c>
      <c r="BW441" s="59" t="n">
        <f aca="false">IF(BT441=0,0,IF(N(S441)&gt;0,S441,IFERROR(VLOOKUP(D441,Parameter!$A$35:$C$64,3,0)+0,0)))</f>
        <v>0</v>
      </c>
      <c r="BX441" s="55" t="n">
        <f aca="false">IF(AA441&lt;&gt;"",AA441,Z441)</f>
        <v>3</v>
      </c>
      <c r="BY441" s="55" t="str">
        <f aca="false">IF(BX441=1,"L1",IF(OR(BX441=2,BX441=3),"L23",IF(BX441="Aussen","Aussen","-")))</f>
        <v>L23</v>
      </c>
      <c r="BZ441" s="66" t="n">
        <f aca="false">IF(N(AB441)&gt;0,AB441,0)</f>
        <v>0</v>
      </c>
      <c r="CA441" s="60" t="n">
        <f aca="false">IF(ISNUMBER(AE441),1,0)</f>
        <v>0</v>
      </c>
      <c r="CB441" s="57" t="n">
        <f aca="false">N(AE441)</f>
        <v>0</v>
      </c>
      <c r="CC441" s="57" t="n">
        <f aca="false">N(M441)+N(N441)</f>
        <v>1</v>
      </c>
      <c r="CD441" s="57" t="n">
        <f aca="false">ROUNDUP(H441/BS441,0)</f>
        <v>3</v>
      </c>
      <c r="CE441" s="57" t="n">
        <f aca="false">ROUNDUP(CB441/BS441,0)</f>
        <v>0</v>
      </c>
      <c r="CF441" s="60" t="n">
        <f aca="false">IF(BT441=1,0,IFERROR(VLOOKUP(BR441,'Gebinde-Kategorie'!$A$5:$M$45,5,0)+0,0))</f>
        <v>8</v>
      </c>
      <c r="CG441" s="60" t="n">
        <f aca="false">IFERROR(IF(OR(BX441=1,BX441=2,BX441=3),N(INDEX(Parameter!$I$5:$I$7,BX441)),0),0)</f>
        <v>0</v>
      </c>
      <c r="CH441" s="59" t="n">
        <f aca="false">IF(AND(Parameter!$B$21="Ja",ISNUMBER(W441),N(X441)&gt;0),IFERROR(N(INDEX(Parameter!$L$5:$L$7,W441))*INDEX(Parameter!$E$5:$E$7,W441)*X441/SUMIFS($X$7:$X$1843,$W$7:$W$1843,W441),0),0)</f>
        <v>0</v>
      </c>
    </row>
    <row r="442" customFormat="false" ht="15" hidden="false" customHeight="false" outlineLevel="0" collapsed="false">
      <c r="A442" s="55" t="s">
        <v>1007</v>
      </c>
      <c r="B442" s="55" t="s">
        <v>892</v>
      </c>
      <c r="C442" s="55" t="s">
        <v>164</v>
      </c>
      <c r="D442" s="55" t="s">
        <v>184</v>
      </c>
      <c r="E442" s="55" t="s">
        <v>185</v>
      </c>
      <c r="F442" s="55" t="s">
        <v>218</v>
      </c>
      <c r="G442" s="56" t="n">
        <v>7.1</v>
      </c>
      <c r="H442" s="57" t="n">
        <f aca="false">MAX(0,IF(AND(Parameter!$B$21="Ja",ISNUMBER(Y442)),Y442,IF(Parameter!$B$20="Jahresanfang 2025 + Export",BL442+BK442,BK442)))</f>
        <v>17</v>
      </c>
      <c r="I442" s="57" t="n">
        <f aca="false">H442*G442</f>
        <v>120.7</v>
      </c>
      <c r="J442" s="57" t="n">
        <f aca="false">BN442*Parameter!$B$18</f>
        <v>22</v>
      </c>
      <c r="K442" s="58" t="n">
        <v>7</v>
      </c>
      <c r="L442" s="59" t="n">
        <v>3.14285714285714</v>
      </c>
      <c r="M442" s="57" t="n">
        <v>0</v>
      </c>
      <c r="N442" s="57" t="n">
        <v>20</v>
      </c>
      <c r="O442" s="60" t="n">
        <v>14</v>
      </c>
      <c r="P442" s="55" t="s">
        <v>426</v>
      </c>
      <c r="Q442" s="57" t="n">
        <v>32</v>
      </c>
      <c r="R442" s="60" t="n">
        <f aca="false">IF(BT442=1,0,IFERROR(VLOOKUP(BR442,'Gebinde-Kategorie'!$A$5:$M$45,13,0)+0,0))</f>
        <v>198</v>
      </c>
      <c r="S442" s="61"/>
      <c r="T442" s="62"/>
      <c r="U442" s="62"/>
      <c r="V442" s="62"/>
      <c r="W442" s="55"/>
      <c r="X442" s="57"/>
      <c r="Y442" s="57"/>
      <c r="Z442" s="55" t="n">
        <f aca="false">IF(A442="","",IF(AND(Parameter!$B$21="Ja",ISNUMBER(W442)),W442,IF(BV442="2+3",IF(ISNUMBER(SEARCH("grosser Artikel",BO442)),2,IFERROR(VLOOKUP(BR442,Parameter!$F$35:$G$64,2,0),2)),IF(OR(BV442="Nein",BV442=""),"-",BV442))))</f>
        <v>3</v>
      </c>
      <c r="AA442" s="62"/>
      <c r="AB442" s="63"/>
      <c r="AC442" s="57" t="n">
        <f aca="false">AR442</f>
        <v>32</v>
      </c>
      <c r="AD442" s="57" t="n">
        <f aca="false">MAX(AR442,H442)</f>
        <v>32</v>
      </c>
      <c r="AE442" s="64"/>
      <c r="AF442" s="57" t="n">
        <f aca="false">IF(LEFT(Cockpit!$C$5,1)="A",H442,IF(CA442=1,CB442,IF(LEFT(Cockpit!$C$5,1)="B",AJ442,MAX(AJ442,H442))))</f>
        <v>17</v>
      </c>
      <c r="AG442" s="57" t="n">
        <f aca="false">IF(BT442=1,0,ROUNDUP(AF442/BS442,0))</f>
        <v>1</v>
      </c>
      <c r="AH442" s="59" t="n">
        <f aca="false">IF(CH442&gt;0,CH442*MAX(1,AF442/X442),IF(BT442=1,IF(AF442&lt;=0,0,BW442*MAX(1,IF(H442&gt;0,AF442/H442,1))),IF(R442&gt;0,AG442/R442,0))/MAX(0.1,N(Parameter!$M$21)))</f>
        <v>0.00505050505050505</v>
      </c>
      <c r="AI442" s="57" t="n">
        <f aca="false">AF442*G442</f>
        <v>120.7</v>
      </c>
      <c r="AJ442" s="57" t="n">
        <f aca="false">ROUNDUP(MAX(J442/IF(BZ442&gt;0,BZ442,MAX(0.1,N(Cockpit!$C$6))),CC442)/BS442,0)*BS442</f>
        <v>32</v>
      </c>
      <c r="AK442" s="58" t="n">
        <f aca="false">IF(AH442&gt;0,J442/AH442,-1)</f>
        <v>4356</v>
      </c>
      <c r="AL442" s="58" t="n">
        <f aca="false">IF(AND(OR(BY442="L1",BY442="L23"),AH442&gt;0),SUMIFS($AH$7:$AH$1843,$BY$7:$BY$1843,BY442,$AK$7:$AK$1843,"&gt;"&amp;AK442)+SUMIFS($AH$7:$AH$1843,$BY$7:$BY$1843,BY442,$AK$7:$AK$1843,AK442,$BQ$7:$BQ$1843,"&lt;="&amp;BQ442),"")</f>
        <v>8.171987432857</v>
      </c>
      <c r="AM442" s="65" t="n">
        <f aca="false">IF(AL442="",0,MAX(0,MIN(1,(IF(BY442="L1",Parameter!$E$5,Parameter!$E$6+Parameter!$E$7)-(AL442-AH442))/AH442)))</f>
        <v>1</v>
      </c>
      <c r="AN442" s="57" t="n">
        <f aca="false">IF(LEFT(Cockpit!$I$5,1)="A",H442,IF(CA442=1,CB442,IF(LEFT(Cockpit!$I$5,1)="B",AR442,MAX(AR442,H442))))</f>
        <v>32</v>
      </c>
      <c r="AO442" s="57" t="n">
        <f aca="false">IF(BT442=1,0,ROUNDUP(AN442/BS442,0))</f>
        <v>1</v>
      </c>
      <c r="AP442" s="59" t="n">
        <f aca="false">IF(CH442&gt;0,CH442*MAX(1,AN442/X442),IF(BT442=1,IF(AN442&lt;=0,0,BW442*MAX(1,IF(H442&gt;0,AN442/H442,1))),IF(R442&gt;0,AO442/R442,0))/MAX(0.1,N(Parameter!$M$21)))</f>
        <v>0.00505050505050505</v>
      </c>
      <c r="AQ442" s="57" t="n">
        <f aca="false">AN442*G442</f>
        <v>227.2</v>
      </c>
      <c r="AR442" s="57" t="n">
        <f aca="false">ROUNDUP(MAX(J442/IF(BZ442&gt;0,BZ442,MAX(0.1,N(Cockpit!$I$6))),CC442)/BS442,0)*BS442</f>
        <v>32</v>
      </c>
      <c r="AS442" s="58" t="n">
        <f aca="false">IF(AP442&gt;0,J442/AP442,-1)</f>
        <v>4356</v>
      </c>
      <c r="AT442" s="58" t="n">
        <f aca="false">IF(AND(OR(BY442="L1",BY442="L23"),AP442&gt;0),SUMIFS($AP$7:$AP$1843,$BY$7:$BY$1843,BY442,$AS$7:$AS$1843,"&gt;"&amp;AS442)+SUMIFS($AP$7:$AP$1843,$BY$7:$BY$1843,BY442,$AS$7:$AS$1843,AS442,$BQ$7:$BQ$1843,"&lt;="&amp;BQ442),"")</f>
        <v>12.8643373534678</v>
      </c>
      <c r="AU442" s="65" t="n">
        <f aca="false">IF(AT442="",0,MAX(0,MIN(1,(IF(BY442="L1",Parameter!$E$5,Parameter!$E$6+Parameter!$E$7)-(AT442-AP442))/AP442)))</f>
        <v>1</v>
      </c>
      <c r="AV442" s="57" t="n">
        <f aca="false">IF(LEFT(Cockpit!$O$5,1)="A",H442,IF(CA442=1,CB442,IF(LEFT(Cockpit!$O$5,1)="B",AZ442,MAX(AZ442,H442))))</f>
        <v>32</v>
      </c>
      <c r="AW442" s="57" t="n">
        <f aca="false">IF(BT442=1,0,ROUNDUP(AV442/BS442,0))</f>
        <v>1</v>
      </c>
      <c r="AX442" s="59" t="n">
        <f aca="false">IF(CH442&gt;0,CH442*MAX(1,AV442/X442),IF(BT442=1,IF(AV442&lt;=0,0,BW442*MAX(1,IF(H442&gt;0,AV442/H442,1))),IF(R442&gt;0,AW442/R442,0))/MAX(0.1,N(Parameter!$M$21)))</f>
        <v>0.00505050505050505</v>
      </c>
      <c r="AY442" s="57" t="n">
        <f aca="false">AV442*G442</f>
        <v>227.2</v>
      </c>
      <c r="AZ442" s="57" t="n">
        <f aca="false">ROUNDUP(MAX(J442/IF(BZ442&gt;0,BZ442,MAX(0.1,N(Cockpit!$O$6))),CC442)/BS442,0)*BS442</f>
        <v>32</v>
      </c>
      <c r="BA442" s="58" t="n">
        <f aca="false">IF(AX442&gt;0,J442/AX442,-1)</f>
        <v>4356</v>
      </c>
      <c r="BB442" s="58" t="n">
        <f aca="false">IF(AND(OR(BY442="L1",BY442="L23"),AX442&gt;0),SUMIFS($AX$7:$AX$1843,$BY$7:$BY$1843,BY442,$BA$7:$BA$1843,"&gt;"&amp;BA442)+SUMIFS($AX$7:$AX$1843,$BY$7:$BY$1843,BY442,$BA$7:$BA$1843,BA442,$BQ$7:$BQ$1843,"&lt;="&amp;BQ442),"")</f>
        <v>11.4313536704841</v>
      </c>
      <c r="BC442" s="65" t="n">
        <f aca="false">IF(BB442="",0,MAX(0,MIN(1,(IF(BY442="L1",Parameter!$E$5,Parameter!$E$6+Parameter!$E$7)-(BB442-AX442))/AX442)))</f>
        <v>1</v>
      </c>
      <c r="BD442" s="55" t="str">
        <f aca="false">IF(AH442&lt;=0,"",IF(BY442="Aussen","Aussenlager",IF(BY442="-","Nicht im Lift",IF(AM442&gt;=1,"Lift",IF(AM442&lt;=0,"Aussenlager","teilweise")))))</f>
        <v>Lift</v>
      </c>
      <c r="BE442" s="55" t="str">
        <f aca="false">IF(AP442&lt;=0,"",IF(BY442="Aussen","Aussenlager",IF(BY442="-","Nicht im Lift",IF(AU442&gt;=1,"Lift",IF(AU442&lt;=0,"Aussenlager","teilweise")))))</f>
        <v>Lift</v>
      </c>
      <c r="BF442" s="55" t="str">
        <f aca="false">IF(AX442&lt;=0,"",IF(BY442="Aussen","Aussenlager",IF(BY442="-","Nicht im Lift",IF(BC442&gt;=1,"Lift",IF(BC442&lt;=0,"Aussenlager","teilweise")))))</f>
        <v>Lift</v>
      </c>
      <c r="BG442" s="55" t="str">
        <f aca="false">IF(A442="","",IF(BP442=1,"Neu; ","")&amp;IF(AND(BP442=0,BK442&lt;0),"negativer Bestand (Export "&amp;BK442&amp;"); ","")&amp;IF(J442&lt;=0,"Kein Verbrauch; ","")&amp;IF(CH442&gt;0,"Lift "&amp;W442&amp;" lt. Liftbericht (Fach "&amp;X442&amp;" Stk); ",IF(BU442=1,"Gebinde geschätzt ("&amp;T442&amp;"); ",IF(BT442=1,"Lose – Tablare geschätzt; ","")))&amp;IF(H442&gt;AR442,"Überbestand "&amp;ROUND(H442-AR442,0)&amp;" Stk / CHF "&amp;ROUND((H442-AR442)*G442,0)&amp;"; ","")&amp;IF(AND(CA442=1,CB442&lt;CC442),"MAX &lt; MB+LG; ","")&amp;IF(AND(CG442&gt;0,CF442*10&gt;CG442),"zu hoch für Tablar; ","")&amp;IF(AND(BP442=0,OR(CA442=1,AA442&lt;&gt;"",U442&lt;&gt;"",V442&lt;&gt;"",AB442&lt;&gt;"")),"manuell übersteuert; ","")&amp;IF(AND(BT442=0,R442=0),"Gebinde unbekannt / Stellmass fehlt; ","")&amp;IF(AND(BT442=0,N(V442)&lt;=0,N(Q442)&lt;=0),"Menge pro Gebinde fehlt (Ist = 1 Gebinde); ","")&amp;BO442)</f>
        <v/>
      </c>
      <c r="BH442" s="55"/>
      <c r="BI442" s="55"/>
      <c r="BJ442" s="62"/>
      <c r="BK442" s="57" t="n">
        <v>10</v>
      </c>
      <c r="BL442" s="57" t="n">
        <v>7</v>
      </c>
      <c r="BM442" s="56" t="n">
        <v>73.38</v>
      </c>
      <c r="BN442" s="57" t="n">
        <v>22</v>
      </c>
      <c r="BO442" s="55"/>
      <c r="BP442" s="60" t="n">
        <v>0</v>
      </c>
      <c r="BQ442" s="60" t="n">
        <v>442</v>
      </c>
      <c r="BR442" s="55" t="str">
        <f aca="false">IF(U442&lt;&gt;"",UPPER(TRIM(U442)),IF(BU442=1,UPPER(VLOOKUP(T442,Parameter!$I$27:$K$29,2,0)),IF(P442="","LOSE",P442)))</f>
        <v>S22</v>
      </c>
      <c r="BS442" s="57" t="n">
        <f aca="false">IF(BR442="LOSE",1,IF(N(V442)&gt;0,V442,IF(BU442=1,MAX(1,N(VLOOKUP(T442,Parameter!$I$27:$K$29,3,0)),H442,N(N442)),IF(N(Q442)&gt;0,Q442,MAX(1,H442)))))</f>
        <v>32</v>
      </c>
      <c r="BT442" s="60" t="n">
        <f aca="false">IF(BR442="LOSE",1,0)</f>
        <v>0</v>
      </c>
      <c r="BU442" s="60" t="n">
        <f aca="false">IF(AND(U442="",OR(P442="",P442="LOSE"),T442&lt;&gt;"",N(S442)&lt;=0,ISNUMBER(MATCH(T442,Parameter!$I$27:$I$29,0))),1,0)</f>
        <v>0</v>
      </c>
      <c r="BV442" s="55" t="str">
        <f aca="false">IF(AND(Parameter!$B$19="Ja",E442&lt;&gt;"",ISNUMBER(MATCH(E442,Parameter!$I$35:$I$52,0))),VLOOKUP(E442,Parameter!$I$35:$J$52,2,0),IFERROR(VLOOKUP(D442,Parameter!$A$35:$C$64,2,0),"Nein"))</f>
        <v>2+3</v>
      </c>
      <c r="BW442" s="59" t="n">
        <f aca="false">IF(BT442=0,0,IF(N(S442)&gt;0,S442,IFERROR(VLOOKUP(D442,Parameter!$A$35:$C$64,3,0)+0,0)))</f>
        <v>0</v>
      </c>
      <c r="BX442" s="55" t="n">
        <f aca="false">IF(AA442&lt;&gt;"",AA442,Z442)</f>
        <v>3</v>
      </c>
      <c r="BY442" s="55" t="str">
        <f aca="false">IF(BX442=1,"L1",IF(OR(BX442=2,BX442=3),"L23",IF(BX442="Aussen","Aussen","-")))</f>
        <v>L23</v>
      </c>
      <c r="BZ442" s="66" t="n">
        <f aca="false">IF(N(AB442)&gt;0,AB442,0)</f>
        <v>0</v>
      </c>
      <c r="CA442" s="60" t="n">
        <f aca="false">IF(ISNUMBER(AE442),1,0)</f>
        <v>0</v>
      </c>
      <c r="CB442" s="57" t="n">
        <f aca="false">N(AE442)</f>
        <v>0</v>
      </c>
      <c r="CC442" s="57" t="n">
        <f aca="false">N(M442)+N(N442)</f>
        <v>20</v>
      </c>
      <c r="CD442" s="57" t="n">
        <f aca="false">ROUNDUP(H442/BS442,0)</f>
        <v>1</v>
      </c>
      <c r="CE442" s="57" t="n">
        <f aca="false">ROUNDUP(CB442/BS442,0)</f>
        <v>0</v>
      </c>
      <c r="CF442" s="60" t="n">
        <f aca="false">IF(BT442=1,0,IFERROR(VLOOKUP(BR442,'Gebinde-Kategorie'!$A$5:$M$45,5,0)+0,0))</f>
        <v>8</v>
      </c>
      <c r="CG442" s="60" t="n">
        <f aca="false">IFERROR(IF(OR(BX442=1,BX442=2,BX442=3),N(INDEX(Parameter!$I$5:$I$7,BX442)),0),0)</f>
        <v>0</v>
      </c>
      <c r="CH442" s="59" t="n">
        <f aca="false">IF(AND(Parameter!$B$21="Ja",ISNUMBER(W442),N(X442)&gt;0),IFERROR(N(INDEX(Parameter!$L$5:$L$7,W442))*INDEX(Parameter!$E$5:$E$7,W442)*X442/SUMIFS($X$7:$X$1843,$W$7:$W$1843,W442),0),0)</f>
        <v>0</v>
      </c>
    </row>
    <row r="443" customFormat="false" ht="15" hidden="false" customHeight="false" outlineLevel="0" collapsed="false">
      <c r="A443" s="55" t="s">
        <v>1008</v>
      </c>
      <c r="B443" s="55" t="s">
        <v>1009</v>
      </c>
      <c r="C443" s="55" t="s">
        <v>164</v>
      </c>
      <c r="D443" s="55" t="s">
        <v>184</v>
      </c>
      <c r="E443" s="55"/>
      <c r="F443" s="55" t="s">
        <v>218</v>
      </c>
      <c r="G443" s="56" t="n">
        <v>6.65</v>
      </c>
      <c r="H443" s="57" t="n">
        <f aca="false">MAX(0,IF(AND(Parameter!$B$21="Ja",ISNUMBER(Y443)),Y443,IF(Parameter!$B$20="Jahresanfang 2025 + Export",BL443+BK443,BK443)))</f>
        <v>53</v>
      </c>
      <c r="I443" s="57" t="n">
        <f aca="false">H443*G443</f>
        <v>352.45</v>
      </c>
      <c r="J443" s="57" t="n">
        <f aca="false">BN443*Parameter!$B$18</f>
        <v>1</v>
      </c>
      <c r="K443" s="58" t="n">
        <v>47.5</v>
      </c>
      <c r="L443" s="59" t="n">
        <v>0.0210526315789474</v>
      </c>
      <c r="M443" s="57" t="n">
        <v>0</v>
      </c>
      <c r="N443" s="57" t="n">
        <v>1</v>
      </c>
      <c r="O443" s="60" t="n">
        <v>70</v>
      </c>
      <c r="P443" s="55" t="s">
        <v>476</v>
      </c>
      <c r="Q443" s="57" t="n">
        <v>55</v>
      </c>
      <c r="R443" s="60" t="n">
        <f aca="false">IF(BT443=1,0,IFERROR(VLOOKUP(BR443,'Gebinde-Kategorie'!$A$5:$M$45,13,0)+0,0))</f>
        <v>66</v>
      </c>
      <c r="S443" s="61"/>
      <c r="T443" s="62"/>
      <c r="U443" s="62"/>
      <c r="V443" s="62"/>
      <c r="W443" s="55"/>
      <c r="X443" s="57"/>
      <c r="Y443" s="57"/>
      <c r="Z443" s="55" t="n">
        <f aca="false">IF(A443="","",IF(AND(Parameter!$B$21="Ja",ISNUMBER(W443)),W443,IF(BV443="2+3",IF(ISNUMBER(SEARCH("grosser Artikel",BO443)),2,IFERROR(VLOOKUP(BR443,Parameter!$F$35:$G$64,2,0),2)),IF(OR(BV443="Nein",BV443=""),"-",BV443))))</f>
        <v>3</v>
      </c>
      <c r="AA443" s="62"/>
      <c r="AB443" s="63"/>
      <c r="AC443" s="57" t="n">
        <f aca="false">AR443</f>
        <v>55</v>
      </c>
      <c r="AD443" s="57" t="n">
        <f aca="false">MAX(AR443,H443)</f>
        <v>55</v>
      </c>
      <c r="AE443" s="64"/>
      <c r="AF443" s="57" t="n">
        <f aca="false">IF(LEFT(Cockpit!$C$5,1)="A",H443,IF(CA443=1,CB443,IF(LEFT(Cockpit!$C$5,1)="B",AJ443,MAX(AJ443,H443))))</f>
        <v>53</v>
      </c>
      <c r="AG443" s="57" t="n">
        <f aca="false">IF(BT443=1,0,ROUNDUP(AF443/BS443,0))</f>
        <v>1</v>
      </c>
      <c r="AH443" s="59" t="n">
        <f aca="false">IF(CH443&gt;0,CH443*MAX(1,AF443/X443),IF(BT443=1,IF(AF443&lt;=0,0,BW443*MAX(1,IF(H443&gt;0,AF443/H443,1))),IF(R443&gt;0,AG443/R443,0))/MAX(0.1,N(Parameter!$M$21)))</f>
        <v>0.0151515151515152</v>
      </c>
      <c r="AI443" s="57" t="n">
        <f aca="false">AF443*G443</f>
        <v>352.45</v>
      </c>
      <c r="AJ443" s="57" t="n">
        <f aca="false">ROUNDUP(MAX(J443/IF(BZ443&gt;0,BZ443,MAX(0.1,N(Cockpit!$C$6))),CC443)/BS443,0)*BS443</f>
        <v>55</v>
      </c>
      <c r="AK443" s="58" t="n">
        <f aca="false">IF(AH443&gt;0,J443/AH443,-1)</f>
        <v>66</v>
      </c>
      <c r="AL443" s="58" t="n">
        <f aca="false">IF(AND(OR(BY443="L1",BY443="L23"),AH443&gt;0),SUMIFS($AH$7:$AH$1843,$BY$7:$BY$1843,BY443,$AK$7:$AK$1843,"&gt;"&amp;AK443)+SUMIFS($AH$7:$AH$1843,$BY$7:$BY$1843,BY443,$AK$7:$AK$1843,AK443,$BQ$7:$BQ$1843,"&lt;="&amp;BQ443),"")</f>
        <v>42.641794196142</v>
      </c>
      <c r="AM443" s="65" t="n">
        <f aca="false">IF(AL443="",0,MAX(0,MIN(1,(IF(BY443="L1",Parameter!$E$5,Parameter!$E$6+Parameter!$E$7)-(AL443-AH443))/AH443)))</f>
        <v>1</v>
      </c>
      <c r="AN443" s="57" t="n">
        <f aca="false">IF(LEFT(Cockpit!$I$5,1)="A",H443,IF(CA443=1,CB443,IF(LEFT(Cockpit!$I$5,1)="B",AR443,MAX(AR443,H443))))</f>
        <v>55</v>
      </c>
      <c r="AO443" s="57" t="n">
        <f aca="false">IF(BT443=1,0,ROUNDUP(AN443/BS443,0))</f>
        <v>1</v>
      </c>
      <c r="AP443" s="59" t="n">
        <f aca="false">IF(CH443&gt;0,CH443*MAX(1,AN443/X443),IF(BT443=1,IF(AN443&lt;=0,0,BW443*MAX(1,IF(H443&gt;0,AN443/H443,1))),IF(R443&gt;0,AO443/R443,0))/MAX(0.1,N(Parameter!$M$21)))</f>
        <v>0.0151515151515152</v>
      </c>
      <c r="AQ443" s="57" t="n">
        <f aca="false">AN443*G443</f>
        <v>365.75</v>
      </c>
      <c r="AR443" s="57" t="n">
        <f aca="false">ROUNDUP(MAX(J443/IF(BZ443&gt;0,BZ443,MAX(0.1,N(Cockpit!$I$6))),CC443)/BS443,0)*BS443</f>
        <v>55</v>
      </c>
      <c r="AS443" s="58" t="n">
        <f aca="false">IF(AP443&gt;0,J443/AP443,-1)</f>
        <v>66</v>
      </c>
      <c r="AT443" s="58" t="n">
        <f aca="false">IF(AND(OR(BY443="L1",BY443="L23"),AP443&gt;0),SUMIFS($AP$7:$AP$1843,$BY$7:$BY$1843,BY443,$AS$7:$AS$1843,"&gt;"&amp;AS443)+SUMIFS($AP$7:$AP$1843,$BY$7:$BY$1843,BY443,$AS$7:$AS$1843,AS443,$BQ$7:$BQ$1843,"&lt;="&amp;BQ443),"")</f>
        <v>64.8479696631871</v>
      </c>
      <c r="AU443" s="65" t="n">
        <f aca="false">IF(AT443="",0,MAX(0,MIN(1,(IF(BY443="L1",Parameter!$E$5,Parameter!$E$6+Parameter!$E$7)-(AT443-AP443))/AP443)))</f>
        <v>1</v>
      </c>
      <c r="AV443" s="57" t="n">
        <f aca="false">IF(LEFT(Cockpit!$O$5,1)="A",H443,IF(CA443=1,CB443,IF(LEFT(Cockpit!$O$5,1)="B",AZ443,MAX(AZ443,H443))))</f>
        <v>55</v>
      </c>
      <c r="AW443" s="57" t="n">
        <f aca="false">IF(BT443=1,0,ROUNDUP(AV443/BS443,0))</f>
        <v>1</v>
      </c>
      <c r="AX443" s="59" t="n">
        <f aca="false">IF(CH443&gt;0,CH443*MAX(1,AV443/X443),IF(BT443=1,IF(AV443&lt;=0,0,BW443*MAX(1,IF(H443&gt;0,AV443/H443,1))),IF(R443&gt;0,AW443/R443,0))/MAX(0.1,N(Parameter!$M$21)))</f>
        <v>0.0151515151515152</v>
      </c>
      <c r="AY443" s="57" t="n">
        <f aca="false">AV443*G443</f>
        <v>365.75</v>
      </c>
      <c r="AZ443" s="57" t="n">
        <f aca="false">ROUNDUP(MAX(J443/IF(BZ443&gt;0,BZ443,MAX(0.1,N(Cockpit!$O$6))),CC443)/BS443,0)*BS443</f>
        <v>55</v>
      </c>
      <c r="BA443" s="58" t="n">
        <f aca="false">IF(AX443&gt;0,J443/AX443,-1)</f>
        <v>66</v>
      </c>
      <c r="BB443" s="58" t="n">
        <f aca="false">IF(AND(OR(BY443="L1",BY443="L23"),AX443&gt;0),SUMIFS($AX$7:$AX$1843,$BY$7:$BY$1843,BY443,$BA$7:$BA$1843,"&gt;"&amp;BA443)+SUMIFS($AX$7:$AX$1843,$BY$7:$BY$1843,BY443,$BA$7:$BA$1843,BA443,$BQ$7:$BQ$1843,"&lt;="&amp;BQ443),"")</f>
        <v>59.3444731596906</v>
      </c>
      <c r="BC443" s="65" t="n">
        <f aca="false">IF(BB443="",0,MAX(0,MIN(1,(IF(BY443="L1",Parameter!$E$5,Parameter!$E$6+Parameter!$E$7)-(BB443-AX443))/AX443)))</f>
        <v>1</v>
      </c>
      <c r="BD443" s="55" t="str">
        <f aca="false">IF(AH443&lt;=0,"",IF(BY443="Aussen","Aussenlager",IF(BY443="-","Nicht im Lift",IF(AM443&gt;=1,"Lift",IF(AM443&lt;=0,"Aussenlager","teilweise")))))</f>
        <v>Lift</v>
      </c>
      <c r="BE443" s="55" t="str">
        <f aca="false">IF(AP443&lt;=0,"",IF(BY443="Aussen","Aussenlager",IF(BY443="-","Nicht im Lift",IF(AU443&gt;=1,"Lift",IF(AU443&lt;=0,"Aussenlager","teilweise")))))</f>
        <v>Lift</v>
      </c>
      <c r="BF443" s="55" t="str">
        <f aca="false">IF(AX443&lt;=0,"",IF(BY443="Aussen","Aussenlager",IF(BY443="-","Nicht im Lift",IF(BC443&gt;=1,"Lift",IF(BC443&lt;=0,"Aussenlager","teilweise")))))</f>
        <v>Lift</v>
      </c>
      <c r="BG443" s="55" t="str">
        <f aca="false">IF(A443="","",IF(BP443=1,"Neu; ","")&amp;IF(AND(BP443=0,BK443&lt;0),"negativer Bestand (Export "&amp;BK443&amp;"); ","")&amp;IF(J443&lt;=0,"Kein Verbrauch; ","")&amp;IF(CH443&gt;0,"Lift "&amp;W443&amp;" lt. Liftbericht (Fach "&amp;X443&amp;" Stk); ",IF(BU443=1,"Gebinde geschätzt ("&amp;T443&amp;"); ",IF(BT443=1,"Lose – Tablare geschätzt; ","")))&amp;IF(H443&gt;AR443,"Überbestand "&amp;ROUND(H443-AR443,0)&amp;" Stk / CHF "&amp;ROUND((H443-AR443)*G443,0)&amp;"; ","")&amp;IF(AND(CA443=1,CB443&lt;CC443),"MAX &lt; MB+LG; ","")&amp;IF(AND(CG443&gt;0,CF443*10&gt;CG443),"zu hoch für Tablar; ","")&amp;IF(AND(BP443=0,OR(CA443=1,AA443&lt;&gt;"",U443&lt;&gt;"",V443&lt;&gt;"",AB443&lt;&gt;"")),"manuell übersteuert; ","")&amp;IF(AND(BT443=0,R443=0),"Gebinde unbekannt / Stellmass fehlt; ","")&amp;IF(AND(BT443=0,N(V443)&lt;=0,N(Q443)&lt;=0),"Menge pro Gebinde fehlt (Ist = 1 Gebinde); ","")&amp;BO443)</f>
        <v/>
      </c>
      <c r="BH443" s="55"/>
      <c r="BI443" s="55"/>
      <c r="BJ443" s="62"/>
      <c r="BK443" s="57" t="n">
        <v>11</v>
      </c>
      <c r="BL443" s="57" t="n">
        <v>42</v>
      </c>
      <c r="BM443" s="56" t="n">
        <v>73.15</v>
      </c>
      <c r="BN443" s="57" t="n">
        <v>1</v>
      </c>
      <c r="BO443" s="55"/>
      <c r="BP443" s="60" t="n">
        <v>0</v>
      </c>
      <c r="BQ443" s="60" t="n">
        <v>443</v>
      </c>
      <c r="BR443" s="55" t="str">
        <f aca="false">IF(U443&lt;&gt;"",UPPER(TRIM(U443)),IF(BU443=1,UPPER(VLOOKUP(T443,Parameter!$I$27:$K$29,2,0)),IF(P443="","LOSE",P443)))</f>
        <v>S33</v>
      </c>
      <c r="BS443" s="57" t="n">
        <f aca="false">IF(BR443="LOSE",1,IF(N(V443)&gt;0,V443,IF(BU443=1,MAX(1,N(VLOOKUP(T443,Parameter!$I$27:$K$29,3,0)),H443,N(N443)),IF(N(Q443)&gt;0,Q443,MAX(1,H443)))))</f>
        <v>55</v>
      </c>
      <c r="BT443" s="60" t="n">
        <f aca="false">IF(BR443="LOSE",1,0)</f>
        <v>0</v>
      </c>
      <c r="BU443" s="60" t="n">
        <f aca="false">IF(AND(U443="",OR(P443="",P443="LOSE"),T443&lt;&gt;"",N(S443)&lt;=0,ISNUMBER(MATCH(T443,Parameter!$I$27:$I$29,0))),1,0)</f>
        <v>0</v>
      </c>
      <c r="BV443" s="55" t="str">
        <f aca="false">IF(AND(Parameter!$B$19="Ja",E443&lt;&gt;"",ISNUMBER(MATCH(E443,Parameter!$I$35:$I$52,0))),VLOOKUP(E443,Parameter!$I$35:$J$52,2,0),IFERROR(VLOOKUP(D443,Parameter!$A$35:$C$64,2,0),"Nein"))</f>
        <v>2+3</v>
      </c>
      <c r="BW443" s="59" t="n">
        <f aca="false">IF(BT443=0,0,IF(N(S443)&gt;0,S443,IFERROR(VLOOKUP(D443,Parameter!$A$35:$C$64,3,0)+0,0)))</f>
        <v>0</v>
      </c>
      <c r="BX443" s="55" t="n">
        <f aca="false">IF(AA443&lt;&gt;"",AA443,Z443)</f>
        <v>3</v>
      </c>
      <c r="BY443" s="55" t="str">
        <f aca="false">IF(BX443=1,"L1",IF(OR(BX443=2,BX443=3),"L23",IF(BX443="Aussen","Aussen","-")))</f>
        <v>L23</v>
      </c>
      <c r="BZ443" s="66" t="n">
        <f aca="false">IF(N(AB443)&gt;0,AB443,0)</f>
        <v>0</v>
      </c>
      <c r="CA443" s="60" t="n">
        <f aca="false">IF(ISNUMBER(AE443),1,0)</f>
        <v>0</v>
      </c>
      <c r="CB443" s="57" t="n">
        <f aca="false">N(AE443)</f>
        <v>0</v>
      </c>
      <c r="CC443" s="57" t="n">
        <f aca="false">N(M443)+N(N443)</f>
        <v>1</v>
      </c>
      <c r="CD443" s="57" t="n">
        <f aca="false">ROUNDUP(H443/BS443,0)</f>
        <v>1</v>
      </c>
      <c r="CE443" s="57" t="n">
        <f aca="false">ROUNDUP(CB443/BS443,0)</f>
        <v>0</v>
      </c>
      <c r="CF443" s="60" t="n">
        <f aca="false">IF(BT443=1,0,IFERROR(VLOOKUP(BR443,'Gebinde-Kategorie'!$A$5:$M$45,5,0)+0,0))</f>
        <v>8</v>
      </c>
      <c r="CG443" s="60" t="n">
        <f aca="false">IFERROR(IF(OR(BX443=1,BX443=2,BX443=3),N(INDEX(Parameter!$I$5:$I$7,BX443)),0),0)</f>
        <v>0</v>
      </c>
      <c r="CH443" s="59" t="n">
        <f aca="false">IF(AND(Parameter!$B$21="Ja",ISNUMBER(W443),N(X443)&gt;0),IFERROR(N(INDEX(Parameter!$L$5:$L$7,W443))*INDEX(Parameter!$E$5:$E$7,W443)*X443/SUMIFS($X$7:$X$1843,$W$7:$W$1843,W443),0),0)</f>
        <v>0</v>
      </c>
    </row>
    <row r="444" customFormat="false" ht="15" hidden="false" customHeight="false" outlineLevel="0" collapsed="false">
      <c r="A444" s="55" t="s">
        <v>1010</v>
      </c>
      <c r="B444" s="55" t="s">
        <v>429</v>
      </c>
      <c r="C444" s="55" t="s">
        <v>164</v>
      </c>
      <c r="D444" s="55" t="s">
        <v>184</v>
      </c>
      <c r="E444" s="55"/>
      <c r="F444" s="55" t="s">
        <v>218</v>
      </c>
      <c r="G444" s="56" t="n">
        <v>36.06</v>
      </c>
      <c r="H444" s="57" t="n">
        <f aca="false">MAX(0,IF(AND(Parameter!$B$21="Ja",ISNUMBER(Y444)),Y444,IF(Parameter!$B$20="Jahresanfang 2025 + Export",BL444+BK444,BK444)))</f>
        <v>61</v>
      </c>
      <c r="I444" s="57" t="n">
        <f aca="false">H444*G444</f>
        <v>2199.66</v>
      </c>
      <c r="J444" s="57" t="n">
        <f aca="false">BN444*Parameter!$B$18</f>
        <v>68</v>
      </c>
      <c r="K444" s="58" t="n">
        <v>60</v>
      </c>
      <c r="L444" s="59" t="n">
        <v>1.13333333333333</v>
      </c>
      <c r="M444" s="57" t="n">
        <v>13</v>
      </c>
      <c r="N444" s="57" t="n">
        <v>70</v>
      </c>
      <c r="O444" s="60" t="n">
        <v>70</v>
      </c>
      <c r="P444" s="55" t="s">
        <v>293</v>
      </c>
      <c r="Q444" s="57" t="n">
        <v>55</v>
      </c>
      <c r="R444" s="60" t="n">
        <f aca="false">IF(BT444=1,0,IFERROR(VLOOKUP(BR444,'Gebinde-Kategorie'!$A$5:$M$45,13,0)+0,0))</f>
        <v>12</v>
      </c>
      <c r="S444" s="61"/>
      <c r="T444" s="62"/>
      <c r="U444" s="62"/>
      <c r="V444" s="62"/>
      <c r="W444" s="55"/>
      <c r="X444" s="57"/>
      <c r="Y444" s="57"/>
      <c r="Z444" s="55" t="n">
        <f aca="false">IF(A444="","",IF(AND(Parameter!$B$21="Ja",ISNUMBER(W444)),W444,IF(BV444="2+3",IF(ISNUMBER(SEARCH("grosser Artikel",BO444)),2,IFERROR(VLOOKUP(BR444,Parameter!$F$35:$G$64,2,0),2)),IF(OR(BV444="Nein",BV444=""),"-",BV444))))</f>
        <v>2</v>
      </c>
      <c r="AA444" s="62"/>
      <c r="AB444" s="63"/>
      <c r="AC444" s="57" t="n">
        <f aca="false">AR444</f>
        <v>110</v>
      </c>
      <c r="AD444" s="57" t="n">
        <f aca="false">MAX(AR444,H444)</f>
        <v>110</v>
      </c>
      <c r="AE444" s="64"/>
      <c r="AF444" s="57" t="n">
        <f aca="false">IF(LEFT(Cockpit!$C$5,1)="A",H444,IF(CA444=1,CB444,IF(LEFT(Cockpit!$C$5,1)="B",AJ444,MAX(AJ444,H444))))</f>
        <v>61</v>
      </c>
      <c r="AG444" s="57" t="n">
        <f aca="false">IF(BT444=1,0,ROUNDUP(AF444/BS444,0))</f>
        <v>2</v>
      </c>
      <c r="AH444" s="59" t="n">
        <f aca="false">IF(CH444&gt;0,CH444*MAX(1,AF444/X444),IF(BT444=1,IF(AF444&lt;=0,0,BW444*MAX(1,IF(H444&gt;0,AF444/H444,1))),IF(R444&gt;0,AG444/R444,0))/MAX(0.1,N(Parameter!$M$21)))</f>
        <v>0.166666666666667</v>
      </c>
      <c r="AI444" s="57" t="n">
        <f aca="false">AF444*G444</f>
        <v>2199.66</v>
      </c>
      <c r="AJ444" s="57" t="n">
        <f aca="false">ROUNDUP(MAX(J444/IF(BZ444&gt;0,BZ444,MAX(0.1,N(Cockpit!$C$6))),CC444)/BS444,0)*BS444</f>
        <v>110</v>
      </c>
      <c r="AK444" s="58" t="n">
        <f aca="false">IF(AH444&gt;0,J444/AH444,-1)</f>
        <v>408</v>
      </c>
      <c r="AL444" s="58" t="n">
        <f aca="false">IF(AND(OR(BY444="L1",BY444="L23"),AH444&gt;0),SUMIFS($AH$7:$AH$1843,$BY$7:$BY$1843,BY444,$AK$7:$AK$1843,"&gt;"&amp;AK444)+SUMIFS($AH$7:$AH$1843,$BY$7:$BY$1843,BY444,$AK$7:$AK$1843,AK444,$BQ$7:$BQ$1843,"&lt;="&amp;BQ444),"")</f>
        <v>25.5974122495862</v>
      </c>
      <c r="AM444" s="65" t="n">
        <f aca="false">IF(AL444="",0,MAX(0,MIN(1,(IF(BY444="L1",Parameter!$E$5,Parameter!$E$6+Parameter!$E$7)-(AL444-AH444))/AH444)))</f>
        <v>1</v>
      </c>
      <c r="AN444" s="57" t="n">
        <f aca="false">IF(LEFT(Cockpit!$I$5,1)="A",H444,IF(CA444=1,CB444,IF(LEFT(Cockpit!$I$5,1)="B",AR444,MAX(AR444,H444))))</f>
        <v>110</v>
      </c>
      <c r="AO444" s="57" t="n">
        <f aca="false">IF(BT444=1,0,ROUNDUP(AN444/BS444,0))</f>
        <v>2</v>
      </c>
      <c r="AP444" s="59" t="n">
        <f aca="false">IF(CH444&gt;0,CH444*MAX(1,AN444/X444),IF(BT444=1,IF(AN444&lt;=0,0,BW444*MAX(1,IF(H444&gt;0,AN444/H444,1))),IF(R444&gt;0,AO444/R444,0))/MAX(0.1,N(Parameter!$M$21)))</f>
        <v>0.166666666666667</v>
      </c>
      <c r="AQ444" s="57" t="n">
        <f aca="false">AN444*G444</f>
        <v>3966.6</v>
      </c>
      <c r="AR444" s="57" t="n">
        <f aca="false">ROUNDUP(MAX(J444/IF(BZ444&gt;0,BZ444,MAX(0.1,N(Cockpit!$I$6))),CC444)/BS444,0)*BS444</f>
        <v>110</v>
      </c>
      <c r="AS444" s="58" t="n">
        <f aca="false">IF(AP444&gt;0,J444/AP444,-1)</f>
        <v>408</v>
      </c>
      <c r="AT444" s="58" t="n">
        <f aca="false">IF(AND(OR(BY444="L1",BY444="L23"),AP444&gt;0),SUMIFS($AP$7:$AP$1843,$BY$7:$BY$1843,BY444,$AS$7:$AS$1843,"&gt;"&amp;AS444)+SUMIFS($AP$7:$AP$1843,$BY$7:$BY$1843,BY444,$AS$7:$AS$1843,AS444,$BQ$7:$BQ$1843,"&lt;="&amp;BQ444),"")</f>
        <v>35.1872318502753</v>
      </c>
      <c r="AU444" s="65" t="n">
        <f aca="false">IF(AT444="",0,MAX(0,MIN(1,(IF(BY444="L1",Parameter!$E$5,Parameter!$E$6+Parameter!$E$7)-(AT444-AP444))/AP444)))</f>
        <v>1</v>
      </c>
      <c r="AV444" s="57" t="n">
        <f aca="false">IF(LEFT(Cockpit!$O$5,1)="A",H444,IF(CA444=1,CB444,IF(LEFT(Cockpit!$O$5,1)="B",AZ444,MAX(AZ444,H444))))</f>
        <v>110</v>
      </c>
      <c r="AW444" s="57" t="n">
        <f aca="false">IF(BT444=1,0,ROUNDUP(AV444/BS444,0))</f>
        <v>2</v>
      </c>
      <c r="AX444" s="59" t="n">
        <f aca="false">IF(CH444&gt;0,CH444*MAX(1,AV444/X444),IF(BT444=1,IF(AV444&lt;=0,0,BW444*MAX(1,IF(H444&gt;0,AV444/H444,1))),IF(R444&gt;0,AW444/R444,0))/MAX(0.1,N(Parameter!$M$21)))</f>
        <v>0.166666666666667</v>
      </c>
      <c r="AY444" s="57" t="n">
        <f aca="false">AV444*G444</f>
        <v>3966.6</v>
      </c>
      <c r="AZ444" s="57" t="n">
        <f aca="false">ROUNDUP(MAX(J444/IF(BZ444&gt;0,BZ444,MAX(0.1,N(Cockpit!$O$6))),CC444)/BS444,0)*BS444</f>
        <v>110</v>
      </c>
      <c r="BA444" s="58" t="n">
        <f aca="false">IF(AX444&gt;0,J444/AX444,-1)</f>
        <v>408</v>
      </c>
      <c r="BB444" s="58" t="n">
        <f aca="false">IF(AND(OR(BY444="L1",BY444="L23"),AX444&gt;0),SUMIFS($AX$7:$AX$1843,$BY$7:$BY$1843,BY444,$BA$7:$BA$1843,"&gt;"&amp;BA444)+SUMIFS($AX$7:$AX$1843,$BY$7:$BY$1843,BY444,$BA$7:$BA$1843,BA444,$BQ$7:$BQ$1843,"&lt;="&amp;BQ444),"")</f>
        <v>34.4337353467788</v>
      </c>
      <c r="BC444" s="65" t="n">
        <f aca="false">IF(BB444="",0,MAX(0,MIN(1,(IF(BY444="L1",Parameter!$E$5,Parameter!$E$6+Parameter!$E$7)-(BB444-AX444))/AX444)))</f>
        <v>1</v>
      </c>
      <c r="BD444" s="55" t="str">
        <f aca="false">IF(AH444&lt;=0,"",IF(BY444="Aussen","Aussenlager",IF(BY444="-","Nicht im Lift",IF(AM444&gt;=1,"Lift",IF(AM444&lt;=0,"Aussenlager","teilweise")))))</f>
        <v>Lift</v>
      </c>
      <c r="BE444" s="55" t="str">
        <f aca="false">IF(AP444&lt;=0,"",IF(BY444="Aussen","Aussenlager",IF(BY444="-","Nicht im Lift",IF(AU444&gt;=1,"Lift",IF(AU444&lt;=0,"Aussenlager","teilweise")))))</f>
        <v>Lift</v>
      </c>
      <c r="BF444" s="55" t="str">
        <f aca="false">IF(AX444&lt;=0,"",IF(BY444="Aussen","Aussenlager",IF(BY444="-","Nicht im Lift",IF(BC444&gt;=1,"Lift",IF(BC444&lt;=0,"Aussenlager","teilweise")))))</f>
        <v>Lift</v>
      </c>
      <c r="BG444" s="55" t="str">
        <f aca="false">IF(A444="","",IF(BP444=1,"Neu; ","")&amp;IF(AND(BP444=0,BK444&lt;0),"negativer Bestand (Export "&amp;BK444&amp;"); ","")&amp;IF(J444&lt;=0,"Kein Verbrauch; ","")&amp;IF(CH444&gt;0,"Lift "&amp;W444&amp;" lt. Liftbericht (Fach "&amp;X444&amp;" Stk); ",IF(BU444=1,"Gebinde geschätzt ("&amp;T444&amp;"); ",IF(BT444=1,"Lose – Tablare geschätzt; ","")))&amp;IF(H444&gt;AR444,"Überbestand "&amp;ROUND(H444-AR444,0)&amp;" Stk / CHF "&amp;ROUND((H444-AR444)*G444,0)&amp;"; ","")&amp;IF(AND(CA444=1,CB444&lt;CC444),"MAX &lt; MB+LG; ","")&amp;IF(AND(CG444&gt;0,CF444*10&gt;CG444),"zu hoch für Tablar; ","")&amp;IF(AND(BP444=0,OR(CA444=1,AA444&lt;&gt;"",U444&lt;&gt;"",V444&lt;&gt;"",AB444&lt;&gt;"")),"manuell übersteuert; ","")&amp;IF(AND(BT444=0,R444=0),"Gebinde unbekannt / Stellmass fehlt; ","")&amp;IF(AND(BT444=0,N(V444)&lt;=0,N(Q444)&lt;=0),"Menge pro Gebinde fehlt (Ist = 1 Gebinde); ","")&amp;BO444)</f>
        <v/>
      </c>
      <c r="BH444" s="55"/>
      <c r="BI444" s="55"/>
      <c r="BJ444" s="62"/>
      <c r="BK444" s="57" t="n">
        <v>4</v>
      </c>
      <c r="BL444" s="57" t="n">
        <v>57</v>
      </c>
      <c r="BM444" s="56" t="n">
        <v>72.9900000000001</v>
      </c>
      <c r="BN444" s="57" t="n">
        <v>68</v>
      </c>
      <c r="BO444" s="55"/>
      <c r="BP444" s="60" t="n">
        <v>0</v>
      </c>
      <c r="BQ444" s="60" t="n">
        <v>444</v>
      </c>
      <c r="BR444" s="55" t="str">
        <f aca="false">IF(U444&lt;&gt;"",UPPER(TRIM(U444)),IF(BU444=1,UPPER(VLOOKUP(T444,Parameter!$I$27:$K$29,2,0)),IF(P444="","LOSE",P444)))</f>
        <v>S62</v>
      </c>
      <c r="BS444" s="57" t="n">
        <f aca="false">IF(BR444="LOSE",1,IF(N(V444)&gt;0,V444,IF(BU444=1,MAX(1,N(VLOOKUP(T444,Parameter!$I$27:$K$29,3,0)),H444,N(N444)),IF(N(Q444)&gt;0,Q444,MAX(1,H444)))))</f>
        <v>55</v>
      </c>
      <c r="BT444" s="60" t="n">
        <f aca="false">IF(BR444="LOSE",1,0)</f>
        <v>0</v>
      </c>
      <c r="BU444" s="60" t="n">
        <f aca="false">IF(AND(U444="",OR(P444="",P444="LOSE"),T444&lt;&gt;"",N(S444)&lt;=0,ISNUMBER(MATCH(T444,Parameter!$I$27:$I$29,0))),1,0)</f>
        <v>0</v>
      </c>
      <c r="BV444" s="55" t="str">
        <f aca="false">IF(AND(Parameter!$B$19="Ja",E444&lt;&gt;"",ISNUMBER(MATCH(E444,Parameter!$I$35:$I$52,0))),VLOOKUP(E444,Parameter!$I$35:$J$52,2,0),IFERROR(VLOOKUP(D444,Parameter!$A$35:$C$64,2,0),"Nein"))</f>
        <v>2+3</v>
      </c>
      <c r="BW444" s="59" t="n">
        <f aca="false">IF(BT444=0,0,IF(N(S444)&gt;0,S444,IFERROR(VLOOKUP(D444,Parameter!$A$35:$C$64,3,0)+0,0)))</f>
        <v>0</v>
      </c>
      <c r="BX444" s="55" t="n">
        <f aca="false">IF(AA444&lt;&gt;"",AA444,Z444)</f>
        <v>2</v>
      </c>
      <c r="BY444" s="55" t="str">
        <f aca="false">IF(BX444=1,"L1",IF(OR(BX444=2,BX444=3),"L23",IF(BX444="Aussen","Aussen","-")))</f>
        <v>L23</v>
      </c>
      <c r="BZ444" s="66" t="n">
        <f aca="false">IF(N(AB444)&gt;0,AB444,0)</f>
        <v>0</v>
      </c>
      <c r="CA444" s="60" t="n">
        <f aca="false">IF(ISNUMBER(AE444),1,0)</f>
        <v>0</v>
      </c>
      <c r="CB444" s="57" t="n">
        <f aca="false">N(AE444)</f>
        <v>0</v>
      </c>
      <c r="CC444" s="57" t="n">
        <f aca="false">N(M444)+N(N444)</f>
        <v>83</v>
      </c>
      <c r="CD444" s="57" t="n">
        <f aca="false">ROUNDUP(H444/BS444,0)</f>
        <v>2</v>
      </c>
      <c r="CE444" s="57" t="n">
        <f aca="false">ROUNDUP(CB444/BS444,0)</f>
        <v>0</v>
      </c>
      <c r="CF444" s="60" t="n">
        <f aca="false">IF(BT444=1,0,IFERROR(VLOOKUP(BR444,'Gebinde-Kategorie'!$A$5:$M$45,5,0)+0,0))</f>
        <v>21</v>
      </c>
      <c r="CG444" s="60" t="n">
        <f aca="false">IFERROR(IF(OR(BX444=1,BX444=2,BX444=3),N(INDEX(Parameter!$I$5:$I$7,BX444)),0),0)</f>
        <v>0</v>
      </c>
      <c r="CH444" s="59" t="n">
        <f aca="false">IF(AND(Parameter!$B$21="Ja",ISNUMBER(W444),N(X444)&gt;0),IFERROR(N(INDEX(Parameter!$L$5:$L$7,W444))*INDEX(Parameter!$E$5:$E$7,W444)*X444/SUMIFS($X$7:$X$1843,$W$7:$W$1843,W444),0),0)</f>
        <v>0</v>
      </c>
    </row>
    <row r="445" customFormat="false" ht="15" hidden="false" customHeight="false" outlineLevel="0" collapsed="false">
      <c r="A445" s="55" t="s">
        <v>1011</v>
      </c>
      <c r="B445" s="55" t="s">
        <v>661</v>
      </c>
      <c r="C445" s="55" t="s">
        <v>164</v>
      </c>
      <c r="D445" s="55" t="s">
        <v>184</v>
      </c>
      <c r="E445" s="55" t="s">
        <v>185</v>
      </c>
      <c r="F445" s="55" t="s">
        <v>218</v>
      </c>
      <c r="G445" s="56" t="n">
        <v>4.81</v>
      </c>
      <c r="H445" s="57" t="n">
        <f aca="false">MAX(0,IF(AND(Parameter!$B$21="Ja",ISNUMBER(Y445)),Y445,IF(Parameter!$B$20="Jahresanfang 2025 + Export",BL445+BK445,BK445)))</f>
        <v>172</v>
      </c>
      <c r="I445" s="57" t="n">
        <f aca="false">H445*G445</f>
        <v>827.32</v>
      </c>
      <c r="J445" s="57" t="n">
        <f aca="false">BN445*Parameter!$B$18</f>
        <v>618</v>
      </c>
      <c r="K445" s="58" t="n">
        <v>163.5</v>
      </c>
      <c r="L445" s="59" t="n">
        <v>3.77981651376147</v>
      </c>
      <c r="M445" s="57" t="n">
        <v>36</v>
      </c>
      <c r="N445" s="57" t="n">
        <v>60</v>
      </c>
      <c r="O445" s="60" t="n">
        <v>21</v>
      </c>
      <c r="P445" s="55" t="s">
        <v>421</v>
      </c>
      <c r="Q445" s="57" t="n">
        <v>246</v>
      </c>
      <c r="R445" s="60" t="n">
        <f aca="false">IF(BT445=1,0,IFERROR(VLOOKUP(BR445,'Gebinde-Kategorie'!$A$5:$M$45,13,0)+0,0))</f>
        <v>132</v>
      </c>
      <c r="S445" s="61"/>
      <c r="T445" s="62"/>
      <c r="U445" s="62"/>
      <c r="V445" s="62"/>
      <c r="W445" s="55"/>
      <c r="X445" s="57"/>
      <c r="Y445" s="57"/>
      <c r="Z445" s="55" t="n">
        <f aca="false">IF(A445="","",IF(AND(Parameter!$B$21="Ja",ISNUMBER(W445)),W445,IF(BV445="2+3",IF(ISNUMBER(SEARCH("grosser Artikel",BO445)),2,IFERROR(VLOOKUP(BR445,Parameter!$F$35:$G$64,2,0),2)),IF(OR(BV445="Nein",BV445=""),"-",BV445))))</f>
        <v>3</v>
      </c>
      <c r="AA445" s="62"/>
      <c r="AB445" s="63"/>
      <c r="AC445" s="57" t="n">
        <f aca="false">AR445</f>
        <v>492</v>
      </c>
      <c r="AD445" s="57" t="n">
        <f aca="false">MAX(AR445,H445)</f>
        <v>492</v>
      </c>
      <c r="AE445" s="64"/>
      <c r="AF445" s="57" t="n">
        <f aca="false">IF(LEFT(Cockpit!$C$5,1)="A",H445,IF(CA445=1,CB445,IF(LEFT(Cockpit!$C$5,1)="B",AJ445,MAX(AJ445,H445))))</f>
        <v>172</v>
      </c>
      <c r="AG445" s="57" t="n">
        <f aca="false">IF(BT445=1,0,ROUNDUP(AF445/BS445,0))</f>
        <v>1</v>
      </c>
      <c r="AH445" s="59" t="n">
        <f aca="false">IF(CH445&gt;0,CH445*MAX(1,AF445/X445),IF(BT445=1,IF(AF445&lt;=0,0,BW445*MAX(1,IF(H445&gt;0,AF445/H445,1))),IF(R445&gt;0,AG445/R445,0))/MAX(0.1,N(Parameter!$M$21)))</f>
        <v>0.00757575757575758</v>
      </c>
      <c r="AI445" s="57" t="n">
        <f aca="false">AF445*G445</f>
        <v>827.32</v>
      </c>
      <c r="AJ445" s="57" t="n">
        <f aca="false">ROUNDUP(MAX(J445/IF(BZ445&gt;0,BZ445,MAX(0.1,N(Cockpit!$C$6))),CC445)/BS445,0)*BS445</f>
        <v>492</v>
      </c>
      <c r="AK445" s="58" t="n">
        <f aca="false">IF(AH445&gt;0,J445/AH445,-1)</f>
        <v>81576</v>
      </c>
      <c r="AL445" s="58" t="n">
        <f aca="false">IF(AND(OR(BY445="L1",BY445="L23"),AH445&gt;0),SUMIFS($AH$7:$AH$1843,$BY$7:$BY$1843,BY445,$AK$7:$AK$1843,"&gt;"&amp;AK445)+SUMIFS($AH$7:$AH$1843,$BY$7:$BY$1843,BY445,$AK$7:$AK$1843,AK445,$BQ$7:$BQ$1843,"&lt;="&amp;BQ445),"")</f>
        <v>0.82310563832303</v>
      </c>
      <c r="AM445" s="65" t="n">
        <f aca="false">IF(AL445="",0,MAX(0,MIN(1,(IF(BY445="L1",Parameter!$E$5,Parameter!$E$6+Parameter!$E$7)-(AL445-AH445))/AH445)))</f>
        <v>1</v>
      </c>
      <c r="AN445" s="57" t="n">
        <f aca="false">IF(LEFT(Cockpit!$I$5,1)="A",H445,IF(CA445=1,CB445,IF(LEFT(Cockpit!$I$5,1)="B",AR445,MAX(AR445,H445))))</f>
        <v>492</v>
      </c>
      <c r="AO445" s="57" t="n">
        <f aca="false">IF(BT445=1,0,ROUNDUP(AN445/BS445,0))</f>
        <v>2</v>
      </c>
      <c r="AP445" s="59" t="n">
        <f aca="false">IF(CH445&gt;0,CH445*MAX(1,AN445/X445),IF(BT445=1,IF(AN445&lt;=0,0,BW445*MAX(1,IF(H445&gt;0,AN445/H445,1))),IF(R445&gt;0,AO445/R445,0))/MAX(0.1,N(Parameter!$M$21)))</f>
        <v>0.0151515151515152</v>
      </c>
      <c r="AQ445" s="57" t="n">
        <f aca="false">AN445*G445</f>
        <v>2366.52</v>
      </c>
      <c r="AR445" s="57" t="n">
        <f aca="false">ROUNDUP(MAX(J445/IF(BZ445&gt;0,BZ445,MAX(0.1,N(Cockpit!$I$6))),CC445)/BS445,0)*BS445</f>
        <v>492</v>
      </c>
      <c r="AS445" s="58" t="n">
        <f aca="false">IF(AP445&gt;0,J445/AP445,-1)</f>
        <v>40788</v>
      </c>
      <c r="AT445" s="58" t="n">
        <f aca="false">IF(AND(OR(BY445="L1",BY445="L23"),AP445&gt;0),SUMIFS($AP$7:$AP$1843,$BY$7:$BY$1843,BY445,$AS$7:$AS$1843,"&gt;"&amp;AS445)+SUMIFS($AP$7:$AP$1843,$BY$7:$BY$1843,BY445,$AS$7:$AS$1843,AS445,$BQ$7:$BQ$1843,"&lt;="&amp;BQ445),"")</f>
        <v>1.99423161379683</v>
      </c>
      <c r="AU445" s="65" t="n">
        <f aca="false">IF(AT445="",0,MAX(0,MIN(1,(IF(BY445="L1",Parameter!$E$5,Parameter!$E$6+Parameter!$E$7)-(AT445-AP445))/AP445)))</f>
        <v>1</v>
      </c>
      <c r="AV445" s="57" t="n">
        <f aca="false">IF(LEFT(Cockpit!$O$5,1)="A",H445,IF(CA445=1,CB445,IF(LEFT(Cockpit!$O$5,1)="B",AZ445,MAX(AZ445,H445))))</f>
        <v>246</v>
      </c>
      <c r="AW445" s="57" t="n">
        <f aca="false">IF(BT445=1,0,ROUNDUP(AV445/BS445,0))</f>
        <v>1</v>
      </c>
      <c r="AX445" s="59" t="n">
        <f aca="false">IF(CH445&gt;0,CH445*MAX(1,AV445/X445),IF(BT445=1,IF(AV445&lt;=0,0,BW445*MAX(1,IF(H445&gt;0,AV445/H445,1))),IF(R445&gt;0,AW445/R445,0))/MAX(0.1,N(Parameter!$M$21)))</f>
        <v>0.00757575757575758</v>
      </c>
      <c r="AY445" s="57" t="n">
        <f aca="false">AV445*G445</f>
        <v>1183.26</v>
      </c>
      <c r="AZ445" s="57" t="n">
        <f aca="false">ROUNDUP(MAX(J445/IF(BZ445&gt;0,BZ445,MAX(0.1,N(Cockpit!$O$6))),CC445)/BS445,0)*BS445</f>
        <v>246</v>
      </c>
      <c r="BA445" s="58" t="n">
        <f aca="false">IF(AX445&gt;0,J445/AX445,-1)</f>
        <v>81576</v>
      </c>
      <c r="BB445" s="58" t="n">
        <f aca="false">IF(AND(OR(BY445="L1",BY445="L23"),AX445&gt;0),SUMIFS($AX$7:$AX$1843,$BY$7:$BY$1843,BY445,$BA$7:$BA$1843,"&gt;"&amp;BA445)+SUMIFS($AX$7:$AX$1843,$BY$7:$BY$1843,BY445,$BA$7:$BA$1843,BA445,$BQ$7:$BQ$1843,"&lt;="&amp;BQ445),"")</f>
        <v>0.583510692206344</v>
      </c>
      <c r="BC445" s="65" t="n">
        <f aca="false">IF(BB445="",0,MAX(0,MIN(1,(IF(BY445="L1",Parameter!$E$5,Parameter!$E$6+Parameter!$E$7)-(BB445-AX445))/AX445)))</f>
        <v>1</v>
      </c>
      <c r="BD445" s="55" t="str">
        <f aca="false">IF(AH445&lt;=0,"",IF(BY445="Aussen","Aussenlager",IF(BY445="-","Nicht im Lift",IF(AM445&gt;=1,"Lift",IF(AM445&lt;=0,"Aussenlager","teilweise")))))</f>
        <v>Lift</v>
      </c>
      <c r="BE445" s="55" t="str">
        <f aca="false">IF(AP445&lt;=0,"",IF(BY445="Aussen","Aussenlager",IF(BY445="-","Nicht im Lift",IF(AU445&gt;=1,"Lift",IF(AU445&lt;=0,"Aussenlager","teilweise")))))</f>
        <v>Lift</v>
      </c>
      <c r="BF445" s="55" t="str">
        <f aca="false">IF(AX445&lt;=0,"",IF(BY445="Aussen","Aussenlager",IF(BY445="-","Nicht im Lift",IF(BC445&gt;=1,"Lift",IF(BC445&lt;=0,"Aussenlager","teilweise")))))</f>
        <v>Lift</v>
      </c>
      <c r="BG445" s="55" t="str">
        <f aca="false">IF(A445="","",IF(BP445=1,"Neu; ","")&amp;IF(AND(BP445=0,BK445&lt;0),"negativer Bestand (Export "&amp;BK445&amp;"); ","")&amp;IF(J445&lt;=0,"Kein Verbrauch; ","")&amp;IF(CH445&gt;0,"Lift "&amp;W445&amp;" lt. Liftbericht (Fach "&amp;X445&amp;" Stk); ",IF(BU445=1,"Gebinde geschätzt ("&amp;T445&amp;"); ",IF(BT445=1,"Lose – Tablare geschätzt; ","")))&amp;IF(H445&gt;AR445,"Überbestand "&amp;ROUND(H445-AR445,0)&amp;" Stk / CHF "&amp;ROUND((H445-AR445)*G445,0)&amp;"; ","")&amp;IF(AND(CA445=1,CB445&lt;CC445),"MAX &lt; MB+LG; ","")&amp;IF(AND(CG445&gt;0,CF445*10&gt;CG445),"zu hoch für Tablar; ","")&amp;IF(AND(BP445=0,OR(CA445=1,AA445&lt;&gt;"",U445&lt;&gt;"",V445&lt;&gt;"",AB445&lt;&gt;"")),"manuell übersteuert; ","")&amp;IF(AND(BT445=0,R445=0),"Gebinde unbekannt / Stellmass fehlt; ","")&amp;IF(AND(BT445=0,N(V445)&lt;=0,N(Q445)&lt;=0),"Menge pro Gebinde fehlt (Ist = 1 Gebinde); ","")&amp;BO445)</f>
        <v/>
      </c>
      <c r="BH445" s="55"/>
      <c r="BI445" s="55"/>
      <c r="BJ445" s="62"/>
      <c r="BK445" s="57" t="n">
        <v>8</v>
      </c>
      <c r="BL445" s="57" t="n">
        <v>164</v>
      </c>
      <c r="BM445" s="56" t="n">
        <v>72.9199999999998</v>
      </c>
      <c r="BN445" s="57" t="n">
        <v>618</v>
      </c>
      <c r="BO445" s="55"/>
      <c r="BP445" s="60" t="n">
        <v>0</v>
      </c>
      <c r="BQ445" s="60" t="n">
        <v>445</v>
      </c>
      <c r="BR445" s="55" t="str">
        <f aca="false">IF(U445&lt;&gt;"",UPPER(TRIM(U445)),IF(BU445=1,UPPER(VLOOKUP(T445,Parameter!$I$27:$K$29,2,0)),IF(P445="","LOSE",P445)))</f>
        <v>S32</v>
      </c>
      <c r="BS445" s="57" t="n">
        <f aca="false">IF(BR445="LOSE",1,IF(N(V445)&gt;0,V445,IF(BU445=1,MAX(1,N(VLOOKUP(T445,Parameter!$I$27:$K$29,3,0)),H445,N(N445)),IF(N(Q445)&gt;0,Q445,MAX(1,H445)))))</f>
        <v>246</v>
      </c>
      <c r="BT445" s="60" t="n">
        <f aca="false">IF(BR445="LOSE",1,0)</f>
        <v>0</v>
      </c>
      <c r="BU445" s="60" t="n">
        <f aca="false">IF(AND(U445="",OR(P445="",P445="LOSE"),T445&lt;&gt;"",N(S445)&lt;=0,ISNUMBER(MATCH(T445,Parameter!$I$27:$I$29,0))),1,0)</f>
        <v>0</v>
      </c>
      <c r="BV445" s="55" t="str">
        <f aca="false">IF(AND(Parameter!$B$19="Ja",E445&lt;&gt;"",ISNUMBER(MATCH(E445,Parameter!$I$35:$I$52,0))),VLOOKUP(E445,Parameter!$I$35:$J$52,2,0),IFERROR(VLOOKUP(D445,Parameter!$A$35:$C$64,2,0),"Nein"))</f>
        <v>2+3</v>
      </c>
      <c r="BW445" s="59" t="n">
        <f aca="false">IF(BT445=0,0,IF(N(S445)&gt;0,S445,IFERROR(VLOOKUP(D445,Parameter!$A$35:$C$64,3,0)+0,0)))</f>
        <v>0</v>
      </c>
      <c r="BX445" s="55" t="n">
        <f aca="false">IF(AA445&lt;&gt;"",AA445,Z445)</f>
        <v>3</v>
      </c>
      <c r="BY445" s="55" t="str">
        <f aca="false">IF(BX445=1,"L1",IF(OR(BX445=2,BX445=3),"L23",IF(BX445="Aussen","Aussen","-")))</f>
        <v>L23</v>
      </c>
      <c r="BZ445" s="66" t="n">
        <f aca="false">IF(N(AB445)&gt;0,AB445,0)</f>
        <v>0</v>
      </c>
      <c r="CA445" s="60" t="n">
        <f aca="false">IF(ISNUMBER(AE445),1,0)</f>
        <v>0</v>
      </c>
      <c r="CB445" s="57" t="n">
        <f aca="false">N(AE445)</f>
        <v>0</v>
      </c>
      <c r="CC445" s="57" t="n">
        <f aca="false">N(M445)+N(N445)</f>
        <v>96</v>
      </c>
      <c r="CD445" s="57" t="n">
        <f aca="false">ROUNDUP(H445/BS445,0)</f>
        <v>1</v>
      </c>
      <c r="CE445" s="57" t="n">
        <f aca="false">ROUNDUP(CB445/BS445,0)</f>
        <v>0</v>
      </c>
      <c r="CF445" s="60" t="n">
        <f aca="false">IF(BT445=1,0,IFERROR(VLOOKUP(BR445,'Gebinde-Kategorie'!$A$5:$M$45,5,0)+0,0))</f>
        <v>8</v>
      </c>
      <c r="CG445" s="60" t="n">
        <f aca="false">IFERROR(IF(OR(BX445=1,BX445=2,BX445=3),N(INDEX(Parameter!$I$5:$I$7,BX445)),0),0)</f>
        <v>0</v>
      </c>
      <c r="CH445" s="59" t="n">
        <f aca="false">IF(AND(Parameter!$B$21="Ja",ISNUMBER(W445),N(X445)&gt;0),IFERROR(N(INDEX(Parameter!$L$5:$L$7,W445))*INDEX(Parameter!$E$5:$E$7,W445)*X445/SUMIFS($X$7:$X$1843,$W$7:$W$1843,W445),0),0)</f>
        <v>0</v>
      </c>
    </row>
    <row r="446" customFormat="false" ht="15" hidden="false" customHeight="false" outlineLevel="0" collapsed="false">
      <c r="A446" s="55" t="s">
        <v>1012</v>
      </c>
      <c r="B446" s="55" t="s">
        <v>1013</v>
      </c>
      <c r="C446" s="55" t="s">
        <v>164</v>
      </c>
      <c r="D446" s="55" t="s">
        <v>173</v>
      </c>
      <c r="E446" s="55" t="s">
        <v>173</v>
      </c>
      <c r="F446" s="55" t="s">
        <v>218</v>
      </c>
      <c r="G446" s="56" t="n">
        <v>2338.25</v>
      </c>
      <c r="H446" s="57" t="n">
        <f aca="false">MAX(0,IF(AND(Parameter!$B$21="Ja",ISNUMBER(Y446)),Y446,IF(Parameter!$B$20="Jahresanfang 2025 + Export",BL446+BK446,BK446)))</f>
        <v>0</v>
      </c>
      <c r="I446" s="57" t="n">
        <f aca="false">H446*G446</f>
        <v>0</v>
      </c>
      <c r="J446" s="57" t="n">
        <f aca="false">BN446*Parameter!$B$18</f>
        <v>4</v>
      </c>
      <c r="K446" s="58" t="n">
        <v>2.5</v>
      </c>
      <c r="L446" s="59" t="n">
        <v>1.6</v>
      </c>
      <c r="M446" s="57" t="n">
        <v>1</v>
      </c>
      <c r="N446" s="57" t="n">
        <v>1</v>
      </c>
      <c r="O446" s="60" t="n">
        <v>56</v>
      </c>
      <c r="P446" s="55" t="s">
        <v>168</v>
      </c>
      <c r="Q446" s="57"/>
      <c r="R446" s="60" t="n">
        <f aca="false">IF(BT446=1,0,IFERROR(VLOOKUP(BR446,'Gebinde-Kategorie'!$A$5:$M$45,13,0)+0,0))</f>
        <v>0</v>
      </c>
      <c r="S446" s="61"/>
      <c r="T446" s="62"/>
      <c r="U446" s="62"/>
      <c r="V446" s="62"/>
      <c r="W446" s="55" t="n">
        <v>1</v>
      </c>
      <c r="X446" s="57" t="n">
        <v>2</v>
      </c>
      <c r="Y446" s="57" t="n">
        <v>0</v>
      </c>
      <c r="Z446" s="55" t="n">
        <f aca="false">IF(A446="","",IF(AND(Parameter!$B$21="Ja",ISNUMBER(W446)),W446,IF(BV446="2+3",IF(ISNUMBER(SEARCH("grosser Artikel",BO446)),2,IFERROR(VLOOKUP(BR446,Parameter!$F$35:$G$64,2,0),2)),IF(OR(BV446="Nein",BV446=""),"-",BV446))))</f>
        <v>1</v>
      </c>
      <c r="AA446" s="62"/>
      <c r="AB446" s="63"/>
      <c r="AC446" s="57" t="n">
        <f aca="false">AR446</f>
        <v>2</v>
      </c>
      <c r="AD446" s="57" t="n">
        <f aca="false">MAX(AR446,H446)</f>
        <v>2</v>
      </c>
      <c r="AE446" s="64"/>
      <c r="AF446" s="57" t="n">
        <f aca="false">IF(LEFT(Cockpit!$C$5,1)="A",H446,IF(CA446=1,CB446,IF(LEFT(Cockpit!$C$5,1)="B",AJ446,MAX(AJ446,H446))))</f>
        <v>0</v>
      </c>
      <c r="AG446" s="57" t="n">
        <f aca="false">IF(BT446=1,0,ROUNDUP(AF446/BS446,0))</f>
        <v>0</v>
      </c>
      <c r="AH446" s="59" t="n">
        <f aca="false">IF(CH446&gt;0,CH446*MAX(1,AF446/X446),IF(BT446=1,IF(AF446&lt;=0,0,BW446*MAX(1,IF(H446&gt;0,AF446/H446,1))),IF(R446&gt;0,AG446/R446,0))/MAX(0.1,N(Parameter!$M$21)))</f>
        <v>0.160075329566855</v>
      </c>
      <c r="AI446" s="57" t="n">
        <f aca="false">AF446*G446</f>
        <v>0</v>
      </c>
      <c r="AJ446" s="57" t="n">
        <f aca="false">ROUNDUP(MAX(J446/IF(BZ446&gt;0,BZ446,MAX(0.1,N(Cockpit!$C$6))),CC446)/BS446,0)*BS446</f>
        <v>2</v>
      </c>
      <c r="AK446" s="58" t="n">
        <f aca="false">IF(AH446&gt;0,J446/AH446,-1)</f>
        <v>24.9882352941176</v>
      </c>
      <c r="AL446" s="58" t="n">
        <f aca="false">IF(AND(OR(BY446="L1",BY446="L23"),AH446&gt;0),SUMIFS($AH$7:$AH$1843,$BY$7:$BY$1843,BY446,$AK$7:$AK$1843,"&gt;"&amp;AK446)+SUMIFS($AH$7:$AH$1843,$BY$7:$BY$1843,BY446,$AK$7:$AK$1843,AK446,$BQ$7:$BQ$1843,"&lt;="&amp;BQ446),"")</f>
        <v>18.8158078718138</v>
      </c>
      <c r="AM446" s="65" t="n">
        <f aca="false">IF(AL446="",0,MAX(0,MIN(1,(IF(BY446="L1",Parameter!$E$5,Parameter!$E$6+Parameter!$E$7)-(AL446-AH446))/AH446)))</f>
        <v>1</v>
      </c>
      <c r="AN446" s="57" t="n">
        <f aca="false">IF(LEFT(Cockpit!$I$5,1)="A",H446,IF(CA446=1,CB446,IF(LEFT(Cockpit!$I$5,1)="B",AR446,MAX(AR446,H446))))</f>
        <v>2</v>
      </c>
      <c r="AO446" s="57" t="n">
        <f aca="false">IF(BT446=1,0,ROUNDUP(AN446/BS446,0))</f>
        <v>0</v>
      </c>
      <c r="AP446" s="59" t="n">
        <f aca="false">IF(CH446&gt;0,CH446*MAX(1,AN446/X446),IF(BT446=1,IF(AN446&lt;=0,0,BW446*MAX(1,IF(H446&gt;0,AN446/H446,1))),IF(R446&gt;0,AO446/R446,0))/MAX(0.1,N(Parameter!$M$21)))</f>
        <v>0.160075329566855</v>
      </c>
      <c r="AQ446" s="57" t="n">
        <f aca="false">AN446*G446</f>
        <v>4676.5</v>
      </c>
      <c r="AR446" s="57" t="n">
        <f aca="false">ROUNDUP(MAX(J446/IF(BZ446&gt;0,BZ446,MAX(0.1,N(Cockpit!$I$6))),CC446)/BS446,0)*BS446</f>
        <v>2</v>
      </c>
      <c r="AS446" s="58" t="n">
        <f aca="false">IF(AP446&gt;0,J446/AP446,-1)</f>
        <v>24.9882352941176</v>
      </c>
      <c r="AT446" s="58" t="n">
        <f aca="false">IF(AND(OR(BY446="L1",BY446="L23"),AP446&gt;0),SUMIFS($AP$7:$AP$1843,$BY$7:$BY$1843,BY446,$AS$7:$AS$1843,"&gt;"&amp;AS446)+SUMIFS($AP$7:$AP$1843,$BY$7:$BY$1843,BY446,$AS$7:$AS$1843,AS446,$BQ$7:$BQ$1843,"&lt;="&amp;BQ446),"")</f>
        <v>19.5754051483602</v>
      </c>
      <c r="AU446" s="65" t="n">
        <f aca="false">IF(AT446="",0,MAX(0,MIN(1,(IF(BY446="L1",Parameter!$E$5,Parameter!$E$6+Parameter!$E$7)-(AT446-AP446))/AP446)))</f>
        <v>1</v>
      </c>
      <c r="AV446" s="57" t="n">
        <f aca="false">IF(LEFT(Cockpit!$O$5,1)="A",H446,IF(CA446=1,CB446,IF(LEFT(Cockpit!$O$5,1)="B",AZ446,MAX(AZ446,H446))))</f>
        <v>2</v>
      </c>
      <c r="AW446" s="57" t="n">
        <f aca="false">IF(BT446=1,0,ROUNDUP(AV446/BS446,0))</f>
        <v>0</v>
      </c>
      <c r="AX446" s="59" t="n">
        <f aca="false">IF(CH446&gt;0,CH446*MAX(1,AV446/X446),IF(BT446=1,IF(AV446&lt;=0,0,BW446*MAX(1,IF(H446&gt;0,AV446/H446,1))),IF(R446&gt;0,AW446/R446,0))/MAX(0.1,N(Parameter!$M$21)))</f>
        <v>0.160075329566855</v>
      </c>
      <c r="AY446" s="57" t="n">
        <f aca="false">AV446*G446</f>
        <v>4676.5</v>
      </c>
      <c r="AZ446" s="57" t="n">
        <f aca="false">ROUNDUP(MAX(J446/IF(BZ446&gt;0,BZ446,MAX(0.1,N(Cockpit!$O$6))),CC446)/BS446,0)*BS446</f>
        <v>2</v>
      </c>
      <c r="BA446" s="58" t="n">
        <f aca="false">IF(AX446&gt;0,J446/AX446,-1)</f>
        <v>24.9882352941176</v>
      </c>
      <c r="BB446" s="58" t="n">
        <f aca="false">IF(AND(OR(BY446="L1",BY446="L23"),AX446&gt;0),SUMIFS($AX$7:$AX$1843,$BY$7:$BY$1843,BY446,$BA$7:$BA$1843,"&gt;"&amp;BA446)+SUMIFS($AX$7:$AX$1843,$BY$7:$BY$1843,BY446,$BA$7:$BA$1843,BA446,$BQ$7:$BQ$1843,"&lt;="&amp;BQ446),"")</f>
        <v>25.4079417266595</v>
      </c>
      <c r="BC446" s="65" t="n">
        <f aca="false">IF(BB446="",0,MAX(0,MIN(1,(IF(BY446="L1",Parameter!$E$5,Parameter!$E$6+Parameter!$E$7)-(BB446-AX446))/AX446)))</f>
        <v>1</v>
      </c>
      <c r="BD446" s="55" t="str">
        <f aca="false">IF(AH446&lt;=0,"",IF(BY446="Aussen","Aussenlager",IF(BY446="-","Nicht im Lift",IF(AM446&gt;=1,"Lift",IF(AM446&lt;=0,"Aussenlager","teilweise")))))</f>
        <v>Lift</v>
      </c>
      <c r="BE446" s="55" t="str">
        <f aca="false">IF(AP446&lt;=0,"",IF(BY446="Aussen","Aussenlager",IF(BY446="-","Nicht im Lift",IF(AU446&gt;=1,"Lift",IF(AU446&lt;=0,"Aussenlager","teilweise")))))</f>
        <v>Lift</v>
      </c>
      <c r="BF446" s="55" t="str">
        <f aca="false">IF(AX446&lt;=0,"",IF(BY446="Aussen","Aussenlager",IF(BY446="-","Nicht im Lift",IF(BC446&gt;=1,"Lift",IF(BC446&lt;=0,"Aussenlager","teilweise")))))</f>
        <v>Lift</v>
      </c>
      <c r="BG446" s="55" t="str">
        <f aca="false">IF(A446="","",IF(BP446=1,"Neu; ","")&amp;IF(AND(BP446=0,BK446&lt;0),"negativer Bestand (Export "&amp;BK446&amp;"); ","")&amp;IF(J446&lt;=0,"Kein Verbrauch; ","")&amp;IF(CH446&gt;0,"Lift "&amp;W446&amp;" lt. Liftbericht (Fach "&amp;X446&amp;" Stk); ",IF(BU446=1,"Gebinde geschätzt ("&amp;T446&amp;"); ",IF(BT446=1,"Lose – Tablare geschätzt; ","")))&amp;IF(H446&gt;AR446,"Überbestand "&amp;ROUND(H446-AR446,0)&amp;" Stk / CHF "&amp;ROUND((H446-AR446)*G446,0)&amp;"; ","")&amp;IF(AND(CA446=1,CB446&lt;CC446),"MAX &lt; MB+LG; ","")&amp;IF(AND(CG446&gt;0,CF446*10&gt;CG446),"zu hoch für Tablar; ","")&amp;IF(AND(BP446=0,OR(CA446=1,AA446&lt;&gt;"",U446&lt;&gt;"",V446&lt;&gt;"",AB446&lt;&gt;"")),"manuell übersteuert; ","")&amp;IF(AND(BT446=0,R446=0),"Gebinde unbekannt / Stellmass fehlt; ","")&amp;IF(AND(BT446=0,N(V446)&lt;=0,N(Q446)&lt;=0),"Menge pro Gebinde fehlt (Ist = 1 Gebinde); ","")&amp;BO446)</f>
        <v>Lift 1 lt. Liftbericht (Fach 2 Stk); </v>
      </c>
      <c r="BH446" s="55"/>
      <c r="BI446" s="55"/>
      <c r="BJ446" s="62"/>
      <c r="BK446" s="57" t="n">
        <v>0</v>
      </c>
      <c r="BL446" s="57" t="n">
        <v>2</v>
      </c>
      <c r="BM446" s="56" t="n">
        <v>72.2999999999997</v>
      </c>
      <c r="BN446" s="57" t="n">
        <v>4</v>
      </c>
      <c r="BO446" s="55"/>
      <c r="BP446" s="60" t="n">
        <v>0</v>
      </c>
      <c r="BQ446" s="60" t="n">
        <v>446</v>
      </c>
      <c r="BR446" s="55" t="str">
        <f aca="false">IF(U446&lt;&gt;"",UPPER(TRIM(U446)),IF(BU446=1,UPPER(VLOOKUP(T446,Parameter!$I$27:$K$29,2,0)),IF(P446="","LOSE",P446)))</f>
        <v>LOSE</v>
      </c>
      <c r="BS446" s="57" t="n">
        <f aca="false">IF(BR446="LOSE",1,IF(N(V446)&gt;0,V446,IF(BU446=1,MAX(1,N(VLOOKUP(T446,Parameter!$I$27:$K$29,3,0)),H446,N(N446)),IF(N(Q446)&gt;0,Q446,MAX(1,H446)))))</f>
        <v>1</v>
      </c>
      <c r="BT446" s="60" t="n">
        <f aca="false">IF(BR446="LOSE",1,0)</f>
        <v>1</v>
      </c>
      <c r="BU446" s="60" t="n">
        <f aca="false">IF(AND(U446="",OR(P446="",P446="LOSE"),T446&lt;&gt;"",N(S446)&lt;=0,ISNUMBER(MATCH(T446,Parameter!$I$27:$I$29,0))),1,0)</f>
        <v>0</v>
      </c>
      <c r="BV446" s="55" t="str">
        <f aca="false">IF(AND(Parameter!$B$19="Ja",E446&lt;&gt;"",ISNUMBER(MATCH(E446,Parameter!$I$35:$I$52,0))),VLOOKUP(E446,Parameter!$I$35:$J$52,2,0),IFERROR(VLOOKUP(D446,Parameter!$A$35:$C$64,2,0),"Nein"))</f>
        <v>Nein</v>
      </c>
      <c r="BW446" s="59" t="n">
        <f aca="false">IF(BT446=0,0,IF(N(S446)&gt;0,S446,IFERROR(VLOOKUP(D446,Parameter!$A$35:$C$64,3,0)+0,0)))</f>
        <v>0.15</v>
      </c>
      <c r="BX446" s="55" t="n">
        <f aca="false">IF(AA446&lt;&gt;"",AA446,Z446)</f>
        <v>1</v>
      </c>
      <c r="BY446" s="55" t="str">
        <f aca="false">IF(BX446=1,"L1",IF(OR(BX446=2,BX446=3),"L23",IF(BX446="Aussen","Aussen","-")))</f>
        <v>L1</v>
      </c>
      <c r="BZ446" s="66" t="n">
        <f aca="false">IF(N(AB446)&gt;0,AB446,0)</f>
        <v>0</v>
      </c>
      <c r="CA446" s="60" t="n">
        <f aca="false">IF(ISNUMBER(AE446),1,0)</f>
        <v>0</v>
      </c>
      <c r="CB446" s="57" t="n">
        <f aca="false">N(AE446)</f>
        <v>0</v>
      </c>
      <c r="CC446" s="57" t="n">
        <f aca="false">N(M446)+N(N446)</f>
        <v>2</v>
      </c>
      <c r="CD446" s="57" t="n">
        <f aca="false">ROUNDUP(H446/BS446,0)</f>
        <v>0</v>
      </c>
      <c r="CE446" s="57" t="n">
        <f aca="false">ROUNDUP(CB446/BS446,0)</f>
        <v>0</v>
      </c>
      <c r="CF446" s="60" t="n">
        <f aca="false">IF(BT446=1,0,IFERROR(VLOOKUP(BR446,'Gebinde-Kategorie'!$A$5:$M$45,5,0)+0,0))</f>
        <v>0</v>
      </c>
      <c r="CG446" s="60" t="n">
        <f aca="false">IFERROR(IF(OR(BX446=1,BX446=2,BX446=3),N(INDEX(Parameter!$I$5:$I$7,BX446)),0),0)</f>
        <v>0</v>
      </c>
      <c r="CH446" s="59" t="n">
        <f aca="false">IF(AND(Parameter!$B$21="Ja",ISNUMBER(W446),N(X446)&gt;0),IFERROR(N(INDEX(Parameter!$L$5:$L$7,W446))*INDEX(Parameter!$E$5:$E$7,W446)*X446/SUMIFS($X$7:$X$1843,$W$7:$W$1843,W446),0),0)</f>
        <v>0.160075329566855</v>
      </c>
    </row>
    <row r="447" customFormat="false" ht="15" hidden="false" customHeight="false" outlineLevel="0" collapsed="false">
      <c r="A447" s="55" t="s">
        <v>1014</v>
      </c>
      <c r="B447" s="55" t="s">
        <v>1015</v>
      </c>
      <c r="C447" s="55" t="s">
        <v>164</v>
      </c>
      <c r="D447" s="55" t="s">
        <v>184</v>
      </c>
      <c r="E447" s="55" t="s">
        <v>185</v>
      </c>
      <c r="F447" s="55" t="s">
        <v>218</v>
      </c>
      <c r="G447" s="56" t="n">
        <v>0.12</v>
      </c>
      <c r="H447" s="57" t="n">
        <f aca="false">MAX(0,IF(AND(Parameter!$B$21="Ja",ISNUMBER(Y447)),Y447,IF(Parameter!$B$20="Jahresanfang 2025 + Export",BL447+BK447,BK447)))</f>
        <v>798</v>
      </c>
      <c r="I447" s="57" t="n">
        <f aca="false">H447*G447</f>
        <v>95.76</v>
      </c>
      <c r="J447" s="57" t="n">
        <f aca="false">BN447*Parameter!$B$18</f>
        <v>1150</v>
      </c>
      <c r="K447" s="58" t="n">
        <v>378.5</v>
      </c>
      <c r="L447" s="59" t="n">
        <v>3.03830911492735</v>
      </c>
      <c r="M447" s="57" t="n">
        <v>67</v>
      </c>
      <c r="N447" s="57" t="n">
        <v>1000</v>
      </c>
      <c r="O447" s="60" t="n">
        <v>21</v>
      </c>
      <c r="P447" s="55" t="s">
        <v>233</v>
      </c>
      <c r="Q447" s="57" t="n">
        <v>1500</v>
      </c>
      <c r="R447" s="60" t="n">
        <f aca="false">IF(BT447=1,0,IFERROR(VLOOKUP(BR447,'Gebinde-Kategorie'!$A$5:$M$45,13,0)+0,0))</f>
        <v>26</v>
      </c>
      <c r="S447" s="61"/>
      <c r="T447" s="62"/>
      <c r="U447" s="62"/>
      <c r="V447" s="62"/>
      <c r="W447" s="55"/>
      <c r="X447" s="57"/>
      <c r="Y447" s="57"/>
      <c r="Z447" s="55" t="n">
        <f aca="false">IF(A447="","",IF(AND(Parameter!$B$21="Ja",ISNUMBER(W447)),W447,IF(BV447="2+3",IF(ISNUMBER(SEARCH("grosser Artikel",BO447)),2,IFERROR(VLOOKUP(BR447,Parameter!$F$35:$G$64,2,0),2)),IF(OR(BV447="Nein",BV447=""),"-",BV447))))</f>
        <v>3</v>
      </c>
      <c r="AA447" s="62"/>
      <c r="AB447" s="63"/>
      <c r="AC447" s="57" t="n">
        <f aca="false">AR447</f>
        <v>1500</v>
      </c>
      <c r="AD447" s="57" t="n">
        <f aca="false">MAX(AR447,H447)</f>
        <v>1500</v>
      </c>
      <c r="AE447" s="64"/>
      <c r="AF447" s="57" t="n">
        <f aca="false">IF(LEFT(Cockpit!$C$5,1)="A",H447,IF(CA447=1,CB447,IF(LEFT(Cockpit!$C$5,1)="B",AJ447,MAX(AJ447,H447))))</f>
        <v>798</v>
      </c>
      <c r="AG447" s="57" t="n">
        <f aca="false">IF(BT447=1,0,ROUNDUP(AF447/BS447,0))</f>
        <v>1</v>
      </c>
      <c r="AH447" s="59" t="n">
        <f aca="false">IF(CH447&gt;0,CH447*MAX(1,AF447/X447),IF(BT447=1,IF(AF447&lt;=0,0,BW447*MAX(1,IF(H447&gt;0,AF447/H447,1))),IF(R447&gt;0,AG447/R447,0))/MAX(0.1,N(Parameter!$M$21)))</f>
        <v>0.0384615384615385</v>
      </c>
      <c r="AI447" s="57" t="n">
        <f aca="false">AF447*G447</f>
        <v>95.76</v>
      </c>
      <c r="AJ447" s="57" t="n">
        <f aca="false">ROUNDUP(MAX(J447/IF(BZ447&gt;0,BZ447,MAX(0.1,N(Cockpit!$C$6))),CC447)/BS447,0)*BS447</f>
        <v>1500</v>
      </c>
      <c r="AK447" s="58" t="n">
        <f aca="false">IF(AH447&gt;0,J447/AH447,-1)</f>
        <v>29900</v>
      </c>
      <c r="AL447" s="58" t="n">
        <f aca="false">IF(AND(OR(BY447="L1",BY447="L23"),AH447&gt;0),SUMIFS($AH$7:$AH$1843,$BY$7:$BY$1843,BY447,$AK$7:$AK$1843,"&gt;"&amp;AK447)+SUMIFS($AH$7:$AH$1843,$BY$7:$BY$1843,BY447,$AK$7:$AK$1843,AK447,$BQ$7:$BQ$1843,"&lt;="&amp;BQ447),"")</f>
        <v>2.32057194013716</v>
      </c>
      <c r="AM447" s="65" t="n">
        <f aca="false">IF(AL447="",0,MAX(0,MIN(1,(IF(BY447="L1",Parameter!$E$5,Parameter!$E$6+Parameter!$E$7)-(AL447-AH447))/AH447)))</f>
        <v>1</v>
      </c>
      <c r="AN447" s="57" t="n">
        <f aca="false">IF(LEFT(Cockpit!$I$5,1)="A",H447,IF(CA447=1,CB447,IF(LEFT(Cockpit!$I$5,1)="B",AR447,MAX(AR447,H447))))</f>
        <v>1500</v>
      </c>
      <c r="AO447" s="57" t="n">
        <f aca="false">IF(BT447=1,0,ROUNDUP(AN447/BS447,0))</f>
        <v>1</v>
      </c>
      <c r="AP447" s="59" t="n">
        <f aca="false">IF(CH447&gt;0,CH447*MAX(1,AN447/X447),IF(BT447=1,IF(AN447&lt;=0,0,BW447*MAX(1,IF(H447&gt;0,AN447/H447,1))),IF(R447&gt;0,AO447/R447,0))/MAX(0.1,N(Parameter!$M$21)))</f>
        <v>0.0384615384615385</v>
      </c>
      <c r="AQ447" s="57" t="n">
        <f aca="false">AN447*G447</f>
        <v>180</v>
      </c>
      <c r="AR447" s="57" t="n">
        <f aca="false">ROUNDUP(MAX(J447/IF(BZ447&gt;0,BZ447,MAX(0.1,N(Cockpit!$I$6))),CC447)/BS447,0)*BS447</f>
        <v>1500</v>
      </c>
      <c r="AS447" s="58" t="n">
        <f aca="false">IF(AP447&gt;0,J447/AP447,-1)</f>
        <v>29900</v>
      </c>
      <c r="AT447" s="58" t="n">
        <f aca="false">IF(AND(OR(BY447="L1",BY447="L23"),AP447&gt;0),SUMIFS($AP$7:$AP$1843,$BY$7:$BY$1843,BY447,$AS$7:$AS$1843,"&gt;"&amp;AS447)+SUMIFS($AP$7:$AP$1843,$BY$7:$BY$1843,BY447,$AS$7:$AS$1843,AS447,$BQ$7:$BQ$1843,"&lt;="&amp;BQ447),"")</f>
        <v>3.08988716597412</v>
      </c>
      <c r="AU447" s="65" t="n">
        <f aca="false">IF(AT447="",0,MAX(0,MIN(1,(IF(BY447="L1",Parameter!$E$5,Parameter!$E$6+Parameter!$E$7)-(AT447-AP447))/AP447)))</f>
        <v>1</v>
      </c>
      <c r="AV447" s="57" t="n">
        <f aca="false">IF(LEFT(Cockpit!$O$5,1)="A",H447,IF(CA447=1,CB447,IF(LEFT(Cockpit!$O$5,1)="B",AZ447,MAX(AZ447,H447))))</f>
        <v>1500</v>
      </c>
      <c r="AW447" s="57" t="n">
        <f aca="false">IF(BT447=1,0,ROUNDUP(AV447/BS447,0))</f>
        <v>1</v>
      </c>
      <c r="AX447" s="59" t="n">
        <f aca="false">IF(CH447&gt;0,CH447*MAX(1,AV447/X447),IF(BT447=1,IF(AV447&lt;=0,0,BW447*MAX(1,IF(H447&gt;0,AV447/H447,1))),IF(R447&gt;0,AW447/R447,0))/MAX(0.1,N(Parameter!$M$21)))</f>
        <v>0.0384615384615385</v>
      </c>
      <c r="AY447" s="57" t="n">
        <f aca="false">AV447*G447</f>
        <v>180</v>
      </c>
      <c r="AZ447" s="57" t="n">
        <f aca="false">ROUNDUP(MAX(J447/IF(BZ447&gt;0,BZ447,MAX(0.1,N(Cockpit!$O$6))),CC447)/BS447,0)*BS447</f>
        <v>1500</v>
      </c>
      <c r="BA447" s="58" t="n">
        <f aca="false">IF(AX447&gt;0,J447/AX447,-1)</f>
        <v>29900</v>
      </c>
      <c r="BB447" s="58" t="n">
        <f aca="false">IF(AND(OR(BY447="L1",BY447="L23"),AX447&gt;0),SUMIFS($AX$7:$AX$1843,$BY$7:$BY$1843,BY447,$BA$7:$BA$1843,"&gt;"&amp;BA447)+SUMIFS($AX$7:$AX$1843,$BY$7:$BY$1843,BY447,$BA$7:$BA$1843,BA447,$BQ$7:$BQ$1843,"&lt;="&amp;BQ447),"")</f>
        <v>2.81949089557785</v>
      </c>
      <c r="BC447" s="65" t="n">
        <f aca="false">IF(BB447="",0,MAX(0,MIN(1,(IF(BY447="L1",Parameter!$E$5,Parameter!$E$6+Parameter!$E$7)-(BB447-AX447))/AX447)))</f>
        <v>1</v>
      </c>
      <c r="BD447" s="55" t="str">
        <f aca="false">IF(AH447&lt;=0,"",IF(BY447="Aussen","Aussenlager",IF(BY447="-","Nicht im Lift",IF(AM447&gt;=1,"Lift",IF(AM447&lt;=0,"Aussenlager","teilweise")))))</f>
        <v>Lift</v>
      </c>
      <c r="BE447" s="55" t="str">
        <f aca="false">IF(AP447&lt;=0,"",IF(BY447="Aussen","Aussenlager",IF(BY447="-","Nicht im Lift",IF(AU447&gt;=1,"Lift",IF(AU447&lt;=0,"Aussenlager","teilweise")))))</f>
        <v>Lift</v>
      </c>
      <c r="BF447" s="55" t="str">
        <f aca="false">IF(AX447&lt;=0,"",IF(BY447="Aussen","Aussenlager",IF(BY447="-","Nicht im Lift",IF(BC447&gt;=1,"Lift",IF(BC447&lt;=0,"Aussenlager","teilweise")))))</f>
        <v>Lift</v>
      </c>
      <c r="BG447" s="55" t="str">
        <f aca="false">IF(A447="","",IF(BP447=1,"Neu; ","")&amp;IF(AND(BP447=0,BK447&lt;0),"negativer Bestand (Export "&amp;BK447&amp;"); ","")&amp;IF(J447&lt;=0,"Kein Verbrauch; ","")&amp;IF(CH447&gt;0,"Lift "&amp;W447&amp;" lt. Liftbericht (Fach "&amp;X447&amp;" Stk); ",IF(BU447=1,"Gebinde geschätzt ("&amp;T447&amp;"); ",IF(BT447=1,"Lose – Tablare geschätzt; ","")))&amp;IF(H447&gt;AR447,"Überbestand "&amp;ROUND(H447-AR447,0)&amp;" Stk / CHF "&amp;ROUND((H447-AR447)*G447,0)&amp;"; ","")&amp;IF(AND(CA447=1,CB447&lt;CC447),"MAX &lt; MB+LG; ","")&amp;IF(AND(CG447&gt;0,CF447*10&gt;CG447),"zu hoch für Tablar; ","")&amp;IF(AND(BP447=0,OR(CA447=1,AA447&lt;&gt;"",U447&lt;&gt;"",V447&lt;&gt;"",AB447&lt;&gt;"")),"manuell übersteuert; ","")&amp;IF(AND(BT447=0,R447=0),"Gebinde unbekannt / Stellmass fehlt; ","")&amp;IF(AND(BT447=0,N(V447)&lt;=0,N(Q447)&lt;=0),"Menge pro Gebinde fehlt (Ist = 1 Gebinde); ","")&amp;BO447)</f>
        <v/>
      </c>
      <c r="BH447" s="55"/>
      <c r="BI447" s="55"/>
      <c r="BJ447" s="62"/>
      <c r="BK447" s="57" t="n">
        <v>598</v>
      </c>
      <c r="BL447" s="57" t="n">
        <v>200</v>
      </c>
      <c r="BM447" s="56" t="n">
        <v>71.76</v>
      </c>
      <c r="BN447" s="57" t="n">
        <v>1150</v>
      </c>
      <c r="BO447" s="55"/>
      <c r="BP447" s="60" t="n">
        <v>0</v>
      </c>
      <c r="BQ447" s="60" t="n">
        <v>447</v>
      </c>
      <c r="BR447" s="55" t="str">
        <f aca="false">IF(U447&lt;&gt;"",UPPER(TRIM(U447)),IF(BU447=1,UPPER(VLOOKUP(T447,Parameter!$I$27:$K$29,2,0)),IF(P447="","LOSE",P447)))</f>
        <v>S52</v>
      </c>
      <c r="BS447" s="57" t="n">
        <f aca="false">IF(BR447="LOSE",1,IF(N(V447)&gt;0,V447,IF(BU447=1,MAX(1,N(VLOOKUP(T447,Parameter!$I$27:$K$29,3,0)),H447,N(N447)),IF(N(Q447)&gt;0,Q447,MAX(1,H447)))))</f>
        <v>1500</v>
      </c>
      <c r="BT447" s="60" t="n">
        <f aca="false">IF(BR447="LOSE",1,0)</f>
        <v>0</v>
      </c>
      <c r="BU447" s="60" t="n">
        <f aca="false">IF(AND(U447="",OR(P447="",P447="LOSE"),T447&lt;&gt;"",N(S447)&lt;=0,ISNUMBER(MATCH(T447,Parameter!$I$27:$I$29,0))),1,0)</f>
        <v>0</v>
      </c>
      <c r="BV447" s="55" t="str">
        <f aca="false">IF(AND(Parameter!$B$19="Ja",E447&lt;&gt;"",ISNUMBER(MATCH(E447,Parameter!$I$35:$I$52,0))),VLOOKUP(E447,Parameter!$I$35:$J$52,2,0),IFERROR(VLOOKUP(D447,Parameter!$A$35:$C$64,2,0),"Nein"))</f>
        <v>2+3</v>
      </c>
      <c r="BW447" s="59" t="n">
        <f aca="false">IF(BT447=0,0,IF(N(S447)&gt;0,S447,IFERROR(VLOOKUP(D447,Parameter!$A$35:$C$64,3,0)+0,0)))</f>
        <v>0</v>
      </c>
      <c r="BX447" s="55" t="n">
        <f aca="false">IF(AA447&lt;&gt;"",AA447,Z447)</f>
        <v>3</v>
      </c>
      <c r="BY447" s="55" t="str">
        <f aca="false">IF(BX447=1,"L1",IF(OR(BX447=2,BX447=3),"L23",IF(BX447="Aussen","Aussen","-")))</f>
        <v>L23</v>
      </c>
      <c r="BZ447" s="66" t="n">
        <f aca="false">IF(N(AB447)&gt;0,AB447,0)</f>
        <v>0</v>
      </c>
      <c r="CA447" s="60" t="n">
        <f aca="false">IF(ISNUMBER(AE447),1,0)</f>
        <v>0</v>
      </c>
      <c r="CB447" s="57" t="n">
        <f aca="false">N(AE447)</f>
        <v>0</v>
      </c>
      <c r="CC447" s="57" t="n">
        <f aca="false">N(M447)+N(N447)</f>
        <v>1067</v>
      </c>
      <c r="CD447" s="57" t="n">
        <f aca="false">ROUNDUP(H447/BS447,0)</f>
        <v>1</v>
      </c>
      <c r="CE447" s="57" t="n">
        <f aca="false">ROUNDUP(CB447/BS447,0)</f>
        <v>0</v>
      </c>
      <c r="CF447" s="60" t="n">
        <f aca="false">IF(BT447=1,0,IFERROR(VLOOKUP(BR447,'Gebinde-Kategorie'!$A$5:$M$45,5,0)+0,0))</f>
        <v>21</v>
      </c>
      <c r="CG447" s="60" t="n">
        <f aca="false">IFERROR(IF(OR(BX447=1,BX447=2,BX447=3),N(INDEX(Parameter!$I$5:$I$7,BX447)),0),0)</f>
        <v>0</v>
      </c>
      <c r="CH447" s="59" t="n">
        <f aca="false">IF(AND(Parameter!$B$21="Ja",ISNUMBER(W447),N(X447)&gt;0),IFERROR(N(INDEX(Parameter!$L$5:$L$7,W447))*INDEX(Parameter!$E$5:$E$7,W447)*X447/SUMIFS($X$7:$X$1843,$W$7:$W$1843,W447),0),0)</f>
        <v>0</v>
      </c>
    </row>
    <row r="448" customFormat="false" ht="15" hidden="false" customHeight="false" outlineLevel="0" collapsed="false">
      <c r="A448" s="55" t="s">
        <v>1016</v>
      </c>
      <c r="B448" s="55" t="s">
        <v>855</v>
      </c>
      <c r="C448" s="55" t="s">
        <v>164</v>
      </c>
      <c r="D448" s="55" t="s">
        <v>184</v>
      </c>
      <c r="E448" s="55" t="s">
        <v>185</v>
      </c>
      <c r="F448" s="55" t="s">
        <v>218</v>
      </c>
      <c r="G448" s="56" t="n">
        <v>0.13</v>
      </c>
      <c r="H448" s="57" t="n">
        <f aca="false">MAX(0,IF(AND(Parameter!$B$21="Ja",ISNUMBER(Y448)),Y448,IF(Parameter!$B$20="Jahresanfang 2025 + Export",BL448+BK448,BK448)))</f>
        <v>1000</v>
      </c>
      <c r="I448" s="57" t="n">
        <f aca="false">H448*G448</f>
        <v>130</v>
      </c>
      <c r="J448" s="57" t="n">
        <f aca="false">BN448*Parameter!$B$18</f>
        <v>2250</v>
      </c>
      <c r="K448" s="58" t="n">
        <v>575</v>
      </c>
      <c r="L448" s="59" t="n">
        <v>3.91304347826087</v>
      </c>
      <c r="M448" s="57" t="n">
        <v>200</v>
      </c>
      <c r="N448" s="57" t="n">
        <v>500</v>
      </c>
      <c r="O448" s="60" t="n">
        <v>14</v>
      </c>
      <c r="P448" s="55" t="s">
        <v>302</v>
      </c>
      <c r="Q448" s="57" t="n">
        <v>600</v>
      </c>
      <c r="R448" s="60" t="n">
        <f aca="false">IF(BT448=1,0,IFERROR(VLOOKUP(BR448,'Gebinde-Kategorie'!$A$5:$M$45,13,0)+0,0))</f>
        <v>26</v>
      </c>
      <c r="S448" s="61"/>
      <c r="T448" s="62"/>
      <c r="U448" s="62"/>
      <c r="V448" s="62"/>
      <c r="W448" s="55"/>
      <c r="X448" s="57"/>
      <c r="Y448" s="57"/>
      <c r="Z448" s="55" t="n">
        <f aca="false">IF(A448="","",IF(AND(Parameter!$B$21="Ja",ISNUMBER(W448)),W448,IF(BV448="2+3",IF(ISNUMBER(SEARCH("grosser Artikel",BO448)),2,IFERROR(VLOOKUP(BR448,Parameter!$F$35:$G$64,2,0),2)),IF(OR(BV448="Nein",BV448=""),"-",BV448))))</f>
        <v>3</v>
      </c>
      <c r="AA448" s="62"/>
      <c r="AB448" s="63"/>
      <c r="AC448" s="57" t="n">
        <f aca="false">AR448</f>
        <v>1200</v>
      </c>
      <c r="AD448" s="57" t="n">
        <f aca="false">MAX(AR448,H448)</f>
        <v>1200</v>
      </c>
      <c r="AE448" s="64"/>
      <c r="AF448" s="57" t="n">
        <f aca="false">IF(LEFT(Cockpit!$C$5,1)="A",H448,IF(CA448=1,CB448,IF(LEFT(Cockpit!$C$5,1)="B",AJ448,MAX(AJ448,H448))))</f>
        <v>1000</v>
      </c>
      <c r="AG448" s="57" t="n">
        <f aca="false">IF(BT448=1,0,ROUNDUP(AF448/BS448,0))</f>
        <v>2</v>
      </c>
      <c r="AH448" s="59" t="n">
        <f aca="false">IF(CH448&gt;0,CH448*MAX(1,AF448/X448),IF(BT448=1,IF(AF448&lt;=0,0,BW448*MAX(1,IF(H448&gt;0,AF448/H448,1))),IF(R448&gt;0,AG448/R448,0))/MAX(0.1,N(Parameter!$M$21)))</f>
        <v>0.0769230769230769</v>
      </c>
      <c r="AI448" s="57" t="n">
        <f aca="false">AF448*G448</f>
        <v>130</v>
      </c>
      <c r="AJ448" s="57" t="n">
        <f aca="false">ROUNDUP(MAX(J448/IF(BZ448&gt;0,BZ448,MAX(0.1,N(Cockpit!$C$6))),CC448)/BS448,0)*BS448</f>
        <v>1200</v>
      </c>
      <c r="AK448" s="58" t="n">
        <f aca="false">IF(AH448&gt;0,J448/AH448,-1)</f>
        <v>29250</v>
      </c>
      <c r="AL448" s="58" t="n">
        <f aca="false">IF(AND(OR(BY448="L1",BY448="L23"),AH448&gt;0),SUMIFS($AH$7:$AH$1843,$BY$7:$BY$1843,BY448,$AK$7:$AK$1843,"&gt;"&amp;AK448)+SUMIFS($AH$7:$AH$1843,$BY$7:$BY$1843,BY448,$AK$7:$AK$1843,AK448,$BQ$7:$BQ$1843,"&lt;="&amp;BQ448),"")</f>
        <v>2.49151211107733</v>
      </c>
      <c r="AM448" s="65" t="n">
        <f aca="false">IF(AL448="",0,MAX(0,MIN(1,(IF(BY448="L1",Parameter!$E$5,Parameter!$E$6+Parameter!$E$7)-(AL448-AH448))/AH448)))</f>
        <v>1</v>
      </c>
      <c r="AN448" s="57" t="n">
        <f aca="false">IF(LEFT(Cockpit!$I$5,1)="A",H448,IF(CA448=1,CB448,IF(LEFT(Cockpit!$I$5,1)="B",AR448,MAX(AR448,H448))))</f>
        <v>1200</v>
      </c>
      <c r="AO448" s="57" t="n">
        <f aca="false">IF(BT448=1,0,ROUNDUP(AN448/BS448,0))</f>
        <v>2</v>
      </c>
      <c r="AP448" s="59" t="n">
        <f aca="false">IF(CH448&gt;0,CH448*MAX(1,AN448/X448),IF(BT448=1,IF(AN448&lt;=0,0,BW448*MAX(1,IF(H448&gt;0,AN448/H448,1))),IF(R448&gt;0,AO448/R448,0))/MAX(0.1,N(Parameter!$M$21)))</f>
        <v>0.0769230769230769</v>
      </c>
      <c r="AQ448" s="57" t="n">
        <f aca="false">AN448*G448</f>
        <v>156</v>
      </c>
      <c r="AR448" s="57" t="n">
        <f aca="false">ROUNDUP(MAX(J448/IF(BZ448&gt;0,BZ448,MAX(0.1,N(Cockpit!$I$6))),CC448)/BS448,0)*BS448</f>
        <v>1200</v>
      </c>
      <c r="AS448" s="58" t="n">
        <f aca="false">IF(AP448&gt;0,J448/AP448,-1)</f>
        <v>29250</v>
      </c>
      <c r="AT448" s="58" t="n">
        <f aca="false">IF(AND(OR(BY448="L1",BY448="L23"),AP448&gt;0),SUMIFS($AP$7:$AP$1843,$BY$7:$BY$1843,BY448,$AS$7:$AS$1843,"&gt;"&amp;AS448)+SUMIFS($AP$7:$AP$1843,$BY$7:$BY$1843,BY448,$AS$7:$AS$1843,AS448,$BQ$7:$BQ$1843,"&lt;="&amp;BQ448),"")</f>
        <v>3.33658491267187</v>
      </c>
      <c r="AU448" s="65" t="n">
        <f aca="false">IF(AT448="",0,MAX(0,MIN(1,(IF(BY448="L1",Parameter!$E$5,Parameter!$E$6+Parameter!$E$7)-(AT448-AP448))/AP448)))</f>
        <v>1</v>
      </c>
      <c r="AV448" s="57" t="n">
        <f aca="false">IF(LEFT(Cockpit!$O$5,1)="A",H448,IF(CA448=1,CB448,IF(LEFT(Cockpit!$O$5,1)="B",AZ448,MAX(AZ448,H448))))</f>
        <v>1200</v>
      </c>
      <c r="AW448" s="57" t="n">
        <f aca="false">IF(BT448=1,0,ROUNDUP(AV448/BS448,0))</f>
        <v>2</v>
      </c>
      <c r="AX448" s="59" t="n">
        <f aca="false">IF(CH448&gt;0,CH448*MAX(1,AV448/X448),IF(BT448=1,IF(AV448&lt;=0,0,BW448*MAX(1,IF(H448&gt;0,AV448/H448,1))),IF(R448&gt;0,AW448/R448,0))/MAX(0.1,N(Parameter!$M$21)))</f>
        <v>0.0769230769230769</v>
      </c>
      <c r="AY448" s="57" t="n">
        <f aca="false">AV448*G448</f>
        <v>156</v>
      </c>
      <c r="AZ448" s="57" t="n">
        <f aca="false">ROUNDUP(MAX(J448/IF(BZ448&gt;0,BZ448,MAX(0.1,N(Cockpit!$O$6))),CC448)/BS448,0)*BS448</f>
        <v>1200</v>
      </c>
      <c r="BA448" s="58" t="n">
        <f aca="false">IF(AX448&gt;0,J448/AX448,-1)</f>
        <v>29250</v>
      </c>
      <c r="BB448" s="58" t="n">
        <f aca="false">IF(AND(OR(BY448="L1",BY448="L23"),AX448&gt;0),SUMIFS($AX$7:$AX$1843,$BY$7:$BY$1843,BY448,$BA$7:$BA$1843,"&gt;"&amp;BA448)+SUMIFS($AX$7:$AX$1843,$BY$7:$BY$1843,BY448,$BA$7:$BA$1843,BA448,$BQ$7:$BQ$1843,"&lt;="&amp;BQ448),"")</f>
        <v>3.0661886422756</v>
      </c>
      <c r="BC448" s="65" t="n">
        <f aca="false">IF(BB448="",0,MAX(0,MIN(1,(IF(BY448="L1",Parameter!$E$5,Parameter!$E$6+Parameter!$E$7)-(BB448-AX448))/AX448)))</f>
        <v>1</v>
      </c>
      <c r="BD448" s="55" t="str">
        <f aca="false">IF(AH448&lt;=0,"",IF(BY448="Aussen","Aussenlager",IF(BY448="-","Nicht im Lift",IF(AM448&gt;=1,"Lift",IF(AM448&lt;=0,"Aussenlager","teilweise")))))</f>
        <v>Lift</v>
      </c>
      <c r="BE448" s="55" t="str">
        <f aca="false">IF(AP448&lt;=0,"",IF(BY448="Aussen","Aussenlager",IF(BY448="-","Nicht im Lift",IF(AU448&gt;=1,"Lift",IF(AU448&lt;=0,"Aussenlager","teilweise")))))</f>
        <v>Lift</v>
      </c>
      <c r="BF448" s="55" t="str">
        <f aca="false">IF(AX448&lt;=0,"",IF(BY448="Aussen","Aussenlager",IF(BY448="-","Nicht im Lift",IF(BC448&gt;=1,"Lift",IF(BC448&lt;=0,"Aussenlager","teilweise")))))</f>
        <v>Lift</v>
      </c>
      <c r="BG448" s="55" t="str">
        <f aca="false">IF(A448="","",IF(BP448=1,"Neu; ","")&amp;IF(AND(BP448=0,BK448&lt;0),"negativer Bestand (Export "&amp;BK448&amp;"); ","")&amp;IF(J448&lt;=0,"Kein Verbrauch; ","")&amp;IF(CH448&gt;0,"Lift "&amp;W448&amp;" lt. Liftbericht (Fach "&amp;X448&amp;" Stk); ",IF(BU448=1,"Gebinde geschätzt ("&amp;T448&amp;"); ",IF(BT448=1,"Lose – Tablare geschätzt; ","")))&amp;IF(H448&gt;AR448,"Überbestand "&amp;ROUND(H448-AR448,0)&amp;" Stk / CHF "&amp;ROUND((H448-AR448)*G448,0)&amp;"; ","")&amp;IF(AND(CA448=1,CB448&lt;CC448),"MAX &lt; MB+LG; ","")&amp;IF(AND(CG448&gt;0,CF448*10&gt;CG448),"zu hoch für Tablar; ","")&amp;IF(AND(BP448=0,OR(CA448=1,AA448&lt;&gt;"",U448&lt;&gt;"",V448&lt;&gt;"",AB448&lt;&gt;"")),"manuell übersteuert; ","")&amp;IF(AND(BT448=0,R448=0),"Gebinde unbekannt / Stellmass fehlt; ","")&amp;IF(AND(BT448=0,N(V448)&lt;=0,N(Q448)&lt;=0),"Menge pro Gebinde fehlt (Ist = 1 Gebinde); ","")&amp;BO448)</f>
        <v/>
      </c>
      <c r="BH448" s="55"/>
      <c r="BI448" s="55"/>
      <c r="BJ448" s="62"/>
      <c r="BK448" s="57" t="n">
        <v>550</v>
      </c>
      <c r="BL448" s="57" t="n">
        <v>450</v>
      </c>
      <c r="BM448" s="56" t="n">
        <v>71.5</v>
      </c>
      <c r="BN448" s="57" t="n">
        <v>2250</v>
      </c>
      <c r="BO448" s="55"/>
      <c r="BP448" s="60" t="n">
        <v>0</v>
      </c>
      <c r="BQ448" s="60" t="n">
        <v>448</v>
      </c>
      <c r="BR448" s="55" t="str">
        <f aca="false">IF(U448&lt;&gt;"",UPPER(TRIM(U448)),IF(BU448=1,UPPER(VLOOKUP(T448,Parameter!$I$27:$K$29,2,0)),IF(P448="","LOSE",P448)))</f>
        <v>S51</v>
      </c>
      <c r="BS448" s="57" t="n">
        <f aca="false">IF(BR448="LOSE",1,IF(N(V448)&gt;0,V448,IF(BU448=1,MAX(1,N(VLOOKUP(T448,Parameter!$I$27:$K$29,3,0)),H448,N(N448)),IF(N(Q448)&gt;0,Q448,MAX(1,H448)))))</f>
        <v>600</v>
      </c>
      <c r="BT448" s="60" t="n">
        <f aca="false">IF(BR448="LOSE",1,0)</f>
        <v>0</v>
      </c>
      <c r="BU448" s="60" t="n">
        <f aca="false">IF(AND(U448="",OR(P448="",P448="LOSE"),T448&lt;&gt;"",N(S448)&lt;=0,ISNUMBER(MATCH(T448,Parameter!$I$27:$I$29,0))),1,0)</f>
        <v>0</v>
      </c>
      <c r="BV448" s="55" t="str">
        <f aca="false">IF(AND(Parameter!$B$19="Ja",E448&lt;&gt;"",ISNUMBER(MATCH(E448,Parameter!$I$35:$I$52,0))),VLOOKUP(E448,Parameter!$I$35:$J$52,2,0),IFERROR(VLOOKUP(D448,Parameter!$A$35:$C$64,2,0),"Nein"))</f>
        <v>2+3</v>
      </c>
      <c r="BW448" s="59" t="n">
        <f aca="false">IF(BT448=0,0,IF(N(S448)&gt;0,S448,IFERROR(VLOOKUP(D448,Parameter!$A$35:$C$64,3,0)+0,0)))</f>
        <v>0</v>
      </c>
      <c r="BX448" s="55" t="n">
        <f aca="false">IF(AA448&lt;&gt;"",AA448,Z448)</f>
        <v>3</v>
      </c>
      <c r="BY448" s="55" t="str">
        <f aca="false">IF(BX448=1,"L1",IF(OR(BX448=2,BX448=3),"L23",IF(BX448="Aussen","Aussen","-")))</f>
        <v>L23</v>
      </c>
      <c r="BZ448" s="66" t="n">
        <f aca="false">IF(N(AB448)&gt;0,AB448,0)</f>
        <v>0</v>
      </c>
      <c r="CA448" s="60" t="n">
        <f aca="false">IF(ISNUMBER(AE448),1,0)</f>
        <v>0</v>
      </c>
      <c r="CB448" s="57" t="n">
        <f aca="false">N(AE448)</f>
        <v>0</v>
      </c>
      <c r="CC448" s="57" t="n">
        <f aca="false">N(M448)+N(N448)</f>
        <v>700</v>
      </c>
      <c r="CD448" s="57" t="n">
        <f aca="false">ROUNDUP(H448/BS448,0)</f>
        <v>2</v>
      </c>
      <c r="CE448" s="57" t="n">
        <f aca="false">ROUNDUP(CB448/BS448,0)</f>
        <v>0</v>
      </c>
      <c r="CF448" s="60" t="n">
        <f aca="false">IF(BT448=1,0,IFERROR(VLOOKUP(BR448,'Gebinde-Kategorie'!$A$5:$M$45,5,0)+0,0))</f>
        <v>11</v>
      </c>
      <c r="CG448" s="60" t="n">
        <f aca="false">IFERROR(IF(OR(BX448=1,BX448=2,BX448=3),N(INDEX(Parameter!$I$5:$I$7,BX448)),0),0)</f>
        <v>0</v>
      </c>
      <c r="CH448" s="59" t="n">
        <f aca="false">IF(AND(Parameter!$B$21="Ja",ISNUMBER(W448),N(X448)&gt;0),IFERROR(N(INDEX(Parameter!$L$5:$L$7,W448))*INDEX(Parameter!$E$5:$E$7,W448)*X448/SUMIFS($X$7:$X$1843,$W$7:$W$1843,W448),0),0)</f>
        <v>0</v>
      </c>
    </row>
    <row r="449" customFormat="false" ht="15" hidden="false" customHeight="false" outlineLevel="0" collapsed="false">
      <c r="A449" s="55" t="s">
        <v>1017</v>
      </c>
      <c r="B449" s="55" t="s">
        <v>468</v>
      </c>
      <c r="C449" s="55" t="s">
        <v>164</v>
      </c>
      <c r="D449" s="55" t="s">
        <v>184</v>
      </c>
      <c r="E449" s="55" t="s">
        <v>185</v>
      </c>
      <c r="F449" s="55" t="s">
        <v>218</v>
      </c>
      <c r="G449" s="56" t="n">
        <v>1.16</v>
      </c>
      <c r="H449" s="57" t="n">
        <f aca="false">MAX(0,IF(AND(Parameter!$B$21="Ja",ISNUMBER(Y449)),Y449,IF(Parameter!$B$20="Jahresanfang 2025 + Export",BL449+BK449,BK449)))</f>
        <v>201</v>
      </c>
      <c r="I449" s="57" t="n">
        <f aca="false">H449*G449</f>
        <v>233.16</v>
      </c>
      <c r="J449" s="57" t="n">
        <f aca="false">BN449*Parameter!$B$18</f>
        <v>233</v>
      </c>
      <c r="K449" s="58" t="n">
        <v>140</v>
      </c>
      <c r="L449" s="59" t="n">
        <v>1.66428571428571</v>
      </c>
      <c r="M449" s="57" t="n">
        <v>9</v>
      </c>
      <c r="N449" s="57" t="n">
        <v>235</v>
      </c>
      <c r="O449" s="60" t="n">
        <v>14</v>
      </c>
      <c r="P449" s="55" t="s">
        <v>328</v>
      </c>
      <c r="Q449" s="57" t="n">
        <v>178</v>
      </c>
      <c r="R449" s="60" t="n">
        <f aca="false">IF(BT449=1,0,IFERROR(VLOOKUP(BR449,'Gebinde-Kategorie'!$A$5:$M$45,13,0)+0,0))</f>
        <v>52</v>
      </c>
      <c r="S449" s="61"/>
      <c r="T449" s="62"/>
      <c r="U449" s="62"/>
      <c r="V449" s="62"/>
      <c r="W449" s="55"/>
      <c r="X449" s="57"/>
      <c r="Y449" s="57"/>
      <c r="Z449" s="55" t="n">
        <f aca="false">IF(A449="","",IF(AND(Parameter!$B$21="Ja",ISNUMBER(W449)),W449,IF(BV449="2+3",IF(ISNUMBER(SEARCH("grosser Artikel",BO449)),2,IFERROR(VLOOKUP(BR449,Parameter!$F$35:$G$64,2,0),2)),IF(OR(BV449="Nein",BV449=""),"-",BV449))))</f>
        <v>3</v>
      </c>
      <c r="AA449" s="62"/>
      <c r="AB449" s="63"/>
      <c r="AC449" s="57" t="n">
        <f aca="false">AR449</f>
        <v>356</v>
      </c>
      <c r="AD449" s="57" t="n">
        <f aca="false">MAX(AR449,H449)</f>
        <v>356</v>
      </c>
      <c r="AE449" s="64"/>
      <c r="AF449" s="57" t="n">
        <f aca="false">IF(LEFT(Cockpit!$C$5,1)="A",H449,IF(CA449=1,CB449,IF(LEFT(Cockpit!$C$5,1)="B",AJ449,MAX(AJ449,H449))))</f>
        <v>201</v>
      </c>
      <c r="AG449" s="57" t="n">
        <f aca="false">IF(BT449=1,0,ROUNDUP(AF449/BS449,0))</f>
        <v>2</v>
      </c>
      <c r="AH449" s="59" t="n">
        <f aca="false">IF(CH449&gt;0,CH449*MAX(1,AF449/X449),IF(BT449=1,IF(AF449&lt;=0,0,BW449*MAX(1,IF(H449&gt;0,AF449/H449,1))),IF(R449&gt;0,AG449/R449,0))/MAX(0.1,N(Parameter!$M$21)))</f>
        <v>0.0384615384615385</v>
      </c>
      <c r="AI449" s="57" t="n">
        <f aca="false">AF449*G449</f>
        <v>233.16</v>
      </c>
      <c r="AJ449" s="57" t="n">
        <f aca="false">ROUNDUP(MAX(J449/IF(BZ449&gt;0,BZ449,MAX(0.1,N(Cockpit!$C$6))),CC449)/BS449,0)*BS449</f>
        <v>356</v>
      </c>
      <c r="AK449" s="58" t="n">
        <f aca="false">IF(AH449&gt;0,J449/AH449,-1)</f>
        <v>6058</v>
      </c>
      <c r="AL449" s="58" t="n">
        <f aca="false">IF(AND(OR(BY449="L1",BY449="L23"),AH449&gt;0),SUMIFS($AH$7:$AH$1843,$BY$7:$BY$1843,BY449,$AK$7:$AK$1843,"&gt;"&amp;AK449)+SUMIFS($AH$7:$AH$1843,$BY$7:$BY$1843,BY449,$AK$7:$AK$1843,AK449,$BQ$7:$BQ$1843,"&lt;="&amp;BQ449),"")</f>
        <v>6.62705651836087</v>
      </c>
      <c r="AM449" s="65" t="n">
        <f aca="false">IF(AL449="",0,MAX(0,MIN(1,(IF(BY449="L1",Parameter!$E$5,Parameter!$E$6+Parameter!$E$7)-(AL449-AH449))/AH449)))</f>
        <v>1</v>
      </c>
      <c r="AN449" s="57" t="n">
        <f aca="false">IF(LEFT(Cockpit!$I$5,1)="A",H449,IF(CA449=1,CB449,IF(LEFT(Cockpit!$I$5,1)="B",AR449,MAX(AR449,H449))))</f>
        <v>356</v>
      </c>
      <c r="AO449" s="57" t="n">
        <f aca="false">IF(BT449=1,0,ROUNDUP(AN449/BS449,0))</f>
        <v>2</v>
      </c>
      <c r="AP449" s="59" t="n">
        <f aca="false">IF(CH449&gt;0,CH449*MAX(1,AN449/X449),IF(BT449=1,IF(AN449&lt;=0,0,BW449*MAX(1,IF(H449&gt;0,AN449/H449,1))),IF(R449&gt;0,AO449/R449,0))/MAX(0.1,N(Parameter!$M$21)))</f>
        <v>0.0384615384615385</v>
      </c>
      <c r="AQ449" s="57" t="n">
        <f aca="false">AN449*G449</f>
        <v>412.96</v>
      </c>
      <c r="AR449" s="57" t="n">
        <f aca="false">ROUNDUP(MAX(J449/IF(BZ449&gt;0,BZ449,MAX(0.1,N(Cockpit!$I$6))),CC449)/BS449,0)*BS449</f>
        <v>356</v>
      </c>
      <c r="AS449" s="58" t="n">
        <f aca="false">IF(AP449&gt;0,J449/AP449,-1)</f>
        <v>6058</v>
      </c>
      <c r="AT449" s="58" t="n">
        <f aca="false">IF(AND(OR(BY449="L1",BY449="L23"),AP449&gt;0),SUMIFS($AP$7:$AP$1843,$BY$7:$BY$1843,BY449,$AS$7:$AS$1843,"&gt;"&amp;AS449)+SUMIFS($AP$7:$AP$1843,$BY$7:$BY$1843,BY449,$AS$7:$AS$1843,AS449,$BQ$7:$BQ$1843,"&lt;="&amp;BQ449),"")</f>
        <v>11.3188236883889</v>
      </c>
      <c r="AU449" s="65" t="n">
        <f aca="false">IF(AT449="",0,MAX(0,MIN(1,(IF(BY449="L1",Parameter!$E$5,Parameter!$E$6+Parameter!$E$7)-(AT449-AP449))/AP449)))</f>
        <v>1</v>
      </c>
      <c r="AV449" s="57" t="n">
        <f aca="false">IF(LEFT(Cockpit!$O$5,1)="A",H449,IF(CA449=1,CB449,IF(LEFT(Cockpit!$O$5,1)="B",AZ449,MAX(AZ449,H449))))</f>
        <v>356</v>
      </c>
      <c r="AW449" s="57" t="n">
        <f aca="false">IF(BT449=1,0,ROUNDUP(AV449/BS449,0))</f>
        <v>2</v>
      </c>
      <c r="AX449" s="59" t="n">
        <f aca="false">IF(CH449&gt;0,CH449*MAX(1,AV449/X449),IF(BT449=1,IF(AV449&lt;=0,0,BW449*MAX(1,IF(H449&gt;0,AV449/H449,1))),IF(R449&gt;0,AW449/R449,0))/MAX(0.1,N(Parameter!$M$21)))</f>
        <v>0.0384615384615385</v>
      </c>
      <c r="AY449" s="57" t="n">
        <f aca="false">AV449*G449</f>
        <v>412.96</v>
      </c>
      <c r="AZ449" s="57" t="n">
        <f aca="false">ROUNDUP(MAX(J449/IF(BZ449&gt;0,BZ449,MAX(0.1,N(Cockpit!$O$6))),CC449)/BS449,0)*BS449</f>
        <v>356</v>
      </c>
      <c r="BA449" s="58" t="n">
        <f aca="false">IF(AX449&gt;0,J449/AX449,-1)</f>
        <v>6058</v>
      </c>
      <c r="BB449" s="58" t="n">
        <f aca="false">IF(AND(OR(BY449="L1",BY449="L23"),AX449&gt;0),SUMIFS($AX$7:$AX$1843,$BY$7:$BY$1843,BY449,$BA$7:$BA$1843,"&gt;"&amp;BA449)+SUMIFS($AX$7:$AX$1843,$BY$7:$BY$1843,BY449,$BA$7:$BA$1843,BA449,$BQ$7:$BQ$1843,"&lt;="&amp;BQ449),"")</f>
        <v>10.0012246207898</v>
      </c>
      <c r="BC449" s="65" t="n">
        <f aca="false">IF(BB449="",0,MAX(0,MIN(1,(IF(BY449="L1",Parameter!$E$5,Parameter!$E$6+Parameter!$E$7)-(BB449-AX449))/AX449)))</f>
        <v>1</v>
      </c>
      <c r="BD449" s="55" t="str">
        <f aca="false">IF(AH449&lt;=0,"",IF(BY449="Aussen","Aussenlager",IF(BY449="-","Nicht im Lift",IF(AM449&gt;=1,"Lift",IF(AM449&lt;=0,"Aussenlager","teilweise")))))</f>
        <v>Lift</v>
      </c>
      <c r="BE449" s="55" t="str">
        <f aca="false">IF(AP449&lt;=0,"",IF(BY449="Aussen","Aussenlager",IF(BY449="-","Nicht im Lift",IF(AU449&gt;=1,"Lift",IF(AU449&lt;=0,"Aussenlager","teilweise")))))</f>
        <v>Lift</v>
      </c>
      <c r="BF449" s="55" t="str">
        <f aca="false">IF(AX449&lt;=0,"",IF(BY449="Aussen","Aussenlager",IF(BY449="-","Nicht im Lift",IF(BC449&gt;=1,"Lift",IF(BC449&lt;=0,"Aussenlager","teilweise")))))</f>
        <v>Lift</v>
      </c>
      <c r="BG449" s="55" t="str">
        <f aca="false">IF(A449="","",IF(BP449=1,"Neu; ","")&amp;IF(AND(BP449=0,BK449&lt;0),"negativer Bestand (Export "&amp;BK449&amp;"); ","")&amp;IF(J449&lt;=0,"Kein Verbrauch; ","")&amp;IF(CH449&gt;0,"Lift "&amp;W449&amp;" lt. Liftbericht (Fach "&amp;X449&amp;" Stk); ",IF(BU449=1,"Gebinde geschätzt ("&amp;T449&amp;"); ",IF(BT449=1,"Lose – Tablare geschätzt; ","")))&amp;IF(H449&gt;AR449,"Überbestand "&amp;ROUND(H449-AR449,0)&amp;" Stk / CHF "&amp;ROUND((H449-AR449)*G449,0)&amp;"; ","")&amp;IF(AND(CA449=1,CB449&lt;CC449),"MAX &lt; MB+LG; ","")&amp;IF(AND(CG449&gt;0,CF449*10&gt;CG449),"zu hoch für Tablar; ","")&amp;IF(AND(BP449=0,OR(CA449=1,AA449&lt;&gt;"",U449&lt;&gt;"",V449&lt;&gt;"",AB449&lt;&gt;"")),"manuell übersteuert; ","")&amp;IF(AND(BT449=0,R449=0),"Gebinde unbekannt / Stellmass fehlt; ","")&amp;IF(AND(BT449=0,N(V449)&lt;=0,N(Q449)&lt;=0),"Menge pro Gebinde fehlt (Ist = 1 Gebinde); ","")&amp;BO449)</f>
        <v/>
      </c>
      <c r="BH449" s="55"/>
      <c r="BI449" s="55"/>
      <c r="BJ449" s="62"/>
      <c r="BK449" s="57" t="n">
        <v>62</v>
      </c>
      <c r="BL449" s="57" t="n">
        <v>139</v>
      </c>
      <c r="BM449" s="56" t="n">
        <v>69.18</v>
      </c>
      <c r="BN449" s="57" t="n">
        <v>233</v>
      </c>
      <c r="BO449" s="55"/>
      <c r="BP449" s="60" t="n">
        <v>0</v>
      </c>
      <c r="BQ449" s="60" t="n">
        <v>449</v>
      </c>
      <c r="BR449" s="55" t="str">
        <f aca="false">IF(U449&lt;&gt;"",UPPER(TRIM(U449)),IF(BU449=1,UPPER(VLOOKUP(T449,Parameter!$I$27:$K$29,2,0)),IF(P449="","LOSE",P449)))</f>
        <v>S41</v>
      </c>
      <c r="BS449" s="57" t="n">
        <f aca="false">IF(BR449="LOSE",1,IF(N(V449)&gt;0,V449,IF(BU449=1,MAX(1,N(VLOOKUP(T449,Parameter!$I$27:$K$29,3,0)),H449,N(N449)),IF(N(Q449)&gt;0,Q449,MAX(1,H449)))))</f>
        <v>178</v>
      </c>
      <c r="BT449" s="60" t="n">
        <f aca="false">IF(BR449="LOSE",1,0)</f>
        <v>0</v>
      </c>
      <c r="BU449" s="60" t="n">
        <f aca="false">IF(AND(U449="",OR(P449="",P449="LOSE"),T449&lt;&gt;"",N(S449)&lt;=0,ISNUMBER(MATCH(T449,Parameter!$I$27:$I$29,0))),1,0)</f>
        <v>0</v>
      </c>
      <c r="BV449" s="55" t="str">
        <f aca="false">IF(AND(Parameter!$B$19="Ja",E449&lt;&gt;"",ISNUMBER(MATCH(E449,Parameter!$I$35:$I$52,0))),VLOOKUP(E449,Parameter!$I$35:$J$52,2,0),IFERROR(VLOOKUP(D449,Parameter!$A$35:$C$64,2,0),"Nein"))</f>
        <v>2+3</v>
      </c>
      <c r="BW449" s="59" t="n">
        <f aca="false">IF(BT449=0,0,IF(N(S449)&gt;0,S449,IFERROR(VLOOKUP(D449,Parameter!$A$35:$C$64,3,0)+0,0)))</f>
        <v>0</v>
      </c>
      <c r="BX449" s="55" t="n">
        <f aca="false">IF(AA449&lt;&gt;"",AA449,Z449)</f>
        <v>3</v>
      </c>
      <c r="BY449" s="55" t="str">
        <f aca="false">IF(BX449=1,"L1",IF(OR(BX449=2,BX449=3),"L23",IF(BX449="Aussen","Aussen","-")))</f>
        <v>L23</v>
      </c>
      <c r="BZ449" s="66" t="n">
        <f aca="false">IF(N(AB449)&gt;0,AB449,0)</f>
        <v>0</v>
      </c>
      <c r="CA449" s="60" t="n">
        <f aca="false">IF(ISNUMBER(AE449),1,0)</f>
        <v>0</v>
      </c>
      <c r="CB449" s="57" t="n">
        <f aca="false">N(AE449)</f>
        <v>0</v>
      </c>
      <c r="CC449" s="57" t="n">
        <f aca="false">N(M449)+N(N449)</f>
        <v>244</v>
      </c>
      <c r="CD449" s="57" t="n">
        <f aca="false">ROUNDUP(H449/BS449,0)</f>
        <v>2</v>
      </c>
      <c r="CE449" s="57" t="n">
        <f aca="false">ROUNDUP(CB449/BS449,0)</f>
        <v>0</v>
      </c>
      <c r="CF449" s="60" t="n">
        <f aca="false">IF(BT449=1,0,IFERROR(VLOOKUP(BR449,'Gebinde-Kategorie'!$A$5:$M$45,5,0)+0,0))</f>
        <v>11</v>
      </c>
      <c r="CG449" s="60" t="n">
        <f aca="false">IFERROR(IF(OR(BX449=1,BX449=2,BX449=3),N(INDEX(Parameter!$I$5:$I$7,BX449)),0),0)</f>
        <v>0</v>
      </c>
      <c r="CH449" s="59" t="n">
        <f aca="false">IF(AND(Parameter!$B$21="Ja",ISNUMBER(W449),N(X449)&gt;0),IFERROR(N(INDEX(Parameter!$L$5:$L$7,W449))*INDEX(Parameter!$E$5:$E$7,W449)*X449/SUMIFS($X$7:$X$1843,$W$7:$W$1843,W449),0),0)</f>
        <v>0</v>
      </c>
    </row>
    <row r="450" customFormat="false" ht="15" hidden="false" customHeight="false" outlineLevel="0" collapsed="false">
      <c r="A450" s="55" t="s">
        <v>1018</v>
      </c>
      <c r="B450" s="55" t="s">
        <v>468</v>
      </c>
      <c r="C450" s="55" t="s">
        <v>164</v>
      </c>
      <c r="D450" s="55" t="s">
        <v>184</v>
      </c>
      <c r="E450" s="55" t="s">
        <v>185</v>
      </c>
      <c r="F450" s="55" t="s">
        <v>218</v>
      </c>
      <c r="G450" s="56" t="n">
        <v>0.16</v>
      </c>
      <c r="H450" s="57" t="n">
        <f aca="false">MAX(0,IF(AND(Parameter!$B$21="Ja",ISNUMBER(Y450)),Y450,IF(Parameter!$B$20="Jahresanfang 2025 + Export",BL450+BK450,BK450)))</f>
        <v>570</v>
      </c>
      <c r="I450" s="57" t="n">
        <f aca="false">H450*G450</f>
        <v>91.2</v>
      </c>
      <c r="J450" s="57" t="n">
        <f aca="false">BN450*Parameter!$B$18</f>
        <v>790</v>
      </c>
      <c r="K450" s="58" t="n">
        <v>186</v>
      </c>
      <c r="L450" s="59" t="n">
        <v>4.24731182795699</v>
      </c>
      <c r="M450" s="57" t="n">
        <v>30</v>
      </c>
      <c r="N450" s="57" t="n">
        <v>790</v>
      </c>
      <c r="O450" s="60" t="n">
        <v>14</v>
      </c>
      <c r="P450" s="55" t="s">
        <v>401</v>
      </c>
      <c r="Q450" s="57" t="n">
        <v>262</v>
      </c>
      <c r="R450" s="60" t="n">
        <f aca="false">IF(BT450=1,0,IFERROR(VLOOKUP(BR450,'Gebinde-Kategorie'!$A$5:$M$45,13,0)+0,0))</f>
        <v>414</v>
      </c>
      <c r="S450" s="61"/>
      <c r="T450" s="62"/>
      <c r="U450" s="62"/>
      <c r="V450" s="62"/>
      <c r="W450" s="55"/>
      <c r="X450" s="57"/>
      <c r="Y450" s="57"/>
      <c r="Z450" s="55" t="n">
        <f aca="false">IF(A450="","",IF(AND(Parameter!$B$21="Ja",ISNUMBER(W450)),W450,IF(BV450="2+3",IF(ISNUMBER(SEARCH("grosser Artikel",BO450)),2,IFERROR(VLOOKUP(BR450,Parameter!$F$35:$G$64,2,0),2)),IF(OR(BV450="Nein",BV450=""),"-",BV450))))</f>
        <v>3</v>
      </c>
      <c r="AA450" s="62"/>
      <c r="AB450" s="63"/>
      <c r="AC450" s="57" t="n">
        <f aca="false">AR450</f>
        <v>1048</v>
      </c>
      <c r="AD450" s="57" t="n">
        <f aca="false">MAX(AR450,H450)</f>
        <v>1048</v>
      </c>
      <c r="AE450" s="64"/>
      <c r="AF450" s="57" t="n">
        <f aca="false">IF(LEFT(Cockpit!$C$5,1)="A",H450,IF(CA450=1,CB450,IF(LEFT(Cockpit!$C$5,1)="B",AJ450,MAX(AJ450,H450))))</f>
        <v>570</v>
      </c>
      <c r="AG450" s="57" t="n">
        <f aca="false">IF(BT450=1,0,ROUNDUP(AF450/BS450,0))</f>
        <v>3</v>
      </c>
      <c r="AH450" s="59" t="n">
        <f aca="false">IF(CH450&gt;0,CH450*MAX(1,AF450/X450),IF(BT450=1,IF(AF450&lt;=0,0,BW450*MAX(1,IF(H450&gt;0,AF450/H450,1))),IF(R450&gt;0,AG450/R450,0))/MAX(0.1,N(Parameter!$M$21)))</f>
        <v>0.0072463768115942</v>
      </c>
      <c r="AI450" s="57" t="n">
        <f aca="false">AF450*G450</f>
        <v>91.2</v>
      </c>
      <c r="AJ450" s="57" t="n">
        <f aca="false">ROUNDUP(MAX(J450/IF(BZ450&gt;0,BZ450,MAX(0.1,N(Cockpit!$C$6))),CC450)/BS450,0)*BS450</f>
        <v>1048</v>
      </c>
      <c r="AK450" s="58" t="n">
        <f aca="false">IF(AH450&gt;0,J450/AH450,-1)</f>
        <v>109020</v>
      </c>
      <c r="AL450" s="58" t="n">
        <f aca="false">IF(AND(OR(BY450="L1",BY450="L23"),AH450&gt;0),SUMIFS($AH$7:$AH$1843,$BY$7:$BY$1843,BY450,$AK$7:$AK$1843,"&gt;"&amp;AK450)+SUMIFS($AH$7:$AH$1843,$BY$7:$BY$1843,BY450,$AK$7:$AK$1843,AK450,$BQ$7:$BQ$1843,"&lt;="&amp;BQ450),"")</f>
        <v>0.306898415594068</v>
      </c>
      <c r="AM450" s="65" t="n">
        <f aca="false">IF(AL450="",0,MAX(0,MIN(1,(IF(BY450="L1",Parameter!$E$5,Parameter!$E$6+Parameter!$E$7)-(AL450-AH450))/AH450)))</f>
        <v>1</v>
      </c>
      <c r="AN450" s="57" t="n">
        <f aca="false">IF(LEFT(Cockpit!$I$5,1)="A",H450,IF(CA450=1,CB450,IF(LEFT(Cockpit!$I$5,1)="B",AR450,MAX(AR450,H450))))</f>
        <v>1048</v>
      </c>
      <c r="AO450" s="57" t="n">
        <f aca="false">IF(BT450=1,0,ROUNDUP(AN450/BS450,0))</f>
        <v>4</v>
      </c>
      <c r="AP450" s="59" t="n">
        <f aca="false">IF(CH450&gt;0,CH450*MAX(1,AN450/X450),IF(BT450=1,IF(AN450&lt;=0,0,BW450*MAX(1,IF(H450&gt;0,AN450/H450,1))),IF(R450&gt;0,AO450/R450,0))/MAX(0.1,N(Parameter!$M$21)))</f>
        <v>0.00966183574879227</v>
      </c>
      <c r="AQ450" s="57" t="n">
        <f aca="false">AN450*G450</f>
        <v>167.68</v>
      </c>
      <c r="AR450" s="57" t="n">
        <f aca="false">ROUNDUP(MAX(J450/IF(BZ450&gt;0,BZ450,MAX(0.1,N(Cockpit!$I$6))),CC450)/BS450,0)*BS450</f>
        <v>1048</v>
      </c>
      <c r="AS450" s="58" t="n">
        <f aca="false">IF(AP450&gt;0,J450/AP450,-1)</f>
        <v>81765</v>
      </c>
      <c r="AT450" s="58" t="n">
        <f aca="false">IF(AND(OR(BY450="L1",BY450="L23"),AP450&gt;0),SUMIFS($AP$7:$AP$1843,$BY$7:$BY$1843,BY450,$AS$7:$AS$1843,"&gt;"&amp;AS450)+SUMIFS($AP$7:$AP$1843,$BY$7:$BY$1843,BY450,$AS$7:$AS$1843,AS450,$BQ$7:$BQ$1843,"&lt;="&amp;BQ450),"")</f>
        <v>0.422088780784433</v>
      </c>
      <c r="AU450" s="65" t="n">
        <f aca="false">IF(AT450="",0,MAX(0,MIN(1,(IF(BY450="L1",Parameter!$E$5,Parameter!$E$6+Parameter!$E$7)-(AT450-AP450))/AP450)))</f>
        <v>1</v>
      </c>
      <c r="AV450" s="57" t="n">
        <f aca="false">IF(LEFT(Cockpit!$O$5,1)="A",H450,IF(CA450=1,CB450,IF(LEFT(Cockpit!$O$5,1)="B",AZ450,MAX(AZ450,H450))))</f>
        <v>1048</v>
      </c>
      <c r="AW450" s="57" t="n">
        <f aca="false">IF(BT450=1,0,ROUNDUP(AV450/BS450,0))</f>
        <v>4</v>
      </c>
      <c r="AX450" s="59" t="n">
        <f aca="false">IF(CH450&gt;0,CH450*MAX(1,AV450/X450),IF(BT450=1,IF(AV450&lt;=0,0,BW450*MAX(1,IF(H450&gt;0,AV450/H450,1))),IF(R450&gt;0,AW450/R450,0))/MAX(0.1,N(Parameter!$M$21)))</f>
        <v>0.00966183574879227</v>
      </c>
      <c r="AY450" s="57" t="n">
        <f aca="false">AV450*G450</f>
        <v>167.68</v>
      </c>
      <c r="AZ450" s="57" t="n">
        <f aca="false">ROUNDUP(MAX(J450/IF(BZ450&gt;0,BZ450,MAX(0.1,N(Cockpit!$O$6))),CC450)/BS450,0)*BS450</f>
        <v>1048</v>
      </c>
      <c r="BA450" s="58" t="n">
        <f aca="false">IF(AX450&gt;0,J450/AX450,-1)</f>
        <v>81765</v>
      </c>
      <c r="BB450" s="58" t="n">
        <f aca="false">IF(AND(OR(BY450="L1",BY450="L23"),AX450&gt;0),SUMIFS($AX$7:$AX$1843,$BY$7:$BY$1843,BY450,$BA$7:$BA$1843,"&gt;"&amp;BA450)+SUMIFS($AX$7:$AX$1843,$BY$7:$BY$1843,BY450,$BA$7:$BA$1843,BA450,$BQ$7:$BQ$1843,"&lt;="&amp;BQ450),"")</f>
        <v>0.575934934630587</v>
      </c>
      <c r="BC450" s="65" t="n">
        <f aca="false">IF(BB450="",0,MAX(0,MIN(1,(IF(BY450="L1",Parameter!$E$5,Parameter!$E$6+Parameter!$E$7)-(BB450-AX450))/AX450)))</f>
        <v>1</v>
      </c>
      <c r="BD450" s="55" t="str">
        <f aca="false">IF(AH450&lt;=0,"",IF(BY450="Aussen","Aussenlager",IF(BY450="-","Nicht im Lift",IF(AM450&gt;=1,"Lift",IF(AM450&lt;=0,"Aussenlager","teilweise")))))</f>
        <v>Lift</v>
      </c>
      <c r="BE450" s="55" t="str">
        <f aca="false">IF(AP450&lt;=0,"",IF(BY450="Aussen","Aussenlager",IF(BY450="-","Nicht im Lift",IF(AU450&gt;=1,"Lift",IF(AU450&lt;=0,"Aussenlager","teilweise")))))</f>
        <v>Lift</v>
      </c>
      <c r="BF450" s="55" t="str">
        <f aca="false">IF(AX450&lt;=0,"",IF(BY450="Aussen","Aussenlager",IF(BY450="-","Nicht im Lift",IF(BC450&gt;=1,"Lift",IF(BC450&lt;=0,"Aussenlager","teilweise")))))</f>
        <v>Lift</v>
      </c>
      <c r="BG450" s="55" t="str">
        <f aca="false">IF(A450="","",IF(BP450=1,"Neu; ","")&amp;IF(AND(BP450=0,BK450&lt;0),"negativer Bestand (Export "&amp;BK450&amp;"); ","")&amp;IF(J450&lt;=0,"Kein Verbrauch; ","")&amp;IF(CH450&gt;0,"Lift "&amp;W450&amp;" lt. Liftbericht (Fach "&amp;X450&amp;" Stk); ",IF(BU450=1,"Gebinde geschätzt ("&amp;T450&amp;"); ",IF(BT450=1,"Lose – Tablare geschätzt; ","")))&amp;IF(H450&gt;AR450,"Überbestand "&amp;ROUND(H450-AR450,0)&amp;" Stk / CHF "&amp;ROUND((H450-AR450)*G450,0)&amp;"; ","")&amp;IF(AND(CA450=1,CB450&lt;CC450),"MAX &lt; MB+LG; ","")&amp;IF(AND(CG450&gt;0,CF450*10&gt;CG450),"zu hoch für Tablar; ","")&amp;IF(AND(BP450=0,OR(CA450=1,AA450&lt;&gt;"",U450&lt;&gt;"",V450&lt;&gt;"",AB450&lt;&gt;"")),"manuell übersteuert; ","")&amp;IF(AND(BT450=0,R450=0),"Gebinde unbekannt / Stellmass fehlt; ","")&amp;IF(AND(BT450=0,N(V450)&lt;=0,N(Q450)&lt;=0),"Menge pro Gebinde fehlt (Ist = 1 Gebinde); ","")&amp;BO450)</f>
        <v/>
      </c>
      <c r="BH450" s="55"/>
      <c r="BI450" s="55"/>
      <c r="BJ450" s="62"/>
      <c r="BK450" s="57" t="n">
        <v>450</v>
      </c>
      <c r="BL450" s="57" t="n">
        <v>120</v>
      </c>
      <c r="BM450" s="56" t="n">
        <v>67</v>
      </c>
      <c r="BN450" s="57" t="n">
        <v>790</v>
      </c>
      <c r="BO450" s="55"/>
      <c r="BP450" s="60" t="n">
        <v>0</v>
      </c>
      <c r="BQ450" s="60" t="n">
        <v>450</v>
      </c>
      <c r="BR450" s="55" t="str">
        <f aca="false">IF(U450&lt;&gt;"",UPPER(TRIM(U450)),IF(BU450=1,UPPER(VLOOKUP(T450,Parameter!$I$27:$K$29,2,0)),IF(P450="","LOSE",P450)))</f>
        <v>S21</v>
      </c>
      <c r="BS450" s="57" t="n">
        <f aca="false">IF(BR450="LOSE",1,IF(N(V450)&gt;0,V450,IF(BU450=1,MAX(1,N(VLOOKUP(T450,Parameter!$I$27:$K$29,3,0)),H450,N(N450)),IF(N(Q450)&gt;0,Q450,MAX(1,H450)))))</f>
        <v>262</v>
      </c>
      <c r="BT450" s="60" t="n">
        <f aca="false">IF(BR450="LOSE",1,0)</f>
        <v>0</v>
      </c>
      <c r="BU450" s="60" t="n">
        <f aca="false">IF(AND(U450="",OR(P450="",P450="LOSE"),T450&lt;&gt;"",N(S450)&lt;=0,ISNUMBER(MATCH(T450,Parameter!$I$27:$I$29,0))),1,0)</f>
        <v>0</v>
      </c>
      <c r="BV450" s="55" t="str">
        <f aca="false">IF(AND(Parameter!$B$19="Ja",E450&lt;&gt;"",ISNUMBER(MATCH(E450,Parameter!$I$35:$I$52,0))),VLOOKUP(E450,Parameter!$I$35:$J$52,2,0),IFERROR(VLOOKUP(D450,Parameter!$A$35:$C$64,2,0),"Nein"))</f>
        <v>2+3</v>
      </c>
      <c r="BW450" s="59" t="n">
        <f aca="false">IF(BT450=0,0,IF(N(S450)&gt;0,S450,IFERROR(VLOOKUP(D450,Parameter!$A$35:$C$64,3,0)+0,0)))</f>
        <v>0</v>
      </c>
      <c r="BX450" s="55" t="n">
        <f aca="false">IF(AA450&lt;&gt;"",AA450,Z450)</f>
        <v>3</v>
      </c>
      <c r="BY450" s="55" t="str">
        <f aca="false">IF(BX450=1,"L1",IF(OR(BX450=2,BX450=3),"L23",IF(BX450="Aussen","Aussen","-")))</f>
        <v>L23</v>
      </c>
      <c r="BZ450" s="66" t="n">
        <f aca="false">IF(N(AB450)&gt;0,AB450,0)</f>
        <v>0</v>
      </c>
      <c r="CA450" s="60" t="n">
        <f aca="false">IF(ISNUMBER(AE450),1,0)</f>
        <v>0</v>
      </c>
      <c r="CB450" s="57" t="n">
        <f aca="false">N(AE450)</f>
        <v>0</v>
      </c>
      <c r="CC450" s="57" t="n">
        <f aca="false">N(M450)+N(N450)</f>
        <v>820</v>
      </c>
      <c r="CD450" s="57" t="n">
        <f aca="false">ROUNDUP(H450/BS450,0)</f>
        <v>3</v>
      </c>
      <c r="CE450" s="57" t="n">
        <f aca="false">ROUNDUP(CB450/BS450,0)</f>
        <v>0</v>
      </c>
      <c r="CF450" s="60" t="n">
        <f aca="false">IF(BT450=1,0,IFERROR(VLOOKUP(BR450,'Gebinde-Kategorie'!$A$5:$M$45,5,0)+0,0))</f>
        <v>8</v>
      </c>
      <c r="CG450" s="60" t="n">
        <f aca="false">IFERROR(IF(OR(BX450=1,BX450=2,BX450=3),N(INDEX(Parameter!$I$5:$I$7,BX450)),0),0)</f>
        <v>0</v>
      </c>
      <c r="CH450" s="59" t="n">
        <f aca="false">IF(AND(Parameter!$B$21="Ja",ISNUMBER(W450),N(X450)&gt;0),IFERROR(N(INDEX(Parameter!$L$5:$L$7,W450))*INDEX(Parameter!$E$5:$E$7,W450)*X450/SUMIFS($X$7:$X$1843,$W$7:$W$1843,W450),0),0)</f>
        <v>0</v>
      </c>
    </row>
    <row r="451" customFormat="false" ht="15" hidden="false" customHeight="false" outlineLevel="0" collapsed="false">
      <c r="A451" s="55" t="s">
        <v>1019</v>
      </c>
      <c r="B451" s="55" t="s">
        <v>1020</v>
      </c>
      <c r="C451" s="55" t="s">
        <v>164</v>
      </c>
      <c r="D451" s="55" t="s">
        <v>173</v>
      </c>
      <c r="E451" s="55"/>
      <c r="F451" s="55" t="s">
        <v>218</v>
      </c>
      <c r="G451" s="56" t="n">
        <v>33.5</v>
      </c>
      <c r="H451" s="57" t="n">
        <f aca="false">MAX(0,IF(AND(Parameter!$B$21="Ja",ISNUMBER(Y451)),Y451,IF(Parameter!$B$20="Jahresanfang 2025 + Export",BL451+BK451,BK451)))</f>
        <v>16</v>
      </c>
      <c r="I451" s="57" t="n">
        <f aca="false">H451*G451</f>
        <v>536</v>
      </c>
      <c r="J451" s="57" t="n">
        <f aca="false">BN451*Parameter!$B$18</f>
        <v>8</v>
      </c>
      <c r="K451" s="58" t="n">
        <v>17.5</v>
      </c>
      <c r="L451" s="59" t="n">
        <v>0.457142857142857</v>
      </c>
      <c r="M451" s="57" t="n">
        <v>1</v>
      </c>
      <c r="N451" s="57" t="n">
        <v>10</v>
      </c>
      <c r="O451" s="60" t="n">
        <v>56</v>
      </c>
      <c r="P451" s="55" t="s">
        <v>223</v>
      </c>
      <c r="Q451" s="57" t="n">
        <v>24</v>
      </c>
      <c r="R451" s="60" t="n">
        <f aca="false">IF(BT451=1,0,IFERROR(VLOOKUP(BR451,'Gebinde-Kategorie'!$A$5:$M$45,13,0)+0,0))</f>
        <v>3</v>
      </c>
      <c r="S451" s="61"/>
      <c r="T451" s="62"/>
      <c r="U451" s="62"/>
      <c r="V451" s="62"/>
      <c r="W451" s="55"/>
      <c r="X451" s="57"/>
      <c r="Y451" s="57"/>
      <c r="Z451" s="55" t="n">
        <f aca="false">IF(A451="","",IF(AND(Parameter!$B$21="Ja",ISNUMBER(W451)),W451,IF(BV451="2+3",IF(ISNUMBER(SEARCH("grosser Artikel",BO451)),2,IFERROR(VLOOKUP(BR451,Parameter!$F$35:$G$64,2,0),2)),IF(OR(BV451="Nein",BV451=""),"-",BV451))))</f>
        <v>2</v>
      </c>
      <c r="AA451" s="62"/>
      <c r="AB451" s="63"/>
      <c r="AC451" s="57" t="n">
        <f aca="false">AR451</f>
        <v>24</v>
      </c>
      <c r="AD451" s="57" t="n">
        <f aca="false">MAX(AR451,H451)</f>
        <v>24</v>
      </c>
      <c r="AE451" s="64"/>
      <c r="AF451" s="57" t="n">
        <f aca="false">IF(LEFT(Cockpit!$C$5,1)="A",H451,IF(CA451=1,CB451,IF(LEFT(Cockpit!$C$5,1)="B",AJ451,MAX(AJ451,H451))))</f>
        <v>16</v>
      </c>
      <c r="AG451" s="57" t="n">
        <f aca="false">IF(BT451=1,0,ROUNDUP(AF451/BS451,0))</f>
        <v>1</v>
      </c>
      <c r="AH451" s="59" t="n">
        <f aca="false">IF(CH451&gt;0,CH451*MAX(1,AF451/X451),IF(BT451=1,IF(AF451&lt;=0,0,BW451*MAX(1,IF(H451&gt;0,AF451/H451,1))),IF(R451&gt;0,AG451/R451,0))/MAX(0.1,N(Parameter!$M$21)))</f>
        <v>0.333333333333333</v>
      </c>
      <c r="AI451" s="57" t="n">
        <f aca="false">AF451*G451</f>
        <v>536</v>
      </c>
      <c r="AJ451" s="57" t="n">
        <f aca="false">ROUNDUP(MAX(J451/IF(BZ451&gt;0,BZ451,MAX(0.1,N(Cockpit!$C$6))),CC451)/BS451,0)*BS451</f>
        <v>24</v>
      </c>
      <c r="AK451" s="58" t="n">
        <f aca="false">IF(AH451&gt;0,J451/AH451,-1)</f>
        <v>24</v>
      </c>
      <c r="AL451" s="58" t="n">
        <f aca="false">IF(AND(OR(BY451="L1",BY451="L23"),AH451&gt;0),SUMIFS($AH$7:$AH$1843,$BY$7:$BY$1843,BY451,$AK$7:$AK$1843,"&gt;"&amp;AK451)+SUMIFS($AH$7:$AH$1843,$BY$7:$BY$1843,BY451,$AK$7:$AK$1843,AK451,$BQ$7:$BQ$1843,"&lt;="&amp;BQ451),"")</f>
        <v>49.5048478091956</v>
      </c>
      <c r="AM451" s="65" t="n">
        <f aca="false">IF(AL451="",0,MAX(0,MIN(1,(IF(BY451="L1",Parameter!$E$5,Parameter!$E$6+Parameter!$E$7)-(AL451-AH451))/AH451)))</f>
        <v>1</v>
      </c>
      <c r="AN451" s="57" t="n">
        <f aca="false">IF(LEFT(Cockpit!$I$5,1)="A",H451,IF(CA451=1,CB451,IF(LEFT(Cockpit!$I$5,1)="B",AR451,MAX(AR451,H451))))</f>
        <v>24</v>
      </c>
      <c r="AO451" s="57" t="n">
        <f aca="false">IF(BT451=1,0,ROUNDUP(AN451/BS451,0))</f>
        <v>1</v>
      </c>
      <c r="AP451" s="59" t="n">
        <f aca="false">IF(CH451&gt;0,CH451*MAX(1,AN451/X451),IF(BT451=1,IF(AN451&lt;=0,0,BW451*MAX(1,IF(H451&gt;0,AN451/H451,1))),IF(R451&gt;0,AO451/R451,0))/MAX(0.1,N(Parameter!$M$21)))</f>
        <v>0.333333333333333</v>
      </c>
      <c r="AQ451" s="57" t="n">
        <f aca="false">AN451*G451</f>
        <v>804</v>
      </c>
      <c r="AR451" s="57" t="n">
        <f aca="false">ROUNDUP(MAX(J451/IF(BZ451&gt;0,BZ451,MAX(0.1,N(Cockpit!$I$6))),CC451)/BS451,0)*BS451</f>
        <v>24</v>
      </c>
      <c r="AS451" s="58" t="n">
        <f aca="false">IF(AP451&gt;0,J451/AP451,-1)</f>
        <v>24</v>
      </c>
      <c r="AT451" s="58" t="n">
        <f aca="false">IF(AND(OR(BY451="L1",BY451="L23"),AP451&gt;0),SUMIFS($AP$7:$AP$1843,$BY$7:$BY$1843,BY451,$AS$7:$AS$1843,"&gt;"&amp;AS451)+SUMIFS($AP$7:$AP$1843,$BY$7:$BY$1843,BY451,$AS$7:$AS$1843,AS451,$BQ$7:$BQ$1843,"&lt;="&amp;BQ451),"")</f>
        <v>74.6789719941894</v>
      </c>
      <c r="AU451" s="65" t="n">
        <f aca="false">IF(AT451="",0,MAX(0,MIN(1,(IF(BY451="L1",Parameter!$E$5,Parameter!$E$6+Parameter!$E$7)-(AT451-AP451))/AP451)))</f>
        <v>1</v>
      </c>
      <c r="AV451" s="57" t="n">
        <f aca="false">IF(LEFT(Cockpit!$O$5,1)="A",H451,IF(CA451=1,CB451,IF(LEFT(Cockpit!$O$5,1)="B",AZ451,MAX(AZ451,H451))))</f>
        <v>24</v>
      </c>
      <c r="AW451" s="57" t="n">
        <f aca="false">IF(BT451=1,0,ROUNDUP(AV451/BS451,0))</f>
        <v>1</v>
      </c>
      <c r="AX451" s="59" t="n">
        <f aca="false">IF(CH451&gt;0,CH451*MAX(1,AV451/X451),IF(BT451=1,IF(AV451&lt;=0,0,BW451*MAX(1,IF(H451&gt;0,AV451/H451,1))),IF(R451&gt;0,AW451/R451,0))/MAX(0.1,N(Parameter!$M$21)))</f>
        <v>0.333333333333333</v>
      </c>
      <c r="AY451" s="57" t="n">
        <f aca="false">AV451*G451</f>
        <v>804</v>
      </c>
      <c r="AZ451" s="57" t="n">
        <f aca="false">ROUNDUP(MAX(J451/IF(BZ451&gt;0,BZ451,MAX(0.1,N(Cockpit!$O$6))),CC451)/BS451,0)*BS451</f>
        <v>24</v>
      </c>
      <c r="BA451" s="58" t="n">
        <f aca="false">IF(AX451&gt;0,J451/AX451,-1)</f>
        <v>24</v>
      </c>
      <c r="BB451" s="58" t="n">
        <f aca="false">IF(AND(OR(BY451="L1",BY451="L23"),AX451&gt;0),SUMIFS($AX$7:$AX$1843,$BY$7:$BY$1843,BY451,$BA$7:$BA$1843,"&gt;"&amp;BA451)+SUMIFS($AX$7:$AX$1843,$BY$7:$BY$1843,BY451,$BA$7:$BA$1843,BA451,$BQ$7:$BQ$1843,"&lt;="&amp;BQ451),"")</f>
        <v>70.1754754906929</v>
      </c>
      <c r="BC451" s="65" t="n">
        <f aca="false">IF(BB451="",0,MAX(0,MIN(1,(IF(BY451="L1",Parameter!$E$5,Parameter!$E$6+Parameter!$E$7)-(BB451-AX451))/AX451)))</f>
        <v>1</v>
      </c>
      <c r="BD451" s="55" t="str">
        <f aca="false">IF(AH451&lt;=0,"",IF(BY451="Aussen","Aussenlager",IF(BY451="-","Nicht im Lift",IF(AM451&gt;=1,"Lift",IF(AM451&lt;=0,"Aussenlager","teilweise")))))</f>
        <v>Lift</v>
      </c>
      <c r="BE451" s="55" t="str">
        <f aca="false">IF(AP451&lt;=0,"",IF(BY451="Aussen","Aussenlager",IF(BY451="-","Nicht im Lift",IF(AU451&gt;=1,"Lift",IF(AU451&lt;=0,"Aussenlager","teilweise")))))</f>
        <v>Lift</v>
      </c>
      <c r="BF451" s="55" t="str">
        <f aca="false">IF(AX451&lt;=0,"",IF(BY451="Aussen","Aussenlager",IF(BY451="-","Nicht im Lift",IF(BC451&gt;=1,"Lift",IF(BC451&lt;=0,"Aussenlager","teilweise")))))</f>
        <v>Lift</v>
      </c>
      <c r="BG451" s="55" t="str">
        <f aca="false">IF(A451="","",IF(BP451=1,"Neu; ","")&amp;IF(AND(BP451=0,BK451&lt;0),"negativer Bestand (Export "&amp;BK451&amp;"); ","")&amp;IF(J451&lt;=0,"Kein Verbrauch; ","")&amp;IF(CH451&gt;0,"Lift "&amp;W451&amp;" lt. Liftbericht (Fach "&amp;X451&amp;" Stk); ",IF(BU451=1,"Gebinde geschätzt ("&amp;T451&amp;"); ",IF(BT451=1,"Lose – Tablare geschätzt; ","")))&amp;IF(H451&gt;AR451,"Überbestand "&amp;ROUND(H451-AR451,0)&amp;" Stk / CHF "&amp;ROUND((H451-AR451)*G451,0)&amp;"; ","")&amp;IF(AND(CA451=1,CB451&lt;CC451),"MAX &lt; MB+LG; ","")&amp;IF(AND(CG451&gt;0,CF451*10&gt;CG451),"zu hoch für Tablar; ","")&amp;IF(AND(BP451=0,OR(CA451=1,AA451&lt;&gt;"",U451&lt;&gt;"",V451&lt;&gt;"",AB451&lt;&gt;"")),"manuell übersteuert; ","")&amp;IF(AND(BT451=0,R451=0),"Gebinde unbekannt / Stellmass fehlt; ","")&amp;IF(AND(BT451=0,N(V451)&lt;=0,N(Q451)&lt;=0),"Menge pro Gebinde fehlt (Ist = 1 Gebinde); ","")&amp;BO451)</f>
        <v/>
      </c>
      <c r="BH451" s="55"/>
      <c r="BI451" s="55"/>
      <c r="BJ451" s="62"/>
      <c r="BK451" s="57" t="n">
        <v>2</v>
      </c>
      <c r="BL451" s="57" t="n">
        <v>14</v>
      </c>
      <c r="BM451" s="56" t="n">
        <v>67</v>
      </c>
      <c r="BN451" s="57" t="n">
        <v>8</v>
      </c>
      <c r="BO451" s="55"/>
      <c r="BP451" s="60" t="n">
        <v>0</v>
      </c>
      <c r="BQ451" s="60" t="n">
        <v>451</v>
      </c>
      <c r="BR451" s="55" t="str">
        <f aca="false">IF(U451&lt;&gt;"",UPPER(TRIM(U451)),IF(BU451=1,UPPER(VLOOKUP(T451,Parameter!$I$27:$K$29,2,0)),IF(P451="","LOSE",P451)))</f>
        <v>S81</v>
      </c>
      <c r="BS451" s="57" t="n">
        <f aca="false">IF(BR451="LOSE",1,IF(N(V451)&gt;0,V451,IF(BU451=1,MAX(1,N(VLOOKUP(T451,Parameter!$I$27:$K$29,3,0)),H451,N(N451)),IF(N(Q451)&gt;0,Q451,MAX(1,H451)))))</f>
        <v>24</v>
      </c>
      <c r="BT451" s="60" t="n">
        <f aca="false">IF(BR451="LOSE",1,0)</f>
        <v>0</v>
      </c>
      <c r="BU451" s="60" t="n">
        <f aca="false">IF(AND(U451="",OR(P451="",P451="LOSE"),T451&lt;&gt;"",N(S451)&lt;=0,ISNUMBER(MATCH(T451,Parameter!$I$27:$I$29,0))),1,0)</f>
        <v>0</v>
      </c>
      <c r="BV451" s="55" t="str">
        <f aca="false">IF(AND(Parameter!$B$19="Ja",E451&lt;&gt;"",ISNUMBER(MATCH(E451,Parameter!$I$35:$I$52,0))),VLOOKUP(E451,Parameter!$I$35:$J$52,2,0),IFERROR(VLOOKUP(D451,Parameter!$A$35:$C$64,2,0),"Nein"))</f>
        <v>2+3</v>
      </c>
      <c r="BW451" s="59" t="n">
        <f aca="false">IF(BT451=0,0,IF(N(S451)&gt;0,S451,IFERROR(VLOOKUP(D451,Parameter!$A$35:$C$64,3,0)+0,0)))</f>
        <v>0</v>
      </c>
      <c r="BX451" s="55" t="n">
        <f aca="false">IF(AA451&lt;&gt;"",AA451,Z451)</f>
        <v>2</v>
      </c>
      <c r="BY451" s="55" t="str">
        <f aca="false">IF(BX451=1,"L1",IF(OR(BX451=2,BX451=3),"L23",IF(BX451="Aussen","Aussen","-")))</f>
        <v>L23</v>
      </c>
      <c r="BZ451" s="66" t="n">
        <f aca="false">IF(N(AB451)&gt;0,AB451,0)</f>
        <v>0</v>
      </c>
      <c r="CA451" s="60" t="n">
        <f aca="false">IF(ISNUMBER(AE451),1,0)</f>
        <v>0</v>
      </c>
      <c r="CB451" s="57" t="n">
        <f aca="false">N(AE451)</f>
        <v>0</v>
      </c>
      <c r="CC451" s="57" t="n">
        <f aca="false">N(M451)+N(N451)</f>
        <v>11</v>
      </c>
      <c r="CD451" s="57" t="n">
        <f aca="false">ROUNDUP(H451/BS451,0)</f>
        <v>1</v>
      </c>
      <c r="CE451" s="57" t="n">
        <f aca="false">ROUNDUP(CB451/BS451,0)</f>
        <v>0</v>
      </c>
      <c r="CF451" s="60" t="n">
        <f aca="false">IF(BT451=1,0,IFERROR(VLOOKUP(BR451,'Gebinde-Kategorie'!$A$5:$M$45,5,0)+0,0))</f>
        <v>20</v>
      </c>
      <c r="CG451" s="60" t="n">
        <f aca="false">IFERROR(IF(OR(BX451=1,BX451=2,BX451=3),N(INDEX(Parameter!$I$5:$I$7,BX451)),0),0)</f>
        <v>0</v>
      </c>
      <c r="CH451" s="59" t="n">
        <f aca="false">IF(AND(Parameter!$B$21="Ja",ISNUMBER(W451),N(X451)&gt;0),IFERROR(N(INDEX(Parameter!$L$5:$L$7,W451))*INDEX(Parameter!$E$5:$E$7,W451)*X451/SUMIFS($X$7:$X$1843,$W$7:$W$1843,W451),0),0)</f>
        <v>0</v>
      </c>
    </row>
    <row r="452" customFormat="false" ht="15" hidden="false" customHeight="false" outlineLevel="0" collapsed="false">
      <c r="A452" s="55" t="s">
        <v>1021</v>
      </c>
      <c r="B452" s="55" t="s">
        <v>1022</v>
      </c>
      <c r="C452" s="55" t="s">
        <v>164</v>
      </c>
      <c r="D452" s="55" t="s">
        <v>184</v>
      </c>
      <c r="E452" s="55"/>
      <c r="F452" s="55" t="s">
        <v>218</v>
      </c>
      <c r="G452" s="56" t="n">
        <v>4.42</v>
      </c>
      <c r="H452" s="57" t="n">
        <f aca="false">MAX(0,IF(AND(Parameter!$B$21="Ja",ISNUMBER(Y452)),Y452,IF(Parameter!$B$20="Jahresanfang 2025 + Export",BL452+BK452,BK452)))</f>
        <v>15</v>
      </c>
      <c r="I452" s="57" t="n">
        <f aca="false">H452*G452</f>
        <v>66.3</v>
      </c>
      <c r="J452" s="57" t="n">
        <f aca="false">BN452*Parameter!$B$18</f>
        <v>0</v>
      </c>
      <c r="K452" s="58" t="n">
        <v>7.5</v>
      </c>
      <c r="L452" s="59" t="n">
        <v>0</v>
      </c>
      <c r="M452" s="57" t="n">
        <v>0</v>
      </c>
      <c r="N452" s="57" t="n">
        <v>1</v>
      </c>
      <c r="O452" s="60" t="n">
        <v>28</v>
      </c>
      <c r="P452" s="55" t="s">
        <v>426</v>
      </c>
      <c r="Q452" s="57" t="n">
        <v>15</v>
      </c>
      <c r="R452" s="60" t="n">
        <f aca="false">IF(BT452=1,0,IFERROR(VLOOKUP(BR452,'Gebinde-Kategorie'!$A$5:$M$45,13,0)+0,0))</f>
        <v>198</v>
      </c>
      <c r="S452" s="61"/>
      <c r="T452" s="62"/>
      <c r="U452" s="62"/>
      <c r="V452" s="62"/>
      <c r="W452" s="55"/>
      <c r="X452" s="57"/>
      <c r="Y452" s="57"/>
      <c r="Z452" s="55" t="n">
        <f aca="false">IF(A452="","",IF(AND(Parameter!$B$21="Ja",ISNUMBER(W452)),W452,IF(BV452="2+3",IF(ISNUMBER(SEARCH("grosser Artikel",BO452)),2,IFERROR(VLOOKUP(BR452,Parameter!$F$35:$G$64,2,0),2)),IF(OR(BV452="Nein",BV452=""),"-",BV452))))</f>
        <v>3</v>
      </c>
      <c r="AA452" s="62"/>
      <c r="AB452" s="63"/>
      <c r="AC452" s="57" t="n">
        <f aca="false">AR452</f>
        <v>15</v>
      </c>
      <c r="AD452" s="57" t="n">
        <f aca="false">MAX(AR452,H452)</f>
        <v>15</v>
      </c>
      <c r="AE452" s="64"/>
      <c r="AF452" s="57" t="n">
        <f aca="false">IF(LEFT(Cockpit!$C$5,1)="A",H452,IF(CA452=1,CB452,IF(LEFT(Cockpit!$C$5,1)="B",AJ452,MAX(AJ452,H452))))</f>
        <v>15</v>
      </c>
      <c r="AG452" s="57" t="n">
        <f aca="false">IF(BT452=1,0,ROUNDUP(AF452/BS452,0))</f>
        <v>1</v>
      </c>
      <c r="AH452" s="59" t="n">
        <f aca="false">IF(CH452&gt;0,CH452*MAX(1,AF452/X452),IF(BT452=1,IF(AF452&lt;=0,0,BW452*MAX(1,IF(H452&gt;0,AF452/H452,1))),IF(R452&gt;0,AG452/R452,0))/MAX(0.1,N(Parameter!$M$21)))</f>
        <v>0.00505050505050505</v>
      </c>
      <c r="AI452" s="57" t="n">
        <f aca="false">AF452*G452</f>
        <v>66.3</v>
      </c>
      <c r="AJ452" s="57" t="n">
        <f aca="false">ROUNDUP(MAX(J452/IF(BZ452&gt;0,BZ452,MAX(0.1,N(Cockpit!$C$6))),CC452)/BS452,0)*BS452</f>
        <v>15</v>
      </c>
      <c r="AK452" s="58" t="n">
        <f aca="false">IF(AH452&gt;0,J452/AH452,-1)</f>
        <v>0</v>
      </c>
      <c r="AL452" s="58" t="n">
        <f aca="false">IF(AND(OR(BY452="L1",BY452="L23"),AH452&gt;0),SUMIFS($AH$7:$AH$1843,$BY$7:$BY$1843,BY452,$AK$7:$AK$1843,"&gt;"&amp;AK452)+SUMIFS($AH$7:$AH$1843,$BY$7:$BY$1843,BY452,$AK$7:$AK$1843,AK452,$BQ$7:$BQ$1843,"&lt;="&amp;BQ452),"")</f>
        <v>74.0520506063984</v>
      </c>
      <c r="AM452" s="65" t="n">
        <f aca="false">IF(AL452="",0,MAX(0,MIN(1,(IF(BY452="L1",Parameter!$E$5,Parameter!$E$6+Parameter!$E$7)-(AL452-AH452))/AH452)))</f>
        <v>1</v>
      </c>
      <c r="AN452" s="57" t="n">
        <f aca="false">IF(LEFT(Cockpit!$I$5,1)="A",H452,IF(CA452=1,CB452,IF(LEFT(Cockpit!$I$5,1)="B",AR452,MAX(AR452,H452))))</f>
        <v>15</v>
      </c>
      <c r="AO452" s="57" t="n">
        <f aca="false">IF(BT452=1,0,ROUNDUP(AN452/BS452,0))</f>
        <v>1</v>
      </c>
      <c r="AP452" s="59" t="n">
        <f aca="false">IF(CH452&gt;0,CH452*MAX(1,AN452/X452),IF(BT452=1,IF(AN452&lt;=0,0,BW452*MAX(1,IF(H452&gt;0,AN452/H452,1))),IF(R452&gt;0,AO452/R452,0))/MAX(0.1,N(Parameter!$M$21)))</f>
        <v>0.00505050505050505</v>
      </c>
      <c r="AQ452" s="57" t="n">
        <f aca="false">AN452*G452</f>
        <v>66.3</v>
      </c>
      <c r="AR452" s="57" t="n">
        <f aca="false">ROUNDUP(MAX(J452/IF(BZ452&gt;0,BZ452,MAX(0.1,N(Cockpit!$I$6))),CC452)/BS452,0)*BS452</f>
        <v>15</v>
      </c>
      <c r="AS452" s="58" t="n">
        <f aca="false">IF(AP452&gt;0,J452/AP452,-1)</f>
        <v>0</v>
      </c>
      <c r="AT452" s="58" t="n">
        <f aca="false">IF(AND(OR(BY452="L1",BY452="L23"),AP452&gt;0),SUMIFS($AP$7:$AP$1843,$BY$7:$BY$1843,BY452,$AS$7:$AS$1843,"&gt;"&amp;AS452)+SUMIFS($AP$7:$AP$1843,$BY$7:$BY$1843,BY452,$AS$7:$AS$1843,AS452,$BQ$7:$BQ$1843,"&lt;="&amp;BQ452),"")</f>
        <v>113.476174791392</v>
      </c>
      <c r="AU452" s="65" t="n">
        <f aca="false">IF(AT452="",0,MAX(0,MIN(1,(IF(BY452="L1",Parameter!$E$5,Parameter!$E$6+Parameter!$E$7)-(AT452-AP452))/AP452)))</f>
        <v>0</v>
      </c>
      <c r="AV452" s="57" t="n">
        <f aca="false">IF(LEFT(Cockpit!$O$5,1)="A",H452,IF(CA452=1,CB452,IF(LEFT(Cockpit!$O$5,1)="B",AZ452,MAX(AZ452,H452))))</f>
        <v>15</v>
      </c>
      <c r="AW452" s="57" t="n">
        <f aca="false">IF(BT452=1,0,ROUNDUP(AV452/BS452,0))</f>
        <v>1</v>
      </c>
      <c r="AX452" s="59" t="n">
        <f aca="false">IF(CH452&gt;0,CH452*MAX(1,AV452/X452),IF(BT452=1,IF(AV452&lt;=0,0,BW452*MAX(1,IF(H452&gt;0,AV452/H452,1))),IF(R452&gt;0,AW452/R452,0))/MAX(0.1,N(Parameter!$M$21)))</f>
        <v>0.00505050505050505</v>
      </c>
      <c r="AY452" s="57" t="n">
        <f aca="false">AV452*G452</f>
        <v>66.3</v>
      </c>
      <c r="AZ452" s="57" t="n">
        <f aca="false">ROUNDUP(MAX(J452/IF(BZ452&gt;0,BZ452,MAX(0.1,N(Cockpit!$O$6))),CC452)/BS452,0)*BS452</f>
        <v>15</v>
      </c>
      <c r="BA452" s="58" t="n">
        <f aca="false">IF(AX452&gt;0,J452/AX452,-1)</f>
        <v>0</v>
      </c>
      <c r="BB452" s="58" t="n">
        <f aca="false">IF(AND(OR(BY452="L1",BY452="L23"),AX452&gt;0),SUMIFS($AX$7:$AX$1843,$BY$7:$BY$1843,BY452,$BA$7:$BA$1843,"&gt;"&amp;BA452)+SUMIFS($AX$7:$AX$1843,$BY$7:$BY$1843,BY452,$BA$7:$BA$1843,BA452,$BQ$7:$BQ$1843,"&lt;="&amp;BQ452),"")</f>
        <v>104.306011621229</v>
      </c>
      <c r="BC452" s="65" t="n">
        <f aca="false">IF(BB452="",0,MAX(0,MIN(1,(IF(BY452="L1",Parameter!$E$5,Parameter!$E$6+Parameter!$E$7)-(BB452-AX452))/AX452)))</f>
        <v>0</v>
      </c>
      <c r="BD452" s="55" t="str">
        <f aca="false">IF(AH452&lt;=0,"",IF(BY452="Aussen","Aussenlager",IF(BY452="-","Nicht im Lift",IF(AM452&gt;=1,"Lift",IF(AM452&lt;=0,"Aussenlager","teilweise")))))</f>
        <v>Lift</v>
      </c>
      <c r="BE452" s="55" t="str">
        <f aca="false">IF(AP452&lt;=0,"",IF(BY452="Aussen","Aussenlager",IF(BY452="-","Nicht im Lift",IF(AU452&gt;=1,"Lift",IF(AU452&lt;=0,"Aussenlager","teilweise")))))</f>
        <v>Aussenlager</v>
      </c>
      <c r="BF452" s="55" t="str">
        <f aca="false">IF(AX452&lt;=0,"",IF(BY452="Aussen","Aussenlager",IF(BY452="-","Nicht im Lift",IF(BC452&gt;=1,"Lift",IF(BC452&lt;=0,"Aussenlager","teilweise")))))</f>
        <v>Aussenlager</v>
      </c>
      <c r="BG452" s="55" t="str">
        <f aca="false">IF(A452="","",IF(BP452=1,"Neu; ","")&amp;IF(AND(BP452=0,BK452&lt;0),"negativer Bestand (Export "&amp;BK452&amp;"); ","")&amp;IF(J452&lt;=0,"Kein Verbrauch; ","")&amp;IF(CH452&gt;0,"Lift "&amp;W452&amp;" lt. Liftbericht (Fach "&amp;X452&amp;" Stk); ",IF(BU452=1,"Gebinde geschätzt ("&amp;T452&amp;"); ",IF(BT452=1,"Lose – Tablare geschätzt; ","")))&amp;IF(H452&gt;AR452,"Überbestand "&amp;ROUND(H452-AR452,0)&amp;" Stk / CHF "&amp;ROUND((H452-AR452)*G452,0)&amp;"; ","")&amp;IF(AND(CA452=1,CB452&lt;CC452),"MAX &lt; MB+LG; ","")&amp;IF(AND(CG452&gt;0,CF452*10&gt;CG452),"zu hoch für Tablar; ","")&amp;IF(AND(BP452=0,OR(CA452=1,AA452&lt;&gt;"",U452&lt;&gt;"",V452&lt;&gt;"",AB452&lt;&gt;"")),"manuell übersteuert; ","")&amp;IF(AND(BT452=0,R452=0),"Gebinde unbekannt / Stellmass fehlt; ","")&amp;IF(AND(BT452=0,N(V452)&lt;=0,N(Q452)&lt;=0),"Menge pro Gebinde fehlt (Ist = 1 Gebinde); ","")&amp;BO452)</f>
        <v>Kein Verbrauch; </v>
      </c>
      <c r="BH452" s="55"/>
      <c r="BI452" s="55"/>
      <c r="BJ452" s="62"/>
      <c r="BK452" s="57" t="n">
        <v>15</v>
      </c>
      <c r="BL452" s="57" t="n">
        <v>0</v>
      </c>
      <c r="BM452" s="56" t="n">
        <v>66.3</v>
      </c>
      <c r="BN452" s="57" t="n">
        <v>0</v>
      </c>
      <c r="BO452" s="55"/>
      <c r="BP452" s="60" t="n">
        <v>0</v>
      </c>
      <c r="BQ452" s="60" t="n">
        <v>452</v>
      </c>
      <c r="BR452" s="55" t="str">
        <f aca="false">IF(U452&lt;&gt;"",UPPER(TRIM(U452)),IF(BU452=1,UPPER(VLOOKUP(T452,Parameter!$I$27:$K$29,2,0)),IF(P452="","LOSE",P452)))</f>
        <v>S22</v>
      </c>
      <c r="BS452" s="57" t="n">
        <f aca="false">IF(BR452="LOSE",1,IF(N(V452)&gt;0,V452,IF(BU452=1,MAX(1,N(VLOOKUP(T452,Parameter!$I$27:$K$29,3,0)),H452,N(N452)),IF(N(Q452)&gt;0,Q452,MAX(1,H452)))))</f>
        <v>15</v>
      </c>
      <c r="BT452" s="60" t="n">
        <f aca="false">IF(BR452="LOSE",1,0)</f>
        <v>0</v>
      </c>
      <c r="BU452" s="60" t="n">
        <f aca="false">IF(AND(U452="",OR(P452="",P452="LOSE"),T452&lt;&gt;"",N(S452)&lt;=0,ISNUMBER(MATCH(T452,Parameter!$I$27:$I$29,0))),1,0)</f>
        <v>0</v>
      </c>
      <c r="BV452" s="55" t="str">
        <f aca="false">IF(AND(Parameter!$B$19="Ja",E452&lt;&gt;"",ISNUMBER(MATCH(E452,Parameter!$I$35:$I$52,0))),VLOOKUP(E452,Parameter!$I$35:$J$52,2,0),IFERROR(VLOOKUP(D452,Parameter!$A$35:$C$64,2,0),"Nein"))</f>
        <v>2+3</v>
      </c>
      <c r="BW452" s="59" t="n">
        <f aca="false">IF(BT452=0,0,IF(N(S452)&gt;0,S452,IFERROR(VLOOKUP(D452,Parameter!$A$35:$C$64,3,0)+0,0)))</f>
        <v>0</v>
      </c>
      <c r="BX452" s="55" t="n">
        <f aca="false">IF(AA452&lt;&gt;"",AA452,Z452)</f>
        <v>3</v>
      </c>
      <c r="BY452" s="55" t="str">
        <f aca="false">IF(BX452=1,"L1",IF(OR(BX452=2,BX452=3),"L23",IF(BX452="Aussen","Aussen","-")))</f>
        <v>L23</v>
      </c>
      <c r="BZ452" s="66" t="n">
        <f aca="false">IF(N(AB452)&gt;0,AB452,0)</f>
        <v>0</v>
      </c>
      <c r="CA452" s="60" t="n">
        <f aca="false">IF(ISNUMBER(AE452),1,0)</f>
        <v>0</v>
      </c>
      <c r="CB452" s="57" t="n">
        <f aca="false">N(AE452)</f>
        <v>0</v>
      </c>
      <c r="CC452" s="57" t="n">
        <f aca="false">N(M452)+N(N452)</f>
        <v>1</v>
      </c>
      <c r="CD452" s="57" t="n">
        <f aca="false">ROUNDUP(H452/BS452,0)</f>
        <v>1</v>
      </c>
      <c r="CE452" s="57" t="n">
        <f aca="false">ROUNDUP(CB452/BS452,0)</f>
        <v>0</v>
      </c>
      <c r="CF452" s="60" t="n">
        <f aca="false">IF(BT452=1,0,IFERROR(VLOOKUP(BR452,'Gebinde-Kategorie'!$A$5:$M$45,5,0)+0,0))</f>
        <v>8</v>
      </c>
      <c r="CG452" s="60" t="n">
        <f aca="false">IFERROR(IF(OR(BX452=1,BX452=2,BX452=3),N(INDEX(Parameter!$I$5:$I$7,BX452)),0),0)</f>
        <v>0</v>
      </c>
      <c r="CH452" s="59" t="n">
        <f aca="false">IF(AND(Parameter!$B$21="Ja",ISNUMBER(W452),N(X452)&gt;0),IFERROR(N(INDEX(Parameter!$L$5:$L$7,W452))*INDEX(Parameter!$E$5:$E$7,W452)*X452/SUMIFS($X$7:$X$1843,$W$7:$W$1843,W452),0),0)</f>
        <v>0</v>
      </c>
    </row>
    <row r="453" customFormat="false" ht="15" hidden="false" customHeight="false" outlineLevel="0" collapsed="false">
      <c r="A453" s="55" t="s">
        <v>1023</v>
      </c>
      <c r="B453" s="55" t="s">
        <v>1024</v>
      </c>
      <c r="C453" s="55" t="s">
        <v>164</v>
      </c>
      <c r="D453" s="55" t="s">
        <v>173</v>
      </c>
      <c r="E453" s="55" t="s">
        <v>465</v>
      </c>
      <c r="F453" s="55" t="s">
        <v>218</v>
      </c>
      <c r="G453" s="56" t="n">
        <v>10.4</v>
      </c>
      <c r="H453" s="57" t="n">
        <f aca="false">MAX(0,IF(AND(Parameter!$B$21="Ja",ISNUMBER(Y453)),Y453,IF(Parameter!$B$20="Jahresanfang 2025 + Export",BL453+BK453,BK453)))</f>
        <v>25</v>
      </c>
      <c r="I453" s="57" t="n">
        <f aca="false">H453*G453</f>
        <v>260</v>
      </c>
      <c r="J453" s="57" t="n">
        <f aca="false">BN453*Parameter!$B$18</f>
        <v>33</v>
      </c>
      <c r="K453" s="58" t="n">
        <v>17.5</v>
      </c>
      <c r="L453" s="59" t="n">
        <v>1.88571428571429</v>
      </c>
      <c r="M453" s="57" t="n">
        <v>1</v>
      </c>
      <c r="N453" s="57" t="n">
        <v>15</v>
      </c>
      <c r="O453" s="60" t="n">
        <v>21</v>
      </c>
      <c r="P453" s="55" t="s">
        <v>168</v>
      </c>
      <c r="Q453" s="57"/>
      <c r="R453" s="60" t="n">
        <f aca="false">IF(BT453=1,0,IFERROR(VLOOKUP(BR453,'Gebinde-Kategorie'!$A$5:$M$45,13,0)+0,0))</f>
        <v>3</v>
      </c>
      <c r="S453" s="61"/>
      <c r="T453" s="62" t="s">
        <v>189</v>
      </c>
      <c r="U453" s="62"/>
      <c r="V453" s="62"/>
      <c r="W453" s="55"/>
      <c r="X453" s="57"/>
      <c r="Y453" s="57"/>
      <c r="Z453" s="55" t="str">
        <f aca="false">IF(A453="","",IF(AND(Parameter!$B$21="Ja",ISNUMBER(W453)),W453,IF(BV453="2+3",IF(ISNUMBER(SEARCH("grosser Artikel",BO453)),2,IFERROR(VLOOKUP(BR453,Parameter!$F$35:$G$64,2,0),2)),IF(OR(BV453="Nein",BV453=""),"-",BV453))))</f>
        <v>-</v>
      </c>
      <c r="AA453" s="62"/>
      <c r="AB453" s="63"/>
      <c r="AC453" s="57" t="n">
        <f aca="false">AR453</f>
        <v>25</v>
      </c>
      <c r="AD453" s="57" t="n">
        <f aca="false">MAX(AR453,H453)</f>
        <v>25</v>
      </c>
      <c r="AE453" s="64"/>
      <c r="AF453" s="57" t="n">
        <f aca="false">IF(LEFT(Cockpit!$C$5,1)="A",H453,IF(CA453=1,CB453,IF(LEFT(Cockpit!$C$5,1)="B",AJ453,MAX(AJ453,H453))))</f>
        <v>25</v>
      </c>
      <c r="AG453" s="57" t="n">
        <f aca="false">IF(BT453=1,0,ROUNDUP(AF453/BS453,0))</f>
        <v>1</v>
      </c>
      <c r="AH453" s="59" t="n">
        <f aca="false">IF(CH453&gt;0,CH453*MAX(1,AF453/X453),IF(BT453=1,IF(AF453&lt;=0,0,BW453*MAX(1,IF(H453&gt;0,AF453/H453,1))),IF(R453&gt;0,AG453/R453,0))/MAX(0.1,N(Parameter!$M$21)))</f>
        <v>0.333333333333333</v>
      </c>
      <c r="AI453" s="57" t="n">
        <f aca="false">AF453*G453</f>
        <v>260</v>
      </c>
      <c r="AJ453" s="57" t="n">
        <f aca="false">ROUNDUP(MAX(J453/IF(BZ453&gt;0,BZ453,MAX(0.1,N(Cockpit!$C$6))),CC453)/BS453,0)*BS453</f>
        <v>25</v>
      </c>
      <c r="AK453" s="58" t="n">
        <f aca="false">IF(AH453&gt;0,J453/AH453,-1)</f>
        <v>99</v>
      </c>
      <c r="AL453" s="58" t="str">
        <f aca="false">IF(AND(OR(BY453="L1",BY453="L23"),AH453&gt;0),SUMIFS($AH$7:$AH$1843,$BY$7:$BY$1843,BY453,$AK$7:$AK$1843,"&gt;"&amp;AK453)+SUMIFS($AH$7:$AH$1843,$BY$7:$BY$1843,BY453,$AK$7:$AK$1843,AK453,$BQ$7:$BQ$1843,"&lt;="&amp;BQ453),"")</f>
        <v/>
      </c>
      <c r="AM453" s="65" t="n">
        <f aca="false">IF(AL453="",0,MAX(0,MIN(1,(IF(BY453="L1",Parameter!$E$5,Parameter!$E$6+Parameter!$E$7)-(AL453-AH453))/AH453)))</f>
        <v>0</v>
      </c>
      <c r="AN453" s="57" t="n">
        <f aca="false">IF(LEFT(Cockpit!$I$5,1)="A",H453,IF(CA453=1,CB453,IF(LEFT(Cockpit!$I$5,1)="B",AR453,MAX(AR453,H453))))</f>
        <v>25</v>
      </c>
      <c r="AO453" s="57" t="n">
        <f aca="false">IF(BT453=1,0,ROUNDUP(AN453/BS453,0))</f>
        <v>1</v>
      </c>
      <c r="AP453" s="59" t="n">
        <f aca="false">IF(CH453&gt;0,CH453*MAX(1,AN453/X453),IF(BT453=1,IF(AN453&lt;=0,0,BW453*MAX(1,IF(H453&gt;0,AN453/H453,1))),IF(R453&gt;0,AO453/R453,0))/MAX(0.1,N(Parameter!$M$21)))</f>
        <v>0.333333333333333</v>
      </c>
      <c r="AQ453" s="57" t="n">
        <f aca="false">AN453*G453</f>
        <v>260</v>
      </c>
      <c r="AR453" s="57" t="n">
        <f aca="false">ROUNDUP(MAX(J453/IF(BZ453&gt;0,BZ453,MAX(0.1,N(Cockpit!$I$6))),CC453)/BS453,0)*BS453</f>
        <v>25</v>
      </c>
      <c r="AS453" s="58" t="n">
        <f aca="false">IF(AP453&gt;0,J453/AP453,-1)</f>
        <v>99</v>
      </c>
      <c r="AT453" s="58" t="str">
        <f aca="false">IF(AND(OR(BY453="L1",BY453="L23"),AP453&gt;0),SUMIFS($AP$7:$AP$1843,$BY$7:$BY$1843,BY453,$AS$7:$AS$1843,"&gt;"&amp;AS453)+SUMIFS($AP$7:$AP$1843,$BY$7:$BY$1843,BY453,$AS$7:$AS$1843,AS453,$BQ$7:$BQ$1843,"&lt;="&amp;BQ453),"")</f>
        <v/>
      </c>
      <c r="AU453" s="65" t="n">
        <f aca="false">IF(AT453="",0,MAX(0,MIN(1,(IF(BY453="L1",Parameter!$E$5,Parameter!$E$6+Parameter!$E$7)-(AT453-AP453))/AP453)))</f>
        <v>0</v>
      </c>
      <c r="AV453" s="57" t="n">
        <f aca="false">IF(LEFT(Cockpit!$O$5,1)="A",H453,IF(CA453=1,CB453,IF(LEFT(Cockpit!$O$5,1)="B",AZ453,MAX(AZ453,H453))))</f>
        <v>25</v>
      </c>
      <c r="AW453" s="57" t="n">
        <f aca="false">IF(BT453=1,0,ROUNDUP(AV453/BS453,0))</f>
        <v>1</v>
      </c>
      <c r="AX453" s="59" t="n">
        <f aca="false">IF(CH453&gt;0,CH453*MAX(1,AV453/X453),IF(BT453=1,IF(AV453&lt;=0,0,BW453*MAX(1,IF(H453&gt;0,AV453/H453,1))),IF(R453&gt;0,AW453/R453,0))/MAX(0.1,N(Parameter!$M$21)))</f>
        <v>0.333333333333333</v>
      </c>
      <c r="AY453" s="57" t="n">
        <f aca="false">AV453*G453</f>
        <v>260</v>
      </c>
      <c r="AZ453" s="57" t="n">
        <f aca="false">ROUNDUP(MAX(J453/IF(BZ453&gt;0,BZ453,MAX(0.1,N(Cockpit!$O$6))),CC453)/BS453,0)*BS453</f>
        <v>25</v>
      </c>
      <c r="BA453" s="58" t="n">
        <f aca="false">IF(AX453&gt;0,J453/AX453,-1)</f>
        <v>99</v>
      </c>
      <c r="BB453" s="58" t="str">
        <f aca="false">IF(AND(OR(BY453="L1",BY453="L23"),AX453&gt;0),SUMIFS($AX$7:$AX$1843,$BY$7:$BY$1843,BY453,$BA$7:$BA$1843,"&gt;"&amp;BA453)+SUMIFS($AX$7:$AX$1843,$BY$7:$BY$1843,BY453,$BA$7:$BA$1843,BA453,$BQ$7:$BQ$1843,"&lt;="&amp;BQ453),"")</f>
        <v/>
      </c>
      <c r="BC453" s="65" t="n">
        <f aca="false">IF(BB453="",0,MAX(0,MIN(1,(IF(BY453="L1",Parameter!$E$5,Parameter!$E$6+Parameter!$E$7)-(BB453-AX453))/AX453)))</f>
        <v>0</v>
      </c>
      <c r="BD453" s="55" t="str">
        <f aca="false">IF(AH453&lt;=0,"",IF(BY453="Aussen","Aussenlager",IF(BY453="-","Nicht im Lift",IF(AM453&gt;=1,"Lift",IF(AM453&lt;=0,"Aussenlager","teilweise")))))</f>
        <v>Nicht im Lift</v>
      </c>
      <c r="BE453" s="55" t="str">
        <f aca="false">IF(AP453&lt;=0,"",IF(BY453="Aussen","Aussenlager",IF(BY453="-","Nicht im Lift",IF(AU453&gt;=1,"Lift",IF(AU453&lt;=0,"Aussenlager","teilweise")))))</f>
        <v>Nicht im Lift</v>
      </c>
      <c r="BF453" s="55" t="str">
        <f aca="false">IF(AX453&lt;=0,"",IF(BY453="Aussen","Aussenlager",IF(BY453="-","Nicht im Lift",IF(BC453&gt;=1,"Lift",IF(BC453&lt;=0,"Aussenlager","teilweise")))))</f>
        <v>Nicht im Lift</v>
      </c>
      <c r="BG453" s="55" t="str">
        <f aca="false">IF(A453="","",IF(BP453=1,"Neu; ","")&amp;IF(AND(BP453=0,BK453&lt;0),"negativer Bestand (Export "&amp;BK453&amp;"); ","")&amp;IF(J453&lt;=0,"Kein Verbrauch; ","")&amp;IF(CH453&gt;0,"Lift "&amp;W453&amp;" lt. Liftbericht (Fach "&amp;X453&amp;" Stk); ",IF(BU453=1,"Gebinde geschätzt ("&amp;T453&amp;"); ",IF(BT453=1,"Lose – Tablare geschätzt; ","")))&amp;IF(H453&gt;AR453,"Überbestand "&amp;ROUND(H453-AR453,0)&amp;" Stk / CHF "&amp;ROUND((H453-AR453)*G453,0)&amp;"; ","")&amp;IF(AND(CA453=1,CB453&lt;CC453),"MAX &lt; MB+LG; ","")&amp;IF(AND(CG453&gt;0,CF453*10&gt;CG453),"zu hoch für Tablar; ","")&amp;IF(AND(BP453=0,OR(CA453=1,AA453&lt;&gt;"",U453&lt;&gt;"",V453&lt;&gt;"",AB453&lt;&gt;"")),"manuell übersteuert; ","")&amp;IF(AND(BT453=0,R453=0),"Gebinde unbekannt / Stellmass fehlt; ","")&amp;IF(AND(BT453=0,N(V453)&lt;=0,N(Q453)&lt;=0),"Menge pro Gebinde fehlt (Ist = 1 Gebinde); ","")&amp;BO453)</f>
        <v>Gebinde geschätzt (Gross); Menge pro Gebinde fehlt (Ist = 1 Gebinde); </v>
      </c>
      <c r="BH453" s="55"/>
      <c r="BI453" s="55"/>
      <c r="BJ453" s="62"/>
      <c r="BK453" s="57" t="n">
        <v>5</v>
      </c>
      <c r="BL453" s="57" t="n">
        <v>20</v>
      </c>
      <c r="BM453" s="56" t="n">
        <v>66</v>
      </c>
      <c r="BN453" s="57" t="n">
        <v>33</v>
      </c>
      <c r="BO453" s="55"/>
      <c r="BP453" s="60" t="n">
        <v>0</v>
      </c>
      <c r="BQ453" s="60" t="n">
        <v>453</v>
      </c>
      <c r="BR453" s="55" t="str">
        <f aca="false">IF(U453&lt;&gt;"",UPPER(TRIM(U453)),IF(BU453=1,UPPER(VLOOKUP(T453,Parameter!$I$27:$K$29,2,0)),IF(P453="","LOSE",P453)))</f>
        <v>S81</v>
      </c>
      <c r="BS453" s="57" t="n">
        <f aca="false">IF(BR453="LOSE",1,IF(N(V453)&gt;0,V453,IF(BU453=1,MAX(1,N(VLOOKUP(T453,Parameter!$I$27:$K$29,3,0)),H453,N(N453)),IF(N(Q453)&gt;0,Q453,MAX(1,H453)))))</f>
        <v>25</v>
      </c>
      <c r="BT453" s="60" t="n">
        <f aca="false">IF(BR453="LOSE",1,0)</f>
        <v>0</v>
      </c>
      <c r="BU453" s="60" t="n">
        <f aca="false">IF(AND(U453="",OR(P453="",P453="LOSE"),T453&lt;&gt;"",N(S453)&lt;=0,ISNUMBER(MATCH(T453,Parameter!$I$27:$I$29,0))),1,0)</f>
        <v>1</v>
      </c>
      <c r="BV453" s="55" t="str">
        <f aca="false">IF(AND(Parameter!$B$19="Ja",E453&lt;&gt;"",ISNUMBER(MATCH(E453,Parameter!$I$35:$I$52,0))),VLOOKUP(E453,Parameter!$I$35:$J$52,2,0),IFERROR(VLOOKUP(D453,Parameter!$A$35:$C$64,2,0),"Nein"))</f>
        <v>Nein</v>
      </c>
      <c r="BW453" s="59" t="n">
        <f aca="false">IF(BT453=0,0,IF(N(S453)&gt;0,S453,IFERROR(VLOOKUP(D453,Parameter!$A$35:$C$64,3,0)+0,0)))</f>
        <v>0</v>
      </c>
      <c r="BX453" s="55" t="str">
        <f aca="false">IF(AA453&lt;&gt;"",AA453,Z453)</f>
        <v>-</v>
      </c>
      <c r="BY453" s="55" t="str">
        <f aca="false">IF(BX453=1,"L1",IF(OR(BX453=2,BX453=3),"L23",IF(BX453="Aussen","Aussen","-")))</f>
        <v>-</v>
      </c>
      <c r="BZ453" s="66" t="n">
        <f aca="false">IF(N(AB453)&gt;0,AB453,0)</f>
        <v>0</v>
      </c>
      <c r="CA453" s="60" t="n">
        <f aca="false">IF(ISNUMBER(AE453),1,0)</f>
        <v>0</v>
      </c>
      <c r="CB453" s="57" t="n">
        <f aca="false">N(AE453)</f>
        <v>0</v>
      </c>
      <c r="CC453" s="57" t="n">
        <f aca="false">N(M453)+N(N453)</f>
        <v>16</v>
      </c>
      <c r="CD453" s="57" t="n">
        <f aca="false">ROUNDUP(H453/BS453,0)</f>
        <v>1</v>
      </c>
      <c r="CE453" s="57" t="n">
        <f aca="false">ROUNDUP(CB453/BS453,0)</f>
        <v>0</v>
      </c>
      <c r="CF453" s="60" t="n">
        <f aca="false">IF(BT453=1,0,IFERROR(VLOOKUP(BR453,'Gebinde-Kategorie'!$A$5:$M$45,5,0)+0,0))</f>
        <v>20</v>
      </c>
      <c r="CG453" s="60" t="n">
        <f aca="false">IFERROR(IF(OR(BX453=1,BX453=2,BX453=3),N(INDEX(Parameter!$I$5:$I$7,BX453)),0),0)</f>
        <v>0</v>
      </c>
      <c r="CH453" s="59" t="n">
        <f aca="false">IF(AND(Parameter!$B$21="Ja",ISNUMBER(W453),N(X453)&gt;0),IFERROR(N(INDEX(Parameter!$L$5:$L$7,W453))*INDEX(Parameter!$E$5:$E$7,W453)*X453/SUMIFS($X$7:$X$1843,$W$7:$W$1843,W453),0),0)</f>
        <v>0</v>
      </c>
    </row>
    <row r="454" customFormat="false" ht="15" hidden="false" customHeight="false" outlineLevel="0" collapsed="false">
      <c r="A454" s="55" t="s">
        <v>1025</v>
      </c>
      <c r="B454" s="55" t="s">
        <v>1026</v>
      </c>
      <c r="C454" s="55" t="s">
        <v>164</v>
      </c>
      <c r="D454" s="55" t="s">
        <v>184</v>
      </c>
      <c r="E454" s="55" t="s">
        <v>185</v>
      </c>
      <c r="F454" s="55" t="s">
        <v>218</v>
      </c>
      <c r="G454" s="56" t="n">
        <v>7.1</v>
      </c>
      <c r="H454" s="57" t="n">
        <f aca="false">MAX(0,IF(AND(Parameter!$B$21="Ja",ISNUMBER(Y454)),Y454,IF(Parameter!$B$20="Jahresanfang 2025 + Export",BL454+BK454,BK454)))</f>
        <v>69</v>
      </c>
      <c r="I454" s="57" t="n">
        <f aca="false">H454*G454</f>
        <v>489.9</v>
      </c>
      <c r="J454" s="57" t="n">
        <f aca="false">BN454*Parameter!$B$18</f>
        <v>172</v>
      </c>
      <c r="K454" s="58" t="n">
        <v>76.5</v>
      </c>
      <c r="L454" s="59" t="n">
        <v>2.2483660130719</v>
      </c>
      <c r="M454" s="57" t="n">
        <v>4</v>
      </c>
      <c r="N454" s="57" t="n">
        <v>170</v>
      </c>
      <c r="O454" s="60" t="n">
        <v>21</v>
      </c>
      <c r="P454" s="55" t="s">
        <v>421</v>
      </c>
      <c r="Q454" s="57" t="n">
        <v>136</v>
      </c>
      <c r="R454" s="60" t="n">
        <f aca="false">IF(BT454=1,0,IFERROR(VLOOKUP(BR454,'Gebinde-Kategorie'!$A$5:$M$45,13,0)+0,0))</f>
        <v>132</v>
      </c>
      <c r="S454" s="61"/>
      <c r="T454" s="62"/>
      <c r="U454" s="62"/>
      <c r="V454" s="62"/>
      <c r="W454" s="55"/>
      <c r="X454" s="57"/>
      <c r="Y454" s="57"/>
      <c r="Z454" s="55" t="n">
        <f aca="false">IF(A454="","",IF(AND(Parameter!$B$21="Ja",ISNUMBER(W454)),W454,IF(BV454="2+3",IF(ISNUMBER(SEARCH("grosser Artikel",BO454)),2,IFERROR(VLOOKUP(BR454,Parameter!$F$35:$G$64,2,0),2)),IF(OR(BV454="Nein",BV454=""),"-",BV454))))</f>
        <v>3</v>
      </c>
      <c r="AA454" s="62"/>
      <c r="AB454" s="63"/>
      <c r="AC454" s="57" t="n">
        <f aca="false">AR454</f>
        <v>272</v>
      </c>
      <c r="AD454" s="57" t="n">
        <f aca="false">MAX(AR454,H454)</f>
        <v>272</v>
      </c>
      <c r="AE454" s="64"/>
      <c r="AF454" s="57" t="n">
        <f aca="false">IF(LEFT(Cockpit!$C$5,1)="A",H454,IF(CA454=1,CB454,IF(LEFT(Cockpit!$C$5,1)="B",AJ454,MAX(AJ454,H454))))</f>
        <v>69</v>
      </c>
      <c r="AG454" s="57" t="n">
        <f aca="false">IF(BT454=1,0,ROUNDUP(AF454/BS454,0))</f>
        <v>1</v>
      </c>
      <c r="AH454" s="59" t="n">
        <f aca="false">IF(CH454&gt;0,CH454*MAX(1,AF454/X454),IF(BT454=1,IF(AF454&lt;=0,0,BW454*MAX(1,IF(H454&gt;0,AF454/H454,1))),IF(R454&gt;0,AG454/R454,0))/MAX(0.1,N(Parameter!$M$21)))</f>
        <v>0.00757575757575758</v>
      </c>
      <c r="AI454" s="57" t="n">
        <f aca="false">AF454*G454</f>
        <v>489.9</v>
      </c>
      <c r="AJ454" s="57" t="n">
        <f aca="false">ROUNDUP(MAX(J454/IF(BZ454&gt;0,BZ454,MAX(0.1,N(Cockpit!$C$6))),CC454)/BS454,0)*BS454</f>
        <v>272</v>
      </c>
      <c r="AK454" s="58" t="n">
        <f aca="false">IF(AH454&gt;0,J454/AH454,-1)</f>
        <v>22704</v>
      </c>
      <c r="AL454" s="58" t="n">
        <f aca="false">IF(AND(OR(BY454="L1",BY454="L23"),AH454&gt;0),SUMIFS($AH$7:$AH$1843,$BY$7:$BY$1843,BY454,$AK$7:$AK$1843,"&gt;"&amp;AK454)+SUMIFS($AH$7:$AH$1843,$BY$7:$BY$1843,BY454,$AK$7:$AK$1843,AK454,$BQ$7:$BQ$1843,"&lt;="&amp;BQ454),"")</f>
        <v>3.24640214857606</v>
      </c>
      <c r="AM454" s="65" t="n">
        <f aca="false">IF(AL454="",0,MAX(0,MIN(1,(IF(BY454="L1",Parameter!$E$5,Parameter!$E$6+Parameter!$E$7)-(AL454-AH454))/AH454)))</f>
        <v>1</v>
      </c>
      <c r="AN454" s="57" t="n">
        <f aca="false">IF(LEFT(Cockpit!$I$5,1)="A",H454,IF(CA454=1,CB454,IF(LEFT(Cockpit!$I$5,1)="B",AR454,MAX(AR454,H454))))</f>
        <v>272</v>
      </c>
      <c r="AO454" s="57" t="n">
        <f aca="false">IF(BT454=1,0,ROUNDUP(AN454/BS454,0))</f>
        <v>2</v>
      </c>
      <c r="AP454" s="59" t="n">
        <f aca="false">IF(CH454&gt;0,CH454*MAX(1,AN454/X454),IF(BT454=1,IF(AN454&lt;=0,0,BW454*MAX(1,IF(H454&gt;0,AN454/H454,1))),IF(R454&gt;0,AO454/R454,0))/MAX(0.1,N(Parameter!$M$21)))</f>
        <v>0.0151515151515152</v>
      </c>
      <c r="AQ454" s="57" t="n">
        <f aca="false">AN454*G454</f>
        <v>1931.2</v>
      </c>
      <c r="AR454" s="57" t="n">
        <f aca="false">ROUNDUP(MAX(J454/IF(BZ454&gt;0,BZ454,MAX(0.1,N(Cockpit!$I$6))),CC454)/BS454,0)*BS454</f>
        <v>272</v>
      </c>
      <c r="AS454" s="58" t="n">
        <f aca="false">IF(AP454&gt;0,J454/AP454,-1)</f>
        <v>11352</v>
      </c>
      <c r="AT454" s="58" t="n">
        <f aca="false">IF(AND(OR(BY454="L1",BY454="L23"),AP454&gt;0),SUMIFS($AP$7:$AP$1843,$BY$7:$BY$1843,BY454,$AS$7:$AS$1843,"&gt;"&amp;AS454)+SUMIFS($AP$7:$AP$1843,$BY$7:$BY$1843,BY454,$AS$7:$AS$1843,AS454,$BQ$7:$BQ$1843,"&lt;="&amp;BQ454),"")</f>
        <v>5.7392571196919</v>
      </c>
      <c r="AU454" s="65" t="n">
        <f aca="false">IF(AT454="",0,MAX(0,MIN(1,(IF(BY454="L1",Parameter!$E$5,Parameter!$E$6+Parameter!$E$7)-(AT454-AP454))/AP454)))</f>
        <v>1</v>
      </c>
      <c r="AV454" s="57" t="n">
        <f aca="false">IF(LEFT(Cockpit!$O$5,1)="A",H454,IF(CA454=1,CB454,IF(LEFT(Cockpit!$O$5,1)="B",AZ454,MAX(AZ454,H454))))</f>
        <v>272</v>
      </c>
      <c r="AW454" s="57" t="n">
        <f aca="false">IF(BT454=1,0,ROUNDUP(AV454/BS454,0))</f>
        <v>2</v>
      </c>
      <c r="AX454" s="59" t="n">
        <f aca="false">IF(CH454&gt;0,CH454*MAX(1,AV454/X454),IF(BT454=1,IF(AV454&lt;=0,0,BW454*MAX(1,IF(H454&gt;0,AV454/H454,1))),IF(R454&gt;0,AW454/R454,0))/MAX(0.1,N(Parameter!$M$21)))</f>
        <v>0.0151515151515152</v>
      </c>
      <c r="AY454" s="57" t="n">
        <f aca="false">AV454*G454</f>
        <v>1931.2</v>
      </c>
      <c r="AZ454" s="57" t="n">
        <f aca="false">ROUNDUP(MAX(J454/IF(BZ454&gt;0,BZ454,MAX(0.1,N(Cockpit!$O$6))),CC454)/BS454,0)*BS454</f>
        <v>272</v>
      </c>
      <c r="BA454" s="58" t="n">
        <f aca="false">IF(AX454&gt;0,J454/AX454,-1)</f>
        <v>11352</v>
      </c>
      <c r="BB454" s="58" t="n">
        <f aca="false">IF(AND(OR(BY454="L1",BY454="L23"),AX454&gt;0),SUMIFS($AX$7:$AX$1843,$BY$7:$BY$1843,BY454,$BA$7:$BA$1843,"&gt;"&amp;BA454)+SUMIFS($AX$7:$AX$1843,$BY$7:$BY$1843,BY454,$BA$7:$BA$1843,BA454,$BQ$7:$BQ$1843,"&lt;="&amp;BQ454),"")</f>
        <v>6.88960677004155</v>
      </c>
      <c r="BC454" s="65" t="n">
        <f aca="false">IF(BB454="",0,MAX(0,MIN(1,(IF(BY454="L1",Parameter!$E$5,Parameter!$E$6+Parameter!$E$7)-(BB454-AX454))/AX454)))</f>
        <v>1</v>
      </c>
      <c r="BD454" s="55" t="str">
        <f aca="false">IF(AH454&lt;=0,"",IF(BY454="Aussen","Aussenlager",IF(BY454="-","Nicht im Lift",IF(AM454&gt;=1,"Lift",IF(AM454&lt;=0,"Aussenlager","teilweise")))))</f>
        <v>Lift</v>
      </c>
      <c r="BE454" s="55" t="str">
        <f aca="false">IF(AP454&lt;=0,"",IF(BY454="Aussen","Aussenlager",IF(BY454="-","Nicht im Lift",IF(AU454&gt;=1,"Lift",IF(AU454&lt;=0,"Aussenlager","teilweise")))))</f>
        <v>Lift</v>
      </c>
      <c r="BF454" s="55" t="str">
        <f aca="false">IF(AX454&lt;=0,"",IF(BY454="Aussen","Aussenlager",IF(BY454="-","Nicht im Lift",IF(BC454&gt;=1,"Lift",IF(BC454&lt;=0,"Aussenlager","teilweise")))))</f>
        <v>Lift</v>
      </c>
      <c r="BG454" s="55" t="str">
        <f aca="false">IF(A454="","",IF(BP454=1,"Neu; ","")&amp;IF(AND(BP454=0,BK454&lt;0),"negativer Bestand (Export "&amp;BK454&amp;"); ","")&amp;IF(J454&lt;=0,"Kein Verbrauch; ","")&amp;IF(CH454&gt;0,"Lift "&amp;W454&amp;" lt. Liftbericht (Fach "&amp;X454&amp;" Stk); ",IF(BU454=1,"Gebinde geschätzt ("&amp;T454&amp;"); ",IF(BT454=1,"Lose – Tablare geschätzt; ","")))&amp;IF(H454&gt;AR454,"Überbestand "&amp;ROUND(H454-AR454,0)&amp;" Stk / CHF "&amp;ROUND((H454-AR454)*G454,0)&amp;"; ","")&amp;IF(AND(CA454=1,CB454&lt;CC454),"MAX &lt; MB+LG; ","")&amp;IF(AND(CG454&gt;0,CF454*10&gt;CG454),"zu hoch für Tablar; ","")&amp;IF(AND(BP454=0,OR(CA454=1,AA454&lt;&gt;"",U454&lt;&gt;"",V454&lt;&gt;"",AB454&lt;&gt;"")),"manuell übersteuert; ","")&amp;IF(AND(BT454=0,R454=0),"Gebinde unbekannt / Stellmass fehlt; ","")&amp;IF(AND(BT454=0,N(V454)&lt;=0,N(Q454)&lt;=0),"Menge pro Gebinde fehlt (Ist = 1 Gebinde); ","")&amp;BO454)</f>
        <v/>
      </c>
      <c r="BH454" s="55"/>
      <c r="BI454" s="55"/>
      <c r="BJ454" s="62"/>
      <c r="BK454" s="57" t="n">
        <v>9</v>
      </c>
      <c r="BL454" s="57" t="n">
        <v>60</v>
      </c>
      <c r="BM454" s="56" t="n">
        <v>63.9000000000007</v>
      </c>
      <c r="BN454" s="57" t="n">
        <v>172</v>
      </c>
      <c r="BO454" s="55"/>
      <c r="BP454" s="60" t="n">
        <v>0</v>
      </c>
      <c r="BQ454" s="60" t="n">
        <v>454</v>
      </c>
      <c r="BR454" s="55" t="str">
        <f aca="false">IF(U454&lt;&gt;"",UPPER(TRIM(U454)),IF(BU454=1,UPPER(VLOOKUP(T454,Parameter!$I$27:$K$29,2,0)),IF(P454="","LOSE",P454)))</f>
        <v>S32</v>
      </c>
      <c r="BS454" s="57" t="n">
        <f aca="false">IF(BR454="LOSE",1,IF(N(V454)&gt;0,V454,IF(BU454=1,MAX(1,N(VLOOKUP(T454,Parameter!$I$27:$K$29,3,0)),H454,N(N454)),IF(N(Q454)&gt;0,Q454,MAX(1,H454)))))</f>
        <v>136</v>
      </c>
      <c r="BT454" s="60" t="n">
        <f aca="false">IF(BR454="LOSE",1,0)</f>
        <v>0</v>
      </c>
      <c r="BU454" s="60" t="n">
        <f aca="false">IF(AND(U454="",OR(P454="",P454="LOSE"),T454&lt;&gt;"",N(S454)&lt;=0,ISNUMBER(MATCH(T454,Parameter!$I$27:$I$29,0))),1,0)</f>
        <v>0</v>
      </c>
      <c r="BV454" s="55" t="str">
        <f aca="false">IF(AND(Parameter!$B$19="Ja",E454&lt;&gt;"",ISNUMBER(MATCH(E454,Parameter!$I$35:$I$52,0))),VLOOKUP(E454,Parameter!$I$35:$J$52,2,0),IFERROR(VLOOKUP(D454,Parameter!$A$35:$C$64,2,0),"Nein"))</f>
        <v>2+3</v>
      </c>
      <c r="BW454" s="59" t="n">
        <f aca="false">IF(BT454=0,0,IF(N(S454)&gt;0,S454,IFERROR(VLOOKUP(D454,Parameter!$A$35:$C$64,3,0)+0,0)))</f>
        <v>0</v>
      </c>
      <c r="BX454" s="55" t="n">
        <f aca="false">IF(AA454&lt;&gt;"",AA454,Z454)</f>
        <v>3</v>
      </c>
      <c r="BY454" s="55" t="str">
        <f aca="false">IF(BX454=1,"L1",IF(OR(BX454=2,BX454=3),"L23",IF(BX454="Aussen","Aussen","-")))</f>
        <v>L23</v>
      </c>
      <c r="BZ454" s="66" t="n">
        <f aca="false">IF(N(AB454)&gt;0,AB454,0)</f>
        <v>0</v>
      </c>
      <c r="CA454" s="60" t="n">
        <f aca="false">IF(ISNUMBER(AE454),1,0)</f>
        <v>0</v>
      </c>
      <c r="CB454" s="57" t="n">
        <f aca="false">N(AE454)</f>
        <v>0</v>
      </c>
      <c r="CC454" s="57" t="n">
        <f aca="false">N(M454)+N(N454)</f>
        <v>174</v>
      </c>
      <c r="CD454" s="57" t="n">
        <f aca="false">ROUNDUP(H454/BS454,0)</f>
        <v>1</v>
      </c>
      <c r="CE454" s="57" t="n">
        <f aca="false">ROUNDUP(CB454/BS454,0)</f>
        <v>0</v>
      </c>
      <c r="CF454" s="60" t="n">
        <f aca="false">IF(BT454=1,0,IFERROR(VLOOKUP(BR454,'Gebinde-Kategorie'!$A$5:$M$45,5,0)+0,0))</f>
        <v>8</v>
      </c>
      <c r="CG454" s="60" t="n">
        <f aca="false">IFERROR(IF(OR(BX454=1,BX454=2,BX454=3),N(INDEX(Parameter!$I$5:$I$7,BX454)),0),0)</f>
        <v>0</v>
      </c>
      <c r="CH454" s="59" t="n">
        <f aca="false">IF(AND(Parameter!$B$21="Ja",ISNUMBER(W454),N(X454)&gt;0),IFERROR(N(INDEX(Parameter!$L$5:$L$7,W454))*INDEX(Parameter!$E$5:$E$7,W454)*X454/SUMIFS($X$7:$X$1843,$W$7:$W$1843,W454),0),0)</f>
        <v>0</v>
      </c>
    </row>
    <row r="455" customFormat="false" ht="15" hidden="false" customHeight="false" outlineLevel="0" collapsed="false">
      <c r="A455" s="55" t="s">
        <v>1027</v>
      </c>
      <c r="B455" s="55" t="s">
        <v>1022</v>
      </c>
      <c r="C455" s="55" t="s">
        <v>164</v>
      </c>
      <c r="D455" s="55" t="s">
        <v>184</v>
      </c>
      <c r="E455" s="55" t="s">
        <v>185</v>
      </c>
      <c r="F455" s="55" t="s">
        <v>218</v>
      </c>
      <c r="G455" s="56" t="n">
        <v>1.04</v>
      </c>
      <c r="H455" s="57" t="n">
        <f aca="false">MAX(0,IF(AND(Parameter!$B$21="Ja",ISNUMBER(Y455)),Y455,IF(Parameter!$B$20="Jahresanfang 2025 + Export",BL455+BK455,BK455)))</f>
        <v>97</v>
      </c>
      <c r="I455" s="57" t="n">
        <f aca="false">H455*G455</f>
        <v>100.88</v>
      </c>
      <c r="J455" s="57" t="n">
        <f aca="false">BN455*Parameter!$B$18</f>
        <v>30</v>
      </c>
      <c r="K455" s="58" t="n">
        <v>46</v>
      </c>
      <c r="L455" s="59" t="n">
        <v>0.652173913043478</v>
      </c>
      <c r="M455" s="57" t="n">
        <v>1</v>
      </c>
      <c r="N455" s="57" t="n">
        <v>50</v>
      </c>
      <c r="O455" s="60" t="n">
        <v>21</v>
      </c>
      <c r="P455" s="55" t="s">
        <v>421</v>
      </c>
      <c r="Q455" s="57" t="n">
        <v>79</v>
      </c>
      <c r="R455" s="60" t="n">
        <f aca="false">IF(BT455=1,0,IFERROR(VLOOKUP(BR455,'Gebinde-Kategorie'!$A$5:$M$45,13,0)+0,0))</f>
        <v>132</v>
      </c>
      <c r="S455" s="61"/>
      <c r="T455" s="62"/>
      <c r="U455" s="62"/>
      <c r="V455" s="62"/>
      <c r="W455" s="55"/>
      <c r="X455" s="57"/>
      <c r="Y455" s="57"/>
      <c r="Z455" s="55" t="n">
        <f aca="false">IF(A455="","",IF(AND(Parameter!$B$21="Ja",ISNUMBER(W455)),W455,IF(BV455="2+3",IF(ISNUMBER(SEARCH("grosser Artikel",BO455)),2,IFERROR(VLOOKUP(BR455,Parameter!$F$35:$G$64,2,0),2)),IF(OR(BV455="Nein",BV455=""),"-",BV455))))</f>
        <v>3</v>
      </c>
      <c r="AA455" s="62"/>
      <c r="AB455" s="63"/>
      <c r="AC455" s="57" t="n">
        <f aca="false">AR455</f>
        <v>79</v>
      </c>
      <c r="AD455" s="57" t="n">
        <f aca="false">MAX(AR455,H455)</f>
        <v>97</v>
      </c>
      <c r="AE455" s="64"/>
      <c r="AF455" s="57" t="n">
        <f aca="false">IF(LEFT(Cockpit!$C$5,1)="A",H455,IF(CA455=1,CB455,IF(LEFT(Cockpit!$C$5,1)="B",AJ455,MAX(AJ455,H455))))</f>
        <v>97</v>
      </c>
      <c r="AG455" s="57" t="n">
        <f aca="false">IF(BT455=1,0,ROUNDUP(AF455/BS455,0))</f>
        <v>2</v>
      </c>
      <c r="AH455" s="59" t="n">
        <f aca="false">IF(CH455&gt;0,CH455*MAX(1,AF455/X455),IF(BT455=1,IF(AF455&lt;=0,0,BW455*MAX(1,IF(H455&gt;0,AF455/H455,1))),IF(R455&gt;0,AG455/R455,0))/MAX(0.1,N(Parameter!$M$21)))</f>
        <v>0.0151515151515152</v>
      </c>
      <c r="AI455" s="57" t="n">
        <f aca="false">AF455*G455</f>
        <v>100.88</v>
      </c>
      <c r="AJ455" s="57" t="n">
        <f aca="false">ROUNDUP(MAX(J455/IF(BZ455&gt;0,BZ455,MAX(0.1,N(Cockpit!$C$6))),CC455)/BS455,0)*BS455</f>
        <v>79</v>
      </c>
      <c r="AK455" s="58" t="n">
        <f aca="false">IF(AH455&gt;0,J455/AH455,-1)</f>
        <v>1980</v>
      </c>
      <c r="AL455" s="58" t="n">
        <f aca="false">IF(AND(OR(BY455="L1",BY455="L23"),AH455&gt;0),SUMIFS($AH$7:$AH$1843,$BY$7:$BY$1843,BY455,$AK$7:$AK$1843,"&gt;"&amp;AK455)+SUMIFS($AH$7:$AH$1843,$BY$7:$BY$1843,BY455,$AK$7:$AK$1843,AK455,$BQ$7:$BQ$1843,"&lt;="&amp;BQ455),"")</f>
        <v>13.0923026249113</v>
      </c>
      <c r="AM455" s="65" t="n">
        <f aca="false">IF(AL455="",0,MAX(0,MIN(1,(IF(BY455="L1",Parameter!$E$5,Parameter!$E$6+Parameter!$E$7)-(AL455-AH455))/AH455)))</f>
        <v>1</v>
      </c>
      <c r="AN455" s="57" t="n">
        <f aca="false">IF(LEFT(Cockpit!$I$5,1)="A",H455,IF(CA455=1,CB455,IF(LEFT(Cockpit!$I$5,1)="B",AR455,MAX(AR455,H455))))</f>
        <v>97</v>
      </c>
      <c r="AO455" s="57" t="n">
        <f aca="false">IF(BT455=1,0,ROUNDUP(AN455/BS455,0))</f>
        <v>2</v>
      </c>
      <c r="AP455" s="59" t="n">
        <f aca="false">IF(CH455&gt;0,CH455*MAX(1,AN455/X455),IF(BT455=1,IF(AN455&lt;=0,0,BW455*MAX(1,IF(H455&gt;0,AN455/H455,1))),IF(R455&gt;0,AO455/R455,0))/MAX(0.1,N(Parameter!$M$21)))</f>
        <v>0.0151515151515152</v>
      </c>
      <c r="AQ455" s="57" t="n">
        <f aca="false">AN455*G455</f>
        <v>100.88</v>
      </c>
      <c r="AR455" s="57" t="n">
        <f aca="false">ROUNDUP(MAX(J455/IF(BZ455&gt;0,BZ455,MAX(0.1,N(Cockpit!$I$6))),CC455)/BS455,0)*BS455</f>
        <v>79</v>
      </c>
      <c r="AS455" s="58" t="n">
        <f aca="false">IF(AP455&gt;0,J455/AP455,-1)</f>
        <v>1980</v>
      </c>
      <c r="AT455" s="58" t="n">
        <f aca="false">IF(AND(OR(BY455="L1",BY455="L23"),AP455&gt;0),SUMIFS($AP$7:$AP$1843,$BY$7:$BY$1843,BY455,$AS$7:$AS$1843,"&gt;"&amp;AS455)+SUMIFS($AP$7:$AP$1843,$BY$7:$BY$1843,BY455,$AS$7:$AS$1843,AS455,$BQ$7:$BQ$1843,"&lt;="&amp;BQ455),"")</f>
        <v>18.6452906996385</v>
      </c>
      <c r="AU455" s="65" t="n">
        <f aca="false">IF(AT455="",0,MAX(0,MIN(1,(IF(BY455="L1",Parameter!$E$5,Parameter!$E$6+Parameter!$E$7)-(AT455-AP455))/AP455)))</f>
        <v>1</v>
      </c>
      <c r="AV455" s="57" t="n">
        <f aca="false">IF(LEFT(Cockpit!$O$5,1)="A",H455,IF(CA455=1,CB455,IF(LEFT(Cockpit!$O$5,1)="B",AZ455,MAX(AZ455,H455))))</f>
        <v>97</v>
      </c>
      <c r="AW455" s="57" t="n">
        <f aca="false">IF(BT455=1,0,ROUNDUP(AV455/BS455,0))</f>
        <v>2</v>
      </c>
      <c r="AX455" s="59" t="n">
        <f aca="false">IF(CH455&gt;0,CH455*MAX(1,AV455/X455),IF(BT455=1,IF(AV455&lt;=0,0,BW455*MAX(1,IF(H455&gt;0,AV455/H455,1))),IF(R455&gt;0,AW455/R455,0))/MAX(0.1,N(Parameter!$M$21)))</f>
        <v>0.0151515151515152</v>
      </c>
      <c r="AY455" s="57" t="n">
        <f aca="false">AV455*G455</f>
        <v>100.88</v>
      </c>
      <c r="AZ455" s="57" t="n">
        <f aca="false">ROUNDUP(MAX(J455/IF(BZ455&gt;0,BZ455,MAX(0.1,N(Cockpit!$O$6))),CC455)/BS455,0)*BS455</f>
        <v>79</v>
      </c>
      <c r="BA455" s="58" t="n">
        <f aca="false">IF(AX455&gt;0,J455/AX455,-1)</f>
        <v>1980</v>
      </c>
      <c r="BB455" s="58" t="n">
        <f aca="false">IF(AND(OR(BY455="L1",BY455="L23"),AX455&gt;0),SUMIFS($AX$7:$AX$1843,$BY$7:$BY$1843,BY455,$BA$7:$BA$1843,"&gt;"&amp;BA455)+SUMIFS($AX$7:$AX$1843,$BY$7:$BY$1843,BY455,$BA$7:$BA$1843,BA455,$BQ$7:$BQ$1843,"&lt;="&amp;BQ455),"")</f>
        <v>17.2571788115266</v>
      </c>
      <c r="BC455" s="65" t="n">
        <f aca="false">IF(BB455="",0,MAX(0,MIN(1,(IF(BY455="L1",Parameter!$E$5,Parameter!$E$6+Parameter!$E$7)-(BB455-AX455))/AX455)))</f>
        <v>1</v>
      </c>
      <c r="BD455" s="55" t="str">
        <f aca="false">IF(AH455&lt;=0,"",IF(BY455="Aussen","Aussenlager",IF(BY455="-","Nicht im Lift",IF(AM455&gt;=1,"Lift",IF(AM455&lt;=0,"Aussenlager","teilweise")))))</f>
        <v>Lift</v>
      </c>
      <c r="BE455" s="55" t="str">
        <f aca="false">IF(AP455&lt;=0,"",IF(BY455="Aussen","Aussenlager",IF(BY455="-","Nicht im Lift",IF(AU455&gt;=1,"Lift",IF(AU455&lt;=0,"Aussenlager","teilweise")))))</f>
        <v>Lift</v>
      </c>
      <c r="BF455" s="55" t="str">
        <f aca="false">IF(AX455&lt;=0,"",IF(BY455="Aussen","Aussenlager",IF(BY455="-","Nicht im Lift",IF(BC455&gt;=1,"Lift",IF(BC455&lt;=0,"Aussenlager","teilweise")))))</f>
        <v>Lift</v>
      </c>
      <c r="BG455" s="55" t="str">
        <f aca="false">IF(A455="","",IF(BP455=1,"Neu; ","")&amp;IF(AND(BP455=0,BK455&lt;0),"negativer Bestand (Export "&amp;BK455&amp;"); ","")&amp;IF(J455&lt;=0,"Kein Verbrauch; ","")&amp;IF(CH455&gt;0,"Lift "&amp;W455&amp;" lt. Liftbericht (Fach "&amp;X455&amp;" Stk); ",IF(BU455=1,"Gebinde geschätzt ("&amp;T455&amp;"); ",IF(BT455=1,"Lose – Tablare geschätzt; ","")))&amp;IF(H455&gt;AR455,"Überbestand "&amp;ROUND(H455-AR455,0)&amp;" Stk / CHF "&amp;ROUND((H455-AR455)*G455,0)&amp;"; ","")&amp;IF(AND(CA455=1,CB455&lt;CC455),"MAX &lt; MB+LG; ","")&amp;IF(AND(CG455&gt;0,CF455*10&gt;CG455),"zu hoch für Tablar; ","")&amp;IF(AND(BP455=0,OR(CA455=1,AA455&lt;&gt;"",U455&lt;&gt;"",V455&lt;&gt;"",AB455&lt;&gt;"")),"manuell übersteuert; ","")&amp;IF(AND(BT455=0,R455=0),"Gebinde unbekannt / Stellmass fehlt; ","")&amp;IF(AND(BT455=0,N(V455)&lt;=0,N(Q455)&lt;=0),"Menge pro Gebinde fehlt (Ist = 1 Gebinde); ","")&amp;BO455)</f>
        <v>Überbestand 18 Stk / CHF 19; </v>
      </c>
      <c r="BH455" s="55"/>
      <c r="BI455" s="55"/>
      <c r="BJ455" s="62"/>
      <c r="BK455" s="57" t="n">
        <v>61</v>
      </c>
      <c r="BL455" s="57" t="n">
        <v>36</v>
      </c>
      <c r="BM455" s="56" t="n">
        <v>63.08</v>
      </c>
      <c r="BN455" s="57" t="n">
        <v>30</v>
      </c>
      <c r="BO455" s="55"/>
      <c r="BP455" s="60" t="n">
        <v>0</v>
      </c>
      <c r="BQ455" s="60" t="n">
        <v>455</v>
      </c>
      <c r="BR455" s="55" t="str">
        <f aca="false">IF(U455&lt;&gt;"",UPPER(TRIM(U455)),IF(BU455=1,UPPER(VLOOKUP(T455,Parameter!$I$27:$K$29,2,0)),IF(P455="","LOSE",P455)))</f>
        <v>S32</v>
      </c>
      <c r="BS455" s="57" t="n">
        <f aca="false">IF(BR455="LOSE",1,IF(N(V455)&gt;0,V455,IF(BU455=1,MAX(1,N(VLOOKUP(T455,Parameter!$I$27:$K$29,3,0)),H455,N(N455)),IF(N(Q455)&gt;0,Q455,MAX(1,H455)))))</f>
        <v>79</v>
      </c>
      <c r="BT455" s="60" t="n">
        <f aca="false">IF(BR455="LOSE",1,0)</f>
        <v>0</v>
      </c>
      <c r="BU455" s="60" t="n">
        <f aca="false">IF(AND(U455="",OR(P455="",P455="LOSE"),T455&lt;&gt;"",N(S455)&lt;=0,ISNUMBER(MATCH(T455,Parameter!$I$27:$I$29,0))),1,0)</f>
        <v>0</v>
      </c>
      <c r="BV455" s="55" t="str">
        <f aca="false">IF(AND(Parameter!$B$19="Ja",E455&lt;&gt;"",ISNUMBER(MATCH(E455,Parameter!$I$35:$I$52,0))),VLOOKUP(E455,Parameter!$I$35:$J$52,2,0),IFERROR(VLOOKUP(D455,Parameter!$A$35:$C$64,2,0),"Nein"))</f>
        <v>2+3</v>
      </c>
      <c r="BW455" s="59" t="n">
        <f aca="false">IF(BT455=0,0,IF(N(S455)&gt;0,S455,IFERROR(VLOOKUP(D455,Parameter!$A$35:$C$64,3,0)+0,0)))</f>
        <v>0</v>
      </c>
      <c r="BX455" s="55" t="n">
        <f aca="false">IF(AA455&lt;&gt;"",AA455,Z455)</f>
        <v>3</v>
      </c>
      <c r="BY455" s="55" t="str">
        <f aca="false">IF(BX455=1,"L1",IF(OR(BX455=2,BX455=3),"L23",IF(BX455="Aussen","Aussen","-")))</f>
        <v>L23</v>
      </c>
      <c r="BZ455" s="66" t="n">
        <f aca="false">IF(N(AB455)&gt;0,AB455,0)</f>
        <v>0</v>
      </c>
      <c r="CA455" s="60" t="n">
        <f aca="false">IF(ISNUMBER(AE455),1,0)</f>
        <v>0</v>
      </c>
      <c r="CB455" s="57" t="n">
        <f aca="false">N(AE455)</f>
        <v>0</v>
      </c>
      <c r="CC455" s="57" t="n">
        <f aca="false">N(M455)+N(N455)</f>
        <v>51</v>
      </c>
      <c r="CD455" s="57" t="n">
        <f aca="false">ROUNDUP(H455/BS455,0)</f>
        <v>2</v>
      </c>
      <c r="CE455" s="57" t="n">
        <f aca="false">ROUNDUP(CB455/BS455,0)</f>
        <v>0</v>
      </c>
      <c r="CF455" s="60" t="n">
        <f aca="false">IF(BT455=1,0,IFERROR(VLOOKUP(BR455,'Gebinde-Kategorie'!$A$5:$M$45,5,0)+0,0))</f>
        <v>8</v>
      </c>
      <c r="CG455" s="60" t="n">
        <f aca="false">IFERROR(IF(OR(BX455=1,BX455=2,BX455=3),N(INDEX(Parameter!$I$5:$I$7,BX455)),0),0)</f>
        <v>0</v>
      </c>
      <c r="CH455" s="59" t="n">
        <f aca="false">IF(AND(Parameter!$B$21="Ja",ISNUMBER(W455),N(X455)&gt;0),IFERROR(N(INDEX(Parameter!$L$5:$L$7,W455))*INDEX(Parameter!$E$5:$E$7,W455)*X455/SUMIFS($X$7:$X$1843,$W$7:$W$1843,W455),0),0)</f>
        <v>0</v>
      </c>
    </row>
    <row r="456" customFormat="false" ht="15" hidden="false" customHeight="false" outlineLevel="0" collapsed="false">
      <c r="A456" s="55" t="s">
        <v>1028</v>
      </c>
      <c r="B456" s="55" t="s">
        <v>1029</v>
      </c>
      <c r="C456" s="55" t="s">
        <v>164</v>
      </c>
      <c r="D456" s="55" t="s">
        <v>184</v>
      </c>
      <c r="E456" s="55" t="s">
        <v>185</v>
      </c>
      <c r="F456" s="55" t="s">
        <v>218</v>
      </c>
      <c r="G456" s="56" t="n">
        <v>53.1</v>
      </c>
      <c r="H456" s="57" t="n">
        <f aca="false">MAX(0,IF(AND(Parameter!$B$21="Ja",ISNUMBER(Y456)),Y456,IF(Parameter!$B$20="Jahresanfang 2025 + Export",BL456+BK456,BK456)))</f>
        <v>20</v>
      </c>
      <c r="I456" s="57" t="n">
        <f aca="false">H456*G456</f>
        <v>1062</v>
      </c>
      <c r="J456" s="57" t="n">
        <f aca="false">BN456*Parameter!$B$18</f>
        <v>1</v>
      </c>
      <c r="K456" s="58" t="n">
        <v>20</v>
      </c>
      <c r="L456" s="59" t="n">
        <v>0.05</v>
      </c>
      <c r="M456" s="57" t="n">
        <v>0</v>
      </c>
      <c r="N456" s="57" t="n">
        <v>1</v>
      </c>
      <c r="O456" s="60" t="n">
        <v>21</v>
      </c>
      <c r="P456" s="55" t="s">
        <v>401</v>
      </c>
      <c r="Q456" s="57" t="n">
        <v>100</v>
      </c>
      <c r="R456" s="60" t="n">
        <f aca="false">IF(BT456=1,0,IFERROR(VLOOKUP(BR456,'Gebinde-Kategorie'!$A$5:$M$45,13,0)+0,0))</f>
        <v>414</v>
      </c>
      <c r="S456" s="61"/>
      <c r="T456" s="62"/>
      <c r="U456" s="62"/>
      <c r="V456" s="62"/>
      <c r="W456" s="55"/>
      <c r="X456" s="57"/>
      <c r="Y456" s="57"/>
      <c r="Z456" s="55" t="n">
        <f aca="false">IF(A456="","",IF(AND(Parameter!$B$21="Ja",ISNUMBER(W456)),W456,IF(BV456="2+3",IF(ISNUMBER(SEARCH("grosser Artikel",BO456)),2,IFERROR(VLOOKUP(BR456,Parameter!$F$35:$G$64,2,0),2)),IF(OR(BV456="Nein",BV456=""),"-",BV456))))</f>
        <v>3</v>
      </c>
      <c r="AA456" s="62"/>
      <c r="AB456" s="63"/>
      <c r="AC456" s="57" t="n">
        <f aca="false">AR456</f>
        <v>100</v>
      </c>
      <c r="AD456" s="57" t="n">
        <f aca="false">MAX(AR456,H456)</f>
        <v>100</v>
      </c>
      <c r="AE456" s="64"/>
      <c r="AF456" s="57" t="n">
        <f aca="false">IF(LEFT(Cockpit!$C$5,1)="A",H456,IF(CA456=1,CB456,IF(LEFT(Cockpit!$C$5,1)="B",AJ456,MAX(AJ456,H456))))</f>
        <v>20</v>
      </c>
      <c r="AG456" s="57" t="n">
        <f aca="false">IF(BT456=1,0,ROUNDUP(AF456/BS456,0))</f>
        <v>1</v>
      </c>
      <c r="AH456" s="59" t="n">
        <f aca="false">IF(CH456&gt;0,CH456*MAX(1,AF456/X456),IF(BT456=1,IF(AF456&lt;=0,0,BW456*MAX(1,IF(H456&gt;0,AF456/H456,1))),IF(R456&gt;0,AG456/R456,0))/MAX(0.1,N(Parameter!$M$21)))</f>
        <v>0.00241545893719807</v>
      </c>
      <c r="AI456" s="57" t="n">
        <f aca="false">AF456*G456</f>
        <v>1062</v>
      </c>
      <c r="AJ456" s="57" t="n">
        <f aca="false">ROUNDUP(MAX(J456/IF(BZ456&gt;0,BZ456,MAX(0.1,N(Cockpit!$C$6))),CC456)/BS456,0)*BS456</f>
        <v>100</v>
      </c>
      <c r="AK456" s="58" t="n">
        <f aca="false">IF(AH456&gt;0,J456/AH456,-1)</f>
        <v>414</v>
      </c>
      <c r="AL456" s="58" t="n">
        <f aca="false">IF(AND(OR(BY456="L1",BY456="L23"),AH456&gt;0),SUMIFS($AH$7:$AH$1843,$BY$7:$BY$1843,BY456,$AK$7:$AK$1843,"&gt;"&amp;AK456)+SUMIFS($AH$7:$AH$1843,$BY$7:$BY$1843,BY456,$AK$7:$AK$1843,AK456,$BQ$7:$BQ$1843,"&lt;="&amp;BQ456),"")</f>
        <v>25.4186682882335</v>
      </c>
      <c r="AM456" s="65" t="n">
        <f aca="false">IF(AL456="",0,MAX(0,MIN(1,(IF(BY456="L1",Parameter!$E$5,Parameter!$E$6+Parameter!$E$7)-(AL456-AH456))/AH456)))</f>
        <v>1</v>
      </c>
      <c r="AN456" s="57" t="n">
        <f aca="false">IF(LEFT(Cockpit!$I$5,1)="A",H456,IF(CA456=1,CB456,IF(LEFT(Cockpit!$I$5,1)="B",AR456,MAX(AR456,H456))))</f>
        <v>100</v>
      </c>
      <c r="AO456" s="57" t="n">
        <f aca="false">IF(BT456=1,0,ROUNDUP(AN456/BS456,0))</f>
        <v>1</v>
      </c>
      <c r="AP456" s="59" t="n">
        <f aca="false">IF(CH456&gt;0,CH456*MAX(1,AN456/X456),IF(BT456=1,IF(AN456&lt;=0,0,BW456*MAX(1,IF(H456&gt;0,AN456/H456,1))),IF(R456&gt;0,AO456/R456,0))/MAX(0.1,N(Parameter!$M$21)))</f>
        <v>0.00241545893719807</v>
      </c>
      <c r="AQ456" s="57" t="n">
        <f aca="false">AN456*G456</f>
        <v>5310</v>
      </c>
      <c r="AR456" s="57" t="n">
        <f aca="false">ROUNDUP(MAX(J456/IF(BZ456&gt;0,BZ456,MAX(0.1,N(Cockpit!$I$6))),CC456)/BS456,0)*BS456</f>
        <v>100</v>
      </c>
      <c r="AS456" s="58" t="n">
        <f aca="false">IF(AP456&gt;0,J456/AP456,-1)</f>
        <v>414</v>
      </c>
      <c r="AT456" s="58" t="n">
        <f aca="false">IF(AND(OR(BY456="L1",BY456="L23"),AP456&gt;0),SUMIFS($AP$7:$AP$1843,$BY$7:$BY$1843,BY456,$AS$7:$AS$1843,"&gt;"&amp;AS456)+SUMIFS($AP$7:$AP$1843,$BY$7:$BY$1843,BY456,$AS$7:$AS$1843,AS456,$BQ$7:$BQ$1843,"&lt;="&amp;BQ456),"")</f>
        <v>35.0060724299855</v>
      </c>
      <c r="AU456" s="65" t="n">
        <f aca="false">IF(AT456="",0,MAX(0,MIN(1,(IF(BY456="L1",Parameter!$E$5,Parameter!$E$6+Parameter!$E$7)-(AT456-AP456))/AP456)))</f>
        <v>1</v>
      </c>
      <c r="AV456" s="57" t="n">
        <f aca="false">IF(LEFT(Cockpit!$O$5,1)="A",H456,IF(CA456=1,CB456,IF(LEFT(Cockpit!$O$5,1)="B",AZ456,MAX(AZ456,H456))))</f>
        <v>100</v>
      </c>
      <c r="AW456" s="57" t="n">
        <f aca="false">IF(BT456=1,0,ROUNDUP(AV456/BS456,0))</f>
        <v>1</v>
      </c>
      <c r="AX456" s="59" t="n">
        <f aca="false">IF(CH456&gt;0,CH456*MAX(1,AV456/X456),IF(BT456=1,IF(AV456&lt;=0,0,BW456*MAX(1,IF(H456&gt;0,AV456/H456,1))),IF(R456&gt;0,AW456/R456,0))/MAX(0.1,N(Parameter!$M$21)))</f>
        <v>0.00241545893719807</v>
      </c>
      <c r="AY456" s="57" t="n">
        <f aca="false">AV456*G456</f>
        <v>5310</v>
      </c>
      <c r="AZ456" s="57" t="n">
        <f aca="false">ROUNDUP(MAX(J456/IF(BZ456&gt;0,BZ456,MAX(0.1,N(Cockpit!$O$6))),CC456)/BS456,0)*BS456</f>
        <v>100</v>
      </c>
      <c r="BA456" s="58" t="n">
        <f aca="false">IF(AX456&gt;0,J456/AX456,-1)</f>
        <v>414</v>
      </c>
      <c r="BB456" s="58" t="n">
        <f aca="false">IF(AND(OR(BY456="L1",BY456="L23"),AX456&gt;0),SUMIFS($AX$7:$AX$1843,$BY$7:$BY$1843,BY456,$BA$7:$BA$1843,"&gt;"&amp;BA456)+SUMIFS($AX$7:$AX$1843,$BY$7:$BY$1843,BY456,$BA$7:$BA$1843,BA456,$BQ$7:$BQ$1843,"&lt;="&amp;BQ456),"")</f>
        <v>34.252575926489</v>
      </c>
      <c r="BC456" s="65" t="n">
        <f aca="false">IF(BB456="",0,MAX(0,MIN(1,(IF(BY456="L1",Parameter!$E$5,Parameter!$E$6+Parameter!$E$7)-(BB456-AX456))/AX456)))</f>
        <v>1</v>
      </c>
      <c r="BD456" s="55" t="str">
        <f aca="false">IF(AH456&lt;=0,"",IF(BY456="Aussen","Aussenlager",IF(BY456="-","Nicht im Lift",IF(AM456&gt;=1,"Lift",IF(AM456&lt;=0,"Aussenlager","teilweise")))))</f>
        <v>Lift</v>
      </c>
      <c r="BE456" s="55" t="str">
        <f aca="false">IF(AP456&lt;=0,"",IF(BY456="Aussen","Aussenlager",IF(BY456="-","Nicht im Lift",IF(AU456&gt;=1,"Lift",IF(AU456&lt;=0,"Aussenlager","teilweise")))))</f>
        <v>Lift</v>
      </c>
      <c r="BF456" s="55" t="str">
        <f aca="false">IF(AX456&lt;=0,"",IF(BY456="Aussen","Aussenlager",IF(BY456="-","Nicht im Lift",IF(BC456&gt;=1,"Lift",IF(BC456&lt;=0,"Aussenlager","teilweise")))))</f>
        <v>Lift</v>
      </c>
      <c r="BG456" s="55" t="str">
        <f aca="false">IF(A456="","",IF(BP456=1,"Neu; ","")&amp;IF(AND(BP456=0,BK456&lt;0),"negativer Bestand (Export "&amp;BK456&amp;"); ","")&amp;IF(J456&lt;=0,"Kein Verbrauch; ","")&amp;IF(CH456&gt;0,"Lift "&amp;W456&amp;" lt. Liftbericht (Fach "&amp;X456&amp;" Stk); ",IF(BU456=1,"Gebinde geschätzt ("&amp;T456&amp;"); ",IF(BT456=1,"Lose – Tablare geschätzt; ","")))&amp;IF(H456&gt;AR456,"Überbestand "&amp;ROUND(H456-AR456,0)&amp;" Stk / CHF "&amp;ROUND((H456-AR456)*G456,0)&amp;"; ","")&amp;IF(AND(CA456=1,CB456&lt;CC456),"MAX &lt; MB+LG; ","")&amp;IF(AND(CG456&gt;0,CF456*10&gt;CG456),"zu hoch für Tablar; ","")&amp;IF(AND(BP456=0,OR(CA456=1,AA456&lt;&gt;"",U456&lt;&gt;"",V456&lt;&gt;"",AB456&lt;&gt;"")),"manuell übersteuert; ","")&amp;IF(AND(BT456=0,R456=0),"Gebinde unbekannt / Stellmass fehlt; ","")&amp;IF(AND(BT456=0,N(V456)&lt;=0,N(Q456)&lt;=0),"Menge pro Gebinde fehlt (Ist = 1 Gebinde); ","")&amp;BO456)</f>
        <v>Verb.Lager</v>
      </c>
      <c r="BH456" s="55"/>
      <c r="BI456" s="55"/>
      <c r="BJ456" s="62"/>
      <c r="BK456" s="57" t="n">
        <v>0</v>
      </c>
      <c r="BL456" s="57" t="n">
        <v>20</v>
      </c>
      <c r="BM456" s="56" t="n">
        <v>61</v>
      </c>
      <c r="BN456" s="57" t="n">
        <v>1</v>
      </c>
      <c r="BO456" s="55" t="s">
        <v>1030</v>
      </c>
      <c r="BP456" s="60" t="n">
        <v>0</v>
      </c>
      <c r="BQ456" s="60" t="n">
        <v>456</v>
      </c>
      <c r="BR456" s="55" t="str">
        <f aca="false">IF(U456&lt;&gt;"",UPPER(TRIM(U456)),IF(BU456=1,UPPER(VLOOKUP(T456,Parameter!$I$27:$K$29,2,0)),IF(P456="","LOSE",P456)))</f>
        <v>S21</v>
      </c>
      <c r="BS456" s="57" t="n">
        <f aca="false">IF(BR456="LOSE",1,IF(N(V456)&gt;0,V456,IF(BU456=1,MAX(1,N(VLOOKUP(T456,Parameter!$I$27:$K$29,3,0)),H456,N(N456)),IF(N(Q456)&gt;0,Q456,MAX(1,H456)))))</f>
        <v>100</v>
      </c>
      <c r="BT456" s="60" t="n">
        <f aca="false">IF(BR456="LOSE",1,0)</f>
        <v>0</v>
      </c>
      <c r="BU456" s="60" t="n">
        <f aca="false">IF(AND(U456="",OR(P456="",P456="LOSE"),T456&lt;&gt;"",N(S456)&lt;=0,ISNUMBER(MATCH(T456,Parameter!$I$27:$I$29,0))),1,0)</f>
        <v>0</v>
      </c>
      <c r="BV456" s="55" t="str">
        <f aca="false">IF(AND(Parameter!$B$19="Ja",E456&lt;&gt;"",ISNUMBER(MATCH(E456,Parameter!$I$35:$I$52,0))),VLOOKUP(E456,Parameter!$I$35:$J$52,2,0),IFERROR(VLOOKUP(D456,Parameter!$A$35:$C$64,2,0),"Nein"))</f>
        <v>2+3</v>
      </c>
      <c r="BW456" s="59" t="n">
        <f aca="false">IF(BT456=0,0,IF(N(S456)&gt;0,S456,IFERROR(VLOOKUP(D456,Parameter!$A$35:$C$64,3,0)+0,0)))</f>
        <v>0</v>
      </c>
      <c r="BX456" s="55" t="n">
        <f aca="false">IF(AA456&lt;&gt;"",AA456,Z456)</f>
        <v>3</v>
      </c>
      <c r="BY456" s="55" t="str">
        <f aca="false">IF(BX456=1,"L1",IF(OR(BX456=2,BX456=3),"L23",IF(BX456="Aussen","Aussen","-")))</f>
        <v>L23</v>
      </c>
      <c r="BZ456" s="66" t="n">
        <f aca="false">IF(N(AB456)&gt;0,AB456,0)</f>
        <v>0</v>
      </c>
      <c r="CA456" s="60" t="n">
        <f aca="false">IF(ISNUMBER(AE456),1,0)</f>
        <v>0</v>
      </c>
      <c r="CB456" s="57" t="n">
        <f aca="false">N(AE456)</f>
        <v>0</v>
      </c>
      <c r="CC456" s="57" t="n">
        <f aca="false">N(M456)+N(N456)</f>
        <v>1</v>
      </c>
      <c r="CD456" s="57" t="n">
        <f aca="false">ROUNDUP(H456/BS456,0)</f>
        <v>1</v>
      </c>
      <c r="CE456" s="57" t="n">
        <f aca="false">ROUNDUP(CB456/BS456,0)</f>
        <v>0</v>
      </c>
      <c r="CF456" s="60" t="n">
        <f aca="false">IF(BT456=1,0,IFERROR(VLOOKUP(BR456,'Gebinde-Kategorie'!$A$5:$M$45,5,0)+0,0))</f>
        <v>8</v>
      </c>
      <c r="CG456" s="60" t="n">
        <f aca="false">IFERROR(IF(OR(BX456=1,BX456=2,BX456=3),N(INDEX(Parameter!$I$5:$I$7,BX456)),0),0)</f>
        <v>0</v>
      </c>
      <c r="CH456" s="59" t="n">
        <f aca="false">IF(AND(Parameter!$B$21="Ja",ISNUMBER(W456),N(X456)&gt;0),IFERROR(N(INDEX(Parameter!$L$5:$L$7,W456))*INDEX(Parameter!$E$5:$E$7,W456)*X456/SUMIFS($X$7:$X$1843,$W$7:$W$1843,W456),0),0)</f>
        <v>0</v>
      </c>
    </row>
    <row r="457" customFormat="false" ht="15" hidden="false" customHeight="false" outlineLevel="0" collapsed="false">
      <c r="A457" s="55" t="s">
        <v>1031</v>
      </c>
      <c r="B457" s="55" t="s">
        <v>1032</v>
      </c>
      <c r="C457" s="55" t="s">
        <v>164</v>
      </c>
      <c r="D457" s="55" t="s">
        <v>184</v>
      </c>
      <c r="E457" s="55" t="s">
        <v>185</v>
      </c>
      <c r="F457" s="55" t="s">
        <v>218</v>
      </c>
      <c r="G457" s="56" t="n">
        <v>24.9</v>
      </c>
      <c r="H457" s="57" t="n">
        <f aca="false">MAX(0,IF(AND(Parameter!$B$21="Ja",ISNUMBER(Y457)),Y457,IF(Parameter!$B$20="Jahresanfang 2025 + Export",BL457+BK457,BK457)))</f>
        <v>5</v>
      </c>
      <c r="I457" s="57" t="n">
        <f aca="false">H457*G457</f>
        <v>124.5</v>
      </c>
      <c r="J457" s="57" t="n">
        <f aca="false">BN457*Parameter!$B$18</f>
        <v>1</v>
      </c>
      <c r="K457" s="58" t="n">
        <v>3</v>
      </c>
      <c r="L457" s="59" t="n">
        <v>0.333333333333333</v>
      </c>
      <c r="M457" s="57" t="n">
        <v>2</v>
      </c>
      <c r="N457" s="57" t="n">
        <v>1</v>
      </c>
      <c r="O457" s="60" t="n">
        <v>28</v>
      </c>
      <c r="P457" s="55" t="s">
        <v>302</v>
      </c>
      <c r="Q457" s="57" t="n">
        <v>4</v>
      </c>
      <c r="R457" s="60" t="n">
        <f aca="false">IF(BT457=1,0,IFERROR(VLOOKUP(BR457,'Gebinde-Kategorie'!$A$5:$M$45,13,0)+0,0))</f>
        <v>26</v>
      </c>
      <c r="S457" s="61"/>
      <c r="T457" s="62"/>
      <c r="U457" s="62"/>
      <c r="V457" s="62"/>
      <c r="W457" s="55"/>
      <c r="X457" s="57"/>
      <c r="Y457" s="57"/>
      <c r="Z457" s="55" t="n">
        <f aca="false">IF(A457="","",IF(AND(Parameter!$B$21="Ja",ISNUMBER(W457)),W457,IF(BV457="2+3",IF(ISNUMBER(SEARCH("grosser Artikel",BO457)),2,IFERROR(VLOOKUP(BR457,Parameter!$F$35:$G$64,2,0),2)),IF(OR(BV457="Nein",BV457=""),"-",BV457))))</f>
        <v>3</v>
      </c>
      <c r="AA457" s="62"/>
      <c r="AB457" s="63"/>
      <c r="AC457" s="57" t="n">
        <f aca="false">AR457</f>
        <v>4</v>
      </c>
      <c r="AD457" s="57" t="n">
        <f aca="false">MAX(AR457,H457)</f>
        <v>5</v>
      </c>
      <c r="AE457" s="64"/>
      <c r="AF457" s="57" t="n">
        <f aca="false">IF(LEFT(Cockpit!$C$5,1)="A",H457,IF(CA457=1,CB457,IF(LEFT(Cockpit!$C$5,1)="B",AJ457,MAX(AJ457,H457))))</f>
        <v>5</v>
      </c>
      <c r="AG457" s="57" t="n">
        <f aca="false">IF(BT457=1,0,ROUNDUP(AF457/BS457,0))</f>
        <v>2</v>
      </c>
      <c r="AH457" s="59" t="n">
        <f aca="false">IF(CH457&gt;0,CH457*MAX(1,AF457/X457),IF(BT457=1,IF(AF457&lt;=0,0,BW457*MAX(1,IF(H457&gt;0,AF457/H457,1))),IF(R457&gt;0,AG457/R457,0))/MAX(0.1,N(Parameter!$M$21)))</f>
        <v>0.0769230769230769</v>
      </c>
      <c r="AI457" s="57" t="n">
        <f aca="false">AF457*G457</f>
        <v>124.5</v>
      </c>
      <c r="AJ457" s="57" t="n">
        <f aca="false">ROUNDUP(MAX(J457/IF(BZ457&gt;0,BZ457,MAX(0.1,N(Cockpit!$C$6))),CC457)/BS457,0)*BS457</f>
        <v>4</v>
      </c>
      <c r="AK457" s="58" t="n">
        <f aca="false">IF(AH457&gt;0,J457/AH457,-1)</f>
        <v>13</v>
      </c>
      <c r="AL457" s="58" t="n">
        <f aca="false">IF(AND(OR(BY457="L1",BY457="L23"),AH457&gt;0),SUMIFS($AH$7:$AH$1843,$BY$7:$BY$1843,BY457,$AK$7:$AK$1843,"&gt;"&amp;AK457)+SUMIFS($AH$7:$AH$1843,$BY$7:$BY$1843,BY457,$AK$7:$AK$1843,AK457,$BQ$7:$BQ$1843,"&lt;="&amp;BQ457),"")</f>
        <v>53.6074119117597</v>
      </c>
      <c r="AM457" s="65" t="n">
        <f aca="false">IF(AL457="",0,MAX(0,MIN(1,(IF(BY457="L1",Parameter!$E$5,Parameter!$E$6+Parameter!$E$7)-(AL457-AH457))/AH457)))</f>
        <v>1</v>
      </c>
      <c r="AN457" s="57" t="n">
        <f aca="false">IF(LEFT(Cockpit!$I$5,1)="A",H457,IF(CA457=1,CB457,IF(LEFT(Cockpit!$I$5,1)="B",AR457,MAX(AR457,H457))))</f>
        <v>5</v>
      </c>
      <c r="AO457" s="57" t="n">
        <f aca="false">IF(BT457=1,0,ROUNDUP(AN457/BS457,0))</f>
        <v>2</v>
      </c>
      <c r="AP457" s="59" t="n">
        <f aca="false">IF(CH457&gt;0,CH457*MAX(1,AN457/X457),IF(BT457=1,IF(AN457&lt;=0,0,BW457*MAX(1,IF(H457&gt;0,AN457/H457,1))),IF(R457&gt;0,AO457/R457,0))/MAX(0.1,N(Parameter!$M$21)))</f>
        <v>0.0769230769230769</v>
      </c>
      <c r="AQ457" s="57" t="n">
        <f aca="false">AN457*G457</f>
        <v>124.5</v>
      </c>
      <c r="AR457" s="57" t="n">
        <f aca="false">ROUNDUP(MAX(J457/IF(BZ457&gt;0,BZ457,MAX(0.1,N(Cockpit!$I$6))),CC457)/BS457,0)*BS457</f>
        <v>4</v>
      </c>
      <c r="AS457" s="58" t="n">
        <f aca="false">IF(AP457&gt;0,J457/AP457,-1)</f>
        <v>13</v>
      </c>
      <c r="AT457" s="58" t="n">
        <f aca="false">IF(AND(OR(BY457="L1",BY457="L23"),AP457&gt;0),SUMIFS($AP$7:$AP$1843,$BY$7:$BY$1843,BY457,$AS$7:$AS$1843,"&gt;"&amp;AS457)+SUMIFS($AP$7:$AP$1843,$BY$7:$BY$1843,BY457,$AS$7:$AS$1843,AS457,$BQ$7:$BQ$1843,"&lt;="&amp;BQ457),"")</f>
        <v>80.6148694300868</v>
      </c>
      <c r="AU457" s="65" t="n">
        <f aca="false">IF(AT457="",0,MAX(0,MIN(1,(IF(BY457="L1",Parameter!$E$5,Parameter!$E$6+Parameter!$E$7)-(AT457-AP457))/AP457)))</f>
        <v>1</v>
      </c>
      <c r="AV457" s="57" t="n">
        <f aca="false">IF(LEFT(Cockpit!$O$5,1)="A",H457,IF(CA457=1,CB457,IF(LEFT(Cockpit!$O$5,1)="B",AZ457,MAX(AZ457,H457))))</f>
        <v>5</v>
      </c>
      <c r="AW457" s="57" t="n">
        <f aca="false">IF(BT457=1,0,ROUNDUP(AV457/BS457,0))</f>
        <v>2</v>
      </c>
      <c r="AX457" s="59" t="n">
        <f aca="false">IF(CH457&gt;0,CH457*MAX(1,AV457/X457),IF(BT457=1,IF(AV457&lt;=0,0,BW457*MAX(1,IF(H457&gt;0,AV457/H457,1))),IF(R457&gt;0,AW457/R457,0))/MAX(0.1,N(Parameter!$M$21)))</f>
        <v>0.0769230769230769</v>
      </c>
      <c r="AY457" s="57" t="n">
        <f aca="false">AV457*G457</f>
        <v>124.5</v>
      </c>
      <c r="AZ457" s="57" t="n">
        <f aca="false">ROUNDUP(MAX(J457/IF(BZ457&gt;0,BZ457,MAX(0.1,N(Cockpit!$O$6))),CC457)/BS457,0)*BS457</f>
        <v>4</v>
      </c>
      <c r="BA457" s="58" t="n">
        <f aca="false">IF(AX457&gt;0,J457/AX457,-1)</f>
        <v>13</v>
      </c>
      <c r="BB457" s="58" t="n">
        <f aca="false">IF(AND(OR(BY457="L1",BY457="L23"),AX457&gt;0),SUMIFS($AX$7:$AX$1843,$BY$7:$BY$1843,BY457,$BA$7:$BA$1843,"&gt;"&amp;BA457)+SUMIFS($AX$7:$AX$1843,$BY$7:$BY$1843,BY457,$BA$7:$BA$1843,BA457,$BQ$7:$BQ$1843,"&lt;="&amp;BQ457),"")</f>
        <v>80.1113729265903</v>
      </c>
      <c r="BC457" s="65" t="n">
        <f aca="false">IF(BB457="",0,MAX(0,MIN(1,(IF(BY457="L1",Parameter!$E$5,Parameter!$E$6+Parameter!$E$7)-(BB457-AX457))/AX457)))</f>
        <v>1</v>
      </c>
      <c r="BD457" s="55" t="str">
        <f aca="false">IF(AH457&lt;=0,"",IF(BY457="Aussen","Aussenlager",IF(BY457="-","Nicht im Lift",IF(AM457&gt;=1,"Lift",IF(AM457&lt;=0,"Aussenlager","teilweise")))))</f>
        <v>Lift</v>
      </c>
      <c r="BE457" s="55" t="str">
        <f aca="false">IF(AP457&lt;=0,"",IF(BY457="Aussen","Aussenlager",IF(BY457="-","Nicht im Lift",IF(AU457&gt;=1,"Lift",IF(AU457&lt;=0,"Aussenlager","teilweise")))))</f>
        <v>Lift</v>
      </c>
      <c r="BF457" s="55" t="str">
        <f aca="false">IF(AX457&lt;=0,"",IF(BY457="Aussen","Aussenlager",IF(BY457="-","Nicht im Lift",IF(BC457&gt;=1,"Lift",IF(BC457&lt;=0,"Aussenlager","teilweise")))))</f>
        <v>Lift</v>
      </c>
      <c r="BG457" s="55" t="str">
        <f aca="false">IF(A457="","",IF(BP457=1,"Neu; ","")&amp;IF(AND(BP457=0,BK457&lt;0),"negativer Bestand (Export "&amp;BK457&amp;"); ","")&amp;IF(J457&lt;=0,"Kein Verbrauch; ","")&amp;IF(CH457&gt;0,"Lift "&amp;W457&amp;" lt. Liftbericht (Fach "&amp;X457&amp;" Stk); ",IF(BU457=1,"Gebinde geschätzt ("&amp;T457&amp;"); ",IF(BT457=1,"Lose – Tablare geschätzt; ","")))&amp;IF(H457&gt;AR457,"Überbestand "&amp;ROUND(H457-AR457,0)&amp;" Stk / CHF "&amp;ROUND((H457-AR457)*G457,0)&amp;"; ","")&amp;IF(AND(CA457=1,CB457&lt;CC457),"MAX &lt; MB+LG; ","")&amp;IF(AND(CG457&gt;0,CF457*10&gt;CG457),"zu hoch für Tablar; ","")&amp;IF(AND(BP457=0,OR(CA457=1,AA457&lt;&gt;"",U457&lt;&gt;"",V457&lt;&gt;"",AB457&lt;&gt;"")),"manuell übersteuert; ","")&amp;IF(AND(BT457=0,R457=0),"Gebinde unbekannt / Stellmass fehlt; ","")&amp;IF(AND(BT457=0,N(V457)&lt;=0,N(Q457)&lt;=0),"Menge pro Gebinde fehlt (Ist = 1 Gebinde); ","")&amp;BO457)</f>
        <v>Überbestand 1 Stk / CHF 25; Neu</v>
      </c>
      <c r="BH457" s="55"/>
      <c r="BI457" s="55"/>
      <c r="BJ457" s="62"/>
      <c r="BK457" s="57" t="n">
        <v>2</v>
      </c>
      <c r="BL457" s="57" t="n">
        <v>3</v>
      </c>
      <c r="BM457" s="56" t="n">
        <v>60.29</v>
      </c>
      <c r="BN457" s="57" t="n">
        <v>1</v>
      </c>
      <c r="BO457" s="55" t="s">
        <v>626</v>
      </c>
      <c r="BP457" s="60" t="n">
        <v>0</v>
      </c>
      <c r="BQ457" s="60" t="n">
        <v>457</v>
      </c>
      <c r="BR457" s="55" t="str">
        <f aca="false">IF(U457&lt;&gt;"",UPPER(TRIM(U457)),IF(BU457=1,UPPER(VLOOKUP(T457,Parameter!$I$27:$K$29,2,0)),IF(P457="","LOSE",P457)))</f>
        <v>S51</v>
      </c>
      <c r="BS457" s="57" t="n">
        <f aca="false">IF(BR457="LOSE",1,IF(N(V457)&gt;0,V457,IF(BU457=1,MAX(1,N(VLOOKUP(T457,Parameter!$I$27:$K$29,3,0)),H457,N(N457)),IF(N(Q457)&gt;0,Q457,MAX(1,H457)))))</f>
        <v>4</v>
      </c>
      <c r="BT457" s="60" t="n">
        <f aca="false">IF(BR457="LOSE",1,0)</f>
        <v>0</v>
      </c>
      <c r="BU457" s="60" t="n">
        <f aca="false">IF(AND(U457="",OR(P457="",P457="LOSE"),T457&lt;&gt;"",N(S457)&lt;=0,ISNUMBER(MATCH(T457,Parameter!$I$27:$I$29,0))),1,0)</f>
        <v>0</v>
      </c>
      <c r="BV457" s="55" t="str">
        <f aca="false">IF(AND(Parameter!$B$19="Ja",E457&lt;&gt;"",ISNUMBER(MATCH(E457,Parameter!$I$35:$I$52,0))),VLOOKUP(E457,Parameter!$I$35:$J$52,2,0),IFERROR(VLOOKUP(D457,Parameter!$A$35:$C$64,2,0),"Nein"))</f>
        <v>2+3</v>
      </c>
      <c r="BW457" s="59" t="n">
        <f aca="false">IF(BT457=0,0,IF(N(S457)&gt;0,S457,IFERROR(VLOOKUP(D457,Parameter!$A$35:$C$64,3,0)+0,0)))</f>
        <v>0</v>
      </c>
      <c r="BX457" s="55" t="n">
        <f aca="false">IF(AA457&lt;&gt;"",AA457,Z457)</f>
        <v>3</v>
      </c>
      <c r="BY457" s="55" t="str">
        <f aca="false">IF(BX457=1,"L1",IF(OR(BX457=2,BX457=3),"L23",IF(BX457="Aussen","Aussen","-")))</f>
        <v>L23</v>
      </c>
      <c r="BZ457" s="66" t="n">
        <f aca="false">IF(N(AB457)&gt;0,AB457,0)</f>
        <v>0</v>
      </c>
      <c r="CA457" s="60" t="n">
        <f aca="false">IF(ISNUMBER(AE457),1,0)</f>
        <v>0</v>
      </c>
      <c r="CB457" s="57" t="n">
        <f aca="false">N(AE457)</f>
        <v>0</v>
      </c>
      <c r="CC457" s="57" t="n">
        <f aca="false">N(M457)+N(N457)</f>
        <v>3</v>
      </c>
      <c r="CD457" s="57" t="n">
        <f aca="false">ROUNDUP(H457/BS457,0)</f>
        <v>2</v>
      </c>
      <c r="CE457" s="57" t="n">
        <f aca="false">ROUNDUP(CB457/BS457,0)</f>
        <v>0</v>
      </c>
      <c r="CF457" s="60" t="n">
        <f aca="false">IF(BT457=1,0,IFERROR(VLOOKUP(BR457,'Gebinde-Kategorie'!$A$5:$M$45,5,0)+0,0))</f>
        <v>11</v>
      </c>
      <c r="CG457" s="60" t="n">
        <f aca="false">IFERROR(IF(OR(BX457=1,BX457=2,BX457=3),N(INDEX(Parameter!$I$5:$I$7,BX457)),0),0)</f>
        <v>0</v>
      </c>
      <c r="CH457" s="59" t="n">
        <f aca="false">IF(AND(Parameter!$B$21="Ja",ISNUMBER(W457),N(X457)&gt;0),IFERROR(N(INDEX(Parameter!$L$5:$L$7,W457))*INDEX(Parameter!$E$5:$E$7,W457)*X457/SUMIFS($X$7:$X$1843,$W$7:$W$1843,W457),0),0)</f>
        <v>0</v>
      </c>
    </row>
    <row r="458" customFormat="false" ht="15" hidden="false" customHeight="false" outlineLevel="0" collapsed="false">
      <c r="A458" s="55" t="s">
        <v>1033</v>
      </c>
      <c r="B458" s="55" t="s">
        <v>1034</v>
      </c>
      <c r="C458" s="55" t="s">
        <v>164</v>
      </c>
      <c r="D458" s="55" t="s">
        <v>184</v>
      </c>
      <c r="E458" s="55" t="s">
        <v>185</v>
      </c>
      <c r="F458" s="55" t="s">
        <v>218</v>
      </c>
      <c r="G458" s="56" t="n">
        <v>29.6</v>
      </c>
      <c r="H458" s="57" t="n">
        <f aca="false">MAX(0,IF(AND(Parameter!$B$21="Ja",ISNUMBER(Y458)),Y458,IF(Parameter!$B$20="Jahresanfang 2025 + Export",BL458+BK458,BK458)))</f>
        <v>14</v>
      </c>
      <c r="I458" s="57" t="n">
        <f aca="false">H458*G458</f>
        <v>414.4</v>
      </c>
      <c r="J458" s="57" t="n">
        <f aca="false">BN458*Parameter!$B$18</f>
        <v>0</v>
      </c>
      <c r="K458" s="58" t="n">
        <v>12.5</v>
      </c>
      <c r="L458" s="59" t="n">
        <v>0</v>
      </c>
      <c r="M458" s="57" t="n">
        <v>0</v>
      </c>
      <c r="N458" s="57" t="n">
        <v>1</v>
      </c>
      <c r="O458" s="60" t="n">
        <v>14</v>
      </c>
      <c r="P458" s="55" t="s">
        <v>476</v>
      </c>
      <c r="Q458" s="57" t="n">
        <v>16</v>
      </c>
      <c r="R458" s="60" t="n">
        <f aca="false">IF(BT458=1,0,IFERROR(VLOOKUP(BR458,'Gebinde-Kategorie'!$A$5:$M$45,13,0)+0,0))</f>
        <v>66</v>
      </c>
      <c r="S458" s="61"/>
      <c r="T458" s="62"/>
      <c r="U458" s="62"/>
      <c r="V458" s="62"/>
      <c r="W458" s="55"/>
      <c r="X458" s="57"/>
      <c r="Y458" s="57"/>
      <c r="Z458" s="55" t="n">
        <f aca="false">IF(A458="","",IF(AND(Parameter!$B$21="Ja",ISNUMBER(W458)),W458,IF(BV458="2+3",IF(ISNUMBER(SEARCH("grosser Artikel",BO458)),2,IFERROR(VLOOKUP(BR458,Parameter!$F$35:$G$64,2,0),2)),IF(OR(BV458="Nein",BV458=""),"-",BV458))))</f>
        <v>3</v>
      </c>
      <c r="AA458" s="62"/>
      <c r="AB458" s="63"/>
      <c r="AC458" s="57" t="n">
        <f aca="false">AR458</f>
        <v>16</v>
      </c>
      <c r="AD458" s="57" t="n">
        <f aca="false">MAX(AR458,H458)</f>
        <v>16</v>
      </c>
      <c r="AE458" s="64"/>
      <c r="AF458" s="57" t="n">
        <f aca="false">IF(LEFT(Cockpit!$C$5,1)="A",H458,IF(CA458=1,CB458,IF(LEFT(Cockpit!$C$5,1)="B",AJ458,MAX(AJ458,H458))))</f>
        <v>14</v>
      </c>
      <c r="AG458" s="57" t="n">
        <f aca="false">IF(BT458=1,0,ROUNDUP(AF458/BS458,0))</f>
        <v>1</v>
      </c>
      <c r="AH458" s="59" t="n">
        <f aca="false">IF(CH458&gt;0,CH458*MAX(1,AF458/X458),IF(BT458=1,IF(AF458&lt;=0,0,BW458*MAX(1,IF(H458&gt;0,AF458/H458,1))),IF(R458&gt;0,AG458/R458,0))/MAX(0.1,N(Parameter!$M$21)))</f>
        <v>0.0151515151515152</v>
      </c>
      <c r="AI458" s="57" t="n">
        <f aca="false">AF458*G458</f>
        <v>414.4</v>
      </c>
      <c r="AJ458" s="57" t="n">
        <f aca="false">ROUNDUP(MAX(J458/IF(BZ458&gt;0,BZ458,MAX(0.1,N(Cockpit!$C$6))),CC458)/BS458,0)*BS458</f>
        <v>16</v>
      </c>
      <c r="AK458" s="58" t="n">
        <f aca="false">IF(AH458&gt;0,J458/AH458,-1)</f>
        <v>0</v>
      </c>
      <c r="AL458" s="58" t="n">
        <f aca="false">IF(AND(OR(BY458="L1",BY458="L23"),AH458&gt;0),SUMIFS($AH$7:$AH$1843,$BY$7:$BY$1843,BY458,$AK$7:$AK$1843,"&gt;"&amp;AK458)+SUMIFS($AH$7:$AH$1843,$BY$7:$BY$1843,BY458,$AK$7:$AK$1843,AK458,$BQ$7:$BQ$1843,"&lt;="&amp;BQ458),"")</f>
        <v>74.06720212155</v>
      </c>
      <c r="AM458" s="65" t="n">
        <f aca="false">IF(AL458="",0,MAX(0,MIN(1,(IF(BY458="L1",Parameter!$E$5,Parameter!$E$6+Parameter!$E$7)-(AL458-AH458))/AH458)))</f>
        <v>1</v>
      </c>
      <c r="AN458" s="57" t="n">
        <f aca="false">IF(LEFT(Cockpit!$I$5,1)="A",H458,IF(CA458=1,CB458,IF(LEFT(Cockpit!$I$5,1)="B",AR458,MAX(AR458,H458))))</f>
        <v>16</v>
      </c>
      <c r="AO458" s="57" t="n">
        <f aca="false">IF(BT458=1,0,ROUNDUP(AN458/BS458,0))</f>
        <v>1</v>
      </c>
      <c r="AP458" s="59" t="n">
        <f aca="false">IF(CH458&gt;0,CH458*MAX(1,AN458/X458),IF(BT458=1,IF(AN458&lt;=0,0,BW458*MAX(1,IF(H458&gt;0,AN458/H458,1))),IF(R458&gt;0,AO458/R458,0))/MAX(0.1,N(Parameter!$M$21)))</f>
        <v>0.0151515151515152</v>
      </c>
      <c r="AQ458" s="57" t="n">
        <f aca="false">AN458*G458</f>
        <v>473.6</v>
      </c>
      <c r="AR458" s="57" t="n">
        <f aca="false">ROUNDUP(MAX(J458/IF(BZ458&gt;0,BZ458,MAX(0.1,N(Cockpit!$I$6))),CC458)/BS458,0)*BS458</f>
        <v>16</v>
      </c>
      <c r="AS458" s="58" t="n">
        <f aca="false">IF(AP458&gt;0,J458/AP458,-1)</f>
        <v>0</v>
      </c>
      <c r="AT458" s="58" t="n">
        <f aca="false">IF(AND(OR(BY458="L1",BY458="L23"),AP458&gt;0),SUMIFS($AP$7:$AP$1843,$BY$7:$BY$1843,BY458,$AS$7:$AS$1843,"&gt;"&amp;AS458)+SUMIFS($AP$7:$AP$1843,$BY$7:$BY$1843,BY458,$AS$7:$AS$1843,AS458,$BQ$7:$BQ$1843,"&lt;="&amp;BQ458),"")</f>
        <v>113.491326306544</v>
      </c>
      <c r="AU458" s="65" t="n">
        <f aca="false">IF(AT458="",0,MAX(0,MIN(1,(IF(BY458="L1",Parameter!$E$5,Parameter!$E$6+Parameter!$E$7)-(AT458-AP458))/AP458)))</f>
        <v>0</v>
      </c>
      <c r="AV458" s="57" t="n">
        <f aca="false">IF(LEFT(Cockpit!$O$5,1)="A",H458,IF(CA458=1,CB458,IF(LEFT(Cockpit!$O$5,1)="B",AZ458,MAX(AZ458,H458))))</f>
        <v>16</v>
      </c>
      <c r="AW458" s="57" t="n">
        <f aca="false">IF(BT458=1,0,ROUNDUP(AV458/BS458,0))</f>
        <v>1</v>
      </c>
      <c r="AX458" s="59" t="n">
        <f aca="false">IF(CH458&gt;0,CH458*MAX(1,AV458/X458),IF(BT458=1,IF(AV458&lt;=0,0,BW458*MAX(1,IF(H458&gt;0,AV458/H458,1))),IF(R458&gt;0,AW458/R458,0))/MAX(0.1,N(Parameter!$M$21)))</f>
        <v>0.0151515151515152</v>
      </c>
      <c r="AY458" s="57" t="n">
        <f aca="false">AV458*G458</f>
        <v>473.6</v>
      </c>
      <c r="AZ458" s="57" t="n">
        <f aca="false">ROUNDUP(MAX(J458/IF(BZ458&gt;0,BZ458,MAX(0.1,N(Cockpit!$O$6))),CC458)/BS458,0)*BS458</f>
        <v>16</v>
      </c>
      <c r="BA458" s="58" t="n">
        <f aca="false">IF(AX458&gt;0,J458/AX458,-1)</f>
        <v>0</v>
      </c>
      <c r="BB458" s="58" t="n">
        <f aca="false">IF(AND(OR(BY458="L1",BY458="L23"),AX458&gt;0),SUMIFS($AX$7:$AX$1843,$BY$7:$BY$1843,BY458,$BA$7:$BA$1843,"&gt;"&amp;BA458)+SUMIFS($AX$7:$AX$1843,$BY$7:$BY$1843,BY458,$BA$7:$BA$1843,BA458,$BQ$7:$BQ$1843,"&lt;="&amp;BQ458),"")</f>
        <v>104.321163136381</v>
      </c>
      <c r="BC458" s="65" t="n">
        <f aca="false">IF(BB458="",0,MAX(0,MIN(1,(IF(BY458="L1",Parameter!$E$5,Parameter!$E$6+Parameter!$E$7)-(BB458-AX458))/AX458)))</f>
        <v>0</v>
      </c>
      <c r="BD458" s="55" t="str">
        <f aca="false">IF(AH458&lt;=0,"",IF(BY458="Aussen","Aussenlager",IF(BY458="-","Nicht im Lift",IF(AM458&gt;=1,"Lift",IF(AM458&lt;=0,"Aussenlager","teilweise")))))</f>
        <v>Lift</v>
      </c>
      <c r="BE458" s="55" t="str">
        <f aca="false">IF(AP458&lt;=0,"",IF(BY458="Aussen","Aussenlager",IF(BY458="-","Nicht im Lift",IF(AU458&gt;=1,"Lift",IF(AU458&lt;=0,"Aussenlager","teilweise")))))</f>
        <v>Aussenlager</v>
      </c>
      <c r="BF458" s="55" t="str">
        <f aca="false">IF(AX458&lt;=0,"",IF(BY458="Aussen","Aussenlager",IF(BY458="-","Nicht im Lift",IF(BC458&gt;=1,"Lift",IF(BC458&lt;=0,"Aussenlager","teilweise")))))</f>
        <v>Aussenlager</v>
      </c>
      <c r="BG458" s="55" t="str">
        <f aca="false">IF(A458="","",IF(BP458=1,"Neu; ","")&amp;IF(AND(BP458=0,BK458&lt;0),"negativer Bestand (Export "&amp;BK458&amp;"); ","")&amp;IF(J458&lt;=0,"Kein Verbrauch; ","")&amp;IF(CH458&gt;0,"Lift "&amp;W458&amp;" lt. Liftbericht (Fach "&amp;X458&amp;" Stk); ",IF(BU458=1,"Gebinde geschätzt ("&amp;T458&amp;"); ",IF(BT458=1,"Lose – Tablare geschätzt; ","")))&amp;IF(H458&gt;AR458,"Überbestand "&amp;ROUND(H458-AR458,0)&amp;" Stk / CHF "&amp;ROUND((H458-AR458)*G458,0)&amp;"; ","")&amp;IF(AND(CA458=1,CB458&lt;CC458),"MAX &lt; MB+LG; ","")&amp;IF(AND(CG458&gt;0,CF458*10&gt;CG458),"zu hoch für Tablar; ","")&amp;IF(AND(BP458=0,OR(CA458=1,AA458&lt;&gt;"",U458&lt;&gt;"",V458&lt;&gt;"",AB458&lt;&gt;"")),"manuell übersteuert; ","")&amp;IF(AND(BT458=0,R458=0),"Gebinde unbekannt / Stellmass fehlt; ","")&amp;IF(AND(BT458=0,N(V458)&lt;=0,N(Q458)&lt;=0),"Menge pro Gebinde fehlt (Ist = 1 Gebinde); ","")&amp;BO458)</f>
        <v>Kein Verbrauch; Überbestand</v>
      </c>
      <c r="BH458" s="55"/>
      <c r="BI458" s="55"/>
      <c r="BJ458" s="62"/>
      <c r="BK458" s="57" t="n">
        <v>2</v>
      </c>
      <c r="BL458" s="57" t="n">
        <v>12</v>
      </c>
      <c r="BM458" s="56" t="n">
        <v>59.2</v>
      </c>
      <c r="BN458" s="57" t="n">
        <v>0</v>
      </c>
      <c r="BO458" s="55" t="s">
        <v>392</v>
      </c>
      <c r="BP458" s="60" t="n">
        <v>0</v>
      </c>
      <c r="BQ458" s="60" t="n">
        <v>458</v>
      </c>
      <c r="BR458" s="55" t="str">
        <f aca="false">IF(U458&lt;&gt;"",UPPER(TRIM(U458)),IF(BU458=1,UPPER(VLOOKUP(T458,Parameter!$I$27:$K$29,2,0)),IF(P458="","LOSE",P458)))</f>
        <v>S33</v>
      </c>
      <c r="BS458" s="57" t="n">
        <f aca="false">IF(BR458="LOSE",1,IF(N(V458)&gt;0,V458,IF(BU458=1,MAX(1,N(VLOOKUP(T458,Parameter!$I$27:$K$29,3,0)),H458,N(N458)),IF(N(Q458)&gt;0,Q458,MAX(1,H458)))))</f>
        <v>16</v>
      </c>
      <c r="BT458" s="60" t="n">
        <f aca="false">IF(BR458="LOSE",1,0)</f>
        <v>0</v>
      </c>
      <c r="BU458" s="60" t="n">
        <f aca="false">IF(AND(U458="",OR(P458="",P458="LOSE"),T458&lt;&gt;"",N(S458)&lt;=0,ISNUMBER(MATCH(T458,Parameter!$I$27:$I$29,0))),1,0)</f>
        <v>0</v>
      </c>
      <c r="BV458" s="55" t="str">
        <f aca="false">IF(AND(Parameter!$B$19="Ja",E458&lt;&gt;"",ISNUMBER(MATCH(E458,Parameter!$I$35:$I$52,0))),VLOOKUP(E458,Parameter!$I$35:$J$52,2,0),IFERROR(VLOOKUP(D458,Parameter!$A$35:$C$64,2,0),"Nein"))</f>
        <v>2+3</v>
      </c>
      <c r="BW458" s="59" t="n">
        <f aca="false">IF(BT458=0,0,IF(N(S458)&gt;0,S458,IFERROR(VLOOKUP(D458,Parameter!$A$35:$C$64,3,0)+0,0)))</f>
        <v>0</v>
      </c>
      <c r="BX458" s="55" t="n">
        <f aca="false">IF(AA458&lt;&gt;"",AA458,Z458)</f>
        <v>3</v>
      </c>
      <c r="BY458" s="55" t="str">
        <f aca="false">IF(BX458=1,"L1",IF(OR(BX458=2,BX458=3),"L23",IF(BX458="Aussen","Aussen","-")))</f>
        <v>L23</v>
      </c>
      <c r="BZ458" s="66" t="n">
        <f aca="false">IF(N(AB458)&gt;0,AB458,0)</f>
        <v>0</v>
      </c>
      <c r="CA458" s="60" t="n">
        <f aca="false">IF(ISNUMBER(AE458),1,0)</f>
        <v>0</v>
      </c>
      <c r="CB458" s="57" t="n">
        <f aca="false">N(AE458)</f>
        <v>0</v>
      </c>
      <c r="CC458" s="57" t="n">
        <f aca="false">N(M458)+N(N458)</f>
        <v>1</v>
      </c>
      <c r="CD458" s="57" t="n">
        <f aca="false">ROUNDUP(H458/BS458,0)</f>
        <v>1</v>
      </c>
      <c r="CE458" s="57" t="n">
        <f aca="false">ROUNDUP(CB458/BS458,0)</f>
        <v>0</v>
      </c>
      <c r="CF458" s="60" t="n">
        <f aca="false">IF(BT458=1,0,IFERROR(VLOOKUP(BR458,'Gebinde-Kategorie'!$A$5:$M$45,5,0)+0,0))</f>
        <v>8</v>
      </c>
      <c r="CG458" s="60" t="n">
        <f aca="false">IFERROR(IF(OR(BX458=1,BX458=2,BX458=3),N(INDEX(Parameter!$I$5:$I$7,BX458)),0),0)</f>
        <v>0</v>
      </c>
      <c r="CH458" s="59" t="n">
        <f aca="false">IF(AND(Parameter!$B$21="Ja",ISNUMBER(W458),N(X458)&gt;0),IFERROR(N(INDEX(Parameter!$L$5:$L$7,W458))*INDEX(Parameter!$E$5:$E$7,W458)*X458/SUMIFS($X$7:$X$1843,$W$7:$W$1843,W458),0),0)</f>
        <v>0</v>
      </c>
    </row>
    <row r="459" customFormat="false" ht="15" hidden="false" customHeight="false" outlineLevel="0" collapsed="false">
      <c r="A459" s="55" t="s">
        <v>1035</v>
      </c>
      <c r="B459" s="55" t="s">
        <v>1036</v>
      </c>
      <c r="C459" s="55" t="s">
        <v>164</v>
      </c>
      <c r="D459" s="55" t="s">
        <v>184</v>
      </c>
      <c r="E459" s="55" t="s">
        <v>185</v>
      </c>
      <c r="F459" s="55" t="s">
        <v>218</v>
      </c>
      <c r="G459" s="56" t="n">
        <v>0.09</v>
      </c>
      <c r="H459" s="57" t="n">
        <f aca="false">MAX(0,IF(AND(Parameter!$B$21="Ja",ISNUMBER(Y459)),Y459,IF(Parameter!$B$20="Jahresanfang 2025 + Export",BL459+BK459,BK459)))</f>
        <v>1451</v>
      </c>
      <c r="I459" s="57" t="n">
        <f aca="false">H459*G459</f>
        <v>130.59</v>
      </c>
      <c r="J459" s="57" t="n">
        <f aca="false">BN459*Parameter!$B$18</f>
        <v>100</v>
      </c>
      <c r="K459" s="58" t="n">
        <v>1405</v>
      </c>
      <c r="L459" s="59" t="n">
        <v>0.0711743772241993</v>
      </c>
      <c r="M459" s="57" t="n">
        <v>5</v>
      </c>
      <c r="N459" s="57" t="n">
        <v>100</v>
      </c>
      <c r="O459" s="60" t="n">
        <v>21</v>
      </c>
      <c r="P459" s="55" t="s">
        <v>302</v>
      </c>
      <c r="Q459" s="57" t="n">
        <v>2900</v>
      </c>
      <c r="R459" s="60" t="n">
        <f aca="false">IF(BT459=1,0,IFERROR(VLOOKUP(BR459,'Gebinde-Kategorie'!$A$5:$M$45,13,0)+0,0))</f>
        <v>26</v>
      </c>
      <c r="S459" s="61"/>
      <c r="T459" s="62"/>
      <c r="U459" s="62"/>
      <c r="V459" s="62"/>
      <c r="W459" s="55"/>
      <c r="X459" s="57"/>
      <c r="Y459" s="57"/>
      <c r="Z459" s="55" t="n">
        <f aca="false">IF(A459="","",IF(AND(Parameter!$B$21="Ja",ISNUMBER(W459)),W459,IF(BV459="2+3",IF(ISNUMBER(SEARCH("grosser Artikel",BO459)),2,IFERROR(VLOOKUP(BR459,Parameter!$F$35:$G$64,2,0),2)),IF(OR(BV459="Nein",BV459=""),"-",BV459))))</f>
        <v>3</v>
      </c>
      <c r="AA459" s="62"/>
      <c r="AB459" s="63"/>
      <c r="AC459" s="57" t="n">
        <f aca="false">AR459</f>
        <v>2900</v>
      </c>
      <c r="AD459" s="57" t="n">
        <f aca="false">MAX(AR459,H459)</f>
        <v>2900</v>
      </c>
      <c r="AE459" s="64"/>
      <c r="AF459" s="57" t="n">
        <f aca="false">IF(LEFT(Cockpit!$C$5,1)="A",H459,IF(CA459=1,CB459,IF(LEFT(Cockpit!$C$5,1)="B",AJ459,MAX(AJ459,H459))))</f>
        <v>1451</v>
      </c>
      <c r="AG459" s="57" t="n">
        <f aca="false">IF(BT459=1,0,ROUNDUP(AF459/BS459,0))</f>
        <v>1</v>
      </c>
      <c r="AH459" s="59" t="n">
        <f aca="false">IF(CH459&gt;0,CH459*MAX(1,AF459/X459),IF(BT459=1,IF(AF459&lt;=0,0,BW459*MAX(1,IF(H459&gt;0,AF459/H459,1))),IF(R459&gt;0,AG459/R459,0))/MAX(0.1,N(Parameter!$M$21)))</f>
        <v>0.0384615384615385</v>
      </c>
      <c r="AI459" s="57" t="n">
        <f aca="false">AF459*G459</f>
        <v>130.59</v>
      </c>
      <c r="AJ459" s="57" t="n">
        <f aca="false">ROUNDUP(MAX(J459/IF(BZ459&gt;0,BZ459,MAX(0.1,N(Cockpit!$C$6))),CC459)/BS459,0)*BS459</f>
        <v>2900</v>
      </c>
      <c r="AK459" s="58" t="n">
        <f aca="false">IF(AH459&gt;0,J459/AH459,-1)</f>
        <v>2600</v>
      </c>
      <c r="AL459" s="58" t="n">
        <f aca="false">IF(AND(OR(BY459="L1",BY459="L23"),AH459&gt;0),SUMIFS($AH$7:$AH$1843,$BY$7:$BY$1843,BY459,$AK$7:$AK$1843,"&gt;"&amp;AK459)+SUMIFS($AH$7:$AH$1843,$BY$7:$BY$1843,BY459,$AK$7:$AK$1843,AK459,$BQ$7:$BQ$1843,"&lt;="&amp;BQ459),"")</f>
        <v>11.3958818958819</v>
      </c>
      <c r="AM459" s="65" t="n">
        <f aca="false">IF(AL459="",0,MAX(0,MIN(1,(IF(BY459="L1",Parameter!$E$5,Parameter!$E$6+Parameter!$E$7)-(AL459-AH459))/AH459)))</f>
        <v>1</v>
      </c>
      <c r="AN459" s="57" t="n">
        <f aca="false">IF(LEFT(Cockpit!$I$5,1)="A",H459,IF(CA459=1,CB459,IF(LEFT(Cockpit!$I$5,1)="B",AR459,MAX(AR459,H459))))</f>
        <v>2900</v>
      </c>
      <c r="AO459" s="57" t="n">
        <f aca="false">IF(BT459=1,0,ROUNDUP(AN459/BS459,0))</f>
        <v>1</v>
      </c>
      <c r="AP459" s="59" t="n">
        <f aca="false">IF(CH459&gt;0,CH459*MAX(1,AN459/X459),IF(BT459=1,IF(AN459&lt;=0,0,BW459*MAX(1,IF(H459&gt;0,AN459/H459,1))),IF(R459&gt;0,AO459/R459,0))/MAX(0.1,N(Parameter!$M$21)))</f>
        <v>0.0384615384615385</v>
      </c>
      <c r="AQ459" s="57" t="n">
        <f aca="false">AN459*G459</f>
        <v>261</v>
      </c>
      <c r="AR459" s="57" t="n">
        <f aca="false">ROUNDUP(MAX(J459/IF(BZ459&gt;0,BZ459,MAX(0.1,N(Cockpit!$I$6))),CC459)/BS459,0)*BS459</f>
        <v>2900</v>
      </c>
      <c r="AS459" s="58" t="n">
        <f aca="false">IF(AP459&gt;0,J459/AP459,-1)</f>
        <v>2600</v>
      </c>
      <c r="AT459" s="58" t="n">
        <f aca="false">IF(AND(OR(BY459="L1",BY459="L23"),AP459&gt;0),SUMIFS($AP$7:$AP$1843,$BY$7:$BY$1843,BY459,$AS$7:$AS$1843,"&gt;"&amp;AS459)+SUMIFS($AP$7:$AP$1843,$BY$7:$BY$1843,BY459,$AS$7:$AS$1843,AS459,$BQ$7:$BQ$1843,"&lt;="&amp;BQ459),"")</f>
        <v>16.2589777372386</v>
      </c>
      <c r="AU459" s="65" t="n">
        <f aca="false">IF(AT459="",0,MAX(0,MIN(1,(IF(BY459="L1",Parameter!$E$5,Parameter!$E$6+Parameter!$E$7)-(AT459-AP459))/AP459)))</f>
        <v>1</v>
      </c>
      <c r="AV459" s="57" t="n">
        <f aca="false">IF(LEFT(Cockpit!$O$5,1)="A",H459,IF(CA459=1,CB459,IF(LEFT(Cockpit!$O$5,1)="B",AZ459,MAX(AZ459,H459))))</f>
        <v>2900</v>
      </c>
      <c r="AW459" s="57" t="n">
        <f aca="false">IF(BT459=1,0,ROUNDUP(AV459/BS459,0))</f>
        <v>1</v>
      </c>
      <c r="AX459" s="59" t="n">
        <f aca="false">IF(CH459&gt;0,CH459*MAX(1,AV459/X459),IF(BT459=1,IF(AV459&lt;=0,0,BW459*MAX(1,IF(H459&gt;0,AV459/H459,1))),IF(R459&gt;0,AW459/R459,0))/MAX(0.1,N(Parameter!$M$21)))</f>
        <v>0.0384615384615385</v>
      </c>
      <c r="AY459" s="57" t="n">
        <f aca="false">AV459*G459</f>
        <v>261</v>
      </c>
      <c r="AZ459" s="57" t="n">
        <f aca="false">ROUNDUP(MAX(J459/IF(BZ459&gt;0,BZ459,MAX(0.1,N(Cockpit!$O$6))),CC459)/BS459,0)*BS459</f>
        <v>2900</v>
      </c>
      <c r="BA459" s="58" t="n">
        <f aca="false">IF(AX459&gt;0,J459/AX459,-1)</f>
        <v>2600</v>
      </c>
      <c r="BB459" s="58" t="n">
        <f aca="false">IF(AND(OR(BY459="L1",BY459="L23"),AX459&gt;0),SUMIFS($AX$7:$AX$1843,$BY$7:$BY$1843,BY459,$BA$7:$BA$1843,"&gt;"&amp;BA459)+SUMIFS($AX$7:$AX$1843,$BY$7:$BY$1843,BY459,$BA$7:$BA$1843,BA459,$BQ$7:$BQ$1843,"&lt;="&amp;BQ459),"")</f>
        <v>14.8324043106652</v>
      </c>
      <c r="BC459" s="65" t="n">
        <f aca="false">IF(BB459="",0,MAX(0,MIN(1,(IF(BY459="L1",Parameter!$E$5,Parameter!$E$6+Parameter!$E$7)-(BB459-AX459))/AX459)))</f>
        <v>1</v>
      </c>
      <c r="BD459" s="55" t="str">
        <f aca="false">IF(AH459&lt;=0,"",IF(BY459="Aussen","Aussenlager",IF(BY459="-","Nicht im Lift",IF(AM459&gt;=1,"Lift",IF(AM459&lt;=0,"Aussenlager","teilweise")))))</f>
        <v>Lift</v>
      </c>
      <c r="BE459" s="55" t="str">
        <f aca="false">IF(AP459&lt;=0,"",IF(BY459="Aussen","Aussenlager",IF(BY459="-","Nicht im Lift",IF(AU459&gt;=1,"Lift",IF(AU459&lt;=0,"Aussenlager","teilweise")))))</f>
        <v>Lift</v>
      </c>
      <c r="BF459" s="55" t="str">
        <f aca="false">IF(AX459&lt;=0,"",IF(BY459="Aussen","Aussenlager",IF(BY459="-","Nicht im Lift",IF(BC459&gt;=1,"Lift",IF(BC459&lt;=0,"Aussenlager","teilweise")))))</f>
        <v>Lift</v>
      </c>
      <c r="BG459" s="55" t="str">
        <f aca="false">IF(A459="","",IF(BP459=1,"Neu; ","")&amp;IF(AND(BP459=0,BK459&lt;0),"negativer Bestand (Export "&amp;BK459&amp;"); ","")&amp;IF(J459&lt;=0,"Kein Verbrauch; ","")&amp;IF(CH459&gt;0,"Lift "&amp;W459&amp;" lt. Liftbericht (Fach "&amp;X459&amp;" Stk); ",IF(BU459=1,"Gebinde geschätzt ("&amp;T459&amp;"); ",IF(BT459=1,"Lose – Tablare geschätzt; ","")))&amp;IF(H459&gt;AR459,"Überbestand "&amp;ROUND(H459-AR459,0)&amp;" Stk / CHF "&amp;ROUND((H459-AR459)*G459,0)&amp;"; ","")&amp;IF(AND(CA459=1,CB459&lt;CC459),"MAX &lt; MB+LG; ","")&amp;IF(AND(CG459&gt;0,CF459*10&gt;CG459),"zu hoch für Tablar; ","")&amp;IF(AND(BP459=0,OR(CA459=1,AA459&lt;&gt;"",U459&lt;&gt;"",V459&lt;&gt;"",AB459&lt;&gt;"")),"manuell übersteuert; ","")&amp;IF(AND(BT459=0,R459=0),"Gebinde unbekannt / Stellmass fehlt; ","")&amp;IF(AND(BT459=0,N(V459)&lt;=0,N(Q459)&lt;=0),"Menge pro Gebinde fehlt (Ist = 1 Gebinde); ","")&amp;BO459)</f>
        <v>negativer Bestand (Export -349); Verb.Lager</v>
      </c>
      <c r="BH459" s="55"/>
      <c r="BI459" s="55"/>
      <c r="BJ459" s="62"/>
      <c r="BK459" s="57" t="n">
        <v>-349</v>
      </c>
      <c r="BL459" s="57" t="n">
        <v>1800</v>
      </c>
      <c r="BM459" s="56" t="n">
        <v>58.59</v>
      </c>
      <c r="BN459" s="57" t="n">
        <v>100</v>
      </c>
      <c r="BO459" s="55" t="s">
        <v>1030</v>
      </c>
      <c r="BP459" s="60" t="n">
        <v>0</v>
      </c>
      <c r="BQ459" s="60" t="n">
        <v>459</v>
      </c>
      <c r="BR459" s="55" t="str">
        <f aca="false">IF(U459&lt;&gt;"",UPPER(TRIM(U459)),IF(BU459=1,UPPER(VLOOKUP(T459,Parameter!$I$27:$K$29,2,0)),IF(P459="","LOSE",P459)))</f>
        <v>S51</v>
      </c>
      <c r="BS459" s="57" t="n">
        <f aca="false">IF(BR459="LOSE",1,IF(N(V459)&gt;0,V459,IF(BU459=1,MAX(1,N(VLOOKUP(T459,Parameter!$I$27:$K$29,3,0)),H459,N(N459)),IF(N(Q459)&gt;0,Q459,MAX(1,H459)))))</f>
        <v>2900</v>
      </c>
      <c r="BT459" s="60" t="n">
        <f aca="false">IF(BR459="LOSE",1,0)</f>
        <v>0</v>
      </c>
      <c r="BU459" s="60" t="n">
        <f aca="false">IF(AND(U459="",OR(P459="",P459="LOSE"),T459&lt;&gt;"",N(S459)&lt;=0,ISNUMBER(MATCH(T459,Parameter!$I$27:$I$29,0))),1,0)</f>
        <v>0</v>
      </c>
      <c r="BV459" s="55" t="str">
        <f aca="false">IF(AND(Parameter!$B$19="Ja",E459&lt;&gt;"",ISNUMBER(MATCH(E459,Parameter!$I$35:$I$52,0))),VLOOKUP(E459,Parameter!$I$35:$J$52,2,0),IFERROR(VLOOKUP(D459,Parameter!$A$35:$C$64,2,0),"Nein"))</f>
        <v>2+3</v>
      </c>
      <c r="BW459" s="59" t="n">
        <f aca="false">IF(BT459=0,0,IF(N(S459)&gt;0,S459,IFERROR(VLOOKUP(D459,Parameter!$A$35:$C$64,3,0)+0,0)))</f>
        <v>0</v>
      </c>
      <c r="BX459" s="55" t="n">
        <f aca="false">IF(AA459&lt;&gt;"",AA459,Z459)</f>
        <v>3</v>
      </c>
      <c r="BY459" s="55" t="str">
        <f aca="false">IF(BX459=1,"L1",IF(OR(BX459=2,BX459=3),"L23",IF(BX459="Aussen","Aussen","-")))</f>
        <v>L23</v>
      </c>
      <c r="BZ459" s="66" t="n">
        <f aca="false">IF(N(AB459)&gt;0,AB459,0)</f>
        <v>0</v>
      </c>
      <c r="CA459" s="60" t="n">
        <f aca="false">IF(ISNUMBER(AE459),1,0)</f>
        <v>0</v>
      </c>
      <c r="CB459" s="57" t="n">
        <f aca="false">N(AE459)</f>
        <v>0</v>
      </c>
      <c r="CC459" s="57" t="n">
        <f aca="false">N(M459)+N(N459)</f>
        <v>105</v>
      </c>
      <c r="CD459" s="57" t="n">
        <f aca="false">ROUNDUP(H459/BS459,0)</f>
        <v>1</v>
      </c>
      <c r="CE459" s="57" t="n">
        <f aca="false">ROUNDUP(CB459/BS459,0)</f>
        <v>0</v>
      </c>
      <c r="CF459" s="60" t="n">
        <f aca="false">IF(BT459=1,0,IFERROR(VLOOKUP(BR459,'Gebinde-Kategorie'!$A$5:$M$45,5,0)+0,0))</f>
        <v>11</v>
      </c>
      <c r="CG459" s="60" t="n">
        <f aca="false">IFERROR(IF(OR(BX459=1,BX459=2,BX459=3),N(INDEX(Parameter!$I$5:$I$7,BX459)),0),0)</f>
        <v>0</v>
      </c>
      <c r="CH459" s="59" t="n">
        <f aca="false">IF(AND(Parameter!$B$21="Ja",ISNUMBER(W459),N(X459)&gt;0),IFERROR(N(INDEX(Parameter!$L$5:$L$7,W459))*INDEX(Parameter!$E$5:$E$7,W459)*X459/SUMIFS($X$7:$X$1843,$W$7:$W$1843,W459),0),0)</f>
        <v>0</v>
      </c>
    </row>
    <row r="460" customFormat="false" ht="15" hidden="false" customHeight="false" outlineLevel="0" collapsed="false">
      <c r="A460" s="55" t="s">
        <v>1037</v>
      </c>
      <c r="B460" s="55" t="s">
        <v>405</v>
      </c>
      <c r="C460" s="55" t="s">
        <v>164</v>
      </c>
      <c r="D460" s="55" t="s">
        <v>184</v>
      </c>
      <c r="E460" s="55" t="s">
        <v>185</v>
      </c>
      <c r="F460" s="55" t="s">
        <v>218</v>
      </c>
      <c r="G460" s="56" t="n">
        <v>0.13</v>
      </c>
      <c r="H460" s="57" t="n">
        <f aca="false">MAX(0,IF(AND(Parameter!$B$21="Ja",ISNUMBER(Y460)),Y460,IF(Parameter!$B$20="Jahresanfang 2025 + Export",BL460+BK460,BK460)))</f>
        <v>714</v>
      </c>
      <c r="I460" s="57" t="n">
        <f aca="false">H460*G460</f>
        <v>92.82</v>
      </c>
      <c r="J460" s="57" t="n">
        <f aca="false">BN460*Parameter!$B$18</f>
        <v>1442</v>
      </c>
      <c r="K460" s="58" t="n">
        <v>310</v>
      </c>
      <c r="L460" s="59" t="n">
        <v>4.65161290322581</v>
      </c>
      <c r="M460" s="57" t="n">
        <v>84</v>
      </c>
      <c r="N460" s="57" t="n">
        <v>500</v>
      </c>
      <c r="O460" s="60" t="n">
        <v>21</v>
      </c>
      <c r="P460" s="55" t="s">
        <v>302</v>
      </c>
      <c r="Q460" s="57" t="n">
        <v>271</v>
      </c>
      <c r="R460" s="60" t="n">
        <f aca="false">IF(BT460=1,0,IFERROR(VLOOKUP(BR460,'Gebinde-Kategorie'!$A$5:$M$45,13,0)+0,0))</f>
        <v>26</v>
      </c>
      <c r="S460" s="61"/>
      <c r="T460" s="62"/>
      <c r="U460" s="62"/>
      <c r="V460" s="62"/>
      <c r="W460" s="55"/>
      <c r="X460" s="57"/>
      <c r="Y460" s="57"/>
      <c r="Z460" s="55" t="n">
        <f aca="false">IF(A460="","",IF(AND(Parameter!$B$21="Ja",ISNUMBER(W460)),W460,IF(BV460="2+3",IF(ISNUMBER(SEARCH("grosser Artikel",BO460)),2,IFERROR(VLOOKUP(BR460,Parameter!$F$35:$G$64,2,0),2)),IF(OR(BV460="Nein",BV460=""),"-",BV460))))</f>
        <v>3</v>
      </c>
      <c r="AA460" s="62"/>
      <c r="AB460" s="63"/>
      <c r="AC460" s="57" t="n">
        <f aca="false">AR460</f>
        <v>813</v>
      </c>
      <c r="AD460" s="57" t="n">
        <f aca="false">MAX(AR460,H460)</f>
        <v>813</v>
      </c>
      <c r="AE460" s="64"/>
      <c r="AF460" s="57" t="n">
        <f aca="false">IF(LEFT(Cockpit!$C$5,1)="A",H460,IF(CA460=1,CB460,IF(LEFT(Cockpit!$C$5,1)="B",AJ460,MAX(AJ460,H460))))</f>
        <v>714</v>
      </c>
      <c r="AG460" s="57" t="n">
        <f aca="false">IF(BT460=1,0,ROUNDUP(AF460/BS460,0))</f>
        <v>3</v>
      </c>
      <c r="AH460" s="59" t="n">
        <f aca="false">IF(CH460&gt;0,CH460*MAX(1,AF460/X460),IF(BT460=1,IF(AF460&lt;=0,0,BW460*MAX(1,IF(H460&gt;0,AF460/H460,1))),IF(R460&gt;0,AG460/R460,0))/MAX(0.1,N(Parameter!$M$21)))</f>
        <v>0.115384615384615</v>
      </c>
      <c r="AI460" s="57" t="n">
        <f aca="false">AF460*G460</f>
        <v>92.82</v>
      </c>
      <c r="AJ460" s="57" t="n">
        <f aca="false">ROUNDUP(MAX(J460/IF(BZ460&gt;0,BZ460,MAX(0.1,N(Cockpit!$C$6))),CC460)/BS460,0)*BS460</f>
        <v>813</v>
      </c>
      <c r="AK460" s="58" t="n">
        <f aca="false">IF(AH460&gt;0,J460/AH460,-1)</f>
        <v>12497.3333333333</v>
      </c>
      <c r="AL460" s="58" t="n">
        <f aca="false">IF(AND(OR(BY460="L1",BY460="L23"),AH460&gt;0),SUMIFS($AH$7:$AH$1843,$BY$7:$BY$1843,BY460,$AK$7:$AK$1843,"&gt;"&amp;AK460)+SUMIFS($AH$7:$AH$1843,$BY$7:$BY$1843,BY460,$AK$7:$AK$1843,AK460,$BQ$7:$BQ$1843,"&lt;="&amp;BQ460),"")</f>
        <v>4.86847572717138</v>
      </c>
      <c r="AM460" s="65" t="n">
        <f aca="false">IF(AL460="",0,MAX(0,MIN(1,(IF(BY460="L1",Parameter!$E$5,Parameter!$E$6+Parameter!$E$7)-(AL460-AH460))/AH460)))</f>
        <v>1</v>
      </c>
      <c r="AN460" s="57" t="n">
        <f aca="false">IF(LEFT(Cockpit!$I$5,1)="A",H460,IF(CA460=1,CB460,IF(LEFT(Cockpit!$I$5,1)="B",AR460,MAX(AR460,H460))))</f>
        <v>813</v>
      </c>
      <c r="AO460" s="57" t="n">
        <f aca="false">IF(BT460=1,0,ROUNDUP(AN460/BS460,0))</f>
        <v>3</v>
      </c>
      <c r="AP460" s="59" t="n">
        <f aca="false">IF(CH460&gt;0,CH460*MAX(1,AN460/X460),IF(BT460=1,IF(AN460&lt;=0,0,BW460*MAX(1,IF(H460&gt;0,AN460/H460,1))),IF(R460&gt;0,AO460/R460,0))/MAX(0.1,N(Parameter!$M$21)))</f>
        <v>0.115384615384615</v>
      </c>
      <c r="AQ460" s="57" t="n">
        <f aca="false">AN460*G460</f>
        <v>105.69</v>
      </c>
      <c r="AR460" s="57" t="n">
        <f aca="false">ROUNDUP(MAX(J460/IF(BZ460&gt;0,BZ460,MAX(0.1,N(Cockpit!$I$6))),CC460)/BS460,0)*BS460</f>
        <v>813</v>
      </c>
      <c r="AS460" s="58" t="n">
        <f aca="false">IF(AP460&gt;0,J460/AP460,-1)</f>
        <v>12497.3333333333</v>
      </c>
      <c r="AT460" s="58" t="n">
        <f aca="false">IF(AND(OR(BY460="L1",BY460="L23"),AP460&gt;0),SUMIFS($AP$7:$AP$1843,$BY$7:$BY$1843,BY460,$AS$7:$AS$1843,"&gt;"&amp;AS460)+SUMIFS($AP$7:$AP$1843,$BY$7:$BY$1843,BY460,$AS$7:$AS$1843,AS460,$BQ$7:$BQ$1843,"&lt;="&amp;BQ460),"")</f>
        <v>5.57744670788149</v>
      </c>
      <c r="AU460" s="65" t="n">
        <f aca="false">IF(AT460="",0,MAX(0,MIN(1,(IF(BY460="L1",Parameter!$E$5,Parameter!$E$6+Parameter!$E$7)-(AT460-AP460))/AP460)))</f>
        <v>1</v>
      </c>
      <c r="AV460" s="57" t="n">
        <f aca="false">IF(LEFT(Cockpit!$O$5,1)="A",H460,IF(CA460=1,CB460,IF(LEFT(Cockpit!$O$5,1)="B",AZ460,MAX(AZ460,H460))))</f>
        <v>813</v>
      </c>
      <c r="AW460" s="57" t="n">
        <f aca="false">IF(BT460=1,0,ROUNDUP(AV460/BS460,0))</f>
        <v>3</v>
      </c>
      <c r="AX460" s="59" t="n">
        <f aca="false">IF(CH460&gt;0,CH460*MAX(1,AV460/X460),IF(BT460=1,IF(AV460&lt;=0,0,BW460*MAX(1,IF(H460&gt;0,AV460/H460,1))),IF(R460&gt;0,AW460/R460,0))/MAX(0.1,N(Parameter!$M$21)))</f>
        <v>0.115384615384615</v>
      </c>
      <c r="AY460" s="57" t="n">
        <f aca="false">AV460*G460</f>
        <v>105.69</v>
      </c>
      <c r="AZ460" s="57" t="n">
        <f aca="false">ROUNDUP(MAX(J460/IF(BZ460&gt;0,BZ460,MAX(0.1,N(Cockpit!$O$6))),CC460)/BS460,0)*BS460</f>
        <v>813</v>
      </c>
      <c r="BA460" s="58" t="n">
        <f aca="false">IF(AX460&gt;0,J460/AX460,-1)</f>
        <v>12497.3333333333</v>
      </c>
      <c r="BB460" s="58" t="n">
        <f aca="false">IF(AND(OR(BY460="L1",BY460="L23"),AX460&gt;0),SUMIFS($AX$7:$AX$1843,$BY$7:$BY$1843,BY460,$BA$7:$BA$1843,"&gt;"&amp;BA460)+SUMIFS($AX$7:$AX$1843,$BY$7:$BY$1843,BY460,$BA$7:$BA$1843,BA460,$BQ$7:$BQ$1843,"&lt;="&amp;BQ460),"")</f>
        <v>6.57395020438499</v>
      </c>
      <c r="BC460" s="65" t="n">
        <f aca="false">IF(BB460="",0,MAX(0,MIN(1,(IF(BY460="L1",Parameter!$E$5,Parameter!$E$6+Parameter!$E$7)-(BB460-AX460))/AX460)))</f>
        <v>1</v>
      </c>
      <c r="BD460" s="55" t="str">
        <f aca="false">IF(AH460&lt;=0,"",IF(BY460="Aussen","Aussenlager",IF(BY460="-","Nicht im Lift",IF(AM460&gt;=1,"Lift",IF(AM460&lt;=0,"Aussenlager","teilweise")))))</f>
        <v>Lift</v>
      </c>
      <c r="BE460" s="55" t="str">
        <f aca="false">IF(AP460&lt;=0,"",IF(BY460="Aussen","Aussenlager",IF(BY460="-","Nicht im Lift",IF(AU460&gt;=1,"Lift",IF(AU460&lt;=0,"Aussenlager","teilweise")))))</f>
        <v>Lift</v>
      </c>
      <c r="BF460" s="55" t="str">
        <f aca="false">IF(AX460&lt;=0,"",IF(BY460="Aussen","Aussenlager",IF(BY460="-","Nicht im Lift",IF(BC460&gt;=1,"Lift",IF(BC460&lt;=0,"Aussenlager","teilweise")))))</f>
        <v>Lift</v>
      </c>
      <c r="BG460" s="55" t="str">
        <f aca="false">IF(A460="","",IF(BP460=1,"Neu; ","")&amp;IF(AND(BP460=0,BK460&lt;0),"negativer Bestand (Export "&amp;BK460&amp;"); ","")&amp;IF(J460&lt;=0,"Kein Verbrauch; ","")&amp;IF(CH460&gt;0,"Lift "&amp;W460&amp;" lt. Liftbericht (Fach "&amp;X460&amp;" Stk); ",IF(BU460=1,"Gebinde geschätzt ("&amp;T460&amp;"); ",IF(BT460=1,"Lose – Tablare geschätzt; ","")))&amp;IF(H460&gt;AR460,"Überbestand "&amp;ROUND(H460-AR460,0)&amp;" Stk / CHF "&amp;ROUND((H460-AR460)*G460,0)&amp;"; ","")&amp;IF(AND(CA460=1,CB460&lt;CC460),"MAX &lt; MB+LG; ","")&amp;IF(AND(CG460&gt;0,CF460*10&gt;CG460),"zu hoch für Tablar; ","")&amp;IF(AND(BP460=0,OR(CA460=1,AA460&lt;&gt;"",U460&lt;&gt;"",V460&lt;&gt;"",AB460&lt;&gt;"")),"manuell übersteuert; ","")&amp;IF(AND(BT460=0,R460=0),"Gebinde unbekannt / Stellmass fehlt; ","")&amp;IF(AND(BT460=0,N(V460)&lt;=0,N(Q460)&lt;=0),"Menge pro Gebinde fehlt (Ist = 1 Gebinde); ","")&amp;BO460)</f>
        <v/>
      </c>
      <c r="BH460" s="55"/>
      <c r="BI460" s="55"/>
      <c r="BJ460" s="62"/>
      <c r="BK460" s="57" t="n">
        <v>424</v>
      </c>
      <c r="BL460" s="57" t="n">
        <v>290</v>
      </c>
      <c r="BM460" s="56" t="n">
        <v>57.94</v>
      </c>
      <c r="BN460" s="57" t="n">
        <v>1442</v>
      </c>
      <c r="BO460" s="55"/>
      <c r="BP460" s="60" t="n">
        <v>0</v>
      </c>
      <c r="BQ460" s="60" t="n">
        <v>460</v>
      </c>
      <c r="BR460" s="55" t="str">
        <f aca="false">IF(U460&lt;&gt;"",UPPER(TRIM(U460)),IF(BU460=1,UPPER(VLOOKUP(T460,Parameter!$I$27:$K$29,2,0)),IF(P460="","LOSE",P460)))</f>
        <v>S51</v>
      </c>
      <c r="BS460" s="57" t="n">
        <f aca="false">IF(BR460="LOSE",1,IF(N(V460)&gt;0,V460,IF(BU460=1,MAX(1,N(VLOOKUP(T460,Parameter!$I$27:$K$29,3,0)),H460,N(N460)),IF(N(Q460)&gt;0,Q460,MAX(1,H460)))))</f>
        <v>271</v>
      </c>
      <c r="BT460" s="60" t="n">
        <f aca="false">IF(BR460="LOSE",1,0)</f>
        <v>0</v>
      </c>
      <c r="BU460" s="60" t="n">
        <f aca="false">IF(AND(U460="",OR(P460="",P460="LOSE"),T460&lt;&gt;"",N(S460)&lt;=0,ISNUMBER(MATCH(T460,Parameter!$I$27:$I$29,0))),1,0)</f>
        <v>0</v>
      </c>
      <c r="BV460" s="55" t="str">
        <f aca="false">IF(AND(Parameter!$B$19="Ja",E460&lt;&gt;"",ISNUMBER(MATCH(E460,Parameter!$I$35:$I$52,0))),VLOOKUP(E460,Parameter!$I$35:$J$52,2,0),IFERROR(VLOOKUP(D460,Parameter!$A$35:$C$64,2,0),"Nein"))</f>
        <v>2+3</v>
      </c>
      <c r="BW460" s="59" t="n">
        <f aca="false">IF(BT460=0,0,IF(N(S460)&gt;0,S460,IFERROR(VLOOKUP(D460,Parameter!$A$35:$C$64,3,0)+0,0)))</f>
        <v>0</v>
      </c>
      <c r="BX460" s="55" t="n">
        <f aca="false">IF(AA460&lt;&gt;"",AA460,Z460)</f>
        <v>3</v>
      </c>
      <c r="BY460" s="55" t="str">
        <f aca="false">IF(BX460=1,"L1",IF(OR(BX460=2,BX460=3),"L23",IF(BX460="Aussen","Aussen","-")))</f>
        <v>L23</v>
      </c>
      <c r="BZ460" s="66" t="n">
        <f aca="false">IF(N(AB460)&gt;0,AB460,0)</f>
        <v>0</v>
      </c>
      <c r="CA460" s="60" t="n">
        <f aca="false">IF(ISNUMBER(AE460),1,0)</f>
        <v>0</v>
      </c>
      <c r="CB460" s="57" t="n">
        <f aca="false">N(AE460)</f>
        <v>0</v>
      </c>
      <c r="CC460" s="57" t="n">
        <f aca="false">N(M460)+N(N460)</f>
        <v>584</v>
      </c>
      <c r="CD460" s="57" t="n">
        <f aca="false">ROUNDUP(H460/BS460,0)</f>
        <v>3</v>
      </c>
      <c r="CE460" s="57" t="n">
        <f aca="false">ROUNDUP(CB460/BS460,0)</f>
        <v>0</v>
      </c>
      <c r="CF460" s="60" t="n">
        <f aca="false">IF(BT460=1,0,IFERROR(VLOOKUP(BR460,'Gebinde-Kategorie'!$A$5:$M$45,5,0)+0,0))</f>
        <v>11</v>
      </c>
      <c r="CG460" s="60" t="n">
        <f aca="false">IFERROR(IF(OR(BX460=1,BX460=2,BX460=3),N(INDEX(Parameter!$I$5:$I$7,BX460)),0),0)</f>
        <v>0</v>
      </c>
      <c r="CH460" s="59" t="n">
        <f aca="false">IF(AND(Parameter!$B$21="Ja",ISNUMBER(W460),N(X460)&gt;0),IFERROR(N(INDEX(Parameter!$L$5:$L$7,W460))*INDEX(Parameter!$E$5:$E$7,W460)*X460/SUMIFS($X$7:$X$1843,$W$7:$W$1843,W460),0),0)</f>
        <v>0</v>
      </c>
    </row>
    <row r="461" customFormat="false" ht="15" hidden="false" customHeight="false" outlineLevel="0" collapsed="false">
      <c r="A461" s="55" t="s">
        <v>1038</v>
      </c>
      <c r="B461" s="55" t="s">
        <v>1039</v>
      </c>
      <c r="C461" s="55" t="s">
        <v>164</v>
      </c>
      <c r="D461" s="55" t="s">
        <v>184</v>
      </c>
      <c r="E461" s="55" t="s">
        <v>185</v>
      </c>
      <c r="F461" s="55" t="s">
        <v>218</v>
      </c>
      <c r="G461" s="56" t="n">
        <v>31.29</v>
      </c>
      <c r="H461" s="57" t="n">
        <f aca="false">MAX(0,IF(AND(Parameter!$B$21="Ja",ISNUMBER(Y461)),Y461,IF(Parameter!$B$20="Jahresanfang 2025 + Export",BL461+BK461,BK461)))</f>
        <v>184</v>
      </c>
      <c r="I461" s="57" t="n">
        <f aca="false">H461*G461</f>
        <v>5757.36</v>
      </c>
      <c r="J461" s="57" t="n">
        <f aca="false">BN461*Parameter!$B$18</f>
        <v>202</v>
      </c>
      <c r="K461" s="58" t="n">
        <v>137</v>
      </c>
      <c r="L461" s="59" t="n">
        <v>1.47445255474453</v>
      </c>
      <c r="M461" s="57" t="n">
        <v>11</v>
      </c>
      <c r="N461" s="57" t="n">
        <v>150</v>
      </c>
      <c r="O461" s="60" t="n">
        <v>21</v>
      </c>
      <c r="P461" s="55" t="s">
        <v>226</v>
      </c>
      <c r="Q461" s="57" t="n">
        <v>228</v>
      </c>
      <c r="R461" s="60" t="n">
        <f aca="false">IF(BT461=1,0,IFERROR(VLOOKUP(BR461,'Gebinde-Kategorie'!$A$5:$M$45,13,0)+0,0))</f>
        <v>12</v>
      </c>
      <c r="S461" s="61"/>
      <c r="T461" s="62"/>
      <c r="U461" s="62"/>
      <c r="V461" s="62"/>
      <c r="W461" s="55"/>
      <c r="X461" s="57"/>
      <c r="Y461" s="57"/>
      <c r="Z461" s="55" t="n">
        <f aca="false">IF(A461="","",IF(AND(Parameter!$B$21="Ja",ISNUMBER(W461)),W461,IF(BV461="2+3",IF(ISNUMBER(SEARCH("grosser Artikel",BO461)),2,IFERROR(VLOOKUP(BR461,Parameter!$F$35:$G$64,2,0),2)),IF(OR(BV461="Nein",BV461=""),"-",BV461))))</f>
        <v>2</v>
      </c>
      <c r="AA461" s="62"/>
      <c r="AB461" s="63"/>
      <c r="AC461" s="57" t="n">
        <f aca="false">AR461</f>
        <v>228</v>
      </c>
      <c r="AD461" s="57" t="n">
        <f aca="false">MAX(AR461,H461)</f>
        <v>228</v>
      </c>
      <c r="AE461" s="64"/>
      <c r="AF461" s="57" t="n">
        <f aca="false">IF(LEFT(Cockpit!$C$5,1)="A",H461,IF(CA461=1,CB461,IF(LEFT(Cockpit!$C$5,1)="B",AJ461,MAX(AJ461,H461))))</f>
        <v>184</v>
      </c>
      <c r="AG461" s="57" t="n">
        <f aca="false">IF(BT461=1,0,ROUNDUP(AF461/BS461,0))</f>
        <v>1</v>
      </c>
      <c r="AH461" s="59" t="n">
        <f aca="false">IF(CH461&gt;0,CH461*MAX(1,AF461/X461),IF(BT461=1,IF(AF461&lt;=0,0,BW461*MAX(1,IF(H461&gt;0,AF461/H461,1))),IF(R461&gt;0,AG461/R461,0))/MAX(0.1,N(Parameter!$M$21)))</f>
        <v>0.0833333333333333</v>
      </c>
      <c r="AI461" s="57" t="n">
        <f aca="false">AF461*G461</f>
        <v>5757.36</v>
      </c>
      <c r="AJ461" s="57" t="n">
        <f aca="false">ROUNDUP(MAX(J461/IF(BZ461&gt;0,BZ461,MAX(0.1,N(Cockpit!$C$6))),CC461)/BS461,0)*BS461</f>
        <v>228</v>
      </c>
      <c r="AK461" s="58" t="n">
        <f aca="false">IF(AH461&gt;0,J461/AH461,-1)</f>
        <v>2424</v>
      </c>
      <c r="AL461" s="58" t="n">
        <f aca="false">IF(AND(OR(BY461="L1",BY461="L23"),AH461&gt;0),SUMIFS($AH$7:$AH$1843,$BY$7:$BY$1843,BY461,$AK$7:$AK$1843,"&gt;"&amp;AK461)+SUMIFS($AH$7:$AH$1843,$BY$7:$BY$1843,BY461,$AK$7:$AK$1843,AK461,$BQ$7:$BQ$1843,"&lt;="&amp;BQ461),"")</f>
        <v>11.6825951825952</v>
      </c>
      <c r="AM461" s="65" t="n">
        <f aca="false">IF(AL461="",0,MAX(0,MIN(1,(IF(BY461="L1",Parameter!$E$5,Parameter!$E$6+Parameter!$E$7)-(AL461-AH461))/AH461)))</f>
        <v>1</v>
      </c>
      <c r="AN461" s="57" t="n">
        <f aca="false">IF(LEFT(Cockpit!$I$5,1)="A",H461,IF(CA461=1,CB461,IF(LEFT(Cockpit!$I$5,1)="B",AR461,MAX(AR461,H461))))</f>
        <v>228</v>
      </c>
      <c r="AO461" s="57" t="n">
        <f aca="false">IF(BT461=1,0,ROUNDUP(AN461/BS461,0))</f>
        <v>1</v>
      </c>
      <c r="AP461" s="59" t="n">
        <f aca="false">IF(CH461&gt;0,CH461*MAX(1,AN461/X461),IF(BT461=1,IF(AN461&lt;=0,0,BW461*MAX(1,IF(H461&gt;0,AN461/H461,1))),IF(R461&gt;0,AO461/R461,0))/MAX(0.1,N(Parameter!$M$21)))</f>
        <v>0.0833333333333333</v>
      </c>
      <c r="AQ461" s="57" t="n">
        <f aca="false">AN461*G461</f>
        <v>7134.12</v>
      </c>
      <c r="AR461" s="57" t="n">
        <f aca="false">ROUNDUP(MAX(J461/IF(BZ461&gt;0,BZ461,MAX(0.1,N(Cockpit!$I$6))),CC461)/BS461,0)*BS461</f>
        <v>228</v>
      </c>
      <c r="AS461" s="58" t="n">
        <f aca="false">IF(AP461&gt;0,J461/AP461,-1)</f>
        <v>2424</v>
      </c>
      <c r="AT461" s="58" t="n">
        <f aca="false">IF(AND(OR(BY461="L1",BY461="L23"),AP461&gt;0),SUMIFS($AP$7:$AP$1843,$BY$7:$BY$1843,BY461,$AS$7:$AS$1843,"&gt;"&amp;AS461)+SUMIFS($AP$7:$AP$1843,$BY$7:$BY$1843,BY461,$AS$7:$AS$1843,AS461,$BQ$7:$BQ$1843,"&lt;="&amp;BQ461),"")</f>
        <v>17.122614100875</v>
      </c>
      <c r="AU461" s="65" t="n">
        <f aca="false">IF(AT461="",0,MAX(0,MIN(1,(IF(BY461="L1",Parameter!$E$5,Parameter!$E$6+Parameter!$E$7)-(AT461-AP461))/AP461)))</f>
        <v>1</v>
      </c>
      <c r="AV461" s="57" t="n">
        <f aca="false">IF(LEFT(Cockpit!$O$5,1)="A",H461,IF(CA461=1,CB461,IF(LEFT(Cockpit!$O$5,1)="B",AZ461,MAX(AZ461,H461))))</f>
        <v>228</v>
      </c>
      <c r="AW461" s="57" t="n">
        <f aca="false">IF(BT461=1,0,ROUNDUP(AV461/BS461,0))</f>
        <v>1</v>
      </c>
      <c r="AX461" s="59" t="n">
        <f aca="false">IF(CH461&gt;0,CH461*MAX(1,AV461/X461),IF(BT461=1,IF(AV461&lt;=0,0,BW461*MAX(1,IF(H461&gt;0,AV461/H461,1))),IF(R461&gt;0,AW461/R461,0))/MAX(0.1,N(Parameter!$M$21)))</f>
        <v>0.0833333333333333</v>
      </c>
      <c r="AY461" s="57" t="n">
        <f aca="false">AV461*G461</f>
        <v>7134.12</v>
      </c>
      <c r="AZ461" s="57" t="n">
        <f aca="false">ROUNDUP(MAX(J461/IF(BZ461&gt;0,BZ461,MAX(0.1,N(Cockpit!$O$6))),CC461)/BS461,0)*BS461</f>
        <v>228</v>
      </c>
      <c r="BA461" s="58" t="n">
        <f aca="false">IF(AX461&gt;0,J461/AX461,-1)</f>
        <v>2424</v>
      </c>
      <c r="BB461" s="58" t="n">
        <f aca="false">IF(AND(OR(BY461="L1",BY461="L23"),AX461&gt;0),SUMIFS($AX$7:$AX$1843,$BY$7:$BY$1843,BY461,$BA$7:$BA$1843,"&gt;"&amp;BA461)+SUMIFS($AX$7:$AX$1843,$BY$7:$BY$1843,BY461,$BA$7:$BA$1843,BA461,$BQ$7:$BQ$1843,"&lt;="&amp;BQ461),"")</f>
        <v>15.6960406743015</v>
      </c>
      <c r="BC461" s="65" t="n">
        <f aca="false">IF(BB461="",0,MAX(0,MIN(1,(IF(BY461="L1",Parameter!$E$5,Parameter!$E$6+Parameter!$E$7)-(BB461-AX461))/AX461)))</f>
        <v>1</v>
      </c>
      <c r="BD461" s="55" t="str">
        <f aca="false">IF(AH461&lt;=0,"",IF(BY461="Aussen","Aussenlager",IF(BY461="-","Nicht im Lift",IF(AM461&gt;=1,"Lift",IF(AM461&lt;=0,"Aussenlager","teilweise")))))</f>
        <v>Lift</v>
      </c>
      <c r="BE461" s="55" t="str">
        <f aca="false">IF(AP461&lt;=0,"",IF(BY461="Aussen","Aussenlager",IF(BY461="-","Nicht im Lift",IF(AU461&gt;=1,"Lift",IF(AU461&lt;=0,"Aussenlager","teilweise")))))</f>
        <v>Lift</v>
      </c>
      <c r="BF461" s="55" t="str">
        <f aca="false">IF(AX461&lt;=0,"",IF(BY461="Aussen","Aussenlager",IF(BY461="-","Nicht im Lift",IF(BC461&gt;=1,"Lift",IF(BC461&lt;=0,"Aussenlager","teilweise")))))</f>
        <v>Lift</v>
      </c>
      <c r="BG461" s="55" t="str">
        <f aca="false">IF(A461="","",IF(BP461=1,"Neu; ","")&amp;IF(AND(BP461=0,BK461&lt;0),"negativer Bestand (Export "&amp;BK461&amp;"); ","")&amp;IF(J461&lt;=0,"Kein Verbrauch; ","")&amp;IF(CH461&gt;0,"Lift "&amp;W461&amp;" lt. Liftbericht (Fach "&amp;X461&amp;" Stk); ",IF(BU461=1,"Gebinde geschätzt ("&amp;T461&amp;"); ",IF(BT461=1,"Lose – Tablare geschätzt; ","")))&amp;IF(H461&gt;AR461,"Überbestand "&amp;ROUND(H461-AR461,0)&amp;" Stk / CHF "&amp;ROUND((H461-AR461)*G461,0)&amp;"; ","")&amp;IF(AND(CA461=1,CB461&lt;CC461),"MAX &lt; MB+LG; ","")&amp;IF(AND(CG461&gt;0,CF461*10&gt;CG461),"zu hoch für Tablar; ","")&amp;IF(AND(BP461=0,OR(CA461=1,AA461&lt;&gt;"",U461&lt;&gt;"",V461&lt;&gt;"",AB461&lt;&gt;"")),"manuell übersteuert; ","")&amp;IF(AND(BT461=0,R461=0),"Gebinde unbekannt / Stellmass fehlt; ","")&amp;IF(AND(BT461=0,N(V461)&lt;=0,N(Q461)&lt;=0),"Menge pro Gebinde fehlt (Ist = 1 Gebinde); ","")&amp;BO461)</f>
        <v/>
      </c>
      <c r="BH461" s="55"/>
      <c r="BI461" s="55"/>
      <c r="BJ461" s="62"/>
      <c r="BK461" s="57" t="n">
        <v>25</v>
      </c>
      <c r="BL461" s="57" t="n">
        <v>159</v>
      </c>
      <c r="BM461" s="56" t="n">
        <v>57.6100000000038</v>
      </c>
      <c r="BN461" s="57" t="n">
        <v>202</v>
      </c>
      <c r="BO461" s="55"/>
      <c r="BP461" s="60" t="n">
        <v>0</v>
      </c>
      <c r="BQ461" s="60" t="n">
        <v>461</v>
      </c>
      <c r="BR461" s="55" t="str">
        <f aca="false">IF(U461&lt;&gt;"",UPPER(TRIM(U461)),IF(BU461=1,UPPER(VLOOKUP(T461,Parameter!$I$27:$K$29,2,0)),IF(P461="","LOSE",P461)))</f>
        <v>S63</v>
      </c>
      <c r="BS461" s="57" t="n">
        <f aca="false">IF(BR461="LOSE",1,IF(N(V461)&gt;0,V461,IF(BU461=1,MAX(1,N(VLOOKUP(T461,Parameter!$I$27:$K$29,3,0)),H461,N(N461)),IF(N(Q461)&gt;0,Q461,MAX(1,H461)))))</f>
        <v>228</v>
      </c>
      <c r="BT461" s="60" t="n">
        <f aca="false">IF(BR461="LOSE",1,0)</f>
        <v>0</v>
      </c>
      <c r="BU461" s="60" t="n">
        <f aca="false">IF(AND(U461="",OR(P461="",P461="LOSE"),T461&lt;&gt;"",N(S461)&lt;=0,ISNUMBER(MATCH(T461,Parameter!$I$27:$I$29,0))),1,0)</f>
        <v>0</v>
      </c>
      <c r="BV461" s="55" t="str">
        <f aca="false">IF(AND(Parameter!$B$19="Ja",E461&lt;&gt;"",ISNUMBER(MATCH(E461,Parameter!$I$35:$I$52,0))),VLOOKUP(E461,Parameter!$I$35:$J$52,2,0),IFERROR(VLOOKUP(D461,Parameter!$A$35:$C$64,2,0),"Nein"))</f>
        <v>2+3</v>
      </c>
      <c r="BW461" s="59" t="n">
        <f aca="false">IF(BT461=0,0,IF(N(S461)&gt;0,S461,IFERROR(VLOOKUP(D461,Parameter!$A$35:$C$64,3,0)+0,0)))</f>
        <v>0</v>
      </c>
      <c r="BX461" s="55" t="n">
        <f aca="false">IF(AA461&lt;&gt;"",AA461,Z461)</f>
        <v>2</v>
      </c>
      <c r="BY461" s="55" t="str">
        <f aca="false">IF(BX461=1,"L1",IF(OR(BX461=2,BX461=3),"L23",IF(BX461="Aussen","Aussen","-")))</f>
        <v>L23</v>
      </c>
      <c r="BZ461" s="66" t="n">
        <f aca="false">IF(N(AB461)&gt;0,AB461,0)</f>
        <v>0</v>
      </c>
      <c r="CA461" s="60" t="n">
        <f aca="false">IF(ISNUMBER(AE461),1,0)</f>
        <v>0</v>
      </c>
      <c r="CB461" s="57" t="n">
        <f aca="false">N(AE461)</f>
        <v>0</v>
      </c>
      <c r="CC461" s="57" t="n">
        <f aca="false">N(M461)+N(N461)</f>
        <v>161</v>
      </c>
      <c r="CD461" s="57" t="n">
        <f aca="false">ROUNDUP(H461/BS461,0)</f>
        <v>1</v>
      </c>
      <c r="CE461" s="57" t="n">
        <f aca="false">ROUNDUP(CB461/BS461,0)</f>
        <v>0</v>
      </c>
      <c r="CF461" s="60" t="n">
        <f aca="false">IF(BT461=1,0,IFERROR(VLOOKUP(BR461,'Gebinde-Kategorie'!$A$5:$M$45,5,0)+0,0))</f>
        <v>31</v>
      </c>
      <c r="CG461" s="60" t="n">
        <f aca="false">IFERROR(IF(OR(BX461=1,BX461=2,BX461=3),N(INDEX(Parameter!$I$5:$I$7,BX461)),0),0)</f>
        <v>0</v>
      </c>
      <c r="CH461" s="59" t="n">
        <f aca="false">IF(AND(Parameter!$B$21="Ja",ISNUMBER(W461),N(X461)&gt;0),IFERROR(N(INDEX(Parameter!$L$5:$L$7,W461))*INDEX(Parameter!$E$5:$E$7,W461)*X461/SUMIFS($X$7:$X$1843,$W$7:$W$1843,W461),0),0)</f>
        <v>0</v>
      </c>
    </row>
    <row r="462" customFormat="false" ht="15" hidden="false" customHeight="false" outlineLevel="0" collapsed="false">
      <c r="A462" s="55" t="s">
        <v>1040</v>
      </c>
      <c r="B462" s="55" t="s">
        <v>1041</v>
      </c>
      <c r="C462" s="55" t="s">
        <v>164</v>
      </c>
      <c r="D462" s="55" t="s">
        <v>184</v>
      </c>
      <c r="E462" s="55" t="s">
        <v>185</v>
      </c>
      <c r="F462" s="55" t="s">
        <v>218</v>
      </c>
      <c r="G462" s="56" t="n">
        <v>42.77</v>
      </c>
      <c r="H462" s="57" t="n">
        <f aca="false">MAX(0,IF(AND(Parameter!$B$21="Ja",ISNUMBER(Y462)),Y462,IF(Parameter!$B$20="Jahresanfang 2025 + Export",BL462+BK462,BK462)))</f>
        <v>8</v>
      </c>
      <c r="I462" s="57" t="n">
        <f aca="false">H462*G462</f>
        <v>342.16</v>
      </c>
      <c r="J462" s="57" t="n">
        <f aca="false">BN462*Parameter!$B$18</f>
        <v>3</v>
      </c>
      <c r="K462" s="58" t="n">
        <v>7.5</v>
      </c>
      <c r="L462" s="59" t="n">
        <v>0.4</v>
      </c>
      <c r="M462" s="57" t="n">
        <v>0</v>
      </c>
      <c r="N462" s="57" t="n">
        <v>5</v>
      </c>
      <c r="O462" s="60" t="n">
        <v>21</v>
      </c>
      <c r="P462" s="55" t="s">
        <v>421</v>
      </c>
      <c r="Q462" s="57" t="n">
        <v>11</v>
      </c>
      <c r="R462" s="60" t="n">
        <f aca="false">IF(BT462=1,0,IFERROR(VLOOKUP(BR462,'Gebinde-Kategorie'!$A$5:$M$45,13,0)+0,0))</f>
        <v>132</v>
      </c>
      <c r="S462" s="61"/>
      <c r="T462" s="62"/>
      <c r="U462" s="62"/>
      <c r="V462" s="62"/>
      <c r="W462" s="55"/>
      <c r="X462" s="57"/>
      <c r="Y462" s="57"/>
      <c r="Z462" s="55" t="n">
        <f aca="false">IF(A462="","",IF(AND(Parameter!$B$21="Ja",ISNUMBER(W462)),W462,IF(BV462="2+3",IF(ISNUMBER(SEARCH("grosser Artikel",BO462)),2,IFERROR(VLOOKUP(BR462,Parameter!$F$35:$G$64,2,0),2)),IF(OR(BV462="Nein",BV462=""),"-",BV462))))</f>
        <v>3</v>
      </c>
      <c r="AA462" s="62"/>
      <c r="AB462" s="63"/>
      <c r="AC462" s="57" t="n">
        <f aca="false">AR462</f>
        <v>11</v>
      </c>
      <c r="AD462" s="57" t="n">
        <f aca="false">MAX(AR462,H462)</f>
        <v>11</v>
      </c>
      <c r="AE462" s="64"/>
      <c r="AF462" s="57" t="n">
        <f aca="false">IF(LEFT(Cockpit!$C$5,1)="A",H462,IF(CA462=1,CB462,IF(LEFT(Cockpit!$C$5,1)="B",AJ462,MAX(AJ462,H462))))</f>
        <v>8</v>
      </c>
      <c r="AG462" s="57" t="n">
        <f aca="false">IF(BT462=1,0,ROUNDUP(AF462/BS462,0))</f>
        <v>1</v>
      </c>
      <c r="AH462" s="59" t="n">
        <f aca="false">IF(CH462&gt;0,CH462*MAX(1,AF462/X462),IF(BT462=1,IF(AF462&lt;=0,0,BW462*MAX(1,IF(H462&gt;0,AF462/H462,1))),IF(R462&gt;0,AG462/R462,0))/MAX(0.1,N(Parameter!$M$21)))</f>
        <v>0.00757575757575758</v>
      </c>
      <c r="AI462" s="57" t="n">
        <f aca="false">AF462*G462</f>
        <v>342.16</v>
      </c>
      <c r="AJ462" s="57" t="n">
        <f aca="false">ROUNDUP(MAX(J462/IF(BZ462&gt;0,BZ462,MAX(0.1,N(Cockpit!$C$6))),CC462)/BS462,0)*BS462</f>
        <v>11</v>
      </c>
      <c r="AK462" s="58" t="n">
        <f aca="false">IF(AH462&gt;0,J462/AH462,-1)</f>
        <v>396</v>
      </c>
      <c r="AL462" s="58" t="n">
        <f aca="false">IF(AND(OR(BY462="L1",BY462="L23"),AH462&gt;0),SUMIFS($AH$7:$AH$1843,$BY$7:$BY$1843,BY462,$AK$7:$AK$1843,"&gt;"&amp;AK462)+SUMIFS($AH$7:$AH$1843,$BY$7:$BY$1843,BY462,$AK$7:$AK$1843,AK462,$BQ$7:$BQ$1843,"&lt;="&amp;BQ462),"")</f>
        <v>25.8950035471775</v>
      </c>
      <c r="AM462" s="65" t="n">
        <f aca="false">IF(AL462="",0,MAX(0,MIN(1,(IF(BY462="L1",Parameter!$E$5,Parameter!$E$6+Parameter!$E$7)-(AL462-AH462))/AH462)))</f>
        <v>1</v>
      </c>
      <c r="AN462" s="57" t="n">
        <f aca="false">IF(LEFT(Cockpit!$I$5,1)="A",H462,IF(CA462=1,CB462,IF(LEFT(Cockpit!$I$5,1)="B",AR462,MAX(AR462,H462))))</f>
        <v>11</v>
      </c>
      <c r="AO462" s="57" t="n">
        <f aca="false">IF(BT462=1,0,ROUNDUP(AN462/BS462,0))</f>
        <v>1</v>
      </c>
      <c r="AP462" s="59" t="n">
        <f aca="false">IF(CH462&gt;0,CH462*MAX(1,AN462/X462),IF(BT462=1,IF(AN462&lt;=0,0,BW462*MAX(1,IF(H462&gt;0,AN462/H462,1))),IF(R462&gt;0,AO462/R462,0))/MAX(0.1,N(Parameter!$M$21)))</f>
        <v>0.00757575757575758</v>
      </c>
      <c r="AQ462" s="57" t="n">
        <f aca="false">AN462*G462</f>
        <v>470.47</v>
      </c>
      <c r="AR462" s="57" t="n">
        <f aca="false">ROUNDUP(MAX(J462/IF(BZ462&gt;0,BZ462,MAX(0.1,N(Cockpit!$I$6))),CC462)/BS462,0)*BS462</f>
        <v>11</v>
      </c>
      <c r="AS462" s="58" t="n">
        <f aca="false">IF(AP462&gt;0,J462/AP462,-1)</f>
        <v>396</v>
      </c>
      <c r="AT462" s="58" t="n">
        <f aca="false">IF(AND(OR(BY462="L1",BY462="L23"),AP462&gt;0),SUMIFS($AP$7:$AP$1843,$BY$7:$BY$1843,BY462,$AS$7:$AS$1843,"&gt;"&amp;AS462)+SUMIFS($AP$7:$AP$1843,$BY$7:$BY$1843,BY462,$AS$7:$AS$1843,AS462,$BQ$7:$BQ$1843,"&lt;="&amp;BQ462),"")</f>
        <v>35.3333079963515</v>
      </c>
      <c r="AU462" s="65" t="n">
        <f aca="false">IF(AT462="",0,MAX(0,MIN(1,(IF(BY462="L1",Parameter!$E$5,Parameter!$E$6+Parameter!$E$7)-(AT462-AP462))/AP462)))</f>
        <v>1</v>
      </c>
      <c r="AV462" s="57" t="n">
        <f aca="false">IF(LEFT(Cockpit!$O$5,1)="A",H462,IF(CA462=1,CB462,IF(LEFT(Cockpit!$O$5,1)="B",AZ462,MAX(AZ462,H462))))</f>
        <v>11</v>
      </c>
      <c r="AW462" s="57" t="n">
        <f aca="false">IF(BT462=1,0,ROUNDUP(AV462/BS462,0))</f>
        <v>1</v>
      </c>
      <c r="AX462" s="59" t="n">
        <f aca="false">IF(CH462&gt;0,CH462*MAX(1,AV462/X462),IF(BT462=1,IF(AV462&lt;=0,0,BW462*MAX(1,IF(H462&gt;0,AV462/H462,1))),IF(R462&gt;0,AW462/R462,0))/MAX(0.1,N(Parameter!$M$21)))</f>
        <v>0.00757575757575758</v>
      </c>
      <c r="AY462" s="57" t="n">
        <f aca="false">AV462*G462</f>
        <v>470.47</v>
      </c>
      <c r="AZ462" s="57" t="n">
        <f aca="false">ROUNDUP(MAX(J462/IF(BZ462&gt;0,BZ462,MAX(0.1,N(Cockpit!$O$6))),CC462)/BS462,0)*BS462</f>
        <v>11</v>
      </c>
      <c r="BA462" s="58" t="n">
        <f aca="false">IF(AX462&gt;0,J462/AX462,-1)</f>
        <v>396</v>
      </c>
      <c r="BB462" s="58" t="n">
        <f aca="false">IF(AND(OR(BY462="L1",BY462="L23"),AX462&gt;0),SUMIFS($AX$7:$AX$1843,$BY$7:$BY$1843,BY462,$BA$7:$BA$1843,"&gt;"&amp;BA462)+SUMIFS($AX$7:$AX$1843,$BY$7:$BY$1843,BY462,$BA$7:$BA$1843,BA462,$BQ$7:$BQ$1843,"&lt;="&amp;BQ462),"")</f>
        <v>34.579811492855</v>
      </c>
      <c r="BC462" s="65" t="n">
        <f aca="false">IF(BB462="",0,MAX(0,MIN(1,(IF(BY462="L1",Parameter!$E$5,Parameter!$E$6+Parameter!$E$7)-(BB462-AX462))/AX462)))</f>
        <v>1</v>
      </c>
      <c r="BD462" s="55" t="str">
        <f aca="false">IF(AH462&lt;=0,"",IF(BY462="Aussen","Aussenlager",IF(BY462="-","Nicht im Lift",IF(AM462&gt;=1,"Lift",IF(AM462&lt;=0,"Aussenlager","teilweise")))))</f>
        <v>Lift</v>
      </c>
      <c r="BE462" s="55" t="str">
        <f aca="false">IF(AP462&lt;=0,"",IF(BY462="Aussen","Aussenlager",IF(BY462="-","Nicht im Lift",IF(AU462&gt;=1,"Lift",IF(AU462&lt;=0,"Aussenlager","teilweise")))))</f>
        <v>Lift</v>
      </c>
      <c r="BF462" s="55" t="str">
        <f aca="false">IF(AX462&lt;=0,"",IF(BY462="Aussen","Aussenlager",IF(BY462="-","Nicht im Lift",IF(BC462&gt;=1,"Lift",IF(BC462&lt;=0,"Aussenlager","teilweise")))))</f>
        <v>Lift</v>
      </c>
      <c r="BG462" s="55" t="str">
        <f aca="false">IF(A462="","",IF(BP462=1,"Neu; ","")&amp;IF(AND(BP462=0,BK462&lt;0),"negativer Bestand (Export "&amp;BK462&amp;"); ","")&amp;IF(J462&lt;=0,"Kein Verbrauch; ","")&amp;IF(CH462&gt;0,"Lift "&amp;W462&amp;" lt. Liftbericht (Fach "&amp;X462&amp;" Stk); ",IF(BU462=1,"Gebinde geschätzt ("&amp;T462&amp;"); ",IF(BT462=1,"Lose – Tablare geschätzt; ","")))&amp;IF(H462&gt;AR462,"Überbestand "&amp;ROUND(H462-AR462,0)&amp;" Stk / CHF "&amp;ROUND((H462-AR462)*G462,0)&amp;"; ","")&amp;IF(AND(CA462=1,CB462&lt;CC462),"MAX &lt; MB+LG; ","")&amp;IF(AND(CG462&gt;0,CF462*10&gt;CG462),"zu hoch für Tablar; ","")&amp;IF(AND(BP462=0,OR(CA462=1,AA462&lt;&gt;"",U462&lt;&gt;"",V462&lt;&gt;"",AB462&lt;&gt;"")),"manuell übersteuert; ","")&amp;IF(AND(BT462=0,R462=0),"Gebinde unbekannt / Stellmass fehlt; ","")&amp;IF(AND(BT462=0,N(V462)&lt;=0,N(Q462)&lt;=0),"Menge pro Gebinde fehlt (Ist = 1 Gebinde); ","")&amp;BO462)</f>
        <v>Neu</v>
      </c>
      <c r="BH462" s="55"/>
      <c r="BI462" s="55"/>
      <c r="BJ462" s="62"/>
      <c r="BK462" s="57" t="n">
        <v>1</v>
      </c>
      <c r="BL462" s="57" t="n">
        <v>7</v>
      </c>
      <c r="BM462" s="56" t="n">
        <v>57.47</v>
      </c>
      <c r="BN462" s="57" t="n">
        <v>3</v>
      </c>
      <c r="BO462" s="55" t="s">
        <v>626</v>
      </c>
      <c r="BP462" s="60" t="n">
        <v>0</v>
      </c>
      <c r="BQ462" s="60" t="n">
        <v>462</v>
      </c>
      <c r="BR462" s="55" t="str">
        <f aca="false">IF(U462&lt;&gt;"",UPPER(TRIM(U462)),IF(BU462=1,UPPER(VLOOKUP(T462,Parameter!$I$27:$K$29,2,0)),IF(P462="","LOSE",P462)))</f>
        <v>S32</v>
      </c>
      <c r="BS462" s="57" t="n">
        <f aca="false">IF(BR462="LOSE",1,IF(N(V462)&gt;0,V462,IF(BU462=1,MAX(1,N(VLOOKUP(T462,Parameter!$I$27:$K$29,3,0)),H462,N(N462)),IF(N(Q462)&gt;0,Q462,MAX(1,H462)))))</f>
        <v>11</v>
      </c>
      <c r="BT462" s="60" t="n">
        <f aca="false">IF(BR462="LOSE",1,0)</f>
        <v>0</v>
      </c>
      <c r="BU462" s="60" t="n">
        <f aca="false">IF(AND(U462="",OR(P462="",P462="LOSE"),T462&lt;&gt;"",N(S462)&lt;=0,ISNUMBER(MATCH(T462,Parameter!$I$27:$I$29,0))),1,0)</f>
        <v>0</v>
      </c>
      <c r="BV462" s="55" t="str">
        <f aca="false">IF(AND(Parameter!$B$19="Ja",E462&lt;&gt;"",ISNUMBER(MATCH(E462,Parameter!$I$35:$I$52,0))),VLOOKUP(E462,Parameter!$I$35:$J$52,2,0),IFERROR(VLOOKUP(D462,Parameter!$A$35:$C$64,2,0),"Nein"))</f>
        <v>2+3</v>
      </c>
      <c r="BW462" s="59" t="n">
        <f aca="false">IF(BT462=0,0,IF(N(S462)&gt;0,S462,IFERROR(VLOOKUP(D462,Parameter!$A$35:$C$64,3,0)+0,0)))</f>
        <v>0</v>
      </c>
      <c r="BX462" s="55" t="n">
        <f aca="false">IF(AA462&lt;&gt;"",AA462,Z462)</f>
        <v>3</v>
      </c>
      <c r="BY462" s="55" t="str">
        <f aca="false">IF(BX462=1,"L1",IF(OR(BX462=2,BX462=3),"L23",IF(BX462="Aussen","Aussen","-")))</f>
        <v>L23</v>
      </c>
      <c r="BZ462" s="66" t="n">
        <f aca="false">IF(N(AB462)&gt;0,AB462,0)</f>
        <v>0</v>
      </c>
      <c r="CA462" s="60" t="n">
        <f aca="false">IF(ISNUMBER(AE462),1,0)</f>
        <v>0</v>
      </c>
      <c r="CB462" s="57" t="n">
        <f aca="false">N(AE462)</f>
        <v>0</v>
      </c>
      <c r="CC462" s="57" t="n">
        <f aca="false">N(M462)+N(N462)</f>
        <v>5</v>
      </c>
      <c r="CD462" s="57" t="n">
        <f aca="false">ROUNDUP(H462/BS462,0)</f>
        <v>1</v>
      </c>
      <c r="CE462" s="57" t="n">
        <f aca="false">ROUNDUP(CB462/BS462,0)</f>
        <v>0</v>
      </c>
      <c r="CF462" s="60" t="n">
        <f aca="false">IF(BT462=1,0,IFERROR(VLOOKUP(BR462,'Gebinde-Kategorie'!$A$5:$M$45,5,0)+0,0))</f>
        <v>8</v>
      </c>
      <c r="CG462" s="60" t="n">
        <f aca="false">IFERROR(IF(OR(BX462=1,BX462=2,BX462=3),N(INDEX(Parameter!$I$5:$I$7,BX462)),0),0)</f>
        <v>0</v>
      </c>
      <c r="CH462" s="59" t="n">
        <f aca="false">IF(AND(Parameter!$B$21="Ja",ISNUMBER(W462),N(X462)&gt;0),IFERROR(N(INDEX(Parameter!$L$5:$L$7,W462))*INDEX(Parameter!$E$5:$E$7,W462)*X462/SUMIFS($X$7:$X$1843,$W$7:$W$1843,W462),0),0)</f>
        <v>0</v>
      </c>
    </row>
    <row r="463" customFormat="false" ht="15" hidden="false" customHeight="false" outlineLevel="0" collapsed="false">
      <c r="A463" s="55" t="s">
        <v>1042</v>
      </c>
      <c r="B463" s="55" t="s">
        <v>548</v>
      </c>
      <c r="C463" s="55" t="s">
        <v>164</v>
      </c>
      <c r="D463" s="55" t="s">
        <v>184</v>
      </c>
      <c r="E463" s="55"/>
      <c r="F463" s="55" t="s">
        <v>218</v>
      </c>
      <c r="G463" s="56" t="n">
        <v>57.39</v>
      </c>
      <c r="H463" s="57" t="n">
        <f aca="false">MAX(0,IF(AND(Parameter!$B$21="Ja",ISNUMBER(Y463)),Y463,IF(Parameter!$B$20="Jahresanfang 2025 + Export",BL463+BK463,BK463)))</f>
        <v>3</v>
      </c>
      <c r="I463" s="57" t="n">
        <f aca="false">H463*G463</f>
        <v>172.17</v>
      </c>
      <c r="J463" s="57" t="n">
        <f aca="false">BN463*Parameter!$B$18</f>
        <v>1</v>
      </c>
      <c r="K463" s="58" t="n">
        <v>2.5</v>
      </c>
      <c r="L463" s="59" t="n">
        <v>0.4</v>
      </c>
      <c r="M463" s="57" t="n">
        <v>0</v>
      </c>
      <c r="N463" s="57" t="n">
        <v>1</v>
      </c>
      <c r="O463" s="60" t="n">
        <v>28</v>
      </c>
      <c r="P463" s="55" t="s">
        <v>328</v>
      </c>
      <c r="Q463" s="57" t="n">
        <v>3</v>
      </c>
      <c r="R463" s="60" t="n">
        <f aca="false">IF(BT463=1,0,IFERROR(VLOOKUP(BR463,'Gebinde-Kategorie'!$A$5:$M$45,13,0)+0,0))</f>
        <v>52</v>
      </c>
      <c r="S463" s="61"/>
      <c r="T463" s="62"/>
      <c r="U463" s="62"/>
      <c r="V463" s="62"/>
      <c r="W463" s="55"/>
      <c r="X463" s="57"/>
      <c r="Y463" s="57"/>
      <c r="Z463" s="55" t="n">
        <f aca="false">IF(A463="","",IF(AND(Parameter!$B$21="Ja",ISNUMBER(W463)),W463,IF(BV463="2+3",IF(ISNUMBER(SEARCH("grosser Artikel",BO463)),2,IFERROR(VLOOKUP(BR463,Parameter!$F$35:$G$64,2,0),2)),IF(OR(BV463="Nein",BV463=""),"-",BV463))))</f>
        <v>3</v>
      </c>
      <c r="AA463" s="62"/>
      <c r="AB463" s="63"/>
      <c r="AC463" s="57" t="n">
        <f aca="false">AR463</f>
        <v>3</v>
      </c>
      <c r="AD463" s="57" t="n">
        <f aca="false">MAX(AR463,H463)</f>
        <v>3</v>
      </c>
      <c r="AE463" s="64"/>
      <c r="AF463" s="57" t="n">
        <f aca="false">IF(LEFT(Cockpit!$C$5,1)="A",H463,IF(CA463=1,CB463,IF(LEFT(Cockpit!$C$5,1)="B",AJ463,MAX(AJ463,H463))))</f>
        <v>3</v>
      </c>
      <c r="AG463" s="57" t="n">
        <f aca="false">IF(BT463=1,0,ROUNDUP(AF463/BS463,0))</f>
        <v>1</v>
      </c>
      <c r="AH463" s="59" t="n">
        <f aca="false">IF(CH463&gt;0,CH463*MAX(1,AF463/X463),IF(BT463=1,IF(AF463&lt;=0,0,BW463*MAX(1,IF(H463&gt;0,AF463/H463,1))),IF(R463&gt;0,AG463/R463,0))/MAX(0.1,N(Parameter!$M$21)))</f>
        <v>0.0192307692307692</v>
      </c>
      <c r="AI463" s="57" t="n">
        <f aca="false">AF463*G463</f>
        <v>172.17</v>
      </c>
      <c r="AJ463" s="57" t="n">
        <f aca="false">ROUNDUP(MAX(J463/IF(BZ463&gt;0,BZ463,MAX(0.1,N(Cockpit!$C$6))),CC463)/BS463,0)*BS463</f>
        <v>3</v>
      </c>
      <c r="AK463" s="58" t="n">
        <f aca="false">IF(AH463&gt;0,J463/AH463,-1)</f>
        <v>52</v>
      </c>
      <c r="AL463" s="58" t="n">
        <f aca="false">IF(AND(OR(BY463="L1",BY463="L23"),AH463&gt;0),SUMIFS($AH$7:$AH$1843,$BY$7:$BY$1843,BY463,$AK$7:$AK$1843,"&gt;"&amp;AK463)+SUMIFS($AH$7:$AH$1843,$BY$7:$BY$1843,BY463,$AK$7:$AK$1843,AK463,$BQ$7:$BQ$1843,"&lt;="&amp;BQ463),"")</f>
        <v>44.3375983919462</v>
      </c>
      <c r="AM463" s="65" t="n">
        <f aca="false">IF(AL463="",0,MAX(0,MIN(1,(IF(BY463="L1",Parameter!$E$5,Parameter!$E$6+Parameter!$E$7)-(AL463-AH463))/AH463)))</f>
        <v>1</v>
      </c>
      <c r="AN463" s="57" t="n">
        <f aca="false">IF(LEFT(Cockpit!$I$5,1)="A",H463,IF(CA463=1,CB463,IF(LEFT(Cockpit!$I$5,1)="B",AR463,MAX(AR463,H463))))</f>
        <v>3</v>
      </c>
      <c r="AO463" s="57" t="n">
        <f aca="false">IF(BT463=1,0,ROUNDUP(AN463/BS463,0))</f>
        <v>1</v>
      </c>
      <c r="AP463" s="59" t="n">
        <f aca="false">IF(CH463&gt;0,CH463*MAX(1,AN463/X463),IF(BT463=1,IF(AN463&lt;=0,0,BW463*MAX(1,IF(H463&gt;0,AN463/H463,1))),IF(R463&gt;0,AO463/R463,0))/MAX(0.1,N(Parameter!$M$21)))</f>
        <v>0.0192307692307692</v>
      </c>
      <c r="AQ463" s="57" t="n">
        <f aca="false">AN463*G463</f>
        <v>172.17</v>
      </c>
      <c r="AR463" s="57" t="n">
        <f aca="false">ROUNDUP(MAX(J463/IF(BZ463&gt;0,BZ463,MAX(0.1,N(Cockpit!$I$6))),CC463)/BS463,0)*BS463</f>
        <v>3</v>
      </c>
      <c r="AS463" s="58" t="n">
        <f aca="false">IF(AP463&gt;0,J463/AP463,-1)</f>
        <v>52</v>
      </c>
      <c r="AT463" s="58" t="n">
        <f aca="false">IF(AND(OR(BY463="L1",BY463="L23"),AP463&gt;0),SUMIFS($AP$7:$AP$1843,$BY$7:$BY$1843,BY463,$AS$7:$AS$1843,"&gt;"&amp;AS463)+SUMIFS($AP$7:$AP$1843,$BY$7:$BY$1843,BY463,$AS$7:$AS$1843,AS463,$BQ$7:$BQ$1843,"&lt;="&amp;BQ463),"")</f>
        <v>67.2040302692477</v>
      </c>
      <c r="AU463" s="65" t="n">
        <f aca="false">IF(AT463="",0,MAX(0,MIN(1,(IF(BY463="L1",Parameter!$E$5,Parameter!$E$6+Parameter!$E$7)-(AT463-AP463))/AP463)))</f>
        <v>1</v>
      </c>
      <c r="AV463" s="57" t="n">
        <f aca="false">IF(LEFT(Cockpit!$O$5,1)="A",H463,IF(CA463=1,CB463,IF(LEFT(Cockpit!$O$5,1)="B",AZ463,MAX(AZ463,H463))))</f>
        <v>3</v>
      </c>
      <c r="AW463" s="57" t="n">
        <f aca="false">IF(BT463=1,0,ROUNDUP(AV463/BS463,0))</f>
        <v>1</v>
      </c>
      <c r="AX463" s="59" t="n">
        <f aca="false">IF(CH463&gt;0,CH463*MAX(1,AV463/X463),IF(BT463=1,IF(AV463&lt;=0,0,BW463*MAX(1,IF(H463&gt;0,AV463/H463,1))),IF(R463&gt;0,AW463/R463,0))/MAX(0.1,N(Parameter!$M$21)))</f>
        <v>0.0192307692307692</v>
      </c>
      <c r="AY463" s="57" t="n">
        <f aca="false">AV463*G463</f>
        <v>172.17</v>
      </c>
      <c r="AZ463" s="57" t="n">
        <f aca="false">ROUNDUP(MAX(J463/IF(BZ463&gt;0,BZ463,MAX(0.1,N(Cockpit!$O$6))),CC463)/BS463,0)*BS463</f>
        <v>3</v>
      </c>
      <c r="BA463" s="58" t="n">
        <f aca="false">IF(AX463&gt;0,J463/AX463,-1)</f>
        <v>52</v>
      </c>
      <c r="BB463" s="58" t="n">
        <f aca="false">IF(AND(OR(BY463="L1",BY463="L23"),AX463&gt;0),SUMIFS($AX$7:$AX$1843,$BY$7:$BY$1843,BY463,$BA$7:$BA$1843,"&gt;"&amp;BA463)+SUMIFS($AX$7:$AX$1843,$BY$7:$BY$1843,BY463,$BA$7:$BA$1843,BA463,$BQ$7:$BQ$1843,"&lt;="&amp;BQ463),"")</f>
        <v>61.7005337657512</v>
      </c>
      <c r="BC463" s="65" t="n">
        <f aca="false">IF(BB463="",0,MAX(0,MIN(1,(IF(BY463="L1",Parameter!$E$5,Parameter!$E$6+Parameter!$E$7)-(BB463-AX463))/AX463)))</f>
        <v>1</v>
      </c>
      <c r="BD463" s="55" t="str">
        <f aca="false">IF(AH463&lt;=0,"",IF(BY463="Aussen","Aussenlager",IF(BY463="-","Nicht im Lift",IF(AM463&gt;=1,"Lift",IF(AM463&lt;=0,"Aussenlager","teilweise")))))</f>
        <v>Lift</v>
      </c>
      <c r="BE463" s="55" t="str">
        <f aca="false">IF(AP463&lt;=0,"",IF(BY463="Aussen","Aussenlager",IF(BY463="-","Nicht im Lift",IF(AU463&gt;=1,"Lift",IF(AU463&lt;=0,"Aussenlager","teilweise")))))</f>
        <v>Lift</v>
      </c>
      <c r="BF463" s="55" t="str">
        <f aca="false">IF(AX463&lt;=0,"",IF(BY463="Aussen","Aussenlager",IF(BY463="-","Nicht im Lift",IF(BC463&gt;=1,"Lift",IF(BC463&lt;=0,"Aussenlager","teilweise")))))</f>
        <v>Lift</v>
      </c>
      <c r="BG463" s="55" t="str">
        <f aca="false">IF(A463="","",IF(BP463=1,"Neu; ","")&amp;IF(AND(BP463=0,BK463&lt;0),"negativer Bestand (Export "&amp;BK463&amp;"); ","")&amp;IF(J463&lt;=0,"Kein Verbrauch; ","")&amp;IF(CH463&gt;0,"Lift "&amp;W463&amp;" lt. Liftbericht (Fach "&amp;X463&amp;" Stk); ",IF(BU463=1,"Gebinde geschätzt ("&amp;T463&amp;"); ",IF(BT463=1,"Lose – Tablare geschätzt; ","")))&amp;IF(H463&gt;AR463,"Überbestand "&amp;ROUND(H463-AR463,0)&amp;" Stk / CHF "&amp;ROUND((H463-AR463)*G463,0)&amp;"; ","")&amp;IF(AND(CA463=1,CB463&lt;CC463),"MAX &lt; MB+LG; ","")&amp;IF(AND(CG463&gt;0,CF463*10&gt;CG463),"zu hoch für Tablar; ","")&amp;IF(AND(BP463=0,OR(CA463=1,AA463&lt;&gt;"",U463&lt;&gt;"",V463&lt;&gt;"",AB463&lt;&gt;"")),"manuell übersteuert; ","")&amp;IF(AND(BT463=0,R463=0),"Gebinde unbekannt / Stellmass fehlt; ","")&amp;IF(AND(BT463=0,N(V463)&lt;=0,N(Q463)&lt;=0),"Menge pro Gebinde fehlt (Ist = 1 Gebinde); ","")&amp;BO463)</f>
        <v/>
      </c>
      <c r="BH463" s="55"/>
      <c r="BI463" s="55"/>
      <c r="BJ463" s="62"/>
      <c r="BK463" s="57" t="n">
        <v>1</v>
      </c>
      <c r="BL463" s="57" t="n">
        <v>2</v>
      </c>
      <c r="BM463" s="56" t="n">
        <v>57.39</v>
      </c>
      <c r="BN463" s="57" t="n">
        <v>1</v>
      </c>
      <c r="BO463" s="55"/>
      <c r="BP463" s="60" t="n">
        <v>0</v>
      </c>
      <c r="BQ463" s="60" t="n">
        <v>463</v>
      </c>
      <c r="BR463" s="55" t="str">
        <f aca="false">IF(U463&lt;&gt;"",UPPER(TRIM(U463)),IF(BU463=1,UPPER(VLOOKUP(T463,Parameter!$I$27:$K$29,2,0)),IF(P463="","LOSE",P463)))</f>
        <v>S41</v>
      </c>
      <c r="BS463" s="57" t="n">
        <f aca="false">IF(BR463="LOSE",1,IF(N(V463)&gt;0,V463,IF(BU463=1,MAX(1,N(VLOOKUP(T463,Parameter!$I$27:$K$29,3,0)),H463,N(N463)),IF(N(Q463)&gt;0,Q463,MAX(1,H463)))))</f>
        <v>3</v>
      </c>
      <c r="BT463" s="60" t="n">
        <f aca="false">IF(BR463="LOSE",1,0)</f>
        <v>0</v>
      </c>
      <c r="BU463" s="60" t="n">
        <f aca="false">IF(AND(U463="",OR(P463="",P463="LOSE"),T463&lt;&gt;"",N(S463)&lt;=0,ISNUMBER(MATCH(T463,Parameter!$I$27:$I$29,0))),1,0)</f>
        <v>0</v>
      </c>
      <c r="BV463" s="55" t="str">
        <f aca="false">IF(AND(Parameter!$B$19="Ja",E463&lt;&gt;"",ISNUMBER(MATCH(E463,Parameter!$I$35:$I$52,0))),VLOOKUP(E463,Parameter!$I$35:$J$52,2,0),IFERROR(VLOOKUP(D463,Parameter!$A$35:$C$64,2,0),"Nein"))</f>
        <v>2+3</v>
      </c>
      <c r="BW463" s="59" t="n">
        <f aca="false">IF(BT463=0,0,IF(N(S463)&gt;0,S463,IFERROR(VLOOKUP(D463,Parameter!$A$35:$C$64,3,0)+0,0)))</f>
        <v>0</v>
      </c>
      <c r="BX463" s="55" t="n">
        <f aca="false">IF(AA463&lt;&gt;"",AA463,Z463)</f>
        <v>3</v>
      </c>
      <c r="BY463" s="55" t="str">
        <f aca="false">IF(BX463=1,"L1",IF(OR(BX463=2,BX463=3),"L23",IF(BX463="Aussen","Aussen","-")))</f>
        <v>L23</v>
      </c>
      <c r="BZ463" s="66" t="n">
        <f aca="false">IF(N(AB463)&gt;0,AB463,0)</f>
        <v>0</v>
      </c>
      <c r="CA463" s="60" t="n">
        <f aca="false">IF(ISNUMBER(AE463),1,0)</f>
        <v>0</v>
      </c>
      <c r="CB463" s="57" t="n">
        <f aca="false">N(AE463)</f>
        <v>0</v>
      </c>
      <c r="CC463" s="57" t="n">
        <f aca="false">N(M463)+N(N463)</f>
        <v>1</v>
      </c>
      <c r="CD463" s="57" t="n">
        <f aca="false">ROUNDUP(H463/BS463,0)</f>
        <v>1</v>
      </c>
      <c r="CE463" s="57" t="n">
        <f aca="false">ROUNDUP(CB463/BS463,0)</f>
        <v>0</v>
      </c>
      <c r="CF463" s="60" t="n">
        <f aca="false">IF(BT463=1,0,IFERROR(VLOOKUP(BR463,'Gebinde-Kategorie'!$A$5:$M$45,5,0)+0,0))</f>
        <v>11</v>
      </c>
      <c r="CG463" s="60" t="n">
        <f aca="false">IFERROR(IF(OR(BX463=1,BX463=2,BX463=3),N(INDEX(Parameter!$I$5:$I$7,BX463)),0),0)</f>
        <v>0</v>
      </c>
      <c r="CH463" s="59" t="n">
        <f aca="false">IF(AND(Parameter!$B$21="Ja",ISNUMBER(W463),N(X463)&gt;0),IFERROR(N(INDEX(Parameter!$L$5:$L$7,W463))*INDEX(Parameter!$E$5:$E$7,W463)*X463/SUMIFS($X$7:$X$1843,$W$7:$W$1843,W463),0),0)</f>
        <v>0</v>
      </c>
    </row>
    <row r="464" customFormat="false" ht="15" hidden="false" customHeight="false" outlineLevel="0" collapsed="false">
      <c r="A464" s="55" t="s">
        <v>1043</v>
      </c>
      <c r="B464" s="55" t="s">
        <v>589</v>
      </c>
      <c r="C464" s="55" t="s">
        <v>164</v>
      </c>
      <c r="D464" s="55" t="s">
        <v>184</v>
      </c>
      <c r="E464" s="55" t="s">
        <v>185</v>
      </c>
      <c r="F464" s="55" t="s">
        <v>218</v>
      </c>
      <c r="G464" s="56" t="n">
        <v>2.2</v>
      </c>
      <c r="H464" s="57" t="n">
        <f aca="false">MAX(0,IF(AND(Parameter!$B$21="Ja",ISNUMBER(Y464)),Y464,IF(Parameter!$B$20="Jahresanfang 2025 + Export",BL464+BK464,BK464)))</f>
        <v>50</v>
      </c>
      <c r="I464" s="57" t="n">
        <f aca="false">H464*G464</f>
        <v>110</v>
      </c>
      <c r="J464" s="57" t="n">
        <f aca="false">BN464*Parameter!$B$18</f>
        <v>11</v>
      </c>
      <c r="K464" s="58" t="n">
        <v>21</v>
      </c>
      <c r="L464" s="59" t="n">
        <v>0.523809523809524</v>
      </c>
      <c r="M464" s="57" t="n">
        <v>1</v>
      </c>
      <c r="N464" s="57" t="n">
        <v>10</v>
      </c>
      <c r="O464" s="60" t="n">
        <v>21</v>
      </c>
      <c r="P464" s="55" t="s">
        <v>401</v>
      </c>
      <c r="Q464" s="57" t="n">
        <v>48</v>
      </c>
      <c r="R464" s="60" t="n">
        <f aca="false">IF(BT464=1,0,IFERROR(VLOOKUP(BR464,'Gebinde-Kategorie'!$A$5:$M$45,13,0)+0,0))</f>
        <v>414</v>
      </c>
      <c r="S464" s="61"/>
      <c r="T464" s="62"/>
      <c r="U464" s="62"/>
      <c r="V464" s="62"/>
      <c r="W464" s="55"/>
      <c r="X464" s="57"/>
      <c r="Y464" s="57"/>
      <c r="Z464" s="55" t="n">
        <f aca="false">IF(A464="","",IF(AND(Parameter!$B$21="Ja",ISNUMBER(W464)),W464,IF(BV464="2+3",IF(ISNUMBER(SEARCH("grosser Artikel",BO464)),2,IFERROR(VLOOKUP(BR464,Parameter!$F$35:$G$64,2,0),2)),IF(OR(BV464="Nein",BV464=""),"-",BV464))))</f>
        <v>3</v>
      </c>
      <c r="AA464" s="62"/>
      <c r="AB464" s="63"/>
      <c r="AC464" s="57" t="n">
        <f aca="false">AR464</f>
        <v>48</v>
      </c>
      <c r="AD464" s="57" t="n">
        <f aca="false">MAX(AR464,H464)</f>
        <v>50</v>
      </c>
      <c r="AE464" s="64"/>
      <c r="AF464" s="57" t="n">
        <f aca="false">IF(LEFT(Cockpit!$C$5,1)="A",H464,IF(CA464=1,CB464,IF(LEFT(Cockpit!$C$5,1)="B",AJ464,MAX(AJ464,H464))))</f>
        <v>50</v>
      </c>
      <c r="AG464" s="57" t="n">
        <f aca="false">IF(BT464=1,0,ROUNDUP(AF464/BS464,0))</f>
        <v>2</v>
      </c>
      <c r="AH464" s="59" t="n">
        <f aca="false">IF(CH464&gt;0,CH464*MAX(1,AF464/X464),IF(BT464=1,IF(AF464&lt;=0,0,BW464*MAX(1,IF(H464&gt;0,AF464/H464,1))),IF(R464&gt;0,AG464/R464,0))/MAX(0.1,N(Parameter!$M$21)))</f>
        <v>0.00483091787439614</v>
      </c>
      <c r="AI464" s="57" t="n">
        <f aca="false">AF464*G464</f>
        <v>110</v>
      </c>
      <c r="AJ464" s="57" t="n">
        <f aca="false">ROUNDUP(MAX(J464/IF(BZ464&gt;0,BZ464,MAX(0.1,N(Cockpit!$C$6))),CC464)/BS464,0)*BS464</f>
        <v>48</v>
      </c>
      <c r="AK464" s="58" t="n">
        <f aca="false">IF(AH464&gt;0,J464/AH464,-1)</f>
        <v>2277</v>
      </c>
      <c r="AL464" s="58" t="n">
        <f aca="false">IF(AND(OR(BY464="L1",BY464="L23"),AH464&gt;0),SUMIFS($AH$7:$AH$1843,$BY$7:$BY$1843,BY464,$AK$7:$AK$1843,"&gt;"&amp;AK464)+SUMIFS($AH$7:$AH$1843,$BY$7:$BY$1843,BY464,$AK$7:$AK$1843,AK464,$BQ$7:$BQ$1843,"&lt;="&amp;BQ464),"")</f>
        <v>12.4887081517516</v>
      </c>
      <c r="AM464" s="65" t="n">
        <f aca="false">IF(AL464="",0,MAX(0,MIN(1,(IF(BY464="L1",Parameter!$E$5,Parameter!$E$6+Parameter!$E$7)-(AL464-AH464))/AH464)))</f>
        <v>1</v>
      </c>
      <c r="AN464" s="57" t="n">
        <f aca="false">IF(LEFT(Cockpit!$I$5,1)="A",H464,IF(CA464=1,CB464,IF(LEFT(Cockpit!$I$5,1)="B",AR464,MAX(AR464,H464))))</f>
        <v>50</v>
      </c>
      <c r="AO464" s="57" t="n">
        <f aca="false">IF(BT464=1,0,ROUNDUP(AN464/BS464,0))</f>
        <v>2</v>
      </c>
      <c r="AP464" s="59" t="n">
        <f aca="false">IF(CH464&gt;0,CH464*MAX(1,AN464/X464),IF(BT464=1,IF(AN464&lt;=0,0,BW464*MAX(1,IF(H464&gt;0,AN464/H464,1))),IF(R464&gt;0,AO464/R464,0))/MAX(0.1,N(Parameter!$M$21)))</f>
        <v>0.00483091787439614</v>
      </c>
      <c r="AQ464" s="57" t="n">
        <f aca="false">AN464*G464</f>
        <v>110</v>
      </c>
      <c r="AR464" s="57" t="n">
        <f aca="false">ROUNDUP(MAX(J464/IF(BZ464&gt;0,BZ464,MAX(0.1,N(Cockpit!$I$6))),CC464)/BS464,0)*BS464</f>
        <v>48</v>
      </c>
      <c r="AS464" s="58" t="n">
        <f aca="false">IF(AP464&gt;0,J464/AP464,-1)</f>
        <v>2277</v>
      </c>
      <c r="AT464" s="58" t="n">
        <f aca="false">IF(AND(OR(BY464="L1",BY464="L23"),AP464&gt;0),SUMIFS($AP$7:$AP$1843,$BY$7:$BY$1843,BY464,$AS$7:$AS$1843,"&gt;"&amp;AS464)+SUMIFS($AP$7:$AP$1843,$BY$7:$BY$1843,BY464,$AS$7:$AS$1843,AS464,$BQ$7:$BQ$1843,"&lt;="&amp;BQ464),"")</f>
        <v>18.0120604033648</v>
      </c>
      <c r="AU464" s="65" t="n">
        <f aca="false">IF(AT464="",0,MAX(0,MIN(1,(IF(BY464="L1",Parameter!$E$5,Parameter!$E$6+Parameter!$E$7)-(AT464-AP464))/AP464)))</f>
        <v>1</v>
      </c>
      <c r="AV464" s="57" t="n">
        <f aca="false">IF(LEFT(Cockpit!$O$5,1)="A",H464,IF(CA464=1,CB464,IF(LEFT(Cockpit!$O$5,1)="B",AZ464,MAX(AZ464,H464))))</f>
        <v>50</v>
      </c>
      <c r="AW464" s="57" t="n">
        <f aca="false">IF(BT464=1,0,ROUNDUP(AV464/BS464,0))</f>
        <v>2</v>
      </c>
      <c r="AX464" s="59" t="n">
        <f aca="false">IF(CH464&gt;0,CH464*MAX(1,AV464/X464),IF(BT464=1,IF(AV464&lt;=0,0,BW464*MAX(1,IF(H464&gt;0,AV464/H464,1))),IF(R464&gt;0,AW464/R464,0))/MAX(0.1,N(Parameter!$M$21)))</f>
        <v>0.00483091787439614</v>
      </c>
      <c r="AY464" s="57" t="n">
        <f aca="false">AV464*G464</f>
        <v>110</v>
      </c>
      <c r="AZ464" s="57" t="n">
        <f aca="false">ROUNDUP(MAX(J464/IF(BZ464&gt;0,BZ464,MAX(0.1,N(Cockpit!$O$6))),CC464)/BS464,0)*BS464</f>
        <v>48</v>
      </c>
      <c r="BA464" s="58" t="n">
        <f aca="false">IF(AX464&gt;0,J464/AX464,-1)</f>
        <v>2277</v>
      </c>
      <c r="BB464" s="58" t="n">
        <f aca="false">IF(AND(OR(BY464="L1",BY464="L23"),AX464&gt;0),SUMIFS($AX$7:$AX$1843,$BY$7:$BY$1843,BY464,$BA$7:$BA$1843,"&gt;"&amp;BA464)+SUMIFS($AX$7:$AX$1843,$BY$7:$BY$1843,BY464,$BA$7:$BA$1843,BA464,$BQ$7:$BQ$1843,"&lt;="&amp;BQ464),"")</f>
        <v>16.5854869767913</v>
      </c>
      <c r="BC464" s="65" t="n">
        <f aca="false">IF(BB464="",0,MAX(0,MIN(1,(IF(BY464="L1",Parameter!$E$5,Parameter!$E$6+Parameter!$E$7)-(BB464-AX464))/AX464)))</f>
        <v>1</v>
      </c>
      <c r="BD464" s="55" t="str">
        <f aca="false">IF(AH464&lt;=0,"",IF(BY464="Aussen","Aussenlager",IF(BY464="-","Nicht im Lift",IF(AM464&gt;=1,"Lift",IF(AM464&lt;=0,"Aussenlager","teilweise")))))</f>
        <v>Lift</v>
      </c>
      <c r="BE464" s="55" t="str">
        <f aca="false">IF(AP464&lt;=0,"",IF(BY464="Aussen","Aussenlager",IF(BY464="-","Nicht im Lift",IF(AU464&gt;=1,"Lift",IF(AU464&lt;=0,"Aussenlager","teilweise")))))</f>
        <v>Lift</v>
      </c>
      <c r="BF464" s="55" t="str">
        <f aca="false">IF(AX464&lt;=0,"",IF(BY464="Aussen","Aussenlager",IF(BY464="-","Nicht im Lift",IF(BC464&gt;=1,"Lift",IF(BC464&lt;=0,"Aussenlager","teilweise")))))</f>
        <v>Lift</v>
      </c>
      <c r="BG464" s="55" t="str">
        <f aca="false">IF(A464="","",IF(BP464=1,"Neu; ","")&amp;IF(AND(BP464=0,BK464&lt;0),"negativer Bestand (Export "&amp;BK464&amp;"); ","")&amp;IF(J464&lt;=0,"Kein Verbrauch; ","")&amp;IF(CH464&gt;0,"Lift "&amp;W464&amp;" lt. Liftbericht (Fach "&amp;X464&amp;" Stk); ",IF(BU464=1,"Gebinde geschätzt ("&amp;T464&amp;"); ",IF(BT464=1,"Lose – Tablare geschätzt; ","")))&amp;IF(H464&gt;AR464,"Überbestand "&amp;ROUND(H464-AR464,0)&amp;" Stk / CHF "&amp;ROUND((H464-AR464)*G464,0)&amp;"; ","")&amp;IF(AND(CA464=1,CB464&lt;CC464),"MAX &lt; MB+LG; ","")&amp;IF(AND(CG464&gt;0,CF464*10&gt;CG464),"zu hoch für Tablar; ","")&amp;IF(AND(BP464=0,OR(CA464=1,AA464&lt;&gt;"",U464&lt;&gt;"",V464&lt;&gt;"",AB464&lt;&gt;"")),"manuell übersteuert; ","")&amp;IF(AND(BT464=0,R464=0),"Gebinde unbekannt / Stellmass fehlt; ","")&amp;IF(AND(BT464=0,N(V464)&lt;=0,N(Q464)&lt;=0),"Menge pro Gebinde fehlt (Ist = 1 Gebinde); ","")&amp;BO464)</f>
        <v>Überbestand 2 Stk / CHF 4; </v>
      </c>
      <c r="BH464" s="55"/>
      <c r="BI464" s="55"/>
      <c r="BJ464" s="62"/>
      <c r="BK464" s="57" t="n">
        <v>26</v>
      </c>
      <c r="BL464" s="57" t="n">
        <v>24</v>
      </c>
      <c r="BM464" s="56" t="n">
        <v>57.2</v>
      </c>
      <c r="BN464" s="57" t="n">
        <v>11</v>
      </c>
      <c r="BO464" s="55"/>
      <c r="BP464" s="60" t="n">
        <v>0</v>
      </c>
      <c r="BQ464" s="60" t="n">
        <v>464</v>
      </c>
      <c r="BR464" s="55" t="str">
        <f aca="false">IF(U464&lt;&gt;"",UPPER(TRIM(U464)),IF(BU464=1,UPPER(VLOOKUP(T464,Parameter!$I$27:$K$29,2,0)),IF(P464="","LOSE",P464)))</f>
        <v>S21</v>
      </c>
      <c r="BS464" s="57" t="n">
        <f aca="false">IF(BR464="LOSE",1,IF(N(V464)&gt;0,V464,IF(BU464=1,MAX(1,N(VLOOKUP(T464,Parameter!$I$27:$K$29,3,0)),H464,N(N464)),IF(N(Q464)&gt;0,Q464,MAX(1,H464)))))</f>
        <v>48</v>
      </c>
      <c r="BT464" s="60" t="n">
        <f aca="false">IF(BR464="LOSE",1,0)</f>
        <v>0</v>
      </c>
      <c r="BU464" s="60" t="n">
        <f aca="false">IF(AND(U464="",OR(P464="",P464="LOSE"),T464&lt;&gt;"",N(S464)&lt;=0,ISNUMBER(MATCH(T464,Parameter!$I$27:$I$29,0))),1,0)</f>
        <v>0</v>
      </c>
      <c r="BV464" s="55" t="str">
        <f aca="false">IF(AND(Parameter!$B$19="Ja",E464&lt;&gt;"",ISNUMBER(MATCH(E464,Parameter!$I$35:$I$52,0))),VLOOKUP(E464,Parameter!$I$35:$J$52,2,0),IFERROR(VLOOKUP(D464,Parameter!$A$35:$C$64,2,0),"Nein"))</f>
        <v>2+3</v>
      </c>
      <c r="BW464" s="59" t="n">
        <f aca="false">IF(BT464=0,0,IF(N(S464)&gt;0,S464,IFERROR(VLOOKUP(D464,Parameter!$A$35:$C$64,3,0)+0,0)))</f>
        <v>0</v>
      </c>
      <c r="BX464" s="55" t="n">
        <f aca="false">IF(AA464&lt;&gt;"",AA464,Z464)</f>
        <v>3</v>
      </c>
      <c r="BY464" s="55" t="str">
        <f aca="false">IF(BX464=1,"L1",IF(OR(BX464=2,BX464=3),"L23",IF(BX464="Aussen","Aussen","-")))</f>
        <v>L23</v>
      </c>
      <c r="BZ464" s="66" t="n">
        <f aca="false">IF(N(AB464)&gt;0,AB464,0)</f>
        <v>0</v>
      </c>
      <c r="CA464" s="60" t="n">
        <f aca="false">IF(ISNUMBER(AE464),1,0)</f>
        <v>0</v>
      </c>
      <c r="CB464" s="57" t="n">
        <f aca="false">N(AE464)</f>
        <v>0</v>
      </c>
      <c r="CC464" s="57" t="n">
        <f aca="false">N(M464)+N(N464)</f>
        <v>11</v>
      </c>
      <c r="CD464" s="57" t="n">
        <f aca="false">ROUNDUP(H464/BS464,0)</f>
        <v>2</v>
      </c>
      <c r="CE464" s="57" t="n">
        <f aca="false">ROUNDUP(CB464/BS464,0)</f>
        <v>0</v>
      </c>
      <c r="CF464" s="60" t="n">
        <f aca="false">IF(BT464=1,0,IFERROR(VLOOKUP(BR464,'Gebinde-Kategorie'!$A$5:$M$45,5,0)+0,0))</f>
        <v>8</v>
      </c>
      <c r="CG464" s="60" t="n">
        <f aca="false">IFERROR(IF(OR(BX464=1,BX464=2,BX464=3),N(INDEX(Parameter!$I$5:$I$7,BX464)),0),0)</f>
        <v>0</v>
      </c>
      <c r="CH464" s="59" t="n">
        <f aca="false">IF(AND(Parameter!$B$21="Ja",ISNUMBER(W464),N(X464)&gt;0),IFERROR(N(INDEX(Parameter!$L$5:$L$7,W464))*INDEX(Parameter!$E$5:$E$7,W464)*X464/SUMIFS($X$7:$X$1843,$W$7:$W$1843,W464),0),0)</f>
        <v>0</v>
      </c>
    </row>
    <row r="465" customFormat="false" ht="15" hidden="false" customHeight="false" outlineLevel="0" collapsed="false">
      <c r="A465" s="55" t="s">
        <v>1044</v>
      </c>
      <c r="B465" s="55" t="s">
        <v>589</v>
      </c>
      <c r="C465" s="55" t="s">
        <v>164</v>
      </c>
      <c r="D465" s="55" t="s">
        <v>184</v>
      </c>
      <c r="E465" s="55"/>
      <c r="F465" s="55" t="s">
        <v>218</v>
      </c>
      <c r="G465" s="56" t="n">
        <v>1.9</v>
      </c>
      <c r="H465" s="57" t="n">
        <f aca="false">MAX(0,IF(AND(Parameter!$B$21="Ja",ISNUMBER(Y465)),Y465,IF(Parameter!$B$20="Jahresanfang 2025 + Export",BL465+BK465,BK465)))</f>
        <v>30</v>
      </c>
      <c r="I465" s="57" t="n">
        <f aca="false">H465*G465</f>
        <v>57</v>
      </c>
      <c r="J465" s="57" t="n">
        <f aca="false">BN465*Parameter!$B$18</f>
        <v>0</v>
      </c>
      <c r="K465" s="58" t="n">
        <v>0</v>
      </c>
      <c r="L465" s="59" t="n">
        <v>0</v>
      </c>
      <c r="M465" s="57" t="n">
        <v>0</v>
      </c>
      <c r="N465" s="57" t="n">
        <v>30</v>
      </c>
      <c r="O465" s="60" t="n">
        <v>9999</v>
      </c>
      <c r="P465" s="55" t="s">
        <v>168</v>
      </c>
      <c r="Q465" s="57"/>
      <c r="R465" s="60" t="n">
        <f aca="false">IF(BT465=1,0,IFERROR(VLOOKUP(BR465,'Gebinde-Kategorie'!$A$5:$M$45,13,0)+0,0))</f>
        <v>26</v>
      </c>
      <c r="S465" s="61"/>
      <c r="T465" s="62" t="s">
        <v>275</v>
      </c>
      <c r="U465" s="62"/>
      <c r="V465" s="62"/>
      <c r="W465" s="55"/>
      <c r="X465" s="57"/>
      <c r="Y465" s="57"/>
      <c r="Z465" s="55" t="n">
        <f aca="false">IF(A465="","",IF(AND(Parameter!$B$21="Ja",ISNUMBER(W465)),W465,IF(BV465="2+3",IF(ISNUMBER(SEARCH("grosser Artikel",BO465)),2,IFERROR(VLOOKUP(BR465,Parameter!$F$35:$G$64,2,0),2)),IF(OR(BV465="Nein",BV465=""),"-",BV465))))</f>
        <v>3</v>
      </c>
      <c r="AA465" s="62"/>
      <c r="AB465" s="63"/>
      <c r="AC465" s="57" t="n">
        <f aca="false">AR465</f>
        <v>30</v>
      </c>
      <c r="AD465" s="57" t="n">
        <f aca="false">MAX(AR465,H465)</f>
        <v>30</v>
      </c>
      <c r="AE465" s="64"/>
      <c r="AF465" s="57" t="n">
        <f aca="false">IF(LEFT(Cockpit!$C$5,1)="A",H465,IF(CA465=1,CB465,IF(LEFT(Cockpit!$C$5,1)="B",AJ465,MAX(AJ465,H465))))</f>
        <v>30</v>
      </c>
      <c r="AG465" s="57" t="n">
        <f aca="false">IF(BT465=1,0,ROUNDUP(AF465/BS465,0))</f>
        <v>1</v>
      </c>
      <c r="AH465" s="59" t="n">
        <f aca="false">IF(CH465&gt;0,CH465*MAX(1,AF465/X465),IF(BT465=1,IF(AF465&lt;=0,0,BW465*MAX(1,IF(H465&gt;0,AF465/H465,1))),IF(R465&gt;0,AG465/R465,0))/MAX(0.1,N(Parameter!$M$21)))</f>
        <v>0.0384615384615385</v>
      </c>
      <c r="AI465" s="57" t="n">
        <f aca="false">AF465*G465</f>
        <v>57</v>
      </c>
      <c r="AJ465" s="57" t="n">
        <f aca="false">ROUNDUP(MAX(J465/IF(BZ465&gt;0,BZ465,MAX(0.1,N(Cockpit!$C$6))),CC465)/BS465,0)*BS465</f>
        <v>30</v>
      </c>
      <c r="AK465" s="58" t="n">
        <f aca="false">IF(AH465&gt;0,J465/AH465,-1)</f>
        <v>0</v>
      </c>
      <c r="AL465" s="58" t="n">
        <f aca="false">IF(AND(OR(BY465="L1",BY465="L23"),AH465&gt;0),SUMIFS($AH$7:$AH$1843,$BY$7:$BY$1843,BY465,$AK$7:$AK$1843,"&gt;"&amp;AK465)+SUMIFS($AH$7:$AH$1843,$BY$7:$BY$1843,BY465,$AK$7:$AK$1843,AK465,$BQ$7:$BQ$1843,"&lt;="&amp;BQ465),"")</f>
        <v>74.1056636600115</v>
      </c>
      <c r="AM465" s="65" t="n">
        <f aca="false">IF(AL465="",0,MAX(0,MIN(1,(IF(BY465="L1",Parameter!$E$5,Parameter!$E$6+Parameter!$E$7)-(AL465-AH465))/AH465)))</f>
        <v>1</v>
      </c>
      <c r="AN465" s="57" t="n">
        <f aca="false">IF(LEFT(Cockpit!$I$5,1)="A",H465,IF(CA465=1,CB465,IF(LEFT(Cockpit!$I$5,1)="B",AR465,MAX(AR465,H465))))</f>
        <v>30</v>
      </c>
      <c r="AO465" s="57" t="n">
        <f aca="false">IF(BT465=1,0,ROUNDUP(AN465/BS465,0))</f>
        <v>1</v>
      </c>
      <c r="AP465" s="59" t="n">
        <f aca="false">IF(CH465&gt;0,CH465*MAX(1,AN465/X465),IF(BT465=1,IF(AN465&lt;=0,0,BW465*MAX(1,IF(H465&gt;0,AN465/H465,1))),IF(R465&gt;0,AO465/R465,0))/MAX(0.1,N(Parameter!$M$21)))</f>
        <v>0.0384615384615385</v>
      </c>
      <c r="AQ465" s="57" t="n">
        <f aca="false">AN465*G465</f>
        <v>57</v>
      </c>
      <c r="AR465" s="57" t="n">
        <f aca="false">ROUNDUP(MAX(J465/IF(BZ465&gt;0,BZ465,MAX(0.1,N(Cockpit!$I$6))),CC465)/BS465,0)*BS465</f>
        <v>30</v>
      </c>
      <c r="AS465" s="58" t="n">
        <f aca="false">IF(AP465&gt;0,J465/AP465,-1)</f>
        <v>0</v>
      </c>
      <c r="AT465" s="58" t="n">
        <f aca="false">IF(AND(OR(BY465="L1",BY465="L23"),AP465&gt;0),SUMIFS($AP$7:$AP$1843,$BY$7:$BY$1843,BY465,$AS$7:$AS$1843,"&gt;"&amp;AS465)+SUMIFS($AP$7:$AP$1843,$BY$7:$BY$1843,BY465,$AS$7:$AS$1843,AS465,$BQ$7:$BQ$1843,"&lt;="&amp;BQ465),"")</f>
        <v>113.529787845005</v>
      </c>
      <c r="AU465" s="65" t="n">
        <f aca="false">IF(AT465="",0,MAX(0,MIN(1,(IF(BY465="L1",Parameter!$E$5,Parameter!$E$6+Parameter!$E$7)-(AT465-AP465))/AP465)))</f>
        <v>0</v>
      </c>
      <c r="AV465" s="57" t="n">
        <f aca="false">IF(LEFT(Cockpit!$O$5,1)="A",H465,IF(CA465=1,CB465,IF(LEFT(Cockpit!$O$5,1)="B",AZ465,MAX(AZ465,H465))))</f>
        <v>30</v>
      </c>
      <c r="AW465" s="57" t="n">
        <f aca="false">IF(BT465=1,0,ROUNDUP(AV465/BS465,0))</f>
        <v>1</v>
      </c>
      <c r="AX465" s="59" t="n">
        <f aca="false">IF(CH465&gt;0,CH465*MAX(1,AV465/X465),IF(BT465=1,IF(AV465&lt;=0,0,BW465*MAX(1,IF(H465&gt;0,AV465/H465,1))),IF(R465&gt;0,AW465/R465,0))/MAX(0.1,N(Parameter!$M$21)))</f>
        <v>0.0384615384615385</v>
      </c>
      <c r="AY465" s="57" t="n">
        <f aca="false">AV465*G465</f>
        <v>57</v>
      </c>
      <c r="AZ465" s="57" t="n">
        <f aca="false">ROUNDUP(MAX(J465/IF(BZ465&gt;0,BZ465,MAX(0.1,N(Cockpit!$O$6))),CC465)/BS465,0)*BS465</f>
        <v>30</v>
      </c>
      <c r="BA465" s="58" t="n">
        <f aca="false">IF(AX465&gt;0,J465/AX465,-1)</f>
        <v>0</v>
      </c>
      <c r="BB465" s="58" t="n">
        <f aca="false">IF(AND(OR(BY465="L1",BY465="L23"),AX465&gt;0),SUMIFS($AX$7:$AX$1843,$BY$7:$BY$1843,BY465,$BA$7:$BA$1843,"&gt;"&amp;BA465)+SUMIFS($AX$7:$AX$1843,$BY$7:$BY$1843,BY465,$BA$7:$BA$1843,BA465,$BQ$7:$BQ$1843,"&lt;="&amp;BQ465),"")</f>
        <v>104.359624674842</v>
      </c>
      <c r="BC465" s="65" t="n">
        <f aca="false">IF(BB465="",0,MAX(0,MIN(1,(IF(BY465="L1",Parameter!$E$5,Parameter!$E$6+Parameter!$E$7)-(BB465-AX465))/AX465)))</f>
        <v>0</v>
      </c>
      <c r="BD465" s="55" t="str">
        <f aca="false">IF(AH465&lt;=0,"",IF(BY465="Aussen","Aussenlager",IF(BY465="-","Nicht im Lift",IF(AM465&gt;=1,"Lift",IF(AM465&lt;=0,"Aussenlager","teilweise")))))</f>
        <v>Lift</v>
      </c>
      <c r="BE465" s="55" t="str">
        <f aca="false">IF(AP465&lt;=0,"",IF(BY465="Aussen","Aussenlager",IF(BY465="-","Nicht im Lift",IF(AU465&gt;=1,"Lift",IF(AU465&lt;=0,"Aussenlager","teilweise")))))</f>
        <v>Aussenlager</v>
      </c>
      <c r="BF465" s="55" t="str">
        <f aca="false">IF(AX465&lt;=0,"",IF(BY465="Aussen","Aussenlager",IF(BY465="-","Nicht im Lift",IF(BC465&gt;=1,"Lift",IF(BC465&lt;=0,"Aussenlager","teilweise")))))</f>
        <v>Aussenlager</v>
      </c>
      <c r="BG465" s="55" t="str">
        <f aca="false">IF(A465="","",IF(BP465=1,"Neu; ","")&amp;IF(AND(BP465=0,BK465&lt;0),"negativer Bestand (Export "&amp;BK465&amp;"); ","")&amp;IF(J465&lt;=0,"Kein Verbrauch; ","")&amp;IF(CH465&gt;0,"Lift "&amp;W465&amp;" lt. Liftbericht (Fach "&amp;X465&amp;" Stk); ",IF(BU465=1,"Gebinde geschätzt ("&amp;T465&amp;"); ",IF(BT465=1,"Lose – Tablare geschätzt; ","")))&amp;IF(H465&gt;AR465,"Überbestand "&amp;ROUND(H465-AR465,0)&amp;" Stk / CHF "&amp;ROUND((H465-AR465)*G465,0)&amp;"; ","")&amp;IF(AND(CA465=1,CB465&lt;CC465),"MAX &lt; MB+LG; ","")&amp;IF(AND(CG465&gt;0,CF465*10&gt;CG465),"zu hoch für Tablar; ","")&amp;IF(AND(BP465=0,OR(CA465=1,AA465&lt;&gt;"",U465&lt;&gt;"",V465&lt;&gt;"",AB465&lt;&gt;"")),"manuell übersteuert; ","")&amp;IF(AND(BT465=0,R465=0),"Gebinde unbekannt / Stellmass fehlt; ","")&amp;IF(AND(BT465=0,N(V465)&lt;=0,N(Q465)&lt;=0),"Menge pro Gebinde fehlt (Ist = 1 Gebinde); ","")&amp;BO465)</f>
        <v>Kein Verbrauch; Gebinde geschätzt (Klein); Menge pro Gebinde fehlt (Ist = 1 Gebinde); </v>
      </c>
      <c r="BH465" s="55"/>
      <c r="BI465" s="55"/>
      <c r="BJ465" s="62"/>
      <c r="BK465" s="57" t="n">
        <v>30</v>
      </c>
      <c r="BL465" s="57" t="n">
        <v>0</v>
      </c>
      <c r="BM465" s="56" t="n">
        <v>57</v>
      </c>
      <c r="BN465" s="57" t="n">
        <v>0</v>
      </c>
      <c r="BO465" s="55"/>
      <c r="BP465" s="60" t="n">
        <v>0</v>
      </c>
      <c r="BQ465" s="60" t="n">
        <v>465</v>
      </c>
      <c r="BR465" s="55" t="str">
        <f aca="false">IF(U465&lt;&gt;"",UPPER(TRIM(U465)),IF(BU465=1,UPPER(VLOOKUP(T465,Parameter!$I$27:$K$29,2,0)),IF(P465="","LOSE",P465)))</f>
        <v>S51</v>
      </c>
      <c r="BS465" s="57" t="n">
        <f aca="false">IF(BR465="LOSE",1,IF(N(V465)&gt;0,V465,IF(BU465=1,MAX(1,N(VLOOKUP(T465,Parameter!$I$27:$K$29,3,0)),H465,N(N465)),IF(N(Q465)&gt;0,Q465,MAX(1,H465)))))</f>
        <v>30</v>
      </c>
      <c r="BT465" s="60" t="n">
        <f aca="false">IF(BR465="LOSE",1,0)</f>
        <v>0</v>
      </c>
      <c r="BU465" s="60" t="n">
        <f aca="false">IF(AND(U465="",OR(P465="",P465="LOSE"),T465&lt;&gt;"",N(S465)&lt;=0,ISNUMBER(MATCH(T465,Parameter!$I$27:$I$29,0))),1,0)</f>
        <v>1</v>
      </c>
      <c r="BV465" s="55" t="str">
        <f aca="false">IF(AND(Parameter!$B$19="Ja",E465&lt;&gt;"",ISNUMBER(MATCH(E465,Parameter!$I$35:$I$52,0))),VLOOKUP(E465,Parameter!$I$35:$J$52,2,0),IFERROR(VLOOKUP(D465,Parameter!$A$35:$C$64,2,0),"Nein"))</f>
        <v>2+3</v>
      </c>
      <c r="BW465" s="59" t="n">
        <f aca="false">IF(BT465=0,0,IF(N(S465)&gt;0,S465,IFERROR(VLOOKUP(D465,Parameter!$A$35:$C$64,3,0)+0,0)))</f>
        <v>0</v>
      </c>
      <c r="BX465" s="55" t="n">
        <f aca="false">IF(AA465&lt;&gt;"",AA465,Z465)</f>
        <v>3</v>
      </c>
      <c r="BY465" s="55" t="str">
        <f aca="false">IF(BX465=1,"L1",IF(OR(BX465=2,BX465=3),"L23",IF(BX465="Aussen","Aussen","-")))</f>
        <v>L23</v>
      </c>
      <c r="BZ465" s="66" t="n">
        <f aca="false">IF(N(AB465)&gt;0,AB465,0)</f>
        <v>0</v>
      </c>
      <c r="CA465" s="60" t="n">
        <f aca="false">IF(ISNUMBER(AE465),1,0)</f>
        <v>0</v>
      </c>
      <c r="CB465" s="57" t="n">
        <f aca="false">N(AE465)</f>
        <v>0</v>
      </c>
      <c r="CC465" s="57" t="n">
        <f aca="false">N(M465)+N(N465)</f>
        <v>30</v>
      </c>
      <c r="CD465" s="57" t="n">
        <f aca="false">ROUNDUP(H465/BS465,0)</f>
        <v>1</v>
      </c>
      <c r="CE465" s="57" t="n">
        <f aca="false">ROUNDUP(CB465/BS465,0)</f>
        <v>0</v>
      </c>
      <c r="CF465" s="60" t="n">
        <f aca="false">IF(BT465=1,0,IFERROR(VLOOKUP(BR465,'Gebinde-Kategorie'!$A$5:$M$45,5,0)+0,0))</f>
        <v>11</v>
      </c>
      <c r="CG465" s="60" t="n">
        <f aca="false">IFERROR(IF(OR(BX465=1,BX465=2,BX465=3),N(INDEX(Parameter!$I$5:$I$7,BX465)),0),0)</f>
        <v>0</v>
      </c>
      <c r="CH465" s="59" t="n">
        <f aca="false">IF(AND(Parameter!$B$21="Ja",ISNUMBER(W465),N(X465)&gt;0),IFERROR(N(INDEX(Parameter!$L$5:$L$7,W465))*INDEX(Parameter!$E$5:$E$7,W465)*X465/SUMIFS($X$7:$X$1843,$W$7:$W$1843,W465),0),0)</f>
        <v>0</v>
      </c>
    </row>
    <row r="466" customFormat="false" ht="15" hidden="false" customHeight="false" outlineLevel="0" collapsed="false">
      <c r="A466" s="55" t="s">
        <v>1045</v>
      </c>
      <c r="B466" s="55" t="s">
        <v>407</v>
      </c>
      <c r="C466" s="55" t="s">
        <v>164</v>
      </c>
      <c r="D466" s="55" t="s">
        <v>184</v>
      </c>
      <c r="E466" s="55" t="s">
        <v>185</v>
      </c>
      <c r="F466" s="55" t="s">
        <v>218</v>
      </c>
      <c r="G466" s="56" t="n">
        <v>0.17</v>
      </c>
      <c r="H466" s="57" t="n">
        <f aca="false">MAX(0,IF(AND(Parameter!$B$21="Ja",ISNUMBER(Y466)),Y466,IF(Parameter!$B$20="Jahresanfang 2025 + Export",BL466+BK466,BK466)))</f>
        <v>858</v>
      </c>
      <c r="I466" s="57" t="n">
        <f aca="false">H466*G466</f>
        <v>145.86</v>
      </c>
      <c r="J466" s="57" t="n">
        <f aca="false">BN466*Parameter!$B$18</f>
        <v>2868</v>
      </c>
      <c r="K466" s="58" t="n">
        <v>709</v>
      </c>
      <c r="L466" s="59" t="n">
        <v>4.04513399153738</v>
      </c>
      <c r="M466" s="57" t="n">
        <v>167</v>
      </c>
      <c r="N466" s="57" t="n">
        <v>2000</v>
      </c>
      <c r="O466" s="60" t="n">
        <v>21</v>
      </c>
      <c r="P466" s="55" t="s">
        <v>328</v>
      </c>
      <c r="Q466" s="57" t="n">
        <v>895</v>
      </c>
      <c r="R466" s="60" t="n">
        <f aca="false">IF(BT466=1,0,IFERROR(VLOOKUP(BR466,'Gebinde-Kategorie'!$A$5:$M$45,13,0)+0,0))</f>
        <v>52</v>
      </c>
      <c r="S466" s="61"/>
      <c r="T466" s="62"/>
      <c r="U466" s="62"/>
      <c r="V466" s="62"/>
      <c r="W466" s="55"/>
      <c r="X466" s="57"/>
      <c r="Y466" s="57"/>
      <c r="Z466" s="55" t="n">
        <f aca="false">IF(A466="","",IF(AND(Parameter!$B$21="Ja",ISNUMBER(W466)),W466,IF(BV466="2+3",IF(ISNUMBER(SEARCH("grosser Artikel",BO466)),2,IFERROR(VLOOKUP(BR466,Parameter!$F$35:$G$64,2,0),2)),IF(OR(BV466="Nein",BV466=""),"-",BV466))))</f>
        <v>3</v>
      </c>
      <c r="AA466" s="62"/>
      <c r="AB466" s="63"/>
      <c r="AC466" s="57" t="n">
        <f aca="false">AR466</f>
        <v>2685</v>
      </c>
      <c r="AD466" s="57" t="n">
        <f aca="false">MAX(AR466,H466)</f>
        <v>2685</v>
      </c>
      <c r="AE466" s="64"/>
      <c r="AF466" s="57" t="n">
        <f aca="false">IF(LEFT(Cockpit!$C$5,1)="A",H466,IF(CA466=1,CB466,IF(LEFT(Cockpit!$C$5,1)="B",AJ466,MAX(AJ466,H466))))</f>
        <v>858</v>
      </c>
      <c r="AG466" s="57" t="n">
        <f aca="false">IF(BT466=1,0,ROUNDUP(AF466/BS466,0))</f>
        <v>1</v>
      </c>
      <c r="AH466" s="59" t="n">
        <f aca="false">IF(CH466&gt;0,CH466*MAX(1,AF466/X466),IF(BT466=1,IF(AF466&lt;=0,0,BW466*MAX(1,IF(H466&gt;0,AF466/H466,1))),IF(R466&gt;0,AG466/R466,0))/MAX(0.1,N(Parameter!$M$21)))</f>
        <v>0.0192307692307692</v>
      </c>
      <c r="AI466" s="57" t="n">
        <f aca="false">AF466*G466</f>
        <v>145.86</v>
      </c>
      <c r="AJ466" s="57" t="n">
        <f aca="false">ROUNDUP(MAX(J466/IF(BZ466&gt;0,BZ466,MAX(0.1,N(Cockpit!$C$6))),CC466)/BS466,0)*BS466</f>
        <v>2685</v>
      </c>
      <c r="AK466" s="58" t="n">
        <f aca="false">IF(AH466&gt;0,J466/AH466,-1)</f>
        <v>149136</v>
      </c>
      <c r="AL466" s="58" t="n">
        <f aca="false">IF(AND(OR(BY466="L1",BY466="L23"),AH466&gt;0),SUMIFS($AH$7:$AH$1843,$BY$7:$BY$1843,BY466,$AK$7:$AK$1843,"&gt;"&amp;AK466)+SUMIFS($AH$7:$AH$1843,$BY$7:$BY$1843,BY466,$AK$7:$AK$1843,AK466,$BQ$7:$BQ$1843,"&lt;="&amp;BQ466),"")</f>
        <v>0.233851896895375</v>
      </c>
      <c r="AM466" s="65" t="n">
        <f aca="false">IF(AL466="",0,MAX(0,MIN(1,(IF(BY466="L1",Parameter!$E$5,Parameter!$E$6+Parameter!$E$7)-(AL466-AH466))/AH466)))</f>
        <v>1</v>
      </c>
      <c r="AN466" s="57" t="n">
        <f aca="false">IF(LEFT(Cockpit!$I$5,1)="A",H466,IF(CA466=1,CB466,IF(LEFT(Cockpit!$I$5,1)="B",AR466,MAX(AR466,H466))))</f>
        <v>2685</v>
      </c>
      <c r="AO466" s="57" t="n">
        <f aca="false">IF(BT466=1,0,ROUNDUP(AN466/BS466,0))</f>
        <v>3</v>
      </c>
      <c r="AP466" s="59" t="n">
        <f aca="false">IF(CH466&gt;0,CH466*MAX(1,AN466/X466),IF(BT466=1,IF(AN466&lt;=0,0,BW466*MAX(1,IF(H466&gt;0,AN466/H466,1))),IF(R466&gt;0,AO466/R466,0))/MAX(0.1,N(Parameter!$M$21)))</f>
        <v>0.0576923076923077</v>
      </c>
      <c r="AQ466" s="57" t="n">
        <f aca="false">AN466*G466</f>
        <v>456.45</v>
      </c>
      <c r="AR466" s="57" t="n">
        <f aca="false">ROUNDUP(MAX(J466/IF(BZ466&gt;0,BZ466,MAX(0.1,N(Cockpit!$I$6))),CC466)/BS466,0)*BS466</f>
        <v>2685</v>
      </c>
      <c r="AS466" s="58" t="n">
        <f aca="false">IF(AP466&gt;0,J466/AP466,-1)</f>
        <v>49712</v>
      </c>
      <c r="AT466" s="58" t="n">
        <f aca="false">IF(AND(OR(BY466="L1",BY466="L23"),AP466&gt;0),SUMIFS($AP$7:$AP$1843,$BY$7:$BY$1843,BY466,$AS$7:$AS$1843,"&gt;"&amp;AS466)+SUMIFS($AP$7:$AP$1843,$BY$7:$BY$1843,BY466,$AS$7:$AS$1843,AS466,$BQ$7:$BQ$1843,"&lt;="&amp;BQ466),"")</f>
        <v>1.50635113678592</v>
      </c>
      <c r="AU466" s="65" t="n">
        <f aca="false">IF(AT466="",0,MAX(0,MIN(1,(IF(BY466="L1",Parameter!$E$5,Parameter!$E$6+Parameter!$E$7)-(AT466-AP466))/AP466)))</f>
        <v>1</v>
      </c>
      <c r="AV466" s="57" t="n">
        <f aca="false">IF(LEFT(Cockpit!$O$5,1)="A",H466,IF(CA466=1,CB466,IF(LEFT(Cockpit!$O$5,1)="B",AZ466,MAX(AZ466,H466))))</f>
        <v>2685</v>
      </c>
      <c r="AW466" s="57" t="n">
        <f aca="false">IF(BT466=1,0,ROUNDUP(AV466/BS466,0))</f>
        <v>3</v>
      </c>
      <c r="AX466" s="59" t="n">
        <f aca="false">IF(CH466&gt;0,CH466*MAX(1,AV466/X466),IF(BT466=1,IF(AV466&lt;=0,0,BW466*MAX(1,IF(H466&gt;0,AV466/H466,1))),IF(R466&gt;0,AW466/R466,0))/MAX(0.1,N(Parameter!$M$21)))</f>
        <v>0.0576923076923077</v>
      </c>
      <c r="AY466" s="57" t="n">
        <f aca="false">AV466*G466</f>
        <v>456.45</v>
      </c>
      <c r="AZ466" s="57" t="n">
        <f aca="false">ROUNDUP(MAX(J466/IF(BZ466&gt;0,BZ466,MAX(0.1,N(Cockpit!$O$6))),CC466)/BS466,0)*BS466</f>
        <v>2685</v>
      </c>
      <c r="BA466" s="58" t="n">
        <f aca="false">IF(AX466&gt;0,J466/AX466,-1)</f>
        <v>49712</v>
      </c>
      <c r="BB466" s="58" t="n">
        <f aca="false">IF(AND(OR(BY466="L1",BY466="L23"),AX466&gt;0),SUMIFS($AX$7:$AX$1843,$BY$7:$BY$1843,BY466,$BA$7:$BA$1843,"&gt;"&amp;BA466)+SUMIFS($AX$7:$AX$1843,$BY$7:$BY$1843,BY466,$BA$7:$BA$1843,BA466,$BQ$7:$BQ$1843,"&lt;="&amp;BQ466),"")</f>
        <v>1.79714367757846</v>
      </c>
      <c r="BC466" s="65" t="n">
        <f aca="false">IF(BB466="",0,MAX(0,MIN(1,(IF(BY466="L1",Parameter!$E$5,Parameter!$E$6+Parameter!$E$7)-(BB466-AX466))/AX466)))</f>
        <v>1</v>
      </c>
      <c r="BD466" s="55" t="str">
        <f aca="false">IF(AH466&lt;=0,"",IF(BY466="Aussen","Aussenlager",IF(BY466="-","Nicht im Lift",IF(AM466&gt;=1,"Lift",IF(AM466&lt;=0,"Aussenlager","teilweise")))))</f>
        <v>Lift</v>
      </c>
      <c r="BE466" s="55" t="str">
        <f aca="false">IF(AP466&lt;=0,"",IF(BY466="Aussen","Aussenlager",IF(BY466="-","Nicht im Lift",IF(AU466&gt;=1,"Lift",IF(AU466&lt;=0,"Aussenlager","teilweise")))))</f>
        <v>Lift</v>
      </c>
      <c r="BF466" s="55" t="str">
        <f aca="false">IF(AX466&lt;=0,"",IF(BY466="Aussen","Aussenlager",IF(BY466="-","Nicht im Lift",IF(BC466&gt;=1,"Lift",IF(BC466&lt;=0,"Aussenlager","teilweise")))))</f>
        <v>Lift</v>
      </c>
      <c r="BG466" s="55" t="str">
        <f aca="false">IF(A466="","",IF(BP466=1,"Neu; ","")&amp;IF(AND(BP466=0,BK466&lt;0),"negativer Bestand (Export "&amp;BK466&amp;"); ","")&amp;IF(J466&lt;=0,"Kein Verbrauch; ","")&amp;IF(CH466&gt;0,"Lift "&amp;W466&amp;" lt. Liftbericht (Fach "&amp;X466&amp;" Stk); ",IF(BU466=1,"Gebinde geschätzt ("&amp;T466&amp;"); ",IF(BT466=1,"Lose – Tablare geschätzt; ","")))&amp;IF(H466&gt;AR466,"Überbestand "&amp;ROUND(H466-AR466,0)&amp;" Stk / CHF "&amp;ROUND((H466-AR466)*G466,0)&amp;"; ","")&amp;IF(AND(CA466=1,CB466&lt;CC466),"MAX &lt; MB+LG; ","")&amp;IF(AND(CG466&gt;0,CF466*10&gt;CG466),"zu hoch für Tablar; ","")&amp;IF(AND(BP466=0,OR(CA466=1,AA466&lt;&gt;"",U466&lt;&gt;"",V466&lt;&gt;"",AB466&lt;&gt;"")),"manuell übersteuert; ","")&amp;IF(AND(BT466=0,R466=0),"Gebinde unbekannt / Stellmass fehlt; ","")&amp;IF(AND(BT466=0,N(V466)&lt;=0,N(Q466)&lt;=0),"Menge pro Gebinde fehlt (Ist = 1 Gebinde); ","")&amp;BO466)</f>
        <v/>
      </c>
      <c r="BH466" s="55"/>
      <c r="BI466" s="55"/>
      <c r="BJ466" s="62"/>
      <c r="BK466" s="57" t="n">
        <v>334</v>
      </c>
      <c r="BL466" s="57" t="n">
        <v>524</v>
      </c>
      <c r="BM466" s="56" t="n">
        <v>56.7799999999999</v>
      </c>
      <c r="BN466" s="57" t="n">
        <v>2868</v>
      </c>
      <c r="BO466" s="55"/>
      <c r="BP466" s="60" t="n">
        <v>0</v>
      </c>
      <c r="BQ466" s="60" t="n">
        <v>466</v>
      </c>
      <c r="BR466" s="55" t="str">
        <f aca="false">IF(U466&lt;&gt;"",UPPER(TRIM(U466)),IF(BU466=1,UPPER(VLOOKUP(T466,Parameter!$I$27:$K$29,2,0)),IF(P466="","LOSE",P466)))</f>
        <v>S41</v>
      </c>
      <c r="BS466" s="57" t="n">
        <f aca="false">IF(BR466="LOSE",1,IF(N(V466)&gt;0,V466,IF(BU466=1,MAX(1,N(VLOOKUP(T466,Parameter!$I$27:$K$29,3,0)),H466,N(N466)),IF(N(Q466)&gt;0,Q466,MAX(1,H466)))))</f>
        <v>895</v>
      </c>
      <c r="BT466" s="60" t="n">
        <f aca="false">IF(BR466="LOSE",1,0)</f>
        <v>0</v>
      </c>
      <c r="BU466" s="60" t="n">
        <f aca="false">IF(AND(U466="",OR(P466="",P466="LOSE"),T466&lt;&gt;"",N(S466)&lt;=0,ISNUMBER(MATCH(T466,Parameter!$I$27:$I$29,0))),1,0)</f>
        <v>0</v>
      </c>
      <c r="BV466" s="55" t="str">
        <f aca="false">IF(AND(Parameter!$B$19="Ja",E466&lt;&gt;"",ISNUMBER(MATCH(E466,Parameter!$I$35:$I$52,0))),VLOOKUP(E466,Parameter!$I$35:$J$52,2,0),IFERROR(VLOOKUP(D466,Parameter!$A$35:$C$64,2,0),"Nein"))</f>
        <v>2+3</v>
      </c>
      <c r="BW466" s="59" t="n">
        <f aca="false">IF(BT466=0,0,IF(N(S466)&gt;0,S466,IFERROR(VLOOKUP(D466,Parameter!$A$35:$C$64,3,0)+0,0)))</f>
        <v>0</v>
      </c>
      <c r="BX466" s="55" t="n">
        <f aca="false">IF(AA466&lt;&gt;"",AA466,Z466)</f>
        <v>3</v>
      </c>
      <c r="BY466" s="55" t="str">
        <f aca="false">IF(BX466=1,"L1",IF(OR(BX466=2,BX466=3),"L23",IF(BX466="Aussen","Aussen","-")))</f>
        <v>L23</v>
      </c>
      <c r="BZ466" s="66" t="n">
        <f aca="false">IF(N(AB466)&gt;0,AB466,0)</f>
        <v>0</v>
      </c>
      <c r="CA466" s="60" t="n">
        <f aca="false">IF(ISNUMBER(AE466),1,0)</f>
        <v>0</v>
      </c>
      <c r="CB466" s="57" t="n">
        <f aca="false">N(AE466)</f>
        <v>0</v>
      </c>
      <c r="CC466" s="57" t="n">
        <f aca="false">N(M466)+N(N466)</f>
        <v>2167</v>
      </c>
      <c r="CD466" s="57" t="n">
        <f aca="false">ROUNDUP(H466/BS466,0)</f>
        <v>1</v>
      </c>
      <c r="CE466" s="57" t="n">
        <f aca="false">ROUNDUP(CB466/BS466,0)</f>
        <v>0</v>
      </c>
      <c r="CF466" s="60" t="n">
        <f aca="false">IF(BT466=1,0,IFERROR(VLOOKUP(BR466,'Gebinde-Kategorie'!$A$5:$M$45,5,0)+0,0))</f>
        <v>11</v>
      </c>
      <c r="CG466" s="60" t="n">
        <f aca="false">IFERROR(IF(OR(BX466=1,BX466=2,BX466=3),N(INDEX(Parameter!$I$5:$I$7,BX466)),0),0)</f>
        <v>0</v>
      </c>
      <c r="CH466" s="59" t="n">
        <f aca="false">IF(AND(Parameter!$B$21="Ja",ISNUMBER(W466),N(X466)&gt;0),IFERROR(N(INDEX(Parameter!$L$5:$L$7,W466))*INDEX(Parameter!$E$5:$E$7,W466)*X466/SUMIFS($X$7:$X$1843,$W$7:$W$1843,W466),0),0)</f>
        <v>0</v>
      </c>
    </row>
    <row r="467" customFormat="false" ht="15" hidden="false" customHeight="false" outlineLevel="0" collapsed="false">
      <c r="A467" s="55" t="s">
        <v>1046</v>
      </c>
      <c r="B467" s="55" t="s">
        <v>468</v>
      </c>
      <c r="C467" s="55" t="s">
        <v>164</v>
      </c>
      <c r="D467" s="55" t="s">
        <v>184</v>
      </c>
      <c r="E467" s="55" t="s">
        <v>185</v>
      </c>
      <c r="F467" s="55" t="s">
        <v>218</v>
      </c>
      <c r="G467" s="56" t="n">
        <v>0.15</v>
      </c>
      <c r="H467" s="57" t="n">
        <f aca="false">MAX(0,IF(AND(Parameter!$B$21="Ja",ISNUMBER(Y467)),Y467,IF(Parameter!$B$20="Jahresanfang 2025 + Export",BL467+BK467,BK467)))</f>
        <v>537</v>
      </c>
      <c r="I467" s="57" t="n">
        <f aca="false">H467*G467</f>
        <v>80.55</v>
      </c>
      <c r="J467" s="57" t="n">
        <f aca="false">BN467*Parameter!$B$18</f>
        <v>714</v>
      </c>
      <c r="K467" s="58" t="n">
        <v>234.5</v>
      </c>
      <c r="L467" s="59" t="n">
        <v>3.04477611940299</v>
      </c>
      <c r="M467" s="57" t="n">
        <v>27</v>
      </c>
      <c r="N467" s="57" t="n">
        <v>715</v>
      </c>
      <c r="O467" s="60" t="n">
        <v>14</v>
      </c>
      <c r="P467" s="55" t="s">
        <v>426</v>
      </c>
      <c r="Q467" s="57" t="n">
        <v>194</v>
      </c>
      <c r="R467" s="60" t="n">
        <f aca="false">IF(BT467=1,0,IFERROR(VLOOKUP(BR467,'Gebinde-Kategorie'!$A$5:$M$45,13,0)+0,0))</f>
        <v>198</v>
      </c>
      <c r="S467" s="61"/>
      <c r="T467" s="62"/>
      <c r="U467" s="62"/>
      <c r="V467" s="62"/>
      <c r="W467" s="55"/>
      <c r="X467" s="57"/>
      <c r="Y467" s="57"/>
      <c r="Z467" s="55" t="n">
        <f aca="false">IF(A467="","",IF(AND(Parameter!$B$21="Ja",ISNUMBER(W467)),W467,IF(BV467="2+3",IF(ISNUMBER(SEARCH("grosser Artikel",BO467)),2,IFERROR(VLOOKUP(BR467,Parameter!$F$35:$G$64,2,0),2)),IF(OR(BV467="Nein",BV467=""),"-",BV467))))</f>
        <v>3</v>
      </c>
      <c r="AA467" s="62"/>
      <c r="AB467" s="63"/>
      <c r="AC467" s="57" t="n">
        <f aca="false">AR467</f>
        <v>776</v>
      </c>
      <c r="AD467" s="57" t="n">
        <f aca="false">MAX(AR467,H467)</f>
        <v>776</v>
      </c>
      <c r="AE467" s="64"/>
      <c r="AF467" s="57" t="n">
        <f aca="false">IF(LEFT(Cockpit!$C$5,1)="A",H467,IF(CA467=1,CB467,IF(LEFT(Cockpit!$C$5,1)="B",AJ467,MAX(AJ467,H467))))</f>
        <v>537</v>
      </c>
      <c r="AG467" s="57" t="n">
        <f aca="false">IF(BT467=1,0,ROUNDUP(AF467/BS467,0))</f>
        <v>3</v>
      </c>
      <c r="AH467" s="59" t="n">
        <f aca="false">IF(CH467&gt;0,CH467*MAX(1,AF467/X467),IF(BT467=1,IF(AF467&lt;=0,0,BW467*MAX(1,IF(H467&gt;0,AF467/H467,1))),IF(R467&gt;0,AG467/R467,0))/MAX(0.1,N(Parameter!$M$21)))</f>
        <v>0.0151515151515152</v>
      </c>
      <c r="AI467" s="57" t="n">
        <f aca="false">AF467*G467</f>
        <v>80.55</v>
      </c>
      <c r="AJ467" s="57" t="n">
        <f aca="false">ROUNDUP(MAX(J467/IF(BZ467&gt;0,BZ467,MAX(0.1,N(Cockpit!$C$6))),CC467)/BS467,0)*BS467</f>
        <v>776</v>
      </c>
      <c r="AK467" s="58" t="n">
        <f aca="false">IF(AH467&gt;0,J467/AH467,-1)</f>
        <v>47124</v>
      </c>
      <c r="AL467" s="58" t="n">
        <f aca="false">IF(AND(OR(BY467="L1",BY467="L23"),AH467&gt;0),SUMIFS($AH$7:$AH$1843,$BY$7:$BY$1843,BY467,$AK$7:$AK$1843,"&gt;"&amp;AK467)+SUMIFS($AH$7:$AH$1843,$BY$7:$BY$1843,BY467,$AK$7:$AK$1843,AK467,$BQ$7:$BQ$1843,"&lt;="&amp;BQ467),"")</f>
        <v>1.48328603763386</v>
      </c>
      <c r="AM467" s="65" t="n">
        <f aca="false">IF(AL467="",0,MAX(0,MIN(1,(IF(BY467="L1",Parameter!$E$5,Parameter!$E$6+Parameter!$E$7)-(AL467-AH467))/AH467)))</f>
        <v>1</v>
      </c>
      <c r="AN467" s="57" t="n">
        <f aca="false">IF(LEFT(Cockpit!$I$5,1)="A",H467,IF(CA467=1,CB467,IF(LEFT(Cockpit!$I$5,1)="B",AR467,MAX(AR467,H467))))</f>
        <v>776</v>
      </c>
      <c r="AO467" s="57" t="n">
        <f aca="false">IF(BT467=1,0,ROUNDUP(AN467/BS467,0))</f>
        <v>4</v>
      </c>
      <c r="AP467" s="59" t="n">
        <f aca="false">IF(CH467&gt;0,CH467*MAX(1,AN467/X467),IF(BT467=1,IF(AN467&lt;=0,0,BW467*MAX(1,IF(H467&gt;0,AN467/H467,1))),IF(R467&gt;0,AO467/R467,0))/MAX(0.1,N(Parameter!$M$21)))</f>
        <v>0.0202020202020202</v>
      </c>
      <c r="AQ467" s="57" t="n">
        <f aca="false">AN467*G467</f>
        <v>116.4</v>
      </c>
      <c r="AR467" s="57" t="n">
        <f aca="false">ROUNDUP(MAX(J467/IF(BZ467&gt;0,BZ467,MAX(0.1,N(Cockpit!$I$6))),CC467)/BS467,0)*BS467</f>
        <v>776</v>
      </c>
      <c r="AS467" s="58" t="n">
        <f aca="false">IF(AP467&gt;0,J467/AP467,-1)</f>
        <v>35343</v>
      </c>
      <c r="AT467" s="58" t="n">
        <f aca="false">IF(AND(OR(BY467="L1",BY467="L23"),AP467&gt;0),SUMIFS($AP$7:$AP$1843,$BY$7:$BY$1843,BY467,$AS$7:$AS$1843,"&gt;"&amp;AS467)+SUMIFS($AP$7:$AP$1843,$BY$7:$BY$1843,BY467,$AS$7:$AS$1843,AS467,$BQ$7:$BQ$1843,"&lt;="&amp;BQ467),"")</f>
        <v>2.67216479173001</v>
      </c>
      <c r="AU467" s="65" t="n">
        <f aca="false">IF(AT467="",0,MAX(0,MIN(1,(IF(BY467="L1",Parameter!$E$5,Parameter!$E$6+Parameter!$E$7)-(AT467-AP467))/AP467)))</f>
        <v>1</v>
      </c>
      <c r="AV467" s="57" t="n">
        <f aca="false">IF(LEFT(Cockpit!$O$5,1)="A",H467,IF(CA467=1,CB467,IF(LEFT(Cockpit!$O$5,1)="B",AZ467,MAX(AZ467,H467))))</f>
        <v>776</v>
      </c>
      <c r="AW467" s="57" t="n">
        <f aca="false">IF(BT467=1,0,ROUNDUP(AV467/BS467,0))</f>
        <v>4</v>
      </c>
      <c r="AX467" s="59" t="n">
        <f aca="false">IF(CH467&gt;0,CH467*MAX(1,AV467/X467),IF(BT467=1,IF(AV467&lt;=0,0,BW467*MAX(1,IF(H467&gt;0,AV467/H467,1))),IF(R467&gt;0,AW467/R467,0))/MAX(0.1,N(Parameter!$M$21)))</f>
        <v>0.0202020202020202</v>
      </c>
      <c r="AY467" s="57" t="n">
        <f aca="false">AV467*G467</f>
        <v>116.4</v>
      </c>
      <c r="AZ467" s="57" t="n">
        <f aca="false">ROUNDUP(MAX(J467/IF(BZ467&gt;0,BZ467,MAX(0.1,N(Cockpit!$O$6))),CC467)/BS467,0)*BS467</f>
        <v>776</v>
      </c>
      <c r="BA467" s="58" t="n">
        <f aca="false">IF(AX467&gt;0,J467/AX467,-1)</f>
        <v>35343</v>
      </c>
      <c r="BB467" s="58" t="n">
        <f aca="false">IF(AND(OR(BY467="L1",BY467="L23"),AX467&gt;0),SUMIFS($AX$7:$AX$1843,$BY$7:$BY$1843,BY467,$BA$7:$BA$1843,"&gt;"&amp;BA467)+SUMIFS($AX$7:$AX$1843,$BY$7:$BY$1843,BY467,$BA$7:$BA$1843,BA467,$BQ$7:$BQ$1843,"&lt;="&amp;BQ467),"")</f>
        <v>2.44023005979528</v>
      </c>
      <c r="BC467" s="65" t="n">
        <f aca="false">IF(BB467="",0,MAX(0,MIN(1,(IF(BY467="L1",Parameter!$E$5,Parameter!$E$6+Parameter!$E$7)-(BB467-AX467))/AX467)))</f>
        <v>1</v>
      </c>
      <c r="BD467" s="55" t="str">
        <f aca="false">IF(AH467&lt;=0,"",IF(BY467="Aussen","Aussenlager",IF(BY467="-","Nicht im Lift",IF(AM467&gt;=1,"Lift",IF(AM467&lt;=0,"Aussenlager","teilweise")))))</f>
        <v>Lift</v>
      </c>
      <c r="BE467" s="55" t="str">
        <f aca="false">IF(AP467&lt;=0,"",IF(BY467="Aussen","Aussenlager",IF(BY467="-","Nicht im Lift",IF(AU467&gt;=1,"Lift",IF(AU467&lt;=0,"Aussenlager","teilweise")))))</f>
        <v>Lift</v>
      </c>
      <c r="BF467" s="55" t="str">
        <f aca="false">IF(AX467&lt;=0,"",IF(BY467="Aussen","Aussenlager",IF(BY467="-","Nicht im Lift",IF(BC467&gt;=1,"Lift",IF(BC467&lt;=0,"Aussenlager","teilweise")))))</f>
        <v>Lift</v>
      </c>
      <c r="BG467" s="55" t="str">
        <f aca="false">IF(A467="","",IF(BP467=1,"Neu; ","")&amp;IF(AND(BP467=0,BK467&lt;0),"negativer Bestand (Export "&amp;BK467&amp;"); ","")&amp;IF(J467&lt;=0,"Kein Verbrauch; ","")&amp;IF(CH467&gt;0,"Lift "&amp;W467&amp;" lt. Liftbericht (Fach "&amp;X467&amp;" Stk); ",IF(BU467=1,"Gebinde geschätzt ("&amp;T467&amp;"); ",IF(BT467=1,"Lose – Tablare geschätzt; ","")))&amp;IF(H467&gt;AR467,"Überbestand "&amp;ROUND(H467-AR467,0)&amp;" Stk / CHF "&amp;ROUND((H467-AR467)*G467,0)&amp;"; ","")&amp;IF(AND(CA467=1,CB467&lt;CC467),"MAX &lt; MB+LG; ","")&amp;IF(AND(CG467&gt;0,CF467*10&gt;CG467),"zu hoch für Tablar; ","")&amp;IF(AND(BP467=0,OR(CA467=1,AA467&lt;&gt;"",U467&lt;&gt;"",V467&lt;&gt;"",AB467&lt;&gt;"")),"manuell übersteuert; ","")&amp;IF(AND(BT467=0,R467=0),"Gebinde unbekannt / Stellmass fehlt; ","")&amp;IF(AND(BT467=0,N(V467)&lt;=0,N(Q467)&lt;=0),"Menge pro Gebinde fehlt (Ist = 1 Gebinde); ","")&amp;BO467)</f>
        <v/>
      </c>
      <c r="BH467" s="55"/>
      <c r="BI467" s="55"/>
      <c r="BJ467" s="62"/>
      <c r="BK467" s="57" t="n">
        <v>392</v>
      </c>
      <c r="BL467" s="57" t="n">
        <v>145</v>
      </c>
      <c r="BM467" s="56" t="n">
        <v>55.98</v>
      </c>
      <c r="BN467" s="57" t="n">
        <v>714</v>
      </c>
      <c r="BO467" s="55"/>
      <c r="BP467" s="60" t="n">
        <v>0</v>
      </c>
      <c r="BQ467" s="60" t="n">
        <v>467</v>
      </c>
      <c r="BR467" s="55" t="str">
        <f aca="false">IF(U467&lt;&gt;"",UPPER(TRIM(U467)),IF(BU467=1,UPPER(VLOOKUP(T467,Parameter!$I$27:$K$29,2,0)),IF(P467="","LOSE",P467)))</f>
        <v>S22</v>
      </c>
      <c r="BS467" s="57" t="n">
        <f aca="false">IF(BR467="LOSE",1,IF(N(V467)&gt;0,V467,IF(BU467=1,MAX(1,N(VLOOKUP(T467,Parameter!$I$27:$K$29,3,0)),H467,N(N467)),IF(N(Q467)&gt;0,Q467,MAX(1,H467)))))</f>
        <v>194</v>
      </c>
      <c r="BT467" s="60" t="n">
        <f aca="false">IF(BR467="LOSE",1,0)</f>
        <v>0</v>
      </c>
      <c r="BU467" s="60" t="n">
        <f aca="false">IF(AND(U467="",OR(P467="",P467="LOSE"),T467&lt;&gt;"",N(S467)&lt;=0,ISNUMBER(MATCH(T467,Parameter!$I$27:$I$29,0))),1,0)</f>
        <v>0</v>
      </c>
      <c r="BV467" s="55" t="str">
        <f aca="false">IF(AND(Parameter!$B$19="Ja",E467&lt;&gt;"",ISNUMBER(MATCH(E467,Parameter!$I$35:$I$52,0))),VLOOKUP(E467,Parameter!$I$35:$J$52,2,0),IFERROR(VLOOKUP(D467,Parameter!$A$35:$C$64,2,0),"Nein"))</f>
        <v>2+3</v>
      </c>
      <c r="BW467" s="59" t="n">
        <f aca="false">IF(BT467=0,0,IF(N(S467)&gt;0,S467,IFERROR(VLOOKUP(D467,Parameter!$A$35:$C$64,3,0)+0,0)))</f>
        <v>0</v>
      </c>
      <c r="BX467" s="55" t="n">
        <f aca="false">IF(AA467&lt;&gt;"",AA467,Z467)</f>
        <v>3</v>
      </c>
      <c r="BY467" s="55" t="str">
        <f aca="false">IF(BX467=1,"L1",IF(OR(BX467=2,BX467=3),"L23",IF(BX467="Aussen","Aussen","-")))</f>
        <v>L23</v>
      </c>
      <c r="BZ467" s="66" t="n">
        <f aca="false">IF(N(AB467)&gt;0,AB467,0)</f>
        <v>0</v>
      </c>
      <c r="CA467" s="60" t="n">
        <f aca="false">IF(ISNUMBER(AE467),1,0)</f>
        <v>0</v>
      </c>
      <c r="CB467" s="57" t="n">
        <f aca="false">N(AE467)</f>
        <v>0</v>
      </c>
      <c r="CC467" s="57" t="n">
        <f aca="false">N(M467)+N(N467)</f>
        <v>742</v>
      </c>
      <c r="CD467" s="57" t="n">
        <f aca="false">ROUNDUP(H467/BS467,0)</f>
        <v>3</v>
      </c>
      <c r="CE467" s="57" t="n">
        <f aca="false">ROUNDUP(CB467/BS467,0)</f>
        <v>0</v>
      </c>
      <c r="CF467" s="60" t="n">
        <f aca="false">IF(BT467=1,0,IFERROR(VLOOKUP(BR467,'Gebinde-Kategorie'!$A$5:$M$45,5,0)+0,0))</f>
        <v>8</v>
      </c>
      <c r="CG467" s="60" t="n">
        <f aca="false">IFERROR(IF(OR(BX467=1,BX467=2,BX467=3),N(INDEX(Parameter!$I$5:$I$7,BX467)),0),0)</f>
        <v>0</v>
      </c>
      <c r="CH467" s="59" t="n">
        <f aca="false">IF(AND(Parameter!$B$21="Ja",ISNUMBER(W467),N(X467)&gt;0),IFERROR(N(INDEX(Parameter!$L$5:$L$7,W467))*INDEX(Parameter!$E$5:$E$7,W467)*X467/SUMIFS($X$7:$X$1843,$W$7:$W$1843,W467),0),0)</f>
        <v>0</v>
      </c>
    </row>
    <row r="468" customFormat="false" ht="15" hidden="false" customHeight="false" outlineLevel="0" collapsed="false">
      <c r="A468" s="55" t="s">
        <v>1047</v>
      </c>
      <c r="B468" s="55" t="s">
        <v>1048</v>
      </c>
      <c r="C468" s="55" t="s">
        <v>164</v>
      </c>
      <c r="D468" s="55" t="s">
        <v>184</v>
      </c>
      <c r="E468" s="55"/>
      <c r="F468" s="55" t="s">
        <v>218</v>
      </c>
      <c r="G468" s="56" t="n">
        <v>7.36</v>
      </c>
      <c r="H468" s="57" t="n">
        <f aca="false">MAX(0,IF(AND(Parameter!$B$21="Ja",ISNUMBER(Y468)),Y468,IF(Parameter!$B$20="Jahresanfang 2025 + Export",BL468+BK468,BK468)))</f>
        <v>17</v>
      </c>
      <c r="I468" s="57" t="n">
        <f aca="false">H468*G468</f>
        <v>125.12</v>
      </c>
      <c r="J468" s="57" t="n">
        <f aca="false">BN468*Parameter!$B$18</f>
        <v>1</v>
      </c>
      <c r="K468" s="58" t="n">
        <v>7.5</v>
      </c>
      <c r="L468" s="59" t="n">
        <v>0.133333333333333</v>
      </c>
      <c r="M468" s="57" t="n">
        <v>0</v>
      </c>
      <c r="N468" s="57" t="n">
        <v>1</v>
      </c>
      <c r="O468" s="60" t="n">
        <v>21</v>
      </c>
      <c r="P468" s="55" t="s">
        <v>168</v>
      </c>
      <c r="Q468" s="57"/>
      <c r="R468" s="60" t="n">
        <f aca="false">IF(BT468=1,0,IFERROR(VLOOKUP(BR468,'Gebinde-Kategorie'!$A$5:$M$45,13,0)+0,0))</f>
        <v>26</v>
      </c>
      <c r="S468" s="61"/>
      <c r="T468" s="62" t="s">
        <v>275</v>
      </c>
      <c r="U468" s="62"/>
      <c r="V468" s="62"/>
      <c r="W468" s="55"/>
      <c r="X468" s="57"/>
      <c r="Y468" s="57"/>
      <c r="Z468" s="55" t="n">
        <f aca="false">IF(A468="","",IF(AND(Parameter!$B$21="Ja",ISNUMBER(W468)),W468,IF(BV468="2+3",IF(ISNUMBER(SEARCH("grosser Artikel",BO468)),2,IFERROR(VLOOKUP(BR468,Parameter!$F$35:$G$64,2,0),2)),IF(OR(BV468="Nein",BV468=""),"-",BV468))))</f>
        <v>3</v>
      </c>
      <c r="AA468" s="62"/>
      <c r="AB468" s="63"/>
      <c r="AC468" s="57" t="n">
        <f aca="false">AR468</f>
        <v>20</v>
      </c>
      <c r="AD468" s="57" t="n">
        <f aca="false">MAX(AR468,H468)</f>
        <v>20</v>
      </c>
      <c r="AE468" s="64"/>
      <c r="AF468" s="57" t="n">
        <f aca="false">IF(LEFT(Cockpit!$C$5,1)="A",H468,IF(CA468=1,CB468,IF(LEFT(Cockpit!$C$5,1)="B",AJ468,MAX(AJ468,H468))))</f>
        <v>17</v>
      </c>
      <c r="AG468" s="57" t="n">
        <f aca="false">IF(BT468=1,0,ROUNDUP(AF468/BS468,0))</f>
        <v>1</v>
      </c>
      <c r="AH468" s="59" t="n">
        <f aca="false">IF(CH468&gt;0,CH468*MAX(1,AF468/X468),IF(BT468=1,IF(AF468&lt;=0,0,BW468*MAX(1,IF(H468&gt;0,AF468/H468,1))),IF(R468&gt;0,AG468/R468,0))/MAX(0.1,N(Parameter!$M$21)))</f>
        <v>0.0384615384615385</v>
      </c>
      <c r="AI468" s="57" t="n">
        <f aca="false">AF468*G468</f>
        <v>125.12</v>
      </c>
      <c r="AJ468" s="57" t="n">
        <f aca="false">ROUNDUP(MAX(J468/IF(BZ468&gt;0,BZ468,MAX(0.1,N(Cockpit!$C$6))),CC468)/BS468,0)*BS468</f>
        <v>20</v>
      </c>
      <c r="AK468" s="58" t="n">
        <f aca="false">IF(AH468&gt;0,J468/AH468,-1)</f>
        <v>26</v>
      </c>
      <c r="AL468" s="58" t="n">
        <f aca="false">IF(AND(OR(BY468="L1",BY468="L23"),AH468&gt;0),SUMIFS($AH$7:$AH$1843,$BY$7:$BY$1843,BY468,$AK$7:$AK$1843,"&gt;"&amp;AK468)+SUMIFS($AH$7:$AH$1843,$BY$7:$BY$1843,BY468,$AK$7:$AK$1843,AK468,$BQ$7:$BQ$1843,"&lt;="&amp;BQ468),"")</f>
        <v>48.3445913989392</v>
      </c>
      <c r="AM468" s="65" t="n">
        <f aca="false">IF(AL468="",0,MAX(0,MIN(1,(IF(BY468="L1",Parameter!$E$5,Parameter!$E$6+Parameter!$E$7)-(AL468-AH468))/AH468)))</f>
        <v>1</v>
      </c>
      <c r="AN468" s="57" t="n">
        <f aca="false">IF(LEFT(Cockpit!$I$5,1)="A",H468,IF(CA468=1,CB468,IF(LEFT(Cockpit!$I$5,1)="B",AR468,MAX(AR468,H468))))</f>
        <v>20</v>
      </c>
      <c r="AO468" s="57" t="n">
        <f aca="false">IF(BT468=1,0,ROUNDUP(AN468/BS468,0))</f>
        <v>1</v>
      </c>
      <c r="AP468" s="59" t="n">
        <f aca="false">IF(CH468&gt;0,CH468*MAX(1,AN468/X468),IF(BT468=1,IF(AN468&lt;=0,0,BW468*MAX(1,IF(H468&gt;0,AN468/H468,1))),IF(R468&gt;0,AO468/R468,0))/MAX(0.1,N(Parameter!$M$21)))</f>
        <v>0.0384615384615385</v>
      </c>
      <c r="AQ468" s="57" t="n">
        <f aca="false">AN468*G468</f>
        <v>147.2</v>
      </c>
      <c r="AR468" s="57" t="n">
        <f aca="false">ROUNDUP(MAX(J468/IF(BZ468&gt;0,BZ468,MAX(0.1,N(Cockpit!$I$6))),CC468)/BS468,0)*BS468</f>
        <v>20</v>
      </c>
      <c r="AS468" s="58" t="n">
        <f aca="false">IF(AP468&gt;0,J468/AP468,-1)</f>
        <v>26</v>
      </c>
      <c r="AT468" s="58" t="n">
        <f aca="false">IF(AND(OR(BY468="L1",BY468="L23"),AP468&gt;0),SUMIFS($AP$7:$AP$1843,$BY$7:$BY$1843,BY468,$AS$7:$AS$1843,"&gt;"&amp;AS468)+SUMIFS($AP$7:$AP$1843,$BY$7:$BY$1843,BY468,$AS$7:$AS$1843,AS468,$BQ$7:$BQ$1843,"&lt;="&amp;BQ468),"")</f>
        <v>73.4417925070099</v>
      </c>
      <c r="AU468" s="65" t="n">
        <f aca="false">IF(AT468="",0,MAX(0,MIN(1,(IF(BY468="L1",Parameter!$E$5,Parameter!$E$6+Parameter!$E$7)-(AT468-AP468))/AP468)))</f>
        <v>1</v>
      </c>
      <c r="AV468" s="57" t="n">
        <f aca="false">IF(LEFT(Cockpit!$O$5,1)="A",H468,IF(CA468=1,CB468,IF(LEFT(Cockpit!$O$5,1)="B",AZ468,MAX(AZ468,H468))))</f>
        <v>20</v>
      </c>
      <c r="AW468" s="57" t="n">
        <f aca="false">IF(BT468=1,0,ROUNDUP(AV468/BS468,0))</f>
        <v>1</v>
      </c>
      <c r="AX468" s="59" t="n">
        <f aca="false">IF(CH468&gt;0,CH468*MAX(1,AV468/X468),IF(BT468=1,IF(AV468&lt;=0,0,BW468*MAX(1,IF(H468&gt;0,AV468/H468,1))),IF(R468&gt;0,AW468/R468,0))/MAX(0.1,N(Parameter!$M$21)))</f>
        <v>0.0384615384615385</v>
      </c>
      <c r="AY468" s="57" t="n">
        <f aca="false">AV468*G468</f>
        <v>147.2</v>
      </c>
      <c r="AZ468" s="57" t="n">
        <f aca="false">ROUNDUP(MAX(J468/IF(BZ468&gt;0,BZ468,MAX(0.1,N(Cockpit!$O$6))),CC468)/BS468,0)*BS468</f>
        <v>20</v>
      </c>
      <c r="BA468" s="58" t="n">
        <f aca="false">IF(AX468&gt;0,J468/AX468,-1)</f>
        <v>26</v>
      </c>
      <c r="BB468" s="58" t="n">
        <f aca="false">IF(AND(OR(BY468="L1",BY468="L23"),AX468&gt;0),SUMIFS($AX$7:$AX$1843,$BY$7:$BY$1843,BY468,$BA$7:$BA$1843,"&gt;"&amp;BA468)+SUMIFS($AX$7:$AX$1843,$BY$7:$BY$1843,BY468,$BA$7:$BA$1843,BA468,$BQ$7:$BQ$1843,"&lt;="&amp;BQ468),"")</f>
        <v>68.9382960035134</v>
      </c>
      <c r="BC468" s="65" t="n">
        <f aca="false">IF(BB468="",0,MAX(0,MIN(1,(IF(BY468="L1",Parameter!$E$5,Parameter!$E$6+Parameter!$E$7)-(BB468-AX468))/AX468)))</f>
        <v>1</v>
      </c>
      <c r="BD468" s="55" t="str">
        <f aca="false">IF(AH468&lt;=0,"",IF(BY468="Aussen","Aussenlager",IF(BY468="-","Nicht im Lift",IF(AM468&gt;=1,"Lift",IF(AM468&lt;=0,"Aussenlager","teilweise")))))</f>
        <v>Lift</v>
      </c>
      <c r="BE468" s="55" t="str">
        <f aca="false">IF(AP468&lt;=0,"",IF(BY468="Aussen","Aussenlager",IF(BY468="-","Nicht im Lift",IF(AU468&gt;=1,"Lift",IF(AU468&lt;=0,"Aussenlager","teilweise")))))</f>
        <v>Lift</v>
      </c>
      <c r="BF468" s="55" t="str">
        <f aca="false">IF(AX468&lt;=0,"",IF(BY468="Aussen","Aussenlager",IF(BY468="-","Nicht im Lift",IF(BC468&gt;=1,"Lift",IF(BC468&lt;=0,"Aussenlager","teilweise")))))</f>
        <v>Lift</v>
      </c>
      <c r="BG468" s="55" t="str">
        <f aca="false">IF(A468="","",IF(BP468=1,"Neu; ","")&amp;IF(AND(BP468=0,BK468&lt;0),"negativer Bestand (Export "&amp;BK468&amp;"); ","")&amp;IF(J468&lt;=0,"Kein Verbrauch; ","")&amp;IF(CH468&gt;0,"Lift "&amp;W468&amp;" lt. Liftbericht (Fach "&amp;X468&amp;" Stk); ",IF(BU468=1,"Gebinde geschätzt ("&amp;T468&amp;"); ",IF(BT468=1,"Lose – Tablare geschätzt; ","")))&amp;IF(H468&gt;AR468,"Überbestand "&amp;ROUND(H468-AR468,0)&amp;" Stk / CHF "&amp;ROUND((H468-AR468)*G468,0)&amp;"; ","")&amp;IF(AND(CA468=1,CB468&lt;CC468),"MAX &lt; MB+LG; ","")&amp;IF(AND(CG468&gt;0,CF468*10&gt;CG468),"zu hoch für Tablar; ","")&amp;IF(AND(BP468=0,OR(CA468=1,AA468&lt;&gt;"",U468&lt;&gt;"",V468&lt;&gt;"",AB468&lt;&gt;"")),"manuell übersteuert; ","")&amp;IF(AND(BT468=0,R468=0),"Gebinde unbekannt / Stellmass fehlt; ","")&amp;IF(AND(BT468=0,N(V468)&lt;=0,N(Q468)&lt;=0),"Menge pro Gebinde fehlt (Ist = 1 Gebinde); ","")&amp;BO468)</f>
        <v>Gebinde geschätzt (Klein); Menge pro Gebinde fehlt (Ist = 1 Gebinde); </v>
      </c>
      <c r="BH468" s="55"/>
      <c r="BI468" s="55"/>
      <c r="BJ468" s="62"/>
      <c r="BK468" s="57" t="n">
        <v>9</v>
      </c>
      <c r="BL468" s="57" t="n">
        <v>8</v>
      </c>
      <c r="BM468" s="56" t="n">
        <v>55.36</v>
      </c>
      <c r="BN468" s="57" t="n">
        <v>1</v>
      </c>
      <c r="BO468" s="55"/>
      <c r="BP468" s="60" t="n">
        <v>0</v>
      </c>
      <c r="BQ468" s="60" t="n">
        <v>468</v>
      </c>
      <c r="BR468" s="55" t="str">
        <f aca="false">IF(U468&lt;&gt;"",UPPER(TRIM(U468)),IF(BU468=1,UPPER(VLOOKUP(T468,Parameter!$I$27:$K$29,2,0)),IF(P468="","LOSE",P468)))</f>
        <v>S51</v>
      </c>
      <c r="BS468" s="57" t="n">
        <f aca="false">IF(BR468="LOSE",1,IF(N(V468)&gt;0,V468,IF(BU468=1,MAX(1,N(VLOOKUP(T468,Parameter!$I$27:$K$29,3,0)),H468,N(N468)),IF(N(Q468)&gt;0,Q468,MAX(1,H468)))))</f>
        <v>20</v>
      </c>
      <c r="BT468" s="60" t="n">
        <f aca="false">IF(BR468="LOSE",1,0)</f>
        <v>0</v>
      </c>
      <c r="BU468" s="60" t="n">
        <f aca="false">IF(AND(U468="",OR(P468="",P468="LOSE"),T468&lt;&gt;"",N(S468)&lt;=0,ISNUMBER(MATCH(T468,Parameter!$I$27:$I$29,0))),1,0)</f>
        <v>1</v>
      </c>
      <c r="BV468" s="55" t="str">
        <f aca="false">IF(AND(Parameter!$B$19="Ja",E468&lt;&gt;"",ISNUMBER(MATCH(E468,Parameter!$I$35:$I$52,0))),VLOOKUP(E468,Parameter!$I$35:$J$52,2,0),IFERROR(VLOOKUP(D468,Parameter!$A$35:$C$64,2,0),"Nein"))</f>
        <v>2+3</v>
      </c>
      <c r="BW468" s="59" t="n">
        <f aca="false">IF(BT468=0,0,IF(N(S468)&gt;0,S468,IFERROR(VLOOKUP(D468,Parameter!$A$35:$C$64,3,0)+0,0)))</f>
        <v>0</v>
      </c>
      <c r="BX468" s="55" t="n">
        <f aca="false">IF(AA468&lt;&gt;"",AA468,Z468)</f>
        <v>3</v>
      </c>
      <c r="BY468" s="55" t="str">
        <f aca="false">IF(BX468=1,"L1",IF(OR(BX468=2,BX468=3),"L23",IF(BX468="Aussen","Aussen","-")))</f>
        <v>L23</v>
      </c>
      <c r="BZ468" s="66" t="n">
        <f aca="false">IF(N(AB468)&gt;0,AB468,0)</f>
        <v>0</v>
      </c>
      <c r="CA468" s="60" t="n">
        <f aca="false">IF(ISNUMBER(AE468),1,0)</f>
        <v>0</v>
      </c>
      <c r="CB468" s="57" t="n">
        <f aca="false">N(AE468)</f>
        <v>0</v>
      </c>
      <c r="CC468" s="57" t="n">
        <f aca="false">N(M468)+N(N468)</f>
        <v>1</v>
      </c>
      <c r="CD468" s="57" t="n">
        <f aca="false">ROUNDUP(H468/BS468,0)</f>
        <v>1</v>
      </c>
      <c r="CE468" s="57" t="n">
        <f aca="false">ROUNDUP(CB468/BS468,0)</f>
        <v>0</v>
      </c>
      <c r="CF468" s="60" t="n">
        <f aca="false">IF(BT468=1,0,IFERROR(VLOOKUP(BR468,'Gebinde-Kategorie'!$A$5:$M$45,5,0)+0,0))</f>
        <v>11</v>
      </c>
      <c r="CG468" s="60" t="n">
        <f aca="false">IFERROR(IF(OR(BX468=1,BX468=2,BX468=3),N(INDEX(Parameter!$I$5:$I$7,BX468)),0),0)</f>
        <v>0</v>
      </c>
      <c r="CH468" s="59" t="n">
        <f aca="false">IF(AND(Parameter!$B$21="Ja",ISNUMBER(W468),N(X468)&gt;0),IFERROR(N(INDEX(Parameter!$L$5:$L$7,W468))*INDEX(Parameter!$E$5:$E$7,W468)*X468/SUMIFS($X$7:$X$1843,$W$7:$W$1843,W468),0),0)</f>
        <v>0</v>
      </c>
    </row>
    <row r="469" customFormat="false" ht="15" hidden="false" customHeight="false" outlineLevel="0" collapsed="false">
      <c r="A469" s="55" t="s">
        <v>1049</v>
      </c>
      <c r="B469" s="55" t="s">
        <v>429</v>
      </c>
      <c r="C469" s="55" t="s">
        <v>164</v>
      </c>
      <c r="D469" s="55" t="s">
        <v>173</v>
      </c>
      <c r="E469" s="55"/>
      <c r="F469" s="55" t="s">
        <v>218</v>
      </c>
      <c r="G469" s="56" t="n">
        <v>54.97</v>
      </c>
      <c r="H469" s="57" t="n">
        <f aca="false">MAX(0,IF(AND(Parameter!$B$21="Ja",ISNUMBER(Y469)),Y469,IF(Parameter!$B$20="Jahresanfang 2025 + Export",BL469+BK469,BK469)))</f>
        <v>1</v>
      </c>
      <c r="I469" s="57" t="n">
        <f aca="false">H469*G469</f>
        <v>54.97</v>
      </c>
      <c r="J469" s="57" t="n">
        <f aca="false">BN469*Parameter!$B$18</f>
        <v>0</v>
      </c>
      <c r="K469" s="58" t="n">
        <v>0.5</v>
      </c>
      <c r="L469" s="59" t="n">
        <v>0</v>
      </c>
      <c r="M469" s="57" t="n">
        <v>0</v>
      </c>
      <c r="N469" s="57" t="n">
        <v>1</v>
      </c>
      <c r="O469" s="60" t="n">
        <v>63</v>
      </c>
      <c r="P469" s="55" t="s">
        <v>168</v>
      </c>
      <c r="Q469" s="57"/>
      <c r="R469" s="60" t="n">
        <f aca="false">IF(BT469=1,0,IFERROR(VLOOKUP(BR469,'Gebinde-Kategorie'!$A$5:$M$45,13,0)+0,0))</f>
        <v>12</v>
      </c>
      <c r="S469" s="61"/>
      <c r="T469" s="62" t="s">
        <v>179</v>
      </c>
      <c r="U469" s="62"/>
      <c r="V469" s="62"/>
      <c r="W469" s="55"/>
      <c r="X469" s="57"/>
      <c r="Y469" s="57"/>
      <c r="Z469" s="55" t="n">
        <f aca="false">IF(A469="","",IF(AND(Parameter!$B$21="Ja",ISNUMBER(W469)),W469,IF(BV469="2+3",IF(ISNUMBER(SEARCH("grosser Artikel",BO469)),2,IFERROR(VLOOKUP(BR469,Parameter!$F$35:$G$64,2,0),2)),IF(OR(BV469="Nein",BV469=""),"-",BV469))))</f>
        <v>2</v>
      </c>
      <c r="AA469" s="62"/>
      <c r="AB469" s="63"/>
      <c r="AC469" s="57" t="n">
        <f aca="false">AR469</f>
        <v>4</v>
      </c>
      <c r="AD469" s="57" t="n">
        <f aca="false">MAX(AR469,H469)</f>
        <v>4</v>
      </c>
      <c r="AE469" s="64"/>
      <c r="AF469" s="57" t="n">
        <f aca="false">IF(LEFT(Cockpit!$C$5,1)="A",H469,IF(CA469=1,CB469,IF(LEFT(Cockpit!$C$5,1)="B",AJ469,MAX(AJ469,H469))))</f>
        <v>1</v>
      </c>
      <c r="AG469" s="57" t="n">
        <f aca="false">IF(BT469=1,0,ROUNDUP(AF469/BS469,0))</f>
        <v>1</v>
      </c>
      <c r="AH469" s="59" t="n">
        <f aca="false">IF(CH469&gt;0,CH469*MAX(1,AF469/X469),IF(BT469=1,IF(AF469&lt;=0,0,BW469*MAX(1,IF(H469&gt;0,AF469/H469,1))),IF(R469&gt;0,AG469/R469,0))/MAX(0.1,N(Parameter!$M$21)))</f>
        <v>0.0833333333333333</v>
      </c>
      <c r="AI469" s="57" t="n">
        <f aca="false">AF469*G469</f>
        <v>54.97</v>
      </c>
      <c r="AJ469" s="57" t="n">
        <f aca="false">ROUNDUP(MAX(J469/IF(BZ469&gt;0,BZ469,MAX(0.1,N(Cockpit!$C$6))),CC469)/BS469,0)*BS469</f>
        <v>4</v>
      </c>
      <c r="AK469" s="58" t="n">
        <f aca="false">IF(AH469&gt;0,J469/AH469,-1)</f>
        <v>0</v>
      </c>
      <c r="AL469" s="58" t="n">
        <f aca="false">IF(AND(OR(BY469="L1",BY469="L23"),AH469&gt;0),SUMIFS($AH$7:$AH$1843,$BY$7:$BY$1843,BY469,$AK$7:$AK$1843,"&gt;"&amp;AK469)+SUMIFS($AH$7:$AH$1843,$BY$7:$BY$1843,BY469,$AK$7:$AK$1843,AK469,$BQ$7:$BQ$1843,"&lt;="&amp;BQ469),"")</f>
        <v>74.1889969933448</v>
      </c>
      <c r="AM469" s="65" t="n">
        <f aca="false">IF(AL469="",0,MAX(0,MIN(1,(IF(BY469="L1",Parameter!$E$5,Parameter!$E$6+Parameter!$E$7)-(AL469-AH469))/AH469)))</f>
        <v>1</v>
      </c>
      <c r="AN469" s="57" t="n">
        <f aca="false">IF(LEFT(Cockpit!$I$5,1)="A",H469,IF(CA469=1,CB469,IF(LEFT(Cockpit!$I$5,1)="B",AR469,MAX(AR469,H469))))</f>
        <v>4</v>
      </c>
      <c r="AO469" s="57" t="n">
        <f aca="false">IF(BT469=1,0,ROUNDUP(AN469/BS469,0))</f>
        <v>1</v>
      </c>
      <c r="AP469" s="59" t="n">
        <f aca="false">IF(CH469&gt;0,CH469*MAX(1,AN469/X469),IF(BT469=1,IF(AN469&lt;=0,0,BW469*MAX(1,IF(H469&gt;0,AN469/H469,1))),IF(R469&gt;0,AO469/R469,0))/MAX(0.1,N(Parameter!$M$21)))</f>
        <v>0.0833333333333333</v>
      </c>
      <c r="AQ469" s="57" t="n">
        <f aca="false">AN469*G469</f>
        <v>219.88</v>
      </c>
      <c r="AR469" s="57" t="n">
        <f aca="false">ROUNDUP(MAX(J469/IF(BZ469&gt;0,BZ469,MAX(0.1,N(Cockpit!$I$6))),CC469)/BS469,0)*BS469</f>
        <v>4</v>
      </c>
      <c r="AS469" s="58" t="n">
        <f aca="false">IF(AP469&gt;0,J469/AP469,-1)</f>
        <v>0</v>
      </c>
      <c r="AT469" s="58" t="n">
        <f aca="false">IF(AND(OR(BY469="L1",BY469="L23"),AP469&gt;0),SUMIFS($AP$7:$AP$1843,$BY$7:$BY$1843,BY469,$AS$7:$AS$1843,"&gt;"&amp;AS469)+SUMIFS($AP$7:$AP$1843,$BY$7:$BY$1843,BY469,$AS$7:$AS$1843,AS469,$BQ$7:$BQ$1843,"&lt;="&amp;BQ469),"")</f>
        <v>113.613121178339</v>
      </c>
      <c r="AU469" s="65" t="n">
        <f aca="false">IF(AT469="",0,MAX(0,MIN(1,(IF(BY469="L1",Parameter!$E$5,Parameter!$E$6+Parameter!$E$7)-(AT469-AP469))/AP469)))</f>
        <v>0</v>
      </c>
      <c r="AV469" s="57" t="n">
        <f aca="false">IF(LEFT(Cockpit!$O$5,1)="A",H469,IF(CA469=1,CB469,IF(LEFT(Cockpit!$O$5,1)="B",AZ469,MAX(AZ469,H469))))</f>
        <v>4</v>
      </c>
      <c r="AW469" s="57" t="n">
        <f aca="false">IF(BT469=1,0,ROUNDUP(AV469/BS469,0))</f>
        <v>1</v>
      </c>
      <c r="AX469" s="59" t="n">
        <f aca="false">IF(CH469&gt;0,CH469*MAX(1,AV469/X469),IF(BT469=1,IF(AV469&lt;=0,0,BW469*MAX(1,IF(H469&gt;0,AV469/H469,1))),IF(R469&gt;0,AW469/R469,0))/MAX(0.1,N(Parameter!$M$21)))</f>
        <v>0.0833333333333333</v>
      </c>
      <c r="AY469" s="57" t="n">
        <f aca="false">AV469*G469</f>
        <v>219.88</v>
      </c>
      <c r="AZ469" s="57" t="n">
        <f aca="false">ROUNDUP(MAX(J469/IF(BZ469&gt;0,BZ469,MAX(0.1,N(Cockpit!$O$6))),CC469)/BS469,0)*BS469</f>
        <v>4</v>
      </c>
      <c r="BA469" s="58" t="n">
        <f aca="false">IF(AX469&gt;0,J469/AX469,-1)</f>
        <v>0</v>
      </c>
      <c r="BB469" s="58" t="n">
        <f aca="false">IF(AND(OR(BY469="L1",BY469="L23"),AX469&gt;0),SUMIFS($AX$7:$AX$1843,$BY$7:$BY$1843,BY469,$BA$7:$BA$1843,"&gt;"&amp;BA469)+SUMIFS($AX$7:$AX$1843,$BY$7:$BY$1843,BY469,$BA$7:$BA$1843,BA469,$BQ$7:$BQ$1843,"&lt;="&amp;BQ469),"")</f>
        <v>104.442958008175</v>
      </c>
      <c r="BC469" s="65" t="n">
        <f aca="false">IF(BB469="",0,MAX(0,MIN(1,(IF(BY469="L1",Parameter!$E$5,Parameter!$E$6+Parameter!$E$7)-(BB469-AX469))/AX469)))</f>
        <v>0</v>
      </c>
      <c r="BD469" s="55" t="str">
        <f aca="false">IF(AH469&lt;=0,"",IF(BY469="Aussen","Aussenlager",IF(BY469="-","Nicht im Lift",IF(AM469&gt;=1,"Lift",IF(AM469&lt;=0,"Aussenlager","teilweise")))))</f>
        <v>Lift</v>
      </c>
      <c r="BE469" s="55" t="str">
        <f aca="false">IF(AP469&lt;=0,"",IF(BY469="Aussen","Aussenlager",IF(BY469="-","Nicht im Lift",IF(AU469&gt;=1,"Lift",IF(AU469&lt;=0,"Aussenlager","teilweise")))))</f>
        <v>Aussenlager</v>
      </c>
      <c r="BF469" s="55" t="str">
        <f aca="false">IF(AX469&lt;=0,"",IF(BY469="Aussen","Aussenlager",IF(BY469="-","Nicht im Lift",IF(BC469&gt;=1,"Lift",IF(BC469&lt;=0,"Aussenlager","teilweise")))))</f>
        <v>Aussenlager</v>
      </c>
      <c r="BG469" s="55" t="str">
        <f aca="false">IF(A469="","",IF(BP469=1,"Neu; ","")&amp;IF(AND(BP469=0,BK469&lt;0),"negativer Bestand (Export "&amp;BK469&amp;"); ","")&amp;IF(J469&lt;=0,"Kein Verbrauch; ","")&amp;IF(CH469&gt;0,"Lift "&amp;W469&amp;" lt. Liftbericht (Fach "&amp;X469&amp;" Stk); ",IF(BU469=1,"Gebinde geschätzt ("&amp;T469&amp;"); ",IF(BT469=1,"Lose – Tablare geschätzt; ","")))&amp;IF(H469&gt;AR469,"Überbestand "&amp;ROUND(H469-AR469,0)&amp;" Stk / CHF "&amp;ROUND((H469-AR469)*G469,0)&amp;"; ","")&amp;IF(AND(CA469=1,CB469&lt;CC469),"MAX &lt; MB+LG; ","")&amp;IF(AND(CG469&gt;0,CF469*10&gt;CG469),"zu hoch für Tablar; ","")&amp;IF(AND(BP469=0,OR(CA469=1,AA469&lt;&gt;"",U469&lt;&gt;"",V469&lt;&gt;"",AB469&lt;&gt;"")),"manuell übersteuert; ","")&amp;IF(AND(BT469=0,R469=0),"Gebinde unbekannt / Stellmass fehlt; ","")&amp;IF(AND(BT469=0,N(V469)&lt;=0,N(Q469)&lt;=0),"Menge pro Gebinde fehlt (Ist = 1 Gebinde); ","")&amp;BO469)</f>
        <v>Kein Verbrauch; Gebinde geschätzt (Mittel); Menge pro Gebinde fehlt (Ist = 1 Gebinde); </v>
      </c>
      <c r="BH469" s="55"/>
      <c r="BI469" s="55"/>
      <c r="BJ469" s="62"/>
      <c r="BK469" s="57" t="n">
        <v>1</v>
      </c>
      <c r="BL469" s="57" t="n">
        <v>0</v>
      </c>
      <c r="BM469" s="56" t="n">
        <v>54.97</v>
      </c>
      <c r="BN469" s="57" t="n">
        <v>0</v>
      </c>
      <c r="BO469" s="55"/>
      <c r="BP469" s="60" t="n">
        <v>0</v>
      </c>
      <c r="BQ469" s="60" t="n">
        <v>469</v>
      </c>
      <c r="BR469" s="55" t="str">
        <f aca="false">IF(U469&lt;&gt;"",UPPER(TRIM(U469)),IF(BU469=1,UPPER(VLOOKUP(T469,Parameter!$I$27:$K$29,2,0)),IF(P469="","LOSE",P469)))</f>
        <v>S61</v>
      </c>
      <c r="BS469" s="57" t="n">
        <f aca="false">IF(BR469="LOSE",1,IF(N(V469)&gt;0,V469,IF(BU469=1,MAX(1,N(VLOOKUP(T469,Parameter!$I$27:$K$29,3,0)),H469,N(N469)),IF(N(Q469)&gt;0,Q469,MAX(1,H469)))))</f>
        <v>4</v>
      </c>
      <c r="BT469" s="60" t="n">
        <f aca="false">IF(BR469="LOSE",1,0)</f>
        <v>0</v>
      </c>
      <c r="BU469" s="60" t="n">
        <f aca="false">IF(AND(U469="",OR(P469="",P469="LOSE"),T469&lt;&gt;"",N(S469)&lt;=0,ISNUMBER(MATCH(T469,Parameter!$I$27:$I$29,0))),1,0)</f>
        <v>1</v>
      </c>
      <c r="BV469" s="55" t="str">
        <f aca="false">IF(AND(Parameter!$B$19="Ja",E469&lt;&gt;"",ISNUMBER(MATCH(E469,Parameter!$I$35:$I$52,0))),VLOOKUP(E469,Parameter!$I$35:$J$52,2,0),IFERROR(VLOOKUP(D469,Parameter!$A$35:$C$64,2,0),"Nein"))</f>
        <v>2+3</v>
      </c>
      <c r="BW469" s="59" t="n">
        <f aca="false">IF(BT469=0,0,IF(N(S469)&gt;0,S469,IFERROR(VLOOKUP(D469,Parameter!$A$35:$C$64,3,0)+0,0)))</f>
        <v>0</v>
      </c>
      <c r="BX469" s="55" t="n">
        <f aca="false">IF(AA469&lt;&gt;"",AA469,Z469)</f>
        <v>2</v>
      </c>
      <c r="BY469" s="55" t="str">
        <f aca="false">IF(BX469=1,"L1",IF(OR(BX469=2,BX469=3),"L23",IF(BX469="Aussen","Aussen","-")))</f>
        <v>L23</v>
      </c>
      <c r="BZ469" s="66" t="n">
        <f aca="false">IF(N(AB469)&gt;0,AB469,0)</f>
        <v>0</v>
      </c>
      <c r="CA469" s="60" t="n">
        <f aca="false">IF(ISNUMBER(AE469),1,0)</f>
        <v>0</v>
      </c>
      <c r="CB469" s="57" t="n">
        <f aca="false">N(AE469)</f>
        <v>0</v>
      </c>
      <c r="CC469" s="57" t="n">
        <f aca="false">N(M469)+N(N469)</f>
        <v>1</v>
      </c>
      <c r="CD469" s="57" t="n">
        <f aca="false">ROUNDUP(H469/BS469,0)</f>
        <v>1</v>
      </c>
      <c r="CE469" s="57" t="n">
        <f aca="false">ROUNDUP(CB469/BS469,0)</f>
        <v>0</v>
      </c>
      <c r="CF469" s="60" t="n">
        <f aca="false">IF(BT469=1,0,IFERROR(VLOOKUP(BR469,'Gebinde-Kategorie'!$A$5:$M$45,5,0)+0,0))</f>
        <v>11</v>
      </c>
      <c r="CG469" s="60" t="n">
        <f aca="false">IFERROR(IF(OR(BX469=1,BX469=2,BX469=3),N(INDEX(Parameter!$I$5:$I$7,BX469)),0),0)</f>
        <v>0</v>
      </c>
      <c r="CH469" s="59" t="n">
        <f aca="false">IF(AND(Parameter!$B$21="Ja",ISNUMBER(W469),N(X469)&gt;0),IFERROR(N(INDEX(Parameter!$L$5:$L$7,W469))*INDEX(Parameter!$E$5:$E$7,W469)*X469/SUMIFS($X$7:$X$1843,$W$7:$W$1843,W469),0),0)</f>
        <v>0</v>
      </c>
    </row>
    <row r="470" customFormat="false" ht="15" hidden="false" customHeight="false" outlineLevel="0" collapsed="false">
      <c r="A470" s="55" t="s">
        <v>1050</v>
      </c>
      <c r="B470" s="55" t="s">
        <v>1051</v>
      </c>
      <c r="C470" s="55" t="s">
        <v>164</v>
      </c>
      <c r="D470" s="55" t="s">
        <v>184</v>
      </c>
      <c r="E470" s="55"/>
      <c r="F470" s="55" t="s">
        <v>218</v>
      </c>
      <c r="G470" s="56" t="n">
        <v>54.56</v>
      </c>
      <c r="H470" s="57" t="n">
        <f aca="false">MAX(0,IF(AND(Parameter!$B$21="Ja",ISNUMBER(Y470)),Y470,IF(Parameter!$B$20="Jahresanfang 2025 + Export",BL470+BK470,BK470)))</f>
        <v>32</v>
      </c>
      <c r="I470" s="57" t="n">
        <f aca="false">H470*G470</f>
        <v>1745.92</v>
      </c>
      <c r="J470" s="57" t="n">
        <f aca="false">BN470*Parameter!$B$18</f>
        <v>0</v>
      </c>
      <c r="K470" s="58" t="n">
        <v>31.5</v>
      </c>
      <c r="L470" s="59" t="n">
        <v>0</v>
      </c>
      <c r="M470" s="57" t="n">
        <v>0</v>
      </c>
      <c r="N470" s="57" t="n">
        <v>1</v>
      </c>
      <c r="O470" s="60" t="n">
        <v>28</v>
      </c>
      <c r="P470" s="55" t="s">
        <v>226</v>
      </c>
      <c r="Q470" s="57" t="n">
        <v>40</v>
      </c>
      <c r="R470" s="60" t="n">
        <f aca="false">IF(BT470=1,0,IFERROR(VLOOKUP(BR470,'Gebinde-Kategorie'!$A$5:$M$45,13,0)+0,0))</f>
        <v>12</v>
      </c>
      <c r="S470" s="61"/>
      <c r="T470" s="62"/>
      <c r="U470" s="62"/>
      <c r="V470" s="62"/>
      <c r="W470" s="55"/>
      <c r="X470" s="57"/>
      <c r="Y470" s="57"/>
      <c r="Z470" s="55" t="n">
        <f aca="false">IF(A470="","",IF(AND(Parameter!$B$21="Ja",ISNUMBER(W470)),W470,IF(BV470="2+3",IF(ISNUMBER(SEARCH("grosser Artikel",BO470)),2,IFERROR(VLOOKUP(BR470,Parameter!$F$35:$G$64,2,0),2)),IF(OR(BV470="Nein",BV470=""),"-",BV470))))</f>
        <v>2</v>
      </c>
      <c r="AA470" s="62"/>
      <c r="AB470" s="63"/>
      <c r="AC470" s="57" t="n">
        <f aca="false">AR470</f>
        <v>40</v>
      </c>
      <c r="AD470" s="57" t="n">
        <f aca="false">MAX(AR470,H470)</f>
        <v>40</v>
      </c>
      <c r="AE470" s="64"/>
      <c r="AF470" s="57" t="n">
        <f aca="false">IF(LEFT(Cockpit!$C$5,1)="A",H470,IF(CA470=1,CB470,IF(LEFT(Cockpit!$C$5,1)="B",AJ470,MAX(AJ470,H470))))</f>
        <v>32</v>
      </c>
      <c r="AG470" s="57" t="n">
        <f aca="false">IF(BT470=1,0,ROUNDUP(AF470/BS470,0))</f>
        <v>1</v>
      </c>
      <c r="AH470" s="59" t="n">
        <f aca="false">IF(CH470&gt;0,CH470*MAX(1,AF470/X470),IF(BT470=1,IF(AF470&lt;=0,0,BW470*MAX(1,IF(H470&gt;0,AF470/H470,1))),IF(R470&gt;0,AG470/R470,0))/MAX(0.1,N(Parameter!$M$21)))</f>
        <v>0.0833333333333333</v>
      </c>
      <c r="AI470" s="57" t="n">
        <f aca="false">AF470*G470</f>
        <v>1745.92</v>
      </c>
      <c r="AJ470" s="57" t="n">
        <f aca="false">ROUNDUP(MAX(J470/IF(BZ470&gt;0,BZ470,MAX(0.1,N(Cockpit!$C$6))),CC470)/BS470,0)*BS470</f>
        <v>40</v>
      </c>
      <c r="AK470" s="58" t="n">
        <f aca="false">IF(AH470&gt;0,J470/AH470,-1)</f>
        <v>0</v>
      </c>
      <c r="AL470" s="58" t="n">
        <f aca="false">IF(AND(OR(BY470="L1",BY470="L23"),AH470&gt;0),SUMIFS($AH$7:$AH$1843,$BY$7:$BY$1843,BY470,$AK$7:$AK$1843,"&gt;"&amp;AK470)+SUMIFS($AH$7:$AH$1843,$BY$7:$BY$1843,BY470,$AK$7:$AK$1843,AK470,$BQ$7:$BQ$1843,"&lt;="&amp;BQ470),"")</f>
        <v>74.2723303266782</v>
      </c>
      <c r="AM470" s="65" t="n">
        <f aca="false">IF(AL470="",0,MAX(0,MIN(1,(IF(BY470="L1",Parameter!$E$5,Parameter!$E$6+Parameter!$E$7)-(AL470-AH470))/AH470)))</f>
        <v>1</v>
      </c>
      <c r="AN470" s="57" t="n">
        <f aca="false">IF(LEFT(Cockpit!$I$5,1)="A",H470,IF(CA470=1,CB470,IF(LEFT(Cockpit!$I$5,1)="B",AR470,MAX(AR470,H470))))</f>
        <v>40</v>
      </c>
      <c r="AO470" s="57" t="n">
        <f aca="false">IF(BT470=1,0,ROUNDUP(AN470/BS470,0))</f>
        <v>1</v>
      </c>
      <c r="AP470" s="59" t="n">
        <f aca="false">IF(CH470&gt;0,CH470*MAX(1,AN470/X470),IF(BT470=1,IF(AN470&lt;=0,0,BW470*MAX(1,IF(H470&gt;0,AN470/H470,1))),IF(R470&gt;0,AO470/R470,0))/MAX(0.1,N(Parameter!$M$21)))</f>
        <v>0.0833333333333333</v>
      </c>
      <c r="AQ470" s="57" t="n">
        <f aca="false">AN470*G470</f>
        <v>2182.4</v>
      </c>
      <c r="AR470" s="57" t="n">
        <f aca="false">ROUNDUP(MAX(J470/IF(BZ470&gt;0,BZ470,MAX(0.1,N(Cockpit!$I$6))),CC470)/BS470,0)*BS470</f>
        <v>40</v>
      </c>
      <c r="AS470" s="58" t="n">
        <f aca="false">IF(AP470&gt;0,J470/AP470,-1)</f>
        <v>0</v>
      </c>
      <c r="AT470" s="58" t="n">
        <f aca="false">IF(AND(OR(BY470="L1",BY470="L23"),AP470&gt;0),SUMIFS($AP$7:$AP$1843,$BY$7:$BY$1843,BY470,$AS$7:$AS$1843,"&gt;"&amp;AS470)+SUMIFS($AP$7:$AP$1843,$BY$7:$BY$1843,BY470,$AS$7:$AS$1843,AS470,$BQ$7:$BQ$1843,"&lt;="&amp;BQ470),"")</f>
        <v>113.696454511672</v>
      </c>
      <c r="AU470" s="65" t="n">
        <f aca="false">IF(AT470="",0,MAX(0,MIN(1,(IF(BY470="L1",Parameter!$E$5,Parameter!$E$6+Parameter!$E$7)-(AT470-AP470))/AP470)))</f>
        <v>0</v>
      </c>
      <c r="AV470" s="57" t="n">
        <f aca="false">IF(LEFT(Cockpit!$O$5,1)="A",H470,IF(CA470=1,CB470,IF(LEFT(Cockpit!$O$5,1)="B",AZ470,MAX(AZ470,H470))))</f>
        <v>40</v>
      </c>
      <c r="AW470" s="57" t="n">
        <f aca="false">IF(BT470=1,0,ROUNDUP(AV470/BS470,0))</f>
        <v>1</v>
      </c>
      <c r="AX470" s="59" t="n">
        <f aca="false">IF(CH470&gt;0,CH470*MAX(1,AV470/X470),IF(BT470=1,IF(AV470&lt;=0,0,BW470*MAX(1,IF(H470&gt;0,AV470/H470,1))),IF(R470&gt;0,AW470/R470,0))/MAX(0.1,N(Parameter!$M$21)))</f>
        <v>0.0833333333333333</v>
      </c>
      <c r="AY470" s="57" t="n">
        <f aca="false">AV470*G470</f>
        <v>2182.4</v>
      </c>
      <c r="AZ470" s="57" t="n">
        <f aca="false">ROUNDUP(MAX(J470/IF(BZ470&gt;0,BZ470,MAX(0.1,N(Cockpit!$O$6))),CC470)/BS470,0)*BS470</f>
        <v>40</v>
      </c>
      <c r="BA470" s="58" t="n">
        <f aca="false">IF(AX470&gt;0,J470/AX470,-1)</f>
        <v>0</v>
      </c>
      <c r="BB470" s="58" t="n">
        <f aca="false">IF(AND(OR(BY470="L1",BY470="L23"),AX470&gt;0),SUMIFS($AX$7:$AX$1843,$BY$7:$BY$1843,BY470,$BA$7:$BA$1843,"&gt;"&amp;BA470)+SUMIFS($AX$7:$AX$1843,$BY$7:$BY$1843,BY470,$BA$7:$BA$1843,BA470,$BQ$7:$BQ$1843,"&lt;="&amp;BQ470),"")</f>
        <v>104.526291341509</v>
      </c>
      <c r="BC470" s="65" t="n">
        <f aca="false">IF(BB470="",0,MAX(0,MIN(1,(IF(BY470="L1",Parameter!$E$5,Parameter!$E$6+Parameter!$E$7)-(BB470-AX470))/AX470)))</f>
        <v>0</v>
      </c>
      <c r="BD470" s="55" t="str">
        <f aca="false">IF(AH470&lt;=0,"",IF(BY470="Aussen","Aussenlager",IF(BY470="-","Nicht im Lift",IF(AM470&gt;=1,"Lift",IF(AM470&lt;=0,"Aussenlager","teilweise")))))</f>
        <v>Lift</v>
      </c>
      <c r="BE470" s="55" t="str">
        <f aca="false">IF(AP470&lt;=0,"",IF(BY470="Aussen","Aussenlager",IF(BY470="-","Nicht im Lift",IF(AU470&gt;=1,"Lift",IF(AU470&lt;=0,"Aussenlager","teilweise")))))</f>
        <v>Aussenlager</v>
      </c>
      <c r="BF470" s="55" t="str">
        <f aca="false">IF(AX470&lt;=0,"",IF(BY470="Aussen","Aussenlager",IF(BY470="-","Nicht im Lift",IF(BC470&gt;=1,"Lift",IF(BC470&lt;=0,"Aussenlager","teilweise")))))</f>
        <v>Aussenlager</v>
      </c>
      <c r="BG470" s="55" t="str">
        <f aca="false">IF(A470="","",IF(BP470=1,"Neu; ","")&amp;IF(AND(BP470=0,BK470&lt;0),"negativer Bestand (Export "&amp;BK470&amp;"); ","")&amp;IF(J470&lt;=0,"Kein Verbrauch; ","")&amp;IF(CH470&gt;0,"Lift "&amp;W470&amp;" lt. Liftbericht (Fach "&amp;X470&amp;" Stk); ",IF(BU470=1,"Gebinde geschätzt ("&amp;T470&amp;"); ",IF(BT470=1,"Lose – Tablare geschätzt; ","")))&amp;IF(H470&gt;AR470,"Überbestand "&amp;ROUND(H470-AR470,0)&amp;" Stk / CHF "&amp;ROUND((H470-AR470)*G470,0)&amp;"; ","")&amp;IF(AND(CA470=1,CB470&lt;CC470),"MAX &lt; MB+LG; ","")&amp;IF(AND(CG470&gt;0,CF470*10&gt;CG470),"zu hoch für Tablar; ","")&amp;IF(AND(BP470=0,OR(CA470=1,AA470&lt;&gt;"",U470&lt;&gt;"",V470&lt;&gt;"",AB470&lt;&gt;"")),"manuell übersteuert; ","")&amp;IF(AND(BT470=0,R470=0),"Gebinde unbekannt / Stellmass fehlt; ","")&amp;IF(AND(BT470=0,N(V470)&lt;=0,N(Q470)&lt;=0),"Menge pro Gebinde fehlt (Ist = 1 Gebinde); ","")&amp;BO470)</f>
        <v>Kein Verbrauch; </v>
      </c>
      <c r="BH470" s="55"/>
      <c r="BI470" s="55"/>
      <c r="BJ470" s="62"/>
      <c r="BK470" s="57" t="n">
        <v>1</v>
      </c>
      <c r="BL470" s="57" t="n">
        <v>31</v>
      </c>
      <c r="BM470" s="56" t="n">
        <v>54.56</v>
      </c>
      <c r="BN470" s="57" t="n">
        <v>0</v>
      </c>
      <c r="BO470" s="55"/>
      <c r="BP470" s="60" t="n">
        <v>0</v>
      </c>
      <c r="BQ470" s="60" t="n">
        <v>470</v>
      </c>
      <c r="BR470" s="55" t="str">
        <f aca="false">IF(U470&lt;&gt;"",UPPER(TRIM(U470)),IF(BU470=1,UPPER(VLOOKUP(T470,Parameter!$I$27:$K$29,2,0)),IF(P470="","LOSE",P470)))</f>
        <v>S63</v>
      </c>
      <c r="BS470" s="57" t="n">
        <f aca="false">IF(BR470="LOSE",1,IF(N(V470)&gt;0,V470,IF(BU470=1,MAX(1,N(VLOOKUP(T470,Parameter!$I$27:$K$29,3,0)),H470,N(N470)),IF(N(Q470)&gt;0,Q470,MAX(1,H470)))))</f>
        <v>40</v>
      </c>
      <c r="BT470" s="60" t="n">
        <f aca="false">IF(BR470="LOSE",1,0)</f>
        <v>0</v>
      </c>
      <c r="BU470" s="60" t="n">
        <f aca="false">IF(AND(U470="",OR(P470="",P470="LOSE"),T470&lt;&gt;"",N(S470)&lt;=0,ISNUMBER(MATCH(T470,Parameter!$I$27:$I$29,0))),1,0)</f>
        <v>0</v>
      </c>
      <c r="BV470" s="55" t="str">
        <f aca="false">IF(AND(Parameter!$B$19="Ja",E470&lt;&gt;"",ISNUMBER(MATCH(E470,Parameter!$I$35:$I$52,0))),VLOOKUP(E470,Parameter!$I$35:$J$52,2,0),IFERROR(VLOOKUP(D470,Parameter!$A$35:$C$64,2,0),"Nein"))</f>
        <v>2+3</v>
      </c>
      <c r="BW470" s="59" t="n">
        <f aca="false">IF(BT470=0,0,IF(N(S470)&gt;0,S470,IFERROR(VLOOKUP(D470,Parameter!$A$35:$C$64,3,0)+0,0)))</f>
        <v>0</v>
      </c>
      <c r="BX470" s="55" t="n">
        <f aca="false">IF(AA470&lt;&gt;"",AA470,Z470)</f>
        <v>2</v>
      </c>
      <c r="BY470" s="55" t="str">
        <f aca="false">IF(BX470=1,"L1",IF(OR(BX470=2,BX470=3),"L23",IF(BX470="Aussen","Aussen","-")))</f>
        <v>L23</v>
      </c>
      <c r="BZ470" s="66" t="n">
        <f aca="false">IF(N(AB470)&gt;0,AB470,0)</f>
        <v>0</v>
      </c>
      <c r="CA470" s="60" t="n">
        <f aca="false">IF(ISNUMBER(AE470),1,0)</f>
        <v>0</v>
      </c>
      <c r="CB470" s="57" t="n">
        <f aca="false">N(AE470)</f>
        <v>0</v>
      </c>
      <c r="CC470" s="57" t="n">
        <f aca="false">N(M470)+N(N470)</f>
        <v>1</v>
      </c>
      <c r="CD470" s="57" t="n">
        <f aca="false">ROUNDUP(H470/BS470,0)</f>
        <v>1</v>
      </c>
      <c r="CE470" s="57" t="n">
        <f aca="false">ROUNDUP(CB470/BS470,0)</f>
        <v>0</v>
      </c>
      <c r="CF470" s="60" t="n">
        <f aca="false">IF(BT470=1,0,IFERROR(VLOOKUP(BR470,'Gebinde-Kategorie'!$A$5:$M$45,5,0)+0,0))</f>
        <v>31</v>
      </c>
      <c r="CG470" s="60" t="n">
        <f aca="false">IFERROR(IF(OR(BX470=1,BX470=2,BX470=3),N(INDEX(Parameter!$I$5:$I$7,BX470)),0),0)</f>
        <v>0</v>
      </c>
      <c r="CH470" s="59" t="n">
        <f aca="false">IF(AND(Parameter!$B$21="Ja",ISNUMBER(W470),N(X470)&gt;0),IFERROR(N(INDEX(Parameter!$L$5:$L$7,W470))*INDEX(Parameter!$E$5:$E$7,W470)*X470/SUMIFS($X$7:$X$1843,$W$7:$W$1843,W470),0),0)</f>
        <v>0</v>
      </c>
    </row>
    <row r="471" customFormat="false" ht="15" hidden="false" customHeight="false" outlineLevel="0" collapsed="false">
      <c r="A471" s="55" t="s">
        <v>1052</v>
      </c>
      <c r="B471" s="55" t="s">
        <v>755</v>
      </c>
      <c r="C471" s="55" t="s">
        <v>164</v>
      </c>
      <c r="D471" s="55" t="s">
        <v>184</v>
      </c>
      <c r="E471" s="55"/>
      <c r="F471" s="55" t="s">
        <v>218</v>
      </c>
      <c r="G471" s="56" t="n">
        <v>43.08</v>
      </c>
      <c r="H471" s="57" t="n">
        <f aca="false">MAX(0,IF(AND(Parameter!$B$21="Ja",ISNUMBER(Y471)),Y471,IF(Parameter!$B$20="Jahresanfang 2025 + Export",BL471+BK471,BK471)))</f>
        <v>15</v>
      </c>
      <c r="I471" s="57" t="n">
        <f aca="false">H471*G471</f>
        <v>646.2</v>
      </c>
      <c r="J471" s="57" t="n">
        <f aca="false">BN471*Parameter!$B$18</f>
        <v>8</v>
      </c>
      <c r="K471" s="58" t="n">
        <v>17.5</v>
      </c>
      <c r="L471" s="59" t="n">
        <v>0.457142857142857</v>
      </c>
      <c r="M471" s="57" t="n">
        <v>0</v>
      </c>
      <c r="N471" s="57" t="n">
        <v>10</v>
      </c>
      <c r="O471" s="60" t="n">
        <v>35</v>
      </c>
      <c r="P471" s="55" t="s">
        <v>426</v>
      </c>
      <c r="Q471" s="57" t="n">
        <v>11</v>
      </c>
      <c r="R471" s="60" t="n">
        <f aca="false">IF(BT471=1,0,IFERROR(VLOOKUP(BR471,'Gebinde-Kategorie'!$A$5:$M$45,13,0)+0,0))</f>
        <v>198</v>
      </c>
      <c r="S471" s="61"/>
      <c r="T471" s="62"/>
      <c r="U471" s="62"/>
      <c r="V471" s="62"/>
      <c r="W471" s="55"/>
      <c r="X471" s="57"/>
      <c r="Y471" s="57"/>
      <c r="Z471" s="55" t="n">
        <f aca="false">IF(A471="","",IF(AND(Parameter!$B$21="Ja",ISNUMBER(W471)),W471,IF(BV471="2+3",IF(ISNUMBER(SEARCH("grosser Artikel",BO471)),2,IFERROR(VLOOKUP(BR471,Parameter!$F$35:$G$64,2,0),2)),IF(OR(BV471="Nein",BV471=""),"-",BV471))))</f>
        <v>3</v>
      </c>
      <c r="AA471" s="62"/>
      <c r="AB471" s="63"/>
      <c r="AC471" s="57" t="n">
        <f aca="false">AR471</f>
        <v>11</v>
      </c>
      <c r="AD471" s="57" t="n">
        <f aca="false">MAX(AR471,H471)</f>
        <v>15</v>
      </c>
      <c r="AE471" s="64"/>
      <c r="AF471" s="57" t="n">
        <f aca="false">IF(LEFT(Cockpit!$C$5,1)="A",H471,IF(CA471=1,CB471,IF(LEFT(Cockpit!$C$5,1)="B",AJ471,MAX(AJ471,H471))))</f>
        <v>15</v>
      </c>
      <c r="AG471" s="57" t="n">
        <f aca="false">IF(BT471=1,0,ROUNDUP(AF471/BS471,0))</f>
        <v>2</v>
      </c>
      <c r="AH471" s="59" t="n">
        <f aca="false">IF(CH471&gt;0,CH471*MAX(1,AF471/X471),IF(BT471=1,IF(AF471&lt;=0,0,BW471*MAX(1,IF(H471&gt;0,AF471/H471,1))),IF(R471&gt;0,AG471/R471,0))/MAX(0.1,N(Parameter!$M$21)))</f>
        <v>0.0101010101010101</v>
      </c>
      <c r="AI471" s="57" t="n">
        <f aca="false">AF471*G471</f>
        <v>646.2</v>
      </c>
      <c r="AJ471" s="57" t="n">
        <f aca="false">ROUNDUP(MAX(J471/IF(BZ471&gt;0,BZ471,MAX(0.1,N(Cockpit!$C$6))),CC471)/BS471,0)*BS471</f>
        <v>11</v>
      </c>
      <c r="AK471" s="58" t="n">
        <f aca="false">IF(AH471&gt;0,J471/AH471,-1)</f>
        <v>792</v>
      </c>
      <c r="AL471" s="58" t="n">
        <f aca="false">IF(AND(OR(BY471="L1",BY471="L23"),AH471&gt;0),SUMIFS($AH$7:$AH$1843,$BY$7:$BY$1843,BY471,$AK$7:$AK$1843,"&gt;"&amp;AK471)+SUMIFS($AH$7:$AH$1843,$BY$7:$BY$1843,BY471,$AK$7:$AK$1843,AK471,$BQ$7:$BQ$1843,"&lt;="&amp;BQ471),"")</f>
        <v>20.762432012432</v>
      </c>
      <c r="AM471" s="65" t="n">
        <f aca="false">IF(AL471="",0,MAX(0,MIN(1,(IF(BY471="L1",Parameter!$E$5,Parameter!$E$6+Parameter!$E$7)-(AL471-AH471))/AH471)))</f>
        <v>1</v>
      </c>
      <c r="AN471" s="57" t="n">
        <f aca="false">IF(LEFT(Cockpit!$I$5,1)="A",H471,IF(CA471=1,CB471,IF(LEFT(Cockpit!$I$5,1)="B",AR471,MAX(AR471,H471))))</f>
        <v>15</v>
      </c>
      <c r="AO471" s="57" t="n">
        <f aca="false">IF(BT471=1,0,ROUNDUP(AN471/BS471,0))</f>
        <v>2</v>
      </c>
      <c r="AP471" s="59" t="n">
        <f aca="false">IF(CH471&gt;0,CH471*MAX(1,AN471/X471),IF(BT471=1,IF(AN471&lt;=0,0,BW471*MAX(1,IF(H471&gt;0,AN471/H471,1))),IF(R471&gt;0,AO471/R471,0))/MAX(0.1,N(Parameter!$M$21)))</f>
        <v>0.0101010101010101</v>
      </c>
      <c r="AQ471" s="57" t="n">
        <f aca="false">AN471*G471</f>
        <v>646.2</v>
      </c>
      <c r="AR471" s="57" t="n">
        <f aca="false">ROUNDUP(MAX(J471/IF(BZ471&gt;0,BZ471,MAX(0.1,N(Cockpit!$I$6))),CC471)/BS471,0)*BS471</f>
        <v>11</v>
      </c>
      <c r="AS471" s="58" t="n">
        <f aca="false">IF(AP471&gt;0,J471/AP471,-1)</f>
        <v>792</v>
      </c>
      <c r="AT471" s="58" t="n">
        <f aca="false">IF(AND(OR(BY471="L1",BY471="L23"),AP471&gt;0),SUMIFS($AP$7:$AP$1843,$BY$7:$BY$1843,BY471,$AS$7:$AS$1843,"&gt;"&amp;AS471)+SUMIFS($AP$7:$AP$1843,$BY$7:$BY$1843,BY471,$AS$7:$AS$1843,AS471,$BQ$7:$BQ$1843,"&lt;="&amp;BQ471),"")</f>
        <v>26.5071788115266</v>
      </c>
      <c r="AU471" s="65" t="n">
        <f aca="false">IF(AT471="",0,MAX(0,MIN(1,(IF(BY471="L1",Parameter!$E$5,Parameter!$E$6+Parameter!$E$7)-(AT471-AP471))/AP471)))</f>
        <v>1</v>
      </c>
      <c r="AV471" s="57" t="n">
        <f aca="false">IF(LEFT(Cockpit!$O$5,1)="A",H471,IF(CA471=1,CB471,IF(LEFT(Cockpit!$O$5,1)="B",AZ471,MAX(AZ471,H471))))</f>
        <v>15</v>
      </c>
      <c r="AW471" s="57" t="n">
        <f aca="false">IF(BT471=1,0,ROUNDUP(AV471/BS471,0))</f>
        <v>2</v>
      </c>
      <c r="AX471" s="59" t="n">
        <f aca="false">IF(CH471&gt;0,CH471*MAX(1,AV471/X471),IF(BT471=1,IF(AV471&lt;=0,0,BW471*MAX(1,IF(H471&gt;0,AV471/H471,1))),IF(R471&gt;0,AW471/R471,0))/MAX(0.1,N(Parameter!$M$21)))</f>
        <v>0.0101010101010101</v>
      </c>
      <c r="AY471" s="57" t="n">
        <f aca="false">AV471*G471</f>
        <v>646.2</v>
      </c>
      <c r="AZ471" s="57" t="n">
        <f aca="false">ROUNDUP(MAX(J471/IF(BZ471&gt;0,BZ471,MAX(0.1,N(Cockpit!$O$6))),CC471)/BS471,0)*BS471</f>
        <v>11</v>
      </c>
      <c r="BA471" s="58" t="n">
        <f aca="false">IF(AX471&gt;0,J471/AX471,-1)</f>
        <v>792</v>
      </c>
      <c r="BB471" s="58" t="n">
        <f aca="false">IF(AND(OR(BY471="L1",BY471="L23"),AX471&gt;0),SUMIFS($AX$7:$AX$1843,$BY$7:$BY$1843,BY471,$BA$7:$BA$1843,"&gt;"&amp;BA471)+SUMIFS($AX$7:$AX$1843,$BY$7:$BY$1843,BY471,$BA$7:$BA$1843,BA471,$BQ$7:$BQ$1843,"&lt;="&amp;BQ471),"")</f>
        <v>25.9588105131583</v>
      </c>
      <c r="BC471" s="65" t="n">
        <f aca="false">IF(BB471="",0,MAX(0,MIN(1,(IF(BY471="L1",Parameter!$E$5,Parameter!$E$6+Parameter!$E$7)-(BB471-AX471))/AX471)))</f>
        <v>1</v>
      </c>
      <c r="BD471" s="55" t="str">
        <f aca="false">IF(AH471&lt;=0,"",IF(BY471="Aussen","Aussenlager",IF(BY471="-","Nicht im Lift",IF(AM471&gt;=1,"Lift",IF(AM471&lt;=0,"Aussenlager","teilweise")))))</f>
        <v>Lift</v>
      </c>
      <c r="BE471" s="55" t="str">
        <f aca="false">IF(AP471&lt;=0,"",IF(BY471="Aussen","Aussenlager",IF(BY471="-","Nicht im Lift",IF(AU471&gt;=1,"Lift",IF(AU471&lt;=0,"Aussenlager","teilweise")))))</f>
        <v>Lift</v>
      </c>
      <c r="BF471" s="55" t="str">
        <f aca="false">IF(AX471&lt;=0,"",IF(BY471="Aussen","Aussenlager",IF(BY471="-","Nicht im Lift",IF(BC471&gt;=1,"Lift",IF(BC471&lt;=0,"Aussenlager","teilweise")))))</f>
        <v>Lift</v>
      </c>
      <c r="BG471" s="55" t="str">
        <f aca="false">IF(A471="","",IF(BP471=1,"Neu; ","")&amp;IF(AND(BP471=0,BK471&lt;0),"negativer Bestand (Export "&amp;BK471&amp;"); ","")&amp;IF(J471&lt;=0,"Kein Verbrauch; ","")&amp;IF(CH471&gt;0,"Lift "&amp;W471&amp;" lt. Liftbericht (Fach "&amp;X471&amp;" Stk); ",IF(BU471=1,"Gebinde geschätzt ("&amp;T471&amp;"); ",IF(BT471=1,"Lose – Tablare geschätzt; ","")))&amp;IF(H471&gt;AR471,"Überbestand "&amp;ROUND(H471-AR471,0)&amp;" Stk / CHF "&amp;ROUND((H471-AR471)*G471,0)&amp;"; ","")&amp;IF(AND(CA471=1,CB471&lt;CC471),"MAX &lt; MB+LG; ","")&amp;IF(AND(CG471&gt;0,CF471*10&gt;CG471),"zu hoch für Tablar; ","")&amp;IF(AND(BP471=0,OR(CA471=1,AA471&lt;&gt;"",U471&lt;&gt;"",V471&lt;&gt;"",AB471&lt;&gt;"")),"manuell übersteuert; ","")&amp;IF(AND(BT471=0,R471=0),"Gebinde unbekannt / Stellmass fehlt; ","")&amp;IF(AND(BT471=0,N(V471)&lt;=0,N(Q471)&lt;=0),"Menge pro Gebinde fehlt (Ist = 1 Gebinde); ","")&amp;BO471)</f>
        <v>Überbestand 4 Stk / CHF 172; </v>
      </c>
      <c r="BH471" s="55"/>
      <c r="BI471" s="55"/>
      <c r="BJ471" s="62"/>
      <c r="BK471" s="57" t="n">
        <v>1</v>
      </c>
      <c r="BL471" s="57" t="n">
        <v>14</v>
      </c>
      <c r="BM471" s="56" t="n">
        <v>53.8600000000001</v>
      </c>
      <c r="BN471" s="57" t="n">
        <v>8</v>
      </c>
      <c r="BO471" s="55"/>
      <c r="BP471" s="60" t="n">
        <v>0</v>
      </c>
      <c r="BQ471" s="60" t="n">
        <v>471</v>
      </c>
      <c r="BR471" s="55" t="str">
        <f aca="false">IF(U471&lt;&gt;"",UPPER(TRIM(U471)),IF(BU471=1,UPPER(VLOOKUP(T471,Parameter!$I$27:$K$29,2,0)),IF(P471="","LOSE",P471)))</f>
        <v>S22</v>
      </c>
      <c r="BS471" s="57" t="n">
        <f aca="false">IF(BR471="LOSE",1,IF(N(V471)&gt;0,V471,IF(BU471=1,MAX(1,N(VLOOKUP(T471,Parameter!$I$27:$K$29,3,0)),H471,N(N471)),IF(N(Q471)&gt;0,Q471,MAX(1,H471)))))</f>
        <v>11</v>
      </c>
      <c r="BT471" s="60" t="n">
        <f aca="false">IF(BR471="LOSE",1,0)</f>
        <v>0</v>
      </c>
      <c r="BU471" s="60" t="n">
        <f aca="false">IF(AND(U471="",OR(P471="",P471="LOSE"),T471&lt;&gt;"",N(S471)&lt;=0,ISNUMBER(MATCH(T471,Parameter!$I$27:$I$29,0))),1,0)</f>
        <v>0</v>
      </c>
      <c r="BV471" s="55" t="str">
        <f aca="false">IF(AND(Parameter!$B$19="Ja",E471&lt;&gt;"",ISNUMBER(MATCH(E471,Parameter!$I$35:$I$52,0))),VLOOKUP(E471,Parameter!$I$35:$J$52,2,0),IFERROR(VLOOKUP(D471,Parameter!$A$35:$C$64,2,0),"Nein"))</f>
        <v>2+3</v>
      </c>
      <c r="BW471" s="59" t="n">
        <f aca="false">IF(BT471=0,0,IF(N(S471)&gt;0,S471,IFERROR(VLOOKUP(D471,Parameter!$A$35:$C$64,3,0)+0,0)))</f>
        <v>0</v>
      </c>
      <c r="BX471" s="55" t="n">
        <f aca="false">IF(AA471&lt;&gt;"",AA471,Z471)</f>
        <v>3</v>
      </c>
      <c r="BY471" s="55" t="str">
        <f aca="false">IF(BX471=1,"L1",IF(OR(BX471=2,BX471=3),"L23",IF(BX471="Aussen","Aussen","-")))</f>
        <v>L23</v>
      </c>
      <c r="BZ471" s="66" t="n">
        <f aca="false">IF(N(AB471)&gt;0,AB471,0)</f>
        <v>0</v>
      </c>
      <c r="CA471" s="60" t="n">
        <f aca="false">IF(ISNUMBER(AE471),1,0)</f>
        <v>0</v>
      </c>
      <c r="CB471" s="57" t="n">
        <f aca="false">N(AE471)</f>
        <v>0</v>
      </c>
      <c r="CC471" s="57" t="n">
        <f aca="false">N(M471)+N(N471)</f>
        <v>10</v>
      </c>
      <c r="CD471" s="57" t="n">
        <f aca="false">ROUNDUP(H471/BS471,0)</f>
        <v>2</v>
      </c>
      <c r="CE471" s="57" t="n">
        <f aca="false">ROUNDUP(CB471/BS471,0)</f>
        <v>0</v>
      </c>
      <c r="CF471" s="60" t="n">
        <f aca="false">IF(BT471=1,0,IFERROR(VLOOKUP(BR471,'Gebinde-Kategorie'!$A$5:$M$45,5,0)+0,0))</f>
        <v>8</v>
      </c>
      <c r="CG471" s="60" t="n">
        <f aca="false">IFERROR(IF(OR(BX471=1,BX471=2,BX471=3),N(INDEX(Parameter!$I$5:$I$7,BX471)),0),0)</f>
        <v>0</v>
      </c>
      <c r="CH471" s="59" t="n">
        <f aca="false">IF(AND(Parameter!$B$21="Ja",ISNUMBER(W471),N(X471)&gt;0),IFERROR(N(INDEX(Parameter!$L$5:$L$7,W471))*INDEX(Parameter!$E$5:$E$7,W471)*X471/SUMIFS($X$7:$X$1843,$W$7:$W$1843,W471),0),0)</f>
        <v>0</v>
      </c>
    </row>
    <row r="472" customFormat="false" ht="15" hidden="false" customHeight="false" outlineLevel="0" collapsed="false">
      <c r="A472" s="55" t="s">
        <v>1053</v>
      </c>
      <c r="B472" s="55" t="s">
        <v>1054</v>
      </c>
      <c r="C472" s="55" t="s">
        <v>164</v>
      </c>
      <c r="D472" s="55" t="s">
        <v>850</v>
      </c>
      <c r="E472" s="55" t="s">
        <v>185</v>
      </c>
      <c r="F472" s="55" t="s">
        <v>218</v>
      </c>
      <c r="G472" s="56" t="n">
        <v>4.4</v>
      </c>
      <c r="H472" s="57" t="n">
        <f aca="false">MAX(0,IF(AND(Parameter!$B$21="Ja",ISNUMBER(Y472)),Y472,IF(Parameter!$B$20="Jahresanfang 2025 + Export",BL472+BK472,BK472)))</f>
        <v>12</v>
      </c>
      <c r="I472" s="57" t="n">
        <f aca="false">H472*G472</f>
        <v>52.8</v>
      </c>
      <c r="J472" s="57" t="n">
        <f aca="false">BN472*Parameter!$B$18</f>
        <v>60</v>
      </c>
      <c r="K472" s="58" t="n">
        <v>0</v>
      </c>
      <c r="L472" s="59" t="n">
        <v>0</v>
      </c>
      <c r="M472" s="57" t="n">
        <v>0</v>
      </c>
      <c r="N472" s="57" t="n">
        <v>12</v>
      </c>
      <c r="O472" s="60" t="n">
        <v>14</v>
      </c>
      <c r="P472" s="55" t="s">
        <v>233</v>
      </c>
      <c r="Q472" s="57" t="n">
        <v>131</v>
      </c>
      <c r="R472" s="60" t="n">
        <f aca="false">IF(BT472=1,0,IFERROR(VLOOKUP(BR472,'Gebinde-Kategorie'!$A$5:$M$45,13,0)+0,0))</f>
        <v>26</v>
      </c>
      <c r="S472" s="61"/>
      <c r="T472" s="62"/>
      <c r="U472" s="62"/>
      <c r="V472" s="62"/>
      <c r="W472" s="55"/>
      <c r="X472" s="57"/>
      <c r="Y472" s="57"/>
      <c r="Z472" s="55" t="n">
        <f aca="false">IF(A472="","",IF(AND(Parameter!$B$21="Ja",ISNUMBER(W472)),W472,IF(BV472="2+3",IF(ISNUMBER(SEARCH("grosser Artikel",BO472)),2,IFERROR(VLOOKUP(BR472,Parameter!$F$35:$G$64,2,0),2)),IF(OR(BV472="Nein",BV472=""),"-",BV472))))</f>
        <v>3</v>
      </c>
      <c r="AA472" s="62"/>
      <c r="AB472" s="63"/>
      <c r="AC472" s="57" t="n">
        <f aca="false">AR472</f>
        <v>131</v>
      </c>
      <c r="AD472" s="57" t="n">
        <f aca="false">MAX(AR472,H472)</f>
        <v>131</v>
      </c>
      <c r="AE472" s="64"/>
      <c r="AF472" s="57" t="n">
        <f aca="false">IF(LEFT(Cockpit!$C$5,1)="A",H472,IF(CA472=1,CB472,IF(LEFT(Cockpit!$C$5,1)="B",AJ472,MAX(AJ472,H472))))</f>
        <v>12</v>
      </c>
      <c r="AG472" s="57" t="n">
        <f aca="false">IF(BT472=1,0,ROUNDUP(AF472/BS472,0))</f>
        <v>1</v>
      </c>
      <c r="AH472" s="59" t="n">
        <f aca="false">IF(CH472&gt;0,CH472*MAX(1,AF472/X472),IF(BT472=1,IF(AF472&lt;=0,0,BW472*MAX(1,IF(H472&gt;0,AF472/H472,1))),IF(R472&gt;0,AG472/R472,0))/MAX(0.1,N(Parameter!$M$21)))</f>
        <v>0.0384615384615385</v>
      </c>
      <c r="AI472" s="57" t="n">
        <f aca="false">AF472*G472</f>
        <v>52.8</v>
      </c>
      <c r="AJ472" s="57" t="n">
        <f aca="false">ROUNDUP(MAX(J472/IF(BZ472&gt;0,BZ472,MAX(0.1,N(Cockpit!$C$6))),CC472)/BS472,0)*BS472</f>
        <v>131</v>
      </c>
      <c r="AK472" s="58" t="n">
        <f aca="false">IF(AH472&gt;0,J472/AH472,-1)</f>
        <v>1560</v>
      </c>
      <c r="AL472" s="58" t="n">
        <f aca="false">IF(AND(OR(BY472="L1",BY472="L23"),AH472&gt;0),SUMIFS($AH$7:$AH$1843,$BY$7:$BY$1843,BY472,$AK$7:$AK$1843,"&gt;"&amp;AK472)+SUMIFS($AH$7:$AH$1843,$BY$7:$BY$1843,BY472,$AK$7:$AK$1843,AK472,$BQ$7:$BQ$1843,"&lt;="&amp;BQ472),"")</f>
        <v>15.6100976318368</v>
      </c>
      <c r="AM472" s="65" t="n">
        <f aca="false">IF(AL472="",0,MAX(0,MIN(1,(IF(BY472="L1",Parameter!$E$5,Parameter!$E$6+Parameter!$E$7)-(AL472-AH472))/AH472)))</f>
        <v>1</v>
      </c>
      <c r="AN472" s="57" t="n">
        <f aca="false">IF(LEFT(Cockpit!$I$5,1)="A",H472,IF(CA472=1,CB472,IF(LEFT(Cockpit!$I$5,1)="B",AR472,MAX(AR472,H472))))</f>
        <v>131</v>
      </c>
      <c r="AO472" s="57" t="n">
        <f aca="false">IF(BT472=1,0,ROUNDUP(AN472/BS472,0))</f>
        <v>1</v>
      </c>
      <c r="AP472" s="59" t="n">
        <f aca="false">IF(CH472&gt;0,CH472*MAX(1,AN472/X472),IF(BT472=1,IF(AN472&lt;=0,0,BW472*MAX(1,IF(H472&gt;0,AN472/H472,1))),IF(R472&gt;0,AO472/R472,0))/MAX(0.1,N(Parameter!$M$21)))</f>
        <v>0.0384615384615385</v>
      </c>
      <c r="AQ472" s="57" t="n">
        <f aca="false">AN472*G472</f>
        <v>576.4</v>
      </c>
      <c r="AR472" s="57" t="n">
        <f aca="false">ROUNDUP(MAX(J472/IF(BZ472&gt;0,BZ472,MAX(0.1,N(Cockpit!$I$6))),CC472)/BS472,0)*BS472</f>
        <v>131</v>
      </c>
      <c r="AS472" s="58" t="n">
        <f aca="false">IF(AP472&gt;0,J472/AP472,-1)</f>
        <v>1560</v>
      </c>
      <c r="AT472" s="58" t="n">
        <f aca="false">IF(AND(OR(BY472="L1",BY472="L23"),AP472&gt;0),SUMIFS($AP$7:$AP$1843,$BY$7:$BY$1843,BY472,$AS$7:$AS$1843,"&gt;"&amp;AS472)+SUMIFS($AP$7:$AP$1843,$BY$7:$BY$1843,BY472,$AS$7:$AS$1843,AS472,$BQ$7:$BQ$1843,"&lt;="&amp;BQ472),"")</f>
        <v>20.3864143103274</v>
      </c>
      <c r="AU472" s="65" t="n">
        <f aca="false">IF(AT472="",0,MAX(0,MIN(1,(IF(BY472="L1",Parameter!$E$5,Parameter!$E$6+Parameter!$E$7)-(AT472-AP472))/AP472)))</f>
        <v>1</v>
      </c>
      <c r="AV472" s="57" t="n">
        <f aca="false">IF(LEFT(Cockpit!$O$5,1)="A",H472,IF(CA472=1,CB472,IF(LEFT(Cockpit!$O$5,1)="B",AZ472,MAX(AZ472,H472))))</f>
        <v>131</v>
      </c>
      <c r="AW472" s="57" t="n">
        <f aca="false">IF(BT472=1,0,ROUNDUP(AV472/BS472,0))</f>
        <v>1</v>
      </c>
      <c r="AX472" s="59" t="n">
        <f aca="false">IF(CH472&gt;0,CH472*MAX(1,AV472/X472),IF(BT472=1,IF(AV472&lt;=0,0,BW472*MAX(1,IF(H472&gt;0,AV472/H472,1))),IF(R472&gt;0,AW472/R472,0))/MAX(0.1,N(Parameter!$M$21)))</f>
        <v>0.0384615384615385</v>
      </c>
      <c r="AY472" s="57" t="n">
        <f aca="false">AV472*G472</f>
        <v>576.4</v>
      </c>
      <c r="AZ472" s="57" t="n">
        <f aca="false">ROUNDUP(MAX(J472/IF(BZ472&gt;0,BZ472,MAX(0.1,N(Cockpit!$O$6))),CC472)/BS472,0)*BS472</f>
        <v>131</v>
      </c>
      <c r="BA472" s="58" t="n">
        <f aca="false">IF(AX472&gt;0,J472/AX472,-1)</f>
        <v>1560</v>
      </c>
      <c r="BB472" s="58" t="n">
        <f aca="false">IF(AND(OR(BY472="L1",BY472="L23"),AX472&gt;0),SUMIFS($AX$7:$AX$1843,$BY$7:$BY$1843,BY472,$BA$7:$BA$1843,"&gt;"&amp;BA472)+SUMIFS($AX$7:$AX$1843,$BY$7:$BY$1843,BY472,$BA$7:$BA$1843,BA472,$BQ$7:$BQ$1843,"&lt;="&amp;BQ472),"")</f>
        <v>19.2483024222155</v>
      </c>
      <c r="BC472" s="65" t="n">
        <f aca="false">IF(BB472="",0,MAX(0,MIN(1,(IF(BY472="L1",Parameter!$E$5,Parameter!$E$6+Parameter!$E$7)-(BB472-AX472))/AX472)))</f>
        <v>1</v>
      </c>
      <c r="BD472" s="55" t="str">
        <f aca="false">IF(AH472&lt;=0,"",IF(BY472="Aussen","Aussenlager",IF(BY472="-","Nicht im Lift",IF(AM472&gt;=1,"Lift",IF(AM472&lt;=0,"Aussenlager","teilweise")))))</f>
        <v>Lift</v>
      </c>
      <c r="BE472" s="55" t="str">
        <f aca="false">IF(AP472&lt;=0,"",IF(BY472="Aussen","Aussenlager",IF(BY472="-","Nicht im Lift",IF(AU472&gt;=1,"Lift",IF(AU472&lt;=0,"Aussenlager","teilweise")))))</f>
        <v>Lift</v>
      </c>
      <c r="BF472" s="55" t="str">
        <f aca="false">IF(AX472&lt;=0,"",IF(BY472="Aussen","Aussenlager",IF(BY472="-","Nicht im Lift",IF(BC472&gt;=1,"Lift",IF(BC472&lt;=0,"Aussenlager","teilweise")))))</f>
        <v>Lift</v>
      </c>
      <c r="BG472" s="55" t="str">
        <f aca="false">IF(A472="","",IF(BP472=1,"Neu; ","")&amp;IF(AND(BP472=0,BK472&lt;0),"negativer Bestand (Export "&amp;BK472&amp;"); ","")&amp;IF(J472&lt;=0,"Kein Verbrauch; ","")&amp;IF(CH472&gt;0,"Lift "&amp;W472&amp;" lt. Liftbericht (Fach "&amp;X472&amp;" Stk); ",IF(BU472=1,"Gebinde geschätzt ("&amp;T472&amp;"); ",IF(BT472=1,"Lose – Tablare geschätzt; ","")))&amp;IF(H472&gt;AR472,"Überbestand "&amp;ROUND(H472-AR472,0)&amp;" Stk / CHF "&amp;ROUND((H472-AR472)*G472,0)&amp;"; ","")&amp;IF(AND(CA472=1,CB472&lt;CC472),"MAX &lt; MB+LG; ","")&amp;IF(AND(CG472&gt;0,CF472*10&gt;CG472),"zu hoch für Tablar; ","")&amp;IF(AND(BP472=0,OR(CA472=1,AA472&lt;&gt;"",U472&lt;&gt;"",V472&lt;&gt;"",AB472&lt;&gt;"")),"manuell übersteuert; ","")&amp;IF(AND(BT472=0,R472=0),"Gebinde unbekannt / Stellmass fehlt; ","")&amp;IF(AND(BT472=0,N(V472)&lt;=0,N(Q472)&lt;=0),"Menge pro Gebinde fehlt (Ist = 1 Gebinde); ","")&amp;BO472)</f>
        <v/>
      </c>
      <c r="BH472" s="55"/>
      <c r="BI472" s="55"/>
      <c r="BJ472" s="62"/>
      <c r="BK472" s="57" t="n">
        <v>12</v>
      </c>
      <c r="BL472" s="57" t="n">
        <v>0</v>
      </c>
      <c r="BM472" s="56" t="n">
        <v>52.8</v>
      </c>
      <c r="BN472" s="57" t="n">
        <v>60</v>
      </c>
      <c r="BO472" s="55"/>
      <c r="BP472" s="60" t="n">
        <v>0</v>
      </c>
      <c r="BQ472" s="60" t="n">
        <v>472</v>
      </c>
      <c r="BR472" s="55" t="str">
        <f aca="false">IF(U472&lt;&gt;"",UPPER(TRIM(U472)),IF(BU472=1,UPPER(VLOOKUP(T472,Parameter!$I$27:$K$29,2,0)),IF(P472="","LOSE",P472)))</f>
        <v>S52</v>
      </c>
      <c r="BS472" s="57" t="n">
        <f aca="false">IF(BR472="LOSE",1,IF(N(V472)&gt;0,V472,IF(BU472=1,MAX(1,N(VLOOKUP(T472,Parameter!$I$27:$K$29,3,0)),H472,N(N472)),IF(N(Q472)&gt;0,Q472,MAX(1,H472)))))</f>
        <v>131</v>
      </c>
      <c r="BT472" s="60" t="n">
        <f aca="false">IF(BR472="LOSE",1,0)</f>
        <v>0</v>
      </c>
      <c r="BU472" s="60" t="n">
        <f aca="false">IF(AND(U472="",OR(P472="",P472="LOSE"),T472&lt;&gt;"",N(S472)&lt;=0,ISNUMBER(MATCH(T472,Parameter!$I$27:$I$29,0))),1,0)</f>
        <v>0</v>
      </c>
      <c r="BV472" s="55" t="str">
        <f aca="false">IF(AND(Parameter!$B$19="Ja",E472&lt;&gt;"",ISNUMBER(MATCH(E472,Parameter!$I$35:$I$52,0))),VLOOKUP(E472,Parameter!$I$35:$J$52,2,0),IFERROR(VLOOKUP(D472,Parameter!$A$35:$C$64,2,0),"Nein"))</f>
        <v>2+3</v>
      </c>
      <c r="BW472" s="59" t="n">
        <f aca="false">IF(BT472=0,0,IF(N(S472)&gt;0,S472,IFERROR(VLOOKUP(D472,Parameter!$A$35:$C$64,3,0)+0,0)))</f>
        <v>0</v>
      </c>
      <c r="BX472" s="55" t="n">
        <f aca="false">IF(AA472&lt;&gt;"",AA472,Z472)</f>
        <v>3</v>
      </c>
      <c r="BY472" s="55" t="str">
        <f aca="false">IF(BX472=1,"L1",IF(OR(BX472=2,BX472=3),"L23",IF(BX472="Aussen","Aussen","-")))</f>
        <v>L23</v>
      </c>
      <c r="BZ472" s="66" t="n">
        <f aca="false">IF(N(AB472)&gt;0,AB472,0)</f>
        <v>0</v>
      </c>
      <c r="CA472" s="60" t="n">
        <f aca="false">IF(ISNUMBER(AE472),1,0)</f>
        <v>0</v>
      </c>
      <c r="CB472" s="57" t="n">
        <f aca="false">N(AE472)</f>
        <v>0</v>
      </c>
      <c r="CC472" s="57" t="n">
        <f aca="false">N(M472)+N(N472)</f>
        <v>12</v>
      </c>
      <c r="CD472" s="57" t="n">
        <f aca="false">ROUNDUP(H472/BS472,0)</f>
        <v>1</v>
      </c>
      <c r="CE472" s="57" t="n">
        <f aca="false">ROUNDUP(CB472/BS472,0)</f>
        <v>0</v>
      </c>
      <c r="CF472" s="60" t="n">
        <f aca="false">IF(BT472=1,0,IFERROR(VLOOKUP(BR472,'Gebinde-Kategorie'!$A$5:$M$45,5,0)+0,0))</f>
        <v>21</v>
      </c>
      <c r="CG472" s="60" t="n">
        <f aca="false">IFERROR(IF(OR(BX472=1,BX472=2,BX472=3),N(INDEX(Parameter!$I$5:$I$7,BX472)),0),0)</f>
        <v>0</v>
      </c>
      <c r="CH472" s="59" t="n">
        <f aca="false">IF(AND(Parameter!$B$21="Ja",ISNUMBER(W472),N(X472)&gt;0),IFERROR(N(INDEX(Parameter!$L$5:$L$7,W472))*INDEX(Parameter!$E$5:$E$7,W472)*X472/SUMIFS($X$7:$X$1843,$W$7:$W$1843,W472),0),0)</f>
        <v>0</v>
      </c>
    </row>
    <row r="473" customFormat="false" ht="15" hidden="false" customHeight="false" outlineLevel="0" collapsed="false">
      <c r="A473" s="55" t="s">
        <v>1055</v>
      </c>
      <c r="B473" s="55" t="s">
        <v>861</v>
      </c>
      <c r="C473" s="55" t="s">
        <v>164</v>
      </c>
      <c r="D473" s="55" t="s">
        <v>184</v>
      </c>
      <c r="E473" s="55"/>
      <c r="F473" s="55" t="s">
        <v>218</v>
      </c>
      <c r="G473" s="56" t="n">
        <v>2.4</v>
      </c>
      <c r="H473" s="57" t="n">
        <f aca="false">MAX(0,IF(AND(Parameter!$B$21="Ja",ISNUMBER(Y473)),Y473,IF(Parameter!$B$20="Jahresanfang 2025 + Export",BL473+BK473,BK473)))</f>
        <v>22</v>
      </c>
      <c r="I473" s="57" t="n">
        <f aca="false">H473*G473</f>
        <v>52.8</v>
      </c>
      <c r="J473" s="57" t="n">
        <f aca="false">BN473*Parameter!$B$18</f>
        <v>4</v>
      </c>
      <c r="K473" s="58" t="n">
        <v>3</v>
      </c>
      <c r="L473" s="59" t="n">
        <v>1.33333333333333</v>
      </c>
      <c r="M473" s="57" t="n">
        <v>0</v>
      </c>
      <c r="N473" s="57" t="n">
        <v>5</v>
      </c>
      <c r="O473" s="60" t="n">
        <v>14</v>
      </c>
      <c r="P473" s="55" t="s">
        <v>401</v>
      </c>
      <c r="Q473" s="57" t="n">
        <v>3</v>
      </c>
      <c r="R473" s="60" t="n">
        <f aca="false">IF(BT473=1,0,IFERROR(VLOOKUP(BR473,'Gebinde-Kategorie'!$A$5:$M$45,13,0)+0,0))</f>
        <v>414</v>
      </c>
      <c r="S473" s="61"/>
      <c r="T473" s="62"/>
      <c r="U473" s="62"/>
      <c r="V473" s="62"/>
      <c r="W473" s="55"/>
      <c r="X473" s="57"/>
      <c r="Y473" s="57"/>
      <c r="Z473" s="55" t="n">
        <f aca="false">IF(A473="","",IF(AND(Parameter!$B$21="Ja",ISNUMBER(W473)),W473,IF(BV473="2+3",IF(ISNUMBER(SEARCH("grosser Artikel",BO473)),2,IFERROR(VLOOKUP(BR473,Parameter!$F$35:$G$64,2,0),2)),IF(OR(BV473="Nein",BV473=""),"-",BV473))))</f>
        <v>3</v>
      </c>
      <c r="AA473" s="62"/>
      <c r="AB473" s="63"/>
      <c r="AC473" s="57" t="n">
        <f aca="false">AR473</f>
        <v>6</v>
      </c>
      <c r="AD473" s="57" t="n">
        <f aca="false">MAX(AR473,H473)</f>
        <v>22</v>
      </c>
      <c r="AE473" s="64"/>
      <c r="AF473" s="57" t="n">
        <f aca="false">IF(LEFT(Cockpit!$C$5,1)="A",H473,IF(CA473=1,CB473,IF(LEFT(Cockpit!$C$5,1)="B",AJ473,MAX(AJ473,H473))))</f>
        <v>22</v>
      </c>
      <c r="AG473" s="57" t="n">
        <f aca="false">IF(BT473=1,0,ROUNDUP(AF473/BS473,0))</f>
        <v>8</v>
      </c>
      <c r="AH473" s="59" t="n">
        <f aca="false">IF(CH473&gt;0,CH473*MAX(1,AF473/X473),IF(BT473=1,IF(AF473&lt;=0,0,BW473*MAX(1,IF(H473&gt;0,AF473/H473,1))),IF(R473&gt;0,AG473/R473,0))/MAX(0.1,N(Parameter!$M$21)))</f>
        <v>0.0193236714975845</v>
      </c>
      <c r="AI473" s="57" t="n">
        <f aca="false">AF473*G473</f>
        <v>52.8</v>
      </c>
      <c r="AJ473" s="57" t="n">
        <f aca="false">ROUNDUP(MAX(J473/IF(BZ473&gt;0,BZ473,MAX(0.1,N(Cockpit!$C$6))),CC473)/BS473,0)*BS473</f>
        <v>6</v>
      </c>
      <c r="AK473" s="58" t="n">
        <f aca="false">IF(AH473&gt;0,J473/AH473,-1)</f>
        <v>207</v>
      </c>
      <c r="AL473" s="58" t="n">
        <f aca="false">IF(AND(OR(BY473="L1",BY473="L23"),AH473&gt;0),SUMIFS($AH$7:$AH$1843,$BY$7:$BY$1843,BY473,$AK$7:$AK$1843,"&gt;"&amp;AK473)+SUMIFS($AH$7:$AH$1843,$BY$7:$BY$1843,BY473,$AK$7:$AK$1843,AK473,$BQ$7:$BQ$1843,"&lt;="&amp;BQ473),"")</f>
        <v>32.0339853383332</v>
      </c>
      <c r="AM473" s="65" t="n">
        <f aca="false">IF(AL473="",0,MAX(0,MIN(1,(IF(BY473="L1",Parameter!$E$5,Parameter!$E$6+Parameter!$E$7)-(AL473-AH473))/AH473)))</f>
        <v>1</v>
      </c>
      <c r="AN473" s="57" t="n">
        <f aca="false">IF(LEFT(Cockpit!$I$5,1)="A",H473,IF(CA473=1,CB473,IF(LEFT(Cockpit!$I$5,1)="B",AR473,MAX(AR473,H473))))</f>
        <v>22</v>
      </c>
      <c r="AO473" s="57" t="n">
        <f aca="false">IF(BT473=1,0,ROUNDUP(AN473/BS473,0))</f>
        <v>8</v>
      </c>
      <c r="AP473" s="59" t="n">
        <f aca="false">IF(CH473&gt;0,CH473*MAX(1,AN473/X473),IF(BT473=1,IF(AN473&lt;=0,0,BW473*MAX(1,IF(H473&gt;0,AN473/H473,1))),IF(R473&gt;0,AO473/R473,0))/MAX(0.1,N(Parameter!$M$21)))</f>
        <v>0.0193236714975845</v>
      </c>
      <c r="AQ473" s="57" t="n">
        <f aca="false">AN473*G473</f>
        <v>52.8</v>
      </c>
      <c r="AR473" s="57" t="n">
        <f aca="false">ROUNDUP(MAX(J473/IF(BZ473&gt;0,BZ473,MAX(0.1,N(Cockpit!$I$6))),CC473)/BS473,0)*BS473</f>
        <v>6</v>
      </c>
      <c r="AS473" s="58" t="n">
        <f aca="false">IF(AP473&gt;0,J473/AP473,-1)</f>
        <v>207</v>
      </c>
      <c r="AT473" s="58" t="n">
        <f aca="false">IF(AND(OR(BY473="L1",BY473="L23"),AP473&gt;0),SUMIFS($AP$7:$AP$1843,$BY$7:$BY$1843,BY473,$AS$7:$AS$1843,"&gt;"&amp;AS473)+SUMIFS($AP$7:$AP$1843,$BY$7:$BY$1843,BY473,$AS$7:$AS$1843,AS473,$BQ$7:$BQ$1843,"&lt;="&amp;BQ473),"")</f>
        <v>46.1661514813689</v>
      </c>
      <c r="AU473" s="65" t="n">
        <f aca="false">IF(AT473="",0,MAX(0,MIN(1,(IF(BY473="L1",Parameter!$E$5,Parameter!$E$6+Parameter!$E$7)-(AT473-AP473))/AP473)))</f>
        <v>1</v>
      </c>
      <c r="AV473" s="57" t="n">
        <f aca="false">IF(LEFT(Cockpit!$O$5,1)="A",H473,IF(CA473=1,CB473,IF(LEFT(Cockpit!$O$5,1)="B",AZ473,MAX(AZ473,H473))))</f>
        <v>22</v>
      </c>
      <c r="AW473" s="57" t="n">
        <f aca="false">IF(BT473=1,0,ROUNDUP(AV473/BS473,0))</f>
        <v>8</v>
      </c>
      <c r="AX473" s="59" t="n">
        <f aca="false">IF(CH473&gt;0,CH473*MAX(1,AV473/X473),IF(BT473=1,IF(AV473&lt;=0,0,BW473*MAX(1,IF(H473&gt;0,AV473/H473,1))),IF(R473&gt;0,AW473/R473,0))/MAX(0.1,N(Parameter!$M$21)))</f>
        <v>0.0193236714975845</v>
      </c>
      <c r="AY473" s="57" t="n">
        <f aca="false">AV473*G473</f>
        <v>52.8</v>
      </c>
      <c r="AZ473" s="57" t="n">
        <f aca="false">ROUNDUP(MAX(J473/IF(BZ473&gt;0,BZ473,MAX(0.1,N(Cockpit!$O$6))),CC473)/BS473,0)*BS473</f>
        <v>6</v>
      </c>
      <c r="BA473" s="58" t="n">
        <f aca="false">IF(AX473&gt;0,J473/AX473,-1)</f>
        <v>207</v>
      </c>
      <c r="BB473" s="58" t="n">
        <f aca="false">IF(AND(OR(BY473="L1",BY473="L23"),AX473&gt;0),SUMIFS($AX$7:$AX$1843,$BY$7:$BY$1843,BY473,$BA$7:$BA$1843,"&gt;"&amp;BA473)+SUMIFS($AX$7:$AX$1843,$BY$7:$BY$1843,BY473,$BA$7:$BA$1843,BA473,$BQ$7:$BQ$1843,"&lt;="&amp;BQ473),"")</f>
        <v>42.7459883112057</v>
      </c>
      <c r="BC473" s="65" t="n">
        <f aca="false">IF(BB473="",0,MAX(0,MIN(1,(IF(BY473="L1",Parameter!$E$5,Parameter!$E$6+Parameter!$E$7)-(BB473-AX473))/AX473)))</f>
        <v>1</v>
      </c>
      <c r="BD473" s="55" t="str">
        <f aca="false">IF(AH473&lt;=0,"",IF(BY473="Aussen","Aussenlager",IF(BY473="-","Nicht im Lift",IF(AM473&gt;=1,"Lift",IF(AM473&lt;=0,"Aussenlager","teilweise")))))</f>
        <v>Lift</v>
      </c>
      <c r="BE473" s="55" t="str">
        <f aca="false">IF(AP473&lt;=0,"",IF(BY473="Aussen","Aussenlager",IF(BY473="-","Nicht im Lift",IF(AU473&gt;=1,"Lift",IF(AU473&lt;=0,"Aussenlager","teilweise")))))</f>
        <v>Lift</v>
      </c>
      <c r="BF473" s="55" t="str">
        <f aca="false">IF(AX473&lt;=0,"",IF(BY473="Aussen","Aussenlager",IF(BY473="-","Nicht im Lift",IF(BC473&gt;=1,"Lift",IF(BC473&lt;=0,"Aussenlager","teilweise")))))</f>
        <v>Lift</v>
      </c>
      <c r="BG473" s="55" t="str">
        <f aca="false">IF(A473="","",IF(BP473=1,"Neu; ","")&amp;IF(AND(BP473=0,BK473&lt;0),"negativer Bestand (Export "&amp;BK473&amp;"); ","")&amp;IF(J473&lt;=0,"Kein Verbrauch; ","")&amp;IF(CH473&gt;0,"Lift "&amp;W473&amp;" lt. Liftbericht (Fach "&amp;X473&amp;" Stk); ",IF(BU473=1,"Gebinde geschätzt ("&amp;T473&amp;"); ",IF(BT473=1,"Lose – Tablare geschätzt; ","")))&amp;IF(H473&gt;AR473,"Überbestand "&amp;ROUND(H473-AR473,0)&amp;" Stk / CHF "&amp;ROUND((H473-AR473)*G473,0)&amp;"; ","")&amp;IF(AND(CA473=1,CB473&lt;CC473),"MAX &lt; MB+LG; ","")&amp;IF(AND(CG473&gt;0,CF473*10&gt;CG473),"zu hoch für Tablar; ","")&amp;IF(AND(BP473=0,OR(CA473=1,AA473&lt;&gt;"",U473&lt;&gt;"",V473&lt;&gt;"",AB473&lt;&gt;"")),"manuell übersteuert; ","")&amp;IF(AND(BT473=0,R473=0),"Gebinde unbekannt / Stellmass fehlt; ","")&amp;IF(AND(BT473=0,N(V473)&lt;=0,N(Q473)&lt;=0),"Menge pro Gebinde fehlt (Ist = 1 Gebinde); ","")&amp;BO473)</f>
        <v>Überbestand 16 Stk / CHF 38; </v>
      </c>
      <c r="BH473" s="55"/>
      <c r="BI473" s="55"/>
      <c r="BJ473" s="62"/>
      <c r="BK473" s="57" t="n">
        <v>22</v>
      </c>
      <c r="BL473" s="57" t="n">
        <v>0</v>
      </c>
      <c r="BM473" s="56" t="n">
        <v>52.8</v>
      </c>
      <c r="BN473" s="57" t="n">
        <v>4</v>
      </c>
      <c r="BO473" s="55"/>
      <c r="BP473" s="60" t="n">
        <v>0</v>
      </c>
      <c r="BQ473" s="60" t="n">
        <v>473</v>
      </c>
      <c r="BR473" s="55" t="str">
        <f aca="false">IF(U473&lt;&gt;"",UPPER(TRIM(U473)),IF(BU473=1,UPPER(VLOOKUP(T473,Parameter!$I$27:$K$29,2,0)),IF(P473="","LOSE",P473)))</f>
        <v>S21</v>
      </c>
      <c r="BS473" s="57" t="n">
        <f aca="false">IF(BR473="LOSE",1,IF(N(V473)&gt;0,V473,IF(BU473=1,MAX(1,N(VLOOKUP(T473,Parameter!$I$27:$K$29,3,0)),H473,N(N473)),IF(N(Q473)&gt;0,Q473,MAX(1,H473)))))</f>
        <v>3</v>
      </c>
      <c r="BT473" s="60" t="n">
        <f aca="false">IF(BR473="LOSE",1,0)</f>
        <v>0</v>
      </c>
      <c r="BU473" s="60" t="n">
        <f aca="false">IF(AND(U473="",OR(P473="",P473="LOSE"),T473&lt;&gt;"",N(S473)&lt;=0,ISNUMBER(MATCH(T473,Parameter!$I$27:$I$29,0))),1,0)</f>
        <v>0</v>
      </c>
      <c r="BV473" s="55" t="str">
        <f aca="false">IF(AND(Parameter!$B$19="Ja",E473&lt;&gt;"",ISNUMBER(MATCH(E473,Parameter!$I$35:$I$52,0))),VLOOKUP(E473,Parameter!$I$35:$J$52,2,0),IFERROR(VLOOKUP(D473,Parameter!$A$35:$C$64,2,0),"Nein"))</f>
        <v>2+3</v>
      </c>
      <c r="BW473" s="59" t="n">
        <f aca="false">IF(BT473=0,0,IF(N(S473)&gt;0,S473,IFERROR(VLOOKUP(D473,Parameter!$A$35:$C$64,3,0)+0,0)))</f>
        <v>0</v>
      </c>
      <c r="BX473" s="55" t="n">
        <f aca="false">IF(AA473&lt;&gt;"",AA473,Z473)</f>
        <v>3</v>
      </c>
      <c r="BY473" s="55" t="str">
        <f aca="false">IF(BX473=1,"L1",IF(OR(BX473=2,BX473=3),"L23",IF(BX473="Aussen","Aussen","-")))</f>
        <v>L23</v>
      </c>
      <c r="BZ473" s="66" t="n">
        <f aca="false">IF(N(AB473)&gt;0,AB473,0)</f>
        <v>0</v>
      </c>
      <c r="CA473" s="60" t="n">
        <f aca="false">IF(ISNUMBER(AE473),1,0)</f>
        <v>0</v>
      </c>
      <c r="CB473" s="57" t="n">
        <f aca="false">N(AE473)</f>
        <v>0</v>
      </c>
      <c r="CC473" s="57" t="n">
        <f aca="false">N(M473)+N(N473)</f>
        <v>5</v>
      </c>
      <c r="CD473" s="57" t="n">
        <f aca="false">ROUNDUP(H473/BS473,0)</f>
        <v>8</v>
      </c>
      <c r="CE473" s="57" t="n">
        <f aca="false">ROUNDUP(CB473/BS473,0)</f>
        <v>0</v>
      </c>
      <c r="CF473" s="60" t="n">
        <f aca="false">IF(BT473=1,0,IFERROR(VLOOKUP(BR473,'Gebinde-Kategorie'!$A$5:$M$45,5,0)+0,0))</f>
        <v>8</v>
      </c>
      <c r="CG473" s="60" t="n">
        <f aca="false">IFERROR(IF(OR(BX473=1,BX473=2,BX473=3),N(INDEX(Parameter!$I$5:$I$7,BX473)),0),0)</f>
        <v>0</v>
      </c>
      <c r="CH473" s="59" t="n">
        <f aca="false">IF(AND(Parameter!$B$21="Ja",ISNUMBER(W473),N(X473)&gt;0),IFERROR(N(INDEX(Parameter!$L$5:$L$7,W473))*INDEX(Parameter!$E$5:$E$7,W473)*X473/SUMIFS($X$7:$X$1843,$W$7:$W$1843,W473),0),0)</f>
        <v>0</v>
      </c>
    </row>
    <row r="474" customFormat="false" ht="15" hidden="false" customHeight="false" outlineLevel="0" collapsed="false">
      <c r="A474" s="55" t="s">
        <v>1056</v>
      </c>
      <c r="B474" s="55" t="s">
        <v>1057</v>
      </c>
      <c r="C474" s="55" t="s">
        <v>164</v>
      </c>
      <c r="D474" s="55" t="s">
        <v>184</v>
      </c>
      <c r="E474" s="55" t="s">
        <v>185</v>
      </c>
      <c r="F474" s="55" t="s">
        <v>218</v>
      </c>
      <c r="G474" s="56" t="n">
        <v>1.13</v>
      </c>
      <c r="H474" s="57" t="n">
        <f aca="false">MAX(0,IF(AND(Parameter!$B$21="Ja",ISNUMBER(Y474)),Y474,IF(Parameter!$B$20="Jahresanfang 2025 + Export",BL474+BK474,BK474)))</f>
        <v>60</v>
      </c>
      <c r="I474" s="57" t="n">
        <f aca="false">H474*G474</f>
        <v>67.8</v>
      </c>
      <c r="J474" s="57" t="n">
        <f aca="false">BN474*Parameter!$B$18</f>
        <v>71</v>
      </c>
      <c r="K474" s="58" t="n">
        <v>56.5</v>
      </c>
      <c r="L474" s="59" t="n">
        <v>1.25663716814159</v>
      </c>
      <c r="M474" s="57" t="n">
        <v>2</v>
      </c>
      <c r="N474" s="57" t="n">
        <v>70</v>
      </c>
      <c r="O474" s="60" t="n">
        <v>14</v>
      </c>
      <c r="P474" s="55" t="s">
        <v>426</v>
      </c>
      <c r="Q474" s="57" t="n">
        <v>40</v>
      </c>
      <c r="R474" s="60" t="n">
        <f aca="false">IF(BT474=1,0,IFERROR(VLOOKUP(BR474,'Gebinde-Kategorie'!$A$5:$M$45,13,0)+0,0))</f>
        <v>198</v>
      </c>
      <c r="S474" s="61"/>
      <c r="T474" s="62"/>
      <c r="U474" s="62"/>
      <c r="V474" s="62"/>
      <c r="W474" s="55"/>
      <c r="X474" s="57"/>
      <c r="Y474" s="57"/>
      <c r="Z474" s="55" t="n">
        <f aca="false">IF(A474="","",IF(AND(Parameter!$B$21="Ja",ISNUMBER(W474)),W474,IF(BV474="2+3",IF(ISNUMBER(SEARCH("grosser Artikel",BO474)),2,IFERROR(VLOOKUP(BR474,Parameter!$F$35:$G$64,2,0),2)),IF(OR(BV474="Nein",BV474=""),"-",BV474))))</f>
        <v>3</v>
      </c>
      <c r="AA474" s="62"/>
      <c r="AB474" s="63"/>
      <c r="AC474" s="57" t="n">
        <f aca="false">AR474</f>
        <v>80</v>
      </c>
      <c r="AD474" s="57" t="n">
        <f aca="false">MAX(AR474,H474)</f>
        <v>80</v>
      </c>
      <c r="AE474" s="64"/>
      <c r="AF474" s="57" t="n">
        <f aca="false">IF(LEFT(Cockpit!$C$5,1)="A",H474,IF(CA474=1,CB474,IF(LEFT(Cockpit!$C$5,1)="B",AJ474,MAX(AJ474,H474))))</f>
        <v>60</v>
      </c>
      <c r="AG474" s="57" t="n">
        <f aca="false">IF(BT474=1,0,ROUNDUP(AF474/BS474,0))</f>
        <v>2</v>
      </c>
      <c r="AH474" s="59" t="n">
        <f aca="false">IF(CH474&gt;0,CH474*MAX(1,AF474/X474),IF(BT474=1,IF(AF474&lt;=0,0,BW474*MAX(1,IF(H474&gt;0,AF474/H474,1))),IF(R474&gt;0,AG474/R474,0))/MAX(0.1,N(Parameter!$M$21)))</f>
        <v>0.0101010101010101</v>
      </c>
      <c r="AI474" s="57" t="n">
        <f aca="false">AF474*G474</f>
        <v>67.8</v>
      </c>
      <c r="AJ474" s="57" t="n">
        <f aca="false">ROUNDUP(MAX(J474/IF(BZ474&gt;0,BZ474,MAX(0.1,N(Cockpit!$C$6))),CC474)/BS474,0)*BS474</f>
        <v>80</v>
      </c>
      <c r="AK474" s="58" t="n">
        <f aca="false">IF(AH474&gt;0,J474/AH474,-1)</f>
        <v>7029</v>
      </c>
      <c r="AL474" s="58" t="n">
        <f aca="false">IF(AND(OR(BY474="L1",BY474="L23"),AH474&gt;0),SUMIFS($AH$7:$AH$1843,$BY$7:$BY$1843,BY474,$AK$7:$AK$1843,"&gt;"&amp;AK474)+SUMIFS($AH$7:$AH$1843,$BY$7:$BY$1843,BY474,$AK$7:$AK$1843,AK474,$BQ$7:$BQ$1843,"&lt;="&amp;BQ474),"")</f>
        <v>6.28206817337252</v>
      </c>
      <c r="AM474" s="65" t="n">
        <f aca="false">IF(AL474="",0,MAX(0,MIN(1,(IF(BY474="L1",Parameter!$E$5,Parameter!$E$6+Parameter!$E$7)-(AL474-AH474))/AH474)))</f>
        <v>1</v>
      </c>
      <c r="AN474" s="57" t="n">
        <f aca="false">IF(LEFT(Cockpit!$I$5,1)="A",H474,IF(CA474=1,CB474,IF(LEFT(Cockpit!$I$5,1)="B",AR474,MAX(AR474,H474))))</f>
        <v>80</v>
      </c>
      <c r="AO474" s="57" t="n">
        <f aca="false">IF(BT474=1,0,ROUNDUP(AN474/BS474,0))</f>
        <v>2</v>
      </c>
      <c r="AP474" s="59" t="n">
        <f aca="false">IF(CH474&gt;0,CH474*MAX(1,AN474/X474),IF(BT474=1,IF(AN474&lt;=0,0,BW474*MAX(1,IF(H474&gt;0,AN474/H474,1))),IF(R474&gt;0,AO474/R474,0))/MAX(0.1,N(Parameter!$M$21)))</f>
        <v>0.0101010101010101</v>
      </c>
      <c r="AQ474" s="57" t="n">
        <f aca="false">AN474*G474</f>
        <v>90.4</v>
      </c>
      <c r="AR474" s="57" t="n">
        <f aca="false">ROUNDUP(MAX(J474/IF(BZ474&gt;0,BZ474,MAX(0.1,N(Cockpit!$I$6))),CC474)/BS474,0)*BS474</f>
        <v>80</v>
      </c>
      <c r="AS474" s="58" t="n">
        <f aca="false">IF(AP474&gt;0,J474/AP474,-1)</f>
        <v>7029</v>
      </c>
      <c r="AT474" s="58" t="n">
        <f aca="false">IF(AND(OR(BY474="L1",BY474="L23"),AP474&gt;0),SUMIFS($AP$7:$AP$1843,$BY$7:$BY$1843,BY474,$AS$7:$AS$1843,"&gt;"&amp;AS474)+SUMIFS($AP$7:$AP$1843,$BY$7:$BY$1843,BY474,$AS$7:$AS$1843,AS474,$BQ$7:$BQ$1843,"&lt;="&amp;BQ474),"")</f>
        <v>9.77434039390561</v>
      </c>
      <c r="AU474" s="65" t="n">
        <f aca="false">IF(AT474="",0,MAX(0,MIN(1,(IF(BY474="L1",Parameter!$E$5,Parameter!$E$6+Parameter!$E$7)-(AT474-AP474))/AP474)))</f>
        <v>1</v>
      </c>
      <c r="AV474" s="57" t="n">
        <f aca="false">IF(LEFT(Cockpit!$O$5,1)="A",H474,IF(CA474=1,CB474,IF(LEFT(Cockpit!$O$5,1)="B",AZ474,MAX(AZ474,H474))))</f>
        <v>80</v>
      </c>
      <c r="AW474" s="57" t="n">
        <f aca="false">IF(BT474=1,0,ROUNDUP(AV474/BS474,0))</f>
        <v>2</v>
      </c>
      <c r="AX474" s="59" t="n">
        <f aca="false">IF(CH474&gt;0,CH474*MAX(1,AV474/X474),IF(BT474=1,IF(AV474&lt;=0,0,BW474*MAX(1,IF(H474&gt;0,AV474/H474,1))),IF(R474&gt;0,AW474/R474,0))/MAX(0.1,N(Parameter!$M$21)))</f>
        <v>0.0101010101010101</v>
      </c>
      <c r="AY474" s="57" t="n">
        <f aca="false">AV474*G474</f>
        <v>90.4</v>
      </c>
      <c r="AZ474" s="57" t="n">
        <f aca="false">ROUNDUP(MAX(J474/IF(BZ474&gt;0,BZ474,MAX(0.1,N(Cockpit!$O$6))),CC474)/BS474,0)*BS474</f>
        <v>80</v>
      </c>
      <c r="BA474" s="58" t="n">
        <f aca="false">IF(AX474&gt;0,J474/AX474,-1)</f>
        <v>7029</v>
      </c>
      <c r="BB474" s="58" t="n">
        <f aca="false">IF(AND(OR(BY474="L1",BY474="L23"),AX474&gt;0),SUMIFS($AX$7:$AX$1843,$BY$7:$BY$1843,BY474,$BA$7:$BA$1843,"&gt;"&amp;BA474)+SUMIFS($AX$7:$AX$1843,$BY$7:$BY$1843,BY474,$BA$7:$BA$1843,BA474,$BQ$7:$BQ$1843,"&lt;="&amp;BQ474),"")</f>
        <v>9.17469004425526</v>
      </c>
      <c r="BC474" s="65" t="n">
        <f aca="false">IF(BB474="",0,MAX(0,MIN(1,(IF(BY474="L1",Parameter!$E$5,Parameter!$E$6+Parameter!$E$7)-(BB474-AX474))/AX474)))</f>
        <v>1</v>
      </c>
      <c r="BD474" s="55" t="str">
        <f aca="false">IF(AH474&lt;=0,"",IF(BY474="Aussen","Aussenlager",IF(BY474="-","Nicht im Lift",IF(AM474&gt;=1,"Lift",IF(AM474&lt;=0,"Aussenlager","teilweise")))))</f>
        <v>Lift</v>
      </c>
      <c r="BE474" s="55" t="str">
        <f aca="false">IF(AP474&lt;=0,"",IF(BY474="Aussen","Aussenlager",IF(BY474="-","Nicht im Lift",IF(AU474&gt;=1,"Lift",IF(AU474&lt;=0,"Aussenlager","teilweise")))))</f>
        <v>Lift</v>
      </c>
      <c r="BF474" s="55" t="str">
        <f aca="false">IF(AX474&lt;=0,"",IF(BY474="Aussen","Aussenlager",IF(BY474="-","Nicht im Lift",IF(BC474&gt;=1,"Lift",IF(BC474&lt;=0,"Aussenlager","teilweise")))))</f>
        <v>Lift</v>
      </c>
      <c r="BG474" s="55" t="str">
        <f aca="false">IF(A474="","",IF(BP474=1,"Neu; ","")&amp;IF(AND(BP474=0,BK474&lt;0),"negativer Bestand (Export "&amp;BK474&amp;"); ","")&amp;IF(J474&lt;=0,"Kein Verbrauch; ","")&amp;IF(CH474&gt;0,"Lift "&amp;W474&amp;" lt. Liftbericht (Fach "&amp;X474&amp;" Stk); ",IF(BU474=1,"Gebinde geschätzt ("&amp;T474&amp;"); ",IF(BT474=1,"Lose – Tablare geschätzt; ","")))&amp;IF(H474&gt;AR474,"Überbestand "&amp;ROUND(H474-AR474,0)&amp;" Stk / CHF "&amp;ROUND((H474-AR474)*G474,0)&amp;"; ","")&amp;IF(AND(CA474=1,CB474&lt;CC474),"MAX &lt; MB+LG; ","")&amp;IF(AND(CG474&gt;0,CF474*10&gt;CG474),"zu hoch für Tablar; ","")&amp;IF(AND(BP474=0,OR(CA474=1,AA474&lt;&gt;"",U474&lt;&gt;"",V474&lt;&gt;"",AB474&lt;&gt;"")),"manuell übersteuert; ","")&amp;IF(AND(BT474=0,R474=0),"Gebinde unbekannt / Stellmass fehlt; ","")&amp;IF(AND(BT474=0,N(V474)&lt;=0,N(Q474)&lt;=0),"Menge pro Gebinde fehlt (Ist = 1 Gebinde); ","")&amp;BO474)</f>
        <v/>
      </c>
      <c r="BH474" s="55"/>
      <c r="BI474" s="55"/>
      <c r="BJ474" s="62"/>
      <c r="BK474" s="57" t="n">
        <v>46</v>
      </c>
      <c r="BL474" s="57" t="n">
        <v>14</v>
      </c>
      <c r="BM474" s="56" t="n">
        <v>52.68</v>
      </c>
      <c r="BN474" s="57" t="n">
        <v>71</v>
      </c>
      <c r="BO474" s="55"/>
      <c r="BP474" s="60" t="n">
        <v>0</v>
      </c>
      <c r="BQ474" s="60" t="n">
        <v>474</v>
      </c>
      <c r="BR474" s="55" t="str">
        <f aca="false">IF(U474&lt;&gt;"",UPPER(TRIM(U474)),IF(BU474=1,UPPER(VLOOKUP(T474,Parameter!$I$27:$K$29,2,0)),IF(P474="","LOSE",P474)))</f>
        <v>S22</v>
      </c>
      <c r="BS474" s="57" t="n">
        <f aca="false">IF(BR474="LOSE",1,IF(N(V474)&gt;0,V474,IF(BU474=1,MAX(1,N(VLOOKUP(T474,Parameter!$I$27:$K$29,3,0)),H474,N(N474)),IF(N(Q474)&gt;0,Q474,MAX(1,H474)))))</f>
        <v>40</v>
      </c>
      <c r="BT474" s="60" t="n">
        <f aca="false">IF(BR474="LOSE",1,0)</f>
        <v>0</v>
      </c>
      <c r="BU474" s="60" t="n">
        <f aca="false">IF(AND(U474="",OR(P474="",P474="LOSE"),T474&lt;&gt;"",N(S474)&lt;=0,ISNUMBER(MATCH(T474,Parameter!$I$27:$I$29,0))),1,0)</f>
        <v>0</v>
      </c>
      <c r="BV474" s="55" t="str">
        <f aca="false">IF(AND(Parameter!$B$19="Ja",E474&lt;&gt;"",ISNUMBER(MATCH(E474,Parameter!$I$35:$I$52,0))),VLOOKUP(E474,Parameter!$I$35:$J$52,2,0),IFERROR(VLOOKUP(D474,Parameter!$A$35:$C$64,2,0),"Nein"))</f>
        <v>2+3</v>
      </c>
      <c r="BW474" s="59" t="n">
        <f aca="false">IF(BT474=0,0,IF(N(S474)&gt;0,S474,IFERROR(VLOOKUP(D474,Parameter!$A$35:$C$64,3,0)+0,0)))</f>
        <v>0</v>
      </c>
      <c r="BX474" s="55" t="n">
        <f aca="false">IF(AA474&lt;&gt;"",AA474,Z474)</f>
        <v>3</v>
      </c>
      <c r="BY474" s="55" t="str">
        <f aca="false">IF(BX474=1,"L1",IF(OR(BX474=2,BX474=3),"L23",IF(BX474="Aussen","Aussen","-")))</f>
        <v>L23</v>
      </c>
      <c r="BZ474" s="66" t="n">
        <f aca="false">IF(N(AB474)&gt;0,AB474,0)</f>
        <v>0</v>
      </c>
      <c r="CA474" s="60" t="n">
        <f aca="false">IF(ISNUMBER(AE474),1,0)</f>
        <v>0</v>
      </c>
      <c r="CB474" s="57" t="n">
        <f aca="false">N(AE474)</f>
        <v>0</v>
      </c>
      <c r="CC474" s="57" t="n">
        <f aca="false">N(M474)+N(N474)</f>
        <v>72</v>
      </c>
      <c r="CD474" s="57" t="n">
        <f aca="false">ROUNDUP(H474/BS474,0)</f>
        <v>2</v>
      </c>
      <c r="CE474" s="57" t="n">
        <f aca="false">ROUNDUP(CB474/BS474,0)</f>
        <v>0</v>
      </c>
      <c r="CF474" s="60" t="n">
        <f aca="false">IF(BT474=1,0,IFERROR(VLOOKUP(BR474,'Gebinde-Kategorie'!$A$5:$M$45,5,0)+0,0))</f>
        <v>8</v>
      </c>
      <c r="CG474" s="60" t="n">
        <f aca="false">IFERROR(IF(OR(BX474=1,BX474=2,BX474=3),N(INDEX(Parameter!$I$5:$I$7,BX474)),0),0)</f>
        <v>0</v>
      </c>
      <c r="CH474" s="59" t="n">
        <f aca="false">IF(AND(Parameter!$B$21="Ja",ISNUMBER(W474),N(X474)&gt;0),IFERROR(N(INDEX(Parameter!$L$5:$L$7,W474))*INDEX(Parameter!$E$5:$E$7,W474)*X474/SUMIFS($X$7:$X$1843,$W$7:$W$1843,W474),0),0)</f>
        <v>0</v>
      </c>
    </row>
    <row r="475" customFormat="false" ht="15" hidden="false" customHeight="false" outlineLevel="0" collapsed="false">
      <c r="A475" s="55" t="s">
        <v>1058</v>
      </c>
      <c r="B475" s="55" t="s">
        <v>1059</v>
      </c>
      <c r="C475" s="55" t="s">
        <v>164</v>
      </c>
      <c r="D475" s="55" t="s">
        <v>995</v>
      </c>
      <c r="E475" s="55"/>
      <c r="F475" s="55" t="s">
        <v>218</v>
      </c>
      <c r="G475" s="56" t="n">
        <v>1.63</v>
      </c>
      <c r="H475" s="57" t="n">
        <f aca="false">MAX(0,IF(AND(Parameter!$B$21="Ja",ISNUMBER(Y475)),Y475,IF(Parameter!$B$20="Jahresanfang 2025 + Export",BL475+BK475,BK475)))</f>
        <v>32</v>
      </c>
      <c r="I475" s="57" t="n">
        <f aca="false">H475*G475</f>
        <v>52.16</v>
      </c>
      <c r="J475" s="57" t="n">
        <f aca="false">BN475*Parameter!$B$18</f>
        <v>118</v>
      </c>
      <c r="K475" s="58" t="n">
        <v>16</v>
      </c>
      <c r="L475" s="59" t="n">
        <v>7.375</v>
      </c>
      <c r="M475" s="57" t="n">
        <v>0</v>
      </c>
      <c r="N475" s="57" t="n">
        <v>50</v>
      </c>
      <c r="O475" s="60" t="n">
        <v>21</v>
      </c>
      <c r="P475" s="55" t="s">
        <v>168</v>
      </c>
      <c r="Q475" s="57"/>
      <c r="R475" s="60" t="n">
        <f aca="false">IF(BT475=1,0,IFERROR(VLOOKUP(BR475,'Gebinde-Kategorie'!$A$5:$M$45,13,0)+0,0))</f>
        <v>0</v>
      </c>
      <c r="S475" s="61"/>
      <c r="T475" s="62"/>
      <c r="U475" s="62"/>
      <c r="V475" s="62"/>
      <c r="W475" s="55"/>
      <c r="X475" s="57"/>
      <c r="Y475" s="57"/>
      <c r="Z475" s="55" t="str">
        <f aca="false">IF(A475="","",IF(AND(Parameter!$B$21="Ja",ISNUMBER(W475)),W475,IF(BV475="2+3",IF(ISNUMBER(SEARCH("grosser Artikel",BO475)),2,IFERROR(VLOOKUP(BR475,Parameter!$F$35:$G$64,2,0),2)),IF(OR(BV475="Nein",BV475=""),"-",BV475))))</f>
        <v>-</v>
      </c>
      <c r="AA475" s="62"/>
      <c r="AB475" s="63"/>
      <c r="AC475" s="57" t="n">
        <f aca="false">AR475</f>
        <v>59</v>
      </c>
      <c r="AD475" s="57" t="n">
        <f aca="false">MAX(AR475,H475)</f>
        <v>59</v>
      </c>
      <c r="AE475" s="64"/>
      <c r="AF475" s="57" t="n">
        <f aca="false">IF(LEFT(Cockpit!$C$5,1)="A",H475,IF(CA475=1,CB475,IF(LEFT(Cockpit!$C$5,1)="B",AJ475,MAX(AJ475,H475))))</f>
        <v>32</v>
      </c>
      <c r="AG475" s="57" t="n">
        <f aca="false">IF(BT475=1,0,ROUNDUP(AF475/BS475,0))</f>
        <v>0</v>
      </c>
      <c r="AH475" s="59" t="n">
        <f aca="false">IF(CH475&gt;0,CH475*MAX(1,AF475/X475),IF(BT475=1,IF(AF475&lt;=0,0,BW475*MAX(1,IF(H475&gt;0,AF475/H475,1))),IF(R475&gt;0,AG475/R475,0))/MAX(0.1,N(Parameter!$M$21)))</f>
        <v>0.15</v>
      </c>
      <c r="AI475" s="57" t="n">
        <f aca="false">AF475*G475</f>
        <v>52.16</v>
      </c>
      <c r="AJ475" s="57" t="n">
        <f aca="false">ROUNDUP(MAX(J475/IF(BZ475&gt;0,BZ475,MAX(0.1,N(Cockpit!$C$6))),CC475)/BS475,0)*BS475</f>
        <v>59</v>
      </c>
      <c r="AK475" s="58" t="n">
        <f aca="false">IF(AH475&gt;0,J475/AH475,-1)</f>
        <v>786.666666666667</v>
      </c>
      <c r="AL475" s="58" t="str">
        <f aca="false">IF(AND(OR(BY475="L1",BY475="L23"),AH475&gt;0),SUMIFS($AH$7:$AH$1843,$BY$7:$BY$1843,BY475,$AK$7:$AK$1843,"&gt;"&amp;AK475)+SUMIFS($AH$7:$AH$1843,$BY$7:$BY$1843,BY475,$AK$7:$AK$1843,AK475,$BQ$7:$BQ$1843,"&lt;="&amp;BQ475),"")</f>
        <v/>
      </c>
      <c r="AM475" s="65" t="n">
        <f aca="false">IF(AL475="",0,MAX(0,MIN(1,(IF(BY475="L1",Parameter!$E$5,Parameter!$E$6+Parameter!$E$7)-(AL475-AH475))/AH475)))</f>
        <v>0</v>
      </c>
      <c r="AN475" s="57" t="n">
        <f aca="false">IF(LEFT(Cockpit!$I$5,1)="A",H475,IF(CA475=1,CB475,IF(LEFT(Cockpit!$I$5,1)="B",AR475,MAX(AR475,H475))))</f>
        <v>59</v>
      </c>
      <c r="AO475" s="57" t="n">
        <f aca="false">IF(BT475=1,0,ROUNDUP(AN475/BS475,0))</f>
        <v>0</v>
      </c>
      <c r="AP475" s="59" t="n">
        <f aca="false">IF(CH475&gt;0,CH475*MAX(1,AN475/X475),IF(BT475=1,IF(AN475&lt;=0,0,BW475*MAX(1,IF(H475&gt;0,AN475/H475,1))),IF(R475&gt;0,AO475/R475,0))/MAX(0.1,N(Parameter!$M$21)))</f>
        <v>0.2765625</v>
      </c>
      <c r="AQ475" s="57" t="n">
        <f aca="false">AN475*G475</f>
        <v>96.17</v>
      </c>
      <c r="AR475" s="57" t="n">
        <f aca="false">ROUNDUP(MAX(J475/IF(BZ475&gt;0,BZ475,MAX(0.1,N(Cockpit!$I$6))),CC475)/BS475,0)*BS475</f>
        <v>59</v>
      </c>
      <c r="AS475" s="58" t="n">
        <f aca="false">IF(AP475&gt;0,J475/AP475,-1)</f>
        <v>426.666666666667</v>
      </c>
      <c r="AT475" s="58" t="str">
        <f aca="false">IF(AND(OR(BY475="L1",BY475="L23"),AP475&gt;0),SUMIFS($AP$7:$AP$1843,$BY$7:$BY$1843,BY475,$AS$7:$AS$1843,"&gt;"&amp;AS475)+SUMIFS($AP$7:$AP$1843,$BY$7:$BY$1843,BY475,$AS$7:$AS$1843,AS475,$BQ$7:$BQ$1843,"&lt;="&amp;BQ475),"")</f>
        <v/>
      </c>
      <c r="AU475" s="65" t="n">
        <f aca="false">IF(AT475="",0,MAX(0,MIN(1,(IF(BY475="L1",Parameter!$E$5,Parameter!$E$6+Parameter!$E$7)-(AT475-AP475))/AP475)))</f>
        <v>0</v>
      </c>
      <c r="AV475" s="57" t="n">
        <f aca="false">IF(LEFT(Cockpit!$O$5,1)="A",H475,IF(CA475=1,CB475,IF(LEFT(Cockpit!$O$5,1)="B",AZ475,MAX(AZ475,H475))))</f>
        <v>50</v>
      </c>
      <c r="AW475" s="57" t="n">
        <f aca="false">IF(BT475=1,0,ROUNDUP(AV475/BS475,0))</f>
        <v>0</v>
      </c>
      <c r="AX475" s="59" t="n">
        <f aca="false">IF(CH475&gt;0,CH475*MAX(1,AV475/X475),IF(BT475=1,IF(AV475&lt;=0,0,BW475*MAX(1,IF(H475&gt;0,AV475/H475,1))),IF(R475&gt;0,AW475/R475,0))/MAX(0.1,N(Parameter!$M$21)))</f>
        <v>0.234375</v>
      </c>
      <c r="AY475" s="57" t="n">
        <f aca="false">AV475*G475</f>
        <v>81.5</v>
      </c>
      <c r="AZ475" s="57" t="n">
        <f aca="false">ROUNDUP(MAX(J475/IF(BZ475&gt;0,BZ475,MAX(0.1,N(Cockpit!$O$6))),CC475)/BS475,0)*BS475</f>
        <v>50</v>
      </c>
      <c r="BA475" s="58" t="n">
        <f aca="false">IF(AX475&gt;0,J475/AX475,-1)</f>
        <v>503.466666666667</v>
      </c>
      <c r="BB475" s="58" t="str">
        <f aca="false">IF(AND(OR(BY475="L1",BY475="L23"),AX475&gt;0),SUMIFS($AX$7:$AX$1843,$BY$7:$BY$1843,BY475,$BA$7:$BA$1843,"&gt;"&amp;BA475)+SUMIFS($AX$7:$AX$1843,$BY$7:$BY$1843,BY475,$BA$7:$BA$1843,BA475,$BQ$7:$BQ$1843,"&lt;="&amp;BQ475),"")</f>
        <v/>
      </c>
      <c r="BC475" s="65" t="n">
        <f aca="false">IF(BB475="",0,MAX(0,MIN(1,(IF(BY475="L1",Parameter!$E$5,Parameter!$E$6+Parameter!$E$7)-(BB475-AX475))/AX475)))</f>
        <v>0</v>
      </c>
      <c r="BD475" s="55" t="str">
        <f aca="false">IF(AH475&lt;=0,"",IF(BY475="Aussen","Aussenlager",IF(BY475="-","Nicht im Lift",IF(AM475&gt;=1,"Lift",IF(AM475&lt;=0,"Aussenlager","teilweise")))))</f>
        <v>Nicht im Lift</v>
      </c>
      <c r="BE475" s="55" t="str">
        <f aca="false">IF(AP475&lt;=0,"",IF(BY475="Aussen","Aussenlager",IF(BY475="-","Nicht im Lift",IF(AU475&gt;=1,"Lift",IF(AU475&lt;=0,"Aussenlager","teilweise")))))</f>
        <v>Nicht im Lift</v>
      </c>
      <c r="BF475" s="55" t="str">
        <f aca="false">IF(AX475&lt;=0,"",IF(BY475="Aussen","Aussenlager",IF(BY475="-","Nicht im Lift",IF(BC475&gt;=1,"Lift",IF(BC475&lt;=0,"Aussenlager","teilweise")))))</f>
        <v>Nicht im Lift</v>
      </c>
      <c r="BG475" s="55" t="str">
        <f aca="false">IF(A475="","",IF(BP475=1,"Neu; ","")&amp;IF(AND(BP475=0,BK475&lt;0),"negativer Bestand (Export "&amp;BK475&amp;"); ","")&amp;IF(J475&lt;=0,"Kein Verbrauch; ","")&amp;IF(CH475&gt;0,"Lift "&amp;W475&amp;" lt. Liftbericht (Fach "&amp;X475&amp;" Stk); ",IF(BU475=1,"Gebinde geschätzt ("&amp;T475&amp;"); ",IF(BT475=1,"Lose – Tablare geschätzt; ","")))&amp;IF(H475&gt;AR475,"Überbestand "&amp;ROUND(H475-AR475,0)&amp;" Stk / CHF "&amp;ROUND((H475-AR475)*G475,0)&amp;"; ","")&amp;IF(AND(CA475=1,CB475&lt;CC475),"MAX &lt; MB+LG; ","")&amp;IF(AND(CG475&gt;0,CF475*10&gt;CG475),"zu hoch für Tablar; ","")&amp;IF(AND(BP475=0,OR(CA475=1,AA475&lt;&gt;"",U475&lt;&gt;"",V475&lt;&gt;"",AB475&lt;&gt;"")),"manuell übersteuert; ","")&amp;IF(AND(BT475=0,R475=0),"Gebinde unbekannt / Stellmass fehlt; ","")&amp;IF(AND(BT475=0,N(V475)&lt;=0,N(Q475)&lt;=0),"Menge pro Gebinde fehlt (Ist = 1 Gebinde); ","")&amp;BO475)</f>
        <v>Lose – Tablare geschätzt; </v>
      </c>
      <c r="BH475" s="55"/>
      <c r="BI475" s="55"/>
      <c r="BJ475" s="62"/>
      <c r="BK475" s="57" t="n">
        <v>32</v>
      </c>
      <c r="BL475" s="57" t="n">
        <v>0</v>
      </c>
      <c r="BM475" s="56" t="n">
        <v>52.16</v>
      </c>
      <c r="BN475" s="57" t="n">
        <v>118</v>
      </c>
      <c r="BO475" s="55"/>
      <c r="BP475" s="60" t="n">
        <v>0</v>
      </c>
      <c r="BQ475" s="60" t="n">
        <v>475</v>
      </c>
      <c r="BR475" s="55" t="str">
        <f aca="false">IF(U475&lt;&gt;"",UPPER(TRIM(U475)),IF(BU475=1,UPPER(VLOOKUP(T475,Parameter!$I$27:$K$29,2,0)),IF(P475="","LOSE",P475)))</f>
        <v>LOSE</v>
      </c>
      <c r="BS475" s="57" t="n">
        <f aca="false">IF(BR475="LOSE",1,IF(N(V475)&gt;0,V475,IF(BU475=1,MAX(1,N(VLOOKUP(T475,Parameter!$I$27:$K$29,3,0)),H475,N(N475)),IF(N(Q475)&gt;0,Q475,MAX(1,H475)))))</f>
        <v>1</v>
      </c>
      <c r="BT475" s="60" t="n">
        <f aca="false">IF(BR475="LOSE",1,0)</f>
        <v>1</v>
      </c>
      <c r="BU475" s="60" t="n">
        <f aca="false">IF(AND(U475="",OR(P475="",P475="LOSE"),T475&lt;&gt;"",N(S475)&lt;=0,ISNUMBER(MATCH(T475,Parameter!$I$27:$I$29,0))),1,0)</f>
        <v>0</v>
      </c>
      <c r="BV475" s="55" t="str">
        <f aca="false">IF(AND(Parameter!$B$19="Ja",E475&lt;&gt;"",ISNUMBER(MATCH(E475,Parameter!$I$35:$I$52,0))),VLOOKUP(E475,Parameter!$I$35:$J$52,2,0),IFERROR(VLOOKUP(D475,Parameter!$A$35:$C$64,2,0),"Nein"))</f>
        <v>Nein</v>
      </c>
      <c r="BW475" s="59" t="n">
        <f aca="false">IF(BT475=0,0,IF(N(S475)&gt;0,S475,IFERROR(VLOOKUP(D475,Parameter!$A$35:$C$64,3,0)+0,0)))</f>
        <v>0.15</v>
      </c>
      <c r="BX475" s="55" t="str">
        <f aca="false">IF(AA475&lt;&gt;"",AA475,Z475)</f>
        <v>-</v>
      </c>
      <c r="BY475" s="55" t="str">
        <f aca="false">IF(BX475=1,"L1",IF(OR(BX475=2,BX475=3),"L23",IF(BX475="Aussen","Aussen","-")))</f>
        <v>-</v>
      </c>
      <c r="BZ475" s="66" t="n">
        <f aca="false">IF(N(AB475)&gt;0,AB475,0)</f>
        <v>0</v>
      </c>
      <c r="CA475" s="60" t="n">
        <f aca="false">IF(ISNUMBER(AE475),1,0)</f>
        <v>0</v>
      </c>
      <c r="CB475" s="57" t="n">
        <f aca="false">N(AE475)</f>
        <v>0</v>
      </c>
      <c r="CC475" s="57" t="n">
        <f aca="false">N(M475)+N(N475)</f>
        <v>50</v>
      </c>
      <c r="CD475" s="57" t="n">
        <f aca="false">ROUNDUP(H475/BS475,0)</f>
        <v>32</v>
      </c>
      <c r="CE475" s="57" t="n">
        <f aca="false">ROUNDUP(CB475/BS475,0)</f>
        <v>0</v>
      </c>
      <c r="CF475" s="60" t="n">
        <f aca="false">IF(BT475=1,0,IFERROR(VLOOKUP(BR475,'Gebinde-Kategorie'!$A$5:$M$45,5,0)+0,0))</f>
        <v>0</v>
      </c>
      <c r="CG475" s="60" t="n">
        <f aca="false">IFERROR(IF(OR(BX475=1,BX475=2,BX475=3),N(INDEX(Parameter!$I$5:$I$7,BX475)),0),0)</f>
        <v>0</v>
      </c>
      <c r="CH475" s="59" t="n">
        <f aca="false">IF(AND(Parameter!$B$21="Ja",ISNUMBER(W475),N(X475)&gt;0),IFERROR(N(INDEX(Parameter!$L$5:$L$7,W475))*INDEX(Parameter!$E$5:$E$7,W475)*X475/SUMIFS($X$7:$X$1843,$W$7:$W$1843,W475),0),0)</f>
        <v>0</v>
      </c>
    </row>
    <row r="476" customFormat="false" ht="15" hidden="false" customHeight="false" outlineLevel="0" collapsed="false">
      <c r="A476" s="55" t="s">
        <v>1060</v>
      </c>
      <c r="B476" s="55" t="s">
        <v>1061</v>
      </c>
      <c r="C476" s="55" t="s">
        <v>164</v>
      </c>
      <c r="D476" s="55" t="s">
        <v>184</v>
      </c>
      <c r="E476" s="55"/>
      <c r="F476" s="55" t="s">
        <v>218</v>
      </c>
      <c r="G476" s="56" t="n">
        <v>51.57</v>
      </c>
      <c r="H476" s="57" t="n">
        <f aca="false">MAX(0,IF(AND(Parameter!$B$21="Ja",ISNUMBER(Y476)),Y476,IF(Parameter!$B$20="Jahresanfang 2025 + Export",BL476+BK476,BK476)))</f>
        <v>1</v>
      </c>
      <c r="I476" s="57" t="n">
        <f aca="false">H476*G476</f>
        <v>51.57</v>
      </c>
      <c r="J476" s="57" t="n">
        <f aca="false">BN476*Parameter!$B$18</f>
        <v>1</v>
      </c>
      <c r="K476" s="58" t="n">
        <v>0.5</v>
      </c>
      <c r="L476" s="59" t="n">
        <v>2</v>
      </c>
      <c r="M476" s="57" t="n">
        <v>0</v>
      </c>
      <c r="N476" s="57" t="n">
        <v>1</v>
      </c>
      <c r="O476" s="60" t="n">
        <v>28</v>
      </c>
      <c r="P476" s="55" t="s">
        <v>168</v>
      </c>
      <c r="Q476" s="57"/>
      <c r="R476" s="60" t="n">
        <f aca="false">IF(BT476=1,0,IFERROR(VLOOKUP(BR476,'Gebinde-Kategorie'!$A$5:$M$45,13,0)+0,0))</f>
        <v>3</v>
      </c>
      <c r="S476" s="61"/>
      <c r="T476" s="62" t="s">
        <v>189</v>
      </c>
      <c r="U476" s="62"/>
      <c r="V476" s="62"/>
      <c r="W476" s="55"/>
      <c r="X476" s="57"/>
      <c r="Y476" s="57"/>
      <c r="Z476" s="55" t="n">
        <f aca="false">IF(A476="","",IF(AND(Parameter!$B$21="Ja",ISNUMBER(W476)),W476,IF(BV476="2+3",IF(ISNUMBER(SEARCH("grosser Artikel",BO476)),2,IFERROR(VLOOKUP(BR476,Parameter!$F$35:$G$64,2,0),2)),IF(OR(BV476="Nein",BV476=""),"-",BV476))))</f>
        <v>2</v>
      </c>
      <c r="AA476" s="62"/>
      <c r="AB476" s="63"/>
      <c r="AC476" s="57" t="n">
        <f aca="false">AR476</f>
        <v>2</v>
      </c>
      <c r="AD476" s="57" t="n">
        <f aca="false">MAX(AR476,H476)</f>
        <v>2</v>
      </c>
      <c r="AE476" s="64"/>
      <c r="AF476" s="57" t="n">
        <f aca="false">IF(LEFT(Cockpit!$C$5,1)="A",H476,IF(CA476=1,CB476,IF(LEFT(Cockpit!$C$5,1)="B",AJ476,MAX(AJ476,H476))))</f>
        <v>1</v>
      </c>
      <c r="AG476" s="57" t="n">
        <f aca="false">IF(BT476=1,0,ROUNDUP(AF476/BS476,0))</f>
        <v>1</v>
      </c>
      <c r="AH476" s="59" t="n">
        <f aca="false">IF(CH476&gt;0,CH476*MAX(1,AF476/X476),IF(BT476=1,IF(AF476&lt;=0,0,BW476*MAX(1,IF(H476&gt;0,AF476/H476,1))),IF(R476&gt;0,AG476/R476,0))/MAX(0.1,N(Parameter!$M$21)))</f>
        <v>0.333333333333333</v>
      </c>
      <c r="AI476" s="57" t="n">
        <f aca="false">AF476*G476</f>
        <v>51.57</v>
      </c>
      <c r="AJ476" s="57" t="n">
        <f aca="false">ROUNDUP(MAX(J476/IF(BZ476&gt;0,BZ476,MAX(0.1,N(Cockpit!$C$6))),CC476)/BS476,0)*BS476</f>
        <v>2</v>
      </c>
      <c r="AK476" s="58" t="n">
        <f aca="false">IF(AH476&gt;0,J476/AH476,-1)</f>
        <v>3</v>
      </c>
      <c r="AL476" s="58" t="n">
        <f aca="false">IF(AND(OR(BY476="L1",BY476="L23"),AH476&gt;0),SUMIFS($AH$7:$AH$1843,$BY$7:$BY$1843,BY476,$AK$7:$AK$1843,"&gt;"&amp;AK476)+SUMIFS($AH$7:$AH$1843,$BY$7:$BY$1843,BY476,$AK$7:$AK$1843,AK476,$BQ$7:$BQ$1843,"&lt;="&amp;BQ476),"")</f>
        <v>58.8253606297085</v>
      </c>
      <c r="AM476" s="65" t="n">
        <f aca="false">IF(AL476="",0,MAX(0,MIN(1,(IF(BY476="L1",Parameter!$E$5,Parameter!$E$6+Parameter!$E$7)-(AL476-AH476))/AH476)))</f>
        <v>1</v>
      </c>
      <c r="AN476" s="57" t="n">
        <f aca="false">IF(LEFT(Cockpit!$I$5,1)="A",H476,IF(CA476=1,CB476,IF(LEFT(Cockpit!$I$5,1)="B",AR476,MAX(AR476,H476))))</f>
        <v>2</v>
      </c>
      <c r="AO476" s="57" t="n">
        <f aca="false">IF(BT476=1,0,ROUNDUP(AN476/BS476,0))</f>
        <v>1</v>
      </c>
      <c r="AP476" s="59" t="n">
        <f aca="false">IF(CH476&gt;0,CH476*MAX(1,AN476/X476),IF(BT476=1,IF(AN476&lt;=0,0,BW476*MAX(1,IF(H476&gt;0,AN476/H476,1))),IF(R476&gt;0,AO476/R476,0))/MAX(0.1,N(Parameter!$M$21)))</f>
        <v>0.333333333333333</v>
      </c>
      <c r="AQ476" s="57" t="n">
        <f aca="false">AN476*G476</f>
        <v>103.14</v>
      </c>
      <c r="AR476" s="57" t="n">
        <f aca="false">ROUNDUP(MAX(J476/IF(BZ476&gt;0,BZ476,MAX(0.1,N(Cockpit!$I$6))),CC476)/BS476,0)*BS476</f>
        <v>2</v>
      </c>
      <c r="AS476" s="58" t="n">
        <f aca="false">IF(AP476&gt;0,J476/AP476,-1)</f>
        <v>3</v>
      </c>
      <c r="AT476" s="58" t="n">
        <f aca="false">IF(AND(OR(BY476="L1",BY476="L23"),AP476&gt;0),SUMIFS($AP$7:$AP$1843,$BY$7:$BY$1843,BY476,$AS$7:$AS$1843,"&gt;"&amp;AS476)+SUMIFS($AP$7:$AP$1843,$BY$7:$BY$1843,BY476,$AS$7:$AS$1843,AS476,$BQ$7:$BQ$1843,"&lt;="&amp;BQ476),"")</f>
        <v>96.2494848147022</v>
      </c>
      <c r="AU476" s="65" t="n">
        <f aca="false">IF(AT476="",0,MAX(0,MIN(1,(IF(BY476="L1",Parameter!$E$5,Parameter!$E$6+Parameter!$E$7)-(AT476-AP476))/AP476)))</f>
        <v>1</v>
      </c>
      <c r="AV476" s="57" t="n">
        <f aca="false">IF(LEFT(Cockpit!$O$5,1)="A",H476,IF(CA476=1,CB476,IF(LEFT(Cockpit!$O$5,1)="B",AZ476,MAX(AZ476,H476))))</f>
        <v>2</v>
      </c>
      <c r="AW476" s="57" t="n">
        <f aca="false">IF(BT476=1,0,ROUNDUP(AV476/BS476,0))</f>
        <v>1</v>
      </c>
      <c r="AX476" s="59" t="n">
        <f aca="false">IF(CH476&gt;0,CH476*MAX(1,AV476/X476),IF(BT476=1,IF(AV476&lt;=0,0,BW476*MAX(1,IF(H476&gt;0,AV476/H476,1))),IF(R476&gt;0,AW476/R476,0))/MAX(0.1,N(Parameter!$M$21)))</f>
        <v>0.333333333333333</v>
      </c>
      <c r="AY476" s="57" t="n">
        <f aca="false">AV476*G476</f>
        <v>103.14</v>
      </c>
      <c r="AZ476" s="57" t="n">
        <f aca="false">ROUNDUP(MAX(J476/IF(BZ476&gt;0,BZ476,MAX(0.1,N(Cockpit!$O$6))),CC476)/BS476,0)*BS476</f>
        <v>2</v>
      </c>
      <c r="BA476" s="58" t="n">
        <f aca="false">IF(AX476&gt;0,J476/AX476,-1)</f>
        <v>3</v>
      </c>
      <c r="BB476" s="58" t="n">
        <f aca="false">IF(AND(OR(BY476="L1",BY476="L23"),AX476&gt;0),SUMIFS($AX$7:$AX$1843,$BY$7:$BY$1843,BY476,$BA$7:$BA$1843,"&gt;"&amp;BA476)+SUMIFS($AX$7:$AX$1843,$BY$7:$BY$1843,BY476,$BA$7:$BA$1843,BA476,$BQ$7:$BQ$1843,"&lt;="&amp;BQ476),"")</f>
        <v>87.079321644539</v>
      </c>
      <c r="BC476" s="65" t="n">
        <f aca="false">IF(BB476="",0,MAX(0,MIN(1,(IF(BY476="L1",Parameter!$E$5,Parameter!$E$6+Parameter!$E$7)-(BB476-AX476))/AX476)))</f>
        <v>1</v>
      </c>
      <c r="BD476" s="55" t="str">
        <f aca="false">IF(AH476&lt;=0,"",IF(BY476="Aussen","Aussenlager",IF(BY476="-","Nicht im Lift",IF(AM476&gt;=1,"Lift",IF(AM476&lt;=0,"Aussenlager","teilweise")))))</f>
        <v>Lift</v>
      </c>
      <c r="BE476" s="55" t="str">
        <f aca="false">IF(AP476&lt;=0,"",IF(BY476="Aussen","Aussenlager",IF(BY476="-","Nicht im Lift",IF(AU476&gt;=1,"Lift",IF(AU476&lt;=0,"Aussenlager","teilweise")))))</f>
        <v>Lift</v>
      </c>
      <c r="BF476" s="55" t="str">
        <f aca="false">IF(AX476&lt;=0,"",IF(BY476="Aussen","Aussenlager",IF(BY476="-","Nicht im Lift",IF(BC476&gt;=1,"Lift",IF(BC476&lt;=0,"Aussenlager","teilweise")))))</f>
        <v>Lift</v>
      </c>
      <c r="BG476" s="55" t="str">
        <f aca="false">IF(A476="","",IF(BP476=1,"Neu; ","")&amp;IF(AND(BP476=0,BK476&lt;0),"negativer Bestand (Export "&amp;BK476&amp;"); ","")&amp;IF(J476&lt;=0,"Kein Verbrauch; ","")&amp;IF(CH476&gt;0,"Lift "&amp;W476&amp;" lt. Liftbericht (Fach "&amp;X476&amp;" Stk); ",IF(BU476=1,"Gebinde geschätzt ("&amp;T476&amp;"); ",IF(BT476=1,"Lose – Tablare geschätzt; ","")))&amp;IF(H476&gt;AR476,"Überbestand "&amp;ROUND(H476-AR476,0)&amp;" Stk / CHF "&amp;ROUND((H476-AR476)*G476,0)&amp;"; ","")&amp;IF(AND(CA476=1,CB476&lt;CC476),"MAX &lt; MB+LG; ","")&amp;IF(AND(CG476&gt;0,CF476*10&gt;CG476),"zu hoch für Tablar; ","")&amp;IF(AND(BP476=0,OR(CA476=1,AA476&lt;&gt;"",U476&lt;&gt;"",V476&lt;&gt;"",AB476&lt;&gt;"")),"manuell übersteuert; ","")&amp;IF(AND(BT476=0,R476=0),"Gebinde unbekannt / Stellmass fehlt; ","")&amp;IF(AND(BT476=0,N(V476)&lt;=0,N(Q476)&lt;=0),"Menge pro Gebinde fehlt (Ist = 1 Gebinde); ","")&amp;BO476)</f>
        <v>Gebinde geschätzt (Gross); Menge pro Gebinde fehlt (Ist = 1 Gebinde); </v>
      </c>
      <c r="BH476" s="55"/>
      <c r="BI476" s="55"/>
      <c r="BJ476" s="62"/>
      <c r="BK476" s="57" t="n">
        <v>1</v>
      </c>
      <c r="BL476" s="57" t="n">
        <v>0</v>
      </c>
      <c r="BM476" s="56" t="n">
        <v>51.57</v>
      </c>
      <c r="BN476" s="57" t="n">
        <v>1</v>
      </c>
      <c r="BO476" s="55"/>
      <c r="BP476" s="60" t="n">
        <v>0</v>
      </c>
      <c r="BQ476" s="60" t="n">
        <v>476</v>
      </c>
      <c r="BR476" s="55" t="str">
        <f aca="false">IF(U476&lt;&gt;"",UPPER(TRIM(U476)),IF(BU476=1,UPPER(VLOOKUP(T476,Parameter!$I$27:$K$29,2,0)),IF(P476="","LOSE",P476)))</f>
        <v>S81</v>
      </c>
      <c r="BS476" s="57" t="n">
        <f aca="false">IF(BR476="LOSE",1,IF(N(V476)&gt;0,V476,IF(BU476=1,MAX(1,N(VLOOKUP(T476,Parameter!$I$27:$K$29,3,0)),H476,N(N476)),IF(N(Q476)&gt;0,Q476,MAX(1,H476)))))</f>
        <v>2</v>
      </c>
      <c r="BT476" s="60" t="n">
        <f aca="false">IF(BR476="LOSE",1,0)</f>
        <v>0</v>
      </c>
      <c r="BU476" s="60" t="n">
        <f aca="false">IF(AND(U476="",OR(P476="",P476="LOSE"),T476&lt;&gt;"",N(S476)&lt;=0,ISNUMBER(MATCH(T476,Parameter!$I$27:$I$29,0))),1,0)</f>
        <v>1</v>
      </c>
      <c r="BV476" s="55" t="str">
        <f aca="false">IF(AND(Parameter!$B$19="Ja",E476&lt;&gt;"",ISNUMBER(MATCH(E476,Parameter!$I$35:$I$52,0))),VLOOKUP(E476,Parameter!$I$35:$J$52,2,0),IFERROR(VLOOKUP(D476,Parameter!$A$35:$C$64,2,0),"Nein"))</f>
        <v>2+3</v>
      </c>
      <c r="BW476" s="59" t="n">
        <f aca="false">IF(BT476=0,0,IF(N(S476)&gt;0,S476,IFERROR(VLOOKUP(D476,Parameter!$A$35:$C$64,3,0)+0,0)))</f>
        <v>0</v>
      </c>
      <c r="BX476" s="55" t="n">
        <f aca="false">IF(AA476&lt;&gt;"",AA476,Z476)</f>
        <v>2</v>
      </c>
      <c r="BY476" s="55" t="str">
        <f aca="false">IF(BX476=1,"L1",IF(OR(BX476=2,BX476=3),"L23",IF(BX476="Aussen","Aussen","-")))</f>
        <v>L23</v>
      </c>
      <c r="BZ476" s="66" t="n">
        <f aca="false">IF(N(AB476)&gt;0,AB476,0)</f>
        <v>0</v>
      </c>
      <c r="CA476" s="60" t="n">
        <f aca="false">IF(ISNUMBER(AE476),1,0)</f>
        <v>0</v>
      </c>
      <c r="CB476" s="57" t="n">
        <f aca="false">N(AE476)</f>
        <v>0</v>
      </c>
      <c r="CC476" s="57" t="n">
        <f aca="false">N(M476)+N(N476)</f>
        <v>1</v>
      </c>
      <c r="CD476" s="57" t="n">
        <f aca="false">ROUNDUP(H476/BS476,0)</f>
        <v>1</v>
      </c>
      <c r="CE476" s="57" t="n">
        <f aca="false">ROUNDUP(CB476/BS476,0)</f>
        <v>0</v>
      </c>
      <c r="CF476" s="60" t="n">
        <f aca="false">IF(BT476=1,0,IFERROR(VLOOKUP(BR476,'Gebinde-Kategorie'!$A$5:$M$45,5,0)+0,0))</f>
        <v>20</v>
      </c>
      <c r="CG476" s="60" t="n">
        <f aca="false">IFERROR(IF(OR(BX476=1,BX476=2,BX476=3),N(INDEX(Parameter!$I$5:$I$7,BX476)),0),0)</f>
        <v>0</v>
      </c>
      <c r="CH476" s="59" t="n">
        <f aca="false">IF(AND(Parameter!$B$21="Ja",ISNUMBER(W476),N(X476)&gt;0),IFERROR(N(INDEX(Parameter!$L$5:$L$7,W476))*INDEX(Parameter!$E$5:$E$7,W476)*X476/SUMIFS($X$7:$X$1843,$W$7:$W$1843,W476),0),0)</f>
        <v>0</v>
      </c>
    </row>
    <row r="477" customFormat="false" ht="15" hidden="false" customHeight="false" outlineLevel="0" collapsed="false">
      <c r="A477" s="55" t="s">
        <v>1062</v>
      </c>
      <c r="B477" s="55" t="s">
        <v>1063</v>
      </c>
      <c r="C477" s="55" t="s">
        <v>164</v>
      </c>
      <c r="D477" s="55" t="s">
        <v>184</v>
      </c>
      <c r="E477" s="55"/>
      <c r="F477" s="55" t="s">
        <v>218</v>
      </c>
      <c r="G477" s="56" t="n">
        <v>51</v>
      </c>
      <c r="H477" s="57" t="n">
        <f aca="false">MAX(0,IF(AND(Parameter!$B$21="Ja",ISNUMBER(Y477)),Y477,IF(Parameter!$B$20="Jahresanfang 2025 + Export",BL477+BK477,BK477)))</f>
        <v>8</v>
      </c>
      <c r="I477" s="57" t="n">
        <f aca="false">H477*G477</f>
        <v>408</v>
      </c>
      <c r="J477" s="57" t="n">
        <f aca="false">BN477*Parameter!$B$18</f>
        <v>0</v>
      </c>
      <c r="K477" s="58" t="n">
        <v>7.5</v>
      </c>
      <c r="L477" s="59" t="n">
        <v>0</v>
      </c>
      <c r="M477" s="57" t="n">
        <v>0</v>
      </c>
      <c r="N477" s="57" t="n">
        <v>1</v>
      </c>
      <c r="O477" s="60" t="n">
        <v>28</v>
      </c>
      <c r="P477" s="55" t="s">
        <v>302</v>
      </c>
      <c r="Q477" s="57" t="n">
        <v>10</v>
      </c>
      <c r="R477" s="60" t="n">
        <f aca="false">IF(BT477=1,0,IFERROR(VLOOKUP(BR477,'Gebinde-Kategorie'!$A$5:$M$45,13,0)+0,0))</f>
        <v>26</v>
      </c>
      <c r="S477" s="61"/>
      <c r="T477" s="62"/>
      <c r="U477" s="62"/>
      <c r="V477" s="62"/>
      <c r="W477" s="55"/>
      <c r="X477" s="57"/>
      <c r="Y477" s="57"/>
      <c r="Z477" s="55" t="n">
        <f aca="false">IF(A477="","",IF(AND(Parameter!$B$21="Ja",ISNUMBER(W477)),W477,IF(BV477="2+3",IF(ISNUMBER(SEARCH("grosser Artikel",BO477)),2,IFERROR(VLOOKUP(BR477,Parameter!$F$35:$G$64,2,0),2)),IF(OR(BV477="Nein",BV477=""),"-",BV477))))</f>
        <v>3</v>
      </c>
      <c r="AA477" s="62"/>
      <c r="AB477" s="63"/>
      <c r="AC477" s="57" t="n">
        <f aca="false">AR477</f>
        <v>10</v>
      </c>
      <c r="AD477" s="57" t="n">
        <f aca="false">MAX(AR477,H477)</f>
        <v>10</v>
      </c>
      <c r="AE477" s="64"/>
      <c r="AF477" s="57" t="n">
        <f aca="false">IF(LEFT(Cockpit!$C$5,1)="A",H477,IF(CA477=1,CB477,IF(LEFT(Cockpit!$C$5,1)="B",AJ477,MAX(AJ477,H477))))</f>
        <v>8</v>
      </c>
      <c r="AG477" s="57" t="n">
        <f aca="false">IF(BT477=1,0,ROUNDUP(AF477/BS477,0))</f>
        <v>1</v>
      </c>
      <c r="AH477" s="59" t="n">
        <f aca="false">IF(CH477&gt;0,CH477*MAX(1,AF477/X477),IF(BT477=1,IF(AF477&lt;=0,0,BW477*MAX(1,IF(H477&gt;0,AF477/H477,1))),IF(R477&gt;0,AG477/R477,0))/MAX(0.1,N(Parameter!$M$21)))</f>
        <v>0.0384615384615385</v>
      </c>
      <c r="AI477" s="57" t="n">
        <f aca="false">AF477*G477</f>
        <v>408</v>
      </c>
      <c r="AJ477" s="57" t="n">
        <f aca="false">ROUNDUP(MAX(J477/IF(BZ477&gt;0,BZ477,MAX(0.1,N(Cockpit!$C$6))),CC477)/BS477,0)*BS477</f>
        <v>10</v>
      </c>
      <c r="AK477" s="58" t="n">
        <f aca="false">IF(AH477&gt;0,J477/AH477,-1)</f>
        <v>0</v>
      </c>
      <c r="AL477" s="58" t="n">
        <f aca="false">IF(AND(OR(BY477="L1",BY477="L23"),AH477&gt;0),SUMIFS($AH$7:$AH$1843,$BY$7:$BY$1843,BY477,$AK$7:$AK$1843,"&gt;"&amp;AK477)+SUMIFS($AH$7:$AH$1843,$BY$7:$BY$1843,BY477,$AK$7:$AK$1843,AK477,$BQ$7:$BQ$1843,"&lt;="&amp;BQ477),"")</f>
        <v>74.3107918651397</v>
      </c>
      <c r="AM477" s="65" t="n">
        <f aca="false">IF(AL477="",0,MAX(0,MIN(1,(IF(BY477="L1",Parameter!$E$5,Parameter!$E$6+Parameter!$E$7)-(AL477-AH477))/AH477)))</f>
        <v>1</v>
      </c>
      <c r="AN477" s="57" t="n">
        <f aca="false">IF(LEFT(Cockpit!$I$5,1)="A",H477,IF(CA477=1,CB477,IF(LEFT(Cockpit!$I$5,1)="B",AR477,MAX(AR477,H477))))</f>
        <v>10</v>
      </c>
      <c r="AO477" s="57" t="n">
        <f aca="false">IF(BT477=1,0,ROUNDUP(AN477/BS477,0))</f>
        <v>1</v>
      </c>
      <c r="AP477" s="59" t="n">
        <f aca="false">IF(CH477&gt;0,CH477*MAX(1,AN477/X477),IF(BT477=1,IF(AN477&lt;=0,0,BW477*MAX(1,IF(H477&gt;0,AN477/H477,1))),IF(R477&gt;0,AO477/R477,0))/MAX(0.1,N(Parameter!$M$21)))</f>
        <v>0.0384615384615385</v>
      </c>
      <c r="AQ477" s="57" t="n">
        <f aca="false">AN477*G477</f>
        <v>510</v>
      </c>
      <c r="AR477" s="57" t="n">
        <f aca="false">ROUNDUP(MAX(J477/IF(BZ477&gt;0,BZ477,MAX(0.1,N(Cockpit!$I$6))),CC477)/BS477,0)*BS477</f>
        <v>10</v>
      </c>
      <c r="AS477" s="58" t="n">
        <f aca="false">IF(AP477&gt;0,J477/AP477,-1)</f>
        <v>0</v>
      </c>
      <c r="AT477" s="58" t="n">
        <f aca="false">IF(AND(OR(BY477="L1",BY477="L23"),AP477&gt;0),SUMIFS($AP$7:$AP$1843,$BY$7:$BY$1843,BY477,$AS$7:$AS$1843,"&gt;"&amp;AS477)+SUMIFS($AP$7:$AP$1843,$BY$7:$BY$1843,BY477,$AS$7:$AS$1843,AS477,$BQ$7:$BQ$1843,"&lt;="&amp;BQ477),"")</f>
        <v>113.734916050133</v>
      </c>
      <c r="AU477" s="65" t="n">
        <f aca="false">IF(AT477="",0,MAX(0,MIN(1,(IF(BY477="L1",Parameter!$E$5,Parameter!$E$6+Parameter!$E$7)-(AT477-AP477))/AP477)))</f>
        <v>0</v>
      </c>
      <c r="AV477" s="57" t="n">
        <f aca="false">IF(LEFT(Cockpit!$O$5,1)="A",H477,IF(CA477=1,CB477,IF(LEFT(Cockpit!$O$5,1)="B",AZ477,MAX(AZ477,H477))))</f>
        <v>10</v>
      </c>
      <c r="AW477" s="57" t="n">
        <f aca="false">IF(BT477=1,0,ROUNDUP(AV477/BS477,0))</f>
        <v>1</v>
      </c>
      <c r="AX477" s="59" t="n">
        <f aca="false">IF(CH477&gt;0,CH477*MAX(1,AV477/X477),IF(BT477=1,IF(AV477&lt;=0,0,BW477*MAX(1,IF(H477&gt;0,AV477/H477,1))),IF(R477&gt;0,AW477/R477,0))/MAX(0.1,N(Parameter!$M$21)))</f>
        <v>0.0384615384615385</v>
      </c>
      <c r="AY477" s="57" t="n">
        <f aca="false">AV477*G477</f>
        <v>510</v>
      </c>
      <c r="AZ477" s="57" t="n">
        <f aca="false">ROUNDUP(MAX(J477/IF(BZ477&gt;0,BZ477,MAX(0.1,N(Cockpit!$O$6))),CC477)/BS477,0)*BS477</f>
        <v>10</v>
      </c>
      <c r="BA477" s="58" t="n">
        <f aca="false">IF(AX477&gt;0,J477/AX477,-1)</f>
        <v>0</v>
      </c>
      <c r="BB477" s="58" t="n">
        <f aca="false">IF(AND(OR(BY477="L1",BY477="L23"),AX477&gt;0),SUMIFS($AX$7:$AX$1843,$BY$7:$BY$1843,BY477,$BA$7:$BA$1843,"&gt;"&amp;BA477)+SUMIFS($AX$7:$AX$1843,$BY$7:$BY$1843,BY477,$BA$7:$BA$1843,BA477,$BQ$7:$BQ$1843,"&lt;="&amp;BQ477),"")</f>
        <v>104.56475287997</v>
      </c>
      <c r="BC477" s="65" t="n">
        <f aca="false">IF(BB477="",0,MAX(0,MIN(1,(IF(BY477="L1",Parameter!$E$5,Parameter!$E$6+Parameter!$E$7)-(BB477-AX477))/AX477)))</f>
        <v>0</v>
      </c>
      <c r="BD477" s="55" t="str">
        <f aca="false">IF(AH477&lt;=0,"",IF(BY477="Aussen","Aussenlager",IF(BY477="-","Nicht im Lift",IF(AM477&gt;=1,"Lift",IF(AM477&lt;=0,"Aussenlager","teilweise")))))</f>
        <v>Lift</v>
      </c>
      <c r="BE477" s="55" t="str">
        <f aca="false">IF(AP477&lt;=0,"",IF(BY477="Aussen","Aussenlager",IF(BY477="-","Nicht im Lift",IF(AU477&gt;=1,"Lift",IF(AU477&lt;=0,"Aussenlager","teilweise")))))</f>
        <v>Aussenlager</v>
      </c>
      <c r="BF477" s="55" t="str">
        <f aca="false">IF(AX477&lt;=0,"",IF(BY477="Aussen","Aussenlager",IF(BY477="-","Nicht im Lift",IF(BC477&gt;=1,"Lift",IF(BC477&lt;=0,"Aussenlager","teilweise")))))</f>
        <v>Aussenlager</v>
      </c>
      <c r="BG477" s="55" t="str">
        <f aca="false">IF(A477="","",IF(BP477=1,"Neu; ","")&amp;IF(AND(BP477=0,BK477&lt;0),"negativer Bestand (Export "&amp;BK477&amp;"); ","")&amp;IF(J477&lt;=0,"Kein Verbrauch; ","")&amp;IF(CH477&gt;0,"Lift "&amp;W477&amp;" lt. Liftbericht (Fach "&amp;X477&amp;" Stk); ",IF(BU477=1,"Gebinde geschätzt ("&amp;T477&amp;"); ",IF(BT477=1,"Lose – Tablare geschätzt; ","")))&amp;IF(H477&gt;AR477,"Überbestand "&amp;ROUND(H477-AR477,0)&amp;" Stk / CHF "&amp;ROUND((H477-AR477)*G477,0)&amp;"; ","")&amp;IF(AND(CA477=1,CB477&lt;CC477),"MAX &lt; MB+LG; ","")&amp;IF(AND(CG477&gt;0,CF477*10&gt;CG477),"zu hoch für Tablar; ","")&amp;IF(AND(BP477=0,OR(CA477=1,AA477&lt;&gt;"",U477&lt;&gt;"",V477&lt;&gt;"",AB477&lt;&gt;"")),"manuell übersteuert; ","")&amp;IF(AND(BT477=0,R477=0),"Gebinde unbekannt / Stellmass fehlt; ","")&amp;IF(AND(BT477=0,N(V477)&lt;=0,N(Q477)&lt;=0),"Menge pro Gebinde fehlt (Ist = 1 Gebinde); ","")&amp;BO477)</f>
        <v>Kein Verbrauch; Neuer Art.</v>
      </c>
      <c r="BH477" s="55"/>
      <c r="BI477" s="55"/>
      <c r="BJ477" s="62"/>
      <c r="BK477" s="57" t="n">
        <v>1</v>
      </c>
      <c r="BL477" s="57" t="n">
        <v>7</v>
      </c>
      <c r="BM477" s="56" t="n">
        <v>51</v>
      </c>
      <c r="BN477" s="57" t="n">
        <v>0</v>
      </c>
      <c r="BO477" s="55" t="s">
        <v>512</v>
      </c>
      <c r="BP477" s="60" t="n">
        <v>0</v>
      </c>
      <c r="BQ477" s="60" t="n">
        <v>477</v>
      </c>
      <c r="BR477" s="55" t="str">
        <f aca="false">IF(U477&lt;&gt;"",UPPER(TRIM(U477)),IF(BU477=1,UPPER(VLOOKUP(T477,Parameter!$I$27:$K$29,2,0)),IF(P477="","LOSE",P477)))</f>
        <v>S51</v>
      </c>
      <c r="BS477" s="57" t="n">
        <f aca="false">IF(BR477="LOSE",1,IF(N(V477)&gt;0,V477,IF(BU477=1,MAX(1,N(VLOOKUP(T477,Parameter!$I$27:$K$29,3,0)),H477,N(N477)),IF(N(Q477)&gt;0,Q477,MAX(1,H477)))))</f>
        <v>10</v>
      </c>
      <c r="BT477" s="60" t="n">
        <f aca="false">IF(BR477="LOSE",1,0)</f>
        <v>0</v>
      </c>
      <c r="BU477" s="60" t="n">
        <f aca="false">IF(AND(U477="",OR(P477="",P477="LOSE"),T477&lt;&gt;"",N(S477)&lt;=0,ISNUMBER(MATCH(T477,Parameter!$I$27:$I$29,0))),1,0)</f>
        <v>0</v>
      </c>
      <c r="BV477" s="55" t="str">
        <f aca="false">IF(AND(Parameter!$B$19="Ja",E477&lt;&gt;"",ISNUMBER(MATCH(E477,Parameter!$I$35:$I$52,0))),VLOOKUP(E477,Parameter!$I$35:$J$52,2,0),IFERROR(VLOOKUP(D477,Parameter!$A$35:$C$64,2,0),"Nein"))</f>
        <v>2+3</v>
      </c>
      <c r="BW477" s="59" t="n">
        <f aca="false">IF(BT477=0,0,IF(N(S477)&gt;0,S477,IFERROR(VLOOKUP(D477,Parameter!$A$35:$C$64,3,0)+0,0)))</f>
        <v>0</v>
      </c>
      <c r="BX477" s="55" t="n">
        <f aca="false">IF(AA477&lt;&gt;"",AA477,Z477)</f>
        <v>3</v>
      </c>
      <c r="BY477" s="55" t="str">
        <f aca="false">IF(BX477=1,"L1",IF(OR(BX477=2,BX477=3),"L23",IF(BX477="Aussen","Aussen","-")))</f>
        <v>L23</v>
      </c>
      <c r="BZ477" s="66" t="n">
        <f aca="false">IF(N(AB477)&gt;0,AB477,0)</f>
        <v>0</v>
      </c>
      <c r="CA477" s="60" t="n">
        <f aca="false">IF(ISNUMBER(AE477),1,0)</f>
        <v>0</v>
      </c>
      <c r="CB477" s="57" t="n">
        <f aca="false">N(AE477)</f>
        <v>0</v>
      </c>
      <c r="CC477" s="57" t="n">
        <f aca="false">N(M477)+N(N477)</f>
        <v>1</v>
      </c>
      <c r="CD477" s="57" t="n">
        <f aca="false">ROUNDUP(H477/BS477,0)</f>
        <v>1</v>
      </c>
      <c r="CE477" s="57" t="n">
        <f aca="false">ROUNDUP(CB477/BS477,0)</f>
        <v>0</v>
      </c>
      <c r="CF477" s="60" t="n">
        <f aca="false">IF(BT477=1,0,IFERROR(VLOOKUP(BR477,'Gebinde-Kategorie'!$A$5:$M$45,5,0)+0,0))</f>
        <v>11</v>
      </c>
      <c r="CG477" s="60" t="n">
        <f aca="false">IFERROR(IF(OR(BX477=1,BX477=2,BX477=3),N(INDEX(Parameter!$I$5:$I$7,BX477)),0),0)</f>
        <v>0</v>
      </c>
      <c r="CH477" s="59" t="n">
        <f aca="false">IF(AND(Parameter!$B$21="Ja",ISNUMBER(W477),N(X477)&gt;0),IFERROR(N(INDEX(Parameter!$L$5:$L$7,W477))*INDEX(Parameter!$E$5:$E$7,W477)*X477/SUMIFS($X$7:$X$1843,$W$7:$W$1843,W477),0),0)</f>
        <v>0</v>
      </c>
    </row>
    <row r="478" customFormat="false" ht="15" hidden="false" customHeight="false" outlineLevel="0" collapsed="false">
      <c r="A478" s="55" t="s">
        <v>1064</v>
      </c>
      <c r="B478" s="55" t="s">
        <v>1065</v>
      </c>
      <c r="C478" s="55" t="s">
        <v>164</v>
      </c>
      <c r="D478" s="55" t="s">
        <v>184</v>
      </c>
      <c r="E478" s="55" t="s">
        <v>185</v>
      </c>
      <c r="F478" s="55" t="s">
        <v>218</v>
      </c>
      <c r="G478" s="56" t="n">
        <v>6.71</v>
      </c>
      <c r="H478" s="57" t="n">
        <f aca="false">MAX(0,IF(AND(Parameter!$B$21="Ja",ISNUMBER(Y478)),Y478,IF(Parameter!$B$20="Jahresanfang 2025 + Export",BL478+BK478,BK478)))</f>
        <v>10</v>
      </c>
      <c r="I478" s="57" t="n">
        <f aca="false">H478*G478</f>
        <v>67.1</v>
      </c>
      <c r="J478" s="57" t="n">
        <f aca="false">BN478*Parameter!$B$18</f>
        <v>12</v>
      </c>
      <c r="K478" s="58" t="n">
        <v>2.5</v>
      </c>
      <c r="L478" s="59" t="n">
        <v>4.8</v>
      </c>
      <c r="M478" s="57" t="n">
        <v>0</v>
      </c>
      <c r="N478" s="57" t="n">
        <v>10</v>
      </c>
      <c r="O478" s="60" t="n">
        <v>14</v>
      </c>
      <c r="P478" s="55" t="s">
        <v>476</v>
      </c>
      <c r="Q478" s="57" t="n">
        <v>15</v>
      </c>
      <c r="R478" s="60" t="n">
        <f aca="false">IF(BT478=1,0,IFERROR(VLOOKUP(BR478,'Gebinde-Kategorie'!$A$5:$M$45,13,0)+0,0))</f>
        <v>66</v>
      </c>
      <c r="S478" s="61"/>
      <c r="T478" s="62"/>
      <c r="U478" s="62"/>
      <c r="V478" s="62"/>
      <c r="W478" s="55"/>
      <c r="X478" s="57"/>
      <c r="Y478" s="57"/>
      <c r="Z478" s="55" t="n">
        <f aca="false">IF(A478="","",IF(AND(Parameter!$B$21="Ja",ISNUMBER(W478)),W478,IF(BV478="2+3",IF(ISNUMBER(SEARCH("grosser Artikel",BO478)),2,IFERROR(VLOOKUP(BR478,Parameter!$F$35:$G$64,2,0),2)),IF(OR(BV478="Nein",BV478=""),"-",BV478))))</f>
        <v>3</v>
      </c>
      <c r="AA478" s="62"/>
      <c r="AB478" s="63"/>
      <c r="AC478" s="57" t="n">
        <f aca="false">AR478</f>
        <v>15</v>
      </c>
      <c r="AD478" s="57" t="n">
        <f aca="false">MAX(AR478,H478)</f>
        <v>15</v>
      </c>
      <c r="AE478" s="64"/>
      <c r="AF478" s="57" t="n">
        <f aca="false">IF(LEFT(Cockpit!$C$5,1)="A",H478,IF(CA478=1,CB478,IF(LEFT(Cockpit!$C$5,1)="B",AJ478,MAX(AJ478,H478))))</f>
        <v>10</v>
      </c>
      <c r="AG478" s="57" t="n">
        <f aca="false">IF(BT478=1,0,ROUNDUP(AF478/BS478,0))</f>
        <v>1</v>
      </c>
      <c r="AH478" s="59" t="n">
        <f aca="false">IF(CH478&gt;0,CH478*MAX(1,AF478/X478),IF(BT478=1,IF(AF478&lt;=0,0,BW478*MAX(1,IF(H478&gt;0,AF478/H478,1))),IF(R478&gt;0,AG478/R478,0))/MAX(0.1,N(Parameter!$M$21)))</f>
        <v>0.0151515151515152</v>
      </c>
      <c r="AI478" s="57" t="n">
        <f aca="false">AF478*G478</f>
        <v>67.1</v>
      </c>
      <c r="AJ478" s="57" t="n">
        <f aca="false">ROUNDUP(MAX(J478/IF(BZ478&gt;0,BZ478,MAX(0.1,N(Cockpit!$C$6))),CC478)/BS478,0)*BS478</f>
        <v>15</v>
      </c>
      <c r="AK478" s="58" t="n">
        <f aca="false">IF(AH478&gt;0,J478/AH478,-1)</f>
        <v>792</v>
      </c>
      <c r="AL478" s="58" t="n">
        <f aca="false">IF(AND(OR(BY478="L1",BY478="L23"),AH478&gt;0),SUMIFS($AH$7:$AH$1843,$BY$7:$BY$1843,BY478,$AK$7:$AK$1843,"&gt;"&amp;AK478)+SUMIFS($AH$7:$AH$1843,$BY$7:$BY$1843,BY478,$AK$7:$AK$1843,AK478,$BQ$7:$BQ$1843,"&lt;="&amp;BQ478),"")</f>
        <v>20.7775835275835</v>
      </c>
      <c r="AM478" s="65" t="n">
        <f aca="false">IF(AL478="",0,MAX(0,MIN(1,(IF(BY478="L1",Parameter!$E$5,Parameter!$E$6+Parameter!$E$7)-(AL478-AH478))/AH478)))</f>
        <v>1</v>
      </c>
      <c r="AN478" s="57" t="n">
        <f aca="false">IF(LEFT(Cockpit!$I$5,1)="A",H478,IF(CA478=1,CB478,IF(LEFT(Cockpit!$I$5,1)="B",AR478,MAX(AR478,H478))))</f>
        <v>15</v>
      </c>
      <c r="AO478" s="57" t="n">
        <f aca="false">IF(BT478=1,0,ROUNDUP(AN478/BS478,0))</f>
        <v>1</v>
      </c>
      <c r="AP478" s="59" t="n">
        <f aca="false">IF(CH478&gt;0,CH478*MAX(1,AN478/X478),IF(BT478=1,IF(AN478&lt;=0,0,BW478*MAX(1,IF(H478&gt;0,AN478/H478,1))),IF(R478&gt;0,AO478/R478,0))/MAX(0.1,N(Parameter!$M$21)))</f>
        <v>0.0151515151515152</v>
      </c>
      <c r="AQ478" s="57" t="n">
        <f aca="false">AN478*G478</f>
        <v>100.65</v>
      </c>
      <c r="AR478" s="57" t="n">
        <f aca="false">ROUNDUP(MAX(J478/IF(BZ478&gt;0,BZ478,MAX(0.1,N(Cockpit!$I$6))),CC478)/BS478,0)*BS478</f>
        <v>15</v>
      </c>
      <c r="AS478" s="58" t="n">
        <f aca="false">IF(AP478&gt;0,J478/AP478,-1)</f>
        <v>792</v>
      </c>
      <c r="AT478" s="58" t="n">
        <f aca="false">IF(AND(OR(BY478="L1",BY478="L23"),AP478&gt;0),SUMIFS($AP$7:$AP$1843,$BY$7:$BY$1843,BY478,$AS$7:$AS$1843,"&gt;"&amp;AS478)+SUMIFS($AP$7:$AP$1843,$BY$7:$BY$1843,BY478,$AS$7:$AS$1843,AS478,$BQ$7:$BQ$1843,"&lt;="&amp;BQ478),"")</f>
        <v>26.5223303266782</v>
      </c>
      <c r="AU478" s="65" t="n">
        <f aca="false">IF(AT478="",0,MAX(0,MIN(1,(IF(BY478="L1",Parameter!$E$5,Parameter!$E$6+Parameter!$E$7)-(AT478-AP478))/AP478)))</f>
        <v>1</v>
      </c>
      <c r="AV478" s="57" t="n">
        <f aca="false">IF(LEFT(Cockpit!$O$5,1)="A",H478,IF(CA478=1,CB478,IF(LEFT(Cockpit!$O$5,1)="B",AZ478,MAX(AZ478,H478))))</f>
        <v>15</v>
      </c>
      <c r="AW478" s="57" t="n">
        <f aca="false">IF(BT478=1,0,ROUNDUP(AV478/BS478,0))</f>
        <v>1</v>
      </c>
      <c r="AX478" s="59" t="n">
        <f aca="false">IF(CH478&gt;0,CH478*MAX(1,AV478/X478),IF(BT478=1,IF(AV478&lt;=0,0,BW478*MAX(1,IF(H478&gt;0,AV478/H478,1))),IF(R478&gt;0,AW478/R478,0))/MAX(0.1,N(Parameter!$M$21)))</f>
        <v>0.0151515151515152</v>
      </c>
      <c r="AY478" s="57" t="n">
        <f aca="false">AV478*G478</f>
        <v>100.65</v>
      </c>
      <c r="AZ478" s="57" t="n">
        <f aca="false">ROUNDUP(MAX(J478/IF(BZ478&gt;0,BZ478,MAX(0.1,N(Cockpit!$O$6))),CC478)/BS478,0)*BS478</f>
        <v>15</v>
      </c>
      <c r="BA478" s="58" t="n">
        <f aca="false">IF(AX478&gt;0,J478/AX478,-1)</f>
        <v>792</v>
      </c>
      <c r="BB478" s="58" t="n">
        <f aca="false">IF(AND(OR(BY478="L1",BY478="L23"),AX478&gt;0),SUMIFS($AX$7:$AX$1843,$BY$7:$BY$1843,BY478,$BA$7:$BA$1843,"&gt;"&amp;BA478)+SUMIFS($AX$7:$AX$1843,$BY$7:$BY$1843,BY478,$BA$7:$BA$1843,BA478,$BQ$7:$BQ$1843,"&lt;="&amp;BQ478),"")</f>
        <v>25.9739620283099</v>
      </c>
      <c r="BC478" s="65" t="n">
        <f aca="false">IF(BB478="",0,MAX(0,MIN(1,(IF(BY478="L1",Parameter!$E$5,Parameter!$E$6+Parameter!$E$7)-(BB478-AX478))/AX478)))</f>
        <v>1</v>
      </c>
      <c r="BD478" s="55" t="str">
        <f aca="false">IF(AH478&lt;=0,"",IF(BY478="Aussen","Aussenlager",IF(BY478="-","Nicht im Lift",IF(AM478&gt;=1,"Lift",IF(AM478&lt;=0,"Aussenlager","teilweise")))))</f>
        <v>Lift</v>
      </c>
      <c r="BE478" s="55" t="str">
        <f aca="false">IF(AP478&lt;=0,"",IF(BY478="Aussen","Aussenlager",IF(BY478="-","Nicht im Lift",IF(AU478&gt;=1,"Lift",IF(AU478&lt;=0,"Aussenlager","teilweise")))))</f>
        <v>Lift</v>
      </c>
      <c r="BF478" s="55" t="str">
        <f aca="false">IF(AX478&lt;=0,"",IF(BY478="Aussen","Aussenlager",IF(BY478="-","Nicht im Lift",IF(BC478&gt;=1,"Lift",IF(BC478&lt;=0,"Aussenlager","teilweise")))))</f>
        <v>Lift</v>
      </c>
      <c r="BG478" s="55" t="str">
        <f aca="false">IF(A478="","",IF(BP478=1,"Neu; ","")&amp;IF(AND(BP478=0,BK478&lt;0),"negativer Bestand (Export "&amp;BK478&amp;"); ","")&amp;IF(J478&lt;=0,"Kein Verbrauch; ","")&amp;IF(CH478&gt;0,"Lift "&amp;W478&amp;" lt. Liftbericht (Fach "&amp;X478&amp;" Stk); ",IF(BU478=1,"Gebinde geschätzt ("&amp;T478&amp;"); ",IF(BT478=1,"Lose – Tablare geschätzt; ","")))&amp;IF(H478&gt;AR478,"Überbestand "&amp;ROUND(H478-AR478,0)&amp;" Stk / CHF "&amp;ROUND((H478-AR478)*G478,0)&amp;"; ","")&amp;IF(AND(CA478=1,CB478&lt;CC478),"MAX &lt; MB+LG; ","")&amp;IF(AND(CG478&gt;0,CF478*10&gt;CG478),"zu hoch für Tablar; ","")&amp;IF(AND(BP478=0,OR(CA478=1,AA478&lt;&gt;"",U478&lt;&gt;"",V478&lt;&gt;"",AB478&lt;&gt;"")),"manuell übersteuert; ","")&amp;IF(AND(BT478=0,R478=0),"Gebinde unbekannt / Stellmass fehlt; ","")&amp;IF(AND(BT478=0,N(V478)&lt;=0,N(Q478)&lt;=0),"Menge pro Gebinde fehlt (Ist = 1 Gebinde); ","")&amp;BO478)</f>
        <v/>
      </c>
      <c r="BH478" s="55"/>
      <c r="BI478" s="55"/>
      <c r="BJ478" s="62"/>
      <c r="BK478" s="57" t="n">
        <v>7</v>
      </c>
      <c r="BL478" s="57" t="n">
        <v>3</v>
      </c>
      <c r="BM478" s="56" t="n">
        <v>50.21</v>
      </c>
      <c r="BN478" s="57" t="n">
        <v>12</v>
      </c>
      <c r="BO478" s="55"/>
      <c r="BP478" s="60" t="n">
        <v>0</v>
      </c>
      <c r="BQ478" s="60" t="n">
        <v>478</v>
      </c>
      <c r="BR478" s="55" t="str">
        <f aca="false">IF(U478&lt;&gt;"",UPPER(TRIM(U478)),IF(BU478=1,UPPER(VLOOKUP(T478,Parameter!$I$27:$K$29,2,0)),IF(P478="","LOSE",P478)))</f>
        <v>S33</v>
      </c>
      <c r="BS478" s="57" t="n">
        <f aca="false">IF(BR478="LOSE",1,IF(N(V478)&gt;0,V478,IF(BU478=1,MAX(1,N(VLOOKUP(T478,Parameter!$I$27:$K$29,3,0)),H478,N(N478)),IF(N(Q478)&gt;0,Q478,MAX(1,H478)))))</f>
        <v>15</v>
      </c>
      <c r="BT478" s="60" t="n">
        <f aca="false">IF(BR478="LOSE",1,0)</f>
        <v>0</v>
      </c>
      <c r="BU478" s="60" t="n">
        <f aca="false">IF(AND(U478="",OR(P478="",P478="LOSE"),T478&lt;&gt;"",N(S478)&lt;=0,ISNUMBER(MATCH(T478,Parameter!$I$27:$I$29,0))),1,0)</f>
        <v>0</v>
      </c>
      <c r="BV478" s="55" t="str">
        <f aca="false">IF(AND(Parameter!$B$19="Ja",E478&lt;&gt;"",ISNUMBER(MATCH(E478,Parameter!$I$35:$I$52,0))),VLOOKUP(E478,Parameter!$I$35:$J$52,2,0),IFERROR(VLOOKUP(D478,Parameter!$A$35:$C$64,2,0),"Nein"))</f>
        <v>2+3</v>
      </c>
      <c r="BW478" s="59" t="n">
        <f aca="false">IF(BT478=0,0,IF(N(S478)&gt;0,S478,IFERROR(VLOOKUP(D478,Parameter!$A$35:$C$64,3,0)+0,0)))</f>
        <v>0</v>
      </c>
      <c r="BX478" s="55" t="n">
        <f aca="false">IF(AA478&lt;&gt;"",AA478,Z478)</f>
        <v>3</v>
      </c>
      <c r="BY478" s="55" t="str">
        <f aca="false">IF(BX478=1,"L1",IF(OR(BX478=2,BX478=3),"L23",IF(BX478="Aussen","Aussen","-")))</f>
        <v>L23</v>
      </c>
      <c r="BZ478" s="66" t="n">
        <f aca="false">IF(N(AB478)&gt;0,AB478,0)</f>
        <v>0</v>
      </c>
      <c r="CA478" s="60" t="n">
        <f aca="false">IF(ISNUMBER(AE478),1,0)</f>
        <v>0</v>
      </c>
      <c r="CB478" s="57" t="n">
        <f aca="false">N(AE478)</f>
        <v>0</v>
      </c>
      <c r="CC478" s="57" t="n">
        <f aca="false">N(M478)+N(N478)</f>
        <v>10</v>
      </c>
      <c r="CD478" s="57" t="n">
        <f aca="false">ROUNDUP(H478/BS478,0)</f>
        <v>1</v>
      </c>
      <c r="CE478" s="57" t="n">
        <f aca="false">ROUNDUP(CB478/BS478,0)</f>
        <v>0</v>
      </c>
      <c r="CF478" s="60" t="n">
        <f aca="false">IF(BT478=1,0,IFERROR(VLOOKUP(BR478,'Gebinde-Kategorie'!$A$5:$M$45,5,0)+0,0))</f>
        <v>8</v>
      </c>
      <c r="CG478" s="60" t="n">
        <f aca="false">IFERROR(IF(OR(BX478=1,BX478=2,BX478=3),N(INDEX(Parameter!$I$5:$I$7,BX478)),0),0)</f>
        <v>0</v>
      </c>
      <c r="CH478" s="59" t="n">
        <f aca="false">IF(AND(Parameter!$B$21="Ja",ISNUMBER(W478),N(X478)&gt;0),IFERROR(N(INDEX(Parameter!$L$5:$L$7,W478))*INDEX(Parameter!$E$5:$E$7,W478)*X478/SUMIFS($X$7:$X$1843,$W$7:$W$1843,W478),0),0)</f>
        <v>0</v>
      </c>
    </row>
    <row r="479" customFormat="false" ht="15" hidden="false" customHeight="false" outlineLevel="0" collapsed="false">
      <c r="A479" s="55" t="s">
        <v>1066</v>
      </c>
      <c r="B479" s="55" t="s">
        <v>947</v>
      </c>
      <c r="C479" s="55" t="s">
        <v>164</v>
      </c>
      <c r="D479" s="55" t="s">
        <v>184</v>
      </c>
      <c r="E479" s="55" t="s">
        <v>185</v>
      </c>
      <c r="F479" s="55" t="s">
        <v>218</v>
      </c>
      <c r="G479" s="56" t="n">
        <v>6.27</v>
      </c>
      <c r="H479" s="57" t="n">
        <f aca="false">MAX(0,IF(AND(Parameter!$B$21="Ja",ISNUMBER(Y479)),Y479,IF(Parameter!$B$20="Jahresanfang 2025 + Export",BL479+BK479,BK479)))</f>
        <v>208</v>
      </c>
      <c r="I479" s="57" t="n">
        <f aca="false">H479*G479</f>
        <v>1304.16</v>
      </c>
      <c r="J479" s="57" t="n">
        <f aca="false">BN479*Parameter!$B$18</f>
        <v>0</v>
      </c>
      <c r="K479" s="58" t="n">
        <v>204.5</v>
      </c>
      <c r="L479" s="59" t="n">
        <v>0</v>
      </c>
      <c r="M479" s="57" t="n">
        <v>0</v>
      </c>
      <c r="N479" s="57" t="n">
        <v>1</v>
      </c>
      <c r="O479" s="60" t="n">
        <v>35</v>
      </c>
      <c r="P479" s="55" t="s">
        <v>186</v>
      </c>
      <c r="Q479" s="57" t="n">
        <v>210</v>
      </c>
      <c r="R479" s="60" t="n">
        <f aca="false">IF(BT479=1,0,IFERROR(VLOOKUP(BR479,'Gebinde-Kategorie'!$A$5:$M$45,13,0)+0,0))</f>
        <v>12</v>
      </c>
      <c r="S479" s="61"/>
      <c r="T479" s="62"/>
      <c r="U479" s="62"/>
      <c r="V479" s="62"/>
      <c r="W479" s="55"/>
      <c r="X479" s="57"/>
      <c r="Y479" s="57"/>
      <c r="Z479" s="55" t="n">
        <f aca="false">IF(A479="","",IF(AND(Parameter!$B$21="Ja",ISNUMBER(W479)),W479,IF(BV479="2+3",IF(ISNUMBER(SEARCH("grosser Artikel",BO479)),2,IFERROR(VLOOKUP(BR479,Parameter!$F$35:$G$64,2,0),2)),IF(OR(BV479="Nein",BV479=""),"-",BV479))))</f>
        <v>2</v>
      </c>
      <c r="AA479" s="62"/>
      <c r="AB479" s="63"/>
      <c r="AC479" s="57" t="n">
        <f aca="false">AR479</f>
        <v>210</v>
      </c>
      <c r="AD479" s="57" t="n">
        <f aca="false">MAX(AR479,H479)</f>
        <v>210</v>
      </c>
      <c r="AE479" s="64"/>
      <c r="AF479" s="57" t="n">
        <f aca="false">IF(LEFT(Cockpit!$C$5,1)="A",H479,IF(CA479=1,CB479,IF(LEFT(Cockpit!$C$5,1)="B",AJ479,MAX(AJ479,H479))))</f>
        <v>208</v>
      </c>
      <c r="AG479" s="57" t="n">
        <f aca="false">IF(BT479=1,0,ROUNDUP(AF479/BS479,0))</f>
        <v>1</v>
      </c>
      <c r="AH479" s="59" t="n">
        <f aca="false">IF(CH479&gt;0,CH479*MAX(1,AF479/X479),IF(BT479=1,IF(AF479&lt;=0,0,BW479*MAX(1,IF(H479&gt;0,AF479/H479,1))),IF(R479&gt;0,AG479/R479,0))/MAX(0.1,N(Parameter!$M$21)))</f>
        <v>0.0833333333333333</v>
      </c>
      <c r="AI479" s="57" t="n">
        <f aca="false">AF479*G479</f>
        <v>1304.16</v>
      </c>
      <c r="AJ479" s="57" t="n">
        <f aca="false">ROUNDUP(MAX(J479/IF(BZ479&gt;0,BZ479,MAX(0.1,N(Cockpit!$C$6))),CC479)/BS479,0)*BS479</f>
        <v>210</v>
      </c>
      <c r="AK479" s="58" t="n">
        <f aca="false">IF(AH479&gt;0,J479/AH479,-1)</f>
        <v>0</v>
      </c>
      <c r="AL479" s="58" t="n">
        <f aca="false">IF(AND(OR(BY479="L1",BY479="L23"),AH479&gt;0),SUMIFS($AH$7:$AH$1843,$BY$7:$BY$1843,BY479,$AK$7:$AK$1843,"&gt;"&amp;AK479)+SUMIFS($AH$7:$AH$1843,$BY$7:$BY$1843,BY479,$AK$7:$AK$1843,AK479,$BQ$7:$BQ$1843,"&lt;="&amp;BQ479),"")</f>
        <v>74.394125198473</v>
      </c>
      <c r="AM479" s="65" t="n">
        <f aca="false">IF(AL479="",0,MAX(0,MIN(1,(IF(BY479="L1",Parameter!$E$5,Parameter!$E$6+Parameter!$E$7)-(AL479-AH479))/AH479)))</f>
        <v>1</v>
      </c>
      <c r="AN479" s="57" t="n">
        <f aca="false">IF(LEFT(Cockpit!$I$5,1)="A",H479,IF(CA479=1,CB479,IF(LEFT(Cockpit!$I$5,1)="B",AR479,MAX(AR479,H479))))</f>
        <v>210</v>
      </c>
      <c r="AO479" s="57" t="n">
        <f aca="false">IF(BT479=1,0,ROUNDUP(AN479/BS479,0))</f>
        <v>1</v>
      </c>
      <c r="AP479" s="59" t="n">
        <f aca="false">IF(CH479&gt;0,CH479*MAX(1,AN479/X479),IF(BT479=1,IF(AN479&lt;=0,0,BW479*MAX(1,IF(H479&gt;0,AN479/H479,1))),IF(R479&gt;0,AO479/R479,0))/MAX(0.1,N(Parameter!$M$21)))</f>
        <v>0.0833333333333333</v>
      </c>
      <c r="AQ479" s="57" t="n">
        <f aca="false">AN479*G479</f>
        <v>1316.7</v>
      </c>
      <c r="AR479" s="57" t="n">
        <f aca="false">ROUNDUP(MAX(J479/IF(BZ479&gt;0,BZ479,MAX(0.1,N(Cockpit!$I$6))),CC479)/BS479,0)*BS479</f>
        <v>210</v>
      </c>
      <c r="AS479" s="58" t="n">
        <f aca="false">IF(AP479&gt;0,J479/AP479,-1)</f>
        <v>0</v>
      </c>
      <c r="AT479" s="58" t="n">
        <f aca="false">IF(AND(OR(BY479="L1",BY479="L23"),AP479&gt;0),SUMIFS($AP$7:$AP$1843,$BY$7:$BY$1843,BY479,$AS$7:$AS$1843,"&gt;"&amp;AS479)+SUMIFS($AP$7:$AP$1843,$BY$7:$BY$1843,BY479,$AS$7:$AS$1843,AS479,$BQ$7:$BQ$1843,"&lt;="&amp;BQ479),"")</f>
        <v>113.818249383467</v>
      </c>
      <c r="AU479" s="65" t="n">
        <f aca="false">IF(AT479="",0,MAX(0,MIN(1,(IF(BY479="L1",Parameter!$E$5,Parameter!$E$6+Parameter!$E$7)-(AT479-AP479))/AP479)))</f>
        <v>0</v>
      </c>
      <c r="AV479" s="57" t="n">
        <f aca="false">IF(LEFT(Cockpit!$O$5,1)="A",H479,IF(CA479=1,CB479,IF(LEFT(Cockpit!$O$5,1)="B",AZ479,MAX(AZ479,H479))))</f>
        <v>210</v>
      </c>
      <c r="AW479" s="57" t="n">
        <f aca="false">IF(BT479=1,0,ROUNDUP(AV479/BS479,0))</f>
        <v>1</v>
      </c>
      <c r="AX479" s="59" t="n">
        <f aca="false">IF(CH479&gt;0,CH479*MAX(1,AV479/X479),IF(BT479=1,IF(AV479&lt;=0,0,BW479*MAX(1,IF(H479&gt;0,AV479/H479,1))),IF(R479&gt;0,AW479/R479,0))/MAX(0.1,N(Parameter!$M$21)))</f>
        <v>0.0833333333333333</v>
      </c>
      <c r="AY479" s="57" t="n">
        <f aca="false">AV479*G479</f>
        <v>1316.7</v>
      </c>
      <c r="AZ479" s="57" t="n">
        <f aca="false">ROUNDUP(MAX(J479/IF(BZ479&gt;0,BZ479,MAX(0.1,N(Cockpit!$O$6))),CC479)/BS479,0)*BS479</f>
        <v>210</v>
      </c>
      <c r="BA479" s="58" t="n">
        <f aca="false">IF(AX479&gt;0,J479/AX479,-1)</f>
        <v>0</v>
      </c>
      <c r="BB479" s="58" t="n">
        <f aca="false">IF(AND(OR(BY479="L1",BY479="L23"),AX479&gt;0),SUMIFS($AX$7:$AX$1843,$BY$7:$BY$1843,BY479,$BA$7:$BA$1843,"&gt;"&amp;BA479)+SUMIFS($AX$7:$AX$1843,$BY$7:$BY$1843,BY479,$BA$7:$BA$1843,BA479,$BQ$7:$BQ$1843,"&lt;="&amp;BQ479),"")</f>
        <v>104.648086213304</v>
      </c>
      <c r="BC479" s="65" t="n">
        <f aca="false">IF(BB479="",0,MAX(0,MIN(1,(IF(BY479="L1",Parameter!$E$5,Parameter!$E$6+Parameter!$E$7)-(BB479-AX479))/AX479)))</f>
        <v>0</v>
      </c>
      <c r="BD479" s="55" t="str">
        <f aca="false">IF(AH479&lt;=0,"",IF(BY479="Aussen","Aussenlager",IF(BY479="-","Nicht im Lift",IF(AM479&gt;=1,"Lift",IF(AM479&lt;=0,"Aussenlager","teilweise")))))</f>
        <v>Lift</v>
      </c>
      <c r="BE479" s="55" t="str">
        <f aca="false">IF(AP479&lt;=0,"",IF(BY479="Aussen","Aussenlager",IF(BY479="-","Nicht im Lift",IF(AU479&gt;=1,"Lift",IF(AU479&lt;=0,"Aussenlager","teilweise")))))</f>
        <v>Aussenlager</v>
      </c>
      <c r="BF479" s="55" t="str">
        <f aca="false">IF(AX479&lt;=0,"",IF(BY479="Aussen","Aussenlager",IF(BY479="-","Nicht im Lift",IF(BC479&gt;=1,"Lift",IF(BC479&lt;=0,"Aussenlager","teilweise")))))</f>
        <v>Aussenlager</v>
      </c>
      <c r="BG479" s="55" t="str">
        <f aca="false">IF(A479="","",IF(BP479=1,"Neu; ","")&amp;IF(AND(BP479=0,BK479&lt;0),"negativer Bestand (Export "&amp;BK479&amp;"); ","")&amp;IF(J479&lt;=0,"Kein Verbrauch; ","")&amp;IF(CH479&gt;0,"Lift "&amp;W479&amp;" lt. Liftbericht (Fach "&amp;X479&amp;" Stk); ",IF(BU479=1,"Gebinde geschätzt ("&amp;T479&amp;"); ",IF(BT479=1,"Lose – Tablare geschätzt; ","")))&amp;IF(H479&gt;AR479,"Überbestand "&amp;ROUND(H479-AR479,0)&amp;" Stk / CHF "&amp;ROUND((H479-AR479)*G479,0)&amp;"; ","")&amp;IF(AND(CA479=1,CB479&lt;CC479),"MAX &lt; MB+LG; ","")&amp;IF(AND(CG479&gt;0,CF479*10&gt;CG479),"zu hoch für Tablar; ","")&amp;IF(AND(BP479=0,OR(CA479=1,AA479&lt;&gt;"",U479&lt;&gt;"",V479&lt;&gt;"",AB479&lt;&gt;"")),"manuell übersteuert; ","")&amp;IF(AND(BT479=0,R479=0),"Gebinde unbekannt / Stellmass fehlt; ","")&amp;IF(AND(BT479=0,N(V479)&lt;=0,N(Q479)&lt;=0),"Menge pro Gebinde fehlt (Ist = 1 Gebinde); ","")&amp;BO479)</f>
        <v>Kein Verbrauch; </v>
      </c>
      <c r="BH479" s="55"/>
      <c r="BI479" s="55"/>
      <c r="BJ479" s="62"/>
      <c r="BK479" s="57" t="n">
        <v>8</v>
      </c>
      <c r="BL479" s="57" t="n">
        <v>200</v>
      </c>
      <c r="BM479" s="56" t="n">
        <v>50.16</v>
      </c>
      <c r="BN479" s="57" t="n">
        <v>0</v>
      </c>
      <c r="BO479" s="55"/>
      <c r="BP479" s="60" t="n">
        <v>0</v>
      </c>
      <c r="BQ479" s="60" t="n">
        <v>479</v>
      </c>
      <c r="BR479" s="55" t="str">
        <f aca="false">IF(U479&lt;&gt;"",UPPER(TRIM(U479)),IF(BU479=1,UPPER(VLOOKUP(T479,Parameter!$I$27:$K$29,2,0)),IF(P479="","LOSE",P479)))</f>
        <v>S61</v>
      </c>
      <c r="BS479" s="57" t="n">
        <f aca="false">IF(BR479="LOSE",1,IF(N(V479)&gt;0,V479,IF(BU479=1,MAX(1,N(VLOOKUP(T479,Parameter!$I$27:$K$29,3,0)),H479,N(N479)),IF(N(Q479)&gt;0,Q479,MAX(1,H479)))))</f>
        <v>210</v>
      </c>
      <c r="BT479" s="60" t="n">
        <f aca="false">IF(BR479="LOSE",1,0)</f>
        <v>0</v>
      </c>
      <c r="BU479" s="60" t="n">
        <f aca="false">IF(AND(U479="",OR(P479="",P479="LOSE"),T479&lt;&gt;"",N(S479)&lt;=0,ISNUMBER(MATCH(T479,Parameter!$I$27:$I$29,0))),1,0)</f>
        <v>0</v>
      </c>
      <c r="BV479" s="55" t="str">
        <f aca="false">IF(AND(Parameter!$B$19="Ja",E479&lt;&gt;"",ISNUMBER(MATCH(E479,Parameter!$I$35:$I$52,0))),VLOOKUP(E479,Parameter!$I$35:$J$52,2,0),IFERROR(VLOOKUP(D479,Parameter!$A$35:$C$64,2,0),"Nein"))</f>
        <v>2+3</v>
      </c>
      <c r="BW479" s="59" t="n">
        <f aca="false">IF(BT479=0,0,IF(N(S479)&gt;0,S479,IFERROR(VLOOKUP(D479,Parameter!$A$35:$C$64,3,0)+0,0)))</f>
        <v>0</v>
      </c>
      <c r="BX479" s="55" t="n">
        <f aca="false">IF(AA479&lt;&gt;"",AA479,Z479)</f>
        <v>2</v>
      </c>
      <c r="BY479" s="55" t="str">
        <f aca="false">IF(BX479=1,"L1",IF(OR(BX479=2,BX479=3),"L23",IF(BX479="Aussen","Aussen","-")))</f>
        <v>L23</v>
      </c>
      <c r="BZ479" s="66" t="n">
        <f aca="false">IF(N(AB479)&gt;0,AB479,0)</f>
        <v>0</v>
      </c>
      <c r="CA479" s="60" t="n">
        <f aca="false">IF(ISNUMBER(AE479),1,0)</f>
        <v>0</v>
      </c>
      <c r="CB479" s="57" t="n">
        <f aca="false">N(AE479)</f>
        <v>0</v>
      </c>
      <c r="CC479" s="57" t="n">
        <f aca="false">N(M479)+N(N479)</f>
        <v>1</v>
      </c>
      <c r="CD479" s="57" t="n">
        <f aca="false">ROUNDUP(H479/BS479,0)</f>
        <v>1</v>
      </c>
      <c r="CE479" s="57" t="n">
        <f aca="false">ROUNDUP(CB479/BS479,0)</f>
        <v>0</v>
      </c>
      <c r="CF479" s="60" t="n">
        <f aca="false">IF(BT479=1,0,IFERROR(VLOOKUP(BR479,'Gebinde-Kategorie'!$A$5:$M$45,5,0)+0,0))</f>
        <v>11</v>
      </c>
      <c r="CG479" s="60" t="n">
        <f aca="false">IFERROR(IF(OR(BX479=1,BX479=2,BX479=3),N(INDEX(Parameter!$I$5:$I$7,BX479)),0),0)</f>
        <v>0</v>
      </c>
      <c r="CH479" s="59" t="n">
        <f aca="false">IF(AND(Parameter!$B$21="Ja",ISNUMBER(W479),N(X479)&gt;0),IFERROR(N(INDEX(Parameter!$L$5:$L$7,W479))*INDEX(Parameter!$E$5:$E$7,W479)*X479/SUMIFS($X$7:$X$1843,$W$7:$W$1843,W479),0),0)</f>
        <v>0</v>
      </c>
    </row>
    <row r="480" customFormat="false" ht="15" hidden="false" customHeight="false" outlineLevel="0" collapsed="false">
      <c r="A480" s="55" t="s">
        <v>1067</v>
      </c>
      <c r="B480" s="55" t="s">
        <v>1068</v>
      </c>
      <c r="C480" s="55" t="s">
        <v>164</v>
      </c>
      <c r="D480" s="55" t="s">
        <v>184</v>
      </c>
      <c r="E480" s="55"/>
      <c r="F480" s="55" t="s">
        <v>218</v>
      </c>
      <c r="G480" s="56" t="n">
        <v>2</v>
      </c>
      <c r="H480" s="57" t="n">
        <f aca="false">MAX(0,IF(AND(Parameter!$B$21="Ja",ISNUMBER(Y480)),Y480,IF(Parameter!$B$20="Jahresanfang 2025 + Export",BL480+BK480,BK480)))</f>
        <v>25</v>
      </c>
      <c r="I480" s="57" t="n">
        <f aca="false">H480*G480</f>
        <v>50</v>
      </c>
      <c r="J480" s="57" t="n">
        <f aca="false">BN480*Parameter!$B$18</f>
        <v>0</v>
      </c>
      <c r="K480" s="58" t="n">
        <v>0</v>
      </c>
      <c r="L480" s="59" t="n">
        <v>0</v>
      </c>
      <c r="M480" s="57" t="n">
        <v>0</v>
      </c>
      <c r="N480" s="57" t="n">
        <v>5</v>
      </c>
      <c r="O480" s="60" t="n">
        <v>9999</v>
      </c>
      <c r="P480" s="55" t="s">
        <v>168</v>
      </c>
      <c r="Q480" s="57"/>
      <c r="R480" s="60" t="n">
        <f aca="false">IF(BT480=1,0,IFERROR(VLOOKUP(BR480,'Gebinde-Kategorie'!$A$5:$M$45,13,0)+0,0))</f>
        <v>26</v>
      </c>
      <c r="S480" s="61"/>
      <c r="T480" s="62" t="s">
        <v>275</v>
      </c>
      <c r="U480" s="62"/>
      <c r="V480" s="62"/>
      <c r="W480" s="55"/>
      <c r="X480" s="57"/>
      <c r="Y480" s="57"/>
      <c r="Z480" s="55" t="n">
        <f aca="false">IF(A480="","",IF(AND(Parameter!$B$21="Ja",ISNUMBER(W480)),W480,IF(BV480="2+3",IF(ISNUMBER(SEARCH("grosser Artikel",BO480)),2,IFERROR(VLOOKUP(BR480,Parameter!$F$35:$G$64,2,0),2)),IF(OR(BV480="Nein",BV480=""),"-",BV480))))</f>
        <v>3</v>
      </c>
      <c r="AA480" s="62"/>
      <c r="AB480" s="63"/>
      <c r="AC480" s="57" t="n">
        <f aca="false">AR480</f>
        <v>25</v>
      </c>
      <c r="AD480" s="57" t="n">
        <f aca="false">MAX(AR480,H480)</f>
        <v>25</v>
      </c>
      <c r="AE480" s="64"/>
      <c r="AF480" s="57" t="n">
        <f aca="false">IF(LEFT(Cockpit!$C$5,1)="A",H480,IF(CA480=1,CB480,IF(LEFT(Cockpit!$C$5,1)="B",AJ480,MAX(AJ480,H480))))</f>
        <v>25</v>
      </c>
      <c r="AG480" s="57" t="n">
        <f aca="false">IF(BT480=1,0,ROUNDUP(AF480/BS480,0))</f>
        <v>1</v>
      </c>
      <c r="AH480" s="59" t="n">
        <f aca="false">IF(CH480&gt;0,CH480*MAX(1,AF480/X480),IF(BT480=1,IF(AF480&lt;=0,0,BW480*MAX(1,IF(H480&gt;0,AF480/H480,1))),IF(R480&gt;0,AG480/R480,0))/MAX(0.1,N(Parameter!$M$21)))</f>
        <v>0.0384615384615385</v>
      </c>
      <c r="AI480" s="57" t="n">
        <f aca="false">AF480*G480</f>
        <v>50</v>
      </c>
      <c r="AJ480" s="57" t="n">
        <f aca="false">ROUNDUP(MAX(J480/IF(BZ480&gt;0,BZ480,MAX(0.1,N(Cockpit!$C$6))),CC480)/BS480,0)*BS480</f>
        <v>25</v>
      </c>
      <c r="AK480" s="58" t="n">
        <f aca="false">IF(AH480&gt;0,J480/AH480,-1)</f>
        <v>0</v>
      </c>
      <c r="AL480" s="58" t="n">
        <f aca="false">IF(AND(OR(BY480="L1",BY480="L23"),AH480&gt;0),SUMIFS($AH$7:$AH$1843,$BY$7:$BY$1843,BY480,$AK$7:$AK$1843,"&gt;"&amp;AK480)+SUMIFS($AH$7:$AH$1843,$BY$7:$BY$1843,BY480,$AK$7:$AK$1843,AK480,$BQ$7:$BQ$1843,"&lt;="&amp;BQ480),"")</f>
        <v>74.4325867369346</v>
      </c>
      <c r="AM480" s="65" t="n">
        <f aca="false">IF(AL480="",0,MAX(0,MIN(1,(IF(BY480="L1",Parameter!$E$5,Parameter!$E$6+Parameter!$E$7)-(AL480-AH480))/AH480)))</f>
        <v>1</v>
      </c>
      <c r="AN480" s="57" t="n">
        <f aca="false">IF(LEFT(Cockpit!$I$5,1)="A",H480,IF(CA480=1,CB480,IF(LEFT(Cockpit!$I$5,1)="B",AR480,MAX(AR480,H480))))</f>
        <v>25</v>
      </c>
      <c r="AO480" s="57" t="n">
        <f aca="false">IF(BT480=1,0,ROUNDUP(AN480/BS480,0))</f>
        <v>1</v>
      </c>
      <c r="AP480" s="59" t="n">
        <f aca="false">IF(CH480&gt;0,CH480*MAX(1,AN480/X480),IF(BT480=1,IF(AN480&lt;=0,0,BW480*MAX(1,IF(H480&gt;0,AN480/H480,1))),IF(R480&gt;0,AO480/R480,0))/MAX(0.1,N(Parameter!$M$21)))</f>
        <v>0.0384615384615385</v>
      </c>
      <c r="AQ480" s="57" t="n">
        <f aca="false">AN480*G480</f>
        <v>50</v>
      </c>
      <c r="AR480" s="57" t="n">
        <f aca="false">ROUNDUP(MAX(J480/IF(BZ480&gt;0,BZ480,MAX(0.1,N(Cockpit!$I$6))),CC480)/BS480,0)*BS480</f>
        <v>25</v>
      </c>
      <c r="AS480" s="58" t="n">
        <f aca="false">IF(AP480&gt;0,J480/AP480,-1)</f>
        <v>0</v>
      </c>
      <c r="AT480" s="58" t="n">
        <f aca="false">IF(AND(OR(BY480="L1",BY480="L23"),AP480&gt;0),SUMIFS($AP$7:$AP$1843,$BY$7:$BY$1843,BY480,$AS$7:$AS$1843,"&gt;"&amp;AS480)+SUMIFS($AP$7:$AP$1843,$BY$7:$BY$1843,BY480,$AS$7:$AS$1843,AS480,$BQ$7:$BQ$1843,"&lt;="&amp;BQ480),"")</f>
        <v>113.856710921928</v>
      </c>
      <c r="AU480" s="65" t="n">
        <f aca="false">IF(AT480="",0,MAX(0,MIN(1,(IF(BY480="L1",Parameter!$E$5,Parameter!$E$6+Parameter!$E$7)-(AT480-AP480))/AP480)))</f>
        <v>0</v>
      </c>
      <c r="AV480" s="57" t="n">
        <f aca="false">IF(LEFT(Cockpit!$O$5,1)="A",H480,IF(CA480=1,CB480,IF(LEFT(Cockpit!$O$5,1)="B",AZ480,MAX(AZ480,H480))))</f>
        <v>25</v>
      </c>
      <c r="AW480" s="57" t="n">
        <f aca="false">IF(BT480=1,0,ROUNDUP(AV480/BS480,0))</f>
        <v>1</v>
      </c>
      <c r="AX480" s="59" t="n">
        <f aca="false">IF(CH480&gt;0,CH480*MAX(1,AV480/X480),IF(BT480=1,IF(AV480&lt;=0,0,BW480*MAX(1,IF(H480&gt;0,AV480/H480,1))),IF(R480&gt;0,AW480/R480,0))/MAX(0.1,N(Parameter!$M$21)))</f>
        <v>0.0384615384615385</v>
      </c>
      <c r="AY480" s="57" t="n">
        <f aca="false">AV480*G480</f>
        <v>50</v>
      </c>
      <c r="AZ480" s="57" t="n">
        <f aca="false">ROUNDUP(MAX(J480/IF(BZ480&gt;0,BZ480,MAX(0.1,N(Cockpit!$O$6))),CC480)/BS480,0)*BS480</f>
        <v>25</v>
      </c>
      <c r="BA480" s="58" t="n">
        <f aca="false">IF(AX480&gt;0,J480/AX480,-1)</f>
        <v>0</v>
      </c>
      <c r="BB480" s="58" t="n">
        <f aca="false">IF(AND(OR(BY480="L1",BY480="L23"),AX480&gt;0),SUMIFS($AX$7:$AX$1843,$BY$7:$BY$1843,BY480,$BA$7:$BA$1843,"&gt;"&amp;BA480)+SUMIFS($AX$7:$AX$1843,$BY$7:$BY$1843,BY480,$BA$7:$BA$1843,BA480,$BQ$7:$BQ$1843,"&lt;="&amp;BQ480),"")</f>
        <v>104.686547751765</v>
      </c>
      <c r="BC480" s="65" t="n">
        <f aca="false">IF(BB480="",0,MAX(0,MIN(1,(IF(BY480="L1",Parameter!$E$5,Parameter!$E$6+Parameter!$E$7)-(BB480-AX480))/AX480)))</f>
        <v>0</v>
      </c>
      <c r="BD480" s="55" t="str">
        <f aca="false">IF(AH480&lt;=0,"",IF(BY480="Aussen","Aussenlager",IF(BY480="-","Nicht im Lift",IF(AM480&gt;=1,"Lift",IF(AM480&lt;=0,"Aussenlager","teilweise")))))</f>
        <v>Lift</v>
      </c>
      <c r="BE480" s="55" t="str">
        <f aca="false">IF(AP480&lt;=0,"",IF(BY480="Aussen","Aussenlager",IF(BY480="-","Nicht im Lift",IF(AU480&gt;=1,"Lift",IF(AU480&lt;=0,"Aussenlager","teilweise")))))</f>
        <v>Aussenlager</v>
      </c>
      <c r="BF480" s="55" t="str">
        <f aca="false">IF(AX480&lt;=0,"",IF(BY480="Aussen","Aussenlager",IF(BY480="-","Nicht im Lift",IF(BC480&gt;=1,"Lift",IF(BC480&lt;=0,"Aussenlager","teilweise")))))</f>
        <v>Aussenlager</v>
      </c>
      <c r="BG480" s="55" t="str">
        <f aca="false">IF(A480="","",IF(BP480=1,"Neu; ","")&amp;IF(AND(BP480=0,BK480&lt;0),"negativer Bestand (Export "&amp;BK480&amp;"); ","")&amp;IF(J480&lt;=0,"Kein Verbrauch; ","")&amp;IF(CH480&gt;0,"Lift "&amp;W480&amp;" lt. Liftbericht (Fach "&amp;X480&amp;" Stk); ",IF(BU480=1,"Gebinde geschätzt ("&amp;T480&amp;"); ",IF(BT480=1,"Lose – Tablare geschätzt; ","")))&amp;IF(H480&gt;AR480,"Überbestand "&amp;ROUND(H480-AR480,0)&amp;" Stk / CHF "&amp;ROUND((H480-AR480)*G480,0)&amp;"; ","")&amp;IF(AND(CA480=1,CB480&lt;CC480),"MAX &lt; MB+LG; ","")&amp;IF(AND(CG480&gt;0,CF480*10&gt;CG480),"zu hoch für Tablar; ","")&amp;IF(AND(BP480=0,OR(CA480=1,AA480&lt;&gt;"",U480&lt;&gt;"",V480&lt;&gt;"",AB480&lt;&gt;"")),"manuell übersteuert; ","")&amp;IF(AND(BT480=0,R480=0),"Gebinde unbekannt / Stellmass fehlt; ","")&amp;IF(AND(BT480=0,N(V480)&lt;=0,N(Q480)&lt;=0),"Menge pro Gebinde fehlt (Ist = 1 Gebinde); ","")&amp;BO480)</f>
        <v>Kein Verbrauch; Gebinde geschätzt (Klein); Menge pro Gebinde fehlt (Ist = 1 Gebinde); </v>
      </c>
      <c r="BH480" s="55"/>
      <c r="BI480" s="55"/>
      <c r="BJ480" s="62"/>
      <c r="BK480" s="57" t="n">
        <v>25</v>
      </c>
      <c r="BL480" s="57" t="n">
        <v>0</v>
      </c>
      <c r="BM480" s="56" t="n">
        <v>50</v>
      </c>
      <c r="BN480" s="57" t="n">
        <v>0</v>
      </c>
      <c r="BO480" s="55"/>
      <c r="BP480" s="60" t="n">
        <v>0</v>
      </c>
      <c r="BQ480" s="60" t="n">
        <v>480</v>
      </c>
      <c r="BR480" s="55" t="str">
        <f aca="false">IF(U480&lt;&gt;"",UPPER(TRIM(U480)),IF(BU480=1,UPPER(VLOOKUP(T480,Parameter!$I$27:$K$29,2,0)),IF(P480="","LOSE",P480)))</f>
        <v>S51</v>
      </c>
      <c r="BS480" s="57" t="n">
        <f aca="false">IF(BR480="LOSE",1,IF(N(V480)&gt;0,V480,IF(BU480=1,MAX(1,N(VLOOKUP(T480,Parameter!$I$27:$K$29,3,0)),H480,N(N480)),IF(N(Q480)&gt;0,Q480,MAX(1,H480)))))</f>
        <v>25</v>
      </c>
      <c r="BT480" s="60" t="n">
        <f aca="false">IF(BR480="LOSE",1,0)</f>
        <v>0</v>
      </c>
      <c r="BU480" s="60" t="n">
        <f aca="false">IF(AND(U480="",OR(P480="",P480="LOSE"),T480&lt;&gt;"",N(S480)&lt;=0,ISNUMBER(MATCH(T480,Parameter!$I$27:$I$29,0))),1,0)</f>
        <v>1</v>
      </c>
      <c r="BV480" s="55" t="str">
        <f aca="false">IF(AND(Parameter!$B$19="Ja",E480&lt;&gt;"",ISNUMBER(MATCH(E480,Parameter!$I$35:$I$52,0))),VLOOKUP(E480,Parameter!$I$35:$J$52,2,0),IFERROR(VLOOKUP(D480,Parameter!$A$35:$C$64,2,0),"Nein"))</f>
        <v>2+3</v>
      </c>
      <c r="BW480" s="59" t="n">
        <f aca="false">IF(BT480=0,0,IF(N(S480)&gt;0,S480,IFERROR(VLOOKUP(D480,Parameter!$A$35:$C$64,3,0)+0,0)))</f>
        <v>0</v>
      </c>
      <c r="BX480" s="55" t="n">
        <f aca="false">IF(AA480&lt;&gt;"",AA480,Z480)</f>
        <v>3</v>
      </c>
      <c r="BY480" s="55" t="str">
        <f aca="false">IF(BX480=1,"L1",IF(OR(BX480=2,BX480=3),"L23",IF(BX480="Aussen","Aussen","-")))</f>
        <v>L23</v>
      </c>
      <c r="BZ480" s="66" t="n">
        <f aca="false">IF(N(AB480)&gt;0,AB480,0)</f>
        <v>0</v>
      </c>
      <c r="CA480" s="60" t="n">
        <f aca="false">IF(ISNUMBER(AE480),1,0)</f>
        <v>0</v>
      </c>
      <c r="CB480" s="57" t="n">
        <f aca="false">N(AE480)</f>
        <v>0</v>
      </c>
      <c r="CC480" s="57" t="n">
        <f aca="false">N(M480)+N(N480)</f>
        <v>5</v>
      </c>
      <c r="CD480" s="57" t="n">
        <f aca="false">ROUNDUP(H480/BS480,0)</f>
        <v>1</v>
      </c>
      <c r="CE480" s="57" t="n">
        <f aca="false">ROUNDUP(CB480/BS480,0)</f>
        <v>0</v>
      </c>
      <c r="CF480" s="60" t="n">
        <f aca="false">IF(BT480=1,0,IFERROR(VLOOKUP(BR480,'Gebinde-Kategorie'!$A$5:$M$45,5,0)+0,0))</f>
        <v>11</v>
      </c>
      <c r="CG480" s="60" t="n">
        <f aca="false">IFERROR(IF(OR(BX480=1,BX480=2,BX480=3),N(INDEX(Parameter!$I$5:$I$7,BX480)),0),0)</f>
        <v>0</v>
      </c>
      <c r="CH480" s="59" t="n">
        <f aca="false">IF(AND(Parameter!$B$21="Ja",ISNUMBER(W480),N(X480)&gt;0),IFERROR(N(INDEX(Parameter!$L$5:$L$7,W480))*INDEX(Parameter!$E$5:$E$7,W480)*X480/SUMIFS($X$7:$X$1843,$W$7:$W$1843,W480),0),0)</f>
        <v>0</v>
      </c>
    </row>
    <row r="481" customFormat="false" ht="15" hidden="false" customHeight="false" outlineLevel="0" collapsed="false">
      <c r="A481" s="55" t="s">
        <v>1069</v>
      </c>
      <c r="B481" s="55" t="s">
        <v>1070</v>
      </c>
      <c r="C481" s="55" t="s">
        <v>164</v>
      </c>
      <c r="D481" s="55" t="s">
        <v>184</v>
      </c>
      <c r="E481" s="55" t="s">
        <v>185</v>
      </c>
      <c r="F481" s="55" t="s">
        <v>218</v>
      </c>
      <c r="G481" s="56" t="n">
        <v>45.76</v>
      </c>
      <c r="H481" s="57" t="n">
        <f aca="false">MAX(0,IF(AND(Parameter!$B$21="Ja",ISNUMBER(Y481)),Y481,IF(Parameter!$B$20="Jahresanfang 2025 + Export",BL481+BK481,BK481)))</f>
        <v>16</v>
      </c>
      <c r="I481" s="57" t="n">
        <f aca="false">H481*G481</f>
        <v>732.16</v>
      </c>
      <c r="J481" s="57" t="n">
        <f aca="false">BN481*Parameter!$B$18</f>
        <v>20</v>
      </c>
      <c r="K481" s="58" t="n">
        <v>12.5</v>
      </c>
      <c r="L481" s="59" t="n">
        <v>1.6</v>
      </c>
      <c r="M481" s="57" t="n">
        <v>1</v>
      </c>
      <c r="N481" s="57" t="n">
        <v>20</v>
      </c>
      <c r="O481" s="60" t="n">
        <v>18</v>
      </c>
      <c r="P481" s="55" t="s">
        <v>476</v>
      </c>
      <c r="Q481" s="57" t="n">
        <v>15</v>
      </c>
      <c r="R481" s="60" t="n">
        <f aca="false">IF(BT481=1,0,IFERROR(VLOOKUP(BR481,'Gebinde-Kategorie'!$A$5:$M$45,13,0)+0,0))</f>
        <v>66</v>
      </c>
      <c r="S481" s="61"/>
      <c r="T481" s="62"/>
      <c r="U481" s="62"/>
      <c r="V481" s="62"/>
      <c r="W481" s="55"/>
      <c r="X481" s="57"/>
      <c r="Y481" s="57"/>
      <c r="Z481" s="55" t="n">
        <f aca="false">IF(A481="","",IF(AND(Parameter!$B$21="Ja",ISNUMBER(W481)),W481,IF(BV481="2+3",IF(ISNUMBER(SEARCH("grosser Artikel",BO481)),2,IFERROR(VLOOKUP(BR481,Parameter!$F$35:$G$64,2,0),2)),IF(OR(BV481="Nein",BV481=""),"-",BV481))))</f>
        <v>3</v>
      </c>
      <c r="AA481" s="62"/>
      <c r="AB481" s="63"/>
      <c r="AC481" s="57" t="n">
        <f aca="false">AR481</f>
        <v>30</v>
      </c>
      <c r="AD481" s="57" t="n">
        <f aca="false">MAX(AR481,H481)</f>
        <v>30</v>
      </c>
      <c r="AE481" s="64"/>
      <c r="AF481" s="57" t="n">
        <f aca="false">IF(LEFT(Cockpit!$C$5,1)="A",H481,IF(CA481=1,CB481,IF(LEFT(Cockpit!$C$5,1)="B",AJ481,MAX(AJ481,H481))))</f>
        <v>16</v>
      </c>
      <c r="AG481" s="57" t="n">
        <f aca="false">IF(BT481=1,0,ROUNDUP(AF481/BS481,0))</f>
        <v>2</v>
      </c>
      <c r="AH481" s="59" t="n">
        <f aca="false">IF(CH481&gt;0,CH481*MAX(1,AF481/X481),IF(BT481=1,IF(AF481&lt;=0,0,BW481*MAX(1,IF(H481&gt;0,AF481/H481,1))),IF(R481&gt;0,AG481/R481,0))/MAX(0.1,N(Parameter!$M$21)))</f>
        <v>0.0303030303030303</v>
      </c>
      <c r="AI481" s="57" t="n">
        <f aca="false">AF481*G481</f>
        <v>732.16</v>
      </c>
      <c r="AJ481" s="57" t="n">
        <f aca="false">ROUNDUP(MAX(J481/IF(BZ481&gt;0,BZ481,MAX(0.1,N(Cockpit!$C$6))),CC481)/BS481,0)*BS481</f>
        <v>30</v>
      </c>
      <c r="AK481" s="58" t="n">
        <f aca="false">IF(AH481&gt;0,J481/AH481,-1)</f>
        <v>660</v>
      </c>
      <c r="AL481" s="58" t="n">
        <f aca="false">IF(AND(OR(BY481="L1",BY481="L23"),AH481&gt;0),SUMIFS($AH$7:$AH$1843,$BY$7:$BY$1843,BY481,$AK$7:$AK$1843,"&gt;"&amp;AK481)+SUMIFS($AH$7:$AH$1843,$BY$7:$BY$1843,BY481,$AK$7:$AK$1843,AK481,$BQ$7:$BQ$1843,"&lt;="&amp;BQ481),"")</f>
        <v>22.3207070707071</v>
      </c>
      <c r="AM481" s="65" t="n">
        <f aca="false">IF(AL481="",0,MAX(0,MIN(1,(IF(BY481="L1",Parameter!$E$5,Parameter!$E$6+Parameter!$E$7)-(AL481-AH481))/AH481)))</f>
        <v>1</v>
      </c>
      <c r="AN481" s="57" t="n">
        <f aca="false">IF(LEFT(Cockpit!$I$5,1)="A",H481,IF(CA481=1,CB481,IF(LEFT(Cockpit!$I$5,1)="B",AR481,MAX(AR481,H481))))</f>
        <v>30</v>
      </c>
      <c r="AO481" s="57" t="n">
        <f aca="false">IF(BT481=1,0,ROUNDUP(AN481/BS481,0))</f>
        <v>2</v>
      </c>
      <c r="AP481" s="59" t="n">
        <f aca="false">IF(CH481&gt;0,CH481*MAX(1,AN481/X481),IF(BT481=1,IF(AN481&lt;=0,0,BW481*MAX(1,IF(H481&gt;0,AN481/H481,1))),IF(R481&gt;0,AO481/R481,0))/MAX(0.1,N(Parameter!$M$21)))</f>
        <v>0.0303030303030303</v>
      </c>
      <c r="AQ481" s="57" t="n">
        <f aca="false">AN481*G481</f>
        <v>1372.8</v>
      </c>
      <c r="AR481" s="57" t="n">
        <f aca="false">ROUNDUP(MAX(J481/IF(BZ481&gt;0,BZ481,MAX(0.1,N(Cockpit!$I$6))),CC481)/BS481,0)*BS481</f>
        <v>30</v>
      </c>
      <c r="AS481" s="58" t="n">
        <f aca="false">IF(AP481&gt;0,J481/AP481,-1)</f>
        <v>660</v>
      </c>
      <c r="AT481" s="58" t="n">
        <f aca="false">IF(AND(OR(BY481="L1",BY481="L23"),AP481&gt;0),SUMIFS($AP$7:$AP$1843,$BY$7:$BY$1843,BY481,$AS$7:$AS$1843,"&gt;"&amp;AS481)+SUMIFS($AP$7:$AP$1843,$BY$7:$BY$1843,BY481,$AS$7:$AS$1843,AS481,$BQ$7:$BQ$1843,"&lt;="&amp;BQ481),"")</f>
        <v>29.9564795108273</v>
      </c>
      <c r="AU481" s="65" t="n">
        <f aca="false">IF(AT481="",0,MAX(0,MIN(1,(IF(BY481="L1",Parameter!$E$5,Parameter!$E$6+Parameter!$E$7)-(AT481-AP481))/AP481)))</f>
        <v>1</v>
      </c>
      <c r="AV481" s="57" t="n">
        <f aca="false">IF(LEFT(Cockpit!$O$5,1)="A",H481,IF(CA481=1,CB481,IF(LEFT(Cockpit!$O$5,1)="B",AZ481,MAX(AZ481,H481))))</f>
        <v>30</v>
      </c>
      <c r="AW481" s="57" t="n">
        <f aca="false">IF(BT481=1,0,ROUNDUP(AV481/BS481,0))</f>
        <v>2</v>
      </c>
      <c r="AX481" s="59" t="n">
        <f aca="false">IF(CH481&gt;0,CH481*MAX(1,AV481/X481),IF(BT481=1,IF(AV481&lt;=0,0,BW481*MAX(1,IF(H481&gt;0,AV481/H481,1))),IF(R481&gt;0,AW481/R481,0))/MAX(0.1,N(Parameter!$M$21)))</f>
        <v>0.0303030303030303</v>
      </c>
      <c r="AY481" s="57" t="n">
        <f aca="false">AV481*G481</f>
        <v>1372.8</v>
      </c>
      <c r="AZ481" s="57" t="n">
        <f aca="false">ROUNDUP(MAX(J481/IF(BZ481&gt;0,BZ481,MAX(0.1,N(Cockpit!$O$6))),CC481)/BS481,0)*BS481</f>
        <v>30</v>
      </c>
      <c r="BA481" s="58" t="n">
        <f aca="false">IF(AX481&gt;0,J481/AX481,-1)</f>
        <v>660</v>
      </c>
      <c r="BB481" s="58" t="n">
        <f aca="false">IF(AND(OR(BY481="L1",BY481="L23"),AX481&gt;0),SUMIFS($AX$7:$AX$1843,$BY$7:$BY$1843,BY481,$BA$7:$BA$1843,"&gt;"&amp;BA481)+SUMIFS($AX$7:$AX$1843,$BY$7:$BY$1843,BY481,$BA$7:$BA$1843,BA481,$BQ$7:$BQ$1843,"&lt;="&amp;BQ481),"")</f>
        <v>28.658111212459</v>
      </c>
      <c r="BC481" s="65" t="n">
        <f aca="false">IF(BB481="",0,MAX(0,MIN(1,(IF(BY481="L1",Parameter!$E$5,Parameter!$E$6+Parameter!$E$7)-(BB481-AX481))/AX481)))</f>
        <v>1</v>
      </c>
      <c r="BD481" s="55" t="str">
        <f aca="false">IF(AH481&lt;=0,"",IF(BY481="Aussen","Aussenlager",IF(BY481="-","Nicht im Lift",IF(AM481&gt;=1,"Lift",IF(AM481&lt;=0,"Aussenlager","teilweise")))))</f>
        <v>Lift</v>
      </c>
      <c r="BE481" s="55" t="str">
        <f aca="false">IF(AP481&lt;=0,"",IF(BY481="Aussen","Aussenlager",IF(BY481="-","Nicht im Lift",IF(AU481&gt;=1,"Lift",IF(AU481&lt;=0,"Aussenlager","teilweise")))))</f>
        <v>Lift</v>
      </c>
      <c r="BF481" s="55" t="str">
        <f aca="false">IF(AX481&lt;=0,"",IF(BY481="Aussen","Aussenlager",IF(BY481="-","Nicht im Lift",IF(BC481&gt;=1,"Lift",IF(BC481&lt;=0,"Aussenlager","teilweise")))))</f>
        <v>Lift</v>
      </c>
      <c r="BG481" s="55" t="str">
        <f aca="false">IF(A481="","",IF(BP481=1,"Neu; ","")&amp;IF(AND(BP481=0,BK481&lt;0),"negativer Bestand (Export "&amp;BK481&amp;"); ","")&amp;IF(J481&lt;=0,"Kein Verbrauch; ","")&amp;IF(CH481&gt;0,"Lift "&amp;W481&amp;" lt. Liftbericht (Fach "&amp;X481&amp;" Stk); ",IF(BU481=1,"Gebinde geschätzt ("&amp;T481&amp;"); ",IF(BT481=1,"Lose – Tablare geschätzt; ","")))&amp;IF(H481&gt;AR481,"Überbestand "&amp;ROUND(H481-AR481,0)&amp;" Stk / CHF "&amp;ROUND((H481-AR481)*G481,0)&amp;"; ","")&amp;IF(AND(CA481=1,CB481&lt;CC481),"MAX &lt; MB+LG; ","")&amp;IF(AND(CG481&gt;0,CF481*10&gt;CG481),"zu hoch für Tablar; ","")&amp;IF(AND(BP481=0,OR(CA481=1,AA481&lt;&gt;"",U481&lt;&gt;"",V481&lt;&gt;"",AB481&lt;&gt;"")),"manuell übersteuert; ","")&amp;IF(AND(BT481=0,R481=0),"Gebinde unbekannt / Stellmass fehlt; ","")&amp;IF(AND(BT481=0,N(V481)&lt;=0,N(Q481)&lt;=0),"Menge pro Gebinde fehlt (Ist = 1 Gebinde); ","")&amp;BO481)</f>
        <v/>
      </c>
      <c r="BH481" s="55"/>
      <c r="BI481" s="55"/>
      <c r="BJ481" s="62"/>
      <c r="BK481" s="57" t="n">
        <v>1</v>
      </c>
      <c r="BL481" s="57" t="n">
        <v>15</v>
      </c>
      <c r="BM481" s="56" t="n">
        <v>48.31</v>
      </c>
      <c r="BN481" s="57" t="n">
        <v>20</v>
      </c>
      <c r="BO481" s="55"/>
      <c r="BP481" s="60" t="n">
        <v>0</v>
      </c>
      <c r="BQ481" s="60" t="n">
        <v>481</v>
      </c>
      <c r="BR481" s="55" t="str">
        <f aca="false">IF(U481&lt;&gt;"",UPPER(TRIM(U481)),IF(BU481=1,UPPER(VLOOKUP(T481,Parameter!$I$27:$K$29,2,0)),IF(P481="","LOSE",P481)))</f>
        <v>S33</v>
      </c>
      <c r="BS481" s="57" t="n">
        <f aca="false">IF(BR481="LOSE",1,IF(N(V481)&gt;0,V481,IF(BU481=1,MAX(1,N(VLOOKUP(T481,Parameter!$I$27:$K$29,3,0)),H481,N(N481)),IF(N(Q481)&gt;0,Q481,MAX(1,H481)))))</f>
        <v>15</v>
      </c>
      <c r="BT481" s="60" t="n">
        <f aca="false">IF(BR481="LOSE",1,0)</f>
        <v>0</v>
      </c>
      <c r="BU481" s="60" t="n">
        <f aca="false">IF(AND(U481="",OR(P481="",P481="LOSE"),T481&lt;&gt;"",N(S481)&lt;=0,ISNUMBER(MATCH(T481,Parameter!$I$27:$I$29,0))),1,0)</f>
        <v>0</v>
      </c>
      <c r="BV481" s="55" t="str">
        <f aca="false">IF(AND(Parameter!$B$19="Ja",E481&lt;&gt;"",ISNUMBER(MATCH(E481,Parameter!$I$35:$I$52,0))),VLOOKUP(E481,Parameter!$I$35:$J$52,2,0),IFERROR(VLOOKUP(D481,Parameter!$A$35:$C$64,2,0),"Nein"))</f>
        <v>2+3</v>
      </c>
      <c r="BW481" s="59" t="n">
        <f aca="false">IF(BT481=0,0,IF(N(S481)&gt;0,S481,IFERROR(VLOOKUP(D481,Parameter!$A$35:$C$64,3,0)+0,0)))</f>
        <v>0</v>
      </c>
      <c r="BX481" s="55" t="n">
        <f aca="false">IF(AA481&lt;&gt;"",AA481,Z481)</f>
        <v>3</v>
      </c>
      <c r="BY481" s="55" t="str">
        <f aca="false">IF(BX481=1,"L1",IF(OR(BX481=2,BX481=3),"L23",IF(BX481="Aussen","Aussen","-")))</f>
        <v>L23</v>
      </c>
      <c r="BZ481" s="66" t="n">
        <f aca="false">IF(N(AB481)&gt;0,AB481,0)</f>
        <v>0</v>
      </c>
      <c r="CA481" s="60" t="n">
        <f aca="false">IF(ISNUMBER(AE481),1,0)</f>
        <v>0</v>
      </c>
      <c r="CB481" s="57" t="n">
        <f aca="false">N(AE481)</f>
        <v>0</v>
      </c>
      <c r="CC481" s="57" t="n">
        <f aca="false">N(M481)+N(N481)</f>
        <v>21</v>
      </c>
      <c r="CD481" s="57" t="n">
        <f aca="false">ROUNDUP(H481/BS481,0)</f>
        <v>2</v>
      </c>
      <c r="CE481" s="57" t="n">
        <f aca="false">ROUNDUP(CB481/BS481,0)</f>
        <v>0</v>
      </c>
      <c r="CF481" s="60" t="n">
        <f aca="false">IF(BT481=1,0,IFERROR(VLOOKUP(BR481,'Gebinde-Kategorie'!$A$5:$M$45,5,0)+0,0))</f>
        <v>8</v>
      </c>
      <c r="CG481" s="60" t="n">
        <f aca="false">IFERROR(IF(OR(BX481=1,BX481=2,BX481=3),N(INDEX(Parameter!$I$5:$I$7,BX481)),0),0)</f>
        <v>0</v>
      </c>
      <c r="CH481" s="59" t="n">
        <f aca="false">IF(AND(Parameter!$B$21="Ja",ISNUMBER(W481),N(X481)&gt;0),IFERROR(N(INDEX(Parameter!$L$5:$L$7,W481))*INDEX(Parameter!$E$5:$E$7,W481)*X481/SUMIFS($X$7:$X$1843,$W$7:$W$1843,W481),0),0)</f>
        <v>0</v>
      </c>
    </row>
    <row r="482" customFormat="false" ht="15" hidden="false" customHeight="false" outlineLevel="0" collapsed="false">
      <c r="A482" s="55" t="s">
        <v>1071</v>
      </c>
      <c r="B482" s="55" t="s">
        <v>374</v>
      </c>
      <c r="C482" s="55" t="s">
        <v>164</v>
      </c>
      <c r="D482" s="55" t="s">
        <v>184</v>
      </c>
      <c r="E482" s="55"/>
      <c r="F482" s="55" t="s">
        <v>218</v>
      </c>
      <c r="G482" s="56" t="n">
        <v>1.92</v>
      </c>
      <c r="H482" s="57" t="n">
        <f aca="false">MAX(0,IF(AND(Parameter!$B$21="Ja",ISNUMBER(Y482)),Y482,IF(Parameter!$B$20="Jahresanfang 2025 + Export",BL482+BK482,BK482)))</f>
        <v>25</v>
      </c>
      <c r="I482" s="57" t="n">
        <f aca="false">H482*G482</f>
        <v>48</v>
      </c>
      <c r="J482" s="57" t="n">
        <f aca="false">BN482*Parameter!$B$18</f>
        <v>0</v>
      </c>
      <c r="K482" s="58" t="n">
        <v>0</v>
      </c>
      <c r="L482" s="59" t="n">
        <v>0</v>
      </c>
      <c r="M482" s="57" t="n">
        <v>0</v>
      </c>
      <c r="N482" s="57" t="n">
        <v>1</v>
      </c>
      <c r="O482" s="60" t="n">
        <v>9999</v>
      </c>
      <c r="P482" s="55" t="s">
        <v>168</v>
      </c>
      <c r="Q482" s="57"/>
      <c r="R482" s="60" t="n">
        <f aca="false">IF(BT482=1,0,IFERROR(VLOOKUP(BR482,'Gebinde-Kategorie'!$A$5:$M$45,13,0)+0,0))</f>
        <v>26</v>
      </c>
      <c r="S482" s="61"/>
      <c r="T482" s="62" t="s">
        <v>275</v>
      </c>
      <c r="U482" s="62"/>
      <c r="V482" s="62"/>
      <c r="W482" s="55"/>
      <c r="X482" s="57"/>
      <c r="Y482" s="57"/>
      <c r="Z482" s="55" t="n">
        <f aca="false">IF(A482="","",IF(AND(Parameter!$B$21="Ja",ISNUMBER(W482)),W482,IF(BV482="2+3",IF(ISNUMBER(SEARCH("grosser Artikel",BO482)),2,IFERROR(VLOOKUP(BR482,Parameter!$F$35:$G$64,2,0),2)),IF(OR(BV482="Nein",BV482=""),"-",BV482))))</f>
        <v>3</v>
      </c>
      <c r="AA482" s="62"/>
      <c r="AB482" s="63"/>
      <c r="AC482" s="57" t="n">
        <f aca="false">AR482</f>
        <v>25</v>
      </c>
      <c r="AD482" s="57" t="n">
        <f aca="false">MAX(AR482,H482)</f>
        <v>25</v>
      </c>
      <c r="AE482" s="64"/>
      <c r="AF482" s="57" t="n">
        <f aca="false">IF(LEFT(Cockpit!$C$5,1)="A",H482,IF(CA482=1,CB482,IF(LEFT(Cockpit!$C$5,1)="B",AJ482,MAX(AJ482,H482))))</f>
        <v>25</v>
      </c>
      <c r="AG482" s="57" t="n">
        <f aca="false">IF(BT482=1,0,ROUNDUP(AF482/BS482,0))</f>
        <v>1</v>
      </c>
      <c r="AH482" s="59" t="n">
        <f aca="false">IF(CH482&gt;0,CH482*MAX(1,AF482/X482),IF(BT482=1,IF(AF482&lt;=0,0,BW482*MAX(1,IF(H482&gt;0,AF482/H482,1))),IF(R482&gt;0,AG482/R482,0))/MAX(0.1,N(Parameter!$M$21)))</f>
        <v>0.0384615384615385</v>
      </c>
      <c r="AI482" s="57" t="n">
        <f aca="false">AF482*G482</f>
        <v>48</v>
      </c>
      <c r="AJ482" s="57" t="n">
        <f aca="false">ROUNDUP(MAX(J482/IF(BZ482&gt;0,BZ482,MAX(0.1,N(Cockpit!$C$6))),CC482)/BS482,0)*BS482</f>
        <v>25</v>
      </c>
      <c r="AK482" s="58" t="n">
        <f aca="false">IF(AH482&gt;0,J482/AH482,-1)</f>
        <v>0</v>
      </c>
      <c r="AL482" s="58" t="n">
        <f aca="false">IF(AND(OR(BY482="L1",BY482="L23"),AH482&gt;0),SUMIFS($AH$7:$AH$1843,$BY$7:$BY$1843,BY482,$AK$7:$AK$1843,"&gt;"&amp;AK482)+SUMIFS($AH$7:$AH$1843,$BY$7:$BY$1843,BY482,$AK$7:$AK$1843,AK482,$BQ$7:$BQ$1843,"&lt;="&amp;BQ482),"")</f>
        <v>74.4710482753961</v>
      </c>
      <c r="AM482" s="65" t="n">
        <f aca="false">IF(AL482="",0,MAX(0,MIN(1,(IF(BY482="L1",Parameter!$E$5,Parameter!$E$6+Parameter!$E$7)-(AL482-AH482))/AH482)))</f>
        <v>1</v>
      </c>
      <c r="AN482" s="57" t="n">
        <f aca="false">IF(LEFT(Cockpit!$I$5,1)="A",H482,IF(CA482=1,CB482,IF(LEFT(Cockpit!$I$5,1)="B",AR482,MAX(AR482,H482))))</f>
        <v>25</v>
      </c>
      <c r="AO482" s="57" t="n">
        <f aca="false">IF(BT482=1,0,ROUNDUP(AN482/BS482,0))</f>
        <v>1</v>
      </c>
      <c r="AP482" s="59" t="n">
        <f aca="false">IF(CH482&gt;0,CH482*MAX(1,AN482/X482),IF(BT482=1,IF(AN482&lt;=0,0,BW482*MAX(1,IF(H482&gt;0,AN482/H482,1))),IF(R482&gt;0,AO482/R482,0))/MAX(0.1,N(Parameter!$M$21)))</f>
        <v>0.0384615384615385</v>
      </c>
      <c r="AQ482" s="57" t="n">
        <f aca="false">AN482*G482</f>
        <v>48</v>
      </c>
      <c r="AR482" s="57" t="n">
        <f aca="false">ROUNDUP(MAX(J482/IF(BZ482&gt;0,BZ482,MAX(0.1,N(Cockpit!$I$6))),CC482)/BS482,0)*BS482</f>
        <v>25</v>
      </c>
      <c r="AS482" s="58" t="n">
        <f aca="false">IF(AP482&gt;0,J482/AP482,-1)</f>
        <v>0</v>
      </c>
      <c r="AT482" s="58" t="n">
        <f aca="false">IF(AND(OR(BY482="L1",BY482="L23"),AP482&gt;0),SUMIFS($AP$7:$AP$1843,$BY$7:$BY$1843,BY482,$AS$7:$AS$1843,"&gt;"&amp;AS482)+SUMIFS($AP$7:$AP$1843,$BY$7:$BY$1843,BY482,$AS$7:$AS$1843,AS482,$BQ$7:$BQ$1843,"&lt;="&amp;BQ482),"")</f>
        <v>113.89517246039</v>
      </c>
      <c r="AU482" s="65" t="n">
        <f aca="false">IF(AT482="",0,MAX(0,MIN(1,(IF(BY482="L1",Parameter!$E$5,Parameter!$E$6+Parameter!$E$7)-(AT482-AP482))/AP482)))</f>
        <v>0</v>
      </c>
      <c r="AV482" s="57" t="n">
        <f aca="false">IF(LEFT(Cockpit!$O$5,1)="A",H482,IF(CA482=1,CB482,IF(LEFT(Cockpit!$O$5,1)="B",AZ482,MAX(AZ482,H482))))</f>
        <v>25</v>
      </c>
      <c r="AW482" s="57" t="n">
        <f aca="false">IF(BT482=1,0,ROUNDUP(AV482/BS482,0))</f>
        <v>1</v>
      </c>
      <c r="AX482" s="59" t="n">
        <f aca="false">IF(CH482&gt;0,CH482*MAX(1,AV482/X482),IF(BT482=1,IF(AV482&lt;=0,0,BW482*MAX(1,IF(H482&gt;0,AV482/H482,1))),IF(R482&gt;0,AW482/R482,0))/MAX(0.1,N(Parameter!$M$21)))</f>
        <v>0.0384615384615385</v>
      </c>
      <c r="AY482" s="57" t="n">
        <f aca="false">AV482*G482</f>
        <v>48</v>
      </c>
      <c r="AZ482" s="57" t="n">
        <f aca="false">ROUNDUP(MAX(J482/IF(BZ482&gt;0,BZ482,MAX(0.1,N(Cockpit!$O$6))),CC482)/BS482,0)*BS482</f>
        <v>25</v>
      </c>
      <c r="BA482" s="58" t="n">
        <f aca="false">IF(AX482&gt;0,J482/AX482,-1)</f>
        <v>0</v>
      </c>
      <c r="BB482" s="58" t="n">
        <f aca="false">IF(AND(OR(BY482="L1",BY482="L23"),AX482&gt;0),SUMIFS($AX$7:$AX$1843,$BY$7:$BY$1843,BY482,$BA$7:$BA$1843,"&gt;"&amp;BA482)+SUMIFS($AX$7:$AX$1843,$BY$7:$BY$1843,BY482,$BA$7:$BA$1843,BA482,$BQ$7:$BQ$1843,"&lt;="&amp;BQ482),"")</f>
        <v>104.725009290227</v>
      </c>
      <c r="BC482" s="65" t="n">
        <f aca="false">IF(BB482="",0,MAX(0,MIN(1,(IF(BY482="L1",Parameter!$E$5,Parameter!$E$6+Parameter!$E$7)-(BB482-AX482))/AX482)))</f>
        <v>0</v>
      </c>
      <c r="BD482" s="55" t="str">
        <f aca="false">IF(AH482&lt;=0,"",IF(BY482="Aussen","Aussenlager",IF(BY482="-","Nicht im Lift",IF(AM482&gt;=1,"Lift",IF(AM482&lt;=0,"Aussenlager","teilweise")))))</f>
        <v>Lift</v>
      </c>
      <c r="BE482" s="55" t="str">
        <f aca="false">IF(AP482&lt;=0,"",IF(BY482="Aussen","Aussenlager",IF(BY482="-","Nicht im Lift",IF(AU482&gt;=1,"Lift",IF(AU482&lt;=0,"Aussenlager","teilweise")))))</f>
        <v>Aussenlager</v>
      </c>
      <c r="BF482" s="55" t="str">
        <f aca="false">IF(AX482&lt;=0,"",IF(BY482="Aussen","Aussenlager",IF(BY482="-","Nicht im Lift",IF(BC482&gt;=1,"Lift",IF(BC482&lt;=0,"Aussenlager","teilweise")))))</f>
        <v>Aussenlager</v>
      </c>
      <c r="BG482" s="55" t="str">
        <f aca="false">IF(A482="","",IF(BP482=1,"Neu; ","")&amp;IF(AND(BP482=0,BK482&lt;0),"negativer Bestand (Export "&amp;BK482&amp;"); ","")&amp;IF(J482&lt;=0,"Kein Verbrauch; ","")&amp;IF(CH482&gt;0,"Lift "&amp;W482&amp;" lt. Liftbericht (Fach "&amp;X482&amp;" Stk); ",IF(BU482=1,"Gebinde geschätzt ("&amp;T482&amp;"); ",IF(BT482=1,"Lose – Tablare geschätzt; ","")))&amp;IF(H482&gt;AR482,"Überbestand "&amp;ROUND(H482-AR482,0)&amp;" Stk / CHF "&amp;ROUND((H482-AR482)*G482,0)&amp;"; ","")&amp;IF(AND(CA482=1,CB482&lt;CC482),"MAX &lt; MB+LG; ","")&amp;IF(AND(CG482&gt;0,CF482*10&gt;CG482),"zu hoch für Tablar; ","")&amp;IF(AND(BP482=0,OR(CA482=1,AA482&lt;&gt;"",U482&lt;&gt;"",V482&lt;&gt;"",AB482&lt;&gt;"")),"manuell übersteuert; ","")&amp;IF(AND(BT482=0,R482=0),"Gebinde unbekannt / Stellmass fehlt; ","")&amp;IF(AND(BT482=0,N(V482)&lt;=0,N(Q482)&lt;=0),"Menge pro Gebinde fehlt (Ist = 1 Gebinde); ","")&amp;BO482)</f>
        <v>Kein Verbrauch; Gebinde geschätzt (Klein); Menge pro Gebinde fehlt (Ist = 1 Gebinde); </v>
      </c>
      <c r="BH482" s="55"/>
      <c r="BI482" s="55"/>
      <c r="BJ482" s="62"/>
      <c r="BK482" s="57" t="n">
        <v>25</v>
      </c>
      <c r="BL482" s="57" t="n">
        <v>0</v>
      </c>
      <c r="BM482" s="56" t="n">
        <v>48</v>
      </c>
      <c r="BN482" s="57" t="n">
        <v>0</v>
      </c>
      <c r="BO482" s="55"/>
      <c r="BP482" s="60" t="n">
        <v>0</v>
      </c>
      <c r="BQ482" s="60" t="n">
        <v>482</v>
      </c>
      <c r="BR482" s="55" t="str">
        <f aca="false">IF(U482&lt;&gt;"",UPPER(TRIM(U482)),IF(BU482=1,UPPER(VLOOKUP(T482,Parameter!$I$27:$K$29,2,0)),IF(P482="","LOSE",P482)))</f>
        <v>S51</v>
      </c>
      <c r="BS482" s="57" t="n">
        <f aca="false">IF(BR482="LOSE",1,IF(N(V482)&gt;0,V482,IF(BU482=1,MAX(1,N(VLOOKUP(T482,Parameter!$I$27:$K$29,3,0)),H482,N(N482)),IF(N(Q482)&gt;0,Q482,MAX(1,H482)))))</f>
        <v>25</v>
      </c>
      <c r="BT482" s="60" t="n">
        <f aca="false">IF(BR482="LOSE",1,0)</f>
        <v>0</v>
      </c>
      <c r="BU482" s="60" t="n">
        <f aca="false">IF(AND(U482="",OR(P482="",P482="LOSE"),T482&lt;&gt;"",N(S482)&lt;=0,ISNUMBER(MATCH(T482,Parameter!$I$27:$I$29,0))),1,0)</f>
        <v>1</v>
      </c>
      <c r="BV482" s="55" t="str">
        <f aca="false">IF(AND(Parameter!$B$19="Ja",E482&lt;&gt;"",ISNUMBER(MATCH(E482,Parameter!$I$35:$I$52,0))),VLOOKUP(E482,Parameter!$I$35:$J$52,2,0),IFERROR(VLOOKUP(D482,Parameter!$A$35:$C$64,2,0),"Nein"))</f>
        <v>2+3</v>
      </c>
      <c r="BW482" s="59" t="n">
        <f aca="false">IF(BT482=0,0,IF(N(S482)&gt;0,S482,IFERROR(VLOOKUP(D482,Parameter!$A$35:$C$64,3,0)+0,0)))</f>
        <v>0</v>
      </c>
      <c r="BX482" s="55" t="n">
        <f aca="false">IF(AA482&lt;&gt;"",AA482,Z482)</f>
        <v>3</v>
      </c>
      <c r="BY482" s="55" t="str">
        <f aca="false">IF(BX482=1,"L1",IF(OR(BX482=2,BX482=3),"L23",IF(BX482="Aussen","Aussen","-")))</f>
        <v>L23</v>
      </c>
      <c r="BZ482" s="66" t="n">
        <f aca="false">IF(N(AB482)&gt;0,AB482,0)</f>
        <v>0</v>
      </c>
      <c r="CA482" s="60" t="n">
        <f aca="false">IF(ISNUMBER(AE482),1,0)</f>
        <v>0</v>
      </c>
      <c r="CB482" s="57" t="n">
        <f aca="false">N(AE482)</f>
        <v>0</v>
      </c>
      <c r="CC482" s="57" t="n">
        <f aca="false">N(M482)+N(N482)</f>
        <v>1</v>
      </c>
      <c r="CD482" s="57" t="n">
        <f aca="false">ROUNDUP(H482/BS482,0)</f>
        <v>1</v>
      </c>
      <c r="CE482" s="57" t="n">
        <f aca="false">ROUNDUP(CB482/BS482,0)</f>
        <v>0</v>
      </c>
      <c r="CF482" s="60" t="n">
        <f aca="false">IF(BT482=1,0,IFERROR(VLOOKUP(BR482,'Gebinde-Kategorie'!$A$5:$M$45,5,0)+0,0))</f>
        <v>11</v>
      </c>
      <c r="CG482" s="60" t="n">
        <f aca="false">IFERROR(IF(OR(BX482=1,BX482=2,BX482=3),N(INDEX(Parameter!$I$5:$I$7,BX482)),0),0)</f>
        <v>0</v>
      </c>
      <c r="CH482" s="59" t="n">
        <f aca="false">IF(AND(Parameter!$B$21="Ja",ISNUMBER(W482),N(X482)&gt;0),IFERROR(N(INDEX(Parameter!$L$5:$L$7,W482))*INDEX(Parameter!$E$5:$E$7,W482)*X482/SUMIFS($X$7:$X$1843,$W$7:$W$1843,W482),0),0)</f>
        <v>0</v>
      </c>
    </row>
    <row r="483" customFormat="false" ht="15" hidden="false" customHeight="false" outlineLevel="0" collapsed="false">
      <c r="A483" s="55" t="s">
        <v>1072</v>
      </c>
      <c r="B483" s="55" t="s">
        <v>1073</v>
      </c>
      <c r="C483" s="55" t="s">
        <v>164</v>
      </c>
      <c r="D483" s="55" t="s">
        <v>173</v>
      </c>
      <c r="E483" s="55"/>
      <c r="F483" s="55" t="s">
        <v>218</v>
      </c>
      <c r="G483" s="56" t="n">
        <v>48</v>
      </c>
      <c r="H483" s="57" t="n">
        <f aca="false">MAX(0,IF(AND(Parameter!$B$21="Ja",ISNUMBER(Y483)),Y483,IF(Parameter!$B$20="Jahresanfang 2025 + Export",BL483+BK483,BK483)))</f>
        <v>4</v>
      </c>
      <c r="I483" s="57" t="n">
        <f aca="false">H483*G483</f>
        <v>192</v>
      </c>
      <c r="J483" s="57" t="n">
        <f aca="false">BN483*Parameter!$B$18</f>
        <v>0</v>
      </c>
      <c r="K483" s="58" t="n">
        <v>3.5</v>
      </c>
      <c r="L483" s="59" t="n">
        <v>0</v>
      </c>
      <c r="M483" s="57" t="n">
        <v>0</v>
      </c>
      <c r="N483" s="57" t="n">
        <v>1</v>
      </c>
      <c r="O483" s="60" t="n">
        <v>21</v>
      </c>
      <c r="P483" s="55" t="s">
        <v>168</v>
      </c>
      <c r="Q483" s="57"/>
      <c r="R483" s="60" t="n">
        <f aca="false">IF(BT483=1,0,IFERROR(VLOOKUP(BR483,'Gebinde-Kategorie'!$A$5:$M$45,13,0)+0,0))</f>
        <v>12</v>
      </c>
      <c r="S483" s="61"/>
      <c r="T483" s="62" t="s">
        <v>179</v>
      </c>
      <c r="U483" s="62"/>
      <c r="V483" s="62"/>
      <c r="W483" s="55"/>
      <c r="X483" s="57"/>
      <c r="Y483" s="57"/>
      <c r="Z483" s="55" t="n">
        <f aca="false">IF(A483="","",IF(AND(Parameter!$B$21="Ja",ISNUMBER(W483)),W483,IF(BV483="2+3",IF(ISNUMBER(SEARCH("grosser Artikel",BO483)),2,IFERROR(VLOOKUP(BR483,Parameter!$F$35:$G$64,2,0),2)),IF(OR(BV483="Nein",BV483=""),"-",BV483))))</f>
        <v>2</v>
      </c>
      <c r="AA483" s="62"/>
      <c r="AB483" s="63"/>
      <c r="AC483" s="57" t="n">
        <f aca="false">AR483</f>
        <v>4</v>
      </c>
      <c r="AD483" s="57" t="n">
        <f aca="false">MAX(AR483,H483)</f>
        <v>4</v>
      </c>
      <c r="AE483" s="64"/>
      <c r="AF483" s="57" t="n">
        <f aca="false">IF(LEFT(Cockpit!$C$5,1)="A",H483,IF(CA483=1,CB483,IF(LEFT(Cockpit!$C$5,1)="B",AJ483,MAX(AJ483,H483))))</f>
        <v>4</v>
      </c>
      <c r="AG483" s="57" t="n">
        <f aca="false">IF(BT483=1,0,ROUNDUP(AF483/BS483,0))</f>
        <v>1</v>
      </c>
      <c r="AH483" s="59" t="n">
        <f aca="false">IF(CH483&gt;0,CH483*MAX(1,AF483/X483),IF(BT483=1,IF(AF483&lt;=0,0,BW483*MAX(1,IF(H483&gt;0,AF483/H483,1))),IF(R483&gt;0,AG483/R483,0))/MAX(0.1,N(Parameter!$M$21)))</f>
        <v>0.0833333333333333</v>
      </c>
      <c r="AI483" s="57" t="n">
        <f aca="false">AF483*G483</f>
        <v>192</v>
      </c>
      <c r="AJ483" s="57" t="n">
        <f aca="false">ROUNDUP(MAX(J483/IF(BZ483&gt;0,BZ483,MAX(0.1,N(Cockpit!$C$6))),CC483)/BS483,0)*BS483</f>
        <v>4</v>
      </c>
      <c r="AK483" s="58" t="n">
        <f aca="false">IF(AH483&gt;0,J483/AH483,-1)</f>
        <v>0</v>
      </c>
      <c r="AL483" s="58" t="n">
        <f aca="false">IF(AND(OR(BY483="L1",BY483="L23"),AH483&gt;0),SUMIFS($AH$7:$AH$1843,$BY$7:$BY$1843,BY483,$AK$7:$AK$1843,"&gt;"&amp;AK483)+SUMIFS($AH$7:$AH$1843,$BY$7:$BY$1843,BY483,$AK$7:$AK$1843,AK483,$BQ$7:$BQ$1843,"&lt;="&amp;BQ483),"")</f>
        <v>74.5543816087294</v>
      </c>
      <c r="AM483" s="65" t="n">
        <f aca="false">IF(AL483="",0,MAX(0,MIN(1,(IF(BY483="L1",Parameter!$E$5,Parameter!$E$6+Parameter!$E$7)-(AL483-AH483))/AH483)))</f>
        <v>1</v>
      </c>
      <c r="AN483" s="57" t="n">
        <f aca="false">IF(LEFT(Cockpit!$I$5,1)="A",H483,IF(CA483=1,CB483,IF(LEFT(Cockpit!$I$5,1)="B",AR483,MAX(AR483,H483))))</f>
        <v>4</v>
      </c>
      <c r="AO483" s="57" t="n">
        <f aca="false">IF(BT483=1,0,ROUNDUP(AN483/BS483,0))</f>
        <v>1</v>
      </c>
      <c r="AP483" s="59" t="n">
        <f aca="false">IF(CH483&gt;0,CH483*MAX(1,AN483/X483),IF(BT483=1,IF(AN483&lt;=0,0,BW483*MAX(1,IF(H483&gt;0,AN483/H483,1))),IF(R483&gt;0,AO483/R483,0))/MAX(0.1,N(Parameter!$M$21)))</f>
        <v>0.0833333333333333</v>
      </c>
      <c r="AQ483" s="57" t="n">
        <f aca="false">AN483*G483</f>
        <v>192</v>
      </c>
      <c r="AR483" s="57" t="n">
        <f aca="false">ROUNDUP(MAX(J483/IF(BZ483&gt;0,BZ483,MAX(0.1,N(Cockpit!$I$6))),CC483)/BS483,0)*BS483</f>
        <v>4</v>
      </c>
      <c r="AS483" s="58" t="n">
        <f aca="false">IF(AP483&gt;0,J483/AP483,-1)</f>
        <v>0</v>
      </c>
      <c r="AT483" s="58" t="n">
        <f aca="false">IF(AND(OR(BY483="L1",BY483="L23"),AP483&gt;0),SUMIFS($AP$7:$AP$1843,$BY$7:$BY$1843,BY483,$AS$7:$AS$1843,"&gt;"&amp;AS483)+SUMIFS($AP$7:$AP$1843,$BY$7:$BY$1843,BY483,$AS$7:$AS$1843,AS483,$BQ$7:$BQ$1843,"&lt;="&amp;BQ483),"")</f>
        <v>113.978505793723</v>
      </c>
      <c r="AU483" s="65" t="n">
        <f aca="false">IF(AT483="",0,MAX(0,MIN(1,(IF(BY483="L1",Parameter!$E$5,Parameter!$E$6+Parameter!$E$7)-(AT483-AP483))/AP483)))</f>
        <v>0</v>
      </c>
      <c r="AV483" s="57" t="n">
        <f aca="false">IF(LEFT(Cockpit!$O$5,1)="A",H483,IF(CA483=1,CB483,IF(LEFT(Cockpit!$O$5,1)="B",AZ483,MAX(AZ483,H483))))</f>
        <v>4</v>
      </c>
      <c r="AW483" s="57" t="n">
        <f aca="false">IF(BT483=1,0,ROUNDUP(AV483/BS483,0))</f>
        <v>1</v>
      </c>
      <c r="AX483" s="59" t="n">
        <f aca="false">IF(CH483&gt;0,CH483*MAX(1,AV483/X483),IF(BT483=1,IF(AV483&lt;=0,0,BW483*MAX(1,IF(H483&gt;0,AV483/H483,1))),IF(R483&gt;0,AW483/R483,0))/MAX(0.1,N(Parameter!$M$21)))</f>
        <v>0.0833333333333333</v>
      </c>
      <c r="AY483" s="57" t="n">
        <f aca="false">AV483*G483</f>
        <v>192</v>
      </c>
      <c r="AZ483" s="57" t="n">
        <f aca="false">ROUNDUP(MAX(J483/IF(BZ483&gt;0,BZ483,MAX(0.1,N(Cockpit!$O$6))),CC483)/BS483,0)*BS483</f>
        <v>4</v>
      </c>
      <c r="BA483" s="58" t="n">
        <f aca="false">IF(AX483&gt;0,J483/AX483,-1)</f>
        <v>0</v>
      </c>
      <c r="BB483" s="58" t="n">
        <f aca="false">IF(AND(OR(BY483="L1",BY483="L23"),AX483&gt;0),SUMIFS($AX$7:$AX$1843,$BY$7:$BY$1843,BY483,$BA$7:$BA$1843,"&gt;"&amp;BA483)+SUMIFS($AX$7:$AX$1843,$BY$7:$BY$1843,BY483,$BA$7:$BA$1843,BA483,$BQ$7:$BQ$1843,"&lt;="&amp;BQ483),"")</f>
        <v>104.80834262356</v>
      </c>
      <c r="BC483" s="65" t="n">
        <f aca="false">IF(BB483="",0,MAX(0,MIN(1,(IF(BY483="L1",Parameter!$E$5,Parameter!$E$6+Parameter!$E$7)-(BB483-AX483))/AX483)))</f>
        <v>0</v>
      </c>
      <c r="BD483" s="55" t="str">
        <f aca="false">IF(AH483&lt;=0,"",IF(BY483="Aussen","Aussenlager",IF(BY483="-","Nicht im Lift",IF(AM483&gt;=1,"Lift",IF(AM483&lt;=0,"Aussenlager","teilweise")))))</f>
        <v>Lift</v>
      </c>
      <c r="BE483" s="55" t="str">
        <f aca="false">IF(AP483&lt;=0,"",IF(BY483="Aussen","Aussenlager",IF(BY483="-","Nicht im Lift",IF(AU483&gt;=1,"Lift",IF(AU483&lt;=0,"Aussenlager","teilweise")))))</f>
        <v>Aussenlager</v>
      </c>
      <c r="BF483" s="55" t="str">
        <f aca="false">IF(AX483&lt;=0,"",IF(BY483="Aussen","Aussenlager",IF(BY483="-","Nicht im Lift",IF(BC483&gt;=1,"Lift",IF(BC483&lt;=0,"Aussenlager","teilweise")))))</f>
        <v>Aussenlager</v>
      </c>
      <c r="BG483" s="55" t="str">
        <f aca="false">IF(A483="","",IF(BP483=1,"Neu; ","")&amp;IF(AND(BP483=0,BK483&lt;0),"negativer Bestand (Export "&amp;BK483&amp;"); ","")&amp;IF(J483&lt;=0,"Kein Verbrauch; ","")&amp;IF(CH483&gt;0,"Lift "&amp;W483&amp;" lt. Liftbericht (Fach "&amp;X483&amp;" Stk); ",IF(BU483=1,"Gebinde geschätzt ("&amp;T483&amp;"); ",IF(BT483=1,"Lose – Tablare geschätzt; ","")))&amp;IF(H483&gt;AR483,"Überbestand "&amp;ROUND(H483-AR483,0)&amp;" Stk / CHF "&amp;ROUND((H483-AR483)*G483,0)&amp;"; ","")&amp;IF(AND(CA483=1,CB483&lt;CC483),"MAX &lt; MB+LG; ","")&amp;IF(AND(CG483&gt;0,CF483*10&gt;CG483),"zu hoch für Tablar; ","")&amp;IF(AND(BP483=0,OR(CA483=1,AA483&lt;&gt;"",U483&lt;&gt;"",V483&lt;&gt;"",AB483&lt;&gt;"")),"manuell übersteuert; ","")&amp;IF(AND(BT483=0,R483=0),"Gebinde unbekannt / Stellmass fehlt; ","")&amp;IF(AND(BT483=0,N(V483)&lt;=0,N(Q483)&lt;=0),"Menge pro Gebinde fehlt (Ist = 1 Gebinde); ","")&amp;BO483)</f>
        <v>Kein Verbrauch; Gebinde geschätzt (Mittel); Menge pro Gebinde fehlt (Ist = 1 Gebinde); </v>
      </c>
      <c r="BH483" s="55"/>
      <c r="BI483" s="55"/>
      <c r="BJ483" s="62"/>
      <c r="BK483" s="57" t="n">
        <v>1</v>
      </c>
      <c r="BL483" s="57" t="n">
        <v>3</v>
      </c>
      <c r="BM483" s="56" t="n">
        <v>48</v>
      </c>
      <c r="BN483" s="57" t="n">
        <v>0</v>
      </c>
      <c r="BO483" s="55"/>
      <c r="BP483" s="60" t="n">
        <v>0</v>
      </c>
      <c r="BQ483" s="60" t="n">
        <v>483</v>
      </c>
      <c r="BR483" s="55" t="str">
        <f aca="false">IF(U483&lt;&gt;"",UPPER(TRIM(U483)),IF(BU483=1,UPPER(VLOOKUP(T483,Parameter!$I$27:$K$29,2,0)),IF(P483="","LOSE",P483)))</f>
        <v>S61</v>
      </c>
      <c r="BS483" s="57" t="n">
        <f aca="false">IF(BR483="LOSE",1,IF(N(V483)&gt;0,V483,IF(BU483=1,MAX(1,N(VLOOKUP(T483,Parameter!$I$27:$K$29,3,0)),H483,N(N483)),IF(N(Q483)&gt;0,Q483,MAX(1,H483)))))</f>
        <v>4</v>
      </c>
      <c r="BT483" s="60" t="n">
        <f aca="false">IF(BR483="LOSE",1,0)</f>
        <v>0</v>
      </c>
      <c r="BU483" s="60" t="n">
        <f aca="false">IF(AND(U483="",OR(P483="",P483="LOSE"),T483&lt;&gt;"",N(S483)&lt;=0,ISNUMBER(MATCH(T483,Parameter!$I$27:$I$29,0))),1,0)</f>
        <v>1</v>
      </c>
      <c r="BV483" s="55" t="str">
        <f aca="false">IF(AND(Parameter!$B$19="Ja",E483&lt;&gt;"",ISNUMBER(MATCH(E483,Parameter!$I$35:$I$52,0))),VLOOKUP(E483,Parameter!$I$35:$J$52,2,0),IFERROR(VLOOKUP(D483,Parameter!$A$35:$C$64,2,0),"Nein"))</f>
        <v>2+3</v>
      </c>
      <c r="BW483" s="59" t="n">
        <f aca="false">IF(BT483=0,0,IF(N(S483)&gt;0,S483,IFERROR(VLOOKUP(D483,Parameter!$A$35:$C$64,3,0)+0,0)))</f>
        <v>0</v>
      </c>
      <c r="BX483" s="55" t="n">
        <f aca="false">IF(AA483&lt;&gt;"",AA483,Z483)</f>
        <v>2</v>
      </c>
      <c r="BY483" s="55" t="str">
        <f aca="false">IF(BX483=1,"L1",IF(OR(BX483=2,BX483=3),"L23",IF(BX483="Aussen","Aussen","-")))</f>
        <v>L23</v>
      </c>
      <c r="BZ483" s="66" t="n">
        <f aca="false">IF(N(AB483)&gt;0,AB483,0)</f>
        <v>0</v>
      </c>
      <c r="CA483" s="60" t="n">
        <f aca="false">IF(ISNUMBER(AE483),1,0)</f>
        <v>0</v>
      </c>
      <c r="CB483" s="57" t="n">
        <f aca="false">N(AE483)</f>
        <v>0</v>
      </c>
      <c r="CC483" s="57" t="n">
        <f aca="false">N(M483)+N(N483)</f>
        <v>1</v>
      </c>
      <c r="CD483" s="57" t="n">
        <f aca="false">ROUNDUP(H483/BS483,0)</f>
        <v>1</v>
      </c>
      <c r="CE483" s="57" t="n">
        <f aca="false">ROUNDUP(CB483/BS483,0)</f>
        <v>0</v>
      </c>
      <c r="CF483" s="60" t="n">
        <f aca="false">IF(BT483=1,0,IFERROR(VLOOKUP(BR483,'Gebinde-Kategorie'!$A$5:$M$45,5,0)+0,0))</f>
        <v>11</v>
      </c>
      <c r="CG483" s="60" t="n">
        <f aca="false">IFERROR(IF(OR(BX483=1,BX483=2,BX483=3),N(INDEX(Parameter!$I$5:$I$7,BX483)),0),0)</f>
        <v>0</v>
      </c>
      <c r="CH483" s="59" t="n">
        <f aca="false">IF(AND(Parameter!$B$21="Ja",ISNUMBER(W483),N(X483)&gt;0),IFERROR(N(INDEX(Parameter!$L$5:$L$7,W483))*INDEX(Parameter!$E$5:$E$7,W483)*X483/SUMIFS($X$7:$X$1843,$W$7:$W$1843,W483),0),0)</f>
        <v>0</v>
      </c>
    </row>
    <row r="484" customFormat="false" ht="15" hidden="false" customHeight="false" outlineLevel="0" collapsed="false">
      <c r="A484" s="55" t="s">
        <v>1074</v>
      </c>
      <c r="B484" s="55" t="s">
        <v>719</v>
      </c>
      <c r="C484" s="55" t="s">
        <v>164</v>
      </c>
      <c r="D484" s="55" t="s">
        <v>184</v>
      </c>
      <c r="E484" s="55"/>
      <c r="F484" s="55" t="s">
        <v>218</v>
      </c>
      <c r="G484" s="56" t="n">
        <v>9.11</v>
      </c>
      <c r="H484" s="57" t="n">
        <f aca="false">MAX(0,IF(AND(Parameter!$B$21="Ja",ISNUMBER(Y484)),Y484,IF(Parameter!$B$20="Jahresanfang 2025 + Export",BL484+BK484,BK484)))</f>
        <v>5</v>
      </c>
      <c r="I484" s="57" t="n">
        <f aca="false">H484*G484</f>
        <v>45.55</v>
      </c>
      <c r="J484" s="57" t="n">
        <f aca="false">BN484*Parameter!$B$18</f>
        <v>15</v>
      </c>
      <c r="K484" s="58" t="n">
        <v>2.5</v>
      </c>
      <c r="L484" s="59" t="n">
        <v>6</v>
      </c>
      <c r="M484" s="57" t="n">
        <v>1</v>
      </c>
      <c r="N484" s="57" t="n">
        <v>15</v>
      </c>
      <c r="O484" s="60" t="n">
        <v>28</v>
      </c>
      <c r="P484" s="55" t="s">
        <v>328</v>
      </c>
      <c r="Q484" s="57" t="n">
        <v>10</v>
      </c>
      <c r="R484" s="60" t="n">
        <f aca="false">IF(BT484=1,0,IFERROR(VLOOKUP(BR484,'Gebinde-Kategorie'!$A$5:$M$45,13,0)+0,0))</f>
        <v>52</v>
      </c>
      <c r="S484" s="61"/>
      <c r="T484" s="62"/>
      <c r="U484" s="62"/>
      <c r="V484" s="62"/>
      <c r="W484" s="55"/>
      <c r="X484" s="57"/>
      <c r="Y484" s="57"/>
      <c r="Z484" s="55" t="n">
        <f aca="false">IF(A484="","",IF(AND(Parameter!$B$21="Ja",ISNUMBER(W484)),W484,IF(BV484="2+3",IF(ISNUMBER(SEARCH("grosser Artikel",BO484)),2,IFERROR(VLOOKUP(BR484,Parameter!$F$35:$G$64,2,0),2)),IF(OR(BV484="Nein",BV484=""),"-",BV484))))</f>
        <v>3</v>
      </c>
      <c r="AA484" s="62"/>
      <c r="AB484" s="63"/>
      <c r="AC484" s="57" t="n">
        <f aca="false">AR484</f>
        <v>20</v>
      </c>
      <c r="AD484" s="57" t="n">
        <f aca="false">MAX(AR484,H484)</f>
        <v>20</v>
      </c>
      <c r="AE484" s="64"/>
      <c r="AF484" s="57" t="n">
        <f aca="false">IF(LEFT(Cockpit!$C$5,1)="A",H484,IF(CA484=1,CB484,IF(LEFT(Cockpit!$C$5,1)="B",AJ484,MAX(AJ484,H484))))</f>
        <v>5</v>
      </c>
      <c r="AG484" s="57" t="n">
        <f aca="false">IF(BT484=1,0,ROUNDUP(AF484/BS484,0))</f>
        <v>1</v>
      </c>
      <c r="AH484" s="59" t="n">
        <f aca="false">IF(CH484&gt;0,CH484*MAX(1,AF484/X484),IF(BT484=1,IF(AF484&lt;=0,0,BW484*MAX(1,IF(H484&gt;0,AF484/H484,1))),IF(R484&gt;0,AG484/R484,0))/MAX(0.1,N(Parameter!$M$21)))</f>
        <v>0.0192307692307692</v>
      </c>
      <c r="AI484" s="57" t="n">
        <f aca="false">AF484*G484</f>
        <v>45.55</v>
      </c>
      <c r="AJ484" s="57" t="n">
        <f aca="false">ROUNDUP(MAX(J484/IF(BZ484&gt;0,BZ484,MAX(0.1,N(Cockpit!$C$6))),CC484)/BS484,0)*BS484</f>
        <v>20</v>
      </c>
      <c r="AK484" s="58" t="n">
        <f aca="false">IF(AH484&gt;0,J484/AH484,-1)</f>
        <v>780</v>
      </c>
      <c r="AL484" s="58" t="n">
        <f aca="false">IF(AND(OR(BY484="L1",BY484="L23"),AH484&gt;0),SUMIFS($AH$7:$AH$1843,$BY$7:$BY$1843,BY484,$AK$7:$AK$1843,"&gt;"&amp;AK484)+SUMIFS($AH$7:$AH$1843,$BY$7:$BY$1843,BY484,$AK$7:$AK$1843,AK484,$BQ$7:$BQ$1843,"&lt;="&amp;BQ484),"")</f>
        <v>20.8877233877234</v>
      </c>
      <c r="AM484" s="65" t="n">
        <f aca="false">IF(AL484="",0,MAX(0,MIN(1,(IF(BY484="L1",Parameter!$E$5,Parameter!$E$6+Parameter!$E$7)-(AL484-AH484))/AH484)))</f>
        <v>1</v>
      </c>
      <c r="AN484" s="57" t="n">
        <f aca="false">IF(LEFT(Cockpit!$I$5,1)="A",H484,IF(CA484=1,CB484,IF(LEFT(Cockpit!$I$5,1)="B",AR484,MAX(AR484,H484))))</f>
        <v>20</v>
      </c>
      <c r="AO484" s="57" t="n">
        <f aca="false">IF(BT484=1,0,ROUNDUP(AN484/BS484,0))</f>
        <v>2</v>
      </c>
      <c r="AP484" s="59" t="n">
        <f aca="false">IF(CH484&gt;0,CH484*MAX(1,AN484/X484),IF(BT484=1,IF(AN484&lt;=0,0,BW484*MAX(1,IF(H484&gt;0,AN484/H484,1))),IF(R484&gt;0,AO484/R484,0))/MAX(0.1,N(Parameter!$M$21)))</f>
        <v>0.0384615384615385</v>
      </c>
      <c r="AQ484" s="57" t="n">
        <f aca="false">AN484*G484</f>
        <v>182.2</v>
      </c>
      <c r="AR484" s="57" t="n">
        <f aca="false">ROUNDUP(MAX(J484/IF(BZ484&gt;0,BZ484,MAX(0.1,N(Cockpit!$I$6))),CC484)/BS484,0)*BS484</f>
        <v>20</v>
      </c>
      <c r="AS484" s="58" t="n">
        <f aca="false">IF(AP484&gt;0,J484/AP484,-1)</f>
        <v>390</v>
      </c>
      <c r="AT484" s="58" t="n">
        <f aca="false">IF(AND(OR(BY484="L1",BY484="L23"),AP484&gt;0),SUMIFS($AP$7:$AP$1843,$BY$7:$BY$1843,BY484,$AS$7:$AS$1843,"&gt;"&amp;AS484)+SUMIFS($AP$7:$AP$1843,$BY$7:$BY$1843,BY484,$AS$7:$AS$1843,AS484,$BQ$7:$BQ$1843,"&lt;="&amp;BQ484),"")</f>
        <v>36.0092986723422</v>
      </c>
      <c r="AU484" s="65" t="n">
        <f aca="false">IF(AT484="",0,MAX(0,MIN(1,(IF(BY484="L1",Parameter!$E$5,Parameter!$E$6+Parameter!$E$7)-(AT484-AP484))/AP484)))</f>
        <v>1</v>
      </c>
      <c r="AV484" s="57" t="n">
        <f aca="false">IF(LEFT(Cockpit!$O$5,1)="A",H484,IF(CA484=1,CB484,IF(LEFT(Cockpit!$O$5,1)="B",AZ484,MAX(AZ484,H484))))</f>
        <v>20</v>
      </c>
      <c r="AW484" s="57" t="n">
        <f aca="false">IF(BT484=1,0,ROUNDUP(AV484/BS484,0))</f>
        <v>2</v>
      </c>
      <c r="AX484" s="59" t="n">
        <f aca="false">IF(CH484&gt;0,CH484*MAX(1,AV484/X484),IF(BT484=1,IF(AV484&lt;=0,0,BW484*MAX(1,IF(H484&gt;0,AV484/H484,1))),IF(R484&gt;0,AW484/R484,0))/MAX(0.1,N(Parameter!$M$21)))</f>
        <v>0.0384615384615385</v>
      </c>
      <c r="AY484" s="57" t="n">
        <f aca="false">AV484*G484</f>
        <v>182.2</v>
      </c>
      <c r="AZ484" s="57" t="n">
        <f aca="false">ROUNDUP(MAX(J484/IF(BZ484&gt;0,BZ484,MAX(0.1,N(Cockpit!$O$6))),CC484)/BS484,0)*BS484</f>
        <v>20</v>
      </c>
      <c r="BA484" s="58" t="n">
        <f aca="false">IF(AX484&gt;0,J484/AX484,-1)</f>
        <v>390</v>
      </c>
      <c r="BB484" s="58" t="n">
        <f aca="false">IF(AND(OR(BY484="L1",BY484="L23"),AX484&gt;0),SUMIFS($AX$7:$AX$1843,$BY$7:$BY$1843,BY484,$BA$7:$BA$1843,"&gt;"&amp;BA484)+SUMIFS($AX$7:$AX$1843,$BY$7:$BY$1843,BY484,$BA$7:$BA$1843,BA484,$BQ$7:$BQ$1843,"&lt;="&amp;BQ484),"")</f>
        <v>35.2558021688457</v>
      </c>
      <c r="BC484" s="65" t="n">
        <f aca="false">IF(BB484="",0,MAX(0,MIN(1,(IF(BY484="L1",Parameter!$E$5,Parameter!$E$6+Parameter!$E$7)-(BB484-AX484))/AX484)))</f>
        <v>1</v>
      </c>
      <c r="BD484" s="55" t="str">
        <f aca="false">IF(AH484&lt;=0,"",IF(BY484="Aussen","Aussenlager",IF(BY484="-","Nicht im Lift",IF(AM484&gt;=1,"Lift",IF(AM484&lt;=0,"Aussenlager","teilweise")))))</f>
        <v>Lift</v>
      </c>
      <c r="BE484" s="55" t="str">
        <f aca="false">IF(AP484&lt;=0,"",IF(BY484="Aussen","Aussenlager",IF(BY484="-","Nicht im Lift",IF(AU484&gt;=1,"Lift",IF(AU484&lt;=0,"Aussenlager","teilweise")))))</f>
        <v>Lift</v>
      </c>
      <c r="BF484" s="55" t="str">
        <f aca="false">IF(AX484&lt;=0,"",IF(BY484="Aussen","Aussenlager",IF(BY484="-","Nicht im Lift",IF(BC484&gt;=1,"Lift",IF(BC484&lt;=0,"Aussenlager","teilweise")))))</f>
        <v>Lift</v>
      </c>
      <c r="BG484" s="55" t="str">
        <f aca="false">IF(A484="","",IF(BP484=1,"Neu; ","")&amp;IF(AND(BP484=0,BK484&lt;0),"negativer Bestand (Export "&amp;BK484&amp;"); ","")&amp;IF(J484&lt;=0,"Kein Verbrauch; ","")&amp;IF(CH484&gt;0,"Lift "&amp;W484&amp;" lt. Liftbericht (Fach "&amp;X484&amp;" Stk); ",IF(BU484=1,"Gebinde geschätzt ("&amp;T484&amp;"); ",IF(BT484=1,"Lose – Tablare geschätzt; ","")))&amp;IF(H484&gt;AR484,"Überbestand "&amp;ROUND(H484-AR484,0)&amp;" Stk / CHF "&amp;ROUND((H484-AR484)*G484,0)&amp;"; ","")&amp;IF(AND(CA484=1,CB484&lt;CC484),"MAX &lt; MB+LG; ","")&amp;IF(AND(CG484&gt;0,CF484*10&gt;CG484),"zu hoch für Tablar; ","")&amp;IF(AND(BP484=0,OR(CA484=1,AA484&lt;&gt;"",U484&lt;&gt;"",V484&lt;&gt;"",AB484&lt;&gt;"")),"manuell übersteuert; ","")&amp;IF(AND(BT484=0,R484=0),"Gebinde unbekannt / Stellmass fehlt; ","")&amp;IF(AND(BT484=0,N(V484)&lt;=0,N(Q484)&lt;=0),"Menge pro Gebinde fehlt (Ist = 1 Gebinde); ","")&amp;BO484)</f>
        <v/>
      </c>
      <c r="BH484" s="55"/>
      <c r="BI484" s="55"/>
      <c r="BJ484" s="62"/>
      <c r="BK484" s="57" t="n">
        <v>5</v>
      </c>
      <c r="BL484" s="57" t="n">
        <v>0</v>
      </c>
      <c r="BM484" s="56" t="n">
        <v>45.55</v>
      </c>
      <c r="BN484" s="57" t="n">
        <v>15</v>
      </c>
      <c r="BO484" s="55"/>
      <c r="BP484" s="60" t="n">
        <v>0</v>
      </c>
      <c r="BQ484" s="60" t="n">
        <v>484</v>
      </c>
      <c r="BR484" s="55" t="str">
        <f aca="false">IF(U484&lt;&gt;"",UPPER(TRIM(U484)),IF(BU484=1,UPPER(VLOOKUP(T484,Parameter!$I$27:$K$29,2,0)),IF(P484="","LOSE",P484)))</f>
        <v>S41</v>
      </c>
      <c r="BS484" s="57" t="n">
        <f aca="false">IF(BR484="LOSE",1,IF(N(V484)&gt;0,V484,IF(BU484=1,MAX(1,N(VLOOKUP(T484,Parameter!$I$27:$K$29,3,0)),H484,N(N484)),IF(N(Q484)&gt;0,Q484,MAX(1,H484)))))</f>
        <v>10</v>
      </c>
      <c r="BT484" s="60" t="n">
        <f aca="false">IF(BR484="LOSE",1,0)</f>
        <v>0</v>
      </c>
      <c r="BU484" s="60" t="n">
        <f aca="false">IF(AND(U484="",OR(P484="",P484="LOSE"),T484&lt;&gt;"",N(S484)&lt;=0,ISNUMBER(MATCH(T484,Parameter!$I$27:$I$29,0))),1,0)</f>
        <v>0</v>
      </c>
      <c r="BV484" s="55" t="str">
        <f aca="false">IF(AND(Parameter!$B$19="Ja",E484&lt;&gt;"",ISNUMBER(MATCH(E484,Parameter!$I$35:$I$52,0))),VLOOKUP(E484,Parameter!$I$35:$J$52,2,0),IFERROR(VLOOKUP(D484,Parameter!$A$35:$C$64,2,0),"Nein"))</f>
        <v>2+3</v>
      </c>
      <c r="BW484" s="59" t="n">
        <f aca="false">IF(BT484=0,0,IF(N(S484)&gt;0,S484,IFERROR(VLOOKUP(D484,Parameter!$A$35:$C$64,3,0)+0,0)))</f>
        <v>0</v>
      </c>
      <c r="BX484" s="55" t="n">
        <f aca="false">IF(AA484&lt;&gt;"",AA484,Z484)</f>
        <v>3</v>
      </c>
      <c r="BY484" s="55" t="str">
        <f aca="false">IF(BX484=1,"L1",IF(OR(BX484=2,BX484=3),"L23",IF(BX484="Aussen","Aussen","-")))</f>
        <v>L23</v>
      </c>
      <c r="BZ484" s="66" t="n">
        <f aca="false">IF(N(AB484)&gt;0,AB484,0)</f>
        <v>0</v>
      </c>
      <c r="CA484" s="60" t="n">
        <f aca="false">IF(ISNUMBER(AE484),1,0)</f>
        <v>0</v>
      </c>
      <c r="CB484" s="57" t="n">
        <f aca="false">N(AE484)</f>
        <v>0</v>
      </c>
      <c r="CC484" s="57" t="n">
        <f aca="false">N(M484)+N(N484)</f>
        <v>16</v>
      </c>
      <c r="CD484" s="57" t="n">
        <f aca="false">ROUNDUP(H484/BS484,0)</f>
        <v>1</v>
      </c>
      <c r="CE484" s="57" t="n">
        <f aca="false">ROUNDUP(CB484/BS484,0)</f>
        <v>0</v>
      </c>
      <c r="CF484" s="60" t="n">
        <f aca="false">IF(BT484=1,0,IFERROR(VLOOKUP(BR484,'Gebinde-Kategorie'!$A$5:$M$45,5,0)+0,0))</f>
        <v>11</v>
      </c>
      <c r="CG484" s="60" t="n">
        <f aca="false">IFERROR(IF(OR(BX484=1,BX484=2,BX484=3),N(INDEX(Parameter!$I$5:$I$7,BX484)),0),0)</f>
        <v>0</v>
      </c>
      <c r="CH484" s="59" t="n">
        <f aca="false">IF(AND(Parameter!$B$21="Ja",ISNUMBER(W484),N(X484)&gt;0),IFERROR(N(INDEX(Parameter!$L$5:$L$7,W484))*INDEX(Parameter!$E$5:$E$7,W484)*X484/SUMIFS($X$7:$X$1843,$W$7:$W$1843,W484),0),0)</f>
        <v>0</v>
      </c>
    </row>
    <row r="485" customFormat="false" ht="15" hidden="false" customHeight="false" outlineLevel="0" collapsed="false">
      <c r="A485" s="55" t="s">
        <v>1075</v>
      </c>
      <c r="B485" s="55" t="s">
        <v>1076</v>
      </c>
      <c r="C485" s="55" t="s">
        <v>164</v>
      </c>
      <c r="D485" s="55" t="s">
        <v>184</v>
      </c>
      <c r="E485" s="55" t="s">
        <v>185</v>
      </c>
      <c r="F485" s="55" t="s">
        <v>218</v>
      </c>
      <c r="G485" s="56" t="n">
        <v>0.66</v>
      </c>
      <c r="H485" s="57" t="n">
        <f aca="false">MAX(0,IF(AND(Parameter!$B$21="Ja",ISNUMBER(Y485)),Y485,IF(Parameter!$B$20="Jahresanfang 2025 + Export",BL485+BK485,BK485)))</f>
        <v>253</v>
      </c>
      <c r="I485" s="57" t="n">
        <f aca="false">H485*G485</f>
        <v>166.98</v>
      </c>
      <c r="J485" s="57" t="n">
        <f aca="false">BN485*Parameter!$B$18</f>
        <v>37</v>
      </c>
      <c r="K485" s="58" t="n">
        <v>110.5</v>
      </c>
      <c r="L485" s="59" t="n">
        <v>0.334841628959276</v>
      </c>
      <c r="M485" s="57" t="n">
        <v>1</v>
      </c>
      <c r="N485" s="57" t="n">
        <v>35</v>
      </c>
      <c r="O485" s="60" t="n">
        <v>14</v>
      </c>
      <c r="P485" s="55" t="s">
        <v>421</v>
      </c>
      <c r="Q485" s="57" t="n">
        <v>94</v>
      </c>
      <c r="R485" s="60" t="n">
        <f aca="false">IF(BT485=1,0,IFERROR(VLOOKUP(BR485,'Gebinde-Kategorie'!$A$5:$M$45,13,0)+0,0))</f>
        <v>132</v>
      </c>
      <c r="S485" s="61"/>
      <c r="T485" s="62"/>
      <c r="U485" s="62"/>
      <c r="V485" s="62"/>
      <c r="W485" s="55"/>
      <c r="X485" s="57"/>
      <c r="Y485" s="57"/>
      <c r="Z485" s="55" t="n">
        <f aca="false">IF(A485="","",IF(AND(Parameter!$B$21="Ja",ISNUMBER(W485)),W485,IF(BV485="2+3",IF(ISNUMBER(SEARCH("grosser Artikel",BO485)),2,IFERROR(VLOOKUP(BR485,Parameter!$F$35:$G$64,2,0),2)),IF(OR(BV485="Nein",BV485=""),"-",BV485))))</f>
        <v>3</v>
      </c>
      <c r="AA485" s="62"/>
      <c r="AB485" s="63"/>
      <c r="AC485" s="57" t="n">
        <f aca="false">AR485</f>
        <v>94</v>
      </c>
      <c r="AD485" s="57" t="n">
        <f aca="false">MAX(AR485,H485)</f>
        <v>253</v>
      </c>
      <c r="AE485" s="64"/>
      <c r="AF485" s="57" t="n">
        <f aca="false">IF(LEFT(Cockpit!$C$5,1)="A",H485,IF(CA485=1,CB485,IF(LEFT(Cockpit!$C$5,1)="B",AJ485,MAX(AJ485,H485))))</f>
        <v>253</v>
      </c>
      <c r="AG485" s="57" t="n">
        <f aca="false">IF(BT485=1,0,ROUNDUP(AF485/BS485,0))</f>
        <v>3</v>
      </c>
      <c r="AH485" s="59" t="n">
        <f aca="false">IF(CH485&gt;0,CH485*MAX(1,AF485/X485),IF(BT485=1,IF(AF485&lt;=0,0,BW485*MAX(1,IF(H485&gt;0,AF485/H485,1))),IF(R485&gt;0,AG485/R485,0))/MAX(0.1,N(Parameter!$M$21)))</f>
        <v>0.0227272727272727</v>
      </c>
      <c r="AI485" s="57" t="n">
        <f aca="false">AF485*G485</f>
        <v>166.98</v>
      </c>
      <c r="AJ485" s="57" t="n">
        <f aca="false">ROUNDUP(MAX(J485/IF(BZ485&gt;0,BZ485,MAX(0.1,N(Cockpit!$C$6))),CC485)/BS485,0)*BS485</f>
        <v>94</v>
      </c>
      <c r="AK485" s="58" t="n">
        <f aca="false">IF(AH485&gt;0,J485/AH485,-1)</f>
        <v>1628</v>
      </c>
      <c r="AL485" s="58" t="n">
        <f aca="false">IF(AND(OR(BY485="L1",BY485="L23"),AH485&gt;0),SUMIFS($AH$7:$AH$1843,$BY$7:$BY$1843,BY485,$AK$7:$AK$1843,"&gt;"&amp;AK485)+SUMIFS($AH$7:$AH$1843,$BY$7:$BY$1843,BY485,$AK$7:$AK$1843,AK485,$BQ$7:$BQ$1843,"&lt;="&amp;BQ485),"")</f>
        <v>15.4552802270194</v>
      </c>
      <c r="AM485" s="65" t="n">
        <f aca="false">IF(AL485="",0,MAX(0,MIN(1,(IF(BY485="L1",Parameter!$E$5,Parameter!$E$6+Parameter!$E$7)-(AL485-AH485))/AH485)))</f>
        <v>1</v>
      </c>
      <c r="AN485" s="57" t="n">
        <f aca="false">IF(LEFT(Cockpit!$I$5,1)="A",H485,IF(CA485=1,CB485,IF(LEFT(Cockpit!$I$5,1)="B",AR485,MAX(AR485,H485))))</f>
        <v>253</v>
      </c>
      <c r="AO485" s="57" t="n">
        <f aca="false">IF(BT485=1,0,ROUNDUP(AN485/BS485,0))</f>
        <v>3</v>
      </c>
      <c r="AP485" s="59" t="n">
        <f aca="false">IF(CH485&gt;0,CH485*MAX(1,AN485/X485),IF(BT485=1,IF(AN485&lt;=0,0,BW485*MAX(1,IF(H485&gt;0,AN485/H485,1))),IF(R485&gt;0,AO485/R485,0))/MAX(0.1,N(Parameter!$M$21)))</f>
        <v>0.0227272727272727</v>
      </c>
      <c r="AQ485" s="57" t="n">
        <f aca="false">AN485*G485</f>
        <v>166.98</v>
      </c>
      <c r="AR485" s="57" t="n">
        <f aca="false">ROUNDUP(MAX(J485/IF(BZ485&gt;0,BZ485,MAX(0.1,N(Cockpit!$I$6))),CC485)/BS485,0)*BS485</f>
        <v>94</v>
      </c>
      <c r="AS485" s="58" t="n">
        <f aca="false">IF(AP485&gt;0,J485/AP485,-1)</f>
        <v>1628</v>
      </c>
      <c r="AT485" s="58" t="n">
        <f aca="false">IF(AND(OR(BY485="L1",BY485="L23"),AP485&gt;0),SUMIFS($AP$7:$AP$1843,$BY$7:$BY$1843,BY485,$AS$7:$AS$1843,"&gt;"&amp;AS485)+SUMIFS($AP$7:$AP$1843,$BY$7:$BY$1843,BY485,$AS$7:$AS$1843,AS485,$BQ$7:$BQ$1843,"&lt;="&amp;BQ485),"")</f>
        <v>19.98159690551</v>
      </c>
      <c r="AU485" s="65" t="n">
        <f aca="false">IF(AT485="",0,MAX(0,MIN(1,(IF(BY485="L1",Parameter!$E$5,Parameter!$E$6+Parameter!$E$7)-(AT485-AP485))/AP485)))</f>
        <v>1</v>
      </c>
      <c r="AV485" s="57" t="n">
        <f aca="false">IF(LEFT(Cockpit!$O$5,1)="A",H485,IF(CA485=1,CB485,IF(LEFT(Cockpit!$O$5,1)="B",AZ485,MAX(AZ485,H485))))</f>
        <v>253</v>
      </c>
      <c r="AW485" s="57" t="n">
        <f aca="false">IF(BT485=1,0,ROUNDUP(AV485/BS485,0))</f>
        <v>3</v>
      </c>
      <c r="AX485" s="59" t="n">
        <f aca="false">IF(CH485&gt;0,CH485*MAX(1,AV485/X485),IF(BT485=1,IF(AV485&lt;=0,0,BW485*MAX(1,IF(H485&gt;0,AV485/H485,1))),IF(R485&gt;0,AW485/R485,0))/MAX(0.1,N(Parameter!$M$21)))</f>
        <v>0.0227272727272727</v>
      </c>
      <c r="AY485" s="57" t="n">
        <f aca="false">AV485*G485</f>
        <v>166.98</v>
      </c>
      <c r="AZ485" s="57" t="n">
        <f aca="false">ROUNDUP(MAX(J485/IF(BZ485&gt;0,BZ485,MAX(0.1,N(Cockpit!$O$6))),CC485)/BS485,0)*BS485</f>
        <v>94</v>
      </c>
      <c r="BA485" s="58" t="n">
        <f aca="false">IF(AX485&gt;0,J485/AX485,-1)</f>
        <v>1628</v>
      </c>
      <c r="BB485" s="58" t="n">
        <f aca="false">IF(AND(OR(BY485="L1",BY485="L23"),AX485&gt;0),SUMIFS($AX$7:$AX$1843,$BY$7:$BY$1843,BY485,$BA$7:$BA$1843,"&gt;"&amp;BA485)+SUMIFS($AX$7:$AX$1843,$BY$7:$BY$1843,BY485,$BA$7:$BA$1843,BA485,$BQ$7:$BQ$1843,"&lt;="&amp;BQ485),"")</f>
        <v>18.8434850173981</v>
      </c>
      <c r="BC485" s="65" t="n">
        <f aca="false">IF(BB485="",0,MAX(0,MIN(1,(IF(BY485="L1",Parameter!$E$5,Parameter!$E$6+Parameter!$E$7)-(BB485-AX485))/AX485)))</f>
        <v>1</v>
      </c>
      <c r="BD485" s="55" t="str">
        <f aca="false">IF(AH485&lt;=0,"",IF(BY485="Aussen","Aussenlager",IF(BY485="-","Nicht im Lift",IF(AM485&gt;=1,"Lift",IF(AM485&lt;=0,"Aussenlager","teilweise")))))</f>
        <v>Lift</v>
      </c>
      <c r="BE485" s="55" t="str">
        <f aca="false">IF(AP485&lt;=0,"",IF(BY485="Aussen","Aussenlager",IF(BY485="-","Nicht im Lift",IF(AU485&gt;=1,"Lift",IF(AU485&lt;=0,"Aussenlager","teilweise")))))</f>
        <v>Lift</v>
      </c>
      <c r="BF485" s="55" t="str">
        <f aca="false">IF(AX485&lt;=0,"",IF(BY485="Aussen","Aussenlager",IF(BY485="-","Nicht im Lift",IF(BC485&gt;=1,"Lift",IF(BC485&lt;=0,"Aussenlager","teilweise")))))</f>
        <v>Lift</v>
      </c>
      <c r="BG485" s="55" t="str">
        <f aca="false">IF(A485="","",IF(BP485=1,"Neu; ","")&amp;IF(AND(BP485=0,BK485&lt;0),"negativer Bestand (Export "&amp;BK485&amp;"); ","")&amp;IF(J485&lt;=0,"Kein Verbrauch; ","")&amp;IF(CH485&gt;0,"Lift "&amp;W485&amp;" lt. Liftbericht (Fach "&amp;X485&amp;" Stk); ",IF(BU485=1,"Gebinde geschätzt ("&amp;T485&amp;"); ",IF(BT485=1,"Lose – Tablare geschätzt; ","")))&amp;IF(H485&gt;AR485,"Überbestand "&amp;ROUND(H485-AR485,0)&amp;" Stk / CHF "&amp;ROUND((H485-AR485)*G485,0)&amp;"; ","")&amp;IF(AND(CA485=1,CB485&lt;CC485),"MAX &lt; MB+LG; ","")&amp;IF(AND(CG485&gt;0,CF485*10&gt;CG485),"zu hoch für Tablar; ","")&amp;IF(AND(BP485=0,OR(CA485=1,AA485&lt;&gt;"",U485&lt;&gt;"",V485&lt;&gt;"",AB485&lt;&gt;"")),"manuell übersteuert; ","")&amp;IF(AND(BT485=0,R485=0),"Gebinde unbekannt / Stellmass fehlt; ","")&amp;IF(AND(BT485=0,N(V485)&lt;=0,N(Q485)&lt;=0),"Menge pro Gebinde fehlt (Ist = 1 Gebinde); ","")&amp;BO485)</f>
        <v>Überbestand 159 Stk / CHF 105; </v>
      </c>
      <c r="BH485" s="55"/>
      <c r="BI485" s="55"/>
      <c r="BJ485" s="62"/>
      <c r="BK485" s="57" t="n">
        <v>93</v>
      </c>
      <c r="BL485" s="57" t="n">
        <v>160</v>
      </c>
      <c r="BM485" s="56" t="n">
        <v>45.38</v>
      </c>
      <c r="BN485" s="57" t="n">
        <v>37</v>
      </c>
      <c r="BO485" s="55"/>
      <c r="BP485" s="60" t="n">
        <v>0</v>
      </c>
      <c r="BQ485" s="60" t="n">
        <v>485</v>
      </c>
      <c r="BR485" s="55" t="str">
        <f aca="false">IF(U485&lt;&gt;"",UPPER(TRIM(U485)),IF(BU485=1,UPPER(VLOOKUP(T485,Parameter!$I$27:$K$29,2,0)),IF(P485="","LOSE",P485)))</f>
        <v>S32</v>
      </c>
      <c r="BS485" s="57" t="n">
        <f aca="false">IF(BR485="LOSE",1,IF(N(V485)&gt;0,V485,IF(BU485=1,MAX(1,N(VLOOKUP(T485,Parameter!$I$27:$K$29,3,0)),H485,N(N485)),IF(N(Q485)&gt;0,Q485,MAX(1,H485)))))</f>
        <v>94</v>
      </c>
      <c r="BT485" s="60" t="n">
        <f aca="false">IF(BR485="LOSE",1,0)</f>
        <v>0</v>
      </c>
      <c r="BU485" s="60" t="n">
        <f aca="false">IF(AND(U485="",OR(P485="",P485="LOSE"),T485&lt;&gt;"",N(S485)&lt;=0,ISNUMBER(MATCH(T485,Parameter!$I$27:$I$29,0))),1,0)</f>
        <v>0</v>
      </c>
      <c r="BV485" s="55" t="str">
        <f aca="false">IF(AND(Parameter!$B$19="Ja",E485&lt;&gt;"",ISNUMBER(MATCH(E485,Parameter!$I$35:$I$52,0))),VLOOKUP(E485,Parameter!$I$35:$J$52,2,0),IFERROR(VLOOKUP(D485,Parameter!$A$35:$C$64,2,0),"Nein"))</f>
        <v>2+3</v>
      </c>
      <c r="BW485" s="59" t="n">
        <f aca="false">IF(BT485=0,0,IF(N(S485)&gt;0,S485,IFERROR(VLOOKUP(D485,Parameter!$A$35:$C$64,3,0)+0,0)))</f>
        <v>0</v>
      </c>
      <c r="BX485" s="55" t="n">
        <f aca="false">IF(AA485&lt;&gt;"",AA485,Z485)</f>
        <v>3</v>
      </c>
      <c r="BY485" s="55" t="str">
        <f aca="false">IF(BX485=1,"L1",IF(OR(BX485=2,BX485=3),"L23",IF(BX485="Aussen","Aussen","-")))</f>
        <v>L23</v>
      </c>
      <c r="BZ485" s="66" t="n">
        <f aca="false">IF(N(AB485)&gt;0,AB485,0)</f>
        <v>0</v>
      </c>
      <c r="CA485" s="60" t="n">
        <f aca="false">IF(ISNUMBER(AE485),1,0)</f>
        <v>0</v>
      </c>
      <c r="CB485" s="57" t="n">
        <f aca="false">N(AE485)</f>
        <v>0</v>
      </c>
      <c r="CC485" s="57" t="n">
        <f aca="false">N(M485)+N(N485)</f>
        <v>36</v>
      </c>
      <c r="CD485" s="57" t="n">
        <f aca="false">ROUNDUP(H485/BS485,0)</f>
        <v>3</v>
      </c>
      <c r="CE485" s="57" t="n">
        <f aca="false">ROUNDUP(CB485/BS485,0)</f>
        <v>0</v>
      </c>
      <c r="CF485" s="60" t="n">
        <f aca="false">IF(BT485=1,0,IFERROR(VLOOKUP(BR485,'Gebinde-Kategorie'!$A$5:$M$45,5,0)+0,0))</f>
        <v>8</v>
      </c>
      <c r="CG485" s="60" t="n">
        <f aca="false">IFERROR(IF(OR(BX485=1,BX485=2,BX485=3),N(INDEX(Parameter!$I$5:$I$7,BX485)),0),0)</f>
        <v>0</v>
      </c>
      <c r="CH485" s="59" t="n">
        <f aca="false">IF(AND(Parameter!$B$21="Ja",ISNUMBER(W485),N(X485)&gt;0),IFERROR(N(INDEX(Parameter!$L$5:$L$7,W485))*INDEX(Parameter!$E$5:$E$7,W485)*X485/SUMIFS($X$7:$X$1843,$W$7:$W$1843,W485),0),0)</f>
        <v>0</v>
      </c>
    </row>
    <row r="486" customFormat="false" ht="15" hidden="false" customHeight="false" outlineLevel="0" collapsed="false">
      <c r="A486" s="55" t="s">
        <v>1077</v>
      </c>
      <c r="B486" s="55" t="s">
        <v>1078</v>
      </c>
      <c r="C486" s="55" t="s">
        <v>164</v>
      </c>
      <c r="D486" s="55" t="s">
        <v>173</v>
      </c>
      <c r="E486" s="55"/>
      <c r="F486" s="55" t="s">
        <v>218</v>
      </c>
      <c r="G486" s="56" t="n">
        <v>0.09</v>
      </c>
      <c r="H486" s="57" t="n">
        <f aca="false">MAX(0,IF(AND(Parameter!$B$21="Ja",ISNUMBER(Y486)),Y486,IF(Parameter!$B$20="Jahresanfang 2025 + Export",BL486+BK486,BK486)))</f>
        <v>500</v>
      </c>
      <c r="I486" s="57" t="n">
        <f aca="false">H486*G486</f>
        <v>45</v>
      </c>
      <c r="J486" s="57" t="n">
        <f aca="false">BN486*Parameter!$B$18</f>
        <v>0</v>
      </c>
      <c r="K486" s="58" t="n">
        <v>250</v>
      </c>
      <c r="L486" s="59" t="n">
        <v>0</v>
      </c>
      <c r="M486" s="57" t="n">
        <v>0</v>
      </c>
      <c r="N486" s="57" t="n">
        <v>1</v>
      </c>
      <c r="O486" s="60" t="n">
        <v>105</v>
      </c>
      <c r="P486" s="55" t="s">
        <v>168</v>
      </c>
      <c r="Q486" s="57"/>
      <c r="R486" s="60" t="n">
        <f aca="false">IF(BT486=1,0,IFERROR(VLOOKUP(BR486,'Gebinde-Kategorie'!$A$5:$M$45,13,0)+0,0))</f>
        <v>26</v>
      </c>
      <c r="S486" s="61"/>
      <c r="T486" s="62" t="s">
        <v>275</v>
      </c>
      <c r="U486" s="62"/>
      <c r="V486" s="62"/>
      <c r="W486" s="55"/>
      <c r="X486" s="57"/>
      <c r="Y486" s="57"/>
      <c r="Z486" s="55" t="n">
        <f aca="false">IF(A486="","",IF(AND(Parameter!$B$21="Ja",ISNUMBER(W486)),W486,IF(BV486="2+3",IF(ISNUMBER(SEARCH("grosser Artikel",BO486)),2,IFERROR(VLOOKUP(BR486,Parameter!$F$35:$G$64,2,0),2)),IF(OR(BV486="Nein",BV486=""),"-",BV486))))</f>
        <v>3</v>
      </c>
      <c r="AA486" s="62"/>
      <c r="AB486" s="63"/>
      <c r="AC486" s="57" t="n">
        <f aca="false">AR486</f>
        <v>500</v>
      </c>
      <c r="AD486" s="57" t="n">
        <f aca="false">MAX(AR486,H486)</f>
        <v>500</v>
      </c>
      <c r="AE486" s="64"/>
      <c r="AF486" s="57" t="n">
        <f aca="false">IF(LEFT(Cockpit!$C$5,1)="A",H486,IF(CA486=1,CB486,IF(LEFT(Cockpit!$C$5,1)="B",AJ486,MAX(AJ486,H486))))</f>
        <v>500</v>
      </c>
      <c r="AG486" s="57" t="n">
        <f aca="false">IF(BT486=1,0,ROUNDUP(AF486/BS486,0))</f>
        <v>1</v>
      </c>
      <c r="AH486" s="59" t="n">
        <f aca="false">IF(CH486&gt;0,CH486*MAX(1,AF486/X486),IF(BT486=1,IF(AF486&lt;=0,0,BW486*MAX(1,IF(H486&gt;0,AF486/H486,1))),IF(R486&gt;0,AG486/R486,0))/MAX(0.1,N(Parameter!$M$21)))</f>
        <v>0.0384615384615385</v>
      </c>
      <c r="AI486" s="57" t="n">
        <f aca="false">AF486*G486</f>
        <v>45</v>
      </c>
      <c r="AJ486" s="57" t="n">
        <f aca="false">ROUNDUP(MAX(J486/IF(BZ486&gt;0,BZ486,MAX(0.1,N(Cockpit!$C$6))),CC486)/BS486,0)*BS486</f>
        <v>500</v>
      </c>
      <c r="AK486" s="58" t="n">
        <f aca="false">IF(AH486&gt;0,J486/AH486,-1)</f>
        <v>0</v>
      </c>
      <c r="AL486" s="58" t="n">
        <f aca="false">IF(AND(OR(BY486="L1",BY486="L23"),AH486&gt;0),SUMIFS($AH$7:$AH$1843,$BY$7:$BY$1843,BY486,$AK$7:$AK$1843,"&gt;"&amp;AK486)+SUMIFS($AH$7:$AH$1843,$BY$7:$BY$1843,BY486,$AK$7:$AK$1843,AK486,$BQ$7:$BQ$1843,"&lt;="&amp;BQ486),"")</f>
        <v>74.592843147191</v>
      </c>
      <c r="AM486" s="65" t="n">
        <f aca="false">IF(AL486="",0,MAX(0,MIN(1,(IF(BY486="L1",Parameter!$E$5,Parameter!$E$6+Parameter!$E$7)-(AL486-AH486))/AH486)))</f>
        <v>1</v>
      </c>
      <c r="AN486" s="57" t="n">
        <f aca="false">IF(LEFT(Cockpit!$I$5,1)="A",H486,IF(CA486=1,CB486,IF(LEFT(Cockpit!$I$5,1)="B",AR486,MAX(AR486,H486))))</f>
        <v>500</v>
      </c>
      <c r="AO486" s="57" t="n">
        <f aca="false">IF(BT486=1,0,ROUNDUP(AN486/BS486,0))</f>
        <v>1</v>
      </c>
      <c r="AP486" s="59" t="n">
        <f aca="false">IF(CH486&gt;0,CH486*MAX(1,AN486/X486),IF(BT486=1,IF(AN486&lt;=0,0,BW486*MAX(1,IF(H486&gt;0,AN486/H486,1))),IF(R486&gt;0,AO486/R486,0))/MAX(0.1,N(Parameter!$M$21)))</f>
        <v>0.0384615384615385</v>
      </c>
      <c r="AQ486" s="57" t="n">
        <f aca="false">AN486*G486</f>
        <v>45</v>
      </c>
      <c r="AR486" s="57" t="n">
        <f aca="false">ROUNDUP(MAX(J486/IF(BZ486&gt;0,BZ486,MAX(0.1,N(Cockpit!$I$6))),CC486)/BS486,0)*BS486</f>
        <v>500</v>
      </c>
      <c r="AS486" s="58" t="n">
        <f aca="false">IF(AP486&gt;0,J486/AP486,-1)</f>
        <v>0</v>
      </c>
      <c r="AT486" s="58" t="n">
        <f aca="false">IF(AND(OR(BY486="L1",BY486="L23"),AP486&gt;0),SUMIFS($AP$7:$AP$1843,$BY$7:$BY$1843,BY486,$AS$7:$AS$1843,"&gt;"&amp;AS486)+SUMIFS($AP$7:$AP$1843,$BY$7:$BY$1843,BY486,$AS$7:$AS$1843,AS486,$BQ$7:$BQ$1843,"&lt;="&amp;BQ486),"")</f>
        <v>114.016967332185</v>
      </c>
      <c r="AU486" s="65" t="n">
        <f aca="false">IF(AT486="",0,MAX(0,MIN(1,(IF(BY486="L1",Parameter!$E$5,Parameter!$E$6+Parameter!$E$7)-(AT486-AP486))/AP486)))</f>
        <v>0</v>
      </c>
      <c r="AV486" s="57" t="n">
        <f aca="false">IF(LEFT(Cockpit!$O$5,1)="A",H486,IF(CA486=1,CB486,IF(LEFT(Cockpit!$O$5,1)="B",AZ486,MAX(AZ486,H486))))</f>
        <v>500</v>
      </c>
      <c r="AW486" s="57" t="n">
        <f aca="false">IF(BT486=1,0,ROUNDUP(AV486/BS486,0))</f>
        <v>1</v>
      </c>
      <c r="AX486" s="59" t="n">
        <f aca="false">IF(CH486&gt;0,CH486*MAX(1,AV486/X486),IF(BT486=1,IF(AV486&lt;=0,0,BW486*MAX(1,IF(H486&gt;0,AV486/H486,1))),IF(R486&gt;0,AW486/R486,0))/MAX(0.1,N(Parameter!$M$21)))</f>
        <v>0.0384615384615385</v>
      </c>
      <c r="AY486" s="57" t="n">
        <f aca="false">AV486*G486</f>
        <v>45</v>
      </c>
      <c r="AZ486" s="57" t="n">
        <f aca="false">ROUNDUP(MAX(J486/IF(BZ486&gt;0,BZ486,MAX(0.1,N(Cockpit!$O$6))),CC486)/BS486,0)*BS486</f>
        <v>500</v>
      </c>
      <c r="BA486" s="58" t="n">
        <f aca="false">IF(AX486&gt;0,J486/AX486,-1)</f>
        <v>0</v>
      </c>
      <c r="BB486" s="58" t="n">
        <f aca="false">IF(AND(OR(BY486="L1",BY486="L23"),AX486&gt;0),SUMIFS($AX$7:$AX$1843,$BY$7:$BY$1843,BY486,$BA$7:$BA$1843,"&gt;"&amp;BA486)+SUMIFS($AX$7:$AX$1843,$BY$7:$BY$1843,BY486,$BA$7:$BA$1843,BA486,$BQ$7:$BQ$1843,"&lt;="&amp;BQ486),"")</f>
        <v>104.846804162022</v>
      </c>
      <c r="BC486" s="65" t="n">
        <f aca="false">IF(BB486="",0,MAX(0,MIN(1,(IF(BY486="L1",Parameter!$E$5,Parameter!$E$6+Parameter!$E$7)-(BB486-AX486))/AX486)))</f>
        <v>0</v>
      </c>
      <c r="BD486" s="55" t="str">
        <f aca="false">IF(AH486&lt;=0,"",IF(BY486="Aussen","Aussenlager",IF(BY486="-","Nicht im Lift",IF(AM486&gt;=1,"Lift",IF(AM486&lt;=0,"Aussenlager","teilweise")))))</f>
        <v>Lift</v>
      </c>
      <c r="BE486" s="55" t="str">
        <f aca="false">IF(AP486&lt;=0,"",IF(BY486="Aussen","Aussenlager",IF(BY486="-","Nicht im Lift",IF(AU486&gt;=1,"Lift",IF(AU486&lt;=0,"Aussenlager","teilweise")))))</f>
        <v>Aussenlager</v>
      </c>
      <c r="BF486" s="55" t="str">
        <f aca="false">IF(AX486&lt;=0,"",IF(BY486="Aussen","Aussenlager",IF(BY486="-","Nicht im Lift",IF(BC486&gt;=1,"Lift",IF(BC486&lt;=0,"Aussenlager","teilweise")))))</f>
        <v>Aussenlager</v>
      </c>
      <c r="BG486" s="55" t="str">
        <f aca="false">IF(A486="","",IF(BP486=1,"Neu; ","")&amp;IF(AND(BP486=0,BK486&lt;0),"negativer Bestand (Export "&amp;BK486&amp;"); ","")&amp;IF(J486&lt;=0,"Kein Verbrauch; ","")&amp;IF(CH486&gt;0,"Lift "&amp;W486&amp;" lt. Liftbericht (Fach "&amp;X486&amp;" Stk); ",IF(BU486=1,"Gebinde geschätzt ("&amp;T486&amp;"); ",IF(BT486=1,"Lose – Tablare geschätzt; ","")))&amp;IF(H486&gt;AR486,"Überbestand "&amp;ROUND(H486-AR486,0)&amp;" Stk / CHF "&amp;ROUND((H486-AR486)*G486,0)&amp;"; ","")&amp;IF(AND(CA486=1,CB486&lt;CC486),"MAX &lt; MB+LG; ","")&amp;IF(AND(CG486&gt;0,CF486*10&gt;CG486),"zu hoch für Tablar; ","")&amp;IF(AND(BP486=0,OR(CA486=1,AA486&lt;&gt;"",U486&lt;&gt;"",V486&lt;&gt;"",AB486&lt;&gt;"")),"manuell übersteuert; ","")&amp;IF(AND(BT486=0,R486=0),"Gebinde unbekannt / Stellmass fehlt; ","")&amp;IF(AND(BT486=0,N(V486)&lt;=0,N(Q486)&lt;=0),"Menge pro Gebinde fehlt (Ist = 1 Gebinde); ","")&amp;BO486)</f>
        <v>Kein Verbrauch; Gebinde geschätzt (Klein); Menge pro Gebinde fehlt (Ist = 1 Gebinde); </v>
      </c>
      <c r="BH486" s="55"/>
      <c r="BI486" s="55"/>
      <c r="BJ486" s="62"/>
      <c r="BK486" s="57" t="n">
        <v>500</v>
      </c>
      <c r="BL486" s="57" t="n">
        <v>0</v>
      </c>
      <c r="BM486" s="56" t="n">
        <v>45</v>
      </c>
      <c r="BN486" s="57" t="n">
        <v>0</v>
      </c>
      <c r="BO486" s="55"/>
      <c r="BP486" s="60" t="n">
        <v>0</v>
      </c>
      <c r="BQ486" s="60" t="n">
        <v>486</v>
      </c>
      <c r="BR486" s="55" t="str">
        <f aca="false">IF(U486&lt;&gt;"",UPPER(TRIM(U486)),IF(BU486=1,UPPER(VLOOKUP(T486,Parameter!$I$27:$K$29,2,0)),IF(P486="","LOSE",P486)))</f>
        <v>S51</v>
      </c>
      <c r="BS486" s="57" t="n">
        <f aca="false">IF(BR486="LOSE",1,IF(N(V486)&gt;0,V486,IF(BU486=1,MAX(1,N(VLOOKUP(T486,Parameter!$I$27:$K$29,3,0)),H486,N(N486)),IF(N(Q486)&gt;0,Q486,MAX(1,H486)))))</f>
        <v>500</v>
      </c>
      <c r="BT486" s="60" t="n">
        <f aca="false">IF(BR486="LOSE",1,0)</f>
        <v>0</v>
      </c>
      <c r="BU486" s="60" t="n">
        <f aca="false">IF(AND(U486="",OR(P486="",P486="LOSE"),T486&lt;&gt;"",N(S486)&lt;=0,ISNUMBER(MATCH(T486,Parameter!$I$27:$I$29,0))),1,0)</f>
        <v>1</v>
      </c>
      <c r="BV486" s="55" t="str">
        <f aca="false">IF(AND(Parameter!$B$19="Ja",E486&lt;&gt;"",ISNUMBER(MATCH(E486,Parameter!$I$35:$I$52,0))),VLOOKUP(E486,Parameter!$I$35:$J$52,2,0),IFERROR(VLOOKUP(D486,Parameter!$A$35:$C$64,2,0),"Nein"))</f>
        <v>2+3</v>
      </c>
      <c r="BW486" s="59" t="n">
        <f aca="false">IF(BT486=0,0,IF(N(S486)&gt;0,S486,IFERROR(VLOOKUP(D486,Parameter!$A$35:$C$64,3,0)+0,0)))</f>
        <v>0</v>
      </c>
      <c r="BX486" s="55" t="n">
        <f aca="false">IF(AA486&lt;&gt;"",AA486,Z486)</f>
        <v>3</v>
      </c>
      <c r="BY486" s="55" t="str">
        <f aca="false">IF(BX486=1,"L1",IF(OR(BX486=2,BX486=3),"L23",IF(BX486="Aussen","Aussen","-")))</f>
        <v>L23</v>
      </c>
      <c r="BZ486" s="66" t="n">
        <f aca="false">IF(N(AB486)&gt;0,AB486,0)</f>
        <v>0</v>
      </c>
      <c r="CA486" s="60" t="n">
        <f aca="false">IF(ISNUMBER(AE486),1,0)</f>
        <v>0</v>
      </c>
      <c r="CB486" s="57" t="n">
        <f aca="false">N(AE486)</f>
        <v>0</v>
      </c>
      <c r="CC486" s="57" t="n">
        <f aca="false">N(M486)+N(N486)</f>
        <v>1</v>
      </c>
      <c r="CD486" s="57" t="n">
        <f aca="false">ROUNDUP(H486/BS486,0)</f>
        <v>1</v>
      </c>
      <c r="CE486" s="57" t="n">
        <f aca="false">ROUNDUP(CB486/BS486,0)</f>
        <v>0</v>
      </c>
      <c r="CF486" s="60" t="n">
        <f aca="false">IF(BT486=1,0,IFERROR(VLOOKUP(BR486,'Gebinde-Kategorie'!$A$5:$M$45,5,0)+0,0))</f>
        <v>11</v>
      </c>
      <c r="CG486" s="60" t="n">
        <f aca="false">IFERROR(IF(OR(BX486=1,BX486=2,BX486=3),N(INDEX(Parameter!$I$5:$I$7,BX486)),0),0)</f>
        <v>0</v>
      </c>
      <c r="CH486" s="59" t="n">
        <f aca="false">IF(AND(Parameter!$B$21="Ja",ISNUMBER(W486),N(X486)&gt;0),IFERROR(N(INDEX(Parameter!$L$5:$L$7,W486))*INDEX(Parameter!$E$5:$E$7,W486)*X486/SUMIFS($X$7:$X$1843,$W$7:$W$1843,W486),0),0)</f>
        <v>0</v>
      </c>
    </row>
    <row r="487" customFormat="false" ht="15" hidden="false" customHeight="false" outlineLevel="0" collapsed="false">
      <c r="A487" s="55" t="s">
        <v>1079</v>
      </c>
      <c r="B487" s="55" t="s">
        <v>1080</v>
      </c>
      <c r="C487" s="55" t="s">
        <v>164</v>
      </c>
      <c r="D487" s="55" t="s">
        <v>184</v>
      </c>
      <c r="E487" s="55"/>
      <c r="F487" s="55" t="s">
        <v>218</v>
      </c>
      <c r="G487" s="56" t="n">
        <v>1.49</v>
      </c>
      <c r="H487" s="57" t="n">
        <f aca="false">MAX(0,IF(AND(Parameter!$B$21="Ja",ISNUMBER(Y487)),Y487,IF(Parameter!$B$20="Jahresanfang 2025 + Export",BL487+BK487,BK487)))</f>
        <v>30</v>
      </c>
      <c r="I487" s="57" t="n">
        <f aca="false">H487*G487</f>
        <v>44.7</v>
      </c>
      <c r="J487" s="57" t="n">
        <f aca="false">BN487*Parameter!$B$18</f>
        <v>0</v>
      </c>
      <c r="K487" s="58" t="n">
        <v>0</v>
      </c>
      <c r="L487" s="59" t="n">
        <v>0</v>
      </c>
      <c r="M487" s="57" t="n">
        <v>0</v>
      </c>
      <c r="N487" s="57" t="n">
        <v>10</v>
      </c>
      <c r="O487" s="60" t="n">
        <v>9999</v>
      </c>
      <c r="P487" s="55" t="s">
        <v>168</v>
      </c>
      <c r="Q487" s="57"/>
      <c r="R487" s="60" t="n">
        <f aca="false">IF(BT487=1,0,IFERROR(VLOOKUP(BR487,'Gebinde-Kategorie'!$A$5:$M$45,13,0)+0,0))</f>
        <v>26</v>
      </c>
      <c r="S487" s="61"/>
      <c r="T487" s="62" t="s">
        <v>275</v>
      </c>
      <c r="U487" s="62"/>
      <c r="V487" s="62"/>
      <c r="W487" s="55"/>
      <c r="X487" s="57"/>
      <c r="Y487" s="57"/>
      <c r="Z487" s="55" t="n">
        <f aca="false">IF(A487="","",IF(AND(Parameter!$B$21="Ja",ISNUMBER(W487)),W487,IF(BV487="2+3",IF(ISNUMBER(SEARCH("grosser Artikel",BO487)),2,IFERROR(VLOOKUP(BR487,Parameter!$F$35:$G$64,2,0),2)),IF(OR(BV487="Nein",BV487=""),"-",BV487))))</f>
        <v>3</v>
      </c>
      <c r="AA487" s="62"/>
      <c r="AB487" s="63"/>
      <c r="AC487" s="57" t="n">
        <f aca="false">AR487</f>
        <v>30</v>
      </c>
      <c r="AD487" s="57" t="n">
        <f aca="false">MAX(AR487,H487)</f>
        <v>30</v>
      </c>
      <c r="AE487" s="64"/>
      <c r="AF487" s="57" t="n">
        <f aca="false">IF(LEFT(Cockpit!$C$5,1)="A",H487,IF(CA487=1,CB487,IF(LEFT(Cockpit!$C$5,1)="B",AJ487,MAX(AJ487,H487))))</f>
        <v>30</v>
      </c>
      <c r="AG487" s="57" t="n">
        <f aca="false">IF(BT487=1,0,ROUNDUP(AF487/BS487,0))</f>
        <v>1</v>
      </c>
      <c r="AH487" s="59" t="n">
        <f aca="false">IF(CH487&gt;0,CH487*MAX(1,AF487/X487),IF(BT487=1,IF(AF487&lt;=0,0,BW487*MAX(1,IF(H487&gt;0,AF487/H487,1))),IF(R487&gt;0,AG487/R487,0))/MAX(0.1,N(Parameter!$M$21)))</f>
        <v>0.0384615384615385</v>
      </c>
      <c r="AI487" s="57" t="n">
        <f aca="false">AF487*G487</f>
        <v>44.7</v>
      </c>
      <c r="AJ487" s="57" t="n">
        <f aca="false">ROUNDUP(MAX(J487/IF(BZ487&gt;0,BZ487,MAX(0.1,N(Cockpit!$C$6))),CC487)/BS487,0)*BS487</f>
        <v>30</v>
      </c>
      <c r="AK487" s="58" t="n">
        <f aca="false">IF(AH487&gt;0,J487/AH487,-1)</f>
        <v>0</v>
      </c>
      <c r="AL487" s="58" t="n">
        <f aca="false">IF(AND(OR(BY487="L1",BY487="L23"),AH487&gt;0),SUMIFS($AH$7:$AH$1843,$BY$7:$BY$1843,BY487,$AK$7:$AK$1843,"&gt;"&amp;AK487)+SUMIFS($AH$7:$AH$1843,$BY$7:$BY$1843,BY487,$AK$7:$AK$1843,AK487,$BQ$7:$BQ$1843,"&lt;="&amp;BQ487),"")</f>
        <v>74.6313046856525</v>
      </c>
      <c r="AM487" s="65" t="n">
        <f aca="false">IF(AL487="",0,MAX(0,MIN(1,(IF(BY487="L1",Parameter!$E$5,Parameter!$E$6+Parameter!$E$7)-(AL487-AH487))/AH487)))</f>
        <v>1</v>
      </c>
      <c r="AN487" s="57" t="n">
        <f aca="false">IF(LEFT(Cockpit!$I$5,1)="A",H487,IF(CA487=1,CB487,IF(LEFT(Cockpit!$I$5,1)="B",AR487,MAX(AR487,H487))))</f>
        <v>30</v>
      </c>
      <c r="AO487" s="57" t="n">
        <f aca="false">IF(BT487=1,0,ROUNDUP(AN487/BS487,0))</f>
        <v>1</v>
      </c>
      <c r="AP487" s="59" t="n">
        <f aca="false">IF(CH487&gt;0,CH487*MAX(1,AN487/X487),IF(BT487=1,IF(AN487&lt;=0,0,BW487*MAX(1,IF(H487&gt;0,AN487/H487,1))),IF(R487&gt;0,AO487/R487,0))/MAX(0.1,N(Parameter!$M$21)))</f>
        <v>0.0384615384615385</v>
      </c>
      <c r="AQ487" s="57" t="n">
        <f aca="false">AN487*G487</f>
        <v>44.7</v>
      </c>
      <c r="AR487" s="57" t="n">
        <f aca="false">ROUNDUP(MAX(J487/IF(BZ487&gt;0,BZ487,MAX(0.1,N(Cockpit!$I$6))),CC487)/BS487,0)*BS487</f>
        <v>30</v>
      </c>
      <c r="AS487" s="58" t="n">
        <f aca="false">IF(AP487&gt;0,J487/AP487,-1)</f>
        <v>0</v>
      </c>
      <c r="AT487" s="58" t="n">
        <f aca="false">IF(AND(OR(BY487="L1",BY487="L23"),AP487&gt;0),SUMIFS($AP$7:$AP$1843,$BY$7:$BY$1843,BY487,$AS$7:$AS$1843,"&gt;"&amp;AS487)+SUMIFS($AP$7:$AP$1843,$BY$7:$BY$1843,BY487,$AS$7:$AS$1843,AS487,$BQ$7:$BQ$1843,"&lt;="&amp;BQ487),"")</f>
        <v>114.055428870646</v>
      </c>
      <c r="AU487" s="65" t="n">
        <f aca="false">IF(AT487="",0,MAX(0,MIN(1,(IF(BY487="L1",Parameter!$E$5,Parameter!$E$6+Parameter!$E$7)-(AT487-AP487))/AP487)))</f>
        <v>0</v>
      </c>
      <c r="AV487" s="57" t="n">
        <f aca="false">IF(LEFT(Cockpit!$O$5,1)="A",H487,IF(CA487=1,CB487,IF(LEFT(Cockpit!$O$5,1)="B",AZ487,MAX(AZ487,H487))))</f>
        <v>30</v>
      </c>
      <c r="AW487" s="57" t="n">
        <f aca="false">IF(BT487=1,0,ROUNDUP(AV487/BS487,0))</f>
        <v>1</v>
      </c>
      <c r="AX487" s="59" t="n">
        <f aca="false">IF(CH487&gt;0,CH487*MAX(1,AV487/X487),IF(BT487=1,IF(AV487&lt;=0,0,BW487*MAX(1,IF(H487&gt;0,AV487/H487,1))),IF(R487&gt;0,AW487/R487,0))/MAX(0.1,N(Parameter!$M$21)))</f>
        <v>0.0384615384615385</v>
      </c>
      <c r="AY487" s="57" t="n">
        <f aca="false">AV487*G487</f>
        <v>44.7</v>
      </c>
      <c r="AZ487" s="57" t="n">
        <f aca="false">ROUNDUP(MAX(J487/IF(BZ487&gt;0,BZ487,MAX(0.1,N(Cockpit!$O$6))),CC487)/BS487,0)*BS487</f>
        <v>30</v>
      </c>
      <c r="BA487" s="58" t="n">
        <f aca="false">IF(AX487&gt;0,J487/AX487,-1)</f>
        <v>0</v>
      </c>
      <c r="BB487" s="58" t="n">
        <f aca="false">IF(AND(OR(BY487="L1",BY487="L23"),AX487&gt;0),SUMIFS($AX$7:$AX$1843,$BY$7:$BY$1843,BY487,$BA$7:$BA$1843,"&gt;"&amp;BA487)+SUMIFS($AX$7:$AX$1843,$BY$7:$BY$1843,BY487,$BA$7:$BA$1843,BA487,$BQ$7:$BQ$1843,"&lt;="&amp;BQ487),"")</f>
        <v>104.885265700483</v>
      </c>
      <c r="BC487" s="65" t="n">
        <f aca="false">IF(BB487="",0,MAX(0,MIN(1,(IF(BY487="L1",Parameter!$E$5,Parameter!$E$6+Parameter!$E$7)-(BB487-AX487))/AX487)))</f>
        <v>0</v>
      </c>
      <c r="BD487" s="55" t="str">
        <f aca="false">IF(AH487&lt;=0,"",IF(BY487="Aussen","Aussenlager",IF(BY487="-","Nicht im Lift",IF(AM487&gt;=1,"Lift",IF(AM487&lt;=0,"Aussenlager","teilweise")))))</f>
        <v>Lift</v>
      </c>
      <c r="BE487" s="55" t="str">
        <f aca="false">IF(AP487&lt;=0,"",IF(BY487="Aussen","Aussenlager",IF(BY487="-","Nicht im Lift",IF(AU487&gt;=1,"Lift",IF(AU487&lt;=0,"Aussenlager","teilweise")))))</f>
        <v>Aussenlager</v>
      </c>
      <c r="BF487" s="55" t="str">
        <f aca="false">IF(AX487&lt;=0,"",IF(BY487="Aussen","Aussenlager",IF(BY487="-","Nicht im Lift",IF(BC487&gt;=1,"Lift",IF(BC487&lt;=0,"Aussenlager","teilweise")))))</f>
        <v>Aussenlager</v>
      </c>
      <c r="BG487" s="55" t="str">
        <f aca="false">IF(A487="","",IF(BP487=1,"Neu; ","")&amp;IF(AND(BP487=0,BK487&lt;0),"negativer Bestand (Export "&amp;BK487&amp;"); ","")&amp;IF(J487&lt;=0,"Kein Verbrauch; ","")&amp;IF(CH487&gt;0,"Lift "&amp;W487&amp;" lt. Liftbericht (Fach "&amp;X487&amp;" Stk); ",IF(BU487=1,"Gebinde geschätzt ("&amp;T487&amp;"); ",IF(BT487=1,"Lose – Tablare geschätzt; ","")))&amp;IF(H487&gt;AR487,"Überbestand "&amp;ROUND(H487-AR487,0)&amp;" Stk / CHF "&amp;ROUND((H487-AR487)*G487,0)&amp;"; ","")&amp;IF(AND(CA487=1,CB487&lt;CC487),"MAX &lt; MB+LG; ","")&amp;IF(AND(CG487&gt;0,CF487*10&gt;CG487),"zu hoch für Tablar; ","")&amp;IF(AND(BP487=0,OR(CA487=1,AA487&lt;&gt;"",U487&lt;&gt;"",V487&lt;&gt;"",AB487&lt;&gt;"")),"manuell übersteuert; ","")&amp;IF(AND(BT487=0,R487=0),"Gebinde unbekannt / Stellmass fehlt; ","")&amp;IF(AND(BT487=0,N(V487)&lt;=0,N(Q487)&lt;=0),"Menge pro Gebinde fehlt (Ist = 1 Gebinde); ","")&amp;BO487)</f>
        <v>Kein Verbrauch; Gebinde geschätzt (Klein); Menge pro Gebinde fehlt (Ist = 1 Gebinde); </v>
      </c>
      <c r="BH487" s="55"/>
      <c r="BI487" s="55"/>
      <c r="BJ487" s="62"/>
      <c r="BK487" s="57" t="n">
        <v>30</v>
      </c>
      <c r="BL487" s="57" t="n">
        <v>0</v>
      </c>
      <c r="BM487" s="56" t="n">
        <v>44.7</v>
      </c>
      <c r="BN487" s="57" t="n">
        <v>0</v>
      </c>
      <c r="BO487" s="55"/>
      <c r="BP487" s="60" t="n">
        <v>0</v>
      </c>
      <c r="BQ487" s="60" t="n">
        <v>487</v>
      </c>
      <c r="BR487" s="55" t="str">
        <f aca="false">IF(U487&lt;&gt;"",UPPER(TRIM(U487)),IF(BU487=1,UPPER(VLOOKUP(T487,Parameter!$I$27:$K$29,2,0)),IF(P487="","LOSE",P487)))</f>
        <v>S51</v>
      </c>
      <c r="BS487" s="57" t="n">
        <f aca="false">IF(BR487="LOSE",1,IF(N(V487)&gt;0,V487,IF(BU487=1,MAX(1,N(VLOOKUP(T487,Parameter!$I$27:$K$29,3,0)),H487,N(N487)),IF(N(Q487)&gt;0,Q487,MAX(1,H487)))))</f>
        <v>30</v>
      </c>
      <c r="BT487" s="60" t="n">
        <f aca="false">IF(BR487="LOSE",1,0)</f>
        <v>0</v>
      </c>
      <c r="BU487" s="60" t="n">
        <f aca="false">IF(AND(U487="",OR(P487="",P487="LOSE"),T487&lt;&gt;"",N(S487)&lt;=0,ISNUMBER(MATCH(T487,Parameter!$I$27:$I$29,0))),1,0)</f>
        <v>1</v>
      </c>
      <c r="BV487" s="55" t="str">
        <f aca="false">IF(AND(Parameter!$B$19="Ja",E487&lt;&gt;"",ISNUMBER(MATCH(E487,Parameter!$I$35:$I$52,0))),VLOOKUP(E487,Parameter!$I$35:$J$52,2,0),IFERROR(VLOOKUP(D487,Parameter!$A$35:$C$64,2,0),"Nein"))</f>
        <v>2+3</v>
      </c>
      <c r="BW487" s="59" t="n">
        <f aca="false">IF(BT487=0,0,IF(N(S487)&gt;0,S487,IFERROR(VLOOKUP(D487,Parameter!$A$35:$C$64,3,0)+0,0)))</f>
        <v>0</v>
      </c>
      <c r="BX487" s="55" t="n">
        <f aca="false">IF(AA487&lt;&gt;"",AA487,Z487)</f>
        <v>3</v>
      </c>
      <c r="BY487" s="55" t="str">
        <f aca="false">IF(BX487=1,"L1",IF(OR(BX487=2,BX487=3),"L23",IF(BX487="Aussen","Aussen","-")))</f>
        <v>L23</v>
      </c>
      <c r="BZ487" s="66" t="n">
        <f aca="false">IF(N(AB487)&gt;0,AB487,0)</f>
        <v>0</v>
      </c>
      <c r="CA487" s="60" t="n">
        <f aca="false">IF(ISNUMBER(AE487),1,0)</f>
        <v>0</v>
      </c>
      <c r="CB487" s="57" t="n">
        <f aca="false">N(AE487)</f>
        <v>0</v>
      </c>
      <c r="CC487" s="57" t="n">
        <f aca="false">N(M487)+N(N487)</f>
        <v>10</v>
      </c>
      <c r="CD487" s="57" t="n">
        <f aca="false">ROUNDUP(H487/BS487,0)</f>
        <v>1</v>
      </c>
      <c r="CE487" s="57" t="n">
        <f aca="false">ROUNDUP(CB487/BS487,0)</f>
        <v>0</v>
      </c>
      <c r="CF487" s="60" t="n">
        <f aca="false">IF(BT487=1,0,IFERROR(VLOOKUP(BR487,'Gebinde-Kategorie'!$A$5:$M$45,5,0)+0,0))</f>
        <v>11</v>
      </c>
      <c r="CG487" s="60" t="n">
        <f aca="false">IFERROR(IF(OR(BX487=1,BX487=2,BX487=3),N(INDEX(Parameter!$I$5:$I$7,BX487)),0),0)</f>
        <v>0</v>
      </c>
      <c r="CH487" s="59" t="n">
        <f aca="false">IF(AND(Parameter!$B$21="Ja",ISNUMBER(W487),N(X487)&gt;0),IFERROR(N(INDEX(Parameter!$L$5:$L$7,W487))*INDEX(Parameter!$E$5:$E$7,W487)*X487/SUMIFS($X$7:$X$1843,$W$7:$W$1843,W487),0),0)</f>
        <v>0</v>
      </c>
    </row>
    <row r="488" customFormat="false" ht="15" hidden="false" customHeight="false" outlineLevel="0" collapsed="false">
      <c r="A488" s="55" t="s">
        <v>1081</v>
      </c>
      <c r="B488" s="55" t="s">
        <v>532</v>
      </c>
      <c r="C488" s="55" t="s">
        <v>167</v>
      </c>
      <c r="D488" s="55" t="s">
        <v>184</v>
      </c>
      <c r="E488" s="55"/>
      <c r="F488" s="55" t="s">
        <v>218</v>
      </c>
      <c r="G488" s="56" t="n">
        <v>14.75</v>
      </c>
      <c r="H488" s="57" t="n">
        <f aca="false">MAX(0,IF(AND(Parameter!$B$21="Ja",ISNUMBER(Y488)),Y488,IF(Parameter!$B$20="Jahresanfang 2025 + Export",BL488+BK488,BK488)))</f>
        <v>45</v>
      </c>
      <c r="I488" s="57" t="n">
        <f aca="false">H488*G488</f>
        <v>663.75</v>
      </c>
      <c r="J488" s="57" t="n">
        <f aca="false">BN488*Parameter!$B$18</f>
        <v>0</v>
      </c>
      <c r="K488" s="58" t="n">
        <v>43.5</v>
      </c>
      <c r="L488" s="59" t="n">
        <v>0</v>
      </c>
      <c r="M488" s="57" t="n">
        <v>0</v>
      </c>
      <c r="N488" s="57" t="n">
        <v>1</v>
      </c>
      <c r="O488" s="60" t="n">
        <v>21</v>
      </c>
      <c r="P488" s="55" t="s">
        <v>168</v>
      </c>
      <c r="Q488" s="57"/>
      <c r="R488" s="60" t="n">
        <f aca="false">IF(BT488=1,0,IFERROR(VLOOKUP(BR488,'Gebinde-Kategorie'!$A$5:$M$45,13,0)+0,0))</f>
        <v>26</v>
      </c>
      <c r="S488" s="61"/>
      <c r="T488" s="62" t="s">
        <v>275</v>
      </c>
      <c r="U488" s="62"/>
      <c r="V488" s="62"/>
      <c r="W488" s="55"/>
      <c r="X488" s="57"/>
      <c r="Y488" s="57"/>
      <c r="Z488" s="55" t="n">
        <f aca="false">IF(A488="","",IF(AND(Parameter!$B$21="Ja",ISNUMBER(W488)),W488,IF(BV488="2+3",IF(ISNUMBER(SEARCH("grosser Artikel",BO488)),2,IFERROR(VLOOKUP(BR488,Parameter!$F$35:$G$64,2,0),2)),IF(OR(BV488="Nein",BV488=""),"-",BV488))))</f>
        <v>3</v>
      </c>
      <c r="AA488" s="62"/>
      <c r="AB488" s="63"/>
      <c r="AC488" s="57" t="n">
        <f aca="false">AR488</f>
        <v>45</v>
      </c>
      <c r="AD488" s="57" t="n">
        <f aca="false">MAX(AR488,H488)</f>
        <v>45</v>
      </c>
      <c r="AE488" s="64"/>
      <c r="AF488" s="57" t="n">
        <f aca="false">IF(LEFT(Cockpit!$C$5,1)="A",H488,IF(CA488=1,CB488,IF(LEFT(Cockpit!$C$5,1)="B",AJ488,MAX(AJ488,H488))))</f>
        <v>45</v>
      </c>
      <c r="AG488" s="57" t="n">
        <f aca="false">IF(BT488=1,0,ROUNDUP(AF488/BS488,0))</f>
        <v>1</v>
      </c>
      <c r="AH488" s="59" t="n">
        <f aca="false">IF(CH488&gt;0,CH488*MAX(1,AF488/X488),IF(BT488=1,IF(AF488&lt;=0,0,BW488*MAX(1,IF(H488&gt;0,AF488/H488,1))),IF(R488&gt;0,AG488/R488,0))/MAX(0.1,N(Parameter!$M$21)))</f>
        <v>0.0384615384615385</v>
      </c>
      <c r="AI488" s="57" t="n">
        <f aca="false">AF488*G488</f>
        <v>663.75</v>
      </c>
      <c r="AJ488" s="57" t="n">
        <f aca="false">ROUNDUP(MAX(J488/IF(BZ488&gt;0,BZ488,MAX(0.1,N(Cockpit!$C$6))),CC488)/BS488,0)*BS488</f>
        <v>45</v>
      </c>
      <c r="AK488" s="58" t="n">
        <f aca="false">IF(AH488&gt;0,J488/AH488,-1)</f>
        <v>0</v>
      </c>
      <c r="AL488" s="58" t="n">
        <f aca="false">IF(AND(OR(BY488="L1",BY488="L23"),AH488&gt;0),SUMIFS($AH$7:$AH$1843,$BY$7:$BY$1843,BY488,$AK$7:$AK$1843,"&gt;"&amp;AK488)+SUMIFS($AH$7:$AH$1843,$BY$7:$BY$1843,BY488,$AK$7:$AK$1843,AK488,$BQ$7:$BQ$1843,"&lt;="&amp;BQ488),"")</f>
        <v>74.6697662241141</v>
      </c>
      <c r="AM488" s="65" t="n">
        <f aca="false">IF(AL488="",0,MAX(0,MIN(1,(IF(BY488="L1",Parameter!$E$5,Parameter!$E$6+Parameter!$E$7)-(AL488-AH488))/AH488)))</f>
        <v>1</v>
      </c>
      <c r="AN488" s="57" t="n">
        <f aca="false">IF(LEFT(Cockpit!$I$5,1)="A",H488,IF(CA488=1,CB488,IF(LEFT(Cockpit!$I$5,1)="B",AR488,MAX(AR488,H488))))</f>
        <v>45</v>
      </c>
      <c r="AO488" s="57" t="n">
        <f aca="false">IF(BT488=1,0,ROUNDUP(AN488/BS488,0))</f>
        <v>1</v>
      </c>
      <c r="AP488" s="59" t="n">
        <f aca="false">IF(CH488&gt;0,CH488*MAX(1,AN488/X488),IF(BT488=1,IF(AN488&lt;=0,0,BW488*MAX(1,IF(H488&gt;0,AN488/H488,1))),IF(R488&gt;0,AO488/R488,0))/MAX(0.1,N(Parameter!$M$21)))</f>
        <v>0.0384615384615385</v>
      </c>
      <c r="AQ488" s="57" t="n">
        <f aca="false">AN488*G488</f>
        <v>663.75</v>
      </c>
      <c r="AR488" s="57" t="n">
        <f aca="false">ROUNDUP(MAX(J488/IF(BZ488&gt;0,BZ488,MAX(0.1,N(Cockpit!$I$6))),CC488)/BS488,0)*BS488</f>
        <v>45</v>
      </c>
      <c r="AS488" s="58" t="n">
        <f aca="false">IF(AP488&gt;0,J488/AP488,-1)</f>
        <v>0</v>
      </c>
      <c r="AT488" s="58" t="n">
        <f aca="false">IF(AND(OR(BY488="L1",BY488="L23"),AP488&gt;0),SUMIFS($AP$7:$AP$1843,$BY$7:$BY$1843,BY488,$AS$7:$AS$1843,"&gt;"&amp;AS488)+SUMIFS($AP$7:$AP$1843,$BY$7:$BY$1843,BY488,$AS$7:$AS$1843,AS488,$BQ$7:$BQ$1843,"&lt;="&amp;BQ488),"")</f>
        <v>114.093890409108</v>
      </c>
      <c r="AU488" s="65" t="n">
        <f aca="false">IF(AT488="",0,MAX(0,MIN(1,(IF(BY488="L1",Parameter!$E$5,Parameter!$E$6+Parameter!$E$7)-(AT488-AP488))/AP488)))</f>
        <v>0</v>
      </c>
      <c r="AV488" s="57" t="n">
        <f aca="false">IF(LEFT(Cockpit!$O$5,1)="A",H488,IF(CA488=1,CB488,IF(LEFT(Cockpit!$O$5,1)="B",AZ488,MAX(AZ488,H488))))</f>
        <v>45</v>
      </c>
      <c r="AW488" s="57" t="n">
        <f aca="false">IF(BT488=1,0,ROUNDUP(AV488/BS488,0))</f>
        <v>1</v>
      </c>
      <c r="AX488" s="59" t="n">
        <f aca="false">IF(CH488&gt;0,CH488*MAX(1,AV488/X488),IF(BT488=1,IF(AV488&lt;=0,0,BW488*MAX(1,IF(H488&gt;0,AV488/H488,1))),IF(R488&gt;0,AW488/R488,0))/MAX(0.1,N(Parameter!$M$21)))</f>
        <v>0.0384615384615385</v>
      </c>
      <c r="AY488" s="57" t="n">
        <f aca="false">AV488*G488</f>
        <v>663.75</v>
      </c>
      <c r="AZ488" s="57" t="n">
        <f aca="false">ROUNDUP(MAX(J488/IF(BZ488&gt;0,BZ488,MAX(0.1,N(Cockpit!$O$6))),CC488)/BS488,0)*BS488</f>
        <v>45</v>
      </c>
      <c r="BA488" s="58" t="n">
        <f aca="false">IF(AX488&gt;0,J488/AX488,-1)</f>
        <v>0</v>
      </c>
      <c r="BB488" s="58" t="n">
        <f aca="false">IF(AND(OR(BY488="L1",BY488="L23"),AX488&gt;0),SUMIFS($AX$7:$AX$1843,$BY$7:$BY$1843,BY488,$BA$7:$BA$1843,"&gt;"&amp;BA488)+SUMIFS($AX$7:$AX$1843,$BY$7:$BY$1843,BY488,$BA$7:$BA$1843,BA488,$BQ$7:$BQ$1843,"&lt;="&amp;BQ488),"")</f>
        <v>104.923727238945</v>
      </c>
      <c r="BC488" s="65" t="n">
        <f aca="false">IF(BB488="",0,MAX(0,MIN(1,(IF(BY488="L1",Parameter!$E$5,Parameter!$E$6+Parameter!$E$7)-(BB488-AX488))/AX488)))</f>
        <v>0</v>
      </c>
      <c r="BD488" s="55" t="str">
        <f aca="false">IF(AH488&lt;=0,"",IF(BY488="Aussen","Aussenlager",IF(BY488="-","Nicht im Lift",IF(AM488&gt;=1,"Lift",IF(AM488&lt;=0,"Aussenlager","teilweise")))))</f>
        <v>Lift</v>
      </c>
      <c r="BE488" s="55" t="str">
        <f aca="false">IF(AP488&lt;=0,"",IF(BY488="Aussen","Aussenlager",IF(BY488="-","Nicht im Lift",IF(AU488&gt;=1,"Lift",IF(AU488&lt;=0,"Aussenlager","teilweise")))))</f>
        <v>Aussenlager</v>
      </c>
      <c r="BF488" s="55" t="str">
        <f aca="false">IF(AX488&lt;=0,"",IF(BY488="Aussen","Aussenlager",IF(BY488="-","Nicht im Lift",IF(BC488&gt;=1,"Lift",IF(BC488&lt;=0,"Aussenlager","teilweise")))))</f>
        <v>Aussenlager</v>
      </c>
      <c r="BG488" s="55" t="str">
        <f aca="false">IF(A488="","",IF(BP488=1,"Neu; ","")&amp;IF(AND(BP488=0,BK488&lt;0),"negativer Bestand (Export "&amp;BK488&amp;"); ","")&amp;IF(J488&lt;=0,"Kein Verbrauch; ","")&amp;IF(CH488&gt;0,"Lift "&amp;W488&amp;" lt. Liftbericht (Fach "&amp;X488&amp;" Stk); ",IF(BU488=1,"Gebinde geschätzt ("&amp;T488&amp;"); ",IF(BT488=1,"Lose – Tablare geschätzt; ","")))&amp;IF(H488&gt;AR488,"Überbestand "&amp;ROUND(H488-AR488,0)&amp;" Stk / CHF "&amp;ROUND((H488-AR488)*G488,0)&amp;"; ","")&amp;IF(AND(CA488=1,CB488&lt;CC488),"MAX &lt; MB+LG; ","")&amp;IF(AND(CG488&gt;0,CF488*10&gt;CG488),"zu hoch für Tablar; ","")&amp;IF(AND(BP488=0,OR(CA488=1,AA488&lt;&gt;"",U488&lt;&gt;"",V488&lt;&gt;"",AB488&lt;&gt;"")),"manuell übersteuert; ","")&amp;IF(AND(BT488=0,R488=0),"Gebinde unbekannt / Stellmass fehlt; ","")&amp;IF(AND(BT488=0,N(V488)&lt;=0,N(Q488)&lt;=0),"Menge pro Gebinde fehlt (Ist = 1 Gebinde); ","")&amp;BO488)</f>
        <v>Kein Verbrauch; Gebinde geschätzt (Klein); Menge pro Gebinde fehlt (Ist = 1 Gebinde); </v>
      </c>
      <c r="BH488" s="55"/>
      <c r="BI488" s="55"/>
      <c r="BJ488" s="62"/>
      <c r="BK488" s="57" t="n">
        <v>3</v>
      </c>
      <c r="BL488" s="57" t="n">
        <v>42</v>
      </c>
      <c r="BM488" s="56" t="n">
        <v>44.25</v>
      </c>
      <c r="BN488" s="57" t="n">
        <v>0</v>
      </c>
      <c r="BO488" s="55"/>
      <c r="BP488" s="60" t="n">
        <v>0</v>
      </c>
      <c r="BQ488" s="60" t="n">
        <v>488</v>
      </c>
      <c r="BR488" s="55" t="str">
        <f aca="false">IF(U488&lt;&gt;"",UPPER(TRIM(U488)),IF(BU488=1,UPPER(VLOOKUP(T488,Parameter!$I$27:$K$29,2,0)),IF(P488="","LOSE",P488)))</f>
        <v>S51</v>
      </c>
      <c r="BS488" s="57" t="n">
        <f aca="false">IF(BR488="LOSE",1,IF(N(V488)&gt;0,V488,IF(BU488=1,MAX(1,N(VLOOKUP(T488,Parameter!$I$27:$K$29,3,0)),H488,N(N488)),IF(N(Q488)&gt;0,Q488,MAX(1,H488)))))</f>
        <v>45</v>
      </c>
      <c r="BT488" s="60" t="n">
        <f aca="false">IF(BR488="LOSE",1,0)</f>
        <v>0</v>
      </c>
      <c r="BU488" s="60" t="n">
        <f aca="false">IF(AND(U488="",OR(P488="",P488="LOSE"),T488&lt;&gt;"",N(S488)&lt;=0,ISNUMBER(MATCH(T488,Parameter!$I$27:$I$29,0))),1,0)</f>
        <v>1</v>
      </c>
      <c r="BV488" s="55" t="str">
        <f aca="false">IF(AND(Parameter!$B$19="Ja",E488&lt;&gt;"",ISNUMBER(MATCH(E488,Parameter!$I$35:$I$52,0))),VLOOKUP(E488,Parameter!$I$35:$J$52,2,0),IFERROR(VLOOKUP(D488,Parameter!$A$35:$C$64,2,0),"Nein"))</f>
        <v>2+3</v>
      </c>
      <c r="BW488" s="59" t="n">
        <f aca="false">IF(BT488=0,0,IF(N(S488)&gt;0,S488,IFERROR(VLOOKUP(D488,Parameter!$A$35:$C$64,3,0)+0,0)))</f>
        <v>0</v>
      </c>
      <c r="BX488" s="55" t="n">
        <f aca="false">IF(AA488&lt;&gt;"",AA488,Z488)</f>
        <v>3</v>
      </c>
      <c r="BY488" s="55" t="str">
        <f aca="false">IF(BX488=1,"L1",IF(OR(BX488=2,BX488=3),"L23",IF(BX488="Aussen","Aussen","-")))</f>
        <v>L23</v>
      </c>
      <c r="BZ488" s="66" t="n">
        <f aca="false">IF(N(AB488)&gt;0,AB488,0)</f>
        <v>0</v>
      </c>
      <c r="CA488" s="60" t="n">
        <f aca="false">IF(ISNUMBER(AE488),1,0)</f>
        <v>0</v>
      </c>
      <c r="CB488" s="57" t="n">
        <f aca="false">N(AE488)</f>
        <v>0</v>
      </c>
      <c r="CC488" s="57" t="n">
        <f aca="false">N(M488)+N(N488)</f>
        <v>1</v>
      </c>
      <c r="CD488" s="57" t="n">
        <f aca="false">ROUNDUP(H488/BS488,0)</f>
        <v>1</v>
      </c>
      <c r="CE488" s="57" t="n">
        <f aca="false">ROUNDUP(CB488/BS488,0)</f>
        <v>0</v>
      </c>
      <c r="CF488" s="60" t="n">
        <f aca="false">IF(BT488=1,0,IFERROR(VLOOKUP(BR488,'Gebinde-Kategorie'!$A$5:$M$45,5,0)+0,0))</f>
        <v>11</v>
      </c>
      <c r="CG488" s="60" t="n">
        <f aca="false">IFERROR(IF(OR(BX488=1,BX488=2,BX488=3),N(INDEX(Parameter!$I$5:$I$7,BX488)),0),0)</f>
        <v>0</v>
      </c>
      <c r="CH488" s="59" t="n">
        <f aca="false">IF(AND(Parameter!$B$21="Ja",ISNUMBER(W488),N(X488)&gt;0),IFERROR(N(INDEX(Parameter!$L$5:$L$7,W488))*INDEX(Parameter!$E$5:$E$7,W488)*X488/SUMIFS($X$7:$X$1843,$W$7:$W$1843,W488),0),0)</f>
        <v>0</v>
      </c>
    </row>
    <row r="489" customFormat="false" ht="15" hidden="false" customHeight="false" outlineLevel="0" collapsed="false">
      <c r="A489" s="55" t="s">
        <v>1082</v>
      </c>
      <c r="B489" s="55" t="s">
        <v>1083</v>
      </c>
      <c r="C489" s="55" t="s">
        <v>164</v>
      </c>
      <c r="D489" s="55" t="s">
        <v>184</v>
      </c>
      <c r="E489" s="55" t="s">
        <v>185</v>
      </c>
      <c r="F489" s="55" t="s">
        <v>218</v>
      </c>
      <c r="G489" s="56" t="n">
        <v>3.74</v>
      </c>
      <c r="H489" s="57" t="n">
        <f aca="false">MAX(0,IF(AND(Parameter!$B$21="Ja",ISNUMBER(Y489)),Y489,IF(Parameter!$B$20="Jahresanfang 2025 + Export",BL489+BK489,BK489)))</f>
        <v>52</v>
      </c>
      <c r="I489" s="57" t="n">
        <f aca="false">H489*G489</f>
        <v>194.48</v>
      </c>
      <c r="J489" s="57" t="n">
        <f aca="false">BN489*Parameter!$B$18</f>
        <v>16</v>
      </c>
      <c r="K489" s="58" t="n">
        <v>55</v>
      </c>
      <c r="L489" s="59" t="n">
        <v>0.290909090909091</v>
      </c>
      <c r="M489" s="57" t="n">
        <v>2</v>
      </c>
      <c r="N489" s="57" t="n">
        <v>50</v>
      </c>
      <c r="O489" s="60" t="n">
        <v>35</v>
      </c>
      <c r="P489" s="55" t="s">
        <v>328</v>
      </c>
      <c r="Q489" s="57" t="n">
        <v>78</v>
      </c>
      <c r="R489" s="60" t="n">
        <f aca="false">IF(BT489=1,0,IFERROR(VLOOKUP(BR489,'Gebinde-Kategorie'!$A$5:$M$45,13,0)+0,0))</f>
        <v>52</v>
      </c>
      <c r="S489" s="61"/>
      <c r="T489" s="62"/>
      <c r="U489" s="62"/>
      <c r="V489" s="62"/>
      <c r="W489" s="55"/>
      <c r="X489" s="57"/>
      <c r="Y489" s="57"/>
      <c r="Z489" s="55" t="n">
        <f aca="false">IF(A489="","",IF(AND(Parameter!$B$21="Ja",ISNUMBER(W489)),W489,IF(BV489="2+3",IF(ISNUMBER(SEARCH("grosser Artikel",BO489)),2,IFERROR(VLOOKUP(BR489,Parameter!$F$35:$G$64,2,0),2)),IF(OR(BV489="Nein",BV489=""),"-",BV489))))</f>
        <v>3</v>
      </c>
      <c r="AA489" s="62"/>
      <c r="AB489" s="63"/>
      <c r="AC489" s="57" t="n">
        <f aca="false">AR489</f>
        <v>78</v>
      </c>
      <c r="AD489" s="57" t="n">
        <f aca="false">MAX(AR489,H489)</f>
        <v>78</v>
      </c>
      <c r="AE489" s="64"/>
      <c r="AF489" s="57" t="n">
        <f aca="false">IF(LEFT(Cockpit!$C$5,1)="A",H489,IF(CA489=1,CB489,IF(LEFT(Cockpit!$C$5,1)="B",AJ489,MAX(AJ489,H489))))</f>
        <v>52</v>
      </c>
      <c r="AG489" s="57" t="n">
        <f aca="false">IF(BT489=1,0,ROUNDUP(AF489/BS489,0))</f>
        <v>1</v>
      </c>
      <c r="AH489" s="59" t="n">
        <f aca="false">IF(CH489&gt;0,CH489*MAX(1,AF489/X489),IF(BT489=1,IF(AF489&lt;=0,0,BW489*MAX(1,IF(H489&gt;0,AF489/H489,1))),IF(R489&gt;0,AG489/R489,0))/MAX(0.1,N(Parameter!$M$21)))</f>
        <v>0.0192307692307692</v>
      </c>
      <c r="AI489" s="57" t="n">
        <f aca="false">AF489*G489</f>
        <v>194.48</v>
      </c>
      <c r="AJ489" s="57" t="n">
        <f aca="false">ROUNDUP(MAX(J489/IF(BZ489&gt;0,BZ489,MAX(0.1,N(Cockpit!$C$6))),CC489)/BS489,0)*BS489</f>
        <v>78</v>
      </c>
      <c r="AK489" s="58" t="n">
        <f aca="false">IF(AH489&gt;0,J489/AH489,-1)</f>
        <v>832</v>
      </c>
      <c r="AL489" s="58" t="n">
        <f aca="false">IF(AND(OR(BY489="L1",BY489="L23"),AH489&gt;0),SUMIFS($AH$7:$AH$1843,$BY$7:$BY$1843,BY489,$AK$7:$AK$1843,"&gt;"&amp;AK489)+SUMIFS($AH$7:$AH$1843,$BY$7:$BY$1843,BY489,$AK$7:$AK$1843,AK489,$BQ$7:$BQ$1843,"&lt;="&amp;BQ489),"")</f>
        <v>20.6295817708861</v>
      </c>
      <c r="AM489" s="65" t="n">
        <f aca="false">IF(AL489="",0,MAX(0,MIN(1,(IF(BY489="L1",Parameter!$E$5,Parameter!$E$6+Parameter!$E$7)-(AL489-AH489))/AH489)))</f>
        <v>1</v>
      </c>
      <c r="AN489" s="57" t="n">
        <f aca="false">IF(LEFT(Cockpit!$I$5,1)="A",H489,IF(CA489=1,CB489,IF(LEFT(Cockpit!$I$5,1)="B",AR489,MAX(AR489,H489))))</f>
        <v>78</v>
      </c>
      <c r="AO489" s="57" t="n">
        <f aca="false">IF(BT489=1,0,ROUNDUP(AN489/BS489,0))</f>
        <v>1</v>
      </c>
      <c r="AP489" s="59" t="n">
        <f aca="false">IF(CH489&gt;0,CH489*MAX(1,AN489/X489),IF(BT489=1,IF(AN489&lt;=0,0,BW489*MAX(1,IF(H489&gt;0,AN489/H489,1))),IF(R489&gt;0,AO489/R489,0))/MAX(0.1,N(Parameter!$M$21)))</f>
        <v>0.0192307692307692</v>
      </c>
      <c r="AQ489" s="57" t="n">
        <f aca="false">AN489*G489</f>
        <v>291.72</v>
      </c>
      <c r="AR489" s="57" t="n">
        <f aca="false">ROUNDUP(MAX(J489/IF(BZ489&gt;0,BZ489,MAX(0.1,N(Cockpit!$I$6))),CC489)/BS489,0)*BS489</f>
        <v>78</v>
      </c>
      <c r="AS489" s="58" t="n">
        <f aca="false">IF(AP489&gt;0,J489/AP489,-1)</f>
        <v>832</v>
      </c>
      <c r="AT489" s="58" t="n">
        <f aca="false">IF(AND(OR(BY489="L1",BY489="L23"),AP489&gt;0),SUMIFS($AP$7:$AP$1843,$BY$7:$BY$1843,BY489,$AS$7:$AS$1843,"&gt;"&amp;AS489)+SUMIFS($AP$7:$AP$1843,$BY$7:$BY$1843,BY489,$AS$7:$AS$1843,AS489,$BQ$7:$BQ$1843,"&lt;="&amp;BQ489),"")</f>
        <v>25.585360291882</v>
      </c>
      <c r="AU489" s="65" t="n">
        <f aca="false">IF(AT489="",0,MAX(0,MIN(1,(IF(BY489="L1",Parameter!$E$5,Parameter!$E$6+Parameter!$E$7)-(AT489-AP489))/AP489)))</f>
        <v>1</v>
      </c>
      <c r="AV489" s="57" t="n">
        <f aca="false">IF(LEFT(Cockpit!$O$5,1)="A",H489,IF(CA489=1,CB489,IF(LEFT(Cockpit!$O$5,1)="B",AZ489,MAX(AZ489,H489))))</f>
        <v>78</v>
      </c>
      <c r="AW489" s="57" t="n">
        <f aca="false">IF(BT489=1,0,ROUNDUP(AV489/BS489,0))</f>
        <v>1</v>
      </c>
      <c r="AX489" s="59" t="n">
        <f aca="false">IF(CH489&gt;0,CH489*MAX(1,AV489/X489),IF(BT489=1,IF(AV489&lt;=0,0,BW489*MAX(1,IF(H489&gt;0,AV489/H489,1))),IF(R489&gt;0,AW489/R489,0))/MAX(0.1,N(Parameter!$M$21)))</f>
        <v>0.0192307692307692</v>
      </c>
      <c r="AY489" s="57" t="n">
        <f aca="false">AV489*G489</f>
        <v>291.72</v>
      </c>
      <c r="AZ489" s="57" t="n">
        <f aca="false">ROUNDUP(MAX(J489/IF(BZ489&gt;0,BZ489,MAX(0.1,N(Cockpit!$O$6))),CC489)/BS489,0)*BS489</f>
        <v>78</v>
      </c>
      <c r="BA489" s="58" t="n">
        <f aca="false">IF(AX489&gt;0,J489/AX489,-1)</f>
        <v>832</v>
      </c>
      <c r="BB489" s="58" t="n">
        <f aca="false">IF(AND(OR(BY489="L1",BY489="L23"),AX489&gt;0),SUMIFS($AX$7:$AX$1843,$BY$7:$BY$1843,BY489,$BA$7:$BA$1843,"&gt;"&amp;BA489)+SUMIFS($AX$7:$AX$1843,$BY$7:$BY$1843,BY489,$BA$7:$BA$1843,BA489,$BQ$7:$BQ$1843,"&lt;="&amp;BQ489),"")</f>
        <v>25.7036586601804</v>
      </c>
      <c r="BC489" s="65" t="n">
        <f aca="false">IF(BB489="",0,MAX(0,MIN(1,(IF(BY489="L1",Parameter!$E$5,Parameter!$E$6+Parameter!$E$7)-(BB489-AX489))/AX489)))</f>
        <v>1</v>
      </c>
      <c r="BD489" s="55" t="str">
        <f aca="false">IF(AH489&lt;=0,"",IF(BY489="Aussen","Aussenlager",IF(BY489="-","Nicht im Lift",IF(AM489&gt;=1,"Lift",IF(AM489&lt;=0,"Aussenlager","teilweise")))))</f>
        <v>Lift</v>
      </c>
      <c r="BE489" s="55" t="str">
        <f aca="false">IF(AP489&lt;=0,"",IF(BY489="Aussen","Aussenlager",IF(BY489="-","Nicht im Lift",IF(AU489&gt;=1,"Lift",IF(AU489&lt;=0,"Aussenlager","teilweise")))))</f>
        <v>Lift</v>
      </c>
      <c r="BF489" s="55" t="str">
        <f aca="false">IF(AX489&lt;=0,"",IF(BY489="Aussen","Aussenlager",IF(BY489="-","Nicht im Lift",IF(BC489&gt;=1,"Lift",IF(BC489&lt;=0,"Aussenlager","teilweise")))))</f>
        <v>Lift</v>
      </c>
      <c r="BG489" s="55" t="str">
        <f aca="false">IF(A489="","",IF(BP489=1,"Neu; ","")&amp;IF(AND(BP489=0,BK489&lt;0),"negativer Bestand (Export "&amp;BK489&amp;"); ","")&amp;IF(J489&lt;=0,"Kein Verbrauch; ","")&amp;IF(CH489&gt;0,"Lift "&amp;W489&amp;" lt. Liftbericht (Fach "&amp;X489&amp;" Stk); ",IF(BU489=1,"Gebinde geschätzt ("&amp;T489&amp;"); ",IF(BT489=1,"Lose – Tablare geschätzt; ","")))&amp;IF(H489&gt;AR489,"Überbestand "&amp;ROUND(H489-AR489,0)&amp;" Stk / CHF "&amp;ROUND((H489-AR489)*G489,0)&amp;"; ","")&amp;IF(AND(CA489=1,CB489&lt;CC489),"MAX &lt; MB+LG; ","")&amp;IF(AND(CG489&gt;0,CF489*10&gt;CG489),"zu hoch für Tablar; ","")&amp;IF(AND(BP489=0,OR(CA489=1,AA489&lt;&gt;"",U489&lt;&gt;"",V489&lt;&gt;"",AB489&lt;&gt;"")),"manuell übersteuert; ","")&amp;IF(AND(BT489=0,R489=0),"Gebinde unbekannt / Stellmass fehlt; ","")&amp;IF(AND(BT489=0,N(V489)&lt;=0,N(Q489)&lt;=0),"Menge pro Gebinde fehlt (Ist = 1 Gebinde); ","")&amp;BO489)</f>
        <v>Neu</v>
      </c>
      <c r="BH489" s="55"/>
      <c r="BI489" s="55"/>
      <c r="BJ489" s="62"/>
      <c r="BK489" s="57" t="n">
        <v>10</v>
      </c>
      <c r="BL489" s="57" t="n">
        <v>42</v>
      </c>
      <c r="BM489" s="56" t="n">
        <v>44.12</v>
      </c>
      <c r="BN489" s="57" t="n">
        <v>16</v>
      </c>
      <c r="BO489" s="55" t="s">
        <v>626</v>
      </c>
      <c r="BP489" s="60" t="n">
        <v>0</v>
      </c>
      <c r="BQ489" s="60" t="n">
        <v>489</v>
      </c>
      <c r="BR489" s="55" t="str">
        <f aca="false">IF(U489&lt;&gt;"",UPPER(TRIM(U489)),IF(BU489=1,UPPER(VLOOKUP(T489,Parameter!$I$27:$K$29,2,0)),IF(P489="","LOSE",P489)))</f>
        <v>S41</v>
      </c>
      <c r="BS489" s="57" t="n">
        <f aca="false">IF(BR489="LOSE",1,IF(N(V489)&gt;0,V489,IF(BU489=1,MAX(1,N(VLOOKUP(T489,Parameter!$I$27:$K$29,3,0)),H489,N(N489)),IF(N(Q489)&gt;0,Q489,MAX(1,H489)))))</f>
        <v>78</v>
      </c>
      <c r="BT489" s="60" t="n">
        <f aca="false">IF(BR489="LOSE",1,0)</f>
        <v>0</v>
      </c>
      <c r="BU489" s="60" t="n">
        <f aca="false">IF(AND(U489="",OR(P489="",P489="LOSE"),T489&lt;&gt;"",N(S489)&lt;=0,ISNUMBER(MATCH(T489,Parameter!$I$27:$I$29,0))),1,0)</f>
        <v>0</v>
      </c>
      <c r="BV489" s="55" t="str">
        <f aca="false">IF(AND(Parameter!$B$19="Ja",E489&lt;&gt;"",ISNUMBER(MATCH(E489,Parameter!$I$35:$I$52,0))),VLOOKUP(E489,Parameter!$I$35:$J$52,2,0),IFERROR(VLOOKUP(D489,Parameter!$A$35:$C$64,2,0),"Nein"))</f>
        <v>2+3</v>
      </c>
      <c r="BW489" s="59" t="n">
        <f aca="false">IF(BT489=0,0,IF(N(S489)&gt;0,S489,IFERROR(VLOOKUP(D489,Parameter!$A$35:$C$64,3,0)+0,0)))</f>
        <v>0</v>
      </c>
      <c r="BX489" s="55" t="n">
        <f aca="false">IF(AA489&lt;&gt;"",AA489,Z489)</f>
        <v>3</v>
      </c>
      <c r="BY489" s="55" t="str">
        <f aca="false">IF(BX489=1,"L1",IF(OR(BX489=2,BX489=3),"L23",IF(BX489="Aussen","Aussen","-")))</f>
        <v>L23</v>
      </c>
      <c r="BZ489" s="66" t="n">
        <f aca="false">IF(N(AB489)&gt;0,AB489,0)</f>
        <v>0</v>
      </c>
      <c r="CA489" s="60" t="n">
        <f aca="false">IF(ISNUMBER(AE489),1,0)</f>
        <v>0</v>
      </c>
      <c r="CB489" s="57" t="n">
        <f aca="false">N(AE489)</f>
        <v>0</v>
      </c>
      <c r="CC489" s="57" t="n">
        <f aca="false">N(M489)+N(N489)</f>
        <v>52</v>
      </c>
      <c r="CD489" s="57" t="n">
        <f aca="false">ROUNDUP(H489/BS489,0)</f>
        <v>1</v>
      </c>
      <c r="CE489" s="57" t="n">
        <f aca="false">ROUNDUP(CB489/BS489,0)</f>
        <v>0</v>
      </c>
      <c r="CF489" s="60" t="n">
        <f aca="false">IF(BT489=1,0,IFERROR(VLOOKUP(BR489,'Gebinde-Kategorie'!$A$5:$M$45,5,0)+0,0))</f>
        <v>11</v>
      </c>
      <c r="CG489" s="60" t="n">
        <f aca="false">IFERROR(IF(OR(BX489=1,BX489=2,BX489=3),N(INDEX(Parameter!$I$5:$I$7,BX489)),0),0)</f>
        <v>0</v>
      </c>
      <c r="CH489" s="59" t="n">
        <f aca="false">IF(AND(Parameter!$B$21="Ja",ISNUMBER(W489),N(X489)&gt;0),IFERROR(N(INDEX(Parameter!$L$5:$L$7,W489))*INDEX(Parameter!$E$5:$E$7,W489)*X489/SUMIFS($X$7:$X$1843,$W$7:$W$1843,W489),0),0)</f>
        <v>0</v>
      </c>
    </row>
    <row r="490" customFormat="false" ht="15" hidden="false" customHeight="false" outlineLevel="0" collapsed="false">
      <c r="A490" s="55" t="s">
        <v>1084</v>
      </c>
      <c r="B490" s="55" t="s">
        <v>507</v>
      </c>
      <c r="C490" s="55" t="s">
        <v>164</v>
      </c>
      <c r="D490" s="55" t="s">
        <v>184</v>
      </c>
      <c r="E490" s="55" t="s">
        <v>185</v>
      </c>
      <c r="F490" s="55" t="s">
        <v>218</v>
      </c>
      <c r="G490" s="56" t="n">
        <v>2.3</v>
      </c>
      <c r="H490" s="57" t="n">
        <f aca="false">MAX(0,IF(AND(Parameter!$B$21="Ja",ISNUMBER(Y490)),Y490,IF(Parameter!$B$20="Jahresanfang 2025 + Export",BL490+BK490,BK490)))</f>
        <v>69</v>
      </c>
      <c r="I490" s="57" t="n">
        <f aca="false">H490*G490</f>
        <v>158.7</v>
      </c>
      <c r="J490" s="57" t="n">
        <f aca="false">BN490*Parameter!$B$18</f>
        <v>116</v>
      </c>
      <c r="K490" s="58" t="n">
        <v>85</v>
      </c>
      <c r="L490" s="59" t="n">
        <v>1.36470588235294</v>
      </c>
      <c r="M490" s="57" t="n">
        <v>6</v>
      </c>
      <c r="N490" s="57" t="n">
        <v>115</v>
      </c>
      <c r="O490" s="60" t="n">
        <v>21</v>
      </c>
      <c r="P490" s="55" t="s">
        <v>302</v>
      </c>
      <c r="Q490" s="57" t="n">
        <v>295</v>
      </c>
      <c r="R490" s="60" t="n">
        <f aca="false">IF(BT490=1,0,IFERROR(VLOOKUP(BR490,'Gebinde-Kategorie'!$A$5:$M$45,13,0)+0,0))</f>
        <v>26</v>
      </c>
      <c r="S490" s="61"/>
      <c r="T490" s="62"/>
      <c r="U490" s="62"/>
      <c r="V490" s="62"/>
      <c r="W490" s="55"/>
      <c r="X490" s="57"/>
      <c r="Y490" s="57"/>
      <c r="Z490" s="55" t="n">
        <f aca="false">IF(A490="","",IF(AND(Parameter!$B$21="Ja",ISNUMBER(W490)),W490,IF(BV490="2+3",IF(ISNUMBER(SEARCH("grosser Artikel",BO490)),2,IFERROR(VLOOKUP(BR490,Parameter!$F$35:$G$64,2,0),2)),IF(OR(BV490="Nein",BV490=""),"-",BV490))))</f>
        <v>3</v>
      </c>
      <c r="AA490" s="62"/>
      <c r="AB490" s="63"/>
      <c r="AC490" s="57" t="n">
        <f aca="false">AR490</f>
        <v>295</v>
      </c>
      <c r="AD490" s="57" t="n">
        <f aca="false">MAX(AR490,H490)</f>
        <v>295</v>
      </c>
      <c r="AE490" s="64"/>
      <c r="AF490" s="57" t="n">
        <f aca="false">IF(LEFT(Cockpit!$C$5,1)="A",H490,IF(CA490=1,CB490,IF(LEFT(Cockpit!$C$5,1)="B",AJ490,MAX(AJ490,H490))))</f>
        <v>69</v>
      </c>
      <c r="AG490" s="57" t="n">
        <f aca="false">IF(BT490=1,0,ROUNDUP(AF490/BS490,0))</f>
        <v>1</v>
      </c>
      <c r="AH490" s="59" t="n">
        <f aca="false">IF(CH490&gt;0,CH490*MAX(1,AF490/X490),IF(BT490=1,IF(AF490&lt;=0,0,BW490*MAX(1,IF(H490&gt;0,AF490/H490,1))),IF(R490&gt;0,AG490/R490,0))/MAX(0.1,N(Parameter!$M$21)))</f>
        <v>0.0384615384615385</v>
      </c>
      <c r="AI490" s="57" t="n">
        <f aca="false">AF490*G490</f>
        <v>158.7</v>
      </c>
      <c r="AJ490" s="57" t="n">
        <f aca="false">ROUNDUP(MAX(J490/IF(BZ490&gt;0,BZ490,MAX(0.1,N(Cockpit!$C$6))),CC490)/BS490,0)*BS490</f>
        <v>295</v>
      </c>
      <c r="AK490" s="58" t="n">
        <f aca="false">IF(AH490&gt;0,J490/AH490,-1)</f>
        <v>3016</v>
      </c>
      <c r="AL490" s="58" t="n">
        <f aca="false">IF(AND(OR(BY490="L1",BY490="L23"),AH490&gt;0),SUMIFS($AH$7:$AH$1843,$BY$7:$BY$1843,BY490,$AK$7:$AK$1843,"&gt;"&amp;AK490)+SUMIFS($AH$7:$AH$1843,$BY$7:$BY$1843,BY490,$AK$7:$AK$1843,AK490,$BQ$7:$BQ$1843,"&lt;="&amp;BQ490),"")</f>
        <v>10.6045319414885</v>
      </c>
      <c r="AM490" s="65" t="n">
        <f aca="false">IF(AL490="",0,MAX(0,MIN(1,(IF(BY490="L1",Parameter!$E$5,Parameter!$E$6+Parameter!$E$7)-(AL490-AH490))/AH490)))</f>
        <v>1</v>
      </c>
      <c r="AN490" s="57" t="n">
        <f aca="false">IF(LEFT(Cockpit!$I$5,1)="A",H490,IF(CA490=1,CB490,IF(LEFT(Cockpit!$I$5,1)="B",AR490,MAX(AR490,H490))))</f>
        <v>295</v>
      </c>
      <c r="AO490" s="57" t="n">
        <f aca="false">IF(BT490=1,0,ROUNDUP(AN490/BS490,0))</f>
        <v>1</v>
      </c>
      <c r="AP490" s="59" t="n">
        <f aca="false">IF(CH490&gt;0,CH490*MAX(1,AN490/X490),IF(BT490=1,IF(AN490&lt;=0,0,BW490*MAX(1,IF(H490&gt;0,AN490/H490,1))),IF(R490&gt;0,AO490/R490,0))/MAX(0.1,N(Parameter!$M$21)))</f>
        <v>0.0384615384615385</v>
      </c>
      <c r="AQ490" s="57" t="n">
        <f aca="false">AN490*G490</f>
        <v>678.5</v>
      </c>
      <c r="AR490" s="57" t="n">
        <f aca="false">ROUNDUP(MAX(J490/IF(BZ490&gt;0,BZ490,MAX(0.1,N(Cockpit!$I$6))),CC490)/BS490,0)*BS490</f>
        <v>295</v>
      </c>
      <c r="AS490" s="58" t="n">
        <f aca="false">IF(AP490&gt;0,J490/AP490,-1)</f>
        <v>3016</v>
      </c>
      <c r="AT490" s="58" t="n">
        <f aca="false">IF(AND(OR(BY490="L1",BY490="L23"),AP490&gt;0),SUMIFS($AP$7:$AP$1843,$BY$7:$BY$1843,BY490,$AS$7:$AS$1843,"&gt;"&amp;AS490)+SUMIFS($AP$7:$AP$1843,$BY$7:$BY$1843,BY490,$AS$7:$AS$1843,AS490,$BQ$7:$BQ$1843,"&lt;="&amp;BQ490),"")</f>
        <v>15.544356609574</v>
      </c>
      <c r="AU490" s="65" t="n">
        <f aca="false">IF(AT490="",0,MAX(0,MIN(1,(IF(BY490="L1",Parameter!$E$5,Parameter!$E$6+Parameter!$E$7)-(AT490-AP490))/AP490)))</f>
        <v>1</v>
      </c>
      <c r="AV490" s="57" t="n">
        <f aca="false">IF(LEFT(Cockpit!$O$5,1)="A",H490,IF(CA490=1,CB490,IF(LEFT(Cockpit!$O$5,1)="B",AZ490,MAX(AZ490,H490))))</f>
        <v>295</v>
      </c>
      <c r="AW490" s="57" t="n">
        <f aca="false">IF(BT490=1,0,ROUNDUP(AV490/BS490,0))</f>
        <v>1</v>
      </c>
      <c r="AX490" s="59" t="n">
        <f aca="false">IF(CH490&gt;0,CH490*MAX(1,AV490/X490),IF(BT490=1,IF(AV490&lt;=0,0,BW490*MAX(1,IF(H490&gt;0,AV490/H490,1))),IF(R490&gt;0,AW490/R490,0))/MAX(0.1,N(Parameter!$M$21)))</f>
        <v>0.0384615384615385</v>
      </c>
      <c r="AY490" s="57" t="n">
        <f aca="false">AV490*G490</f>
        <v>678.5</v>
      </c>
      <c r="AZ490" s="57" t="n">
        <f aca="false">ROUNDUP(MAX(J490/IF(BZ490&gt;0,BZ490,MAX(0.1,N(Cockpit!$O$6))),CC490)/BS490,0)*BS490</f>
        <v>295</v>
      </c>
      <c r="BA490" s="58" t="n">
        <f aca="false">IF(AX490&gt;0,J490/AX490,-1)</f>
        <v>3016</v>
      </c>
      <c r="BB490" s="58" t="n">
        <f aca="false">IF(AND(OR(BY490="L1",BY490="L23"),AX490&gt;0),SUMIFS($AX$7:$AX$1843,$BY$7:$BY$1843,BY490,$BA$7:$BA$1843,"&gt;"&amp;BA490)+SUMIFS($AX$7:$AX$1843,$BY$7:$BY$1843,BY490,$BA$7:$BA$1843,BA490,$BQ$7:$BQ$1843,"&lt;="&amp;BQ490),"")</f>
        <v>14.1113729265903</v>
      </c>
      <c r="BC490" s="65" t="n">
        <f aca="false">IF(BB490="",0,MAX(0,MIN(1,(IF(BY490="L1",Parameter!$E$5,Parameter!$E$6+Parameter!$E$7)-(BB490-AX490))/AX490)))</f>
        <v>1</v>
      </c>
      <c r="BD490" s="55" t="str">
        <f aca="false">IF(AH490&lt;=0,"",IF(BY490="Aussen","Aussenlager",IF(BY490="-","Nicht im Lift",IF(AM490&gt;=1,"Lift",IF(AM490&lt;=0,"Aussenlager","teilweise")))))</f>
        <v>Lift</v>
      </c>
      <c r="BE490" s="55" t="str">
        <f aca="false">IF(AP490&lt;=0,"",IF(BY490="Aussen","Aussenlager",IF(BY490="-","Nicht im Lift",IF(AU490&gt;=1,"Lift",IF(AU490&lt;=0,"Aussenlager","teilweise")))))</f>
        <v>Lift</v>
      </c>
      <c r="BF490" s="55" t="str">
        <f aca="false">IF(AX490&lt;=0,"",IF(BY490="Aussen","Aussenlager",IF(BY490="-","Nicht im Lift",IF(BC490&gt;=1,"Lift",IF(BC490&lt;=0,"Aussenlager","teilweise")))))</f>
        <v>Lift</v>
      </c>
      <c r="BG490" s="55" t="str">
        <f aca="false">IF(A490="","",IF(BP490=1,"Neu; ","")&amp;IF(AND(BP490=0,BK490&lt;0),"negativer Bestand (Export "&amp;BK490&amp;"); ","")&amp;IF(J490&lt;=0,"Kein Verbrauch; ","")&amp;IF(CH490&gt;0,"Lift "&amp;W490&amp;" lt. Liftbericht (Fach "&amp;X490&amp;" Stk); ",IF(BU490=1,"Gebinde geschätzt ("&amp;T490&amp;"); ",IF(BT490=1,"Lose – Tablare geschätzt; ","")))&amp;IF(H490&gt;AR490,"Überbestand "&amp;ROUND(H490-AR490,0)&amp;" Stk / CHF "&amp;ROUND((H490-AR490)*G490,0)&amp;"; ","")&amp;IF(AND(CA490=1,CB490&lt;CC490),"MAX &lt; MB+LG; ","")&amp;IF(AND(CG490&gt;0,CF490*10&gt;CG490),"zu hoch für Tablar; ","")&amp;IF(AND(BP490=0,OR(CA490=1,AA490&lt;&gt;"",U490&lt;&gt;"",V490&lt;&gt;"",AB490&lt;&gt;"")),"manuell übersteuert; ","")&amp;IF(AND(BT490=0,R490=0),"Gebinde unbekannt / Stellmass fehlt; ","")&amp;IF(AND(BT490=0,N(V490)&lt;=0,N(Q490)&lt;=0),"Menge pro Gebinde fehlt (Ist = 1 Gebinde); ","")&amp;BO490)</f>
        <v/>
      </c>
      <c r="BH490" s="55"/>
      <c r="BI490" s="55"/>
      <c r="BJ490" s="62"/>
      <c r="BK490" s="57" t="n">
        <v>26</v>
      </c>
      <c r="BL490" s="57" t="n">
        <v>43</v>
      </c>
      <c r="BM490" s="56" t="n">
        <v>42.8399999999994</v>
      </c>
      <c r="BN490" s="57" t="n">
        <v>116</v>
      </c>
      <c r="BO490" s="55"/>
      <c r="BP490" s="60" t="n">
        <v>0</v>
      </c>
      <c r="BQ490" s="60" t="n">
        <v>490</v>
      </c>
      <c r="BR490" s="55" t="str">
        <f aca="false">IF(U490&lt;&gt;"",UPPER(TRIM(U490)),IF(BU490=1,UPPER(VLOOKUP(T490,Parameter!$I$27:$K$29,2,0)),IF(P490="","LOSE",P490)))</f>
        <v>S51</v>
      </c>
      <c r="BS490" s="57" t="n">
        <f aca="false">IF(BR490="LOSE",1,IF(N(V490)&gt;0,V490,IF(BU490=1,MAX(1,N(VLOOKUP(T490,Parameter!$I$27:$K$29,3,0)),H490,N(N490)),IF(N(Q490)&gt;0,Q490,MAX(1,H490)))))</f>
        <v>295</v>
      </c>
      <c r="BT490" s="60" t="n">
        <f aca="false">IF(BR490="LOSE",1,0)</f>
        <v>0</v>
      </c>
      <c r="BU490" s="60" t="n">
        <f aca="false">IF(AND(U490="",OR(P490="",P490="LOSE"),T490&lt;&gt;"",N(S490)&lt;=0,ISNUMBER(MATCH(T490,Parameter!$I$27:$I$29,0))),1,0)</f>
        <v>0</v>
      </c>
      <c r="BV490" s="55" t="str">
        <f aca="false">IF(AND(Parameter!$B$19="Ja",E490&lt;&gt;"",ISNUMBER(MATCH(E490,Parameter!$I$35:$I$52,0))),VLOOKUP(E490,Parameter!$I$35:$J$52,2,0),IFERROR(VLOOKUP(D490,Parameter!$A$35:$C$64,2,0),"Nein"))</f>
        <v>2+3</v>
      </c>
      <c r="BW490" s="59" t="n">
        <f aca="false">IF(BT490=0,0,IF(N(S490)&gt;0,S490,IFERROR(VLOOKUP(D490,Parameter!$A$35:$C$64,3,0)+0,0)))</f>
        <v>0</v>
      </c>
      <c r="BX490" s="55" t="n">
        <f aca="false">IF(AA490&lt;&gt;"",AA490,Z490)</f>
        <v>3</v>
      </c>
      <c r="BY490" s="55" t="str">
        <f aca="false">IF(BX490=1,"L1",IF(OR(BX490=2,BX490=3),"L23",IF(BX490="Aussen","Aussen","-")))</f>
        <v>L23</v>
      </c>
      <c r="BZ490" s="66" t="n">
        <f aca="false">IF(N(AB490)&gt;0,AB490,0)</f>
        <v>0</v>
      </c>
      <c r="CA490" s="60" t="n">
        <f aca="false">IF(ISNUMBER(AE490),1,0)</f>
        <v>0</v>
      </c>
      <c r="CB490" s="57" t="n">
        <f aca="false">N(AE490)</f>
        <v>0</v>
      </c>
      <c r="CC490" s="57" t="n">
        <f aca="false">N(M490)+N(N490)</f>
        <v>121</v>
      </c>
      <c r="CD490" s="57" t="n">
        <f aca="false">ROUNDUP(H490/BS490,0)</f>
        <v>1</v>
      </c>
      <c r="CE490" s="57" t="n">
        <f aca="false">ROUNDUP(CB490/BS490,0)</f>
        <v>0</v>
      </c>
      <c r="CF490" s="60" t="n">
        <f aca="false">IF(BT490=1,0,IFERROR(VLOOKUP(BR490,'Gebinde-Kategorie'!$A$5:$M$45,5,0)+0,0))</f>
        <v>11</v>
      </c>
      <c r="CG490" s="60" t="n">
        <f aca="false">IFERROR(IF(OR(BX490=1,BX490=2,BX490=3),N(INDEX(Parameter!$I$5:$I$7,BX490)),0),0)</f>
        <v>0</v>
      </c>
      <c r="CH490" s="59" t="n">
        <f aca="false">IF(AND(Parameter!$B$21="Ja",ISNUMBER(W490),N(X490)&gt;0),IFERROR(N(INDEX(Parameter!$L$5:$L$7,W490))*INDEX(Parameter!$E$5:$E$7,W490)*X490/SUMIFS($X$7:$X$1843,$W$7:$W$1843,W490),0),0)</f>
        <v>0</v>
      </c>
    </row>
    <row r="491" customFormat="false" ht="15" hidden="false" customHeight="false" outlineLevel="0" collapsed="false">
      <c r="A491" s="55" t="s">
        <v>1085</v>
      </c>
      <c r="B491" s="55" t="s">
        <v>405</v>
      </c>
      <c r="C491" s="55" t="s">
        <v>164</v>
      </c>
      <c r="D491" s="55" t="s">
        <v>184</v>
      </c>
      <c r="E491" s="55" t="s">
        <v>185</v>
      </c>
      <c r="F491" s="55" t="s">
        <v>218</v>
      </c>
      <c r="G491" s="56" t="n">
        <v>0.36</v>
      </c>
      <c r="H491" s="57" t="n">
        <f aca="false">MAX(0,IF(AND(Parameter!$B$21="Ja",ISNUMBER(Y491)),Y491,IF(Parameter!$B$20="Jahresanfang 2025 + Export",BL491+BK491,BK491)))</f>
        <v>209</v>
      </c>
      <c r="I491" s="57" t="n">
        <f aca="false">H491*G491</f>
        <v>75.24</v>
      </c>
      <c r="J491" s="57" t="n">
        <f aca="false">BN491*Parameter!$B$18</f>
        <v>222</v>
      </c>
      <c r="K491" s="58" t="n">
        <v>105.5</v>
      </c>
      <c r="L491" s="59" t="n">
        <v>2.1042654028436</v>
      </c>
      <c r="M491" s="57" t="n">
        <v>12</v>
      </c>
      <c r="N491" s="57" t="n">
        <v>225</v>
      </c>
      <c r="O491" s="60" t="n">
        <v>21</v>
      </c>
      <c r="P491" s="55" t="s">
        <v>302</v>
      </c>
      <c r="Q491" s="57" t="n">
        <v>90</v>
      </c>
      <c r="R491" s="60" t="n">
        <f aca="false">IF(BT491=1,0,IFERROR(VLOOKUP(BR491,'Gebinde-Kategorie'!$A$5:$M$45,13,0)+0,0))</f>
        <v>26</v>
      </c>
      <c r="S491" s="61"/>
      <c r="T491" s="62"/>
      <c r="U491" s="62"/>
      <c r="V491" s="62"/>
      <c r="W491" s="55"/>
      <c r="X491" s="57"/>
      <c r="Y491" s="57"/>
      <c r="Z491" s="55" t="n">
        <f aca="false">IF(A491="","",IF(AND(Parameter!$B$21="Ja",ISNUMBER(W491)),W491,IF(BV491="2+3",IF(ISNUMBER(SEARCH("grosser Artikel",BO491)),2,IFERROR(VLOOKUP(BR491,Parameter!$F$35:$G$64,2,0),2)),IF(OR(BV491="Nein",BV491=""),"-",BV491))))</f>
        <v>3</v>
      </c>
      <c r="AA491" s="62"/>
      <c r="AB491" s="63"/>
      <c r="AC491" s="57" t="n">
        <f aca="false">AR491</f>
        <v>270</v>
      </c>
      <c r="AD491" s="57" t="n">
        <f aca="false">MAX(AR491,H491)</f>
        <v>270</v>
      </c>
      <c r="AE491" s="64"/>
      <c r="AF491" s="57" t="n">
        <f aca="false">IF(LEFT(Cockpit!$C$5,1)="A",H491,IF(CA491=1,CB491,IF(LEFT(Cockpit!$C$5,1)="B",AJ491,MAX(AJ491,H491))))</f>
        <v>209</v>
      </c>
      <c r="AG491" s="57" t="n">
        <f aca="false">IF(BT491=1,0,ROUNDUP(AF491/BS491,0))</f>
        <v>3</v>
      </c>
      <c r="AH491" s="59" t="n">
        <f aca="false">IF(CH491&gt;0,CH491*MAX(1,AF491/X491),IF(BT491=1,IF(AF491&lt;=0,0,BW491*MAX(1,IF(H491&gt;0,AF491/H491,1))),IF(R491&gt;0,AG491/R491,0))/MAX(0.1,N(Parameter!$M$21)))</f>
        <v>0.115384615384615</v>
      </c>
      <c r="AI491" s="57" t="n">
        <f aca="false">AF491*G491</f>
        <v>75.24</v>
      </c>
      <c r="AJ491" s="57" t="n">
        <f aca="false">ROUNDUP(MAX(J491/IF(BZ491&gt;0,BZ491,MAX(0.1,N(Cockpit!$C$6))),CC491)/BS491,0)*BS491</f>
        <v>270</v>
      </c>
      <c r="AK491" s="58" t="n">
        <f aca="false">IF(AH491&gt;0,J491/AH491,-1)</f>
        <v>1924</v>
      </c>
      <c r="AL491" s="58" t="n">
        <f aca="false">IF(AND(OR(BY491="L1",BY491="L23"),AH491&gt;0),SUMIFS($AH$7:$AH$1843,$BY$7:$BY$1843,BY491,$AK$7:$AK$1843,"&gt;"&amp;AK491)+SUMIFS($AH$7:$AH$1843,$BY$7:$BY$1843,BY491,$AK$7:$AK$1843,AK491,$BQ$7:$BQ$1843,"&lt;="&amp;BQ491),"")</f>
        <v>13.6113391439478</v>
      </c>
      <c r="AM491" s="65" t="n">
        <f aca="false">IF(AL491="",0,MAX(0,MIN(1,(IF(BY491="L1",Parameter!$E$5,Parameter!$E$6+Parameter!$E$7)-(AL491-AH491))/AH491)))</f>
        <v>1</v>
      </c>
      <c r="AN491" s="57" t="n">
        <f aca="false">IF(LEFT(Cockpit!$I$5,1)="A",H491,IF(CA491=1,CB491,IF(LEFT(Cockpit!$I$5,1)="B",AR491,MAX(AR491,H491))))</f>
        <v>270</v>
      </c>
      <c r="AO491" s="57" t="n">
        <f aca="false">IF(BT491=1,0,ROUNDUP(AN491/BS491,0))</f>
        <v>3</v>
      </c>
      <c r="AP491" s="59" t="n">
        <f aca="false">IF(CH491&gt;0,CH491*MAX(1,AN491/X491),IF(BT491=1,IF(AN491&lt;=0,0,BW491*MAX(1,IF(H491&gt;0,AN491/H491,1))),IF(R491&gt;0,AO491/R491,0))/MAX(0.1,N(Parameter!$M$21)))</f>
        <v>0.115384615384615</v>
      </c>
      <c r="AQ491" s="57" t="n">
        <f aca="false">AN491*G491</f>
        <v>97.2</v>
      </c>
      <c r="AR491" s="57" t="n">
        <f aca="false">ROUNDUP(MAX(J491/IF(BZ491&gt;0,BZ491,MAX(0.1,N(Cockpit!$I$6))),CC491)/BS491,0)*BS491</f>
        <v>270</v>
      </c>
      <c r="AS491" s="58" t="n">
        <f aca="false">IF(AP491&gt;0,J491/AP491,-1)</f>
        <v>1924</v>
      </c>
      <c r="AT491" s="58" t="n">
        <f aca="false">IF(AND(OR(BY491="L1",BY491="L23"),AP491&gt;0),SUMIFS($AP$7:$AP$1843,$BY$7:$BY$1843,BY491,$AS$7:$AS$1843,"&gt;"&amp;AS491)+SUMIFS($AP$7:$AP$1843,$BY$7:$BY$1843,BY491,$AS$7:$AS$1843,AS491,$BQ$7:$BQ$1843,"&lt;="&amp;BQ491),"")</f>
        <v>18.9706597750076</v>
      </c>
      <c r="AU491" s="65" t="n">
        <f aca="false">IF(AT491="",0,MAX(0,MIN(1,(IF(BY491="L1",Parameter!$E$5,Parameter!$E$6+Parameter!$E$7)-(AT491-AP491))/AP491)))</f>
        <v>1</v>
      </c>
      <c r="AV491" s="57" t="n">
        <f aca="false">IF(LEFT(Cockpit!$O$5,1)="A",H491,IF(CA491=1,CB491,IF(LEFT(Cockpit!$O$5,1)="B",AZ491,MAX(AZ491,H491))))</f>
        <v>270</v>
      </c>
      <c r="AW491" s="57" t="n">
        <f aca="false">IF(BT491=1,0,ROUNDUP(AV491/BS491,0))</f>
        <v>3</v>
      </c>
      <c r="AX491" s="59" t="n">
        <f aca="false">IF(CH491&gt;0,CH491*MAX(1,AV491/X491),IF(BT491=1,IF(AV491&lt;=0,0,BW491*MAX(1,IF(H491&gt;0,AV491/H491,1))),IF(R491&gt;0,AW491/R491,0))/MAX(0.1,N(Parameter!$M$21)))</f>
        <v>0.115384615384615</v>
      </c>
      <c r="AY491" s="57" t="n">
        <f aca="false">AV491*G491</f>
        <v>97.2</v>
      </c>
      <c r="AZ491" s="57" t="n">
        <f aca="false">ROUNDUP(MAX(J491/IF(BZ491&gt;0,BZ491,MAX(0.1,N(Cockpit!$O$6))),CC491)/BS491,0)*BS491</f>
        <v>270</v>
      </c>
      <c r="BA491" s="58" t="n">
        <f aca="false">IF(AX491&gt;0,J491/AX491,-1)</f>
        <v>1924</v>
      </c>
      <c r="BB491" s="58" t="n">
        <f aca="false">IF(AND(OR(BY491="L1",BY491="L23"),AX491&gt;0),SUMIFS($AX$7:$AX$1843,$BY$7:$BY$1843,BY491,$BA$7:$BA$1843,"&gt;"&amp;BA491)+SUMIFS($AX$7:$AX$1843,$BY$7:$BY$1843,BY491,$BA$7:$BA$1843,BA491,$BQ$7:$BQ$1843,"&lt;="&amp;BQ491),"")</f>
        <v>17.665881220229</v>
      </c>
      <c r="BC491" s="65" t="n">
        <f aca="false">IF(BB491="",0,MAX(0,MIN(1,(IF(BY491="L1",Parameter!$E$5,Parameter!$E$6+Parameter!$E$7)-(BB491-AX491))/AX491)))</f>
        <v>1</v>
      </c>
      <c r="BD491" s="55" t="str">
        <f aca="false">IF(AH491&lt;=0,"",IF(BY491="Aussen","Aussenlager",IF(BY491="-","Nicht im Lift",IF(AM491&gt;=1,"Lift",IF(AM491&lt;=0,"Aussenlager","teilweise")))))</f>
        <v>Lift</v>
      </c>
      <c r="BE491" s="55" t="str">
        <f aca="false">IF(AP491&lt;=0,"",IF(BY491="Aussen","Aussenlager",IF(BY491="-","Nicht im Lift",IF(AU491&gt;=1,"Lift",IF(AU491&lt;=0,"Aussenlager","teilweise")))))</f>
        <v>Lift</v>
      </c>
      <c r="BF491" s="55" t="str">
        <f aca="false">IF(AX491&lt;=0,"",IF(BY491="Aussen","Aussenlager",IF(BY491="-","Nicht im Lift",IF(BC491&gt;=1,"Lift",IF(BC491&lt;=0,"Aussenlager","teilweise")))))</f>
        <v>Lift</v>
      </c>
      <c r="BG491" s="55" t="str">
        <f aca="false">IF(A491="","",IF(BP491=1,"Neu; ","")&amp;IF(AND(BP491=0,BK491&lt;0),"negativer Bestand (Export "&amp;BK491&amp;"); ","")&amp;IF(J491&lt;=0,"Kein Verbrauch; ","")&amp;IF(CH491&gt;0,"Lift "&amp;W491&amp;" lt. Liftbericht (Fach "&amp;X491&amp;" Stk); ",IF(BU491=1,"Gebinde geschätzt ("&amp;T491&amp;"); ",IF(BT491=1,"Lose – Tablare geschätzt; ","")))&amp;IF(H491&gt;AR491,"Überbestand "&amp;ROUND(H491-AR491,0)&amp;" Stk / CHF "&amp;ROUND((H491-AR491)*G491,0)&amp;"; ","")&amp;IF(AND(CA491=1,CB491&lt;CC491),"MAX &lt; MB+LG; ","")&amp;IF(AND(CG491&gt;0,CF491*10&gt;CG491),"zu hoch für Tablar; ","")&amp;IF(AND(BP491=0,OR(CA491=1,AA491&lt;&gt;"",U491&lt;&gt;"",V491&lt;&gt;"",AB491&lt;&gt;"")),"manuell übersteuert; ","")&amp;IF(AND(BT491=0,R491=0),"Gebinde unbekannt / Stellmass fehlt; ","")&amp;IF(AND(BT491=0,N(V491)&lt;=0,N(Q491)&lt;=0),"Menge pro Gebinde fehlt (Ist = 1 Gebinde); ","")&amp;BO491)</f>
        <v/>
      </c>
      <c r="BH491" s="55"/>
      <c r="BI491" s="55"/>
      <c r="BJ491" s="62"/>
      <c r="BK491" s="57" t="n">
        <v>117</v>
      </c>
      <c r="BL491" s="57" t="n">
        <v>92</v>
      </c>
      <c r="BM491" s="56" t="n">
        <v>42.12</v>
      </c>
      <c r="BN491" s="57" t="n">
        <v>222</v>
      </c>
      <c r="BO491" s="55"/>
      <c r="BP491" s="60" t="n">
        <v>0</v>
      </c>
      <c r="BQ491" s="60" t="n">
        <v>491</v>
      </c>
      <c r="BR491" s="55" t="str">
        <f aca="false">IF(U491&lt;&gt;"",UPPER(TRIM(U491)),IF(BU491=1,UPPER(VLOOKUP(T491,Parameter!$I$27:$K$29,2,0)),IF(P491="","LOSE",P491)))</f>
        <v>S51</v>
      </c>
      <c r="BS491" s="57" t="n">
        <f aca="false">IF(BR491="LOSE",1,IF(N(V491)&gt;0,V491,IF(BU491=1,MAX(1,N(VLOOKUP(T491,Parameter!$I$27:$K$29,3,0)),H491,N(N491)),IF(N(Q491)&gt;0,Q491,MAX(1,H491)))))</f>
        <v>90</v>
      </c>
      <c r="BT491" s="60" t="n">
        <f aca="false">IF(BR491="LOSE",1,0)</f>
        <v>0</v>
      </c>
      <c r="BU491" s="60" t="n">
        <f aca="false">IF(AND(U491="",OR(P491="",P491="LOSE"),T491&lt;&gt;"",N(S491)&lt;=0,ISNUMBER(MATCH(T491,Parameter!$I$27:$I$29,0))),1,0)</f>
        <v>0</v>
      </c>
      <c r="BV491" s="55" t="str">
        <f aca="false">IF(AND(Parameter!$B$19="Ja",E491&lt;&gt;"",ISNUMBER(MATCH(E491,Parameter!$I$35:$I$52,0))),VLOOKUP(E491,Parameter!$I$35:$J$52,2,0),IFERROR(VLOOKUP(D491,Parameter!$A$35:$C$64,2,0),"Nein"))</f>
        <v>2+3</v>
      </c>
      <c r="BW491" s="59" t="n">
        <f aca="false">IF(BT491=0,0,IF(N(S491)&gt;0,S491,IFERROR(VLOOKUP(D491,Parameter!$A$35:$C$64,3,0)+0,0)))</f>
        <v>0</v>
      </c>
      <c r="BX491" s="55" t="n">
        <f aca="false">IF(AA491&lt;&gt;"",AA491,Z491)</f>
        <v>3</v>
      </c>
      <c r="BY491" s="55" t="str">
        <f aca="false">IF(BX491=1,"L1",IF(OR(BX491=2,BX491=3),"L23",IF(BX491="Aussen","Aussen","-")))</f>
        <v>L23</v>
      </c>
      <c r="BZ491" s="66" t="n">
        <f aca="false">IF(N(AB491)&gt;0,AB491,0)</f>
        <v>0</v>
      </c>
      <c r="CA491" s="60" t="n">
        <f aca="false">IF(ISNUMBER(AE491),1,0)</f>
        <v>0</v>
      </c>
      <c r="CB491" s="57" t="n">
        <f aca="false">N(AE491)</f>
        <v>0</v>
      </c>
      <c r="CC491" s="57" t="n">
        <f aca="false">N(M491)+N(N491)</f>
        <v>237</v>
      </c>
      <c r="CD491" s="57" t="n">
        <f aca="false">ROUNDUP(H491/BS491,0)</f>
        <v>3</v>
      </c>
      <c r="CE491" s="57" t="n">
        <f aca="false">ROUNDUP(CB491/BS491,0)</f>
        <v>0</v>
      </c>
      <c r="CF491" s="60" t="n">
        <f aca="false">IF(BT491=1,0,IFERROR(VLOOKUP(BR491,'Gebinde-Kategorie'!$A$5:$M$45,5,0)+0,0))</f>
        <v>11</v>
      </c>
      <c r="CG491" s="60" t="n">
        <f aca="false">IFERROR(IF(OR(BX491=1,BX491=2,BX491=3),N(INDEX(Parameter!$I$5:$I$7,BX491)),0),0)</f>
        <v>0</v>
      </c>
      <c r="CH491" s="59" t="n">
        <f aca="false">IF(AND(Parameter!$B$21="Ja",ISNUMBER(W491),N(X491)&gt;0),IFERROR(N(INDEX(Parameter!$L$5:$L$7,W491))*INDEX(Parameter!$E$5:$E$7,W491)*X491/SUMIFS($X$7:$X$1843,$W$7:$W$1843,W491),0),0)</f>
        <v>0</v>
      </c>
    </row>
    <row r="492" customFormat="false" ht="15" hidden="false" customHeight="false" outlineLevel="0" collapsed="false">
      <c r="A492" s="55" t="s">
        <v>1086</v>
      </c>
      <c r="B492" s="55" t="s">
        <v>1087</v>
      </c>
      <c r="C492" s="55" t="s">
        <v>164</v>
      </c>
      <c r="D492" s="55" t="s">
        <v>184</v>
      </c>
      <c r="E492" s="55" t="s">
        <v>185</v>
      </c>
      <c r="F492" s="55" t="s">
        <v>218</v>
      </c>
      <c r="G492" s="56" t="n">
        <v>16.51</v>
      </c>
      <c r="H492" s="57" t="n">
        <f aca="false">MAX(0,IF(AND(Parameter!$B$21="Ja",ISNUMBER(Y492)),Y492,IF(Parameter!$B$20="Jahresanfang 2025 + Export",BL492+BK492,BK492)))</f>
        <v>28</v>
      </c>
      <c r="I492" s="57" t="n">
        <f aca="false">H492*G492</f>
        <v>462.28</v>
      </c>
      <c r="J492" s="57" t="n">
        <f aca="false">BN492*Parameter!$B$18</f>
        <v>13</v>
      </c>
      <c r="K492" s="58" t="n">
        <v>18.5</v>
      </c>
      <c r="L492" s="59" t="n">
        <v>0.702702702702703</v>
      </c>
      <c r="M492" s="57" t="n">
        <v>1</v>
      </c>
      <c r="N492" s="57" t="n">
        <v>15</v>
      </c>
      <c r="O492" s="60" t="n">
        <v>28</v>
      </c>
      <c r="P492" s="55" t="s">
        <v>233</v>
      </c>
      <c r="Q492" s="57" t="n">
        <v>32</v>
      </c>
      <c r="R492" s="60" t="n">
        <f aca="false">IF(BT492=1,0,IFERROR(VLOOKUP(BR492,'Gebinde-Kategorie'!$A$5:$M$45,13,0)+0,0))</f>
        <v>26</v>
      </c>
      <c r="S492" s="61"/>
      <c r="T492" s="62"/>
      <c r="U492" s="62"/>
      <c r="V492" s="62"/>
      <c r="W492" s="55"/>
      <c r="X492" s="57"/>
      <c r="Y492" s="57"/>
      <c r="Z492" s="55" t="n">
        <f aca="false">IF(A492="","",IF(AND(Parameter!$B$21="Ja",ISNUMBER(W492)),W492,IF(BV492="2+3",IF(ISNUMBER(SEARCH("grosser Artikel",BO492)),2,IFERROR(VLOOKUP(BR492,Parameter!$F$35:$G$64,2,0),2)),IF(OR(BV492="Nein",BV492=""),"-",BV492))))</f>
        <v>3</v>
      </c>
      <c r="AA492" s="62"/>
      <c r="AB492" s="63"/>
      <c r="AC492" s="57" t="n">
        <f aca="false">AR492</f>
        <v>32</v>
      </c>
      <c r="AD492" s="57" t="n">
        <f aca="false">MAX(AR492,H492)</f>
        <v>32</v>
      </c>
      <c r="AE492" s="64"/>
      <c r="AF492" s="57" t="n">
        <f aca="false">IF(LEFT(Cockpit!$C$5,1)="A",H492,IF(CA492=1,CB492,IF(LEFT(Cockpit!$C$5,1)="B",AJ492,MAX(AJ492,H492))))</f>
        <v>28</v>
      </c>
      <c r="AG492" s="57" t="n">
        <f aca="false">IF(BT492=1,0,ROUNDUP(AF492/BS492,0))</f>
        <v>1</v>
      </c>
      <c r="AH492" s="59" t="n">
        <f aca="false">IF(CH492&gt;0,CH492*MAX(1,AF492/X492),IF(BT492=1,IF(AF492&lt;=0,0,BW492*MAX(1,IF(H492&gt;0,AF492/H492,1))),IF(R492&gt;0,AG492/R492,0))/MAX(0.1,N(Parameter!$M$21)))</f>
        <v>0.0384615384615385</v>
      </c>
      <c r="AI492" s="57" t="n">
        <f aca="false">AF492*G492</f>
        <v>462.28</v>
      </c>
      <c r="AJ492" s="57" t="n">
        <f aca="false">ROUNDUP(MAX(J492/IF(BZ492&gt;0,BZ492,MAX(0.1,N(Cockpit!$C$6))),CC492)/BS492,0)*BS492</f>
        <v>32</v>
      </c>
      <c r="AK492" s="58" t="n">
        <f aca="false">IF(AH492&gt;0,J492/AH492,-1)</f>
        <v>338</v>
      </c>
      <c r="AL492" s="58" t="n">
        <f aca="false">IF(AND(OR(BY492="L1",BY492="L23"),AH492&gt;0),SUMIFS($AH$7:$AH$1843,$BY$7:$BY$1843,BY492,$AK$7:$AK$1843,"&gt;"&amp;AK492)+SUMIFS($AH$7:$AH$1843,$BY$7:$BY$1843,BY492,$AK$7:$AK$1843,AK492,$BQ$7:$BQ$1843,"&lt;="&amp;BQ492),"")</f>
        <v>27.7838924360664</v>
      </c>
      <c r="AM492" s="65" t="n">
        <f aca="false">IF(AL492="",0,MAX(0,MIN(1,(IF(BY492="L1",Parameter!$E$5,Parameter!$E$6+Parameter!$E$7)-(AL492-AH492))/AH492)))</f>
        <v>1</v>
      </c>
      <c r="AN492" s="57" t="n">
        <f aca="false">IF(LEFT(Cockpit!$I$5,1)="A",H492,IF(CA492=1,CB492,IF(LEFT(Cockpit!$I$5,1)="B",AR492,MAX(AR492,H492))))</f>
        <v>32</v>
      </c>
      <c r="AO492" s="57" t="n">
        <f aca="false">IF(BT492=1,0,ROUNDUP(AN492/BS492,0))</f>
        <v>1</v>
      </c>
      <c r="AP492" s="59" t="n">
        <f aca="false">IF(CH492&gt;0,CH492*MAX(1,AN492/X492),IF(BT492=1,IF(AN492&lt;=0,0,BW492*MAX(1,IF(H492&gt;0,AN492/H492,1))),IF(R492&gt;0,AO492/R492,0))/MAX(0.1,N(Parameter!$M$21)))</f>
        <v>0.0384615384615385</v>
      </c>
      <c r="AQ492" s="57" t="n">
        <f aca="false">AN492*G492</f>
        <v>528.32</v>
      </c>
      <c r="AR492" s="57" t="n">
        <f aca="false">ROUNDUP(MAX(J492/IF(BZ492&gt;0,BZ492,MAX(0.1,N(Cockpit!$I$6))),CC492)/BS492,0)*BS492</f>
        <v>32</v>
      </c>
      <c r="AS492" s="58" t="n">
        <f aca="false">IF(AP492&gt;0,J492/AP492,-1)</f>
        <v>338</v>
      </c>
      <c r="AT492" s="58" t="n">
        <f aca="false">IF(AND(OR(BY492="L1",BY492="L23"),AP492&gt;0),SUMIFS($AP$7:$AP$1843,$BY$7:$BY$1843,BY492,$AS$7:$AS$1843,"&gt;"&amp;AS492)+SUMIFS($AP$7:$AP$1843,$BY$7:$BY$1843,BY492,$AS$7:$AS$1843,AS492,$BQ$7:$BQ$1843,"&lt;="&amp;BQ492),"")</f>
        <v>39.9195550825986</v>
      </c>
      <c r="AU492" s="65" t="n">
        <f aca="false">IF(AT492="",0,MAX(0,MIN(1,(IF(BY492="L1",Parameter!$E$5,Parameter!$E$6+Parameter!$E$7)-(AT492-AP492))/AP492)))</f>
        <v>1</v>
      </c>
      <c r="AV492" s="57" t="n">
        <f aca="false">IF(LEFT(Cockpit!$O$5,1)="A",H492,IF(CA492=1,CB492,IF(LEFT(Cockpit!$O$5,1)="B",AZ492,MAX(AZ492,H492))))</f>
        <v>32</v>
      </c>
      <c r="AW492" s="57" t="n">
        <f aca="false">IF(BT492=1,0,ROUNDUP(AV492/BS492,0))</f>
        <v>1</v>
      </c>
      <c r="AX492" s="59" t="n">
        <f aca="false">IF(CH492&gt;0,CH492*MAX(1,AV492/X492),IF(BT492=1,IF(AV492&lt;=0,0,BW492*MAX(1,IF(H492&gt;0,AV492/H492,1))),IF(R492&gt;0,AW492/R492,0))/MAX(0.1,N(Parameter!$M$21)))</f>
        <v>0.0384615384615385</v>
      </c>
      <c r="AY492" s="57" t="n">
        <f aca="false">AV492*G492</f>
        <v>528.32</v>
      </c>
      <c r="AZ492" s="57" t="n">
        <f aca="false">ROUNDUP(MAX(J492/IF(BZ492&gt;0,BZ492,MAX(0.1,N(Cockpit!$O$6))),CC492)/BS492,0)*BS492</f>
        <v>32</v>
      </c>
      <c r="BA492" s="58" t="n">
        <f aca="false">IF(AX492&gt;0,J492/AX492,-1)</f>
        <v>338</v>
      </c>
      <c r="BB492" s="58" t="n">
        <f aca="false">IF(AND(OR(BY492="L1",BY492="L23"),AX492&gt;0),SUMIFS($AX$7:$AX$1843,$BY$7:$BY$1843,BY492,$BA$7:$BA$1843,"&gt;"&amp;BA492)+SUMIFS($AX$7:$AX$1843,$BY$7:$BY$1843,BY492,$BA$7:$BA$1843,BA492,$BQ$7:$BQ$1843,"&lt;="&amp;BQ492),"")</f>
        <v>36.2493919124354</v>
      </c>
      <c r="BC492" s="65" t="n">
        <f aca="false">IF(BB492="",0,MAX(0,MIN(1,(IF(BY492="L1",Parameter!$E$5,Parameter!$E$6+Parameter!$E$7)-(BB492-AX492))/AX492)))</f>
        <v>1</v>
      </c>
      <c r="BD492" s="55" t="str">
        <f aca="false">IF(AH492&lt;=0,"",IF(BY492="Aussen","Aussenlager",IF(BY492="-","Nicht im Lift",IF(AM492&gt;=1,"Lift",IF(AM492&lt;=0,"Aussenlager","teilweise")))))</f>
        <v>Lift</v>
      </c>
      <c r="BE492" s="55" t="str">
        <f aca="false">IF(AP492&lt;=0,"",IF(BY492="Aussen","Aussenlager",IF(BY492="-","Nicht im Lift",IF(AU492&gt;=1,"Lift",IF(AU492&lt;=0,"Aussenlager","teilweise")))))</f>
        <v>Lift</v>
      </c>
      <c r="BF492" s="55" t="str">
        <f aca="false">IF(AX492&lt;=0,"",IF(BY492="Aussen","Aussenlager",IF(BY492="-","Nicht im Lift",IF(BC492&gt;=1,"Lift",IF(BC492&lt;=0,"Aussenlager","teilweise")))))</f>
        <v>Lift</v>
      </c>
      <c r="BG492" s="55" t="str">
        <f aca="false">IF(A492="","",IF(BP492=1,"Neu; ","")&amp;IF(AND(BP492=0,BK492&lt;0),"negativer Bestand (Export "&amp;BK492&amp;"); ","")&amp;IF(J492&lt;=0,"Kein Verbrauch; ","")&amp;IF(CH492&gt;0,"Lift "&amp;W492&amp;" lt. Liftbericht (Fach "&amp;X492&amp;" Stk); ",IF(BU492=1,"Gebinde geschätzt ("&amp;T492&amp;"); ",IF(BT492=1,"Lose – Tablare geschätzt; ","")))&amp;IF(H492&gt;AR492,"Überbestand "&amp;ROUND(H492-AR492,0)&amp;" Stk / CHF "&amp;ROUND((H492-AR492)*G492,0)&amp;"; ","")&amp;IF(AND(CA492=1,CB492&lt;CC492),"MAX &lt; MB+LG; ","")&amp;IF(AND(CG492&gt;0,CF492*10&gt;CG492),"zu hoch für Tablar; ","")&amp;IF(AND(BP492=0,OR(CA492=1,AA492&lt;&gt;"",U492&lt;&gt;"",V492&lt;&gt;"",AB492&lt;&gt;"")),"manuell übersteuert; ","")&amp;IF(AND(BT492=0,R492=0),"Gebinde unbekannt / Stellmass fehlt; ","")&amp;IF(AND(BT492=0,N(V492)&lt;=0,N(Q492)&lt;=0),"Menge pro Gebinde fehlt (Ist = 1 Gebinde); ","")&amp;BO492)</f>
        <v/>
      </c>
      <c r="BH492" s="55"/>
      <c r="BI492" s="55"/>
      <c r="BJ492" s="62"/>
      <c r="BK492" s="57" t="n">
        <v>3</v>
      </c>
      <c r="BL492" s="57" t="n">
        <v>25</v>
      </c>
      <c r="BM492" s="56" t="n">
        <v>41.5300000000001</v>
      </c>
      <c r="BN492" s="57" t="n">
        <v>13</v>
      </c>
      <c r="BO492" s="55"/>
      <c r="BP492" s="60" t="n">
        <v>0</v>
      </c>
      <c r="BQ492" s="60" t="n">
        <v>492</v>
      </c>
      <c r="BR492" s="55" t="str">
        <f aca="false">IF(U492&lt;&gt;"",UPPER(TRIM(U492)),IF(BU492=1,UPPER(VLOOKUP(T492,Parameter!$I$27:$K$29,2,0)),IF(P492="","LOSE",P492)))</f>
        <v>S52</v>
      </c>
      <c r="BS492" s="57" t="n">
        <f aca="false">IF(BR492="LOSE",1,IF(N(V492)&gt;0,V492,IF(BU492=1,MAX(1,N(VLOOKUP(T492,Parameter!$I$27:$K$29,3,0)),H492,N(N492)),IF(N(Q492)&gt;0,Q492,MAX(1,H492)))))</f>
        <v>32</v>
      </c>
      <c r="BT492" s="60" t="n">
        <f aca="false">IF(BR492="LOSE",1,0)</f>
        <v>0</v>
      </c>
      <c r="BU492" s="60" t="n">
        <f aca="false">IF(AND(U492="",OR(P492="",P492="LOSE"),T492&lt;&gt;"",N(S492)&lt;=0,ISNUMBER(MATCH(T492,Parameter!$I$27:$I$29,0))),1,0)</f>
        <v>0</v>
      </c>
      <c r="BV492" s="55" t="str">
        <f aca="false">IF(AND(Parameter!$B$19="Ja",E492&lt;&gt;"",ISNUMBER(MATCH(E492,Parameter!$I$35:$I$52,0))),VLOOKUP(E492,Parameter!$I$35:$J$52,2,0),IFERROR(VLOOKUP(D492,Parameter!$A$35:$C$64,2,0),"Nein"))</f>
        <v>2+3</v>
      </c>
      <c r="BW492" s="59" t="n">
        <f aca="false">IF(BT492=0,0,IF(N(S492)&gt;0,S492,IFERROR(VLOOKUP(D492,Parameter!$A$35:$C$64,3,0)+0,0)))</f>
        <v>0</v>
      </c>
      <c r="BX492" s="55" t="n">
        <f aca="false">IF(AA492&lt;&gt;"",AA492,Z492)</f>
        <v>3</v>
      </c>
      <c r="BY492" s="55" t="str">
        <f aca="false">IF(BX492=1,"L1",IF(OR(BX492=2,BX492=3),"L23",IF(BX492="Aussen","Aussen","-")))</f>
        <v>L23</v>
      </c>
      <c r="BZ492" s="66" t="n">
        <f aca="false">IF(N(AB492)&gt;0,AB492,0)</f>
        <v>0</v>
      </c>
      <c r="CA492" s="60" t="n">
        <f aca="false">IF(ISNUMBER(AE492),1,0)</f>
        <v>0</v>
      </c>
      <c r="CB492" s="57" t="n">
        <f aca="false">N(AE492)</f>
        <v>0</v>
      </c>
      <c r="CC492" s="57" t="n">
        <f aca="false">N(M492)+N(N492)</f>
        <v>16</v>
      </c>
      <c r="CD492" s="57" t="n">
        <f aca="false">ROUNDUP(H492/BS492,0)</f>
        <v>1</v>
      </c>
      <c r="CE492" s="57" t="n">
        <f aca="false">ROUNDUP(CB492/BS492,0)</f>
        <v>0</v>
      </c>
      <c r="CF492" s="60" t="n">
        <f aca="false">IF(BT492=1,0,IFERROR(VLOOKUP(BR492,'Gebinde-Kategorie'!$A$5:$M$45,5,0)+0,0))</f>
        <v>21</v>
      </c>
      <c r="CG492" s="60" t="n">
        <f aca="false">IFERROR(IF(OR(BX492=1,BX492=2,BX492=3),N(INDEX(Parameter!$I$5:$I$7,BX492)),0),0)</f>
        <v>0</v>
      </c>
      <c r="CH492" s="59" t="n">
        <f aca="false">IF(AND(Parameter!$B$21="Ja",ISNUMBER(W492),N(X492)&gt;0),IFERROR(N(INDEX(Parameter!$L$5:$L$7,W492))*INDEX(Parameter!$E$5:$E$7,W492)*X492/SUMIFS($X$7:$X$1843,$W$7:$W$1843,W492),0),0)</f>
        <v>0</v>
      </c>
    </row>
    <row r="493" customFormat="false" ht="15" hidden="false" customHeight="false" outlineLevel="0" collapsed="false">
      <c r="A493" s="55" t="s">
        <v>1088</v>
      </c>
      <c r="B493" s="55" t="s">
        <v>1036</v>
      </c>
      <c r="C493" s="55" t="s">
        <v>164</v>
      </c>
      <c r="D493" s="55" t="s">
        <v>184</v>
      </c>
      <c r="E493" s="55" t="s">
        <v>185</v>
      </c>
      <c r="F493" s="55" t="s">
        <v>218</v>
      </c>
      <c r="G493" s="56" t="n">
        <v>0.03</v>
      </c>
      <c r="H493" s="57" t="n">
        <f aca="false">MAX(0,IF(AND(Parameter!$B$21="Ja",ISNUMBER(Y493)),Y493,IF(Parameter!$B$20="Jahresanfang 2025 + Export",BL493+BK493,BK493)))</f>
        <v>3691</v>
      </c>
      <c r="I493" s="57" t="n">
        <f aca="false">H493*G493</f>
        <v>110.73</v>
      </c>
      <c r="J493" s="57" t="n">
        <f aca="false">BN493*Parameter!$B$18</f>
        <v>100</v>
      </c>
      <c r="K493" s="58" t="n">
        <v>1870</v>
      </c>
      <c r="L493" s="59" t="n">
        <v>0.053475935828877</v>
      </c>
      <c r="M493" s="57" t="n">
        <v>3</v>
      </c>
      <c r="N493" s="57" t="n">
        <v>100</v>
      </c>
      <c r="O493" s="60" t="n">
        <v>14</v>
      </c>
      <c r="P493" s="55" t="s">
        <v>302</v>
      </c>
      <c r="Q493" s="57" t="n">
        <v>4200</v>
      </c>
      <c r="R493" s="60" t="n">
        <f aca="false">IF(BT493=1,0,IFERROR(VLOOKUP(BR493,'Gebinde-Kategorie'!$A$5:$M$45,13,0)+0,0))</f>
        <v>26</v>
      </c>
      <c r="S493" s="61"/>
      <c r="T493" s="62"/>
      <c r="U493" s="62"/>
      <c r="V493" s="62"/>
      <c r="W493" s="55"/>
      <c r="X493" s="57"/>
      <c r="Y493" s="57"/>
      <c r="Z493" s="55" t="n">
        <f aca="false">IF(A493="","",IF(AND(Parameter!$B$21="Ja",ISNUMBER(W493)),W493,IF(BV493="2+3",IF(ISNUMBER(SEARCH("grosser Artikel",BO493)),2,IFERROR(VLOOKUP(BR493,Parameter!$F$35:$G$64,2,0),2)),IF(OR(BV493="Nein",BV493=""),"-",BV493))))</f>
        <v>3</v>
      </c>
      <c r="AA493" s="62"/>
      <c r="AB493" s="63"/>
      <c r="AC493" s="57" t="n">
        <f aca="false">AR493</f>
        <v>4200</v>
      </c>
      <c r="AD493" s="57" t="n">
        <f aca="false">MAX(AR493,H493)</f>
        <v>4200</v>
      </c>
      <c r="AE493" s="64"/>
      <c r="AF493" s="57" t="n">
        <f aca="false">IF(LEFT(Cockpit!$C$5,1)="A",H493,IF(CA493=1,CB493,IF(LEFT(Cockpit!$C$5,1)="B",AJ493,MAX(AJ493,H493))))</f>
        <v>3691</v>
      </c>
      <c r="AG493" s="57" t="n">
        <f aca="false">IF(BT493=1,0,ROUNDUP(AF493/BS493,0))</f>
        <v>1</v>
      </c>
      <c r="AH493" s="59" t="n">
        <f aca="false">IF(CH493&gt;0,CH493*MAX(1,AF493/X493),IF(BT493=1,IF(AF493&lt;=0,0,BW493*MAX(1,IF(H493&gt;0,AF493/H493,1))),IF(R493&gt;0,AG493/R493,0))/MAX(0.1,N(Parameter!$M$21)))</f>
        <v>0.0384615384615385</v>
      </c>
      <c r="AI493" s="57" t="n">
        <f aca="false">AF493*G493</f>
        <v>110.73</v>
      </c>
      <c r="AJ493" s="57" t="n">
        <f aca="false">ROUNDUP(MAX(J493/IF(BZ493&gt;0,BZ493,MAX(0.1,N(Cockpit!$C$6))),CC493)/BS493,0)*BS493</f>
        <v>4200</v>
      </c>
      <c r="AK493" s="58" t="n">
        <f aca="false">IF(AH493&gt;0,J493/AH493,-1)</f>
        <v>2600</v>
      </c>
      <c r="AL493" s="58" t="n">
        <f aca="false">IF(AND(OR(BY493="L1",BY493="L23"),AH493&gt;0),SUMIFS($AH$7:$AH$1843,$BY$7:$BY$1843,BY493,$AK$7:$AK$1843,"&gt;"&amp;AK493)+SUMIFS($AH$7:$AH$1843,$BY$7:$BY$1843,BY493,$AK$7:$AK$1843,AK493,$BQ$7:$BQ$1843,"&lt;="&amp;BQ493),"")</f>
        <v>11.4343434343434</v>
      </c>
      <c r="AM493" s="65" t="n">
        <f aca="false">IF(AL493="",0,MAX(0,MIN(1,(IF(BY493="L1",Parameter!$E$5,Parameter!$E$6+Parameter!$E$7)-(AL493-AH493))/AH493)))</f>
        <v>1</v>
      </c>
      <c r="AN493" s="57" t="n">
        <f aca="false">IF(LEFT(Cockpit!$I$5,1)="A",H493,IF(CA493=1,CB493,IF(LEFT(Cockpit!$I$5,1)="B",AR493,MAX(AR493,H493))))</f>
        <v>4200</v>
      </c>
      <c r="AO493" s="57" t="n">
        <f aca="false">IF(BT493=1,0,ROUNDUP(AN493/BS493,0))</f>
        <v>1</v>
      </c>
      <c r="AP493" s="59" t="n">
        <f aca="false">IF(CH493&gt;0,CH493*MAX(1,AN493/X493),IF(BT493=1,IF(AN493&lt;=0,0,BW493*MAX(1,IF(H493&gt;0,AN493/H493,1))),IF(R493&gt;0,AO493/R493,0))/MAX(0.1,N(Parameter!$M$21)))</f>
        <v>0.0384615384615385</v>
      </c>
      <c r="AQ493" s="57" t="n">
        <f aca="false">AN493*G493</f>
        <v>126</v>
      </c>
      <c r="AR493" s="57" t="n">
        <f aca="false">ROUNDUP(MAX(J493/IF(BZ493&gt;0,BZ493,MAX(0.1,N(Cockpit!$I$6))),CC493)/BS493,0)*BS493</f>
        <v>4200</v>
      </c>
      <c r="AS493" s="58" t="n">
        <f aca="false">IF(AP493&gt;0,J493/AP493,-1)</f>
        <v>2600</v>
      </c>
      <c r="AT493" s="58" t="n">
        <f aca="false">IF(AND(OR(BY493="L1",BY493="L23"),AP493&gt;0),SUMIFS($AP$7:$AP$1843,$BY$7:$BY$1843,BY493,$AS$7:$AS$1843,"&gt;"&amp;AS493)+SUMIFS($AP$7:$AP$1843,$BY$7:$BY$1843,BY493,$AS$7:$AS$1843,AS493,$BQ$7:$BQ$1843,"&lt;="&amp;BQ493),"")</f>
        <v>16.2974392757001</v>
      </c>
      <c r="AU493" s="65" t="n">
        <f aca="false">IF(AT493="",0,MAX(0,MIN(1,(IF(BY493="L1",Parameter!$E$5,Parameter!$E$6+Parameter!$E$7)-(AT493-AP493))/AP493)))</f>
        <v>1</v>
      </c>
      <c r="AV493" s="57" t="n">
        <f aca="false">IF(LEFT(Cockpit!$O$5,1)="A",H493,IF(CA493=1,CB493,IF(LEFT(Cockpit!$O$5,1)="B",AZ493,MAX(AZ493,H493))))</f>
        <v>4200</v>
      </c>
      <c r="AW493" s="57" t="n">
        <f aca="false">IF(BT493=1,0,ROUNDUP(AV493/BS493,0))</f>
        <v>1</v>
      </c>
      <c r="AX493" s="59" t="n">
        <f aca="false">IF(CH493&gt;0,CH493*MAX(1,AV493/X493),IF(BT493=1,IF(AV493&lt;=0,0,BW493*MAX(1,IF(H493&gt;0,AV493/H493,1))),IF(R493&gt;0,AW493/R493,0))/MAX(0.1,N(Parameter!$M$21)))</f>
        <v>0.0384615384615385</v>
      </c>
      <c r="AY493" s="57" t="n">
        <f aca="false">AV493*G493</f>
        <v>126</v>
      </c>
      <c r="AZ493" s="57" t="n">
        <f aca="false">ROUNDUP(MAX(J493/IF(BZ493&gt;0,BZ493,MAX(0.1,N(Cockpit!$O$6))),CC493)/BS493,0)*BS493</f>
        <v>4200</v>
      </c>
      <c r="BA493" s="58" t="n">
        <f aca="false">IF(AX493&gt;0,J493/AX493,-1)</f>
        <v>2600</v>
      </c>
      <c r="BB493" s="58" t="n">
        <f aca="false">IF(AND(OR(BY493="L1",BY493="L23"),AX493&gt;0),SUMIFS($AX$7:$AX$1843,$BY$7:$BY$1843,BY493,$BA$7:$BA$1843,"&gt;"&amp;BA493)+SUMIFS($AX$7:$AX$1843,$BY$7:$BY$1843,BY493,$BA$7:$BA$1843,BA493,$BQ$7:$BQ$1843,"&lt;="&amp;BQ493),"")</f>
        <v>14.8708658491267</v>
      </c>
      <c r="BC493" s="65" t="n">
        <f aca="false">IF(BB493="",0,MAX(0,MIN(1,(IF(BY493="L1",Parameter!$E$5,Parameter!$E$6+Parameter!$E$7)-(BB493-AX493))/AX493)))</f>
        <v>1</v>
      </c>
      <c r="BD493" s="55" t="str">
        <f aca="false">IF(AH493&lt;=0,"",IF(BY493="Aussen","Aussenlager",IF(BY493="-","Nicht im Lift",IF(AM493&gt;=1,"Lift",IF(AM493&lt;=0,"Aussenlager","teilweise")))))</f>
        <v>Lift</v>
      </c>
      <c r="BE493" s="55" t="str">
        <f aca="false">IF(AP493&lt;=0,"",IF(BY493="Aussen","Aussenlager",IF(BY493="-","Nicht im Lift",IF(AU493&gt;=1,"Lift",IF(AU493&lt;=0,"Aussenlager","teilweise")))))</f>
        <v>Lift</v>
      </c>
      <c r="BF493" s="55" t="str">
        <f aca="false">IF(AX493&lt;=0,"",IF(BY493="Aussen","Aussenlager",IF(BY493="-","Nicht im Lift",IF(BC493&gt;=1,"Lift",IF(BC493&lt;=0,"Aussenlager","teilweise")))))</f>
        <v>Lift</v>
      </c>
      <c r="BG493" s="55" t="str">
        <f aca="false">IF(A493="","",IF(BP493=1,"Neu; ","")&amp;IF(AND(BP493=0,BK493&lt;0),"negativer Bestand (Export "&amp;BK493&amp;"); ","")&amp;IF(J493&lt;=0,"Kein Verbrauch; ","")&amp;IF(CH493&gt;0,"Lift "&amp;W493&amp;" lt. Liftbericht (Fach "&amp;X493&amp;" Stk); ",IF(BU493=1,"Gebinde geschätzt ("&amp;T493&amp;"); ",IF(BT493=1,"Lose – Tablare geschätzt; ","")))&amp;IF(H493&gt;AR493,"Überbestand "&amp;ROUND(H493-AR493,0)&amp;" Stk / CHF "&amp;ROUND((H493-AR493)*G493,0)&amp;"; ","")&amp;IF(AND(CA493=1,CB493&lt;CC493),"MAX &lt; MB+LG; ","")&amp;IF(AND(CG493&gt;0,CF493*10&gt;CG493),"zu hoch für Tablar; ","")&amp;IF(AND(BP493=0,OR(CA493=1,AA493&lt;&gt;"",U493&lt;&gt;"",V493&lt;&gt;"",AB493&lt;&gt;"")),"manuell übersteuert; ","")&amp;IF(AND(BT493=0,R493=0),"Gebinde unbekannt / Stellmass fehlt; ","")&amp;IF(AND(BT493=0,N(V493)&lt;=0,N(Q493)&lt;=0),"Menge pro Gebinde fehlt (Ist = 1 Gebinde); ","")&amp;BO493)</f>
        <v>Verb.Lager</v>
      </c>
      <c r="BH493" s="55"/>
      <c r="BI493" s="55"/>
      <c r="BJ493" s="62"/>
      <c r="BK493" s="57" t="n">
        <v>191</v>
      </c>
      <c r="BL493" s="57" t="n">
        <v>3500</v>
      </c>
      <c r="BM493" s="56" t="n">
        <v>40.73</v>
      </c>
      <c r="BN493" s="57" t="n">
        <v>100</v>
      </c>
      <c r="BO493" s="55" t="s">
        <v>1030</v>
      </c>
      <c r="BP493" s="60" t="n">
        <v>0</v>
      </c>
      <c r="BQ493" s="60" t="n">
        <v>493</v>
      </c>
      <c r="BR493" s="55" t="str">
        <f aca="false">IF(U493&lt;&gt;"",UPPER(TRIM(U493)),IF(BU493=1,UPPER(VLOOKUP(T493,Parameter!$I$27:$K$29,2,0)),IF(P493="","LOSE",P493)))</f>
        <v>S51</v>
      </c>
      <c r="BS493" s="57" t="n">
        <f aca="false">IF(BR493="LOSE",1,IF(N(V493)&gt;0,V493,IF(BU493=1,MAX(1,N(VLOOKUP(T493,Parameter!$I$27:$K$29,3,0)),H493,N(N493)),IF(N(Q493)&gt;0,Q493,MAX(1,H493)))))</f>
        <v>4200</v>
      </c>
      <c r="BT493" s="60" t="n">
        <f aca="false">IF(BR493="LOSE",1,0)</f>
        <v>0</v>
      </c>
      <c r="BU493" s="60" t="n">
        <f aca="false">IF(AND(U493="",OR(P493="",P493="LOSE"),T493&lt;&gt;"",N(S493)&lt;=0,ISNUMBER(MATCH(T493,Parameter!$I$27:$I$29,0))),1,0)</f>
        <v>0</v>
      </c>
      <c r="BV493" s="55" t="str">
        <f aca="false">IF(AND(Parameter!$B$19="Ja",E493&lt;&gt;"",ISNUMBER(MATCH(E493,Parameter!$I$35:$I$52,0))),VLOOKUP(E493,Parameter!$I$35:$J$52,2,0),IFERROR(VLOOKUP(D493,Parameter!$A$35:$C$64,2,0),"Nein"))</f>
        <v>2+3</v>
      </c>
      <c r="BW493" s="59" t="n">
        <f aca="false">IF(BT493=0,0,IF(N(S493)&gt;0,S493,IFERROR(VLOOKUP(D493,Parameter!$A$35:$C$64,3,0)+0,0)))</f>
        <v>0</v>
      </c>
      <c r="BX493" s="55" t="n">
        <f aca="false">IF(AA493&lt;&gt;"",AA493,Z493)</f>
        <v>3</v>
      </c>
      <c r="BY493" s="55" t="str">
        <f aca="false">IF(BX493=1,"L1",IF(OR(BX493=2,BX493=3),"L23",IF(BX493="Aussen","Aussen","-")))</f>
        <v>L23</v>
      </c>
      <c r="BZ493" s="66" t="n">
        <f aca="false">IF(N(AB493)&gt;0,AB493,0)</f>
        <v>0</v>
      </c>
      <c r="CA493" s="60" t="n">
        <f aca="false">IF(ISNUMBER(AE493),1,0)</f>
        <v>0</v>
      </c>
      <c r="CB493" s="57" t="n">
        <f aca="false">N(AE493)</f>
        <v>0</v>
      </c>
      <c r="CC493" s="57" t="n">
        <f aca="false">N(M493)+N(N493)</f>
        <v>103</v>
      </c>
      <c r="CD493" s="57" t="n">
        <f aca="false">ROUNDUP(H493/BS493,0)</f>
        <v>1</v>
      </c>
      <c r="CE493" s="57" t="n">
        <f aca="false">ROUNDUP(CB493/BS493,0)</f>
        <v>0</v>
      </c>
      <c r="CF493" s="60" t="n">
        <f aca="false">IF(BT493=1,0,IFERROR(VLOOKUP(BR493,'Gebinde-Kategorie'!$A$5:$M$45,5,0)+0,0))</f>
        <v>11</v>
      </c>
      <c r="CG493" s="60" t="n">
        <f aca="false">IFERROR(IF(OR(BX493=1,BX493=2,BX493=3),N(INDEX(Parameter!$I$5:$I$7,BX493)),0),0)</f>
        <v>0</v>
      </c>
      <c r="CH493" s="59" t="n">
        <f aca="false">IF(AND(Parameter!$B$21="Ja",ISNUMBER(W493),N(X493)&gt;0),IFERROR(N(INDEX(Parameter!$L$5:$L$7,W493))*INDEX(Parameter!$E$5:$E$7,W493)*X493/SUMIFS($X$7:$X$1843,$W$7:$W$1843,W493),0),0)</f>
        <v>0</v>
      </c>
    </row>
    <row r="494" customFormat="false" ht="15" hidden="false" customHeight="false" outlineLevel="0" collapsed="false">
      <c r="A494" s="55" t="s">
        <v>1089</v>
      </c>
      <c r="B494" s="55" t="s">
        <v>1090</v>
      </c>
      <c r="C494" s="55" t="s">
        <v>164</v>
      </c>
      <c r="D494" s="55" t="s">
        <v>184</v>
      </c>
      <c r="E494" s="55"/>
      <c r="F494" s="55" t="s">
        <v>218</v>
      </c>
      <c r="G494" s="56" t="n">
        <v>13.45</v>
      </c>
      <c r="H494" s="57" t="n">
        <f aca="false">MAX(0,IF(AND(Parameter!$B$21="Ja",ISNUMBER(Y494)),Y494,IF(Parameter!$B$20="Jahresanfang 2025 + Export",BL494+BK494,BK494)))</f>
        <v>3</v>
      </c>
      <c r="I494" s="57" t="n">
        <f aca="false">H494*G494</f>
        <v>40.35</v>
      </c>
      <c r="J494" s="57" t="n">
        <f aca="false">BN494*Parameter!$B$18</f>
        <v>4</v>
      </c>
      <c r="K494" s="58" t="n">
        <v>3</v>
      </c>
      <c r="L494" s="59" t="n">
        <v>1.33333333333333</v>
      </c>
      <c r="M494" s="57" t="n">
        <v>0</v>
      </c>
      <c r="N494" s="57" t="n">
        <v>5</v>
      </c>
      <c r="O494" s="60" t="n">
        <v>14</v>
      </c>
      <c r="P494" s="55" t="s">
        <v>401</v>
      </c>
      <c r="Q494" s="57" t="n">
        <v>4</v>
      </c>
      <c r="R494" s="60" t="n">
        <f aca="false">IF(BT494=1,0,IFERROR(VLOOKUP(BR494,'Gebinde-Kategorie'!$A$5:$M$45,13,0)+0,0))</f>
        <v>414</v>
      </c>
      <c r="S494" s="61"/>
      <c r="T494" s="62"/>
      <c r="U494" s="62"/>
      <c r="V494" s="62"/>
      <c r="W494" s="55"/>
      <c r="X494" s="57"/>
      <c r="Y494" s="57"/>
      <c r="Z494" s="55" t="n">
        <f aca="false">IF(A494="","",IF(AND(Parameter!$B$21="Ja",ISNUMBER(W494)),W494,IF(BV494="2+3",IF(ISNUMBER(SEARCH("grosser Artikel",BO494)),2,IFERROR(VLOOKUP(BR494,Parameter!$F$35:$G$64,2,0),2)),IF(OR(BV494="Nein",BV494=""),"-",BV494))))</f>
        <v>3</v>
      </c>
      <c r="AA494" s="62"/>
      <c r="AB494" s="63"/>
      <c r="AC494" s="57" t="n">
        <f aca="false">AR494</f>
        <v>8</v>
      </c>
      <c r="AD494" s="57" t="n">
        <f aca="false">MAX(AR494,H494)</f>
        <v>8</v>
      </c>
      <c r="AE494" s="64"/>
      <c r="AF494" s="57" t="n">
        <f aca="false">IF(LEFT(Cockpit!$C$5,1)="A",H494,IF(CA494=1,CB494,IF(LEFT(Cockpit!$C$5,1)="B",AJ494,MAX(AJ494,H494))))</f>
        <v>3</v>
      </c>
      <c r="AG494" s="57" t="n">
        <f aca="false">IF(BT494=1,0,ROUNDUP(AF494/BS494,0))</f>
        <v>1</v>
      </c>
      <c r="AH494" s="59" t="n">
        <f aca="false">IF(CH494&gt;0,CH494*MAX(1,AF494/X494),IF(BT494=1,IF(AF494&lt;=0,0,BW494*MAX(1,IF(H494&gt;0,AF494/H494,1))),IF(R494&gt;0,AG494/R494,0))/MAX(0.1,N(Parameter!$M$21)))</f>
        <v>0.00241545893719807</v>
      </c>
      <c r="AI494" s="57" t="n">
        <f aca="false">AF494*G494</f>
        <v>40.35</v>
      </c>
      <c r="AJ494" s="57" t="n">
        <f aca="false">ROUNDUP(MAX(J494/IF(BZ494&gt;0,BZ494,MAX(0.1,N(Cockpit!$C$6))),CC494)/BS494,0)*BS494</f>
        <v>8</v>
      </c>
      <c r="AK494" s="58" t="n">
        <f aca="false">IF(AH494&gt;0,J494/AH494,-1)</f>
        <v>1656</v>
      </c>
      <c r="AL494" s="58" t="n">
        <f aca="false">IF(AND(OR(BY494="L1",BY494="L23"),AH494&gt;0),SUMIFS($AH$7:$AH$1843,$BY$7:$BY$1843,BY494,$AK$7:$AK$1843,"&gt;"&amp;AK494)+SUMIFS($AH$7:$AH$1843,$BY$7:$BY$1843,BY494,$AK$7:$AK$1843,AK494,$BQ$7:$BQ$1843,"&lt;="&amp;BQ494),"")</f>
        <v>15.4253065774805</v>
      </c>
      <c r="AM494" s="65" t="n">
        <f aca="false">IF(AL494="",0,MAX(0,MIN(1,(IF(BY494="L1",Parameter!$E$5,Parameter!$E$6+Parameter!$E$7)-(AL494-AH494))/AH494)))</f>
        <v>1</v>
      </c>
      <c r="AN494" s="57" t="n">
        <f aca="false">IF(LEFT(Cockpit!$I$5,1)="A",H494,IF(CA494=1,CB494,IF(LEFT(Cockpit!$I$5,1)="B",AR494,MAX(AR494,H494))))</f>
        <v>8</v>
      </c>
      <c r="AO494" s="57" t="n">
        <f aca="false">IF(BT494=1,0,ROUNDUP(AN494/BS494,0))</f>
        <v>2</v>
      </c>
      <c r="AP494" s="59" t="n">
        <f aca="false">IF(CH494&gt;0,CH494*MAX(1,AN494/X494),IF(BT494=1,IF(AN494&lt;=0,0,BW494*MAX(1,IF(H494&gt;0,AN494/H494,1))),IF(R494&gt;0,AO494/R494,0))/MAX(0.1,N(Parameter!$M$21)))</f>
        <v>0.00483091787439614</v>
      </c>
      <c r="AQ494" s="57" t="n">
        <f aca="false">AN494*G494</f>
        <v>107.6</v>
      </c>
      <c r="AR494" s="57" t="n">
        <f aca="false">ROUNDUP(MAX(J494/IF(BZ494&gt;0,BZ494,MAX(0.1,N(Cockpit!$I$6))),CC494)/BS494,0)*BS494</f>
        <v>8</v>
      </c>
      <c r="AS494" s="58" t="n">
        <f aca="false">IF(AP494&gt;0,J494/AP494,-1)</f>
        <v>828</v>
      </c>
      <c r="AT494" s="58" t="n">
        <f aca="false">IF(AND(OR(BY494="L1",BY494="L23"),AP494&gt;0),SUMIFS($AP$7:$AP$1843,$BY$7:$BY$1843,BY494,$AS$7:$AS$1843,"&gt;"&amp;AS494)+SUMIFS($AP$7:$AP$1843,$BY$7:$BY$1843,BY494,$AS$7:$AS$1843,AS494,$BQ$7:$BQ$1843,"&lt;="&amp;BQ494),"")</f>
        <v>25.925940002027</v>
      </c>
      <c r="AU494" s="65" t="n">
        <f aca="false">IF(AT494="",0,MAX(0,MIN(1,(IF(BY494="L1",Parameter!$E$5,Parameter!$E$6+Parameter!$E$7)-(AT494-AP494))/AP494)))</f>
        <v>1</v>
      </c>
      <c r="AV494" s="57" t="n">
        <f aca="false">IF(LEFT(Cockpit!$O$5,1)="A",H494,IF(CA494=1,CB494,IF(LEFT(Cockpit!$O$5,1)="B",AZ494,MAX(AZ494,H494))))</f>
        <v>8</v>
      </c>
      <c r="AW494" s="57" t="n">
        <f aca="false">IF(BT494=1,0,ROUNDUP(AV494/BS494,0))</f>
        <v>2</v>
      </c>
      <c r="AX494" s="59" t="n">
        <f aca="false">IF(CH494&gt;0,CH494*MAX(1,AV494/X494),IF(BT494=1,IF(AV494&lt;=0,0,BW494*MAX(1,IF(H494&gt;0,AV494/H494,1))),IF(R494&gt;0,AW494/R494,0))/MAX(0.1,N(Parameter!$M$21)))</f>
        <v>0.00483091787439614</v>
      </c>
      <c r="AY494" s="57" t="n">
        <f aca="false">AV494*G494</f>
        <v>107.6</v>
      </c>
      <c r="AZ494" s="57" t="n">
        <f aca="false">ROUNDUP(MAX(J494/IF(BZ494&gt;0,BZ494,MAX(0.1,N(Cockpit!$O$6))),CC494)/BS494,0)*BS494</f>
        <v>8</v>
      </c>
      <c r="BA494" s="58" t="n">
        <f aca="false">IF(AX494&gt;0,J494/AX494,-1)</f>
        <v>828</v>
      </c>
      <c r="BB494" s="58" t="n">
        <f aca="false">IF(AND(OR(BY494="L1",BY494="L23"),AX494&gt;0),SUMIFS($AX$7:$AX$1843,$BY$7:$BY$1843,BY494,$BA$7:$BA$1843,"&gt;"&amp;BA494)+SUMIFS($AX$7:$AX$1843,$BY$7:$BY$1843,BY494,$BA$7:$BA$1843,BA494,$BQ$7:$BQ$1843,"&lt;="&amp;BQ494),"")</f>
        <v>25.7942383703253</v>
      </c>
      <c r="BC494" s="65" t="n">
        <f aca="false">IF(BB494="",0,MAX(0,MIN(1,(IF(BY494="L1",Parameter!$E$5,Parameter!$E$6+Parameter!$E$7)-(BB494-AX494))/AX494)))</f>
        <v>1</v>
      </c>
      <c r="BD494" s="55" t="str">
        <f aca="false">IF(AH494&lt;=0,"",IF(BY494="Aussen","Aussenlager",IF(BY494="-","Nicht im Lift",IF(AM494&gt;=1,"Lift",IF(AM494&lt;=0,"Aussenlager","teilweise")))))</f>
        <v>Lift</v>
      </c>
      <c r="BE494" s="55" t="str">
        <f aca="false">IF(AP494&lt;=0,"",IF(BY494="Aussen","Aussenlager",IF(BY494="-","Nicht im Lift",IF(AU494&gt;=1,"Lift",IF(AU494&lt;=0,"Aussenlager","teilweise")))))</f>
        <v>Lift</v>
      </c>
      <c r="BF494" s="55" t="str">
        <f aca="false">IF(AX494&lt;=0,"",IF(BY494="Aussen","Aussenlager",IF(BY494="-","Nicht im Lift",IF(BC494&gt;=1,"Lift",IF(BC494&lt;=0,"Aussenlager","teilweise")))))</f>
        <v>Lift</v>
      </c>
      <c r="BG494" s="55" t="str">
        <f aca="false">IF(A494="","",IF(BP494=1,"Neu; ","")&amp;IF(AND(BP494=0,BK494&lt;0),"negativer Bestand (Export "&amp;BK494&amp;"); ","")&amp;IF(J494&lt;=0,"Kein Verbrauch; ","")&amp;IF(CH494&gt;0,"Lift "&amp;W494&amp;" lt. Liftbericht (Fach "&amp;X494&amp;" Stk); ",IF(BU494=1,"Gebinde geschätzt ("&amp;T494&amp;"); ",IF(BT494=1,"Lose – Tablare geschätzt; ","")))&amp;IF(H494&gt;AR494,"Überbestand "&amp;ROUND(H494-AR494,0)&amp;" Stk / CHF "&amp;ROUND((H494-AR494)*G494,0)&amp;"; ","")&amp;IF(AND(CA494=1,CB494&lt;CC494),"MAX &lt; MB+LG; ","")&amp;IF(AND(CG494&gt;0,CF494*10&gt;CG494),"zu hoch für Tablar; ","")&amp;IF(AND(BP494=0,OR(CA494=1,AA494&lt;&gt;"",U494&lt;&gt;"",V494&lt;&gt;"",AB494&lt;&gt;"")),"manuell übersteuert; ","")&amp;IF(AND(BT494=0,R494=0),"Gebinde unbekannt / Stellmass fehlt; ","")&amp;IF(AND(BT494=0,N(V494)&lt;=0,N(Q494)&lt;=0),"Menge pro Gebinde fehlt (Ist = 1 Gebinde); ","")&amp;BO494)</f>
        <v/>
      </c>
      <c r="BH494" s="55"/>
      <c r="BI494" s="55"/>
      <c r="BJ494" s="62"/>
      <c r="BK494" s="57" t="n">
        <v>3</v>
      </c>
      <c r="BL494" s="57" t="n">
        <v>0</v>
      </c>
      <c r="BM494" s="56" t="n">
        <v>40.35</v>
      </c>
      <c r="BN494" s="57" t="n">
        <v>4</v>
      </c>
      <c r="BO494" s="55"/>
      <c r="BP494" s="60" t="n">
        <v>0</v>
      </c>
      <c r="BQ494" s="60" t="n">
        <v>494</v>
      </c>
      <c r="BR494" s="55" t="str">
        <f aca="false">IF(U494&lt;&gt;"",UPPER(TRIM(U494)),IF(BU494=1,UPPER(VLOOKUP(T494,Parameter!$I$27:$K$29,2,0)),IF(P494="","LOSE",P494)))</f>
        <v>S21</v>
      </c>
      <c r="BS494" s="57" t="n">
        <f aca="false">IF(BR494="LOSE",1,IF(N(V494)&gt;0,V494,IF(BU494=1,MAX(1,N(VLOOKUP(T494,Parameter!$I$27:$K$29,3,0)),H494,N(N494)),IF(N(Q494)&gt;0,Q494,MAX(1,H494)))))</f>
        <v>4</v>
      </c>
      <c r="BT494" s="60" t="n">
        <f aca="false">IF(BR494="LOSE",1,0)</f>
        <v>0</v>
      </c>
      <c r="BU494" s="60" t="n">
        <f aca="false">IF(AND(U494="",OR(P494="",P494="LOSE"),T494&lt;&gt;"",N(S494)&lt;=0,ISNUMBER(MATCH(T494,Parameter!$I$27:$I$29,0))),1,0)</f>
        <v>0</v>
      </c>
      <c r="BV494" s="55" t="str">
        <f aca="false">IF(AND(Parameter!$B$19="Ja",E494&lt;&gt;"",ISNUMBER(MATCH(E494,Parameter!$I$35:$I$52,0))),VLOOKUP(E494,Parameter!$I$35:$J$52,2,0),IFERROR(VLOOKUP(D494,Parameter!$A$35:$C$64,2,0),"Nein"))</f>
        <v>2+3</v>
      </c>
      <c r="BW494" s="59" t="n">
        <f aca="false">IF(BT494=0,0,IF(N(S494)&gt;0,S494,IFERROR(VLOOKUP(D494,Parameter!$A$35:$C$64,3,0)+0,0)))</f>
        <v>0</v>
      </c>
      <c r="BX494" s="55" t="n">
        <f aca="false">IF(AA494&lt;&gt;"",AA494,Z494)</f>
        <v>3</v>
      </c>
      <c r="BY494" s="55" t="str">
        <f aca="false">IF(BX494=1,"L1",IF(OR(BX494=2,BX494=3),"L23",IF(BX494="Aussen","Aussen","-")))</f>
        <v>L23</v>
      </c>
      <c r="BZ494" s="66" t="n">
        <f aca="false">IF(N(AB494)&gt;0,AB494,0)</f>
        <v>0</v>
      </c>
      <c r="CA494" s="60" t="n">
        <f aca="false">IF(ISNUMBER(AE494),1,0)</f>
        <v>0</v>
      </c>
      <c r="CB494" s="57" t="n">
        <f aca="false">N(AE494)</f>
        <v>0</v>
      </c>
      <c r="CC494" s="57" t="n">
        <f aca="false">N(M494)+N(N494)</f>
        <v>5</v>
      </c>
      <c r="CD494" s="57" t="n">
        <f aca="false">ROUNDUP(H494/BS494,0)</f>
        <v>1</v>
      </c>
      <c r="CE494" s="57" t="n">
        <f aca="false">ROUNDUP(CB494/BS494,0)</f>
        <v>0</v>
      </c>
      <c r="CF494" s="60" t="n">
        <f aca="false">IF(BT494=1,0,IFERROR(VLOOKUP(BR494,'Gebinde-Kategorie'!$A$5:$M$45,5,0)+0,0))</f>
        <v>8</v>
      </c>
      <c r="CG494" s="60" t="n">
        <f aca="false">IFERROR(IF(OR(BX494=1,BX494=2,BX494=3),N(INDEX(Parameter!$I$5:$I$7,BX494)),0),0)</f>
        <v>0</v>
      </c>
      <c r="CH494" s="59" t="n">
        <f aca="false">IF(AND(Parameter!$B$21="Ja",ISNUMBER(W494),N(X494)&gt;0),IFERROR(N(INDEX(Parameter!$L$5:$L$7,W494))*INDEX(Parameter!$E$5:$E$7,W494)*X494/SUMIFS($X$7:$X$1843,$W$7:$W$1843,W494),0),0)</f>
        <v>0</v>
      </c>
    </row>
    <row r="495" customFormat="false" ht="15" hidden="false" customHeight="false" outlineLevel="0" collapsed="false">
      <c r="A495" s="55" t="s">
        <v>1091</v>
      </c>
      <c r="B495" s="55" t="s">
        <v>1092</v>
      </c>
      <c r="C495" s="55" t="s">
        <v>164</v>
      </c>
      <c r="D495" s="55" t="s">
        <v>184</v>
      </c>
      <c r="E495" s="55" t="s">
        <v>185</v>
      </c>
      <c r="F495" s="55" t="s">
        <v>218</v>
      </c>
      <c r="G495" s="56" t="n">
        <v>5.09</v>
      </c>
      <c r="H495" s="57" t="n">
        <f aca="false">MAX(0,IF(AND(Parameter!$B$21="Ja",ISNUMBER(Y495)),Y495,IF(Parameter!$B$20="Jahresanfang 2025 + Export",BL495+BK495,BK495)))</f>
        <v>11</v>
      </c>
      <c r="I495" s="57" t="n">
        <f aca="false">H495*G495</f>
        <v>55.99</v>
      </c>
      <c r="J495" s="57" t="n">
        <f aca="false">BN495*Parameter!$B$18</f>
        <v>6</v>
      </c>
      <c r="K495" s="58" t="n">
        <v>4</v>
      </c>
      <c r="L495" s="59" t="n">
        <v>1.5</v>
      </c>
      <c r="M495" s="57" t="n">
        <v>0</v>
      </c>
      <c r="N495" s="57" t="n">
        <v>10</v>
      </c>
      <c r="O495" s="60" t="n">
        <v>30</v>
      </c>
      <c r="P495" s="55" t="s">
        <v>421</v>
      </c>
      <c r="Q495" s="57" t="n">
        <v>6</v>
      </c>
      <c r="R495" s="60" t="n">
        <f aca="false">IF(BT495=1,0,IFERROR(VLOOKUP(BR495,'Gebinde-Kategorie'!$A$5:$M$45,13,0)+0,0))</f>
        <v>132</v>
      </c>
      <c r="S495" s="61"/>
      <c r="T495" s="62"/>
      <c r="U495" s="62"/>
      <c r="V495" s="62"/>
      <c r="W495" s="55"/>
      <c r="X495" s="57"/>
      <c r="Y495" s="57"/>
      <c r="Z495" s="55" t="n">
        <f aca="false">IF(A495="","",IF(AND(Parameter!$B$21="Ja",ISNUMBER(W495)),W495,IF(BV495="2+3",IF(ISNUMBER(SEARCH("grosser Artikel",BO495)),2,IFERROR(VLOOKUP(BR495,Parameter!$F$35:$G$64,2,0),2)),IF(OR(BV495="Nein",BV495=""),"-",BV495))))</f>
        <v>3</v>
      </c>
      <c r="AA495" s="62"/>
      <c r="AB495" s="63"/>
      <c r="AC495" s="57" t="n">
        <f aca="false">AR495</f>
        <v>12</v>
      </c>
      <c r="AD495" s="57" t="n">
        <f aca="false">MAX(AR495,H495)</f>
        <v>12</v>
      </c>
      <c r="AE495" s="64"/>
      <c r="AF495" s="57" t="n">
        <f aca="false">IF(LEFT(Cockpit!$C$5,1)="A",H495,IF(CA495=1,CB495,IF(LEFT(Cockpit!$C$5,1)="B",AJ495,MAX(AJ495,H495))))</f>
        <v>11</v>
      </c>
      <c r="AG495" s="57" t="n">
        <f aca="false">IF(BT495=1,0,ROUNDUP(AF495/BS495,0))</f>
        <v>2</v>
      </c>
      <c r="AH495" s="59" t="n">
        <f aca="false">IF(CH495&gt;0,CH495*MAX(1,AF495/X495),IF(BT495=1,IF(AF495&lt;=0,0,BW495*MAX(1,IF(H495&gt;0,AF495/H495,1))),IF(R495&gt;0,AG495/R495,0))/MAX(0.1,N(Parameter!$M$21)))</f>
        <v>0.0151515151515152</v>
      </c>
      <c r="AI495" s="57" t="n">
        <f aca="false">AF495*G495</f>
        <v>55.99</v>
      </c>
      <c r="AJ495" s="57" t="n">
        <f aca="false">ROUNDUP(MAX(J495/IF(BZ495&gt;0,BZ495,MAX(0.1,N(Cockpit!$C$6))),CC495)/BS495,0)*BS495</f>
        <v>12</v>
      </c>
      <c r="AK495" s="58" t="n">
        <f aca="false">IF(AH495&gt;0,J495/AH495,-1)</f>
        <v>396</v>
      </c>
      <c r="AL495" s="58" t="n">
        <f aca="false">IF(AND(OR(BY495="L1",BY495="L23"),AH495&gt;0),SUMIFS($AH$7:$AH$1843,$BY$7:$BY$1843,BY495,$AK$7:$AK$1843,"&gt;"&amp;AK495)+SUMIFS($AH$7:$AH$1843,$BY$7:$BY$1843,BY495,$AK$7:$AK$1843,AK495,$BQ$7:$BQ$1843,"&lt;="&amp;BQ495),"")</f>
        <v>25.910155062329</v>
      </c>
      <c r="AM495" s="65" t="n">
        <f aca="false">IF(AL495="",0,MAX(0,MIN(1,(IF(BY495="L1",Parameter!$E$5,Parameter!$E$6+Parameter!$E$7)-(AL495-AH495))/AH495)))</f>
        <v>1</v>
      </c>
      <c r="AN495" s="57" t="n">
        <f aca="false">IF(LEFT(Cockpit!$I$5,1)="A",H495,IF(CA495=1,CB495,IF(LEFT(Cockpit!$I$5,1)="B",AR495,MAX(AR495,H495))))</f>
        <v>12</v>
      </c>
      <c r="AO495" s="57" t="n">
        <f aca="false">IF(BT495=1,0,ROUNDUP(AN495/BS495,0))</f>
        <v>2</v>
      </c>
      <c r="AP495" s="59" t="n">
        <f aca="false">IF(CH495&gt;0,CH495*MAX(1,AN495/X495),IF(BT495=1,IF(AN495&lt;=0,0,BW495*MAX(1,IF(H495&gt;0,AN495/H495,1))),IF(R495&gt;0,AO495/R495,0))/MAX(0.1,N(Parameter!$M$21)))</f>
        <v>0.0151515151515152</v>
      </c>
      <c r="AQ495" s="57" t="n">
        <f aca="false">AN495*G495</f>
        <v>61.08</v>
      </c>
      <c r="AR495" s="57" t="n">
        <f aca="false">ROUNDUP(MAX(J495/IF(BZ495&gt;0,BZ495,MAX(0.1,N(Cockpit!$I$6))),CC495)/BS495,0)*BS495</f>
        <v>12</v>
      </c>
      <c r="AS495" s="58" t="n">
        <f aca="false">IF(AP495&gt;0,J495/AP495,-1)</f>
        <v>396</v>
      </c>
      <c r="AT495" s="58" t="n">
        <f aca="false">IF(AND(OR(BY495="L1",BY495="L23"),AP495&gt;0),SUMIFS($AP$7:$AP$1843,$BY$7:$BY$1843,BY495,$AS$7:$AS$1843,"&gt;"&amp;AS495)+SUMIFS($AP$7:$AP$1843,$BY$7:$BY$1843,BY495,$AS$7:$AS$1843,AS495,$BQ$7:$BQ$1843,"&lt;="&amp;BQ495),"")</f>
        <v>35.348459511503</v>
      </c>
      <c r="AU495" s="65" t="n">
        <f aca="false">IF(AT495="",0,MAX(0,MIN(1,(IF(BY495="L1",Parameter!$E$5,Parameter!$E$6+Parameter!$E$7)-(AT495-AP495))/AP495)))</f>
        <v>1</v>
      </c>
      <c r="AV495" s="57" t="n">
        <f aca="false">IF(LEFT(Cockpit!$O$5,1)="A",H495,IF(CA495=1,CB495,IF(LEFT(Cockpit!$O$5,1)="B",AZ495,MAX(AZ495,H495))))</f>
        <v>12</v>
      </c>
      <c r="AW495" s="57" t="n">
        <f aca="false">IF(BT495=1,0,ROUNDUP(AV495/BS495,0))</f>
        <v>2</v>
      </c>
      <c r="AX495" s="59" t="n">
        <f aca="false">IF(CH495&gt;0,CH495*MAX(1,AV495/X495),IF(BT495=1,IF(AV495&lt;=0,0,BW495*MAX(1,IF(H495&gt;0,AV495/H495,1))),IF(R495&gt;0,AW495/R495,0))/MAX(0.1,N(Parameter!$M$21)))</f>
        <v>0.0151515151515152</v>
      </c>
      <c r="AY495" s="57" t="n">
        <f aca="false">AV495*G495</f>
        <v>61.08</v>
      </c>
      <c r="AZ495" s="57" t="n">
        <f aca="false">ROUNDUP(MAX(J495/IF(BZ495&gt;0,BZ495,MAX(0.1,N(Cockpit!$O$6))),CC495)/BS495,0)*BS495</f>
        <v>12</v>
      </c>
      <c r="BA495" s="58" t="n">
        <f aca="false">IF(AX495&gt;0,J495/AX495,-1)</f>
        <v>396</v>
      </c>
      <c r="BB495" s="58" t="n">
        <f aca="false">IF(AND(OR(BY495="L1",BY495="L23"),AX495&gt;0),SUMIFS($AX$7:$AX$1843,$BY$7:$BY$1843,BY495,$BA$7:$BA$1843,"&gt;"&amp;BA495)+SUMIFS($AX$7:$AX$1843,$BY$7:$BY$1843,BY495,$BA$7:$BA$1843,BA495,$BQ$7:$BQ$1843,"&lt;="&amp;BQ495),"")</f>
        <v>34.5949630080065</v>
      </c>
      <c r="BC495" s="65" t="n">
        <f aca="false">IF(BB495="",0,MAX(0,MIN(1,(IF(BY495="L1",Parameter!$E$5,Parameter!$E$6+Parameter!$E$7)-(BB495-AX495))/AX495)))</f>
        <v>1</v>
      </c>
      <c r="BD495" s="55" t="str">
        <f aca="false">IF(AH495&lt;=0,"",IF(BY495="Aussen","Aussenlager",IF(BY495="-","Nicht im Lift",IF(AM495&gt;=1,"Lift",IF(AM495&lt;=0,"Aussenlager","teilweise")))))</f>
        <v>Lift</v>
      </c>
      <c r="BE495" s="55" t="str">
        <f aca="false">IF(AP495&lt;=0,"",IF(BY495="Aussen","Aussenlager",IF(BY495="-","Nicht im Lift",IF(AU495&gt;=1,"Lift",IF(AU495&lt;=0,"Aussenlager","teilweise")))))</f>
        <v>Lift</v>
      </c>
      <c r="BF495" s="55" t="str">
        <f aca="false">IF(AX495&lt;=0,"",IF(BY495="Aussen","Aussenlager",IF(BY495="-","Nicht im Lift",IF(BC495&gt;=1,"Lift",IF(BC495&lt;=0,"Aussenlager","teilweise")))))</f>
        <v>Lift</v>
      </c>
      <c r="BG495" s="55" t="str">
        <f aca="false">IF(A495="","",IF(BP495=1,"Neu; ","")&amp;IF(AND(BP495=0,BK495&lt;0),"negativer Bestand (Export "&amp;BK495&amp;"); ","")&amp;IF(J495&lt;=0,"Kein Verbrauch; ","")&amp;IF(CH495&gt;0,"Lift "&amp;W495&amp;" lt. Liftbericht (Fach "&amp;X495&amp;" Stk); ",IF(BU495=1,"Gebinde geschätzt ("&amp;T495&amp;"); ",IF(BT495=1,"Lose – Tablare geschätzt; ","")))&amp;IF(H495&gt;AR495,"Überbestand "&amp;ROUND(H495-AR495,0)&amp;" Stk / CHF "&amp;ROUND((H495-AR495)*G495,0)&amp;"; ","")&amp;IF(AND(CA495=1,CB495&lt;CC495),"MAX &lt; MB+LG; ","")&amp;IF(AND(CG495&gt;0,CF495*10&gt;CG495),"zu hoch für Tablar; ","")&amp;IF(AND(BP495=0,OR(CA495=1,AA495&lt;&gt;"",U495&lt;&gt;"",V495&lt;&gt;"",AB495&lt;&gt;"")),"manuell übersteuert; ","")&amp;IF(AND(BT495=0,R495=0),"Gebinde unbekannt / Stellmass fehlt; ","")&amp;IF(AND(BT495=0,N(V495)&lt;=0,N(Q495)&lt;=0),"Menge pro Gebinde fehlt (Ist = 1 Gebinde); ","")&amp;BO495)</f>
        <v/>
      </c>
      <c r="BH495" s="55"/>
      <c r="BI495" s="55"/>
      <c r="BJ495" s="62"/>
      <c r="BK495" s="57" t="n">
        <v>8</v>
      </c>
      <c r="BL495" s="57" t="n">
        <v>3</v>
      </c>
      <c r="BM495" s="56" t="n">
        <v>40.18</v>
      </c>
      <c r="BN495" s="57" t="n">
        <v>6</v>
      </c>
      <c r="BO495" s="55"/>
      <c r="BP495" s="60" t="n">
        <v>0</v>
      </c>
      <c r="BQ495" s="60" t="n">
        <v>495</v>
      </c>
      <c r="BR495" s="55" t="str">
        <f aca="false">IF(U495&lt;&gt;"",UPPER(TRIM(U495)),IF(BU495=1,UPPER(VLOOKUP(T495,Parameter!$I$27:$K$29,2,0)),IF(P495="","LOSE",P495)))</f>
        <v>S32</v>
      </c>
      <c r="BS495" s="57" t="n">
        <f aca="false">IF(BR495="LOSE",1,IF(N(V495)&gt;0,V495,IF(BU495=1,MAX(1,N(VLOOKUP(T495,Parameter!$I$27:$K$29,3,0)),H495,N(N495)),IF(N(Q495)&gt;0,Q495,MAX(1,H495)))))</f>
        <v>6</v>
      </c>
      <c r="BT495" s="60" t="n">
        <f aca="false">IF(BR495="LOSE",1,0)</f>
        <v>0</v>
      </c>
      <c r="BU495" s="60" t="n">
        <f aca="false">IF(AND(U495="",OR(P495="",P495="LOSE"),T495&lt;&gt;"",N(S495)&lt;=0,ISNUMBER(MATCH(T495,Parameter!$I$27:$I$29,0))),1,0)</f>
        <v>0</v>
      </c>
      <c r="BV495" s="55" t="str">
        <f aca="false">IF(AND(Parameter!$B$19="Ja",E495&lt;&gt;"",ISNUMBER(MATCH(E495,Parameter!$I$35:$I$52,0))),VLOOKUP(E495,Parameter!$I$35:$J$52,2,0),IFERROR(VLOOKUP(D495,Parameter!$A$35:$C$64,2,0),"Nein"))</f>
        <v>2+3</v>
      </c>
      <c r="BW495" s="59" t="n">
        <f aca="false">IF(BT495=0,0,IF(N(S495)&gt;0,S495,IFERROR(VLOOKUP(D495,Parameter!$A$35:$C$64,3,0)+0,0)))</f>
        <v>0</v>
      </c>
      <c r="BX495" s="55" t="n">
        <f aca="false">IF(AA495&lt;&gt;"",AA495,Z495)</f>
        <v>3</v>
      </c>
      <c r="BY495" s="55" t="str">
        <f aca="false">IF(BX495=1,"L1",IF(OR(BX495=2,BX495=3),"L23",IF(BX495="Aussen","Aussen","-")))</f>
        <v>L23</v>
      </c>
      <c r="BZ495" s="66" t="n">
        <f aca="false">IF(N(AB495)&gt;0,AB495,0)</f>
        <v>0</v>
      </c>
      <c r="CA495" s="60" t="n">
        <f aca="false">IF(ISNUMBER(AE495),1,0)</f>
        <v>0</v>
      </c>
      <c r="CB495" s="57" t="n">
        <f aca="false">N(AE495)</f>
        <v>0</v>
      </c>
      <c r="CC495" s="57" t="n">
        <f aca="false">N(M495)+N(N495)</f>
        <v>10</v>
      </c>
      <c r="CD495" s="57" t="n">
        <f aca="false">ROUNDUP(H495/BS495,0)</f>
        <v>2</v>
      </c>
      <c r="CE495" s="57" t="n">
        <f aca="false">ROUNDUP(CB495/BS495,0)</f>
        <v>0</v>
      </c>
      <c r="CF495" s="60" t="n">
        <f aca="false">IF(BT495=1,0,IFERROR(VLOOKUP(BR495,'Gebinde-Kategorie'!$A$5:$M$45,5,0)+0,0))</f>
        <v>8</v>
      </c>
      <c r="CG495" s="60" t="n">
        <f aca="false">IFERROR(IF(OR(BX495=1,BX495=2,BX495=3),N(INDEX(Parameter!$I$5:$I$7,BX495)),0),0)</f>
        <v>0</v>
      </c>
      <c r="CH495" s="59" t="n">
        <f aca="false">IF(AND(Parameter!$B$21="Ja",ISNUMBER(W495),N(X495)&gt;0),IFERROR(N(INDEX(Parameter!$L$5:$L$7,W495))*INDEX(Parameter!$E$5:$E$7,W495)*X495/SUMIFS($X$7:$X$1843,$W$7:$W$1843,W495),0),0)</f>
        <v>0</v>
      </c>
    </row>
    <row r="496" customFormat="false" ht="15" hidden="false" customHeight="false" outlineLevel="0" collapsed="false">
      <c r="A496" s="55" t="s">
        <v>1093</v>
      </c>
      <c r="B496" s="55" t="s">
        <v>505</v>
      </c>
      <c r="C496" s="55" t="s">
        <v>164</v>
      </c>
      <c r="D496" s="55" t="s">
        <v>184</v>
      </c>
      <c r="E496" s="55" t="s">
        <v>185</v>
      </c>
      <c r="F496" s="55" t="s">
        <v>218</v>
      </c>
      <c r="G496" s="56" t="n">
        <v>32.17</v>
      </c>
      <c r="H496" s="57" t="n">
        <f aca="false">MAX(0,IF(AND(Parameter!$B$21="Ja",ISNUMBER(Y496)),Y496,IF(Parameter!$B$20="Jahresanfang 2025 + Export",BL496+BK496,BK496)))</f>
        <v>4</v>
      </c>
      <c r="I496" s="57" t="n">
        <f aca="false">H496*G496</f>
        <v>128.68</v>
      </c>
      <c r="J496" s="57" t="n">
        <f aca="false">BN496*Parameter!$B$18</f>
        <v>8</v>
      </c>
      <c r="K496" s="58" t="n">
        <v>5.5</v>
      </c>
      <c r="L496" s="59" t="n">
        <v>1.45454545454546</v>
      </c>
      <c r="M496" s="57" t="n">
        <v>0</v>
      </c>
      <c r="N496" s="57" t="n">
        <v>10</v>
      </c>
      <c r="O496" s="60" t="n">
        <v>28</v>
      </c>
      <c r="P496" s="55" t="s">
        <v>328</v>
      </c>
      <c r="Q496" s="57" t="n">
        <v>14</v>
      </c>
      <c r="R496" s="60" t="n">
        <f aca="false">IF(BT496=1,0,IFERROR(VLOOKUP(BR496,'Gebinde-Kategorie'!$A$5:$M$45,13,0)+0,0))</f>
        <v>52</v>
      </c>
      <c r="S496" s="61"/>
      <c r="T496" s="62"/>
      <c r="U496" s="62"/>
      <c r="V496" s="62"/>
      <c r="W496" s="55"/>
      <c r="X496" s="57"/>
      <c r="Y496" s="57"/>
      <c r="Z496" s="55" t="n">
        <f aca="false">IF(A496="","",IF(AND(Parameter!$B$21="Ja",ISNUMBER(W496)),W496,IF(BV496="2+3",IF(ISNUMBER(SEARCH("grosser Artikel",BO496)),2,IFERROR(VLOOKUP(BR496,Parameter!$F$35:$G$64,2,0),2)),IF(OR(BV496="Nein",BV496=""),"-",BV496))))</f>
        <v>3</v>
      </c>
      <c r="AA496" s="62"/>
      <c r="AB496" s="63"/>
      <c r="AC496" s="57" t="n">
        <f aca="false">AR496</f>
        <v>14</v>
      </c>
      <c r="AD496" s="57" t="n">
        <f aca="false">MAX(AR496,H496)</f>
        <v>14</v>
      </c>
      <c r="AE496" s="64"/>
      <c r="AF496" s="57" t="n">
        <f aca="false">IF(LEFT(Cockpit!$C$5,1)="A",H496,IF(CA496=1,CB496,IF(LEFT(Cockpit!$C$5,1)="B",AJ496,MAX(AJ496,H496))))</f>
        <v>4</v>
      </c>
      <c r="AG496" s="57" t="n">
        <f aca="false">IF(BT496=1,0,ROUNDUP(AF496/BS496,0))</f>
        <v>1</v>
      </c>
      <c r="AH496" s="59" t="n">
        <f aca="false">IF(CH496&gt;0,CH496*MAX(1,AF496/X496),IF(BT496=1,IF(AF496&lt;=0,0,BW496*MAX(1,IF(H496&gt;0,AF496/H496,1))),IF(R496&gt;0,AG496/R496,0))/MAX(0.1,N(Parameter!$M$21)))</f>
        <v>0.0192307692307692</v>
      </c>
      <c r="AI496" s="57" t="n">
        <f aca="false">AF496*G496</f>
        <v>128.68</v>
      </c>
      <c r="AJ496" s="57" t="n">
        <f aca="false">ROUNDUP(MAX(J496/IF(BZ496&gt;0,BZ496,MAX(0.1,N(Cockpit!$C$6))),CC496)/BS496,0)*BS496</f>
        <v>14</v>
      </c>
      <c r="AK496" s="58" t="n">
        <f aca="false">IF(AH496&gt;0,J496/AH496,-1)</f>
        <v>416</v>
      </c>
      <c r="AL496" s="58" t="n">
        <f aca="false">IF(AND(OR(BY496="L1",BY496="L23"),AH496&gt;0),SUMIFS($AH$7:$AH$1843,$BY$7:$BY$1843,BY496,$AK$7:$AK$1843,"&gt;"&amp;AK496)+SUMIFS($AH$7:$AH$1843,$BY$7:$BY$1843,BY496,$AK$7:$AK$1843,AK496,$BQ$7:$BQ$1843,"&lt;="&amp;BQ496),"")</f>
        <v>25.3537296037296</v>
      </c>
      <c r="AM496" s="65" t="n">
        <f aca="false">IF(AL496="",0,MAX(0,MIN(1,(IF(BY496="L1",Parameter!$E$5,Parameter!$E$6+Parameter!$E$7)-(AL496-AH496))/AH496)))</f>
        <v>1</v>
      </c>
      <c r="AN496" s="57" t="n">
        <f aca="false">IF(LEFT(Cockpit!$I$5,1)="A",H496,IF(CA496=1,CB496,IF(LEFT(Cockpit!$I$5,1)="B",AR496,MAX(AR496,H496))))</f>
        <v>14</v>
      </c>
      <c r="AO496" s="57" t="n">
        <f aca="false">IF(BT496=1,0,ROUNDUP(AN496/BS496,0))</f>
        <v>1</v>
      </c>
      <c r="AP496" s="59" t="n">
        <f aca="false">IF(CH496&gt;0,CH496*MAX(1,AN496/X496),IF(BT496=1,IF(AN496&lt;=0,0,BW496*MAX(1,IF(H496&gt;0,AN496/H496,1))),IF(R496&gt;0,AO496/R496,0))/MAX(0.1,N(Parameter!$M$21)))</f>
        <v>0.0192307692307692</v>
      </c>
      <c r="AQ496" s="57" t="n">
        <f aca="false">AN496*G496</f>
        <v>450.38</v>
      </c>
      <c r="AR496" s="57" t="n">
        <f aca="false">ROUNDUP(MAX(J496/IF(BZ496&gt;0,BZ496,MAX(0.1,N(Cockpit!$I$6))),CC496)/BS496,0)*BS496</f>
        <v>14</v>
      </c>
      <c r="AS496" s="58" t="n">
        <f aca="false">IF(AP496&gt;0,J496/AP496,-1)</f>
        <v>416</v>
      </c>
      <c r="AT496" s="58" t="n">
        <f aca="false">IF(AND(OR(BY496="L1",BY496="L23"),AP496&gt;0),SUMIFS($AP$7:$AP$1843,$BY$7:$BY$1843,BY496,$AS$7:$AS$1843,"&gt;"&amp;AS496)+SUMIFS($AP$7:$AP$1843,$BY$7:$BY$1843,BY496,$AS$7:$AS$1843,AS496,$BQ$7:$BQ$1843,"&lt;="&amp;BQ496),"")</f>
        <v>34.7744670788149</v>
      </c>
      <c r="AU496" s="65" t="n">
        <f aca="false">IF(AT496="",0,MAX(0,MIN(1,(IF(BY496="L1",Parameter!$E$5,Parameter!$E$6+Parameter!$E$7)-(AT496-AP496))/AP496)))</f>
        <v>1</v>
      </c>
      <c r="AV496" s="57" t="n">
        <f aca="false">IF(LEFT(Cockpit!$O$5,1)="A",H496,IF(CA496=1,CB496,IF(LEFT(Cockpit!$O$5,1)="B",AZ496,MAX(AZ496,H496))))</f>
        <v>14</v>
      </c>
      <c r="AW496" s="57" t="n">
        <f aca="false">IF(BT496=1,0,ROUNDUP(AV496/BS496,0))</f>
        <v>1</v>
      </c>
      <c r="AX496" s="59" t="n">
        <f aca="false">IF(CH496&gt;0,CH496*MAX(1,AV496/X496),IF(BT496=1,IF(AV496&lt;=0,0,BW496*MAX(1,IF(H496&gt;0,AV496/H496,1))),IF(R496&gt;0,AW496/R496,0))/MAX(0.1,N(Parameter!$M$21)))</f>
        <v>0.0192307692307692</v>
      </c>
      <c r="AY496" s="57" t="n">
        <f aca="false">AV496*G496</f>
        <v>450.38</v>
      </c>
      <c r="AZ496" s="57" t="n">
        <f aca="false">ROUNDUP(MAX(J496/IF(BZ496&gt;0,BZ496,MAX(0.1,N(Cockpit!$O$6))),CC496)/BS496,0)*BS496</f>
        <v>14</v>
      </c>
      <c r="BA496" s="58" t="n">
        <f aca="false">IF(AX496&gt;0,J496/AX496,-1)</f>
        <v>416</v>
      </c>
      <c r="BB496" s="58" t="n">
        <f aca="false">IF(AND(OR(BY496="L1",BY496="L23"),AX496&gt;0),SUMIFS($AX$7:$AX$1843,$BY$7:$BY$1843,BY496,$BA$7:$BA$1843,"&gt;"&amp;BA496)+SUMIFS($AX$7:$AX$1843,$BY$7:$BY$1843,BY496,$BA$7:$BA$1843,BA496,$BQ$7:$BQ$1843,"&lt;="&amp;BQ496),"")</f>
        <v>34.1876372419851</v>
      </c>
      <c r="BC496" s="65" t="n">
        <f aca="false">IF(BB496="",0,MAX(0,MIN(1,(IF(BY496="L1",Parameter!$E$5,Parameter!$E$6+Parameter!$E$7)-(BB496-AX496))/AX496)))</f>
        <v>1</v>
      </c>
      <c r="BD496" s="55" t="str">
        <f aca="false">IF(AH496&lt;=0,"",IF(BY496="Aussen","Aussenlager",IF(BY496="-","Nicht im Lift",IF(AM496&gt;=1,"Lift",IF(AM496&lt;=0,"Aussenlager","teilweise")))))</f>
        <v>Lift</v>
      </c>
      <c r="BE496" s="55" t="str">
        <f aca="false">IF(AP496&lt;=0,"",IF(BY496="Aussen","Aussenlager",IF(BY496="-","Nicht im Lift",IF(AU496&gt;=1,"Lift",IF(AU496&lt;=0,"Aussenlager","teilweise")))))</f>
        <v>Lift</v>
      </c>
      <c r="BF496" s="55" t="str">
        <f aca="false">IF(AX496&lt;=0,"",IF(BY496="Aussen","Aussenlager",IF(BY496="-","Nicht im Lift",IF(BC496&gt;=1,"Lift",IF(BC496&lt;=0,"Aussenlager","teilweise")))))</f>
        <v>Lift</v>
      </c>
      <c r="BG496" s="55" t="str">
        <f aca="false">IF(A496="","",IF(BP496=1,"Neu; ","")&amp;IF(AND(BP496=0,BK496&lt;0),"negativer Bestand (Export "&amp;BK496&amp;"); ","")&amp;IF(J496&lt;=0,"Kein Verbrauch; ","")&amp;IF(CH496&gt;0,"Lift "&amp;W496&amp;" lt. Liftbericht (Fach "&amp;X496&amp;" Stk); ",IF(BU496=1,"Gebinde geschätzt ("&amp;T496&amp;"); ",IF(BT496=1,"Lose – Tablare geschätzt; ","")))&amp;IF(H496&gt;AR496,"Überbestand "&amp;ROUND(H496-AR496,0)&amp;" Stk / CHF "&amp;ROUND((H496-AR496)*G496,0)&amp;"; ","")&amp;IF(AND(CA496=1,CB496&lt;CC496),"MAX &lt; MB+LG; ","")&amp;IF(AND(CG496&gt;0,CF496*10&gt;CG496),"zu hoch für Tablar; ","")&amp;IF(AND(BP496=0,OR(CA496=1,AA496&lt;&gt;"",U496&lt;&gt;"",V496&lt;&gt;"",AB496&lt;&gt;"")),"manuell übersteuert; ","")&amp;IF(AND(BT496=0,R496=0),"Gebinde unbekannt / Stellmass fehlt; ","")&amp;IF(AND(BT496=0,N(V496)&lt;=0,N(Q496)&lt;=0),"Menge pro Gebinde fehlt (Ist = 1 Gebinde); ","")&amp;BO496)</f>
        <v>negativer Bestand (Export -1); </v>
      </c>
      <c r="BH496" s="55"/>
      <c r="BI496" s="55"/>
      <c r="BJ496" s="62"/>
      <c r="BK496" s="57" t="n">
        <v>-1</v>
      </c>
      <c r="BL496" s="57" t="n">
        <v>5</v>
      </c>
      <c r="BM496" s="56" t="n">
        <v>39.68</v>
      </c>
      <c r="BN496" s="57" t="n">
        <v>8</v>
      </c>
      <c r="BO496" s="55"/>
      <c r="BP496" s="60" t="n">
        <v>0</v>
      </c>
      <c r="BQ496" s="60" t="n">
        <v>496</v>
      </c>
      <c r="BR496" s="55" t="str">
        <f aca="false">IF(U496&lt;&gt;"",UPPER(TRIM(U496)),IF(BU496=1,UPPER(VLOOKUP(T496,Parameter!$I$27:$K$29,2,0)),IF(P496="","LOSE",P496)))</f>
        <v>S41</v>
      </c>
      <c r="BS496" s="57" t="n">
        <f aca="false">IF(BR496="LOSE",1,IF(N(V496)&gt;0,V496,IF(BU496=1,MAX(1,N(VLOOKUP(T496,Parameter!$I$27:$K$29,3,0)),H496,N(N496)),IF(N(Q496)&gt;0,Q496,MAX(1,H496)))))</f>
        <v>14</v>
      </c>
      <c r="BT496" s="60" t="n">
        <f aca="false">IF(BR496="LOSE",1,0)</f>
        <v>0</v>
      </c>
      <c r="BU496" s="60" t="n">
        <f aca="false">IF(AND(U496="",OR(P496="",P496="LOSE"),T496&lt;&gt;"",N(S496)&lt;=0,ISNUMBER(MATCH(T496,Parameter!$I$27:$I$29,0))),1,0)</f>
        <v>0</v>
      </c>
      <c r="BV496" s="55" t="str">
        <f aca="false">IF(AND(Parameter!$B$19="Ja",E496&lt;&gt;"",ISNUMBER(MATCH(E496,Parameter!$I$35:$I$52,0))),VLOOKUP(E496,Parameter!$I$35:$J$52,2,0),IFERROR(VLOOKUP(D496,Parameter!$A$35:$C$64,2,0),"Nein"))</f>
        <v>2+3</v>
      </c>
      <c r="BW496" s="59" t="n">
        <f aca="false">IF(BT496=0,0,IF(N(S496)&gt;0,S496,IFERROR(VLOOKUP(D496,Parameter!$A$35:$C$64,3,0)+0,0)))</f>
        <v>0</v>
      </c>
      <c r="BX496" s="55" t="n">
        <f aca="false">IF(AA496&lt;&gt;"",AA496,Z496)</f>
        <v>3</v>
      </c>
      <c r="BY496" s="55" t="str">
        <f aca="false">IF(BX496=1,"L1",IF(OR(BX496=2,BX496=3),"L23",IF(BX496="Aussen","Aussen","-")))</f>
        <v>L23</v>
      </c>
      <c r="BZ496" s="66" t="n">
        <f aca="false">IF(N(AB496)&gt;0,AB496,0)</f>
        <v>0</v>
      </c>
      <c r="CA496" s="60" t="n">
        <f aca="false">IF(ISNUMBER(AE496),1,0)</f>
        <v>0</v>
      </c>
      <c r="CB496" s="57" t="n">
        <f aca="false">N(AE496)</f>
        <v>0</v>
      </c>
      <c r="CC496" s="57" t="n">
        <f aca="false">N(M496)+N(N496)</f>
        <v>10</v>
      </c>
      <c r="CD496" s="57" t="n">
        <f aca="false">ROUNDUP(H496/BS496,0)</f>
        <v>1</v>
      </c>
      <c r="CE496" s="57" t="n">
        <f aca="false">ROUNDUP(CB496/BS496,0)</f>
        <v>0</v>
      </c>
      <c r="CF496" s="60" t="n">
        <f aca="false">IF(BT496=1,0,IFERROR(VLOOKUP(BR496,'Gebinde-Kategorie'!$A$5:$M$45,5,0)+0,0))</f>
        <v>11</v>
      </c>
      <c r="CG496" s="60" t="n">
        <f aca="false">IFERROR(IF(OR(BX496=1,BX496=2,BX496=3),N(INDEX(Parameter!$I$5:$I$7,BX496)),0),0)</f>
        <v>0</v>
      </c>
      <c r="CH496" s="59" t="n">
        <f aca="false">IF(AND(Parameter!$B$21="Ja",ISNUMBER(W496),N(X496)&gt;0),IFERROR(N(INDEX(Parameter!$L$5:$L$7,W496))*INDEX(Parameter!$E$5:$E$7,W496)*X496/SUMIFS($X$7:$X$1843,$W$7:$W$1843,W496),0),0)</f>
        <v>0</v>
      </c>
    </row>
    <row r="497" customFormat="false" ht="15" hidden="false" customHeight="false" outlineLevel="0" collapsed="false">
      <c r="A497" s="55" t="s">
        <v>1094</v>
      </c>
      <c r="B497" s="55" t="s">
        <v>1095</v>
      </c>
      <c r="C497" s="55" t="s">
        <v>164</v>
      </c>
      <c r="D497" s="55" t="s">
        <v>184</v>
      </c>
      <c r="E497" s="55"/>
      <c r="F497" s="55" t="s">
        <v>218</v>
      </c>
      <c r="G497" s="56" t="n">
        <v>7.55</v>
      </c>
      <c r="H497" s="57" t="n">
        <f aca="false">MAX(0,IF(AND(Parameter!$B$21="Ja",ISNUMBER(Y497)),Y497,IF(Parameter!$B$20="Jahresanfang 2025 + Export",BL497+BK497,BK497)))</f>
        <v>5</v>
      </c>
      <c r="I497" s="57" t="n">
        <f aca="false">H497*G497</f>
        <v>37.75</v>
      </c>
      <c r="J497" s="57" t="n">
        <f aca="false">BN497*Parameter!$B$18</f>
        <v>2</v>
      </c>
      <c r="K497" s="58" t="n">
        <v>1.5</v>
      </c>
      <c r="L497" s="59" t="n">
        <v>1.33333333333333</v>
      </c>
      <c r="M497" s="57" t="n">
        <v>0</v>
      </c>
      <c r="N497" s="57" t="n">
        <v>1</v>
      </c>
      <c r="O497" s="60" t="n">
        <v>14</v>
      </c>
      <c r="P497" s="55" t="s">
        <v>401</v>
      </c>
      <c r="Q497" s="57" t="n">
        <v>5</v>
      </c>
      <c r="R497" s="60" t="n">
        <f aca="false">IF(BT497=1,0,IFERROR(VLOOKUP(BR497,'Gebinde-Kategorie'!$A$5:$M$45,13,0)+0,0))</f>
        <v>414</v>
      </c>
      <c r="S497" s="61"/>
      <c r="T497" s="62"/>
      <c r="U497" s="62"/>
      <c r="V497" s="62"/>
      <c r="W497" s="55"/>
      <c r="X497" s="57"/>
      <c r="Y497" s="57"/>
      <c r="Z497" s="55" t="n">
        <f aca="false">IF(A497="","",IF(AND(Parameter!$B$21="Ja",ISNUMBER(W497)),W497,IF(BV497="2+3",IF(ISNUMBER(SEARCH("grosser Artikel",BO497)),2,IFERROR(VLOOKUP(BR497,Parameter!$F$35:$G$64,2,0),2)),IF(OR(BV497="Nein",BV497=""),"-",BV497))))</f>
        <v>3</v>
      </c>
      <c r="AA497" s="62"/>
      <c r="AB497" s="63"/>
      <c r="AC497" s="57" t="n">
        <f aca="false">AR497</f>
        <v>5</v>
      </c>
      <c r="AD497" s="57" t="n">
        <f aca="false">MAX(AR497,H497)</f>
        <v>5</v>
      </c>
      <c r="AE497" s="64"/>
      <c r="AF497" s="57" t="n">
        <f aca="false">IF(LEFT(Cockpit!$C$5,1)="A",H497,IF(CA497=1,CB497,IF(LEFT(Cockpit!$C$5,1)="B",AJ497,MAX(AJ497,H497))))</f>
        <v>5</v>
      </c>
      <c r="AG497" s="57" t="n">
        <f aca="false">IF(BT497=1,0,ROUNDUP(AF497/BS497,0))</f>
        <v>1</v>
      </c>
      <c r="AH497" s="59" t="n">
        <f aca="false">IF(CH497&gt;0,CH497*MAX(1,AF497/X497),IF(BT497=1,IF(AF497&lt;=0,0,BW497*MAX(1,IF(H497&gt;0,AF497/H497,1))),IF(R497&gt;0,AG497/R497,0))/MAX(0.1,N(Parameter!$M$21)))</f>
        <v>0.00241545893719807</v>
      </c>
      <c r="AI497" s="57" t="n">
        <f aca="false">AF497*G497</f>
        <v>37.75</v>
      </c>
      <c r="AJ497" s="57" t="n">
        <f aca="false">ROUNDUP(MAX(J497/IF(BZ497&gt;0,BZ497,MAX(0.1,N(Cockpit!$C$6))),CC497)/BS497,0)*BS497</f>
        <v>5</v>
      </c>
      <c r="AK497" s="58" t="n">
        <f aca="false">IF(AH497&gt;0,J497/AH497,-1)</f>
        <v>828</v>
      </c>
      <c r="AL497" s="58" t="n">
        <f aca="false">IF(AND(OR(BY497="L1",BY497="L23"),AH497&gt;0),SUMIFS($AH$7:$AH$1843,$BY$7:$BY$1843,BY497,$AK$7:$AK$1843,"&gt;"&amp;AK497)+SUMIFS($AH$7:$AH$1843,$BY$7:$BY$1843,BY497,$AK$7:$AK$1843,AK497,$BQ$7:$BQ$1843,"&lt;="&amp;BQ497),"")</f>
        <v>20.7177460220939</v>
      </c>
      <c r="AM497" s="65" t="n">
        <f aca="false">IF(AL497="",0,MAX(0,MIN(1,(IF(BY497="L1",Parameter!$E$5,Parameter!$E$6+Parameter!$E$7)-(AL497-AH497))/AH497)))</f>
        <v>1</v>
      </c>
      <c r="AN497" s="57" t="n">
        <f aca="false">IF(LEFT(Cockpit!$I$5,1)="A",H497,IF(CA497=1,CB497,IF(LEFT(Cockpit!$I$5,1)="B",AR497,MAX(AR497,H497))))</f>
        <v>5</v>
      </c>
      <c r="AO497" s="57" t="n">
        <f aca="false">IF(BT497=1,0,ROUNDUP(AN497/BS497,0))</f>
        <v>1</v>
      </c>
      <c r="AP497" s="59" t="n">
        <f aca="false">IF(CH497&gt;0,CH497*MAX(1,AN497/X497),IF(BT497=1,IF(AN497&lt;=0,0,BW497*MAX(1,IF(H497&gt;0,AN497/H497,1))),IF(R497&gt;0,AO497/R497,0))/MAX(0.1,N(Parameter!$M$21)))</f>
        <v>0.00241545893719807</v>
      </c>
      <c r="AQ497" s="57" t="n">
        <f aca="false">AN497*G497</f>
        <v>37.75</v>
      </c>
      <c r="AR497" s="57" t="n">
        <f aca="false">ROUNDUP(MAX(J497/IF(BZ497&gt;0,BZ497,MAX(0.1,N(Cockpit!$I$6))),CC497)/BS497,0)*BS497</f>
        <v>5</v>
      </c>
      <c r="AS497" s="58" t="n">
        <f aca="false">IF(AP497&gt;0,J497/AP497,-1)</f>
        <v>828</v>
      </c>
      <c r="AT497" s="58" t="n">
        <f aca="false">IF(AND(OR(BY497="L1",BY497="L23"),AP497&gt;0),SUMIFS($AP$7:$AP$1843,$BY$7:$BY$1843,BY497,$AS$7:$AS$1843,"&gt;"&amp;AS497)+SUMIFS($AP$7:$AP$1843,$BY$7:$BY$1843,BY497,$AS$7:$AS$1843,AS497,$BQ$7:$BQ$1843,"&lt;="&amp;BQ497),"")</f>
        <v>25.9283554609642</v>
      </c>
      <c r="AU497" s="65" t="n">
        <f aca="false">IF(AT497="",0,MAX(0,MIN(1,(IF(BY497="L1",Parameter!$E$5,Parameter!$E$6+Parameter!$E$7)-(AT497-AP497))/AP497)))</f>
        <v>1</v>
      </c>
      <c r="AV497" s="57" t="n">
        <f aca="false">IF(LEFT(Cockpit!$O$5,1)="A",H497,IF(CA497=1,CB497,IF(LEFT(Cockpit!$O$5,1)="B",AZ497,MAX(AZ497,H497))))</f>
        <v>5</v>
      </c>
      <c r="AW497" s="57" t="n">
        <f aca="false">IF(BT497=1,0,ROUNDUP(AV497/BS497,0))</f>
        <v>1</v>
      </c>
      <c r="AX497" s="59" t="n">
        <f aca="false">IF(CH497&gt;0,CH497*MAX(1,AV497/X497),IF(BT497=1,IF(AV497&lt;=0,0,BW497*MAX(1,IF(H497&gt;0,AV497/H497,1))),IF(R497&gt;0,AW497/R497,0))/MAX(0.1,N(Parameter!$M$21)))</f>
        <v>0.00241545893719807</v>
      </c>
      <c r="AY497" s="57" t="n">
        <f aca="false">AV497*G497</f>
        <v>37.75</v>
      </c>
      <c r="AZ497" s="57" t="n">
        <f aca="false">ROUNDUP(MAX(J497/IF(BZ497&gt;0,BZ497,MAX(0.1,N(Cockpit!$O$6))),CC497)/BS497,0)*BS497</f>
        <v>5</v>
      </c>
      <c r="BA497" s="58" t="n">
        <f aca="false">IF(AX497&gt;0,J497/AX497,-1)</f>
        <v>828</v>
      </c>
      <c r="BB497" s="58" t="n">
        <f aca="false">IF(AND(OR(BY497="L1",BY497="L23"),AX497&gt;0),SUMIFS($AX$7:$AX$1843,$BY$7:$BY$1843,BY497,$BA$7:$BA$1843,"&gt;"&amp;BA497)+SUMIFS($AX$7:$AX$1843,$BY$7:$BY$1843,BY497,$BA$7:$BA$1843,BA497,$BQ$7:$BQ$1843,"&lt;="&amp;BQ497),"")</f>
        <v>25.7966538292625</v>
      </c>
      <c r="BC497" s="65" t="n">
        <f aca="false">IF(BB497="",0,MAX(0,MIN(1,(IF(BY497="L1",Parameter!$E$5,Parameter!$E$6+Parameter!$E$7)-(BB497-AX497))/AX497)))</f>
        <v>1</v>
      </c>
      <c r="BD497" s="55" t="str">
        <f aca="false">IF(AH497&lt;=0,"",IF(BY497="Aussen","Aussenlager",IF(BY497="-","Nicht im Lift",IF(AM497&gt;=1,"Lift",IF(AM497&lt;=0,"Aussenlager","teilweise")))))</f>
        <v>Lift</v>
      </c>
      <c r="BE497" s="55" t="str">
        <f aca="false">IF(AP497&lt;=0,"",IF(BY497="Aussen","Aussenlager",IF(BY497="-","Nicht im Lift",IF(AU497&gt;=1,"Lift",IF(AU497&lt;=0,"Aussenlager","teilweise")))))</f>
        <v>Lift</v>
      </c>
      <c r="BF497" s="55" t="str">
        <f aca="false">IF(AX497&lt;=0,"",IF(BY497="Aussen","Aussenlager",IF(BY497="-","Nicht im Lift",IF(BC497&gt;=1,"Lift",IF(BC497&lt;=0,"Aussenlager","teilweise")))))</f>
        <v>Lift</v>
      </c>
      <c r="BG497" s="55" t="str">
        <f aca="false">IF(A497="","",IF(BP497=1,"Neu; ","")&amp;IF(AND(BP497=0,BK497&lt;0),"negativer Bestand (Export "&amp;BK497&amp;"); ","")&amp;IF(J497&lt;=0,"Kein Verbrauch; ","")&amp;IF(CH497&gt;0,"Lift "&amp;W497&amp;" lt. Liftbericht (Fach "&amp;X497&amp;" Stk); ",IF(BU497=1,"Gebinde geschätzt ("&amp;T497&amp;"); ",IF(BT497=1,"Lose – Tablare geschätzt; ","")))&amp;IF(H497&gt;AR497,"Überbestand "&amp;ROUND(H497-AR497,0)&amp;" Stk / CHF "&amp;ROUND((H497-AR497)*G497,0)&amp;"; ","")&amp;IF(AND(CA497=1,CB497&lt;CC497),"MAX &lt; MB+LG; ","")&amp;IF(AND(CG497&gt;0,CF497*10&gt;CG497),"zu hoch für Tablar; ","")&amp;IF(AND(BP497=0,OR(CA497=1,AA497&lt;&gt;"",U497&lt;&gt;"",V497&lt;&gt;"",AB497&lt;&gt;"")),"manuell übersteuert; ","")&amp;IF(AND(BT497=0,R497=0),"Gebinde unbekannt / Stellmass fehlt; ","")&amp;IF(AND(BT497=0,N(V497)&lt;=0,N(Q497)&lt;=0),"Menge pro Gebinde fehlt (Ist = 1 Gebinde); ","")&amp;BO497)</f>
        <v/>
      </c>
      <c r="BH497" s="55"/>
      <c r="BI497" s="55"/>
      <c r="BJ497" s="62"/>
      <c r="BK497" s="57" t="n">
        <v>5</v>
      </c>
      <c r="BL497" s="57" t="n">
        <v>0</v>
      </c>
      <c r="BM497" s="56" t="n">
        <v>37.75</v>
      </c>
      <c r="BN497" s="57" t="n">
        <v>2</v>
      </c>
      <c r="BO497" s="55"/>
      <c r="BP497" s="60" t="n">
        <v>0</v>
      </c>
      <c r="BQ497" s="60" t="n">
        <v>497</v>
      </c>
      <c r="BR497" s="55" t="str">
        <f aca="false">IF(U497&lt;&gt;"",UPPER(TRIM(U497)),IF(BU497=1,UPPER(VLOOKUP(T497,Parameter!$I$27:$K$29,2,0)),IF(P497="","LOSE",P497)))</f>
        <v>S21</v>
      </c>
      <c r="BS497" s="57" t="n">
        <f aca="false">IF(BR497="LOSE",1,IF(N(V497)&gt;0,V497,IF(BU497=1,MAX(1,N(VLOOKUP(T497,Parameter!$I$27:$K$29,3,0)),H497,N(N497)),IF(N(Q497)&gt;0,Q497,MAX(1,H497)))))</f>
        <v>5</v>
      </c>
      <c r="BT497" s="60" t="n">
        <f aca="false">IF(BR497="LOSE",1,0)</f>
        <v>0</v>
      </c>
      <c r="BU497" s="60" t="n">
        <f aca="false">IF(AND(U497="",OR(P497="",P497="LOSE"),T497&lt;&gt;"",N(S497)&lt;=0,ISNUMBER(MATCH(T497,Parameter!$I$27:$I$29,0))),1,0)</f>
        <v>0</v>
      </c>
      <c r="BV497" s="55" t="str">
        <f aca="false">IF(AND(Parameter!$B$19="Ja",E497&lt;&gt;"",ISNUMBER(MATCH(E497,Parameter!$I$35:$I$52,0))),VLOOKUP(E497,Parameter!$I$35:$J$52,2,0),IFERROR(VLOOKUP(D497,Parameter!$A$35:$C$64,2,0),"Nein"))</f>
        <v>2+3</v>
      </c>
      <c r="BW497" s="59" t="n">
        <f aca="false">IF(BT497=0,0,IF(N(S497)&gt;0,S497,IFERROR(VLOOKUP(D497,Parameter!$A$35:$C$64,3,0)+0,0)))</f>
        <v>0</v>
      </c>
      <c r="BX497" s="55" t="n">
        <f aca="false">IF(AA497&lt;&gt;"",AA497,Z497)</f>
        <v>3</v>
      </c>
      <c r="BY497" s="55" t="str">
        <f aca="false">IF(BX497=1,"L1",IF(OR(BX497=2,BX497=3),"L23",IF(BX497="Aussen","Aussen","-")))</f>
        <v>L23</v>
      </c>
      <c r="BZ497" s="66" t="n">
        <f aca="false">IF(N(AB497)&gt;0,AB497,0)</f>
        <v>0</v>
      </c>
      <c r="CA497" s="60" t="n">
        <f aca="false">IF(ISNUMBER(AE497),1,0)</f>
        <v>0</v>
      </c>
      <c r="CB497" s="57" t="n">
        <f aca="false">N(AE497)</f>
        <v>0</v>
      </c>
      <c r="CC497" s="57" t="n">
        <f aca="false">N(M497)+N(N497)</f>
        <v>1</v>
      </c>
      <c r="CD497" s="57" t="n">
        <f aca="false">ROUNDUP(H497/BS497,0)</f>
        <v>1</v>
      </c>
      <c r="CE497" s="57" t="n">
        <f aca="false">ROUNDUP(CB497/BS497,0)</f>
        <v>0</v>
      </c>
      <c r="CF497" s="60" t="n">
        <f aca="false">IF(BT497=1,0,IFERROR(VLOOKUP(BR497,'Gebinde-Kategorie'!$A$5:$M$45,5,0)+0,0))</f>
        <v>8</v>
      </c>
      <c r="CG497" s="60" t="n">
        <f aca="false">IFERROR(IF(OR(BX497=1,BX497=2,BX497=3),N(INDEX(Parameter!$I$5:$I$7,BX497)),0),0)</f>
        <v>0</v>
      </c>
      <c r="CH497" s="59" t="n">
        <f aca="false">IF(AND(Parameter!$B$21="Ja",ISNUMBER(W497),N(X497)&gt;0),IFERROR(N(INDEX(Parameter!$L$5:$L$7,W497))*INDEX(Parameter!$E$5:$E$7,W497)*X497/SUMIFS($X$7:$X$1843,$W$7:$W$1843,W497),0),0)</f>
        <v>0</v>
      </c>
    </row>
    <row r="498" customFormat="false" ht="15" hidden="false" customHeight="false" outlineLevel="0" collapsed="false">
      <c r="A498" s="55" t="s">
        <v>1096</v>
      </c>
      <c r="B498" s="55" t="s">
        <v>855</v>
      </c>
      <c r="C498" s="55" t="s">
        <v>164</v>
      </c>
      <c r="D498" s="55" t="s">
        <v>184</v>
      </c>
      <c r="E498" s="55" t="s">
        <v>185</v>
      </c>
      <c r="F498" s="55" t="s">
        <v>218</v>
      </c>
      <c r="G498" s="56" t="n">
        <v>0.05</v>
      </c>
      <c r="H498" s="57" t="n">
        <f aca="false">MAX(0,IF(AND(Parameter!$B$21="Ja",ISNUMBER(Y498)),Y498,IF(Parameter!$B$20="Jahresanfang 2025 + Export",BL498+BK498,BK498)))</f>
        <v>1092</v>
      </c>
      <c r="I498" s="57" t="n">
        <f aca="false">H498*G498</f>
        <v>54.6</v>
      </c>
      <c r="J498" s="57" t="n">
        <f aca="false">BN498*Parameter!$B$18</f>
        <v>2145</v>
      </c>
      <c r="K498" s="58" t="n">
        <v>714.5</v>
      </c>
      <c r="L498" s="59" t="n">
        <v>3.00209937018894</v>
      </c>
      <c r="M498" s="57" t="n">
        <v>400</v>
      </c>
      <c r="N498" s="57" t="n">
        <v>500</v>
      </c>
      <c r="O498" s="60" t="n">
        <v>14</v>
      </c>
      <c r="P498" s="55" t="s">
        <v>302</v>
      </c>
      <c r="Q498" s="57" t="n">
        <v>600</v>
      </c>
      <c r="R498" s="60" t="n">
        <f aca="false">IF(BT498=1,0,IFERROR(VLOOKUP(BR498,'Gebinde-Kategorie'!$A$5:$M$45,13,0)+0,0))</f>
        <v>26</v>
      </c>
      <c r="S498" s="61"/>
      <c r="T498" s="62"/>
      <c r="U498" s="62"/>
      <c r="V498" s="62"/>
      <c r="W498" s="55"/>
      <c r="X498" s="57"/>
      <c r="Y498" s="57"/>
      <c r="Z498" s="55" t="n">
        <f aca="false">IF(A498="","",IF(AND(Parameter!$B$21="Ja",ISNUMBER(W498)),W498,IF(BV498="2+3",IF(ISNUMBER(SEARCH("grosser Artikel",BO498)),2,IFERROR(VLOOKUP(BR498,Parameter!$F$35:$G$64,2,0),2)),IF(OR(BV498="Nein",BV498=""),"-",BV498))))</f>
        <v>3</v>
      </c>
      <c r="AA498" s="62"/>
      <c r="AB498" s="63"/>
      <c r="AC498" s="57" t="n">
        <f aca="false">AR498</f>
        <v>1200</v>
      </c>
      <c r="AD498" s="57" t="n">
        <f aca="false">MAX(AR498,H498)</f>
        <v>1200</v>
      </c>
      <c r="AE498" s="64"/>
      <c r="AF498" s="57" t="n">
        <f aca="false">IF(LEFT(Cockpit!$C$5,1)="A",H498,IF(CA498=1,CB498,IF(LEFT(Cockpit!$C$5,1)="B",AJ498,MAX(AJ498,H498))))</f>
        <v>1092</v>
      </c>
      <c r="AG498" s="57" t="n">
        <f aca="false">IF(BT498=1,0,ROUNDUP(AF498/BS498,0))</f>
        <v>2</v>
      </c>
      <c r="AH498" s="59" t="n">
        <f aca="false">IF(CH498&gt;0,CH498*MAX(1,AF498/X498),IF(BT498=1,IF(AF498&lt;=0,0,BW498*MAX(1,IF(H498&gt;0,AF498/H498,1))),IF(R498&gt;0,AG498/R498,0))/MAX(0.1,N(Parameter!$M$21)))</f>
        <v>0.0769230769230769</v>
      </c>
      <c r="AI498" s="57" t="n">
        <f aca="false">AF498*G498</f>
        <v>54.6</v>
      </c>
      <c r="AJ498" s="57" t="n">
        <f aca="false">ROUNDUP(MAX(J498/IF(BZ498&gt;0,BZ498,MAX(0.1,N(Cockpit!$C$6))),CC498)/BS498,0)*BS498</f>
        <v>1200</v>
      </c>
      <c r="AK498" s="58" t="n">
        <f aca="false">IF(AH498&gt;0,J498/AH498,-1)</f>
        <v>27885</v>
      </c>
      <c r="AL498" s="58" t="n">
        <f aca="false">IF(AND(OR(BY498="L1",BY498="L23"),AH498&gt;0),SUMIFS($AH$7:$AH$1843,$BY$7:$BY$1843,BY498,$AK$7:$AK$1843,"&gt;"&amp;AK498)+SUMIFS($AH$7:$AH$1843,$BY$7:$BY$1843,BY498,$AK$7:$AK$1843,AK498,$BQ$7:$BQ$1843,"&lt;="&amp;BQ498),"")</f>
        <v>2.57601094557616</v>
      </c>
      <c r="AM498" s="65" t="n">
        <f aca="false">IF(AL498="",0,MAX(0,MIN(1,(IF(BY498="L1",Parameter!$E$5,Parameter!$E$6+Parameter!$E$7)-(AL498-AH498))/AH498)))</f>
        <v>1</v>
      </c>
      <c r="AN498" s="57" t="n">
        <f aca="false">IF(LEFT(Cockpit!$I$5,1)="A",H498,IF(CA498=1,CB498,IF(LEFT(Cockpit!$I$5,1)="B",AR498,MAX(AR498,H498))))</f>
        <v>1200</v>
      </c>
      <c r="AO498" s="57" t="n">
        <f aca="false">IF(BT498=1,0,ROUNDUP(AN498/BS498,0))</f>
        <v>2</v>
      </c>
      <c r="AP498" s="59" t="n">
        <f aca="false">IF(CH498&gt;0,CH498*MAX(1,AN498/X498),IF(BT498=1,IF(AN498&lt;=0,0,BW498*MAX(1,IF(H498&gt;0,AN498/H498,1))),IF(R498&gt;0,AO498/R498,0))/MAX(0.1,N(Parameter!$M$21)))</f>
        <v>0.0769230769230769</v>
      </c>
      <c r="AQ498" s="57" t="n">
        <f aca="false">AN498*G498</f>
        <v>60</v>
      </c>
      <c r="AR498" s="57" t="n">
        <f aca="false">ROUNDUP(MAX(J498/IF(BZ498&gt;0,BZ498,MAX(0.1,N(Cockpit!$I$6))),CC498)/BS498,0)*BS498</f>
        <v>1200</v>
      </c>
      <c r="AS498" s="58" t="n">
        <f aca="false">IF(AP498&gt;0,J498/AP498,-1)</f>
        <v>27885</v>
      </c>
      <c r="AT498" s="58" t="n">
        <f aca="false">IF(AND(OR(BY498="L1",BY498="L23"),AP498&gt;0),SUMIFS($AP$7:$AP$1843,$BY$7:$BY$1843,BY498,$AS$7:$AS$1843,"&gt;"&amp;AS498)+SUMIFS($AP$7:$AP$1843,$BY$7:$BY$1843,BY498,$AS$7:$AS$1843,AS498,$BQ$7:$BQ$1843,"&lt;="&amp;BQ498),"")</f>
        <v>3.49800682409378</v>
      </c>
      <c r="AU498" s="65" t="n">
        <f aca="false">IF(AT498="",0,MAX(0,MIN(1,(IF(BY498="L1",Parameter!$E$5,Parameter!$E$6+Parameter!$E$7)-(AT498-AP498))/AP498)))</f>
        <v>1</v>
      </c>
      <c r="AV498" s="57" t="n">
        <f aca="false">IF(LEFT(Cockpit!$O$5,1)="A",H498,IF(CA498=1,CB498,IF(LEFT(Cockpit!$O$5,1)="B",AZ498,MAX(AZ498,H498))))</f>
        <v>1200</v>
      </c>
      <c r="AW498" s="57" t="n">
        <f aca="false">IF(BT498=1,0,ROUNDUP(AV498/BS498,0))</f>
        <v>2</v>
      </c>
      <c r="AX498" s="59" t="n">
        <f aca="false">IF(CH498&gt;0,CH498*MAX(1,AV498/X498),IF(BT498=1,IF(AV498&lt;=0,0,BW498*MAX(1,IF(H498&gt;0,AV498/H498,1))),IF(R498&gt;0,AW498/R498,0))/MAX(0.1,N(Parameter!$M$21)))</f>
        <v>0.0769230769230769</v>
      </c>
      <c r="AY498" s="57" t="n">
        <f aca="false">AV498*G498</f>
        <v>60</v>
      </c>
      <c r="AZ498" s="57" t="n">
        <f aca="false">ROUNDUP(MAX(J498/IF(BZ498&gt;0,BZ498,MAX(0.1,N(Cockpit!$O$6))),CC498)/BS498,0)*BS498</f>
        <v>1200</v>
      </c>
      <c r="BA498" s="58" t="n">
        <f aca="false">IF(AX498&gt;0,J498/AX498,-1)</f>
        <v>27885</v>
      </c>
      <c r="BB498" s="58" t="n">
        <f aca="false">IF(AND(OR(BY498="L1",BY498="L23"),AX498&gt;0),SUMIFS($AX$7:$AX$1843,$BY$7:$BY$1843,BY498,$BA$7:$BA$1843,"&gt;"&amp;BA498)+SUMIFS($AX$7:$AX$1843,$BY$7:$BY$1843,BY498,$BA$7:$BA$1843,BA498,$BQ$7:$BQ$1843,"&lt;="&amp;BQ498),"")</f>
        <v>3.22761055369751</v>
      </c>
      <c r="BC498" s="65" t="n">
        <f aca="false">IF(BB498="",0,MAX(0,MIN(1,(IF(BY498="L1",Parameter!$E$5,Parameter!$E$6+Parameter!$E$7)-(BB498-AX498))/AX498)))</f>
        <v>1</v>
      </c>
      <c r="BD498" s="55" t="str">
        <f aca="false">IF(AH498&lt;=0,"",IF(BY498="Aussen","Aussenlager",IF(BY498="-","Nicht im Lift",IF(AM498&gt;=1,"Lift",IF(AM498&lt;=0,"Aussenlager","teilweise")))))</f>
        <v>Lift</v>
      </c>
      <c r="BE498" s="55" t="str">
        <f aca="false">IF(AP498&lt;=0,"",IF(BY498="Aussen","Aussenlager",IF(BY498="-","Nicht im Lift",IF(AU498&gt;=1,"Lift",IF(AU498&lt;=0,"Aussenlager","teilweise")))))</f>
        <v>Lift</v>
      </c>
      <c r="BF498" s="55" t="str">
        <f aca="false">IF(AX498&lt;=0,"",IF(BY498="Aussen","Aussenlager",IF(BY498="-","Nicht im Lift",IF(BC498&gt;=1,"Lift",IF(BC498&lt;=0,"Aussenlager","teilweise")))))</f>
        <v>Lift</v>
      </c>
      <c r="BG498" s="55" t="str">
        <f aca="false">IF(A498="","",IF(BP498=1,"Neu; ","")&amp;IF(AND(BP498=0,BK498&lt;0),"negativer Bestand (Export "&amp;BK498&amp;"); ","")&amp;IF(J498&lt;=0,"Kein Verbrauch; ","")&amp;IF(CH498&gt;0,"Lift "&amp;W498&amp;" lt. Liftbericht (Fach "&amp;X498&amp;" Stk); ",IF(BU498=1,"Gebinde geschätzt ("&amp;T498&amp;"); ",IF(BT498=1,"Lose – Tablare geschätzt; ","")))&amp;IF(H498&gt;AR498,"Überbestand "&amp;ROUND(H498-AR498,0)&amp;" Stk / CHF "&amp;ROUND((H498-AR498)*G498,0)&amp;"; ","")&amp;IF(AND(CA498=1,CB498&lt;CC498),"MAX &lt; MB+LG; ","")&amp;IF(AND(CG498&gt;0,CF498*10&gt;CG498),"zu hoch für Tablar; ","")&amp;IF(AND(BP498=0,OR(CA498=1,AA498&lt;&gt;"",U498&lt;&gt;"",V498&lt;&gt;"",AB498&lt;&gt;"")),"manuell übersteuert; ","")&amp;IF(AND(BT498=0,R498=0),"Gebinde unbekannt / Stellmass fehlt; ","")&amp;IF(AND(BT498=0,N(V498)&lt;=0,N(Q498)&lt;=0),"Menge pro Gebinde fehlt (Ist = 1 Gebinde); ","")&amp;BO498)</f>
        <v/>
      </c>
      <c r="BH498" s="55"/>
      <c r="BI498" s="55"/>
      <c r="BJ498" s="62"/>
      <c r="BK498" s="57" t="n">
        <v>755</v>
      </c>
      <c r="BL498" s="57" t="n">
        <v>337</v>
      </c>
      <c r="BM498" s="56" t="n">
        <v>37.75</v>
      </c>
      <c r="BN498" s="57" t="n">
        <v>2145</v>
      </c>
      <c r="BO498" s="55"/>
      <c r="BP498" s="60" t="n">
        <v>0</v>
      </c>
      <c r="BQ498" s="60" t="n">
        <v>498</v>
      </c>
      <c r="BR498" s="55" t="str">
        <f aca="false">IF(U498&lt;&gt;"",UPPER(TRIM(U498)),IF(BU498=1,UPPER(VLOOKUP(T498,Parameter!$I$27:$K$29,2,0)),IF(P498="","LOSE",P498)))</f>
        <v>S51</v>
      </c>
      <c r="BS498" s="57" t="n">
        <f aca="false">IF(BR498="LOSE",1,IF(N(V498)&gt;0,V498,IF(BU498=1,MAX(1,N(VLOOKUP(T498,Parameter!$I$27:$K$29,3,0)),H498,N(N498)),IF(N(Q498)&gt;0,Q498,MAX(1,H498)))))</f>
        <v>600</v>
      </c>
      <c r="BT498" s="60" t="n">
        <f aca="false">IF(BR498="LOSE",1,0)</f>
        <v>0</v>
      </c>
      <c r="BU498" s="60" t="n">
        <f aca="false">IF(AND(U498="",OR(P498="",P498="LOSE"),T498&lt;&gt;"",N(S498)&lt;=0,ISNUMBER(MATCH(T498,Parameter!$I$27:$I$29,0))),1,0)</f>
        <v>0</v>
      </c>
      <c r="BV498" s="55" t="str">
        <f aca="false">IF(AND(Parameter!$B$19="Ja",E498&lt;&gt;"",ISNUMBER(MATCH(E498,Parameter!$I$35:$I$52,0))),VLOOKUP(E498,Parameter!$I$35:$J$52,2,0),IFERROR(VLOOKUP(D498,Parameter!$A$35:$C$64,2,0),"Nein"))</f>
        <v>2+3</v>
      </c>
      <c r="BW498" s="59" t="n">
        <f aca="false">IF(BT498=0,0,IF(N(S498)&gt;0,S498,IFERROR(VLOOKUP(D498,Parameter!$A$35:$C$64,3,0)+0,0)))</f>
        <v>0</v>
      </c>
      <c r="BX498" s="55" t="n">
        <f aca="false">IF(AA498&lt;&gt;"",AA498,Z498)</f>
        <v>3</v>
      </c>
      <c r="BY498" s="55" t="str">
        <f aca="false">IF(BX498=1,"L1",IF(OR(BX498=2,BX498=3),"L23",IF(BX498="Aussen","Aussen","-")))</f>
        <v>L23</v>
      </c>
      <c r="BZ498" s="66" t="n">
        <f aca="false">IF(N(AB498)&gt;0,AB498,0)</f>
        <v>0</v>
      </c>
      <c r="CA498" s="60" t="n">
        <f aca="false">IF(ISNUMBER(AE498),1,0)</f>
        <v>0</v>
      </c>
      <c r="CB498" s="57" t="n">
        <f aca="false">N(AE498)</f>
        <v>0</v>
      </c>
      <c r="CC498" s="57" t="n">
        <f aca="false">N(M498)+N(N498)</f>
        <v>900</v>
      </c>
      <c r="CD498" s="57" t="n">
        <f aca="false">ROUNDUP(H498/BS498,0)</f>
        <v>2</v>
      </c>
      <c r="CE498" s="57" t="n">
        <f aca="false">ROUNDUP(CB498/BS498,0)</f>
        <v>0</v>
      </c>
      <c r="CF498" s="60" t="n">
        <f aca="false">IF(BT498=1,0,IFERROR(VLOOKUP(BR498,'Gebinde-Kategorie'!$A$5:$M$45,5,0)+0,0))</f>
        <v>11</v>
      </c>
      <c r="CG498" s="60" t="n">
        <f aca="false">IFERROR(IF(OR(BX498=1,BX498=2,BX498=3),N(INDEX(Parameter!$I$5:$I$7,BX498)),0),0)</f>
        <v>0</v>
      </c>
      <c r="CH498" s="59" t="n">
        <f aca="false">IF(AND(Parameter!$B$21="Ja",ISNUMBER(W498),N(X498)&gt;0),IFERROR(N(INDEX(Parameter!$L$5:$L$7,W498))*INDEX(Parameter!$E$5:$E$7,W498)*X498/SUMIFS($X$7:$X$1843,$W$7:$W$1843,W498),0),0)</f>
        <v>0</v>
      </c>
    </row>
    <row r="499" customFormat="false" ht="15" hidden="false" customHeight="false" outlineLevel="0" collapsed="false">
      <c r="A499" s="55" t="s">
        <v>1097</v>
      </c>
      <c r="B499" s="55" t="s">
        <v>751</v>
      </c>
      <c r="C499" s="55" t="s">
        <v>164</v>
      </c>
      <c r="D499" s="55" t="s">
        <v>184</v>
      </c>
      <c r="E499" s="55" t="s">
        <v>185</v>
      </c>
      <c r="F499" s="55" t="s">
        <v>218</v>
      </c>
      <c r="G499" s="56" t="n">
        <v>11.49</v>
      </c>
      <c r="H499" s="57" t="n">
        <f aca="false">MAX(0,IF(AND(Parameter!$B$21="Ja",ISNUMBER(Y499)),Y499,IF(Parameter!$B$20="Jahresanfang 2025 + Export",BL499+BK499,BK499)))</f>
        <v>8</v>
      </c>
      <c r="I499" s="57" t="n">
        <f aca="false">H499*G499</f>
        <v>91.92</v>
      </c>
      <c r="J499" s="57" t="n">
        <f aca="false">BN499*Parameter!$B$18</f>
        <v>5</v>
      </c>
      <c r="K499" s="58" t="n">
        <v>4</v>
      </c>
      <c r="L499" s="59" t="n">
        <v>1.25</v>
      </c>
      <c r="M499" s="57" t="n">
        <v>0</v>
      </c>
      <c r="N499" s="57" t="n">
        <v>5</v>
      </c>
      <c r="O499" s="60" t="n">
        <v>14</v>
      </c>
      <c r="P499" s="55" t="s">
        <v>421</v>
      </c>
      <c r="Q499" s="57" t="n">
        <v>10</v>
      </c>
      <c r="R499" s="60" t="n">
        <f aca="false">IF(BT499=1,0,IFERROR(VLOOKUP(BR499,'Gebinde-Kategorie'!$A$5:$M$45,13,0)+0,0))</f>
        <v>132</v>
      </c>
      <c r="S499" s="61"/>
      <c r="T499" s="62"/>
      <c r="U499" s="62"/>
      <c r="V499" s="62"/>
      <c r="W499" s="55"/>
      <c r="X499" s="57"/>
      <c r="Y499" s="57"/>
      <c r="Z499" s="55" t="n">
        <f aca="false">IF(A499="","",IF(AND(Parameter!$B$21="Ja",ISNUMBER(W499)),W499,IF(BV499="2+3",IF(ISNUMBER(SEARCH("grosser Artikel",BO499)),2,IFERROR(VLOOKUP(BR499,Parameter!$F$35:$G$64,2,0),2)),IF(OR(BV499="Nein",BV499=""),"-",BV499))))</f>
        <v>3</v>
      </c>
      <c r="AA499" s="62"/>
      <c r="AB499" s="63"/>
      <c r="AC499" s="57" t="n">
        <f aca="false">AR499</f>
        <v>10</v>
      </c>
      <c r="AD499" s="57" t="n">
        <f aca="false">MAX(AR499,H499)</f>
        <v>10</v>
      </c>
      <c r="AE499" s="64"/>
      <c r="AF499" s="57" t="n">
        <f aca="false">IF(LEFT(Cockpit!$C$5,1)="A",H499,IF(CA499=1,CB499,IF(LEFT(Cockpit!$C$5,1)="B",AJ499,MAX(AJ499,H499))))</f>
        <v>8</v>
      </c>
      <c r="AG499" s="57" t="n">
        <f aca="false">IF(BT499=1,0,ROUNDUP(AF499/BS499,0))</f>
        <v>1</v>
      </c>
      <c r="AH499" s="59" t="n">
        <f aca="false">IF(CH499&gt;0,CH499*MAX(1,AF499/X499),IF(BT499=1,IF(AF499&lt;=0,0,BW499*MAX(1,IF(H499&gt;0,AF499/H499,1))),IF(R499&gt;0,AG499/R499,0))/MAX(0.1,N(Parameter!$M$21)))</f>
        <v>0.00757575757575758</v>
      </c>
      <c r="AI499" s="57" t="n">
        <f aca="false">AF499*G499</f>
        <v>91.92</v>
      </c>
      <c r="AJ499" s="57" t="n">
        <f aca="false">ROUNDUP(MAX(J499/IF(BZ499&gt;0,BZ499,MAX(0.1,N(Cockpit!$C$6))),CC499)/BS499,0)*BS499</f>
        <v>10</v>
      </c>
      <c r="AK499" s="58" t="n">
        <f aca="false">IF(AH499&gt;0,J499/AH499,-1)</f>
        <v>660</v>
      </c>
      <c r="AL499" s="58" t="n">
        <f aca="false">IF(AND(OR(BY499="L1",BY499="L23"),AH499&gt;0),SUMIFS($AH$7:$AH$1843,$BY$7:$BY$1843,BY499,$AK$7:$AK$1843,"&gt;"&amp;AK499)+SUMIFS($AH$7:$AH$1843,$BY$7:$BY$1843,BY499,$AK$7:$AK$1843,AK499,$BQ$7:$BQ$1843,"&lt;="&amp;BQ499),"")</f>
        <v>22.3282828282828</v>
      </c>
      <c r="AM499" s="65" t="n">
        <f aca="false">IF(AL499="",0,MAX(0,MIN(1,(IF(BY499="L1",Parameter!$E$5,Parameter!$E$6+Parameter!$E$7)-(AL499-AH499))/AH499)))</f>
        <v>1</v>
      </c>
      <c r="AN499" s="57" t="n">
        <f aca="false">IF(LEFT(Cockpit!$I$5,1)="A",H499,IF(CA499=1,CB499,IF(LEFT(Cockpit!$I$5,1)="B",AR499,MAX(AR499,H499))))</f>
        <v>10</v>
      </c>
      <c r="AO499" s="57" t="n">
        <f aca="false">IF(BT499=1,0,ROUNDUP(AN499/BS499,0))</f>
        <v>1</v>
      </c>
      <c r="AP499" s="59" t="n">
        <f aca="false">IF(CH499&gt;0,CH499*MAX(1,AN499/X499),IF(BT499=1,IF(AN499&lt;=0,0,BW499*MAX(1,IF(H499&gt;0,AN499/H499,1))),IF(R499&gt;0,AO499/R499,0))/MAX(0.1,N(Parameter!$M$21)))</f>
        <v>0.00757575757575758</v>
      </c>
      <c r="AQ499" s="57" t="n">
        <f aca="false">AN499*G499</f>
        <v>114.9</v>
      </c>
      <c r="AR499" s="57" t="n">
        <f aca="false">ROUNDUP(MAX(J499/IF(BZ499&gt;0,BZ499,MAX(0.1,N(Cockpit!$I$6))),CC499)/BS499,0)*BS499</f>
        <v>10</v>
      </c>
      <c r="AS499" s="58" t="n">
        <f aca="false">IF(AP499&gt;0,J499/AP499,-1)</f>
        <v>660</v>
      </c>
      <c r="AT499" s="58" t="n">
        <f aca="false">IF(AND(OR(BY499="L1",BY499="L23"),AP499&gt;0),SUMIFS($AP$7:$AP$1843,$BY$7:$BY$1843,BY499,$AS$7:$AS$1843,"&gt;"&amp;AS499)+SUMIFS($AP$7:$AP$1843,$BY$7:$BY$1843,BY499,$AS$7:$AS$1843,AS499,$BQ$7:$BQ$1843,"&lt;="&amp;BQ499),"")</f>
        <v>29.9640552684031</v>
      </c>
      <c r="AU499" s="65" t="n">
        <f aca="false">IF(AT499="",0,MAX(0,MIN(1,(IF(BY499="L1",Parameter!$E$5,Parameter!$E$6+Parameter!$E$7)-(AT499-AP499))/AP499)))</f>
        <v>1</v>
      </c>
      <c r="AV499" s="57" t="n">
        <f aca="false">IF(LEFT(Cockpit!$O$5,1)="A",H499,IF(CA499=1,CB499,IF(LEFT(Cockpit!$O$5,1)="B",AZ499,MAX(AZ499,H499))))</f>
        <v>10</v>
      </c>
      <c r="AW499" s="57" t="n">
        <f aca="false">IF(BT499=1,0,ROUNDUP(AV499/BS499,0))</f>
        <v>1</v>
      </c>
      <c r="AX499" s="59" t="n">
        <f aca="false">IF(CH499&gt;0,CH499*MAX(1,AV499/X499),IF(BT499=1,IF(AV499&lt;=0,0,BW499*MAX(1,IF(H499&gt;0,AV499/H499,1))),IF(R499&gt;0,AW499/R499,0))/MAX(0.1,N(Parameter!$M$21)))</f>
        <v>0.00757575757575758</v>
      </c>
      <c r="AY499" s="57" t="n">
        <f aca="false">AV499*G499</f>
        <v>114.9</v>
      </c>
      <c r="AZ499" s="57" t="n">
        <f aca="false">ROUNDUP(MAX(J499/IF(BZ499&gt;0,BZ499,MAX(0.1,N(Cockpit!$O$6))),CC499)/BS499,0)*BS499</f>
        <v>10</v>
      </c>
      <c r="BA499" s="58" t="n">
        <f aca="false">IF(AX499&gt;0,J499/AX499,-1)</f>
        <v>660</v>
      </c>
      <c r="BB499" s="58" t="n">
        <f aca="false">IF(AND(OR(BY499="L1",BY499="L23"),AX499&gt;0),SUMIFS($AX$7:$AX$1843,$BY$7:$BY$1843,BY499,$BA$7:$BA$1843,"&gt;"&amp;BA499)+SUMIFS($AX$7:$AX$1843,$BY$7:$BY$1843,BY499,$BA$7:$BA$1843,BA499,$BQ$7:$BQ$1843,"&lt;="&amp;BQ499),"")</f>
        <v>28.6656869700348</v>
      </c>
      <c r="BC499" s="65" t="n">
        <f aca="false">IF(BB499="",0,MAX(0,MIN(1,(IF(BY499="L1",Parameter!$E$5,Parameter!$E$6+Parameter!$E$7)-(BB499-AX499))/AX499)))</f>
        <v>1</v>
      </c>
      <c r="BD499" s="55" t="str">
        <f aca="false">IF(AH499&lt;=0,"",IF(BY499="Aussen","Aussenlager",IF(BY499="-","Nicht im Lift",IF(AM499&gt;=1,"Lift",IF(AM499&lt;=0,"Aussenlager","teilweise")))))</f>
        <v>Lift</v>
      </c>
      <c r="BE499" s="55" t="str">
        <f aca="false">IF(AP499&lt;=0,"",IF(BY499="Aussen","Aussenlager",IF(BY499="-","Nicht im Lift",IF(AU499&gt;=1,"Lift",IF(AU499&lt;=0,"Aussenlager","teilweise")))))</f>
        <v>Lift</v>
      </c>
      <c r="BF499" s="55" t="str">
        <f aca="false">IF(AX499&lt;=0,"",IF(BY499="Aussen","Aussenlager",IF(BY499="-","Nicht im Lift",IF(BC499&gt;=1,"Lift",IF(BC499&lt;=0,"Aussenlager","teilweise")))))</f>
        <v>Lift</v>
      </c>
      <c r="BG499" s="55" t="str">
        <f aca="false">IF(A499="","",IF(BP499=1,"Neu; ","")&amp;IF(AND(BP499=0,BK499&lt;0),"negativer Bestand (Export "&amp;BK499&amp;"); ","")&amp;IF(J499&lt;=0,"Kein Verbrauch; ","")&amp;IF(CH499&gt;0,"Lift "&amp;W499&amp;" lt. Liftbericht (Fach "&amp;X499&amp;" Stk); ",IF(BU499=1,"Gebinde geschätzt ("&amp;T499&amp;"); ",IF(BT499=1,"Lose – Tablare geschätzt; ","")))&amp;IF(H499&gt;AR499,"Überbestand "&amp;ROUND(H499-AR499,0)&amp;" Stk / CHF "&amp;ROUND((H499-AR499)*G499,0)&amp;"; ","")&amp;IF(AND(CA499=1,CB499&lt;CC499),"MAX &lt; MB+LG; ","")&amp;IF(AND(CG499&gt;0,CF499*10&gt;CG499),"zu hoch für Tablar; ","")&amp;IF(AND(BP499=0,OR(CA499=1,AA499&lt;&gt;"",U499&lt;&gt;"",V499&lt;&gt;"",AB499&lt;&gt;"")),"manuell übersteuert; ","")&amp;IF(AND(BT499=0,R499=0),"Gebinde unbekannt / Stellmass fehlt; ","")&amp;IF(AND(BT499=0,N(V499)&lt;=0,N(Q499)&lt;=0),"Menge pro Gebinde fehlt (Ist = 1 Gebinde); ","")&amp;BO499)</f>
        <v/>
      </c>
      <c r="BH499" s="55"/>
      <c r="BI499" s="55"/>
      <c r="BJ499" s="62"/>
      <c r="BK499" s="57" t="n">
        <v>4</v>
      </c>
      <c r="BL499" s="57" t="n">
        <v>4</v>
      </c>
      <c r="BM499" s="56" t="n">
        <v>37.64</v>
      </c>
      <c r="BN499" s="57" t="n">
        <v>5</v>
      </c>
      <c r="BO499" s="55"/>
      <c r="BP499" s="60" t="n">
        <v>0</v>
      </c>
      <c r="BQ499" s="60" t="n">
        <v>499</v>
      </c>
      <c r="BR499" s="55" t="str">
        <f aca="false">IF(U499&lt;&gt;"",UPPER(TRIM(U499)),IF(BU499=1,UPPER(VLOOKUP(T499,Parameter!$I$27:$K$29,2,0)),IF(P499="","LOSE",P499)))</f>
        <v>S32</v>
      </c>
      <c r="BS499" s="57" t="n">
        <f aca="false">IF(BR499="LOSE",1,IF(N(V499)&gt;0,V499,IF(BU499=1,MAX(1,N(VLOOKUP(T499,Parameter!$I$27:$K$29,3,0)),H499,N(N499)),IF(N(Q499)&gt;0,Q499,MAX(1,H499)))))</f>
        <v>10</v>
      </c>
      <c r="BT499" s="60" t="n">
        <f aca="false">IF(BR499="LOSE",1,0)</f>
        <v>0</v>
      </c>
      <c r="BU499" s="60" t="n">
        <f aca="false">IF(AND(U499="",OR(P499="",P499="LOSE"),T499&lt;&gt;"",N(S499)&lt;=0,ISNUMBER(MATCH(T499,Parameter!$I$27:$I$29,0))),1,0)</f>
        <v>0</v>
      </c>
      <c r="BV499" s="55" t="str">
        <f aca="false">IF(AND(Parameter!$B$19="Ja",E499&lt;&gt;"",ISNUMBER(MATCH(E499,Parameter!$I$35:$I$52,0))),VLOOKUP(E499,Parameter!$I$35:$J$52,2,0),IFERROR(VLOOKUP(D499,Parameter!$A$35:$C$64,2,0),"Nein"))</f>
        <v>2+3</v>
      </c>
      <c r="BW499" s="59" t="n">
        <f aca="false">IF(BT499=0,0,IF(N(S499)&gt;0,S499,IFERROR(VLOOKUP(D499,Parameter!$A$35:$C$64,3,0)+0,0)))</f>
        <v>0</v>
      </c>
      <c r="BX499" s="55" t="n">
        <f aca="false">IF(AA499&lt;&gt;"",AA499,Z499)</f>
        <v>3</v>
      </c>
      <c r="BY499" s="55" t="str">
        <f aca="false">IF(BX499=1,"L1",IF(OR(BX499=2,BX499=3),"L23",IF(BX499="Aussen","Aussen","-")))</f>
        <v>L23</v>
      </c>
      <c r="BZ499" s="66" t="n">
        <f aca="false">IF(N(AB499)&gt;0,AB499,0)</f>
        <v>0</v>
      </c>
      <c r="CA499" s="60" t="n">
        <f aca="false">IF(ISNUMBER(AE499),1,0)</f>
        <v>0</v>
      </c>
      <c r="CB499" s="57" t="n">
        <f aca="false">N(AE499)</f>
        <v>0</v>
      </c>
      <c r="CC499" s="57" t="n">
        <f aca="false">N(M499)+N(N499)</f>
        <v>5</v>
      </c>
      <c r="CD499" s="57" t="n">
        <f aca="false">ROUNDUP(H499/BS499,0)</f>
        <v>1</v>
      </c>
      <c r="CE499" s="57" t="n">
        <f aca="false">ROUNDUP(CB499/BS499,0)</f>
        <v>0</v>
      </c>
      <c r="CF499" s="60" t="n">
        <f aca="false">IF(BT499=1,0,IFERROR(VLOOKUP(BR499,'Gebinde-Kategorie'!$A$5:$M$45,5,0)+0,0))</f>
        <v>8</v>
      </c>
      <c r="CG499" s="60" t="n">
        <f aca="false">IFERROR(IF(OR(BX499=1,BX499=2,BX499=3),N(INDEX(Parameter!$I$5:$I$7,BX499)),0),0)</f>
        <v>0</v>
      </c>
      <c r="CH499" s="59" t="n">
        <f aca="false">IF(AND(Parameter!$B$21="Ja",ISNUMBER(W499),N(X499)&gt;0),IFERROR(N(INDEX(Parameter!$L$5:$L$7,W499))*INDEX(Parameter!$E$5:$E$7,W499)*X499/SUMIFS($X$7:$X$1843,$W$7:$W$1843,W499),0),0)</f>
        <v>0</v>
      </c>
    </row>
    <row r="500" customFormat="false" ht="15" hidden="false" customHeight="false" outlineLevel="0" collapsed="false">
      <c r="A500" s="55" t="s">
        <v>1098</v>
      </c>
      <c r="B500" s="55" t="s">
        <v>1099</v>
      </c>
      <c r="C500" s="55" t="s">
        <v>164</v>
      </c>
      <c r="D500" s="55" t="s">
        <v>184</v>
      </c>
      <c r="E500" s="55"/>
      <c r="F500" s="55" t="s">
        <v>218</v>
      </c>
      <c r="G500" s="56" t="n">
        <v>22.94</v>
      </c>
      <c r="H500" s="57" t="n">
        <f aca="false">MAX(0,IF(AND(Parameter!$B$21="Ja",ISNUMBER(Y500)),Y500,IF(Parameter!$B$20="Jahresanfang 2025 + Export",BL500+BK500,BK500)))</f>
        <v>64</v>
      </c>
      <c r="I500" s="57" t="n">
        <f aca="false">H500*G500</f>
        <v>1468.16</v>
      </c>
      <c r="J500" s="57" t="n">
        <f aca="false">BN500*Parameter!$B$18</f>
        <v>1</v>
      </c>
      <c r="K500" s="58" t="n">
        <v>57</v>
      </c>
      <c r="L500" s="59" t="n">
        <v>0.0175438596491228</v>
      </c>
      <c r="M500" s="57" t="n">
        <v>0</v>
      </c>
      <c r="N500" s="57" t="n">
        <v>1</v>
      </c>
      <c r="O500" s="60" t="n">
        <v>63</v>
      </c>
      <c r="P500" s="55" t="s">
        <v>302</v>
      </c>
      <c r="Q500" s="57" t="n">
        <v>55</v>
      </c>
      <c r="R500" s="60" t="n">
        <f aca="false">IF(BT500=1,0,IFERROR(VLOOKUP(BR500,'Gebinde-Kategorie'!$A$5:$M$45,13,0)+0,0))</f>
        <v>26</v>
      </c>
      <c r="S500" s="61"/>
      <c r="T500" s="62"/>
      <c r="U500" s="62"/>
      <c r="V500" s="62"/>
      <c r="W500" s="55"/>
      <c r="X500" s="57"/>
      <c r="Y500" s="57"/>
      <c r="Z500" s="55" t="n">
        <f aca="false">IF(A500="","",IF(AND(Parameter!$B$21="Ja",ISNUMBER(W500)),W500,IF(BV500="2+3",IF(ISNUMBER(SEARCH("grosser Artikel",BO500)),2,IFERROR(VLOOKUP(BR500,Parameter!$F$35:$G$64,2,0),2)),IF(OR(BV500="Nein",BV500=""),"-",BV500))))</f>
        <v>3</v>
      </c>
      <c r="AA500" s="62"/>
      <c r="AB500" s="63"/>
      <c r="AC500" s="57" t="n">
        <f aca="false">AR500</f>
        <v>55</v>
      </c>
      <c r="AD500" s="57" t="n">
        <f aca="false">MAX(AR500,H500)</f>
        <v>64</v>
      </c>
      <c r="AE500" s="64"/>
      <c r="AF500" s="57" t="n">
        <f aca="false">IF(LEFT(Cockpit!$C$5,1)="A",H500,IF(CA500=1,CB500,IF(LEFT(Cockpit!$C$5,1)="B",AJ500,MAX(AJ500,H500))))</f>
        <v>64</v>
      </c>
      <c r="AG500" s="57" t="n">
        <f aca="false">IF(BT500=1,0,ROUNDUP(AF500/BS500,0))</f>
        <v>2</v>
      </c>
      <c r="AH500" s="59" t="n">
        <f aca="false">IF(CH500&gt;0,CH500*MAX(1,AF500/X500),IF(BT500=1,IF(AF500&lt;=0,0,BW500*MAX(1,IF(H500&gt;0,AF500/H500,1))),IF(R500&gt;0,AG500/R500,0))/MAX(0.1,N(Parameter!$M$21)))</f>
        <v>0.0769230769230769</v>
      </c>
      <c r="AI500" s="57" t="n">
        <f aca="false">AF500*G500</f>
        <v>1468.16</v>
      </c>
      <c r="AJ500" s="57" t="n">
        <f aca="false">ROUNDUP(MAX(J500/IF(BZ500&gt;0,BZ500,MAX(0.1,N(Cockpit!$C$6))),CC500)/BS500,0)*BS500</f>
        <v>55</v>
      </c>
      <c r="AK500" s="58" t="n">
        <f aca="false">IF(AH500&gt;0,J500/AH500,-1)</f>
        <v>13</v>
      </c>
      <c r="AL500" s="58" t="n">
        <f aca="false">IF(AND(OR(BY500="L1",BY500="L23"),AH500&gt;0),SUMIFS($AH$7:$AH$1843,$BY$7:$BY$1843,BY500,$AK$7:$AK$1843,"&gt;"&amp;AK500)+SUMIFS($AH$7:$AH$1843,$BY$7:$BY$1843,BY500,$AK$7:$AK$1843,AK500,$BQ$7:$BQ$1843,"&lt;="&amp;BQ500),"")</f>
        <v>53.6843349886828</v>
      </c>
      <c r="AM500" s="65" t="n">
        <f aca="false">IF(AL500="",0,MAX(0,MIN(1,(IF(BY500="L1",Parameter!$E$5,Parameter!$E$6+Parameter!$E$7)-(AL500-AH500))/AH500)))</f>
        <v>1</v>
      </c>
      <c r="AN500" s="57" t="n">
        <f aca="false">IF(LEFT(Cockpit!$I$5,1)="A",H500,IF(CA500=1,CB500,IF(LEFT(Cockpit!$I$5,1)="B",AR500,MAX(AR500,H500))))</f>
        <v>64</v>
      </c>
      <c r="AO500" s="57" t="n">
        <f aca="false">IF(BT500=1,0,ROUNDUP(AN500/BS500,0))</f>
        <v>2</v>
      </c>
      <c r="AP500" s="59" t="n">
        <f aca="false">IF(CH500&gt;0,CH500*MAX(1,AN500/X500),IF(BT500=1,IF(AN500&lt;=0,0,BW500*MAX(1,IF(H500&gt;0,AN500/H500,1))),IF(R500&gt;0,AO500/R500,0))/MAX(0.1,N(Parameter!$M$21)))</f>
        <v>0.0769230769230769</v>
      </c>
      <c r="AQ500" s="57" t="n">
        <f aca="false">AN500*G500</f>
        <v>1468.16</v>
      </c>
      <c r="AR500" s="57" t="n">
        <f aca="false">ROUNDUP(MAX(J500/IF(BZ500&gt;0,BZ500,MAX(0.1,N(Cockpit!$I$6))),CC500)/BS500,0)*BS500</f>
        <v>55</v>
      </c>
      <c r="AS500" s="58" t="n">
        <f aca="false">IF(AP500&gt;0,J500/AP500,-1)</f>
        <v>13</v>
      </c>
      <c r="AT500" s="58" t="n">
        <f aca="false">IF(AND(OR(BY500="L1",BY500="L23"),AP500&gt;0),SUMIFS($AP$7:$AP$1843,$BY$7:$BY$1843,BY500,$AS$7:$AS$1843,"&gt;"&amp;AS500)+SUMIFS($AP$7:$AP$1843,$BY$7:$BY$1843,BY500,$AS$7:$AS$1843,AS500,$BQ$7:$BQ$1843,"&lt;="&amp;BQ500),"")</f>
        <v>80.6917925070099</v>
      </c>
      <c r="AU500" s="65" t="n">
        <f aca="false">IF(AT500="",0,MAX(0,MIN(1,(IF(BY500="L1",Parameter!$E$5,Parameter!$E$6+Parameter!$E$7)-(AT500-AP500))/AP500)))</f>
        <v>1</v>
      </c>
      <c r="AV500" s="57" t="n">
        <f aca="false">IF(LEFT(Cockpit!$O$5,1)="A",H500,IF(CA500=1,CB500,IF(LEFT(Cockpit!$O$5,1)="B",AZ500,MAX(AZ500,H500))))</f>
        <v>64</v>
      </c>
      <c r="AW500" s="57" t="n">
        <f aca="false">IF(BT500=1,0,ROUNDUP(AV500/BS500,0))</f>
        <v>2</v>
      </c>
      <c r="AX500" s="59" t="n">
        <f aca="false">IF(CH500&gt;0,CH500*MAX(1,AV500/X500),IF(BT500=1,IF(AV500&lt;=0,0,BW500*MAX(1,IF(H500&gt;0,AV500/H500,1))),IF(R500&gt;0,AW500/R500,0))/MAX(0.1,N(Parameter!$M$21)))</f>
        <v>0.0769230769230769</v>
      </c>
      <c r="AY500" s="57" t="n">
        <f aca="false">AV500*G500</f>
        <v>1468.16</v>
      </c>
      <c r="AZ500" s="57" t="n">
        <f aca="false">ROUNDUP(MAX(J500/IF(BZ500&gt;0,BZ500,MAX(0.1,N(Cockpit!$O$6))),CC500)/BS500,0)*BS500</f>
        <v>55</v>
      </c>
      <c r="BA500" s="58" t="n">
        <f aca="false">IF(AX500&gt;0,J500/AX500,-1)</f>
        <v>13</v>
      </c>
      <c r="BB500" s="58" t="n">
        <f aca="false">IF(AND(OR(BY500="L1",BY500="L23"),AX500&gt;0),SUMIFS($AX$7:$AX$1843,$BY$7:$BY$1843,BY500,$BA$7:$BA$1843,"&gt;"&amp;BA500)+SUMIFS($AX$7:$AX$1843,$BY$7:$BY$1843,BY500,$BA$7:$BA$1843,BA500,$BQ$7:$BQ$1843,"&lt;="&amp;BQ500),"")</f>
        <v>80.1882960035134</v>
      </c>
      <c r="BC500" s="65" t="n">
        <f aca="false">IF(BB500="",0,MAX(0,MIN(1,(IF(BY500="L1",Parameter!$E$5,Parameter!$E$6+Parameter!$E$7)-(BB500-AX500))/AX500)))</f>
        <v>1</v>
      </c>
      <c r="BD500" s="55" t="str">
        <f aca="false">IF(AH500&lt;=0,"",IF(BY500="Aussen","Aussenlager",IF(BY500="-","Nicht im Lift",IF(AM500&gt;=1,"Lift",IF(AM500&lt;=0,"Aussenlager","teilweise")))))</f>
        <v>Lift</v>
      </c>
      <c r="BE500" s="55" t="str">
        <f aca="false">IF(AP500&lt;=0,"",IF(BY500="Aussen","Aussenlager",IF(BY500="-","Nicht im Lift",IF(AU500&gt;=1,"Lift",IF(AU500&lt;=0,"Aussenlager","teilweise")))))</f>
        <v>Lift</v>
      </c>
      <c r="BF500" s="55" t="str">
        <f aca="false">IF(AX500&lt;=0,"",IF(BY500="Aussen","Aussenlager",IF(BY500="-","Nicht im Lift",IF(BC500&gt;=1,"Lift",IF(BC500&lt;=0,"Aussenlager","teilweise")))))</f>
        <v>Lift</v>
      </c>
      <c r="BG500" s="55" t="str">
        <f aca="false">IF(A500="","",IF(BP500=1,"Neu; ","")&amp;IF(AND(BP500=0,BK500&lt;0),"negativer Bestand (Export "&amp;BK500&amp;"); ","")&amp;IF(J500&lt;=0,"Kein Verbrauch; ","")&amp;IF(CH500&gt;0,"Lift "&amp;W500&amp;" lt. Liftbericht (Fach "&amp;X500&amp;" Stk); ",IF(BU500=1,"Gebinde geschätzt ("&amp;T500&amp;"); ",IF(BT500=1,"Lose – Tablare geschätzt; ","")))&amp;IF(H500&gt;AR500,"Überbestand "&amp;ROUND(H500-AR500,0)&amp;" Stk / CHF "&amp;ROUND((H500-AR500)*G500,0)&amp;"; ","")&amp;IF(AND(CA500=1,CB500&lt;CC500),"MAX &lt; MB+LG; ","")&amp;IF(AND(CG500&gt;0,CF500*10&gt;CG500),"zu hoch für Tablar; ","")&amp;IF(AND(BP500=0,OR(CA500=1,AA500&lt;&gt;"",U500&lt;&gt;"",V500&lt;&gt;"",AB500&lt;&gt;"")),"manuell übersteuert; ","")&amp;IF(AND(BT500=0,R500=0),"Gebinde unbekannt / Stellmass fehlt; ","")&amp;IF(AND(BT500=0,N(V500)&lt;=0,N(Q500)&lt;=0),"Menge pro Gebinde fehlt (Ist = 1 Gebinde); ","")&amp;BO500)</f>
        <v>Überbestand 9 Stk / CHF 206; </v>
      </c>
      <c r="BH500" s="55"/>
      <c r="BI500" s="55"/>
      <c r="BJ500" s="62"/>
      <c r="BK500" s="57" t="n">
        <v>4</v>
      </c>
      <c r="BL500" s="57" t="n">
        <v>60</v>
      </c>
      <c r="BM500" s="56" t="n">
        <v>37.4</v>
      </c>
      <c r="BN500" s="57" t="n">
        <v>1</v>
      </c>
      <c r="BO500" s="55"/>
      <c r="BP500" s="60" t="n">
        <v>0</v>
      </c>
      <c r="BQ500" s="60" t="n">
        <v>500</v>
      </c>
      <c r="BR500" s="55" t="str">
        <f aca="false">IF(U500&lt;&gt;"",UPPER(TRIM(U500)),IF(BU500=1,UPPER(VLOOKUP(T500,Parameter!$I$27:$K$29,2,0)),IF(P500="","LOSE",P500)))</f>
        <v>S51</v>
      </c>
      <c r="BS500" s="57" t="n">
        <f aca="false">IF(BR500="LOSE",1,IF(N(V500)&gt;0,V500,IF(BU500=1,MAX(1,N(VLOOKUP(T500,Parameter!$I$27:$K$29,3,0)),H500,N(N500)),IF(N(Q500)&gt;0,Q500,MAX(1,H500)))))</f>
        <v>55</v>
      </c>
      <c r="BT500" s="60" t="n">
        <f aca="false">IF(BR500="LOSE",1,0)</f>
        <v>0</v>
      </c>
      <c r="BU500" s="60" t="n">
        <f aca="false">IF(AND(U500="",OR(P500="",P500="LOSE"),T500&lt;&gt;"",N(S500)&lt;=0,ISNUMBER(MATCH(T500,Parameter!$I$27:$I$29,0))),1,0)</f>
        <v>0</v>
      </c>
      <c r="BV500" s="55" t="str">
        <f aca="false">IF(AND(Parameter!$B$19="Ja",E500&lt;&gt;"",ISNUMBER(MATCH(E500,Parameter!$I$35:$I$52,0))),VLOOKUP(E500,Parameter!$I$35:$J$52,2,0),IFERROR(VLOOKUP(D500,Parameter!$A$35:$C$64,2,0),"Nein"))</f>
        <v>2+3</v>
      </c>
      <c r="BW500" s="59" t="n">
        <f aca="false">IF(BT500=0,0,IF(N(S500)&gt;0,S500,IFERROR(VLOOKUP(D500,Parameter!$A$35:$C$64,3,0)+0,0)))</f>
        <v>0</v>
      </c>
      <c r="BX500" s="55" t="n">
        <f aca="false">IF(AA500&lt;&gt;"",AA500,Z500)</f>
        <v>3</v>
      </c>
      <c r="BY500" s="55" t="str">
        <f aca="false">IF(BX500=1,"L1",IF(OR(BX500=2,BX500=3),"L23",IF(BX500="Aussen","Aussen","-")))</f>
        <v>L23</v>
      </c>
      <c r="BZ500" s="66" t="n">
        <f aca="false">IF(N(AB500)&gt;0,AB500,0)</f>
        <v>0</v>
      </c>
      <c r="CA500" s="60" t="n">
        <f aca="false">IF(ISNUMBER(AE500),1,0)</f>
        <v>0</v>
      </c>
      <c r="CB500" s="57" t="n">
        <f aca="false">N(AE500)</f>
        <v>0</v>
      </c>
      <c r="CC500" s="57" t="n">
        <f aca="false">N(M500)+N(N500)</f>
        <v>1</v>
      </c>
      <c r="CD500" s="57" t="n">
        <f aca="false">ROUNDUP(H500/BS500,0)</f>
        <v>2</v>
      </c>
      <c r="CE500" s="57" t="n">
        <f aca="false">ROUNDUP(CB500/BS500,0)</f>
        <v>0</v>
      </c>
      <c r="CF500" s="60" t="n">
        <f aca="false">IF(BT500=1,0,IFERROR(VLOOKUP(BR500,'Gebinde-Kategorie'!$A$5:$M$45,5,0)+0,0))</f>
        <v>11</v>
      </c>
      <c r="CG500" s="60" t="n">
        <f aca="false">IFERROR(IF(OR(BX500=1,BX500=2,BX500=3),N(INDEX(Parameter!$I$5:$I$7,BX500)),0),0)</f>
        <v>0</v>
      </c>
      <c r="CH500" s="59" t="n">
        <f aca="false">IF(AND(Parameter!$B$21="Ja",ISNUMBER(W500),N(X500)&gt;0),IFERROR(N(INDEX(Parameter!$L$5:$L$7,W500))*INDEX(Parameter!$E$5:$E$7,W500)*X500/SUMIFS($X$7:$X$1843,$W$7:$W$1843,W500),0),0)</f>
        <v>0</v>
      </c>
    </row>
    <row r="501" customFormat="false" ht="15" hidden="false" customHeight="false" outlineLevel="0" collapsed="false">
      <c r="A501" s="55" t="s">
        <v>1100</v>
      </c>
      <c r="B501" s="55" t="s">
        <v>661</v>
      </c>
      <c r="C501" s="55" t="s">
        <v>164</v>
      </c>
      <c r="D501" s="55" t="s">
        <v>184</v>
      </c>
      <c r="E501" s="55" t="s">
        <v>185</v>
      </c>
      <c r="F501" s="55" t="s">
        <v>218</v>
      </c>
      <c r="G501" s="56" t="n">
        <v>9.38</v>
      </c>
      <c r="H501" s="57" t="n">
        <f aca="false">MAX(0,IF(AND(Parameter!$B$21="Ja",ISNUMBER(Y501)),Y501,IF(Parameter!$B$20="Jahresanfang 2025 + Export",BL501+BK501,BK501)))</f>
        <v>92</v>
      </c>
      <c r="I501" s="57" t="n">
        <f aca="false">H501*G501</f>
        <v>862.96</v>
      </c>
      <c r="J501" s="57" t="n">
        <f aca="false">BN501*Parameter!$B$18</f>
        <v>262</v>
      </c>
      <c r="K501" s="58" t="n">
        <v>95</v>
      </c>
      <c r="L501" s="59" t="n">
        <v>2.75789473684211</v>
      </c>
      <c r="M501" s="57" t="n">
        <v>15</v>
      </c>
      <c r="N501" s="57" t="n">
        <v>100</v>
      </c>
      <c r="O501" s="60" t="n">
        <v>21</v>
      </c>
      <c r="P501" s="55" t="s">
        <v>302</v>
      </c>
      <c r="Q501" s="57" t="n">
        <v>454</v>
      </c>
      <c r="R501" s="60" t="n">
        <f aca="false">IF(BT501=1,0,IFERROR(VLOOKUP(BR501,'Gebinde-Kategorie'!$A$5:$M$45,13,0)+0,0))</f>
        <v>26</v>
      </c>
      <c r="S501" s="61"/>
      <c r="T501" s="62"/>
      <c r="U501" s="62"/>
      <c r="V501" s="62"/>
      <c r="W501" s="55"/>
      <c r="X501" s="57"/>
      <c r="Y501" s="57"/>
      <c r="Z501" s="55" t="n">
        <f aca="false">IF(A501="","",IF(AND(Parameter!$B$21="Ja",ISNUMBER(W501)),W501,IF(BV501="2+3",IF(ISNUMBER(SEARCH("grosser Artikel",BO501)),2,IFERROR(VLOOKUP(BR501,Parameter!$F$35:$G$64,2,0),2)),IF(OR(BV501="Nein",BV501=""),"-",BV501))))</f>
        <v>3</v>
      </c>
      <c r="AA501" s="62"/>
      <c r="AB501" s="63"/>
      <c r="AC501" s="57" t="n">
        <f aca="false">AR501</f>
        <v>454</v>
      </c>
      <c r="AD501" s="57" t="n">
        <f aca="false">MAX(AR501,H501)</f>
        <v>454</v>
      </c>
      <c r="AE501" s="64"/>
      <c r="AF501" s="57" t="n">
        <f aca="false">IF(LEFT(Cockpit!$C$5,1)="A",H501,IF(CA501=1,CB501,IF(LEFT(Cockpit!$C$5,1)="B",AJ501,MAX(AJ501,H501))))</f>
        <v>92</v>
      </c>
      <c r="AG501" s="57" t="n">
        <f aca="false">IF(BT501=1,0,ROUNDUP(AF501/BS501,0))</f>
        <v>1</v>
      </c>
      <c r="AH501" s="59" t="n">
        <f aca="false">IF(CH501&gt;0,CH501*MAX(1,AF501/X501),IF(BT501=1,IF(AF501&lt;=0,0,BW501*MAX(1,IF(H501&gt;0,AF501/H501,1))),IF(R501&gt;0,AG501/R501,0))/MAX(0.1,N(Parameter!$M$21)))</f>
        <v>0.0384615384615385</v>
      </c>
      <c r="AI501" s="57" t="n">
        <f aca="false">AF501*G501</f>
        <v>862.96</v>
      </c>
      <c r="AJ501" s="57" t="n">
        <f aca="false">ROUNDUP(MAX(J501/IF(BZ501&gt;0,BZ501,MAX(0.1,N(Cockpit!$C$6))),CC501)/BS501,0)*BS501</f>
        <v>454</v>
      </c>
      <c r="AK501" s="58" t="n">
        <f aca="false">IF(AH501&gt;0,J501/AH501,-1)</f>
        <v>6812</v>
      </c>
      <c r="AL501" s="58" t="n">
        <f aca="false">IF(AND(OR(BY501="L1",BY501="L23"),AH501&gt;0),SUMIFS($AH$7:$AH$1843,$BY$7:$BY$1843,BY501,$AK$7:$AK$1843,"&gt;"&amp;AK501)+SUMIFS($AH$7:$AH$1843,$BY$7:$BY$1843,BY501,$AK$7:$AK$1843,AK501,$BQ$7:$BQ$1843,"&lt;="&amp;BQ501),"")</f>
        <v>6.32052971183406</v>
      </c>
      <c r="AM501" s="65" t="n">
        <f aca="false">IF(AL501="",0,MAX(0,MIN(1,(IF(BY501="L1",Parameter!$E$5,Parameter!$E$6+Parameter!$E$7)-(AL501-AH501))/AH501)))</f>
        <v>1</v>
      </c>
      <c r="AN501" s="57" t="n">
        <f aca="false">IF(LEFT(Cockpit!$I$5,1)="A",H501,IF(CA501=1,CB501,IF(LEFT(Cockpit!$I$5,1)="B",AR501,MAX(AR501,H501))))</f>
        <v>454</v>
      </c>
      <c r="AO501" s="57" t="n">
        <f aca="false">IF(BT501=1,0,ROUNDUP(AN501/BS501,0))</f>
        <v>1</v>
      </c>
      <c r="AP501" s="59" t="n">
        <f aca="false">IF(CH501&gt;0,CH501*MAX(1,AN501/X501),IF(BT501=1,IF(AN501&lt;=0,0,BW501*MAX(1,IF(H501&gt;0,AN501/H501,1))),IF(R501&gt;0,AO501/R501,0))/MAX(0.1,N(Parameter!$M$21)))</f>
        <v>0.0384615384615385</v>
      </c>
      <c r="AQ501" s="57" t="n">
        <f aca="false">AN501*G501</f>
        <v>4258.52</v>
      </c>
      <c r="AR501" s="57" t="n">
        <f aca="false">ROUNDUP(MAX(J501/IF(BZ501&gt;0,BZ501,MAX(0.1,N(Cockpit!$I$6))),CC501)/BS501,0)*BS501</f>
        <v>454</v>
      </c>
      <c r="AS501" s="58" t="n">
        <f aca="false">IF(AP501&gt;0,J501/AP501,-1)</f>
        <v>6812</v>
      </c>
      <c r="AT501" s="58" t="n">
        <f aca="false">IF(AND(OR(BY501="L1",BY501="L23"),AP501&gt;0),SUMIFS($AP$7:$AP$1843,$BY$7:$BY$1843,BY501,$AS$7:$AS$1843,"&gt;"&amp;AS501)+SUMIFS($AP$7:$AP$1843,$BY$7:$BY$1843,BY501,$AS$7:$AS$1843,AS501,$BQ$7:$BQ$1843,"&lt;="&amp;BQ501),"")</f>
        <v>9.87340799297321</v>
      </c>
      <c r="AU501" s="65" t="n">
        <f aca="false">IF(AT501="",0,MAX(0,MIN(1,(IF(BY501="L1",Parameter!$E$5,Parameter!$E$6+Parameter!$E$7)-(AT501-AP501))/AP501)))</f>
        <v>1</v>
      </c>
      <c r="AV501" s="57" t="n">
        <f aca="false">IF(LEFT(Cockpit!$O$5,1)="A",H501,IF(CA501=1,CB501,IF(LEFT(Cockpit!$O$5,1)="B",AZ501,MAX(AZ501,H501))))</f>
        <v>454</v>
      </c>
      <c r="AW501" s="57" t="n">
        <f aca="false">IF(BT501=1,0,ROUNDUP(AV501/BS501,0))</f>
        <v>1</v>
      </c>
      <c r="AX501" s="59" t="n">
        <f aca="false">IF(CH501&gt;0,CH501*MAX(1,AV501/X501),IF(BT501=1,IF(AV501&lt;=0,0,BW501*MAX(1,IF(H501&gt;0,AV501/H501,1))),IF(R501&gt;0,AW501/R501,0))/MAX(0.1,N(Parameter!$M$21)))</f>
        <v>0.0384615384615385</v>
      </c>
      <c r="AY501" s="57" t="n">
        <f aca="false">AV501*G501</f>
        <v>4258.52</v>
      </c>
      <c r="AZ501" s="57" t="n">
        <f aca="false">ROUNDUP(MAX(J501/IF(BZ501&gt;0,BZ501,MAX(0.1,N(Cockpit!$O$6))),CC501)/BS501,0)*BS501</f>
        <v>454</v>
      </c>
      <c r="BA501" s="58" t="n">
        <f aca="false">IF(AX501&gt;0,J501/AX501,-1)</f>
        <v>6812</v>
      </c>
      <c r="BB501" s="58" t="n">
        <f aca="false">IF(AND(OR(BY501="L1",BY501="L23"),AX501&gt;0),SUMIFS($AX$7:$AX$1843,$BY$7:$BY$1843,BY501,$BA$7:$BA$1843,"&gt;"&amp;BA501)+SUMIFS($AX$7:$AX$1843,$BY$7:$BY$1843,BY501,$BA$7:$BA$1843,BA501,$BQ$7:$BQ$1843,"&lt;="&amp;BQ501),"")</f>
        <v>9.27375764332286</v>
      </c>
      <c r="BC501" s="65" t="n">
        <f aca="false">IF(BB501="",0,MAX(0,MIN(1,(IF(BY501="L1",Parameter!$E$5,Parameter!$E$6+Parameter!$E$7)-(BB501-AX501))/AX501)))</f>
        <v>1</v>
      </c>
      <c r="BD501" s="55" t="str">
        <f aca="false">IF(AH501&lt;=0,"",IF(BY501="Aussen","Aussenlager",IF(BY501="-","Nicht im Lift",IF(AM501&gt;=1,"Lift",IF(AM501&lt;=0,"Aussenlager","teilweise")))))</f>
        <v>Lift</v>
      </c>
      <c r="BE501" s="55" t="str">
        <f aca="false">IF(AP501&lt;=0,"",IF(BY501="Aussen","Aussenlager",IF(BY501="-","Nicht im Lift",IF(AU501&gt;=1,"Lift",IF(AU501&lt;=0,"Aussenlager","teilweise")))))</f>
        <v>Lift</v>
      </c>
      <c r="BF501" s="55" t="str">
        <f aca="false">IF(AX501&lt;=0,"",IF(BY501="Aussen","Aussenlager",IF(BY501="-","Nicht im Lift",IF(BC501&gt;=1,"Lift",IF(BC501&lt;=0,"Aussenlager","teilweise")))))</f>
        <v>Lift</v>
      </c>
      <c r="BG501" s="55" t="str">
        <f aca="false">IF(A501="","",IF(BP501=1,"Neu; ","")&amp;IF(AND(BP501=0,BK501&lt;0),"negativer Bestand (Export "&amp;BK501&amp;"); ","")&amp;IF(J501&lt;=0,"Kein Verbrauch; ","")&amp;IF(CH501&gt;0,"Lift "&amp;W501&amp;" lt. Liftbericht (Fach "&amp;X501&amp;" Stk); ",IF(BU501=1,"Gebinde geschätzt ("&amp;T501&amp;"); ",IF(BT501=1,"Lose – Tablare geschätzt; ","")))&amp;IF(H501&gt;AR501,"Überbestand "&amp;ROUND(H501-AR501,0)&amp;" Stk / CHF "&amp;ROUND((H501-AR501)*G501,0)&amp;"; ","")&amp;IF(AND(CA501=1,CB501&lt;CC501),"MAX &lt; MB+LG; ","")&amp;IF(AND(CG501&gt;0,CF501*10&gt;CG501),"zu hoch für Tablar; ","")&amp;IF(AND(BP501=0,OR(CA501=1,AA501&lt;&gt;"",U501&lt;&gt;"",V501&lt;&gt;"",AB501&lt;&gt;"")),"manuell übersteuert; ","")&amp;IF(AND(BT501=0,R501=0),"Gebinde unbekannt / Stellmass fehlt; ","")&amp;IF(AND(BT501=0,N(V501)&lt;=0,N(Q501)&lt;=0),"Menge pro Gebinde fehlt (Ist = 1 Gebinde); ","")&amp;BO501)</f>
        <v/>
      </c>
      <c r="BH501" s="55"/>
      <c r="BI501" s="55"/>
      <c r="BJ501" s="62"/>
      <c r="BK501" s="57" t="n">
        <v>28</v>
      </c>
      <c r="BL501" s="57" t="n">
        <v>64</v>
      </c>
      <c r="BM501" s="56" t="n">
        <v>37.3599999999999</v>
      </c>
      <c r="BN501" s="57" t="n">
        <v>262</v>
      </c>
      <c r="BO501" s="55"/>
      <c r="BP501" s="60" t="n">
        <v>0</v>
      </c>
      <c r="BQ501" s="60" t="n">
        <v>501</v>
      </c>
      <c r="BR501" s="55" t="str">
        <f aca="false">IF(U501&lt;&gt;"",UPPER(TRIM(U501)),IF(BU501=1,UPPER(VLOOKUP(T501,Parameter!$I$27:$K$29,2,0)),IF(P501="","LOSE",P501)))</f>
        <v>S51</v>
      </c>
      <c r="BS501" s="57" t="n">
        <f aca="false">IF(BR501="LOSE",1,IF(N(V501)&gt;0,V501,IF(BU501=1,MAX(1,N(VLOOKUP(T501,Parameter!$I$27:$K$29,3,0)),H501,N(N501)),IF(N(Q501)&gt;0,Q501,MAX(1,H501)))))</f>
        <v>454</v>
      </c>
      <c r="BT501" s="60" t="n">
        <f aca="false">IF(BR501="LOSE",1,0)</f>
        <v>0</v>
      </c>
      <c r="BU501" s="60" t="n">
        <f aca="false">IF(AND(U501="",OR(P501="",P501="LOSE"),T501&lt;&gt;"",N(S501)&lt;=0,ISNUMBER(MATCH(T501,Parameter!$I$27:$I$29,0))),1,0)</f>
        <v>0</v>
      </c>
      <c r="BV501" s="55" t="str">
        <f aca="false">IF(AND(Parameter!$B$19="Ja",E501&lt;&gt;"",ISNUMBER(MATCH(E501,Parameter!$I$35:$I$52,0))),VLOOKUP(E501,Parameter!$I$35:$J$52,2,0),IFERROR(VLOOKUP(D501,Parameter!$A$35:$C$64,2,0),"Nein"))</f>
        <v>2+3</v>
      </c>
      <c r="BW501" s="59" t="n">
        <f aca="false">IF(BT501=0,0,IF(N(S501)&gt;0,S501,IFERROR(VLOOKUP(D501,Parameter!$A$35:$C$64,3,0)+0,0)))</f>
        <v>0</v>
      </c>
      <c r="BX501" s="55" t="n">
        <f aca="false">IF(AA501&lt;&gt;"",AA501,Z501)</f>
        <v>3</v>
      </c>
      <c r="BY501" s="55" t="str">
        <f aca="false">IF(BX501=1,"L1",IF(OR(BX501=2,BX501=3),"L23",IF(BX501="Aussen","Aussen","-")))</f>
        <v>L23</v>
      </c>
      <c r="BZ501" s="66" t="n">
        <f aca="false">IF(N(AB501)&gt;0,AB501,0)</f>
        <v>0</v>
      </c>
      <c r="CA501" s="60" t="n">
        <f aca="false">IF(ISNUMBER(AE501),1,0)</f>
        <v>0</v>
      </c>
      <c r="CB501" s="57" t="n">
        <f aca="false">N(AE501)</f>
        <v>0</v>
      </c>
      <c r="CC501" s="57" t="n">
        <f aca="false">N(M501)+N(N501)</f>
        <v>115</v>
      </c>
      <c r="CD501" s="57" t="n">
        <f aca="false">ROUNDUP(H501/BS501,0)</f>
        <v>1</v>
      </c>
      <c r="CE501" s="57" t="n">
        <f aca="false">ROUNDUP(CB501/BS501,0)</f>
        <v>0</v>
      </c>
      <c r="CF501" s="60" t="n">
        <f aca="false">IF(BT501=1,0,IFERROR(VLOOKUP(BR501,'Gebinde-Kategorie'!$A$5:$M$45,5,0)+0,0))</f>
        <v>11</v>
      </c>
      <c r="CG501" s="60" t="n">
        <f aca="false">IFERROR(IF(OR(BX501=1,BX501=2,BX501=3),N(INDEX(Parameter!$I$5:$I$7,BX501)),0),0)</f>
        <v>0</v>
      </c>
      <c r="CH501" s="59" t="n">
        <f aca="false">IF(AND(Parameter!$B$21="Ja",ISNUMBER(W501),N(X501)&gt;0),IFERROR(N(INDEX(Parameter!$L$5:$L$7,W501))*INDEX(Parameter!$E$5:$E$7,W501)*X501/SUMIFS($X$7:$X$1843,$W$7:$W$1843,W501),0),0)</f>
        <v>0</v>
      </c>
    </row>
    <row r="502" customFormat="false" ht="15" hidden="false" customHeight="false" outlineLevel="0" collapsed="false">
      <c r="A502" s="55" t="s">
        <v>1101</v>
      </c>
      <c r="B502" s="55" t="s">
        <v>1102</v>
      </c>
      <c r="C502" s="55" t="s">
        <v>164</v>
      </c>
      <c r="D502" s="55" t="s">
        <v>184</v>
      </c>
      <c r="E502" s="55" t="s">
        <v>185</v>
      </c>
      <c r="F502" s="55" t="s">
        <v>218</v>
      </c>
      <c r="G502" s="56" t="n">
        <v>12.02</v>
      </c>
      <c r="H502" s="57" t="n">
        <f aca="false">MAX(0,IF(AND(Parameter!$B$21="Ja",ISNUMBER(Y502)),Y502,IF(Parameter!$B$20="Jahresanfang 2025 + Export",BL502+BK502,BK502)))</f>
        <v>25</v>
      </c>
      <c r="I502" s="57" t="n">
        <f aca="false">H502*G502</f>
        <v>300.5</v>
      </c>
      <c r="J502" s="57" t="n">
        <f aca="false">BN502*Parameter!$B$18</f>
        <v>30</v>
      </c>
      <c r="K502" s="58" t="n">
        <v>22.5</v>
      </c>
      <c r="L502" s="59" t="n">
        <v>1.33333333333333</v>
      </c>
      <c r="M502" s="57" t="n">
        <v>2</v>
      </c>
      <c r="N502" s="57" t="n">
        <v>30</v>
      </c>
      <c r="O502" s="60" t="n">
        <v>28</v>
      </c>
      <c r="P502" s="55" t="s">
        <v>426</v>
      </c>
      <c r="Q502" s="57" t="n">
        <v>22</v>
      </c>
      <c r="R502" s="60" t="n">
        <f aca="false">IF(BT502=1,0,IFERROR(VLOOKUP(BR502,'Gebinde-Kategorie'!$A$5:$M$45,13,0)+0,0))</f>
        <v>198</v>
      </c>
      <c r="S502" s="61"/>
      <c r="T502" s="62"/>
      <c r="U502" s="62"/>
      <c r="V502" s="62"/>
      <c r="W502" s="55"/>
      <c r="X502" s="57"/>
      <c r="Y502" s="57"/>
      <c r="Z502" s="55" t="n">
        <f aca="false">IF(A502="","",IF(AND(Parameter!$B$21="Ja",ISNUMBER(W502)),W502,IF(BV502="2+3",IF(ISNUMBER(SEARCH("grosser Artikel",BO502)),2,IFERROR(VLOOKUP(BR502,Parameter!$F$35:$G$64,2,0),2)),IF(OR(BV502="Nein",BV502=""),"-",BV502))))</f>
        <v>3</v>
      </c>
      <c r="AA502" s="62"/>
      <c r="AB502" s="63"/>
      <c r="AC502" s="57" t="n">
        <f aca="false">AR502</f>
        <v>44</v>
      </c>
      <c r="AD502" s="57" t="n">
        <f aca="false">MAX(AR502,H502)</f>
        <v>44</v>
      </c>
      <c r="AE502" s="64"/>
      <c r="AF502" s="57" t="n">
        <f aca="false">IF(LEFT(Cockpit!$C$5,1)="A",H502,IF(CA502=1,CB502,IF(LEFT(Cockpit!$C$5,1)="B",AJ502,MAX(AJ502,H502))))</f>
        <v>25</v>
      </c>
      <c r="AG502" s="57" t="n">
        <f aca="false">IF(BT502=1,0,ROUNDUP(AF502/BS502,0))</f>
        <v>2</v>
      </c>
      <c r="AH502" s="59" t="n">
        <f aca="false">IF(CH502&gt;0,CH502*MAX(1,AF502/X502),IF(BT502=1,IF(AF502&lt;=0,0,BW502*MAX(1,IF(H502&gt;0,AF502/H502,1))),IF(R502&gt;0,AG502/R502,0))/MAX(0.1,N(Parameter!$M$21)))</f>
        <v>0.0101010101010101</v>
      </c>
      <c r="AI502" s="57" t="n">
        <f aca="false">AF502*G502</f>
        <v>300.5</v>
      </c>
      <c r="AJ502" s="57" t="n">
        <f aca="false">ROUNDUP(MAX(J502/IF(BZ502&gt;0,BZ502,MAX(0.1,N(Cockpit!$C$6))),CC502)/BS502,0)*BS502</f>
        <v>44</v>
      </c>
      <c r="AK502" s="58" t="n">
        <f aca="false">IF(AH502&gt;0,J502/AH502,-1)</f>
        <v>2970</v>
      </c>
      <c r="AL502" s="58" t="n">
        <f aca="false">IF(AND(OR(BY502="L1",BY502="L23"),AH502&gt;0),SUMIFS($AH$7:$AH$1843,$BY$7:$BY$1843,BY502,$AK$7:$AK$1843,"&gt;"&amp;AK502)+SUMIFS($AH$7:$AH$1843,$BY$7:$BY$1843,BY502,$AK$7:$AK$1843,AK502,$BQ$7:$BQ$1843,"&lt;="&amp;BQ502),"")</f>
        <v>10.6979662849228</v>
      </c>
      <c r="AM502" s="65" t="n">
        <f aca="false">IF(AL502="",0,MAX(0,MIN(1,(IF(BY502="L1",Parameter!$E$5,Parameter!$E$6+Parameter!$E$7)-(AL502-AH502))/AH502)))</f>
        <v>1</v>
      </c>
      <c r="AN502" s="57" t="n">
        <f aca="false">IF(LEFT(Cockpit!$I$5,1)="A",H502,IF(CA502=1,CB502,IF(LEFT(Cockpit!$I$5,1)="B",AR502,MAX(AR502,H502))))</f>
        <v>44</v>
      </c>
      <c r="AO502" s="57" t="n">
        <f aca="false">IF(BT502=1,0,ROUNDUP(AN502/BS502,0))</f>
        <v>2</v>
      </c>
      <c r="AP502" s="59" t="n">
        <f aca="false">IF(CH502&gt;0,CH502*MAX(1,AN502/X502),IF(BT502=1,IF(AN502&lt;=0,0,BW502*MAX(1,IF(H502&gt;0,AN502/H502,1))),IF(R502&gt;0,AO502/R502,0))/MAX(0.1,N(Parameter!$M$21)))</f>
        <v>0.0101010101010101</v>
      </c>
      <c r="AQ502" s="57" t="n">
        <f aca="false">AN502*G502</f>
        <v>528.88</v>
      </c>
      <c r="AR502" s="57" t="n">
        <f aca="false">ROUNDUP(MAX(J502/IF(BZ502&gt;0,BZ502,MAX(0.1,N(Cockpit!$I$6))),CC502)/BS502,0)*BS502</f>
        <v>44</v>
      </c>
      <c r="AS502" s="58" t="n">
        <f aca="false">IF(AP502&gt;0,J502/AP502,-1)</f>
        <v>2970</v>
      </c>
      <c r="AT502" s="58" t="n">
        <f aca="false">IF(AND(OR(BY502="L1",BY502="L23"),AP502&gt;0),SUMIFS($AP$7:$AP$1843,$BY$7:$BY$1843,BY502,$AS$7:$AS$1843,"&gt;"&amp;AS502)+SUMIFS($AP$7:$AP$1843,$BY$7:$BY$1843,BY502,$AS$7:$AS$1843,AS502,$BQ$7:$BQ$1843,"&lt;="&amp;BQ502),"")</f>
        <v>15.554457619675</v>
      </c>
      <c r="AU502" s="65" t="n">
        <f aca="false">IF(AT502="",0,MAX(0,MIN(1,(IF(BY502="L1",Parameter!$E$5,Parameter!$E$6+Parameter!$E$7)-(AT502-AP502))/AP502)))</f>
        <v>1</v>
      </c>
      <c r="AV502" s="57" t="n">
        <f aca="false">IF(LEFT(Cockpit!$O$5,1)="A",H502,IF(CA502=1,CB502,IF(LEFT(Cockpit!$O$5,1)="B",AZ502,MAX(AZ502,H502))))</f>
        <v>44</v>
      </c>
      <c r="AW502" s="57" t="n">
        <f aca="false">IF(BT502=1,0,ROUNDUP(AV502/BS502,0))</f>
        <v>2</v>
      </c>
      <c r="AX502" s="59" t="n">
        <f aca="false">IF(CH502&gt;0,CH502*MAX(1,AV502/X502),IF(BT502=1,IF(AV502&lt;=0,0,BW502*MAX(1,IF(H502&gt;0,AV502/H502,1))),IF(R502&gt;0,AW502/R502,0))/MAX(0.1,N(Parameter!$M$21)))</f>
        <v>0.0101010101010101</v>
      </c>
      <c r="AY502" s="57" t="n">
        <f aca="false">AV502*G502</f>
        <v>528.88</v>
      </c>
      <c r="AZ502" s="57" t="n">
        <f aca="false">ROUNDUP(MAX(J502/IF(BZ502&gt;0,BZ502,MAX(0.1,N(Cockpit!$O$6))),CC502)/BS502,0)*BS502</f>
        <v>44</v>
      </c>
      <c r="BA502" s="58" t="n">
        <f aca="false">IF(AX502&gt;0,J502/AX502,-1)</f>
        <v>2970</v>
      </c>
      <c r="BB502" s="58" t="n">
        <f aca="false">IF(AND(OR(BY502="L1",BY502="L23"),AX502&gt;0),SUMIFS($AX$7:$AX$1843,$BY$7:$BY$1843,BY502,$BA$7:$BA$1843,"&gt;"&amp;BA502)+SUMIFS($AX$7:$AX$1843,$BY$7:$BY$1843,BY502,$BA$7:$BA$1843,BA502,$BQ$7:$BQ$1843,"&lt;="&amp;BQ502),"")</f>
        <v>14.1214739366913</v>
      </c>
      <c r="BC502" s="65" t="n">
        <f aca="false">IF(BB502="",0,MAX(0,MIN(1,(IF(BY502="L1",Parameter!$E$5,Parameter!$E$6+Parameter!$E$7)-(BB502-AX502))/AX502)))</f>
        <v>1</v>
      </c>
      <c r="BD502" s="55" t="str">
        <f aca="false">IF(AH502&lt;=0,"",IF(BY502="Aussen","Aussenlager",IF(BY502="-","Nicht im Lift",IF(AM502&gt;=1,"Lift",IF(AM502&lt;=0,"Aussenlager","teilweise")))))</f>
        <v>Lift</v>
      </c>
      <c r="BE502" s="55" t="str">
        <f aca="false">IF(AP502&lt;=0,"",IF(BY502="Aussen","Aussenlager",IF(BY502="-","Nicht im Lift",IF(AU502&gt;=1,"Lift",IF(AU502&lt;=0,"Aussenlager","teilweise")))))</f>
        <v>Lift</v>
      </c>
      <c r="BF502" s="55" t="str">
        <f aca="false">IF(AX502&lt;=0,"",IF(BY502="Aussen","Aussenlager",IF(BY502="-","Nicht im Lift",IF(BC502&gt;=1,"Lift",IF(BC502&lt;=0,"Aussenlager","teilweise")))))</f>
        <v>Lift</v>
      </c>
      <c r="BG502" s="55" t="str">
        <f aca="false">IF(A502="","",IF(BP502=1,"Neu; ","")&amp;IF(AND(BP502=0,BK502&lt;0),"negativer Bestand (Export "&amp;BK502&amp;"); ","")&amp;IF(J502&lt;=0,"Kein Verbrauch; ","")&amp;IF(CH502&gt;0,"Lift "&amp;W502&amp;" lt. Liftbericht (Fach "&amp;X502&amp;" Stk); ",IF(BU502=1,"Gebinde geschätzt ("&amp;T502&amp;"); ",IF(BT502=1,"Lose – Tablare geschätzt; ","")))&amp;IF(H502&gt;AR502,"Überbestand "&amp;ROUND(H502-AR502,0)&amp;" Stk / CHF "&amp;ROUND((H502-AR502)*G502,0)&amp;"; ","")&amp;IF(AND(CA502=1,CB502&lt;CC502),"MAX &lt; MB+LG; ","")&amp;IF(AND(CG502&gt;0,CF502*10&gt;CG502),"zu hoch für Tablar; ","")&amp;IF(AND(BP502=0,OR(CA502=1,AA502&lt;&gt;"",U502&lt;&gt;"",V502&lt;&gt;"",AB502&lt;&gt;"")),"manuell übersteuert; ","")&amp;IF(AND(BT502=0,R502=0),"Gebinde unbekannt / Stellmass fehlt; ","")&amp;IF(AND(BT502=0,N(V502)&lt;=0,N(Q502)&lt;=0),"Menge pro Gebinde fehlt (Ist = 1 Gebinde); ","")&amp;BO502)</f>
        <v/>
      </c>
      <c r="BH502" s="55"/>
      <c r="BI502" s="55"/>
      <c r="BJ502" s="62"/>
      <c r="BK502" s="57" t="n">
        <v>0</v>
      </c>
      <c r="BL502" s="57" t="n">
        <v>25</v>
      </c>
      <c r="BM502" s="56" t="n">
        <v>36.4999999999999</v>
      </c>
      <c r="BN502" s="57" t="n">
        <v>30</v>
      </c>
      <c r="BO502" s="55"/>
      <c r="BP502" s="60" t="n">
        <v>0</v>
      </c>
      <c r="BQ502" s="60" t="n">
        <v>502</v>
      </c>
      <c r="BR502" s="55" t="str">
        <f aca="false">IF(U502&lt;&gt;"",UPPER(TRIM(U502)),IF(BU502=1,UPPER(VLOOKUP(T502,Parameter!$I$27:$K$29,2,0)),IF(P502="","LOSE",P502)))</f>
        <v>S22</v>
      </c>
      <c r="BS502" s="57" t="n">
        <f aca="false">IF(BR502="LOSE",1,IF(N(V502)&gt;0,V502,IF(BU502=1,MAX(1,N(VLOOKUP(T502,Parameter!$I$27:$K$29,3,0)),H502,N(N502)),IF(N(Q502)&gt;0,Q502,MAX(1,H502)))))</f>
        <v>22</v>
      </c>
      <c r="BT502" s="60" t="n">
        <f aca="false">IF(BR502="LOSE",1,0)</f>
        <v>0</v>
      </c>
      <c r="BU502" s="60" t="n">
        <f aca="false">IF(AND(U502="",OR(P502="",P502="LOSE"),T502&lt;&gt;"",N(S502)&lt;=0,ISNUMBER(MATCH(T502,Parameter!$I$27:$I$29,0))),1,0)</f>
        <v>0</v>
      </c>
      <c r="BV502" s="55" t="str">
        <f aca="false">IF(AND(Parameter!$B$19="Ja",E502&lt;&gt;"",ISNUMBER(MATCH(E502,Parameter!$I$35:$I$52,0))),VLOOKUP(E502,Parameter!$I$35:$J$52,2,0),IFERROR(VLOOKUP(D502,Parameter!$A$35:$C$64,2,0),"Nein"))</f>
        <v>2+3</v>
      </c>
      <c r="BW502" s="59" t="n">
        <f aca="false">IF(BT502=0,0,IF(N(S502)&gt;0,S502,IFERROR(VLOOKUP(D502,Parameter!$A$35:$C$64,3,0)+0,0)))</f>
        <v>0</v>
      </c>
      <c r="BX502" s="55" t="n">
        <f aca="false">IF(AA502&lt;&gt;"",AA502,Z502)</f>
        <v>3</v>
      </c>
      <c r="BY502" s="55" t="str">
        <f aca="false">IF(BX502=1,"L1",IF(OR(BX502=2,BX502=3),"L23",IF(BX502="Aussen","Aussen","-")))</f>
        <v>L23</v>
      </c>
      <c r="BZ502" s="66" t="n">
        <f aca="false">IF(N(AB502)&gt;0,AB502,0)</f>
        <v>0</v>
      </c>
      <c r="CA502" s="60" t="n">
        <f aca="false">IF(ISNUMBER(AE502),1,0)</f>
        <v>0</v>
      </c>
      <c r="CB502" s="57" t="n">
        <f aca="false">N(AE502)</f>
        <v>0</v>
      </c>
      <c r="CC502" s="57" t="n">
        <f aca="false">N(M502)+N(N502)</f>
        <v>32</v>
      </c>
      <c r="CD502" s="57" t="n">
        <f aca="false">ROUNDUP(H502/BS502,0)</f>
        <v>2</v>
      </c>
      <c r="CE502" s="57" t="n">
        <f aca="false">ROUNDUP(CB502/BS502,0)</f>
        <v>0</v>
      </c>
      <c r="CF502" s="60" t="n">
        <f aca="false">IF(BT502=1,0,IFERROR(VLOOKUP(BR502,'Gebinde-Kategorie'!$A$5:$M$45,5,0)+0,0))</f>
        <v>8</v>
      </c>
      <c r="CG502" s="60" t="n">
        <f aca="false">IFERROR(IF(OR(BX502=1,BX502=2,BX502=3),N(INDEX(Parameter!$I$5:$I$7,BX502)),0),0)</f>
        <v>0</v>
      </c>
      <c r="CH502" s="59" t="n">
        <f aca="false">IF(AND(Parameter!$B$21="Ja",ISNUMBER(W502),N(X502)&gt;0),IFERROR(N(INDEX(Parameter!$L$5:$L$7,W502))*INDEX(Parameter!$E$5:$E$7,W502)*X502/SUMIFS($X$7:$X$1843,$W$7:$W$1843,W502),0),0)</f>
        <v>0</v>
      </c>
    </row>
    <row r="503" customFormat="false" ht="15" hidden="false" customHeight="false" outlineLevel="0" collapsed="false">
      <c r="A503" s="55" t="s">
        <v>1103</v>
      </c>
      <c r="B503" s="55" t="s">
        <v>1104</v>
      </c>
      <c r="C503" s="55" t="s">
        <v>164</v>
      </c>
      <c r="D503" s="55" t="s">
        <v>184</v>
      </c>
      <c r="E503" s="55" t="s">
        <v>185</v>
      </c>
      <c r="F503" s="55" t="s">
        <v>218</v>
      </c>
      <c r="G503" s="56" t="n">
        <v>2.38</v>
      </c>
      <c r="H503" s="57" t="n">
        <f aca="false">MAX(0,IF(AND(Parameter!$B$21="Ja",ISNUMBER(Y503)),Y503,IF(Parameter!$B$20="Jahresanfang 2025 + Export",BL503+BK503,BK503)))</f>
        <v>120</v>
      </c>
      <c r="I503" s="57" t="n">
        <f aca="false">H503*G503</f>
        <v>285.6</v>
      </c>
      <c r="J503" s="57" t="n">
        <f aca="false">BN503*Parameter!$B$18</f>
        <v>0</v>
      </c>
      <c r="K503" s="58" t="n">
        <v>112.5</v>
      </c>
      <c r="L503" s="59" t="n">
        <v>0</v>
      </c>
      <c r="M503" s="57" t="n">
        <v>2</v>
      </c>
      <c r="N503" s="57" t="n">
        <v>50</v>
      </c>
      <c r="O503" s="60" t="n">
        <v>28</v>
      </c>
      <c r="P503" s="55" t="s">
        <v>328</v>
      </c>
      <c r="Q503" s="57" t="n">
        <v>106</v>
      </c>
      <c r="R503" s="60" t="n">
        <f aca="false">IF(BT503=1,0,IFERROR(VLOOKUP(BR503,'Gebinde-Kategorie'!$A$5:$M$45,13,0)+0,0))</f>
        <v>52</v>
      </c>
      <c r="S503" s="61"/>
      <c r="T503" s="62"/>
      <c r="U503" s="62"/>
      <c r="V503" s="62"/>
      <c r="W503" s="55"/>
      <c r="X503" s="57"/>
      <c r="Y503" s="57"/>
      <c r="Z503" s="55" t="n">
        <f aca="false">IF(A503="","",IF(AND(Parameter!$B$21="Ja",ISNUMBER(W503)),W503,IF(BV503="2+3",IF(ISNUMBER(SEARCH("grosser Artikel",BO503)),2,IFERROR(VLOOKUP(BR503,Parameter!$F$35:$G$64,2,0),2)),IF(OR(BV503="Nein",BV503=""),"-",BV503))))</f>
        <v>3</v>
      </c>
      <c r="AA503" s="62"/>
      <c r="AB503" s="63"/>
      <c r="AC503" s="57" t="n">
        <f aca="false">AR503</f>
        <v>106</v>
      </c>
      <c r="AD503" s="57" t="n">
        <f aca="false">MAX(AR503,H503)</f>
        <v>120</v>
      </c>
      <c r="AE503" s="64"/>
      <c r="AF503" s="57" t="n">
        <f aca="false">IF(LEFT(Cockpit!$C$5,1)="A",H503,IF(CA503=1,CB503,IF(LEFT(Cockpit!$C$5,1)="B",AJ503,MAX(AJ503,H503))))</f>
        <v>120</v>
      </c>
      <c r="AG503" s="57" t="n">
        <f aca="false">IF(BT503=1,0,ROUNDUP(AF503/BS503,0))</f>
        <v>2</v>
      </c>
      <c r="AH503" s="59" t="n">
        <f aca="false">IF(CH503&gt;0,CH503*MAX(1,AF503/X503),IF(BT503=1,IF(AF503&lt;=0,0,BW503*MAX(1,IF(H503&gt;0,AF503/H503,1))),IF(R503&gt;0,AG503/R503,0))/MAX(0.1,N(Parameter!$M$21)))</f>
        <v>0.0384615384615385</v>
      </c>
      <c r="AI503" s="57" t="n">
        <f aca="false">AF503*G503</f>
        <v>285.6</v>
      </c>
      <c r="AJ503" s="57" t="n">
        <f aca="false">ROUNDUP(MAX(J503/IF(BZ503&gt;0,BZ503,MAX(0.1,N(Cockpit!$C$6))),CC503)/BS503,0)*BS503</f>
        <v>106</v>
      </c>
      <c r="AK503" s="58" t="n">
        <f aca="false">IF(AH503&gt;0,J503/AH503,-1)</f>
        <v>0</v>
      </c>
      <c r="AL503" s="58" t="n">
        <f aca="false">IF(AND(OR(BY503="L1",BY503="L23"),AH503&gt;0),SUMIFS($AH$7:$AH$1843,$BY$7:$BY$1843,BY503,$AK$7:$AK$1843,"&gt;"&amp;AK503)+SUMIFS($AH$7:$AH$1843,$BY$7:$BY$1843,BY503,$AK$7:$AK$1843,AK503,$BQ$7:$BQ$1843,"&lt;="&amp;BQ503),"")</f>
        <v>74.7082277625756</v>
      </c>
      <c r="AM503" s="65" t="n">
        <f aca="false">IF(AL503="",0,MAX(0,MIN(1,(IF(BY503="L1",Parameter!$E$5,Parameter!$E$6+Parameter!$E$7)-(AL503-AH503))/AH503)))</f>
        <v>1</v>
      </c>
      <c r="AN503" s="57" t="n">
        <f aca="false">IF(LEFT(Cockpit!$I$5,1)="A",H503,IF(CA503=1,CB503,IF(LEFT(Cockpit!$I$5,1)="B",AR503,MAX(AR503,H503))))</f>
        <v>120</v>
      </c>
      <c r="AO503" s="57" t="n">
        <f aca="false">IF(BT503=1,0,ROUNDUP(AN503/BS503,0))</f>
        <v>2</v>
      </c>
      <c r="AP503" s="59" t="n">
        <f aca="false">IF(CH503&gt;0,CH503*MAX(1,AN503/X503),IF(BT503=1,IF(AN503&lt;=0,0,BW503*MAX(1,IF(H503&gt;0,AN503/H503,1))),IF(R503&gt;0,AO503/R503,0))/MAX(0.1,N(Parameter!$M$21)))</f>
        <v>0.0384615384615385</v>
      </c>
      <c r="AQ503" s="57" t="n">
        <f aca="false">AN503*G503</f>
        <v>285.6</v>
      </c>
      <c r="AR503" s="57" t="n">
        <f aca="false">ROUNDUP(MAX(J503/IF(BZ503&gt;0,BZ503,MAX(0.1,N(Cockpit!$I$6))),CC503)/BS503,0)*BS503</f>
        <v>106</v>
      </c>
      <c r="AS503" s="58" t="n">
        <f aca="false">IF(AP503&gt;0,J503/AP503,-1)</f>
        <v>0</v>
      </c>
      <c r="AT503" s="58" t="n">
        <f aca="false">IF(AND(OR(BY503="L1",BY503="L23"),AP503&gt;0),SUMIFS($AP$7:$AP$1843,$BY$7:$BY$1843,BY503,$AS$7:$AS$1843,"&gt;"&amp;AS503)+SUMIFS($AP$7:$AP$1843,$BY$7:$BY$1843,BY503,$AS$7:$AS$1843,AS503,$BQ$7:$BQ$1843,"&lt;="&amp;BQ503),"")</f>
        <v>114.132351947569</v>
      </c>
      <c r="AU503" s="65" t="n">
        <f aca="false">IF(AT503="",0,MAX(0,MIN(1,(IF(BY503="L1",Parameter!$E$5,Parameter!$E$6+Parameter!$E$7)-(AT503-AP503))/AP503)))</f>
        <v>0</v>
      </c>
      <c r="AV503" s="57" t="n">
        <f aca="false">IF(LEFT(Cockpit!$O$5,1)="A",H503,IF(CA503=1,CB503,IF(LEFT(Cockpit!$O$5,1)="B",AZ503,MAX(AZ503,H503))))</f>
        <v>120</v>
      </c>
      <c r="AW503" s="57" t="n">
        <f aca="false">IF(BT503=1,0,ROUNDUP(AV503/BS503,0))</f>
        <v>2</v>
      </c>
      <c r="AX503" s="59" t="n">
        <f aca="false">IF(CH503&gt;0,CH503*MAX(1,AV503/X503),IF(BT503=1,IF(AV503&lt;=0,0,BW503*MAX(1,IF(H503&gt;0,AV503/H503,1))),IF(R503&gt;0,AW503/R503,0))/MAX(0.1,N(Parameter!$M$21)))</f>
        <v>0.0384615384615385</v>
      </c>
      <c r="AY503" s="57" t="n">
        <f aca="false">AV503*G503</f>
        <v>285.6</v>
      </c>
      <c r="AZ503" s="57" t="n">
        <f aca="false">ROUNDUP(MAX(J503/IF(BZ503&gt;0,BZ503,MAX(0.1,N(Cockpit!$O$6))),CC503)/BS503,0)*BS503</f>
        <v>106</v>
      </c>
      <c r="BA503" s="58" t="n">
        <f aca="false">IF(AX503&gt;0,J503/AX503,-1)</f>
        <v>0</v>
      </c>
      <c r="BB503" s="58" t="n">
        <f aca="false">IF(AND(OR(BY503="L1",BY503="L23"),AX503&gt;0),SUMIFS($AX$7:$AX$1843,$BY$7:$BY$1843,BY503,$BA$7:$BA$1843,"&gt;"&amp;BA503)+SUMIFS($AX$7:$AX$1843,$BY$7:$BY$1843,BY503,$BA$7:$BA$1843,BA503,$BQ$7:$BQ$1843,"&lt;="&amp;BQ503),"")</f>
        <v>104.962188777406</v>
      </c>
      <c r="BC503" s="65" t="n">
        <f aca="false">IF(BB503="",0,MAX(0,MIN(1,(IF(BY503="L1",Parameter!$E$5,Parameter!$E$6+Parameter!$E$7)-(BB503-AX503))/AX503)))</f>
        <v>0</v>
      </c>
      <c r="BD503" s="55" t="str">
        <f aca="false">IF(AH503&lt;=0,"",IF(BY503="Aussen","Aussenlager",IF(BY503="-","Nicht im Lift",IF(AM503&gt;=1,"Lift",IF(AM503&lt;=0,"Aussenlager","teilweise")))))</f>
        <v>Lift</v>
      </c>
      <c r="BE503" s="55" t="str">
        <f aca="false">IF(AP503&lt;=0,"",IF(BY503="Aussen","Aussenlager",IF(BY503="-","Nicht im Lift",IF(AU503&gt;=1,"Lift",IF(AU503&lt;=0,"Aussenlager","teilweise")))))</f>
        <v>Aussenlager</v>
      </c>
      <c r="BF503" s="55" t="str">
        <f aca="false">IF(AX503&lt;=0,"",IF(BY503="Aussen","Aussenlager",IF(BY503="-","Nicht im Lift",IF(BC503&gt;=1,"Lift",IF(BC503&lt;=0,"Aussenlager","teilweise")))))</f>
        <v>Aussenlager</v>
      </c>
      <c r="BG503" s="55" t="str">
        <f aca="false">IF(A503="","",IF(BP503=1,"Neu; ","")&amp;IF(AND(BP503=0,BK503&lt;0),"negativer Bestand (Export "&amp;BK503&amp;"); ","")&amp;IF(J503&lt;=0,"Kein Verbrauch; ","")&amp;IF(CH503&gt;0,"Lift "&amp;W503&amp;" lt. Liftbericht (Fach "&amp;X503&amp;" Stk); ",IF(BU503=1,"Gebinde geschätzt ("&amp;T503&amp;"); ",IF(BT503=1,"Lose – Tablare geschätzt; ","")))&amp;IF(H503&gt;AR503,"Überbestand "&amp;ROUND(H503-AR503,0)&amp;" Stk / CHF "&amp;ROUND((H503-AR503)*G503,0)&amp;"; ","")&amp;IF(AND(CA503=1,CB503&lt;CC503),"MAX &lt; MB+LG; ","")&amp;IF(AND(CG503&gt;0,CF503*10&gt;CG503),"zu hoch für Tablar; ","")&amp;IF(AND(BP503=0,OR(CA503=1,AA503&lt;&gt;"",U503&lt;&gt;"",V503&lt;&gt;"",AB503&lt;&gt;"")),"manuell übersteuert; ","")&amp;IF(AND(BT503=0,R503=0),"Gebinde unbekannt / Stellmass fehlt; ","")&amp;IF(AND(BT503=0,N(V503)&lt;=0,N(Q503)&lt;=0),"Menge pro Gebinde fehlt (Ist = 1 Gebinde); ","")&amp;BO503)</f>
        <v>Kein Verbrauch; Überbestand 14 Stk / CHF 33; Neu</v>
      </c>
      <c r="BH503" s="55"/>
      <c r="BI503" s="55"/>
      <c r="BJ503" s="62"/>
      <c r="BK503" s="57" t="n">
        <v>15</v>
      </c>
      <c r="BL503" s="57" t="n">
        <v>105</v>
      </c>
      <c r="BM503" s="56" t="n">
        <v>35.7</v>
      </c>
      <c r="BN503" s="57" t="n">
        <v>0</v>
      </c>
      <c r="BO503" s="55" t="s">
        <v>626</v>
      </c>
      <c r="BP503" s="60" t="n">
        <v>0</v>
      </c>
      <c r="BQ503" s="60" t="n">
        <v>503</v>
      </c>
      <c r="BR503" s="55" t="str">
        <f aca="false">IF(U503&lt;&gt;"",UPPER(TRIM(U503)),IF(BU503=1,UPPER(VLOOKUP(T503,Parameter!$I$27:$K$29,2,0)),IF(P503="","LOSE",P503)))</f>
        <v>S41</v>
      </c>
      <c r="BS503" s="57" t="n">
        <f aca="false">IF(BR503="LOSE",1,IF(N(V503)&gt;0,V503,IF(BU503=1,MAX(1,N(VLOOKUP(T503,Parameter!$I$27:$K$29,3,0)),H503,N(N503)),IF(N(Q503)&gt;0,Q503,MAX(1,H503)))))</f>
        <v>106</v>
      </c>
      <c r="BT503" s="60" t="n">
        <f aca="false">IF(BR503="LOSE",1,0)</f>
        <v>0</v>
      </c>
      <c r="BU503" s="60" t="n">
        <f aca="false">IF(AND(U503="",OR(P503="",P503="LOSE"),T503&lt;&gt;"",N(S503)&lt;=0,ISNUMBER(MATCH(T503,Parameter!$I$27:$I$29,0))),1,0)</f>
        <v>0</v>
      </c>
      <c r="BV503" s="55" t="str">
        <f aca="false">IF(AND(Parameter!$B$19="Ja",E503&lt;&gt;"",ISNUMBER(MATCH(E503,Parameter!$I$35:$I$52,0))),VLOOKUP(E503,Parameter!$I$35:$J$52,2,0),IFERROR(VLOOKUP(D503,Parameter!$A$35:$C$64,2,0),"Nein"))</f>
        <v>2+3</v>
      </c>
      <c r="BW503" s="59" t="n">
        <f aca="false">IF(BT503=0,0,IF(N(S503)&gt;0,S503,IFERROR(VLOOKUP(D503,Parameter!$A$35:$C$64,3,0)+0,0)))</f>
        <v>0</v>
      </c>
      <c r="BX503" s="55" t="n">
        <f aca="false">IF(AA503&lt;&gt;"",AA503,Z503)</f>
        <v>3</v>
      </c>
      <c r="BY503" s="55" t="str">
        <f aca="false">IF(BX503=1,"L1",IF(OR(BX503=2,BX503=3),"L23",IF(BX503="Aussen","Aussen","-")))</f>
        <v>L23</v>
      </c>
      <c r="BZ503" s="66" t="n">
        <f aca="false">IF(N(AB503)&gt;0,AB503,0)</f>
        <v>0</v>
      </c>
      <c r="CA503" s="60" t="n">
        <f aca="false">IF(ISNUMBER(AE503),1,0)</f>
        <v>0</v>
      </c>
      <c r="CB503" s="57" t="n">
        <f aca="false">N(AE503)</f>
        <v>0</v>
      </c>
      <c r="CC503" s="57" t="n">
        <f aca="false">N(M503)+N(N503)</f>
        <v>52</v>
      </c>
      <c r="CD503" s="57" t="n">
        <f aca="false">ROUNDUP(H503/BS503,0)</f>
        <v>2</v>
      </c>
      <c r="CE503" s="57" t="n">
        <f aca="false">ROUNDUP(CB503/BS503,0)</f>
        <v>0</v>
      </c>
      <c r="CF503" s="60" t="n">
        <f aca="false">IF(BT503=1,0,IFERROR(VLOOKUP(BR503,'Gebinde-Kategorie'!$A$5:$M$45,5,0)+0,0))</f>
        <v>11</v>
      </c>
      <c r="CG503" s="60" t="n">
        <f aca="false">IFERROR(IF(OR(BX503=1,BX503=2,BX503=3),N(INDEX(Parameter!$I$5:$I$7,BX503)),0),0)</f>
        <v>0</v>
      </c>
      <c r="CH503" s="59" t="n">
        <f aca="false">IF(AND(Parameter!$B$21="Ja",ISNUMBER(W503),N(X503)&gt;0),IFERROR(N(INDEX(Parameter!$L$5:$L$7,W503))*INDEX(Parameter!$E$5:$E$7,W503)*X503/SUMIFS($X$7:$X$1843,$W$7:$W$1843,W503),0),0)</f>
        <v>0</v>
      </c>
    </row>
    <row r="504" customFormat="false" ht="15" hidden="false" customHeight="false" outlineLevel="0" collapsed="false">
      <c r="A504" s="55" t="s">
        <v>1105</v>
      </c>
      <c r="B504" s="55" t="s">
        <v>1106</v>
      </c>
      <c r="C504" s="55" t="s">
        <v>164</v>
      </c>
      <c r="D504" s="55" t="s">
        <v>184</v>
      </c>
      <c r="E504" s="55" t="s">
        <v>185</v>
      </c>
      <c r="F504" s="55" t="s">
        <v>218</v>
      </c>
      <c r="G504" s="56" t="n">
        <v>0.21</v>
      </c>
      <c r="H504" s="57" t="n">
        <f aca="false">MAX(0,IF(AND(Parameter!$B$21="Ja",ISNUMBER(Y504)),Y504,IF(Parameter!$B$20="Jahresanfang 2025 + Export",BL504+BK504,BK504)))</f>
        <v>1570</v>
      </c>
      <c r="I504" s="57" t="n">
        <f aca="false">H504*G504</f>
        <v>329.7</v>
      </c>
      <c r="J504" s="57" t="n">
        <f aca="false">BN504*Parameter!$B$18</f>
        <v>0</v>
      </c>
      <c r="K504" s="58" t="n">
        <v>1200</v>
      </c>
      <c r="L504" s="59" t="n">
        <v>0</v>
      </c>
      <c r="M504" s="57" t="n">
        <v>0</v>
      </c>
      <c r="N504" s="57" t="n">
        <v>1</v>
      </c>
      <c r="O504" s="60" t="n">
        <v>14</v>
      </c>
      <c r="P504" s="55" t="s">
        <v>426</v>
      </c>
      <c r="Q504" s="57" t="n">
        <v>8000</v>
      </c>
      <c r="R504" s="60" t="n">
        <f aca="false">IF(BT504=1,0,IFERROR(VLOOKUP(BR504,'Gebinde-Kategorie'!$A$5:$M$45,13,0)+0,0))</f>
        <v>198</v>
      </c>
      <c r="S504" s="61"/>
      <c r="T504" s="62"/>
      <c r="U504" s="62"/>
      <c r="V504" s="62"/>
      <c r="W504" s="55"/>
      <c r="X504" s="57"/>
      <c r="Y504" s="57"/>
      <c r="Z504" s="55" t="n">
        <f aca="false">IF(A504="","",IF(AND(Parameter!$B$21="Ja",ISNUMBER(W504)),W504,IF(BV504="2+3",IF(ISNUMBER(SEARCH("grosser Artikel",BO504)),2,IFERROR(VLOOKUP(BR504,Parameter!$F$35:$G$64,2,0),2)),IF(OR(BV504="Nein",BV504=""),"-",BV504))))</f>
        <v>3</v>
      </c>
      <c r="AA504" s="62"/>
      <c r="AB504" s="63"/>
      <c r="AC504" s="57" t="n">
        <f aca="false">AR504</f>
        <v>8000</v>
      </c>
      <c r="AD504" s="57" t="n">
        <f aca="false">MAX(AR504,H504)</f>
        <v>8000</v>
      </c>
      <c r="AE504" s="64"/>
      <c r="AF504" s="57" t="n">
        <f aca="false">IF(LEFT(Cockpit!$C$5,1)="A",H504,IF(CA504=1,CB504,IF(LEFT(Cockpit!$C$5,1)="B",AJ504,MAX(AJ504,H504))))</f>
        <v>1570</v>
      </c>
      <c r="AG504" s="57" t="n">
        <f aca="false">IF(BT504=1,0,ROUNDUP(AF504/BS504,0))</f>
        <v>1</v>
      </c>
      <c r="AH504" s="59" t="n">
        <f aca="false">IF(CH504&gt;0,CH504*MAX(1,AF504/X504),IF(BT504=1,IF(AF504&lt;=0,0,BW504*MAX(1,IF(H504&gt;0,AF504/H504,1))),IF(R504&gt;0,AG504/R504,0))/MAX(0.1,N(Parameter!$M$21)))</f>
        <v>0.00505050505050505</v>
      </c>
      <c r="AI504" s="57" t="n">
        <f aca="false">AF504*G504</f>
        <v>329.7</v>
      </c>
      <c r="AJ504" s="57" t="n">
        <f aca="false">ROUNDUP(MAX(J504/IF(BZ504&gt;0,BZ504,MAX(0.1,N(Cockpit!$C$6))),CC504)/BS504,0)*BS504</f>
        <v>8000</v>
      </c>
      <c r="AK504" s="58" t="n">
        <f aca="false">IF(AH504&gt;0,J504/AH504,-1)</f>
        <v>0</v>
      </c>
      <c r="AL504" s="58" t="n">
        <f aca="false">IF(AND(OR(BY504="L1",BY504="L23"),AH504&gt;0),SUMIFS($AH$7:$AH$1843,$BY$7:$BY$1843,BY504,$AK$7:$AK$1843,"&gt;"&amp;AK504)+SUMIFS($AH$7:$AH$1843,$BY$7:$BY$1843,BY504,$AK$7:$AK$1843,AK504,$BQ$7:$BQ$1843,"&lt;="&amp;BQ504),"")</f>
        <v>74.7132782676261</v>
      </c>
      <c r="AM504" s="65" t="n">
        <f aca="false">IF(AL504="",0,MAX(0,MIN(1,(IF(BY504="L1",Parameter!$E$5,Parameter!$E$6+Parameter!$E$7)-(AL504-AH504))/AH504)))</f>
        <v>1</v>
      </c>
      <c r="AN504" s="57" t="n">
        <f aca="false">IF(LEFT(Cockpit!$I$5,1)="A",H504,IF(CA504=1,CB504,IF(LEFT(Cockpit!$I$5,1)="B",AR504,MAX(AR504,H504))))</f>
        <v>8000</v>
      </c>
      <c r="AO504" s="57" t="n">
        <f aca="false">IF(BT504=1,0,ROUNDUP(AN504/BS504,0))</f>
        <v>1</v>
      </c>
      <c r="AP504" s="59" t="n">
        <f aca="false">IF(CH504&gt;0,CH504*MAX(1,AN504/X504),IF(BT504=1,IF(AN504&lt;=0,0,BW504*MAX(1,IF(H504&gt;0,AN504/H504,1))),IF(R504&gt;0,AO504/R504,0))/MAX(0.1,N(Parameter!$M$21)))</f>
        <v>0.00505050505050505</v>
      </c>
      <c r="AQ504" s="57" t="n">
        <f aca="false">AN504*G504</f>
        <v>1680</v>
      </c>
      <c r="AR504" s="57" t="n">
        <f aca="false">ROUNDUP(MAX(J504/IF(BZ504&gt;0,BZ504,MAX(0.1,N(Cockpit!$I$6))),CC504)/BS504,0)*BS504</f>
        <v>8000</v>
      </c>
      <c r="AS504" s="58" t="n">
        <f aca="false">IF(AP504&gt;0,J504/AP504,-1)</f>
        <v>0</v>
      </c>
      <c r="AT504" s="58" t="n">
        <f aca="false">IF(AND(OR(BY504="L1",BY504="L23"),AP504&gt;0),SUMIFS($AP$7:$AP$1843,$BY$7:$BY$1843,BY504,$AS$7:$AS$1843,"&gt;"&amp;AS504)+SUMIFS($AP$7:$AP$1843,$BY$7:$BY$1843,BY504,$AS$7:$AS$1843,AS504,$BQ$7:$BQ$1843,"&lt;="&amp;BQ504),"")</f>
        <v>114.13740245262</v>
      </c>
      <c r="AU504" s="65" t="n">
        <f aca="false">IF(AT504="",0,MAX(0,MIN(1,(IF(BY504="L1",Parameter!$E$5,Parameter!$E$6+Parameter!$E$7)-(AT504-AP504))/AP504)))</f>
        <v>0</v>
      </c>
      <c r="AV504" s="57" t="n">
        <f aca="false">IF(LEFT(Cockpit!$O$5,1)="A",H504,IF(CA504=1,CB504,IF(LEFT(Cockpit!$O$5,1)="B",AZ504,MAX(AZ504,H504))))</f>
        <v>8000</v>
      </c>
      <c r="AW504" s="57" t="n">
        <f aca="false">IF(BT504=1,0,ROUNDUP(AV504/BS504,0))</f>
        <v>1</v>
      </c>
      <c r="AX504" s="59" t="n">
        <f aca="false">IF(CH504&gt;0,CH504*MAX(1,AV504/X504),IF(BT504=1,IF(AV504&lt;=0,0,BW504*MAX(1,IF(H504&gt;0,AV504/H504,1))),IF(R504&gt;0,AW504/R504,0))/MAX(0.1,N(Parameter!$M$21)))</f>
        <v>0.00505050505050505</v>
      </c>
      <c r="AY504" s="57" t="n">
        <f aca="false">AV504*G504</f>
        <v>1680</v>
      </c>
      <c r="AZ504" s="57" t="n">
        <f aca="false">ROUNDUP(MAX(J504/IF(BZ504&gt;0,BZ504,MAX(0.1,N(Cockpit!$O$6))),CC504)/BS504,0)*BS504</f>
        <v>8000</v>
      </c>
      <c r="BA504" s="58" t="n">
        <f aca="false">IF(AX504&gt;0,J504/AX504,-1)</f>
        <v>0</v>
      </c>
      <c r="BB504" s="58" t="n">
        <f aca="false">IF(AND(OR(BY504="L1",BY504="L23"),AX504&gt;0),SUMIFS($AX$7:$AX$1843,$BY$7:$BY$1843,BY504,$BA$7:$BA$1843,"&gt;"&amp;BA504)+SUMIFS($AX$7:$AX$1843,$BY$7:$BY$1843,BY504,$BA$7:$BA$1843,BA504,$BQ$7:$BQ$1843,"&lt;="&amp;BQ504),"")</f>
        <v>104.967239282457</v>
      </c>
      <c r="BC504" s="65" t="n">
        <f aca="false">IF(BB504="",0,MAX(0,MIN(1,(IF(BY504="L1",Parameter!$E$5,Parameter!$E$6+Parameter!$E$7)-(BB504-AX504))/AX504)))</f>
        <v>0</v>
      </c>
      <c r="BD504" s="55" t="str">
        <f aca="false">IF(AH504&lt;=0,"",IF(BY504="Aussen","Aussenlager",IF(BY504="-","Nicht im Lift",IF(AM504&gt;=1,"Lift",IF(AM504&lt;=0,"Aussenlager","teilweise")))))</f>
        <v>Lift</v>
      </c>
      <c r="BE504" s="55" t="str">
        <f aca="false">IF(AP504&lt;=0,"",IF(BY504="Aussen","Aussenlager",IF(BY504="-","Nicht im Lift",IF(AU504&gt;=1,"Lift",IF(AU504&lt;=0,"Aussenlager","teilweise")))))</f>
        <v>Aussenlager</v>
      </c>
      <c r="BF504" s="55" t="str">
        <f aca="false">IF(AX504&lt;=0,"",IF(BY504="Aussen","Aussenlager",IF(BY504="-","Nicht im Lift",IF(BC504&gt;=1,"Lift",IF(BC504&lt;=0,"Aussenlager","teilweise")))))</f>
        <v>Aussenlager</v>
      </c>
      <c r="BG504" s="55" t="str">
        <f aca="false">IF(A504="","",IF(BP504=1,"Neu; ","")&amp;IF(AND(BP504=0,BK504&lt;0),"negativer Bestand (Export "&amp;BK504&amp;"); ","")&amp;IF(J504&lt;=0,"Kein Verbrauch; ","")&amp;IF(CH504&gt;0,"Lift "&amp;W504&amp;" lt. Liftbericht (Fach "&amp;X504&amp;" Stk); ",IF(BU504=1,"Gebinde geschätzt ("&amp;T504&amp;"); ",IF(BT504=1,"Lose – Tablare geschätzt; ","")))&amp;IF(H504&gt;AR504,"Überbestand "&amp;ROUND(H504-AR504,0)&amp;" Stk / CHF "&amp;ROUND((H504-AR504)*G504,0)&amp;"; ","")&amp;IF(AND(CA504=1,CB504&lt;CC504),"MAX &lt; MB+LG; ","")&amp;IF(AND(CG504&gt;0,CF504*10&gt;CG504),"zu hoch für Tablar; ","")&amp;IF(AND(BP504=0,OR(CA504=1,AA504&lt;&gt;"",U504&lt;&gt;"",V504&lt;&gt;"",AB504&lt;&gt;"")),"manuell übersteuert; ","")&amp;IF(AND(BT504=0,R504=0),"Gebinde unbekannt / Stellmass fehlt; ","")&amp;IF(AND(BT504=0,N(V504)&lt;=0,N(Q504)&lt;=0),"Menge pro Gebinde fehlt (Ist = 1 Gebinde); ","")&amp;BO504)</f>
        <v>Kein Verbrauch; </v>
      </c>
      <c r="BH504" s="55"/>
      <c r="BI504" s="55"/>
      <c r="BJ504" s="62"/>
      <c r="BK504" s="57" t="n">
        <v>170</v>
      </c>
      <c r="BL504" s="57" t="n">
        <v>1400</v>
      </c>
      <c r="BM504" s="56" t="n">
        <v>35.7</v>
      </c>
      <c r="BN504" s="57" t="n">
        <v>0</v>
      </c>
      <c r="BO504" s="55"/>
      <c r="BP504" s="60" t="n">
        <v>0</v>
      </c>
      <c r="BQ504" s="60" t="n">
        <v>504</v>
      </c>
      <c r="BR504" s="55" t="str">
        <f aca="false">IF(U504&lt;&gt;"",UPPER(TRIM(U504)),IF(BU504=1,UPPER(VLOOKUP(T504,Parameter!$I$27:$K$29,2,0)),IF(P504="","LOSE",P504)))</f>
        <v>S22</v>
      </c>
      <c r="BS504" s="57" t="n">
        <f aca="false">IF(BR504="LOSE",1,IF(N(V504)&gt;0,V504,IF(BU504=1,MAX(1,N(VLOOKUP(T504,Parameter!$I$27:$K$29,3,0)),H504,N(N504)),IF(N(Q504)&gt;0,Q504,MAX(1,H504)))))</f>
        <v>8000</v>
      </c>
      <c r="BT504" s="60" t="n">
        <f aca="false">IF(BR504="LOSE",1,0)</f>
        <v>0</v>
      </c>
      <c r="BU504" s="60" t="n">
        <f aca="false">IF(AND(U504="",OR(P504="",P504="LOSE"),T504&lt;&gt;"",N(S504)&lt;=0,ISNUMBER(MATCH(T504,Parameter!$I$27:$I$29,0))),1,0)</f>
        <v>0</v>
      </c>
      <c r="BV504" s="55" t="str">
        <f aca="false">IF(AND(Parameter!$B$19="Ja",E504&lt;&gt;"",ISNUMBER(MATCH(E504,Parameter!$I$35:$I$52,0))),VLOOKUP(E504,Parameter!$I$35:$J$52,2,0),IFERROR(VLOOKUP(D504,Parameter!$A$35:$C$64,2,0),"Nein"))</f>
        <v>2+3</v>
      </c>
      <c r="BW504" s="59" t="n">
        <f aca="false">IF(BT504=0,0,IF(N(S504)&gt;0,S504,IFERROR(VLOOKUP(D504,Parameter!$A$35:$C$64,3,0)+0,0)))</f>
        <v>0</v>
      </c>
      <c r="BX504" s="55" t="n">
        <f aca="false">IF(AA504&lt;&gt;"",AA504,Z504)</f>
        <v>3</v>
      </c>
      <c r="BY504" s="55" t="str">
        <f aca="false">IF(BX504=1,"L1",IF(OR(BX504=2,BX504=3),"L23",IF(BX504="Aussen","Aussen","-")))</f>
        <v>L23</v>
      </c>
      <c r="BZ504" s="66" t="n">
        <f aca="false">IF(N(AB504)&gt;0,AB504,0)</f>
        <v>0</v>
      </c>
      <c r="CA504" s="60" t="n">
        <f aca="false">IF(ISNUMBER(AE504),1,0)</f>
        <v>0</v>
      </c>
      <c r="CB504" s="57" t="n">
        <f aca="false">N(AE504)</f>
        <v>0</v>
      </c>
      <c r="CC504" s="57" t="n">
        <f aca="false">N(M504)+N(N504)</f>
        <v>1</v>
      </c>
      <c r="CD504" s="57" t="n">
        <f aca="false">ROUNDUP(H504/BS504,0)</f>
        <v>1</v>
      </c>
      <c r="CE504" s="57" t="n">
        <f aca="false">ROUNDUP(CB504/BS504,0)</f>
        <v>0</v>
      </c>
      <c r="CF504" s="60" t="n">
        <f aca="false">IF(BT504=1,0,IFERROR(VLOOKUP(BR504,'Gebinde-Kategorie'!$A$5:$M$45,5,0)+0,0))</f>
        <v>8</v>
      </c>
      <c r="CG504" s="60" t="n">
        <f aca="false">IFERROR(IF(OR(BX504=1,BX504=2,BX504=3),N(INDEX(Parameter!$I$5:$I$7,BX504)),0),0)</f>
        <v>0</v>
      </c>
      <c r="CH504" s="59" t="n">
        <f aca="false">IF(AND(Parameter!$B$21="Ja",ISNUMBER(W504),N(X504)&gt;0),IFERROR(N(INDEX(Parameter!$L$5:$L$7,W504))*INDEX(Parameter!$E$5:$E$7,W504)*X504/SUMIFS($X$7:$X$1843,$W$7:$W$1843,W504),0),0)</f>
        <v>0</v>
      </c>
    </row>
    <row r="505" customFormat="false" ht="15" hidden="false" customHeight="false" outlineLevel="0" collapsed="false">
      <c r="A505" s="55" t="s">
        <v>1107</v>
      </c>
      <c r="B505" s="55" t="s">
        <v>1108</v>
      </c>
      <c r="C505" s="55" t="s">
        <v>164</v>
      </c>
      <c r="D505" s="55" t="s">
        <v>184</v>
      </c>
      <c r="E505" s="55" t="s">
        <v>185</v>
      </c>
      <c r="F505" s="55" t="s">
        <v>218</v>
      </c>
      <c r="G505" s="56" t="n">
        <v>17.5</v>
      </c>
      <c r="H505" s="57" t="n">
        <f aca="false">MAX(0,IF(AND(Parameter!$B$21="Ja",ISNUMBER(Y505)),Y505,IF(Parameter!$B$20="Jahresanfang 2025 + Export",BL505+BK505,BK505)))</f>
        <v>30</v>
      </c>
      <c r="I505" s="57" t="n">
        <f aca="false">H505*G505</f>
        <v>525</v>
      </c>
      <c r="J505" s="57" t="n">
        <f aca="false">BN505*Parameter!$B$18</f>
        <v>0</v>
      </c>
      <c r="K505" s="58" t="n">
        <v>29</v>
      </c>
      <c r="L505" s="59" t="n">
        <v>0</v>
      </c>
      <c r="M505" s="57" t="n">
        <v>0</v>
      </c>
      <c r="N505" s="57" t="n">
        <v>1</v>
      </c>
      <c r="O505" s="60" t="n">
        <v>35</v>
      </c>
      <c r="P505" s="55" t="s">
        <v>328</v>
      </c>
      <c r="Q505" s="57" t="n">
        <v>30</v>
      </c>
      <c r="R505" s="60" t="n">
        <f aca="false">IF(BT505=1,0,IFERROR(VLOOKUP(BR505,'Gebinde-Kategorie'!$A$5:$M$45,13,0)+0,0))</f>
        <v>52</v>
      </c>
      <c r="S505" s="61"/>
      <c r="T505" s="62"/>
      <c r="U505" s="62"/>
      <c r="V505" s="62"/>
      <c r="W505" s="55"/>
      <c r="X505" s="57"/>
      <c r="Y505" s="57"/>
      <c r="Z505" s="55" t="n">
        <f aca="false">IF(A505="","",IF(AND(Parameter!$B$21="Ja",ISNUMBER(W505)),W505,IF(BV505="2+3",IF(ISNUMBER(SEARCH("grosser Artikel",BO505)),2,IFERROR(VLOOKUP(BR505,Parameter!$F$35:$G$64,2,0),2)),IF(OR(BV505="Nein",BV505=""),"-",BV505))))</f>
        <v>3</v>
      </c>
      <c r="AA505" s="62"/>
      <c r="AB505" s="63"/>
      <c r="AC505" s="57" t="n">
        <f aca="false">AR505</f>
        <v>30</v>
      </c>
      <c r="AD505" s="57" t="n">
        <f aca="false">MAX(AR505,H505)</f>
        <v>30</v>
      </c>
      <c r="AE505" s="64"/>
      <c r="AF505" s="57" t="n">
        <f aca="false">IF(LEFT(Cockpit!$C$5,1)="A",H505,IF(CA505=1,CB505,IF(LEFT(Cockpit!$C$5,1)="B",AJ505,MAX(AJ505,H505))))</f>
        <v>30</v>
      </c>
      <c r="AG505" s="57" t="n">
        <f aca="false">IF(BT505=1,0,ROUNDUP(AF505/BS505,0))</f>
        <v>1</v>
      </c>
      <c r="AH505" s="59" t="n">
        <f aca="false">IF(CH505&gt;0,CH505*MAX(1,AF505/X505),IF(BT505=1,IF(AF505&lt;=0,0,BW505*MAX(1,IF(H505&gt;0,AF505/H505,1))),IF(R505&gt;0,AG505/R505,0))/MAX(0.1,N(Parameter!$M$21)))</f>
        <v>0.0192307692307692</v>
      </c>
      <c r="AI505" s="57" t="n">
        <f aca="false">AF505*G505</f>
        <v>525</v>
      </c>
      <c r="AJ505" s="57" t="n">
        <f aca="false">ROUNDUP(MAX(J505/IF(BZ505&gt;0,BZ505,MAX(0.1,N(Cockpit!$C$6))),CC505)/BS505,0)*BS505</f>
        <v>30</v>
      </c>
      <c r="AK505" s="58" t="n">
        <f aca="false">IF(AH505&gt;0,J505/AH505,-1)</f>
        <v>0</v>
      </c>
      <c r="AL505" s="58" t="n">
        <f aca="false">IF(AND(OR(BY505="L1",BY505="L23"),AH505&gt;0),SUMIFS($AH$7:$AH$1843,$BY$7:$BY$1843,BY505,$AK$7:$AK$1843,"&gt;"&amp;AK505)+SUMIFS($AH$7:$AH$1843,$BY$7:$BY$1843,BY505,$AK$7:$AK$1843,AK505,$BQ$7:$BQ$1843,"&lt;="&amp;BQ505),"")</f>
        <v>74.7325090368569</v>
      </c>
      <c r="AM505" s="65" t="n">
        <f aca="false">IF(AL505="",0,MAX(0,MIN(1,(IF(BY505="L1",Parameter!$E$5,Parameter!$E$6+Parameter!$E$7)-(AL505-AH505))/AH505)))</f>
        <v>1</v>
      </c>
      <c r="AN505" s="57" t="n">
        <f aca="false">IF(LEFT(Cockpit!$I$5,1)="A",H505,IF(CA505=1,CB505,IF(LEFT(Cockpit!$I$5,1)="B",AR505,MAX(AR505,H505))))</f>
        <v>30</v>
      </c>
      <c r="AO505" s="57" t="n">
        <f aca="false">IF(BT505=1,0,ROUNDUP(AN505/BS505,0))</f>
        <v>1</v>
      </c>
      <c r="AP505" s="59" t="n">
        <f aca="false">IF(CH505&gt;0,CH505*MAX(1,AN505/X505),IF(BT505=1,IF(AN505&lt;=0,0,BW505*MAX(1,IF(H505&gt;0,AN505/H505,1))),IF(R505&gt;0,AO505/R505,0))/MAX(0.1,N(Parameter!$M$21)))</f>
        <v>0.0192307692307692</v>
      </c>
      <c r="AQ505" s="57" t="n">
        <f aca="false">AN505*G505</f>
        <v>525</v>
      </c>
      <c r="AR505" s="57" t="n">
        <f aca="false">ROUNDUP(MAX(J505/IF(BZ505&gt;0,BZ505,MAX(0.1,N(Cockpit!$I$6))),CC505)/BS505,0)*BS505</f>
        <v>30</v>
      </c>
      <c r="AS505" s="58" t="n">
        <f aca="false">IF(AP505&gt;0,J505/AP505,-1)</f>
        <v>0</v>
      </c>
      <c r="AT505" s="58" t="n">
        <f aca="false">IF(AND(OR(BY505="L1",BY505="L23"),AP505&gt;0),SUMIFS($AP$7:$AP$1843,$BY$7:$BY$1843,BY505,$AS$7:$AS$1843,"&gt;"&amp;AS505)+SUMIFS($AP$7:$AP$1843,$BY$7:$BY$1843,BY505,$AS$7:$AS$1843,AS505,$BQ$7:$BQ$1843,"&lt;="&amp;BQ505),"")</f>
        <v>114.156633221851</v>
      </c>
      <c r="AU505" s="65" t="n">
        <f aca="false">IF(AT505="",0,MAX(0,MIN(1,(IF(BY505="L1",Parameter!$E$5,Parameter!$E$6+Parameter!$E$7)-(AT505-AP505))/AP505)))</f>
        <v>0</v>
      </c>
      <c r="AV505" s="57" t="n">
        <f aca="false">IF(LEFT(Cockpit!$O$5,1)="A",H505,IF(CA505=1,CB505,IF(LEFT(Cockpit!$O$5,1)="B",AZ505,MAX(AZ505,H505))))</f>
        <v>30</v>
      </c>
      <c r="AW505" s="57" t="n">
        <f aca="false">IF(BT505=1,0,ROUNDUP(AV505/BS505,0))</f>
        <v>1</v>
      </c>
      <c r="AX505" s="59" t="n">
        <f aca="false">IF(CH505&gt;0,CH505*MAX(1,AV505/X505),IF(BT505=1,IF(AV505&lt;=0,0,BW505*MAX(1,IF(H505&gt;0,AV505/H505,1))),IF(R505&gt;0,AW505/R505,0))/MAX(0.1,N(Parameter!$M$21)))</f>
        <v>0.0192307692307692</v>
      </c>
      <c r="AY505" s="57" t="n">
        <f aca="false">AV505*G505</f>
        <v>525</v>
      </c>
      <c r="AZ505" s="57" t="n">
        <f aca="false">ROUNDUP(MAX(J505/IF(BZ505&gt;0,BZ505,MAX(0.1,N(Cockpit!$O$6))),CC505)/BS505,0)*BS505</f>
        <v>30</v>
      </c>
      <c r="BA505" s="58" t="n">
        <f aca="false">IF(AX505&gt;0,J505/AX505,-1)</f>
        <v>0</v>
      </c>
      <c r="BB505" s="58" t="n">
        <f aca="false">IF(AND(OR(BY505="L1",BY505="L23"),AX505&gt;0),SUMIFS($AX$7:$AX$1843,$BY$7:$BY$1843,BY505,$BA$7:$BA$1843,"&gt;"&amp;BA505)+SUMIFS($AX$7:$AX$1843,$BY$7:$BY$1843,BY505,$BA$7:$BA$1843,BA505,$BQ$7:$BQ$1843,"&lt;="&amp;BQ505),"")</f>
        <v>104.986470051687</v>
      </c>
      <c r="BC505" s="65" t="n">
        <f aca="false">IF(BB505="",0,MAX(0,MIN(1,(IF(BY505="L1",Parameter!$E$5,Parameter!$E$6+Parameter!$E$7)-(BB505-AX505))/AX505)))</f>
        <v>0</v>
      </c>
      <c r="BD505" s="55" t="str">
        <f aca="false">IF(AH505&lt;=0,"",IF(BY505="Aussen","Aussenlager",IF(BY505="-","Nicht im Lift",IF(AM505&gt;=1,"Lift",IF(AM505&lt;=0,"Aussenlager","teilweise")))))</f>
        <v>Lift</v>
      </c>
      <c r="BE505" s="55" t="str">
        <f aca="false">IF(AP505&lt;=0,"",IF(BY505="Aussen","Aussenlager",IF(BY505="-","Nicht im Lift",IF(AU505&gt;=1,"Lift",IF(AU505&lt;=0,"Aussenlager","teilweise")))))</f>
        <v>Aussenlager</v>
      </c>
      <c r="BF505" s="55" t="str">
        <f aca="false">IF(AX505&lt;=0,"",IF(BY505="Aussen","Aussenlager",IF(BY505="-","Nicht im Lift",IF(BC505&gt;=1,"Lift",IF(BC505&lt;=0,"Aussenlager","teilweise")))))</f>
        <v>Aussenlager</v>
      </c>
      <c r="BG505" s="55" t="str">
        <f aca="false">IF(A505="","",IF(BP505=1,"Neu; ","")&amp;IF(AND(BP505=0,BK505&lt;0),"negativer Bestand (Export "&amp;BK505&amp;"); ","")&amp;IF(J505&lt;=0,"Kein Verbrauch; ","")&amp;IF(CH505&gt;0,"Lift "&amp;W505&amp;" lt. Liftbericht (Fach "&amp;X505&amp;" Stk); ",IF(BU505=1,"Gebinde geschätzt ("&amp;T505&amp;"); ",IF(BT505=1,"Lose – Tablare geschätzt; ","")))&amp;IF(H505&gt;AR505,"Überbestand "&amp;ROUND(H505-AR505,0)&amp;" Stk / CHF "&amp;ROUND((H505-AR505)*G505,0)&amp;"; ","")&amp;IF(AND(CA505=1,CB505&lt;CC505),"MAX &lt; MB+LG; ","")&amp;IF(AND(CG505&gt;0,CF505*10&gt;CG505),"zu hoch für Tablar; ","")&amp;IF(AND(BP505=0,OR(CA505=1,AA505&lt;&gt;"",U505&lt;&gt;"",V505&lt;&gt;"",AB505&lt;&gt;"")),"manuell übersteuert; ","")&amp;IF(AND(BT505=0,R505=0),"Gebinde unbekannt / Stellmass fehlt; ","")&amp;IF(AND(BT505=0,N(V505)&lt;=0,N(Q505)&lt;=0),"Menge pro Gebinde fehlt (Ist = 1 Gebinde); ","")&amp;BO505)</f>
        <v>Kein Verbrauch; </v>
      </c>
      <c r="BH505" s="55"/>
      <c r="BI505" s="55"/>
      <c r="BJ505" s="62"/>
      <c r="BK505" s="57" t="n">
        <v>2</v>
      </c>
      <c r="BL505" s="57" t="n">
        <v>28</v>
      </c>
      <c r="BM505" s="56" t="n">
        <v>35</v>
      </c>
      <c r="BN505" s="57" t="n">
        <v>0</v>
      </c>
      <c r="BO505" s="55"/>
      <c r="BP505" s="60" t="n">
        <v>0</v>
      </c>
      <c r="BQ505" s="60" t="n">
        <v>505</v>
      </c>
      <c r="BR505" s="55" t="str">
        <f aca="false">IF(U505&lt;&gt;"",UPPER(TRIM(U505)),IF(BU505=1,UPPER(VLOOKUP(T505,Parameter!$I$27:$K$29,2,0)),IF(P505="","LOSE",P505)))</f>
        <v>S41</v>
      </c>
      <c r="BS505" s="57" t="n">
        <f aca="false">IF(BR505="LOSE",1,IF(N(V505)&gt;0,V505,IF(BU505=1,MAX(1,N(VLOOKUP(T505,Parameter!$I$27:$K$29,3,0)),H505,N(N505)),IF(N(Q505)&gt;0,Q505,MAX(1,H505)))))</f>
        <v>30</v>
      </c>
      <c r="BT505" s="60" t="n">
        <f aca="false">IF(BR505="LOSE",1,0)</f>
        <v>0</v>
      </c>
      <c r="BU505" s="60" t="n">
        <f aca="false">IF(AND(U505="",OR(P505="",P505="LOSE"),T505&lt;&gt;"",N(S505)&lt;=0,ISNUMBER(MATCH(T505,Parameter!$I$27:$I$29,0))),1,0)</f>
        <v>0</v>
      </c>
      <c r="BV505" s="55" t="str">
        <f aca="false">IF(AND(Parameter!$B$19="Ja",E505&lt;&gt;"",ISNUMBER(MATCH(E505,Parameter!$I$35:$I$52,0))),VLOOKUP(E505,Parameter!$I$35:$J$52,2,0),IFERROR(VLOOKUP(D505,Parameter!$A$35:$C$64,2,0),"Nein"))</f>
        <v>2+3</v>
      </c>
      <c r="BW505" s="59" t="n">
        <f aca="false">IF(BT505=0,0,IF(N(S505)&gt;0,S505,IFERROR(VLOOKUP(D505,Parameter!$A$35:$C$64,3,0)+0,0)))</f>
        <v>0</v>
      </c>
      <c r="BX505" s="55" t="n">
        <f aca="false">IF(AA505&lt;&gt;"",AA505,Z505)</f>
        <v>3</v>
      </c>
      <c r="BY505" s="55" t="str">
        <f aca="false">IF(BX505=1,"L1",IF(OR(BX505=2,BX505=3),"L23",IF(BX505="Aussen","Aussen","-")))</f>
        <v>L23</v>
      </c>
      <c r="BZ505" s="66" t="n">
        <f aca="false">IF(N(AB505)&gt;0,AB505,0)</f>
        <v>0</v>
      </c>
      <c r="CA505" s="60" t="n">
        <f aca="false">IF(ISNUMBER(AE505),1,0)</f>
        <v>0</v>
      </c>
      <c r="CB505" s="57" t="n">
        <f aca="false">N(AE505)</f>
        <v>0</v>
      </c>
      <c r="CC505" s="57" t="n">
        <f aca="false">N(M505)+N(N505)</f>
        <v>1</v>
      </c>
      <c r="CD505" s="57" t="n">
        <f aca="false">ROUNDUP(H505/BS505,0)</f>
        <v>1</v>
      </c>
      <c r="CE505" s="57" t="n">
        <f aca="false">ROUNDUP(CB505/BS505,0)</f>
        <v>0</v>
      </c>
      <c r="CF505" s="60" t="n">
        <f aca="false">IF(BT505=1,0,IFERROR(VLOOKUP(BR505,'Gebinde-Kategorie'!$A$5:$M$45,5,0)+0,0))</f>
        <v>11</v>
      </c>
      <c r="CG505" s="60" t="n">
        <f aca="false">IFERROR(IF(OR(BX505=1,BX505=2,BX505=3),N(INDEX(Parameter!$I$5:$I$7,BX505)),0),0)</f>
        <v>0</v>
      </c>
      <c r="CH505" s="59" t="n">
        <f aca="false">IF(AND(Parameter!$B$21="Ja",ISNUMBER(W505),N(X505)&gt;0),IFERROR(N(INDEX(Parameter!$L$5:$L$7,W505))*INDEX(Parameter!$E$5:$E$7,W505)*X505/SUMIFS($X$7:$X$1843,$W$7:$W$1843,W505),0),0)</f>
        <v>0</v>
      </c>
    </row>
    <row r="506" customFormat="false" ht="15" hidden="false" customHeight="false" outlineLevel="0" collapsed="false">
      <c r="A506" s="55" t="s">
        <v>1109</v>
      </c>
      <c r="B506" s="55" t="s">
        <v>403</v>
      </c>
      <c r="C506" s="55" t="s">
        <v>164</v>
      </c>
      <c r="D506" s="55" t="s">
        <v>995</v>
      </c>
      <c r="E506" s="55"/>
      <c r="F506" s="55" t="s">
        <v>218</v>
      </c>
      <c r="G506" s="56" t="n">
        <v>0.82</v>
      </c>
      <c r="H506" s="57" t="n">
        <f aca="false">MAX(0,IF(AND(Parameter!$B$21="Ja",ISNUMBER(Y506)),Y506,IF(Parameter!$B$20="Jahresanfang 2025 + Export",BL506+BK506,BK506)))</f>
        <v>42</v>
      </c>
      <c r="I506" s="57" t="n">
        <f aca="false">H506*G506</f>
        <v>34.44</v>
      </c>
      <c r="J506" s="57" t="n">
        <f aca="false">BN506*Parameter!$B$18</f>
        <v>158</v>
      </c>
      <c r="K506" s="58" t="n">
        <v>21</v>
      </c>
      <c r="L506" s="59" t="n">
        <v>7.52380952380952</v>
      </c>
      <c r="M506" s="57" t="n">
        <v>0</v>
      </c>
      <c r="N506" s="57" t="n">
        <v>100</v>
      </c>
      <c r="O506" s="60" t="n">
        <v>21</v>
      </c>
      <c r="P506" s="55" t="s">
        <v>168</v>
      </c>
      <c r="Q506" s="57"/>
      <c r="R506" s="60" t="n">
        <f aca="false">IF(BT506=1,0,IFERROR(VLOOKUP(BR506,'Gebinde-Kategorie'!$A$5:$M$45,13,0)+0,0))</f>
        <v>0</v>
      </c>
      <c r="S506" s="61"/>
      <c r="T506" s="62"/>
      <c r="U506" s="62"/>
      <c r="V506" s="62"/>
      <c r="W506" s="55"/>
      <c r="X506" s="57"/>
      <c r="Y506" s="57"/>
      <c r="Z506" s="55" t="str">
        <f aca="false">IF(A506="","",IF(AND(Parameter!$B$21="Ja",ISNUMBER(W506)),W506,IF(BV506="2+3",IF(ISNUMBER(SEARCH("grosser Artikel",BO506)),2,IFERROR(VLOOKUP(BR506,Parameter!$F$35:$G$64,2,0),2)),IF(OR(BV506="Nein",BV506=""),"-",BV506))))</f>
        <v>-</v>
      </c>
      <c r="AA506" s="62"/>
      <c r="AB506" s="63"/>
      <c r="AC506" s="57" t="n">
        <f aca="false">AR506</f>
        <v>100</v>
      </c>
      <c r="AD506" s="57" t="n">
        <f aca="false">MAX(AR506,H506)</f>
        <v>100</v>
      </c>
      <c r="AE506" s="64"/>
      <c r="AF506" s="57" t="n">
        <f aca="false">IF(LEFT(Cockpit!$C$5,1)="A",H506,IF(CA506=1,CB506,IF(LEFT(Cockpit!$C$5,1)="B",AJ506,MAX(AJ506,H506))))</f>
        <v>42</v>
      </c>
      <c r="AG506" s="57" t="n">
        <f aca="false">IF(BT506=1,0,ROUNDUP(AF506/BS506,0))</f>
        <v>0</v>
      </c>
      <c r="AH506" s="59" t="n">
        <f aca="false">IF(CH506&gt;0,CH506*MAX(1,AF506/X506),IF(BT506=1,IF(AF506&lt;=0,0,BW506*MAX(1,IF(H506&gt;0,AF506/H506,1))),IF(R506&gt;0,AG506/R506,0))/MAX(0.1,N(Parameter!$M$21)))</f>
        <v>0.15</v>
      </c>
      <c r="AI506" s="57" t="n">
        <f aca="false">AF506*G506</f>
        <v>34.44</v>
      </c>
      <c r="AJ506" s="57" t="n">
        <f aca="false">ROUNDUP(MAX(J506/IF(BZ506&gt;0,BZ506,MAX(0.1,N(Cockpit!$C$6))),CC506)/BS506,0)*BS506</f>
        <v>100</v>
      </c>
      <c r="AK506" s="58" t="n">
        <f aca="false">IF(AH506&gt;0,J506/AH506,-1)</f>
        <v>1053.33333333333</v>
      </c>
      <c r="AL506" s="58" t="str">
        <f aca="false">IF(AND(OR(BY506="L1",BY506="L23"),AH506&gt;0),SUMIFS($AH$7:$AH$1843,$BY$7:$BY$1843,BY506,$AK$7:$AK$1843,"&gt;"&amp;AK506)+SUMIFS($AH$7:$AH$1843,$BY$7:$BY$1843,BY506,$AK$7:$AK$1843,AK506,$BQ$7:$BQ$1843,"&lt;="&amp;BQ506),"")</f>
        <v/>
      </c>
      <c r="AM506" s="65" t="n">
        <f aca="false">IF(AL506="",0,MAX(0,MIN(1,(IF(BY506="L1",Parameter!$E$5,Parameter!$E$6+Parameter!$E$7)-(AL506-AH506))/AH506)))</f>
        <v>0</v>
      </c>
      <c r="AN506" s="57" t="n">
        <f aca="false">IF(LEFT(Cockpit!$I$5,1)="A",H506,IF(CA506=1,CB506,IF(LEFT(Cockpit!$I$5,1)="B",AR506,MAX(AR506,H506))))</f>
        <v>100</v>
      </c>
      <c r="AO506" s="57" t="n">
        <f aca="false">IF(BT506=1,0,ROUNDUP(AN506/BS506,0))</f>
        <v>0</v>
      </c>
      <c r="AP506" s="59" t="n">
        <f aca="false">IF(CH506&gt;0,CH506*MAX(1,AN506/X506),IF(BT506=1,IF(AN506&lt;=0,0,BW506*MAX(1,IF(H506&gt;0,AN506/H506,1))),IF(R506&gt;0,AO506/R506,0))/MAX(0.1,N(Parameter!$M$21)))</f>
        <v>0.357142857142857</v>
      </c>
      <c r="AQ506" s="57" t="n">
        <f aca="false">AN506*G506</f>
        <v>82</v>
      </c>
      <c r="AR506" s="57" t="n">
        <f aca="false">ROUNDUP(MAX(J506/IF(BZ506&gt;0,BZ506,MAX(0.1,N(Cockpit!$I$6))),CC506)/BS506,0)*BS506</f>
        <v>100</v>
      </c>
      <c r="AS506" s="58" t="n">
        <f aca="false">IF(AP506&gt;0,J506/AP506,-1)</f>
        <v>442.4</v>
      </c>
      <c r="AT506" s="58" t="str">
        <f aca="false">IF(AND(OR(BY506="L1",BY506="L23"),AP506&gt;0),SUMIFS($AP$7:$AP$1843,$BY$7:$BY$1843,BY506,$AS$7:$AS$1843,"&gt;"&amp;AS506)+SUMIFS($AP$7:$AP$1843,$BY$7:$BY$1843,BY506,$AS$7:$AS$1843,AS506,$BQ$7:$BQ$1843,"&lt;="&amp;BQ506),"")</f>
        <v/>
      </c>
      <c r="AU506" s="65" t="n">
        <f aca="false">IF(AT506="",0,MAX(0,MIN(1,(IF(BY506="L1",Parameter!$E$5,Parameter!$E$6+Parameter!$E$7)-(AT506-AP506))/AP506)))</f>
        <v>0</v>
      </c>
      <c r="AV506" s="57" t="n">
        <f aca="false">IF(LEFT(Cockpit!$O$5,1)="A",H506,IF(CA506=1,CB506,IF(LEFT(Cockpit!$O$5,1)="B",AZ506,MAX(AZ506,H506))))</f>
        <v>100</v>
      </c>
      <c r="AW506" s="57" t="n">
        <f aca="false">IF(BT506=1,0,ROUNDUP(AV506/BS506,0))</f>
        <v>0</v>
      </c>
      <c r="AX506" s="59" t="n">
        <f aca="false">IF(CH506&gt;0,CH506*MAX(1,AV506/X506),IF(BT506=1,IF(AV506&lt;=0,0,BW506*MAX(1,IF(H506&gt;0,AV506/H506,1))),IF(R506&gt;0,AW506/R506,0))/MAX(0.1,N(Parameter!$M$21)))</f>
        <v>0.357142857142857</v>
      </c>
      <c r="AY506" s="57" t="n">
        <f aca="false">AV506*G506</f>
        <v>82</v>
      </c>
      <c r="AZ506" s="57" t="n">
        <f aca="false">ROUNDUP(MAX(J506/IF(BZ506&gt;0,BZ506,MAX(0.1,N(Cockpit!$O$6))),CC506)/BS506,0)*BS506</f>
        <v>100</v>
      </c>
      <c r="BA506" s="58" t="n">
        <f aca="false">IF(AX506&gt;0,J506/AX506,-1)</f>
        <v>442.4</v>
      </c>
      <c r="BB506" s="58" t="str">
        <f aca="false">IF(AND(OR(BY506="L1",BY506="L23"),AX506&gt;0),SUMIFS($AX$7:$AX$1843,$BY$7:$BY$1843,BY506,$BA$7:$BA$1843,"&gt;"&amp;BA506)+SUMIFS($AX$7:$AX$1843,$BY$7:$BY$1843,BY506,$BA$7:$BA$1843,BA506,$BQ$7:$BQ$1843,"&lt;="&amp;BQ506),"")</f>
        <v/>
      </c>
      <c r="BC506" s="65" t="n">
        <f aca="false">IF(BB506="",0,MAX(0,MIN(1,(IF(BY506="L1",Parameter!$E$5,Parameter!$E$6+Parameter!$E$7)-(BB506-AX506))/AX506)))</f>
        <v>0</v>
      </c>
      <c r="BD506" s="55" t="str">
        <f aca="false">IF(AH506&lt;=0,"",IF(BY506="Aussen","Aussenlager",IF(BY506="-","Nicht im Lift",IF(AM506&gt;=1,"Lift",IF(AM506&lt;=0,"Aussenlager","teilweise")))))</f>
        <v>Nicht im Lift</v>
      </c>
      <c r="BE506" s="55" t="str">
        <f aca="false">IF(AP506&lt;=0,"",IF(BY506="Aussen","Aussenlager",IF(BY506="-","Nicht im Lift",IF(AU506&gt;=1,"Lift",IF(AU506&lt;=0,"Aussenlager","teilweise")))))</f>
        <v>Nicht im Lift</v>
      </c>
      <c r="BF506" s="55" t="str">
        <f aca="false">IF(AX506&lt;=0,"",IF(BY506="Aussen","Aussenlager",IF(BY506="-","Nicht im Lift",IF(BC506&gt;=1,"Lift",IF(BC506&lt;=0,"Aussenlager","teilweise")))))</f>
        <v>Nicht im Lift</v>
      </c>
      <c r="BG506" s="55" t="str">
        <f aca="false">IF(A506="","",IF(BP506=1,"Neu; ","")&amp;IF(AND(BP506=0,BK506&lt;0),"negativer Bestand (Export "&amp;BK506&amp;"); ","")&amp;IF(J506&lt;=0,"Kein Verbrauch; ","")&amp;IF(CH506&gt;0,"Lift "&amp;W506&amp;" lt. Liftbericht (Fach "&amp;X506&amp;" Stk); ",IF(BU506=1,"Gebinde geschätzt ("&amp;T506&amp;"); ",IF(BT506=1,"Lose – Tablare geschätzt; ","")))&amp;IF(H506&gt;AR506,"Überbestand "&amp;ROUND(H506-AR506,0)&amp;" Stk / CHF "&amp;ROUND((H506-AR506)*G506,0)&amp;"; ","")&amp;IF(AND(CA506=1,CB506&lt;CC506),"MAX &lt; MB+LG; ","")&amp;IF(AND(CG506&gt;0,CF506*10&gt;CG506),"zu hoch für Tablar; ","")&amp;IF(AND(BP506=0,OR(CA506=1,AA506&lt;&gt;"",U506&lt;&gt;"",V506&lt;&gt;"",AB506&lt;&gt;"")),"manuell übersteuert; ","")&amp;IF(AND(BT506=0,R506=0),"Gebinde unbekannt / Stellmass fehlt; ","")&amp;IF(AND(BT506=0,N(V506)&lt;=0,N(Q506)&lt;=0),"Menge pro Gebinde fehlt (Ist = 1 Gebinde); ","")&amp;BO506)</f>
        <v>Lose – Tablare geschätzt; </v>
      </c>
      <c r="BH506" s="55"/>
      <c r="BI506" s="55"/>
      <c r="BJ506" s="62"/>
      <c r="BK506" s="57" t="n">
        <v>42</v>
      </c>
      <c r="BL506" s="57" t="n">
        <v>0</v>
      </c>
      <c r="BM506" s="56" t="n">
        <v>34.44</v>
      </c>
      <c r="BN506" s="57" t="n">
        <v>158</v>
      </c>
      <c r="BO506" s="55"/>
      <c r="BP506" s="60" t="n">
        <v>0</v>
      </c>
      <c r="BQ506" s="60" t="n">
        <v>506</v>
      </c>
      <c r="BR506" s="55" t="str">
        <f aca="false">IF(U506&lt;&gt;"",UPPER(TRIM(U506)),IF(BU506=1,UPPER(VLOOKUP(T506,Parameter!$I$27:$K$29,2,0)),IF(P506="","LOSE",P506)))</f>
        <v>LOSE</v>
      </c>
      <c r="BS506" s="57" t="n">
        <f aca="false">IF(BR506="LOSE",1,IF(N(V506)&gt;0,V506,IF(BU506=1,MAX(1,N(VLOOKUP(T506,Parameter!$I$27:$K$29,3,0)),H506,N(N506)),IF(N(Q506)&gt;0,Q506,MAX(1,H506)))))</f>
        <v>1</v>
      </c>
      <c r="BT506" s="60" t="n">
        <f aca="false">IF(BR506="LOSE",1,0)</f>
        <v>1</v>
      </c>
      <c r="BU506" s="60" t="n">
        <f aca="false">IF(AND(U506="",OR(P506="",P506="LOSE"),T506&lt;&gt;"",N(S506)&lt;=0,ISNUMBER(MATCH(T506,Parameter!$I$27:$I$29,0))),1,0)</f>
        <v>0</v>
      </c>
      <c r="BV506" s="55" t="str">
        <f aca="false">IF(AND(Parameter!$B$19="Ja",E506&lt;&gt;"",ISNUMBER(MATCH(E506,Parameter!$I$35:$I$52,0))),VLOOKUP(E506,Parameter!$I$35:$J$52,2,0),IFERROR(VLOOKUP(D506,Parameter!$A$35:$C$64,2,0),"Nein"))</f>
        <v>Nein</v>
      </c>
      <c r="BW506" s="59" t="n">
        <f aca="false">IF(BT506=0,0,IF(N(S506)&gt;0,S506,IFERROR(VLOOKUP(D506,Parameter!$A$35:$C$64,3,0)+0,0)))</f>
        <v>0.15</v>
      </c>
      <c r="BX506" s="55" t="str">
        <f aca="false">IF(AA506&lt;&gt;"",AA506,Z506)</f>
        <v>-</v>
      </c>
      <c r="BY506" s="55" t="str">
        <f aca="false">IF(BX506=1,"L1",IF(OR(BX506=2,BX506=3),"L23",IF(BX506="Aussen","Aussen","-")))</f>
        <v>-</v>
      </c>
      <c r="BZ506" s="66" t="n">
        <f aca="false">IF(N(AB506)&gt;0,AB506,0)</f>
        <v>0</v>
      </c>
      <c r="CA506" s="60" t="n">
        <f aca="false">IF(ISNUMBER(AE506),1,0)</f>
        <v>0</v>
      </c>
      <c r="CB506" s="57" t="n">
        <f aca="false">N(AE506)</f>
        <v>0</v>
      </c>
      <c r="CC506" s="57" t="n">
        <f aca="false">N(M506)+N(N506)</f>
        <v>100</v>
      </c>
      <c r="CD506" s="57" t="n">
        <f aca="false">ROUNDUP(H506/BS506,0)</f>
        <v>42</v>
      </c>
      <c r="CE506" s="57" t="n">
        <f aca="false">ROUNDUP(CB506/BS506,0)</f>
        <v>0</v>
      </c>
      <c r="CF506" s="60" t="n">
        <f aca="false">IF(BT506=1,0,IFERROR(VLOOKUP(BR506,'Gebinde-Kategorie'!$A$5:$M$45,5,0)+0,0))</f>
        <v>0</v>
      </c>
      <c r="CG506" s="60" t="n">
        <f aca="false">IFERROR(IF(OR(BX506=1,BX506=2,BX506=3),N(INDEX(Parameter!$I$5:$I$7,BX506)),0),0)</f>
        <v>0</v>
      </c>
      <c r="CH506" s="59" t="n">
        <f aca="false">IF(AND(Parameter!$B$21="Ja",ISNUMBER(W506),N(X506)&gt;0),IFERROR(N(INDEX(Parameter!$L$5:$L$7,W506))*INDEX(Parameter!$E$5:$E$7,W506)*X506/SUMIFS($X$7:$X$1843,$W$7:$W$1843,W506),0),0)</f>
        <v>0</v>
      </c>
    </row>
    <row r="507" customFormat="false" ht="15" hidden="false" customHeight="false" outlineLevel="0" collapsed="false">
      <c r="A507" s="55" t="s">
        <v>1110</v>
      </c>
      <c r="B507" s="55" t="s">
        <v>1111</v>
      </c>
      <c r="C507" s="55" t="s">
        <v>164</v>
      </c>
      <c r="D507" s="55" t="s">
        <v>173</v>
      </c>
      <c r="E507" s="55" t="s">
        <v>185</v>
      </c>
      <c r="F507" s="55" t="s">
        <v>218</v>
      </c>
      <c r="G507" s="56" t="n">
        <v>199.84</v>
      </c>
      <c r="H507" s="57" t="n">
        <f aca="false">MAX(0,IF(AND(Parameter!$B$21="Ja",ISNUMBER(Y507)),Y507,IF(Parameter!$B$20="Jahresanfang 2025 + Export",BL507+BK507,BK507)))</f>
        <v>17</v>
      </c>
      <c r="I507" s="57" t="n">
        <f aca="false">H507*G507</f>
        <v>3397.28</v>
      </c>
      <c r="J507" s="57" t="n">
        <f aca="false">BN507*Parameter!$B$18</f>
        <v>18</v>
      </c>
      <c r="K507" s="58" t="n">
        <v>30</v>
      </c>
      <c r="L507" s="59" t="n">
        <v>0.6</v>
      </c>
      <c r="M507" s="57" t="n">
        <v>2</v>
      </c>
      <c r="N507" s="57" t="n">
        <v>15</v>
      </c>
      <c r="O507" s="60" t="n">
        <v>44</v>
      </c>
      <c r="P507" s="55" t="s">
        <v>174</v>
      </c>
      <c r="Q507" s="57" t="n">
        <v>17</v>
      </c>
      <c r="R507" s="60" t="n">
        <f aca="false">IF(BT507=1,0,IFERROR(VLOOKUP(BR507,'Gebinde-Kategorie'!$A$5:$M$45,13,0)+0,0))</f>
        <v>6</v>
      </c>
      <c r="S507" s="61"/>
      <c r="T507" s="62"/>
      <c r="U507" s="62"/>
      <c r="V507" s="62"/>
      <c r="W507" s="55"/>
      <c r="X507" s="57"/>
      <c r="Y507" s="57"/>
      <c r="Z507" s="55" t="n">
        <f aca="false">IF(A507="","",IF(AND(Parameter!$B$21="Ja",ISNUMBER(W507)),W507,IF(BV507="2+3",IF(ISNUMBER(SEARCH("grosser Artikel",BO507)),2,IFERROR(VLOOKUP(BR507,Parameter!$F$35:$G$64,2,0),2)),IF(OR(BV507="Nein",BV507=""),"-",BV507))))</f>
        <v>2</v>
      </c>
      <c r="AA507" s="62"/>
      <c r="AB507" s="63"/>
      <c r="AC507" s="57" t="n">
        <f aca="false">AR507</f>
        <v>17</v>
      </c>
      <c r="AD507" s="57" t="n">
        <f aca="false">MAX(AR507,H507)</f>
        <v>17</v>
      </c>
      <c r="AE507" s="64"/>
      <c r="AF507" s="57" t="n">
        <f aca="false">IF(LEFT(Cockpit!$C$5,1)="A",H507,IF(CA507=1,CB507,IF(LEFT(Cockpit!$C$5,1)="B",AJ507,MAX(AJ507,H507))))</f>
        <v>17</v>
      </c>
      <c r="AG507" s="57" t="n">
        <f aca="false">IF(BT507=1,0,ROUNDUP(AF507/BS507,0))</f>
        <v>1</v>
      </c>
      <c r="AH507" s="59" t="n">
        <f aca="false">IF(CH507&gt;0,CH507*MAX(1,AF507/X507),IF(BT507=1,IF(AF507&lt;=0,0,BW507*MAX(1,IF(H507&gt;0,AF507/H507,1))),IF(R507&gt;0,AG507/R507,0))/MAX(0.1,N(Parameter!$M$21)))</f>
        <v>0.166666666666667</v>
      </c>
      <c r="AI507" s="57" t="n">
        <f aca="false">AF507*G507</f>
        <v>3397.28</v>
      </c>
      <c r="AJ507" s="57" t="n">
        <f aca="false">ROUNDUP(MAX(J507/IF(BZ507&gt;0,BZ507,MAX(0.1,N(Cockpit!$C$6))),CC507)/BS507,0)*BS507</f>
        <v>17</v>
      </c>
      <c r="AK507" s="58" t="n">
        <f aca="false">IF(AH507&gt;0,J507/AH507,-1)</f>
        <v>108</v>
      </c>
      <c r="AL507" s="58" t="n">
        <f aca="false">IF(AND(OR(BY507="L1",BY507="L23"),AH507&gt;0),SUMIFS($AH$7:$AH$1843,$BY$7:$BY$1843,BY507,$AK$7:$AK$1843,"&gt;"&amp;AK507)+SUMIFS($AH$7:$AH$1843,$BY$7:$BY$1843,BY507,$AK$7:$AK$1843,AK507,$BQ$7:$BQ$1843,"&lt;="&amp;BQ507),"")</f>
        <v>38.0405898449377</v>
      </c>
      <c r="AM507" s="65" t="n">
        <f aca="false">IF(AL507="",0,MAX(0,MIN(1,(IF(BY507="L1",Parameter!$E$5,Parameter!$E$6+Parameter!$E$7)-(AL507-AH507))/AH507)))</f>
        <v>1</v>
      </c>
      <c r="AN507" s="57" t="n">
        <f aca="false">IF(LEFT(Cockpit!$I$5,1)="A",H507,IF(CA507=1,CB507,IF(LEFT(Cockpit!$I$5,1)="B",AR507,MAX(AR507,H507))))</f>
        <v>17</v>
      </c>
      <c r="AO507" s="57" t="n">
        <f aca="false">IF(BT507=1,0,ROUNDUP(AN507/BS507,0))</f>
        <v>1</v>
      </c>
      <c r="AP507" s="59" t="n">
        <f aca="false">IF(CH507&gt;0,CH507*MAX(1,AN507/X507),IF(BT507=1,IF(AN507&lt;=0,0,BW507*MAX(1,IF(H507&gt;0,AN507/H507,1))),IF(R507&gt;0,AO507/R507,0))/MAX(0.1,N(Parameter!$M$21)))</f>
        <v>0.166666666666667</v>
      </c>
      <c r="AQ507" s="57" t="n">
        <f aca="false">AN507*G507</f>
        <v>3397.28</v>
      </c>
      <c r="AR507" s="57" t="n">
        <f aca="false">ROUNDUP(MAX(J507/IF(BZ507&gt;0,BZ507,MAX(0.1,N(Cockpit!$I$6))),CC507)/BS507,0)*BS507</f>
        <v>17</v>
      </c>
      <c r="AS507" s="58" t="n">
        <f aca="false">IF(AP507&gt;0,J507/AP507,-1)</f>
        <v>108</v>
      </c>
      <c r="AT507" s="58" t="n">
        <f aca="false">IF(AND(OR(BY507="L1",BY507="L23"),AP507&gt;0),SUMIFS($AP$7:$AP$1843,$BY$7:$BY$1843,BY507,$AS$7:$AS$1843,"&gt;"&amp;AS507)+SUMIFS($AP$7:$AP$1843,$BY$7:$BY$1843,BY507,$AS$7:$AS$1843,AS507,$BQ$7:$BQ$1843,"&lt;="&amp;BQ507),"")</f>
        <v>56.2281172933347</v>
      </c>
      <c r="AU507" s="65" t="n">
        <f aca="false">IF(AT507="",0,MAX(0,MIN(1,(IF(BY507="L1",Parameter!$E$5,Parameter!$E$6+Parameter!$E$7)-(AT507-AP507))/AP507)))</f>
        <v>1</v>
      </c>
      <c r="AV507" s="57" t="n">
        <f aca="false">IF(LEFT(Cockpit!$O$5,1)="A",H507,IF(CA507=1,CB507,IF(LEFT(Cockpit!$O$5,1)="B",AZ507,MAX(AZ507,H507))))</f>
        <v>17</v>
      </c>
      <c r="AW507" s="57" t="n">
        <f aca="false">IF(BT507=1,0,ROUNDUP(AV507/BS507,0))</f>
        <v>1</v>
      </c>
      <c r="AX507" s="59" t="n">
        <f aca="false">IF(CH507&gt;0,CH507*MAX(1,AV507/X507),IF(BT507=1,IF(AV507&lt;=0,0,BW507*MAX(1,IF(H507&gt;0,AV507/H507,1))),IF(R507&gt;0,AW507/R507,0))/MAX(0.1,N(Parameter!$M$21)))</f>
        <v>0.166666666666667</v>
      </c>
      <c r="AY507" s="57" t="n">
        <f aca="false">AV507*G507</f>
        <v>3397.28</v>
      </c>
      <c r="AZ507" s="57" t="n">
        <f aca="false">ROUNDUP(MAX(J507/IF(BZ507&gt;0,BZ507,MAX(0.1,N(Cockpit!$O$6))),CC507)/BS507,0)*BS507</f>
        <v>17</v>
      </c>
      <c r="BA507" s="58" t="n">
        <f aca="false">IF(AX507&gt;0,J507/AX507,-1)</f>
        <v>108</v>
      </c>
      <c r="BB507" s="58" t="n">
        <f aca="false">IF(AND(OR(BY507="L1",BY507="L23"),AX507&gt;0),SUMIFS($AX$7:$AX$1843,$BY$7:$BY$1843,BY507,$BA$7:$BA$1843,"&gt;"&amp;BA507)+SUMIFS($AX$7:$AX$1843,$BY$7:$BY$1843,BY507,$BA$7:$BA$1843,BA507,$BQ$7:$BQ$1843,"&lt;="&amp;BQ507),"")</f>
        <v>54.0579541231715</v>
      </c>
      <c r="BC507" s="65" t="n">
        <f aca="false">IF(BB507="",0,MAX(0,MIN(1,(IF(BY507="L1",Parameter!$E$5,Parameter!$E$6+Parameter!$E$7)-(BB507-AX507))/AX507)))</f>
        <v>1</v>
      </c>
      <c r="BD507" s="55" t="str">
        <f aca="false">IF(AH507&lt;=0,"",IF(BY507="Aussen","Aussenlager",IF(BY507="-","Nicht im Lift",IF(AM507&gt;=1,"Lift",IF(AM507&lt;=0,"Aussenlager","teilweise")))))</f>
        <v>Lift</v>
      </c>
      <c r="BE507" s="55" t="str">
        <f aca="false">IF(AP507&lt;=0,"",IF(BY507="Aussen","Aussenlager",IF(BY507="-","Nicht im Lift",IF(AU507&gt;=1,"Lift",IF(AU507&lt;=0,"Aussenlager","teilweise")))))</f>
        <v>Lift</v>
      </c>
      <c r="BF507" s="55" t="str">
        <f aca="false">IF(AX507&lt;=0,"",IF(BY507="Aussen","Aussenlager",IF(BY507="-","Nicht im Lift",IF(BC507&gt;=1,"Lift",IF(BC507&lt;=0,"Aussenlager","teilweise")))))</f>
        <v>Lift</v>
      </c>
      <c r="BG507" s="55" t="str">
        <f aca="false">IF(A507="","",IF(BP507=1,"Neu; ","")&amp;IF(AND(BP507=0,BK507&lt;0),"negativer Bestand (Export "&amp;BK507&amp;"); ","")&amp;IF(J507&lt;=0,"Kein Verbrauch; ","")&amp;IF(CH507&gt;0,"Lift "&amp;W507&amp;" lt. Liftbericht (Fach "&amp;X507&amp;" Stk); ",IF(BU507=1,"Gebinde geschätzt ("&amp;T507&amp;"); ",IF(BT507=1,"Lose – Tablare geschätzt; ","")))&amp;IF(H507&gt;AR507,"Überbestand "&amp;ROUND(H507-AR507,0)&amp;" Stk / CHF "&amp;ROUND((H507-AR507)*G507,0)&amp;"; ","")&amp;IF(AND(CA507=1,CB507&lt;CC507),"MAX &lt; MB+LG; ","")&amp;IF(AND(CG507&gt;0,CF507*10&gt;CG507),"zu hoch für Tablar; ","")&amp;IF(AND(BP507=0,OR(CA507=1,AA507&lt;&gt;"",U507&lt;&gt;"",V507&lt;&gt;"",AB507&lt;&gt;"")),"manuell übersteuert; ","")&amp;IF(AND(BT507=0,R507=0),"Gebinde unbekannt / Stellmass fehlt; ","")&amp;IF(AND(BT507=0,N(V507)&lt;=0,N(Q507)&lt;=0),"Menge pro Gebinde fehlt (Ist = 1 Gebinde); ","")&amp;BO507)</f>
        <v>negativer Bestand (Export -2); grosser Artikel &amp; nicht im KTL</v>
      </c>
      <c r="BH507" s="55"/>
      <c r="BI507" s="55"/>
      <c r="BJ507" s="62"/>
      <c r="BK507" s="57" t="n">
        <v>-2</v>
      </c>
      <c r="BL507" s="57" t="n">
        <v>19</v>
      </c>
      <c r="BM507" s="56" t="n">
        <v>34.2799999999952</v>
      </c>
      <c r="BN507" s="57" t="n">
        <v>18</v>
      </c>
      <c r="BO507" s="55" t="s">
        <v>261</v>
      </c>
      <c r="BP507" s="60" t="n">
        <v>0</v>
      </c>
      <c r="BQ507" s="60" t="n">
        <v>507</v>
      </c>
      <c r="BR507" s="55" t="str">
        <f aca="false">IF(U507&lt;&gt;"",UPPER(TRIM(U507)),IF(BU507=1,UPPER(VLOOKUP(T507,Parameter!$I$27:$K$29,2,0)),IF(P507="","LOSE",P507)))</f>
        <v>S71</v>
      </c>
      <c r="BS507" s="57" t="n">
        <f aca="false">IF(BR507="LOSE",1,IF(N(V507)&gt;0,V507,IF(BU507=1,MAX(1,N(VLOOKUP(T507,Parameter!$I$27:$K$29,3,0)),H507,N(N507)),IF(N(Q507)&gt;0,Q507,MAX(1,H507)))))</f>
        <v>17</v>
      </c>
      <c r="BT507" s="60" t="n">
        <f aca="false">IF(BR507="LOSE",1,0)</f>
        <v>0</v>
      </c>
      <c r="BU507" s="60" t="n">
        <f aca="false">IF(AND(U507="",OR(P507="",P507="LOSE"),T507&lt;&gt;"",N(S507)&lt;=0,ISNUMBER(MATCH(T507,Parameter!$I$27:$I$29,0))),1,0)</f>
        <v>0</v>
      </c>
      <c r="BV507" s="55" t="str">
        <f aca="false">IF(AND(Parameter!$B$19="Ja",E507&lt;&gt;"",ISNUMBER(MATCH(E507,Parameter!$I$35:$I$52,0))),VLOOKUP(E507,Parameter!$I$35:$J$52,2,0),IFERROR(VLOOKUP(D507,Parameter!$A$35:$C$64,2,0),"Nein"))</f>
        <v>2+3</v>
      </c>
      <c r="BW507" s="59" t="n">
        <f aca="false">IF(BT507=0,0,IF(N(S507)&gt;0,S507,IFERROR(VLOOKUP(D507,Parameter!$A$35:$C$64,3,0)+0,0)))</f>
        <v>0</v>
      </c>
      <c r="BX507" s="55" t="n">
        <f aca="false">IF(AA507&lt;&gt;"",AA507,Z507)</f>
        <v>2</v>
      </c>
      <c r="BY507" s="55" t="str">
        <f aca="false">IF(BX507=1,"L1",IF(OR(BX507=2,BX507=3),"L23",IF(BX507="Aussen","Aussen","-")))</f>
        <v>L23</v>
      </c>
      <c r="BZ507" s="66" t="n">
        <f aca="false">IF(N(AB507)&gt;0,AB507,0)</f>
        <v>0</v>
      </c>
      <c r="CA507" s="60" t="n">
        <f aca="false">IF(ISNUMBER(AE507),1,0)</f>
        <v>0</v>
      </c>
      <c r="CB507" s="57" t="n">
        <f aca="false">N(AE507)</f>
        <v>0</v>
      </c>
      <c r="CC507" s="57" t="n">
        <f aca="false">N(M507)+N(N507)</f>
        <v>17</v>
      </c>
      <c r="CD507" s="57" t="n">
        <f aca="false">ROUNDUP(H507/BS507,0)</f>
        <v>1</v>
      </c>
      <c r="CE507" s="57" t="n">
        <f aca="false">ROUNDUP(CB507/BS507,0)</f>
        <v>0</v>
      </c>
      <c r="CF507" s="60" t="n">
        <f aca="false">IF(BT507=1,0,IFERROR(VLOOKUP(BR507,'Gebinde-Kategorie'!$A$5:$M$45,5,0)+0,0))</f>
        <v>20</v>
      </c>
      <c r="CG507" s="60" t="n">
        <f aca="false">IFERROR(IF(OR(BX507=1,BX507=2,BX507=3),N(INDEX(Parameter!$I$5:$I$7,BX507)),0),0)</f>
        <v>0</v>
      </c>
      <c r="CH507" s="59" t="n">
        <f aca="false">IF(AND(Parameter!$B$21="Ja",ISNUMBER(W507),N(X507)&gt;0),IFERROR(N(INDEX(Parameter!$L$5:$L$7,W507))*INDEX(Parameter!$E$5:$E$7,W507)*X507/SUMIFS($X$7:$X$1843,$W$7:$W$1843,W507),0),0)</f>
        <v>0</v>
      </c>
    </row>
    <row r="508" customFormat="false" ht="15" hidden="false" customHeight="false" outlineLevel="0" collapsed="false">
      <c r="A508" s="55" t="s">
        <v>1112</v>
      </c>
      <c r="B508" s="55" t="s">
        <v>1113</v>
      </c>
      <c r="C508" s="55" t="s">
        <v>164</v>
      </c>
      <c r="D508" s="55" t="s">
        <v>184</v>
      </c>
      <c r="E508" s="55" t="s">
        <v>185</v>
      </c>
      <c r="F508" s="55" t="s">
        <v>218</v>
      </c>
      <c r="G508" s="56" t="n">
        <v>34</v>
      </c>
      <c r="H508" s="57" t="n">
        <f aca="false">MAX(0,IF(AND(Parameter!$B$21="Ja",ISNUMBER(Y508)),Y508,IF(Parameter!$B$20="Jahresanfang 2025 + Export",BL508+BK508,BK508)))</f>
        <v>2</v>
      </c>
      <c r="I508" s="57" t="n">
        <f aca="false">H508*G508</f>
        <v>68</v>
      </c>
      <c r="J508" s="57" t="n">
        <f aca="false">BN508*Parameter!$B$18</f>
        <v>0</v>
      </c>
      <c r="K508" s="58" t="n">
        <v>1.5</v>
      </c>
      <c r="L508" s="59" t="n">
        <v>0</v>
      </c>
      <c r="M508" s="57" t="n">
        <v>0</v>
      </c>
      <c r="N508" s="57" t="n">
        <v>1</v>
      </c>
      <c r="O508" s="60" t="n">
        <v>63</v>
      </c>
      <c r="P508" s="55" t="s">
        <v>401</v>
      </c>
      <c r="Q508" s="57" t="n">
        <v>2</v>
      </c>
      <c r="R508" s="60" t="n">
        <f aca="false">IF(BT508=1,0,IFERROR(VLOOKUP(BR508,'Gebinde-Kategorie'!$A$5:$M$45,13,0)+0,0))</f>
        <v>414</v>
      </c>
      <c r="S508" s="61"/>
      <c r="T508" s="62"/>
      <c r="U508" s="62"/>
      <c r="V508" s="62"/>
      <c r="W508" s="55"/>
      <c r="X508" s="57"/>
      <c r="Y508" s="57"/>
      <c r="Z508" s="55" t="n">
        <f aca="false">IF(A508="","",IF(AND(Parameter!$B$21="Ja",ISNUMBER(W508)),W508,IF(BV508="2+3",IF(ISNUMBER(SEARCH("grosser Artikel",BO508)),2,IFERROR(VLOOKUP(BR508,Parameter!$F$35:$G$64,2,0),2)),IF(OR(BV508="Nein",BV508=""),"-",BV508))))</f>
        <v>3</v>
      </c>
      <c r="AA508" s="62"/>
      <c r="AB508" s="63"/>
      <c r="AC508" s="57" t="n">
        <f aca="false">AR508</f>
        <v>2</v>
      </c>
      <c r="AD508" s="57" t="n">
        <f aca="false">MAX(AR508,H508)</f>
        <v>2</v>
      </c>
      <c r="AE508" s="64"/>
      <c r="AF508" s="57" t="n">
        <f aca="false">IF(LEFT(Cockpit!$C$5,1)="A",H508,IF(CA508=1,CB508,IF(LEFT(Cockpit!$C$5,1)="B",AJ508,MAX(AJ508,H508))))</f>
        <v>2</v>
      </c>
      <c r="AG508" s="57" t="n">
        <f aca="false">IF(BT508=1,0,ROUNDUP(AF508/BS508,0))</f>
        <v>1</v>
      </c>
      <c r="AH508" s="59" t="n">
        <f aca="false">IF(CH508&gt;0,CH508*MAX(1,AF508/X508),IF(BT508=1,IF(AF508&lt;=0,0,BW508*MAX(1,IF(H508&gt;0,AF508/H508,1))),IF(R508&gt;0,AG508/R508,0))/MAX(0.1,N(Parameter!$M$21)))</f>
        <v>0.00241545893719807</v>
      </c>
      <c r="AI508" s="57" t="n">
        <f aca="false">AF508*G508</f>
        <v>68</v>
      </c>
      <c r="AJ508" s="57" t="n">
        <f aca="false">ROUNDUP(MAX(J508/IF(BZ508&gt;0,BZ508,MAX(0.1,N(Cockpit!$C$6))),CC508)/BS508,0)*BS508</f>
        <v>2</v>
      </c>
      <c r="AK508" s="58" t="n">
        <f aca="false">IF(AH508&gt;0,J508/AH508,-1)</f>
        <v>0</v>
      </c>
      <c r="AL508" s="58" t="n">
        <f aca="false">IF(AND(OR(BY508="L1",BY508="L23"),AH508&gt;0),SUMIFS($AH$7:$AH$1843,$BY$7:$BY$1843,BY508,$AK$7:$AK$1843,"&gt;"&amp;AK508)+SUMIFS($AH$7:$AH$1843,$BY$7:$BY$1843,BY508,$AK$7:$AK$1843,AK508,$BQ$7:$BQ$1843,"&lt;="&amp;BQ508),"")</f>
        <v>74.7349244957941</v>
      </c>
      <c r="AM508" s="65" t="n">
        <f aca="false">IF(AL508="",0,MAX(0,MIN(1,(IF(BY508="L1",Parameter!$E$5,Parameter!$E$6+Parameter!$E$7)-(AL508-AH508))/AH508)))</f>
        <v>1</v>
      </c>
      <c r="AN508" s="57" t="n">
        <f aca="false">IF(LEFT(Cockpit!$I$5,1)="A",H508,IF(CA508=1,CB508,IF(LEFT(Cockpit!$I$5,1)="B",AR508,MAX(AR508,H508))))</f>
        <v>2</v>
      </c>
      <c r="AO508" s="57" t="n">
        <f aca="false">IF(BT508=1,0,ROUNDUP(AN508/BS508,0))</f>
        <v>1</v>
      </c>
      <c r="AP508" s="59" t="n">
        <f aca="false">IF(CH508&gt;0,CH508*MAX(1,AN508/X508),IF(BT508=1,IF(AN508&lt;=0,0,BW508*MAX(1,IF(H508&gt;0,AN508/H508,1))),IF(R508&gt;0,AO508/R508,0))/MAX(0.1,N(Parameter!$M$21)))</f>
        <v>0.00241545893719807</v>
      </c>
      <c r="AQ508" s="57" t="n">
        <f aca="false">AN508*G508</f>
        <v>68</v>
      </c>
      <c r="AR508" s="57" t="n">
        <f aca="false">ROUNDUP(MAX(J508/IF(BZ508&gt;0,BZ508,MAX(0.1,N(Cockpit!$I$6))),CC508)/BS508,0)*BS508</f>
        <v>2</v>
      </c>
      <c r="AS508" s="58" t="n">
        <f aca="false">IF(AP508&gt;0,J508/AP508,-1)</f>
        <v>0</v>
      </c>
      <c r="AT508" s="58" t="n">
        <f aca="false">IF(AND(OR(BY508="L1",BY508="L23"),AP508&gt;0),SUMIFS($AP$7:$AP$1843,$BY$7:$BY$1843,BY508,$AS$7:$AS$1843,"&gt;"&amp;AS508)+SUMIFS($AP$7:$AP$1843,$BY$7:$BY$1843,BY508,$AS$7:$AS$1843,AS508,$BQ$7:$BQ$1843,"&lt;="&amp;BQ508),"")</f>
        <v>114.159048680788</v>
      </c>
      <c r="AU508" s="65" t="n">
        <f aca="false">IF(AT508="",0,MAX(0,MIN(1,(IF(BY508="L1",Parameter!$E$5,Parameter!$E$6+Parameter!$E$7)-(AT508-AP508))/AP508)))</f>
        <v>0</v>
      </c>
      <c r="AV508" s="57" t="n">
        <f aca="false">IF(LEFT(Cockpit!$O$5,1)="A",H508,IF(CA508=1,CB508,IF(LEFT(Cockpit!$O$5,1)="B",AZ508,MAX(AZ508,H508))))</f>
        <v>2</v>
      </c>
      <c r="AW508" s="57" t="n">
        <f aca="false">IF(BT508=1,0,ROUNDUP(AV508/BS508,0))</f>
        <v>1</v>
      </c>
      <c r="AX508" s="59" t="n">
        <f aca="false">IF(CH508&gt;0,CH508*MAX(1,AV508/X508),IF(BT508=1,IF(AV508&lt;=0,0,BW508*MAX(1,IF(H508&gt;0,AV508/H508,1))),IF(R508&gt;0,AW508/R508,0))/MAX(0.1,N(Parameter!$M$21)))</f>
        <v>0.00241545893719807</v>
      </c>
      <c r="AY508" s="57" t="n">
        <f aca="false">AV508*G508</f>
        <v>68</v>
      </c>
      <c r="AZ508" s="57" t="n">
        <f aca="false">ROUNDUP(MAX(J508/IF(BZ508&gt;0,BZ508,MAX(0.1,N(Cockpit!$O$6))),CC508)/BS508,0)*BS508</f>
        <v>2</v>
      </c>
      <c r="BA508" s="58" t="n">
        <f aca="false">IF(AX508&gt;0,J508/AX508,-1)</f>
        <v>0</v>
      </c>
      <c r="BB508" s="58" t="n">
        <f aca="false">IF(AND(OR(BY508="L1",BY508="L23"),AX508&gt;0),SUMIFS($AX$7:$AX$1843,$BY$7:$BY$1843,BY508,$BA$7:$BA$1843,"&gt;"&amp;BA508)+SUMIFS($AX$7:$AX$1843,$BY$7:$BY$1843,BY508,$BA$7:$BA$1843,BA508,$BQ$7:$BQ$1843,"&lt;="&amp;BQ508),"")</f>
        <v>104.988885510625</v>
      </c>
      <c r="BC508" s="65" t="n">
        <f aca="false">IF(BB508="",0,MAX(0,MIN(1,(IF(BY508="L1",Parameter!$E$5,Parameter!$E$6+Parameter!$E$7)-(BB508-AX508))/AX508)))</f>
        <v>0</v>
      </c>
      <c r="BD508" s="55" t="str">
        <f aca="false">IF(AH508&lt;=0,"",IF(BY508="Aussen","Aussenlager",IF(BY508="-","Nicht im Lift",IF(AM508&gt;=1,"Lift",IF(AM508&lt;=0,"Aussenlager","teilweise")))))</f>
        <v>Lift</v>
      </c>
      <c r="BE508" s="55" t="str">
        <f aca="false">IF(AP508&lt;=0,"",IF(BY508="Aussen","Aussenlager",IF(BY508="-","Nicht im Lift",IF(AU508&gt;=1,"Lift",IF(AU508&lt;=0,"Aussenlager","teilweise")))))</f>
        <v>Aussenlager</v>
      </c>
      <c r="BF508" s="55" t="str">
        <f aca="false">IF(AX508&lt;=0,"",IF(BY508="Aussen","Aussenlager",IF(BY508="-","Nicht im Lift",IF(BC508&gt;=1,"Lift",IF(BC508&lt;=0,"Aussenlager","teilweise")))))</f>
        <v>Aussenlager</v>
      </c>
      <c r="BG508" s="55" t="str">
        <f aca="false">IF(A508="","",IF(BP508=1,"Neu; ","")&amp;IF(AND(BP508=0,BK508&lt;0),"negativer Bestand (Export "&amp;BK508&amp;"); ","")&amp;IF(J508&lt;=0,"Kein Verbrauch; ","")&amp;IF(CH508&gt;0,"Lift "&amp;W508&amp;" lt. Liftbericht (Fach "&amp;X508&amp;" Stk); ",IF(BU508=1,"Gebinde geschätzt ("&amp;T508&amp;"); ",IF(BT508=1,"Lose – Tablare geschätzt; ","")))&amp;IF(H508&gt;AR508,"Überbestand "&amp;ROUND(H508-AR508,0)&amp;" Stk / CHF "&amp;ROUND((H508-AR508)*G508,0)&amp;"; ","")&amp;IF(AND(CA508=1,CB508&lt;CC508),"MAX &lt; MB+LG; ","")&amp;IF(AND(CG508&gt;0,CF508*10&gt;CG508),"zu hoch für Tablar; ","")&amp;IF(AND(BP508=0,OR(CA508=1,AA508&lt;&gt;"",U508&lt;&gt;"",V508&lt;&gt;"",AB508&lt;&gt;"")),"manuell übersteuert; ","")&amp;IF(AND(BT508=0,R508=0),"Gebinde unbekannt / Stellmass fehlt; ","")&amp;IF(AND(BT508=0,N(V508)&lt;=0,N(Q508)&lt;=0),"Menge pro Gebinde fehlt (Ist = 1 Gebinde); ","")&amp;BO508)</f>
        <v>Kein Verbrauch; </v>
      </c>
      <c r="BH508" s="55"/>
      <c r="BI508" s="55"/>
      <c r="BJ508" s="62"/>
      <c r="BK508" s="57" t="n">
        <v>1</v>
      </c>
      <c r="BL508" s="57" t="n">
        <v>1</v>
      </c>
      <c r="BM508" s="56" t="n">
        <v>34</v>
      </c>
      <c r="BN508" s="57" t="n">
        <v>0</v>
      </c>
      <c r="BO508" s="55"/>
      <c r="BP508" s="60" t="n">
        <v>0</v>
      </c>
      <c r="BQ508" s="60" t="n">
        <v>508</v>
      </c>
      <c r="BR508" s="55" t="str">
        <f aca="false">IF(U508&lt;&gt;"",UPPER(TRIM(U508)),IF(BU508=1,UPPER(VLOOKUP(T508,Parameter!$I$27:$K$29,2,0)),IF(P508="","LOSE",P508)))</f>
        <v>S21</v>
      </c>
      <c r="BS508" s="57" t="n">
        <f aca="false">IF(BR508="LOSE",1,IF(N(V508)&gt;0,V508,IF(BU508=1,MAX(1,N(VLOOKUP(T508,Parameter!$I$27:$K$29,3,0)),H508,N(N508)),IF(N(Q508)&gt;0,Q508,MAX(1,H508)))))</f>
        <v>2</v>
      </c>
      <c r="BT508" s="60" t="n">
        <f aca="false">IF(BR508="LOSE",1,0)</f>
        <v>0</v>
      </c>
      <c r="BU508" s="60" t="n">
        <f aca="false">IF(AND(U508="",OR(P508="",P508="LOSE"),T508&lt;&gt;"",N(S508)&lt;=0,ISNUMBER(MATCH(T508,Parameter!$I$27:$I$29,0))),1,0)</f>
        <v>0</v>
      </c>
      <c r="BV508" s="55" t="str">
        <f aca="false">IF(AND(Parameter!$B$19="Ja",E508&lt;&gt;"",ISNUMBER(MATCH(E508,Parameter!$I$35:$I$52,0))),VLOOKUP(E508,Parameter!$I$35:$J$52,2,0),IFERROR(VLOOKUP(D508,Parameter!$A$35:$C$64,2,0),"Nein"))</f>
        <v>2+3</v>
      </c>
      <c r="BW508" s="59" t="n">
        <f aca="false">IF(BT508=0,0,IF(N(S508)&gt;0,S508,IFERROR(VLOOKUP(D508,Parameter!$A$35:$C$64,3,0)+0,0)))</f>
        <v>0</v>
      </c>
      <c r="BX508" s="55" t="n">
        <f aca="false">IF(AA508&lt;&gt;"",AA508,Z508)</f>
        <v>3</v>
      </c>
      <c r="BY508" s="55" t="str">
        <f aca="false">IF(BX508=1,"L1",IF(OR(BX508=2,BX508=3),"L23",IF(BX508="Aussen","Aussen","-")))</f>
        <v>L23</v>
      </c>
      <c r="BZ508" s="66" t="n">
        <f aca="false">IF(N(AB508)&gt;0,AB508,0)</f>
        <v>0</v>
      </c>
      <c r="CA508" s="60" t="n">
        <f aca="false">IF(ISNUMBER(AE508),1,0)</f>
        <v>0</v>
      </c>
      <c r="CB508" s="57" t="n">
        <f aca="false">N(AE508)</f>
        <v>0</v>
      </c>
      <c r="CC508" s="57" t="n">
        <f aca="false">N(M508)+N(N508)</f>
        <v>1</v>
      </c>
      <c r="CD508" s="57" t="n">
        <f aca="false">ROUNDUP(H508/BS508,0)</f>
        <v>1</v>
      </c>
      <c r="CE508" s="57" t="n">
        <f aca="false">ROUNDUP(CB508/BS508,0)</f>
        <v>0</v>
      </c>
      <c r="CF508" s="60" t="n">
        <f aca="false">IF(BT508=1,0,IFERROR(VLOOKUP(BR508,'Gebinde-Kategorie'!$A$5:$M$45,5,0)+0,0))</f>
        <v>8</v>
      </c>
      <c r="CG508" s="60" t="n">
        <f aca="false">IFERROR(IF(OR(BX508=1,BX508=2,BX508=3),N(INDEX(Parameter!$I$5:$I$7,BX508)),0),0)</f>
        <v>0</v>
      </c>
      <c r="CH508" s="59" t="n">
        <f aca="false">IF(AND(Parameter!$B$21="Ja",ISNUMBER(W508),N(X508)&gt;0),IFERROR(N(INDEX(Parameter!$L$5:$L$7,W508))*INDEX(Parameter!$E$5:$E$7,W508)*X508/SUMIFS($X$7:$X$1843,$W$7:$W$1843,W508),0),0)</f>
        <v>0</v>
      </c>
    </row>
    <row r="509" customFormat="false" ht="15" hidden="false" customHeight="false" outlineLevel="0" collapsed="false">
      <c r="A509" s="55" t="s">
        <v>1114</v>
      </c>
      <c r="B509" s="55" t="s">
        <v>468</v>
      </c>
      <c r="C509" s="55" t="s">
        <v>164</v>
      </c>
      <c r="D509" s="55" t="s">
        <v>184</v>
      </c>
      <c r="E509" s="55" t="s">
        <v>185</v>
      </c>
      <c r="F509" s="55" t="s">
        <v>218</v>
      </c>
      <c r="G509" s="56" t="n">
        <v>0.52</v>
      </c>
      <c r="H509" s="57" t="n">
        <f aca="false">MAX(0,IF(AND(Parameter!$B$21="Ja",ISNUMBER(Y509)),Y509,IF(Parameter!$B$20="Jahresanfang 2025 + Export",BL509+BK509,BK509)))</f>
        <v>507</v>
      </c>
      <c r="I509" s="57" t="n">
        <f aca="false">H509*G509</f>
        <v>263.64</v>
      </c>
      <c r="J509" s="57" t="n">
        <f aca="false">BN509*Parameter!$B$18</f>
        <v>688</v>
      </c>
      <c r="K509" s="58" t="n">
        <v>356.5</v>
      </c>
      <c r="L509" s="59" t="n">
        <v>1.92987377279102</v>
      </c>
      <c r="M509" s="57" t="n">
        <v>26</v>
      </c>
      <c r="N509" s="57" t="n">
        <v>690</v>
      </c>
      <c r="O509" s="60" t="n">
        <v>14</v>
      </c>
      <c r="P509" s="55" t="s">
        <v>233</v>
      </c>
      <c r="Q509" s="57" t="n">
        <v>865</v>
      </c>
      <c r="R509" s="60" t="n">
        <f aca="false">IF(BT509=1,0,IFERROR(VLOOKUP(BR509,'Gebinde-Kategorie'!$A$5:$M$45,13,0)+0,0))</f>
        <v>26</v>
      </c>
      <c r="S509" s="61"/>
      <c r="T509" s="62"/>
      <c r="U509" s="62"/>
      <c r="V509" s="62"/>
      <c r="W509" s="55"/>
      <c r="X509" s="57"/>
      <c r="Y509" s="57"/>
      <c r="Z509" s="55" t="n">
        <f aca="false">IF(A509="","",IF(AND(Parameter!$B$21="Ja",ISNUMBER(W509)),W509,IF(BV509="2+3",IF(ISNUMBER(SEARCH("grosser Artikel",BO509)),2,IFERROR(VLOOKUP(BR509,Parameter!$F$35:$G$64,2,0),2)),IF(OR(BV509="Nein",BV509=""),"-",BV509))))</f>
        <v>3</v>
      </c>
      <c r="AA509" s="62"/>
      <c r="AB509" s="63"/>
      <c r="AC509" s="57" t="n">
        <f aca="false">AR509</f>
        <v>865</v>
      </c>
      <c r="AD509" s="57" t="n">
        <f aca="false">MAX(AR509,H509)</f>
        <v>865</v>
      </c>
      <c r="AE509" s="64"/>
      <c r="AF509" s="57" t="n">
        <f aca="false">IF(LEFT(Cockpit!$C$5,1)="A",H509,IF(CA509=1,CB509,IF(LEFT(Cockpit!$C$5,1)="B",AJ509,MAX(AJ509,H509))))</f>
        <v>507</v>
      </c>
      <c r="AG509" s="57" t="n">
        <f aca="false">IF(BT509=1,0,ROUNDUP(AF509/BS509,0))</f>
        <v>1</v>
      </c>
      <c r="AH509" s="59" t="n">
        <f aca="false">IF(CH509&gt;0,CH509*MAX(1,AF509/X509),IF(BT509=1,IF(AF509&lt;=0,0,BW509*MAX(1,IF(H509&gt;0,AF509/H509,1))),IF(R509&gt;0,AG509/R509,0))/MAX(0.1,N(Parameter!$M$21)))</f>
        <v>0.0384615384615385</v>
      </c>
      <c r="AI509" s="57" t="n">
        <f aca="false">AF509*G509</f>
        <v>263.64</v>
      </c>
      <c r="AJ509" s="57" t="n">
        <f aca="false">ROUNDUP(MAX(J509/IF(BZ509&gt;0,BZ509,MAX(0.1,N(Cockpit!$C$6))),CC509)/BS509,0)*BS509</f>
        <v>865</v>
      </c>
      <c r="AK509" s="58" t="n">
        <f aca="false">IF(AH509&gt;0,J509/AH509,-1)</f>
        <v>17888</v>
      </c>
      <c r="AL509" s="58" t="n">
        <f aca="false">IF(AND(OR(BY509="L1",BY509="L23"),AH509&gt;0),SUMIFS($AH$7:$AH$1843,$BY$7:$BY$1843,BY509,$AK$7:$AK$1843,"&gt;"&amp;AK509)+SUMIFS($AH$7:$AH$1843,$BY$7:$BY$1843,BY509,$AK$7:$AK$1843,AK509,$BQ$7:$BQ$1843,"&lt;="&amp;BQ509),"")</f>
        <v>3.81827472044863</v>
      </c>
      <c r="AM509" s="65" t="n">
        <f aca="false">IF(AL509="",0,MAX(0,MIN(1,(IF(BY509="L1",Parameter!$E$5,Parameter!$E$6+Parameter!$E$7)-(AL509-AH509))/AH509)))</f>
        <v>1</v>
      </c>
      <c r="AN509" s="57" t="n">
        <f aca="false">IF(LEFT(Cockpit!$I$5,1)="A",H509,IF(CA509=1,CB509,IF(LEFT(Cockpit!$I$5,1)="B",AR509,MAX(AR509,H509))))</f>
        <v>865</v>
      </c>
      <c r="AO509" s="57" t="n">
        <f aca="false">IF(BT509=1,0,ROUNDUP(AN509/BS509,0))</f>
        <v>1</v>
      </c>
      <c r="AP509" s="59" t="n">
        <f aca="false">IF(CH509&gt;0,CH509*MAX(1,AN509/X509),IF(BT509=1,IF(AN509&lt;=0,0,BW509*MAX(1,IF(H509&gt;0,AN509/H509,1))),IF(R509&gt;0,AO509/R509,0))/MAX(0.1,N(Parameter!$M$21)))</f>
        <v>0.0384615384615385</v>
      </c>
      <c r="AQ509" s="57" t="n">
        <f aca="false">AN509*G509</f>
        <v>449.8</v>
      </c>
      <c r="AR509" s="57" t="n">
        <f aca="false">ROUNDUP(MAX(J509/IF(BZ509&gt;0,BZ509,MAX(0.1,N(Cockpit!$I$6))),CC509)/BS509,0)*BS509</f>
        <v>865</v>
      </c>
      <c r="AS509" s="58" t="n">
        <f aca="false">IF(AP509&gt;0,J509/AP509,-1)</f>
        <v>17888</v>
      </c>
      <c r="AT509" s="58" t="n">
        <f aca="false">IF(AND(OR(BY509="L1",BY509="L23"),AP509&gt;0),SUMIFS($AP$7:$AP$1843,$BY$7:$BY$1843,BY509,$AS$7:$AS$1843,"&gt;"&amp;AS509)+SUMIFS($AP$7:$AP$1843,$BY$7:$BY$1843,BY509,$AS$7:$AS$1843,AS509,$BQ$7:$BQ$1843,"&lt;="&amp;BQ509),"")</f>
        <v>4.54259146650451</v>
      </c>
      <c r="AU509" s="65" t="n">
        <f aca="false">IF(AT509="",0,MAX(0,MIN(1,(IF(BY509="L1",Parameter!$E$5,Parameter!$E$6+Parameter!$E$7)-(AT509-AP509))/AP509)))</f>
        <v>1</v>
      </c>
      <c r="AV509" s="57" t="n">
        <f aca="false">IF(LEFT(Cockpit!$O$5,1)="A",H509,IF(CA509=1,CB509,IF(LEFT(Cockpit!$O$5,1)="B",AZ509,MAX(AZ509,H509))))</f>
        <v>865</v>
      </c>
      <c r="AW509" s="57" t="n">
        <f aca="false">IF(BT509=1,0,ROUNDUP(AV509/BS509,0))</f>
        <v>1</v>
      </c>
      <c r="AX509" s="59" t="n">
        <f aca="false">IF(CH509&gt;0,CH509*MAX(1,AV509/X509),IF(BT509=1,IF(AV509&lt;=0,0,BW509*MAX(1,IF(H509&gt;0,AV509/H509,1))),IF(R509&gt;0,AW509/R509,0))/MAX(0.1,N(Parameter!$M$21)))</f>
        <v>0.0384615384615385</v>
      </c>
      <c r="AY509" s="57" t="n">
        <f aca="false">AV509*G509</f>
        <v>449.8</v>
      </c>
      <c r="AZ509" s="57" t="n">
        <f aca="false">ROUNDUP(MAX(J509/IF(BZ509&gt;0,BZ509,MAX(0.1,N(Cockpit!$O$6))),CC509)/BS509,0)*BS509</f>
        <v>865</v>
      </c>
      <c r="BA509" s="58" t="n">
        <f aca="false">IF(AX509&gt;0,J509/AX509,-1)</f>
        <v>17888</v>
      </c>
      <c r="BB509" s="58" t="n">
        <f aca="false">IF(AND(OR(BY509="L1",BY509="L23"),AX509&gt;0),SUMIFS($AX$7:$AX$1843,$BY$7:$BY$1843,BY509,$BA$7:$BA$1843,"&gt;"&amp;BA509)+SUMIFS($AX$7:$AX$1843,$BY$7:$BY$1843,BY509,$BA$7:$BA$1843,BA509,$BQ$7:$BQ$1843,"&lt;="&amp;BQ509),"")</f>
        <v>4.18012060403365</v>
      </c>
      <c r="BC509" s="65" t="n">
        <f aca="false">IF(BB509="",0,MAX(0,MIN(1,(IF(BY509="L1",Parameter!$E$5,Parameter!$E$6+Parameter!$E$7)-(BB509-AX509))/AX509)))</f>
        <v>1</v>
      </c>
      <c r="BD509" s="55" t="str">
        <f aca="false">IF(AH509&lt;=0,"",IF(BY509="Aussen","Aussenlager",IF(BY509="-","Nicht im Lift",IF(AM509&gt;=1,"Lift",IF(AM509&lt;=0,"Aussenlager","teilweise")))))</f>
        <v>Lift</v>
      </c>
      <c r="BE509" s="55" t="str">
        <f aca="false">IF(AP509&lt;=0,"",IF(BY509="Aussen","Aussenlager",IF(BY509="-","Nicht im Lift",IF(AU509&gt;=1,"Lift",IF(AU509&lt;=0,"Aussenlager","teilweise")))))</f>
        <v>Lift</v>
      </c>
      <c r="BF509" s="55" t="str">
        <f aca="false">IF(AX509&lt;=0,"",IF(BY509="Aussen","Aussenlager",IF(BY509="-","Nicht im Lift",IF(BC509&gt;=1,"Lift",IF(BC509&lt;=0,"Aussenlager","teilweise")))))</f>
        <v>Lift</v>
      </c>
      <c r="BG509" s="55" t="str">
        <f aca="false">IF(A509="","",IF(BP509=1,"Neu; ","")&amp;IF(AND(BP509=0,BK509&lt;0),"negativer Bestand (Export "&amp;BK509&amp;"); ","")&amp;IF(J509&lt;=0,"Kein Verbrauch; ","")&amp;IF(CH509&gt;0,"Lift "&amp;W509&amp;" lt. Liftbericht (Fach "&amp;X509&amp;" Stk); ",IF(BU509=1,"Gebinde geschätzt ("&amp;T509&amp;"); ",IF(BT509=1,"Lose – Tablare geschätzt; ","")))&amp;IF(H509&gt;AR509,"Überbestand "&amp;ROUND(H509-AR509,0)&amp;" Stk / CHF "&amp;ROUND((H509-AR509)*G509,0)&amp;"; ","")&amp;IF(AND(CA509=1,CB509&lt;CC509),"MAX &lt; MB+LG; ","")&amp;IF(AND(CG509&gt;0,CF509*10&gt;CG509),"zu hoch für Tablar; ","")&amp;IF(AND(BP509=0,OR(CA509=1,AA509&lt;&gt;"",U509&lt;&gt;"",V509&lt;&gt;"",AB509&lt;&gt;"")),"manuell übersteuert; ","")&amp;IF(AND(BT509=0,R509=0),"Gebinde unbekannt / Stellmass fehlt; ","")&amp;IF(AND(BT509=0,N(V509)&lt;=0,N(Q509)&lt;=0),"Menge pro Gebinde fehlt (Ist = 1 Gebinde); ","")&amp;BO509)</f>
        <v/>
      </c>
      <c r="BH509" s="55"/>
      <c r="BI509" s="55"/>
      <c r="BJ509" s="62"/>
      <c r="BK509" s="57" t="n">
        <v>141</v>
      </c>
      <c r="BL509" s="57" t="n">
        <v>366</v>
      </c>
      <c r="BM509" s="56" t="n">
        <v>33.8299999999996</v>
      </c>
      <c r="BN509" s="57" t="n">
        <v>688</v>
      </c>
      <c r="BO509" s="55"/>
      <c r="BP509" s="60" t="n">
        <v>0</v>
      </c>
      <c r="BQ509" s="60" t="n">
        <v>509</v>
      </c>
      <c r="BR509" s="55" t="str">
        <f aca="false">IF(U509&lt;&gt;"",UPPER(TRIM(U509)),IF(BU509=1,UPPER(VLOOKUP(T509,Parameter!$I$27:$K$29,2,0)),IF(P509="","LOSE",P509)))</f>
        <v>S52</v>
      </c>
      <c r="BS509" s="57" t="n">
        <f aca="false">IF(BR509="LOSE",1,IF(N(V509)&gt;0,V509,IF(BU509=1,MAX(1,N(VLOOKUP(T509,Parameter!$I$27:$K$29,3,0)),H509,N(N509)),IF(N(Q509)&gt;0,Q509,MAX(1,H509)))))</f>
        <v>865</v>
      </c>
      <c r="BT509" s="60" t="n">
        <f aca="false">IF(BR509="LOSE",1,0)</f>
        <v>0</v>
      </c>
      <c r="BU509" s="60" t="n">
        <f aca="false">IF(AND(U509="",OR(P509="",P509="LOSE"),T509&lt;&gt;"",N(S509)&lt;=0,ISNUMBER(MATCH(T509,Parameter!$I$27:$I$29,0))),1,0)</f>
        <v>0</v>
      </c>
      <c r="BV509" s="55" t="str">
        <f aca="false">IF(AND(Parameter!$B$19="Ja",E509&lt;&gt;"",ISNUMBER(MATCH(E509,Parameter!$I$35:$I$52,0))),VLOOKUP(E509,Parameter!$I$35:$J$52,2,0),IFERROR(VLOOKUP(D509,Parameter!$A$35:$C$64,2,0),"Nein"))</f>
        <v>2+3</v>
      </c>
      <c r="BW509" s="59" t="n">
        <f aca="false">IF(BT509=0,0,IF(N(S509)&gt;0,S509,IFERROR(VLOOKUP(D509,Parameter!$A$35:$C$64,3,0)+0,0)))</f>
        <v>0</v>
      </c>
      <c r="BX509" s="55" t="n">
        <f aca="false">IF(AA509&lt;&gt;"",AA509,Z509)</f>
        <v>3</v>
      </c>
      <c r="BY509" s="55" t="str">
        <f aca="false">IF(BX509=1,"L1",IF(OR(BX509=2,BX509=3),"L23",IF(BX509="Aussen","Aussen","-")))</f>
        <v>L23</v>
      </c>
      <c r="BZ509" s="66" t="n">
        <f aca="false">IF(N(AB509)&gt;0,AB509,0)</f>
        <v>0</v>
      </c>
      <c r="CA509" s="60" t="n">
        <f aca="false">IF(ISNUMBER(AE509),1,0)</f>
        <v>0</v>
      </c>
      <c r="CB509" s="57" t="n">
        <f aca="false">N(AE509)</f>
        <v>0</v>
      </c>
      <c r="CC509" s="57" t="n">
        <f aca="false">N(M509)+N(N509)</f>
        <v>716</v>
      </c>
      <c r="CD509" s="57" t="n">
        <f aca="false">ROUNDUP(H509/BS509,0)</f>
        <v>1</v>
      </c>
      <c r="CE509" s="57" t="n">
        <f aca="false">ROUNDUP(CB509/BS509,0)</f>
        <v>0</v>
      </c>
      <c r="CF509" s="60" t="n">
        <f aca="false">IF(BT509=1,0,IFERROR(VLOOKUP(BR509,'Gebinde-Kategorie'!$A$5:$M$45,5,0)+0,0))</f>
        <v>21</v>
      </c>
      <c r="CG509" s="60" t="n">
        <f aca="false">IFERROR(IF(OR(BX509=1,BX509=2,BX509=3),N(INDEX(Parameter!$I$5:$I$7,BX509)),0),0)</f>
        <v>0</v>
      </c>
      <c r="CH509" s="59" t="n">
        <f aca="false">IF(AND(Parameter!$B$21="Ja",ISNUMBER(W509),N(X509)&gt;0),IFERROR(N(INDEX(Parameter!$L$5:$L$7,W509))*INDEX(Parameter!$E$5:$E$7,W509)*X509/SUMIFS($X$7:$X$1843,$W$7:$W$1843,W509),0),0)</f>
        <v>0</v>
      </c>
    </row>
    <row r="510" customFormat="false" ht="15" hidden="false" customHeight="false" outlineLevel="0" collapsed="false">
      <c r="A510" s="55" t="s">
        <v>1115</v>
      </c>
      <c r="B510" s="55" t="s">
        <v>589</v>
      </c>
      <c r="C510" s="55" t="s">
        <v>164</v>
      </c>
      <c r="D510" s="55" t="s">
        <v>184</v>
      </c>
      <c r="E510" s="55"/>
      <c r="F510" s="55" t="s">
        <v>218</v>
      </c>
      <c r="G510" s="56" t="n">
        <v>2.6</v>
      </c>
      <c r="H510" s="57" t="n">
        <f aca="false">MAX(0,IF(AND(Parameter!$B$21="Ja",ISNUMBER(Y510)),Y510,IF(Parameter!$B$20="Jahresanfang 2025 + Export",BL510+BK510,BK510)))</f>
        <v>13</v>
      </c>
      <c r="I510" s="57" t="n">
        <f aca="false">H510*G510</f>
        <v>33.8</v>
      </c>
      <c r="J510" s="57" t="n">
        <f aca="false">BN510*Parameter!$B$18</f>
        <v>1</v>
      </c>
      <c r="K510" s="58" t="n">
        <v>9.5</v>
      </c>
      <c r="L510" s="59" t="n">
        <v>0.105263157894737</v>
      </c>
      <c r="M510" s="57" t="n">
        <v>0</v>
      </c>
      <c r="N510" s="57" t="n">
        <v>1</v>
      </c>
      <c r="O510" s="60" t="n">
        <v>14</v>
      </c>
      <c r="P510" s="55" t="s">
        <v>401</v>
      </c>
      <c r="Q510" s="57" t="n">
        <v>20</v>
      </c>
      <c r="R510" s="60" t="n">
        <f aca="false">IF(BT510=1,0,IFERROR(VLOOKUP(BR510,'Gebinde-Kategorie'!$A$5:$M$45,13,0)+0,0))</f>
        <v>414</v>
      </c>
      <c r="S510" s="61"/>
      <c r="T510" s="62"/>
      <c r="U510" s="62"/>
      <c r="V510" s="62"/>
      <c r="W510" s="55"/>
      <c r="X510" s="57"/>
      <c r="Y510" s="57"/>
      <c r="Z510" s="55" t="n">
        <f aca="false">IF(A510="","",IF(AND(Parameter!$B$21="Ja",ISNUMBER(W510)),W510,IF(BV510="2+3",IF(ISNUMBER(SEARCH("grosser Artikel",BO510)),2,IFERROR(VLOOKUP(BR510,Parameter!$F$35:$G$64,2,0),2)),IF(OR(BV510="Nein",BV510=""),"-",BV510))))</f>
        <v>3</v>
      </c>
      <c r="AA510" s="62"/>
      <c r="AB510" s="63"/>
      <c r="AC510" s="57" t="n">
        <f aca="false">AR510</f>
        <v>20</v>
      </c>
      <c r="AD510" s="57" t="n">
        <f aca="false">MAX(AR510,H510)</f>
        <v>20</v>
      </c>
      <c r="AE510" s="64"/>
      <c r="AF510" s="57" t="n">
        <f aca="false">IF(LEFT(Cockpit!$C$5,1)="A",H510,IF(CA510=1,CB510,IF(LEFT(Cockpit!$C$5,1)="B",AJ510,MAX(AJ510,H510))))</f>
        <v>13</v>
      </c>
      <c r="AG510" s="57" t="n">
        <f aca="false">IF(BT510=1,0,ROUNDUP(AF510/BS510,0))</f>
        <v>1</v>
      </c>
      <c r="AH510" s="59" t="n">
        <f aca="false">IF(CH510&gt;0,CH510*MAX(1,AF510/X510),IF(BT510=1,IF(AF510&lt;=0,0,BW510*MAX(1,IF(H510&gt;0,AF510/H510,1))),IF(R510&gt;0,AG510/R510,0))/MAX(0.1,N(Parameter!$M$21)))</f>
        <v>0.00241545893719807</v>
      </c>
      <c r="AI510" s="57" t="n">
        <f aca="false">AF510*G510</f>
        <v>33.8</v>
      </c>
      <c r="AJ510" s="57" t="n">
        <f aca="false">ROUNDUP(MAX(J510/IF(BZ510&gt;0,BZ510,MAX(0.1,N(Cockpit!$C$6))),CC510)/BS510,0)*BS510</f>
        <v>20</v>
      </c>
      <c r="AK510" s="58" t="n">
        <f aca="false">IF(AH510&gt;0,J510/AH510,-1)</f>
        <v>414</v>
      </c>
      <c r="AL510" s="58" t="n">
        <f aca="false">IF(AND(OR(BY510="L1",BY510="L23"),AH510&gt;0),SUMIFS($AH$7:$AH$1843,$BY$7:$BY$1843,BY510,$AK$7:$AK$1843,"&gt;"&amp;AK510)+SUMIFS($AH$7:$AH$1843,$BY$7:$BY$1843,BY510,$AK$7:$AK$1843,AK510,$BQ$7:$BQ$1843,"&lt;="&amp;BQ510),"")</f>
        <v>25.4210837471707</v>
      </c>
      <c r="AM510" s="65" t="n">
        <f aca="false">IF(AL510="",0,MAX(0,MIN(1,(IF(BY510="L1",Parameter!$E$5,Parameter!$E$6+Parameter!$E$7)-(AL510-AH510))/AH510)))</f>
        <v>1</v>
      </c>
      <c r="AN510" s="57" t="n">
        <f aca="false">IF(LEFT(Cockpit!$I$5,1)="A",H510,IF(CA510=1,CB510,IF(LEFT(Cockpit!$I$5,1)="B",AR510,MAX(AR510,H510))))</f>
        <v>20</v>
      </c>
      <c r="AO510" s="57" t="n">
        <f aca="false">IF(BT510=1,0,ROUNDUP(AN510/BS510,0))</f>
        <v>1</v>
      </c>
      <c r="AP510" s="59" t="n">
        <f aca="false">IF(CH510&gt;0,CH510*MAX(1,AN510/X510),IF(BT510=1,IF(AN510&lt;=0,0,BW510*MAX(1,IF(H510&gt;0,AN510/H510,1))),IF(R510&gt;0,AO510/R510,0))/MAX(0.1,N(Parameter!$M$21)))</f>
        <v>0.00241545893719807</v>
      </c>
      <c r="AQ510" s="57" t="n">
        <f aca="false">AN510*G510</f>
        <v>52</v>
      </c>
      <c r="AR510" s="57" t="n">
        <f aca="false">ROUNDUP(MAX(J510/IF(BZ510&gt;0,BZ510,MAX(0.1,N(Cockpit!$I$6))),CC510)/BS510,0)*BS510</f>
        <v>20</v>
      </c>
      <c r="AS510" s="58" t="n">
        <f aca="false">IF(AP510&gt;0,J510/AP510,-1)</f>
        <v>414</v>
      </c>
      <c r="AT510" s="58" t="n">
        <f aca="false">IF(AND(OR(BY510="L1",BY510="L23"),AP510&gt;0),SUMIFS($AP$7:$AP$1843,$BY$7:$BY$1843,BY510,$AS$7:$AS$1843,"&gt;"&amp;AS510)+SUMIFS($AP$7:$AP$1843,$BY$7:$BY$1843,BY510,$AS$7:$AS$1843,AS510,$BQ$7:$BQ$1843,"&lt;="&amp;BQ510),"")</f>
        <v>35.0084878889227</v>
      </c>
      <c r="AU510" s="65" t="n">
        <f aca="false">IF(AT510="",0,MAX(0,MIN(1,(IF(BY510="L1",Parameter!$E$5,Parameter!$E$6+Parameter!$E$7)-(AT510-AP510))/AP510)))</f>
        <v>1</v>
      </c>
      <c r="AV510" s="57" t="n">
        <f aca="false">IF(LEFT(Cockpit!$O$5,1)="A",H510,IF(CA510=1,CB510,IF(LEFT(Cockpit!$O$5,1)="B",AZ510,MAX(AZ510,H510))))</f>
        <v>20</v>
      </c>
      <c r="AW510" s="57" t="n">
        <f aca="false">IF(BT510=1,0,ROUNDUP(AV510/BS510,0))</f>
        <v>1</v>
      </c>
      <c r="AX510" s="59" t="n">
        <f aca="false">IF(CH510&gt;0,CH510*MAX(1,AV510/X510),IF(BT510=1,IF(AV510&lt;=0,0,BW510*MAX(1,IF(H510&gt;0,AV510/H510,1))),IF(R510&gt;0,AW510/R510,0))/MAX(0.1,N(Parameter!$M$21)))</f>
        <v>0.00241545893719807</v>
      </c>
      <c r="AY510" s="57" t="n">
        <f aca="false">AV510*G510</f>
        <v>52</v>
      </c>
      <c r="AZ510" s="57" t="n">
        <f aca="false">ROUNDUP(MAX(J510/IF(BZ510&gt;0,BZ510,MAX(0.1,N(Cockpit!$O$6))),CC510)/BS510,0)*BS510</f>
        <v>20</v>
      </c>
      <c r="BA510" s="58" t="n">
        <f aca="false">IF(AX510&gt;0,J510/AX510,-1)</f>
        <v>414</v>
      </c>
      <c r="BB510" s="58" t="n">
        <f aca="false">IF(AND(OR(BY510="L1",BY510="L23"),AX510&gt;0),SUMIFS($AX$7:$AX$1843,$BY$7:$BY$1843,BY510,$BA$7:$BA$1843,"&gt;"&amp;BA510)+SUMIFS($AX$7:$AX$1843,$BY$7:$BY$1843,BY510,$BA$7:$BA$1843,BA510,$BQ$7:$BQ$1843,"&lt;="&amp;BQ510),"")</f>
        <v>34.2549913854262</v>
      </c>
      <c r="BC510" s="65" t="n">
        <f aca="false">IF(BB510="",0,MAX(0,MIN(1,(IF(BY510="L1",Parameter!$E$5,Parameter!$E$6+Parameter!$E$7)-(BB510-AX510))/AX510)))</f>
        <v>1</v>
      </c>
      <c r="BD510" s="55" t="str">
        <f aca="false">IF(AH510&lt;=0,"",IF(BY510="Aussen","Aussenlager",IF(BY510="-","Nicht im Lift",IF(AM510&gt;=1,"Lift",IF(AM510&lt;=0,"Aussenlager","teilweise")))))</f>
        <v>Lift</v>
      </c>
      <c r="BE510" s="55" t="str">
        <f aca="false">IF(AP510&lt;=0,"",IF(BY510="Aussen","Aussenlager",IF(BY510="-","Nicht im Lift",IF(AU510&gt;=1,"Lift",IF(AU510&lt;=0,"Aussenlager","teilweise")))))</f>
        <v>Lift</v>
      </c>
      <c r="BF510" s="55" t="str">
        <f aca="false">IF(AX510&lt;=0,"",IF(BY510="Aussen","Aussenlager",IF(BY510="-","Nicht im Lift",IF(BC510&gt;=1,"Lift",IF(BC510&lt;=0,"Aussenlager","teilweise")))))</f>
        <v>Lift</v>
      </c>
      <c r="BG510" s="55" t="str">
        <f aca="false">IF(A510="","",IF(BP510=1,"Neu; ","")&amp;IF(AND(BP510=0,BK510&lt;0),"negativer Bestand (Export "&amp;BK510&amp;"); ","")&amp;IF(J510&lt;=0,"Kein Verbrauch; ","")&amp;IF(CH510&gt;0,"Lift "&amp;W510&amp;" lt. Liftbericht (Fach "&amp;X510&amp;" Stk); ",IF(BU510=1,"Gebinde geschätzt ("&amp;T510&amp;"); ",IF(BT510=1,"Lose – Tablare geschätzt; ","")))&amp;IF(H510&gt;AR510,"Überbestand "&amp;ROUND(H510-AR510,0)&amp;" Stk / CHF "&amp;ROUND((H510-AR510)*G510,0)&amp;"; ","")&amp;IF(AND(CA510=1,CB510&lt;CC510),"MAX &lt; MB+LG; ","")&amp;IF(AND(CG510&gt;0,CF510*10&gt;CG510),"zu hoch für Tablar; ","")&amp;IF(AND(BP510=0,OR(CA510=1,AA510&lt;&gt;"",U510&lt;&gt;"",V510&lt;&gt;"",AB510&lt;&gt;"")),"manuell übersteuert; ","")&amp;IF(AND(BT510=0,R510=0),"Gebinde unbekannt / Stellmass fehlt; ","")&amp;IF(AND(BT510=0,N(V510)&lt;=0,N(Q510)&lt;=0),"Menge pro Gebinde fehlt (Ist = 1 Gebinde); ","")&amp;BO510)</f>
        <v/>
      </c>
      <c r="BH510" s="55"/>
      <c r="BI510" s="55"/>
      <c r="BJ510" s="62"/>
      <c r="BK510" s="57" t="n">
        <v>13</v>
      </c>
      <c r="BL510" s="57" t="n">
        <v>0</v>
      </c>
      <c r="BM510" s="56" t="n">
        <v>33.8</v>
      </c>
      <c r="BN510" s="57" t="n">
        <v>1</v>
      </c>
      <c r="BO510" s="55"/>
      <c r="BP510" s="60" t="n">
        <v>0</v>
      </c>
      <c r="BQ510" s="60" t="n">
        <v>510</v>
      </c>
      <c r="BR510" s="55" t="str">
        <f aca="false">IF(U510&lt;&gt;"",UPPER(TRIM(U510)),IF(BU510=1,UPPER(VLOOKUP(T510,Parameter!$I$27:$K$29,2,0)),IF(P510="","LOSE",P510)))</f>
        <v>S21</v>
      </c>
      <c r="BS510" s="57" t="n">
        <f aca="false">IF(BR510="LOSE",1,IF(N(V510)&gt;0,V510,IF(BU510=1,MAX(1,N(VLOOKUP(T510,Parameter!$I$27:$K$29,3,0)),H510,N(N510)),IF(N(Q510)&gt;0,Q510,MAX(1,H510)))))</f>
        <v>20</v>
      </c>
      <c r="BT510" s="60" t="n">
        <f aca="false">IF(BR510="LOSE",1,0)</f>
        <v>0</v>
      </c>
      <c r="BU510" s="60" t="n">
        <f aca="false">IF(AND(U510="",OR(P510="",P510="LOSE"),T510&lt;&gt;"",N(S510)&lt;=0,ISNUMBER(MATCH(T510,Parameter!$I$27:$I$29,0))),1,0)</f>
        <v>0</v>
      </c>
      <c r="BV510" s="55" t="str">
        <f aca="false">IF(AND(Parameter!$B$19="Ja",E510&lt;&gt;"",ISNUMBER(MATCH(E510,Parameter!$I$35:$I$52,0))),VLOOKUP(E510,Parameter!$I$35:$J$52,2,0),IFERROR(VLOOKUP(D510,Parameter!$A$35:$C$64,2,0),"Nein"))</f>
        <v>2+3</v>
      </c>
      <c r="BW510" s="59" t="n">
        <f aca="false">IF(BT510=0,0,IF(N(S510)&gt;0,S510,IFERROR(VLOOKUP(D510,Parameter!$A$35:$C$64,3,0)+0,0)))</f>
        <v>0</v>
      </c>
      <c r="BX510" s="55" t="n">
        <f aca="false">IF(AA510&lt;&gt;"",AA510,Z510)</f>
        <v>3</v>
      </c>
      <c r="BY510" s="55" t="str">
        <f aca="false">IF(BX510=1,"L1",IF(OR(BX510=2,BX510=3),"L23",IF(BX510="Aussen","Aussen","-")))</f>
        <v>L23</v>
      </c>
      <c r="BZ510" s="66" t="n">
        <f aca="false">IF(N(AB510)&gt;0,AB510,0)</f>
        <v>0</v>
      </c>
      <c r="CA510" s="60" t="n">
        <f aca="false">IF(ISNUMBER(AE510),1,0)</f>
        <v>0</v>
      </c>
      <c r="CB510" s="57" t="n">
        <f aca="false">N(AE510)</f>
        <v>0</v>
      </c>
      <c r="CC510" s="57" t="n">
        <f aca="false">N(M510)+N(N510)</f>
        <v>1</v>
      </c>
      <c r="CD510" s="57" t="n">
        <f aca="false">ROUNDUP(H510/BS510,0)</f>
        <v>1</v>
      </c>
      <c r="CE510" s="57" t="n">
        <f aca="false">ROUNDUP(CB510/BS510,0)</f>
        <v>0</v>
      </c>
      <c r="CF510" s="60" t="n">
        <f aca="false">IF(BT510=1,0,IFERROR(VLOOKUP(BR510,'Gebinde-Kategorie'!$A$5:$M$45,5,0)+0,0))</f>
        <v>8</v>
      </c>
      <c r="CG510" s="60" t="n">
        <f aca="false">IFERROR(IF(OR(BX510=1,BX510=2,BX510=3),N(INDEX(Parameter!$I$5:$I$7,BX510)),0),0)</f>
        <v>0</v>
      </c>
      <c r="CH510" s="59" t="n">
        <f aca="false">IF(AND(Parameter!$B$21="Ja",ISNUMBER(W510),N(X510)&gt;0),IFERROR(N(INDEX(Parameter!$L$5:$L$7,W510))*INDEX(Parameter!$E$5:$E$7,W510)*X510/SUMIFS($X$7:$X$1843,$W$7:$W$1843,W510),0),0)</f>
        <v>0</v>
      </c>
    </row>
    <row r="511" customFormat="false" ht="15" hidden="false" customHeight="false" outlineLevel="0" collapsed="false">
      <c r="A511" s="55" t="s">
        <v>1116</v>
      </c>
      <c r="B511" s="55" t="s">
        <v>489</v>
      </c>
      <c r="C511" s="55" t="s">
        <v>164</v>
      </c>
      <c r="D511" s="55" t="s">
        <v>184</v>
      </c>
      <c r="E511" s="55" t="s">
        <v>185</v>
      </c>
      <c r="F511" s="55" t="s">
        <v>218</v>
      </c>
      <c r="G511" s="56" t="n">
        <v>18.95</v>
      </c>
      <c r="H511" s="57" t="n">
        <f aca="false">MAX(0,IF(AND(Parameter!$B$21="Ja",ISNUMBER(Y511)),Y511,IF(Parameter!$B$20="Jahresanfang 2025 + Export",BL511+BK511,BK511)))</f>
        <v>60</v>
      </c>
      <c r="I511" s="57" t="n">
        <f aca="false">H511*G511</f>
        <v>1137</v>
      </c>
      <c r="J511" s="57" t="n">
        <f aca="false">BN511*Parameter!$B$18</f>
        <v>286</v>
      </c>
      <c r="K511" s="58" t="n">
        <v>72.5</v>
      </c>
      <c r="L511" s="59" t="n">
        <v>3.9448275862069</v>
      </c>
      <c r="M511" s="57" t="n">
        <v>5</v>
      </c>
      <c r="N511" s="57" t="n">
        <v>185</v>
      </c>
      <c r="O511" s="60" t="n">
        <v>7</v>
      </c>
      <c r="P511" s="55" t="s">
        <v>302</v>
      </c>
      <c r="Q511" s="57" t="n">
        <v>255</v>
      </c>
      <c r="R511" s="60" t="n">
        <f aca="false">IF(BT511=1,0,IFERROR(VLOOKUP(BR511,'Gebinde-Kategorie'!$A$5:$M$45,13,0)+0,0))</f>
        <v>26</v>
      </c>
      <c r="S511" s="61"/>
      <c r="T511" s="62"/>
      <c r="U511" s="62"/>
      <c r="V511" s="62"/>
      <c r="W511" s="55"/>
      <c r="X511" s="57"/>
      <c r="Y511" s="57"/>
      <c r="Z511" s="55" t="n">
        <f aca="false">IF(A511="","",IF(AND(Parameter!$B$21="Ja",ISNUMBER(W511)),W511,IF(BV511="2+3",IF(ISNUMBER(SEARCH("grosser Artikel",BO511)),2,IFERROR(VLOOKUP(BR511,Parameter!$F$35:$G$64,2,0),2)),IF(OR(BV511="Nein",BV511=""),"-",BV511))))</f>
        <v>3</v>
      </c>
      <c r="AA511" s="62"/>
      <c r="AB511" s="63"/>
      <c r="AC511" s="57" t="n">
        <f aca="false">AR511</f>
        <v>255</v>
      </c>
      <c r="AD511" s="57" t="n">
        <f aca="false">MAX(AR511,H511)</f>
        <v>255</v>
      </c>
      <c r="AE511" s="64"/>
      <c r="AF511" s="57" t="n">
        <f aca="false">IF(LEFT(Cockpit!$C$5,1)="A",H511,IF(CA511=1,CB511,IF(LEFT(Cockpit!$C$5,1)="B",AJ511,MAX(AJ511,H511))))</f>
        <v>60</v>
      </c>
      <c r="AG511" s="57" t="n">
        <f aca="false">IF(BT511=1,0,ROUNDUP(AF511/BS511,0))</f>
        <v>1</v>
      </c>
      <c r="AH511" s="59" t="n">
        <f aca="false">IF(CH511&gt;0,CH511*MAX(1,AF511/X511),IF(BT511=1,IF(AF511&lt;=0,0,BW511*MAX(1,IF(H511&gt;0,AF511/H511,1))),IF(R511&gt;0,AG511/R511,0))/MAX(0.1,N(Parameter!$M$21)))</f>
        <v>0.0384615384615385</v>
      </c>
      <c r="AI511" s="57" t="n">
        <f aca="false">AF511*G511</f>
        <v>1137</v>
      </c>
      <c r="AJ511" s="57" t="n">
        <f aca="false">ROUNDUP(MAX(J511/IF(BZ511&gt;0,BZ511,MAX(0.1,N(Cockpit!$C$6))),CC511)/BS511,0)*BS511</f>
        <v>255</v>
      </c>
      <c r="AK511" s="58" t="n">
        <f aca="false">IF(AH511&gt;0,J511/AH511,-1)</f>
        <v>7436</v>
      </c>
      <c r="AL511" s="58" t="n">
        <f aca="false">IF(AND(OR(BY511="L1",BY511="L23"),AH511&gt;0),SUMIFS($AH$7:$AH$1843,$BY$7:$BY$1843,BY511,$AK$7:$AK$1843,"&gt;"&amp;AK511)+SUMIFS($AH$7:$AH$1843,$BY$7:$BY$1843,BY511,$AK$7:$AK$1843,AK511,$BQ$7:$BQ$1843,"&lt;="&amp;BQ511),"")</f>
        <v>5.90833079963515</v>
      </c>
      <c r="AM511" s="65" t="n">
        <f aca="false">IF(AL511="",0,MAX(0,MIN(1,(IF(BY511="L1",Parameter!$E$5,Parameter!$E$6+Parameter!$E$7)-(AL511-AH511))/AH511)))</f>
        <v>1</v>
      </c>
      <c r="AN511" s="57" t="n">
        <f aca="false">IF(LEFT(Cockpit!$I$5,1)="A",H511,IF(CA511=1,CB511,IF(LEFT(Cockpit!$I$5,1)="B",AR511,MAX(AR511,H511))))</f>
        <v>255</v>
      </c>
      <c r="AO511" s="57" t="n">
        <f aca="false">IF(BT511=1,0,ROUNDUP(AN511/BS511,0))</f>
        <v>1</v>
      </c>
      <c r="AP511" s="59" t="n">
        <f aca="false">IF(CH511&gt;0,CH511*MAX(1,AN511/X511),IF(BT511=1,IF(AN511&lt;=0,0,BW511*MAX(1,IF(H511&gt;0,AN511/H511,1))),IF(R511&gt;0,AO511/R511,0))/MAX(0.1,N(Parameter!$M$21)))</f>
        <v>0.0384615384615385</v>
      </c>
      <c r="AQ511" s="57" t="n">
        <f aca="false">AN511*G511</f>
        <v>4832.25</v>
      </c>
      <c r="AR511" s="57" t="n">
        <f aca="false">ROUNDUP(MAX(J511/IF(BZ511&gt;0,BZ511,MAX(0.1,N(Cockpit!$I$6))),CC511)/BS511,0)*BS511</f>
        <v>255</v>
      </c>
      <c r="AS511" s="58" t="n">
        <f aca="false">IF(AP511&gt;0,J511/AP511,-1)</f>
        <v>7436</v>
      </c>
      <c r="AT511" s="58" t="n">
        <f aca="false">IF(AND(OR(BY511="L1",BY511="L23"),AP511&gt;0),SUMIFS($AP$7:$AP$1843,$BY$7:$BY$1843,BY511,$AS$7:$AS$1843,"&gt;"&amp;AS511)+SUMIFS($AP$7:$AP$1843,$BY$7:$BY$1843,BY511,$AS$7:$AS$1843,AS511,$BQ$7:$BQ$1843,"&lt;="&amp;BQ511),"")</f>
        <v>9.07242998547346</v>
      </c>
      <c r="AU511" s="65" t="n">
        <f aca="false">IF(AT511="",0,MAX(0,MIN(1,(IF(BY511="L1",Parameter!$E$5,Parameter!$E$6+Parameter!$E$7)-(AT511-AP511))/AP511)))</f>
        <v>1</v>
      </c>
      <c r="AV511" s="57" t="n">
        <f aca="false">IF(LEFT(Cockpit!$O$5,1)="A",H511,IF(CA511=1,CB511,IF(LEFT(Cockpit!$O$5,1)="B",AZ511,MAX(AZ511,H511))))</f>
        <v>255</v>
      </c>
      <c r="AW511" s="57" t="n">
        <f aca="false">IF(BT511=1,0,ROUNDUP(AV511/BS511,0))</f>
        <v>1</v>
      </c>
      <c r="AX511" s="59" t="n">
        <f aca="false">IF(CH511&gt;0,CH511*MAX(1,AV511/X511),IF(BT511=1,IF(AV511&lt;=0,0,BW511*MAX(1,IF(H511&gt;0,AV511/H511,1))),IF(R511&gt;0,AW511/R511,0))/MAX(0.1,N(Parameter!$M$21)))</f>
        <v>0.0384615384615385</v>
      </c>
      <c r="AY511" s="57" t="n">
        <f aca="false">AV511*G511</f>
        <v>4832.25</v>
      </c>
      <c r="AZ511" s="57" t="n">
        <f aca="false">ROUNDUP(MAX(J511/IF(BZ511&gt;0,BZ511,MAX(0.1,N(Cockpit!$O$6))),CC511)/BS511,0)*BS511</f>
        <v>255</v>
      </c>
      <c r="BA511" s="58" t="n">
        <f aca="false">IF(AX511&gt;0,J511/AX511,-1)</f>
        <v>7436</v>
      </c>
      <c r="BB511" s="58" t="n">
        <f aca="false">IF(AND(OR(BY511="L1",BY511="L23"),AX511&gt;0),SUMIFS($AX$7:$AX$1843,$BY$7:$BY$1843,BY511,$BA$7:$BA$1843,"&gt;"&amp;BA511)+SUMIFS($AX$7:$AX$1843,$BY$7:$BY$1843,BY511,$BA$7:$BA$1843,BA511,$BQ$7:$BQ$1843,"&lt;="&amp;BQ511),"")</f>
        <v>8.80611296915645</v>
      </c>
      <c r="BC511" s="65" t="n">
        <f aca="false">IF(BB511="",0,MAX(0,MIN(1,(IF(BY511="L1",Parameter!$E$5,Parameter!$E$6+Parameter!$E$7)-(BB511-AX511))/AX511)))</f>
        <v>1</v>
      </c>
      <c r="BD511" s="55" t="str">
        <f aca="false">IF(AH511&lt;=0,"",IF(BY511="Aussen","Aussenlager",IF(BY511="-","Nicht im Lift",IF(AM511&gt;=1,"Lift",IF(AM511&lt;=0,"Aussenlager","teilweise")))))</f>
        <v>Lift</v>
      </c>
      <c r="BE511" s="55" t="str">
        <f aca="false">IF(AP511&lt;=0,"",IF(BY511="Aussen","Aussenlager",IF(BY511="-","Nicht im Lift",IF(AU511&gt;=1,"Lift",IF(AU511&lt;=0,"Aussenlager","teilweise")))))</f>
        <v>Lift</v>
      </c>
      <c r="BF511" s="55" t="str">
        <f aca="false">IF(AX511&lt;=0,"",IF(BY511="Aussen","Aussenlager",IF(BY511="-","Nicht im Lift",IF(BC511&gt;=1,"Lift",IF(BC511&lt;=0,"Aussenlager","teilweise")))))</f>
        <v>Lift</v>
      </c>
      <c r="BG511" s="55" t="str">
        <f aca="false">IF(A511="","",IF(BP511=1,"Neu; ","")&amp;IF(AND(BP511=0,BK511&lt;0),"negativer Bestand (Export "&amp;BK511&amp;"); ","")&amp;IF(J511&lt;=0,"Kein Verbrauch; ","")&amp;IF(CH511&gt;0,"Lift "&amp;W511&amp;" lt. Liftbericht (Fach "&amp;X511&amp;" Stk); ",IF(BU511=1,"Gebinde geschätzt ("&amp;T511&amp;"); ",IF(BT511=1,"Lose – Tablare geschätzt; ","")))&amp;IF(H511&gt;AR511,"Überbestand "&amp;ROUND(H511-AR511,0)&amp;" Stk / CHF "&amp;ROUND((H511-AR511)*G511,0)&amp;"; ","")&amp;IF(AND(CA511=1,CB511&lt;CC511),"MAX &lt; MB+LG; ","")&amp;IF(AND(CG511&gt;0,CF511*10&gt;CG511),"zu hoch für Tablar; ","")&amp;IF(AND(BP511=0,OR(CA511=1,AA511&lt;&gt;"",U511&lt;&gt;"",V511&lt;&gt;"",AB511&lt;&gt;"")),"manuell übersteuert; ","")&amp;IF(AND(BT511=0,R511=0),"Gebinde unbekannt / Stellmass fehlt; ","")&amp;IF(AND(BT511=0,N(V511)&lt;=0,N(Q511)&lt;=0),"Menge pro Gebinde fehlt (Ist = 1 Gebinde); ","")&amp;BO511)</f>
        <v/>
      </c>
      <c r="BH511" s="55"/>
      <c r="BI511" s="55"/>
      <c r="BJ511" s="62"/>
      <c r="BK511" s="57" t="n">
        <v>5</v>
      </c>
      <c r="BL511" s="57" t="n">
        <v>55</v>
      </c>
      <c r="BM511" s="56" t="n">
        <v>33.6900000000001</v>
      </c>
      <c r="BN511" s="57" t="n">
        <v>286</v>
      </c>
      <c r="BO511" s="55"/>
      <c r="BP511" s="60" t="n">
        <v>0</v>
      </c>
      <c r="BQ511" s="60" t="n">
        <v>511</v>
      </c>
      <c r="BR511" s="55" t="str">
        <f aca="false">IF(U511&lt;&gt;"",UPPER(TRIM(U511)),IF(BU511=1,UPPER(VLOOKUP(T511,Parameter!$I$27:$K$29,2,0)),IF(P511="","LOSE",P511)))</f>
        <v>S51</v>
      </c>
      <c r="BS511" s="57" t="n">
        <f aca="false">IF(BR511="LOSE",1,IF(N(V511)&gt;0,V511,IF(BU511=1,MAX(1,N(VLOOKUP(T511,Parameter!$I$27:$K$29,3,0)),H511,N(N511)),IF(N(Q511)&gt;0,Q511,MAX(1,H511)))))</f>
        <v>255</v>
      </c>
      <c r="BT511" s="60" t="n">
        <f aca="false">IF(BR511="LOSE",1,0)</f>
        <v>0</v>
      </c>
      <c r="BU511" s="60" t="n">
        <f aca="false">IF(AND(U511="",OR(P511="",P511="LOSE"),T511&lt;&gt;"",N(S511)&lt;=0,ISNUMBER(MATCH(T511,Parameter!$I$27:$I$29,0))),1,0)</f>
        <v>0</v>
      </c>
      <c r="BV511" s="55" t="str">
        <f aca="false">IF(AND(Parameter!$B$19="Ja",E511&lt;&gt;"",ISNUMBER(MATCH(E511,Parameter!$I$35:$I$52,0))),VLOOKUP(E511,Parameter!$I$35:$J$52,2,0),IFERROR(VLOOKUP(D511,Parameter!$A$35:$C$64,2,0),"Nein"))</f>
        <v>2+3</v>
      </c>
      <c r="BW511" s="59" t="n">
        <f aca="false">IF(BT511=0,0,IF(N(S511)&gt;0,S511,IFERROR(VLOOKUP(D511,Parameter!$A$35:$C$64,3,0)+0,0)))</f>
        <v>0</v>
      </c>
      <c r="BX511" s="55" t="n">
        <f aca="false">IF(AA511&lt;&gt;"",AA511,Z511)</f>
        <v>3</v>
      </c>
      <c r="BY511" s="55" t="str">
        <f aca="false">IF(BX511=1,"L1",IF(OR(BX511=2,BX511=3),"L23",IF(BX511="Aussen","Aussen","-")))</f>
        <v>L23</v>
      </c>
      <c r="BZ511" s="66" t="n">
        <f aca="false">IF(N(AB511)&gt;0,AB511,0)</f>
        <v>0</v>
      </c>
      <c r="CA511" s="60" t="n">
        <f aca="false">IF(ISNUMBER(AE511),1,0)</f>
        <v>0</v>
      </c>
      <c r="CB511" s="57" t="n">
        <f aca="false">N(AE511)</f>
        <v>0</v>
      </c>
      <c r="CC511" s="57" t="n">
        <f aca="false">N(M511)+N(N511)</f>
        <v>190</v>
      </c>
      <c r="CD511" s="57" t="n">
        <f aca="false">ROUNDUP(H511/BS511,0)</f>
        <v>1</v>
      </c>
      <c r="CE511" s="57" t="n">
        <f aca="false">ROUNDUP(CB511/BS511,0)</f>
        <v>0</v>
      </c>
      <c r="CF511" s="60" t="n">
        <f aca="false">IF(BT511=1,0,IFERROR(VLOOKUP(BR511,'Gebinde-Kategorie'!$A$5:$M$45,5,0)+0,0))</f>
        <v>11</v>
      </c>
      <c r="CG511" s="60" t="n">
        <f aca="false">IFERROR(IF(OR(BX511=1,BX511=2,BX511=3),N(INDEX(Parameter!$I$5:$I$7,BX511)),0),0)</f>
        <v>0</v>
      </c>
      <c r="CH511" s="59" t="n">
        <f aca="false">IF(AND(Parameter!$B$21="Ja",ISNUMBER(W511),N(X511)&gt;0),IFERROR(N(INDEX(Parameter!$L$5:$L$7,W511))*INDEX(Parameter!$E$5:$E$7,W511)*X511/SUMIFS($X$7:$X$1843,$W$7:$W$1843,W511),0),0)</f>
        <v>0</v>
      </c>
    </row>
    <row r="512" customFormat="false" ht="15" hidden="false" customHeight="false" outlineLevel="0" collapsed="false">
      <c r="A512" s="55" t="s">
        <v>1117</v>
      </c>
      <c r="B512" s="55" t="s">
        <v>1118</v>
      </c>
      <c r="C512" s="55" t="s">
        <v>164</v>
      </c>
      <c r="D512" s="55" t="s">
        <v>184</v>
      </c>
      <c r="E512" s="55" t="s">
        <v>185</v>
      </c>
      <c r="F512" s="55" t="s">
        <v>218</v>
      </c>
      <c r="G512" s="56" t="n">
        <v>43.1</v>
      </c>
      <c r="H512" s="57" t="n">
        <f aca="false">MAX(0,IF(AND(Parameter!$B$21="Ja",ISNUMBER(Y512)),Y512,IF(Parameter!$B$20="Jahresanfang 2025 + Export",BL512+BK512,BK512)))</f>
        <v>7</v>
      </c>
      <c r="I512" s="57" t="n">
        <f aca="false">H512*G512</f>
        <v>301.7</v>
      </c>
      <c r="J512" s="57" t="n">
        <f aca="false">BN512*Parameter!$B$18</f>
        <v>22</v>
      </c>
      <c r="K512" s="58" t="n">
        <v>9</v>
      </c>
      <c r="L512" s="59" t="n">
        <v>2.44444444444445</v>
      </c>
      <c r="M512" s="57" t="n">
        <v>1</v>
      </c>
      <c r="N512" s="57" t="n">
        <v>20</v>
      </c>
      <c r="O512" s="60" t="n">
        <v>28</v>
      </c>
      <c r="P512" s="55" t="s">
        <v>302</v>
      </c>
      <c r="Q512" s="57" t="n">
        <v>16</v>
      </c>
      <c r="R512" s="60" t="n">
        <f aca="false">IF(BT512=1,0,IFERROR(VLOOKUP(BR512,'Gebinde-Kategorie'!$A$5:$M$45,13,0)+0,0))</f>
        <v>26</v>
      </c>
      <c r="S512" s="61"/>
      <c r="T512" s="62"/>
      <c r="U512" s="62"/>
      <c r="V512" s="62"/>
      <c r="W512" s="55"/>
      <c r="X512" s="57"/>
      <c r="Y512" s="57"/>
      <c r="Z512" s="55" t="n">
        <f aca="false">IF(A512="","",IF(AND(Parameter!$B$21="Ja",ISNUMBER(W512)),W512,IF(BV512="2+3",IF(ISNUMBER(SEARCH("grosser Artikel",BO512)),2,IFERROR(VLOOKUP(BR512,Parameter!$F$35:$G$64,2,0),2)),IF(OR(BV512="Nein",BV512=""),"-",BV512))))</f>
        <v>3</v>
      </c>
      <c r="AA512" s="62"/>
      <c r="AB512" s="63"/>
      <c r="AC512" s="57" t="n">
        <f aca="false">AR512</f>
        <v>32</v>
      </c>
      <c r="AD512" s="57" t="n">
        <f aca="false">MAX(AR512,H512)</f>
        <v>32</v>
      </c>
      <c r="AE512" s="64"/>
      <c r="AF512" s="57" t="n">
        <f aca="false">IF(LEFT(Cockpit!$C$5,1)="A",H512,IF(CA512=1,CB512,IF(LEFT(Cockpit!$C$5,1)="B",AJ512,MAX(AJ512,H512))))</f>
        <v>7</v>
      </c>
      <c r="AG512" s="57" t="n">
        <f aca="false">IF(BT512=1,0,ROUNDUP(AF512/BS512,0))</f>
        <v>1</v>
      </c>
      <c r="AH512" s="59" t="n">
        <f aca="false">IF(CH512&gt;0,CH512*MAX(1,AF512/X512),IF(BT512=1,IF(AF512&lt;=0,0,BW512*MAX(1,IF(H512&gt;0,AF512/H512,1))),IF(R512&gt;0,AG512/R512,0))/MAX(0.1,N(Parameter!$M$21)))</f>
        <v>0.0384615384615385</v>
      </c>
      <c r="AI512" s="57" t="n">
        <f aca="false">AF512*G512</f>
        <v>301.7</v>
      </c>
      <c r="AJ512" s="57" t="n">
        <f aca="false">ROUNDUP(MAX(J512/IF(BZ512&gt;0,BZ512,MAX(0.1,N(Cockpit!$C$6))),CC512)/BS512,0)*BS512</f>
        <v>32</v>
      </c>
      <c r="AK512" s="58" t="n">
        <f aca="false">IF(AH512&gt;0,J512/AH512,-1)</f>
        <v>572</v>
      </c>
      <c r="AL512" s="58" t="n">
        <f aca="false">IF(AND(OR(BY512="L1",BY512="L23"),AH512&gt;0),SUMIFS($AH$7:$AH$1843,$BY$7:$BY$1843,BY512,$AK$7:$AK$1843,"&gt;"&amp;AK512)+SUMIFS($AH$7:$AH$1843,$BY$7:$BY$1843,BY512,$AK$7:$AK$1843,AK512,$BQ$7:$BQ$1843,"&lt;="&amp;BQ512),"")</f>
        <v>23.3729603729604</v>
      </c>
      <c r="AM512" s="65" t="n">
        <f aca="false">IF(AL512="",0,MAX(0,MIN(1,(IF(BY512="L1",Parameter!$E$5,Parameter!$E$6+Parameter!$E$7)-(AL512-AH512))/AH512)))</f>
        <v>1</v>
      </c>
      <c r="AN512" s="57" t="n">
        <f aca="false">IF(LEFT(Cockpit!$I$5,1)="A",H512,IF(CA512=1,CB512,IF(LEFT(Cockpit!$I$5,1)="B",AR512,MAX(AR512,H512))))</f>
        <v>32</v>
      </c>
      <c r="AO512" s="57" t="n">
        <f aca="false">IF(BT512=1,0,ROUNDUP(AN512/BS512,0))</f>
        <v>2</v>
      </c>
      <c r="AP512" s="59" t="n">
        <f aca="false">IF(CH512&gt;0,CH512*MAX(1,AN512/X512),IF(BT512=1,IF(AN512&lt;=0,0,BW512*MAX(1,IF(H512&gt;0,AN512/H512,1))),IF(R512&gt;0,AO512/R512,0))/MAX(0.1,N(Parameter!$M$21)))</f>
        <v>0.0769230769230769</v>
      </c>
      <c r="AQ512" s="57" t="n">
        <f aca="false">AN512*G512</f>
        <v>1379.2</v>
      </c>
      <c r="AR512" s="57" t="n">
        <f aca="false">ROUNDUP(MAX(J512/IF(BZ512&gt;0,BZ512,MAX(0.1,N(Cockpit!$I$6))),CC512)/BS512,0)*BS512</f>
        <v>32</v>
      </c>
      <c r="AS512" s="58" t="n">
        <f aca="false">IF(AP512&gt;0,J512/AP512,-1)</f>
        <v>286</v>
      </c>
      <c r="AT512" s="58" t="n">
        <f aca="false">IF(AND(OR(BY512="L1",BY512="L23"),AP512&gt;0),SUMIFS($AP$7:$AP$1843,$BY$7:$BY$1843,BY512,$AS$7:$AS$1843,"&gt;"&amp;AS512)+SUMIFS($AP$7:$AP$1843,$BY$7:$BY$1843,BY512,$AS$7:$AS$1843,AS512,$BQ$7:$BQ$1843,"&lt;="&amp;BQ512),"")</f>
        <v>41.6701378331813</v>
      </c>
      <c r="AU512" s="65" t="n">
        <f aca="false">IF(AT512="",0,MAX(0,MIN(1,(IF(BY512="L1",Parameter!$E$5,Parameter!$E$6+Parameter!$E$7)-(AT512-AP512))/AP512)))</f>
        <v>1</v>
      </c>
      <c r="AV512" s="57" t="n">
        <f aca="false">IF(LEFT(Cockpit!$O$5,1)="A",H512,IF(CA512=1,CB512,IF(LEFT(Cockpit!$O$5,1)="B",AZ512,MAX(AZ512,H512))))</f>
        <v>32</v>
      </c>
      <c r="AW512" s="57" t="n">
        <f aca="false">IF(BT512=1,0,ROUNDUP(AV512/BS512,0))</f>
        <v>2</v>
      </c>
      <c r="AX512" s="59" t="n">
        <f aca="false">IF(CH512&gt;0,CH512*MAX(1,AV512/X512),IF(BT512=1,IF(AV512&lt;=0,0,BW512*MAX(1,IF(H512&gt;0,AV512/H512,1))),IF(R512&gt;0,AW512/R512,0))/MAX(0.1,N(Parameter!$M$21)))</f>
        <v>0.0769230769230769</v>
      </c>
      <c r="AY512" s="57" t="n">
        <f aca="false">AV512*G512</f>
        <v>1379.2</v>
      </c>
      <c r="AZ512" s="57" t="n">
        <f aca="false">ROUNDUP(MAX(J512/IF(BZ512&gt;0,BZ512,MAX(0.1,N(Cockpit!$O$6))),CC512)/BS512,0)*BS512</f>
        <v>32</v>
      </c>
      <c r="BA512" s="58" t="n">
        <f aca="false">IF(AX512&gt;0,J512/AX512,-1)</f>
        <v>286</v>
      </c>
      <c r="BB512" s="58" t="n">
        <f aca="false">IF(AND(OR(BY512="L1",BY512="L23"),AX512&gt;0),SUMIFS($AX$7:$AX$1843,$BY$7:$BY$1843,BY512,$BA$7:$BA$1843,"&gt;"&amp;BA512)+SUMIFS($AX$7:$AX$1843,$BY$7:$BY$1843,BY512,$BA$7:$BA$1843,BA512,$BQ$7:$BQ$1843,"&lt;="&amp;BQ512),"")</f>
        <v>37.9999746630181</v>
      </c>
      <c r="BC512" s="65" t="n">
        <f aca="false">IF(BB512="",0,MAX(0,MIN(1,(IF(BY512="L1",Parameter!$E$5,Parameter!$E$6+Parameter!$E$7)-(BB512-AX512))/AX512)))</f>
        <v>1</v>
      </c>
      <c r="BD512" s="55" t="str">
        <f aca="false">IF(AH512&lt;=0,"",IF(BY512="Aussen","Aussenlager",IF(BY512="-","Nicht im Lift",IF(AM512&gt;=1,"Lift",IF(AM512&lt;=0,"Aussenlager","teilweise")))))</f>
        <v>Lift</v>
      </c>
      <c r="BE512" s="55" t="str">
        <f aca="false">IF(AP512&lt;=0,"",IF(BY512="Aussen","Aussenlager",IF(BY512="-","Nicht im Lift",IF(AU512&gt;=1,"Lift",IF(AU512&lt;=0,"Aussenlager","teilweise")))))</f>
        <v>Lift</v>
      </c>
      <c r="BF512" s="55" t="str">
        <f aca="false">IF(AX512&lt;=0,"",IF(BY512="Aussen","Aussenlager",IF(BY512="-","Nicht im Lift",IF(BC512&gt;=1,"Lift",IF(BC512&lt;=0,"Aussenlager","teilweise")))))</f>
        <v>Lift</v>
      </c>
      <c r="BG512" s="55" t="str">
        <f aca="false">IF(A512="","",IF(BP512=1,"Neu; ","")&amp;IF(AND(BP512=0,BK512&lt;0),"negativer Bestand (Export "&amp;BK512&amp;"); ","")&amp;IF(J512&lt;=0,"Kein Verbrauch; ","")&amp;IF(CH512&gt;0,"Lift "&amp;W512&amp;" lt. Liftbericht (Fach "&amp;X512&amp;" Stk); ",IF(BU512=1,"Gebinde geschätzt ("&amp;T512&amp;"); ",IF(BT512=1,"Lose – Tablare geschätzt; ","")))&amp;IF(H512&gt;AR512,"Überbestand "&amp;ROUND(H512-AR512,0)&amp;" Stk / CHF "&amp;ROUND((H512-AR512)*G512,0)&amp;"; ","")&amp;IF(AND(CA512=1,CB512&lt;CC512),"MAX &lt; MB+LG; ","")&amp;IF(AND(CG512&gt;0,CF512*10&gt;CG512),"zu hoch für Tablar; ","")&amp;IF(AND(BP512=0,OR(CA512=1,AA512&lt;&gt;"",U512&lt;&gt;"",V512&lt;&gt;"",AB512&lt;&gt;"")),"manuell übersteuert; ","")&amp;IF(AND(BT512=0,R512=0),"Gebinde unbekannt / Stellmass fehlt; ","")&amp;IF(AND(BT512=0,N(V512)&lt;=0,N(Q512)&lt;=0),"Menge pro Gebinde fehlt (Ist = 1 Gebinde); ","")&amp;BO512)</f>
        <v/>
      </c>
      <c r="BH512" s="55"/>
      <c r="BI512" s="55"/>
      <c r="BJ512" s="62"/>
      <c r="BK512" s="57" t="n">
        <v>1</v>
      </c>
      <c r="BL512" s="57" t="n">
        <v>6</v>
      </c>
      <c r="BM512" s="56" t="n">
        <v>32.7200000000002</v>
      </c>
      <c r="BN512" s="57" t="n">
        <v>22</v>
      </c>
      <c r="BO512" s="55"/>
      <c r="BP512" s="60" t="n">
        <v>0</v>
      </c>
      <c r="BQ512" s="60" t="n">
        <v>512</v>
      </c>
      <c r="BR512" s="55" t="str">
        <f aca="false">IF(U512&lt;&gt;"",UPPER(TRIM(U512)),IF(BU512=1,UPPER(VLOOKUP(T512,Parameter!$I$27:$K$29,2,0)),IF(P512="","LOSE",P512)))</f>
        <v>S51</v>
      </c>
      <c r="BS512" s="57" t="n">
        <f aca="false">IF(BR512="LOSE",1,IF(N(V512)&gt;0,V512,IF(BU512=1,MAX(1,N(VLOOKUP(T512,Parameter!$I$27:$K$29,3,0)),H512,N(N512)),IF(N(Q512)&gt;0,Q512,MAX(1,H512)))))</f>
        <v>16</v>
      </c>
      <c r="BT512" s="60" t="n">
        <f aca="false">IF(BR512="LOSE",1,0)</f>
        <v>0</v>
      </c>
      <c r="BU512" s="60" t="n">
        <f aca="false">IF(AND(U512="",OR(P512="",P512="LOSE"),T512&lt;&gt;"",N(S512)&lt;=0,ISNUMBER(MATCH(T512,Parameter!$I$27:$I$29,0))),1,0)</f>
        <v>0</v>
      </c>
      <c r="BV512" s="55" t="str">
        <f aca="false">IF(AND(Parameter!$B$19="Ja",E512&lt;&gt;"",ISNUMBER(MATCH(E512,Parameter!$I$35:$I$52,0))),VLOOKUP(E512,Parameter!$I$35:$J$52,2,0),IFERROR(VLOOKUP(D512,Parameter!$A$35:$C$64,2,0),"Nein"))</f>
        <v>2+3</v>
      </c>
      <c r="BW512" s="59" t="n">
        <f aca="false">IF(BT512=0,0,IF(N(S512)&gt;0,S512,IFERROR(VLOOKUP(D512,Parameter!$A$35:$C$64,3,0)+0,0)))</f>
        <v>0</v>
      </c>
      <c r="BX512" s="55" t="n">
        <f aca="false">IF(AA512&lt;&gt;"",AA512,Z512)</f>
        <v>3</v>
      </c>
      <c r="BY512" s="55" t="str">
        <f aca="false">IF(BX512=1,"L1",IF(OR(BX512=2,BX512=3),"L23",IF(BX512="Aussen","Aussen","-")))</f>
        <v>L23</v>
      </c>
      <c r="BZ512" s="66" t="n">
        <f aca="false">IF(N(AB512)&gt;0,AB512,0)</f>
        <v>0</v>
      </c>
      <c r="CA512" s="60" t="n">
        <f aca="false">IF(ISNUMBER(AE512),1,0)</f>
        <v>0</v>
      </c>
      <c r="CB512" s="57" t="n">
        <f aca="false">N(AE512)</f>
        <v>0</v>
      </c>
      <c r="CC512" s="57" t="n">
        <f aca="false">N(M512)+N(N512)</f>
        <v>21</v>
      </c>
      <c r="CD512" s="57" t="n">
        <f aca="false">ROUNDUP(H512/BS512,0)</f>
        <v>1</v>
      </c>
      <c r="CE512" s="57" t="n">
        <f aca="false">ROUNDUP(CB512/BS512,0)</f>
        <v>0</v>
      </c>
      <c r="CF512" s="60" t="n">
        <f aca="false">IF(BT512=1,0,IFERROR(VLOOKUP(BR512,'Gebinde-Kategorie'!$A$5:$M$45,5,0)+0,0))</f>
        <v>11</v>
      </c>
      <c r="CG512" s="60" t="n">
        <f aca="false">IFERROR(IF(OR(BX512=1,BX512=2,BX512=3),N(INDEX(Parameter!$I$5:$I$7,BX512)),0),0)</f>
        <v>0</v>
      </c>
      <c r="CH512" s="59" t="n">
        <f aca="false">IF(AND(Parameter!$B$21="Ja",ISNUMBER(W512),N(X512)&gt;0),IFERROR(N(INDEX(Parameter!$L$5:$L$7,W512))*INDEX(Parameter!$E$5:$E$7,W512)*X512/SUMIFS($X$7:$X$1843,$W$7:$W$1843,W512),0),0)</f>
        <v>0</v>
      </c>
    </row>
    <row r="513" customFormat="false" ht="15" hidden="false" customHeight="false" outlineLevel="0" collapsed="false">
      <c r="A513" s="55" t="s">
        <v>1119</v>
      </c>
      <c r="B513" s="55" t="s">
        <v>468</v>
      </c>
      <c r="C513" s="55" t="s">
        <v>164</v>
      </c>
      <c r="D513" s="55" t="s">
        <v>184</v>
      </c>
      <c r="E513" s="55" t="s">
        <v>185</v>
      </c>
      <c r="F513" s="55" t="s">
        <v>218</v>
      </c>
      <c r="G513" s="56" t="n">
        <v>0.24</v>
      </c>
      <c r="H513" s="57" t="n">
        <f aca="false">MAX(0,IF(AND(Parameter!$B$21="Ja",ISNUMBER(Y513)),Y513,IF(Parameter!$B$20="Jahresanfang 2025 + Export",BL513+BK513,BK513)))</f>
        <v>203</v>
      </c>
      <c r="I513" s="57" t="n">
        <f aca="false">H513*G513</f>
        <v>48.72</v>
      </c>
      <c r="J513" s="57" t="n">
        <f aca="false">BN513*Parameter!$B$18</f>
        <v>211</v>
      </c>
      <c r="K513" s="58" t="n">
        <v>95</v>
      </c>
      <c r="L513" s="59" t="n">
        <v>2.22105263157895</v>
      </c>
      <c r="M513" s="57" t="n">
        <v>8</v>
      </c>
      <c r="N513" s="57" t="n">
        <v>210</v>
      </c>
      <c r="O513" s="60" t="n">
        <v>14</v>
      </c>
      <c r="P513" s="55" t="s">
        <v>328</v>
      </c>
      <c r="Q513" s="57" t="n">
        <v>45</v>
      </c>
      <c r="R513" s="60" t="n">
        <f aca="false">IF(BT513=1,0,IFERROR(VLOOKUP(BR513,'Gebinde-Kategorie'!$A$5:$M$45,13,0)+0,0))</f>
        <v>52</v>
      </c>
      <c r="S513" s="61"/>
      <c r="T513" s="62"/>
      <c r="U513" s="62"/>
      <c r="V513" s="62"/>
      <c r="W513" s="55"/>
      <c r="X513" s="57"/>
      <c r="Y513" s="57"/>
      <c r="Z513" s="55" t="n">
        <f aca="false">IF(A513="","",IF(AND(Parameter!$B$21="Ja",ISNUMBER(W513)),W513,IF(BV513="2+3",IF(ISNUMBER(SEARCH("grosser Artikel",BO513)),2,IFERROR(VLOOKUP(BR513,Parameter!$F$35:$G$64,2,0),2)),IF(OR(BV513="Nein",BV513=""),"-",BV513))))</f>
        <v>3</v>
      </c>
      <c r="AA513" s="62"/>
      <c r="AB513" s="63"/>
      <c r="AC513" s="57" t="n">
        <f aca="false">AR513</f>
        <v>225</v>
      </c>
      <c r="AD513" s="57" t="n">
        <f aca="false">MAX(AR513,H513)</f>
        <v>225</v>
      </c>
      <c r="AE513" s="64"/>
      <c r="AF513" s="57" t="n">
        <f aca="false">IF(LEFT(Cockpit!$C$5,1)="A",H513,IF(CA513=1,CB513,IF(LEFT(Cockpit!$C$5,1)="B",AJ513,MAX(AJ513,H513))))</f>
        <v>203</v>
      </c>
      <c r="AG513" s="57" t="n">
        <f aca="false">IF(BT513=1,0,ROUNDUP(AF513/BS513,0))</f>
        <v>5</v>
      </c>
      <c r="AH513" s="59" t="n">
        <f aca="false">IF(CH513&gt;0,CH513*MAX(1,AF513/X513),IF(BT513=1,IF(AF513&lt;=0,0,BW513*MAX(1,IF(H513&gt;0,AF513/H513,1))),IF(R513&gt;0,AG513/R513,0))/MAX(0.1,N(Parameter!$M$21)))</f>
        <v>0.0961538461538462</v>
      </c>
      <c r="AI513" s="57" t="n">
        <f aca="false">AF513*G513</f>
        <v>48.72</v>
      </c>
      <c r="AJ513" s="57" t="n">
        <f aca="false">ROUNDUP(MAX(J513/IF(BZ513&gt;0,BZ513,MAX(0.1,N(Cockpit!$C$6))),CC513)/BS513,0)*BS513</f>
        <v>225</v>
      </c>
      <c r="AK513" s="58" t="n">
        <f aca="false">IF(AH513&gt;0,J513/AH513,-1)</f>
        <v>2194.4</v>
      </c>
      <c r="AL513" s="58" t="n">
        <f aca="false">IF(AND(OR(BY513="L1",BY513="L23"),AH513&gt;0),SUMIFS($AH$7:$AH$1843,$BY$7:$BY$1843,BY513,$AK$7:$AK$1843,"&gt;"&amp;AK513)+SUMIFS($AH$7:$AH$1843,$BY$7:$BY$1843,BY513,$AK$7:$AK$1843,AK513,$BQ$7:$BQ$1843,"&lt;="&amp;BQ513),"")</f>
        <v>12.6681953312388</v>
      </c>
      <c r="AM513" s="65" t="n">
        <f aca="false">IF(AL513="",0,MAX(0,MIN(1,(IF(BY513="L1",Parameter!$E$5,Parameter!$E$6+Parameter!$E$7)-(AL513-AH513))/AH513)))</f>
        <v>1</v>
      </c>
      <c r="AN513" s="57" t="n">
        <f aca="false">IF(LEFT(Cockpit!$I$5,1)="A",H513,IF(CA513=1,CB513,IF(LEFT(Cockpit!$I$5,1)="B",AR513,MAX(AR513,H513))))</f>
        <v>225</v>
      </c>
      <c r="AO513" s="57" t="n">
        <f aca="false">IF(BT513=1,0,ROUNDUP(AN513/BS513,0))</f>
        <v>5</v>
      </c>
      <c r="AP513" s="59" t="n">
        <f aca="false">IF(CH513&gt;0,CH513*MAX(1,AN513/X513),IF(BT513=1,IF(AN513&lt;=0,0,BW513*MAX(1,IF(H513&gt;0,AN513/H513,1))),IF(R513&gt;0,AO513/R513,0))/MAX(0.1,N(Parameter!$M$21)))</f>
        <v>0.0961538461538462</v>
      </c>
      <c r="AQ513" s="57" t="n">
        <f aca="false">AN513*G513</f>
        <v>54</v>
      </c>
      <c r="AR513" s="57" t="n">
        <f aca="false">ROUNDUP(MAX(J513/IF(BZ513&gt;0,BZ513,MAX(0.1,N(Cockpit!$I$6))),CC513)/BS513,0)*BS513</f>
        <v>225</v>
      </c>
      <c r="AS513" s="58" t="n">
        <f aca="false">IF(AP513&gt;0,J513/AP513,-1)</f>
        <v>2194.4</v>
      </c>
      <c r="AT513" s="58" t="n">
        <f aca="false">IF(AND(OR(BY513="L1",BY513="L23"),AP513&gt;0),SUMIFS($AP$7:$AP$1843,$BY$7:$BY$1843,BY513,$AS$7:$AS$1843,"&gt;"&amp;AS513)+SUMIFS($AP$7:$AP$1843,$BY$7:$BY$1843,BY513,$AS$7:$AS$1843,AS513,$BQ$7:$BQ$1843,"&lt;="&amp;BQ513),"")</f>
        <v>18.2235988649032</v>
      </c>
      <c r="AU513" s="65" t="n">
        <f aca="false">IF(AT513="",0,MAX(0,MIN(1,(IF(BY513="L1",Parameter!$E$5,Parameter!$E$6+Parameter!$E$7)-(AT513-AP513))/AP513)))</f>
        <v>1</v>
      </c>
      <c r="AV513" s="57" t="n">
        <f aca="false">IF(LEFT(Cockpit!$O$5,1)="A",H513,IF(CA513=1,CB513,IF(LEFT(Cockpit!$O$5,1)="B",AZ513,MAX(AZ513,H513))))</f>
        <v>225</v>
      </c>
      <c r="AW513" s="57" t="n">
        <f aca="false">IF(BT513=1,0,ROUNDUP(AV513/BS513,0))</f>
        <v>5</v>
      </c>
      <c r="AX513" s="59" t="n">
        <f aca="false">IF(CH513&gt;0,CH513*MAX(1,AV513/X513),IF(BT513=1,IF(AV513&lt;=0,0,BW513*MAX(1,IF(H513&gt;0,AV513/H513,1))),IF(R513&gt;0,AW513/R513,0))/MAX(0.1,N(Parameter!$M$21)))</f>
        <v>0.0961538461538462</v>
      </c>
      <c r="AY513" s="57" t="n">
        <f aca="false">AV513*G513</f>
        <v>54</v>
      </c>
      <c r="AZ513" s="57" t="n">
        <f aca="false">ROUNDUP(MAX(J513/IF(BZ513&gt;0,BZ513,MAX(0.1,N(Cockpit!$O$6))),CC513)/BS513,0)*BS513</f>
        <v>225</v>
      </c>
      <c r="BA513" s="58" t="n">
        <f aca="false">IF(AX513&gt;0,J513/AX513,-1)</f>
        <v>2194.4</v>
      </c>
      <c r="BB513" s="58" t="n">
        <f aca="false">IF(AND(OR(BY513="L1",BY513="L23"),AX513&gt;0),SUMIFS($AX$7:$AX$1843,$BY$7:$BY$1843,BY513,$BA$7:$BA$1843,"&gt;"&amp;BA513)+SUMIFS($AX$7:$AX$1843,$BY$7:$BY$1843,BY513,$BA$7:$BA$1843,BA513,$BQ$7:$BQ$1843,"&lt;="&amp;BQ513),"")</f>
        <v>16.7970254383298</v>
      </c>
      <c r="BC513" s="65" t="n">
        <f aca="false">IF(BB513="",0,MAX(0,MIN(1,(IF(BY513="L1",Parameter!$E$5,Parameter!$E$6+Parameter!$E$7)-(BB513-AX513))/AX513)))</f>
        <v>1</v>
      </c>
      <c r="BD513" s="55" t="str">
        <f aca="false">IF(AH513&lt;=0,"",IF(BY513="Aussen","Aussenlager",IF(BY513="-","Nicht im Lift",IF(AM513&gt;=1,"Lift",IF(AM513&lt;=0,"Aussenlager","teilweise")))))</f>
        <v>Lift</v>
      </c>
      <c r="BE513" s="55" t="str">
        <f aca="false">IF(AP513&lt;=0,"",IF(BY513="Aussen","Aussenlager",IF(BY513="-","Nicht im Lift",IF(AU513&gt;=1,"Lift",IF(AU513&lt;=0,"Aussenlager","teilweise")))))</f>
        <v>Lift</v>
      </c>
      <c r="BF513" s="55" t="str">
        <f aca="false">IF(AX513&lt;=0,"",IF(BY513="Aussen","Aussenlager",IF(BY513="-","Nicht im Lift",IF(BC513&gt;=1,"Lift",IF(BC513&lt;=0,"Aussenlager","teilweise")))))</f>
        <v>Lift</v>
      </c>
      <c r="BG513" s="55" t="str">
        <f aca="false">IF(A513="","",IF(BP513=1,"Neu; ","")&amp;IF(AND(BP513=0,BK513&lt;0),"negativer Bestand (Export "&amp;BK513&amp;"); ","")&amp;IF(J513&lt;=0,"Kein Verbrauch; ","")&amp;IF(CH513&gt;0,"Lift "&amp;W513&amp;" lt. Liftbericht (Fach "&amp;X513&amp;" Stk); ",IF(BU513=1,"Gebinde geschätzt ("&amp;T513&amp;"); ",IF(BT513=1,"Lose – Tablare geschätzt; ","")))&amp;IF(H513&gt;AR513,"Überbestand "&amp;ROUND(H513-AR513,0)&amp;" Stk / CHF "&amp;ROUND((H513-AR513)*G513,0)&amp;"; ","")&amp;IF(AND(CA513=1,CB513&lt;CC513),"MAX &lt; MB+LG; ","")&amp;IF(AND(CG513&gt;0,CF513*10&gt;CG513),"zu hoch für Tablar; ","")&amp;IF(AND(BP513=0,OR(CA513=1,AA513&lt;&gt;"",U513&lt;&gt;"",V513&lt;&gt;"",AB513&lt;&gt;"")),"manuell übersteuert; ","")&amp;IF(AND(BT513=0,R513=0),"Gebinde unbekannt / Stellmass fehlt; ","")&amp;IF(AND(BT513=0,N(V513)&lt;=0,N(Q513)&lt;=0),"Menge pro Gebinde fehlt (Ist = 1 Gebinde); ","")&amp;BO513)</f>
        <v/>
      </c>
      <c r="BH513" s="55"/>
      <c r="BI513" s="55"/>
      <c r="BJ513" s="62"/>
      <c r="BK513" s="57" t="n">
        <v>132</v>
      </c>
      <c r="BL513" s="57" t="n">
        <v>71</v>
      </c>
      <c r="BM513" s="56" t="n">
        <v>32.39</v>
      </c>
      <c r="BN513" s="57" t="n">
        <v>211</v>
      </c>
      <c r="BO513" s="55"/>
      <c r="BP513" s="60" t="n">
        <v>0</v>
      </c>
      <c r="BQ513" s="60" t="n">
        <v>513</v>
      </c>
      <c r="BR513" s="55" t="str">
        <f aca="false">IF(U513&lt;&gt;"",UPPER(TRIM(U513)),IF(BU513=1,UPPER(VLOOKUP(T513,Parameter!$I$27:$K$29,2,0)),IF(P513="","LOSE",P513)))</f>
        <v>S41</v>
      </c>
      <c r="BS513" s="57" t="n">
        <f aca="false">IF(BR513="LOSE",1,IF(N(V513)&gt;0,V513,IF(BU513=1,MAX(1,N(VLOOKUP(T513,Parameter!$I$27:$K$29,3,0)),H513,N(N513)),IF(N(Q513)&gt;0,Q513,MAX(1,H513)))))</f>
        <v>45</v>
      </c>
      <c r="BT513" s="60" t="n">
        <f aca="false">IF(BR513="LOSE",1,0)</f>
        <v>0</v>
      </c>
      <c r="BU513" s="60" t="n">
        <f aca="false">IF(AND(U513="",OR(P513="",P513="LOSE"),T513&lt;&gt;"",N(S513)&lt;=0,ISNUMBER(MATCH(T513,Parameter!$I$27:$I$29,0))),1,0)</f>
        <v>0</v>
      </c>
      <c r="BV513" s="55" t="str">
        <f aca="false">IF(AND(Parameter!$B$19="Ja",E513&lt;&gt;"",ISNUMBER(MATCH(E513,Parameter!$I$35:$I$52,0))),VLOOKUP(E513,Parameter!$I$35:$J$52,2,0),IFERROR(VLOOKUP(D513,Parameter!$A$35:$C$64,2,0),"Nein"))</f>
        <v>2+3</v>
      </c>
      <c r="BW513" s="59" t="n">
        <f aca="false">IF(BT513=0,0,IF(N(S513)&gt;0,S513,IFERROR(VLOOKUP(D513,Parameter!$A$35:$C$64,3,0)+0,0)))</f>
        <v>0</v>
      </c>
      <c r="BX513" s="55" t="n">
        <f aca="false">IF(AA513&lt;&gt;"",AA513,Z513)</f>
        <v>3</v>
      </c>
      <c r="BY513" s="55" t="str">
        <f aca="false">IF(BX513=1,"L1",IF(OR(BX513=2,BX513=3),"L23",IF(BX513="Aussen","Aussen","-")))</f>
        <v>L23</v>
      </c>
      <c r="BZ513" s="66" t="n">
        <f aca="false">IF(N(AB513)&gt;0,AB513,0)</f>
        <v>0</v>
      </c>
      <c r="CA513" s="60" t="n">
        <f aca="false">IF(ISNUMBER(AE513),1,0)</f>
        <v>0</v>
      </c>
      <c r="CB513" s="57" t="n">
        <f aca="false">N(AE513)</f>
        <v>0</v>
      </c>
      <c r="CC513" s="57" t="n">
        <f aca="false">N(M513)+N(N513)</f>
        <v>218</v>
      </c>
      <c r="CD513" s="57" t="n">
        <f aca="false">ROUNDUP(H513/BS513,0)</f>
        <v>5</v>
      </c>
      <c r="CE513" s="57" t="n">
        <f aca="false">ROUNDUP(CB513/BS513,0)</f>
        <v>0</v>
      </c>
      <c r="CF513" s="60" t="n">
        <f aca="false">IF(BT513=1,0,IFERROR(VLOOKUP(BR513,'Gebinde-Kategorie'!$A$5:$M$45,5,0)+0,0))</f>
        <v>11</v>
      </c>
      <c r="CG513" s="60" t="n">
        <f aca="false">IFERROR(IF(OR(BX513=1,BX513=2,BX513=3),N(INDEX(Parameter!$I$5:$I$7,BX513)),0),0)</f>
        <v>0</v>
      </c>
      <c r="CH513" s="59" t="n">
        <f aca="false">IF(AND(Parameter!$B$21="Ja",ISNUMBER(W513),N(X513)&gt;0),IFERROR(N(INDEX(Parameter!$L$5:$L$7,W513))*INDEX(Parameter!$E$5:$E$7,W513)*X513/SUMIFS($X$7:$X$1843,$W$7:$W$1843,W513),0),0)</f>
        <v>0</v>
      </c>
    </row>
    <row r="514" customFormat="false" ht="15" hidden="false" customHeight="false" outlineLevel="0" collapsed="false">
      <c r="A514" s="55" t="s">
        <v>1120</v>
      </c>
      <c r="B514" s="55" t="s">
        <v>1121</v>
      </c>
      <c r="C514" s="55" t="s">
        <v>164</v>
      </c>
      <c r="D514" s="55" t="s">
        <v>184</v>
      </c>
      <c r="E514" s="55" t="s">
        <v>185</v>
      </c>
      <c r="F514" s="55" t="s">
        <v>218</v>
      </c>
      <c r="G514" s="56" t="n">
        <v>2.68</v>
      </c>
      <c r="H514" s="57" t="n">
        <f aca="false">MAX(0,IF(AND(Parameter!$B$21="Ja",ISNUMBER(Y514)),Y514,IF(Parameter!$B$20="Jahresanfang 2025 + Export",BL514+BK514,BK514)))</f>
        <v>22</v>
      </c>
      <c r="I514" s="57" t="n">
        <f aca="false">H514*G514</f>
        <v>58.96</v>
      </c>
      <c r="J514" s="57" t="n">
        <f aca="false">BN514*Parameter!$B$18</f>
        <v>0</v>
      </c>
      <c r="K514" s="58" t="n">
        <v>16</v>
      </c>
      <c r="L514" s="59" t="n">
        <v>0</v>
      </c>
      <c r="M514" s="57" t="n">
        <v>0</v>
      </c>
      <c r="N514" s="57" t="n">
        <v>1</v>
      </c>
      <c r="O514" s="60" t="n">
        <v>14</v>
      </c>
      <c r="P514" s="55" t="s">
        <v>233</v>
      </c>
      <c r="Q514" s="57" t="n">
        <v>20</v>
      </c>
      <c r="R514" s="60" t="n">
        <f aca="false">IF(BT514=1,0,IFERROR(VLOOKUP(BR514,'Gebinde-Kategorie'!$A$5:$M$45,13,0)+0,0))</f>
        <v>26</v>
      </c>
      <c r="S514" s="61"/>
      <c r="T514" s="62"/>
      <c r="U514" s="62"/>
      <c r="V514" s="62"/>
      <c r="W514" s="55"/>
      <c r="X514" s="57"/>
      <c r="Y514" s="57"/>
      <c r="Z514" s="55" t="n">
        <f aca="false">IF(A514="","",IF(AND(Parameter!$B$21="Ja",ISNUMBER(W514)),W514,IF(BV514="2+3",IF(ISNUMBER(SEARCH("grosser Artikel",BO514)),2,IFERROR(VLOOKUP(BR514,Parameter!$F$35:$G$64,2,0),2)),IF(OR(BV514="Nein",BV514=""),"-",BV514))))</f>
        <v>3</v>
      </c>
      <c r="AA514" s="62"/>
      <c r="AB514" s="63"/>
      <c r="AC514" s="57" t="n">
        <f aca="false">AR514</f>
        <v>20</v>
      </c>
      <c r="AD514" s="57" t="n">
        <f aca="false">MAX(AR514,H514)</f>
        <v>22</v>
      </c>
      <c r="AE514" s="64"/>
      <c r="AF514" s="57" t="n">
        <f aca="false">IF(LEFT(Cockpit!$C$5,1)="A",H514,IF(CA514=1,CB514,IF(LEFT(Cockpit!$C$5,1)="B",AJ514,MAX(AJ514,H514))))</f>
        <v>22</v>
      </c>
      <c r="AG514" s="57" t="n">
        <f aca="false">IF(BT514=1,0,ROUNDUP(AF514/BS514,0))</f>
        <v>2</v>
      </c>
      <c r="AH514" s="59" t="n">
        <f aca="false">IF(CH514&gt;0,CH514*MAX(1,AF514/X514),IF(BT514=1,IF(AF514&lt;=0,0,BW514*MAX(1,IF(H514&gt;0,AF514/H514,1))),IF(R514&gt;0,AG514/R514,0))/MAX(0.1,N(Parameter!$M$21)))</f>
        <v>0.0769230769230769</v>
      </c>
      <c r="AI514" s="57" t="n">
        <f aca="false">AF514*G514</f>
        <v>58.96</v>
      </c>
      <c r="AJ514" s="57" t="n">
        <f aca="false">ROUNDUP(MAX(J514/IF(BZ514&gt;0,BZ514,MAX(0.1,N(Cockpit!$C$6))),CC514)/BS514,0)*BS514</f>
        <v>20</v>
      </c>
      <c r="AK514" s="58" t="n">
        <f aca="false">IF(AH514&gt;0,J514/AH514,-1)</f>
        <v>0</v>
      </c>
      <c r="AL514" s="58" t="n">
        <f aca="false">IF(AND(OR(BY514="L1",BY514="L23"),AH514&gt;0),SUMIFS($AH$7:$AH$1843,$BY$7:$BY$1843,BY514,$AK$7:$AK$1843,"&gt;"&amp;AK514)+SUMIFS($AH$7:$AH$1843,$BY$7:$BY$1843,BY514,$AK$7:$AK$1843,AK514,$BQ$7:$BQ$1843,"&lt;="&amp;BQ514),"")</f>
        <v>74.8118475727171</v>
      </c>
      <c r="AM514" s="65" t="n">
        <f aca="false">IF(AL514="",0,MAX(0,MIN(1,(IF(BY514="L1",Parameter!$E$5,Parameter!$E$6+Parameter!$E$7)-(AL514-AH514))/AH514)))</f>
        <v>1</v>
      </c>
      <c r="AN514" s="57" t="n">
        <f aca="false">IF(LEFT(Cockpit!$I$5,1)="A",H514,IF(CA514=1,CB514,IF(LEFT(Cockpit!$I$5,1)="B",AR514,MAX(AR514,H514))))</f>
        <v>22</v>
      </c>
      <c r="AO514" s="57" t="n">
        <f aca="false">IF(BT514=1,0,ROUNDUP(AN514/BS514,0))</f>
        <v>2</v>
      </c>
      <c r="AP514" s="59" t="n">
        <f aca="false">IF(CH514&gt;0,CH514*MAX(1,AN514/X514),IF(BT514=1,IF(AN514&lt;=0,0,BW514*MAX(1,IF(H514&gt;0,AN514/H514,1))),IF(R514&gt;0,AO514/R514,0))/MAX(0.1,N(Parameter!$M$21)))</f>
        <v>0.0769230769230769</v>
      </c>
      <c r="AQ514" s="57" t="n">
        <f aca="false">AN514*G514</f>
        <v>58.96</v>
      </c>
      <c r="AR514" s="57" t="n">
        <f aca="false">ROUNDUP(MAX(J514/IF(BZ514&gt;0,BZ514,MAX(0.1,N(Cockpit!$I$6))),CC514)/BS514,0)*BS514</f>
        <v>20</v>
      </c>
      <c r="AS514" s="58" t="n">
        <f aca="false">IF(AP514&gt;0,J514/AP514,-1)</f>
        <v>0</v>
      </c>
      <c r="AT514" s="58" t="n">
        <f aca="false">IF(AND(OR(BY514="L1",BY514="L23"),AP514&gt;0),SUMIFS($AP$7:$AP$1843,$BY$7:$BY$1843,BY514,$AS$7:$AS$1843,"&gt;"&amp;AS514)+SUMIFS($AP$7:$AP$1843,$BY$7:$BY$1843,BY514,$AS$7:$AS$1843,AS514,$BQ$7:$BQ$1843,"&lt;="&amp;BQ514),"")</f>
        <v>114.235971757711</v>
      </c>
      <c r="AU514" s="65" t="n">
        <f aca="false">IF(AT514="",0,MAX(0,MIN(1,(IF(BY514="L1",Parameter!$E$5,Parameter!$E$6+Parameter!$E$7)-(AT514-AP514))/AP514)))</f>
        <v>0</v>
      </c>
      <c r="AV514" s="57" t="n">
        <f aca="false">IF(LEFT(Cockpit!$O$5,1)="A",H514,IF(CA514=1,CB514,IF(LEFT(Cockpit!$O$5,1)="B",AZ514,MAX(AZ514,H514))))</f>
        <v>22</v>
      </c>
      <c r="AW514" s="57" t="n">
        <f aca="false">IF(BT514=1,0,ROUNDUP(AV514/BS514,0))</f>
        <v>2</v>
      </c>
      <c r="AX514" s="59" t="n">
        <f aca="false">IF(CH514&gt;0,CH514*MAX(1,AV514/X514),IF(BT514=1,IF(AV514&lt;=0,0,BW514*MAX(1,IF(H514&gt;0,AV514/H514,1))),IF(R514&gt;0,AW514/R514,0))/MAX(0.1,N(Parameter!$M$21)))</f>
        <v>0.0769230769230769</v>
      </c>
      <c r="AY514" s="57" t="n">
        <f aca="false">AV514*G514</f>
        <v>58.96</v>
      </c>
      <c r="AZ514" s="57" t="n">
        <f aca="false">ROUNDUP(MAX(J514/IF(BZ514&gt;0,BZ514,MAX(0.1,N(Cockpit!$O$6))),CC514)/BS514,0)*BS514</f>
        <v>20</v>
      </c>
      <c r="BA514" s="58" t="n">
        <f aca="false">IF(AX514&gt;0,J514/AX514,-1)</f>
        <v>0</v>
      </c>
      <c r="BB514" s="58" t="n">
        <f aca="false">IF(AND(OR(BY514="L1",BY514="L23"),AX514&gt;0),SUMIFS($AX$7:$AX$1843,$BY$7:$BY$1843,BY514,$BA$7:$BA$1843,"&gt;"&amp;BA514)+SUMIFS($AX$7:$AX$1843,$BY$7:$BY$1843,BY514,$BA$7:$BA$1843,BA514,$BQ$7:$BQ$1843,"&lt;="&amp;BQ514),"")</f>
        <v>105.065808587548</v>
      </c>
      <c r="BC514" s="65" t="n">
        <f aca="false">IF(BB514="",0,MAX(0,MIN(1,(IF(BY514="L1",Parameter!$E$5,Parameter!$E$6+Parameter!$E$7)-(BB514-AX514))/AX514)))</f>
        <v>0</v>
      </c>
      <c r="BD514" s="55" t="str">
        <f aca="false">IF(AH514&lt;=0,"",IF(BY514="Aussen","Aussenlager",IF(BY514="-","Nicht im Lift",IF(AM514&gt;=1,"Lift",IF(AM514&lt;=0,"Aussenlager","teilweise")))))</f>
        <v>Lift</v>
      </c>
      <c r="BE514" s="55" t="str">
        <f aca="false">IF(AP514&lt;=0,"",IF(BY514="Aussen","Aussenlager",IF(BY514="-","Nicht im Lift",IF(AU514&gt;=1,"Lift",IF(AU514&lt;=0,"Aussenlager","teilweise")))))</f>
        <v>Aussenlager</v>
      </c>
      <c r="BF514" s="55" t="str">
        <f aca="false">IF(AX514&lt;=0,"",IF(BY514="Aussen","Aussenlager",IF(BY514="-","Nicht im Lift",IF(BC514&gt;=1,"Lift",IF(BC514&lt;=0,"Aussenlager","teilweise")))))</f>
        <v>Aussenlager</v>
      </c>
      <c r="BG514" s="55" t="str">
        <f aca="false">IF(A514="","",IF(BP514=1,"Neu; ","")&amp;IF(AND(BP514=0,BK514&lt;0),"negativer Bestand (Export "&amp;BK514&amp;"); ","")&amp;IF(J514&lt;=0,"Kein Verbrauch; ","")&amp;IF(CH514&gt;0,"Lift "&amp;W514&amp;" lt. Liftbericht (Fach "&amp;X514&amp;" Stk); ",IF(BU514=1,"Gebinde geschätzt ("&amp;T514&amp;"); ",IF(BT514=1,"Lose – Tablare geschätzt; ","")))&amp;IF(H514&gt;AR514,"Überbestand "&amp;ROUND(H514-AR514,0)&amp;" Stk / CHF "&amp;ROUND((H514-AR514)*G514,0)&amp;"; ","")&amp;IF(AND(CA514=1,CB514&lt;CC514),"MAX &lt; MB+LG; ","")&amp;IF(AND(CG514&gt;0,CF514*10&gt;CG514),"zu hoch für Tablar; ","")&amp;IF(AND(BP514=0,OR(CA514=1,AA514&lt;&gt;"",U514&lt;&gt;"",V514&lt;&gt;"",AB514&lt;&gt;"")),"manuell übersteuert; ","")&amp;IF(AND(BT514=0,R514=0),"Gebinde unbekannt / Stellmass fehlt; ","")&amp;IF(AND(BT514=0,N(V514)&lt;=0,N(Q514)&lt;=0),"Menge pro Gebinde fehlt (Ist = 1 Gebinde); ","")&amp;BO514)</f>
        <v>Kein Verbrauch; Überbestand 2 Stk / CHF 5; Überbestand</v>
      </c>
      <c r="BH514" s="55"/>
      <c r="BI514" s="55"/>
      <c r="BJ514" s="62"/>
      <c r="BK514" s="57" t="n">
        <v>12</v>
      </c>
      <c r="BL514" s="57" t="n">
        <v>10</v>
      </c>
      <c r="BM514" s="56" t="n">
        <v>32.16</v>
      </c>
      <c r="BN514" s="57" t="n">
        <v>0</v>
      </c>
      <c r="BO514" s="55" t="s">
        <v>392</v>
      </c>
      <c r="BP514" s="60" t="n">
        <v>0</v>
      </c>
      <c r="BQ514" s="60" t="n">
        <v>514</v>
      </c>
      <c r="BR514" s="55" t="str">
        <f aca="false">IF(U514&lt;&gt;"",UPPER(TRIM(U514)),IF(BU514=1,UPPER(VLOOKUP(T514,Parameter!$I$27:$K$29,2,0)),IF(P514="","LOSE",P514)))</f>
        <v>S52</v>
      </c>
      <c r="BS514" s="57" t="n">
        <f aca="false">IF(BR514="LOSE",1,IF(N(V514)&gt;0,V514,IF(BU514=1,MAX(1,N(VLOOKUP(T514,Parameter!$I$27:$K$29,3,0)),H514,N(N514)),IF(N(Q514)&gt;0,Q514,MAX(1,H514)))))</f>
        <v>20</v>
      </c>
      <c r="BT514" s="60" t="n">
        <f aca="false">IF(BR514="LOSE",1,0)</f>
        <v>0</v>
      </c>
      <c r="BU514" s="60" t="n">
        <f aca="false">IF(AND(U514="",OR(P514="",P514="LOSE"),T514&lt;&gt;"",N(S514)&lt;=0,ISNUMBER(MATCH(T514,Parameter!$I$27:$I$29,0))),1,0)</f>
        <v>0</v>
      </c>
      <c r="BV514" s="55" t="str">
        <f aca="false">IF(AND(Parameter!$B$19="Ja",E514&lt;&gt;"",ISNUMBER(MATCH(E514,Parameter!$I$35:$I$52,0))),VLOOKUP(E514,Parameter!$I$35:$J$52,2,0),IFERROR(VLOOKUP(D514,Parameter!$A$35:$C$64,2,0),"Nein"))</f>
        <v>2+3</v>
      </c>
      <c r="BW514" s="59" t="n">
        <f aca="false">IF(BT514=0,0,IF(N(S514)&gt;0,S514,IFERROR(VLOOKUP(D514,Parameter!$A$35:$C$64,3,0)+0,0)))</f>
        <v>0</v>
      </c>
      <c r="BX514" s="55" t="n">
        <f aca="false">IF(AA514&lt;&gt;"",AA514,Z514)</f>
        <v>3</v>
      </c>
      <c r="BY514" s="55" t="str">
        <f aca="false">IF(BX514=1,"L1",IF(OR(BX514=2,BX514=3),"L23",IF(BX514="Aussen","Aussen","-")))</f>
        <v>L23</v>
      </c>
      <c r="BZ514" s="66" t="n">
        <f aca="false">IF(N(AB514)&gt;0,AB514,0)</f>
        <v>0</v>
      </c>
      <c r="CA514" s="60" t="n">
        <f aca="false">IF(ISNUMBER(AE514),1,0)</f>
        <v>0</v>
      </c>
      <c r="CB514" s="57" t="n">
        <f aca="false">N(AE514)</f>
        <v>0</v>
      </c>
      <c r="CC514" s="57" t="n">
        <f aca="false">N(M514)+N(N514)</f>
        <v>1</v>
      </c>
      <c r="CD514" s="57" t="n">
        <f aca="false">ROUNDUP(H514/BS514,0)</f>
        <v>2</v>
      </c>
      <c r="CE514" s="57" t="n">
        <f aca="false">ROUNDUP(CB514/BS514,0)</f>
        <v>0</v>
      </c>
      <c r="CF514" s="60" t="n">
        <f aca="false">IF(BT514=1,0,IFERROR(VLOOKUP(BR514,'Gebinde-Kategorie'!$A$5:$M$45,5,0)+0,0))</f>
        <v>21</v>
      </c>
      <c r="CG514" s="60" t="n">
        <f aca="false">IFERROR(IF(OR(BX514=1,BX514=2,BX514=3),N(INDEX(Parameter!$I$5:$I$7,BX514)),0),0)</f>
        <v>0</v>
      </c>
      <c r="CH514" s="59" t="n">
        <f aca="false">IF(AND(Parameter!$B$21="Ja",ISNUMBER(W514),N(X514)&gt;0),IFERROR(N(INDEX(Parameter!$L$5:$L$7,W514))*INDEX(Parameter!$E$5:$E$7,W514)*X514/SUMIFS($X$7:$X$1843,$W$7:$W$1843,W514),0),0)</f>
        <v>0</v>
      </c>
    </row>
    <row r="515" customFormat="false" ht="15" hidden="false" customHeight="false" outlineLevel="0" collapsed="false">
      <c r="A515" s="55" t="s">
        <v>1122</v>
      </c>
      <c r="B515" s="55" t="s">
        <v>1123</v>
      </c>
      <c r="C515" s="55" t="s">
        <v>164</v>
      </c>
      <c r="D515" s="55" t="s">
        <v>184</v>
      </c>
      <c r="E515" s="55" t="s">
        <v>465</v>
      </c>
      <c r="F515" s="55" t="s">
        <v>218</v>
      </c>
      <c r="G515" s="56" t="n">
        <v>5.23</v>
      </c>
      <c r="H515" s="57" t="n">
        <f aca="false">MAX(0,IF(AND(Parameter!$B$21="Ja",ISNUMBER(Y515)),Y515,IF(Parameter!$B$20="Jahresanfang 2025 + Export",BL515+BK515,BK515)))</f>
        <v>102</v>
      </c>
      <c r="I515" s="57" t="n">
        <f aca="false">H515*G515</f>
        <v>533.46</v>
      </c>
      <c r="J515" s="57" t="n">
        <f aca="false">BN515*Parameter!$B$18</f>
        <v>19</v>
      </c>
      <c r="K515" s="58" t="n">
        <v>86.5</v>
      </c>
      <c r="L515" s="59" t="n">
        <v>0.219653179190751</v>
      </c>
      <c r="M515" s="57" t="n">
        <v>2</v>
      </c>
      <c r="N515" s="57" t="n">
        <v>108</v>
      </c>
      <c r="O515" s="60" t="n">
        <v>42</v>
      </c>
      <c r="P515" s="55" t="s">
        <v>293</v>
      </c>
      <c r="Q515" s="57" t="n">
        <v>70</v>
      </c>
      <c r="R515" s="60" t="n">
        <f aca="false">IF(BT515=1,0,IFERROR(VLOOKUP(BR515,'Gebinde-Kategorie'!$A$5:$M$45,13,0)+0,0))</f>
        <v>12</v>
      </c>
      <c r="S515" s="61"/>
      <c r="T515" s="62"/>
      <c r="U515" s="62"/>
      <c r="V515" s="62"/>
      <c r="W515" s="55"/>
      <c r="X515" s="57"/>
      <c r="Y515" s="57"/>
      <c r="Z515" s="55" t="str">
        <f aca="false">IF(A515="","",IF(AND(Parameter!$B$21="Ja",ISNUMBER(W515)),W515,IF(BV515="2+3",IF(ISNUMBER(SEARCH("grosser Artikel",BO515)),2,IFERROR(VLOOKUP(BR515,Parameter!$F$35:$G$64,2,0),2)),IF(OR(BV515="Nein",BV515=""),"-",BV515))))</f>
        <v>-</v>
      </c>
      <c r="AA515" s="62"/>
      <c r="AB515" s="63"/>
      <c r="AC515" s="57" t="n">
        <f aca="false">AR515</f>
        <v>140</v>
      </c>
      <c r="AD515" s="57" t="n">
        <f aca="false">MAX(AR515,H515)</f>
        <v>140</v>
      </c>
      <c r="AE515" s="64"/>
      <c r="AF515" s="57" t="n">
        <f aca="false">IF(LEFT(Cockpit!$C$5,1)="A",H515,IF(CA515=1,CB515,IF(LEFT(Cockpit!$C$5,1)="B",AJ515,MAX(AJ515,H515))))</f>
        <v>102</v>
      </c>
      <c r="AG515" s="57" t="n">
        <f aca="false">IF(BT515=1,0,ROUNDUP(AF515/BS515,0))</f>
        <v>2</v>
      </c>
      <c r="AH515" s="59" t="n">
        <f aca="false">IF(CH515&gt;0,CH515*MAX(1,AF515/X515),IF(BT515=1,IF(AF515&lt;=0,0,BW515*MAX(1,IF(H515&gt;0,AF515/H515,1))),IF(R515&gt;0,AG515/R515,0))/MAX(0.1,N(Parameter!$M$21)))</f>
        <v>0.166666666666667</v>
      </c>
      <c r="AI515" s="57" t="n">
        <f aca="false">AF515*G515</f>
        <v>533.46</v>
      </c>
      <c r="AJ515" s="57" t="n">
        <f aca="false">ROUNDUP(MAX(J515/IF(BZ515&gt;0,BZ515,MAX(0.1,N(Cockpit!$C$6))),CC515)/BS515,0)*BS515</f>
        <v>140</v>
      </c>
      <c r="AK515" s="58" t="n">
        <f aca="false">IF(AH515&gt;0,J515/AH515,-1)</f>
        <v>114</v>
      </c>
      <c r="AL515" s="58" t="str">
        <f aca="false">IF(AND(OR(BY515="L1",BY515="L23"),AH515&gt;0),SUMIFS($AH$7:$AH$1843,$BY$7:$BY$1843,BY515,$AK$7:$AK$1843,"&gt;"&amp;AK515)+SUMIFS($AH$7:$AH$1843,$BY$7:$BY$1843,BY515,$AK$7:$AK$1843,AK515,$BQ$7:$BQ$1843,"&lt;="&amp;BQ515),"")</f>
        <v/>
      </c>
      <c r="AM515" s="65" t="n">
        <f aca="false">IF(AL515="",0,MAX(0,MIN(1,(IF(BY515="L1",Parameter!$E$5,Parameter!$E$6+Parameter!$E$7)-(AL515-AH515))/AH515)))</f>
        <v>0</v>
      </c>
      <c r="AN515" s="57" t="n">
        <f aca="false">IF(LEFT(Cockpit!$I$5,1)="A",H515,IF(CA515=1,CB515,IF(LEFT(Cockpit!$I$5,1)="B",AR515,MAX(AR515,H515))))</f>
        <v>140</v>
      </c>
      <c r="AO515" s="57" t="n">
        <f aca="false">IF(BT515=1,0,ROUNDUP(AN515/BS515,0))</f>
        <v>2</v>
      </c>
      <c r="AP515" s="59" t="n">
        <f aca="false">IF(CH515&gt;0,CH515*MAX(1,AN515/X515),IF(BT515=1,IF(AN515&lt;=0,0,BW515*MAX(1,IF(H515&gt;0,AN515/H515,1))),IF(R515&gt;0,AO515/R515,0))/MAX(0.1,N(Parameter!$M$21)))</f>
        <v>0.166666666666667</v>
      </c>
      <c r="AQ515" s="57" t="n">
        <f aca="false">AN515*G515</f>
        <v>732.2</v>
      </c>
      <c r="AR515" s="57" t="n">
        <f aca="false">ROUNDUP(MAX(J515/IF(BZ515&gt;0,BZ515,MAX(0.1,N(Cockpit!$I$6))),CC515)/BS515,0)*BS515</f>
        <v>140</v>
      </c>
      <c r="AS515" s="58" t="n">
        <f aca="false">IF(AP515&gt;0,J515/AP515,-1)</f>
        <v>114</v>
      </c>
      <c r="AT515" s="58" t="str">
        <f aca="false">IF(AND(OR(BY515="L1",BY515="L23"),AP515&gt;0),SUMIFS($AP$7:$AP$1843,$BY$7:$BY$1843,BY515,$AS$7:$AS$1843,"&gt;"&amp;AS515)+SUMIFS($AP$7:$AP$1843,$BY$7:$BY$1843,BY515,$AS$7:$AS$1843,AS515,$BQ$7:$BQ$1843,"&lt;="&amp;BQ515),"")</f>
        <v/>
      </c>
      <c r="AU515" s="65" t="n">
        <f aca="false">IF(AT515="",0,MAX(0,MIN(1,(IF(BY515="L1",Parameter!$E$5,Parameter!$E$6+Parameter!$E$7)-(AT515-AP515))/AP515)))</f>
        <v>0</v>
      </c>
      <c r="AV515" s="57" t="n">
        <f aca="false">IF(LEFT(Cockpit!$O$5,1)="A",H515,IF(CA515=1,CB515,IF(LEFT(Cockpit!$O$5,1)="B",AZ515,MAX(AZ515,H515))))</f>
        <v>140</v>
      </c>
      <c r="AW515" s="57" t="n">
        <f aca="false">IF(BT515=1,0,ROUNDUP(AV515/BS515,0))</f>
        <v>2</v>
      </c>
      <c r="AX515" s="59" t="n">
        <f aca="false">IF(CH515&gt;0,CH515*MAX(1,AV515/X515),IF(BT515=1,IF(AV515&lt;=0,0,BW515*MAX(1,IF(H515&gt;0,AV515/H515,1))),IF(R515&gt;0,AW515/R515,0))/MAX(0.1,N(Parameter!$M$21)))</f>
        <v>0.166666666666667</v>
      </c>
      <c r="AY515" s="57" t="n">
        <f aca="false">AV515*G515</f>
        <v>732.2</v>
      </c>
      <c r="AZ515" s="57" t="n">
        <f aca="false">ROUNDUP(MAX(J515/IF(BZ515&gt;0,BZ515,MAX(0.1,N(Cockpit!$O$6))),CC515)/BS515,0)*BS515</f>
        <v>140</v>
      </c>
      <c r="BA515" s="58" t="n">
        <f aca="false">IF(AX515&gt;0,J515/AX515,-1)</f>
        <v>114</v>
      </c>
      <c r="BB515" s="58" t="str">
        <f aca="false">IF(AND(OR(BY515="L1",BY515="L23"),AX515&gt;0),SUMIFS($AX$7:$AX$1843,$BY$7:$BY$1843,BY515,$BA$7:$BA$1843,"&gt;"&amp;BA515)+SUMIFS($AX$7:$AX$1843,$BY$7:$BY$1843,BY515,$BA$7:$BA$1843,BA515,$BQ$7:$BQ$1843,"&lt;="&amp;BQ515),"")</f>
        <v/>
      </c>
      <c r="BC515" s="65" t="n">
        <f aca="false">IF(BB515="",0,MAX(0,MIN(1,(IF(BY515="L1",Parameter!$E$5,Parameter!$E$6+Parameter!$E$7)-(BB515-AX515))/AX515)))</f>
        <v>0</v>
      </c>
      <c r="BD515" s="55" t="str">
        <f aca="false">IF(AH515&lt;=0,"",IF(BY515="Aussen","Aussenlager",IF(BY515="-","Nicht im Lift",IF(AM515&gt;=1,"Lift",IF(AM515&lt;=0,"Aussenlager","teilweise")))))</f>
        <v>Nicht im Lift</v>
      </c>
      <c r="BE515" s="55" t="str">
        <f aca="false">IF(AP515&lt;=0,"",IF(BY515="Aussen","Aussenlager",IF(BY515="-","Nicht im Lift",IF(AU515&gt;=1,"Lift",IF(AU515&lt;=0,"Aussenlager","teilweise")))))</f>
        <v>Nicht im Lift</v>
      </c>
      <c r="BF515" s="55" t="str">
        <f aca="false">IF(AX515&lt;=0,"",IF(BY515="Aussen","Aussenlager",IF(BY515="-","Nicht im Lift",IF(BC515&gt;=1,"Lift",IF(BC515&lt;=0,"Aussenlager","teilweise")))))</f>
        <v>Nicht im Lift</v>
      </c>
      <c r="BG515" s="55" t="str">
        <f aca="false">IF(A515="","",IF(BP515=1,"Neu; ","")&amp;IF(AND(BP515=0,BK515&lt;0),"negativer Bestand (Export "&amp;BK515&amp;"); ","")&amp;IF(J515&lt;=0,"Kein Verbrauch; ","")&amp;IF(CH515&gt;0,"Lift "&amp;W515&amp;" lt. Liftbericht (Fach "&amp;X515&amp;" Stk); ",IF(BU515=1,"Gebinde geschätzt ("&amp;T515&amp;"); ",IF(BT515=1,"Lose – Tablare geschätzt; ","")))&amp;IF(H515&gt;AR515,"Überbestand "&amp;ROUND(H515-AR515,0)&amp;" Stk / CHF "&amp;ROUND((H515-AR515)*G515,0)&amp;"; ","")&amp;IF(AND(CA515=1,CB515&lt;CC515),"MAX &lt; MB+LG; ","")&amp;IF(AND(CG515&gt;0,CF515*10&gt;CG515),"zu hoch für Tablar; ","")&amp;IF(AND(BP515=0,OR(CA515=1,AA515&lt;&gt;"",U515&lt;&gt;"",V515&lt;&gt;"",AB515&lt;&gt;"")),"manuell übersteuert; ","")&amp;IF(AND(BT515=0,R515=0),"Gebinde unbekannt / Stellmass fehlt; ","")&amp;IF(AND(BT515=0,N(V515)&lt;=0,N(Q515)&lt;=0),"Menge pro Gebinde fehlt (Ist = 1 Gebinde); ","")&amp;BO515)</f>
        <v/>
      </c>
      <c r="BH515" s="55"/>
      <c r="BI515" s="55"/>
      <c r="BJ515" s="62"/>
      <c r="BK515" s="57" t="n">
        <v>6</v>
      </c>
      <c r="BL515" s="57" t="n">
        <v>96</v>
      </c>
      <c r="BM515" s="56" t="n">
        <v>31.38</v>
      </c>
      <c r="BN515" s="57" t="n">
        <v>19</v>
      </c>
      <c r="BO515" s="55"/>
      <c r="BP515" s="60" t="n">
        <v>0</v>
      </c>
      <c r="BQ515" s="60" t="n">
        <v>515</v>
      </c>
      <c r="BR515" s="55" t="str">
        <f aca="false">IF(U515&lt;&gt;"",UPPER(TRIM(U515)),IF(BU515=1,UPPER(VLOOKUP(T515,Parameter!$I$27:$K$29,2,0)),IF(P515="","LOSE",P515)))</f>
        <v>S62</v>
      </c>
      <c r="BS515" s="57" t="n">
        <f aca="false">IF(BR515="LOSE",1,IF(N(V515)&gt;0,V515,IF(BU515=1,MAX(1,N(VLOOKUP(T515,Parameter!$I$27:$K$29,3,0)),H515,N(N515)),IF(N(Q515)&gt;0,Q515,MAX(1,H515)))))</f>
        <v>70</v>
      </c>
      <c r="BT515" s="60" t="n">
        <f aca="false">IF(BR515="LOSE",1,0)</f>
        <v>0</v>
      </c>
      <c r="BU515" s="60" t="n">
        <f aca="false">IF(AND(U515="",OR(P515="",P515="LOSE"),T515&lt;&gt;"",N(S515)&lt;=0,ISNUMBER(MATCH(T515,Parameter!$I$27:$I$29,0))),1,0)</f>
        <v>0</v>
      </c>
      <c r="BV515" s="55" t="str">
        <f aca="false">IF(AND(Parameter!$B$19="Ja",E515&lt;&gt;"",ISNUMBER(MATCH(E515,Parameter!$I$35:$I$52,0))),VLOOKUP(E515,Parameter!$I$35:$J$52,2,0),IFERROR(VLOOKUP(D515,Parameter!$A$35:$C$64,2,0),"Nein"))</f>
        <v>Nein</v>
      </c>
      <c r="BW515" s="59" t="n">
        <f aca="false">IF(BT515=0,0,IF(N(S515)&gt;0,S515,IFERROR(VLOOKUP(D515,Parameter!$A$35:$C$64,3,0)+0,0)))</f>
        <v>0</v>
      </c>
      <c r="BX515" s="55" t="str">
        <f aca="false">IF(AA515&lt;&gt;"",AA515,Z515)</f>
        <v>-</v>
      </c>
      <c r="BY515" s="55" t="str">
        <f aca="false">IF(BX515=1,"L1",IF(OR(BX515=2,BX515=3),"L23",IF(BX515="Aussen","Aussen","-")))</f>
        <v>-</v>
      </c>
      <c r="BZ515" s="66" t="n">
        <f aca="false">IF(N(AB515)&gt;0,AB515,0)</f>
        <v>0</v>
      </c>
      <c r="CA515" s="60" t="n">
        <f aca="false">IF(ISNUMBER(AE515),1,0)</f>
        <v>0</v>
      </c>
      <c r="CB515" s="57" t="n">
        <f aca="false">N(AE515)</f>
        <v>0</v>
      </c>
      <c r="CC515" s="57" t="n">
        <f aca="false">N(M515)+N(N515)</f>
        <v>110</v>
      </c>
      <c r="CD515" s="57" t="n">
        <f aca="false">ROUNDUP(H515/BS515,0)</f>
        <v>2</v>
      </c>
      <c r="CE515" s="57" t="n">
        <f aca="false">ROUNDUP(CB515/BS515,0)</f>
        <v>0</v>
      </c>
      <c r="CF515" s="60" t="n">
        <f aca="false">IF(BT515=1,0,IFERROR(VLOOKUP(BR515,'Gebinde-Kategorie'!$A$5:$M$45,5,0)+0,0))</f>
        <v>21</v>
      </c>
      <c r="CG515" s="60" t="n">
        <f aca="false">IFERROR(IF(OR(BX515=1,BX515=2,BX515=3),N(INDEX(Parameter!$I$5:$I$7,BX515)),0),0)</f>
        <v>0</v>
      </c>
      <c r="CH515" s="59" t="n">
        <f aca="false">IF(AND(Parameter!$B$21="Ja",ISNUMBER(W515),N(X515)&gt;0),IFERROR(N(INDEX(Parameter!$L$5:$L$7,W515))*INDEX(Parameter!$E$5:$E$7,W515)*X515/SUMIFS($X$7:$X$1843,$W$7:$W$1843,W515),0),0)</f>
        <v>0</v>
      </c>
    </row>
    <row r="516" customFormat="false" ht="15" hidden="false" customHeight="false" outlineLevel="0" collapsed="false">
      <c r="A516" s="55" t="s">
        <v>1124</v>
      </c>
      <c r="B516" s="55" t="s">
        <v>468</v>
      </c>
      <c r="C516" s="55" t="s">
        <v>164</v>
      </c>
      <c r="D516" s="55" t="s">
        <v>184</v>
      </c>
      <c r="E516" s="55" t="s">
        <v>185</v>
      </c>
      <c r="F516" s="55" t="s">
        <v>218</v>
      </c>
      <c r="G516" s="56" t="n">
        <v>0.14</v>
      </c>
      <c r="H516" s="57" t="n">
        <f aca="false">MAX(0,IF(AND(Parameter!$B$21="Ja",ISNUMBER(Y516)),Y516,IF(Parameter!$B$20="Jahresanfang 2025 + Export",BL516+BK516,BK516)))</f>
        <v>355</v>
      </c>
      <c r="I516" s="57" t="n">
        <f aca="false">H516*G516</f>
        <v>49.7</v>
      </c>
      <c r="J516" s="57" t="n">
        <f aca="false">BN516*Parameter!$B$18</f>
        <v>360</v>
      </c>
      <c r="K516" s="58" t="n">
        <v>84.5</v>
      </c>
      <c r="L516" s="59" t="n">
        <v>4.2603550295858</v>
      </c>
      <c r="M516" s="57" t="n">
        <v>14</v>
      </c>
      <c r="N516" s="57" t="n">
        <v>360</v>
      </c>
      <c r="O516" s="60" t="n">
        <v>14</v>
      </c>
      <c r="P516" s="55" t="s">
        <v>426</v>
      </c>
      <c r="Q516" s="57" t="n">
        <v>81</v>
      </c>
      <c r="R516" s="60" t="n">
        <f aca="false">IF(BT516=1,0,IFERROR(VLOOKUP(BR516,'Gebinde-Kategorie'!$A$5:$M$45,13,0)+0,0))</f>
        <v>198</v>
      </c>
      <c r="S516" s="61"/>
      <c r="T516" s="62"/>
      <c r="U516" s="62"/>
      <c r="V516" s="62"/>
      <c r="W516" s="55"/>
      <c r="X516" s="57"/>
      <c r="Y516" s="57"/>
      <c r="Z516" s="55" t="n">
        <f aca="false">IF(A516="","",IF(AND(Parameter!$B$21="Ja",ISNUMBER(W516)),W516,IF(BV516="2+3",IF(ISNUMBER(SEARCH("grosser Artikel",BO516)),2,IFERROR(VLOOKUP(BR516,Parameter!$F$35:$G$64,2,0),2)),IF(OR(BV516="Nein",BV516=""),"-",BV516))))</f>
        <v>3</v>
      </c>
      <c r="AA516" s="62"/>
      <c r="AB516" s="63"/>
      <c r="AC516" s="57" t="n">
        <f aca="false">AR516</f>
        <v>405</v>
      </c>
      <c r="AD516" s="57" t="n">
        <f aca="false">MAX(AR516,H516)</f>
        <v>405</v>
      </c>
      <c r="AE516" s="64"/>
      <c r="AF516" s="57" t="n">
        <f aca="false">IF(LEFT(Cockpit!$C$5,1)="A",H516,IF(CA516=1,CB516,IF(LEFT(Cockpit!$C$5,1)="B",AJ516,MAX(AJ516,H516))))</f>
        <v>355</v>
      </c>
      <c r="AG516" s="57" t="n">
        <f aca="false">IF(BT516=1,0,ROUNDUP(AF516/BS516,0))</f>
        <v>5</v>
      </c>
      <c r="AH516" s="59" t="n">
        <f aca="false">IF(CH516&gt;0,CH516*MAX(1,AF516/X516),IF(BT516=1,IF(AF516&lt;=0,0,BW516*MAX(1,IF(H516&gt;0,AF516/H516,1))),IF(R516&gt;0,AG516/R516,0))/MAX(0.1,N(Parameter!$M$21)))</f>
        <v>0.0252525252525253</v>
      </c>
      <c r="AI516" s="57" t="n">
        <f aca="false">AF516*G516</f>
        <v>49.7</v>
      </c>
      <c r="AJ516" s="57" t="n">
        <f aca="false">ROUNDUP(MAX(J516/IF(BZ516&gt;0,BZ516,MAX(0.1,N(Cockpit!$C$6))),CC516)/BS516,0)*BS516</f>
        <v>405</v>
      </c>
      <c r="AK516" s="58" t="n">
        <f aca="false">IF(AH516&gt;0,J516/AH516,-1)</f>
        <v>14256</v>
      </c>
      <c r="AL516" s="58" t="n">
        <f aca="false">IF(AND(OR(BY516="L1",BY516="L23"),AH516&gt;0),SUMIFS($AH$7:$AH$1843,$BY$7:$BY$1843,BY516,$AK$7:$AK$1843,"&gt;"&amp;AK516)+SUMIFS($AH$7:$AH$1843,$BY$7:$BY$1843,BY516,$AK$7:$AK$1843,AK516,$BQ$7:$BQ$1843,"&lt;="&amp;BQ516),"")</f>
        <v>4.46249282118847</v>
      </c>
      <c r="AM516" s="65" t="n">
        <f aca="false">IF(AL516="",0,MAX(0,MIN(1,(IF(BY516="L1",Parameter!$E$5,Parameter!$E$6+Parameter!$E$7)-(AL516-AH516))/AH516)))</f>
        <v>1</v>
      </c>
      <c r="AN516" s="57" t="n">
        <f aca="false">IF(LEFT(Cockpit!$I$5,1)="A",H516,IF(CA516=1,CB516,IF(LEFT(Cockpit!$I$5,1)="B",AR516,MAX(AR516,H516))))</f>
        <v>405</v>
      </c>
      <c r="AO516" s="57" t="n">
        <f aca="false">IF(BT516=1,0,ROUNDUP(AN516/BS516,0))</f>
        <v>5</v>
      </c>
      <c r="AP516" s="59" t="n">
        <f aca="false">IF(CH516&gt;0,CH516*MAX(1,AN516/X516),IF(BT516=1,IF(AN516&lt;=0,0,BW516*MAX(1,IF(H516&gt;0,AN516/H516,1))),IF(R516&gt;0,AO516/R516,0))/MAX(0.1,N(Parameter!$M$21)))</f>
        <v>0.0252525252525253</v>
      </c>
      <c r="AQ516" s="57" t="n">
        <f aca="false">AN516*G516</f>
        <v>56.7</v>
      </c>
      <c r="AR516" s="57" t="n">
        <f aca="false">ROUNDUP(MAX(J516/IF(BZ516&gt;0,BZ516,MAX(0.1,N(Cockpit!$I$6))),CC516)/BS516,0)*BS516</f>
        <v>405</v>
      </c>
      <c r="AS516" s="58" t="n">
        <f aca="false">IF(AP516&gt;0,J516/AP516,-1)</f>
        <v>14256</v>
      </c>
      <c r="AT516" s="58" t="n">
        <f aca="false">IF(AND(OR(BY516="L1",BY516="L23"),AP516&gt;0),SUMIFS($AP$7:$AP$1843,$BY$7:$BY$1843,BY516,$AS$7:$AS$1843,"&gt;"&amp;AS516)+SUMIFS($AP$7:$AP$1843,$BY$7:$BY$1843,BY516,$AS$7:$AS$1843,AS516,$BQ$7:$BQ$1843,"&lt;="&amp;BQ516),"")</f>
        <v>4.90262153305632</v>
      </c>
      <c r="AU516" s="65" t="n">
        <f aca="false">IF(AT516="",0,MAX(0,MIN(1,(IF(BY516="L1",Parameter!$E$5,Parameter!$E$6+Parameter!$E$7)-(AT516-AP516))/AP516)))</f>
        <v>1</v>
      </c>
      <c r="AV516" s="57" t="n">
        <f aca="false">IF(LEFT(Cockpit!$O$5,1)="A",H516,IF(CA516=1,CB516,IF(LEFT(Cockpit!$O$5,1)="B",AZ516,MAX(AZ516,H516))))</f>
        <v>405</v>
      </c>
      <c r="AW516" s="57" t="n">
        <f aca="false">IF(BT516=1,0,ROUNDUP(AV516/BS516,0))</f>
        <v>5</v>
      </c>
      <c r="AX516" s="59" t="n">
        <f aca="false">IF(CH516&gt;0,CH516*MAX(1,AV516/X516),IF(BT516=1,IF(AV516&lt;=0,0,BW516*MAX(1,IF(H516&gt;0,AV516/H516,1))),IF(R516&gt;0,AW516/R516,0))/MAX(0.1,N(Parameter!$M$21)))</f>
        <v>0.0252525252525253</v>
      </c>
      <c r="AY516" s="57" t="n">
        <f aca="false">AV516*G516</f>
        <v>56.7</v>
      </c>
      <c r="AZ516" s="57" t="n">
        <f aca="false">ROUNDUP(MAX(J516/IF(BZ516&gt;0,BZ516,MAX(0.1,N(Cockpit!$O$6))),CC516)/BS516,0)*BS516</f>
        <v>405</v>
      </c>
      <c r="BA516" s="58" t="n">
        <f aca="false">IF(AX516&gt;0,J516/AX516,-1)</f>
        <v>14256</v>
      </c>
      <c r="BB516" s="58" t="n">
        <f aca="false">IF(AND(OR(BY516="L1",BY516="L23"),AX516&gt;0),SUMIFS($AX$7:$AX$1843,$BY$7:$BY$1843,BY516,$BA$7:$BA$1843,"&gt;"&amp;BA516)+SUMIFS($AX$7:$AX$1843,$BY$7:$BY$1843,BY516,$BA$7:$BA$1843,BA516,$BQ$7:$BQ$1843,"&lt;="&amp;BQ516),"")</f>
        <v>5.89912502955981</v>
      </c>
      <c r="BC516" s="65" t="n">
        <f aca="false">IF(BB516="",0,MAX(0,MIN(1,(IF(BY516="L1",Parameter!$E$5,Parameter!$E$6+Parameter!$E$7)-(BB516-AX516))/AX516)))</f>
        <v>1</v>
      </c>
      <c r="BD516" s="55" t="str">
        <f aca="false">IF(AH516&lt;=0,"",IF(BY516="Aussen","Aussenlager",IF(BY516="-","Nicht im Lift",IF(AM516&gt;=1,"Lift",IF(AM516&lt;=0,"Aussenlager","teilweise")))))</f>
        <v>Lift</v>
      </c>
      <c r="BE516" s="55" t="str">
        <f aca="false">IF(AP516&lt;=0,"",IF(BY516="Aussen","Aussenlager",IF(BY516="-","Nicht im Lift",IF(AU516&gt;=1,"Lift",IF(AU516&lt;=0,"Aussenlager","teilweise")))))</f>
        <v>Lift</v>
      </c>
      <c r="BF516" s="55" t="str">
        <f aca="false">IF(AX516&lt;=0,"",IF(BY516="Aussen","Aussenlager",IF(BY516="-","Nicht im Lift",IF(BC516&gt;=1,"Lift",IF(BC516&lt;=0,"Aussenlager","teilweise")))))</f>
        <v>Lift</v>
      </c>
      <c r="BG516" s="55" t="str">
        <f aca="false">IF(A516="","",IF(BP516=1,"Neu; ","")&amp;IF(AND(BP516=0,BK516&lt;0),"negativer Bestand (Export "&amp;BK516&amp;"); ","")&amp;IF(J516&lt;=0,"Kein Verbrauch; ","")&amp;IF(CH516&gt;0,"Lift "&amp;W516&amp;" lt. Liftbericht (Fach "&amp;X516&amp;" Stk); ",IF(BU516=1,"Gebinde geschätzt ("&amp;T516&amp;"); ",IF(BT516=1,"Lose – Tablare geschätzt; ","")))&amp;IF(H516&gt;AR516,"Überbestand "&amp;ROUND(H516-AR516,0)&amp;" Stk / CHF "&amp;ROUND((H516-AR516)*G516,0)&amp;"; ","")&amp;IF(AND(CA516=1,CB516&lt;CC516),"MAX &lt; MB+LG; ","")&amp;IF(AND(CG516&gt;0,CF516*10&gt;CG516),"zu hoch für Tablar; ","")&amp;IF(AND(BP516=0,OR(CA516=1,AA516&lt;&gt;"",U516&lt;&gt;"",V516&lt;&gt;"",AB516&lt;&gt;"")),"manuell übersteuert; ","")&amp;IF(AND(BT516=0,R516=0),"Gebinde unbekannt / Stellmass fehlt; ","")&amp;IF(AND(BT516=0,N(V516)&lt;=0,N(Q516)&lt;=0),"Menge pro Gebinde fehlt (Ist = 1 Gebinde); ","")&amp;BO516)</f>
        <v/>
      </c>
      <c r="BH516" s="55"/>
      <c r="BI516" s="55"/>
      <c r="BJ516" s="62"/>
      <c r="BK516" s="57" t="n">
        <v>266</v>
      </c>
      <c r="BL516" s="57" t="n">
        <v>89</v>
      </c>
      <c r="BM516" s="56" t="n">
        <v>31.01</v>
      </c>
      <c r="BN516" s="57" t="n">
        <v>360</v>
      </c>
      <c r="BO516" s="55"/>
      <c r="BP516" s="60" t="n">
        <v>0</v>
      </c>
      <c r="BQ516" s="60" t="n">
        <v>516</v>
      </c>
      <c r="BR516" s="55" t="str">
        <f aca="false">IF(U516&lt;&gt;"",UPPER(TRIM(U516)),IF(BU516=1,UPPER(VLOOKUP(T516,Parameter!$I$27:$K$29,2,0)),IF(P516="","LOSE",P516)))</f>
        <v>S22</v>
      </c>
      <c r="BS516" s="57" t="n">
        <f aca="false">IF(BR516="LOSE",1,IF(N(V516)&gt;0,V516,IF(BU516=1,MAX(1,N(VLOOKUP(T516,Parameter!$I$27:$K$29,3,0)),H516,N(N516)),IF(N(Q516)&gt;0,Q516,MAX(1,H516)))))</f>
        <v>81</v>
      </c>
      <c r="BT516" s="60" t="n">
        <f aca="false">IF(BR516="LOSE",1,0)</f>
        <v>0</v>
      </c>
      <c r="BU516" s="60" t="n">
        <f aca="false">IF(AND(U516="",OR(P516="",P516="LOSE"),T516&lt;&gt;"",N(S516)&lt;=0,ISNUMBER(MATCH(T516,Parameter!$I$27:$I$29,0))),1,0)</f>
        <v>0</v>
      </c>
      <c r="BV516" s="55" t="str">
        <f aca="false">IF(AND(Parameter!$B$19="Ja",E516&lt;&gt;"",ISNUMBER(MATCH(E516,Parameter!$I$35:$I$52,0))),VLOOKUP(E516,Parameter!$I$35:$J$52,2,0),IFERROR(VLOOKUP(D516,Parameter!$A$35:$C$64,2,0),"Nein"))</f>
        <v>2+3</v>
      </c>
      <c r="BW516" s="59" t="n">
        <f aca="false">IF(BT516=0,0,IF(N(S516)&gt;0,S516,IFERROR(VLOOKUP(D516,Parameter!$A$35:$C$64,3,0)+0,0)))</f>
        <v>0</v>
      </c>
      <c r="BX516" s="55" t="n">
        <f aca="false">IF(AA516&lt;&gt;"",AA516,Z516)</f>
        <v>3</v>
      </c>
      <c r="BY516" s="55" t="str">
        <f aca="false">IF(BX516=1,"L1",IF(OR(BX516=2,BX516=3),"L23",IF(BX516="Aussen","Aussen","-")))</f>
        <v>L23</v>
      </c>
      <c r="BZ516" s="66" t="n">
        <f aca="false">IF(N(AB516)&gt;0,AB516,0)</f>
        <v>0</v>
      </c>
      <c r="CA516" s="60" t="n">
        <f aca="false">IF(ISNUMBER(AE516),1,0)</f>
        <v>0</v>
      </c>
      <c r="CB516" s="57" t="n">
        <f aca="false">N(AE516)</f>
        <v>0</v>
      </c>
      <c r="CC516" s="57" t="n">
        <f aca="false">N(M516)+N(N516)</f>
        <v>374</v>
      </c>
      <c r="CD516" s="57" t="n">
        <f aca="false">ROUNDUP(H516/BS516,0)</f>
        <v>5</v>
      </c>
      <c r="CE516" s="57" t="n">
        <f aca="false">ROUNDUP(CB516/BS516,0)</f>
        <v>0</v>
      </c>
      <c r="CF516" s="60" t="n">
        <f aca="false">IF(BT516=1,0,IFERROR(VLOOKUP(BR516,'Gebinde-Kategorie'!$A$5:$M$45,5,0)+0,0))</f>
        <v>8</v>
      </c>
      <c r="CG516" s="60" t="n">
        <f aca="false">IFERROR(IF(OR(BX516=1,BX516=2,BX516=3),N(INDEX(Parameter!$I$5:$I$7,BX516)),0),0)</f>
        <v>0</v>
      </c>
      <c r="CH516" s="59" t="n">
        <f aca="false">IF(AND(Parameter!$B$21="Ja",ISNUMBER(W516),N(X516)&gt;0),IFERROR(N(INDEX(Parameter!$L$5:$L$7,W516))*INDEX(Parameter!$E$5:$E$7,W516)*X516/SUMIFS($X$7:$X$1843,$W$7:$W$1843,W516),0),0)</f>
        <v>0</v>
      </c>
    </row>
    <row r="517" customFormat="false" ht="15" hidden="false" customHeight="false" outlineLevel="0" collapsed="false">
      <c r="A517" s="55" t="s">
        <v>1125</v>
      </c>
      <c r="B517" s="55" t="s">
        <v>794</v>
      </c>
      <c r="C517" s="55" t="s">
        <v>164</v>
      </c>
      <c r="D517" s="55" t="s">
        <v>184</v>
      </c>
      <c r="E517" s="55"/>
      <c r="F517" s="55" t="s">
        <v>218</v>
      </c>
      <c r="G517" s="56" t="n">
        <v>27.04</v>
      </c>
      <c r="H517" s="57" t="n">
        <f aca="false">MAX(0,IF(AND(Parameter!$B$21="Ja",ISNUMBER(Y517)),Y517,IF(Parameter!$B$20="Jahresanfang 2025 + Export",BL517+BK517,BK517)))</f>
        <v>5</v>
      </c>
      <c r="I517" s="57" t="n">
        <f aca="false">H517*G517</f>
        <v>135.2</v>
      </c>
      <c r="J517" s="57" t="n">
        <f aca="false">BN517*Parameter!$B$18</f>
        <v>5</v>
      </c>
      <c r="K517" s="58" t="n">
        <v>4</v>
      </c>
      <c r="L517" s="59" t="n">
        <v>1.25</v>
      </c>
      <c r="M517" s="57" t="n">
        <v>5</v>
      </c>
      <c r="N517" s="57" t="n">
        <v>5</v>
      </c>
      <c r="O517" s="60" t="n">
        <v>14</v>
      </c>
      <c r="P517" s="55" t="s">
        <v>328</v>
      </c>
      <c r="Q517" s="57" t="n">
        <v>5</v>
      </c>
      <c r="R517" s="60" t="n">
        <f aca="false">IF(BT517=1,0,IFERROR(VLOOKUP(BR517,'Gebinde-Kategorie'!$A$5:$M$45,13,0)+0,0))</f>
        <v>52</v>
      </c>
      <c r="S517" s="61"/>
      <c r="T517" s="62"/>
      <c r="U517" s="62"/>
      <c r="V517" s="62"/>
      <c r="W517" s="55"/>
      <c r="X517" s="57"/>
      <c r="Y517" s="57"/>
      <c r="Z517" s="55" t="n">
        <f aca="false">IF(A517="","",IF(AND(Parameter!$B$21="Ja",ISNUMBER(W517)),W517,IF(BV517="2+3",IF(ISNUMBER(SEARCH("grosser Artikel",BO517)),2,IFERROR(VLOOKUP(BR517,Parameter!$F$35:$G$64,2,0),2)),IF(OR(BV517="Nein",BV517=""),"-",BV517))))</f>
        <v>3</v>
      </c>
      <c r="AA517" s="62"/>
      <c r="AB517" s="63"/>
      <c r="AC517" s="57" t="n">
        <f aca="false">AR517</f>
        <v>10</v>
      </c>
      <c r="AD517" s="57" t="n">
        <f aca="false">MAX(AR517,H517)</f>
        <v>10</v>
      </c>
      <c r="AE517" s="64"/>
      <c r="AF517" s="57" t="n">
        <f aca="false">IF(LEFT(Cockpit!$C$5,1)="A",H517,IF(CA517=1,CB517,IF(LEFT(Cockpit!$C$5,1)="B",AJ517,MAX(AJ517,H517))))</f>
        <v>5</v>
      </c>
      <c r="AG517" s="57" t="n">
        <f aca="false">IF(BT517=1,0,ROUNDUP(AF517/BS517,0))</f>
        <v>1</v>
      </c>
      <c r="AH517" s="59" t="n">
        <f aca="false">IF(CH517&gt;0,CH517*MAX(1,AF517/X517),IF(BT517=1,IF(AF517&lt;=0,0,BW517*MAX(1,IF(H517&gt;0,AF517/H517,1))),IF(R517&gt;0,AG517/R517,0))/MAX(0.1,N(Parameter!$M$21)))</f>
        <v>0.0192307692307692</v>
      </c>
      <c r="AI517" s="57" t="n">
        <f aca="false">AF517*G517</f>
        <v>135.2</v>
      </c>
      <c r="AJ517" s="57" t="n">
        <f aca="false">ROUNDUP(MAX(J517/IF(BZ517&gt;0,BZ517,MAX(0.1,N(Cockpit!$C$6))),CC517)/BS517,0)*BS517</f>
        <v>10</v>
      </c>
      <c r="AK517" s="58" t="n">
        <f aca="false">IF(AH517&gt;0,J517/AH517,-1)</f>
        <v>260</v>
      </c>
      <c r="AL517" s="58" t="n">
        <f aca="false">IF(AND(OR(BY517="L1",BY517="L23"),AH517&gt;0),SUMIFS($AH$7:$AH$1843,$BY$7:$BY$1843,BY517,$AK$7:$AK$1843,"&gt;"&amp;AK517)+SUMIFS($AH$7:$AH$1843,$BY$7:$BY$1843,BY517,$AK$7:$AK$1843,AK517,$BQ$7:$BQ$1843,"&lt;="&amp;BQ517),"")</f>
        <v>29.4260835782575</v>
      </c>
      <c r="AM517" s="65" t="n">
        <f aca="false">IF(AL517="",0,MAX(0,MIN(1,(IF(BY517="L1",Parameter!$E$5,Parameter!$E$6+Parameter!$E$7)-(AL517-AH517))/AH517)))</f>
        <v>1</v>
      </c>
      <c r="AN517" s="57" t="n">
        <f aca="false">IF(LEFT(Cockpit!$I$5,1)="A",H517,IF(CA517=1,CB517,IF(LEFT(Cockpit!$I$5,1)="B",AR517,MAX(AR517,H517))))</f>
        <v>10</v>
      </c>
      <c r="AO517" s="57" t="n">
        <f aca="false">IF(BT517=1,0,ROUNDUP(AN517/BS517,0))</f>
        <v>2</v>
      </c>
      <c r="AP517" s="59" t="n">
        <f aca="false">IF(CH517&gt;0,CH517*MAX(1,AN517/X517),IF(BT517=1,IF(AN517&lt;=0,0,BW517*MAX(1,IF(H517&gt;0,AN517/H517,1))),IF(R517&gt;0,AO517/R517,0))/MAX(0.1,N(Parameter!$M$21)))</f>
        <v>0.0384615384615385</v>
      </c>
      <c r="AQ517" s="57" t="n">
        <f aca="false">AN517*G517</f>
        <v>270.4</v>
      </c>
      <c r="AR517" s="57" t="n">
        <f aca="false">ROUNDUP(MAX(J517/IF(BZ517&gt;0,BZ517,MAX(0.1,N(Cockpit!$I$6))),CC517)/BS517,0)*BS517</f>
        <v>10</v>
      </c>
      <c r="AS517" s="58" t="n">
        <f aca="false">IF(AP517&gt;0,J517/AP517,-1)</f>
        <v>130</v>
      </c>
      <c r="AT517" s="58" t="n">
        <f aca="false">IF(AND(OR(BY517="L1",BY517="L23"),AP517&gt;0),SUMIFS($AP$7:$AP$1843,$BY$7:$BY$1843,BY517,$AS$7:$AS$1843,"&gt;"&amp;AS517)+SUMIFS($AP$7:$AP$1843,$BY$7:$BY$1843,BY517,$AS$7:$AS$1843,AS517,$BQ$7:$BQ$1843,"&lt;="&amp;BQ517),"")</f>
        <v>52.6127326779501</v>
      </c>
      <c r="AU517" s="65" t="n">
        <f aca="false">IF(AT517="",0,MAX(0,MIN(1,(IF(BY517="L1",Parameter!$E$5,Parameter!$E$6+Parameter!$E$7)-(AT517-AP517))/AP517)))</f>
        <v>1</v>
      </c>
      <c r="AV517" s="57" t="n">
        <f aca="false">IF(LEFT(Cockpit!$O$5,1)="A",H517,IF(CA517=1,CB517,IF(LEFT(Cockpit!$O$5,1)="B",AZ517,MAX(AZ517,H517))))</f>
        <v>10</v>
      </c>
      <c r="AW517" s="57" t="n">
        <f aca="false">IF(BT517=1,0,ROUNDUP(AV517/BS517,0))</f>
        <v>2</v>
      </c>
      <c r="AX517" s="59" t="n">
        <f aca="false">IF(CH517&gt;0,CH517*MAX(1,AV517/X517),IF(BT517=1,IF(AV517&lt;=0,0,BW517*MAX(1,IF(H517&gt;0,AV517/H517,1))),IF(R517&gt;0,AW517/R517,0))/MAX(0.1,N(Parameter!$M$21)))</f>
        <v>0.0384615384615385</v>
      </c>
      <c r="AY517" s="57" t="n">
        <f aca="false">AV517*G517</f>
        <v>270.4</v>
      </c>
      <c r="AZ517" s="57" t="n">
        <f aca="false">ROUNDUP(MAX(J517/IF(BZ517&gt;0,BZ517,MAX(0.1,N(Cockpit!$O$6))),CC517)/BS517,0)*BS517</f>
        <v>10</v>
      </c>
      <c r="BA517" s="58" t="n">
        <f aca="false">IF(AX517&gt;0,J517/AX517,-1)</f>
        <v>130</v>
      </c>
      <c r="BB517" s="58" t="n">
        <f aca="false">IF(AND(OR(BY517="L1",BY517="L23"),AX517&gt;0),SUMIFS($AX$7:$AX$1843,$BY$7:$BY$1843,BY517,$BA$7:$BA$1843,"&gt;"&amp;BA517)+SUMIFS($AX$7:$AX$1843,$BY$7:$BY$1843,BY517,$BA$7:$BA$1843,BA517,$BQ$7:$BQ$1843,"&lt;="&amp;BQ517),"")</f>
        <v>49.1925695077869</v>
      </c>
      <c r="BC517" s="65" t="n">
        <f aca="false">IF(BB517="",0,MAX(0,MIN(1,(IF(BY517="L1",Parameter!$E$5,Parameter!$E$6+Parameter!$E$7)-(BB517-AX517))/AX517)))</f>
        <v>1</v>
      </c>
      <c r="BD517" s="55" t="str">
        <f aca="false">IF(AH517&lt;=0,"",IF(BY517="Aussen","Aussenlager",IF(BY517="-","Nicht im Lift",IF(AM517&gt;=1,"Lift",IF(AM517&lt;=0,"Aussenlager","teilweise")))))</f>
        <v>Lift</v>
      </c>
      <c r="BE517" s="55" t="str">
        <f aca="false">IF(AP517&lt;=0,"",IF(BY517="Aussen","Aussenlager",IF(BY517="-","Nicht im Lift",IF(AU517&gt;=1,"Lift",IF(AU517&lt;=0,"Aussenlager","teilweise")))))</f>
        <v>Lift</v>
      </c>
      <c r="BF517" s="55" t="str">
        <f aca="false">IF(AX517&lt;=0,"",IF(BY517="Aussen","Aussenlager",IF(BY517="-","Nicht im Lift",IF(BC517&gt;=1,"Lift",IF(BC517&lt;=0,"Aussenlager","teilweise")))))</f>
        <v>Lift</v>
      </c>
      <c r="BG517" s="55" t="str">
        <f aca="false">IF(A517="","",IF(BP517=1,"Neu; ","")&amp;IF(AND(BP517=0,BK517&lt;0),"negativer Bestand (Export "&amp;BK517&amp;"); ","")&amp;IF(J517&lt;=0,"Kein Verbrauch; ","")&amp;IF(CH517&gt;0,"Lift "&amp;W517&amp;" lt. Liftbericht (Fach "&amp;X517&amp;" Stk); ",IF(BU517=1,"Gebinde geschätzt ("&amp;T517&amp;"); ",IF(BT517=1,"Lose – Tablare geschätzt; ","")))&amp;IF(H517&gt;AR517,"Überbestand "&amp;ROUND(H517-AR517,0)&amp;" Stk / CHF "&amp;ROUND((H517-AR517)*G517,0)&amp;"; ","")&amp;IF(AND(CA517=1,CB517&lt;CC517),"MAX &lt; MB+LG; ","")&amp;IF(AND(CG517&gt;0,CF517*10&gt;CG517),"zu hoch für Tablar; ","")&amp;IF(AND(BP517=0,OR(CA517=1,AA517&lt;&gt;"",U517&lt;&gt;"",V517&lt;&gt;"",AB517&lt;&gt;"")),"manuell übersteuert; ","")&amp;IF(AND(BT517=0,R517=0),"Gebinde unbekannt / Stellmass fehlt; ","")&amp;IF(AND(BT517=0,N(V517)&lt;=0,N(Q517)&lt;=0),"Menge pro Gebinde fehlt (Ist = 1 Gebinde); ","")&amp;BO517)</f>
        <v/>
      </c>
      <c r="BH517" s="55"/>
      <c r="BI517" s="55"/>
      <c r="BJ517" s="62"/>
      <c r="BK517" s="57" t="n">
        <v>1</v>
      </c>
      <c r="BL517" s="57" t="n">
        <v>4</v>
      </c>
      <c r="BM517" s="56" t="n">
        <v>30.96</v>
      </c>
      <c r="BN517" s="57" t="n">
        <v>5</v>
      </c>
      <c r="BO517" s="55"/>
      <c r="BP517" s="60" t="n">
        <v>0</v>
      </c>
      <c r="BQ517" s="60" t="n">
        <v>517</v>
      </c>
      <c r="BR517" s="55" t="str">
        <f aca="false">IF(U517&lt;&gt;"",UPPER(TRIM(U517)),IF(BU517=1,UPPER(VLOOKUP(T517,Parameter!$I$27:$K$29,2,0)),IF(P517="","LOSE",P517)))</f>
        <v>S41</v>
      </c>
      <c r="BS517" s="57" t="n">
        <f aca="false">IF(BR517="LOSE",1,IF(N(V517)&gt;0,V517,IF(BU517=1,MAX(1,N(VLOOKUP(T517,Parameter!$I$27:$K$29,3,0)),H517,N(N517)),IF(N(Q517)&gt;0,Q517,MAX(1,H517)))))</f>
        <v>5</v>
      </c>
      <c r="BT517" s="60" t="n">
        <f aca="false">IF(BR517="LOSE",1,0)</f>
        <v>0</v>
      </c>
      <c r="BU517" s="60" t="n">
        <f aca="false">IF(AND(U517="",OR(P517="",P517="LOSE"),T517&lt;&gt;"",N(S517)&lt;=0,ISNUMBER(MATCH(T517,Parameter!$I$27:$I$29,0))),1,0)</f>
        <v>0</v>
      </c>
      <c r="BV517" s="55" t="str">
        <f aca="false">IF(AND(Parameter!$B$19="Ja",E517&lt;&gt;"",ISNUMBER(MATCH(E517,Parameter!$I$35:$I$52,0))),VLOOKUP(E517,Parameter!$I$35:$J$52,2,0),IFERROR(VLOOKUP(D517,Parameter!$A$35:$C$64,2,0),"Nein"))</f>
        <v>2+3</v>
      </c>
      <c r="BW517" s="59" t="n">
        <f aca="false">IF(BT517=0,0,IF(N(S517)&gt;0,S517,IFERROR(VLOOKUP(D517,Parameter!$A$35:$C$64,3,0)+0,0)))</f>
        <v>0</v>
      </c>
      <c r="BX517" s="55" t="n">
        <f aca="false">IF(AA517&lt;&gt;"",AA517,Z517)</f>
        <v>3</v>
      </c>
      <c r="BY517" s="55" t="str">
        <f aca="false">IF(BX517=1,"L1",IF(OR(BX517=2,BX517=3),"L23",IF(BX517="Aussen","Aussen","-")))</f>
        <v>L23</v>
      </c>
      <c r="BZ517" s="66" t="n">
        <f aca="false">IF(N(AB517)&gt;0,AB517,0)</f>
        <v>0</v>
      </c>
      <c r="CA517" s="60" t="n">
        <f aca="false">IF(ISNUMBER(AE517),1,0)</f>
        <v>0</v>
      </c>
      <c r="CB517" s="57" t="n">
        <f aca="false">N(AE517)</f>
        <v>0</v>
      </c>
      <c r="CC517" s="57" t="n">
        <f aca="false">N(M517)+N(N517)</f>
        <v>10</v>
      </c>
      <c r="CD517" s="57" t="n">
        <f aca="false">ROUNDUP(H517/BS517,0)</f>
        <v>1</v>
      </c>
      <c r="CE517" s="57" t="n">
        <f aca="false">ROUNDUP(CB517/BS517,0)</f>
        <v>0</v>
      </c>
      <c r="CF517" s="60" t="n">
        <f aca="false">IF(BT517=1,0,IFERROR(VLOOKUP(BR517,'Gebinde-Kategorie'!$A$5:$M$45,5,0)+0,0))</f>
        <v>11</v>
      </c>
      <c r="CG517" s="60" t="n">
        <f aca="false">IFERROR(IF(OR(BX517=1,BX517=2,BX517=3),N(INDEX(Parameter!$I$5:$I$7,BX517)),0),0)</f>
        <v>0</v>
      </c>
      <c r="CH517" s="59" t="n">
        <f aca="false">IF(AND(Parameter!$B$21="Ja",ISNUMBER(W517),N(X517)&gt;0),IFERROR(N(INDEX(Parameter!$L$5:$L$7,W517))*INDEX(Parameter!$E$5:$E$7,W517)*X517/SUMIFS($X$7:$X$1843,$W$7:$W$1843,W517),0),0)</f>
        <v>0</v>
      </c>
    </row>
    <row r="518" customFormat="false" ht="15" hidden="false" customHeight="false" outlineLevel="0" collapsed="false">
      <c r="A518" s="55" t="s">
        <v>1126</v>
      </c>
      <c r="B518" s="55" t="s">
        <v>1127</v>
      </c>
      <c r="C518" s="55" t="s">
        <v>164</v>
      </c>
      <c r="D518" s="55" t="s">
        <v>184</v>
      </c>
      <c r="E518" s="55"/>
      <c r="F518" s="55" t="s">
        <v>218</v>
      </c>
      <c r="G518" s="56" t="n">
        <v>3.19</v>
      </c>
      <c r="H518" s="57" t="n">
        <f aca="false">MAX(0,IF(AND(Parameter!$B$21="Ja",ISNUMBER(Y518)),Y518,IF(Parameter!$B$20="Jahresanfang 2025 + Export",BL518+BK518,BK518)))</f>
        <v>18</v>
      </c>
      <c r="I518" s="57" t="n">
        <f aca="false">H518*G518</f>
        <v>57.42</v>
      </c>
      <c r="J518" s="57" t="n">
        <f aca="false">BN518*Parameter!$B$18</f>
        <v>19</v>
      </c>
      <c r="K518" s="58" t="n">
        <v>9</v>
      </c>
      <c r="L518" s="59" t="n">
        <v>2.11111111111111</v>
      </c>
      <c r="M518" s="57" t="n">
        <v>0</v>
      </c>
      <c r="N518" s="57" t="n">
        <v>20</v>
      </c>
      <c r="O518" s="60" t="n">
        <v>14</v>
      </c>
      <c r="P518" s="55" t="s">
        <v>426</v>
      </c>
      <c r="Q518" s="57" t="n">
        <v>10</v>
      </c>
      <c r="R518" s="60" t="n">
        <f aca="false">IF(BT518=1,0,IFERROR(VLOOKUP(BR518,'Gebinde-Kategorie'!$A$5:$M$45,13,0)+0,0))</f>
        <v>198</v>
      </c>
      <c r="S518" s="61"/>
      <c r="T518" s="62"/>
      <c r="U518" s="62"/>
      <c r="V518" s="62"/>
      <c r="W518" s="55"/>
      <c r="X518" s="57"/>
      <c r="Y518" s="57"/>
      <c r="Z518" s="55" t="n">
        <f aca="false">IF(A518="","",IF(AND(Parameter!$B$21="Ja",ISNUMBER(W518)),W518,IF(BV518="2+3",IF(ISNUMBER(SEARCH("grosser Artikel",BO518)),2,IFERROR(VLOOKUP(BR518,Parameter!$F$35:$G$64,2,0),2)),IF(OR(BV518="Nein",BV518=""),"-",BV518))))</f>
        <v>3</v>
      </c>
      <c r="AA518" s="62"/>
      <c r="AB518" s="63"/>
      <c r="AC518" s="57" t="n">
        <f aca="false">AR518</f>
        <v>20</v>
      </c>
      <c r="AD518" s="57" t="n">
        <f aca="false">MAX(AR518,H518)</f>
        <v>20</v>
      </c>
      <c r="AE518" s="64"/>
      <c r="AF518" s="57" t="n">
        <f aca="false">IF(LEFT(Cockpit!$C$5,1)="A",H518,IF(CA518=1,CB518,IF(LEFT(Cockpit!$C$5,1)="B",AJ518,MAX(AJ518,H518))))</f>
        <v>18</v>
      </c>
      <c r="AG518" s="57" t="n">
        <f aca="false">IF(BT518=1,0,ROUNDUP(AF518/BS518,0))</f>
        <v>2</v>
      </c>
      <c r="AH518" s="59" t="n">
        <f aca="false">IF(CH518&gt;0,CH518*MAX(1,AF518/X518),IF(BT518=1,IF(AF518&lt;=0,0,BW518*MAX(1,IF(H518&gt;0,AF518/H518,1))),IF(R518&gt;0,AG518/R518,0))/MAX(0.1,N(Parameter!$M$21)))</f>
        <v>0.0101010101010101</v>
      </c>
      <c r="AI518" s="57" t="n">
        <f aca="false">AF518*G518</f>
        <v>57.42</v>
      </c>
      <c r="AJ518" s="57" t="n">
        <f aca="false">ROUNDUP(MAX(J518/IF(BZ518&gt;0,BZ518,MAX(0.1,N(Cockpit!$C$6))),CC518)/BS518,0)*BS518</f>
        <v>20</v>
      </c>
      <c r="AK518" s="58" t="n">
        <f aca="false">IF(AH518&gt;0,J518/AH518,-1)</f>
        <v>1881</v>
      </c>
      <c r="AL518" s="58" t="n">
        <f aca="false">IF(AND(OR(BY518="L1",BY518="L23"),AH518&gt;0),SUMIFS($AH$7:$AH$1843,$BY$7:$BY$1843,BY518,$AK$7:$AK$1843,"&gt;"&amp;AK518)+SUMIFS($AH$7:$AH$1843,$BY$7:$BY$1843,BY518,$AK$7:$AK$1843,AK518,$BQ$7:$BQ$1843,"&lt;="&amp;BQ518),"")</f>
        <v>13.6750532076619</v>
      </c>
      <c r="AM518" s="65" t="n">
        <f aca="false">IF(AL518="",0,MAX(0,MIN(1,(IF(BY518="L1",Parameter!$E$5,Parameter!$E$6+Parameter!$E$7)-(AL518-AH518))/AH518)))</f>
        <v>1</v>
      </c>
      <c r="AN518" s="57" t="n">
        <f aca="false">IF(LEFT(Cockpit!$I$5,1)="A",H518,IF(CA518=1,CB518,IF(LEFT(Cockpit!$I$5,1)="B",AR518,MAX(AR518,H518))))</f>
        <v>20</v>
      </c>
      <c r="AO518" s="57" t="n">
        <f aca="false">IF(BT518=1,0,ROUNDUP(AN518/BS518,0))</f>
        <v>2</v>
      </c>
      <c r="AP518" s="59" t="n">
        <f aca="false">IF(CH518&gt;0,CH518*MAX(1,AN518/X518),IF(BT518=1,IF(AN518&lt;=0,0,BW518*MAX(1,IF(H518&gt;0,AN518/H518,1))),IF(R518&gt;0,AO518/R518,0))/MAX(0.1,N(Parameter!$M$21)))</f>
        <v>0.0101010101010101</v>
      </c>
      <c r="AQ518" s="57" t="n">
        <f aca="false">AN518*G518</f>
        <v>63.8</v>
      </c>
      <c r="AR518" s="57" t="n">
        <f aca="false">ROUNDUP(MAX(J518/IF(BZ518&gt;0,BZ518,MAX(0.1,N(Cockpit!$I$6))),CC518)/BS518,0)*BS518</f>
        <v>20</v>
      </c>
      <c r="AS518" s="58" t="n">
        <f aca="false">IF(AP518&gt;0,J518/AP518,-1)</f>
        <v>1881</v>
      </c>
      <c r="AT518" s="58" t="n">
        <f aca="false">IF(AND(OR(BY518="L1",BY518="L23"),AP518&gt;0),SUMIFS($AP$7:$AP$1843,$BY$7:$BY$1843,BY518,$AS$7:$AS$1843,"&gt;"&amp;AS518)+SUMIFS($AP$7:$AP$1843,$BY$7:$BY$1843,BY518,$AS$7:$AS$1843,AS518,$BQ$7:$BQ$1843,"&lt;="&amp;BQ518),"")</f>
        <v>18.9959123002601</v>
      </c>
      <c r="AU518" s="65" t="n">
        <f aca="false">IF(AT518="",0,MAX(0,MIN(1,(IF(BY518="L1",Parameter!$E$5,Parameter!$E$6+Parameter!$E$7)-(AT518-AP518))/AP518)))</f>
        <v>1</v>
      </c>
      <c r="AV518" s="57" t="n">
        <f aca="false">IF(LEFT(Cockpit!$O$5,1)="A",H518,IF(CA518=1,CB518,IF(LEFT(Cockpit!$O$5,1)="B",AZ518,MAX(AZ518,H518))))</f>
        <v>20</v>
      </c>
      <c r="AW518" s="57" t="n">
        <f aca="false">IF(BT518=1,0,ROUNDUP(AV518/BS518,0))</f>
        <v>2</v>
      </c>
      <c r="AX518" s="59" t="n">
        <f aca="false">IF(CH518&gt;0,CH518*MAX(1,AV518/X518),IF(BT518=1,IF(AV518&lt;=0,0,BW518*MAX(1,IF(H518&gt;0,AV518/H518,1))),IF(R518&gt;0,AW518/R518,0))/MAX(0.1,N(Parameter!$M$21)))</f>
        <v>0.0101010101010101</v>
      </c>
      <c r="AY518" s="57" t="n">
        <f aca="false">AV518*G518</f>
        <v>63.8</v>
      </c>
      <c r="AZ518" s="57" t="n">
        <f aca="false">ROUNDUP(MAX(J518/IF(BZ518&gt;0,BZ518,MAX(0.1,N(Cockpit!$O$6))),CC518)/BS518,0)*BS518</f>
        <v>20</v>
      </c>
      <c r="BA518" s="58" t="n">
        <f aca="false">IF(AX518&gt;0,J518/AX518,-1)</f>
        <v>1881</v>
      </c>
      <c r="BB518" s="58" t="n">
        <f aca="false">IF(AND(OR(BY518="L1",BY518="L23"),AX518&gt;0),SUMIFS($AX$7:$AX$1843,$BY$7:$BY$1843,BY518,$BA$7:$BA$1843,"&gt;"&amp;BA518)+SUMIFS($AX$7:$AX$1843,$BY$7:$BY$1843,BY518,$BA$7:$BA$1843,BA518,$BQ$7:$BQ$1843,"&lt;="&amp;BQ518),"")</f>
        <v>17.6911337454816</v>
      </c>
      <c r="BC518" s="65" t="n">
        <f aca="false">IF(BB518="",0,MAX(0,MIN(1,(IF(BY518="L1",Parameter!$E$5,Parameter!$E$6+Parameter!$E$7)-(BB518-AX518))/AX518)))</f>
        <v>1</v>
      </c>
      <c r="BD518" s="55" t="str">
        <f aca="false">IF(AH518&lt;=0,"",IF(BY518="Aussen","Aussenlager",IF(BY518="-","Nicht im Lift",IF(AM518&gt;=1,"Lift",IF(AM518&lt;=0,"Aussenlager","teilweise")))))</f>
        <v>Lift</v>
      </c>
      <c r="BE518" s="55" t="str">
        <f aca="false">IF(AP518&lt;=0,"",IF(BY518="Aussen","Aussenlager",IF(BY518="-","Nicht im Lift",IF(AU518&gt;=1,"Lift",IF(AU518&lt;=0,"Aussenlager","teilweise")))))</f>
        <v>Lift</v>
      </c>
      <c r="BF518" s="55" t="str">
        <f aca="false">IF(AX518&lt;=0,"",IF(BY518="Aussen","Aussenlager",IF(BY518="-","Nicht im Lift",IF(BC518&gt;=1,"Lift",IF(BC518&lt;=0,"Aussenlager","teilweise")))))</f>
        <v>Lift</v>
      </c>
      <c r="BG518" s="55" t="str">
        <f aca="false">IF(A518="","",IF(BP518=1,"Neu; ","")&amp;IF(AND(BP518=0,BK518&lt;0),"negativer Bestand (Export "&amp;BK518&amp;"); ","")&amp;IF(J518&lt;=0,"Kein Verbrauch; ","")&amp;IF(CH518&gt;0,"Lift "&amp;W518&amp;" lt. Liftbericht (Fach "&amp;X518&amp;" Stk); ",IF(BU518=1,"Gebinde geschätzt ("&amp;T518&amp;"); ",IF(BT518=1,"Lose – Tablare geschätzt; ","")))&amp;IF(H518&gt;AR518,"Überbestand "&amp;ROUND(H518-AR518,0)&amp;" Stk / CHF "&amp;ROUND((H518-AR518)*G518,0)&amp;"; ","")&amp;IF(AND(CA518=1,CB518&lt;CC518),"MAX &lt; MB+LG; ","")&amp;IF(AND(CG518&gt;0,CF518*10&gt;CG518),"zu hoch für Tablar; ","")&amp;IF(AND(BP518=0,OR(CA518=1,AA518&lt;&gt;"",U518&lt;&gt;"",V518&lt;&gt;"",AB518&lt;&gt;"")),"manuell übersteuert; ","")&amp;IF(AND(BT518=0,R518=0),"Gebinde unbekannt / Stellmass fehlt; ","")&amp;IF(AND(BT518=0,N(V518)&lt;=0,N(Q518)&lt;=0),"Menge pro Gebinde fehlt (Ist = 1 Gebinde); ","")&amp;BO518)</f>
        <v/>
      </c>
      <c r="BH518" s="55"/>
      <c r="BI518" s="55"/>
      <c r="BJ518" s="62"/>
      <c r="BK518" s="57" t="n">
        <v>8</v>
      </c>
      <c r="BL518" s="57" t="n">
        <v>10</v>
      </c>
      <c r="BM518" s="56" t="n">
        <v>30.52</v>
      </c>
      <c r="BN518" s="57" t="n">
        <v>19</v>
      </c>
      <c r="BO518" s="55"/>
      <c r="BP518" s="60" t="n">
        <v>0</v>
      </c>
      <c r="BQ518" s="60" t="n">
        <v>518</v>
      </c>
      <c r="BR518" s="55" t="str">
        <f aca="false">IF(U518&lt;&gt;"",UPPER(TRIM(U518)),IF(BU518=1,UPPER(VLOOKUP(T518,Parameter!$I$27:$K$29,2,0)),IF(P518="","LOSE",P518)))</f>
        <v>S22</v>
      </c>
      <c r="BS518" s="57" t="n">
        <f aca="false">IF(BR518="LOSE",1,IF(N(V518)&gt;0,V518,IF(BU518=1,MAX(1,N(VLOOKUP(T518,Parameter!$I$27:$K$29,3,0)),H518,N(N518)),IF(N(Q518)&gt;0,Q518,MAX(1,H518)))))</f>
        <v>10</v>
      </c>
      <c r="BT518" s="60" t="n">
        <f aca="false">IF(BR518="LOSE",1,0)</f>
        <v>0</v>
      </c>
      <c r="BU518" s="60" t="n">
        <f aca="false">IF(AND(U518="",OR(P518="",P518="LOSE"),T518&lt;&gt;"",N(S518)&lt;=0,ISNUMBER(MATCH(T518,Parameter!$I$27:$I$29,0))),1,0)</f>
        <v>0</v>
      </c>
      <c r="BV518" s="55" t="str">
        <f aca="false">IF(AND(Parameter!$B$19="Ja",E518&lt;&gt;"",ISNUMBER(MATCH(E518,Parameter!$I$35:$I$52,0))),VLOOKUP(E518,Parameter!$I$35:$J$52,2,0),IFERROR(VLOOKUP(D518,Parameter!$A$35:$C$64,2,0),"Nein"))</f>
        <v>2+3</v>
      </c>
      <c r="BW518" s="59" t="n">
        <f aca="false">IF(BT518=0,0,IF(N(S518)&gt;0,S518,IFERROR(VLOOKUP(D518,Parameter!$A$35:$C$64,3,0)+0,0)))</f>
        <v>0</v>
      </c>
      <c r="BX518" s="55" t="n">
        <f aca="false">IF(AA518&lt;&gt;"",AA518,Z518)</f>
        <v>3</v>
      </c>
      <c r="BY518" s="55" t="str">
        <f aca="false">IF(BX518=1,"L1",IF(OR(BX518=2,BX518=3),"L23",IF(BX518="Aussen","Aussen","-")))</f>
        <v>L23</v>
      </c>
      <c r="BZ518" s="66" t="n">
        <f aca="false">IF(N(AB518)&gt;0,AB518,0)</f>
        <v>0</v>
      </c>
      <c r="CA518" s="60" t="n">
        <f aca="false">IF(ISNUMBER(AE518),1,0)</f>
        <v>0</v>
      </c>
      <c r="CB518" s="57" t="n">
        <f aca="false">N(AE518)</f>
        <v>0</v>
      </c>
      <c r="CC518" s="57" t="n">
        <f aca="false">N(M518)+N(N518)</f>
        <v>20</v>
      </c>
      <c r="CD518" s="57" t="n">
        <f aca="false">ROUNDUP(H518/BS518,0)</f>
        <v>2</v>
      </c>
      <c r="CE518" s="57" t="n">
        <f aca="false">ROUNDUP(CB518/BS518,0)</f>
        <v>0</v>
      </c>
      <c r="CF518" s="60" t="n">
        <f aca="false">IF(BT518=1,0,IFERROR(VLOOKUP(BR518,'Gebinde-Kategorie'!$A$5:$M$45,5,0)+0,0))</f>
        <v>8</v>
      </c>
      <c r="CG518" s="60" t="n">
        <f aca="false">IFERROR(IF(OR(BX518=1,BX518=2,BX518=3),N(INDEX(Parameter!$I$5:$I$7,BX518)),0),0)</f>
        <v>0</v>
      </c>
      <c r="CH518" s="59" t="n">
        <f aca="false">IF(AND(Parameter!$B$21="Ja",ISNUMBER(W518),N(X518)&gt;0),IFERROR(N(INDEX(Parameter!$L$5:$L$7,W518))*INDEX(Parameter!$E$5:$E$7,W518)*X518/SUMIFS($X$7:$X$1843,$W$7:$W$1843,W518),0),0)</f>
        <v>0</v>
      </c>
    </row>
    <row r="519" customFormat="false" ht="15" hidden="false" customHeight="false" outlineLevel="0" collapsed="false">
      <c r="A519" s="55" t="s">
        <v>1128</v>
      </c>
      <c r="B519" s="55" t="s">
        <v>403</v>
      </c>
      <c r="C519" s="55" t="s">
        <v>164</v>
      </c>
      <c r="D519" s="55" t="s">
        <v>995</v>
      </c>
      <c r="E519" s="55"/>
      <c r="F519" s="55" t="s">
        <v>218</v>
      </c>
      <c r="G519" s="56" t="n">
        <v>15.2</v>
      </c>
      <c r="H519" s="57" t="n">
        <f aca="false">MAX(0,IF(AND(Parameter!$B$21="Ja",ISNUMBER(Y519)),Y519,IF(Parameter!$B$20="Jahresanfang 2025 + Export",BL519+BK519,BK519)))</f>
        <v>2</v>
      </c>
      <c r="I519" s="57" t="n">
        <f aca="false">H519*G519</f>
        <v>30.4</v>
      </c>
      <c r="J519" s="57" t="n">
        <f aca="false">BN519*Parameter!$B$18</f>
        <v>48</v>
      </c>
      <c r="K519" s="58" t="n">
        <v>1</v>
      </c>
      <c r="L519" s="59" t="n">
        <v>48</v>
      </c>
      <c r="M519" s="57" t="n">
        <v>0</v>
      </c>
      <c r="N519" s="57" t="n">
        <v>50</v>
      </c>
      <c r="O519" s="60" t="n">
        <v>21</v>
      </c>
      <c r="P519" s="55" t="s">
        <v>168</v>
      </c>
      <c r="Q519" s="57"/>
      <c r="R519" s="60" t="n">
        <f aca="false">IF(BT519=1,0,IFERROR(VLOOKUP(BR519,'Gebinde-Kategorie'!$A$5:$M$45,13,0)+0,0))</f>
        <v>0</v>
      </c>
      <c r="S519" s="61"/>
      <c r="T519" s="62"/>
      <c r="U519" s="62"/>
      <c r="V519" s="62"/>
      <c r="W519" s="55"/>
      <c r="X519" s="57"/>
      <c r="Y519" s="57"/>
      <c r="Z519" s="55" t="str">
        <f aca="false">IF(A519="","",IF(AND(Parameter!$B$21="Ja",ISNUMBER(W519)),W519,IF(BV519="2+3",IF(ISNUMBER(SEARCH("grosser Artikel",BO519)),2,IFERROR(VLOOKUP(BR519,Parameter!$F$35:$G$64,2,0),2)),IF(OR(BV519="Nein",BV519=""),"-",BV519))))</f>
        <v>-</v>
      </c>
      <c r="AA519" s="62"/>
      <c r="AB519" s="63"/>
      <c r="AC519" s="57" t="n">
        <f aca="false">AR519</f>
        <v>50</v>
      </c>
      <c r="AD519" s="57" t="n">
        <f aca="false">MAX(AR519,H519)</f>
        <v>50</v>
      </c>
      <c r="AE519" s="64"/>
      <c r="AF519" s="57" t="n">
        <f aca="false">IF(LEFT(Cockpit!$C$5,1)="A",H519,IF(CA519=1,CB519,IF(LEFT(Cockpit!$C$5,1)="B",AJ519,MAX(AJ519,H519))))</f>
        <v>2</v>
      </c>
      <c r="AG519" s="57" t="n">
        <f aca="false">IF(BT519=1,0,ROUNDUP(AF519/BS519,0))</f>
        <v>0</v>
      </c>
      <c r="AH519" s="59" t="n">
        <f aca="false">IF(CH519&gt;0,CH519*MAX(1,AF519/X519),IF(BT519=1,IF(AF519&lt;=0,0,BW519*MAX(1,IF(H519&gt;0,AF519/H519,1))),IF(R519&gt;0,AG519/R519,0))/MAX(0.1,N(Parameter!$M$21)))</f>
        <v>0.15</v>
      </c>
      <c r="AI519" s="57" t="n">
        <f aca="false">AF519*G519</f>
        <v>30.4</v>
      </c>
      <c r="AJ519" s="57" t="n">
        <f aca="false">ROUNDUP(MAX(J519/IF(BZ519&gt;0,BZ519,MAX(0.1,N(Cockpit!$C$6))),CC519)/BS519,0)*BS519</f>
        <v>50</v>
      </c>
      <c r="AK519" s="58" t="n">
        <f aca="false">IF(AH519&gt;0,J519/AH519,-1)</f>
        <v>320</v>
      </c>
      <c r="AL519" s="58" t="str">
        <f aca="false">IF(AND(OR(BY519="L1",BY519="L23"),AH519&gt;0),SUMIFS($AH$7:$AH$1843,$BY$7:$BY$1843,BY519,$AK$7:$AK$1843,"&gt;"&amp;AK519)+SUMIFS($AH$7:$AH$1843,$BY$7:$BY$1843,BY519,$AK$7:$AK$1843,AK519,$BQ$7:$BQ$1843,"&lt;="&amp;BQ519),"")</f>
        <v/>
      </c>
      <c r="AM519" s="65" t="n">
        <f aca="false">IF(AL519="",0,MAX(0,MIN(1,(IF(BY519="L1",Parameter!$E$5,Parameter!$E$6+Parameter!$E$7)-(AL519-AH519))/AH519)))</f>
        <v>0</v>
      </c>
      <c r="AN519" s="57" t="n">
        <f aca="false">IF(LEFT(Cockpit!$I$5,1)="A",H519,IF(CA519=1,CB519,IF(LEFT(Cockpit!$I$5,1)="B",AR519,MAX(AR519,H519))))</f>
        <v>50</v>
      </c>
      <c r="AO519" s="57" t="n">
        <f aca="false">IF(BT519=1,0,ROUNDUP(AN519/BS519,0))</f>
        <v>0</v>
      </c>
      <c r="AP519" s="59" t="n">
        <f aca="false">IF(CH519&gt;0,CH519*MAX(1,AN519/X519),IF(BT519=1,IF(AN519&lt;=0,0,BW519*MAX(1,IF(H519&gt;0,AN519/H519,1))),IF(R519&gt;0,AO519/R519,0))/MAX(0.1,N(Parameter!$M$21)))</f>
        <v>3.75</v>
      </c>
      <c r="AQ519" s="57" t="n">
        <f aca="false">AN519*G519</f>
        <v>760</v>
      </c>
      <c r="AR519" s="57" t="n">
        <f aca="false">ROUNDUP(MAX(J519/IF(BZ519&gt;0,BZ519,MAX(0.1,N(Cockpit!$I$6))),CC519)/BS519,0)*BS519</f>
        <v>50</v>
      </c>
      <c r="AS519" s="58" t="n">
        <f aca="false">IF(AP519&gt;0,J519/AP519,-1)</f>
        <v>12.8</v>
      </c>
      <c r="AT519" s="58" t="str">
        <f aca="false">IF(AND(OR(BY519="L1",BY519="L23"),AP519&gt;0),SUMIFS($AP$7:$AP$1843,$BY$7:$BY$1843,BY519,$AS$7:$AS$1843,"&gt;"&amp;AS519)+SUMIFS($AP$7:$AP$1843,$BY$7:$BY$1843,BY519,$AS$7:$AS$1843,AS519,$BQ$7:$BQ$1843,"&lt;="&amp;BQ519),"")</f>
        <v/>
      </c>
      <c r="AU519" s="65" t="n">
        <f aca="false">IF(AT519="",0,MAX(0,MIN(1,(IF(BY519="L1",Parameter!$E$5,Parameter!$E$6+Parameter!$E$7)-(AT519-AP519))/AP519)))</f>
        <v>0</v>
      </c>
      <c r="AV519" s="57" t="n">
        <f aca="false">IF(LEFT(Cockpit!$O$5,1)="A",H519,IF(CA519=1,CB519,IF(LEFT(Cockpit!$O$5,1)="B",AZ519,MAX(AZ519,H519))))</f>
        <v>50</v>
      </c>
      <c r="AW519" s="57" t="n">
        <f aca="false">IF(BT519=1,0,ROUNDUP(AV519/BS519,0))</f>
        <v>0</v>
      </c>
      <c r="AX519" s="59" t="n">
        <f aca="false">IF(CH519&gt;0,CH519*MAX(1,AV519/X519),IF(BT519=1,IF(AV519&lt;=0,0,BW519*MAX(1,IF(H519&gt;0,AV519/H519,1))),IF(R519&gt;0,AW519/R519,0))/MAX(0.1,N(Parameter!$M$21)))</f>
        <v>3.75</v>
      </c>
      <c r="AY519" s="57" t="n">
        <f aca="false">AV519*G519</f>
        <v>760</v>
      </c>
      <c r="AZ519" s="57" t="n">
        <f aca="false">ROUNDUP(MAX(J519/IF(BZ519&gt;0,BZ519,MAX(0.1,N(Cockpit!$O$6))),CC519)/BS519,0)*BS519</f>
        <v>50</v>
      </c>
      <c r="BA519" s="58" t="n">
        <f aca="false">IF(AX519&gt;0,J519/AX519,-1)</f>
        <v>12.8</v>
      </c>
      <c r="BB519" s="58" t="str">
        <f aca="false">IF(AND(OR(BY519="L1",BY519="L23"),AX519&gt;0),SUMIFS($AX$7:$AX$1843,$BY$7:$BY$1843,BY519,$BA$7:$BA$1843,"&gt;"&amp;BA519)+SUMIFS($AX$7:$AX$1843,$BY$7:$BY$1843,BY519,$BA$7:$BA$1843,BA519,$BQ$7:$BQ$1843,"&lt;="&amp;BQ519),"")</f>
        <v/>
      </c>
      <c r="BC519" s="65" t="n">
        <f aca="false">IF(BB519="",0,MAX(0,MIN(1,(IF(BY519="L1",Parameter!$E$5,Parameter!$E$6+Parameter!$E$7)-(BB519-AX519))/AX519)))</f>
        <v>0</v>
      </c>
      <c r="BD519" s="55" t="str">
        <f aca="false">IF(AH519&lt;=0,"",IF(BY519="Aussen","Aussenlager",IF(BY519="-","Nicht im Lift",IF(AM519&gt;=1,"Lift",IF(AM519&lt;=0,"Aussenlager","teilweise")))))</f>
        <v>Nicht im Lift</v>
      </c>
      <c r="BE519" s="55" t="str">
        <f aca="false">IF(AP519&lt;=0,"",IF(BY519="Aussen","Aussenlager",IF(BY519="-","Nicht im Lift",IF(AU519&gt;=1,"Lift",IF(AU519&lt;=0,"Aussenlager","teilweise")))))</f>
        <v>Nicht im Lift</v>
      </c>
      <c r="BF519" s="55" t="str">
        <f aca="false">IF(AX519&lt;=0,"",IF(BY519="Aussen","Aussenlager",IF(BY519="-","Nicht im Lift",IF(BC519&gt;=1,"Lift",IF(BC519&lt;=0,"Aussenlager","teilweise")))))</f>
        <v>Nicht im Lift</v>
      </c>
      <c r="BG519" s="55" t="str">
        <f aca="false">IF(A519="","",IF(BP519=1,"Neu; ","")&amp;IF(AND(BP519=0,BK519&lt;0),"negativer Bestand (Export "&amp;BK519&amp;"); ","")&amp;IF(J519&lt;=0,"Kein Verbrauch; ","")&amp;IF(CH519&gt;0,"Lift "&amp;W519&amp;" lt. Liftbericht (Fach "&amp;X519&amp;" Stk); ",IF(BU519=1,"Gebinde geschätzt ("&amp;T519&amp;"); ",IF(BT519=1,"Lose – Tablare geschätzt; ","")))&amp;IF(H519&gt;AR519,"Überbestand "&amp;ROUND(H519-AR519,0)&amp;" Stk / CHF "&amp;ROUND((H519-AR519)*G519,0)&amp;"; ","")&amp;IF(AND(CA519=1,CB519&lt;CC519),"MAX &lt; MB+LG; ","")&amp;IF(AND(CG519&gt;0,CF519*10&gt;CG519),"zu hoch für Tablar; ","")&amp;IF(AND(BP519=0,OR(CA519=1,AA519&lt;&gt;"",U519&lt;&gt;"",V519&lt;&gt;"",AB519&lt;&gt;"")),"manuell übersteuert; ","")&amp;IF(AND(BT519=0,R519=0),"Gebinde unbekannt / Stellmass fehlt; ","")&amp;IF(AND(BT519=0,N(V519)&lt;=0,N(Q519)&lt;=0),"Menge pro Gebinde fehlt (Ist = 1 Gebinde); ","")&amp;BO519)</f>
        <v>Lose – Tablare geschätzt; </v>
      </c>
      <c r="BH519" s="55"/>
      <c r="BI519" s="55"/>
      <c r="BJ519" s="62"/>
      <c r="BK519" s="57" t="n">
        <v>2</v>
      </c>
      <c r="BL519" s="57" t="n">
        <v>0</v>
      </c>
      <c r="BM519" s="56" t="n">
        <v>30.4</v>
      </c>
      <c r="BN519" s="57" t="n">
        <v>48</v>
      </c>
      <c r="BO519" s="55"/>
      <c r="BP519" s="60" t="n">
        <v>0</v>
      </c>
      <c r="BQ519" s="60" t="n">
        <v>519</v>
      </c>
      <c r="BR519" s="55" t="str">
        <f aca="false">IF(U519&lt;&gt;"",UPPER(TRIM(U519)),IF(BU519=1,UPPER(VLOOKUP(T519,Parameter!$I$27:$K$29,2,0)),IF(P519="","LOSE",P519)))</f>
        <v>LOSE</v>
      </c>
      <c r="BS519" s="57" t="n">
        <f aca="false">IF(BR519="LOSE",1,IF(N(V519)&gt;0,V519,IF(BU519=1,MAX(1,N(VLOOKUP(T519,Parameter!$I$27:$K$29,3,0)),H519,N(N519)),IF(N(Q519)&gt;0,Q519,MAX(1,H519)))))</f>
        <v>1</v>
      </c>
      <c r="BT519" s="60" t="n">
        <f aca="false">IF(BR519="LOSE",1,0)</f>
        <v>1</v>
      </c>
      <c r="BU519" s="60" t="n">
        <f aca="false">IF(AND(U519="",OR(P519="",P519="LOSE"),T519&lt;&gt;"",N(S519)&lt;=0,ISNUMBER(MATCH(T519,Parameter!$I$27:$I$29,0))),1,0)</f>
        <v>0</v>
      </c>
      <c r="BV519" s="55" t="str">
        <f aca="false">IF(AND(Parameter!$B$19="Ja",E519&lt;&gt;"",ISNUMBER(MATCH(E519,Parameter!$I$35:$I$52,0))),VLOOKUP(E519,Parameter!$I$35:$J$52,2,0),IFERROR(VLOOKUP(D519,Parameter!$A$35:$C$64,2,0),"Nein"))</f>
        <v>Nein</v>
      </c>
      <c r="BW519" s="59" t="n">
        <f aca="false">IF(BT519=0,0,IF(N(S519)&gt;0,S519,IFERROR(VLOOKUP(D519,Parameter!$A$35:$C$64,3,0)+0,0)))</f>
        <v>0.15</v>
      </c>
      <c r="BX519" s="55" t="str">
        <f aca="false">IF(AA519&lt;&gt;"",AA519,Z519)</f>
        <v>-</v>
      </c>
      <c r="BY519" s="55" t="str">
        <f aca="false">IF(BX519=1,"L1",IF(OR(BX519=2,BX519=3),"L23",IF(BX519="Aussen","Aussen","-")))</f>
        <v>-</v>
      </c>
      <c r="BZ519" s="66" t="n">
        <f aca="false">IF(N(AB519)&gt;0,AB519,0)</f>
        <v>0</v>
      </c>
      <c r="CA519" s="60" t="n">
        <f aca="false">IF(ISNUMBER(AE519),1,0)</f>
        <v>0</v>
      </c>
      <c r="CB519" s="57" t="n">
        <f aca="false">N(AE519)</f>
        <v>0</v>
      </c>
      <c r="CC519" s="57" t="n">
        <f aca="false">N(M519)+N(N519)</f>
        <v>50</v>
      </c>
      <c r="CD519" s="57" t="n">
        <f aca="false">ROUNDUP(H519/BS519,0)</f>
        <v>2</v>
      </c>
      <c r="CE519" s="57" t="n">
        <f aca="false">ROUNDUP(CB519/BS519,0)</f>
        <v>0</v>
      </c>
      <c r="CF519" s="60" t="n">
        <f aca="false">IF(BT519=1,0,IFERROR(VLOOKUP(BR519,'Gebinde-Kategorie'!$A$5:$M$45,5,0)+0,0))</f>
        <v>0</v>
      </c>
      <c r="CG519" s="60" t="n">
        <f aca="false">IFERROR(IF(OR(BX519=1,BX519=2,BX519=3),N(INDEX(Parameter!$I$5:$I$7,BX519)),0),0)</f>
        <v>0</v>
      </c>
      <c r="CH519" s="59" t="n">
        <f aca="false">IF(AND(Parameter!$B$21="Ja",ISNUMBER(W519),N(X519)&gt;0),IFERROR(N(INDEX(Parameter!$L$5:$L$7,W519))*INDEX(Parameter!$E$5:$E$7,W519)*X519/SUMIFS($X$7:$X$1843,$W$7:$W$1843,W519),0),0)</f>
        <v>0</v>
      </c>
    </row>
    <row r="520" customFormat="false" ht="15" hidden="false" customHeight="false" outlineLevel="0" collapsed="false">
      <c r="A520" s="55" t="s">
        <v>1129</v>
      </c>
      <c r="B520" s="55" t="s">
        <v>1130</v>
      </c>
      <c r="C520" s="55" t="s">
        <v>164</v>
      </c>
      <c r="D520" s="55" t="s">
        <v>184</v>
      </c>
      <c r="E520" s="55"/>
      <c r="F520" s="55" t="s">
        <v>218</v>
      </c>
      <c r="G520" s="56" t="n">
        <v>29.12</v>
      </c>
      <c r="H520" s="57" t="n">
        <f aca="false">MAX(0,IF(AND(Parameter!$B$21="Ja",ISNUMBER(Y520)),Y520,IF(Parameter!$B$20="Jahresanfang 2025 + Export",BL520+BK520,BK520)))</f>
        <v>1</v>
      </c>
      <c r="I520" s="57" t="n">
        <f aca="false">H520*G520</f>
        <v>29.12</v>
      </c>
      <c r="J520" s="57" t="n">
        <f aca="false">BN520*Parameter!$B$18</f>
        <v>0</v>
      </c>
      <c r="K520" s="58" t="n">
        <v>1</v>
      </c>
      <c r="L520" s="59" t="n">
        <v>0</v>
      </c>
      <c r="M520" s="57" t="n">
        <v>0</v>
      </c>
      <c r="N520" s="57" t="n">
        <v>1</v>
      </c>
      <c r="O520" s="60" t="n">
        <v>15</v>
      </c>
      <c r="P520" s="55" t="s">
        <v>328</v>
      </c>
      <c r="Q520" s="57" t="n">
        <v>2</v>
      </c>
      <c r="R520" s="60" t="n">
        <f aca="false">IF(BT520=1,0,IFERROR(VLOOKUP(BR520,'Gebinde-Kategorie'!$A$5:$M$45,13,0)+0,0))</f>
        <v>52</v>
      </c>
      <c r="S520" s="61"/>
      <c r="T520" s="62"/>
      <c r="U520" s="62"/>
      <c r="V520" s="62"/>
      <c r="W520" s="55"/>
      <c r="X520" s="57"/>
      <c r="Y520" s="57"/>
      <c r="Z520" s="55" t="n">
        <f aca="false">IF(A520="","",IF(AND(Parameter!$B$21="Ja",ISNUMBER(W520)),W520,IF(BV520="2+3",IF(ISNUMBER(SEARCH("grosser Artikel",BO520)),2,IFERROR(VLOOKUP(BR520,Parameter!$F$35:$G$64,2,0),2)),IF(OR(BV520="Nein",BV520=""),"-",BV520))))</f>
        <v>3</v>
      </c>
      <c r="AA520" s="62"/>
      <c r="AB520" s="63"/>
      <c r="AC520" s="57" t="n">
        <f aca="false">AR520</f>
        <v>2</v>
      </c>
      <c r="AD520" s="57" t="n">
        <f aca="false">MAX(AR520,H520)</f>
        <v>2</v>
      </c>
      <c r="AE520" s="64"/>
      <c r="AF520" s="57" t="n">
        <f aca="false">IF(LEFT(Cockpit!$C$5,1)="A",H520,IF(CA520=1,CB520,IF(LEFT(Cockpit!$C$5,1)="B",AJ520,MAX(AJ520,H520))))</f>
        <v>1</v>
      </c>
      <c r="AG520" s="57" t="n">
        <f aca="false">IF(BT520=1,0,ROUNDUP(AF520/BS520,0))</f>
        <v>1</v>
      </c>
      <c r="AH520" s="59" t="n">
        <f aca="false">IF(CH520&gt;0,CH520*MAX(1,AF520/X520),IF(BT520=1,IF(AF520&lt;=0,0,BW520*MAX(1,IF(H520&gt;0,AF520/H520,1))),IF(R520&gt;0,AG520/R520,0))/MAX(0.1,N(Parameter!$M$21)))</f>
        <v>0.0192307692307692</v>
      </c>
      <c r="AI520" s="57" t="n">
        <f aca="false">AF520*G520</f>
        <v>29.12</v>
      </c>
      <c r="AJ520" s="57" t="n">
        <f aca="false">ROUNDUP(MAX(J520/IF(BZ520&gt;0,BZ520,MAX(0.1,N(Cockpit!$C$6))),CC520)/BS520,0)*BS520</f>
        <v>2</v>
      </c>
      <c r="AK520" s="58" t="n">
        <f aca="false">IF(AH520&gt;0,J520/AH520,-1)</f>
        <v>0</v>
      </c>
      <c r="AL520" s="58" t="n">
        <f aca="false">IF(AND(OR(BY520="L1",BY520="L23"),AH520&gt;0),SUMIFS($AH$7:$AH$1843,$BY$7:$BY$1843,BY520,$AK$7:$AK$1843,"&gt;"&amp;AK520)+SUMIFS($AH$7:$AH$1843,$BY$7:$BY$1843,BY520,$AK$7:$AK$1843,AK520,$BQ$7:$BQ$1843,"&lt;="&amp;BQ520),"")</f>
        <v>74.8310783419479</v>
      </c>
      <c r="AM520" s="65" t="n">
        <f aca="false">IF(AL520="",0,MAX(0,MIN(1,(IF(BY520="L1",Parameter!$E$5,Parameter!$E$6+Parameter!$E$7)-(AL520-AH520))/AH520)))</f>
        <v>1</v>
      </c>
      <c r="AN520" s="57" t="n">
        <f aca="false">IF(LEFT(Cockpit!$I$5,1)="A",H520,IF(CA520=1,CB520,IF(LEFT(Cockpit!$I$5,1)="B",AR520,MAX(AR520,H520))))</f>
        <v>2</v>
      </c>
      <c r="AO520" s="57" t="n">
        <f aca="false">IF(BT520=1,0,ROUNDUP(AN520/BS520,0))</f>
        <v>1</v>
      </c>
      <c r="AP520" s="59" t="n">
        <f aca="false">IF(CH520&gt;0,CH520*MAX(1,AN520/X520),IF(BT520=1,IF(AN520&lt;=0,0,BW520*MAX(1,IF(H520&gt;0,AN520/H520,1))),IF(R520&gt;0,AO520/R520,0))/MAX(0.1,N(Parameter!$M$21)))</f>
        <v>0.0192307692307692</v>
      </c>
      <c r="AQ520" s="57" t="n">
        <f aca="false">AN520*G520</f>
        <v>58.24</v>
      </c>
      <c r="AR520" s="57" t="n">
        <f aca="false">ROUNDUP(MAX(J520/IF(BZ520&gt;0,BZ520,MAX(0.1,N(Cockpit!$I$6))),CC520)/BS520,0)*BS520</f>
        <v>2</v>
      </c>
      <c r="AS520" s="58" t="n">
        <f aca="false">IF(AP520&gt;0,J520/AP520,-1)</f>
        <v>0</v>
      </c>
      <c r="AT520" s="58" t="n">
        <f aca="false">IF(AND(OR(BY520="L1",BY520="L23"),AP520&gt;0),SUMIFS($AP$7:$AP$1843,$BY$7:$BY$1843,BY520,$AS$7:$AS$1843,"&gt;"&amp;AS520)+SUMIFS($AP$7:$AP$1843,$BY$7:$BY$1843,BY520,$AS$7:$AS$1843,AS520,$BQ$7:$BQ$1843,"&lt;="&amp;BQ520),"")</f>
        <v>114.255202526942</v>
      </c>
      <c r="AU520" s="65" t="n">
        <f aca="false">IF(AT520="",0,MAX(0,MIN(1,(IF(BY520="L1",Parameter!$E$5,Parameter!$E$6+Parameter!$E$7)-(AT520-AP520))/AP520)))</f>
        <v>0</v>
      </c>
      <c r="AV520" s="57" t="n">
        <f aca="false">IF(LEFT(Cockpit!$O$5,1)="A",H520,IF(CA520=1,CB520,IF(LEFT(Cockpit!$O$5,1)="B",AZ520,MAX(AZ520,H520))))</f>
        <v>2</v>
      </c>
      <c r="AW520" s="57" t="n">
        <f aca="false">IF(BT520=1,0,ROUNDUP(AV520/BS520,0))</f>
        <v>1</v>
      </c>
      <c r="AX520" s="59" t="n">
        <f aca="false">IF(CH520&gt;0,CH520*MAX(1,AV520/X520),IF(BT520=1,IF(AV520&lt;=0,0,BW520*MAX(1,IF(H520&gt;0,AV520/H520,1))),IF(R520&gt;0,AW520/R520,0))/MAX(0.1,N(Parameter!$M$21)))</f>
        <v>0.0192307692307692</v>
      </c>
      <c r="AY520" s="57" t="n">
        <f aca="false">AV520*G520</f>
        <v>58.24</v>
      </c>
      <c r="AZ520" s="57" t="n">
        <f aca="false">ROUNDUP(MAX(J520/IF(BZ520&gt;0,BZ520,MAX(0.1,N(Cockpit!$O$6))),CC520)/BS520,0)*BS520</f>
        <v>2</v>
      </c>
      <c r="BA520" s="58" t="n">
        <f aca="false">IF(AX520&gt;0,J520/AX520,-1)</f>
        <v>0</v>
      </c>
      <c r="BB520" s="58" t="n">
        <f aca="false">IF(AND(OR(BY520="L1",BY520="L23"),AX520&gt;0),SUMIFS($AX$7:$AX$1843,$BY$7:$BY$1843,BY520,$BA$7:$BA$1843,"&gt;"&amp;BA520)+SUMIFS($AX$7:$AX$1843,$BY$7:$BY$1843,BY520,$BA$7:$BA$1843,BA520,$BQ$7:$BQ$1843,"&lt;="&amp;BQ520),"")</f>
        <v>105.085039356778</v>
      </c>
      <c r="BC520" s="65" t="n">
        <f aca="false">IF(BB520="",0,MAX(0,MIN(1,(IF(BY520="L1",Parameter!$E$5,Parameter!$E$6+Parameter!$E$7)-(BB520-AX520))/AX520)))</f>
        <v>0</v>
      </c>
      <c r="BD520" s="55" t="str">
        <f aca="false">IF(AH520&lt;=0,"",IF(BY520="Aussen","Aussenlager",IF(BY520="-","Nicht im Lift",IF(AM520&gt;=1,"Lift",IF(AM520&lt;=0,"Aussenlager","teilweise")))))</f>
        <v>Lift</v>
      </c>
      <c r="BE520" s="55" t="str">
        <f aca="false">IF(AP520&lt;=0,"",IF(BY520="Aussen","Aussenlager",IF(BY520="-","Nicht im Lift",IF(AU520&gt;=1,"Lift",IF(AU520&lt;=0,"Aussenlager","teilweise")))))</f>
        <v>Aussenlager</v>
      </c>
      <c r="BF520" s="55" t="str">
        <f aca="false">IF(AX520&lt;=0,"",IF(BY520="Aussen","Aussenlager",IF(BY520="-","Nicht im Lift",IF(BC520&gt;=1,"Lift",IF(BC520&lt;=0,"Aussenlager","teilweise")))))</f>
        <v>Aussenlager</v>
      </c>
      <c r="BG520" s="55" t="str">
        <f aca="false">IF(A520="","",IF(BP520=1,"Neu; ","")&amp;IF(AND(BP520=0,BK520&lt;0),"negativer Bestand (Export "&amp;BK520&amp;"); ","")&amp;IF(J520&lt;=0,"Kein Verbrauch; ","")&amp;IF(CH520&gt;0,"Lift "&amp;W520&amp;" lt. Liftbericht (Fach "&amp;X520&amp;" Stk); ",IF(BU520=1,"Gebinde geschätzt ("&amp;T520&amp;"); ",IF(BT520=1,"Lose – Tablare geschätzt; ","")))&amp;IF(H520&gt;AR520,"Überbestand "&amp;ROUND(H520-AR520,0)&amp;" Stk / CHF "&amp;ROUND((H520-AR520)*G520,0)&amp;"; ","")&amp;IF(AND(CA520=1,CB520&lt;CC520),"MAX &lt; MB+LG; ","")&amp;IF(AND(CG520&gt;0,CF520*10&gt;CG520),"zu hoch für Tablar; ","")&amp;IF(AND(BP520=0,OR(CA520=1,AA520&lt;&gt;"",U520&lt;&gt;"",V520&lt;&gt;"",AB520&lt;&gt;"")),"manuell übersteuert; ","")&amp;IF(AND(BT520=0,R520=0),"Gebinde unbekannt / Stellmass fehlt; ","")&amp;IF(AND(BT520=0,N(V520)&lt;=0,N(Q520)&lt;=0),"Menge pro Gebinde fehlt (Ist = 1 Gebinde); ","")&amp;BO520)</f>
        <v>Kein Verbrauch; </v>
      </c>
      <c r="BH520" s="55"/>
      <c r="BI520" s="55"/>
      <c r="BJ520" s="62"/>
      <c r="BK520" s="57" t="n">
        <v>1</v>
      </c>
      <c r="BL520" s="57" t="n">
        <v>0</v>
      </c>
      <c r="BM520" s="56" t="n">
        <v>29.12</v>
      </c>
      <c r="BN520" s="57" t="n">
        <v>0</v>
      </c>
      <c r="BO520" s="55"/>
      <c r="BP520" s="60" t="n">
        <v>0</v>
      </c>
      <c r="BQ520" s="60" t="n">
        <v>520</v>
      </c>
      <c r="BR520" s="55" t="str">
        <f aca="false">IF(U520&lt;&gt;"",UPPER(TRIM(U520)),IF(BU520=1,UPPER(VLOOKUP(T520,Parameter!$I$27:$K$29,2,0)),IF(P520="","LOSE",P520)))</f>
        <v>S41</v>
      </c>
      <c r="BS520" s="57" t="n">
        <f aca="false">IF(BR520="LOSE",1,IF(N(V520)&gt;0,V520,IF(BU520=1,MAX(1,N(VLOOKUP(T520,Parameter!$I$27:$K$29,3,0)),H520,N(N520)),IF(N(Q520)&gt;0,Q520,MAX(1,H520)))))</f>
        <v>2</v>
      </c>
      <c r="BT520" s="60" t="n">
        <f aca="false">IF(BR520="LOSE",1,0)</f>
        <v>0</v>
      </c>
      <c r="BU520" s="60" t="n">
        <f aca="false">IF(AND(U520="",OR(P520="",P520="LOSE"),T520&lt;&gt;"",N(S520)&lt;=0,ISNUMBER(MATCH(T520,Parameter!$I$27:$I$29,0))),1,0)</f>
        <v>0</v>
      </c>
      <c r="BV520" s="55" t="str">
        <f aca="false">IF(AND(Parameter!$B$19="Ja",E520&lt;&gt;"",ISNUMBER(MATCH(E520,Parameter!$I$35:$I$52,0))),VLOOKUP(E520,Parameter!$I$35:$J$52,2,0),IFERROR(VLOOKUP(D520,Parameter!$A$35:$C$64,2,0),"Nein"))</f>
        <v>2+3</v>
      </c>
      <c r="BW520" s="59" t="n">
        <f aca="false">IF(BT520=0,0,IF(N(S520)&gt;0,S520,IFERROR(VLOOKUP(D520,Parameter!$A$35:$C$64,3,0)+0,0)))</f>
        <v>0</v>
      </c>
      <c r="BX520" s="55" t="n">
        <f aca="false">IF(AA520&lt;&gt;"",AA520,Z520)</f>
        <v>3</v>
      </c>
      <c r="BY520" s="55" t="str">
        <f aca="false">IF(BX520=1,"L1",IF(OR(BX520=2,BX520=3),"L23",IF(BX520="Aussen","Aussen","-")))</f>
        <v>L23</v>
      </c>
      <c r="BZ520" s="66" t="n">
        <f aca="false">IF(N(AB520)&gt;0,AB520,0)</f>
        <v>0</v>
      </c>
      <c r="CA520" s="60" t="n">
        <f aca="false">IF(ISNUMBER(AE520),1,0)</f>
        <v>0</v>
      </c>
      <c r="CB520" s="57" t="n">
        <f aca="false">N(AE520)</f>
        <v>0</v>
      </c>
      <c r="CC520" s="57" t="n">
        <f aca="false">N(M520)+N(N520)</f>
        <v>1</v>
      </c>
      <c r="CD520" s="57" t="n">
        <f aca="false">ROUNDUP(H520/BS520,0)</f>
        <v>1</v>
      </c>
      <c r="CE520" s="57" t="n">
        <f aca="false">ROUNDUP(CB520/BS520,0)</f>
        <v>0</v>
      </c>
      <c r="CF520" s="60" t="n">
        <f aca="false">IF(BT520=1,0,IFERROR(VLOOKUP(BR520,'Gebinde-Kategorie'!$A$5:$M$45,5,0)+0,0))</f>
        <v>11</v>
      </c>
      <c r="CG520" s="60" t="n">
        <f aca="false">IFERROR(IF(OR(BX520=1,BX520=2,BX520=3),N(INDEX(Parameter!$I$5:$I$7,BX520)),0),0)</f>
        <v>0</v>
      </c>
      <c r="CH520" s="59" t="n">
        <f aca="false">IF(AND(Parameter!$B$21="Ja",ISNUMBER(W520),N(X520)&gt;0),IFERROR(N(INDEX(Parameter!$L$5:$L$7,W520))*INDEX(Parameter!$E$5:$E$7,W520)*X520/SUMIFS($X$7:$X$1843,$W$7:$W$1843,W520),0),0)</f>
        <v>0</v>
      </c>
    </row>
    <row r="521" customFormat="false" ht="15" hidden="false" customHeight="false" outlineLevel="0" collapsed="false">
      <c r="A521" s="55" t="s">
        <v>1131</v>
      </c>
      <c r="B521" s="55" t="s">
        <v>589</v>
      </c>
      <c r="C521" s="55" t="s">
        <v>164</v>
      </c>
      <c r="D521" s="55" t="s">
        <v>184</v>
      </c>
      <c r="E521" s="55"/>
      <c r="F521" s="55" t="s">
        <v>218</v>
      </c>
      <c r="G521" s="56" t="n">
        <v>5.8</v>
      </c>
      <c r="H521" s="57" t="n">
        <f aca="false">MAX(0,IF(AND(Parameter!$B$21="Ja",ISNUMBER(Y521)),Y521,IF(Parameter!$B$20="Jahresanfang 2025 + Export",BL521+BK521,BK521)))</f>
        <v>5</v>
      </c>
      <c r="I521" s="57" t="n">
        <f aca="false">H521*G521</f>
        <v>29</v>
      </c>
      <c r="J521" s="57" t="n">
        <f aca="false">BN521*Parameter!$B$18</f>
        <v>2</v>
      </c>
      <c r="K521" s="58" t="n">
        <v>1.5</v>
      </c>
      <c r="L521" s="59" t="n">
        <v>1.33333333333333</v>
      </c>
      <c r="M521" s="57" t="n">
        <v>0</v>
      </c>
      <c r="N521" s="57" t="n">
        <v>1</v>
      </c>
      <c r="O521" s="60" t="n">
        <v>14</v>
      </c>
      <c r="P521" s="55" t="s">
        <v>401</v>
      </c>
      <c r="Q521" s="57" t="n">
        <v>20</v>
      </c>
      <c r="R521" s="60" t="n">
        <f aca="false">IF(BT521=1,0,IFERROR(VLOOKUP(BR521,'Gebinde-Kategorie'!$A$5:$M$45,13,0)+0,0))</f>
        <v>414</v>
      </c>
      <c r="S521" s="61"/>
      <c r="T521" s="62"/>
      <c r="U521" s="62"/>
      <c r="V521" s="62"/>
      <c r="W521" s="55"/>
      <c r="X521" s="57"/>
      <c r="Y521" s="57"/>
      <c r="Z521" s="55" t="n">
        <f aca="false">IF(A521="","",IF(AND(Parameter!$B$21="Ja",ISNUMBER(W521)),W521,IF(BV521="2+3",IF(ISNUMBER(SEARCH("grosser Artikel",BO521)),2,IFERROR(VLOOKUP(BR521,Parameter!$F$35:$G$64,2,0),2)),IF(OR(BV521="Nein",BV521=""),"-",BV521))))</f>
        <v>3</v>
      </c>
      <c r="AA521" s="62"/>
      <c r="AB521" s="63"/>
      <c r="AC521" s="57" t="n">
        <f aca="false">AR521</f>
        <v>20</v>
      </c>
      <c r="AD521" s="57" t="n">
        <f aca="false">MAX(AR521,H521)</f>
        <v>20</v>
      </c>
      <c r="AE521" s="64"/>
      <c r="AF521" s="57" t="n">
        <f aca="false">IF(LEFT(Cockpit!$C$5,1)="A",H521,IF(CA521=1,CB521,IF(LEFT(Cockpit!$C$5,1)="B",AJ521,MAX(AJ521,H521))))</f>
        <v>5</v>
      </c>
      <c r="AG521" s="57" t="n">
        <f aca="false">IF(BT521=1,0,ROUNDUP(AF521/BS521,0))</f>
        <v>1</v>
      </c>
      <c r="AH521" s="59" t="n">
        <f aca="false">IF(CH521&gt;0,CH521*MAX(1,AF521/X521),IF(BT521=1,IF(AF521&lt;=0,0,BW521*MAX(1,IF(H521&gt;0,AF521/H521,1))),IF(R521&gt;0,AG521/R521,0))/MAX(0.1,N(Parameter!$M$21)))</f>
        <v>0.00241545893719807</v>
      </c>
      <c r="AI521" s="57" t="n">
        <f aca="false">AF521*G521</f>
        <v>29</v>
      </c>
      <c r="AJ521" s="57" t="n">
        <f aca="false">ROUNDUP(MAX(J521/IF(BZ521&gt;0,BZ521,MAX(0.1,N(Cockpit!$C$6))),CC521)/BS521,0)*BS521</f>
        <v>20</v>
      </c>
      <c r="AK521" s="58" t="n">
        <f aca="false">IF(AH521&gt;0,J521/AH521,-1)</f>
        <v>828</v>
      </c>
      <c r="AL521" s="58" t="n">
        <f aca="false">IF(AND(OR(BY521="L1",BY521="L23"),AH521&gt;0),SUMIFS($AH$7:$AH$1843,$BY$7:$BY$1843,BY521,$AK$7:$AK$1843,"&gt;"&amp;AK521)+SUMIFS($AH$7:$AH$1843,$BY$7:$BY$1843,BY521,$AK$7:$AK$1843,AK521,$BQ$7:$BQ$1843,"&lt;="&amp;BQ521),"")</f>
        <v>20.720161481031</v>
      </c>
      <c r="AM521" s="65" t="n">
        <f aca="false">IF(AL521="",0,MAX(0,MIN(1,(IF(BY521="L1",Parameter!$E$5,Parameter!$E$6+Parameter!$E$7)-(AL521-AH521))/AH521)))</f>
        <v>1</v>
      </c>
      <c r="AN521" s="57" t="n">
        <f aca="false">IF(LEFT(Cockpit!$I$5,1)="A",H521,IF(CA521=1,CB521,IF(LEFT(Cockpit!$I$5,1)="B",AR521,MAX(AR521,H521))))</f>
        <v>20</v>
      </c>
      <c r="AO521" s="57" t="n">
        <f aca="false">IF(BT521=1,0,ROUNDUP(AN521/BS521,0))</f>
        <v>1</v>
      </c>
      <c r="AP521" s="59" t="n">
        <f aca="false">IF(CH521&gt;0,CH521*MAX(1,AN521/X521),IF(BT521=1,IF(AN521&lt;=0,0,BW521*MAX(1,IF(H521&gt;0,AN521/H521,1))),IF(R521&gt;0,AO521/R521,0))/MAX(0.1,N(Parameter!$M$21)))</f>
        <v>0.00241545893719807</v>
      </c>
      <c r="AQ521" s="57" t="n">
        <f aca="false">AN521*G521</f>
        <v>116</v>
      </c>
      <c r="AR521" s="57" t="n">
        <f aca="false">ROUNDUP(MAX(J521/IF(BZ521&gt;0,BZ521,MAX(0.1,N(Cockpit!$I$6))),CC521)/BS521,0)*BS521</f>
        <v>20</v>
      </c>
      <c r="AS521" s="58" t="n">
        <f aca="false">IF(AP521&gt;0,J521/AP521,-1)</f>
        <v>828</v>
      </c>
      <c r="AT521" s="58" t="n">
        <f aca="false">IF(AND(OR(BY521="L1",BY521="L23"),AP521&gt;0),SUMIFS($AP$7:$AP$1843,$BY$7:$BY$1843,BY521,$AS$7:$AS$1843,"&gt;"&amp;AS521)+SUMIFS($AP$7:$AP$1843,$BY$7:$BY$1843,BY521,$AS$7:$AS$1843,AS521,$BQ$7:$BQ$1843,"&lt;="&amp;BQ521),"")</f>
        <v>25.9307709199014</v>
      </c>
      <c r="AU521" s="65" t="n">
        <f aca="false">IF(AT521="",0,MAX(0,MIN(1,(IF(BY521="L1",Parameter!$E$5,Parameter!$E$6+Parameter!$E$7)-(AT521-AP521))/AP521)))</f>
        <v>1</v>
      </c>
      <c r="AV521" s="57" t="n">
        <f aca="false">IF(LEFT(Cockpit!$O$5,1)="A",H521,IF(CA521=1,CB521,IF(LEFT(Cockpit!$O$5,1)="B",AZ521,MAX(AZ521,H521))))</f>
        <v>20</v>
      </c>
      <c r="AW521" s="57" t="n">
        <f aca="false">IF(BT521=1,0,ROUNDUP(AV521/BS521,0))</f>
        <v>1</v>
      </c>
      <c r="AX521" s="59" t="n">
        <f aca="false">IF(CH521&gt;0,CH521*MAX(1,AV521/X521),IF(BT521=1,IF(AV521&lt;=0,0,BW521*MAX(1,IF(H521&gt;0,AV521/H521,1))),IF(R521&gt;0,AW521/R521,0))/MAX(0.1,N(Parameter!$M$21)))</f>
        <v>0.00241545893719807</v>
      </c>
      <c r="AY521" s="57" t="n">
        <f aca="false">AV521*G521</f>
        <v>116</v>
      </c>
      <c r="AZ521" s="57" t="n">
        <f aca="false">ROUNDUP(MAX(J521/IF(BZ521&gt;0,BZ521,MAX(0.1,N(Cockpit!$O$6))),CC521)/BS521,0)*BS521</f>
        <v>20</v>
      </c>
      <c r="BA521" s="58" t="n">
        <f aca="false">IF(AX521&gt;0,J521/AX521,-1)</f>
        <v>828</v>
      </c>
      <c r="BB521" s="58" t="n">
        <f aca="false">IF(AND(OR(BY521="L1",BY521="L23"),AX521&gt;0),SUMIFS($AX$7:$AX$1843,$BY$7:$BY$1843,BY521,$BA$7:$BA$1843,"&gt;"&amp;BA521)+SUMIFS($AX$7:$AX$1843,$BY$7:$BY$1843,BY521,$BA$7:$BA$1843,BA521,$BQ$7:$BQ$1843,"&lt;="&amp;BQ521),"")</f>
        <v>25.7990692881997</v>
      </c>
      <c r="BC521" s="65" t="n">
        <f aca="false">IF(BB521="",0,MAX(0,MIN(1,(IF(BY521="L1",Parameter!$E$5,Parameter!$E$6+Parameter!$E$7)-(BB521-AX521))/AX521)))</f>
        <v>1</v>
      </c>
      <c r="BD521" s="55" t="str">
        <f aca="false">IF(AH521&lt;=0,"",IF(BY521="Aussen","Aussenlager",IF(BY521="-","Nicht im Lift",IF(AM521&gt;=1,"Lift",IF(AM521&lt;=0,"Aussenlager","teilweise")))))</f>
        <v>Lift</v>
      </c>
      <c r="BE521" s="55" t="str">
        <f aca="false">IF(AP521&lt;=0,"",IF(BY521="Aussen","Aussenlager",IF(BY521="-","Nicht im Lift",IF(AU521&gt;=1,"Lift",IF(AU521&lt;=0,"Aussenlager","teilweise")))))</f>
        <v>Lift</v>
      </c>
      <c r="BF521" s="55" t="str">
        <f aca="false">IF(AX521&lt;=0,"",IF(BY521="Aussen","Aussenlager",IF(BY521="-","Nicht im Lift",IF(BC521&gt;=1,"Lift",IF(BC521&lt;=0,"Aussenlager","teilweise")))))</f>
        <v>Lift</v>
      </c>
      <c r="BG521" s="55" t="str">
        <f aca="false">IF(A521="","",IF(BP521=1,"Neu; ","")&amp;IF(AND(BP521=0,BK521&lt;0),"negativer Bestand (Export "&amp;BK521&amp;"); ","")&amp;IF(J521&lt;=0,"Kein Verbrauch; ","")&amp;IF(CH521&gt;0,"Lift "&amp;W521&amp;" lt. Liftbericht (Fach "&amp;X521&amp;" Stk); ",IF(BU521=1,"Gebinde geschätzt ("&amp;T521&amp;"); ",IF(BT521=1,"Lose – Tablare geschätzt; ","")))&amp;IF(H521&gt;AR521,"Überbestand "&amp;ROUND(H521-AR521,0)&amp;" Stk / CHF "&amp;ROUND((H521-AR521)*G521,0)&amp;"; ","")&amp;IF(AND(CA521=1,CB521&lt;CC521),"MAX &lt; MB+LG; ","")&amp;IF(AND(CG521&gt;0,CF521*10&gt;CG521),"zu hoch für Tablar; ","")&amp;IF(AND(BP521=0,OR(CA521=1,AA521&lt;&gt;"",U521&lt;&gt;"",V521&lt;&gt;"",AB521&lt;&gt;"")),"manuell übersteuert; ","")&amp;IF(AND(BT521=0,R521=0),"Gebinde unbekannt / Stellmass fehlt; ","")&amp;IF(AND(BT521=0,N(V521)&lt;=0,N(Q521)&lt;=0),"Menge pro Gebinde fehlt (Ist = 1 Gebinde); ","")&amp;BO521)</f>
        <v/>
      </c>
      <c r="BH521" s="55"/>
      <c r="BI521" s="55"/>
      <c r="BJ521" s="62"/>
      <c r="BK521" s="57" t="n">
        <v>5</v>
      </c>
      <c r="BL521" s="57" t="n">
        <v>0</v>
      </c>
      <c r="BM521" s="56" t="n">
        <v>29</v>
      </c>
      <c r="BN521" s="57" t="n">
        <v>2</v>
      </c>
      <c r="BO521" s="55"/>
      <c r="BP521" s="60" t="n">
        <v>0</v>
      </c>
      <c r="BQ521" s="60" t="n">
        <v>521</v>
      </c>
      <c r="BR521" s="55" t="str">
        <f aca="false">IF(U521&lt;&gt;"",UPPER(TRIM(U521)),IF(BU521=1,UPPER(VLOOKUP(T521,Parameter!$I$27:$K$29,2,0)),IF(P521="","LOSE",P521)))</f>
        <v>S21</v>
      </c>
      <c r="BS521" s="57" t="n">
        <f aca="false">IF(BR521="LOSE",1,IF(N(V521)&gt;0,V521,IF(BU521=1,MAX(1,N(VLOOKUP(T521,Parameter!$I$27:$K$29,3,0)),H521,N(N521)),IF(N(Q521)&gt;0,Q521,MAX(1,H521)))))</f>
        <v>20</v>
      </c>
      <c r="BT521" s="60" t="n">
        <f aca="false">IF(BR521="LOSE",1,0)</f>
        <v>0</v>
      </c>
      <c r="BU521" s="60" t="n">
        <f aca="false">IF(AND(U521="",OR(P521="",P521="LOSE"),T521&lt;&gt;"",N(S521)&lt;=0,ISNUMBER(MATCH(T521,Parameter!$I$27:$I$29,0))),1,0)</f>
        <v>0</v>
      </c>
      <c r="BV521" s="55" t="str">
        <f aca="false">IF(AND(Parameter!$B$19="Ja",E521&lt;&gt;"",ISNUMBER(MATCH(E521,Parameter!$I$35:$I$52,0))),VLOOKUP(E521,Parameter!$I$35:$J$52,2,0),IFERROR(VLOOKUP(D521,Parameter!$A$35:$C$64,2,0),"Nein"))</f>
        <v>2+3</v>
      </c>
      <c r="BW521" s="59" t="n">
        <f aca="false">IF(BT521=0,0,IF(N(S521)&gt;0,S521,IFERROR(VLOOKUP(D521,Parameter!$A$35:$C$64,3,0)+0,0)))</f>
        <v>0</v>
      </c>
      <c r="BX521" s="55" t="n">
        <f aca="false">IF(AA521&lt;&gt;"",AA521,Z521)</f>
        <v>3</v>
      </c>
      <c r="BY521" s="55" t="str">
        <f aca="false">IF(BX521=1,"L1",IF(OR(BX521=2,BX521=3),"L23",IF(BX521="Aussen","Aussen","-")))</f>
        <v>L23</v>
      </c>
      <c r="BZ521" s="66" t="n">
        <f aca="false">IF(N(AB521)&gt;0,AB521,0)</f>
        <v>0</v>
      </c>
      <c r="CA521" s="60" t="n">
        <f aca="false">IF(ISNUMBER(AE521),1,0)</f>
        <v>0</v>
      </c>
      <c r="CB521" s="57" t="n">
        <f aca="false">N(AE521)</f>
        <v>0</v>
      </c>
      <c r="CC521" s="57" t="n">
        <f aca="false">N(M521)+N(N521)</f>
        <v>1</v>
      </c>
      <c r="CD521" s="57" t="n">
        <f aca="false">ROUNDUP(H521/BS521,0)</f>
        <v>1</v>
      </c>
      <c r="CE521" s="57" t="n">
        <f aca="false">ROUNDUP(CB521/BS521,0)</f>
        <v>0</v>
      </c>
      <c r="CF521" s="60" t="n">
        <f aca="false">IF(BT521=1,0,IFERROR(VLOOKUP(BR521,'Gebinde-Kategorie'!$A$5:$M$45,5,0)+0,0))</f>
        <v>8</v>
      </c>
      <c r="CG521" s="60" t="n">
        <f aca="false">IFERROR(IF(OR(BX521=1,BX521=2,BX521=3),N(INDEX(Parameter!$I$5:$I$7,BX521)),0),0)</f>
        <v>0</v>
      </c>
      <c r="CH521" s="59" t="n">
        <f aca="false">IF(AND(Parameter!$B$21="Ja",ISNUMBER(W521),N(X521)&gt;0),IFERROR(N(INDEX(Parameter!$L$5:$L$7,W521))*INDEX(Parameter!$E$5:$E$7,W521)*X521/SUMIFS($X$7:$X$1843,$W$7:$W$1843,W521),0),0)</f>
        <v>0</v>
      </c>
    </row>
    <row r="522" customFormat="false" ht="15" hidden="false" customHeight="false" outlineLevel="0" collapsed="false">
      <c r="A522" s="55" t="s">
        <v>1132</v>
      </c>
      <c r="B522" s="55" t="s">
        <v>407</v>
      </c>
      <c r="C522" s="55" t="s">
        <v>164</v>
      </c>
      <c r="D522" s="55" t="s">
        <v>184</v>
      </c>
      <c r="E522" s="55" t="s">
        <v>185</v>
      </c>
      <c r="F522" s="55" t="s">
        <v>218</v>
      </c>
      <c r="G522" s="56" t="n">
        <v>0.05</v>
      </c>
      <c r="H522" s="57" t="n">
        <f aca="false">MAX(0,IF(AND(Parameter!$B$21="Ja",ISNUMBER(Y522)),Y522,IF(Parameter!$B$20="Jahresanfang 2025 + Export",BL522+BK522,BK522)))</f>
        <v>1831</v>
      </c>
      <c r="I522" s="57" t="n">
        <f aca="false">H522*G522</f>
        <v>91.55</v>
      </c>
      <c r="J522" s="57" t="n">
        <f aca="false">BN522*Parameter!$B$18</f>
        <v>2038</v>
      </c>
      <c r="K522" s="58" t="n">
        <v>968</v>
      </c>
      <c r="L522" s="59" t="n">
        <v>2.10537190082645</v>
      </c>
      <c r="M522" s="57" t="n">
        <v>118</v>
      </c>
      <c r="N522" s="57" t="n">
        <v>2000</v>
      </c>
      <c r="O522" s="60" t="n">
        <v>21</v>
      </c>
      <c r="P522" s="55" t="s">
        <v>328</v>
      </c>
      <c r="Q522" s="57" t="n">
        <v>1546</v>
      </c>
      <c r="R522" s="60" t="n">
        <f aca="false">IF(BT522=1,0,IFERROR(VLOOKUP(BR522,'Gebinde-Kategorie'!$A$5:$M$45,13,0)+0,0))</f>
        <v>52</v>
      </c>
      <c r="S522" s="61"/>
      <c r="T522" s="62"/>
      <c r="U522" s="62"/>
      <c r="V522" s="62"/>
      <c r="W522" s="55"/>
      <c r="X522" s="57"/>
      <c r="Y522" s="57"/>
      <c r="Z522" s="55" t="n">
        <f aca="false">IF(A522="","",IF(AND(Parameter!$B$21="Ja",ISNUMBER(W522)),W522,IF(BV522="2+3",IF(ISNUMBER(SEARCH("grosser Artikel",BO522)),2,IFERROR(VLOOKUP(BR522,Parameter!$F$35:$G$64,2,0),2)),IF(OR(BV522="Nein",BV522=""),"-",BV522))))</f>
        <v>3</v>
      </c>
      <c r="AA522" s="62"/>
      <c r="AB522" s="63"/>
      <c r="AC522" s="57" t="n">
        <f aca="false">AR522</f>
        <v>3092</v>
      </c>
      <c r="AD522" s="57" t="n">
        <f aca="false">MAX(AR522,H522)</f>
        <v>3092</v>
      </c>
      <c r="AE522" s="64"/>
      <c r="AF522" s="57" t="n">
        <f aca="false">IF(LEFT(Cockpit!$C$5,1)="A",H522,IF(CA522=1,CB522,IF(LEFT(Cockpit!$C$5,1)="B",AJ522,MAX(AJ522,H522))))</f>
        <v>1831</v>
      </c>
      <c r="AG522" s="57" t="n">
        <f aca="false">IF(BT522=1,0,ROUNDUP(AF522/BS522,0))</f>
        <v>2</v>
      </c>
      <c r="AH522" s="59" t="n">
        <f aca="false">IF(CH522&gt;0,CH522*MAX(1,AF522/X522),IF(BT522=1,IF(AF522&lt;=0,0,BW522*MAX(1,IF(H522&gt;0,AF522/H522,1))),IF(R522&gt;0,AG522/R522,0))/MAX(0.1,N(Parameter!$M$21)))</f>
        <v>0.0384615384615385</v>
      </c>
      <c r="AI522" s="57" t="n">
        <f aca="false">AF522*G522</f>
        <v>91.55</v>
      </c>
      <c r="AJ522" s="57" t="n">
        <f aca="false">ROUNDUP(MAX(J522/IF(BZ522&gt;0,BZ522,MAX(0.1,N(Cockpit!$C$6))),CC522)/BS522,0)*BS522</f>
        <v>3092</v>
      </c>
      <c r="AK522" s="58" t="n">
        <f aca="false">IF(AH522&gt;0,J522/AH522,-1)</f>
        <v>52988</v>
      </c>
      <c r="AL522" s="58" t="n">
        <f aca="false">IF(AND(OR(BY522="L1",BY522="L23"),AH522&gt;0),SUMIFS($AH$7:$AH$1843,$BY$7:$BY$1843,BY522,$AK$7:$AK$1843,"&gt;"&amp;AK522)+SUMIFS($AH$7:$AH$1843,$BY$7:$BY$1843,BY522,$AK$7:$AK$1843,AK522,$BQ$7:$BQ$1843,"&lt;="&amp;BQ522),"")</f>
        <v>1.23475558258167</v>
      </c>
      <c r="AM522" s="65" t="n">
        <f aca="false">IF(AL522="",0,MAX(0,MIN(1,(IF(BY522="L1",Parameter!$E$5,Parameter!$E$6+Parameter!$E$7)-(AL522-AH522))/AH522)))</f>
        <v>1</v>
      </c>
      <c r="AN522" s="57" t="n">
        <f aca="false">IF(LEFT(Cockpit!$I$5,1)="A",H522,IF(CA522=1,CB522,IF(LEFT(Cockpit!$I$5,1)="B",AR522,MAX(AR522,H522))))</f>
        <v>3092</v>
      </c>
      <c r="AO522" s="57" t="n">
        <f aca="false">IF(BT522=1,0,ROUNDUP(AN522/BS522,0))</f>
        <v>2</v>
      </c>
      <c r="AP522" s="59" t="n">
        <f aca="false">IF(CH522&gt;0,CH522*MAX(1,AN522/X522),IF(BT522=1,IF(AN522&lt;=0,0,BW522*MAX(1,IF(H522&gt;0,AN522/H522,1))),IF(R522&gt;0,AO522/R522,0))/MAX(0.1,N(Parameter!$M$21)))</f>
        <v>0.0384615384615385</v>
      </c>
      <c r="AQ522" s="57" t="n">
        <f aca="false">AN522*G522</f>
        <v>154.6</v>
      </c>
      <c r="AR522" s="57" t="n">
        <f aca="false">ROUNDUP(MAX(J522/IF(BZ522&gt;0,BZ522,MAX(0.1,N(Cockpit!$I$6))),CC522)/BS522,0)*BS522</f>
        <v>3092</v>
      </c>
      <c r="AS522" s="58" t="n">
        <f aca="false">IF(AP522&gt;0,J522/AP522,-1)</f>
        <v>52988</v>
      </c>
      <c r="AT522" s="58" t="n">
        <f aca="false">IF(AND(OR(BY522="L1",BY522="L23"),AP522&gt;0),SUMIFS($AP$7:$AP$1843,$BY$7:$BY$1843,BY522,$AS$7:$AS$1843,"&gt;"&amp;AS522)+SUMIFS($AP$7:$AP$1843,$BY$7:$BY$1843,BY522,$AS$7:$AS$1843,AS522,$BQ$7:$BQ$1843,"&lt;="&amp;BQ522),"")</f>
        <v>1.03199216242695</v>
      </c>
      <c r="AU522" s="65" t="n">
        <f aca="false">IF(AT522="",0,MAX(0,MIN(1,(IF(BY522="L1",Parameter!$E$5,Parameter!$E$6+Parameter!$E$7)-(AT522-AP522))/AP522)))</f>
        <v>1</v>
      </c>
      <c r="AV522" s="57" t="n">
        <f aca="false">IF(LEFT(Cockpit!$O$5,1)="A",H522,IF(CA522=1,CB522,IF(LEFT(Cockpit!$O$5,1)="B",AZ522,MAX(AZ522,H522))))</f>
        <v>3092</v>
      </c>
      <c r="AW522" s="57" t="n">
        <f aca="false">IF(BT522=1,0,ROUNDUP(AV522/BS522,0))</f>
        <v>2</v>
      </c>
      <c r="AX522" s="59" t="n">
        <f aca="false">IF(CH522&gt;0,CH522*MAX(1,AV522/X522),IF(BT522=1,IF(AV522&lt;=0,0,BW522*MAX(1,IF(H522&gt;0,AV522/H522,1))),IF(R522&gt;0,AW522/R522,0))/MAX(0.1,N(Parameter!$M$21)))</f>
        <v>0.0384615384615385</v>
      </c>
      <c r="AY522" s="57" t="n">
        <f aca="false">AV522*G522</f>
        <v>154.6</v>
      </c>
      <c r="AZ522" s="57" t="n">
        <f aca="false">ROUNDUP(MAX(J522/IF(BZ522&gt;0,BZ522,MAX(0.1,N(Cockpit!$O$6))),CC522)/BS522,0)*BS522</f>
        <v>3092</v>
      </c>
      <c r="BA522" s="58" t="n">
        <f aca="false">IF(AX522&gt;0,J522/AX522,-1)</f>
        <v>52988</v>
      </c>
      <c r="BB522" s="58" t="n">
        <f aca="false">IF(AND(OR(BY522="L1",BY522="L23"),AX522&gt;0),SUMIFS($AX$7:$AX$1843,$BY$7:$BY$1843,BY522,$BA$7:$BA$1843,"&gt;"&amp;BA522)+SUMIFS($AX$7:$AX$1843,$BY$7:$BY$1843,BY522,$BA$7:$BA$1843,BA522,$BQ$7:$BQ$1843,"&lt;="&amp;BQ522),"")</f>
        <v>1.28432316475795</v>
      </c>
      <c r="BC522" s="65" t="n">
        <f aca="false">IF(BB522="",0,MAX(0,MIN(1,(IF(BY522="L1",Parameter!$E$5,Parameter!$E$6+Parameter!$E$7)-(BB522-AX522))/AX522)))</f>
        <v>1</v>
      </c>
      <c r="BD522" s="55" t="str">
        <f aca="false">IF(AH522&lt;=0,"",IF(BY522="Aussen","Aussenlager",IF(BY522="-","Nicht im Lift",IF(AM522&gt;=1,"Lift",IF(AM522&lt;=0,"Aussenlager","teilweise")))))</f>
        <v>Lift</v>
      </c>
      <c r="BE522" s="55" t="str">
        <f aca="false">IF(AP522&lt;=0,"",IF(BY522="Aussen","Aussenlager",IF(BY522="-","Nicht im Lift",IF(AU522&gt;=1,"Lift",IF(AU522&lt;=0,"Aussenlager","teilweise")))))</f>
        <v>Lift</v>
      </c>
      <c r="BF522" s="55" t="str">
        <f aca="false">IF(AX522&lt;=0,"",IF(BY522="Aussen","Aussenlager",IF(BY522="-","Nicht im Lift",IF(BC522&gt;=1,"Lift",IF(BC522&lt;=0,"Aussenlager","teilweise")))))</f>
        <v>Lift</v>
      </c>
      <c r="BG522" s="55" t="str">
        <f aca="false">IF(A522="","",IF(BP522=1,"Neu; ","")&amp;IF(AND(BP522=0,BK522&lt;0),"negativer Bestand (Export "&amp;BK522&amp;"); ","")&amp;IF(J522&lt;=0,"Kein Verbrauch; ","")&amp;IF(CH522&gt;0,"Lift "&amp;W522&amp;" lt. Liftbericht (Fach "&amp;X522&amp;" Stk); ",IF(BU522=1,"Gebinde geschätzt ("&amp;T522&amp;"); ",IF(BT522=1,"Lose – Tablare geschätzt; ","")))&amp;IF(H522&gt;AR522,"Überbestand "&amp;ROUND(H522-AR522,0)&amp;" Stk / CHF "&amp;ROUND((H522-AR522)*G522,0)&amp;"; ","")&amp;IF(AND(CA522=1,CB522&lt;CC522),"MAX &lt; MB+LG; ","")&amp;IF(AND(CG522&gt;0,CF522*10&gt;CG522),"zu hoch für Tablar; ","")&amp;IF(AND(BP522=0,OR(CA522=1,AA522&lt;&gt;"",U522&lt;&gt;"",V522&lt;&gt;"",AB522&lt;&gt;"")),"manuell übersteuert; ","")&amp;IF(AND(BT522=0,R522=0),"Gebinde unbekannt / Stellmass fehlt; ","")&amp;IF(AND(BT522=0,N(V522)&lt;=0,N(Q522)&lt;=0),"Menge pro Gebinde fehlt (Ist = 1 Gebinde); ","")&amp;BO522)</f>
        <v/>
      </c>
      <c r="BH522" s="55"/>
      <c r="BI522" s="55"/>
      <c r="BJ522" s="62"/>
      <c r="BK522" s="57" t="n">
        <v>577</v>
      </c>
      <c r="BL522" s="57" t="n">
        <v>1254</v>
      </c>
      <c r="BM522" s="56" t="n">
        <v>28.8499999999999</v>
      </c>
      <c r="BN522" s="57" t="n">
        <v>2038</v>
      </c>
      <c r="BO522" s="55"/>
      <c r="BP522" s="60" t="n">
        <v>0</v>
      </c>
      <c r="BQ522" s="60" t="n">
        <v>522</v>
      </c>
      <c r="BR522" s="55" t="str">
        <f aca="false">IF(U522&lt;&gt;"",UPPER(TRIM(U522)),IF(BU522=1,UPPER(VLOOKUP(T522,Parameter!$I$27:$K$29,2,0)),IF(P522="","LOSE",P522)))</f>
        <v>S41</v>
      </c>
      <c r="BS522" s="57" t="n">
        <f aca="false">IF(BR522="LOSE",1,IF(N(V522)&gt;0,V522,IF(BU522=1,MAX(1,N(VLOOKUP(T522,Parameter!$I$27:$K$29,3,0)),H522,N(N522)),IF(N(Q522)&gt;0,Q522,MAX(1,H522)))))</f>
        <v>1546</v>
      </c>
      <c r="BT522" s="60" t="n">
        <f aca="false">IF(BR522="LOSE",1,0)</f>
        <v>0</v>
      </c>
      <c r="BU522" s="60" t="n">
        <f aca="false">IF(AND(U522="",OR(P522="",P522="LOSE"),T522&lt;&gt;"",N(S522)&lt;=0,ISNUMBER(MATCH(T522,Parameter!$I$27:$I$29,0))),1,0)</f>
        <v>0</v>
      </c>
      <c r="BV522" s="55" t="str">
        <f aca="false">IF(AND(Parameter!$B$19="Ja",E522&lt;&gt;"",ISNUMBER(MATCH(E522,Parameter!$I$35:$I$52,0))),VLOOKUP(E522,Parameter!$I$35:$J$52,2,0),IFERROR(VLOOKUP(D522,Parameter!$A$35:$C$64,2,0),"Nein"))</f>
        <v>2+3</v>
      </c>
      <c r="BW522" s="59" t="n">
        <f aca="false">IF(BT522=0,0,IF(N(S522)&gt;0,S522,IFERROR(VLOOKUP(D522,Parameter!$A$35:$C$64,3,0)+0,0)))</f>
        <v>0</v>
      </c>
      <c r="BX522" s="55" t="n">
        <f aca="false">IF(AA522&lt;&gt;"",AA522,Z522)</f>
        <v>3</v>
      </c>
      <c r="BY522" s="55" t="str">
        <f aca="false">IF(BX522=1,"L1",IF(OR(BX522=2,BX522=3),"L23",IF(BX522="Aussen","Aussen","-")))</f>
        <v>L23</v>
      </c>
      <c r="BZ522" s="66" t="n">
        <f aca="false">IF(N(AB522)&gt;0,AB522,0)</f>
        <v>0</v>
      </c>
      <c r="CA522" s="60" t="n">
        <f aca="false">IF(ISNUMBER(AE522),1,0)</f>
        <v>0</v>
      </c>
      <c r="CB522" s="57" t="n">
        <f aca="false">N(AE522)</f>
        <v>0</v>
      </c>
      <c r="CC522" s="57" t="n">
        <f aca="false">N(M522)+N(N522)</f>
        <v>2118</v>
      </c>
      <c r="CD522" s="57" t="n">
        <f aca="false">ROUNDUP(H522/BS522,0)</f>
        <v>2</v>
      </c>
      <c r="CE522" s="57" t="n">
        <f aca="false">ROUNDUP(CB522/BS522,0)</f>
        <v>0</v>
      </c>
      <c r="CF522" s="60" t="n">
        <f aca="false">IF(BT522=1,0,IFERROR(VLOOKUP(BR522,'Gebinde-Kategorie'!$A$5:$M$45,5,0)+0,0))</f>
        <v>11</v>
      </c>
      <c r="CG522" s="60" t="n">
        <f aca="false">IFERROR(IF(OR(BX522=1,BX522=2,BX522=3),N(INDEX(Parameter!$I$5:$I$7,BX522)),0),0)</f>
        <v>0</v>
      </c>
      <c r="CH522" s="59" t="n">
        <f aca="false">IF(AND(Parameter!$B$21="Ja",ISNUMBER(W522),N(X522)&gt;0),IFERROR(N(INDEX(Parameter!$L$5:$L$7,W522))*INDEX(Parameter!$E$5:$E$7,W522)*X522/SUMIFS($X$7:$X$1843,$W$7:$W$1843,W522),0),0)</f>
        <v>0</v>
      </c>
    </row>
    <row r="523" customFormat="false" ht="15" hidden="false" customHeight="false" outlineLevel="0" collapsed="false">
      <c r="A523" s="55" t="s">
        <v>1133</v>
      </c>
      <c r="B523" s="55" t="s">
        <v>1134</v>
      </c>
      <c r="C523" s="55" t="s">
        <v>164</v>
      </c>
      <c r="D523" s="55" t="s">
        <v>184</v>
      </c>
      <c r="E523" s="55" t="s">
        <v>185</v>
      </c>
      <c r="F523" s="55" t="s">
        <v>218</v>
      </c>
      <c r="G523" s="56" t="n">
        <v>121.7</v>
      </c>
      <c r="H523" s="57" t="n">
        <f aca="false">MAX(0,IF(AND(Parameter!$B$21="Ja",ISNUMBER(Y523)),Y523,IF(Parameter!$B$20="Jahresanfang 2025 + Export",BL523+BK523,BK523)))</f>
        <v>1</v>
      </c>
      <c r="I523" s="57" t="n">
        <f aca="false">H523*G523</f>
        <v>121.7</v>
      </c>
      <c r="J523" s="57" t="n">
        <f aca="false">BN523*Parameter!$B$18</f>
        <v>1</v>
      </c>
      <c r="K523" s="58" t="n">
        <v>1</v>
      </c>
      <c r="L523" s="59" t="n">
        <v>1</v>
      </c>
      <c r="M523" s="57" t="n">
        <v>0</v>
      </c>
      <c r="N523" s="57" t="n">
        <v>1</v>
      </c>
      <c r="O523" s="60" t="n">
        <v>35</v>
      </c>
      <c r="P523" s="55" t="s">
        <v>302</v>
      </c>
      <c r="Q523" s="57" t="n">
        <v>3</v>
      </c>
      <c r="R523" s="60" t="n">
        <f aca="false">IF(BT523=1,0,IFERROR(VLOOKUP(BR523,'Gebinde-Kategorie'!$A$5:$M$45,13,0)+0,0))</f>
        <v>26</v>
      </c>
      <c r="S523" s="61"/>
      <c r="T523" s="62"/>
      <c r="U523" s="62"/>
      <c r="V523" s="62"/>
      <c r="W523" s="55"/>
      <c r="X523" s="57"/>
      <c r="Y523" s="57"/>
      <c r="Z523" s="55" t="n">
        <f aca="false">IF(A523="","",IF(AND(Parameter!$B$21="Ja",ISNUMBER(W523)),W523,IF(BV523="2+3",IF(ISNUMBER(SEARCH("grosser Artikel",BO523)),2,IFERROR(VLOOKUP(BR523,Parameter!$F$35:$G$64,2,0),2)),IF(OR(BV523="Nein",BV523=""),"-",BV523))))</f>
        <v>3</v>
      </c>
      <c r="AA523" s="62"/>
      <c r="AB523" s="63"/>
      <c r="AC523" s="57" t="n">
        <f aca="false">AR523</f>
        <v>3</v>
      </c>
      <c r="AD523" s="57" t="n">
        <f aca="false">MAX(AR523,H523)</f>
        <v>3</v>
      </c>
      <c r="AE523" s="64"/>
      <c r="AF523" s="57" t="n">
        <f aca="false">IF(LEFT(Cockpit!$C$5,1)="A",H523,IF(CA523=1,CB523,IF(LEFT(Cockpit!$C$5,1)="B",AJ523,MAX(AJ523,H523))))</f>
        <v>1</v>
      </c>
      <c r="AG523" s="57" t="n">
        <f aca="false">IF(BT523=1,0,ROUNDUP(AF523/BS523,0))</f>
        <v>1</v>
      </c>
      <c r="AH523" s="59" t="n">
        <f aca="false">IF(CH523&gt;0,CH523*MAX(1,AF523/X523),IF(BT523=1,IF(AF523&lt;=0,0,BW523*MAX(1,IF(H523&gt;0,AF523/H523,1))),IF(R523&gt;0,AG523/R523,0))/MAX(0.1,N(Parameter!$M$21)))</f>
        <v>0.0384615384615385</v>
      </c>
      <c r="AI523" s="57" t="n">
        <f aca="false">AF523*G523</f>
        <v>121.7</v>
      </c>
      <c r="AJ523" s="57" t="n">
        <f aca="false">ROUNDUP(MAX(J523/IF(BZ523&gt;0,BZ523,MAX(0.1,N(Cockpit!$C$6))),CC523)/BS523,0)*BS523</f>
        <v>3</v>
      </c>
      <c r="AK523" s="58" t="n">
        <f aca="false">IF(AH523&gt;0,J523/AH523,-1)</f>
        <v>26</v>
      </c>
      <c r="AL523" s="58" t="n">
        <f aca="false">IF(AND(OR(BY523="L1",BY523="L23"),AH523&gt;0),SUMIFS($AH$7:$AH$1843,$BY$7:$BY$1843,BY523,$AK$7:$AK$1843,"&gt;"&amp;AK523)+SUMIFS($AH$7:$AH$1843,$BY$7:$BY$1843,BY523,$AK$7:$AK$1843,AK523,$BQ$7:$BQ$1843,"&lt;="&amp;BQ523),"")</f>
        <v>48.3830529374008</v>
      </c>
      <c r="AM523" s="65" t="n">
        <f aca="false">IF(AL523="",0,MAX(0,MIN(1,(IF(BY523="L1",Parameter!$E$5,Parameter!$E$6+Parameter!$E$7)-(AL523-AH523))/AH523)))</f>
        <v>1</v>
      </c>
      <c r="AN523" s="57" t="n">
        <f aca="false">IF(LEFT(Cockpit!$I$5,1)="A",H523,IF(CA523=1,CB523,IF(LEFT(Cockpit!$I$5,1)="B",AR523,MAX(AR523,H523))))</f>
        <v>3</v>
      </c>
      <c r="AO523" s="57" t="n">
        <f aca="false">IF(BT523=1,0,ROUNDUP(AN523/BS523,0))</f>
        <v>1</v>
      </c>
      <c r="AP523" s="59" t="n">
        <f aca="false">IF(CH523&gt;0,CH523*MAX(1,AN523/X523),IF(BT523=1,IF(AN523&lt;=0,0,BW523*MAX(1,IF(H523&gt;0,AN523/H523,1))),IF(R523&gt;0,AO523/R523,0))/MAX(0.1,N(Parameter!$M$21)))</f>
        <v>0.0384615384615385</v>
      </c>
      <c r="AQ523" s="57" t="n">
        <f aca="false">AN523*G523</f>
        <v>365.1</v>
      </c>
      <c r="AR523" s="57" t="n">
        <f aca="false">ROUNDUP(MAX(J523/IF(BZ523&gt;0,BZ523,MAX(0.1,N(Cockpit!$I$6))),CC523)/BS523,0)*BS523</f>
        <v>3</v>
      </c>
      <c r="AS523" s="58" t="n">
        <f aca="false">IF(AP523&gt;0,J523/AP523,-1)</f>
        <v>26</v>
      </c>
      <c r="AT523" s="58" t="n">
        <f aca="false">IF(AND(OR(BY523="L1",BY523="L23"),AP523&gt;0),SUMIFS($AP$7:$AP$1843,$BY$7:$BY$1843,BY523,$AS$7:$AS$1843,"&gt;"&amp;AS523)+SUMIFS($AP$7:$AP$1843,$BY$7:$BY$1843,BY523,$AS$7:$AS$1843,AS523,$BQ$7:$BQ$1843,"&lt;="&amp;BQ523),"")</f>
        <v>73.4802540454714</v>
      </c>
      <c r="AU523" s="65" t="n">
        <f aca="false">IF(AT523="",0,MAX(0,MIN(1,(IF(BY523="L1",Parameter!$E$5,Parameter!$E$6+Parameter!$E$7)-(AT523-AP523))/AP523)))</f>
        <v>1</v>
      </c>
      <c r="AV523" s="57" t="n">
        <f aca="false">IF(LEFT(Cockpit!$O$5,1)="A",H523,IF(CA523=1,CB523,IF(LEFT(Cockpit!$O$5,1)="B",AZ523,MAX(AZ523,H523))))</f>
        <v>3</v>
      </c>
      <c r="AW523" s="57" t="n">
        <f aca="false">IF(BT523=1,0,ROUNDUP(AV523/BS523,0))</f>
        <v>1</v>
      </c>
      <c r="AX523" s="59" t="n">
        <f aca="false">IF(CH523&gt;0,CH523*MAX(1,AV523/X523),IF(BT523=1,IF(AV523&lt;=0,0,BW523*MAX(1,IF(H523&gt;0,AV523/H523,1))),IF(R523&gt;0,AW523/R523,0))/MAX(0.1,N(Parameter!$M$21)))</f>
        <v>0.0384615384615385</v>
      </c>
      <c r="AY523" s="57" t="n">
        <f aca="false">AV523*G523</f>
        <v>365.1</v>
      </c>
      <c r="AZ523" s="57" t="n">
        <f aca="false">ROUNDUP(MAX(J523/IF(BZ523&gt;0,BZ523,MAX(0.1,N(Cockpit!$O$6))),CC523)/BS523,0)*BS523</f>
        <v>3</v>
      </c>
      <c r="BA523" s="58" t="n">
        <f aca="false">IF(AX523&gt;0,J523/AX523,-1)</f>
        <v>26</v>
      </c>
      <c r="BB523" s="58" t="n">
        <f aca="false">IF(AND(OR(BY523="L1",BY523="L23"),AX523&gt;0),SUMIFS($AX$7:$AX$1843,$BY$7:$BY$1843,BY523,$BA$7:$BA$1843,"&gt;"&amp;BA523)+SUMIFS($AX$7:$AX$1843,$BY$7:$BY$1843,BY523,$BA$7:$BA$1843,BA523,$BQ$7:$BQ$1843,"&lt;="&amp;BQ523),"")</f>
        <v>68.9767575419749</v>
      </c>
      <c r="BC523" s="65" t="n">
        <f aca="false">IF(BB523="",0,MAX(0,MIN(1,(IF(BY523="L1",Parameter!$E$5,Parameter!$E$6+Parameter!$E$7)-(BB523-AX523))/AX523)))</f>
        <v>1</v>
      </c>
      <c r="BD523" s="55" t="str">
        <f aca="false">IF(AH523&lt;=0,"",IF(BY523="Aussen","Aussenlager",IF(BY523="-","Nicht im Lift",IF(AM523&gt;=1,"Lift",IF(AM523&lt;=0,"Aussenlager","teilweise")))))</f>
        <v>Lift</v>
      </c>
      <c r="BE523" s="55" t="str">
        <f aca="false">IF(AP523&lt;=0,"",IF(BY523="Aussen","Aussenlager",IF(BY523="-","Nicht im Lift",IF(AU523&gt;=1,"Lift",IF(AU523&lt;=0,"Aussenlager","teilweise")))))</f>
        <v>Lift</v>
      </c>
      <c r="BF523" s="55" t="str">
        <f aca="false">IF(AX523&lt;=0,"",IF(BY523="Aussen","Aussenlager",IF(BY523="-","Nicht im Lift",IF(BC523&gt;=1,"Lift",IF(BC523&lt;=0,"Aussenlager","teilweise")))))</f>
        <v>Lift</v>
      </c>
      <c r="BG523" s="55" t="str">
        <f aca="false">IF(A523="","",IF(BP523=1,"Neu; ","")&amp;IF(AND(BP523=0,BK523&lt;0),"negativer Bestand (Export "&amp;BK523&amp;"); ","")&amp;IF(J523&lt;=0,"Kein Verbrauch; ","")&amp;IF(CH523&gt;0,"Lift "&amp;W523&amp;" lt. Liftbericht (Fach "&amp;X523&amp;" Stk); ",IF(BU523=1,"Gebinde geschätzt ("&amp;T523&amp;"); ",IF(BT523=1,"Lose – Tablare geschätzt; ","")))&amp;IF(H523&gt;AR523,"Überbestand "&amp;ROUND(H523-AR523,0)&amp;" Stk / CHF "&amp;ROUND((H523-AR523)*G523,0)&amp;"; ","")&amp;IF(AND(CA523=1,CB523&lt;CC523),"MAX &lt; MB+LG; ","")&amp;IF(AND(CG523&gt;0,CF523*10&gt;CG523),"zu hoch für Tablar; ","")&amp;IF(AND(BP523=0,OR(CA523=1,AA523&lt;&gt;"",U523&lt;&gt;"",V523&lt;&gt;"",AB523&lt;&gt;"")),"manuell übersteuert; ","")&amp;IF(AND(BT523=0,R523=0),"Gebinde unbekannt / Stellmass fehlt; ","")&amp;IF(AND(BT523=0,N(V523)&lt;=0,N(Q523)&lt;=0),"Menge pro Gebinde fehlt (Ist = 1 Gebinde); ","")&amp;BO523)</f>
        <v/>
      </c>
      <c r="BH523" s="55"/>
      <c r="BI523" s="55"/>
      <c r="BJ523" s="62"/>
      <c r="BK523" s="57" t="n">
        <v>0</v>
      </c>
      <c r="BL523" s="57" t="n">
        <v>1</v>
      </c>
      <c r="BM523" s="56" t="n">
        <v>28.1</v>
      </c>
      <c r="BN523" s="57" t="n">
        <v>1</v>
      </c>
      <c r="BO523" s="55"/>
      <c r="BP523" s="60" t="n">
        <v>0</v>
      </c>
      <c r="BQ523" s="60" t="n">
        <v>523</v>
      </c>
      <c r="BR523" s="55" t="str">
        <f aca="false">IF(U523&lt;&gt;"",UPPER(TRIM(U523)),IF(BU523=1,UPPER(VLOOKUP(T523,Parameter!$I$27:$K$29,2,0)),IF(P523="","LOSE",P523)))</f>
        <v>S51</v>
      </c>
      <c r="BS523" s="57" t="n">
        <f aca="false">IF(BR523="LOSE",1,IF(N(V523)&gt;0,V523,IF(BU523=1,MAX(1,N(VLOOKUP(T523,Parameter!$I$27:$K$29,3,0)),H523,N(N523)),IF(N(Q523)&gt;0,Q523,MAX(1,H523)))))</f>
        <v>3</v>
      </c>
      <c r="BT523" s="60" t="n">
        <f aca="false">IF(BR523="LOSE",1,0)</f>
        <v>0</v>
      </c>
      <c r="BU523" s="60" t="n">
        <f aca="false">IF(AND(U523="",OR(P523="",P523="LOSE"),T523&lt;&gt;"",N(S523)&lt;=0,ISNUMBER(MATCH(T523,Parameter!$I$27:$I$29,0))),1,0)</f>
        <v>0</v>
      </c>
      <c r="BV523" s="55" t="str">
        <f aca="false">IF(AND(Parameter!$B$19="Ja",E523&lt;&gt;"",ISNUMBER(MATCH(E523,Parameter!$I$35:$I$52,0))),VLOOKUP(E523,Parameter!$I$35:$J$52,2,0),IFERROR(VLOOKUP(D523,Parameter!$A$35:$C$64,2,0),"Nein"))</f>
        <v>2+3</v>
      </c>
      <c r="BW523" s="59" t="n">
        <f aca="false">IF(BT523=0,0,IF(N(S523)&gt;0,S523,IFERROR(VLOOKUP(D523,Parameter!$A$35:$C$64,3,0)+0,0)))</f>
        <v>0</v>
      </c>
      <c r="BX523" s="55" t="n">
        <f aca="false">IF(AA523&lt;&gt;"",AA523,Z523)</f>
        <v>3</v>
      </c>
      <c r="BY523" s="55" t="str">
        <f aca="false">IF(BX523=1,"L1",IF(OR(BX523=2,BX523=3),"L23",IF(BX523="Aussen","Aussen","-")))</f>
        <v>L23</v>
      </c>
      <c r="BZ523" s="66" t="n">
        <f aca="false">IF(N(AB523)&gt;0,AB523,0)</f>
        <v>0</v>
      </c>
      <c r="CA523" s="60" t="n">
        <f aca="false">IF(ISNUMBER(AE523),1,0)</f>
        <v>0</v>
      </c>
      <c r="CB523" s="57" t="n">
        <f aca="false">N(AE523)</f>
        <v>0</v>
      </c>
      <c r="CC523" s="57" t="n">
        <f aca="false">N(M523)+N(N523)</f>
        <v>1</v>
      </c>
      <c r="CD523" s="57" t="n">
        <f aca="false">ROUNDUP(H523/BS523,0)</f>
        <v>1</v>
      </c>
      <c r="CE523" s="57" t="n">
        <f aca="false">ROUNDUP(CB523/BS523,0)</f>
        <v>0</v>
      </c>
      <c r="CF523" s="60" t="n">
        <f aca="false">IF(BT523=1,0,IFERROR(VLOOKUP(BR523,'Gebinde-Kategorie'!$A$5:$M$45,5,0)+0,0))</f>
        <v>11</v>
      </c>
      <c r="CG523" s="60" t="n">
        <f aca="false">IFERROR(IF(OR(BX523=1,BX523=2,BX523=3),N(INDEX(Parameter!$I$5:$I$7,BX523)),0),0)</f>
        <v>0</v>
      </c>
      <c r="CH523" s="59" t="n">
        <f aca="false">IF(AND(Parameter!$B$21="Ja",ISNUMBER(W523),N(X523)&gt;0),IFERROR(N(INDEX(Parameter!$L$5:$L$7,W523))*INDEX(Parameter!$E$5:$E$7,W523)*X523/SUMIFS($X$7:$X$1843,$W$7:$W$1843,W523),0),0)</f>
        <v>0</v>
      </c>
    </row>
    <row r="524" customFormat="false" ht="15" hidden="false" customHeight="false" outlineLevel="0" collapsed="false">
      <c r="A524" s="55" t="s">
        <v>1135</v>
      </c>
      <c r="B524" s="55" t="s">
        <v>1136</v>
      </c>
      <c r="C524" s="55" t="s">
        <v>164</v>
      </c>
      <c r="D524" s="55" t="s">
        <v>184</v>
      </c>
      <c r="E524" s="55" t="s">
        <v>185</v>
      </c>
      <c r="F524" s="55" t="s">
        <v>218</v>
      </c>
      <c r="G524" s="56" t="n">
        <v>13.95</v>
      </c>
      <c r="H524" s="57" t="n">
        <f aca="false">MAX(0,IF(AND(Parameter!$B$21="Ja",ISNUMBER(Y524)),Y524,IF(Parameter!$B$20="Jahresanfang 2025 + Export",BL524+BK524,BK524)))</f>
        <v>6</v>
      </c>
      <c r="I524" s="57" t="n">
        <f aca="false">H524*G524</f>
        <v>83.7</v>
      </c>
      <c r="J524" s="57" t="n">
        <f aca="false">BN524*Parameter!$B$18</f>
        <v>0</v>
      </c>
      <c r="K524" s="58" t="n">
        <v>4</v>
      </c>
      <c r="L524" s="59" t="n">
        <v>0</v>
      </c>
      <c r="M524" s="57" t="n">
        <v>0</v>
      </c>
      <c r="N524" s="57" t="n">
        <v>1</v>
      </c>
      <c r="O524" s="60" t="n">
        <v>14</v>
      </c>
      <c r="P524" s="55" t="s">
        <v>328</v>
      </c>
      <c r="Q524" s="57" t="n">
        <v>1</v>
      </c>
      <c r="R524" s="60" t="n">
        <f aca="false">IF(BT524=1,0,IFERROR(VLOOKUP(BR524,'Gebinde-Kategorie'!$A$5:$M$45,13,0)+0,0))</f>
        <v>52</v>
      </c>
      <c r="S524" s="61"/>
      <c r="T524" s="62"/>
      <c r="U524" s="62"/>
      <c r="V524" s="62"/>
      <c r="W524" s="55"/>
      <c r="X524" s="57"/>
      <c r="Y524" s="57"/>
      <c r="Z524" s="55" t="n">
        <f aca="false">IF(A524="","",IF(AND(Parameter!$B$21="Ja",ISNUMBER(W524)),W524,IF(BV524="2+3",IF(ISNUMBER(SEARCH("grosser Artikel",BO524)),2,IFERROR(VLOOKUP(BR524,Parameter!$F$35:$G$64,2,0),2)),IF(OR(BV524="Nein",BV524=""),"-",BV524))))</f>
        <v>3</v>
      </c>
      <c r="AA524" s="62"/>
      <c r="AB524" s="63"/>
      <c r="AC524" s="57" t="n">
        <f aca="false">AR524</f>
        <v>1</v>
      </c>
      <c r="AD524" s="57" t="n">
        <f aca="false">MAX(AR524,H524)</f>
        <v>6</v>
      </c>
      <c r="AE524" s="64"/>
      <c r="AF524" s="57" t="n">
        <f aca="false">IF(LEFT(Cockpit!$C$5,1)="A",H524,IF(CA524=1,CB524,IF(LEFT(Cockpit!$C$5,1)="B",AJ524,MAX(AJ524,H524))))</f>
        <v>6</v>
      </c>
      <c r="AG524" s="57" t="n">
        <f aca="false">IF(BT524=1,0,ROUNDUP(AF524/BS524,0))</f>
        <v>6</v>
      </c>
      <c r="AH524" s="59" t="n">
        <f aca="false">IF(CH524&gt;0,CH524*MAX(1,AF524/X524),IF(BT524=1,IF(AF524&lt;=0,0,BW524*MAX(1,IF(H524&gt;0,AF524/H524,1))),IF(R524&gt;0,AG524/R524,0))/MAX(0.1,N(Parameter!$M$21)))</f>
        <v>0.115384615384615</v>
      </c>
      <c r="AI524" s="57" t="n">
        <f aca="false">AF524*G524</f>
        <v>83.7</v>
      </c>
      <c r="AJ524" s="57" t="n">
        <f aca="false">ROUNDUP(MAX(J524/IF(BZ524&gt;0,BZ524,MAX(0.1,N(Cockpit!$C$6))),CC524)/BS524,0)*BS524</f>
        <v>1</v>
      </c>
      <c r="AK524" s="58" t="n">
        <f aca="false">IF(AH524&gt;0,J524/AH524,-1)</f>
        <v>0</v>
      </c>
      <c r="AL524" s="58" t="n">
        <f aca="false">IF(AND(OR(BY524="L1",BY524="L23"),AH524&gt;0),SUMIFS($AH$7:$AH$1843,$BY$7:$BY$1843,BY524,$AK$7:$AK$1843,"&gt;"&amp;AK524)+SUMIFS($AH$7:$AH$1843,$BY$7:$BY$1843,BY524,$AK$7:$AK$1843,AK524,$BQ$7:$BQ$1843,"&lt;="&amp;BQ524),"")</f>
        <v>74.9464629573325</v>
      </c>
      <c r="AM524" s="65" t="n">
        <f aca="false">IF(AL524="",0,MAX(0,MIN(1,(IF(BY524="L1",Parameter!$E$5,Parameter!$E$6+Parameter!$E$7)-(AL524-AH524))/AH524)))</f>
        <v>1</v>
      </c>
      <c r="AN524" s="57" t="n">
        <f aca="false">IF(LEFT(Cockpit!$I$5,1)="A",H524,IF(CA524=1,CB524,IF(LEFT(Cockpit!$I$5,1)="B",AR524,MAX(AR524,H524))))</f>
        <v>6</v>
      </c>
      <c r="AO524" s="57" t="n">
        <f aca="false">IF(BT524=1,0,ROUNDUP(AN524/BS524,0))</f>
        <v>6</v>
      </c>
      <c r="AP524" s="59" t="n">
        <f aca="false">IF(CH524&gt;0,CH524*MAX(1,AN524/X524),IF(BT524=1,IF(AN524&lt;=0,0,BW524*MAX(1,IF(H524&gt;0,AN524/H524,1))),IF(R524&gt;0,AO524/R524,0))/MAX(0.1,N(Parameter!$M$21)))</f>
        <v>0.115384615384615</v>
      </c>
      <c r="AQ524" s="57" t="n">
        <f aca="false">AN524*G524</f>
        <v>83.7</v>
      </c>
      <c r="AR524" s="57" t="n">
        <f aca="false">ROUNDUP(MAX(J524/IF(BZ524&gt;0,BZ524,MAX(0.1,N(Cockpit!$I$6))),CC524)/BS524,0)*BS524</f>
        <v>1</v>
      </c>
      <c r="AS524" s="58" t="n">
        <f aca="false">IF(AP524&gt;0,J524/AP524,-1)</f>
        <v>0</v>
      </c>
      <c r="AT524" s="58" t="n">
        <f aca="false">IF(AND(OR(BY524="L1",BY524="L23"),AP524&gt;0),SUMIFS($AP$7:$AP$1843,$BY$7:$BY$1843,BY524,$AS$7:$AS$1843,"&gt;"&amp;AS524)+SUMIFS($AP$7:$AP$1843,$BY$7:$BY$1843,BY524,$AS$7:$AS$1843,AS524,$BQ$7:$BQ$1843,"&lt;="&amp;BQ524),"")</f>
        <v>114.370587142326</v>
      </c>
      <c r="AU524" s="65" t="n">
        <f aca="false">IF(AT524="",0,MAX(0,MIN(1,(IF(BY524="L1",Parameter!$E$5,Parameter!$E$6+Parameter!$E$7)-(AT524-AP524))/AP524)))</f>
        <v>0</v>
      </c>
      <c r="AV524" s="57" t="n">
        <f aca="false">IF(LEFT(Cockpit!$O$5,1)="A",H524,IF(CA524=1,CB524,IF(LEFT(Cockpit!$O$5,1)="B",AZ524,MAX(AZ524,H524))))</f>
        <v>6</v>
      </c>
      <c r="AW524" s="57" t="n">
        <f aca="false">IF(BT524=1,0,ROUNDUP(AV524/BS524,0))</f>
        <v>6</v>
      </c>
      <c r="AX524" s="59" t="n">
        <f aca="false">IF(CH524&gt;0,CH524*MAX(1,AV524/X524),IF(BT524=1,IF(AV524&lt;=0,0,BW524*MAX(1,IF(H524&gt;0,AV524/H524,1))),IF(R524&gt;0,AW524/R524,0))/MAX(0.1,N(Parameter!$M$21)))</f>
        <v>0.115384615384615</v>
      </c>
      <c r="AY524" s="57" t="n">
        <f aca="false">AV524*G524</f>
        <v>83.7</v>
      </c>
      <c r="AZ524" s="57" t="n">
        <f aca="false">ROUNDUP(MAX(J524/IF(BZ524&gt;0,BZ524,MAX(0.1,N(Cockpit!$O$6))),CC524)/BS524,0)*BS524</f>
        <v>1</v>
      </c>
      <c r="BA524" s="58" t="n">
        <f aca="false">IF(AX524&gt;0,J524/AX524,-1)</f>
        <v>0</v>
      </c>
      <c r="BB524" s="58" t="n">
        <f aca="false">IF(AND(OR(BY524="L1",BY524="L23"),AX524&gt;0),SUMIFS($AX$7:$AX$1843,$BY$7:$BY$1843,BY524,$BA$7:$BA$1843,"&gt;"&amp;BA524)+SUMIFS($AX$7:$AX$1843,$BY$7:$BY$1843,BY524,$BA$7:$BA$1843,BA524,$BQ$7:$BQ$1843,"&lt;="&amp;BQ524),"")</f>
        <v>105.200423972163</v>
      </c>
      <c r="BC524" s="65" t="n">
        <f aca="false">IF(BB524="",0,MAX(0,MIN(1,(IF(BY524="L1",Parameter!$E$5,Parameter!$E$6+Parameter!$E$7)-(BB524-AX524))/AX524)))</f>
        <v>0</v>
      </c>
      <c r="BD524" s="55" t="str">
        <f aca="false">IF(AH524&lt;=0,"",IF(BY524="Aussen","Aussenlager",IF(BY524="-","Nicht im Lift",IF(AM524&gt;=1,"Lift",IF(AM524&lt;=0,"Aussenlager","teilweise")))))</f>
        <v>Lift</v>
      </c>
      <c r="BE524" s="55" t="str">
        <f aca="false">IF(AP524&lt;=0,"",IF(BY524="Aussen","Aussenlager",IF(BY524="-","Nicht im Lift",IF(AU524&gt;=1,"Lift",IF(AU524&lt;=0,"Aussenlager","teilweise")))))</f>
        <v>Aussenlager</v>
      </c>
      <c r="BF524" s="55" t="str">
        <f aca="false">IF(AX524&lt;=0,"",IF(BY524="Aussen","Aussenlager",IF(BY524="-","Nicht im Lift",IF(BC524&gt;=1,"Lift",IF(BC524&lt;=0,"Aussenlager","teilweise")))))</f>
        <v>Aussenlager</v>
      </c>
      <c r="BG524" s="55" t="str">
        <f aca="false">IF(A524="","",IF(BP524=1,"Neu; ","")&amp;IF(AND(BP524=0,BK524&lt;0),"negativer Bestand (Export "&amp;BK524&amp;"); ","")&amp;IF(J524&lt;=0,"Kein Verbrauch; ","")&amp;IF(CH524&gt;0,"Lift "&amp;W524&amp;" lt. Liftbericht (Fach "&amp;X524&amp;" Stk); ",IF(BU524=1,"Gebinde geschätzt ("&amp;T524&amp;"); ",IF(BT524=1,"Lose – Tablare geschätzt; ","")))&amp;IF(H524&gt;AR524,"Überbestand "&amp;ROUND(H524-AR524,0)&amp;" Stk / CHF "&amp;ROUND((H524-AR524)*G524,0)&amp;"; ","")&amp;IF(AND(CA524=1,CB524&lt;CC524),"MAX &lt; MB+LG; ","")&amp;IF(AND(CG524&gt;0,CF524*10&gt;CG524),"zu hoch für Tablar; ","")&amp;IF(AND(BP524=0,OR(CA524=1,AA524&lt;&gt;"",U524&lt;&gt;"",V524&lt;&gt;"",AB524&lt;&gt;"")),"manuell übersteuert; ","")&amp;IF(AND(BT524=0,R524=0),"Gebinde unbekannt / Stellmass fehlt; ","")&amp;IF(AND(BT524=0,N(V524)&lt;=0,N(Q524)&lt;=0),"Menge pro Gebinde fehlt (Ist = 1 Gebinde); ","")&amp;BO524)</f>
        <v>Kein Verbrauch; Überbestand 5 Stk / CHF 70; </v>
      </c>
      <c r="BH524" s="55"/>
      <c r="BI524" s="55"/>
      <c r="BJ524" s="62"/>
      <c r="BK524" s="57" t="n">
        <v>2</v>
      </c>
      <c r="BL524" s="57" t="n">
        <v>4</v>
      </c>
      <c r="BM524" s="56" t="n">
        <v>28.02</v>
      </c>
      <c r="BN524" s="57" t="n">
        <v>0</v>
      </c>
      <c r="BO524" s="55"/>
      <c r="BP524" s="60" t="n">
        <v>0</v>
      </c>
      <c r="BQ524" s="60" t="n">
        <v>524</v>
      </c>
      <c r="BR524" s="55" t="str">
        <f aca="false">IF(U524&lt;&gt;"",UPPER(TRIM(U524)),IF(BU524=1,UPPER(VLOOKUP(T524,Parameter!$I$27:$K$29,2,0)),IF(P524="","LOSE",P524)))</f>
        <v>S41</v>
      </c>
      <c r="BS524" s="57" t="n">
        <f aca="false">IF(BR524="LOSE",1,IF(N(V524)&gt;0,V524,IF(BU524=1,MAX(1,N(VLOOKUP(T524,Parameter!$I$27:$K$29,3,0)),H524,N(N524)),IF(N(Q524)&gt;0,Q524,MAX(1,H524)))))</f>
        <v>1</v>
      </c>
      <c r="BT524" s="60" t="n">
        <f aca="false">IF(BR524="LOSE",1,0)</f>
        <v>0</v>
      </c>
      <c r="BU524" s="60" t="n">
        <f aca="false">IF(AND(U524="",OR(P524="",P524="LOSE"),T524&lt;&gt;"",N(S524)&lt;=0,ISNUMBER(MATCH(T524,Parameter!$I$27:$I$29,0))),1,0)</f>
        <v>0</v>
      </c>
      <c r="BV524" s="55" t="str">
        <f aca="false">IF(AND(Parameter!$B$19="Ja",E524&lt;&gt;"",ISNUMBER(MATCH(E524,Parameter!$I$35:$I$52,0))),VLOOKUP(E524,Parameter!$I$35:$J$52,2,0),IFERROR(VLOOKUP(D524,Parameter!$A$35:$C$64,2,0),"Nein"))</f>
        <v>2+3</v>
      </c>
      <c r="BW524" s="59" t="n">
        <f aca="false">IF(BT524=0,0,IF(N(S524)&gt;0,S524,IFERROR(VLOOKUP(D524,Parameter!$A$35:$C$64,3,0)+0,0)))</f>
        <v>0</v>
      </c>
      <c r="BX524" s="55" t="n">
        <f aca="false">IF(AA524&lt;&gt;"",AA524,Z524)</f>
        <v>3</v>
      </c>
      <c r="BY524" s="55" t="str">
        <f aca="false">IF(BX524=1,"L1",IF(OR(BX524=2,BX524=3),"L23",IF(BX524="Aussen","Aussen","-")))</f>
        <v>L23</v>
      </c>
      <c r="BZ524" s="66" t="n">
        <f aca="false">IF(N(AB524)&gt;0,AB524,0)</f>
        <v>0</v>
      </c>
      <c r="CA524" s="60" t="n">
        <f aca="false">IF(ISNUMBER(AE524),1,0)</f>
        <v>0</v>
      </c>
      <c r="CB524" s="57" t="n">
        <f aca="false">N(AE524)</f>
        <v>0</v>
      </c>
      <c r="CC524" s="57" t="n">
        <f aca="false">N(M524)+N(N524)</f>
        <v>1</v>
      </c>
      <c r="CD524" s="57" t="n">
        <f aca="false">ROUNDUP(H524/BS524,0)</f>
        <v>6</v>
      </c>
      <c r="CE524" s="57" t="n">
        <f aca="false">ROUNDUP(CB524/BS524,0)</f>
        <v>0</v>
      </c>
      <c r="CF524" s="60" t="n">
        <f aca="false">IF(BT524=1,0,IFERROR(VLOOKUP(BR524,'Gebinde-Kategorie'!$A$5:$M$45,5,0)+0,0))</f>
        <v>11</v>
      </c>
      <c r="CG524" s="60" t="n">
        <f aca="false">IFERROR(IF(OR(BX524=1,BX524=2,BX524=3),N(INDEX(Parameter!$I$5:$I$7,BX524)),0),0)</f>
        <v>0</v>
      </c>
      <c r="CH524" s="59" t="n">
        <f aca="false">IF(AND(Parameter!$B$21="Ja",ISNUMBER(W524),N(X524)&gt;0),IFERROR(N(INDEX(Parameter!$L$5:$L$7,W524))*INDEX(Parameter!$E$5:$E$7,W524)*X524/SUMIFS($X$7:$X$1843,$W$7:$W$1843,W524),0),0)</f>
        <v>0</v>
      </c>
    </row>
    <row r="525" customFormat="false" ht="15" hidden="false" customHeight="false" outlineLevel="0" collapsed="false">
      <c r="A525" s="55" t="s">
        <v>1137</v>
      </c>
      <c r="B525" s="55" t="s">
        <v>949</v>
      </c>
      <c r="C525" s="55" t="s">
        <v>164</v>
      </c>
      <c r="D525" s="55" t="s">
        <v>184</v>
      </c>
      <c r="E525" s="55"/>
      <c r="F525" s="55" t="s">
        <v>218</v>
      </c>
      <c r="G525" s="56" t="n">
        <v>0.14</v>
      </c>
      <c r="H525" s="57" t="n">
        <f aca="false">MAX(0,IF(AND(Parameter!$B$21="Ja",ISNUMBER(Y525)),Y525,IF(Parameter!$B$20="Jahresanfang 2025 + Export",BL525+BK525,BK525)))</f>
        <v>200</v>
      </c>
      <c r="I525" s="57" t="n">
        <f aca="false">H525*G525</f>
        <v>28</v>
      </c>
      <c r="J525" s="57" t="n">
        <f aca="false">BN525*Parameter!$B$18</f>
        <v>200</v>
      </c>
      <c r="K525" s="58" t="n">
        <v>0</v>
      </c>
      <c r="L525" s="59" t="n">
        <v>0</v>
      </c>
      <c r="M525" s="57" t="n">
        <v>12</v>
      </c>
      <c r="N525" s="57" t="n">
        <v>200</v>
      </c>
      <c r="O525" s="60" t="n">
        <v>21</v>
      </c>
      <c r="P525" s="55" t="s">
        <v>168</v>
      </c>
      <c r="Q525" s="57"/>
      <c r="R525" s="60" t="n">
        <f aca="false">IF(BT525=1,0,IFERROR(VLOOKUP(BR525,'Gebinde-Kategorie'!$A$5:$M$45,13,0)+0,0))</f>
        <v>26</v>
      </c>
      <c r="S525" s="61"/>
      <c r="T525" s="62" t="s">
        <v>275</v>
      </c>
      <c r="U525" s="62"/>
      <c r="V525" s="62"/>
      <c r="W525" s="55"/>
      <c r="X525" s="57"/>
      <c r="Y525" s="57"/>
      <c r="Z525" s="55" t="n">
        <f aca="false">IF(A525="","",IF(AND(Parameter!$B$21="Ja",ISNUMBER(W525)),W525,IF(BV525="2+3",IF(ISNUMBER(SEARCH("grosser Artikel",BO525)),2,IFERROR(VLOOKUP(BR525,Parameter!$F$35:$G$64,2,0),2)),IF(OR(BV525="Nein",BV525=""),"-",BV525))))</f>
        <v>3</v>
      </c>
      <c r="AA525" s="62"/>
      <c r="AB525" s="63"/>
      <c r="AC525" s="57" t="n">
        <f aca="false">AR525</f>
        <v>400</v>
      </c>
      <c r="AD525" s="57" t="n">
        <f aca="false">MAX(AR525,H525)</f>
        <v>400</v>
      </c>
      <c r="AE525" s="64"/>
      <c r="AF525" s="57" t="n">
        <f aca="false">IF(LEFT(Cockpit!$C$5,1)="A",H525,IF(CA525=1,CB525,IF(LEFT(Cockpit!$C$5,1)="B",AJ525,MAX(AJ525,H525))))</f>
        <v>200</v>
      </c>
      <c r="AG525" s="57" t="n">
        <f aca="false">IF(BT525=1,0,ROUNDUP(AF525/BS525,0))</f>
        <v>1</v>
      </c>
      <c r="AH525" s="59" t="n">
        <f aca="false">IF(CH525&gt;0,CH525*MAX(1,AF525/X525),IF(BT525=1,IF(AF525&lt;=0,0,BW525*MAX(1,IF(H525&gt;0,AF525/H525,1))),IF(R525&gt;0,AG525/R525,0))/MAX(0.1,N(Parameter!$M$21)))</f>
        <v>0.0384615384615385</v>
      </c>
      <c r="AI525" s="57" t="n">
        <f aca="false">AF525*G525</f>
        <v>28</v>
      </c>
      <c r="AJ525" s="57" t="n">
        <f aca="false">ROUNDUP(MAX(J525/IF(BZ525&gt;0,BZ525,MAX(0.1,N(Cockpit!$C$6))),CC525)/BS525,0)*BS525</f>
        <v>400</v>
      </c>
      <c r="AK525" s="58" t="n">
        <f aca="false">IF(AH525&gt;0,J525/AH525,-1)</f>
        <v>5200</v>
      </c>
      <c r="AL525" s="58" t="n">
        <f aca="false">IF(AND(OR(BY525="L1",BY525="L23"),AH525&gt;0),SUMIFS($AH$7:$AH$1843,$BY$7:$BY$1843,BY525,$AK$7:$AK$1843,"&gt;"&amp;AK525)+SUMIFS($AH$7:$AH$1843,$BY$7:$BY$1843,BY525,$AK$7:$AK$1843,AK525,$BQ$7:$BQ$1843,"&lt;="&amp;BQ525),"")</f>
        <v>6.93733319820276</v>
      </c>
      <c r="AM525" s="65" t="n">
        <f aca="false">IF(AL525="",0,MAX(0,MIN(1,(IF(BY525="L1",Parameter!$E$5,Parameter!$E$6+Parameter!$E$7)-(AL525-AH525))/AH525)))</f>
        <v>1</v>
      </c>
      <c r="AN525" s="57" t="n">
        <f aca="false">IF(LEFT(Cockpit!$I$5,1)="A",H525,IF(CA525=1,CB525,IF(LEFT(Cockpit!$I$5,1)="B",AR525,MAX(AR525,H525))))</f>
        <v>400</v>
      </c>
      <c r="AO525" s="57" t="n">
        <f aca="false">IF(BT525=1,0,ROUNDUP(AN525/BS525,0))</f>
        <v>2</v>
      </c>
      <c r="AP525" s="59" t="n">
        <f aca="false">IF(CH525&gt;0,CH525*MAX(1,AN525/X525),IF(BT525=1,IF(AN525&lt;=0,0,BW525*MAX(1,IF(H525&gt;0,AN525/H525,1))),IF(R525&gt;0,AO525/R525,0))/MAX(0.1,N(Parameter!$M$21)))</f>
        <v>0.0769230769230769</v>
      </c>
      <c r="AQ525" s="57" t="n">
        <f aca="false">AN525*G525</f>
        <v>56</v>
      </c>
      <c r="AR525" s="57" t="n">
        <f aca="false">ROUNDUP(MAX(J525/IF(BZ525&gt;0,BZ525,MAX(0.1,N(Cockpit!$I$6))),CC525)/BS525,0)*BS525</f>
        <v>400</v>
      </c>
      <c r="AS525" s="58" t="n">
        <f aca="false">IF(AP525&gt;0,J525/AP525,-1)</f>
        <v>2600</v>
      </c>
      <c r="AT525" s="58" t="n">
        <f aca="false">IF(AND(OR(BY525="L1",BY525="L23"),AP525&gt;0),SUMIFS($AP$7:$AP$1843,$BY$7:$BY$1843,BY525,$AS$7:$AS$1843,"&gt;"&amp;AS525)+SUMIFS($AP$7:$AP$1843,$BY$7:$BY$1843,BY525,$AS$7:$AS$1843,AS525,$BQ$7:$BQ$1843,"&lt;="&amp;BQ525),"")</f>
        <v>16.3743623526232</v>
      </c>
      <c r="AU525" s="65" t="n">
        <f aca="false">IF(AT525="",0,MAX(0,MIN(1,(IF(BY525="L1",Parameter!$E$5,Parameter!$E$6+Parameter!$E$7)-(AT525-AP525))/AP525)))</f>
        <v>1</v>
      </c>
      <c r="AV525" s="57" t="n">
        <f aca="false">IF(LEFT(Cockpit!$O$5,1)="A",H525,IF(CA525=1,CB525,IF(LEFT(Cockpit!$O$5,1)="B",AZ525,MAX(AZ525,H525))))</f>
        <v>400</v>
      </c>
      <c r="AW525" s="57" t="n">
        <f aca="false">IF(BT525=1,0,ROUNDUP(AV525/BS525,0))</f>
        <v>2</v>
      </c>
      <c r="AX525" s="59" t="n">
        <f aca="false">IF(CH525&gt;0,CH525*MAX(1,AV525/X525),IF(BT525=1,IF(AV525&lt;=0,0,BW525*MAX(1,IF(H525&gt;0,AV525/H525,1))),IF(R525&gt;0,AW525/R525,0))/MAX(0.1,N(Parameter!$M$21)))</f>
        <v>0.0769230769230769</v>
      </c>
      <c r="AY525" s="57" t="n">
        <f aca="false">AV525*G525</f>
        <v>56</v>
      </c>
      <c r="AZ525" s="57" t="n">
        <f aca="false">ROUNDUP(MAX(J525/IF(BZ525&gt;0,BZ525,MAX(0.1,N(Cockpit!$O$6))),CC525)/BS525,0)*BS525</f>
        <v>400</v>
      </c>
      <c r="BA525" s="58" t="n">
        <f aca="false">IF(AX525&gt;0,J525/AX525,-1)</f>
        <v>2600</v>
      </c>
      <c r="BB525" s="58" t="n">
        <f aca="false">IF(AND(OR(BY525="L1",BY525="L23"),AX525&gt;0),SUMIFS($AX$7:$AX$1843,$BY$7:$BY$1843,BY525,$BA$7:$BA$1843,"&gt;"&amp;BA525)+SUMIFS($AX$7:$AX$1843,$BY$7:$BY$1843,BY525,$BA$7:$BA$1843,BA525,$BQ$7:$BQ$1843,"&lt;="&amp;BQ525),"")</f>
        <v>14.9477889260498</v>
      </c>
      <c r="BC525" s="65" t="n">
        <f aca="false">IF(BB525="",0,MAX(0,MIN(1,(IF(BY525="L1",Parameter!$E$5,Parameter!$E$6+Parameter!$E$7)-(BB525-AX525))/AX525)))</f>
        <v>1</v>
      </c>
      <c r="BD525" s="55" t="str">
        <f aca="false">IF(AH525&lt;=0,"",IF(BY525="Aussen","Aussenlager",IF(BY525="-","Nicht im Lift",IF(AM525&gt;=1,"Lift",IF(AM525&lt;=0,"Aussenlager","teilweise")))))</f>
        <v>Lift</v>
      </c>
      <c r="BE525" s="55" t="str">
        <f aca="false">IF(AP525&lt;=0,"",IF(BY525="Aussen","Aussenlager",IF(BY525="-","Nicht im Lift",IF(AU525&gt;=1,"Lift",IF(AU525&lt;=0,"Aussenlager","teilweise")))))</f>
        <v>Lift</v>
      </c>
      <c r="BF525" s="55" t="str">
        <f aca="false">IF(AX525&lt;=0,"",IF(BY525="Aussen","Aussenlager",IF(BY525="-","Nicht im Lift",IF(BC525&gt;=1,"Lift",IF(BC525&lt;=0,"Aussenlager","teilweise")))))</f>
        <v>Lift</v>
      </c>
      <c r="BG525" s="55" t="str">
        <f aca="false">IF(A525="","",IF(BP525=1,"Neu; ","")&amp;IF(AND(BP525=0,BK525&lt;0),"negativer Bestand (Export "&amp;BK525&amp;"); ","")&amp;IF(J525&lt;=0,"Kein Verbrauch; ","")&amp;IF(CH525&gt;0,"Lift "&amp;W525&amp;" lt. Liftbericht (Fach "&amp;X525&amp;" Stk); ",IF(BU525=1,"Gebinde geschätzt ("&amp;T525&amp;"); ",IF(BT525=1,"Lose – Tablare geschätzt; ","")))&amp;IF(H525&gt;AR525,"Überbestand "&amp;ROUND(H525-AR525,0)&amp;" Stk / CHF "&amp;ROUND((H525-AR525)*G525,0)&amp;"; ","")&amp;IF(AND(CA525=1,CB525&lt;CC525),"MAX &lt; MB+LG; ","")&amp;IF(AND(CG525&gt;0,CF525*10&gt;CG525),"zu hoch für Tablar; ","")&amp;IF(AND(BP525=0,OR(CA525=1,AA525&lt;&gt;"",U525&lt;&gt;"",V525&lt;&gt;"",AB525&lt;&gt;"")),"manuell übersteuert; ","")&amp;IF(AND(BT525=0,R525=0),"Gebinde unbekannt / Stellmass fehlt; ","")&amp;IF(AND(BT525=0,N(V525)&lt;=0,N(Q525)&lt;=0),"Menge pro Gebinde fehlt (Ist = 1 Gebinde); ","")&amp;BO525)</f>
        <v>Gebinde geschätzt (Klein); Menge pro Gebinde fehlt (Ist = 1 Gebinde); </v>
      </c>
      <c r="BH525" s="55"/>
      <c r="BI525" s="55"/>
      <c r="BJ525" s="62"/>
      <c r="BK525" s="57" t="n">
        <v>200</v>
      </c>
      <c r="BL525" s="57" t="n">
        <v>0</v>
      </c>
      <c r="BM525" s="56" t="n">
        <v>28</v>
      </c>
      <c r="BN525" s="57" t="n">
        <v>200</v>
      </c>
      <c r="BO525" s="55"/>
      <c r="BP525" s="60" t="n">
        <v>0</v>
      </c>
      <c r="BQ525" s="60" t="n">
        <v>525</v>
      </c>
      <c r="BR525" s="55" t="str">
        <f aca="false">IF(U525&lt;&gt;"",UPPER(TRIM(U525)),IF(BU525=1,UPPER(VLOOKUP(T525,Parameter!$I$27:$K$29,2,0)),IF(P525="","LOSE",P525)))</f>
        <v>S51</v>
      </c>
      <c r="BS525" s="57" t="n">
        <f aca="false">IF(BR525="LOSE",1,IF(N(V525)&gt;0,V525,IF(BU525=1,MAX(1,N(VLOOKUP(T525,Parameter!$I$27:$K$29,3,0)),H525,N(N525)),IF(N(Q525)&gt;0,Q525,MAX(1,H525)))))</f>
        <v>200</v>
      </c>
      <c r="BT525" s="60" t="n">
        <f aca="false">IF(BR525="LOSE",1,0)</f>
        <v>0</v>
      </c>
      <c r="BU525" s="60" t="n">
        <f aca="false">IF(AND(U525="",OR(P525="",P525="LOSE"),T525&lt;&gt;"",N(S525)&lt;=0,ISNUMBER(MATCH(T525,Parameter!$I$27:$I$29,0))),1,0)</f>
        <v>1</v>
      </c>
      <c r="BV525" s="55" t="str">
        <f aca="false">IF(AND(Parameter!$B$19="Ja",E525&lt;&gt;"",ISNUMBER(MATCH(E525,Parameter!$I$35:$I$52,0))),VLOOKUP(E525,Parameter!$I$35:$J$52,2,0),IFERROR(VLOOKUP(D525,Parameter!$A$35:$C$64,2,0),"Nein"))</f>
        <v>2+3</v>
      </c>
      <c r="BW525" s="59" t="n">
        <f aca="false">IF(BT525=0,0,IF(N(S525)&gt;0,S525,IFERROR(VLOOKUP(D525,Parameter!$A$35:$C$64,3,0)+0,0)))</f>
        <v>0</v>
      </c>
      <c r="BX525" s="55" t="n">
        <f aca="false">IF(AA525&lt;&gt;"",AA525,Z525)</f>
        <v>3</v>
      </c>
      <c r="BY525" s="55" t="str">
        <f aca="false">IF(BX525=1,"L1",IF(OR(BX525=2,BX525=3),"L23",IF(BX525="Aussen","Aussen","-")))</f>
        <v>L23</v>
      </c>
      <c r="BZ525" s="66" t="n">
        <f aca="false">IF(N(AB525)&gt;0,AB525,0)</f>
        <v>0</v>
      </c>
      <c r="CA525" s="60" t="n">
        <f aca="false">IF(ISNUMBER(AE525),1,0)</f>
        <v>0</v>
      </c>
      <c r="CB525" s="57" t="n">
        <f aca="false">N(AE525)</f>
        <v>0</v>
      </c>
      <c r="CC525" s="57" t="n">
        <f aca="false">N(M525)+N(N525)</f>
        <v>212</v>
      </c>
      <c r="CD525" s="57" t="n">
        <f aca="false">ROUNDUP(H525/BS525,0)</f>
        <v>1</v>
      </c>
      <c r="CE525" s="57" t="n">
        <f aca="false">ROUNDUP(CB525/BS525,0)</f>
        <v>0</v>
      </c>
      <c r="CF525" s="60" t="n">
        <f aca="false">IF(BT525=1,0,IFERROR(VLOOKUP(BR525,'Gebinde-Kategorie'!$A$5:$M$45,5,0)+0,0))</f>
        <v>11</v>
      </c>
      <c r="CG525" s="60" t="n">
        <f aca="false">IFERROR(IF(OR(BX525=1,BX525=2,BX525=3),N(INDEX(Parameter!$I$5:$I$7,BX525)),0),0)</f>
        <v>0</v>
      </c>
      <c r="CH525" s="59" t="n">
        <f aca="false">IF(AND(Parameter!$B$21="Ja",ISNUMBER(W525),N(X525)&gt;0),IFERROR(N(INDEX(Parameter!$L$5:$L$7,W525))*INDEX(Parameter!$E$5:$E$7,W525)*X525/SUMIFS($X$7:$X$1843,$W$7:$W$1843,W525),0),0)</f>
        <v>0</v>
      </c>
    </row>
    <row r="526" customFormat="false" ht="15" hidden="false" customHeight="false" outlineLevel="0" collapsed="false">
      <c r="A526" s="55" t="s">
        <v>1138</v>
      </c>
      <c r="B526" s="55" t="s">
        <v>949</v>
      </c>
      <c r="C526" s="55" t="s">
        <v>164</v>
      </c>
      <c r="D526" s="55" t="s">
        <v>184</v>
      </c>
      <c r="E526" s="55" t="s">
        <v>185</v>
      </c>
      <c r="F526" s="55" t="s">
        <v>218</v>
      </c>
      <c r="G526" s="56" t="n">
        <v>0.14</v>
      </c>
      <c r="H526" s="57" t="n">
        <f aca="false">MAX(0,IF(AND(Parameter!$B$21="Ja",ISNUMBER(Y526)),Y526,IF(Parameter!$B$20="Jahresanfang 2025 + Export",BL526+BK526,BK526)))</f>
        <v>435</v>
      </c>
      <c r="I526" s="57" t="n">
        <f aca="false">H526*G526</f>
        <v>60.9</v>
      </c>
      <c r="J526" s="57" t="n">
        <f aca="false">BN526*Parameter!$B$18</f>
        <v>392</v>
      </c>
      <c r="K526" s="58" t="n">
        <v>237</v>
      </c>
      <c r="L526" s="59" t="n">
        <v>1.65400843881857</v>
      </c>
      <c r="M526" s="57" t="n">
        <v>22</v>
      </c>
      <c r="N526" s="57" t="n">
        <v>400</v>
      </c>
      <c r="O526" s="60" t="n">
        <v>21</v>
      </c>
      <c r="P526" s="55" t="s">
        <v>302</v>
      </c>
      <c r="Q526" s="57" t="n">
        <v>219</v>
      </c>
      <c r="R526" s="60" t="n">
        <f aca="false">IF(BT526=1,0,IFERROR(VLOOKUP(BR526,'Gebinde-Kategorie'!$A$5:$M$45,13,0)+0,0))</f>
        <v>26</v>
      </c>
      <c r="S526" s="61"/>
      <c r="T526" s="62"/>
      <c r="U526" s="62"/>
      <c r="V526" s="62"/>
      <c r="W526" s="55"/>
      <c r="X526" s="57"/>
      <c r="Y526" s="57"/>
      <c r="Z526" s="55" t="n">
        <f aca="false">IF(A526="","",IF(AND(Parameter!$B$21="Ja",ISNUMBER(W526)),W526,IF(BV526="2+3",IF(ISNUMBER(SEARCH("grosser Artikel",BO526)),2,IFERROR(VLOOKUP(BR526,Parameter!$F$35:$G$64,2,0),2)),IF(OR(BV526="Nein",BV526=""),"-",BV526))))</f>
        <v>3</v>
      </c>
      <c r="AA526" s="62"/>
      <c r="AB526" s="63"/>
      <c r="AC526" s="57" t="n">
        <f aca="false">AR526</f>
        <v>438</v>
      </c>
      <c r="AD526" s="57" t="n">
        <f aca="false">MAX(AR526,H526)</f>
        <v>438</v>
      </c>
      <c r="AE526" s="64"/>
      <c r="AF526" s="57" t="n">
        <f aca="false">IF(LEFT(Cockpit!$C$5,1)="A",H526,IF(CA526=1,CB526,IF(LEFT(Cockpit!$C$5,1)="B",AJ526,MAX(AJ526,H526))))</f>
        <v>435</v>
      </c>
      <c r="AG526" s="57" t="n">
        <f aca="false">IF(BT526=1,0,ROUNDUP(AF526/BS526,0))</f>
        <v>2</v>
      </c>
      <c r="AH526" s="59" t="n">
        <f aca="false">IF(CH526&gt;0,CH526*MAX(1,AF526/X526),IF(BT526=1,IF(AF526&lt;=0,0,BW526*MAX(1,IF(H526&gt;0,AF526/H526,1))),IF(R526&gt;0,AG526/R526,0))/MAX(0.1,N(Parameter!$M$21)))</f>
        <v>0.0769230769230769</v>
      </c>
      <c r="AI526" s="57" t="n">
        <f aca="false">AF526*G526</f>
        <v>60.9</v>
      </c>
      <c r="AJ526" s="57" t="n">
        <f aca="false">ROUNDUP(MAX(J526/IF(BZ526&gt;0,BZ526,MAX(0.1,N(Cockpit!$C$6))),CC526)/BS526,0)*BS526</f>
        <v>438</v>
      </c>
      <c r="AK526" s="58" t="n">
        <f aca="false">IF(AH526&gt;0,J526/AH526,-1)</f>
        <v>5096</v>
      </c>
      <c r="AL526" s="58" t="n">
        <f aca="false">IF(AND(OR(BY526="L1",BY526="L23"),AH526&gt;0),SUMIFS($AH$7:$AH$1843,$BY$7:$BY$1843,BY526,$AK$7:$AK$1843,"&gt;"&amp;AK526)+SUMIFS($AH$7:$AH$1843,$BY$7:$BY$1843,BY526,$AK$7:$AK$1843,AK526,$BQ$7:$BQ$1843,"&lt;="&amp;BQ526),"")</f>
        <v>7.01425627512584</v>
      </c>
      <c r="AM526" s="65" t="n">
        <f aca="false">IF(AL526="",0,MAX(0,MIN(1,(IF(BY526="L1",Parameter!$E$5,Parameter!$E$6+Parameter!$E$7)-(AL526-AH526))/AH526)))</f>
        <v>1</v>
      </c>
      <c r="AN526" s="57" t="n">
        <f aca="false">IF(LEFT(Cockpit!$I$5,1)="A",H526,IF(CA526=1,CB526,IF(LEFT(Cockpit!$I$5,1)="B",AR526,MAX(AR526,H526))))</f>
        <v>438</v>
      </c>
      <c r="AO526" s="57" t="n">
        <f aca="false">IF(BT526=1,0,ROUNDUP(AN526/BS526,0))</f>
        <v>2</v>
      </c>
      <c r="AP526" s="59" t="n">
        <f aca="false">IF(CH526&gt;0,CH526*MAX(1,AN526/X526),IF(BT526=1,IF(AN526&lt;=0,0,BW526*MAX(1,IF(H526&gt;0,AN526/H526,1))),IF(R526&gt;0,AO526/R526,0))/MAX(0.1,N(Parameter!$M$21)))</f>
        <v>0.0769230769230769</v>
      </c>
      <c r="AQ526" s="57" t="n">
        <f aca="false">AN526*G526</f>
        <v>61.32</v>
      </c>
      <c r="AR526" s="57" t="n">
        <f aca="false">ROUNDUP(MAX(J526/IF(BZ526&gt;0,BZ526,MAX(0.1,N(Cockpit!$I$6))),CC526)/BS526,0)*BS526</f>
        <v>438</v>
      </c>
      <c r="AS526" s="58" t="n">
        <f aca="false">IF(AP526&gt;0,J526/AP526,-1)</f>
        <v>5096</v>
      </c>
      <c r="AT526" s="58" t="n">
        <f aca="false">IF(AND(OR(BY526="L1",BY526="L23"),AP526&gt;0),SUMIFS($AP$7:$AP$1843,$BY$7:$BY$1843,BY526,$AS$7:$AS$1843,"&gt;"&amp;AS526)+SUMIFS($AP$7:$AP$1843,$BY$7:$BY$1843,BY526,$AS$7:$AS$1843,AS526,$BQ$7:$BQ$1843,"&lt;="&amp;BQ526),"")</f>
        <v>11.8050910442215</v>
      </c>
      <c r="AU526" s="65" t="n">
        <f aca="false">IF(AT526="",0,MAX(0,MIN(1,(IF(BY526="L1",Parameter!$E$5,Parameter!$E$6+Parameter!$E$7)-(AT526-AP526))/AP526)))</f>
        <v>1</v>
      </c>
      <c r="AV526" s="57" t="n">
        <f aca="false">IF(LEFT(Cockpit!$O$5,1)="A",H526,IF(CA526=1,CB526,IF(LEFT(Cockpit!$O$5,1)="B",AZ526,MAX(AZ526,H526))))</f>
        <v>438</v>
      </c>
      <c r="AW526" s="57" t="n">
        <f aca="false">IF(BT526=1,0,ROUNDUP(AV526/BS526,0))</f>
        <v>2</v>
      </c>
      <c r="AX526" s="59" t="n">
        <f aca="false">IF(CH526&gt;0,CH526*MAX(1,AV526/X526),IF(BT526=1,IF(AV526&lt;=0,0,BW526*MAX(1,IF(H526&gt;0,AV526/H526,1))),IF(R526&gt;0,AW526/R526,0))/MAX(0.1,N(Parameter!$M$21)))</f>
        <v>0.0769230769230769</v>
      </c>
      <c r="AY526" s="57" t="n">
        <f aca="false">AV526*G526</f>
        <v>61.32</v>
      </c>
      <c r="AZ526" s="57" t="n">
        <f aca="false">ROUNDUP(MAX(J526/IF(BZ526&gt;0,BZ526,MAX(0.1,N(Cockpit!$O$6))),CC526)/BS526,0)*BS526</f>
        <v>438</v>
      </c>
      <c r="BA526" s="58" t="n">
        <f aca="false">IF(AX526&gt;0,J526/AX526,-1)</f>
        <v>5096</v>
      </c>
      <c r="BB526" s="58" t="n">
        <f aca="false">IF(AND(OR(BY526="L1",BY526="L23"),AX526&gt;0),SUMIFS($AX$7:$AX$1843,$BY$7:$BY$1843,BY526,$BA$7:$BA$1843,"&gt;"&amp;BA526)+SUMIFS($AX$7:$AX$1843,$BY$7:$BY$1843,BY526,$BA$7:$BA$1843,BA526,$BQ$7:$BQ$1843,"&lt;="&amp;BQ526),"")</f>
        <v>10.525953515084</v>
      </c>
      <c r="BC526" s="65" t="n">
        <f aca="false">IF(BB526="",0,MAX(0,MIN(1,(IF(BY526="L1",Parameter!$E$5,Parameter!$E$6+Parameter!$E$7)-(BB526-AX526))/AX526)))</f>
        <v>1</v>
      </c>
      <c r="BD526" s="55" t="str">
        <f aca="false">IF(AH526&lt;=0,"",IF(BY526="Aussen","Aussenlager",IF(BY526="-","Nicht im Lift",IF(AM526&gt;=1,"Lift",IF(AM526&lt;=0,"Aussenlager","teilweise")))))</f>
        <v>Lift</v>
      </c>
      <c r="BE526" s="55" t="str">
        <f aca="false">IF(AP526&lt;=0,"",IF(BY526="Aussen","Aussenlager",IF(BY526="-","Nicht im Lift",IF(AU526&gt;=1,"Lift",IF(AU526&lt;=0,"Aussenlager","teilweise")))))</f>
        <v>Lift</v>
      </c>
      <c r="BF526" s="55" t="str">
        <f aca="false">IF(AX526&lt;=0,"",IF(BY526="Aussen","Aussenlager",IF(BY526="-","Nicht im Lift",IF(BC526&gt;=1,"Lift",IF(BC526&lt;=0,"Aussenlager","teilweise")))))</f>
        <v>Lift</v>
      </c>
      <c r="BG526" s="55" t="str">
        <f aca="false">IF(A526="","",IF(BP526=1,"Neu; ","")&amp;IF(AND(BP526=0,BK526&lt;0),"negativer Bestand (Export "&amp;BK526&amp;"); ","")&amp;IF(J526&lt;=0,"Kein Verbrauch; ","")&amp;IF(CH526&gt;0,"Lift "&amp;W526&amp;" lt. Liftbericht (Fach "&amp;X526&amp;" Stk); ",IF(BU526=1,"Gebinde geschätzt ("&amp;T526&amp;"); ",IF(BT526=1,"Lose – Tablare geschätzt; ","")))&amp;IF(H526&gt;AR526,"Überbestand "&amp;ROUND(H526-AR526,0)&amp;" Stk / CHF "&amp;ROUND((H526-AR526)*G526,0)&amp;"; ","")&amp;IF(AND(CA526=1,CB526&lt;CC526),"MAX &lt; MB+LG; ","")&amp;IF(AND(CG526&gt;0,CF526*10&gt;CG526),"zu hoch für Tablar; ","")&amp;IF(AND(BP526=0,OR(CA526=1,AA526&lt;&gt;"",U526&lt;&gt;"",V526&lt;&gt;"",AB526&lt;&gt;"")),"manuell übersteuert; ","")&amp;IF(AND(BT526=0,R526=0),"Gebinde unbekannt / Stellmass fehlt; ","")&amp;IF(AND(BT526=0,N(V526)&lt;=0,N(Q526)&lt;=0),"Menge pro Gebinde fehlt (Ist = 1 Gebinde); ","")&amp;BO526)</f>
        <v/>
      </c>
      <c r="BH526" s="55"/>
      <c r="BI526" s="55"/>
      <c r="BJ526" s="62"/>
      <c r="BK526" s="57" t="n">
        <v>196</v>
      </c>
      <c r="BL526" s="57" t="n">
        <v>239</v>
      </c>
      <c r="BM526" s="56" t="n">
        <v>27.79</v>
      </c>
      <c r="BN526" s="57" t="n">
        <v>392</v>
      </c>
      <c r="BO526" s="55"/>
      <c r="BP526" s="60" t="n">
        <v>0</v>
      </c>
      <c r="BQ526" s="60" t="n">
        <v>526</v>
      </c>
      <c r="BR526" s="55" t="str">
        <f aca="false">IF(U526&lt;&gt;"",UPPER(TRIM(U526)),IF(BU526=1,UPPER(VLOOKUP(T526,Parameter!$I$27:$K$29,2,0)),IF(P526="","LOSE",P526)))</f>
        <v>S51</v>
      </c>
      <c r="BS526" s="57" t="n">
        <f aca="false">IF(BR526="LOSE",1,IF(N(V526)&gt;0,V526,IF(BU526=1,MAX(1,N(VLOOKUP(T526,Parameter!$I$27:$K$29,3,0)),H526,N(N526)),IF(N(Q526)&gt;0,Q526,MAX(1,H526)))))</f>
        <v>219</v>
      </c>
      <c r="BT526" s="60" t="n">
        <f aca="false">IF(BR526="LOSE",1,0)</f>
        <v>0</v>
      </c>
      <c r="BU526" s="60" t="n">
        <f aca="false">IF(AND(U526="",OR(P526="",P526="LOSE"),T526&lt;&gt;"",N(S526)&lt;=0,ISNUMBER(MATCH(T526,Parameter!$I$27:$I$29,0))),1,0)</f>
        <v>0</v>
      </c>
      <c r="BV526" s="55" t="str">
        <f aca="false">IF(AND(Parameter!$B$19="Ja",E526&lt;&gt;"",ISNUMBER(MATCH(E526,Parameter!$I$35:$I$52,0))),VLOOKUP(E526,Parameter!$I$35:$J$52,2,0),IFERROR(VLOOKUP(D526,Parameter!$A$35:$C$64,2,0),"Nein"))</f>
        <v>2+3</v>
      </c>
      <c r="BW526" s="59" t="n">
        <f aca="false">IF(BT526=0,0,IF(N(S526)&gt;0,S526,IFERROR(VLOOKUP(D526,Parameter!$A$35:$C$64,3,0)+0,0)))</f>
        <v>0</v>
      </c>
      <c r="BX526" s="55" t="n">
        <f aca="false">IF(AA526&lt;&gt;"",AA526,Z526)</f>
        <v>3</v>
      </c>
      <c r="BY526" s="55" t="str">
        <f aca="false">IF(BX526=1,"L1",IF(OR(BX526=2,BX526=3),"L23",IF(BX526="Aussen","Aussen","-")))</f>
        <v>L23</v>
      </c>
      <c r="BZ526" s="66" t="n">
        <f aca="false">IF(N(AB526)&gt;0,AB526,0)</f>
        <v>0</v>
      </c>
      <c r="CA526" s="60" t="n">
        <f aca="false">IF(ISNUMBER(AE526),1,0)</f>
        <v>0</v>
      </c>
      <c r="CB526" s="57" t="n">
        <f aca="false">N(AE526)</f>
        <v>0</v>
      </c>
      <c r="CC526" s="57" t="n">
        <f aca="false">N(M526)+N(N526)</f>
        <v>422</v>
      </c>
      <c r="CD526" s="57" t="n">
        <f aca="false">ROUNDUP(H526/BS526,0)</f>
        <v>2</v>
      </c>
      <c r="CE526" s="57" t="n">
        <f aca="false">ROUNDUP(CB526/BS526,0)</f>
        <v>0</v>
      </c>
      <c r="CF526" s="60" t="n">
        <f aca="false">IF(BT526=1,0,IFERROR(VLOOKUP(BR526,'Gebinde-Kategorie'!$A$5:$M$45,5,0)+0,0))</f>
        <v>11</v>
      </c>
      <c r="CG526" s="60" t="n">
        <f aca="false">IFERROR(IF(OR(BX526=1,BX526=2,BX526=3),N(INDEX(Parameter!$I$5:$I$7,BX526)),0),0)</f>
        <v>0</v>
      </c>
      <c r="CH526" s="59" t="n">
        <f aca="false">IF(AND(Parameter!$B$21="Ja",ISNUMBER(W526),N(X526)&gt;0),IFERROR(N(INDEX(Parameter!$L$5:$L$7,W526))*INDEX(Parameter!$E$5:$E$7,W526)*X526/SUMIFS($X$7:$X$1843,$W$7:$W$1843,W526),0),0)</f>
        <v>0</v>
      </c>
    </row>
    <row r="527" customFormat="false" ht="15" hidden="false" customHeight="false" outlineLevel="0" collapsed="false">
      <c r="A527" s="55" t="s">
        <v>1139</v>
      </c>
      <c r="B527" s="55" t="s">
        <v>405</v>
      </c>
      <c r="C527" s="55" t="s">
        <v>164</v>
      </c>
      <c r="D527" s="55" t="s">
        <v>184</v>
      </c>
      <c r="E527" s="55" t="s">
        <v>185</v>
      </c>
      <c r="F527" s="55" t="s">
        <v>218</v>
      </c>
      <c r="G527" s="56" t="n">
        <v>0.03</v>
      </c>
      <c r="H527" s="57" t="n">
        <f aca="false">MAX(0,IF(AND(Parameter!$B$21="Ja",ISNUMBER(Y527)),Y527,IF(Parameter!$B$20="Jahresanfang 2025 + Export",BL527+BK527,BK527)))</f>
        <v>2086</v>
      </c>
      <c r="I527" s="57" t="n">
        <f aca="false">H527*G527</f>
        <v>62.58</v>
      </c>
      <c r="J527" s="57" t="n">
        <f aca="false">BN527*Parameter!$B$18</f>
        <v>2860</v>
      </c>
      <c r="K527" s="58" t="n">
        <v>1130</v>
      </c>
      <c r="L527" s="59" t="n">
        <v>2.53097345132743</v>
      </c>
      <c r="M527" s="57" t="n">
        <v>166</v>
      </c>
      <c r="N527" s="57" t="n">
        <v>1500</v>
      </c>
      <c r="O527" s="60" t="n">
        <v>21</v>
      </c>
      <c r="P527" s="55" t="s">
        <v>476</v>
      </c>
      <c r="Q527" s="57" t="n">
        <v>920</v>
      </c>
      <c r="R527" s="60" t="n">
        <f aca="false">IF(BT527=1,0,IFERROR(VLOOKUP(BR527,'Gebinde-Kategorie'!$A$5:$M$45,13,0)+0,0))</f>
        <v>66</v>
      </c>
      <c r="S527" s="61"/>
      <c r="T527" s="62"/>
      <c r="U527" s="62"/>
      <c r="V527" s="62"/>
      <c r="W527" s="55"/>
      <c r="X527" s="57"/>
      <c r="Y527" s="57"/>
      <c r="Z527" s="55" t="n">
        <f aca="false">IF(A527="","",IF(AND(Parameter!$B$21="Ja",ISNUMBER(W527)),W527,IF(BV527="2+3",IF(ISNUMBER(SEARCH("grosser Artikel",BO527)),2,IFERROR(VLOOKUP(BR527,Parameter!$F$35:$G$64,2,0),2)),IF(OR(BV527="Nein",BV527=""),"-",BV527))))</f>
        <v>3</v>
      </c>
      <c r="AA527" s="62"/>
      <c r="AB527" s="63"/>
      <c r="AC527" s="57" t="n">
        <f aca="false">AR527</f>
        <v>1840</v>
      </c>
      <c r="AD527" s="57" t="n">
        <f aca="false">MAX(AR527,H527)</f>
        <v>2086</v>
      </c>
      <c r="AE527" s="64"/>
      <c r="AF527" s="57" t="n">
        <f aca="false">IF(LEFT(Cockpit!$C$5,1)="A",H527,IF(CA527=1,CB527,IF(LEFT(Cockpit!$C$5,1)="B",AJ527,MAX(AJ527,H527))))</f>
        <v>2086</v>
      </c>
      <c r="AG527" s="57" t="n">
        <f aca="false">IF(BT527=1,0,ROUNDUP(AF527/BS527,0))</f>
        <v>3</v>
      </c>
      <c r="AH527" s="59" t="n">
        <f aca="false">IF(CH527&gt;0,CH527*MAX(1,AF527/X527),IF(BT527=1,IF(AF527&lt;=0,0,BW527*MAX(1,IF(H527&gt;0,AF527/H527,1))),IF(R527&gt;0,AG527/R527,0))/MAX(0.1,N(Parameter!$M$21)))</f>
        <v>0.0454545454545455</v>
      </c>
      <c r="AI527" s="57" t="n">
        <f aca="false">AF527*G527</f>
        <v>62.58</v>
      </c>
      <c r="AJ527" s="57" t="n">
        <f aca="false">ROUNDUP(MAX(J527/IF(BZ527&gt;0,BZ527,MAX(0.1,N(Cockpit!$C$6))),CC527)/BS527,0)*BS527</f>
        <v>1840</v>
      </c>
      <c r="AK527" s="58" t="n">
        <f aca="false">IF(AH527&gt;0,J527/AH527,-1)</f>
        <v>62920</v>
      </c>
      <c r="AL527" s="58" t="n">
        <f aca="false">IF(AND(OR(BY527="L1",BY527="L23"),AH527&gt;0),SUMIFS($AH$7:$AH$1843,$BY$7:$BY$1843,BY527,$AK$7:$AK$1843,"&gt;"&amp;AK527)+SUMIFS($AH$7:$AH$1843,$BY$7:$BY$1843,BY527,$AK$7:$AK$1843,AK527,$BQ$7:$BQ$1843,"&lt;="&amp;BQ527),"")</f>
        <v>0.97245870071957</v>
      </c>
      <c r="AM527" s="65" t="n">
        <f aca="false">IF(AL527="",0,MAX(0,MIN(1,(IF(BY527="L1",Parameter!$E$5,Parameter!$E$6+Parameter!$E$7)-(AL527-AH527))/AH527)))</f>
        <v>1</v>
      </c>
      <c r="AN527" s="57" t="n">
        <f aca="false">IF(LEFT(Cockpit!$I$5,1)="A",H527,IF(CA527=1,CB527,IF(LEFT(Cockpit!$I$5,1)="B",AR527,MAX(AR527,H527))))</f>
        <v>2086</v>
      </c>
      <c r="AO527" s="57" t="n">
        <f aca="false">IF(BT527=1,0,ROUNDUP(AN527/BS527,0))</f>
        <v>3</v>
      </c>
      <c r="AP527" s="59" t="n">
        <f aca="false">IF(CH527&gt;0,CH527*MAX(1,AN527/X527),IF(BT527=1,IF(AN527&lt;=0,0,BW527*MAX(1,IF(H527&gt;0,AN527/H527,1))),IF(R527&gt;0,AO527/R527,0))/MAX(0.1,N(Parameter!$M$21)))</f>
        <v>0.0454545454545455</v>
      </c>
      <c r="AQ527" s="57" t="n">
        <f aca="false">AN527*G527</f>
        <v>62.58</v>
      </c>
      <c r="AR527" s="57" t="n">
        <f aca="false">ROUNDUP(MAX(J527/IF(BZ527&gt;0,BZ527,MAX(0.1,N(Cockpit!$I$6))),CC527)/BS527,0)*BS527</f>
        <v>1840</v>
      </c>
      <c r="AS527" s="58" t="n">
        <f aca="false">IF(AP527&gt;0,J527/AP527,-1)</f>
        <v>62920</v>
      </c>
      <c r="AT527" s="58" t="n">
        <f aca="false">IF(AND(OR(BY527="L1",BY527="L23"),AP527&gt;0),SUMIFS($AP$7:$AP$1843,$BY$7:$BY$1843,BY527,$AS$7:$AS$1843,"&gt;"&amp;AS527)+SUMIFS($AP$7:$AP$1843,$BY$7:$BY$1843,BY527,$AS$7:$AS$1843,AS527,$BQ$7:$BQ$1843,"&lt;="&amp;BQ527),"")</f>
        <v>0.515083949866559</v>
      </c>
      <c r="AU527" s="65" t="n">
        <f aca="false">IF(AT527="",0,MAX(0,MIN(1,(IF(BY527="L1",Parameter!$E$5,Parameter!$E$6+Parameter!$E$7)-(AT527-AP527))/AP527)))</f>
        <v>1</v>
      </c>
      <c r="AV527" s="57" t="n">
        <f aca="false">IF(LEFT(Cockpit!$O$5,1)="A",H527,IF(CA527=1,CB527,IF(LEFT(Cockpit!$O$5,1)="B",AZ527,MAX(AZ527,H527))))</f>
        <v>2086</v>
      </c>
      <c r="AW527" s="57" t="n">
        <f aca="false">IF(BT527=1,0,ROUNDUP(AV527/BS527,0))</f>
        <v>3</v>
      </c>
      <c r="AX527" s="59" t="n">
        <f aca="false">IF(CH527&gt;0,CH527*MAX(1,AV527/X527),IF(BT527=1,IF(AV527&lt;=0,0,BW527*MAX(1,IF(H527&gt;0,AV527/H527,1))),IF(R527&gt;0,AW527/R527,0))/MAX(0.1,N(Parameter!$M$21)))</f>
        <v>0.0454545454545455</v>
      </c>
      <c r="AY527" s="57" t="n">
        <f aca="false">AV527*G527</f>
        <v>62.58</v>
      </c>
      <c r="AZ527" s="57" t="n">
        <f aca="false">ROUNDUP(MAX(J527/IF(BZ527&gt;0,BZ527,MAX(0.1,N(Cockpit!$O$6))),CC527)/BS527,0)*BS527</f>
        <v>1840</v>
      </c>
      <c r="BA527" s="58" t="n">
        <f aca="false">IF(AX527&gt;0,J527/AX527,-1)</f>
        <v>62920</v>
      </c>
      <c r="BB527" s="58" t="n">
        <f aca="false">IF(AND(OR(BY527="L1",BY527="L23"),AX527&gt;0),SUMIFS($AX$7:$AX$1843,$BY$7:$BY$1843,BY527,$BA$7:$BA$1843,"&gt;"&amp;BA527)+SUMIFS($AX$7:$AX$1843,$BY$7:$BY$1843,BY527,$BA$7:$BA$1843,BA527,$BQ$7:$BQ$1843,"&lt;="&amp;BQ527),"")</f>
        <v>0.761004695787305</v>
      </c>
      <c r="BC527" s="65" t="n">
        <f aca="false">IF(BB527="",0,MAX(0,MIN(1,(IF(BY527="L1",Parameter!$E$5,Parameter!$E$6+Parameter!$E$7)-(BB527-AX527))/AX527)))</f>
        <v>1</v>
      </c>
      <c r="BD527" s="55" t="str">
        <f aca="false">IF(AH527&lt;=0,"",IF(BY527="Aussen","Aussenlager",IF(BY527="-","Nicht im Lift",IF(AM527&gt;=1,"Lift",IF(AM527&lt;=0,"Aussenlager","teilweise")))))</f>
        <v>Lift</v>
      </c>
      <c r="BE527" s="55" t="str">
        <f aca="false">IF(AP527&lt;=0,"",IF(BY527="Aussen","Aussenlager",IF(BY527="-","Nicht im Lift",IF(AU527&gt;=1,"Lift",IF(AU527&lt;=0,"Aussenlager","teilweise")))))</f>
        <v>Lift</v>
      </c>
      <c r="BF527" s="55" t="str">
        <f aca="false">IF(AX527&lt;=0,"",IF(BY527="Aussen","Aussenlager",IF(BY527="-","Nicht im Lift",IF(BC527&gt;=1,"Lift",IF(BC527&lt;=0,"Aussenlager","teilweise")))))</f>
        <v>Lift</v>
      </c>
      <c r="BG527" s="55" t="str">
        <f aca="false">IF(A527="","",IF(BP527=1,"Neu; ","")&amp;IF(AND(BP527=0,BK527&lt;0),"negativer Bestand (Export "&amp;BK527&amp;"); ","")&amp;IF(J527&lt;=0,"Kein Verbrauch; ","")&amp;IF(CH527&gt;0,"Lift "&amp;W527&amp;" lt. Liftbericht (Fach "&amp;X527&amp;" Stk); ",IF(BU527=1,"Gebinde geschätzt ("&amp;T527&amp;"); ",IF(BT527=1,"Lose – Tablare geschätzt; ","")))&amp;IF(H527&gt;AR527,"Überbestand "&amp;ROUND(H527-AR527,0)&amp;" Stk / CHF "&amp;ROUND((H527-AR527)*G527,0)&amp;"; ","")&amp;IF(AND(CA527=1,CB527&lt;CC527),"MAX &lt; MB+LG; ","")&amp;IF(AND(CG527&gt;0,CF527*10&gt;CG527),"zu hoch für Tablar; ","")&amp;IF(AND(BP527=0,OR(CA527=1,AA527&lt;&gt;"",U527&lt;&gt;"",V527&lt;&gt;"",AB527&lt;&gt;"")),"manuell übersteuert; ","")&amp;IF(AND(BT527=0,R527=0),"Gebinde unbekannt / Stellmass fehlt; ","")&amp;IF(AND(BT527=0,N(V527)&lt;=0,N(Q527)&lt;=0),"Menge pro Gebinde fehlt (Ist = 1 Gebinde); ","")&amp;BO527)</f>
        <v>Überbestand 246 Stk / CHF 7; </v>
      </c>
      <c r="BH527" s="55"/>
      <c r="BI527" s="55"/>
      <c r="BJ527" s="62"/>
      <c r="BK527" s="57" t="n">
        <v>920</v>
      </c>
      <c r="BL527" s="57" t="n">
        <v>1166</v>
      </c>
      <c r="BM527" s="56" t="n">
        <v>27.6</v>
      </c>
      <c r="BN527" s="57" t="n">
        <v>2860</v>
      </c>
      <c r="BO527" s="55"/>
      <c r="BP527" s="60" t="n">
        <v>0</v>
      </c>
      <c r="BQ527" s="60" t="n">
        <v>527</v>
      </c>
      <c r="BR527" s="55" t="str">
        <f aca="false">IF(U527&lt;&gt;"",UPPER(TRIM(U527)),IF(BU527=1,UPPER(VLOOKUP(T527,Parameter!$I$27:$K$29,2,0)),IF(P527="","LOSE",P527)))</f>
        <v>S33</v>
      </c>
      <c r="BS527" s="57" t="n">
        <f aca="false">IF(BR527="LOSE",1,IF(N(V527)&gt;0,V527,IF(BU527=1,MAX(1,N(VLOOKUP(T527,Parameter!$I$27:$K$29,3,0)),H527,N(N527)),IF(N(Q527)&gt;0,Q527,MAX(1,H527)))))</f>
        <v>920</v>
      </c>
      <c r="BT527" s="60" t="n">
        <f aca="false">IF(BR527="LOSE",1,0)</f>
        <v>0</v>
      </c>
      <c r="BU527" s="60" t="n">
        <f aca="false">IF(AND(U527="",OR(P527="",P527="LOSE"),T527&lt;&gt;"",N(S527)&lt;=0,ISNUMBER(MATCH(T527,Parameter!$I$27:$I$29,0))),1,0)</f>
        <v>0</v>
      </c>
      <c r="BV527" s="55" t="str">
        <f aca="false">IF(AND(Parameter!$B$19="Ja",E527&lt;&gt;"",ISNUMBER(MATCH(E527,Parameter!$I$35:$I$52,0))),VLOOKUP(E527,Parameter!$I$35:$J$52,2,0),IFERROR(VLOOKUP(D527,Parameter!$A$35:$C$64,2,0),"Nein"))</f>
        <v>2+3</v>
      </c>
      <c r="BW527" s="59" t="n">
        <f aca="false">IF(BT527=0,0,IF(N(S527)&gt;0,S527,IFERROR(VLOOKUP(D527,Parameter!$A$35:$C$64,3,0)+0,0)))</f>
        <v>0</v>
      </c>
      <c r="BX527" s="55" t="n">
        <f aca="false">IF(AA527&lt;&gt;"",AA527,Z527)</f>
        <v>3</v>
      </c>
      <c r="BY527" s="55" t="str">
        <f aca="false">IF(BX527=1,"L1",IF(OR(BX527=2,BX527=3),"L23",IF(BX527="Aussen","Aussen","-")))</f>
        <v>L23</v>
      </c>
      <c r="BZ527" s="66" t="n">
        <f aca="false">IF(N(AB527)&gt;0,AB527,0)</f>
        <v>0</v>
      </c>
      <c r="CA527" s="60" t="n">
        <f aca="false">IF(ISNUMBER(AE527),1,0)</f>
        <v>0</v>
      </c>
      <c r="CB527" s="57" t="n">
        <f aca="false">N(AE527)</f>
        <v>0</v>
      </c>
      <c r="CC527" s="57" t="n">
        <f aca="false">N(M527)+N(N527)</f>
        <v>1666</v>
      </c>
      <c r="CD527" s="57" t="n">
        <f aca="false">ROUNDUP(H527/BS527,0)</f>
        <v>3</v>
      </c>
      <c r="CE527" s="57" t="n">
        <f aca="false">ROUNDUP(CB527/BS527,0)</f>
        <v>0</v>
      </c>
      <c r="CF527" s="60" t="n">
        <f aca="false">IF(BT527=1,0,IFERROR(VLOOKUP(BR527,'Gebinde-Kategorie'!$A$5:$M$45,5,0)+0,0))</f>
        <v>8</v>
      </c>
      <c r="CG527" s="60" t="n">
        <f aca="false">IFERROR(IF(OR(BX527=1,BX527=2,BX527=3),N(INDEX(Parameter!$I$5:$I$7,BX527)),0),0)</f>
        <v>0</v>
      </c>
      <c r="CH527" s="59" t="n">
        <f aca="false">IF(AND(Parameter!$B$21="Ja",ISNUMBER(W527),N(X527)&gt;0),IFERROR(N(INDEX(Parameter!$L$5:$L$7,W527))*INDEX(Parameter!$E$5:$E$7,W527)*X527/SUMIFS($X$7:$X$1843,$W$7:$W$1843,W527),0),0)</f>
        <v>0</v>
      </c>
    </row>
    <row r="528" customFormat="false" ht="15" hidden="false" customHeight="false" outlineLevel="0" collapsed="false">
      <c r="A528" s="55" t="s">
        <v>1140</v>
      </c>
      <c r="B528" s="55" t="s">
        <v>1141</v>
      </c>
      <c r="C528" s="55" t="s">
        <v>164</v>
      </c>
      <c r="D528" s="55" t="s">
        <v>173</v>
      </c>
      <c r="E528" s="55"/>
      <c r="F528" s="55" t="s">
        <v>218</v>
      </c>
      <c r="G528" s="56" t="n">
        <v>1.36</v>
      </c>
      <c r="H528" s="57" t="n">
        <f aca="false">MAX(0,IF(AND(Parameter!$B$21="Ja",ISNUMBER(Y528)),Y528,IF(Parameter!$B$20="Jahresanfang 2025 + Export",BL528+BK528,BK528)))</f>
        <v>20</v>
      </c>
      <c r="I528" s="57" t="n">
        <f aca="false">H528*G528</f>
        <v>27.2</v>
      </c>
      <c r="J528" s="57" t="n">
        <f aca="false">BN528*Parameter!$B$18</f>
        <v>0</v>
      </c>
      <c r="K528" s="58" t="n">
        <v>0</v>
      </c>
      <c r="L528" s="59" t="n">
        <v>0</v>
      </c>
      <c r="M528" s="57" t="n">
        <v>0</v>
      </c>
      <c r="N528" s="57" t="n">
        <v>20</v>
      </c>
      <c r="O528" s="60" t="n">
        <v>28</v>
      </c>
      <c r="P528" s="55" t="s">
        <v>168</v>
      </c>
      <c r="Q528" s="57"/>
      <c r="R528" s="60" t="n">
        <f aca="false">IF(BT528=1,0,IFERROR(VLOOKUP(BR528,'Gebinde-Kategorie'!$A$5:$M$45,13,0)+0,0))</f>
        <v>12</v>
      </c>
      <c r="S528" s="61"/>
      <c r="T528" s="62" t="s">
        <v>179</v>
      </c>
      <c r="U528" s="62"/>
      <c r="V528" s="62"/>
      <c r="W528" s="55"/>
      <c r="X528" s="57"/>
      <c r="Y528" s="57"/>
      <c r="Z528" s="55" t="n">
        <f aca="false">IF(A528="","",IF(AND(Parameter!$B$21="Ja",ISNUMBER(W528)),W528,IF(BV528="2+3",IF(ISNUMBER(SEARCH("grosser Artikel",BO528)),2,IFERROR(VLOOKUP(BR528,Parameter!$F$35:$G$64,2,0),2)),IF(OR(BV528="Nein",BV528=""),"-",BV528))))</f>
        <v>2</v>
      </c>
      <c r="AA528" s="62"/>
      <c r="AB528" s="63"/>
      <c r="AC528" s="57" t="n">
        <f aca="false">AR528</f>
        <v>20</v>
      </c>
      <c r="AD528" s="57" t="n">
        <f aca="false">MAX(AR528,H528)</f>
        <v>20</v>
      </c>
      <c r="AE528" s="64"/>
      <c r="AF528" s="57" t="n">
        <f aca="false">IF(LEFT(Cockpit!$C$5,1)="A",H528,IF(CA528=1,CB528,IF(LEFT(Cockpit!$C$5,1)="B",AJ528,MAX(AJ528,H528))))</f>
        <v>20</v>
      </c>
      <c r="AG528" s="57" t="n">
        <f aca="false">IF(BT528=1,0,ROUNDUP(AF528/BS528,0))</f>
        <v>1</v>
      </c>
      <c r="AH528" s="59" t="n">
        <f aca="false">IF(CH528&gt;0,CH528*MAX(1,AF528/X528),IF(BT528=1,IF(AF528&lt;=0,0,BW528*MAX(1,IF(H528&gt;0,AF528/H528,1))),IF(R528&gt;0,AG528/R528,0))/MAX(0.1,N(Parameter!$M$21)))</f>
        <v>0.0833333333333333</v>
      </c>
      <c r="AI528" s="57" t="n">
        <f aca="false">AF528*G528</f>
        <v>27.2</v>
      </c>
      <c r="AJ528" s="57" t="n">
        <f aca="false">ROUNDUP(MAX(J528/IF(BZ528&gt;0,BZ528,MAX(0.1,N(Cockpit!$C$6))),CC528)/BS528,0)*BS528</f>
        <v>20</v>
      </c>
      <c r="AK528" s="58" t="n">
        <f aca="false">IF(AH528&gt;0,J528/AH528,-1)</f>
        <v>0</v>
      </c>
      <c r="AL528" s="58" t="n">
        <f aca="false">IF(AND(OR(BY528="L1",BY528="L23"),AH528&gt;0),SUMIFS($AH$7:$AH$1843,$BY$7:$BY$1843,BY528,$AK$7:$AK$1843,"&gt;"&amp;AK528)+SUMIFS($AH$7:$AH$1843,$BY$7:$BY$1843,BY528,$AK$7:$AK$1843,AK528,$BQ$7:$BQ$1843,"&lt;="&amp;BQ528),"")</f>
        <v>75.0297962906659</v>
      </c>
      <c r="AM528" s="65" t="n">
        <f aca="false">IF(AL528="",0,MAX(0,MIN(1,(IF(BY528="L1",Parameter!$E$5,Parameter!$E$6+Parameter!$E$7)-(AL528-AH528))/AH528)))</f>
        <v>1</v>
      </c>
      <c r="AN528" s="57" t="n">
        <f aca="false">IF(LEFT(Cockpit!$I$5,1)="A",H528,IF(CA528=1,CB528,IF(LEFT(Cockpit!$I$5,1)="B",AR528,MAX(AR528,H528))))</f>
        <v>20</v>
      </c>
      <c r="AO528" s="57" t="n">
        <f aca="false">IF(BT528=1,0,ROUNDUP(AN528/BS528,0))</f>
        <v>1</v>
      </c>
      <c r="AP528" s="59" t="n">
        <f aca="false">IF(CH528&gt;0,CH528*MAX(1,AN528/X528),IF(BT528=1,IF(AN528&lt;=0,0,BW528*MAX(1,IF(H528&gt;0,AN528/H528,1))),IF(R528&gt;0,AO528/R528,0))/MAX(0.1,N(Parameter!$M$21)))</f>
        <v>0.0833333333333333</v>
      </c>
      <c r="AQ528" s="57" t="n">
        <f aca="false">AN528*G528</f>
        <v>27.2</v>
      </c>
      <c r="AR528" s="57" t="n">
        <f aca="false">ROUNDUP(MAX(J528/IF(BZ528&gt;0,BZ528,MAX(0.1,N(Cockpit!$I$6))),CC528)/BS528,0)*BS528</f>
        <v>20</v>
      </c>
      <c r="AS528" s="58" t="n">
        <f aca="false">IF(AP528&gt;0,J528/AP528,-1)</f>
        <v>0</v>
      </c>
      <c r="AT528" s="58" t="n">
        <f aca="false">IF(AND(OR(BY528="L1",BY528="L23"),AP528&gt;0),SUMIFS($AP$7:$AP$1843,$BY$7:$BY$1843,BY528,$AS$7:$AS$1843,"&gt;"&amp;AS528)+SUMIFS($AP$7:$AP$1843,$BY$7:$BY$1843,BY528,$AS$7:$AS$1843,AS528,$BQ$7:$BQ$1843,"&lt;="&amp;BQ528),"")</f>
        <v>114.45392047566</v>
      </c>
      <c r="AU528" s="65" t="n">
        <f aca="false">IF(AT528="",0,MAX(0,MIN(1,(IF(BY528="L1",Parameter!$E$5,Parameter!$E$6+Parameter!$E$7)-(AT528-AP528))/AP528)))</f>
        <v>0</v>
      </c>
      <c r="AV528" s="57" t="n">
        <f aca="false">IF(LEFT(Cockpit!$O$5,1)="A",H528,IF(CA528=1,CB528,IF(LEFT(Cockpit!$O$5,1)="B",AZ528,MAX(AZ528,H528))))</f>
        <v>20</v>
      </c>
      <c r="AW528" s="57" t="n">
        <f aca="false">IF(BT528=1,0,ROUNDUP(AV528/BS528,0))</f>
        <v>1</v>
      </c>
      <c r="AX528" s="59" t="n">
        <f aca="false">IF(CH528&gt;0,CH528*MAX(1,AV528/X528),IF(BT528=1,IF(AV528&lt;=0,0,BW528*MAX(1,IF(H528&gt;0,AV528/H528,1))),IF(R528&gt;0,AW528/R528,0))/MAX(0.1,N(Parameter!$M$21)))</f>
        <v>0.0833333333333333</v>
      </c>
      <c r="AY528" s="57" t="n">
        <f aca="false">AV528*G528</f>
        <v>27.2</v>
      </c>
      <c r="AZ528" s="57" t="n">
        <f aca="false">ROUNDUP(MAX(J528/IF(BZ528&gt;0,BZ528,MAX(0.1,N(Cockpit!$O$6))),CC528)/BS528,0)*BS528</f>
        <v>20</v>
      </c>
      <c r="BA528" s="58" t="n">
        <f aca="false">IF(AX528&gt;0,J528/AX528,-1)</f>
        <v>0</v>
      </c>
      <c r="BB528" s="58" t="n">
        <f aca="false">IF(AND(OR(BY528="L1",BY528="L23"),AX528&gt;0),SUMIFS($AX$7:$AX$1843,$BY$7:$BY$1843,BY528,$BA$7:$BA$1843,"&gt;"&amp;BA528)+SUMIFS($AX$7:$AX$1843,$BY$7:$BY$1843,BY528,$BA$7:$BA$1843,BA528,$BQ$7:$BQ$1843,"&lt;="&amp;BQ528),"")</f>
        <v>105.283757305496</v>
      </c>
      <c r="BC528" s="65" t="n">
        <f aca="false">IF(BB528="",0,MAX(0,MIN(1,(IF(BY528="L1",Parameter!$E$5,Parameter!$E$6+Parameter!$E$7)-(BB528-AX528))/AX528)))</f>
        <v>0</v>
      </c>
      <c r="BD528" s="55" t="str">
        <f aca="false">IF(AH528&lt;=0,"",IF(BY528="Aussen","Aussenlager",IF(BY528="-","Nicht im Lift",IF(AM528&gt;=1,"Lift",IF(AM528&lt;=0,"Aussenlager","teilweise")))))</f>
        <v>Lift</v>
      </c>
      <c r="BE528" s="55" t="str">
        <f aca="false">IF(AP528&lt;=0,"",IF(BY528="Aussen","Aussenlager",IF(BY528="-","Nicht im Lift",IF(AU528&gt;=1,"Lift",IF(AU528&lt;=0,"Aussenlager","teilweise")))))</f>
        <v>Aussenlager</v>
      </c>
      <c r="BF528" s="55" t="str">
        <f aca="false">IF(AX528&lt;=0,"",IF(BY528="Aussen","Aussenlager",IF(BY528="-","Nicht im Lift",IF(BC528&gt;=1,"Lift",IF(BC528&lt;=0,"Aussenlager","teilweise")))))</f>
        <v>Aussenlager</v>
      </c>
      <c r="BG528" s="55" t="str">
        <f aca="false">IF(A528="","",IF(BP528=1,"Neu; ","")&amp;IF(AND(BP528=0,BK528&lt;0),"negativer Bestand (Export "&amp;BK528&amp;"); ","")&amp;IF(J528&lt;=0,"Kein Verbrauch; ","")&amp;IF(CH528&gt;0,"Lift "&amp;W528&amp;" lt. Liftbericht (Fach "&amp;X528&amp;" Stk); ",IF(BU528=1,"Gebinde geschätzt ("&amp;T528&amp;"); ",IF(BT528=1,"Lose – Tablare geschätzt; ","")))&amp;IF(H528&gt;AR528,"Überbestand "&amp;ROUND(H528-AR528,0)&amp;" Stk / CHF "&amp;ROUND((H528-AR528)*G528,0)&amp;"; ","")&amp;IF(AND(CA528=1,CB528&lt;CC528),"MAX &lt; MB+LG; ","")&amp;IF(AND(CG528&gt;0,CF528*10&gt;CG528),"zu hoch für Tablar; ","")&amp;IF(AND(BP528=0,OR(CA528=1,AA528&lt;&gt;"",U528&lt;&gt;"",V528&lt;&gt;"",AB528&lt;&gt;"")),"manuell übersteuert; ","")&amp;IF(AND(BT528=0,R528=0),"Gebinde unbekannt / Stellmass fehlt; ","")&amp;IF(AND(BT528=0,N(V528)&lt;=0,N(Q528)&lt;=0),"Menge pro Gebinde fehlt (Ist = 1 Gebinde); ","")&amp;BO528)</f>
        <v>Kein Verbrauch; Gebinde geschätzt (Mittel); Menge pro Gebinde fehlt (Ist = 1 Gebinde); </v>
      </c>
      <c r="BH528" s="55"/>
      <c r="BI528" s="55"/>
      <c r="BJ528" s="62"/>
      <c r="BK528" s="57" t="n">
        <v>20</v>
      </c>
      <c r="BL528" s="57" t="n">
        <v>0</v>
      </c>
      <c r="BM528" s="56" t="n">
        <v>27.2</v>
      </c>
      <c r="BN528" s="57" t="n">
        <v>0</v>
      </c>
      <c r="BO528" s="55"/>
      <c r="BP528" s="60" t="n">
        <v>0</v>
      </c>
      <c r="BQ528" s="60" t="n">
        <v>528</v>
      </c>
      <c r="BR528" s="55" t="str">
        <f aca="false">IF(U528&lt;&gt;"",UPPER(TRIM(U528)),IF(BU528=1,UPPER(VLOOKUP(T528,Parameter!$I$27:$K$29,2,0)),IF(P528="","LOSE",P528)))</f>
        <v>S61</v>
      </c>
      <c r="BS528" s="57" t="n">
        <f aca="false">IF(BR528="LOSE",1,IF(N(V528)&gt;0,V528,IF(BU528=1,MAX(1,N(VLOOKUP(T528,Parameter!$I$27:$K$29,3,0)),H528,N(N528)),IF(N(Q528)&gt;0,Q528,MAX(1,H528)))))</f>
        <v>20</v>
      </c>
      <c r="BT528" s="60" t="n">
        <f aca="false">IF(BR528="LOSE",1,0)</f>
        <v>0</v>
      </c>
      <c r="BU528" s="60" t="n">
        <f aca="false">IF(AND(U528="",OR(P528="",P528="LOSE"),T528&lt;&gt;"",N(S528)&lt;=0,ISNUMBER(MATCH(T528,Parameter!$I$27:$I$29,0))),1,0)</f>
        <v>1</v>
      </c>
      <c r="BV528" s="55" t="str">
        <f aca="false">IF(AND(Parameter!$B$19="Ja",E528&lt;&gt;"",ISNUMBER(MATCH(E528,Parameter!$I$35:$I$52,0))),VLOOKUP(E528,Parameter!$I$35:$J$52,2,0),IFERROR(VLOOKUP(D528,Parameter!$A$35:$C$64,2,0),"Nein"))</f>
        <v>2+3</v>
      </c>
      <c r="BW528" s="59" t="n">
        <f aca="false">IF(BT528=0,0,IF(N(S528)&gt;0,S528,IFERROR(VLOOKUP(D528,Parameter!$A$35:$C$64,3,0)+0,0)))</f>
        <v>0</v>
      </c>
      <c r="BX528" s="55" t="n">
        <f aca="false">IF(AA528&lt;&gt;"",AA528,Z528)</f>
        <v>2</v>
      </c>
      <c r="BY528" s="55" t="str">
        <f aca="false">IF(BX528=1,"L1",IF(OR(BX528=2,BX528=3),"L23",IF(BX528="Aussen","Aussen","-")))</f>
        <v>L23</v>
      </c>
      <c r="BZ528" s="66" t="n">
        <f aca="false">IF(N(AB528)&gt;0,AB528,0)</f>
        <v>0</v>
      </c>
      <c r="CA528" s="60" t="n">
        <f aca="false">IF(ISNUMBER(AE528),1,0)</f>
        <v>0</v>
      </c>
      <c r="CB528" s="57" t="n">
        <f aca="false">N(AE528)</f>
        <v>0</v>
      </c>
      <c r="CC528" s="57" t="n">
        <f aca="false">N(M528)+N(N528)</f>
        <v>20</v>
      </c>
      <c r="CD528" s="57" t="n">
        <f aca="false">ROUNDUP(H528/BS528,0)</f>
        <v>1</v>
      </c>
      <c r="CE528" s="57" t="n">
        <f aca="false">ROUNDUP(CB528/BS528,0)</f>
        <v>0</v>
      </c>
      <c r="CF528" s="60" t="n">
        <f aca="false">IF(BT528=1,0,IFERROR(VLOOKUP(BR528,'Gebinde-Kategorie'!$A$5:$M$45,5,0)+0,0))</f>
        <v>11</v>
      </c>
      <c r="CG528" s="60" t="n">
        <f aca="false">IFERROR(IF(OR(BX528=1,BX528=2,BX528=3),N(INDEX(Parameter!$I$5:$I$7,BX528)),0),0)</f>
        <v>0</v>
      </c>
      <c r="CH528" s="59" t="n">
        <f aca="false">IF(AND(Parameter!$B$21="Ja",ISNUMBER(W528),N(X528)&gt;0),IFERROR(N(INDEX(Parameter!$L$5:$L$7,W528))*INDEX(Parameter!$E$5:$E$7,W528)*X528/SUMIFS($X$7:$X$1843,$W$7:$W$1843,W528),0),0)</f>
        <v>0</v>
      </c>
    </row>
    <row r="529" customFormat="false" ht="15" hidden="false" customHeight="false" outlineLevel="0" collapsed="false">
      <c r="A529" s="55" t="s">
        <v>1142</v>
      </c>
      <c r="B529" s="55" t="s">
        <v>1143</v>
      </c>
      <c r="C529" s="55" t="s">
        <v>164</v>
      </c>
      <c r="D529" s="55" t="s">
        <v>173</v>
      </c>
      <c r="E529" s="55"/>
      <c r="F529" s="55" t="s">
        <v>218</v>
      </c>
      <c r="G529" s="56" t="n">
        <v>25.55</v>
      </c>
      <c r="H529" s="57" t="n">
        <f aca="false">MAX(0,IF(AND(Parameter!$B$21="Ja",ISNUMBER(Y529)),Y529,IF(Parameter!$B$20="Jahresanfang 2025 + Export",BL529+BK529,BK529)))</f>
        <v>1</v>
      </c>
      <c r="I529" s="57" t="n">
        <f aca="false">H529*G529</f>
        <v>25.55</v>
      </c>
      <c r="J529" s="57" t="n">
        <f aca="false">BN529*Parameter!$B$18</f>
        <v>0</v>
      </c>
      <c r="K529" s="58" t="n">
        <v>0</v>
      </c>
      <c r="L529" s="59" t="n">
        <v>0</v>
      </c>
      <c r="M529" s="57" t="n">
        <v>0</v>
      </c>
      <c r="N529" s="57" t="n">
        <v>1</v>
      </c>
      <c r="O529" s="60" t="n">
        <v>21</v>
      </c>
      <c r="P529" s="55" t="s">
        <v>168</v>
      </c>
      <c r="Q529" s="57"/>
      <c r="R529" s="60" t="n">
        <f aca="false">IF(BT529=1,0,IFERROR(VLOOKUP(BR529,'Gebinde-Kategorie'!$A$5:$M$45,13,0)+0,0))</f>
        <v>12</v>
      </c>
      <c r="S529" s="61"/>
      <c r="T529" s="62" t="s">
        <v>179</v>
      </c>
      <c r="U529" s="62"/>
      <c r="V529" s="62"/>
      <c r="W529" s="55"/>
      <c r="X529" s="57"/>
      <c r="Y529" s="57"/>
      <c r="Z529" s="55" t="n">
        <f aca="false">IF(A529="","",IF(AND(Parameter!$B$21="Ja",ISNUMBER(W529)),W529,IF(BV529="2+3",IF(ISNUMBER(SEARCH("grosser Artikel",BO529)),2,IFERROR(VLOOKUP(BR529,Parameter!$F$35:$G$64,2,0),2)),IF(OR(BV529="Nein",BV529=""),"-",BV529))))</f>
        <v>2</v>
      </c>
      <c r="AA529" s="62"/>
      <c r="AB529" s="63"/>
      <c r="AC529" s="57" t="n">
        <f aca="false">AR529</f>
        <v>4</v>
      </c>
      <c r="AD529" s="57" t="n">
        <f aca="false">MAX(AR529,H529)</f>
        <v>4</v>
      </c>
      <c r="AE529" s="64"/>
      <c r="AF529" s="57" t="n">
        <f aca="false">IF(LEFT(Cockpit!$C$5,1)="A",H529,IF(CA529=1,CB529,IF(LEFT(Cockpit!$C$5,1)="B",AJ529,MAX(AJ529,H529))))</f>
        <v>1</v>
      </c>
      <c r="AG529" s="57" t="n">
        <f aca="false">IF(BT529=1,0,ROUNDUP(AF529/BS529,0))</f>
        <v>1</v>
      </c>
      <c r="AH529" s="59" t="n">
        <f aca="false">IF(CH529&gt;0,CH529*MAX(1,AF529/X529),IF(BT529=1,IF(AF529&lt;=0,0,BW529*MAX(1,IF(H529&gt;0,AF529/H529,1))),IF(R529&gt;0,AG529/R529,0))/MAX(0.1,N(Parameter!$M$21)))</f>
        <v>0.0833333333333333</v>
      </c>
      <c r="AI529" s="57" t="n">
        <f aca="false">AF529*G529</f>
        <v>25.55</v>
      </c>
      <c r="AJ529" s="57" t="n">
        <f aca="false">ROUNDUP(MAX(J529/IF(BZ529&gt;0,BZ529,MAX(0.1,N(Cockpit!$C$6))),CC529)/BS529,0)*BS529</f>
        <v>4</v>
      </c>
      <c r="AK529" s="58" t="n">
        <f aca="false">IF(AH529&gt;0,J529/AH529,-1)</f>
        <v>0</v>
      </c>
      <c r="AL529" s="58" t="n">
        <f aca="false">IF(AND(OR(BY529="L1",BY529="L23"),AH529&gt;0),SUMIFS($AH$7:$AH$1843,$BY$7:$BY$1843,BY529,$AK$7:$AK$1843,"&gt;"&amp;AK529)+SUMIFS($AH$7:$AH$1843,$BY$7:$BY$1843,BY529,$AK$7:$AK$1843,AK529,$BQ$7:$BQ$1843,"&lt;="&amp;BQ529),"")</f>
        <v>75.1131296239992</v>
      </c>
      <c r="AM529" s="65" t="n">
        <f aca="false">IF(AL529="",0,MAX(0,MIN(1,(IF(BY529="L1",Parameter!$E$5,Parameter!$E$6+Parameter!$E$7)-(AL529-AH529))/AH529)))</f>
        <v>1</v>
      </c>
      <c r="AN529" s="57" t="n">
        <f aca="false">IF(LEFT(Cockpit!$I$5,1)="A",H529,IF(CA529=1,CB529,IF(LEFT(Cockpit!$I$5,1)="B",AR529,MAX(AR529,H529))))</f>
        <v>4</v>
      </c>
      <c r="AO529" s="57" t="n">
        <f aca="false">IF(BT529=1,0,ROUNDUP(AN529/BS529,0))</f>
        <v>1</v>
      </c>
      <c r="AP529" s="59" t="n">
        <f aca="false">IF(CH529&gt;0,CH529*MAX(1,AN529/X529),IF(BT529=1,IF(AN529&lt;=0,0,BW529*MAX(1,IF(H529&gt;0,AN529/H529,1))),IF(R529&gt;0,AO529/R529,0))/MAX(0.1,N(Parameter!$M$21)))</f>
        <v>0.0833333333333333</v>
      </c>
      <c r="AQ529" s="57" t="n">
        <f aca="false">AN529*G529</f>
        <v>102.2</v>
      </c>
      <c r="AR529" s="57" t="n">
        <f aca="false">ROUNDUP(MAX(J529/IF(BZ529&gt;0,BZ529,MAX(0.1,N(Cockpit!$I$6))),CC529)/BS529,0)*BS529</f>
        <v>4</v>
      </c>
      <c r="AS529" s="58" t="n">
        <f aca="false">IF(AP529&gt;0,J529/AP529,-1)</f>
        <v>0</v>
      </c>
      <c r="AT529" s="58" t="n">
        <f aca="false">IF(AND(OR(BY529="L1",BY529="L23"),AP529&gt;0),SUMIFS($AP$7:$AP$1843,$BY$7:$BY$1843,BY529,$AS$7:$AS$1843,"&gt;"&amp;AS529)+SUMIFS($AP$7:$AP$1843,$BY$7:$BY$1843,BY529,$AS$7:$AS$1843,AS529,$BQ$7:$BQ$1843,"&lt;="&amp;BQ529),"")</f>
        <v>114.537253808993</v>
      </c>
      <c r="AU529" s="65" t="n">
        <f aca="false">IF(AT529="",0,MAX(0,MIN(1,(IF(BY529="L1",Parameter!$E$5,Parameter!$E$6+Parameter!$E$7)-(AT529-AP529))/AP529)))</f>
        <v>0</v>
      </c>
      <c r="AV529" s="57" t="n">
        <f aca="false">IF(LEFT(Cockpit!$O$5,1)="A",H529,IF(CA529=1,CB529,IF(LEFT(Cockpit!$O$5,1)="B",AZ529,MAX(AZ529,H529))))</f>
        <v>4</v>
      </c>
      <c r="AW529" s="57" t="n">
        <f aca="false">IF(BT529=1,0,ROUNDUP(AV529/BS529,0))</f>
        <v>1</v>
      </c>
      <c r="AX529" s="59" t="n">
        <f aca="false">IF(CH529&gt;0,CH529*MAX(1,AV529/X529),IF(BT529=1,IF(AV529&lt;=0,0,BW529*MAX(1,IF(H529&gt;0,AV529/H529,1))),IF(R529&gt;0,AW529/R529,0))/MAX(0.1,N(Parameter!$M$21)))</f>
        <v>0.0833333333333333</v>
      </c>
      <c r="AY529" s="57" t="n">
        <f aca="false">AV529*G529</f>
        <v>102.2</v>
      </c>
      <c r="AZ529" s="57" t="n">
        <f aca="false">ROUNDUP(MAX(J529/IF(BZ529&gt;0,BZ529,MAX(0.1,N(Cockpit!$O$6))),CC529)/BS529,0)*BS529</f>
        <v>4</v>
      </c>
      <c r="BA529" s="58" t="n">
        <f aca="false">IF(AX529&gt;0,J529/AX529,-1)</f>
        <v>0</v>
      </c>
      <c r="BB529" s="58" t="n">
        <f aca="false">IF(AND(OR(BY529="L1",BY529="L23"),AX529&gt;0),SUMIFS($AX$7:$AX$1843,$BY$7:$BY$1843,BY529,$BA$7:$BA$1843,"&gt;"&amp;BA529)+SUMIFS($AX$7:$AX$1843,$BY$7:$BY$1843,BY529,$BA$7:$BA$1843,BA529,$BQ$7:$BQ$1843,"&lt;="&amp;BQ529),"")</f>
        <v>105.36709063883</v>
      </c>
      <c r="BC529" s="65" t="n">
        <f aca="false">IF(BB529="",0,MAX(0,MIN(1,(IF(BY529="L1",Parameter!$E$5,Parameter!$E$6+Parameter!$E$7)-(BB529-AX529))/AX529)))</f>
        <v>0</v>
      </c>
      <c r="BD529" s="55" t="str">
        <f aca="false">IF(AH529&lt;=0,"",IF(BY529="Aussen","Aussenlager",IF(BY529="-","Nicht im Lift",IF(AM529&gt;=1,"Lift",IF(AM529&lt;=0,"Aussenlager","teilweise")))))</f>
        <v>Lift</v>
      </c>
      <c r="BE529" s="55" t="str">
        <f aca="false">IF(AP529&lt;=0,"",IF(BY529="Aussen","Aussenlager",IF(BY529="-","Nicht im Lift",IF(AU529&gt;=1,"Lift",IF(AU529&lt;=0,"Aussenlager","teilweise")))))</f>
        <v>Aussenlager</v>
      </c>
      <c r="BF529" s="55" t="str">
        <f aca="false">IF(AX529&lt;=0,"",IF(BY529="Aussen","Aussenlager",IF(BY529="-","Nicht im Lift",IF(BC529&gt;=1,"Lift",IF(BC529&lt;=0,"Aussenlager","teilweise")))))</f>
        <v>Aussenlager</v>
      </c>
      <c r="BG529" s="55" t="str">
        <f aca="false">IF(A529="","",IF(BP529=1,"Neu; ","")&amp;IF(AND(BP529=0,BK529&lt;0),"negativer Bestand (Export "&amp;BK529&amp;"); ","")&amp;IF(J529&lt;=0,"Kein Verbrauch; ","")&amp;IF(CH529&gt;0,"Lift "&amp;W529&amp;" lt. Liftbericht (Fach "&amp;X529&amp;" Stk); ",IF(BU529=1,"Gebinde geschätzt ("&amp;T529&amp;"); ",IF(BT529=1,"Lose – Tablare geschätzt; ","")))&amp;IF(H529&gt;AR529,"Überbestand "&amp;ROUND(H529-AR529,0)&amp;" Stk / CHF "&amp;ROUND((H529-AR529)*G529,0)&amp;"; ","")&amp;IF(AND(CA529=1,CB529&lt;CC529),"MAX &lt; MB+LG; ","")&amp;IF(AND(CG529&gt;0,CF529*10&gt;CG529),"zu hoch für Tablar; ","")&amp;IF(AND(BP529=0,OR(CA529=1,AA529&lt;&gt;"",U529&lt;&gt;"",V529&lt;&gt;"",AB529&lt;&gt;"")),"manuell übersteuert; ","")&amp;IF(AND(BT529=0,R529=0),"Gebinde unbekannt / Stellmass fehlt; ","")&amp;IF(AND(BT529=0,N(V529)&lt;=0,N(Q529)&lt;=0),"Menge pro Gebinde fehlt (Ist = 1 Gebinde); ","")&amp;BO529)</f>
        <v>Kein Verbrauch; Gebinde geschätzt (Mittel); Menge pro Gebinde fehlt (Ist = 1 Gebinde); </v>
      </c>
      <c r="BH529" s="55"/>
      <c r="BI529" s="55"/>
      <c r="BJ529" s="62"/>
      <c r="BK529" s="57" t="n">
        <v>1</v>
      </c>
      <c r="BL529" s="57" t="n">
        <v>0</v>
      </c>
      <c r="BM529" s="56" t="n">
        <v>25.55</v>
      </c>
      <c r="BN529" s="57" t="n">
        <v>0</v>
      </c>
      <c r="BO529" s="55"/>
      <c r="BP529" s="60" t="n">
        <v>0</v>
      </c>
      <c r="BQ529" s="60" t="n">
        <v>529</v>
      </c>
      <c r="BR529" s="55" t="str">
        <f aca="false">IF(U529&lt;&gt;"",UPPER(TRIM(U529)),IF(BU529=1,UPPER(VLOOKUP(T529,Parameter!$I$27:$K$29,2,0)),IF(P529="","LOSE",P529)))</f>
        <v>S61</v>
      </c>
      <c r="BS529" s="57" t="n">
        <f aca="false">IF(BR529="LOSE",1,IF(N(V529)&gt;0,V529,IF(BU529=1,MAX(1,N(VLOOKUP(T529,Parameter!$I$27:$K$29,3,0)),H529,N(N529)),IF(N(Q529)&gt;0,Q529,MAX(1,H529)))))</f>
        <v>4</v>
      </c>
      <c r="BT529" s="60" t="n">
        <f aca="false">IF(BR529="LOSE",1,0)</f>
        <v>0</v>
      </c>
      <c r="BU529" s="60" t="n">
        <f aca="false">IF(AND(U529="",OR(P529="",P529="LOSE"),T529&lt;&gt;"",N(S529)&lt;=0,ISNUMBER(MATCH(T529,Parameter!$I$27:$I$29,0))),1,0)</f>
        <v>1</v>
      </c>
      <c r="BV529" s="55" t="str">
        <f aca="false">IF(AND(Parameter!$B$19="Ja",E529&lt;&gt;"",ISNUMBER(MATCH(E529,Parameter!$I$35:$I$52,0))),VLOOKUP(E529,Parameter!$I$35:$J$52,2,0),IFERROR(VLOOKUP(D529,Parameter!$A$35:$C$64,2,0),"Nein"))</f>
        <v>2+3</v>
      </c>
      <c r="BW529" s="59" t="n">
        <f aca="false">IF(BT529=0,0,IF(N(S529)&gt;0,S529,IFERROR(VLOOKUP(D529,Parameter!$A$35:$C$64,3,0)+0,0)))</f>
        <v>0</v>
      </c>
      <c r="BX529" s="55" t="n">
        <f aca="false">IF(AA529&lt;&gt;"",AA529,Z529)</f>
        <v>2</v>
      </c>
      <c r="BY529" s="55" t="str">
        <f aca="false">IF(BX529=1,"L1",IF(OR(BX529=2,BX529=3),"L23",IF(BX529="Aussen","Aussen","-")))</f>
        <v>L23</v>
      </c>
      <c r="BZ529" s="66" t="n">
        <f aca="false">IF(N(AB529)&gt;0,AB529,0)</f>
        <v>0</v>
      </c>
      <c r="CA529" s="60" t="n">
        <f aca="false">IF(ISNUMBER(AE529),1,0)</f>
        <v>0</v>
      </c>
      <c r="CB529" s="57" t="n">
        <f aca="false">N(AE529)</f>
        <v>0</v>
      </c>
      <c r="CC529" s="57" t="n">
        <f aca="false">N(M529)+N(N529)</f>
        <v>1</v>
      </c>
      <c r="CD529" s="57" t="n">
        <f aca="false">ROUNDUP(H529/BS529,0)</f>
        <v>1</v>
      </c>
      <c r="CE529" s="57" t="n">
        <f aca="false">ROUNDUP(CB529/BS529,0)</f>
        <v>0</v>
      </c>
      <c r="CF529" s="60" t="n">
        <f aca="false">IF(BT529=1,0,IFERROR(VLOOKUP(BR529,'Gebinde-Kategorie'!$A$5:$M$45,5,0)+0,0))</f>
        <v>11</v>
      </c>
      <c r="CG529" s="60" t="n">
        <f aca="false">IFERROR(IF(OR(BX529=1,BX529=2,BX529=3),N(INDEX(Parameter!$I$5:$I$7,BX529)),0),0)</f>
        <v>0</v>
      </c>
      <c r="CH529" s="59" t="n">
        <f aca="false">IF(AND(Parameter!$B$21="Ja",ISNUMBER(W529),N(X529)&gt;0),IFERROR(N(INDEX(Parameter!$L$5:$L$7,W529))*INDEX(Parameter!$E$5:$E$7,W529)*X529/SUMIFS($X$7:$X$1843,$W$7:$W$1843,W529),0),0)</f>
        <v>0</v>
      </c>
    </row>
    <row r="530" customFormat="false" ht="15" hidden="false" customHeight="false" outlineLevel="0" collapsed="false">
      <c r="A530" s="55" t="s">
        <v>1144</v>
      </c>
      <c r="B530" s="55" t="s">
        <v>1145</v>
      </c>
      <c r="C530" s="55" t="s">
        <v>164</v>
      </c>
      <c r="D530" s="55" t="s">
        <v>184</v>
      </c>
      <c r="E530" s="55"/>
      <c r="F530" s="55" t="s">
        <v>218</v>
      </c>
      <c r="G530" s="56" t="n">
        <v>1.59</v>
      </c>
      <c r="H530" s="57" t="n">
        <f aca="false">MAX(0,IF(AND(Parameter!$B$21="Ja",ISNUMBER(Y530)),Y530,IF(Parameter!$B$20="Jahresanfang 2025 + Export",BL530+BK530,BK530)))</f>
        <v>16</v>
      </c>
      <c r="I530" s="57" t="n">
        <f aca="false">H530*G530</f>
        <v>25.44</v>
      </c>
      <c r="J530" s="57" t="n">
        <f aca="false">BN530*Parameter!$B$18</f>
        <v>14</v>
      </c>
      <c r="K530" s="58" t="n">
        <v>11</v>
      </c>
      <c r="L530" s="59" t="n">
        <v>1.27272727272727</v>
      </c>
      <c r="M530" s="57" t="n">
        <v>0</v>
      </c>
      <c r="N530" s="57" t="n">
        <v>15</v>
      </c>
      <c r="O530" s="60" t="n">
        <v>21</v>
      </c>
      <c r="P530" s="55" t="s">
        <v>401</v>
      </c>
      <c r="Q530" s="57" t="n">
        <v>20</v>
      </c>
      <c r="R530" s="60" t="n">
        <f aca="false">IF(BT530=1,0,IFERROR(VLOOKUP(BR530,'Gebinde-Kategorie'!$A$5:$M$45,13,0)+0,0))</f>
        <v>414</v>
      </c>
      <c r="S530" s="61"/>
      <c r="T530" s="62"/>
      <c r="U530" s="62"/>
      <c r="V530" s="62"/>
      <c r="W530" s="55"/>
      <c r="X530" s="57"/>
      <c r="Y530" s="57"/>
      <c r="Z530" s="55" t="n">
        <f aca="false">IF(A530="","",IF(AND(Parameter!$B$21="Ja",ISNUMBER(W530)),W530,IF(BV530="2+3",IF(ISNUMBER(SEARCH("grosser Artikel",BO530)),2,IFERROR(VLOOKUP(BR530,Parameter!$F$35:$G$64,2,0),2)),IF(OR(BV530="Nein",BV530=""),"-",BV530))))</f>
        <v>3</v>
      </c>
      <c r="AA530" s="62"/>
      <c r="AB530" s="63"/>
      <c r="AC530" s="57" t="n">
        <f aca="false">AR530</f>
        <v>20</v>
      </c>
      <c r="AD530" s="57" t="n">
        <f aca="false">MAX(AR530,H530)</f>
        <v>20</v>
      </c>
      <c r="AE530" s="64"/>
      <c r="AF530" s="57" t="n">
        <f aca="false">IF(LEFT(Cockpit!$C$5,1)="A",H530,IF(CA530=1,CB530,IF(LEFT(Cockpit!$C$5,1)="B",AJ530,MAX(AJ530,H530))))</f>
        <v>16</v>
      </c>
      <c r="AG530" s="57" t="n">
        <f aca="false">IF(BT530=1,0,ROUNDUP(AF530/BS530,0))</f>
        <v>1</v>
      </c>
      <c r="AH530" s="59" t="n">
        <f aca="false">IF(CH530&gt;0,CH530*MAX(1,AF530/X530),IF(BT530=1,IF(AF530&lt;=0,0,BW530*MAX(1,IF(H530&gt;0,AF530/H530,1))),IF(R530&gt;0,AG530/R530,0))/MAX(0.1,N(Parameter!$M$21)))</f>
        <v>0.00241545893719807</v>
      </c>
      <c r="AI530" s="57" t="n">
        <f aca="false">AF530*G530</f>
        <v>25.44</v>
      </c>
      <c r="AJ530" s="57" t="n">
        <f aca="false">ROUNDUP(MAX(J530/IF(BZ530&gt;0,BZ530,MAX(0.1,N(Cockpit!$C$6))),CC530)/BS530,0)*BS530</f>
        <v>20</v>
      </c>
      <c r="AK530" s="58" t="n">
        <f aca="false">IF(AH530&gt;0,J530/AH530,-1)</f>
        <v>5796</v>
      </c>
      <c r="AL530" s="58" t="n">
        <f aca="false">IF(AND(OR(BY530="L1",BY530="L23"),AH530&gt;0),SUMIFS($AH$7:$AH$1843,$BY$7:$BY$1843,BY530,$AK$7:$AK$1843,"&gt;"&amp;AK530)+SUMIFS($AH$7:$AH$1843,$BY$7:$BY$1843,BY530,$AK$7:$AK$1843,AK530,$BQ$7:$BQ$1843,"&lt;="&amp;BQ530),"")</f>
        <v>6.69066078848688</v>
      </c>
      <c r="AM530" s="65" t="n">
        <f aca="false">IF(AL530="",0,MAX(0,MIN(1,(IF(BY530="L1",Parameter!$E$5,Parameter!$E$6+Parameter!$E$7)-(AL530-AH530))/AH530)))</f>
        <v>1</v>
      </c>
      <c r="AN530" s="57" t="n">
        <f aca="false">IF(LEFT(Cockpit!$I$5,1)="A",H530,IF(CA530=1,CB530,IF(LEFT(Cockpit!$I$5,1)="B",AR530,MAX(AR530,H530))))</f>
        <v>20</v>
      </c>
      <c r="AO530" s="57" t="n">
        <f aca="false">IF(BT530=1,0,ROUNDUP(AN530/BS530,0))</f>
        <v>1</v>
      </c>
      <c r="AP530" s="59" t="n">
        <f aca="false">IF(CH530&gt;0,CH530*MAX(1,AN530/X530),IF(BT530=1,IF(AN530&lt;=0,0,BW530*MAX(1,IF(H530&gt;0,AN530/H530,1))),IF(R530&gt;0,AO530/R530,0))/MAX(0.1,N(Parameter!$M$21)))</f>
        <v>0.00241545893719807</v>
      </c>
      <c r="AQ530" s="57" t="n">
        <f aca="false">AN530*G530</f>
        <v>31.8</v>
      </c>
      <c r="AR530" s="57" t="n">
        <f aca="false">ROUNDUP(MAX(J530/IF(BZ530&gt;0,BZ530,MAX(0.1,N(Cockpit!$I$6))),CC530)/BS530,0)*BS530</f>
        <v>20</v>
      </c>
      <c r="AS530" s="58" t="n">
        <f aca="false">IF(AP530&gt;0,J530/AP530,-1)</f>
        <v>5796</v>
      </c>
      <c r="AT530" s="58" t="n">
        <f aca="false">IF(AND(OR(BY530="L1",BY530="L23"),AP530&gt;0),SUMIFS($AP$7:$AP$1843,$BY$7:$BY$1843,BY530,$AS$7:$AS$1843,"&gt;"&amp;AS530)+SUMIFS($AP$7:$AP$1843,$BY$7:$BY$1843,BY530,$AS$7:$AS$1843,AS530,$BQ$7:$BQ$1843,"&lt;="&amp;BQ530),"")</f>
        <v>11.4820783081653</v>
      </c>
      <c r="AU530" s="65" t="n">
        <f aca="false">IF(AT530="",0,MAX(0,MIN(1,(IF(BY530="L1",Parameter!$E$5,Parameter!$E$6+Parameter!$E$7)-(AT530-AP530))/AP530)))</f>
        <v>1</v>
      </c>
      <c r="AV530" s="57" t="n">
        <f aca="false">IF(LEFT(Cockpit!$O$5,1)="A",H530,IF(CA530=1,CB530,IF(LEFT(Cockpit!$O$5,1)="B",AZ530,MAX(AZ530,H530))))</f>
        <v>20</v>
      </c>
      <c r="AW530" s="57" t="n">
        <f aca="false">IF(BT530=1,0,ROUNDUP(AV530/BS530,0))</f>
        <v>1</v>
      </c>
      <c r="AX530" s="59" t="n">
        <f aca="false">IF(CH530&gt;0,CH530*MAX(1,AV530/X530),IF(BT530=1,IF(AV530&lt;=0,0,BW530*MAX(1,IF(H530&gt;0,AV530/H530,1))),IF(R530&gt;0,AW530/R530,0))/MAX(0.1,N(Parameter!$M$21)))</f>
        <v>0.00241545893719807</v>
      </c>
      <c r="AY530" s="57" t="n">
        <f aca="false">AV530*G530</f>
        <v>31.8</v>
      </c>
      <c r="AZ530" s="57" t="n">
        <f aca="false">ROUNDUP(MAX(J530/IF(BZ530&gt;0,BZ530,MAX(0.1,N(Cockpit!$O$6))),CC530)/BS530,0)*BS530</f>
        <v>20</v>
      </c>
      <c r="BA530" s="58" t="n">
        <f aca="false">IF(AX530&gt;0,J530/AX530,-1)</f>
        <v>5796</v>
      </c>
      <c r="BB530" s="58" t="n">
        <f aca="false">IF(AND(OR(BY530="L1",BY530="L23"),AX530&gt;0),SUMIFS($AX$7:$AX$1843,$BY$7:$BY$1843,BY530,$BA$7:$BA$1843,"&gt;"&amp;BA530)+SUMIFS($AX$7:$AX$1843,$BY$7:$BY$1843,BY530,$BA$7:$BA$1843,BA530,$BQ$7:$BQ$1843,"&lt;="&amp;BQ530),"")</f>
        <v>10.2029407790277</v>
      </c>
      <c r="BC530" s="65" t="n">
        <f aca="false">IF(BB530="",0,MAX(0,MIN(1,(IF(BY530="L1",Parameter!$E$5,Parameter!$E$6+Parameter!$E$7)-(BB530-AX530))/AX530)))</f>
        <v>1</v>
      </c>
      <c r="BD530" s="55" t="str">
        <f aca="false">IF(AH530&lt;=0,"",IF(BY530="Aussen","Aussenlager",IF(BY530="-","Nicht im Lift",IF(AM530&gt;=1,"Lift",IF(AM530&lt;=0,"Aussenlager","teilweise")))))</f>
        <v>Lift</v>
      </c>
      <c r="BE530" s="55" t="str">
        <f aca="false">IF(AP530&lt;=0,"",IF(BY530="Aussen","Aussenlager",IF(BY530="-","Nicht im Lift",IF(AU530&gt;=1,"Lift",IF(AU530&lt;=0,"Aussenlager","teilweise")))))</f>
        <v>Lift</v>
      </c>
      <c r="BF530" s="55" t="str">
        <f aca="false">IF(AX530&lt;=0,"",IF(BY530="Aussen","Aussenlager",IF(BY530="-","Nicht im Lift",IF(BC530&gt;=1,"Lift",IF(BC530&lt;=0,"Aussenlager","teilweise")))))</f>
        <v>Lift</v>
      </c>
      <c r="BG530" s="55" t="str">
        <f aca="false">IF(A530="","",IF(BP530=1,"Neu; ","")&amp;IF(AND(BP530=0,BK530&lt;0),"negativer Bestand (Export "&amp;BK530&amp;"); ","")&amp;IF(J530&lt;=0,"Kein Verbrauch; ","")&amp;IF(CH530&gt;0,"Lift "&amp;W530&amp;" lt. Liftbericht (Fach "&amp;X530&amp;" Stk); ",IF(BU530=1,"Gebinde geschätzt ("&amp;T530&amp;"); ",IF(BT530=1,"Lose – Tablare geschätzt; ","")))&amp;IF(H530&gt;AR530,"Überbestand "&amp;ROUND(H530-AR530,0)&amp;" Stk / CHF "&amp;ROUND((H530-AR530)*G530,0)&amp;"; ","")&amp;IF(AND(CA530=1,CB530&lt;CC530),"MAX &lt; MB+LG; ","")&amp;IF(AND(CG530&gt;0,CF530*10&gt;CG530),"zu hoch für Tablar; ","")&amp;IF(AND(BP530=0,OR(CA530=1,AA530&lt;&gt;"",U530&lt;&gt;"",V530&lt;&gt;"",AB530&lt;&gt;"")),"manuell übersteuert; ","")&amp;IF(AND(BT530=0,R530=0),"Gebinde unbekannt / Stellmass fehlt; ","")&amp;IF(AND(BT530=0,N(V530)&lt;=0,N(Q530)&lt;=0),"Menge pro Gebinde fehlt (Ist = 1 Gebinde); ","")&amp;BO530)</f>
        <v/>
      </c>
      <c r="BH530" s="55"/>
      <c r="BI530" s="55"/>
      <c r="BJ530" s="62"/>
      <c r="BK530" s="57" t="n">
        <v>16</v>
      </c>
      <c r="BL530" s="57" t="n">
        <v>0</v>
      </c>
      <c r="BM530" s="56" t="n">
        <v>25.44</v>
      </c>
      <c r="BN530" s="57" t="n">
        <v>14</v>
      </c>
      <c r="BO530" s="55"/>
      <c r="BP530" s="60" t="n">
        <v>0</v>
      </c>
      <c r="BQ530" s="60" t="n">
        <v>530</v>
      </c>
      <c r="BR530" s="55" t="str">
        <f aca="false">IF(U530&lt;&gt;"",UPPER(TRIM(U530)),IF(BU530=1,UPPER(VLOOKUP(T530,Parameter!$I$27:$K$29,2,0)),IF(P530="","LOSE",P530)))</f>
        <v>S21</v>
      </c>
      <c r="BS530" s="57" t="n">
        <f aca="false">IF(BR530="LOSE",1,IF(N(V530)&gt;0,V530,IF(BU530=1,MAX(1,N(VLOOKUP(T530,Parameter!$I$27:$K$29,3,0)),H530,N(N530)),IF(N(Q530)&gt;0,Q530,MAX(1,H530)))))</f>
        <v>20</v>
      </c>
      <c r="BT530" s="60" t="n">
        <f aca="false">IF(BR530="LOSE",1,0)</f>
        <v>0</v>
      </c>
      <c r="BU530" s="60" t="n">
        <f aca="false">IF(AND(U530="",OR(P530="",P530="LOSE"),T530&lt;&gt;"",N(S530)&lt;=0,ISNUMBER(MATCH(T530,Parameter!$I$27:$I$29,0))),1,0)</f>
        <v>0</v>
      </c>
      <c r="BV530" s="55" t="str">
        <f aca="false">IF(AND(Parameter!$B$19="Ja",E530&lt;&gt;"",ISNUMBER(MATCH(E530,Parameter!$I$35:$I$52,0))),VLOOKUP(E530,Parameter!$I$35:$J$52,2,0),IFERROR(VLOOKUP(D530,Parameter!$A$35:$C$64,2,0),"Nein"))</f>
        <v>2+3</v>
      </c>
      <c r="BW530" s="59" t="n">
        <f aca="false">IF(BT530=0,0,IF(N(S530)&gt;0,S530,IFERROR(VLOOKUP(D530,Parameter!$A$35:$C$64,3,0)+0,0)))</f>
        <v>0</v>
      </c>
      <c r="BX530" s="55" t="n">
        <f aca="false">IF(AA530&lt;&gt;"",AA530,Z530)</f>
        <v>3</v>
      </c>
      <c r="BY530" s="55" t="str">
        <f aca="false">IF(BX530=1,"L1",IF(OR(BX530=2,BX530=3),"L23",IF(BX530="Aussen","Aussen","-")))</f>
        <v>L23</v>
      </c>
      <c r="BZ530" s="66" t="n">
        <f aca="false">IF(N(AB530)&gt;0,AB530,0)</f>
        <v>0</v>
      </c>
      <c r="CA530" s="60" t="n">
        <f aca="false">IF(ISNUMBER(AE530),1,0)</f>
        <v>0</v>
      </c>
      <c r="CB530" s="57" t="n">
        <f aca="false">N(AE530)</f>
        <v>0</v>
      </c>
      <c r="CC530" s="57" t="n">
        <f aca="false">N(M530)+N(N530)</f>
        <v>15</v>
      </c>
      <c r="CD530" s="57" t="n">
        <f aca="false">ROUNDUP(H530/BS530,0)</f>
        <v>1</v>
      </c>
      <c r="CE530" s="57" t="n">
        <f aca="false">ROUNDUP(CB530/BS530,0)</f>
        <v>0</v>
      </c>
      <c r="CF530" s="60" t="n">
        <f aca="false">IF(BT530=1,0,IFERROR(VLOOKUP(BR530,'Gebinde-Kategorie'!$A$5:$M$45,5,0)+0,0))</f>
        <v>8</v>
      </c>
      <c r="CG530" s="60" t="n">
        <f aca="false">IFERROR(IF(OR(BX530=1,BX530=2,BX530=3),N(INDEX(Parameter!$I$5:$I$7,BX530)),0),0)</f>
        <v>0</v>
      </c>
      <c r="CH530" s="59" t="n">
        <f aca="false">IF(AND(Parameter!$B$21="Ja",ISNUMBER(W530),N(X530)&gt;0),IFERROR(N(INDEX(Parameter!$L$5:$L$7,W530))*INDEX(Parameter!$E$5:$E$7,W530)*X530/SUMIFS($X$7:$X$1843,$W$7:$W$1843,W530),0),0)</f>
        <v>0</v>
      </c>
    </row>
    <row r="531" customFormat="false" ht="15" hidden="false" customHeight="false" outlineLevel="0" collapsed="false">
      <c r="A531" s="55" t="s">
        <v>1146</v>
      </c>
      <c r="B531" s="55" t="s">
        <v>1147</v>
      </c>
      <c r="C531" s="55" t="s">
        <v>164</v>
      </c>
      <c r="D531" s="55" t="s">
        <v>173</v>
      </c>
      <c r="E531" s="55"/>
      <c r="F531" s="55" t="s">
        <v>218</v>
      </c>
      <c r="G531" s="56" t="n">
        <v>25.44</v>
      </c>
      <c r="H531" s="57" t="n">
        <f aca="false">MAX(0,IF(AND(Parameter!$B$21="Ja",ISNUMBER(Y531)),Y531,IF(Parameter!$B$20="Jahresanfang 2025 + Export",BL531+BK531,BK531)))</f>
        <v>1</v>
      </c>
      <c r="I531" s="57" t="n">
        <f aca="false">H531*G531</f>
        <v>25.44</v>
      </c>
      <c r="J531" s="57" t="n">
        <f aca="false">BN531*Parameter!$B$18</f>
        <v>0</v>
      </c>
      <c r="K531" s="58" t="n">
        <v>0</v>
      </c>
      <c r="L531" s="59" t="n">
        <v>0</v>
      </c>
      <c r="M531" s="57" t="n">
        <v>0</v>
      </c>
      <c r="N531" s="57" t="n">
        <v>1</v>
      </c>
      <c r="O531" s="60" t="n">
        <v>21</v>
      </c>
      <c r="P531" s="55" t="s">
        <v>168</v>
      </c>
      <c r="Q531" s="57"/>
      <c r="R531" s="60" t="n">
        <f aca="false">IF(BT531=1,0,IFERROR(VLOOKUP(BR531,'Gebinde-Kategorie'!$A$5:$M$45,13,0)+0,0))</f>
        <v>12</v>
      </c>
      <c r="S531" s="61"/>
      <c r="T531" s="62" t="s">
        <v>179</v>
      </c>
      <c r="U531" s="62"/>
      <c r="V531" s="62"/>
      <c r="W531" s="55"/>
      <c r="X531" s="57"/>
      <c r="Y531" s="57"/>
      <c r="Z531" s="55" t="n">
        <f aca="false">IF(A531="","",IF(AND(Parameter!$B$21="Ja",ISNUMBER(W531)),W531,IF(BV531="2+3",IF(ISNUMBER(SEARCH("grosser Artikel",BO531)),2,IFERROR(VLOOKUP(BR531,Parameter!$F$35:$G$64,2,0),2)),IF(OR(BV531="Nein",BV531=""),"-",BV531))))</f>
        <v>2</v>
      </c>
      <c r="AA531" s="62"/>
      <c r="AB531" s="63"/>
      <c r="AC531" s="57" t="n">
        <f aca="false">AR531</f>
        <v>4</v>
      </c>
      <c r="AD531" s="57" t="n">
        <f aca="false">MAX(AR531,H531)</f>
        <v>4</v>
      </c>
      <c r="AE531" s="64"/>
      <c r="AF531" s="57" t="n">
        <f aca="false">IF(LEFT(Cockpit!$C$5,1)="A",H531,IF(CA531=1,CB531,IF(LEFT(Cockpit!$C$5,1)="B",AJ531,MAX(AJ531,H531))))</f>
        <v>1</v>
      </c>
      <c r="AG531" s="57" t="n">
        <f aca="false">IF(BT531=1,0,ROUNDUP(AF531/BS531,0))</f>
        <v>1</v>
      </c>
      <c r="AH531" s="59" t="n">
        <f aca="false">IF(CH531&gt;0,CH531*MAX(1,AF531/X531),IF(BT531=1,IF(AF531&lt;=0,0,BW531*MAX(1,IF(H531&gt;0,AF531/H531,1))),IF(R531&gt;0,AG531/R531,0))/MAX(0.1,N(Parameter!$M$21)))</f>
        <v>0.0833333333333333</v>
      </c>
      <c r="AI531" s="57" t="n">
        <f aca="false">AF531*G531</f>
        <v>25.44</v>
      </c>
      <c r="AJ531" s="57" t="n">
        <f aca="false">ROUNDUP(MAX(J531/IF(BZ531&gt;0,BZ531,MAX(0.1,N(Cockpit!$C$6))),CC531)/BS531,0)*BS531</f>
        <v>4</v>
      </c>
      <c r="AK531" s="58" t="n">
        <f aca="false">IF(AH531&gt;0,J531/AH531,-1)</f>
        <v>0</v>
      </c>
      <c r="AL531" s="58" t="n">
        <f aca="false">IF(AND(OR(BY531="L1",BY531="L23"),AH531&gt;0),SUMIFS($AH$7:$AH$1843,$BY$7:$BY$1843,BY531,$AK$7:$AK$1843,"&gt;"&amp;AK531)+SUMIFS($AH$7:$AH$1843,$BY$7:$BY$1843,BY531,$AK$7:$AK$1843,AK531,$BQ$7:$BQ$1843,"&lt;="&amp;BQ531),"")</f>
        <v>75.1964629573325</v>
      </c>
      <c r="AM531" s="65" t="n">
        <f aca="false">IF(AL531="",0,MAX(0,MIN(1,(IF(BY531="L1",Parameter!$E$5,Parameter!$E$6+Parameter!$E$7)-(AL531-AH531))/AH531)))</f>
        <v>1</v>
      </c>
      <c r="AN531" s="57" t="n">
        <f aca="false">IF(LEFT(Cockpit!$I$5,1)="A",H531,IF(CA531=1,CB531,IF(LEFT(Cockpit!$I$5,1)="B",AR531,MAX(AR531,H531))))</f>
        <v>4</v>
      </c>
      <c r="AO531" s="57" t="n">
        <f aca="false">IF(BT531=1,0,ROUNDUP(AN531/BS531,0))</f>
        <v>1</v>
      </c>
      <c r="AP531" s="59" t="n">
        <f aca="false">IF(CH531&gt;0,CH531*MAX(1,AN531/X531),IF(BT531=1,IF(AN531&lt;=0,0,BW531*MAX(1,IF(H531&gt;0,AN531/H531,1))),IF(R531&gt;0,AO531/R531,0))/MAX(0.1,N(Parameter!$M$21)))</f>
        <v>0.0833333333333333</v>
      </c>
      <c r="AQ531" s="57" t="n">
        <f aca="false">AN531*G531</f>
        <v>101.76</v>
      </c>
      <c r="AR531" s="57" t="n">
        <f aca="false">ROUNDUP(MAX(J531/IF(BZ531&gt;0,BZ531,MAX(0.1,N(Cockpit!$I$6))),CC531)/BS531,0)*BS531</f>
        <v>4</v>
      </c>
      <c r="AS531" s="58" t="n">
        <f aca="false">IF(AP531&gt;0,J531/AP531,-1)</f>
        <v>0</v>
      </c>
      <c r="AT531" s="58" t="n">
        <f aca="false">IF(AND(OR(BY531="L1",BY531="L23"),AP531&gt;0),SUMIFS($AP$7:$AP$1843,$BY$7:$BY$1843,BY531,$AS$7:$AS$1843,"&gt;"&amp;AS531)+SUMIFS($AP$7:$AP$1843,$BY$7:$BY$1843,BY531,$AS$7:$AS$1843,AS531,$BQ$7:$BQ$1843,"&lt;="&amp;BQ531),"")</f>
        <v>114.620587142326</v>
      </c>
      <c r="AU531" s="65" t="n">
        <f aca="false">IF(AT531="",0,MAX(0,MIN(1,(IF(BY531="L1",Parameter!$E$5,Parameter!$E$6+Parameter!$E$7)-(AT531-AP531))/AP531)))</f>
        <v>0</v>
      </c>
      <c r="AV531" s="57" t="n">
        <f aca="false">IF(LEFT(Cockpit!$O$5,1)="A",H531,IF(CA531=1,CB531,IF(LEFT(Cockpit!$O$5,1)="B",AZ531,MAX(AZ531,H531))))</f>
        <v>4</v>
      </c>
      <c r="AW531" s="57" t="n">
        <f aca="false">IF(BT531=1,0,ROUNDUP(AV531/BS531,0))</f>
        <v>1</v>
      </c>
      <c r="AX531" s="59" t="n">
        <f aca="false">IF(CH531&gt;0,CH531*MAX(1,AV531/X531),IF(BT531=1,IF(AV531&lt;=0,0,BW531*MAX(1,IF(H531&gt;0,AV531/H531,1))),IF(R531&gt;0,AW531/R531,0))/MAX(0.1,N(Parameter!$M$21)))</f>
        <v>0.0833333333333333</v>
      </c>
      <c r="AY531" s="57" t="n">
        <f aca="false">AV531*G531</f>
        <v>101.76</v>
      </c>
      <c r="AZ531" s="57" t="n">
        <f aca="false">ROUNDUP(MAX(J531/IF(BZ531&gt;0,BZ531,MAX(0.1,N(Cockpit!$O$6))),CC531)/BS531,0)*BS531</f>
        <v>4</v>
      </c>
      <c r="BA531" s="58" t="n">
        <f aca="false">IF(AX531&gt;0,J531/AX531,-1)</f>
        <v>0</v>
      </c>
      <c r="BB531" s="58" t="n">
        <f aca="false">IF(AND(OR(BY531="L1",BY531="L23"),AX531&gt;0),SUMIFS($AX$7:$AX$1843,$BY$7:$BY$1843,BY531,$BA$7:$BA$1843,"&gt;"&amp;BA531)+SUMIFS($AX$7:$AX$1843,$BY$7:$BY$1843,BY531,$BA$7:$BA$1843,BA531,$BQ$7:$BQ$1843,"&lt;="&amp;BQ531),"")</f>
        <v>105.450423972163</v>
      </c>
      <c r="BC531" s="65" t="n">
        <f aca="false">IF(BB531="",0,MAX(0,MIN(1,(IF(BY531="L1",Parameter!$E$5,Parameter!$E$6+Parameter!$E$7)-(BB531-AX531))/AX531)))</f>
        <v>0</v>
      </c>
      <c r="BD531" s="55" t="str">
        <f aca="false">IF(AH531&lt;=0,"",IF(BY531="Aussen","Aussenlager",IF(BY531="-","Nicht im Lift",IF(AM531&gt;=1,"Lift",IF(AM531&lt;=0,"Aussenlager","teilweise")))))</f>
        <v>Lift</v>
      </c>
      <c r="BE531" s="55" t="str">
        <f aca="false">IF(AP531&lt;=0,"",IF(BY531="Aussen","Aussenlager",IF(BY531="-","Nicht im Lift",IF(AU531&gt;=1,"Lift",IF(AU531&lt;=0,"Aussenlager","teilweise")))))</f>
        <v>Aussenlager</v>
      </c>
      <c r="BF531" s="55" t="str">
        <f aca="false">IF(AX531&lt;=0,"",IF(BY531="Aussen","Aussenlager",IF(BY531="-","Nicht im Lift",IF(BC531&gt;=1,"Lift",IF(BC531&lt;=0,"Aussenlager","teilweise")))))</f>
        <v>Aussenlager</v>
      </c>
      <c r="BG531" s="55" t="str">
        <f aca="false">IF(A531="","",IF(BP531=1,"Neu; ","")&amp;IF(AND(BP531=0,BK531&lt;0),"negativer Bestand (Export "&amp;BK531&amp;"); ","")&amp;IF(J531&lt;=0,"Kein Verbrauch; ","")&amp;IF(CH531&gt;0,"Lift "&amp;W531&amp;" lt. Liftbericht (Fach "&amp;X531&amp;" Stk); ",IF(BU531=1,"Gebinde geschätzt ("&amp;T531&amp;"); ",IF(BT531=1,"Lose – Tablare geschätzt; ","")))&amp;IF(H531&gt;AR531,"Überbestand "&amp;ROUND(H531-AR531,0)&amp;" Stk / CHF "&amp;ROUND((H531-AR531)*G531,0)&amp;"; ","")&amp;IF(AND(CA531=1,CB531&lt;CC531),"MAX &lt; MB+LG; ","")&amp;IF(AND(CG531&gt;0,CF531*10&gt;CG531),"zu hoch für Tablar; ","")&amp;IF(AND(BP531=0,OR(CA531=1,AA531&lt;&gt;"",U531&lt;&gt;"",V531&lt;&gt;"",AB531&lt;&gt;"")),"manuell übersteuert; ","")&amp;IF(AND(BT531=0,R531=0),"Gebinde unbekannt / Stellmass fehlt; ","")&amp;IF(AND(BT531=0,N(V531)&lt;=0,N(Q531)&lt;=0),"Menge pro Gebinde fehlt (Ist = 1 Gebinde); ","")&amp;BO531)</f>
        <v>Kein Verbrauch; Gebinde geschätzt (Mittel); Menge pro Gebinde fehlt (Ist = 1 Gebinde); </v>
      </c>
      <c r="BH531" s="55"/>
      <c r="BI531" s="55"/>
      <c r="BJ531" s="62"/>
      <c r="BK531" s="57" t="n">
        <v>1</v>
      </c>
      <c r="BL531" s="57" t="n">
        <v>0</v>
      </c>
      <c r="BM531" s="56" t="n">
        <v>25.44</v>
      </c>
      <c r="BN531" s="57" t="n">
        <v>0</v>
      </c>
      <c r="BO531" s="55"/>
      <c r="BP531" s="60" t="n">
        <v>0</v>
      </c>
      <c r="BQ531" s="60" t="n">
        <v>531</v>
      </c>
      <c r="BR531" s="55" t="str">
        <f aca="false">IF(U531&lt;&gt;"",UPPER(TRIM(U531)),IF(BU531=1,UPPER(VLOOKUP(T531,Parameter!$I$27:$K$29,2,0)),IF(P531="","LOSE",P531)))</f>
        <v>S61</v>
      </c>
      <c r="BS531" s="57" t="n">
        <f aca="false">IF(BR531="LOSE",1,IF(N(V531)&gt;0,V531,IF(BU531=1,MAX(1,N(VLOOKUP(T531,Parameter!$I$27:$K$29,3,0)),H531,N(N531)),IF(N(Q531)&gt;0,Q531,MAX(1,H531)))))</f>
        <v>4</v>
      </c>
      <c r="BT531" s="60" t="n">
        <f aca="false">IF(BR531="LOSE",1,0)</f>
        <v>0</v>
      </c>
      <c r="BU531" s="60" t="n">
        <f aca="false">IF(AND(U531="",OR(P531="",P531="LOSE"),T531&lt;&gt;"",N(S531)&lt;=0,ISNUMBER(MATCH(T531,Parameter!$I$27:$I$29,0))),1,0)</f>
        <v>1</v>
      </c>
      <c r="BV531" s="55" t="str">
        <f aca="false">IF(AND(Parameter!$B$19="Ja",E531&lt;&gt;"",ISNUMBER(MATCH(E531,Parameter!$I$35:$I$52,0))),VLOOKUP(E531,Parameter!$I$35:$J$52,2,0),IFERROR(VLOOKUP(D531,Parameter!$A$35:$C$64,2,0),"Nein"))</f>
        <v>2+3</v>
      </c>
      <c r="BW531" s="59" t="n">
        <f aca="false">IF(BT531=0,0,IF(N(S531)&gt;0,S531,IFERROR(VLOOKUP(D531,Parameter!$A$35:$C$64,3,0)+0,0)))</f>
        <v>0</v>
      </c>
      <c r="BX531" s="55" t="n">
        <f aca="false">IF(AA531&lt;&gt;"",AA531,Z531)</f>
        <v>2</v>
      </c>
      <c r="BY531" s="55" t="str">
        <f aca="false">IF(BX531=1,"L1",IF(OR(BX531=2,BX531=3),"L23",IF(BX531="Aussen","Aussen","-")))</f>
        <v>L23</v>
      </c>
      <c r="BZ531" s="66" t="n">
        <f aca="false">IF(N(AB531)&gt;0,AB531,0)</f>
        <v>0</v>
      </c>
      <c r="CA531" s="60" t="n">
        <f aca="false">IF(ISNUMBER(AE531),1,0)</f>
        <v>0</v>
      </c>
      <c r="CB531" s="57" t="n">
        <f aca="false">N(AE531)</f>
        <v>0</v>
      </c>
      <c r="CC531" s="57" t="n">
        <f aca="false">N(M531)+N(N531)</f>
        <v>1</v>
      </c>
      <c r="CD531" s="57" t="n">
        <f aca="false">ROUNDUP(H531/BS531,0)</f>
        <v>1</v>
      </c>
      <c r="CE531" s="57" t="n">
        <f aca="false">ROUNDUP(CB531/BS531,0)</f>
        <v>0</v>
      </c>
      <c r="CF531" s="60" t="n">
        <f aca="false">IF(BT531=1,0,IFERROR(VLOOKUP(BR531,'Gebinde-Kategorie'!$A$5:$M$45,5,0)+0,0))</f>
        <v>11</v>
      </c>
      <c r="CG531" s="60" t="n">
        <f aca="false">IFERROR(IF(OR(BX531=1,BX531=2,BX531=3),N(INDEX(Parameter!$I$5:$I$7,BX531)),0),0)</f>
        <v>0</v>
      </c>
      <c r="CH531" s="59" t="n">
        <f aca="false">IF(AND(Parameter!$B$21="Ja",ISNUMBER(W531),N(X531)&gt;0),IFERROR(N(INDEX(Parameter!$L$5:$L$7,W531))*INDEX(Parameter!$E$5:$E$7,W531)*X531/SUMIFS($X$7:$X$1843,$W$7:$W$1843,W531),0),0)</f>
        <v>0</v>
      </c>
    </row>
    <row r="532" customFormat="false" ht="15" hidden="false" customHeight="false" outlineLevel="0" collapsed="false">
      <c r="A532" s="55" t="s">
        <v>1148</v>
      </c>
      <c r="B532" s="55" t="s">
        <v>892</v>
      </c>
      <c r="C532" s="55" t="s">
        <v>164</v>
      </c>
      <c r="D532" s="55" t="s">
        <v>184</v>
      </c>
      <c r="E532" s="55" t="s">
        <v>185</v>
      </c>
      <c r="F532" s="55" t="s">
        <v>218</v>
      </c>
      <c r="G532" s="56" t="n">
        <v>3.29</v>
      </c>
      <c r="H532" s="57" t="n">
        <f aca="false">MAX(0,IF(AND(Parameter!$B$21="Ja",ISNUMBER(Y532)),Y532,IF(Parameter!$B$20="Jahresanfang 2025 + Export",BL532+BK532,BK532)))</f>
        <v>22</v>
      </c>
      <c r="I532" s="57" t="n">
        <f aca="false">H532*G532</f>
        <v>72.38</v>
      </c>
      <c r="J532" s="57" t="n">
        <f aca="false">BN532*Parameter!$B$18</f>
        <v>1</v>
      </c>
      <c r="K532" s="58" t="n">
        <v>7.5</v>
      </c>
      <c r="L532" s="59" t="n">
        <v>0.133333333333333</v>
      </c>
      <c r="M532" s="57" t="n">
        <v>0</v>
      </c>
      <c r="N532" s="57" t="n">
        <v>1</v>
      </c>
      <c r="O532" s="60" t="n">
        <v>28</v>
      </c>
      <c r="P532" s="55" t="s">
        <v>421</v>
      </c>
      <c r="Q532" s="57" t="n">
        <v>11</v>
      </c>
      <c r="R532" s="60" t="n">
        <f aca="false">IF(BT532=1,0,IFERROR(VLOOKUP(BR532,'Gebinde-Kategorie'!$A$5:$M$45,13,0)+0,0))</f>
        <v>132</v>
      </c>
      <c r="S532" s="61"/>
      <c r="T532" s="62"/>
      <c r="U532" s="62"/>
      <c r="V532" s="62"/>
      <c r="W532" s="55"/>
      <c r="X532" s="57"/>
      <c r="Y532" s="57"/>
      <c r="Z532" s="55" t="n">
        <f aca="false">IF(A532="","",IF(AND(Parameter!$B$21="Ja",ISNUMBER(W532)),W532,IF(BV532="2+3",IF(ISNUMBER(SEARCH("grosser Artikel",BO532)),2,IFERROR(VLOOKUP(BR532,Parameter!$F$35:$G$64,2,0),2)),IF(OR(BV532="Nein",BV532=""),"-",BV532))))</f>
        <v>3</v>
      </c>
      <c r="AA532" s="62"/>
      <c r="AB532" s="63"/>
      <c r="AC532" s="57" t="n">
        <f aca="false">AR532</f>
        <v>11</v>
      </c>
      <c r="AD532" s="57" t="n">
        <f aca="false">MAX(AR532,H532)</f>
        <v>22</v>
      </c>
      <c r="AE532" s="64"/>
      <c r="AF532" s="57" t="n">
        <f aca="false">IF(LEFT(Cockpit!$C$5,1)="A",H532,IF(CA532=1,CB532,IF(LEFT(Cockpit!$C$5,1)="B",AJ532,MAX(AJ532,H532))))</f>
        <v>22</v>
      </c>
      <c r="AG532" s="57" t="n">
        <f aca="false">IF(BT532=1,0,ROUNDUP(AF532/BS532,0))</f>
        <v>2</v>
      </c>
      <c r="AH532" s="59" t="n">
        <f aca="false">IF(CH532&gt;0,CH532*MAX(1,AF532/X532),IF(BT532=1,IF(AF532&lt;=0,0,BW532*MAX(1,IF(H532&gt;0,AF532/H532,1))),IF(R532&gt;0,AG532/R532,0))/MAX(0.1,N(Parameter!$M$21)))</f>
        <v>0.0151515151515152</v>
      </c>
      <c r="AI532" s="57" t="n">
        <f aca="false">AF532*G532</f>
        <v>72.38</v>
      </c>
      <c r="AJ532" s="57" t="n">
        <f aca="false">ROUNDUP(MAX(J532/IF(BZ532&gt;0,BZ532,MAX(0.1,N(Cockpit!$C$6))),CC532)/BS532,0)*BS532</f>
        <v>11</v>
      </c>
      <c r="AK532" s="58" t="n">
        <f aca="false">IF(AH532&gt;0,J532/AH532,-1)</f>
        <v>66</v>
      </c>
      <c r="AL532" s="58" t="n">
        <f aca="false">IF(AND(OR(BY532="L1",BY532="L23"),AH532&gt;0),SUMIFS($AH$7:$AH$1843,$BY$7:$BY$1843,BY532,$AK$7:$AK$1843,"&gt;"&amp;AK532)+SUMIFS($AH$7:$AH$1843,$BY$7:$BY$1843,BY532,$AK$7:$AK$1843,AK532,$BQ$7:$BQ$1843,"&lt;="&amp;BQ532),"")</f>
        <v>42.6569457112935</v>
      </c>
      <c r="AM532" s="65" t="n">
        <f aca="false">IF(AL532="",0,MAX(0,MIN(1,(IF(BY532="L1",Parameter!$E$5,Parameter!$E$6+Parameter!$E$7)-(AL532-AH532))/AH532)))</f>
        <v>1</v>
      </c>
      <c r="AN532" s="57" t="n">
        <f aca="false">IF(LEFT(Cockpit!$I$5,1)="A",H532,IF(CA532=1,CB532,IF(LEFT(Cockpit!$I$5,1)="B",AR532,MAX(AR532,H532))))</f>
        <v>22</v>
      </c>
      <c r="AO532" s="57" t="n">
        <f aca="false">IF(BT532=1,0,ROUNDUP(AN532/BS532,0))</f>
        <v>2</v>
      </c>
      <c r="AP532" s="59" t="n">
        <f aca="false">IF(CH532&gt;0,CH532*MAX(1,AN532/X532),IF(BT532=1,IF(AN532&lt;=0,0,BW532*MAX(1,IF(H532&gt;0,AN532/H532,1))),IF(R532&gt;0,AO532/R532,0))/MAX(0.1,N(Parameter!$M$21)))</f>
        <v>0.0151515151515152</v>
      </c>
      <c r="AQ532" s="57" t="n">
        <f aca="false">AN532*G532</f>
        <v>72.38</v>
      </c>
      <c r="AR532" s="57" t="n">
        <f aca="false">ROUNDUP(MAX(J532/IF(BZ532&gt;0,BZ532,MAX(0.1,N(Cockpit!$I$6))),CC532)/BS532,0)*BS532</f>
        <v>11</v>
      </c>
      <c r="AS532" s="58" t="n">
        <f aca="false">IF(AP532&gt;0,J532/AP532,-1)</f>
        <v>66</v>
      </c>
      <c r="AT532" s="58" t="n">
        <f aca="false">IF(AND(OR(BY532="L1",BY532="L23"),AP532&gt;0),SUMIFS($AP$7:$AP$1843,$BY$7:$BY$1843,BY532,$AS$7:$AS$1843,"&gt;"&amp;AS532)+SUMIFS($AP$7:$AP$1843,$BY$7:$BY$1843,BY532,$AS$7:$AS$1843,AS532,$BQ$7:$BQ$1843,"&lt;="&amp;BQ532),"")</f>
        <v>64.8631211783386</v>
      </c>
      <c r="AU532" s="65" t="n">
        <f aca="false">IF(AT532="",0,MAX(0,MIN(1,(IF(BY532="L1",Parameter!$E$5,Parameter!$E$6+Parameter!$E$7)-(AT532-AP532))/AP532)))</f>
        <v>1</v>
      </c>
      <c r="AV532" s="57" t="n">
        <f aca="false">IF(LEFT(Cockpit!$O$5,1)="A",H532,IF(CA532=1,CB532,IF(LEFT(Cockpit!$O$5,1)="B",AZ532,MAX(AZ532,H532))))</f>
        <v>22</v>
      </c>
      <c r="AW532" s="57" t="n">
        <f aca="false">IF(BT532=1,0,ROUNDUP(AV532/BS532,0))</f>
        <v>2</v>
      </c>
      <c r="AX532" s="59" t="n">
        <f aca="false">IF(CH532&gt;0,CH532*MAX(1,AV532/X532),IF(BT532=1,IF(AV532&lt;=0,0,BW532*MAX(1,IF(H532&gt;0,AV532/H532,1))),IF(R532&gt;0,AW532/R532,0))/MAX(0.1,N(Parameter!$M$21)))</f>
        <v>0.0151515151515152</v>
      </c>
      <c r="AY532" s="57" t="n">
        <f aca="false">AV532*G532</f>
        <v>72.38</v>
      </c>
      <c r="AZ532" s="57" t="n">
        <f aca="false">ROUNDUP(MAX(J532/IF(BZ532&gt;0,BZ532,MAX(0.1,N(Cockpit!$O$6))),CC532)/BS532,0)*BS532</f>
        <v>11</v>
      </c>
      <c r="BA532" s="58" t="n">
        <f aca="false">IF(AX532&gt;0,J532/AX532,-1)</f>
        <v>66</v>
      </c>
      <c r="BB532" s="58" t="n">
        <f aca="false">IF(AND(OR(BY532="L1",BY532="L23"),AX532&gt;0),SUMIFS($AX$7:$AX$1843,$BY$7:$BY$1843,BY532,$BA$7:$BA$1843,"&gt;"&amp;BA532)+SUMIFS($AX$7:$AX$1843,$BY$7:$BY$1843,BY532,$BA$7:$BA$1843,BA532,$BQ$7:$BQ$1843,"&lt;="&amp;BQ532),"")</f>
        <v>59.3596246748421</v>
      </c>
      <c r="BC532" s="65" t="n">
        <f aca="false">IF(BB532="",0,MAX(0,MIN(1,(IF(BY532="L1",Parameter!$E$5,Parameter!$E$6+Parameter!$E$7)-(BB532-AX532))/AX532)))</f>
        <v>1</v>
      </c>
      <c r="BD532" s="55" t="str">
        <f aca="false">IF(AH532&lt;=0,"",IF(BY532="Aussen","Aussenlager",IF(BY532="-","Nicht im Lift",IF(AM532&gt;=1,"Lift",IF(AM532&lt;=0,"Aussenlager","teilweise")))))</f>
        <v>Lift</v>
      </c>
      <c r="BE532" s="55" t="str">
        <f aca="false">IF(AP532&lt;=0,"",IF(BY532="Aussen","Aussenlager",IF(BY532="-","Nicht im Lift",IF(AU532&gt;=1,"Lift",IF(AU532&lt;=0,"Aussenlager","teilweise")))))</f>
        <v>Lift</v>
      </c>
      <c r="BF532" s="55" t="str">
        <f aca="false">IF(AX532&lt;=0,"",IF(BY532="Aussen","Aussenlager",IF(BY532="-","Nicht im Lift",IF(BC532&gt;=1,"Lift",IF(BC532&lt;=0,"Aussenlager","teilweise")))))</f>
        <v>Lift</v>
      </c>
      <c r="BG532" s="55" t="str">
        <f aca="false">IF(A532="","",IF(BP532=1,"Neu; ","")&amp;IF(AND(BP532=0,BK532&lt;0),"negativer Bestand (Export "&amp;BK532&amp;"); ","")&amp;IF(J532&lt;=0,"Kein Verbrauch; ","")&amp;IF(CH532&gt;0,"Lift "&amp;W532&amp;" lt. Liftbericht (Fach "&amp;X532&amp;" Stk); ",IF(BU532=1,"Gebinde geschätzt ("&amp;T532&amp;"); ",IF(BT532=1,"Lose – Tablare geschätzt; ","")))&amp;IF(H532&gt;AR532,"Überbestand "&amp;ROUND(H532-AR532,0)&amp;" Stk / CHF "&amp;ROUND((H532-AR532)*G532,0)&amp;"; ","")&amp;IF(AND(CA532=1,CB532&lt;CC532),"MAX &lt; MB+LG; ","")&amp;IF(AND(CG532&gt;0,CF532*10&gt;CG532),"zu hoch für Tablar; ","")&amp;IF(AND(BP532=0,OR(CA532=1,AA532&lt;&gt;"",U532&lt;&gt;"",V532&lt;&gt;"",AB532&lt;&gt;"")),"manuell übersteuert; ","")&amp;IF(AND(BT532=0,R532=0),"Gebinde unbekannt / Stellmass fehlt; ","")&amp;IF(AND(BT532=0,N(V532)&lt;=0,N(Q532)&lt;=0),"Menge pro Gebinde fehlt (Ist = 1 Gebinde); ","")&amp;BO532)</f>
        <v>Überbestand 11 Stk / CHF 36; </v>
      </c>
      <c r="BH532" s="55"/>
      <c r="BI532" s="55"/>
      <c r="BJ532" s="62"/>
      <c r="BK532" s="57" t="n">
        <v>14</v>
      </c>
      <c r="BL532" s="57" t="n">
        <v>8</v>
      </c>
      <c r="BM532" s="56" t="n">
        <v>25.34</v>
      </c>
      <c r="BN532" s="57" t="n">
        <v>1</v>
      </c>
      <c r="BO532" s="55"/>
      <c r="BP532" s="60" t="n">
        <v>0</v>
      </c>
      <c r="BQ532" s="60" t="n">
        <v>532</v>
      </c>
      <c r="BR532" s="55" t="str">
        <f aca="false">IF(U532&lt;&gt;"",UPPER(TRIM(U532)),IF(BU532=1,UPPER(VLOOKUP(T532,Parameter!$I$27:$K$29,2,0)),IF(P532="","LOSE",P532)))</f>
        <v>S32</v>
      </c>
      <c r="BS532" s="57" t="n">
        <f aca="false">IF(BR532="LOSE",1,IF(N(V532)&gt;0,V532,IF(BU532=1,MAX(1,N(VLOOKUP(T532,Parameter!$I$27:$K$29,3,0)),H532,N(N532)),IF(N(Q532)&gt;0,Q532,MAX(1,H532)))))</f>
        <v>11</v>
      </c>
      <c r="BT532" s="60" t="n">
        <f aca="false">IF(BR532="LOSE",1,0)</f>
        <v>0</v>
      </c>
      <c r="BU532" s="60" t="n">
        <f aca="false">IF(AND(U532="",OR(P532="",P532="LOSE"),T532&lt;&gt;"",N(S532)&lt;=0,ISNUMBER(MATCH(T532,Parameter!$I$27:$I$29,0))),1,0)</f>
        <v>0</v>
      </c>
      <c r="BV532" s="55" t="str">
        <f aca="false">IF(AND(Parameter!$B$19="Ja",E532&lt;&gt;"",ISNUMBER(MATCH(E532,Parameter!$I$35:$I$52,0))),VLOOKUP(E532,Parameter!$I$35:$J$52,2,0),IFERROR(VLOOKUP(D532,Parameter!$A$35:$C$64,2,0),"Nein"))</f>
        <v>2+3</v>
      </c>
      <c r="BW532" s="59" t="n">
        <f aca="false">IF(BT532=0,0,IF(N(S532)&gt;0,S532,IFERROR(VLOOKUP(D532,Parameter!$A$35:$C$64,3,0)+0,0)))</f>
        <v>0</v>
      </c>
      <c r="BX532" s="55" t="n">
        <f aca="false">IF(AA532&lt;&gt;"",AA532,Z532)</f>
        <v>3</v>
      </c>
      <c r="BY532" s="55" t="str">
        <f aca="false">IF(BX532=1,"L1",IF(OR(BX532=2,BX532=3),"L23",IF(BX532="Aussen","Aussen","-")))</f>
        <v>L23</v>
      </c>
      <c r="BZ532" s="66" t="n">
        <f aca="false">IF(N(AB532)&gt;0,AB532,0)</f>
        <v>0</v>
      </c>
      <c r="CA532" s="60" t="n">
        <f aca="false">IF(ISNUMBER(AE532),1,0)</f>
        <v>0</v>
      </c>
      <c r="CB532" s="57" t="n">
        <f aca="false">N(AE532)</f>
        <v>0</v>
      </c>
      <c r="CC532" s="57" t="n">
        <f aca="false">N(M532)+N(N532)</f>
        <v>1</v>
      </c>
      <c r="CD532" s="57" t="n">
        <f aca="false">ROUNDUP(H532/BS532,0)</f>
        <v>2</v>
      </c>
      <c r="CE532" s="57" t="n">
        <f aca="false">ROUNDUP(CB532/BS532,0)</f>
        <v>0</v>
      </c>
      <c r="CF532" s="60" t="n">
        <f aca="false">IF(BT532=1,0,IFERROR(VLOOKUP(BR532,'Gebinde-Kategorie'!$A$5:$M$45,5,0)+0,0))</f>
        <v>8</v>
      </c>
      <c r="CG532" s="60" t="n">
        <f aca="false">IFERROR(IF(OR(BX532=1,BX532=2,BX532=3),N(INDEX(Parameter!$I$5:$I$7,BX532)),0),0)</f>
        <v>0</v>
      </c>
      <c r="CH532" s="59" t="n">
        <f aca="false">IF(AND(Parameter!$B$21="Ja",ISNUMBER(W532),N(X532)&gt;0),IFERROR(N(INDEX(Parameter!$L$5:$L$7,W532))*INDEX(Parameter!$E$5:$E$7,W532)*X532/SUMIFS($X$7:$X$1843,$W$7:$W$1843,W532),0),0)</f>
        <v>0</v>
      </c>
    </row>
    <row r="533" customFormat="false" ht="15" hidden="false" customHeight="false" outlineLevel="0" collapsed="false">
      <c r="A533" s="55" t="s">
        <v>1149</v>
      </c>
      <c r="B533" s="55" t="s">
        <v>405</v>
      </c>
      <c r="C533" s="55" t="s">
        <v>164</v>
      </c>
      <c r="D533" s="55" t="s">
        <v>184</v>
      </c>
      <c r="E533" s="55" t="s">
        <v>185</v>
      </c>
      <c r="F533" s="55" t="s">
        <v>218</v>
      </c>
      <c r="G533" s="56" t="n">
        <v>0.06</v>
      </c>
      <c r="H533" s="57" t="n">
        <f aca="false">MAX(0,IF(AND(Parameter!$B$21="Ja",ISNUMBER(Y533)),Y533,IF(Parameter!$B$20="Jahresanfang 2025 + Export",BL533+BK533,BK533)))</f>
        <v>969</v>
      </c>
      <c r="I533" s="57" t="n">
        <f aca="false">H533*G533</f>
        <v>58.14</v>
      </c>
      <c r="J533" s="57" t="n">
        <f aca="false">BN533*Parameter!$B$18</f>
        <v>604</v>
      </c>
      <c r="K533" s="58" t="n">
        <v>493.5</v>
      </c>
      <c r="L533" s="59" t="n">
        <v>1.22391084093212</v>
      </c>
      <c r="M533" s="57" t="n">
        <v>35</v>
      </c>
      <c r="N533" s="57" t="n">
        <v>605</v>
      </c>
      <c r="O533" s="60" t="n">
        <v>21</v>
      </c>
      <c r="P533" s="55" t="s">
        <v>421</v>
      </c>
      <c r="Q533" s="57" t="n">
        <v>454</v>
      </c>
      <c r="R533" s="60" t="n">
        <f aca="false">IF(BT533=1,0,IFERROR(VLOOKUP(BR533,'Gebinde-Kategorie'!$A$5:$M$45,13,0)+0,0))</f>
        <v>132</v>
      </c>
      <c r="S533" s="61"/>
      <c r="T533" s="62"/>
      <c r="U533" s="62"/>
      <c r="V533" s="62"/>
      <c r="W533" s="55"/>
      <c r="X533" s="57"/>
      <c r="Y533" s="57"/>
      <c r="Z533" s="55" t="n">
        <f aca="false">IF(A533="","",IF(AND(Parameter!$B$21="Ja",ISNUMBER(W533)),W533,IF(BV533="2+3",IF(ISNUMBER(SEARCH("grosser Artikel",BO533)),2,IFERROR(VLOOKUP(BR533,Parameter!$F$35:$G$64,2,0),2)),IF(OR(BV533="Nein",BV533=""),"-",BV533))))</f>
        <v>3</v>
      </c>
      <c r="AA533" s="62"/>
      <c r="AB533" s="63"/>
      <c r="AC533" s="57" t="n">
        <f aca="false">AR533</f>
        <v>908</v>
      </c>
      <c r="AD533" s="57" t="n">
        <f aca="false">MAX(AR533,H533)</f>
        <v>969</v>
      </c>
      <c r="AE533" s="64"/>
      <c r="AF533" s="57" t="n">
        <f aca="false">IF(LEFT(Cockpit!$C$5,1)="A",H533,IF(CA533=1,CB533,IF(LEFT(Cockpit!$C$5,1)="B",AJ533,MAX(AJ533,H533))))</f>
        <v>969</v>
      </c>
      <c r="AG533" s="57" t="n">
        <f aca="false">IF(BT533=1,0,ROUNDUP(AF533/BS533,0))</f>
        <v>3</v>
      </c>
      <c r="AH533" s="59" t="n">
        <f aca="false">IF(CH533&gt;0,CH533*MAX(1,AF533/X533),IF(BT533=1,IF(AF533&lt;=0,0,BW533*MAX(1,IF(H533&gt;0,AF533/H533,1))),IF(R533&gt;0,AG533/R533,0))/MAX(0.1,N(Parameter!$M$21)))</f>
        <v>0.0227272727272727</v>
      </c>
      <c r="AI533" s="57" t="n">
        <f aca="false">AF533*G533</f>
        <v>58.14</v>
      </c>
      <c r="AJ533" s="57" t="n">
        <f aca="false">ROUNDUP(MAX(J533/IF(BZ533&gt;0,BZ533,MAX(0.1,N(Cockpit!$C$6))),CC533)/BS533,0)*BS533</f>
        <v>908</v>
      </c>
      <c r="AK533" s="58" t="n">
        <f aca="false">IF(AH533&gt;0,J533/AH533,-1)</f>
        <v>26576</v>
      </c>
      <c r="AL533" s="58" t="n">
        <f aca="false">IF(AND(OR(BY533="L1",BY533="L23"),AH533&gt;0),SUMIFS($AH$7:$AH$1843,$BY$7:$BY$1843,BY533,$AK$7:$AK$1843,"&gt;"&amp;AK533)+SUMIFS($AH$7:$AH$1843,$BY$7:$BY$1843,BY533,$AK$7:$AK$1843,AK533,$BQ$7:$BQ$1843,"&lt;="&amp;BQ533),"")</f>
        <v>2.7654048849701</v>
      </c>
      <c r="AM533" s="65" t="n">
        <f aca="false">IF(AL533="",0,MAX(0,MIN(1,(IF(BY533="L1",Parameter!$E$5,Parameter!$E$6+Parameter!$E$7)-(AL533-AH533))/AH533)))</f>
        <v>1</v>
      </c>
      <c r="AN533" s="57" t="n">
        <f aca="false">IF(LEFT(Cockpit!$I$5,1)="A",H533,IF(CA533=1,CB533,IF(LEFT(Cockpit!$I$5,1)="B",AR533,MAX(AR533,H533))))</f>
        <v>969</v>
      </c>
      <c r="AO533" s="57" t="n">
        <f aca="false">IF(BT533=1,0,ROUNDUP(AN533/BS533,0))</f>
        <v>3</v>
      </c>
      <c r="AP533" s="59" t="n">
        <f aca="false">IF(CH533&gt;0,CH533*MAX(1,AN533/X533),IF(BT533=1,IF(AN533&lt;=0,0,BW533*MAX(1,IF(H533&gt;0,AN533/H533,1))),IF(R533&gt;0,AO533/R533,0))/MAX(0.1,N(Parameter!$M$21)))</f>
        <v>0.0227272727272727</v>
      </c>
      <c r="AQ533" s="57" t="n">
        <f aca="false">AN533*G533</f>
        <v>58.14</v>
      </c>
      <c r="AR533" s="57" t="n">
        <f aca="false">ROUNDUP(MAX(J533/IF(BZ533&gt;0,BZ533,MAX(0.1,N(Cockpit!$I$6))),CC533)/BS533,0)*BS533</f>
        <v>908</v>
      </c>
      <c r="AS533" s="58" t="n">
        <f aca="false">IF(AP533&gt;0,J533/AP533,-1)</f>
        <v>26576</v>
      </c>
      <c r="AT533" s="58" t="n">
        <f aca="false">IF(AND(OR(BY533="L1",BY533="L23"),AP533&gt;0),SUMIFS($AP$7:$AP$1843,$BY$7:$BY$1843,BY533,$AS$7:$AS$1843,"&gt;"&amp;AS533)+SUMIFS($AP$7:$AP$1843,$BY$7:$BY$1843,BY533,$AS$7:$AS$1843,AS533,$BQ$7:$BQ$1843,"&lt;="&amp;BQ533),"")</f>
        <v>3.60753859666903</v>
      </c>
      <c r="AU533" s="65" t="n">
        <f aca="false">IF(AT533="",0,MAX(0,MIN(1,(IF(BY533="L1",Parameter!$E$5,Parameter!$E$6+Parameter!$E$7)-(AT533-AP533))/AP533)))</f>
        <v>1</v>
      </c>
      <c r="AV533" s="57" t="n">
        <f aca="false">IF(LEFT(Cockpit!$O$5,1)="A",H533,IF(CA533=1,CB533,IF(LEFT(Cockpit!$O$5,1)="B",AZ533,MAX(AZ533,H533))))</f>
        <v>969</v>
      </c>
      <c r="AW533" s="57" t="n">
        <f aca="false">IF(BT533=1,0,ROUNDUP(AV533/BS533,0))</f>
        <v>3</v>
      </c>
      <c r="AX533" s="59" t="n">
        <f aca="false">IF(CH533&gt;0,CH533*MAX(1,AV533/X533),IF(BT533=1,IF(AV533&lt;=0,0,BW533*MAX(1,IF(H533&gt;0,AV533/H533,1))),IF(R533&gt;0,AW533/R533,0))/MAX(0.1,N(Parameter!$M$21)))</f>
        <v>0.0227272727272727</v>
      </c>
      <c r="AY533" s="57" t="n">
        <f aca="false">AV533*G533</f>
        <v>58.14</v>
      </c>
      <c r="AZ533" s="57" t="n">
        <f aca="false">ROUNDUP(MAX(J533/IF(BZ533&gt;0,BZ533,MAX(0.1,N(Cockpit!$O$6))),CC533)/BS533,0)*BS533</f>
        <v>908</v>
      </c>
      <c r="BA533" s="58" t="n">
        <f aca="false">IF(AX533&gt;0,J533/AX533,-1)</f>
        <v>26576</v>
      </c>
      <c r="BB533" s="58" t="n">
        <f aca="false">IF(AND(OR(BY533="L1",BY533="L23"),AX533&gt;0),SUMIFS($AX$7:$AX$1843,$BY$7:$BY$1843,BY533,$BA$7:$BA$1843,"&gt;"&amp;BA533)+SUMIFS($AX$7:$AX$1843,$BY$7:$BY$1843,BY533,$BA$7:$BA$1843,BA533,$BQ$7:$BQ$1843,"&lt;="&amp;BQ533),"")</f>
        <v>3.33714232627276</v>
      </c>
      <c r="BC533" s="65" t="n">
        <f aca="false">IF(BB533="",0,MAX(0,MIN(1,(IF(BY533="L1",Parameter!$E$5,Parameter!$E$6+Parameter!$E$7)-(BB533-AX533))/AX533)))</f>
        <v>1</v>
      </c>
      <c r="BD533" s="55" t="str">
        <f aca="false">IF(AH533&lt;=0,"",IF(BY533="Aussen","Aussenlager",IF(BY533="-","Nicht im Lift",IF(AM533&gt;=1,"Lift",IF(AM533&lt;=0,"Aussenlager","teilweise")))))</f>
        <v>Lift</v>
      </c>
      <c r="BE533" s="55" t="str">
        <f aca="false">IF(AP533&lt;=0,"",IF(BY533="Aussen","Aussenlager",IF(BY533="-","Nicht im Lift",IF(AU533&gt;=1,"Lift",IF(AU533&lt;=0,"Aussenlager","teilweise")))))</f>
        <v>Lift</v>
      </c>
      <c r="BF533" s="55" t="str">
        <f aca="false">IF(AX533&lt;=0,"",IF(BY533="Aussen","Aussenlager",IF(BY533="-","Nicht im Lift",IF(BC533&gt;=1,"Lift",IF(BC533&lt;=0,"Aussenlager","teilweise")))))</f>
        <v>Lift</v>
      </c>
      <c r="BG533" s="55" t="str">
        <f aca="false">IF(A533="","",IF(BP533=1,"Neu; ","")&amp;IF(AND(BP533=0,BK533&lt;0),"negativer Bestand (Export "&amp;BK533&amp;"); ","")&amp;IF(J533&lt;=0,"Kein Verbrauch; ","")&amp;IF(CH533&gt;0,"Lift "&amp;W533&amp;" lt. Liftbericht (Fach "&amp;X533&amp;" Stk); ",IF(BU533=1,"Gebinde geschätzt ("&amp;T533&amp;"); ",IF(BT533=1,"Lose – Tablare geschätzt; ","")))&amp;IF(H533&gt;AR533,"Überbestand "&amp;ROUND(H533-AR533,0)&amp;" Stk / CHF "&amp;ROUND((H533-AR533)*G533,0)&amp;"; ","")&amp;IF(AND(CA533=1,CB533&lt;CC533),"MAX &lt; MB+LG; ","")&amp;IF(AND(CG533&gt;0,CF533*10&gt;CG533),"zu hoch für Tablar; ","")&amp;IF(AND(BP533=0,OR(CA533=1,AA533&lt;&gt;"",U533&lt;&gt;"",V533&lt;&gt;"",AB533&lt;&gt;"")),"manuell übersteuert; ","")&amp;IF(AND(BT533=0,R533=0),"Gebinde unbekannt / Stellmass fehlt; ","")&amp;IF(AND(BT533=0,N(V533)&lt;=0,N(Q533)&lt;=0),"Menge pro Gebinde fehlt (Ist = 1 Gebinde); ","")&amp;BO533)</f>
        <v>Überbestand 61 Stk / CHF 4; </v>
      </c>
      <c r="BH533" s="55"/>
      <c r="BI533" s="55"/>
      <c r="BJ533" s="62"/>
      <c r="BK533" s="57" t="n">
        <v>421</v>
      </c>
      <c r="BL533" s="57" t="n">
        <v>548</v>
      </c>
      <c r="BM533" s="56" t="n">
        <v>25.26</v>
      </c>
      <c r="BN533" s="57" t="n">
        <v>604</v>
      </c>
      <c r="BO533" s="55"/>
      <c r="BP533" s="60" t="n">
        <v>0</v>
      </c>
      <c r="BQ533" s="60" t="n">
        <v>533</v>
      </c>
      <c r="BR533" s="55" t="str">
        <f aca="false">IF(U533&lt;&gt;"",UPPER(TRIM(U533)),IF(BU533=1,UPPER(VLOOKUP(T533,Parameter!$I$27:$K$29,2,0)),IF(P533="","LOSE",P533)))</f>
        <v>S32</v>
      </c>
      <c r="BS533" s="57" t="n">
        <f aca="false">IF(BR533="LOSE",1,IF(N(V533)&gt;0,V533,IF(BU533=1,MAX(1,N(VLOOKUP(T533,Parameter!$I$27:$K$29,3,0)),H533,N(N533)),IF(N(Q533)&gt;0,Q533,MAX(1,H533)))))</f>
        <v>454</v>
      </c>
      <c r="BT533" s="60" t="n">
        <f aca="false">IF(BR533="LOSE",1,0)</f>
        <v>0</v>
      </c>
      <c r="BU533" s="60" t="n">
        <f aca="false">IF(AND(U533="",OR(P533="",P533="LOSE"),T533&lt;&gt;"",N(S533)&lt;=0,ISNUMBER(MATCH(T533,Parameter!$I$27:$I$29,0))),1,0)</f>
        <v>0</v>
      </c>
      <c r="BV533" s="55" t="str">
        <f aca="false">IF(AND(Parameter!$B$19="Ja",E533&lt;&gt;"",ISNUMBER(MATCH(E533,Parameter!$I$35:$I$52,0))),VLOOKUP(E533,Parameter!$I$35:$J$52,2,0),IFERROR(VLOOKUP(D533,Parameter!$A$35:$C$64,2,0),"Nein"))</f>
        <v>2+3</v>
      </c>
      <c r="BW533" s="59" t="n">
        <f aca="false">IF(BT533=0,0,IF(N(S533)&gt;0,S533,IFERROR(VLOOKUP(D533,Parameter!$A$35:$C$64,3,0)+0,0)))</f>
        <v>0</v>
      </c>
      <c r="BX533" s="55" t="n">
        <f aca="false">IF(AA533&lt;&gt;"",AA533,Z533)</f>
        <v>3</v>
      </c>
      <c r="BY533" s="55" t="str">
        <f aca="false">IF(BX533=1,"L1",IF(OR(BX533=2,BX533=3),"L23",IF(BX533="Aussen","Aussen","-")))</f>
        <v>L23</v>
      </c>
      <c r="BZ533" s="66" t="n">
        <f aca="false">IF(N(AB533)&gt;0,AB533,0)</f>
        <v>0</v>
      </c>
      <c r="CA533" s="60" t="n">
        <f aca="false">IF(ISNUMBER(AE533),1,0)</f>
        <v>0</v>
      </c>
      <c r="CB533" s="57" t="n">
        <f aca="false">N(AE533)</f>
        <v>0</v>
      </c>
      <c r="CC533" s="57" t="n">
        <f aca="false">N(M533)+N(N533)</f>
        <v>640</v>
      </c>
      <c r="CD533" s="57" t="n">
        <f aca="false">ROUNDUP(H533/BS533,0)</f>
        <v>3</v>
      </c>
      <c r="CE533" s="57" t="n">
        <f aca="false">ROUNDUP(CB533/BS533,0)</f>
        <v>0</v>
      </c>
      <c r="CF533" s="60" t="n">
        <f aca="false">IF(BT533=1,0,IFERROR(VLOOKUP(BR533,'Gebinde-Kategorie'!$A$5:$M$45,5,0)+0,0))</f>
        <v>8</v>
      </c>
      <c r="CG533" s="60" t="n">
        <f aca="false">IFERROR(IF(OR(BX533=1,BX533=2,BX533=3),N(INDEX(Parameter!$I$5:$I$7,BX533)),0),0)</f>
        <v>0</v>
      </c>
      <c r="CH533" s="59" t="n">
        <f aca="false">IF(AND(Parameter!$B$21="Ja",ISNUMBER(W533),N(X533)&gt;0),IFERROR(N(INDEX(Parameter!$L$5:$L$7,W533))*INDEX(Parameter!$E$5:$E$7,W533)*X533/SUMIFS($X$7:$X$1843,$W$7:$W$1843,W533),0),0)</f>
        <v>0</v>
      </c>
    </row>
    <row r="534" customFormat="false" ht="15" hidden="false" customHeight="false" outlineLevel="0" collapsed="false">
      <c r="A534" s="55" t="s">
        <v>1150</v>
      </c>
      <c r="B534" s="55" t="s">
        <v>1151</v>
      </c>
      <c r="C534" s="55" t="s">
        <v>164</v>
      </c>
      <c r="D534" s="55" t="s">
        <v>184</v>
      </c>
      <c r="E534" s="55" t="s">
        <v>185</v>
      </c>
      <c r="F534" s="55" t="s">
        <v>218</v>
      </c>
      <c r="G534" s="56" t="n">
        <v>24.7</v>
      </c>
      <c r="H534" s="57" t="n">
        <f aca="false">MAX(0,IF(AND(Parameter!$B$21="Ja",ISNUMBER(Y534)),Y534,IF(Parameter!$B$20="Jahresanfang 2025 + Export",BL534+BK534,BK534)))</f>
        <v>51</v>
      </c>
      <c r="I534" s="57" t="n">
        <f aca="false">H534*G534</f>
        <v>1259.7</v>
      </c>
      <c r="J534" s="57" t="n">
        <f aca="false">BN534*Parameter!$B$18</f>
        <v>0</v>
      </c>
      <c r="K534" s="58" t="n">
        <v>50.5</v>
      </c>
      <c r="L534" s="59" t="n">
        <v>0</v>
      </c>
      <c r="M534" s="57" t="n">
        <v>0</v>
      </c>
      <c r="N534" s="57" t="n">
        <v>1</v>
      </c>
      <c r="O534" s="60" t="n">
        <v>14</v>
      </c>
      <c r="P534" s="55" t="s">
        <v>421</v>
      </c>
      <c r="Q534" s="57" t="n">
        <v>47</v>
      </c>
      <c r="R534" s="60" t="n">
        <f aca="false">IF(BT534=1,0,IFERROR(VLOOKUP(BR534,'Gebinde-Kategorie'!$A$5:$M$45,13,0)+0,0))</f>
        <v>132</v>
      </c>
      <c r="S534" s="61"/>
      <c r="T534" s="62"/>
      <c r="U534" s="62"/>
      <c r="V534" s="62"/>
      <c r="W534" s="55"/>
      <c r="X534" s="57"/>
      <c r="Y534" s="57"/>
      <c r="Z534" s="55" t="n">
        <f aca="false">IF(A534="","",IF(AND(Parameter!$B$21="Ja",ISNUMBER(W534)),W534,IF(BV534="2+3",IF(ISNUMBER(SEARCH("grosser Artikel",BO534)),2,IFERROR(VLOOKUP(BR534,Parameter!$F$35:$G$64,2,0),2)),IF(OR(BV534="Nein",BV534=""),"-",BV534))))</f>
        <v>3</v>
      </c>
      <c r="AA534" s="62"/>
      <c r="AB534" s="63"/>
      <c r="AC534" s="57" t="n">
        <f aca="false">AR534</f>
        <v>47</v>
      </c>
      <c r="AD534" s="57" t="n">
        <f aca="false">MAX(AR534,H534)</f>
        <v>51</v>
      </c>
      <c r="AE534" s="64"/>
      <c r="AF534" s="57" t="n">
        <f aca="false">IF(LEFT(Cockpit!$C$5,1)="A",H534,IF(CA534=1,CB534,IF(LEFT(Cockpit!$C$5,1)="B",AJ534,MAX(AJ534,H534))))</f>
        <v>51</v>
      </c>
      <c r="AG534" s="57" t="n">
        <f aca="false">IF(BT534=1,0,ROUNDUP(AF534/BS534,0))</f>
        <v>2</v>
      </c>
      <c r="AH534" s="59" t="n">
        <f aca="false">IF(CH534&gt;0,CH534*MAX(1,AF534/X534),IF(BT534=1,IF(AF534&lt;=0,0,BW534*MAX(1,IF(H534&gt;0,AF534/H534,1))),IF(R534&gt;0,AG534/R534,0))/MAX(0.1,N(Parameter!$M$21)))</f>
        <v>0.0151515151515152</v>
      </c>
      <c r="AI534" s="57" t="n">
        <f aca="false">AF534*G534</f>
        <v>1259.7</v>
      </c>
      <c r="AJ534" s="57" t="n">
        <f aca="false">ROUNDUP(MAX(J534/IF(BZ534&gt;0,BZ534,MAX(0.1,N(Cockpit!$C$6))),CC534)/BS534,0)*BS534</f>
        <v>47</v>
      </c>
      <c r="AK534" s="58" t="n">
        <f aca="false">IF(AH534&gt;0,J534/AH534,-1)</f>
        <v>0</v>
      </c>
      <c r="AL534" s="58" t="n">
        <f aca="false">IF(AND(OR(BY534="L1",BY534="L23"),AH534&gt;0),SUMIFS($AH$7:$AH$1843,$BY$7:$BY$1843,BY534,$AK$7:$AK$1843,"&gt;"&amp;AK534)+SUMIFS($AH$7:$AH$1843,$BY$7:$BY$1843,BY534,$AK$7:$AK$1843,AK534,$BQ$7:$BQ$1843,"&lt;="&amp;BQ534),"")</f>
        <v>75.211614472484</v>
      </c>
      <c r="AM534" s="65" t="n">
        <f aca="false">IF(AL534="",0,MAX(0,MIN(1,(IF(BY534="L1",Parameter!$E$5,Parameter!$E$6+Parameter!$E$7)-(AL534-AH534))/AH534)))</f>
        <v>1</v>
      </c>
      <c r="AN534" s="57" t="n">
        <f aca="false">IF(LEFT(Cockpit!$I$5,1)="A",H534,IF(CA534=1,CB534,IF(LEFT(Cockpit!$I$5,1)="B",AR534,MAX(AR534,H534))))</f>
        <v>51</v>
      </c>
      <c r="AO534" s="57" t="n">
        <f aca="false">IF(BT534=1,0,ROUNDUP(AN534/BS534,0))</f>
        <v>2</v>
      </c>
      <c r="AP534" s="59" t="n">
        <f aca="false">IF(CH534&gt;0,CH534*MAX(1,AN534/X534),IF(BT534=1,IF(AN534&lt;=0,0,BW534*MAX(1,IF(H534&gt;0,AN534/H534,1))),IF(R534&gt;0,AO534/R534,0))/MAX(0.1,N(Parameter!$M$21)))</f>
        <v>0.0151515151515152</v>
      </c>
      <c r="AQ534" s="57" t="n">
        <f aca="false">AN534*G534</f>
        <v>1259.7</v>
      </c>
      <c r="AR534" s="57" t="n">
        <f aca="false">ROUNDUP(MAX(J534/IF(BZ534&gt;0,BZ534,MAX(0.1,N(Cockpit!$I$6))),CC534)/BS534,0)*BS534</f>
        <v>47</v>
      </c>
      <c r="AS534" s="58" t="n">
        <f aca="false">IF(AP534&gt;0,J534/AP534,-1)</f>
        <v>0</v>
      </c>
      <c r="AT534" s="58" t="n">
        <f aca="false">IF(AND(OR(BY534="L1",BY534="L23"),AP534&gt;0),SUMIFS($AP$7:$AP$1843,$BY$7:$BY$1843,BY534,$AS$7:$AS$1843,"&gt;"&amp;AS534)+SUMIFS($AP$7:$AP$1843,$BY$7:$BY$1843,BY534,$AS$7:$AS$1843,AS534,$BQ$7:$BQ$1843,"&lt;="&amp;BQ534),"")</f>
        <v>114.635738657478</v>
      </c>
      <c r="AU534" s="65" t="n">
        <f aca="false">IF(AT534="",0,MAX(0,MIN(1,(IF(BY534="L1",Parameter!$E$5,Parameter!$E$6+Parameter!$E$7)-(AT534-AP534))/AP534)))</f>
        <v>0</v>
      </c>
      <c r="AV534" s="57" t="n">
        <f aca="false">IF(LEFT(Cockpit!$O$5,1)="A",H534,IF(CA534=1,CB534,IF(LEFT(Cockpit!$O$5,1)="B",AZ534,MAX(AZ534,H534))))</f>
        <v>51</v>
      </c>
      <c r="AW534" s="57" t="n">
        <f aca="false">IF(BT534=1,0,ROUNDUP(AV534/BS534,0))</f>
        <v>2</v>
      </c>
      <c r="AX534" s="59" t="n">
        <f aca="false">IF(CH534&gt;0,CH534*MAX(1,AV534/X534),IF(BT534=1,IF(AV534&lt;=0,0,BW534*MAX(1,IF(H534&gt;0,AV534/H534,1))),IF(R534&gt;0,AW534/R534,0))/MAX(0.1,N(Parameter!$M$21)))</f>
        <v>0.0151515151515152</v>
      </c>
      <c r="AY534" s="57" t="n">
        <f aca="false">AV534*G534</f>
        <v>1259.7</v>
      </c>
      <c r="AZ534" s="57" t="n">
        <f aca="false">ROUNDUP(MAX(J534/IF(BZ534&gt;0,BZ534,MAX(0.1,N(Cockpit!$O$6))),CC534)/BS534,0)*BS534</f>
        <v>47</v>
      </c>
      <c r="BA534" s="58" t="n">
        <f aca="false">IF(AX534&gt;0,J534/AX534,-1)</f>
        <v>0</v>
      </c>
      <c r="BB534" s="58" t="n">
        <f aca="false">IF(AND(OR(BY534="L1",BY534="L23"),AX534&gt;0),SUMIFS($AX$7:$AX$1843,$BY$7:$BY$1843,BY534,$BA$7:$BA$1843,"&gt;"&amp;BA534)+SUMIFS($AX$7:$AX$1843,$BY$7:$BY$1843,BY534,$BA$7:$BA$1843,BA534,$BQ$7:$BQ$1843,"&lt;="&amp;BQ534),"")</f>
        <v>105.465575487315</v>
      </c>
      <c r="BC534" s="65" t="n">
        <f aca="false">IF(BB534="",0,MAX(0,MIN(1,(IF(BY534="L1",Parameter!$E$5,Parameter!$E$6+Parameter!$E$7)-(BB534-AX534))/AX534)))</f>
        <v>0</v>
      </c>
      <c r="BD534" s="55" t="str">
        <f aca="false">IF(AH534&lt;=0,"",IF(BY534="Aussen","Aussenlager",IF(BY534="-","Nicht im Lift",IF(AM534&gt;=1,"Lift",IF(AM534&lt;=0,"Aussenlager","teilweise")))))</f>
        <v>Lift</v>
      </c>
      <c r="BE534" s="55" t="str">
        <f aca="false">IF(AP534&lt;=0,"",IF(BY534="Aussen","Aussenlager",IF(BY534="-","Nicht im Lift",IF(AU534&gt;=1,"Lift",IF(AU534&lt;=0,"Aussenlager","teilweise")))))</f>
        <v>Aussenlager</v>
      </c>
      <c r="BF534" s="55" t="str">
        <f aca="false">IF(AX534&lt;=0,"",IF(BY534="Aussen","Aussenlager",IF(BY534="-","Nicht im Lift",IF(BC534&gt;=1,"Lift",IF(BC534&lt;=0,"Aussenlager","teilweise")))))</f>
        <v>Aussenlager</v>
      </c>
      <c r="BG534" s="55" t="str">
        <f aca="false">IF(A534="","",IF(BP534=1,"Neu; ","")&amp;IF(AND(BP534=0,BK534&lt;0),"negativer Bestand (Export "&amp;BK534&amp;"); ","")&amp;IF(J534&lt;=0,"Kein Verbrauch; ","")&amp;IF(CH534&gt;0,"Lift "&amp;W534&amp;" lt. Liftbericht (Fach "&amp;X534&amp;" Stk); ",IF(BU534=1,"Gebinde geschätzt ("&amp;T534&amp;"); ",IF(BT534=1,"Lose – Tablare geschätzt; ","")))&amp;IF(H534&gt;AR534,"Überbestand "&amp;ROUND(H534-AR534,0)&amp;" Stk / CHF "&amp;ROUND((H534-AR534)*G534,0)&amp;"; ","")&amp;IF(AND(CA534=1,CB534&lt;CC534),"MAX &lt; MB+LG; ","")&amp;IF(AND(CG534&gt;0,CF534*10&gt;CG534),"zu hoch für Tablar; ","")&amp;IF(AND(BP534=0,OR(CA534=1,AA534&lt;&gt;"",U534&lt;&gt;"",V534&lt;&gt;"",AB534&lt;&gt;"")),"manuell übersteuert; ","")&amp;IF(AND(BT534=0,R534=0),"Gebinde unbekannt / Stellmass fehlt; ","")&amp;IF(AND(BT534=0,N(V534)&lt;=0,N(Q534)&lt;=0),"Menge pro Gebinde fehlt (Ist = 1 Gebinde); ","")&amp;BO534)</f>
        <v>Kein Verbrauch; Überbestand 4 Stk / CHF 99; Twin</v>
      </c>
      <c r="BH534" s="55"/>
      <c r="BI534" s="55"/>
      <c r="BJ534" s="62"/>
      <c r="BK534" s="57" t="n">
        <v>1</v>
      </c>
      <c r="BL534" s="57" t="n">
        <v>50</v>
      </c>
      <c r="BM534" s="56" t="n">
        <v>24.7</v>
      </c>
      <c r="BN534" s="57" t="n">
        <v>0</v>
      </c>
      <c r="BO534" s="55" t="s">
        <v>214</v>
      </c>
      <c r="BP534" s="60" t="n">
        <v>0</v>
      </c>
      <c r="BQ534" s="60" t="n">
        <v>534</v>
      </c>
      <c r="BR534" s="55" t="str">
        <f aca="false">IF(U534&lt;&gt;"",UPPER(TRIM(U534)),IF(BU534=1,UPPER(VLOOKUP(T534,Parameter!$I$27:$K$29,2,0)),IF(P534="","LOSE",P534)))</f>
        <v>S32</v>
      </c>
      <c r="BS534" s="57" t="n">
        <f aca="false">IF(BR534="LOSE",1,IF(N(V534)&gt;0,V534,IF(BU534=1,MAX(1,N(VLOOKUP(T534,Parameter!$I$27:$K$29,3,0)),H534,N(N534)),IF(N(Q534)&gt;0,Q534,MAX(1,H534)))))</f>
        <v>47</v>
      </c>
      <c r="BT534" s="60" t="n">
        <f aca="false">IF(BR534="LOSE",1,0)</f>
        <v>0</v>
      </c>
      <c r="BU534" s="60" t="n">
        <f aca="false">IF(AND(U534="",OR(P534="",P534="LOSE"),T534&lt;&gt;"",N(S534)&lt;=0,ISNUMBER(MATCH(T534,Parameter!$I$27:$I$29,0))),1,0)</f>
        <v>0</v>
      </c>
      <c r="BV534" s="55" t="str">
        <f aca="false">IF(AND(Parameter!$B$19="Ja",E534&lt;&gt;"",ISNUMBER(MATCH(E534,Parameter!$I$35:$I$52,0))),VLOOKUP(E534,Parameter!$I$35:$J$52,2,0),IFERROR(VLOOKUP(D534,Parameter!$A$35:$C$64,2,0),"Nein"))</f>
        <v>2+3</v>
      </c>
      <c r="BW534" s="59" t="n">
        <f aca="false">IF(BT534=0,0,IF(N(S534)&gt;0,S534,IFERROR(VLOOKUP(D534,Parameter!$A$35:$C$64,3,0)+0,0)))</f>
        <v>0</v>
      </c>
      <c r="BX534" s="55" t="n">
        <f aca="false">IF(AA534&lt;&gt;"",AA534,Z534)</f>
        <v>3</v>
      </c>
      <c r="BY534" s="55" t="str">
        <f aca="false">IF(BX534=1,"L1",IF(OR(BX534=2,BX534=3),"L23",IF(BX534="Aussen","Aussen","-")))</f>
        <v>L23</v>
      </c>
      <c r="BZ534" s="66" t="n">
        <f aca="false">IF(N(AB534)&gt;0,AB534,0)</f>
        <v>0</v>
      </c>
      <c r="CA534" s="60" t="n">
        <f aca="false">IF(ISNUMBER(AE534),1,0)</f>
        <v>0</v>
      </c>
      <c r="CB534" s="57" t="n">
        <f aca="false">N(AE534)</f>
        <v>0</v>
      </c>
      <c r="CC534" s="57" t="n">
        <f aca="false">N(M534)+N(N534)</f>
        <v>1</v>
      </c>
      <c r="CD534" s="57" t="n">
        <f aca="false">ROUNDUP(H534/BS534,0)</f>
        <v>2</v>
      </c>
      <c r="CE534" s="57" t="n">
        <f aca="false">ROUNDUP(CB534/BS534,0)</f>
        <v>0</v>
      </c>
      <c r="CF534" s="60" t="n">
        <f aca="false">IF(BT534=1,0,IFERROR(VLOOKUP(BR534,'Gebinde-Kategorie'!$A$5:$M$45,5,0)+0,0))</f>
        <v>8</v>
      </c>
      <c r="CG534" s="60" t="n">
        <f aca="false">IFERROR(IF(OR(BX534=1,BX534=2,BX534=3),N(INDEX(Parameter!$I$5:$I$7,BX534)),0),0)</f>
        <v>0</v>
      </c>
      <c r="CH534" s="59" t="n">
        <f aca="false">IF(AND(Parameter!$B$21="Ja",ISNUMBER(W534),N(X534)&gt;0),IFERROR(N(INDEX(Parameter!$L$5:$L$7,W534))*INDEX(Parameter!$E$5:$E$7,W534)*X534/SUMIFS($X$7:$X$1843,$W$7:$W$1843,W534),0),0)</f>
        <v>0</v>
      </c>
    </row>
    <row r="535" customFormat="false" ht="15" hidden="false" customHeight="false" outlineLevel="0" collapsed="false">
      <c r="A535" s="55" t="s">
        <v>1152</v>
      </c>
      <c r="B535" s="55" t="s">
        <v>403</v>
      </c>
      <c r="C535" s="55" t="s">
        <v>164</v>
      </c>
      <c r="D535" s="55" t="s">
        <v>995</v>
      </c>
      <c r="E535" s="55"/>
      <c r="F535" s="55" t="s">
        <v>218</v>
      </c>
      <c r="G535" s="56" t="n">
        <v>2.02</v>
      </c>
      <c r="H535" s="57" t="n">
        <f aca="false">MAX(0,IF(AND(Parameter!$B$21="Ja",ISNUMBER(Y535)),Y535,IF(Parameter!$B$20="Jahresanfang 2025 + Export",BL535+BK535,BK535)))</f>
        <v>12</v>
      </c>
      <c r="I535" s="57" t="n">
        <f aca="false">H535*G535</f>
        <v>24.24</v>
      </c>
      <c r="J535" s="57" t="n">
        <f aca="false">BN535*Parameter!$B$18</f>
        <v>48</v>
      </c>
      <c r="K535" s="58" t="n">
        <v>6</v>
      </c>
      <c r="L535" s="59" t="n">
        <v>8</v>
      </c>
      <c r="M535" s="57" t="n">
        <v>0</v>
      </c>
      <c r="N535" s="57" t="n">
        <v>1</v>
      </c>
      <c r="O535" s="60" t="n">
        <v>28</v>
      </c>
      <c r="P535" s="55" t="s">
        <v>168</v>
      </c>
      <c r="Q535" s="57"/>
      <c r="R535" s="60" t="n">
        <f aca="false">IF(BT535=1,0,IFERROR(VLOOKUP(BR535,'Gebinde-Kategorie'!$A$5:$M$45,13,0)+0,0))</f>
        <v>0</v>
      </c>
      <c r="S535" s="61"/>
      <c r="T535" s="62"/>
      <c r="U535" s="62"/>
      <c r="V535" s="62"/>
      <c r="W535" s="55"/>
      <c r="X535" s="57"/>
      <c r="Y535" s="57"/>
      <c r="Z535" s="55" t="str">
        <f aca="false">IF(A535="","",IF(AND(Parameter!$B$21="Ja",ISNUMBER(W535)),W535,IF(BV535="2+3",IF(ISNUMBER(SEARCH("grosser Artikel",BO535)),2,IFERROR(VLOOKUP(BR535,Parameter!$F$35:$G$64,2,0),2)),IF(OR(BV535="Nein",BV535=""),"-",BV535))))</f>
        <v>-</v>
      </c>
      <c r="AA535" s="62"/>
      <c r="AB535" s="63"/>
      <c r="AC535" s="57" t="n">
        <f aca="false">AR535</f>
        <v>24</v>
      </c>
      <c r="AD535" s="57" t="n">
        <f aca="false">MAX(AR535,H535)</f>
        <v>24</v>
      </c>
      <c r="AE535" s="64"/>
      <c r="AF535" s="57" t="n">
        <f aca="false">IF(LEFT(Cockpit!$C$5,1)="A",H535,IF(CA535=1,CB535,IF(LEFT(Cockpit!$C$5,1)="B",AJ535,MAX(AJ535,H535))))</f>
        <v>12</v>
      </c>
      <c r="AG535" s="57" t="n">
        <f aca="false">IF(BT535=1,0,ROUNDUP(AF535/BS535,0))</f>
        <v>0</v>
      </c>
      <c r="AH535" s="59" t="n">
        <f aca="false">IF(CH535&gt;0,CH535*MAX(1,AF535/X535),IF(BT535=1,IF(AF535&lt;=0,0,BW535*MAX(1,IF(H535&gt;0,AF535/H535,1))),IF(R535&gt;0,AG535/R535,0))/MAX(0.1,N(Parameter!$M$21)))</f>
        <v>0.15</v>
      </c>
      <c r="AI535" s="57" t="n">
        <f aca="false">AF535*G535</f>
        <v>24.24</v>
      </c>
      <c r="AJ535" s="57" t="n">
        <f aca="false">ROUNDUP(MAX(J535/IF(BZ535&gt;0,BZ535,MAX(0.1,N(Cockpit!$C$6))),CC535)/BS535,0)*BS535</f>
        <v>24</v>
      </c>
      <c r="AK535" s="58" t="n">
        <f aca="false">IF(AH535&gt;0,J535/AH535,-1)</f>
        <v>320</v>
      </c>
      <c r="AL535" s="58" t="str">
        <f aca="false">IF(AND(OR(BY535="L1",BY535="L23"),AH535&gt;0),SUMIFS($AH$7:$AH$1843,$BY$7:$BY$1843,BY535,$AK$7:$AK$1843,"&gt;"&amp;AK535)+SUMIFS($AH$7:$AH$1843,$BY$7:$BY$1843,BY535,$AK$7:$AK$1843,AK535,$BQ$7:$BQ$1843,"&lt;="&amp;BQ535),"")</f>
        <v/>
      </c>
      <c r="AM535" s="65" t="n">
        <f aca="false">IF(AL535="",0,MAX(0,MIN(1,(IF(BY535="L1",Parameter!$E$5,Parameter!$E$6+Parameter!$E$7)-(AL535-AH535))/AH535)))</f>
        <v>0</v>
      </c>
      <c r="AN535" s="57" t="n">
        <f aca="false">IF(LEFT(Cockpit!$I$5,1)="A",H535,IF(CA535=1,CB535,IF(LEFT(Cockpit!$I$5,1)="B",AR535,MAX(AR535,H535))))</f>
        <v>24</v>
      </c>
      <c r="AO535" s="57" t="n">
        <f aca="false">IF(BT535=1,0,ROUNDUP(AN535/BS535,0))</f>
        <v>0</v>
      </c>
      <c r="AP535" s="59" t="n">
        <f aca="false">IF(CH535&gt;0,CH535*MAX(1,AN535/X535),IF(BT535=1,IF(AN535&lt;=0,0,BW535*MAX(1,IF(H535&gt;0,AN535/H535,1))),IF(R535&gt;0,AO535/R535,0))/MAX(0.1,N(Parameter!$M$21)))</f>
        <v>0.3</v>
      </c>
      <c r="AQ535" s="57" t="n">
        <f aca="false">AN535*G535</f>
        <v>48.48</v>
      </c>
      <c r="AR535" s="57" t="n">
        <f aca="false">ROUNDUP(MAX(J535/IF(BZ535&gt;0,BZ535,MAX(0.1,N(Cockpit!$I$6))),CC535)/BS535,0)*BS535</f>
        <v>24</v>
      </c>
      <c r="AS535" s="58" t="n">
        <f aca="false">IF(AP535&gt;0,J535/AP535,-1)</f>
        <v>160</v>
      </c>
      <c r="AT535" s="58" t="str">
        <f aca="false">IF(AND(OR(BY535="L1",BY535="L23"),AP535&gt;0),SUMIFS($AP$7:$AP$1843,$BY$7:$BY$1843,BY535,$AS$7:$AS$1843,"&gt;"&amp;AS535)+SUMIFS($AP$7:$AP$1843,$BY$7:$BY$1843,BY535,$AS$7:$AS$1843,AS535,$BQ$7:$BQ$1843,"&lt;="&amp;BQ535),"")</f>
        <v/>
      </c>
      <c r="AU535" s="65" t="n">
        <f aca="false">IF(AT535="",0,MAX(0,MIN(1,(IF(BY535="L1",Parameter!$E$5,Parameter!$E$6+Parameter!$E$7)-(AT535-AP535))/AP535)))</f>
        <v>0</v>
      </c>
      <c r="AV535" s="57" t="n">
        <f aca="false">IF(LEFT(Cockpit!$O$5,1)="A",H535,IF(CA535=1,CB535,IF(LEFT(Cockpit!$O$5,1)="B",AZ535,MAX(AZ535,H535))))</f>
        <v>16</v>
      </c>
      <c r="AW535" s="57" t="n">
        <f aca="false">IF(BT535=1,0,ROUNDUP(AV535/BS535,0))</f>
        <v>0</v>
      </c>
      <c r="AX535" s="59" t="n">
        <f aca="false">IF(CH535&gt;0,CH535*MAX(1,AV535/X535),IF(BT535=1,IF(AV535&lt;=0,0,BW535*MAX(1,IF(H535&gt;0,AV535/H535,1))),IF(R535&gt;0,AW535/R535,0))/MAX(0.1,N(Parameter!$M$21)))</f>
        <v>0.2</v>
      </c>
      <c r="AY535" s="57" t="n">
        <f aca="false">AV535*G535</f>
        <v>32.32</v>
      </c>
      <c r="AZ535" s="57" t="n">
        <f aca="false">ROUNDUP(MAX(J535/IF(BZ535&gt;0,BZ535,MAX(0.1,N(Cockpit!$O$6))),CC535)/BS535,0)*BS535</f>
        <v>16</v>
      </c>
      <c r="BA535" s="58" t="n">
        <f aca="false">IF(AX535&gt;0,J535/AX535,-1)</f>
        <v>240</v>
      </c>
      <c r="BB535" s="58" t="str">
        <f aca="false">IF(AND(OR(BY535="L1",BY535="L23"),AX535&gt;0),SUMIFS($AX$7:$AX$1843,$BY$7:$BY$1843,BY535,$BA$7:$BA$1843,"&gt;"&amp;BA535)+SUMIFS($AX$7:$AX$1843,$BY$7:$BY$1843,BY535,$BA$7:$BA$1843,BA535,$BQ$7:$BQ$1843,"&lt;="&amp;BQ535),"")</f>
        <v/>
      </c>
      <c r="BC535" s="65" t="n">
        <f aca="false">IF(BB535="",0,MAX(0,MIN(1,(IF(BY535="L1",Parameter!$E$5,Parameter!$E$6+Parameter!$E$7)-(BB535-AX535))/AX535)))</f>
        <v>0</v>
      </c>
      <c r="BD535" s="55" t="str">
        <f aca="false">IF(AH535&lt;=0,"",IF(BY535="Aussen","Aussenlager",IF(BY535="-","Nicht im Lift",IF(AM535&gt;=1,"Lift",IF(AM535&lt;=0,"Aussenlager","teilweise")))))</f>
        <v>Nicht im Lift</v>
      </c>
      <c r="BE535" s="55" t="str">
        <f aca="false">IF(AP535&lt;=0,"",IF(BY535="Aussen","Aussenlager",IF(BY535="-","Nicht im Lift",IF(AU535&gt;=1,"Lift",IF(AU535&lt;=0,"Aussenlager","teilweise")))))</f>
        <v>Nicht im Lift</v>
      </c>
      <c r="BF535" s="55" t="str">
        <f aca="false">IF(AX535&lt;=0,"",IF(BY535="Aussen","Aussenlager",IF(BY535="-","Nicht im Lift",IF(BC535&gt;=1,"Lift",IF(BC535&lt;=0,"Aussenlager","teilweise")))))</f>
        <v>Nicht im Lift</v>
      </c>
      <c r="BG535" s="55" t="str">
        <f aca="false">IF(A535="","",IF(BP535=1,"Neu; ","")&amp;IF(AND(BP535=0,BK535&lt;0),"negativer Bestand (Export "&amp;BK535&amp;"); ","")&amp;IF(J535&lt;=0,"Kein Verbrauch; ","")&amp;IF(CH535&gt;0,"Lift "&amp;W535&amp;" lt. Liftbericht (Fach "&amp;X535&amp;" Stk); ",IF(BU535=1,"Gebinde geschätzt ("&amp;T535&amp;"); ",IF(BT535=1,"Lose – Tablare geschätzt; ","")))&amp;IF(H535&gt;AR535,"Überbestand "&amp;ROUND(H535-AR535,0)&amp;" Stk / CHF "&amp;ROUND((H535-AR535)*G535,0)&amp;"; ","")&amp;IF(AND(CA535=1,CB535&lt;CC535),"MAX &lt; MB+LG; ","")&amp;IF(AND(CG535&gt;0,CF535*10&gt;CG535),"zu hoch für Tablar; ","")&amp;IF(AND(BP535=0,OR(CA535=1,AA535&lt;&gt;"",U535&lt;&gt;"",V535&lt;&gt;"",AB535&lt;&gt;"")),"manuell übersteuert; ","")&amp;IF(AND(BT535=0,R535=0),"Gebinde unbekannt / Stellmass fehlt; ","")&amp;IF(AND(BT535=0,N(V535)&lt;=0,N(Q535)&lt;=0),"Menge pro Gebinde fehlt (Ist = 1 Gebinde); ","")&amp;BO535)</f>
        <v>Lose – Tablare geschätzt; </v>
      </c>
      <c r="BH535" s="55"/>
      <c r="BI535" s="55"/>
      <c r="BJ535" s="62"/>
      <c r="BK535" s="57" t="n">
        <v>12</v>
      </c>
      <c r="BL535" s="57" t="n">
        <v>0</v>
      </c>
      <c r="BM535" s="56" t="n">
        <v>24.24</v>
      </c>
      <c r="BN535" s="57" t="n">
        <v>48</v>
      </c>
      <c r="BO535" s="55"/>
      <c r="BP535" s="60" t="n">
        <v>0</v>
      </c>
      <c r="BQ535" s="60" t="n">
        <v>535</v>
      </c>
      <c r="BR535" s="55" t="str">
        <f aca="false">IF(U535&lt;&gt;"",UPPER(TRIM(U535)),IF(BU535=1,UPPER(VLOOKUP(T535,Parameter!$I$27:$K$29,2,0)),IF(P535="","LOSE",P535)))</f>
        <v>LOSE</v>
      </c>
      <c r="BS535" s="57" t="n">
        <f aca="false">IF(BR535="LOSE",1,IF(N(V535)&gt;0,V535,IF(BU535=1,MAX(1,N(VLOOKUP(T535,Parameter!$I$27:$K$29,3,0)),H535,N(N535)),IF(N(Q535)&gt;0,Q535,MAX(1,H535)))))</f>
        <v>1</v>
      </c>
      <c r="BT535" s="60" t="n">
        <f aca="false">IF(BR535="LOSE",1,0)</f>
        <v>1</v>
      </c>
      <c r="BU535" s="60" t="n">
        <f aca="false">IF(AND(U535="",OR(P535="",P535="LOSE"),T535&lt;&gt;"",N(S535)&lt;=0,ISNUMBER(MATCH(T535,Parameter!$I$27:$I$29,0))),1,0)</f>
        <v>0</v>
      </c>
      <c r="BV535" s="55" t="str">
        <f aca="false">IF(AND(Parameter!$B$19="Ja",E535&lt;&gt;"",ISNUMBER(MATCH(E535,Parameter!$I$35:$I$52,0))),VLOOKUP(E535,Parameter!$I$35:$J$52,2,0),IFERROR(VLOOKUP(D535,Parameter!$A$35:$C$64,2,0),"Nein"))</f>
        <v>Nein</v>
      </c>
      <c r="BW535" s="59" t="n">
        <f aca="false">IF(BT535=0,0,IF(N(S535)&gt;0,S535,IFERROR(VLOOKUP(D535,Parameter!$A$35:$C$64,3,0)+0,0)))</f>
        <v>0.15</v>
      </c>
      <c r="BX535" s="55" t="str">
        <f aca="false">IF(AA535&lt;&gt;"",AA535,Z535)</f>
        <v>-</v>
      </c>
      <c r="BY535" s="55" t="str">
        <f aca="false">IF(BX535=1,"L1",IF(OR(BX535=2,BX535=3),"L23",IF(BX535="Aussen","Aussen","-")))</f>
        <v>-</v>
      </c>
      <c r="BZ535" s="66" t="n">
        <f aca="false">IF(N(AB535)&gt;0,AB535,0)</f>
        <v>0</v>
      </c>
      <c r="CA535" s="60" t="n">
        <f aca="false">IF(ISNUMBER(AE535),1,0)</f>
        <v>0</v>
      </c>
      <c r="CB535" s="57" t="n">
        <f aca="false">N(AE535)</f>
        <v>0</v>
      </c>
      <c r="CC535" s="57" t="n">
        <f aca="false">N(M535)+N(N535)</f>
        <v>1</v>
      </c>
      <c r="CD535" s="57" t="n">
        <f aca="false">ROUNDUP(H535/BS535,0)</f>
        <v>12</v>
      </c>
      <c r="CE535" s="57" t="n">
        <f aca="false">ROUNDUP(CB535/BS535,0)</f>
        <v>0</v>
      </c>
      <c r="CF535" s="60" t="n">
        <f aca="false">IF(BT535=1,0,IFERROR(VLOOKUP(BR535,'Gebinde-Kategorie'!$A$5:$M$45,5,0)+0,0))</f>
        <v>0</v>
      </c>
      <c r="CG535" s="60" t="n">
        <f aca="false">IFERROR(IF(OR(BX535=1,BX535=2,BX535=3),N(INDEX(Parameter!$I$5:$I$7,BX535)),0),0)</f>
        <v>0</v>
      </c>
      <c r="CH535" s="59" t="n">
        <f aca="false">IF(AND(Parameter!$B$21="Ja",ISNUMBER(W535),N(X535)&gt;0),IFERROR(N(INDEX(Parameter!$L$5:$L$7,W535))*INDEX(Parameter!$E$5:$E$7,W535)*X535/SUMIFS($X$7:$X$1843,$W$7:$W$1843,W535),0),0)</f>
        <v>0</v>
      </c>
    </row>
    <row r="536" customFormat="false" ht="15" hidden="false" customHeight="false" outlineLevel="0" collapsed="false">
      <c r="A536" s="55" t="s">
        <v>1153</v>
      </c>
      <c r="B536" s="55" t="s">
        <v>524</v>
      </c>
      <c r="C536" s="55" t="s">
        <v>164</v>
      </c>
      <c r="D536" s="55" t="s">
        <v>184</v>
      </c>
      <c r="E536" s="55" t="s">
        <v>185</v>
      </c>
      <c r="F536" s="55" t="s">
        <v>218</v>
      </c>
      <c r="G536" s="56" t="n">
        <v>4.46</v>
      </c>
      <c r="H536" s="57" t="n">
        <f aca="false">MAX(0,IF(AND(Parameter!$B$21="Ja",ISNUMBER(Y536)),Y536,IF(Parameter!$B$20="Jahresanfang 2025 + Export",BL536+BK536,BK536)))</f>
        <v>9</v>
      </c>
      <c r="I536" s="57" t="n">
        <f aca="false">H536*G536</f>
        <v>40.14</v>
      </c>
      <c r="J536" s="57" t="n">
        <f aca="false">BN536*Parameter!$B$18</f>
        <v>0</v>
      </c>
      <c r="K536" s="58" t="n">
        <v>5</v>
      </c>
      <c r="L536" s="59" t="n">
        <v>0</v>
      </c>
      <c r="M536" s="57" t="n">
        <v>0</v>
      </c>
      <c r="N536" s="57" t="n">
        <v>1</v>
      </c>
      <c r="O536" s="60" t="n">
        <v>14</v>
      </c>
      <c r="P536" s="55" t="s">
        <v>328</v>
      </c>
      <c r="Q536" s="57" t="n">
        <v>25</v>
      </c>
      <c r="R536" s="60" t="n">
        <f aca="false">IF(BT536=1,0,IFERROR(VLOOKUP(BR536,'Gebinde-Kategorie'!$A$5:$M$45,13,0)+0,0))</f>
        <v>52</v>
      </c>
      <c r="S536" s="61"/>
      <c r="T536" s="62"/>
      <c r="U536" s="62"/>
      <c r="V536" s="62"/>
      <c r="W536" s="55"/>
      <c r="X536" s="57"/>
      <c r="Y536" s="57"/>
      <c r="Z536" s="55" t="n">
        <f aca="false">IF(A536="","",IF(AND(Parameter!$B$21="Ja",ISNUMBER(W536)),W536,IF(BV536="2+3",IF(ISNUMBER(SEARCH("grosser Artikel",BO536)),2,IFERROR(VLOOKUP(BR536,Parameter!$F$35:$G$64,2,0),2)),IF(OR(BV536="Nein",BV536=""),"-",BV536))))</f>
        <v>3</v>
      </c>
      <c r="AA536" s="62"/>
      <c r="AB536" s="63"/>
      <c r="AC536" s="57" t="n">
        <f aca="false">AR536</f>
        <v>25</v>
      </c>
      <c r="AD536" s="57" t="n">
        <f aca="false">MAX(AR536,H536)</f>
        <v>25</v>
      </c>
      <c r="AE536" s="64"/>
      <c r="AF536" s="57" t="n">
        <f aca="false">IF(LEFT(Cockpit!$C$5,1)="A",H536,IF(CA536=1,CB536,IF(LEFT(Cockpit!$C$5,1)="B",AJ536,MAX(AJ536,H536))))</f>
        <v>9</v>
      </c>
      <c r="AG536" s="57" t="n">
        <f aca="false">IF(BT536=1,0,ROUNDUP(AF536/BS536,0))</f>
        <v>1</v>
      </c>
      <c r="AH536" s="59" t="n">
        <f aca="false">IF(CH536&gt;0,CH536*MAX(1,AF536/X536),IF(BT536=1,IF(AF536&lt;=0,0,BW536*MAX(1,IF(H536&gt;0,AF536/H536,1))),IF(R536&gt;0,AG536/R536,0))/MAX(0.1,N(Parameter!$M$21)))</f>
        <v>0.0192307692307692</v>
      </c>
      <c r="AI536" s="57" t="n">
        <f aca="false">AF536*G536</f>
        <v>40.14</v>
      </c>
      <c r="AJ536" s="57" t="n">
        <f aca="false">ROUNDUP(MAX(J536/IF(BZ536&gt;0,BZ536,MAX(0.1,N(Cockpit!$C$6))),CC536)/BS536,0)*BS536</f>
        <v>25</v>
      </c>
      <c r="AK536" s="58" t="n">
        <f aca="false">IF(AH536&gt;0,J536/AH536,-1)</f>
        <v>0</v>
      </c>
      <c r="AL536" s="58" t="n">
        <f aca="false">IF(AND(OR(BY536="L1",BY536="L23"),AH536&gt;0),SUMIFS($AH$7:$AH$1843,$BY$7:$BY$1843,BY536,$AK$7:$AK$1843,"&gt;"&amp;AK536)+SUMIFS($AH$7:$AH$1843,$BY$7:$BY$1843,BY536,$AK$7:$AK$1843,AK536,$BQ$7:$BQ$1843,"&lt;="&amp;BQ536),"")</f>
        <v>75.2308452417148</v>
      </c>
      <c r="AM536" s="65" t="n">
        <f aca="false">IF(AL536="",0,MAX(0,MIN(1,(IF(BY536="L1",Parameter!$E$5,Parameter!$E$6+Parameter!$E$7)-(AL536-AH536))/AH536)))</f>
        <v>1</v>
      </c>
      <c r="AN536" s="57" t="n">
        <f aca="false">IF(LEFT(Cockpit!$I$5,1)="A",H536,IF(CA536=1,CB536,IF(LEFT(Cockpit!$I$5,1)="B",AR536,MAX(AR536,H536))))</f>
        <v>25</v>
      </c>
      <c r="AO536" s="57" t="n">
        <f aca="false">IF(BT536=1,0,ROUNDUP(AN536/BS536,0))</f>
        <v>1</v>
      </c>
      <c r="AP536" s="59" t="n">
        <f aca="false">IF(CH536&gt;0,CH536*MAX(1,AN536/X536),IF(BT536=1,IF(AN536&lt;=0,0,BW536*MAX(1,IF(H536&gt;0,AN536/H536,1))),IF(R536&gt;0,AO536/R536,0))/MAX(0.1,N(Parameter!$M$21)))</f>
        <v>0.0192307692307692</v>
      </c>
      <c r="AQ536" s="57" t="n">
        <f aca="false">AN536*G536</f>
        <v>111.5</v>
      </c>
      <c r="AR536" s="57" t="n">
        <f aca="false">ROUNDUP(MAX(J536/IF(BZ536&gt;0,BZ536,MAX(0.1,N(Cockpit!$I$6))),CC536)/BS536,0)*BS536</f>
        <v>25</v>
      </c>
      <c r="AS536" s="58" t="n">
        <f aca="false">IF(AP536&gt;0,J536/AP536,-1)</f>
        <v>0</v>
      </c>
      <c r="AT536" s="58" t="n">
        <f aca="false">IF(AND(OR(BY536="L1",BY536="L23"),AP536&gt;0),SUMIFS($AP$7:$AP$1843,$BY$7:$BY$1843,BY536,$AS$7:$AS$1843,"&gt;"&amp;AS536)+SUMIFS($AP$7:$AP$1843,$BY$7:$BY$1843,BY536,$AS$7:$AS$1843,AS536,$BQ$7:$BQ$1843,"&lt;="&amp;BQ536),"")</f>
        <v>114.654969426709</v>
      </c>
      <c r="AU536" s="65" t="n">
        <f aca="false">IF(AT536="",0,MAX(0,MIN(1,(IF(BY536="L1",Parameter!$E$5,Parameter!$E$6+Parameter!$E$7)-(AT536-AP536))/AP536)))</f>
        <v>0</v>
      </c>
      <c r="AV536" s="57" t="n">
        <f aca="false">IF(LEFT(Cockpit!$O$5,1)="A",H536,IF(CA536=1,CB536,IF(LEFT(Cockpit!$O$5,1)="B",AZ536,MAX(AZ536,H536))))</f>
        <v>25</v>
      </c>
      <c r="AW536" s="57" t="n">
        <f aca="false">IF(BT536=1,0,ROUNDUP(AV536/BS536,0))</f>
        <v>1</v>
      </c>
      <c r="AX536" s="59" t="n">
        <f aca="false">IF(CH536&gt;0,CH536*MAX(1,AV536/X536),IF(BT536=1,IF(AV536&lt;=0,0,BW536*MAX(1,IF(H536&gt;0,AV536/H536,1))),IF(R536&gt;0,AW536/R536,0))/MAX(0.1,N(Parameter!$M$21)))</f>
        <v>0.0192307692307692</v>
      </c>
      <c r="AY536" s="57" t="n">
        <f aca="false">AV536*G536</f>
        <v>111.5</v>
      </c>
      <c r="AZ536" s="57" t="n">
        <f aca="false">ROUNDUP(MAX(J536/IF(BZ536&gt;0,BZ536,MAX(0.1,N(Cockpit!$O$6))),CC536)/BS536,0)*BS536</f>
        <v>25</v>
      </c>
      <c r="BA536" s="58" t="n">
        <f aca="false">IF(AX536&gt;0,J536/AX536,-1)</f>
        <v>0</v>
      </c>
      <c r="BB536" s="58" t="n">
        <f aca="false">IF(AND(OR(BY536="L1",BY536="L23"),AX536&gt;0),SUMIFS($AX$7:$AX$1843,$BY$7:$BY$1843,BY536,$BA$7:$BA$1843,"&gt;"&amp;BA536)+SUMIFS($AX$7:$AX$1843,$BY$7:$BY$1843,BY536,$BA$7:$BA$1843,BA536,$BQ$7:$BQ$1843,"&lt;="&amp;BQ536),"")</f>
        <v>105.484806256545</v>
      </c>
      <c r="BC536" s="65" t="n">
        <f aca="false">IF(BB536="",0,MAX(0,MIN(1,(IF(BY536="L1",Parameter!$E$5,Parameter!$E$6+Parameter!$E$7)-(BB536-AX536))/AX536)))</f>
        <v>0</v>
      </c>
      <c r="BD536" s="55" t="str">
        <f aca="false">IF(AH536&lt;=0,"",IF(BY536="Aussen","Aussenlager",IF(BY536="-","Nicht im Lift",IF(AM536&gt;=1,"Lift",IF(AM536&lt;=0,"Aussenlager","teilweise")))))</f>
        <v>Lift</v>
      </c>
      <c r="BE536" s="55" t="str">
        <f aca="false">IF(AP536&lt;=0,"",IF(BY536="Aussen","Aussenlager",IF(BY536="-","Nicht im Lift",IF(AU536&gt;=1,"Lift",IF(AU536&lt;=0,"Aussenlager","teilweise")))))</f>
        <v>Aussenlager</v>
      </c>
      <c r="BF536" s="55" t="str">
        <f aca="false">IF(AX536&lt;=0,"",IF(BY536="Aussen","Aussenlager",IF(BY536="-","Nicht im Lift",IF(BC536&gt;=1,"Lift",IF(BC536&lt;=0,"Aussenlager","teilweise")))))</f>
        <v>Aussenlager</v>
      </c>
      <c r="BG536" s="55" t="str">
        <f aca="false">IF(A536="","",IF(BP536=1,"Neu; ","")&amp;IF(AND(BP536=0,BK536&lt;0),"negativer Bestand (Export "&amp;BK536&amp;"); ","")&amp;IF(J536&lt;=0,"Kein Verbrauch; ","")&amp;IF(CH536&gt;0,"Lift "&amp;W536&amp;" lt. Liftbericht (Fach "&amp;X536&amp;" Stk); ",IF(BU536=1,"Gebinde geschätzt ("&amp;T536&amp;"); ",IF(BT536=1,"Lose – Tablare geschätzt; ","")))&amp;IF(H536&gt;AR536,"Überbestand "&amp;ROUND(H536-AR536,0)&amp;" Stk / CHF "&amp;ROUND((H536-AR536)*G536,0)&amp;"; ","")&amp;IF(AND(CA536=1,CB536&lt;CC536),"MAX &lt; MB+LG; ","")&amp;IF(AND(CG536&gt;0,CF536*10&gt;CG536),"zu hoch für Tablar; ","")&amp;IF(AND(BP536=0,OR(CA536=1,AA536&lt;&gt;"",U536&lt;&gt;"",V536&lt;&gt;"",AB536&lt;&gt;"")),"manuell übersteuert; ","")&amp;IF(AND(BT536=0,R536=0),"Gebinde unbekannt / Stellmass fehlt; ","")&amp;IF(AND(BT536=0,N(V536)&lt;=0,N(Q536)&lt;=0),"Menge pro Gebinde fehlt (Ist = 1 Gebinde); ","")&amp;BO536)</f>
        <v>Kein Verbrauch; Überbestand</v>
      </c>
      <c r="BH536" s="55"/>
      <c r="BI536" s="55"/>
      <c r="BJ536" s="62"/>
      <c r="BK536" s="57" t="n">
        <v>4</v>
      </c>
      <c r="BL536" s="57" t="n">
        <v>5</v>
      </c>
      <c r="BM536" s="56" t="n">
        <v>23.99</v>
      </c>
      <c r="BN536" s="57" t="n">
        <v>0</v>
      </c>
      <c r="BO536" s="55" t="s">
        <v>392</v>
      </c>
      <c r="BP536" s="60" t="n">
        <v>0</v>
      </c>
      <c r="BQ536" s="60" t="n">
        <v>536</v>
      </c>
      <c r="BR536" s="55" t="str">
        <f aca="false">IF(U536&lt;&gt;"",UPPER(TRIM(U536)),IF(BU536=1,UPPER(VLOOKUP(T536,Parameter!$I$27:$K$29,2,0)),IF(P536="","LOSE",P536)))</f>
        <v>S41</v>
      </c>
      <c r="BS536" s="57" t="n">
        <f aca="false">IF(BR536="LOSE",1,IF(N(V536)&gt;0,V536,IF(BU536=1,MAX(1,N(VLOOKUP(T536,Parameter!$I$27:$K$29,3,0)),H536,N(N536)),IF(N(Q536)&gt;0,Q536,MAX(1,H536)))))</f>
        <v>25</v>
      </c>
      <c r="BT536" s="60" t="n">
        <f aca="false">IF(BR536="LOSE",1,0)</f>
        <v>0</v>
      </c>
      <c r="BU536" s="60" t="n">
        <f aca="false">IF(AND(U536="",OR(P536="",P536="LOSE"),T536&lt;&gt;"",N(S536)&lt;=0,ISNUMBER(MATCH(T536,Parameter!$I$27:$I$29,0))),1,0)</f>
        <v>0</v>
      </c>
      <c r="BV536" s="55" t="str">
        <f aca="false">IF(AND(Parameter!$B$19="Ja",E536&lt;&gt;"",ISNUMBER(MATCH(E536,Parameter!$I$35:$I$52,0))),VLOOKUP(E536,Parameter!$I$35:$J$52,2,0),IFERROR(VLOOKUP(D536,Parameter!$A$35:$C$64,2,0),"Nein"))</f>
        <v>2+3</v>
      </c>
      <c r="BW536" s="59" t="n">
        <f aca="false">IF(BT536=0,0,IF(N(S536)&gt;0,S536,IFERROR(VLOOKUP(D536,Parameter!$A$35:$C$64,3,0)+0,0)))</f>
        <v>0</v>
      </c>
      <c r="BX536" s="55" t="n">
        <f aca="false">IF(AA536&lt;&gt;"",AA536,Z536)</f>
        <v>3</v>
      </c>
      <c r="BY536" s="55" t="str">
        <f aca="false">IF(BX536=1,"L1",IF(OR(BX536=2,BX536=3),"L23",IF(BX536="Aussen","Aussen","-")))</f>
        <v>L23</v>
      </c>
      <c r="BZ536" s="66" t="n">
        <f aca="false">IF(N(AB536)&gt;0,AB536,0)</f>
        <v>0</v>
      </c>
      <c r="CA536" s="60" t="n">
        <f aca="false">IF(ISNUMBER(AE536),1,0)</f>
        <v>0</v>
      </c>
      <c r="CB536" s="57" t="n">
        <f aca="false">N(AE536)</f>
        <v>0</v>
      </c>
      <c r="CC536" s="57" t="n">
        <f aca="false">N(M536)+N(N536)</f>
        <v>1</v>
      </c>
      <c r="CD536" s="57" t="n">
        <f aca="false">ROUNDUP(H536/BS536,0)</f>
        <v>1</v>
      </c>
      <c r="CE536" s="57" t="n">
        <f aca="false">ROUNDUP(CB536/BS536,0)</f>
        <v>0</v>
      </c>
      <c r="CF536" s="60" t="n">
        <f aca="false">IF(BT536=1,0,IFERROR(VLOOKUP(BR536,'Gebinde-Kategorie'!$A$5:$M$45,5,0)+0,0))</f>
        <v>11</v>
      </c>
      <c r="CG536" s="60" t="n">
        <f aca="false">IFERROR(IF(OR(BX536=1,BX536=2,BX536=3),N(INDEX(Parameter!$I$5:$I$7,BX536)),0),0)</f>
        <v>0</v>
      </c>
      <c r="CH536" s="59" t="n">
        <f aca="false">IF(AND(Parameter!$B$21="Ja",ISNUMBER(W536),N(X536)&gt;0),IFERROR(N(INDEX(Parameter!$L$5:$L$7,W536))*INDEX(Parameter!$E$5:$E$7,W536)*X536/SUMIFS($X$7:$X$1843,$W$7:$W$1843,W536),0),0)</f>
        <v>0</v>
      </c>
    </row>
    <row r="537" customFormat="false" ht="15" hidden="false" customHeight="false" outlineLevel="0" collapsed="false">
      <c r="A537" s="55" t="s">
        <v>1154</v>
      </c>
      <c r="B537" s="55" t="s">
        <v>1155</v>
      </c>
      <c r="C537" s="55" t="s">
        <v>164</v>
      </c>
      <c r="D537" s="55" t="s">
        <v>173</v>
      </c>
      <c r="E537" s="55" t="s">
        <v>185</v>
      </c>
      <c r="F537" s="55" t="s">
        <v>218</v>
      </c>
      <c r="G537" s="56" t="n">
        <v>41.41</v>
      </c>
      <c r="H537" s="57" t="n">
        <f aca="false">MAX(0,IF(AND(Parameter!$B$21="Ja",ISNUMBER(Y537)),Y537,IF(Parameter!$B$20="Jahresanfang 2025 + Export",BL537+BK537,BK537)))</f>
        <v>3</v>
      </c>
      <c r="I537" s="57" t="n">
        <f aca="false">H537*G537</f>
        <v>124.23</v>
      </c>
      <c r="J537" s="57" t="n">
        <f aca="false">BN537*Parameter!$B$18</f>
        <v>12</v>
      </c>
      <c r="K537" s="58" t="n">
        <v>2.5</v>
      </c>
      <c r="L537" s="59" t="n">
        <v>4.8</v>
      </c>
      <c r="M537" s="57" t="n">
        <v>1</v>
      </c>
      <c r="N537" s="57" t="n">
        <v>4</v>
      </c>
      <c r="O537" s="60" t="n">
        <v>14</v>
      </c>
      <c r="P537" s="55" t="s">
        <v>168</v>
      </c>
      <c r="Q537" s="57"/>
      <c r="R537" s="60" t="n">
        <f aca="false">IF(BT537=1,0,IFERROR(VLOOKUP(BR537,'Gebinde-Kategorie'!$A$5:$M$45,13,0)+0,0))</f>
        <v>3</v>
      </c>
      <c r="S537" s="61"/>
      <c r="T537" s="62" t="s">
        <v>189</v>
      </c>
      <c r="U537" s="62"/>
      <c r="V537" s="62"/>
      <c r="W537" s="55"/>
      <c r="X537" s="57"/>
      <c r="Y537" s="57"/>
      <c r="Z537" s="55" t="n">
        <f aca="false">IF(A537="","",IF(AND(Parameter!$B$21="Ja",ISNUMBER(W537)),W537,IF(BV537="2+3",IF(ISNUMBER(SEARCH("grosser Artikel",BO537)),2,IFERROR(VLOOKUP(BR537,Parameter!$F$35:$G$64,2,0),2)),IF(OR(BV537="Nein",BV537=""),"-",BV537))))</f>
        <v>2</v>
      </c>
      <c r="AA537" s="62"/>
      <c r="AB537" s="63"/>
      <c r="AC537" s="57" t="n">
        <f aca="false">AR537</f>
        <v>8</v>
      </c>
      <c r="AD537" s="57" t="n">
        <f aca="false">MAX(AR537,H537)</f>
        <v>8</v>
      </c>
      <c r="AE537" s="64"/>
      <c r="AF537" s="57" t="n">
        <f aca="false">IF(LEFT(Cockpit!$C$5,1)="A",H537,IF(CA537=1,CB537,IF(LEFT(Cockpit!$C$5,1)="B",AJ537,MAX(AJ537,H537))))</f>
        <v>3</v>
      </c>
      <c r="AG537" s="57" t="n">
        <f aca="false">IF(BT537=1,0,ROUNDUP(AF537/BS537,0))</f>
        <v>1</v>
      </c>
      <c r="AH537" s="59" t="n">
        <f aca="false">IF(CH537&gt;0,CH537*MAX(1,AF537/X537),IF(BT537=1,IF(AF537&lt;=0,0,BW537*MAX(1,IF(H537&gt;0,AF537/H537,1))),IF(R537&gt;0,AG537/R537,0))/MAX(0.1,N(Parameter!$M$21)))</f>
        <v>0.333333333333333</v>
      </c>
      <c r="AI537" s="57" t="n">
        <f aca="false">AF537*G537</f>
        <v>124.23</v>
      </c>
      <c r="AJ537" s="57" t="n">
        <f aca="false">ROUNDUP(MAX(J537/IF(BZ537&gt;0,BZ537,MAX(0.1,N(Cockpit!$C$6))),CC537)/BS537,0)*BS537</f>
        <v>8</v>
      </c>
      <c r="AK537" s="58" t="n">
        <f aca="false">IF(AH537&gt;0,J537/AH537,-1)</f>
        <v>36</v>
      </c>
      <c r="AL537" s="58" t="n">
        <f aca="false">IF(AND(OR(BY537="L1",BY537="L23"),AH537&gt;0),SUMIFS($AH$7:$AH$1843,$BY$7:$BY$1843,BY537,$AK$7:$AK$1843,"&gt;"&amp;AK537)+SUMIFS($AH$7:$AH$1843,$BY$7:$BY$1843,BY537,$AK$7:$AK$1843,AK537,$BQ$7:$BQ$1843,"&lt;="&amp;BQ537),"")</f>
        <v>46.1971555015033</v>
      </c>
      <c r="AM537" s="65" t="n">
        <f aca="false">IF(AL537="",0,MAX(0,MIN(1,(IF(BY537="L1",Parameter!$E$5,Parameter!$E$6+Parameter!$E$7)-(AL537-AH537))/AH537)))</f>
        <v>1</v>
      </c>
      <c r="AN537" s="57" t="n">
        <f aca="false">IF(LEFT(Cockpit!$I$5,1)="A",H537,IF(CA537=1,CB537,IF(LEFT(Cockpit!$I$5,1)="B",AR537,MAX(AR537,H537))))</f>
        <v>8</v>
      </c>
      <c r="AO537" s="57" t="n">
        <f aca="false">IF(BT537=1,0,ROUNDUP(AN537/BS537,0))</f>
        <v>2</v>
      </c>
      <c r="AP537" s="59" t="n">
        <f aca="false">IF(CH537&gt;0,CH537*MAX(1,AN537/X537),IF(BT537=1,IF(AN537&lt;=0,0,BW537*MAX(1,IF(H537&gt;0,AN537/H537,1))),IF(R537&gt;0,AO537/R537,0))/MAX(0.1,N(Parameter!$M$21)))</f>
        <v>0.666666666666667</v>
      </c>
      <c r="AQ537" s="57" t="n">
        <f aca="false">AN537*G537</f>
        <v>331.28</v>
      </c>
      <c r="AR537" s="57" t="n">
        <f aca="false">ROUNDUP(MAX(J537/IF(BZ537&gt;0,BZ537,MAX(0.1,N(Cockpit!$I$6))),CC537)/BS537,0)*BS537</f>
        <v>8</v>
      </c>
      <c r="AS537" s="58" t="n">
        <f aca="false">IF(AP537&gt;0,J537/AP537,-1)</f>
        <v>18</v>
      </c>
      <c r="AT537" s="58" t="n">
        <f aca="false">IF(AND(OR(BY537="L1",BY537="L23"),AP537&gt;0),SUMIFS($AP$7:$AP$1843,$BY$7:$BY$1843,BY537,$AS$7:$AS$1843,"&gt;"&amp;AS537)+SUMIFS($AP$7:$AP$1843,$BY$7:$BY$1843,BY537,$AS$7:$AS$1843,AS537,$BQ$7:$BQ$1843,"&lt;="&amp;BQ537),"")</f>
        <v>77.6789719941894</v>
      </c>
      <c r="AU537" s="65" t="n">
        <f aca="false">IF(AT537="",0,MAX(0,MIN(1,(IF(BY537="L1",Parameter!$E$5,Parameter!$E$6+Parameter!$E$7)-(AT537-AP537))/AP537)))</f>
        <v>1</v>
      </c>
      <c r="AV537" s="57" t="n">
        <f aca="false">IF(LEFT(Cockpit!$O$5,1)="A",H537,IF(CA537=1,CB537,IF(LEFT(Cockpit!$O$5,1)="B",AZ537,MAX(AZ537,H537))))</f>
        <v>8</v>
      </c>
      <c r="AW537" s="57" t="n">
        <f aca="false">IF(BT537=1,0,ROUNDUP(AV537/BS537,0))</f>
        <v>2</v>
      </c>
      <c r="AX537" s="59" t="n">
        <f aca="false">IF(CH537&gt;0,CH537*MAX(1,AV537/X537),IF(BT537=1,IF(AV537&lt;=0,0,BW537*MAX(1,IF(H537&gt;0,AV537/H537,1))),IF(R537&gt;0,AW537/R537,0))/MAX(0.1,N(Parameter!$M$21)))</f>
        <v>0.666666666666667</v>
      </c>
      <c r="AY537" s="57" t="n">
        <f aca="false">AV537*G537</f>
        <v>331.28</v>
      </c>
      <c r="AZ537" s="57" t="n">
        <f aca="false">ROUNDUP(MAX(J537/IF(BZ537&gt;0,BZ537,MAX(0.1,N(Cockpit!$O$6))),CC537)/BS537,0)*BS537</f>
        <v>8</v>
      </c>
      <c r="BA537" s="58" t="n">
        <f aca="false">IF(AX537&gt;0,J537/AX537,-1)</f>
        <v>18</v>
      </c>
      <c r="BB537" s="58" t="n">
        <f aca="false">IF(AND(OR(BY537="L1",BY537="L23"),AX537&gt;0),SUMIFS($AX$7:$AX$1843,$BY$7:$BY$1843,BY537,$BA$7:$BA$1843,"&gt;"&amp;BA537)+SUMIFS($AX$7:$AX$1843,$BY$7:$BY$1843,BY537,$BA$7:$BA$1843,BA537,$BQ$7:$BQ$1843,"&lt;="&amp;BQ537),"")</f>
        <v>73.1754754906929</v>
      </c>
      <c r="BC537" s="65" t="n">
        <f aca="false">IF(BB537="",0,MAX(0,MIN(1,(IF(BY537="L1",Parameter!$E$5,Parameter!$E$6+Parameter!$E$7)-(BB537-AX537))/AX537)))</f>
        <v>1</v>
      </c>
      <c r="BD537" s="55" t="str">
        <f aca="false">IF(AH537&lt;=0,"",IF(BY537="Aussen","Aussenlager",IF(BY537="-","Nicht im Lift",IF(AM537&gt;=1,"Lift",IF(AM537&lt;=0,"Aussenlager","teilweise")))))</f>
        <v>Lift</v>
      </c>
      <c r="BE537" s="55" t="str">
        <f aca="false">IF(AP537&lt;=0,"",IF(BY537="Aussen","Aussenlager",IF(BY537="-","Nicht im Lift",IF(AU537&gt;=1,"Lift",IF(AU537&lt;=0,"Aussenlager","teilweise")))))</f>
        <v>Lift</v>
      </c>
      <c r="BF537" s="55" t="str">
        <f aca="false">IF(AX537&lt;=0,"",IF(BY537="Aussen","Aussenlager",IF(BY537="-","Nicht im Lift",IF(BC537&gt;=1,"Lift",IF(BC537&lt;=0,"Aussenlager","teilweise")))))</f>
        <v>Lift</v>
      </c>
      <c r="BG537" s="55" t="str">
        <f aca="false">IF(A537="","",IF(BP537=1,"Neu; ","")&amp;IF(AND(BP537=0,BK537&lt;0),"negativer Bestand (Export "&amp;BK537&amp;"); ","")&amp;IF(J537&lt;=0,"Kein Verbrauch; ","")&amp;IF(CH537&gt;0,"Lift "&amp;W537&amp;" lt. Liftbericht (Fach "&amp;X537&amp;" Stk); ",IF(BU537=1,"Gebinde geschätzt ("&amp;T537&amp;"); ",IF(BT537=1,"Lose – Tablare geschätzt; ","")))&amp;IF(H537&gt;AR537,"Überbestand "&amp;ROUND(H537-AR537,0)&amp;" Stk / CHF "&amp;ROUND((H537-AR537)*G537,0)&amp;"; ","")&amp;IF(AND(CA537=1,CB537&lt;CC537),"MAX &lt; MB+LG; ","")&amp;IF(AND(CG537&gt;0,CF537*10&gt;CG537),"zu hoch für Tablar; ","")&amp;IF(AND(BP537=0,OR(CA537=1,AA537&lt;&gt;"",U537&lt;&gt;"",V537&lt;&gt;"",AB537&lt;&gt;"")),"manuell übersteuert; ","")&amp;IF(AND(BT537=0,R537=0),"Gebinde unbekannt / Stellmass fehlt; ","")&amp;IF(AND(BT537=0,N(V537)&lt;=0,N(Q537)&lt;=0),"Menge pro Gebinde fehlt (Ist = 1 Gebinde); ","")&amp;BO537)</f>
        <v>Gebinde geschätzt (Gross); Menge pro Gebinde fehlt (Ist = 1 Gebinde); grosser Artikel &amp; nicht im KTL</v>
      </c>
      <c r="BH537" s="55"/>
      <c r="BI537" s="55"/>
      <c r="BJ537" s="62"/>
      <c r="BK537" s="57" t="n">
        <v>1</v>
      </c>
      <c r="BL537" s="57" t="n">
        <v>2</v>
      </c>
      <c r="BM537" s="56" t="n">
        <v>23.6300000000001</v>
      </c>
      <c r="BN537" s="57" t="n">
        <v>12</v>
      </c>
      <c r="BO537" s="55" t="s">
        <v>261</v>
      </c>
      <c r="BP537" s="60" t="n">
        <v>0</v>
      </c>
      <c r="BQ537" s="60" t="n">
        <v>537</v>
      </c>
      <c r="BR537" s="55" t="str">
        <f aca="false">IF(U537&lt;&gt;"",UPPER(TRIM(U537)),IF(BU537=1,UPPER(VLOOKUP(T537,Parameter!$I$27:$K$29,2,0)),IF(P537="","LOSE",P537)))</f>
        <v>S81</v>
      </c>
      <c r="BS537" s="57" t="n">
        <f aca="false">IF(BR537="LOSE",1,IF(N(V537)&gt;0,V537,IF(BU537=1,MAX(1,N(VLOOKUP(T537,Parameter!$I$27:$K$29,3,0)),H537,N(N537)),IF(N(Q537)&gt;0,Q537,MAX(1,H537)))))</f>
        <v>4</v>
      </c>
      <c r="BT537" s="60" t="n">
        <f aca="false">IF(BR537="LOSE",1,0)</f>
        <v>0</v>
      </c>
      <c r="BU537" s="60" t="n">
        <f aca="false">IF(AND(U537="",OR(P537="",P537="LOSE"),T537&lt;&gt;"",N(S537)&lt;=0,ISNUMBER(MATCH(T537,Parameter!$I$27:$I$29,0))),1,0)</f>
        <v>1</v>
      </c>
      <c r="BV537" s="55" t="str">
        <f aca="false">IF(AND(Parameter!$B$19="Ja",E537&lt;&gt;"",ISNUMBER(MATCH(E537,Parameter!$I$35:$I$52,0))),VLOOKUP(E537,Parameter!$I$35:$J$52,2,0),IFERROR(VLOOKUP(D537,Parameter!$A$35:$C$64,2,0),"Nein"))</f>
        <v>2+3</v>
      </c>
      <c r="BW537" s="59" t="n">
        <f aca="false">IF(BT537=0,0,IF(N(S537)&gt;0,S537,IFERROR(VLOOKUP(D537,Parameter!$A$35:$C$64,3,0)+0,0)))</f>
        <v>0</v>
      </c>
      <c r="BX537" s="55" t="n">
        <f aca="false">IF(AA537&lt;&gt;"",AA537,Z537)</f>
        <v>2</v>
      </c>
      <c r="BY537" s="55" t="str">
        <f aca="false">IF(BX537=1,"L1",IF(OR(BX537=2,BX537=3),"L23",IF(BX537="Aussen","Aussen","-")))</f>
        <v>L23</v>
      </c>
      <c r="BZ537" s="66" t="n">
        <f aca="false">IF(N(AB537)&gt;0,AB537,0)</f>
        <v>0</v>
      </c>
      <c r="CA537" s="60" t="n">
        <f aca="false">IF(ISNUMBER(AE537),1,0)</f>
        <v>0</v>
      </c>
      <c r="CB537" s="57" t="n">
        <f aca="false">N(AE537)</f>
        <v>0</v>
      </c>
      <c r="CC537" s="57" t="n">
        <f aca="false">N(M537)+N(N537)</f>
        <v>5</v>
      </c>
      <c r="CD537" s="57" t="n">
        <f aca="false">ROUNDUP(H537/BS537,0)</f>
        <v>1</v>
      </c>
      <c r="CE537" s="57" t="n">
        <f aca="false">ROUNDUP(CB537/BS537,0)</f>
        <v>0</v>
      </c>
      <c r="CF537" s="60" t="n">
        <f aca="false">IF(BT537=1,0,IFERROR(VLOOKUP(BR537,'Gebinde-Kategorie'!$A$5:$M$45,5,0)+0,0))</f>
        <v>20</v>
      </c>
      <c r="CG537" s="60" t="n">
        <f aca="false">IFERROR(IF(OR(BX537=1,BX537=2,BX537=3),N(INDEX(Parameter!$I$5:$I$7,BX537)),0),0)</f>
        <v>0</v>
      </c>
      <c r="CH537" s="59" t="n">
        <f aca="false">IF(AND(Parameter!$B$21="Ja",ISNUMBER(W537),N(X537)&gt;0),IFERROR(N(INDEX(Parameter!$L$5:$L$7,W537))*INDEX(Parameter!$E$5:$E$7,W537)*X537/SUMIFS($X$7:$X$1843,$W$7:$W$1843,W537),0),0)</f>
        <v>0</v>
      </c>
    </row>
    <row r="538" customFormat="false" ht="15" hidden="false" customHeight="false" outlineLevel="0" collapsed="false">
      <c r="A538" s="55" t="s">
        <v>1156</v>
      </c>
      <c r="B538" s="55" t="s">
        <v>1157</v>
      </c>
      <c r="C538" s="55" t="s">
        <v>164</v>
      </c>
      <c r="D538" s="55" t="s">
        <v>184</v>
      </c>
      <c r="E538" s="55"/>
      <c r="F538" s="55" t="s">
        <v>218</v>
      </c>
      <c r="G538" s="56" t="n">
        <v>0.01</v>
      </c>
      <c r="H538" s="57" t="n">
        <f aca="false">MAX(0,IF(AND(Parameter!$B$21="Ja",ISNUMBER(Y538)),Y538,IF(Parameter!$B$20="Jahresanfang 2025 + Export",BL538+BK538,BK538)))</f>
        <v>2328</v>
      </c>
      <c r="I538" s="57" t="n">
        <f aca="false">H538*G538</f>
        <v>23.28</v>
      </c>
      <c r="J538" s="57" t="n">
        <f aca="false">BN538*Parameter!$B$18</f>
        <v>0</v>
      </c>
      <c r="K538" s="58" t="n">
        <v>0</v>
      </c>
      <c r="L538" s="59" t="n">
        <v>0</v>
      </c>
      <c r="M538" s="57" t="n">
        <v>10</v>
      </c>
      <c r="N538" s="57" t="n">
        <v>600</v>
      </c>
      <c r="O538" s="60" t="n">
        <v>10</v>
      </c>
      <c r="P538" s="55" t="s">
        <v>168</v>
      </c>
      <c r="Q538" s="57"/>
      <c r="R538" s="60" t="n">
        <f aca="false">IF(BT538=1,0,IFERROR(VLOOKUP(BR538,'Gebinde-Kategorie'!$A$5:$M$45,13,0)+0,0))</f>
        <v>26</v>
      </c>
      <c r="S538" s="61"/>
      <c r="T538" s="62" t="s">
        <v>275</v>
      </c>
      <c r="U538" s="62"/>
      <c r="V538" s="62"/>
      <c r="W538" s="55"/>
      <c r="X538" s="57"/>
      <c r="Y538" s="57"/>
      <c r="Z538" s="55" t="n">
        <f aca="false">IF(A538="","",IF(AND(Parameter!$B$21="Ja",ISNUMBER(W538)),W538,IF(BV538="2+3",IF(ISNUMBER(SEARCH("grosser Artikel",BO538)),2,IFERROR(VLOOKUP(BR538,Parameter!$F$35:$G$64,2,0),2)),IF(OR(BV538="Nein",BV538=""),"-",BV538))))</f>
        <v>3</v>
      </c>
      <c r="AA538" s="62"/>
      <c r="AB538" s="63"/>
      <c r="AC538" s="57" t="n">
        <f aca="false">AR538</f>
        <v>2328</v>
      </c>
      <c r="AD538" s="57" t="n">
        <f aca="false">MAX(AR538,H538)</f>
        <v>2328</v>
      </c>
      <c r="AE538" s="64"/>
      <c r="AF538" s="57" t="n">
        <f aca="false">IF(LEFT(Cockpit!$C$5,1)="A",H538,IF(CA538=1,CB538,IF(LEFT(Cockpit!$C$5,1)="B",AJ538,MAX(AJ538,H538))))</f>
        <v>2328</v>
      </c>
      <c r="AG538" s="57" t="n">
        <f aca="false">IF(BT538=1,0,ROUNDUP(AF538/BS538,0))</f>
        <v>1</v>
      </c>
      <c r="AH538" s="59" t="n">
        <f aca="false">IF(CH538&gt;0,CH538*MAX(1,AF538/X538),IF(BT538=1,IF(AF538&lt;=0,0,BW538*MAX(1,IF(H538&gt;0,AF538/H538,1))),IF(R538&gt;0,AG538/R538,0))/MAX(0.1,N(Parameter!$M$21)))</f>
        <v>0.0384615384615385</v>
      </c>
      <c r="AI538" s="57" t="n">
        <f aca="false">AF538*G538</f>
        <v>23.28</v>
      </c>
      <c r="AJ538" s="57" t="n">
        <f aca="false">ROUNDUP(MAX(J538/IF(BZ538&gt;0,BZ538,MAX(0.1,N(Cockpit!$C$6))),CC538)/BS538,0)*BS538</f>
        <v>2328</v>
      </c>
      <c r="AK538" s="58" t="n">
        <f aca="false">IF(AH538&gt;0,J538/AH538,-1)</f>
        <v>0</v>
      </c>
      <c r="AL538" s="58" t="n">
        <f aca="false">IF(AND(OR(BY538="L1",BY538="L23"),AH538&gt;0),SUMIFS($AH$7:$AH$1843,$BY$7:$BY$1843,BY538,$AK$7:$AK$1843,"&gt;"&amp;AK538)+SUMIFS($AH$7:$AH$1843,$BY$7:$BY$1843,BY538,$AK$7:$AK$1843,AK538,$BQ$7:$BQ$1843,"&lt;="&amp;BQ538),"")</f>
        <v>75.2693067801764</v>
      </c>
      <c r="AM538" s="65" t="n">
        <f aca="false">IF(AL538="",0,MAX(0,MIN(1,(IF(BY538="L1",Parameter!$E$5,Parameter!$E$6+Parameter!$E$7)-(AL538-AH538))/AH538)))</f>
        <v>1</v>
      </c>
      <c r="AN538" s="57" t="n">
        <f aca="false">IF(LEFT(Cockpit!$I$5,1)="A",H538,IF(CA538=1,CB538,IF(LEFT(Cockpit!$I$5,1)="B",AR538,MAX(AR538,H538))))</f>
        <v>2328</v>
      </c>
      <c r="AO538" s="57" t="n">
        <f aca="false">IF(BT538=1,0,ROUNDUP(AN538/BS538,0))</f>
        <v>1</v>
      </c>
      <c r="AP538" s="59" t="n">
        <f aca="false">IF(CH538&gt;0,CH538*MAX(1,AN538/X538),IF(BT538=1,IF(AN538&lt;=0,0,BW538*MAX(1,IF(H538&gt;0,AN538/H538,1))),IF(R538&gt;0,AO538/R538,0))/MAX(0.1,N(Parameter!$M$21)))</f>
        <v>0.0384615384615385</v>
      </c>
      <c r="AQ538" s="57" t="n">
        <f aca="false">AN538*G538</f>
        <v>23.28</v>
      </c>
      <c r="AR538" s="57" t="n">
        <f aca="false">ROUNDUP(MAX(J538/IF(BZ538&gt;0,BZ538,MAX(0.1,N(Cockpit!$I$6))),CC538)/BS538,0)*BS538</f>
        <v>2328</v>
      </c>
      <c r="AS538" s="58" t="n">
        <f aca="false">IF(AP538&gt;0,J538/AP538,-1)</f>
        <v>0</v>
      </c>
      <c r="AT538" s="58" t="n">
        <f aca="false">IF(AND(OR(BY538="L1",BY538="L23"),AP538&gt;0),SUMIFS($AP$7:$AP$1843,$BY$7:$BY$1843,BY538,$AS$7:$AS$1843,"&gt;"&amp;AS538)+SUMIFS($AP$7:$AP$1843,$BY$7:$BY$1843,BY538,$AS$7:$AS$1843,AS538,$BQ$7:$BQ$1843,"&lt;="&amp;BQ538),"")</f>
        <v>114.69343096517</v>
      </c>
      <c r="AU538" s="65" t="n">
        <f aca="false">IF(AT538="",0,MAX(0,MIN(1,(IF(BY538="L1",Parameter!$E$5,Parameter!$E$6+Parameter!$E$7)-(AT538-AP538))/AP538)))</f>
        <v>0</v>
      </c>
      <c r="AV538" s="57" t="n">
        <f aca="false">IF(LEFT(Cockpit!$O$5,1)="A",H538,IF(CA538=1,CB538,IF(LEFT(Cockpit!$O$5,1)="B",AZ538,MAX(AZ538,H538))))</f>
        <v>2328</v>
      </c>
      <c r="AW538" s="57" t="n">
        <f aca="false">IF(BT538=1,0,ROUNDUP(AV538/BS538,0))</f>
        <v>1</v>
      </c>
      <c r="AX538" s="59" t="n">
        <f aca="false">IF(CH538&gt;0,CH538*MAX(1,AV538/X538),IF(BT538=1,IF(AV538&lt;=0,0,BW538*MAX(1,IF(H538&gt;0,AV538/H538,1))),IF(R538&gt;0,AW538/R538,0))/MAX(0.1,N(Parameter!$M$21)))</f>
        <v>0.0384615384615385</v>
      </c>
      <c r="AY538" s="57" t="n">
        <f aca="false">AV538*G538</f>
        <v>23.28</v>
      </c>
      <c r="AZ538" s="57" t="n">
        <f aca="false">ROUNDUP(MAX(J538/IF(BZ538&gt;0,BZ538,MAX(0.1,N(Cockpit!$O$6))),CC538)/BS538,0)*BS538</f>
        <v>2328</v>
      </c>
      <c r="BA538" s="58" t="n">
        <f aca="false">IF(AX538&gt;0,J538/AX538,-1)</f>
        <v>0</v>
      </c>
      <c r="BB538" s="58" t="n">
        <f aca="false">IF(AND(OR(BY538="L1",BY538="L23"),AX538&gt;0),SUMIFS($AX$7:$AX$1843,$BY$7:$BY$1843,BY538,$BA$7:$BA$1843,"&gt;"&amp;BA538)+SUMIFS($AX$7:$AX$1843,$BY$7:$BY$1843,BY538,$BA$7:$BA$1843,BA538,$BQ$7:$BQ$1843,"&lt;="&amp;BQ538),"")</f>
        <v>105.523267795007</v>
      </c>
      <c r="BC538" s="65" t="n">
        <f aca="false">IF(BB538="",0,MAX(0,MIN(1,(IF(BY538="L1",Parameter!$E$5,Parameter!$E$6+Parameter!$E$7)-(BB538-AX538))/AX538)))</f>
        <v>0</v>
      </c>
      <c r="BD538" s="55" t="str">
        <f aca="false">IF(AH538&lt;=0,"",IF(BY538="Aussen","Aussenlager",IF(BY538="-","Nicht im Lift",IF(AM538&gt;=1,"Lift",IF(AM538&lt;=0,"Aussenlager","teilweise")))))</f>
        <v>Lift</v>
      </c>
      <c r="BE538" s="55" t="str">
        <f aca="false">IF(AP538&lt;=0,"",IF(BY538="Aussen","Aussenlager",IF(BY538="-","Nicht im Lift",IF(AU538&gt;=1,"Lift",IF(AU538&lt;=0,"Aussenlager","teilweise")))))</f>
        <v>Aussenlager</v>
      </c>
      <c r="BF538" s="55" t="str">
        <f aca="false">IF(AX538&lt;=0,"",IF(BY538="Aussen","Aussenlager",IF(BY538="-","Nicht im Lift",IF(BC538&gt;=1,"Lift",IF(BC538&lt;=0,"Aussenlager","teilweise")))))</f>
        <v>Aussenlager</v>
      </c>
      <c r="BG538" s="55" t="str">
        <f aca="false">IF(A538="","",IF(BP538=1,"Neu; ","")&amp;IF(AND(BP538=0,BK538&lt;0),"negativer Bestand (Export "&amp;BK538&amp;"); ","")&amp;IF(J538&lt;=0,"Kein Verbrauch; ","")&amp;IF(CH538&gt;0,"Lift "&amp;W538&amp;" lt. Liftbericht (Fach "&amp;X538&amp;" Stk); ",IF(BU538=1,"Gebinde geschätzt ("&amp;T538&amp;"); ",IF(BT538=1,"Lose – Tablare geschätzt; ","")))&amp;IF(H538&gt;AR538,"Überbestand "&amp;ROUND(H538-AR538,0)&amp;" Stk / CHF "&amp;ROUND((H538-AR538)*G538,0)&amp;"; ","")&amp;IF(AND(CA538=1,CB538&lt;CC538),"MAX &lt; MB+LG; ","")&amp;IF(AND(CG538&gt;0,CF538*10&gt;CG538),"zu hoch für Tablar; ","")&amp;IF(AND(BP538=0,OR(CA538=1,AA538&lt;&gt;"",U538&lt;&gt;"",V538&lt;&gt;"",AB538&lt;&gt;"")),"manuell übersteuert; ","")&amp;IF(AND(BT538=0,R538=0),"Gebinde unbekannt / Stellmass fehlt; ","")&amp;IF(AND(BT538=0,N(V538)&lt;=0,N(Q538)&lt;=0),"Menge pro Gebinde fehlt (Ist = 1 Gebinde); ","")&amp;BO538)</f>
        <v>Kein Verbrauch; Gebinde geschätzt (Klein); Menge pro Gebinde fehlt (Ist = 1 Gebinde); </v>
      </c>
      <c r="BH538" s="55"/>
      <c r="BI538" s="55"/>
      <c r="BJ538" s="62"/>
      <c r="BK538" s="57" t="n">
        <v>2328</v>
      </c>
      <c r="BL538" s="57" t="n">
        <v>0</v>
      </c>
      <c r="BM538" s="56" t="n">
        <v>23.2800000000001</v>
      </c>
      <c r="BN538" s="57" t="n">
        <v>0</v>
      </c>
      <c r="BO538" s="55"/>
      <c r="BP538" s="60" t="n">
        <v>0</v>
      </c>
      <c r="BQ538" s="60" t="n">
        <v>538</v>
      </c>
      <c r="BR538" s="55" t="str">
        <f aca="false">IF(U538&lt;&gt;"",UPPER(TRIM(U538)),IF(BU538=1,UPPER(VLOOKUP(T538,Parameter!$I$27:$K$29,2,0)),IF(P538="","LOSE",P538)))</f>
        <v>S51</v>
      </c>
      <c r="BS538" s="57" t="n">
        <f aca="false">IF(BR538="LOSE",1,IF(N(V538)&gt;0,V538,IF(BU538=1,MAX(1,N(VLOOKUP(T538,Parameter!$I$27:$K$29,3,0)),H538,N(N538)),IF(N(Q538)&gt;0,Q538,MAX(1,H538)))))</f>
        <v>2328</v>
      </c>
      <c r="BT538" s="60" t="n">
        <f aca="false">IF(BR538="LOSE",1,0)</f>
        <v>0</v>
      </c>
      <c r="BU538" s="60" t="n">
        <f aca="false">IF(AND(U538="",OR(P538="",P538="LOSE"),T538&lt;&gt;"",N(S538)&lt;=0,ISNUMBER(MATCH(T538,Parameter!$I$27:$I$29,0))),1,0)</f>
        <v>1</v>
      </c>
      <c r="BV538" s="55" t="str">
        <f aca="false">IF(AND(Parameter!$B$19="Ja",E538&lt;&gt;"",ISNUMBER(MATCH(E538,Parameter!$I$35:$I$52,0))),VLOOKUP(E538,Parameter!$I$35:$J$52,2,0),IFERROR(VLOOKUP(D538,Parameter!$A$35:$C$64,2,0),"Nein"))</f>
        <v>2+3</v>
      </c>
      <c r="BW538" s="59" t="n">
        <f aca="false">IF(BT538=0,0,IF(N(S538)&gt;0,S538,IFERROR(VLOOKUP(D538,Parameter!$A$35:$C$64,3,0)+0,0)))</f>
        <v>0</v>
      </c>
      <c r="BX538" s="55" t="n">
        <f aca="false">IF(AA538&lt;&gt;"",AA538,Z538)</f>
        <v>3</v>
      </c>
      <c r="BY538" s="55" t="str">
        <f aca="false">IF(BX538=1,"L1",IF(OR(BX538=2,BX538=3),"L23",IF(BX538="Aussen","Aussen","-")))</f>
        <v>L23</v>
      </c>
      <c r="BZ538" s="66" t="n">
        <f aca="false">IF(N(AB538)&gt;0,AB538,0)</f>
        <v>0</v>
      </c>
      <c r="CA538" s="60" t="n">
        <f aca="false">IF(ISNUMBER(AE538),1,0)</f>
        <v>0</v>
      </c>
      <c r="CB538" s="57" t="n">
        <f aca="false">N(AE538)</f>
        <v>0</v>
      </c>
      <c r="CC538" s="57" t="n">
        <f aca="false">N(M538)+N(N538)</f>
        <v>610</v>
      </c>
      <c r="CD538" s="57" t="n">
        <f aca="false">ROUNDUP(H538/BS538,0)</f>
        <v>1</v>
      </c>
      <c r="CE538" s="57" t="n">
        <f aca="false">ROUNDUP(CB538/BS538,0)</f>
        <v>0</v>
      </c>
      <c r="CF538" s="60" t="n">
        <f aca="false">IF(BT538=1,0,IFERROR(VLOOKUP(BR538,'Gebinde-Kategorie'!$A$5:$M$45,5,0)+0,0))</f>
        <v>11</v>
      </c>
      <c r="CG538" s="60" t="n">
        <f aca="false">IFERROR(IF(OR(BX538=1,BX538=2,BX538=3),N(INDEX(Parameter!$I$5:$I$7,BX538)),0),0)</f>
        <v>0</v>
      </c>
      <c r="CH538" s="59" t="n">
        <f aca="false">IF(AND(Parameter!$B$21="Ja",ISNUMBER(W538),N(X538)&gt;0),IFERROR(N(INDEX(Parameter!$L$5:$L$7,W538))*INDEX(Parameter!$E$5:$E$7,W538)*X538/SUMIFS($X$7:$X$1843,$W$7:$W$1843,W538),0),0)</f>
        <v>0</v>
      </c>
    </row>
    <row r="539" customFormat="false" ht="15" hidden="false" customHeight="false" outlineLevel="0" collapsed="false">
      <c r="A539" s="55" t="s">
        <v>1158</v>
      </c>
      <c r="B539" s="55" t="s">
        <v>425</v>
      </c>
      <c r="C539" s="55" t="s">
        <v>164</v>
      </c>
      <c r="D539" s="55" t="s">
        <v>184</v>
      </c>
      <c r="E539" s="55"/>
      <c r="F539" s="55" t="s">
        <v>218</v>
      </c>
      <c r="G539" s="56" t="n">
        <v>20.6</v>
      </c>
      <c r="H539" s="57" t="n">
        <f aca="false">MAX(0,IF(AND(Parameter!$B$21="Ja",ISNUMBER(Y539)),Y539,IF(Parameter!$B$20="Jahresanfang 2025 + Export",BL539+BK539,BK539)))</f>
        <v>3</v>
      </c>
      <c r="I539" s="57" t="n">
        <f aca="false">H539*G539</f>
        <v>61.8</v>
      </c>
      <c r="J539" s="57" t="n">
        <f aca="false">BN539*Parameter!$B$18</f>
        <v>10</v>
      </c>
      <c r="K539" s="58" t="n">
        <v>2.5</v>
      </c>
      <c r="L539" s="59" t="n">
        <v>4</v>
      </c>
      <c r="M539" s="57" t="n">
        <v>1</v>
      </c>
      <c r="N539" s="57" t="n">
        <v>10</v>
      </c>
      <c r="O539" s="60" t="n">
        <v>40</v>
      </c>
      <c r="P539" s="55" t="s">
        <v>168</v>
      </c>
      <c r="Q539" s="57"/>
      <c r="R539" s="60" t="n">
        <f aca="false">IF(BT539=1,0,IFERROR(VLOOKUP(BR539,'Gebinde-Kategorie'!$A$5:$M$45,13,0)+0,0))</f>
        <v>26</v>
      </c>
      <c r="S539" s="61"/>
      <c r="T539" s="62" t="s">
        <v>275</v>
      </c>
      <c r="U539" s="62"/>
      <c r="V539" s="62"/>
      <c r="W539" s="55"/>
      <c r="X539" s="57"/>
      <c r="Y539" s="57"/>
      <c r="Z539" s="55" t="n">
        <f aca="false">IF(A539="","",IF(AND(Parameter!$B$21="Ja",ISNUMBER(W539)),W539,IF(BV539="2+3",IF(ISNUMBER(SEARCH("grosser Artikel",BO539)),2,IFERROR(VLOOKUP(BR539,Parameter!$F$35:$G$64,2,0),2)),IF(OR(BV539="Nein",BV539=""),"-",BV539))))</f>
        <v>3</v>
      </c>
      <c r="AA539" s="62"/>
      <c r="AB539" s="63"/>
      <c r="AC539" s="57" t="n">
        <f aca="false">AR539</f>
        <v>20</v>
      </c>
      <c r="AD539" s="57" t="n">
        <f aca="false">MAX(AR539,H539)</f>
        <v>20</v>
      </c>
      <c r="AE539" s="64"/>
      <c r="AF539" s="57" t="n">
        <f aca="false">IF(LEFT(Cockpit!$C$5,1)="A",H539,IF(CA539=1,CB539,IF(LEFT(Cockpit!$C$5,1)="B",AJ539,MAX(AJ539,H539))))</f>
        <v>3</v>
      </c>
      <c r="AG539" s="57" t="n">
        <f aca="false">IF(BT539=1,0,ROUNDUP(AF539/BS539,0))</f>
        <v>1</v>
      </c>
      <c r="AH539" s="59" t="n">
        <f aca="false">IF(CH539&gt;0,CH539*MAX(1,AF539/X539),IF(BT539=1,IF(AF539&lt;=0,0,BW539*MAX(1,IF(H539&gt;0,AF539/H539,1))),IF(R539&gt;0,AG539/R539,0))/MAX(0.1,N(Parameter!$M$21)))</f>
        <v>0.0384615384615385</v>
      </c>
      <c r="AI539" s="57" t="n">
        <f aca="false">AF539*G539</f>
        <v>61.8</v>
      </c>
      <c r="AJ539" s="57" t="n">
        <f aca="false">ROUNDUP(MAX(J539/IF(BZ539&gt;0,BZ539,MAX(0.1,N(Cockpit!$C$6))),CC539)/BS539,0)*BS539</f>
        <v>20</v>
      </c>
      <c r="AK539" s="58" t="n">
        <f aca="false">IF(AH539&gt;0,J539/AH539,-1)</f>
        <v>260</v>
      </c>
      <c r="AL539" s="58" t="n">
        <f aca="false">IF(AND(OR(BY539="L1",BY539="L23"),AH539&gt;0),SUMIFS($AH$7:$AH$1843,$BY$7:$BY$1843,BY539,$AK$7:$AK$1843,"&gt;"&amp;AK539)+SUMIFS($AH$7:$AH$1843,$BY$7:$BY$1843,BY539,$AK$7:$AK$1843,AK539,$BQ$7:$BQ$1843,"&lt;="&amp;BQ539),"")</f>
        <v>29.464545116719</v>
      </c>
      <c r="AM539" s="65" t="n">
        <f aca="false">IF(AL539="",0,MAX(0,MIN(1,(IF(BY539="L1",Parameter!$E$5,Parameter!$E$6+Parameter!$E$7)-(AL539-AH539))/AH539)))</f>
        <v>1</v>
      </c>
      <c r="AN539" s="57" t="n">
        <f aca="false">IF(LEFT(Cockpit!$I$5,1)="A",H539,IF(CA539=1,CB539,IF(LEFT(Cockpit!$I$5,1)="B",AR539,MAX(AR539,H539))))</f>
        <v>20</v>
      </c>
      <c r="AO539" s="57" t="n">
        <f aca="false">IF(BT539=1,0,ROUNDUP(AN539/BS539,0))</f>
        <v>1</v>
      </c>
      <c r="AP539" s="59" t="n">
        <f aca="false">IF(CH539&gt;0,CH539*MAX(1,AN539/X539),IF(BT539=1,IF(AN539&lt;=0,0,BW539*MAX(1,IF(H539&gt;0,AN539/H539,1))),IF(R539&gt;0,AO539/R539,0))/MAX(0.1,N(Parameter!$M$21)))</f>
        <v>0.0384615384615385</v>
      </c>
      <c r="AQ539" s="57" t="n">
        <f aca="false">AN539*G539</f>
        <v>412</v>
      </c>
      <c r="AR539" s="57" t="n">
        <f aca="false">ROUNDUP(MAX(J539/IF(BZ539&gt;0,BZ539,MAX(0.1,N(Cockpit!$I$6))),CC539)/BS539,0)*BS539</f>
        <v>20</v>
      </c>
      <c r="AS539" s="58" t="n">
        <f aca="false">IF(AP539&gt;0,J539/AP539,-1)</f>
        <v>260</v>
      </c>
      <c r="AT539" s="58" t="n">
        <f aca="false">IF(AND(OR(BY539="L1",BY539="L23"),AP539&gt;0),SUMIFS($AP$7:$AP$1843,$BY$7:$BY$1843,BY539,$AS$7:$AS$1843,"&gt;"&amp;AS539)+SUMIFS($AP$7:$AP$1843,$BY$7:$BY$1843,BY539,$AS$7:$AS$1843,AS539,$BQ$7:$BQ$1843,"&lt;="&amp;BQ539),"")</f>
        <v>42.4813266443701</v>
      </c>
      <c r="AU539" s="65" t="n">
        <f aca="false">IF(AT539="",0,MAX(0,MIN(1,(IF(BY539="L1",Parameter!$E$5,Parameter!$E$6+Parameter!$E$7)-(AT539-AP539))/AP539)))</f>
        <v>1</v>
      </c>
      <c r="AV539" s="57" t="n">
        <f aca="false">IF(LEFT(Cockpit!$O$5,1)="A",H539,IF(CA539=1,CB539,IF(LEFT(Cockpit!$O$5,1)="B",AZ539,MAX(AZ539,H539))))</f>
        <v>20</v>
      </c>
      <c r="AW539" s="57" t="n">
        <f aca="false">IF(BT539=1,0,ROUNDUP(AV539/BS539,0))</f>
        <v>1</v>
      </c>
      <c r="AX539" s="59" t="n">
        <f aca="false">IF(CH539&gt;0,CH539*MAX(1,AV539/X539),IF(BT539=1,IF(AV539&lt;=0,0,BW539*MAX(1,IF(H539&gt;0,AV539/H539,1))),IF(R539&gt;0,AW539/R539,0))/MAX(0.1,N(Parameter!$M$21)))</f>
        <v>0.0384615384615385</v>
      </c>
      <c r="AY539" s="57" t="n">
        <f aca="false">AV539*G539</f>
        <v>412</v>
      </c>
      <c r="AZ539" s="57" t="n">
        <f aca="false">ROUNDUP(MAX(J539/IF(BZ539&gt;0,BZ539,MAX(0.1,N(Cockpit!$O$6))),CC539)/BS539,0)*BS539</f>
        <v>20</v>
      </c>
      <c r="BA539" s="58" t="n">
        <f aca="false">IF(AX539&gt;0,J539/AX539,-1)</f>
        <v>260</v>
      </c>
      <c r="BB539" s="58" t="n">
        <f aca="false">IF(AND(OR(BY539="L1",BY539="L23"),AX539&gt;0),SUMIFS($AX$7:$AX$1843,$BY$7:$BY$1843,BY539,$BA$7:$BA$1843,"&gt;"&amp;BA539)+SUMIFS($AX$7:$AX$1843,$BY$7:$BY$1843,BY539,$BA$7:$BA$1843,BA539,$BQ$7:$BQ$1843,"&lt;="&amp;BQ539),"")</f>
        <v>38.811163474207</v>
      </c>
      <c r="BC539" s="65" t="n">
        <f aca="false">IF(BB539="",0,MAX(0,MIN(1,(IF(BY539="L1",Parameter!$E$5,Parameter!$E$6+Parameter!$E$7)-(BB539-AX539))/AX539)))</f>
        <v>1</v>
      </c>
      <c r="BD539" s="55" t="str">
        <f aca="false">IF(AH539&lt;=0,"",IF(BY539="Aussen","Aussenlager",IF(BY539="-","Nicht im Lift",IF(AM539&gt;=1,"Lift",IF(AM539&lt;=0,"Aussenlager","teilweise")))))</f>
        <v>Lift</v>
      </c>
      <c r="BE539" s="55" t="str">
        <f aca="false">IF(AP539&lt;=0,"",IF(BY539="Aussen","Aussenlager",IF(BY539="-","Nicht im Lift",IF(AU539&gt;=1,"Lift",IF(AU539&lt;=0,"Aussenlager","teilweise")))))</f>
        <v>Lift</v>
      </c>
      <c r="BF539" s="55" t="str">
        <f aca="false">IF(AX539&lt;=0,"",IF(BY539="Aussen","Aussenlager",IF(BY539="-","Nicht im Lift",IF(BC539&gt;=1,"Lift",IF(BC539&lt;=0,"Aussenlager","teilweise")))))</f>
        <v>Lift</v>
      </c>
      <c r="BG539" s="55" t="str">
        <f aca="false">IF(A539="","",IF(BP539=1,"Neu; ","")&amp;IF(AND(BP539=0,BK539&lt;0),"negativer Bestand (Export "&amp;BK539&amp;"); ","")&amp;IF(J539&lt;=0,"Kein Verbrauch; ","")&amp;IF(CH539&gt;0,"Lift "&amp;W539&amp;" lt. Liftbericht (Fach "&amp;X539&amp;" Stk); ",IF(BU539=1,"Gebinde geschätzt ("&amp;T539&amp;"); ",IF(BT539=1,"Lose – Tablare geschätzt; ","")))&amp;IF(H539&gt;AR539,"Überbestand "&amp;ROUND(H539-AR539,0)&amp;" Stk / CHF "&amp;ROUND((H539-AR539)*G539,0)&amp;"; ","")&amp;IF(AND(CA539=1,CB539&lt;CC539),"MAX &lt; MB+LG; ","")&amp;IF(AND(CG539&gt;0,CF539*10&gt;CG539),"zu hoch für Tablar; ","")&amp;IF(AND(BP539=0,OR(CA539=1,AA539&lt;&gt;"",U539&lt;&gt;"",V539&lt;&gt;"",AB539&lt;&gt;"")),"manuell übersteuert; ","")&amp;IF(AND(BT539=0,R539=0),"Gebinde unbekannt / Stellmass fehlt; ","")&amp;IF(AND(BT539=0,N(V539)&lt;=0,N(Q539)&lt;=0),"Menge pro Gebinde fehlt (Ist = 1 Gebinde); ","")&amp;BO539)</f>
        <v>Gebinde geschätzt (Klein); Menge pro Gebinde fehlt (Ist = 1 Gebinde); </v>
      </c>
      <c r="BH539" s="55"/>
      <c r="BI539" s="55"/>
      <c r="BJ539" s="62"/>
      <c r="BK539" s="57" t="n">
        <v>1</v>
      </c>
      <c r="BL539" s="57" t="n">
        <v>2</v>
      </c>
      <c r="BM539" s="56" t="n">
        <v>22.6</v>
      </c>
      <c r="BN539" s="57" t="n">
        <v>10</v>
      </c>
      <c r="BO539" s="55"/>
      <c r="BP539" s="60" t="n">
        <v>0</v>
      </c>
      <c r="BQ539" s="60" t="n">
        <v>539</v>
      </c>
      <c r="BR539" s="55" t="str">
        <f aca="false">IF(U539&lt;&gt;"",UPPER(TRIM(U539)),IF(BU539=1,UPPER(VLOOKUP(T539,Parameter!$I$27:$K$29,2,0)),IF(P539="","LOSE",P539)))</f>
        <v>S51</v>
      </c>
      <c r="BS539" s="57" t="n">
        <f aca="false">IF(BR539="LOSE",1,IF(N(V539)&gt;0,V539,IF(BU539=1,MAX(1,N(VLOOKUP(T539,Parameter!$I$27:$K$29,3,0)),H539,N(N539)),IF(N(Q539)&gt;0,Q539,MAX(1,H539)))))</f>
        <v>20</v>
      </c>
      <c r="BT539" s="60" t="n">
        <f aca="false">IF(BR539="LOSE",1,0)</f>
        <v>0</v>
      </c>
      <c r="BU539" s="60" t="n">
        <f aca="false">IF(AND(U539="",OR(P539="",P539="LOSE"),T539&lt;&gt;"",N(S539)&lt;=0,ISNUMBER(MATCH(T539,Parameter!$I$27:$I$29,0))),1,0)</f>
        <v>1</v>
      </c>
      <c r="BV539" s="55" t="str">
        <f aca="false">IF(AND(Parameter!$B$19="Ja",E539&lt;&gt;"",ISNUMBER(MATCH(E539,Parameter!$I$35:$I$52,0))),VLOOKUP(E539,Parameter!$I$35:$J$52,2,0),IFERROR(VLOOKUP(D539,Parameter!$A$35:$C$64,2,0),"Nein"))</f>
        <v>2+3</v>
      </c>
      <c r="BW539" s="59" t="n">
        <f aca="false">IF(BT539=0,0,IF(N(S539)&gt;0,S539,IFERROR(VLOOKUP(D539,Parameter!$A$35:$C$64,3,0)+0,0)))</f>
        <v>0</v>
      </c>
      <c r="BX539" s="55" t="n">
        <f aca="false">IF(AA539&lt;&gt;"",AA539,Z539)</f>
        <v>3</v>
      </c>
      <c r="BY539" s="55" t="str">
        <f aca="false">IF(BX539=1,"L1",IF(OR(BX539=2,BX539=3),"L23",IF(BX539="Aussen","Aussen","-")))</f>
        <v>L23</v>
      </c>
      <c r="BZ539" s="66" t="n">
        <f aca="false">IF(N(AB539)&gt;0,AB539,0)</f>
        <v>0</v>
      </c>
      <c r="CA539" s="60" t="n">
        <f aca="false">IF(ISNUMBER(AE539),1,0)</f>
        <v>0</v>
      </c>
      <c r="CB539" s="57" t="n">
        <f aca="false">N(AE539)</f>
        <v>0</v>
      </c>
      <c r="CC539" s="57" t="n">
        <f aca="false">N(M539)+N(N539)</f>
        <v>11</v>
      </c>
      <c r="CD539" s="57" t="n">
        <f aca="false">ROUNDUP(H539/BS539,0)</f>
        <v>1</v>
      </c>
      <c r="CE539" s="57" t="n">
        <f aca="false">ROUNDUP(CB539/BS539,0)</f>
        <v>0</v>
      </c>
      <c r="CF539" s="60" t="n">
        <f aca="false">IF(BT539=1,0,IFERROR(VLOOKUP(BR539,'Gebinde-Kategorie'!$A$5:$M$45,5,0)+0,0))</f>
        <v>11</v>
      </c>
      <c r="CG539" s="60" t="n">
        <f aca="false">IFERROR(IF(OR(BX539=1,BX539=2,BX539=3),N(INDEX(Parameter!$I$5:$I$7,BX539)),0),0)</f>
        <v>0</v>
      </c>
      <c r="CH539" s="59" t="n">
        <f aca="false">IF(AND(Parameter!$B$21="Ja",ISNUMBER(W539),N(X539)&gt;0),IFERROR(N(INDEX(Parameter!$L$5:$L$7,W539))*INDEX(Parameter!$E$5:$E$7,W539)*X539/SUMIFS($X$7:$X$1843,$W$7:$W$1843,W539),0),0)</f>
        <v>0</v>
      </c>
    </row>
    <row r="540" customFormat="false" ht="15" hidden="false" customHeight="false" outlineLevel="0" collapsed="false">
      <c r="A540" s="55" t="s">
        <v>1159</v>
      </c>
      <c r="B540" s="55" t="s">
        <v>1160</v>
      </c>
      <c r="C540" s="55" t="s">
        <v>164</v>
      </c>
      <c r="D540" s="55" t="s">
        <v>184</v>
      </c>
      <c r="E540" s="55"/>
      <c r="F540" s="55" t="s">
        <v>218</v>
      </c>
      <c r="G540" s="56" t="n">
        <v>8.77</v>
      </c>
      <c r="H540" s="57" t="n">
        <f aca="false">MAX(0,IF(AND(Parameter!$B$21="Ja",ISNUMBER(Y540)),Y540,IF(Parameter!$B$20="Jahresanfang 2025 + Export",BL540+BK540,BK540)))</f>
        <v>11</v>
      </c>
      <c r="I540" s="57" t="n">
        <f aca="false">H540*G540</f>
        <v>96.47</v>
      </c>
      <c r="J540" s="57" t="n">
        <f aca="false">BN540*Parameter!$B$18</f>
        <v>5</v>
      </c>
      <c r="K540" s="58" t="n">
        <v>4</v>
      </c>
      <c r="L540" s="59" t="n">
        <v>1.25</v>
      </c>
      <c r="M540" s="57" t="n">
        <v>0</v>
      </c>
      <c r="N540" s="57" t="n">
        <v>5</v>
      </c>
      <c r="O540" s="60" t="n">
        <v>14</v>
      </c>
      <c r="P540" s="55" t="s">
        <v>426</v>
      </c>
      <c r="Q540" s="57" t="n">
        <v>13</v>
      </c>
      <c r="R540" s="60" t="n">
        <f aca="false">IF(BT540=1,0,IFERROR(VLOOKUP(BR540,'Gebinde-Kategorie'!$A$5:$M$45,13,0)+0,0))</f>
        <v>198</v>
      </c>
      <c r="S540" s="61"/>
      <c r="T540" s="62"/>
      <c r="U540" s="62"/>
      <c r="V540" s="62"/>
      <c r="W540" s="55"/>
      <c r="X540" s="57"/>
      <c r="Y540" s="57"/>
      <c r="Z540" s="55" t="n">
        <f aca="false">IF(A540="","",IF(AND(Parameter!$B$21="Ja",ISNUMBER(W540)),W540,IF(BV540="2+3",IF(ISNUMBER(SEARCH("grosser Artikel",BO540)),2,IFERROR(VLOOKUP(BR540,Parameter!$F$35:$G$64,2,0),2)),IF(OR(BV540="Nein",BV540=""),"-",BV540))))</f>
        <v>3</v>
      </c>
      <c r="AA540" s="62"/>
      <c r="AB540" s="63"/>
      <c r="AC540" s="57" t="n">
        <f aca="false">AR540</f>
        <v>13</v>
      </c>
      <c r="AD540" s="57" t="n">
        <f aca="false">MAX(AR540,H540)</f>
        <v>13</v>
      </c>
      <c r="AE540" s="64"/>
      <c r="AF540" s="57" t="n">
        <f aca="false">IF(LEFT(Cockpit!$C$5,1)="A",H540,IF(CA540=1,CB540,IF(LEFT(Cockpit!$C$5,1)="B",AJ540,MAX(AJ540,H540))))</f>
        <v>11</v>
      </c>
      <c r="AG540" s="57" t="n">
        <f aca="false">IF(BT540=1,0,ROUNDUP(AF540/BS540,0))</f>
        <v>1</v>
      </c>
      <c r="AH540" s="59" t="n">
        <f aca="false">IF(CH540&gt;0,CH540*MAX(1,AF540/X540),IF(BT540=1,IF(AF540&lt;=0,0,BW540*MAX(1,IF(H540&gt;0,AF540/H540,1))),IF(R540&gt;0,AG540/R540,0))/MAX(0.1,N(Parameter!$M$21)))</f>
        <v>0.00505050505050505</v>
      </c>
      <c r="AI540" s="57" t="n">
        <f aca="false">AF540*G540</f>
        <v>96.47</v>
      </c>
      <c r="AJ540" s="57" t="n">
        <f aca="false">ROUNDUP(MAX(J540/IF(BZ540&gt;0,BZ540,MAX(0.1,N(Cockpit!$C$6))),CC540)/BS540,0)*BS540</f>
        <v>13</v>
      </c>
      <c r="AK540" s="58" t="n">
        <f aca="false">IF(AH540&gt;0,J540/AH540,-1)</f>
        <v>990</v>
      </c>
      <c r="AL540" s="58" t="n">
        <f aca="false">IF(AND(OR(BY540="L1",BY540="L23"),AH540&gt;0),SUMIFS($AH$7:$AH$1843,$BY$7:$BY$1843,BY540,$AK$7:$AK$1843,"&gt;"&amp;AK540)+SUMIFS($AH$7:$AH$1843,$BY$7:$BY$1843,BY540,$AK$7:$AK$1843,AK540,$BQ$7:$BQ$1843,"&lt;="&amp;BQ540),"")</f>
        <v>18.0561551974595</v>
      </c>
      <c r="AM540" s="65" t="n">
        <f aca="false">IF(AL540="",0,MAX(0,MIN(1,(IF(BY540="L1",Parameter!$E$5,Parameter!$E$6+Parameter!$E$7)-(AL540-AH540))/AH540)))</f>
        <v>1</v>
      </c>
      <c r="AN540" s="57" t="n">
        <f aca="false">IF(LEFT(Cockpit!$I$5,1)="A",H540,IF(CA540=1,CB540,IF(LEFT(Cockpit!$I$5,1)="B",AR540,MAX(AR540,H540))))</f>
        <v>13</v>
      </c>
      <c r="AO540" s="57" t="n">
        <f aca="false">IF(BT540=1,0,ROUNDUP(AN540/BS540,0))</f>
        <v>1</v>
      </c>
      <c r="AP540" s="59" t="n">
        <f aca="false">IF(CH540&gt;0,CH540*MAX(1,AN540/X540),IF(BT540=1,IF(AN540&lt;=0,0,BW540*MAX(1,IF(H540&gt;0,AN540/H540,1))),IF(R540&gt;0,AO540/R540,0))/MAX(0.1,N(Parameter!$M$21)))</f>
        <v>0.00505050505050505</v>
      </c>
      <c r="AQ540" s="57" t="n">
        <f aca="false">AN540*G540</f>
        <v>114.01</v>
      </c>
      <c r="AR540" s="57" t="n">
        <f aca="false">ROUNDUP(MAX(J540/IF(BZ540&gt;0,BZ540,MAX(0.1,N(Cockpit!$I$6))),CC540)/BS540,0)*BS540</f>
        <v>13</v>
      </c>
      <c r="AS540" s="58" t="n">
        <f aca="false">IF(AP540&gt;0,J540/AP540,-1)</f>
        <v>990</v>
      </c>
      <c r="AT540" s="58" t="n">
        <f aca="false">IF(AND(OR(BY540="L1",BY540="L23"),AP540&gt;0),SUMIFS($AP$7:$AP$1843,$BY$7:$BY$1843,BY540,$AS$7:$AS$1843,"&gt;"&amp;AS540)+SUMIFS($AP$7:$AP$1843,$BY$7:$BY$1843,BY540,$AS$7:$AS$1843,AS540,$BQ$7:$BQ$1843,"&lt;="&amp;BQ540),"")</f>
        <v>23.7174504239722</v>
      </c>
      <c r="AU540" s="65" t="n">
        <f aca="false">IF(AT540="",0,MAX(0,MIN(1,(IF(BY540="L1",Parameter!$E$5,Parameter!$E$6+Parameter!$E$7)-(AT540-AP540))/AP540)))</f>
        <v>1</v>
      </c>
      <c r="AV540" s="57" t="n">
        <f aca="false">IF(LEFT(Cockpit!$O$5,1)="A",H540,IF(CA540=1,CB540,IF(LEFT(Cockpit!$O$5,1)="B",AZ540,MAX(AZ540,H540))))</f>
        <v>13</v>
      </c>
      <c r="AW540" s="57" t="n">
        <f aca="false">IF(BT540=1,0,ROUNDUP(AV540/BS540,0))</f>
        <v>1</v>
      </c>
      <c r="AX540" s="59" t="n">
        <f aca="false">IF(CH540&gt;0,CH540*MAX(1,AV540/X540),IF(BT540=1,IF(AV540&lt;=0,0,BW540*MAX(1,IF(H540&gt;0,AV540/H540,1))),IF(R540&gt;0,AW540/R540,0))/MAX(0.1,N(Parameter!$M$21)))</f>
        <v>0.00505050505050505</v>
      </c>
      <c r="AY540" s="57" t="n">
        <f aca="false">AV540*G540</f>
        <v>114.01</v>
      </c>
      <c r="AZ540" s="57" t="n">
        <f aca="false">ROUNDUP(MAX(J540/IF(BZ540&gt;0,BZ540,MAX(0.1,N(Cockpit!$O$6))),CC540)/BS540,0)*BS540</f>
        <v>13</v>
      </c>
      <c r="BA540" s="58" t="n">
        <f aca="false">IF(AX540&gt;0,J540/AX540,-1)</f>
        <v>990</v>
      </c>
      <c r="BB540" s="58" t="n">
        <f aca="false">IF(AND(OR(BY540="L1",BY540="L23"),AX540&gt;0),SUMIFS($AX$7:$AX$1843,$BY$7:$BY$1843,BY540,$BA$7:$BA$1843,"&gt;"&amp;BA540)+SUMIFS($AX$7:$AX$1843,$BY$7:$BY$1843,BY540,$BA$7:$BA$1843,BA540,$BQ$7:$BQ$1843,"&lt;="&amp;BQ540),"")</f>
        <v>23.1690821256039</v>
      </c>
      <c r="BC540" s="65" t="n">
        <f aca="false">IF(BB540="",0,MAX(0,MIN(1,(IF(BY540="L1",Parameter!$E$5,Parameter!$E$6+Parameter!$E$7)-(BB540-AX540))/AX540)))</f>
        <v>1</v>
      </c>
      <c r="BD540" s="55" t="str">
        <f aca="false">IF(AH540&lt;=0,"",IF(BY540="Aussen","Aussenlager",IF(BY540="-","Nicht im Lift",IF(AM540&gt;=1,"Lift",IF(AM540&lt;=0,"Aussenlager","teilweise")))))</f>
        <v>Lift</v>
      </c>
      <c r="BE540" s="55" t="str">
        <f aca="false">IF(AP540&lt;=0,"",IF(BY540="Aussen","Aussenlager",IF(BY540="-","Nicht im Lift",IF(AU540&gt;=1,"Lift",IF(AU540&lt;=0,"Aussenlager","teilweise")))))</f>
        <v>Lift</v>
      </c>
      <c r="BF540" s="55" t="str">
        <f aca="false">IF(AX540&lt;=0,"",IF(BY540="Aussen","Aussenlager",IF(BY540="-","Nicht im Lift",IF(BC540&gt;=1,"Lift",IF(BC540&lt;=0,"Aussenlager","teilweise")))))</f>
        <v>Lift</v>
      </c>
      <c r="BG540" s="55" t="str">
        <f aca="false">IF(A540="","",IF(BP540=1,"Neu; ","")&amp;IF(AND(BP540=0,BK540&lt;0),"negativer Bestand (Export "&amp;BK540&amp;"); ","")&amp;IF(J540&lt;=0,"Kein Verbrauch; ","")&amp;IF(CH540&gt;0,"Lift "&amp;W540&amp;" lt. Liftbericht (Fach "&amp;X540&amp;" Stk); ",IF(BU540=1,"Gebinde geschätzt ("&amp;T540&amp;"); ",IF(BT540=1,"Lose – Tablare geschätzt; ","")))&amp;IF(H540&gt;AR540,"Überbestand "&amp;ROUND(H540-AR540,0)&amp;" Stk / CHF "&amp;ROUND((H540-AR540)*G540,0)&amp;"; ","")&amp;IF(AND(CA540=1,CB540&lt;CC540),"MAX &lt; MB+LG; ","")&amp;IF(AND(CG540&gt;0,CF540*10&gt;CG540),"zu hoch für Tablar; ","")&amp;IF(AND(BP540=0,OR(CA540=1,AA540&lt;&gt;"",U540&lt;&gt;"",V540&lt;&gt;"",AB540&lt;&gt;"")),"manuell übersteuert; ","")&amp;IF(AND(BT540=0,R540=0),"Gebinde unbekannt / Stellmass fehlt; ","")&amp;IF(AND(BT540=0,N(V540)&lt;=0,N(Q540)&lt;=0),"Menge pro Gebinde fehlt (Ist = 1 Gebinde); ","")&amp;BO540)</f>
        <v/>
      </c>
      <c r="BH540" s="55"/>
      <c r="BI540" s="55"/>
      <c r="BJ540" s="62"/>
      <c r="BK540" s="57" t="n">
        <v>5</v>
      </c>
      <c r="BL540" s="57" t="n">
        <v>6</v>
      </c>
      <c r="BM540" s="56" t="n">
        <v>22.13</v>
      </c>
      <c r="BN540" s="57" t="n">
        <v>5</v>
      </c>
      <c r="BO540" s="55"/>
      <c r="BP540" s="60" t="n">
        <v>0</v>
      </c>
      <c r="BQ540" s="60" t="n">
        <v>540</v>
      </c>
      <c r="BR540" s="55" t="str">
        <f aca="false">IF(U540&lt;&gt;"",UPPER(TRIM(U540)),IF(BU540=1,UPPER(VLOOKUP(T540,Parameter!$I$27:$K$29,2,0)),IF(P540="","LOSE",P540)))</f>
        <v>S22</v>
      </c>
      <c r="BS540" s="57" t="n">
        <f aca="false">IF(BR540="LOSE",1,IF(N(V540)&gt;0,V540,IF(BU540=1,MAX(1,N(VLOOKUP(T540,Parameter!$I$27:$K$29,3,0)),H540,N(N540)),IF(N(Q540)&gt;0,Q540,MAX(1,H540)))))</f>
        <v>13</v>
      </c>
      <c r="BT540" s="60" t="n">
        <f aca="false">IF(BR540="LOSE",1,0)</f>
        <v>0</v>
      </c>
      <c r="BU540" s="60" t="n">
        <f aca="false">IF(AND(U540="",OR(P540="",P540="LOSE"),T540&lt;&gt;"",N(S540)&lt;=0,ISNUMBER(MATCH(T540,Parameter!$I$27:$I$29,0))),1,0)</f>
        <v>0</v>
      </c>
      <c r="BV540" s="55" t="str">
        <f aca="false">IF(AND(Parameter!$B$19="Ja",E540&lt;&gt;"",ISNUMBER(MATCH(E540,Parameter!$I$35:$I$52,0))),VLOOKUP(E540,Parameter!$I$35:$J$52,2,0),IFERROR(VLOOKUP(D540,Parameter!$A$35:$C$64,2,0),"Nein"))</f>
        <v>2+3</v>
      </c>
      <c r="BW540" s="59" t="n">
        <f aca="false">IF(BT540=0,0,IF(N(S540)&gt;0,S540,IFERROR(VLOOKUP(D540,Parameter!$A$35:$C$64,3,0)+0,0)))</f>
        <v>0</v>
      </c>
      <c r="BX540" s="55" t="n">
        <f aca="false">IF(AA540&lt;&gt;"",AA540,Z540)</f>
        <v>3</v>
      </c>
      <c r="BY540" s="55" t="str">
        <f aca="false">IF(BX540=1,"L1",IF(OR(BX540=2,BX540=3),"L23",IF(BX540="Aussen","Aussen","-")))</f>
        <v>L23</v>
      </c>
      <c r="BZ540" s="66" t="n">
        <f aca="false">IF(N(AB540)&gt;0,AB540,0)</f>
        <v>0</v>
      </c>
      <c r="CA540" s="60" t="n">
        <f aca="false">IF(ISNUMBER(AE540),1,0)</f>
        <v>0</v>
      </c>
      <c r="CB540" s="57" t="n">
        <f aca="false">N(AE540)</f>
        <v>0</v>
      </c>
      <c r="CC540" s="57" t="n">
        <f aca="false">N(M540)+N(N540)</f>
        <v>5</v>
      </c>
      <c r="CD540" s="57" t="n">
        <f aca="false">ROUNDUP(H540/BS540,0)</f>
        <v>1</v>
      </c>
      <c r="CE540" s="57" t="n">
        <f aca="false">ROUNDUP(CB540/BS540,0)</f>
        <v>0</v>
      </c>
      <c r="CF540" s="60" t="n">
        <f aca="false">IF(BT540=1,0,IFERROR(VLOOKUP(BR540,'Gebinde-Kategorie'!$A$5:$M$45,5,0)+0,0))</f>
        <v>8</v>
      </c>
      <c r="CG540" s="60" t="n">
        <f aca="false">IFERROR(IF(OR(BX540=1,BX540=2,BX540=3),N(INDEX(Parameter!$I$5:$I$7,BX540)),0),0)</f>
        <v>0</v>
      </c>
      <c r="CH540" s="59" t="n">
        <f aca="false">IF(AND(Parameter!$B$21="Ja",ISNUMBER(W540),N(X540)&gt;0),IFERROR(N(INDEX(Parameter!$L$5:$L$7,W540))*INDEX(Parameter!$E$5:$E$7,W540)*X540/SUMIFS($X$7:$X$1843,$W$7:$W$1843,W540),0),0)</f>
        <v>0</v>
      </c>
    </row>
    <row r="541" customFormat="false" ht="15" hidden="false" customHeight="false" outlineLevel="0" collapsed="false">
      <c r="A541" s="55" t="s">
        <v>1161</v>
      </c>
      <c r="B541" s="55" t="s">
        <v>1162</v>
      </c>
      <c r="C541" s="55" t="s">
        <v>167</v>
      </c>
      <c r="D541" s="55" t="s">
        <v>184</v>
      </c>
      <c r="E541" s="55" t="s">
        <v>185</v>
      </c>
      <c r="F541" s="55" t="s">
        <v>218</v>
      </c>
      <c r="G541" s="56" t="n">
        <v>7.21</v>
      </c>
      <c r="H541" s="57" t="n">
        <f aca="false">MAX(0,IF(AND(Parameter!$B$21="Ja",ISNUMBER(Y541)),Y541,IF(Parameter!$B$20="Jahresanfang 2025 + Export",BL541+BK541,BK541)))</f>
        <v>137</v>
      </c>
      <c r="I541" s="57" t="n">
        <f aca="false">H541*G541</f>
        <v>987.77</v>
      </c>
      <c r="J541" s="57" t="n">
        <f aca="false">BN541*Parameter!$B$18</f>
        <v>0</v>
      </c>
      <c r="K541" s="58" t="n">
        <v>135.5</v>
      </c>
      <c r="L541" s="59" t="n">
        <v>0</v>
      </c>
      <c r="M541" s="57" t="n">
        <v>0</v>
      </c>
      <c r="N541" s="57" t="n">
        <v>1</v>
      </c>
      <c r="O541" s="60" t="n">
        <v>56</v>
      </c>
      <c r="P541" s="55" t="s">
        <v>226</v>
      </c>
      <c r="Q541" s="57" t="n">
        <v>137</v>
      </c>
      <c r="R541" s="60" t="n">
        <f aca="false">IF(BT541=1,0,IFERROR(VLOOKUP(BR541,'Gebinde-Kategorie'!$A$5:$M$45,13,0)+0,0))</f>
        <v>12</v>
      </c>
      <c r="S541" s="61"/>
      <c r="T541" s="62"/>
      <c r="U541" s="62"/>
      <c r="V541" s="62"/>
      <c r="W541" s="55"/>
      <c r="X541" s="57"/>
      <c r="Y541" s="57"/>
      <c r="Z541" s="55" t="n">
        <f aca="false">IF(A541="","",IF(AND(Parameter!$B$21="Ja",ISNUMBER(W541)),W541,IF(BV541="2+3",IF(ISNUMBER(SEARCH("grosser Artikel",BO541)),2,IFERROR(VLOOKUP(BR541,Parameter!$F$35:$G$64,2,0),2)),IF(OR(BV541="Nein",BV541=""),"-",BV541))))</f>
        <v>2</v>
      </c>
      <c r="AA541" s="62"/>
      <c r="AB541" s="63"/>
      <c r="AC541" s="57" t="n">
        <f aca="false">AR541</f>
        <v>137</v>
      </c>
      <c r="AD541" s="57" t="n">
        <f aca="false">MAX(AR541,H541)</f>
        <v>137</v>
      </c>
      <c r="AE541" s="64"/>
      <c r="AF541" s="57" t="n">
        <f aca="false">IF(LEFT(Cockpit!$C$5,1)="A",H541,IF(CA541=1,CB541,IF(LEFT(Cockpit!$C$5,1)="B",AJ541,MAX(AJ541,H541))))</f>
        <v>137</v>
      </c>
      <c r="AG541" s="57" t="n">
        <f aca="false">IF(BT541=1,0,ROUNDUP(AF541/BS541,0))</f>
        <v>1</v>
      </c>
      <c r="AH541" s="59" t="n">
        <f aca="false">IF(CH541&gt;0,CH541*MAX(1,AF541/X541),IF(BT541=1,IF(AF541&lt;=0,0,BW541*MAX(1,IF(H541&gt;0,AF541/H541,1))),IF(R541&gt;0,AG541/R541,0))/MAX(0.1,N(Parameter!$M$21)))</f>
        <v>0.0833333333333333</v>
      </c>
      <c r="AI541" s="57" t="n">
        <f aca="false">AF541*G541</f>
        <v>987.77</v>
      </c>
      <c r="AJ541" s="57" t="n">
        <f aca="false">ROUNDUP(MAX(J541/IF(BZ541&gt;0,BZ541,MAX(0.1,N(Cockpit!$C$6))),CC541)/BS541,0)*BS541</f>
        <v>137</v>
      </c>
      <c r="AK541" s="58" t="n">
        <f aca="false">IF(AH541&gt;0,J541/AH541,-1)</f>
        <v>0</v>
      </c>
      <c r="AL541" s="58" t="n">
        <f aca="false">IF(AND(OR(BY541="L1",BY541="L23"),AH541&gt;0),SUMIFS($AH$7:$AH$1843,$BY$7:$BY$1843,BY541,$AK$7:$AK$1843,"&gt;"&amp;AK541)+SUMIFS($AH$7:$AH$1843,$BY$7:$BY$1843,BY541,$AK$7:$AK$1843,AK541,$BQ$7:$BQ$1843,"&lt;="&amp;BQ541),"")</f>
        <v>75.3526401135097</v>
      </c>
      <c r="AM541" s="65" t="n">
        <f aca="false">IF(AL541="",0,MAX(0,MIN(1,(IF(BY541="L1",Parameter!$E$5,Parameter!$E$6+Parameter!$E$7)-(AL541-AH541))/AH541)))</f>
        <v>1</v>
      </c>
      <c r="AN541" s="57" t="n">
        <f aca="false">IF(LEFT(Cockpit!$I$5,1)="A",H541,IF(CA541=1,CB541,IF(LEFT(Cockpit!$I$5,1)="B",AR541,MAX(AR541,H541))))</f>
        <v>137</v>
      </c>
      <c r="AO541" s="57" t="n">
        <f aca="false">IF(BT541=1,0,ROUNDUP(AN541/BS541,0))</f>
        <v>1</v>
      </c>
      <c r="AP541" s="59" t="n">
        <f aca="false">IF(CH541&gt;0,CH541*MAX(1,AN541/X541),IF(BT541=1,IF(AN541&lt;=0,0,BW541*MAX(1,IF(H541&gt;0,AN541/H541,1))),IF(R541&gt;0,AO541/R541,0))/MAX(0.1,N(Parameter!$M$21)))</f>
        <v>0.0833333333333333</v>
      </c>
      <c r="AQ541" s="57" t="n">
        <f aca="false">AN541*G541</f>
        <v>987.77</v>
      </c>
      <c r="AR541" s="57" t="n">
        <f aca="false">ROUNDUP(MAX(J541/IF(BZ541&gt;0,BZ541,MAX(0.1,N(Cockpit!$I$6))),CC541)/BS541,0)*BS541</f>
        <v>137</v>
      </c>
      <c r="AS541" s="58" t="n">
        <f aca="false">IF(AP541&gt;0,J541/AP541,-1)</f>
        <v>0</v>
      </c>
      <c r="AT541" s="58" t="n">
        <f aca="false">IF(AND(OR(BY541="L1",BY541="L23"),AP541&gt;0),SUMIFS($AP$7:$AP$1843,$BY$7:$BY$1843,BY541,$AS$7:$AS$1843,"&gt;"&amp;AS541)+SUMIFS($AP$7:$AP$1843,$BY$7:$BY$1843,BY541,$AS$7:$AS$1843,AS541,$BQ$7:$BQ$1843,"&lt;="&amp;BQ541),"")</f>
        <v>114.776764298503</v>
      </c>
      <c r="AU541" s="65" t="n">
        <f aca="false">IF(AT541="",0,MAX(0,MIN(1,(IF(BY541="L1",Parameter!$E$5,Parameter!$E$6+Parameter!$E$7)-(AT541-AP541))/AP541)))</f>
        <v>0</v>
      </c>
      <c r="AV541" s="57" t="n">
        <f aca="false">IF(LEFT(Cockpit!$O$5,1)="A",H541,IF(CA541=1,CB541,IF(LEFT(Cockpit!$O$5,1)="B",AZ541,MAX(AZ541,H541))))</f>
        <v>137</v>
      </c>
      <c r="AW541" s="57" t="n">
        <f aca="false">IF(BT541=1,0,ROUNDUP(AV541/BS541,0))</f>
        <v>1</v>
      </c>
      <c r="AX541" s="59" t="n">
        <f aca="false">IF(CH541&gt;0,CH541*MAX(1,AV541/X541),IF(BT541=1,IF(AV541&lt;=0,0,BW541*MAX(1,IF(H541&gt;0,AV541/H541,1))),IF(R541&gt;0,AW541/R541,0))/MAX(0.1,N(Parameter!$M$21)))</f>
        <v>0.0833333333333333</v>
      </c>
      <c r="AY541" s="57" t="n">
        <f aca="false">AV541*G541</f>
        <v>987.77</v>
      </c>
      <c r="AZ541" s="57" t="n">
        <f aca="false">ROUNDUP(MAX(J541/IF(BZ541&gt;0,BZ541,MAX(0.1,N(Cockpit!$O$6))),CC541)/BS541,0)*BS541</f>
        <v>137</v>
      </c>
      <c r="BA541" s="58" t="n">
        <f aca="false">IF(AX541&gt;0,J541/AX541,-1)</f>
        <v>0</v>
      </c>
      <c r="BB541" s="58" t="n">
        <f aca="false">IF(AND(OR(BY541="L1",BY541="L23"),AX541&gt;0),SUMIFS($AX$7:$AX$1843,$BY$7:$BY$1843,BY541,$BA$7:$BA$1843,"&gt;"&amp;BA541)+SUMIFS($AX$7:$AX$1843,$BY$7:$BY$1843,BY541,$BA$7:$BA$1843,BA541,$BQ$7:$BQ$1843,"&lt;="&amp;BQ541),"")</f>
        <v>105.60660112834</v>
      </c>
      <c r="BC541" s="65" t="n">
        <f aca="false">IF(BB541="",0,MAX(0,MIN(1,(IF(BY541="L1",Parameter!$E$5,Parameter!$E$6+Parameter!$E$7)-(BB541-AX541))/AX541)))</f>
        <v>0</v>
      </c>
      <c r="BD541" s="55" t="str">
        <f aca="false">IF(AH541&lt;=0,"",IF(BY541="Aussen","Aussenlager",IF(BY541="-","Nicht im Lift",IF(AM541&gt;=1,"Lift",IF(AM541&lt;=0,"Aussenlager","teilweise")))))</f>
        <v>Lift</v>
      </c>
      <c r="BE541" s="55" t="str">
        <f aca="false">IF(AP541&lt;=0,"",IF(BY541="Aussen","Aussenlager",IF(BY541="-","Nicht im Lift",IF(AU541&gt;=1,"Lift",IF(AU541&lt;=0,"Aussenlager","teilweise")))))</f>
        <v>Aussenlager</v>
      </c>
      <c r="BF541" s="55" t="str">
        <f aca="false">IF(AX541&lt;=0,"",IF(BY541="Aussen","Aussenlager",IF(BY541="-","Nicht im Lift",IF(BC541&gt;=1,"Lift",IF(BC541&lt;=0,"Aussenlager","teilweise")))))</f>
        <v>Aussenlager</v>
      </c>
      <c r="BG541" s="55" t="str">
        <f aca="false">IF(A541="","",IF(BP541=1,"Neu; ","")&amp;IF(AND(BP541=0,BK541&lt;0),"negativer Bestand (Export "&amp;BK541&amp;"); ","")&amp;IF(J541&lt;=0,"Kein Verbrauch; ","")&amp;IF(CH541&gt;0,"Lift "&amp;W541&amp;" lt. Liftbericht (Fach "&amp;X541&amp;" Stk); ",IF(BU541=1,"Gebinde geschätzt ("&amp;T541&amp;"); ",IF(BT541=1,"Lose – Tablare geschätzt; ","")))&amp;IF(H541&gt;AR541,"Überbestand "&amp;ROUND(H541-AR541,0)&amp;" Stk / CHF "&amp;ROUND((H541-AR541)*G541,0)&amp;"; ","")&amp;IF(AND(CA541=1,CB541&lt;CC541),"MAX &lt; MB+LG; ","")&amp;IF(AND(CG541&gt;0,CF541*10&gt;CG541),"zu hoch für Tablar; ","")&amp;IF(AND(BP541=0,OR(CA541=1,AA541&lt;&gt;"",U541&lt;&gt;"",V541&lt;&gt;"",AB541&lt;&gt;"")),"manuell übersteuert; ","")&amp;IF(AND(BT541=0,R541=0),"Gebinde unbekannt / Stellmass fehlt; ","")&amp;IF(AND(BT541=0,N(V541)&lt;=0,N(Q541)&lt;=0),"Menge pro Gebinde fehlt (Ist = 1 Gebinde); ","")&amp;BO541)</f>
        <v>Kein Verbrauch; </v>
      </c>
      <c r="BH541" s="55"/>
      <c r="BI541" s="55"/>
      <c r="BJ541" s="62"/>
      <c r="BK541" s="57" t="n">
        <v>3</v>
      </c>
      <c r="BL541" s="57" t="n">
        <v>134</v>
      </c>
      <c r="BM541" s="56" t="n">
        <v>21.63</v>
      </c>
      <c r="BN541" s="57" t="n">
        <v>0</v>
      </c>
      <c r="BO541" s="55"/>
      <c r="BP541" s="60" t="n">
        <v>0</v>
      </c>
      <c r="BQ541" s="60" t="n">
        <v>541</v>
      </c>
      <c r="BR541" s="55" t="str">
        <f aca="false">IF(U541&lt;&gt;"",UPPER(TRIM(U541)),IF(BU541=1,UPPER(VLOOKUP(T541,Parameter!$I$27:$K$29,2,0)),IF(P541="","LOSE",P541)))</f>
        <v>S63</v>
      </c>
      <c r="BS541" s="57" t="n">
        <f aca="false">IF(BR541="LOSE",1,IF(N(V541)&gt;0,V541,IF(BU541=1,MAX(1,N(VLOOKUP(T541,Parameter!$I$27:$K$29,3,0)),H541,N(N541)),IF(N(Q541)&gt;0,Q541,MAX(1,H541)))))</f>
        <v>137</v>
      </c>
      <c r="BT541" s="60" t="n">
        <f aca="false">IF(BR541="LOSE",1,0)</f>
        <v>0</v>
      </c>
      <c r="BU541" s="60" t="n">
        <f aca="false">IF(AND(U541="",OR(P541="",P541="LOSE"),T541&lt;&gt;"",N(S541)&lt;=0,ISNUMBER(MATCH(T541,Parameter!$I$27:$I$29,0))),1,0)</f>
        <v>0</v>
      </c>
      <c r="BV541" s="55" t="str">
        <f aca="false">IF(AND(Parameter!$B$19="Ja",E541&lt;&gt;"",ISNUMBER(MATCH(E541,Parameter!$I$35:$I$52,0))),VLOOKUP(E541,Parameter!$I$35:$J$52,2,0),IFERROR(VLOOKUP(D541,Parameter!$A$35:$C$64,2,0),"Nein"))</f>
        <v>2+3</v>
      </c>
      <c r="BW541" s="59" t="n">
        <f aca="false">IF(BT541=0,0,IF(N(S541)&gt;0,S541,IFERROR(VLOOKUP(D541,Parameter!$A$35:$C$64,3,0)+0,0)))</f>
        <v>0</v>
      </c>
      <c r="BX541" s="55" t="n">
        <f aca="false">IF(AA541&lt;&gt;"",AA541,Z541)</f>
        <v>2</v>
      </c>
      <c r="BY541" s="55" t="str">
        <f aca="false">IF(BX541=1,"L1",IF(OR(BX541=2,BX541=3),"L23",IF(BX541="Aussen","Aussen","-")))</f>
        <v>L23</v>
      </c>
      <c r="BZ541" s="66" t="n">
        <f aca="false">IF(N(AB541)&gt;0,AB541,0)</f>
        <v>0</v>
      </c>
      <c r="CA541" s="60" t="n">
        <f aca="false">IF(ISNUMBER(AE541),1,0)</f>
        <v>0</v>
      </c>
      <c r="CB541" s="57" t="n">
        <f aca="false">N(AE541)</f>
        <v>0</v>
      </c>
      <c r="CC541" s="57" t="n">
        <f aca="false">N(M541)+N(N541)</f>
        <v>1</v>
      </c>
      <c r="CD541" s="57" t="n">
        <f aca="false">ROUNDUP(H541/BS541,0)</f>
        <v>1</v>
      </c>
      <c r="CE541" s="57" t="n">
        <f aca="false">ROUNDUP(CB541/BS541,0)</f>
        <v>0</v>
      </c>
      <c r="CF541" s="60" t="n">
        <f aca="false">IF(BT541=1,0,IFERROR(VLOOKUP(BR541,'Gebinde-Kategorie'!$A$5:$M$45,5,0)+0,0))</f>
        <v>31</v>
      </c>
      <c r="CG541" s="60" t="n">
        <f aca="false">IFERROR(IF(OR(BX541=1,BX541=2,BX541=3),N(INDEX(Parameter!$I$5:$I$7,BX541)),0),0)</f>
        <v>0</v>
      </c>
      <c r="CH541" s="59" t="n">
        <f aca="false">IF(AND(Parameter!$B$21="Ja",ISNUMBER(W541),N(X541)&gt;0),IFERROR(N(INDEX(Parameter!$L$5:$L$7,W541))*INDEX(Parameter!$E$5:$E$7,W541)*X541/SUMIFS($X$7:$X$1843,$W$7:$W$1843,W541),0),0)</f>
        <v>0</v>
      </c>
    </row>
    <row r="542" customFormat="false" ht="15" hidden="false" customHeight="false" outlineLevel="0" collapsed="false">
      <c r="A542" s="55" t="s">
        <v>1163</v>
      </c>
      <c r="B542" s="55" t="s">
        <v>598</v>
      </c>
      <c r="C542" s="55" t="s">
        <v>164</v>
      </c>
      <c r="D542" s="55" t="s">
        <v>184</v>
      </c>
      <c r="E542" s="55" t="s">
        <v>185</v>
      </c>
      <c r="F542" s="55" t="s">
        <v>218</v>
      </c>
      <c r="G542" s="56" t="n">
        <v>20.09</v>
      </c>
      <c r="H542" s="57" t="n">
        <f aca="false">MAX(0,IF(AND(Parameter!$B$21="Ja",ISNUMBER(Y542)),Y542,IF(Parameter!$B$20="Jahresanfang 2025 + Export",BL542+BK542,BK542)))</f>
        <v>102</v>
      </c>
      <c r="I542" s="57" t="n">
        <f aca="false">H542*G542</f>
        <v>2049.18</v>
      </c>
      <c r="J542" s="57" t="n">
        <f aca="false">BN542*Parameter!$B$18</f>
        <v>0</v>
      </c>
      <c r="K542" s="58" t="n">
        <v>101.5</v>
      </c>
      <c r="L542" s="59" t="n">
        <v>0</v>
      </c>
      <c r="M542" s="57" t="n">
        <v>0</v>
      </c>
      <c r="N542" s="57" t="n">
        <v>1</v>
      </c>
      <c r="O542" s="60" t="n">
        <v>28</v>
      </c>
      <c r="P542" s="55" t="s">
        <v>302</v>
      </c>
      <c r="Q542" s="57" t="n">
        <v>120</v>
      </c>
      <c r="R542" s="60" t="n">
        <f aca="false">IF(BT542=1,0,IFERROR(VLOOKUP(BR542,'Gebinde-Kategorie'!$A$5:$M$45,13,0)+0,0))</f>
        <v>26</v>
      </c>
      <c r="S542" s="61"/>
      <c r="T542" s="62"/>
      <c r="U542" s="62"/>
      <c r="V542" s="62"/>
      <c r="W542" s="55"/>
      <c r="X542" s="57"/>
      <c r="Y542" s="57"/>
      <c r="Z542" s="55" t="n">
        <f aca="false">IF(A542="","",IF(AND(Parameter!$B$21="Ja",ISNUMBER(W542)),W542,IF(BV542="2+3",IF(ISNUMBER(SEARCH("grosser Artikel",BO542)),2,IFERROR(VLOOKUP(BR542,Parameter!$F$35:$G$64,2,0),2)),IF(OR(BV542="Nein",BV542=""),"-",BV542))))</f>
        <v>3</v>
      </c>
      <c r="AA542" s="62"/>
      <c r="AB542" s="63"/>
      <c r="AC542" s="57" t="n">
        <f aca="false">AR542</f>
        <v>120</v>
      </c>
      <c r="AD542" s="57" t="n">
        <f aca="false">MAX(AR542,H542)</f>
        <v>120</v>
      </c>
      <c r="AE542" s="64"/>
      <c r="AF542" s="57" t="n">
        <f aca="false">IF(LEFT(Cockpit!$C$5,1)="A",H542,IF(CA542=1,CB542,IF(LEFT(Cockpit!$C$5,1)="B",AJ542,MAX(AJ542,H542))))</f>
        <v>102</v>
      </c>
      <c r="AG542" s="57" t="n">
        <f aca="false">IF(BT542=1,0,ROUNDUP(AF542/BS542,0))</f>
        <v>1</v>
      </c>
      <c r="AH542" s="59" t="n">
        <f aca="false">IF(CH542&gt;0,CH542*MAX(1,AF542/X542),IF(BT542=1,IF(AF542&lt;=0,0,BW542*MAX(1,IF(H542&gt;0,AF542/H542,1))),IF(R542&gt;0,AG542/R542,0))/MAX(0.1,N(Parameter!$M$21)))</f>
        <v>0.0384615384615385</v>
      </c>
      <c r="AI542" s="57" t="n">
        <f aca="false">AF542*G542</f>
        <v>2049.18</v>
      </c>
      <c r="AJ542" s="57" t="n">
        <f aca="false">ROUNDUP(MAX(J542/IF(BZ542&gt;0,BZ542,MAX(0.1,N(Cockpit!$C$6))),CC542)/BS542,0)*BS542</f>
        <v>120</v>
      </c>
      <c r="AK542" s="58" t="n">
        <f aca="false">IF(AH542&gt;0,J542/AH542,-1)</f>
        <v>0</v>
      </c>
      <c r="AL542" s="58" t="n">
        <f aca="false">IF(AND(OR(BY542="L1",BY542="L23"),AH542&gt;0),SUMIFS($AH$7:$AH$1843,$BY$7:$BY$1843,BY542,$AK$7:$AK$1843,"&gt;"&amp;AK542)+SUMIFS($AH$7:$AH$1843,$BY$7:$BY$1843,BY542,$AK$7:$AK$1843,AK542,$BQ$7:$BQ$1843,"&lt;="&amp;BQ542),"")</f>
        <v>75.3911016519712</v>
      </c>
      <c r="AM542" s="65" t="n">
        <f aca="false">IF(AL542="",0,MAX(0,MIN(1,(IF(BY542="L1",Parameter!$E$5,Parameter!$E$6+Parameter!$E$7)-(AL542-AH542))/AH542)))</f>
        <v>1</v>
      </c>
      <c r="AN542" s="57" t="n">
        <f aca="false">IF(LEFT(Cockpit!$I$5,1)="A",H542,IF(CA542=1,CB542,IF(LEFT(Cockpit!$I$5,1)="B",AR542,MAX(AR542,H542))))</f>
        <v>120</v>
      </c>
      <c r="AO542" s="57" t="n">
        <f aca="false">IF(BT542=1,0,ROUNDUP(AN542/BS542,0))</f>
        <v>1</v>
      </c>
      <c r="AP542" s="59" t="n">
        <f aca="false">IF(CH542&gt;0,CH542*MAX(1,AN542/X542),IF(BT542=1,IF(AN542&lt;=0,0,BW542*MAX(1,IF(H542&gt;0,AN542/H542,1))),IF(R542&gt;0,AO542/R542,0))/MAX(0.1,N(Parameter!$M$21)))</f>
        <v>0.0384615384615385</v>
      </c>
      <c r="AQ542" s="57" t="n">
        <f aca="false">AN542*G542</f>
        <v>2410.8</v>
      </c>
      <c r="AR542" s="57" t="n">
        <f aca="false">ROUNDUP(MAX(J542/IF(BZ542&gt;0,BZ542,MAX(0.1,N(Cockpit!$I$6))),CC542)/BS542,0)*BS542</f>
        <v>120</v>
      </c>
      <c r="AS542" s="58" t="n">
        <f aca="false">IF(AP542&gt;0,J542/AP542,-1)</f>
        <v>0</v>
      </c>
      <c r="AT542" s="58" t="n">
        <f aca="false">IF(AND(OR(BY542="L1",BY542="L23"),AP542&gt;0),SUMIFS($AP$7:$AP$1843,$BY$7:$BY$1843,BY542,$AS$7:$AS$1843,"&gt;"&amp;AS542)+SUMIFS($AP$7:$AP$1843,$BY$7:$BY$1843,BY542,$AS$7:$AS$1843,AS542,$BQ$7:$BQ$1843,"&lt;="&amp;BQ542),"")</f>
        <v>114.815225836965</v>
      </c>
      <c r="AU542" s="65" t="n">
        <f aca="false">IF(AT542="",0,MAX(0,MIN(1,(IF(BY542="L1",Parameter!$E$5,Parameter!$E$6+Parameter!$E$7)-(AT542-AP542))/AP542)))</f>
        <v>0</v>
      </c>
      <c r="AV542" s="57" t="n">
        <f aca="false">IF(LEFT(Cockpit!$O$5,1)="A",H542,IF(CA542=1,CB542,IF(LEFT(Cockpit!$O$5,1)="B",AZ542,MAX(AZ542,H542))))</f>
        <v>120</v>
      </c>
      <c r="AW542" s="57" t="n">
        <f aca="false">IF(BT542=1,0,ROUNDUP(AV542/BS542,0))</f>
        <v>1</v>
      </c>
      <c r="AX542" s="59" t="n">
        <f aca="false">IF(CH542&gt;0,CH542*MAX(1,AV542/X542),IF(BT542=1,IF(AV542&lt;=0,0,BW542*MAX(1,IF(H542&gt;0,AV542/H542,1))),IF(R542&gt;0,AW542/R542,0))/MAX(0.1,N(Parameter!$M$21)))</f>
        <v>0.0384615384615385</v>
      </c>
      <c r="AY542" s="57" t="n">
        <f aca="false">AV542*G542</f>
        <v>2410.8</v>
      </c>
      <c r="AZ542" s="57" t="n">
        <f aca="false">ROUNDUP(MAX(J542/IF(BZ542&gt;0,BZ542,MAX(0.1,N(Cockpit!$O$6))),CC542)/BS542,0)*BS542</f>
        <v>120</v>
      </c>
      <c r="BA542" s="58" t="n">
        <f aca="false">IF(AX542&gt;0,J542/AX542,-1)</f>
        <v>0</v>
      </c>
      <c r="BB542" s="58" t="n">
        <f aca="false">IF(AND(OR(BY542="L1",BY542="L23"),AX542&gt;0),SUMIFS($AX$7:$AX$1843,$BY$7:$BY$1843,BY542,$BA$7:$BA$1843,"&gt;"&amp;BA542)+SUMIFS($AX$7:$AX$1843,$BY$7:$BY$1843,BY542,$BA$7:$BA$1843,BA542,$BQ$7:$BQ$1843,"&lt;="&amp;BQ542),"")</f>
        <v>105.645062666802</v>
      </c>
      <c r="BC542" s="65" t="n">
        <f aca="false">IF(BB542="",0,MAX(0,MIN(1,(IF(BY542="L1",Parameter!$E$5,Parameter!$E$6+Parameter!$E$7)-(BB542-AX542))/AX542)))</f>
        <v>0</v>
      </c>
      <c r="BD542" s="55" t="str">
        <f aca="false">IF(AH542&lt;=0,"",IF(BY542="Aussen","Aussenlager",IF(BY542="-","Nicht im Lift",IF(AM542&gt;=1,"Lift",IF(AM542&lt;=0,"Aussenlager","teilweise")))))</f>
        <v>Lift</v>
      </c>
      <c r="BE542" s="55" t="str">
        <f aca="false">IF(AP542&lt;=0,"",IF(BY542="Aussen","Aussenlager",IF(BY542="-","Nicht im Lift",IF(AU542&gt;=1,"Lift",IF(AU542&lt;=0,"Aussenlager","teilweise")))))</f>
        <v>Aussenlager</v>
      </c>
      <c r="BF542" s="55" t="str">
        <f aca="false">IF(AX542&lt;=0,"",IF(BY542="Aussen","Aussenlager",IF(BY542="-","Nicht im Lift",IF(BC542&gt;=1,"Lift",IF(BC542&lt;=0,"Aussenlager","teilweise")))))</f>
        <v>Aussenlager</v>
      </c>
      <c r="BG542" s="55" t="str">
        <f aca="false">IF(A542="","",IF(BP542=1,"Neu; ","")&amp;IF(AND(BP542=0,BK542&lt;0),"negativer Bestand (Export "&amp;BK542&amp;"); ","")&amp;IF(J542&lt;=0,"Kein Verbrauch; ","")&amp;IF(CH542&gt;0,"Lift "&amp;W542&amp;" lt. Liftbericht (Fach "&amp;X542&amp;" Stk); ",IF(BU542=1,"Gebinde geschätzt ("&amp;T542&amp;"); ",IF(BT542=1,"Lose – Tablare geschätzt; ","")))&amp;IF(H542&gt;AR542,"Überbestand "&amp;ROUND(H542-AR542,0)&amp;" Stk / CHF "&amp;ROUND((H542-AR542)*G542,0)&amp;"; ","")&amp;IF(AND(CA542=1,CB542&lt;CC542),"MAX &lt; MB+LG; ","")&amp;IF(AND(CG542&gt;0,CF542*10&gt;CG542),"zu hoch für Tablar; ","")&amp;IF(AND(BP542=0,OR(CA542=1,AA542&lt;&gt;"",U542&lt;&gt;"",V542&lt;&gt;"",AB542&lt;&gt;"")),"manuell übersteuert; ","")&amp;IF(AND(BT542=0,R542=0),"Gebinde unbekannt / Stellmass fehlt; ","")&amp;IF(AND(BT542=0,N(V542)&lt;=0,N(Q542)&lt;=0),"Menge pro Gebinde fehlt (Ist = 1 Gebinde); ","")&amp;BO542)</f>
        <v>Kein Verbrauch; Überbestand</v>
      </c>
      <c r="BH542" s="55"/>
      <c r="BI542" s="55"/>
      <c r="BJ542" s="62"/>
      <c r="BK542" s="57" t="n">
        <v>1</v>
      </c>
      <c r="BL542" s="57" t="n">
        <v>101</v>
      </c>
      <c r="BM542" s="56" t="n">
        <v>20.09</v>
      </c>
      <c r="BN542" s="57" t="n">
        <v>0</v>
      </c>
      <c r="BO542" s="55" t="s">
        <v>392</v>
      </c>
      <c r="BP542" s="60" t="n">
        <v>0</v>
      </c>
      <c r="BQ542" s="60" t="n">
        <v>542</v>
      </c>
      <c r="BR542" s="55" t="str">
        <f aca="false">IF(U542&lt;&gt;"",UPPER(TRIM(U542)),IF(BU542=1,UPPER(VLOOKUP(T542,Parameter!$I$27:$K$29,2,0)),IF(P542="","LOSE",P542)))</f>
        <v>S51</v>
      </c>
      <c r="BS542" s="57" t="n">
        <f aca="false">IF(BR542="LOSE",1,IF(N(V542)&gt;0,V542,IF(BU542=1,MAX(1,N(VLOOKUP(T542,Parameter!$I$27:$K$29,3,0)),H542,N(N542)),IF(N(Q542)&gt;0,Q542,MAX(1,H542)))))</f>
        <v>120</v>
      </c>
      <c r="BT542" s="60" t="n">
        <f aca="false">IF(BR542="LOSE",1,0)</f>
        <v>0</v>
      </c>
      <c r="BU542" s="60" t="n">
        <f aca="false">IF(AND(U542="",OR(P542="",P542="LOSE"),T542&lt;&gt;"",N(S542)&lt;=0,ISNUMBER(MATCH(T542,Parameter!$I$27:$I$29,0))),1,0)</f>
        <v>0</v>
      </c>
      <c r="BV542" s="55" t="str">
        <f aca="false">IF(AND(Parameter!$B$19="Ja",E542&lt;&gt;"",ISNUMBER(MATCH(E542,Parameter!$I$35:$I$52,0))),VLOOKUP(E542,Parameter!$I$35:$J$52,2,0),IFERROR(VLOOKUP(D542,Parameter!$A$35:$C$64,2,0),"Nein"))</f>
        <v>2+3</v>
      </c>
      <c r="BW542" s="59" t="n">
        <f aca="false">IF(BT542=0,0,IF(N(S542)&gt;0,S542,IFERROR(VLOOKUP(D542,Parameter!$A$35:$C$64,3,0)+0,0)))</f>
        <v>0</v>
      </c>
      <c r="BX542" s="55" t="n">
        <f aca="false">IF(AA542&lt;&gt;"",AA542,Z542)</f>
        <v>3</v>
      </c>
      <c r="BY542" s="55" t="str">
        <f aca="false">IF(BX542=1,"L1",IF(OR(BX542=2,BX542=3),"L23",IF(BX542="Aussen","Aussen","-")))</f>
        <v>L23</v>
      </c>
      <c r="BZ542" s="66" t="n">
        <f aca="false">IF(N(AB542)&gt;0,AB542,0)</f>
        <v>0</v>
      </c>
      <c r="CA542" s="60" t="n">
        <f aca="false">IF(ISNUMBER(AE542),1,0)</f>
        <v>0</v>
      </c>
      <c r="CB542" s="57" t="n">
        <f aca="false">N(AE542)</f>
        <v>0</v>
      </c>
      <c r="CC542" s="57" t="n">
        <f aca="false">N(M542)+N(N542)</f>
        <v>1</v>
      </c>
      <c r="CD542" s="57" t="n">
        <f aca="false">ROUNDUP(H542/BS542,0)</f>
        <v>1</v>
      </c>
      <c r="CE542" s="57" t="n">
        <f aca="false">ROUNDUP(CB542/BS542,0)</f>
        <v>0</v>
      </c>
      <c r="CF542" s="60" t="n">
        <f aca="false">IF(BT542=1,0,IFERROR(VLOOKUP(BR542,'Gebinde-Kategorie'!$A$5:$M$45,5,0)+0,0))</f>
        <v>11</v>
      </c>
      <c r="CG542" s="60" t="n">
        <f aca="false">IFERROR(IF(OR(BX542=1,BX542=2,BX542=3),N(INDEX(Parameter!$I$5:$I$7,BX542)),0),0)</f>
        <v>0</v>
      </c>
      <c r="CH542" s="59" t="n">
        <f aca="false">IF(AND(Parameter!$B$21="Ja",ISNUMBER(W542),N(X542)&gt;0),IFERROR(N(INDEX(Parameter!$L$5:$L$7,W542))*INDEX(Parameter!$E$5:$E$7,W542)*X542/SUMIFS($X$7:$X$1843,$W$7:$W$1843,W542),0),0)</f>
        <v>0</v>
      </c>
    </row>
    <row r="543" customFormat="false" ht="15" hidden="false" customHeight="false" outlineLevel="0" collapsed="false">
      <c r="A543" s="55" t="s">
        <v>1164</v>
      </c>
      <c r="B543" s="55" t="s">
        <v>1165</v>
      </c>
      <c r="C543" s="55" t="s">
        <v>164</v>
      </c>
      <c r="D543" s="55" t="s">
        <v>184</v>
      </c>
      <c r="E543" s="55" t="s">
        <v>185</v>
      </c>
      <c r="F543" s="55" t="s">
        <v>218</v>
      </c>
      <c r="G543" s="56" t="n">
        <v>14.65</v>
      </c>
      <c r="H543" s="57" t="n">
        <f aca="false">MAX(0,IF(AND(Parameter!$B$21="Ja",ISNUMBER(Y543)),Y543,IF(Parameter!$B$20="Jahresanfang 2025 + Export",BL543+BK543,BK543)))</f>
        <v>7</v>
      </c>
      <c r="I543" s="57" t="n">
        <f aca="false">H543*G543</f>
        <v>102.55</v>
      </c>
      <c r="J543" s="57" t="n">
        <f aca="false">BN543*Parameter!$B$18</f>
        <v>6</v>
      </c>
      <c r="K543" s="58" t="n">
        <v>3.5</v>
      </c>
      <c r="L543" s="59" t="n">
        <v>1.71428571428571</v>
      </c>
      <c r="M543" s="57" t="n">
        <v>0</v>
      </c>
      <c r="N543" s="57" t="n">
        <v>5</v>
      </c>
      <c r="O543" s="60" t="n">
        <v>18</v>
      </c>
      <c r="P543" s="55" t="s">
        <v>476</v>
      </c>
      <c r="Q543" s="57" t="n">
        <v>4</v>
      </c>
      <c r="R543" s="60" t="n">
        <f aca="false">IF(BT543=1,0,IFERROR(VLOOKUP(BR543,'Gebinde-Kategorie'!$A$5:$M$45,13,0)+0,0))</f>
        <v>66</v>
      </c>
      <c r="S543" s="61"/>
      <c r="T543" s="62"/>
      <c r="U543" s="62"/>
      <c r="V543" s="62"/>
      <c r="W543" s="55"/>
      <c r="X543" s="57"/>
      <c r="Y543" s="57"/>
      <c r="Z543" s="55" t="n">
        <f aca="false">IF(A543="","",IF(AND(Parameter!$B$21="Ja",ISNUMBER(W543)),W543,IF(BV543="2+3",IF(ISNUMBER(SEARCH("grosser Artikel",BO543)),2,IFERROR(VLOOKUP(BR543,Parameter!$F$35:$G$64,2,0),2)),IF(OR(BV543="Nein",BV543=""),"-",BV543))))</f>
        <v>3</v>
      </c>
      <c r="AA543" s="62"/>
      <c r="AB543" s="63"/>
      <c r="AC543" s="57" t="n">
        <f aca="false">AR543</f>
        <v>8</v>
      </c>
      <c r="AD543" s="57" t="n">
        <f aca="false">MAX(AR543,H543)</f>
        <v>8</v>
      </c>
      <c r="AE543" s="64"/>
      <c r="AF543" s="57" t="n">
        <f aca="false">IF(LEFT(Cockpit!$C$5,1)="A",H543,IF(CA543=1,CB543,IF(LEFT(Cockpit!$C$5,1)="B",AJ543,MAX(AJ543,H543))))</f>
        <v>7</v>
      </c>
      <c r="AG543" s="57" t="n">
        <f aca="false">IF(BT543=1,0,ROUNDUP(AF543/BS543,0))</f>
        <v>2</v>
      </c>
      <c r="AH543" s="59" t="n">
        <f aca="false">IF(CH543&gt;0,CH543*MAX(1,AF543/X543),IF(BT543=1,IF(AF543&lt;=0,0,BW543*MAX(1,IF(H543&gt;0,AF543/H543,1))),IF(R543&gt;0,AG543/R543,0))/MAX(0.1,N(Parameter!$M$21)))</f>
        <v>0.0303030303030303</v>
      </c>
      <c r="AI543" s="57" t="n">
        <f aca="false">AF543*G543</f>
        <v>102.55</v>
      </c>
      <c r="AJ543" s="57" t="n">
        <f aca="false">ROUNDUP(MAX(J543/IF(BZ543&gt;0,BZ543,MAX(0.1,N(Cockpit!$C$6))),CC543)/BS543,0)*BS543</f>
        <v>8</v>
      </c>
      <c r="AK543" s="58" t="n">
        <f aca="false">IF(AH543&gt;0,J543/AH543,-1)</f>
        <v>198</v>
      </c>
      <c r="AL543" s="58" t="n">
        <f aca="false">IF(AND(OR(BY543="L1",BY543="L23"),AH543&gt;0),SUMIFS($AH$7:$AH$1843,$BY$7:$BY$1843,BY543,$AK$7:$AK$1843,"&gt;"&amp;AK543)+SUMIFS($AH$7:$AH$1843,$BY$7:$BY$1843,BY543,$AK$7:$AK$1843,AK543,$BQ$7:$BQ$1843,"&lt;="&amp;BQ543),"")</f>
        <v>32.4809550353029</v>
      </c>
      <c r="AM543" s="65" t="n">
        <f aca="false">IF(AL543="",0,MAX(0,MIN(1,(IF(BY543="L1",Parameter!$E$5,Parameter!$E$6+Parameter!$E$7)-(AL543-AH543))/AH543)))</f>
        <v>1</v>
      </c>
      <c r="AN543" s="57" t="n">
        <f aca="false">IF(LEFT(Cockpit!$I$5,1)="A",H543,IF(CA543=1,CB543,IF(LEFT(Cockpit!$I$5,1)="B",AR543,MAX(AR543,H543))))</f>
        <v>8</v>
      </c>
      <c r="AO543" s="57" t="n">
        <f aca="false">IF(BT543=1,0,ROUNDUP(AN543/BS543,0))</f>
        <v>2</v>
      </c>
      <c r="AP543" s="59" t="n">
        <f aca="false">IF(CH543&gt;0,CH543*MAX(1,AN543/X543),IF(BT543=1,IF(AN543&lt;=0,0,BW543*MAX(1,IF(H543&gt;0,AN543/H543,1))),IF(R543&gt;0,AO543/R543,0))/MAX(0.1,N(Parameter!$M$21)))</f>
        <v>0.0303030303030303</v>
      </c>
      <c r="AQ543" s="57" t="n">
        <f aca="false">AN543*G543</f>
        <v>117.2</v>
      </c>
      <c r="AR543" s="57" t="n">
        <f aca="false">ROUNDUP(MAX(J543/IF(BZ543&gt;0,BZ543,MAX(0.1,N(Cockpit!$I$6))),CC543)/BS543,0)*BS543</f>
        <v>8</v>
      </c>
      <c r="AS543" s="58" t="n">
        <f aca="false">IF(AP543&gt;0,J543/AP543,-1)</f>
        <v>198</v>
      </c>
      <c r="AT543" s="58" t="n">
        <f aca="false">IF(AND(OR(BY543="L1",BY543="L23"),AP543&gt;0),SUMIFS($AP$7:$AP$1843,$BY$7:$BY$1843,BY543,$AS$7:$AS$1843,"&gt;"&amp;AS543)+SUMIFS($AP$7:$AP$1843,$BY$7:$BY$1843,BY543,$AS$7:$AS$1843,AS543,$BQ$7:$BQ$1843,"&lt;="&amp;BQ543),"")</f>
        <v>47.2797878450052</v>
      </c>
      <c r="AU543" s="65" t="n">
        <f aca="false">IF(AT543="",0,MAX(0,MIN(1,(IF(BY543="L1",Parameter!$E$5,Parameter!$E$6+Parameter!$E$7)-(AT543-AP543))/AP543)))</f>
        <v>1</v>
      </c>
      <c r="AV543" s="57" t="n">
        <f aca="false">IF(LEFT(Cockpit!$O$5,1)="A",H543,IF(CA543=1,CB543,IF(LEFT(Cockpit!$O$5,1)="B",AZ543,MAX(AZ543,H543))))</f>
        <v>8</v>
      </c>
      <c r="AW543" s="57" t="n">
        <f aca="false">IF(BT543=1,0,ROUNDUP(AV543/BS543,0))</f>
        <v>2</v>
      </c>
      <c r="AX543" s="59" t="n">
        <f aca="false">IF(CH543&gt;0,CH543*MAX(1,AV543/X543),IF(BT543=1,IF(AV543&lt;=0,0,BW543*MAX(1,IF(H543&gt;0,AV543/H543,1))),IF(R543&gt;0,AW543/R543,0))/MAX(0.1,N(Parameter!$M$21)))</f>
        <v>0.0303030303030303</v>
      </c>
      <c r="AY543" s="57" t="n">
        <f aca="false">AV543*G543</f>
        <v>117.2</v>
      </c>
      <c r="AZ543" s="57" t="n">
        <f aca="false">ROUNDUP(MAX(J543/IF(BZ543&gt;0,BZ543,MAX(0.1,N(Cockpit!$O$6))),CC543)/BS543,0)*BS543</f>
        <v>8</v>
      </c>
      <c r="BA543" s="58" t="n">
        <f aca="false">IF(AX543&gt;0,J543/AX543,-1)</f>
        <v>198</v>
      </c>
      <c r="BB543" s="58" t="n">
        <f aca="false">IF(AND(OR(BY543="L1",BY543="L23"),AX543&gt;0),SUMIFS($AX$7:$AX$1843,$BY$7:$BY$1843,BY543,$BA$7:$BA$1843,"&gt;"&amp;BA543)+SUMIFS($AX$7:$AX$1843,$BY$7:$BY$1843,BY543,$BA$7:$BA$1843,BA543,$BQ$7:$BQ$1843,"&lt;="&amp;BQ543),"")</f>
        <v>42.8596246748421</v>
      </c>
      <c r="BC543" s="65" t="n">
        <f aca="false">IF(BB543="",0,MAX(0,MIN(1,(IF(BY543="L1",Parameter!$E$5,Parameter!$E$6+Parameter!$E$7)-(BB543-AX543))/AX543)))</f>
        <v>1</v>
      </c>
      <c r="BD543" s="55" t="str">
        <f aca="false">IF(AH543&lt;=0,"",IF(BY543="Aussen","Aussenlager",IF(BY543="-","Nicht im Lift",IF(AM543&gt;=1,"Lift",IF(AM543&lt;=0,"Aussenlager","teilweise")))))</f>
        <v>Lift</v>
      </c>
      <c r="BE543" s="55" t="str">
        <f aca="false">IF(AP543&lt;=0,"",IF(BY543="Aussen","Aussenlager",IF(BY543="-","Nicht im Lift",IF(AU543&gt;=1,"Lift",IF(AU543&lt;=0,"Aussenlager","teilweise")))))</f>
        <v>Lift</v>
      </c>
      <c r="BF543" s="55" t="str">
        <f aca="false">IF(AX543&lt;=0,"",IF(BY543="Aussen","Aussenlager",IF(BY543="-","Nicht im Lift",IF(BC543&gt;=1,"Lift",IF(BC543&lt;=0,"Aussenlager","teilweise")))))</f>
        <v>Lift</v>
      </c>
      <c r="BG543" s="55" t="str">
        <f aca="false">IF(A543="","",IF(BP543=1,"Neu; ","")&amp;IF(AND(BP543=0,BK543&lt;0),"negativer Bestand (Export "&amp;BK543&amp;"); ","")&amp;IF(J543&lt;=0,"Kein Verbrauch; ","")&amp;IF(CH543&gt;0,"Lift "&amp;W543&amp;" lt. Liftbericht (Fach "&amp;X543&amp;" Stk); ",IF(BU543=1,"Gebinde geschätzt ("&amp;T543&amp;"); ",IF(BT543=1,"Lose – Tablare geschätzt; ","")))&amp;IF(H543&gt;AR543,"Überbestand "&amp;ROUND(H543-AR543,0)&amp;" Stk / CHF "&amp;ROUND((H543-AR543)*G543,0)&amp;"; ","")&amp;IF(AND(CA543=1,CB543&lt;CC543),"MAX &lt; MB+LG; ","")&amp;IF(AND(CG543&gt;0,CF543*10&gt;CG543),"zu hoch für Tablar; ","")&amp;IF(AND(BP543=0,OR(CA543=1,AA543&lt;&gt;"",U543&lt;&gt;"",V543&lt;&gt;"",AB543&lt;&gt;"")),"manuell übersteuert; ","")&amp;IF(AND(BT543=0,R543=0),"Gebinde unbekannt / Stellmass fehlt; ","")&amp;IF(AND(BT543=0,N(V543)&lt;=0,N(Q543)&lt;=0),"Menge pro Gebinde fehlt (Ist = 1 Gebinde); ","")&amp;BO543)</f>
        <v/>
      </c>
      <c r="BH543" s="55"/>
      <c r="BI543" s="55"/>
      <c r="BJ543" s="62"/>
      <c r="BK543" s="57" t="n">
        <v>2</v>
      </c>
      <c r="BL543" s="57" t="n">
        <v>5</v>
      </c>
      <c r="BM543" s="56" t="n">
        <v>19.52</v>
      </c>
      <c r="BN543" s="57" t="n">
        <v>6</v>
      </c>
      <c r="BO543" s="55"/>
      <c r="BP543" s="60" t="n">
        <v>0</v>
      </c>
      <c r="BQ543" s="60" t="n">
        <v>543</v>
      </c>
      <c r="BR543" s="55" t="str">
        <f aca="false">IF(U543&lt;&gt;"",UPPER(TRIM(U543)),IF(BU543=1,UPPER(VLOOKUP(T543,Parameter!$I$27:$K$29,2,0)),IF(P543="","LOSE",P543)))</f>
        <v>S33</v>
      </c>
      <c r="BS543" s="57" t="n">
        <f aca="false">IF(BR543="LOSE",1,IF(N(V543)&gt;0,V543,IF(BU543=1,MAX(1,N(VLOOKUP(T543,Parameter!$I$27:$K$29,3,0)),H543,N(N543)),IF(N(Q543)&gt;0,Q543,MAX(1,H543)))))</f>
        <v>4</v>
      </c>
      <c r="BT543" s="60" t="n">
        <f aca="false">IF(BR543="LOSE",1,0)</f>
        <v>0</v>
      </c>
      <c r="BU543" s="60" t="n">
        <f aca="false">IF(AND(U543="",OR(P543="",P543="LOSE"),T543&lt;&gt;"",N(S543)&lt;=0,ISNUMBER(MATCH(T543,Parameter!$I$27:$I$29,0))),1,0)</f>
        <v>0</v>
      </c>
      <c r="BV543" s="55" t="str">
        <f aca="false">IF(AND(Parameter!$B$19="Ja",E543&lt;&gt;"",ISNUMBER(MATCH(E543,Parameter!$I$35:$I$52,0))),VLOOKUP(E543,Parameter!$I$35:$J$52,2,0),IFERROR(VLOOKUP(D543,Parameter!$A$35:$C$64,2,0),"Nein"))</f>
        <v>2+3</v>
      </c>
      <c r="BW543" s="59" t="n">
        <f aca="false">IF(BT543=0,0,IF(N(S543)&gt;0,S543,IFERROR(VLOOKUP(D543,Parameter!$A$35:$C$64,3,0)+0,0)))</f>
        <v>0</v>
      </c>
      <c r="BX543" s="55" t="n">
        <f aca="false">IF(AA543&lt;&gt;"",AA543,Z543)</f>
        <v>3</v>
      </c>
      <c r="BY543" s="55" t="str">
        <f aca="false">IF(BX543=1,"L1",IF(OR(BX543=2,BX543=3),"L23",IF(BX543="Aussen","Aussen","-")))</f>
        <v>L23</v>
      </c>
      <c r="BZ543" s="66" t="n">
        <f aca="false">IF(N(AB543)&gt;0,AB543,0)</f>
        <v>0</v>
      </c>
      <c r="CA543" s="60" t="n">
        <f aca="false">IF(ISNUMBER(AE543),1,0)</f>
        <v>0</v>
      </c>
      <c r="CB543" s="57" t="n">
        <f aca="false">N(AE543)</f>
        <v>0</v>
      </c>
      <c r="CC543" s="57" t="n">
        <f aca="false">N(M543)+N(N543)</f>
        <v>5</v>
      </c>
      <c r="CD543" s="57" t="n">
        <f aca="false">ROUNDUP(H543/BS543,0)</f>
        <v>2</v>
      </c>
      <c r="CE543" s="57" t="n">
        <f aca="false">ROUNDUP(CB543/BS543,0)</f>
        <v>0</v>
      </c>
      <c r="CF543" s="60" t="n">
        <f aca="false">IF(BT543=1,0,IFERROR(VLOOKUP(BR543,'Gebinde-Kategorie'!$A$5:$M$45,5,0)+0,0))</f>
        <v>8</v>
      </c>
      <c r="CG543" s="60" t="n">
        <f aca="false">IFERROR(IF(OR(BX543=1,BX543=2,BX543=3),N(INDEX(Parameter!$I$5:$I$7,BX543)),0),0)</f>
        <v>0</v>
      </c>
      <c r="CH543" s="59" t="n">
        <f aca="false">IF(AND(Parameter!$B$21="Ja",ISNUMBER(W543),N(X543)&gt;0),IFERROR(N(INDEX(Parameter!$L$5:$L$7,W543))*INDEX(Parameter!$E$5:$E$7,W543)*X543/SUMIFS($X$7:$X$1843,$W$7:$W$1843,W543),0),0)</f>
        <v>0</v>
      </c>
    </row>
    <row r="544" customFormat="false" ht="15" hidden="false" customHeight="false" outlineLevel="0" collapsed="false">
      <c r="A544" s="55" t="s">
        <v>1166</v>
      </c>
      <c r="B544" s="55" t="s">
        <v>1167</v>
      </c>
      <c r="C544" s="55" t="s">
        <v>164</v>
      </c>
      <c r="D544" s="55" t="s">
        <v>184</v>
      </c>
      <c r="E544" s="55" t="s">
        <v>185</v>
      </c>
      <c r="F544" s="55" t="s">
        <v>218</v>
      </c>
      <c r="G544" s="56" t="n">
        <v>0.06</v>
      </c>
      <c r="H544" s="57" t="n">
        <f aca="false">MAX(0,IF(AND(Parameter!$B$21="Ja",ISNUMBER(Y544)),Y544,IF(Parameter!$B$20="Jahresanfang 2025 + Export",BL544+BK544,BK544)))</f>
        <v>650</v>
      </c>
      <c r="I544" s="57" t="n">
        <f aca="false">H544*G544</f>
        <v>39</v>
      </c>
      <c r="J544" s="57" t="n">
        <f aca="false">BN544*Parameter!$B$18</f>
        <v>722</v>
      </c>
      <c r="K544" s="58" t="n">
        <v>322.5</v>
      </c>
      <c r="L544" s="59" t="n">
        <v>2.23875968992248</v>
      </c>
      <c r="M544" s="57" t="n">
        <v>28</v>
      </c>
      <c r="N544" s="57" t="n">
        <v>750</v>
      </c>
      <c r="O544" s="60" t="n">
        <v>14</v>
      </c>
      <c r="P544" s="55" t="s">
        <v>302</v>
      </c>
      <c r="Q544" s="57" t="n">
        <v>334</v>
      </c>
      <c r="R544" s="60" t="n">
        <f aca="false">IF(BT544=1,0,IFERROR(VLOOKUP(BR544,'Gebinde-Kategorie'!$A$5:$M$45,13,0)+0,0))</f>
        <v>26</v>
      </c>
      <c r="S544" s="61"/>
      <c r="T544" s="62"/>
      <c r="U544" s="62"/>
      <c r="V544" s="62"/>
      <c r="W544" s="55"/>
      <c r="X544" s="57"/>
      <c r="Y544" s="57"/>
      <c r="Z544" s="55" t="n">
        <f aca="false">IF(A544="","",IF(AND(Parameter!$B$21="Ja",ISNUMBER(W544)),W544,IF(BV544="2+3",IF(ISNUMBER(SEARCH("grosser Artikel",BO544)),2,IFERROR(VLOOKUP(BR544,Parameter!$F$35:$G$64,2,0),2)),IF(OR(BV544="Nein",BV544=""),"-",BV544))))</f>
        <v>3</v>
      </c>
      <c r="AA544" s="62"/>
      <c r="AB544" s="63"/>
      <c r="AC544" s="57" t="n">
        <f aca="false">AR544</f>
        <v>1002</v>
      </c>
      <c r="AD544" s="57" t="n">
        <f aca="false">MAX(AR544,H544)</f>
        <v>1002</v>
      </c>
      <c r="AE544" s="64"/>
      <c r="AF544" s="57" t="n">
        <f aca="false">IF(LEFT(Cockpit!$C$5,1)="A",H544,IF(CA544=1,CB544,IF(LEFT(Cockpit!$C$5,1)="B",AJ544,MAX(AJ544,H544))))</f>
        <v>650</v>
      </c>
      <c r="AG544" s="57" t="n">
        <f aca="false">IF(BT544=1,0,ROUNDUP(AF544/BS544,0))</f>
        <v>2</v>
      </c>
      <c r="AH544" s="59" t="n">
        <f aca="false">IF(CH544&gt;0,CH544*MAX(1,AF544/X544),IF(BT544=1,IF(AF544&lt;=0,0,BW544*MAX(1,IF(H544&gt;0,AF544/H544,1))),IF(R544&gt;0,AG544/R544,0))/MAX(0.1,N(Parameter!$M$21)))</f>
        <v>0.0769230769230769</v>
      </c>
      <c r="AI544" s="57" t="n">
        <f aca="false">AF544*G544</f>
        <v>39</v>
      </c>
      <c r="AJ544" s="57" t="n">
        <f aca="false">ROUNDUP(MAX(J544/IF(BZ544&gt;0,BZ544,MAX(0.1,N(Cockpit!$C$6))),CC544)/BS544,0)*BS544</f>
        <v>1002</v>
      </c>
      <c r="AK544" s="58" t="n">
        <f aca="false">IF(AH544&gt;0,J544/AH544,-1)</f>
        <v>9386</v>
      </c>
      <c r="AL544" s="58" t="n">
        <f aca="false">IF(AND(OR(BY544="L1",BY544="L23"),AH544&gt;0),SUMIFS($AH$7:$AH$1843,$BY$7:$BY$1843,BY544,$AK$7:$AK$1843,"&gt;"&amp;AK544)+SUMIFS($AH$7:$AH$1843,$BY$7:$BY$1843,BY544,$AK$7:$AK$1843,AK544,$BQ$7:$BQ$1843,"&lt;="&amp;BQ544),"")</f>
        <v>5.60030066551806</v>
      </c>
      <c r="AM544" s="65" t="n">
        <f aca="false">IF(AL544="",0,MAX(0,MIN(1,(IF(BY544="L1",Parameter!$E$5,Parameter!$E$6+Parameter!$E$7)-(AL544-AH544))/AH544)))</f>
        <v>1</v>
      </c>
      <c r="AN544" s="57" t="n">
        <f aca="false">IF(LEFT(Cockpit!$I$5,1)="A",H544,IF(CA544=1,CB544,IF(LEFT(Cockpit!$I$5,1)="B",AR544,MAX(AR544,H544))))</f>
        <v>1002</v>
      </c>
      <c r="AO544" s="57" t="n">
        <f aca="false">IF(BT544=1,0,ROUNDUP(AN544/BS544,0))</f>
        <v>3</v>
      </c>
      <c r="AP544" s="59" t="n">
        <f aca="false">IF(CH544&gt;0,CH544*MAX(1,AN544/X544),IF(BT544=1,IF(AN544&lt;=0,0,BW544*MAX(1,IF(H544&gt;0,AN544/H544,1))),IF(R544&gt;0,AO544/R544,0))/MAX(0.1,N(Parameter!$M$21)))</f>
        <v>0.115384615384615</v>
      </c>
      <c r="AQ544" s="57" t="n">
        <f aca="false">AN544*G544</f>
        <v>60.12</v>
      </c>
      <c r="AR544" s="57" t="n">
        <f aca="false">ROUNDUP(MAX(J544/IF(BZ544&gt;0,BZ544,MAX(0.1,N(Cockpit!$I$6))),CC544)/BS544,0)*BS544</f>
        <v>1002</v>
      </c>
      <c r="AS544" s="58" t="n">
        <f aca="false">IF(AP544&gt;0,J544/AP544,-1)</f>
        <v>6257.33333333333</v>
      </c>
      <c r="AT544" s="58" t="n">
        <f aca="false">IF(AND(OR(BY544="L1",BY544="L23"),AP544&gt;0),SUMIFS($AP$7:$AP$1843,$BY$7:$BY$1843,BY544,$AS$7:$AS$1843,"&gt;"&amp;AS544)+SUMIFS($AP$7:$AP$1843,$BY$7:$BY$1843,BY544,$AS$7:$AS$1843,AS544,$BQ$7:$BQ$1843,"&lt;="&amp;BQ544),"")</f>
        <v>11.1113644809297</v>
      </c>
      <c r="AU544" s="65" t="n">
        <f aca="false">IF(AT544="",0,MAX(0,MIN(1,(IF(BY544="L1",Parameter!$E$5,Parameter!$E$6+Parameter!$E$7)-(AT544-AP544))/AP544)))</f>
        <v>1</v>
      </c>
      <c r="AV544" s="57" t="n">
        <f aca="false">IF(LEFT(Cockpit!$O$5,1)="A",H544,IF(CA544=1,CB544,IF(LEFT(Cockpit!$O$5,1)="B",AZ544,MAX(AZ544,H544))))</f>
        <v>1002</v>
      </c>
      <c r="AW544" s="57" t="n">
        <f aca="false">IF(BT544=1,0,ROUNDUP(AV544/BS544,0))</f>
        <v>3</v>
      </c>
      <c r="AX544" s="59" t="n">
        <f aca="false">IF(CH544&gt;0,CH544*MAX(1,AV544/X544),IF(BT544=1,IF(AV544&lt;=0,0,BW544*MAX(1,IF(H544&gt;0,AV544/H544,1))),IF(R544&gt;0,AW544/R544,0))/MAX(0.1,N(Parameter!$M$21)))</f>
        <v>0.115384615384615</v>
      </c>
      <c r="AY544" s="57" t="n">
        <f aca="false">AV544*G544</f>
        <v>60.12</v>
      </c>
      <c r="AZ544" s="57" t="n">
        <f aca="false">ROUNDUP(MAX(J544/IF(BZ544&gt;0,BZ544,MAX(0.1,N(Cockpit!$O$6))),CC544)/BS544,0)*BS544</f>
        <v>1002</v>
      </c>
      <c r="BA544" s="58" t="n">
        <f aca="false">IF(AX544&gt;0,J544/AX544,-1)</f>
        <v>6257.33333333333</v>
      </c>
      <c r="BB544" s="58" t="n">
        <f aca="false">IF(AND(OR(BY544="L1",BY544="L23"),AX544&gt;0),SUMIFS($AX$7:$AX$1843,$BY$7:$BY$1843,BY544,$BA$7:$BA$1843,"&gt;"&amp;BA544)+SUMIFS($AX$7:$AX$1843,$BY$7:$BY$1843,BY544,$BA$7:$BA$1843,BA544,$BQ$7:$BQ$1843,"&lt;="&amp;BQ544),"")</f>
        <v>9.79376541333063</v>
      </c>
      <c r="BC544" s="65" t="n">
        <f aca="false">IF(BB544="",0,MAX(0,MIN(1,(IF(BY544="L1",Parameter!$E$5,Parameter!$E$6+Parameter!$E$7)-(BB544-AX544))/AX544)))</f>
        <v>1</v>
      </c>
      <c r="BD544" s="55" t="str">
        <f aca="false">IF(AH544&lt;=0,"",IF(BY544="Aussen","Aussenlager",IF(BY544="-","Nicht im Lift",IF(AM544&gt;=1,"Lift",IF(AM544&lt;=0,"Aussenlager","teilweise")))))</f>
        <v>Lift</v>
      </c>
      <c r="BE544" s="55" t="str">
        <f aca="false">IF(AP544&lt;=0,"",IF(BY544="Aussen","Aussenlager",IF(BY544="-","Nicht im Lift",IF(AU544&gt;=1,"Lift",IF(AU544&lt;=0,"Aussenlager","teilweise")))))</f>
        <v>Lift</v>
      </c>
      <c r="BF544" s="55" t="str">
        <f aca="false">IF(AX544&lt;=0,"",IF(BY544="Aussen","Aussenlager",IF(BY544="-","Nicht im Lift",IF(BC544&gt;=1,"Lift",IF(BC544&lt;=0,"Aussenlager","teilweise")))))</f>
        <v>Lift</v>
      </c>
      <c r="BG544" s="55" t="str">
        <f aca="false">IF(A544="","",IF(BP544=1,"Neu; ","")&amp;IF(AND(BP544=0,BK544&lt;0),"negativer Bestand (Export "&amp;BK544&amp;"); ","")&amp;IF(J544&lt;=0,"Kein Verbrauch; ","")&amp;IF(CH544&gt;0,"Lift "&amp;W544&amp;" lt. Liftbericht (Fach "&amp;X544&amp;" Stk); ",IF(BU544=1,"Gebinde geschätzt ("&amp;T544&amp;"); ",IF(BT544=1,"Lose – Tablare geschätzt; ","")))&amp;IF(H544&gt;AR544,"Überbestand "&amp;ROUND(H544-AR544,0)&amp;" Stk / CHF "&amp;ROUND((H544-AR544)*G544,0)&amp;"; ","")&amp;IF(AND(CA544=1,CB544&lt;CC544),"MAX &lt; MB+LG; ","")&amp;IF(AND(CG544&gt;0,CF544*10&gt;CG544),"zu hoch für Tablar; ","")&amp;IF(AND(BP544=0,OR(CA544=1,AA544&lt;&gt;"",U544&lt;&gt;"",V544&lt;&gt;"",AB544&lt;&gt;"")),"manuell übersteuert; ","")&amp;IF(AND(BT544=0,R544=0),"Gebinde unbekannt / Stellmass fehlt; ","")&amp;IF(AND(BT544=0,N(V544)&lt;=0,N(Q544)&lt;=0),"Menge pro Gebinde fehlt (Ist = 1 Gebinde); ","")&amp;BO544)</f>
        <v/>
      </c>
      <c r="BH544" s="55"/>
      <c r="BI544" s="55"/>
      <c r="BJ544" s="62"/>
      <c r="BK544" s="57" t="n">
        <v>319</v>
      </c>
      <c r="BL544" s="57" t="n">
        <v>331</v>
      </c>
      <c r="BM544" s="56" t="n">
        <v>19.14</v>
      </c>
      <c r="BN544" s="57" t="n">
        <v>722</v>
      </c>
      <c r="BO544" s="55"/>
      <c r="BP544" s="60" t="n">
        <v>0</v>
      </c>
      <c r="BQ544" s="60" t="n">
        <v>544</v>
      </c>
      <c r="BR544" s="55" t="str">
        <f aca="false">IF(U544&lt;&gt;"",UPPER(TRIM(U544)),IF(BU544=1,UPPER(VLOOKUP(T544,Parameter!$I$27:$K$29,2,0)),IF(P544="","LOSE",P544)))</f>
        <v>S51</v>
      </c>
      <c r="BS544" s="57" t="n">
        <f aca="false">IF(BR544="LOSE",1,IF(N(V544)&gt;0,V544,IF(BU544=1,MAX(1,N(VLOOKUP(T544,Parameter!$I$27:$K$29,3,0)),H544,N(N544)),IF(N(Q544)&gt;0,Q544,MAX(1,H544)))))</f>
        <v>334</v>
      </c>
      <c r="BT544" s="60" t="n">
        <f aca="false">IF(BR544="LOSE",1,0)</f>
        <v>0</v>
      </c>
      <c r="BU544" s="60" t="n">
        <f aca="false">IF(AND(U544="",OR(P544="",P544="LOSE"),T544&lt;&gt;"",N(S544)&lt;=0,ISNUMBER(MATCH(T544,Parameter!$I$27:$I$29,0))),1,0)</f>
        <v>0</v>
      </c>
      <c r="BV544" s="55" t="str">
        <f aca="false">IF(AND(Parameter!$B$19="Ja",E544&lt;&gt;"",ISNUMBER(MATCH(E544,Parameter!$I$35:$I$52,0))),VLOOKUP(E544,Parameter!$I$35:$J$52,2,0),IFERROR(VLOOKUP(D544,Parameter!$A$35:$C$64,2,0),"Nein"))</f>
        <v>2+3</v>
      </c>
      <c r="BW544" s="59" t="n">
        <f aca="false">IF(BT544=0,0,IF(N(S544)&gt;0,S544,IFERROR(VLOOKUP(D544,Parameter!$A$35:$C$64,3,0)+0,0)))</f>
        <v>0</v>
      </c>
      <c r="BX544" s="55" t="n">
        <f aca="false">IF(AA544&lt;&gt;"",AA544,Z544)</f>
        <v>3</v>
      </c>
      <c r="BY544" s="55" t="str">
        <f aca="false">IF(BX544=1,"L1",IF(OR(BX544=2,BX544=3),"L23",IF(BX544="Aussen","Aussen","-")))</f>
        <v>L23</v>
      </c>
      <c r="BZ544" s="66" t="n">
        <f aca="false">IF(N(AB544)&gt;0,AB544,0)</f>
        <v>0</v>
      </c>
      <c r="CA544" s="60" t="n">
        <f aca="false">IF(ISNUMBER(AE544),1,0)</f>
        <v>0</v>
      </c>
      <c r="CB544" s="57" t="n">
        <f aca="false">N(AE544)</f>
        <v>0</v>
      </c>
      <c r="CC544" s="57" t="n">
        <f aca="false">N(M544)+N(N544)</f>
        <v>778</v>
      </c>
      <c r="CD544" s="57" t="n">
        <f aca="false">ROUNDUP(H544/BS544,0)</f>
        <v>2</v>
      </c>
      <c r="CE544" s="57" t="n">
        <f aca="false">ROUNDUP(CB544/BS544,0)</f>
        <v>0</v>
      </c>
      <c r="CF544" s="60" t="n">
        <f aca="false">IF(BT544=1,0,IFERROR(VLOOKUP(BR544,'Gebinde-Kategorie'!$A$5:$M$45,5,0)+0,0))</f>
        <v>11</v>
      </c>
      <c r="CG544" s="60" t="n">
        <f aca="false">IFERROR(IF(OR(BX544=1,BX544=2,BX544=3),N(INDEX(Parameter!$I$5:$I$7,BX544)),0),0)</f>
        <v>0</v>
      </c>
      <c r="CH544" s="59" t="n">
        <f aca="false">IF(AND(Parameter!$B$21="Ja",ISNUMBER(W544),N(X544)&gt;0),IFERROR(N(INDEX(Parameter!$L$5:$L$7,W544))*INDEX(Parameter!$E$5:$E$7,W544)*X544/SUMIFS($X$7:$X$1843,$W$7:$W$1843,W544),0),0)</f>
        <v>0</v>
      </c>
    </row>
    <row r="545" customFormat="false" ht="15" hidden="false" customHeight="false" outlineLevel="0" collapsed="false">
      <c r="A545" s="55" t="s">
        <v>1168</v>
      </c>
      <c r="B545" s="55" t="s">
        <v>755</v>
      </c>
      <c r="C545" s="55" t="s">
        <v>164</v>
      </c>
      <c r="D545" s="55" t="s">
        <v>184</v>
      </c>
      <c r="E545" s="55"/>
      <c r="F545" s="55" t="s">
        <v>218</v>
      </c>
      <c r="G545" s="56" t="n">
        <v>74.2</v>
      </c>
      <c r="H545" s="57" t="n">
        <f aca="false">MAX(0,IF(AND(Parameter!$B$21="Ja",ISNUMBER(Y545)),Y545,IF(Parameter!$B$20="Jahresanfang 2025 + Export",BL545+BK545,BK545)))</f>
        <v>5</v>
      </c>
      <c r="I545" s="57" t="n">
        <f aca="false">H545*G545</f>
        <v>371</v>
      </c>
      <c r="J545" s="57" t="n">
        <f aca="false">BN545*Parameter!$B$18</f>
        <v>1</v>
      </c>
      <c r="K545" s="58" t="n">
        <v>4.5</v>
      </c>
      <c r="L545" s="59" t="n">
        <v>0.222222222222222</v>
      </c>
      <c r="M545" s="57" t="n">
        <v>0</v>
      </c>
      <c r="N545" s="57" t="n">
        <v>1</v>
      </c>
      <c r="O545" s="60" t="n">
        <v>35</v>
      </c>
      <c r="P545" s="55" t="s">
        <v>426</v>
      </c>
      <c r="Q545" s="57" t="n">
        <v>6</v>
      </c>
      <c r="R545" s="60" t="n">
        <f aca="false">IF(BT545=1,0,IFERROR(VLOOKUP(BR545,'Gebinde-Kategorie'!$A$5:$M$45,13,0)+0,0))</f>
        <v>198</v>
      </c>
      <c r="S545" s="61"/>
      <c r="T545" s="62"/>
      <c r="U545" s="62"/>
      <c r="V545" s="62"/>
      <c r="W545" s="55"/>
      <c r="X545" s="57"/>
      <c r="Y545" s="57"/>
      <c r="Z545" s="55" t="n">
        <f aca="false">IF(A545="","",IF(AND(Parameter!$B$21="Ja",ISNUMBER(W545)),W545,IF(BV545="2+3",IF(ISNUMBER(SEARCH("grosser Artikel",BO545)),2,IFERROR(VLOOKUP(BR545,Parameter!$F$35:$G$64,2,0),2)),IF(OR(BV545="Nein",BV545=""),"-",BV545))))</f>
        <v>3</v>
      </c>
      <c r="AA545" s="62"/>
      <c r="AB545" s="63"/>
      <c r="AC545" s="57" t="n">
        <f aca="false">AR545</f>
        <v>6</v>
      </c>
      <c r="AD545" s="57" t="n">
        <f aca="false">MAX(AR545,H545)</f>
        <v>6</v>
      </c>
      <c r="AE545" s="64"/>
      <c r="AF545" s="57" t="n">
        <f aca="false">IF(LEFT(Cockpit!$C$5,1)="A",H545,IF(CA545=1,CB545,IF(LEFT(Cockpit!$C$5,1)="B",AJ545,MAX(AJ545,H545))))</f>
        <v>5</v>
      </c>
      <c r="AG545" s="57" t="n">
        <f aca="false">IF(BT545=1,0,ROUNDUP(AF545/BS545,0))</f>
        <v>1</v>
      </c>
      <c r="AH545" s="59" t="n">
        <f aca="false">IF(CH545&gt;0,CH545*MAX(1,AF545/X545),IF(BT545=1,IF(AF545&lt;=0,0,BW545*MAX(1,IF(H545&gt;0,AF545/H545,1))),IF(R545&gt;0,AG545/R545,0))/MAX(0.1,N(Parameter!$M$21)))</f>
        <v>0.00505050505050505</v>
      </c>
      <c r="AI545" s="57" t="n">
        <f aca="false">AF545*G545</f>
        <v>371</v>
      </c>
      <c r="AJ545" s="57" t="n">
        <f aca="false">ROUNDUP(MAX(J545/IF(BZ545&gt;0,BZ545,MAX(0.1,N(Cockpit!$C$6))),CC545)/BS545,0)*BS545</f>
        <v>6</v>
      </c>
      <c r="AK545" s="58" t="n">
        <f aca="false">IF(AH545&gt;0,J545/AH545,-1)</f>
        <v>198</v>
      </c>
      <c r="AL545" s="58" t="n">
        <f aca="false">IF(AND(OR(BY545="L1",BY545="L23"),AH545&gt;0),SUMIFS($AH$7:$AH$1843,$BY$7:$BY$1843,BY545,$AK$7:$AK$1843,"&gt;"&amp;AK545)+SUMIFS($AH$7:$AH$1843,$BY$7:$BY$1843,BY545,$AK$7:$AK$1843,AK545,$BQ$7:$BQ$1843,"&lt;="&amp;BQ545),"")</f>
        <v>32.4860055403534</v>
      </c>
      <c r="AM545" s="65" t="n">
        <f aca="false">IF(AL545="",0,MAX(0,MIN(1,(IF(BY545="L1",Parameter!$E$5,Parameter!$E$6+Parameter!$E$7)-(AL545-AH545))/AH545)))</f>
        <v>1</v>
      </c>
      <c r="AN545" s="57" t="n">
        <f aca="false">IF(LEFT(Cockpit!$I$5,1)="A",H545,IF(CA545=1,CB545,IF(LEFT(Cockpit!$I$5,1)="B",AR545,MAX(AR545,H545))))</f>
        <v>6</v>
      </c>
      <c r="AO545" s="57" t="n">
        <f aca="false">IF(BT545=1,0,ROUNDUP(AN545/BS545,0))</f>
        <v>1</v>
      </c>
      <c r="AP545" s="59" t="n">
        <f aca="false">IF(CH545&gt;0,CH545*MAX(1,AN545/X545),IF(BT545=1,IF(AN545&lt;=0,0,BW545*MAX(1,IF(H545&gt;0,AN545/H545,1))),IF(R545&gt;0,AO545/R545,0))/MAX(0.1,N(Parameter!$M$21)))</f>
        <v>0.00505050505050505</v>
      </c>
      <c r="AQ545" s="57" t="n">
        <f aca="false">AN545*G545</f>
        <v>445.2</v>
      </c>
      <c r="AR545" s="57" t="n">
        <f aca="false">ROUNDUP(MAX(J545/IF(BZ545&gt;0,BZ545,MAX(0.1,N(Cockpit!$I$6))),CC545)/BS545,0)*BS545</f>
        <v>6</v>
      </c>
      <c r="AS545" s="58" t="n">
        <f aca="false">IF(AP545&gt;0,J545/AP545,-1)</f>
        <v>198</v>
      </c>
      <c r="AT545" s="58" t="n">
        <f aca="false">IF(AND(OR(BY545="L1",BY545="L23"),AP545&gt;0),SUMIFS($AP$7:$AP$1843,$BY$7:$BY$1843,BY545,$AS$7:$AS$1843,"&gt;"&amp;AS545)+SUMIFS($AP$7:$AP$1843,$BY$7:$BY$1843,BY545,$AS$7:$AS$1843,AS545,$BQ$7:$BQ$1843,"&lt;="&amp;BQ545),"")</f>
        <v>47.2848383500557</v>
      </c>
      <c r="AU545" s="65" t="n">
        <f aca="false">IF(AT545="",0,MAX(0,MIN(1,(IF(BY545="L1",Parameter!$E$5,Parameter!$E$6+Parameter!$E$7)-(AT545-AP545))/AP545)))</f>
        <v>1</v>
      </c>
      <c r="AV545" s="57" t="n">
        <f aca="false">IF(LEFT(Cockpit!$O$5,1)="A",H545,IF(CA545=1,CB545,IF(LEFT(Cockpit!$O$5,1)="B",AZ545,MAX(AZ545,H545))))</f>
        <v>6</v>
      </c>
      <c r="AW545" s="57" t="n">
        <f aca="false">IF(BT545=1,0,ROUNDUP(AV545/BS545,0))</f>
        <v>1</v>
      </c>
      <c r="AX545" s="59" t="n">
        <f aca="false">IF(CH545&gt;0,CH545*MAX(1,AV545/X545),IF(BT545=1,IF(AV545&lt;=0,0,BW545*MAX(1,IF(H545&gt;0,AV545/H545,1))),IF(R545&gt;0,AW545/R545,0))/MAX(0.1,N(Parameter!$M$21)))</f>
        <v>0.00505050505050505</v>
      </c>
      <c r="AY545" s="57" t="n">
        <f aca="false">AV545*G545</f>
        <v>445.2</v>
      </c>
      <c r="AZ545" s="57" t="n">
        <f aca="false">ROUNDUP(MAX(J545/IF(BZ545&gt;0,BZ545,MAX(0.1,N(Cockpit!$O$6))),CC545)/BS545,0)*BS545</f>
        <v>6</v>
      </c>
      <c r="BA545" s="58" t="n">
        <f aca="false">IF(AX545&gt;0,J545/AX545,-1)</f>
        <v>198</v>
      </c>
      <c r="BB545" s="58" t="n">
        <f aca="false">IF(AND(OR(BY545="L1",BY545="L23"),AX545&gt;0),SUMIFS($AX$7:$AX$1843,$BY$7:$BY$1843,BY545,$BA$7:$BA$1843,"&gt;"&amp;BA545)+SUMIFS($AX$7:$AX$1843,$BY$7:$BY$1843,BY545,$BA$7:$BA$1843,BA545,$BQ$7:$BQ$1843,"&lt;="&amp;BQ545),"")</f>
        <v>42.8646751798926</v>
      </c>
      <c r="BC545" s="65" t="n">
        <f aca="false">IF(BB545="",0,MAX(0,MIN(1,(IF(BY545="L1",Parameter!$E$5,Parameter!$E$6+Parameter!$E$7)-(BB545-AX545))/AX545)))</f>
        <v>1</v>
      </c>
      <c r="BD545" s="55" t="str">
        <f aca="false">IF(AH545&lt;=0,"",IF(BY545="Aussen","Aussenlager",IF(BY545="-","Nicht im Lift",IF(AM545&gt;=1,"Lift",IF(AM545&lt;=0,"Aussenlager","teilweise")))))</f>
        <v>Lift</v>
      </c>
      <c r="BE545" s="55" t="str">
        <f aca="false">IF(AP545&lt;=0,"",IF(BY545="Aussen","Aussenlager",IF(BY545="-","Nicht im Lift",IF(AU545&gt;=1,"Lift",IF(AU545&lt;=0,"Aussenlager","teilweise")))))</f>
        <v>Lift</v>
      </c>
      <c r="BF545" s="55" t="str">
        <f aca="false">IF(AX545&lt;=0,"",IF(BY545="Aussen","Aussenlager",IF(BY545="-","Nicht im Lift",IF(BC545&gt;=1,"Lift",IF(BC545&lt;=0,"Aussenlager","teilweise")))))</f>
        <v>Lift</v>
      </c>
      <c r="BG545" s="55" t="str">
        <f aca="false">IF(A545="","",IF(BP545=1,"Neu; ","")&amp;IF(AND(BP545=0,BK545&lt;0),"negativer Bestand (Export "&amp;BK545&amp;"); ","")&amp;IF(J545&lt;=0,"Kein Verbrauch; ","")&amp;IF(CH545&gt;0,"Lift "&amp;W545&amp;" lt. Liftbericht (Fach "&amp;X545&amp;" Stk); ",IF(BU545=1,"Gebinde geschätzt ("&amp;T545&amp;"); ",IF(BT545=1,"Lose – Tablare geschätzt; ","")))&amp;IF(H545&gt;AR545,"Überbestand "&amp;ROUND(H545-AR545,0)&amp;" Stk / CHF "&amp;ROUND((H545-AR545)*G545,0)&amp;"; ","")&amp;IF(AND(CA545=1,CB545&lt;CC545),"MAX &lt; MB+LG; ","")&amp;IF(AND(CG545&gt;0,CF545*10&gt;CG545),"zu hoch für Tablar; ","")&amp;IF(AND(BP545=0,OR(CA545=1,AA545&lt;&gt;"",U545&lt;&gt;"",V545&lt;&gt;"",AB545&lt;&gt;"")),"manuell übersteuert; ","")&amp;IF(AND(BT545=0,R545=0),"Gebinde unbekannt / Stellmass fehlt; ","")&amp;IF(AND(BT545=0,N(V545)&lt;=0,N(Q545)&lt;=0),"Menge pro Gebinde fehlt (Ist = 1 Gebinde); ","")&amp;BO545)</f>
        <v/>
      </c>
      <c r="BH545" s="55"/>
      <c r="BI545" s="55"/>
      <c r="BJ545" s="62"/>
      <c r="BK545" s="57" t="n">
        <v>0</v>
      </c>
      <c r="BL545" s="57" t="n">
        <v>5</v>
      </c>
      <c r="BM545" s="56" t="n">
        <v>18.75</v>
      </c>
      <c r="BN545" s="57" t="n">
        <v>1</v>
      </c>
      <c r="BO545" s="55"/>
      <c r="BP545" s="60" t="n">
        <v>0</v>
      </c>
      <c r="BQ545" s="60" t="n">
        <v>545</v>
      </c>
      <c r="BR545" s="55" t="str">
        <f aca="false">IF(U545&lt;&gt;"",UPPER(TRIM(U545)),IF(BU545=1,UPPER(VLOOKUP(T545,Parameter!$I$27:$K$29,2,0)),IF(P545="","LOSE",P545)))</f>
        <v>S22</v>
      </c>
      <c r="BS545" s="57" t="n">
        <f aca="false">IF(BR545="LOSE",1,IF(N(V545)&gt;0,V545,IF(BU545=1,MAX(1,N(VLOOKUP(T545,Parameter!$I$27:$K$29,3,0)),H545,N(N545)),IF(N(Q545)&gt;0,Q545,MAX(1,H545)))))</f>
        <v>6</v>
      </c>
      <c r="BT545" s="60" t="n">
        <f aca="false">IF(BR545="LOSE",1,0)</f>
        <v>0</v>
      </c>
      <c r="BU545" s="60" t="n">
        <f aca="false">IF(AND(U545="",OR(P545="",P545="LOSE"),T545&lt;&gt;"",N(S545)&lt;=0,ISNUMBER(MATCH(T545,Parameter!$I$27:$I$29,0))),1,0)</f>
        <v>0</v>
      </c>
      <c r="BV545" s="55" t="str">
        <f aca="false">IF(AND(Parameter!$B$19="Ja",E545&lt;&gt;"",ISNUMBER(MATCH(E545,Parameter!$I$35:$I$52,0))),VLOOKUP(E545,Parameter!$I$35:$J$52,2,0),IFERROR(VLOOKUP(D545,Parameter!$A$35:$C$64,2,0),"Nein"))</f>
        <v>2+3</v>
      </c>
      <c r="BW545" s="59" t="n">
        <f aca="false">IF(BT545=0,0,IF(N(S545)&gt;0,S545,IFERROR(VLOOKUP(D545,Parameter!$A$35:$C$64,3,0)+0,0)))</f>
        <v>0</v>
      </c>
      <c r="BX545" s="55" t="n">
        <f aca="false">IF(AA545&lt;&gt;"",AA545,Z545)</f>
        <v>3</v>
      </c>
      <c r="BY545" s="55" t="str">
        <f aca="false">IF(BX545=1,"L1",IF(OR(BX545=2,BX545=3),"L23",IF(BX545="Aussen","Aussen","-")))</f>
        <v>L23</v>
      </c>
      <c r="BZ545" s="66" t="n">
        <f aca="false">IF(N(AB545)&gt;0,AB545,0)</f>
        <v>0</v>
      </c>
      <c r="CA545" s="60" t="n">
        <f aca="false">IF(ISNUMBER(AE545),1,0)</f>
        <v>0</v>
      </c>
      <c r="CB545" s="57" t="n">
        <f aca="false">N(AE545)</f>
        <v>0</v>
      </c>
      <c r="CC545" s="57" t="n">
        <f aca="false">N(M545)+N(N545)</f>
        <v>1</v>
      </c>
      <c r="CD545" s="57" t="n">
        <f aca="false">ROUNDUP(H545/BS545,0)</f>
        <v>1</v>
      </c>
      <c r="CE545" s="57" t="n">
        <f aca="false">ROUNDUP(CB545/BS545,0)</f>
        <v>0</v>
      </c>
      <c r="CF545" s="60" t="n">
        <f aca="false">IF(BT545=1,0,IFERROR(VLOOKUP(BR545,'Gebinde-Kategorie'!$A$5:$M$45,5,0)+0,0))</f>
        <v>8</v>
      </c>
      <c r="CG545" s="60" t="n">
        <f aca="false">IFERROR(IF(OR(BX545=1,BX545=2,BX545=3),N(INDEX(Parameter!$I$5:$I$7,BX545)),0),0)</f>
        <v>0</v>
      </c>
      <c r="CH545" s="59" t="n">
        <f aca="false">IF(AND(Parameter!$B$21="Ja",ISNUMBER(W545),N(X545)&gt;0),IFERROR(N(INDEX(Parameter!$L$5:$L$7,W545))*INDEX(Parameter!$E$5:$E$7,W545)*X545/SUMIFS($X$7:$X$1843,$W$7:$W$1843,W545),0),0)</f>
        <v>0</v>
      </c>
    </row>
    <row r="546" customFormat="false" ht="15" hidden="false" customHeight="false" outlineLevel="0" collapsed="false">
      <c r="A546" s="55" t="s">
        <v>1169</v>
      </c>
      <c r="B546" s="55" t="s">
        <v>1170</v>
      </c>
      <c r="C546" s="55" t="s">
        <v>164</v>
      </c>
      <c r="D546" s="55" t="s">
        <v>184</v>
      </c>
      <c r="E546" s="55" t="s">
        <v>185</v>
      </c>
      <c r="F546" s="55" t="s">
        <v>218</v>
      </c>
      <c r="G546" s="56" t="n">
        <v>3.84</v>
      </c>
      <c r="H546" s="57" t="n">
        <f aca="false">MAX(0,IF(AND(Parameter!$B$21="Ja",ISNUMBER(Y546)),Y546,IF(Parameter!$B$20="Jahresanfang 2025 + Export",BL546+BK546,BK546)))</f>
        <v>109</v>
      </c>
      <c r="I546" s="57" t="n">
        <f aca="false">H546*G546</f>
        <v>418.56</v>
      </c>
      <c r="J546" s="57" t="n">
        <f aca="false">BN546*Parameter!$B$18</f>
        <v>72</v>
      </c>
      <c r="K546" s="58" t="n">
        <v>73.5</v>
      </c>
      <c r="L546" s="59" t="n">
        <v>0.979591836734694</v>
      </c>
      <c r="M546" s="57" t="n">
        <v>7</v>
      </c>
      <c r="N546" s="57" t="n">
        <v>100</v>
      </c>
      <c r="O546" s="60" t="n">
        <v>35</v>
      </c>
      <c r="P546" s="55" t="s">
        <v>328</v>
      </c>
      <c r="Q546" s="57" t="n">
        <v>39</v>
      </c>
      <c r="R546" s="60" t="n">
        <f aca="false">IF(BT546=1,0,IFERROR(VLOOKUP(BR546,'Gebinde-Kategorie'!$A$5:$M$45,13,0)+0,0))</f>
        <v>52</v>
      </c>
      <c r="S546" s="61"/>
      <c r="T546" s="62"/>
      <c r="U546" s="62"/>
      <c r="V546" s="62"/>
      <c r="W546" s="55"/>
      <c r="X546" s="57"/>
      <c r="Y546" s="57"/>
      <c r="Z546" s="55" t="n">
        <f aca="false">IF(A546="","",IF(AND(Parameter!$B$21="Ja",ISNUMBER(W546)),W546,IF(BV546="2+3",IF(ISNUMBER(SEARCH("grosser Artikel",BO546)),2,IFERROR(VLOOKUP(BR546,Parameter!$F$35:$G$64,2,0),2)),IF(OR(BV546="Nein",BV546=""),"-",BV546))))</f>
        <v>3</v>
      </c>
      <c r="AA546" s="62"/>
      <c r="AB546" s="63"/>
      <c r="AC546" s="57" t="n">
        <f aca="false">AR546</f>
        <v>117</v>
      </c>
      <c r="AD546" s="57" t="n">
        <f aca="false">MAX(AR546,H546)</f>
        <v>117</v>
      </c>
      <c r="AE546" s="64"/>
      <c r="AF546" s="57" t="n">
        <f aca="false">IF(LEFT(Cockpit!$C$5,1)="A",H546,IF(CA546=1,CB546,IF(LEFT(Cockpit!$C$5,1)="B",AJ546,MAX(AJ546,H546))))</f>
        <v>109</v>
      </c>
      <c r="AG546" s="57" t="n">
        <f aca="false">IF(BT546=1,0,ROUNDUP(AF546/BS546,0))</f>
        <v>3</v>
      </c>
      <c r="AH546" s="59" t="n">
        <f aca="false">IF(CH546&gt;0,CH546*MAX(1,AF546/X546),IF(BT546=1,IF(AF546&lt;=0,0,BW546*MAX(1,IF(H546&gt;0,AF546/H546,1))),IF(R546&gt;0,AG546/R546,0))/MAX(0.1,N(Parameter!$M$21)))</f>
        <v>0.0576923076923077</v>
      </c>
      <c r="AI546" s="57" t="n">
        <f aca="false">AF546*G546</f>
        <v>418.56</v>
      </c>
      <c r="AJ546" s="57" t="n">
        <f aca="false">ROUNDUP(MAX(J546/IF(BZ546&gt;0,BZ546,MAX(0.1,N(Cockpit!$C$6))),CC546)/BS546,0)*BS546</f>
        <v>117</v>
      </c>
      <c r="AK546" s="58" t="n">
        <f aca="false">IF(AH546&gt;0,J546/AH546,-1)</f>
        <v>1248</v>
      </c>
      <c r="AL546" s="58" t="n">
        <f aca="false">IF(AND(OR(BY546="L1",BY546="L23"),AH546&gt;0),SUMIFS($AH$7:$AH$1843,$BY$7:$BY$1843,BY546,$AK$7:$AK$1843,"&gt;"&amp;AK546)+SUMIFS($AH$7:$AH$1843,$BY$7:$BY$1843,BY546,$AK$7:$AK$1843,AK546,$BQ$7:$BQ$1843,"&lt;="&amp;BQ546),"")</f>
        <v>16.5446353163744</v>
      </c>
      <c r="AM546" s="65" t="n">
        <f aca="false">IF(AL546="",0,MAX(0,MIN(1,(IF(BY546="L1",Parameter!$E$5,Parameter!$E$6+Parameter!$E$7)-(AL546-AH546))/AH546)))</f>
        <v>1</v>
      </c>
      <c r="AN546" s="57" t="n">
        <f aca="false">IF(LEFT(Cockpit!$I$5,1)="A",H546,IF(CA546=1,CB546,IF(LEFT(Cockpit!$I$5,1)="B",AR546,MAX(AR546,H546))))</f>
        <v>117</v>
      </c>
      <c r="AO546" s="57" t="n">
        <f aca="false">IF(BT546=1,0,ROUNDUP(AN546/BS546,0))</f>
        <v>3</v>
      </c>
      <c r="AP546" s="59" t="n">
        <f aca="false">IF(CH546&gt;0,CH546*MAX(1,AN546/X546),IF(BT546=1,IF(AN546&lt;=0,0,BW546*MAX(1,IF(H546&gt;0,AN546/H546,1))),IF(R546&gt;0,AO546/R546,0))/MAX(0.1,N(Parameter!$M$21)))</f>
        <v>0.0576923076923077</v>
      </c>
      <c r="AQ546" s="57" t="n">
        <f aca="false">AN546*G546</f>
        <v>449.28</v>
      </c>
      <c r="AR546" s="57" t="n">
        <f aca="false">ROUNDUP(MAX(J546/IF(BZ546&gt;0,BZ546,MAX(0.1,N(Cockpit!$I$6))),CC546)/BS546,0)*BS546</f>
        <v>117</v>
      </c>
      <c r="AS546" s="58" t="n">
        <f aca="false">IF(AP546&gt;0,J546/AP546,-1)</f>
        <v>1248</v>
      </c>
      <c r="AT546" s="58" t="n">
        <f aca="false">IF(AND(OR(BY546="L1",BY546="L23"),AP546&gt;0),SUMIFS($AP$7:$AP$1843,$BY$7:$BY$1843,BY546,$AS$7:$AS$1843,"&gt;"&amp;AS546)+SUMIFS($AP$7:$AP$1843,$BY$7:$BY$1843,BY546,$AS$7:$AS$1843,AS546,$BQ$7:$BQ$1843,"&lt;="&amp;BQ546),"")</f>
        <v>22.1538968278099</v>
      </c>
      <c r="AU546" s="65" t="n">
        <f aca="false">IF(AT546="",0,MAX(0,MIN(1,(IF(BY546="L1",Parameter!$E$5,Parameter!$E$6+Parameter!$E$7)-(AT546-AP546))/AP546)))</f>
        <v>1</v>
      </c>
      <c r="AV546" s="57" t="n">
        <f aca="false">IF(LEFT(Cockpit!$O$5,1)="A",H546,IF(CA546=1,CB546,IF(LEFT(Cockpit!$O$5,1)="B",AZ546,MAX(AZ546,H546))))</f>
        <v>117</v>
      </c>
      <c r="AW546" s="57" t="n">
        <f aca="false">IF(BT546=1,0,ROUNDUP(AV546/BS546,0))</f>
        <v>3</v>
      </c>
      <c r="AX546" s="59" t="n">
        <f aca="false">IF(CH546&gt;0,CH546*MAX(1,AV546/X546),IF(BT546=1,IF(AV546&lt;=0,0,BW546*MAX(1,IF(H546&gt;0,AV546/H546,1))),IF(R546&gt;0,AW546/R546,0))/MAX(0.1,N(Parameter!$M$21)))</f>
        <v>0.0576923076923077</v>
      </c>
      <c r="AY546" s="57" t="n">
        <f aca="false">AV546*G546</f>
        <v>449.28</v>
      </c>
      <c r="AZ546" s="57" t="n">
        <f aca="false">ROUNDUP(MAX(J546/IF(BZ546&gt;0,BZ546,MAX(0.1,N(Cockpit!$O$6))),CC546)/BS546,0)*BS546</f>
        <v>117</v>
      </c>
      <c r="BA546" s="58" t="n">
        <f aca="false">IF(AX546&gt;0,J546/AX546,-1)</f>
        <v>1248</v>
      </c>
      <c r="BB546" s="58" t="n">
        <f aca="false">IF(AND(OR(BY546="L1",BY546="L23"),AX546&gt;0),SUMIFS($AX$7:$AX$1843,$BY$7:$BY$1843,BY546,$BA$7:$BA$1843,"&gt;"&amp;BA546)+SUMIFS($AX$7:$AX$1843,$BY$7:$BY$1843,BY546,$BA$7:$BA$1843,BA546,$BQ$7:$BQ$1843,"&lt;="&amp;BQ546),"")</f>
        <v>20.8491182730313</v>
      </c>
      <c r="BC546" s="65" t="n">
        <f aca="false">IF(BB546="",0,MAX(0,MIN(1,(IF(BY546="L1",Parameter!$E$5,Parameter!$E$6+Parameter!$E$7)-(BB546-AX546))/AX546)))</f>
        <v>1</v>
      </c>
      <c r="BD546" s="55" t="str">
        <f aca="false">IF(AH546&lt;=0,"",IF(BY546="Aussen","Aussenlager",IF(BY546="-","Nicht im Lift",IF(AM546&gt;=1,"Lift",IF(AM546&lt;=0,"Aussenlager","teilweise")))))</f>
        <v>Lift</v>
      </c>
      <c r="BE546" s="55" t="str">
        <f aca="false">IF(AP546&lt;=0,"",IF(BY546="Aussen","Aussenlager",IF(BY546="-","Nicht im Lift",IF(AU546&gt;=1,"Lift",IF(AU546&lt;=0,"Aussenlager","teilweise")))))</f>
        <v>Lift</v>
      </c>
      <c r="BF546" s="55" t="str">
        <f aca="false">IF(AX546&lt;=0,"",IF(BY546="Aussen","Aussenlager",IF(BY546="-","Nicht im Lift",IF(BC546&gt;=1,"Lift",IF(BC546&lt;=0,"Aussenlager","teilweise")))))</f>
        <v>Lift</v>
      </c>
      <c r="BG546" s="55" t="str">
        <f aca="false">IF(A546="","",IF(BP546=1,"Neu; ","")&amp;IF(AND(BP546=0,BK546&lt;0),"negativer Bestand (Export "&amp;BK546&amp;"); ","")&amp;IF(J546&lt;=0,"Kein Verbrauch; ","")&amp;IF(CH546&gt;0,"Lift "&amp;W546&amp;" lt. Liftbericht (Fach "&amp;X546&amp;" Stk); ",IF(BU546=1,"Gebinde geschätzt ("&amp;T546&amp;"); ",IF(BT546=1,"Lose – Tablare geschätzt; ","")))&amp;IF(H546&gt;AR546,"Überbestand "&amp;ROUND(H546-AR546,0)&amp;" Stk / CHF "&amp;ROUND((H546-AR546)*G546,0)&amp;"; ","")&amp;IF(AND(CA546=1,CB546&lt;CC546),"MAX &lt; MB+LG; ","")&amp;IF(AND(CG546&gt;0,CF546*10&gt;CG546),"zu hoch für Tablar; ","")&amp;IF(AND(BP546=0,OR(CA546=1,AA546&lt;&gt;"",U546&lt;&gt;"",V546&lt;&gt;"",AB546&lt;&gt;"")),"manuell übersteuert; ","")&amp;IF(AND(BT546=0,R546=0),"Gebinde unbekannt / Stellmass fehlt; ","")&amp;IF(AND(BT546=0,N(V546)&lt;=0,N(Q546)&lt;=0),"Menge pro Gebinde fehlt (Ist = 1 Gebinde); ","")&amp;BO546)</f>
        <v/>
      </c>
      <c r="BH546" s="55"/>
      <c r="BI546" s="55"/>
      <c r="BJ546" s="62"/>
      <c r="BK546" s="57" t="n">
        <v>4</v>
      </c>
      <c r="BL546" s="57" t="n">
        <v>105</v>
      </c>
      <c r="BM546" s="56" t="n">
        <v>18.5100000000001</v>
      </c>
      <c r="BN546" s="57" t="n">
        <v>72</v>
      </c>
      <c r="BO546" s="55"/>
      <c r="BP546" s="60" t="n">
        <v>0</v>
      </c>
      <c r="BQ546" s="60" t="n">
        <v>546</v>
      </c>
      <c r="BR546" s="55" t="str">
        <f aca="false">IF(U546&lt;&gt;"",UPPER(TRIM(U546)),IF(BU546=1,UPPER(VLOOKUP(T546,Parameter!$I$27:$K$29,2,0)),IF(P546="","LOSE",P546)))</f>
        <v>S41</v>
      </c>
      <c r="BS546" s="57" t="n">
        <f aca="false">IF(BR546="LOSE",1,IF(N(V546)&gt;0,V546,IF(BU546=1,MAX(1,N(VLOOKUP(T546,Parameter!$I$27:$K$29,3,0)),H546,N(N546)),IF(N(Q546)&gt;0,Q546,MAX(1,H546)))))</f>
        <v>39</v>
      </c>
      <c r="BT546" s="60" t="n">
        <f aca="false">IF(BR546="LOSE",1,0)</f>
        <v>0</v>
      </c>
      <c r="BU546" s="60" t="n">
        <f aca="false">IF(AND(U546="",OR(P546="",P546="LOSE"),T546&lt;&gt;"",N(S546)&lt;=0,ISNUMBER(MATCH(T546,Parameter!$I$27:$I$29,0))),1,0)</f>
        <v>0</v>
      </c>
      <c r="BV546" s="55" t="str">
        <f aca="false">IF(AND(Parameter!$B$19="Ja",E546&lt;&gt;"",ISNUMBER(MATCH(E546,Parameter!$I$35:$I$52,0))),VLOOKUP(E546,Parameter!$I$35:$J$52,2,0),IFERROR(VLOOKUP(D546,Parameter!$A$35:$C$64,2,0),"Nein"))</f>
        <v>2+3</v>
      </c>
      <c r="BW546" s="59" t="n">
        <f aca="false">IF(BT546=0,0,IF(N(S546)&gt;0,S546,IFERROR(VLOOKUP(D546,Parameter!$A$35:$C$64,3,0)+0,0)))</f>
        <v>0</v>
      </c>
      <c r="BX546" s="55" t="n">
        <f aca="false">IF(AA546&lt;&gt;"",AA546,Z546)</f>
        <v>3</v>
      </c>
      <c r="BY546" s="55" t="str">
        <f aca="false">IF(BX546=1,"L1",IF(OR(BX546=2,BX546=3),"L23",IF(BX546="Aussen","Aussen","-")))</f>
        <v>L23</v>
      </c>
      <c r="BZ546" s="66" t="n">
        <f aca="false">IF(N(AB546)&gt;0,AB546,0)</f>
        <v>0</v>
      </c>
      <c r="CA546" s="60" t="n">
        <f aca="false">IF(ISNUMBER(AE546),1,0)</f>
        <v>0</v>
      </c>
      <c r="CB546" s="57" t="n">
        <f aca="false">N(AE546)</f>
        <v>0</v>
      </c>
      <c r="CC546" s="57" t="n">
        <f aca="false">N(M546)+N(N546)</f>
        <v>107</v>
      </c>
      <c r="CD546" s="57" t="n">
        <f aca="false">ROUNDUP(H546/BS546,0)</f>
        <v>3</v>
      </c>
      <c r="CE546" s="57" t="n">
        <f aca="false">ROUNDUP(CB546/BS546,0)</f>
        <v>0</v>
      </c>
      <c r="CF546" s="60" t="n">
        <f aca="false">IF(BT546=1,0,IFERROR(VLOOKUP(BR546,'Gebinde-Kategorie'!$A$5:$M$45,5,0)+0,0))</f>
        <v>11</v>
      </c>
      <c r="CG546" s="60" t="n">
        <f aca="false">IFERROR(IF(OR(BX546=1,BX546=2,BX546=3),N(INDEX(Parameter!$I$5:$I$7,BX546)),0),0)</f>
        <v>0</v>
      </c>
      <c r="CH546" s="59" t="n">
        <f aca="false">IF(AND(Parameter!$B$21="Ja",ISNUMBER(W546),N(X546)&gt;0),IFERROR(N(INDEX(Parameter!$L$5:$L$7,W546))*INDEX(Parameter!$E$5:$E$7,W546)*X546/SUMIFS($X$7:$X$1843,$W$7:$W$1843,W546),0),0)</f>
        <v>0</v>
      </c>
    </row>
    <row r="547" customFormat="false" ht="15" hidden="false" customHeight="false" outlineLevel="0" collapsed="false">
      <c r="A547" s="55" t="s">
        <v>1171</v>
      </c>
      <c r="B547" s="55" t="s">
        <v>1172</v>
      </c>
      <c r="C547" s="55" t="s">
        <v>164</v>
      </c>
      <c r="D547" s="55" t="s">
        <v>184</v>
      </c>
      <c r="E547" s="55" t="s">
        <v>185</v>
      </c>
      <c r="F547" s="55" t="s">
        <v>218</v>
      </c>
      <c r="G547" s="56" t="n">
        <v>14.86</v>
      </c>
      <c r="H547" s="57" t="n">
        <f aca="false">MAX(0,IF(AND(Parameter!$B$21="Ja",ISNUMBER(Y547)),Y547,IF(Parameter!$B$20="Jahresanfang 2025 + Export",BL547+BK547,BK547)))</f>
        <v>12</v>
      </c>
      <c r="I547" s="57" t="n">
        <f aca="false">H547*G547</f>
        <v>178.32</v>
      </c>
      <c r="J547" s="57" t="n">
        <f aca="false">BN547*Parameter!$B$18</f>
        <v>7</v>
      </c>
      <c r="K547" s="58" t="n">
        <v>8</v>
      </c>
      <c r="L547" s="59" t="n">
        <v>0.875</v>
      </c>
      <c r="M547" s="57" t="n">
        <v>0</v>
      </c>
      <c r="N547" s="57" t="n">
        <v>5</v>
      </c>
      <c r="O547" s="60" t="n">
        <v>21</v>
      </c>
      <c r="P547" s="55" t="s">
        <v>421</v>
      </c>
      <c r="Q547" s="57" t="n">
        <v>11</v>
      </c>
      <c r="R547" s="60" t="n">
        <f aca="false">IF(BT547=1,0,IFERROR(VLOOKUP(BR547,'Gebinde-Kategorie'!$A$5:$M$45,13,0)+0,0))</f>
        <v>132</v>
      </c>
      <c r="S547" s="61"/>
      <c r="T547" s="62"/>
      <c r="U547" s="62"/>
      <c r="V547" s="62"/>
      <c r="W547" s="55"/>
      <c r="X547" s="57"/>
      <c r="Y547" s="57"/>
      <c r="Z547" s="55" t="n">
        <f aca="false">IF(A547="","",IF(AND(Parameter!$B$21="Ja",ISNUMBER(W547)),W547,IF(BV547="2+3",IF(ISNUMBER(SEARCH("grosser Artikel",BO547)),2,IFERROR(VLOOKUP(BR547,Parameter!$F$35:$G$64,2,0),2)),IF(OR(BV547="Nein",BV547=""),"-",BV547))))</f>
        <v>3</v>
      </c>
      <c r="AA547" s="62"/>
      <c r="AB547" s="63"/>
      <c r="AC547" s="57" t="n">
        <f aca="false">AR547</f>
        <v>11</v>
      </c>
      <c r="AD547" s="57" t="n">
        <f aca="false">MAX(AR547,H547)</f>
        <v>12</v>
      </c>
      <c r="AE547" s="64"/>
      <c r="AF547" s="57" t="n">
        <f aca="false">IF(LEFT(Cockpit!$C$5,1)="A",H547,IF(CA547=1,CB547,IF(LEFT(Cockpit!$C$5,1)="B",AJ547,MAX(AJ547,H547))))</f>
        <v>12</v>
      </c>
      <c r="AG547" s="57" t="n">
        <f aca="false">IF(BT547=1,0,ROUNDUP(AF547/BS547,0))</f>
        <v>2</v>
      </c>
      <c r="AH547" s="59" t="n">
        <f aca="false">IF(CH547&gt;0,CH547*MAX(1,AF547/X547),IF(BT547=1,IF(AF547&lt;=0,0,BW547*MAX(1,IF(H547&gt;0,AF547/H547,1))),IF(R547&gt;0,AG547/R547,0))/MAX(0.1,N(Parameter!$M$21)))</f>
        <v>0.0151515151515152</v>
      </c>
      <c r="AI547" s="57" t="n">
        <f aca="false">AF547*G547</f>
        <v>178.32</v>
      </c>
      <c r="AJ547" s="57" t="n">
        <f aca="false">ROUNDUP(MAX(J547/IF(BZ547&gt;0,BZ547,MAX(0.1,N(Cockpit!$C$6))),CC547)/BS547,0)*BS547</f>
        <v>11</v>
      </c>
      <c r="AK547" s="58" t="n">
        <f aca="false">IF(AH547&gt;0,J547/AH547,-1)</f>
        <v>462</v>
      </c>
      <c r="AL547" s="58" t="n">
        <f aca="false">IF(AND(OR(BY547="L1",BY547="L23"),AH547&gt;0),SUMIFS($AH$7:$AH$1843,$BY$7:$BY$1843,BY547,$AK$7:$AK$1843,"&gt;"&amp;AK547)+SUMIFS($AH$7:$AH$1843,$BY$7:$BY$1843,BY547,$AK$7:$AK$1843,AK547,$BQ$7:$BQ$1843,"&lt;="&amp;BQ547),"")</f>
        <v>24.5798368298368</v>
      </c>
      <c r="AM547" s="65" t="n">
        <f aca="false">IF(AL547="",0,MAX(0,MIN(1,(IF(BY547="L1",Parameter!$E$5,Parameter!$E$6+Parameter!$E$7)-(AL547-AH547))/AH547)))</f>
        <v>1</v>
      </c>
      <c r="AN547" s="57" t="n">
        <f aca="false">IF(LEFT(Cockpit!$I$5,1)="A",H547,IF(CA547=1,CB547,IF(LEFT(Cockpit!$I$5,1)="B",AR547,MAX(AR547,H547))))</f>
        <v>12</v>
      </c>
      <c r="AO547" s="57" t="n">
        <f aca="false">IF(BT547=1,0,ROUNDUP(AN547/BS547,0))</f>
        <v>2</v>
      </c>
      <c r="AP547" s="59" t="n">
        <f aca="false">IF(CH547&gt;0,CH547*MAX(1,AN547/X547),IF(BT547=1,IF(AN547&lt;=0,0,BW547*MAX(1,IF(H547&gt;0,AN547/H547,1))),IF(R547&gt;0,AO547/R547,0))/MAX(0.1,N(Parameter!$M$21)))</f>
        <v>0.0151515151515152</v>
      </c>
      <c r="AQ547" s="57" t="n">
        <f aca="false">AN547*G547</f>
        <v>178.32</v>
      </c>
      <c r="AR547" s="57" t="n">
        <f aca="false">ROUNDUP(MAX(J547/IF(BZ547&gt;0,BZ547,MAX(0.1,N(Cockpit!$I$6))),CC547)/BS547,0)*BS547</f>
        <v>11</v>
      </c>
      <c r="AS547" s="58" t="n">
        <f aca="false">IF(AP547&gt;0,J547/AP547,-1)</f>
        <v>462</v>
      </c>
      <c r="AT547" s="58" t="n">
        <f aca="false">IF(AND(OR(BY547="L1",BY547="L23"),AP547&gt;0),SUMIFS($AP$7:$AP$1843,$BY$7:$BY$1843,BY547,$AS$7:$AS$1843,"&gt;"&amp;AS547)+SUMIFS($AP$7:$AP$1843,$BY$7:$BY$1843,BY547,$AS$7:$AS$1843,AS547,$BQ$7:$BQ$1843,"&lt;="&amp;BQ547),"")</f>
        <v>33.8531384074862</v>
      </c>
      <c r="AU547" s="65" t="n">
        <f aca="false">IF(AT547="",0,MAX(0,MIN(1,(IF(BY547="L1",Parameter!$E$5,Parameter!$E$6+Parameter!$E$7)-(AT547-AP547))/AP547)))</f>
        <v>1</v>
      </c>
      <c r="AV547" s="57" t="n">
        <f aca="false">IF(LEFT(Cockpit!$O$5,1)="A",H547,IF(CA547=1,CB547,IF(LEFT(Cockpit!$O$5,1)="B",AZ547,MAX(AZ547,H547))))</f>
        <v>12</v>
      </c>
      <c r="AW547" s="57" t="n">
        <f aca="false">IF(BT547=1,0,ROUNDUP(AV547/BS547,0))</f>
        <v>2</v>
      </c>
      <c r="AX547" s="59" t="n">
        <f aca="false">IF(CH547&gt;0,CH547*MAX(1,AV547/X547),IF(BT547=1,IF(AV547&lt;=0,0,BW547*MAX(1,IF(H547&gt;0,AV547/H547,1))),IF(R547&gt;0,AW547/R547,0))/MAX(0.1,N(Parameter!$M$21)))</f>
        <v>0.0151515151515152</v>
      </c>
      <c r="AY547" s="57" t="n">
        <f aca="false">AV547*G547</f>
        <v>178.32</v>
      </c>
      <c r="AZ547" s="57" t="n">
        <f aca="false">ROUNDUP(MAX(J547/IF(BZ547&gt;0,BZ547,MAX(0.1,N(Cockpit!$O$6))),CC547)/BS547,0)*BS547</f>
        <v>11</v>
      </c>
      <c r="BA547" s="58" t="n">
        <f aca="false">IF(AX547&gt;0,J547/AX547,-1)</f>
        <v>462</v>
      </c>
      <c r="BB547" s="58" t="n">
        <f aca="false">IF(AND(OR(BY547="L1",BY547="L23"),AX547&gt;0),SUMIFS($AX$7:$AX$1843,$BY$7:$BY$1843,BY547,$BA$7:$BA$1843,"&gt;"&amp;BA547)+SUMIFS($AX$7:$AX$1843,$BY$7:$BY$1843,BY547,$BA$7:$BA$1843,BA547,$BQ$7:$BQ$1843,"&lt;="&amp;BQ547),"")</f>
        <v>32.7534880578359</v>
      </c>
      <c r="BC547" s="65" t="n">
        <f aca="false">IF(BB547="",0,MAX(0,MIN(1,(IF(BY547="L1",Parameter!$E$5,Parameter!$E$6+Parameter!$E$7)-(BB547-AX547))/AX547)))</f>
        <v>1</v>
      </c>
      <c r="BD547" s="55" t="str">
        <f aca="false">IF(AH547&lt;=0,"",IF(BY547="Aussen","Aussenlager",IF(BY547="-","Nicht im Lift",IF(AM547&gt;=1,"Lift",IF(AM547&lt;=0,"Aussenlager","teilweise")))))</f>
        <v>Lift</v>
      </c>
      <c r="BE547" s="55" t="str">
        <f aca="false">IF(AP547&lt;=0,"",IF(BY547="Aussen","Aussenlager",IF(BY547="-","Nicht im Lift",IF(AU547&gt;=1,"Lift",IF(AU547&lt;=0,"Aussenlager","teilweise")))))</f>
        <v>Lift</v>
      </c>
      <c r="BF547" s="55" t="str">
        <f aca="false">IF(AX547&lt;=0,"",IF(BY547="Aussen","Aussenlager",IF(BY547="-","Nicht im Lift",IF(BC547&gt;=1,"Lift",IF(BC547&lt;=0,"Aussenlager","teilweise")))))</f>
        <v>Lift</v>
      </c>
      <c r="BG547" s="55" t="str">
        <f aca="false">IF(A547="","",IF(BP547=1,"Neu; ","")&amp;IF(AND(BP547=0,BK547&lt;0),"negativer Bestand (Export "&amp;BK547&amp;"); ","")&amp;IF(J547&lt;=0,"Kein Verbrauch; ","")&amp;IF(CH547&gt;0,"Lift "&amp;W547&amp;" lt. Liftbericht (Fach "&amp;X547&amp;" Stk); ",IF(BU547=1,"Gebinde geschätzt ("&amp;T547&amp;"); ",IF(BT547=1,"Lose – Tablare geschätzt; ","")))&amp;IF(H547&gt;AR547,"Überbestand "&amp;ROUND(H547-AR547,0)&amp;" Stk / CHF "&amp;ROUND((H547-AR547)*G547,0)&amp;"; ","")&amp;IF(AND(CA547=1,CB547&lt;CC547),"MAX &lt; MB+LG; ","")&amp;IF(AND(CG547&gt;0,CF547*10&gt;CG547),"zu hoch für Tablar; ","")&amp;IF(AND(BP547=0,OR(CA547=1,AA547&lt;&gt;"",U547&lt;&gt;"",V547&lt;&gt;"",AB547&lt;&gt;"")),"manuell übersteuert; ","")&amp;IF(AND(BT547=0,R547=0),"Gebinde unbekannt / Stellmass fehlt; ","")&amp;IF(AND(BT547=0,N(V547)&lt;=0,N(Q547)&lt;=0),"Menge pro Gebinde fehlt (Ist = 1 Gebinde); ","")&amp;BO547)</f>
        <v>Überbestand 1 Stk / CHF 15; </v>
      </c>
      <c r="BH547" s="55"/>
      <c r="BI547" s="55"/>
      <c r="BJ547" s="62"/>
      <c r="BK547" s="57" t="n">
        <v>0</v>
      </c>
      <c r="BL547" s="57" t="n">
        <v>12</v>
      </c>
      <c r="BM547" s="56" t="n">
        <v>18.48</v>
      </c>
      <c r="BN547" s="57" t="n">
        <v>7</v>
      </c>
      <c r="BO547" s="55"/>
      <c r="BP547" s="60" t="n">
        <v>0</v>
      </c>
      <c r="BQ547" s="60" t="n">
        <v>547</v>
      </c>
      <c r="BR547" s="55" t="str">
        <f aca="false">IF(U547&lt;&gt;"",UPPER(TRIM(U547)),IF(BU547=1,UPPER(VLOOKUP(T547,Parameter!$I$27:$K$29,2,0)),IF(P547="","LOSE",P547)))</f>
        <v>S32</v>
      </c>
      <c r="BS547" s="57" t="n">
        <f aca="false">IF(BR547="LOSE",1,IF(N(V547)&gt;0,V547,IF(BU547=1,MAX(1,N(VLOOKUP(T547,Parameter!$I$27:$K$29,3,0)),H547,N(N547)),IF(N(Q547)&gt;0,Q547,MAX(1,H547)))))</f>
        <v>11</v>
      </c>
      <c r="BT547" s="60" t="n">
        <f aca="false">IF(BR547="LOSE",1,0)</f>
        <v>0</v>
      </c>
      <c r="BU547" s="60" t="n">
        <f aca="false">IF(AND(U547="",OR(P547="",P547="LOSE"),T547&lt;&gt;"",N(S547)&lt;=0,ISNUMBER(MATCH(T547,Parameter!$I$27:$I$29,0))),1,0)</f>
        <v>0</v>
      </c>
      <c r="BV547" s="55" t="str">
        <f aca="false">IF(AND(Parameter!$B$19="Ja",E547&lt;&gt;"",ISNUMBER(MATCH(E547,Parameter!$I$35:$I$52,0))),VLOOKUP(E547,Parameter!$I$35:$J$52,2,0),IFERROR(VLOOKUP(D547,Parameter!$A$35:$C$64,2,0),"Nein"))</f>
        <v>2+3</v>
      </c>
      <c r="BW547" s="59" t="n">
        <f aca="false">IF(BT547=0,0,IF(N(S547)&gt;0,S547,IFERROR(VLOOKUP(D547,Parameter!$A$35:$C$64,3,0)+0,0)))</f>
        <v>0</v>
      </c>
      <c r="BX547" s="55" t="n">
        <f aca="false">IF(AA547&lt;&gt;"",AA547,Z547)</f>
        <v>3</v>
      </c>
      <c r="BY547" s="55" t="str">
        <f aca="false">IF(BX547=1,"L1",IF(OR(BX547=2,BX547=3),"L23",IF(BX547="Aussen","Aussen","-")))</f>
        <v>L23</v>
      </c>
      <c r="BZ547" s="66" t="n">
        <f aca="false">IF(N(AB547)&gt;0,AB547,0)</f>
        <v>0</v>
      </c>
      <c r="CA547" s="60" t="n">
        <f aca="false">IF(ISNUMBER(AE547),1,0)</f>
        <v>0</v>
      </c>
      <c r="CB547" s="57" t="n">
        <f aca="false">N(AE547)</f>
        <v>0</v>
      </c>
      <c r="CC547" s="57" t="n">
        <f aca="false">N(M547)+N(N547)</f>
        <v>5</v>
      </c>
      <c r="CD547" s="57" t="n">
        <f aca="false">ROUNDUP(H547/BS547,0)</f>
        <v>2</v>
      </c>
      <c r="CE547" s="57" t="n">
        <f aca="false">ROUNDUP(CB547/BS547,0)</f>
        <v>0</v>
      </c>
      <c r="CF547" s="60" t="n">
        <f aca="false">IF(BT547=1,0,IFERROR(VLOOKUP(BR547,'Gebinde-Kategorie'!$A$5:$M$45,5,0)+0,0))</f>
        <v>8</v>
      </c>
      <c r="CG547" s="60" t="n">
        <f aca="false">IFERROR(IF(OR(BX547=1,BX547=2,BX547=3),N(INDEX(Parameter!$I$5:$I$7,BX547)),0),0)</f>
        <v>0</v>
      </c>
      <c r="CH547" s="59" t="n">
        <f aca="false">IF(AND(Parameter!$B$21="Ja",ISNUMBER(W547),N(X547)&gt;0),IFERROR(N(INDEX(Parameter!$L$5:$L$7,W547))*INDEX(Parameter!$E$5:$E$7,W547)*X547/SUMIFS($X$7:$X$1843,$W$7:$W$1843,W547),0),0)</f>
        <v>0</v>
      </c>
    </row>
    <row r="548" customFormat="false" ht="15" hidden="false" customHeight="false" outlineLevel="0" collapsed="false">
      <c r="A548" s="55" t="s">
        <v>1173</v>
      </c>
      <c r="B548" s="55" t="s">
        <v>1095</v>
      </c>
      <c r="C548" s="55" t="s">
        <v>164</v>
      </c>
      <c r="D548" s="55" t="s">
        <v>184</v>
      </c>
      <c r="E548" s="55"/>
      <c r="F548" s="55" t="s">
        <v>218</v>
      </c>
      <c r="G548" s="56" t="n">
        <v>6.05</v>
      </c>
      <c r="H548" s="57" t="n">
        <f aca="false">MAX(0,IF(AND(Parameter!$B$21="Ja",ISNUMBER(Y548)),Y548,IF(Parameter!$B$20="Jahresanfang 2025 + Export",BL548+BK548,BK548)))</f>
        <v>3</v>
      </c>
      <c r="I548" s="57" t="n">
        <f aca="false">H548*G548</f>
        <v>18.15</v>
      </c>
      <c r="J548" s="57" t="n">
        <f aca="false">BN548*Parameter!$B$18</f>
        <v>4</v>
      </c>
      <c r="K548" s="58" t="n">
        <v>2.5</v>
      </c>
      <c r="L548" s="59" t="n">
        <v>1.6</v>
      </c>
      <c r="M548" s="57" t="n">
        <v>0</v>
      </c>
      <c r="N548" s="57" t="n">
        <v>5</v>
      </c>
      <c r="O548" s="60" t="n">
        <v>14</v>
      </c>
      <c r="P548" s="55" t="s">
        <v>401</v>
      </c>
      <c r="Q548" s="57" t="n">
        <v>3</v>
      </c>
      <c r="R548" s="60" t="n">
        <f aca="false">IF(BT548=1,0,IFERROR(VLOOKUP(BR548,'Gebinde-Kategorie'!$A$5:$M$45,13,0)+0,0))</f>
        <v>414</v>
      </c>
      <c r="S548" s="61"/>
      <c r="T548" s="62"/>
      <c r="U548" s="62"/>
      <c r="V548" s="62"/>
      <c r="W548" s="55"/>
      <c r="X548" s="57"/>
      <c r="Y548" s="57"/>
      <c r="Z548" s="55" t="n">
        <f aca="false">IF(A548="","",IF(AND(Parameter!$B$21="Ja",ISNUMBER(W548)),W548,IF(BV548="2+3",IF(ISNUMBER(SEARCH("grosser Artikel",BO548)),2,IFERROR(VLOOKUP(BR548,Parameter!$F$35:$G$64,2,0),2)),IF(OR(BV548="Nein",BV548=""),"-",BV548))))</f>
        <v>3</v>
      </c>
      <c r="AA548" s="62"/>
      <c r="AB548" s="63"/>
      <c r="AC548" s="57" t="n">
        <f aca="false">AR548</f>
        <v>6</v>
      </c>
      <c r="AD548" s="57" t="n">
        <f aca="false">MAX(AR548,H548)</f>
        <v>6</v>
      </c>
      <c r="AE548" s="64"/>
      <c r="AF548" s="57" t="n">
        <f aca="false">IF(LEFT(Cockpit!$C$5,1)="A",H548,IF(CA548=1,CB548,IF(LEFT(Cockpit!$C$5,1)="B",AJ548,MAX(AJ548,H548))))</f>
        <v>3</v>
      </c>
      <c r="AG548" s="57" t="n">
        <f aca="false">IF(BT548=1,0,ROUNDUP(AF548/BS548,0))</f>
        <v>1</v>
      </c>
      <c r="AH548" s="59" t="n">
        <f aca="false">IF(CH548&gt;0,CH548*MAX(1,AF548/X548),IF(BT548=1,IF(AF548&lt;=0,0,BW548*MAX(1,IF(H548&gt;0,AF548/H548,1))),IF(R548&gt;0,AG548/R548,0))/MAX(0.1,N(Parameter!$M$21)))</f>
        <v>0.00241545893719807</v>
      </c>
      <c r="AI548" s="57" t="n">
        <f aca="false">AF548*G548</f>
        <v>18.15</v>
      </c>
      <c r="AJ548" s="57" t="n">
        <f aca="false">ROUNDUP(MAX(J548/IF(BZ548&gt;0,BZ548,MAX(0.1,N(Cockpit!$C$6))),CC548)/BS548,0)*BS548</f>
        <v>6</v>
      </c>
      <c r="AK548" s="58" t="n">
        <f aca="false">IF(AH548&gt;0,J548/AH548,-1)</f>
        <v>1656</v>
      </c>
      <c r="AL548" s="58" t="n">
        <f aca="false">IF(AND(OR(BY548="L1",BY548="L23"),AH548&gt;0),SUMIFS($AH$7:$AH$1843,$BY$7:$BY$1843,BY548,$AK$7:$AK$1843,"&gt;"&amp;AK548)+SUMIFS($AH$7:$AH$1843,$BY$7:$BY$1843,BY548,$AK$7:$AK$1843,AK548,$BQ$7:$BQ$1843,"&lt;="&amp;BQ548),"")</f>
        <v>15.4277220364177</v>
      </c>
      <c r="AM548" s="65" t="n">
        <f aca="false">IF(AL548="",0,MAX(0,MIN(1,(IF(BY548="L1",Parameter!$E$5,Parameter!$E$6+Parameter!$E$7)-(AL548-AH548))/AH548)))</f>
        <v>1</v>
      </c>
      <c r="AN548" s="57" t="n">
        <f aca="false">IF(LEFT(Cockpit!$I$5,1)="A",H548,IF(CA548=1,CB548,IF(LEFT(Cockpit!$I$5,1)="B",AR548,MAX(AR548,H548))))</f>
        <v>6</v>
      </c>
      <c r="AO548" s="57" t="n">
        <f aca="false">IF(BT548=1,0,ROUNDUP(AN548/BS548,0))</f>
        <v>2</v>
      </c>
      <c r="AP548" s="59" t="n">
        <f aca="false">IF(CH548&gt;0,CH548*MAX(1,AN548/X548),IF(BT548=1,IF(AN548&lt;=0,0,BW548*MAX(1,IF(H548&gt;0,AN548/H548,1))),IF(R548&gt;0,AO548/R548,0))/MAX(0.1,N(Parameter!$M$21)))</f>
        <v>0.00483091787439614</v>
      </c>
      <c r="AQ548" s="57" t="n">
        <f aca="false">AN548*G548</f>
        <v>36.3</v>
      </c>
      <c r="AR548" s="57" t="n">
        <f aca="false">ROUNDUP(MAX(J548/IF(BZ548&gt;0,BZ548,MAX(0.1,N(Cockpit!$I$6))),CC548)/BS548,0)*BS548</f>
        <v>6</v>
      </c>
      <c r="AS548" s="58" t="n">
        <f aca="false">IF(AP548&gt;0,J548/AP548,-1)</f>
        <v>828</v>
      </c>
      <c r="AT548" s="58" t="n">
        <f aca="false">IF(AND(OR(BY548="L1",BY548="L23"),AP548&gt;0),SUMIFS($AP$7:$AP$1843,$BY$7:$BY$1843,BY548,$AS$7:$AS$1843,"&gt;"&amp;AS548)+SUMIFS($AP$7:$AP$1843,$BY$7:$BY$1843,BY548,$AS$7:$AS$1843,AS548,$BQ$7:$BQ$1843,"&lt;="&amp;BQ548),"")</f>
        <v>25.9356018377758</v>
      </c>
      <c r="AU548" s="65" t="n">
        <f aca="false">IF(AT548="",0,MAX(0,MIN(1,(IF(BY548="L1",Parameter!$E$5,Parameter!$E$6+Parameter!$E$7)-(AT548-AP548))/AP548)))</f>
        <v>1</v>
      </c>
      <c r="AV548" s="57" t="n">
        <f aca="false">IF(LEFT(Cockpit!$O$5,1)="A",H548,IF(CA548=1,CB548,IF(LEFT(Cockpit!$O$5,1)="B",AZ548,MAX(AZ548,H548))))</f>
        <v>6</v>
      </c>
      <c r="AW548" s="57" t="n">
        <f aca="false">IF(BT548=1,0,ROUNDUP(AV548/BS548,0))</f>
        <v>2</v>
      </c>
      <c r="AX548" s="59" t="n">
        <f aca="false">IF(CH548&gt;0,CH548*MAX(1,AV548/X548),IF(BT548=1,IF(AV548&lt;=0,0,BW548*MAX(1,IF(H548&gt;0,AV548/H548,1))),IF(R548&gt;0,AW548/R548,0))/MAX(0.1,N(Parameter!$M$21)))</f>
        <v>0.00483091787439614</v>
      </c>
      <c r="AY548" s="57" t="n">
        <f aca="false">AV548*G548</f>
        <v>36.3</v>
      </c>
      <c r="AZ548" s="57" t="n">
        <f aca="false">ROUNDUP(MAX(J548/IF(BZ548&gt;0,BZ548,MAX(0.1,N(Cockpit!$O$6))),CC548)/BS548,0)*BS548</f>
        <v>6</v>
      </c>
      <c r="BA548" s="58" t="n">
        <f aca="false">IF(AX548&gt;0,J548/AX548,-1)</f>
        <v>828</v>
      </c>
      <c r="BB548" s="58" t="n">
        <f aca="false">IF(AND(OR(BY548="L1",BY548="L23"),AX548&gt;0),SUMIFS($AX$7:$AX$1843,$BY$7:$BY$1843,BY548,$BA$7:$BA$1843,"&gt;"&amp;BA548)+SUMIFS($AX$7:$AX$1843,$BY$7:$BY$1843,BY548,$BA$7:$BA$1843,BA548,$BQ$7:$BQ$1843,"&lt;="&amp;BQ548),"")</f>
        <v>25.8039002060741</v>
      </c>
      <c r="BC548" s="65" t="n">
        <f aca="false">IF(BB548="",0,MAX(0,MIN(1,(IF(BY548="L1",Parameter!$E$5,Parameter!$E$6+Parameter!$E$7)-(BB548-AX548))/AX548)))</f>
        <v>1</v>
      </c>
      <c r="BD548" s="55" t="str">
        <f aca="false">IF(AH548&lt;=0,"",IF(BY548="Aussen","Aussenlager",IF(BY548="-","Nicht im Lift",IF(AM548&gt;=1,"Lift",IF(AM548&lt;=0,"Aussenlager","teilweise")))))</f>
        <v>Lift</v>
      </c>
      <c r="BE548" s="55" t="str">
        <f aca="false">IF(AP548&lt;=0,"",IF(BY548="Aussen","Aussenlager",IF(BY548="-","Nicht im Lift",IF(AU548&gt;=1,"Lift",IF(AU548&lt;=0,"Aussenlager","teilweise")))))</f>
        <v>Lift</v>
      </c>
      <c r="BF548" s="55" t="str">
        <f aca="false">IF(AX548&lt;=0,"",IF(BY548="Aussen","Aussenlager",IF(BY548="-","Nicht im Lift",IF(BC548&gt;=1,"Lift",IF(BC548&lt;=0,"Aussenlager","teilweise")))))</f>
        <v>Lift</v>
      </c>
      <c r="BG548" s="55" t="str">
        <f aca="false">IF(A548="","",IF(BP548=1,"Neu; ","")&amp;IF(AND(BP548=0,BK548&lt;0),"negativer Bestand (Export "&amp;BK548&amp;"); ","")&amp;IF(J548&lt;=0,"Kein Verbrauch; ","")&amp;IF(CH548&gt;0,"Lift "&amp;W548&amp;" lt. Liftbericht (Fach "&amp;X548&amp;" Stk); ",IF(BU548=1,"Gebinde geschätzt ("&amp;T548&amp;"); ",IF(BT548=1,"Lose – Tablare geschätzt; ","")))&amp;IF(H548&gt;AR548,"Überbestand "&amp;ROUND(H548-AR548,0)&amp;" Stk / CHF "&amp;ROUND((H548-AR548)*G548,0)&amp;"; ","")&amp;IF(AND(CA548=1,CB548&lt;CC548),"MAX &lt; MB+LG; ","")&amp;IF(AND(CG548&gt;0,CF548*10&gt;CG548),"zu hoch für Tablar; ","")&amp;IF(AND(BP548=0,OR(CA548=1,AA548&lt;&gt;"",U548&lt;&gt;"",V548&lt;&gt;"",AB548&lt;&gt;"")),"manuell übersteuert; ","")&amp;IF(AND(BT548=0,R548=0),"Gebinde unbekannt / Stellmass fehlt; ","")&amp;IF(AND(BT548=0,N(V548)&lt;=0,N(Q548)&lt;=0),"Menge pro Gebinde fehlt (Ist = 1 Gebinde); ","")&amp;BO548)</f>
        <v/>
      </c>
      <c r="BH548" s="55"/>
      <c r="BI548" s="55"/>
      <c r="BJ548" s="62"/>
      <c r="BK548" s="57" t="n">
        <v>3</v>
      </c>
      <c r="BL548" s="57" t="n">
        <v>0</v>
      </c>
      <c r="BM548" s="56" t="n">
        <v>18.15</v>
      </c>
      <c r="BN548" s="57" t="n">
        <v>4</v>
      </c>
      <c r="BO548" s="55"/>
      <c r="BP548" s="60" t="n">
        <v>0</v>
      </c>
      <c r="BQ548" s="60" t="n">
        <v>548</v>
      </c>
      <c r="BR548" s="55" t="str">
        <f aca="false">IF(U548&lt;&gt;"",UPPER(TRIM(U548)),IF(BU548=1,UPPER(VLOOKUP(T548,Parameter!$I$27:$K$29,2,0)),IF(P548="","LOSE",P548)))</f>
        <v>S21</v>
      </c>
      <c r="BS548" s="57" t="n">
        <f aca="false">IF(BR548="LOSE",1,IF(N(V548)&gt;0,V548,IF(BU548=1,MAX(1,N(VLOOKUP(T548,Parameter!$I$27:$K$29,3,0)),H548,N(N548)),IF(N(Q548)&gt;0,Q548,MAX(1,H548)))))</f>
        <v>3</v>
      </c>
      <c r="BT548" s="60" t="n">
        <f aca="false">IF(BR548="LOSE",1,0)</f>
        <v>0</v>
      </c>
      <c r="BU548" s="60" t="n">
        <f aca="false">IF(AND(U548="",OR(P548="",P548="LOSE"),T548&lt;&gt;"",N(S548)&lt;=0,ISNUMBER(MATCH(T548,Parameter!$I$27:$I$29,0))),1,0)</f>
        <v>0</v>
      </c>
      <c r="BV548" s="55" t="str">
        <f aca="false">IF(AND(Parameter!$B$19="Ja",E548&lt;&gt;"",ISNUMBER(MATCH(E548,Parameter!$I$35:$I$52,0))),VLOOKUP(E548,Parameter!$I$35:$J$52,2,0),IFERROR(VLOOKUP(D548,Parameter!$A$35:$C$64,2,0),"Nein"))</f>
        <v>2+3</v>
      </c>
      <c r="BW548" s="59" t="n">
        <f aca="false">IF(BT548=0,0,IF(N(S548)&gt;0,S548,IFERROR(VLOOKUP(D548,Parameter!$A$35:$C$64,3,0)+0,0)))</f>
        <v>0</v>
      </c>
      <c r="BX548" s="55" t="n">
        <f aca="false">IF(AA548&lt;&gt;"",AA548,Z548)</f>
        <v>3</v>
      </c>
      <c r="BY548" s="55" t="str">
        <f aca="false">IF(BX548=1,"L1",IF(OR(BX548=2,BX548=3),"L23",IF(BX548="Aussen","Aussen","-")))</f>
        <v>L23</v>
      </c>
      <c r="BZ548" s="66" t="n">
        <f aca="false">IF(N(AB548)&gt;0,AB548,0)</f>
        <v>0</v>
      </c>
      <c r="CA548" s="60" t="n">
        <f aca="false">IF(ISNUMBER(AE548),1,0)</f>
        <v>0</v>
      </c>
      <c r="CB548" s="57" t="n">
        <f aca="false">N(AE548)</f>
        <v>0</v>
      </c>
      <c r="CC548" s="57" t="n">
        <f aca="false">N(M548)+N(N548)</f>
        <v>5</v>
      </c>
      <c r="CD548" s="57" t="n">
        <f aca="false">ROUNDUP(H548/BS548,0)</f>
        <v>1</v>
      </c>
      <c r="CE548" s="57" t="n">
        <f aca="false">ROUNDUP(CB548/BS548,0)</f>
        <v>0</v>
      </c>
      <c r="CF548" s="60" t="n">
        <f aca="false">IF(BT548=1,0,IFERROR(VLOOKUP(BR548,'Gebinde-Kategorie'!$A$5:$M$45,5,0)+0,0))</f>
        <v>8</v>
      </c>
      <c r="CG548" s="60" t="n">
        <f aca="false">IFERROR(IF(OR(BX548=1,BX548=2,BX548=3),N(INDEX(Parameter!$I$5:$I$7,BX548)),0),0)</f>
        <v>0</v>
      </c>
      <c r="CH548" s="59" t="n">
        <f aca="false">IF(AND(Parameter!$B$21="Ja",ISNUMBER(W548),N(X548)&gt;0),IFERROR(N(INDEX(Parameter!$L$5:$L$7,W548))*INDEX(Parameter!$E$5:$E$7,W548)*X548/SUMIFS($X$7:$X$1843,$W$7:$W$1843,W548),0),0)</f>
        <v>0</v>
      </c>
    </row>
    <row r="549" customFormat="false" ht="15" hidden="false" customHeight="false" outlineLevel="0" collapsed="false">
      <c r="A549" s="55" t="s">
        <v>1174</v>
      </c>
      <c r="B549" s="55" t="s">
        <v>847</v>
      </c>
      <c r="C549" s="55" t="s">
        <v>164</v>
      </c>
      <c r="D549" s="55" t="s">
        <v>184</v>
      </c>
      <c r="E549" s="55" t="s">
        <v>185</v>
      </c>
      <c r="F549" s="55" t="s">
        <v>218</v>
      </c>
      <c r="G549" s="56" t="n">
        <v>15.69</v>
      </c>
      <c r="H549" s="57" t="n">
        <f aca="false">MAX(0,IF(AND(Parameter!$B$21="Ja",ISNUMBER(Y549)),Y549,IF(Parameter!$B$20="Jahresanfang 2025 + Export",BL549+BK549,BK549)))</f>
        <v>6</v>
      </c>
      <c r="I549" s="57" t="n">
        <f aca="false">H549*G549</f>
        <v>94.14</v>
      </c>
      <c r="J549" s="57" t="n">
        <f aca="false">BN549*Parameter!$B$18</f>
        <v>7</v>
      </c>
      <c r="K549" s="58" t="n">
        <v>6</v>
      </c>
      <c r="L549" s="59" t="n">
        <v>1.16666666666667</v>
      </c>
      <c r="M549" s="57" t="n">
        <v>0</v>
      </c>
      <c r="N549" s="57" t="n">
        <v>5</v>
      </c>
      <c r="O549" s="60" t="n">
        <v>14</v>
      </c>
      <c r="P549" s="55" t="s">
        <v>476</v>
      </c>
      <c r="Q549" s="57" t="n">
        <v>10</v>
      </c>
      <c r="R549" s="60" t="n">
        <f aca="false">IF(BT549=1,0,IFERROR(VLOOKUP(BR549,'Gebinde-Kategorie'!$A$5:$M$45,13,0)+0,0))</f>
        <v>66</v>
      </c>
      <c r="S549" s="61"/>
      <c r="T549" s="62"/>
      <c r="U549" s="62"/>
      <c r="V549" s="62"/>
      <c r="W549" s="55"/>
      <c r="X549" s="57"/>
      <c r="Y549" s="57"/>
      <c r="Z549" s="55" t="n">
        <f aca="false">IF(A549="","",IF(AND(Parameter!$B$21="Ja",ISNUMBER(W549)),W549,IF(BV549="2+3",IF(ISNUMBER(SEARCH("grosser Artikel",BO549)),2,IFERROR(VLOOKUP(BR549,Parameter!$F$35:$G$64,2,0),2)),IF(OR(BV549="Nein",BV549=""),"-",BV549))))</f>
        <v>3</v>
      </c>
      <c r="AA549" s="62"/>
      <c r="AB549" s="63"/>
      <c r="AC549" s="57" t="n">
        <f aca="false">AR549</f>
        <v>10</v>
      </c>
      <c r="AD549" s="57" t="n">
        <f aca="false">MAX(AR549,H549)</f>
        <v>10</v>
      </c>
      <c r="AE549" s="64"/>
      <c r="AF549" s="57" t="n">
        <f aca="false">IF(LEFT(Cockpit!$C$5,1)="A",H549,IF(CA549=1,CB549,IF(LEFT(Cockpit!$C$5,1)="B",AJ549,MAX(AJ549,H549))))</f>
        <v>6</v>
      </c>
      <c r="AG549" s="57" t="n">
        <f aca="false">IF(BT549=1,0,ROUNDUP(AF549/BS549,0))</f>
        <v>1</v>
      </c>
      <c r="AH549" s="59" t="n">
        <f aca="false">IF(CH549&gt;0,CH549*MAX(1,AF549/X549),IF(BT549=1,IF(AF549&lt;=0,0,BW549*MAX(1,IF(H549&gt;0,AF549/H549,1))),IF(R549&gt;0,AG549/R549,0))/MAX(0.1,N(Parameter!$M$21)))</f>
        <v>0.0151515151515152</v>
      </c>
      <c r="AI549" s="57" t="n">
        <f aca="false">AF549*G549</f>
        <v>94.14</v>
      </c>
      <c r="AJ549" s="57" t="n">
        <f aca="false">ROUNDUP(MAX(J549/IF(BZ549&gt;0,BZ549,MAX(0.1,N(Cockpit!$C$6))),CC549)/BS549,0)*BS549</f>
        <v>10</v>
      </c>
      <c r="AK549" s="58" t="n">
        <f aca="false">IF(AH549&gt;0,J549/AH549,-1)</f>
        <v>462</v>
      </c>
      <c r="AL549" s="58" t="n">
        <f aca="false">IF(AND(OR(BY549="L1",BY549="L23"),AH549&gt;0),SUMIFS($AH$7:$AH$1843,$BY$7:$BY$1843,BY549,$AK$7:$AK$1843,"&gt;"&amp;AK549)+SUMIFS($AH$7:$AH$1843,$BY$7:$BY$1843,BY549,$AK$7:$AK$1843,AK549,$BQ$7:$BQ$1843,"&lt;="&amp;BQ549),"")</f>
        <v>24.5949883449883</v>
      </c>
      <c r="AM549" s="65" t="n">
        <f aca="false">IF(AL549="",0,MAX(0,MIN(1,(IF(BY549="L1",Parameter!$E$5,Parameter!$E$6+Parameter!$E$7)-(AL549-AH549))/AH549)))</f>
        <v>1</v>
      </c>
      <c r="AN549" s="57" t="n">
        <f aca="false">IF(LEFT(Cockpit!$I$5,1)="A",H549,IF(CA549=1,CB549,IF(LEFT(Cockpit!$I$5,1)="B",AR549,MAX(AR549,H549))))</f>
        <v>10</v>
      </c>
      <c r="AO549" s="57" t="n">
        <f aca="false">IF(BT549=1,0,ROUNDUP(AN549/BS549,0))</f>
        <v>1</v>
      </c>
      <c r="AP549" s="59" t="n">
        <f aca="false">IF(CH549&gt;0,CH549*MAX(1,AN549/X549),IF(BT549=1,IF(AN549&lt;=0,0,BW549*MAX(1,IF(H549&gt;0,AN549/H549,1))),IF(R549&gt;0,AO549/R549,0))/MAX(0.1,N(Parameter!$M$21)))</f>
        <v>0.0151515151515152</v>
      </c>
      <c r="AQ549" s="57" t="n">
        <f aca="false">AN549*G549</f>
        <v>156.9</v>
      </c>
      <c r="AR549" s="57" t="n">
        <f aca="false">ROUNDUP(MAX(J549/IF(BZ549&gt;0,BZ549,MAX(0.1,N(Cockpit!$I$6))),CC549)/BS549,0)*BS549</f>
        <v>10</v>
      </c>
      <c r="AS549" s="58" t="n">
        <f aca="false">IF(AP549&gt;0,J549/AP549,-1)</f>
        <v>462</v>
      </c>
      <c r="AT549" s="58" t="n">
        <f aca="false">IF(AND(OR(BY549="L1",BY549="L23"),AP549&gt;0),SUMIFS($AP$7:$AP$1843,$BY$7:$BY$1843,BY549,$AS$7:$AS$1843,"&gt;"&amp;AS549)+SUMIFS($AP$7:$AP$1843,$BY$7:$BY$1843,BY549,$AS$7:$AS$1843,AS549,$BQ$7:$BQ$1843,"&lt;="&amp;BQ549),"")</f>
        <v>33.8682899226378</v>
      </c>
      <c r="AU549" s="65" t="n">
        <f aca="false">IF(AT549="",0,MAX(0,MIN(1,(IF(BY549="L1",Parameter!$E$5,Parameter!$E$6+Parameter!$E$7)-(AT549-AP549))/AP549)))</f>
        <v>1</v>
      </c>
      <c r="AV549" s="57" t="n">
        <f aca="false">IF(LEFT(Cockpit!$O$5,1)="A",H549,IF(CA549=1,CB549,IF(LEFT(Cockpit!$O$5,1)="B",AZ549,MAX(AZ549,H549))))</f>
        <v>10</v>
      </c>
      <c r="AW549" s="57" t="n">
        <f aca="false">IF(BT549=1,0,ROUNDUP(AV549/BS549,0))</f>
        <v>1</v>
      </c>
      <c r="AX549" s="59" t="n">
        <f aca="false">IF(CH549&gt;0,CH549*MAX(1,AV549/X549),IF(BT549=1,IF(AV549&lt;=0,0,BW549*MAX(1,IF(H549&gt;0,AV549/H549,1))),IF(R549&gt;0,AW549/R549,0))/MAX(0.1,N(Parameter!$M$21)))</f>
        <v>0.0151515151515152</v>
      </c>
      <c r="AY549" s="57" t="n">
        <f aca="false">AV549*G549</f>
        <v>156.9</v>
      </c>
      <c r="AZ549" s="57" t="n">
        <f aca="false">ROUNDUP(MAX(J549/IF(BZ549&gt;0,BZ549,MAX(0.1,N(Cockpit!$O$6))),CC549)/BS549,0)*BS549</f>
        <v>10</v>
      </c>
      <c r="BA549" s="58" t="n">
        <f aca="false">IF(AX549&gt;0,J549/AX549,-1)</f>
        <v>462</v>
      </c>
      <c r="BB549" s="58" t="n">
        <f aca="false">IF(AND(OR(BY549="L1",BY549="L23"),AX549&gt;0),SUMIFS($AX$7:$AX$1843,$BY$7:$BY$1843,BY549,$BA$7:$BA$1843,"&gt;"&amp;BA549)+SUMIFS($AX$7:$AX$1843,$BY$7:$BY$1843,BY549,$BA$7:$BA$1843,BA549,$BQ$7:$BQ$1843,"&lt;="&amp;BQ549),"")</f>
        <v>32.7686395729874</v>
      </c>
      <c r="BC549" s="65" t="n">
        <f aca="false">IF(BB549="",0,MAX(0,MIN(1,(IF(BY549="L1",Parameter!$E$5,Parameter!$E$6+Parameter!$E$7)-(BB549-AX549))/AX549)))</f>
        <v>1</v>
      </c>
      <c r="BD549" s="55" t="str">
        <f aca="false">IF(AH549&lt;=0,"",IF(BY549="Aussen","Aussenlager",IF(BY549="-","Nicht im Lift",IF(AM549&gt;=1,"Lift",IF(AM549&lt;=0,"Aussenlager","teilweise")))))</f>
        <v>Lift</v>
      </c>
      <c r="BE549" s="55" t="str">
        <f aca="false">IF(AP549&lt;=0,"",IF(BY549="Aussen","Aussenlager",IF(BY549="-","Nicht im Lift",IF(AU549&gt;=1,"Lift",IF(AU549&lt;=0,"Aussenlager","teilweise")))))</f>
        <v>Lift</v>
      </c>
      <c r="BF549" s="55" t="str">
        <f aca="false">IF(AX549&lt;=0,"",IF(BY549="Aussen","Aussenlager",IF(BY549="-","Nicht im Lift",IF(BC549&gt;=1,"Lift",IF(BC549&lt;=0,"Aussenlager","teilweise")))))</f>
        <v>Lift</v>
      </c>
      <c r="BG549" s="55" t="str">
        <f aca="false">IF(A549="","",IF(BP549=1,"Neu; ","")&amp;IF(AND(BP549=0,BK549&lt;0),"negativer Bestand (Export "&amp;BK549&amp;"); ","")&amp;IF(J549&lt;=0,"Kein Verbrauch; ","")&amp;IF(CH549&gt;0,"Lift "&amp;W549&amp;" lt. Liftbericht (Fach "&amp;X549&amp;" Stk); ",IF(BU549=1,"Gebinde geschätzt ("&amp;T549&amp;"); ",IF(BT549=1,"Lose – Tablare geschätzt; ","")))&amp;IF(H549&gt;AR549,"Überbestand "&amp;ROUND(H549-AR549,0)&amp;" Stk / CHF "&amp;ROUND((H549-AR549)*G549,0)&amp;"; ","")&amp;IF(AND(CA549=1,CB549&lt;CC549),"MAX &lt; MB+LG; ","")&amp;IF(AND(CG549&gt;0,CF549*10&gt;CG549),"zu hoch für Tablar; ","")&amp;IF(AND(BP549=0,OR(CA549=1,AA549&lt;&gt;"",U549&lt;&gt;"",V549&lt;&gt;"",AB549&lt;&gt;"")),"manuell übersteuert; ","")&amp;IF(AND(BT549=0,R549=0),"Gebinde unbekannt / Stellmass fehlt; ","")&amp;IF(AND(BT549=0,N(V549)&lt;=0,N(Q549)&lt;=0),"Menge pro Gebinde fehlt (Ist = 1 Gebinde); ","")&amp;BO549)</f>
        <v/>
      </c>
      <c r="BH549" s="55"/>
      <c r="BI549" s="55"/>
      <c r="BJ549" s="62"/>
      <c r="BK549" s="57" t="n">
        <v>1</v>
      </c>
      <c r="BL549" s="57" t="n">
        <v>5</v>
      </c>
      <c r="BM549" s="56" t="n">
        <v>17.74</v>
      </c>
      <c r="BN549" s="57" t="n">
        <v>7</v>
      </c>
      <c r="BO549" s="55"/>
      <c r="BP549" s="60" t="n">
        <v>0</v>
      </c>
      <c r="BQ549" s="60" t="n">
        <v>549</v>
      </c>
      <c r="BR549" s="55" t="str">
        <f aca="false">IF(U549&lt;&gt;"",UPPER(TRIM(U549)),IF(BU549=1,UPPER(VLOOKUP(T549,Parameter!$I$27:$K$29,2,0)),IF(P549="","LOSE",P549)))</f>
        <v>S33</v>
      </c>
      <c r="BS549" s="57" t="n">
        <f aca="false">IF(BR549="LOSE",1,IF(N(V549)&gt;0,V549,IF(BU549=1,MAX(1,N(VLOOKUP(T549,Parameter!$I$27:$K$29,3,0)),H549,N(N549)),IF(N(Q549)&gt;0,Q549,MAX(1,H549)))))</f>
        <v>10</v>
      </c>
      <c r="BT549" s="60" t="n">
        <f aca="false">IF(BR549="LOSE",1,0)</f>
        <v>0</v>
      </c>
      <c r="BU549" s="60" t="n">
        <f aca="false">IF(AND(U549="",OR(P549="",P549="LOSE"),T549&lt;&gt;"",N(S549)&lt;=0,ISNUMBER(MATCH(T549,Parameter!$I$27:$I$29,0))),1,0)</f>
        <v>0</v>
      </c>
      <c r="BV549" s="55" t="str">
        <f aca="false">IF(AND(Parameter!$B$19="Ja",E549&lt;&gt;"",ISNUMBER(MATCH(E549,Parameter!$I$35:$I$52,0))),VLOOKUP(E549,Parameter!$I$35:$J$52,2,0),IFERROR(VLOOKUP(D549,Parameter!$A$35:$C$64,2,0),"Nein"))</f>
        <v>2+3</v>
      </c>
      <c r="BW549" s="59" t="n">
        <f aca="false">IF(BT549=0,0,IF(N(S549)&gt;0,S549,IFERROR(VLOOKUP(D549,Parameter!$A$35:$C$64,3,0)+0,0)))</f>
        <v>0</v>
      </c>
      <c r="BX549" s="55" t="n">
        <f aca="false">IF(AA549&lt;&gt;"",AA549,Z549)</f>
        <v>3</v>
      </c>
      <c r="BY549" s="55" t="str">
        <f aca="false">IF(BX549=1,"L1",IF(OR(BX549=2,BX549=3),"L23",IF(BX549="Aussen","Aussen","-")))</f>
        <v>L23</v>
      </c>
      <c r="BZ549" s="66" t="n">
        <f aca="false">IF(N(AB549)&gt;0,AB549,0)</f>
        <v>0</v>
      </c>
      <c r="CA549" s="60" t="n">
        <f aca="false">IF(ISNUMBER(AE549),1,0)</f>
        <v>0</v>
      </c>
      <c r="CB549" s="57" t="n">
        <f aca="false">N(AE549)</f>
        <v>0</v>
      </c>
      <c r="CC549" s="57" t="n">
        <f aca="false">N(M549)+N(N549)</f>
        <v>5</v>
      </c>
      <c r="CD549" s="57" t="n">
        <f aca="false">ROUNDUP(H549/BS549,0)</f>
        <v>1</v>
      </c>
      <c r="CE549" s="57" t="n">
        <f aca="false">ROUNDUP(CB549/BS549,0)</f>
        <v>0</v>
      </c>
      <c r="CF549" s="60" t="n">
        <f aca="false">IF(BT549=1,0,IFERROR(VLOOKUP(BR549,'Gebinde-Kategorie'!$A$5:$M$45,5,0)+0,0))</f>
        <v>8</v>
      </c>
      <c r="CG549" s="60" t="n">
        <f aca="false">IFERROR(IF(OR(BX549=1,BX549=2,BX549=3),N(INDEX(Parameter!$I$5:$I$7,BX549)),0),0)</f>
        <v>0</v>
      </c>
      <c r="CH549" s="59" t="n">
        <f aca="false">IF(AND(Parameter!$B$21="Ja",ISNUMBER(W549),N(X549)&gt;0),IFERROR(N(INDEX(Parameter!$L$5:$L$7,W549))*INDEX(Parameter!$E$5:$E$7,W549)*X549/SUMIFS($X$7:$X$1843,$W$7:$W$1843,W549),0),0)</f>
        <v>0</v>
      </c>
    </row>
    <row r="550" customFormat="false" ht="15" hidden="false" customHeight="false" outlineLevel="0" collapsed="false">
      <c r="A550" s="55" t="s">
        <v>1175</v>
      </c>
      <c r="B550" s="55" t="s">
        <v>1176</v>
      </c>
      <c r="C550" s="55" t="s">
        <v>164</v>
      </c>
      <c r="D550" s="55" t="s">
        <v>184</v>
      </c>
      <c r="E550" s="55" t="s">
        <v>185</v>
      </c>
      <c r="F550" s="55" t="s">
        <v>218</v>
      </c>
      <c r="G550" s="56" t="n">
        <v>4.21</v>
      </c>
      <c r="H550" s="57" t="n">
        <f aca="false">MAX(0,IF(AND(Parameter!$B$21="Ja",ISNUMBER(Y550)),Y550,IF(Parameter!$B$20="Jahresanfang 2025 + Export",BL550+BK550,BK550)))</f>
        <v>21</v>
      </c>
      <c r="I550" s="57" t="n">
        <f aca="false">H550*G550</f>
        <v>88.41</v>
      </c>
      <c r="J550" s="57" t="n">
        <f aca="false">BN550*Parameter!$B$18</f>
        <v>7</v>
      </c>
      <c r="K550" s="58" t="n">
        <v>19.5</v>
      </c>
      <c r="L550" s="59" t="n">
        <v>0.358974358974359</v>
      </c>
      <c r="M550" s="57" t="n">
        <v>0</v>
      </c>
      <c r="N550" s="57" t="n">
        <v>5</v>
      </c>
      <c r="O550" s="60" t="n">
        <v>21</v>
      </c>
      <c r="P550" s="55" t="s">
        <v>186</v>
      </c>
      <c r="Q550" s="57" t="n">
        <v>29</v>
      </c>
      <c r="R550" s="60" t="n">
        <f aca="false">IF(BT550=1,0,IFERROR(VLOOKUP(BR550,'Gebinde-Kategorie'!$A$5:$M$45,13,0)+0,0))</f>
        <v>12</v>
      </c>
      <c r="S550" s="61"/>
      <c r="T550" s="62"/>
      <c r="U550" s="62"/>
      <c r="V550" s="62"/>
      <c r="W550" s="55"/>
      <c r="X550" s="57"/>
      <c r="Y550" s="57"/>
      <c r="Z550" s="55" t="n">
        <f aca="false">IF(A550="","",IF(AND(Parameter!$B$21="Ja",ISNUMBER(W550)),W550,IF(BV550="2+3",IF(ISNUMBER(SEARCH("grosser Artikel",BO550)),2,IFERROR(VLOOKUP(BR550,Parameter!$F$35:$G$64,2,0),2)),IF(OR(BV550="Nein",BV550=""),"-",BV550))))</f>
        <v>2</v>
      </c>
      <c r="AA550" s="62"/>
      <c r="AB550" s="63"/>
      <c r="AC550" s="57" t="n">
        <f aca="false">AR550</f>
        <v>29</v>
      </c>
      <c r="AD550" s="57" t="n">
        <f aca="false">MAX(AR550,H550)</f>
        <v>29</v>
      </c>
      <c r="AE550" s="64"/>
      <c r="AF550" s="57" t="n">
        <f aca="false">IF(LEFT(Cockpit!$C$5,1)="A",H550,IF(CA550=1,CB550,IF(LEFT(Cockpit!$C$5,1)="B",AJ550,MAX(AJ550,H550))))</f>
        <v>21</v>
      </c>
      <c r="AG550" s="57" t="n">
        <f aca="false">IF(BT550=1,0,ROUNDUP(AF550/BS550,0))</f>
        <v>1</v>
      </c>
      <c r="AH550" s="59" t="n">
        <f aca="false">IF(CH550&gt;0,CH550*MAX(1,AF550/X550),IF(BT550=1,IF(AF550&lt;=0,0,BW550*MAX(1,IF(H550&gt;0,AF550/H550,1))),IF(R550&gt;0,AG550/R550,0))/MAX(0.1,N(Parameter!$M$21)))</f>
        <v>0.0833333333333333</v>
      </c>
      <c r="AI550" s="57" t="n">
        <f aca="false">AF550*G550</f>
        <v>88.41</v>
      </c>
      <c r="AJ550" s="57" t="n">
        <f aca="false">ROUNDUP(MAX(J550/IF(BZ550&gt;0,BZ550,MAX(0.1,N(Cockpit!$C$6))),CC550)/BS550,0)*BS550</f>
        <v>29</v>
      </c>
      <c r="AK550" s="58" t="n">
        <f aca="false">IF(AH550&gt;0,J550/AH550,-1)</f>
        <v>84</v>
      </c>
      <c r="AL550" s="58" t="n">
        <f aca="false">IF(AND(OR(BY550="L1",BY550="L23"),AH550&gt;0),SUMIFS($AH$7:$AH$1843,$BY$7:$BY$1843,BY550,$AK$7:$AK$1843,"&gt;"&amp;AK550)+SUMIFS($AH$7:$AH$1843,$BY$7:$BY$1843,BY550,$AK$7:$AK$1843,AK550,$BQ$7:$BQ$1843,"&lt;="&amp;BQ550),"")</f>
        <v>40.8976217019695</v>
      </c>
      <c r="AM550" s="65" t="n">
        <f aca="false">IF(AL550="",0,MAX(0,MIN(1,(IF(BY550="L1",Parameter!$E$5,Parameter!$E$6+Parameter!$E$7)-(AL550-AH550))/AH550)))</f>
        <v>1</v>
      </c>
      <c r="AN550" s="57" t="n">
        <f aca="false">IF(LEFT(Cockpit!$I$5,1)="A",H550,IF(CA550=1,CB550,IF(LEFT(Cockpit!$I$5,1)="B",AR550,MAX(AR550,H550))))</f>
        <v>29</v>
      </c>
      <c r="AO550" s="57" t="n">
        <f aca="false">IF(BT550=1,0,ROUNDUP(AN550/BS550,0))</f>
        <v>1</v>
      </c>
      <c r="AP550" s="59" t="n">
        <f aca="false">IF(CH550&gt;0,CH550*MAX(1,AN550/X550),IF(BT550=1,IF(AN550&lt;=0,0,BW550*MAX(1,IF(H550&gt;0,AN550/H550,1))),IF(R550&gt;0,AO550/R550,0))/MAX(0.1,N(Parameter!$M$21)))</f>
        <v>0.0833333333333333</v>
      </c>
      <c r="AQ550" s="57" t="n">
        <f aca="false">AN550*G550</f>
        <v>122.09</v>
      </c>
      <c r="AR550" s="57" t="n">
        <f aca="false">ROUNDUP(MAX(J550/IF(BZ550&gt;0,BZ550,MAX(0.1,N(Cockpit!$I$6))),CC550)/BS550,0)*BS550</f>
        <v>29</v>
      </c>
      <c r="AS550" s="58" t="n">
        <f aca="false">IF(AP550&gt;0,J550/AP550,-1)</f>
        <v>84</v>
      </c>
      <c r="AT550" s="58" t="n">
        <f aca="false">IF(AND(OR(BY550="L1",BY550="L23"),AP550&gt;0),SUMIFS($AP$7:$AP$1843,$BY$7:$BY$1843,BY550,$AS$7:$AS$1843,"&gt;"&amp;AS550)+SUMIFS($AP$7:$AP$1843,$BY$7:$BY$1843,BY550,$AS$7:$AS$1843,AS550,$BQ$7:$BQ$1843,"&lt;="&amp;BQ550),"")</f>
        <v>63.1941235093409</v>
      </c>
      <c r="AU550" s="65" t="n">
        <f aca="false">IF(AT550="",0,MAX(0,MIN(1,(IF(BY550="L1",Parameter!$E$5,Parameter!$E$6+Parameter!$E$7)-(AT550-AP550))/AP550)))</f>
        <v>1</v>
      </c>
      <c r="AV550" s="57" t="n">
        <f aca="false">IF(LEFT(Cockpit!$O$5,1)="A",H550,IF(CA550=1,CB550,IF(LEFT(Cockpit!$O$5,1)="B",AZ550,MAX(AZ550,H550))))</f>
        <v>29</v>
      </c>
      <c r="AW550" s="57" t="n">
        <f aca="false">IF(BT550=1,0,ROUNDUP(AV550/BS550,0))</f>
        <v>1</v>
      </c>
      <c r="AX550" s="59" t="n">
        <f aca="false">IF(CH550&gt;0,CH550*MAX(1,AV550/X550),IF(BT550=1,IF(AV550&lt;=0,0,BW550*MAX(1,IF(H550&gt;0,AV550/H550,1))),IF(R550&gt;0,AW550/R550,0))/MAX(0.1,N(Parameter!$M$21)))</f>
        <v>0.0833333333333333</v>
      </c>
      <c r="AY550" s="57" t="n">
        <f aca="false">AV550*G550</f>
        <v>122.09</v>
      </c>
      <c r="AZ550" s="57" t="n">
        <f aca="false">ROUNDUP(MAX(J550/IF(BZ550&gt;0,BZ550,MAX(0.1,N(Cockpit!$O$6))),CC550)/BS550,0)*BS550</f>
        <v>29</v>
      </c>
      <c r="BA550" s="58" t="n">
        <f aca="false">IF(AX550&gt;0,J550/AX550,-1)</f>
        <v>84</v>
      </c>
      <c r="BB550" s="58" t="n">
        <f aca="false">IF(AND(OR(BY550="L1",BY550="L23"),AX550&gt;0),SUMIFS($AX$7:$AX$1843,$BY$7:$BY$1843,BY550,$BA$7:$BA$1843,"&gt;"&amp;BA550)+SUMIFS($AX$7:$AX$1843,$BY$7:$BY$1843,BY550,$BA$7:$BA$1843,BA550,$BQ$7:$BQ$1843,"&lt;="&amp;BQ550),"")</f>
        <v>57.6906270058444</v>
      </c>
      <c r="BC550" s="65" t="n">
        <f aca="false">IF(BB550="",0,MAX(0,MIN(1,(IF(BY550="L1",Parameter!$E$5,Parameter!$E$6+Parameter!$E$7)-(BB550-AX550))/AX550)))</f>
        <v>1</v>
      </c>
      <c r="BD550" s="55" t="str">
        <f aca="false">IF(AH550&lt;=0,"",IF(BY550="Aussen","Aussenlager",IF(BY550="-","Nicht im Lift",IF(AM550&gt;=1,"Lift",IF(AM550&lt;=0,"Aussenlager","teilweise")))))</f>
        <v>Lift</v>
      </c>
      <c r="BE550" s="55" t="str">
        <f aca="false">IF(AP550&lt;=0,"",IF(BY550="Aussen","Aussenlager",IF(BY550="-","Nicht im Lift",IF(AU550&gt;=1,"Lift",IF(AU550&lt;=0,"Aussenlager","teilweise")))))</f>
        <v>Lift</v>
      </c>
      <c r="BF550" s="55" t="str">
        <f aca="false">IF(AX550&lt;=0,"",IF(BY550="Aussen","Aussenlager",IF(BY550="-","Nicht im Lift",IF(BC550&gt;=1,"Lift",IF(BC550&lt;=0,"Aussenlager","teilweise")))))</f>
        <v>Lift</v>
      </c>
      <c r="BG550" s="55" t="str">
        <f aca="false">IF(A550="","",IF(BP550=1,"Neu; ","")&amp;IF(AND(BP550=0,BK550&lt;0),"negativer Bestand (Export "&amp;BK550&amp;"); ","")&amp;IF(J550&lt;=0,"Kein Verbrauch; ","")&amp;IF(CH550&gt;0,"Lift "&amp;W550&amp;" lt. Liftbericht (Fach "&amp;X550&amp;" Stk); ",IF(BU550=1,"Gebinde geschätzt ("&amp;T550&amp;"); ",IF(BT550=1,"Lose – Tablare geschätzt; ","")))&amp;IF(H550&gt;AR550,"Überbestand "&amp;ROUND(H550-AR550,0)&amp;" Stk / CHF "&amp;ROUND((H550-AR550)*G550,0)&amp;"; ","")&amp;IF(AND(CA550=1,CB550&lt;CC550),"MAX &lt; MB+LG; ","")&amp;IF(AND(CG550&gt;0,CF550*10&gt;CG550),"zu hoch für Tablar; ","")&amp;IF(AND(BP550=0,OR(CA550=1,AA550&lt;&gt;"",U550&lt;&gt;"",V550&lt;&gt;"",AB550&lt;&gt;"")),"manuell übersteuert; ","")&amp;IF(AND(BT550=0,R550=0),"Gebinde unbekannt / Stellmass fehlt; ","")&amp;IF(AND(BT550=0,N(V550)&lt;=0,N(Q550)&lt;=0),"Menge pro Gebinde fehlt (Ist = 1 Gebinde); ","")&amp;BO550)</f>
        <v/>
      </c>
      <c r="BH550" s="55"/>
      <c r="BI550" s="55"/>
      <c r="BJ550" s="62"/>
      <c r="BK550" s="57" t="n">
        <v>4</v>
      </c>
      <c r="BL550" s="57" t="n">
        <v>17</v>
      </c>
      <c r="BM550" s="56" t="n">
        <v>16.84</v>
      </c>
      <c r="BN550" s="57" t="n">
        <v>7</v>
      </c>
      <c r="BO550" s="55"/>
      <c r="BP550" s="60" t="n">
        <v>0</v>
      </c>
      <c r="BQ550" s="60" t="n">
        <v>550</v>
      </c>
      <c r="BR550" s="55" t="str">
        <f aca="false">IF(U550&lt;&gt;"",UPPER(TRIM(U550)),IF(BU550=1,UPPER(VLOOKUP(T550,Parameter!$I$27:$K$29,2,0)),IF(P550="","LOSE",P550)))</f>
        <v>S61</v>
      </c>
      <c r="BS550" s="57" t="n">
        <f aca="false">IF(BR550="LOSE",1,IF(N(V550)&gt;0,V550,IF(BU550=1,MAX(1,N(VLOOKUP(T550,Parameter!$I$27:$K$29,3,0)),H550,N(N550)),IF(N(Q550)&gt;0,Q550,MAX(1,H550)))))</f>
        <v>29</v>
      </c>
      <c r="BT550" s="60" t="n">
        <f aca="false">IF(BR550="LOSE",1,0)</f>
        <v>0</v>
      </c>
      <c r="BU550" s="60" t="n">
        <f aca="false">IF(AND(U550="",OR(P550="",P550="LOSE"),T550&lt;&gt;"",N(S550)&lt;=0,ISNUMBER(MATCH(T550,Parameter!$I$27:$I$29,0))),1,0)</f>
        <v>0</v>
      </c>
      <c r="BV550" s="55" t="str">
        <f aca="false">IF(AND(Parameter!$B$19="Ja",E550&lt;&gt;"",ISNUMBER(MATCH(E550,Parameter!$I$35:$I$52,0))),VLOOKUP(E550,Parameter!$I$35:$J$52,2,0),IFERROR(VLOOKUP(D550,Parameter!$A$35:$C$64,2,0),"Nein"))</f>
        <v>2+3</v>
      </c>
      <c r="BW550" s="59" t="n">
        <f aca="false">IF(BT550=0,0,IF(N(S550)&gt;0,S550,IFERROR(VLOOKUP(D550,Parameter!$A$35:$C$64,3,0)+0,0)))</f>
        <v>0</v>
      </c>
      <c r="BX550" s="55" t="n">
        <f aca="false">IF(AA550&lt;&gt;"",AA550,Z550)</f>
        <v>2</v>
      </c>
      <c r="BY550" s="55" t="str">
        <f aca="false">IF(BX550=1,"L1",IF(OR(BX550=2,BX550=3),"L23",IF(BX550="Aussen","Aussen","-")))</f>
        <v>L23</v>
      </c>
      <c r="BZ550" s="66" t="n">
        <f aca="false">IF(N(AB550)&gt;0,AB550,0)</f>
        <v>0</v>
      </c>
      <c r="CA550" s="60" t="n">
        <f aca="false">IF(ISNUMBER(AE550),1,0)</f>
        <v>0</v>
      </c>
      <c r="CB550" s="57" t="n">
        <f aca="false">N(AE550)</f>
        <v>0</v>
      </c>
      <c r="CC550" s="57" t="n">
        <f aca="false">N(M550)+N(N550)</f>
        <v>5</v>
      </c>
      <c r="CD550" s="57" t="n">
        <f aca="false">ROUNDUP(H550/BS550,0)</f>
        <v>1</v>
      </c>
      <c r="CE550" s="57" t="n">
        <f aca="false">ROUNDUP(CB550/BS550,0)</f>
        <v>0</v>
      </c>
      <c r="CF550" s="60" t="n">
        <f aca="false">IF(BT550=1,0,IFERROR(VLOOKUP(BR550,'Gebinde-Kategorie'!$A$5:$M$45,5,0)+0,0))</f>
        <v>11</v>
      </c>
      <c r="CG550" s="60" t="n">
        <f aca="false">IFERROR(IF(OR(BX550=1,BX550=2,BX550=3),N(INDEX(Parameter!$I$5:$I$7,BX550)),0),0)</f>
        <v>0</v>
      </c>
      <c r="CH550" s="59" t="n">
        <f aca="false">IF(AND(Parameter!$B$21="Ja",ISNUMBER(W550),N(X550)&gt;0),IFERROR(N(INDEX(Parameter!$L$5:$L$7,W550))*INDEX(Parameter!$E$5:$E$7,W550)*X550/SUMIFS($X$7:$X$1843,$W$7:$W$1843,W550),0),0)</f>
        <v>0</v>
      </c>
    </row>
    <row r="551" customFormat="false" ht="15" hidden="false" customHeight="false" outlineLevel="0" collapsed="false">
      <c r="A551" s="55" t="s">
        <v>1177</v>
      </c>
      <c r="B551" s="55" t="s">
        <v>947</v>
      </c>
      <c r="C551" s="55" t="s">
        <v>164</v>
      </c>
      <c r="D551" s="55" t="s">
        <v>184</v>
      </c>
      <c r="E551" s="55" t="s">
        <v>185</v>
      </c>
      <c r="F551" s="55" t="s">
        <v>218</v>
      </c>
      <c r="G551" s="56" t="n">
        <v>1.68</v>
      </c>
      <c r="H551" s="57" t="n">
        <f aca="false">MAX(0,IF(AND(Parameter!$B$21="Ja",ISNUMBER(Y551)),Y551,IF(Parameter!$B$20="Jahresanfang 2025 + Export",BL551+BK551,BK551)))</f>
        <v>56</v>
      </c>
      <c r="I551" s="57" t="n">
        <f aca="false">H551*G551</f>
        <v>94.08</v>
      </c>
      <c r="J551" s="57" t="n">
        <f aca="false">BN551*Parameter!$B$18</f>
        <v>151</v>
      </c>
      <c r="K551" s="58" t="n">
        <v>46.5</v>
      </c>
      <c r="L551" s="59" t="n">
        <v>3.24731182795699</v>
      </c>
      <c r="M551" s="57" t="n">
        <v>8</v>
      </c>
      <c r="N551" s="57" t="n">
        <v>150</v>
      </c>
      <c r="O551" s="60" t="n">
        <v>21</v>
      </c>
      <c r="P551" s="55" t="s">
        <v>421</v>
      </c>
      <c r="Q551" s="57" t="n">
        <v>91</v>
      </c>
      <c r="R551" s="60" t="n">
        <f aca="false">IF(BT551=1,0,IFERROR(VLOOKUP(BR551,'Gebinde-Kategorie'!$A$5:$M$45,13,0)+0,0))</f>
        <v>132</v>
      </c>
      <c r="S551" s="61"/>
      <c r="T551" s="62"/>
      <c r="U551" s="62"/>
      <c r="V551" s="62"/>
      <c r="W551" s="55"/>
      <c r="X551" s="57"/>
      <c r="Y551" s="57"/>
      <c r="Z551" s="55" t="n">
        <f aca="false">IF(A551="","",IF(AND(Parameter!$B$21="Ja",ISNUMBER(W551)),W551,IF(BV551="2+3",IF(ISNUMBER(SEARCH("grosser Artikel",BO551)),2,IFERROR(VLOOKUP(BR551,Parameter!$F$35:$G$64,2,0),2)),IF(OR(BV551="Nein",BV551=""),"-",BV551))))</f>
        <v>3</v>
      </c>
      <c r="AA551" s="62"/>
      <c r="AB551" s="63"/>
      <c r="AC551" s="57" t="n">
        <f aca="false">AR551</f>
        <v>182</v>
      </c>
      <c r="AD551" s="57" t="n">
        <f aca="false">MAX(AR551,H551)</f>
        <v>182</v>
      </c>
      <c r="AE551" s="64"/>
      <c r="AF551" s="57" t="n">
        <f aca="false">IF(LEFT(Cockpit!$C$5,1)="A",H551,IF(CA551=1,CB551,IF(LEFT(Cockpit!$C$5,1)="B",AJ551,MAX(AJ551,H551))))</f>
        <v>56</v>
      </c>
      <c r="AG551" s="57" t="n">
        <f aca="false">IF(BT551=1,0,ROUNDUP(AF551/BS551,0))</f>
        <v>1</v>
      </c>
      <c r="AH551" s="59" t="n">
        <f aca="false">IF(CH551&gt;0,CH551*MAX(1,AF551/X551),IF(BT551=1,IF(AF551&lt;=0,0,BW551*MAX(1,IF(H551&gt;0,AF551/H551,1))),IF(R551&gt;0,AG551/R551,0))/MAX(0.1,N(Parameter!$M$21)))</f>
        <v>0.00757575757575758</v>
      </c>
      <c r="AI551" s="57" t="n">
        <f aca="false">AF551*G551</f>
        <v>94.08</v>
      </c>
      <c r="AJ551" s="57" t="n">
        <f aca="false">ROUNDUP(MAX(J551/IF(BZ551&gt;0,BZ551,MAX(0.1,N(Cockpit!$C$6))),CC551)/BS551,0)*BS551</f>
        <v>182</v>
      </c>
      <c r="AK551" s="58" t="n">
        <f aca="false">IF(AH551&gt;0,J551/AH551,-1)</f>
        <v>19932</v>
      </c>
      <c r="AL551" s="58" t="n">
        <f aca="false">IF(AND(OR(BY551="L1",BY551="L23"),AH551&gt;0),SUMIFS($AH$7:$AH$1843,$BY$7:$BY$1843,BY551,$AK$7:$AK$1843,"&gt;"&amp;AK551)+SUMIFS($AH$7:$AH$1843,$BY$7:$BY$1843,BY551,$AK$7:$AK$1843,AK551,$BQ$7:$BQ$1843,"&lt;="&amp;BQ551),"")</f>
        <v>3.64830580047971</v>
      </c>
      <c r="AM551" s="65" t="n">
        <f aca="false">IF(AL551="",0,MAX(0,MIN(1,(IF(BY551="L1",Parameter!$E$5,Parameter!$E$6+Parameter!$E$7)-(AL551-AH551))/AH551)))</f>
        <v>1</v>
      </c>
      <c r="AN551" s="57" t="n">
        <f aca="false">IF(LEFT(Cockpit!$I$5,1)="A",H551,IF(CA551=1,CB551,IF(LEFT(Cockpit!$I$5,1)="B",AR551,MAX(AR551,H551))))</f>
        <v>182</v>
      </c>
      <c r="AO551" s="57" t="n">
        <f aca="false">IF(BT551=1,0,ROUNDUP(AN551/BS551,0))</f>
        <v>2</v>
      </c>
      <c r="AP551" s="59" t="n">
        <f aca="false">IF(CH551&gt;0,CH551*MAX(1,AN551/X551),IF(BT551=1,IF(AN551&lt;=0,0,BW551*MAX(1,IF(H551&gt;0,AN551/H551,1))),IF(R551&gt;0,AO551/R551,0))/MAX(0.1,N(Parameter!$M$21)))</f>
        <v>0.0151515151515152</v>
      </c>
      <c r="AQ551" s="57" t="n">
        <f aca="false">AN551*G551</f>
        <v>305.76</v>
      </c>
      <c r="AR551" s="57" t="n">
        <f aca="false">ROUNDUP(MAX(J551/IF(BZ551&gt;0,BZ551,MAX(0.1,N(Cockpit!$I$6))),CC551)/BS551,0)*BS551</f>
        <v>182</v>
      </c>
      <c r="AS551" s="58" t="n">
        <f aca="false">IF(AP551&gt;0,J551/AP551,-1)</f>
        <v>9966</v>
      </c>
      <c r="AT551" s="58" t="n">
        <f aca="false">IF(AND(OR(BY551="L1",BY551="L23"),AP551&gt;0),SUMIFS($AP$7:$AP$1843,$BY$7:$BY$1843,BY551,$AS$7:$AS$1843,"&gt;"&amp;AS551)+SUMIFS($AP$7:$AP$1843,$BY$7:$BY$1843,BY551,$AS$7:$AS$1843,AS551,$BQ$7:$BQ$1843,"&lt;="&amp;BQ551),"")</f>
        <v>8.16630350326003</v>
      </c>
      <c r="AU551" s="65" t="n">
        <f aca="false">IF(AT551="",0,MAX(0,MIN(1,(IF(BY551="L1",Parameter!$E$5,Parameter!$E$6+Parameter!$E$7)-(AT551-AP551))/AP551)))</f>
        <v>1</v>
      </c>
      <c r="AV551" s="57" t="n">
        <f aca="false">IF(LEFT(Cockpit!$O$5,1)="A",H551,IF(CA551=1,CB551,IF(LEFT(Cockpit!$O$5,1)="B",AZ551,MAX(AZ551,H551))))</f>
        <v>182</v>
      </c>
      <c r="AW551" s="57" t="n">
        <f aca="false">IF(BT551=1,0,ROUNDUP(AV551/BS551,0))</f>
        <v>2</v>
      </c>
      <c r="AX551" s="59" t="n">
        <f aca="false">IF(CH551&gt;0,CH551*MAX(1,AV551/X551),IF(BT551=1,IF(AV551&lt;=0,0,BW551*MAX(1,IF(H551&gt;0,AV551/H551,1))),IF(R551&gt;0,AW551/R551,0))/MAX(0.1,N(Parameter!$M$21)))</f>
        <v>0.0151515151515152</v>
      </c>
      <c r="AY551" s="57" t="n">
        <f aca="false">AV551*G551</f>
        <v>305.76</v>
      </c>
      <c r="AZ551" s="57" t="n">
        <f aca="false">ROUNDUP(MAX(J551/IF(BZ551&gt;0,BZ551,MAX(0.1,N(Cockpit!$O$6))),CC551)/BS551,0)*BS551</f>
        <v>182</v>
      </c>
      <c r="BA551" s="58" t="n">
        <f aca="false">IF(AX551&gt;0,J551/AX551,-1)</f>
        <v>9966</v>
      </c>
      <c r="BB551" s="58" t="n">
        <f aca="false">IF(AND(OR(BY551="L1",BY551="L23"),AX551&gt;0),SUMIFS($AX$7:$AX$1843,$BY$7:$BY$1843,BY551,$BA$7:$BA$1843,"&gt;"&amp;BA551)+SUMIFS($AX$7:$AX$1843,$BY$7:$BY$1843,BY551,$BA$7:$BA$1843,BA551,$BQ$7:$BQ$1843,"&lt;="&amp;BQ551),"")</f>
        <v>7.58588392284045</v>
      </c>
      <c r="BC551" s="65" t="n">
        <f aca="false">IF(BB551="",0,MAX(0,MIN(1,(IF(BY551="L1",Parameter!$E$5,Parameter!$E$6+Parameter!$E$7)-(BB551-AX551))/AX551)))</f>
        <v>1</v>
      </c>
      <c r="BD551" s="55" t="str">
        <f aca="false">IF(AH551&lt;=0,"",IF(BY551="Aussen","Aussenlager",IF(BY551="-","Nicht im Lift",IF(AM551&gt;=1,"Lift",IF(AM551&lt;=0,"Aussenlager","teilweise")))))</f>
        <v>Lift</v>
      </c>
      <c r="BE551" s="55" t="str">
        <f aca="false">IF(AP551&lt;=0,"",IF(BY551="Aussen","Aussenlager",IF(BY551="-","Nicht im Lift",IF(AU551&gt;=1,"Lift",IF(AU551&lt;=0,"Aussenlager","teilweise")))))</f>
        <v>Lift</v>
      </c>
      <c r="BF551" s="55" t="str">
        <f aca="false">IF(AX551&lt;=0,"",IF(BY551="Aussen","Aussenlager",IF(BY551="-","Nicht im Lift",IF(BC551&gt;=1,"Lift",IF(BC551&lt;=0,"Aussenlager","teilweise")))))</f>
        <v>Lift</v>
      </c>
      <c r="BG551" s="55" t="str">
        <f aca="false">IF(A551="","",IF(BP551=1,"Neu; ","")&amp;IF(AND(BP551=0,BK551&lt;0),"negativer Bestand (Export "&amp;BK551&amp;"); ","")&amp;IF(J551&lt;=0,"Kein Verbrauch; ","")&amp;IF(CH551&gt;0,"Lift "&amp;W551&amp;" lt. Liftbericht (Fach "&amp;X551&amp;" Stk); ",IF(BU551=1,"Gebinde geschätzt ("&amp;T551&amp;"); ",IF(BT551=1,"Lose – Tablare geschätzt; ","")))&amp;IF(H551&gt;AR551,"Überbestand "&amp;ROUND(H551-AR551,0)&amp;" Stk / CHF "&amp;ROUND((H551-AR551)*G551,0)&amp;"; ","")&amp;IF(AND(CA551=1,CB551&lt;CC551),"MAX &lt; MB+LG; ","")&amp;IF(AND(CG551&gt;0,CF551*10&gt;CG551),"zu hoch für Tablar; ","")&amp;IF(AND(BP551=0,OR(CA551=1,AA551&lt;&gt;"",U551&lt;&gt;"",V551&lt;&gt;"",AB551&lt;&gt;"")),"manuell übersteuert; ","")&amp;IF(AND(BT551=0,R551=0),"Gebinde unbekannt / Stellmass fehlt; ","")&amp;IF(AND(BT551=0,N(V551)&lt;=0,N(Q551)&lt;=0),"Menge pro Gebinde fehlt (Ist = 1 Gebinde); ","")&amp;BO551)</f>
        <v/>
      </c>
      <c r="BH551" s="55"/>
      <c r="BI551" s="55"/>
      <c r="BJ551" s="62"/>
      <c r="BK551" s="57" t="n">
        <v>9</v>
      </c>
      <c r="BL551" s="57" t="n">
        <v>47</v>
      </c>
      <c r="BM551" s="56" t="n">
        <v>16.53</v>
      </c>
      <c r="BN551" s="57" t="n">
        <v>151</v>
      </c>
      <c r="BO551" s="55"/>
      <c r="BP551" s="60" t="n">
        <v>0</v>
      </c>
      <c r="BQ551" s="60" t="n">
        <v>551</v>
      </c>
      <c r="BR551" s="55" t="str">
        <f aca="false">IF(U551&lt;&gt;"",UPPER(TRIM(U551)),IF(BU551=1,UPPER(VLOOKUP(T551,Parameter!$I$27:$K$29,2,0)),IF(P551="","LOSE",P551)))</f>
        <v>S32</v>
      </c>
      <c r="BS551" s="57" t="n">
        <f aca="false">IF(BR551="LOSE",1,IF(N(V551)&gt;0,V551,IF(BU551=1,MAX(1,N(VLOOKUP(T551,Parameter!$I$27:$K$29,3,0)),H551,N(N551)),IF(N(Q551)&gt;0,Q551,MAX(1,H551)))))</f>
        <v>91</v>
      </c>
      <c r="BT551" s="60" t="n">
        <f aca="false">IF(BR551="LOSE",1,0)</f>
        <v>0</v>
      </c>
      <c r="BU551" s="60" t="n">
        <f aca="false">IF(AND(U551="",OR(P551="",P551="LOSE"),T551&lt;&gt;"",N(S551)&lt;=0,ISNUMBER(MATCH(T551,Parameter!$I$27:$I$29,0))),1,0)</f>
        <v>0</v>
      </c>
      <c r="BV551" s="55" t="str">
        <f aca="false">IF(AND(Parameter!$B$19="Ja",E551&lt;&gt;"",ISNUMBER(MATCH(E551,Parameter!$I$35:$I$52,0))),VLOOKUP(E551,Parameter!$I$35:$J$52,2,0),IFERROR(VLOOKUP(D551,Parameter!$A$35:$C$64,2,0),"Nein"))</f>
        <v>2+3</v>
      </c>
      <c r="BW551" s="59" t="n">
        <f aca="false">IF(BT551=0,0,IF(N(S551)&gt;0,S551,IFERROR(VLOOKUP(D551,Parameter!$A$35:$C$64,3,0)+0,0)))</f>
        <v>0</v>
      </c>
      <c r="BX551" s="55" t="n">
        <f aca="false">IF(AA551&lt;&gt;"",AA551,Z551)</f>
        <v>3</v>
      </c>
      <c r="BY551" s="55" t="str">
        <f aca="false">IF(BX551=1,"L1",IF(OR(BX551=2,BX551=3),"L23",IF(BX551="Aussen","Aussen","-")))</f>
        <v>L23</v>
      </c>
      <c r="BZ551" s="66" t="n">
        <f aca="false">IF(N(AB551)&gt;0,AB551,0)</f>
        <v>0</v>
      </c>
      <c r="CA551" s="60" t="n">
        <f aca="false">IF(ISNUMBER(AE551),1,0)</f>
        <v>0</v>
      </c>
      <c r="CB551" s="57" t="n">
        <f aca="false">N(AE551)</f>
        <v>0</v>
      </c>
      <c r="CC551" s="57" t="n">
        <f aca="false">N(M551)+N(N551)</f>
        <v>158</v>
      </c>
      <c r="CD551" s="57" t="n">
        <f aca="false">ROUNDUP(H551/BS551,0)</f>
        <v>1</v>
      </c>
      <c r="CE551" s="57" t="n">
        <f aca="false">ROUNDUP(CB551/BS551,0)</f>
        <v>0</v>
      </c>
      <c r="CF551" s="60" t="n">
        <f aca="false">IF(BT551=1,0,IFERROR(VLOOKUP(BR551,'Gebinde-Kategorie'!$A$5:$M$45,5,0)+0,0))</f>
        <v>8</v>
      </c>
      <c r="CG551" s="60" t="n">
        <f aca="false">IFERROR(IF(OR(BX551=1,BX551=2,BX551=3),N(INDEX(Parameter!$I$5:$I$7,BX551)),0),0)</f>
        <v>0</v>
      </c>
      <c r="CH551" s="59" t="n">
        <f aca="false">IF(AND(Parameter!$B$21="Ja",ISNUMBER(W551),N(X551)&gt;0),IFERROR(N(INDEX(Parameter!$L$5:$L$7,W551))*INDEX(Parameter!$E$5:$E$7,W551)*X551/SUMIFS($X$7:$X$1843,$W$7:$W$1843,W551),0),0)</f>
        <v>0</v>
      </c>
    </row>
    <row r="552" customFormat="false" ht="15" hidden="false" customHeight="false" outlineLevel="0" collapsed="false">
      <c r="A552" s="55" t="s">
        <v>1178</v>
      </c>
      <c r="B552" s="55" t="s">
        <v>628</v>
      </c>
      <c r="C552" s="55" t="s">
        <v>164</v>
      </c>
      <c r="D552" s="55" t="s">
        <v>184</v>
      </c>
      <c r="E552" s="55" t="s">
        <v>185</v>
      </c>
      <c r="F552" s="55" t="s">
        <v>218</v>
      </c>
      <c r="G552" s="56" t="n">
        <v>9.57</v>
      </c>
      <c r="H552" s="57" t="n">
        <f aca="false">MAX(0,IF(AND(Parameter!$B$21="Ja",ISNUMBER(Y552)),Y552,IF(Parameter!$B$20="Jahresanfang 2025 + Export",BL552+BK552,BK552)))</f>
        <v>10</v>
      </c>
      <c r="I552" s="57" t="n">
        <f aca="false">H552*G552</f>
        <v>95.7</v>
      </c>
      <c r="J552" s="57" t="n">
        <f aca="false">BN552*Parameter!$B$18</f>
        <v>18</v>
      </c>
      <c r="K552" s="58" t="n">
        <v>8</v>
      </c>
      <c r="L552" s="59" t="n">
        <v>2.25</v>
      </c>
      <c r="M552" s="57" t="n">
        <v>0</v>
      </c>
      <c r="N552" s="57" t="n">
        <v>5</v>
      </c>
      <c r="O552" s="60" t="n">
        <v>14</v>
      </c>
      <c r="P552" s="55" t="s">
        <v>401</v>
      </c>
      <c r="Q552" s="57" t="n">
        <v>31</v>
      </c>
      <c r="R552" s="60" t="n">
        <f aca="false">IF(BT552=1,0,IFERROR(VLOOKUP(BR552,'Gebinde-Kategorie'!$A$5:$M$45,13,0)+0,0))</f>
        <v>414</v>
      </c>
      <c r="S552" s="61"/>
      <c r="T552" s="62"/>
      <c r="U552" s="62"/>
      <c r="V552" s="62"/>
      <c r="W552" s="55"/>
      <c r="X552" s="57"/>
      <c r="Y552" s="57"/>
      <c r="Z552" s="55" t="n">
        <f aca="false">IF(A552="","",IF(AND(Parameter!$B$21="Ja",ISNUMBER(W552)),W552,IF(BV552="2+3",IF(ISNUMBER(SEARCH("grosser Artikel",BO552)),2,IFERROR(VLOOKUP(BR552,Parameter!$F$35:$G$64,2,0),2)),IF(OR(BV552="Nein",BV552=""),"-",BV552))))</f>
        <v>3</v>
      </c>
      <c r="AA552" s="62"/>
      <c r="AB552" s="63"/>
      <c r="AC552" s="57" t="n">
        <f aca="false">AR552</f>
        <v>31</v>
      </c>
      <c r="AD552" s="57" t="n">
        <f aca="false">MAX(AR552,H552)</f>
        <v>31</v>
      </c>
      <c r="AE552" s="64"/>
      <c r="AF552" s="57" t="n">
        <f aca="false">IF(LEFT(Cockpit!$C$5,1)="A",H552,IF(CA552=1,CB552,IF(LEFT(Cockpit!$C$5,1)="B",AJ552,MAX(AJ552,H552))))</f>
        <v>10</v>
      </c>
      <c r="AG552" s="57" t="n">
        <f aca="false">IF(BT552=1,0,ROUNDUP(AF552/BS552,0))</f>
        <v>1</v>
      </c>
      <c r="AH552" s="59" t="n">
        <f aca="false">IF(CH552&gt;0,CH552*MAX(1,AF552/X552),IF(BT552=1,IF(AF552&lt;=0,0,BW552*MAX(1,IF(H552&gt;0,AF552/H552,1))),IF(R552&gt;0,AG552/R552,0))/MAX(0.1,N(Parameter!$M$21)))</f>
        <v>0.00241545893719807</v>
      </c>
      <c r="AI552" s="57" t="n">
        <f aca="false">AF552*G552</f>
        <v>95.7</v>
      </c>
      <c r="AJ552" s="57" t="n">
        <f aca="false">ROUNDUP(MAX(J552/IF(BZ552&gt;0,BZ552,MAX(0.1,N(Cockpit!$C$6))),CC552)/BS552,0)*BS552</f>
        <v>31</v>
      </c>
      <c r="AK552" s="58" t="n">
        <f aca="false">IF(AH552&gt;0,J552/AH552,-1)</f>
        <v>7452</v>
      </c>
      <c r="AL552" s="58" t="n">
        <f aca="false">IF(AND(OR(BY552="L1",BY552="L23"),AH552&gt;0),SUMIFS($AH$7:$AH$1843,$BY$7:$BY$1843,BY552,$AK$7:$AK$1843,"&gt;"&amp;AK552)+SUMIFS($AH$7:$AH$1843,$BY$7:$BY$1843,BY552,$AK$7:$AK$1843,AK552,$BQ$7:$BQ$1843,"&lt;="&amp;BQ552),"")</f>
        <v>5.86986926117361</v>
      </c>
      <c r="AM552" s="65" t="n">
        <f aca="false">IF(AL552="",0,MAX(0,MIN(1,(IF(BY552="L1",Parameter!$E$5,Parameter!$E$6+Parameter!$E$7)-(AL552-AH552))/AH552)))</f>
        <v>1</v>
      </c>
      <c r="AN552" s="57" t="n">
        <f aca="false">IF(LEFT(Cockpit!$I$5,1)="A",H552,IF(CA552=1,CB552,IF(LEFT(Cockpit!$I$5,1)="B",AR552,MAX(AR552,H552))))</f>
        <v>31</v>
      </c>
      <c r="AO552" s="57" t="n">
        <f aca="false">IF(BT552=1,0,ROUNDUP(AN552/BS552,0))</f>
        <v>1</v>
      </c>
      <c r="AP552" s="59" t="n">
        <f aca="false">IF(CH552&gt;0,CH552*MAX(1,AN552/X552),IF(BT552=1,IF(AN552&lt;=0,0,BW552*MAX(1,IF(H552&gt;0,AN552/H552,1))),IF(R552&gt;0,AO552/R552,0))/MAX(0.1,N(Parameter!$M$21)))</f>
        <v>0.00241545893719807</v>
      </c>
      <c r="AQ552" s="57" t="n">
        <f aca="false">AN552*G552</f>
        <v>296.67</v>
      </c>
      <c r="AR552" s="57" t="n">
        <f aca="false">ROUNDUP(MAX(J552/IF(BZ552&gt;0,BZ552,MAX(0.1,N(Cockpit!$I$6))),CC552)/BS552,0)*BS552</f>
        <v>31</v>
      </c>
      <c r="AS552" s="58" t="n">
        <f aca="false">IF(AP552&gt;0,J552/AP552,-1)</f>
        <v>7452</v>
      </c>
      <c r="AT552" s="58" t="n">
        <f aca="false">IF(AND(OR(BY552="L1",BY552="L23"),AP552&gt;0),SUMIFS($AP$7:$AP$1843,$BY$7:$BY$1843,BY552,$AS$7:$AS$1843,"&gt;"&amp;AS552)+SUMIFS($AP$7:$AP$1843,$BY$7:$BY$1843,BY552,$AS$7:$AS$1843,AS552,$BQ$7:$BQ$1843,"&lt;="&amp;BQ552),"")</f>
        <v>9.03396844701193</v>
      </c>
      <c r="AU552" s="65" t="n">
        <f aca="false">IF(AT552="",0,MAX(0,MIN(1,(IF(BY552="L1",Parameter!$E$5,Parameter!$E$6+Parameter!$E$7)-(AT552-AP552))/AP552)))</f>
        <v>1</v>
      </c>
      <c r="AV552" s="57" t="n">
        <f aca="false">IF(LEFT(Cockpit!$O$5,1)="A",H552,IF(CA552=1,CB552,IF(LEFT(Cockpit!$O$5,1)="B",AZ552,MAX(AZ552,H552))))</f>
        <v>31</v>
      </c>
      <c r="AW552" s="57" t="n">
        <f aca="false">IF(BT552=1,0,ROUNDUP(AV552/BS552,0))</f>
        <v>1</v>
      </c>
      <c r="AX552" s="59" t="n">
        <f aca="false">IF(CH552&gt;0,CH552*MAX(1,AV552/X552),IF(BT552=1,IF(AV552&lt;=0,0,BW552*MAX(1,IF(H552&gt;0,AV552/H552,1))),IF(R552&gt;0,AW552/R552,0))/MAX(0.1,N(Parameter!$M$21)))</f>
        <v>0.00241545893719807</v>
      </c>
      <c r="AY552" s="57" t="n">
        <f aca="false">AV552*G552</f>
        <v>296.67</v>
      </c>
      <c r="AZ552" s="57" t="n">
        <f aca="false">ROUNDUP(MAX(J552/IF(BZ552&gt;0,BZ552,MAX(0.1,N(Cockpit!$O$6))),CC552)/BS552,0)*BS552</f>
        <v>31</v>
      </c>
      <c r="BA552" s="58" t="n">
        <f aca="false">IF(AX552&gt;0,J552/AX552,-1)</f>
        <v>7452</v>
      </c>
      <c r="BB552" s="58" t="n">
        <f aca="false">IF(AND(OR(BY552="L1",BY552="L23"),AX552&gt;0),SUMIFS($AX$7:$AX$1843,$BY$7:$BY$1843,BY552,$BA$7:$BA$1843,"&gt;"&amp;BA552)+SUMIFS($AX$7:$AX$1843,$BY$7:$BY$1843,BY552,$BA$7:$BA$1843,BA552,$BQ$7:$BQ$1843,"&lt;="&amp;BQ552),"")</f>
        <v>8.76765143069491</v>
      </c>
      <c r="BC552" s="65" t="n">
        <f aca="false">IF(BB552="",0,MAX(0,MIN(1,(IF(BY552="L1",Parameter!$E$5,Parameter!$E$6+Parameter!$E$7)-(BB552-AX552))/AX552)))</f>
        <v>1</v>
      </c>
      <c r="BD552" s="55" t="str">
        <f aca="false">IF(AH552&lt;=0,"",IF(BY552="Aussen","Aussenlager",IF(BY552="-","Nicht im Lift",IF(AM552&gt;=1,"Lift",IF(AM552&lt;=0,"Aussenlager","teilweise")))))</f>
        <v>Lift</v>
      </c>
      <c r="BE552" s="55" t="str">
        <f aca="false">IF(AP552&lt;=0,"",IF(BY552="Aussen","Aussenlager",IF(BY552="-","Nicht im Lift",IF(AU552&gt;=1,"Lift",IF(AU552&lt;=0,"Aussenlager","teilweise")))))</f>
        <v>Lift</v>
      </c>
      <c r="BF552" s="55" t="str">
        <f aca="false">IF(AX552&lt;=0,"",IF(BY552="Aussen","Aussenlager",IF(BY552="-","Nicht im Lift",IF(BC552&gt;=1,"Lift",IF(BC552&lt;=0,"Aussenlager","teilweise")))))</f>
        <v>Lift</v>
      </c>
      <c r="BG552" s="55" t="str">
        <f aca="false">IF(A552="","",IF(BP552=1,"Neu; ","")&amp;IF(AND(BP552=0,BK552&lt;0),"negativer Bestand (Export "&amp;BK552&amp;"); ","")&amp;IF(J552&lt;=0,"Kein Verbrauch; ","")&amp;IF(CH552&gt;0,"Lift "&amp;W552&amp;" lt. Liftbericht (Fach "&amp;X552&amp;" Stk); ",IF(BU552=1,"Gebinde geschätzt ("&amp;T552&amp;"); ",IF(BT552=1,"Lose – Tablare geschätzt; ","")))&amp;IF(H552&gt;AR552,"Überbestand "&amp;ROUND(H552-AR552,0)&amp;" Stk / CHF "&amp;ROUND((H552-AR552)*G552,0)&amp;"; ","")&amp;IF(AND(CA552=1,CB552&lt;CC552),"MAX &lt; MB+LG; ","")&amp;IF(AND(CG552&gt;0,CF552*10&gt;CG552),"zu hoch für Tablar; ","")&amp;IF(AND(BP552=0,OR(CA552=1,AA552&lt;&gt;"",U552&lt;&gt;"",V552&lt;&gt;"",AB552&lt;&gt;"")),"manuell übersteuert; ","")&amp;IF(AND(BT552=0,R552=0),"Gebinde unbekannt / Stellmass fehlt; ","")&amp;IF(AND(BT552=0,N(V552)&lt;=0,N(Q552)&lt;=0),"Menge pro Gebinde fehlt (Ist = 1 Gebinde); ","")&amp;BO552)</f>
        <v/>
      </c>
      <c r="BH552" s="55"/>
      <c r="BI552" s="55"/>
      <c r="BJ552" s="62"/>
      <c r="BK552" s="57" t="n">
        <v>3</v>
      </c>
      <c r="BL552" s="57" t="n">
        <v>7</v>
      </c>
      <c r="BM552" s="56" t="n">
        <v>16.1</v>
      </c>
      <c r="BN552" s="57" t="n">
        <v>18</v>
      </c>
      <c r="BO552" s="55"/>
      <c r="BP552" s="60" t="n">
        <v>0</v>
      </c>
      <c r="BQ552" s="60" t="n">
        <v>552</v>
      </c>
      <c r="BR552" s="55" t="str">
        <f aca="false">IF(U552&lt;&gt;"",UPPER(TRIM(U552)),IF(BU552=1,UPPER(VLOOKUP(T552,Parameter!$I$27:$K$29,2,0)),IF(P552="","LOSE",P552)))</f>
        <v>S21</v>
      </c>
      <c r="BS552" s="57" t="n">
        <f aca="false">IF(BR552="LOSE",1,IF(N(V552)&gt;0,V552,IF(BU552=1,MAX(1,N(VLOOKUP(T552,Parameter!$I$27:$K$29,3,0)),H552,N(N552)),IF(N(Q552)&gt;0,Q552,MAX(1,H552)))))</f>
        <v>31</v>
      </c>
      <c r="BT552" s="60" t="n">
        <f aca="false">IF(BR552="LOSE",1,0)</f>
        <v>0</v>
      </c>
      <c r="BU552" s="60" t="n">
        <f aca="false">IF(AND(U552="",OR(P552="",P552="LOSE"),T552&lt;&gt;"",N(S552)&lt;=0,ISNUMBER(MATCH(T552,Parameter!$I$27:$I$29,0))),1,0)</f>
        <v>0</v>
      </c>
      <c r="BV552" s="55" t="str">
        <f aca="false">IF(AND(Parameter!$B$19="Ja",E552&lt;&gt;"",ISNUMBER(MATCH(E552,Parameter!$I$35:$I$52,0))),VLOOKUP(E552,Parameter!$I$35:$J$52,2,0),IFERROR(VLOOKUP(D552,Parameter!$A$35:$C$64,2,0),"Nein"))</f>
        <v>2+3</v>
      </c>
      <c r="BW552" s="59" t="n">
        <f aca="false">IF(BT552=0,0,IF(N(S552)&gt;0,S552,IFERROR(VLOOKUP(D552,Parameter!$A$35:$C$64,3,0)+0,0)))</f>
        <v>0</v>
      </c>
      <c r="BX552" s="55" t="n">
        <f aca="false">IF(AA552&lt;&gt;"",AA552,Z552)</f>
        <v>3</v>
      </c>
      <c r="BY552" s="55" t="str">
        <f aca="false">IF(BX552=1,"L1",IF(OR(BX552=2,BX552=3),"L23",IF(BX552="Aussen","Aussen","-")))</f>
        <v>L23</v>
      </c>
      <c r="BZ552" s="66" t="n">
        <f aca="false">IF(N(AB552)&gt;0,AB552,0)</f>
        <v>0</v>
      </c>
      <c r="CA552" s="60" t="n">
        <f aca="false">IF(ISNUMBER(AE552),1,0)</f>
        <v>0</v>
      </c>
      <c r="CB552" s="57" t="n">
        <f aca="false">N(AE552)</f>
        <v>0</v>
      </c>
      <c r="CC552" s="57" t="n">
        <f aca="false">N(M552)+N(N552)</f>
        <v>5</v>
      </c>
      <c r="CD552" s="57" t="n">
        <f aca="false">ROUNDUP(H552/BS552,0)</f>
        <v>1</v>
      </c>
      <c r="CE552" s="57" t="n">
        <f aca="false">ROUNDUP(CB552/BS552,0)</f>
        <v>0</v>
      </c>
      <c r="CF552" s="60" t="n">
        <f aca="false">IF(BT552=1,0,IFERROR(VLOOKUP(BR552,'Gebinde-Kategorie'!$A$5:$M$45,5,0)+0,0))</f>
        <v>8</v>
      </c>
      <c r="CG552" s="60" t="n">
        <f aca="false">IFERROR(IF(OR(BX552=1,BX552=2,BX552=3),N(INDEX(Parameter!$I$5:$I$7,BX552)),0),0)</f>
        <v>0</v>
      </c>
      <c r="CH552" s="59" t="n">
        <f aca="false">IF(AND(Parameter!$B$21="Ja",ISNUMBER(W552),N(X552)&gt;0),IFERROR(N(INDEX(Parameter!$L$5:$L$7,W552))*INDEX(Parameter!$E$5:$E$7,W552)*X552/SUMIFS($X$7:$X$1843,$W$7:$W$1843,W552),0),0)</f>
        <v>0</v>
      </c>
    </row>
    <row r="553" customFormat="false" ht="15" hidden="false" customHeight="false" outlineLevel="0" collapsed="false">
      <c r="A553" s="55" t="s">
        <v>1179</v>
      </c>
      <c r="B553" s="55" t="s">
        <v>405</v>
      </c>
      <c r="C553" s="55" t="s">
        <v>164</v>
      </c>
      <c r="D553" s="55" t="s">
        <v>173</v>
      </c>
      <c r="E553" s="55" t="s">
        <v>185</v>
      </c>
      <c r="F553" s="55" t="s">
        <v>218</v>
      </c>
      <c r="G553" s="56" t="n">
        <v>0.17</v>
      </c>
      <c r="H553" s="57" t="n">
        <f aca="false">MAX(0,IF(AND(Parameter!$B$21="Ja",ISNUMBER(Y553)),Y553,IF(Parameter!$B$20="Jahresanfang 2025 + Export",BL553+BK553,BK553)))</f>
        <v>804</v>
      </c>
      <c r="I553" s="57" t="n">
        <f aca="false">H553*G553</f>
        <v>136.68</v>
      </c>
      <c r="J553" s="57" t="n">
        <f aca="false">BN553*Parameter!$B$18</f>
        <v>1832</v>
      </c>
      <c r="K553" s="58" t="n">
        <v>730.5</v>
      </c>
      <c r="L553" s="59" t="n">
        <v>2.50787132101301</v>
      </c>
      <c r="M553" s="57" t="n">
        <v>340</v>
      </c>
      <c r="N553" s="57" t="n">
        <v>400</v>
      </c>
      <c r="O553" s="60" t="n">
        <v>14</v>
      </c>
      <c r="P553" s="55" t="s">
        <v>233</v>
      </c>
      <c r="Q553" s="57" t="n">
        <v>931</v>
      </c>
      <c r="R553" s="60" t="n">
        <f aca="false">IF(BT553=1,0,IFERROR(VLOOKUP(BR553,'Gebinde-Kategorie'!$A$5:$M$45,13,0)+0,0))</f>
        <v>26</v>
      </c>
      <c r="S553" s="61"/>
      <c r="T553" s="62"/>
      <c r="U553" s="62"/>
      <c r="V553" s="62"/>
      <c r="W553" s="55"/>
      <c r="X553" s="57"/>
      <c r="Y553" s="57"/>
      <c r="Z553" s="55" t="n">
        <f aca="false">IF(A553="","",IF(AND(Parameter!$B$21="Ja",ISNUMBER(W553)),W553,IF(BV553="2+3",IF(ISNUMBER(SEARCH("grosser Artikel",BO553)),2,IFERROR(VLOOKUP(BR553,Parameter!$F$35:$G$64,2,0),2)),IF(OR(BV553="Nein",BV553=""),"-",BV553))))</f>
        <v>3</v>
      </c>
      <c r="AA553" s="62"/>
      <c r="AB553" s="63"/>
      <c r="AC553" s="57" t="n">
        <f aca="false">AR553</f>
        <v>931</v>
      </c>
      <c r="AD553" s="57" t="n">
        <f aca="false">MAX(AR553,H553)</f>
        <v>931</v>
      </c>
      <c r="AE553" s="64"/>
      <c r="AF553" s="57" t="n">
        <f aca="false">IF(LEFT(Cockpit!$C$5,1)="A",H553,IF(CA553=1,CB553,IF(LEFT(Cockpit!$C$5,1)="B",AJ553,MAX(AJ553,H553))))</f>
        <v>804</v>
      </c>
      <c r="AG553" s="57" t="n">
        <f aca="false">IF(BT553=1,0,ROUNDUP(AF553/BS553,0))</f>
        <v>1</v>
      </c>
      <c r="AH553" s="59" t="n">
        <f aca="false">IF(CH553&gt;0,CH553*MAX(1,AF553/X553),IF(BT553=1,IF(AF553&lt;=0,0,BW553*MAX(1,IF(H553&gt;0,AF553/H553,1))),IF(R553&gt;0,AG553/R553,0))/MAX(0.1,N(Parameter!$M$21)))</f>
        <v>0.0384615384615385</v>
      </c>
      <c r="AI553" s="57" t="n">
        <f aca="false">AF553*G553</f>
        <v>136.68</v>
      </c>
      <c r="AJ553" s="57" t="n">
        <f aca="false">ROUNDUP(MAX(J553/IF(BZ553&gt;0,BZ553,MAX(0.1,N(Cockpit!$C$6))),CC553)/BS553,0)*BS553</f>
        <v>931</v>
      </c>
      <c r="AK553" s="58" t="n">
        <f aca="false">IF(AH553&gt;0,J553/AH553,-1)</f>
        <v>47632</v>
      </c>
      <c r="AL553" s="58" t="n">
        <f aca="false">IF(AND(OR(BY553="L1",BY553="L23"),AH553&gt;0),SUMIFS($AH$7:$AH$1843,$BY$7:$BY$1843,BY553,$AK$7:$AK$1843,"&gt;"&amp;AK553)+SUMIFS($AH$7:$AH$1843,$BY$7:$BY$1843,BY553,$AK$7:$AK$1843,AK553,$BQ$7:$BQ$1843,"&lt;="&amp;BQ553),"")</f>
        <v>1.46813452248235</v>
      </c>
      <c r="AM553" s="65" t="n">
        <f aca="false">IF(AL553="",0,MAX(0,MIN(1,(IF(BY553="L1",Parameter!$E$5,Parameter!$E$6+Parameter!$E$7)-(AL553-AH553))/AH553)))</f>
        <v>1</v>
      </c>
      <c r="AN553" s="57" t="n">
        <f aca="false">IF(LEFT(Cockpit!$I$5,1)="A",H553,IF(CA553=1,CB553,IF(LEFT(Cockpit!$I$5,1)="B",AR553,MAX(AR553,H553))))</f>
        <v>931</v>
      </c>
      <c r="AO553" s="57" t="n">
        <f aca="false">IF(BT553=1,0,ROUNDUP(AN553/BS553,0))</f>
        <v>1</v>
      </c>
      <c r="AP553" s="59" t="n">
        <f aca="false">IF(CH553&gt;0,CH553*MAX(1,AN553/X553),IF(BT553=1,IF(AN553&lt;=0,0,BW553*MAX(1,IF(H553&gt;0,AN553/H553,1))),IF(R553&gt;0,AO553/R553,0))/MAX(0.1,N(Parameter!$M$21)))</f>
        <v>0.0384615384615385</v>
      </c>
      <c r="AQ553" s="57" t="n">
        <f aca="false">AN553*G553</f>
        <v>158.27</v>
      </c>
      <c r="AR553" s="57" t="n">
        <f aca="false">ROUNDUP(MAX(J553/IF(BZ553&gt;0,BZ553,MAX(0.1,N(Cockpit!$I$6))),CC553)/BS553,0)*BS553</f>
        <v>931</v>
      </c>
      <c r="AS553" s="58" t="n">
        <f aca="false">IF(AP553&gt;0,J553/AP553,-1)</f>
        <v>47632</v>
      </c>
      <c r="AT553" s="58" t="n">
        <f aca="false">IF(AND(OR(BY553="L1",BY553="L23"),AP553&gt;0),SUMIFS($AP$7:$AP$1843,$BY$7:$BY$1843,BY553,$AS$7:$AS$1843,"&gt;"&amp;AS553)+SUMIFS($AP$7:$AP$1843,$BY$7:$BY$1843,BY553,$AS$7:$AS$1843,AS553,$BQ$7:$BQ$1843,"&lt;="&amp;BQ553),"")</f>
        <v>1.55732914428567</v>
      </c>
      <c r="AU553" s="65" t="n">
        <f aca="false">IF(AT553="",0,MAX(0,MIN(1,(IF(BY553="L1",Parameter!$E$5,Parameter!$E$6+Parameter!$E$7)-(AT553-AP553))/AP553)))</f>
        <v>1</v>
      </c>
      <c r="AV553" s="57" t="n">
        <f aca="false">IF(LEFT(Cockpit!$O$5,1)="A",H553,IF(CA553=1,CB553,IF(LEFT(Cockpit!$O$5,1)="B",AZ553,MAX(AZ553,H553))))</f>
        <v>931</v>
      </c>
      <c r="AW553" s="57" t="n">
        <f aca="false">IF(BT553=1,0,ROUNDUP(AV553/BS553,0))</f>
        <v>1</v>
      </c>
      <c r="AX553" s="59" t="n">
        <f aca="false">IF(CH553&gt;0,CH553*MAX(1,AV553/X553),IF(BT553=1,IF(AV553&lt;=0,0,BW553*MAX(1,IF(H553&gt;0,AV553/H553,1))),IF(R553&gt;0,AW553/R553,0))/MAX(0.1,N(Parameter!$M$21)))</f>
        <v>0.0384615384615385</v>
      </c>
      <c r="AY553" s="57" t="n">
        <f aca="false">AV553*G553</f>
        <v>158.27</v>
      </c>
      <c r="AZ553" s="57" t="n">
        <f aca="false">ROUNDUP(MAX(J553/IF(BZ553&gt;0,BZ553,MAX(0.1,N(Cockpit!$O$6))),CC553)/BS553,0)*BS553</f>
        <v>931</v>
      </c>
      <c r="BA553" s="58" t="n">
        <f aca="false">IF(AX553&gt;0,J553/AX553,-1)</f>
        <v>47632</v>
      </c>
      <c r="BB553" s="58" t="n">
        <f aca="false">IF(AND(OR(BY553="L1",BY553="L23"),AX553&gt;0),SUMIFS($AX$7:$AX$1843,$BY$7:$BY$1843,BY553,$BA$7:$BA$1843,"&gt;"&amp;BA553)+SUMIFS($AX$7:$AX$1843,$BY$7:$BY$1843,BY553,$BA$7:$BA$1843,BA553,$BQ$7:$BQ$1843,"&lt;="&amp;BQ553),"")</f>
        <v>1.84812168507821</v>
      </c>
      <c r="BC553" s="65" t="n">
        <f aca="false">IF(BB553="",0,MAX(0,MIN(1,(IF(BY553="L1",Parameter!$E$5,Parameter!$E$6+Parameter!$E$7)-(BB553-AX553))/AX553)))</f>
        <v>1</v>
      </c>
      <c r="BD553" s="55" t="str">
        <f aca="false">IF(AH553&lt;=0,"",IF(BY553="Aussen","Aussenlager",IF(BY553="-","Nicht im Lift",IF(AM553&gt;=1,"Lift",IF(AM553&lt;=0,"Aussenlager","teilweise")))))</f>
        <v>Lift</v>
      </c>
      <c r="BE553" s="55" t="str">
        <f aca="false">IF(AP553&lt;=0,"",IF(BY553="Aussen","Aussenlager",IF(BY553="-","Nicht im Lift",IF(AU553&gt;=1,"Lift",IF(AU553&lt;=0,"Aussenlager","teilweise")))))</f>
        <v>Lift</v>
      </c>
      <c r="BF553" s="55" t="str">
        <f aca="false">IF(AX553&lt;=0,"",IF(BY553="Aussen","Aussenlager",IF(BY553="-","Nicht im Lift",IF(BC553&gt;=1,"Lift",IF(BC553&lt;=0,"Aussenlager","teilweise")))))</f>
        <v>Lift</v>
      </c>
      <c r="BG553" s="55" t="str">
        <f aca="false">IF(A553="","",IF(BP553=1,"Neu; ","")&amp;IF(AND(BP553=0,BK553&lt;0),"negativer Bestand (Export "&amp;BK553&amp;"); ","")&amp;IF(J553&lt;=0,"Kein Verbrauch; ","")&amp;IF(CH553&gt;0,"Lift "&amp;W553&amp;" lt. Liftbericht (Fach "&amp;X553&amp;" Stk); ",IF(BU553=1,"Gebinde geschätzt ("&amp;T553&amp;"); ",IF(BT553=1,"Lose – Tablare geschätzt; ","")))&amp;IF(H553&gt;AR553,"Überbestand "&amp;ROUND(H553-AR553,0)&amp;" Stk / CHF "&amp;ROUND((H553-AR553)*G553,0)&amp;"; ","")&amp;IF(AND(CA553=1,CB553&lt;CC553),"MAX &lt; MB+LG; ","")&amp;IF(AND(CG553&gt;0,CF553*10&gt;CG553),"zu hoch für Tablar; ","")&amp;IF(AND(BP553=0,OR(CA553=1,AA553&lt;&gt;"",U553&lt;&gt;"",V553&lt;&gt;"",AB553&lt;&gt;"")),"manuell übersteuert; ","")&amp;IF(AND(BT553=0,R553=0),"Gebinde unbekannt / Stellmass fehlt; ","")&amp;IF(AND(BT553=0,N(V553)&lt;=0,N(Q553)&lt;=0),"Menge pro Gebinde fehlt (Ist = 1 Gebinde); ","")&amp;BO553)</f>
        <v/>
      </c>
      <c r="BH553" s="55"/>
      <c r="BI553" s="55"/>
      <c r="BJ553" s="62"/>
      <c r="BK553" s="57" t="n">
        <v>252</v>
      </c>
      <c r="BL553" s="57" t="n">
        <v>552</v>
      </c>
      <c r="BM553" s="56" t="n">
        <v>15.84</v>
      </c>
      <c r="BN553" s="57" t="n">
        <v>1832</v>
      </c>
      <c r="BO553" s="55"/>
      <c r="BP553" s="60" t="n">
        <v>0</v>
      </c>
      <c r="BQ553" s="60" t="n">
        <v>553</v>
      </c>
      <c r="BR553" s="55" t="str">
        <f aca="false">IF(U553&lt;&gt;"",UPPER(TRIM(U553)),IF(BU553=1,UPPER(VLOOKUP(T553,Parameter!$I$27:$K$29,2,0)),IF(P553="","LOSE",P553)))</f>
        <v>S52</v>
      </c>
      <c r="BS553" s="57" t="n">
        <f aca="false">IF(BR553="LOSE",1,IF(N(V553)&gt;0,V553,IF(BU553=1,MAX(1,N(VLOOKUP(T553,Parameter!$I$27:$K$29,3,0)),H553,N(N553)),IF(N(Q553)&gt;0,Q553,MAX(1,H553)))))</f>
        <v>931</v>
      </c>
      <c r="BT553" s="60" t="n">
        <f aca="false">IF(BR553="LOSE",1,0)</f>
        <v>0</v>
      </c>
      <c r="BU553" s="60" t="n">
        <f aca="false">IF(AND(U553="",OR(P553="",P553="LOSE"),T553&lt;&gt;"",N(S553)&lt;=0,ISNUMBER(MATCH(T553,Parameter!$I$27:$I$29,0))),1,0)</f>
        <v>0</v>
      </c>
      <c r="BV553" s="55" t="str">
        <f aca="false">IF(AND(Parameter!$B$19="Ja",E553&lt;&gt;"",ISNUMBER(MATCH(E553,Parameter!$I$35:$I$52,0))),VLOOKUP(E553,Parameter!$I$35:$J$52,2,0),IFERROR(VLOOKUP(D553,Parameter!$A$35:$C$64,2,0),"Nein"))</f>
        <v>2+3</v>
      </c>
      <c r="BW553" s="59" t="n">
        <f aca="false">IF(BT553=0,0,IF(N(S553)&gt;0,S553,IFERROR(VLOOKUP(D553,Parameter!$A$35:$C$64,3,0)+0,0)))</f>
        <v>0</v>
      </c>
      <c r="BX553" s="55" t="n">
        <f aca="false">IF(AA553&lt;&gt;"",AA553,Z553)</f>
        <v>3</v>
      </c>
      <c r="BY553" s="55" t="str">
        <f aca="false">IF(BX553=1,"L1",IF(OR(BX553=2,BX553=3),"L23",IF(BX553="Aussen","Aussen","-")))</f>
        <v>L23</v>
      </c>
      <c r="BZ553" s="66" t="n">
        <f aca="false">IF(N(AB553)&gt;0,AB553,0)</f>
        <v>0</v>
      </c>
      <c r="CA553" s="60" t="n">
        <f aca="false">IF(ISNUMBER(AE553),1,0)</f>
        <v>0</v>
      </c>
      <c r="CB553" s="57" t="n">
        <f aca="false">N(AE553)</f>
        <v>0</v>
      </c>
      <c r="CC553" s="57" t="n">
        <f aca="false">N(M553)+N(N553)</f>
        <v>740</v>
      </c>
      <c r="CD553" s="57" t="n">
        <f aca="false">ROUNDUP(H553/BS553,0)</f>
        <v>1</v>
      </c>
      <c r="CE553" s="57" t="n">
        <f aca="false">ROUNDUP(CB553/BS553,0)</f>
        <v>0</v>
      </c>
      <c r="CF553" s="60" t="n">
        <f aca="false">IF(BT553=1,0,IFERROR(VLOOKUP(BR553,'Gebinde-Kategorie'!$A$5:$M$45,5,0)+0,0))</f>
        <v>21</v>
      </c>
      <c r="CG553" s="60" t="n">
        <f aca="false">IFERROR(IF(OR(BX553=1,BX553=2,BX553=3),N(INDEX(Parameter!$I$5:$I$7,BX553)),0),0)</f>
        <v>0</v>
      </c>
      <c r="CH553" s="59" t="n">
        <f aca="false">IF(AND(Parameter!$B$21="Ja",ISNUMBER(W553),N(X553)&gt;0),IFERROR(N(INDEX(Parameter!$L$5:$L$7,W553))*INDEX(Parameter!$E$5:$E$7,W553)*X553/SUMIFS($X$7:$X$1843,$W$7:$W$1843,W553),0),0)</f>
        <v>0</v>
      </c>
    </row>
    <row r="554" customFormat="false" ht="15" hidden="false" customHeight="false" outlineLevel="0" collapsed="false">
      <c r="A554" s="55" t="s">
        <v>1180</v>
      </c>
      <c r="B554" s="55" t="s">
        <v>405</v>
      </c>
      <c r="C554" s="55" t="s">
        <v>164</v>
      </c>
      <c r="D554" s="55" t="s">
        <v>184</v>
      </c>
      <c r="E554" s="55"/>
      <c r="F554" s="55" t="s">
        <v>218</v>
      </c>
      <c r="G554" s="56" t="n">
        <v>1.89</v>
      </c>
      <c r="H554" s="57" t="n">
        <f aca="false">MAX(0,IF(AND(Parameter!$B$21="Ja",ISNUMBER(Y554)),Y554,IF(Parameter!$B$20="Jahresanfang 2025 + Export",BL554+BK554,BK554)))</f>
        <v>197</v>
      </c>
      <c r="I554" s="57" t="n">
        <f aca="false">H554*G554</f>
        <v>372.33</v>
      </c>
      <c r="J554" s="57" t="n">
        <f aca="false">BN554*Parameter!$B$18</f>
        <v>0</v>
      </c>
      <c r="K554" s="58" t="n">
        <v>193</v>
      </c>
      <c r="L554" s="59" t="n">
        <v>0</v>
      </c>
      <c r="M554" s="57" t="n">
        <v>0</v>
      </c>
      <c r="N554" s="57" t="n">
        <v>1</v>
      </c>
      <c r="O554" s="60" t="n">
        <v>14</v>
      </c>
      <c r="P554" s="55" t="s">
        <v>233</v>
      </c>
      <c r="Q554" s="57" t="n">
        <v>250</v>
      </c>
      <c r="R554" s="60" t="n">
        <f aca="false">IF(BT554=1,0,IFERROR(VLOOKUP(BR554,'Gebinde-Kategorie'!$A$5:$M$45,13,0)+0,0))</f>
        <v>26</v>
      </c>
      <c r="S554" s="61"/>
      <c r="T554" s="62"/>
      <c r="U554" s="62"/>
      <c r="V554" s="62"/>
      <c r="W554" s="55"/>
      <c r="X554" s="57"/>
      <c r="Y554" s="57"/>
      <c r="Z554" s="55" t="n">
        <f aca="false">IF(A554="","",IF(AND(Parameter!$B$21="Ja",ISNUMBER(W554)),W554,IF(BV554="2+3",IF(ISNUMBER(SEARCH("grosser Artikel",BO554)),2,IFERROR(VLOOKUP(BR554,Parameter!$F$35:$G$64,2,0),2)),IF(OR(BV554="Nein",BV554=""),"-",BV554))))</f>
        <v>3</v>
      </c>
      <c r="AA554" s="62"/>
      <c r="AB554" s="63"/>
      <c r="AC554" s="57" t="n">
        <f aca="false">AR554</f>
        <v>250</v>
      </c>
      <c r="AD554" s="57" t="n">
        <f aca="false">MAX(AR554,H554)</f>
        <v>250</v>
      </c>
      <c r="AE554" s="64"/>
      <c r="AF554" s="57" t="n">
        <f aca="false">IF(LEFT(Cockpit!$C$5,1)="A",H554,IF(CA554=1,CB554,IF(LEFT(Cockpit!$C$5,1)="B",AJ554,MAX(AJ554,H554))))</f>
        <v>197</v>
      </c>
      <c r="AG554" s="57" t="n">
        <f aca="false">IF(BT554=1,0,ROUNDUP(AF554/BS554,0))</f>
        <v>1</v>
      </c>
      <c r="AH554" s="59" t="n">
        <f aca="false">IF(CH554&gt;0,CH554*MAX(1,AF554/X554),IF(BT554=1,IF(AF554&lt;=0,0,BW554*MAX(1,IF(H554&gt;0,AF554/H554,1))),IF(R554&gt;0,AG554/R554,0))/MAX(0.1,N(Parameter!$M$21)))</f>
        <v>0.0384615384615385</v>
      </c>
      <c r="AI554" s="57" t="n">
        <f aca="false">AF554*G554</f>
        <v>372.33</v>
      </c>
      <c r="AJ554" s="57" t="n">
        <f aca="false">ROUNDUP(MAX(J554/IF(BZ554&gt;0,BZ554,MAX(0.1,N(Cockpit!$C$6))),CC554)/BS554,0)*BS554</f>
        <v>250</v>
      </c>
      <c r="AK554" s="58" t="n">
        <f aca="false">IF(AH554&gt;0,J554/AH554,-1)</f>
        <v>0</v>
      </c>
      <c r="AL554" s="58" t="n">
        <f aca="false">IF(AND(OR(BY554="L1",BY554="L23"),AH554&gt;0),SUMIFS($AH$7:$AH$1843,$BY$7:$BY$1843,BY554,$AK$7:$AK$1843,"&gt;"&amp;AK554)+SUMIFS($AH$7:$AH$1843,$BY$7:$BY$1843,BY554,$AK$7:$AK$1843,AK554,$BQ$7:$BQ$1843,"&lt;="&amp;BQ554),"")</f>
        <v>75.4295631904328</v>
      </c>
      <c r="AM554" s="65" t="n">
        <f aca="false">IF(AL554="",0,MAX(0,MIN(1,(IF(BY554="L1",Parameter!$E$5,Parameter!$E$6+Parameter!$E$7)-(AL554-AH554))/AH554)))</f>
        <v>1</v>
      </c>
      <c r="AN554" s="57" t="n">
        <f aca="false">IF(LEFT(Cockpit!$I$5,1)="A",H554,IF(CA554=1,CB554,IF(LEFT(Cockpit!$I$5,1)="B",AR554,MAX(AR554,H554))))</f>
        <v>250</v>
      </c>
      <c r="AO554" s="57" t="n">
        <f aca="false">IF(BT554=1,0,ROUNDUP(AN554/BS554,0))</f>
        <v>1</v>
      </c>
      <c r="AP554" s="59" t="n">
        <f aca="false">IF(CH554&gt;0,CH554*MAX(1,AN554/X554),IF(BT554=1,IF(AN554&lt;=0,0,BW554*MAX(1,IF(H554&gt;0,AN554/H554,1))),IF(R554&gt;0,AO554/R554,0))/MAX(0.1,N(Parameter!$M$21)))</f>
        <v>0.0384615384615385</v>
      </c>
      <c r="AQ554" s="57" t="n">
        <f aca="false">AN554*G554</f>
        <v>472.5</v>
      </c>
      <c r="AR554" s="57" t="n">
        <f aca="false">ROUNDUP(MAX(J554/IF(BZ554&gt;0,BZ554,MAX(0.1,N(Cockpit!$I$6))),CC554)/BS554,0)*BS554</f>
        <v>250</v>
      </c>
      <c r="AS554" s="58" t="n">
        <f aca="false">IF(AP554&gt;0,J554/AP554,-1)</f>
        <v>0</v>
      </c>
      <c r="AT554" s="58" t="n">
        <f aca="false">IF(AND(OR(BY554="L1",BY554="L23"),AP554&gt;0),SUMIFS($AP$7:$AP$1843,$BY$7:$BY$1843,BY554,$AS$7:$AS$1843,"&gt;"&amp;AS554)+SUMIFS($AP$7:$AP$1843,$BY$7:$BY$1843,BY554,$AS$7:$AS$1843,AS554,$BQ$7:$BQ$1843,"&lt;="&amp;BQ554),"")</f>
        <v>114.853687375427</v>
      </c>
      <c r="AU554" s="65" t="n">
        <f aca="false">IF(AT554="",0,MAX(0,MIN(1,(IF(BY554="L1",Parameter!$E$5,Parameter!$E$6+Parameter!$E$7)-(AT554-AP554))/AP554)))</f>
        <v>0</v>
      </c>
      <c r="AV554" s="57" t="n">
        <f aca="false">IF(LEFT(Cockpit!$O$5,1)="A",H554,IF(CA554=1,CB554,IF(LEFT(Cockpit!$O$5,1)="B",AZ554,MAX(AZ554,H554))))</f>
        <v>250</v>
      </c>
      <c r="AW554" s="57" t="n">
        <f aca="false">IF(BT554=1,0,ROUNDUP(AV554/BS554,0))</f>
        <v>1</v>
      </c>
      <c r="AX554" s="59" t="n">
        <f aca="false">IF(CH554&gt;0,CH554*MAX(1,AV554/X554),IF(BT554=1,IF(AV554&lt;=0,0,BW554*MAX(1,IF(H554&gt;0,AV554/H554,1))),IF(R554&gt;0,AW554/R554,0))/MAX(0.1,N(Parameter!$M$21)))</f>
        <v>0.0384615384615385</v>
      </c>
      <c r="AY554" s="57" t="n">
        <f aca="false">AV554*G554</f>
        <v>472.5</v>
      </c>
      <c r="AZ554" s="57" t="n">
        <f aca="false">ROUNDUP(MAX(J554/IF(BZ554&gt;0,BZ554,MAX(0.1,N(Cockpit!$O$6))),CC554)/BS554,0)*BS554</f>
        <v>250</v>
      </c>
      <c r="BA554" s="58" t="n">
        <f aca="false">IF(AX554&gt;0,J554/AX554,-1)</f>
        <v>0</v>
      </c>
      <c r="BB554" s="58" t="n">
        <f aca="false">IF(AND(OR(BY554="L1",BY554="L23"),AX554&gt;0),SUMIFS($AX$7:$AX$1843,$BY$7:$BY$1843,BY554,$BA$7:$BA$1843,"&gt;"&amp;BA554)+SUMIFS($AX$7:$AX$1843,$BY$7:$BY$1843,BY554,$BA$7:$BA$1843,BA554,$BQ$7:$BQ$1843,"&lt;="&amp;BQ554),"")</f>
        <v>105.683524205263</v>
      </c>
      <c r="BC554" s="65" t="n">
        <f aca="false">IF(BB554="",0,MAX(0,MIN(1,(IF(BY554="L1",Parameter!$E$5,Parameter!$E$6+Parameter!$E$7)-(BB554-AX554))/AX554)))</f>
        <v>0</v>
      </c>
      <c r="BD554" s="55" t="str">
        <f aca="false">IF(AH554&lt;=0,"",IF(BY554="Aussen","Aussenlager",IF(BY554="-","Nicht im Lift",IF(AM554&gt;=1,"Lift",IF(AM554&lt;=0,"Aussenlager","teilweise")))))</f>
        <v>Lift</v>
      </c>
      <c r="BE554" s="55" t="str">
        <f aca="false">IF(AP554&lt;=0,"",IF(BY554="Aussen","Aussenlager",IF(BY554="-","Nicht im Lift",IF(AU554&gt;=1,"Lift",IF(AU554&lt;=0,"Aussenlager","teilweise")))))</f>
        <v>Aussenlager</v>
      </c>
      <c r="BF554" s="55" t="str">
        <f aca="false">IF(AX554&lt;=0,"",IF(BY554="Aussen","Aussenlager",IF(BY554="-","Nicht im Lift",IF(BC554&gt;=1,"Lift",IF(BC554&lt;=0,"Aussenlager","teilweise")))))</f>
        <v>Aussenlager</v>
      </c>
      <c r="BG554" s="55" t="str">
        <f aca="false">IF(A554="","",IF(BP554=1,"Neu; ","")&amp;IF(AND(BP554=0,BK554&lt;0),"negativer Bestand (Export "&amp;BK554&amp;"); ","")&amp;IF(J554&lt;=0,"Kein Verbrauch; ","")&amp;IF(CH554&gt;0,"Lift "&amp;W554&amp;" lt. Liftbericht (Fach "&amp;X554&amp;" Stk); ",IF(BU554=1,"Gebinde geschätzt ("&amp;T554&amp;"); ",IF(BT554=1,"Lose – Tablare geschätzt; ","")))&amp;IF(H554&gt;AR554,"Überbestand "&amp;ROUND(H554-AR554,0)&amp;" Stk / CHF "&amp;ROUND((H554-AR554)*G554,0)&amp;"; ","")&amp;IF(AND(CA554=1,CB554&lt;CC554),"MAX &lt; MB+LG; ","")&amp;IF(AND(CG554&gt;0,CF554*10&gt;CG554),"zu hoch für Tablar; ","")&amp;IF(AND(BP554=0,OR(CA554=1,AA554&lt;&gt;"",U554&lt;&gt;"",V554&lt;&gt;"",AB554&lt;&gt;"")),"manuell übersteuert; ","")&amp;IF(AND(BT554=0,R554=0),"Gebinde unbekannt / Stellmass fehlt; ","")&amp;IF(AND(BT554=0,N(V554)&lt;=0,N(Q554)&lt;=0),"Menge pro Gebinde fehlt (Ist = 1 Gebinde); ","")&amp;BO554)</f>
        <v>Kein Verbrauch; </v>
      </c>
      <c r="BH554" s="55"/>
      <c r="BI554" s="55"/>
      <c r="BJ554" s="62"/>
      <c r="BK554" s="57" t="n">
        <v>8</v>
      </c>
      <c r="BL554" s="57" t="n">
        <v>189</v>
      </c>
      <c r="BM554" s="56" t="n">
        <v>15.12</v>
      </c>
      <c r="BN554" s="57" t="n">
        <v>0</v>
      </c>
      <c r="BO554" s="55"/>
      <c r="BP554" s="60" t="n">
        <v>0</v>
      </c>
      <c r="BQ554" s="60" t="n">
        <v>554</v>
      </c>
      <c r="BR554" s="55" t="str">
        <f aca="false">IF(U554&lt;&gt;"",UPPER(TRIM(U554)),IF(BU554=1,UPPER(VLOOKUP(T554,Parameter!$I$27:$K$29,2,0)),IF(P554="","LOSE",P554)))</f>
        <v>S52</v>
      </c>
      <c r="BS554" s="57" t="n">
        <f aca="false">IF(BR554="LOSE",1,IF(N(V554)&gt;0,V554,IF(BU554=1,MAX(1,N(VLOOKUP(T554,Parameter!$I$27:$K$29,3,0)),H554,N(N554)),IF(N(Q554)&gt;0,Q554,MAX(1,H554)))))</f>
        <v>250</v>
      </c>
      <c r="BT554" s="60" t="n">
        <f aca="false">IF(BR554="LOSE",1,0)</f>
        <v>0</v>
      </c>
      <c r="BU554" s="60" t="n">
        <f aca="false">IF(AND(U554="",OR(P554="",P554="LOSE"),T554&lt;&gt;"",N(S554)&lt;=0,ISNUMBER(MATCH(T554,Parameter!$I$27:$I$29,0))),1,0)</f>
        <v>0</v>
      </c>
      <c r="BV554" s="55" t="str">
        <f aca="false">IF(AND(Parameter!$B$19="Ja",E554&lt;&gt;"",ISNUMBER(MATCH(E554,Parameter!$I$35:$I$52,0))),VLOOKUP(E554,Parameter!$I$35:$J$52,2,0),IFERROR(VLOOKUP(D554,Parameter!$A$35:$C$64,2,0),"Nein"))</f>
        <v>2+3</v>
      </c>
      <c r="BW554" s="59" t="n">
        <f aca="false">IF(BT554=0,0,IF(N(S554)&gt;0,S554,IFERROR(VLOOKUP(D554,Parameter!$A$35:$C$64,3,0)+0,0)))</f>
        <v>0</v>
      </c>
      <c r="BX554" s="55" t="n">
        <f aca="false">IF(AA554&lt;&gt;"",AA554,Z554)</f>
        <v>3</v>
      </c>
      <c r="BY554" s="55" t="str">
        <f aca="false">IF(BX554=1,"L1",IF(OR(BX554=2,BX554=3),"L23",IF(BX554="Aussen","Aussen","-")))</f>
        <v>L23</v>
      </c>
      <c r="BZ554" s="66" t="n">
        <f aca="false">IF(N(AB554)&gt;0,AB554,0)</f>
        <v>0</v>
      </c>
      <c r="CA554" s="60" t="n">
        <f aca="false">IF(ISNUMBER(AE554),1,0)</f>
        <v>0</v>
      </c>
      <c r="CB554" s="57" t="n">
        <f aca="false">N(AE554)</f>
        <v>0</v>
      </c>
      <c r="CC554" s="57" t="n">
        <f aca="false">N(M554)+N(N554)</f>
        <v>1</v>
      </c>
      <c r="CD554" s="57" t="n">
        <f aca="false">ROUNDUP(H554/BS554,0)</f>
        <v>1</v>
      </c>
      <c r="CE554" s="57" t="n">
        <f aca="false">ROUNDUP(CB554/BS554,0)</f>
        <v>0</v>
      </c>
      <c r="CF554" s="60" t="n">
        <f aca="false">IF(BT554=1,0,IFERROR(VLOOKUP(BR554,'Gebinde-Kategorie'!$A$5:$M$45,5,0)+0,0))</f>
        <v>21</v>
      </c>
      <c r="CG554" s="60" t="n">
        <f aca="false">IFERROR(IF(OR(BX554=1,BX554=2,BX554=3),N(INDEX(Parameter!$I$5:$I$7,BX554)),0),0)</f>
        <v>0</v>
      </c>
      <c r="CH554" s="59" t="n">
        <f aca="false">IF(AND(Parameter!$B$21="Ja",ISNUMBER(W554),N(X554)&gt;0),IFERROR(N(INDEX(Parameter!$L$5:$L$7,W554))*INDEX(Parameter!$E$5:$E$7,W554)*X554/SUMIFS($X$7:$X$1843,$W$7:$W$1843,W554),0),0)</f>
        <v>0</v>
      </c>
    </row>
    <row r="555" customFormat="false" ht="15" hidden="false" customHeight="false" outlineLevel="0" collapsed="false">
      <c r="A555" s="55" t="s">
        <v>1181</v>
      </c>
      <c r="B555" s="55" t="s">
        <v>857</v>
      </c>
      <c r="C555" s="55" t="s">
        <v>164</v>
      </c>
      <c r="D555" s="55" t="s">
        <v>184</v>
      </c>
      <c r="E555" s="55"/>
      <c r="F555" s="55" t="s">
        <v>218</v>
      </c>
      <c r="G555" s="56" t="n">
        <v>73.46</v>
      </c>
      <c r="H555" s="57" t="n">
        <f aca="false">MAX(0,IF(AND(Parameter!$B$21="Ja",ISNUMBER(Y555)),Y555,IF(Parameter!$B$20="Jahresanfang 2025 + Export",BL555+BK555,BK555)))</f>
        <v>5</v>
      </c>
      <c r="I555" s="57" t="n">
        <f aca="false">H555*G555</f>
        <v>367.3</v>
      </c>
      <c r="J555" s="57" t="n">
        <f aca="false">BN555*Parameter!$B$18</f>
        <v>1</v>
      </c>
      <c r="K555" s="58" t="n">
        <v>4.5</v>
      </c>
      <c r="L555" s="59" t="n">
        <v>0.222222222222222</v>
      </c>
      <c r="M555" s="57" t="n">
        <v>0</v>
      </c>
      <c r="N555" s="57" t="n">
        <v>1</v>
      </c>
      <c r="O555" s="60" t="n">
        <v>35</v>
      </c>
      <c r="P555" s="55" t="s">
        <v>426</v>
      </c>
      <c r="Q555" s="57" t="n">
        <v>6</v>
      </c>
      <c r="R555" s="60" t="n">
        <f aca="false">IF(BT555=1,0,IFERROR(VLOOKUP(BR555,'Gebinde-Kategorie'!$A$5:$M$45,13,0)+0,0))</f>
        <v>198</v>
      </c>
      <c r="S555" s="61"/>
      <c r="T555" s="62"/>
      <c r="U555" s="62"/>
      <c r="V555" s="62"/>
      <c r="W555" s="55"/>
      <c r="X555" s="57"/>
      <c r="Y555" s="57"/>
      <c r="Z555" s="55" t="n">
        <f aca="false">IF(A555="","",IF(AND(Parameter!$B$21="Ja",ISNUMBER(W555)),W555,IF(BV555="2+3",IF(ISNUMBER(SEARCH("grosser Artikel",BO555)),2,IFERROR(VLOOKUP(BR555,Parameter!$F$35:$G$64,2,0),2)),IF(OR(BV555="Nein",BV555=""),"-",BV555))))</f>
        <v>3</v>
      </c>
      <c r="AA555" s="62"/>
      <c r="AB555" s="63"/>
      <c r="AC555" s="57" t="n">
        <f aca="false">AR555</f>
        <v>6</v>
      </c>
      <c r="AD555" s="57" t="n">
        <f aca="false">MAX(AR555,H555)</f>
        <v>6</v>
      </c>
      <c r="AE555" s="64"/>
      <c r="AF555" s="57" t="n">
        <f aca="false">IF(LEFT(Cockpit!$C$5,1)="A",H555,IF(CA555=1,CB555,IF(LEFT(Cockpit!$C$5,1)="B",AJ555,MAX(AJ555,H555))))</f>
        <v>5</v>
      </c>
      <c r="AG555" s="57" t="n">
        <f aca="false">IF(BT555=1,0,ROUNDUP(AF555/BS555,0))</f>
        <v>1</v>
      </c>
      <c r="AH555" s="59" t="n">
        <f aca="false">IF(CH555&gt;0,CH555*MAX(1,AF555/X555),IF(BT555=1,IF(AF555&lt;=0,0,BW555*MAX(1,IF(H555&gt;0,AF555/H555,1))),IF(R555&gt;0,AG555/R555,0))/MAX(0.1,N(Parameter!$M$21)))</f>
        <v>0.00505050505050505</v>
      </c>
      <c r="AI555" s="57" t="n">
        <f aca="false">AF555*G555</f>
        <v>367.3</v>
      </c>
      <c r="AJ555" s="57" t="n">
        <f aca="false">ROUNDUP(MAX(J555/IF(BZ555&gt;0,BZ555,MAX(0.1,N(Cockpit!$C$6))),CC555)/BS555,0)*BS555</f>
        <v>6</v>
      </c>
      <c r="AK555" s="58" t="n">
        <f aca="false">IF(AH555&gt;0,J555/AH555,-1)</f>
        <v>198</v>
      </c>
      <c r="AL555" s="58" t="n">
        <f aca="false">IF(AND(OR(BY555="L1",BY555="L23"),AH555&gt;0),SUMIFS($AH$7:$AH$1843,$BY$7:$BY$1843,BY555,$AK$7:$AK$1843,"&gt;"&amp;AK555)+SUMIFS($AH$7:$AH$1843,$BY$7:$BY$1843,BY555,$AK$7:$AK$1843,AK555,$BQ$7:$BQ$1843,"&lt;="&amp;BQ555),"")</f>
        <v>32.4910560454039</v>
      </c>
      <c r="AM555" s="65" t="n">
        <f aca="false">IF(AL555="",0,MAX(0,MIN(1,(IF(BY555="L1",Parameter!$E$5,Parameter!$E$6+Parameter!$E$7)-(AL555-AH555))/AH555)))</f>
        <v>1</v>
      </c>
      <c r="AN555" s="57" t="n">
        <f aca="false">IF(LEFT(Cockpit!$I$5,1)="A",H555,IF(CA555=1,CB555,IF(LEFT(Cockpit!$I$5,1)="B",AR555,MAX(AR555,H555))))</f>
        <v>6</v>
      </c>
      <c r="AO555" s="57" t="n">
        <f aca="false">IF(BT555=1,0,ROUNDUP(AN555/BS555,0))</f>
        <v>1</v>
      </c>
      <c r="AP555" s="59" t="n">
        <f aca="false">IF(CH555&gt;0,CH555*MAX(1,AN555/X555),IF(BT555=1,IF(AN555&lt;=0,0,BW555*MAX(1,IF(H555&gt;0,AN555/H555,1))),IF(R555&gt;0,AO555/R555,0))/MAX(0.1,N(Parameter!$M$21)))</f>
        <v>0.00505050505050505</v>
      </c>
      <c r="AQ555" s="57" t="n">
        <f aca="false">AN555*G555</f>
        <v>440.76</v>
      </c>
      <c r="AR555" s="57" t="n">
        <f aca="false">ROUNDUP(MAX(J555/IF(BZ555&gt;0,BZ555,MAX(0.1,N(Cockpit!$I$6))),CC555)/BS555,0)*BS555</f>
        <v>6</v>
      </c>
      <c r="AS555" s="58" t="n">
        <f aca="false">IF(AP555&gt;0,J555/AP555,-1)</f>
        <v>198</v>
      </c>
      <c r="AT555" s="58" t="n">
        <f aca="false">IF(AND(OR(BY555="L1",BY555="L23"),AP555&gt;0),SUMIFS($AP$7:$AP$1843,$BY$7:$BY$1843,BY555,$AS$7:$AS$1843,"&gt;"&amp;AS555)+SUMIFS($AP$7:$AP$1843,$BY$7:$BY$1843,BY555,$AS$7:$AS$1843,AS555,$BQ$7:$BQ$1843,"&lt;="&amp;BQ555),"")</f>
        <v>47.2898888551063</v>
      </c>
      <c r="AU555" s="65" t="n">
        <f aca="false">IF(AT555="",0,MAX(0,MIN(1,(IF(BY555="L1",Parameter!$E$5,Parameter!$E$6+Parameter!$E$7)-(AT555-AP555))/AP555)))</f>
        <v>1</v>
      </c>
      <c r="AV555" s="57" t="n">
        <f aca="false">IF(LEFT(Cockpit!$O$5,1)="A",H555,IF(CA555=1,CB555,IF(LEFT(Cockpit!$O$5,1)="B",AZ555,MAX(AZ555,H555))))</f>
        <v>6</v>
      </c>
      <c r="AW555" s="57" t="n">
        <f aca="false">IF(BT555=1,0,ROUNDUP(AV555/BS555,0))</f>
        <v>1</v>
      </c>
      <c r="AX555" s="59" t="n">
        <f aca="false">IF(CH555&gt;0,CH555*MAX(1,AV555/X555),IF(BT555=1,IF(AV555&lt;=0,0,BW555*MAX(1,IF(H555&gt;0,AV555/H555,1))),IF(R555&gt;0,AW555/R555,0))/MAX(0.1,N(Parameter!$M$21)))</f>
        <v>0.00505050505050505</v>
      </c>
      <c r="AY555" s="57" t="n">
        <f aca="false">AV555*G555</f>
        <v>440.76</v>
      </c>
      <c r="AZ555" s="57" t="n">
        <f aca="false">ROUNDUP(MAX(J555/IF(BZ555&gt;0,BZ555,MAX(0.1,N(Cockpit!$O$6))),CC555)/BS555,0)*BS555</f>
        <v>6</v>
      </c>
      <c r="BA555" s="58" t="n">
        <f aca="false">IF(AX555&gt;0,J555/AX555,-1)</f>
        <v>198</v>
      </c>
      <c r="BB555" s="58" t="n">
        <f aca="false">IF(AND(OR(BY555="L1",BY555="L23"),AX555&gt;0),SUMIFS($AX$7:$AX$1843,$BY$7:$BY$1843,BY555,$BA$7:$BA$1843,"&gt;"&amp;BA555)+SUMIFS($AX$7:$AX$1843,$BY$7:$BY$1843,BY555,$BA$7:$BA$1843,BA555,$BQ$7:$BQ$1843,"&lt;="&amp;BQ555),"")</f>
        <v>42.8697256849431</v>
      </c>
      <c r="BC555" s="65" t="n">
        <f aca="false">IF(BB555="",0,MAX(0,MIN(1,(IF(BY555="L1",Parameter!$E$5,Parameter!$E$6+Parameter!$E$7)-(BB555-AX555))/AX555)))</f>
        <v>1</v>
      </c>
      <c r="BD555" s="55" t="str">
        <f aca="false">IF(AH555&lt;=0,"",IF(BY555="Aussen","Aussenlager",IF(BY555="-","Nicht im Lift",IF(AM555&gt;=1,"Lift",IF(AM555&lt;=0,"Aussenlager","teilweise")))))</f>
        <v>Lift</v>
      </c>
      <c r="BE555" s="55" t="str">
        <f aca="false">IF(AP555&lt;=0,"",IF(BY555="Aussen","Aussenlager",IF(BY555="-","Nicht im Lift",IF(AU555&gt;=1,"Lift",IF(AU555&lt;=0,"Aussenlager","teilweise")))))</f>
        <v>Lift</v>
      </c>
      <c r="BF555" s="55" t="str">
        <f aca="false">IF(AX555&lt;=0,"",IF(BY555="Aussen","Aussenlager",IF(BY555="-","Nicht im Lift",IF(BC555&gt;=1,"Lift",IF(BC555&lt;=0,"Aussenlager","teilweise")))))</f>
        <v>Lift</v>
      </c>
      <c r="BG555" s="55" t="str">
        <f aca="false">IF(A555="","",IF(BP555=1,"Neu; ","")&amp;IF(AND(BP555=0,BK555&lt;0),"negativer Bestand (Export "&amp;BK555&amp;"); ","")&amp;IF(J555&lt;=0,"Kein Verbrauch; ","")&amp;IF(CH555&gt;0,"Lift "&amp;W555&amp;" lt. Liftbericht (Fach "&amp;X555&amp;" Stk); ",IF(BU555=1,"Gebinde geschätzt ("&amp;T555&amp;"); ",IF(BT555=1,"Lose – Tablare geschätzt; ","")))&amp;IF(H555&gt;AR555,"Überbestand "&amp;ROUND(H555-AR555,0)&amp;" Stk / CHF "&amp;ROUND((H555-AR555)*G555,0)&amp;"; ","")&amp;IF(AND(CA555=1,CB555&lt;CC555),"MAX &lt; MB+LG; ","")&amp;IF(AND(CG555&gt;0,CF555*10&gt;CG555),"zu hoch für Tablar; ","")&amp;IF(AND(BP555=0,OR(CA555=1,AA555&lt;&gt;"",U555&lt;&gt;"",V555&lt;&gt;"",AB555&lt;&gt;"")),"manuell übersteuert; ","")&amp;IF(AND(BT555=0,R555=0),"Gebinde unbekannt / Stellmass fehlt; ","")&amp;IF(AND(BT555=0,N(V555)&lt;=0,N(Q555)&lt;=0),"Menge pro Gebinde fehlt (Ist = 1 Gebinde); ","")&amp;BO555)</f>
        <v/>
      </c>
      <c r="BH555" s="55"/>
      <c r="BI555" s="55"/>
      <c r="BJ555" s="62"/>
      <c r="BK555" s="57" t="n">
        <v>0</v>
      </c>
      <c r="BL555" s="57" t="n">
        <v>5</v>
      </c>
      <c r="BM555" s="56" t="n">
        <v>15.05</v>
      </c>
      <c r="BN555" s="57" t="n">
        <v>1</v>
      </c>
      <c r="BO555" s="55"/>
      <c r="BP555" s="60" t="n">
        <v>0</v>
      </c>
      <c r="BQ555" s="60" t="n">
        <v>555</v>
      </c>
      <c r="BR555" s="55" t="str">
        <f aca="false">IF(U555&lt;&gt;"",UPPER(TRIM(U555)),IF(BU555=1,UPPER(VLOOKUP(T555,Parameter!$I$27:$K$29,2,0)),IF(P555="","LOSE",P555)))</f>
        <v>S22</v>
      </c>
      <c r="BS555" s="57" t="n">
        <f aca="false">IF(BR555="LOSE",1,IF(N(V555)&gt;0,V555,IF(BU555=1,MAX(1,N(VLOOKUP(T555,Parameter!$I$27:$K$29,3,0)),H555,N(N555)),IF(N(Q555)&gt;0,Q555,MAX(1,H555)))))</f>
        <v>6</v>
      </c>
      <c r="BT555" s="60" t="n">
        <f aca="false">IF(BR555="LOSE",1,0)</f>
        <v>0</v>
      </c>
      <c r="BU555" s="60" t="n">
        <f aca="false">IF(AND(U555="",OR(P555="",P555="LOSE"),T555&lt;&gt;"",N(S555)&lt;=0,ISNUMBER(MATCH(T555,Parameter!$I$27:$I$29,0))),1,0)</f>
        <v>0</v>
      </c>
      <c r="BV555" s="55" t="str">
        <f aca="false">IF(AND(Parameter!$B$19="Ja",E555&lt;&gt;"",ISNUMBER(MATCH(E555,Parameter!$I$35:$I$52,0))),VLOOKUP(E555,Parameter!$I$35:$J$52,2,0),IFERROR(VLOOKUP(D555,Parameter!$A$35:$C$64,2,0),"Nein"))</f>
        <v>2+3</v>
      </c>
      <c r="BW555" s="59" t="n">
        <f aca="false">IF(BT555=0,0,IF(N(S555)&gt;0,S555,IFERROR(VLOOKUP(D555,Parameter!$A$35:$C$64,3,0)+0,0)))</f>
        <v>0</v>
      </c>
      <c r="BX555" s="55" t="n">
        <f aca="false">IF(AA555&lt;&gt;"",AA555,Z555)</f>
        <v>3</v>
      </c>
      <c r="BY555" s="55" t="str">
        <f aca="false">IF(BX555=1,"L1",IF(OR(BX555=2,BX555=3),"L23",IF(BX555="Aussen","Aussen","-")))</f>
        <v>L23</v>
      </c>
      <c r="BZ555" s="66" t="n">
        <f aca="false">IF(N(AB555)&gt;0,AB555,0)</f>
        <v>0</v>
      </c>
      <c r="CA555" s="60" t="n">
        <f aca="false">IF(ISNUMBER(AE555),1,0)</f>
        <v>0</v>
      </c>
      <c r="CB555" s="57" t="n">
        <f aca="false">N(AE555)</f>
        <v>0</v>
      </c>
      <c r="CC555" s="57" t="n">
        <f aca="false">N(M555)+N(N555)</f>
        <v>1</v>
      </c>
      <c r="CD555" s="57" t="n">
        <f aca="false">ROUNDUP(H555/BS555,0)</f>
        <v>1</v>
      </c>
      <c r="CE555" s="57" t="n">
        <f aca="false">ROUNDUP(CB555/BS555,0)</f>
        <v>0</v>
      </c>
      <c r="CF555" s="60" t="n">
        <f aca="false">IF(BT555=1,0,IFERROR(VLOOKUP(BR555,'Gebinde-Kategorie'!$A$5:$M$45,5,0)+0,0))</f>
        <v>8</v>
      </c>
      <c r="CG555" s="60" t="n">
        <f aca="false">IFERROR(IF(OR(BX555=1,BX555=2,BX555=3),N(INDEX(Parameter!$I$5:$I$7,BX555)),0),0)</f>
        <v>0</v>
      </c>
      <c r="CH555" s="59" t="n">
        <f aca="false">IF(AND(Parameter!$B$21="Ja",ISNUMBER(W555),N(X555)&gt;0),IFERROR(N(INDEX(Parameter!$L$5:$L$7,W555))*INDEX(Parameter!$E$5:$E$7,W555)*X555/SUMIFS($X$7:$X$1843,$W$7:$W$1843,W555),0),0)</f>
        <v>0</v>
      </c>
    </row>
    <row r="556" customFormat="false" ht="15" hidden="false" customHeight="false" outlineLevel="0" collapsed="false">
      <c r="A556" s="55" t="s">
        <v>1182</v>
      </c>
      <c r="B556" s="55" t="s">
        <v>1183</v>
      </c>
      <c r="C556" s="55" t="s">
        <v>164</v>
      </c>
      <c r="D556" s="55" t="s">
        <v>184</v>
      </c>
      <c r="E556" s="55"/>
      <c r="F556" s="55" t="s">
        <v>218</v>
      </c>
      <c r="G556" s="56" t="n">
        <v>1.06</v>
      </c>
      <c r="H556" s="57" t="n">
        <f aca="false">MAX(0,IF(AND(Parameter!$B$21="Ja",ISNUMBER(Y556)),Y556,IF(Parameter!$B$20="Jahresanfang 2025 + Export",BL556+BK556,BK556)))</f>
        <v>14</v>
      </c>
      <c r="I556" s="57" t="n">
        <f aca="false">H556*G556</f>
        <v>14.84</v>
      </c>
      <c r="J556" s="57" t="n">
        <f aca="false">BN556*Parameter!$B$18</f>
        <v>0</v>
      </c>
      <c r="K556" s="58" t="n">
        <v>10</v>
      </c>
      <c r="L556" s="59" t="n">
        <v>0</v>
      </c>
      <c r="M556" s="57" t="n">
        <v>0</v>
      </c>
      <c r="N556" s="57" t="n">
        <v>1</v>
      </c>
      <c r="O556" s="60" t="n">
        <v>31</v>
      </c>
      <c r="P556" s="55" t="s">
        <v>401</v>
      </c>
      <c r="Q556" s="57" t="n">
        <v>20</v>
      </c>
      <c r="R556" s="60" t="n">
        <f aca="false">IF(BT556=1,0,IFERROR(VLOOKUP(BR556,'Gebinde-Kategorie'!$A$5:$M$45,13,0)+0,0))</f>
        <v>414</v>
      </c>
      <c r="S556" s="61"/>
      <c r="T556" s="62"/>
      <c r="U556" s="62"/>
      <c r="V556" s="62"/>
      <c r="W556" s="55"/>
      <c r="X556" s="57"/>
      <c r="Y556" s="57"/>
      <c r="Z556" s="55" t="n">
        <f aca="false">IF(A556="","",IF(AND(Parameter!$B$21="Ja",ISNUMBER(W556)),W556,IF(BV556="2+3",IF(ISNUMBER(SEARCH("grosser Artikel",BO556)),2,IFERROR(VLOOKUP(BR556,Parameter!$F$35:$G$64,2,0),2)),IF(OR(BV556="Nein",BV556=""),"-",BV556))))</f>
        <v>3</v>
      </c>
      <c r="AA556" s="62"/>
      <c r="AB556" s="63"/>
      <c r="AC556" s="57" t="n">
        <f aca="false">AR556</f>
        <v>20</v>
      </c>
      <c r="AD556" s="57" t="n">
        <f aca="false">MAX(AR556,H556)</f>
        <v>20</v>
      </c>
      <c r="AE556" s="64"/>
      <c r="AF556" s="57" t="n">
        <f aca="false">IF(LEFT(Cockpit!$C$5,1)="A",H556,IF(CA556=1,CB556,IF(LEFT(Cockpit!$C$5,1)="B",AJ556,MAX(AJ556,H556))))</f>
        <v>14</v>
      </c>
      <c r="AG556" s="57" t="n">
        <f aca="false">IF(BT556=1,0,ROUNDUP(AF556/BS556,0))</f>
        <v>1</v>
      </c>
      <c r="AH556" s="59" t="n">
        <f aca="false">IF(CH556&gt;0,CH556*MAX(1,AF556/X556),IF(BT556=1,IF(AF556&lt;=0,0,BW556*MAX(1,IF(H556&gt;0,AF556/H556,1))),IF(R556&gt;0,AG556/R556,0))/MAX(0.1,N(Parameter!$M$21)))</f>
        <v>0.00241545893719807</v>
      </c>
      <c r="AI556" s="57" t="n">
        <f aca="false">AF556*G556</f>
        <v>14.84</v>
      </c>
      <c r="AJ556" s="57" t="n">
        <f aca="false">ROUNDUP(MAX(J556/IF(BZ556&gt;0,BZ556,MAX(0.1,N(Cockpit!$C$6))),CC556)/BS556,0)*BS556</f>
        <v>20</v>
      </c>
      <c r="AK556" s="58" t="n">
        <f aca="false">IF(AH556&gt;0,J556/AH556,-1)</f>
        <v>0</v>
      </c>
      <c r="AL556" s="58" t="n">
        <f aca="false">IF(AND(OR(BY556="L1",BY556="L23"),AH556&gt;0),SUMIFS($AH$7:$AH$1843,$BY$7:$BY$1843,BY556,$AK$7:$AK$1843,"&gt;"&amp;AK556)+SUMIFS($AH$7:$AH$1843,$BY$7:$BY$1843,BY556,$AK$7:$AK$1843,AK556,$BQ$7:$BQ$1843,"&lt;="&amp;BQ556),"")</f>
        <v>75.43197864937</v>
      </c>
      <c r="AM556" s="65" t="n">
        <f aca="false">IF(AL556="",0,MAX(0,MIN(1,(IF(BY556="L1",Parameter!$E$5,Parameter!$E$6+Parameter!$E$7)-(AL556-AH556))/AH556)))</f>
        <v>1</v>
      </c>
      <c r="AN556" s="57" t="n">
        <f aca="false">IF(LEFT(Cockpit!$I$5,1)="A",H556,IF(CA556=1,CB556,IF(LEFT(Cockpit!$I$5,1)="B",AR556,MAX(AR556,H556))))</f>
        <v>20</v>
      </c>
      <c r="AO556" s="57" t="n">
        <f aca="false">IF(BT556=1,0,ROUNDUP(AN556/BS556,0))</f>
        <v>1</v>
      </c>
      <c r="AP556" s="59" t="n">
        <f aca="false">IF(CH556&gt;0,CH556*MAX(1,AN556/X556),IF(BT556=1,IF(AN556&lt;=0,0,BW556*MAX(1,IF(H556&gt;0,AN556/H556,1))),IF(R556&gt;0,AO556/R556,0))/MAX(0.1,N(Parameter!$M$21)))</f>
        <v>0.00241545893719807</v>
      </c>
      <c r="AQ556" s="57" t="n">
        <f aca="false">AN556*G556</f>
        <v>21.2</v>
      </c>
      <c r="AR556" s="57" t="n">
        <f aca="false">ROUNDUP(MAX(J556/IF(BZ556&gt;0,BZ556,MAX(0.1,N(Cockpit!$I$6))),CC556)/BS556,0)*BS556</f>
        <v>20</v>
      </c>
      <c r="AS556" s="58" t="n">
        <f aca="false">IF(AP556&gt;0,J556/AP556,-1)</f>
        <v>0</v>
      </c>
      <c r="AT556" s="58" t="n">
        <f aca="false">IF(AND(OR(BY556="L1",BY556="L23"),AP556&gt;0),SUMIFS($AP$7:$AP$1843,$BY$7:$BY$1843,BY556,$AS$7:$AS$1843,"&gt;"&amp;AS556)+SUMIFS($AP$7:$AP$1843,$BY$7:$BY$1843,BY556,$AS$7:$AS$1843,AS556,$BQ$7:$BQ$1843,"&lt;="&amp;BQ556),"")</f>
        <v>114.856102834364</v>
      </c>
      <c r="AU556" s="65" t="n">
        <f aca="false">IF(AT556="",0,MAX(0,MIN(1,(IF(BY556="L1",Parameter!$E$5,Parameter!$E$6+Parameter!$E$7)-(AT556-AP556))/AP556)))</f>
        <v>0</v>
      </c>
      <c r="AV556" s="57" t="n">
        <f aca="false">IF(LEFT(Cockpit!$O$5,1)="A",H556,IF(CA556=1,CB556,IF(LEFT(Cockpit!$O$5,1)="B",AZ556,MAX(AZ556,H556))))</f>
        <v>20</v>
      </c>
      <c r="AW556" s="57" t="n">
        <f aca="false">IF(BT556=1,0,ROUNDUP(AV556/BS556,0))</f>
        <v>1</v>
      </c>
      <c r="AX556" s="59" t="n">
        <f aca="false">IF(CH556&gt;0,CH556*MAX(1,AV556/X556),IF(BT556=1,IF(AV556&lt;=0,0,BW556*MAX(1,IF(H556&gt;0,AV556/H556,1))),IF(R556&gt;0,AW556/R556,0))/MAX(0.1,N(Parameter!$M$21)))</f>
        <v>0.00241545893719807</v>
      </c>
      <c r="AY556" s="57" t="n">
        <f aca="false">AV556*G556</f>
        <v>21.2</v>
      </c>
      <c r="AZ556" s="57" t="n">
        <f aca="false">ROUNDUP(MAX(J556/IF(BZ556&gt;0,BZ556,MAX(0.1,N(Cockpit!$O$6))),CC556)/BS556,0)*BS556</f>
        <v>20</v>
      </c>
      <c r="BA556" s="58" t="n">
        <f aca="false">IF(AX556&gt;0,J556/AX556,-1)</f>
        <v>0</v>
      </c>
      <c r="BB556" s="58" t="n">
        <f aca="false">IF(AND(OR(BY556="L1",BY556="L23"),AX556&gt;0),SUMIFS($AX$7:$AX$1843,$BY$7:$BY$1843,BY556,$BA$7:$BA$1843,"&gt;"&amp;BA556)+SUMIFS($AX$7:$AX$1843,$BY$7:$BY$1843,BY556,$BA$7:$BA$1843,BA556,$BQ$7:$BQ$1843,"&lt;="&amp;BQ556),"")</f>
        <v>105.685939664201</v>
      </c>
      <c r="BC556" s="65" t="n">
        <f aca="false">IF(BB556="",0,MAX(0,MIN(1,(IF(BY556="L1",Parameter!$E$5,Parameter!$E$6+Parameter!$E$7)-(BB556-AX556))/AX556)))</f>
        <v>0</v>
      </c>
      <c r="BD556" s="55" t="str">
        <f aca="false">IF(AH556&lt;=0,"",IF(BY556="Aussen","Aussenlager",IF(BY556="-","Nicht im Lift",IF(AM556&gt;=1,"Lift",IF(AM556&lt;=0,"Aussenlager","teilweise")))))</f>
        <v>Lift</v>
      </c>
      <c r="BE556" s="55" t="str">
        <f aca="false">IF(AP556&lt;=0,"",IF(BY556="Aussen","Aussenlager",IF(BY556="-","Nicht im Lift",IF(AU556&gt;=1,"Lift",IF(AU556&lt;=0,"Aussenlager","teilweise")))))</f>
        <v>Aussenlager</v>
      </c>
      <c r="BF556" s="55" t="str">
        <f aca="false">IF(AX556&lt;=0,"",IF(BY556="Aussen","Aussenlager",IF(BY556="-","Nicht im Lift",IF(BC556&gt;=1,"Lift",IF(BC556&lt;=0,"Aussenlager","teilweise")))))</f>
        <v>Aussenlager</v>
      </c>
      <c r="BG556" s="55" t="str">
        <f aca="false">IF(A556="","",IF(BP556=1,"Neu; ","")&amp;IF(AND(BP556=0,BK556&lt;0),"negativer Bestand (Export "&amp;BK556&amp;"); ","")&amp;IF(J556&lt;=0,"Kein Verbrauch; ","")&amp;IF(CH556&gt;0,"Lift "&amp;W556&amp;" lt. Liftbericht (Fach "&amp;X556&amp;" Stk); ",IF(BU556=1,"Gebinde geschätzt ("&amp;T556&amp;"); ",IF(BT556=1,"Lose – Tablare geschätzt; ","")))&amp;IF(H556&gt;AR556,"Überbestand "&amp;ROUND(H556-AR556,0)&amp;" Stk / CHF "&amp;ROUND((H556-AR556)*G556,0)&amp;"; ","")&amp;IF(AND(CA556=1,CB556&lt;CC556),"MAX &lt; MB+LG; ","")&amp;IF(AND(CG556&gt;0,CF556*10&gt;CG556),"zu hoch für Tablar; ","")&amp;IF(AND(BP556=0,OR(CA556=1,AA556&lt;&gt;"",U556&lt;&gt;"",V556&lt;&gt;"",AB556&lt;&gt;"")),"manuell übersteuert; ","")&amp;IF(AND(BT556=0,R556=0),"Gebinde unbekannt / Stellmass fehlt; ","")&amp;IF(AND(BT556=0,N(V556)&lt;=0,N(Q556)&lt;=0),"Menge pro Gebinde fehlt (Ist = 1 Gebinde); ","")&amp;BO556)</f>
        <v>Kein Verbrauch; </v>
      </c>
      <c r="BH556" s="55"/>
      <c r="BI556" s="55"/>
      <c r="BJ556" s="62"/>
      <c r="BK556" s="57" t="n">
        <v>14</v>
      </c>
      <c r="BL556" s="57" t="n">
        <v>0</v>
      </c>
      <c r="BM556" s="56" t="n">
        <v>14.84</v>
      </c>
      <c r="BN556" s="57" t="n">
        <v>0</v>
      </c>
      <c r="BO556" s="55"/>
      <c r="BP556" s="60" t="n">
        <v>0</v>
      </c>
      <c r="BQ556" s="60" t="n">
        <v>556</v>
      </c>
      <c r="BR556" s="55" t="str">
        <f aca="false">IF(U556&lt;&gt;"",UPPER(TRIM(U556)),IF(BU556=1,UPPER(VLOOKUP(T556,Parameter!$I$27:$K$29,2,0)),IF(P556="","LOSE",P556)))</f>
        <v>S21</v>
      </c>
      <c r="BS556" s="57" t="n">
        <f aca="false">IF(BR556="LOSE",1,IF(N(V556)&gt;0,V556,IF(BU556=1,MAX(1,N(VLOOKUP(T556,Parameter!$I$27:$K$29,3,0)),H556,N(N556)),IF(N(Q556)&gt;0,Q556,MAX(1,H556)))))</f>
        <v>20</v>
      </c>
      <c r="BT556" s="60" t="n">
        <f aca="false">IF(BR556="LOSE",1,0)</f>
        <v>0</v>
      </c>
      <c r="BU556" s="60" t="n">
        <f aca="false">IF(AND(U556="",OR(P556="",P556="LOSE"),T556&lt;&gt;"",N(S556)&lt;=0,ISNUMBER(MATCH(T556,Parameter!$I$27:$I$29,0))),1,0)</f>
        <v>0</v>
      </c>
      <c r="BV556" s="55" t="str">
        <f aca="false">IF(AND(Parameter!$B$19="Ja",E556&lt;&gt;"",ISNUMBER(MATCH(E556,Parameter!$I$35:$I$52,0))),VLOOKUP(E556,Parameter!$I$35:$J$52,2,0),IFERROR(VLOOKUP(D556,Parameter!$A$35:$C$64,2,0),"Nein"))</f>
        <v>2+3</v>
      </c>
      <c r="BW556" s="59" t="n">
        <f aca="false">IF(BT556=0,0,IF(N(S556)&gt;0,S556,IFERROR(VLOOKUP(D556,Parameter!$A$35:$C$64,3,0)+0,0)))</f>
        <v>0</v>
      </c>
      <c r="BX556" s="55" t="n">
        <f aca="false">IF(AA556&lt;&gt;"",AA556,Z556)</f>
        <v>3</v>
      </c>
      <c r="BY556" s="55" t="str">
        <f aca="false">IF(BX556=1,"L1",IF(OR(BX556=2,BX556=3),"L23",IF(BX556="Aussen","Aussen","-")))</f>
        <v>L23</v>
      </c>
      <c r="BZ556" s="66" t="n">
        <f aca="false">IF(N(AB556)&gt;0,AB556,0)</f>
        <v>0</v>
      </c>
      <c r="CA556" s="60" t="n">
        <f aca="false">IF(ISNUMBER(AE556),1,0)</f>
        <v>0</v>
      </c>
      <c r="CB556" s="57" t="n">
        <f aca="false">N(AE556)</f>
        <v>0</v>
      </c>
      <c r="CC556" s="57" t="n">
        <f aca="false">N(M556)+N(N556)</f>
        <v>1</v>
      </c>
      <c r="CD556" s="57" t="n">
        <f aca="false">ROUNDUP(H556/BS556,0)</f>
        <v>1</v>
      </c>
      <c r="CE556" s="57" t="n">
        <f aca="false">ROUNDUP(CB556/BS556,0)</f>
        <v>0</v>
      </c>
      <c r="CF556" s="60" t="n">
        <f aca="false">IF(BT556=1,0,IFERROR(VLOOKUP(BR556,'Gebinde-Kategorie'!$A$5:$M$45,5,0)+0,0))</f>
        <v>8</v>
      </c>
      <c r="CG556" s="60" t="n">
        <f aca="false">IFERROR(IF(OR(BX556=1,BX556=2,BX556=3),N(INDEX(Parameter!$I$5:$I$7,BX556)),0),0)</f>
        <v>0</v>
      </c>
      <c r="CH556" s="59" t="n">
        <f aca="false">IF(AND(Parameter!$B$21="Ja",ISNUMBER(W556),N(X556)&gt;0),IFERROR(N(INDEX(Parameter!$L$5:$L$7,W556))*INDEX(Parameter!$E$5:$E$7,W556)*X556/SUMIFS($X$7:$X$1843,$W$7:$W$1843,W556),0),0)</f>
        <v>0</v>
      </c>
    </row>
    <row r="557" customFormat="false" ht="15" hidden="false" customHeight="false" outlineLevel="0" collapsed="false">
      <c r="A557" s="55" t="s">
        <v>1184</v>
      </c>
      <c r="B557" s="55" t="s">
        <v>1185</v>
      </c>
      <c r="C557" s="55" t="s">
        <v>164</v>
      </c>
      <c r="D557" s="55" t="s">
        <v>173</v>
      </c>
      <c r="E557" s="55" t="s">
        <v>185</v>
      </c>
      <c r="F557" s="55" t="s">
        <v>218</v>
      </c>
      <c r="G557" s="56" t="n">
        <v>4.33</v>
      </c>
      <c r="H557" s="57" t="n">
        <f aca="false">MAX(0,IF(AND(Parameter!$B$21="Ja",ISNUMBER(Y557)),Y557,IF(Parameter!$B$20="Jahresanfang 2025 + Export",BL557+BK557,BK557)))</f>
        <v>32</v>
      </c>
      <c r="I557" s="57" t="n">
        <f aca="false">H557*G557</f>
        <v>138.56</v>
      </c>
      <c r="J557" s="57" t="n">
        <f aca="false">BN557*Parameter!$B$18</f>
        <v>24</v>
      </c>
      <c r="K557" s="58" t="n">
        <v>43.5</v>
      </c>
      <c r="L557" s="59" t="n">
        <v>0.551724137931035</v>
      </c>
      <c r="M557" s="57" t="n">
        <v>3</v>
      </c>
      <c r="N557" s="57" t="n">
        <v>25</v>
      </c>
      <c r="O557" s="60" t="n">
        <v>49</v>
      </c>
      <c r="P557" s="55" t="s">
        <v>174</v>
      </c>
      <c r="Q557" s="57" t="n">
        <v>48</v>
      </c>
      <c r="R557" s="60" t="n">
        <f aca="false">IF(BT557=1,0,IFERROR(VLOOKUP(BR557,'Gebinde-Kategorie'!$A$5:$M$45,13,0)+0,0))</f>
        <v>6</v>
      </c>
      <c r="S557" s="61"/>
      <c r="T557" s="62"/>
      <c r="U557" s="62"/>
      <c r="V557" s="62"/>
      <c r="W557" s="55"/>
      <c r="X557" s="57"/>
      <c r="Y557" s="57"/>
      <c r="Z557" s="55" t="n">
        <f aca="false">IF(A557="","",IF(AND(Parameter!$B$21="Ja",ISNUMBER(W557)),W557,IF(BV557="2+3",IF(ISNUMBER(SEARCH("grosser Artikel",BO557)),2,IFERROR(VLOOKUP(BR557,Parameter!$F$35:$G$64,2,0),2)),IF(OR(BV557="Nein",BV557=""),"-",BV557))))</f>
        <v>2</v>
      </c>
      <c r="AA557" s="62"/>
      <c r="AB557" s="63"/>
      <c r="AC557" s="57" t="n">
        <f aca="false">AR557</f>
        <v>48</v>
      </c>
      <c r="AD557" s="57" t="n">
        <f aca="false">MAX(AR557,H557)</f>
        <v>48</v>
      </c>
      <c r="AE557" s="64"/>
      <c r="AF557" s="57" t="n">
        <f aca="false">IF(LEFT(Cockpit!$C$5,1)="A",H557,IF(CA557=1,CB557,IF(LEFT(Cockpit!$C$5,1)="B",AJ557,MAX(AJ557,H557))))</f>
        <v>32</v>
      </c>
      <c r="AG557" s="57" t="n">
        <f aca="false">IF(BT557=1,0,ROUNDUP(AF557/BS557,0))</f>
        <v>1</v>
      </c>
      <c r="AH557" s="59" t="n">
        <f aca="false">IF(CH557&gt;0,CH557*MAX(1,AF557/X557),IF(BT557=1,IF(AF557&lt;=0,0,BW557*MAX(1,IF(H557&gt;0,AF557/H557,1))),IF(R557&gt;0,AG557/R557,0))/MAX(0.1,N(Parameter!$M$21)))</f>
        <v>0.166666666666667</v>
      </c>
      <c r="AI557" s="57" t="n">
        <f aca="false">AF557*G557</f>
        <v>138.56</v>
      </c>
      <c r="AJ557" s="57" t="n">
        <f aca="false">ROUNDUP(MAX(J557/IF(BZ557&gt;0,BZ557,MAX(0.1,N(Cockpit!$C$6))),CC557)/BS557,0)*BS557</f>
        <v>48</v>
      </c>
      <c r="AK557" s="58" t="n">
        <f aca="false">IF(AH557&gt;0,J557/AH557,-1)</f>
        <v>144</v>
      </c>
      <c r="AL557" s="58" t="n">
        <f aca="false">IF(AND(OR(BY557="L1",BY557="L23"),AH557&gt;0),SUMIFS($AH$7:$AH$1843,$BY$7:$BY$1843,BY557,$AK$7:$AK$1843,"&gt;"&amp;AK557)+SUMIFS($AH$7:$AH$1843,$BY$7:$BY$1843,BY557,$AK$7:$AK$1843,AK557,$BQ$7:$BQ$1843,"&lt;="&amp;BQ557),"")</f>
        <v>35.072641126989</v>
      </c>
      <c r="AM557" s="65" t="n">
        <f aca="false">IF(AL557="",0,MAX(0,MIN(1,(IF(BY557="L1",Parameter!$E$5,Parameter!$E$6+Parameter!$E$7)-(AL557-AH557))/AH557)))</f>
        <v>1</v>
      </c>
      <c r="AN557" s="57" t="n">
        <f aca="false">IF(LEFT(Cockpit!$I$5,1)="A",H557,IF(CA557=1,CB557,IF(LEFT(Cockpit!$I$5,1)="B",AR557,MAX(AR557,H557))))</f>
        <v>48</v>
      </c>
      <c r="AO557" s="57" t="n">
        <f aca="false">IF(BT557=1,0,ROUNDUP(AN557/BS557,0))</f>
        <v>1</v>
      </c>
      <c r="AP557" s="59" t="n">
        <f aca="false">IF(CH557&gt;0,CH557*MAX(1,AN557/X557),IF(BT557=1,IF(AN557&lt;=0,0,BW557*MAX(1,IF(H557&gt;0,AN557/H557,1))),IF(R557&gt;0,AO557/R557,0))/MAX(0.1,N(Parameter!$M$21)))</f>
        <v>0.166666666666667</v>
      </c>
      <c r="AQ557" s="57" t="n">
        <f aca="false">AN557*G557</f>
        <v>207.84</v>
      </c>
      <c r="AR557" s="57" t="n">
        <f aca="false">ROUNDUP(MAX(J557/IF(BZ557&gt;0,BZ557,MAX(0.1,N(Cockpit!$I$6))),CC557)/BS557,0)*BS557</f>
        <v>48</v>
      </c>
      <c r="AS557" s="58" t="n">
        <f aca="false">IF(AP557&gt;0,J557/AP557,-1)</f>
        <v>144</v>
      </c>
      <c r="AT557" s="58" t="n">
        <f aca="false">IF(AND(OR(BY557="L1",BY557="L23"),AP557&gt;0),SUMIFS($AP$7:$AP$1843,$BY$7:$BY$1843,BY557,$AS$7:$AS$1843,"&gt;"&amp;AS557)+SUMIFS($AP$7:$AP$1843,$BY$7:$BY$1843,BY557,$AS$7:$AS$1843,AS557,$BQ$7:$BQ$1843,"&lt;="&amp;BQ557),"")</f>
        <v>49.4717070369244</v>
      </c>
      <c r="AU557" s="65" t="n">
        <f aca="false">IF(AT557="",0,MAX(0,MIN(1,(IF(BY557="L1",Parameter!$E$5,Parameter!$E$6+Parameter!$E$7)-(AT557-AP557))/AP557)))</f>
        <v>1</v>
      </c>
      <c r="AV557" s="57" t="n">
        <f aca="false">IF(LEFT(Cockpit!$O$5,1)="A",H557,IF(CA557=1,CB557,IF(LEFT(Cockpit!$O$5,1)="B",AZ557,MAX(AZ557,H557))))</f>
        <v>48</v>
      </c>
      <c r="AW557" s="57" t="n">
        <f aca="false">IF(BT557=1,0,ROUNDUP(AV557/BS557,0))</f>
        <v>1</v>
      </c>
      <c r="AX557" s="59" t="n">
        <f aca="false">IF(CH557&gt;0,CH557*MAX(1,AV557/X557),IF(BT557=1,IF(AV557&lt;=0,0,BW557*MAX(1,IF(H557&gt;0,AV557/H557,1))),IF(R557&gt;0,AW557/R557,0))/MAX(0.1,N(Parameter!$M$21)))</f>
        <v>0.166666666666667</v>
      </c>
      <c r="AY557" s="57" t="n">
        <f aca="false">AV557*G557</f>
        <v>207.84</v>
      </c>
      <c r="AZ557" s="57" t="n">
        <f aca="false">ROUNDUP(MAX(J557/IF(BZ557&gt;0,BZ557,MAX(0.1,N(Cockpit!$O$6))),CC557)/BS557,0)*BS557</f>
        <v>48</v>
      </c>
      <c r="BA557" s="58" t="n">
        <f aca="false">IF(AX557&gt;0,J557/AX557,-1)</f>
        <v>144</v>
      </c>
      <c r="BB557" s="58" t="n">
        <f aca="false">IF(AND(OR(BY557="L1",BY557="L23"),AX557&gt;0),SUMIFS($AX$7:$AX$1843,$BY$7:$BY$1843,BY557,$BA$7:$BA$1843,"&gt;"&amp;BA557)+SUMIFS($AX$7:$AX$1843,$BY$7:$BY$1843,BY557,$BA$7:$BA$1843,BA557,$BQ$7:$BQ$1843,"&lt;="&amp;BQ557),"")</f>
        <v>45.0515438667613</v>
      </c>
      <c r="BC557" s="65" t="n">
        <f aca="false">IF(BB557="",0,MAX(0,MIN(1,(IF(BY557="L1",Parameter!$E$5,Parameter!$E$6+Parameter!$E$7)-(BB557-AX557))/AX557)))</f>
        <v>1</v>
      </c>
      <c r="BD557" s="55" t="str">
        <f aca="false">IF(AH557&lt;=0,"",IF(BY557="Aussen","Aussenlager",IF(BY557="-","Nicht im Lift",IF(AM557&gt;=1,"Lift",IF(AM557&lt;=0,"Aussenlager","teilweise")))))</f>
        <v>Lift</v>
      </c>
      <c r="BE557" s="55" t="str">
        <f aca="false">IF(AP557&lt;=0,"",IF(BY557="Aussen","Aussenlager",IF(BY557="-","Nicht im Lift",IF(AU557&gt;=1,"Lift",IF(AU557&lt;=0,"Aussenlager","teilweise")))))</f>
        <v>Lift</v>
      </c>
      <c r="BF557" s="55" t="str">
        <f aca="false">IF(AX557&lt;=0,"",IF(BY557="Aussen","Aussenlager",IF(BY557="-","Nicht im Lift",IF(BC557&gt;=1,"Lift",IF(BC557&lt;=0,"Aussenlager","teilweise")))))</f>
        <v>Lift</v>
      </c>
      <c r="BG557" s="55" t="str">
        <f aca="false">IF(A557="","",IF(BP557=1,"Neu; ","")&amp;IF(AND(BP557=0,BK557&lt;0),"negativer Bestand (Export "&amp;BK557&amp;"); ","")&amp;IF(J557&lt;=0,"Kein Verbrauch; ","")&amp;IF(CH557&gt;0,"Lift "&amp;W557&amp;" lt. Liftbericht (Fach "&amp;X557&amp;" Stk); ",IF(BU557=1,"Gebinde geschätzt ("&amp;T557&amp;"); ",IF(BT557=1,"Lose – Tablare geschätzt; ","")))&amp;IF(H557&gt;AR557,"Überbestand "&amp;ROUND(H557-AR557,0)&amp;" Stk / CHF "&amp;ROUND((H557-AR557)*G557,0)&amp;"; ","")&amp;IF(AND(CA557=1,CB557&lt;CC557),"MAX &lt; MB+LG; ","")&amp;IF(AND(CG557&gt;0,CF557*10&gt;CG557),"zu hoch für Tablar; ","")&amp;IF(AND(BP557=0,OR(CA557=1,AA557&lt;&gt;"",U557&lt;&gt;"",V557&lt;&gt;"",AB557&lt;&gt;"")),"manuell übersteuert; ","")&amp;IF(AND(BT557=0,R557=0),"Gebinde unbekannt / Stellmass fehlt; ","")&amp;IF(AND(BT557=0,N(V557)&lt;=0,N(Q557)&lt;=0),"Menge pro Gebinde fehlt (Ist = 1 Gebinde); ","")&amp;BO557)</f>
        <v/>
      </c>
      <c r="BH557" s="55"/>
      <c r="BI557" s="55"/>
      <c r="BJ557" s="62"/>
      <c r="BK557" s="57" t="n">
        <v>3</v>
      </c>
      <c r="BL557" s="57" t="n">
        <v>29</v>
      </c>
      <c r="BM557" s="56" t="n">
        <v>14.7300000000001</v>
      </c>
      <c r="BN557" s="57" t="n">
        <v>24</v>
      </c>
      <c r="BO557" s="55"/>
      <c r="BP557" s="60" t="n">
        <v>0</v>
      </c>
      <c r="BQ557" s="60" t="n">
        <v>557</v>
      </c>
      <c r="BR557" s="55" t="str">
        <f aca="false">IF(U557&lt;&gt;"",UPPER(TRIM(U557)),IF(BU557=1,UPPER(VLOOKUP(T557,Parameter!$I$27:$K$29,2,0)),IF(P557="","LOSE",P557)))</f>
        <v>S71</v>
      </c>
      <c r="BS557" s="57" t="n">
        <f aca="false">IF(BR557="LOSE",1,IF(N(V557)&gt;0,V557,IF(BU557=1,MAX(1,N(VLOOKUP(T557,Parameter!$I$27:$K$29,3,0)),H557,N(N557)),IF(N(Q557)&gt;0,Q557,MAX(1,H557)))))</f>
        <v>48</v>
      </c>
      <c r="BT557" s="60" t="n">
        <f aca="false">IF(BR557="LOSE",1,0)</f>
        <v>0</v>
      </c>
      <c r="BU557" s="60" t="n">
        <f aca="false">IF(AND(U557="",OR(P557="",P557="LOSE"),T557&lt;&gt;"",N(S557)&lt;=0,ISNUMBER(MATCH(T557,Parameter!$I$27:$I$29,0))),1,0)</f>
        <v>0</v>
      </c>
      <c r="BV557" s="55" t="str">
        <f aca="false">IF(AND(Parameter!$B$19="Ja",E557&lt;&gt;"",ISNUMBER(MATCH(E557,Parameter!$I$35:$I$52,0))),VLOOKUP(E557,Parameter!$I$35:$J$52,2,0),IFERROR(VLOOKUP(D557,Parameter!$A$35:$C$64,2,0),"Nein"))</f>
        <v>2+3</v>
      </c>
      <c r="BW557" s="59" t="n">
        <f aca="false">IF(BT557=0,0,IF(N(S557)&gt;0,S557,IFERROR(VLOOKUP(D557,Parameter!$A$35:$C$64,3,0)+0,0)))</f>
        <v>0</v>
      </c>
      <c r="BX557" s="55" t="n">
        <f aca="false">IF(AA557&lt;&gt;"",AA557,Z557)</f>
        <v>2</v>
      </c>
      <c r="BY557" s="55" t="str">
        <f aca="false">IF(BX557=1,"L1",IF(OR(BX557=2,BX557=3),"L23",IF(BX557="Aussen","Aussen","-")))</f>
        <v>L23</v>
      </c>
      <c r="BZ557" s="66" t="n">
        <f aca="false">IF(N(AB557)&gt;0,AB557,0)</f>
        <v>0</v>
      </c>
      <c r="CA557" s="60" t="n">
        <f aca="false">IF(ISNUMBER(AE557),1,0)</f>
        <v>0</v>
      </c>
      <c r="CB557" s="57" t="n">
        <f aca="false">N(AE557)</f>
        <v>0</v>
      </c>
      <c r="CC557" s="57" t="n">
        <f aca="false">N(M557)+N(N557)</f>
        <v>28</v>
      </c>
      <c r="CD557" s="57" t="n">
        <f aca="false">ROUNDUP(H557/BS557,0)</f>
        <v>1</v>
      </c>
      <c r="CE557" s="57" t="n">
        <f aca="false">ROUNDUP(CB557/BS557,0)</f>
        <v>0</v>
      </c>
      <c r="CF557" s="60" t="n">
        <f aca="false">IF(BT557=1,0,IFERROR(VLOOKUP(BR557,'Gebinde-Kategorie'!$A$5:$M$45,5,0)+0,0))</f>
        <v>20</v>
      </c>
      <c r="CG557" s="60" t="n">
        <f aca="false">IFERROR(IF(OR(BX557=1,BX557=2,BX557=3),N(INDEX(Parameter!$I$5:$I$7,BX557)),0),0)</f>
        <v>0</v>
      </c>
      <c r="CH557" s="59" t="n">
        <f aca="false">IF(AND(Parameter!$B$21="Ja",ISNUMBER(W557),N(X557)&gt;0),IFERROR(N(INDEX(Parameter!$L$5:$L$7,W557))*INDEX(Parameter!$E$5:$E$7,W557)*X557/SUMIFS($X$7:$X$1843,$W$7:$W$1843,W557),0),0)</f>
        <v>0</v>
      </c>
    </row>
    <row r="558" customFormat="false" ht="15" hidden="false" customHeight="false" outlineLevel="0" collapsed="false">
      <c r="A558" s="55" t="s">
        <v>1186</v>
      </c>
      <c r="B558" s="55" t="s">
        <v>1187</v>
      </c>
      <c r="C558" s="55" t="s">
        <v>164</v>
      </c>
      <c r="D558" s="55" t="s">
        <v>184</v>
      </c>
      <c r="E558" s="55" t="s">
        <v>185</v>
      </c>
      <c r="F558" s="55" t="s">
        <v>218</v>
      </c>
      <c r="G558" s="56" t="n">
        <v>3</v>
      </c>
      <c r="H558" s="57" t="n">
        <f aca="false">MAX(0,IF(AND(Parameter!$B$21="Ja",ISNUMBER(Y558)),Y558,IF(Parameter!$B$20="Jahresanfang 2025 + Export",BL558+BK558,BK558)))</f>
        <v>10</v>
      </c>
      <c r="I558" s="57" t="n">
        <f aca="false">H558*G558</f>
        <v>30</v>
      </c>
      <c r="J558" s="57" t="n">
        <f aca="false">BN558*Parameter!$B$18</f>
        <v>0</v>
      </c>
      <c r="K558" s="58" t="n">
        <v>8.5</v>
      </c>
      <c r="L558" s="59" t="n">
        <v>0</v>
      </c>
      <c r="M558" s="57" t="n">
        <v>0</v>
      </c>
      <c r="N558" s="57" t="n">
        <v>1</v>
      </c>
      <c r="O558" s="60" t="n">
        <v>28</v>
      </c>
      <c r="P558" s="55" t="s">
        <v>401</v>
      </c>
      <c r="Q558" s="57" t="n">
        <v>10</v>
      </c>
      <c r="R558" s="60" t="n">
        <f aca="false">IF(BT558=1,0,IFERROR(VLOOKUP(BR558,'Gebinde-Kategorie'!$A$5:$M$45,13,0)+0,0))</f>
        <v>414</v>
      </c>
      <c r="S558" s="61"/>
      <c r="T558" s="62"/>
      <c r="U558" s="62"/>
      <c r="V558" s="62"/>
      <c r="W558" s="55"/>
      <c r="X558" s="57"/>
      <c r="Y558" s="57"/>
      <c r="Z558" s="55" t="n">
        <f aca="false">IF(A558="","",IF(AND(Parameter!$B$21="Ja",ISNUMBER(W558)),W558,IF(BV558="2+3",IF(ISNUMBER(SEARCH("grosser Artikel",BO558)),2,IFERROR(VLOOKUP(BR558,Parameter!$F$35:$G$64,2,0),2)),IF(OR(BV558="Nein",BV558=""),"-",BV558))))</f>
        <v>3</v>
      </c>
      <c r="AA558" s="62"/>
      <c r="AB558" s="63"/>
      <c r="AC558" s="57" t="n">
        <f aca="false">AR558</f>
        <v>10</v>
      </c>
      <c r="AD558" s="57" t="n">
        <f aca="false">MAX(AR558,H558)</f>
        <v>10</v>
      </c>
      <c r="AE558" s="64"/>
      <c r="AF558" s="57" t="n">
        <f aca="false">IF(LEFT(Cockpit!$C$5,1)="A",H558,IF(CA558=1,CB558,IF(LEFT(Cockpit!$C$5,1)="B",AJ558,MAX(AJ558,H558))))</f>
        <v>10</v>
      </c>
      <c r="AG558" s="57" t="n">
        <f aca="false">IF(BT558=1,0,ROUNDUP(AF558/BS558,0))</f>
        <v>1</v>
      </c>
      <c r="AH558" s="59" t="n">
        <f aca="false">IF(CH558&gt;0,CH558*MAX(1,AF558/X558),IF(BT558=1,IF(AF558&lt;=0,0,BW558*MAX(1,IF(H558&gt;0,AF558/H558,1))),IF(R558&gt;0,AG558/R558,0))/MAX(0.1,N(Parameter!$M$21)))</f>
        <v>0.00241545893719807</v>
      </c>
      <c r="AI558" s="57" t="n">
        <f aca="false">AF558*G558</f>
        <v>30</v>
      </c>
      <c r="AJ558" s="57" t="n">
        <f aca="false">ROUNDUP(MAX(J558/IF(BZ558&gt;0,BZ558,MAX(0.1,N(Cockpit!$C$6))),CC558)/BS558,0)*BS558</f>
        <v>10</v>
      </c>
      <c r="AK558" s="58" t="n">
        <f aca="false">IF(AH558&gt;0,J558/AH558,-1)</f>
        <v>0</v>
      </c>
      <c r="AL558" s="58" t="n">
        <f aca="false">IF(AND(OR(BY558="L1",BY558="L23"),AH558&gt;0),SUMIFS($AH$7:$AH$1843,$BY$7:$BY$1843,BY558,$AK$7:$AK$1843,"&gt;"&amp;AK558)+SUMIFS($AH$7:$AH$1843,$BY$7:$BY$1843,BY558,$AK$7:$AK$1843,AK558,$BQ$7:$BQ$1843,"&lt;="&amp;BQ558),"")</f>
        <v>75.4343941083072</v>
      </c>
      <c r="AM558" s="65" t="n">
        <f aca="false">IF(AL558="",0,MAX(0,MIN(1,(IF(BY558="L1",Parameter!$E$5,Parameter!$E$6+Parameter!$E$7)-(AL558-AH558))/AH558)))</f>
        <v>1</v>
      </c>
      <c r="AN558" s="57" t="n">
        <f aca="false">IF(LEFT(Cockpit!$I$5,1)="A",H558,IF(CA558=1,CB558,IF(LEFT(Cockpit!$I$5,1)="B",AR558,MAX(AR558,H558))))</f>
        <v>10</v>
      </c>
      <c r="AO558" s="57" t="n">
        <f aca="false">IF(BT558=1,0,ROUNDUP(AN558/BS558,0))</f>
        <v>1</v>
      </c>
      <c r="AP558" s="59" t="n">
        <f aca="false">IF(CH558&gt;0,CH558*MAX(1,AN558/X558),IF(BT558=1,IF(AN558&lt;=0,0,BW558*MAX(1,IF(H558&gt;0,AN558/H558,1))),IF(R558&gt;0,AO558/R558,0))/MAX(0.1,N(Parameter!$M$21)))</f>
        <v>0.00241545893719807</v>
      </c>
      <c r="AQ558" s="57" t="n">
        <f aca="false">AN558*G558</f>
        <v>30</v>
      </c>
      <c r="AR558" s="57" t="n">
        <f aca="false">ROUNDUP(MAX(J558/IF(BZ558&gt;0,BZ558,MAX(0.1,N(Cockpit!$I$6))),CC558)/BS558,0)*BS558</f>
        <v>10</v>
      </c>
      <c r="AS558" s="58" t="n">
        <f aca="false">IF(AP558&gt;0,J558/AP558,-1)</f>
        <v>0</v>
      </c>
      <c r="AT558" s="58" t="n">
        <f aca="false">IF(AND(OR(BY558="L1",BY558="L23"),AP558&gt;0),SUMIFS($AP$7:$AP$1843,$BY$7:$BY$1843,BY558,$AS$7:$AS$1843,"&gt;"&amp;AS558)+SUMIFS($AP$7:$AP$1843,$BY$7:$BY$1843,BY558,$AS$7:$AS$1843,AS558,$BQ$7:$BQ$1843,"&lt;="&amp;BQ558),"")</f>
        <v>114.858518293301</v>
      </c>
      <c r="AU558" s="65" t="n">
        <f aca="false">IF(AT558="",0,MAX(0,MIN(1,(IF(BY558="L1",Parameter!$E$5,Parameter!$E$6+Parameter!$E$7)-(AT558-AP558))/AP558)))</f>
        <v>0</v>
      </c>
      <c r="AV558" s="57" t="n">
        <f aca="false">IF(LEFT(Cockpit!$O$5,1)="A",H558,IF(CA558=1,CB558,IF(LEFT(Cockpit!$O$5,1)="B",AZ558,MAX(AZ558,H558))))</f>
        <v>10</v>
      </c>
      <c r="AW558" s="57" t="n">
        <f aca="false">IF(BT558=1,0,ROUNDUP(AV558/BS558,0))</f>
        <v>1</v>
      </c>
      <c r="AX558" s="59" t="n">
        <f aca="false">IF(CH558&gt;0,CH558*MAX(1,AV558/X558),IF(BT558=1,IF(AV558&lt;=0,0,BW558*MAX(1,IF(H558&gt;0,AV558/H558,1))),IF(R558&gt;0,AW558/R558,0))/MAX(0.1,N(Parameter!$M$21)))</f>
        <v>0.00241545893719807</v>
      </c>
      <c r="AY558" s="57" t="n">
        <f aca="false">AV558*G558</f>
        <v>30</v>
      </c>
      <c r="AZ558" s="57" t="n">
        <f aca="false">ROUNDUP(MAX(J558/IF(BZ558&gt;0,BZ558,MAX(0.1,N(Cockpit!$O$6))),CC558)/BS558,0)*BS558</f>
        <v>10</v>
      </c>
      <c r="BA558" s="58" t="n">
        <f aca="false">IF(AX558&gt;0,J558/AX558,-1)</f>
        <v>0</v>
      </c>
      <c r="BB558" s="58" t="n">
        <f aca="false">IF(AND(OR(BY558="L1",BY558="L23"),AX558&gt;0),SUMIFS($AX$7:$AX$1843,$BY$7:$BY$1843,BY558,$BA$7:$BA$1843,"&gt;"&amp;BA558)+SUMIFS($AX$7:$AX$1843,$BY$7:$BY$1843,BY558,$BA$7:$BA$1843,BA558,$BQ$7:$BQ$1843,"&lt;="&amp;BQ558),"")</f>
        <v>105.688355123138</v>
      </c>
      <c r="BC558" s="65" t="n">
        <f aca="false">IF(BB558="",0,MAX(0,MIN(1,(IF(BY558="L1",Parameter!$E$5,Parameter!$E$6+Parameter!$E$7)-(BB558-AX558))/AX558)))</f>
        <v>0</v>
      </c>
      <c r="BD558" s="55" t="str">
        <f aca="false">IF(AH558&lt;=0,"",IF(BY558="Aussen","Aussenlager",IF(BY558="-","Nicht im Lift",IF(AM558&gt;=1,"Lift",IF(AM558&lt;=0,"Aussenlager","teilweise")))))</f>
        <v>Lift</v>
      </c>
      <c r="BE558" s="55" t="str">
        <f aca="false">IF(AP558&lt;=0,"",IF(BY558="Aussen","Aussenlager",IF(BY558="-","Nicht im Lift",IF(AU558&gt;=1,"Lift",IF(AU558&lt;=0,"Aussenlager","teilweise")))))</f>
        <v>Aussenlager</v>
      </c>
      <c r="BF558" s="55" t="str">
        <f aca="false">IF(AX558&lt;=0,"",IF(BY558="Aussen","Aussenlager",IF(BY558="-","Nicht im Lift",IF(BC558&gt;=1,"Lift",IF(BC558&lt;=0,"Aussenlager","teilweise")))))</f>
        <v>Aussenlager</v>
      </c>
      <c r="BG558" s="55" t="str">
        <f aca="false">IF(A558="","",IF(BP558=1,"Neu; ","")&amp;IF(AND(BP558=0,BK558&lt;0),"negativer Bestand (Export "&amp;BK558&amp;"); ","")&amp;IF(J558&lt;=0,"Kein Verbrauch; ","")&amp;IF(CH558&gt;0,"Lift "&amp;W558&amp;" lt. Liftbericht (Fach "&amp;X558&amp;" Stk); ",IF(BU558=1,"Gebinde geschätzt ("&amp;T558&amp;"); ",IF(BT558=1,"Lose – Tablare geschätzt; ","")))&amp;IF(H558&gt;AR558,"Überbestand "&amp;ROUND(H558-AR558,0)&amp;" Stk / CHF "&amp;ROUND((H558-AR558)*G558,0)&amp;"; ","")&amp;IF(AND(CA558=1,CB558&lt;CC558),"MAX &lt; MB+LG; ","")&amp;IF(AND(CG558&gt;0,CF558*10&gt;CG558),"zu hoch für Tablar; ","")&amp;IF(AND(BP558=0,OR(CA558=1,AA558&lt;&gt;"",U558&lt;&gt;"",V558&lt;&gt;"",AB558&lt;&gt;"")),"manuell übersteuert; ","")&amp;IF(AND(BT558=0,R558=0),"Gebinde unbekannt / Stellmass fehlt; ","")&amp;IF(AND(BT558=0,N(V558)&lt;=0,N(Q558)&lt;=0),"Menge pro Gebinde fehlt (Ist = 1 Gebinde); ","")&amp;BO558)</f>
        <v>Kein Verbrauch; </v>
      </c>
      <c r="BH558" s="55"/>
      <c r="BI558" s="55"/>
      <c r="BJ558" s="62"/>
      <c r="BK558" s="57" t="n">
        <v>3</v>
      </c>
      <c r="BL558" s="57" t="n">
        <v>7</v>
      </c>
      <c r="BM558" s="56" t="n">
        <v>14.6</v>
      </c>
      <c r="BN558" s="57" t="n">
        <v>0</v>
      </c>
      <c r="BO558" s="55"/>
      <c r="BP558" s="60" t="n">
        <v>0</v>
      </c>
      <c r="BQ558" s="60" t="n">
        <v>558</v>
      </c>
      <c r="BR558" s="55" t="str">
        <f aca="false">IF(U558&lt;&gt;"",UPPER(TRIM(U558)),IF(BU558=1,UPPER(VLOOKUP(T558,Parameter!$I$27:$K$29,2,0)),IF(P558="","LOSE",P558)))</f>
        <v>S21</v>
      </c>
      <c r="BS558" s="57" t="n">
        <f aca="false">IF(BR558="LOSE",1,IF(N(V558)&gt;0,V558,IF(BU558=1,MAX(1,N(VLOOKUP(T558,Parameter!$I$27:$K$29,3,0)),H558,N(N558)),IF(N(Q558)&gt;0,Q558,MAX(1,H558)))))</f>
        <v>10</v>
      </c>
      <c r="BT558" s="60" t="n">
        <f aca="false">IF(BR558="LOSE",1,0)</f>
        <v>0</v>
      </c>
      <c r="BU558" s="60" t="n">
        <f aca="false">IF(AND(U558="",OR(P558="",P558="LOSE"),T558&lt;&gt;"",N(S558)&lt;=0,ISNUMBER(MATCH(T558,Parameter!$I$27:$I$29,0))),1,0)</f>
        <v>0</v>
      </c>
      <c r="BV558" s="55" t="str">
        <f aca="false">IF(AND(Parameter!$B$19="Ja",E558&lt;&gt;"",ISNUMBER(MATCH(E558,Parameter!$I$35:$I$52,0))),VLOOKUP(E558,Parameter!$I$35:$J$52,2,0),IFERROR(VLOOKUP(D558,Parameter!$A$35:$C$64,2,0),"Nein"))</f>
        <v>2+3</v>
      </c>
      <c r="BW558" s="59" t="n">
        <f aca="false">IF(BT558=0,0,IF(N(S558)&gt;0,S558,IFERROR(VLOOKUP(D558,Parameter!$A$35:$C$64,3,0)+0,0)))</f>
        <v>0</v>
      </c>
      <c r="BX558" s="55" t="n">
        <f aca="false">IF(AA558&lt;&gt;"",AA558,Z558)</f>
        <v>3</v>
      </c>
      <c r="BY558" s="55" t="str">
        <f aca="false">IF(BX558=1,"L1",IF(OR(BX558=2,BX558=3),"L23",IF(BX558="Aussen","Aussen","-")))</f>
        <v>L23</v>
      </c>
      <c r="BZ558" s="66" t="n">
        <f aca="false">IF(N(AB558)&gt;0,AB558,0)</f>
        <v>0</v>
      </c>
      <c r="CA558" s="60" t="n">
        <f aca="false">IF(ISNUMBER(AE558),1,0)</f>
        <v>0</v>
      </c>
      <c r="CB558" s="57" t="n">
        <f aca="false">N(AE558)</f>
        <v>0</v>
      </c>
      <c r="CC558" s="57" t="n">
        <f aca="false">N(M558)+N(N558)</f>
        <v>1</v>
      </c>
      <c r="CD558" s="57" t="n">
        <f aca="false">ROUNDUP(H558/BS558,0)</f>
        <v>1</v>
      </c>
      <c r="CE558" s="57" t="n">
        <f aca="false">ROUNDUP(CB558/BS558,0)</f>
        <v>0</v>
      </c>
      <c r="CF558" s="60" t="n">
        <f aca="false">IF(BT558=1,0,IFERROR(VLOOKUP(BR558,'Gebinde-Kategorie'!$A$5:$M$45,5,0)+0,0))</f>
        <v>8</v>
      </c>
      <c r="CG558" s="60" t="n">
        <f aca="false">IFERROR(IF(OR(BX558=1,BX558=2,BX558=3),N(INDEX(Parameter!$I$5:$I$7,BX558)),0),0)</f>
        <v>0</v>
      </c>
      <c r="CH558" s="59" t="n">
        <f aca="false">IF(AND(Parameter!$B$21="Ja",ISNUMBER(W558),N(X558)&gt;0),IFERROR(N(INDEX(Parameter!$L$5:$L$7,W558))*INDEX(Parameter!$E$5:$E$7,W558)*X558/SUMIFS($X$7:$X$1843,$W$7:$W$1843,W558),0),0)</f>
        <v>0</v>
      </c>
    </row>
    <row r="559" customFormat="false" ht="15" hidden="false" customHeight="false" outlineLevel="0" collapsed="false">
      <c r="A559" s="55" t="s">
        <v>1188</v>
      </c>
      <c r="B559" s="55" t="s">
        <v>1189</v>
      </c>
      <c r="C559" s="55" t="s">
        <v>164</v>
      </c>
      <c r="D559" s="55" t="s">
        <v>184</v>
      </c>
      <c r="E559" s="55" t="s">
        <v>185</v>
      </c>
      <c r="F559" s="55" t="s">
        <v>218</v>
      </c>
      <c r="G559" s="56" t="n">
        <v>0.11</v>
      </c>
      <c r="H559" s="57" t="n">
        <f aca="false">MAX(0,IF(AND(Parameter!$B$21="Ja",ISNUMBER(Y559)),Y559,IF(Parameter!$B$20="Jahresanfang 2025 + Export",BL559+BK559,BK559)))</f>
        <v>555</v>
      </c>
      <c r="I559" s="57" t="n">
        <f aca="false">H559*G559</f>
        <v>61.05</v>
      </c>
      <c r="J559" s="57" t="n">
        <f aca="false">BN559*Parameter!$B$18</f>
        <v>2</v>
      </c>
      <c r="K559" s="58" t="n">
        <v>457</v>
      </c>
      <c r="L559" s="59" t="n">
        <v>0.00437636761487965</v>
      </c>
      <c r="M559" s="57" t="n">
        <v>0</v>
      </c>
      <c r="N559" s="57" t="n">
        <v>1</v>
      </c>
      <c r="O559" s="60" t="n">
        <v>21</v>
      </c>
      <c r="P559" s="55" t="s">
        <v>421</v>
      </c>
      <c r="Q559" s="57" t="n">
        <v>451</v>
      </c>
      <c r="R559" s="60" t="n">
        <f aca="false">IF(BT559=1,0,IFERROR(VLOOKUP(BR559,'Gebinde-Kategorie'!$A$5:$M$45,13,0)+0,0))</f>
        <v>132</v>
      </c>
      <c r="S559" s="61"/>
      <c r="T559" s="62"/>
      <c r="U559" s="62"/>
      <c r="V559" s="62"/>
      <c r="W559" s="55"/>
      <c r="X559" s="57"/>
      <c r="Y559" s="57"/>
      <c r="Z559" s="55" t="n">
        <f aca="false">IF(A559="","",IF(AND(Parameter!$B$21="Ja",ISNUMBER(W559)),W559,IF(BV559="2+3",IF(ISNUMBER(SEARCH("grosser Artikel",BO559)),2,IFERROR(VLOOKUP(BR559,Parameter!$F$35:$G$64,2,0),2)),IF(OR(BV559="Nein",BV559=""),"-",BV559))))</f>
        <v>3</v>
      </c>
      <c r="AA559" s="62"/>
      <c r="AB559" s="63"/>
      <c r="AC559" s="57" t="n">
        <f aca="false">AR559</f>
        <v>451</v>
      </c>
      <c r="AD559" s="57" t="n">
        <f aca="false">MAX(AR559,H559)</f>
        <v>555</v>
      </c>
      <c r="AE559" s="64"/>
      <c r="AF559" s="57" t="n">
        <f aca="false">IF(LEFT(Cockpit!$C$5,1)="A",H559,IF(CA559=1,CB559,IF(LEFT(Cockpit!$C$5,1)="B",AJ559,MAX(AJ559,H559))))</f>
        <v>555</v>
      </c>
      <c r="AG559" s="57" t="n">
        <f aca="false">IF(BT559=1,0,ROUNDUP(AF559/BS559,0))</f>
        <v>2</v>
      </c>
      <c r="AH559" s="59" t="n">
        <f aca="false">IF(CH559&gt;0,CH559*MAX(1,AF559/X559),IF(BT559=1,IF(AF559&lt;=0,0,BW559*MAX(1,IF(H559&gt;0,AF559/H559,1))),IF(R559&gt;0,AG559/R559,0))/MAX(0.1,N(Parameter!$M$21)))</f>
        <v>0.0151515151515152</v>
      </c>
      <c r="AI559" s="57" t="n">
        <f aca="false">AF559*G559</f>
        <v>61.05</v>
      </c>
      <c r="AJ559" s="57" t="n">
        <f aca="false">ROUNDUP(MAX(J559/IF(BZ559&gt;0,BZ559,MAX(0.1,N(Cockpit!$C$6))),CC559)/BS559,0)*BS559</f>
        <v>451</v>
      </c>
      <c r="AK559" s="58" t="n">
        <f aca="false">IF(AH559&gt;0,J559/AH559,-1)</f>
        <v>132</v>
      </c>
      <c r="AL559" s="58" t="n">
        <f aca="false">IF(AND(OR(BY559="L1",BY559="L23"),AH559&gt;0),SUMIFS($AH$7:$AH$1843,$BY$7:$BY$1843,BY559,$AK$7:$AK$1843,"&gt;"&amp;AK559)+SUMIFS($AH$7:$AH$1843,$BY$7:$BY$1843,BY559,$AK$7:$AK$1843,AK559,$BQ$7:$BQ$1843,"&lt;="&amp;BQ559),"")</f>
        <v>36.1979325022803</v>
      </c>
      <c r="AM559" s="65" t="n">
        <f aca="false">IF(AL559="",0,MAX(0,MIN(1,(IF(BY559="L1",Parameter!$E$5,Parameter!$E$6+Parameter!$E$7)-(AL559-AH559))/AH559)))</f>
        <v>1</v>
      </c>
      <c r="AN559" s="57" t="n">
        <f aca="false">IF(LEFT(Cockpit!$I$5,1)="A",H559,IF(CA559=1,CB559,IF(LEFT(Cockpit!$I$5,1)="B",AR559,MAX(AR559,H559))))</f>
        <v>555</v>
      </c>
      <c r="AO559" s="57" t="n">
        <f aca="false">IF(BT559=1,0,ROUNDUP(AN559/BS559,0))</f>
        <v>2</v>
      </c>
      <c r="AP559" s="59" t="n">
        <f aca="false">IF(CH559&gt;0,CH559*MAX(1,AN559/X559),IF(BT559=1,IF(AN559&lt;=0,0,BW559*MAX(1,IF(H559&gt;0,AN559/H559,1))),IF(R559&gt;0,AO559/R559,0))/MAX(0.1,N(Parameter!$M$21)))</f>
        <v>0.0151515151515152</v>
      </c>
      <c r="AQ559" s="57" t="n">
        <f aca="false">AN559*G559</f>
        <v>61.05</v>
      </c>
      <c r="AR559" s="57" t="n">
        <f aca="false">ROUNDUP(MAX(J559/IF(BZ559&gt;0,BZ559,MAX(0.1,N(Cockpit!$I$6))),CC559)/BS559,0)*BS559</f>
        <v>451</v>
      </c>
      <c r="AS559" s="58" t="n">
        <f aca="false">IF(AP559&gt;0,J559/AP559,-1)</f>
        <v>132</v>
      </c>
      <c r="AT559" s="58" t="n">
        <f aca="false">IF(AND(OR(BY559="L1",BY559="L23"),AP559&gt;0),SUMIFS($AP$7:$AP$1843,$BY$7:$BY$1843,BY559,$AS$7:$AS$1843,"&gt;"&amp;AS559)+SUMIFS($AP$7:$AP$1843,$BY$7:$BY$1843,BY559,$AS$7:$AS$1843,AS559,$BQ$7:$BQ$1843,"&lt;="&amp;BQ559),"")</f>
        <v>51.9303317455491</v>
      </c>
      <c r="AU559" s="65" t="n">
        <f aca="false">IF(AT559="",0,MAX(0,MIN(1,(IF(BY559="L1",Parameter!$E$5,Parameter!$E$6+Parameter!$E$7)-(AT559-AP559))/AP559)))</f>
        <v>1</v>
      </c>
      <c r="AV559" s="57" t="n">
        <f aca="false">IF(LEFT(Cockpit!$O$5,1)="A",H559,IF(CA559=1,CB559,IF(LEFT(Cockpit!$O$5,1)="B",AZ559,MAX(AZ559,H559))))</f>
        <v>555</v>
      </c>
      <c r="AW559" s="57" t="n">
        <f aca="false">IF(BT559=1,0,ROUNDUP(AV559/BS559,0))</f>
        <v>2</v>
      </c>
      <c r="AX559" s="59" t="n">
        <f aca="false">IF(CH559&gt;0,CH559*MAX(1,AV559/X559),IF(BT559=1,IF(AV559&lt;=0,0,BW559*MAX(1,IF(H559&gt;0,AV559/H559,1))),IF(R559&gt;0,AW559/R559,0))/MAX(0.1,N(Parameter!$M$21)))</f>
        <v>0.0151515151515152</v>
      </c>
      <c r="AY559" s="57" t="n">
        <f aca="false">AV559*G559</f>
        <v>61.05</v>
      </c>
      <c r="AZ559" s="57" t="n">
        <f aca="false">ROUNDUP(MAX(J559/IF(BZ559&gt;0,BZ559,MAX(0.1,N(Cockpit!$O$6))),CC559)/BS559,0)*BS559</f>
        <v>451</v>
      </c>
      <c r="BA559" s="58" t="n">
        <f aca="false">IF(AX559&gt;0,J559/AX559,-1)</f>
        <v>132</v>
      </c>
      <c r="BB559" s="58" t="n">
        <f aca="false">IF(AND(OR(BY559="L1",BY559="L23"),AX559&gt;0),SUMIFS($AX$7:$AX$1843,$BY$7:$BY$1843,BY559,$BA$7:$BA$1843,"&gt;"&amp;BA559)+SUMIFS($AX$7:$AX$1843,$BY$7:$BY$1843,BY559,$BA$7:$BA$1843,BA559,$BQ$7:$BQ$1843,"&lt;="&amp;BQ559),"")</f>
        <v>48.510168575386</v>
      </c>
      <c r="BC559" s="65" t="n">
        <f aca="false">IF(BB559="",0,MAX(0,MIN(1,(IF(BY559="L1",Parameter!$E$5,Parameter!$E$6+Parameter!$E$7)-(BB559-AX559))/AX559)))</f>
        <v>1</v>
      </c>
      <c r="BD559" s="55" t="str">
        <f aca="false">IF(AH559&lt;=0,"",IF(BY559="Aussen","Aussenlager",IF(BY559="-","Nicht im Lift",IF(AM559&gt;=1,"Lift",IF(AM559&lt;=0,"Aussenlager","teilweise")))))</f>
        <v>Lift</v>
      </c>
      <c r="BE559" s="55" t="str">
        <f aca="false">IF(AP559&lt;=0,"",IF(BY559="Aussen","Aussenlager",IF(BY559="-","Nicht im Lift",IF(AU559&gt;=1,"Lift",IF(AU559&lt;=0,"Aussenlager","teilweise")))))</f>
        <v>Lift</v>
      </c>
      <c r="BF559" s="55" t="str">
        <f aca="false">IF(AX559&lt;=0,"",IF(BY559="Aussen","Aussenlager",IF(BY559="-","Nicht im Lift",IF(BC559&gt;=1,"Lift",IF(BC559&lt;=0,"Aussenlager","teilweise")))))</f>
        <v>Lift</v>
      </c>
      <c r="BG559" s="55" t="str">
        <f aca="false">IF(A559="","",IF(BP559=1,"Neu; ","")&amp;IF(AND(BP559=0,BK559&lt;0),"negativer Bestand (Export "&amp;BK559&amp;"); ","")&amp;IF(J559&lt;=0,"Kein Verbrauch; ","")&amp;IF(CH559&gt;0,"Lift "&amp;W559&amp;" lt. Liftbericht (Fach "&amp;X559&amp;" Stk); ",IF(BU559=1,"Gebinde geschätzt ("&amp;T559&amp;"); ",IF(BT559=1,"Lose – Tablare geschätzt; ","")))&amp;IF(H559&gt;AR559,"Überbestand "&amp;ROUND(H559-AR559,0)&amp;" Stk / CHF "&amp;ROUND((H559-AR559)*G559,0)&amp;"; ","")&amp;IF(AND(CA559=1,CB559&lt;CC559),"MAX &lt; MB+LG; ","")&amp;IF(AND(CG559&gt;0,CF559*10&gt;CG559),"zu hoch für Tablar; ","")&amp;IF(AND(BP559=0,OR(CA559=1,AA559&lt;&gt;"",U559&lt;&gt;"",V559&lt;&gt;"",AB559&lt;&gt;"")),"manuell übersteuert; ","")&amp;IF(AND(BT559=0,R559=0),"Gebinde unbekannt / Stellmass fehlt; ","")&amp;IF(AND(BT559=0,N(V559)&lt;=0,N(Q559)&lt;=0),"Menge pro Gebinde fehlt (Ist = 1 Gebinde); ","")&amp;BO559)</f>
        <v>Überbestand 104 Stk / CHF 11; Handlager</v>
      </c>
      <c r="BH559" s="55"/>
      <c r="BI559" s="55"/>
      <c r="BJ559" s="62"/>
      <c r="BK559" s="57" t="n">
        <v>132</v>
      </c>
      <c r="BL559" s="57" t="n">
        <v>423</v>
      </c>
      <c r="BM559" s="56" t="n">
        <v>14.52</v>
      </c>
      <c r="BN559" s="57" t="n">
        <v>2</v>
      </c>
      <c r="BO559" s="55" t="s">
        <v>895</v>
      </c>
      <c r="BP559" s="60" t="n">
        <v>0</v>
      </c>
      <c r="BQ559" s="60" t="n">
        <v>559</v>
      </c>
      <c r="BR559" s="55" t="str">
        <f aca="false">IF(U559&lt;&gt;"",UPPER(TRIM(U559)),IF(BU559=1,UPPER(VLOOKUP(T559,Parameter!$I$27:$K$29,2,0)),IF(P559="","LOSE",P559)))</f>
        <v>S32</v>
      </c>
      <c r="BS559" s="57" t="n">
        <f aca="false">IF(BR559="LOSE",1,IF(N(V559)&gt;0,V559,IF(BU559=1,MAX(1,N(VLOOKUP(T559,Parameter!$I$27:$K$29,3,0)),H559,N(N559)),IF(N(Q559)&gt;0,Q559,MAX(1,H559)))))</f>
        <v>451</v>
      </c>
      <c r="BT559" s="60" t="n">
        <f aca="false">IF(BR559="LOSE",1,0)</f>
        <v>0</v>
      </c>
      <c r="BU559" s="60" t="n">
        <f aca="false">IF(AND(U559="",OR(P559="",P559="LOSE"),T559&lt;&gt;"",N(S559)&lt;=0,ISNUMBER(MATCH(T559,Parameter!$I$27:$I$29,0))),1,0)</f>
        <v>0</v>
      </c>
      <c r="BV559" s="55" t="str">
        <f aca="false">IF(AND(Parameter!$B$19="Ja",E559&lt;&gt;"",ISNUMBER(MATCH(E559,Parameter!$I$35:$I$52,0))),VLOOKUP(E559,Parameter!$I$35:$J$52,2,0),IFERROR(VLOOKUP(D559,Parameter!$A$35:$C$64,2,0),"Nein"))</f>
        <v>2+3</v>
      </c>
      <c r="BW559" s="59" t="n">
        <f aca="false">IF(BT559=0,0,IF(N(S559)&gt;0,S559,IFERROR(VLOOKUP(D559,Parameter!$A$35:$C$64,3,0)+0,0)))</f>
        <v>0</v>
      </c>
      <c r="BX559" s="55" t="n">
        <f aca="false">IF(AA559&lt;&gt;"",AA559,Z559)</f>
        <v>3</v>
      </c>
      <c r="BY559" s="55" t="str">
        <f aca="false">IF(BX559=1,"L1",IF(OR(BX559=2,BX559=3),"L23",IF(BX559="Aussen","Aussen","-")))</f>
        <v>L23</v>
      </c>
      <c r="BZ559" s="66" t="n">
        <f aca="false">IF(N(AB559)&gt;0,AB559,0)</f>
        <v>0</v>
      </c>
      <c r="CA559" s="60" t="n">
        <f aca="false">IF(ISNUMBER(AE559),1,0)</f>
        <v>0</v>
      </c>
      <c r="CB559" s="57" t="n">
        <f aca="false">N(AE559)</f>
        <v>0</v>
      </c>
      <c r="CC559" s="57" t="n">
        <f aca="false">N(M559)+N(N559)</f>
        <v>1</v>
      </c>
      <c r="CD559" s="57" t="n">
        <f aca="false">ROUNDUP(H559/BS559,0)</f>
        <v>2</v>
      </c>
      <c r="CE559" s="57" t="n">
        <f aca="false">ROUNDUP(CB559/BS559,0)</f>
        <v>0</v>
      </c>
      <c r="CF559" s="60" t="n">
        <f aca="false">IF(BT559=1,0,IFERROR(VLOOKUP(BR559,'Gebinde-Kategorie'!$A$5:$M$45,5,0)+0,0))</f>
        <v>8</v>
      </c>
      <c r="CG559" s="60" t="n">
        <f aca="false">IFERROR(IF(OR(BX559=1,BX559=2,BX559=3),N(INDEX(Parameter!$I$5:$I$7,BX559)),0),0)</f>
        <v>0</v>
      </c>
      <c r="CH559" s="59" t="n">
        <f aca="false">IF(AND(Parameter!$B$21="Ja",ISNUMBER(W559),N(X559)&gt;0),IFERROR(N(INDEX(Parameter!$L$5:$L$7,W559))*INDEX(Parameter!$E$5:$E$7,W559)*X559/SUMIFS($X$7:$X$1843,$W$7:$W$1843,W559),0),0)</f>
        <v>0</v>
      </c>
    </row>
    <row r="560" customFormat="false" ht="15" hidden="false" customHeight="false" outlineLevel="0" collapsed="false">
      <c r="A560" s="55" t="s">
        <v>1190</v>
      </c>
      <c r="B560" s="55" t="s">
        <v>861</v>
      </c>
      <c r="C560" s="55" t="s">
        <v>164</v>
      </c>
      <c r="D560" s="55" t="s">
        <v>184</v>
      </c>
      <c r="E560" s="55"/>
      <c r="F560" s="55" t="s">
        <v>218</v>
      </c>
      <c r="G560" s="56" t="n">
        <v>3.55</v>
      </c>
      <c r="H560" s="57" t="n">
        <f aca="false">MAX(0,IF(AND(Parameter!$B$21="Ja",ISNUMBER(Y560)),Y560,IF(Parameter!$B$20="Jahresanfang 2025 + Export",BL560+BK560,BK560)))</f>
        <v>4</v>
      </c>
      <c r="I560" s="57" t="n">
        <f aca="false">H560*G560</f>
        <v>14.2</v>
      </c>
      <c r="J560" s="57" t="n">
        <f aca="false">BN560*Parameter!$B$18</f>
        <v>2</v>
      </c>
      <c r="K560" s="58" t="n">
        <v>1.5</v>
      </c>
      <c r="L560" s="59" t="n">
        <v>1.33333333333333</v>
      </c>
      <c r="M560" s="57" t="n">
        <v>0</v>
      </c>
      <c r="N560" s="57" t="n">
        <v>1</v>
      </c>
      <c r="O560" s="60" t="n">
        <v>14</v>
      </c>
      <c r="P560" s="55" t="s">
        <v>401</v>
      </c>
      <c r="Q560" s="57" t="n">
        <v>5</v>
      </c>
      <c r="R560" s="60" t="n">
        <f aca="false">IF(BT560=1,0,IFERROR(VLOOKUP(BR560,'Gebinde-Kategorie'!$A$5:$M$45,13,0)+0,0))</f>
        <v>414</v>
      </c>
      <c r="S560" s="61"/>
      <c r="T560" s="62"/>
      <c r="U560" s="62"/>
      <c r="V560" s="62"/>
      <c r="W560" s="55"/>
      <c r="X560" s="57"/>
      <c r="Y560" s="57"/>
      <c r="Z560" s="55" t="n">
        <f aca="false">IF(A560="","",IF(AND(Parameter!$B$21="Ja",ISNUMBER(W560)),W560,IF(BV560="2+3",IF(ISNUMBER(SEARCH("grosser Artikel",BO560)),2,IFERROR(VLOOKUP(BR560,Parameter!$F$35:$G$64,2,0),2)),IF(OR(BV560="Nein",BV560=""),"-",BV560))))</f>
        <v>3</v>
      </c>
      <c r="AA560" s="62"/>
      <c r="AB560" s="63"/>
      <c r="AC560" s="57" t="n">
        <f aca="false">AR560</f>
        <v>5</v>
      </c>
      <c r="AD560" s="57" t="n">
        <f aca="false">MAX(AR560,H560)</f>
        <v>5</v>
      </c>
      <c r="AE560" s="64"/>
      <c r="AF560" s="57" t="n">
        <f aca="false">IF(LEFT(Cockpit!$C$5,1)="A",H560,IF(CA560=1,CB560,IF(LEFT(Cockpit!$C$5,1)="B",AJ560,MAX(AJ560,H560))))</f>
        <v>4</v>
      </c>
      <c r="AG560" s="57" t="n">
        <f aca="false">IF(BT560=1,0,ROUNDUP(AF560/BS560,0))</f>
        <v>1</v>
      </c>
      <c r="AH560" s="59" t="n">
        <f aca="false">IF(CH560&gt;0,CH560*MAX(1,AF560/X560),IF(BT560=1,IF(AF560&lt;=0,0,BW560*MAX(1,IF(H560&gt;0,AF560/H560,1))),IF(R560&gt;0,AG560/R560,0))/MAX(0.1,N(Parameter!$M$21)))</f>
        <v>0.00241545893719807</v>
      </c>
      <c r="AI560" s="57" t="n">
        <f aca="false">AF560*G560</f>
        <v>14.2</v>
      </c>
      <c r="AJ560" s="57" t="n">
        <f aca="false">ROUNDUP(MAX(J560/IF(BZ560&gt;0,BZ560,MAX(0.1,N(Cockpit!$C$6))),CC560)/BS560,0)*BS560</f>
        <v>5</v>
      </c>
      <c r="AK560" s="58" t="n">
        <f aca="false">IF(AH560&gt;0,J560/AH560,-1)</f>
        <v>828</v>
      </c>
      <c r="AL560" s="58" t="n">
        <f aca="false">IF(AND(OR(BY560="L1",BY560="L23"),AH560&gt;0),SUMIFS($AH$7:$AH$1843,$BY$7:$BY$1843,BY560,$AK$7:$AK$1843,"&gt;"&amp;AK560)+SUMIFS($AH$7:$AH$1843,$BY$7:$BY$1843,BY560,$AK$7:$AK$1843,AK560,$BQ$7:$BQ$1843,"&lt;="&amp;BQ560),"")</f>
        <v>20.7225769399682</v>
      </c>
      <c r="AM560" s="65" t="n">
        <f aca="false">IF(AL560="",0,MAX(0,MIN(1,(IF(BY560="L1",Parameter!$E$5,Parameter!$E$6+Parameter!$E$7)-(AL560-AH560))/AH560)))</f>
        <v>1</v>
      </c>
      <c r="AN560" s="57" t="n">
        <f aca="false">IF(LEFT(Cockpit!$I$5,1)="A",H560,IF(CA560=1,CB560,IF(LEFT(Cockpit!$I$5,1)="B",AR560,MAX(AR560,H560))))</f>
        <v>5</v>
      </c>
      <c r="AO560" s="57" t="n">
        <f aca="false">IF(BT560=1,0,ROUNDUP(AN560/BS560,0))</f>
        <v>1</v>
      </c>
      <c r="AP560" s="59" t="n">
        <f aca="false">IF(CH560&gt;0,CH560*MAX(1,AN560/X560),IF(BT560=1,IF(AN560&lt;=0,0,BW560*MAX(1,IF(H560&gt;0,AN560/H560,1))),IF(R560&gt;0,AO560/R560,0))/MAX(0.1,N(Parameter!$M$21)))</f>
        <v>0.00241545893719807</v>
      </c>
      <c r="AQ560" s="57" t="n">
        <f aca="false">AN560*G560</f>
        <v>17.75</v>
      </c>
      <c r="AR560" s="57" t="n">
        <f aca="false">ROUNDUP(MAX(J560/IF(BZ560&gt;0,BZ560,MAX(0.1,N(Cockpit!$I$6))),CC560)/BS560,0)*BS560</f>
        <v>5</v>
      </c>
      <c r="AS560" s="58" t="n">
        <f aca="false">IF(AP560&gt;0,J560/AP560,-1)</f>
        <v>828</v>
      </c>
      <c r="AT560" s="58" t="n">
        <f aca="false">IF(AND(OR(BY560="L1",BY560="L23"),AP560&gt;0),SUMIFS($AP$7:$AP$1843,$BY$7:$BY$1843,BY560,$AS$7:$AS$1843,"&gt;"&amp;AS560)+SUMIFS($AP$7:$AP$1843,$BY$7:$BY$1843,BY560,$AS$7:$AS$1843,AS560,$BQ$7:$BQ$1843,"&lt;="&amp;BQ560),"")</f>
        <v>25.938017296713</v>
      </c>
      <c r="AU560" s="65" t="n">
        <f aca="false">IF(AT560="",0,MAX(0,MIN(1,(IF(BY560="L1",Parameter!$E$5,Parameter!$E$6+Parameter!$E$7)-(AT560-AP560))/AP560)))</f>
        <v>1</v>
      </c>
      <c r="AV560" s="57" t="n">
        <f aca="false">IF(LEFT(Cockpit!$O$5,1)="A",H560,IF(CA560=1,CB560,IF(LEFT(Cockpit!$O$5,1)="B",AZ560,MAX(AZ560,H560))))</f>
        <v>5</v>
      </c>
      <c r="AW560" s="57" t="n">
        <f aca="false">IF(BT560=1,0,ROUNDUP(AV560/BS560,0))</f>
        <v>1</v>
      </c>
      <c r="AX560" s="59" t="n">
        <f aca="false">IF(CH560&gt;0,CH560*MAX(1,AV560/X560),IF(BT560=1,IF(AV560&lt;=0,0,BW560*MAX(1,IF(H560&gt;0,AV560/H560,1))),IF(R560&gt;0,AW560/R560,0))/MAX(0.1,N(Parameter!$M$21)))</f>
        <v>0.00241545893719807</v>
      </c>
      <c r="AY560" s="57" t="n">
        <f aca="false">AV560*G560</f>
        <v>17.75</v>
      </c>
      <c r="AZ560" s="57" t="n">
        <f aca="false">ROUNDUP(MAX(J560/IF(BZ560&gt;0,BZ560,MAX(0.1,N(Cockpit!$O$6))),CC560)/BS560,0)*BS560</f>
        <v>5</v>
      </c>
      <c r="BA560" s="58" t="n">
        <f aca="false">IF(AX560&gt;0,J560/AX560,-1)</f>
        <v>828</v>
      </c>
      <c r="BB560" s="58" t="n">
        <f aca="false">IF(AND(OR(BY560="L1",BY560="L23"),AX560&gt;0),SUMIFS($AX$7:$AX$1843,$BY$7:$BY$1843,BY560,$BA$7:$BA$1843,"&gt;"&amp;BA560)+SUMIFS($AX$7:$AX$1843,$BY$7:$BY$1843,BY560,$BA$7:$BA$1843,BA560,$BQ$7:$BQ$1843,"&lt;="&amp;BQ560),"")</f>
        <v>25.8063156650113</v>
      </c>
      <c r="BC560" s="65" t="n">
        <f aca="false">IF(BB560="",0,MAX(0,MIN(1,(IF(BY560="L1",Parameter!$E$5,Parameter!$E$6+Parameter!$E$7)-(BB560-AX560))/AX560)))</f>
        <v>1</v>
      </c>
      <c r="BD560" s="55" t="str">
        <f aca="false">IF(AH560&lt;=0,"",IF(BY560="Aussen","Aussenlager",IF(BY560="-","Nicht im Lift",IF(AM560&gt;=1,"Lift",IF(AM560&lt;=0,"Aussenlager","teilweise")))))</f>
        <v>Lift</v>
      </c>
      <c r="BE560" s="55" t="str">
        <f aca="false">IF(AP560&lt;=0,"",IF(BY560="Aussen","Aussenlager",IF(BY560="-","Nicht im Lift",IF(AU560&gt;=1,"Lift",IF(AU560&lt;=0,"Aussenlager","teilweise")))))</f>
        <v>Lift</v>
      </c>
      <c r="BF560" s="55" t="str">
        <f aca="false">IF(AX560&lt;=0,"",IF(BY560="Aussen","Aussenlager",IF(BY560="-","Nicht im Lift",IF(BC560&gt;=1,"Lift",IF(BC560&lt;=0,"Aussenlager","teilweise")))))</f>
        <v>Lift</v>
      </c>
      <c r="BG560" s="55" t="str">
        <f aca="false">IF(A560="","",IF(BP560=1,"Neu; ","")&amp;IF(AND(BP560=0,BK560&lt;0),"negativer Bestand (Export "&amp;BK560&amp;"); ","")&amp;IF(J560&lt;=0,"Kein Verbrauch; ","")&amp;IF(CH560&gt;0,"Lift "&amp;W560&amp;" lt. Liftbericht (Fach "&amp;X560&amp;" Stk); ",IF(BU560=1,"Gebinde geschätzt ("&amp;T560&amp;"); ",IF(BT560=1,"Lose – Tablare geschätzt; ","")))&amp;IF(H560&gt;AR560,"Überbestand "&amp;ROUND(H560-AR560,0)&amp;" Stk / CHF "&amp;ROUND((H560-AR560)*G560,0)&amp;"; ","")&amp;IF(AND(CA560=1,CB560&lt;CC560),"MAX &lt; MB+LG; ","")&amp;IF(AND(CG560&gt;0,CF560*10&gt;CG560),"zu hoch für Tablar; ","")&amp;IF(AND(BP560=0,OR(CA560=1,AA560&lt;&gt;"",U560&lt;&gt;"",V560&lt;&gt;"",AB560&lt;&gt;"")),"manuell übersteuert; ","")&amp;IF(AND(BT560=0,R560=0),"Gebinde unbekannt / Stellmass fehlt; ","")&amp;IF(AND(BT560=0,N(V560)&lt;=0,N(Q560)&lt;=0),"Menge pro Gebinde fehlt (Ist = 1 Gebinde); ","")&amp;BO560)</f>
        <v/>
      </c>
      <c r="BH560" s="55"/>
      <c r="BI560" s="55"/>
      <c r="BJ560" s="62"/>
      <c r="BK560" s="57" t="n">
        <v>4</v>
      </c>
      <c r="BL560" s="57" t="n">
        <v>0</v>
      </c>
      <c r="BM560" s="56" t="n">
        <v>14.2</v>
      </c>
      <c r="BN560" s="57" t="n">
        <v>2</v>
      </c>
      <c r="BO560" s="55"/>
      <c r="BP560" s="60" t="n">
        <v>0</v>
      </c>
      <c r="BQ560" s="60" t="n">
        <v>560</v>
      </c>
      <c r="BR560" s="55" t="str">
        <f aca="false">IF(U560&lt;&gt;"",UPPER(TRIM(U560)),IF(BU560=1,UPPER(VLOOKUP(T560,Parameter!$I$27:$K$29,2,0)),IF(P560="","LOSE",P560)))</f>
        <v>S21</v>
      </c>
      <c r="BS560" s="57" t="n">
        <f aca="false">IF(BR560="LOSE",1,IF(N(V560)&gt;0,V560,IF(BU560=1,MAX(1,N(VLOOKUP(T560,Parameter!$I$27:$K$29,3,0)),H560,N(N560)),IF(N(Q560)&gt;0,Q560,MAX(1,H560)))))</f>
        <v>5</v>
      </c>
      <c r="BT560" s="60" t="n">
        <f aca="false">IF(BR560="LOSE",1,0)</f>
        <v>0</v>
      </c>
      <c r="BU560" s="60" t="n">
        <f aca="false">IF(AND(U560="",OR(P560="",P560="LOSE"),T560&lt;&gt;"",N(S560)&lt;=0,ISNUMBER(MATCH(T560,Parameter!$I$27:$I$29,0))),1,0)</f>
        <v>0</v>
      </c>
      <c r="BV560" s="55" t="str">
        <f aca="false">IF(AND(Parameter!$B$19="Ja",E560&lt;&gt;"",ISNUMBER(MATCH(E560,Parameter!$I$35:$I$52,0))),VLOOKUP(E560,Parameter!$I$35:$J$52,2,0),IFERROR(VLOOKUP(D560,Parameter!$A$35:$C$64,2,0),"Nein"))</f>
        <v>2+3</v>
      </c>
      <c r="BW560" s="59" t="n">
        <f aca="false">IF(BT560=0,0,IF(N(S560)&gt;0,S560,IFERROR(VLOOKUP(D560,Parameter!$A$35:$C$64,3,0)+0,0)))</f>
        <v>0</v>
      </c>
      <c r="BX560" s="55" t="n">
        <f aca="false">IF(AA560&lt;&gt;"",AA560,Z560)</f>
        <v>3</v>
      </c>
      <c r="BY560" s="55" t="str">
        <f aca="false">IF(BX560=1,"L1",IF(OR(BX560=2,BX560=3),"L23",IF(BX560="Aussen","Aussen","-")))</f>
        <v>L23</v>
      </c>
      <c r="BZ560" s="66" t="n">
        <f aca="false">IF(N(AB560)&gt;0,AB560,0)</f>
        <v>0</v>
      </c>
      <c r="CA560" s="60" t="n">
        <f aca="false">IF(ISNUMBER(AE560),1,0)</f>
        <v>0</v>
      </c>
      <c r="CB560" s="57" t="n">
        <f aca="false">N(AE560)</f>
        <v>0</v>
      </c>
      <c r="CC560" s="57" t="n">
        <f aca="false">N(M560)+N(N560)</f>
        <v>1</v>
      </c>
      <c r="CD560" s="57" t="n">
        <f aca="false">ROUNDUP(H560/BS560,0)</f>
        <v>1</v>
      </c>
      <c r="CE560" s="57" t="n">
        <f aca="false">ROUNDUP(CB560/BS560,0)</f>
        <v>0</v>
      </c>
      <c r="CF560" s="60" t="n">
        <f aca="false">IF(BT560=1,0,IFERROR(VLOOKUP(BR560,'Gebinde-Kategorie'!$A$5:$M$45,5,0)+0,0))</f>
        <v>8</v>
      </c>
      <c r="CG560" s="60" t="n">
        <f aca="false">IFERROR(IF(OR(BX560=1,BX560=2,BX560=3),N(INDEX(Parameter!$I$5:$I$7,BX560)),0),0)</f>
        <v>0</v>
      </c>
      <c r="CH560" s="59" t="n">
        <f aca="false">IF(AND(Parameter!$B$21="Ja",ISNUMBER(W560),N(X560)&gt;0),IFERROR(N(INDEX(Parameter!$L$5:$L$7,W560))*INDEX(Parameter!$E$5:$E$7,W560)*X560/SUMIFS($X$7:$X$1843,$W$7:$W$1843,W560),0),0)</f>
        <v>0</v>
      </c>
    </row>
    <row r="561" customFormat="false" ht="15" hidden="false" customHeight="false" outlineLevel="0" collapsed="false">
      <c r="A561" s="55" t="s">
        <v>1191</v>
      </c>
      <c r="B561" s="55" t="s">
        <v>495</v>
      </c>
      <c r="C561" s="55" t="s">
        <v>164</v>
      </c>
      <c r="D561" s="55" t="s">
        <v>184</v>
      </c>
      <c r="E561" s="55" t="s">
        <v>185</v>
      </c>
      <c r="F561" s="55" t="s">
        <v>218</v>
      </c>
      <c r="G561" s="56" t="n">
        <v>0.22</v>
      </c>
      <c r="H561" s="57" t="n">
        <f aca="false">MAX(0,IF(AND(Parameter!$B$21="Ja",ISNUMBER(Y561)),Y561,IF(Parameter!$B$20="Jahresanfang 2025 + Export",BL561+BK561,BK561)))</f>
        <v>313</v>
      </c>
      <c r="I561" s="57" t="n">
        <f aca="false">H561*G561</f>
        <v>68.86</v>
      </c>
      <c r="J561" s="57" t="n">
        <f aca="false">BN561*Parameter!$B$18</f>
        <v>309</v>
      </c>
      <c r="K561" s="58" t="n">
        <v>143</v>
      </c>
      <c r="L561" s="59" t="n">
        <v>2.16083916083916</v>
      </c>
      <c r="M561" s="57" t="n">
        <v>18</v>
      </c>
      <c r="N561" s="57" t="n">
        <v>310</v>
      </c>
      <c r="O561" s="60" t="n">
        <v>21</v>
      </c>
      <c r="P561" s="55" t="s">
        <v>401</v>
      </c>
      <c r="Q561" s="57" t="n">
        <v>119</v>
      </c>
      <c r="R561" s="60" t="n">
        <f aca="false">IF(BT561=1,0,IFERROR(VLOOKUP(BR561,'Gebinde-Kategorie'!$A$5:$M$45,13,0)+0,0))</f>
        <v>414</v>
      </c>
      <c r="S561" s="61"/>
      <c r="T561" s="62"/>
      <c r="U561" s="62"/>
      <c r="V561" s="62"/>
      <c r="W561" s="55"/>
      <c r="X561" s="57"/>
      <c r="Y561" s="57"/>
      <c r="Z561" s="55" t="n">
        <f aca="false">IF(A561="","",IF(AND(Parameter!$B$21="Ja",ISNUMBER(W561)),W561,IF(BV561="2+3",IF(ISNUMBER(SEARCH("grosser Artikel",BO561)),2,IFERROR(VLOOKUP(BR561,Parameter!$F$35:$G$64,2,0),2)),IF(OR(BV561="Nein",BV561=""),"-",BV561))))</f>
        <v>3</v>
      </c>
      <c r="AA561" s="62"/>
      <c r="AB561" s="63"/>
      <c r="AC561" s="57" t="n">
        <f aca="false">AR561</f>
        <v>357</v>
      </c>
      <c r="AD561" s="57" t="n">
        <f aca="false">MAX(AR561,H561)</f>
        <v>357</v>
      </c>
      <c r="AE561" s="64"/>
      <c r="AF561" s="57" t="n">
        <f aca="false">IF(LEFT(Cockpit!$C$5,1)="A",H561,IF(CA561=1,CB561,IF(LEFT(Cockpit!$C$5,1)="B",AJ561,MAX(AJ561,H561))))</f>
        <v>313</v>
      </c>
      <c r="AG561" s="57" t="n">
        <f aca="false">IF(BT561=1,0,ROUNDUP(AF561/BS561,0))</f>
        <v>3</v>
      </c>
      <c r="AH561" s="59" t="n">
        <f aca="false">IF(CH561&gt;0,CH561*MAX(1,AF561/X561),IF(BT561=1,IF(AF561&lt;=0,0,BW561*MAX(1,IF(H561&gt;0,AF561/H561,1))),IF(R561&gt;0,AG561/R561,0))/MAX(0.1,N(Parameter!$M$21)))</f>
        <v>0.0072463768115942</v>
      </c>
      <c r="AI561" s="57" t="n">
        <f aca="false">AF561*G561</f>
        <v>68.86</v>
      </c>
      <c r="AJ561" s="57" t="n">
        <f aca="false">ROUNDUP(MAX(J561/IF(BZ561&gt;0,BZ561,MAX(0.1,N(Cockpit!$C$6))),CC561)/BS561,0)*BS561</f>
        <v>357</v>
      </c>
      <c r="AK561" s="58" t="n">
        <f aca="false">IF(AH561&gt;0,J561/AH561,-1)</f>
        <v>42642</v>
      </c>
      <c r="AL561" s="58" t="n">
        <f aca="false">IF(AND(OR(BY561="L1",BY561="L23"),AH561&gt;0),SUMIFS($AH$7:$AH$1843,$BY$7:$BY$1843,BY561,$AK$7:$AK$1843,"&gt;"&amp;AK561)+SUMIFS($AH$7:$AH$1843,$BY$7:$BY$1843,BY561,$AK$7:$AK$1843,AK561,$BQ$7:$BQ$1843,"&lt;="&amp;BQ561),"")</f>
        <v>2.01135096787271</v>
      </c>
      <c r="AM561" s="65" t="n">
        <f aca="false">IF(AL561="",0,MAX(0,MIN(1,(IF(BY561="L1",Parameter!$E$5,Parameter!$E$6+Parameter!$E$7)-(AL561-AH561))/AH561)))</f>
        <v>1</v>
      </c>
      <c r="AN561" s="57" t="n">
        <f aca="false">IF(LEFT(Cockpit!$I$5,1)="A",H561,IF(CA561=1,CB561,IF(LEFT(Cockpit!$I$5,1)="B",AR561,MAX(AR561,H561))))</f>
        <v>357</v>
      </c>
      <c r="AO561" s="57" t="n">
        <f aca="false">IF(BT561=1,0,ROUNDUP(AN561/BS561,0))</f>
        <v>3</v>
      </c>
      <c r="AP561" s="59" t="n">
        <f aca="false">IF(CH561&gt;0,CH561*MAX(1,AN561/X561),IF(BT561=1,IF(AN561&lt;=0,0,BW561*MAX(1,IF(H561&gt;0,AN561/H561,1))),IF(R561&gt;0,AO561/R561,0))/MAX(0.1,N(Parameter!$M$21)))</f>
        <v>0.0072463768115942</v>
      </c>
      <c r="AQ561" s="57" t="n">
        <f aca="false">AN561*G561</f>
        <v>78.54</v>
      </c>
      <c r="AR561" s="57" t="n">
        <f aca="false">ROUNDUP(MAX(J561/IF(BZ561&gt;0,BZ561,MAX(0.1,N(Cockpit!$I$6))),CC561)/BS561,0)*BS561</f>
        <v>357</v>
      </c>
      <c r="AS561" s="58" t="n">
        <f aca="false">IF(AP561&gt;0,J561/AP561,-1)</f>
        <v>42642</v>
      </c>
      <c r="AT561" s="58" t="n">
        <f aca="false">IF(AND(OR(BY561="L1",BY561="L23"),AP561&gt;0),SUMIFS($AP$7:$AP$1843,$BY$7:$BY$1843,BY561,$AS$7:$AS$1843,"&gt;"&amp;AS561)+SUMIFS($AP$7:$AP$1843,$BY$7:$BY$1843,BY561,$AS$7:$AS$1843,AS561,$BQ$7:$BQ$1843,"&lt;="&amp;BQ561),"")</f>
        <v>1.94877706834229</v>
      </c>
      <c r="AU561" s="65" t="n">
        <f aca="false">IF(AT561="",0,MAX(0,MIN(1,(IF(BY561="L1",Parameter!$E$5,Parameter!$E$6+Parameter!$E$7)-(AT561-AP561))/AP561)))</f>
        <v>1</v>
      </c>
      <c r="AV561" s="57" t="n">
        <f aca="false">IF(LEFT(Cockpit!$O$5,1)="A",H561,IF(CA561=1,CB561,IF(LEFT(Cockpit!$O$5,1)="B",AZ561,MAX(AZ561,H561))))</f>
        <v>357</v>
      </c>
      <c r="AW561" s="57" t="n">
        <f aca="false">IF(BT561=1,0,ROUNDUP(AV561/BS561,0))</f>
        <v>3</v>
      </c>
      <c r="AX561" s="59" t="n">
        <f aca="false">IF(CH561&gt;0,CH561*MAX(1,AV561/X561),IF(BT561=1,IF(AV561&lt;=0,0,BW561*MAX(1,IF(H561&gt;0,AV561/H561,1))),IF(R561&gt;0,AW561/R561,0))/MAX(0.1,N(Parameter!$M$21)))</f>
        <v>0.0072463768115942</v>
      </c>
      <c r="AY561" s="57" t="n">
        <f aca="false">AV561*G561</f>
        <v>78.54</v>
      </c>
      <c r="AZ561" s="57" t="n">
        <f aca="false">ROUNDUP(MAX(J561/IF(BZ561&gt;0,BZ561,MAX(0.1,N(Cockpit!$O$6))),CC561)/BS561,0)*BS561</f>
        <v>357</v>
      </c>
      <c r="BA561" s="58" t="n">
        <f aca="false">IF(AX561&gt;0,J561/AX561,-1)</f>
        <v>42642</v>
      </c>
      <c r="BB561" s="58" t="n">
        <f aca="false">IF(AND(OR(BY561="L1",BY561="L23"),AX561&gt;0),SUMIFS($AX$7:$AX$1843,$BY$7:$BY$1843,BY561,$BA$7:$BA$1843,"&gt;"&amp;BA561)+SUMIFS($AX$7:$AX$1843,$BY$7:$BY$1843,BY561,$BA$7:$BA$1843,BA561,$BQ$7:$BQ$1843,"&lt;="&amp;BQ561),"")</f>
        <v>2.24714536671058</v>
      </c>
      <c r="BC561" s="65" t="n">
        <f aca="false">IF(BB561="",0,MAX(0,MIN(1,(IF(BY561="L1",Parameter!$E$5,Parameter!$E$6+Parameter!$E$7)-(BB561-AX561))/AX561)))</f>
        <v>1</v>
      </c>
      <c r="BD561" s="55" t="str">
        <f aca="false">IF(AH561&lt;=0,"",IF(BY561="Aussen","Aussenlager",IF(BY561="-","Nicht im Lift",IF(AM561&gt;=1,"Lift",IF(AM561&lt;=0,"Aussenlager","teilweise")))))</f>
        <v>Lift</v>
      </c>
      <c r="BE561" s="55" t="str">
        <f aca="false">IF(AP561&lt;=0,"",IF(BY561="Aussen","Aussenlager",IF(BY561="-","Nicht im Lift",IF(AU561&gt;=1,"Lift",IF(AU561&lt;=0,"Aussenlager","teilweise")))))</f>
        <v>Lift</v>
      </c>
      <c r="BF561" s="55" t="str">
        <f aca="false">IF(AX561&lt;=0,"",IF(BY561="Aussen","Aussenlager",IF(BY561="-","Nicht im Lift",IF(BC561&gt;=1,"Lift",IF(BC561&lt;=0,"Aussenlager","teilweise")))))</f>
        <v>Lift</v>
      </c>
      <c r="BG561" s="55" t="str">
        <f aca="false">IF(A561="","",IF(BP561=1,"Neu; ","")&amp;IF(AND(BP561=0,BK561&lt;0),"negativer Bestand (Export "&amp;BK561&amp;"); ","")&amp;IF(J561&lt;=0,"Kein Verbrauch; ","")&amp;IF(CH561&gt;0,"Lift "&amp;W561&amp;" lt. Liftbericht (Fach "&amp;X561&amp;" Stk); ",IF(BU561=1,"Gebinde geschätzt ("&amp;T561&amp;"); ",IF(BT561=1,"Lose – Tablare geschätzt; ","")))&amp;IF(H561&gt;AR561,"Überbestand "&amp;ROUND(H561-AR561,0)&amp;" Stk / CHF "&amp;ROUND((H561-AR561)*G561,0)&amp;"; ","")&amp;IF(AND(CA561=1,CB561&lt;CC561),"MAX &lt; MB+LG; ","")&amp;IF(AND(CG561&gt;0,CF561*10&gt;CG561),"zu hoch für Tablar; ","")&amp;IF(AND(BP561=0,OR(CA561=1,AA561&lt;&gt;"",U561&lt;&gt;"",V561&lt;&gt;"",AB561&lt;&gt;"")),"manuell übersteuert; ","")&amp;IF(AND(BT561=0,R561=0),"Gebinde unbekannt / Stellmass fehlt; ","")&amp;IF(AND(BT561=0,N(V561)&lt;=0,N(Q561)&lt;=0),"Menge pro Gebinde fehlt (Ist = 1 Gebinde); ","")&amp;BO561)</f>
        <v/>
      </c>
      <c r="BH561" s="55"/>
      <c r="BI561" s="55"/>
      <c r="BJ561" s="62"/>
      <c r="BK561" s="57" t="n">
        <v>165</v>
      </c>
      <c r="BL561" s="57" t="n">
        <v>148</v>
      </c>
      <c r="BM561" s="56" t="n">
        <v>14.1</v>
      </c>
      <c r="BN561" s="57" t="n">
        <v>309</v>
      </c>
      <c r="BO561" s="55"/>
      <c r="BP561" s="60" t="n">
        <v>0</v>
      </c>
      <c r="BQ561" s="60" t="n">
        <v>561</v>
      </c>
      <c r="BR561" s="55" t="str">
        <f aca="false">IF(U561&lt;&gt;"",UPPER(TRIM(U561)),IF(BU561=1,UPPER(VLOOKUP(T561,Parameter!$I$27:$K$29,2,0)),IF(P561="","LOSE",P561)))</f>
        <v>S21</v>
      </c>
      <c r="BS561" s="57" t="n">
        <f aca="false">IF(BR561="LOSE",1,IF(N(V561)&gt;0,V561,IF(BU561=1,MAX(1,N(VLOOKUP(T561,Parameter!$I$27:$K$29,3,0)),H561,N(N561)),IF(N(Q561)&gt;0,Q561,MAX(1,H561)))))</f>
        <v>119</v>
      </c>
      <c r="BT561" s="60" t="n">
        <f aca="false">IF(BR561="LOSE",1,0)</f>
        <v>0</v>
      </c>
      <c r="BU561" s="60" t="n">
        <f aca="false">IF(AND(U561="",OR(P561="",P561="LOSE"),T561&lt;&gt;"",N(S561)&lt;=0,ISNUMBER(MATCH(T561,Parameter!$I$27:$I$29,0))),1,0)</f>
        <v>0</v>
      </c>
      <c r="BV561" s="55" t="str">
        <f aca="false">IF(AND(Parameter!$B$19="Ja",E561&lt;&gt;"",ISNUMBER(MATCH(E561,Parameter!$I$35:$I$52,0))),VLOOKUP(E561,Parameter!$I$35:$J$52,2,0),IFERROR(VLOOKUP(D561,Parameter!$A$35:$C$64,2,0),"Nein"))</f>
        <v>2+3</v>
      </c>
      <c r="BW561" s="59" t="n">
        <f aca="false">IF(BT561=0,0,IF(N(S561)&gt;0,S561,IFERROR(VLOOKUP(D561,Parameter!$A$35:$C$64,3,0)+0,0)))</f>
        <v>0</v>
      </c>
      <c r="BX561" s="55" t="n">
        <f aca="false">IF(AA561&lt;&gt;"",AA561,Z561)</f>
        <v>3</v>
      </c>
      <c r="BY561" s="55" t="str">
        <f aca="false">IF(BX561=1,"L1",IF(OR(BX561=2,BX561=3),"L23",IF(BX561="Aussen","Aussen","-")))</f>
        <v>L23</v>
      </c>
      <c r="BZ561" s="66" t="n">
        <f aca="false">IF(N(AB561)&gt;0,AB561,0)</f>
        <v>0</v>
      </c>
      <c r="CA561" s="60" t="n">
        <f aca="false">IF(ISNUMBER(AE561),1,0)</f>
        <v>0</v>
      </c>
      <c r="CB561" s="57" t="n">
        <f aca="false">N(AE561)</f>
        <v>0</v>
      </c>
      <c r="CC561" s="57" t="n">
        <f aca="false">N(M561)+N(N561)</f>
        <v>328</v>
      </c>
      <c r="CD561" s="57" t="n">
        <f aca="false">ROUNDUP(H561/BS561,0)</f>
        <v>3</v>
      </c>
      <c r="CE561" s="57" t="n">
        <f aca="false">ROUNDUP(CB561/BS561,0)</f>
        <v>0</v>
      </c>
      <c r="CF561" s="60" t="n">
        <f aca="false">IF(BT561=1,0,IFERROR(VLOOKUP(BR561,'Gebinde-Kategorie'!$A$5:$M$45,5,0)+0,0))</f>
        <v>8</v>
      </c>
      <c r="CG561" s="60" t="n">
        <f aca="false">IFERROR(IF(OR(BX561=1,BX561=2,BX561=3),N(INDEX(Parameter!$I$5:$I$7,BX561)),0),0)</f>
        <v>0</v>
      </c>
      <c r="CH561" s="59" t="n">
        <f aca="false">IF(AND(Parameter!$B$21="Ja",ISNUMBER(W561),N(X561)&gt;0),IFERROR(N(INDEX(Parameter!$L$5:$L$7,W561))*INDEX(Parameter!$E$5:$E$7,W561)*X561/SUMIFS($X$7:$X$1843,$W$7:$W$1843,W561),0),0)</f>
        <v>0</v>
      </c>
    </row>
    <row r="562" customFormat="false" ht="15" hidden="false" customHeight="false" outlineLevel="0" collapsed="false">
      <c r="A562" s="55" t="s">
        <v>1192</v>
      </c>
      <c r="B562" s="55" t="s">
        <v>1193</v>
      </c>
      <c r="C562" s="55" t="s">
        <v>164</v>
      </c>
      <c r="D562" s="55" t="s">
        <v>184</v>
      </c>
      <c r="E562" s="55" t="s">
        <v>185</v>
      </c>
      <c r="F562" s="55" t="s">
        <v>218</v>
      </c>
      <c r="G562" s="56" t="n">
        <v>1.4</v>
      </c>
      <c r="H562" s="57" t="n">
        <f aca="false">MAX(0,IF(AND(Parameter!$B$21="Ja",ISNUMBER(Y562)),Y562,IF(Parameter!$B$20="Jahresanfang 2025 + Export",BL562+BK562,BK562)))</f>
        <v>15</v>
      </c>
      <c r="I562" s="57" t="n">
        <f aca="false">H562*G562</f>
        <v>21</v>
      </c>
      <c r="J562" s="57" t="n">
        <f aca="false">BN562*Parameter!$B$18</f>
        <v>15</v>
      </c>
      <c r="K562" s="58" t="n">
        <v>7.5</v>
      </c>
      <c r="L562" s="59" t="n">
        <v>2</v>
      </c>
      <c r="M562" s="57" t="n">
        <v>1</v>
      </c>
      <c r="N562" s="57" t="n">
        <v>15</v>
      </c>
      <c r="O562" s="60" t="n">
        <v>28</v>
      </c>
      <c r="P562" s="55" t="s">
        <v>421</v>
      </c>
      <c r="Q562" s="57" t="n">
        <v>27</v>
      </c>
      <c r="R562" s="60" t="n">
        <f aca="false">IF(BT562=1,0,IFERROR(VLOOKUP(BR562,'Gebinde-Kategorie'!$A$5:$M$45,13,0)+0,0))</f>
        <v>132</v>
      </c>
      <c r="S562" s="61"/>
      <c r="T562" s="62"/>
      <c r="U562" s="62"/>
      <c r="V562" s="62"/>
      <c r="W562" s="55"/>
      <c r="X562" s="57"/>
      <c r="Y562" s="57"/>
      <c r="Z562" s="55" t="n">
        <f aca="false">IF(A562="","",IF(AND(Parameter!$B$21="Ja",ISNUMBER(W562)),W562,IF(BV562="2+3",IF(ISNUMBER(SEARCH("grosser Artikel",BO562)),2,IFERROR(VLOOKUP(BR562,Parameter!$F$35:$G$64,2,0),2)),IF(OR(BV562="Nein",BV562=""),"-",BV562))))</f>
        <v>3</v>
      </c>
      <c r="AA562" s="62"/>
      <c r="AB562" s="63"/>
      <c r="AC562" s="57" t="n">
        <f aca="false">AR562</f>
        <v>27</v>
      </c>
      <c r="AD562" s="57" t="n">
        <f aca="false">MAX(AR562,H562)</f>
        <v>27</v>
      </c>
      <c r="AE562" s="64"/>
      <c r="AF562" s="57" t="n">
        <f aca="false">IF(LEFT(Cockpit!$C$5,1)="A",H562,IF(CA562=1,CB562,IF(LEFT(Cockpit!$C$5,1)="B",AJ562,MAX(AJ562,H562))))</f>
        <v>15</v>
      </c>
      <c r="AG562" s="57" t="n">
        <f aca="false">IF(BT562=1,0,ROUNDUP(AF562/BS562,0))</f>
        <v>1</v>
      </c>
      <c r="AH562" s="59" t="n">
        <f aca="false">IF(CH562&gt;0,CH562*MAX(1,AF562/X562),IF(BT562=1,IF(AF562&lt;=0,0,BW562*MAX(1,IF(H562&gt;0,AF562/H562,1))),IF(R562&gt;0,AG562/R562,0))/MAX(0.1,N(Parameter!$M$21)))</f>
        <v>0.00757575757575758</v>
      </c>
      <c r="AI562" s="57" t="n">
        <f aca="false">AF562*G562</f>
        <v>21</v>
      </c>
      <c r="AJ562" s="57" t="n">
        <f aca="false">ROUNDUP(MAX(J562/IF(BZ562&gt;0,BZ562,MAX(0.1,N(Cockpit!$C$6))),CC562)/BS562,0)*BS562</f>
        <v>27</v>
      </c>
      <c r="AK562" s="58" t="n">
        <f aca="false">IF(AH562&gt;0,J562/AH562,-1)</f>
        <v>1980</v>
      </c>
      <c r="AL562" s="58" t="n">
        <f aca="false">IF(AND(OR(BY562="L1",BY562="L23"),AH562&gt;0),SUMIFS($AH$7:$AH$1843,$BY$7:$BY$1843,BY562,$AK$7:$AK$1843,"&gt;"&amp;AK562)+SUMIFS($AH$7:$AH$1843,$BY$7:$BY$1843,BY562,$AK$7:$AK$1843,AK562,$BQ$7:$BQ$1843,"&lt;="&amp;BQ562),"")</f>
        <v>13.0998783824871</v>
      </c>
      <c r="AM562" s="65" t="n">
        <f aca="false">IF(AL562="",0,MAX(0,MIN(1,(IF(BY562="L1",Parameter!$E$5,Parameter!$E$6+Parameter!$E$7)-(AL562-AH562))/AH562)))</f>
        <v>1</v>
      </c>
      <c r="AN562" s="57" t="n">
        <f aca="false">IF(LEFT(Cockpit!$I$5,1)="A",H562,IF(CA562=1,CB562,IF(LEFT(Cockpit!$I$5,1)="B",AR562,MAX(AR562,H562))))</f>
        <v>27</v>
      </c>
      <c r="AO562" s="57" t="n">
        <f aca="false">IF(BT562=1,0,ROUNDUP(AN562/BS562,0))</f>
        <v>1</v>
      </c>
      <c r="AP562" s="59" t="n">
        <f aca="false">IF(CH562&gt;0,CH562*MAX(1,AN562/X562),IF(BT562=1,IF(AN562&lt;=0,0,BW562*MAX(1,IF(H562&gt;0,AN562/H562,1))),IF(R562&gt;0,AO562/R562,0))/MAX(0.1,N(Parameter!$M$21)))</f>
        <v>0.00757575757575758</v>
      </c>
      <c r="AQ562" s="57" t="n">
        <f aca="false">AN562*G562</f>
        <v>37.8</v>
      </c>
      <c r="AR562" s="57" t="n">
        <f aca="false">ROUNDUP(MAX(J562/IF(BZ562&gt;0,BZ562,MAX(0.1,N(Cockpit!$I$6))),CC562)/BS562,0)*BS562</f>
        <v>27</v>
      </c>
      <c r="AS562" s="58" t="n">
        <f aca="false">IF(AP562&gt;0,J562/AP562,-1)</f>
        <v>1980</v>
      </c>
      <c r="AT562" s="58" t="n">
        <f aca="false">IF(AND(OR(BY562="L1",BY562="L23"),AP562&gt;0),SUMIFS($AP$7:$AP$1843,$BY$7:$BY$1843,BY562,$AS$7:$AS$1843,"&gt;"&amp;AS562)+SUMIFS($AP$7:$AP$1843,$BY$7:$BY$1843,BY562,$AS$7:$AS$1843,AS562,$BQ$7:$BQ$1843,"&lt;="&amp;BQ562),"")</f>
        <v>18.6528664572143</v>
      </c>
      <c r="AU562" s="65" t="n">
        <f aca="false">IF(AT562="",0,MAX(0,MIN(1,(IF(BY562="L1",Parameter!$E$5,Parameter!$E$6+Parameter!$E$7)-(AT562-AP562))/AP562)))</f>
        <v>1</v>
      </c>
      <c r="AV562" s="57" t="n">
        <f aca="false">IF(LEFT(Cockpit!$O$5,1)="A",H562,IF(CA562=1,CB562,IF(LEFT(Cockpit!$O$5,1)="B",AZ562,MAX(AZ562,H562))))</f>
        <v>27</v>
      </c>
      <c r="AW562" s="57" t="n">
        <f aca="false">IF(BT562=1,0,ROUNDUP(AV562/BS562,0))</f>
        <v>1</v>
      </c>
      <c r="AX562" s="59" t="n">
        <f aca="false">IF(CH562&gt;0,CH562*MAX(1,AV562/X562),IF(BT562=1,IF(AV562&lt;=0,0,BW562*MAX(1,IF(H562&gt;0,AV562/H562,1))),IF(R562&gt;0,AW562/R562,0))/MAX(0.1,N(Parameter!$M$21)))</f>
        <v>0.00757575757575758</v>
      </c>
      <c r="AY562" s="57" t="n">
        <f aca="false">AV562*G562</f>
        <v>37.8</v>
      </c>
      <c r="AZ562" s="57" t="n">
        <f aca="false">ROUNDUP(MAX(J562/IF(BZ562&gt;0,BZ562,MAX(0.1,N(Cockpit!$O$6))),CC562)/BS562,0)*BS562</f>
        <v>27</v>
      </c>
      <c r="BA562" s="58" t="n">
        <f aca="false">IF(AX562&gt;0,J562/AX562,-1)</f>
        <v>1980</v>
      </c>
      <c r="BB562" s="58" t="n">
        <f aca="false">IF(AND(OR(BY562="L1",BY562="L23"),AX562&gt;0),SUMIFS($AX$7:$AX$1843,$BY$7:$BY$1843,BY562,$BA$7:$BA$1843,"&gt;"&amp;BA562)+SUMIFS($AX$7:$AX$1843,$BY$7:$BY$1843,BY562,$BA$7:$BA$1843,BA562,$BQ$7:$BQ$1843,"&lt;="&amp;BQ562),"")</f>
        <v>17.2647545691024</v>
      </c>
      <c r="BC562" s="65" t="n">
        <f aca="false">IF(BB562="",0,MAX(0,MIN(1,(IF(BY562="L1",Parameter!$E$5,Parameter!$E$6+Parameter!$E$7)-(BB562-AX562))/AX562)))</f>
        <v>1</v>
      </c>
      <c r="BD562" s="55" t="str">
        <f aca="false">IF(AH562&lt;=0,"",IF(BY562="Aussen","Aussenlager",IF(BY562="-","Nicht im Lift",IF(AM562&gt;=1,"Lift",IF(AM562&lt;=0,"Aussenlager","teilweise")))))</f>
        <v>Lift</v>
      </c>
      <c r="BE562" s="55" t="str">
        <f aca="false">IF(AP562&lt;=0,"",IF(BY562="Aussen","Aussenlager",IF(BY562="-","Nicht im Lift",IF(AU562&gt;=1,"Lift",IF(AU562&lt;=0,"Aussenlager","teilweise")))))</f>
        <v>Lift</v>
      </c>
      <c r="BF562" s="55" t="str">
        <f aca="false">IF(AX562&lt;=0,"",IF(BY562="Aussen","Aussenlager",IF(BY562="-","Nicht im Lift",IF(BC562&gt;=1,"Lift",IF(BC562&lt;=0,"Aussenlager","teilweise")))))</f>
        <v>Lift</v>
      </c>
      <c r="BG562" s="55" t="str">
        <f aca="false">IF(A562="","",IF(BP562=1,"Neu; ","")&amp;IF(AND(BP562=0,BK562&lt;0),"negativer Bestand (Export "&amp;BK562&amp;"); ","")&amp;IF(J562&lt;=0,"Kein Verbrauch; ","")&amp;IF(CH562&gt;0,"Lift "&amp;W562&amp;" lt. Liftbericht (Fach "&amp;X562&amp;" Stk); ",IF(BU562=1,"Gebinde geschätzt ("&amp;T562&amp;"); ",IF(BT562=1,"Lose – Tablare geschätzt; ","")))&amp;IF(H562&gt;AR562,"Überbestand "&amp;ROUND(H562-AR562,0)&amp;" Stk / CHF "&amp;ROUND((H562-AR562)*G562,0)&amp;"; ","")&amp;IF(AND(CA562=1,CB562&lt;CC562),"MAX &lt; MB+LG; ","")&amp;IF(AND(CG562&gt;0,CF562*10&gt;CG562),"zu hoch für Tablar; ","")&amp;IF(AND(BP562=0,OR(CA562=1,AA562&lt;&gt;"",U562&lt;&gt;"",V562&lt;&gt;"",AB562&lt;&gt;"")),"manuell übersteuert; ","")&amp;IF(AND(BT562=0,R562=0),"Gebinde unbekannt / Stellmass fehlt; ","")&amp;IF(AND(BT562=0,N(V562)&lt;=0,N(Q562)&lt;=0),"Menge pro Gebinde fehlt (Ist = 1 Gebinde); ","")&amp;BO562)</f>
        <v/>
      </c>
      <c r="BH562" s="55"/>
      <c r="BI562" s="55"/>
      <c r="BJ562" s="62"/>
      <c r="BK562" s="57" t="n">
        <v>10</v>
      </c>
      <c r="BL562" s="57" t="n">
        <v>5</v>
      </c>
      <c r="BM562" s="56" t="n">
        <v>14.1</v>
      </c>
      <c r="BN562" s="57" t="n">
        <v>15</v>
      </c>
      <c r="BO562" s="55"/>
      <c r="BP562" s="60" t="n">
        <v>0</v>
      </c>
      <c r="BQ562" s="60" t="n">
        <v>562</v>
      </c>
      <c r="BR562" s="55" t="str">
        <f aca="false">IF(U562&lt;&gt;"",UPPER(TRIM(U562)),IF(BU562=1,UPPER(VLOOKUP(T562,Parameter!$I$27:$K$29,2,0)),IF(P562="","LOSE",P562)))</f>
        <v>S32</v>
      </c>
      <c r="BS562" s="57" t="n">
        <f aca="false">IF(BR562="LOSE",1,IF(N(V562)&gt;0,V562,IF(BU562=1,MAX(1,N(VLOOKUP(T562,Parameter!$I$27:$K$29,3,0)),H562,N(N562)),IF(N(Q562)&gt;0,Q562,MAX(1,H562)))))</f>
        <v>27</v>
      </c>
      <c r="BT562" s="60" t="n">
        <f aca="false">IF(BR562="LOSE",1,0)</f>
        <v>0</v>
      </c>
      <c r="BU562" s="60" t="n">
        <f aca="false">IF(AND(U562="",OR(P562="",P562="LOSE"),T562&lt;&gt;"",N(S562)&lt;=0,ISNUMBER(MATCH(T562,Parameter!$I$27:$I$29,0))),1,0)</f>
        <v>0</v>
      </c>
      <c r="BV562" s="55" t="str">
        <f aca="false">IF(AND(Parameter!$B$19="Ja",E562&lt;&gt;"",ISNUMBER(MATCH(E562,Parameter!$I$35:$I$52,0))),VLOOKUP(E562,Parameter!$I$35:$J$52,2,0),IFERROR(VLOOKUP(D562,Parameter!$A$35:$C$64,2,0),"Nein"))</f>
        <v>2+3</v>
      </c>
      <c r="BW562" s="59" t="n">
        <f aca="false">IF(BT562=0,0,IF(N(S562)&gt;0,S562,IFERROR(VLOOKUP(D562,Parameter!$A$35:$C$64,3,0)+0,0)))</f>
        <v>0</v>
      </c>
      <c r="BX562" s="55" t="n">
        <f aca="false">IF(AA562&lt;&gt;"",AA562,Z562)</f>
        <v>3</v>
      </c>
      <c r="BY562" s="55" t="str">
        <f aca="false">IF(BX562=1,"L1",IF(OR(BX562=2,BX562=3),"L23",IF(BX562="Aussen","Aussen","-")))</f>
        <v>L23</v>
      </c>
      <c r="BZ562" s="66" t="n">
        <f aca="false">IF(N(AB562)&gt;0,AB562,0)</f>
        <v>0</v>
      </c>
      <c r="CA562" s="60" t="n">
        <f aca="false">IF(ISNUMBER(AE562),1,0)</f>
        <v>0</v>
      </c>
      <c r="CB562" s="57" t="n">
        <f aca="false">N(AE562)</f>
        <v>0</v>
      </c>
      <c r="CC562" s="57" t="n">
        <f aca="false">N(M562)+N(N562)</f>
        <v>16</v>
      </c>
      <c r="CD562" s="57" t="n">
        <f aca="false">ROUNDUP(H562/BS562,0)</f>
        <v>1</v>
      </c>
      <c r="CE562" s="57" t="n">
        <f aca="false">ROUNDUP(CB562/BS562,0)</f>
        <v>0</v>
      </c>
      <c r="CF562" s="60" t="n">
        <f aca="false">IF(BT562=1,0,IFERROR(VLOOKUP(BR562,'Gebinde-Kategorie'!$A$5:$M$45,5,0)+0,0))</f>
        <v>8</v>
      </c>
      <c r="CG562" s="60" t="n">
        <f aca="false">IFERROR(IF(OR(BX562=1,BX562=2,BX562=3),N(INDEX(Parameter!$I$5:$I$7,BX562)),0),0)</f>
        <v>0</v>
      </c>
      <c r="CH562" s="59" t="n">
        <f aca="false">IF(AND(Parameter!$B$21="Ja",ISNUMBER(W562),N(X562)&gt;0),IFERROR(N(INDEX(Parameter!$L$5:$L$7,W562))*INDEX(Parameter!$E$5:$E$7,W562)*X562/SUMIFS($X$7:$X$1843,$W$7:$W$1843,W562),0),0)</f>
        <v>0</v>
      </c>
    </row>
    <row r="563" customFormat="false" ht="15" hidden="false" customHeight="false" outlineLevel="0" collapsed="false">
      <c r="A563" s="55" t="s">
        <v>1194</v>
      </c>
      <c r="B563" s="55" t="s">
        <v>1195</v>
      </c>
      <c r="C563" s="55" t="s">
        <v>164</v>
      </c>
      <c r="D563" s="55" t="s">
        <v>184</v>
      </c>
      <c r="E563" s="55" t="s">
        <v>185</v>
      </c>
      <c r="F563" s="55" t="s">
        <v>218</v>
      </c>
      <c r="G563" s="56" t="n">
        <v>2</v>
      </c>
      <c r="H563" s="57" t="n">
        <f aca="false">MAX(0,IF(AND(Parameter!$B$21="Ja",ISNUMBER(Y563)),Y563,IF(Parameter!$B$20="Jahresanfang 2025 + Export",BL563+BK563,BK563)))</f>
        <v>11</v>
      </c>
      <c r="I563" s="57" t="n">
        <f aca="false">H563*G563</f>
        <v>22</v>
      </c>
      <c r="J563" s="57" t="n">
        <f aca="false">BN563*Parameter!$B$18</f>
        <v>0</v>
      </c>
      <c r="K563" s="58" t="n">
        <v>7.5</v>
      </c>
      <c r="L563" s="59" t="n">
        <v>0</v>
      </c>
      <c r="M563" s="57" t="n">
        <v>0</v>
      </c>
      <c r="N563" s="57" t="n">
        <v>1</v>
      </c>
      <c r="O563" s="60" t="n">
        <v>28</v>
      </c>
      <c r="P563" s="55" t="s">
        <v>401</v>
      </c>
      <c r="Q563" s="57" t="n">
        <v>4</v>
      </c>
      <c r="R563" s="60" t="n">
        <f aca="false">IF(BT563=1,0,IFERROR(VLOOKUP(BR563,'Gebinde-Kategorie'!$A$5:$M$45,13,0)+0,0))</f>
        <v>414</v>
      </c>
      <c r="S563" s="61"/>
      <c r="T563" s="62"/>
      <c r="U563" s="62"/>
      <c r="V563" s="62"/>
      <c r="W563" s="55"/>
      <c r="X563" s="57"/>
      <c r="Y563" s="57"/>
      <c r="Z563" s="55" t="n">
        <f aca="false">IF(A563="","",IF(AND(Parameter!$B$21="Ja",ISNUMBER(W563)),W563,IF(BV563="2+3",IF(ISNUMBER(SEARCH("grosser Artikel",BO563)),2,IFERROR(VLOOKUP(BR563,Parameter!$F$35:$G$64,2,0),2)),IF(OR(BV563="Nein",BV563=""),"-",BV563))))</f>
        <v>3</v>
      </c>
      <c r="AA563" s="62"/>
      <c r="AB563" s="63"/>
      <c r="AC563" s="57" t="n">
        <f aca="false">AR563</f>
        <v>4</v>
      </c>
      <c r="AD563" s="57" t="n">
        <f aca="false">MAX(AR563,H563)</f>
        <v>11</v>
      </c>
      <c r="AE563" s="64"/>
      <c r="AF563" s="57" t="n">
        <f aca="false">IF(LEFT(Cockpit!$C$5,1)="A",H563,IF(CA563=1,CB563,IF(LEFT(Cockpit!$C$5,1)="B",AJ563,MAX(AJ563,H563))))</f>
        <v>11</v>
      </c>
      <c r="AG563" s="57" t="n">
        <f aca="false">IF(BT563=1,0,ROUNDUP(AF563/BS563,0))</f>
        <v>3</v>
      </c>
      <c r="AH563" s="59" t="n">
        <f aca="false">IF(CH563&gt;0,CH563*MAX(1,AF563/X563),IF(BT563=1,IF(AF563&lt;=0,0,BW563*MAX(1,IF(H563&gt;0,AF563/H563,1))),IF(R563&gt;0,AG563/R563,0))/MAX(0.1,N(Parameter!$M$21)))</f>
        <v>0.0072463768115942</v>
      </c>
      <c r="AI563" s="57" t="n">
        <f aca="false">AF563*G563</f>
        <v>22</v>
      </c>
      <c r="AJ563" s="57" t="n">
        <f aca="false">ROUNDUP(MAX(J563/IF(BZ563&gt;0,BZ563,MAX(0.1,N(Cockpit!$C$6))),CC563)/BS563,0)*BS563</f>
        <v>4</v>
      </c>
      <c r="AK563" s="58" t="n">
        <f aca="false">IF(AH563&gt;0,J563/AH563,-1)</f>
        <v>0</v>
      </c>
      <c r="AL563" s="58" t="n">
        <f aca="false">IF(AND(OR(BY563="L1",BY563="L23"),AH563&gt;0),SUMIFS($AH$7:$AH$1843,$BY$7:$BY$1843,BY563,$AK$7:$AK$1843,"&gt;"&amp;AK563)+SUMIFS($AH$7:$AH$1843,$BY$7:$BY$1843,BY563,$AK$7:$AK$1843,AK563,$BQ$7:$BQ$1843,"&lt;="&amp;BQ563),"")</f>
        <v>75.4416404851188</v>
      </c>
      <c r="AM563" s="65" t="n">
        <f aca="false">IF(AL563="",0,MAX(0,MIN(1,(IF(BY563="L1",Parameter!$E$5,Parameter!$E$6+Parameter!$E$7)-(AL563-AH563))/AH563)))</f>
        <v>1</v>
      </c>
      <c r="AN563" s="57" t="n">
        <f aca="false">IF(LEFT(Cockpit!$I$5,1)="A",H563,IF(CA563=1,CB563,IF(LEFT(Cockpit!$I$5,1)="B",AR563,MAX(AR563,H563))))</f>
        <v>11</v>
      </c>
      <c r="AO563" s="57" t="n">
        <f aca="false">IF(BT563=1,0,ROUNDUP(AN563/BS563,0))</f>
        <v>3</v>
      </c>
      <c r="AP563" s="59" t="n">
        <f aca="false">IF(CH563&gt;0,CH563*MAX(1,AN563/X563),IF(BT563=1,IF(AN563&lt;=0,0,BW563*MAX(1,IF(H563&gt;0,AN563/H563,1))),IF(R563&gt;0,AO563/R563,0))/MAX(0.1,N(Parameter!$M$21)))</f>
        <v>0.0072463768115942</v>
      </c>
      <c r="AQ563" s="57" t="n">
        <f aca="false">AN563*G563</f>
        <v>22</v>
      </c>
      <c r="AR563" s="57" t="n">
        <f aca="false">ROUNDUP(MAX(J563/IF(BZ563&gt;0,BZ563,MAX(0.1,N(Cockpit!$I$6))),CC563)/BS563,0)*BS563</f>
        <v>4</v>
      </c>
      <c r="AS563" s="58" t="n">
        <f aca="false">IF(AP563&gt;0,J563/AP563,-1)</f>
        <v>0</v>
      </c>
      <c r="AT563" s="58" t="n">
        <f aca="false">IF(AND(OR(BY563="L1",BY563="L23"),AP563&gt;0),SUMIFS($AP$7:$AP$1843,$BY$7:$BY$1843,BY563,$AS$7:$AS$1843,"&gt;"&amp;AS563)+SUMIFS($AP$7:$AP$1843,$BY$7:$BY$1843,BY563,$AS$7:$AS$1843,AS563,$BQ$7:$BQ$1843,"&lt;="&amp;BQ563),"")</f>
        <v>114.865764670113</v>
      </c>
      <c r="AU563" s="65" t="n">
        <f aca="false">IF(AT563="",0,MAX(0,MIN(1,(IF(BY563="L1",Parameter!$E$5,Parameter!$E$6+Parameter!$E$7)-(AT563-AP563))/AP563)))</f>
        <v>0</v>
      </c>
      <c r="AV563" s="57" t="n">
        <f aca="false">IF(LEFT(Cockpit!$O$5,1)="A",H563,IF(CA563=1,CB563,IF(LEFT(Cockpit!$O$5,1)="B",AZ563,MAX(AZ563,H563))))</f>
        <v>11</v>
      </c>
      <c r="AW563" s="57" t="n">
        <f aca="false">IF(BT563=1,0,ROUNDUP(AV563/BS563,0))</f>
        <v>3</v>
      </c>
      <c r="AX563" s="59" t="n">
        <f aca="false">IF(CH563&gt;0,CH563*MAX(1,AV563/X563),IF(BT563=1,IF(AV563&lt;=0,0,BW563*MAX(1,IF(H563&gt;0,AV563/H563,1))),IF(R563&gt;0,AW563/R563,0))/MAX(0.1,N(Parameter!$M$21)))</f>
        <v>0.0072463768115942</v>
      </c>
      <c r="AY563" s="57" t="n">
        <f aca="false">AV563*G563</f>
        <v>22</v>
      </c>
      <c r="AZ563" s="57" t="n">
        <f aca="false">ROUNDUP(MAX(J563/IF(BZ563&gt;0,BZ563,MAX(0.1,N(Cockpit!$O$6))),CC563)/BS563,0)*BS563</f>
        <v>4</v>
      </c>
      <c r="BA563" s="58" t="n">
        <f aca="false">IF(AX563&gt;0,J563/AX563,-1)</f>
        <v>0</v>
      </c>
      <c r="BB563" s="58" t="n">
        <f aca="false">IF(AND(OR(BY563="L1",BY563="L23"),AX563&gt;0),SUMIFS($AX$7:$AX$1843,$BY$7:$BY$1843,BY563,$BA$7:$BA$1843,"&gt;"&amp;BA563)+SUMIFS($AX$7:$AX$1843,$BY$7:$BY$1843,BY563,$BA$7:$BA$1843,BA563,$BQ$7:$BQ$1843,"&lt;="&amp;BQ563),"")</f>
        <v>105.695601499949</v>
      </c>
      <c r="BC563" s="65" t="n">
        <f aca="false">IF(BB563="",0,MAX(0,MIN(1,(IF(BY563="L1",Parameter!$E$5,Parameter!$E$6+Parameter!$E$7)-(BB563-AX563))/AX563)))</f>
        <v>0</v>
      </c>
      <c r="BD563" s="55" t="str">
        <f aca="false">IF(AH563&lt;=0,"",IF(BY563="Aussen","Aussenlager",IF(BY563="-","Nicht im Lift",IF(AM563&gt;=1,"Lift",IF(AM563&lt;=0,"Aussenlager","teilweise")))))</f>
        <v>Lift</v>
      </c>
      <c r="BE563" s="55" t="str">
        <f aca="false">IF(AP563&lt;=0,"",IF(BY563="Aussen","Aussenlager",IF(BY563="-","Nicht im Lift",IF(AU563&gt;=1,"Lift",IF(AU563&lt;=0,"Aussenlager","teilweise")))))</f>
        <v>Aussenlager</v>
      </c>
      <c r="BF563" s="55" t="str">
        <f aca="false">IF(AX563&lt;=0,"",IF(BY563="Aussen","Aussenlager",IF(BY563="-","Nicht im Lift",IF(BC563&gt;=1,"Lift",IF(BC563&lt;=0,"Aussenlager","teilweise")))))</f>
        <v>Aussenlager</v>
      </c>
      <c r="BG563" s="55" t="str">
        <f aca="false">IF(A563="","",IF(BP563=1,"Neu; ","")&amp;IF(AND(BP563=0,BK563&lt;0),"negativer Bestand (Export "&amp;BK563&amp;"); ","")&amp;IF(J563&lt;=0,"Kein Verbrauch; ","")&amp;IF(CH563&gt;0,"Lift "&amp;W563&amp;" lt. Liftbericht (Fach "&amp;X563&amp;" Stk); ",IF(BU563=1,"Gebinde geschätzt ("&amp;T563&amp;"); ",IF(BT563=1,"Lose – Tablare geschätzt; ","")))&amp;IF(H563&gt;AR563,"Überbestand "&amp;ROUND(H563-AR563,0)&amp;" Stk / CHF "&amp;ROUND((H563-AR563)*G563,0)&amp;"; ","")&amp;IF(AND(CA563=1,CB563&lt;CC563),"MAX &lt; MB+LG; ","")&amp;IF(AND(CG563&gt;0,CF563*10&gt;CG563),"zu hoch für Tablar; ","")&amp;IF(AND(BP563=0,OR(CA563=1,AA563&lt;&gt;"",U563&lt;&gt;"",V563&lt;&gt;"",AB563&lt;&gt;"")),"manuell übersteuert; ","")&amp;IF(AND(BT563=0,R563=0),"Gebinde unbekannt / Stellmass fehlt; ","")&amp;IF(AND(BT563=0,N(V563)&lt;=0,N(Q563)&lt;=0),"Menge pro Gebinde fehlt (Ist = 1 Gebinde); ","")&amp;BO563)</f>
        <v>Kein Verbrauch; Überbestand 7 Stk / CHF 14; </v>
      </c>
      <c r="BH563" s="55"/>
      <c r="BI563" s="55"/>
      <c r="BJ563" s="62"/>
      <c r="BK563" s="57" t="n">
        <v>7</v>
      </c>
      <c r="BL563" s="57" t="n">
        <v>4</v>
      </c>
      <c r="BM563" s="56" t="n">
        <v>14</v>
      </c>
      <c r="BN563" s="57" t="n">
        <v>0</v>
      </c>
      <c r="BO563" s="55"/>
      <c r="BP563" s="60" t="n">
        <v>0</v>
      </c>
      <c r="BQ563" s="60" t="n">
        <v>563</v>
      </c>
      <c r="BR563" s="55" t="str">
        <f aca="false">IF(U563&lt;&gt;"",UPPER(TRIM(U563)),IF(BU563=1,UPPER(VLOOKUP(T563,Parameter!$I$27:$K$29,2,0)),IF(P563="","LOSE",P563)))</f>
        <v>S21</v>
      </c>
      <c r="BS563" s="57" t="n">
        <f aca="false">IF(BR563="LOSE",1,IF(N(V563)&gt;0,V563,IF(BU563=1,MAX(1,N(VLOOKUP(T563,Parameter!$I$27:$K$29,3,0)),H563,N(N563)),IF(N(Q563)&gt;0,Q563,MAX(1,H563)))))</f>
        <v>4</v>
      </c>
      <c r="BT563" s="60" t="n">
        <f aca="false">IF(BR563="LOSE",1,0)</f>
        <v>0</v>
      </c>
      <c r="BU563" s="60" t="n">
        <f aca="false">IF(AND(U563="",OR(P563="",P563="LOSE"),T563&lt;&gt;"",N(S563)&lt;=0,ISNUMBER(MATCH(T563,Parameter!$I$27:$I$29,0))),1,0)</f>
        <v>0</v>
      </c>
      <c r="BV563" s="55" t="str">
        <f aca="false">IF(AND(Parameter!$B$19="Ja",E563&lt;&gt;"",ISNUMBER(MATCH(E563,Parameter!$I$35:$I$52,0))),VLOOKUP(E563,Parameter!$I$35:$J$52,2,0),IFERROR(VLOOKUP(D563,Parameter!$A$35:$C$64,2,0),"Nein"))</f>
        <v>2+3</v>
      </c>
      <c r="BW563" s="59" t="n">
        <f aca="false">IF(BT563=0,0,IF(N(S563)&gt;0,S563,IFERROR(VLOOKUP(D563,Parameter!$A$35:$C$64,3,0)+0,0)))</f>
        <v>0</v>
      </c>
      <c r="BX563" s="55" t="n">
        <f aca="false">IF(AA563&lt;&gt;"",AA563,Z563)</f>
        <v>3</v>
      </c>
      <c r="BY563" s="55" t="str">
        <f aca="false">IF(BX563=1,"L1",IF(OR(BX563=2,BX563=3),"L23",IF(BX563="Aussen","Aussen","-")))</f>
        <v>L23</v>
      </c>
      <c r="BZ563" s="66" t="n">
        <f aca="false">IF(N(AB563)&gt;0,AB563,0)</f>
        <v>0</v>
      </c>
      <c r="CA563" s="60" t="n">
        <f aca="false">IF(ISNUMBER(AE563),1,0)</f>
        <v>0</v>
      </c>
      <c r="CB563" s="57" t="n">
        <f aca="false">N(AE563)</f>
        <v>0</v>
      </c>
      <c r="CC563" s="57" t="n">
        <f aca="false">N(M563)+N(N563)</f>
        <v>1</v>
      </c>
      <c r="CD563" s="57" t="n">
        <f aca="false">ROUNDUP(H563/BS563,0)</f>
        <v>3</v>
      </c>
      <c r="CE563" s="57" t="n">
        <f aca="false">ROUNDUP(CB563/BS563,0)</f>
        <v>0</v>
      </c>
      <c r="CF563" s="60" t="n">
        <f aca="false">IF(BT563=1,0,IFERROR(VLOOKUP(BR563,'Gebinde-Kategorie'!$A$5:$M$45,5,0)+0,0))</f>
        <v>8</v>
      </c>
      <c r="CG563" s="60" t="n">
        <f aca="false">IFERROR(IF(OR(BX563=1,BX563=2,BX563=3),N(INDEX(Parameter!$I$5:$I$7,BX563)),0),0)</f>
        <v>0</v>
      </c>
      <c r="CH563" s="59" t="n">
        <f aca="false">IF(AND(Parameter!$B$21="Ja",ISNUMBER(W563),N(X563)&gt;0),IFERROR(N(INDEX(Parameter!$L$5:$L$7,W563))*INDEX(Parameter!$E$5:$E$7,W563)*X563/SUMIFS($X$7:$X$1843,$W$7:$W$1843,W563),0),0)</f>
        <v>0</v>
      </c>
    </row>
    <row r="564" customFormat="false" ht="15" hidden="false" customHeight="false" outlineLevel="0" collapsed="false">
      <c r="A564" s="55" t="s">
        <v>1196</v>
      </c>
      <c r="B564" s="55" t="s">
        <v>654</v>
      </c>
      <c r="C564" s="55" t="s">
        <v>164</v>
      </c>
      <c r="D564" s="55" t="s">
        <v>184</v>
      </c>
      <c r="E564" s="55" t="s">
        <v>185</v>
      </c>
      <c r="F564" s="55" t="s">
        <v>218</v>
      </c>
      <c r="G564" s="56" t="n">
        <v>0.06</v>
      </c>
      <c r="H564" s="57" t="n">
        <f aca="false">MAX(0,IF(AND(Parameter!$B$21="Ja",ISNUMBER(Y564)),Y564,IF(Parameter!$B$20="Jahresanfang 2025 + Export",BL564+BK564,BK564)))</f>
        <v>545</v>
      </c>
      <c r="I564" s="57" t="n">
        <f aca="false">H564*G564</f>
        <v>32.7</v>
      </c>
      <c r="J564" s="57" t="n">
        <f aca="false">BN564*Parameter!$B$18</f>
        <v>382</v>
      </c>
      <c r="K564" s="58" t="n">
        <v>289</v>
      </c>
      <c r="L564" s="59" t="n">
        <v>1.32179930795848</v>
      </c>
      <c r="M564" s="57" t="n">
        <v>22</v>
      </c>
      <c r="N564" s="57" t="n">
        <v>500</v>
      </c>
      <c r="O564" s="60" t="n">
        <v>21</v>
      </c>
      <c r="P564" s="55" t="s">
        <v>302</v>
      </c>
      <c r="Q564" s="57" t="n">
        <v>437</v>
      </c>
      <c r="R564" s="60" t="n">
        <f aca="false">IF(BT564=1,0,IFERROR(VLOOKUP(BR564,'Gebinde-Kategorie'!$A$5:$M$45,13,0)+0,0))</f>
        <v>26</v>
      </c>
      <c r="S564" s="61"/>
      <c r="T564" s="62"/>
      <c r="U564" s="62"/>
      <c r="V564" s="62"/>
      <c r="W564" s="55"/>
      <c r="X564" s="57"/>
      <c r="Y564" s="57"/>
      <c r="Z564" s="55" t="n">
        <f aca="false">IF(A564="","",IF(AND(Parameter!$B$21="Ja",ISNUMBER(W564)),W564,IF(BV564="2+3",IF(ISNUMBER(SEARCH("grosser Artikel",BO564)),2,IFERROR(VLOOKUP(BR564,Parameter!$F$35:$G$64,2,0),2)),IF(OR(BV564="Nein",BV564=""),"-",BV564))))</f>
        <v>3</v>
      </c>
      <c r="AA564" s="62"/>
      <c r="AB564" s="63"/>
      <c r="AC564" s="57" t="n">
        <f aca="false">AR564</f>
        <v>874</v>
      </c>
      <c r="AD564" s="57" t="n">
        <f aca="false">MAX(AR564,H564)</f>
        <v>874</v>
      </c>
      <c r="AE564" s="64"/>
      <c r="AF564" s="57" t="n">
        <f aca="false">IF(LEFT(Cockpit!$C$5,1)="A",H564,IF(CA564=1,CB564,IF(LEFT(Cockpit!$C$5,1)="B",AJ564,MAX(AJ564,H564))))</f>
        <v>545</v>
      </c>
      <c r="AG564" s="57" t="n">
        <f aca="false">IF(BT564=1,0,ROUNDUP(AF564/BS564,0))</f>
        <v>2</v>
      </c>
      <c r="AH564" s="59" t="n">
        <f aca="false">IF(CH564&gt;0,CH564*MAX(1,AF564/X564),IF(BT564=1,IF(AF564&lt;=0,0,BW564*MAX(1,IF(H564&gt;0,AF564/H564,1))),IF(R564&gt;0,AG564/R564,0))/MAX(0.1,N(Parameter!$M$21)))</f>
        <v>0.0769230769230769</v>
      </c>
      <c r="AI564" s="57" t="n">
        <f aca="false">AF564*G564</f>
        <v>32.7</v>
      </c>
      <c r="AJ564" s="57" t="n">
        <f aca="false">ROUNDUP(MAX(J564/IF(BZ564&gt;0,BZ564,MAX(0.1,N(Cockpit!$C$6))),CC564)/BS564,0)*BS564</f>
        <v>874</v>
      </c>
      <c r="AK564" s="58" t="n">
        <f aca="false">IF(AH564&gt;0,J564/AH564,-1)</f>
        <v>4966</v>
      </c>
      <c r="AL564" s="58" t="n">
        <f aca="false">IF(AND(OR(BY564="L1",BY564="L23"),AH564&gt;0),SUMIFS($AH$7:$AH$1843,$BY$7:$BY$1843,BY564,$AK$7:$AK$1843,"&gt;"&amp;AK564)+SUMIFS($AH$7:$AH$1843,$BY$7:$BY$1843,BY564,$AK$7:$AK$1843,AK564,$BQ$7:$BQ$1843,"&lt;="&amp;BQ564),"")</f>
        <v>7.2753285361981</v>
      </c>
      <c r="AM564" s="65" t="n">
        <f aca="false">IF(AL564="",0,MAX(0,MIN(1,(IF(BY564="L1",Parameter!$E$5,Parameter!$E$6+Parameter!$E$7)-(AL564-AH564))/AH564)))</f>
        <v>1</v>
      </c>
      <c r="AN564" s="57" t="n">
        <f aca="false">IF(LEFT(Cockpit!$I$5,1)="A",H564,IF(CA564=1,CB564,IF(LEFT(Cockpit!$I$5,1)="B",AR564,MAX(AR564,H564))))</f>
        <v>874</v>
      </c>
      <c r="AO564" s="57" t="n">
        <f aca="false">IF(BT564=1,0,ROUNDUP(AN564/BS564,0))</f>
        <v>2</v>
      </c>
      <c r="AP564" s="59" t="n">
        <f aca="false">IF(CH564&gt;0,CH564*MAX(1,AN564/X564),IF(BT564=1,IF(AN564&lt;=0,0,BW564*MAX(1,IF(H564&gt;0,AN564/H564,1))),IF(R564&gt;0,AO564/R564,0))/MAX(0.1,N(Parameter!$M$21)))</f>
        <v>0.0769230769230769</v>
      </c>
      <c r="AQ564" s="57" t="n">
        <f aca="false">AN564*G564</f>
        <v>52.44</v>
      </c>
      <c r="AR564" s="57" t="n">
        <f aca="false">ROUNDUP(MAX(J564/IF(BZ564&gt;0,BZ564,MAX(0.1,N(Cockpit!$I$6))),CC564)/BS564,0)*BS564</f>
        <v>874</v>
      </c>
      <c r="AS564" s="58" t="n">
        <f aca="false">IF(AP564&gt;0,J564/AP564,-1)</f>
        <v>4966</v>
      </c>
      <c r="AT564" s="58" t="n">
        <f aca="false">IF(AND(OR(BY564="L1",BY564="L23"),AP564&gt;0),SUMIFS($AP$7:$AP$1843,$BY$7:$BY$1843,BY564,$AS$7:$AS$1843,"&gt;"&amp;AS564)+SUMIFS($AP$7:$AP$1843,$BY$7:$BY$1843,BY564,$AS$7:$AS$1843,AS564,$BQ$7:$BQ$1843,"&lt;="&amp;BQ564),"")</f>
        <v>11.9204756596061</v>
      </c>
      <c r="AU564" s="65" t="n">
        <f aca="false">IF(AT564="",0,MAX(0,MIN(1,(IF(BY564="L1",Parameter!$E$5,Parameter!$E$6+Parameter!$E$7)-(AT564-AP564))/AP564)))</f>
        <v>1</v>
      </c>
      <c r="AV564" s="57" t="n">
        <f aca="false">IF(LEFT(Cockpit!$O$5,1)="A",H564,IF(CA564=1,CB564,IF(LEFT(Cockpit!$O$5,1)="B",AZ564,MAX(AZ564,H564))))</f>
        <v>874</v>
      </c>
      <c r="AW564" s="57" t="n">
        <f aca="false">IF(BT564=1,0,ROUNDUP(AV564/BS564,0))</f>
        <v>2</v>
      </c>
      <c r="AX564" s="59" t="n">
        <f aca="false">IF(CH564&gt;0,CH564*MAX(1,AV564/X564),IF(BT564=1,IF(AV564&lt;=0,0,BW564*MAX(1,IF(H564&gt;0,AV564/H564,1))),IF(R564&gt;0,AW564/R564,0))/MAX(0.1,N(Parameter!$M$21)))</f>
        <v>0.0769230769230769</v>
      </c>
      <c r="AY564" s="57" t="n">
        <f aca="false">AV564*G564</f>
        <v>52.44</v>
      </c>
      <c r="AZ564" s="57" t="n">
        <f aca="false">ROUNDUP(MAX(J564/IF(BZ564&gt;0,BZ564,MAX(0.1,N(Cockpit!$O$6))),CC564)/BS564,0)*BS564</f>
        <v>874</v>
      </c>
      <c r="BA564" s="58" t="n">
        <f aca="false">IF(AX564&gt;0,J564/AX564,-1)</f>
        <v>4966</v>
      </c>
      <c r="BB564" s="58" t="n">
        <f aca="false">IF(AND(OR(BY564="L1",BY564="L23"),AX564&gt;0),SUMIFS($AX$7:$AX$1843,$BY$7:$BY$1843,BY564,$BA$7:$BA$1843,"&gt;"&amp;BA564)+SUMIFS($AX$7:$AX$1843,$BY$7:$BY$1843,BY564,$BA$7:$BA$1843,BA564,$BQ$7:$BQ$1843,"&lt;="&amp;BQ564),"")</f>
        <v>10.6413381304686</v>
      </c>
      <c r="BC564" s="65" t="n">
        <f aca="false">IF(BB564="",0,MAX(0,MIN(1,(IF(BY564="L1",Parameter!$E$5,Parameter!$E$6+Parameter!$E$7)-(BB564-AX564))/AX564)))</f>
        <v>1</v>
      </c>
      <c r="BD564" s="55" t="str">
        <f aca="false">IF(AH564&lt;=0,"",IF(BY564="Aussen","Aussenlager",IF(BY564="-","Nicht im Lift",IF(AM564&gt;=1,"Lift",IF(AM564&lt;=0,"Aussenlager","teilweise")))))</f>
        <v>Lift</v>
      </c>
      <c r="BE564" s="55" t="str">
        <f aca="false">IF(AP564&lt;=0,"",IF(BY564="Aussen","Aussenlager",IF(BY564="-","Nicht im Lift",IF(AU564&gt;=1,"Lift",IF(AU564&lt;=0,"Aussenlager","teilweise")))))</f>
        <v>Lift</v>
      </c>
      <c r="BF564" s="55" t="str">
        <f aca="false">IF(AX564&lt;=0,"",IF(BY564="Aussen","Aussenlager",IF(BY564="-","Nicht im Lift",IF(BC564&gt;=1,"Lift",IF(BC564&lt;=0,"Aussenlager","teilweise")))))</f>
        <v>Lift</v>
      </c>
      <c r="BG564" s="55" t="str">
        <f aca="false">IF(A564="","",IF(BP564=1,"Neu; ","")&amp;IF(AND(BP564=0,BK564&lt;0),"negativer Bestand (Export "&amp;BK564&amp;"); ","")&amp;IF(J564&lt;=0,"Kein Verbrauch; ","")&amp;IF(CH564&gt;0,"Lift "&amp;W564&amp;" lt. Liftbericht (Fach "&amp;X564&amp;" Stk); ",IF(BU564=1,"Gebinde geschätzt ("&amp;T564&amp;"); ",IF(BT564=1,"Lose – Tablare geschätzt; ","")))&amp;IF(H564&gt;AR564,"Überbestand "&amp;ROUND(H564-AR564,0)&amp;" Stk / CHF "&amp;ROUND((H564-AR564)*G564,0)&amp;"; ","")&amp;IF(AND(CA564=1,CB564&lt;CC564),"MAX &lt; MB+LG; ","")&amp;IF(AND(CG564&gt;0,CF564*10&gt;CG564),"zu hoch für Tablar; ","")&amp;IF(AND(BP564=0,OR(CA564=1,AA564&lt;&gt;"",U564&lt;&gt;"",V564&lt;&gt;"",AB564&lt;&gt;"")),"manuell übersteuert; ","")&amp;IF(AND(BT564=0,R564=0),"Gebinde unbekannt / Stellmass fehlt; ","")&amp;IF(AND(BT564=0,N(V564)&lt;=0,N(Q564)&lt;=0),"Menge pro Gebinde fehlt (Ist = 1 Gebinde); ","")&amp;BO564)</f>
        <v/>
      </c>
      <c r="BH564" s="55"/>
      <c r="BI564" s="55"/>
      <c r="BJ564" s="62"/>
      <c r="BK564" s="57" t="n">
        <v>233</v>
      </c>
      <c r="BL564" s="57" t="n">
        <v>312</v>
      </c>
      <c r="BM564" s="56" t="n">
        <v>13.98</v>
      </c>
      <c r="BN564" s="57" t="n">
        <v>382</v>
      </c>
      <c r="BO564" s="55"/>
      <c r="BP564" s="60" t="n">
        <v>0</v>
      </c>
      <c r="BQ564" s="60" t="n">
        <v>564</v>
      </c>
      <c r="BR564" s="55" t="str">
        <f aca="false">IF(U564&lt;&gt;"",UPPER(TRIM(U564)),IF(BU564=1,UPPER(VLOOKUP(T564,Parameter!$I$27:$K$29,2,0)),IF(P564="","LOSE",P564)))</f>
        <v>S51</v>
      </c>
      <c r="BS564" s="57" t="n">
        <f aca="false">IF(BR564="LOSE",1,IF(N(V564)&gt;0,V564,IF(BU564=1,MAX(1,N(VLOOKUP(T564,Parameter!$I$27:$K$29,3,0)),H564,N(N564)),IF(N(Q564)&gt;0,Q564,MAX(1,H564)))))</f>
        <v>437</v>
      </c>
      <c r="BT564" s="60" t="n">
        <f aca="false">IF(BR564="LOSE",1,0)</f>
        <v>0</v>
      </c>
      <c r="BU564" s="60" t="n">
        <f aca="false">IF(AND(U564="",OR(P564="",P564="LOSE"),T564&lt;&gt;"",N(S564)&lt;=0,ISNUMBER(MATCH(T564,Parameter!$I$27:$I$29,0))),1,0)</f>
        <v>0</v>
      </c>
      <c r="BV564" s="55" t="str">
        <f aca="false">IF(AND(Parameter!$B$19="Ja",E564&lt;&gt;"",ISNUMBER(MATCH(E564,Parameter!$I$35:$I$52,0))),VLOOKUP(E564,Parameter!$I$35:$J$52,2,0),IFERROR(VLOOKUP(D564,Parameter!$A$35:$C$64,2,0),"Nein"))</f>
        <v>2+3</v>
      </c>
      <c r="BW564" s="59" t="n">
        <f aca="false">IF(BT564=0,0,IF(N(S564)&gt;0,S564,IFERROR(VLOOKUP(D564,Parameter!$A$35:$C$64,3,0)+0,0)))</f>
        <v>0</v>
      </c>
      <c r="BX564" s="55" t="n">
        <f aca="false">IF(AA564&lt;&gt;"",AA564,Z564)</f>
        <v>3</v>
      </c>
      <c r="BY564" s="55" t="str">
        <f aca="false">IF(BX564=1,"L1",IF(OR(BX564=2,BX564=3),"L23",IF(BX564="Aussen","Aussen","-")))</f>
        <v>L23</v>
      </c>
      <c r="BZ564" s="66" t="n">
        <f aca="false">IF(N(AB564)&gt;0,AB564,0)</f>
        <v>0</v>
      </c>
      <c r="CA564" s="60" t="n">
        <f aca="false">IF(ISNUMBER(AE564),1,0)</f>
        <v>0</v>
      </c>
      <c r="CB564" s="57" t="n">
        <f aca="false">N(AE564)</f>
        <v>0</v>
      </c>
      <c r="CC564" s="57" t="n">
        <f aca="false">N(M564)+N(N564)</f>
        <v>522</v>
      </c>
      <c r="CD564" s="57" t="n">
        <f aca="false">ROUNDUP(H564/BS564,0)</f>
        <v>2</v>
      </c>
      <c r="CE564" s="57" t="n">
        <f aca="false">ROUNDUP(CB564/BS564,0)</f>
        <v>0</v>
      </c>
      <c r="CF564" s="60" t="n">
        <f aca="false">IF(BT564=1,0,IFERROR(VLOOKUP(BR564,'Gebinde-Kategorie'!$A$5:$M$45,5,0)+0,0))</f>
        <v>11</v>
      </c>
      <c r="CG564" s="60" t="n">
        <f aca="false">IFERROR(IF(OR(BX564=1,BX564=2,BX564=3),N(INDEX(Parameter!$I$5:$I$7,BX564)),0),0)</f>
        <v>0</v>
      </c>
      <c r="CH564" s="59" t="n">
        <f aca="false">IF(AND(Parameter!$B$21="Ja",ISNUMBER(W564),N(X564)&gt;0),IFERROR(N(INDEX(Parameter!$L$5:$L$7,W564))*INDEX(Parameter!$E$5:$E$7,W564)*X564/SUMIFS($X$7:$X$1843,$W$7:$W$1843,W564),0),0)</f>
        <v>0</v>
      </c>
    </row>
    <row r="565" customFormat="false" ht="15" hidden="false" customHeight="false" outlineLevel="0" collapsed="false">
      <c r="A565" s="55" t="s">
        <v>1197</v>
      </c>
      <c r="B565" s="55" t="s">
        <v>405</v>
      </c>
      <c r="C565" s="55" t="s">
        <v>164</v>
      </c>
      <c r="D565" s="55" t="s">
        <v>184</v>
      </c>
      <c r="E565" s="55" t="s">
        <v>185</v>
      </c>
      <c r="F565" s="55" t="s">
        <v>218</v>
      </c>
      <c r="G565" s="56" t="n">
        <v>0.06</v>
      </c>
      <c r="H565" s="57" t="n">
        <f aca="false">MAX(0,IF(AND(Parameter!$B$21="Ja",ISNUMBER(Y565)),Y565,IF(Parameter!$B$20="Jahresanfang 2025 + Export",BL565+BK565,BK565)))</f>
        <v>375</v>
      </c>
      <c r="I565" s="57" t="n">
        <f aca="false">H565*G565</f>
        <v>22.5</v>
      </c>
      <c r="J565" s="57" t="n">
        <f aca="false">BN565*Parameter!$B$18</f>
        <v>295</v>
      </c>
      <c r="K565" s="58" t="n">
        <v>144.5</v>
      </c>
      <c r="L565" s="59" t="n">
        <v>2.04152249134948</v>
      </c>
      <c r="M565" s="57" t="n">
        <v>17</v>
      </c>
      <c r="N565" s="57" t="n">
        <v>400</v>
      </c>
      <c r="O565" s="60" t="n">
        <v>21</v>
      </c>
      <c r="P565" s="55" t="s">
        <v>421</v>
      </c>
      <c r="Q565" s="57" t="n">
        <v>150</v>
      </c>
      <c r="R565" s="60" t="n">
        <f aca="false">IF(BT565=1,0,IFERROR(VLOOKUP(BR565,'Gebinde-Kategorie'!$A$5:$M$45,13,0)+0,0))</f>
        <v>132</v>
      </c>
      <c r="S565" s="61"/>
      <c r="T565" s="62"/>
      <c r="U565" s="62"/>
      <c r="V565" s="62"/>
      <c r="W565" s="55"/>
      <c r="X565" s="57"/>
      <c r="Y565" s="57"/>
      <c r="Z565" s="55" t="n">
        <f aca="false">IF(A565="","",IF(AND(Parameter!$B$21="Ja",ISNUMBER(W565)),W565,IF(BV565="2+3",IF(ISNUMBER(SEARCH("grosser Artikel",BO565)),2,IFERROR(VLOOKUP(BR565,Parameter!$F$35:$G$64,2,0),2)),IF(OR(BV565="Nein",BV565=""),"-",BV565))))</f>
        <v>3</v>
      </c>
      <c r="AA565" s="62"/>
      <c r="AB565" s="63"/>
      <c r="AC565" s="57" t="n">
        <f aca="false">AR565</f>
        <v>450</v>
      </c>
      <c r="AD565" s="57" t="n">
        <f aca="false">MAX(AR565,H565)</f>
        <v>450</v>
      </c>
      <c r="AE565" s="64"/>
      <c r="AF565" s="57" t="n">
        <f aca="false">IF(LEFT(Cockpit!$C$5,1)="A",H565,IF(CA565=1,CB565,IF(LEFT(Cockpit!$C$5,1)="B",AJ565,MAX(AJ565,H565))))</f>
        <v>375</v>
      </c>
      <c r="AG565" s="57" t="n">
        <f aca="false">IF(BT565=1,0,ROUNDUP(AF565/BS565,0))</f>
        <v>3</v>
      </c>
      <c r="AH565" s="59" t="n">
        <f aca="false">IF(CH565&gt;0,CH565*MAX(1,AF565/X565),IF(BT565=1,IF(AF565&lt;=0,0,BW565*MAX(1,IF(H565&gt;0,AF565/H565,1))),IF(R565&gt;0,AG565/R565,0))/MAX(0.1,N(Parameter!$M$21)))</f>
        <v>0.0227272727272727</v>
      </c>
      <c r="AI565" s="57" t="n">
        <f aca="false">AF565*G565</f>
        <v>22.5</v>
      </c>
      <c r="AJ565" s="57" t="n">
        <f aca="false">ROUNDUP(MAX(J565/IF(BZ565&gt;0,BZ565,MAX(0.1,N(Cockpit!$C$6))),CC565)/BS565,0)*BS565</f>
        <v>450</v>
      </c>
      <c r="AK565" s="58" t="n">
        <f aca="false">IF(AH565&gt;0,J565/AH565,-1)</f>
        <v>12980</v>
      </c>
      <c r="AL565" s="58" t="n">
        <f aca="false">IF(AND(OR(BY565="L1",BY565="L23"),AH565&gt;0),SUMIFS($AH$7:$AH$1843,$BY$7:$BY$1843,BY565,$AK$7:$AK$1843,"&gt;"&amp;AK565)+SUMIFS($AH$7:$AH$1843,$BY$7:$BY$1843,BY565,$AK$7:$AK$1843,AK565,$BQ$7:$BQ$1843,"&lt;="&amp;BQ565),"")</f>
        <v>4.74804060673626</v>
      </c>
      <c r="AM565" s="65" t="n">
        <f aca="false">IF(AL565="",0,MAX(0,MIN(1,(IF(BY565="L1",Parameter!$E$5,Parameter!$E$6+Parameter!$E$7)-(AL565-AH565))/AH565)))</f>
        <v>1</v>
      </c>
      <c r="AN565" s="57" t="n">
        <f aca="false">IF(LEFT(Cockpit!$I$5,1)="A",H565,IF(CA565=1,CB565,IF(LEFT(Cockpit!$I$5,1)="B",AR565,MAX(AR565,H565))))</f>
        <v>450</v>
      </c>
      <c r="AO565" s="57" t="n">
        <f aca="false">IF(BT565=1,0,ROUNDUP(AN565/BS565,0))</f>
        <v>3</v>
      </c>
      <c r="AP565" s="59" t="n">
        <f aca="false">IF(CH565&gt;0,CH565*MAX(1,AN565/X565),IF(BT565=1,IF(AN565&lt;=0,0,BW565*MAX(1,IF(H565&gt;0,AN565/H565,1))),IF(R565&gt;0,AO565/R565,0))/MAX(0.1,N(Parameter!$M$21)))</f>
        <v>0.0227272727272727</v>
      </c>
      <c r="AQ565" s="57" t="n">
        <f aca="false">AN565*G565</f>
        <v>27</v>
      </c>
      <c r="AR565" s="57" t="n">
        <f aca="false">ROUNDUP(MAX(J565/IF(BZ565&gt;0,BZ565,MAX(0.1,N(Cockpit!$I$6))),CC565)/BS565,0)*BS565</f>
        <v>450</v>
      </c>
      <c r="AS565" s="58" t="n">
        <f aca="false">IF(AP565&gt;0,J565/AP565,-1)</f>
        <v>12980</v>
      </c>
      <c r="AT565" s="58" t="n">
        <f aca="false">IF(AND(OR(BY565="L1",BY565="L23"),AP565&gt;0),SUMIFS($AP$7:$AP$1843,$BY$7:$BY$1843,BY565,$AS$7:$AS$1843,"&gt;"&amp;AS565)+SUMIFS($AP$7:$AP$1843,$BY$7:$BY$1843,BY565,$AS$7:$AS$1843,AS565,$BQ$7:$BQ$1843,"&lt;="&amp;BQ565),"")</f>
        <v>5.35483598527077</v>
      </c>
      <c r="AU565" s="65" t="n">
        <f aca="false">IF(AT565="",0,MAX(0,MIN(1,(IF(BY565="L1",Parameter!$E$5,Parameter!$E$6+Parameter!$E$7)-(AT565-AP565))/AP565)))</f>
        <v>1</v>
      </c>
      <c r="AV565" s="57" t="n">
        <f aca="false">IF(LEFT(Cockpit!$O$5,1)="A",H565,IF(CA565=1,CB565,IF(LEFT(Cockpit!$O$5,1)="B",AZ565,MAX(AZ565,H565))))</f>
        <v>450</v>
      </c>
      <c r="AW565" s="57" t="n">
        <f aca="false">IF(BT565=1,0,ROUNDUP(AV565/BS565,0))</f>
        <v>3</v>
      </c>
      <c r="AX565" s="59" t="n">
        <f aca="false">IF(CH565&gt;0,CH565*MAX(1,AV565/X565),IF(BT565=1,IF(AV565&lt;=0,0,BW565*MAX(1,IF(H565&gt;0,AV565/H565,1))),IF(R565&gt;0,AW565/R565,0))/MAX(0.1,N(Parameter!$M$21)))</f>
        <v>0.0227272727272727</v>
      </c>
      <c r="AY565" s="57" t="n">
        <f aca="false">AV565*G565</f>
        <v>27</v>
      </c>
      <c r="AZ565" s="57" t="n">
        <f aca="false">ROUNDUP(MAX(J565/IF(BZ565&gt;0,BZ565,MAX(0.1,N(Cockpit!$O$6))),CC565)/BS565,0)*BS565</f>
        <v>450</v>
      </c>
      <c r="BA565" s="58" t="n">
        <f aca="false">IF(AX565&gt;0,J565/AX565,-1)</f>
        <v>12980</v>
      </c>
      <c r="BB565" s="58" t="n">
        <f aca="false">IF(AND(OR(BY565="L1",BY565="L23"),AX565&gt;0),SUMIFS($AX$7:$AX$1843,$BY$7:$BY$1843,BY565,$BA$7:$BA$1843,"&gt;"&amp;BA565)+SUMIFS($AX$7:$AX$1843,$BY$7:$BY$1843,BY565,$BA$7:$BA$1843,BA565,$BQ$7:$BQ$1843,"&lt;="&amp;BQ565),"")</f>
        <v>6.35133948177426</v>
      </c>
      <c r="BC565" s="65" t="n">
        <f aca="false">IF(BB565="",0,MAX(0,MIN(1,(IF(BY565="L1",Parameter!$E$5,Parameter!$E$6+Parameter!$E$7)-(BB565-AX565))/AX565)))</f>
        <v>1</v>
      </c>
      <c r="BD565" s="55" t="str">
        <f aca="false">IF(AH565&lt;=0,"",IF(BY565="Aussen","Aussenlager",IF(BY565="-","Nicht im Lift",IF(AM565&gt;=1,"Lift",IF(AM565&lt;=0,"Aussenlager","teilweise")))))</f>
        <v>Lift</v>
      </c>
      <c r="BE565" s="55" t="str">
        <f aca="false">IF(AP565&lt;=0,"",IF(BY565="Aussen","Aussenlager",IF(BY565="-","Nicht im Lift",IF(AU565&gt;=1,"Lift",IF(AU565&lt;=0,"Aussenlager","teilweise")))))</f>
        <v>Lift</v>
      </c>
      <c r="BF565" s="55" t="str">
        <f aca="false">IF(AX565&lt;=0,"",IF(BY565="Aussen","Aussenlager",IF(BY565="-","Nicht im Lift",IF(BC565&gt;=1,"Lift",IF(BC565&lt;=0,"Aussenlager","teilweise")))))</f>
        <v>Lift</v>
      </c>
      <c r="BG565" s="55" t="str">
        <f aca="false">IF(A565="","",IF(BP565=1,"Neu; ","")&amp;IF(AND(BP565=0,BK565&lt;0),"negativer Bestand (Export "&amp;BK565&amp;"); ","")&amp;IF(J565&lt;=0,"Kein Verbrauch; ","")&amp;IF(CH565&gt;0,"Lift "&amp;W565&amp;" lt. Liftbericht (Fach "&amp;X565&amp;" Stk); ",IF(BU565=1,"Gebinde geschätzt ("&amp;T565&amp;"); ",IF(BT565=1,"Lose – Tablare geschätzt; ","")))&amp;IF(H565&gt;AR565,"Überbestand "&amp;ROUND(H565-AR565,0)&amp;" Stk / CHF "&amp;ROUND((H565-AR565)*G565,0)&amp;"; ","")&amp;IF(AND(CA565=1,CB565&lt;CC565),"MAX &lt; MB+LG; ","")&amp;IF(AND(CG565&gt;0,CF565*10&gt;CG565),"zu hoch für Tablar; ","")&amp;IF(AND(BP565=0,OR(CA565=1,AA565&lt;&gt;"",U565&lt;&gt;"",V565&lt;&gt;"",AB565&lt;&gt;"")),"manuell übersteuert; ","")&amp;IF(AND(BT565=0,R565=0),"Gebinde unbekannt / Stellmass fehlt; ","")&amp;IF(AND(BT565=0,N(V565)&lt;=0,N(Q565)&lt;=0),"Menge pro Gebinde fehlt (Ist = 1 Gebinde); ","")&amp;BO565)</f>
        <v>nicht im KTL vorhanden</v>
      </c>
      <c r="BH565" s="55"/>
      <c r="BI565" s="55"/>
      <c r="BJ565" s="62"/>
      <c r="BK565" s="57" t="n">
        <v>259</v>
      </c>
      <c r="BL565" s="57" t="n">
        <v>116</v>
      </c>
      <c r="BM565" s="56" t="n">
        <v>13.22</v>
      </c>
      <c r="BN565" s="57" t="n">
        <v>295</v>
      </c>
      <c r="BO565" s="55" t="s">
        <v>230</v>
      </c>
      <c r="BP565" s="60" t="n">
        <v>0</v>
      </c>
      <c r="BQ565" s="60" t="n">
        <v>565</v>
      </c>
      <c r="BR565" s="55" t="str">
        <f aca="false">IF(U565&lt;&gt;"",UPPER(TRIM(U565)),IF(BU565=1,UPPER(VLOOKUP(T565,Parameter!$I$27:$K$29,2,0)),IF(P565="","LOSE",P565)))</f>
        <v>S32</v>
      </c>
      <c r="BS565" s="57" t="n">
        <f aca="false">IF(BR565="LOSE",1,IF(N(V565)&gt;0,V565,IF(BU565=1,MAX(1,N(VLOOKUP(T565,Parameter!$I$27:$K$29,3,0)),H565,N(N565)),IF(N(Q565)&gt;0,Q565,MAX(1,H565)))))</f>
        <v>150</v>
      </c>
      <c r="BT565" s="60" t="n">
        <f aca="false">IF(BR565="LOSE",1,0)</f>
        <v>0</v>
      </c>
      <c r="BU565" s="60" t="n">
        <f aca="false">IF(AND(U565="",OR(P565="",P565="LOSE"),T565&lt;&gt;"",N(S565)&lt;=0,ISNUMBER(MATCH(T565,Parameter!$I$27:$I$29,0))),1,0)</f>
        <v>0</v>
      </c>
      <c r="BV565" s="55" t="str">
        <f aca="false">IF(AND(Parameter!$B$19="Ja",E565&lt;&gt;"",ISNUMBER(MATCH(E565,Parameter!$I$35:$I$52,0))),VLOOKUP(E565,Parameter!$I$35:$J$52,2,0),IFERROR(VLOOKUP(D565,Parameter!$A$35:$C$64,2,0),"Nein"))</f>
        <v>2+3</v>
      </c>
      <c r="BW565" s="59" t="n">
        <f aca="false">IF(BT565=0,0,IF(N(S565)&gt;0,S565,IFERROR(VLOOKUP(D565,Parameter!$A$35:$C$64,3,0)+0,0)))</f>
        <v>0</v>
      </c>
      <c r="BX565" s="55" t="n">
        <f aca="false">IF(AA565&lt;&gt;"",AA565,Z565)</f>
        <v>3</v>
      </c>
      <c r="BY565" s="55" t="str">
        <f aca="false">IF(BX565=1,"L1",IF(OR(BX565=2,BX565=3),"L23",IF(BX565="Aussen","Aussen","-")))</f>
        <v>L23</v>
      </c>
      <c r="BZ565" s="66" t="n">
        <f aca="false">IF(N(AB565)&gt;0,AB565,0)</f>
        <v>0</v>
      </c>
      <c r="CA565" s="60" t="n">
        <f aca="false">IF(ISNUMBER(AE565),1,0)</f>
        <v>0</v>
      </c>
      <c r="CB565" s="57" t="n">
        <f aca="false">N(AE565)</f>
        <v>0</v>
      </c>
      <c r="CC565" s="57" t="n">
        <f aca="false">N(M565)+N(N565)</f>
        <v>417</v>
      </c>
      <c r="CD565" s="57" t="n">
        <f aca="false">ROUNDUP(H565/BS565,0)</f>
        <v>3</v>
      </c>
      <c r="CE565" s="57" t="n">
        <f aca="false">ROUNDUP(CB565/BS565,0)</f>
        <v>0</v>
      </c>
      <c r="CF565" s="60" t="n">
        <f aca="false">IF(BT565=1,0,IFERROR(VLOOKUP(BR565,'Gebinde-Kategorie'!$A$5:$M$45,5,0)+0,0))</f>
        <v>8</v>
      </c>
      <c r="CG565" s="60" t="n">
        <f aca="false">IFERROR(IF(OR(BX565=1,BX565=2,BX565=3),N(INDEX(Parameter!$I$5:$I$7,BX565)),0),0)</f>
        <v>0</v>
      </c>
      <c r="CH565" s="59" t="n">
        <f aca="false">IF(AND(Parameter!$B$21="Ja",ISNUMBER(W565),N(X565)&gt;0),IFERROR(N(INDEX(Parameter!$L$5:$L$7,W565))*INDEX(Parameter!$E$5:$E$7,W565)*X565/SUMIFS($X$7:$X$1843,$W$7:$W$1843,W565),0),0)</f>
        <v>0</v>
      </c>
    </row>
    <row r="566" customFormat="false" ht="15" hidden="false" customHeight="false" outlineLevel="0" collapsed="false">
      <c r="A566" s="55" t="s">
        <v>1198</v>
      </c>
      <c r="B566" s="55" t="s">
        <v>405</v>
      </c>
      <c r="C566" s="55" t="s">
        <v>164</v>
      </c>
      <c r="D566" s="55" t="s">
        <v>184</v>
      </c>
      <c r="E566" s="55" t="s">
        <v>185</v>
      </c>
      <c r="F566" s="55" t="s">
        <v>218</v>
      </c>
      <c r="G566" s="56" t="n">
        <v>0.03</v>
      </c>
      <c r="H566" s="57" t="n">
        <f aca="false">MAX(0,IF(AND(Parameter!$B$21="Ja",ISNUMBER(Y566)),Y566,IF(Parameter!$B$20="Jahresanfang 2025 + Export",BL566+BK566,BK566)))</f>
        <v>1021</v>
      </c>
      <c r="I566" s="57" t="n">
        <f aca="false">H566*G566</f>
        <v>30.63</v>
      </c>
      <c r="J566" s="57" t="n">
        <f aca="false">BN566*Parameter!$B$18</f>
        <v>604</v>
      </c>
      <c r="K566" s="58" t="n">
        <v>521.5</v>
      </c>
      <c r="L566" s="59" t="n">
        <v>1.1581975071908</v>
      </c>
      <c r="M566" s="57" t="n">
        <v>35</v>
      </c>
      <c r="N566" s="57" t="n">
        <v>500</v>
      </c>
      <c r="O566" s="60" t="n">
        <v>21</v>
      </c>
      <c r="P566" s="55" t="s">
        <v>421</v>
      </c>
      <c r="Q566" s="57" t="n">
        <v>504</v>
      </c>
      <c r="R566" s="60" t="n">
        <f aca="false">IF(BT566=1,0,IFERROR(VLOOKUP(BR566,'Gebinde-Kategorie'!$A$5:$M$45,13,0)+0,0))</f>
        <v>132</v>
      </c>
      <c r="S566" s="61"/>
      <c r="T566" s="62"/>
      <c r="U566" s="62"/>
      <c r="V566" s="62"/>
      <c r="W566" s="55"/>
      <c r="X566" s="57"/>
      <c r="Y566" s="57"/>
      <c r="Z566" s="55" t="n">
        <f aca="false">IF(A566="","",IF(AND(Parameter!$B$21="Ja",ISNUMBER(W566)),W566,IF(BV566="2+3",IF(ISNUMBER(SEARCH("grosser Artikel",BO566)),2,IFERROR(VLOOKUP(BR566,Parameter!$F$35:$G$64,2,0),2)),IF(OR(BV566="Nein",BV566=""),"-",BV566))))</f>
        <v>3</v>
      </c>
      <c r="AA566" s="62"/>
      <c r="AB566" s="63"/>
      <c r="AC566" s="57" t="n">
        <f aca="false">AR566</f>
        <v>1008</v>
      </c>
      <c r="AD566" s="57" t="n">
        <f aca="false">MAX(AR566,H566)</f>
        <v>1021</v>
      </c>
      <c r="AE566" s="64"/>
      <c r="AF566" s="57" t="n">
        <f aca="false">IF(LEFT(Cockpit!$C$5,1)="A",H566,IF(CA566=1,CB566,IF(LEFT(Cockpit!$C$5,1)="B",AJ566,MAX(AJ566,H566))))</f>
        <v>1021</v>
      </c>
      <c r="AG566" s="57" t="n">
        <f aca="false">IF(BT566=1,0,ROUNDUP(AF566/BS566,0))</f>
        <v>3</v>
      </c>
      <c r="AH566" s="59" t="n">
        <f aca="false">IF(CH566&gt;0,CH566*MAX(1,AF566/X566),IF(BT566=1,IF(AF566&lt;=0,0,BW566*MAX(1,IF(H566&gt;0,AF566/H566,1))),IF(R566&gt;0,AG566/R566,0))/MAX(0.1,N(Parameter!$M$21)))</f>
        <v>0.0227272727272727</v>
      </c>
      <c r="AI566" s="57" t="n">
        <f aca="false">AF566*G566</f>
        <v>30.63</v>
      </c>
      <c r="AJ566" s="57" t="n">
        <f aca="false">ROUNDUP(MAX(J566/IF(BZ566&gt;0,BZ566,MAX(0.1,N(Cockpit!$C$6))),CC566)/BS566,0)*BS566</f>
        <v>1008</v>
      </c>
      <c r="AK566" s="58" t="n">
        <f aca="false">IF(AH566&gt;0,J566/AH566,-1)</f>
        <v>26576</v>
      </c>
      <c r="AL566" s="58" t="n">
        <f aca="false">IF(AND(OR(BY566="L1",BY566="L23"),AH566&gt;0),SUMIFS($AH$7:$AH$1843,$BY$7:$BY$1843,BY566,$AK$7:$AK$1843,"&gt;"&amp;AK566)+SUMIFS($AH$7:$AH$1843,$BY$7:$BY$1843,BY566,$AK$7:$AK$1843,AK566,$BQ$7:$BQ$1843,"&lt;="&amp;BQ566),"")</f>
        <v>2.78813215769738</v>
      </c>
      <c r="AM566" s="65" t="n">
        <f aca="false">IF(AL566="",0,MAX(0,MIN(1,(IF(BY566="L1",Parameter!$E$5,Parameter!$E$6+Parameter!$E$7)-(AL566-AH566))/AH566)))</f>
        <v>1</v>
      </c>
      <c r="AN566" s="57" t="n">
        <f aca="false">IF(LEFT(Cockpit!$I$5,1)="A",H566,IF(CA566=1,CB566,IF(LEFT(Cockpit!$I$5,1)="B",AR566,MAX(AR566,H566))))</f>
        <v>1021</v>
      </c>
      <c r="AO566" s="57" t="n">
        <f aca="false">IF(BT566=1,0,ROUNDUP(AN566/BS566,0))</f>
        <v>3</v>
      </c>
      <c r="AP566" s="59" t="n">
        <f aca="false">IF(CH566&gt;0,CH566*MAX(1,AN566/X566),IF(BT566=1,IF(AN566&lt;=0,0,BW566*MAX(1,IF(H566&gt;0,AN566/H566,1))),IF(R566&gt;0,AO566/R566,0))/MAX(0.1,N(Parameter!$M$21)))</f>
        <v>0.0227272727272727</v>
      </c>
      <c r="AQ566" s="57" t="n">
        <f aca="false">AN566*G566</f>
        <v>30.63</v>
      </c>
      <c r="AR566" s="57" t="n">
        <f aca="false">ROUNDUP(MAX(J566/IF(BZ566&gt;0,BZ566,MAX(0.1,N(Cockpit!$I$6))),CC566)/BS566,0)*BS566</f>
        <v>1008</v>
      </c>
      <c r="AS566" s="58" t="n">
        <f aca="false">IF(AP566&gt;0,J566/AP566,-1)</f>
        <v>26576</v>
      </c>
      <c r="AT566" s="58" t="n">
        <f aca="false">IF(AND(OR(BY566="L1",BY566="L23"),AP566&gt;0),SUMIFS($AP$7:$AP$1843,$BY$7:$BY$1843,BY566,$AS$7:$AS$1843,"&gt;"&amp;AS566)+SUMIFS($AP$7:$AP$1843,$BY$7:$BY$1843,BY566,$AS$7:$AS$1843,AS566,$BQ$7:$BQ$1843,"&lt;="&amp;BQ566),"")</f>
        <v>3.6302658693963</v>
      </c>
      <c r="AU566" s="65" t="n">
        <f aca="false">IF(AT566="",0,MAX(0,MIN(1,(IF(BY566="L1",Parameter!$E$5,Parameter!$E$6+Parameter!$E$7)-(AT566-AP566))/AP566)))</f>
        <v>1</v>
      </c>
      <c r="AV566" s="57" t="n">
        <f aca="false">IF(LEFT(Cockpit!$O$5,1)="A",H566,IF(CA566=1,CB566,IF(LEFT(Cockpit!$O$5,1)="B",AZ566,MAX(AZ566,H566))))</f>
        <v>1021</v>
      </c>
      <c r="AW566" s="57" t="n">
        <f aca="false">IF(BT566=1,0,ROUNDUP(AV566/BS566,0))</f>
        <v>3</v>
      </c>
      <c r="AX566" s="59" t="n">
        <f aca="false">IF(CH566&gt;0,CH566*MAX(1,AV566/X566),IF(BT566=1,IF(AV566&lt;=0,0,BW566*MAX(1,IF(H566&gt;0,AV566/H566,1))),IF(R566&gt;0,AW566/R566,0))/MAX(0.1,N(Parameter!$M$21)))</f>
        <v>0.0227272727272727</v>
      </c>
      <c r="AY566" s="57" t="n">
        <f aca="false">AV566*G566</f>
        <v>30.63</v>
      </c>
      <c r="AZ566" s="57" t="n">
        <f aca="false">ROUNDUP(MAX(J566/IF(BZ566&gt;0,BZ566,MAX(0.1,N(Cockpit!$O$6))),CC566)/BS566,0)*BS566</f>
        <v>1008</v>
      </c>
      <c r="BA566" s="58" t="n">
        <f aca="false">IF(AX566&gt;0,J566/AX566,-1)</f>
        <v>26576</v>
      </c>
      <c r="BB566" s="58" t="n">
        <f aca="false">IF(AND(OR(BY566="L1",BY566="L23"),AX566&gt;0),SUMIFS($AX$7:$AX$1843,$BY$7:$BY$1843,BY566,$BA$7:$BA$1843,"&gt;"&amp;BA566)+SUMIFS($AX$7:$AX$1843,$BY$7:$BY$1843,BY566,$BA$7:$BA$1843,BA566,$BQ$7:$BQ$1843,"&lt;="&amp;BQ566),"")</f>
        <v>3.35986959900003</v>
      </c>
      <c r="BC566" s="65" t="n">
        <f aca="false">IF(BB566="",0,MAX(0,MIN(1,(IF(BY566="L1",Parameter!$E$5,Parameter!$E$6+Parameter!$E$7)-(BB566-AX566))/AX566)))</f>
        <v>1</v>
      </c>
      <c r="BD566" s="55" t="str">
        <f aca="false">IF(AH566&lt;=0,"",IF(BY566="Aussen","Aussenlager",IF(BY566="-","Nicht im Lift",IF(AM566&gt;=1,"Lift",IF(AM566&lt;=0,"Aussenlager","teilweise")))))</f>
        <v>Lift</v>
      </c>
      <c r="BE566" s="55" t="str">
        <f aca="false">IF(AP566&lt;=0,"",IF(BY566="Aussen","Aussenlager",IF(BY566="-","Nicht im Lift",IF(AU566&gt;=1,"Lift",IF(AU566&lt;=0,"Aussenlager","teilweise")))))</f>
        <v>Lift</v>
      </c>
      <c r="BF566" s="55" t="str">
        <f aca="false">IF(AX566&lt;=0,"",IF(BY566="Aussen","Aussenlager",IF(BY566="-","Nicht im Lift",IF(BC566&gt;=1,"Lift",IF(BC566&lt;=0,"Aussenlager","teilweise")))))</f>
        <v>Lift</v>
      </c>
      <c r="BG566" s="55" t="str">
        <f aca="false">IF(A566="","",IF(BP566=1,"Neu; ","")&amp;IF(AND(BP566=0,BK566&lt;0),"negativer Bestand (Export "&amp;BK566&amp;"); ","")&amp;IF(J566&lt;=0,"Kein Verbrauch; ","")&amp;IF(CH566&gt;0,"Lift "&amp;W566&amp;" lt. Liftbericht (Fach "&amp;X566&amp;" Stk); ",IF(BU566=1,"Gebinde geschätzt ("&amp;T566&amp;"); ",IF(BT566=1,"Lose – Tablare geschätzt; ","")))&amp;IF(H566&gt;AR566,"Überbestand "&amp;ROUND(H566-AR566,0)&amp;" Stk / CHF "&amp;ROUND((H566-AR566)*G566,0)&amp;"; ","")&amp;IF(AND(CA566=1,CB566&lt;CC566),"MAX &lt; MB+LG; ","")&amp;IF(AND(CG566&gt;0,CF566*10&gt;CG566),"zu hoch für Tablar; ","")&amp;IF(AND(BP566=0,OR(CA566=1,AA566&lt;&gt;"",U566&lt;&gt;"",V566&lt;&gt;"",AB566&lt;&gt;"")),"manuell übersteuert; ","")&amp;IF(AND(BT566=0,R566=0),"Gebinde unbekannt / Stellmass fehlt; ","")&amp;IF(AND(BT566=0,N(V566)&lt;=0,N(Q566)&lt;=0),"Menge pro Gebinde fehlt (Ist = 1 Gebinde); ","")&amp;BO566)</f>
        <v>Überbestand 13 Stk / CHF 0; </v>
      </c>
      <c r="BH566" s="55"/>
      <c r="BI566" s="55"/>
      <c r="BJ566" s="62"/>
      <c r="BK566" s="57" t="n">
        <v>439</v>
      </c>
      <c r="BL566" s="57" t="n">
        <v>582</v>
      </c>
      <c r="BM566" s="56" t="n">
        <v>13.17</v>
      </c>
      <c r="BN566" s="57" t="n">
        <v>604</v>
      </c>
      <c r="BO566" s="55"/>
      <c r="BP566" s="60" t="n">
        <v>0</v>
      </c>
      <c r="BQ566" s="60" t="n">
        <v>566</v>
      </c>
      <c r="BR566" s="55" t="str">
        <f aca="false">IF(U566&lt;&gt;"",UPPER(TRIM(U566)),IF(BU566=1,UPPER(VLOOKUP(T566,Parameter!$I$27:$K$29,2,0)),IF(P566="","LOSE",P566)))</f>
        <v>S32</v>
      </c>
      <c r="BS566" s="57" t="n">
        <f aca="false">IF(BR566="LOSE",1,IF(N(V566)&gt;0,V566,IF(BU566=1,MAX(1,N(VLOOKUP(T566,Parameter!$I$27:$K$29,3,0)),H566,N(N566)),IF(N(Q566)&gt;0,Q566,MAX(1,H566)))))</f>
        <v>504</v>
      </c>
      <c r="BT566" s="60" t="n">
        <f aca="false">IF(BR566="LOSE",1,0)</f>
        <v>0</v>
      </c>
      <c r="BU566" s="60" t="n">
        <f aca="false">IF(AND(U566="",OR(P566="",P566="LOSE"),T566&lt;&gt;"",N(S566)&lt;=0,ISNUMBER(MATCH(T566,Parameter!$I$27:$I$29,0))),1,0)</f>
        <v>0</v>
      </c>
      <c r="BV566" s="55" t="str">
        <f aca="false">IF(AND(Parameter!$B$19="Ja",E566&lt;&gt;"",ISNUMBER(MATCH(E566,Parameter!$I$35:$I$52,0))),VLOOKUP(E566,Parameter!$I$35:$J$52,2,0),IFERROR(VLOOKUP(D566,Parameter!$A$35:$C$64,2,0),"Nein"))</f>
        <v>2+3</v>
      </c>
      <c r="BW566" s="59" t="n">
        <f aca="false">IF(BT566=0,0,IF(N(S566)&gt;0,S566,IFERROR(VLOOKUP(D566,Parameter!$A$35:$C$64,3,0)+0,0)))</f>
        <v>0</v>
      </c>
      <c r="BX566" s="55" t="n">
        <f aca="false">IF(AA566&lt;&gt;"",AA566,Z566)</f>
        <v>3</v>
      </c>
      <c r="BY566" s="55" t="str">
        <f aca="false">IF(BX566=1,"L1",IF(OR(BX566=2,BX566=3),"L23",IF(BX566="Aussen","Aussen","-")))</f>
        <v>L23</v>
      </c>
      <c r="BZ566" s="66" t="n">
        <f aca="false">IF(N(AB566)&gt;0,AB566,0)</f>
        <v>0</v>
      </c>
      <c r="CA566" s="60" t="n">
        <f aca="false">IF(ISNUMBER(AE566),1,0)</f>
        <v>0</v>
      </c>
      <c r="CB566" s="57" t="n">
        <f aca="false">N(AE566)</f>
        <v>0</v>
      </c>
      <c r="CC566" s="57" t="n">
        <f aca="false">N(M566)+N(N566)</f>
        <v>535</v>
      </c>
      <c r="CD566" s="57" t="n">
        <f aca="false">ROUNDUP(H566/BS566,0)</f>
        <v>3</v>
      </c>
      <c r="CE566" s="57" t="n">
        <f aca="false">ROUNDUP(CB566/BS566,0)</f>
        <v>0</v>
      </c>
      <c r="CF566" s="60" t="n">
        <f aca="false">IF(BT566=1,0,IFERROR(VLOOKUP(BR566,'Gebinde-Kategorie'!$A$5:$M$45,5,0)+0,0))</f>
        <v>8</v>
      </c>
      <c r="CG566" s="60" t="n">
        <f aca="false">IFERROR(IF(OR(BX566=1,BX566=2,BX566=3),N(INDEX(Parameter!$I$5:$I$7,BX566)),0),0)</f>
        <v>0</v>
      </c>
      <c r="CH566" s="59" t="n">
        <f aca="false">IF(AND(Parameter!$B$21="Ja",ISNUMBER(W566),N(X566)&gt;0),IFERROR(N(INDEX(Parameter!$L$5:$L$7,W566))*INDEX(Parameter!$E$5:$E$7,W566)*X566/SUMIFS($X$7:$X$1843,$W$7:$W$1843,W566),0),0)</f>
        <v>0</v>
      </c>
    </row>
    <row r="567" customFormat="false" ht="15" hidden="false" customHeight="false" outlineLevel="0" collapsed="false">
      <c r="A567" s="55" t="s">
        <v>1199</v>
      </c>
      <c r="B567" s="55" t="s">
        <v>949</v>
      </c>
      <c r="C567" s="55" t="s">
        <v>164</v>
      </c>
      <c r="D567" s="55" t="s">
        <v>184</v>
      </c>
      <c r="E567" s="55" t="s">
        <v>185</v>
      </c>
      <c r="F567" s="55" t="s">
        <v>218</v>
      </c>
      <c r="G567" s="56" t="n">
        <v>3.84</v>
      </c>
      <c r="H567" s="57" t="n">
        <f aca="false">MAX(0,IF(AND(Parameter!$B$21="Ja",ISNUMBER(Y567)),Y567,IF(Parameter!$B$20="Jahresanfang 2025 + Export",BL567+BK567,BK567)))</f>
        <v>205</v>
      </c>
      <c r="I567" s="57" t="n">
        <f aca="false">H567*G567</f>
        <v>787.2</v>
      </c>
      <c r="J567" s="57" t="n">
        <f aca="false">BN567*Parameter!$B$18</f>
        <v>106</v>
      </c>
      <c r="K567" s="58" t="n">
        <v>140.5</v>
      </c>
      <c r="L567" s="59" t="n">
        <v>0.754448398576513</v>
      </c>
      <c r="M567" s="57" t="n">
        <v>16</v>
      </c>
      <c r="N567" s="57" t="n">
        <v>105</v>
      </c>
      <c r="O567" s="60" t="n">
        <v>56</v>
      </c>
      <c r="P567" s="55" t="s">
        <v>421</v>
      </c>
      <c r="Q567" s="57" t="n">
        <v>88</v>
      </c>
      <c r="R567" s="60" t="n">
        <f aca="false">IF(BT567=1,0,IFERROR(VLOOKUP(BR567,'Gebinde-Kategorie'!$A$5:$M$45,13,0)+0,0))</f>
        <v>132</v>
      </c>
      <c r="S567" s="61"/>
      <c r="T567" s="62"/>
      <c r="U567" s="62"/>
      <c r="V567" s="62"/>
      <c r="W567" s="55"/>
      <c r="X567" s="57"/>
      <c r="Y567" s="57"/>
      <c r="Z567" s="55" t="n">
        <f aca="false">IF(A567="","",IF(AND(Parameter!$B$21="Ja",ISNUMBER(W567)),W567,IF(BV567="2+3",IF(ISNUMBER(SEARCH("grosser Artikel",BO567)),2,IFERROR(VLOOKUP(BR567,Parameter!$F$35:$G$64,2,0),2)),IF(OR(BV567="Nein",BV567=""),"-",BV567))))</f>
        <v>3</v>
      </c>
      <c r="AA567" s="62"/>
      <c r="AB567" s="63"/>
      <c r="AC567" s="57" t="n">
        <f aca="false">AR567</f>
        <v>176</v>
      </c>
      <c r="AD567" s="57" t="n">
        <f aca="false">MAX(AR567,H567)</f>
        <v>205</v>
      </c>
      <c r="AE567" s="64"/>
      <c r="AF567" s="57" t="n">
        <f aca="false">IF(LEFT(Cockpit!$C$5,1)="A",H567,IF(CA567=1,CB567,IF(LEFT(Cockpit!$C$5,1)="B",AJ567,MAX(AJ567,H567))))</f>
        <v>205</v>
      </c>
      <c r="AG567" s="57" t="n">
        <f aca="false">IF(BT567=1,0,ROUNDUP(AF567/BS567,0))</f>
        <v>3</v>
      </c>
      <c r="AH567" s="59" t="n">
        <f aca="false">IF(CH567&gt;0,CH567*MAX(1,AF567/X567),IF(BT567=1,IF(AF567&lt;=0,0,BW567*MAX(1,IF(H567&gt;0,AF567/H567,1))),IF(R567&gt;0,AG567/R567,0))/MAX(0.1,N(Parameter!$M$21)))</f>
        <v>0.0227272727272727</v>
      </c>
      <c r="AI567" s="57" t="n">
        <f aca="false">AF567*G567</f>
        <v>787.2</v>
      </c>
      <c r="AJ567" s="57" t="n">
        <f aca="false">ROUNDUP(MAX(J567/IF(BZ567&gt;0,BZ567,MAX(0.1,N(Cockpit!$C$6))),CC567)/BS567,0)*BS567</f>
        <v>176</v>
      </c>
      <c r="AK567" s="58" t="n">
        <f aca="false">IF(AH567&gt;0,J567/AH567,-1)</f>
        <v>4664</v>
      </c>
      <c r="AL567" s="58" t="n">
        <f aca="false">IF(AND(OR(BY567="L1",BY567="L23"),AH567&gt;0),SUMIFS($AH$7:$AH$1843,$BY$7:$BY$1843,BY567,$AK$7:$AK$1843,"&gt;"&amp;AK567)+SUMIFS($AH$7:$AH$1843,$BY$7:$BY$1843,BY567,$AK$7:$AK$1843,AK567,$BQ$7:$BQ$1843,"&lt;="&amp;BQ567),"")</f>
        <v>8.03640079727036</v>
      </c>
      <c r="AM567" s="65" t="n">
        <f aca="false">IF(AL567="",0,MAX(0,MIN(1,(IF(BY567="L1",Parameter!$E$5,Parameter!$E$6+Parameter!$E$7)-(AL567-AH567))/AH567)))</f>
        <v>1</v>
      </c>
      <c r="AN567" s="57" t="n">
        <f aca="false">IF(LEFT(Cockpit!$I$5,1)="A",H567,IF(CA567=1,CB567,IF(LEFT(Cockpit!$I$5,1)="B",AR567,MAX(AR567,H567))))</f>
        <v>205</v>
      </c>
      <c r="AO567" s="57" t="n">
        <f aca="false">IF(BT567=1,0,ROUNDUP(AN567/BS567,0))</f>
        <v>3</v>
      </c>
      <c r="AP567" s="59" t="n">
        <f aca="false">IF(CH567&gt;0,CH567*MAX(1,AN567/X567),IF(BT567=1,IF(AN567&lt;=0,0,BW567*MAX(1,IF(H567&gt;0,AN567/H567,1))),IF(R567&gt;0,AO567/R567,0))/MAX(0.1,N(Parameter!$M$21)))</f>
        <v>0.0227272727272727</v>
      </c>
      <c r="AQ567" s="57" t="n">
        <f aca="false">AN567*G567</f>
        <v>787.2</v>
      </c>
      <c r="AR567" s="57" t="n">
        <f aca="false">ROUNDUP(MAX(J567/IF(BZ567&gt;0,BZ567,MAX(0.1,N(Cockpit!$I$6))),CC567)/BS567,0)*BS567</f>
        <v>176</v>
      </c>
      <c r="AS567" s="58" t="n">
        <f aca="false">IF(AP567&gt;0,J567/AP567,-1)</f>
        <v>4664</v>
      </c>
      <c r="AT567" s="58" t="n">
        <f aca="false">IF(AND(OR(BY567="L1",BY567="L23"),AP567&gt;0),SUMIFS($AP$7:$AP$1843,$BY$7:$BY$1843,BY567,$AS$7:$AS$1843,"&gt;"&amp;AS567)+SUMIFS($AP$7:$AP$1843,$BY$7:$BY$1843,BY567,$AS$7:$AS$1843,AS567,$BQ$7:$BQ$1843,"&lt;="&amp;BQ567),"")</f>
        <v>12.7520607411912</v>
      </c>
      <c r="AU567" s="65" t="n">
        <f aca="false">IF(AT567="",0,MAX(0,MIN(1,(IF(BY567="L1",Parameter!$E$5,Parameter!$E$6+Parameter!$E$7)-(AT567-AP567))/AP567)))</f>
        <v>1</v>
      </c>
      <c r="AV567" s="57" t="n">
        <f aca="false">IF(LEFT(Cockpit!$O$5,1)="A",H567,IF(CA567=1,CB567,IF(LEFT(Cockpit!$O$5,1)="B",AZ567,MAX(AZ567,H567))))</f>
        <v>205</v>
      </c>
      <c r="AW567" s="57" t="n">
        <f aca="false">IF(BT567=1,0,ROUNDUP(AV567/BS567,0))</f>
        <v>3</v>
      </c>
      <c r="AX567" s="59" t="n">
        <f aca="false">IF(CH567&gt;0,CH567*MAX(1,AV567/X567),IF(BT567=1,IF(AV567&lt;=0,0,BW567*MAX(1,IF(H567&gt;0,AV567/H567,1))),IF(R567&gt;0,AW567/R567,0))/MAX(0.1,N(Parameter!$M$21)))</f>
        <v>0.0227272727272727</v>
      </c>
      <c r="AY567" s="57" t="n">
        <f aca="false">AV567*G567</f>
        <v>787.2</v>
      </c>
      <c r="AZ567" s="57" t="n">
        <f aca="false">ROUNDUP(MAX(J567/IF(BZ567&gt;0,BZ567,MAX(0.1,N(Cockpit!$O$6))),CC567)/BS567,0)*BS567</f>
        <v>176</v>
      </c>
      <c r="BA567" s="58" t="n">
        <f aca="false">IF(AX567&gt;0,J567/AX567,-1)</f>
        <v>4664</v>
      </c>
      <c r="BB567" s="58" t="n">
        <f aca="false">IF(AND(OR(BY567="L1",BY567="L23"),AX567&gt;0),SUMIFS($AX$7:$AX$1843,$BY$7:$BY$1843,BY567,$BA$7:$BA$1843,"&gt;"&amp;BA567)+SUMIFS($AX$7:$AX$1843,$BY$7:$BY$1843,BY567,$BA$7:$BA$1843,BA567,$BQ$7:$BQ$1843,"&lt;="&amp;BQ567),"")</f>
        <v>11.3190770582075</v>
      </c>
      <c r="BC567" s="65" t="n">
        <f aca="false">IF(BB567="",0,MAX(0,MIN(1,(IF(BY567="L1",Parameter!$E$5,Parameter!$E$6+Parameter!$E$7)-(BB567-AX567))/AX567)))</f>
        <v>1</v>
      </c>
      <c r="BD567" s="55" t="str">
        <f aca="false">IF(AH567&lt;=0,"",IF(BY567="Aussen","Aussenlager",IF(BY567="-","Nicht im Lift",IF(AM567&gt;=1,"Lift",IF(AM567&lt;=0,"Aussenlager","teilweise")))))</f>
        <v>Lift</v>
      </c>
      <c r="BE567" s="55" t="str">
        <f aca="false">IF(AP567&lt;=0,"",IF(BY567="Aussen","Aussenlager",IF(BY567="-","Nicht im Lift",IF(AU567&gt;=1,"Lift",IF(AU567&lt;=0,"Aussenlager","teilweise")))))</f>
        <v>Lift</v>
      </c>
      <c r="BF567" s="55" t="str">
        <f aca="false">IF(AX567&lt;=0,"",IF(BY567="Aussen","Aussenlager",IF(BY567="-","Nicht im Lift",IF(BC567&gt;=1,"Lift",IF(BC567&lt;=0,"Aussenlager","teilweise")))))</f>
        <v>Lift</v>
      </c>
      <c r="BG567" s="55" t="str">
        <f aca="false">IF(A567="","",IF(BP567=1,"Neu; ","")&amp;IF(AND(BP567=0,BK567&lt;0),"negativer Bestand (Export "&amp;BK567&amp;"); ","")&amp;IF(J567&lt;=0,"Kein Verbrauch; ","")&amp;IF(CH567&gt;0,"Lift "&amp;W567&amp;" lt. Liftbericht (Fach "&amp;X567&amp;" Stk); ",IF(BU567=1,"Gebinde geschätzt ("&amp;T567&amp;"); ",IF(BT567=1,"Lose – Tablare geschätzt; ","")))&amp;IF(H567&gt;AR567,"Überbestand "&amp;ROUND(H567-AR567,0)&amp;" Stk / CHF "&amp;ROUND((H567-AR567)*G567,0)&amp;"; ","")&amp;IF(AND(CA567=1,CB567&lt;CC567),"MAX &lt; MB+LG; ","")&amp;IF(AND(CG567&gt;0,CF567*10&gt;CG567),"zu hoch für Tablar; ","")&amp;IF(AND(BP567=0,OR(CA567=1,AA567&lt;&gt;"",U567&lt;&gt;"",V567&lt;&gt;"",AB567&lt;&gt;"")),"manuell übersteuert; ","")&amp;IF(AND(BT567=0,R567=0),"Gebinde unbekannt / Stellmass fehlt; ","")&amp;IF(AND(BT567=0,N(V567)&lt;=0,N(Q567)&lt;=0),"Menge pro Gebinde fehlt (Ist = 1 Gebinde); ","")&amp;BO567)</f>
        <v>Überbestand 29 Stk / CHF 111; </v>
      </c>
      <c r="BH567" s="55"/>
      <c r="BI567" s="55"/>
      <c r="BJ567" s="62"/>
      <c r="BK567" s="57" t="n">
        <v>11</v>
      </c>
      <c r="BL567" s="57" t="n">
        <v>194</v>
      </c>
      <c r="BM567" s="56" t="n">
        <v>13.1399999999993</v>
      </c>
      <c r="BN567" s="57" t="n">
        <v>106</v>
      </c>
      <c r="BO567" s="55"/>
      <c r="BP567" s="60" t="n">
        <v>0</v>
      </c>
      <c r="BQ567" s="60" t="n">
        <v>567</v>
      </c>
      <c r="BR567" s="55" t="str">
        <f aca="false">IF(U567&lt;&gt;"",UPPER(TRIM(U567)),IF(BU567=1,UPPER(VLOOKUP(T567,Parameter!$I$27:$K$29,2,0)),IF(P567="","LOSE",P567)))</f>
        <v>S32</v>
      </c>
      <c r="BS567" s="57" t="n">
        <f aca="false">IF(BR567="LOSE",1,IF(N(V567)&gt;0,V567,IF(BU567=1,MAX(1,N(VLOOKUP(T567,Parameter!$I$27:$K$29,3,0)),H567,N(N567)),IF(N(Q567)&gt;0,Q567,MAX(1,H567)))))</f>
        <v>88</v>
      </c>
      <c r="BT567" s="60" t="n">
        <f aca="false">IF(BR567="LOSE",1,0)</f>
        <v>0</v>
      </c>
      <c r="BU567" s="60" t="n">
        <f aca="false">IF(AND(U567="",OR(P567="",P567="LOSE"),T567&lt;&gt;"",N(S567)&lt;=0,ISNUMBER(MATCH(T567,Parameter!$I$27:$I$29,0))),1,0)</f>
        <v>0</v>
      </c>
      <c r="BV567" s="55" t="str">
        <f aca="false">IF(AND(Parameter!$B$19="Ja",E567&lt;&gt;"",ISNUMBER(MATCH(E567,Parameter!$I$35:$I$52,0))),VLOOKUP(E567,Parameter!$I$35:$J$52,2,0),IFERROR(VLOOKUP(D567,Parameter!$A$35:$C$64,2,0),"Nein"))</f>
        <v>2+3</v>
      </c>
      <c r="BW567" s="59" t="n">
        <f aca="false">IF(BT567=0,0,IF(N(S567)&gt;0,S567,IFERROR(VLOOKUP(D567,Parameter!$A$35:$C$64,3,0)+0,0)))</f>
        <v>0</v>
      </c>
      <c r="BX567" s="55" t="n">
        <f aca="false">IF(AA567&lt;&gt;"",AA567,Z567)</f>
        <v>3</v>
      </c>
      <c r="BY567" s="55" t="str">
        <f aca="false">IF(BX567=1,"L1",IF(OR(BX567=2,BX567=3),"L23",IF(BX567="Aussen","Aussen","-")))</f>
        <v>L23</v>
      </c>
      <c r="BZ567" s="66" t="n">
        <f aca="false">IF(N(AB567)&gt;0,AB567,0)</f>
        <v>0</v>
      </c>
      <c r="CA567" s="60" t="n">
        <f aca="false">IF(ISNUMBER(AE567),1,0)</f>
        <v>0</v>
      </c>
      <c r="CB567" s="57" t="n">
        <f aca="false">N(AE567)</f>
        <v>0</v>
      </c>
      <c r="CC567" s="57" t="n">
        <f aca="false">N(M567)+N(N567)</f>
        <v>121</v>
      </c>
      <c r="CD567" s="57" t="n">
        <f aca="false">ROUNDUP(H567/BS567,0)</f>
        <v>3</v>
      </c>
      <c r="CE567" s="57" t="n">
        <f aca="false">ROUNDUP(CB567/BS567,0)</f>
        <v>0</v>
      </c>
      <c r="CF567" s="60" t="n">
        <f aca="false">IF(BT567=1,0,IFERROR(VLOOKUP(BR567,'Gebinde-Kategorie'!$A$5:$M$45,5,0)+0,0))</f>
        <v>8</v>
      </c>
      <c r="CG567" s="60" t="n">
        <f aca="false">IFERROR(IF(OR(BX567=1,BX567=2,BX567=3),N(INDEX(Parameter!$I$5:$I$7,BX567)),0),0)</f>
        <v>0</v>
      </c>
      <c r="CH567" s="59" t="n">
        <f aca="false">IF(AND(Parameter!$B$21="Ja",ISNUMBER(W567),N(X567)&gt;0),IFERROR(N(INDEX(Parameter!$L$5:$L$7,W567))*INDEX(Parameter!$E$5:$E$7,W567)*X567/SUMIFS($X$7:$X$1843,$W$7:$W$1843,W567),0),0)</f>
        <v>0</v>
      </c>
    </row>
    <row r="568" customFormat="false" ht="15" hidden="false" customHeight="false" outlineLevel="0" collapsed="false">
      <c r="A568" s="55" t="s">
        <v>1200</v>
      </c>
      <c r="B568" s="55" t="s">
        <v>468</v>
      </c>
      <c r="C568" s="55" t="s">
        <v>164</v>
      </c>
      <c r="D568" s="55" t="s">
        <v>184</v>
      </c>
      <c r="E568" s="55" t="s">
        <v>185</v>
      </c>
      <c r="F568" s="55" t="s">
        <v>218</v>
      </c>
      <c r="G568" s="56" t="n">
        <v>0.14</v>
      </c>
      <c r="H568" s="57" t="n">
        <f aca="false">MAX(0,IF(AND(Parameter!$B$21="Ja",ISNUMBER(Y568)),Y568,IF(Parameter!$B$20="Jahresanfang 2025 + Export",BL568+BK568,BK568)))</f>
        <v>235</v>
      </c>
      <c r="I568" s="57" t="n">
        <f aca="false">H568*G568</f>
        <v>32.9</v>
      </c>
      <c r="J568" s="57" t="n">
        <f aca="false">BN568*Parameter!$B$18</f>
        <v>222</v>
      </c>
      <c r="K568" s="58" t="n">
        <v>129.5</v>
      </c>
      <c r="L568" s="59" t="n">
        <v>1.71428571428571</v>
      </c>
      <c r="M568" s="57" t="n">
        <v>8</v>
      </c>
      <c r="N568" s="57" t="n">
        <v>220</v>
      </c>
      <c r="O568" s="60" t="n">
        <v>14</v>
      </c>
      <c r="P568" s="55" t="s">
        <v>401</v>
      </c>
      <c r="Q568" s="57" t="n">
        <v>210</v>
      </c>
      <c r="R568" s="60" t="n">
        <f aca="false">IF(BT568=1,0,IFERROR(VLOOKUP(BR568,'Gebinde-Kategorie'!$A$5:$M$45,13,0)+0,0))</f>
        <v>414</v>
      </c>
      <c r="S568" s="61"/>
      <c r="T568" s="62"/>
      <c r="U568" s="62"/>
      <c r="V568" s="62"/>
      <c r="W568" s="55"/>
      <c r="X568" s="57"/>
      <c r="Y568" s="57"/>
      <c r="Z568" s="55" t="n">
        <f aca="false">IF(A568="","",IF(AND(Parameter!$B$21="Ja",ISNUMBER(W568)),W568,IF(BV568="2+3",IF(ISNUMBER(SEARCH("grosser Artikel",BO568)),2,IFERROR(VLOOKUP(BR568,Parameter!$F$35:$G$64,2,0),2)),IF(OR(BV568="Nein",BV568=""),"-",BV568))))</f>
        <v>3</v>
      </c>
      <c r="AA568" s="62"/>
      <c r="AB568" s="63"/>
      <c r="AC568" s="57" t="n">
        <f aca="false">AR568</f>
        <v>420</v>
      </c>
      <c r="AD568" s="57" t="n">
        <f aca="false">MAX(AR568,H568)</f>
        <v>420</v>
      </c>
      <c r="AE568" s="64"/>
      <c r="AF568" s="57" t="n">
        <f aca="false">IF(LEFT(Cockpit!$C$5,1)="A",H568,IF(CA568=1,CB568,IF(LEFT(Cockpit!$C$5,1)="B",AJ568,MAX(AJ568,H568))))</f>
        <v>235</v>
      </c>
      <c r="AG568" s="57" t="n">
        <f aca="false">IF(BT568=1,0,ROUNDUP(AF568/BS568,0))</f>
        <v>2</v>
      </c>
      <c r="AH568" s="59" t="n">
        <f aca="false">IF(CH568&gt;0,CH568*MAX(1,AF568/X568),IF(BT568=1,IF(AF568&lt;=0,0,BW568*MAX(1,IF(H568&gt;0,AF568/H568,1))),IF(R568&gt;0,AG568/R568,0))/MAX(0.1,N(Parameter!$M$21)))</f>
        <v>0.00483091787439614</v>
      </c>
      <c r="AI568" s="57" t="n">
        <f aca="false">AF568*G568</f>
        <v>32.9</v>
      </c>
      <c r="AJ568" s="57" t="n">
        <f aca="false">ROUNDUP(MAX(J568/IF(BZ568&gt;0,BZ568,MAX(0.1,N(Cockpit!$C$6))),CC568)/BS568,0)*BS568</f>
        <v>420</v>
      </c>
      <c r="AK568" s="58" t="n">
        <f aca="false">IF(AH568&gt;0,J568/AH568,-1)</f>
        <v>45954</v>
      </c>
      <c r="AL568" s="58" t="n">
        <f aca="false">IF(AND(OR(BY568="L1",BY568="L23"),AH568&gt;0),SUMIFS($AH$7:$AH$1843,$BY$7:$BY$1843,BY568,$AK$7:$AK$1843,"&gt;"&amp;AK568)+SUMIFS($AH$7:$AH$1843,$BY$7:$BY$1843,BY568,$AK$7:$AK$1843,AK568,$BQ$7:$BQ$1843,"&lt;="&amp;BQ568),"")</f>
        <v>1.53415425154556</v>
      </c>
      <c r="AM568" s="65" t="n">
        <f aca="false">IF(AL568="",0,MAX(0,MIN(1,(IF(BY568="L1",Parameter!$E$5,Parameter!$E$6+Parameter!$E$7)-(AL568-AH568))/AH568)))</f>
        <v>1</v>
      </c>
      <c r="AN568" s="57" t="n">
        <f aca="false">IF(LEFT(Cockpit!$I$5,1)="A",H568,IF(CA568=1,CB568,IF(LEFT(Cockpit!$I$5,1)="B",AR568,MAX(AR568,H568))))</f>
        <v>420</v>
      </c>
      <c r="AO568" s="57" t="n">
        <f aca="false">IF(BT568=1,0,ROUNDUP(AN568/BS568,0))</f>
        <v>2</v>
      </c>
      <c r="AP568" s="59" t="n">
        <f aca="false">IF(CH568&gt;0,CH568*MAX(1,AN568/X568),IF(BT568=1,IF(AN568&lt;=0,0,BW568*MAX(1,IF(H568&gt;0,AN568/H568,1))),IF(R568&gt;0,AO568/R568,0))/MAX(0.1,N(Parameter!$M$21)))</f>
        <v>0.00483091787439614</v>
      </c>
      <c r="AQ568" s="57" t="n">
        <f aca="false">AN568*G568</f>
        <v>58.8</v>
      </c>
      <c r="AR568" s="57" t="n">
        <f aca="false">ROUNDUP(MAX(J568/IF(BZ568&gt;0,BZ568,MAX(0.1,N(Cockpit!$I$6))),CC568)/BS568,0)*BS568</f>
        <v>420</v>
      </c>
      <c r="AS568" s="58" t="n">
        <f aca="false">IF(AP568&gt;0,J568/AP568,-1)</f>
        <v>45954</v>
      </c>
      <c r="AT568" s="58" t="n">
        <f aca="false">IF(AND(OR(BY568="L1",BY568="L23"),AP568&gt;0),SUMIFS($AP$7:$AP$1843,$BY$7:$BY$1843,BY568,$AS$7:$AS$1843,"&gt;"&amp;AS568)+SUMIFS($AP$7:$AP$1843,$BY$7:$BY$1843,BY568,$AS$7:$AS$1843,AS568,$BQ$7:$BQ$1843,"&lt;="&amp;BQ568),"")</f>
        <v>1.56973581973582</v>
      </c>
      <c r="AU568" s="65" t="n">
        <f aca="false">IF(AT568="",0,MAX(0,MIN(1,(IF(BY568="L1",Parameter!$E$5,Parameter!$E$6+Parameter!$E$7)-(AT568-AP568))/AP568)))</f>
        <v>1</v>
      </c>
      <c r="AV568" s="57" t="n">
        <f aca="false">IF(LEFT(Cockpit!$O$5,1)="A",H568,IF(CA568=1,CB568,IF(LEFT(Cockpit!$O$5,1)="B",AZ568,MAX(AZ568,H568))))</f>
        <v>420</v>
      </c>
      <c r="AW568" s="57" t="n">
        <f aca="false">IF(BT568=1,0,ROUNDUP(AV568/BS568,0))</f>
        <v>2</v>
      </c>
      <c r="AX568" s="59" t="n">
        <f aca="false">IF(CH568&gt;0,CH568*MAX(1,AV568/X568),IF(BT568=1,IF(AV568&lt;=0,0,BW568*MAX(1,IF(H568&gt;0,AV568/H568,1))),IF(R568&gt;0,AW568/R568,0))/MAX(0.1,N(Parameter!$M$21)))</f>
        <v>0.00483091787439614</v>
      </c>
      <c r="AY568" s="57" t="n">
        <f aca="false">AV568*G568</f>
        <v>58.8</v>
      </c>
      <c r="AZ568" s="57" t="n">
        <f aca="false">ROUNDUP(MAX(J568/IF(BZ568&gt;0,BZ568,MAX(0.1,N(Cockpit!$O$6))),CC568)/BS568,0)*BS568</f>
        <v>420</v>
      </c>
      <c r="BA568" s="58" t="n">
        <f aca="false">IF(AX568&gt;0,J568/AX568,-1)</f>
        <v>45954</v>
      </c>
      <c r="BB568" s="58" t="n">
        <f aca="false">IF(AND(OR(BY568="L1",BY568="L23"),AX568&gt;0),SUMIFS($AX$7:$AX$1843,$BY$7:$BY$1843,BY568,$BA$7:$BA$1843,"&gt;"&amp;BA568)+SUMIFS($AX$7:$AX$1843,$BY$7:$BY$1843,BY568,$BA$7:$BA$1843,BA568,$BQ$7:$BQ$1843,"&lt;="&amp;BQ568),"")</f>
        <v>1.86052836052836</v>
      </c>
      <c r="BC568" s="65" t="n">
        <f aca="false">IF(BB568="",0,MAX(0,MIN(1,(IF(BY568="L1",Parameter!$E$5,Parameter!$E$6+Parameter!$E$7)-(BB568-AX568))/AX568)))</f>
        <v>1</v>
      </c>
      <c r="BD568" s="55" t="str">
        <f aca="false">IF(AH568&lt;=0,"",IF(BY568="Aussen","Aussenlager",IF(BY568="-","Nicht im Lift",IF(AM568&gt;=1,"Lift",IF(AM568&lt;=0,"Aussenlager","teilweise")))))</f>
        <v>Lift</v>
      </c>
      <c r="BE568" s="55" t="str">
        <f aca="false">IF(AP568&lt;=0,"",IF(BY568="Aussen","Aussenlager",IF(BY568="-","Nicht im Lift",IF(AU568&gt;=1,"Lift",IF(AU568&lt;=0,"Aussenlager","teilweise")))))</f>
        <v>Lift</v>
      </c>
      <c r="BF568" s="55" t="str">
        <f aca="false">IF(AX568&lt;=0,"",IF(BY568="Aussen","Aussenlager",IF(BY568="-","Nicht im Lift",IF(BC568&gt;=1,"Lift",IF(BC568&lt;=0,"Aussenlager","teilweise")))))</f>
        <v>Lift</v>
      </c>
      <c r="BG568" s="55" t="str">
        <f aca="false">IF(A568="","",IF(BP568=1,"Neu; ","")&amp;IF(AND(BP568=0,BK568&lt;0),"negativer Bestand (Export "&amp;BK568&amp;"); ","")&amp;IF(J568&lt;=0,"Kein Verbrauch; ","")&amp;IF(CH568&gt;0,"Lift "&amp;W568&amp;" lt. Liftbericht (Fach "&amp;X568&amp;" Stk); ",IF(BU568=1,"Gebinde geschätzt ("&amp;T568&amp;"); ",IF(BT568=1,"Lose – Tablare geschätzt; ","")))&amp;IF(H568&gt;AR568,"Überbestand "&amp;ROUND(H568-AR568,0)&amp;" Stk / CHF "&amp;ROUND((H568-AR568)*G568,0)&amp;"; ","")&amp;IF(AND(CA568=1,CB568&lt;CC568),"MAX &lt; MB+LG; ","")&amp;IF(AND(CG568&gt;0,CF568*10&gt;CG568),"zu hoch für Tablar; ","")&amp;IF(AND(BP568=0,OR(CA568=1,AA568&lt;&gt;"",U568&lt;&gt;"",V568&lt;&gt;"",AB568&lt;&gt;"")),"manuell übersteuert; ","")&amp;IF(AND(BT568=0,R568=0),"Gebinde unbekannt / Stellmass fehlt; ","")&amp;IF(AND(BT568=0,N(V568)&lt;=0,N(Q568)&lt;=0),"Menge pro Gebinde fehlt (Ist = 1 Gebinde); ","")&amp;BO568)</f>
        <v/>
      </c>
      <c r="BH568" s="55"/>
      <c r="BI568" s="55"/>
      <c r="BJ568" s="62"/>
      <c r="BK568" s="57" t="n">
        <v>92</v>
      </c>
      <c r="BL568" s="57" t="n">
        <v>143</v>
      </c>
      <c r="BM568" s="56" t="n">
        <v>12.88</v>
      </c>
      <c r="BN568" s="57" t="n">
        <v>222</v>
      </c>
      <c r="BO568" s="55"/>
      <c r="BP568" s="60" t="n">
        <v>0</v>
      </c>
      <c r="BQ568" s="60" t="n">
        <v>568</v>
      </c>
      <c r="BR568" s="55" t="str">
        <f aca="false">IF(U568&lt;&gt;"",UPPER(TRIM(U568)),IF(BU568=1,UPPER(VLOOKUP(T568,Parameter!$I$27:$K$29,2,0)),IF(P568="","LOSE",P568)))</f>
        <v>S21</v>
      </c>
      <c r="BS568" s="57" t="n">
        <f aca="false">IF(BR568="LOSE",1,IF(N(V568)&gt;0,V568,IF(BU568=1,MAX(1,N(VLOOKUP(T568,Parameter!$I$27:$K$29,3,0)),H568,N(N568)),IF(N(Q568)&gt;0,Q568,MAX(1,H568)))))</f>
        <v>210</v>
      </c>
      <c r="BT568" s="60" t="n">
        <f aca="false">IF(BR568="LOSE",1,0)</f>
        <v>0</v>
      </c>
      <c r="BU568" s="60" t="n">
        <f aca="false">IF(AND(U568="",OR(P568="",P568="LOSE"),T568&lt;&gt;"",N(S568)&lt;=0,ISNUMBER(MATCH(T568,Parameter!$I$27:$I$29,0))),1,0)</f>
        <v>0</v>
      </c>
      <c r="BV568" s="55" t="str">
        <f aca="false">IF(AND(Parameter!$B$19="Ja",E568&lt;&gt;"",ISNUMBER(MATCH(E568,Parameter!$I$35:$I$52,0))),VLOOKUP(E568,Parameter!$I$35:$J$52,2,0),IFERROR(VLOOKUP(D568,Parameter!$A$35:$C$64,2,0),"Nein"))</f>
        <v>2+3</v>
      </c>
      <c r="BW568" s="59" t="n">
        <f aca="false">IF(BT568=0,0,IF(N(S568)&gt;0,S568,IFERROR(VLOOKUP(D568,Parameter!$A$35:$C$64,3,0)+0,0)))</f>
        <v>0</v>
      </c>
      <c r="BX568" s="55" t="n">
        <f aca="false">IF(AA568&lt;&gt;"",AA568,Z568)</f>
        <v>3</v>
      </c>
      <c r="BY568" s="55" t="str">
        <f aca="false">IF(BX568=1,"L1",IF(OR(BX568=2,BX568=3),"L23",IF(BX568="Aussen","Aussen","-")))</f>
        <v>L23</v>
      </c>
      <c r="BZ568" s="66" t="n">
        <f aca="false">IF(N(AB568)&gt;0,AB568,0)</f>
        <v>0</v>
      </c>
      <c r="CA568" s="60" t="n">
        <f aca="false">IF(ISNUMBER(AE568),1,0)</f>
        <v>0</v>
      </c>
      <c r="CB568" s="57" t="n">
        <f aca="false">N(AE568)</f>
        <v>0</v>
      </c>
      <c r="CC568" s="57" t="n">
        <f aca="false">N(M568)+N(N568)</f>
        <v>228</v>
      </c>
      <c r="CD568" s="57" t="n">
        <f aca="false">ROUNDUP(H568/BS568,0)</f>
        <v>2</v>
      </c>
      <c r="CE568" s="57" t="n">
        <f aca="false">ROUNDUP(CB568/BS568,0)</f>
        <v>0</v>
      </c>
      <c r="CF568" s="60" t="n">
        <f aca="false">IF(BT568=1,0,IFERROR(VLOOKUP(BR568,'Gebinde-Kategorie'!$A$5:$M$45,5,0)+0,0))</f>
        <v>8</v>
      </c>
      <c r="CG568" s="60" t="n">
        <f aca="false">IFERROR(IF(OR(BX568=1,BX568=2,BX568=3),N(INDEX(Parameter!$I$5:$I$7,BX568)),0),0)</f>
        <v>0</v>
      </c>
      <c r="CH568" s="59" t="n">
        <f aca="false">IF(AND(Parameter!$B$21="Ja",ISNUMBER(W568),N(X568)&gt;0),IFERROR(N(INDEX(Parameter!$L$5:$L$7,W568))*INDEX(Parameter!$E$5:$E$7,W568)*X568/SUMIFS($X$7:$X$1843,$W$7:$W$1843,W568),0),0)</f>
        <v>0</v>
      </c>
    </row>
    <row r="569" customFormat="false" ht="15" hidden="false" customHeight="false" outlineLevel="0" collapsed="false">
      <c r="A569" s="55" t="s">
        <v>1201</v>
      </c>
      <c r="B569" s="55" t="s">
        <v>591</v>
      </c>
      <c r="C569" s="55" t="s">
        <v>164</v>
      </c>
      <c r="D569" s="55" t="s">
        <v>184</v>
      </c>
      <c r="E569" s="55" t="s">
        <v>185</v>
      </c>
      <c r="F569" s="55" t="s">
        <v>218</v>
      </c>
      <c r="G569" s="56" t="n">
        <v>27.68</v>
      </c>
      <c r="H569" s="57" t="n">
        <f aca="false">MAX(0,IF(AND(Parameter!$B$21="Ja",ISNUMBER(Y569)),Y569,IF(Parameter!$B$20="Jahresanfang 2025 + Export",BL569+BK569,BK569)))</f>
        <v>83</v>
      </c>
      <c r="I569" s="57" t="n">
        <f aca="false">H569*G569</f>
        <v>2297.44</v>
      </c>
      <c r="J569" s="57" t="n">
        <f aca="false">BN569*Parameter!$B$18</f>
        <v>13</v>
      </c>
      <c r="K569" s="58" t="n">
        <v>88.5</v>
      </c>
      <c r="L569" s="59" t="n">
        <v>0.146892655367232</v>
      </c>
      <c r="M569" s="57" t="n">
        <v>2</v>
      </c>
      <c r="N569" s="57" t="n">
        <v>30</v>
      </c>
      <c r="O569" s="60" t="n">
        <v>21</v>
      </c>
      <c r="P569" s="55" t="s">
        <v>302</v>
      </c>
      <c r="Q569" s="57" t="n">
        <v>75</v>
      </c>
      <c r="R569" s="60" t="n">
        <f aca="false">IF(BT569=1,0,IFERROR(VLOOKUP(BR569,'Gebinde-Kategorie'!$A$5:$M$45,13,0)+0,0))</f>
        <v>26</v>
      </c>
      <c r="S569" s="61"/>
      <c r="T569" s="62"/>
      <c r="U569" s="62"/>
      <c r="V569" s="62"/>
      <c r="W569" s="55"/>
      <c r="X569" s="57"/>
      <c r="Y569" s="57"/>
      <c r="Z569" s="55" t="n">
        <f aca="false">IF(A569="","",IF(AND(Parameter!$B$21="Ja",ISNUMBER(W569)),W569,IF(BV569="2+3",IF(ISNUMBER(SEARCH("grosser Artikel",BO569)),2,IFERROR(VLOOKUP(BR569,Parameter!$F$35:$G$64,2,0),2)),IF(OR(BV569="Nein",BV569=""),"-",BV569))))</f>
        <v>3</v>
      </c>
      <c r="AA569" s="62"/>
      <c r="AB569" s="63"/>
      <c r="AC569" s="57" t="n">
        <f aca="false">AR569</f>
        <v>75</v>
      </c>
      <c r="AD569" s="57" t="n">
        <f aca="false">MAX(AR569,H569)</f>
        <v>83</v>
      </c>
      <c r="AE569" s="64"/>
      <c r="AF569" s="57" t="n">
        <f aca="false">IF(LEFT(Cockpit!$C$5,1)="A",H569,IF(CA569=1,CB569,IF(LEFT(Cockpit!$C$5,1)="B",AJ569,MAX(AJ569,H569))))</f>
        <v>83</v>
      </c>
      <c r="AG569" s="57" t="n">
        <f aca="false">IF(BT569=1,0,ROUNDUP(AF569/BS569,0))</f>
        <v>2</v>
      </c>
      <c r="AH569" s="59" t="n">
        <f aca="false">IF(CH569&gt;0,CH569*MAX(1,AF569/X569),IF(BT569=1,IF(AF569&lt;=0,0,BW569*MAX(1,IF(H569&gt;0,AF569/H569,1))),IF(R569&gt;0,AG569/R569,0))/MAX(0.1,N(Parameter!$M$21)))</f>
        <v>0.0769230769230769</v>
      </c>
      <c r="AI569" s="57" t="n">
        <f aca="false">AF569*G569</f>
        <v>2297.44</v>
      </c>
      <c r="AJ569" s="57" t="n">
        <f aca="false">ROUNDUP(MAX(J569/IF(BZ569&gt;0,BZ569,MAX(0.1,N(Cockpit!$C$6))),CC569)/BS569,0)*BS569</f>
        <v>75</v>
      </c>
      <c r="AK569" s="58" t="n">
        <f aca="false">IF(AH569&gt;0,J569/AH569,-1)</f>
        <v>169</v>
      </c>
      <c r="AL569" s="58" t="n">
        <f aca="false">IF(AND(OR(BY569="L1",BY569="L23"),AH569&gt;0),SUMIFS($AH$7:$AH$1843,$BY$7:$BY$1843,BY569,$AK$7:$AK$1843,"&gt;"&amp;AK569)+SUMIFS($AH$7:$AH$1843,$BY$7:$BY$1843,BY569,$AK$7:$AK$1843,AK569,$BQ$7:$BQ$1843,"&lt;="&amp;BQ569),"")</f>
        <v>34.0481656025134</v>
      </c>
      <c r="AM569" s="65" t="n">
        <f aca="false">IF(AL569="",0,MAX(0,MIN(1,(IF(BY569="L1",Parameter!$E$5,Parameter!$E$6+Parameter!$E$7)-(AL569-AH569))/AH569)))</f>
        <v>1</v>
      </c>
      <c r="AN569" s="57" t="n">
        <f aca="false">IF(LEFT(Cockpit!$I$5,1)="A",H569,IF(CA569=1,CB569,IF(LEFT(Cockpit!$I$5,1)="B",AR569,MAX(AR569,H569))))</f>
        <v>83</v>
      </c>
      <c r="AO569" s="57" t="n">
        <f aca="false">IF(BT569=1,0,ROUNDUP(AN569/BS569,0))</f>
        <v>2</v>
      </c>
      <c r="AP569" s="59" t="n">
        <f aca="false">IF(CH569&gt;0,CH569*MAX(1,AN569/X569),IF(BT569=1,IF(AN569&lt;=0,0,BW569*MAX(1,IF(H569&gt;0,AN569/H569,1))),IF(R569&gt;0,AO569/R569,0))/MAX(0.1,N(Parameter!$M$21)))</f>
        <v>0.0769230769230769</v>
      </c>
      <c r="AQ569" s="57" t="n">
        <f aca="false">AN569*G569</f>
        <v>2297.44</v>
      </c>
      <c r="AR569" s="57" t="n">
        <f aca="false">ROUNDUP(MAX(J569/IF(BZ569&gt;0,BZ569,MAX(0.1,N(Cockpit!$I$6))),CC569)/BS569,0)*BS569</f>
        <v>75</v>
      </c>
      <c r="AS569" s="58" t="n">
        <f aca="false">IF(AP569&gt;0,J569/AP569,-1)</f>
        <v>169</v>
      </c>
      <c r="AT569" s="58" t="n">
        <f aca="false">IF(AND(OR(BY569="L1",BY569="L23"),AP569&gt;0),SUMIFS($AP$7:$AP$1843,$BY$7:$BY$1843,BY569,$AS$7:$AS$1843,"&gt;"&amp;AS569)+SUMIFS($AP$7:$AP$1843,$BY$7:$BY$1843,BY569,$AS$7:$AS$1843,AS569,$BQ$7:$BQ$1843,"&lt;="&amp;BQ569),"")</f>
        <v>48.3318468970643</v>
      </c>
      <c r="AU569" s="65" t="n">
        <f aca="false">IF(AT569="",0,MAX(0,MIN(1,(IF(BY569="L1",Parameter!$E$5,Parameter!$E$6+Parameter!$E$7)-(AT569-AP569))/AP569)))</f>
        <v>1</v>
      </c>
      <c r="AV569" s="57" t="n">
        <f aca="false">IF(LEFT(Cockpit!$O$5,1)="A",H569,IF(CA569=1,CB569,IF(LEFT(Cockpit!$O$5,1)="B",AZ569,MAX(AZ569,H569))))</f>
        <v>83</v>
      </c>
      <c r="AW569" s="57" t="n">
        <f aca="false">IF(BT569=1,0,ROUNDUP(AV569/BS569,0))</f>
        <v>2</v>
      </c>
      <c r="AX569" s="59" t="n">
        <f aca="false">IF(CH569&gt;0,CH569*MAX(1,AV569/X569),IF(BT569=1,IF(AV569&lt;=0,0,BW569*MAX(1,IF(H569&gt;0,AV569/H569,1))),IF(R569&gt;0,AW569/R569,0))/MAX(0.1,N(Parameter!$M$21)))</f>
        <v>0.0769230769230769</v>
      </c>
      <c r="AY569" s="57" t="n">
        <f aca="false">AV569*G569</f>
        <v>2297.44</v>
      </c>
      <c r="AZ569" s="57" t="n">
        <f aca="false">ROUNDUP(MAX(J569/IF(BZ569&gt;0,BZ569,MAX(0.1,N(Cockpit!$O$6))),CC569)/BS569,0)*BS569</f>
        <v>75</v>
      </c>
      <c r="BA569" s="58" t="n">
        <f aca="false">IF(AX569&gt;0,J569/AX569,-1)</f>
        <v>169</v>
      </c>
      <c r="BB569" s="58" t="n">
        <f aca="false">IF(AND(OR(BY569="L1",BY569="L23"),AX569&gt;0),SUMIFS($AX$7:$AX$1843,$BY$7:$BY$1843,BY569,$BA$7:$BA$1843,"&gt;"&amp;BA569)+SUMIFS($AX$7:$AX$1843,$BY$7:$BY$1843,BY569,$BA$7:$BA$1843,BA569,$BQ$7:$BQ$1843,"&lt;="&amp;BQ569),"")</f>
        <v>43.9116837269011</v>
      </c>
      <c r="BC569" s="65" t="n">
        <f aca="false">IF(BB569="",0,MAX(0,MIN(1,(IF(BY569="L1",Parameter!$E$5,Parameter!$E$6+Parameter!$E$7)-(BB569-AX569))/AX569)))</f>
        <v>1</v>
      </c>
      <c r="BD569" s="55" t="str">
        <f aca="false">IF(AH569&lt;=0,"",IF(BY569="Aussen","Aussenlager",IF(BY569="-","Nicht im Lift",IF(AM569&gt;=1,"Lift",IF(AM569&lt;=0,"Aussenlager","teilweise")))))</f>
        <v>Lift</v>
      </c>
      <c r="BE569" s="55" t="str">
        <f aca="false">IF(AP569&lt;=0,"",IF(BY569="Aussen","Aussenlager",IF(BY569="-","Nicht im Lift",IF(AU569&gt;=1,"Lift",IF(AU569&lt;=0,"Aussenlager","teilweise")))))</f>
        <v>Lift</v>
      </c>
      <c r="BF569" s="55" t="str">
        <f aca="false">IF(AX569&lt;=0,"",IF(BY569="Aussen","Aussenlager",IF(BY569="-","Nicht im Lift",IF(BC569&gt;=1,"Lift",IF(BC569&lt;=0,"Aussenlager","teilweise")))))</f>
        <v>Lift</v>
      </c>
      <c r="BG569" s="55" t="str">
        <f aca="false">IF(A569="","",IF(BP569=1,"Neu; ","")&amp;IF(AND(BP569=0,BK569&lt;0),"negativer Bestand (Export "&amp;BK569&amp;"); ","")&amp;IF(J569&lt;=0,"Kein Verbrauch; ","")&amp;IF(CH569&gt;0,"Lift "&amp;W569&amp;" lt. Liftbericht (Fach "&amp;X569&amp;" Stk); ",IF(BU569=1,"Gebinde geschätzt ("&amp;T569&amp;"); ",IF(BT569=1,"Lose – Tablare geschätzt; ","")))&amp;IF(H569&gt;AR569,"Überbestand "&amp;ROUND(H569-AR569,0)&amp;" Stk / CHF "&amp;ROUND((H569-AR569)*G569,0)&amp;"; ","")&amp;IF(AND(CA569=1,CB569&lt;CC569),"MAX &lt; MB+LG; ","")&amp;IF(AND(CG569&gt;0,CF569*10&gt;CG569),"zu hoch für Tablar; ","")&amp;IF(AND(BP569=0,OR(CA569=1,AA569&lt;&gt;"",U569&lt;&gt;"",V569&lt;&gt;"",AB569&lt;&gt;"")),"manuell übersteuert; ","")&amp;IF(AND(BT569=0,R569=0),"Gebinde unbekannt / Stellmass fehlt; ","")&amp;IF(AND(BT569=0,N(V569)&lt;=0,N(Q569)&lt;=0),"Menge pro Gebinde fehlt (Ist = 1 Gebinde); ","")&amp;BO569)</f>
        <v>Überbestand 8 Stk / CHF 221; Neu</v>
      </c>
      <c r="BH569" s="55"/>
      <c r="BI569" s="55"/>
      <c r="BJ569" s="62"/>
      <c r="BK569" s="57" t="n">
        <v>3</v>
      </c>
      <c r="BL569" s="57" t="n">
        <v>80</v>
      </c>
      <c r="BM569" s="56" t="n">
        <v>12.64</v>
      </c>
      <c r="BN569" s="57" t="n">
        <v>13</v>
      </c>
      <c r="BO569" s="55" t="s">
        <v>626</v>
      </c>
      <c r="BP569" s="60" t="n">
        <v>0</v>
      </c>
      <c r="BQ569" s="60" t="n">
        <v>569</v>
      </c>
      <c r="BR569" s="55" t="str">
        <f aca="false">IF(U569&lt;&gt;"",UPPER(TRIM(U569)),IF(BU569=1,UPPER(VLOOKUP(T569,Parameter!$I$27:$K$29,2,0)),IF(P569="","LOSE",P569)))</f>
        <v>S51</v>
      </c>
      <c r="BS569" s="57" t="n">
        <f aca="false">IF(BR569="LOSE",1,IF(N(V569)&gt;0,V569,IF(BU569=1,MAX(1,N(VLOOKUP(T569,Parameter!$I$27:$K$29,3,0)),H569,N(N569)),IF(N(Q569)&gt;0,Q569,MAX(1,H569)))))</f>
        <v>75</v>
      </c>
      <c r="BT569" s="60" t="n">
        <f aca="false">IF(BR569="LOSE",1,0)</f>
        <v>0</v>
      </c>
      <c r="BU569" s="60" t="n">
        <f aca="false">IF(AND(U569="",OR(P569="",P569="LOSE"),T569&lt;&gt;"",N(S569)&lt;=0,ISNUMBER(MATCH(T569,Parameter!$I$27:$I$29,0))),1,0)</f>
        <v>0</v>
      </c>
      <c r="BV569" s="55" t="str">
        <f aca="false">IF(AND(Parameter!$B$19="Ja",E569&lt;&gt;"",ISNUMBER(MATCH(E569,Parameter!$I$35:$I$52,0))),VLOOKUP(E569,Parameter!$I$35:$J$52,2,0),IFERROR(VLOOKUP(D569,Parameter!$A$35:$C$64,2,0),"Nein"))</f>
        <v>2+3</v>
      </c>
      <c r="BW569" s="59" t="n">
        <f aca="false">IF(BT569=0,0,IF(N(S569)&gt;0,S569,IFERROR(VLOOKUP(D569,Parameter!$A$35:$C$64,3,0)+0,0)))</f>
        <v>0</v>
      </c>
      <c r="BX569" s="55" t="n">
        <f aca="false">IF(AA569&lt;&gt;"",AA569,Z569)</f>
        <v>3</v>
      </c>
      <c r="BY569" s="55" t="str">
        <f aca="false">IF(BX569=1,"L1",IF(OR(BX569=2,BX569=3),"L23",IF(BX569="Aussen","Aussen","-")))</f>
        <v>L23</v>
      </c>
      <c r="BZ569" s="66" t="n">
        <f aca="false">IF(N(AB569)&gt;0,AB569,0)</f>
        <v>0</v>
      </c>
      <c r="CA569" s="60" t="n">
        <f aca="false">IF(ISNUMBER(AE569),1,0)</f>
        <v>0</v>
      </c>
      <c r="CB569" s="57" t="n">
        <f aca="false">N(AE569)</f>
        <v>0</v>
      </c>
      <c r="CC569" s="57" t="n">
        <f aca="false">N(M569)+N(N569)</f>
        <v>32</v>
      </c>
      <c r="CD569" s="57" t="n">
        <f aca="false">ROUNDUP(H569/BS569,0)</f>
        <v>2</v>
      </c>
      <c r="CE569" s="57" t="n">
        <f aca="false">ROUNDUP(CB569/BS569,0)</f>
        <v>0</v>
      </c>
      <c r="CF569" s="60" t="n">
        <f aca="false">IF(BT569=1,0,IFERROR(VLOOKUP(BR569,'Gebinde-Kategorie'!$A$5:$M$45,5,0)+0,0))</f>
        <v>11</v>
      </c>
      <c r="CG569" s="60" t="n">
        <f aca="false">IFERROR(IF(OR(BX569=1,BX569=2,BX569=3),N(INDEX(Parameter!$I$5:$I$7,BX569)),0),0)</f>
        <v>0</v>
      </c>
      <c r="CH569" s="59" t="n">
        <f aca="false">IF(AND(Parameter!$B$21="Ja",ISNUMBER(W569),N(X569)&gt;0),IFERROR(N(INDEX(Parameter!$L$5:$L$7,W569))*INDEX(Parameter!$E$5:$E$7,W569)*X569/SUMIFS($X$7:$X$1843,$W$7:$W$1843,W569),0),0)</f>
        <v>0</v>
      </c>
    </row>
    <row r="570" customFormat="false" ht="15" hidden="false" customHeight="false" outlineLevel="0" collapsed="false">
      <c r="A570" s="55" t="s">
        <v>1202</v>
      </c>
      <c r="B570" s="55" t="s">
        <v>405</v>
      </c>
      <c r="C570" s="55" t="s">
        <v>164</v>
      </c>
      <c r="D570" s="55" t="s">
        <v>184</v>
      </c>
      <c r="E570" s="55" t="s">
        <v>185</v>
      </c>
      <c r="F570" s="55" t="s">
        <v>218</v>
      </c>
      <c r="G570" s="56" t="n">
        <v>0.11</v>
      </c>
      <c r="H570" s="57" t="n">
        <f aca="false">MAX(0,IF(AND(Parameter!$B$21="Ja",ISNUMBER(Y570)),Y570,IF(Parameter!$B$20="Jahresanfang 2025 + Export",BL570+BK570,BK570)))</f>
        <v>194</v>
      </c>
      <c r="I570" s="57" t="n">
        <f aca="false">H570*G570</f>
        <v>21.34</v>
      </c>
      <c r="J570" s="57" t="n">
        <f aca="false">BN570*Parameter!$B$18</f>
        <v>198</v>
      </c>
      <c r="K570" s="58" t="n">
        <v>164</v>
      </c>
      <c r="L570" s="59" t="n">
        <v>1.20731707317073</v>
      </c>
      <c r="M570" s="57" t="n">
        <v>11</v>
      </c>
      <c r="N570" s="57" t="n">
        <v>200</v>
      </c>
      <c r="O570" s="60" t="n">
        <v>21</v>
      </c>
      <c r="P570" s="55" t="s">
        <v>421</v>
      </c>
      <c r="Q570" s="57" t="n">
        <v>304</v>
      </c>
      <c r="R570" s="60" t="n">
        <f aca="false">IF(BT570=1,0,IFERROR(VLOOKUP(BR570,'Gebinde-Kategorie'!$A$5:$M$45,13,0)+0,0))</f>
        <v>132</v>
      </c>
      <c r="S570" s="61"/>
      <c r="T570" s="62"/>
      <c r="U570" s="62"/>
      <c r="V570" s="62"/>
      <c r="W570" s="55"/>
      <c r="X570" s="57"/>
      <c r="Y570" s="57"/>
      <c r="Z570" s="55" t="n">
        <f aca="false">IF(A570="","",IF(AND(Parameter!$B$21="Ja",ISNUMBER(W570)),W570,IF(BV570="2+3",IF(ISNUMBER(SEARCH("grosser Artikel",BO570)),2,IFERROR(VLOOKUP(BR570,Parameter!$F$35:$G$64,2,0),2)),IF(OR(BV570="Nein",BV570=""),"-",BV570))))</f>
        <v>3</v>
      </c>
      <c r="AA570" s="62"/>
      <c r="AB570" s="63"/>
      <c r="AC570" s="57" t="n">
        <f aca="false">AR570</f>
        <v>304</v>
      </c>
      <c r="AD570" s="57" t="n">
        <f aca="false">MAX(AR570,H570)</f>
        <v>304</v>
      </c>
      <c r="AE570" s="64"/>
      <c r="AF570" s="57" t="n">
        <f aca="false">IF(LEFT(Cockpit!$C$5,1)="A",H570,IF(CA570=1,CB570,IF(LEFT(Cockpit!$C$5,1)="B",AJ570,MAX(AJ570,H570))))</f>
        <v>194</v>
      </c>
      <c r="AG570" s="57" t="n">
        <f aca="false">IF(BT570=1,0,ROUNDUP(AF570/BS570,0))</f>
        <v>1</v>
      </c>
      <c r="AH570" s="59" t="n">
        <f aca="false">IF(CH570&gt;0,CH570*MAX(1,AF570/X570),IF(BT570=1,IF(AF570&lt;=0,0,BW570*MAX(1,IF(H570&gt;0,AF570/H570,1))),IF(R570&gt;0,AG570/R570,0))/MAX(0.1,N(Parameter!$M$21)))</f>
        <v>0.00757575757575758</v>
      </c>
      <c r="AI570" s="57" t="n">
        <f aca="false">AF570*G570</f>
        <v>21.34</v>
      </c>
      <c r="AJ570" s="57" t="n">
        <f aca="false">ROUNDUP(MAX(J570/IF(BZ570&gt;0,BZ570,MAX(0.1,N(Cockpit!$C$6))),CC570)/BS570,0)*BS570</f>
        <v>304</v>
      </c>
      <c r="AK570" s="58" t="n">
        <f aca="false">IF(AH570&gt;0,J570/AH570,-1)</f>
        <v>26136</v>
      </c>
      <c r="AL570" s="58" t="n">
        <f aca="false">IF(AND(OR(BY570="L1",BY570="L23"),AH570&gt;0),SUMIFS($AH$7:$AH$1843,$BY$7:$BY$1843,BY570,$AK$7:$AK$1843,"&gt;"&amp;AK570)+SUMIFS($AH$7:$AH$1843,$BY$7:$BY$1843,BY570,$AK$7:$AK$1843,AK570,$BQ$7:$BQ$1843,"&lt;="&amp;BQ570),"")</f>
        <v>2.8149386845039</v>
      </c>
      <c r="AM570" s="65" t="n">
        <f aca="false">IF(AL570="",0,MAX(0,MIN(1,(IF(BY570="L1",Parameter!$E$5,Parameter!$E$6+Parameter!$E$7)-(AL570-AH570))/AH570)))</f>
        <v>1</v>
      </c>
      <c r="AN570" s="57" t="n">
        <f aca="false">IF(LEFT(Cockpit!$I$5,1)="A",H570,IF(CA570=1,CB570,IF(LEFT(Cockpit!$I$5,1)="B",AR570,MAX(AR570,H570))))</f>
        <v>304</v>
      </c>
      <c r="AO570" s="57" t="n">
        <f aca="false">IF(BT570=1,0,ROUNDUP(AN570/BS570,0))</f>
        <v>1</v>
      </c>
      <c r="AP570" s="59" t="n">
        <f aca="false">IF(CH570&gt;0,CH570*MAX(1,AN570/X570),IF(BT570=1,IF(AN570&lt;=0,0,BW570*MAX(1,IF(H570&gt;0,AN570/H570,1))),IF(R570&gt;0,AO570/R570,0))/MAX(0.1,N(Parameter!$M$21)))</f>
        <v>0.00757575757575758</v>
      </c>
      <c r="AQ570" s="57" t="n">
        <f aca="false">AN570*G570</f>
        <v>33.44</v>
      </c>
      <c r="AR570" s="57" t="n">
        <f aca="false">ROUNDUP(MAX(J570/IF(BZ570&gt;0,BZ570,MAX(0.1,N(Cockpit!$I$6))),CC570)/BS570,0)*BS570</f>
        <v>304</v>
      </c>
      <c r="AS570" s="58" t="n">
        <f aca="false">IF(AP570&gt;0,J570/AP570,-1)</f>
        <v>26136</v>
      </c>
      <c r="AT570" s="58" t="n">
        <f aca="false">IF(AND(OR(BY570="L1",BY570="L23"),AP570&gt;0),SUMIFS($AP$7:$AP$1843,$BY$7:$BY$1843,BY570,$AS$7:$AS$1843,"&gt;"&amp;AS570)+SUMIFS($AP$7:$AP$1843,$BY$7:$BY$1843,BY570,$AS$7:$AS$1843,AS570,$BQ$7:$BQ$1843,"&lt;="&amp;BQ570),"")</f>
        <v>3.63784162697206</v>
      </c>
      <c r="AU570" s="65" t="n">
        <f aca="false">IF(AT570="",0,MAX(0,MIN(1,(IF(BY570="L1",Parameter!$E$5,Parameter!$E$6+Parameter!$E$7)-(AT570-AP570))/AP570)))</f>
        <v>1</v>
      </c>
      <c r="AV570" s="57" t="n">
        <f aca="false">IF(LEFT(Cockpit!$O$5,1)="A",H570,IF(CA570=1,CB570,IF(LEFT(Cockpit!$O$5,1)="B",AZ570,MAX(AZ570,H570))))</f>
        <v>304</v>
      </c>
      <c r="AW570" s="57" t="n">
        <f aca="false">IF(BT570=1,0,ROUNDUP(AV570/BS570,0))</f>
        <v>1</v>
      </c>
      <c r="AX570" s="59" t="n">
        <f aca="false">IF(CH570&gt;0,CH570*MAX(1,AV570/X570),IF(BT570=1,IF(AV570&lt;=0,0,BW570*MAX(1,IF(H570&gt;0,AV570/H570,1))),IF(R570&gt;0,AW570/R570,0))/MAX(0.1,N(Parameter!$M$21)))</f>
        <v>0.00757575757575758</v>
      </c>
      <c r="AY570" s="57" t="n">
        <f aca="false">AV570*G570</f>
        <v>33.44</v>
      </c>
      <c r="AZ570" s="57" t="n">
        <f aca="false">ROUNDUP(MAX(J570/IF(BZ570&gt;0,BZ570,MAX(0.1,N(Cockpit!$O$6))),CC570)/BS570,0)*BS570</f>
        <v>304</v>
      </c>
      <c r="BA570" s="58" t="n">
        <f aca="false">IF(AX570&gt;0,J570/AX570,-1)</f>
        <v>26136</v>
      </c>
      <c r="BB570" s="58" t="n">
        <f aca="false">IF(AND(OR(BY570="L1",BY570="L23"),AX570&gt;0),SUMIFS($AX$7:$AX$1843,$BY$7:$BY$1843,BY570,$BA$7:$BA$1843,"&gt;"&amp;BA570)+SUMIFS($AX$7:$AX$1843,$BY$7:$BY$1843,BY570,$BA$7:$BA$1843,BA570,$BQ$7:$BQ$1843,"&lt;="&amp;BQ570),"")</f>
        <v>3.36744535657579</v>
      </c>
      <c r="BC570" s="65" t="n">
        <f aca="false">IF(BB570="",0,MAX(0,MIN(1,(IF(BY570="L1",Parameter!$E$5,Parameter!$E$6+Parameter!$E$7)-(BB570-AX570))/AX570)))</f>
        <v>1</v>
      </c>
      <c r="BD570" s="55" t="str">
        <f aca="false">IF(AH570&lt;=0,"",IF(BY570="Aussen","Aussenlager",IF(BY570="-","Nicht im Lift",IF(AM570&gt;=1,"Lift",IF(AM570&lt;=0,"Aussenlager","teilweise")))))</f>
        <v>Lift</v>
      </c>
      <c r="BE570" s="55" t="str">
        <f aca="false">IF(AP570&lt;=0,"",IF(BY570="Aussen","Aussenlager",IF(BY570="-","Nicht im Lift",IF(AU570&gt;=1,"Lift",IF(AU570&lt;=0,"Aussenlager","teilweise")))))</f>
        <v>Lift</v>
      </c>
      <c r="BF570" s="55" t="str">
        <f aca="false">IF(AX570&lt;=0,"",IF(BY570="Aussen","Aussenlager",IF(BY570="-","Nicht im Lift",IF(BC570&gt;=1,"Lift",IF(BC570&lt;=0,"Aussenlager","teilweise")))))</f>
        <v>Lift</v>
      </c>
      <c r="BG570" s="55" t="str">
        <f aca="false">IF(A570="","",IF(BP570=1,"Neu; ","")&amp;IF(AND(BP570=0,BK570&lt;0),"negativer Bestand (Export "&amp;BK570&amp;"); ","")&amp;IF(J570&lt;=0,"Kein Verbrauch; ","")&amp;IF(CH570&gt;0,"Lift "&amp;W570&amp;" lt. Liftbericht (Fach "&amp;X570&amp;" Stk); ",IF(BU570=1,"Gebinde geschätzt ("&amp;T570&amp;"); ",IF(BT570=1,"Lose – Tablare geschätzt; ","")))&amp;IF(H570&gt;AR570,"Überbestand "&amp;ROUND(H570-AR570,0)&amp;" Stk / CHF "&amp;ROUND((H570-AR570)*G570,0)&amp;"; ","")&amp;IF(AND(CA570=1,CB570&lt;CC570),"MAX &lt; MB+LG; ","")&amp;IF(AND(CG570&gt;0,CF570*10&gt;CG570),"zu hoch für Tablar; ","")&amp;IF(AND(BP570=0,OR(CA570=1,AA570&lt;&gt;"",U570&lt;&gt;"",V570&lt;&gt;"",AB570&lt;&gt;"")),"manuell übersteuert; ","")&amp;IF(AND(BT570=0,R570=0),"Gebinde unbekannt / Stellmass fehlt; ","")&amp;IF(AND(BT570=0,N(V570)&lt;=0,N(Q570)&lt;=0),"Menge pro Gebinde fehlt (Ist = 1 Gebinde); ","")&amp;BO570)</f>
        <v/>
      </c>
      <c r="BH570" s="55"/>
      <c r="BI570" s="55"/>
      <c r="BJ570" s="62"/>
      <c r="BK570" s="57" t="n">
        <v>34</v>
      </c>
      <c r="BL570" s="57" t="n">
        <v>160</v>
      </c>
      <c r="BM570" s="56" t="n">
        <v>11.74</v>
      </c>
      <c r="BN570" s="57" t="n">
        <v>198</v>
      </c>
      <c r="BO570" s="55"/>
      <c r="BP570" s="60" t="n">
        <v>0</v>
      </c>
      <c r="BQ570" s="60" t="n">
        <v>570</v>
      </c>
      <c r="BR570" s="55" t="str">
        <f aca="false">IF(U570&lt;&gt;"",UPPER(TRIM(U570)),IF(BU570=1,UPPER(VLOOKUP(T570,Parameter!$I$27:$K$29,2,0)),IF(P570="","LOSE",P570)))</f>
        <v>S32</v>
      </c>
      <c r="BS570" s="57" t="n">
        <f aca="false">IF(BR570="LOSE",1,IF(N(V570)&gt;0,V570,IF(BU570=1,MAX(1,N(VLOOKUP(T570,Parameter!$I$27:$K$29,3,0)),H570,N(N570)),IF(N(Q570)&gt;0,Q570,MAX(1,H570)))))</f>
        <v>304</v>
      </c>
      <c r="BT570" s="60" t="n">
        <f aca="false">IF(BR570="LOSE",1,0)</f>
        <v>0</v>
      </c>
      <c r="BU570" s="60" t="n">
        <f aca="false">IF(AND(U570="",OR(P570="",P570="LOSE"),T570&lt;&gt;"",N(S570)&lt;=0,ISNUMBER(MATCH(T570,Parameter!$I$27:$I$29,0))),1,0)</f>
        <v>0</v>
      </c>
      <c r="BV570" s="55" t="str">
        <f aca="false">IF(AND(Parameter!$B$19="Ja",E570&lt;&gt;"",ISNUMBER(MATCH(E570,Parameter!$I$35:$I$52,0))),VLOOKUP(E570,Parameter!$I$35:$J$52,2,0),IFERROR(VLOOKUP(D570,Parameter!$A$35:$C$64,2,0),"Nein"))</f>
        <v>2+3</v>
      </c>
      <c r="BW570" s="59" t="n">
        <f aca="false">IF(BT570=0,0,IF(N(S570)&gt;0,S570,IFERROR(VLOOKUP(D570,Parameter!$A$35:$C$64,3,0)+0,0)))</f>
        <v>0</v>
      </c>
      <c r="BX570" s="55" t="n">
        <f aca="false">IF(AA570&lt;&gt;"",AA570,Z570)</f>
        <v>3</v>
      </c>
      <c r="BY570" s="55" t="str">
        <f aca="false">IF(BX570=1,"L1",IF(OR(BX570=2,BX570=3),"L23",IF(BX570="Aussen","Aussen","-")))</f>
        <v>L23</v>
      </c>
      <c r="BZ570" s="66" t="n">
        <f aca="false">IF(N(AB570)&gt;0,AB570,0)</f>
        <v>0</v>
      </c>
      <c r="CA570" s="60" t="n">
        <f aca="false">IF(ISNUMBER(AE570),1,0)</f>
        <v>0</v>
      </c>
      <c r="CB570" s="57" t="n">
        <f aca="false">N(AE570)</f>
        <v>0</v>
      </c>
      <c r="CC570" s="57" t="n">
        <f aca="false">N(M570)+N(N570)</f>
        <v>211</v>
      </c>
      <c r="CD570" s="57" t="n">
        <f aca="false">ROUNDUP(H570/BS570,0)</f>
        <v>1</v>
      </c>
      <c r="CE570" s="57" t="n">
        <f aca="false">ROUNDUP(CB570/BS570,0)</f>
        <v>0</v>
      </c>
      <c r="CF570" s="60" t="n">
        <f aca="false">IF(BT570=1,0,IFERROR(VLOOKUP(BR570,'Gebinde-Kategorie'!$A$5:$M$45,5,0)+0,0))</f>
        <v>8</v>
      </c>
      <c r="CG570" s="60" t="n">
        <f aca="false">IFERROR(IF(OR(BX570=1,BX570=2,BX570=3),N(INDEX(Parameter!$I$5:$I$7,BX570)),0),0)</f>
        <v>0</v>
      </c>
      <c r="CH570" s="59" t="n">
        <f aca="false">IF(AND(Parameter!$B$21="Ja",ISNUMBER(W570),N(X570)&gt;0),IFERROR(N(INDEX(Parameter!$L$5:$L$7,W570))*INDEX(Parameter!$E$5:$E$7,W570)*X570/SUMIFS($X$7:$X$1843,$W$7:$W$1843,W570),0),0)</f>
        <v>0</v>
      </c>
    </row>
    <row r="571" customFormat="false" ht="15" hidden="false" customHeight="false" outlineLevel="0" collapsed="false">
      <c r="A571" s="55" t="s">
        <v>1203</v>
      </c>
      <c r="B571" s="55" t="s">
        <v>405</v>
      </c>
      <c r="C571" s="55" t="s">
        <v>164</v>
      </c>
      <c r="D571" s="55" t="s">
        <v>184</v>
      </c>
      <c r="E571" s="55" t="s">
        <v>185</v>
      </c>
      <c r="F571" s="55" t="s">
        <v>218</v>
      </c>
      <c r="G571" s="56" t="n">
        <v>0.15</v>
      </c>
      <c r="H571" s="57" t="n">
        <f aca="false">MAX(0,IF(AND(Parameter!$B$21="Ja",ISNUMBER(Y571)),Y571,IF(Parameter!$B$20="Jahresanfang 2025 + Export",BL571+BK571,BK571)))</f>
        <v>378</v>
      </c>
      <c r="I571" s="57" t="n">
        <f aca="false">H571*G571</f>
        <v>56.7</v>
      </c>
      <c r="J571" s="57" t="n">
        <f aca="false">BN571*Parameter!$B$18</f>
        <v>368</v>
      </c>
      <c r="K571" s="58" t="n">
        <v>177</v>
      </c>
      <c r="L571" s="59" t="n">
        <v>2.07909604519774</v>
      </c>
      <c r="M571" s="57" t="n">
        <v>14</v>
      </c>
      <c r="N571" s="57" t="n">
        <v>400</v>
      </c>
      <c r="O571" s="60" t="n">
        <v>14</v>
      </c>
      <c r="P571" s="55" t="s">
        <v>233</v>
      </c>
      <c r="Q571" s="57" t="n">
        <v>400</v>
      </c>
      <c r="R571" s="60" t="n">
        <f aca="false">IF(BT571=1,0,IFERROR(VLOOKUP(BR571,'Gebinde-Kategorie'!$A$5:$M$45,13,0)+0,0))</f>
        <v>26</v>
      </c>
      <c r="S571" s="61"/>
      <c r="T571" s="62"/>
      <c r="U571" s="62"/>
      <c r="V571" s="62"/>
      <c r="W571" s="55"/>
      <c r="X571" s="57"/>
      <c r="Y571" s="57"/>
      <c r="Z571" s="55" t="n">
        <f aca="false">IF(A571="","",IF(AND(Parameter!$B$21="Ja",ISNUMBER(W571)),W571,IF(BV571="2+3",IF(ISNUMBER(SEARCH("grosser Artikel",BO571)),2,IFERROR(VLOOKUP(BR571,Parameter!$F$35:$G$64,2,0),2)),IF(OR(BV571="Nein",BV571=""),"-",BV571))))</f>
        <v>3</v>
      </c>
      <c r="AA571" s="62"/>
      <c r="AB571" s="63"/>
      <c r="AC571" s="57" t="n">
        <f aca="false">AR571</f>
        <v>800</v>
      </c>
      <c r="AD571" s="57" t="n">
        <f aca="false">MAX(AR571,H571)</f>
        <v>800</v>
      </c>
      <c r="AE571" s="64"/>
      <c r="AF571" s="57" t="n">
        <f aca="false">IF(LEFT(Cockpit!$C$5,1)="A",H571,IF(CA571=1,CB571,IF(LEFT(Cockpit!$C$5,1)="B",AJ571,MAX(AJ571,H571))))</f>
        <v>378</v>
      </c>
      <c r="AG571" s="57" t="n">
        <f aca="false">IF(BT571=1,0,ROUNDUP(AF571/BS571,0))</f>
        <v>1</v>
      </c>
      <c r="AH571" s="59" t="n">
        <f aca="false">IF(CH571&gt;0,CH571*MAX(1,AF571/X571),IF(BT571=1,IF(AF571&lt;=0,0,BW571*MAX(1,IF(H571&gt;0,AF571/H571,1))),IF(R571&gt;0,AG571/R571,0))/MAX(0.1,N(Parameter!$M$21)))</f>
        <v>0.0384615384615385</v>
      </c>
      <c r="AI571" s="57" t="n">
        <f aca="false">AF571*G571</f>
        <v>56.7</v>
      </c>
      <c r="AJ571" s="57" t="n">
        <f aca="false">ROUNDUP(MAX(J571/IF(BZ571&gt;0,BZ571,MAX(0.1,N(Cockpit!$C$6))),CC571)/BS571,0)*BS571</f>
        <v>800</v>
      </c>
      <c r="AK571" s="58" t="n">
        <f aca="false">IF(AH571&gt;0,J571/AH571,-1)</f>
        <v>9568</v>
      </c>
      <c r="AL571" s="58" t="n">
        <f aca="false">IF(AND(OR(BY571="L1",BY571="L23"),AH571&gt;0),SUMIFS($AH$7:$AH$1843,$BY$7:$BY$1843,BY571,$AK$7:$AK$1843,"&gt;"&amp;AK571)+SUMIFS($AH$7:$AH$1843,$BY$7:$BY$1843,BY571,$AK$7:$AK$1843,AK571,$BQ$7:$BQ$1843,"&lt;="&amp;BQ571),"")</f>
        <v>5.52337758859498</v>
      </c>
      <c r="AM571" s="65" t="n">
        <f aca="false">IF(AL571="",0,MAX(0,MIN(1,(IF(BY571="L1",Parameter!$E$5,Parameter!$E$6+Parameter!$E$7)-(AL571-AH571))/AH571)))</f>
        <v>1</v>
      </c>
      <c r="AN571" s="57" t="n">
        <f aca="false">IF(LEFT(Cockpit!$I$5,1)="A",H571,IF(CA571=1,CB571,IF(LEFT(Cockpit!$I$5,1)="B",AR571,MAX(AR571,H571))))</f>
        <v>800</v>
      </c>
      <c r="AO571" s="57" t="n">
        <f aca="false">IF(BT571=1,0,ROUNDUP(AN571/BS571,0))</f>
        <v>2</v>
      </c>
      <c r="AP571" s="59" t="n">
        <f aca="false">IF(CH571&gt;0,CH571*MAX(1,AN571/X571),IF(BT571=1,IF(AN571&lt;=0,0,BW571*MAX(1,IF(H571&gt;0,AN571/H571,1))),IF(R571&gt;0,AO571/R571,0))/MAX(0.1,N(Parameter!$M$21)))</f>
        <v>0.0769230769230769</v>
      </c>
      <c r="AQ571" s="57" t="n">
        <f aca="false">AN571*G571</f>
        <v>120</v>
      </c>
      <c r="AR571" s="57" t="n">
        <f aca="false">ROUNDUP(MAX(J571/IF(BZ571&gt;0,BZ571,MAX(0.1,N(Cockpit!$I$6))),CC571)/BS571,0)*BS571</f>
        <v>800</v>
      </c>
      <c r="AS571" s="58" t="n">
        <f aca="false">IF(AP571&gt;0,J571/AP571,-1)</f>
        <v>4784</v>
      </c>
      <c r="AT571" s="58" t="n">
        <f aca="false">IF(AND(OR(BY571="L1",BY571="L23"),AP571&gt;0),SUMIFS($AP$7:$AP$1843,$BY$7:$BY$1843,BY571,$AS$7:$AS$1843,"&gt;"&amp;AS571)+SUMIFS($AP$7:$AP$1843,$BY$7:$BY$1843,BY571,$AS$7:$AS$1843,AS571,$BQ$7:$BQ$1843,"&lt;="&amp;BQ571),"")</f>
        <v>12.2485642376947</v>
      </c>
      <c r="AU571" s="65" t="n">
        <f aca="false">IF(AT571="",0,MAX(0,MIN(1,(IF(BY571="L1",Parameter!$E$5,Parameter!$E$6+Parameter!$E$7)-(AT571-AP571))/AP571)))</f>
        <v>1</v>
      </c>
      <c r="AV571" s="57" t="n">
        <f aca="false">IF(LEFT(Cockpit!$O$5,1)="A",H571,IF(CA571=1,CB571,IF(LEFT(Cockpit!$O$5,1)="B",AZ571,MAX(AZ571,H571))))</f>
        <v>800</v>
      </c>
      <c r="AW571" s="57" t="n">
        <f aca="false">IF(BT571=1,0,ROUNDUP(AV571/BS571,0))</f>
        <v>2</v>
      </c>
      <c r="AX571" s="59" t="n">
        <f aca="false">IF(CH571&gt;0,CH571*MAX(1,AV571/X571),IF(BT571=1,IF(AV571&lt;=0,0,BW571*MAX(1,IF(H571&gt;0,AV571/H571,1))),IF(R571&gt;0,AW571/R571,0))/MAX(0.1,N(Parameter!$M$21)))</f>
        <v>0.0769230769230769</v>
      </c>
      <c r="AY571" s="57" t="n">
        <f aca="false">AV571*G571</f>
        <v>120</v>
      </c>
      <c r="AZ571" s="57" t="n">
        <f aca="false">ROUNDUP(MAX(J571/IF(BZ571&gt;0,BZ571,MAX(0.1,N(Cockpit!$O$6))),CC571)/BS571,0)*BS571</f>
        <v>800</v>
      </c>
      <c r="BA571" s="58" t="n">
        <f aca="false">IF(AX571&gt;0,J571/AX571,-1)</f>
        <v>4784</v>
      </c>
      <c r="BB571" s="58" t="n">
        <f aca="false">IF(AND(OR(BY571="L1",BY571="L23"),AX571&gt;0),SUMIFS($AX$7:$AX$1843,$BY$7:$BY$1843,BY571,$BA$7:$BA$1843,"&gt;"&amp;BA571)+SUMIFS($AX$7:$AX$1843,$BY$7:$BY$1843,BY571,$BA$7:$BA$1843,BA571,$BQ$7:$BQ$1843,"&lt;="&amp;BQ571),"")</f>
        <v>10.9694267085571</v>
      </c>
      <c r="BC571" s="65" t="n">
        <f aca="false">IF(BB571="",0,MAX(0,MIN(1,(IF(BY571="L1",Parameter!$E$5,Parameter!$E$6+Parameter!$E$7)-(BB571-AX571))/AX571)))</f>
        <v>1</v>
      </c>
      <c r="BD571" s="55" t="str">
        <f aca="false">IF(AH571&lt;=0,"",IF(BY571="Aussen","Aussenlager",IF(BY571="-","Nicht im Lift",IF(AM571&gt;=1,"Lift",IF(AM571&lt;=0,"Aussenlager","teilweise")))))</f>
        <v>Lift</v>
      </c>
      <c r="BE571" s="55" t="str">
        <f aca="false">IF(AP571&lt;=0,"",IF(BY571="Aussen","Aussenlager",IF(BY571="-","Nicht im Lift",IF(AU571&gt;=1,"Lift",IF(AU571&lt;=0,"Aussenlager","teilweise")))))</f>
        <v>Lift</v>
      </c>
      <c r="BF571" s="55" t="str">
        <f aca="false">IF(AX571&lt;=0,"",IF(BY571="Aussen","Aussenlager",IF(BY571="-","Nicht im Lift",IF(BC571&gt;=1,"Lift",IF(BC571&lt;=0,"Aussenlager","teilweise")))))</f>
        <v>Lift</v>
      </c>
      <c r="BG571" s="55" t="str">
        <f aca="false">IF(A571="","",IF(BP571=1,"Neu; ","")&amp;IF(AND(BP571=0,BK571&lt;0),"negativer Bestand (Export "&amp;BK571&amp;"); ","")&amp;IF(J571&lt;=0,"Kein Verbrauch; ","")&amp;IF(CH571&gt;0,"Lift "&amp;W571&amp;" lt. Liftbericht (Fach "&amp;X571&amp;" Stk); ",IF(BU571=1,"Gebinde geschätzt ("&amp;T571&amp;"); ",IF(BT571=1,"Lose – Tablare geschätzt; ","")))&amp;IF(H571&gt;AR571,"Überbestand "&amp;ROUND(H571-AR571,0)&amp;" Stk / CHF "&amp;ROUND((H571-AR571)*G571,0)&amp;"; ","")&amp;IF(AND(CA571=1,CB571&lt;CC571),"MAX &lt; MB+LG; ","")&amp;IF(AND(CG571&gt;0,CF571*10&gt;CG571),"zu hoch für Tablar; ","")&amp;IF(AND(BP571=0,OR(CA571=1,AA571&lt;&gt;"",U571&lt;&gt;"",V571&lt;&gt;"",AB571&lt;&gt;"")),"manuell übersteuert; ","")&amp;IF(AND(BT571=0,R571=0),"Gebinde unbekannt / Stellmass fehlt; ","")&amp;IF(AND(BT571=0,N(V571)&lt;=0,N(Q571)&lt;=0),"Menge pro Gebinde fehlt (Ist = 1 Gebinde); ","")&amp;BO571)</f>
        <v>nicht im KTL vorhanden</v>
      </c>
      <c r="BH571" s="55"/>
      <c r="BI571" s="55"/>
      <c r="BJ571" s="62"/>
      <c r="BK571" s="57" t="n">
        <v>77</v>
      </c>
      <c r="BL571" s="57" t="n">
        <v>301</v>
      </c>
      <c r="BM571" s="56" t="n">
        <v>11.55</v>
      </c>
      <c r="BN571" s="57" t="n">
        <v>368</v>
      </c>
      <c r="BO571" s="55" t="s">
        <v>230</v>
      </c>
      <c r="BP571" s="60" t="n">
        <v>0</v>
      </c>
      <c r="BQ571" s="60" t="n">
        <v>571</v>
      </c>
      <c r="BR571" s="55" t="str">
        <f aca="false">IF(U571&lt;&gt;"",UPPER(TRIM(U571)),IF(BU571=1,UPPER(VLOOKUP(T571,Parameter!$I$27:$K$29,2,0)),IF(P571="","LOSE",P571)))</f>
        <v>S52</v>
      </c>
      <c r="BS571" s="57" t="n">
        <f aca="false">IF(BR571="LOSE",1,IF(N(V571)&gt;0,V571,IF(BU571=1,MAX(1,N(VLOOKUP(T571,Parameter!$I$27:$K$29,3,0)),H571,N(N571)),IF(N(Q571)&gt;0,Q571,MAX(1,H571)))))</f>
        <v>400</v>
      </c>
      <c r="BT571" s="60" t="n">
        <f aca="false">IF(BR571="LOSE",1,0)</f>
        <v>0</v>
      </c>
      <c r="BU571" s="60" t="n">
        <f aca="false">IF(AND(U571="",OR(P571="",P571="LOSE"),T571&lt;&gt;"",N(S571)&lt;=0,ISNUMBER(MATCH(T571,Parameter!$I$27:$I$29,0))),1,0)</f>
        <v>0</v>
      </c>
      <c r="BV571" s="55" t="str">
        <f aca="false">IF(AND(Parameter!$B$19="Ja",E571&lt;&gt;"",ISNUMBER(MATCH(E571,Parameter!$I$35:$I$52,0))),VLOOKUP(E571,Parameter!$I$35:$J$52,2,0),IFERROR(VLOOKUP(D571,Parameter!$A$35:$C$64,2,0),"Nein"))</f>
        <v>2+3</v>
      </c>
      <c r="BW571" s="59" t="n">
        <f aca="false">IF(BT571=0,0,IF(N(S571)&gt;0,S571,IFERROR(VLOOKUP(D571,Parameter!$A$35:$C$64,3,0)+0,0)))</f>
        <v>0</v>
      </c>
      <c r="BX571" s="55" t="n">
        <f aca="false">IF(AA571&lt;&gt;"",AA571,Z571)</f>
        <v>3</v>
      </c>
      <c r="BY571" s="55" t="str">
        <f aca="false">IF(BX571=1,"L1",IF(OR(BX571=2,BX571=3),"L23",IF(BX571="Aussen","Aussen","-")))</f>
        <v>L23</v>
      </c>
      <c r="BZ571" s="66" t="n">
        <f aca="false">IF(N(AB571)&gt;0,AB571,0)</f>
        <v>0</v>
      </c>
      <c r="CA571" s="60" t="n">
        <f aca="false">IF(ISNUMBER(AE571),1,0)</f>
        <v>0</v>
      </c>
      <c r="CB571" s="57" t="n">
        <f aca="false">N(AE571)</f>
        <v>0</v>
      </c>
      <c r="CC571" s="57" t="n">
        <f aca="false">N(M571)+N(N571)</f>
        <v>414</v>
      </c>
      <c r="CD571" s="57" t="n">
        <f aca="false">ROUNDUP(H571/BS571,0)</f>
        <v>1</v>
      </c>
      <c r="CE571" s="57" t="n">
        <f aca="false">ROUNDUP(CB571/BS571,0)</f>
        <v>0</v>
      </c>
      <c r="CF571" s="60" t="n">
        <f aca="false">IF(BT571=1,0,IFERROR(VLOOKUP(BR571,'Gebinde-Kategorie'!$A$5:$M$45,5,0)+0,0))</f>
        <v>21</v>
      </c>
      <c r="CG571" s="60" t="n">
        <f aca="false">IFERROR(IF(OR(BX571=1,BX571=2,BX571=3),N(INDEX(Parameter!$I$5:$I$7,BX571)),0),0)</f>
        <v>0</v>
      </c>
      <c r="CH571" s="59" t="n">
        <f aca="false">IF(AND(Parameter!$B$21="Ja",ISNUMBER(W571),N(X571)&gt;0),IFERROR(N(INDEX(Parameter!$L$5:$L$7,W571))*INDEX(Parameter!$E$5:$E$7,W571)*X571/SUMIFS($X$7:$X$1843,$W$7:$W$1843,W571),0),0)</f>
        <v>0</v>
      </c>
    </row>
    <row r="572" customFormat="false" ht="15" hidden="false" customHeight="false" outlineLevel="0" collapsed="false">
      <c r="A572" s="55" t="s">
        <v>1204</v>
      </c>
      <c r="B572" s="55" t="s">
        <v>1205</v>
      </c>
      <c r="C572" s="55" t="s">
        <v>164</v>
      </c>
      <c r="D572" s="55" t="s">
        <v>184</v>
      </c>
      <c r="E572" s="55" t="s">
        <v>185</v>
      </c>
      <c r="F572" s="55" t="s">
        <v>218</v>
      </c>
      <c r="G572" s="56" t="n">
        <v>0.05</v>
      </c>
      <c r="H572" s="57" t="n">
        <f aca="false">MAX(0,IF(AND(Parameter!$B$21="Ja",ISNUMBER(Y572)),Y572,IF(Parameter!$B$20="Jahresanfang 2025 + Export",BL572+BK572,BK572)))</f>
        <v>703</v>
      </c>
      <c r="I572" s="57" t="n">
        <f aca="false">H572*G572</f>
        <v>35.15</v>
      </c>
      <c r="J572" s="57" t="n">
        <f aca="false">BN572*Parameter!$B$18</f>
        <v>500</v>
      </c>
      <c r="K572" s="58" t="n">
        <v>959.5</v>
      </c>
      <c r="L572" s="59" t="n">
        <v>0.521104742053153</v>
      </c>
      <c r="M572" s="57" t="n">
        <v>29</v>
      </c>
      <c r="N572" s="57" t="n">
        <v>500</v>
      </c>
      <c r="O572" s="60" t="n">
        <v>21</v>
      </c>
      <c r="P572" s="55" t="s">
        <v>426</v>
      </c>
      <c r="Q572" s="57" t="n">
        <v>415</v>
      </c>
      <c r="R572" s="60" t="n">
        <f aca="false">IF(BT572=1,0,IFERROR(VLOOKUP(BR572,'Gebinde-Kategorie'!$A$5:$M$45,13,0)+0,0))</f>
        <v>198</v>
      </c>
      <c r="S572" s="61"/>
      <c r="T572" s="62"/>
      <c r="U572" s="62"/>
      <c r="V572" s="62"/>
      <c r="W572" s="55"/>
      <c r="X572" s="57"/>
      <c r="Y572" s="57"/>
      <c r="Z572" s="55" t="n">
        <f aca="false">IF(A572="","",IF(AND(Parameter!$B$21="Ja",ISNUMBER(W572)),W572,IF(BV572="2+3",IF(ISNUMBER(SEARCH("grosser Artikel",BO572)),2,IFERROR(VLOOKUP(BR572,Parameter!$F$35:$G$64,2,0),2)),IF(OR(BV572="Nein",BV572=""),"-",BV572))))</f>
        <v>3</v>
      </c>
      <c r="AA572" s="62"/>
      <c r="AB572" s="63"/>
      <c r="AC572" s="57" t="n">
        <f aca="false">AR572</f>
        <v>830</v>
      </c>
      <c r="AD572" s="57" t="n">
        <f aca="false">MAX(AR572,H572)</f>
        <v>830</v>
      </c>
      <c r="AE572" s="64"/>
      <c r="AF572" s="57" t="n">
        <f aca="false">IF(LEFT(Cockpit!$C$5,1)="A",H572,IF(CA572=1,CB572,IF(LEFT(Cockpit!$C$5,1)="B",AJ572,MAX(AJ572,H572))))</f>
        <v>703</v>
      </c>
      <c r="AG572" s="57" t="n">
        <f aca="false">IF(BT572=1,0,ROUNDUP(AF572/BS572,0))</f>
        <v>2</v>
      </c>
      <c r="AH572" s="59" t="n">
        <f aca="false">IF(CH572&gt;0,CH572*MAX(1,AF572/X572),IF(BT572=1,IF(AF572&lt;=0,0,BW572*MAX(1,IF(H572&gt;0,AF572/H572,1))),IF(R572&gt;0,AG572/R572,0))/MAX(0.1,N(Parameter!$M$21)))</f>
        <v>0.0101010101010101</v>
      </c>
      <c r="AI572" s="57" t="n">
        <f aca="false">AF572*G572</f>
        <v>35.15</v>
      </c>
      <c r="AJ572" s="57" t="n">
        <f aca="false">ROUNDUP(MAX(J572/IF(BZ572&gt;0,BZ572,MAX(0.1,N(Cockpit!$C$6))),CC572)/BS572,0)*BS572</f>
        <v>830</v>
      </c>
      <c r="AK572" s="58" t="n">
        <f aca="false">IF(AH572&gt;0,J572/AH572,-1)</f>
        <v>49500</v>
      </c>
      <c r="AL572" s="58" t="n">
        <f aca="false">IF(AND(OR(BY572="L1",BY572="L23"),AH572&gt;0),SUMIFS($AH$7:$AH$1843,$BY$7:$BY$1843,BY572,$AK$7:$AK$1843,"&gt;"&amp;AK572)+SUMIFS($AH$7:$AH$1843,$BY$7:$BY$1843,BY572,$AK$7:$AK$1843,AK572,$BQ$7:$BQ$1843,"&lt;="&amp;BQ572),"")</f>
        <v>1.36665146447755</v>
      </c>
      <c r="AM572" s="65" t="n">
        <f aca="false">IF(AL572="",0,MAX(0,MIN(1,(IF(BY572="L1",Parameter!$E$5,Parameter!$E$6+Parameter!$E$7)-(AL572-AH572))/AH572)))</f>
        <v>1</v>
      </c>
      <c r="AN572" s="57" t="n">
        <f aca="false">IF(LEFT(Cockpit!$I$5,1)="A",H572,IF(CA572=1,CB572,IF(LEFT(Cockpit!$I$5,1)="B",AR572,MAX(AR572,H572))))</f>
        <v>830</v>
      </c>
      <c r="AO572" s="57" t="n">
        <f aca="false">IF(BT572=1,0,ROUNDUP(AN572/BS572,0))</f>
        <v>2</v>
      </c>
      <c r="AP572" s="59" t="n">
        <f aca="false">IF(CH572&gt;0,CH572*MAX(1,AN572/X572),IF(BT572=1,IF(AN572&lt;=0,0,BW572*MAX(1,IF(H572&gt;0,AN572/H572,1))),IF(R572&gt;0,AO572/R572,0))/MAX(0.1,N(Parameter!$M$21)))</f>
        <v>0.0101010101010101</v>
      </c>
      <c r="AQ572" s="57" t="n">
        <f aca="false">AN572*G572</f>
        <v>41.5</v>
      </c>
      <c r="AR572" s="57" t="n">
        <f aca="false">ROUNDUP(MAX(J572/IF(BZ572&gt;0,BZ572,MAX(0.1,N(Cockpit!$I$6))),CC572)/BS572,0)*BS572</f>
        <v>830</v>
      </c>
      <c r="AS572" s="58" t="n">
        <f aca="false">IF(AP572&gt;0,J572/AP572,-1)</f>
        <v>49500</v>
      </c>
      <c r="AT572" s="58" t="n">
        <f aca="false">IF(AND(OR(BY572="L1",BY572="L23"),AP572&gt;0),SUMIFS($AP$7:$AP$1843,$BY$7:$BY$1843,BY572,$AS$7:$AS$1843,"&gt;"&amp;AS572)+SUMIFS($AP$7:$AP$1843,$BY$7:$BY$1843,BY572,$AS$7:$AS$1843,AS572,$BQ$7:$BQ$1843,"&lt;="&amp;BQ572),"")</f>
        <v>1.51645214688693</v>
      </c>
      <c r="AU572" s="65" t="n">
        <f aca="false">IF(AT572="",0,MAX(0,MIN(1,(IF(BY572="L1",Parameter!$E$5,Parameter!$E$6+Parameter!$E$7)-(AT572-AP572))/AP572)))</f>
        <v>1</v>
      </c>
      <c r="AV572" s="57" t="n">
        <f aca="false">IF(LEFT(Cockpit!$O$5,1)="A",H572,IF(CA572=1,CB572,IF(LEFT(Cockpit!$O$5,1)="B",AZ572,MAX(AZ572,H572))))</f>
        <v>830</v>
      </c>
      <c r="AW572" s="57" t="n">
        <f aca="false">IF(BT572=1,0,ROUNDUP(AV572/BS572,0))</f>
        <v>2</v>
      </c>
      <c r="AX572" s="59" t="n">
        <f aca="false">IF(CH572&gt;0,CH572*MAX(1,AV572/X572),IF(BT572=1,IF(AV572&lt;=0,0,BW572*MAX(1,IF(H572&gt;0,AV572/H572,1))),IF(R572&gt;0,AW572/R572,0))/MAX(0.1,N(Parameter!$M$21)))</f>
        <v>0.0101010101010101</v>
      </c>
      <c r="AY572" s="57" t="n">
        <f aca="false">AV572*G572</f>
        <v>41.5</v>
      </c>
      <c r="AZ572" s="57" t="n">
        <f aca="false">ROUNDUP(MAX(J572/IF(BZ572&gt;0,BZ572,MAX(0.1,N(Cockpit!$O$6))),CC572)/BS572,0)*BS572</f>
        <v>830</v>
      </c>
      <c r="BA572" s="58" t="n">
        <f aca="false">IF(AX572&gt;0,J572/AX572,-1)</f>
        <v>49500</v>
      </c>
      <c r="BB572" s="58" t="n">
        <f aca="false">IF(AND(OR(BY572="L1",BY572="L23"),AX572&gt;0),SUMIFS($AX$7:$AX$1843,$BY$7:$BY$1843,BY572,$BA$7:$BA$1843,"&gt;"&amp;BA572)+SUMIFS($AX$7:$AX$1843,$BY$7:$BY$1843,BY572,$BA$7:$BA$1843,BA572,$BQ$7:$BQ$1843,"&lt;="&amp;BQ572),"")</f>
        <v>1.80724468767947</v>
      </c>
      <c r="BC572" s="65" t="n">
        <f aca="false">IF(BB572="",0,MAX(0,MIN(1,(IF(BY572="L1",Parameter!$E$5,Parameter!$E$6+Parameter!$E$7)-(BB572-AX572))/AX572)))</f>
        <v>1</v>
      </c>
      <c r="BD572" s="55" t="str">
        <f aca="false">IF(AH572&lt;=0,"",IF(BY572="Aussen","Aussenlager",IF(BY572="-","Nicht im Lift",IF(AM572&gt;=1,"Lift",IF(AM572&lt;=0,"Aussenlager","teilweise")))))</f>
        <v>Lift</v>
      </c>
      <c r="BE572" s="55" t="str">
        <f aca="false">IF(AP572&lt;=0,"",IF(BY572="Aussen","Aussenlager",IF(BY572="-","Nicht im Lift",IF(AU572&gt;=1,"Lift",IF(AU572&lt;=0,"Aussenlager","teilweise")))))</f>
        <v>Lift</v>
      </c>
      <c r="BF572" s="55" t="str">
        <f aca="false">IF(AX572&lt;=0,"",IF(BY572="Aussen","Aussenlager",IF(BY572="-","Nicht im Lift",IF(BC572&gt;=1,"Lift",IF(BC572&lt;=0,"Aussenlager","teilweise")))))</f>
        <v>Lift</v>
      </c>
      <c r="BG572" s="55" t="str">
        <f aca="false">IF(A572="","",IF(BP572=1,"Neu; ","")&amp;IF(AND(BP572=0,BK572&lt;0),"negativer Bestand (Export "&amp;BK572&amp;"); ","")&amp;IF(J572&lt;=0,"Kein Verbrauch; ","")&amp;IF(CH572&gt;0,"Lift "&amp;W572&amp;" lt. Liftbericht (Fach "&amp;X572&amp;" Stk); ",IF(BU572=1,"Gebinde geschätzt ("&amp;T572&amp;"); ",IF(BT572=1,"Lose – Tablare geschätzt; ","")))&amp;IF(H572&gt;AR572,"Überbestand "&amp;ROUND(H572-AR572,0)&amp;" Stk / CHF "&amp;ROUND((H572-AR572)*G572,0)&amp;"; ","")&amp;IF(AND(CA572=1,CB572&lt;CC572),"MAX &lt; MB+LG; ","")&amp;IF(AND(CG572&gt;0,CF572*10&gt;CG572),"zu hoch für Tablar; ","")&amp;IF(AND(BP572=0,OR(CA572=1,AA572&lt;&gt;"",U572&lt;&gt;"",V572&lt;&gt;"",AB572&lt;&gt;"")),"manuell übersteuert; ","")&amp;IF(AND(BT572=0,R572=0),"Gebinde unbekannt / Stellmass fehlt; ","")&amp;IF(AND(BT572=0,N(V572)&lt;=0,N(Q572)&lt;=0),"Menge pro Gebinde fehlt (Ist = 1 Gebinde); ","")&amp;BO572)</f>
        <v>negativer Bestand (Export -101); </v>
      </c>
      <c r="BH572" s="55"/>
      <c r="BI572" s="55"/>
      <c r="BJ572" s="62"/>
      <c r="BK572" s="57" t="n">
        <v>-101</v>
      </c>
      <c r="BL572" s="57" t="n">
        <v>804</v>
      </c>
      <c r="BM572" s="56" t="n">
        <v>11.03</v>
      </c>
      <c r="BN572" s="57" t="n">
        <v>500</v>
      </c>
      <c r="BO572" s="55"/>
      <c r="BP572" s="60" t="n">
        <v>0</v>
      </c>
      <c r="BQ572" s="60" t="n">
        <v>572</v>
      </c>
      <c r="BR572" s="55" t="str">
        <f aca="false">IF(U572&lt;&gt;"",UPPER(TRIM(U572)),IF(BU572=1,UPPER(VLOOKUP(T572,Parameter!$I$27:$K$29,2,0)),IF(P572="","LOSE",P572)))</f>
        <v>S22</v>
      </c>
      <c r="BS572" s="57" t="n">
        <f aca="false">IF(BR572="LOSE",1,IF(N(V572)&gt;0,V572,IF(BU572=1,MAX(1,N(VLOOKUP(T572,Parameter!$I$27:$K$29,3,0)),H572,N(N572)),IF(N(Q572)&gt;0,Q572,MAX(1,H572)))))</f>
        <v>415</v>
      </c>
      <c r="BT572" s="60" t="n">
        <f aca="false">IF(BR572="LOSE",1,0)</f>
        <v>0</v>
      </c>
      <c r="BU572" s="60" t="n">
        <f aca="false">IF(AND(U572="",OR(P572="",P572="LOSE"),T572&lt;&gt;"",N(S572)&lt;=0,ISNUMBER(MATCH(T572,Parameter!$I$27:$I$29,0))),1,0)</f>
        <v>0</v>
      </c>
      <c r="BV572" s="55" t="str">
        <f aca="false">IF(AND(Parameter!$B$19="Ja",E572&lt;&gt;"",ISNUMBER(MATCH(E572,Parameter!$I$35:$I$52,0))),VLOOKUP(E572,Parameter!$I$35:$J$52,2,0),IFERROR(VLOOKUP(D572,Parameter!$A$35:$C$64,2,0),"Nein"))</f>
        <v>2+3</v>
      </c>
      <c r="BW572" s="59" t="n">
        <f aca="false">IF(BT572=0,0,IF(N(S572)&gt;0,S572,IFERROR(VLOOKUP(D572,Parameter!$A$35:$C$64,3,0)+0,0)))</f>
        <v>0</v>
      </c>
      <c r="BX572" s="55" t="n">
        <f aca="false">IF(AA572&lt;&gt;"",AA572,Z572)</f>
        <v>3</v>
      </c>
      <c r="BY572" s="55" t="str">
        <f aca="false">IF(BX572=1,"L1",IF(OR(BX572=2,BX572=3),"L23",IF(BX572="Aussen","Aussen","-")))</f>
        <v>L23</v>
      </c>
      <c r="BZ572" s="66" t="n">
        <f aca="false">IF(N(AB572)&gt;0,AB572,0)</f>
        <v>0</v>
      </c>
      <c r="CA572" s="60" t="n">
        <f aca="false">IF(ISNUMBER(AE572),1,0)</f>
        <v>0</v>
      </c>
      <c r="CB572" s="57" t="n">
        <f aca="false">N(AE572)</f>
        <v>0</v>
      </c>
      <c r="CC572" s="57" t="n">
        <f aca="false">N(M572)+N(N572)</f>
        <v>529</v>
      </c>
      <c r="CD572" s="57" t="n">
        <f aca="false">ROUNDUP(H572/BS572,0)</f>
        <v>2</v>
      </c>
      <c r="CE572" s="57" t="n">
        <f aca="false">ROUNDUP(CB572/BS572,0)</f>
        <v>0</v>
      </c>
      <c r="CF572" s="60" t="n">
        <f aca="false">IF(BT572=1,0,IFERROR(VLOOKUP(BR572,'Gebinde-Kategorie'!$A$5:$M$45,5,0)+0,0))</f>
        <v>8</v>
      </c>
      <c r="CG572" s="60" t="n">
        <f aca="false">IFERROR(IF(OR(BX572=1,BX572=2,BX572=3),N(INDEX(Parameter!$I$5:$I$7,BX572)),0),0)</f>
        <v>0</v>
      </c>
      <c r="CH572" s="59" t="n">
        <f aca="false">IF(AND(Parameter!$B$21="Ja",ISNUMBER(W572),N(X572)&gt;0),IFERROR(N(INDEX(Parameter!$L$5:$L$7,W572))*INDEX(Parameter!$E$5:$E$7,W572)*X572/SUMIFS($X$7:$X$1843,$W$7:$W$1843,W572),0),0)</f>
        <v>0</v>
      </c>
    </row>
    <row r="573" customFormat="false" ht="15" hidden="false" customHeight="false" outlineLevel="0" collapsed="false">
      <c r="A573" s="55" t="s">
        <v>1206</v>
      </c>
      <c r="B573" s="55" t="s">
        <v>1207</v>
      </c>
      <c r="C573" s="55" t="s">
        <v>164</v>
      </c>
      <c r="D573" s="55" t="s">
        <v>173</v>
      </c>
      <c r="E573" s="55"/>
      <c r="F573" s="55" t="s">
        <v>218</v>
      </c>
      <c r="G573" s="56" t="n">
        <v>10.5</v>
      </c>
      <c r="H573" s="57" t="n">
        <f aca="false">MAX(0,IF(AND(Parameter!$B$21="Ja",ISNUMBER(Y573)),Y573,IF(Parameter!$B$20="Jahresanfang 2025 + Export",BL573+BK573,BK573)))</f>
        <v>1</v>
      </c>
      <c r="I573" s="57" t="n">
        <f aca="false">H573*G573</f>
        <v>10.5</v>
      </c>
      <c r="J573" s="57" t="n">
        <f aca="false">BN573*Parameter!$B$18</f>
        <v>0</v>
      </c>
      <c r="K573" s="58" t="n">
        <v>0</v>
      </c>
      <c r="L573" s="59" t="n">
        <v>0</v>
      </c>
      <c r="M573" s="57" t="n">
        <v>0</v>
      </c>
      <c r="N573" s="57" t="n">
        <v>1</v>
      </c>
      <c r="O573" s="60" t="n">
        <v>21</v>
      </c>
      <c r="P573" s="55" t="s">
        <v>168</v>
      </c>
      <c r="Q573" s="57"/>
      <c r="R573" s="60" t="n">
        <f aca="false">IF(BT573=1,0,IFERROR(VLOOKUP(BR573,'Gebinde-Kategorie'!$A$5:$M$45,13,0)+0,0))</f>
        <v>3</v>
      </c>
      <c r="S573" s="61"/>
      <c r="T573" s="62" t="s">
        <v>189</v>
      </c>
      <c r="U573" s="62"/>
      <c r="V573" s="62"/>
      <c r="W573" s="55"/>
      <c r="X573" s="57"/>
      <c r="Y573" s="57"/>
      <c r="Z573" s="55" t="n">
        <f aca="false">IF(A573="","",IF(AND(Parameter!$B$21="Ja",ISNUMBER(W573)),W573,IF(BV573="2+3",IF(ISNUMBER(SEARCH("grosser Artikel",BO573)),2,IFERROR(VLOOKUP(BR573,Parameter!$F$35:$G$64,2,0),2)),IF(OR(BV573="Nein",BV573=""),"-",BV573))))</f>
        <v>2</v>
      </c>
      <c r="AA573" s="62"/>
      <c r="AB573" s="63"/>
      <c r="AC573" s="57" t="n">
        <f aca="false">AR573</f>
        <v>2</v>
      </c>
      <c r="AD573" s="57" t="n">
        <f aca="false">MAX(AR573,H573)</f>
        <v>2</v>
      </c>
      <c r="AE573" s="64"/>
      <c r="AF573" s="57" t="n">
        <f aca="false">IF(LEFT(Cockpit!$C$5,1)="A",H573,IF(CA573=1,CB573,IF(LEFT(Cockpit!$C$5,1)="B",AJ573,MAX(AJ573,H573))))</f>
        <v>1</v>
      </c>
      <c r="AG573" s="57" t="n">
        <f aca="false">IF(BT573=1,0,ROUNDUP(AF573/BS573,0))</f>
        <v>1</v>
      </c>
      <c r="AH573" s="59" t="n">
        <f aca="false">IF(CH573&gt;0,CH573*MAX(1,AF573/X573),IF(BT573=1,IF(AF573&lt;=0,0,BW573*MAX(1,IF(H573&gt;0,AF573/H573,1))),IF(R573&gt;0,AG573/R573,0))/MAX(0.1,N(Parameter!$M$21)))</f>
        <v>0.333333333333333</v>
      </c>
      <c r="AI573" s="57" t="n">
        <f aca="false">AF573*G573</f>
        <v>10.5</v>
      </c>
      <c r="AJ573" s="57" t="n">
        <f aca="false">ROUNDUP(MAX(J573/IF(BZ573&gt;0,BZ573,MAX(0.1,N(Cockpit!$C$6))),CC573)/BS573,0)*BS573</f>
        <v>2</v>
      </c>
      <c r="AK573" s="58" t="n">
        <f aca="false">IF(AH573&gt;0,J573/AH573,-1)</f>
        <v>0</v>
      </c>
      <c r="AL573" s="58" t="n">
        <f aca="false">IF(AND(OR(BY573="L1",BY573="L23"),AH573&gt;0),SUMIFS($AH$7:$AH$1843,$BY$7:$BY$1843,BY573,$AK$7:$AK$1843,"&gt;"&amp;AK573)+SUMIFS($AH$7:$AH$1843,$BY$7:$BY$1843,BY573,$AK$7:$AK$1843,AK573,$BQ$7:$BQ$1843,"&lt;="&amp;BQ573),"")</f>
        <v>75.7749738184521</v>
      </c>
      <c r="AM573" s="65" t="n">
        <f aca="false">IF(AL573="",0,MAX(0,MIN(1,(IF(BY573="L1",Parameter!$E$5,Parameter!$E$6+Parameter!$E$7)-(AL573-AH573))/AH573)))</f>
        <v>1</v>
      </c>
      <c r="AN573" s="57" t="n">
        <f aca="false">IF(LEFT(Cockpit!$I$5,1)="A",H573,IF(CA573=1,CB573,IF(LEFT(Cockpit!$I$5,1)="B",AR573,MAX(AR573,H573))))</f>
        <v>2</v>
      </c>
      <c r="AO573" s="57" t="n">
        <f aca="false">IF(BT573=1,0,ROUNDUP(AN573/BS573,0))</f>
        <v>1</v>
      </c>
      <c r="AP573" s="59" t="n">
        <f aca="false">IF(CH573&gt;0,CH573*MAX(1,AN573/X573),IF(BT573=1,IF(AN573&lt;=0,0,BW573*MAX(1,IF(H573&gt;0,AN573/H573,1))),IF(R573&gt;0,AO573/R573,0))/MAX(0.1,N(Parameter!$M$21)))</f>
        <v>0.333333333333333</v>
      </c>
      <c r="AQ573" s="57" t="n">
        <f aca="false">AN573*G573</f>
        <v>21</v>
      </c>
      <c r="AR573" s="57" t="n">
        <f aca="false">ROUNDUP(MAX(J573/IF(BZ573&gt;0,BZ573,MAX(0.1,N(Cockpit!$I$6))),CC573)/BS573,0)*BS573</f>
        <v>2</v>
      </c>
      <c r="AS573" s="58" t="n">
        <f aca="false">IF(AP573&gt;0,J573/AP573,-1)</f>
        <v>0</v>
      </c>
      <c r="AT573" s="58" t="n">
        <f aca="false">IF(AND(OR(BY573="L1",BY573="L23"),AP573&gt;0),SUMIFS($AP$7:$AP$1843,$BY$7:$BY$1843,BY573,$AS$7:$AS$1843,"&gt;"&amp;AS573)+SUMIFS($AP$7:$AP$1843,$BY$7:$BY$1843,BY573,$AS$7:$AS$1843,AS573,$BQ$7:$BQ$1843,"&lt;="&amp;BQ573),"")</f>
        <v>115.199098003446</v>
      </c>
      <c r="AU573" s="65" t="n">
        <f aca="false">IF(AT573="",0,MAX(0,MIN(1,(IF(BY573="L1",Parameter!$E$5,Parameter!$E$6+Parameter!$E$7)-(AT573-AP573))/AP573)))</f>
        <v>0</v>
      </c>
      <c r="AV573" s="57" t="n">
        <f aca="false">IF(LEFT(Cockpit!$O$5,1)="A",H573,IF(CA573=1,CB573,IF(LEFT(Cockpit!$O$5,1)="B",AZ573,MAX(AZ573,H573))))</f>
        <v>2</v>
      </c>
      <c r="AW573" s="57" t="n">
        <f aca="false">IF(BT573=1,0,ROUNDUP(AV573/BS573,0))</f>
        <v>1</v>
      </c>
      <c r="AX573" s="59" t="n">
        <f aca="false">IF(CH573&gt;0,CH573*MAX(1,AV573/X573),IF(BT573=1,IF(AV573&lt;=0,0,BW573*MAX(1,IF(H573&gt;0,AV573/H573,1))),IF(R573&gt;0,AW573/R573,0))/MAX(0.1,N(Parameter!$M$21)))</f>
        <v>0.333333333333333</v>
      </c>
      <c r="AY573" s="57" t="n">
        <f aca="false">AV573*G573</f>
        <v>21</v>
      </c>
      <c r="AZ573" s="57" t="n">
        <f aca="false">ROUNDUP(MAX(J573/IF(BZ573&gt;0,BZ573,MAX(0.1,N(Cockpit!$O$6))),CC573)/BS573,0)*BS573</f>
        <v>2</v>
      </c>
      <c r="BA573" s="58" t="n">
        <f aca="false">IF(AX573&gt;0,J573/AX573,-1)</f>
        <v>0</v>
      </c>
      <c r="BB573" s="58" t="n">
        <f aca="false">IF(AND(OR(BY573="L1",BY573="L23"),AX573&gt;0),SUMIFS($AX$7:$AX$1843,$BY$7:$BY$1843,BY573,$BA$7:$BA$1843,"&gt;"&amp;BA573)+SUMIFS($AX$7:$AX$1843,$BY$7:$BY$1843,BY573,$BA$7:$BA$1843,BA573,$BQ$7:$BQ$1843,"&lt;="&amp;BQ573),"")</f>
        <v>106.028934833283</v>
      </c>
      <c r="BC573" s="65" t="n">
        <f aca="false">IF(BB573="",0,MAX(0,MIN(1,(IF(BY573="L1",Parameter!$E$5,Parameter!$E$6+Parameter!$E$7)-(BB573-AX573))/AX573)))</f>
        <v>0</v>
      </c>
      <c r="BD573" s="55" t="str">
        <f aca="false">IF(AH573&lt;=0,"",IF(BY573="Aussen","Aussenlager",IF(BY573="-","Nicht im Lift",IF(AM573&gt;=1,"Lift",IF(AM573&lt;=0,"Aussenlager","teilweise")))))</f>
        <v>Lift</v>
      </c>
      <c r="BE573" s="55" t="str">
        <f aca="false">IF(AP573&lt;=0,"",IF(BY573="Aussen","Aussenlager",IF(BY573="-","Nicht im Lift",IF(AU573&gt;=1,"Lift",IF(AU573&lt;=0,"Aussenlager","teilweise")))))</f>
        <v>Aussenlager</v>
      </c>
      <c r="BF573" s="55" t="str">
        <f aca="false">IF(AX573&lt;=0,"",IF(BY573="Aussen","Aussenlager",IF(BY573="-","Nicht im Lift",IF(BC573&gt;=1,"Lift",IF(BC573&lt;=0,"Aussenlager","teilweise")))))</f>
        <v>Aussenlager</v>
      </c>
      <c r="BG573" s="55" t="str">
        <f aca="false">IF(A573="","",IF(BP573=1,"Neu; ","")&amp;IF(AND(BP573=0,BK573&lt;0),"negativer Bestand (Export "&amp;BK573&amp;"); ","")&amp;IF(J573&lt;=0,"Kein Verbrauch; ","")&amp;IF(CH573&gt;0,"Lift "&amp;W573&amp;" lt. Liftbericht (Fach "&amp;X573&amp;" Stk); ",IF(BU573=1,"Gebinde geschätzt ("&amp;T573&amp;"); ",IF(BT573=1,"Lose – Tablare geschätzt; ","")))&amp;IF(H573&gt;AR573,"Überbestand "&amp;ROUND(H573-AR573,0)&amp;" Stk / CHF "&amp;ROUND((H573-AR573)*G573,0)&amp;"; ","")&amp;IF(AND(CA573=1,CB573&lt;CC573),"MAX &lt; MB+LG; ","")&amp;IF(AND(CG573&gt;0,CF573*10&gt;CG573),"zu hoch für Tablar; ","")&amp;IF(AND(BP573=0,OR(CA573=1,AA573&lt;&gt;"",U573&lt;&gt;"",V573&lt;&gt;"",AB573&lt;&gt;"")),"manuell übersteuert; ","")&amp;IF(AND(BT573=0,R573=0),"Gebinde unbekannt / Stellmass fehlt; ","")&amp;IF(AND(BT573=0,N(V573)&lt;=0,N(Q573)&lt;=0),"Menge pro Gebinde fehlt (Ist = 1 Gebinde); ","")&amp;BO573)</f>
        <v>Kein Verbrauch; Gebinde geschätzt (Gross); Menge pro Gebinde fehlt (Ist = 1 Gebinde); </v>
      </c>
      <c r="BH573" s="55"/>
      <c r="BI573" s="55"/>
      <c r="BJ573" s="62"/>
      <c r="BK573" s="57" t="n">
        <v>1</v>
      </c>
      <c r="BL573" s="57" t="n">
        <v>0</v>
      </c>
      <c r="BM573" s="56" t="n">
        <v>10.5</v>
      </c>
      <c r="BN573" s="57" t="n">
        <v>0</v>
      </c>
      <c r="BO573" s="55"/>
      <c r="BP573" s="60" t="n">
        <v>0</v>
      </c>
      <c r="BQ573" s="60" t="n">
        <v>573</v>
      </c>
      <c r="BR573" s="55" t="str">
        <f aca="false">IF(U573&lt;&gt;"",UPPER(TRIM(U573)),IF(BU573=1,UPPER(VLOOKUP(T573,Parameter!$I$27:$K$29,2,0)),IF(P573="","LOSE",P573)))</f>
        <v>S81</v>
      </c>
      <c r="BS573" s="57" t="n">
        <f aca="false">IF(BR573="LOSE",1,IF(N(V573)&gt;0,V573,IF(BU573=1,MAX(1,N(VLOOKUP(T573,Parameter!$I$27:$K$29,3,0)),H573,N(N573)),IF(N(Q573)&gt;0,Q573,MAX(1,H573)))))</f>
        <v>2</v>
      </c>
      <c r="BT573" s="60" t="n">
        <f aca="false">IF(BR573="LOSE",1,0)</f>
        <v>0</v>
      </c>
      <c r="BU573" s="60" t="n">
        <f aca="false">IF(AND(U573="",OR(P573="",P573="LOSE"),T573&lt;&gt;"",N(S573)&lt;=0,ISNUMBER(MATCH(T573,Parameter!$I$27:$I$29,0))),1,0)</f>
        <v>1</v>
      </c>
      <c r="BV573" s="55" t="str">
        <f aca="false">IF(AND(Parameter!$B$19="Ja",E573&lt;&gt;"",ISNUMBER(MATCH(E573,Parameter!$I$35:$I$52,0))),VLOOKUP(E573,Parameter!$I$35:$J$52,2,0),IFERROR(VLOOKUP(D573,Parameter!$A$35:$C$64,2,0),"Nein"))</f>
        <v>2+3</v>
      </c>
      <c r="BW573" s="59" t="n">
        <f aca="false">IF(BT573=0,0,IF(N(S573)&gt;0,S573,IFERROR(VLOOKUP(D573,Parameter!$A$35:$C$64,3,0)+0,0)))</f>
        <v>0</v>
      </c>
      <c r="BX573" s="55" t="n">
        <f aca="false">IF(AA573&lt;&gt;"",AA573,Z573)</f>
        <v>2</v>
      </c>
      <c r="BY573" s="55" t="str">
        <f aca="false">IF(BX573=1,"L1",IF(OR(BX573=2,BX573=3),"L23",IF(BX573="Aussen","Aussen","-")))</f>
        <v>L23</v>
      </c>
      <c r="BZ573" s="66" t="n">
        <f aca="false">IF(N(AB573)&gt;0,AB573,0)</f>
        <v>0</v>
      </c>
      <c r="CA573" s="60" t="n">
        <f aca="false">IF(ISNUMBER(AE573),1,0)</f>
        <v>0</v>
      </c>
      <c r="CB573" s="57" t="n">
        <f aca="false">N(AE573)</f>
        <v>0</v>
      </c>
      <c r="CC573" s="57" t="n">
        <f aca="false">N(M573)+N(N573)</f>
        <v>1</v>
      </c>
      <c r="CD573" s="57" t="n">
        <f aca="false">ROUNDUP(H573/BS573,0)</f>
        <v>1</v>
      </c>
      <c r="CE573" s="57" t="n">
        <f aca="false">ROUNDUP(CB573/BS573,0)</f>
        <v>0</v>
      </c>
      <c r="CF573" s="60" t="n">
        <f aca="false">IF(BT573=1,0,IFERROR(VLOOKUP(BR573,'Gebinde-Kategorie'!$A$5:$M$45,5,0)+0,0))</f>
        <v>20</v>
      </c>
      <c r="CG573" s="60" t="n">
        <f aca="false">IFERROR(IF(OR(BX573=1,BX573=2,BX573=3),N(INDEX(Parameter!$I$5:$I$7,BX573)),0),0)</f>
        <v>0</v>
      </c>
      <c r="CH573" s="59" t="n">
        <f aca="false">IF(AND(Parameter!$B$21="Ja",ISNUMBER(W573),N(X573)&gt;0),IFERROR(N(INDEX(Parameter!$L$5:$L$7,W573))*INDEX(Parameter!$E$5:$E$7,W573)*X573/SUMIFS($X$7:$X$1843,$W$7:$W$1843,W573),0),0)</f>
        <v>0</v>
      </c>
    </row>
    <row r="574" customFormat="false" ht="15" hidden="false" customHeight="false" outlineLevel="0" collapsed="false">
      <c r="A574" s="55" t="s">
        <v>1208</v>
      </c>
      <c r="B574" s="55" t="s">
        <v>1209</v>
      </c>
      <c r="C574" s="55" t="s">
        <v>164</v>
      </c>
      <c r="D574" s="55" t="s">
        <v>184</v>
      </c>
      <c r="E574" s="55" t="s">
        <v>185</v>
      </c>
      <c r="F574" s="55" t="s">
        <v>218</v>
      </c>
      <c r="G574" s="56" t="n">
        <v>0.05</v>
      </c>
      <c r="H574" s="57" t="n">
        <f aca="false">MAX(0,IF(AND(Parameter!$B$21="Ja",ISNUMBER(Y574)),Y574,IF(Parameter!$B$20="Jahresanfang 2025 + Export",BL574+BK574,BK574)))</f>
        <v>810</v>
      </c>
      <c r="I574" s="57" t="n">
        <f aca="false">H574*G574</f>
        <v>40.5</v>
      </c>
      <c r="J574" s="57" t="n">
        <f aca="false">BN574*Parameter!$B$18</f>
        <v>0</v>
      </c>
      <c r="K574" s="58" t="n">
        <v>705</v>
      </c>
      <c r="L574" s="59" t="n">
        <v>0</v>
      </c>
      <c r="M574" s="57" t="n">
        <v>0</v>
      </c>
      <c r="N574" s="57" t="n">
        <v>1</v>
      </c>
      <c r="O574" s="60" t="n">
        <v>14</v>
      </c>
      <c r="P574" s="55" t="s">
        <v>401</v>
      </c>
      <c r="Q574" s="57" t="n">
        <v>512</v>
      </c>
      <c r="R574" s="60" t="n">
        <f aca="false">IF(BT574=1,0,IFERROR(VLOOKUP(BR574,'Gebinde-Kategorie'!$A$5:$M$45,13,0)+0,0))</f>
        <v>414</v>
      </c>
      <c r="S574" s="61"/>
      <c r="T574" s="62"/>
      <c r="U574" s="62"/>
      <c r="V574" s="62"/>
      <c r="W574" s="55"/>
      <c r="X574" s="57"/>
      <c r="Y574" s="57"/>
      <c r="Z574" s="55" t="n">
        <f aca="false">IF(A574="","",IF(AND(Parameter!$B$21="Ja",ISNUMBER(W574)),W574,IF(BV574="2+3",IF(ISNUMBER(SEARCH("grosser Artikel",BO574)),2,IFERROR(VLOOKUP(BR574,Parameter!$F$35:$G$64,2,0),2)),IF(OR(BV574="Nein",BV574=""),"-",BV574))))</f>
        <v>3</v>
      </c>
      <c r="AA574" s="62"/>
      <c r="AB574" s="63"/>
      <c r="AC574" s="57" t="n">
        <f aca="false">AR574</f>
        <v>512</v>
      </c>
      <c r="AD574" s="57" t="n">
        <f aca="false">MAX(AR574,H574)</f>
        <v>810</v>
      </c>
      <c r="AE574" s="64"/>
      <c r="AF574" s="57" t="n">
        <f aca="false">IF(LEFT(Cockpit!$C$5,1)="A",H574,IF(CA574=1,CB574,IF(LEFT(Cockpit!$C$5,1)="B",AJ574,MAX(AJ574,H574))))</f>
        <v>810</v>
      </c>
      <c r="AG574" s="57" t="n">
        <f aca="false">IF(BT574=1,0,ROUNDUP(AF574/BS574,0))</f>
        <v>2</v>
      </c>
      <c r="AH574" s="59" t="n">
        <f aca="false">IF(CH574&gt;0,CH574*MAX(1,AF574/X574),IF(BT574=1,IF(AF574&lt;=0,0,BW574*MAX(1,IF(H574&gt;0,AF574/H574,1))),IF(R574&gt;0,AG574/R574,0))/MAX(0.1,N(Parameter!$M$21)))</f>
        <v>0.00483091787439614</v>
      </c>
      <c r="AI574" s="57" t="n">
        <f aca="false">AF574*G574</f>
        <v>40.5</v>
      </c>
      <c r="AJ574" s="57" t="n">
        <f aca="false">ROUNDUP(MAX(J574/IF(BZ574&gt;0,BZ574,MAX(0.1,N(Cockpit!$C$6))),CC574)/BS574,0)*BS574</f>
        <v>512</v>
      </c>
      <c r="AK574" s="58" t="n">
        <f aca="false">IF(AH574&gt;0,J574/AH574,-1)</f>
        <v>0</v>
      </c>
      <c r="AL574" s="58" t="n">
        <f aca="false">IF(AND(OR(BY574="L1",BY574="L23"),AH574&gt;0),SUMIFS($AH$7:$AH$1843,$BY$7:$BY$1843,BY574,$AK$7:$AK$1843,"&gt;"&amp;AK574)+SUMIFS($AH$7:$AH$1843,$BY$7:$BY$1843,BY574,$AK$7:$AK$1843,AK574,$BQ$7:$BQ$1843,"&lt;="&amp;BQ574),"")</f>
        <v>75.7798047363265</v>
      </c>
      <c r="AM574" s="65" t="n">
        <f aca="false">IF(AL574="",0,MAX(0,MIN(1,(IF(BY574="L1",Parameter!$E$5,Parameter!$E$6+Parameter!$E$7)-(AL574-AH574))/AH574)))</f>
        <v>1</v>
      </c>
      <c r="AN574" s="57" t="n">
        <f aca="false">IF(LEFT(Cockpit!$I$5,1)="A",H574,IF(CA574=1,CB574,IF(LEFT(Cockpit!$I$5,1)="B",AR574,MAX(AR574,H574))))</f>
        <v>810</v>
      </c>
      <c r="AO574" s="57" t="n">
        <f aca="false">IF(BT574=1,0,ROUNDUP(AN574/BS574,0))</f>
        <v>2</v>
      </c>
      <c r="AP574" s="59" t="n">
        <f aca="false">IF(CH574&gt;0,CH574*MAX(1,AN574/X574),IF(BT574=1,IF(AN574&lt;=0,0,BW574*MAX(1,IF(H574&gt;0,AN574/H574,1))),IF(R574&gt;0,AO574/R574,0))/MAX(0.1,N(Parameter!$M$21)))</f>
        <v>0.00483091787439614</v>
      </c>
      <c r="AQ574" s="57" t="n">
        <f aca="false">AN574*G574</f>
        <v>40.5</v>
      </c>
      <c r="AR574" s="57" t="n">
        <f aca="false">ROUNDUP(MAX(J574/IF(BZ574&gt;0,BZ574,MAX(0.1,N(Cockpit!$I$6))),CC574)/BS574,0)*BS574</f>
        <v>512</v>
      </c>
      <c r="AS574" s="58" t="n">
        <f aca="false">IF(AP574&gt;0,J574/AP574,-1)</f>
        <v>0</v>
      </c>
      <c r="AT574" s="58" t="n">
        <f aca="false">IF(AND(OR(BY574="L1",BY574="L23"),AP574&gt;0),SUMIFS($AP$7:$AP$1843,$BY$7:$BY$1843,BY574,$AS$7:$AS$1843,"&gt;"&amp;AS574)+SUMIFS($AP$7:$AP$1843,$BY$7:$BY$1843,BY574,$AS$7:$AS$1843,AS574,$BQ$7:$BQ$1843,"&lt;="&amp;BQ574),"")</f>
        <v>115.20392892132</v>
      </c>
      <c r="AU574" s="65" t="n">
        <f aca="false">IF(AT574="",0,MAX(0,MIN(1,(IF(BY574="L1",Parameter!$E$5,Parameter!$E$6+Parameter!$E$7)-(AT574-AP574))/AP574)))</f>
        <v>0</v>
      </c>
      <c r="AV574" s="57" t="n">
        <f aca="false">IF(LEFT(Cockpit!$O$5,1)="A",H574,IF(CA574=1,CB574,IF(LEFT(Cockpit!$O$5,1)="B",AZ574,MAX(AZ574,H574))))</f>
        <v>810</v>
      </c>
      <c r="AW574" s="57" t="n">
        <f aca="false">IF(BT574=1,0,ROUNDUP(AV574/BS574,0))</f>
        <v>2</v>
      </c>
      <c r="AX574" s="59" t="n">
        <f aca="false">IF(CH574&gt;0,CH574*MAX(1,AV574/X574),IF(BT574=1,IF(AV574&lt;=0,0,BW574*MAX(1,IF(H574&gt;0,AV574/H574,1))),IF(R574&gt;0,AW574/R574,0))/MAX(0.1,N(Parameter!$M$21)))</f>
        <v>0.00483091787439614</v>
      </c>
      <c r="AY574" s="57" t="n">
        <f aca="false">AV574*G574</f>
        <v>40.5</v>
      </c>
      <c r="AZ574" s="57" t="n">
        <f aca="false">ROUNDUP(MAX(J574/IF(BZ574&gt;0,BZ574,MAX(0.1,N(Cockpit!$O$6))),CC574)/BS574,0)*BS574</f>
        <v>512</v>
      </c>
      <c r="BA574" s="58" t="n">
        <f aca="false">IF(AX574&gt;0,J574/AX574,-1)</f>
        <v>0</v>
      </c>
      <c r="BB574" s="58" t="n">
        <f aca="false">IF(AND(OR(BY574="L1",BY574="L23"),AX574&gt;0),SUMIFS($AX$7:$AX$1843,$BY$7:$BY$1843,BY574,$BA$7:$BA$1843,"&gt;"&amp;BA574)+SUMIFS($AX$7:$AX$1843,$BY$7:$BY$1843,BY574,$BA$7:$BA$1843,BA574,$BQ$7:$BQ$1843,"&lt;="&amp;BQ574),"")</f>
        <v>106.033765751157</v>
      </c>
      <c r="BC574" s="65" t="n">
        <f aca="false">IF(BB574="",0,MAX(0,MIN(1,(IF(BY574="L1",Parameter!$E$5,Parameter!$E$6+Parameter!$E$7)-(BB574-AX574))/AX574)))</f>
        <v>0</v>
      </c>
      <c r="BD574" s="55" t="str">
        <f aca="false">IF(AH574&lt;=0,"",IF(BY574="Aussen","Aussenlager",IF(BY574="-","Nicht im Lift",IF(AM574&gt;=1,"Lift",IF(AM574&lt;=0,"Aussenlager","teilweise")))))</f>
        <v>Lift</v>
      </c>
      <c r="BE574" s="55" t="str">
        <f aca="false">IF(AP574&lt;=0,"",IF(BY574="Aussen","Aussenlager",IF(BY574="-","Nicht im Lift",IF(AU574&gt;=1,"Lift",IF(AU574&lt;=0,"Aussenlager","teilweise")))))</f>
        <v>Aussenlager</v>
      </c>
      <c r="BF574" s="55" t="str">
        <f aca="false">IF(AX574&lt;=0,"",IF(BY574="Aussen","Aussenlager",IF(BY574="-","Nicht im Lift",IF(BC574&gt;=1,"Lift",IF(BC574&lt;=0,"Aussenlager","teilweise")))))</f>
        <v>Aussenlager</v>
      </c>
      <c r="BG574" s="55" t="str">
        <f aca="false">IF(A574="","",IF(BP574=1,"Neu; ","")&amp;IF(AND(BP574=0,BK574&lt;0),"negativer Bestand (Export "&amp;BK574&amp;"); ","")&amp;IF(J574&lt;=0,"Kein Verbrauch; ","")&amp;IF(CH574&gt;0,"Lift "&amp;W574&amp;" lt. Liftbericht (Fach "&amp;X574&amp;" Stk); ",IF(BU574=1,"Gebinde geschätzt ("&amp;T574&amp;"); ",IF(BT574=1,"Lose – Tablare geschätzt; ","")))&amp;IF(H574&gt;AR574,"Überbestand "&amp;ROUND(H574-AR574,0)&amp;" Stk / CHF "&amp;ROUND((H574-AR574)*G574,0)&amp;"; ","")&amp;IF(AND(CA574=1,CB574&lt;CC574),"MAX &lt; MB+LG; ","")&amp;IF(AND(CG574&gt;0,CF574*10&gt;CG574),"zu hoch für Tablar; ","")&amp;IF(AND(BP574=0,OR(CA574=1,AA574&lt;&gt;"",U574&lt;&gt;"",V574&lt;&gt;"",AB574&lt;&gt;"")),"manuell übersteuert; ","")&amp;IF(AND(BT574=0,R574=0),"Gebinde unbekannt / Stellmass fehlt; ","")&amp;IF(AND(BT574=0,N(V574)&lt;=0,N(Q574)&lt;=0),"Menge pro Gebinde fehlt (Ist = 1 Gebinde); ","")&amp;BO574)</f>
        <v>Kein Verbrauch; Überbestand 298 Stk / CHF 15; Handlager</v>
      </c>
      <c r="BH574" s="55"/>
      <c r="BI574" s="55"/>
      <c r="BJ574" s="62"/>
      <c r="BK574" s="57" t="n">
        <v>210</v>
      </c>
      <c r="BL574" s="57" t="n">
        <v>600</v>
      </c>
      <c r="BM574" s="56" t="n">
        <v>10.5</v>
      </c>
      <c r="BN574" s="57" t="n">
        <v>0</v>
      </c>
      <c r="BO574" s="55" t="s">
        <v>895</v>
      </c>
      <c r="BP574" s="60" t="n">
        <v>0</v>
      </c>
      <c r="BQ574" s="60" t="n">
        <v>574</v>
      </c>
      <c r="BR574" s="55" t="str">
        <f aca="false">IF(U574&lt;&gt;"",UPPER(TRIM(U574)),IF(BU574=1,UPPER(VLOOKUP(T574,Parameter!$I$27:$K$29,2,0)),IF(P574="","LOSE",P574)))</f>
        <v>S21</v>
      </c>
      <c r="BS574" s="57" t="n">
        <f aca="false">IF(BR574="LOSE",1,IF(N(V574)&gt;0,V574,IF(BU574=1,MAX(1,N(VLOOKUP(T574,Parameter!$I$27:$K$29,3,0)),H574,N(N574)),IF(N(Q574)&gt;0,Q574,MAX(1,H574)))))</f>
        <v>512</v>
      </c>
      <c r="BT574" s="60" t="n">
        <f aca="false">IF(BR574="LOSE",1,0)</f>
        <v>0</v>
      </c>
      <c r="BU574" s="60" t="n">
        <f aca="false">IF(AND(U574="",OR(P574="",P574="LOSE"),T574&lt;&gt;"",N(S574)&lt;=0,ISNUMBER(MATCH(T574,Parameter!$I$27:$I$29,0))),1,0)</f>
        <v>0</v>
      </c>
      <c r="BV574" s="55" t="str">
        <f aca="false">IF(AND(Parameter!$B$19="Ja",E574&lt;&gt;"",ISNUMBER(MATCH(E574,Parameter!$I$35:$I$52,0))),VLOOKUP(E574,Parameter!$I$35:$J$52,2,0),IFERROR(VLOOKUP(D574,Parameter!$A$35:$C$64,2,0),"Nein"))</f>
        <v>2+3</v>
      </c>
      <c r="BW574" s="59" t="n">
        <f aca="false">IF(BT574=0,0,IF(N(S574)&gt;0,S574,IFERROR(VLOOKUP(D574,Parameter!$A$35:$C$64,3,0)+0,0)))</f>
        <v>0</v>
      </c>
      <c r="BX574" s="55" t="n">
        <f aca="false">IF(AA574&lt;&gt;"",AA574,Z574)</f>
        <v>3</v>
      </c>
      <c r="BY574" s="55" t="str">
        <f aca="false">IF(BX574=1,"L1",IF(OR(BX574=2,BX574=3),"L23",IF(BX574="Aussen","Aussen","-")))</f>
        <v>L23</v>
      </c>
      <c r="BZ574" s="66" t="n">
        <f aca="false">IF(N(AB574)&gt;0,AB574,0)</f>
        <v>0</v>
      </c>
      <c r="CA574" s="60" t="n">
        <f aca="false">IF(ISNUMBER(AE574),1,0)</f>
        <v>0</v>
      </c>
      <c r="CB574" s="57" t="n">
        <f aca="false">N(AE574)</f>
        <v>0</v>
      </c>
      <c r="CC574" s="57" t="n">
        <f aca="false">N(M574)+N(N574)</f>
        <v>1</v>
      </c>
      <c r="CD574" s="57" t="n">
        <f aca="false">ROUNDUP(H574/BS574,0)</f>
        <v>2</v>
      </c>
      <c r="CE574" s="57" t="n">
        <f aca="false">ROUNDUP(CB574/BS574,0)</f>
        <v>0</v>
      </c>
      <c r="CF574" s="60" t="n">
        <f aca="false">IF(BT574=1,0,IFERROR(VLOOKUP(BR574,'Gebinde-Kategorie'!$A$5:$M$45,5,0)+0,0))</f>
        <v>8</v>
      </c>
      <c r="CG574" s="60" t="n">
        <f aca="false">IFERROR(IF(OR(BX574=1,BX574=2,BX574=3),N(INDEX(Parameter!$I$5:$I$7,BX574)),0),0)</f>
        <v>0</v>
      </c>
      <c r="CH574" s="59" t="n">
        <f aca="false">IF(AND(Parameter!$B$21="Ja",ISNUMBER(W574),N(X574)&gt;0),IFERROR(N(INDEX(Parameter!$L$5:$L$7,W574))*INDEX(Parameter!$E$5:$E$7,W574)*X574/SUMIFS($X$7:$X$1843,$W$7:$W$1843,W574),0),0)</f>
        <v>0</v>
      </c>
    </row>
    <row r="575" customFormat="false" ht="15" hidden="false" customHeight="false" outlineLevel="0" collapsed="false">
      <c r="A575" s="55" t="s">
        <v>1210</v>
      </c>
      <c r="B575" s="55" t="s">
        <v>1211</v>
      </c>
      <c r="C575" s="55" t="s">
        <v>164</v>
      </c>
      <c r="D575" s="55" t="s">
        <v>184</v>
      </c>
      <c r="E575" s="55" t="s">
        <v>185</v>
      </c>
      <c r="F575" s="55" t="s">
        <v>218</v>
      </c>
      <c r="G575" s="56" t="n">
        <v>2.8</v>
      </c>
      <c r="H575" s="57" t="n">
        <f aca="false">MAX(0,IF(AND(Parameter!$B$21="Ja",ISNUMBER(Y575)),Y575,IF(Parameter!$B$20="Jahresanfang 2025 + Export",BL575+BK575,BK575)))</f>
        <v>20</v>
      </c>
      <c r="I575" s="57" t="n">
        <f aca="false">H575*G575</f>
        <v>56</v>
      </c>
      <c r="J575" s="57" t="n">
        <f aca="false">BN575*Parameter!$B$18</f>
        <v>0</v>
      </c>
      <c r="K575" s="58" t="n">
        <v>19</v>
      </c>
      <c r="L575" s="59" t="n">
        <v>0</v>
      </c>
      <c r="M575" s="57" t="n">
        <v>0</v>
      </c>
      <c r="N575" s="57" t="n">
        <v>1</v>
      </c>
      <c r="O575" s="60" t="n">
        <v>42</v>
      </c>
      <c r="P575" s="55" t="s">
        <v>421</v>
      </c>
      <c r="Q575" s="57" t="n">
        <v>18</v>
      </c>
      <c r="R575" s="60" t="n">
        <f aca="false">IF(BT575=1,0,IFERROR(VLOOKUP(BR575,'Gebinde-Kategorie'!$A$5:$M$45,13,0)+0,0))</f>
        <v>132</v>
      </c>
      <c r="S575" s="61"/>
      <c r="T575" s="62"/>
      <c r="U575" s="62"/>
      <c r="V575" s="62"/>
      <c r="W575" s="55"/>
      <c r="X575" s="57"/>
      <c r="Y575" s="57"/>
      <c r="Z575" s="55" t="n">
        <f aca="false">IF(A575="","",IF(AND(Parameter!$B$21="Ja",ISNUMBER(W575)),W575,IF(BV575="2+3",IF(ISNUMBER(SEARCH("grosser Artikel",BO575)),2,IFERROR(VLOOKUP(BR575,Parameter!$F$35:$G$64,2,0),2)),IF(OR(BV575="Nein",BV575=""),"-",BV575))))</f>
        <v>3</v>
      </c>
      <c r="AA575" s="62"/>
      <c r="AB575" s="63"/>
      <c r="AC575" s="57" t="n">
        <f aca="false">AR575</f>
        <v>18</v>
      </c>
      <c r="AD575" s="57" t="n">
        <f aca="false">MAX(AR575,H575)</f>
        <v>20</v>
      </c>
      <c r="AE575" s="64"/>
      <c r="AF575" s="57" t="n">
        <f aca="false">IF(LEFT(Cockpit!$C$5,1)="A",H575,IF(CA575=1,CB575,IF(LEFT(Cockpit!$C$5,1)="B",AJ575,MAX(AJ575,H575))))</f>
        <v>20</v>
      </c>
      <c r="AG575" s="57" t="n">
        <f aca="false">IF(BT575=1,0,ROUNDUP(AF575/BS575,0))</f>
        <v>2</v>
      </c>
      <c r="AH575" s="59" t="n">
        <f aca="false">IF(CH575&gt;0,CH575*MAX(1,AF575/X575),IF(BT575=1,IF(AF575&lt;=0,0,BW575*MAX(1,IF(H575&gt;0,AF575/H575,1))),IF(R575&gt;0,AG575/R575,0))/MAX(0.1,N(Parameter!$M$21)))</f>
        <v>0.0151515151515152</v>
      </c>
      <c r="AI575" s="57" t="n">
        <f aca="false">AF575*G575</f>
        <v>56</v>
      </c>
      <c r="AJ575" s="57" t="n">
        <f aca="false">ROUNDUP(MAX(J575/IF(BZ575&gt;0,BZ575,MAX(0.1,N(Cockpit!$C$6))),CC575)/BS575,0)*BS575</f>
        <v>18</v>
      </c>
      <c r="AK575" s="58" t="n">
        <f aca="false">IF(AH575&gt;0,J575/AH575,-1)</f>
        <v>0</v>
      </c>
      <c r="AL575" s="58" t="n">
        <f aca="false">IF(AND(OR(BY575="L1",BY575="L23"),AH575&gt;0),SUMIFS($AH$7:$AH$1843,$BY$7:$BY$1843,BY575,$AK$7:$AK$1843,"&gt;"&amp;AK575)+SUMIFS($AH$7:$AH$1843,$BY$7:$BY$1843,BY575,$AK$7:$AK$1843,AK575,$BQ$7:$BQ$1843,"&lt;="&amp;BQ575),"")</f>
        <v>75.794956251478</v>
      </c>
      <c r="AM575" s="65" t="n">
        <f aca="false">IF(AL575="",0,MAX(0,MIN(1,(IF(BY575="L1",Parameter!$E$5,Parameter!$E$6+Parameter!$E$7)-(AL575-AH575))/AH575)))</f>
        <v>1</v>
      </c>
      <c r="AN575" s="57" t="n">
        <f aca="false">IF(LEFT(Cockpit!$I$5,1)="A",H575,IF(CA575=1,CB575,IF(LEFT(Cockpit!$I$5,1)="B",AR575,MAX(AR575,H575))))</f>
        <v>20</v>
      </c>
      <c r="AO575" s="57" t="n">
        <f aca="false">IF(BT575=1,0,ROUNDUP(AN575/BS575,0))</f>
        <v>2</v>
      </c>
      <c r="AP575" s="59" t="n">
        <f aca="false">IF(CH575&gt;0,CH575*MAX(1,AN575/X575),IF(BT575=1,IF(AN575&lt;=0,0,BW575*MAX(1,IF(H575&gt;0,AN575/H575,1))),IF(R575&gt;0,AO575/R575,0))/MAX(0.1,N(Parameter!$M$21)))</f>
        <v>0.0151515151515152</v>
      </c>
      <c r="AQ575" s="57" t="n">
        <f aca="false">AN575*G575</f>
        <v>56</v>
      </c>
      <c r="AR575" s="57" t="n">
        <f aca="false">ROUNDUP(MAX(J575/IF(BZ575&gt;0,BZ575,MAX(0.1,N(Cockpit!$I$6))),CC575)/BS575,0)*BS575</f>
        <v>18</v>
      </c>
      <c r="AS575" s="58" t="n">
        <f aca="false">IF(AP575&gt;0,J575/AP575,-1)</f>
        <v>0</v>
      </c>
      <c r="AT575" s="58" t="n">
        <f aca="false">IF(AND(OR(BY575="L1",BY575="L23"),AP575&gt;0),SUMIFS($AP$7:$AP$1843,$BY$7:$BY$1843,BY575,$AS$7:$AS$1843,"&gt;"&amp;AS575)+SUMIFS($AP$7:$AP$1843,$BY$7:$BY$1843,BY575,$AS$7:$AS$1843,AS575,$BQ$7:$BQ$1843,"&lt;="&amp;BQ575),"")</f>
        <v>115.219080436472</v>
      </c>
      <c r="AU575" s="65" t="n">
        <f aca="false">IF(AT575="",0,MAX(0,MIN(1,(IF(BY575="L1",Parameter!$E$5,Parameter!$E$6+Parameter!$E$7)-(AT575-AP575))/AP575)))</f>
        <v>0</v>
      </c>
      <c r="AV575" s="57" t="n">
        <f aca="false">IF(LEFT(Cockpit!$O$5,1)="A",H575,IF(CA575=1,CB575,IF(LEFT(Cockpit!$O$5,1)="B",AZ575,MAX(AZ575,H575))))</f>
        <v>20</v>
      </c>
      <c r="AW575" s="57" t="n">
        <f aca="false">IF(BT575=1,0,ROUNDUP(AV575/BS575,0))</f>
        <v>2</v>
      </c>
      <c r="AX575" s="59" t="n">
        <f aca="false">IF(CH575&gt;0,CH575*MAX(1,AV575/X575),IF(BT575=1,IF(AV575&lt;=0,0,BW575*MAX(1,IF(H575&gt;0,AV575/H575,1))),IF(R575&gt;0,AW575/R575,0))/MAX(0.1,N(Parameter!$M$21)))</f>
        <v>0.0151515151515152</v>
      </c>
      <c r="AY575" s="57" t="n">
        <f aca="false">AV575*G575</f>
        <v>56</v>
      </c>
      <c r="AZ575" s="57" t="n">
        <f aca="false">ROUNDUP(MAX(J575/IF(BZ575&gt;0,BZ575,MAX(0.1,N(Cockpit!$O$6))),CC575)/BS575,0)*BS575</f>
        <v>18</v>
      </c>
      <c r="BA575" s="58" t="n">
        <f aca="false">IF(AX575&gt;0,J575/AX575,-1)</f>
        <v>0</v>
      </c>
      <c r="BB575" s="58" t="n">
        <f aca="false">IF(AND(OR(BY575="L1",BY575="L23"),AX575&gt;0),SUMIFS($AX$7:$AX$1843,$BY$7:$BY$1843,BY575,$BA$7:$BA$1843,"&gt;"&amp;BA575)+SUMIFS($AX$7:$AX$1843,$BY$7:$BY$1843,BY575,$BA$7:$BA$1843,BA575,$BQ$7:$BQ$1843,"&lt;="&amp;BQ575),"")</f>
        <v>106.048917266309</v>
      </c>
      <c r="BC575" s="65" t="n">
        <f aca="false">IF(BB575="",0,MAX(0,MIN(1,(IF(BY575="L1",Parameter!$E$5,Parameter!$E$6+Parameter!$E$7)-(BB575-AX575))/AX575)))</f>
        <v>0</v>
      </c>
      <c r="BD575" s="55" t="str">
        <f aca="false">IF(AH575&lt;=0,"",IF(BY575="Aussen","Aussenlager",IF(BY575="-","Nicht im Lift",IF(AM575&gt;=1,"Lift",IF(AM575&lt;=0,"Aussenlager","teilweise")))))</f>
        <v>Lift</v>
      </c>
      <c r="BE575" s="55" t="str">
        <f aca="false">IF(AP575&lt;=0,"",IF(BY575="Aussen","Aussenlager",IF(BY575="-","Nicht im Lift",IF(AU575&gt;=1,"Lift",IF(AU575&lt;=0,"Aussenlager","teilweise")))))</f>
        <v>Aussenlager</v>
      </c>
      <c r="BF575" s="55" t="str">
        <f aca="false">IF(AX575&lt;=0,"",IF(BY575="Aussen","Aussenlager",IF(BY575="-","Nicht im Lift",IF(BC575&gt;=1,"Lift",IF(BC575&lt;=0,"Aussenlager","teilweise")))))</f>
        <v>Aussenlager</v>
      </c>
      <c r="BG575" s="55" t="str">
        <f aca="false">IF(A575="","",IF(BP575=1,"Neu; ","")&amp;IF(AND(BP575=0,BK575&lt;0),"negativer Bestand (Export "&amp;BK575&amp;"); ","")&amp;IF(J575&lt;=0,"Kein Verbrauch; ","")&amp;IF(CH575&gt;0,"Lift "&amp;W575&amp;" lt. Liftbericht (Fach "&amp;X575&amp;" Stk); ",IF(BU575=1,"Gebinde geschätzt ("&amp;T575&amp;"); ",IF(BT575=1,"Lose – Tablare geschätzt; ","")))&amp;IF(H575&gt;AR575,"Überbestand "&amp;ROUND(H575-AR575,0)&amp;" Stk / CHF "&amp;ROUND((H575-AR575)*G575,0)&amp;"; ","")&amp;IF(AND(CA575=1,CB575&lt;CC575),"MAX &lt; MB+LG; ","")&amp;IF(AND(CG575&gt;0,CF575*10&gt;CG575),"zu hoch für Tablar; ","")&amp;IF(AND(BP575=0,OR(CA575=1,AA575&lt;&gt;"",U575&lt;&gt;"",V575&lt;&gt;"",AB575&lt;&gt;"")),"manuell übersteuert; ","")&amp;IF(AND(BT575=0,R575=0),"Gebinde unbekannt / Stellmass fehlt; ","")&amp;IF(AND(BT575=0,N(V575)&lt;=0,N(Q575)&lt;=0),"Menge pro Gebinde fehlt (Ist = 1 Gebinde); ","")&amp;BO575)</f>
        <v>Kein Verbrauch; Überbestand 2 Stk / CHF 6; Überbestand</v>
      </c>
      <c r="BH575" s="55"/>
      <c r="BI575" s="55"/>
      <c r="BJ575" s="62"/>
      <c r="BK575" s="57" t="n">
        <v>2</v>
      </c>
      <c r="BL575" s="57" t="n">
        <v>18</v>
      </c>
      <c r="BM575" s="56" t="n">
        <v>10.1</v>
      </c>
      <c r="BN575" s="57" t="n">
        <v>0</v>
      </c>
      <c r="BO575" s="55" t="s">
        <v>392</v>
      </c>
      <c r="BP575" s="60" t="n">
        <v>0</v>
      </c>
      <c r="BQ575" s="60" t="n">
        <v>575</v>
      </c>
      <c r="BR575" s="55" t="str">
        <f aca="false">IF(U575&lt;&gt;"",UPPER(TRIM(U575)),IF(BU575=1,UPPER(VLOOKUP(T575,Parameter!$I$27:$K$29,2,0)),IF(P575="","LOSE",P575)))</f>
        <v>S32</v>
      </c>
      <c r="BS575" s="57" t="n">
        <f aca="false">IF(BR575="LOSE",1,IF(N(V575)&gt;0,V575,IF(BU575=1,MAX(1,N(VLOOKUP(T575,Parameter!$I$27:$K$29,3,0)),H575,N(N575)),IF(N(Q575)&gt;0,Q575,MAX(1,H575)))))</f>
        <v>18</v>
      </c>
      <c r="BT575" s="60" t="n">
        <f aca="false">IF(BR575="LOSE",1,0)</f>
        <v>0</v>
      </c>
      <c r="BU575" s="60" t="n">
        <f aca="false">IF(AND(U575="",OR(P575="",P575="LOSE"),T575&lt;&gt;"",N(S575)&lt;=0,ISNUMBER(MATCH(T575,Parameter!$I$27:$I$29,0))),1,0)</f>
        <v>0</v>
      </c>
      <c r="BV575" s="55" t="str">
        <f aca="false">IF(AND(Parameter!$B$19="Ja",E575&lt;&gt;"",ISNUMBER(MATCH(E575,Parameter!$I$35:$I$52,0))),VLOOKUP(E575,Parameter!$I$35:$J$52,2,0),IFERROR(VLOOKUP(D575,Parameter!$A$35:$C$64,2,0),"Nein"))</f>
        <v>2+3</v>
      </c>
      <c r="BW575" s="59" t="n">
        <f aca="false">IF(BT575=0,0,IF(N(S575)&gt;0,S575,IFERROR(VLOOKUP(D575,Parameter!$A$35:$C$64,3,0)+0,0)))</f>
        <v>0</v>
      </c>
      <c r="BX575" s="55" t="n">
        <f aca="false">IF(AA575&lt;&gt;"",AA575,Z575)</f>
        <v>3</v>
      </c>
      <c r="BY575" s="55" t="str">
        <f aca="false">IF(BX575=1,"L1",IF(OR(BX575=2,BX575=3),"L23",IF(BX575="Aussen","Aussen","-")))</f>
        <v>L23</v>
      </c>
      <c r="BZ575" s="66" t="n">
        <f aca="false">IF(N(AB575)&gt;0,AB575,0)</f>
        <v>0</v>
      </c>
      <c r="CA575" s="60" t="n">
        <f aca="false">IF(ISNUMBER(AE575),1,0)</f>
        <v>0</v>
      </c>
      <c r="CB575" s="57" t="n">
        <f aca="false">N(AE575)</f>
        <v>0</v>
      </c>
      <c r="CC575" s="57" t="n">
        <f aca="false">N(M575)+N(N575)</f>
        <v>1</v>
      </c>
      <c r="CD575" s="57" t="n">
        <f aca="false">ROUNDUP(H575/BS575,0)</f>
        <v>2</v>
      </c>
      <c r="CE575" s="57" t="n">
        <f aca="false">ROUNDUP(CB575/BS575,0)</f>
        <v>0</v>
      </c>
      <c r="CF575" s="60" t="n">
        <f aca="false">IF(BT575=1,0,IFERROR(VLOOKUP(BR575,'Gebinde-Kategorie'!$A$5:$M$45,5,0)+0,0))</f>
        <v>8</v>
      </c>
      <c r="CG575" s="60" t="n">
        <f aca="false">IFERROR(IF(OR(BX575=1,BX575=2,BX575=3),N(INDEX(Parameter!$I$5:$I$7,BX575)),0),0)</f>
        <v>0</v>
      </c>
      <c r="CH575" s="59" t="n">
        <f aca="false">IF(AND(Parameter!$B$21="Ja",ISNUMBER(W575),N(X575)&gt;0),IFERROR(N(INDEX(Parameter!$L$5:$L$7,W575))*INDEX(Parameter!$E$5:$E$7,W575)*X575/SUMIFS($X$7:$X$1843,$W$7:$W$1843,W575),0),0)</f>
        <v>0</v>
      </c>
    </row>
    <row r="576" customFormat="false" ht="15" hidden="false" customHeight="false" outlineLevel="0" collapsed="false">
      <c r="A576" s="55" t="s">
        <v>1212</v>
      </c>
      <c r="B576" s="55" t="s">
        <v>743</v>
      </c>
      <c r="C576" s="55" t="s">
        <v>164</v>
      </c>
      <c r="D576" s="55" t="s">
        <v>184</v>
      </c>
      <c r="E576" s="55" t="s">
        <v>185</v>
      </c>
      <c r="F576" s="55" t="s">
        <v>218</v>
      </c>
      <c r="G576" s="56" t="n">
        <v>35.51</v>
      </c>
      <c r="H576" s="57" t="n">
        <f aca="false">MAX(0,IF(AND(Parameter!$B$21="Ja",ISNUMBER(Y576)),Y576,IF(Parameter!$B$20="Jahresanfang 2025 + Export",BL576+BK576,BK576)))</f>
        <v>22</v>
      </c>
      <c r="I576" s="57" t="n">
        <f aca="false">H576*G576</f>
        <v>781.22</v>
      </c>
      <c r="J576" s="57" t="n">
        <f aca="false">BN576*Parameter!$B$18</f>
        <v>29</v>
      </c>
      <c r="K576" s="58" t="n">
        <v>25.5</v>
      </c>
      <c r="L576" s="59" t="n">
        <v>1.13725490196078</v>
      </c>
      <c r="M576" s="57" t="n">
        <v>2</v>
      </c>
      <c r="N576" s="57" t="n">
        <v>30</v>
      </c>
      <c r="O576" s="60" t="n">
        <v>28</v>
      </c>
      <c r="P576" s="55" t="s">
        <v>233</v>
      </c>
      <c r="Q576" s="57" t="n">
        <v>30</v>
      </c>
      <c r="R576" s="60" t="n">
        <f aca="false">IF(BT576=1,0,IFERROR(VLOOKUP(BR576,'Gebinde-Kategorie'!$A$5:$M$45,13,0)+0,0))</f>
        <v>26</v>
      </c>
      <c r="S576" s="61"/>
      <c r="T576" s="62"/>
      <c r="U576" s="62"/>
      <c r="V576" s="62"/>
      <c r="W576" s="55"/>
      <c r="X576" s="57"/>
      <c r="Y576" s="57"/>
      <c r="Z576" s="55" t="n">
        <f aca="false">IF(A576="","",IF(AND(Parameter!$B$21="Ja",ISNUMBER(W576)),W576,IF(BV576="2+3",IF(ISNUMBER(SEARCH("grosser Artikel",BO576)),2,IFERROR(VLOOKUP(BR576,Parameter!$F$35:$G$64,2,0),2)),IF(OR(BV576="Nein",BV576=""),"-",BV576))))</f>
        <v>3</v>
      </c>
      <c r="AA576" s="62"/>
      <c r="AB576" s="63"/>
      <c r="AC576" s="57" t="n">
        <f aca="false">AR576</f>
        <v>60</v>
      </c>
      <c r="AD576" s="57" t="n">
        <f aca="false">MAX(AR576,H576)</f>
        <v>60</v>
      </c>
      <c r="AE576" s="64"/>
      <c r="AF576" s="57" t="n">
        <f aca="false">IF(LEFT(Cockpit!$C$5,1)="A",H576,IF(CA576=1,CB576,IF(LEFT(Cockpit!$C$5,1)="B",AJ576,MAX(AJ576,H576))))</f>
        <v>22</v>
      </c>
      <c r="AG576" s="57" t="n">
        <f aca="false">IF(BT576=1,0,ROUNDUP(AF576/BS576,0))</f>
        <v>1</v>
      </c>
      <c r="AH576" s="59" t="n">
        <f aca="false">IF(CH576&gt;0,CH576*MAX(1,AF576/X576),IF(BT576=1,IF(AF576&lt;=0,0,BW576*MAX(1,IF(H576&gt;0,AF576/H576,1))),IF(R576&gt;0,AG576/R576,0))/MAX(0.1,N(Parameter!$M$21)))</f>
        <v>0.0384615384615385</v>
      </c>
      <c r="AI576" s="57" t="n">
        <f aca="false">AF576*G576</f>
        <v>781.22</v>
      </c>
      <c r="AJ576" s="57" t="n">
        <f aca="false">ROUNDUP(MAX(J576/IF(BZ576&gt;0,BZ576,MAX(0.1,N(Cockpit!$C$6))),CC576)/BS576,0)*BS576</f>
        <v>60</v>
      </c>
      <c r="AK576" s="58" t="n">
        <f aca="false">IF(AH576&gt;0,J576/AH576,-1)</f>
        <v>754</v>
      </c>
      <c r="AL576" s="58" t="n">
        <f aca="false">IF(AND(OR(BY576="L1",BY576="L23"),AH576&gt;0),SUMIFS($AH$7:$AH$1843,$BY$7:$BY$1843,BY576,$AK$7:$AK$1843,"&gt;"&amp;AK576)+SUMIFS($AH$7:$AH$1843,$BY$7:$BY$1843,BY576,$AK$7:$AK$1843,AK576,$BQ$7:$BQ$1843,"&lt;="&amp;BQ576),"")</f>
        <v>21.239121989122</v>
      </c>
      <c r="AM576" s="65" t="n">
        <f aca="false">IF(AL576="",0,MAX(0,MIN(1,(IF(BY576="L1",Parameter!$E$5,Parameter!$E$6+Parameter!$E$7)-(AL576-AH576))/AH576)))</f>
        <v>1</v>
      </c>
      <c r="AN576" s="57" t="n">
        <f aca="false">IF(LEFT(Cockpit!$I$5,1)="A",H576,IF(CA576=1,CB576,IF(LEFT(Cockpit!$I$5,1)="B",AR576,MAX(AR576,H576))))</f>
        <v>60</v>
      </c>
      <c r="AO576" s="57" t="n">
        <f aca="false">IF(BT576=1,0,ROUNDUP(AN576/BS576,0))</f>
        <v>2</v>
      </c>
      <c r="AP576" s="59" t="n">
        <f aca="false">IF(CH576&gt;0,CH576*MAX(1,AN576/X576),IF(BT576=1,IF(AN576&lt;=0,0,BW576*MAX(1,IF(H576&gt;0,AN576/H576,1))),IF(R576&gt;0,AO576/R576,0))/MAX(0.1,N(Parameter!$M$21)))</f>
        <v>0.0769230769230769</v>
      </c>
      <c r="AQ576" s="57" t="n">
        <f aca="false">AN576*G576</f>
        <v>2130.6</v>
      </c>
      <c r="AR576" s="57" t="n">
        <f aca="false">ROUNDUP(MAX(J576/IF(BZ576&gt;0,BZ576,MAX(0.1,N(Cockpit!$I$6))),CC576)/BS576,0)*BS576</f>
        <v>60</v>
      </c>
      <c r="AS576" s="58" t="n">
        <f aca="false">IF(AP576&gt;0,J576/AP576,-1)</f>
        <v>377</v>
      </c>
      <c r="AT576" s="58" t="n">
        <f aca="false">IF(AND(OR(BY576="L1",BY576="L23"),AP576&gt;0),SUMIFS($AP$7:$AP$1843,$BY$7:$BY$1843,BY576,$AS$7:$AS$1843,"&gt;"&amp;AS576)+SUMIFS($AP$7:$AP$1843,$BY$7:$BY$1843,BY576,$AS$7:$AS$1843,AS576,$BQ$7:$BQ$1843,"&lt;="&amp;BQ576),"")</f>
        <v>36.2400679031114</v>
      </c>
      <c r="AU576" s="65" t="n">
        <f aca="false">IF(AT576="",0,MAX(0,MIN(1,(IF(BY576="L1",Parameter!$E$5,Parameter!$E$6+Parameter!$E$7)-(AT576-AP576))/AP576)))</f>
        <v>1</v>
      </c>
      <c r="AV576" s="57" t="n">
        <f aca="false">IF(LEFT(Cockpit!$O$5,1)="A",H576,IF(CA576=1,CB576,IF(LEFT(Cockpit!$O$5,1)="B",AZ576,MAX(AZ576,H576))))</f>
        <v>60</v>
      </c>
      <c r="AW576" s="57" t="n">
        <f aca="false">IF(BT576=1,0,ROUNDUP(AV576/BS576,0))</f>
        <v>2</v>
      </c>
      <c r="AX576" s="59" t="n">
        <f aca="false">IF(CH576&gt;0,CH576*MAX(1,AV576/X576),IF(BT576=1,IF(AV576&lt;=0,0,BW576*MAX(1,IF(H576&gt;0,AV576/H576,1))),IF(R576&gt;0,AW576/R576,0))/MAX(0.1,N(Parameter!$M$21)))</f>
        <v>0.0769230769230769</v>
      </c>
      <c r="AY576" s="57" t="n">
        <f aca="false">AV576*G576</f>
        <v>2130.6</v>
      </c>
      <c r="AZ576" s="57" t="n">
        <f aca="false">ROUNDUP(MAX(J576/IF(BZ576&gt;0,BZ576,MAX(0.1,N(Cockpit!$O$6))),CC576)/BS576,0)*BS576</f>
        <v>60</v>
      </c>
      <c r="BA576" s="58" t="n">
        <f aca="false">IF(AX576&gt;0,J576/AX576,-1)</f>
        <v>377</v>
      </c>
      <c r="BB576" s="58" t="n">
        <f aca="false">IF(AND(OR(BY576="L1",BY576="L23"),AX576&gt;0),SUMIFS($AX$7:$AX$1843,$BY$7:$BY$1843,BY576,$BA$7:$BA$1843,"&gt;"&amp;BA576)+SUMIFS($AX$7:$AX$1843,$BY$7:$BY$1843,BY576,$BA$7:$BA$1843,BA576,$BQ$7:$BQ$1843,"&lt;="&amp;BQ576),"")</f>
        <v>35.4865713996149</v>
      </c>
      <c r="BC576" s="65" t="n">
        <f aca="false">IF(BB576="",0,MAX(0,MIN(1,(IF(BY576="L1",Parameter!$E$5,Parameter!$E$6+Parameter!$E$7)-(BB576-AX576))/AX576)))</f>
        <v>1</v>
      </c>
      <c r="BD576" s="55" t="str">
        <f aca="false">IF(AH576&lt;=0,"",IF(BY576="Aussen","Aussenlager",IF(BY576="-","Nicht im Lift",IF(AM576&gt;=1,"Lift",IF(AM576&lt;=0,"Aussenlager","teilweise")))))</f>
        <v>Lift</v>
      </c>
      <c r="BE576" s="55" t="str">
        <f aca="false">IF(AP576&lt;=0,"",IF(BY576="Aussen","Aussenlager",IF(BY576="-","Nicht im Lift",IF(AU576&gt;=1,"Lift",IF(AU576&lt;=0,"Aussenlager","teilweise")))))</f>
        <v>Lift</v>
      </c>
      <c r="BF576" s="55" t="str">
        <f aca="false">IF(AX576&lt;=0,"",IF(BY576="Aussen","Aussenlager",IF(BY576="-","Nicht im Lift",IF(BC576&gt;=1,"Lift",IF(BC576&lt;=0,"Aussenlager","teilweise")))))</f>
        <v>Lift</v>
      </c>
      <c r="BG576" s="55" t="str">
        <f aca="false">IF(A576="","",IF(BP576=1,"Neu; ","")&amp;IF(AND(BP576=0,BK576&lt;0),"negativer Bestand (Export "&amp;BK576&amp;"); ","")&amp;IF(J576&lt;=0,"Kein Verbrauch; ","")&amp;IF(CH576&gt;0,"Lift "&amp;W576&amp;" lt. Liftbericht (Fach "&amp;X576&amp;" Stk); ",IF(BU576=1,"Gebinde geschätzt ("&amp;T576&amp;"); ",IF(BT576=1,"Lose – Tablare geschätzt; ","")))&amp;IF(H576&gt;AR576,"Überbestand "&amp;ROUND(H576-AR576,0)&amp;" Stk / CHF "&amp;ROUND((H576-AR576)*G576,0)&amp;"; ","")&amp;IF(AND(CA576=1,CB576&lt;CC576),"MAX &lt; MB+LG; ","")&amp;IF(AND(CG576&gt;0,CF576*10&gt;CG576),"zu hoch für Tablar; ","")&amp;IF(AND(BP576=0,OR(CA576=1,AA576&lt;&gt;"",U576&lt;&gt;"",V576&lt;&gt;"",AB576&lt;&gt;"")),"manuell übersteuert; ","")&amp;IF(AND(BT576=0,R576=0),"Gebinde unbekannt / Stellmass fehlt; ","")&amp;IF(AND(BT576=0,N(V576)&lt;=0,N(Q576)&lt;=0),"Menge pro Gebinde fehlt (Ist = 1 Gebinde); ","")&amp;BO576)</f>
        <v/>
      </c>
      <c r="BH576" s="55"/>
      <c r="BI576" s="55"/>
      <c r="BJ576" s="62"/>
      <c r="BK576" s="57" t="n">
        <v>2</v>
      </c>
      <c r="BL576" s="57" t="n">
        <v>20</v>
      </c>
      <c r="BM576" s="56" t="n">
        <v>10.0200000000007</v>
      </c>
      <c r="BN576" s="57" t="n">
        <v>29</v>
      </c>
      <c r="BO576" s="55"/>
      <c r="BP576" s="60" t="n">
        <v>0</v>
      </c>
      <c r="BQ576" s="60" t="n">
        <v>576</v>
      </c>
      <c r="BR576" s="55" t="str">
        <f aca="false">IF(U576&lt;&gt;"",UPPER(TRIM(U576)),IF(BU576=1,UPPER(VLOOKUP(T576,Parameter!$I$27:$K$29,2,0)),IF(P576="","LOSE",P576)))</f>
        <v>S52</v>
      </c>
      <c r="BS576" s="57" t="n">
        <f aca="false">IF(BR576="LOSE",1,IF(N(V576)&gt;0,V576,IF(BU576=1,MAX(1,N(VLOOKUP(T576,Parameter!$I$27:$K$29,3,0)),H576,N(N576)),IF(N(Q576)&gt;0,Q576,MAX(1,H576)))))</f>
        <v>30</v>
      </c>
      <c r="BT576" s="60" t="n">
        <f aca="false">IF(BR576="LOSE",1,0)</f>
        <v>0</v>
      </c>
      <c r="BU576" s="60" t="n">
        <f aca="false">IF(AND(U576="",OR(P576="",P576="LOSE"),T576&lt;&gt;"",N(S576)&lt;=0,ISNUMBER(MATCH(T576,Parameter!$I$27:$I$29,0))),1,0)</f>
        <v>0</v>
      </c>
      <c r="BV576" s="55" t="str">
        <f aca="false">IF(AND(Parameter!$B$19="Ja",E576&lt;&gt;"",ISNUMBER(MATCH(E576,Parameter!$I$35:$I$52,0))),VLOOKUP(E576,Parameter!$I$35:$J$52,2,0),IFERROR(VLOOKUP(D576,Parameter!$A$35:$C$64,2,0),"Nein"))</f>
        <v>2+3</v>
      </c>
      <c r="BW576" s="59" t="n">
        <f aca="false">IF(BT576=0,0,IF(N(S576)&gt;0,S576,IFERROR(VLOOKUP(D576,Parameter!$A$35:$C$64,3,0)+0,0)))</f>
        <v>0</v>
      </c>
      <c r="BX576" s="55" t="n">
        <f aca="false">IF(AA576&lt;&gt;"",AA576,Z576)</f>
        <v>3</v>
      </c>
      <c r="BY576" s="55" t="str">
        <f aca="false">IF(BX576=1,"L1",IF(OR(BX576=2,BX576=3),"L23",IF(BX576="Aussen","Aussen","-")))</f>
        <v>L23</v>
      </c>
      <c r="BZ576" s="66" t="n">
        <f aca="false">IF(N(AB576)&gt;0,AB576,0)</f>
        <v>0</v>
      </c>
      <c r="CA576" s="60" t="n">
        <f aca="false">IF(ISNUMBER(AE576),1,0)</f>
        <v>0</v>
      </c>
      <c r="CB576" s="57" t="n">
        <f aca="false">N(AE576)</f>
        <v>0</v>
      </c>
      <c r="CC576" s="57" t="n">
        <f aca="false">N(M576)+N(N576)</f>
        <v>32</v>
      </c>
      <c r="CD576" s="57" t="n">
        <f aca="false">ROUNDUP(H576/BS576,0)</f>
        <v>1</v>
      </c>
      <c r="CE576" s="57" t="n">
        <f aca="false">ROUNDUP(CB576/BS576,0)</f>
        <v>0</v>
      </c>
      <c r="CF576" s="60" t="n">
        <f aca="false">IF(BT576=1,0,IFERROR(VLOOKUP(BR576,'Gebinde-Kategorie'!$A$5:$M$45,5,0)+0,0))</f>
        <v>21</v>
      </c>
      <c r="CG576" s="60" t="n">
        <f aca="false">IFERROR(IF(OR(BX576=1,BX576=2,BX576=3),N(INDEX(Parameter!$I$5:$I$7,BX576)),0),0)</f>
        <v>0</v>
      </c>
      <c r="CH576" s="59" t="n">
        <f aca="false">IF(AND(Parameter!$B$21="Ja",ISNUMBER(W576),N(X576)&gt;0),IFERROR(N(INDEX(Parameter!$L$5:$L$7,W576))*INDEX(Parameter!$E$5:$E$7,W576)*X576/SUMIFS($X$7:$X$1843,$W$7:$W$1843,W576),0),0)</f>
        <v>0</v>
      </c>
    </row>
    <row r="577" customFormat="false" ht="15" hidden="false" customHeight="false" outlineLevel="0" collapsed="false">
      <c r="A577" s="55" t="s">
        <v>1213</v>
      </c>
      <c r="B577" s="55" t="s">
        <v>1214</v>
      </c>
      <c r="C577" s="55" t="s">
        <v>164</v>
      </c>
      <c r="D577" s="55" t="s">
        <v>184</v>
      </c>
      <c r="E577" s="55" t="s">
        <v>185</v>
      </c>
      <c r="F577" s="55" t="s">
        <v>218</v>
      </c>
      <c r="G577" s="56" t="n">
        <v>0.05</v>
      </c>
      <c r="H577" s="57" t="n">
        <f aca="false">MAX(0,IF(AND(Parameter!$B$21="Ja",ISNUMBER(Y577)),Y577,IF(Parameter!$B$20="Jahresanfang 2025 + Export",BL577+BK577,BK577)))</f>
        <v>791</v>
      </c>
      <c r="I577" s="57" t="n">
        <f aca="false">H577*G577</f>
        <v>39.55</v>
      </c>
      <c r="J577" s="57" t="n">
        <f aca="false">BN577*Parameter!$B$18</f>
        <v>670</v>
      </c>
      <c r="K577" s="58" t="n">
        <v>867</v>
      </c>
      <c r="L577" s="59" t="n">
        <v>0.77277970011534</v>
      </c>
      <c r="M577" s="57" t="n">
        <v>52</v>
      </c>
      <c r="N577" s="57" t="n">
        <v>670</v>
      </c>
      <c r="O577" s="60" t="n">
        <v>28</v>
      </c>
      <c r="P577" s="55" t="s">
        <v>401</v>
      </c>
      <c r="Q577" s="57" t="n">
        <v>773</v>
      </c>
      <c r="R577" s="60" t="n">
        <f aca="false">IF(BT577=1,0,IFERROR(VLOOKUP(BR577,'Gebinde-Kategorie'!$A$5:$M$45,13,0)+0,0))</f>
        <v>414</v>
      </c>
      <c r="S577" s="61"/>
      <c r="T577" s="62"/>
      <c r="U577" s="62"/>
      <c r="V577" s="62"/>
      <c r="W577" s="55"/>
      <c r="X577" s="57"/>
      <c r="Y577" s="57"/>
      <c r="Z577" s="55" t="n">
        <f aca="false">IF(A577="","",IF(AND(Parameter!$B$21="Ja",ISNUMBER(W577)),W577,IF(BV577="2+3",IF(ISNUMBER(SEARCH("grosser Artikel",BO577)),2,IFERROR(VLOOKUP(BR577,Parameter!$F$35:$G$64,2,0),2)),IF(OR(BV577="Nein",BV577=""),"-",BV577))))</f>
        <v>3</v>
      </c>
      <c r="AA577" s="62"/>
      <c r="AB577" s="63"/>
      <c r="AC577" s="57" t="n">
        <f aca="false">AR577</f>
        <v>773</v>
      </c>
      <c r="AD577" s="57" t="n">
        <f aca="false">MAX(AR577,H577)</f>
        <v>791</v>
      </c>
      <c r="AE577" s="64"/>
      <c r="AF577" s="57" t="n">
        <f aca="false">IF(LEFT(Cockpit!$C$5,1)="A",H577,IF(CA577=1,CB577,IF(LEFT(Cockpit!$C$5,1)="B",AJ577,MAX(AJ577,H577))))</f>
        <v>791</v>
      </c>
      <c r="AG577" s="57" t="n">
        <f aca="false">IF(BT577=1,0,ROUNDUP(AF577/BS577,0))</f>
        <v>2</v>
      </c>
      <c r="AH577" s="59" t="n">
        <f aca="false">IF(CH577&gt;0,CH577*MAX(1,AF577/X577),IF(BT577=1,IF(AF577&lt;=0,0,BW577*MAX(1,IF(H577&gt;0,AF577/H577,1))),IF(R577&gt;0,AG577/R577,0))/MAX(0.1,N(Parameter!$M$21)))</f>
        <v>0.00483091787439614</v>
      </c>
      <c r="AI577" s="57" t="n">
        <f aca="false">AF577*G577</f>
        <v>39.55</v>
      </c>
      <c r="AJ577" s="57" t="n">
        <f aca="false">ROUNDUP(MAX(J577/IF(BZ577&gt;0,BZ577,MAX(0.1,N(Cockpit!$C$6))),CC577)/BS577,0)*BS577</f>
        <v>773</v>
      </c>
      <c r="AK577" s="58" t="n">
        <f aca="false">IF(AH577&gt;0,J577/AH577,-1)</f>
        <v>138690</v>
      </c>
      <c r="AL577" s="58" t="n">
        <f aca="false">IF(AND(OR(BY577="L1",BY577="L23"),AH577&gt;0),SUMIFS($AH$7:$AH$1843,$BY$7:$BY$1843,BY577,$AK$7:$AK$1843,"&gt;"&amp;AK577)+SUMIFS($AH$7:$AH$1843,$BY$7:$BY$1843,BY577,$AK$7:$AK$1843,AK577,$BQ$7:$BQ$1843,"&lt;="&amp;BQ577),"")</f>
        <v>0.27714435323131</v>
      </c>
      <c r="AM577" s="65" t="n">
        <f aca="false">IF(AL577="",0,MAX(0,MIN(1,(IF(BY577="L1",Parameter!$E$5,Parameter!$E$6+Parameter!$E$7)-(AL577-AH577))/AH577)))</f>
        <v>1</v>
      </c>
      <c r="AN577" s="57" t="n">
        <f aca="false">IF(LEFT(Cockpit!$I$5,1)="A",H577,IF(CA577=1,CB577,IF(LEFT(Cockpit!$I$5,1)="B",AR577,MAX(AR577,H577))))</f>
        <v>791</v>
      </c>
      <c r="AO577" s="57" t="n">
        <f aca="false">IF(BT577=1,0,ROUNDUP(AN577/BS577,0))</f>
        <v>2</v>
      </c>
      <c r="AP577" s="59" t="n">
        <f aca="false">IF(CH577&gt;0,CH577*MAX(1,AN577/X577),IF(BT577=1,IF(AN577&lt;=0,0,BW577*MAX(1,IF(H577&gt;0,AN577/H577,1))),IF(R577&gt;0,AO577/R577,0))/MAX(0.1,N(Parameter!$M$21)))</f>
        <v>0.00483091787439614</v>
      </c>
      <c r="AQ577" s="57" t="n">
        <f aca="false">AN577*G577</f>
        <v>39.55</v>
      </c>
      <c r="AR577" s="57" t="n">
        <f aca="false">ROUNDUP(MAX(J577/IF(BZ577&gt;0,BZ577,MAX(0.1,N(Cockpit!$I$6))),CC577)/BS577,0)*BS577</f>
        <v>773</v>
      </c>
      <c r="AS577" s="58" t="n">
        <f aca="false">IF(AP577&gt;0,J577/AP577,-1)</f>
        <v>138690</v>
      </c>
      <c r="AT577" s="58" t="n">
        <f aca="false">IF(AND(OR(BY577="L1",BY577="L23"),AP577&gt;0),SUMIFS($AP$7:$AP$1843,$BY$7:$BY$1843,BY577,$AS$7:$AS$1843,"&gt;"&amp;AS577)+SUMIFS($AP$7:$AP$1843,$BY$7:$BY$1843,BY577,$AS$7:$AS$1843,AS577,$BQ$7:$BQ$1843,"&lt;="&amp;BQ577),"")</f>
        <v>0.178575048140266</v>
      </c>
      <c r="AU577" s="65" t="n">
        <f aca="false">IF(AT577="",0,MAX(0,MIN(1,(IF(BY577="L1",Parameter!$E$5,Parameter!$E$6+Parameter!$E$7)-(AT577-AP577))/AP577)))</f>
        <v>1</v>
      </c>
      <c r="AV577" s="57" t="n">
        <f aca="false">IF(LEFT(Cockpit!$O$5,1)="A",H577,IF(CA577=1,CB577,IF(LEFT(Cockpit!$O$5,1)="B",AZ577,MAX(AZ577,H577))))</f>
        <v>791</v>
      </c>
      <c r="AW577" s="57" t="n">
        <f aca="false">IF(BT577=1,0,ROUNDUP(AV577/BS577,0))</f>
        <v>2</v>
      </c>
      <c r="AX577" s="59" t="n">
        <f aca="false">IF(CH577&gt;0,CH577*MAX(1,AV577/X577),IF(BT577=1,IF(AV577&lt;=0,0,BW577*MAX(1,IF(H577&gt;0,AV577/H577,1))),IF(R577&gt;0,AW577/R577,0))/MAX(0.1,N(Parameter!$M$21)))</f>
        <v>0.00483091787439614</v>
      </c>
      <c r="AY577" s="57" t="n">
        <f aca="false">AV577*G577</f>
        <v>39.55</v>
      </c>
      <c r="AZ577" s="57" t="n">
        <f aca="false">ROUNDUP(MAX(J577/IF(BZ577&gt;0,BZ577,MAX(0.1,N(Cockpit!$O$6))),CC577)/BS577,0)*BS577</f>
        <v>773</v>
      </c>
      <c r="BA577" s="58" t="n">
        <f aca="false">IF(AX577&gt;0,J577/AX577,-1)</f>
        <v>138690</v>
      </c>
      <c r="BB577" s="58" t="n">
        <f aca="false">IF(AND(OR(BY577="L1",BY577="L23"),AX577&gt;0),SUMIFS($AX$7:$AX$1843,$BY$7:$BY$1843,BY577,$BA$7:$BA$1843,"&gt;"&amp;BA577)+SUMIFS($AX$7:$AX$1843,$BY$7:$BY$1843,BY577,$BA$7:$BA$1843,BA577,$BQ$7:$BQ$1843,"&lt;="&amp;BQ577),"")</f>
        <v>0.178575048140266</v>
      </c>
      <c r="BC577" s="65" t="n">
        <f aca="false">IF(BB577="",0,MAX(0,MIN(1,(IF(BY577="L1",Parameter!$E$5,Parameter!$E$6+Parameter!$E$7)-(BB577-AX577))/AX577)))</f>
        <v>1</v>
      </c>
      <c r="BD577" s="55" t="str">
        <f aca="false">IF(AH577&lt;=0,"",IF(BY577="Aussen","Aussenlager",IF(BY577="-","Nicht im Lift",IF(AM577&gt;=1,"Lift",IF(AM577&lt;=0,"Aussenlager","teilweise")))))</f>
        <v>Lift</v>
      </c>
      <c r="BE577" s="55" t="str">
        <f aca="false">IF(AP577&lt;=0,"",IF(BY577="Aussen","Aussenlager",IF(BY577="-","Nicht im Lift",IF(AU577&gt;=1,"Lift",IF(AU577&lt;=0,"Aussenlager","teilweise")))))</f>
        <v>Lift</v>
      </c>
      <c r="BF577" s="55" t="str">
        <f aca="false">IF(AX577&lt;=0,"",IF(BY577="Aussen","Aussenlager",IF(BY577="-","Nicht im Lift",IF(BC577&gt;=1,"Lift",IF(BC577&lt;=0,"Aussenlager","teilweise")))))</f>
        <v>Lift</v>
      </c>
      <c r="BG577" s="55" t="str">
        <f aca="false">IF(A577="","",IF(BP577=1,"Neu; ","")&amp;IF(AND(BP577=0,BK577&lt;0),"negativer Bestand (Export "&amp;BK577&amp;"); ","")&amp;IF(J577&lt;=0,"Kein Verbrauch; ","")&amp;IF(CH577&gt;0,"Lift "&amp;W577&amp;" lt. Liftbericht (Fach "&amp;X577&amp;" Stk); ",IF(BU577=1,"Gebinde geschätzt ("&amp;T577&amp;"); ",IF(BT577=1,"Lose – Tablare geschätzt; ","")))&amp;IF(H577&gt;AR577,"Überbestand "&amp;ROUND(H577-AR577,0)&amp;" Stk / CHF "&amp;ROUND((H577-AR577)*G577,0)&amp;"; ","")&amp;IF(AND(CA577=1,CB577&lt;CC577),"MAX &lt; MB+LG; ","")&amp;IF(AND(CG577&gt;0,CF577*10&gt;CG577),"zu hoch für Tablar; ","")&amp;IF(AND(BP577=0,OR(CA577=1,AA577&lt;&gt;"",U577&lt;&gt;"",V577&lt;&gt;"",AB577&lt;&gt;"")),"manuell übersteuert; ","")&amp;IF(AND(BT577=0,R577=0),"Gebinde unbekannt / Stellmass fehlt; ","")&amp;IF(AND(BT577=0,N(V577)&lt;=0,N(Q577)&lt;=0),"Menge pro Gebinde fehlt (Ist = 1 Gebinde); ","")&amp;BO577)</f>
        <v>Überbestand 18 Stk / CHF 1; Handlager</v>
      </c>
      <c r="BH577" s="55"/>
      <c r="BI577" s="55"/>
      <c r="BJ577" s="62"/>
      <c r="BK577" s="57" t="n">
        <v>86</v>
      </c>
      <c r="BL577" s="57" t="n">
        <v>705</v>
      </c>
      <c r="BM577" s="56" t="n">
        <v>10</v>
      </c>
      <c r="BN577" s="57" t="n">
        <v>670</v>
      </c>
      <c r="BO577" s="55" t="s">
        <v>895</v>
      </c>
      <c r="BP577" s="60" t="n">
        <v>0</v>
      </c>
      <c r="BQ577" s="60" t="n">
        <v>577</v>
      </c>
      <c r="BR577" s="55" t="str">
        <f aca="false">IF(U577&lt;&gt;"",UPPER(TRIM(U577)),IF(BU577=1,UPPER(VLOOKUP(T577,Parameter!$I$27:$K$29,2,0)),IF(P577="","LOSE",P577)))</f>
        <v>S21</v>
      </c>
      <c r="BS577" s="57" t="n">
        <f aca="false">IF(BR577="LOSE",1,IF(N(V577)&gt;0,V577,IF(BU577=1,MAX(1,N(VLOOKUP(T577,Parameter!$I$27:$K$29,3,0)),H577,N(N577)),IF(N(Q577)&gt;0,Q577,MAX(1,H577)))))</f>
        <v>773</v>
      </c>
      <c r="BT577" s="60" t="n">
        <f aca="false">IF(BR577="LOSE",1,0)</f>
        <v>0</v>
      </c>
      <c r="BU577" s="60" t="n">
        <f aca="false">IF(AND(U577="",OR(P577="",P577="LOSE"),T577&lt;&gt;"",N(S577)&lt;=0,ISNUMBER(MATCH(T577,Parameter!$I$27:$I$29,0))),1,0)</f>
        <v>0</v>
      </c>
      <c r="BV577" s="55" t="str">
        <f aca="false">IF(AND(Parameter!$B$19="Ja",E577&lt;&gt;"",ISNUMBER(MATCH(E577,Parameter!$I$35:$I$52,0))),VLOOKUP(E577,Parameter!$I$35:$J$52,2,0),IFERROR(VLOOKUP(D577,Parameter!$A$35:$C$64,2,0),"Nein"))</f>
        <v>2+3</v>
      </c>
      <c r="BW577" s="59" t="n">
        <f aca="false">IF(BT577=0,0,IF(N(S577)&gt;0,S577,IFERROR(VLOOKUP(D577,Parameter!$A$35:$C$64,3,0)+0,0)))</f>
        <v>0</v>
      </c>
      <c r="BX577" s="55" t="n">
        <f aca="false">IF(AA577&lt;&gt;"",AA577,Z577)</f>
        <v>3</v>
      </c>
      <c r="BY577" s="55" t="str">
        <f aca="false">IF(BX577=1,"L1",IF(OR(BX577=2,BX577=3),"L23",IF(BX577="Aussen","Aussen","-")))</f>
        <v>L23</v>
      </c>
      <c r="BZ577" s="66" t="n">
        <f aca="false">IF(N(AB577)&gt;0,AB577,0)</f>
        <v>0</v>
      </c>
      <c r="CA577" s="60" t="n">
        <f aca="false">IF(ISNUMBER(AE577),1,0)</f>
        <v>0</v>
      </c>
      <c r="CB577" s="57" t="n">
        <f aca="false">N(AE577)</f>
        <v>0</v>
      </c>
      <c r="CC577" s="57" t="n">
        <f aca="false">N(M577)+N(N577)</f>
        <v>722</v>
      </c>
      <c r="CD577" s="57" t="n">
        <f aca="false">ROUNDUP(H577/BS577,0)</f>
        <v>2</v>
      </c>
      <c r="CE577" s="57" t="n">
        <f aca="false">ROUNDUP(CB577/BS577,0)</f>
        <v>0</v>
      </c>
      <c r="CF577" s="60" t="n">
        <f aca="false">IF(BT577=1,0,IFERROR(VLOOKUP(BR577,'Gebinde-Kategorie'!$A$5:$M$45,5,0)+0,0))</f>
        <v>8</v>
      </c>
      <c r="CG577" s="60" t="n">
        <f aca="false">IFERROR(IF(OR(BX577=1,BX577=2,BX577=3),N(INDEX(Parameter!$I$5:$I$7,BX577)),0),0)</f>
        <v>0</v>
      </c>
      <c r="CH577" s="59" t="n">
        <f aca="false">IF(AND(Parameter!$B$21="Ja",ISNUMBER(W577),N(X577)&gt;0),IFERROR(N(INDEX(Parameter!$L$5:$L$7,W577))*INDEX(Parameter!$E$5:$E$7,W577)*X577/SUMIFS($X$7:$X$1843,$W$7:$W$1843,W577),0),0)</f>
        <v>0</v>
      </c>
    </row>
    <row r="578" customFormat="false" ht="15" hidden="false" customHeight="false" outlineLevel="0" collapsed="false">
      <c r="A578" s="55" t="s">
        <v>1215</v>
      </c>
      <c r="B578" s="55" t="s">
        <v>654</v>
      </c>
      <c r="C578" s="55" t="s">
        <v>164</v>
      </c>
      <c r="D578" s="55" t="s">
        <v>184</v>
      </c>
      <c r="E578" s="55"/>
      <c r="F578" s="55" t="s">
        <v>218</v>
      </c>
      <c r="G578" s="56" t="n">
        <v>0.07</v>
      </c>
      <c r="H578" s="57" t="n">
        <f aca="false">MAX(0,IF(AND(Parameter!$B$21="Ja",ISNUMBER(Y578)),Y578,IF(Parameter!$B$20="Jahresanfang 2025 + Export",BL578+BK578,BK578)))</f>
        <v>198</v>
      </c>
      <c r="I578" s="57" t="n">
        <f aca="false">H578*G578</f>
        <v>13.86</v>
      </c>
      <c r="J578" s="57" t="n">
        <f aca="false">BN578*Parameter!$B$18</f>
        <v>140</v>
      </c>
      <c r="K578" s="58" t="n">
        <v>129.5</v>
      </c>
      <c r="L578" s="59" t="n">
        <v>1.08108108108108</v>
      </c>
      <c r="M578" s="57" t="n">
        <v>8</v>
      </c>
      <c r="N578" s="57" t="n">
        <v>200</v>
      </c>
      <c r="O578" s="60" t="n">
        <v>21</v>
      </c>
      <c r="P578" s="55" t="s">
        <v>401</v>
      </c>
      <c r="Q578" s="57" t="n">
        <v>250</v>
      </c>
      <c r="R578" s="60" t="n">
        <f aca="false">IF(BT578=1,0,IFERROR(VLOOKUP(BR578,'Gebinde-Kategorie'!$A$5:$M$45,13,0)+0,0))</f>
        <v>414</v>
      </c>
      <c r="S578" s="61"/>
      <c r="T578" s="62"/>
      <c r="U578" s="62"/>
      <c r="V578" s="62"/>
      <c r="W578" s="55"/>
      <c r="X578" s="57"/>
      <c r="Y578" s="57"/>
      <c r="Z578" s="55" t="n">
        <f aca="false">IF(A578="","",IF(AND(Parameter!$B$21="Ja",ISNUMBER(W578)),W578,IF(BV578="2+3",IF(ISNUMBER(SEARCH("grosser Artikel",BO578)),2,IFERROR(VLOOKUP(BR578,Parameter!$F$35:$G$64,2,0),2)),IF(OR(BV578="Nein",BV578=""),"-",BV578))))</f>
        <v>3</v>
      </c>
      <c r="AA578" s="62"/>
      <c r="AB578" s="63"/>
      <c r="AC578" s="57" t="n">
        <f aca="false">AR578</f>
        <v>250</v>
      </c>
      <c r="AD578" s="57" t="n">
        <f aca="false">MAX(AR578,H578)</f>
        <v>250</v>
      </c>
      <c r="AE578" s="64"/>
      <c r="AF578" s="57" t="n">
        <f aca="false">IF(LEFT(Cockpit!$C$5,1)="A",H578,IF(CA578=1,CB578,IF(LEFT(Cockpit!$C$5,1)="B",AJ578,MAX(AJ578,H578))))</f>
        <v>198</v>
      </c>
      <c r="AG578" s="57" t="n">
        <f aca="false">IF(BT578=1,0,ROUNDUP(AF578/BS578,0))</f>
        <v>1</v>
      </c>
      <c r="AH578" s="59" t="n">
        <f aca="false">IF(CH578&gt;0,CH578*MAX(1,AF578/X578),IF(BT578=1,IF(AF578&lt;=0,0,BW578*MAX(1,IF(H578&gt;0,AF578/H578,1))),IF(R578&gt;0,AG578/R578,0))/MAX(0.1,N(Parameter!$M$21)))</f>
        <v>0.00241545893719807</v>
      </c>
      <c r="AI578" s="57" t="n">
        <f aca="false">AF578*G578</f>
        <v>13.86</v>
      </c>
      <c r="AJ578" s="57" t="n">
        <f aca="false">ROUNDUP(MAX(J578/IF(BZ578&gt;0,BZ578,MAX(0.1,N(Cockpit!$C$6))),CC578)/BS578,0)*BS578</f>
        <v>250</v>
      </c>
      <c r="AK578" s="58" t="n">
        <f aca="false">IF(AH578&gt;0,J578/AH578,-1)</f>
        <v>57960</v>
      </c>
      <c r="AL578" s="58" t="n">
        <f aca="false">IF(AND(OR(BY578="L1",BY578="L23"),AH578&gt;0),SUMIFS($AH$7:$AH$1843,$BY$7:$BY$1843,BY578,$AK$7:$AK$1843,"&gt;"&amp;AK578)+SUMIFS($AH$7:$AH$1843,$BY$7:$BY$1843,BY578,$AK$7:$AK$1843,AK578,$BQ$7:$BQ$1843,"&lt;="&amp;BQ578),"")</f>
        <v>1.07849396979832</v>
      </c>
      <c r="AM578" s="65" t="n">
        <f aca="false">IF(AL578="",0,MAX(0,MIN(1,(IF(BY578="L1",Parameter!$E$5,Parameter!$E$6+Parameter!$E$7)-(AL578-AH578))/AH578)))</f>
        <v>1</v>
      </c>
      <c r="AN578" s="57" t="n">
        <f aca="false">IF(LEFT(Cockpit!$I$5,1)="A",H578,IF(CA578=1,CB578,IF(LEFT(Cockpit!$I$5,1)="B",AR578,MAX(AR578,H578))))</f>
        <v>250</v>
      </c>
      <c r="AO578" s="57" t="n">
        <f aca="false">IF(BT578=1,0,ROUNDUP(AN578/BS578,0))</f>
        <v>1</v>
      </c>
      <c r="AP578" s="59" t="n">
        <f aca="false">IF(CH578&gt;0,CH578*MAX(1,AN578/X578),IF(BT578=1,IF(AN578&lt;=0,0,BW578*MAX(1,IF(H578&gt;0,AN578/H578,1))),IF(R578&gt;0,AO578/R578,0))/MAX(0.1,N(Parameter!$M$21)))</f>
        <v>0.00241545893719807</v>
      </c>
      <c r="AQ578" s="57" t="n">
        <f aca="false">AN578*G578</f>
        <v>17.5</v>
      </c>
      <c r="AR578" s="57" t="n">
        <f aca="false">ROUNDUP(MAX(J578/IF(BZ578&gt;0,BZ578,MAX(0.1,N(Cockpit!$I$6))),CC578)/BS578,0)*BS578</f>
        <v>250</v>
      </c>
      <c r="AS578" s="58" t="n">
        <f aca="false">IF(AP578&gt;0,J578/AP578,-1)</f>
        <v>57960</v>
      </c>
      <c r="AT578" s="58" t="n">
        <f aca="false">IF(AND(OR(BY578="L1",BY578="L23"),AP578&gt;0),SUMIFS($AP$7:$AP$1843,$BY$7:$BY$1843,BY578,$AS$7:$AS$1843,"&gt;"&amp;AS578)+SUMIFS($AP$7:$AP$1843,$BY$7:$BY$1843,BY578,$AS$7:$AS$1843,AS578,$BQ$7:$BQ$1843,"&lt;="&amp;BQ578),"")</f>
        <v>0.712222560048647</v>
      </c>
      <c r="AU578" s="65" t="n">
        <f aca="false">IF(AT578="",0,MAX(0,MIN(1,(IF(BY578="L1",Parameter!$E$5,Parameter!$E$6+Parameter!$E$7)-(AT578-AP578))/AP578)))</f>
        <v>1</v>
      </c>
      <c r="AV578" s="57" t="n">
        <f aca="false">IF(LEFT(Cockpit!$O$5,1)="A",H578,IF(CA578=1,CB578,IF(LEFT(Cockpit!$O$5,1)="B",AZ578,MAX(AZ578,H578))))</f>
        <v>250</v>
      </c>
      <c r="AW578" s="57" t="n">
        <f aca="false">IF(BT578=1,0,ROUNDUP(AV578/BS578,0))</f>
        <v>1</v>
      </c>
      <c r="AX578" s="59" t="n">
        <f aca="false">IF(CH578&gt;0,CH578*MAX(1,AV578/X578),IF(BT578=1,IF(AV578&lt;=0,0,BW578*MAX(1,IF(H578&gt;0,AV578/H578,1))),IF(R578&gt;0,AW578/R578,0))/MAX(0.1,N(Parameter!$M$21)))</f>
        <v>0.00241545893719807</v>
      </c>
      <c r="AY578" s="57" t="n">
        <f aca="false">AV578*G578</f>
        <v>17.5</v>
      </c>
      <c r="AZ578" s="57" t="n">
        <f aca="false">ROUNDUP(MAX(J578/IF(BZ578&gt;0,BZ578,MAX(0.1,N(Cockpit!$O$6))),CC578)/BS578,0)*BS578</f>
        <v>250</v>
      </c>
      <c r="BA578" s="58" t="n">
        <f aca="false">IF(AX578&gt;0,J578/AX578,-1)</f>
        <v>57960</v>
      </c>
      <c r="BB578" s="58" t="n">
        <f aca="false">IF(AND(OR(BY578="L1",BY578="L23"),AX578&gt;0),SUMIFS($AX$7:$AX$1843,$BY$7:$BY$1843,BY578,$BA$7:$BA$1843,"&gt;"&amp;BA578)+SUMIFS($AX$7:$AX$1843,$BY$7:$BY$1843,BY578,$BA$7:$BA$1843,BA578,$BQ$7:$BQ$1843,"&lt;="&amp;BQ578),"")</f>
        <v>0.861989459815547</v>
      </c>
      <c r="BC578" s="65" t="n">
        <f aca="false">IF(BB578="",0,MAX(0,MIN(1,(IF(BY578="L1",Parameter!$E$5,Parameter!$E$6+Parameter!$E$7)-(BB578-AX578))/AX578)))</f>
        <v>1</v>
      </c>
      <c r="BD578" s="55" t="str">
        <f aca="false">IF(AH578&lt;=0,"",IF(BY578="Aussen","Aussenlager",IF(BY578="-","Nicht im Lift",IF(AM578&gt;=1,"Lift",IF(AM578&lt;=0,"Aussenlager","teilweise")))))</f>
        <v>Lift</v>
      </c>
      <c r="BE578" s="55" t="str">
        <f aca="false">IF(AP578&lt;=0,"",IF(BY578="Aussen","Aussenlager",IF(BY578="-","Nicht im Lift",IF(AU578&gt;=1,"Lift",IF(AU578&lt;=0,"Aussenlager","teilweise")))))</f>
        <v>Lift</v>
      </c>
      <c r="BF578" s="55" t="str">
        <f aca="false">IF(AX578&lt;=0,"",IF(BY578="Aussen","Aussenlager",IF(BY578="-","Nicht im Lift",IF(BC578&gt;=1,"Lift",IF(BC578&lt;=0,"Aussenlager","teilweise")))))</f>
        <v>Lift</v>
      </c>
      <c r="BG578" s="55" t="str">
        <f aca="false">IF(A578="","",IF(BP578=1,"Neu; ","")&amp;IF(AND(BP578=0,BK578&lt;0),"negativer Bestand (Export "&amp;BK578&amp;"); ","")&amp;IF(J578&lt;=0,"Kein Verbrauch; ","")&amp;IF(CH578&gt;0,"Lift "&amp;W578&amp;" lt. Liftbericht (Fach "&amp;X578&amp;" Stk); ",IF(BU578=1,"Gebinde geschätzt ("&amp;T578&amp;"); ",IF(BT578=1,"Lose – Tablare geschätzt; ","")))&amp;IF(H578&gt;AR578,"Überbestand "&amp;ROUND(H578-AR578,0)&amp;" Stk / CHF "&amp;ROUND((H578-AR578)*G578,0)&amp;"; ","")&amp;IF(AND(CA578=1,CB578&lt;CC578),"MAX &lt; MB+LG; ","")&amp;IF(AND(CG578&gt;0,CF578*10&gt;CG578),"zu hoch für Tablar; ","")&amp;IF(AND(BP578=0,OR(CA578=1,AA578&lt;&gt;"",U578&lt;&gt;"",V578&lt;&gt;"",AB578&lt;&gt;"")),"manuell übersteuert; ","")&amp;IF(AND(BT578=0,R578=0),"Gebinde unbekannt / Stellmass fehlt; ","")&amp;IF(AND(BT578=0,N(V578)&lt;=0,N(Q578)&lt;=0),"Menge pro Gebinde fehlt (Ist = 1 Gebinde); ","")&amp;BO578)</f>
        <v>negativer Bestand (Export -1); </v>
      </c>
      <c r="BH578" s="55"/>
      <c r="BI578" s="55"/>
      <c r="BJ578" s="62"/>
      <c r="BK578" s="57" t="n">
        <v>-1</v>
      </c>
      <c r="BL578" s="57" t="n">
        <v>199</v>
      </c>
      <c r="BM578" s="56" t="n">
        <v>9.88</v>
      </c>
      <c r="BN578" s="57" t="n">
        <v>140</v>
      </c>
      <c r="BO578" s="55"/>
      <c r="BP578" s="60" t="n">
        <v>0</v>
      </c>
      <c r="BQ578" s="60" t="n">
        <v>578</v>
      </c>
      <c r="BR578" s="55" t="str">
        <f aca="false">IF(U578&lt;&gt;"",UPPER(TRIM(U578)),IF(BU578=1,UPPER(VLOOKUP(T578,Parameter!$I$27:$K$29,2,0)),IF(P578="","LOSE",P578)))</f>
        <v>S21</v>
      </c>
      <c r="BS578" s="57" t="n">
        <f aca="false">IF(BR578="LOSE",1,IF(N(V578)&gt;0,V578,IF(BU578=1,MAX(1,N(VLOOKUP(T578,Parameter!$I$27:$K$29,3,0)),H578,N(N578)),IF(N(Q578)&gt;0,Q578,MAX(1,H578)))))</f>
        <v>250</v>
      </c>
      <c r="BT578" s="60" t="n">
        <f aca="false">IF(BR578="LOSE",1,0)</f>
        <v>0</v>
      </c>
      <c r="BU578" s="60" t="n">
        <f aca="false">IF(AND(U578="",OR(P578="",P578="LOSE"),T578&lt;&gt;"",N(S578)&lt;=0,ISNUMBER(MATCH(T578,Parameter!$I$27:$I$29,0))),1,0)</f>
        <v>0</v>
      </c>
      <c r="BV578" s="55" t="str">
        <f aca="false">IF(AND(Parameter!$B$19="Ja",E578&lt;&gt;"",ISNUMBER(MATCH(E578,Parameter!$I$35:$I$52,0))),VLOOKUP(E578,Parameter!$I$35:$J$52,2,0),IFERROR(VLOOKUP(D578,Parameter!$A$35:$C$64,2,0),"Nein"))</f>
        <v>2+3</v>
      </c>
      <c r="BW578" s="59" t="n">
        <f aca="false">IF(BT578=0,0,IF(N(S578)&gt;0,S578,IFERROR(VLOOKUP(D578,Parameter!$A$35:$C$64,3,0)+0,0)))</f>
        <v>0</v>
      </c>
      <c r="BX578" s="55" t="n">
        <f aca="false">IF(AA578&lt;&gt;"",AA578,Z578)</f>
        <v>3</v>
      </c>
      <c r="BY578" s="55" t="str">
        <f aca="false">IF(BX578=1,"L1",IF(OR(BX578=2,BX578=3),"L23",IF(BX578="Aussen","Aussen","-")))</f>
        <v>L23</v>
      </c>
      <c r="BZ578" s="66" t="n">
        <f aca="false">IF(N(AB578)&gt;0,AB578,0)</f>
        <v>0</v>
      </c>
      <c r="CA578" s="60" t="n">
        <f aca="false">IF(ISNUMBER(AE578),1,0)</f>
        <v>0</v>
      </c>
      <c r="CB578" s="57" t="n">
        <f aca="false">N(AE578)</f>
        <v>0</v>
      </c>
      <c r="CC578" s="57" t="n">
        <f aca="false">N(M578)+N(N578)</f>
        <v>208</v>
      </c>
      <c r="CD578" s="57" t="n">
        <f aca="false">ROUNDUP(H578/BS578,0)</f>
        <v>1</v>
      </c>
      <c r="CE578" s="57" t="n">
        <f aca="false">ROUNDUP(CB578/BS578,0)</f>
        <v>0</v>
      </c>
      <c r="CF578" s="60" t="n">
        <f aca="false">IF(BT578=1,0,IFERROR(VLOOKUP(BR578,'Gebinde-Kategorie'!$A$5:$M$45,5,0)+0,0))</f>
        <v>8</v>
      </c>
      <c r="CG578" s="60" t="n">
        <f aca="false">IFERROR(IF(OR(BX578=1,BX578=2,BX578=3),N(INDEX(Parameter!$I$5:$I$7,BX578)),0),0)</f>
        <v>0</v>
      </c>
      <c r="CH578" s="59" t="n">
        <f aca="false">IF(AND(Parameter!$B$21="Ja",ISNUMBER(W578),N(X578)&gt;0),IFERROR(N(INDEX(Parameter!$L$5:$L$7,W578))*INDEX(Parameter!$E$5:$E$7,W578)*X578/SUMIFS($X$7:$X$1843,$W$7:$W$1843,W578),0),0)</f>
        <v>0</v>
      </c>
    </row>
    <row r="579" customFormat="false" ht="15" hidden="false" customHeight="false" outlineLevel="0" collapsed="false">
      <c r="A579" s="55" t="s">
        <v>1216</v>
      </c>
      <c r="B579" s="55" t="s">
        <v>1217</v>
      </c>
      <c r="C579" s="55" t="s">
        <v>164</v>
      </c>
      <c r="D579" s="55" t="s">
        <v>173</v>
      </c>
      <c r="E579" s="55"/>
      <c r="F579" s="55" t="s">
        <v>218</v>
      </c>
      <c r="G579" s="56" t="n">
        <v>9.55</v>
      </c>
      <c r="H579" s="57" t="n">
        <f aca="false">MAX(0,IF(AND(Parameter!$B$21="Ja",ISNUMBER(Y579)),Y579,IF(Parameter!$B$20="Jahresanfang 2025 + Export",BL579+BK579,BK579)))</f>
        <v>1</v>
      </c>
      <c r="I579" s="57" t="n">
        <f aca="false">H579*G579</f>
        <v>9.55</v>
      </c>
      <c r="J579" s="57" t="n">
        <f aca="false">BN579*Parameter!$B$18</f>
        <v>0</v>
      </c>
      <c r="K579" s="58" t="n">
        <v>0</v>
      </c>
      <c r="L579" s="59" t="n">
        <v>0</v>
      </c>
      <c r="M579" s="57" t="n">
        <v>0</v>
      </c>
      <c r="N579" s="57" t="n">
        <v>1</v>
      </c>
      <c r="O579" s="60" t="n">
        <v>21</v>
      </c>
      <c r="P579" s="55" t="s">
        <v>168</v>
      </c>
      <c r="Q579" s="57"/>
      <c r="R579" s="60" t="n">
        <f aca="false">IF(BT579=1,0,IFERROR(VLOOKUP(BR579,'Gebinde-Kategorie'!$A$5:$M$45,13,0)+0,0))</f>
        <v>12</v>
      </c>
      <c r="S579" s="61"/>
      <c r="T579" s="62" t="s">
        <v>179</v>
      </c>
      <c r="U579" s="62"/>
      <c r="V579" s="62"/>
      <c r="W579" s="55"/>
      <c r="X579" s="57"/>
      <c r="Y579" s="57"/>
      <c r="Z579" s="55" t="n">
        <f aca="false">IF(A579="","",IF(AND(Parameter!$B$21="Ja",ISNUMBER(W579)),W579,IF(BV579="2+3",IF(ISNUMBER(SEARCH("grosser Artikel",BO579)),2,IFERROR(VLOOKUP(BR579,Parameter!$F$35:$G$64,2,0),2)),IF(OR(BV579="Nein",BV579=""),"-",BV579))))</f>
        <v>2</v>
      </c>
      <c r="AA579" s="62"/>
      <c r="AB579" s="63"/>
      <c r="AC579" s="57" t="n">
        <f aca="false">AR579</f>
        <v>4</v>
      </c>
      <c r="AD579" s="57" t="n">
        <f aca="false">MAX(AR579,H579)</f>
        <v>4</v>
      </c>
      <c r="AE579" s="64"/>
      <c r="AF579" s="57" t="n">
        <f aca="false">IF(LEFT(Cockpit!$C$5,1)="A",H579,IF(CA579=1,CB579,IF(LEFT(Cockpit!$C$5,1)="B",AJ579,MAX(AJ579,H579))))</f>
        <v>1</v>
      </c>
      <c r="AG579" s="57" t="n">
        <f aca="false">IF(BT579=1,0,ROUNDUP(AF579/BS579,0))</f>
        <v>1</v>
      </c>
      <c r="AH579" s="59" t="n">
        <f aca="false">IF(CH579&gt;0,CH579*MAX(1,AF579/X579),IF(BT579=1,IF(AF579&lt;=0,0,BW579*MAX(1,IF(H579&gt;0,AF579/H579,1))),IF(R579&gt;0,AG579/R579,0))/MAX(0.1,N(Parameter!$M$21)))</f>
        <v>0.0833333333333333</v>
      </c>
      <c r="AI579" s="57" t="n">
        <f aca="false">AF579*G579</f>
        <v>9.55</v>
      </c>
      <c r="AJ579" s="57" t="n">
        <f aca="false">ROUNDUP(MAX(J579/IF(BZ579&gt;0,BZ579,MAX(0.1,N(Cockpit!$C$6))),CC579)/BS579,0)*BS579</f>
        <v>4</v>
      </c>
      <c r="AK579" s="58" t="n">
        <f aca="false">IF(AH579&gt;0,J579/AH579,-1)</f>
        <v>0</v>
      </c>
      <c r="AL579" s="58" t="n">
        <f aca="false">IF(AND(OR(BY579="L1",BY579="L23"),AH579&gt;0),SUMIFS($AH$7:$AH$1843,$BY$7:$BY$1843,BY579,$AK$7:$AK$1843,"&gt;"&amp;AK579)+SUMIFS($AH$7:$AH$1843,$BY$7:$BY$1843,BY579,$AK$7:$AK$1843,AK579,$BQ$7:$BQ$1843,"&lt;="&amp;BQ579),"")</f>
        <v>75.8782895848113</v>
      </c>
      <c r="AM579" s="65" t="n">
        <f aca="false">IF(AL579="",0,MAX(0,MIN(1,(IF(BY579="L1",Parameter!$E$5,Parameter!$E$6+Parameter!$E$7)-(AL579-AH579))/AH579)))</f>
        <v>1</v>
      </c>
      <c r="AN579" s="57" t="n">
        <f aca="false">IF(LEFT(Cockpit!$I$5,1)="A",H579,IF(CA579=1,CB579,IF(LEFT(Cockpit!$I$5,1)="B",AR579,MAX(AR579,H579))))</f>
        <v>4</v>
      </c>
      <c r="AO579" s="57" t="n">
        <f aca="false">IF(BT579=1,0,ROUNDUP(AN579/BS579,0))</f>
        <v>1</v>
      </c>
      <c r="AP579" s="59" t="n">
        <f aca="false">IF(CH579&gt;0,CH579*MAX(1,AN579/X579),IF(BT579=1,IF(AN579&lt;=0,0,BW579*MAX(1,IF(H579&gt;0,AN579/H579,1))),IF(R579&gt;0,AO579/R579,0))/MAX(0.1,N(Parameter!$M$21)))</f>
        <v>0.0833333333333333</v>
      </c>
      <c r="AQ579" s="57" t="n">
        <f aca="false">AN579*G579</f>
        <v>38.2</v>
      </c>
      <c r="AR579" s="57" t="n">
        <f aca="false">ROUNDUP(MAX(J579/IF(BZ579&gt;0,BZ579,MAX(0.1,N(Cockpit!$I$6))),CC579)/BS579,0)*BS579</f>
        <v>4</v>
      </c>
      <c r="AS579" s="58" t="n">
        <f aca="false">IF(AP579&gt;0,J579/AP579,-1)</f>
        <v>0</v>
      </c>
      <c r="AT579" s="58" t="n">
        <f aca="false">IF(AND(OR(BY579="L1",BY579="L23"),AP579&gt;0),SUMIFS($AP$7:$AP$1843,$BY$7:$BY$1843,BY579,$AS$7:$AS$1843,"&gt;"&amp;AS579)+SUMIFS($AP$7:$AP$1843,$BY$7:$BY$1843,BY579,$AS$7:$AS$1843,AS579,$BQ$7:$BQ$1843,"&lt;="&amp;BQ579),"")</f>
        <v>115.302413769805</v>
      </c>
      <c r="AU579" s="65" t="n">
        <f aca="false">IF(AT579="",0,MAX(0,MIN(1,(IF(BY579="L1",Parameter!$E$5,Parameter!$E$6+Parameter!$E$7)-(AT579-AP579))/AP579)))</f>
        <v>0</v>
      </c>
      <c r="AV579" s="57" t="n">
        <f aca="false">IF(LEFT(Cockpit!$O$5,1)="A",H579,IF(CA579=1,CB579,IF(LEFT(Cockpit!$O$5,1)="B",AZ579,MAX(AZ579,H579))))</f>
        <v>4</v>
      </c>
      <c r="AW579" s="57" t="n">
        <f aca="false">IF(BT579=1,0,ROUNDUP(AV579/BS579,0))</f>
        <v>1</v>
      </c>
      <c r="AX579" s="59" t="n">
        <f aca="false">IF(CH579&gt;0,CH579*MAX(1,AV579/X579),IF(BT579=1,IF(AV579&lt;=0,0,BW579*MAX(1,IF(H579&gt;0,AV579/H579,1))),IF(R579&gt;0,AW579/R579,0))/MAX(0.1,N(Parameter!$M$21)))</f>
        <v>0.0833333333333333</v>
      </c>
      <c r="AY579" s="57" t="n">
        <f aca="false">AV579*G579</f>
        <v>38.2</v>
      </c>
      <c r="AZ579" s="57" t="n">
        <f aca="false">ROUNDUP(MAX(J579/IF(BZ579&gt;0,BZ579,MAX(0.1,N(Cockpit!$O$6))),CC579)/BS579,0)*BS579</f>
        <v>4</v>
      </c>
      <c r="BA579" s="58" t="n">
        <f aca="false">IF(AX579&gt;0,J579/AX579,-1)</f>
        <v>0</v>
      </c>
      <c r="BB579" s="58" t="n">
        <f aca="false">IF(AND(OR(BY579="L1",BY579="L23"),AX579&gt;0),SUMIFS($AX$7:$AX$1843,$BY$7:$BY$1843,BY579,$BA$7:$BA$1843,"&gt;"&amp;BA579)+SUMIFS($AX$7:$AX$1843,$BY$7:$BY$1843,BY579,$BA$7:$BA$1843,BA579,$BQ$7:$BQ$1843,"&lt;="&amp;BQ579),"")</f>
        <v>106.132250599642</v>
      </c>
      <c r="BC579" s="65" t="n">
        <f aca="false">IF(BB579="",0,MAX(0,MIN(1,(IF(BY579="L1",Parameter!$E$5,Parameter!$E$6+Parameter!$E$7)-(BB579-AX579))/AX579)))</f>
        <v>0</v>
      </c>
      <c r="BD579" s="55" t="str">
        <f aca="false">IF(AH579&lt;=0,"",IF(BY579="Aussen","Aussenlager",IF(BY579="-","Nicht im Lift",IF(AM579&gt;=1,"Lift",IF(AM579&lt;=0,"Aussenlager","teilweise")))))</f>
        <v>Lift</v>
      </c>
      <c r="BE579" s="55" t="str">
        <f aca="false">IF(AP579&lt;=0,"",IF(BY579="Aussen","Aussenlager",IF(BY579="-","Nicht im Lift",IF(AU579&gt;=1,"Lift",IF(AU579&lt;=0,"Aussenlager","teilweise")))))</f>
        <v>Aussenlager</v>
      </c>
      <c r="BF579" s="55" t="str">
        <f aca="false">IF(AX579&lt;=0,"",IF(BY579="Aussen","Aussenlager",IF(BY579="-","Nicht im Lift",IF(BC579&gt;=1,"Lift",IF(BC579&lt;=0,"Aussenlager","teilweise")))))</f>
        <v>Aussenlager</v>
      </c>
      <c r="BG579" s="55" t="str">
        <f aca="false">IF(A579="","",IF(BP579=1,"Neu; ","")&amp;IF(AND(BP579=0,BK579&lt;0),"negativer Bestand (Export "&amp;BK579&amp;"); ","")&amp;IF(J579&lt;=0,"Kein Verbrauch; ","")&amp;IF(CH579&gt;0,"Lift "&amp;W579&amp;" lt. Liftbericht (Fach "&amp;X579&amp;" Stk); ",IF(BU579=1,"Gebinde geschätzt ("&amp;T579&amp;"); ",IF(BT579=1,"Lose – Tablare geschätzt; ","")))&amp;IF(H579&gt;AR579,"Überbestand "&amp;ROUND(H579-AR579,0)&amp;" Stk / CHF "&amp;ROUND((H579-AR579)*G579,0)&amp;"; ","")&amp;IF(AND(CA579=1,CB579&lt;CC579),"MAX &lt; MB+LG; ","")&amp;IF(AND(CG579&gt;0,CF579*10&gt;CG579),"zu hoch für Tablar; ","")&amp;IF(AND(BP579=0,OR(CA579=1,AA579&lt;&gt;"",U579&lt;&gt;"",V579&lt;&gt;"",AB579&lt;&gt;"")),"manuell übersteuert; ","")&amp;IF(AND(BT579=0,R579=0),"Gebinde unbekannt / Stellmass fehlt; ","")&amp;IF(AND(BT579=0,N(V579)&lt;=0,N(Q579)&lt;=0),"Menge pro Gebinde fehlt (Ist = 1 Gebinde); ","")&amp;BO579)</f>
        <v>Kein Verbrauch; Gebinde geschätzt (Mittel); Menge pro Gebinde fehlt (Ist = 1 Gebinde); </v>
      </c>
      <c r="BH579" s="55"/>
      <c r="BI579" s="55"/>
      <c r="BJ579" s="62"/>
      <c r="BK579" s="57" t="n">
        <v>1</v>
      </c>
      <c r="BL579" s="57" t="n">
        <v>0</v>
      </c>
      <c r="BM579" s="56" t="n">
        <v>9.55</v>
      </c>
      <c r="BN579" s="57" t="n">
        <v>0</v>
      </c>
      <c r="BO579" s="55"/>
      <c r="BP579" s="60" t="n">
        <v>0</v>
      </c>
      <c r="BQ579" s="60" t="n">
        <v>579</v>
      </c>
      <c r="BR579" s="55" t="str">
        <f aca="false">IF(U579&lt;&gt;"",UPPER(TRIM(U579)),IF(BU579=1,UPPER(VLOOKUP(T579,Parameter!$I$27:$K$29,2,0)),IF(P579="","LOSE",P579)))</f>
        <v>S61</v>
      </c>
      <c r="BS579" s="57" t="n">
        <f aca="false">IF(BR579="LOSE",1,IF(N(V579)&gt;0,V579,IF(BU579=1,MAX(1,N(VLOOKUP(T579,Parameter!$I$27:$K$29,3,0)),H579,N(N579)),IF(N(Q579)&gt;0,Q579,MAX(1,H579)))))</f>
        <v>4</v>
      </c>
      <c r="BT579" s="60" t="n">
        <f aca="false">IF(BR579="LOSE",1,0)</f>
        <v>0</v>
      </c>
      <c r="BU579" s="60" t="n">
        <f aca="false">IF(AND(U579="",OR(P579="",P579="LOSE"),T579&lt;&gt;"",N(S579)&lt;=0,ISNUMBER(MATCH(T579,Parameter!$I$27:$I$29,0))),1,0)</f>
        <v>1</v>
      </c>
      <c r="BV579" s="55" t="str">
        <f aca="false">IF(AND(Parameter!$B$19="Ja",E579&lt;&gt;"",ISNUMBER(MATCH(E579,Parameter!$I$35:$I$52,0))),VLOOKUP(E579,Parameter!$I$35:$J$52,2,0),IFERROR(VLOOKUP(D579,Parameter!$A$35:$C$64,2,0),"Nein"))</f>
        <v>2+3</v>
      </c>
      <c r="BW579" s="59" t="n">
        <f aca="false">IF(BT579=0,0,IF(N(S579)&gt;0,S579,IFERROR(VLOOKUP(D579,Parameter!$A$35:$C$64,3,0)+0,0)))</f>
        <v>0</v>
      </c>
      <c r="BX579" s="55" t="n">
        <f aca="false">IF(AA579&lt;&gt;"",AA579,Z579)</f>
        <v>2</v>
      </c>
      <c r="BY579" s="55" t="str">
        <f aca="false">IF(BX579=1,"L1",IF(OR(BX579=2,BX579=3),"L23",IF(BX579="Aussen","Aussen","-")))</f>
        <v>L23</v>
      </c>
      <c r="BZ579" s="66" t="n">
        <f aca="false">IF(N(AB579)&gt;0,AB579,0)</f>
        <v>0</v>
      </c>
      <c r="CA579" s="60" t="n">
        <f aca="false">IF(ISNUMBER(AE579),1,0)</f>
        <v>0</v>
      </c>
      <c r="CB579" s="57" t="n">
        <f aca="false">N(AE579)</f>
        <v>0</v>
      </c>
      <c r="CC579" s="57" t="n">
        <f aca="false">N(M579)+N(N579)</f>
        <v>1</v>
      </c>
      <c r="CD579" s="57" t="n">
        <f aca="false">ROUNDUP(H579/BS579,0)</f>
        <v>1</v>
      </c>
      <c r="CE579" s="57" t="n">
        <f aca="false">ROUNDUP(CB579/BS579,0)</f>
        <v>0</v>
      </c>
      <c r="CF579" s="60" t="n">
        <f aca="false">IF(BT579=1,0,IFERROR(VLOOKUP(BR579,'Gebinde-Kategorie'!$A$5:$M$45,5,0)+0,0))</f>
        <v>11</v>
      </c>
      <c r="CG579" s="60" t="n">
        <f aca="false">IFERROR(IF(OR(BX579=1,BX579=2,BX579=3),N(INDEX(Parameter!$I$5:$I$7,BX579)),0),0)</f>
        <v>0</v>
      </c>
      <c r="CH579" s="59" t="n">
        <f aca="false">IF(AND(Parameter!$B$21="Ja",ISNUMBER(W579),N(X579)&gt;0),IFERROR(N(INDEX(Parameter!$L$5:$L$7,W579))*INDEX(Parameter!$E$5:$E$7,W579)*X579/SUMIFS($X$7:$X$1843,$W$7:$W$1843,W579),0),0)</f>
        <v>0</v>
      </c>
    </row>
    <row r="580" customFormat="false" ht="15" hidden="false" customHeight="false" outlineLevel="0" collapsed="false">
      <c r="A580" s="55" t="s">
        <v>1218</v>
      </c>
      <c r="B580" s="55" t="s">
        <v>1165</v>
      </c>
      <c r="C580" s="55" t="s">
        <v>164</v>
      </c>
      <c r="D580" s="55" t="s">
        <v>173</v>
      </c>
      <c r="E580" s="55"/>
      <c r="F580" s="55" t="s">
        <v>218</v>
      </c>
      <c r="G580" s="56" t="n">
        <v>9.5</v>
      </c>
      <c r="H580" s="57" t="n">
        <f aca="false">MAX(0,IF(AND(Parameter!$B$21="Ja",ISNUMBER(Y580)),Y580,IF(Parameter!$B$20="Jahresanfang 2025 + Export",BL580+BK580,BK580)))</f>
        <v>1</v>
      </c>
      <c r="I580" s="57" t="n">
        <f aca="false">H580*G580</f>
        <v>9.5</v>
      </c>
      <c r="J580" s="57" t="n">
        <f aca="false">BN580*Parameter!$B$18</f>
        <v>0</v>
      </c>
      <c r="K580" s="58" t="n">
        <v>0</v>
      </c>
      <c r="L580" s="59" t="n">
        <v>0</v>
      </c>
      <c r="M580" s="57" t="n">
        <v>0</v>
      </c>
      <c r="N580" s="57" t="n">
        <v>1</v>
      </c>
      <c r="O580" s="60" t="n">
        <v>21</v>
      </c>
      <c r="P580" s="55" t="s">
        <v>168</v>
      </c>
      <c r="Q580" s="57"/>
      <c r="R580" s="60" t="n">
        <f aca="false">IF(BT580=1,0,IFERROR(VLOOKUP(BR580,'Gebinde-Kategorie'!$A$5:$M$45,13,0)+0,0))</f>
        <v>26</v>
      </c>
      <c r="S580" s="61"/>
      <c r="T580" s="62" t="s">
        <v>275</v>
      </c>
      <c r="U580" s="62"/>
      <c r="V580" s="62"/>
      <c r="W580" s="55"/>
      <c r="X580" s="57"/>
      <c r="Y580" s="57"/>
      <c r="Z580" s="55" t="n">
        <f aca="false">IF(A580="","",IF(AND(Parameter!$B$21="Ja",ISNUMBER(W580)),W580,IF(BV580="2+3",IF(ISNUMBER(SEARCH("grosser Artikel",BO580)),2,IFERROR(VLOOKUP(BR580,Parameter!$F$35:$G$64,2,0),2)),IF(OR(BV580="Nein",BV580=""),"-",BV580))))</f>
        <v>3</v>
      </c>
      <c r="AA580" s="62"/>
      <c r="AB580" s="63"/>
      <c r="AC580" s="57" t="n">
        <f aca="false">AR580</f>
        <v>20</v>
      </c>
      <c r="AD580" s="57" t="n">
        <f aca="false">MAX(AR580,H580)</f>
        <v>20</v>
      </c>
      <c r="AE580" s="64"/>
      <c r="AF580" s="57" t="n">
        <f aca="false">IF(LEFT(Cockpit!$C$5,1)="A",H580,IF(CA580=1,CB580,IF(LEFT(Cockpit!$C$5,1)="B",AJ580,MAX(AJ580,H580))))</f>
        <v>1</v>
      </c>
      <c r="AG580" s="57" t="n">
        <f aca="false">IF(BT580=1,0,ROUNDUP(AF580/BS580,0))</f>
        <v>1</v>
      </c>
      <c r="AH580" s="59" t="n">
        <f aca="false">IF(CH580&gt;0,CH580*MAX(1,AF580/X580),IF(BT580=1,IF(AF580&lt;=0,0,BW580*MAX(1,IF(H580&gt;0,AF580/H580,1))),IF(R580&gt;0,AG580/R580,0))/MAX(0.1,N(Parameter!$M$21)))</f>
        <v>0.0384615384615385</v>
      </c>
      <c r="AI580" s="57" t="n">
        <f aca="false">AF580*G580</f>
        <v>9.5</v>
      </c>
      <c r="AJ580" s="57" t="n">
        <f aca="false">ROUNDUP(MAX(J580/IF(BZ580&gt;0,BZ580,MAX(0.1,N(Cockpit!$C$6))),CC580)/BS580,0)*BS580</f>
        <v>20</v>
      </c>
      <c r="AK580" s="58" t="n">
        <f aca="false">IF(AH580&gt;0,J580/AH580,-1)</f>
        <v>0</v>
      </c>
      <c r="AL580" s="58" t="n">
        <f aca="false">IF(AND(OR(BY580="L1",BY580="L23"),AH580&gt;0),SUMIFS($AH$7:$AH$1843,$BY$7:$BY$1843,BY580,$AK$7:$AK$1843,"&gt;"&amp;AK580)+SUMIFS($AH$7:$AH$1843,$BY$7:$BY$1843,BY580,$AK$7:$AK$1843,AK580,$BQ$7:$BQ$1843,"&lt;="&amp;BQ580),"")</f>
        <v>75.9167511232729</v>
      </c>
      <c r="AM580" s="65" t="n">
        <f aca="false">IF(AL580="",0,MAX(0,MIN(1,(IF(BY580="L1",Parameter!$E$5,Parameter!$E$6+Parameter!$E$7)-(AL580-AH580))/AH580)))</f>
        <v>1</v>
      </c>
      <c r="AN580" s="57" t="n">
        <f aca="false">IF(LEFT(Cockpit!$I$5,1)="A",H580,IF(CA580=1,CB580,IF(LEFT(Cockpit!$I$5,1)="B",AR580,MAX(AR580,H580))))</f>
        <v>20</v>
      </c>
      <c r="AO580" s="57" t="n">
        <f aca="false">IF(BT580=1,0,ROUNDUP(AN580/BS580,0))</f>
        <v>1</v>
      </c>
      <c r="AP580" s="59" t="n">
        <f aca="false">IF(CH580&gt;0,CH580*MAX(1,AN580/X580),IF(BT580=1,IF(AN580&lt;=0,0,BW580*MAX(1,IF(H580&gt;0,AN580/H580,1))),IF(R580&gt;0,AO580/R580,0))/MAX(0.1,N(Parameter!$M$21)))</f>
        <v>0.0384615384615385</v>
      </c>
      <c r="AQ580" s="57" t="n">
        <f aca="false">AN580*G580</f>
        <v>190</v>
      </c>
      <c r="AR580" s="57" t="n">
        <f aca="false">ROUNDUP(MAX(J580/IF(BZ580&gt;0,BZ580,MAX(0.1,N(Cockpit!$I$6))),CC580)/BS580,0)*BS580</f>
        <v>20</v>
      </c>
      <c r="AS580" s="58" t="n">
        <f aca="false">IF(AP580&gt;0,J580/AP580,-1)</f>
        <v>0</v>
      </c>
      <c r="AT580" s="58" t="n">
        <f aca="false">IF(AND(OR(BY580="L1",BY580="L23"),AP580&gt;0),SUMIFS($AP$7:$AP$1843,$BY$7:$BY$1843,BY580,$AS$7:$AS$1843,"&gt;"&amp;AS580)+SUMIFS($AP$7:$AP$1843,$BY$7:$BY$1843,BY580,$AS$7:$AS$1843,AS580,$BQ$7:$BQ$1843,"&lt;="&amp;BQ580),"")</f>
        <v>115.340875308267</v>
      </c>
      <c r="AU580" s="65" t="n">
        <f aca="false">IF(AT580="",0,MAX(0,MIN(1,(IF(BY580="L1",Parameter!$E$5,Parameter!$E$6+Parameter!$E$7)-(AT580-AP580))/AP580)))</f>
        <v>0</v>
      </c>
      <c r="AV580" s="57" t="n">
        <f aca="false">IF(LEFT(Cockpit!$O$5,1)="A",H580,IF(CA580=1,CB580,IF(LEFT(Cockpit!$O$5,1)="B",AZ580,MAX(AZ580,H580))))</f>
        <v>20</v>
      </c>
      <c r="AW580" s="57" t="n">
        <f aca="false">IF(BT580=1,0,ROUNDUP(AV580/BS580,0))</f>
        <v>1</v>
      </c>
      <c r="AX580" s="59" t="n">
        <f aca="false">IF(CH580&gt;0,CH580*MAX(1,AV580/X580),IF(BT580=1,IF(AV580&lt;=0,0,BW580*MAX(1,IF(H580&gt;0,AV580/H580,1))),IF(R580&gt;0,AW580/R580,0))/MAX(0.1,N(Parameter!$M$21)))</f>
        <v>0.0384615384615385</v>
      </c>
      <c r="AY580" s="57" t="n">
        <f aca="false">AV580*G580</f>
        <v>190</v>
      </c>
      <c r="AZ580" s="57" t="n">
        <f aca="false">ROUNDUP(MAX(J580/IF(BZ580&gt;0,BZ580,MAX(0.1,N(Cockpit!$O$6))),CC580)/BS580,0)*BS580</f>
        <v>20</v>
      </c>
      <c r="BA580" s="58" t="n">
        <f aca="false">IF(AX580&gt;0,J580/AX580,-1)</f>
        <v>0</v>
      </c>
      <c r="BB580" s="58" t="n">
        <f aca="false">IF(AND(OR(BY580="L1",BY580="L23"),AX580&gt;0),SUMIFS($AX$7:$AX$1843,$BY$7:$BY$1843,BY580,$BA$7:$BA$1843,"&gt;"&amp;BA580)+SUMIFS($AX$7:$AX$1843,$BY$7:$BY$1843,BY580,$BA$7:$BA$1843,BA580,$BQ$7:$BQ$1843,"&lt;="&amp;BQ580),"")</f>
        <v>106.170712138103</v>
      </c>
      <c r="BC580" s="65" t="n">
        <f aca="false">IF(BB580="",0,MAX(0,MIN(1,(IF(BY580="L1",Parameter!$E$5,Parameter!$E$6+Parameter!$E$7)-(BB580-AX580))/AX580)))</f>
        <v>0</v>
      </c>
      <c r="BD580" s="55" t="str">
        <f aca="false">IF(AH580&lt;=0,"",IF(BY580="Aussen","Aussenlager",IF(BY580="-","Nicht im Lift",IF(AM580&gt;=1,"Lift",IF(AM580&lt;=0,"Aussenlager","teilweise")))))</f>
        <v>Lift</v>
      </c>
      <c r="BE580" s="55" t="str">
        <f aca="false">IF(AP580&lt;=0,"",IF(BY580="Aussen","Aussenlager",IF(BY580="-","Nicht im Lift",IF(AU580&gt;=1,"Lift",IF(AU580&lt;=0,"Aussenlager","teilweise")))))</f>
        <v>Aussenlager</v>
      </c>
      <c r="BF580" s="55" t="str">
        <f aca="false">IF(AX580&lt;=0,"",IF(BY580="Aussen","Aussenlager",IF(BY580="-","Nicht im Lift",IF(BC580&gt;=1,"Lift",IF(BC580&lt;=0,"Aussenlager","teilweise")))))</f>
        <v>Aussenlager</v>
      </c>
      <c r="BG580" s="55" t="str">
        <f aca="false">IF(A580="","",IF(BP580=1,"Neu; ","")&amp;IF(AND(BP580=0,BK580&lt;0),"negativer Bestand (Export "&amp;BK580&amp;"); ","")&amp;IF(J580&lt;=0,"Kein Verbrauch; ","")&amp;IF(CH580&gt;0,"Lift "&amp;W580&amp;" lt. Liftbericht (Fach "&amp;X580&amp;" Stk); ",IF(BU580=1,"Gebinde geschätzt ("&amp;T580&amp;"); ",IF(BT580=1,"Lose – Tablare geschätzt; ","")))&amp;IF(H580&gt;AR580,"Überbestand "&amp;ROUND(H580-AR580,0)&amp;" Stk / CHF "&amp;ROUND((H580-AR580)*G580,0)&amp;"; ","")&amp;IF(AND(CA580=1,CB580&lt;CC580),"MAX &lt; MB+LG; ","")&amp;IF(AND(CG580&gt;0,CF580*10&gt;CG580),"zu hoch für Tablar; ","")&amp;IF(AND(BP580=0,OR(CA580=1,AA580&lt;&gt;"",U580&lt;&gt;"",V580&lt;&gt;"",AB580&lt;&gt;"")),"manuell übersteuert; ","")&amp;IF(AND(BT580=0,R580=0),"Gebinde unbekannt / Stellmass fehlt; ","")&amp;IF(AND(BT580=0,N(V580)&lt;=0,N(Q580)&lt;=0),"Menge pro Gebinde fehlt (Ist = 1 Gebinde); ","")&amp;BO580)</f>
        <v>Kein Verbrauch; Gebinde geschätzt (Klein); Menge pro Gebinde fehlt (Ist = 1 Gebinde); </v>
      </c>
      <c r="BH580" s="55"/>
      <c r="BI580" s="55"/>
      <c r="BJ580" s="62"/>
      <c r="BK580" s="57" t="n">
        <v>1</v>
      </c>
      <c r="BL580" s="57" t="n">
        <v>0</v>
      </c>
      <c r="BM580" s="56" t="n">
        <v>9.5</v>
      </c>
      <c r="BN580" s="57" t="n">
        <v>0</v>
      </c>
      <c r="BO580" s="55"/>
      <c r="BP580" s="60" t="n">
        <v>0</v>
      </c>
      <c r="BQ580" s="60" t="n">
        <v>580</v>
      </c>
      <c r="BR580" s="55" t="str">
        <f aca="false">IF(U580&lt;&gt;"",UPPER(TRIM(U580)),IF(BU580=1,UPPER(VLOOKUP(T580,Parameter!$I$27:$K$29,2,0)),IF(P580="","LOSE",P580)))</f>
        <v>S51</v>
      </c>
      <c r="BS580" s="57" t="n">
        <f aca="false">IF(BR580="LOSE",1,IF(N(V580)&gt;0,V580,IF(BU580=1,MAX(1,N(VLOOKUP(T580,Parameter!$I$27:$K$29,3,0)),H580,N(N580)),IF(N(Q580)&gt;0,Q580,MAX(1,H580)))))</f>
        <v>20</v>
      </c>
      <c r="BT580" s="60" t="n">
        <f aca="false">IF(BR580="LOSE",1,0)</f>
        <v>0</v>
      </c>
      <c r="BU580" s="60" t="n">
        <f aca="false">IF(AND(U580="",OR(P580="",P580="LOSE"),T580&lt;&gt;"",N(S580)&lt;=0,ISNUMBER(MATCH(T580,Parameter!$I$27:$I$29,0))),1,0)</f>
        <v>1</v>
      </c>
      <c r="BV580" s="55" t="str">
        <f aca="false">IF(AND(Parameter!$B$19="Ja",E580&lt;&gt;"",ISNUMBER(MATCH(E580,Parameter!$I$35:$I$52,0))),VLOOKUP(E580,Parameter!$I$35:$J$52,2,0),IFERROR(VLOOKUP(D580,Parameter!$A$35:$C$64,2,0),"Nein"))</f>
        <v>2+3</v>
      </c>
      <c r="BW580" s="59" t="n">
        <f aca="false">IF(BT580=0,0,IF(N(S580)&gt;0,S580,IFERROR(VLOOKUP(D580,Parameter!$A$35:$C$64,3,0)+0,0)))</f>
        <v>0</v>
      </c>
      <c r="BX580" s="55" t="n">
        <f aca="false">IF(AA580&lt;&gt;"",AA580,Z580)</f>
        <v>3</v>
      </c>
      <c r="BY580" s="55" t="str">
        <f aca="false">IF(BX580=1,"L1",IF(OR(BX580=2,BX580=3),"L23",IF(BX580="Aussen","Aussen","-")))</f>
        <v>L23</v>
      </c>
      <c r="BZ580" s="66" t="n">
        <f aca="false">IF(N(AB580)&gt;0,AB580,0)</f>
        <v>0</v>
      </c>
      <c r="CA580" s="60" t="n">
        <f aca="false">IF(ISNUMBER(AE580),1,0)</f>
        <v>0</v>
      </c>
      <c r="CB580" s="57" t="n">
        <f aca="false">N(AE580)</f>
        <v>0</v>
      </c>
      <c r="CC580" s="57" t="n">
        <f aca="false">N(M580)+N(N580)</f>
        <v>1</v>
      </c>
      <c r="CD580" s="57" t="n">
        <f aca="false">ROUNDUP(H580/BS580,0)</f>
        <v>1</v>
      </c>
      <c r="CE580" s="57" t="n">
        <f aca="false">ROUNDUP(CB580/BS580,0)</f>
        <v>0</v>
      </c>
      <c r="CF580" s="60" t="n">
        <f aca="false">IF(BT580=1,0,IFERROR(VLOOKUP(BR580,'Gebinde-Kategorie'!$A$5:$M$45,5,0)+0,0))</f>
        <v>11</v>
      </c>
      <c r="CG580" s="60" t="n">
        <f aca="false">IFERROR(IF(OR(BX580=1,BX580=2,BX580=3),N(INDEX(Parameter!$I$5:$I$7,BX580)),0),0)</f>
        <v>0</v>
      </c>
      <c r="CH580" s="59" t="n">
        <f aca="false">IF(AND(Parameter!$B$21="Ja",ISNUMBER(W580),N(X580)&gt;0),IFERROR(N(INDEX(Parameter!$L$5:$L$7,W580))*INDEX(Parameter!$E$5:$E$7,W580)*X580/SUMIFS($X$7:$X$1843,$W$7:$W$1843,W580),0),0)</f>
        <v>0</v>
      </c>
    </row>
    <row r="581" customFormat="false" ht="15" hidden="false" customHeight="false" outlineLevel="0" collapsed="false">
      <c r="A581" s="55" t="s">
        <v>1219</v>
      </c>
      <c r="B581" s="55" t="s">
        <v>861</v>
      </c>
      <c r="C581" s="55" t="s">
        <v>164</v>
      </c>
      <c r="D581" s="55" t="s">
        <v>184</v>
      </c>
      <c r="E581" s="55"/>
      <c r="F581" s="55" t="s">
        <v>218</v>
      </c>
      <c r="G581" s="56" t="n">
        <v>3.15</v>
      </c>
      <c r="H581" s="57" t="n">
        <f aca="false">MAX(0,IF(AND(Parameter!$B$21="Ja",ISNUMBER(Y581)),Y581,IF(Parameter!$B$20="Jahresanfang 2025 + Export",BL581+BK581,BK581)))</f>
        <v>3</v>
      </c>
      <c r="I581" s="57" t="n">
        <f aca="false">H581*G581</f>
        <v>9.45</v>
      </c>
      <c r="J581" s="57" t="n">
        <f aca="false">BN581*Parameter!$B$18</f>
        <v>4</v>
      </c>
      <c r="K581" s="58" t="n">
        <v>3</v>
      </c>
      <c r="L581" s="59" t="n">
        <v>1.33333333333333</v>
      </c>
      <c r="M581" s="57" t="n">
        <v>0</v>
      </c>
      <c r="N581" s="57" t="n">
        <v>5</v>
      </c>
      <c r="O581" s="60" t="n">
        <v>14</v>
      </c>
      <c r="P581" s="55" t="s">
        <v>401</v>
      </c>
      <c r="Q581" s="57" t="n">
        <v>3</v>
      </c>
      <c r="R581" s="60" t="n">
        <f aca="false">IF(BT581=1,0,IFERROR(VLOOKUP(BR581,'Gebinde-Kategorie'!$A$5:$M$45,13,0)+0,0))</f>
        <v>414</v>
      </c>
      <c r="S581" s="61"/>
      <c r="T581" s="62"/>
      <c r="U581" s="62"/>
      <c r="V581" s="62"/>
      <c r="W581" s="55"/>
      <c r="X581" s="57"/>
      <c r="Y581" s="57"/>
      <c r="Z581" s="55" t="n">
        <f aca="false">IF(A581="","",IF(AND(Parameter!$B$21="Ja",ISNUMBER(W581)),W581,IF(BV581="2+3",IF(ISNUMBER(SEARCH("grosser Artikel",BO581)),2,IFERROR(VLOOKUP(BR581,Parameter!$F$35:$G$64,2,0),2)),IF(OR(BV581="Nein",BV581=""),"-",BV581))))</f>
        <v>3</v>
      </c>
      <c r="AA581" s="62"/>
      <c r="AB581" s="63"/>
      <c r="AC581" s="57" t="n">
        <f aca="false">AR581</f>
        <v>6</v>
      </c>
      <c r="AD581" s="57" t="n">
        <f aca="false">MAX(AR581,H581)</f>
        <v>6</v>
      </c>
      <c r="AE581" s="64"/>
      <c r="AF581" s="57" t="n">
        <f aca="false">IF(LEFT(Cockpit!$C$5,1)="A",H581,IF(CA581=1,CB581,IF(LEFT(Cockpit!$C$5,1)="B",AJ581,MAX(AJ581,H581))))</f>
        <v>3</v>
      </c>
      <c r="AG581" s="57" t="n">
        <f aca="false">IF(BT581=1,0,ROUNDUP(AF581/BS581,0))</f>
        <v>1</v>
      </c>
      <c r="AH581" s="59" t="n">
        <f aca="false">IF(CH581&gt;0,CH581*MAX(1,AF581/X581),IF(BT581=1,IF(AF581&lt;=0,0,BW581*MAX(1,IF(H581&gt;0,AF581/H581,1))),IF(R581&gt;0,AG581/R581,0))/MAX(0.1,N(Parameter!$M$21)))</f>
        <v>0.00241545893719807</v>
      </c>
      <c r="AI581" s="57" t="n">
        <f aca="false">AF581*G581</f>
        <v>9.45</v>
      </c>
      <c r="AJ581" s="57" t="n">
        <f aca="false">ROUNDUP(MAX(J581/IF(BZ581&gt;0,BZ581,MAX(0.1,N(Cockpit!$C$6))),CC581)/BS581,0)*BS581</f>
        <v>6</v>
      </c>
      <c r="AK581" s="58" t="n">
        <f aca="false">IF(AH581&gt;0,J581/AH581,-1)</f>
        <v>1656</v>
      </c>
      <c r="AL581" s="58" t="n">
        <f aca="false">IF(AND(OR(BY581="L1",BY581="L23"),AH581&gt;0),SUMIFS($AH$7:$AH$1843,$BY$7:$BY$1843,BY581,$AK$7:$AK$1843,"&gt;"&amp;AK581)+SUMIFS($AH$7:$AH$1843,$BY$7:$BY$1843,BY581,$AK$7:$AK$1843,AK581,$BQ$7:$BQ$1843,"&lt;="&amp;BQ581),"")</f>
        <v>15.4301374953549</v>
      </c>
      <c r="AM581" s="65" t="n">
        <f aca="false">IF(AL581="",0,MAX(0,MIN(1,(IF(BY581="L1",Parameter!$E$5,Parameter!$E$6+Parameter!$E$7)-(AL581-AH581))/AH581)))</f>
        <v>1</v>
      </c>
      <c r="AN581" s="57" t="n">
        <f aca="false">IF(LEFT(Cockpit!$I$5,1)="A",H581,IF(CA581=1,CB581,IF(LEFT(Cockpit!$I$5,1)="B",AR581,MAX(AR581,H581))))</f>
        <v>6</v>
      </c>
      <c r="AO581" s="57" t="n">
        <f aca="false">IF(BT581=1,0,ROUNDUP(AN581/BS581,0))</f>
        <v>2</v>
      </c>
      <c r="AP581" s="59" t="n">
        <f aca="false">IF(CH581&gt;0,CH581*MAX(1,AN581/X581),IF(BT581=1,IF(AN581&lt;=0,0,BW581*MAX(1,IF(H581&gt;0,AN581/H581,1))),IF(R581&gt;0,AO581/R581,0))/MAX(0.1,N(Parameter!$M$21)))</f>
        <v>0.00483091787439614</v>
      </c>
      <c r="AQ581" s="57" t="n">
        <f aca="false">AN581*G581</f>
        <v>18.9</v>
      </c>
      <c r="AR581" s="57" t="n">
        <f aca="false">ROUNDUP(MAX(J581/IF(BZ581&gt;0,BZ581,MAX(0.1,N(Cockpit!$I$6))),CC581)/BS581,0)*BS581</f>
        <v>6</v>
      </c>
      <c r="AS581" s="58" t="n">
        <f aca="false">IF(AP581&gt;0,J581/AP581,-1)</f>
        <v>828</v>
      </c>
      <c r="AT581" s="58" t="n">
        <f aca="false">IF(AND(OR(BY581="L1",BY581="L23"),AP581&gt;0),SUMIFS($AP$7:$AP$1843,$BY$7:$BY$1843,BY581,$AS$7:$AS$1843,"&gt;"&amp;AS581)+SUMIFS($AP$7:$AP$1843,$BY$7:$BY$1843,BY581,$AS$7:$AS$1843,AS581,$BQ$7:$BQ$1843,"&lt;="&amp;BQ581),"")</f>
        <v>25.9428482145873</v>
      </c>
      <c r="AU581" s="65" t="n">
        <f aca="false">IF(AT581="",0,MAX(0,MIN(1,(IF(BY581="L1",Parameter!$E$5,Parameter!$E$6+Parameter!$E$7)-(AT581-AP581))/AP581)))</f>
        <v>1</v>
      </c>
      <c r="AV581" s="57" t="n">
        <f aca="false">IF(LEFT(Cockpit!$O$5,1)="A",H581,IF(CA581=1,CB581,IF(LEFT(Cockpit!$O$5,1)="B",AZ581,MAX(AZ581,H581))))</f>
        <v>6</v>
      </c>
      <c r="AW581" s="57" t="n">
        <f aca="false">IF(BT581=1,0,ROUNDUP(AV581/BS581,0))</f>
        <v>2</v>
      </c>
      <c r="AX581" s="59" t="n">
        <f aca="false">IF(CH581&gt;0,CH581*MAX(1,AV581/X581),IF(BT581=1,IF(AV581&lt;=0,0,BW581*MAX(1,IF(H581&gt;0,AV581/H581,1))),IF(R581&gt;0,AW581/R581,0))/MAX(0.1,N(Parameter!$M$21)))</f>
        <v>0.00483091787439614</v>
      </c>
      <c r="AY581" s="57" t="n">
        <f aca="false">AV581*G581</f>
        <v>18.9</v>
      </c>
      <c r="AZ581" s="57" t="n">
        <f aca="false">ROUNDUP(MAX(J581/IF(BZ581&gt;0,BZ581,MAX(0.1,N(Cockpit!$O$6))),CC581)/BS581,0)*BS581</f>
        <v>6</v>
      </c>
      <c r="BA581" s="58" t="n">
        <f aca="false">IF(AX581&gt;0,J581/AX581,-1)</f>
        <v>828</v>
      </c>
      <c r="BB581" s="58" t="n">
        <f aca="false">IF(AND(OR(BY581="L1",BY581="L23"),AX581&gt;0),SUMIFS($AX$7:$AX$1843,$BY$7:$BY$1843,BY581,$BA$7:$BA$1843,"&gt;"&amp;BA581)+SUMIFS($AX$7:$AX$1843,$BY$7:$BY$1843,BY581,$BA$7:$BA$1843,BA581,$BQ$7:$BQ$1843,"&lt;="&amp;BQ581),"")</f>
        <v>25.8111465828857</v>
      </c>
      <c r="BC581" s="65" t="n">
        <f aca="false">IF(BB581="",0,MAX(0,MIN(1,(IF(BY581="L1",Parameter!$E$5,Parameter!$E$6+Parameter!$E$7)-(BB581-AX581))/AX581)))</f>
        <v>1</v>
      </c>
      <c r="BD581" s="55" t="str">
        <f aca="false">IF(AH581&lt;=0,"",IF(BY581="Aussen","Aussenlager",IF(BY581="-","Nicht im Lift",IF(AM581&gt;=1,"Lift",IF(AM581&lt;=0,"Aussenlager","teilweise")))))</f>
        <v>Lift</v>
      </c>
      <c r="BE581" s="55" t="str">
        <f aca="false">IF(AP581&lt;=0,"",IF(BY581="Aussen","Aussenlager",IF(BY581="-","Nicht im Lift",IF(AU581&gt;=1,"Lift",IF(AU581&lt;=0,"Aussenlager","teilweise")))))</f>
        <v>Lift</v>
      </c>
      <c r="BF581" s="55" t="str">
        <f aca="false">IF(AX581&lt;=0,"",IF(BY581="Aussen","Aussenlager",IF(BY581="-","Nicht im Lift",IF(BC581&gt;=1,"Lift",IF(BC581&lt;=0,"Aussenlager","teilweise")))))</f>
        <v>Lift</v>
      </c>
      <c r="BG581" s="55" t="str">
        <f aca="false">IF(A581="","",IF(BP581=1,"Neu; ","")&amp;IF(AND(BP581=0,BK581&lt;0),"negativer Bestand (Export "&amp;BK581&amp;"); ","")&amp;IF(J581&lt;=0,"Kein Verbrauch; ","")&amp;IF(CH581&gt;0,"Lift "&amp;W581&amp;" lt. Liftbericht (Fach "&amp;X581&amp;" Stk); ",IF(BU581=1,"Gebinde geschätzt ("&amp;T581&amp;"); ",IF(BT581=1,"Lose – Tablare geschätzt; ","")))&amp;IF(H581&gt;AR581,"Überbestand "&amp;ROUND(H581-AR581,0)&amp;" Stk / CHF "&amp;ROUND((H581-AR581)*G581,0)&amp;"; ","")&amp;IF(AND(CA581=1,CB581&lt;CC581),"MAX &lt; MB+LG; ","")&amp;IF(AND(CG581&gt;0,CF581*10&gt;CG581),"zu hoch für Tablar; ","")&amp;IF(AND(BP581=0,OR(CA581=1,AA581&lt;&gt;"",U581&lt;&gt;"",V581&lt;&gt;"",AB581&lt;&gt;"")),"manuell übersteuert; ","")&amp;IF(AND(BT581=0,R581=0),"Gebinde unbekannt / Stellmass fehlt; ","")&amp;IF(AND(BT581=0,N(V581)&lt;=0,N(Q581)&lt;=0),"Menge pro Gebinde fehlt (Ist = 1 Gebinde); ","")&amp;BO581)</f>
        <v/>
      </c>
      <c r="BH581" s="55"/>
      <c r="BI581" s="55"/>
      <c r="BJ581" s="62"/>
      <c r="BK581" s="57" t="n">
        <v>3</v>
      </c>
      <c r="BL581" s="57" t="n">
        <v>0</v>
      </c>
      <c r="BM581" s="56" t="n">
        <v>9.45</v>
      </c>
      <c r="BN581" s="57" t="n">
        <v>4</v>
      </c>
      <c r="BO581" s="55"/>
      <c r="BP581" s="60" t="n">
        <v>0</v>
      </c>
      <c r="BQ581" s="60" t="n">
        <v>581</v>
      </c>
      <c r="BR581" s="55" t="str">
        <f aca="false">IF(U581&lt;&gt;"",UPPER(TRIM(U581)),IF(BU581=1,UPPER(VLOOKUP(T581,Parameter!$I$27:$K$29,2,0)),IF(P581="","LOSE",P581)))</f>
        <v>S21</v>
      </c>
      <c r="BS581" s="57" t="n">
        <f aca="false">IF(BR581="LOSE",1,IF(N(V581)&gt;0,V581,IF(BU581=1,MAX(1,N(VLOOKUP(T581,Parameter!$I$27:$K$29,3,0)),H581,N(N581)),IF(N(Q581)&gt;0,Q581,MAX(1,H581)))))</f>
        <v>3</v>
      </c>
      <c r="BT581" s="60" t="n">
        <f aca="false">IF(BR581="LOSE",1,0)</f>
        <v>0</v>
      </c>
      <c r="BU581" s="60" t="n">
        <f aca="false">IF(AND(U581="",OR(P581="",P581="LOSE"),T581&lt;&gt;"",N(S581)&lt;=0,ISNUMBER(MATCH(T581,Parameter!$I$27:$I$29,0))),1,0)</f>
        <v>0</v>
      </c>
      <c r="BV581" s="55" t="str">
        <f aca="false">IF(AND(Parameter!$B$19="Ja",E581&lt;&gt;"",ISNUMBER(MATCH(E581,Parameter!$I$35:$I$52,0))),VLOOKUP(E581,Parameter!$I$35:$J$52,2,0),IFERROR(VLOOKUP(D581,Parameter!$A$35:$C$64,2,0),"Nein"))</f>
        <v>2+3</v>
      </c>
      <c r="BW581" s="59" t="n">
        <f aca="false">IF(BT581=0,0,IF(N(S581)&gt;0,S581,IFERROR(VLOOKUP(D581,Parameter!$A$35:$C$64,3,0)+0,0)))</f>
        <v>0</v>
      </c>
      <c r="BX581" s="55" t="n">
        <f aca="false">IF(AA581&lt;&gt;"",AA581,Z581)</f>
        <v>3</v>
      </c>
      <c r="BY581" s="55" t="str">
        <f aca="false">IF(BX581=1,"L1",IF(OR(BX581=2,BX581=3),"L23",IF(BX581="Aussen","Aussen","-")))</f>
        <v>L23</v>
      </c>
      <c r="BZ581" s="66" t="n">
        <f aca="false">IF(N(AB581)&gt;0,AB581,0)</f>
        <v>0</v>
      </c>
      <c r="CA581" s="60" t="n">
        <f aca="false">IF(ISNUMBER(AE581),1,0)</f>
        <v>0</v>
      </c>
      <c r="CB581" s="57" t="n">
        <f aca="false">N(AE581)</f>
        <v>0</v>
      </c>
      <c r="CC581" s="57" t="n">
        <f aca="false">N(M581)+N(N581)</f>
        <v>5</v>
      </c>
      <c r="CD581" s="57" t="n">
        <f aca="false">ROUNDUP(H581/BS581,0)</f>
        <v>1</v>
      </c>
      <c r="CE581" s="57" t="n">
        <f aca="false">ROUNDUP(CB581/BS581,0)</f>
        <v>0</v>
      </c>
      <c r="CF581" s="60" t="n">
        <f aca="false">IF(BT581=1,0,IFERROR(VLOOKUP(BR581,'Gebinde-Kategorie'!$A$5:$M$45,5,0)+0,0))</f>
        <v>8</v>
      </c>
      <c r="CG581" s="60" t="n">
        <f aca="false">IFERROR(IF(OR(BX581=1,BX581=2,BX581=3),N(INDEX(Parameter!$I$5:$I$7,BX581)),0),0)</f>
        <v>0</v>
      </c>
      <c r="CH581" s="59" t="n">
        <f aca="false">IF(AND(Parameter!$B$21="Ja",ISNUMBER(W581),N(X581)&gt;0),IFERROR(N(INDEX(Parameter!$L$5:$L$7,W581))*INDEX(Parameter!$E$5:$E$7,W581)*X581/SUMIFS($X$7:$X$1843,$W$7:$W$1843,W581),0),0)</f>
        <v>0</v>
      </c>
    </row>
    <row r="582" customFormat="false" ht="15" hidden="false" customHeight="false" outlineLevel="0" collapsed="false">
      <c r="A582" s="55" t="s">
        <v>1220</v>
      </c>
      <c r="B582" s="55" t="s">
        <v>650</v>
      </c>
      <c r="C582" s="55" t="s">
        <v>164</v>
      </c>
      <c r="D582" s="55" t="s">
        <v>184</v>
      </c>
      <c r="E582" s="55" t="s">
        <v>185</v>
      </c>
      <c r="F582" s="55" t="s">
        <v>218</v>
      </c>
      <c r="G582" s="56" t="n">
        <v>9.27</v>
      </c>
      <c r="H582" s="57" t="n">
        <f aca="false">MAX(0,IF(AND(Parameter!$B$21="Ja",ISNUMBER(Y582)),Y582,IF(Parameter!$B$20="Jahresanfang 2025 + Export",BL582+BK582,BK582)))</f>
        <v>110</v>
      </c>
      <c r="I582" s="57" t="n">
        <f aca="false">H582*G582</f>
        <v>1019.7</v>
      </c>
      <c r="J582" s="57" t="n">
        <f aca="false">BN582*Parameter!$B$18</f>
        <v>1</v>
      </c>
      <c r="K582" s="58" t="n">
        <v>110.5</v>
      </c>
      <c r="L582" s="59" t="n">
        <v>0.00904977375565611</v>
      </c>
      <c r="M582" s="57" t="n">
        <v>0</v>
      </c>
      <c r="N582" s="57" t="n">
        <v>1</v>
      </c>
      <c r="O582" s="60" t="n">
        <v>28</v>
      </c>
      <c r="P582" s="55" t="s">
        <v>302</v>
      </c>
      <c r="Q582" s="57" t="n">
        <v>23</v>
      </c>
      <c r="R582" s="60" t="n">
        <f aca="false">IF(BT582=1,0,IFERROR(VLOOKUP(BR582,'Gebinde-Kategorie'!$A$5:$M$45,13,0)+0,0))</f>
        <v>26</v>
      </c>
      <c r="S582" s="61"/>
      <c r="T582" s="62"/>
      <c r="U582" s="62"/>
      <c r="V582" s="62"/>
      <c r="W582" s="55"/>
      <c r="X582" s="57"/>
      <c r="Y582" s="57"/>
      <c r="Z582" s="55" t="n">
        <f aca="false">IF(A582="","",IF(AND(Parameter!$B$21="Ja",ISNUMBER(W582)),W582,IF(BV582="2+3",IF(ISNUMBER(SEARCH("grosser Artikel",BO582)),2,IFERROR(VLOOKUP(BR582,Parameter!$F$35:$G$64,2,0),2)),IF(OR(BV582="Nein",BV582=""),"-",BV582))))</f>
        <v>3</v>
      </c>
      <c r="AA582" s="62"/>
      <c r="AB582" s="63"/>
      <c r="AC582" s="57" t="n">
        <f aca="false">AR582</f>
        <v>23</v>
      </c>
      <c r="AD582" s="57" t="n">
        <f aca="false">MAX(AR582,H582)</f>
        <v>110</v>
      </c>
      <c r="AE582" s="64"/>
      <c r="AF582" s="57" t="n">
        <f aca="false">IF(LEFT(Cockpit!$C$5,1)="A",H582,IF(CA582=1,CB582,IF(LEFT(Cockpit!$C$5,1)="B",AJ582,MAX(AJ582,H582))))</f>
        <v>110</v>
      </c>
      <c r="AG582" s="57" t="n">
        <f aca="false">IF(BT582=1,0,ROUNDUP(AF582/BS582,0))</f>
        <v>5</v>
      </c>
      <c r="AH582" s="59" t="n">
        <f aca="false">IF(CH582&gt;0,CH582*MAX(1,AF582/X582),IF(BT582=1,IF(AF582&lt;=0,0,BW582*MAX(1,IF(H582&gt;0,AF582/H582,1))),IF(R582&gt;0,AG582/R582,0))/MAX(0.1,N(Parameter!$M$21)))</f>
        <v>0.192307692307692</v>
      </c>
      <c r="AI582" s="57" t="n">
        <f aca="false">AF582*G582</f>
        <v>1019.7</v>
      </c>
      <c r="AJ582" s="57" t="n">
        <f aca="false">ROUNDUP(MAX(J582/IF(BZ582&gt;0,BZ582,MAX(0.1,N(Cockpit!$C$6))),CC582)/BS582,0)*BS582</f>
        <v>23</v>
      </c>
      <c r="AK582" s="58" t="n">
        <f aca="false">IF(AH582&gt;0,J582/AH582,-1)</f>
        <v>5.2</v>
      </c>
      <c r="AL582" s="58" t="n">
        <f aca="false">IF(AND(OR(BY582="L1",BY582="L23"),AH582&gt;0),SUMIFS($AH$7:$AH$1843,$BY$7:$BY$1843,BY582,$AK$7:$AK$1843,"&gt;"&amp;AK582)+SUMIFS($AH$7:$AH$1843,$BY$7:$BY$1843,BY582,$AK$7:$AK$1843,AK582,$BQ$7:$BQ$1843,"&lt;="&amp;BQ582),"")</f>
        <v>58.338181142529</v>
      </c>
      <c r="AM582" s="65" t="n">
        <f aca="false">IF(AL582="",0,MAX(0,MIN(1,(IF(BY582="L1",Parameter!$E$5,Parameter!$E$6+Parameter!$E$7)-(AL582-AH582))/AH582)))</f>
        <v>1</v>
      </c>
      <c r="AN582" s="57" t="n">
        <f aca="false">IF(LEFT(Cockpit!$I$5,1)="A",H582,IF(CA582=1,CB582,IF(LEFT(Cockpit!$I$5,1)="B",AR582,MAX(AR582,H582))))</f>
        <v>110</v>
      </c>
      <c r="AO582" s="57" t="n">
        <f aca="false">IF(BT582=1,0,ROUNDUP(AN582/BS582,0))</f>
        <v>5</v>
      </c>
      <c r="AP582" s="59" t="n">
        <f aca="false">IF(CH582&gt;0,CH582*MAX(1,AN582/X582),IF(BT582=1,IF(AN582&lt;=0,0,BW582*MAX(1,IF(H582&gt;0,AN582/H582,1))),IF(R582&gt;0,AO582/R582,0))/MAX(0.1,N(Parameter!$M$21)))</f>
        <v>0.192307692307692</v>
      </c>
      <c r="AQ582" s="57" t="n">
        <f aca="false">AN582*G582</f>
        <v>1019.7</v>
      </c>
      <c r="AR582" s="57" t="n">
        <f aca="false">ROUNDUP(MAX(J582/IF(BZ582&gt;0,BZ582,MAX(0.1,N(Cockpit!$I$6))),CC582)/BS582,0)*BS582</f>
        <v>23</v>
      </c>
      <c r="AS582" s="58" t="n">
        <f aca="false">IF(AP582&gt;0,J582/AP582,-1)</f>
        <v>5.2</v>
      </c>
      <c r="AT582" s="58" t="n">
        <f aca="false">IF(AND(OR(BY582="L1",BY582="L23"),AP582&gt;0),SUMIFS($AP$7:$AP$1843,$BY$7:$BY$1843,BY582,$AS$7:$AS$1843,"&gt;"&amp;AS582)+SUMIFS($AP$7:$AP$1843,$BY$7:$BY$1843,BY582,$AS$7:$AS$1843,AS582,$BQ$7:$BQ$1843,"&lt;="&amp;BQ582),"")</f>
        <v>95.7623053275227</v>
      </c>
      <c r="AU582" s="65" t="n">
        <f aca="false">IF(AT582="",0,MAX(0,MIN(1,(IF(BY582="L1",Parameter!$E$5,Parameter!$E$6+Parameter!$E$7)-(AT582-AP582))/AP582)))</f>
        <v>1</v>
      </c>
      <c r="AV582" s="57" t="n">
        <f aca="false">IF(LEFT(Cockpit!$O$5,1)="A",H582,IF(CA582=1,CB582,IF(LEFT(Cockpit!$O$5,1)="B",AZ582,MAX(AZ582,H582))))</f>
        <v>110</v>
      </c>
      <c r="AW582" s="57" t="n">
        <f aca="false">IF(BT582=1,0,ROUNDUP(AV582/BS582,0))</f>
        <v>5</v>
      </c>
      <c r="AX582" s="59" t="n">
        <f aca="false">IF(CH582&gt;0,CH582*MAX(1,AV582/X582),IF(BT582=1,IF(AV582&lt;=0,0,BW582*MAX(1,IF(H582&gt;0,AV582/H582,1))),IF(R582&gt;0,AW582/R582,0))/MAX(0.1,N(Parameter!$M$21)))</f>
        <v>0.192307692307692</v>
      </c>
      <c r="AY582" s="57" t="n">
        <f aca="false">AV582*G582</f>
        <v>1019.7</v>
      </c>
      <c r="AZ582" s="57" t="n">
        <f aca="false">ROUNDUP(MAX(J582/IF(BZ582&gt;0,BZ582,MAX(0.1,N(Cockpit!$O$6))),CC582)/BS582,0)*BS582</f>
        <v>23</v>
      </c>
      <c r="BA582" s="58" t="n">
        <f aca="false">IF(AX582&gt;0,J582/AX582,-1)</f>
        <v>5.2</v>
      </c>
      <c r="BB582" s="58" t="n">
        <f aca="false">IF(AND(OR(BY582="L1",BY582="L23"),AX582&gt;0),SUMIFS($AX$7:$AX$1843,$BY$7:$BY$1843,BY582,$BA$7:$BA$1843,"&gt;"&amp;BA582)+SUMIFS($AX$7:$AX$1843,$BY$7:$BY$1843,BY582,$BA$7:$BA$1843,BA582,$BQ$7:$BQ$1843,"&lt;="&amp;BQ582),"")</f>
        <v>86.5921421573596</v>
      </c>
      <c r="BC582" s="65" t="n">
        <f aca="false">IF(BB582="",0,MAX(0,MIN(1,(IF(BY582="L1",Parameter!$E$5,Parameter!$E$6+Parameter!$E$7)-(BB582-AX582))/AX582)))</f>
        <v>1</v>
      </c>
      <c r="BD582" s="55" t="str">
        <f aca="false">IF(AH582&lt;=0,"",IF(BY582="Aussen","Aussenlager",IF(BY582="-","Nicht im Lift",IF(AM582&gt;=1,"Lift",IF(AM582&lt;=0,"Aussenlager","teilweise")))))</f>
        <v>Lift</v>
      </c>
      <c r="BE582" s="55" t="str">
        <f aca="false">IF(AP582&lt;=0,"",IF(BY582="Aussen","Aussenlager",IF(BY582="-","Nicht im Lift",IF(AU582&gt;=1,"Lift",IF(AU582&lt;=0,"Aussenlager","teilweise")))))</f>
        <v>Lift</v>
      </c>
      <c r="BF582" s="55" t="str">
        <f aca="false">IF(AX582&lt;=0,"",IF(BY582="Aussen","Aussenlager",IF(BY582="-","Nicht im Lift",IF(BC582&gt;=1,"Lift",IF(BC582&lt;=0,"Aussenlager","teilweise")))))</f>
        <v>Lift</v>
      </c>
      <c r="BG582" s="55" t="str">
        <f aca="false">IF(A582="","",IF(BP582=1,"Neu; ","")&amp;IF(AND(BP582=0,BK582&lt;0),"negativer Bestand (Export "&amp;BK582&amp;"); ","")&amp;IF(J582&lt;=0,"Kein Verbrauch; ","")&amp;IF(CH582&gt;0,"Lift "&amp;W582&amp;" lt. Liftbericht (Fach "&amp;X582&amp;" Stk); ",IF(BU582=1,"Gebinde geschätzt ("&amp;T582&amp;"); ",IF(BT582=1,"Lose – Tablare geschätzt; ","")))&amp;IF(H582&gt;AR582,"Überbestand "&amp;ROUND(H582-AR582,0)&amp;" Stk / CHF "&amp;ROUND((H582-AR582)*G582,0)&amp;"; ","")&amp;IF(AND(CA582=1,CB582&lt;CC582),"MAX &lt; MB+LG; ","")&amp;IF(AND(CG582&gt;0,CF582*10&gt;CG582),"zu hoch für Tablar; ","")&amp;IF(AND(BP582=0,OR(CA582=1,AA582&lt;&gt;"",U582&lt;&gt;"",V582&lt;&gt;"",AB582&lt;&gt;"")),"manuell übersteuert; ","")&amp;IF(AND(BT582=0,R582=0),"Gebinde unbekannt / Stellmass fehlt; ","")&amp;IF(AND(BT582=0,N(V582)&lt;=0,N(Q582)&lt;=0),"Menge pro Gebinde fehlt (Ist = 1 Gebinde); ","")&amp;BO582)</f>
        <v>Überbestand 87 Stk / CHF 806; </v>
      </c>
      <c r="BH582" s="55"/>
      <c r="BI582" s="55"/>
      <c r="BJ582" s="62"/>
      <c r="BK582" s="57" t="n">
        <v>1</v>
      </c>
      <c r="BL582" s="57" t="n">
        <v>109</v>
      </c>
      <c r="BM582" s="56" t="n">
        <v>9.27</v>
      </c>
      <c r="BN582" s="57" t="n">
        <v>1</v>
      </c>
      <c r="BO582" s="55"/>
      <c r="BP582" s="60" t="n">
        <v>0</v>
      </c>
      <c r="BQ582" s="60" t="n">
        <v>582</v>
      </c>
      <c r="BR582" s="55" t="str">
        <f aca="false">IF(U582&lt;&gt;"",UPPER(TRIM(U582)),IF(BU582=1,UPPER(VLOOKUP(T582,Parameter!$I$27:$K$29,2,0)),IF(P582="","LOSE",P582)))</f>
        <v>S51</v>
      </c>
      <c r="BS582" s="57" t="n">
        <f aca="false">IF(BR582="LOSE",1,IF(N(V582)&gt;0,V582,IF(BU582=1,MAX(1,N(VLOOKUP(T582,Parameter!$I$27:$K$29,3,0)),H582,N(N582)),IF(N(Q582)&gt;0,Q582,MAX(1,H582)))))</f>
        <v>23</v>
      </c>
      <c r="BT582" s="60" t="n">
        <f aca="false">IF(BR582="LOSE",1,0)</f>
        <v>0</v>
      </c>
      <c r="BU582" s="60" t="n">
        <f aca="false">IF(AND(U582="",OR(P582="",P582="LOSE"),T582&lt;&gt;"",N(S582)&lt;=0,ISNUMBER(MATCH(T582,Parameter!$I$27:$I$29,0))),1,0)</f>
        <v>0</v>
      </c>
      <c r="BV582" s="55" t="str">
        <f aca="false">IF(AND(Parameter!$B$19="Ja",E582&lt;&gt;"",ISNUMBER(MATCH(E582,Parameter!$I$35:$I$52,0))),VLOOKUP(E582,Parameter!$I$35:$J$52,2,0),IFERROR(VLOOKUP(D582,Parameter!$A$35:$C$64,2,0),"Nein"))</f>
        <v>2+3</v>
      </c>
      <c r="BW582" s="59" t="n">
        <f aca="false">IF(BT582=0,0,IF(N(S582)&gt;0,S582,IFERROR(VLOOKUP(D582,Parameter!$A$35:$C$64,3,0)+0,0)))</f>
        <v>0</v>
      </c>
      <c r="BX582" s="55" t="n">
        <f aca="false">IF(AA582&lt;&gt;"",AA582,Z582)</f>
        <v>3</v>
      </c>
      <c r="BY582" s="55" t="str">
        <f aca="false">IF(BX582=1,"L1",IF(OR(BX582=2,BX582=3),"L23",IF(BX582="Aussen","Aussen","-")))</f>
        <v>L23</v>
      </c>
      <c r="BZ582" s="66" t="n">
        <f aca="false">IF(N(AB582)&gt;0,AB582,0)</f>
        <v>0</v>
      </c>
      <c r="CA582" s="60" t="n">
        <f aca="false">IF(ISNUMBER(AE582),1,0)</f>
        <v>0</v>
      </c>
      <c r="CB582" s="57" t="n">
        <f aca="false">N(AE582)</f>
        <v>0</v>
      </c>
      <c r="CC582" s="57" t="n">
        <f aca="false">N(M582)+N(N582)</f>
        <v>1</v>
      </c>
      <c r="CD582" s="57" t="n">
        <f aca="false">ROUNDUP(H582/BS582,0)</f>
        <v>5</v>
      </c>
      <c r="CE582" s="57" t="n">
        <f aca="false">ROUNDUP(CB582/BS582,0)</f>
        <v>0</v>
      </c>
      <c r="CF582" s="60" t="n">
        <f aca="false">IF(BT582=1,0,IFERROR(VLOOKUP(BR582,'Gebinde-Kategorie'!$A$5:$M$45,5,0)+0,0))</f>
        <v>11</v>
      </c>
      <c r="CG582" s="60" t="n">
        <f aca="false">IFERROR(IF(OR(BX582=1,BX582=2,BX582=3),N(INDEX(Parameter!$I$5:$I$7,BX582)),0),0)</f>
        <v>0</v>
      </c>
      <c r="CH582" s="59" t="n">
        <f aca="false">IF(AND(Parameter!$B$21="Ja",ISNUMBER(W582),N(X582)&gt;0),IFERROR(N(INDEX(Parameter!$L$5:$L$7,W582))*INDEX(Parameter!$E$5:$E$7,W582)*X582/SUMIFS($X$7:$X$1843,$W$7:$W$1843,W582),0),0)</f>
        <v>0</v>
      </c>
    </row>
    <row r="583" customFormat="false" ht="15" hidden="false" customHeight="false" outlineLevel="0" collapsed="false">
      <c r="A583" s="55" t="s">
        <v>1221</v>
      </c>
      <c r="B583" s="55" t="s">
        <v>1222</v>
      </c>
      <c r="C583" s="55" t="s">
        <v>164</v>
      </c>
      <c r="D583" s="55" t="s">
        <v>173</v>
      </c>
      <c r="E583" s="55"/>
      <c r="F583" s="55" t="s">
        <v>218</v>
      </c>
      <c r="G583" s="56" t="n">
        <v>0.53</v>
      </c>
      <c r="H583" s="57" t="n">
        <f aca="false">MAX(0,IF(AND(Parameter!$B$21="Ja",ISNUMBER(Y583)),Y583,IF(Parameter!$B$20="Jahresanfang 2025 + Export",BL583+BK583,BK583)))</f>
        <v>17</v>
      </c>
      <c r="I583" s="57" t="n">
        <f aca="false">H583*G583</f>
        <v>9.01</v>
      </c>
      <c r="J583" s="57" t="n">
        <f aca="false">BN583*Parameter!$B$18</f>
        <v>2</v>
      </c>
      <c r="K583" s="58" t="n">
        <v>0</v>
      </c>
      <c r="L583" s="59" t="n">
        <v>0</v>
      </c>
      <c r="M583" s="57" t="n">
        <v>0</v>
      </c>
      <c r="N583" s="57" t="n">
        <v>1</v>
      </c>
      <c r="O583" s="60" t="n">
        <v>31</v>
      </c>
      <c r="P583" s="55" t="s">
        <v>168</v>
      </c>
      <c r="Q583" s="57"/>
      <c r="R583" s="60" t="n">
        <f aca="false">IF(BT583=1,0,IFERROR(VLOOKUP(BR583,'Gebinde-Kategorie'!$A$5:$M$45,13,0)+0,0))</f>
        <v>12</v>
      </c>
      <c r="S583" s="61"/>
      <c r="T583" s="62" t="s">
        <v>179</v>
      </c>
      <c r="U583" s="62"/>
      <c r="V583" s="62"/>
      <c r="W583" s="55"/>
      <c r="X583" s="57"/>
      <c r="Y583" s="57"/>
      <c r="Z583" s="55" t="n">
        <f aca="false">IF(A583="","",IF(AND(Parameter!$B$21="Ja",ISNUMBER(W583)),W583,IF(BV583="2+3",IF(ISNUMBER(SEARCH("grosser Artikel",BO583)),2,IFERROR(VLOOKUP(BR583,Parameter!$F$35:$G$64,2,0),2)),IF(OR(BV583="Nein",BV583=""),"-",BV583))))</f>
        <v>2</v>
      </c>
      <c r="AA583" s="62"/>
      <c r="AB583" s="63"/>
      <c r="AC583" s="57" t="n">
        <f aca="false">AR583</f>
        <v>17</v>
      </c>
      <c r="AD583" s="57" t="n">
        <f aca="false">MAX(AR583,H583)</f>
        <v>17</v>
      </c>
      <c r="AE583" s="64"/>
      <c r="AF583" s="57" t="n">
        <f aca="false">IF(LEFT(Cockpit!$C$5,1)="A",H583,IF(CA583=1,CB583,IF(LEFT(Cockpit!$C$5,1)="B",AJ583,MAX(AJ583,H583))))</f>
        <v>17</v>
      </c>
      <c r="AG583" s="57" t="n">
        <f aca="false">IF(BT583=1,0,ROUNDUP(AF583/BS583,0))</f>
        <v>1</v>
      </c>
      <c r="AH583" s="59" t="n">
        <f aca="false">IF(CH583&gt;0,CH583*MAX(1,AF583/X583),IF(BT583=1,IF(AF583&lt;=0,0,BW583*MAX(1,IF(H583&gt;0,AF583/H583,1))),IF(R583&gt;0,AG583/R583,0))/MAX(0.1,N(Parameter!$M$21)))</f>
        <v>0.0833333333333333</v>
      </c>
      <c r="AI583" s="57" t="n">
        <f aca="false">AF583*G583</f>
        <v>9.01</v>
      </c>
      <c r="AJ583" s="57" t="n">
        <f aca="false">ROUNDUP(MAX(J583/IF(BZ583&gt;0,BZ583,MAX(0.1,N(Cockpit!$C$6))),CC583)/BS583,0)*BS583</f>
        <v>17</v>
      </c>
      <c r="AK583" s="58" t="n">
        <f aca="false">IF(AH583&gt;0,J583/AH583,-1)</f>
        <v>24</v>
      </c>
      <c r="AL583" s="58" t="n">
        <f aca="false">IF(AND(OR(BY583="L1",BY583="L23"),AH583&gt;0),SUMIFS($AH$7:$AH$1843,$BY$7:$BY$1843,BY583,$AK$7:$AK$1843,"&gt;"&amp;AK583)+SUMIFS($AH$7:$AH$1843,$BY$7:$BY$1843,BY583,$AK$7:$AK$1843,AK583,$BQ$7:$BQ$1843,"&lt;="&amp;BQ583),"")</f>
        <v>49.588181142529</v>
      </c>
      <c r="AM583" s="65" t="n">
        <f aca="false">IF(AL583="",0,MAX(0,MIN(1,(IF(BY583="L1",Parameter!$E$5,Parameter!$E$6+Parameter!$E$7)-(AL583-AH583))/AH583)))</f>
        <v>1</v>
      </c>
      <c r="AN583" s="57" t="n">
        <f aca="false">IF(LEFT(Cockpit!$I$5,1)="A",H583,IF(CA583=1,CB583,IF(LEFT(Cockpit!$I$5,1)="B",AR583,MAX(AR583,H583))))</f>
        <v>17</v>
      </c>
      <c r="AO583" s="57" t="n">
        <f aca="false">IF(BT583=1,0,ROUNDUP(AN583/BS583,0))</f>
        <v>1</v>
      </c>
      <c r="AP583" s="59" t="n">
        <f aca="false">IF(CH583&gt;0,CH583*MAX(1,AN583/X583),IF(BT583=1,IF(AN583&lt;=0,0,BW583*MAX(1,IF(H583&gt;0,AN583/H583,1))),IF(R583&gt;0,AO583/R583,0))/MAX(0.1,N(Parameter!$M$21)))</f>
        <v>0.0833333333333333</v>
      </c>
      <c r="AQ583" s="57" t="n">
        <f aca="false">AN583*G583</f>
        <v>9.01</v>
      </c>
      <c r="AR583" s="57" t="n">
        <f aca="false">ROUNDUP(MAX(J583/IF(BZ583&gt;0,BZ583,MAX(0.1,N(Cockpit!$I$6))),CC583)/BS583,0)*BS583</f>
        <v>17</v>
      </c>
      <c r="AS583" s="58" t="n">
        <f aca="false">IF(AP583&gt;0,J583/AP583,-1)</f>
        <v>24</v>
      </c>
      <c r="AT583" s="58" t="n">
        <f aca="false">IF(AND(OR(BY583="L1",BY583="L23"),AP583&gt;0),SUMIFS($AP$7:$AP$1843,$BY$7:$BY$1843,BY583,$AS$7:$AS$1843,"&gt;"&amp;AS583)+SUMIFS($AP$7:$AP$1843,$BY$7:$BY$1843,BY583,$AS$7:$AS$1843,AS583,$BQ$7:$BQ$1843,"&lt;="&amp;BQ583),"")</f>
        <v>74.7623053275227</v>
      </c>
      <c r="AU583" s="65" t="n">
        <f aca="false">IF(AT583="",0,MAX(0,MIN(1,(IF(BY583="L1",Parameter!$E$5,Parameter!$E$6+Parameter!$E$7)-(AT583-AP583))/AP583)))</f>
        <v>1</v>
      </c>
      <c r="AV583" s="57" t="n">
        <f aca="false">IF(LEFT(Cockpit!$O$5,1)="A",H583,IF(CA583=1,CB583,IF(LEFT(Cockpit!$O$5,1)="B",AZ583,MAX(AZ583,H583))))</f>
        <v>17</v>
      </c>
      <c r="AW583" s="57" t="n">
        <f aca="false">IF(BT583=1,0,ROUNDUP(AV583/BS583,0))</f>
        <v>1</v>
      </c>
      <c r="AX583" s="59" t="n">
        <f aca="false">IF(CH583&gt;0,CH583*MAX(1,AV583/X583),IF(BT583=1,IF(AV583&lt;=0,0,BW583*MAX(1,IF(H583&gt;0,AV583/H583,1))),IF(R583&gt;0,AW583/R583,0))/MAX(0.1,N(Parameter!$M$21)))</f>
        <v>0.0833333333333333</v>
      </c>
      <c r="AY583" s="57" t="n">
        <f aca="false">AV583*G583</f>
        <v>9.01</v>
      </c>
      <c r="AZ583" s="57" t="n">
        <f aca="false">ROUNDUP(MAX(J583/IF(BZ583&gt;0,BZ583,MAX(0.1,N(Cockpit!$O$6))),CC583)/BS583,0)*BS583</f>
        <v>17</v>
      </c>
      <c r="BA583" s="58" t="n">
        <f aca="false">IF(AX583&gt;0,J583/AX583,-1)</f>
        <v>24</v>
      </c>
      <c r="BB583" s="58" t="n">
        <f aca="false">IF(AND(OR(BY583="L1",BY583="L23"),AX583&gt;0),SUMIFS($AX$7:$AX$1843,$BY$7:$BY$1843,BY583,$BA$7:$BA$1843,"&gt;"&amp;BA583)+SUMIFS($AX$7:$AX$1843,$BY$7:$BY$1843,BY583,$BA$7:$BA$1843,BA583,$BQ$7:$BQ$1843,"&lt;="&amp;BQ583),"")</f>
        <v>70.2588088240262</v>
      </c>
      <c r="BC583" s="65" t="n">
        <f aca="false">IF(BB583="",0,MAX(0,MIN(1,(IF(BY583="L1",Parameter!$E$5,Parameter!$E$6+Parameter!$E$7)-(BB583-AX583))/AX583)))</f>
        <v>1</v>
      </c>
      <c r="BD583" s="55" t="str">
        <f aca="false">IF(AH583&lt;=0,"",IF(BY583="Aussen","Aussenlager",IF(BY583="-","Nicht im Lift",IF(AM583&gt;=1,"Lift",IF(AM583&lt;=0,"Aussenlager","teilweise")))))</f>
        <v>Lift</v>
      </c>
      <c r="BE583" s="55" t="str">
        <f aca="false">IF(AP583&lt;=0,"",IF(BY583="Aussen","Aussenlager",IF(BY583="-","Nicht im Lift",IF(AU583&gt;=1,"Lift",IF(AU583&lt;=0,"Aussenlager","teilweise")))))</f>
        <v>Lift</v>
      </c>
      <c r="BF583" s="55" t="str">
        <f aca="false">IF(AX583&lt;=0,"",IF(BY583="Aussen","Aussenlager",IF(BY583="-","Nicht im Lift",IF(BC583&gt;=1,"Lift",IF(BC583&lt;=0,"Aussenlager","teilweise")))))</f>
        <v>Lift</v>
      </c>
      <c r="BG583" s="55" t="str">
        <f aca="false">IF(A583="","",IF(BP583=1,"Neu; ","")&amp;IF(AND(BP583=0,BK583&lt;0),"negativer Bestand (Export "&amp;BK583&amp;"); ","")&amp;IF(J583&lt;=0,"Kein Verbrauch; ","")&amp;IF(CH583&gt;0,"Lift "&amp;W583&amp;" lt. Liftbericht (Fach "&amp;X583&amp;" Stk); ",IF(BU583=1,"Gebinde geschätzt ("&amp;T583&amp;"); ",IF(BT583=1,"Lose – Tablare geschätzt; ","")))&amp;IF(H583&gt;AR583,"Überbestand "&amp;ROUND(H583-AR583,0)&amp;" Stk / CHF "&amp;ROUND((H583-AR583)*G583,0)&amp;"; ","")&amp;IF(AND(CA583=1,CB583&lt;CC583),"MAX &lt; MB+LG; ","")&amp;IF(AND(CG583&gt;0,CF583*10&gt;CG583),"zu hoch für Tablar; ","")&amp;IF(AND(BP583=0,OR(CA583=1,AA583&lt;&gt;"",U583&lt;&gt;"",V583&lt;&gt;"",AB583&lt;&gt;"")),"manuell übersteuert; ","")&amp;IF(AND(BT583=0,R583=0),"Gebinde unbekannt / Stellmass fehlt; ","")&amp;IF(AND(BT583=0,N(V583)&lt;=0,N(Q583)&lt;=0),"Menge pro Gebinde fehlt (Ist = 1 Gebinde); ","")&amp;BO583)</f>
        <v>Gebinde geschätzt (Mittel); Menge pro Gebinde fehlt (Ist = 1 Gebinde); </v>
      </c>
      <c r="BH583" s="55"/>
      <c r="BI583" s="55"/>
      <c r="BJ583" s="62"/>
      <c r="BK583" s="57" t="n">
        <v>17</v>
      </c>
      <c r="BL583" s="57" t="n">
        <v>0</v>
      </c>
      <c r="BM583" s="56" t="n">
        <v>9.01</v>
      </c>
      <c r="BN583" s="57" t="n">
        <v>2</v>
      </c>
      <c r="BO583" s="55"/>
      <c r="BP583" s="60" t="n">
        <v>0</v>
      </c>
      <c r="BQ583" s="60" t="n">
        <v>583</v>
      </c>
      <c r="BR583" s="55" t="str">
        <f aca="false">IF(U583&lt;&gt;"",UPPER(TRIM(U583)),IF(BU583=1,UPPER(VLOOKUP(T583,Parameter!$I$27:$K$29,2,0)),IF(P583="","LOSE",P583)))</f>
        <v>S61</v>
      </c>
      <c r="BS583" s="57" t="n">
        <f aca="false">IF(BR583="LOSE",1,IF(N(V583)&gt;0,V583,IF(BU583=1,MAX(1,N(VLOOKUP(T583,Parameter!$I$27:$K$29,3,0)),H583,N(N583)),IF(N(Q583)&gt;0,Q583,MAX(1,H583)))))</f>
        <v>17</v>
      </c>
      <c r="BT583" s="60" t="n">
        <f aca="false">IF(BR583="LOSE",1,0)</f>
        <v>0</v>
      </c>
      <c r="BU583" s="60" t="n">
        <f aca="false">IF(AND(U583="",OR(P583="",P583="LOSE"),T583&lt;&gt;"",N(S583)&lt;=0,ISNUMBER(MATCH(T583,Parameter!$I$27:$I$29,0))),1,0)</f>
        <v>1</v>
      </c>
      <c r="BV583" s="55" t="str">
        <f aca="false">IF(AND(Parameter!$B$19="Ja",E583&lt;&gt;"",ISNUMBER(MATCH(E583,Parameter!$I$35:$I$52,0))),VLOOKUP(E583,Parameter!$I$35:$J$52,2,0),IFERROR(VLOOKUP(D583,Parameter!$A$35:$C$64,2,0),"Nein"))</f>
        <v>2+3</v>
      </c>
      <c r="BW583" s="59" t="n">
        <f aca="false">IF(BT583=0,0,IF(N(S583)&gt;0,S583,IFERROR(VLOOKUP(D583,Parameter!$A$35:$C$64,3,0)+0,0)))</f>
        <v>0</v>
      </c>
      <c r="BX583" s="55" t="n">
        <f aca="false">IF(AA583&lt;&gt;"",AA583,Z583)</f>
        <v>2</v>
      </c>
      <c r="BY583" s="55" t="str">
        <f aca="false">IF(BX583=1,"L1",IF(OR(BX583=2,BX583=3),"L23",IF(BX583="Aussen","Aussen","-")))</f>
        <v>L23</v>
      </c>
      <c r="BZ583" s="66" t="n">
        <f aca="false">IF(N(AB583)&gt;0,AB583,0)</f>
        <v>0</v>
      </c>
      <c r="CA583" s="60" t="n">
        <f aca="false">IF(ISNUMBER(AE583),1,0)</f>
        <v>0</v>
      </c>
      <c r="CB583" s="57" t="n">
        <f aca="false">N(AE583)</f>
        <v>0</v>
      </c>
      <c r="CC583" s="57" t="n">
        <f aca="false">N(M583)+N(N583)</f>
        <v>1</v>
      </c>
      <c r="CD583" s="57" t="n">
        <f aca="false">ROUNDUP(H583/BS583,0)</f>
        <v>1</v>
      </c>
      <c r="CE583" s="57" t="n">
        <f aca="false">ROUNDUP(CB583/BS583,0)</f>
        <v>0</v>
      </c>
      <c r="CF583" s="60" t="n">
        <f aca="false">IF(BT583=1,0,IFERROR(VLOOKUP(BR583,'Gebinde-Kategorie'!$A$5:$M$45,5,0)+0,0))</f>
        <v>11</v>
      </c>
      <c r="CG583" s="60" t="n">
        <f aca="false">IFERROR(IF(OR(BX583=1,BX583=2,BX583=3),N(INDEX(Parameter!$I$5:$I$7,BX583)),0),0)</f>
        <v>0</v>
      </c>
      <c r="CH583" s="59" t="n">
        <f aca="false">IF(AND(Parameter!$B$21="Ja",ISNUMBER(W583),N(X583)&gt;0),IFERROR(N(INDEX(Parameter!$L$5:$L$7,W583))*INDEX(Parameter!$E$5:$E$7,W583)*X583/SUMIFS($X$7:$X$1843,$W$7:$W$1843,W583),0),0)</f>
        <v>0</v>
      </c>
    </row>
    <row r="584" customFormat="false" ht="15" hidden="false" customHeight="false" outlineLevel="0" collapsed="false">
      <c r="A584" s="55" t="s">
        <v>1223</v>
      </c>
      <c r="B584" s="55" t="s">
        <v>468</v>
      </c>
      <c r="C584" s="55" t="s">
        <v>164</v>
      </c>
      <c r="D584" s="55" t="s">
        <v>184</v>
      </c>
      <c r="E584" s="55" t="s">
        <v>185</v>
      </c>
      <c r="F584" s="55" t="s">
        <v>218</v>
      </c>
      <c r="G584" s="56" t="n">
        <v>0.1</v>
      </c>
      <c r="H584" s="57" t="n">
        <f aca="false">MAX(0,IF(AND(Parameter!$B$21="Ja",ISNUMBER(Y584)),Y584,IF(Parameter!$B$20="Jahresanfang 2025 + Export",BL584+BK584,BK584)))</f>
        <v>389</v>
      </c>
      <c r="I584" s="57" t="n">
        <f aca="false">H584*G584</f>
        <v>38.9</v>
      </c>
      <c r="J584" s="57" t="n">
        <f aca="false">BN584*Parameter!$B$18</f>
        <v>620</v>
      </c>
      <c r="K584" s="58" t="n">
        <v>480.5</v>
      </c>
      <c r="L584" s="59" t="n">
        <v>1.29032258064516</v>
      </c>
      <c r="M584" s="57" t="n">
        <v>48</v>
      </c>
      <c r="N584" s="57" t="n">
        <v>620</v>
      </c>
      <c r="O584" s="60" t="n">
        <v>28</v>
      </c>
      <c r="P584" s="55" t="s">
        <v>426</v>
      </c>
      <c r="Q584" s="57" t="n">
        <v>177</v>
      </c>
      <c r="R584" s="60" t="n">
        <f aca="false">IF(BT584=1,0,IFERROR(VLOOKUP(BR584,'Gebinde-Kategorie'!$A$5:$M$45,13,0)+0,0))</f>
        <v>198</v>
      </c>
      <c r="S584" s="61"/>
      <c r="T584" s="62"/>
      <c r="U584" s="62"/>
      <c r="V584" s="62"/>
      <c r="W584" s="55"/>
      <c r="X584" s="57"/>
      <c r="Y584" s="57"/>
      <c r="Z584" s="55" t="n">
        <f aca="false">IF(A584="","",IF(AND(Parameter!$B$21="Ja",ISNUMBER(W584)),W584,IF(BV584="2+3",IF(ISNUMBER(SEARCH("grosser Artikel",BO584)),2,IFERROR(VLOOKUP(BR584,Parameter!$F$35:$G$64,2,0),2)),IF(OR(BV584="Nein",BV584=""),"-",BV584))))</f>
        <v>3</v>
      </c>
      <c r="AA584" s="62"/>
      <c r="AB584" s="63"/>
      <c r="AC584" s="57" t="n">
        <f aca="false">AR584</f>
        <v>708</v>
      </c>
      <c r="AD584" s="57" t="n">
        <f aca="false">MAX(AR584,H584)</f>
        <v>708</v>
      </c>
      <c r="AE584" s="64"/>
      <c r="AF584" s="57" t="n">
        <f aca="false">IF(LEFT(Cockpit!$C$5,1)="A",H584,IF(CA584=1,CB584,IF(LEFT(Cockpit!$C$5,1)="B",AJ584,MAX(AJ584,H584))))</f>
        <v>389</v>
      </c>
      <c r="AG584" s="57" t="n">
        <f aca="false">IF(BT584=1,0,ROUNDUP(AF584/BS584,0))</f>
        <v>3</v>
      </c>
      <c r="AH584" s="59" t="n">
        <f aca="false">IF(CH584&gt;0,CH584*MAX(1,AF584/X584),IF(BT584=1,IF(AF584&lt;=0,0,BW584*MAX(1,IF(H584&gt;0,AF584/H584,1))),IF(R584&gt;0,AG584/R584,0))/MAX(0.1,N(Parameter!$M$21)))</f>
        <v>0.0151515151515152</v>
      </c>
      <c r="AI584" s="57" t="n">
        <f aca="false">AF584*G584</f>
        <v>38.9</v>
      </c>
      <c r="AJ584" s="57" t="n">
        <f aca="false">ROUNDUP(MAX(J584/IF(BZ584&gt;0,BZ584,MAX(0.1,N(Cockpit!$C$6))),CC584)/BS584,0)*BS584</f>
        <v>708</v>
      </c>
      <c r="AK584" s="58" t="n">
        <f aca="false">IF(AH584&gt;0,J584/AH584,-1)</f>
        <v>40920</v>
      </c>
      <c r="AL584" s="58" t="n">
        <f aca="false">IF(AND(OR(BY584="L1",BY584="L23"),AH584&gt;0),SUMIFS($AH$7:$AH$1843,$BY$7:$BY$1843,BY584,$AK$7:$AK$1843,"&gt;"&amp;AK584)+SUMIFS($AH$7:$AH$1843,$BY$7:$BY$1843,BY584,$AK$7:$AK$1843,AK584,$BQ$7:$BQ$1843,"&lt;="&amp;BQ584),"")</f>
        <v>2.07195702847877</v>
      </c>
      <c r="AM584" s="65" t="n">
        <f aca="false">IF(AL584="",0,MAX(0,MIN(1,(IF(BY584="L1",Parameter!$E$5,Parameter!$E$6+Parameter!$E$7)-(AL584-AH584))/AH584)))</f>
        <v>1</v>
      </c>
      <c r="AN584" s="57" t="n">
        <f aca="false">IF(LEFT(Cockpit!$I$5,1)="A",H584,IF(CA584=1,CB584,IF(LEFT(Cockpit!$I$5,1)="B",AR584,MAX(AR584,H584))))</f>
        <v>708</v>
      </c>
      <c r="AO584" s="57" t="n">
        <f aca="false">IF(BT584=1,0,ROUNDUP(AN584/BS584,0))</f>
        <v>4</v>
      </c>
      <c r="AP584" s="59" t="n">
        <f aca="false">IF(CH584&gt;0,CH584*MAX(1,AN584/X584),IF(BT584=1,IF(AN584&lt;=0,0,BW584*MAX(1,IF(H584&gt;0,AN584/H584,1))),IF(R584&gt;0,AO584/R584,0))/MAX(0.1,N(Parameter!$M$21)))</f>
        <v>0.0202020202020202</v>
      </c>
      <c r="AQ584" s="57" t="n">
        <f aca="false">AN584*G584</f>
        <v>70.8</v>
      </c>
      <c r="AR584" s="57" t="n">
        <f aca="false">ROUNDUP(MAX(J584/IF(BZ584&gt;0,BZ584,MAX(0.1,N(Cockpit!$I$6))),CC584)/BS584,0)*BS584</f>
        <v>708</v>
      </c>
      <c r="AS584" s="58" t="n">
        <f aca="false">IF(AP584&gt;0,J584/AP584,-1)</f>
        <v>30690</v>
      </c>
      <c r="AT584" s="58" t="n">
        <f aca="false">IF(AND(OR(BY584="L1",BY584="L23"),AP584&gt;0),SUMIFS($AP$7:$AP$1843,$BY$7:$BY$1843,BY584,$AS$7:$AS$1843,"&gt;"&amp;AS584)+SUMIFS($AP$7:$AP$1843,$BY$7:$BY$1843,BY584,$AS$7:$AS$1843,AS584,$BQ$7:$BQ$1843,"&lt;="&amp;BQ584),"")</f>
        <v>2.88747846356542</v>
      </c>
      <c r="AU584" s="65" t="n">
        <f aca="false">IF(AT584="",0,MAX(0,MIN(1,(IF(BY584="L1",Parameter!$E$5,Parameter!$E$6+Parameter!$E$7)-(AT584-AP584))/AP584)))</f>
        <v>1</v>
      </c>
      <c r="AV584" s="57" t="n">
        <f aca="false">IF(LEFT(Cockpit!$O$5,1)="A",H584,IF(CA584=1,CB584,IF(LEFT(Cockpit!$O$5,1)="B",AZ584,MAX(AZ584,H584))))</f>
        <v>708</v>
      </c>
      <c r="AW584" s="57" t="n">
        <f aca="false">IF(BT584=1,0,ROUNDUP(AV584/BS584,0))</f>
        <v>4</v>
      </c>
      <c r="AX584" s="59" t="n">
        <f aca="false">IF(CH584&gt;0,CH584*MAX(1,AV584/X584),IF(BT584=1,IF(AV584&lt;=0,0,BW584*MAX(1,IF(H584&gt;0,AV584/H584,1))),IF(R584&gt;0,AW584/R584,0))/MAX(0.1,N(Parameter!$M$21)))</f>
        <v>0.0202020202020202</v>
      </c>
      <c r="AY584" s="57" t="n">
        <f aca="false">AV584*G584</f>
        <v>70.8</v>
      </c>
      <c r="AZ584" s="57" t="n">
        <f aca="false">ROUNDUP(MAX(J584/IF(BZ584&gt;0,BZ584,MAX(0.1,N(Cockpit!$O$6))),CC584)/BS584,0)*BS584</f>
        <v>708</v>
      </c>
      <c r="BA584" s="58" t="n">
        <f aca="false">IF(AX584&gt;0,J584/AX584,-1)</f>
        <v>30690</v>
      </c>
      <c r="BB584" s="58" t="n">
        <f aca="false">IF(AND(OR(BY584="L1",BY584="L23"),AX584&gt;0),SUMIFS($AX$7:$AX$1843,$BY$7:$BY$1843,BY584,$BA$7:$BA$1843,"&gt;"&amp;BA584)+SUMIFS($AX$7:$AX$1843,$BY$7:$BY$1843,BY584,$BA$7:$BA$1843,BA584,$BQ$7:$BQ$1843,"&lt;="&amp;BQ584),"")</f>
        <v>2.65554373163069</v>
      </c>
      <c r="BC584" s="65" t="n">
        <f aca="false">IF(BB584="",0,MAX(0,MIN(1,(IF(BY584="L1",Parameter!$E$5,Parameter!$E$6+Parameter!$E$7)-(BB584-AX584))/AX584)))</f>
        <v>1</v>
      </c>
      <c r="BD584" s="55" t="str">
        <f aca="false">IF(AH584&lt;=0,"",IF(BY584="Aussen","Aussenlager",IF(BY584="-","Nicht im Lift",IF(AM584&gt;=1,"Lift",IF(AM584&lt;=0,"Aussenlager","teilweise")))))</f>
        <v>Lift</v>
      </c>
      <c r="BE584" s="55" t="str">
        <f aca="false">IF(AP584&lt;=0,"",IF(BY584="Aussen","Aussenlager",IF(BY584="-","Nicht im Lift",IF(AU584&gt;=1,"Lift",IF(AU584&lt;=0,"Aussenlager","teilweise")))))</f>
        <v>Lift</v>
      </c>
      <c r="BF584" s="55" t="str">
        <f aca="false">IF(AX584&lt;=0,"",IF(BY584="Aussen","Aussenlager",IF(BY584="-","Nicht im Lift",IF(BC584&gt;=1,"Lift",IF(BC584&lt;=0,"Aussenlager","teilweise")))))</f>
        <v>Lift</v>
      </c>
      <c r="BG584" s="55" t="str">
        <f aca="false">IF(A584="","",IF(BP584=1,"Neu; ","")&amp;IF(AND(BP584=0,BK584&lt;0),"negativer Bestand (Export "&amp;BK584&amp;"); ","")&amp;IF(J584&lt;=0,"Kein Verbrauch; ","")&amp;IF(CH584&gt;0,"Lift "&amp;W584&amp;" lt. Liftbericht (Fach "&amp;X584&amp;" Stk); ",IF(BU584=1,"Gebinde geschätzt ("&amp;T584&amp;"); ",IF(BT584=1,"Lose – Tablare geschätzt; ","")))&amp;IF(H584&gt;AR584,"Überbestand "&amp;ROUND(H584-AR584,0)&amp;" Stk / CHF "&amp;ROUND((H584-AR584)*G584,0)&amp;"; ","")&amp;IF(AND(CA584=1,CB584&lt;CC584),"MAX &lt; MB+LG; ","")&amp;IF(AND(CG584&gt;0,CF584*10&gt;CG584),"zu hoch für Tablar; ","")&amp;IF(AND(BP584=0,OR(CA584=1,AA584&lt;&gt;"",U584&lt;&gt;"",V584&lt;&gt;"",AB584&lt;&gt;"")),"manuell übersteuert; ","")&amp;IF(AND(BT584=0,R584=0),"Gebinde unbekannt / Stellmass fehlt; ","")&amp;IF(AND(BT584=0,N(V584)&lt;=0,N(Q584)&lt;=0),"Menge pro Gebinde fehlt (Ist = 1 Gebinde); ","")&amp;BO584)</f>
        <v/>
      </c>
      <c r="BH584" s="55"/>
      <c r="BI584" s="55"/>
      <c r="BJ584" s="62"/>
      <c r="BK584" s="57" t="n">
        <v>88</v>
      </c>
      <c r="BL584" s="57" t="n">
        <v>301</v>
      </c>
      <c r="BM584" s="56" t="n">
        <v>8.8</v>
      </c>
      <c r="BN584" s="57" t="n">
        <v>620</v>
      </c>
      <c r="BO584" s="55"/>
      <c r="BP584" s="60" t="n">
        <v>0</v>
      </c>
      <c r="BQ584" s="60" t="n">
        <v>584</v>
      </c>
      <c r="BR584" s="55" t="str">
        <f aca="false">IF(U584&lt;&gt;"",UPPER(TRIM(U584)),IF(BU584=1,UPPER(VLOOKUP(T584,Parameter!$I$27:$K$29,2,0)),IF(P584="","LOSE",P584)))</f>
        <v>S22</v>
      </c>
      <c r="BS584" s="57" t="n">
        <f aca="false">IF(BR584="LOSE",1,IF(N(V584)&gt;0,V584,IF(BU584=1,MAX(1,N(VLOOKUP(T584,Parameter!$I$27:$K$29,3,0)),H584,N(N584)),IF(N(Q584)&gt;0,Q584,MAX(1,H584)))))</f>
        <v>177</v>
      </c>
      <c r="BT584" s="60" t="n">
        <f aca="false">IF(BR584="LOSE",1,0)</f>
        <v>0</v>
      </c>
      <c r="BU584" s="60" t="n">
        <f aca="false">IF(AND(U584="",OR(P584="",P584="LOSE"),T584&lt;&gt;"",N(S584)&lt;=0,ISNUMBER(MATCH(T584,Parameter!$I$27:$I$29,0))),1,0)</f>
        <v>0</v>
      </c>
      <c r="BV584" s="55" t="str">
        <f aca="false">IF(AND(Parameter!$B$19="Ja",E584&lt;&gt;"",ISNUMBER(MATCH(E584,Parameter!$I$35:$I$52,0))),VLOOKUP(E584,Parameter!$I$35:$J$52,2,0),IFERROR(VLOOKUP(D584,Parameter!$A$35:$C$64,2,0),"Nein"))</f>
        <v>2+3</v>
      </c>
      <c r="BW584" s="59" t="n">
        <f aca="false">IF(BT584=0,0,IF(N(S584)&gt;0,S584,IFERROR(VLOOKUP(D584,Parameter!$A$35:$C$64,3,0)+0,0)))</f>
        <v>0</v>
      </c>
      <c r="BX584" s="55" t="n">
        <f aca="false">IF(AA584&lt;&gt;"",AA584,Z584)</f>
        <v>3</v>
      </c>
      <c r="BY584" s="55" t="str">
        <f aca="false">IF(BX584=1,"L1",IF(OR(BX584=2,BX584=3),"L23",IF(BX584="Aussen","Aussen","-")))</f>
        <v>L23</v>
      </c>
      <c r="BZ584" s="66" t="n">
        <f aca="false">IF(N(AB584)&gt;0,AB584,0)</f>
        <v>0</v>
      </c>
      <c r="CA584" s="60" t="n">
        <f aca="false">IF(ISNUMBER(AE584),1,0)</f>
        <v>0</v>
      </c>
      <c r="CB584" s="57" t="n">
        <f aca="false">N(AE584)</f>
        <v>0</v>
      </c>
      <c r="CC584" s="57" t="n">
        <f aca="false">N(M584)+N(N584)</f>
        <v>668</v>
      </c>
      <c r="CD584" s="57" t="n">
        <f aca="false">ROUNDUP(H584/BS584,0)</f>
        <v>3</v>
      </c>
      <c r="CE584" s="57" t="n">
        <f aca="false">ROUNDUP(CB584/BS584,0)</f>
        <v>0</v>
      </c>
      <c r="CF584" s="60" t="n">
        <f aca="false">IF(BT584=1,0,IFERROR(VLOOKUP(BR584,'Gebinde-Kategorie'!$A$5:$M$45,5,0)+0,0))</f>
        <v>8</v>
      </c>
      <c r="CG584" s="60" t="n">
        <f aca="false">IFERROR(IF(OR(BX584=1,BX584=2,BX584=3),N(INDEX(Parameter!$I$5:$I$7,BX584)),0),0)</f>
        <v>0</v>
      </c>
      <c r="CH584" s="59" t="n">
        <f aca="false">IF(AND(Parameter!$B$21="Ja",ISNUMBER(W584),N(X584)&gt;0),IFERROR(N(INDEX(Parameter!$L$5:$L$7,W584))*INDEX(Parameter!$E$5:$E$7,W584)*X584/SUMIFS($X$7:$X$1843,$W$7:$W$1843,W584),0),0)</f>
        <v>0</v>
      </c>
    </row>
    <row r="585" customFormat="false" ht="15" hidden="false" customHeight="false" outlineLevel="0" collapsed="false">
      <c r="A585" s="55" t="s">
        <v>1224</v>
      </c>
      <c r="B585" s="55" t="s">
        <v>1225</v>
      </c>
      <c r="C585" s="55" t="s">
        <v>164</v>
      </c>
      <c r="D585" s="55" t="s">
        <v>184</v>
      </c>
      <c r="E585" s="55"/>
      <c r="F585" s="55" t="s">
        <v>218</v>
      </c>
      <c r="G585" s="56" t="n">
        <v>8.61</v>
      </c>
      <c r="H585" s="57" t="n">
        <f aca="false">MAX(0,IF(AND(Parameter!$B$21="Ja",ISNUMBER(Y585)),Y585,IF(Parameter!$B$20="Jahresanfang 2025 + Export",BL585+BK585,BK585)))</f>
        <v>39</v>
      </c>
      <c r="I585" s="57" t="n">
        <f aca="false">H585*G585</f>
        <v>335.79</v>
      </c>
      <c r="J585" s="57" t="n">
        <f aca="false">BN585*Parameter!$B$18</f>
        <v>0</v>
      </c>
      <c r="K585" s="58" t="n">
        <v>39</v>
      </c>
      <c r="L585" s="59" t="n">
        <v>0</v>
      </c>
      <c r="M585" s="57" t="n">
        <v>0</v>
      </c>
      <c r="N585" s="57" t="n">
        <v>1</v>
      </c>
      <c r="O585" s="60" t="n">
        <v>28</v>
      </c>
      <c r="P585" s="55" t="s">
        <v>293</v>
      </c>
      <c r="Q585" s="57" t="n">
        <v>40</v>
      </c>
      <c r="R585" s="60" t="n">
        <f aca="false">IF(BT585=1,0,IFERROR(VLOOKUP(BR585,'Gebinde-Kategorie'!$A$5:$M$45,13,0)+0,0))</f>
        <v>12</v>
      </c>
      <c r="S585" s="61"/>
      <c r="T585" s="62"/>
      <c r="U585" s="62"/>
      <c r="V585" s="62"/>
      <c r="W585" s="55"/>
      <c r="X585" s="57"/>
      <c r="Y585" s="57"/>
      <c r="Z585" s="55" t="n">
        <f aca="false">IF(A585="","",IF(AND(Parameter!$B$21="Ja",ISNUMBER(W585)),W585,IF(BV585="2+3",IF(ISNUMBER(SEARCH("grosser Artikel",BO585)),2,IFERROR(VLOOKUP(BR585,Parameter!$F$35:$G$64,2,0),2)),IF(OR(BV585="Nein",BV585=""),"-",BV585))))</f>
        <v>2</v>
      </c>
      <c r="AA585" s="62"/>
      <c r="AB585" s="63"/>
      <c r="AC585" s="57" t="n">
        <f aca="false">AR585</f>
        <v>40</v>
      </c>
      <c r="AD585" s="57" t="n">
        <f aca="false">MAX(AR585,H585)</f>
        <v>40</v>
      </c>
      <c r="AE585" s="64"/>
      <c r="AF585" s="57" t="n">
        <f aca="false">IF(LEFT(Cockpit!$C$5,1)="A",H585,IF(CA585=1,CB585,IF(LEFT(Cockpit!$C$5,1)="B",AJ585,MAX(AJ585,H585))))</f>
        <v>39</v>
      </c>
      <c r="AG585" s="57" t="n">
        <f aca="false">IF(BT585=1,0,ROUNDUP(AF585/BS585,0))</f>
        <v>1</v>
      </c>
      <c r="AH585" s="59" t="n">
        <f aca="false">IF(CH585&gt;0,CH585*MAX(1,AF585/X585),IF(BT585=1,IF(AF585&lt;=0,0,BW585*MAX(1,IF(H585&gt;0,AF585/H585,1))),IF(R585&gt;0,AG585/R585,0))/MAX(0.1,N(Parameter!$M$21)))</f>
        <v>0.0833333333333333</v>
      </c>
      <c r="AI585" s="57" t="n">
        <f aca="false">AF585*G585</f>
        <v>335.79</v>
      </c>
      <c r="AJ585" s="57" t="n">
        <f aca="false">ROUNDUP(MAX(J585/IF(BZ585&gt;0,BZ585,MAX(0.1,N(Cockpit!$C$6))),CC585)/BS585,0)*BS585</f>
        <v>40</v>
      </c>
      <c r="AK585" s="58" t="n">
        <f aca="false">IF(AH585&gt;0,J585/AH585,-1)</f>
        <v>0</v>
      </c>
      <c r="AL585" s="58" t="n">
        <f aca="false">IF(AND(OR(BY585="L1",BY585="L23"),AH585&gt;0),SUMIFS($AH$7:$AH$1843,$BY$7:$BY$1843,BY585,$AK$7:$AK$1843,"&gt;"&amp;AK585)+SUMIFS($AH$7:$AH$1843,$BY$7:$BY$1843,BY585,$AK$7:$AK$1843,AK585,$BQ$7:$BQ$1843,"&lt;="&amp;BQ585),"")</f>
        <v>76.0000844566062</v>
      </c>
      <c r="AM585" s="65" t="n">
        <f aca="false">IF(AL585="",0,MAX(0,MIN(1,(IF(BY585="L1",Parameter!$E$5,Parameter!$E$6+Parameter!$E$7)-(AL585-AH585))/AH585)))</f>
        <v>1</v>
      </c>
      <c r="AN585" s="57" t="n">
        <f aca="false">IF(LEFT(Cockpit!$I$5,1)="A",H585,IF(CA585=1,CB585,IF(LEFT(Cockpit!$I$5,1)="B",AR585,MAX(AR585,H585))))</f>
        <v>40</v>
      </c>
      <c r="AO585" s="57" t="n">
        <f aca="false">IF(BT585=1,0,ROUNDUP(AN585/BS585,0))</f>
        <v>1</v>
      </c>
      <c r="AP585" s="59" t="n">
        <f aca="false">IF(CH585&gt;0,CH585*MAX(1,AN585/X585),IF(BT585=1,IF(AN585&lt;=0,0,BW585*MAX(1,IF(H585&gt;0,AN585/H585,1))),IF(R585&gt;0,AO585/R585,0))/MAX(0.1,N(Parameter!$M$21)))</f>
        <v>0.0833333333333333</v>
      </c>
      <c r="AQ585" s="57" t="n">
        <f aca="false">AN585*G585</f>
        <v>344.4</v>
      </c>
      <c r="AR585" s="57" t="n">
        <f aca="false">ROUNDUP(MAX(J585/IF(BZ585&gt;0,BZ585,MAX(0.1,N(Cockpit!$I$6))),CC585)/BS585,0)*BS585</f>
        <v>40</v>
      </c>
      <c r="AS585" s="58" t="n">
        <f aca="false">IF(AP585&gt;0,J585/AP585,-1)</f>
        <v>0</v>
      </c>
      <c r="AT585" s="58" t="n">
        <f aca="false">IF(AND(OR(BY585="L1",BY585="L23"),AP585&gt;0),SUMIFS($AP$7:$AP$1843,$BY$7:$BY$1843,BY585,$AS$7:$AS$1843,"&gt;"&amp;AS585)+SUMIFS($AP$7:$AP$1843,$BY$7:$BY$1843,BY585,$AS$7:$AS$1843,AS585,$BQ$7:$BQ$1843,"&lt;="&amp;BQ585),"")</f>
        <v>115.4242086416</v>
      </c>
      <c r="AU585" s="65" t="n">
        <f aca="false">IF(AT585="",0,MAX(0,MIN(1,(IF(BY585="L1",Parameter!$E$5,Parameter!$E$6+Parameter!$E$7)-(AT585-AP585))/AP585)))</f>
        <v>0</v>
      </c>
      <c r="AV585" s="57" t="n">
        <f aca="false">IF(LEFT(Cockpit!$O$5,1)="A",H585,IF(CA585=1,CB585,IF(LEFT(Cockpit!$O$5,1)="B",AZ585,MAX(AZ585,H585))))</f>
        <v>40</v>
      </c>
      <c r="AW585" s="57" t="n">
        <f aca="false">IF(BT585=1,0,ROUNDUP(AV585/BS585,0))</f>
        <v>1</v>
      </c>
      <c r="AX585" s="59" t="n">
        <f aca="false">IF(CH585&gt;0,CH585*MAX(1,AV585/X585),IF(BT585=1,IF(AV585&lt;=0,0,BW585*MAX(1,IF(H585&gt;0,AV585/H585,1))),IF(R585&gt;0,AW585/R585,0))/MAX(0.1,N(Parameter!$M$21)))</f>
        <v>0.0833333333333333</v>
      </c>
      <c r="AY585" s="57" t="n">
        <f aca="false">AV585*G585</f>
        <v>344.4</v>
      </c>
      <c r="AZ585" s="57" t="n">
        <f aca="false">ROUNDUP(MAX(J585/IF(BZ585&gt;0,BZ585,MAX(0.1,N(Cockpit!$O$6))),CC585)/BS585,0)*BS585</f>
        <v>40</v>
      </c>
      <c r="BA585" s="58" t="n">
        <f aca="false">IF(AX585&gt;0,J585/AX585,-1)</f>
        <v>0</v>
      </c>
      <c r="BB585" s="58" t="n">
        <f aca="false">IF(AND(OR(BY585="L1",BY585="L23"),AX585&gt;0),SUMIFS($AX$7:$AX$1843,$BY$7:$BY$1843,BY585,$BA$7:$BA$1843,"&gt;"&amp;BA585)+SUMIFS($AX$7:$AX$1843,$BY$7:$BY$1843,BY585,$BA$7:$BA$1843,BA585,$BQ$7:$BQ$1843,"&lt;="&amp;BQ585),"")</f>
        <v>106.254045471437</v>
      </c>
      <c r="BC585" s="65" t="n">
        <f aca="false">IF(BB585="",0,MAX(0,MIN(1,(IF(BY585="L1",Parameter!$E$5,Parameter!$E$6+Parameter!$E$7)-(BB585-AX585))/AX585)))</f>
        <v>0</v>
      </c>
      <c r="BD585" s="55" t="str">
        <f aca="false">IF(AH585&lt;=0,"",IF(BY585="Aussen","Aussenlager",IF(BY585="-","Nicht im Lift",IF(AM585&gt;=1,"Lift",IF(AM585&lt;=0,"Aussenlager","teilweise")))))</f>
        <v>Lift</v>
      </c>
      <c r="BE585" s="55" t="str">
        <f aca="false">IF(AP585&lt;=0,"",IF(BY585="Aussen","Aussenlager",IF(BY585="-","Nicht im Lift",IF(AU585&gt;=1,"Lift",IF(AU585&lt;=0,"Aussenlager","teilweise")))))</f>
        <v>Aussenlager</v>
      </c>
      <c r="BF585" s="55" t="str">
        <f aca="false">IF(AX585&lt;=0,"",IF(BY585="Aussen","Aussenlager",IF(BY585="-","Nicht im Lift",IF(BC585&gt;=1,"Lift",IF(BC585&lt;=0,"Aussenlager","teilweise")))))</f>
        <v>Aussenlager</v>
      </c>
      <c r="BG585" s="55" t="str">
        <f aca="false">IF(A585="","",IF(BP585=1,"Neu; ","")&amp;IF(AND(BP585=0,BK585&lt;0),"negativer Bestand (Export "&amp;BK585&amp;"); ","")&amp;IF(J585&lt;=0,"Kein Verbrauch; ","")&amp;IF(CH585&gt;0,"Lift "&amp;W585&amp;" lt. Liftbericht (Fach "&amp;X585&amp;" Stk); ",IF(BU585=1,"Gebinde geschätzt ("&amp;T585&amp;"); ",IF(BT585=1,"Lose – Tablare geschätzt; ","")))&amp;IF(H585&gt;AR585,"Überbestand "&amp;ROUND(H585-AR585,0)&amp;" Stk / CHF "&amp;ROUND((H585-AR585)*G585,0)&amp;"; ","")&amp;IF(AND(CA585=1,CB585&lt;CC585),"MAX &lt; MB+LG; ","")&amp;IF(AND(CG585&gt;0,CF585*10&gt;CG585),"zu hoch für Tablar; ","")&amp;IF(AND(BP585=0,OR(CA585=1,AA585&lt;&gt;"",U585&lt;&gt;"",V585&lt;&gt;"",AB585&lt;&gt;"")),"manuell übersteuert; ","")&amp;IF(AND(BT585=0,R585=0),"Gebinde unbekannt / Stellmass fehlt; ","")&amp;IF(AND(BT585=0,N(V585)&lt;=0,N(Q585)&lt;=0),"Menge pro Gebinde fehlt (Ist = 1 Gebinde); ","")&amp;BO585)</f>
        <v>Kein Verbrauch; </v>
      </c>
      <c r="BH585" s="55"/>
      <c r="BI585" s="55"/>
      <c r="BJ585" s="62"/>
      <c r="BK585" s="57" t="n">
        <v>1</v>
      </c>
      <c r="BL585" s="57" t="n">
        <v>38</v>
      </c>
      <c r="BM585" s="56" t="n">
        <v>8.61</v>
      </c>
      <c r="BN585" s="57" t="n">
        <v>0</v>
      </c>
      <c r="BO585" s="55"/>
      <c r="BP585" s="60" t="n">
        <v>0</v>
      </c>
      <c r="BQ585" s="60" t="n">
        <v>585</v>
      </c>
      <c r="BR585" s="55" t="str">
        <f aca="false">IF(U585&lt;&gt;"",UPPER(TRIM(U585)),IF(BU585=1,UPPER(VLOOKUP(T585,Parameter!$I$27:$K$29,2,0)),IF(P585="","LOSE",P585)))</f>
        <v>S62</v>
      </c>
      <c r="BS585" s="57" t="n">
        <f aca="false">IF(BR585="LOSE",1,IF(N(V585)&gt;0,V585,IF(BU585=1,MAX(1,N(VLOOKUP(T585,Parameter!$I$27:$K$29,3,0)),H585,N(N585)),IF(N(Q585)&gt;0,Q585,MAX(1,H585)))))</f>
        <v>40</v>
      </c>
      <c r="BT585" s="60" t="n">
        <f aca="false">IF(BR585="LOSE",1,0)</f>
        <v>0</v>
      </c>
      <c r="BU585" s="60" t="n">
        <f aca="false">IF(AND(U585="",OR(P585="",P585="LOSE"),T585&lt;&gt;"",N(S585)&lt;=0,ISNUMBER(MATCH(T585,Parameter!$I$27:$I$29,0))),1,0)</f>
        <v>0</v>
      </c>
      <c r="BV585" s="55" t="str">
        <f aca="false">IF(AND(Parameter!$B$19="Ja",E585&lt;&gt;"",ISNUMBER(MATCH(E585,Parameter!$I$35:$I$52,0))),VLOOKUP(E585,Parameter!$I$35:$J$52,2,0),IFERROR(VLOOKUP(D585,Parameter!$A$35:$C$64,2,0),"Nein"))</f>
        <v>2+3</v>
      </c>
      <c r="BW585" s="59" t="n">
        <f aca="false">IF(BT585=0,0,IF(N(S585)&gt;0,S585,IFERROR(VLOOKUP(D585,Parameter!$A$35:$C$64,3,0)+0,0)))</f>
        <v>0</v>
      </c>
      <c r="BX585" s="55" t="n">
        <f aca="false">IF(AA585&lt;&gt;"",AA585,Z585)</f>
        <v>2</v>
      </c>
      <c r="BY585" s="55" t="str">
        <f aca="false">IF(BX585=1,"L1",IF(OR(BX585=2,BX585=3),"L23",IF(BX585="Aussen","Aussen","-")))</f>
        <v>L23</v>
      </c>
      <c r="BZ585" s="66" t="n">
        <f aca="false">IF(N(AB585)&gt;0,AB585,0)</f>
        <v>0</v>
      </c>
      <c r="CA585" s="60" t="n">
        <f aca="false">IF(ISNUMBER(AE585),1,0)</f>
        <v>0</v>
      </c>
      <c r="CB585" s="57" t="n">
        <f aca="false">N(AE585)</f>
        <v>0</v>
      </c>
      <c r="CC585" s="57" t="n">
        <f aca="false">N(M585)+N(N585)</f>
        <v>1</v>
      </c>
      <c r="CD585" s="57" t="n">
        <f aca="false">ROUNDUP(H585/BS585,0)</f>
        <v>1</v>
      </c>
      <c r="CE585" s="57" t="n">
        <f aca="false">ROUNDUP(CB585/BS585,0)</f>
        <v>0</v>
      </c>
      <c r="CF585" s="60" t="n">
        <f aca="false">IF(BT585=1,0,IFERROR(VLOOKUP(BR585,'Gebinde-Kategorie'!$A$5:$M$45,5,0)+0,0))</f>
        <v>21</v>
      </c>
      <c r="CG585" s="60" t="n">
        <f aca="false">IFERROR(IF(OR(BX585=1,BX585=2,BX585=3),N(INDEX(Parameter!$I$5:$I$7,BX585)),0),0)</f>
        <v>0</v>
      </c>
      <c r="CH585" s="59" t="n">
        <f aca="false">IF(AND(Parameter!$B$21="Ja",ISNUMBER(W585),N(X585)&gt;0),IFERROR(N(INDEX(Parameter!$L$5:$L$7,W585))*INDEX(Parameter!$E$5:$E$7,W585)*X585/SUMIFS($X$7:$X$1843,$W$7:$W$1843,W585),0),0)</f>
        <v>0</v>
      </c>
    </row>
    <row r="586" customFormat="false" ht="15" hidden="false" customHeight="false" outlineLevel="0" collapsed="false">
      <c r="A586" s="55" t="s">
        <v>1226</v>
      </c>
      <c r="B586" s="55" t="s">
        <v>949</v>
      </c>
      <c r="C586" s="55" t="s">
        <v>164</v>
      </c>
      <c r="D586" s="55" t="s">
        <v>184</v>
      </c>
      <c r="E586" s="55" t="s">
        <v>185</v>
      </c>
      <c r="F586" s="55" t="s">
        <v>218</v>
      </c>
      <c r="G586" s="56" t="n">
        <v>0.05</v>
      </c>
      <c r="H586" s="57" t="n">
        <f aca="false">MAX(0,IF(AND(Parameter!$B$21="Ja",ISNUMBER(Y586)),Y586,IF(Parameter!$B$20="Jahresanfang 2025 + Export",BL586+BK586,BK586)))</f>
        <v>440</v>
      </c>
      <c r="I586" s="57" t="n">
        <f aca="false">H586*G586</f>
        <v>22</v>
      </c>
      <c r="J586" s="57" t="n">
        <f aca="false">BN586*Parameter!$B$18</f>
        <v>424</v>
      </c>
      <c r="K586" s="58" t="n">
        <v>206</v>
      </c>
      <c r="L586" s="59" t="n">
        <v>2.05825242718447</v>
      </c>
      <c r="M586" s="57" t="n">
        <v>24</v>
      </c>
      <c r="N586" s="57" t="n">
        <v>500</v>
      </c>
      <c r="O586" s="60" t="n">
        <v>21</v>
      </c>
      <c r="P586" s="55" t="s">
        <v>302</v>
      </c>
      <c r="Q586" s="57" t="n">
        <v>133</v>
      </c>
      <c r="R586" s="60" t="n">
        <f aca="false">IF(BT586=1,0,IFERROR(VLOOKUP(BR586,'Gebinde-Kategorie'!$A$5:$M$45,13,0)+0,0))</f>
        <v>26</v>
      </c>
      <c r="S586" s="61"/>
      <c r="T586" s="62"/>
      <c r="U586" s="62"/>
      <c r="V586" s="62"/>
      <c r="W586" s="55"/>
      <c r="X586" s="57"/>
      <c r="Y586" s="57"/>
      <c r="Z586" s="55" t="n">
        <f aca="false">IF(A586="","",IF(AND(Parameter!$B$21="Ja",ISNUMBER(W586)),W586,IF(BV586="2+3",IF(ISNUMBER(SEARCH("grosser Artikel",BO586)),2,IFERROR(VLOOKUP(BR586,Parameter!$F$35:$G$64,2,0),2)),IF(OR(BV586="Nein",BV586=""),"-",BV586))))</f>
        <v>3</v>
      </c>
      <c r="AA586" s="62"/>
      <c r="AB586" s="63"/>
      <c r="AC586" s="57" t="n">
        <f aca="false">AR586</f>
        <v>532</v>
      </c>
      <c r="AD586" s="57" t="n">
        <f aca="false">MAX(AR586,H586)</f>
        <v>532</v>
      </c>
      <c r="AE586" s="64"/>
      <c r="AF586" s="57" t="n">
        <f aca="false">IF(LEFT(Cockpit!$C$5,1)="A",H586,IF(CA586=1,CB586,IF(LEFT(Cockpit!$C$5,1)="B",AJ586,MAX(AJ586,H586))))</f>
        <v>440</v>
      </c>
      <c r="AG586" s="57" t="n">
        <f aca="false">IF(BT586=1,0,ROUNDUP(AF586/BS586,0))</f>
        <v>4</v>
      </c>
      <c r="AH586" s="59" t="n">
        <f aca="false">IF(CH586&gt;0,CH586*MAX(1,AF586/X586),IF(BT586=1,IF(AF586&lt;=0,0,BW586*MAX(1,IF(H586&gt;0,AF586/H586,1))),IF(R586&gt;0,AG586/R586,0))/MAX(0.1,N(Parameter!$M$21)))</f>
        <v>0.153846153846154</v>
      </c>
      <c r="AI586" s="57" t="n">
        <f aca="false">AF586*G586</f>
        <v>22</v>
      </c>
      <c r="AJ586" s="57" t="n">
        <f aca="false">ROUNDUP(MAX(J586/IF(BZ586&gt;0,BZ586,MAX(0.1,N(Cockpit!$C$6))),CC586)/BS586,0)*BS586</f>
        <v>532</v>
      </c>
      <c r="AK586" s="58" t="n">
        <f aca="false">IF(AH586&gt;0,J586/AH586,-1)</f>
        <v>2756</v>
      </c>
      <c r="AL586" s="58" t="n">
        <f aca="false">IF(AND(OR(BY586="L1",BY586="L23"),AH586&gt;0),SUMIFS($AH$7:$AH$1843,$BY$7:$BY$1843,BY586,$AK$7:$AK$1843,"&gt;"&amp;AK586)+SUMIFS($AH$7:$AH$1843,$BY$7:$BY$1843,BY586,$AK$7:$AK$1843,AK586,$BQ$7:$BQ$1843,"&lt;="&amp;BQ586),"")</f>
        <v>11.1643610013175</v>
      </c>
      <c r="AM586" s="65" t="n">
        <f aca="false">IF(AL586="",0,MAX(0,MIN(1,(IF(BY586="L1",Parameter!$E$5,Parameter!$E$6+Parameter!$E$7)-(AL586-AH586))/AH586)))</f>
        <v>1</v>
      </c>
      <c r="AN586" s="57" t="n">
        <f aca="false">IF(LEFT(Cockpit!$I$5,1)="A",H586,IF(CA586=1,CB586,IF(LEFT(Cockpit!$I$5,1)="B",AR586,MAX(AR586,H586))))</f>
        <v>532</v>
      </c>
      <c r="AO586" s="57" t="n">
        <f aca="false">IF(BT586=1,0,ROUNDUP(AN586/BS586,0))</f>
        <v>4</v>
      </c>
      <c r="AP586" s="59" t="n">
        <f aca="false">IF(CH586&gt;0,CH586*MAX(1,AN586/X586),IF(BT586=1,IF(AN586&lt;=0,0,BW586*MAX(1,IF(H586&gt;0,AN586/H586,1))),IF(R586&gt;0,AO586/R586,0))/MAX(0.1,N(Parameter!$M$21)))</f>
        <v>0.153846153846154</v>
      </c>
      <c r="AQ586" s="57" t="n">
        <f aca="false">AN586*G586</f>
        <v>26.6</v>
      </c>
      <c r="AR586" s="57" t="n">
        <f aca="false">ROUNDUP(MAX(J586/IF(BZ586&gt;0,BZ586,MAX(0.1,N(Cockpit!$I$6))),CC586)/BS586,0)*BS586</f>
        <v>532</v>
      </c>
      <c r="AS586" s="58" t="n">
        <f aca="false">IF(AP586&gt;0,J586/AP586,-1)</f>
        <v>2756</v>
      </c>
      <c r="AT586" s="58" t="n">
        <f aca="false">IF(AND(OR(BY586="L1",BY586="L23"),AP586&gt;0),SUMIFS($AP$7:$AP$1843,$BY$7:$BY$1843,BY586,$AS$7:$AS$1843,"&gt;"&amp;AS586)+SUMIFS($AP$7:$AP$1843,$BY$7:$BY$1843,BY586,$AS$7:$AS$1843,AS586,$BQ$7:$BQ$1843,"&lt;="&amp;BQ586),"")</f>
        <v>15.9394615046789</v>
      </c>
      <c r="AU586" s="65" t="n">
        <f aca="false">IF(AT586="",0,MAX(0,MIN(1,(IF(BY586="L1",Parameter!$E$5,Parameter!$E$6+Parameter!$E$7)-(AT586-AP586))/AP586)))</f>
        <v>1</v>
      </c>
      <c r="AV586" s="57" t="n">
        <f aca="false">IF(LEFT(Cockpit!$O$5,1)="A",H586,IF(CA586=1,CB586,IF(LEFT(Cockpit!$O$5,1)="B",AZ586,MAX(AZ586,H586))))</f>
        <v>532</v>
      </c>
      <c r="AW586" s="57" t="n">
        <f aca="false">IF(BT586=1,0,ROUNDUP(AV586/BS586,0))</f>
        <v>4</v>
      </c>
      <c r="AX586" s="59" t="n">
        <f aca="false">IF(CH586&gt;0,CH586*MAX(1,AV586/X586),IF(BT586=1,IF(AV586&lt;=0,0,BW586*MAX(1,IF(H586&gt;0,AV586/H586,1))),IF(R586&gt;0,AW586/R586,0))/MAX(0.1,N(Parameter!$M$21)))</f>
        <v>0.153846153846154</v>
      </c>
      <c r="AY586" s="57" t="n">
        <f aca="false">AV586*G586</f>
        <v>26.6</v>
      </c>
      <c r="AZ586" s="57" t="n">
        <f aca="false">ROUNDUP(MAX(J586/IF(BZ586&gt;0,BZ586,MAX(0.1,N(Cockpit!$O$6))),CC586)/BS586,0)*BS586</f>
        <v>532</v>
      </c>
      <c r="BA586" s="58" t="n">
        <f aca="false">IF(AX586&gt;0,J586/AX586,-1)</f>
        <v>2756</v>
      </c>
      <c r="BB586" s="58" t="n">
        <f aca="false">IF(AND(OR(BY586="L1",BY586="L23"),AX586&gt;0),SUMIFS($AX$7:$AX$1843,$BY$7:$BY$1843,BY586,$BA$7:$BA$1843,"&gt;"&amp;BA586)+SUMIFS($AX$7:$AX$1843,$BY$7:$BY$1843,BY586,$BA$7:$BA$1843,BA586,$BQ$7:$BQ$1843,"&lt;="&amp;BQ586),"")</f>
        <v>14.5128880781055</v>
      </c>
      <c r="BC586" s="65" t="n">
        <f aca="false">IF(BB586="",0,MAX(0,MIN(1,(IF(BY586="L1",Parameter!$E$5,Parameter!$E$6+Parameter!$E$7)-(BB586-AX586))/AX586)))</f>
        <v>1</v>
      </c>
      <c r="BD586" s="55" t="str">
        <f aca="false">IF(AH586&lt;=0,"",IF(BY586="Aussen","Aussenlager",IF(BY586="-","Nicht im Lift",IF(AM586&gt;=1,"Lift",IF(AM586&lt;=0,"Aussenlager","teilweise")))))</f>
        <v>Lift</v>
      </c>
      <c r="BE586" s="55" t="str">
        <f aca="false">IF(AP586&lt;=0,"",IF(BY586="Aussen","Aussenlager",IF(BY586="-","Nicht im Lift",IF(AU586&gt;=1,"Lift",IF(AU586&lt;=0,"Aussenlager","teilweise")))))</f>
        <v>Lift</v>
      </c>
      <c r="BF586" s="55" t="str">
        <f aca="false">IF(AX586&lt;=0,"",IF(BY586="Aussen","Aussenlager",IF(BY586="-","Nicht im Lift",IF(BC586&gt;=1,"Lift",IF(BC586&lt;=0,"Aussenlager","teilweise")))))</f>
        <v>Lift</v>
      </c>
      <c r="BG586" s="55" t="str">
        <f aca="false">IF(A586="","",IF(BP586=1,"Neu; ","")&amp;IF(AND(BP586=0,BK586&lt;0),"negativer Bestand (Export "&amp;BK586&amp;"); ","")&amp;IF(J586&lt;=0,"Kein Verbrauch; ","")&amp;IF(CH586&gt;0,"Lift "&amp;W586&amp;" lt. Liftbericht (Fach "&amp;X586&amp;" Stk); ",IF(BU586=1,"Gebinde geschätzt ("&amp;T586&amp;"); ",IF(BT586=1,"Lose – Tablare geschätzt; ","")))&amp;IF(H586&gt;AR586,"Überbestand "&amp;ROUND(H586-AR586,0)&amp;" Stk / CHF "&amp;ROUND((H586-AR586)*G586,0)&amp;"; ","")&amp;IF(AND(CA586=1,CB586&lt;CC586),"MAX &lt; MB+LG; ","")&amp;IF(AND(CG586&gt;0,CF586*10&gt;CG586),"zu hoch für Tablar; ","")&amp;IF(AND(BP586=0,OR(CA586=1,AA586&lt;&gt;"",U586&lt;&gt;"",V586&lt;&gt;"",AB586&lt;&gt;"")),"manuell übersteuert; ","")&amp;IF(AND(BT586=0,R586=0),"Gebinde unbekannt / Stellmass fehlt; ","")&amp;IF(AND(BT586=0,N(V586)&lt;=0,N(Q586)&lt;=0),"Menge pro Gebinde fehlt (Ist = 1 Gebinde); ","")&amp;BO586)</f>
        <v/>
      </c>
      <c r="BH586" s="55"/>
      <c r="BI586" s="55"/>
      <c r="BJ586" s="62"/>
      <c r="BK586" s="57" t="n">
        <v>168</v>
      </c>
      <c r="BL586" s="57" t="n">
        <v>272</v>
      </c>
      <c r="BM586" s="56" t="n">
        <v>8.4</v>
      </c>
      <c r="BN586" s="57" t="n">
        <v>424</v>
      </c>
      <c r="BO586" s="55"/>
      <c r="BP586" s="60" t="n">
        <v>0</v>
      </c>
      <c r="BQ586" s="60" t="n">
        <v>586</v>
      </c>
      <c r="BR586" s="55" t="str">
        <f aca="false">IF(U586&lt;&gt;"",UPPER(TRIM(U586)),IF(BU586=1,UPPER(VLOOKUP(T586,Parameter!$I$27:$K$29,2,0)),IF(P586="","LOSE",P586)))</f>
        <v>S51</v>
      </c>
      <c r="BS586" s="57" t="n">
        <f aca="false">IF(BR586="LOSE",1,IF(N(V586)&gt;0,V586,IF(BU586=1,MAX(1,N(VLOOKUP(T586,Parameter!$I$27:$K$29,3,0)),H586,N(N586)),IF(N(Q586)&gt;0,Q586,MAX(1,H586)))))</f>
        <v>133</v>
      </c>
      <c r="BT586" s="60" t="n">
        <f aca="false">IF(BR586="LOSE",1,0)</f>
        <v>0</v>
      </c>
      <c r="BU586" s="60" t="n">
        <f aca="false">IF(AND(U586="",OR(P586="",P586="LOSE"),T586&lt;&gt;"",N(S586)&lt;=0,ISNUMBER(MATCH(T586,Parameter!$I$27:$I$29,0))),1,0)</f>
        <v>0</v>
      </c>
      <c r="BV586" s="55" t="str">
        <f aca="false">IF(AND(Parameter!$B$19="Ja",E586&lt;&gt;"",ISNUMBER(MATCH(E586,Parameter!$I$35:$I$52,0))),VLOOKUP(E586,Parameter!$I$35:$J$52,2,0),IFERROR(VLOOKUP(D586,Parameter!$A$35:$C$64,2,0),"Nein"))</f>
        <v>2+3</v>
      </c>
      <c r="BW586" s="59" t="n">
        <f aca="false">IF(BT586=0,0,IF(N(S586)&gt;0,S586,IFERROR(VLOOKUP(D586,Parameter!$A$35:$C$64,3,0)+0,0)))</f>
        <v>0</v>
      </c>
      <c r="BX586" s="55" t="n">
        <f aca="false">IF(AA586&lt;&gt;"",AA586,Z586)</f>
        <v>3</v>
      </c>
      <c r="BY586" s="55" t="str">
        <f aca="false">IF(BX586=1,"L1",IF(OR(BX586=2,BX586=3),"L23",IF(BX586="Aussen","Aussen","-")))</f>
        <v>L23</v>
      </c>
      <c r="BZ586" s="66" t="n">
        <f aca="false">IF(N(AB586)&gt;0,AB586,0)</f>
        <v>0</v>
      </c>
      <c r="CA586" s="60" t="n">
        <f aca="false">IF(ISNUMBER(AE586),1,0)</f>
        <v>0</v>
      </c>
      <c r="CB586" s="57" t="n">
        <f aca="false">N(AE586)</f>
        <v>0</v>
      </c>
      <c r="CC586" s="57" t="n">
        <f aca="false">N(M586)+N(N586)</f>
        <v>524</v>
      </c>
      <c r="CD586" s="57" t="n">
        <f aca="false">ROUNDUP(H586/BS586,0)</f>
        <v>4</v>
      </c>
      <c r="CE586" s="57" t="n">
        <f aca="false">ROUNDUP(CB586/BS586,0)</f>
        <v>0</v>
      </c>
      <c r="CF586" s="60" t="n">
        <f aca="false">IF(BT586=1,0,IFERROR(VLOOKUP(BR586,'Gebinde-Kategorie'!$A$5:$M$45,5,0)+0,0))</f>
        <v>11</v>
      </c>
      <c r="CG586" s="60" t="n">
        <f aca="false">IFERROR(IF(OR(BX586=1,BX586=2,BX586=3),N(INDEX(Parameter!$I$5:$I$7,BX586)),0),0)</f>
        <v>0</v>
      </c>
      <c r="CH586" s="59" t="n">
        <f aca="false">IF(AND(Parameter!$B$21="Ja",ISNUMBER(W586),N(X586)&gt;0),IFERROR(N(INDEX(Parameter!$L$5:$L$7,W586))*INDEX(Parameter!$E$5:$E$7,W586)*X586/SUMIFS($X$7:$X$1843,$W$7:$W$1843,W586),0),0)</f>
        <v>0</v>
      </c>
    </row>
    <row r="587" customFormat="false" ht="15" hidden="false" customHeight="false" outlineLevel="0" collapsed="false">
      <c r="A587" s="55" t="s">
        <v>1227</v>
      </c>
      <c r="B587" s="55" t="s">
        <v>1092</v>
      </c>
      <c r="C587" s="55" t="s">
        <v>164</v>
      </c>
      <c r="D587" s="55" t="s">
        <v>173</v>
      </c>
      <c r="E587" s="55"/>
      <c r="F587" s="55" t="s">
        <v>218</v>
      </c>
      <c r="G587" s="56" t="n">
        <v>8.3</v>
      </c>
      <c r="H587" s="57" t="n">
        <f aca="false">MAX(0,IF(AND(Parameter!$B$21="Ja",ISNUMBER(Y587)),Y587,IF(Parameter!$B$20="Jahresanfang 2025 + Export",BL587+BK587,BK587)))</f>
        <v>1</v>
      </c>
      <c r="I587" s="57" t="n">
        <f aca="false">H587*G587</f>
        <v>8.3</v>
      </c>
      <c r="J587" s="57" t="n">
        <f aca="false">BN587*Parameter!$B$18</f>
        <v>0</v>
      </c>
      <c r="K587" s="58" t="n">
        <v>0</v>
      </c>
      <c r="L587" s="59" t="n">
        <v>0</v>
      </c>
      <c r="M587" s="57" t="n">
        <v>0</v>
      </c>
      <c r="N587" s="57" t="n">
        <v>1</v>
      </c>
      <c r="O587" s="60" t="n">
        <v>21</v>
      </c>
      <c r="P587" s="55" t="s">
        <v>168</v>
      </c>
      <c r="Q587" s="57"/>
      <c r="R587" s="60" t="n">
        <f aca="false">IF(BT587=1,0,IFERROR(VLOOKUP(BR587,'Gebinde-Kategorie'!$A$5:$M$45,13,0)+0,0))</f>
        <v>26</v>
      </c>
      <c r="S587" s="61"/>
      <c r="T587" s="62" t="s">
        <v>275</v>
      </c>
      <c r="U587" s="62"/>
      <c r="V587" s="62"/>
      <c r="W587" s="55"/>
      <c r="X587" s="57"/>
      <c r="Y587" s="57"/>
      <c r="Z587" s="55" t="n">
        <f aca="false">IF(A587="","",IF(AND(Parameter!$B$21="Ja",ISNUMBER(W587)),W587,IF(BV587="2+3",IF(ISNUMBER(SEARCH("grosser Artikel",BO587)),2,IFERROR(VLOOKUP(BR587,Parameter!$F$35:$G$64,2,0),2)),IF(OR(BV587="Nein",BV587=""),"-",BV587))))</f>
        <v>3</v>
      </c>
      <c r="AA587" s="62"/>
      <c r="AB587" s="63"/>
      <c r="AC587" s="57" t="n">
        <f aca="false">AR587</f>
        <v>20</v>
      </c>
      <c r="AD587" s="57" t="n">
        <f aca="false">MAX(AR587,H587)</f>
        <v>20</v>
      </c>
      <c r="AE587" s="64"/>
      <c r="AF587" s="57" t="n">
        <f aca="false">IF(LEFT(Cockpit!$C$5,1)="A",H587,IF(CA587=1,CB587,IF(LEFT(Cockpit!$C$5,1)="B",AJ587,MAX(AJ587,H587))))</f>
        <v>1</v>
      </c>
      <c r="AG587" s="57" t="n">
        <f aca="false">IF(BT587=1,0,ROUNDUP(AF587/BS587,0))</f>
        <v>1</v>
      </c>
      <c r="AH587" s="59" t="n">
        <f aca="false">IF(CH587&gt;0,CH587*MAX(1,AF587/X587),IF(BT587=1,IF(AF587&lt;=0,0,BW587*MAX(1,IF(H587&gt;0,AF587/H587,1))),IF(R587&gt;0,AG587/R587,0))/MAX(0.1,N(Parameter!$M$21)))</f>
        <v>0.0384615384615385</v>
      </c>
      <c r="AI587" s="57" t="n">
        <f aca="false">AF587*G587</f>
        <v>8.3</v>
      </c>
      <c r="AJ587" s="57" t="n">
        <f aca="false">ROUNDUP(MAX(J587/IF(BZ587&gt;0,BZ587,MAX(0.1,N(Cockpit!$C$6))),CC587)/BS587,0)*BS587</f>
        <v>20</v>
      </c>
      <c r="AK587" s="58" t="n">
        <f aca="false">IF(AH587&gt;0,J587/AH587,-1)</f>
        <v>0</v>
      </c>
      <c r="AL587" s="58" t="n">
        <f aca="false">IF(AND(OR(BY587="L1",BY587="L23"),AH587&gt;0),SUMIFS($AH$7:$AH$1843,$BY$7:$BY$1843,BY587,$AK$7:$AK$1843,"&gt;"&amp;AK587)+SUMIFS($AH$7:$AH$1843,$BY$7:$BY$1843,BY587,$AK$7:$AK$1843,AK587,$BQ$7:$BQ$1843,"&lt;="&amp;BQ587),"")</f>
        <v>76.0385459950677</v>
      </c>
      <c r="AM587" s="65" t="n">
        <f aca="false">IF(AL587="",0,MAX(0,MIN(1,(IF(BY587="L1",Parameter!$E$5,Parameter!$E$6+Parameter!$E$7)-(AL587-AH587))/AH587)))</f>
        <v>1</v>
      </c>
      <c r="AN587" s="57" t="n">
        <f aca="false">IF(LEFT(Cockpit!$I$5,1)="A",H587,IF(CA587=1,CB587,IF(LEFT(Cockpit!$I$5,1)="B",AR587,MAX(AR587,H587))))</f>
        <v>20</v>
      </c>
      <c r="AO587" s="57" t="n">
        <f aca="false">IF(BT587=1,0,ROUNDUP(AN587/BS587,0))</f>
        <v>1</v>
      </c>
      <c r="AP587" s="59" t="n">
        <f aca="false">IF(CH587&gt;0,CH587*MAX(1,AN587/X587),IF(BT587=1,IF(AN587&lt;=0,0,BW587*MAX(1,IF(H587&gt;0,AN587/H587,1))),IF(R587&gt;0,AO587/R587,0))/MAX(0.1,N(Parameter!$M$21)))</f>
        <v>0.0384615384615385</v>
      </c>
      <c r="AQ587" s="57" t="n">
        <f aca="false">AN587*G587</f>
        <v>166</v>
      </c>
      <c r="AR587" s="57" t="n">
        <f aca="false">ROUNDUP(MAX(J587/IF(BZ587&gt;0,BZ587,MAX(0.1,N(Cockpit!$I$6))),CC587)/BS587,0)*BS587</f>
        <v>20</v>
      </c>
      <c r="AS587" s="58" t="n">
        <f aca="false">IF(AP587&gt;0,J587/AP587,-1)</f>
        <v>0</v>
      </c>
      <c r="AT587" s="58" t="n">
        <f aca="false">IF(AND(OR(BY587="L1",BY587="L23"),AP587&gt;0),SUMIFS($AP$7:$AP$1843,$BY$7:$BY$1843,BY587,$AS$7:$AS$1843,"&gt;"&amp;AS587)+SUMIFS($AP$7:$AP$1843,$BY$7:$BY$1843,BY587,$AS$7:$AS$1843,AS587,$BQ$7:$BQ$1843,"&lt;="&amp;BQ587),"")</f>
        <v>115.462670180061</v>
      </c>
      <c r="AU587" s="65" t="n">
        <f aca="false">IF(AT587="",0,MAX(0,MIN(1,(IF(BY587="L1",Parameter!$E$5,Parameter!$E$6+Parameter!$E$7)-(AT587-AP587))/AP587)))</f>
        <v>0</v>
      </c>
      <c r="AV587" s="57" t="n">
        <f aca="false">IF(LEFT(Cockpit!$O$5,1)="A",H587,IF(CA587=1,CB587,IF(LEFT(Cockpit!$O$5,1)="B",AZ587,MAX(AZ587,H587))))</f>
        <v>20</v>
      </c>
      <c r="AW587" s="57" t="n">
        <f aca="false">IF(BT587=1,0,ROUNDUP(AV587/BS587,0))</f>
        <v>1</v>
      </c>
      <c r="AX587" s="59" t="n">
        <f aca="false">IF(CH587&gt;0,CH587*MAX(1,AV587/X587),IF(BT587=1,IF(AV587&lt;=0,0,BW587*MAX(1,IF(H587&gt;0,AV587/H587,1))),IF(R587&gt;0,AW587/R587,0))/MAX(0.1,N(Parameter!$M$21)))</f>
        <v>0.0384615384615385</v>
      </c>
      <c r="AY587" s="57" t="n">
        <f aca="false">AV587*G587</f>
        <v>166</v>
      </c>
      <c r="AZ587" s="57" t="n">
        <f aca="false">ROUNDUP(MAX(J587/IF(BZ587&gt;0,BZ587,MAX(0.1,N(Cockpit!$O$6))),CC587)/BS587,0)*BS587</f>
        <v>20</v>
      </c>
      <c r="BA587" s="58" t="n">
        <f aca="false">IF(AX587&gt;0,J587/AX587,-1)</f>
        <v>0</v>
      </c>
      <c r="BB587" s="58" t="n">
        <f aca="false">IF(AND(OR(BY587="L1",BY587="L23"),AX587&gt;0),SUMIFS($AX$7:$AX$1843,$BY$7:$BY$1843,BY587,$BA$7:$BA$1843,"&gt;"&amp;BA587)+SUMIFS($AX$7:$AX$1843,$BY$7:$BY$1843,BY587,$BA$7:$BA$1843,BA587,$BQ$7:$BQ$1843,"&lt;="&amp;BQ587),"")</f>
        <v>106.292507009898</v>
      </c>
      <c r="BC587" s="65" t="n">
        <f aca="false">IF(BB587="",0,MAX(0,MIN(1,(IF(BY587="L1",Parameter!$E$5,Parameter!$E$6+Parameter!$E$7)-(BB587-AX587))/AX587)))</f>
        <v>0</v>
      </c>
      <c r="BD587" s="55" t="str">
        <f aca="false">IF(AH587&lt;=0,"",IF(BY587="Aussen","Aussenlager",IF(BY587="-","Nicht im Lift",IF(AM587&gt;=1,"Lift",IF(AM587&lt;=0,"Aussenlager","teilweise")))))</f>
        <v>Lift</v>
      </c>
      <c r="BE587" s="55" t="str">
        <f aca="false">IF(AP587&lt;=0,"",IF(BY587="Aussen","Aussenlager",IF(BY587="-","Nicht im Lift",IF(AU587&gt;=1,"Lift",IF(AU587&lt;=0,"Aussenlager","teilweise")))))</f>
        <v>Aussenlager</v>
      </c>
      <c r="BF587" s="55" t="str">
        <f aca="false">IF(AX587&lt;=0,"",IF(BY587="Aussen","Aussenlager",IF(BY587="-","Nicht im Lift",IF(BC587&gt;=1,"Lift",IF(BC587&lt;=0,"Aussenlager","teilweise")))))</f>
        <v>Aussenlager</v>
      </c>
      <c r="BG587" s="55" t="str">
        <f aca="false">IF(A587="","",IF(BP587=1,"Neu; ","")&amp;IF(AND(BP587=0,BK587&lt;0),"negativer Bestand (Export "&amp;BK587&amp;"); ","")&amp;IF(J587&lt;=0,"Kein Verbrauch; ","")&amp;IF(CH587&gt;0,"Lift "&amp;W587&amp;" lt. Liftbericht (Fach "&amp;X587&amp;" Stk); ",IF(BU587=1,"Gebinde geschätzt ("&amp;T587&amp;"); ",IF(BT587=1,"Lose – Tablare geschätzt; ","")))&amp;IF(H587&gt;AR587,"Überbestand "&amp;ROUND(H587-AR587,0)&amp;" Stk / CHF "&amp;ROUND((H587-AR587)*G587,0)&amp;"; ","")&amp;IF(AND(CA587=1,CB587&lt;CC587),"MAX &lt; MB+LG; ","")&amp;IF(AND(CG587&gt;0,CF587*10&gt;CG587),"zu hoch für Tablar; ","")&amp;IF(AND(BP587=0,OR(CA587=1,AA587&lt;&gt;"",U587&lt;&gt;"",V587&lt;&gt;"",AB587&lt;&gt;"")),"manuell übersteuert; ","")&amp;IF(AND(BT587=0,R587=0),"Gebinde unbekannt / Stellmass fehlt; ","")&amp;IF(AND(BT587=0,N(V587)&lt;=0,N(Q587)&lt;=0),"Menge pro Gebinde fehlt (Ist = 1 Gebinde); ","")&amp;BO587)</f>
        <v>Kein Verbrauch; Gebinde geschätzt (Klein); Menge pro Gebinde fehlt (Ist = 1 Gebinde); </v>
      </c>
      <c r="BH587" s="55"/>
      <c r="BI587" s="55"/>
      <c r="BJ587" s="62"/>
      <c r="BK587" s="57" t="n">
        <v>1</v>
      </c>
      <c r="BL587" s="57" t="n">
        <v>0</v>
      </c>
      <c r="BM587" s="56" t="n">
        <v>8.3</v>
      </c>
      <c r="BN587" s="57" t="n">
        <v>0</v>
      </c>
      <c r="BO587" s="55"/>
      <c r="BP587" s="60" t="n">
        <v>0</v>
      </c>
      <c r="BQ587" s="60" t="n">
        <v>587</v>
      </c>
      <c r="BR587" s="55" t="str">
        <f aca="false">IF(U587&lt;&gt;"",UPPER(TRIM(U587)),IF(BU587=1,UPPER(VLOOKUP(T587,Parameter!$I$27:$K$29,2,0)),IF(P587="","LOSE",P587)))</f>
        <v>S51</v>
      </c>
      <c r="BS587" s="57" t="n">
        <f aca="false">IF(BR587="LOSE",1,IF(N(V587)&gt;0,V587,IF(BU587=1,MAX(1,N(VLOOKUP(T587,Parameter!$I$27:$K$29,3,0)),H587,N(N587)),IF(N(Q587)&gt;0,Q587,MAX(1,H587)))))</f>
        <v>20</v>
      </c>
      <c r="BT587" s="60" t="n">
        <f aca="false">IF(BR587="LOSE",1,0)</f>
        <v>0</v>
      </c>
      <c r="BU587" s="60" t="n">
        <f aca="false">IF(AND(U587="",OR(P587="",P587="LOSE"),T587&lt;&gt;"",N(S587)&lt;=0,ISNUMBER(MATCH(T587,Parameter!$I$27:$I$29,0))),1,0)</f>
        <v>1</v>
      </c>
      <c r="BV587" s="55" t="str">
        <f aca="false">IF(AND(Parameter!$B$19="Ja",E587&lt;&gt;"",ISNUMBER(MATCH(E587,Parameter!$I$35:$I$52,0))),VLOOKUP(E587,Parameter!$I$35:$J$52,2,0),IFERROR(VLOOKUP(D587,Parameter!$A$35:$C$64,2,0),"Nein"))</f>
        <v>2+3</v>
      </c>
      <c r="BW587" s="59" t="n">
        <f aca="false">IF(BT587=0,0,IF(N(S587)&gt;0,S587,IFERROR(VLOOKUP(D587,Parameter!$A$35:$C$64,3,0)+0,0)))</f>
        <v>0</v>
      </c>
      <c r="BX587" s="55" t="n">
        <f aca="false">IF(AA587&lt;&gt;"",AA587,Z587)</f>
        <v>3</v>
      </c>
      <c r="BY587" s="55" t="str">
        <f aca="false">IF(BX587=1,"L1",IF(OR(BX587=2,BX587=3),"L23",IF(BX587="Aussen","Aussen","-")))</f>
        <v>L23</v>
      </c>
      <c r="BZ587" s="66" t="n">
        <f aca="false">IF(N(AB587)&gt;0,AB587,0)</f>
        <v>0</v>
      </c>
      <c r="CA587" s="60" t="n">
        <f aca="false">IF(ISNUMBER(AE587),1,0)</f>
        <v>0</v>
      </c>
      <c r="CB587" s="57" t="n">
        <f aca="false">N(AE587)</f>
        <v>0</v>
      </c>
      <c r="CC587" s="57" t="n">
        <f aca="false">N(M587)+N(N587)</f>
        <v>1</v>
      </c>
      <c r="CD587" s="57" t="n">
        <f aca="false">ROUNDUP(H587/BS587,0)</f>
        <v>1</v>
      </c>
      <c r="CE587" s="57" t="n">
        <f aca="false">ROUNDUP(CB587/BS587,0)</f>
        <v>0</v>
      </c>
      <c r="CF587" s="60" t="n">
        <f aca="false">IF(BT587=1,0,IFERROR(VLOOKUP(BR587,'Gebinde-Kategorie'!$A$5:$M$45,5,0)+0,0))</f>
        <v>11</v>
      </c>
      <c r="CG587" s="60" t="n">
        <f aca="false">IFERROR(IF(OR(BX587=1,BX587=2,BX587=3),N(INDEX(Parameter!$I$5:$I$7,BX587)),0),0)</f>
        <v>0</v>
      </c>
      <c r="CH587" s="59" t="n">
        <f aca="false">IF(AND(Parameter!$B$21="Ja",ISNUMBER(W587),N(X587)&gt;0),IFERROR(N(INDEX(Parameter!$L$5:$L$7,W587))*INDEX(Parameter!$E$5:$E$7,W587)*X587/SUMIFS($X$7:$X$1843,$W$7:$W$1843,W587),0),0)</f>
        <v>0</v>
      </c>
    </row>
    <row r="588" customFormat="false" ht="15" hidden="false" customHeight="false" outlineLevel="0" collapsed="false">
      <c r="A588" s="55" t="s">
        <v>1228</v>
      </c>
      <c r="B588" s="55" t="s">
        <v>998</v>
      </c>
      <c r="C588" s="55" t="s">
        <v>164</v>
      </c>
      <c r="D588" s="55" t="s">
        <v>184</v>
      </c>
      <c r="E588" s="55"/>
      <c r="F588" s="55" t="s">
        <v>218</v>
      </c>
      <c r="G588" s="56" t="n">
        <v>0.68</v>
      </c>
      <c r="H588" s="57" t="n">
        <f aca="false">MAX(0,IF(AND(Parameter!$B$21="Ja",ISNUMBER(Y588)),Y588,IF(Parameter!$B$20="Jahresanfang 2025 + Export",BL588+BK588,BK588)))</f>
        <v>84</v>
      </c>
      <c r="I588" s="57" t="n">
        <f aca="false">H588*G588</f>
        <v>57.12</v>
      </c>
      <c r="J588" s="57" t="n">
        <f aca="false">BN588*Parameter!$B$18</f>
        <v>0</v>
      </c>
      <c r="K588" s="58" t="n">
        <v>78</v>
      </c>
      <c r="L588" s="59" t="n">
        <v>0</v>
      </c>
      <c r="M588" s="57" t="n">
        <v>0</v>
      </c>
      <c r="N588" s="57" t="n">
        <v>1</v>
      </c>
      <c r="O588" s="60" t="n">
        <v>21</v>
      </c>
      <c r="P588" s="55" t="s">
        <v>401</v>
      </c>
      <c r="Q588" s="57" t="n">
        <v>100</v>
      </c>
      <c r="R588" s="60" t="n">
        <f aca="false">IF(BT588=1,0,IFERROR(VLOOKUP(BR588,'Gebinde-Kategorie'!$A$5:$M$45,13,0)+0,0))</f>
        <v>414</v>
      </c>
      <c r="S588" s="61"/>
      <c r="T588" s="62"/>
      <c r="U588" s="62"/>
      <c r="V588" s="62"/>
      <c r="W588" s="55"/>
      <c r="X588" s="57"/>
      <c r="Y588" s="57"/>
      <c r="Z588" s="55" t="n">
        <f aca="false">IF(A588="","",IF(AND(Parameter!$B$21="Ja",ISNUMBER(W588)),W588,IF(BV588="2+3",IF(ISNUMBER(SEARCH("grosser Artikel",BO588)),2,IFERROR(VLOOKUP(BR588,Parameter!$F$35:$G$64,2,0),2)),IF(OR(BV588="Nein",BV588=""),"-",BV588))))</f>
        <v>3</v>
      </c>
      <c r="AA588" s="62"/>
      <c r="AB588" s="63"/>
      <c r="AC588" s="57" t="n">
        <f aca="false">AR588</f>
        <v>100</v>
      </c>
      <c r="AD588" s="57" t="n">
        <f aca="false">MAX(AR588,H588)</f>
        <v>100</v>
      </c>
      <c r="AE588" s="64"/>
      <c r="AF588" s="57" t="n">
        <f aca="false">IF(LEFT(Cockpit!$C$5,1)="A",H588,IF(CA588=1,CB588,IF(LEFT(Cockpit!$C$5,1)="B",AJ588,MAX(AJ588,H588))))</f>
        <v>84</v>
      </c>
      <c r="AG588" s="57" t="n">
        <f aca="false">IF(BT588=1,0,ROUNDUP(AF588/BS588,0))</f>
        <v>1</v>
      </c>
      <c r="AH588" s="59" t="n">
        <f aca="false">IF(CH588&gt;0,CH588*MAX(1,AF588/X588),IF(BT588=1,IF(AF588&lt;=0,0,BW588*MAX(1,IF(H588&gt;0,AF588/H588,1))),IF(R588&gt;0,AG588/R588,0))/MAX(0.1,N(Parameter!$M$21)))</f>
        <v>0.00241545893719807</v>
      </c>
      <c r="AI588" s="57" t="n">
        <f aca="false">AF588*G588</f>
        <v>57.12</v>
      </c>
      <c r="AJ588" s="57" t="n">
        <f aca="false">ROUNDUP(MAX(J588/IF(BZ588&gt;0,BZ588,MAX(0.1,N(Cockpit!$C$6))),CC588)/BS588,0)*BS588</f>
        <v>100</v>
      </c>
      <c r="AK588" s="58" t="n">
        <f aca="false">IF(AH588&gt;0,J588/AH588,-1)</f>
        <v>0</v>
      </c>
      <c r="AL588" s="58" t="n">
        <f aca="false">IF(AND(OR(BY588="L1",BY588="L23"),AH588&gt;0),SUMIFS($AH$7:$AH$1843,$BY$7:$BY$1843,BY588,$AK$7:$AK$1843,"&gt;"&amp;AK588)+SUMIFS($AH$7:$AH$1843,$BY$7:$BY$1843,BY588,$AK$7:$AK$1843,AK588,$BQ$7:$BQ$1843,"&lt;="&amp;BQ588),"")</f>
        <v>76.0409614540049</v>
      </c>
      <c r="AM588" s="65" t="n">
        <f aca="false">IF(AL588="",0,MAX(0,MIN(1,(IF(BY588="L1",Parameter!$E$5,Parameter!$E$6+Parameter!$E$7)-(AL588-AH588))/AH588)))</f>
        <v>1</v>
      </c>
      <c r="AN588" s="57" t="n">
        <f aca="false">IF(LEFT(Cockpit!$I$5,1)="A",H588,IF(CA588=1,CB588,IF(LEFT(Cockpit!$I$5,1)="B",AR588,MAX(AR588,H588))))</f>
        <v>100</v>
      </c>
      <c r="AO588" s="57" t="n">
        <f aca="false">IF(BT588=1,0,ROUNDUP(AN588/BS588,0))</f>
        <v>1</v>
      </c>
      <c r="AP588" s="59" t="n">
        <f aca="false">IF(CH588&gt;0,CH588*MAX(1,AN588/X588),IF(BT588=1,IF(AN588&lt;=0,0,BW588*MAX(1,IF(H588&gt;0,AN588/H588,1))),IF(R588&gt;0,AO588/R588,0))/MAX(0.1,N(Parameter!$M$21)))</f>
        <v>0.00241545893719807</v>
      </c>
      <c r="AQ588" s="57" t="n">
        <f aca="false">AN588*G588</f>
        <v>68</v>
      </c>
      <c r="AR588" s="57" t="n">
        <f aca="false">ROUNDUP(MAX(J588/IF(BZ588&gt;0,BZ588,MAX(0.1,N(Cockpit!$I$6))),CC588)/BS588,0)*BS588</f>
        <v>100</v>
      </c>
      <c r="AS588" s="58" t="n">
        <f aca="false">IF(AP588&gt;0,J588/AP588,-1)</f>
        <v>0</v>
      </c>
      <c r="AT588" s="58" t="n">
        <f aca="false">IF(AND(OR(BY588="L1",BY588="L23"),AP588&gt;0),SUMIFS($AP$7:$AP$1843,$BY$7:$BY$1843,BY588,$AS$7:$AS$1843,"&gt;"&amp;AS588)+SUMIFS($AP$7:$AP$1843,$BY$7:$BY$1843,BY588,$AS$7:$AS$1843,AS588,$BQ$7:$BQ$1843,"&lt;="&amp;BQ588),"")</f>
        <v>115.465085638999</v>
      </c>
      <c r="AU588" s="65" t="n">
        <f aca="false">IF(AT588="",0,MAX(0,MIN(1,(IF(BY588="L1",Parameter!$E$5,Parameter!$E$6+Parameter!$E$7)-(AT588-AP588))/AP588)))</f>
        <v>0</v>
      </c>
      <c r="AV588" s="57" t="n">
        <f aca="false">IF(LEFT(Cockpit!$O$5,1)="A",H588,IF(CA588=1,CB588,IF(LEFT(Cockpit!$O$5,1)="B",AZ588,MAX(AZ588,H588))))</f>
        <v>100</v>
      </c>
      <c r="AW588" s="57" t="n">
        <f aca="false">IF(BT588=1,0,ROUNDUP(AV588/BS588,0))</f>
        <v>1</v>
      </c>
      <c r="AX588" s="59" t="n">
        <f aca="false">IF(CH588&gt;0,CH588*MAX(1,AV588/X588),IF(BT588=1,IF(AV588&lt;=0,0,BW588*MAX(1,IF(H588&gt;0,AV588/H588,1))),IF(R588&gt;0,AW588/R588,0))/MAX(0.1,N(Parameter!$M$21)))</f>
        <v>0.00241545893719807</v>
      </c>
      <c r="AY588" s="57" t="n">
        <f aca="false">AV588*G588</f>
        <v>68</v>
      </c>
      <c r="AZ588" s="57" t="n">
        <f aca="false">ROUNDUP(MAX(J588/IF(BZ588&gt;0,BZ588,MAX(0.1,N(Cockpit!$O$6))),CC588)/BS588,0)*BS588</f>
        <v>100</v>
      </c>
      <c r="BA588" s="58" t="n">
        <f aca="false">IF(AX588&gt;0,J588/AX588,-1)</f>
        <v>0</v>
      </c>
      <c r="BB588" s="58" t="n">
        <f aca="false">IF(AND(OR(BY588="L1",BY588="L23"),AX588&gt;0),SUMIFS($AX$7:$AX$1843,$BY$7:$BY$1843,BY588,$BA$7:$BA$1843,"&gt;"&amp;BA588)+SUMIFS($AX$7:$AX$1843,$BY$7:$BY$1843,BY588,$BA$7:$BA$1843,BA588,$BQ$7:$BQ$1843,"&lt;="&amp;BQ588),"")</f>
        <v>106.294922468836</v>
      </c>
      <c r="BC588" s="65" t="n">
        <f aca="false">IF(BB588="",0,MAX(0,MIN(1,(IF(BY588="L1",Parameter!$E$5,Parameter!$E$6+Parameter!$E$7)-(BB588-AX588))/AX588)))</f>
        <v>0</v>
      </c>
      <c r="BD588" s="55" t="str">
        <f aca="false">IF(AH588&lt;=0,"",IF(BY588="Aussen","Aussenlager",IF(BY588="-","Nicht im Lift",IF(AM588&gt;=1,"Lift",IF(AM588&lt;=0,"Aussenlager","teilweise")))))</f>
        <v>Lift</v>
      </c>
      <c r="BE588" s="55" t="str">
        <f aca="false">IF(AP588&lt;=0,"",IF(BY588="Aussen","Aussenlager",IF(BY588="-","Nicht im Lift",IF(AU588&gt;=1,"Lift",IF(AU588&lt;=0,"Aussenlager","teilweise")))))</f>
        <v>Aussenlager</v>
      </c>
      <c r="BF588" s="55" t="str">
        <f aca="false">IF(AX588&lt;=0,"",IF(BY588="Aussen","Aussenlager",IF(BY588="-","Nicht im Lift",IF(BC588&gt;=1,"Lift",IF(BC588&lt;=0,"Aussenlager","teilweise")))))</f>
        <v>Aussenlager</v>
      </c>
      <c r="BG588" s="55" t="str">
        <f aca="false">IF(A588="","",IF(BP588=1,"Neu; ","")&amp;IF(AND(BP588=0,BK588&lt;0),"negativer Bestand (Export "&amp;BK588&amp;"); ","")&amp;IF(J588&lt;=0,"Kein Verbrauch; ","")&amp;IF(CH588&gt;0,"Lift "&amp;W588&amp;" lt. Liftbericht (Fach "&amp;X588&amp;" Stk); ",IF(BU588=1,"Gebinde geschätzt ("&amp;T588&amp;"); ",IF(BT588=1,"Lose – Tablare geschätzt; ","")))&amp;IF(H588&gt;AR588,"Überbestand "&amp;ROUND(H588-AR588,0)&amp;" Stk / CHF "&amp;ROUND((H588-AR588)*G588,0)&amp;"; ","")&amp;IF(AND(CA588=1,CB588&lt;CC588),"MAX &lt; MB+LG; ","")&amp;IF(AND(CG588&gt;0,CF588*10&gt;CG588),"zu hoch für Tablar; ","")&amp;IF(AND(BP588=0,OR(CA588=1,AA588&lt;&gt;"",U588&lt;&gt;"",V588&lt;&gt;"",AB588&lt;&gt;"")),"manuell übersteuert; ","")&amp;IF(AND(BT588=0,R588=0),"Gebinde unbekannt / Stellmass fehlt; ","")&amp;IF(AND(BT588=0,N(V588)&lt;=0,N(Q588)&lt;=0),"Menge pro Gebinde fehlt (Ist = 1 Gebinde); ","")&amp;BO588)</f>
        <v>Kein Verbrauch; Neuer Art.</v>
      </c>
      <c r="BH588" s="55"/>
      <c r="BI588" s="55"/>
      <c r="BJ588" s="62"/>
      <c r="BK588" s="57" t="n">
        <v>12</v>
      </c>
      <c r="BL588" s="57" t="n">
        <v>72</v>
      </c>
      <c r="BM588" s="56" t="n">
        <v>8.16</v>
      </c>
      <c r="BN588" s="57" t="n">
        <v>0</v>
      </c>
      <c r="BO588" s="55" t="s">
        <v>512</v>
      </c>
      <c r="BP588" s="60" t="n">
        <v>0</v>
      </c>
      <c r="BQ588" s="60" t="n">
        <v>588</v>
      </c>
      <c r="BR588" s="55" t="str">
        <f aca="false">IF(U588&lt;&gt;"",UPPER(TRIM(U588)),IF(BU588=1,UPPER(VLOOKUP(T588,Parameter!$I$27:$K$29,2,0)),IF(P588="","LOSE",P588)))</f>
        <v>S21</v>
      </c>
      <c r="BS588" s="57" t="n">
        <f aca="false">IF(BR588="LOSE",1,IF(N(V588)&gt;0,V588,IF(BU588=1,MAX(1,N(VLOOKUP(T588,Parameter!$I$27:$K$29,3,0)),H588,N(N588)),IF(N(Q588)&gt;0,Q588,MAX(1,H588)))))</f>
        <v>100</v>
      </c>
      <c r="BT588" s="60" t="n">
        <f aca="false">IF(BR588="LOSE",1,0)</f>
        <v>0</v>
      </c>
      <c r="BU588" s="60" t="n">
        <f aca="false">IF(AND(U588="",OR(P588="",P588="LOSE"),T588&lt;&gt;"",N(S588)&lt;=0,ISNUMBER(MATCH(T588,Parameter!$I$27:$I$29,0))),1,0)</f>
        <v>0</v>
      </c>
      <c r="BV588" s="55" t="str">
        <f aca="false">IF(AND(Parameter!$B$19="Ja",E588&lt;&gt;"",ISNUMBER(MATCH(E588,Parameter!$I$35:$I$52,0))),VLOOKUP(E588,Parameter!$I$35:$J$52,2,0),IFERROR(VLOOKUP(D588,Parameter!$A$35:$C$64,2,0),"Nein"))</f>
        <v>2+3</v>
      </c>
      <c r="BW588" s="59" t="n">
        <f aca="false">IF(BT588=0,0,IF(N(S588)&gt;0,S588,IFERROR(VLOOKUP(D588,Parameter!$A$35:$C$64,3,0)+0,0)))</f>
        <v>0</v>
      </c>
      <c r="BX588" s="55" t="n">
        <f aca="false">IF(AA588&lt;&gt;"",AA588,Z588)</f>
        <v>3</v>
      </c>
      <c r="BY588" s="55" t="str">
        <f aca="false">IF(BX588=1,"L1",IF(OR(BX588=2,BX588=3),"L23",IF(BX588="Aussen","Aussen","-")))</f>
        <v>L23</v>
      </c>
      <c r="BZ588" s="66" t="n">
        <f aca="false">IF(N(AB588)&gt;0,AB588,0)</f>
        <v>0</v>
      </c>
      <c r="CA588" s="60" t="n">
        <f aca="false">IF(ISNUMBER(AE588),1,0)</f>
        <v>0</v>
      </c>
      <c r="CB588" s="57" t="n">
        <f aca="false">N(AE588)</f>
        <v>0</v>
      </c>
      <c r="CC588" s="57" t="n">
        <f aca="false">N(M588)+N(N588)</f>
        <v>1</v>
      </c>
      <c r="CD588" s="57" t="n">
        <f aca="false">ROUNDUP(H588/BS588,0)</f>
        <v>1</v>
      </c>
      <c r="CE588" s="57" t="n">
        <f aca="false">ROUNDUP(CB588/BS588,0)</f>
        <v>0</v>
      </c>
      <c r="CF588" s="60" t="n">
        <f aca="false">IF(BT588=1,0,IFERROR(VLOOKUP(BR588,'Gebinde-Kategorie'!$A$5:$M$45,5,0)+0,0))</f>
        <v>8</v>
      </c>
      <c r="CG588" s="60" t="n">
        <f aca="false">IFERROR(IF(OR(BX588=1,BX588=2,BX588=3),N(INDEX(Parameter!$I$5:$I$7,BX588)),0),0)</f>
        <v>0</v>
      </c>
      <c r="CH588" s="59" t="n">
        <f aca="false">IF(AND(Parameter!$B$21="Ja",ISNUMBER(W588),N(X588)&gt;0),IFERROR(N(INDEX(Parameter!$L$5:$L$7,W588))*INDEX(Parameter!$E$5:$E$7,W588)*X588/SUMIFS($X$7:$X$1843,$W$7:$W$1843,W588),0),0)</f>
        <v>0</v>
      </c>
    </row>
    <row r="589" customFormat="false" ht="15" hidden="false" customHeight="false" outlineLevel="0" collapsed="false">
      <c r="A589" s="55" t="s">
        <v>1229</v>
      </c>
      <c r="B589" s="55" t="s">
        <v>598</v>
      </c>
      <c r="C589" s="55" t="s">
        <v>164</v>
      </c>
      <c r="D589" s="55" t="s">
        <v>184</v>
      </c>
      <c r="E589" s="55" t="s">
        <v>185</v>
      </c>
      <c r="F589" s="55" t="s">
        <v>218</v>
      </c>
      <c r="G589" s="56" t="n">
        <v>43.93</v>
      </c>
      <c r="H589" s="57" t="n">
        <f aca="false">MAX(0,IF(AND(Parameter!$B$21="Ja",ISNUMBER(Y589)),Y589,IF(Parameter!$B$20="Jahresanfang 2025 + Export",BL589+BK589,BK589)))</f>
        <v>8</v>
      </c>
      <c r="I589" s="57" t="n">
        <f aca="false">H589*G589</f>
        <v>351.44</v>
      </c>
      <c r="J589" s="57" t="n">
        <f aca="false">BN589*Parameter!$B$18</f>
        <v>12</v>
      </c>
      <c r="K589" s="58" t="n">
        <v>7.5</v>
      </c>
      <c r="L589" s="59" t="n">
        <v>1.6</v>
      </c>
      <c r="M589" s="57" t="n">
        <v>1</v>
      </c>
      <c r="N589" s="57" t="n">
        <v>10</v>
      </c>
      <c r="O589" s="60" t="n">
        <v>35</v>
      </c>
      <c r="P589" s="55" t="s">
        <v>476</v>
      </c>
      <c r="Q589" s="57" t="n">
        <v>27</v>
      </c>
      <c r="R589" s="60" t="n">
        <f aca="false">IF(BT589=1,0,IFERROR(VLOOKUP(BR589,'Gebinde-Kategorie'!$A$5:$M$45,13,0)+0,0))</f>
        <v>66</v>
      </c>
      <c r="S589" s="61"/>
      <c r="T589" s="62"/>
      <c r="U589" s="62"/>
      <c r="V589" s="62"/>
      <c r="W589" s="55"/>
      <c r="X589" s="57"/>
      <c r="Y589" s="57"/>
      <c r="Z589" s="55" t="n">
        <f aca="false">IF(A589="","",IF(AND(Parameter!$B$21="Ja",ISNUMBER(W589)),W589,IF(BV589="2+3",IF(ISNUMBER(SEARCH("grosser Artikel",BO589)),2,IFERROR(VLOOKUP(BR589,Parameter!$F$35:$G$64,2,0),2)),IF(OR(BV589="Nein",BV589=""),"-",BV589))))</f>
        <v>3</v>
      </c>
      <c r="AA589" s="62"/>
      <c r="AB589" s="63"/>
      <c r="AC589" s="57" t="n">
        <f aca="false">AR589</f>
        <v>27</v>
      </c>
      <c r="AD589" s="57" t="n">
        <f aca="false">MAX(AR589,H589)</f>
        <v>27</v>
      </c>
      <c r="AE589" s="64"/>
      <c r="AF589" s="57" t="n">
        <f aca="false">IF(LEFT(Cockpit!$C$5,1)="A",H589,IF(CA589=1,CB589,IF(LEFT(Cockpit!$C$5,1)="B",AJ589,MAX(AJ589,H589))))</f>
        <v>8</v>
      </c>
      <c r="AG589" s="57" t="n">
        <f aca="false">IF(BT589=1,0,ROUNDUP(AF589/BS589,0))</f>
        <v>1</v>
      </c>
      <c r="AH589" s="59" t="n">
        <f aca="false">IF(CH589&gt;0,CH589*MAX(1,AF589/X589),IF(BT589=1,IF(AF589&lt;=0,0,BW589*MAX(1,IF(H589&gt;0,AF589/H589,1))),IF(R589&gt;0,AG589/R589,0))/MAX(0.1,N(Parameter!$M$21)))</f>
        <v>0.0151515151515152</v>
      </c>
      <c r="AI589" s="57" t="n">
        <f aca="false">AF589*G589</f>
        <v>351.44</v>
      </c>
      <c r="AJ589" s="57" t="n">
        <f aca="false">ROUNDUP(MAX(J589/IF(BZ589&gt;0,BZ589,MAX(0.1,N(Cockpit!$C$6))),CC589)/BS589,0)*BS589</f>
        <v>27</v>
      </c>
      <c r="AK589" s="58" t="n">
        <f aca="false">IF(AH589&gt;0,J589/AH589,-1)</f>
        <v>792</v>
      </c>
      <c r="AL589" s="58" t="n">
        <f aca="false">IF(AND(OR(BY589="L1",BY589="L23"),AH589&gt;0),SUMIFS($AH$7:$AH$1843,$BY$7:$BY$1843,BY589,$AK$7:$AK$1843,"&gt;"&amp;AK589)+SUMIFS($AH$7:$AH$1843,$BY$7:$BY$1843,BY589,$AK$7:$AK$1843,AK589,$BQ$7:$BQ$1843,"&lt;="&amp;BQ589),"")</f>
        <v>20.792735042735</v>
      </c>
      <c r="AM589" s="65" t="n">
        <f aca="false">IF(AL589="",0,MAX(0,MIN(1,(IF(BY589="L1",Parameter!$E$5,Parameter!$E$6+Parameter!$E$7)-(AL589-AH589))/AH589)))</f>
        <v>1</v>
      </c>
      <c r="AN589" s="57" t="n">
        <f aca="false">IF(LEFT(Cockpit!$I$5,1)="A",H589,IF(CA589=1,CB589,IF(LEFT(Cockpit!$I$5,1)="B",AR589,MAX(AR589,H589))))</f>
        <v>27</v>
      </c>
      <c r="AO589" s="57" t="n">
        <f aca="false">IF(BT589=1,0,ROUNDUP(AN589/BS589,0))</f>
        <v>1</v>
      </c>
      <c r="AP589" s="59" t="n">
        <f aca="false">IF(CH589&gt;0,CH589*MAX(1,AN589/X589),IF(BT589=1,IF(AN589&lt;=0,0,BW589*MAX(1,IF(H589&gt;0,AN589/H589,1))),IF(R589&gt;0,AO589/R589,0))/MAX(0.1,N(Parameter!$M$21)))</f>
        <v>0.0151515151515152</v>
      </c>
      <c r="AQ589" s="57" t="n">
        <f aca="false">AN589*G589</f>
        <v>1186.11</v>
      </c>
      <c r="AR589" s="57" t="n">
        <f aca="false">ROUNDUP(MAX(J589/IF(BZ589&gt;0,BZ589,MAX(0.1,N(Cockpit!$I$6))),CC589)/BS589,0)*BS589</f>
        <v>27</v>
      </c>
      <c r="AS589" s="58" t="n">
        <f aca="false">IF(AP589&gt;0,J589/AP589,-1)</f>
        <v>792</v>
      </c>
      <c r="AT589" s="58" t="n">
        <f aca="false">IF(AND(OR(BY589="L1",BY589="L23"),AP589&gt;0),SUMIFS($AP$7:$AP$1843,$BY$7:$BY$1843,BY589,$AS$7:$AS$1843,"&gt;"&amp;AS589)+SUMIFS($AP$7:$AP$1843,$BY$7:$BY$1843,BY589,$AS$7:$AS$1843,AS589,$BQ$7:$BQ$1843,"&lt;="&amp;BQ589),"")</f>
        <v>26.5374818418297</v>
      </c>
      <c r="AU589" s="65" t="n">
        <f aca="false">IF(AT589="",0,MAX(0,MIN(1,(IF(BY589="L1",Parameter!$E$5,Parameter!$E$6+Parameter!$E$7)-(AT589-AP589))/AP589)))</f>
        <v>1</v>
      </c>
      <c r="AV589" s="57" t="n">
        <f aca="false">IF(LEFT(Cockpit!$O$5,1)="A",H589,IF(CA589=1,CB589,IF(LEFT(Cockpit!$O$5,1)="B",AZ589,MAX(AZ589,H589))))</f>
        <v>27</v>
      </c>
      <c r="AW589" s="57" t="n">
        <f aca="false">IF(BT589=1,0,ROUNDUP(AV589/BS589,0))</f>
        <v>1</v>
      </c>
      <c r="AX589" s="59" t="n">
        <f aca="false">IF(CH589&gt;0,CH589*MAX(1,AV589/X589),IF(BT589=1,IF(AV589&lt;=0,0,BW589*MAX(1,IF(H589&gt;0,AV589/H589,1))),IF(R589&gt;0,AW589/R589,0))/MAX(0.1,N(Parameter!$M$21)))</f>
        <v>0.0151515151515152</v>
      </c>
      <c r="AY589" s="57" t="n">
        <f aca="false">AV589*G589</f>
        <v>1186.11</v>
      </c>
      <c r="AZ589" s="57" t="n">
        <f aca="false">ROUNDUP(MAX(J589/IF(BZ589&gt;0,BZ589,MAX(0.1,N(Cockpit!$O$6))),CC589)/BS589,0)*BS589</f>
        <v>27</v>
      </c>
      <c r="BA589" s="58" t="n">
        <f aca="false">IF(AX589&gt;0,J589/AX589,-1)</f>
        <v>792</v>
      </c>
      <c r="BB589" s="58" t="n">
        <f aca="false">IF(AND(OR(BY589="L1",BY589="L23"),AX589&gt;0),SUMIFS($AX$7:$AX$1843,$BY$7:$BY$1843,BY589,$BA$7:$BA$1843,"&gt;"&amp;BA589)+SUMIFS($AX$7:$AX$1843,$BY$7:$BY$1843,BY589,$BA$7:$BA$1843,BA589,$BQ$7:$BQ$1843,"&lt;="&amp;BQ589),"")</f>
        <v>25.9891135434614</v>
      </c>
      <c r="BC589" s="65" t="n">
        <f aca="false">IF(BB589="",0,MAX(0,MIN(1,(IF(BY589="L1",Parameter!$E$5,Parameter!$E$6+Parameter!$E$7)-(BB589-AX589))/AX589)))</f>
        <v>1</v>
      </c>
      <c r="BD589" s="55" t="str">
        <f aca="false">IF(AH589&lt;=0,"",IF(BY589="Aussen","Aussenlager",IF(BY589="-","Nicht im Lift",IF(AM589&gt;=1,"Lift",IF(AM589&lt;=0,"Aussenlager","teilweise")))))</f>
        <v>Lift</v>
      </c>
      <c r="BE589" s="55" t="str">
        <f aca="false">IF(AP589&lt;=0,"",IF(BY589="Aussen","Aussenlager",IF(BY589="-","Nicht im Lift",IF(AU589&gt;=1,"Lift",IF(AU589&lt;=0,"Aussenlager","teilweise")))))</f>
        <v>Lift</v>
      </c>
      <c r="BF589" s="55" t="str">
        <f aca="false">IF(AX589&lt;=0,"",IF(BY589="Aussen","Aussenlager",IF(BY589="-","Nicht im Lift",IF(BC589&gt;=1,"Lift",IF(BC589&lt;=0,"Aussenlager","teilweise")))))</f>
        <v>Lift</v>
      </c>
      <c r="BG589" s="55" t="str">
        <f aca="false">IF(A589="","",IF(BP589=1,"Neu; ","")&amp;IF(AND(BP589=0,BK589&lt;0),"negativer Bestand (Export "&amp;BK589&amp;"); ","")&amp;IF(J589&lt;=0,"Kein Verbrauch; ","")&amp;IF(CH589&gt;0,"Lift "&amp;W589&amp;" lt. Liftbericht (Fach "&amp;X589&amp;" Stk); ",IF(BU589=1,"Gebinde geschätzt ("&amp;T589&amp;"); ",IF(BT589=1,"Lose – Tablare geschätzt; ","")))&amp;IF(H589&gt;AR589,"Überbestand "&amp;ROUND(H589-AR589,0)&amp;" Stk / CHF "&amp;ROUND((H589-AR589)*G589,0)&amp;"; ","")&amp;IF(AND(CA589=1,CB589&lt;CC589),"MAX &lt; MB+LG; ","")&amp;IF(AND(CG589&gt;0,CF589*10&gt;CG589),"zu hoch für Tablar; ","")&amp;IF(AND(BP589=0,OR(CA589=1,AA589&lt;&gt;"",U589&lt;&gt;"",V589&lt;&gt;"",AB589&lt;&gt;"")),"manuell übersteuert; ","")&amp;IF(AND(BT589=0,R589=0),"Gebinde unbekannt / Stellmass fehlt; ","")&amp;IF(AND(BT589=0,N(V589)&lt;=0,N(Q589)&lt;=0),"Menge pro Gebinde fehlt (Ist = 1 Gebinde); ","")&amp;BO589)</f>
        <v/>
      </c>
      <c r="BH589" s="55"/>
      <c r="BI589" s="55"/>
      <c r="BJ589" s="62"/>
      <c r="BK589" s="57" t="n">
        <v>0</v>
      </c>
      <c r="BL589" s="57" t="n">
        <v>8</v>
      </c>
      <c r="BM589" s="56" t="n">
        <v>8.15999999999988</v>
      </c>
      <c r="BN589" s="57" t="n">
        <v>12</v>
      </c>
      <c r="BO589" s="55"/>
      <c r="BP589" s="60" t="n">
        <v>0</v>
      </c>
      <c r="BQ589" s="60" t="n">
        <v>589</v>
      </c>
      <c r="BR589" s="55" t="str">
        <f aca="false">IF(U589&lt;&gt;"",UPPER(TRIM(U589)),IF(BU589=1,UPPER(VLOOKUP(T589,Parameter!$I$27:$K$29,2,0)),IF(P589="","LOSE",P589)))</f>
        <v>S33</v>
      </c>
      <c r="BS589" s="57" t="n">
        <f aca="false">IF(BR589="LOSE",1,IF(N(V589)&gt;0,V589,IF(BU589=1,MAX(1,N(VLOOKUP(T589,Parameter!$I$27:$K$29,3,0)),H589,N(N589)),IF(N(Q589)&gt;0,Q589,MAX(1,H589)))))</f>
        <v>27</v>
      </c>
      <c r="BT589" s="60" t="n">
        <f aca="false">IF(BR589="LOSE",1,0)</f>
        <v>0</v>
      </c>
      <c r="BU589" s="60" t="n">
        <f aca="false">IF(AND(U589="",OR(P589="",P589="LOSE"),T589&lt;&gt;"",N(S589)&lt;=0,ISNUMBER(MATCH(T589,Parameter!$I$27:$I$29,0))),1,0)</f>
        <v>0</v>
      </c>
      <c r="BV589" s="55" t="str">
        <f aca="false">IF(AND(Parameter!$B$19="Ja",E589&lt;&gt;"",ISNUMBER(MATCH(E589,Parameter!$I$35:$I$52,0))),VLOOKUP(E589,Parameter!$I$35:$J$52,2,0),IFERROR(VLOOKUP(D589,Parameter!$A$35:$C$64,2,0),"Nein"))</f>
        <v>2+3</v>
      </c>
      <c r="BW589" s="59" t="n">
        <f aca="false">IF(BT589=0,0,IF(N(S589)&gt;0,S589,IFERROR(VLOOKUP(D589,Parameter!$A$35:$C$64,3,0)+0,0)))</f>
        <v>0</v>
      </c>
      <c r="BX589" s="55" t="n">
        <f aca="false">IF(AA589&lt;&gt;"",AA589,Z589)</f>
        <v>3</v>
      </c>
      <c r="BY589" s="55" t="str">
        <f aca="false">IF(BX589=1,"L1",IF(OR(BX589=2,BX589=3),"L23",IF(BX589="Aussen","Aussen","-")))</f>
        <v>L23</v>
      </c>
      <c r="BZ589" s="66" t="n">
        <f aca="false">IF(N(AB589)&gt;0,AB589,0)</f>
        <v>0</v>
      </c>
      <c r="CA589" s="60" t="n">
        <f aca="false">IF(ISNUMBER(AE589),1,0)</f>
        <v>0</v>
      </c>
      <c r="CB589" s="57" t="n">
        <f aca="false">N(AE589)</f>
        <v>0</v>
      </c>
      <c r="CC589" s="57" t="n">
        <f aca="false">N(M589)+N(N589)</f>
        <v>11</v>
      </c>
      <c r="CD589" s="57" t="n">
        <f aca="false">ROUNDUP(H589/BS589,0)</f>
        <v>1</v>
      </c>
      <c r="CE589" s="57" t="n">
        <f aca="false">ROUNDUP(CB589/BS589,0)</f>
        <v>0</v>
      </c>
      <c r="CF589" s="60" t="n">
        <f aca="false">IF(BT589=1,0,IFERROR(VLOOKUP(BR589,'Gebinde-Kategorie'!$A$5:$M$45,5,0)+0,0))</f>
        <v>8</v>
      </c>
      <c r="CG589" s="60" t="n">
        <f aca="false">IFERROR(IF(OR(BX589=1,BX589=2,BX589=3),N(INDEX(Parameter!$I$5:$I$7,BX589)),0),0)</f>
        <v>0</v>
      </c>
      <c r="CH589" s="59" t="n">
        <f aca="false">IF(AND(Parameter!$B$21="Ja",ISNUMBER(W589),N(X589)&gt;0),IFERROR(N(INDEX(Parameter!$L$5:$L$7,W589))*INDEX(Parameter!$E$5:$E$7,W589)*X589/SUMIFS($X$7:$X$1843,$W$7:$W$1843,W589),0),0)</f>
        <v>0</v>
      </c>
    </row>
    <row r="590" customFormat="false" ht="15" hidden="false" customHeight="false" outlineLevel="0" collapsed="false">
      <c r="A590" s="55" t="s">
        <v>1230</v>
      </c>
      <c r="B590" s="55" t="s">
        <v>631</v>
      </c>
      <c r="C590" s="55" t="s">
        <v>164</v>
      </c>
      <c r="D590" s="55" t="s">
        <v>184</v>
      </c>
      <c r="E590" s="55"/>
      <c r="F590" s="55" t="s">
        <v>218</v>
      </c>
      <c r="G590" s="56" t="n">
        <v>2.6</v>
      </c>
      <c r="H590" s="57" t="n">
        <f aca="false">MAX(0,IF(AND(Parameter!$B$21="Ja",ISNUMBER(Y590)),Y590,IF(Parameter!$B$20="Jahresanfang 2025 + Export",BL590+BK590,BK590)))</f>
        <v>70</v>
      </c>
      <c r="I590" s="57" t="n">
        <f aca="false">H590*G590</f>
        <v>182</v>
      </c>
      <c r="J590" s="57" t="n">
        <f aca="false">BN590*Parameter!$B$18</f>
        <v>0</v>
      </c>
      <c r="K590" s="58" t="n">
        <v>68.5</v>
      </c>
      <c r="L590" s="59" t="n">
        <v>0</v>
      </c>
      <c r="M590" s="57" t="n">
        <v>0</v>
      </c>
      <c r="N590" s="57" t="n">
        <v>1</v>
      </c>
      <c r="O590" s="60" t="n">
        <v>28</v>
      </c>
      <c r="P590" s="55" t="s">
        <v>401</v>
      </c>
      <c r="Q590" s="57" t="n">
        <v>100</v>
      </c>
      <c r="R590" s="60" t="n">
        <f aca="false">IF(BT590=1,0,IFERROR(VLOOKUP(BR590,'Gebinde-Kategorie'!$A$5:$M$45,13,0)+0,0))</f>
        <v>414</v>
      </c>
      <c r="S590" s="61"/>
      <c r="T590" s="62"/>
      <c r="U590" s="62"/>
      <c r="V590" s="62"/>
      <c r="W590" s="55"/>
      <c r="X590" s="57"/>
      <c r="Y590" s="57"/>
      <c r="Z590" s="55" t="n">
        <f aca="false">IF(A590="","",IF(AND(Parameter!$B$21="Ja",ISNUMBER(W590)),W590,IF(BV590="2+3",IF(ISNUMBER(SEARCH("grosser Artikel",BO590)),2,IFERROR(VLOOKUP(BR590,Parameter!$F$35:$G$64,2,0),2)),IF(OR(BV590="Nein",BV590=""),"-",BV590))))</f>
        <v>3</v>
      </c>
      <c r="AA590" s="62"/>
      <c r="AB590" s="63"/>
      <c r="AC590" s="57" t="n">
        <f aca="false">AR590</f>
        <v>100</v>
      </c>
      <c r="AD590" s="57" t="n">
        <f aca="false">MAX(AR590,H590)</f>
        <v>100</v>
      </c>
      <c r="AE590" s="64"/>
      <c r="AF590" s="57" t="n">
        <f aca="false">IF(LEFT(Cockpit!$C$5,1)="A",H590,IF(CA590=1,CB590,IF(LEFT(Cockpit!$C$5,1)="B",AJ590,MAX(AJ590,H590))))</f>
        <v>70</v>
      </c>
      <c r="AG590" s="57" t="n">
        <f aca="false">IF(BT590=1,0,ROUNDUP(AF590/BS590,0))</f>
        <v>1</v>
      </c>
      <c r="AH590" s="59" t="n">
        <f aca="false">IF(CH590&gt;0,CH590*MAX(1,AF590/X590),IF(BT590=1,IF(AF590&lt;=0,0,BW590*MAX(1,IF(H590&gt;0,AF590/H590,1))),IF(R590&gt;0,AG590/R590,0))/MAX(0.1,N(Parameter!$M$21)))</f>
        <v>0.00241545893719807</v>
      </c>
      <c r="AI590" s="57" t="n">
        <f aca="false">AF590*G590</f>
        <v>182</v>
      </c>
      <c r="AJ590" s="57" t="n">
        <f aca="false">ROUNDUP(MAX(J590/IF(BZ590&gt;0,BZ590,MAX(0.1,N(Cockpit!$C$6))),CC590)/BS590,0)*BS590</f>
        <v>100</v>
      </c>
      <c r="AK590" s="58" t="n">
        <f aca="false">IF(AH590&gt;0,J590/AH590,-1)</f>
        <v>0</v>
      </c>
      <c r="AL590" s="58" t="n">
        <f aca="false">IF(AND(OR(BY590="L1",BY590="L23"),AH590&gt;0),SUMIFS($AH$7:$AH$1843,$BY$7:$BY$1843,BY590,$AK$7:$AK$1843,"&gt;"&amp;AK590)+SUMIFS($AH$7:$AH$1843,$BY$7:$BY$1843,BY590,$AK$7:$AK$1843,AK590,$BQ$7:$BQ$1843,"&lt;="&amp;BQ590),"")</f>
        <v>76.0433769129421</v>
      </c>
      <c r="AM590" s="65" t="n">
        <f aca="false">IF(AL590="",0,MAX(0,MIN(1,(IF(BY590="L1",Parameter!$E$5,Parameter!$E$6+Parameter!$E$7)-(AL590-AH590))/AH590)))</f>
        <v>1</v>
      </c>
      <c r="AN590" s="57" t="n">
        <f aca="false">IF(LEFT(Cockpit!$I$5,1)="A",H590,IF(CA590=1,CB590,IF(LEFT(Cockpit!$I$5,1)="B",AR590,MAX(AR590,H590))))</f>
        <v>100</v>
      </c>
      <c r="AO590" s="57" t="n">
        <f aca="false">IF(BT590=1,0,ROUNDUP(AN590/BS590,0))</f>
        <v>1</v>
      </c>
      <c r="AP590" s="59" t="n">
        <f aca="false">IF(CH590&gt;0,CH590*MAX(1,AN590/X590),IF(BT590=1,IF(AN590&lt;=0,0,BW590*MAX(1,IF(H590&gt;0,AN590/H590,1))),IF(R590&gt;0,AO590/R590,0))/MAX(0.1,N(Parameter!$M$21)))</f>
        <v>0.00241545893719807</v>
      </c>
      <c r="AQ590" s="57" t="n">
        <f aca="false">AN590*G590</f>
        <v>260</v>
      </c>
      <c r="AR590" s="57" t="n">
        <f aca="false">ROUNDUP(MAX(J590/IF(BZ590&gt;0,BZ590,MAX(0.1,N(Cockpit!$I$6))),CC590)/BS590,0)*BS590</f>
        <v>100</v>
      </c>
      <c r="AS590" s="58" t="n">
        <f aca="false">IF(AP590&gt;0,J590/AP590,-1)</f>
        <v>0</v>
      </c>
      <c r="AT590" s="58" t="n">
        <f aca="false">IF(AND(OR(BY590="L1",BY590="L23"),AP590&gt;0),SUMIFS($AP$7:$AP$1843,$BY$7:$BY$1843,BY590,$AS$7:$AS$1843,"&gt;"&amp;AS590)+SUMIFS($AP$7:$AP$1843,$BY$7:$BY$1843,BY590,$AS$7:$AS$1843,AS590,$BQ$7:$BQ$1843,"&lt;="&amp;BQ590),"")</f>
        <v>115.467501097936</v>
      </c>
      <c r="AU590" s="65" t="n">
        <f aca="false">IF(AT590="",0,MAX(0,MIN(1,(IF(BY590="L1",Parameter!$E$5,Parameter!$E$6+Parameter!$E$7)-(AT590-AP590))/AP590)))</f>
        <v>0</v>
      </c>
      <c r="AV590" s="57" t="n">
        <f aca="false">IF(LEFT(Cockpit!$O$5,1)="A",H590,IF(CA590=1,CB590,IF(LEFT(Cockpit!$O$5,1)="B",AZ590,MAX(AZ590,H590))))</f>
        <v>100</v>
      </c>
      <c r="AW590" s="57" t="n">
        <f aca="false">IF(BT590=1,0,ROUNDUP(AV590/BS590,0))</f>
        <v>1</v>
      </c>
      <c r="AX590" s="59" t="n">
        <f aca="false">IF(CH590&gt;0,CH590*MAX(1,AV590/X590),IF(BT590=1,IF(AV590&lt;=0,0,BW590*MAX(1,IF(H590&gt;0,AV590/H590,1))),IF(R590&gt;0,AW590/R590,0))/MAX(0.1,N(Parameter!$M$21)))</f>
        <v>0.00241545893719807</v>
      </c>
      <c r="AY590" s="57" t="n">
        <f aca="false">AV590*G590</f>
        <v>260</v>
      </c>
      <c r="AZ590" s="57" t="n">
        <f aca="false">ROUNDUP(MAX(J590/IF(BZ590&gt;0,BZ590,MAX(0.1,N(Cockpit!$O$6))),CC590)/BS590,0)*BS590</f>
        <v>100</v>
      </c>
      <c r="BA590" s="58" t="n">
        <f aca="false">IF(AX590&gt;0,J590/AX590,-1)</f>
        <v>0</v>
      </c>
      <c r="BB590" s="58" t="n">
        <f aca="false">IF(AND(OR(BY590="L1",BY590="L23"),AX590&gt;0),SUMIFS($AX$7:$AX$1843,$BY$7:$BY$1843,BY590,$BA$7:$BA$1843,"&gt;"&amp;BA590)+SUMIFS($AX$7:$AX$1843,$BY$7:$BY$1843,BY590,$BA$7:$BA$1843,BA590,$BQ$7:$BQ$1843,"&lt;="&amp;BQ590),"")</f>
        <v>106.297337927773</v>
      </c>
      <c r="BC590" s="65" t="n">
        <f aca="false">IF(BB590="",0,MAX(0,MIN(1,(IF(BY590="L1",Parameter!$E$5,Parameter!$E$6+Parameter!$E$7)-(BB590-AX590))/AX590)))</f>
        <v>0</v>
      </c>
      <c r="BD590" s="55" t="str">
        <f aca="false">IF(AH590&lt;=0,"",IF(BY590="Aussen","Aussenlager",IF(BY590="-","Nicht im Lift",IF(AM590&gt;=1,"Lift",IF(AM590&lt;=0,"Aussenlager","teilweise")))))</f>
        <v>Lift</v>
      </c>
      <c r="BE590" s="55" t="str">
        <f aca="false">IF(AP590&lt;=0,"",IF(BY590="Aussen","Aussenlager",IF(BY590="-","Nicht im Lift",IF(AU590&gt;=1,"Lift",IF(AU590&lt;=0,"Aussenlager","teilweise")))))</f>
        <v>Aussenlager</v>
      </c>
      <c r="BF590" s="55" t="str">
        <f aca="false">IF(AX590&lt;=0,"",IF(BY590="Aussen","Aussenlager",IF(BY590="-","Nicht im Lift",IF(BC590&gt;=1,"Lift",IF(BC590&lt;=0,"Aussenlager","teilweise")))))</f>
        <v>Aussenlager</v>
      </c>
      <c r="BG590" s="55" t="str">
        <f aca="false">IF(A590="","",IF(BP590=1,"Neu; ","")&amp;IF(AND(BP590=0,BK590&lt;0),"negativer Bestand (Export "&amp;BK590&amp;"); ","")&amp;IF(J590&lt;=0,"Kein Verbrauch; ","")&amp;IF(CH590&gt;0,"Lift "&amp;W590&amp;" lt. Liftbericht (Fach "&amp;X590&amp;" Stk); ",IF(BU590=1,"Gebinde geschätzt ("&amp;T590&amp;"); ",IF(BT590=1,"Lose – Tablare geschätzt; ","")))&amp;IF(H590&gt;AR590,"Überbestand "&amp;ROUND(H590-AR590,0)&amp;" Stk / CHF "&amp;ROUND((H590-AR590)*G590,0)&amp;"; ","")&amp;IF(AND(CA590=1,CB590&lt;CC590),"MAX &lt; MB+LG; ","")&amp;IF(AND(CG590&gt;0,CF590*10&gt;CG590),"zu hoch für Tablar; ","")&amp;IF(AND(BP590=0,OR(CA590=1,AA590&lt;&gt;"",U590&lt;&gt;"",V590&lt;&gt;"",AB590&lt;&gt;"")),"manuell übersteuert; ","")&amp;IF(AND(BT590=0,R590=0),"Gebinde unbekannt / Stellmass fehlt; ","")&amp;IF(AND(BT590=0,N(V590)&lt;=0,N(Q590)&lt;=0),"Menge pro Gebinde fehlt (Ist = 1 Gebinde); ","")&amp;BO590)</f>
        <v>Kein Verbrauch; </v>
      </c>
      <c r="BH590" s="55"/>
      <c r="BI590" s="55"/>
      <c r="BJ590" s="62"/>
      <c r="BK590" s="57" t="n">
        <v>3</v>
      </c>
      <c r="BL590" s="57" t="n">
        <v>67</v>
      </c>
      <c r="BM590" s="56" t="n">
        <v>7.8</v>
      </c>
      <c r="BN590" s="57" t="n">
        <v>0</v>
      </c>
      <c r="BO590" s="55"/>
      <c r="BP590" s="60" t="n">
        <v>0</v>
      </c>
      <c r="BQ590" s="60" t="n">
        <v>590</v>
      </c>
      <c r="BR590" s="55" t="str">
        <f aca="false">IF(U590&lt;&gt;"",UPPER(TRIM(U590)),IF(BU590=1,UPPER(VLOOKUP(T590,Parameter!$I$27:$K$29,2,0)),IF(P590="","LOSE",P590)))</f>
        <v>S21</v>
      </c>
      <c r="BS590" s="57" t="n">
        <f aca="false">IF(BR590="LOSE",1,IF(N(V590)&gt;0,V590,IF(BU590=1,MAX(1,N(VLOOKUP(T590,Parameter!$I$27:$K$29,3,0)),H590,N(N590)),IF(N(Q590)&gt;0,Q590,MAX(1,H590)))))</f>
        <v>100</v>
      </c>
      <c r="BT590" s="60" t="n">
        <f aca="false">IF(BR590="LOSE",1,0)</f>
        <v>0</v>
      </c>
      <c r="BU590" s="60" t="n">
        <f aca="false">IF(AND(U590="",OR(P590="",P590="LOSE"),T590&lt;&gt;"",N(S590)&lt;=0,ISNUMBER(MATCH(T590,Parameter!$I$27:$I$29,0))),1,0)</f>
        <v>0</v>
      </c>
      <c r="BV590" s="55" t="str">
        <f aca="false">IF(AND(Parameter!$B$19="Ja",E590&lt;&gt;"",ISNUMBER(MATCH(E590,Parameter!$I$35:$I$52,0))),VLOOKUP(E590,Parameter!$I$35:$J$52,2,0),IFERROR(VLOOKUP(D590,Parameter!$A$35:$C$64,2,0),"Nein"))</f>
        <v>2+3</v>
      </c>
      <c r="BW590" s="59" t="n">
        <f aca="false">IF(BT590=0,0,IF(N(S590)&gt;0,S590,IFERROR(VLOOKUP(D590,Parameter!$A$35:$C$64,3,0)+0,0)))</f>
        <v>0</v>
      </c>
      <c r="BX590" s="55" t="n">
        <f aca="false">IF(AA590&lt;&gt;"",AA590,Z590)</f>
        <v>3</v>
      </c>
      <c r="BY590" s="55" t="str">
        <f aca="false">IF(BX590=1,"L1",IF(OR(BX590=2,BX590=3),"L23",IF(BX590="Aussen","Aussen","-")))</f>
        <v>L23</v>
      </c>
      <c r="BZ590" s="66" t="n">
        <f aca="false">IF(N(AB590)&gt;0,AB590,0)</f>
        <v>0</v>
      </c>
      <c r="CA590" s="60" t="n">
        <f aca="false">IF(ISNUMBER(AE590),1,0)</f>
        <v>0</v>
      </c>
      <c r="CB590" s="57" t="n">
        <f aca="false">N(AE590)</f>
        <v>0</v>
      </c>
      <c r="CC590" s="57" t="n">
        <f aca="false">N(M590)+N(N590)</f>
        <v>1</v>
      </c>
      <c r="CD590" s="57" t="n">
        <f aca="false">ROUNDUP(H590/BS590,0)</f>
        <v>1</v>
      </c>
      <c r="CE590" s="57" t="n">
        <f aca="false">ROUNDUP(CB590/BS590,0)</f>
        <v>0</v>
      </c>
      <c r="CF590" s="60" t="n">
        <f aca="false">IF(BT590=1,0,IFERROR(VLOOKUP(BR590,'Gebinde-Kategorie'!$A$5:$M$45,5,0)+0,0))</f>
        <v>8</v>
      </c>
      <c r="CG590" s="60" t="n">
        <f aca="false">IFERROR(IF(OR(BX590=1,BX590=2,BX590=3),N(INDEX(Parameter!$I$5:$I$7,BX590)),0),0)</f>
        <v>0</v>
      </c>
      <c r="CH590" s="59" t="n">
        <f aca="false">IF(AND(Parameter!$B$21="Ja",ISNUMBER(W590),N(X590)&gt;0),IFERROR(N(INDEX(Parameter!$L$5:$L$7,W590))*INDEX(Parameter!$E$5:$E$7,W590)*X590/SUMIFS($X$7:$X$1843,$W$7:$W$1843,W590),0),0)</f>
        <v>0</v>
      </c>
    </row>
    <row r="591" customFormat="false" ht="15" hidden="false" customHeight="false" outlineLevel="0" collapsed="false">
      <c r="A591" s="55" t="s">
        <v>1231</v>
      </c>
      <c r="B591" s="55" t="s">
        <v>589</v>
      </c>
      <c r="C591" s="55" t="s">
        <v>164</v>
      </c>
      <c r="D591" s="55" t="s">
        <v>184</v>
      </c>
      <c r="E591" s="55"/>
      <c r="F591" s="55" t="s">
        <v>218</v>
      </c>
      <c r="G591" s="56" t="n">
        <v>2.6</v>
      </c>
      <c r="H591" s="57" t="n">
        <f aca="false">MAX(0,IF(AND(Parameter!$B$21="Ja",ISNUMBER(Y591)),Y591,IF(Parameter!$B$20="Jahresanfang 2025 + Export",BL591+BK591,BK591)))</f>
        <v>3</v>
      </c>
      <c r="I591" s="57" t="n">
        <f aca="false">H591*G591</f>
        <v>7.8</v>
      </c>
      <c r="J591" s="57" t="n">
        <f aca="false">BN591*Parameter!$B$18</f>
        <v>2</v>
      </c>
      <c r="K591" s="58" t="n">
        <v>9</v>
      </c>
      <c r="L591" s="59" t="n">
        <v>0.222222222222222</v>
      </c>
      <c r="M591" s="57" t="n">
        <v>0</v>
      </c>
      <c r="N591" s="57" t="n">
        <v>10</v>
      </c>
      <c r="O591" s="60" t="n">
        <v>14</v>
      </c>
      <c r="P591" s="55" t="s">
        <v>401</v>
      </c>
      <c r="Q591" s="57" t="n">
        <v>20</v>
      </c>
      <c r="R591" s="60" t="n">
        <f aca="false">IF(BT591=1,0,IFERROR(VLOOKUP(BR591,'Gebinde-Kategorie'!$A$5:$M$45,13,0)+0,0))</f>
        <v>414</v>
      </c>
      <c r="S591" s="61"/>
      <c r="T591" s="62"/>
      <c r="U591" s="62"/>
      <c r="V591" s="62"/>
      <c r="W591" s="55"/>
      <c r="X591" s="57"/>
      <c r="Y591" s="57"/>
      <c r="Z591" s="55" t="n">
        <f aca="false">IF(A591="","",IF(AND(Parameter!$B$21="Ja",ISNUMBER(W591)),W591,IF(BV591="2+3",IF(ISNUMBER(SEARCH("grosser Artikel",BO591)),2,IFERROR(VLOOKUP(BR591,Parameter!$F$35:$G$64,2,0),2)),IF(OR(BV591="Nein",BV591=""),"-",BV591))))</f>
        <v>3</v>
      </c>
      <c r="AA591" s="62"/>
      <c r="AB591" s="63"/>
      <c r="AC591" s="57" t="n">
        <f aca="false">AR591</f>
        <v>20</v>
      </c>
      <c r="AD591" s="57" t="n">
        <f aca="false">MAX(AR591,H591)</f>
        <v>20</v>
      </c>
      <c r="AE591" s="64"/>
      <c r="AF591" s="57" t="n">
        <f aca="false">IF(LEFT(Cockpit!$C$5,1)="A",H591,IF(CA591=1,CB591,IF(LEFT(Cockpit!$C$5,1)="B",AJ591,MAX(AJ591,H591))))</f>
        <v>3</v>
      </c>
      <c r="AG591" s="57" t="n">
        <f aca="false">IF(BT591=1,0,ROUNDUP(AF591/BS591,0))</f>
        <v>1</v>
      </c>
      <c r="AH591" s="59" t="n">
        <f aca="false">IF(CH591&gt;0,CH591*MAX(1,AF591/X591),IF(BT591=1,IF(AF591&lt;=0,0,BW591*MAX(1,IF(H591&gt;0,AF591/H591,1))),IF(R591&gt;0,AG591/R591,0))/MAX(0.1,N(Parameter!$M$21)))</f>
        <v>0.00241545893719807</v>
      </c>
      <c r="AI591" s="57" t="n">
        <f aca="false">AF591*G591</f>
        <v>7.8</v>
      </c>
      <c r="AJ591" s="57" t="n">
        <f aca="false">ROUNDUP(MAX(J591/IF(BZ591&gt;0,BZ591,MAX(0.1,N(Cockpit!$C$6))),CC591)/BS591,0)*BS591</f>
        <v>20</v>
      </c>
      <c r="AK591" s="58" t="n">
        <f aca="false">IF(AH591&gt;0,J591/AH591,-1)</f>
        <v>828</v>
      </c>
      <c r="AL591" s="58" t="n">
        <f aca="false">IF(AND(OR(BY591="L1",BY591="L23"),AH591&gt;0),SUMIFS($AH$7:$AH$1843,$BY$7:$BY$1843,BY591,$AK$7:$AK$1843,"&gt;"&amp;AK591)+SUMIFS($AH$7:$AH$1843,$BY$7:$BY$1843,BY591,$AK$7:$AK$1843,AK591,$BQ$7:$BQ$1843,"&lt;="&amp;BQ591),"")</f>
        <v>20.7249923989054</v>
      </c>
      <c r="AM591" s="65" t="n">
        <f aca="false">IF(AL591="",0,MAX(0,MIN(1,(IF(BY591="L1",Parameter!$E$5,Parameter!$E$6+Parameter!$E$7)-(AL591-AH591))/AH591)))</f>
        <v>1</v>
      </c>
      <c r="AN591" s="57" t="n">
        <f aca="false">IF(LEFT(Cockpit!$I$5,1)="A",H591,IF(CA591=1,CB591,IF(LEFT(Cockpit!$I$5,1)="B",AR591,MAX(AR591,H591))))</f>
        <v>20</v>
      </c>
      <c r="AO591" s="57" t="n">
        <f aca="false">IF(BT591=1,0,ROUNDUP(AN591/BS591,0))</f>
        <v>1</v>
      </c>
      <c r="AP591" s="59" t="n">
        <f aca="false">IF(CH591&gt;0,CH591*MAX(1,AN591/X591),IF(BT591=1,IF(AN591&lt;=0,0,BW591*MAX(1,IF(H591&gt;0,AN591/H591,1))),IF(R591&gt;0,AO591/R591,0))/MAX(0.1,N(Parameter!$M$21)))</f>
        <v>0.00241545893719807</v>
      </c>
      <c r="AQ591" s="57" t="n">
        <f aca="false">AN591*G591</f>
        <v>52</v>
      </c>
      <c r="AR591" s="57" t="n">
        <f aca="false">ROUNDUP(MAX(J591/IF(BZ591&gt;0,BZ591,MAX(0.1,N(Cockpit!$I$6))),CC591)/BS591,0)*BS591</f>
        <v>20</v>
      </c>
      <c r="AS591" s="58" t="n">
        <f aca="false">IF(AP591&gt;0,J591/AP591,-1)</f>
        <v>828</v>
      </c>
      <c r="AT591" s="58" t="n">
        <f aca="false">IF(AND(OR(BY591="L1",BY591="L23"),AP591&gt;0),SUMIFS($AP$7:$AP$1843,$BY$7:$BY$1843,BY591,$AS$7:$AS$1843,"&gt;"&amp;AS591)+SUMIFS($AP$7:$AP$1843,$BY$7:$BY$1843,BY591,$AS$7:$AS$1843,AS591,$BQ$7:$BQ$1843,"&lt;="&amp;BQ591),"")</f>
        <v>25.9452636735245</v>
      </c>
      <c r="AU591" s="65" t="n">
        <f aca="false">IF(AT591="",0,MAX(0,MIN(1,(IF(BY591="L1",Parameter!$E$5,Parameter!$E$6+Parameter!$E$7)-(AT591-AP591))/AP591)))</f>
        <v>1</v>
      </c>
      <c r="AV591" s="57" t="n">
        <f aca="false">IF(LEFT(Cockpit!$O$5,1)="A",H591,IF(CA591=1,CB591,IF(LEFT(Cockpit!$O$5,1)="B",AZ591,MAX(AZ591,H591))))</f>
        <v>20</v>
      </c>
      <c r="AW591" s="57" t="n">
        <f aca="false">IF(BT591=1,0,ROUNDUP(AV591/BS591,0))</f>
        <v>1</v>
      </c>
      <c r="AX591" s="59" t="n">
        <f aca="false">IF(CH591&gt;0,CH591*MAX(1,AV591/X591),IF(BT591=1,IF(AV591&lt;=0,0,BW591*MAX(1,IF(H591&gt;0,AV591/H591,1))),IF(R591&gt;0,AW591/R591,0))/MAX(0.1,N(Parameter!$M$21)))</f>
        <v>0.00241545893719807</v>
      </c>
      <c r="AY591" s="57" t="n">
        <f aca="false">AV591*G591</f>
        <v>52</v>
      </c>
      <c r="AZ591" s="57" t="n">
        <f aca="false">ROUNDUP(MAX(J591/IF(BZ591&gt;0,BZ591,MAX(0.1,N(Cockpit!$O$6))),CC591)/BS591,0)*BS591</f>
        <v>20</v>
      </c>
      <c r="BA591" s="58" t="n">
        <f aca="false">IF(AX591&gt;0,J591/AX591,-1)</f>
        <v>828</v>
      </c>
      <c r="BB591" s="58" t="n">
        <f aca="false">IF(AND(OR(BY591="L1",BY591="L23"),AX591&gt;0),SUMIFS($AX$7:$AX$1843,$BY$7:$BY$1843,BY591,$BA$7:$BA$1843,"&gt;"&amp;BA591)+SUMIFS($AX$7:$AX$1843,$BY$7:$BY$1843,BY591,$BA$7:$BA$1843,BA591,$BQ$7:$BQ$1843,"&lt;="&amp;BQ591),"")</f>
        <v>25.8135620418229</v>
      </c>
      <c r="BC591" s="65" t="n">
        <f aca="false">IF(BB591="",0,MAX(0,MIN(1,(IF(BY591="L1",Parameter!$E$5,Parameter!$E$6+Parameter!$E$7)-(BB591-AX591))/AX591)))</f>
        <v>1</v>
      </c>
      <c r="BD591" s="55" t="str">
        <f aca="false">IF(AH591&lt;=0,"",IF(BY591="Aussen","Aussenlager",IF(BY591="-","Nicht im Lift",IF(AM591&gt;=1,"Lift",IF(AM591&lt;=0,"Aussenlager","teilweise")))))</f>
        <v>Lift</v>
      </c>
      <c r="BE591" s="55" t="str">
        <f aca="false">IF(AP591&lt;=0,"",IF(BY591="Aussen","Aussenlager",IF(BY591="-","Nicht im Lift",IF(AU591&gt;=1,"Lift",IF(AU591&lt;=0,"Aussenlager","teilweise")))))</f>
        <v>Lift</v>
      </c>
      <c r="BF591" s="55" t="str">
        <f aca="false">IF(AX591&lt;=0,"",IF(BY591="Aussen","Aussenlager",IF(BY591="-","Nicht im Lift",IF(BC591&gt;=1,"Lift",IF(BC591&lt;=0,"Aussenlager","teilweise")))))</f>
        <v>Lift</v>
      </c>
      <c r="BG591" s="55" t="str">
        <f aca="false">IF(A591="","",IF(BP591=1,"Neu; ","")&amp;IF(AND(BP591=0,BK591&lt;0),"negativer Bestand (Export "&amp;BK591&amp;"); ","")&amp;IF(J591&lt;=0,"Kein Verbrauch; ","")&amp;IF(CH591&gt;0,"Lift "&amp;W591&amp;" lt. Liftbericht (Fach "&amp;X591&amp;" Stk); ",IF(BU591=1,"Gebinde geschätzt ("&amp;T591&amp;"); ",IF(BT591=1,"Lose – Tablare geschätzt; ","")))&amp;IF(H591&gt;AR591,"Überbestand "&amp;ROUND(H591-AR591,0)&amp;" Stk / CHF "&amp;ROUND((H591-AR591)*G591,0)&amp;"; ","")&amp;IF(AND(CA591=1,CB591&lt;CC591),"MAX &lt; MB+LG; ","")&amp;IF(AND(CG591&gt;0,CF591*10&gt;CG591),"zu hoch für Tablar; ","")&amp;IF(AND(BP591=0,OR(CA591=1,AA591&lt;&gt;"",U591&lt;&gt;"",V591&lt;&gt;"",AB591&lt;&gt;"")),"manuell übersteuert; ","")&amp;IF(AND(BT591=0,R591=0),"Gebinde unbekannt / Stellmass fehlt; ","")&amp;IF(AND(BT591=0,N(V591)&lt;=0,N(Q591)&lt;=0),"Menge pro Gebinde fehlt (Ist = 1 Gebinde); ","")&amp;BO591)</f>
        <v/>
      </c>
      <c r="BH591" s="55"/>
      <c r="BI591" s="55"/>
      <c r="BJ591" s="62"/>
      <c r="BK591" s="57" t="n">
        <v>3</v>
      </c>
      <c r="BL591" s="57" t="n">
        <v>0</v>
      </c>
      <c r="BM591" s="56" t="n">
        <v>7.8</v>
      </c>
      <c r="BN591" s="57" t="n">
        <v>2</v>
      </c>
      <c r="BO591" s="55"/>
      <c r="BP591" s="60" t="n">
        <v>0</v>
      </c>
      <c r="BQ591" s="60" t="n">
        <v>591</v>
      </c>
      <c r="BR591" s="55" t="str">
        <f aca="false">IF(U591&lt;&gt;"",UPPER(TRIM(U591)),IF(BU591=1,UPPER(VLOOKUP(T591,Parameter!$I$27:$K$29,2,0)),IF(P591="","LOSE",P591)))</f>
        <v>S21</v>
      </c>
      <c r="BS591" s="57" t="n">
        <f aca="false">IF(BR591="LOSE",1,IF(N(V591)&gt;0,V591,IF(BU591=1,MAX(1,N(VLOOKUP(T591,Parameter!$I$27:$K$29,3,0)),H591,N(N591)),IF(N(Q591)&gt;0,Q591,MAX(1,H591)))))</f>
        <v>20</v>
      </c>
      <c r="BT591" s="60" t="n">
        <f aca="false">IF(BR591="LOSE",1,0)</f>
        <v>0</v>
      </c>
      <c r="BU591" s="60" t="n">
        <f aca="false">IF(AND(U591="",OR(P591="",P591="LOSE"),T591&lt;&gt;"",N(S591)&lt;=0,ISNUMBER(MATCH(T591,Parameter!$I$27:$I$29,0))),1,0)</f>
        <v>0</v>
      </c>
      <c r="BV591" s="55" t="str">
        <f aca="false">IF(AND(Parameter!$B$19="Ja",E591&lt;&gt;"",ISNUMBER(MATCH(E591,Parameter!$I$35:$I$52,0))),VLOOKUP(E591,Parameter!$I$35:$J$52,2,0),IFERROR(VLOOKUP(D591,Parameter!$A$35:$C$64,2,0),"Nein"))</f>
        <v>2+3</v>
      </c>
      <c r="BW591" s="59" t="n">
        <f aca="false">IF(BT591=0,0,IF(N(S591)&gt;0,S591,IFERROR(VLOOKUP(D591,Parameter!$A$35:$C$64,3,0)+0,0)))</f>
        <v>0</v>
      </c>
      <c r="BX591" s="55" t="n">
        <f aca="false">IF(AA591&lt;&gt;"",AA591,Z591)</f>
        <v>3</v>
      </c>
      <c r="BY591" s="55" t="str">
        <f aca="false">IF(BX591=1,"L1",IF(OR(BX591=2,BX591=3),"L23",IF(BX591="Aussen","Aussen","-")))</f>
        <v>L23</v>
      </c>
      <c r="BZ591" s="66" t="n">
        <f aca="false">IF(N(AB591)&gt;0,AB591,0)</f>
        <v>0</v>
      </c>
      <c r="CA591" s="60" t="n">
        <f aca="false">IF(ISNUMBER(AE591),1,0)</f>
        <v>0</v>
      </c>
      <c r="CB591" s="57" t="n">
        <f aca="false">N(AE591)</f>
        <v>0</v>
      </c>
      <c r="CC591" s="57" t="n">
        <f aca="false">N(M591)+N(N591)</f>
        <v>10</v>
      </c>
      <c r="CD591" s="57" t="n">
        <f aca="false">ROUNDUP(H591/BS591,0)</f>
        <v>1</v>
      </c>
      <c r="CE591" s="57" t="n">
        <f aca="false">ROUNDUP(CB591/BS591,0)</f>
        <v>0</v>
      </c>
      <c r="CF591" s="60" t="n">
        <f aca="false">IF(BT591=1,0,IFERROR(VLOOKUP(BR591,'Gebinde-Kategorie'!$A$5:$M$45,5,0)+0,0))</f>
        <v>8</v>
      </c>
      <c r="CG591" s="60" t="n">
        <f aca="false">IFERROR(IF(OR(BX591=1,BX591=2,BX591=3),N(INDEX(Parameter!$I$5:$I$7,BX591)),0),0)</f>
        <v>0</v>
      </c>
      <c r="CH591" s="59" t="n">
        <f aca="false">IF(AND(Parameter!$B$21="Ja",ISNUMBER(W591),N(X591)&gt;0),IFERROR(N(INDEX(Parameter!$L$5:$L$7,W591))*INDEX(Parameter!$E$5:$E$7,W591)*X591/SUMIFS($X$7:$X$1843,$W$7:$W$1843,W591),0),0)</f>
        <v>0</v>
      </c>
    </row>
    <row r="592" customFormat="false" ht="15" hidden="false" customHeight="false" outlineLevel="0" collapsed="false">
      <c r="A592" s="55" t="s">
        <v>1232</v>
      </c>
      <c r="B592" s="55" t="s">
        <v>1233</v>
      </c>
      <c r="C592" s="55" t="s">
        <v>164</v>
      </c>
      <c r="D592" s="55" t="s">
        <v>184</v>
      </c>
      <c r="E592" s="55"/>
      <c r="F592" s="55" t="s">
        <v>218</v>
      </c>
      <c r="G592" s="56" t="n">
        <v>7.76</v>
      </c>
      <c r="H592" s="57" t="n">
        <f aca="false">MAX(0,IF(AND(Parameter!$B$21="Ja",ISNUMBER(Y592)),Y592,IF(Parameter!$B$20="Jahresanfang 2025 + Export",BL592+BK592,BK592)))</f>
        <v>3</v>
      </c>
      <c r="I592" s="57" t="n">
        <f aca="false">H592*G592</f>
        <v>23.28</v>
      </c>
      <c r="J592" s="57" t="n">
        <f aca="false">BN592*Parameter!$B$18</f>
        <v>0</v>
      </c>
      <c r="K592" s="58" t="n">
        <v>2.5</v>
      </c>
      <c r="L592" s="59" t="n">
        <v>0</v>
      </c>
      <c r="M592" s="57" t="n">
        <v>0</v>
      </c>
      <c r="N592" s="57" t="n">
        <v>1</v>
      </c>
      <c r="O592" s="60" t="n">
        <v>14</v>
      </c>
      <c r="P592" s="55" t="s">
        <v>476</v>
      </c>
      <c r="Q592" s="57" t="n">
        <v>30</v>
      </c>
      <c r="R592" s="60" t="n">
        <f aca="false">IF(BT592=1,0,IFERROR(VLOOKUP(BR592,'Gebinde-Kategorie'!$A$5:$M$45,13,0)+0,0))</f>
        <v>66</v>
      </c>
      <c r="S592" s="61"/>
      <c r="T592" s="62"/>
      <c r="U592" s="62"/>
      <c r="V592" s="62"/>
      <c r="W592" s="55"/>
      <c r="X592" s="57"/>
      <c r="Y592" s="57"/>
      <c r="Z592" s="55" t="n">
        <f aca="false">IF(A592="","",IF(AND(Parameter!$B$21="Ja",ISNUMBER(W592)),W592,IF(BV592="2+3",IF(ISNUMBER(SEARCH("grosser Artikel",BO592)),2,IFERROR(VLOOKUP(BR592,Parameter!$F$35:$G$64,2,0),2)),IF(OR(BV592="Nein",BV592=""),"-",BV592))))</f>
        <v>3</v>
      </c>
      <c r="AA592" s="62"/>
      <c r="AB592" s="63"/>
      <c r="AC592" s="57" t="n">
        <f aca="false">AR592</f>
        <v>30</v>
      </c>
      <c r="AD592" s="57" t="n">
        <f aca="false">MAX(AR592,H592)</f>
        <v>30</v>
      </c>
      <c r="AE592" s="64"/>
      <c r="AF592" s="57" t="n">
        <f aca="false">IF(LEFT(Cockpit!$C$5,1)="A",H592,IF(CA592=1,CB592,IF(LEFT(Cockpit!$C$5,1)="B",AJ592,MAX(AJ592,H592))))</f>
        <v>3</v>
      </c>
      <c r="AG592" s="57" t="n">
        <f aca="false">IF(BT592=1,0,ROUNDUP(AF592/BS592,0))</f>
        <v>1</v>
      </c>
      <c r="AH592" s="59" t="n">
        <f aca="false">IF(CH592&gt;0,CH592*MAX(1,AF592/X592),IF(BT592=1,IF(AF592&lt;=0,0,BW592*MAX(1,IF(H592&gt;0,AF592/H592,1))),IF(R592&gt;0,AG592/R592,0))/MAX(0.1,N(Parameter!$M$21)))</f>
        <v>0.0151515151515152</v>
      </c>
      <c r="AI592" s="57" t="n">
        <f aca="false">AF592*G592</f>
        <v>23.28</v>
      </c>
      <c r="AJ592" s="57" t="n">
        <f aca="false">ROUNDUP(MAX(J592/IF(BZ592&gt;0,BZ592,MAX(0.1,N(Cockpit!$C$6))),CC592)/BS592,0)*BS592</f>
        <v>30</v>
      </c>
      <c r="AK592" s="58" t="n">
        <f aca="false">IF(AH592&gt;0,J592/AH592,-1)</f>
        <v>0</v>
      </c>
      <c r="AL592" s="58" t="n">
        <f aca="false">IF(AND(OR(BY592="L1",BY592="L23"),AH592&gt;0),SUMIFS($AH$7:$AH$1843,$BY$7:$BY$1843,BY592,$AK$7:$AK$1843,"&gt;"&amp;AK592)+SUMIFS($AH$7:$AH$1843,$BY$7:$BY$1843,BY592,$AK$7:$AK$1843,AK592,$BQ$7:$BQ$1843,"&lt;="&amp;BQ592),"")</f>
        <v>76.0585284280937</v>
      </c>
      <c r="AM592" s="65" t="n">
        <f aca="false">IF(AL592="",0,MAX(0,MIN(1,(IF(BY592="L1",Parameter!$E$5,Parameter!$E$6+Parameter!$E$7)-(AL592-AH592))/AH592)))</f>
        <v>1</v>
      </c>
      <c r="AN592" s="57" t="n">
        <f aca="false">IF(LEFT(Cockpit!$I$5,1)="A",H592,IF(CA592=1,CB592,IF(LEFT(Cockpit!$I$5,1)="B",AR592,MAX(AR592,H592))))</f>
        <v>30</v>
      </c>
      <c r="AO592" s="57" t="n">
        <f aca="false">IF(BT592=1,0,ROUNDUP(AN592/BS592,0))</f>
        <v>1</v>
      </c>
      <c r="AP592" s="59" t="n">
        <f aca="false">IF(CH592&gt;0,CH592*MAX(1,AN592/X592),IF(BT592=1,IF(AN592&lt;=0,0,BW592*MAX(1,IF(H592&gt;0,AN592/H592,1))),IF(R592&gt;0,AO592/R592,0))/MAX(0.1,N(Parameter!$M$21)))</f>
        <v>0.0151515151515152</v>
      </c>
      <c r="AQ592" s="57" t="n">
        <f aca="false">AN592*G592</f>
        <v>232.8</v>
      </c>
      <c r="AR592" s="57" t="n">
        <f aca="false">ROUNDUP(MAX(J592/IF(BZ592&gt;0,BZ592,MAX(0.1,N(Cockpit!$I$6))),CC592)/BS592,0)*BS592</f>
        <v>30</v>
      </c>
      <c r="AS592" s="58" t="n">
        <f aca="false">IF(AP592&gt;0,J592/AP592,-1)</f>
        <v>0</v>
      </c>
      <c r="AT592" s="58" t="n">
        <f aca="false">IF(AND(OR(BY592="L1",BY592="L23"),AP592&gt;0),SUMIFS($AP$7:$AP$1843,$BY$7:$BY$1843,BY592,$AS$7:$AS$1843,"&gt;"&amp;AS592)+SUMIFS($AP$7:$AP$1843,$BY$7:$BY$1843,BY592,$AS$7:$AS$1843,AS592,$BQ$7:$BQ$1843,"&lt;="&amp;BQ592),"")</f>
        <v>115.482652613087</v>
      </c>
      <c r="AU592" s="65" t="n">
        <f aca="false">IF(AT592="",0,MAX(0,MIN(1,(IF(BY592="L1",Parameter!$E$5,Parameter!$E$6+Parameter!$E$7)-(AT592-AP592))/AP592)))</f>
        <v>0</v>
      </c>
      <c r="AV592" s="57" t="n">
        <f aca="false">IF(LEFT(Cockpit!$O$5,1)="A",H592,IF(CA592=1,CB592,IF(LEFT(Cockpit!$O$5,1)="B",AZ592,MAX(AZ592,H592))))</f>
        <v>30</v>
      </c>
      <c r="AW592" s="57" t="n">
        <f aca="false">IF(BT592=1,0,ROUNDUP(AV592/BS592,0))</f>
        <v>1</v>
      </c>
      <c r="AX592" s="59" t="n">
        <f aca="false">IF(CH592&gt;0,CH592*MAX(1,AV592/X592),IF(BT592=1,IF(AV592&lt;=0,0,BW592*MAX(1,IF(H592&gt;0,AV592/H592,1))),IF(R592&gt;0,AW592/R592,0))/MAX(0.1,N(Parameter!$M$21)))</f>
        <v>0.0151515151515152</v>
      </c>
      <c r="AY592" s="57" t="n">
        <f aca="false">AV592*G592</f>
        <v>232.8</v>
      </c>
      <c r="AZ592" s="57" t="n">
        <f aca="false">ROUNDUP(MAX(J592/IF(BZ592&gt;0,BZ592,MAX(0.1,N(Cockpit!$O$6))),CC592)/BS592,0)*BS592</f>
        <v>30</v>
      </c>
      <c r="BA592" s="58" t="n">
        <f aca="false">IF(AX592&gt;0,J592/AX592,-1)</f>
        <v>0</v>
      </c>
      <c r="BB592" s="58" t="n">
        <f aca="false">IF(AND(OR(BY592="L1",BY592="L23"),AX592&gt;0),SUMIFS($AX$7:$AX$1843,$BY$7:$BY$1843,BY592,$BA$7:$BA$1843,"&gt;"&amp;BA592)+SUMIFS($AX$7:$AX$1843,$BY$7:$BY$1843,BY592,$BA$7:$BA$1843,BA592,$BQ$7:$BQ$1843,"&lt;="&amp;BQ592),"")</f>
        <v>106.312489442924</v>
      </c>
      <c r="BC592" s="65" t="n">
        <f aca="false">IF(BB592="",0,MAX(0,MIN(1,(IF(BY592="L1",Parameter!$E$5,Parameter!$E$6+Parameter!$E$7)-(BB592-AX592))/AX592)))</f>
        <v>0</v>
      </c>
      <c r="BD592" s="55" t="str">
        <f aca="false">IF(AH592&lt;=0,"",IF(BY592="Aussen","Aussenlager",IF(BY592="-","Nicht im Lift",IF(AM592&gt;=1,"Lift",IF(AM592&lt;=0,"Aussenlager","teilweise")))))</f>
        <v>Lift</v>
      </c>
      <c r="BE592" s="55" t="str">
        <f aca="false">IF(AP592&lt;=0,"",IF(BY592="Aussen","Aussenlager",IF(BY592="-","Nicht im Lift",IF(AU592&gt;=1,"Lift",IF(AU592&lt;=0,"Aussenlager","teilweise")))))</f>
        <v>Aussenlager</v>
      </c>
      <c r="BF592" s="55" t="str">
        <f aca="false">IF(AX592&lt;=0,"",IF(BY592="Aussen","Aussenlager",IF(BY592="-","Nicht im Lift",IF(BC592&gt;=1,"Lift",IF(BC592&lt;=0,"Aussenlager","teilweise")))))</f>
        <v>Aussenlager</v>
      </c>
      <c r="BG592" s="55" t="str">
        <f aca="false">IF(A592="","",IF(BP592=1,"Neu; ","")&amp;IF(AND(BP592=0,BK592&lt;0),"negativer Bestand (Export "&amp;BK592&amp;"); ","")&amp;IF(J592&lt;=0,"Kein Verbrauch; ","")&amp;IF(CH592&gt;0,"Lift "&amp;W592&amp;" lt. Liftbericht (Fach "&amp;X592&amp;" Stk); ",IF(BU592=1,"Gebinde geschätzt ("&amp;T592&amp;"); ",IF(BT592=1,"Lose – Tablare geschätzt; ","")))&amp;IF(H592&gt;AR592,"Überbestand "&amp;ROUND(H592-AR592,0)&amp;" Stk / CHF "&amp;ROUND((H592-AR592)*G592,0)&amp;"; ","")&amp;IF(AND(CA592=1,CB592&lt;CC592),"MAX &lt; MB+LG; ","")&amp;IF(AND(CG592&gt;0,CF592*10&gt;CG592),"zu hoch für Tablar; ","")&amp;IF(AND(BP592=0,OR(CA592=1,AA592&lt;&gt;"",U592&lt;&gt;"",V592&lt;&gt;"",AB592&lt;&gt;"")),"manuell übersteuert; ","")&amp;IF(AND(BT592=0,R592=0),"Gebinde unbekannt / Stellmass fehlt; ","")&amp;IF(AND(BT592=0,N(V592)&lt;=0,N(Q592)&lt;=0),"Menge pro Gebinde fehlt (Ist = 1 Gebinde); ","")&amp;BO592)</f>
        <v>Kein Verbrauch; </v>
      </c>
      <c r="BH592" s="55"/>
      <c r="BI592" s="55"/>
      <c r="BJ592" s="62"/>
      <c r="BK592" s="57" t="n">
        <v>1</v>
      </c>
      <c r="BL592" s="57" t="n">
        <v>2</v>
      </c>
      <c r="BM592" s="56" t="n">
        <v>7.76</v>
      </c>
      <c r="BN592" s="57" t="n">
        <v>0</v>
      </c>
      <c r="BO592" s="55"/>
      <c r="BP592" s="60" t="n">
        <v>0</v>
      </c>
      <c r="BQ592" s="60" t="n">
        <v>592</v>
      </c>
      <c r="BR592" s="55" t="str">
        <f aca="false">IF(U592&lt;&gt;"",UPPER(TRIM(U592)),IF(BU592=1,UPPER(VLOOKUP(T592,Parameter!$I$27:$K$29,2,0)),IF(P592="","LOSE",P592)))</f>
        <v>S33</v>
      </c>
      <c r="BS592" s="57" t="n">
        <f aca="false">IF(BR592="LOSE",1,IF(N(V592)&gt;0,V592,IF(BU592=1,MAX(1,N(VLOOKUP(T592,Parameter!$I$27:$K$29,3,0)),H592,N(N592)),IF(N(Q592)&gt;0,Q592,MAX(1,H592)))))</f>
        <v>30</v>
      </c>
      <c r="BT592" s="60" t="n">
        <f aca="false">IF(BR592="LOSE",1,0)</f>
        <v>0</v>
      </c>
      <c r="BU592" s="60" t="n">
        <f aca="false">IF(AND(U592="",OR(P592="",P592="LOSE"),T592&lt;&gt;"",N(S592)&lt;=0,ISNUMBER(MATCH(T592,Parameter!$I$27:$I$29,0))),1,0)</f>
        <v>0</v>
      </c>
      <c r="BV592" s="55" t="str">
        <f aca="false">IF(AND(Parameter!$B$19="Ja",E592&lt;&gt;"",ISNUMBER(MATCH(E592,Parameter!$I$35:$I$52,0))),VLOOKUP(E592,Parameter!$I$35:$J$52,2,0),IFERROR(VLOOKUP(D592,Parameter!$A$35:$C$64,2,0),"Nein"))</f>
        <v>2+3</v>
      </c>
      <c r="BW592" s="59" t="n">
        <f aca="false">IF(BT592=0,0,IF(N(S592)&gt;0,S592,IFERROR(VLOOKUP(D592,Parameter!$A$35:$C$64,3,0)+0,0)))</f>
        <v>0</v>
      </c>
      <c r="BX592" s="55" t="n">
        <f aca="false">IF(AA592&lt;&gt;"",AA592,Z592)</f>
        <v>3</v>
      </c>
      <c r="BY592" s="55" t="str">
        <f aca="false">IF(BX592=1,"L1",IF(OR(BX592=2,BX592=3),"L23",IF(BX592="Aussen","Aussen","-")))</f>
        <v>L23</v>
      </c>
      <c r="BZ592" s="66" t="n">
        <f aca="false">IF(N(AB592)&gt;0,AB592,0)</f>
        <v>0</v>
      </c>
      <c r="CA592" s="60" t="n">
        <f aca="false">IF(ISNUMBER(AE592),1,0)</f>
        <v>0</v>
      </c>
      <c r="CB592" s="57" t="n">
        <f aca="false">N(AE592)</f>
        <v>0</v>
      </c>
      <c r="CC592" s="57" t="n">
        <f aca="false">N(M592)+N(N592)</f>
        <v>1</v>
      </c>
      <c r="CD592" s="57" t="n">
        <f aca="false">ROUNDUP(H592/BS592,0)</f>
        <v>1</v>
      </c>
      <c r="CE592" s="57" t="n">
        <f aca="false">ROUNDUP(CB592/BS592,0)</f>
        <v>0</v>
      </c>
      <c r="CF592" s="60" t="n">
        <f aca="false">IF(BT592=1,0,IFERROR(VLOOKUP(BR592,'Gebinde-Kategorie'!$A$5:$M$45,5,0)+0,0))</f>
        <v>8</v>
      </c>
      <c r="CG592" s="60" t="n">
        <f aca="false">IFERROR(IF(OR(BX592=1,BX592=2,BX592=3),N(INDEX(Parameter!$I$5:$I$7,BX592)),0),0)</f>
        <v>0</v>
      </c>
      <c r="CH592" s="59" t="n">
        <f aca="false">IF(AND(Parameter!$B$21="Ja",ISNUMBER(W592),N(X592)&gt;0),IFERROR(N(INDEX(Parameter!$L$5:$L$7,W592))*INDEX(Parameter!$E$5:$E$7,W592)*X592/SUMIFS($X$7:$X$1843,$W$7:$W$1843,W592),0),0)</f>
        <v>0</v>
      </c>
    </row>
    <row r="593" customFormat="false" ht="15" hidden="false" customHeight="false" outlineLevel="0" collapsed="false">
      <c r="A593" s="55" t="s">
        <v>1234</v>
      </c>
      <c r="B593" s="55" t="s">
        <v>405</v>
      </c>
      <c r="C593" s="55" t="s">
        <v>164</v>
      </c>
      <c r="D593" s="55" t="s">
        <v>184</v>
      </c>
      <c r="E593" s="55" t="s">
        <v>185</v>
      </c>
      <c r="F593" s="55" t="s">
        <v>218</v>
      </c>
      <c r="G593" s="56" t="n">
        <v>1.23</v>
      </c>
      <c r="H593" s="57" t="n">
        <f aca="false">MAX(0,IF(AND(Parameter!$B$21="Ja",ISNUMBER(Y593)),Y593,IF(Parameter!$B$20="Jahresanfang 2025 + Export",BL593+BK593,BK593)))</f>
        <v>266</v>
      </c>
      <c r="I593" s="57" t="n">
        <f aca="false">H593*G593</f>
        <v>327.18</v>
      </c>
      <c r="J593" s="57" t="n">
        <f aca="false">BN593*Parameter!$B$18</f>
        <v>0</v>
      </c>
      <c r="K593" s="58" t="n">
        <v>263</v>
      </c>
      <c r="L593" s="59" t="n">
        <v>0</v>
      </c>
      <c r="M593" s="57" t="n">
        <v>0</v>
      </c>
      <c r="N593" s="57" t="n">
        <v>1</v>
      </c>
      <c r="O593" s="60" t="n">
        <v>21</v>
      </c>
      <c r="P593" s="55" t="s">
        <v>233</v>
      </c>
      <c r="Q593" s="57" t="n">
        <v>286</v>
      </c>
      <c r="R593" s="60" t="n">
        <f aca="false">IF(BT593=1,0,IFERROR(VLOOKUP(BR593,'Gebinde-Kategorie'!$A$5:$M$45,13,0)+0,0))</f>
        <v>26</v>
      </c>
      <c r="S593" s="61"/>
      <c r="T593" s="62"/>
      <c r="U593" s="62"/>
      <c r="V593" s="62"/>
      <c r="W593" s="55"/>
      <c r="X593" s="57"/>
      <c r="Y593" s="57"/>
      <c r="Z593" s="55" t="n">
        <f aca="false">IF(A593="","",IF(AND(Parameter!$B$21="Ja",ISNUMBER(W593)),W593,IF(BV593="2+3",IF(ISNUMBER(SEARCH("grosser Artikel",BO593)),2,IFERROR(VLOOKUP(BR593,Parameter!$F$35:$G$64,2,0),2)),IF(OR(BV593="Nein",BV593=""),"-",BV593))))</f>
        <v>3</v>
      </c>
      <c r="AA593" s="62"/>
      <c r="AB593" s="63"/>
      <c r="AC593" s="57" t="n">
        <f aca="false">AR593</f>
        <v>286</v>
      </c>
      <c r="AD593" s="57" t="n">
        <f aca="false">MAX(AR593,H593)</f>
        <v>286</v>
      </c>
      <c r="AE593" s="64"/>
      <c r="AF593" s="57" t="n">
        <f aca="false">IF(LEFT(Cockpit!$C$5,1)="A",H593,IF(CA593=1,CB593,IF(LEFT(Cockpit!$C$5,1)="B",AJ593,MAX(AJ593,H593))))</f>
        <v>266</v>
      </c>
      <c r="AG593" s="57" t="n">
        <f aca="false">IF(BT593=1,0,ROUNDUP(AF593/BS593,0))</f>
        <v>1</v>
      </c>
      <c r="AH593" s="59" t="n">
        <f aca="false">IF(CH593&gt;0,CH593*MAX(1,AF593/X593),IF(BT593=1,IF(AF593&lt;=0,0,BW593*MAX(1,IF(H593&gt;0,AF593/H593,1))),IF(R593&gt;0,AG593/R593,0))/MAX(0.1,N(Parameter!$M$21)))</f>
        <v>0.0384615384615385</v>
      </c>
      <c r="AI593" s="57" t="n">
        <f aca="false">AF593*G593</f>
        <v>327.18</v>
      </c>
      <c r="AJ593" s="57" t="n">
        <f aca="false">ROUNDUP(MAX(J593/IF(BZ593&gt;0,BZ593,MAX(0.1,N(Cockpit!$C$6))),CC593)/BS593,0)*BS593</f>
        <v>286</v>
      </c>
      <c r="AK593" s="58" t="n">
        <f aca="false">IF(AH593&gt;0,J593/AH593,-1)</f>
        <v>0</v>
      </c>
      <c r="AL593" s="58" t="n">
        <f aca="false">IF(AND(OR(BY593="L1",BY593="L23"),AH593&gt;0),SUMIFS($AH$7:$AH$1843,$BY$7:$BY$1843,BY593,$AK$7:$AK$1843,"&gt;"&amp;AK593)+SUMIFS($AH$7:$AH$1843,$BY$7:$BY$1843,BY593,$AK$7:$AK$1843,AK593,$BQ$7:$BQ$1843,"&lt;="&amp;BQ593),"")</f>
        <v>76.0969899665552</v>
      </c>
      <c r="AM593" s="65" t="n">
        <f aca="false">IF(AL593="",0,MAX(0,MIN(1,(IF(BY593="L1",Parameter!$E$5,Parameter!$E$6+Parameter!$E$7)-(AL593-AH593))/AH593)))</f>
        <v>1</v>
      </c>
      <c r="AN593" s="57" t="n">
        <f aca="false">IF(LEFT(Cockpit!$I$5,1)="A",H593,IF(CA593=1,CB593,IF(LEFT(Cockpit!$I$5,1)="B",AR593,MAX(AR593,H593))))</f>
        <v>286</v>
      </c>
      <c r="AO593" s="57" t="n">
        <f aca="false">IF(BT593=1,0,ROUNDUP(AN593/BS593,0))</f>
        <v>1</v>
      </c>
      <c r="AP593" s="59" t="n">
        <f aca="false">IF(CH593&gt;0,CH593*MAX(1,AN593/X593),IF(BT593=1,IF(AN593&lt;=0,0,BW593*MAX(1,IF(H593&gt;0,AN593/H593,1))),IF(R593&gt;0,AO593/R593,0))/MAX(0.1,N(Parameter!$M$21)))</f>
        <v>0.0384615384615385</v>
      </c>
      <c r="AQ593" s="57" t="n">
        <f aca="false">AN593*G593</f>
        <v>351.78</v>
      </c>
      <c r="AR593" s="57" t="n">
        <f aca="false">ROUNDUP(MAX(J593/IF(BZ593&gt;0,BZ593,MAX(0.1,N(Cockpit!$I$6))),CC593)/BS593,0)*BS593</f>
        <v>286</v>
      </c>
      <c r="AS593" s="58" t="n">
        <f aca="false">IF(AP593&gt;0,J593/AP593,-1)</f>
        <v>0</v>
      </c>
      <c r="AT593" s="58" t="n">
        <f aca="false">IF(AND(OR(BY593="L1",BY593="L23"),AP593&gt;0),SUMIFS($AP$7:$AP$1843,$BY$7:$BY$1843,BY593,$AS$7:$AS$1843,"&gt;"&amp;AS593)+SUMIFS($AP$7:$AP$1843,$BY$7:$BY$1843,BY593,$AS$7:$AS$1843,AS593,$BQ$7:$BQ$1843,"&lt;="&amp;BQ593),"")</f>
        <v>115.521114151549</v>
      </c>
      <c r="AU593" s="65" t="n">
        <f aca="false">IF(AT593="",0,MAX(0,MIN(1,(IF(BY593="L1",Parameter!$E$5,Parameter!$E$6+Parameter!$E$7)-(AT593-AP593))/AP593)))</f>
        <v>0</v>
      </c>
      <c r="AV593" s="57" t="n">
        <f aca="false">IF(LEFT(Cockpit!$O$5,1)="A",H593,IF(CA593=1,CB593,IF(LEFT(Cockpit!$O$5,1)="B",AZ593,MAX(AZ593,H593))))</f>
        <v>286</v>
      </c>
      <c r="AW593" s="57" t="n">
        <f aca="false">IF(BT593=1,0,ROUNDUP(AV593/BS593,0))</f>
        <v>1</v>
      </c>
      <c r="AX593" s="59" t="n">
        <f aca="false">IF(CH593&gt;0,CH593*MAX(1,AV593/X593),IF(BT593=1,IF(AV593&lt;=0,0,BW593*MAX(1,IF(H593&gt;0,AV593/H593,1))),IF(R593&gt;0,AW593/R593,0))/MAX(0.1,N(Parameter!$M$21)))</f>
        <v>0.0384615384615385</v>
      </c>
      <c r="AY593" s="57" t="n">
        <f aca="false">AV593*G593</f>
        <v>351.78</v>
      </c>
      <c r="AZ593" s="57" t="n">
        <f aca="false">ROUNDUP(MAX(J593/IF(BZ593&gt;0,BZ593,MAX(0.1,N(Cockpit!$O$6))),CC593)/BS593,0)*BS593</f>
        <v>286</v>
      </c>
      <c r="BA593" s="58" t="n">
        <f aca="false">IF(AX593&gt;0,J593/AX593,-1)</f>
        <v>0</v>
      </c>
      <c r="BB593" s="58" t="n">
        <f aca="false">IF(AND(OR(BY593="L1",BY593="L23"),AX593&gt;0),SUMIFS($AX$7:$AX$1843,$BY$7:$BY$1843,BY593,$BA$7:$BA$1843,"&gt;"&amp;BA593)+SUMIFS($AX$7:$AX$1843,$BY$7:$BY$1843,BY593,$BA$7:$BA$1843,BA593,$BQ$7:$BQ$1843,"&lt;="&amp;BQ593),"")</f>
        <v>106.350950981386</v>
      </c>
      <c r="BC593" s="65" t="n">
        <f aca="false">IF(BB593="",0,MAX(0,MIN(1,(IF(BY593="L1",Parameter!$E$5,Parameter!$E$6+Parameter!$E$7)-(BB593-AX593))/AX593)))</f>
        <v>0</v>
      </c>
      <c r="BD593" s="55" t="str">
        <f aca="false">IF(AH593&lt;=0,"",IF(BY593="Aussen","Aussenlager",IF(BY593="-","Nicht im Lift",IF(AM593&gt;=1,"Lift",IF(AM593&lt;=0,"Aussenlager","teilweise")))))</f>
        <v>Lift</v>
      </c>
      <c r="BE593" s="55" t="str">
        <f aca="false">IF(AP593&lt;=0,"",IF(BY593="Aussen","Aussenlager",IF(BY593="-","Nicht im Lift",IF(AU593&gt;=1,"Lift",IF(AU593&lt;=0,"Aussenlager","teilweise")))))</f>
        <v>Aussenlager</v>
      </c>
      <c r="BF593" s="55" t="str">
        <f aca="false">IF(AX593&lt;=0,"",IF(BY593="Aussen","Aussenlager",IF(BY593="-","Nicht im Lift",IF(BC593&gt;=1,"Lift",IF(BC593&lt;=0,"Aussenlager","teilweise")))))</f>
        <v>Aussenlager</v>
      </c>
      <c r="BG593" s="55" t="str">
        <f aca="false">IF(A593="","",IF(BP593=1,"Neu; ","")&amp;IF(AND(BP593=0,BK593&lt;0),"negativer Bestand (Export "&amp;BK593&amp;"); ","")&amp;IF(J593&lt;=0,"Kein Verbrauch; ","")&amp;IF(CH593&gt;0,"Lift "&amp;W593&amp;" lt. Liftbericht (Fach "&amp;X593&amp;" Stk); ",IF(BU593=1,"Gebinde geschätzt ("&amp;T593&amp;"); ",IF(BT593=1,"Lose – Tablare geschätzt; ","")))&amp;IF(H593&gt;AR593,"Überbestand "&amp;ROUND(H593-AR593,0)&amp;" Stk / CHF "&amp;ROUND((H593-AR593)*G593,0)&amp;"; ","")&amp;IF(AND(CA593=1,CB593&lt;CC593),"MAX &lt; MB+LG; ","")&amp;IF(AND(CG593&gt;0,CF593*10&gt;CG593),"zu hoch für Tablar; ","")&amp;IF(AND(BP593=0,OR(CA593=1,AA593&lt;&gt;"",U593&lt;&gt;"",V593&lt;&gt;"",AB593&lt;&gt;"")),"manuell übersteuert; ","")&amp;IF(AND(BT593=0,R593=0),"Gebinde unbekannt / Stellmass fehlt; ","")&amp;IF(AND(BT593=0,N(V593)&lt;=0,N(Q593)&lt;=0),"Menge pro Gebinde fehlt (Ist = 1 Gebinde); ","")&amp;BO593)</f>
        <v>Kein Verbrauch; Überbestand</v>
      </c>
      <c r="BH593" s="55"/>
      <c r="BI593" s="55"/>
      <c r="BJ593" s="62"/>
      <c r="BK593" s="57" t="n">
        <v>6</v>
      </c>
      <c r="BL593" s="57" t="n">
        <v>260</v>
      </c>
      <c r="BM593" s="56" t="n">
        <v>7.38</v>
      </c>
      <c r="BN593" s="57" t="n">
        <v>0</v>
      </c>
      <c r="BO593" s="55" t="s">
        <v>392</v>
      </c>
      <c r="BP593" s="60" t="n">
        <v>0</v>
      </c>
      <c r="BQ593" s="60" t="n">
        <v>593</v>
      </c>
      <c r="BR593" s="55" t="str">
        <f aca="false">IF(U593&lt;&gt;"",UPPER(TRIM(U593)),IF(BU593=1,UPPER(VLOOKUP(T593,Parameter!$I$27:$K$29,2,0)),IF(P593="","LOSE",P593)))</f>
        <v>S52</v>
      </c>
      <c r="BS593" s="57" t="n">
        <f aca="false">IF(BR593="LOSE",1,IF(N(V593)&gt;0,V593,IF(BU593=1,MAX(1,N(VLOOKUP(T593,Parameter!$I$27:$K$29,3,0)),H593,N(N593)),IF(N(Q593)&gt;0,Q593,MAX(1,H593)))))</f>
        <v>286</v>
      </c>
      <c r="BT593" s="60" t="n">
        <f aca="false">IF(BR593="LOSE",1,0)</f>
        <v>0</v>
      </c>
      <c r="BU593" s="60" t="n">
        <f aca="false">IF(AND(U593="",OR(P593="",P593="LOSE"),T593&lt;&gt;"",N(S593)&lt;=0,ISNUMBER(MATCH(T593,Parameter!$I$27:$I$29,0))),1,0)</f>
        <v>0</v>
      </c>
      <c r="BV593" s="55" t="str">
        <f aca="false">IF(AND(Parameter!$B$19="Ja",E593&lt;&gt;"",ISNUMBER(MATCH(E593,Parameter!$I$35:$I$52,0))),VLOOKUP(E593,Parameter!$I$35:$J$52,2,0),IFERROR(VLOOKUP(D593,Parameter!$A$35:$C$64,2,0),"Nein"))</f>
        <v>2+3</v>
      </c>
      <c r="BW593" s="59" t="n">
        <f aca="false">IF(BT593=0,0,IF(N(S593)&gt;0,S593,IFERROR(VLOOKUP(D593,Parameter!$A$35:$C$64,3,0)+0,0)))</f>
        <v>0</v>
      </c>
      <c r="BX593" s="55" t="n">
        <f aca="false">IF(AA593&lt;&gt;"",AA593,Z593)</f>
        <v>3</v>
      </c>
      <c r="BY593" s="55" t="str">
        <f aca="false">IF(BX593=1,"L1",IF(OR(BX593=2,BX593=3),"L23",IF(BX593="Aussen","Aussen","-")))</f>
        <v>L23</v>
      </c>
      <c r="BZ593" s="66" t="n">
        <f aca="false">IF(N(AB593)&gt;0,AB593,0)</f>
        <v>0</v>
      </c>
      <c r="CA593" s="60" t="n">
        <f aca="false">IF(ISNUMBER(AE593),1,0)</f>
        <v>0</v>
      </c>
      <c r="CB593" s="57" t="n">
        <f aca="false">N(AE593)</f>
        <v>0</v>
      </c>
      <c r="CC593" s="57" t="n">
        <f aca="false">N(M593)+N(N593)</f>
        <v>1</v>
      </c>
      <c r="CD593" s="57" t="n">
        <f aca="false">ROUNDUP(H593/BS593,0)</f>
        <v>1</v>
      </c>
      <c r="CE593" s="57" t="n">
        <f aca="false">ROUNDUP(CB593/BS593,0)</f>
        <v>0</v>
      </c>
      <c r="CF593" s="60" t="n">
        <f aca="false">IF(BT593=1,0,IFERROR(VLOOKUP(BR593,'Gebinde-Kategorie'!$A$5:$M$45,5,0)+0,0))</f>
        <v>21</v>
      </c>
      <c r="CG593" s="60" t="n">
        <f aca="false">IFERROR(IF(OR(BX593=1,BX593=2,BX593=3),N(INDEX(Parameter!$I$5:$I$7,BX593)),0),0)</f>
        <v>0</v>
      </c>
      <c r="CH593" s="59" t="n">
        <f aca="false">IF(AND(Parameter!$B$21="Ja",ISNUMBER(W593),N(X593)&gt;0),IFERROR(N(INDEX(Parameter!$L$5:$L$7,W593))*INDEX(Parameter!$E$5:$E$7,W593)*X593/SUMIFS($X$7:$X$1843,$W$7:$W$1843,W593),0),0)</f>
        <v>0</v>
      </c>
    </row>
    <row r="594" customFormat="false" ht="15" hidden="false" customHeight="false" outlineLevel="0" collapsed="false">
      <c r="A594" s="55" t="s">
        <v>1235</v>
      </c>
      <c r="B594" s="55" t="s">
        <v>1236</v>
      </c>
      <c r="C594" s="55" t="s">
        <v>164</v>
      </c>
      <c r="D594" s="55" t="s">
        <v>184</v>
      </c>
      <c r="E594" s="55" t="s">
        <v>185</v>
      </c>
      <c r="F594" s="55" t="s">
        <v>218</v>
      </c>
      <c r="G594" s="56" t="n">
        <v>0.01</v>
      </c>
      <c r="H594" s="57" t="n">
        <f aca="false">MAX(0,IF(AND(Parameter!$B$21="Ja",ISNUMBER(Y594)),Y594,IF(Parameter!$B$20="Jahresanfang 2025 + Export",BL594+BK594,BK594)))</f>
        <v>1954</v>
      </c>
      <c r="I594" s="57" t="n">
        <f aca="false">H594*G594</f>
        <v>19.54</v>
      </c>
      <c r="J594" s="57" t="n">
        <f aca="false">BN594*Parameter!$B$18</f>
        <v>1359</v>
      </c>
      <c r="K594" s="58" t="n">
        <v>1235</v>
      </c>
      <c r="L594" s="59" t="n">
        <v>1.1004048582996</v>
      </c>
      <c r="M594" s="57" t="n">
        <v>79</v>
      </c>
      <c r="N594" s="57" t="n">
        <v>1000</v>
      </c>
      <c r="O594" s="60" t="n">
        <v>21</v>
      </c>
      <c r="P594" s="55" t="s">
        <v>421</v>
      </c>
      <c r="Q594" s="57" t="n">
        <v>326</v>
      </c>
      <c r="R594" s="60" t="n">
        <f aca="false">IF(BT594=1,0,IFERROR(VLOOKUP(BR594,'Gebinde-Kategorie'!$A$5:$M$45,13,0)+0,0))</f>
        <v>132</v>
      </c>
      <c r="S594" s="61"/>
      <c r="T594" s="62"/>
      <c r="U594" s="62"/>
      <c r="V594" s="62"/>
      <c r="W594" s="55"/>
      <c r="X594" s="57"/>
      <c r="Y594" s="57"/>
      <c r="Z594" s="55" t="n">
        <f aca="false">IF(A594="","",IF(AND(Parameter!$B$21="Ja",ISNUMBER(W594)),W594,IF(BV594="2+3",IF(ISNUMBER(SEARCH("grosser Artikel",BO594)),2,IFERROR(VLOOKUP(BR594,Parameter!$F$35:$G$64,2,0),2)),IF(OR(BV594="Nein",BV594=""),"-",BV594))))</f>
        <v>3</v>
      </c>
      <c r="AA594" s="62"/>
      <c r="AB594" s="63"/>
      <c r="AC594" s="57" t="n">
        <f aca="false">AR594</f>
        <v>1304</v>
      </c>
      <c r="AD594" s="57" t="n">
        <f aca="false">MAX(AR594,H594)</f>
        <v>1954</v>
      </c>
      <c r="AE594" s="64"/>
      <c r="AF594" s="57" t="n">
        <f aca="false">IF(LEFT(Cockpit!$C$5,1)="A",H594,IF(CA594=1,CB594,IF(LEFT(Cockpit!$C$5,1)="B",AJ594,MAX(AJ594,H594))))</f>
        <v>1954</v>
      </c>
      <c r="AG594" s="57" t="n">
        <f aca="false">IF(BT594=1,0,ROUNDUP(AF594/BS594,0))</f>
        <v>6</v>
      </c>
      <c r="AH594" s="59" t="n">
        <f aca="false">IF(CH594&gt;0,CH594*MAX(1,AF594/X594),IF(BT594=1,IF(AF594&lt;=0,0,BW594*MAX(1,IF(H594&gt;0,AF594/H594,1))),IF(R594&gt;0,AG594/R594,0))/MAX(0.1,N(Parameter!$M$21)))</f>
        <v>0.0454545454545455</v>
      </c>
      <c r="AI594" s="57" t="n">
        <f aca="false">AF594*G594</f>
        <v>19.54</v>
      </c>
      <c r="AJ594" s="57" t="n">
        <f aca="false">ROUNDUP(MAX(J594/IF(BZ594&gt;0,BZ594,MAX(0.1,N(Cockpit!$C$6))),CC594)/BS594,0)*BS594</f>
        <v>1304</v>
      </c>
      <c r="AK594" s="58" t="n">
        <f aca="false">IF(AH594&gt;0,J594/AH594,-1)</f>
        <v>29898</v>
      </c>
      <c r="AL594" s="58" t="n">
        <f aca="false">IF(AND(OR(BY594="L1",BY594="L23"),AH594&gt;0),SUMIFS($AH$7:$AH$1843,$BY$7:$BY$1843,BY594,$AK$7:$AK$1843,"&gt;"&amp;AK594)+SUMIFS($AH$7:$AH$1843,$BY$7:$BY$1843,BY594,$AK$7:$AK$1843,AK594,$BQ$7:$BQ$1843,"&lt;="&amp;BQ594),"")</f>
        <v>2.3660264855917</v>
      </c>
      <c r="AM594" s="65" t="n">
        <f aca="false">IF(AL594="",0,MAX(0,MIN(1,(IF(BY594="L1",Parameter!$E$5,Parameter!$E$6+Parameter!$E$7)-(AL594-AH594))/AH594)))</f>
        <v>1</v>
      </c>
      <c r="AN594" s="57" t="n">
        <f aca="false">IF(LEFT(Cockpit!$I$5,1)="A",H594,IF(CA594=1,CB594,IF(LEFT(Cockpit!$I$5,1)="B",AR594,MAX(AR594,H594))))</f>
        <v>1954</v>
      </c>
      <c r="AO594" s="57" t="n">
        <f aca="false">IF(BT594=1,0,ROUNDUP(AN594/BS594,0))</f>
        <v>6</v>
      </c>
      <c r="AP594" s="59" t="n">
        <f aca="false">IF(CH594&gt;0,CH594*MAX(1,AN594/X594),IF(BT594=1,IF(AN594&lt;=0,0,BW594*MAX(1,IF(H594&gt;0,AN594/H594,1))),IF(R594&gt;0,AO594/R594,0))/MAX(0.1,N(Parameter!$M$21)))</f>
        <v>0.0454545454545455</v>
      </c>
      <c r="AQ594" s="57" t="n">
        <f aca="false">AN594*G594</f>
        <v>19.54</v>
      </c>
      <c r="AR594" s="57" t="n">
        <f aca="false">ROUNDUP(MAX(J594/IF(BZ594&gt;0,BZ594,MAX(0.1,N(Cockpit!$I$6))),CC594)/BS594,0)*BS594</f>
        <v>1304</v>
      </c>
      <c r="AS594" s="58" t="n">
        <f aca="false">IF(AP594&gt;0,J594/AP594,-1)</f>
        <v>29898</v>
      </c>
      <c r="AT594" s="58" t="n">
        <f aca="false">IF(AND(OR(BY594="L1",BY594="L23"),AP594&gt;0),SUMIFS($AP$7:$AP$1843,$BY$7:$BY$1843,BY594,$AS$7:$AS$1843,"&gt;"&amp;AS594)+SUMIFS($AP$7:$AP$1843,$BY$7:$BY$1843,BY594,$AS$7:$AS$1843,AS594,$BQ$7:$BQ$1843,"&lt;="&amp;BQ594),"")</f>
        <v>3.13534171142867</v>
      </c>
      <c r="AU594" s="65" t="n">
        <f aca="false">IF(AT594="",0,MAX(0,MIN(1,(IF(BY594="L1",Parameter!$E$5,Parameter!$E$6+Parameter!$E$7)-(AT594-AP594))/AP594)))</f>
        <v>1</v>
      </c>
      <c r="AV594" s="57" t="n">
        <f aca="false">IF(LEFT(Cockpit!$O$5,1)="A",H594,IF(CA594=1,CB594,IF(LEFT(Cockpit!$O$5,1)="B",AZ594,MAX(AZ594,H594))))</f>
        <v>1954</v>
      </c>
      <c r="AW594" s="57" t="n">
        <f aca="false">IF(BT594=1,0,ROUNDUP(AV594/BS594,0))</f>
        <v>6</v>
      </c>
      <c r="AX594" s="59" t="n">
        <f aca="false">IF(CH594&gt;0,CH594*MAX(1,AV594/X594),IF(BT594=1,IF(AV594&lt;=0,0,BW594*MAX(1,IF(H594&gt;0,AV594/H594,1))),IF(R594&gt;0,AW594/R594,0))/MAX(0.1,N(Parameter!$M$21)))</f>
        <v>0.0454545454545455</v>
      </c>
      <c r="AY594" s="57" t="n">
        <f aca="false">AV594*G594</f>
        <v>19.54</v>
      </c>
      <c r="AZ594" s="57" t="n">
        <f aca="false">ROUNDUP(MAX(J594/IF(BZ594&gt;0,BZ594,MAX(0.1,N(Cockpit!$O$6))),CC594)/BS594,0)*BS594</f>
        <v>1304</v>
      </c>
      <c r="BA594" s="58" t="n">
        <f aca="false">IF(AX594&gt;0,J594/AX594,-1)</f>
        <v>29898</v>
      </c>
      <c r="BB594" s="58" t="n">
        <f aca="false">IF(AND(OR(BY594="L1",BY594="L23"),AX594&gt;0),SUMIFS($AX$7:$AX$1843,$BY$7:$BY$1843,BY594,$BA$7:$BA$1843,"&gt;"&amp;BA594)+SUMIFS($AX$7:$AX$1843,$BY$7:$BY$1843,BY594,$BA$7:$BA$1843,BA594,$BQ$7:$BQ$1843,"&lt;="&amp;BQ594),"")</f>
        <v>2.8649454410324</v>
      </c>
      <c r="BC594" s="65" t="n">
        <f aca="false">IF(BB594="",0,MAX(0,MIN(1,(IF(BY594="L1",Parameter!$E$5,Parameter!$E$6+Parameter!$E$7)-(BB594-AX594))/AX594)))</f>
        <v>1</v>
      </c>
      <c r="BD594" s="55" t="str">
        <f aca="false">IF(AH594&lt;=0,"",IF(BY594="Aussen","Aussenlager",IF(BY594="-","Nicht im Lift",IF(AM594&gt;=1,"Lift",IF(AM594&lt;=0,"Aussenlager","teilweise")))))</f>
        <v>Lift</v>
      </c>
      <c r="BE594" s="55" t="str">
        <f aca="false">IF(AP594&lt;=0,"",IF(BY594="Aussen","Aussenlager",IF(BY594="-","Nicht im Lift",IF(AU594&gt;=1,"Lift",IF(AU594&lt;=0,"Aussenlager","teilweise")))))</f>
        <v>Lift</v>
      </c>
      <c r="BF594" s="55" t="str">
        <f aca="false">IF(AX594&lt;=0,"",IF(BY594="Aussen","Aussenlager",IF(BY594="-","Nicht im Lift",IF(BC594&gt;=1,"Lift",IF(BC594&lt;=0,"Aussenlager","teilweise")))))</f>
        <v>Lift</v>
      </c>
      <c r="BG594" s="55" t="str">
        <f aca="false">IF(A594="","",IF(BP594=1,"Neu; ","")&amp;IF(AND(BP594=0,BK594&lt;0),"negativer Bestand (Export "&amp;BK594&amp;"); ","")&amp;IF(J594&lt;=0,"Kein Verbrauch; ","")&amp;IF(CH594&gt;0,"Lift "&amp;W594&amp;" lt. Liftbericht (Fach "&amp;X594&amp;" Stk); ",IF(BU594=1,"Gebinde geschätzt ("&amp;T594&amp;"); ",IF(BT594=1,"Lose – Tablare geschätzt; ","")))&amp;IF(H594&gt;AR594,"Überbestand "&amp;ROUND(H594-AR594,0)&amp;" Stk / CHF "&amp;ROUND((H594-AR594)*G594,0)&amp;"; ","")&amp;IF(AND(CA594=1,CB594&lt;CC594),"MAX &lt; MB+LG; ","")&amp;IF(AND(CG594&gt;0,CF594*10&gt;CG594),"zu hoch für Tablar; ","")&amp;IF(AND(BP594=0,OR(CA594=1,AA594&lt;&gt;"",U594&lt;&gt;"",V594&lt;&gt;"",AB594&lt;&gt;"")),"manuell übersteuert; ","")&amp;IF(AND(BT594=0,R594=0),"Gebinde unbekannt / Stellmass fehlt; ","")&amp;IF(AND(BT594=0,N(V594)&lt;=0,N(Q594)&lt;=0),"Menge pro Gebinde fehlt (Ist = 1 Gebinde); ","")&amp;BO594)</f>
        <v>Überbestand 650 Stk / CHF 7; </v>
      </c>
      <c r="BH594" s="55"/>
      <c r="BI594" s="55"/>
      <c r="BJ594" s="62"/>
      <c r="BK594" s="57" t="n">
        <v>738</v>
      </c>
      <c r="BL594" s="57" t="n">
        <v>1216</v>
      </c>
      <c r="BM594" s="56" t="n">
        <v>7.37999999999999</v>
      </c>
      <c r="BN594" s="57" t="n">
        <v>1359</v>
      </c>
      <c r="BO594" s="55"/>
      <c r="BP594" s="60" t="n">
        <v>0</v>
      </c>
      <c r="BQ594" s="60" t="n">
        <v>594</v>
      </c>
      <c r="BR594" s="55" t="str">
        <f aca="false">IF(U594&lt;&gt;"",UPPER(TRIM(U594)),IF(BU594=1,UPPER(VLOOKUP(T594,Parameter!$I$27:$K$29,2,0)),IF(P594="","LOSE",P594)))</f>
        <v>S32</v>
      </c>
      <c r="BS594" s="57" t="n">
        <f aca="false">IF(BR594="LOSE",1,IF(N(V594)&gt;0,V594,IF(BU594=1,MAX(1,N(VLOOKUP(T594,Parameter!$I$27:$K$29,3,0)),H594,N(N594)),IF(N(Q594)&gt;0,Q594,MAX(1,H594)))))</f>
        <v>326</v>
      </c>
      <c r="BT594" s="60" t="n">
        <f aca="false">IF(BR594="LOSE",1,0)</f>
        <v>0</v>
      </c>
      <c r="BU594" s="60" t="n">
        <f aca="false">IF(AND(U594="",OR(P594="",P594="LOSE"),T594&lt;&gt;"",N(S594)&lt;=0,ISNUMBER(MATCH(T594,Parameter!$I$27:$I$29,0))),1,0)</f>
        <v>0</v>
      </c>
      <c r="BV594" s="55" t="str">
        <f aca="false">IF(AND(Parameter!$B$19="Ja",E594&lt;&gt;"",ISNUMBER(MATCH(E594,Parameter!$I$35:$I$52,0))),VLOOKUP(E594,Parameter!$I$35:$J$52,2,0),IFERROR(VLOOKUP(D594,Parameter!$A$35:$C$64,2,0),"Nein"))</f>
        <v>2+3</v>
      </c>
      <c r="BW594" s="59" t="n">
        <f aca="false">IF(BT594=0,0,IF(N(S594)&gt;0,S594,IFERROR(VLOOKUP(D594,Parameter!$A$35:$C$64,3,0)+0,0)))</f>
        <v>0</v>
      </c>
      <c r="BX594" s="55" t="n">
        <f aca="false">IF(AA594&lt;&gt;"",AA594,Z594)</f>
        <v>3</v>
      </c>
      <c r="BY594" s="55" t="str">
        <f aca="false">IF(BX594=1,"L1",IF(OR(BX594=2,BX594=3),"L23",IF(BX594="Aussen","Aussen","-")))</f>
        <v>L23</v>
      </c>
      <c r="BZ594" s="66" t="n">
        <f aca="false">IF(N(AB594)&gt;0,AB594,0)</f>
        <v>0</v>
      </c>
      <c r="CA594" s="60" t="n">
        <f aca="false">IF(ISNUMBER(AE594),1,0)</f>
        <v>0</v>
      </c>
      <c r="CB594" s="57" t="n">
        <f aca="false">N(AE594)</f>
        <v>0</v>
      </c>
      <c r="CC594" s="57" t="n">
        <f aca="false">N(M594)+N(N594)</f>
        <v>1079</v>
      </c>
      <c r="CD594" s="57" t="n">
        <f aca="false">ROUNDUP(H594/BS594,0)</f>
        <v>6</v>
      </c>
      <c r="CE594" s="57" t="n">
        <f aca="false">ROUNDUP(CB594/BS594,0)</f>
        <v>0</v>
      </c>
      <c r="CF594" s="60" t="n">
        <f aca="false">IF(BT594=1,0,IFERROR(VLOOKUP(BR594,'Gebinde-Kategorie'!$A$5:$M$45,5,0)+0,0))</f>
        <v>8</v>
      </c>
      <c r="CG594" s="60" t="n">
        <f aca="false">IFERROR(IF(OR(BX594=1,BX594=2,BX594=3),N(INDEX(Parameter!$I$5:$I$7,BX594)),0),0)</f>
        <v>0</v>
      </c>
      <c r="CH594" s="59" t="n">
        <f aca="false">IF(AND(Parameter!$B$21="Ja",ISNUMBER(W594),N(X594)&gt;0),IFERROR(N(INDEX(Parameter!$L$5:$L$7,W594))*INDEX(Parameter!$E$5:$E$7,W594)*X594/SUMIFS($X$7:$X$1843,$W$7:$W$1843,W594),0),0)</f>
        <v>0</v>
      </c>
    </row>
    <row r="595" customFormat="false" ht="15" hidden="false" customHeight="false" outlineLevel="0" collapsed="false">
      <c r="A595" s="55" t="s">
        <v>1237</v>
      </c>
      <c r="B595" s="55" t="s">
        <v>1238</v>
      </c>
      <c r="C595" s="55" t="s">
        <v>164</v>
      </c>
      <c r="D595" s="55" t="s">
        <v>184</v>
      </c>
      <c r="E595" s="55" t="s">
        <v>185</v>
      </c>
      <c r="F595" s="55" t="s">
        <v>218</v>
      </c>
      <c r="G595" s="56" t="n">
        <v>0.17</v>
      </c>
      <c r="H595" s="57" t="n">
        <f aca="false">MAX(0,IF(AND(Parameter!$B$21="Ja",ISNUMBER(Y595)),Y595,IF(Parameter!$B$20="Jahresanfang 2025 + Export",BL595+BK595,BK595)))</f>
        <v>711</v>
      </c>
      <c r="I595" s="57" t="n">
        <f aca="false">H595*G595</f>
        <v>120.87</v>
      </c>
      <c r="J595" s="57" t="n">
        <f aca="false">BN595*Parameter!$B$18</f>
        <v>1680</v>
      </c>
      <c r="K595" s="58" t="n">
        <v>832</v>
      </c>
      <c r="L595" s="59" t="n">
        <v>2.01923076923077</v>
      </c>
      <c r="M595" s="57" t="n">
        <v>65</v>
      </c>
      <c r="N595" s="57" t="n">
        <v>2000</v>
      </c>
      <c r="O595" s="60" t="n">
        <v>14</v>
      </c>
      <c r="P595" s="55" t="s">
        <v>302</v>
      </c>
      <c r="Q595" s="57" t="n">
        <v>2303</v>
      </c>
      <c r="R595" s="60" t="n">
        <f aca="false">IF(BT595=1,0,IFERROR(VLOOKUP(BR595,'Gebinde-Kategorie'!$A$5:$M$45,13,0)+0,0))</f>
        <v>26</v>
      </c>
      <c r="S595" s="61"/>
      <c r="T595" s="62"/>
      <c r="U595" s="62"/>
      <c r="V595" s="62"/>
      <c r="W595" s="55"/>
      <c r="X595" s="57"/>
      <c r="Y595" s="57"/>
      <c r="Z595" s="55" t="n">
        <f aca="false">IF(A595="","",IF(AND(Parameter!$B$21="Ja",ISNUMBER(W595)),W595,IF(BV595="2+3",IF(ISNUMBER(SEARCH("grosser Artikel",BO595)),2,IFERROR(VLOOKUP(BR595,Parameter!$F$35:$G$64,2,0),2)),IF(OR(BV595="Nein",BV595=""),"-",BV595))))</f>
        <v>3</v>
      </c>
      <c r="AA595" s="62"/>
      <c r="AB595" s="63"/>
      <c r="AC595" s="57" t="n">
        <f aca="false">AR595</f>
        <v>2303</v>
      </c>
      <c r="AD595" s="57" t="n">
        <f aca="false">MAX(AR595,H595)</f>
        <v>2303</v>
      </c>
      <c r="AE595" s="64"/>
      <c r="AF595" s="57" t="n">
        <f aca="false">IF(LEFT(Cockpit!$C$5,1)="A",H595,IF(CA595=1,CB595,IF(LEFT(Cockpit!$C$5,1)="B",AJ595,MAX(AJ595,H595))))</f>
        <v>711</v>
      </c>
      <c r="AG595" s="57" t="n">
        <f aca="false">IF(BT595=1,0,ROUNDUP(AF595/BS595,0))</f>
        <v>1</v>
      </c>
      <c r="AH595" s="59" t="n">
        <f aca="false">IF(CH595&gt;0,CH595*MAX(1,AF595/X595),IF(BT595=1,IF(AF595&lt;=0,0,BW595*MAX(1,IF(H595&gt;0,AF595/H595,1))),IF(R595&gt;0,AG595/R595,0))/MAX(0.1,N(Parameter!$M$21)))</f>
        <v>0.0384615384615385</v>
      </c>
      <c r="AI595" s="57" t="n">
        <f aca="false">AF595*G595</f>
        <v>120.87</v>
      </c>
      <c r="AJ595" s="57" t="n">
        <f aca="false">ROUNDUP(MAX(J595/IF(BZ595&gt;0,BZ595,MAX(0.1,N(Cockpit!$C$6))),CC595)/BS595,0)*BS595</f>
        <v>2303</v>
      </c>
      <c r="AK595" s="58" t="n">
        <f aca="false">IF(AH595&gt;0,J595/AH595,-1)</f>
        <v>43680</v>
      </c>
      <c r="AL595" s="58" t="n">
        <f aca="false">IF(AND(OR(BY595="L1",BY595="L23"),AH595&gt;0),SUMIFS($AH$7:$AH$1843,$BY$7:$BY$1843,BY595,$AK$7:$AK$1843,"&gt;"&amp;AK595)+SUMIFS($AH$7:$AH$1843,$BY$7:$BY$1843,BY595,$AK$7:$AK$1843,AK595,$BQ$7:$BQ$1843,"&lt;="&amp;BQ595),"")</f>
        <v>1.98928245667376</v>
      </c>
      <c r="AM595" s="65" t="n">
        <f aca="false">IF(AL595="",0,MAX(0,MIN(1,(IF(BY595="L1",Parameter!$E$5,Parameter!$E$6+Parameter!$E$7)-(AL595-AH595))/AH595)))</f>
        <v>1</v>
      </c>
      <c r="AN595" s="57" t="n">
        <f aca="false">IF(LEFT(Cockpit!$I$5,1)="A",H595,IF(CA595=1,CB595,IF(LEFT(Cockpit!$I$5,1)="B",AR595,MAX(AR595,H595))))</f>
        <v>2303</v>
      </c>
      <c r="AO595" s="57" t="n">
        <f aca="false">IF(BT595=1,0,ROUNDUP(AN595/BS595,0))</f>
        <v>1</v>
      </c>
      <c r="AP595" s="59" t="n">
        <f aca="false">IF(CH595&gt;0,CH595*MAX(1,AN595/X595),IF(BT595=1,IF(AN595&lt;=0,0,BW595*MAX(1,IF(H595&gt;0,AN595/H595,1))),IF(R595&gt;0,AO595/R595,0))/MAX(0.1,N(Parameter!$M$21)))</f>
        <v>0.0384615384615385</v>
      </c>
      <c r="AQ595" s="57" t="n">
        <f aca="false">AN595*G595</f>
        <v>391.51</v>
      </c>
      <c r="AR595" s="57" t="n">
        <f aca="false">ROUNDUP(MAX(J595/IF(BZ595&gt;0,BZ595,MAX(0.1,N(Cockpit!$I$6))),CC595)/BS595,0)*BS595</f>
        <v>2303</v>
      </c>
      <c r="AS595" s="58" t="n">
        <f aca="false">IF(AP595&gt;0,J595/AP595,-1)</f>
        <v>43680</v>
      </c>
      <c r="AT595" s="58" t="n">
        <f aca="false">IF(AND(OR(BY595="L1",BY595="L23"),AP595&gt;0),SUMIFS($AP$7:$AP$1843,$BY$7:$BY$1843,BY595,$AS$7:$AS$1843,"&gt;"&amp;AS595)+SUMIFS($AP$7:$AP$1843,$BY$7:$BY$1843,BY595,$AS$7:$AS$1843,AS595,$BQ$7:$BQ$1843,"&lt;="&amp;BQ595),"")</f>
        <v>1.94153069153069</v>
      </c>
      <c r="AU595" s="65" t="n">
        <f aca="false">IF(AT595="",0,MAX(0,MIN(1,(IF(BY595="L1",Parameter!$E$5,Parameter!$E$6+Parameter!$E$7)-(AT595-AP595))/AP595)))</f>
        <v>1</v>
      </c>
      <c r="AV595" s="57" t="n">
        <f aca="false">IF(LEFT(Cockpit!$O$5,1)="A",H595,IF(CA595=1,CB595,IF(LEFT(Cockpit!$O$5,1)="B",AZ595,MAX(AZ595,H595))))</f>
        <v>2303</v>
      </c>
      <c r="AW595" s="57" t="n">
        <f aca="false">IF(BT595=1,0,ROUNDUP(AV595/BS595,0))</f>
        <v>1</v>
      </c>
      <c r="AX595" s="59" t="n">
        <f aca="false">IF(CH595&gt;0,CH595*MAX(1,AV595/X595),IF(BT595=1,IF(AV595&lt;=0,0,BW595*MAX(1,IF(H595&gt;0,AV595/H595,1))),IF(R595&gt;0,AW595/R595,0))/MAX(0.1,N(Parameter!$M$21)))</f>
        <v>0.0384615384615385</v>
      </c>
      <c r="AY595" s="57" t="n">
        <f aca="false">AV595*G595</f>
        <v>391.51</v>
      </c>
      <c r="AZ595" s="57" t="n">
        <f aca="false">ROUNDUP(MAX(J595/IF(BZ595&gt;0,BZ595,MAX(0.1,N(Cockpit!$O$6))),CC595)/BS595,0)*BS595</f>
        <v>2303</v>
      </c>
      <c r="BA595" s="58" t="n">
        <f aca="false">IF(AX595&gt;0,J595/AX595,-1)</f>
        <v>43680</v>
      </c>
      <c r="BB595" s="58" t="n">
        <f aca="false">IF(AND(OR(BY595="L1",BY595="L23"),AX595&gt;0),SUMIFS($AX$7:$AX$1843,$BY$7:$BY$1843,BY595,$BA$7:$BA$1843,"&gt;"&amp;BA595)+SUMIFS($AX$7:$AX$1843,$BY$7:$BY$1843,BY595,$BA$7:$BA$1843,BA595,$BQ$7:$BQ$1843,"&lt;="&amp;BQ595),"")</f>
        <v>2.23232323232323</v>
      </c>
      <c r="BC595" s="65" t="n">
        <f aca="false">IF(BB595="",0,MAX(0,MIN(1,(IF(BY595="L1",Parameter!$E$5,Parameter!$E$6+Parameter!$E$7)-(BB595-AX595))/AX595)))</f>
        <v>1</v>
      </c>
      <c r="BD595" s="55" t="str">
        <f aca="false">IF(AH595&lt;=0,"",IF(BY595="Aussen","Aussenlager",IF(BY595="-","Nicht im Lift",IF(AM595&gt;=1,"Lift",IF(AM595&lt;=0,"Aussenlager","teilweise")))))</f>
        <v>Lift</v>
      </c>
      <c r="BE595" s="55" t="str">
        <f aca="false">IF(AP595&lt;=0,"",IF(BY595="Aussen","Aussenlager",IF(BY595="-","Nicht im Lift",IF(AU595&gt;=1,"Lift",IF(AU595&lt;=0,"Aussenlager","teilweise")))))</f>
        <v>Lift</v>
      </c>
      <c r="BF595" s="55" t="str">
        <f aca="false">IF(AX595&lt;=0,"",IF(BY595="Aussen","Aussenlager",IF(BY595="-","Nicht im Lift",IF(BC595&gt;=1,"Lift",IF(BC595&lt;=0,"Aussenlager","teilweise")))))</f>
        <v>Lift</v>
      </c>
      <c r="BG595" s="55" t="str">
        <f aca="false">IF(A595="","",IF(BP595=1,"Neu; ","")&amp;IF(AND(BP595=0,BK595&lt;0),"negativer Bestand (Export "&amp;BK595&amp;"); ","")&amp;IF(J595&lt;=0,"Kein Verbrauch; ","")&amp;IF(CH595&gt;0,"Lift "&amp;W595&amp;" lt. Liftbericht (Fach "&amp;X595&amp;" Stk); ",IF(BU595=1,"Gebinde geschätzt ("&amp;T595&amp;"); ",IF(BT595=1,"Lose – Tablare geschätzt; ","")))&amp;IF(H595&gt;AR595,"Überbestand "&amp;ROUND(H595-AR595,0)&amp;" Stk / CHF "&amp;ROUND((H595-AR595)*G595,0)&amp;"; ","")&amp;IF(AND(CA595=1,CB595&lt;CC595),"MAX &lt; MB+LG; ","")&amp;IF(AND(CG595&gt;0,CF595*10&gt;CG595),"zu hoch für Tablar; ","")&amp;IF(AND(BP595=0,OR(CA595=1,AA595&lt;&gt;"",U595&lt;&gt;"",V595&lt;&gt;"",AB595&lt;&gt;"")),"manuell übersteuert; ","")&amp;IF(AND(BT595=0,R595=0),"Gebinde unbekannt / Stellmass fehlt; ","")&amp;IF(AND(BT595=0,N(V595)&lt;=0,N(Q595)&lt;=0),"Menge pro Gebinde fehlt (Ist = 1 Gebinde); ","")&amp;BO595)</f>
        <v/>
      </c>
      <c r="BH595" s="55"/>
      <c r="BI595" s="55"/>
      <c r="BJ595" s="62"/>
      <c r="BK595" s="57" t="n">
        <v>42</v>
      </c>
      <c r="BL595" s="57" t="n">
        <v>669</v>
      </c>
      <c r="BM595" s="56" t="n">
        <v>7.14</v>
      </c>
      <c r="BN595" s="57" t="n">
        <v>1680</v>
      </c>
      <c r="BO595" s="55"/>
      <c r="BP595" s="60" t="n">
        <v>0</v>
      </c>
      <c r="BQ595" s="60" t="n">
        <v>595</v>
      </c>
      <c r="BR595" s="55" t="str">
        <f aca="false">IF(U595&lt;&gt;"",UPPER(TRIM(U595)),IF(BU595=1,UPPER(VLOOKUP(T595,Parameter!$I$27:$K$29,2,0)),IF(P595="","LOSE",P595)))</f>
        <v>S51</v>
      </c>
      <c r="BS595" s="57" t="n">
        <f aca="false">IF(BR595="LOSE",1,IF(N(V595)&gt;0,V595,IF(BU595=1,MAX(1,N(VLOOKUP(T595,Parameter!$I$27:$K$29,3,0)),H595,N(N595)),IF(N(Q595)&gt;0,Q595,MAX(1,H595)))))</f>
        <v>2303</v>
      </c>
      <c r="BT595" s="60" t="n">
        <f aca="false">IF(BR595="LOSE",1,0)</f>
        <v>0</v>
      </c>
      <c r="BU595" s="60" t="n">
        <f aca="false">IF(AND(U595="",OR(P595="",P595="LOSE"),T595&lt;&gt;"",N(S595)&lt;=0,ISNUMBER(MATCH(T595,Parameter!$I$27:$I$29,0))),1,0)</f>
        <v>0</v>
      </c>
      <c r="BV595" s="55" t="str">
        <f aca="false">IF(AND(Parameter!$B$19="Ja",E595&lt;&gt;"",ISNUMBER(MATCH(E595,Parameter!$I$35:$I$52,0))),VLOOKUP(E595,Parameter!$I$35:$J$52,2,0),IFERROR(VLOOKUP(D595,Parameter!$A$35:$C$64,2,0),"Nein"))</f>
        <v>2+3</v>
      </c>
      <c r="BW595" s="59" t="n">
        <f aca="false">IF(BT595=0,0,IF(N(S595)&gt;0,S595,IFERROR(VLOOKUP(D595,Parameter!$A$35:$C$64,3,0)+0,0)))</f>
        <v>0</v>
      </c>
      <c r="BX595" s="55" t="n">
        <f aca="false">IF(AA595&lt;&gt;"",AA595,Z595)</f>
        <v>3</v>
      </c>
      <c r="BY595" s="55" t="str">
        <f aca="false">IF(BX595=1,"L1",IF(OR(BX595=2,BX595=3),"L23",IF(BX595="Aussen","Aussen","-")))</f>
        <v>L23</v>
      </c>
      <c r="BZ595" s="66" t="n">
        <f aca="false">IF(N(AB595)&gt;0,AB595,0)</f>
        <v>0</v>
      </c>
      <c r="CA595" s="60" t="n">
        <f aca="false">IF(ISNUMBER(AE595),1,0)</f>
        <v>0</v>
      </c>
      <c r="CB595" s="57" t="n">
        <f aca="false">N(AE595)</f>
        <v>0</v>
      </c>
      <c r="CC595" s="57" t="n">
        <f aca="false">N(M595)+N(N595)</f>
        <v>2065</v>
      </c>
      <c r="CD595" s="57" t="n">
        <f aca="false">ROUNDUP(H595/BS595,0)</f>
        <v>1</v>
      </c>
      <c r="CE595" s="57" t="n">
        <f aca="false">ROUNDUP(CB595/BS595,0)</f>
        <v>0</v>
      </c>
      <c r="CF595" s="60" t="n">
        <f aca="false">IF(BT595=1,0,IFERROR(VLOOKUP(BR595,'Gebinde-Kategorie'!$A$5:$M$45,5,0)+0,0))</f>
        <v>11</v>
      </c>
      <c r="CG595" s="60" t="n">
        <f aca="false">IFERROR(IF(OR(BX595=1,BX595=2,BX595=3),N(INDEX(Parameter!$I$5:$I$7,BX595)),0),0)</f>
        <v>0</v>
      </c>
      <c r="CH595" s="59" t="n">
        <f aca="false">IF(AND(Parameter!$B$21="Ja",ISNUMBER(W595),N(X595)&gt;0),IFERROR(N(INDEX(Parameter!$L$5:$L$7,W595))*INDEX(Parameter!$E$5:$E$7,W595)*X595/SUMIFS($X$7:$X$1843,$W$7:$W$1843,W595),0),0)</f>
        <v>0</v>
      </c>
    </row>
    <row r="596" customFormat="false" ht="15" hidden="false" customHeight="false" outlineLevel="0" collapsed="false">
      <c r="A596" s="55" t="s">
        <v>1239</v>
      </c>
      <c r="B596" s="55" t="s">
        <v>374</v>
      </c>
      <c r="C596" s="55" t="s">
        <v>164</v>
      </c>
      <c r="D596" s="55" t="s">
        <v>184</v>
      </c>
      <c r="E596" s="55" t="s">
        <v>185</v>
      </c>
      <c r="F596" s="55" t="s">
        <v>218</v>
      </c>
      <c r="G596" s="56" t="n">
        <v>0.15</v>
      </c>
      <c r="H596" s="57" t="n">
        <f aca="false">MAX(0,IF(AND(Parameter!$B$21="Ja",ISNUMBER(Y596)),Y596,IF(Parameter!$B$20="Jahresanfang 2025 + Export",BL596+BK596,BK596)))</f>
        <v>446</v>
      </c>
      <c r="I596" s="57" t="n">
        <f aca="false">H596*G596</f>
        <v>66.9</v>
      </c>
      <c r="J596" s="57" t="n">
        <f aca="false">BN596*Parameter!$B$18</f>
        <v>0</v>
      </c>
      <c r="K596" s="58" t="n">
        <v>423</v>
      </c>
      <c r="L596" s="59" t="n">
        <v>0</v>
      </c>
      <c r="M596" s="57" t="n">
        <v>0</v>
      </c>
      <c r="N596" s="57" t="n">
        <v>1</v>
      </c>
      <c r="O596" s="60" t="n">
        <v>21</v>
      </c>
      <c r="P596" s="55" t="s">
        <v>421</v>
      </c>
      <c r="Q596" s="57" t="n">
        <v>406</v>
      </c>
      <c r="R596" s="60" t="n">
        <f aca="false">IF(BT596=1,0,IFERROR(VLOOKUP(BR596,'Gebinde-Kategorie'!$A$5:$M$45,13,0)+0,0))</f>
        <v>132</v>
      </c>
      <c r="S596" s="61"/>
      <c r="T596" s="62"/>
      <c r="U596" s="62"/>
      <c r="V596" s="62"/>
      <c r="W596" s="55"/>
      <c r="X596" s="57"/>
      <c r="Y596" s="57"/>
      <c r="Z596" s="55" t="n">
        <f aca="false">IF(A596="","",IF(AND(Parameter!$B$21="Ja",ISNUMBER(W596)),W596,IF(BV596="2+3",IF(ISNUMBER(SEARCH("grosser Artikel",BO596)),2,IFERROR(VLOOKUP(BR596,Parameter!$F$35:$G$64,2,0),2)),IF(OR(BV596="Nein",BV596=""),"-",BV596))))</f>
        <v>3</v>
      </c>
      <c r="AA596" s="62"/>
      <c r="AB596" s="63"/>
      <c r="AC596" s="57" t="n">
        <f aca="false">AR596</f>
        <v>406</v>
      </c>
      <c r="AD596" s="57" t="n">
        <f aca="false">MAX(AR596,H596)</f>
        <v>446</v>
      </c>
      <c r="AE596" s="64"/>
      <c r="AF596" s="57" t="n">
        <f aca="false">IF(LEFT(Cockpit!$C$5,1)="A",H596,IF(CA596=1,CB596,IF(LEFT(Cockpit!$C$5,1)="B",AJ596,MAX(AJ596,H596))))</f>
        <v>446</v>
      </c>
      <c r="AG596" s="57" t="n">
        <f aca="false">IF(BT596=1,0,ROUNDUP(AF596/BS596,0))</f>
        <v>2</v>
      </c>
      <c r="AH596" s="59" t="n">
        <f aca="false">IF(CH596&gt;0,CH596*MAX(1,AF596/X596),IF(BT596=1,IF(AF596&lt;=0,0,BW596*MAX(1,IF(H596&gt;0,AF596/H596,1))),IF(R596&gt;0,AG596/R596,0))/MAX(0.1,N(Parameter!$M$21)))</f>
        <v>0.0151515151515152</v>
      </c>
      <c r="AI596" s="57" t="n">
        <f aca="false">AF596*G596</f>
        <v>66.9</v>
      </c>
      <c r="AJ596" s="57" t="n">
        <f aca="false">ROUNDUP(MAX(J596/IF(BZ596&gt;0,BZ596,MAX(0.1,N(Cockpit!$C$6))),CC596)/BS596,0)*BS596</f>
        <v>406</v>
      </c>
      <c r="AK596" s="58" t="n">
        <f aca="false">IF(AH596&gt;0,J596/AH596,-1)</f>
        <v>0</v>
      </c>
      <c r="AL596" s="58" t="n">
        <f aca="false">IF(AND(OR(BY596="L1",BY596="L23"),AH596&gt;0),SUMIFS($AH$7:$AH$1843,$BY$7:$BY$1843,BY596,$AK$7:$AK$1843,"&gt;"&amp;AK596)+SUMIFS($AH$7:$AH$1843,$BY$7:$BY$1843,BY596,$AK$7:$AK$1843,AK596,$BQ$7:$BQ$1843,"&lt;="&amp;BQ596),"")</f>
        <v>76.1121414817067</v>
      </c>
      <c r="AM596" s="65" t="n">
        <f aca="false">IF(AL596="",0,MAX(0,MIN(1,(IF(BY596="L1",Parameter!$E$5,Parameter!$E$6+Parameter!$E$7)-(AL596-AH596))/AH596)))</f>
        <v>1</v>
      </c>
      <c r="AN596" s="57" t="n">
        <f aca="false">IF(LEFT(Cockpit!$I$5,1)="A",H596,IF(CA596=1,CB596,IF(LEFT(Cockpit!$I$5,1)="B",AR596,MAX(AR596,H596))))</f>
        <v>446</v>
      </c>
      <c r="AO596" s="57" t="n">
        <f aca="false">IF(BT596=1,0,ROUNDUP(AN596/BS596,0))</f>
        <v>2</v>
      </c>
      <c r="AP596" s="59" t="n">
        <f aca="false">IF(CH596&gt;0,CH596*MAX(1,AN596/X596),IF(BT596=1,IF(AN596&lt;=0,0,BW596*MAX(1,IF(H596&gt;0,AN596/H596,1))),IF(R596&gt;0,AO596/R596,0))/MAX(0.1,N(Parameter!$M$21)))</f>
        <v>0.0151515151515152</v>
      </c>
      <c r="AQ596" s="57" t="n">
        <f aca="false">AN596*G596</f>
        <v>66.9</v>
      </c>
      <c r="AR596" s="57" t="n">
        <f aca="false">ROUNDUP(MAX(J596/IF(BZ596&gt;0,BZ596,MAX(0.1,N(Cockpit!$I$6))),CC596)/BS596,0)*BS596</f>
        <v>406</v>
      </c>
      <c r="AS596" s="58" t="n">
        <f aca="false">IF(AP596&gt;0,J596/AP596,-1)</f>
        <v>0</v>
      </c>
      <c r="AT596" s="58" t="n">
        <f aca="false">IF(AND(OR(BY596="L1",BY596="L23"),AP596&gt;0),SUMIFS($AP$7:$AP$1843,$BY$7:$BY$1843,BY596,$AS$7:$AS$1843,"&gt;"&amp;AS596)+SUMIFS($AP$7:$AP$1843,$BY$7:$BY$1843,BY596,$AS$7:$AS$1843,AS596,$BQ$7:$BQ$1843,"&lt;="&amp;BQ596),"")</f>
        <v>115.5362656667</v>
      </c>
      <c r="AU596" s="65" t="n">
        <f aca="false">IF(AT596="",0,MAX(0,MIN(1,(IF(BY596="L1",Parameter!$E$5,Parameter!$E$6+Parameter!$E$7)-(AT596-AP596))/AP596)))</f>
        <v>0</v>
      </c>
      <c r="AV596" s="57" t="n">
        <f aca="false">IF(LEFT(Cockpit!$O$5,1)="A",H596,IF(CA596=1,CB596,IF(LEFT(Cockpit!$O$5,1)="B",AZ596,MAX(AZ596,H596))))</f>
        <v>446</v>
      </c>
      <c r="AW596" s="57" t="n">
        <f aca="false">IF(BT596=1,0,ROUNDUP(AV596/BS596,0))</f>
        <v>2</v>
      </c>
      <c r="AX596" s="59" t="n">
        <f aca="false">IF(CH596&gt;0,CH596*MAX(1,AV596/X596),IF(BT596=1,IF(AV596&lt;=0,0,BW596*MAX(1,IF(H596&gt;0,AV596/H596,1))),IF(R596&gt;0,AW596/R596,0))/MAX(0.1,N(Parameter!$M$21)))</f>
        <v>0.0151515151515152</v>
      </c>
      <c r="AY596" s="57" t="n">
        <f aca="false">AV596*G596</f>
        <v>66.9</v>
      </c>
      <c r="AZ596" s="57" t="n">
        <f aca="false">ROUNDUP(MAX(J596/IF(BZ596&gt;0,BZ596,MAX(0.1,N(Cockpit!$O$6))),CC596)/BS596,0)*BS596</f>
        <v>406</v>
      </c>
      <c r="BA596" s="58" t="n">
        <f aca="false">IF(AX596&gt;0,J596/AX596,-1)</f>
        <v>0</v>
      </c>
      <c r="BB596" s="58" t="n">
        <f aca="false">IF(AND(OR(BY596="L1",BY596="L23"),AX596&gt;0),SUMIFS($AX$7:$AX$1843,$BY$7:$BY$1843,BY596,$BA$7:$BA$1843,"&gt;"&amp;BA596)+SUMIFS($AX$7:$AX$1843,$BY$7:$BY$1843,BY596,$BA$7:$BA$1843,BA596,$BQ$7:$BQ$1843,"&lt;="&amp;BQ596),"")</f>
        <v>106.366102496537</v>
      </c>
      <c r="BC596" s="65" t="n">
        <f aca="false">IF(BB596="",0,MAX(0,MIN(1,(IF(BY596="L1",Parameter!$E$5,Parameter!$E$6+Parameter!$E$7)-(BB596-AX596))/AX596)))</f>
        <v>0</v>
      </c>
      <c r="BD596" s="55" t="str">
        <f aca="false">IF(AH596&lt;=0,"",IF(BY596="Aussen","Aussenlager",IF(BY596="-","Nicht im Lift",IF(AM596&gt;=1,"Lift",IF(AM596&lt;=0,"Aussenlager","teilweise")))))</f>
        <v>Lift</v>
      </c>
      <c r="BE596" s="55" t="str">
        <f aca="false">IF(AP596&lt;=0,"",IF(BY596="Aussen","Aussenlager",IF(BY596="-","Nicht im Lift",IF(AU596&gt;=1,"Lift",IF(AU596&lt;=0,"Aussenlager","teilweise")))))</f>
        <v>Aussenlager</v>
      </c>
      <c r="BF596" s="55" t="str">
        <f aca="false">IF(AX596&lt;=0,"",IF(BY596="Aussen","Aussenlager",IF(BY596="-","Nicht im Lift",IF(BC596&gt;=1,"Lift",IF(BC596&lt;=0,"Aussenlager","teilweise")))))</f>
        <v>Aussenlager</v>
      </c>
      <c r="BG596" s="55" t="str">
        <f aca="false">IF(A596="","",IF(BP596=1,"Neu; ","")&amp;IF(AND(BP596=0,BK596&lt;0),"negativer Bestand (Export "&amp;BK596&amp;"); ","")&amp;IF(J596&lt;=0,"Kein Verbrauch; ","")&amp;IF(CH596&gt;0,"Lift "&amp;W596&amp;" lt. Liftbericht (Fach "&amp;X596&amp;" Stk); ",IF(BU596=1,"Gebinde geschätzt ("&amp;T596&amp;"); ",IF(BT596=1,"Lose – Tablare geschätzt; ","")))&amp;IF(H596&gt;AR596,"Überbestand "&amp;ROUND(H596-AR596,0)&amp;" Stk / CHF "&amp;ROUND((H596-AR596)*G596,0)&amp;"; ","")&amp;IF(AND(CA596=1,CB596&lt;CC596),"MAX &lt; MB+LG; ","")&amp;IF(AND(CG596&gt;0,CF596*10&gt;CG596),"zu hoch für Tablar; ","")&amp;IF(AND(BP596=0,OR(CA596=1,AA596&lt;&gt;"",U596&lt;&gt;"",V596&lt;&gt;"",AB596&lt;&gt;"")),"manuell übersteuert; ","")&amp;IF(AND(BT596=0,R596=0),"Gebinde unbekannt / Stellmass fehlt; ","")&amp;IF(AND(BT596=0,N(V596)&lt;=0,N(Q596)&lt;=0),"Menge pro Gebinde fehlt (Ist = 1 Gebinde); ","")&amp;BO596)</f>
        <v>Kein Verbrauch; Überbestand 40 Stk / CHF 6; Neu</v>
      </c>
      <c r="BH596" s="55"/>
      <c r="BI596" s="55"/>
      <c r="BJ596" s="62"/>
      <c r="BK596" s="57" t="n">
        <v>46</v>
      </c>
      <c r="BL596" s="57" t="n">
        <v>400</v>
      </c>
      <c r="BM596" s="56" t="n">
        <v>6.9</v>
      </c>
      <c r="BN596" s="57" t="n">
        <v>0</v>
      </c>
      <c r="BO596" s="55" t="s">
        <v>626</v>
      </c>
      <c r="BP596" s="60" t="n">
        <v>0</v>
      </c>
      <c r="BQ596" s="60" t="n">
        <v>596</v>
      </c>
      <c r="BR596" s="55" t="str">
        <f aca="false">IF(U596&lt;&gt;"",UPPER(TRIM(U596)),IF(BU596=1,UPPER(VLOOKUP(T596,Parameter!$I$27:$K$29,2,0)),IF(P596="","LOSE",P596)))</f>
        <v>S32</v>
      </c>
      <c r="BS596" s="57" t="n">
        <f aca="false">IF(BR596="LOSE",1,IF(N(V596)&gt;0,V596,IF(BU596=1,MAX(1,N(VLOOKUP(T596,Parameter!$I$27:$K$29,3,0)),H596,N(N596)),IF(N(Q596)&gt;0,Q596,MAX(1,H596)))))</f>
        <v>406</v>
      </c>
      <c r="BT596" s="60" t="n">
        <f aca="false">IF(BR596="LOSE",1,0)</f>
        <v>0</v>
      </c>
      <c r="BU596" s="60" t="n">
        <f aca="false">IF(AND(U596="",OR(P596="",P596="LOSE"),T596&lt;&gt;"",N(S596)&lt;=0,ISNUMBER(MATCH(T596,Parameter!$I$27:$I$29,0))),1,0)</f>
        <v>0</v>
      </c>
      <c r="BV596" s="55" t="str">
        <f aca="false">IF(AND(Parameter!$B$19="Ja",E596&lt;&gt;"",ISNUMBER(MATCH(E596,Parameter!$I$35:$I$52,0))),VLOOKUP(E596,Parameter!$I$35:$J$52,2,0),IFERROR(VLOOKUP(D596,Parameter!$A$35:$C$64,2,0),"Nein"))</f>
        <v>2+3</v>
      </c>
      <c r="BW596" s="59" t="n">
        <f aca="false">IF(BT596=0,0,IF(N(S596)&gt;0,S596,IFERROR(VLOOKUP(D596,Parameter!$A$35:$C$64,3,0)+0,0)))</f>
        <v>0</v>
      </c>
      <c r="BX596" s="55" t="n">
        <f aca="false">IF(AA596&lt;&gt;"",AA596,Z596)</f>
        <v>3</v>
      </c>
      <c r="BY596" s="55" t="str">
        <f aca="false">IF(BX596=1,"L1",IF(OR(BX596=2,BX596=3),"L23",IF(BX596="Aussen","Aussen","-")))</f>
        <v>L23</v>
      </c>
      <c r="BZ596" s="66" t="n">
        <f aca="false">IF(N(AB596)&gt;0,AB596,0)</f>
        <v>0</v>
      </c>
      <c r="CA596" s="60" t="n">
        <f aca="false">IF(ISNUMBER(AE596),1,0)</f>
        <v>0</v>
      </c>
      <c r="CB596" s="57" t="n">
        <f aca="false">N(AE596)</f>
        <v>0</v>
      </c>
      <c r="CC596" s="57" t="n">
        <f aca="false">N(M596)+N(N596)</f>
        <v>1</v>
      </c>
      <c r="CD596" s="57" t="n">
        <f aca="false">ROUNDUP(H596/BS596,0)</f>
        <v>2</v>
      </c>
      <c r="CE596" s="57" t="n">
        <f aca="false">ROUNDUP(CB596/BS596,0)</f>
        <v>0</v>
      </c>
      <c r="CF596" s="60" t="n">
        <f aca="false">IF(BT596=1,0,IFERROR(VLOOKUP(BR596,'Gebinde-Kategorie'!$A$5:$M$45,5,0)+0,0))</f>
        <v>8</v>
      </c>
      <c r="CG596" s="60" t="n">
        <f aca="false">IFERROR(IF(OR(BX596=1,BX596=2,BX596=3),N(INDEX(Parameter!$I$5:$I$7,BX596)),0),0)</f>
        <v>0</v>
      </c>
      <c r="CH596" s="59" t="n">
        <f aca="false">IF(AND(Parameter!$B$21="Ja",ISNUMBER(W596),N(X596)&gt;0),IFERROR(N(INDEX(Parameter!$L$5:$L$7,W596))*INDEX(Parameter!$E$5:$E$7,W596)*X596/SUMIFS($X$7:$X$1843,$W$7:$W$1843,W596),0),0)</f>
        <v>0</v>
      </c>
    </row>
    <row r="597" customFormat="false" ht="15" hidden="false" customHeight="false" outlineLevel="0" collapsed="false">
      <c r="A597" s="55" t="s">
        <v>1240</v>
      </c>
      <c r="B597" s="55" t="s">
        <v>1165</v>
      </c>
      <c r="C597" s="55" t="s">
        <v>164</v>
      </c>
      <c r="D597" s="55" t="s">
        <v>173</v>
      </c>
      <c r="E597" s="55"/>
      <c r="F597" s="55" t="s">
        <v>218</v>
      </c>
      <c r="G597" s="56" t="n">
        <v>6.8</v>
      </c>
      <c r="H597" s="57" t="n">
        <f aca="false">MAX(0,IF(AND(Parameter!$B$21="Ja",ISNUMBER(Y597)),Y597,IF(Parameter!$B$20="Jahresanfang 2025 + Export",BL597+BK597,BK597)))</f>
        <v>1</v>
      </c>
      <c r="I597" s="57" t="n">
        <f aca="false">H597*G597</f>
        <v>6.8</v>
      </c>
      <c r="J597" s="57" t="n">
        <f aca="false">BN597*Parameter!$B$18</f>
        <v>0</v>
      </c>
      <c r="K597" s="58" t="n">
        <v>0</v>
      </c>
      <c r="L597" s="59" t="n">
        <v>0</v>
      </c>
      <c r="M597" s="57" t="n">
        <v>0</v>
      </c>
      <c r="N597" s="57" t="n">
        <v>1</v>
      </c>
      <c r="O597" s="60" t="n">
        <v>21</v>
      </c>
      <c r="P597" s="55" t="s">
        <v>168</v>
      </c>
      <c r="Q597" s="57"/>
      <c r="R597" s="60" t="n">
        <f aca="false">IF(BT597=1,0,IFERROR(VLOOKUP(BR597,'Gebinde-Kategorie'!$A$5:$M$45,13,0)+0,0))</f>
        <v>26</v>
      </c>
      <c r="S597" s="61"/>
      <c r="T597" s="62" t="s">
        <v>275</v>
      </c>
      <c r="U597" s="62"/>
      <c r="V597" s="62"/>
      <c r="W597" s="55"/>
      <c r="X597" s="57"/>
      <c r="Y597" s="57"/>
      <c r="Z597" s="55" t="n">
        <f aca="false">IF(A597="","",IF(AND(Parameter!$B$21="Ja",ISNUMBER(W597)),W597,IF(BV597="2+3",IF(ISNUMBER(SEARCH("grosser Artikel",BO597)),2,IFERROR(VLOOKUP(BR597,Parameter!$F$35:$G$64,2,0),2)),IF(OR(BV597="Nein",BV597=""),"-",BV597))))</f>
        <v>3</v>
      </c>
      <c r="AA597" s="62"/>
      <c r="AB597" s="63"/>
      <c r="AC597" s="57" t="n">
        <f aca="false">AR597</f>
        <v>20</v>
      </c>
      <c r="AD597" s="57" t="n">
        <f aca="false">MAX(AR597,H597)</f>
        <v>20</v>
      </c>
      <c r="AE597" s="64"/>
      <c r="AF597" s="57" t="n">
        <f aca="false">IF(LEFT(Cockpit!$C$5,1)="A",H597,IF(CA597=1,CB597,IF(LEFT(Cockpit!$C$5,1)="B",AJ597,MAX(AJ597,H597))))</f>
        <v>1</v>
      </c>
      <c r="AG597" s="57" t="n">
        <f aca="false">IF(BT597=1,0,ROUNDUP(AF597/BS597,0))</f>
        <v>1</v>
      </c>
      <c r="AH597" s="59" t="n">
        <f aca="false">IF(CH597&gt;0,CH597*MAX(1,AF597/X597),IF(BT597=1,IF(AF597&lt;=0,0,BW597*MAX(1,IF(H597&gt;0,AF597/H597,1))),IF(R597&gt;0,AG597/R597,0))/MAX(0.1,N(Parameter!$M$21)))</f>
        <v>0.0384615384615385</v>
      </c>
      <c r="AI597" s="57" t="n">
        <f aca="false">AF597*G597</f>
        <v>6.8</v>
      </c>
      <c r="AJ597" s="57" t="n">
        <f aca="false">ROUNDUP(MAX(J597/IF(BZ597&gt;0,BZ597,MAX(0.1,N(Cockpit!$C$6))),CC597)/BS597,0)*BS597</f>
        <v>20</v>
      </c>
      <c r="AK597" s="58" t="n">
        <f aca="false">IF(AH597&gt;0,J597/AH597,-1)</f>
        <v>0</v>
      </c>
      <c r="AL597" s="58" t="n">
        <f aca="false">IF(AND(OR(BY597="L1",BY597="L23"),AH597&gt;0),SUMIFS($AH$7:$AH$1843,$BY$7:$BY$1843,BY597,$AK$7:$AK$1843,"&gt;"&amp;AK597)+SUMIFS($AH$7:$AH$1843,$BY$7:$BY$1843,BY597,$AK$7:$AK$1843,AK597,$BQ$7:$BQ$1843,"&lt;="&amp;BQ597),"")</f>
        <v>76.1506030201683</v>
      </c>
      <c r="AM597" s="65" t="n">
        <f aca="false">IF(AL597="",0,MAX(0,MIN(1,(IF(BY597="L1",Parameter!$E$5,Parameter!$E$6+Parameter!$E$7)-(AL597-AH597))/AH597)))</f>
        <v>1</v>
      </c>
      <c r="AN597" s="57" t="n">
        <f aca="false">IF(LEFT(Cockpit!$I$5,1)="A",H597,IF(CA597=1,CB597,IF(LEFT(Cockpit!$I$5,1)="B",AR597,MAX(AR597,H597))))</f>
        <v>20</v>
      </c>
      <c r="AO597" s="57" t="n">
        <f aca="false">IF(BT597=1,0,ROUNDUP(AN597/BS597,0))</f>
        <v>1</v>
      </c>
      <c r="AP597" s="59" t="n">
        <f aca="false">IF(CH597&gt;0,CH597*MAX(1,AN597/X597),IF(BT597=1,IF(AN597&lt;=0,0,BW597*MAX(1,IF(H597&gt;0,AN597/H597,1))),IF(R597&gt;0,AO597/R597,0))/MAX(0.1,N(Parameter!$M$21)))</f>
        <v>0.0384615384615385</v>
      </c>
      <c r="AQ597" s="57" t="n">
        <f aca="false">AN597*G597</f>
        <v>136</v>
      </c>
      <c r="AR597" s="57" t="n">
        <f aca="false">ROUNDUP(MAX(J597/IF(BZ597&gt;0,BZ597,MAX(0.1,N(Cockpit!$I$6))),CC597)/BS597,0)*BS597</f>
        <v>20</v>
      </c>
      <c r="AS597" s="58" t="n">
        <f aca="false">IF(AP597&gt;0,J597/AP597,-1)</f>
        <v>0</v>
      </c>
      <c r="AT597" s="58" t="n">
        <f aca="false">IF(AND(OR(BY597="L1",BY597="L23"),AP597&gt;0),SUMIFS($AP$7:$AP$1843,$BY$7:$BY$1843,BY597,$AS$7:$AS$1843,"&gt;"&amp;AS597)+SUMIFS($AP$7:$AP$1843,$BY$7:$BY$1843,BY597,$AS$7:$AS$1843,AS597,$BQ$7:$BQ$1843,"&lt;="&amp;BQ597),"")</f>
        <v>115.574727205162</v>
      </c>
      <c r="AU597" s="65" t="n">
        <f aca="false">IF(AT597="",0,MAX(0,MIN(1,(IF(BY597="L1",Parameter!$E$5,Parameter!$E$6+Parameter!$E$7)-(AT597-AP597))/AP597)))</f>
        <v>0</v>
      </c>
      <c r="AV597" s="57" t="n">
        <f aca="false">IF(LEFT(Cockpit!$O$5,1)="A",H597,IF(CA597=1,CB597,IF(LEFT(Cockpit!$O$5,1)="B",AZ597,MAX(AZ597,H597))))</f>
        <v>20</v>
      </c>
      <c r="AW597" s="57" t="n">
        <f aca="false">IF(BT597=1,0,ROUNDUP(AV597/BS597,0))</f>
        <v>1</v>
      </c>
      <c r="AX597" s="59" t="n">
        <f aca="false">IF(CH597&gt;0,CH597*MAX(1,AV597/X597),IF(BT597=1,IF(AV597&lt;=0,0,BW597*MAX(1,IF(H597&gt;0,AV597/H597,1))),IF(R597&gt;0,AW597/R597,0))/MAX(0.1,N(Parameter!$M$21)))</f>
        <v>0.0384615384615385</v>
      </c>
      <c r="AY597" s="57" t="n">
        <f aca="false">AV597*G597</f>
        <v>136</v>
      </c>
      <c r="AZ597" s="57" t="n">
        <f aca="false">ROUNDUP(MAX(J597/IF(BZ597&gt;0,BZ597,MAX(0.1,N(Cockpit!$O$6))),CC597)/BS597,0)*BS597</f>
        <v>20</v>
      </c>
      <c r="BA597" s="58" t="n">
        <f aca="false">IF(AX597&gt;0,J597/AX597,-1)</f>
        <v>0</v>
      </c>
      <c r="BB597" s="58" t="n">
        <f aca="false">IF(AND(OR(BY597="L1",BY597="L23"),AX597&gt;0),SUMIFS($AX$7:$AX$1843,$BY$7:$BY$1843,BY597,$BA$7:$BA$1843,"&gt;"&amp;BA597)+SUMIFS($AX$7:$AX$1843,$BY$7:$BY$1843,BY597,$BA$7:$BA$1843,BA597,$BQ$7:$BQ$1843,"&lt;="&amp;BQ597),"")</f>
        <v>106.404564034999</v>
      </c>
      <c r="BC597" s="65" t="n">
        <f aca="false">IF(BB597="",0,MAX(0,MIN(1,(IF(BY597="L1",Parameter!$E$5,Parameter!$E$6+Parameter!$E$7)-(BB597-AX597))/AX597)))</f>
        <v>0</v>
      </c>
      <c r="BD597" s="55" t="str">
        <f aca="false">IF(AH597&lt;=0,"",IF(BY597="Aussen","Aussenlager",IF(BY597="-","Nicht im Lift",IF(AM597&gt;=1,"Lift",IF(AM597&lt;=0,"Aussenlager","teilweise")))))</f>
        <v>Lift</v>
      </c>
      <c r="BE597" s="55" t="str">
        <f aca="false">IF(AP597&lt;=0,"",IF(BY597="Aussen","Aussenlager",IF(BY597="-","Nicht im Lift",IF(AU597&gt;=1,"Lift",IF(AU597&lt;=0,"Aussenlager","teilweise")))))</f>
        <v>Aussenlager</v>
      </c>
      <c r="BF597" s="55" t="str">
        <f aca="false">IF(AX597&lt;=0,"",IF(BY597="Aussen","Aussenlager",IF(BY597="-","Nicht im Lift",IF(BC597&gt;=1,"Lift",IF(BC597&lt;=0,"Aussenlager","teilweise")))))</f>
        <v>Aussenlager</v>
      </c>
      <c r="BG597" s="55" t="str">
        <f aca="false">IF(A597="","",IF(BP597=1,"Neu; ","")&amp;IF(AND(BP597=0,BK597&lt;0),"negativer Bestand (Export "&amp;BK597&amp;"); ","")&amp;IF(J597&lt;=0,"Kein Verbrauch; ","")&amp;IF(CH597&gt;0,"Lift "&amp;W597&amp;" lt. Liftbericht (Fach "&amp;X597&amp;" Stk); ",IF(BU597=1,"Gebinde geschätzt ("&amp;T597&amp;"); ",IF(BT597=1,"Lose – Tablare geschätzt; ","")))&amp;IF(H597&gt;AR597,"Überbestand "&amp;ROUND(H597-AR597,0)&amp;" Stk / CHF "&amp;ROUND((H597-AR597)*G597,0)&amp;"; ","")&amp;IF(AND(CA597=1,CB597&lt;CC597),"MAX &lt; MB+LG; ","")&amp;IF(AND(CG597&gt;0,CF597*10&gt;CG597),"zu hoch für Tablar; ","")&amp;IF(AND(BP597=0,OR(CA597=1,AA597&lt;&gt;"",U597&lt;&gt;"",V597&lt;&gt;"",AB597&lt;&gt;"")),"manuell übersteuert; ","")&amp;IF(AND(BT597=0,R597=0),"Gebinde unbekannt / Stellmass fehlt; ","")&amp;IF(AND(BT597=0,N(V597)&lt;=0,N(Q597)&lt;=0),"Menge pro Gebinde fehlt (Ist = 1 Gebinde); ","")&amp;BO597)</f>
        <v>Kein Verbrauch; Gebinde geschätzt (Klein); Menge pro Gebinde fehlt (Ist = 1 Gebinde); </v>
      </c>
      <c r="BH597" s="55"/>
      <c r="BI597" s="55"/>
      <c r="BJ597" s="62"/>
      <c r="BK597" s="57" t="n">
        <v>1</v>
      </c>
      <c r="BL597" s="57" t="n">
        <v>0</v>
      </c>
      <c r="BM597" s="56" t="n">
        <v>6.8</v>
      </c>
      <c r="BN597" s="57" t="n">
        <v>0</v>
      </c>
      <c r="BO597" s="55"/>
      <c r="BP597" s="60" t="n">
        <v>0</v>
      </c>
      <c r="BQ597" s="60" t="n">
        <v>597</v>
      </c>
      <c r="BR597" s="55" t="str">
        <f aca="false">IF(U597&lt;&gt;"",UPPER(TRIM(U597)),IF(BU597=1,UPPER(VLOOKUP(T597,Parameter!$I$27:$K$29,2,0)),IF(P597="","LOSE",P597)))</f>
        <v>S51</v>
      </c>
      <c r="BS597" s="57" t="n">
        <f aca="false">IF(BR597="LOSE",1,IF(N(V597)&gt;0,V597,IF(BU597=1,MAX(1,N(VLOOKUP(T597,Parameter!$I$27:$K$29,3,0)),H597,N(N597)),IF(N(Q597)&gt;0,Q597,MAX(1,H597)))))</f>
        <v>20</v>
      </c>
      <c r="BT597" s="60" t="n">
        <f aca="false">IF(BR597="LOSE",1,0)</f>
        <v>0</v>
      </c>
      <c r="BU597" s="60" t="n">
        <f aca="false">IF(AND(U597="",OR(P597="",P597="LOSE"),T597&lt;&gt;"",N(S597)&lt;=0,ISNUMBER(MATCH(T597,Parameter!$I$27:$I$29,0))),1,0)</f>
        <v>1</v>
      </c>
      <c r="BV597" s="55" t="str">
        <f aca="false">IF(AND(Parameter!$B$19="Ja",E597&lt;&gt;"",ISNUMBER(MATCH(E597,Parameter!$I$35:$I$52,0))),VLOOKUP(E597,Parameter!$I$35:$J$52,2,0),IFERROR(VLOOKUP(D597,Parameter!$A$35:$C$64,2,0),"Nein"))</f>
        <v>2+3</v>
      </c>
      <c r="BW597" s="59" t="n">
        <f aca="false">IF(BT597=0,0,IF(N(S597)&gt;0,S597,IFERROR(VLOOKUP(D597,Parameter!$A$35:$C$64,3,0)+0,0)))</f>
        <v>0</v>
      </c>
      <c r="BX597" s="55" t="n">
        <f aca="false">IF(AA597&lt;&gt;"",AA597,Z597)</f>
        <v>3</v>
      </c>
      <c r="BY597" s="55" t="str">
        <f aca="false">IF(BX597=1,"L1",IF(OR(BX597=2,BX597=3),"L23",IF(BX597="Aussen","Aussen","-")))</f>
        <v>L23</v>
      </c>
      <c r="BZ597" s="66" t="n">
        <f aca="false">IF(N(AB597)&gt;0,AB597,0)</f>
        <v>0</v>
      </c>
      <c r="CA597" s="60" t="n">
        <f aca="false">IF(ISNUMBER(AE597),1,0)</f>
        <v>0</v>
      </c>
      <c r="CB597" s="57" t="n">
        <f aca="false">N(AE597)</f>
        <v>0</v>
      </c>
      <c r="CC597" s="57" t="n">
        <f aca="false">N(M597)+N(N597)</f>
        <v>1</v>
      </c>
      <c r="CD597" s="57" t="n">
        <f aca="false">ROUNDUP(H597/BS597,0)</f>
        <v>1</v>
      </c>
      <c r="CE597" s="57" t="n">
        <f aca="false">ROUNDUP(CB597/BS597,0)</f>
        <v>0</v>
      </c>
      <c r="CF597" s="60" t="n">
        <f aca="false">IF(BT597=1,0,IFERROR(VLOOKUP(BR597,'Gebinde-Kategorie'!$A$5:$M$45,5,0)+0,0))</f>
        <v>11</v>
      </c>
      <c r="CG597" s="60" t="n">
        <f aca="false">IFERROR(IF(OR(BX597=1,BX597=2,BX597=3),N(INDEX(Parameter!$I$5:$I$7,BX597)),0),0)</f>
        <v>0</v>
      </c>
      <c r="CH597" s="59" t="n">
        <f aca="false">IF(AND(Parameter!$B$21="Ja",ISNUMBER(W597),N(X597)&gt;0),IFERROR(N(INDEX(Parameter!$L$5:$L$7,W597))*INDEX(Parameter!$E$5:$E$7,W597)*X597/SUMIFS($X$7:$X$1843,$W$7:$W$1843,W597),0),0)</f>
        <v>0</v>
      </c>
    </row>
    <row r="598" customFormat="false" ht="15" hidden="false" customHeight="false" outlineLevel="0" collapsed="false">
      <c r="A598" s="55" t="s">
        <v>1241</v>
      </c>
      <c r="B598" s="55" t="s">
        <v>468</v>
      </c>
      <c r="C598" s="55" t="s">
        <v>164</v>
      </c>
      <c r="D598" s="55" t="s">
        <v>184</v>
      </c>
      <c r="E598" s="55"/>
      <c r="F598" s="55" t="s">
        <v>218</v>
      </c>
      <c r="G598" s="56" t="n">
        <v>0.37</v>
      </c>
      <c r="H598" s="57" t="n">
        <f aca="false">MAX(0,IF(AND(Parameter!$B$21="Ja",ISNUMBER(Y598)),Y598,IF(Parameter!$B$20="Jahresanfang 2025 + Export",BL598+BK598,BK598)))</f>
        <v>18</v>
      </c>
      <c r="I598" s="57" t="n">
        <f aca="false">H598*G598</f>
        <v>6.66</v>
      </c>
      <c r="J598" s="57" t="n">
        <f aca="false">BN598*Parameter!$B$18</f>
        <v>20</v>
      </c>
      <c r="K598" s="58" t="n">
        <v>24</v>
      </c>
      <c r="L598" s="59" t="n">
        <v>0.833333333333333</v>
      </c>
      <c r="M598" s="57" t="n">
        <v>1</v>
      </c>
      <c r="N598" s="57" t="n">
        <v>20</v>
      </c>
      <c r="O598" s="60" t="n">
        <v>35</v>
      </c>
      <c r="P598" s="55" t="s">
        <v>401</v>
      </c>
      <c r="Q598" s="57" t="n">
        <v>30</v>
      </c>
      <c r="R598" s="60" t="n">
        <f aca="false">IF(BT598=1,0,IFERROR(VLOOKUP(BR598,'Gebinde-Kategorie'!$A$5:$M$45,13,0)+0,0))</f>
        <v>414</v>
      </c>
      <c r="S598" s="61"/>
      <c r="T598" s="62"/>
      <c r="U598" s="62"/>
      <c r="V598" s="62"/>
      <c r="W598" s="55"/>
      <c r="X598" s="57"/>
      <c r="Y598" s="57"/>
      <c r="Z598" s="55" t="n">
        <f aca="false">IF(A598="","",IF(AND(Parameter!$B$21="Ja",ISNUMBER(W598)),W598,IF(BV598="2+3",IF(ISNUMBER(SEARCH("grosser Artikel",BO598)),2,IFERROR(VLOOKUP(BR598,Parameter!$F$35:$G$64,2,0),2)),IF(OR(BV598="Nein",BV598=""),"-",BV598))))</f>
        <v>3</v>
      </c>
      <c r="AA598" s="62"/>
      <c r="AB598" s="63"/>
      <c r="AC598" s="57" t="n">
        <f aca="false">AR598</f>
        <v>30</v>
      </c>
      <c r="AD598" s="57" t="n">
        <f aca="false">MAX(AR598,H598)</f>
        <v>30</v>
      </c>
      <c r="AE598" s="64"/>
      <c r="AF598" s="57" t="n">
        <f aca="false">IF(LEFT(Cockpit!$C$5,1)="A",H598,IF(CA598=1,CB598,IF(LEFT(Cockpit!$C$5,1)="B",AJ598,MAX(AJ598,H598))))</f>
        <v>18</v>
      </c>
      <c r="AG598" s="57" t="n">
        <f aca="false">IF(BT598=1,0,ROUNDUP(AF598/BS598,0))</f>
        <v>1</v>
      </c>
      <c r="AH598" s="59" t="n">
        <f aca="false">IF(CH598&gt;0,CH598*MAX(1,AF598/X598),IF(BT598=1,IF(AF598&lt;=0,0,BW598*MAX(1,IF(H598&gt;0,AF598/H598,1))),IF(R598&gt;0,AG598/R598,0))/MAX(0.1,N(Parameter!$M$21)))</f>
        <v>0.00241545893719807</v>
      </c>
      <c r="AI598" s="57" t="n">
        <f aca="false">AF598*G598</f>
        <v>6.66</v>
      </c>
      <c r="AJ598" s="57" t="n">
        <f aca="false">ROUNDUP(MAX(J598/IF(BZ598&gt;0,BZ598,MAX(0.1,N(Cockpit!$C$6))),CC598)/BS598,0)*BS598</f>
        <v>30</v>
      </c>
      <c r="AK598" s="58" t="n">
        <f aca="false">IF(AH598&gt;0,J598/AH598,-1)</f>
        <v>8280</v>
      </c>
      <c r="AL598" s="58" t="n">
        <f aca="false">IF(AND(OR(BY598="L1",BY598="L23"),AH598&gt;0),SUMIFS($AH$7:$AH$1843,$BY$7:$BY$1843,BY598,$AK$7:$AK$1843,"&gt;"&amp;AK598)+SUMIFS($AH$7:$AH$1843,$BY$7:$BY$1843,BY598,$AK$7:$AK$1843,AK598,$BQ$7:$BQ$1843,"&lt;="&amp;BQ598),"")</f>
        <v>5.81384074862336</v>
      </c>
      <c r="AM598" s="65" t="n">
        <f aca="false">IF(AL598="",0,MAX(0,MIN(1,(IF(BY598="L1",Parameter!$E$5,Parameter!$E$6+Parameter!$E$7)-(AL598-AH598))/AH598)))</f>
        <v>1</v>
      </c>
      <c r="AN598" s="57" t="n">
        <f aca="false">IF(LEFT(Cockpit!$I$5,1)="A",H598,IF(CA598=1,CB598,IF(LEFT(Cockpit!$I$5,1)="B",AR598,MAX(AR598,H598))))</f>
        <v>30</v>
      </c>
      <c r="AO598" s="57" t="n">
        <f aca="false">IF(BT598=1,0,ROUNDUP(AN598/BS598,0))</f>
        <v>1</v>
      </c>
      <c r="AP598" s="59" t="n">
        <f aca="false">IF(CH598&gt;0,CH598*MAX(1,AN598/X598),IF(BT598=1,IF(AN598&lt;=0,0,BW598*MAX(1,IF(H598&gt;0,AN598/H598,1))),IF(R598&gt;0,AO598/R598,0))/MAX(0.1,N(Parameter!$M$21)))</f>
        <v>0.00241545893719807</v>
      </c>
      <c r="AQ598" s="57" t="n">
        <f aca="false">AN598*G598</f>
        <v>11.1</v>
      </c>
      <c r="AR598" s="57" t="n">
        <f aca="false">ROUNDUP(MAX(J598/IF(BZ598&gt;0,BZ598,MAX(0.1,N(Cockpit!$I$6))),CC598)/BS598,0)*BS598</f>
        <v>30</v>
      </c>
      <c r="AS598" s="58" t="n">
        <f aca="false">IF(AP598&gt;0,J598/AP598,-1)</f>
        <v>8280</v>
      </c>
      <c r="AT598" s="58" t="n">
        <f aca="false">IF(AND(OR(BY598="L1",BY598="L23"),AP598&gt;0),SUMIFS($AP$7:$AP$1843,$BY$7:$BY$1843,BY598,$AS$7:$AS$1843,"&gt;"&amp;AS598)+SUMIFS($AP$7:$AP$1843,$BY$7:$BY$1843,BY598,$AS$7:$AS$1843,AS598,$BQ$7:$BQ$1843,"&lt;="&amp;BQ598),"")</f>
        <v>9.01640147292321</v>
      </c>
      <c r="AU598" s="65" t="n">
        <f aca="false">IF(AT598="",0,MAX(0,MIN(1,(IF(BY598="L1",Parameter!$E$5,Parameter!$E$6+Parameter!$E$7)-(AT598-AP598))/AP598)))</f>
        <v>1</v>
      </c>
      <c r="AV598" s="57" t="n">
        <f aca="false">IF(LEFT(Cockpit!$O$5,1)="A",H598,IF(CA598=1,CB598,IF(LEFT(Cockpit!$O$5,1)="B",AZ598,MAX(AZ598,H598))))</f>
        <v>30</v>
      </c>
      <c r="AW598" s="57" t="n">
        <f aca="false">IF(BT598=1,0,ROUNDUP(AV598/BS598,0))</f>
        <v>1</v>
      </c>
      <c r="AX598" s="59" t="n">
        <f aca="false">IF(CH598&gt;0,CH598*MAX(1,AV598/X598),IF(BT598=1,IF(AV598&lt;=0,0,BW598*MAX(1,IF(H598&gt;0,AV598/H598,1))),IF(R598&gt;0,AW598/R598,0))/MAX(0.1,N(Parameter!$M$21)))</f>
        <v>0.00241545893719807</v>
      </c>
      <c r="AY598" s="57" t="n">
        <f aca="false">AV598*G598</f>
        <v>11.1</v>
      </c>
      <c r="AZ598" s="57" t="n">
        <f aca="false">ROUNDUP(MAX(J598/IF(BZ598&gt;0,BZ598,MAX(0.1,N(Cockpit!$O$6))),CC598)/BS598,0)*BS598</f>
        <v>30</v>
      </c>
      <c r="BA598" s="58" t="n">
        <f aca="false">IF(AX598&gt;0,J598/AX598,-1)</f>
        <v>8280</v>
      </c>
      <c r="BB598" s="58" t="n">
        <f aca="false">IF(AND(OR(BY598="L1",BY598="L23"),AX598&gt;0),SUMIFS($AX$7:$AX$1843,$BY$7:$BY$1843,BY598,$BA$7:$BA$1843,"&gt;"&amp;BA598)+SUMIFS($AX$7:$AX$1843,$BY$7:$BY$1843,BY598,$BA$7:$BA$1843,BA598,$BQ$7:$BQ$1843,"&lt;="&amp;BQ598),"")</f>
        <v>8.7500844566062</v>
      </c>
      <c r="BC598" s="65" t="n">
        <f aca="false">IF(BB598="",0,MAX(0,MIN(1,(IF(BY598="L1",Parameter!$E$5,Parameter!$E$6+Parameter!$E$7)-(BB598-AX598))/AX598)))</f>
        <v>1</v>
      </c>
      <c r="BD598" s="55" t="str">
        <f aca="false">IF(AH598&lt;=0,"",IF(BY598="Aussen","Aussenlager",IF(BY598="-","Nicht im Lift",IF(AM598&gt;=1,"Lift",IF(AM598&lt;=0,"Aussenlager","teilweise")))))</f>
        <v>Lift</v>
      </c>
      <c r="BE598" s="55" t="str">
        <f aca="false">IF(AP598&lt;=0,"",IF(BY598="Aussen","Aussenlager",IF(BY598="-","Nicht im Lift",IF(AU598&gt;=1,"Lift",IF(AU598&lt;=0,"Aussenlager","teilweise")))))</f>
        <v>Lift</v>
      </c>
      <c r="BF598" s="55" t="str">
        <f aca="false">IF(AX598&lt;=0,"",IF(BY598="Aussen","Aussenlager",IF(BY598="-","Nicht im Lift",IF(BC598&gt;=1,"Lift",IF(BC598&lt;=0,"Aussenlager","teilweise")))))</f>
        <v>Lift</v>
      </c>
      <c r="BG598" s="55" t="str">
        <f aca="false">IF(A598="","",IF(BP598=1,"Neu; ","")&amp;IF(AND(BP598=0,BK598&lt;0),"negativer Bestand (Export "&amp;BK598&amp;"); ","")&amp;IF(J598&lt;=0,"Kein Verbrauch; ","")&amp;IF(CH598&gt;0,"Lift "&amp;W598&amp;" lt. Liftbericht (Fach "&amp;X598&amp;" Stk); ",IF(BU598=1,"Gebinde geschätzt ("&amp;T598&amp;"); ",IF(BT598=1,"Lose – Tablare geschätzt; ","")))&amp;IF(H598&gt;AR598,"Überbestand "&amp;ROUND(H598-AR598,0)&amp;" Stk / CHF "&amp;ROUND((H598-AR598)*G598,0)&amp;"; ","")&amp;IF(AND(CA598=1,CB598&lt;CC598),"MAX &lt; MB+LG; ","")&amp;IF(AND(CG598&gt;0,CF598*10&gt;CG598),"zu hoch für Tablar; ","")&amp;IF(AND(BP598=0,OR(CA598=1,AA598&lt;&gt;"",U598&lt;&gt;"",V598&lt;&gt;"",AB598&lt;&gt;"")),"manuell übersteuert; ","")&amp;IF(AND(BT598=0,R598=0),"Gebinde unbekannt / Stellmass fehlt; ","")&amp;IF(AND(BT598=0,N(V598)&lt;=0,N(Q598)&lt;=0),"Menge pro Gebinde fehlt (Ist = 1 Gebinde); ","")&amp;BO598)</f>
        <v/>
      </c>
      <c r="BH598" s="55"/>
      <c r="BI598" s="55"/>
      <c r="BJ598" s="62"/>
      <c r="BK598" s="57" t="n">
        <v>18</v>
      </c>
      <c r="BL598" s="57" t="n">
        <v>0</v>
      </c>
      <c r="BM598" s="56" t="n">
        <v>6.66</v>
      </c>
      <c r="BN598" s="57" t="n">
        <v>20</v>
      </c>
      <c r="BO598" s="55"/>
      <c r="BP598" s="60" t="n">
        <v>0</v>
      </c>
      <c r="BQ598" s="60" t="n">
        <v>598</v>
      </c>
      <c r="BR598" s="55" t="str">
        <f aca="false">IF(U598&lt;&gt;"",UPPER(TRIM(U598)),IF(BU598=1,UPPER(VLOOKUP(T598,Parameter!$I$27:$K$29,2,0)),IF(P598="","LOSE",P598)))</f>
        <v>S21</v>
      </c>
      <c r="BS598" s="57" t="n">
        <f aca="false">IF(BR598="LOSE",1,IF(N(V598)&gt;0,V598,IF(BU598=1,MAX(1,N(VLOOKUP(T598,Parameter!$I$27:$K$29,3,0)),H598,N(N598)),IF(N(Q598)&gt;0,Q598,MAX(1,H598)))))</f>
        <v>30</v>
      </c>
      <c r="BT598" s="60" t="n">
        <f aca="false">IF(BR598="LOSE",1,0)</f>
        <v>0</v>
      </c>
      <c r="BU598" s="60" t="n">
        <f aca="false">IF(AND(U598="",OR(P598="",P598="LOSE"),T598&lt;&gt;"",N(S598)&lt;=0,ISNUMBER(MATCH(T598,Parameter!$I$27:$I$29,0))),1,0)</f>
        <v>0</v>
      </c>
      <c r="BV598" s="55" t="str">
        <f aca="false">IF(AND(Parameter!$B$19="Ja",E598&lt;&gt;"",ISNUMBER(MATCH(E598,Parameter!$I$35:$I$52,0))),VLOOKUP(E598,Parameter!$I$35:$J$52,2,0),IFERROR(VLOOKUP(D598,Parameter!$A$35:$C$64,2,0),"Nein"))</f>
        <v>2+3</v>
      </c>
      <c r="BW598" s="59" t="n">
        <f aca="false">IF(BT598=0,0,IF(N(S598)&gt;0,S598,IFERROR(VLOOKUP(D598,Parameter!$A$35:$C$64,3,0)+0,0)))</f>
        <v>0</v>
      </c>
      <c r="BX598" s="55" t="n">
        <f aca="false">IF(AA598&lt;&gt;"",AA598,Z598)</f>
        <v>3</v>
      </c>
      <c r="BY598" s="55" t="str">
        <f aca="false">IF(BX598=1,"L1",IF(OR(BX598=2,BX598=3),"L23",IF(BX598="Aussen","Aussen","-")))</f>
        <v>L23</v>
      </c>
      <c r="BZ598" s="66" t="n">
        <f aca="false">IF(N(AB598)&gt;0,AB598,0)</f>
        <v>0</v>
      </c>
      <c r="CA598" s="60" t="n">
        <f aca="false">IF(ISNUMBER(AE598),1,0)</f>
        <v>0</v>
      </c>
      <c r="CB598" s="57" t="n">
        <f aca="false">N(AE598)</f>
        <v>0</v>
      </c>
      <c r="CC598" s="57" t="n">
        <f aca="false">N(M598)+N(N598)</f>
        <v>21</v>
      </c>
      <c r="CD598" s="57" t="n">
        <f aca="false">ROUNDUP(H598/BS598,0)</f>
        <v>1</v>
      </c>
      <c r="CE598" s="57" t="n">
        <f aca="false">ROUNDUP(CB598/BS598,0)</f>
        <v>0</v>
      </c>
      <c r="CF598" s="60" t="n">
        <f aca="false">IF(BT598=1,0,IFERROR(VLOOKUP(BR598,'Gebinde-Kategorie'!$A$5:$M$45,5,0)+0,0))</f>
        <v>8</v>
      </c>
      <c r="CG598" s="60" t="n">
        <f aca="false">IFERROR(IF(OR(BX598=1,BX598=2,BX598=3),N(INDEX(Parameter!$I$5:$I$7,BX598)),0),0)</f>
        <v>0</v>
      </c>
      <c r="CH598" s="59" t="n">
        <f aca="false">IF(AND(Parameter!$B$21="Ja",ISNUMBER(W598),N(X598)&gt;0),IFERROR(N(INDEX(Parameter!$L$5:$L$7,W598))*INDEX(Parameter!$E$5:$E$7,W598)*X598/SUMIFS($X$7:$X$1843,$W$7:$W$1843,W598),0),0)</f>
        <v>0</v>
      </c>
    </row>
    <row r="599" customFormat="false" ht="15" hidden="false" customHeight="false" outlineLevel="0" collapsed="false">
      <c r="A599" s="55" t="s">
        <v>1242</v>
      </c>
      <c r="B599" s="55" t="s">
        <v>1009</v>
      </c>
      <c r="C599" s="55" t="s">
        <v>164</v>
      </c>
      <c r="D599" s="55" t="s">
        <v>184</v>
      </c>
      <c r="E599" s="55"/>
      <c r="F599" s="55" t="s">
        <v>218</v>
      </c>
      <c r="G599" s="56" t="n">
        <v>6.65</v>
      </c>
      <c r="H599" s="57" t="n">
        <f aca="false">MAX(0,IF(AND(Parameter!$B$21="Ja",ISNUMBER(Y599)),Y599,IF(Parameter!$B$20="Jahresanfang 2025 + Export",BL599+BK599,BK599)))</f>
        <v>51</v>
      </c>
      <c r="I599" s="57" t="n">
        <f aca="false">H599*G599</f>
        <v>339.15</v>
      </c>
      <c r="J599" s="57" t="n">
        <f aca="false">BN599*Parameter!$B$18</f>
        <v>0</v>
      </c>
      <c r="K599" s="58" t="n">
        <v>50.5</v>
      </c>
      <c r="L599" s="59" t="n">
        <v>0</v>
      </c>
      <c r="M599" s="57" t="n">
        <v>0</v>
      </c>
      <c r="N599" s="57" t="n">
        <v>1</v>
      </c>
      <c r="O599" s="60" t="n">
        <v>70</v>
      </c>
      <c r="P599" s="55" t="s">
        <v>476</v>
      </c>
      <c r="Q599" s="57" t="n">
        <v>55</v>
      </c>
      <c r="R599" s="60" t="n">
        <f aca="false">IF(BT599=1,0,IFERROR(VLOOKUP(BR599,'Gebinde-Kategorie'!$A$5:$M$45,13,0)+0,0))</f>
        <v>66</v>
      </c>
      <c r="S599" s="61"/>
      <c r="T599" s="62"/>
      <c r="U599" s="62"/>
      <c r="V599" s="62"/>
      <c r="W599" s="55"/>
      <c r="X599" s="57"/>
      <c r="Y599" s="57"/>
      <c r="Z599" s="55" t="n">
        <f aca="false">IF(A599="","",IF(AND(Parameter!$B$21="Ja",ISNUMBER(W599)),W599,IF(BV599="2+3",IF(ISNUMBER(SEARCH("grosser Artikel",BO599)),2,IFERROR(VLOOKUP(BR599,Parameter!$F$35:$G$64,2,0),2)),IF(OR(BV599="Nein",BV599=""),"-",BV599))))</f>
        <v>3</v>
      </c>
      <c r="AA599" s="62"/>
      <c r="AB599" s="63"/>
      <c r="AC599" s="57" t="n">
        <f aca="false">AR599</f>
        <v>55</v>
      </c>
      <c r="AD599" s="57" t="n">
        <f aca="false">MAX(AR599,H599)</f>
        <v>55</v>
      </c>
      <c r="AE599" s="64"/>
      <c r="AF599" s="57" t="n">
        <f aca="false">IF(LEFT(Cockpit!$C$5,1)="A",H599,IF(CA599=1,CB599,IF(LEFT(Cockpit!$C$5,1)="B",AJ599,MAX(AJ599,H599))))</f>
        <v>51</v>
      </c>
      <c r="AG599" s="57" t="n">
        <f aca="false">IF(BT599=1,0,ROUNDUP(AF599/BS599,0))</f>
        <v>1</v>
      </c>
      <c r="AH599" s="59" t="n">
        <f aca="false">IF(CH599&gt;0,CH599*MAX(1,AF599/X599),IF(BT599=1,IF(AF599&lt;=0,0,BW599*MAX(1,IF(H599&gt;0,AF599/H599,1))),IF(R599&gt;0,AG599/R599,0))/MAX(0.1,N(Parameter!$M$21)))</f>
        <v>0.0151515151515152</v>
      </c>
      <c r="AI599" s="57" t="n">
        <f aca="false">AF599*G599</f>
        <v>339.15</v>
      </c>
      <c r="AJ599" s="57" t="n">
        <f aca="false">ROUNDUP(MAX(J599/IF(BZ599&gt;0,BZ599,MAX(0.1,N(Cockpit!$C$6))),CC599)/BS599,0)*BS599</f>
        <v>55</v>
      </c>
      <c r="AK599" s="58" t="n">
        <f aca="false">IF(AH599&gt;0,J599/AH599,-1)</f>
        <v>0</v>
      </c>
      <c r="AL599" s="58" t="n">
        <f aca="false">IF(AND(OR(BY599="L1",BY599="L23"),AH599&gt;0),SUMIFS($AH$7:$AH$1843,$BY$7:$BY$1843,BY599,$AK$7:$AK$1843,"&gt;"&amp;AK599)+SUMIFS($AH$7:$AH$1843,$BY$7:$BY$1843,BY599,$AK$7:$AK$1843,AK599,$BQ$7:$BQ$1843,"&lt;="&amp;BQ599),"")</f>
        <v>76.1657545353198</v>
      </c>
      <c r="AM599" s="65" t="n">
        <f aca="false">IF(AL599="",0,MAX(0,MIN(1,(IF(BY599="L1",Parameter!$E$5,Parameter!$E$6+Parameter!$E$7)-(AL599-AH599))/AH599)))</f>
        <v>1</v>
      </c>
      <c r="AN599" s="57" t="n">
        <f aca="false">IF(LEFT(Cockpit!$I$5,1)="A",H599,IF(CA599=1,CB599,IF(LEFT(Cockpit!$I$5,1)="B",AR599,MAX(AR599,H599))))</f>
        <v>55</v>
      </c>
      <c r="AO599" s="57" t="n">
        <f aca="false">IF(BT599=1,0,ROUNDUP(AN599/BS599,0))</f>
        <v>1</v>
      </c>
      <c r="AP599" s="59" t="n">
        <f aca="false">IF(CH599&gt;0,CH599*MAX(1,AN599/X599),IF(BT599=1,IF(AN599&lt;=0,0,BW599*MAX(1,IF(H599&gt;0,AN599/H599,1))),IF(R599&gt;0,AO599/R599,0))/MAX(0.1,N(Parameter!$M$21)))</f>
        <v>0.0151515151515152</v>
      </c>
      <c r="AQ599" s="57" t="n">
        <f aca="false">AN599*G599</f>
        <v>365.75</v>
      </c>
      <c r="AR599" s="57" t="n">
        <f aca="false">ROUNDUP(MAX(J599/IF(BZ599&gt;0,BZ599,MAX(0.1,N(Cockpit!$I$6))),CC599)/BS599,0)*BS599</f>
        <v>55</v>
      </c>
      <c r="AS599" s="58" t="n">
        <f aca="false">IF(AP599&gt;0,J599/AP599,-1)</f>
        <v>0</v>
      </c>
      <c r="AT599" s="58" t="n">
        <f aca="false">IF(AND(OR(BY599="L1",BY599="L23"),AP599&gt;0),SUMIFS($AP$7:$AP$1843,$BY$7:$BY$1843,BY599,$AS$7:$AS$1843,"&gt;"&amp;AS599)+SUMIFS($AP$7:$AP$1843,$BY$7:$BY$1843,BY599,$AS$7:$AS$1843,AS599,$BQ$7:$BQ$1843,"&lt;="&amp;BQ599),"")</f>
        <v>115.589878720314</v>
      </c>
      <c r="AU599" s="65" t="n">
        <f aca="false">IF(AT599="",0,MAX(0,MIN(1,(IF(BY599="L1",Parameter!$E$5,Parameter!$E$6+Parameter!$E$7)-(AT599-AP599))/AP599)))</f>
        <v>0</v>
      </c>
      <c r="AV599" s="57" t="n">
        <f aca="false">IF(LEFT(Cockpit!$O$5,1)="A",H599,IF(CA599=1,CB599,IF(LEFT(Cockpit!$O$5,1)="B",AZ599,MAX(AZ599,H599))))</f>
        <v>55</v>
      </c>
      <c r="AW599" s="57" t="n">
        <f aca="false">IF(BT599=1,0,ROUNDUP(AV599/BS599,0))</f>
        <v>1</v>
      </c>
      <c r="AX599" s="59" t="n">
        <f aca="false">IF(CH599&gt;0,CH599*MAX(1,AV599/X599),IF(BT599=1,IF(AV599&lt;=0,0,BW599*MAX(1,IF(H599&gt;0,AV599/H599,1))),IF(R599&gt;0,AW599/R599,0))/MAX(0.1,N(Parameter!$M$21)))</f>
        <v>0.0151515151515152</v>
      </c>
      <c r="AY599" s="57" t="n">
        <f aca="false">AV599*G599</f>
        <v>365.75</v>
      </c>
      <c r="AZ599" s="57" t="n">
        <f aca="false">ROUNDUP(MAX(J599/IF(BZ599&gt;0,BZ599,MAX(0.1,N(Cockpit!$O$6))),CC599)/BS599,0)*BS599</f>
        <v>55</v>
      </c>
      <c r="BA599" s="58" t="n">
        <f aca="false">IF(AX599&gt;0,J599/AX599,-1)</f>
        <v>0</v>
      </c>
      <c r="BB599" s="58" t="n">
        <f aca="false">IF(AND(OR(BY599="L1",BY599="L23"),AX599&gt;0),SUMIFS($AX$7:$AX$1843,$BY$7:$BY$1843,BY599,$BA$7:$BA$1843,"&gt;"&amp;BA599)+SUMIFS($AX$7:$AX$1843,$BY$7:$BY$1843,BY599,$BA$7:$BA$1843,BA599,$BQ$7:$BQ$1843,"&lt;="&amp;BQ599),"")</f>
        <v>106.41971555015</v>
      </c>
      <c r="BC599" s="65" t="n">
        <f aca="false">IF(BB599="",0,MAX(0,MIN(1,(IF(BY599="L1",Parameter!$E$5,Parameter!$E$6+Parameter!$E$7)-(BB599-AX599))/AX599)))</f>
        <v>0</v>
      </c>
      <c r="BD599" s="55" t="str">
        <f aca="false">IF(AH599&lt;=0,"",IF(BY599="Aussen","Aussenlager",IF(BY599="-","Nicht im Lift",IF(AM599&gt;=1,"Lift",IF(AM599&lt;=0,"Aussenlager","teilweise")))))</f>
        <v>Lift</v>
      </c>
      <c r="BE599" s="55" t="str">
        <f aca="false">IF(AP599&lt;=0,"",IF(BY599="Aussen","Aussenlager",IF(BY599="-","Nicht im Lift",IF(AU599&gt;=1,"Lift",IF(AU599&lt;=0,"Aussenlager","teilweise")))))</f>
        <v>Aussenlager</v>
      </c>
      <c r="BF599" s="55" t="str">
        <f aca="false">IF(AX599&lt;=0,"",IF(BY599="Aussen","Aussenlager",IF(BY599="-","Nicht im Lift",IF(BC599&gt;=1,"Lift",IF(BC599&lt;=0,"Aussenlager","teilweise")))))</f>
        <v>Aussenlager</v>
      </c>
      <c r="BG599" s="55" t="str">
        <f aca="false">IF(A599="","",IF(BP599=1,"Neu; ","")&amp;IF(AND(BP599=0,BK599&lt;0),"negativer Bestand (Export "&amp;BK599&amp;"); ","")&amp;IF(J599&lt;=0,"Kein Verbrauch; ","")&amp;IF(CH599&gt;0,"Lift "&amp;W599&amp;" lt. Liftbericht (Fach "&amp;X599&amp;" Stk); ",IF(BU599=1,"Gebinde geschätzt ("&amp;T599&amp;"); ",IF(BT599=1,"Lose – Tablare geschätzt; ","")))&amp;IF(H599&gt;AR599,"Überbestand "&amp;ROUND(H599-AR599,0)&amp;" Stk / CHF "&amp;ROUND((H599-AR599)*G599,0)&amp;"; ","")&amp;IF(AND(CA599=1,CB599&lt;CC599),"MAX &lt; MB+LG; ","")&amp;IF(AND(CG599&gt;0,CF599*10&gt;CG599),"zu hoch für Tablar; ","")&amp;IF(AND(BP599=0,OR(CA599=1,AA599&lt;&gt;"",U599&lt;&gt;"",V599&lt;&gt;"",AB599&lt;&gt;"")),"manuell übersteuert; ","")&amp;IF(AND(BT599=0,R599=0),"Gebinde unbekannt / Stellmass fehlt; ","")&amp;IF(AND(BT599=0,N(V599)&lt;=0,N(Q599)&lt;=0),"Menge pro Gebinde fehlt (Ist = 1 Gebinde); ","")&amp;BO599)</f>
        <v>Kein Verbrauch; </v>
      </c>
      <c r="BH599" s="55"/>
      <c r="BI599" s="55"/>
      <c r="BJ599" s="62"/>
      <c r="BK599" s="57" t="n">
        <v>1</v>
      </c>
      <c r="BL599" s="57" t="n">
        <v>50</v>
      </c>
      <c r="BM599" s="56" t="n">
        <v>6.65</v>
      </c>
      <c r="BN599" s="57" t="n">
        <v>0</v>
      </c>
      <c r="BO599" s="55"/>
      <c r="BP599" s="60" t="n">
        <v>0</v>
      </c>
      <c r="BQ599" s="60" t="n">
        <v>599</v>
      </c>
      <c r="BR599" s="55" t="str">
        <f aca="false">IF(U599&lt;&gt;"",UPPER(TRIM(U599)),IF(BU599=1,UPPER(VLOOKUP(T599,Parameter!$I$27:$K$29,2,0)),IF(P599="","LOSE",P599)))</f>
        <v>S33</v>
      </c>
      <c r="BS599" s="57" t="n">
        <f aca="false">IF(BR599="LOSE",1,IF(N(V599)&gt;0,V599,IF(BU599=1,MAX(1,N(VLOOKUP(T599,Parameter!$I$27:$K$29,3,0)),H599,N(N599)),IF(N(Q599)&gt;0,Q599,MAX(1,H599)))))</f>
        <v>55</v>
      </c>
      <c r="BT599" s="60" t="n">
        <f aca="false">IF(BR599="LOSE",1,0)</f>
        <v>0</v>
      </c>
      <c r="BU599" s="60" t="n">
        <f aca="false">IF(AND(U599="",OR(P599="",P599="LOSE"),T599&lt;&gt;"",N(S599)&lt;=0,ISNUMBER(MATCH(T599,Parameter!$I$27:$I$29,0))),1,0)</f>
        <v>0</v>
      </c>
      <c r="BV599" s="55" t="str">
        <f aca="false">IF(AND(Parameter!$B$19="Ja",E599&lt;&gt;"",ISNUMBER(MATCH(E599,Parameter!$I$35:$I$52,0))),VLOOKUP(E599,Parameter!$I$35:$J$52,2,0),IFERROR(VLOOKUP(D599,Parameter!$A$35:$C$64,2,0),"Nein"))</f>
        <v>2+3</v>
      </c>
      <c r="BW599" s="59" t="n">
        <f aca="false">IF(BT599=0,0,IF(N(S599)&gt;0,S599,IFERROR(VLOOKUP(D599,Parameter!$A$35:$C$64,3,0)+0,0)))</f>
        <v>0</v>
      </c>
      <c r="BX599" s="55" t="n">
        <f aca="false">IF(AA599&lt;&gt;"",AA599,Z599)</f>
        <v>3</v>
      </c>
      <c r="BY599" s="55" t="str">
        <f aca="false">IF(BX599=1,"L1",IF(OR(BX599=2,BX599=3),"L23",IF(BX599="Aussen","Aussen","-")))</f>
        <v>L23</v>
      </c>
      <c r="BZ599" s="66" t="n">
        <f aca="false">IF(N(AB599)&gt;0,AB599,0)</f>
        <v>0</v>
      </c>
      <c r="CA599" s="60" t="n">
        <f aca="false">IF(ISNUMBER(AE599),1,0)</f>
        <v>0</v>
      </c>
      <c r="CB599" s="57" t="n">
        <f aca="false">N(AE599)</f>
        <v>0</v>
      </c>
      <c r="CC599" s="57" t="n">
        <f aca="false">N(M599)+N(N599)</f>
        <v>1</v>
      </c>
      <c r="CD599" s="57" t="n">
        <f aca="false">ROUNDUP(H599/BS599,0)</f>
        <v>1</v>
      </c>
      <c r="CE599" s="57" t="n">
        <f aca="false">ROUNDUP(CB599/BS599,0)</f>
        <v>0</v>
      </c>
      <c r="CF599" s="60" t="n">
        <f aca="false">IF(BT599=1,0,IFERROR(VLOOKUP(BR599,'Gebinde-Kategorie'!$A$5:$M$45,5,0)+0,0))</f>
        <v>8</v>
      </c>
      <c r="CG599" s="60" t="n">
        <f aca="false">IFERROR(IF(OR(BX599=1,BX599=2,BX599=3),N(INDEX(Parameter!$I$5:$I$7,BX599)),0),0)</f>
        <v>0</v>
      </c>
      <c r="CH599" s="59" t="n">
        <f aca="false">IF(AND(Parameter!$B$21="Ja",ISNUMBER(W599),N(X599)&gt;0),IFERROR(N(INDEX(Parameter!$L$5:$L$7,W599))*INDEX(Parameter!$E$5:$E$7,W599)*X599/SUMIFS($X$7:$X$1843,$W$7:$W$1843,W599),0),0)</f>
        <v>0</v>
      </c>
    </row>
    <row r="600" customFormat="false" ht="15" hidden="false" customHeight="false" outlineLevel="0" collapsed="false">
      <c r="A600" s="55" t="s">
        <v>1243</v>
      </c>
      <c r="B600" s="55" t="s">
        <v>1244</v>
      </c>
      <c r="C600" s="55" t="s">
        <v>164</v>
      </c>
      <c r="D600" s="55" t="s">
        <v>184</v>
      </c>
      <c r="E600" s="55" t="s">
        <v>185</v>
      </c>
      <c r="F600" s="55" t="s">
        <v>218</v>
      </c>
      <c r="G600" s="56" t="n">
        <v>0.14</v>
      </c>
      <c r="H600" s="57" t="n">
        <f aca="false">MAX(0,IF(AND(Parameter!$B$21="Ja",ISNUMBER(Y600)),Y600,IF(Parameter!$B$20="Jahresanfang 2025 + Export",BL600+BK600,BK600)))</f>
        <v>150</v>
      </c>
      <c r="I600" s="57" t="n">
        <f aca="false">H600*G600</f>
        <v>21</v>
      </c>
      <c r="J600" s="57" t="n">
        <f aca="false">BN600*Parameter!$B$18</f>
        <v>51</v>
      </c>
      <c r="K600" s="58" t="n">
        <v>200</v>
      </c>
      <c r="L600" s="59" t="n">
        <v>0.255</v>
      </c>
      <c r="M600" s="57" t="n">
        <v>2</v>
      </c>
      <c r="N600" s="57" t="n">
        <v>500</v>
      </c>
      <c r="O600" s="60" t="n">
        <v>21</v>
      </c>
      <c r="P600" s="55" t="s">
        <v>302</v>
      </c>
      <c r="Q600" s="57" t="n">
        <v>600</v>
      </c>
      <c r="R600" s="60" t="n">
        <f aca="false">IF(BT600=1,0,IFERROR(VLOOKUP(BR600,'Gebinde-Kategorie'!$A$5:$M$45,13,0)+0,0))</f>
        <v>26</v>
      </c>
      <c r="S600" s="61"/>
      <c r="T600" s="62"/>
      <c r="U600" s="62"/>
      <c r="V600" s="62"/>
      <c r="W600" s="55"/>
      <c r="X600" s="57"/>
      <c r="Y600" s="57"/>
      <c r="Z600" s="55" t="n">
        <f aca="false">IF(A600="","",IF(AND(Parameter!$B$21="Ja",ISNUMBER(W600)),W600,IF(BV600="2+3",IF(ISNUMBER(SEARCH("grosser Artikel",BO600)),2,IFERROR(VLOOKUP(BR600,Parameter!$F$35:$G$64,2,0),2)),IF(OR(BV600="Nein",BV600=""),"-",BV600))))</f>
        <v>3</v>
      </c>
      <c r="AA600" s="62"/>
      <c r="AB600" s="63"/>
      <c r="AC600" s="57" t="n">
        <f aca="false">AR600</f>
        <v>600</v>
      </c>
      <c r="AD600" s="57" t="n">
        <f aca="false">MAX(AR600,H600)</f>
        <v>600</v>
      </c>
      <c r="AE600" s="64"/>
      <c r="AF600" s="57" t="n">
        <f aca="false">IF(LEFT(Cockpit!$C$5,1)="A",H600,IF(CA600=1,CB600,IF(LEFT(Cockpit!$C$5,1)="B",AJ600,MAX(AJ600,H600))))</f>
        <v>150</v>
      </c>
      <c r="AG600" s="57" t="n">
        <f aca="false">IF(BT600=1,0,ROUNDUP(AF600/BS600,0))</f>
        <v>1</v>
      </c>
      <c r="AH600" s="59" t="n">
        <f aca="false">IF(CH600&gt;0,CH600*MAX(1,AF600/X600),IF(BT600=1,IF(AF600&lt;=0,0,BW600*MAX(1,IF(H600&gt;0,AF600/H600,1))),IF(R600&gt;0,AG600/R600,0))/MAX(0.1,N(Parameter!$M$21)))</f>
        <v>0.0384615384615385</v>
      </c>
      <c r="AI600" s="57" t="n">
        <f aca="false">AF600*G600</f>
        <v>21</v>
      </c>
      <c r="AJ600" s="57" t="n">
        <f aca="false">ROUNDUP(MAX(J600/IF(BZ600&gt;0,BZ600,MAX(0.1,N(Cockpit!$C$6))),CC600)/BS600,0)*BS600</f>
        <v>600</v>
      </c>
      <c r="AK600" s="58" t="n">
        <f aca="false">IF(AH600&gt;0,J600/AH600,-1)</f>
        <v>1326</v>
      </c>
      <c r="AL600" s="58" t="n">
        <f aca="false">IF(AND(OR(BY600="L1",BY600="L23"),AH600&gt;0),SUMIFS($AH$7:$AH$1843,$BY$7:$BY$1843,BY600,$AK$7:$AK$1843,"&gt;"&amp;AK600)+SUMIFS($AH$7:$AH$1843,$BY$7:$BY$1843,BY600,$AK$7:$AK$1843,AK600,$BQ$7:$BQ$1843,"&lt;="&amp;BQ600),"")</f>
        <v>16.2917215634607</v>
      </c>
      <c r="AM600" s="65" t="n">
        <f aca="false">IF(AL600="",0,MAX(0,MIN(1,(IF(BY600="L1",Parameter!$E$5,Parameter!$E$6+Parameter!$E$7)-(AL600-AH600))/AH600)))</f>
        <v>1</v>
      </c>
      <c r="AN600" s="57" t="n">
        <f aca="false">IF(LEFT(Cockpit!$I$5,1)="A",H600,IF(CA600=1,CB600,IF(LEFT(Cockpit!$I$5,1)="B",AR600,MAX(AR600,H600))))</f>
        <v>600</v>
      </c>
      <c r="AO600" s="57" t="n">
        <f aca="false">IF(BT600=1,0,ROUNDUP(AN600/BS600,0))</f>
        <v>1</v>
      </c>
      <c r="AP600" s="59" t="n">
        <f aca="false">IF(CH600&gt;0,CH600*MAX(1,AN600/X600),IF(BT600=1,IF(AN600&lt;=0,0,BW600*MAX(1,IF(H600&gt;0,AN600/H600,1))),IF(R600&gt;0,AO600/R600,0))/MAX(0.1,N(Parameter!$M$21)))</f>
        <v>0.0384615384615385</v>
      </c>
      <c r="AQ600" s="57" t="n">
        <f aca="false">AN600*G600</f>
        <v>84</v>
      </c>
      <c r="AR600" s="57" t="n">
        <f aca="false">ROUNDUP(MAX(J600/IF(BZ600&gt;0,BZ600,MAX(0.1,N(Cockpit!$I$6))),CC600)/BS600,0)*BS600</f>
        <v>600</v>
      </c>
      <c r="AS600" s="58" t="n">
        <f aca="false">IF(AP600&gt;0,J600/AP600,-1)</f>
        <v>1326</v>
      </c>
      <c r="AT600" s="58" t="n">
        <f aca="false">IF(AND(OR(BY600="L1",BY600="L23"),AP600&gt;0),SUMIFS($AP$7:$AP$1843,$BY$7:$BY$1843,BY600,$AS$7:$AS$1843,"&gt;"&amp;AS600)+SUMIFS($AP$7:$AP$1843,$BY$7:$BY$1843,BY600,$AS$7:$AS$1843,AS600,$BQ$7:$BQ$1843,"&lt;="&amp;BQ600),"")</f>
        <v>21.77044694436</v>
      </c>
      <c r="AU600" s="65" t="n">
        <f aca="false">IF(AT600="",0,MAX(0,MIN(1,(IF(BY600="L1",Parameter!$E$5,Parameter!$E$6+Parameter!$E$7)-(AT600-AP600))/AP600)))</f>
        <v>1</v>
      </c>
      <c r="AV600" s="57" t="n">
        <f aca="false">IF(LEFT(Cockpit!$O$5,1)="A",H600,IF(CA600=1,CB600,IF(LEFT(Cockpit!$O$5,1)="B",AZ600,MAX(AZ600,H600))))</f>
        <v>600</v>
      </c>
      <c r="AW600" s="57" t="n">
        <f aca="false">IF(BT600=1,0,ROUNDUP(AV600/BS600,0))</f>
        <v>1</v>
      </c>
      <c r="AX600" s="59" t="n">
        <f aca="false">IF(CH600&gt;0,CH600*MAX(1,AV600/X600),IF(BT600=1,IF(AV600&lt;=0,0,BW600*MAX(1,IF(H600&gt;0,AV600/H600,1))),IF(R600&gt;0,AW600/R600,0))/MAX(0.1,N(Parameter!$M$21)))</f>
        <v>0.0384615384615385</v>
      </c>
      <c r="AY600" s="57" t="n">
        <f aca="false">AV600*G600</f>
        <v>84</v>
      </c>
      <c r="AZ600" s="57" t="n">
        <f aca="false">ROUNDUP(MAX(J600/IF(BZ600&gt;0,BZ600,MAX(0.1,N(Cockpit!$O$6))),CC600)/BS600,0)*BS600</f>
        <v>600</v>
      </c>
      <c r="BA600" s="58" t="n">
        <f aca="false">IF(AX600&gt;0,J600/AX600,-1)</f>
        <v>1326</v>
      </c>
      <c r="BB600" s="58" t="n">
        <f aca="false">IF(AND(OR(BY600="L1",BY600="L23"),AX600&gt;0),SUMIFS($AX$7:$AX$1843,$BY$7:$BY$1843,BY600,$BA$7:$BA$1843,"&gt;"&amp;BA600)+SUMIFS($AX$7:$AX$1843,$BY$7:$BY$1843,BY600,$BA$7:$BA$1843,BA600,$BQ$7:$BQ$1843,"&lt;="&amp;BQ600),"")</f>
        <v>20.4656683895814</v>
      </c>
      <c r="BC600" s="65" t="n">
        <f aca="false">IF(BB600="",0,MAX(0,MIN(1,(IF(BY600="L1",Parameter!$E$5,Parameter!$E$6+Parameter!$E$7)-(BB600-AX600))/AX600)))</f>
        <v>1</v>
      </c>
      <c r="BD600" s="55" t="str">
        <f aca="false">IF(AH600&lt;=0,"",IF(BY600="Aussen","Aussenlager",IF(BY600="-","Nicht im Lift",IF(AM600&gt;=1,"Lift",IF(AM600&lt;=0,"Aussenlager","teilweise")))))</f>
        <v>Lift</v>
      </c>
      <c r="BE600" s="55" t="str">
        <f aca="false">IF(AP600&lt;=0,"",IF(BY600="Aussen","Aussenlager",IF(BY600="-","Nicht im Lift",IF(AU600&gt;=1,"Lift",IF(AU600&lt;=0,"Aussenlager","teilweise")))))</f>
        <v>Lift</v>
      </c>
      <c r="BF600" s="55" t="str">
        <f aca="false">IF(AX600&lt;=0,"",IF(BY600="Aussen","Aussenlager",IF(BY600="-","Nicht im Lift",IF(BC600&gt;=1,"Lift",IF(BC600&lt;=0,"Aussenlager","teilweise")))))</f>
        <v>Lift</v>
      </c>
      <c r="BG600" s="55" t="str">
        <f aca="false">IF(A600="","",IF(BP600=1,"Neu; ","")&amp;IF(AND(BP600=0,BK600&lt;0),"negativer Bestand (Export "&amp;BK600&amp;"); ","")&amp;IF(J600&lt;=0,"Kein Verbrauch; ","")&amp;IF(CH600&gt;0,"Lift "&amp;W600&amp;" lt. Liftbericht (Fach "&amp;X600&amp;" Stk); ",IF(BU600=1,"Gebinde geschätzt ("&amp;T600&amp;"); ",IF(BT600=1,"Lose – Tablare geschätzt; ","")))&amp;IF(H600&gt;AR600,"Überbestand "&amp;ROUND(H600-AR600,0)&amp;" Stk / CHF "&amp;ROUND((H600-AR600)*G600,0)&amp;"; ","")&amp;IF(AND(CA600=1,CB600&lt;CC600),"MAX &lt; MB+LG; ","")&amp;IF(AND(CG600&gt;0,CF600*10&gt;CG600),"zu hoch für Tablar; ","")&amp;IF(AND(BP600=0,OR(CA600=1,AA600&lt;&gt;"",U600&lt;&gt;"",V600&lt;&gt;"",AB600&lt;&gt;"")),"manuell übersteuert; ","")&amp;IF(AND(BT600=0,R600=0),"Gebinde unbekannt / Stellmass fehlt; ","")&amp;IF(AND(BT600=0,N(V600)&lt;=0,N(Q600)&lt;=0),"Menge pro Gebinde fehlt (Ist = 1 Gebinde); ","")&amp;BO600)</f>
        <v/>
      </c>
      <c r="BH600" s="55"/>
      <c r="BI600" s="55"/>
      <c r="BJ600" s="62"/>
      <c r="BK600" s="57" t="n">
        <v>50</v>
      </c>
      <c r="BL600" s="57" t="n">
        <v>100</v>
      </c>
      <c r="BM600" s="56" t="n">
        <v>5.99999999999999</v>
      </c>
      <c r="BN600" s="57" t="n">
        <v>51</v>
      </c>
      <c r="BO600" s="55"/>
      <c r="BP600" s="60" t="n">
        <v>0</v>
      </c>
      <c r="BQ600" s="60" t="n">
        <v>600</v>
      </c>
      <c r="BR600" s="55" t="str">
        <f aca="false">IF(U600&lt;&gt;"",UPPER(TRIM(U600)),IF(BU600=1,UPPER(VLOOKUP(T600,Parameter!$I$27:$K$29,2,0)),IF(P600="","LOSE",P600)))</f>
        <v>S51</v>
      </c>
      <c r="BS600" s="57" t="n">
        <f aca="false">IF(BR600="LOSE",1,IF(N(V600)&gt;0,V600,IF(BU600=1,MAX(1,N(VLOOKUP(T600,Parameter!$I$27:$K$29,3,0)),H600,N(N600)),IF(N(Q600)&gt;0,Q600,MAX(1,H600)))))</f>
        <v>600</v>
      </c>
      <c r="BT600" s="60" t="n">
        <f aca="false">IF(BR600="LOSE",1,0)</f>
        <v>0</v>
      </c>
      <c r="BU600" s="60" t="n">
        <f aca="false">IF(AND(U600="",OR(P600="",P600="LOSE"),T600&lt;&gt;"",N(S600)&lt;=0,ISNUMBER(MATCH(T600,Parameter!$I$27:$I$29,0))),1,0)</f>
        <v>0</v>
      </c>
      <c r="BV600" s="55" t="str">
        <f aca="false">IF(AND(Parameter!$B$19="Ja",E600&lt;&gt;"",ISNUMBER(MATCH(E600,Parameter!$I$35:$I$52,0))),VLOOKUP(E600,Parameter!$I$35:$J$52,2,0),IFERROR(VLOOKUP(D600,Parameter!$A$35:$C$64,2,0),"Nein"))</f>
        <v>2+3</v>
      </c>
      <c r="BW600" s="59" t="n">
        <f aca="false">IF(BT600=0,0,IF(N(S600)&gt;0,S600,IFERROR(VLOOKUP(D600,Parameter!$A$35:$C$64,3,0)+0,0)))</f>
        <v>0</v>
      </c>
      <c r="BX600" s="55" t="n">
        <f aca="false">IF(AA600&lt;&gt;"",AA600,Z600)</f>
        <v>3</v>
      </c>
      <c r="BY600" s="55" t="str">
        <f aca="false">IF(BX600=1,"L1",IF(OR(BX600=2,BX600=3),"L23",IF(BX600="Aussen","Aussen","-")))</f>
        <v>L23</v>
      </c>
      <c r="BZ600" s="66" t="n">
        <f aca="false">IF(N(AB600)&gt;0,AB600,0)</f>
        <v>0</v>
      </c>
      <c r="CA600" s="60" t="n">
        <f aca="false">IF(ISNUMBER(AE600),1,0)</f>
        <v>0</v>
      </c>
      <c r="CB600" s="57" t="n">
        <f aca="false">N(AE600)</f>
        <v>0</v>
      </c>
      <c r="CC600" s="57" t="n">
        <f aca="false">N(M600)+N(N600)</f>
        <v>502</v>
      </c>
      <c r="CD600" s="57" t="n">
        <f aca="false">ROUNDUP(H600/BS600,0)</f>
        <v>1</v>
      </c>
      <c r="CE600" s="57" t="n">
        <f aca="false">ROUNDUP(CB600/BS600,0)</f>
        <v>0</v>
      </c>
      <c r="CF600" s="60" t="n">
        <f aca="false">IF(BT600=1,0,IFERROR(VLOOKUP(BR600,'Gebinde-Kategorie'!$A$5:$M$45,5,0)+0,0))</f>
        <v>11</v>
      </c>
      <c r="CG600" s="60" t="n">
        <f aca="false">IFERROR(IF(OR(BX600=1,BX600=2,BX600=3),N(INDEX(Parameter!$I$5:$I$7,BX600)),0),0)</f>
        <v>0</v>
      </c>
      <c r="CH600" s="59" t="n">
        <f aca="false">IF(AND(Parameter!$B$21="Ja",ISNUMBER(W600),N(X600)&gt;0),IFERROR(N(INDEX(Parameter!$L$5:$L$7,W600))*INDEX(Parameter!$E$5:$E$7,W600)*X600/SUMIFS($X$7:$X$1843,$W$7:$W$1843,W600),0),0)</f>
        <v>0</v>
      </c>
    </row>
    <row r="601" customFormat="false" ht="15" hidden="false" customHeight="false" outlineLevel="0" collapsed="false">
      <c r="A601" s="55" t="s">
        <v>1245</v>
      </c>
      <c r="B601" s="55" t="s">
        <v>1246</v>
      </c>
      <c r="C601" s="55" t="s">
        <v>164</v>
      </c>
      <c r="D601" s="55" t="s">
        <v>184</v>
      </c>
      <c r="E601" s="55" t="s">
        <v>185</v>
      </c>
      <c r="F601" s="55" t="s">
        <v>218</v>
      </c>
      <c r="G601" s="56" t="n">
        <v>4.65</v>
      </c>
      <c r="H601" s="57" t="n">
        <f aca="false">MAX(0,IF(AND(Parameter!$B$21="Ja",ISNUMBER(Y601)),Y601,IF(Parameter!$B$20="Jahresanfang 2025 + Export",BL601+BK601,BK601)))</f>
        <v>9</v>
      </c>
      <c r="I601" s="57" t="n">
        <f aca="false">H601*G601</f>
        <v>41.85</v>
      </c>
      <c r="J601" s="57" t="n">
        <f aca="false">BN601*Parameter!$B$18</f>
        <v>8</v>
      </c>
      <c r="K601" s="58" t="n">
        <v>11.5</v>
      </c>
      <c r="L601" s="59" t="n">
        <v>0.695652173913044</v>
      </c>
      <c r="M601" s="57" t="n">
        <v>0</v>
      </c>
      <c r="N601" s="57" t="n">
        <v>10</v>
      </c>
      <c r="O601" s="60" t="n">
        <v>14</v>
      </c>
      <c r="P601" s="55" t="s">
        <v>421</v>
      </c>
      <c r="Q601" s="57" t="n">
        <v>7</v>
      </c>
      <c r="R601" s="60" t="n">
        <f aca="false">IF(BT601=1,0,IFERROR(VLOOKUP(BR601,'Gebinde-Kategorie'!$A$5:$M$45,13,0)+0,0))</f>
        <v>132</v>
      </c>
      <c r="S601" s="61"/>
      <c r="T601" s="62"/>
      <c r="U601" s="62"/>
      <c r="V601" s="62"/>
      <c r="W601" s="55"/>
      <c r="X601" s="57"/>
      <c r="Y601" s="57"/>
      <c r="Z601" s="55" t="n">
        <f aca="false">IF(A601="","",IF(AND(Parameter!$B$21="Ja",ISNUMBER(W601)),W601,IF(BV601="2+3",IF(ISNUMBER(SEARCH("grosser Artikel",BO601)),2,IFERROR(VLOOKUP(BR601,Parameter!$F$35:$G$64,2,0),2)),IF(OR(BV601="Nein",BV601=""),"-",BV601))))</f>
        <v>3</v>
      </c>
      <c r="AA601" s="62"/>
      <c r="AB601" s="63"/>
      <c r="AC601" s="57" t="n">
        <f aca="false">AR601</f>
        <v>14</v>
      </c>
      <c r="AD601" s="57" t="n">
        <f aca="false">MAX(AR601,H601)</f>
        <v>14</v>
      </c>
      <c r="AE601" s="64"/>
      <c r="AF601" s="57" t="n">
        <f aca="false">IF(LEFT(Cockpit!$C$5,1)="A",H601,IF(CA601=1,CB601,IF(LEFT(Cockpit!$C$5,1)="B",AJ601,MAX(AJ601,H601))))</f>
        <v>9</v>
      </c>
      <c r="AG601" s="57" t="n">
        <f aca="false">IF(BT601=1,0,ROUNDUP(AF601/BS601,0))</f>
        <v>2</v>
      </c>
      <c r="AH601" s="59" t="n">
        <f aca="false">IF(CH601&gt;0,CH601*MAX(1,AF601/X601),IF(BT601=1,IF(AF601&lt;=0,0,BW601*MAX(1,IF(H601&gt;0,AF601/H601,1))),IF(R601&gt;0,AG601/R601,0))/MAX(0.1,N(Parameter!$M$21)))</f>
        <v>0.0151515151515152</v>
      </c>
      <c r="AI601" s="57" t="n">
        <f aca="false">AF601*G601</f>
        <v>41.85</v>
      </c>
      <c r="AJ601" s="57" t="n">
        <f aca="false">ROUNDUP(MAX(J601/IF(BZ601&gt;0,BZ601,MAX(0.1,N(Cockpit!$C$6))),CC601)/BS601,0)*BS601</f>
        <v>14</v>
      </c>
      <c r="AK601" s="58" t="n">
        <f aca="false">IF(AH601&gt;0,J601/AH601,-1)</f>
        <v>528</v>
      </c>
      <c r="AL601" s="58" t="n">
        <f aca="false">IF(AND(OR(BY601="L1",BY601="L23"),AH601&gt;0),SUMIFS($AH$7:$AH$1843,$BY$7:$BY$1843,BY601,$AK$7:$AK$1843,"&gt;"&amp;AK601)+SUMIFS($AH$7:$AH$1843,$BY$7:$BY$1843,BY601,$AK$7:$AK$1843,AK601,$BQ$7:$BQ$1843,"&lt;="&amp;BQ601),"")</f>
        <v>23.7237762237762</v>
      </c>
      <c r="AM601" s="65" t="n">
        <f aca="false">IF(AL601="",0,MAX(0,MIN(1,(IF(BY601="L1",Parameter!$E$5,Parameter!$E$6+Parameter!$E$7)-(AL601-AH601))/AH601)))</f>
        <v>1</v>
      </c>
      <c r="AN601" s="57" t="n">
        <f aca="false">IF(LEFT(Cockpit!$I$5,1)="A",H601,IF(CA601=1,CB601,IF(LEFT(Cockpit!$I$5,1)="B",AR601,MAX(AR601,H601))))</f>
        <v>14</v>
      </c>
      <c r="AO601" s="57" t="n">
        <f aca="false">IF(BT601=1,0,ROUNDUP(AN601/BS601,0))</f>
        <v>2</v>
      </c>
      <c r="AP601" s="59" t="n">
        <f aca="false">IF(CH601&gt;0,CH601*MAX(1,AN601/X601),IF(BT601=1,IF(AN601&lt;=0,0,BW601*MAX(1,IF(H601&gt;0,AN601/H601,1))),IF(R601&gt;0,AO601/R601,0))/MAX(0.1,N(Parameter!$M$21)))</f>
        <v>0.0151515151515152</v>
      </c>
      <c r="AQ601" s="57" t="n">
        <f aca="false">AN601*G601</f>
        <v>65.1</v>
      </c>
      <c r="AR601" s="57" t="n">
        <f aca="false">ROUNDUP(MAX(J601/IF(BZ601&gt;0,BZ601,MAX(0.1,N(Cockpit!$I$6))),CC601)/BS601,0)*BS601</f>
        <v>14</v>
      </c>
      <c r="AS601" s="58" t="n">
        <f aca="false">IF(AP601&gt;0,J601/AP601,-1)</f>
        <v>528</v>
      </c>
      <c r="AT601" s="58" t="n">
        <f aca="false">IF(AND(OR(BY601="L1",BY601="L23"),AP601&gt;0),SUMIFS($AP$7:$AP$1843,$BY$7:$BY$1843,BY601,$AS$7:$AS$1843,"&gt;"&amp;AS601)+SUMIFS($AP$7:$AP$1843,$BY$7:$BY$1843,BY601,$AS$7:$AS$1843,AS601,$BQ$7:$BQ$1843,"&lt;="&amp;BQ601),"")</f>
        <v>32.4726022769501</v>
      </c>
      <c r="AU601" s="65" t="n">
        <f aca="false">IF(AT601="",0,MAX(0,MIN(1,(IF(BY601="L1",Parameter!$E$5,Parameter!$E$6+Parameter!$E$7)-(AT601-AP601))/AP601)))</f>
        <v>1</v>
      </c>
      <c r="AV601" s="57" t="n">
        <f aca="false">IF(LEFT(Cockpit!$O$5,1)="A",H601,IF(CA601=1,CB601,IF(LEFT(Cockpit!$O$5,1)="B",AZ601,MAX(AZ601,H601))))</f>
        <v>14</v>
      </c>
      <c r="AW601" s="57" t="n">
        <f aca="false">IF(BT601=1,0,ROUNDUP(AV601/BS601,0))</f>
        <v>2</v>
      </c>
      <c r="AX601" s="59" t="n">
        <f aca="false">IF(CH601&gt;0,CH601*MAX(1,AV601/X601),IF(BT601=1,IF(AV601&lt;=0,0,BW601*MAX(1,IF(H601&gt;0,AV601/H601,1))),IF(R601&gt;0,AW601/R601,0))/MAX(0.1,N(Parameter!$M$21)))</f>
        <v>0.0151515151515152</v>
      </c>
      <c r="AY601" s="57" t="n">
        <f aca="false">AV601*G601</f>
        <v>65.1</v>
      </c>
      <c r="AZ601" s="57" t="n">
        <f aca="false">ROUNDUP(MAX(J601/IF(BZ601&gt;0,BZ601,MAX(0.1,N(Cockpit!$O$6))),CC601)/BS601,0)*BS601</f>
        <v>14</v>
      </c>
      <c r="BA601" s="58" t="n">
        <f aca="false">IF(AX601&gt;0,J601/AX601,-1)</f>
        <v>528</v>
      </c>
      <c r="BB601" s="58" t="n">
        <f aca="false">IF(AND(OR(BY601="L1",BY601="L23"),AX601&gt;0),SUMIFS($AX$7:$AX$1843,$BY$7:$BY$1843,BY601,$BA$7:$BA$1843,"&gt;"&amp;BA601)+SUMIFS($AX$7:$AX$1843,$BY$7:$BY$1843,BY601,$BA$7:$BA$1843,BA601,$BQ$7:$BQ$1843,"&lt;="&amp;BQ601),"")</f>
        <v>30.0396185939664</v>
      </c>
      <c r="BC601" s="65" t="n">
        <f aca="false">IF(BB601="",0,MAX(0,MIN(1,(IF(BY601="L1",Parameter!$E$5,Parameter!$E$6+Parameter!$E$7)-(BB601-AX601))/AX601)))</f>
        <v>1</v>
      </c>
      <c r="BD601" s="55" t="str">
        <f aca="false">IF(AH601&lt;=0,"",IF(BY601="Aussen","Aussenlager",IF(BY601="-","Nicht im Lift",IF(AM601&gt;=1,"Lift",IF(AM601&lt;=0,"Aussenlager","teilweise")))))</f>
        <v>Lift</v>
      </c>
      <c r="BE601" s="55" t="str">
        <f aca="false">IF(AP601&lt;=0,"",IF(BY601="Aussen","Aussenlager",IF(BY601="-","Nicht im Lift",IF(AU601&gt;=1,"Lift",IF(AU601&lt;=0,"Aussenlager","teilweise")))))</f>
        <v>Lift</v>
      </c>
      <c r="BF601" s="55" t="str">
        <f aca="false">IF(AX601&lt;=0,"",IF(BY601="Aussen","Aussenlager",IF(BY601="-","Nicht im Lift",IF(BC601&gt;=1,"Lift",IF(BC601&lt;=0,"Aussenlager","teilweise")))))</f>
        <v>Lift</v>
      </c>
      <c r="BG601" s="55" t="str">
        <f aca="false">IF(A601="","",IF(BP601=1,"Neu; ","")&amp;IF(AND(BP601=0,BK601&lt;0),"negativer Bestand (Export "&amp;BK601&amp;"); ","")&amp;IF(J601&lt;=0,"Kein Verbrauch; ","")&amp;IF(CH601&gt;0,"Lift "&amp;W601&amp;" lt. Liftbericht (Fach "&amp;X601&amp;" Stk); ",IF(BU601=1,"Gebinde geschätzt ("&amp;T601&amp;"); ",IF(BT601=1,"Lose – Tablare geschätzt; ","")))&amp;IF(H601&gt;AR601,"Überbestand "&amp;ROUND(H601-AR601,0)&amp;" Stk / CHF "&amp;ROUND((H601-AR601)*G601,0)&amp;"; ","")&amp;IF(AND(CA601=1,CB601&lt;CC601),"MAX &lt; MB+LG; ","")&amp;IF(AND(CG601&gt;0,CF601*10&gt;CG601),"zu hoch für Tablar; ","")&amp;IF(AND(BP601=0,OR(CA601=1,AA601&lt;&gt;"",U601&lt;&gt;"",V601&lt;&gt;"",AB601&lt;&gt;"")),"manuell übersteuert; ","")&amp;IF(AND(BT601=0,R601=0),"Gebinde unbekannt / Stellmass fehlt; ","")&amp;IF(AND(BT601=0,N(V601)&lt;=0,N(Q601)&lt;=0),"Menge pro Gebinde fehlt (Ist = 1 Gebinde); ","")&amp;BO601)</f>
        <v/>
      </c>
      <c r="BH601" s="55"/>
      <c r="BI601" s="55"/>
      <c r="BJ601" s="62"/>
      <c r="BK601" s="57" t="n">
        <v>2</v>
      </c>
      <c r="BL601" s="57" t="n">
        <v>7</v>
      </c>
      <c r="BM601" s="56" t="n">
        <v>5.66</v>
      </c>
      <c r="BN601" s="57" t="n">
        <v>8</v>
      </c>
      <c r="BO601" s="55"/>
      <c r="BP601" s="60" t="n">
        <v>0</v>
      </c>
      <c r="BQ601" s="60" t="n">
        <v>601</v>
      </c>
      <c r="BR601" s="55" t="str">
        <f aca="false">IF(U601&lt;&gt;"",UPPER(TRIM(U601)),IF(BU601=1,UPPER(VLOOKUP(T601,Parameter!$I$27:$K$29,2,0)),IF(P601="","LOSE",P601)))</f>
        <v>S32</v>
      </c>
      <c r="BS601" s="57" t="n">
        <f aca="false">IF(BR601="LOSE",1,IF(N(V601)&gt;0,V601,IF(BU601=1,MAX(1,N(VLOOKUP(T601,Parameter!$I$27:$K$29,3,0)),H601,N(N601)),IF(N(Q601)&gt;0,Q601,MAX(1,H601)))))</f>
        <v>7</v>
      </c>
      <c r="BT601" s="60" t="n">
        <f aca="false">IF(BR601="LOSE",1,0)</f>
        <v>0</v>
      </c>
      <c r="BU601" s="60" t="n">
        <f aca="false">IF(AND(U601="",OR(P601="",P601="LOSE"),T601&lt;&gt;"",N(S601)&lt;=0,ISNUMBER(MATCH(T601,Parameter!$I$27:$I$29,0))),1,0)</f>
        <v>0</v>
      </c>
      <c r="BV601" s="55" t="str">
        <f aca="false">IF(AND(Parameter!$B$19="Ja",E601&lt;&gt;"",ISNUMBER(MATCH(E601,Parameter!$I$35:$I$52,0))),VLOOKUP(E601,Parameter!$I$35:$J$52,2,0),IFERROR(VLOOKUP(D601,Parameter!$A$35:$C$64,2,0),"Nein"))</f>
        <v>2+3</v>
      </c>
      <c r="BW601" s="59" t="n">
        <f aca="false">IF(BT601=0,0,IF(N(S601)&gt;0,S601,IFERROR(VLOOKUP(D601,Parameter!$A$35:$C$64,3,0)+0,0)))</f>
        <v>0</v>
      </c>
      <c r="BX601" s="55" t="n">
        <f aca="false">IF(AA601&lt;&gt;"",AA601,Z601)</f>
        <v>3</v>
      </c>
      <c r="BY601" s="55" t="str">
        <f aca="false">IF(BX601=1,"L1",IF(OR(BX601=2,BX601=3),"L23",IF(BX601="Aussen","Aussen","-")))</f>
        <v>L23</v>
      </c>
      <c r="BZ601" s="66" t="n">
        <f aca="false">IF(N(AB601)&gt;0,AB601,0)</f>
        <v>0</v>
      </c>
      <c r="CA601" s="60" t="n">
        <f aca="false">IF(ISNUMBER(AE601),1,0)</f>
        <v>0</v>
      </c>
      <c r="CB601" s="57" t="n">
        <f aca="false">N(AE601)</f>
        <v>0</v>
      </c>
      <c r="CC601" s="57" t="n">
        <f aca="false">N(M601)+N(N601)</f>
        <v>10</v>
      </c>
      <c r="CD601" s="57" t="n">
        <f aca="false">ROUNDUP(H601/BS601,0)</f>
        <v>2</v>
      </c>
      <c r="CE601" s="57" t="n">
        <f aca="false">ROUNDUP(CB601/BS601,0)</f>
        <v>0</v>
      </c>
      <c r="CF601" s="60" t="n">
        <f aca="false">IF(BT601=1,0,IFERROR(VLOOKUP(BR601,'Gebinde-Kategorie'!$A$5:$M$45,5,0)+0,0))</f>
        <v>8</v>
      </c>
      <c r="CG601" s="60" t="n">
        <f aca="false">IFERROR(IF(OR(BX601=1,BX601=2,BX601=3),N(INDEX(Parameter!$I$5:$I$7,BX601)),0),0)</f>
        <v>0</v>
      </c>
      <c r="CH601" s="59" t="n">
        <f aca="false">IF(AND(Parameter!$B$21="Ja",ISNUMBER(W601),N(X601)&gt;0),IFERROR(N(INDEX(Parameter!$L$5:$L$7,W601))*INDEX(Parameter!$E$5:$E$7,W601)*X601/SUMIFS($X$7:$X$1843,$W$7:$W$1843,W601),0),0)</f>
        <v>0</v>
      </c>
    </row>
    <row r="602" customFormat="false" ht="15" hidden="false" customHeight="false" outlineLevel="0" collapsed="false">
      <c r="A602" s="55" t="s">
        <v>1247</v>
      </c>
      <c r="B602" s="55" t="s">
        <v>861</v>
      </c>
      <c r="C602" s="55" t="s">
        <v>164</v>
      </c>
      <c r="D602" s="55" t="s">
        <v>995</v>
      </c>
      <c r="E602" s="55"/>
      <c r="F602" s="55" t="s">
        <v>218</v>
      </c>
      <c r="G602" s="56" t="n">
        <v>2.8</v>
      </c>
      <c r="H602" s="57" t="n">
        <f aca="false">MAX(0,IF(AND(Parameter!$B$21="Ja",ISNUMBER(Y602)),Y602,IF(Parameter!$B$20="Jahresanfang 2025 + Export",BL602+BK602,BK602)))</f>
        <v>2</v>
      </c>
      <c r="I602" s="57" t="n">
        <f aca="false">H602*G602</f>
        <v>5.6</v>
      </c>
      <c r="J602" s="57" t="n">
        <f aca="false">BN602*Parameter!$B$18</f>
        <v>23</v>
      </c>
      <c r="K602" s="58" t="n">
        <v>1</v>
      </c>
      <c r="L602" s="59" t="n">
        <v>23</v>
      </c>
      <c r="M602" s="57" t="n">
        <v>0</v>
      </c>
      <c r="N602" s="57" t="n">
        <v>10</v>
      </c>
      <c r="O602" s="60" t="n">
        <v>14</v>
      </c>
      <c r="P602" s="55" t="s">
        <v>168</v>
      </c>
      <c r="Q602" s="57"/>
      <c r="R602" s="60" t="n">
        <f aca="false">IF(BT602=1,0,IFERROR(VLOOKUP(BR602,'Gebinde-Kategorie'!$A$5:$M$45,13,0)+0,0))</f>
        <v>0</v>
      </c>
      <c r="S602" s="61"/>
      <c r="T602" s="62"/>
      <c r="U602" s="62"/>
      <c r="V602" s="62"/>
      <c r="W602" s="55"/>
      <c r="X602" s="57"/>
      <c r="Y602" s="57"/>
      <c r="Z602" s="55" t="str">
        <f aca="false">IF(A602="","",IF(AND(Parameter!$B$21="Ja",ISNUMBER(W602)),W602,IF(BV602="2+3",IF(ISNUMBER(SEARCH("grosser Artikel",BO602)),2,IFERROR(VLOOKUP(BR602,Parameter!$F$35:$G$64,2,0),2)),IF(OR(BV602="Nein",BV602=""),"-",BV602))))</f>
        <v>-</v>
      </c>
      <c r="AA602" s="62"/>
      <c r="AB602" s="63"/>
      <c r="AC602" s="57" t="n">
        <f aca="false">AR602</f>
        <v>12</v>
      </c>
      <c r="AD602" s="57" t="n">
        <f aca="false">MAX(AR602,H602)</f>
        <v>12</v>
      </c>
      <c r="AE602" s="64"/>
      <c r="AF602" s="57" t="n">
        <f aca="false">IF(LEFT(Cockpit!$C$5,1)="A",H602,IF(CA602=1,CB602,IF(LEFT(Cockpit!$C$5,1)="B",AJ602,MAX(AJ602,H602))))</f>
        <v>2</v>
      </c>
      <c r="AG602" s="57" t="n">
        <f aca="false">IF(BT602=1,0,ROUNDUP(AF602/BS602,0))</f>
        <v>0</v>
      </c>
      <c r="AH602" s="59" t="n">
        <f aca="false">IF(CH602&gt;0,CH602*MAX(1,AF602/X602),IF(BT602=1,IF(AF602&lt;=0,0,BW602*MAX(1,IF(H602&gt;0,AF602/H602,1))),IF(R602&gt;0,AG602/R602,0))/MAX(0.1,N(Parameter!$M$21)))</f>
        <v>0.15</v>
      </c>
      <c r="AI602" s="57" t="n">
        <f aca="false">AF602*G602</f>
        <v>5.6</v>
      </c>
      <c r="AJ602" s="57" t="n">
        <f aca="false">ROUNDUP(MAX(J602/IF(BZ602&gt;0,BZ602,MAX(0.1,N(Cockpit!$C$6))),CC602)/BS602,0)*BS602</f>
        <v>12</v>
      </c>
      <c r="AK602" s="58" t="n">
        <f aca="false">IF(AH602&gt;0,J602/AH602,-1)</f>
        <v>153.333333333333</v>
      </c>
      <c r="AL602" s="58" t="str">
        <f aca="false">IF(AND(OR(BY602="L1",BY602="L23"),AH602&gt;0),SUMIFS($AH$7:$AH$1843,$BY$7:$BY$1843,BY602,$AK$7:$AK$1843,"&gt;"&amp;AK602)+SUMIFS($AH$7:$AH$1843,$BY$7:$BY$1843,BY602,$AK$7:$AK$1843,AK602,$BQ$7:$BQ$1843,"&lt;="&amp;BQ602),"")</f>
        <v/>
      </c>
      <c r="AM602" s="65" t="n">
        <f aca="false">IF(AL602="",0,MAX(0,MIN(1,(IF(BY602="L1",Parameter!$E$5,Parameter!$E$6+Parameter!$E$7)-(AL602-AH602))/AH602)))</f>
        <v>0</v>
      </c>
      <c r="AN602" s="57" t="n">
        <f aca="false">IF(LEFT(Cockpit!$I$5,1)="A",H602,IF(CA602=1,CB602,IF(LEFT(Cockpit!$I$5,1)="B",AR602,MAX(AR602,H602))))</f>
        <v>12</v>
      </c>
      <c r="AO602" s="57" t="n">
        <f aca="false">IF(BT602=1,0,ROUNDUP(AN602/BS602,0))</f>
        <v>0</v>
      </c>
      <c r="AP602" s="59" t="n">
        <f aca="false">IF(CH602&gt;0,CH602*MAX(1,AN602/X602),IF(BT602=1,IF(AN602&lt;=0,0,BW602*MAX(1,IF(H602&gt;0,AN602/H602,1))),IF(R602&gt;0,AO602/R602,0))/MAX(0.1,N(Parameter!$M$21)))</f>
        <v>0.9</v>
      </c>
      <c r="AQ602" s="57" t="n">
        <f aca="false">AN602*G602</f>
        <v>33.6</v>
      </c>
      <c r="AR602" s="57" t="n">
        <f aca="false">ROUNDUP(MAX(J602/IF(BZ602&gt;0,BZ602,MAX(0.1,N(Cockpit!$I$6))),CC602)/BS602,0)*BS602</f>
        <v>12</v>
      </c>
      <c r="AS602" s="58" t="n">
        <f aca="false">IF(AP602&gt;0,J602/AP602,-1)</f>
        <v>25.5555555555556</v>
      </c>
      <c r="AT602" s="58" t="str">
        <f aca="false">IF(AND(OR(BY602="L1",BY602="L23"),AP602&gt;0),SUMIFS($AP$7:$AP$1843,$BY$7:$BY$1843,BY602,$AS$7:$AS$1843,"&gt;"&amp;AS602)+SUMIFS($AP$7:$AP$1843,$BY$7:$BY$1843,BY602,$AS$7:$AS$1843,AS602,$BQ$7:$BQ$1843,"&lt;="&amp;BQ602),"")</f>
        <v/>
      </c>
      <c r="AU602" s="65" t="n">
        <f aca="false">IF(AT602="",0,MAX(0,MIN(1,(IF(BY602="L1",Parameter!$E$5,Parameter!$E$6+Parameter!$E$7)-(AT602-AP602))/AP602)))</f>
        <v>0</v>
      </c>
      <c r="AV602" s="57" t="n">
        <f aca="false">IF(LEFT(Cockpit!$O$5,1)="A",H602,IF(CA602=1,CB602,IF(LEFT(Cockpit!$O$5,1)="B",AZ602,MAX(AZ602,H602))))</f>
        <v>10</v>
      </c>
      <c r="AW602" s="57" t="n">
        <f aca="false">IF(BT602=1,0,ROUNDUP(AV602/BS602,0))</f>
        <v>0</v>
      </c>
      <c r="AX602" s="59" t="n">
        <f aca="false">IF(CH602&gt;0,CH602*MAX(1,AV602/X602),IF(BT602=1,IF(AV602&lt;=0,0,BW602*MAX(1,IF(H602&gt;0,AV602/H602,1))),IF(R602&gt;0,AW602/R602,0))/MAX(0.1,N(Parameter!$M$21)))</f>
        <v>0.75</v>
      </c>
      <c r="AY602" s="57" t="n">
        <f aca="false">AV602*G602</f>
        <v>28</v>
      </c>
      <c r="AZ602" s="57" t="n">
        <f aca="false">ROUNDUP(MAX(J602/IF(BZ602&gt;0,BZ602,MAX(0.1,N(Cockpit!$O$6))),CC602)/BS602,0)*BS602</f>
        <v>10</v>
      </c>
      <c r="BA602" s="58" t="n">
        <f aca="false">IF(AX602&gt;0,J602/AX602,-1)</f>
        <v>30.6666666666667</v>
      </c>
      <c r="BB602" s="58" t="str">
        <f aca="false">IF(AND(OR(BY602="L1",BY602="L23"),AX602&gt;0),SUMIFS($AX$7:$AX$1843,$BY$7:$BY$1843,BY602,$BA$7:$BA$1843,"&gt;"&amp;BA602)+SUMIFS($AX$7:$AX$1843,$BY$7:$BY$1843,BY602,$BA$7:$BA$1843,BA602,$BQ$7:$BQ$1843,"&lt;="&amp;BQ602),"")</f>
        <v/>
      </c>
      <c r="BC602" s="65" t="n">
        <f aca="false">IF(BB602="",0,MAX(0,MIN(1,(IF(BY602="L1",Parameter!$E$5,Parameter!$E$6+Parameter!$E$7)-(BB602-AX602))/AX602)))</f>
        <v>0</v>
      </c>
      <c r="BD602" s="55" t="str">
        <f aca="false">IF(AH602&lt;=0,"",IF(BY602="Aussen","Aussenlager",IF(BY602="-","Nicht im Lift",IF(AM602&gt;=1,"Lift",IF(AM602&lt;=0,"Aussenlager","teilweise")))))</f>
        <v>Nicht im Lift</v>
      </c>
      <c r="BE602" s="55" t="str">
        <f aca="false">IF(AP602&lt;=0,"",IF(BY602="Aussen","Aussenlager",IF(BY602="-","Nicht im Lift",IF(AU602&gt;=1,"Lift",IF(AU602&lt;=0,"Aussenlager","teilweise")))))</f>
        <v>Nicht im Lift</v>
      </c>
      <c r="BF602" s="55" t="str">
        <f aca="false">IF(AX602&lt;=0,"",IF(BY602="Aussen","Aussenlager",IF(BY602="-","Nicht im Lift",IF(BC602&gt;=1,"Lift",IF(BC602&lt;=0,"Aussenlager","teilweise")))))</f>
        <v>Nicht im Lift</v>
      </c>
      <c r="BG602" s="55" t="str">
        <f aca="false">IF(A602="","",IF(BP602=1,"Neu; ","")&amp;IF(AND(BP602=0,BK602&lt;0),"negativer Bestand (Export "&amp;BK602&amp;"); ","")&amp;IF(J602&lt;=0,"Kein Verbrauch; ","")&amp;IF(CH602&gt;0,"Lift "&amp;W602&amp;" lt. Liftbericht (Fach "&amp;X602&amp;" Stk); ",IF(BU602=1,"Gebinde geschätzt ("&amp;T602&amp;"); ",IF(BT602=1,"Lose – Tablare geschätzt; ","")))&amp;IF(H602&gt;AR602,"Überbestand "&amp;ROUND(H602-AR602,0)&amp;" Stk / CHF "&amp;ROUND((H602-AR602)*G602,0)&amp;"; ","")&amp;IF(AND(CA602=1,CB602&lt;CC602),"MAX &lt; MB+LG; ","")&amp;IF(AND(CG602&gt;0,CF602*10&gt;CG602),"zu hoch für Tablar; ","")&amp;IF(AND(BP602=0,OR(CA602=1,AA602&lt;&gt;"",U602&lt;&gt;"",V602&lt;&gt;"",AB602&lt;&gt;"")),"manuell übersteuert; ","")&amp;IF(AND(BT602=0,R602=0),"Gebinde unbekannt / Stellmass fehlt; ","")&amp;IF(AND(BT602=0,N(V602)&lt;=0,N(Q602)&lt;=0),"Menge pro Gebinde fehlt (Ist = 1 Gebinde); ","")&amp;BO602)</f>
        <v>Lose – Tablare geschätzt; </v>
      </c>
      <c r="BH602" s="55"/>
      <c r="BI602" s="55"/>
      <c r="BJ602" s="62"/>
      <c r="BK602" s="57" t="n">
        <v>2</v>
      </c>
      <c r="BL602" s="57" t="n">
        <v>0</v>
      </c>
      <c r="BM602" s="56" t="n">
        <v>5.59999999999999</v>
      </c>
      <c r="BN602" s="57" t="n">
        <v>23</v>
      </c>
      <c r="BO602" s="55"/>
      <c r="BP602" s="60" t="n">
        <v>0</v>
      </c>
      <c r="BQ602" s="60" t="n">
        <v>602</v>
      </c>
      <c r="BR602" s="55" t="str">
        <f aca="false">IF(U602&lt;&gt;"",UPPER(TRIM(U602)),IF(BU602=1,UPPER(VLOOKUP(T602,Parameter!$I$27:$K$29,2,0)),IF(P602="","LOSE",P602)))</f>
        <v>LOSE</v>
      </c>
      <c r="BS602" s="57" t="n">
        <f aca="false">IF(BR602="LOSE",1,IF(N(V602)&gt;0,V602,IF(BU602=1,MAX(1,N(VLOOKUP(T602,Parameter!$I$27:$K$29,3,0)),H602,N(N602)),IF(N(Q602)&gt;0,Q602,MAX(1,H602)))))</f>
        <v>1</v>
      </c>
      <c r="BT602" s="60" t="n">
        <f aca="false">IF(BR602="LOSE",1,0)</f>
        <v>1</v>
      </c>
      <c r="BU602" s="60" t="n">
        <f aca="false">IF(AND(U602="",OR(P602="",P602="LOSE"),T602&lt;&gt;"",N(S602)&lt;=0,ISNUMBER(MATCH(T602,Parameter!$I$27:$I$29,0))),1,0)</f>
        <v>0</v>
      </c>
      <c r="BV602" s="55" t="str">
        <f aca="false">IF(AND(Parameter!$B$19="Ja",E602&lt;&gt;"",ISNUMBER(MATCH(E602,Parameter!$I$35:$I$52,0))),VLOOKUP(E602,Parameter!$I$35:$J$52,2,0),IFERROR(VLOOKUP(D602,Parameter!$A$35:$C$64,2,0),"Nein"))</f>
        <v>Nein</v>
      </c>
      <c r="BW602" s="59" t="n">
        <f aca="false">IF(BT602=0,0,IF(N(S602)&gt;0,S602,IFERROR(VLOOKUP(D602,Parameter!$A$35:$C$64,3,0)+0,0)))</f>
        <v>0.15</v>
      </c>
      <c r="BX602" s="55" t="str">
        <f aca="false">IF(AA602&lt;&gt;"",AA602,Z602)</f>
        <v>-</v>
      </c>
      <c r="BY602" s="55" t="str">
        <f aca="false">IF(BX602=1,"L1",IF(OR(BX602=2,BX602=3),"L23",IF(BX602="Aussen","Aussen","-")))</f>
        <v>-</v>
      </c>
      <c r="BZ602" s="66" t="n">
        <f aca="false">IF(N(AB602)&gt;0,AB602,0)</f>
        <v>0</v>
      </c>
      <c r="CA602" s="60" t="n">
        <f aca="false">IF(ISNUMBER(AE602),1,0)</f>
        <v>0</v>
      </c>
      <c r="CB602" s="57" t="n">
        <f aca="false">N(AE602)</f>
        <v>0</v>
      </c>
      <c r="CC602" s="57" t="n">
        <f aca="false">N(M602)+N(N602)</f>
        <v>10</v>
      </c>
      <c r="CD602" s="57" t="n">
        <f aca="false">ROUNDUP(H602/BS602,0)</f>
        <v>2</v>
      </c>
      <c r="CE602" s="57" t="n">
        <f aca="false">ROUNDUP(CB602/BS602,0)</f>
        <v>0</v>
      </c>
      <c r="CF602" s="60" t="n">
        <f aca="false">IF(BT602=1,0,IFERROR(VLOOKUP(BR602,'Gebinde-Kategorie'!$A$5:$M$45,5,0)+0,0))</f>
        <v>0</v>
      </c>
      <c r="CG602" s="60" t="n">
        <f aca="false">IFERROR(IF(OR(BX602=1,BX602=2,BX602=3),N(INDEX(Parameter!$I$5:$I$7,BX602)),0),0)</f>
        <v>0</v>
      </c>
      <c r="CH602" s="59" t="n">
        <f aca="false">IF(AND(Parameter!$B$21="Ja",ISNUMBER(W602),N(X602)&gt;0),IFERROR(N(INDEX(Parameter!$L$5:$L$7,W602))*INDEX(Parameter!$E$5:$E$7,W602)*X602/SUMIFS($X$7:$X$1843,$W$7:$W$1843,W602),0),0)</f>
        <v>0</v>
      </c>
    </row>
    <row r="603" customFormat="false" ht="15" hidden="false" customHeight="false" outlineLevel="0" collapsed="false">
      <c r="A603" s="55" t="s">
        <v>1248</v>
      </c>
      <c r="B603" s="55" t="s">
        <v>1249</v>
      </c>
      <c r="C603" s="55" t="s">
        <v>164</v>
      </c>
      <c r="D603" s="55" t="s">
        <v>184</v>
      </c>
      <c r="E603" s="55"/>
      <c r="F603" s="55" t="s">
        <v>218</v>
      </c>
      <c r="G603" s="56" t="n">
        <v>4.15</v>
      </c>
      <c r="H603" s="57" t="n">
        <f aca="false">MAX(0,IF(AND(Parameter!$B$21="Ja",ISNUMBER(Y603)),Y603,IF(Parameter!$B$20="Jahresanfang 2025 + Export",BL603+BK603,BK603)))</f>
        <v>8</v>
      </c>
      <c r="I603" s="57" t="n">
        <f aca="false">H603*G603</f>
        <v>33.2</v>
      </c>
      <c r="J603" s="57" t="n">
        <f aca="false">BN603*Parameter!$B$18</f>
        <v>1</v>
      </c>
      <c r="K603" s="58" t="n">
        <v>8</v>
      </c>
      <c r="L603" s="59" t="n">
        <v>0.125</v>
      </c>
      <c r="M603" s="57" t="n">
        <v>0</v>
      </c>
      <c r="N603" s="57" t="n">
        <v>1</v>
      </c>
      <c r="O603" s="60" t="n">
        <v>14</v>
      </c>
      <c r="P603" s="55" t="s">
        <v>328</v>
      </c>
      <c r="Q603" s="57" t="n">
        <v>10</v>
      </c>
      <c r="R603" s="60" t="n">
        <f aca="false">IF(BT603=1,0,IFERROR(VLOOKUP(BR603,'Gebinde-Kategorie'!$A$5:$M$45,13,0)+0,0))</f>
        <v>52</v>
      </c>
      <c r="S603" s="61"/>
      <c r="T603" s="62"/>
      <c r="U603" s="62"/>
      <c r="V603" s="62"/>
      <c r="W603" s="55"/>
      <c r="X603" s="57"/>
      <c r="Y603" s="57"/>
      <c r="Z603" s="55" t="n">
        <f aca="false">IF(A603="","",IF(AND(Parameter!$B$21="Ja",ISNUMBER(W603)),W603,IF(BV603="2+3",IF(ISNUMBER(SEARCH("grosser Artikel",BO603)),2,IFERROR(VLOOKUP(BR603,Parameter!$F$35:$G$64,2,0),2)),IF(OR(BV603="Nein",BV603=""),"-",BV603))))</f>
        <v>3</v>
      </c>
      <c r="AA603" s="62"/>
      <c r="AB603" s="63"/>
      <c r="AC603" s="57" t="n">
        <f aca="false">AR603</f>
        <v>10</v>
      </c>
      <c r="AD603" s="57" t="n">
        <f aca="false">MAX(AR603,H603)</f>
        <v>10</v>
      </c>
      <c r="AE603" s="64"/>
      <c r="AF603" s="57" t="n">
        <f aca="false">IF(LEFT(Cockpit!$C$5,1)="A",H603,IF(CA603=1,CB603,IF(LEFT(Cockpit!$C$5,1)="B",AJ603,MAX(AJ603,H603))))</f>
        <v>8</v>
      </c>
      <c r="AG603" s="57" t="n">
        <f aca="false">IF(BT603=1,0,ROUNDUP(AF603/BS603,0))</f>
        <v>1</v>
      </c>
      <c r="AH603" s="59" t="n">
        <f aca="false">IF(CH603&gt;0,CH603*MAX(1,AF603/X603),IF(BT603=1,IF(AF603&lt;=0,0,BW603*MAX(1,IF(H603&gt;0,AF603/H603,1))),IF(R603&gt;0,AG603/R603,0))/MAX(0.1,N(Parameter!$M$21)))</f>
        <v>0.0192307692307692</v>
      </c>
      <c r="AI603" s="57" t="n">
        <f aca="false">AF603*G603</f>
        <v>33.2</v>
      </c>
      <c r="AJ603" s="57" t="n">
        <f aca="false">ROUNDUP(MAX(J603/IF(BZ603&gt;0,BZ603,MAX(0.1,N(Cockpit!$C$6))),CC603)/BS603,0)*BS603</f>
        <v>10</v>
      </c>
      <c r="AK603" s="58" t="n">
        <f aca="false">IF(AH603&gt;0,J603/AH603,-1)</f>
        <v>52</v>
      </c>
      <c r="AL603" s="58" t="n">
        <f aca="false">IF(AND(OR(BY603="L1",BY603="L23"),AH603&gt;0),SUMIFS($AH$7:$AH$1843,$BY$7:$BY$1843,BY603,$AK$7:$AK$1843,"&gt;"&amp;AK603)+SUMIFS($AH$7:$AH$1843,$BY$7:$BY$1843,BY603,$AK$7:$AK$1843,AK603,$BQ$7:$BQ$1843,"&lt;="&amp;BQ603),"")</f>
        <v>44.356829161177</v>
      </c>
      <c r="AM603" s="65" t="n">
        <f aca="false">IF(AL603="",0,MAX(0,MIN(1,(IF(BY603="L1",Parameter!$E$5,Parameter!$E$6+Parameter!$E$7)-(AL603-AH603))/AH603)))</f>
        <v>1</v>
      </c>
      <c r="AN603" s="57" t="n">
        <f aca="false">IF(LEFT(Cockpit!$I$5,1)="A",H603,IF(CA603=1,CB603,IF(LEFT(Cockpit!$I$5,1)="B",AR603,MAX(AR603,H603))))</f>
        <v>10</v>
      </c>
      <c r="AO603" s="57" t="n">
        <f aca="false">IF(BT603=1,0,ROUNDUP(AN603/BS603,0))</f>
        <v>1</v>
      </c>
      <c r="AP603" s="59" t="n">
        <f aca="false">IF(CH603&gt;0,CH603*MAX(1,AN603/X603),IF(BT603=1,IF(AN603&lt;=0,0,BW603*MAX(1,IF(H603&gt;0,AN603/H603,1))),IF(R603&gt;0,AO603/R603,0))/MAX(0.1,N(Parameter!$M$21)))</f>
        <v>0.0192307692307692</v>
      </c>
      <c r="AQ603" s="57" t="n">
        <f aca="false">AN603*G603</f>
        <v>41.5</v>
      </c>
      <c r="AR603" s="57" t="n">
        <f aca="false">ROUNDUP(MAX(J603/IF(BZ603&gt;0,BZ603,MAX(0.1,N(Cockpit!$I$6))),CC603)/BS603,0)*BS603</f>
        <v>10</v>
      </c>
      <c r="AS603" s="58" t="n">
        <f aca="false">IF(AP603&gt;0,J603/AP603,-1)</f>
        <v>52</v>
      </c>
      <c r="AT603" s="58" t="n">
        <f aca="false">IF(AND(OR(BY603="L1",BY603="L23"),AP603&gt;0),SUMIFS($AP$7:$AP$1843,$BY$7:$BY$1843,BY603,$AS$7:$AS$1843,"&gt;"&amp;AS603)+SUMIFS($AP$7:$AP$1843,$BY$7:$BY$1843,BY603,$AS$7:$AS$1843,AS603,$BQ$7:$BQ$1843,"&lt;="&amp;BQ603),"")</f>
        <v>67.2232610384784</v>
      </c>
      <c r="AU603" s="65" t="n">
        <f aca="false">IF(AT603="",0,MAX(0,MIN(1,(IF(BY603="L1",Parameter!$E$5,Parameter!$E$6+Parameter!$E$7)-(AT603-AP603))/AP603)))</f>
        <v>1</v>
      </c>
      <c r="AV603" s="57" t="n">
        <f aca="false">IF(LEFT(Cockpit!$O$5,1)="A",H603,IF(CA603=1,CB603,IF(LEFT(Cockpit!$O$5,1)="B",AZ603,MAX(AZ603,H603))))</f>
        <v>10</v>
      </c>
      <c r="AW603" s="57" t="n">
        <f aca="false">IF(BT603=1,0,ROUNDUP(AV603/BS603,0))</f>
        <v>1</v>
      </c>
      <c r="AX603" s="59" t="n">
        <f aca="false">IF(CH603&gt;0,CH603*MAX(1,AV603/X603),IF(BT603=1,IF(AV603&lt;=0,0,BW603*MAX(1,IF(H603&gt;0,AV603/H603,1))),IF(R603&gt;0,AW603/R603,0))/MAX(0.1,N(Parameter!$M$21)))</f>
        <v>0.0192307692307692</v>
      </c>
      <c r="AY603" s="57" t="n">
        <f aca="false">AV603*G603</f>
        <v>41.5</v>
      </c>
      <c r="AZ603" s="57" t="n">
        <f aca="false">ROUNDUP(MAX(J603/IF(BZ603&gt;0,BZ603,MAX(0.1,N(Cockpit!$O$6))),CC603)/BS603,0)*BS603</f>
        <v>10</v>
      </c>
      <c r="BA603" s="58" t="n">
        <f aca="false">IF(AX603&gt;0,J603/AX603,-1)</f>
        <v>52</v>
      </c>
      <c r="BB603" s="58" t="n">
        <f aca="false">IF(AND(OR(BY603="L1",BY603="L23"),AX603&gt;0),SUMIFS($AX$7:$AX$1843,$BY$7:$BY$1843,BY603,$BA$7:$BA$1843,"&gt;"&amp;BA603)+SUMIFS($AX$7:$AX$1843,$BY$7:$BY$1843,BY603,$BA$7:$BA$1843,BA603,$BQ$7:$BQ$1843,"&lt;="&amp;BQ603),"")</f>
        <v>61.7197645349819</v>
      </c>
      <c r="BC603" s="65" t="n">
        <f aca="false">IF(BB603="",0,MAX(0,MIN(1,(IF(BY603="L1",Parameter!$E$5,Parameter!$E$6+Parameter!$E$7)-(BB603-AX603))/AX603)))</f>
        <v>1</v>
      </c>
      <c r="BD603" s="55" t="str">
        <f aca="false">IF(AH603&lt;=0,"",IF(BY603="Aussen","Aussenlager",IF(BY603="-","Nicht im Lift",IF(AM603&gt;=1,"Lift",IF(AM603&lt;=0,"Aussenlager","teilweise")))))</f>
        <v>Lift</v>
      </c>
      <c r="BE603" s="55" t="str">
        <f aca="false">IF(AP603&lt;=0,"",IF(BY603="Aussen","Aussenlager",IF(BY603="-","Nicht im Lift",IF(AU603&gt;=1,"Lift",IF(AU603&lt;=0,"Aussenlager","teilweise")))))</f>
        <v>Lift</v>
      </c>
      <c r="BF603" s="55" t="str">
        <f aca="false">IF(AX603&lt;=0,"",IF(BY603="Aussen","Aussenlager",IF(BY603="-","Nicht im Lift",IF(BC603&gt;=1,"Lift",IF(BC603&lt;=0,"Aussenlager","teilweise")))))</f>
        <v>Lift</v>
      </c>
      <c r="BG603" s="55" t="str">
        <f aca="false">IF(A603="","",IF(BP603=1,"Neu; ","")&amp;IF(AND(BP603=0,BK603&lt;0),"negativer Bestand (Export "&amp;BK603&amp;"); ","")&amp;IF(J603&lt;=0,"Kein Verbrauch; ","")&amp;IF(CH603&gt;0,"Lift "&amp;W603&amp;" lt. Liftbericht (Fach "&amp;X603&amp;" Stk); ",IF(BU603=1,"Gebinde geschätzt ("&amp;T603&amp;"); ",IF(BT603=1,"Lose – Tablare geschätzt; ","")))&amp;IF(H603&gt;AR603,"Überbestand "&amp;ROUND(H603-AR603,0)&amp;" Stk / CHF "&amp;ROUND((H603-AR603)*G603,0)&amp;"; ","")&amp;IF(AND(CA603=1,CB603&lt;CC603),"MAX &lt; MB+LG; ","")&amp;IF(AND(CG603&gt;0,CF603*10&gt;CG603),"zu hoch für Tablar; ","")&amp;IF(AND(BP603=0,OR(CA603=1,AA603&lt;&gt;"",U603&lt;&gt;"",V603&lt;&gt;"",AB603&lt;&gt;"")),"manuell übersteuert; ","")&amp;IF(AND(BT603=0,R603=0),"Gebinde unbekannt / Stellmass fehlt; ","")&amp;IF(AND(BT603=0,N(V603)&lt;=0,N(Q603)&lt;=0),"Menge pro Gebinde fehlt (Ist = 1 Gebinde); ","")&amp;BO603)</f>
        <v>überbestand</v>
      </c>
      <c r="BH603" s="55"/>
      <c r="BI603" s="55"/>
      <c r="BJ603" s="62"/>
      <c r="BK603" s="57" t="n">
        <v>1</v>
      </c>
      <c r="BL603" s="57" t="n">
        <v>7</v>
      </c>
      <c r="BM603" s="56" t="n">
        <v>5.48</v>
      </c>
      <c r="BN603" s="57" t="n">
        <v>1</v>
      </c>
      <c r="BO603" s="55" t="s">
        <v>1250</v>
      </c>
      <c r="BP603" s="60" t="n">
        <v>0</v>
      </c>
      <c r="BQ603" s="60" t="n">
        <v>603</v>
      </c>
      <c r="BR603" s="55" t="str">
        <f aca="false">IF(U603&lt;&gt;"",UPPER(TRIM(U603)),IF(BU603=1,UPPER(VLOOKUP(T603,Parameter!$I$27:$K$29,2,0)),IF(P603="","LOSE",P603)))</f>
        <v>S41</v>
      </c>
      <c r="BS603" s="57" t="n">
        <f aca="false">IF(BR603="LOSE",1,IF(N(V603)&gt;0,V603,IF(BU603=1,MAX(1,N(VLOOKUP(T603,Parameter!$I$27:$K$29,3,0)),H603,N(N603)),IF(N(Q603)&gt;0,Q603,MAX(1,H603)))))</f>
        <v>10</v>
      </c>
      <c r="BT603" s="60" t="n">
        <f aca="false">IF(BR603="LOSE",1,0)</f>
        <v>0</v>
      </c>
      <c r="BU603" s="60" t="n">
        <f aca="false">IF(AND(U603="",OR(P603="",P603="LOSE"),T603&lt;&gt;"",N(S603)&lt;=0,ISNUMBER(MATCH(T603,Parameter!$I$27:$I$29,0))),1,0)</f>
        <v>0</v>
      </c>
      <c r="BV603" s="55" t="str">
        <f aca="false">IF(AND(Parameter!$B$19="Ja",E603&lt;&gt;"",ISNUMBER(MATCH(E603,Parameter!$I$35:$I$52,0))),VLOOKUP(E603,Parameter!$I$35:$J$52,2,0),IFERROR(VLOOKUP(D603,Parameter!$A$35:$C$64,2,0),"Nein"))</f>
        <v>2+3</v>
      </c>
      <c r="BW603" s="59" t="n">
        <f aca="false">IF(BT603=0,0,IF(N(S603)&gt;0,S603,IFERROR(VLOOKUP(D603,Parameter!$A$35:$C$64,3,0)+0,0)))</f>
        <v>0</v>
      </c>
      <c r="BX603" s="55" t="n">
        <f aca="false">IF(AA603&lt;&gt;"",AA603,Z603)</f>
        <v>3</v>
      </c>
      <c r="BY603" s="55" t="str">
        <f aca="false">IF(BX603=1,"L1",IF(OR(BX603=2,BX603=3),"L23",IF(BX603="Aussen","Aussen","-")))</f>
        <v>L23</v>
      </c>
      <c r="BZ603" s="66" t="n">
        <f aca="false">IF(N(AB603)&gt;0,AB603,0)</f>
        <v>0</v>
      </c>
      <c r="CA603" s="60" t="n">
        <f aca="false">IF(ISNUMBER(AE603),1,0)</f>
        <v>0</v>
      </c>
      <c r="CB603" s="57" t="n">
        <f aca="false">N(AE603)</f>
        <v>0</v>
      </c>
      <c r="CC603" s="57" t="n">
        <f aca="false">N(M603)+N(N603)</f>
        <v>1</v>
      </c>
      <c r="CD603" s="57" t="n">
        <f aca="false">ROUNDUP(H603/BS603,0)</f>
        <v>1</v>
      </c>
      <c r="CE603" s="57" t="n">
        <f aca="false">ROUNDUP(CB603/BS603,0)</f>
        <v>0</v>
      </c>
      <c r="CF603" s="60" t="n">
        <f aca="false">IF(BT603=1,0,IFERROR(VLOOKUP(BR603,'Gebinde-Kategorie'!$A$5:$M$45,5,0)+0,0))</f>
        <v>11</v>
      </c>
      <c r="CG603" s="60" t="n">
        <f aca="false">IFERROR(IF(OR(BX603=1,BX603=2,BX603=3),N(INDEX(Parameter!$I$5:$I$7,BX603)),0),0)</f>
        <v>0</v>
      </c>
      <c r="CH603" s="59" t="n">
        <f aca="false">IF(AND(Parameter!$B$21="Ja",ISNUMBER(W603),N(X603)&gt;0),IFERROR(N(INDEX(Parameter!$L$5:$L$7,W603))*INDEX(Parameter!$E$5:$E$7,W603)*X603/SUMIFS($X$7:$X$1843,$W$7:$W$1843,W603),0),0)</f>
        <v>0</v>
      </c>
    </row>
    <row r="604" customFormat="false" ht="15" hidden="false" customHeight="false" outlineLevel="0" collapsed="false">
      <c r="A604" s="55" t="s">
        <v>1251</v>
      </c>
      <c r="B604" s="55" t="s">
        <v>949</v>
      </c>
      <c r="C604" s="55" t="s">
        <v>164</v>
      </c>
      <c r="D604" s="55" t="s">
        <v>184</v>
      </c>
      <c r="E604" s="55" t="s">
        <v>185</v>
      </c>
      <c r="F604" s="55" t="s">
        <v>218</v>
      </c>
      <c r="G604" s="56" t="n">
        <v>0.01</v>
      </c>
      <c r="H604" s="57" t="n">
        <f aca="false">MAX(0,IF(AND(Parameter!$B$21="Ja",ISNUMBER(Y604)),Y604,IF(Parameter!$B$20="Jahresanfang 2025 + Export",BL604+BK604,BK604)))</f>
        <v>741</v>
      </c>
      <c r="I604" s="57" t="n">
        <f aca="false">H604*G604</f>
        <v>7.41</v>
      </c>
      <c r="J604" s="57" t="n">
        <f aca="false">BN604*Parameter!$B$18</f>
        <v>110</v>
      </c>
      <c r="K604" s="58" t="n">
        <v>152.5</v>
      </c>
      <c r="L604" s="59" t="n">
        <v>0.721311475409836</v>
      </c>
      <c r="M604" s="57" t="n">
        <v>6</v>
      </c>
      <c r="N604" s="57" t="n">
        <v>110</v>
      </c>
      <c r="O604" s="60" t="n">
        <v>21</v>
      </c>
      <c r="P604" s="55" t="s">
        <v>476</v>
      </c>
      <c r="Q604" s="57" t="n">
        <v>1831</v>
      </c>
      <c r="R604" s="60" t="n">
        <f aca="false">IF(BT604=1,0,IFERROR(VLOOKUP(BR604,'Gebinde-Kategorie'!$A$5:$M$45,13,0)+0,0))</f>
        <v>66</v>
      </c>
      <c r="S604" s="61"/>
      <c r="T604" s="62"/>
      <c r="U604" s="62"/>
      <c r="V604" s="62"/>
      <c r="W604" s="55"/>
      <c r="X604" s="57"/>
      <c r="Y604" s="57"/>
      <c r="Z604" s="55" t="n">
        <f aca="false">IF(A604="","",IF(AND(Parameter!$B$21="Ja",ISNUMBER(W604)),W604,IF(BV604="2+3",IF(ISNUMBER(SEARCH("grosser Artikel",BO604)),2,IFERROR(VLOOKUP(BR604,Parameter!$F$35:$G$64,2,0),2)),IF(OR(BV604="Nein",BV604=""),"-",BV604))))</f>
        <v>3</v>
      </c>
      <c r="AA604" s="62"/>
      <c r="AB604" s="63"/>
      <c r="AC604" s="57" t="n">
        <f aca="false">AR604</f>
        <v>1831</v>
      </c>
      <c r="AD604" s="57" t="n">
        <f aca="false">MAX(AR604,H604)</f>
        <v>1831</v>
      </c>
      <c r="AE604" s="64"/>
      <c r="AF604" s="57" t="n">
        <f aca="false">IF(LEFT(Cockpit!$C$5,1)="A",H604,IF(CA604=1,CB604,IF(LEFT(Cockpit!$C$5,1)="B",AJ604,MAX(AJ604,H604))))</f>
        <v>741</v>
      </c>
      <c r="AG604" s="57" t="n">
        <f aca="false">IF(BT604=1,0,ROUNDUP(AF604/BS604,0))</f>
        <v>1</v>
      </c>
      <c r="AH604" s="59" t="n">
        <f aca="false">IF(CH604&gt;0,CH604*MAX(1,AF604/X604),IF(BT604=1,IF(AF604&lt;=0,0,BW604*MAX(1,IF(H604&gt;0,AF604/H604,1))),IF(R604&gt;0,AG604/R604,0))/MAX(0.1,N(Parameter!$M$21)))</f>
        <v>0.0151515151515152</v>
      </c>
      <c r="AI604" s="57" t="n">
        <f aca="false">AF604*G604</f>
        <v>7.41</v>
      </c>
      <c r="AJ604" s="57" t="n">
        <f aca="false">ROUNDUP(MAX(J604/IF(BZ604&gt;0,BZ604,MAX(0.1,N(Cockpit!$C$6))),CC604)/BS604,0)*BS604</f>
        <v>1831</v>
      </c>
      <c r="AK604" s="58" t="n">
        <f aca="false">IF(AH604&gt;0,J604/AH604,-1)</f>
        <v>7260</v>
      </c>
      <c r="AL604" s="58" t="n">
        <f aca="false">IF(AND(OR(BY604="L1",BY604="L23"),AH604&gt;0),SUMIFS($AH$7:$AH$1843,$BY$7:$BY$1843,BY604,$AK$7:$AK$1843,"&gt;"&amp;AK604)+SUMIFS($AH$7:$AH$1843,$BY$7:$BY$1843,BY604,$AK$7:$AK$1843,AK604,$BQ$7:$BQ$1843,"&lt;="&amp;BQ604),"")</f>
        <v>5.92348231478666</v>
      </c>
      <c r="AM604" s="65" t="n">
        <f aca="false">IF(AL604="",0,MAX(0,MIN(1,(IF(BY604="L1",Parameter!$E$5,Parameter!$E$6+Parameter!$E$7)-(AL604-AH604))/AH604)))</f>
        <v>1</v>
      </c>
      <c r="AN604" s="57" t="n">
        <f aca="false">IF(LEFT(Cockpit!$I$5,1)="A",H604,IF(CA604=1,CB604,IF(LEFT(Cockpit!$I$5,1)="B",AR604,MAX(AR604,H604))))</f>
        <v>1831</v>
      </c>
      <c r="AO604" s="57" t="n">
        <f aca="false">IF(BT604=1,0,ROUNDUP(AN604/BS604,0))</f>
        <v>1</v>
      </c>
      <c r="AP604" s="59" t="n">
        <f aca="false">IF(CH604&gt;0,CH604*MAX(1,AN604/X604),IF(BT604=1,IF(AN604&lt;=0,0,BW604*MAX(1,IF(H604&gt;0,AN604/H604,1))),IF(R604&gt;0,AO604/R604,0))/MAX(0.1,N(Parameter!$M$21)))</f>
        <v>0.0151515151515152</v>
      </c>
      <c r="AQ604" s="57" t="n">
        <f aca="false">AN604*G604</f>
        <v>18.31</v>
      </c>
      <c r="AR604" s="57" t="n">
        <f aca="false">ROUNDUP(MAX(J604/IF(BZ604&gt;0,BZ604,MAX(0.1,N(Cockpit!$I$6))),CC604)/BS604,0)*BS604</f>
        <v>1831</v>
      </c>
      <c r="AS604" s="58" t="n">
        <f aca="false">IF(AP604&gt;0,J604/AP604,-1)</f>
        <v>7260</v>
      </c>
      <c r="AT604" s="58" t="n">
        <f aca="false">IF(AND(OR(BY604="L1",BY604="L23"),AP604&gt;0),SUMIFS($AP$7:$AP$1843,$BY$7:$BY$1843,BY604,$AS$7:$AS$1843,"&gt;"&amp;AS604)+SUMIFS($AP$7:$AP$1843,$BY$7:$BY$1843,BY604,$AS$7:$AS$1843,AS604,$BQ$7:$BQ$1843,"&lt;="&amp;BQ604),"")</f>
        <v>9.08758150062498</v>
      </c>
      <c r="AU604" s="65" t="n">
        <f aca="false">IF(AT604="",0,MAX(0,MIN(1,(IF(BY604="L1",Parameter!$E$5,Parameter!$E$6+Parameter!$E$7)-(AT604-AP604))/AP604)))</f>
        <v>1</v>
      </c>
      <c r="AV604" s="57" t="n">
        <f aca="false">IF(LEFT(Cockpit!$O$5,1)="A",H604,IF(CA604=1,CB604,IF(LEFT(Cockpit!$O$5,1)="B",AZ604,MAX(AZ604,H604))))</f>
        <v>1831</v>
      </c>
      <c r="AW604" s="57" t="n">
        <f aca="false">IF(BT604=1,0,ROUNDUP(AV604/BS604,0))</f>
        <v>1</v>
      </c>
      <c r="AX604" s="59" t="n">
        <f aca="false">IF(CH604&gt;0,CH604*MAX(1,AV604/X604),IF(BT604=1,IF(AV604&lt;=0,0,BW604*MAX(1,IF(H604&gt;0,AV604/H604,1))),IF(R604&gt;0,AW604/R604,0))/MAX(0.1,N(Parameter!$M$21)))</f>
        <v>0.0151515151515152</v>
      </c>
      <c r="AY604" s="57" t="n">
        <f aca="false">AV604*G604</f>
        <v>18.31</v>
      </c>
      <c r="AZ604" s="57" t="n">
        <f aca="false">ROUNDUP(MAX(J604/IF(BZ604&gt;0,BZ604,MAX(0.1,N(Cockpit!$O$6))),CC604)/BS604,0)*BS604</f>
        <v>1831</v>
      </c>
      <c r="BA604" s="58" t="n">
        <f aca="false">IF(AX604&gt;0,J604/AX604,-1)</f>
        <v>7260</v>
      </c>
      <c r="BB604" s="58" t="n">
        <f aca="false">IF(AND(OR(BY604="L1",BY604="L23"),AX604&gt;0),SUMIFS($AX$7:$AX$1843,$BY$7:$BY$1843,BY604,$BA$7:$BA$1843,"&gt;"&amp;BA604)+SUMIFS($AX$7:$AX$1843,$BY$7:$BY$1843,BY604,$BA$7:$BA$1843,BA604,$BQ$7:$BQ$1843,"&lt;="&amp;BQ604),"")</f>
        <v>8.82126448430796</v>
      </c>
      <c r="BC604" s="65" t="n">
        <f aca="false">IF(BB604="",0,MAX(0,MIN(1,(IF(BY604="L1",Parameter!$E$5,Parameter!$E$6+Parameter!$E$7)-(BB604-AX604))/AX604)))</f>
        <v>1</v>
      </c>
      <c r="BD604" s="55" t="str">
        <f aca="false">IF(AH604&lt;=0,"",IF(BY604="Aussen","Aussenlager",IF(BY604="-","Nicht im Lift",IF(AM604&gt;=1,"Lift",IF(AM604&lt;=0,"Aussenlager","teilweise")))))</f>
        <v>Lift</v>
      </c>
      <c r="BE604" s="55" t="str">
        <f aca="false">IF(AP604&lt;=0,"",IF(BY604="Aussen","Aussenlager",IF(BY604="-","Nicht im Lift",IF(AU604&gt;=1,"Lift",IF(AU604&lt;=0,"Aussenlager","teilweise")))))</f>
        <v>Lift</v>
      </c>
      <c r="BF604" s="55" t="str">
        <f aca="false">IF(AX604&lt;=0,"",IF(BY604="Aussen","Aussenlager",IF(BY604="-","Nicht im Lift",IF(BC604&gt;=1,"Lift",IF(BC604&lt;=0,"Aussenlager","teilweise")))))</f>
        <v>Lift</v>
      </c>
      <c r="BG604" s="55" t="str">
        <f aca="false">IF(A604="","",IF(BP604=1,"Neu; ","")&amp;IF(AND(BP604=0,BK604&lt;0),"negativer Bestand (Export "&amp;BK604&amp;"); ","")&amp;IF(J604&lt;=0,"Kein Verbrauch; ","")&amp;IF(CH604&gt;0,"Lift "&amp;W604&amp;" lt. Liftbericht (Fach "&amp;X604&amp;" Stk); ",IF(BU604=1,"Gebinde geschätzt ("&amp;T604&amp;"); ",IF(BT604=1,"Lose – Tablare geschätzt; ","")))&amp;IF(H604&gt;AR604,"Überbestand "&amp;ROUND(H604-AR604,0)&amp;" Stk / CHF "&amp;ROUND((H604-AR604)*G604,0)&amp;"; ","")&amp;IF(AND(CA604=1,CB604&lt;CC604),"MAX &lt; MB+LG; ","")&amp;IF(AND(CG604&gt;0,CF604*10&gt;CG604),"zu hoch für Tablar; ","")&amp;IF(AND(BP604=0,OR(CA604=1,AA604&lt;&gt;"",U604&lt;&gt;"",V604&lt;&gt;"",AB604&lt;&gt;"")),"manuell übersteuert; ","")&amp;IF(AND(BT604=0,R604=0),"Gebinde unbekannt / Stellmass fehlt; ","")&amp;IF(AND(BT604=0,N(V604)&lt;=0,N(Q604)&lt;=0),"Menge pro Gebinde fehlt (Ist = 1 Gebinde); ","")&amp;BO604)</f>
        <v>Überbestand</v>
      </c>
      <c r="BH604" s="55"/>
      <c r="BI604" s="55"/>
      <c r="BJ604" s="62"/>
      <c r="BK604" s="57" t="n">
        <v>534</v>
      </c>
      <c r="BL604" s="57" t="n">
        <v>207</v>
      </c>
      <c r="BM604" s="56" t="n">
        <v>5.34</v>
      </c>
      <c r="BN604" s="57" t="n">
        <v>110</v>
      </c>
      <c r="BO604" s="55" t="s">
        <v>392</v>
      </c>
      <c r="BP604" s="60" t="n">
        <v>0</v>
      </c>
      <c r="BQ604" s="60" t="n">
        <v>604</v>
      </c>
      <c r="BR604" s="55" t="str">
        <f aca="false">IF(U604&lt;&gt;"",UPPER(TRIM(U604)),IF(BU604=1,UPPER(VLOOKUP(T604,Parameter!$I$27:$K$29,2,0)),IF(P604="","LOSE",P604)))</f>
        <v>S33</v>
      </c>
      <c r="BS604" s="57" t="n">
        <f aca="false">IF(BR604="LOSE",1,IF(N(V604)&gt;0,V604,IF(BU604=1,MAX(1,N(VLOOKUP(T604,Parameter!$I$27:$K$29,3,0)),H604,N(N604)),IF(N(Q604)&gt;0,Q604,MAX(1,H604)))))</f>
        <v>1831</v>
      </c>
      <c r="BT604" s="60" t="n">
        <f aca="false">IF(BR604="LOSE",1,0)</f>
        <v>0</v>
      </c>
      <c r="BU604" s="60" t="n">
        <f aca="false">IF(AND(U604="",OR(P604="",P604="LOSE"),T604&lt;&gt;"",N(S604)&lt;=0,ISNUMBER(MATCH(T604,Parameter!$I$27:$I$29,0))),1,0)</f>
        <v>0</v>
      </c>
      <c r="BV604" s="55" t="str">
        <f aca="false">IF(AND(Parameter!$B$19="Ja",E604&lt;&gt;"",ISNUMBER(MATCH(E604,Parameter!$I$35:$I$52,0))),VLOOKUP(E604,Parameter!$I$35:$J$52,2,0),IFERROR(VLOOKUP(D604,Parameter!$A$35:$C$64,2,0),"Nein"))</f>
        <v>2+3</v>
      </c>
      <c r="BW604" s="59" t="n">
        <f aca="false">IF(BT604=0,0,IF(N(S604)&gt;0,S604,IFERROR(VLOOKUP(D604,Parameter!$A$35:$C$64,3,0)+0,0)))</f>
        <v>0</v>
      </c>
      <c r="BX604" s="55" t="n">
        <f aca="false">IF(AA604&lt;&gt;"",AA604,Z604)</f>
        <v>3</v>
      </c>
      <c r="BY604" s="55" t="str">
        <f aca="false">IF(BX604=1,"L1",IF(OR(BX604=2,BX604=3),"L23",IF(BX604="Aussen","Aussen","-")))</f>
        <v>L23</v>
      </c>
      <c r="BZ604" s="66" t="n">
        <f aca="false">IF(N(AB604)&gt;0,AB604,0)</f>
        <v>0</v>
      </c>
      <c r="CA604" s="60" t="n">
        <f aca="false">IF(ISNUMBER(AE604),1,0)</f>
        <v>0</v>
      </c>
      <c r="CB604" s="57" t="n">
        <f aca="false">N(AE604)</f>
        <v>0</v>
      </c>
      <c r="CC604" s="57" t="n">
        <f aca="false">N(M604)+N(N604)</f>
        <v>116</v>
      </c>
      <c r="CD604" s="57" t="n">
        <f aca="false">ROUNDUP(H604/BS604,0)</f>
        <v>1</v>
      </c>
      <c r="CE604" s="57" t="n">
        <f aca="false">ROUNDUP(CB604/BS604,0)</f>
        <v>0</v>
      </c>
      <c r="CF604" s="60" t="n">
        <f aca="false">IF(BT604=1,0,IFERROR(VLOOKUP(BR604,'Gebinde-Kategorie'!$A$5:$M$45,5,0)+0,0))</f>
        <v>8</v>
      </c>
      <c r="CG604" s="60" t="n">
        <f aca="false">IFERROR(IF(OR(BX604=1,BX604=2,BX604=3),N(INDEX(Parameter!$I$5:$I$7,BX604)),0),0)</f>
        <v>0</v>
      </c>
      <c r="CH604" s="59" t="n">
        <f aca="false">IF(AND(Parameter!$B$21="Ja",ISNUMBER(W604),N(X604)&gt;0),IFERROR(N(INDEX(Parameter!$L$5:$L$7,W604))*INDEX(Parameter!$E$5:$E$7,W604)*X604/SUMIFS($X$7:$X$1843,$W$7:$W$1843,W604),0),0)</f>
        <v>0</v>
      </c>
    </row>
    <row r="605" customFormat="false" ht="15" hidden="false" customHeight="false" outlineLevel="0" collapsed="false">
      <c r="A605" s="55" t="s">
        <v>1252</v>
      </c>
      <c r="B605" s="55" t="s">
        <v>468</v>
      </c>
      <c r="C605" s="55" t="s">
        <v>164</v>
      </c>
      <c r="D605" s="55" t="s">
        <v>184</v>
      </c>
      <c r="E605" s="55" t="s">
        <v>185</v>
      </c>
      <c r="F605" s="55" t="s">
        <v>218</v>
      </c>
      <c r="G605" s="56" t="n">
        <v>0.09</v>
      </c>
      <c r="H605" s="57" t="n">
        <f aca="false">MAX(0,IF(AND(Parameter!$B$21="Ja",ISNUMBER(Y605)),Y605,IF(Parameter!$B$20="Jahresanfang 2025 + Export",BL605+BK605,BK605)))</f>
        <v>444</v>
      </c>
      <c r="I605" s="57" t="n">
        <f aca="false">H605*G605</f>
        <v>39.96</v>
      </c>
      <c r="J605" s="57" t="n">
        <f aca="false">BN605*Parameter!$B$18</f>
        <v>466</v>
      </c>
      <c r="K605" s="58" t="n">
        <v>549</v>
      </c>
      <c r="L605" s="59" t="n">
        <v>0.848816029143898</v>
      </c>
      <c r="M605" s="57" t="n">
        <v>18</v>
      </c>
      <c r="N605" s="57" t="n">
        <v>465</v>
      </c>
      <c r="O605" s="60" t="n">
        <v>14</v>
      </c>
      <c r="P605" s="55" t="s">
        <v>426</v>
      </c>
      <c r="Q605" s="57" t="n">
        <v>783</v>
      </c>
      <c r="R605" s="60" t="n">
        <f aca="false">IF(BT605=1,0,IFERROR(VLOOKUP(BR605,'Gebinde-Kategorie'!$A$5:$M$45,13,0)+0,0))</f>
        <v>198</v>
      </c>
      <c r="S605" s="61"/>
      <c r="T605" s="62"/>
      <c r="U605" s="62"/>
      <c r="V605" s="62"/>
      <c r="W605" s="55"/>
      <c r="X605" s="57"/>
      <c r="Y605" s="57"/>
      <c r="Z605" s="55" t="n">
        <f aca="false">IF(A605="","",IF(AND(Parameter!$B$21="Ja",ISNUMBER(W605)),W605,IF(BV605="2+3",IF(ISNUMBER(SEARCH("grosser Artikel",BO605)),2,IFERROR(VLOOKUP(BR605,Parameter!$F$35:$G$64,2,0),2)),IF(OR(BV605="Nein",BV605=""),"-",BV605))))</f>
        <v>3</v>
      </c>
      <c r="AA605" s="62"/>
      <c r="AB605" s="63"/>
      <c r="AC605" s="57" t="n">
        <f aca="false">AR605</f>
        <v>783</v>
      </c>
      <c r="AD605" s="57" t="n">
        <f aca="false">MAX(AR605,H605)</f>
        <v>783</v>
      </c>
      <c r="AE605" s="64"/>
      <c r="AF605" s="57" t="n">
        <f aca="false">IF(LEFT(Cockpit!$C$5,1)="A",H605,IF(CA605=1,CB605,IF(LEFT(Cockpit!$C$5,1)="B",AJ605,MAX(AJ605,H605))))</f>
        <v>444</v>
      </c>
      <c r="AG605" s="57" t="n">
        <f aca="false">IF(BT605=1,0,ROUNDUP(AF605/BS605,0))</f>
        <v>1</v>
      </c>
      <c r="AH605" s="59" t="n">
        <f aca="false">IF(CH605&gt;0,CH605*MAX(1,AF605/X605),IF(BT605=1,IF(AF605&lt;=0,0,BW605*MAX(1,IF(H605&gt;0,AF605/H605,1))),IF(R605&gt;0,AG605/R605,0))/MAX(0.1,N(Parameter!$M$21)))</f>
        <v>0.00505050505050505</v>
      </c>
      <c r="AI605" s="57" t="n">
        <f aca="false">AF605*G605</f>
        <v>39.96</v>
      </c>
      <c r="AJ605" s="57" t="n">
        <f aca="false">ROUNDUP(MAX(J605/IF(BZ605&gt;0,BZ605,MAX(0.1,N(Cockpit!$C$6))),CC605)/BS605,0)*BS605</f>
        <v>783</v>
      </c>
      <c r="AK605" s="58" t="n">
        <f aca="false">IF(AH605&gt;0,J605/AH605,-1)</f>
        <v>92268</v>
      </c>
      <c r="AL605" s="58" t="n">
        <f aca="false">IF(AND(OR(BY605="L1",BY605="L23"),AH605&gt;0),SUMIFS($AH$7:$AH$1843,$BY$7:$BY$1843,BY605,$AK$7:$AK$1843,"&gt;"&amp;AK605)+SUMIFS($AH$7:$AH$1843,$BY$7:$BY$1843,BY605,$AK$7:$AK$1843,AK605,$BQ$7:$BQ$1843,"&lt;="&amp;BQ605),"")</f>
        <v>0.813114421810074</v>
      </c>
      <c r="AM605" s="65" t="n">
        <f aca="false">IF(AL605="",0,MAX(0,MIN(1,(IF(BY605="L1",Parameter!$E$5,Parameter!$E$6+Parameter!$E$7)-(AL605-AH605))/AH605)))</f>
        <v>1</v>
      </c>
      <c r="AN605" s="57" t="n">
        <f aca="false">IF(LEFT(Cockpit!$I$5,1)="A",H605,IF(CA605=1,CB605,IF(LEFT(Cockpit!$I$5,1)="B",AR605,MAX(AR605,H605))))</f>
        <v>783</v>
      </c>
      <c r="AO605" s="57" t="n">
        <f aca="false">IF(BT605=1,0,ROUNDUP(AN605/BS605,0))</f>
        <v>1</v>
      </c>
      <c r="AP605" s="59" t="n">
        <f aca="false">IF(CH605&gt;0,CH605*MAX(1,AN605/X605),IF(BT605=1,IF(AN605&lt;=0,0,BW605*MAX(1,IF(H605&gt;0,AN605/H605,1))),IF(R605&gt;0,AO605/R605,0))/MAX(0.1,N(Parameter!$M$21)))</f>
        <v>0.00505050505050505</v>
      </c>
      <c r="AQ605" s="57" t="n">
        <f aca="false">AN605*G605</f>
        <v>70.47</v>
      </c>
      <c r="AR605" s="57" t="n">
        <f aca="false">ROUNDUP(MAX(J605/IF(BZ605&gt;0,BZ605,MAX(0.1,N(Cockpit!$I$6))),CC605)/BS605,0)*BS605</f>
        <v>783</v>
      </c>
      <c r="AS605" s="58" t="n">
        <f aca="false">IF(AP605&gt;0,J605/AP605,-1)</f>
        <v>92268</v>
      </c>
      <c r="AT605" s="58" t="n">
        <f aca="false">IF(AND(OR(BY605="L1",BY605="L23"),AP605&gt;0),SUMIFS($AP$7:$AP$1843,$BY$7:$BY$1843,BY605,$AS$7:$AS$1843,"&gt;"&amp;AS605)+SUMIFS($AP$7:$AP$1843,$BY$7:$BY$1843,BY605,$AS$7:$AS$1843,AS605,$BQ$7:$BQ$1843,"&lt;="&amp;BQ605),"")</f>
        <v>0.294626870713827</v>
      </c>
      <c r="AU605" s="65" t="n">
        <f aca="false">IF(AT605="",0,MAX(0,MIN(1,(IF(BY605="L1",Parameter!$E$5,Parameter!$E$6+Parameter!$E$7)-(AT605-AP605))/AP605)))</f>
        <v>1</v>
      </c>
      <c r="AV605" s="57" t="n">
        <f aca="false">IF(LEFT(Cockpit!$O$5,1)="A",H605,IF(CA605=1,CB605,IF(LEFT(Cockpit!$O$5,1)="B",AZ605,MAX(AZ605,H605))))</f>
        <v>783</v>
      </c>
      <c r="AW605" s="57" t="n">
        <f aca="false">IF(BT605=1,0,ROUNDUP(AV605/BS605,0))</f>
        <v>1</v>
      </c>
      <c r="AX605" s="59" t="n">
        <f aca="false">IF(CH605&gt;0,CH605*MAX(1,AV605/X605),IF(BT605=1,IF(AV605&lt;=0,0,BW605*MAX(1,IF(H605&gt;0,AV605/H605,1))),IF(R605&gt;0,AW605/R605,0))/MAX(0.1,N(Parameter!$M$21)))</f>
        <v>0.00505050505050505</v>
      </c>
      <c r="AY605" s="57" t="n">
        <f aca="false">AV605*G605</f>
        <v>70.47</v>
      </c>
      <c r="AZ605" s="57" t="n">
        <f aca="false">ROUNDUP(MAX(J605/IF(BZ605&gt;0,BZ605,MAX(0.1,N(Cockpit!$O$6))),CC605)/BS605,0)*BS605</f>
        <v>783</v>
      </c>
      <c r="BA605" s="58" t="n">
        <f aca="false">IF(AX605&gt;0,J605/AX605,-1)</f>
        <v>92268</v>
      </c>
      <c r="BB605" s="58" t="n">
        <f aca="false">IF(AND(OR(BY605="L1",BY605="L23"),AX605&gt;0),SUMIFS($AX$7:$AX$1843,$BY$7:$BY$1843,BY605,$BA$7:$BA$1843,"&gt;"&amp;BA605)+SUMIFS($AX$7:$AX$1843,$BY$7:$BY$1843,BY605,$BA$7:$BA$1843,BA605,$BQ$7:$BQ$1843,"&lt;="&amp;BQ605),"")</f>
        <v>0.371549947636904</v>
      </c>
      <c r="BC605" s="65" t="n">
        <f aca="false">IF(BB605="",0,MAX(0,MIN(1,(IF(BY605="L1",Parameter!$E$5,Parameter!$E$6+Parameter!$E$7)-(BB605-AX605))/AX605)))</f>
        <v>1</v>
      </c>
      <c r="BD605" s="55" t="str">
        <f aca="false">IF(AH605&lt;=0,"",IF(BY605="Aussen","Aussenlager",IF(BY605="-","Nicht im Lift",IF(AM605&gt;=1,"Lift",IF(AM605&lt;=0,"Aussenlager","teilweise")))))</f>
        <v>Lift</v>
      </c>
      <c r="BE605" s="55" t="str">
        <f aca="false">IF(AP605&lt;=0,"",IF(BY605="Aussen","Aussenlager",IF(BY605="-","Nicht im Lift",IF(AU605&gt;=1,"Lift",IF(AU605&lt;=0,"Aussenlager","teilweise")))))</f>
        <v>Lift</v>
      </c>
      <c r="BF605" s="55" t="str">
        <f aca="false">IF(AX605&lt;=0,"",IF(BY605="Aussen","Aussenlager",IF(BY605="-","Nicht im Lift",IF(BC605&gt;=1,"Lift",IF(BC605&lt;=0,"Aussenlager","teilweise")))))</f>
        <v>Lift</v>
      </c>
      <c r="BG605" s="55" t="str">
        <f aca="false">IF(A605="","",IF(BP605=1,"Neu; ","")&amp;IF(AND(BP605=0,BK605&lt;0),"negativer Bestand (Export "&amp;BK605&amp;"); ","")&amp;IF(J605&lt;=0,"Kein Verbrauch; ","")&amp;IF(CH605&gt;0,"Lift "&amp;W605&amp;" lt. Liftbericht (Fach "&amp;X605&amp;" Stk); ",IF(BU605=1,"Gebinde geschätzt ("&amp;T605&amp;"); ",IF(BT605=1,"Lose – Tablare geschätzt; ","")))&amp;IF(H605&gt;AR605,"Überbestand "&amp;ROUND(H605-AR605,0)&amp;" Stk / CHF "&amp;ROUND((H605-AR605)*G605,0)&amp;"; ","")&amp;IF(AND(CA605=1,CB605&lt;CC605),"MAX &lt; MB+LG; ","")&amp;IF(AND(CG605&gt;0,CF605*10&gt;CG605),"zu hoch für Tablar; ","")&amp;IF(AND(BP605=0,OR(CA605=1,AA605&lt;&gt;"",U605&lt;&gt;"",V605&lt;&gt;"",AB605&lt;&gt;"")),"manuell übersteuert; ","")&amp;IF(AND(BT605=0,R605=0),"Gebinde unbekannt / Stellmass fehlt; ","")&amp;IF(AND(BT605=0,N(V605)&lt;=0,N(Q605)&lt;=0),"Menge pro Gebinde fehlt (Ist = 1 Gebinde); ","")&amp;BO605)</f>
        <v/>
      </c>
      <c r="BH605" s="55"/>
      <c r="BI605" s="55"/>
      <c r="BJ605" s="62"/>
      <c r="BK605" s="57" t="n">
        <v>18</v>
      </c>
      <c r="BL605" s="57" t="n">
        <v>426</v>
      </c>
      <c r="BM605" s="56" t="n">
        <v>5.33999999999999</v>
      </c>
      <c r="BN605" s="57" t="n">
        <v>466</v>
      </c>
      <c r="BO605" s="55"/>
      <c r="BP605" s="60" t="n">
        <v>0</v>
      </c>
      <c r="BQ605" s="60" t="n">
        <v>605</v>
      </c>
      <c r="BR605" s="55" t="str">
        <f aca="false">IF(U605&lt;&gt;"",UPPER(TRIM(U605)),IF(BU605=1,UPPER(VLOOKUP(T605,Parameter!$I$27:$K$29,2,0)),IF(P605="","LOSE",P605)))</f>
        <v>S22</v>
      </c>
      <c r="BS605" s="57" t="n">
        <f aca="false">IF(BR605="LOSE",1,IF(N(V605)&gt;0,V605,IF(BU605=1,MAX(1,N(VLOOKUP(T605,Parameter!$I$27:$K$29,3,0)),H605,N(N605)),IF(N(Q605)&gt;0,Q605,MAX(1,H605)))))</f>
        <v>783</v>
      </c>
      <c r="BT605" s="60" t="n">
        <f aca="false">IF(BR605="LOSE",1,0)</f>
        <v>0</v>
      </c>
      <c r="BU605" s="60" t="n">
        <f aca="false">IF(AND(U605="",OR(P605="",P605="LOSE"),T605&lt;&gt;"",N(S605)&lt;=0,ISNUMBER(MATCH(T605,Parameter!$I$27:$I$29,0))),1,0)</f>
        <v>0</v>
      </c>
      <c r="BV605" s="55" t="str">
        <f aca="false">IF(AND(Parameter!$B$19="Ja",E605&lt;&gt;"",ISNUMBER(MATCH(E605,Parameter!$I$35:$I$52,0))),VLOOKUP(E605,Parameter!$I$35:$J$52,2,0),IFERROR(VLOOKUP(D605,Parameter!$A$35:$C$64,2,0),"Nein"))</f>
        <v>2+3</v>
      </c>
      <c r="BW605" s="59" t="n">
        <f aca="false">IF(BT605=0,0,IF(N(S605)&gt;0,S605,IFERROR(VLOOKUP(D605,Parameter!$A$35:$C$64,3,0)+0,0)))</f>
        <v>0</v>
      </c>
      <c r="BX605" s="55" t="n">
        <f aca="false">IF(AA605&lt;&gt;"",AA605,Z605)</f>
        <v>3</v>
      </c>
      <c r="BY605" s="55" t="str">
        <f aca="false">IF(BX605=1,"L1",IF(OR(BX605=2,BX605=3),"L23",IF(BX605="Aussen","Aussen","-")))</f>
        <v>L23</v>
      </c>
      <c r="BZ605" s="66" t="n">
        <f aca="false">IF(N(AB605)&gt;0,AB605,0)</f>
        <v>0</v>
      </c>
      <c r="CA605" s="60" t="n">
        <f aca="false">IF(ISNUMBER(AE605),1,0)</f>
        <v>0</v>
      </c>
      <c r="CB605" s="57" t="n">
        <f aca="false">N(AE605)</f>
        <v>0</v>
      </c>
      <c r="CC605" s="57" t="n">
        <f aca="false">N(M605)+N(N605)</f>
        <v>483</v>
      </c>
      <c r="CD605" s="57" t="n">
        <f aca="false">ROUNDUP(H605/BS605,0)</f>
        <v>1</v>
      </c>
      <c r="CE605" s="57" t="n">
        <f aca="false">ROUNDUP(CB605/BS605,0)</f>
        <v>0</v>
      </c>
      <c r="CF605" s="60" t="n">
        <f aca="false">IF(BT605=1,0,IFERROR(VLOOKUP(BR605,'Gebinde-Kategorie'!$A$5:$M$45,5,0)+0,0))</f>
        <v>8</v>
      </c>
      <c r="CG605" s="60" t="n">
        <f aca="false">IFERROR(IF(OR(BX605=1,BX605=2,BX605=3),N(INDEX(Parameter!$I$5:$I$7,BX605)),0),0)</f>
        <v>0</v>
      </c>
      <c r="CH605" s="59" t="n">
        <f aca="false">IF(AND(Parameter!$B$21="Ja",ISNUMBER(W605),N(X605)&gt;0),IFERROR(N(INDEX(Parameter!$L$5:$L$7,W605))*INDEX(Parameter!$E$5:$E$7,W605)*X605/SUMIFS($X$7:$X$1843,$W$7:$W$1843,W605),0),0)</f>
        <v>0</v>
      </c>
    </row>
    <row r="606" customFormat="false" ht="15" hidden="false" customHeight="false" outlineLevel="0" collapsed="false">
      <c r="A606" s="55" t="s">
        <v>1253</v>
      </c>
      <c r="B606" s="55" t="s">
        <v>1254</v>
      </c>
      <c r="C606" s="55" t="s">
        <v>164</v>
      </c>
      <c r="D606" s="55" t="s">
        <v>184</v>
      </c>
      <c r="E606" s="55" t="s">
        <v>185</v>
      </c>
      <c r="F606" s="55" t="s">
        <v>218</v>
      </c>
      <c r="G606" s="56" t="n">
        <v>0.03</v>
      </c>
      <c r="H606" s="57" t="n">
        <f aca="false">MAX(0,IF(AND(Parameter!$B$21="Ja",ISNUMBER(Y606)),Y606,IF(Parameter!$B$20="Jahresanfang 2025 + Export",BL606+BK606,BK606)))</f>
        <v>448</v>
      </c>
      <c r="I606" s="57" t="n">
        <f aca="false">H606*G606</f>
        <v>13.44</v>
      </c>
      <c r="J606" s="57" t="n">
        <f aca="false">BN606*Parameter!$B$18</f>
        <v>302</v>
      </c>
      <c r="K606" s="58" t="n">
        <v>220.5</v>
      </c>
      <c r="L606" s="59" t="n">
        <v>1.36961451247166</v>
      </c>
      <c r="M606" s="57" t="n">
        <v>17</v>
      </c>
      <c r="N606" s="57" t="n">
        <v>500</v>
      </c>
      <c r="O606" s="60" t="n">
        <v>21</v>
      </c>
      <c r="P606" s="55" t="s">
        <v>426</v>
      </c>
      <c r="Q606" s="57" t="n">
        <v>300</v>
      </c>
      <c r="R606" s="60" t="n">
        <f aca="false">IF(BT606=1,0,IFERROR(VLOOKUP(BR606,'Gebinde-Kategorie'!$A$5:$M$45,13,0)+0,0))</f>
        <v>198</v>
      </c>
      <c r="S606" s="61"/>
      <c r="T606" s="62"/>
      <c r="U606" s="62"/>
      <c r="V606" s="62"/>
      <c r="W606" s="55"/>
      <c r="X606" s="57"/>
      <c r="Y606" s="57"/>
      <c r="Z606" s="55" t="n">
        <f aca="false">IF(A606="","",IF(AND(Parameter!$B$21="Ja",ISNUMBER(W606)),W606,IF(BV606="2+3",IF(ISNUMBER(SEARCH("grosser Artikel",BO606)),2,IFERROR(VLOOKUP(BR606,Parameter!$F$35:$G$64,2,0),2)),IF(OR(BV606="Nein",BV606=""),"-",BV606))))</f>
        <v>3</v>
      </c>
      <c r="AA606" s="62"/>
      <c r="AB606" s="63"/>
      <c r="AC606" s="57" t="n">
        <f aca="false">AR606</f>
        <v>600</v>
      </c>
      <c r="AD606" s="57" t="n">
        <f aca="false">MAX(AR606,H606)</f>
        <v>600</v>
      </c>
      <c r="AE606" s="64"/>
      <c r="AF606" s="57" t="n">
        <f aca="false">IF(LEFT(Cockpit!$C$5,1)="A",H606,IF(CA606=1,CB606,IF(LEFT(Cockpit!$C$5,1)="B",AJ606,MAX(AJ606,H606))))</f>
        <v>448</v>
      </c>
      <c r="AG606" s="57" t="n">
        <f aca="false">IF(BT606=1,0,ROUNDUP(AF606/BS606,0))</f>
        <v>2</v>
      </c>
      <c r="AH606" s="59" t="n">
        <f aca="false">IF(CH606&gt;0,CH606*MAX(1,AF606/X606),IF(BT606=1,IF(AF606&lt;=0,0,BW606*MAX(1,IF(H606&gt;0,AF606/H606,1))),IF(R606&gt;0,AG606/R606,0))/MAX(0.1,N(Parameter!$M$21)))</f>
        <v>0.0101010101010101</v>
      </c>
      <c r="AI606" s="57" t="n">
        <f aca="false">AF606*G606</f>
        <v>13.44</v>
      </c>
      <c r="AJ606" s="57" t="n">
        <f aca="false">ROUNDUP(MAX(J606/IF(BZ606&gt;0,BZ606,MAX(0.1,N(Cockpit!$C$6))),CC606)/BS606,0)*BS606</f>
        <v>600</v>
      </c>
      <c r="AK606" s="58" t="n">
        <f aca="false">IF(AH606&gt;0,J606/AH606,-1)</f>
        <v>29898</v>
      </c>
      <c r="AL606" s="58" t="n">
        <f aca="false">IF(AND(OR(BY606="L1",BY606="L23"),AH606&gt;0),SUMIFS($AH$7:$AH$1843,$BY$7:$BY$1843,BY606,$AK$7:$AK$1843,"&gt;"&amp;AK606)+SUMIFS($AH$7:$AH$1843,$BY$7:$BY$1843,BY606,$AK$7:$AK$1843,AK606,$BQ$7:$BQ$1843,"&lt;="&amp;BQ606),"")</f>
        <v>2.37612749569271</v>
      </c>
      <c r="AM606" s="65" t="n">
        <f aca="false">IF(AL606="",0,MAX(0,MIN(1,(IF(BY606="L1",Parameter!$E$5,Parameter!$E$6+Parameter!$E$7)-(AL606-AH606))/AH606)))</f>
        <v>1</v>
      </c>
      <c r="AN606" s="57" t="n">
        <f aca="false">IF(LEFT(Cockpit!$I$5,1)="A",H606,IF(CA606=1,CB606,IF(LEFT(Cockpit!$I$5,1)="B",AR606,MAX(AR606,H606))))</f>
        <v>600</v>
      </c>
      <c r="AO606" s="57" t="n">
        <f aca="false">IF(BT606=1,0,ROUNDUP(AN606/BS606,0))</f>
        <v>2</v>
      </c>
      <c r="AP606" s="59" t="n">
        <f aca="false">IF(CH606&gt;0,CH606*MAX(1,AN606/X606),IF(BT606=1,IF(AN606&lt;=0,0,BW606*MAX(1,IF(H606&gt;0,AN606/H606,1))),IF(R606&gt;0,AO606/R606,0))/MAX(0.1,N(Parameter!$M$21)))</f>
        <v>0.0101010101010101</v>
      </c>
      <c r="AQ606" s="57" t="n">
        <f aca="false">AN606*G606</f>
        <v>18</v>
      </c>
      <c r="AR606" s="57" t="n">
        <f aca="false">ROUNDUP(MAX(J606/IF(BZ606&gt;0,BZ606,MAX(0.1,N(Cockpit!$I$6))),CC606)/BS606,0)*BS606</f>
        <v>600</v>
      </c>
      <c r="AS606" s="58" t="n">
        <f aca="false">IF(AP606&gt;0,J606/AP606,-1)</f>
        <v>29898</v>
      </c>
      <c r="AT606" s="58" t="n">
        <f aca="false">IF(AND(OR(BY606="L1",BY606="L23"),AP606&gt;0),SUMIFS($AP$7:$AP$1843,$BY$7:$BY$1843,BY606,$AS$7:$AS$1843,"&gt;"&amp;AS606)+SUMIFS($AP$7:$AP$1843,$BY$7:$BY$1843,BY606,$AS$7:$AS$1843,AS606,$BQ$7:$BQ$1843,"&lt;="&amp;BQ606),"")</f>
        <v>3.14544272152968</v>
      </c>
      <c r="AU606" s="65" t="n">
        <f aca="false">IF(AT606="",0,MAX(0,MIN(1,(IF(BY606="L1",Parameter!$E$5,Parameter!$E$6+Parameter!$E$7)-(AT606-AP606))/AP606)))</f>
        <v>1</v>
      </c>
      <c r="AV606" s="57" t="n">
        <f aca="false">IF(LEFT(Cockpit!$O$5,1)="A",H606,IF(CA606=1,CB606,IF(LEFT(Cockpit!$O$5,1)="B",AZ606,MAX(AZ606,H606))))</f>
        <v>600</v>
      </c>
      <c r="AW606" s="57" t="n">
        <f aca="false">IF(BT606=1,0,ROUNDUP(AV606/BS606,0))</f>
        <v>2</v>
      </c>
      <c r="AX606" s="59" t="n">
        <f aca="false">IF(CH606&gt;0,CH606*MAX(1,AV606/X606),IF(BT606=1,IF(AV606&lt;=0,0,BW606*MAX(1,IF(H606&gt;0,AV606/H606,1))),IF(R606&gt;0,AW606/R606,0))/MAX(0.1,N(Parameter!$M$21)))</f>
        <v>0.0101010101010101</v>
      </c>
      <c r="AY606" s="57" t="n">
        <f aca="false">AV606*G606</f>
        <v>18</v>
      </c>
      <c r="AZ606" s="57" t="n">
        <f aca="false">ROUNDUP(MAX(J606/IF(BZ606&gt;0,BZ606,MAX(0.1,N(Cockpit!$O$6))),CC606)/BS606,0)*BS606</f>
        <v>600</v>
      </c>
      <c r="BA606" s="58" t="n">
        <f aca="false">IF(AX606&gt;0,J606/AX606,-1)</f>
        <v>29898</v>
      </c>
      <c r="BB606" s="58" t="n">
        <f aca="false">IF(AND(OR(BY606="L1",BY606="L23"),AX606&gt;0),SUMIFS($AX$7:$AX$1843,$BY$7:$BY$1843,BY606,$BA$7:$BA$1843,"&gt;"&amp;BA606)+SUMIFS($AX$7:$AX$1843,$BY$7:$BY$1843,BY606,$BA$7:$BA$1843,BA606,$BQ$7:$BQ$1843,"&lt;="&amp;BQ606),"")</f>
        <v>2.87504645113341</v>
      </c>
      <c r="BC606" s="65" t="n">
        <f aca="false">IF(BB606="",0,MAX(0,MIN(1,(IF(BY606="L1",Parameter!$E$5,Parameter!$E$6+Parameter!$E$7)-(BB606-AX606))/AX606)))</f>
        <v>1</v>
      </c>
      <c r="BD606" s="55" t="str">
        <f aca="false">IF(AH606&lt;=0,"",IF(BY606="Aussen","Aussenlager",IF(BY606="-","Nicht im Lift",IF(AM606&gt;=1,"Lift",IF(AM606&lt;=0,"Aussenlager","teilweise")))))</f>
        <v>Lift</v>
      </c>
      <c r="BE606" s="55" t="str">
        <f aca="false">IF(AP606&lt;=0,"",IF(BY606="Aussen","Aussenlager",IF(BY606="-","Nicht im Lift",IF(AU606&gt;=1,"Lift",IF(AU606&lt;=0,"Aussenlager","teilweise")))))</f>
        <v>Lift</v>
      </c>
      <c r="BF606" s="55" t="str">
        <f aca="false">IF(AX606&lt;=0,"",IF(BY606="Aussen","Aussenlager",IF(BY606="-","Nicht im Lift",IF(BC606&gt;=1,"Lift",IF(BC606&lt;=0,"Aussenlager","teilweise")))))</f>
        <v>Lift</v>
      </c>
      <c r="BG606" s="55" t="str">
        <f aca="false">IF(A606="","",IF(BP606=1,"Neu; ","")&amp;IF(AND(BP606=0,BK606&lt;0),"negativer Bestand (Export "&amp;BK606&amp;"); ","")&amp;IF(J606&lt;=0,"Kein Verbrauch; ","")&amp;IF(CH606&gt;0,"Lift "&amp;W606&amp;" lt. Liftbericht (Fach "&amp;X606&amp;" Stk); ",IF(BU606=1,"Gebinde geschätzt ("&amp;T606&amp;"); ",IF(BT606=1,"Lose – Tablare geschätzt; ","")))&amp;IF(H606&gt;AR606,"Überbestand "&amp;ROUND(H606-AR606,0)&amp;" Stk / CHF "&amp;ROUND((H606-AR606)*G606,0)&amp;"; ","")&amp;IF(AND(CA606=1,CB606&lt;CC606),"MAX &lt; MB+LG; ","")&amp;IF(AND(CG606&gt;0,CF606*10&gt;CG606),"zu hoch für Tablar; ","")&amp;IF(AND(BP606=0,OR(CA606=1,AA606&lt;&gt;"",U606&lt;&gt;"",V606&lt;&gt;"",AB606&lt;&gt;"")),"manuell übersteuert; ","")&amp;IF(AND(BT606=0,R606=0),"Gebinde unbekannt / Stellmass fehlt; ","")&amp;IF(AND(BT606=0,N(V606)&lt;=0,N(Q606)&lt;=0),"Menge pro Gebinde fehlt (Ist = 1 Gebinde); ","")&amp;BO606)</f>
        <v>nicht im KTL vorhanden</v>
      </c>
      <c r="BH606" s="55"/>
      <c r="BI606" s="55"/>
      <c r="BJ606" s="62"/>
      <c r="BK606" s="57" t="n">
        <v>175</v>
      </c>
      <c r="BL606" s="57" t="n">
        <v>273</v>
      </c>
      <c r="BM606" s="56" t="n">
        <v>5.25</v>
      </c>
      <c r="BN606" s="57" t="n">
        <v>302</v>
      </c>
      <c r="BO606" s="55" t="s">
        <v>230</v>
      </c>
      <c r="BP606" s="60" t="n">
        <v>0</v>
      </c>
      <c r="BQ606" s="60" t="n">
        <v>606</v>
      </c>
      <c r="BR606" s="55" t="str">
        <f aca="false">IF(U606&lt;&gt;"",UPPER(TRIM(U606)),IF(BU606=1,UPPER(VLOOKUP(T606,Parameter!$I$27:$K$29,2,0)),IF(P606="","LOSE",P606)))</f>
        <v>S22</v>
      </c>
      <c r="BS606" s="57" t="n">
        <f aca="false">IF(BR606="LOSE",1,IF(N(V606)&gt;0,V606,IF(BU606=1,MAX(1,N(VLOOKUP(T606,Parameter!$I$27:$K$29,3,0)),H606,N(N606)),IF(N(Q606)&gt;0,Q606,MAX(1,H606)))))</f>
        <v>300</v>
      </c>
      <c r="BT606" s="60" t="n">
        <f aca="false">IF(BR606="LOSE",1,0)</f>
        <v>0</v>
      </c>
      <c r="BU606" s="60" t="n">
        <f aca="false">IF(AND(U606="",OR(P606="",P606="LOSE"),T606&lt;&gt;"",N(S606)&lt;=0,ISNUMBER(MATCH(T606,Parameter!$I$27:$I$29,0))),1,0)</f>
        <v>0</v>
      </c>
      <c r="BV606" s="55" t="str">
        <f aca="false">IF(AND(Parameter!$B$19="Ja",E606&lt;&gt;"",ISNUMBER(MATCH(E606,Parameter!$I$35:$I$52,0))),VLOOKUP(E606,Parameter!$I$35:$J$52,2,0),IFERROR(VLOOKUP(D606,Parameter!$A$35:$C$64,2,0),"Nein"))</f>
        <v>2+3</v>
      </c>
      <c r="BW606" s="59" t="n">
        <f aca="false">IF(BT606=0,0,IF(N(S606)&gt;0,S606,IFERROR(VLOOKUP(D606,Parameter!$A$35:$C$64,3,0)+0,0)))</f>
        <v>0</v>
      </c>
      <c r="BX606" s="55" t="n">
        <f aca="false">IF(AA606&lt;&gt;"",AA606,Z606)</f>
        <v>3</v>
      </c>
      <c r="BY606" s="55" t="str">
        <f aca="false">IF(BX606=1,"L1",IF(OR(BX606=2,BX606=3),"L23",IF(BX606="Aussen","Aussen","-")))</f>
        <v>L23</v>
      </c>
      <c r="BZ606" s="66" t="n">
        <f aca="false">IF(N(AB606)&gt;0,AB606,0)</f>
        <v>0</v>
      </c>
      <c r="CA606" s="60" t="n">
        <f aca="false">IF(ISNUMBER(AE606),1,0)</f>
        <v>0</v>
      </c>
      <c r="CB606" s="57" t="n">
        <f aca="false">N(AE606)</f>
        <v>0</v>
      </c>
      <c r="CC606" s="57" t="n">
        <f aca="false">N(M606)+N(N606)</f>
        <v>517</v>
      </c>
      <c r="CD606" s="57" t="n">
        <f aca="false">ROUNDUP(H606/BS606,0)</f>
        <v>2</v>
      </c>
      <c r="CE606" s="57" t="n">
        <f aca="false">ROUNDUP(CB606/BS606,0)</f>
        <v>0</v>
      </c>
      <c r="CF606" s="60" t="n">
        <f aca="false">IF(BT606=1,0,IFERROR(VLOOKUP(BR606,'Gebinde-Kategorie'!$A$5:$M$45,5,0)+0,0))</f>
        <v>8</v>
      </c>
      <c r="CG606" s="60" t="n">
        <f aca="false">IFERROR(IF(OR(BX606=1,BX606=2,BX606=3),N(INDEX(Parameter!$I$5:$I$7,BX606)),0),0)</f>
        <v>0</v>
      </c>
      <c r="CH606" s="59" t="n">
        <f aca="false">IF(AND(Parameter!$B$21="Ja",ISNUMBER(W606),N(X606)&gt;0),IFERROR(N(INDEX(Parameter!$L$5:$L$7,W606))*INDEX(Parameter!$E$5:$E$7,W606)*X606/SUMIFS($X$7:$X$1843,$W$7:$W$1843,W606),0),0)</f>
        <v>0</v>
      </c>
    </row>
    <row r="607" customFormat="false" ht="15" hidden="false" customHeight="false" outlineLevel="0" collapsed="false">
      <c r="A607" s="55" t="s">
        <v>1255</v>
      </c>
      <c r="B607" s="55" t="s">
        <v>468</v>
      </c>
      <c r="C607" s="55" t="s">
        <v>164</v>
      </c>
      <c r="D607" s="55" t="s">
        <v>184</v>
      </c>
      <c r="E607" s="55" t="s">
        <v>185</v>
      </c>
      <c r="F607" s="55" t="s">
        <v>218</v>
      </c>
      <c r="G607" s="56" t="n">
        <v>0.2</v>
      </c>
      <c r="H607" s="57" t="n">
        <f aca="false">MAX(0,IF(AND(Parameter!$B$21="Ja",ISNUMBER(Y607)),Y607,IF(Parameter!$B$20="Jahresanfang 2025 + Export",BL607+BK607,BK607)))</f>
        <v>155</v>
      </c>
      <c r="I607" s="57" t="n">
        <f aca="false">H607*G607</f>
        <v>31</v>
      </c>
      <c r="J607" s="57" t="n">
        <f aca="false">BN607*Parameter!$B$18</f>
        <v>266</v>
      </c>
      <c r="K607" s="58" t="n">
        <v>114.5</v>
      </c>
      <c r="L607" s="59" t="n">
        <v>2.32314410480349</v>
      </c>
      <c r="M607" s="57" t="n">
        <v>10</v>
      </c>
      <c r="N607" s="57" t="n">
        <v>265</v>
      </c>
      <c r="O607" s="60" t="n">
        <v>14</v>
      </c>
      <c r="P607" s="55" t="s">
        <v>421</v>
      </c>
      <c r="Q607" s="57" t="n">
        <v>612</v>
      </c>
      <c r="R607" s="60" t="n">
        <f aca="false">IF(BT607=1,0,IFERROR(VLOOKUP(BR607,'Gebinde-Kategorie'!$A$5:$M$45,13,0)+0,0))</f>
        <v>132</v>
      </c>
      <c r="S607" s="61"/>
      <c r="T607" s="62"/>
      <c r="U607" s="62"/>
      <c r="V607" s="62"/>
      <c r="W607" s="55"/>
      <c r="X607" s="57"/>
      <c r="Y607" s="57"/>
      <c r="Z607" s="55" t="n">
        <f aca="false">IF(A607="","",IF(AND(Parameter!$B$21="Ja",ISNUMBER(W607)),W607,IF(BV607="2+3",IF(ISNUMBER(SEARCH("grosser Artikel",BO607)),2,IFERROR(VLOOKUP(BR607,Parameter!$F$35:$G$64,2,0),2)),IF(OR(BV607="Nein",BV607=""),"-",BV607))))</f>
        <v>3</v>
      </c>
      <c r="AA607" s="62"/>
      <c r="AB607" s="63"/>
      <c r="AC607" s="57" t="n">
        <f aca="false">AR607</f>
        <v>612</v>
      </c>
      <c r="AD607" s="57" t="n">
        <f aca="false">MAX(AR607,H607)</f>
        <v>612</v>
      </c>
      <c r="AE607" s="64"/>
      <c r="AF607" s="57" t="n">
        <f aca="false">IF(LEFT(Cockpit!$C$5,1)="A",H607,IF(CA607=1,CB607,IF(LEFT(Cockpit!$C$5,1)="B",AJ607,MAX(AJ607,H607))))</f>
        <v>155</v>
      </c>
      <c r="AG607" s="57" t="n">
        <f aca="false">IF(BT607=1,0,ROUNDUP(AF607/BS607,0))</f>
        <v>1</v>
      </c>
      <c r="AH607" s="59" t="n">
        <f aca="false">IF(CH607&gt;0,CH607*MAX(1,AF607/X607),IF(BT607=1,IF(AF607&lt;=0,0,BW607*MAX(1,IF(H607&gt;0,AF607/H607,1))),IF(R607&gt;0,AG607/R607,0))/MAX(0.1,N(Parameter!$M$21)))</f>
        <v>0.00757575757575758</v>
      </c>
      <c r="AI607" s="57" t="n">
        <f aca="false">AF607*G607</f>
        <v>31</v>
      </c>
      <c r="AJ607" s="57" t="n">
        <f aca="false">ROUNDUP(MAX(J607/IF(BZ607&gt;0,BZ607,MAX(0.1,N(Cockpit!$C$6))),CC607)/BS607,0)*BS607</f>
        <v>612</v>
      </c>
      <c r="AK607" s="58" t="n">
        <f aca="false">IF(AH607&gt;0,J607/AH607,-1)</f>
        <v>35112</v>
      </c>
      <c r="AL607" s="58" t="n">
        <f aca="false">IF(AND(OR(BY607="L1",BY607="L23"),AH607&gt;0),SUMIFS($AH$7:$AH$1843,$BY$7:$BY$1843,BY607,$AK$7:$AK$1843,"&gt;"&amp;AK607)+SUMIFS($AH$7:$AH$1843,$BY$7:$BY$1843,BY607,$AK$7:$AK$1843,AK607,$BQ$7:$BQ$1843,"&lt;="&amp;BQ607),"")</f>
        <v>2.11730178034526</v>
      </c>
      <c r="AM607" s="65" t="n">
        <f aca="false">IF(AL607="",0,MAX(0,MIN(1,(IF(BY607="L1",Parameter!$E$5,Parameter!$E$6+Parameter!$E$7)-(AL607-AH607))/AH607)))</f>
        <v>1</v>
      </c>
      <c r="AN607" s="57" t="n">
        <f aca="false">IF(LEFT(Cockpit!$I$5,1)="A",H607,IF(CA607=1,CB607,IF(LEFT(Cockpit!$I$5,1)="B",AR607,MAX(AR607,H607))))</f>
        <v>612</v>
      </c>
      <c r="AO607" s="57" t="n">
        <f aca="false">IF(BT607=1,0,ROUNDUP(AN607/BS607,0))</f>
        <v>1</v>
      </c>
      <c r="AP607" s="59" t="n">
        <f aca="false">IF(CH607&gt;0,CH607*MAX(1,AN607/X607),IF(BT607=1,IF(AN607&lt;=0,0,BW607*MAX(1,IF(H607&gt;0,AN607/H607,1))),IF(R607&gt;0,AO607/R607,0))/MAX(0.1,N(Parameter!$M$21)))</f>
        <v>0.00757575757575758</v>
      </c>
      <c r="AQ607" s="57" t="n">
        <f aca="false">AN607*G607</f>
        <v>122.4</v>
      </c>
      <c r="AR607" s="57" t="n">
        <f aca="false">ROUNDUP(MAX(J607/IF(BZ607&gt;0,BZ607,MAX(0.1,N(Cockpit!$I$6))),CC607)/BS607,0)*BS607</f>
        <v>612</v>
      </c>
      <c r="AS607" s="58" t="n">
        <f aca="false">IF(AP607&gt;0,J607/AP607,-1)</f>
        <v>35112</v>
      </c>
      <c r="AT607" s="58" t="n">
        <f aca="false">IF(AND(OR(BY607="L1",BY607="L23"),AP607&gt;0),SUMIFS($AP$7:$AP$1843,$BY$7:$BY$1843,BY607,$AS$7:$AS$1843,"&gt;"&amp;AS607)+SUMIFS($AP$7:$AP$1843,$BY$7:$BY$1843,BY607,$AS$7:$AS$1843,AS607,$BQ$7:$BQ$1843,"&lt;="&amp;BQ607),"")</f>
        <v>2.67974054930577</v>
      </c>
      <c r="AU607" s="65" t="n">
        <f aca="false">IF(AT607="",0,MAX(0,MIN(1,(IF(BY607="L1",Parameter!$E$5,Parameter!$E$6+Parameter!$E$7)-(AT607-AP607))/AP607)))</f>
        <v>1</v>
      </c>
      <c r="AV607" s="57" t="n">
        <f aca="false">IF(LEFT(Cockpit!$O$5,1)="A",H607,IF(CA607=1,CB607,IF(LEFT(Cockpit!$O$5,1)="B",AZ607,MAX(AZ607,H607))))</f>
        <v>612</v>
      </c>
      <c r="AW607" s="57" t="n">
        <f aca="false">IF(BT607=1,0,ROUNDUP(AV607/BS607,0))</f>
        <v>1</v>
      </c>
      <c r="AX607" s="59" t="n">
        <f aca="false">IF(CH607&gt;0,CH607*MAX(1,AV607/X607),IF(BT607=1,IF(AV607&lt;=0,0,BW607*MAX(1,IF(H607&gt;0,AV607/H607,1))),IF(R607&gt;0,AW607/R607,0))/MAX(0.1,N(Parameter!$M$21)))</f>
        <v>0.00757575757575758</v>
      </c>
      <c r="AY607" s="57" t="n">
        <f aca="false">AV607*G607</f>
        <v>122.4</v>
      </c>
      <c r="AZ607" s="57" t="n">
        <f aca="false">ROUNDUP(MAX(J607/IF(BZ607&gt;0,BZ607,MAX(0.1,N(Cockpit!$O$6))),CC607)/BS607,0)*BS607</f>
        <v>612</v>
      </c>
      <c r="BA607" s="58" t="n">
        <f aca="false">IF(AX607&gt;0,J607/AX607,-1)</f>
        <v>35112</v>
      </c>
      <c r="BB607" s="58" t="n">
        <f aca="false">IF(AND(OR(BY607="L1",BY607="L23"),AX607&gt;0),SUMIFS($AX$7:$AX$1843,$BY$7:$BY$1843,BY607,$BA$7:$BA$1843,"&gt;"&amp;BA607)+SUMIFS($AX$7:$AX$1843,$BY$7:$BY$1843,BY607,$BA$7:$BA$1843,BA607,$BQ$7:$BQ$1843,"&lt;="&amp;BQ607),"")</f>
        <v>2.44780581737104</v>
      </c>
      <c r="BC607" s="65" t="n">
        <f aca="false">IF(BB607="",0,MAX(0,MIN(1,(IF(BY607="L1",Parameter!$E$5,Parameter!$E$6+Parameter!$E$7)-(BB607-AX607))/AX607)))</f>
        <v>1</v>
      </c>
      <c r="BD607" s="55" t="str">
        <f aca="false">IF(AH607&lt;=0,"",IF(BY607="Aussen","Aussenlager",IF(BY607="-","Nicht im Lift",IF(AM607&gt;=1,"Lift",IF(AM607&lt;=0,"Aussenlager","teilweise")))))</f>
        <v>Lift</v>
      </c>
      <c r="BE607" s="55" t="str">
        <f aca="false">IF(AP607&lt;=0,"",IF(BY607="Aussen","Aussenlager",IF(BY607="-","Nicht im Lift",IF(AU607&gt;=1,"Lift",IF(AU607&lt;=0,"Aussenlager","teilweise")))))</f>
        <v>Lift</v>
      </c>
      <c r="BF607" s="55" t="str">
        <f aca="false">IF(AX607&lt;=0,"",IF(BY607="Aussen","Aussenlager",IF(BY607="-","Nicht im Lift",IF(BC607&gt;=1,"Lift",IF(BC607&lt;=0,"Aussenlager","teilweise")))))</f>
        <v>Lift</v>
      </c>
      <c r="BG607" s="55" t="str">
        <f aca="false">IF(A607="","",IF(BP607=1,"Neu; ","")&amp;IF(AND(BP607=0,BK607&lt;0),"negativer Bestand (Export "&amp;BK607&amp;"); ","")&amp;IF(J607&lt;=0,"Kein Verbrauch; ","")&amp;IF(CH607&gt;0,"Lift "&amp;W607&amp;" lt. Liftbericht (Fach "&amp;X607&amp;" Stk); ",IF(BU607=1,"Gebinde geschätzt ("&amp;T607&amp;"); ",IF(BT607=1,"Lose – Tablare geschätzt; ","")))&amp;IF(H607&gt;AR607,"Überbestand "&amp;ROUND(H607-AR607,0)&amp;" Stk / CHF "&amp;ROUND((H607-AR607)*G607,0)&amp;"; ","")&amp;IF(AND(CA607=1,CB607&lt;CC607),"MAX &lt; MB+LG; ","")&amp;IF(AND(CG607&gt;0,CF607*10&gt;CG607),"zu hoch für Tablar; ","")&amp;IF(AND(BP607=0,OR(CA607=1,AA607&lt;&gt;"",U607&lt;&gt;"",V607&lt;&gt;"",AB607&lt;&gt;"")),"manuell übersteuert; ","")&amp;IF(AND(BT607=0,R607=0),"Gebinde unbekannt / Stellmass fehlt; ","")&amp;IF(AND(BT607=0,N(V607)&lt;=0,N(Q607)&lt;=0),"Menge pro Gebinde fehlt (Ist = 1 Gebinde); ","")&amp;BO607)</f>
        <v/>
      </c>
      <c r="BH607" s="55"/>
      <c r="BI607" s="55"/>
      <c r="BJ607" s="62"/>
      <c r="BK607" s="57" t="n">
        <v>26</v>
      </c>
      <c r="BL607" s="57" t="n">
        <v>129</v>
      </c>
      <c r="BM607" s="56" t="n">
        <v>5.19999999999998</v>
      </c>
      <c r="BN607" s="57" t="n">
        <v>266</v>
      </c>
      <c r="BO607" s="55"/>
      <c r="BP607" s="60" t="n">
        <v>0</v>
      </c>
      <c r="BQ607" s="60" t="n">
        <v>607</v>
      </c>
      <c r="BR607" s="55" t="str">
        <f aca="false">IF(U607&lt;&gt;"",UPPER(TRIM(U607)),IF(BU607=1,UPPER(VLOOKUP(T607,Parameter!$I$27:$K$29,2,0)),IF(P607="","LOSE",P607)))</f>
        <v>S32</v>
      </c>
      <c r="BS607" s="57" t="n">
        <f aca="false">IF(BR607="LOSE",1,IF(N(V607)&gt;0,V607,IF(BU607=1,MAX(1,N(VLOOKUP(T607,Parameter!$I$27:$K$29,3,0)),H607,N(N607)),IF(N(Q607)&gt;0,Q607,MAX(1,H607)))))</f>
        <v>612</v>
      </c>
      <c r="BT607" s="60" t="n">
        <f aca="false">IF(BR607="LOSE",1,0)</f>
        <v>0</v>
      </c>
      <c r="BU607" s="60" t="n">
        <f aca="false">IF(AND(U607="",OR(P607="",P607="LOSE"),T607&lt;&gt;"",N(S607)&lt;=0,ISNUMBER(MATCH(T607,Parameter!$I$27:$I$29,0))),1,0)</f>
        <v>0</v>
      </c>
      <c r="BV607" s="55" t="str">
        <f aca="false">IF(AND(Parameter!$B$19="Ja",E607&lt;&gt;"",ISNUMBER(MATCH(E607,Parameter!$I$35:$I$52,0))),VLOOKUP(E607,Parameter!$I$35:$J$52,2,0),IFERROR(VLOOKUP(D607,Parameter!$A$35:$C$64,2,0),"Nein"))</f>
        <v>2+3</v>
      </c>
      <c r="BW607" s="59" t="n">
        <f aca="false">IF(BT607=0,0,IF(N(S607)&gt;0,S607,IFERROR(VLOOKUP(D607,Parameter!$A$35:$C$64,3,0)+0,0)))</f>
        <v>0</v>
      </c>
      <c r="BX607" s="55" t="n">
        <f aca="false">IF(AA607&lt;&gt;"",AA607,Z607)</f>
        <v>3</v>
      </c>
      <c r="BY607" s="55" t="str">
        <f aca="false">IF(BX607=1,"L1",IF(OR(BX607=2,BX607=3),"L23",IF(BX607="Aussen","Aussen","-")))</f>
        <v>L23</v>
      </c>
      <c r="BZ607" s="66" t="n">
        <f aca="false">IF(N(AB607)&gt;0,AB607,0)</f>
        <v>0</v>
      </c>
      <c r="CA607" s="60" t="n">
        <f aca="false">IF(ISNUMBER(AE607),1,0)</f>
        <v>0</v>
      </c>
      <c r="CB607" s="57" t="n">
        <f aca="false">N(AE607)</f>
        <v>0</v>
      </c>
      <c r="CC607" s="57" t="n">
        <f aca="false">N(M607)+N(N607)</f>
        <v>275</v>
      </c>
      <c r="CD607" s="57" t="n">
        <f aca="false">ROUNDUP(H607/BS607,0)</f>
        <v>1</v>
      </c>
      <c r="CE607" s="57" t="n">
        <f aca="false">ROUNDUP(CB607/BS607,0)</f>
        <v>0</v>
      </c>
      <c r="CF607" s="60" t="n">
        <f aca="false">IF(BT607=1,0,IFERROR(VLOOKUP(BR607,'Gebinde-Kategorie'!$A$5:$M$45,5,0)+0,0))</f>
        <v>8</v>
      </c>
      <c r="CG607" s="60" t="n">
        <f aca="false">IFERROR(IF(OR(BX607=1,BX607=2,BX607=3),N(INDEX(Parameter!$I$5:$I$7,BX607)),0),0)</f>
        <v>0</v>
      </c>
      <c r="CH607" s="59" t="n">
        <f aca="false">IF(AND(Parameter!$B$21="Ja",ISNUMBER(W607),N(X607)&gt;0),IFERROR(N(INDEX(Parameter!$L$5:$L$7,W607))*INDEX(Parameter!$E$5:$E$7,W607)*X607/SUMIFS($X$7:$X$1843,$W$7:$W$1843,W607),0),0)</f>
        <v>0</v>
      </c>
    </row>
    <row r="608" customFormat="false" ht="15" hidden="false" customHeight="false" outlineLevel="0" collapsed="false">
      <c r="A608" s="55" t="s">
        <v>1256</v>
      </c>
      <c r="B608" s="55" t="s">
        <v>1211</v>
      </c>
      <c r="C608" s="55" t="s">
        <v>164</v>
      </c>
      <c r="D608" s="55" t="s">
        <v>184</v>
      </c>
      <c r="E608" s="55" t="s">
        <v>185</v>
      </c>
      <c r="F608" s="55" t="s">
        <v>218</v>
      </c>
      <c r="G608" s="56" t="n">
        <v>0.85</v>
      </c>
      <c r="H608" s="57" t="n">
        <f aca="false">MAX(0,IF(AND(Parameter!$B$21="Ja",ISNUMBER(Y608)),Y608,IF(Parameter!$B$20="Jahresanfang 2025 + Export",BL608+BK608,BK608)))</f>
        <v>20</v>
      </c>
      <c r="I608" s="57" t="n">
        <f aca="false">H608*G608</f>
        <v>17</v>
      </c>
      <c r="J608" s="57" t="n">
        <f aca="false">BN608*Parameter!$B$18</f>
        <v>0</v>
      </c>
      <c r="K608" s="58" t="n">
        <v>18</v>
      </c>
      <c r="L608" s="59" t="n">
        <v>0</v>
      </c>
      <c r="M608" s="57" t="n">
        <v>0</v>
      </c>
      <c r="N608" s="57" t="n">
        <v>1</v>
      </c>
      <c r="O608" s="60" t="n">
        <v>42</v>
      </c>
      <c r="P608" s="55" t="s">
        <v>421</v>
      </c>
      <c r="Q608" s="57" t="n">
        <v>16</v>
      </c>
      <c r="R608" s="60" t="n">
        <f aca="false">IF(BT608=1,0,IFERROR(VLOOKUP(BR608,'Gebinde-Kategorie'!$A$5:$M$45,13,0)+0,0))</f>
        <v>132</v>
      </c>
      <c r="S608" s="61"/>
      <c r="T608" s="62"/>
      <c r="U608" s="62"/>
      <c r="V608" s="62"/>
      <c r="W608" s="55"/>
      <c r="X608" s="57"/>
      <c r="Y608" s="57"/>
      <c r="Z608" s="55" t="n">
        <f aca="false">IF(A608="","",IF(AND(Parameter!$B$21="Ja",ISNUMBER(W608)),W608,IF(BV608="2+3",IF(ISNUMBER(SEARCH("grosser Artikel",BO608)),2,IFERROR(VLOOKUP(BR608,Parameter!$F$35:$G$64,2,0),2)),IF(OR(BV608="Nein",BV608=""),"-",BV608))))</f>
        <v>3</v>
      </c>
      <c r="AA608" s="62"/>
      <c r="AB608" s="63"/>
      <c r="AC608" s="57" t="n">
        <f aca="false">AR608</f>
        <v>16</v>
      </c>
      <c r="AD608" s="57" t="n">
        <f aca="false">MAX(AR608,H608)</f>
        <v>20</v>
      </c>
      <c r="AE608" s="64"/>
      <c r="AF608" s="57" t="n">
        <f aca="false">IF(LEFT(Cockpit!$C$5,1)="A",H608,IF(CA608=1,CB608,IF(LEFT(Cockpit!$C$5,1)="B",AJ608,MAX(AJ608,H608))))</f>
        <v>20</v>
      </c>
      <c r="AG608" s="57" t="n">
        <f aca="false">IF(BT608=1,0,ROUNDUP(AF608/BS608,0))</f>
        <v>2</v>
      </c>
      <c r="AH608" s="59" t="n">
        <f aca="false">IF(CH608&gt;0,CH608*MAX(1,AF608/X608),IF(BT608=1,IF(AF608&lt;=0,0,BW608*MAX(1,IF(H608&gt;0,AF608/H608,1))),IF(R608&gt;0,AG608/R608,0))/MAX(0.1,N(Parameter!$M$21)))</f>
        <v>0.0151515151515152</v>
      </c>
      <c r="AI608" s="57" t="n">
        <f aca="false">AF608*G608</f>
        <v>17</v>
      </c>
      <c r="AJ608" s="57" t="n">
        <f aca="false">ROUNDUP(MAX(J608/IF(BZ608&gt;0,BZ608,MAX(0.1,N(Cockpit!$C$6))),CC608)/BS608,0)*BS608</f>
        <v>16</v>
      </c>
      <c r="AK608" s="58" t="n">
        <f aca="false">IF(AH608&gt;0,J608/AH608,-1)</f>
        <v>0</v>
      </c>
      <c r="AL608" s="58" t="n">
        <f aca="false">IF(AND(OR(BY608="L1",BY608="L23"),AH608&gt;0),SUMIFS($AH$7:$AH$1843,$BY$7:$BY$1843,BY608,$AK$7:$AK$1843,"&gt;"&amp;AK608)+SUMIFS($AH$7:$AH$1843,$BY$7:$BY$1843,BY608,$AK$7:$AK$1843,AK608,$BQ$7:$BQ$1843,"&lt;="&amp;BQ608),"")</f>
        <v>76.1809060504713</v>
      </c>
      <c r="AM608" s="65" t="n">
        <f aca="false">IF(AL608="",0,MAX(0,MIN(1,(IF(BY608="L1",Parameter!$E$5,Parameter!$E$6+Parameter!$E$7)-(AL608-AH608))/AH608)))</f>
        <v>1</v>
      </c>
      <c r="AN608" s="57" t="n">
        <f aca="false">IF(LEFT(Cockpit!$I$5,1)="A",H608,IF(CA608=1,CB608,IF(LEFT(Cockpit!$I$5,1)="B",AR608,MAX(AR608,H608))))</f>
        <v>20</v>
      </c>
      <c r="AO608" s="57" t="n">
        <f aca="false">IF(BT608=1,0,ROUNDUP(AN608/BS608,0))</f>
        <v>2</v>
      </c>
      <c r="AP608" s="59" t="n">
        <f aca="false">IF(CH608&gt;0,CH608*MAX(1,AN608/X608),IF(BT608=1,IF(AN608&lt;=0,0,BW608*MAX(1,IF(H608&gt;0,AN608/H608,1))),IF(R608&gt;0,AO608/R608,0))/MAX(0.1,N(Parameter!$M$21)))</f>
        <v>0.0151515151515152</v>
      </c>
      <c r="AQ608" s="57" t="n">
        <f aca="false">AN608*G608</f>
        <v>17</v>
      </c>
      <c r="AR608" s="57" t="n">
        <f aca="false">ROUNDUP(MAX(J608/IF(BZ608&gt;0,BZ608,MAX(0.1,N(Cockpit!$I$6))),CC608)/BS608,0)*BS608</f>
        <v>16</v>
      </c>
      <c r="AS608" s="58" t="n">
        <f aca="false">IF(AP608&gt;0,J608/AP608,-1)</f>
        <v>0</v>
      </c>
      <c r="AT608" s="58" t="n">
        <f aca="false">IF(AND(OR(BY608="L1",BY608="L23"),AP608&gt;0),SUMIFS($AP$7:$AP$1843,$BY$7:$BY$1843,BY608,$AS$7:$AS$1843,"&gt;"&amp;AS608)+SUMIFS($AP$7:$AP$1843,$BY$7:$BY$1843,BY608,$AS$7:$AS$1843,AS608,$BQ$7:$BQ$1843,"&lt;="&amp;BQ608),"")</f>
        <v>115.605030235465</v>
      </c>
      <c r="AU608" s="65" t="n">
        <f aca="false">IF(AT608="",0,MAX(0,MIN(1,(IF(BY608="L1",Parameter!$E$5,Parameter!$E$6+Parameter!$E$7)-(AT608-AP608))/AP608)))</f>
        <v>0</v>
      </c>
      <c r="AV608" s="57" t="n">
        <f aca="false">IF(LEFT(Cockpit!$O$5,1)="A",H608,IF(CA608=1,CB608,IF(LEFT(Cockpit!$O$5,1)="B",AZ608,MAX(AZ608,H608))))</f>
        <v>20</v>
      </c>
      <c r="AW608" s="57" t="n">
        <f aca="false">IF(BT608=1,0,ROUNDUP(AV608/BS608,0))</f>
        <v>2</v>
      </c>
      <c r="AX608" s="59" t="n">
        <f aca="false">IF(CH608&gt;0,CH608*MAX(1,AV608/X608),IF(BT608=1,IF(AV608&lt;=0,0,BW608*MAX(1,IF(H608&gt;0,AV608/H608,1))),IF(R608&gt;0,AW608/R608,0))/MAX(0.1,N(Parameter!$M$21)))</f>
        <v>0.0151515151515152</v>
      </c>
      <c r="AY608" s="57" t="n">
        <f aca="false">AV608*G608</f>
        <v>17</v>
      </c>
      <c r="AZ608" s="57" t="n">
        <f aca="false">ROUNDUP(MAX(J608/IF(BZ608&gt;0,BZ608,MAX(0.1,N(Cockpit!$O$6))),CC608)/BS608,0)*BS608</f>
        <v>16</v>
      </c>
      <c r="BA608" s="58" t="n">
        <f aca="false">IF(AX608&gt;0,J608/AX608,-1)</f>
        <v>0</v>
      </c>
      <c r="BB608" s="58" t="n">
        <f aca="false">IF(AND(OR(BY608="L1",BY608="L23"),AX608&gt;0),SUMIFS($AX$7:$AX$1843,$BY$7:$BY$1843,BY608,$BA$7:$BA$1843,"&gt;"&amp;BA608)+SUMIFS($AX$7:$AX$1843,$BY$7:$BY$1843,BY608,$BA$7:$BA$1843,BA608,$BQ$7:$BQ$1843,"&lt;="&amp;BQ608),"")</f>
        <v>106.434867065302</v>
      </c>
      <c r="BC608" s="65" t="n">
        <f aca="false">IF(BB608="",0,MAX(0,MIN(1,(IF(BY608="L1",Parameter!$E$5,Parameter!$E$6+Parameter!$E$7)-(BB608-AX608))/AX608)))</f>
        <v>0</v>
      </c>
      <c r="BD608" s="55" t="str">
        <f aca="false">IF(AH608&lt;=0,"",IF(BY608="Aussen","Aussenlager",IF(BY608="-","Nicht im Lift",IF(AM608&gt;=1,"Lift",IF(AM608&lt;=0,"Aussenlager","teilweise")))))</f>
        <v>Lift</v>
      </c>
      <c r="BE608" s="55" t="str">
        <f aca="false">IF(AP608&lt;=0,"",IF(BY608="Aussen","Aussenlager",IF(BY608="-","Nicht im Lift",IF(AU608&gt;=1,"Lift",IF(AU608&lt;=0,"Aussenlager","teilweise")))))</f>
        <v>Aussenlager</v>
      </c>
      <c r="BF608" s="55" t="str">
        <f aca="false">IF(AX608&lt;=0,"",IF(BY608="Aussen","Aussenlager",IF(BY608="-","Nicht im Lift",IF(BC608&gt;=1,"Lift",IF(BC608&lt;=0,"Aussenlager","teilweise")))))</f>
        <v>Aussenlager</v>
      </c>
      <c r="BG608" s="55" t="str">
        <f aca="false">IF(A608="","",IF(BP608=1,"Neu; ","")&amp;IF(AND(BP608=0,BK608&lt;0),"negativer Bestand (Export "&amp;BK608&amp;"); ","")&amp;IF(J608&lt;=0,"Kein Verbrauch; ","")&amp;IF(CH608&gt;0,"Lift "&amp;W608&amp;" lt. Liftbericht (Fach "&amp;X608&amp;" Stk); ",IF(BU608=1,"Gebinde geschätzt ("&amp;T608&amp;"); ",IF(BT608=1,"Lose – Tablare geschätzt; ","")))&amp;IF(H608&gt;AR608,"Überbestand "&amp;ROUND(H608-AR608,0)&amp;" Stk / CHF "&amp;ROUND((H608-AR608)*G608,0)&amp;"; ","")&amp;IF(AND(CA608=1,CB608&lt;CC608),"MAX &lt; MB+LG; ","")&amp;IF(AND(CG608&gt;0,CF608*10&gt;CG608),"zu hoch für Tablar; ","")&amp;IF(AND(BP608=0,OR(CA608=1,AA608&lt;&gt;"",U608&lt;&gt;"",V608&lt;&gt;"",AB608&lt;&gt;"")),"manuell übersteuert; ","")&amp;IF(AND(BT608=0,R608=0),"Gebinde unbekannt / Stellmass fehlt; ","")&amp;IF(AND(BT608=0,N(V608)&lt;=0,N(Q608)&lt;=0),"Menge pro Gebinde fehlt (Ist = 1 Gebinde); ","")&amp;BO608)</f>
        <v>Kein Verbrauch; Überbestand 4 Stk / CHF 3; Überbestand</v>
      </c>
      <c r="BH608" s="55"/>
      <c r="BI608" s="55"/>
      <c r="BJ608" s="62"/>
      <c r="BK608" s="57" t="n">
        <v>4</v>
      </c>
      <c r="BL608" s="57" t="n">
        <v>16</v>
      </c>
      <c r="BM608" s="56" t="n">
        <v>5</v>
      </c>
      <c r="BN608" s="57" t="n">
        <v>0</v>
      </c>
      <c r="BO608" s="55" t="s">
        <v>392</v>
      </c>
      <c r="BP608" s="60" t="n">
        <v>0</v>
      </c>
      <c r="BQ608" s="60" t="n">
        <v>608</v>
      </c>
      <c r="BR608" s="55" t="str">
        <f aca="false">IF(U608&lt;&gt;"",UPPER(TRIM(U608)),IF(BU608=1,UPPER(VLOOKUP(T608,Parameter!$I$27:$K$29,2,0)),IF(P608="","LOSE",P608)))</f>
        <v>S32</v>
      </c>
      <c r="BS608" s="57" t="n">
        <f aca="false">IF(BR608="LOSE",1,IF(N(V608)&gt;0,V608,IF(BU608=1,MAX(1,N(VLOOKUP(T608,Parameter!$I$27:$K$29,3,0)),H608,N(N608)),IF(N(Q608)&gt;0,Q608,MAX(1,H608)))))</f>
        <v>16</v>
      </c>
      <c r="BT608" s="60" t="n">
        <f aca="false">IF(BR608="LOSE",1,0)</f>
        <v>0</v>
      </c>
      <c r="BU608" s="60" t="n">
        <f aca="false">IF(AND(U608="",OR(P608="",P608="LOSE"),T608&lt;&gt;"",N(S608)&lt;=0,ISNUMBER(MATCH(T608,Parameter!$I$27:$I$29,0))),1,0)</f>
        <v>0</v>
      </c>
      <c r="BV608" s="55" t="str">
        <f aca="false">IF(AND(Parameter!$B$19="Ja",E608&lt;&gt;"",ISNUMBER(MATCH(E608,Parameter!$I$35:$I$52,0))),VLOOKUP(E608,Parameter!$I$35:$J$52,2,0),IFERROR(VLOOKUP(D608,Parameter!$A$35:$C$64,2,0),"Nein"))</f>
        <v>2+3</v>
      </c>
      <c r="BW608" s="59" t="n">
        <f aca="false">IF(BT608=0,0,IF(N(S608)&gt;0,S608,IFERROR(VLOOKUP(D608,Parameter!$A$35:$C$64,3,0)+0,0)))</f>
        <v>0</v>
      </c>
      <c r="BX608" s="55" t="n">
        <f aca="false">IF(AA608&lt;&gt;"",AA608,Z608)</f>
        <v>3</v>
      </c>
      <c r="BY608" s="55" t="str">
        <f aca="false">IF(BX608=1,"L1",IF(OR(BX608=2,BX608=3),"L23",IF(BX608="Aussen","Aussen","-")))</f>
        <v>L23</v>
      </c>
      <c r="BZ608" s="66" t="n">
        <f aca="false">IF(N(AB608)&gt;0,AB608,0)</f>
        <v>0</v>
      </c>
      <c r="CA608" s="60" t="n">
        <f aca="false">IF(ISNUMBER(AE608),1,0)</f>
        <v>0</v>
      </c>
      <c r="CB608" s="57" t="n">
        <f aca="false">N(AE608)</f>
        <v>0</v>
      </c>
      <c r="CC608" s="57" t="n">
        <f aca="false">N(M608)+N(N608)</f>
        <v>1</v>
      </c>
      <c r="CD608" s="57" t="n">
        <f aca="false">ROUNDUP(H608/BS608,0)</f>
        <v>2</v>
      </c>
      <c r="CE608" s="57" t="n">
        <f aca="false">ROUNDUP(CB608/BS608,0)</f>
        <v>0</v>
      </c>
      <c r="CF608" s="60" t="n">
        <f aca="false">IF(BT608=1,0,IFERROR(VLOOKUP(BR608,'Gebinde-Kategorie'!$A$5:$M$45,5,0)+0,0))</f>
        <v>8</v>
      </c>
      <c r="CG608" s="60" t="n">
        <f aca="false">IFERROR(IF(OR(BX608=1,BX608=2,BX608=3),N(INDEX(Parameter!$I$5:$I$7,BX608)),0),0)</f>
        <v>0</v>
      </c>
      <c r="CH608" s="59" t="n">
        <f aca="false">IF(AND(Parameter!$B$21="Ja",ISNUMBER(W608),N(X608)&gt;0),IFERROR(N(INDEX(Parameter!$L$5:$L$7,W608))*INDEX(Parameter!$E$5:$E$7,W608)*X608/SUMIFS($X$7:$X$1843,$W$7:$W$1843,W608),0),0)</f>
        <v>0</v>
      </c>
    </row>
    <row r="609" customFormat="false" ht="15" hidden="false" customHeight="false" outlineLevel="0" collapsed="false">
      <c r="A609" s="55" t="s">
        <v>1257</v>
      </c>
      <c r="B609" s="55" t="s">
        <v>654</v>
      </c>
      <c r="C609" s="55" t="s">
        <v>164</v>
      </c>
      <c r="D609" s="55" t="s">
        <v>184</v>
      </c>
      <c r="E609" s="55" t="s">
        <v>185</v>
      </c>
      <c r="F609" s="55" t="s">
        <v>218</v>
      </c>
      <c r="G609" s="56" t="n">
        <v>0.01</v>
      </c>
      <c r="H609" s="57" t="n">
        <f aca="false">MAX(0,IF(AND(Parameter!$B$21="Ja",ISNUMBER(Y609)),Y609,IF(Parameter!$B$20="Jahresanfang 2025 + Export",BL609+BK609,BK609)))</f>
        <v>579</v>
      </c>
      <c r="I609" s="57" t="n">
        <f aca="false">H609*G609</f>
        <v>5.79</v>
      </c>
      <c r="J609" s="57" t="n">
        <f aca="false">BN609*Parameter!$B$18</f>
        <v>530</v>
      </c>
      <c r="K609" s="58" t="n">
        <v>95.5</v>
      </c>
      <c r="L609" s="59" t="n">
        <v>5.54973821989529</v>
      </c>
      <c r="M609" s="57" t="n">
        <v>30</v>
      </c>
      <c r="N609" s="57" t="n">
        <v>600</v>
      </c>
      <c r="O609" s="60" t="n">
        <v>21</v>
      </c>
      <c r="P609" s="55" t="s">
        <v>476</v>
      </c>
      <c r="Q609" s="57" t="n">
        <v>885</v>
      </c>
      <c r="R609" s="60" t="n">
        <f aca="false">IF(BT609=1,0,IFERROR(VLOOKUP(BR609,'Gebinde-Kategorie'!$A$5:$M$45,13,0)+0,0))</f>
        <v>66</v>
      </c>
      <c r="S609" s="61"/>
      <c r="T609" s="62"/>
      <c r="U609" s="62"/>
      <c r="V609" s="62"/>
      <c r="W609" s="55"/>
      <c r="X609" s="57"/>
      <c r="Y609" s="57"/>
      <c r="Z609" s="55" t="n">
        <f aca="false">IF(A609="","",IF(AND(Parameter!$B$21="Ja",ISNUMBER(W609)),W609,IF(BV609="2+3",IF(ISNUMBER(SEARCH("grosser Artikel",BO609)),2,IFERROR(VLOOKUP(BR609,Parameter!$F$35:$G$64,2,0),2)),IF(OR(BV609="Nein",BV609=""),"-",BV609))))</f>
        <v>3</v>
      </c>
      <c r="AA609" s="62"/>
      <c r="AB609" s="63"/>
      <c r="AC609" s="57" t="n">
        <f aca="false">AR609</f>
        <v>885</v>
      </c>
      <c r="AD609" s="57" t="n">
        <f aca="false">MAX(AR609,H609)</f>
        <v>885</v>
      </c>
      <c r="AE609" s="64"/>
      <c r="AF609" s="57" t="n">
        <f aca="false">IF(LEFT(Cockpit!$C$5,1)="A",H609,IF(CA609=1,CB609,IF(LEFT(Cockpit!$C$5,1)="B",AJ609,MAX(AJ609,H609))))</f>
        <v>579</v>
      </c>
      <c r="AG609" s="57" t="n">
        <f aca="false">IF(BT609=1,0,ROUNDUP(AF609/BS609,0))</f>
        <v>1</v>
      </c>
      <c r="AH609" s="59" t="n">
        <f aca="false">IF(CH609&gt;0,CH609*MAX(1,AF609/X609),IF(BT609=1,IF(AF609&lt;=0,0,BW609*MAX(1,IF(H609&gt;0,AF609/H609,1))),IF(R609&gt;0,AG609/R609,0))/MAX(0.1,N(Parameter!$M$21)))</f>
        <v>0.0151515151515152</v>
      </c>
      <c r="AI609" s="57" t="n">
        <f aca="false">AF609*G609</f>
        <v>5.79</v>
      </c>
      <c r="AJ609" s="57" t="n">
        <f aca="false">ROUNDUP(MAX(J609/IF(BZ609&gt;0,BZ609,MAX(0.1,N(Cockpit!$C$6))),CC609)/BS609,0)*BS609</f>
        <v>885</v>
      </c>
      <c r="AK609" s="58" t="n">
        <f aca="false">IF(AH609&gt;0,J609/AH609,-1)</f>
        <v>34980</v>
      </c>
      <c r="AL609" s="58" t="n">
        <f aca="false">IF(AND(OR(BY609="L1",BY609="L23"),AH609&gt;0),SUMIFS($AH$7:$AH$1843,$BY$7:$BY$1843,BY609,$AK$7:$AK$1843,"&gt;"&amp;AK609)+SUMIFS($AH$7:$AH$1843,$BY$7:$BY$1843,BY609,$AK$7:$AK$1843,AK609,$BQ$7:$BQ$1843,"&lt;="&amp;BQ609),"")</f>
        <v>2.13750380054728</v>
      </c>
      <c r="AM609" s="65" t="n">
        <f aca="false">IF(AL609="",0,MAX(0,MIN(1,(IF(BY609="L1",Parameter!$E$5,Parameter!$E$6+Parameter!$E$7)-(AL609-AH609))/AH609)))</f>
        <v>1</v>
      </c>
      <c r="AN609" s="57" t="n">
        <f aca="false">IF(LEFT(Cockpit!$I$5,1)="A",H609,IF(CA609=1,CB609,IF(LEFT(Cockpit!$I$5,1)="B",AR609,MAX(AR609,H609))))</f>
        <v>885</v>
      </c>
      <c r="AO609" s="57" t="n">
        <f aca="false">IF(BT609=1,0,ROUNDUP(AN609/BS609,0))</f>
        <v>1</v>
      </c>
      <c r="AP609" s="59" t="n">
        <f aca="false">IF(CH609&gt;0,CH609*MAX(1,AN609/X609),IF(BT609=1,IF(AN609&lt;=0,0,BW609*MAX(1,IF(H609&gt;0,AN609/H609,1))),IF(R609&gt;0,AO609/R609,0))/MAX(0.1,N(Parameter!$M$21)))</f>
        <v>0.0151515151515152</v>
      </c>
      <c r="AQ609" s="57" t="n">
        <f aca="false">AN609*G609</f>
        <v>8.85</v>
      </c>
      <c r="AR609" s="57" t="n">
        <f aca="false">ROUNDUP(MAX(J609/IF(BZ609&gt;0,BZ609,MAX(0.1,N(Cockpit!$I$6))),CC609)/BS609,0)*BS609</f>
        <v>885</v>
      </c>
      <c r="AS609" s="58" t="n">
        <f aca="false">IF(AP609&gt;0,J609/AP609,-1)</f>
        <v>34980</v>
      </c>
      <c r="AT609" s="58" t="n">
        <f aca="false">IF(AND(OR(BY609="L1",BY609="L23"),AP609&gt;0),SUMIFS($AP$7:$AP$1843,$BY$7:$BY$1843,BY609,$AS$7:$AS$1843,"&gt;"&amp;AS609)+SUMIFS($AP$7:$AP$1843,$BY$7:$BY$1843,BY609,$AS$7:$AS$1843,AS609,$BQ$7:$BQ$1843,"&lt;="&amp;BQ609),"")</f>
        <v>2.69994256950779</v>
      </c>
      <c r="AU609" s="65" t="n">
        <f aca="false">IF(AT609="",0,MAX(0,MIN(1,(IF(BY609="L1",Parameter!$E$5,Parameter!$E$6+Parameter!$E$7)-(AT609-AP609))/AP609)))</f>
        <v>1</v>
      </c>
      <c r="AV609" s="57" t="n">
        <f aca="false">IF(LEFT(Cockpit!$O$5,1)="A",H609,IF(CA609=1,CB609,IF(LEFT(Cockpit!$O$5,1)="B",AZ609,MAX(AZ609,H609))))</f>
        <v>885</v>
      </c>
      <c r="AW609" s="57" t="n">
        <f aca="false">IF(BT609=1,0,ROUNDUP(AV609/BS609,0))</f>
        <v>1</v>
      </c>
      <c r="AX609" s="59" t="n">
        <f aca="false">IF(CH609&gt;0,CH609*MAX(1,AV609/X609),IF(BT609=1,IF(AV609&lt;=0,0,BW609*MAX(1,IF(H609&gt;0,AV609/H609,1))),IF(R609&gt;0,AW609/R609,0))/MAX(0.1,N(Parameter!$M$21)))</f>
        <v>0.0151515151515152</v>
      </c>
      <c r="AY609" s="57" t="n">
        <f aca="false">AV609*G609</f>
        <v>8.85</v>
      </c>
      <c r="AZ609" s="57" t="n">
        <f aca="false">ROUNDUP(MAX(J609/IF(BZ609&gt;0,BZ609,MAX(0.1,N(Cockpit!$O$6))),CC609)/BS609,0)*BS609</f>
        <v>885</v>
      </c>
      <c r="BA609" s="58" t="n">
        <f aca="false">IF(AX609&gt;0,J609/AX609,-1)</f>
        <v>34980</v>
      </c>
      <c r="BB609" s="58" t="n">
        <f aca="false">IF(AND(OR(BY609="L1",BY609="L23"),AX609&gt;0),SUMIFS($AX$7:$AX$1843,$BY$7:$BY$1843,BY609,$BA$7:$BA$1843,"&gt;"&amp;BA609)+SUMIFS($AX$7:$AX$1843,$BY$7:$BY$1843,BY609,$BA$7:$BA$1843,BA609,$BQ$7:$BQ$1843,"&lt;="&amp;BQ609),"")</f>
        <v>2.46800783757306</v>
      </c>
      <c r="BC609" s="65" t="n">
        <f aca="false">IF(BB609="",0,MAX(0,MIN(1,(IF(BY609="L1",Parameter!$E$5,Parameter!$E$6+Parameter!$E$7)-(BB609-AX609))/AX609)))</f>
        <v>1</v>
      </c>
      <c r="BD609" s="55" t="str">
        <f aca="false">IF(AH609&lt;=0,"",IF(BY609="Aussen","Aussenlager",IF(BY609="-","Nicht im Lift",IF(AM609&gt;=1,"Lift",IF(AM609&lt;=0,"Aussenlager","teilweise")))))</f>
        <v>Lift</v>
      </c>
      <c r="BE609" s="55" t="str">
        <f aca="false">IF(AP609&lt;=0,"",IF(BY609="Aussen","Aussenlager",IF(BY609="-","Nicht im Lift",IF(AU609&gt;=1,"Lift",IF(AU609&lt;=0,"Aussenlager","teilweise")))))</f>
        <v>Lift</v>
      </c>
      <c r="BF609" s="55" t="str">
        <f aca="false">IF(AX609&lt;=0,"",IF(BY609="Aussen","Aussenlager",IF(BY609="-","Nicht im Lift",IF(BC609&gt;=1,"Lift",IF(BC609&lt;=0,"Aussenlager","teilweise")))))</f>
        <v>Lift</v>
      </c>
      <c r="BG609" s="55" t="str">
        <f aca="false">IF(A609="","",IF(BP609=1,"Neu; ","")&amp;IF(AND(BP609=0,BK609&lt;0),"negativer Bestand (Export "&amp;BK609&amp;"); ","")&amp;IF(J609&lt;=0,"Kein Verbrauch; ","")&amp;IF(CH609&gt;0,"Lift "&amp;W609&amp;" lt. Liftbericht (Fach "&amp;X609&amp;" Stk); ",IF(BU609=1,"Gebinde geschätzt ("&amp;T609&amp;"); ",IF(BT609=1,"Lose – Tablare geschätzt; ","")))&amp;IF(H609&gt;AR609,"Überbestand "&amp;ROUND(H609-AR609,0)&amp;" Stk / CHF "&amp;ROUND((H609-AR609)*G609,0)&amp;"; ","")&amp;IF(AND(CA609=1,CB609&lt;CC609),"MAX &lt; MB+LG; ","")&amp;IF(AND(CG609&gt;0,CF609*10&gt;CG609),"zu hoch für Tablar; ","")&amp;IF(AND(BP609=0,OR(CA609=1,AA609&lt;&gt;"",U609&lt;&gt;"",V609&lt;&gt;"",AB609&lt;&gt;"")),"manuell übersteuert; ","")&amp;IF(AND(BT609=0,R609=0),"Gebinde unbekannt / Stellmass fehlt; ","")&amp;IF(AND(BT609=0,N(V609)&lt;=0,N(Q609)&lt;=0),"Menge pro Gebinde fehlt (Ist = 1 Gebinde); ","")&amp;BO609)</f>
        <v/>
      </c>
      <c r="BH609" s="55"/>
      <c r="BI609" s="55"/>
      <c r="BJ609" s="62"/>
      <c r="BK609" s="57" t="n">
        <v>495</v>
      </c>
      <c r="BL609" s="57" t="n">
        <v>84</v>
      </c>
      <c r="BM609" s="56" t="n">
        <v>4.95</v>
      </c>
      <c r="BN609" s="57" t="n">
        <v>530</v>
      </c>
      <c r="BO609" s="55"/>
      <c r="BP609" s="60" t="n">
        <v>0</v>
      </c>
      <c r="BQ609" s="60" t="n">
        <v>609</v>
      </c>
      <c r="BR609" s="55" t="str">
        <f aca="false">IF(U609&lt;&gt;"",UPPER(TRIM(U609)),IF(BU609=1,UPPER(VLOOKUP(T609,Parameter!$I$27:$K$29,2,0)),IF(P609="","LOSE",P609)))</f>
        <v>S33</v>
      </c>
      <c r="BS609" s="57" t="n">
        <f aca="false">IF(BR609="LOSE",1,IF(N(V609)&gt;0,V609,IF(BU609=1,MAX(1,N(VLOOKUP(T609,Parameter!$I$27:$K$29,3,0)),H609,N(N609)),IF(N(Q609)&gt;0,Q609,MAX(1,H609)))))</f>
        <v>885</v>
      </c>
      <c r="BT609" s="60" t="n">
        <f aca="false">IF(BR609="LOSE",1,0)</f>
        <v>0</v>
      </c>
      <c r="BU609" s="60" t="n">
        <f aca="false">IF(AND(U609="",OR(P609="",P609="LOSE"),T609&lt;&gt;"",N(S609)&lt;=0,ISNUMBER(MATCH(T609,Parameter!$I$27:$I$29,0))),1,0)</f>
        <v>0</v>
      </c>
      <c r="BV609" s="55" t="str">
        <f aca="false">IF(AND(Parameter!$B$19="Ja",E609&lt;&gt;"",ISNUMBER(MATCH(E609,Parameter!$I$35:$I$52,0))),VLOOKUP(E609,Parameter!$I$35:$J$52,2,0),IFERROR(VLOOKUP(D609,Parameter!$A$35:$C$64,2,0),"Nein"))</f>
        <v>2+3</v>
      </c>
      <c r="BW609" s="59" t="n">
        <f aca="false">IF(BT609=0,0,IF(N(S609)&gt;0,S609,IFERROR(VLOOKUP(D609,Parameter!$A$35:$C$64,3,0)+0,0)))</f>
        <v>0</v>
      </c>
      <c r="BX609" s="55" t="n">
        <f aca="false">IF(AA609&lt;&gt;"",AA609,Z609)</f>
        <v>3</v>
      </c>
      <c r="BY609" s="55" t="str">
        <f aca="false">IF(BX609=1,"L1",IF(OR(BX609=2,BX609=3),"L23",IF(BX609="Aussen","Aussen","-")))</f>
        <v>L23</v>
      </c>
      <c r="BZ609" s="66" t="n">
        <f aca="false">IF(N(AB609)&gt;0,AB609,0)</f>
        <v>0</v>
      </c>
      <c r="CA609" s="60" t="n">
        <f aca="false">IF(ISNUMBER(AE609),1,0)</f>
        <v>0</v>
      </c>
      <c r="CB609" s="57" t="n">
        <f aca="false">N(AE609)</f>
        <v>0</v>
      </c>
      <c r="CC609" s="57" t="n">
        <f aca="false">N(M609)+N(N609)</f>
        <v>630</v>
      </c>
      <c r="CD609" s="57" t="n">
        <f aca="false">ROUNDUP(H609/BS609,0)</f>
        <v>1</v>
      </c>
      <c r="CE609" s="57" t="n">
        <f aca="false">ROUNDUP(CB609/BS609,0)</f>
        <v>0</v>
      </c>
      <c r="CF609" s="60" t="n">
        <f aca="false">IF(BT609=1,0,IFERROR(VLOOKUP(BR609,'Gebinde-Kategorie'!$A$5:$M$45,5,0)+0,0))</f>
        <v>8</v>
      </c>
      <c r="CG609" s="60" t="n">
        <f aca="false">IFERROR(IF(OR(BX609=1,BX609=2,BX609=3),N(INDEX(Parameter!$I$5:$I$7,BX609)),0),0)</f>
        <v>0</v>
      </c>
      <c r="CH609" s="59" t="n">
        <f aca="false">IF(AND(Parameter!$B$21="Ja",ISNUMBER(W609),N(X609)&gt;0),IFERROR(N(INDEX(Parameter!$L$5:$L$7,W609))*INDEX(Parameter!$E$5:$E$7,W609)*X609/SUMIFS($X$7:$X$1843,$W$7:$W$1843,W609),0),0)</f>
        <v>0</v>
      </c>
    </row>
    <row r="610" customFormat="false" ht="15" hidden="false" customHeight="false" outlineLevel="0" collapsed="false">
      <c r="A610" s="55" t="s">
        <v>1258</v>
      </c>
      <c r="B610" s="55" t="s">
        <v>1259</v>
      </c>
      <c r="C610" s="55" t="s">
        <v>164</v>
      </c>
      <c r="D610" s="55" t="s">
        <v>173</v>
      </c>
      <c r="E610" s="55"/>
      <c r="F610" s="55" t="s">
        <v>218</v>
      </c>
      <c r="G610" s="56" t="n">
        <v>0.33</v>
      </c>
      <c r="H610" s="57" t="n">
        <f aca="false">MAX(0,IF(AND(Parameter!$B$21="Ja",ISNUMBER(Y610)),Y610,IF(Parameter!$B$20="Jahresanfang 2025 + Export",BL610+BK610,BK610)))</f>
        <v>15</v>
      </c>
      <c r="I610" s="57" t="n">
        <f aca="false">H610*G610</f>
        <v>4.95</v>
      </c>
      <c r="J610" s="57" t="n">
        <f aca="false">BN610*Parameter!$B$18</f>
        <v>6</v>
      </c>
      <c r="K610" s="58" t="n">
        <v>0</v>
      </c>
      <c r="L610" s="59" t="n">
        <v>0</v>
      </c>
      <c r="M610" s="57" t="n">
        <v>0</v>
      </c>
      <c r="N610" s="57" t="n">
        <v>5</v>
      </c>
      <c r="O610" s="60" t="n">
        <v>21</v>
      </c>
      <c r="P610" s="55" t="s">
        <v>168</v>
      </c>
      <c r="Q610" s="57"/>
      <c r="R610" s="60" t="n">
        <f aca="false">IF(BT610=1,0,IFERROR(VLOOKUP(BR610,'Gebinde-Kategorie'!$A$5:$M$45,13,0)+0,0))</f>
        <v>12</v>
      </c>
      <c r="S610" s="61"/>
      <c r="T610" s="62" t="s">
        <v>179</v>
      </c>
      <c r="U610" s="62"/>
      <c r="V610" s="62"/>
      <c r="W610" s="55"/>
      <c r="X610" s="57"/>
      <c r="Y610" s="57"/>
      <c r="Z610" s="55" t="n">
        <f aca="false">IF(A610="","",IF(AND(Parameter!$B$21="Ja",ISNUMBER(W610)),W610,IF(BV610="2+3",IF(ISNUMBER(SEARCH("grosser Artikel",BO610)),2,IFERROR(VLOOKUP(BR610,Parameter!$F$35:$G$64,2,0),2)),IF(OR(BV610="Nein",BV610=""),"-",BV610))))</f>
        <v>2</v>
      </c>
      <c r="AA610" s="62"/>
      <c r="AB610" s="63"/>
      <c r="AC610" s="57" t="n">
        <f aca="false">AR610</f>
        <v>15</v>
      </c>
      <c r="AD610" s="57" t="n">
        <f aca="false">MAX(AR610,H610)</f>
        <v>15</v>
      </c>
      <c r="AE610" s="64"/>
      <c r="AF610" s="57" t="n">
        <f aca="false">IF(LEFT(Cockpit!$C$5,1)="A",H610,IF(CA610=1,CB610,IF(LEFT(Cockpit!$C$5,1)="B",AJ610,MAX(AJ610,H610))))</f>
        <v>15</v>
      </c>
      <c r="AG610" s="57" t="n">
        <f aca="false">IF(BT610=1,0,ROUNDUP(AF610/BS610,0))</f>
        <v>1</v>
      </c>
      <c r="AH610" s="59" t="n">
        <f aca="false">IF(CH610&gt;0,CH610*MAX(1,AF610/X610),IF(BT610=1,IF(AF610&lt;=0,0,BW610*MAX(1,IF(H610&gt;0,AF610/H610,1))),IF(R610&gt;0,AG610/R610,0))/MAX(0.1,N(Parameter!$M$21)))</f>
        <v>0.0833333333333333</v>
      </c>
      <c r="AI610" s="57" t="n">
        <f aca="false">AF610*G610</f>
        <v>4.95</v>
      </c>
      <c r="AJ610" s="57" t="n">
        <f aca="false">ROUNDUP(MAX(J610/IF(BZ610&gt;0,BZ610,MAX(0.1,N(Cockpit!$C$6))),CC610)/BS610,0)*BS610</f>
        <v>15</v>
      </c>
      <c r="AK610" s="58" t="n">
        <f aca="false">IF(AH610&gt;0,J610/AH610,-1)</f>
        <v>72</v>
      </c>
      <c r="AL610" s="58" t="n">
        <f aca="false">IF(AND(OR(BY610="L1",BY610="L23"),AH610&gt;0),SUMIFS($AH$7:$AH$1843,$BY$7:$BY$1843,BY610,$AK$7:$AK$1843,"&gt;"&amp;AK610)+SUMIFS($AH$7:$AH$1843,$BY$7:$BY$1843,BY610,$AK$7:$AK$1843,AK610,$BQ$7:$BQ$1843,"&lt;="&amp;BQ610),"")</f>
        <v>41.8463396506875</v>
      </c>
      <c r="AM610" s="65" t="n">
        <f aca="false">IF(AL610="",0,MAX(0,MIN(1,(IF(BY610="L1",Parameter!$E$5,Parameter!$E$6+Parameter!$E$7)-(AL610-AH610))/AH610)))</f>
        <v>1</v>
      </c>
      <c r="AN610" s="57" t="n">
        <f aca="false">IF(LEFT(Cockpit!$I$5,1)="A",H610,IF(CA610=1,CB610,IF(LEFT(Cockpit!$I$5,1)="B",AR610,MAX(AR610,H610))))</f>
        <v>15</v>
      </c>
      <c r="AO610" s="57" t="n">
        <f aca="false">IF(BT610=1,0,ROUNDUP(AN610/BS610,0))</f>
        <v>1</v>
      </c>
      <c r="AP610" s="59" t="n">
        <f aca="false">IF(CH610&gt;0,CH610*MAX(1,AN610/X610),IF(BT610=1,IF(AN610&lt;=0,0,BW610*MAX(1,IF(H610&gt;0,AN610/H610,1))),IF(R610&gt;0,AO610/R610,0))/MAX(0.1,N(Parameter!$M$21)))</f>
        <v>0.0833333333333333</v>
      </c>
      <c r="AQ610" s="57" t="n">
        <f aca="false">AN610*G610</f>
        <v>4.95</v>
      </c>
      <c r="AR610" s="57" t="n">
        <f aca="false">ROUNDUP(MAX(J610/IF(BZ610&gt;0,BZ610,MAX(0.1,N(Cockpit!$I$6))),CC610)/BS610,0)*BS610</f>
        <v>15</v>
      </c>
      <c r="AS610" s="58" t="n">
        <f aca="false">IF(AP610&gt;0,J610/AP610,-1)</f>
        <v>72</v>
      </c>
      <c r="AT610" s="58" t="n">
        <f aca="false">IF(AND(OR(BY610="L1",BY610="L23"),AP610&gt;0),SUMIFS($AP$7:$AP$1843,$BY$7:$BY$1843,BY610,$AS$7:$AS$1843,"&gt;"&amp;AS610)+SUMIFS($AP$7:$AP$1843,$BY$7:$BY$1843,BY610,$AS$7:$AS$1843,AS610,$BQ$7:$BQ$1843,"&lt;="&amp;BQ610),"")</f>
        <v>63.8858484510659</v>
      </c>
      <c r="AU610" s="65" t="n">
        <f aca="false">IF(AT610="",0,MAX(0,MIN(1,(IF(BY610="L1",Parameter!$E$5,Parameter!$E$6+Parameter!$E$7)-(AT610-AP610))/AP610)))</f>
        <v>1</v>
      </c>
      <c r="AV610" s="57" t="n">
        <f aca="false">IF(LEFT(Cockpit!$O$5,1)="A",H610,IF(CA610=1,CB610,IF(LEFT(Cockpit!$O$5,1)="B",AZ610,MAX(AZ610,H610))))</f>
        <v>15</v>
      </c>
      <c r="AW610" s="57" t="n">
        <f aca="false">IF(BT610=1,0,ROUNDUP(AV610/BS610,0))</f>
        <v>1</v>
      </c>
      <c r="AX610" s="59" t="n">
        <f aca="false">IF(CH610&gt;0,CH610*MAX(1,AV610/X610),IF(BT610=1,IF(AV610&lt;=0,0,BW610*MAX(1,IF(H610&gt;0,AV610/H610,1))),IF(R610&gt;0,AW610/R610,0))/MAX(0.1,N(Parameter!$M$21)))</f>
        <v>0.0833333333333333</v>
      </c>
      <c r="AY610" s="57" t="n">
        <f aca="false">AV610*G610</f>
        <v>4.95</v>
      </c>
      <c r="AZ610" s="57" t="n">
        <f aca="false">ROUNDUP(MAX(J610/IF(BZ610&gt;0,BZ610,MAX(0.1,N(Cockpit!$O$6))),CC610)/BS610,0)*BS610</f>
        <v>15</v>
      </c>
      <c r="BA610" s="58" t="n">
        <f aca="false">IF(AX610&gt;0,J610/AX610,-1)</f>
        <v>72</v>
      </c>
      <c r="BB610" s="58" t="n">
        <f aca="false">IF(AND(OR(BY610="L1",BY610="L23"),AX610&gt;0),SUMIFS($AX$7:$AX$1843,$BY$7:$BY$1843,BY610,$BA$7:$BA$1843,"&gt;"&amp;BA610)+SUMIFS($AX$7:$AX$1843,$BY$7:$BY$1843,BY610,$BA$7:$BA$1843,BA610,$BQ$7:$BQ$1843,"&lt;="&amp;BQ610),"")</f>
        <v>58.3823519475693</v>
      </c>
      <c r="BC610" s="65" t="n">
        <f aca="false">IF(BB610="",0,MAX(0,MIN(1,(IF(BY610="L1",Parameter!$E$5,Parameter!$E$6+Parameter!$E$7)-(BB610-AX610))/AX610)))</f>
        <v>1</v>
      </c>
      <c r="BD610" s="55" t="str">
        <f aca="false">IF(AH610&lt;=0,"",IF(BY610="Aussen","Aussenlager",IF(BY610="-","Nicht im Lift",IF(AM610&gt;=1,"Lift",IF(AM610&lt;=0,"Aussenlager","teilweise")))))</f>
        <v>Lift</v>
      </c>
      <c r="BE610" s="55" t="str">
        <f aca="false">IF(AP610&lt;=0,"",IF(BY610="Aussen","Aussenlager",IF(BY610="-","Nicht im Lift",IF(AU610&gt;=1,"Lift",IF(AU610&lt;=0,"Aussenlager","teilweise")))))</f>
        <v>Lift</v>
      </c>
      <c r="BF610" s="55" t="str">
        <f aca="false">IF(AX610&lt;=0,"",IF(BY610="Aussen","Aussenlager",IF(BY610="-","Nicht im Lift",IF(BC610&gt;=1,"Lift",IF(BC610&lt;=0,"Aussenlager","teilweise")))))</f>
        <v>Lift</v>
      </c>
      <c r="BG610" s="55" t="str">
        <f aca="false">IF(A610="","",IF(BP610=1,"Neu; ","")&amp;IF(AND(BP610=0,BK610&lt;0),"negativer Bestand (Export "&amp;BK610&amp;"); ","")&amp;IF(J610&lt;=0,"Kein Verbrauch; ","")&amp;IF(CH610&gt;0,"Lift "&amp;W610&amp;" lt. Liftbericht (Fach "&amp;X610&amp;" Stk); ",IF(BU610=1,"Gebinde geschätzt ("&amp;T610&amp;"); ",IF(BT610=1,"Lose – Tablare geschätzt; ","")))&amp;IF(H610&gt;AR610,"Überbestand "&amp;ROUND(H610-AR610,0)&amp;" Stk / CHF "&amp;ROUND((H610-AR610)*G610,0)&amp;"; ","")&amp;IF(AND(CA610=1,CB610&lt;CC610),"MAX &lt; MB+LG; ","")&amp;IF(AND(CG610&gt;0,CF610*10&gt;CG610),"zu hoch für Tablar; ","")&amp;IF(AND(BP610=0,OR(CA610=1,AA610&lt;&gt;"",U610&lt;&gt;"",V610&lt;&gt;"",AB610&lt;&gt;"")),"manuell übersteuert; ","")&amp;IF(AND(BT610=0,R610=0),"Gebinde unbekannt / Stellmass fehlt; ","")&amp;IF(AND(BT610=0,N(V610)&lt;=0,N(Q610)&lt;=0),"Menge pro Gebinde fehlt (Ist = 1 Gebinde); ","")&amp;BO610)</f>
        <v>Gebinde geschätzt (Mittel); Menge pro Gebinde fehlt (Ist = 1 Gebinde); </v>
      </c>
      <c r="BH610" s="55"/>
      <c r="BI610" s="55"/>
      <c r="BJ610" s="62"/>
      <c r="BK610" s="57" t="n">
        <v>15</v>
      </c>
      <c r="BL610" s="57" t="n">
        <v>0</v>
      </c>
      <c r="BM610" s="56" t="n">
        <v>4.95</v>
      </c>
      <c r="BN610" s="57" t="n">
        <v>6</v>
      </c>
      <c r="BO610" s="55"/>
      <c r="BP610" s="60" t="n">
        <v>0</v>
      </c>
      <c r="BQ610" s="60" t="n">
        <v>610</v>
      </c>
      <c r="BR610" s="55" t="str">
        <f aca="false">IF(U610&lt;&gt;"",UPPER(TRIM(U610)),IF(BU610=1,UPPER(VLOOKUP(T610,Parameter!$I$27:$K$29,2,0)),IF(P610="","LOSE",P610)))</f>
        <v>S61</v>
      </c>
      <c r="BS610" s="57" t="n">
        <f aca="false">IF(BR610="LOSE",1,IF(N(V610)&gt;0,V610,IF(BU610=1,MAX(1,N(VLOOKUP(T610,Parameter!$I$27:$K$29,3,0)),H610,N(N610)),IF(N(Q610)&gt;0,Q610,MAX(1,H610)))))</f>
        <v>15</v>
      </c>
      <c r="BT610" s="60" t="n">
        <f aca="false">IF(BR610="LOSE",1,0)</f>
        <v>0</v>
      </c>
      <c r="BU610" s="60" t="n">
        <f aca="false">IF(AND(U610="",OR(P610="",P610="LOSE"),T610&lt;&gt;"",N(S610)&lt;=0,ISNUMBER(MATCH(T610,Parameter!$I$27:$I$29,0))),1,0)</f>
        <v>1</v>
      </c>
      <c r="BV610" s="55" t="str">
        <f aca="false">IF(AND(Parameter!$B$19="Ja",E610&lt;&gt;"",ISNUMBER(MATCH(E610,Parameter!$I$35:$I$52,0))),VLOOKUP(E610,Parameter!$I$35:$J$52,2,0),IFERROR(VLOOKUP(D610,Parameter!$A$35:$C$64,2,0),"Nein"))</f>
        <v>2+3</v>
      </c>
      <c r="BW610" s="59" t="n">
        <f aca="false">IF(BT610=0,0,IF(N(S610)&gt;0,S610,IFERROR(VLOOKUP(D610,Parameter!$A$35:$C$64,3,0)+0,0)))</f>
        <v>0</v>
      </c>
      <c r="BX610" s="55" t="n">
        <f aca="false">IF(AA610&lt;&gt;"",AA610,Z610)</f>
        <v>2</v>
      </c>
      <c r="BY610" s="55" t="str">
        <f aca="false">IF(BX610=1,"L1",IF(OR(BX610=2,BX610=3),"L23",IF(BX610="Aussen","Aussen","-")))</f>
        <v>L23</v>
      </c>
      <c r="BZ610" s="66" t="n">
        <f aca="false">IF(N(AB610)&gt;0,AB610,0)</f>
        <v>0</v>
      </c>
      <c r="CA610" s="60" t="n">
        <f aca="false">IF(ISNUMBER(AE610),1,0)</f>
        <v>0</v>
      </c>
      <c r="CB610" s="57" t="n">
        <f aca="false">N(AE610)</f>
        <v>0</v>
      </c>
      <c r="CC610" s="57" t="n">
        <f aca="false">N(M610)+N(N610)</f>
        <v>5</v>
      </c>
      <c r="CD610" s="57" t="n">
        <f aca="false">ROUNDUP(H610/BS610,0)</f>
        <v>1</v>
      </c>
      <c r="CE610" s="57" t="n">
        <f aca="false">ROUNDUP(CB610/BS610,0)</f>
        <v>0</v>
      </c>
      <c r="CF610" s="60" t="n">
        <f aca="false">IF(BT610=1,0,IFERROR(VLOOKUP(BR610,'Gebinde-Kategorie'!$A$5:$M$45,5,0)+0,0))</f>
        <v>11</v>
      </c>
      <c r="CG610" s="60" t="n">
        <f aca="false">IFERROR(IF(OR(BX610=1,BX610=2,BX610=3),N(INDEX(Parameter!$I$5:$I$7,BX610)),0),0)</f>
        <v>0</v>
      </c>
      <c r="CH610" s="59" t="n">
        <f aca="false">IF(AND(Parameter!$B$21="Ja",ISNUMBER(W610),N(X610)&gt;0),IFERROR(N(INDEX(Parameter!$L$5:$L$7,W610))*INDEX(Parameter!$E$5:$E$7,W610)*X610/SUMIFS($X$7:$X$1843,$W$7:$W$1843,W610),0),0)</f>
        <v>0</v>
      </c>
    </row>
    <row r="611" customFormat="false" ht="15" hidden="false" customHeight="false" outlineLevel="0" collapsed="false">
      <c r="A611" s="55" t="s">
        <v>1260</v>
      </c>
      <c r="B611" s="55" t="s">
        <v>405</v>
      </c>
      <c r="C611" s="55" t="s">
        <v>164</v>
      </c>
      <c r="D611" s="55" t="s">
        <v>184</v>
      </c>
      <c r="E611" s="55" t="s">
        <v>185</v>
      </c>
      <c r="F611" s="55" t="s">
        <v>218</v>
      </c>
      <c r="G611" s="56" t="n">
        <v>0.06</v>
      </c>
      <c r="H611" s="57" t="n">
        <f aca="false">MAX(0,IF(AND(Parameter!$B$21="Ja",ISNUMBER(Y611)),Y611,IF(Parameter!$B$20="Jahresanfang 2025 + Export",BL611+BK611,BK611)))</f>
        <v>277</v>
      </c>
      <c r="I611" s="57" t="n">
        <f aca="false">H611*G611</f>
        <v>16.62</v>
      </c>
      <c r="J611" s="57" t="n">
        <f aca="false">BN611*Parameter!$B$18</f>
        <v>638</v>
      </c>
      <c r="K611" s="58" t="n">
        <v>267.5</v>
      </c>
      <c r="L611" s="59" t="n">
        <v>2.38504672897196</v>
      </c>
      <c r="M611" s="57" t="n">
        <v>37</v>
      </c>
      <c r="N611" s="57" t="n">
        <v>800</v>
      </c>
      <c r="O611" s="60" t="n">
        <v>21</v>
      </c>
      <c r="P611" s="55" t="s">
        <v>476</v>
      </c>
      <c r="Q611" s="57" t="n">
        <v>605</v>
      </c>
      <c r="R611" s="60" t="n">
        <f aca="false">IF(BT611=1,0,IFERROR(VLOOKUP(BR611,'Gebinde-Kategorie'!$A$5:$M$45,13,0)+0,0))</f>
        <v>66</v>
      </c>
      <c r="S611" s="61"/>
      <c r="T611" s="62"/>
      <c r="U611" s="62"/>
      <c r="V611" s="62"/>
      <c r="W611" s="55"/>
      <c r="X611" s="57"/>
      <c r="Y611" s="57"/>
      <c r="Z611" s="55" t="n">
        <f aca="false">IF(A611="","",IF(AND(Parameter!$B$21="Ja",ISNUMBER(W611)),W611,IF(BV611="2+3",IF(ISNUMBER(SEARCH("grosser Artikel",BO611)),2,IFERROR(VLOOKUP(BR611,Parameter!$F$35:$G$64,2,0),2)),IF(OR(BV611="Nein",BV611=""),"-",BV611))))</f>
        <v>3</v>
      </c>
      <c r="AA611" s="62"/>
      <c r="AB611" s="63"/>
      <c r="AC611" s="57" t="n">
        <f aca="false">AR611</f>
        <v>1210</v>
      </c>
      <c r="AD611" s="57" t="n">
        <f aca="false">MAX(AR611,H611)</f>
        <v>1210</v>
      </c>
      <c r="AE611" s="64"/>
      <c r="AF611" s="57" t="n">
        <f aca="false">IF(LEFT(Cockpit!$C$5,1)="A",H611,IF(CA611=1,CB611,IF(LEFT(Cockpit!$C$5,1)="B",AJ611,MAX(AJ611,H611))))</f>
        <v>277</v>
      </c>
      <c r="AG611" s="57" t="n">
        <f aca="false">IF(BT611=1,0,ROUNDUP(AF611/BS611,0))</f>
        <v>1</v>
      </c>
      <c r="AH611" s="59" t="n">
        <f aca="false">IF(CH611&gt;0,CH611*MAX(1,AF611/X611),IF(BT611=1,IF(AF611&lt;=0,0,BW611*MAX(1,IF(H611&gt;0,AF611/H611,1))),IF(R611&gt;0,AG611/R611,0))/MAX(0.1,N(Parameter!$M$21)))</f>
        <v>0.0151515151515152</v>
      </c>
      <c r="AI611" s="57" t="n">
        <f aca="false">AF611*G611</f>
        <v>16.62</v>
      </c>
      <c r="AJ611" s="57" t="n">
        <f aca="false">ROUNDUP(MAX(J611/IF(BZ611&gt;0,BZ611,MAX(0.1,N(Cockpit!$C$6))),CC611)/BS611,0)*BS611</f>
        <v>1210</v>
      </c>
      <c r="AK611" s="58" t="n">
        <f aca="false">IF(AH611&gt;0,J611/AH611,-1)</f>
        <v>42108</v>
      </c>
      <c r="AL611" s="58" t="n">
        <f aca="false">IF(AND(OR(BY611="L1",BY611="L23"),AH611&gt;0),SUMIFS($AH$7:$AH$1843,$BY$7:$BY$1843,BY611,$AK$7:$AK$1843,"&gt;"&amp;AK611)+SUMIFS($AH$7:$AH$1843,$BY$7:$BY$1843,BY611,$AK$7:$AK$1843,AK611,$BQ$7:$BQ$1843,"&lt;="&amp;BQ611),"")</f>
        <v>2.02650248302422</v>
      </c>
      <c r="AM611" s="65" t="n">
        <f aca="false">IF(AL611="",0,MAX(0,MIN(1,(IF(BY611="L1",Parameter!$E$5,Parameter!$E$6+Parameter!$E$7)-(AL611-AH611))/AH611)))</f>
        <v>1</v>
      </c>
      <c r="AN611" s="57" t="n">
        <f aca="false">IF(LEFT(Cockpit!$I$5,1)="A",H611,IF(CA611=1,CB611,IF(LEFT(Cockpit!$I$5,1)="B",AR611,MAX(AR611,H611))))</f>
        <v>1210</v>
      </c>
      <c r="AO611" s="57" t="n">
        <f aca="false">IF(BT611=1,0,ROUNDUP(AN611/BS611,0))</f>
        <v>2</v>
      </c>
      <c r="AP611" s="59" t="n">
        <f aca="false">IF(CH611&gt;0,CH611*MAX(1,AN611/X611),IF(BT611=1,IF(AN611&lt;=0,0,BW611*MAX(1,IF(H611&gt;0,AN611/H611,1))),IF(R611&gt;0,AO611/R611,0))/MAX(0.1,N(Parameter!$M$21)))</f>
        <v>0.0303030303030303</v>
      </c>
      <c r="AQ611" s="57" t="n">
        <f aca="false">AN611*G611</f>
        <v>72.6</v>
      </c>
      <c r="AR611" s="57" t="n">
        <f aca="false">ROUNDUP(MAX(J611/IF(BZ611&gt;0,BZ611,MAX(0.1,N(Cockpit!$I$6))),CC611)/BS611,0)*BS611</f>
        <v>1210</v>
      </c>
      <c r="AS611" s="58" t="n">
        <f aca="false">IF(AP611&gt;0,J611/AP611,-1)</f>
        <v>21054</v>
      </c>
      <c r="AT611" s="58" t="n">
        <f aca="false">IF(AND(OR(BY611="L1",BY611="L23"),AP611&gt;0),SUMIFS($AP$7:$AP$1843,$BY$7:$BY$1843,BY611,$AS$7:$AS$1843,"&gt;"&amp;AS611)+SUMIFS($AP$7:$AP$1843,$BY$7:$BY$1843,BY611,$AS$7:$AS$1843,AS611,$BQ$7:$BQ$1843,"&lt;="&amp;BQ611),"")</f>
        <v>4.18208844295801</v>
      </c>
      <c r="AU611" s="65" t="n">
        <f aca="false">IF(AT611="",0,MAX(0,MIN(1,(IF(BY611="L1",Parameter!$E$5,Parameter!$E$6+Parameter!$E$7)-(AT611-AP611))/AP611)))</f>
        <v>1</v>
      </c>
      <c r="AV611" s="57" t="n">
        <f aca="false">IF(LEFT(Cockpit!$O$5,1)="A",H611,IF(CA611=1,CB611,IF(LEFT(Cockpit!$O$5,1)="B",AZ611,MAX(AZ611,H611))))</f>
        <v>1210</v>
      </c>
      <c r="AW611" s="57" t="n">
        <f aca="false">IF(BT611=1,0,ROUNDUP(AV611/BS611,0))</f>
        <v>2</v>
      </c>
      <c r="AX611" s="59" t="n">
        <f aca="false">IF(CH611&gt;0,CH611*MAX(1,AV611/X611),IF(BT611=1,IF(AV611&lt;=0,0,BW611*MAX(1,IF(H611&gt;0,AV611/H611,1))),IF(R611&gt;0,AW611/R611,0))/MAX(0.1,N(Parameter!$M$21)))</f>
        <v>0.0303030303030303</v>
      </c>
      <c r="AY611" s="57" t="n">
        <f aca="false">AV611*G611</f>
        <v>72.6</v>
      </c>
      <c r="AZ611" s="57" t="n">
        <f aca="false">ROUNDUP(MAX(J611/IF(BZ611&gt;0,BZ611,MAX(0.1,N(Cockpit!$O$6))),CC611)/BS611,0)*BS611</f>
        <v>1210</v>
      </c>
      <c r="BA611" s="58" t="n">
        <f aca="false">IF(AX611&gt;0,J611/AX611,-1)</f>
        <v>21054</v>
      </c>
      <c r="BB611" s="58" t="n">
        <f aca="false">IF(AND(OR(BY611="L1",BY611="L23"),AX611&gt;0),SUMIFS($AX$7:$AX$1843,$BY$7:$BY$1843,BY611,$BA$7:$BA$1843,"&gt;"&amp;BA611)+SUMIFS($AX$7:$AX$1843,$BY$7:$BY$1843,BY611,$BA$7:$BA$1843,BA611,$BQ$7:$BQ$1843,"&lt;="&amp;BQ611),"")</f>
        <v>3.81961758048715</v>
      </c>
      <c r="BC611" s="65" t="n">
        <f aca="false">IF(BB611="",0,MAX(0,MIN(1,(IF(BY611="L1",Parameter!$E$5,Parameter!$E$6+Parameter!$E$7)-(BB611-AX611))/AX611)))</f>
        <v>1</v>
      </c>
      <c r="BD611" s="55" t="str">
        <f aca="false">IF(AH611&lt;=0,"",IF(BY611="Aussen","Aussenlager",IF(BY611="-","Nicht im Lift",IF(AM611&gt;=1,"Lift",IF(AM611&lt;=0,"Aussenlager","teilweise")))))</f>
        <v>Lift</v>
      </c>
      <c r="BE611" s="55" t="str">
        <f aca="false">IF(AP611&lt;=0,"",IF(BY611="Aussen","Aussenlager",IF(BY611="-","Nicht im Lift",IF(AU611&gt;=1,"Lift",IF(AU611&lt;=0,"Aussenlager","teilweise")))))</f>
        <v>Lift</v>
      </c>
      <c r="BF611" s="55" t="str">
        <f aca="false">IF(AX611&lt;=0,"",IF(BY611="Aussen","Aussenlager",IF(BY611="-","Nicht im Lift",IF(BC611&gt;=1,"Lift",IF(BC611&lt;=0,"Aussenlager","teilweise")))))</f>
        <v>Lift</v>
      </c>
      <c r="BG611" s="55" t="str">
        <f aca="false">IF(A611="","",IF(BP611=1,"Neu; ","")&amp;IF(AND(BP611=0,BK611&lt;0),"negativer Bestand (Export "&amp;BK611&amp;"); ","")&amp;IF(J611&lt;=0,"Kein Verbrauch; ","")&amp;IF(CH611&gt;0,"Lift "&amp;W611&amp;" lt. Liftbericht (Fach "&amp;X611&amp;" Stk); ",IF(BU611=1,"Gebinde geschätzt ("&amp;T611&amp;"); ",IF(BT611=1,"Lose – Tablare geschätzt; ","")))&amp;IF(H611&gt;AR611,"Überbestand "&amp;ROUND(H611-AR611,0)&amp;" Stk / CHF "&amp;ROUND((H611-AR611)*G611,0)&amp;"; ","")&amp;IF(AND(CA611=1,CB611&lt;CC611),"MAX &lt; MB+LG; ","")&amp;IF(AND(CG611&gt;0,CF611*10&gt;CG611),"zu hoch für Tablar; ","")&amp;IF(AND(BP611=0,OR(CA611=1,AA611&lt;&gt;"",U611&lt;&gt;"",V611&lt;&gt;"",AB611&lt;&gt;"")),"manuell übersteuert; ","")&amp;IF(AND(BT611=0,R611=0),"Gebinde unbekannt / Stellmass fehlt; ","")&amp;IF(AND(BT611=0,N(V611)&lt;=0,N(Q611)&lt;=0),"Menge pro Gebinde fehlt (Ist = 1 Gebinde); ","")&amp;BO611)</f>
        <v/>
      </c>
      <c r="BH611" s="55"/>
      <c r="BI611" s="55"/>
      <c r="BJ611" s="62"/>
      <c r="BK611" s="57" t="n">
        <v>81</v>
      </c>
      <c r="BL611" s="57" t="n">
        <v>196</v>
      </c>
      <c r="BM611" s="56" t="n">
        <v>4.86000000000001</v>
      </c>
      <c r="BN611" s="57" t="n">
        <v>638</v>
      </c>
      <c r="BO611" s="55"/>
      <c r="BP611" s="60" t="n">
        <v>0</v>
      </c>
      <c r="BQ611" s="60" t="n">
        <v>611</v>
      </c>
      <c r="BR611" s="55" t="str">
        <f aca="false">IF(U611&lt;&gt;"",UPPER(TRIM(U611)),IF(BU611=1,UPPER(VLOOKUP(T611,Parameter!$I$27:$K$29,2,0)),IF(P611="","LOSE",P611)))</f>
        <v>S33</v>
      </c>
      <c r="BS611" s="57" t="n">
        <f aca="false">IF(BR611="LOSE",1,IF(N(V611)&gt;0,V611,IF(BU611=1,MAX(1,N(VLOOKUP(T611,Parameter!$I$27:$K$29,3,0)),H611,N(N611)),IF(N(Q611)&gt;0,Q611,MAX(1,H611)))))</f>
        <v>605</v>
      </c>
      <c r="BT611" s="60" t="n">
        <f aca="false">IF(BR611="LOSE",1,0)</f>
        <v>0</v>
      </c>
      <c r="BU611" s="60" t="n">
        <f aca="false">IF(AND(U611="",OR(P611="",P611="LOSE"),T611&lt;&gt;"",N(S611)&lt;=0,ISNUMBER(MATCH(T611,Parameter!$I$27:$I$29,0))),1,0)</f>
        <v>0</v>
      </c>
      <c r="BV611" s="55" t="str">
        <f aca="false">IF(AND(Parameter!$B$19="Ja",E611&lt;&gt;"",ISNUMBER(MATCH(E611,Parameter!$I$35:$I$52,0))),VLOOKUP(E611,Parameter!$I$35:$J$52,2,0),IFERROR(VLOOKUP(D611,Parameter!$A$35:$C$64,2,0),"Nein"))</f>
        <v>2+3</v>
      </c>
      <c r="BW611" s="59" t="n">
        <f aca="false">IF(BT611=0,0,IF(N(S611)&gt;0,S611,IFERROR(VLOOKUP(D611,Parameter!$A$35:$C$64,3,0)+0,0)))</f>
        <v>0</v>
      </c>
      <c r="BX611" s="55" t="n">
        <f aca="false">IF(AA611&lt;&gt;"",AA611,Z611)</f>
        <v>3</v>
      </c>
      <c r="BY611" s="55" t="str">
        <f aca="false">IF(BX611=1,"L1",IF(OR(BX611=2,BX611=3),"L23",IF(BX611="Aussen","Aussen","-")))</f>
        <v>L23</v>
      </c>
      <c r="BZ611" s="66" t="n">
        <f aca="false">IF(N(AB611)&gt;0,AB611,0)</f>
        <v>0</v>
      </c>
      <c r="CA611" s="60" t="n">
        <f aca="false">IF(ISNUMBER(AE611),1,0)</f>
        <v>0</v>
      </c>
      <c r="CB611" s="57" t="n">
        <f aca="false">N(AE611)</f>
        <v>0</v>
      </c>
      <c r="CC611" s="57" t="n">
        <f aca="false">N(M611)+N(N611)</f>
        <v>837</v>
      </c>
      <c r="CD611" s="57" t="n">
        <f aca="false">ROUNDUP(H611/BS611,0)</f>
        <v>1</v>
      </c>
      <c r="CE611" s="57" t="n">
        <f aca="false">ROUNDUP(CB611/BS611,0)</f>
        <v>0</v>
      </c>
      <c r="CF611" s="60" t="n">
        <f aca="false">IF(BT611=1,0,IFERROR(VLOOKUP(BR611,'Gebinde-Kategorie'!$A$5:$M$45,5,0)+0,0))</f>
        <v>8</v>
      </c>
      <c r="CG611" s="60" t="n">
        <f aca="false">IFERROR(IF(OR(BX611=1,BX611=2,BX611=3),N(INDEX(Parameter!$I$5:$I$7,BX611)),0),0)</f>
        <v>0</v>
      </c>
      <c r="CH611" s="59" t="n">
        <f aca="false">IF(AND(Parameter!$B$21="Ja",ISNUMBER(W611),N(X611)&gt;0),IFERROR(N(INDEX(Parameter!$L$5:$L$7,W611))*INDEX(Parameter!$E$5:$E$7,W611)*X611/SUMIFS($X$7:$X$1843,$W$7:$W$1843,W611),0),0)</f>
        <v>0</v>
      </c>
    </row>
    <row r="612" customFormat="false" ht="15" hidden="false" customHeight="false" outlineLevel="0" collapsed="false">
      <c r="A612" s="55" t="s">
        <v>1261</v>
      </c>
      <c r="B612" s="55" t="s">
        <v>1262</v>
      </c>
      <c r="C612" s="55" t="s">
        <v>164</v>
      </c>
      <c r="D612" s="55" t="s">
        <v>184</v>
      </c>
      <c r="E612" s="55" t="s">
        <v>185</v>
      </c>
      <c r="F612" s="55" t="s">
        <v>218</v>
      </c>
      <c r="G612" s="56" t="n">
        <v>0.05</v>
      </c>
      <c r="H612" s="57" t="n">
        <f aca="false">MAX(0,IF(AND(Parameter!$B$21="Ja",ISNUMBER(Y612)),Y612,IF(Parameter!$B$20="Jahresanfang 2025 + Export",BL612+BK612,BK612)))</f>
        <v>100</v>
      </c>
      <c r="I612" s="57" t="n">
        <f aca="false">H612*G612</f>
        <v>5</v>
      </c>
      <c r="J612" s="57" t="n">
        <f aca="false">BN612*Parameter!$B$18</f>
        <v>0</v>
      </c>
      <c r="K612" s="58" t="n">
        <v>52</v>
      </c>
      <c r="L612" s="59" t="n">
        <v>0</v>
      </c>
      <c r="M612" s="57" t="n">
        <v>0</v>
      </c>
      <c r="N612" s="57" t="n">
        <v>10</v>
      </c>
      <c r="O612" s="60" t="n">
        <v>14</v>
      </c>
      <c r="P612" s="55" t="s">
        <v>426</v>
      </c>
      <c r="Q612" s="57" t="n">
        <v>100</v>
      </c>
      <c r="R612" s="60" t="n">
        <f aca="false">IF(BT612=1,0,IFERROR(VLOOKUP(BR612,'Gebinde-Kategorie'!$A$5:$M$45,13,0)+0,0))</f>
        <v>198</v>
      </c>
      <c r="S612" s="61"/>
      <c r="T612" s="62"/>
      <c r="U612" s="62"/>
      <c r="V612" s="62"/>
      <c r="W612" s="55"/>
      <c r="X612" s="57"/>
      <c r="Y612" s="57"/>
      <c r="Z612" s="55" t="n">
        <f aca="false">IF(A612="","",IF(AND(Parameter!$B$21="Ja",ISNUMBER(W612)),W612,IF(BV612="2+3",IF(ISNUMBER(SEARCH("grosser Artikel",BO612)),2,IFERROR(VLOOKUP(BR612,Parameter!$F$35:$G$64,2,0),2)),IF(OR(BV612="Nein",BV612=""),"-",BV612))))</f>
        <v>3</v>
      </c>
      <c r="AA612" s="62"/>
      <c r="AB612" s="63"/>
      <c r="AC612" s="57" t="n">
        <f aca="false">AR612</f>
        <v>100</v>
      </c>
      <c r="AD612" s="57" t="n">
        <f aca="false">MAX(AR612,H612)</f>
        <v>100</v>
      </c>
      <c r="AE612" s="64"/>
      <c r="AF612" s="57" t="n">
        <f aca="false">IF(LEFT(Cockpit!$C$5,1)="A",H612,IF(CA612=1,CB612,IF(LEFT(Cockpit!$C$5,1)="B",AJ612,MAX(AJ612,H612))))</f>
        <v>100</v>
      </c>
      <c r="AG612" s="57" t="n">
        <f aca="false">IF(BT612=1,0,ROUNDUP(AF612/BS612,0))</f>
        <v>1</v>
      </c>
      <c r="AH612" s="59" t="n">
        <f aca="false">IF(CH612&gt;0,CH612*MAX(1,AF612/X612),IF(BT612=1,IF(AF612&lt;=0,0,BW612*MAX(1,IF(H612&gt;0,AF612/H612,1))),IF(R612&gt;0,AG612/R612,0))/MAX(0.1,N(Parameter!$M$21)))</f>
        <v>0.00505050505050505</v>
      </c>
      <c r="AI612" s="57" t="n">
        <f aca="false">AF612*G612</f>
        <v>5</v>
      </c>
      <c r="AJ612" s="57" t="n">
        <f aca="false">ROUNDUP(MAX(J612/IF(BZ612&gt;0,BZ612,MAX(0.1,N(Cockpit!$C$6))),CC612)/BS612,0)*BS612</f>
        <v>100</v>
      </c>
      <c r="AK612" s="58" t="n">
        <f aca="false">IF(AH612&gt;0,J612/AH612,-1)</f>
        <v>0</v>
      </c>
      <c r="AL612" s="58" t="n">
        <f aca="false">IF(AND(OR(BY612="L1",BY612="L23"),AH612&gt;0),SUMIFS($AH$7:$AH$1843,$BY$7:$BY$1843,BY612,$AK$7:$AK$1843,"&gt;"&amp;AK612)+SUMIFS($AH$7:$AH$1843,$BY$7:$BY$1843,BY612,$AK$7:$AK$1843,AK612,$BQ$7:$BQ$1843,"&lt;="&amp;BQ612),"")</f>
        <v>76.1859565555218</v>
      </c>
      <c r="AM612" s="65" t="n">
        <f aca="false">IF(AL612="",0,MAX(0,MIN(1,(IF(BY612="L1",Parameter!$E$5,Parameter!$E$6+Parameter!$E$7)-(AL612-AH612))/AH612)))</f>
        <v>1</v>
      </c>
      <c r="AN612" s="57" t="n">
        <f aca="false">IF(LEFT(Cockpit!$I$5,1)="A",H612,IF(CA612=1,CB612,IF(LEFT(Cockpit!$I$5,1)="B",AR612,MAX(AR612,H612))))</f>
        <v>100</v>
      </c>
      <c r="AO612" s="57" t="n">
        <f aca="false">IF(BT612=1,0,ROUNDUP(AN612/BS612,0))</f>
        <v>1</v>
      </c>
      <c r="AP612" s="59" t="n">
        <f aca="false">IF(CH612&gt;0,CH612*MAX(1,AN612/X612),IF(BT612=1,IF(AN612&lt;=0,0,BW612*MAX(1,IF(H612&gt;0,AN612/H612,1))),IF(R612&gt;0,AO612/R612,0))/MAX(0.1,N(Parameter!$M$21)))</f>
        <v>0.00505050505050505</v>
      </c>
      <c r="AQ612" s="57" t="n">
        <f aca="false">AN612*G612</f>
        <v>5</v>
      </c>
      <c r="AR612" s="57" t="n">
        <f aca="false">ROUNDUP(MAX(J612/IF(BZ612&gt;0,BZ612,MAX(0.1,N(Cockpit!$I$6))),CC612)/BS612,0)*BS612</f>
        <v>100</v>
      </c>
      <c r="AS612" s="58" t="n">
        <f aca="false">IF(AP612&gt;0,J612/AP612,-1)</f>
        <v>0</v>
      </c>
      <c r="AT612" s="58" t="n">
        <f aca="false">IF(AND(OR(BY612="L1",BY612="L23"),AP612&gt;0),SUMIFS($AP$7:$AP$1843,$BY$7:$BY$1843,BY612,$AS$7:$AS$1843,"&gt;"&amp;AS612)+SUMIFS($AP$7:$AP$1843,$BY$7:$BY$1843,BY612,$AS$7:$AS$1843,AS612,$BQ$7:$BQ$1843,"&lt;="&amp;BQ612),"")</f>
        <v>115.610080740516</v>
      </c>
      <c r="AU612" s="65" t="n">
        <f aca="false">IF(AT612="",0,MAX(0,MIN(1,(IF(BY612="L1",Parameter!$E$5,Parameter!$E$6+Parameter!$E$7)-(AT612-AP612))/AP612)))</f>
        <v>0</v>
      </c>
      <c r="AV612" s="57" t="n">
        <f aca="false">IF(LEFT(Cockpit!$O$5,1)="A",H612,IF(CA612=1,CB612,IF(LEFT(Cockpit!$O$5,1)="B",AZ612,MAX(AZ612,H612))))</f>
        <v>100</v>
      </c>
      <c r="AW612" s="57" t="n">
        <f aca="false">IF(BT612=1,0,ROUNDUP(AV612/BS612,0))</f>
        <v>1</v>
      </c>
      <c r="AX612" s="59" t="n">
        <f aca="false">IF(CH612&gt;0,CH612*MAX(1,AV612/X612),IF(BT612=1,IF(AV612&lt;=0,0,BW612*MAX(1,IF(H612&gt;0,AV612/H612,1))),IF(R612&gt;0,AW612/R612,0))/MAX(0.1,N(Parameter!$M$21)))</f>
        <v>0.00505050505050505</v>
      </c>
      <c r="AY612" s="57" t="n">
        <f aca="false">AV612*G612</f>
        <v>5</v>
      </c>
      <c r="AZ612" s="57" t="n">
        <f aca="false">ROUNDUP(MAX(J612/IF(BZ612&gt;0,BZ612,MAX(0.1,N(Cockpit!$O$6))),CC612)/BS612,0)*BS612</f>
        <v>100</v>
      </c>
      <c r="BA612" s="58" t="n">
        <f aca="false">IF(AX612&gt;0,J612/AX612,-1)</f>
        <v>0</v>
      </c>
      <c r="BB612" s="58" t="n">
        <f aca="false">IF(AND(OR(BY612="L1",BY612="L23"),AX612&gt;0),SUMIFS($AX$7:$AX$1843,$BY$7:$BY$1843,BY612,$BA$7:$BA$1843,"&gt;"&amp;BA612)+SUMIFS($AX$7:$AX$1843,$BY$7:$BY$1843,BY612,$BA$7:$BA$1843,BA612,$BQ$7:$BQ$1843,"&lt;="&amp;BQ612),"")</f>
        <v>106.439917570352</v>
      </c>
      <c r="BC612" s="65" t="n">
        <f aca="false">IF(BB612="",0,MAX(0,MIN(1,(IF(BY612="L1",Parameter!$E$5,Parameter!$E$6+Parameter!$E$7)-(BB612-AX612))/AX612)))</f>
        <v>0</v>
      </c>
      <c r="BD612" s="55" t="str">
        <f aca="false">IF(AH612&lt;=0,"",IF(BY612="Aussen","Aussenlager",IF(BY612="-","Nicht im Lift",IF(AM612&gt;=1,"Lift",IF(AM612&lt;=0,"Aussenlager","teilweise")))))</f>
        <v>Lift</v>
      </c>
      <c r="BE612" s="55" t="str">
        <f aca="false">IF(AP612&lt;=0,"",IF(BY612="Aussen","Aussenlager",IF(BY612="-","Nicht im Lift",IF(AU612&gt;=1,"Lift",IF(AU612&lt;=0,"Aussenlager","teilweise")))))</f>
        <v>Aussenlager</v>
      </c>
      <c r="BF612" s="55" t="str">
        <f aca="false">IF(AX612&lt;=0,"",IF(BY612="Aussen","Aussenlager",IF(BY612="-","Nicht im Lift",IF(BC612&gt;=1,"Lift",IF(BC612&lt;=0,"Aussenlager","teilweise")))))</f>
        <v>Aussenlager</v>
      </c>
      <c r="BG612" s="55" t="str">
        <f aca="false">IF(A612="","",IF(BP612=1,"Neu; ","")&amp;IF(AND(BP612=0,BK612&lt;0),"negativer Bestand (Export "&amp;BK612&amp;"); ","")&amp;IF(J612&lt;=0,"Kein Verbrauch; ","")&amp;IF(CH612&gt;0,"Lift "&amp;W612&amp;" lt. Liftbericht (Fach "&amp;X612&amp;" Stk); ",IF(BU612=1,"Gebinde geschätzt ("&amp;T612&amp;"); ",IF(BT612=1,"Lose – Tablare geschätzt; ","")))&amp;IF(H612&gt;AR612,"Überbestand "&amp;ROUND(H612-AR612,0)&amp;" Stk / CHF "&amp;ROUND((H612-AR612)*G612,0)&amp;"; ","")&amp;IF(AND(CA612=1,CB612&lt;CC612),"MAX &lt; MB+LG; ","")&amp;IF(AND(CG612&gt;0,CF612*10&gt;CG612),"zu hoch für Tablar; ","")&amp;IF(AND(BP612=0,OR(CA612=1,AA612&lt;&gt;"",U612&lt;&gt;"",V612&lt;&gt;"",AB612&lt;&gt;"")),"manuell übersteuert; ","")&amp;IF(AND(BT612=0,R612=0),"Gebinde unbekannt / Stellmass fehlt; ","")&amp;IF(AND(BT612=0,N(V612)&lt;=0,N(Q612)&lt;=0),"Menge pro Gebinde fehlt (Ist = 1 Gebinde); ","")&amp;BO612)</f>
        <v>Kein Verbrauch; </v>
      </c>
      <c r="BH612" s="55"/>
      <c r="BI612" s="55"/>
      <c r="BJ612" s="62"/>
      <c r="BK612" s="57" t="n">
        <v>96</v>
      </c>
      <c r="BL612" s="57" t="n">
        <v>4</v>
      </c>
      <c r="BM612" s="56" t="n">
        <v>4.8</v>
      </c>
      <c r="BN612" s="57" t="n">
        <v>0</v>
      </c>
      <c r="BO612" s="55"/>
      <c r="BP612" s="60" t="n">
        <v>0</v>
      </c>
      <c r="BQ612" s="60" t="n">
        <v>612</v>
      </c>
      <c r="BR612" s="55" t="str">
        <f aca="false">IF(U612&lt;&gt;"",UPPER(TRIM(U612)),IF(BU612=1,UPPER(VLOOKUP(T612,Parameter!$I$27:$K$29,2,0)),IF(P612="","LOSE",P612)))</f>
        <v>S22</v>
      </c>
      <c r="BS612" s="57" t="n">
        <f aca="false">IF(BR612="LOSE",1,IF(N(V612)&gt;0,V612,IF(BU612=1,MAX(1,N(VLOOKUP(T612,Parameter!$I$27:$K$29,3,0)),H612,N(N612)),IF(N(Q612)&gt;0,Q612,MAX(1,H612)))))</f>
        <v>100</v>
      </c>
      <c r="BT612" s="60" t="n">
        <f aca="false">IF(BR612="LOSE",1,0)</f>
        <v>0</v>
      </c>
      <c r="BU612" s="60" t="n">
        <f aca="false">IF(AND(U612="",OR(P612="",P612="LOSE"),T612&lt;&gt;"",N(S612)&lt;=0,ISNUMBER(MATCH(T612,Parameter!$I$27:$I$29,0))),1,0)</f>
        <v>0</v>
      </c>
      <c r="BV612" s="55" t="str">
        <f aca="false">IF(AND(Parameter!$B$19="Ja",E612&lt;&gt;"",ISNUMBER(MATCH(E612,Parameter!$I$35:$I$52,0))),VLOOKUP(E612,Parameter!$I$35:$J$52,2,0),IFERROR(VLOOKUP(D612,Parameter!$A$35:$C$64,2,0),"Nein"))</f>
        <v>2+3</v>
      </c>
      <c r="BW612" s="59" t="n">
        <f aca="false">IF(BT612=0,0,IF(N(S612)&gt;0,S612,IFERROR(VLOOKUP(D612,Parameter!$A$35:$C$64,3,0)+0,0)))</f>
        <v>0</v>
      </c>
      <c r="BX612" s="55" t="n">
        <f aca="false">IF(AA612&lt;&gt;"",AA612,Z612)</f>
        <v>3</v>
      </c>
      <c r="BY612" s="55" t="str">
        <f aca="false">IF(BX612=1,"L1",IF(OR(BX612=2,BX612=3),"L23",IF(BX612="Aussen","Aussen","-")))</f>
        <v>L23</v>
      </c>
      <c r="BZ612" s="66" t="n">
        <f aca="false">IF(N(AB612)&gt;0,AB612,0)</f>
        <v>0</v>
      </c>
      <c r="CA612" s="60" t="n">
        <f aca="false">IF(ISNUMBER(AE612),1,0)</f>
        <v>0</v>
      </c>
      <c r="CB612" s="57" t="n">
        <f aca="false">N(AE612)</f>
        <v>0</v>
      </c>
      <c r="CC612" s="57" t="n">
        <f aca="false">N(M612)+N(N612)</f>
        <v>10</v>
      </c>
      <c r="CD612" s="57" t="n">
        <f aca="false">ROUNDUP(H612/BS612,0)</f>
        <v>1</v>
      </c>
      <c r="CE612" s="57" t="n">
        <f aca="false">ROUNDUP(CB612/BS612,0)</f>
        <v>0</v>
      </c>
      <c r="CF612" s="60" t="n">
        <f aca="false">IF(BT612=1,0,IFERROR(VLOOKUP(BR612,'Gebinde-Kategorie'!$A$5:$M$45,5,0)+0,0))</f>
        <v>8</v>
      </c>
      <c r="CG612" s="60" t="n">
        <f aca="false">IFERROR(IF(OR(BX612=1,BX612=2,BX612=3),N(INDEX(Parameter!$I$5:$I$7,BX612)),0),0)</f>
        <v>0</v>
      </c>
      <c r="CH612" s="59" t="n">
        <f aca="false">IF(AND(Parameter!$B$21="Ja",ISNUMBER(W612),N(X612)&gt;0),IFERROR(N(INDEX(Parameter!$L$5:$L$7,W612))*INDEX(Parameter!$E$5:$E$7,W612)*X612/SUMIFS($X$7:$X$1843,$W$7:$W$1843,W612),0),0)</f>
        <v>0</v>
      </c>
    </row>
    <row r="613" customFormat="false" ht="15" hidden="false" customHeight="false" outlineLevel="0" collapsed="false">
      <c r="A613" s="55" t="s">
        <v>1263</v>
      </c>
      <c r="B613" s="55" t="s">
        <v>1264</v>
      </c>
      <c r="C613" s="55" t="s">
        <v>164</v>
      </c>
      <c r="D613" s="55" t="s">
        <v>184</v>
      </c>
      <c r="E613" s="55"/>
      <c r="F613" s="55" t="s">
        <v>218</v>
      </c>
      <c r="G613" s="56" t="n">
        <v>2.38</v>
      </c>
      <c r="H613" s="57" t="n">
        <f aca="false">MAX(0,IF(AND(Parameter!$B$21="Ja",ISNUMBER(Y613)),Y613,IF(Parameter!$B$20="Jahresanfang 2025 + Export",BL613+BK613,BK613)))</f>
        <v>110</v>
      </c>
      <c r="I613" s="57" t="n">
        <f aca="false">H613*G613</f>
        <v>261.8</v>
      </c>
      <c r="J613" s="57" t="n">
        <f aca="false">BN613*Parameter!$B$18</f>
        <v>0</v>
      </c>
      <c r="K613" s="58" t="n">
        <v>109</v>
      </c>
      <c r="L613" s="59" t="n">
        <v>0</v>
      </c>
      <c r="M613" s="57" t="n">
        <v>0</v>
      </c>
      <c r="N613" s="57" t="n">
        <v>50</v>
      </c>
      <c r="O613" s="60" t="n">
        <v>28</v>
      </c>
      <c r="P613" s="55" t="s">
        <v>476</v>
      </c>
      <c r="Q613" s="57" t="n">
        <v>110</v>
      </c>
      <c r="R613" s="60" t="n">
        <f aca="false">IF(BT613=1,0,IFERROR(VLOOKUP(BR613,'Gebinde-Kategorie'!$A$5:$M$45,13,0)+0,0))</f>
        <v>66</v>
      </c>
      <c r="S613" s="61"/>
      <c r="T613" s="62"/>
      <c r="U613" s="62"/>
      <c r="V613" s="62"/>
      <c r="W613" s="55"/>
      <c r="X613" s="57"/>
      <c r="Y613" s="57"/>
      <c r="Z613" s="55" t="n">
        <f aca="false">IF(A613="","",IF(AND(Parameter!$B$21="Ja",ISNUMBER(W613)),W613,IF(BV613="2+3",IF(ISNUMBER(SEARCH("grosser Artikel",BO613)),2,IFERROR(VLOOKUP(BR613,Parameter!$F$35:$G$64,2,0),2)),IF(OR(BV613="Nein",BV613=""),"-",BV613))))</f>
        <v>3</v>
      </c>
      <c r="AA613" s="62"/>
      <c r="AB613" s="63"/>
      <c r="AC613" s="57" t="n">
        <f aca="false">AR613</f>
        <v>110</v>
      </c>
      <c r="AD613" s="57" t="n">
        <f aca="false">MAX(AR613,H613)</f>
        <v>110</v>
      </c>
      <c r="AE613" s="64"/>
      <c r="AF613" s="57" t="n">
        <f aca="false">IF(LEFT(Cockpit!$C$5,1)="A",H613,IF(CA613=1,CB613,IF(LEFT(Cockpit!$C$5,1)="B",AJ613,MAX(AJ613,H613))))</f>
        <v>110</v>
      </c>
      <c r="AG613" s="57" t="n">
        <f aca="false">IF(BT613=1,0,ROUNDUP(AF613/BS613,0))</f>
        <v>1</v>
      </c>
      <c r="AH613" s="59" t="n">
        <f aca="false">IF(CH613&gt;0,CH613*MAX(1,AF613/X613),IF(BT613=1,IF(AF613&lt;=0,0,BW613*MAX(1,IF(H613&gt;0,AF613/H613,1))),IF(R613&gt;0,AG613/R613,0))/MAX(0.1,N(Parameter!$M$21)))</f>
        <v>0.0151515151515152</v>
      </c>
      <c r="AI613" s="57" t="n">
        <f aca="false">AF613*G613</f>
        <v>261.8</v>
      </c>
      <c r="AJ613" s="57" t="n">
        <f aca="false">ROUNDUP(MAX(J613/IF(BZ613&gt;0,BZ613,MAX(0.1,N(Cockpit!$C$6))),CC613)/BS613,0)*BS613</f>
        <v>110</v>
      </c>
      <c r="AK613" s="58" t="n">
        <f aca="false">IF(AH613&gt;0,J613/AH613,-1)</f>
        <v>0</v>
      </c>
      <c r="AL613" s="58" t="n">
        <f aca="false">IF(AND(OR(BY613="L1",BY613="L23"),AH613&gt;0),SUMIFS($AH$7:$AH$1843,$BY$7:$BY$1843,BY613,$AK$7:$AK$1843,"&gt;"&amp;AK613)+SUMIFS($AH$7:$AH$1843,$BY$7:$BY$1843,BY613,$AK$7:$AK$1843,AK613,$BQ$7:$BQ$1843,"&lt;="&amp;BQ613),"")</f>
        <v>76.2011080706733</v>
      </c>
      <c r="AM613" s="65" t="n">
        <f aca="false">IF(AL613="",0,MAX(0,MIN(1,(IF(BY613="L1",Parameter!$E$5,Parameter!$E$6+Parameter!$E$7)-(AL613-AH613))/AH613)))</f>
        <v>1</v>
      </c>
      <c r="AN613" s="57" t="n">
        <f aca="false">IF(LEFT(Cockpit!$I$5,1)="A",H613,IF(CA613=1,CB613,IF(LEFT(Cockpit!$I$5,1)="B",AR613,MAX(AR613,H613))))</f>
        <v>110</v>
      </c>
      <c r="AO613" s="57" t="n">
        <f aca="false">IF(BT613=1,0,ROUNDUP(AN613/BS613,0))</f>
        <v>1</v>
      </c>
      <c r="AP613" s="59" t="n">
        <f aca="false">IF(CH613&gt;0,CH613*MAX(1,AN613/X613),IF(BT613=1,IF(AN613&lt;=0,0,BW613*MAX(1,IF(H613&gt;0,AN613/H613,1))),IF(R613&gt;0,AO613/R613,0))/MAX(0.1,N(Parameter!$M$21)))</f>
        <v>0.0151515151515152</v>
      </c>
      <c r="AQ613" s="57" t="n">
        <f aca="false">AN613*G613</f>
        <v>261.8</v>
      </c>
      <c r="AR613" s="57" t="n">
        <f aca="false">ROUNDUP(MAX(J613/IF(BZ613&gt;0,BZ613,MAX(0.1,N(Cockpit!$I$6))),CC613)/BS613,0)*BS613</f>
        <v>110</v>
      </c>
      <c r="AS613" s="58" t="n">
        <f aca="false">IF(AP613&gt;0,J613/AP613,-1)</f>
        <v>0</v>
      </c>
      <c r="AT613" s="58" t="n">
        <f aca="false">IF(AND(OR(BY613="L1",BY613="L23"),AP613&gt;0),SUMIFS($AP$7:$AP$1843,$BY$7:$BY$1843,BY613,$AS$7:$AS$1843,"&gt;"&amp;AS613)+SUMIFS($AP$7:$AP$1843,$BY$7:$BY$1843,BY613,$AS$7:$AS$1843,AS613,$BQ$7:$BQ$1843,"&lt;="&amp;BQ613),"")</f>
        <v>115.625232255667</v>
      </c>
      <c r="AU613" s="65" t="n">
        <f aca="false">IF(AT613="",0,MAX(0,MIN(1,(IF(BY613="L1",Parameter!$E$5,Parameter!$E$6+Parameter!$E$7)-(AT613-AP613))/AP613)))</f>
        <v>0</v>
      </c>
      <c r="AV613" s="57" t="n">
        <f aca="false">IF(LEFT(Cockpit!$O$5,1)="A",H613,IF(CA613=1,CB613,IF(LEFT(Cockpit!$O$5,1)="B",AZ613,MAX(AZ613,H613))))</f>
        <v>110</v>
      </c>
      <c r="AW613" s="57" t="n">
        <f aca="false">IF(BT613=1,0,ROUNDUP(AV613/BS613,0))</f>
        <v>1</v>
      </c>
      <c r="AX613" s="59" t="n">
        <f aca="false">IF(CH613&gt;0,CH613*MAX(1,AV613/X613),IF(BT613=1,IF(AV613&lt;=0,0,BW613*MAX(1,IF(H613&gt;0,AV613/H613,1))),IF(R613&gt;0,AW613/R613,0))/MAX(0.1,N(Parameter!$M$21)))</f>
        <v>0.0151515151515152</v>
      </c>
      <c r="AY613" s="57" t="n">
        <f aca="false">AV613*G613</f>
        <v>261.8</v>
      </c>
      <c r="AZ613" s="57" t="n">
        <f aca="false">ROUNDUP(MAX(J613/IF(BZ613&gt;0,BZ613,MAX(0.1,N(Cockpit!$O$6))),CC613)/BS613,0)*BS613</f>
        <v>110</v>
      </c>
      <c r="BA613" s="58" t="n">
        <f aca="false">IF(AX613&gt;0,J613/AX613,-1)</f>
        <v>0</v>
      </c>
      <c r="BB613" s="58" t="n">
        <f aca="false">IF(AND(OR(BY613="L1",BY613="L23"),AX613&gt;0),SUMIFS($AX$7:$AX$1843,$BY$7:$BY$1843,BY613,$BA$7:$BA$1843,"&gt;"&amp;BA613)+SUMIFS($AX$7:$AX$1843,$BY$7:$BY$1843,BY613,$BA$7:$BA$1843,BA613,$BQ$7:$BQ$1843,"&lt;="&amp;BQ613),"")</f>
        <v>106.455069085504</v>
      </c>
      <c r="BC613" s="65" t="n">
        <f aca="false">IF(BB613="",0,MAX(0,MIN(1,(IF(BY613="L1",Parameter!$E$5,Parameter!$E$6+Parameter!$E$7)-(BB613-AX613))/AX613)))</f>
        <v>0</v>
      </c>
      <c r="BD613" s="55" t="str">
        <f aca="false">IF(AH613&lt;=0,"",IF(BY613="Aussen","Aussenlager",IF(BY613="-","Nicht im Lift",IF(AM613&gt;=1,"Lift",IF(AM613&lt;=0,"Aussenlager","teilweise")))))</f>
        <v>Lift</v>
      </c>
      <c r="BE613" s="55" t="str">
        <f aca="false">IF(AP613&lt;=0,"",IF(BY613="Aussen","Aussenlager",IF(BY613="-","Nicht im Lift",IF(AU613&gt;=1,"Lift",IF(AU613&lt;=0,"Aussenlager","teilweise")))))</f>
        <v>Aussenlager</v>
      </c>
      <c r="BF613" s="55" t="str">
        <f aca="false">IF(AX613&lt;=0,"",IF(BY613="Aussen","Aussenlager",IF(BY613="-","Nicht im Lift",IF(BC613&gt;=1,"Lift",IF(BC613&lt;=0,"Aussenlager","teilweise")))))</f>
        <v>Aussenlager</v>
      </c>
      <c r="BG613" s="55" t="str">
        <f aca="false">IF(A613="","",IF(BP613=1,"Neu; ","")&amp;IF(AND(BP613=0,BK613&lt;0),"negativer Bestand (Export "&amp;BK613&amp;"); ","")&amp;IF(J613&lt;=0,"Kein Verbrauch; ","")&amp;IF(CH613&gt;0,"Lift "&amp;W613&amp;" lt. Liftbericht (Fach "&amp;X613&amp;" Stk); ",IF(BU613=1,"Gebinde geschätzt ("&amp;T613&amp;"); ",IF(BT613=1,"Lose – Tablare geschätzt; ","")))&amp;IF(H613&gt;AR613,"Überbestand "&amp;ROUND(H613-AR613,0)&amp;" Stk / CHF "&amp;ROUND((H613-AR613)*G613,0)&amp;"; ","")&amp;IF(AND(CA613=1,CB613&lt;CC613),"MAX &lt; MB+LG; ","")&amp;IF(AND(CG613&gt;0,CF613*10&gt;CG613),"zu hoch für Tablar; ","")&amp;IF(AND(BP613=0,OR(CA613=1,AA613&lt;&gt;"",U613&lt;&gt;"",V613&lt;&gt;"",AB613&lt;&gt;"")),"manuell übersteuert; ","")&amp;IF(AND(BT613=0,R613=0),"Gebinde unbekannt / Stellmass fehlt; ","")&amp;IF(AND(BT613=0,N(V613)&lt;=0,N(Q613)&lt;=0),"Menge pro Gebinde fehlt (Ist = 1 Gebinde); ","")&amp;BO613)</f>
        <v>Kein Verbrauch; </v>
      </c>
      <c r="BH613" s="55"/>
      <c r="BI613" s="55"/>
      <c r="BJ613" s="62"/>
      <c r="BK613" s="57" t="n">
        <v>2</v>
      </c>
      <c r="BL613" s="57" t="n">
        <v>108</v>
      </c>
      <c r="BM613" s="56" t="n">
        <v>4.76</v>
      </c>
      <c r="BN613" s="57" t="n">
        <v>0</v>
      </c>
      <c r="BO613" s="55"/>
      <c r="BP613" s="60" t="n">
        <v>0</v>
      </c>
      <c r="BQ613" s="60" t="n">
        <v>613</v>
      </c>
      <c r="BR613" s="55" t="str">
        <f aca="false">IF(U613&lt;&gt;"",UPPER(TRIM(U613)),IF(BU613=1,UPPER(VLOOKUP(T613,Parameter!$I$27:$K$29,2,0)),IF(P613="","LOSE",P613)))</f>
        <v>S33</v>
      </c>
      <c r="BS613" s="57" t="n">
        <f aca="false">IF(BR613="LOSE",1,IF(N(V613)&gt;0,V613,IF(BU613=1,MAX(1,N(VLOOKUP(T613,Parameter!$I$27:$K$29,3,0)),H613,N(N613)),IF(N(Q613)&gt;0,Q613,MAX(1,H613)))))</f>
        <v>110</v>
      </c>
      <c r="BT613" s="60" t="n">
        <f aca="false">IF(BR613="LOSE",1,0)</f>
        <v>0</v>
      </c>
      <c r="BU613" s="60" t="n">
        <f aca="false">IF(AND(U613="",OR(P613="",P613="LOSE"),T613&lt;&gt;"",N(S613)&lt;=0,ISNUMBER(MATCH(T613,Parameter!$I$27:$I$29,0))),1,0)</f>
        <v>0</v>
      </c>
      <c r="BV613" s="55" t="str">
        <f aca="false">IF(AND(Parameter!$B$19="Ja",E613&lt;&gt;"",ISNUMBER(MATCH(E613,Parameter!$I$35:$I$52,0))),VLOOKUP(E613,Parameter!$I$35:$J$52,2,0),IFERROR(VLOOKUP(D613,Parameter!$A$35:$C$64,2,0),"Nein"))</f>
        <v>2+3</v>
      </c>
      <c r="BW613" s="59" t="n">
        <f aca="false">IF(BT613=0,0,IF(N(S613)&gt;0,S613,IFERROR(VLOOKUP(D613,Parameter!$A$35:$C$64,3,0)+0,0)))</f>
        <v>0</v>
      </c>
      <c r="BX613" s="55" t="n">
        <f aca="false">IF(AA613&lt;&gt;"",AA613,Z613)</f>
        <v>3</v>
      </c>
      <c r="BY613" s="55" t="str">
        <f aca="false">IF(BX613=1,"L1",IF(OR(BX613=2,BX613=3),"L23",IF(BX613="Aussen","Aussen","-")))</f>
        <v>L23</v>
      </c>
      <c r="BZ613" s="66" t="n">
        <f aca="false">IF(N(AB613)&gt;0,AB613,0)</f>
        <v>0</v>
      </c>
      <c r="CA613" s="60" t="n">
        <f aca="false">IF(ISNUMBER(AE613),1,0)</f>
        <v>0</v>
      </c>
      <c r="CB613" s="57" t="n">
        <f aca="false">N(AE613)</f>
        <v>0</v>
      </c>
      <c r="CC613" s="57" t="n">
        <f aca="false">N(M613)+N(N613)</f>
        <v>50</v>
      </c>
      <c r="CD613" s="57" t="n">
        <f aca="false">ROUNDUP(H613/BS613,0)</f>
        <v>1</v>
      </c>
      <c r="CE613" s="57" t="n">
        <f aca="false">ROUNDUP(CB613/BS613,0)</f>
        <v>0</v>
      </c>
      <c r="CF613" s="60" t="n">
        <f aca="false">IF(BT613=1,0,IFERROR(VLOOKUP(BR613,'Gebinde-Kategorie'!$A$5:$M$45,5,0)+0,0))</f>
        <v>8</v>
      </c>
      <c r="CG613" s="60" t="n">
        <f aca="false">IFERROR(IF(OR(BX613=1,BX613=2,BX613=3),N(INDEX(Parameter!$I$5:$I$7,BX613)),0),0)</f>
        <v>0</v>
      </c>
      <c r="CH613" s="59" t="n">
        <f aca="false">IF(AND(Parameter!$B$21="Ja",ISNUMBER(W613),N(X613)&gt;0),IFERROR(N(INDEX(Parameter!$L$5:$L$7,W613))*INDEX(Parameter!$E$5:$E$7,W613)*X613/SUMIFS($X$7:$X$1843,$W$7:$W$1843,W613),0),0)</f>
        <v>0</v>
      </c>
    </row>
    <row r="614" customFormat="false" ht="15" hidden="false" customHeight="false" outlineLevel="0" collapsed="false">
      <c r="A614" s="55" t="s">
        <v>1265</v>
      </c>
      <c r="B614" s="55" t="s">
        <v>1266</v>
      </c>
      <c r="C614" s="55" t="s">
        <v>164</v>
      </c>
      <c r="D614" s="55" t="s">
        <v>995</v>
      </c>
      <c r="E614" s="55"/>
      <c r="F614" s="55" t="s">
        <v>218</v>
      </c>
      <c r="G614" s="56" t="n">
        <v>0.29</v>
      </c>
      <c r="H614" s="57" t="n">
        <f aca="false">MAX(0,IF(AND(Parameter!$B$21="Ja",ISNUMBER(Y614)),Y614,IF(Parameter!$B$20="Jahresanfang 2025 + Export",BL614+BK614,BK614)))</f>
        <v>16</v>
      </c>
      <c r="I614" s="57" t="n">
        <f aca="false">H614*G614</f>
        <v>4.64</v>
      </c>
      <c r="J614" s="57" t="n">
        <f aca="false">BN614*Parameter!$B$18</f>
        <v>34</v>
      </c>
      <c r="K614" s="58" t="n">
        <v>8</v>
      </c>
      <c r="L614" s="59" t="n">
        <v>4.25</v>
      </c>
      <c r="M614" s="57" t="n">
        <v>0</v>
      </c>
      <c r="N614" s="57" t="n">
        <v>50</v>
      </c>
      <c r="O614" s="60" t="n">
        <v>21</v>
      </c>
      <c r="P614" s="55" t="s">
        <v>168</v>
      </c>
      <c r="Q614" s="57"/>
      <c r="R614" s="60" t="n">
        <f aca="false">IF(BT614=1,0,IFERROR(VLOOKUP(BR614,'Gebinde-Kategorie'!$A$5:$M$45,13,0)+0,0))</f>
        <v>0</v>
      </c>
      <c r="S614" s="61"/>
      <c r="T614" s="62"/>
      <c r="U614" s="62"/>
      <c r="V614" s="62"/>
      <c r="W614" s="55"/>
      <c r="X614" s="57"/>
      <c r="Y614" s="57"/>
      <c r="Z614" s="55" t="str">
        <f aca="false">IF(A614="","",IF(AND(Parameter!$B$21="Ja",ISNUMBER(W614)),W614,IF(BV614="2+3",IF(ISNUMBER(SEARCH("grosser Artikel",BO614)),2,IFERROR(VLOOKUP(BR614,Parameter!$F$35:$G$64,2,0),2)),IF(OR(BV614="Nein",BV614=""),"-",BV614))))</f>
        <v>-</v>
      </c>
      <c r="AA614" s="62"/>
      <c r="AB614" s="63"/>
      <c r="AC614" s="57" t="n">
        <f aca="false">AR614</f>
        <v>50</v>
      </c>
      <c r="AD614" s="57" t="n">
        <f aca="false">MAX(AR614,H614)</f>
        <v>50</v>
      </c>
      <c r="AE614" s="64"/>
      <c r="AF614" s="57" t="n">
        <f aca="false">IF(LEFT(Cockpit!$C$5,1)="A",H614,IF(CA614=1,CB614,IF(LEFT(Cockpit!$C$5,1)="B",AJ614,MAX(AJ614,H614))))</f>
        <v>16</v>
      </c>
      <c r="AG614" s="57" t="n">
        <f aca="false">IF(BT614=1,0,ROUNDUP(AF614/BS614,0))</f>
        <v>0</v>
      </c>
      <c r="AH614" s="59" t="n">
        <f aca="false">IF(CH614&gt;0,CH614*MAX(1,AF614/X614),IF(BT614=1,IF(AF614&lt;=0,0,BW614*MAX(1,IF(H614&gt;0,AF614/H614,1))),IF(R614&gt;0,AG614/R614,0))/MAX(0.1,N(Parameter!$M$21)))</f>
        <v>0.15</v>
      </c>
      <c r="AI614" s="57" t="n">
        <f aca="false">AF614*G614</f>
        <v>4.64</v>
      </c>
      <c r="AJ614" s="57" t="n">
        <f aca="false">ROUNDUP(MAX(J614/IF(BZ614&gt;0,BZ614,MAX(0.1,N(Cockpit!$C$6))),CC614)/BS614,0)*BS614</f>
        <v>50</v>
      </c>
      <c r="AK614" s="58" t="n">
        <f aca="false">IF(AH614&gt;0,J614/AH614,-1)</f>
        <v>226.666666666667</v>
      </c>
      <c r="AL614" s="58" t="str">
        <f aca="false">IF(AND(OR(BY614="L1",BY614="L23"),AH614&gt;0),SUMIFS($AH$7:$AH$1843,$BY$7:$BY$1843,BY614,$AK$7:$AK$1843,"&gt;"&amp;AK614)+SUMIFS($AH$7:$AH$1843,$BY$7:$BY$1843,BY614,$AK$7:$AK$1843,AK614,$BQ$7:$BQ$1843,"&lt;="&amp;BQ614),"")</f>
        <v/>
      </c>
      <c r="AM614" s="65" t="n">
        <f aca="false">IF(AL614="",0,MAX(0,MIN(1,(IF(BY614="L1",Parameter!$E$5,Parameter!$E$6+Parameter!$E$7)-(AL614-AH614))/AH614)))</f>
        <v>0</v>
      </c>
      <c r="AN614" s="57" t="n">
        <f aca="false">IF(LEFT(Cockpit!$I$5,1)="A",H614,IF(CA614=1,CB614,IF(LEFT(Cockpit!$I$5,1)="B",AR614,MAX(AR614,H614))))</f>
        <v>50</v>
      </c>
      <c r="AO614" s="57" t="n">
        <f aca="false">IF(BT614=1,0,ROUNDUP(AN614/BS614,0))</f>
        <v>0</v>
      </c>
      <c r="AP614" s="59" t="n">
        <f aca="false">IF(CH614&gt;0,CH614*MAX(1,AN614/X614),IF(BT614=1,IF(AN614&lt;=0,0,BW614*MAX(1,IF(H614&gt;0,AN614/H614,1))),IF(R614&gt;0,AO614/R614,0))/MAX(0.1,N(Parameter!$M$21)))</f>
        <v>0.46875</v>
      </c>
      <c r="AQ614" s="57" t="n">
        <f aca="false">AN614*G614</f>
        <v>14.5</v>
      </c>
      <c r="AR614" s="57" t="n">
        <f aca="false">ROUNDUP(MAX(J614/IF(BZ614&gt;0,BZ614,MAX(0.1,N(Cockpit!$I$6))),CC614)/BS614,0)*BS614</f>
        <v>50</v>
      </c>
      <c r="AS614" s="58" t="n">
        <f aca="false">IF(AP614&gt;0,J614/AP614,-1)</f>
        <v>72.5333333333333</v>
      </c>
      <c r="AT614" s="58" t="str">
        <f aca="false">IF(AND(OR(BY614="L1",BY614="L23"),AP614&gt;0),SUMIFS($AP$7:$AP$1843,$BY$7:$BY$1843,BY614,$AS$7:$AS$1843,"&gt;"&amp;AS614)+SUMIFS($AP$7:$AP$1843,$BY$7:$BY$1843,BY614,$AS$7:$AS$1843,AS614,$BQ$7:$BQ$1843,"&lt;="&amp;BQ614),"")</f>
        <v/>
      </c>
      <c r="AU614" s="65" t="n">
        <f aca="false">IF(AT614="",0,MAX(0,MIN(1,(IF(BY614="L1",Parameter!$E$5,Parameter!$E$6+Parameter!$E$7)-(AT614-AP614))/AP614)))</f>
        <v>0</v>
      </c>
      <c r="AV614" s="57" t="n">
        <f aca="false">IF(LEFT(Cockpit!$O$5,1)="A",H614,IF(CA614=1,CB614,IF(LEFT(Cockpit!$O$5,1)="B",AZ614,MAX(AZ614,H614))))</f>
        <v>50</v>
      </c>
      <c r="AW614" s="57" t="n">
        <f aca="false">IF(BT614=1,0,ROUNDUP(AV614/BS614,0))</f>
        <v>0</v>
      </c>
      <c r="AX614" s="59" t="n">
        <f aca="false">IF(CH614&gt;0,CH614*MAX(1,AV614/X614),IF(BT614=1,IF(AV614&lt;=0,0,BW614*MAX(1,IF(H614&gt;0,AV614/H614,1))),IF(R614&gt;0,AW614/R614,0))/MAX(0.1,N(Parameter!$M$21)))</f>
        <v>0.46875</v>
      </c>
      <c r="AY614" s="57" t="n">
        <f aca="false">AV614*G614</f>
        <v>14.5</v>
      </c>
      <c r="AZ614" s="57" t="n">
        <f aca="false">ROUNDUP(MAX(J614/IF(BZ614&gt;0,BZ614,MAX(0.1,N(Cockpit!$O$6))),CC614)/BS614,0)*BS614</f>
        <v>50</v>
      </c>
      <c r="BA614" s="58" t="n">
        <f aca="false">IF(AX614&gt;0,J614/AX614,-1)</f>
        <v>72.5333333333333</v>
      </c>
      <c r="BB614" s="58" t="str">
        <f aca="false">IF(AND(OR(BY614="L1",BY614="L23"),AX614&gt;0),SUMIFS($AX$7:$AX$1843,$BY$7:$BY$1843,BY614,$BA$7:$BA$1843,"&gt;"&amp;BA614)+SUMIFS($AX$7:$AX$1843,$BY$7:$BY$1843,BY614,$BA$7:$BA$1843,BA614,$BQ$7:$BQ$1843,"&lt;="&amp;BQ614),"")</f>
        <v/>
      </c>
      <c r="BC614" s="65" t="n">
        <f aca="false">IF(BB614="",0,MAX(0,MIN(1,(IF(BY614="L1",Parameter!$E$5,Parameter!$E$6+Parameter!$E$7)-(BB614-AX614))/AX614)))</f>
        <v>0</v>
      </c>
      <c r="BD614" s="55" t="str">
        <f aca="false">IF(AH614&lt;=0,"",IF(BY614="Aussen","Aussenlager",IF(BY614="-","Nicht im Lift",IF(AM614&gt;=1,"Lift",IF(AM614&lt;=0,"Aussenlager","teilweise")))))</f>
        <v>Nicht im Lift</v>
      </c>
      <c r="BE614" s="55" t="str">
        <f aca="false">IF(AP614&lt;=0,"",IF(BY614="Aussen","Aussenlager",IF(BY614="-","Nicht im Lift",IF(AU614&gt;=1,"Lift",IF(AU614&lt;=0,"Aussenlager","teilweise")))))</f>
        <v>Nicht im Lift</v>
      </c>
      <c r="BF614" s="55" t="str">
        <f aca="false">IF(AX614&lt;=0,"",IF(BY614="Aussen","Aussenlager",IF(BY614="-","Nicht im Lift",IF(BC614&gt;=1,"Lift",IF(BC614&lt;=0,"Aussenlager","teilweise")))))</f>
        <v>Nicht im Lift</v>
      </c>
      <c r="BG614" s="55" t="str">
        <f aca="false">IF(A614="","",IF(BP614=1,"Neu; ","")&amp;IF(AND(BP614=0,BK614&lt;0),"negativer Bestand (Export "&amp;BK614&amp;"); ","")&amp;IF(J614&lt;=0,"Kein Verbrauch; ","")&amp;IF(CH614&gt;0,"Lift "&amp;W614&amp;" lt. Liftbericht (Fach "&amp;X614&amp;" Stk); ",IF(BU614=1,"Gebinde geschätzt ("&amp;T614&amp;"); ",IF(BT614=1,"Lose – Tablare geschätzt; ","")))&amp;IF(H614&gt;AR614,"Überbestand "&amp;ROUND(H614-AR614,0)&amp;" Stk / CHF "&amp;ROUND((H614-AR614)*G614,0)&amp;"; ","")&amp;IF(AND(CA614=1,CB614&lt;CC614),"MAX &lt; MB+LG; ","")&amp;IF(AND(CG614&gt;0,CF614*10&gt;CG614),"zu hoch für Tablar; ","")&amp;IF(AND(BP614=0,OR(CA614=1,AA614&lt;&gt;"",U614&lt;&gt;"",V614&lt;&gt;"",AB614&lt;&gt;"")),"manuell übersteuert; ","")&amp;IF(AND(BT614=0,R614=0),"Gebinde unbekannt / Stellmass fehlt; ","")&amp;IF(AND(BT614=0,N(V614)&lt;=0,N(Q614)&lt;=0),"Menge pro Gebinde fehlt (Ist = 1 Gebinde); ","")&amp;BO614)</f>
        <v>Lose – Tablare geschätzt; </v>
      </c>
      <c r="BH614" s="55"/>
      <c r="BI614" s="55"/>
      <c r="BJ614" s="62"/>
      <c r="BK614" s="57" t="n">
        <v>16</v>
      </c>
      <c r="BL614" s="57" t="n">
        <v>0</v>
      </c>
      <c r="BM614" s="56" t="n">
        <v>4.64</v>
      </c>
      <c r="BN614" s="57" t="n">
        <v>34</v>
      </c>
      <c r="BO614" s="55"/>
      <c r="BP614" s="60" t="n">
        <v>0</v>
      </c>
      <c r="BQ614" s="60" t="n">
        <v>614</v>
      </c>
      <c r="BR614" s="55" t="str">
        <f aca="false">IF(U614&lt;&gt;"",UPPER(TRIM(U614)),IF(BU614=1,UPPER(VLOOKUP(T614,Parameter!$I$27:$K$29,2,0)),IF(P614="","LOSE",P614)))</f>
        <v>LOSE</v>
      </c>
      <c r="BS614" s="57" t="n">
        <f aca="false">IF(BR614="LOSE",1,IF(N(V614)&gt;0,V614,IF(BU614=1,MAX(1,N(VLOOKUP(T614,Parameter!$I$27:$K$29,3,0)),H614,N(N614)),IF(N(Q614)&gt;0,Q614,MAX(1,H614)))))</f>
        <v>1</v>
      </c>
      <c r="BT614" s="60" t="n">
        <f aca="false">IF(BR614="LOSE",1,0)</f>
        <v>1</v>
      </c>
      <c r="BU614" s="60" t="n">
        <f aca="false">IF(AND(U614="",OR(P614="",P614="LOSE"),T614&lt;&gt;"",N(S614)&lt;=0,ISNUMBER(MATCH(T614,Parameter!$I$27:$I$29,0))),1,0)</f>
        <v>0</v>
      </c>
      <c r="BV614" s="55" t="str">
        <f aca="false">IF(AND(Parameter!$B$19="Ja",E614&lt;&gt;"",ISNUMBER(MATCH(E614,Parameter!$I$35:$I$52,0))),VLOOKUP(E614,Parameter!$I$35:$J$52,2,0),IFERROR(VLOOKUP(D614,Parameter!$A$35:$C$64,2,0),"Nein"))</f>
        <v>Nein</v>
      </c>
      <c r="BW614" s="59" t="n">
        <f aca="false">IF(BT614=0,0,IF(N(S614)&gt;0,S614,IFERROR(VLOOKUP(D614,Parameter!$A$35:$C$64,3,0)+0,0)))</f>
        <v>0.15</v>
      </c>
      <c r="BX614" s="55" t="str">
        <f aca="false">IF(AA614&lt;&gt;"",AA614,Z614)</f>
        <v>-</v>
      </c>
      <c r="BY614" s="55" t="str">
        <f aca="false">IF(BX614=1,"L1",IF(OR(BX614=2,BX614=3),"L23",IF(BX614="Aussen","Aussen","-")))</f>
        <v>-</v>
      </c>
      <c r="BZ614" s="66" t="n">
        <f aca="false">IF(N(AB614)&gt;0,AB614,0)</f>
        <v>0</v>
      </c>
      <c r="CA614" s="60" t="n">
        <f aca="false">IF(ISNUMBER(AE614),1,0)</f>
        <v>0</v>
      </c>
      <c r="CB614" s="57" t="n">
        <f aca="false">N(AE614)</f>
        <v>0</v>
      </c>
      <c r="CC614" s="57" t="n">
        <f aca="false">N(M614)+N(N614)</f>
        <v>50</v>
      </c>
      <c r="CD614" s="57" t="n">
        <f aca="false">ROUNDUP(H614/BS614,0)</f>
        <v>16</v>
      </c>
      <c r="CE614" s="57" t="n">
        <f aca="false">ROUNDUP(CB614/BS614,0)</f>
        <v>0</v>
      </c>
      <c r="CF614" s="60" t="n">
        <f aca="false">IF(BT614=1,0,IFERROR(VLOOKUP(BR614,'Gebinde-Kategorie'!$A$5:$M$45,5,0)+0,0))</f>
        <v>0</v>
      </c>
      <c r="CG614" s="60" t="n">
        <f aca="false">IFERROR(IF(OR(BX614=1,BX614=2,BX614=3),N(INDEX(Parameter!$I$5:$I$7,BX614)),0),0)</f>
        <v>0</v>
      </c>
      <c r="CH614" s="59" t="n">
        <f aca="false">IF(AND(Parameter!$B$21="Ja",ISNUMBER(W614),N(X614)&gt;0),IFERROR(N(INDEX(Parameter!$L$5:$L$7,W614))*INDEX(Parameter!$E$5:$E$7,W614)*X614/SUMIFS($X$7:$X$1843,$W$7:$W$1843,W614),0),0)</f>
        <v>0</v>
      </c>
    </row>
    <row r="615" customFormat="false" ht="15" hidden="false" customHeight="false" outlineLevel="0" collapsed="false">
      <c r="A615" s="55" t="s">
        <v>1267</v>
      </c>
      <c r="B615" s="55" t="s">
        <v>1268</v>
      </c>
      <c r="C615" s="55" t="s">
        <v>164</v>
      </c>
      <c r="D615" s="55" t="s">
        <v>184</v>
      </c>
      <c r="E615" s="55" t="s">
        <v>185</v>
      </c>
      <c r="F615" s="55" t="s">
        <v>218</v>
      </c>
      <c r="G615" s="56" t="n">
        <v>0.58</v>
      </c>
      <c r="H615" s="57" t="n">
        <f aca="false">MAX(0,IF(AND(Parameter!$B$21="Ja",ISNUMBER(Y615)),Y615,IF(Parameter!$B$20="Jahresanfang 2025 + Export",BL615+BK615,BK615)))</f>
        <v>114</v>
      </c>
      <c r="I615" s="57" t="n">
        <f aca="false">H615*G615</f>
        <v>66.12</v>
      </c>
      <c r="J615" s="57" t="n">
        <f aca="false">BN615*Parameter!$B$18</f>
        <v>0</v>
      </c>
      <c r="K615" s="58" t="n">
        <v>110.5</v>
      </c>
      <c r="L615" s="59" t="n">
        <v>0</v>
      </c>
      <c r="M615" s="57" t="n">
        <v>0</v>
      </c>
      <c r="N615" s="57" t="n">
        <v>1</v>
      </c>
      <c r="O615" s="60" t="n">
        <v>21</v>
      </c>
      <c r="P615" s="55" t="s">
        <v>421</v>
      </c>
      <c r="Q615" s="57" t="n">
        <v>123</v>
      </c>
      <c r="R615" s="60" t="n">
        <f aca="false">IF(BT615=1,0,IFERROR(VLOOKUP(BR615,'Gebinde-Kategorie'!$A$5:$M$45,13,0)+0,0))</f>
        <v>132</v>
      </c>
      <c r="S615" s="61"/>
      <c r="T615" s="62"/>
      <c r="U615" s="62"/>
      <c r="V615" s="62"/>
      <c r="W615" s="55"/>
      <c r="X615" s="57"/>
      <c r="Y615" s="57"/>
      <c r="Z615" s="55" t="n">
        <f aca="false">IF(A615="","",IF(AND(Parameter!$B$21="Ja",ISNUMBER(W615)),W615,IF(BV615="2+3",IF(ISNUMBER(SEARCH("grosser Artikel",BO615)),2,IFERROR(VLOOKUP(BR615,Parameter!$F$35:$G$64,2,0),2)),IF(OR(BV615="Nein",BV615=""),"-",BV615))))</f>
        <v>3</v>
      </c>
      <c r="AA615" s="62"/>
      <c r="AB615" s="63"/>
      <c r="AC615" s="57" t="n">
        <f aca="false">AR615</f>
        <v>123</v>
      </c>
      <c r="AD615" s="57" t="n">
        <f aca="false">MAX(AR615,H615)</f>
        <v>123</v>
      </c>
      <c r="AE615" s="64"/>
      <c r="AF615" s="57" t="n">
        <f aca="false">IF(LEFT(Cockpit!$C$5,1)="A",H615,IF(CA615=1,CB615,IF(LEFT(Cockpit!$C$5,1)="B",AJ615,MAX(AJ615,H615))))</f>
        <v>114</v>
      </c>
      <c r="AG615" s="57" t="n">
        <f aca="false">IF(BT615=1,0,ROUNDUP(AF615/BS615,0))</f>
        <v>1</v>
      </c>
      <c r="AH615" s="59" t="n">
        <f aca="false">IF(CH615&gt;0,CH615*MAX(1,AF615/X615),IF(BT615=1,IF(AF615&lt;=0,0,BW615*MAX(1,IF(H615&gt;0,AF615/H615,1))),IF(R615&gt;0,AG615/R615,0))/MAX(0.1,N(Parameter!$M$21)))</f>
        <v>0.00757575757575758</v>
      </c>
      <c r="AI615" s="57" t="n">
        <f aca="false">AF615*G615</f>
        <v>66.12</v>
      </c>
      <c r="AJ615" s="57" t="n">
        <f aca="false">ROUNDUP(MAX(J615/IF(BZ615&gt;0,BZ615,MAX(0.1,N(Cockpit!$C$6))),CC615)/BS615,0)*BS615</f>
        <v>123</v>
      </c>
      <c r="AK615" s="58" t="n">
        <f aca="false">IF(AH615&gt;0,J615/AH615,-1)</f>
        <v>0</v>
      </c>
      <c r="AL615" s="58" t="n">
        <f aca="false">IF(AND(OR(BY615="L1",BY615="L23"),AH615&gt;0),SUMIFS($AH$7:$AH$1843,$BY$7:$BY$1843,BY615,$AK$7:$AK$1843,"&gt;"&amp;AK615)+SUMIFS($AH$7:$AH$1843,$BY$7:$BY$1843,BY615,$AK$7:$AK$1843,AK615,$BQ$7:$BQ$1843,"&lt;="&amp;BQ615),"")</f>
        <v>76.2086838282491</v>
      </c>
      <c r="AM615" s="65" t="n">
        <f aca="false">IF(AL615="",0,MAX(0,MIN(1,(IF(BY615="L1",Parameter!$E$5,Parameter!$E$6+Parameter!$E$7)-(AL615-AH615))/AH615)))</f>
        <v>1</v>
      </c>
      <c r="AN615" s="57" t="n">
        <f aca="false">IF(LEFT(Cockpit!$I$5,1)="A",H615,IF(CA615=1,CB615,IF(LEFT(Cockpit!$I$5,1)="B",AR615,MAX(AR615,H615))))</f>
        <v>123</v>
      </c>
      <c r="AO615" s="57" t="n">
        <f aca="false">IF(BT615=1,0,ROUNDUP(AN615/BS615,0))</f>
        <v>1</v>
      </c>
      <c r="AP615" s="59" t="n">
        <f aca="false">IF(CH615&gt;0,CH615*MAX(1,AN615/X615),IF(BT615=1,IF(AN615&lt;=0,0,BW615*MAX(1,IF(H615&gt;0,AN615/H615,1))),IF(R615&gt;0,AO615/R615,0))/MAX(0.1,N(Parameter!$M$21)))</f>
        <v>0.00757575757575758</v>
      </c>
      <c r="AQ615" s="57" t="n">
        <f aca="false">AN615*G615</f>
        <v>71.34</v>
      </c>
      <c r="AR615" s="57" t="n">
        <f aca="false">ROUNDUP(MAX(J615/IF(BZ615&gt;0,BZ615,MAX(0.1,N(Cockpit!$I$6))),CC615)/BS615,0)*BS615</f>
        <v>123</v>
      </c>
      <c r="AS615" s="58" t="n">
        <f aca="false">IF(AP615&gt;0,J615/AP615,-1)</f>
        <v>0</v>
      </c>
      <c r="AT615" s="58" t="n">
        <f aca="false">IF(AND(OR(BY615="L1",BY615="L23"),AP615&gt;0),SUMIFS($AP$7:$AP$1843,$BY$7:$BY$1843,BY615,$AS$7:$AS$1843,"&gt;"&amp;AS615)+SUMIFS($AP$7:$AP$1843,$BY$7:$BY$1843,BY615,$AS$7:$AS$1843,AS615,$BQ$7:$BQ$1843,"&lt;="&amp;BQ615),"")</f>
        <v>115.632808013243</v>
      </c>
      <c r="AU615" s="65" t="n">
        <f aca="false">IF(AT615="",0,MAX(0,MIN(1,(IF(BY615="L1",Parameter!$E$5,Parameter!$E$6+Parameter!$E$7)-(AT615-AP615))/AP615)))</f>
        <v>0</v>
      </c>
      <c r="AV615" s="57" t="n">
        <f aca="false">IF(LEFT(Cockpit!$O$5,1)="A",H615,IF(CA615=1,CB615,IF(LEFT(Cockpit!$O$5,1)="B",AZ615,MAX(AZ615,H615))))</f>
        <v>123</v>
      </c>
      <c r="AW615" s="57" t="n">
        <f aca="false">IF(BT615=1,0,ROUNDUP(AV615/BS615,0))</f>
        <v>1</v>
      </c>
      <c r="AX615" s="59" t="n">
        <f aca="false">IF(CH615&gt;0,CH615*MAX(1,AV615/X615),IF(BT615=1,IF(AV615&lt;=0,0,BW615*MAX(1,IF(H615&gt;0,AV615/H615,1))),IF(R615&gt;0,AW615/R615,0))/MAX(0.1,N(Parameter!$M$21)))</f>
        <v>0.00757575757575758</v>
      </c>
      <c r="AY615" s="57" t="n">
        <f aca="false">AV615*G615</f>
        <v>71.34</v>
      </c>
      <c r="AZ615" s="57" t="n">
        <f aca="false">ROUNDUP(MAX(J615/IF(BZ615&gt;0,BZ615,MAX(0.1,N(Cockpit!$O$6))),CC615)/BS615,0)*BS615</f>
        <v>123</v>
      </c>
      <c r="BA615" s="58" t="n">
        <f aca="false">IF(AX615&gt;0,J615/AX615,-1)</f>
        <v>0</v>
      </c>
      <c r="BB615" s="58" t="n">
        <f aca="false">IF(AND(OR(BY615="L1",BY615="L23"),AX615&gt;0),SUMIFS($AX$7:$AX$1843,$BY$7:$BY$1843,BY615,$BA$7:$BA$1843,"&gt;"&amp;BA615)+SUMIFS($AX$7:$AX$1843,$BY$7:$BY$1843,BY615,$BA$7:$BA$1843,BA615,$BQ$7:$BQ$1843,"&lt;="&amp;BQ615),"")</f>
        <v>106.46264484308</v>
      </c>
      <c r="BC615" s="65" t="n">
        <f aca="false">IF(BB615="",0,MAX(0,MIN(1,(IF(BY615="L1",Parameter!$E$5,Parameter!$E$6+Parameter!$E$7)-(BB615-AX615))/AX615)))</f>
        <v>0</v>
      </c>
      <c r="BD615" s="55" t="str">
        <f aca="false">IF(AH615&lt;=0,"",IF(BY615="Aussen","Aussenlager",IF(BY615="-","Nicht im Lift",IF(AM615&gt;=1,"Lift",IF(AM615&lt;=0,"Aussenlager","teilweise")))))</f>
        <v>Lift</v>
      </c>
      <c r="BE615" s="55" t="str">
        <f aca="false">IF(AP615&lt;=0,"",IF(BY615="Aussen","Aussenlager",IF(BY615="-","Nicht im Lift",IF(AU615&gt;=1,"Lift",IF(AU615&lt;=0,"Aussenlager","teilweise")))))</f>
        <v>Aussenlager</v>
      </c>
      <c r="BF615" s="55" t="str">
        <f aca="false">IF(AX615&lt;=0,"",IF(BY615="Aussen","Aussenlager",IF(BY615="-","Nicht im Lift",IF(BC615&gt;=1,"Lift",IF(BC615&lt;=0,"Aussenlager","teilweise")))))</f>
        <v>Aussenlager</v>
      </c>
      <c r="BG615" s="55" t="str">
        <f aca="false">IF(A615="","",IF(BP615=1,"Neu; ","")&amp;IF(AND(BP615=0,BK615&lt;0),"negativer Bestand (Export "&amp;BK615&amp;"); ","")&amp;IF(J615&lt;=0,"Kein Verbrauch; ","")&amp;IF(CH615&gt;0,"Lift "&amp;W615&amp;" lt. Liftbericht (Fach "&amp;X615&amp;" Stk); ",IF(BU615=1,"Gebinde geschätzt ("&amp;T615&amp;"); ",IF(BT615=1,"Lose – Tablare geschätzt; ","")))&amp;IF(H615&gt;AR615,"Überbestand "&amp;ROUND(H615-AR615,0)&amp;" Stk / CHF "&amp;ROUND((H615-AR615)*G615,0)&amp;"; ","")&amp;IF(AND(CA615=1,CB615&lt;CC615),"MAX &lt; MB+LG; ","")&amp;IF(AND(CG615&gt;0,CF615*10&gt;CG615),"zu hoch für Tablar; ","")&amp;IF(AND(BP615=0,OR(CA615=1,AA615&lt;&gt;"",U615&lt;&gt;"",V615&lt;&gt;"",AB615&lt;&gt;"")),"manuell übersteuert; ","")&amp;IF(AND(BT615=0,R615=0),"Gebinde unbekannt / Stellmass fehlt; ","")&amp;IF(AND(BT615=0,N(V615)&lt;=0,N(Q615)&lt;=0),"Menge pro Gebinde fehlt (Ist = 1 Gebinde); ","")&amp;BO615)</f>
        <v>Kein Verbrauch; Überbestand</v>
      </c>
      <c r="BH615" s="55"/>
      <c r="BI615" s="55"/>
      <c r="BJ615" s="62"/>
      <c r="BK615" s="57" t="n">
        <v>8</v>
      </c>
      <c r="BL615" s="57" t="n">
        <v>106</v>
      </c>
      <c r="BM615" s="56" t="n">
        <v>4.64</v>
      </c>
      <c r="BN615" s="57" t="n">
        <v>0</v>
      </c>
      <c r="BO615" s="55" t="s">
        <v>392</v>
      </c>
      <c r="BP615" s="60" t="n">
        <v>0</v>
      </c>
      <c r="BQ615" s="60" t="n">
        <v>615</v>
      </c>
      <c r="BR615" s="55" t="str">
        <f aca="false">IF(U615&lt;&gt;"",UPPER(TRIM(U615)),IF(BU615=1,UPPER(VLOOKUP(T615,Parameter!$I$27:$K$29,2,0)),IF(P615="","LOSE",P615)))</f>
        <v>S32</v>
      </c>
      <c r="BS615" s="57" t="n">
        <f aca="false">IF(BR615="LOSE",1,IF(N(V615)&gt;0,V615,IF(BU615=1,MAX(1,N(VLOOKUP(T615,Parameter!$I$27:$K$29,3,0)),H615,N(N615)),IF(N(Q615)&gt;0,Q615,MAX(1,H615)))))</f>
        <v>123</v>
      </c>
      <c r="BT615" s="60" t="n">
        <f aca="false">IF(BR615="LOSE",1,0)</f>
        <v>0</v>
      </c>
      <c r="BU615" s="60" t="n">
        <f aca="false">IF(AND(U615="",OR(P615="",P615="LOSE"),T615&lt;&gt;"",N(S615)&lt;=0,ISNUMBER(MATCH(T615,Parameter!$I$27:$I$29,0))),1,0)</f>
        <v>0</v>
      </c>
      <c r="BV615" s="55" t="str">
        <f aca="false">IF(AND(Parameter!$B$19="Ja",E615&lt;&gt;"",ISNUMBER(MATCH(E615,Parameter!$I$35:$I$52,0))),VLOOKUP(E615,Parameter!$I$35:$J$52,2,0),IFERROR(VLOOKUP(D615,Parameter!$A$35:$C$64,2,0),"Nein"))</f>
        <v>2+3</v>
      </c>
      <c r="BW615" s="59" t="n">
        <f aca="false">IF(BT615=0,0,IF(N(S615)&gt;0,S615,IFERROR(VLOOKUP(D615,Parameter!$A$35:$C$64,3,0)+0,0)))</f>
        <v>0</v>
      </c>
      <c r="BX615" s="55" t="n">
        <f aca="false">IF(AA615&lt;&gt;"",AA615,Z615)</f>
        <v>3</v>
      </c>
      <c r="BY615" s="55" t="str">
        <f aca="false">IF(BX615=1,"L1",IF(OR(BX615=2,BX615=3),"L23",IF(BX615="Aussen","Aussen","-")))</f>
        <v>L23</v>
      </c>
      <c r="BZ615" s="66" t="n">
        <f aca="false">IF(N(AB615)&gt;0,AB615,0)</f>
        <v>0</v>
      </c>
      <c r="CA615" s="60" t="n">
        <f aca="false">IF(ISNUMBER(AE615),1,0)</f>
        <v>0</v>
      </c>
      <c r="CB615" s="57" t="n">
        <f aca="false">N(AE615)</f>
        <v>0</v>
      </c>
      <c r="CC615" s="57" t="n">
        <f aca="false">N(M615)+N(N615)</f>
        <v>1</v>
      </c>
      <c r="CD615" s="57" t="n">
        <f aca="false">ROUNDUP(H615/BS615,0)</f>
        <v>1</v>
      </c>
      <c r="CE615" s="57" t="n">
        <f aca="false">ROUNDUP(CB615/BS615,0)</f>
        <v>0</v>
      </c>
      <c r="CF615" s="60" t="n">
        <f aca="false">IF(BT615=1,0,IFERROR(VLOOKUP(BR615,'Gebinde-Kategorie'!$A$5:$M$45,5,0)+0,0))</f>
        <v>8</v>
      </c>
      <c r="CG615" s="60" t="n">
        <f aca="false">IFERROR(IF(OR(BX615=1,BX615=2,BX615=3),N(INDEX(Parameter!$I$5:$I$7,BX615)),0),0)</f>
        <v>0</v>
      </c>
      <c r="CH615" s="59" t="n">
        <f aca="false">IF(AND(Parameter!$B$21="Ja",ISNUMBER(W615),N(X615)&gt;0),IFERROR(N(INDEX(Parameter!$L$5:$L$7,W615))*INDEX(Parameter!$E$5:$E$7,W615)*X615/SUMIFS($X$7:$X$1843,$W$7:$W$1843,W615),0),0)</f>
        <v>0</v>
      </c>
    </row>
    <row r="616" customFormat="false" ht="15" hidden="false" customHeight="false" outlineLevel="0" collapsed="false">
      <c r="A616" s="55" t="s">
        <v>1269</v>
      </c>
      <c r="B616" s="55" t="s">
        <v>405</v>
      </c>
      <c r="C616" s="55" t="s">
        <v>164</v>
      </c>
      <c r="D616" s="55" t="s">
        <v>173</v>
      </c>
      <c r="E616" s="55" t="s">
        <v>185</v>
      </c>
      <c r="F616" s="55" t="s">
        <v>218</v>
      </c>
      <c r="G616" s="56" t="n">
        <v>0.46</v>
      </c>
      <c r="H616" s="57" t="n">
        <f aca="false">MAX(0,IF(AND(Parameter!$B$21="Ja",ISNUMBER(Y616)),Y616,IF(Parameter!$B$20="Jahresanfang 2025 + Export",BL616+BK616,BK616)))</f>
        <v>3394</v>
      </c>
      <c r="I616" s="57" t="n">
        <f aca="false">H616*G616</f>
        <v>1561.24</v>
      </c>
      <c r="J616" s="57" t="n">
        <f aca="false">BN616*Parameter!$B$18</f>
        <v>48</v>
      </c>
      <c r="K616" s="58" t="n">
        <v>3393</v>
      </c>
      <c r="L616" s="59" t="n">
        <v>0.0141467727674624</v>
      </c>
      <c r="M616" s="57" t="n">
        <v>2</v>
      </c>
      <c r="N616" s="57" t="n">
        <v>50</v>
      </c>
      <c r="O616" s="60" t="n">
        <v>21</v>
      </c>
      <c r="P616" s="55" t="s">
        <v>174</v>
      </c>
      <c r="Q616" s="57" t="n">
        <v>1000</v>
      </c>
      <c r="R616" s="60" t="n">
        <f aca="false">IF(BT616=1,0,IFERROR(VLOOKUP(BR616,'Gebinde-Kategorie'!$A$5:$M$45,13,0)+0,0))</f>
        <v>6</v>
      </c>
      <c r="S616" s="61"/>
      <c r="T616" s="62"/>
      <c r="U616" s="62"/>
      <c r="V616" s="62"/>
      <c r="W616" s="55"/>
      <c r="X616" s="57"/>
      <c r="Y616" s="57"/>
      <c r="Z616" s="55" t="n">
        <f aca="false">IF(A616="","",IF(AND(Parameter!$B$21="Ja",ISNUMBER(W616)),W616,IF(BV616="2+3",IF(ISNUMBER(SEARCH("grosser Artikel",BO616)),2,IFERROR(VLOOKUP(BR616,Parameter!$F$35:$G$64,2,0),2)),IF(OR(BV616="Nein",BV616=""),"-",BV616))))</f>
        <v>2</v>
      </c>
      <c r="AA616" s="62"/>
      <c r="AB616" s="63"/>
      <c r="AC616" s="57" t="n">
        <f aca="false">AR616</f>
        <v>1000</v>
      </c>
      <c r="AD616" s="57" t="n">
        <f aca="false">MAX(AR616,H616)</f>
        <v>3394</v>
      </c>
      <c r="AE616" s="64"/>
      <c r="AF616" s="57" t="n">
        <f aca="false">IF(LEFT(Cockpit!$C$5,1)="A",H616,IF(CA616=1,CB616,IF(LEFT(Cockpit!$C$5,1)="B",AJ616,MAX(AJ616,H616))))</f>
        <v>3394</v>
      </c>
      <c r="AG616" s="57" t="n">
        <f aca="false">IF(BT616=1,0,ROUNDUP(AF616/BS616,0))</f>
        <v>4</v>
      </c>
      <c r="AH616" s="59" t="n">
        <f aca="false">IF(CH616&gt;0,CH616*MAX(1,AF616/X616),IF(BT616=1,IF(AF616&lt;=0,0,BW616*MAX(1,IF(H616&gt;0,AF616/H616,1))),IF(R616&gt;0,AG616/R616,0))/MAX(0.1,N(Parameter!$M$21)))</f>
        <v>0.666666666666667</v>
      </c>
      <c r="AI616" s="57" t="n">
        <f aca="false">AF616*G616</f>
        <v>1561.24</v>
      </c>
      <c r="AJ616" s="57" t="n">
        <f aca="false">ROUNDUP(MAX(J616/IF(BZ616&gt;0,BZ616,MAX(0.1,N(Cockpit!$C$6))),CC616)/BS616,0)*BS616</f>
        <v>1000</v>
      </c>
      <c r="AK616" s="58" t="n">
        <f aca="false">IF(AH616&gt;0,J616/AH616,-1)</f>
        <v>72</v>
      </c>
      <c r="AL616" s="58" t="n">
        <f aca="false">IF(AND(OR(BY616="L1",BY616="L23"),AH616&gt;0),SUMIFS($AH$7:$AH$1843,$BY$7:$BY$1843,BY616,$AK$7:$AK$1843,"&gt;"&amp;AK616)+SUMIFS($AH$7:$AH$1843,$BY$7:$BY$1843,BY616,$AK$7:$AK$1843,AK616,$BQ$7:$BQ$1843,"&lt;="&amp;BQ616),"")</f>
        <v>42.5130063173541</v>
      </c>
      <c r="AM616" s="65" t="n">
        <f aca="false">IF(AL616="",0,MAX(0,MIN(1,(IF(BY616="L1",Parameter!$E$5,Parameter!$E$6+Parameter!$E$7)-(AL616-AH616))/AH616)))</f>
        <v>1</v>
      </c>
      <c r="AN616" s="57" t="n">
        <f aca="false">IF(LEFT(Cockpit!$I$5,1)="A",H616,IF(CA616=1,CB616,IF(LEFT(Cockpit!$I$5,1)="B",AR616,MAX(AR616,H616))))</f>
        <v>3394</v>
      </c>
      <c r="AO616" s="57" t="n">
        <f aca="false">IF(BT616=1,0,ROUNDUP(AN616/BS616,0))</f>
        <v>4</v>
      </c>
      <c r="AP616" s="59" t="n">
        <f aca="false">IF(CH616&gt;0,CH616*MAX(1,AN616/X616),IF(BT616=1,IF(AN616&lt;=0,0,BW616*MAX(1,IF(H616&gt;0,AN616/H616,1))),IF(R616&gt;0,AO616/R616,0))/MAX(0.1,N(Parameter!$M$21)))</f>
        <v>0.666666666666667</v>
      </c>
      <c r="AQ616" s="57" t="n">
        <f aca="false">AN616*G616</f>
        <v>1561.24</v>
      </c>
      <c r="AR616" s="57" t="n">
        <f aca="false">ROUNDUP(MAX(J616/IF(BZ616&gt;0,BZ616,MAX(0.1,N(Cockpit!$I$6))),CC616)/BS616,0)*BS616</f>
        <v>1000</v>
      </c>
      <c r="AS616" s="58" t="n">
        <f aca="false">IF(AP616&gt;0,J616/AP616,-1)</f>
        <v>72</v>
      </c>
      <c r="AT616" s="58" t="n">
        <f aca="false">IF(AND(OR(BY616="L1",BY616="L23"),AP616&gt;0),SUMIFS($AP$7:$AP$1843,$BY$7:$BY$1843,BY616,$AS$7:$AS$1843,"&gt;"&amp;AS616)+SUMIFS($AP$7:$AP$1843,$BY$7:$BY$1843,BY616,$AS$7:$AS$1843,AS616,$BQ$7:$BQ$1843,"&lt;="&amp;BQ616),"")</f>
        <v>64.5525151177325</v>
      </c>
      <c r="AU616" s="65" t="n">
        <f aca="false">IF(AT616="",0,MAX(0,MIN(1,(IF(BY616="L1",Parameter!$E$5,Parameter!$E$6+Parameter!$E$7)-(AT616-AP616))/AP616)))</f>
        <v>1</v>
      </c>
      <c r="AV616" s="57" t="n">
        <f aca="false">IF(LEFT(Cockpit!$O$5,1)="A",H616,IF(CA616=1,CB616,IF(LEFT(Cockpit!$O$5,1)="B",AZ616,MAX(AZ616,H616))))</f>
        <v>3394</v>
      </c>
      <c r="AW616" s="57" t="n">
        <f aca="false">IF(BT616=1,0,ROUNDUP(AV616/BS616,0))</f>
        <v>4</v>
      </c>
      <c r="AX616" s="59" t="n">
        <f aca="false">IF(CH616&gt;0,CH616*MAX(1,AV616/X616),IF(BT616=1,IF(AV616&lt;=0,0,BW616*MAX(1,IF(H616&gt;0,AV616/H616,1))),IF(R616&gt;0,AW616/R616,0))/MAX(0.1,N(Parameter!$M$21)))</f>
        <v>0.666666666666667</v>
      </c>
      <c r="AY616" s="57" t="n">
        <f aca="false">AV616*G616</f>
        <v>1561.24</v>
      </c>
      <c r="AZ616" s="57" t="n">
        <f aca="false">ROUNDUP(MAX(J616/IF(BZ616&gt;0,BZ616,MAX(0.1,N(Cockpit!$O$6))),CC616)/BS616,0)*BS616</f>
        <v>1000</v>
      </c>
      <c r="BA616" s="58" t="n">
        <f aca="false">IF(AX616&gt;0,J616/AX616,-1)</f>
        <v>72</v>
      </c>
      <c r="BB616" s="58" t="n">
        <f aca="false">IF(AND(OR(BY616="L1",BY616="L23"),AX616&gt;0),SUMIFS($AX$7:$AX$1843,$BY$7:$BY$1843,BY616,$BA$7:$BA$1843,"&gt;"&amp;BA616)+SUMIFS($AX$7:$AX$1843,$BY$7:$BY$1843,BY616,$BA$7:$BA$1843,BA616,$BQ$7:$BQ$1843,"&lt;="&amp;BQ616),"")</f>
        <v>59.049018614236</v>
      </c>
      <c r="BC616" s="65" t="n">
        <f aca="false">IF(BB616="",0,MAX(0,MIN(1,(IF(BY616="L1",Parameter!$E$5,Parameter!$E$6+Parameter!$E$7)-(BB616-AX616))/AX616)))</f>
        <v>1</v>
      </c>
      <c r="BD616" s="55" t="str">
        <f aca="false">IF(AH616&lt;=0,"",IF(BY616="Aussen","Aussenlager",IF(BY616="-","Nicht im Lift",IF(AM616&gt;=1,"Lift",IF(AM616&lt;=0,"Aussenlager","teilweise")))))</f>
        <v>Lift</v>
      </c>
      <c r="BE616" s="55" t="str">
        <f aca="false">IF(AP616&lt;=0,"",IF(BY616="Aussen","Aussenlager",IF(BY616="-","Nicht im Lift",IF(AU616&gt;=1,"Lift",IF(AU616&lt;=0,"Aussenlager","teilweise")))))</f>
        <v>Lift</v>
      </c>
      <c r="BF616" s="55" t="str">
        <f aca="false">IF(AX616&lt;=0,"",IF(BY616="Aussen","Aussenlager",IF(BY616="-","Nicht im Lift",IF(BC616&gt;=1,"Lift",IF(BC616&lt;=0,"Aussenlager","teilweise")))))</f>
        <v>Lift</v>
      </c>
      <c r="BG616" s="55" t="str">
        <f aca="false">IF(A616="","",IF(BP616=1,"Neu; ","")&amp;IF(AND(BP616=0,BK616&lt;0),"negativer Bestand (Export "&amp;BK616&amp;"); ","")&amp;IF(J616&lt;=0,"Kein Verbrauch; ","")&amp;IF(CH616&gt;0,"Lift "&amp;W616&amp;" lt. Liftbericht (Fach "&amp;X616&amp;" Stk); ",IF(BU616=1,"Gebinde geschätzt ("&amp;T616&amp;"); ",IF(BT616=1,"Lose – Tablare geschätzt; ","")))&amp;IF(H616&gt;AR616,"Überbestand "&amp;ROUND(H616-AR616,0)&amp;" Stk / CHF "&amp;ROUND((H616-AR616)*G616,0)&amp;"; ","")&amp;IF(AND(CA616=1,CB616&lt;CC616),"MAX &lt; MB+LG; ","")&amp;IF(AND(CG616&gt;0,CF616*10&gt;CG616),"zu hoch für Tablar; ","")&amp;IF(AND(BP616=0,OR(CA616=1,AA616&lt;&gt;"",U616&lt;&gt;"",V616&lt;&gt;"",AB616&lt;&gt;"")),"manuell übersteuert; ","")&amp;IF(AND(BT616=0,R616=0),"Gebinde unbekannt / Stellmass fehlt; ","")&amp;IF(AND(BT616=0,N(V616)&lt;=0,N(Q616)&lt;=0),"Menge pro Gebinde fehlt (Ist = 1 Gebinde); ","")&amp;BO616)</f>
        <v>Überbestand 2394 Stk / CHF 1101; Twin; grosse  Artikelmenge</v>
      </c>
      <c r="BH616" s="55"/>
      <c r="BI616" s="55"/>
      <c r="BJ616" s="62"/>
      <c r="BK616" s="57" t="n">
        <v>10</v>
      </c>
      <c r="BL616" s="57" t="n">
        <v>3384</v>
      </c>
      <c r="BM616" s="56" t="n">
        <v>4.6</v>
      </c>
      <c r="BN616" s="57" t="n">
        <v>48</v>
      </c>
      <c r="BO616" s="55" t="s">
        <v>1270</v>
      </c>
      <c r="BP616" s="60" t="n">
        <v>0</v>
      </c>
      <c r="BQ616" s="60" t="n">
        <v>616</v>
      </c>
      <c r="BR616" s="55" t="str">
        <f aca="false">IF(U616&lt;&gt;"",UPPER(TRIM(U616)),IF(BU616=1,UPPER(VLOOKUP(T616,Parameter!$I$27:$K$29,2,0)),IF(P616="","LOSE",P616)))</f>
        <v>S71</v>
      </c>
      <c r="BS616" s="57" t="n">
        <f aca="false">IF(BR616="LOSE",1,IF(N(V616)&gt;0,V616,IF(BU616=1,MAX(1,N(VLOOKUP(T616,Parameter!$I$27:$K$29,3,0)),H616,N(N616)),IF(N(Q616)&gt;0,Q616,MAX(1,H616)))))</f>
        <v>1000</v>
      </c>
      <c r="BT616" s="60" t="n">
        <f aca="false">IF(BR616="LOSE",1,0)</f>
        <v>0</v>
      </c>
      <c r="BU616" s="60" t="n">
        <f aca="false">IF(AND(U616="",OR(P616="",P616="LOSE"),T616&lt;&gt;"",N(S616)&lt;=0,ISNUMBER(MATCH(T616,Parameter!$I$27:$I$29,0))),1,0)</f>
        <v>0</v>
      </c>
      <c r="BV616" s="55" t="str">
        <f aca="false">IF(AND(Parameter!$B$19="Ja",E616&lt;&gt;"",ISNUMBER(MATCH(E616,Parameter!$I$35:$I$52,0))),VLOOKUP(E616,Parameter!$I$35:$J$52,2,0),IFERROR(VLOOKUP(D616,Parameter!$A$35:$C$64,2,0),"Nein"))</f>
        <v>2+3</v>
      </c>
      <c r="BW616" s="59" t="n">
        <f aca="false">IF(BT616=0,0,IF(N(S616)&gt;0,S616,IFERROR(VLOOKUP(D616,Parameter!$A$35:$C$64,3,0)+0,0)))</f>
        <v>0</v>
      </c>
      <c r="BX616" s="55" t="n">
        <f aca="false">IF(AA616&lt;&gt;"",AA616,Z616)</f>
        <v>2</v>
      </c>
      <c r="BY616" s="55" t="str">
        <f aca="false">IF(BX616=1,"L1",IF(OR(BX616=2,BX616=3),"L23",IF(BX616="Aussen","Aussen","-")))</f>
        <v>L23</v>
      </c>
      <c r="BZ616" s="66" t="n">
        <f aca="false">IF(N(AB616)&gt;0,AB616,0)</f>
        <v>0</v>
      </c>
      <c r="CA616" s="60" t="n">
        <f aca="false">IF(ISNUMBER(AE616),1,0)</f>
        <v>0</v>
      </c>
      <c r="CB616" s="57" t="n">
        <f aca="false">N(AE616)</f>
        <v>0</v>
      </c>
      <c r="CC616" s="57" t="n">
        <f aca="false">N(M616)+N(N616)</f>
        <v>52</v>
      </c>
      <c r="CD616" s="57" t="n">
        <f aca="false">ROUNDUP(H616/BS616,0)</f>
        <v>4</v>
      </c>
      <c r="CE616" s="57" t="n">
        <f aca="false">ROUNDUP(CB616/BS616,0)</f>
        <v>0</v>
      </c>
      <c r="CF616" s="60" t="n">
        <f aca="false">IF(BT616=1,0,IFERROR(VLOOKUP(BR616,'Gebinde-Kategorie'!$A$5:$M$45,5,0)+0,0))</f>
        <v>20</v>
      </c>
      <c r="CG616" s="60" t="n">
        <f aca="false">IFERROR(IF(OR(BX616=1,BX616=2,BX616=3),N(INDEX(Parameter!$I$5:$I$7,BX616)),0),0)</f>
        <v>0</v>
      </c>
      <c r="CH616" s="59" t="n">
        <f aca="false">IF(AND(Parameter!$B$21="Ja",ISNUMBER(W616),N(X616)&gt;0),IFERROR(N(INDEX(Parameter!$L$5:$L$7,W616))*INDEX(Parameter!$E$5:$E$7,W616)*X616/SUMIFS($X$7:$X$1843,$W$7:$W$1843,W616),0),0)</f>
        <v>0</v>
      </c>
    </row>
    <row r="617" customFormat="false" ht="15" hidden="false" customHeight="false" outlineLevel="0" collapsed="false">
      <c r="A617" s="55" t="s">
        <v>1271</v>
      </c>
      <c r="B617" s="55" t="s">
        <v>1262</v>
      </c>
      <c r="C617" s="55" t="s">
        <v>164</v>
      </c>
      <c r="D617" s="55" t="s">
        <v>184</v>
      </c>
      <c r="E617" s="55" t="s">
        <v>185</v>
      </c>
      <c r="F617" s="55" t="s">
        <v>218</v>
      </c>
      <c r="G617" s="56" t="n">
        <v>0.05</v>
      </c>
      <c r="H617" s="57" t="n">
        <f aca="false">MAX(0,IF(AND(Parameter!$B$21="Ja",ISNUMBER(Y617)),Y617,IF(Parameter!$B$20="Jahresanfang 2025 + Export",BL617+BK617,BK617)))</f>
        <v>188</v>
      </c>
      <c r="I617" s="57" t="n">
        <f aca="false">H617*G617</f>
        <v>9.4</v>
      </c>
      <c r="J617" s="57" t="n">
        <f aca="false">BN617*Parameter!$B$18</f>
        <v>38</v>
      </c>
      <c r="K617" s="58" t="n">
        <v>145.5</v>
      </c>
      <c r="L617" s="59" t="n">
        <v>0.261168384879725</v>
      </c>
      <c r="M617" s="57" t="n">
        <v>0</v>
      </c>
      <c r="N617" s="57" t="n">
        <v>40</v>
      </c>
      <c r="O617" s="60" t="n">
        <v>14</v>
      </c>
      <c r="P617" s="55" t="s">
        <v>401</v>
      </c>
      <c r="Q617" s="57" t="n">
        <v>190</v>
      </c>
      <c r="R617" s="60" t="n">
        <f aca="false">IF(BT617=1,0,IFERROR(VLOOKUP(BR617,'Gebinde-Kategorie'!$A$5:$M$45,13,0)+0,0))</f>
        <v>414</v>
      </c>
      <c r="S617" s="61"/>
      <c r="T617" s="62"/>
      <c r="U617" s="62"/>
      <c r="V617" s="62"/>
      <c r="W617" s="55"/>
      <c r="X617" s="57"/>
      <c r="Y617" s="57"/>
      <c r="Z617" s="55" t="n">
        <f aca="false">IF(A617="","",IF(AND(Parameter!$B$21="Ja",ISNUMBER(W617)),W617,IF(BV617="2+3",IF(ISNUMBER(SEARCH("grosser Artikel",BO617)),2,IFERROR(VLOOKUP(BR617,Parameter!$F$35:$G$64,2,0),2)),IF(OR(BV617="Nein",BV617=""),"-",BV617))))</f>
        <v>3</v>
      </c>
      <c r="AA617" s="62"/>
      <c r="AB617" s="63"/>
      <c r="AC617" s="57" t="n">
        <f aca="false">AR617</f>
        <v>190</v>
      </c>
      <c r="AD617" s="57" t="n">
        <f aca="false">MAX(AR617,H617)</f>
        <v>190</v>
      </c>
      <c r="AE617" s="64"/>
      <c r="AF617" s="57" t="n">
        <f aca="false">IF(LEFT(Cockpit!$C$5,1)="A",H617,IF(CA617=1,CB617,IF(LEFT(Cockpit!$C$5,1)="B",AJ617,MAX(AJ617,H617))))</f>
        <v>188</v>
      </c>
      <c r="AG617" s="57" t="n">
        <f aca="false">IF(BT617=1,0,ROUNDUP(AF617/BS617,0))</f>
        <v>1</v>
      </c>
      <c r="AH617" s="59" t="n">
        <f aca="false">IF(CH617&gt;0,CH617*MAX(1,AF617/X617),IF(BT617=1,IF(AF617&lt;=0,0,BW617*MAX(1,IF(H617&gt;0,AF617/H617,1))),IF(R617&gt;0,AG617/R617,0))/MAX(0.1,N(Parameter!$M$21)))</f>
        <v>0.00241545893719807</v>
      </c>
      <c r="AI617" s="57" t="n">
        <f aca="false">AF617*G617</f>
        <v>9.4</v>
      </c>
      <c r="AJ617" s="57" t="n">
        <f aca="false">ROUNDUP(MAX(J617/IF(BZ617&gt;0,BZ617,MAX(0.1,N(Cockpit!$C$6))),CC617)/BS617,0)*BS617</f>
        <v>190</v>
      </c>
      <c r="AK617" s="58" t="n">
        <f aca="false">IF(AH617&gt;0,J617/AH617,-1)</f>
        <v>15732</v>
      </c>
      <c r="AL617" s="58" t="n">
        <f aca="false">IF(AND(OR(BY617="L1",BY617="L23"),AH617&gt;0),SUMIFS($AH$7:$AH$1843,$BY$7:$BY$1843,BY617,$AK$7:$AK$1843,"&gt;"&amp;AK617)+SUMIFS($AH$7:$AH$1843,$BY$7:$BY$1843,BY617,$AK$7:$AK$1843,AK617,$BQ$7:$BQ$1843,"&lt;="&amp;BQ617),"")</f>
        <v>4.31330867200432</v>
      </c>
      <c r="AM617" s="65" t="n">
        <f aca="false">IF(AL617="",0,MAX(0,MIN(1,(IF(BY617="L1",Parameter!$E$5,Parameter!$E$6+Parameter!$E$7)-(AL617-AH617))/AH617)))</f>
        <v>1</v>
      </c>
      <c r="AN617" s="57" t="n">
        <f aca="false">IF(LEFT(Cockpit!$I$5,1)="A",H617,IF(CA617=1,CB617,IF(LEFT(Cockpit!$I$5,1)="B",AR617,MAX(AR617,H617))))</f>
        <v>190</v>
      </c>
      <c r="AO617" s="57" t="n">
        <f aca="false">IF(BT617=1,0,ROUNDUP(AN617/BS617,0))</f>
        <v>1</v>
      </c>
      <c r="AP617" s="59" t="n">
        <f aca="false">IF(CH617&gt;0,CH617*MAX(1,AN617/X617),IF(BT617=1,IF(AN617&lt;=0,0,BW617*MAX(1,IF(H617&gt;0,AN617/H617,1))),IF(R617&gt;0,AO617/R617,0))/MAX(0.1,N(Parameter!$M$21)))</f>
        <v>0.00241545893719807</v>
      </c>
      <c r="AQ617" s="57" t="n">
        <f aca="false">AN617*G617</f>
        <v>9.5</v>
      </c>
      <c r="AR617" s="57" t="n">
        <f aca="false">ROUNDUP(MAX(J617/IF(BZ617&gt;0,BZ617,MAX(0.1,N(Cockpit!$I$6))),CC617)/BS617,0)*BS617</f>
        <v>190</v>
      </c>
      <c r="AS617" s="58" t="n">
        <f aca="false">IF(AP617&gt;0,J617/AP617,-1)</f>
        <v>15732</v>
      </c>
      <c r="AT617" s="58" t="n">
        <f aca="false">IF(AND(OR(BY617="L1",BY617="L23"),AP617&gt;0),SUMIFS($AP$7:$AP$1843,$BY$7:$BY$1843,BY617,$AS$7:$AS$1843,"&gt;"&amp;AS617)+SUMIFS($AP$7:$AP$1843,$BY$7:$BY$1843,BY617,$AS$7:$AS$1843,AS617,$BQ$7:$BQ$1843,"&lt;="&amp;BQ617),"")</f>
        <v>4.7918989223337</v>
      </c>
      <c r="AU617" s="65" t="n">
        <f aca="false">IF(AT617="",0,MAX(0,MIN(1,(IF(BY617="L1",Parameter!$E$5,Parameter!$E$6+Parameter!$E$7)-(AT617-AP617))/AP617)))</f>
        <v>1</v>
      </c>
      <c r="AV617" s="57" t="n">
        <f aca="false">IF(LEFT(Cockpit!$O$5,1)="A",H617,IF(CA617=1,CB617,IF(LEFT(Cockpit!$O$5,1)="B",AZ617,MAX(AZ617,H617))))</f>
        <v>190</v>
      </c>
      <c r="AW617" s="57" t="n">
        <f aca="false">IF(BT617=1,0,ROUNDUP(AV617/BS617,0))</f>
        <v>1</v>
      </c>
      <c r="AX617" s="59" t="n">
        <f aca="false">IF(CH617&gt;0,CH617*MAX(1,AV617/X617),IF(BT617=1,IF(AV617&lt;=0,0,BW617*MAX(1,IF(H617&gt;0,AV617/H617,1))),IF(R617&gt;0,AW617/R617,0))/MAX(0.1,N(Parameter!$M$21)))</f>
        <v>0.00241545893719807</v>
      </c>
      <c r="AY617" s="57" t="n">
        <f aca="false">AV617*G617</f>
        <v>9.5</v>
      </c>
      <c r="AZ617" s="57" t="n">
        <f aca="false">ROUNDUP(MAX(J617/IF(BZ617&gt;0,BZ617,MAX(0.1,N(Cockpit!$O$6))),CC617)/BS617,0)*BS617</f>
        <v>190</v>
      </c>
      <c r="BA617" s="58" t="n">
        <f aca="false">IF(AX617&gt;0,J617/AX617,-1)</f>
        <v>15732</v>
      </c>
      <c r="BB617" s="58" t="n">
        <f aca="false">IF(AND(OR(BY617="L1",BY617="L23"),AX617&gt;0),SUMIFS($AX$7:$AX$1843,$BY$7:$BY$1843,BY617,$BA$7:$BA$1843,"&gt;"&amp;BA617)+SUMIFS($AX$7:$AX$1843,$BY$7:$BY$1843,BY617,$BA$7:$BA$1843,BA617,$BQ$7:$BQ$1843,"&lt;="&amp;BQ617),"")</f>
        <v>4.46788959832438</v>
      </c>
      <c r="BC617" s="65" t="n">
        <f aca="false">IF(BB617="",0,MAX(0,MIN(1,(IF(BY617="L1",Parameter!$E$5,Parameter!$E$6+Parameter!$E$7)-(BB617-AX617))/AX617)))</f>
        <v>1</v>
      </c>
      <c r="BD617" s="55" t="str">
        <f aca="false">IF(AH617&lt;=0,"",IF(BY617="Aussen","Aussenlager",IF(BY617="-","Nicht im Lift",IF(AM617&gt;=1,"Lift",IF(AM617&lt;=0,"Aussenlager","teilweise")))))</f>
        <v>Lift</v>
      </c>
      <c r="BE617" s="55" t="str">
        <f aca="false">IF(AP617&lt;=0,"",IF(BY617="Aussen","Aussenlager",IF(BY617="-","Nicht im Lift",IF(AU617&gt;=1,"Lift",IF(AU617&lt;=0,"Aussenlager","teilweise")))))</f>
        <v>Lift</v>
      </c>
      <c r="BF617" s="55" t="str">
        <f aca="false">IF(AX617&lt;=0,"",IF(BY617="Aussen","Aussenlager",IF(BY617="-","Nicht im Lift",IF(BC617&gt;=1,"Lift",IF(BC617&lt;=0,"Aussenlager","teilweise")))))</f>
        <v>Lift</v>
      </c>
      <c r="BG617" s="55" t="str">
        <f aca="false">IF(A617="","",IF(BP617=1,"Neu; ","")&amp;IF(AND(BP617=0,BK617&lt;0),"negativer Bestand (Export "&amp;BK617&amp;"); ","")&amp;IF(J617&lt;=0,"Kein Verbrauch; ","")&amp;IF(CH617&gt;0,"Lift "&amp;W617&amp;" lt. Liftbericht (Fach "&amp;X617&amp;" Stk); ",IF(BU617=1,"Gebinde geschätzt ("&amp;T617&amp;"); ",IF(BT617=1,"Lose – Tablare geschätzt; ","")))&amp;IF(H617&gt;AR617,"Überbestand "&amp;ROUND(H617-AR617,0)&amp;" Stk / CHF "&amp;ROUND((H617-AR617)*G617,0)&amp;"; ","")&amp;IF(AND(CA617=1,CB617&lt;CC617),"MAX &lt; MB+LG; ","")&amp;IF(AND(CG617&gt;0,CF617*10&gt;CG617),"zu hoch für Tablar; ","")&amp;IF(AND(BP617=0,OR(CA617=1,AA617&lt;&gt;"",U617&lt;&gt;"",V617&lt;&gt;"",AB617&lt;&gt;"")),"manuell übersteuert; ","")&amp;IF(AND(BT617=0,R617=0),"Gebinde unbekannt / Stellmass fehlt; ","")&amp;IF(AND(BT617=0,N(V617)&lt;=0,N(Q617)&lt;=0),"Menge pro Gebinde fehlt (Ist = 1 Gebinde); ","")&amp;BO617)</f>
        <v/>
      </c>
      <c r="BH617" s="55"/>
      <c r="BI617" s="55"/>
      <c r="BJ617" s="62"/>
      <c r="BK617" s="57" t="n">
        <v>91</v>
      </c>
      <c r="BL617" s="57" t="n">
        <v>97</v>
      </c>
      <c r="BM617" s="56" t="n">
        <v>4.55</v>
      </c>
      <c r="BN617" s="57" t="n">
        <v>38</v>
      </c>
      <c r="BO617" s="55"/>
      <c r="BP617" s="60" t="n">
        <v>0</v>
      </c>
      <c r="BQ617" s="60" t="n">
        <v>617</v>
      </c>
      <c r="BR617" s="55" t="str">
        <f aca="false">IF(U617&lt;&gt;"",UPPER(TRIM(U617)),IF(BU617=1,UPPER(VLOOKUP(T617,Parameter!$I$27:$K$29,2,0)),IF(P617="","LOSE",P617)))</f>
        <v>S21</v>
      </c>
      <c r="BS617" s="57" t="n">
        <f aca="false">IF(BR617="LOSE",1,IF(N(V617)&gt;0,V617,IF(BU617=1,MAX(1,N(VLOOKUP(T617,Parameter!$I$27:$K$29,3,0)),H617,N(N617)),IF(N(Q617)&gt;0,Q617,MAX(1,H617)))))</f>
        <v>190</v>
      </c>
      <c r="BT617" s="60" t="n">
        <f aca="false">IF(BR617="LOSE",1,0)</f>
        <v>0</v>
      </c>
      <c r="BU617" s="60" t="n">
        <f aca="false">IF(AND(U617="",OR(P617="",P617="LOSE"),T617&lt;&gt;"",N(S617)&lt;=0,ISNUMBER(MATCH(T617,Parameter!$I$27:$I$29,0))),1,0)</f>
        <v>0</v>
      </c>
      <c r="BV617" s="55" t="str">
        <f aca="false">IF(AND(Parameter!$B$19="Ja",E617&lt;&gt;"",ISNUMBER(MATCH(E617,Parameter!$I$35:$I$52,0))),VLOOKUP(E617,Parameter!$I$35:$J$52,2,0),IFERROR(VLOOKUP(D617,Parameter!$A$35:$C$64,2,0),"Nein"))</f>
        <v>2+3</v>
      </c>
      <c r="BW617" s="59" t="n">
        <f aca="false">IF(BT617=0,0,IF(N(S617)&gt;0,S617,IFERROR(VLOOKUP(D617,Parameter!$A$35:$C$64,3,0)+0,0)))</f>
        <v>0</v>
      </c>
      <c r="BX617" s="55" t="n">
        <f aca="false">IF(AA617&lt;&gt;"",AA617,Z617)</f>
        <v>3</v>
      </c>
      <c r="BY617" s="55" t="str">
        <f aca="false">IF(BX617=1,"L1",IF(OR(BX617=2,BX617=3),"L23",IF(BX617="Aussen","Aussen","-")))</f>
        <v>L23</v>
      </c>
      <c r="BZ617" s="66" t="n">
        <f aca="false">IF(N(AB617)&gt;0,AB617,0)</f>
        <v>0</v>
      </c>
      <c r="CA617" s="60" t="n">
        <f aca="false">IF(ISNUMBER(AE617),1,0)</f>
        <v>0</v>
      </c>
      <c r="CB617" s="57" t="n">
        <f aca="false">N(AE617)</f>
        <v>0</v>
      </c>
      <c r="CC617" s="57" t="n">
        <f aca="false">N(M617)+N(N617)</f>
        <v>40</v>
      </c>
      <c r="CD617" s="57" t="n">
        <f aca="false">ROUNDUP(H617/BS617,0)</f>
        <v>1</v>
      </c>
      <c r="CE617" s="57" t="n">
        <f aca="false">ROUNDUP(CB617/BS617,0)</f>
        <v>0</v>
      </c>
      <c r="CF617" s="60" t="n">
        <f aca="false">IF(BT617=1,0,IFERROR(VLOOKUP(BR617,'Gebinde-Kategorie'!$A$5:$M$45,5,0)+0,0))</f>
        <v>8</v>
      </c>
      <c r="CG617" s="60" t="n">
        <f aca="false">IFERROR(IF(OR(BX617=1,BX617=2,BX617=3),N(INDEX(Parameter!$I$5:$I$7,BX617)),0),0)</f>
        <v>0</v>
      </c>
      <c r="CH617" s="59" t="n">
        <f aca="false">IF(AND(Parameter!$B$21="Ja",ISNUMBER(W617),N(X617)&gt;0),IFERROR(N(INDEX(Parameter!$L$5:$L$7,W617))*INDEX(Parameter!$E$5:$E$7,W617)*X617/SUMIFS($X$7:$X$1843,$W$7:$W$1843,W617),0),0)</f>
        <v>0</v>
      </c>
    </row>
    <row r="618" customFormat="false" ht="15" hidden="false" customHeight="false" outlineLevel="0" collapsed="false">
      <c r="A618" s="55" t="s">
        <v>1272</v>
      </c>
      <c r="B618" s="55" t="s">
        <v>1273</v>
      </c>
      <c r="C618" s="55" t="s">
        <v>164</v>
      </c>
      <c r="D618" s="55" t="s">
        <v>173</v>
      </c>
      <c r="E618" s="55"/>
      <c r="F618" s="55" t="s">
        <v>218</v>
      </c>
      <c r="G618" s="56" t="n">
        <v>0.05</v>
      </c>
      <c r="H618" s="57" t="n">
        <f aca="false">MAX(0,IF(AND(Parameter!$B$21="Ja",ISNUMBER(Y618)),Y618,IF(Parameter!$B$20="Jahresanfang 2025 + Export",BL618+BK618,BK618)))</f>
        <v>93</v>
      </c>
      <c r="I618" s="57" t="n">
        <f aca="false">H618*G618</f>
        <v>4.65</v>
      </c>
      <c r="J618" s="57" t="n">
        <f aca="false">BN618*Parameter!$B$18</f>
        <v>0</v>
      </c>
      <c r="K618" s="58" t="n">
        <v>45.5</v>
      </c>
      <c r="L618" s="59" t="n">
        <v>0</v>
      </c>
      <c r="M618" s="57" t="n">
        <v>4</v>
      </c>
      <c r="N618" s="57" t="n">
        <v>125</v>
      </c>
      <c r="O618" s="60" t="n">
        <v>14</v>
      </c>
      <c r="P618" s="55" t="s">
        <v>168</v>
      </c>
      <c r="Q618" s="57"/>
      <c r="R618" s="60" t="n">
        <f aca="false">IF(BT618=1,0,IFERROR(VLOOKUP(BR618,'Gebinde-Kategorie'!$A$5:$M$45,13,0)+0,0))</f>
        <v>26</v>
      </c>
      <c r="S618" s="61"/>
      <c r="T618" s="62" t="s">
        <v>275</v>
      </c>
      <c r="U618" s="62"/>
      <c r="V618" s="62"/>
      <c r="W618" s="55"/>
      <c r="X618" s="57"/>
      <c r="Y618" s="57"/>
      <c r="Z618" s="55" t="n">
        <f aca="false">IF(A618="","",IF(AND(Parameter!$B$21="Ja",ISNUMBER(W618)),W618,IF(BV618="2+3",IF(ISNUMBER(SEARCH("grosser Artikel",BO618)),2,IFERROR(VLOOKUP(BR618,Parameter!$F$35:$G$64,2,0),2)),IF(OR(BV618="Nein",BV618=""),"-",BV618))))</f>
        <v>3</v>
      </c>
      <c r="AA618" s="62"/>
      <c r="AB618" s="63"/>
      <c r="AC618" s="57" t="n">
        <f aca="false">AR618</f>
        <v>250</v>
      </c>
      <c r="AD618" s="57" t="n">
        <f aca="false">MAX(AR618,H618)</f>
        <v>250</v>
      </c>
      <c r="AE618" s="64"/>
      <c r="AF618" s="57" t="n">
        <f aca="false">IF(LEFT(Cockpit!$C$5,1)="A",H618,IF(CA618=1,CB618,IF(LEFT(Cockpit!$C$5,1)="B",AJ618,MAX(AJ618,H618))))</f>
        <v>93</v>
      </c>
      <c r="AG618" s="57" t="n">
        <f aca="false">IF(BT618=1,0,ROUNDUP(AF618/BS618,0))</f>
        <v>1</v>
      </c>
      <c r="AH618" s="59" t="n">
        <f aca="false">IF(CH618&gt;0,CH618*MAX(1,AF618/X618),IF(BT618=1,IF(AF618&lt;=0,0,BW618*MAX(1,IF(H618&gt;0,AF618/H618,1))),IF(R618&gt;0,AG618/R618,0))/MAX(0.1,N(Parameter!$M$21)))</f>
        <v>0.0384615384615385</v>
      </c>
      <c r="AI618" s="57" t="n">
        <f aca="false">AF618*G618</f>
        <v>4.65</v>
      </c>
      <c r="AJ618" s="57" t="n">
        <f aca="false">ROUNDUP(MAX(J618/IF(BZ618&gt;0,BZ618,MAX(0.1,N(Cockpit!$C$6))),CC618)/BS618,0)*BS618</f>
        <v>250</v>
      </c>
      <c r="AK618" s="58" t="n">
        <f aca="false">IF(AH618&gt;0,J618/AH618,-1)</f>
        <v>0</v>
      </c>
      <c r="AL618" s="58" t="n">
        <f aca="false">IF(AND(OR(BY618="L1",BY618="L23"),AH618&gt;0),SUMIFS($AH$7:$AH$1843,$BY$7:$BY$1843,BY618,$AK$7:$AK$1843,"&gt;"&amp;AK618)+SUMIFS($AH$7:$AH$1843,$BY$7:$BY$1843,BY618,$AK$7:$AK$1843,AK618,$BQ$7:$BQ$1843,"&lt;="&amp;BQ618),"")</f>
        <v>76.2471453667106</v>
      </c>
      <c r="AM618" s="65" t="n">
        <f aca="false">IF(AL618="",0,MAX(0,MIN(1,(IF(BY618="L1",Parameter!$E$5,Parameter!$E$6+Parameter!$E$7)-(AL618-AH618))/AH618)))</f>
        <v>1</v>
      </c>
      <c r="AN618" s="57" t="n">
        <f aca="false">IF(LEFT(Cockpit!$I$5,1)="A",H618,IF(CA618=1,CB618,IF(LEFT(Cockpit!$I$5,1)="B",AR618,MAX(AR618,H618))))</f>
        <v>250</v>
      </c>
      <c r="AO618" s="57" t="n">
        <f aca="false">IF(BT618=1,0,ROUNDUP(AN618/BS618,0))</f>
        <v>2</v>
      </c>
      <c r="AP618" s="59" t="n">
        <f aca="false">IF(CH618&gt;0,CH618*MAX(1,AN618/X618),IF(BT618=1,IF(AN618&lt;=0,0,BW618*MAX(1,IF(H618&gt;0,AN618/H618,1))),IF(R618&gt;0,AO618/R618,0))/MAX(0.1,N(Parameter!$M$21)))</f>
        <v>0.0769230769230769</v>
      </c>
      <c r="AQ618" s="57" t="n">
        <f aca="false">AN618*G618</f>
        <v>12.5</v>
      </c>
      <c r="AR618" s="57" t="n">
        <f aca="false">ROUNDUP(MAX(J618/IF(BZ618&gt;0,BZ618,MAX(0.1,N(Cockpit!$I$6))),CC618)/BS618,0)*BS618</f>
        <v>250</v>
      </c>
      <c r="AS618" s="58" t="n">
        <f aca="false">IF(AP618&gt;0,J618/AP618,-1)</f>
        <v>0</v>
      </c>
      <c r="AT618" s="58" t="n">
        <f aca="false">IF(AND(OR(BY618="L1",BY618="L23"),AP618&gt;0),SUMIFS($AP$7:$AP$1843,$BY$7:$BY$1843,BY618,$AS$7:$AS$1843,"&gt;"&amp;AS618)+SUMIFS($AP$7:$AP$1843,$BY$7:$BY$1843,BY618,$AS$7:$AS$1843,AS618,$BQ$7:$BQ$1843,"&lt;="&amp;BQ618),"")</f>
        <v>115.709731090166</v>
      </c>
      <c r="AU618" s="65" t="n">
        <f aca="false">IF(AT618="",0,MAX(0,MIN(1,(IF(BY618="L1",Parameter!$E$5,Parameter!$E$6+Parameter!$E$7)-(AT618-AP618))/AP618)))</f>
        <v>0</v>
      </c>
      <c r="AV618" s="57" t="n">
        <f aca="false">IF(LEFT(Cockpit!$O$5,1)="A",H618,IF(CA618=1,CB618,IF(LEFT(Cockpit!$O$5,1)="B",AZ618,MAX(AZ618,H618))))</f>
        <v>250</v>
      </c>
      <c r="AW618" s="57" t="n">
        <f aca="false">IF(BT618=1,0,ROUNDUP(AV618/BS618,0))</f>
        <v>2</v>
      </c>
      <c r="AX618" s="59" t="n">
        <f aca="false">IF(CH618&gt;0,CH618*MAX(1,AV618/X618),IF(BT618=1,IF(AV618&lt;=0,0,BW618*MAX(1,IF(H618&gt;0,AV618/H618,1))),IF(R618&gt;0,AW618/R618,0))/MAX(0.1,N(Parameter!$M$21)))</f>
        <v>0.0769230769230769</v>
      </c>
      <c r="AY618" s="57" t="n">
        <f aca="false">AV618*G618</f>
        <v>12.5</v>
      </c>
      <c r="AZ618" s="57" t="n">
        <f aca="false">ROUNDUP(MAX(J618/IF(BZ618&gt;0,BZ618,MAX(0.1,N(Cockpit!$O$6))),CC618)/BS618,0)*BS618</f>
        <v>250</v>
      </c>
      <c r="BA618" s="58" t="n">
        <f aca="false">IF(AX618&gt;0,J618/AX618,-1)</f>
        <v>0</v>
      </c>
      <c r="BB618" s="58" t="n">
        <f aca="false">IF(AND(OR(BY618="L1",BY618="L23"),AX618&gt;0),SUMIFS($AX$7:$AX$1843,$BY$7:$BY$1843,BY618,$BA$7:$BA$1843,"&gt;"&amp;BA618)+SUMIFS($AX$7:$AX$1843,$BY$7:$BY$1843,BY618,$BA$7:$BA$1843,BA618,$BQ$7:$BQ$1843,"&lt;="&amp;BQ618),"")</f>
        <v>106.539567920003</v>
      </c>
      <c r="BC618" s="65" t="n">
        <f aca="false">IF(BB618="",0,MAX(0,MIN(1,(IF(BY618="L1",Parameter!$E$5,Parameter!$E$6+Parameter!$E$7)-(BB618-AX618))/AX618)))</f>
        <v>0</v>
      </c>
      <c r="BD618" s="55" t="str">
        <f aca="false">IF(AH618&lt;=0,"",IF(BY618="Aussen","Aussenlager",IF(BY618="-","Nicht im Lift",IF(AM618&gt;=1,"Lift",IF(AM618&lt;=0,"Aussenlager","teilweise")))))</f>
        <v>Lift</v>
      </c>
      <c r="BE618" s="55" t="str">
        <f aca="false">IF(AP618&lt;=0,"",IF(BY618="Aussen","Aussenlager",IF(BY618="-","Nicht im Lift",IF(AU618&gt;=1,"Lift",IF(AU618&lt;=0,"Aussenlager","teilweise")))))</f>
        <v>Aussenlager</v>
      </c>
      <c r="BF618" s="55" t="str">
        <f aca="false">IF(AX618&lt;=0,"",IF(BY618="Aussen","Aussenlager",IF(BY618="-","Nicht im Lift",IF(BC618&gt;=1,"Lift",IF(BC618&lt;=0,"Aussenlager","teilweise")))))</f>
        <v>Aussenlager</v>
      </c>
      <c r="BG618" s="55" t="str">
        <f aca="false">IF(A618="","",IF(BP618=1,"Neu; ","")&amp;IF(AND(BP618=0,BK618&lt;0),"negativer Bestand (Export "&amp;BK618&amp;"); ","")&amp;IF(J618&lt;=0,"Kein Verbrauch; ","")&amp;IF(CH618&gt;0,"Lift "&amp;W618&amp;" lt. Liftbericht (Fach "&amp;X618&amp;" Stk); ",IF(BU618=1,"Gebinde geschätzt ("&amp;T618&amp;"); ",IF(BT618=1,"Lose – Tablare geschätzt; ","")))&amp;IF(H618&gt;AR618,"Überbestand "&amp;ROUND(H618-AR618,0)&amp;" Stk / CHF "&amp;ROUND((H618-AR618)*G618,0)&amp;"; ","")&amp;IF(AND(CA618=1,CB618&lt;CC618),"MAX &lt; MB+LG; ","")&amp;IF(AND(CG618&gt;0,CF618*10&gt;CG618),"zu hoch für Tablar; ","")&amp;IF(AND(BP618=0,OR(CA618=1,AA618&lt;&gt;"",U618&lt;&gt;"",V618&lt;&gt;"",AB618&lt;&gt;"")),"manuell übersteuert; ","")&amp;IF(AND(BT618=0,R618=0),"Gebinde unbekannt / Stellmass fehlt; ","")&amp;IF(AND(BT618=0,N(V618)&lt;=0,N(Q618)&lt;=0),"Menge pro Gebinde fehlt (Ist = 1 Gebinde); ","")&amp;BO618)</f>
        <v>Kein Verbrauch; Gebinde geschätzt (Klein); Menge pro Gebinde fehlt (Ist = 1 Gebinde); </v>
      </c>
      <c r="BH618" s="55"/>
      <c r="BI618" s="55"/>
      <c r="BJ618" s="62"/>
      <c r="BK618" s="57" t="n">
        <v>88</v>
      </c>
      <c r="BL618" s="57" t="n">
        <v>5</v>
      </c>
      <c r="BM618" s="56" t="n">
        <v>4.4</v>
      </c>
      <c r="BN618" s="57" t="n">
        <v>0</v>
      </c>
      <c r="BO618" s="55"/>
      <c r="BP618" s="60" t="n">
        <v>0</v>
      </c>
      <c r="BQ618" s="60" t="n">
        <v>618</v>
      </c>
      <c r="BR618" s="55" t="str">
        <f aca="false">IF(U618&lt;&gt;"",UPPER(TRIM(U618)),IF(BU618=1,UPPER(VLOOKUP(T618,Parameter!$I$27:$K$29,2,0)),IF(P618="","LOSE",P618)))</f>
        <v>S51</v>
      </c>
      <c r="BS618" s="57" t="n">
        <f aca="false">IF(BR618="LOSE",1,IF(N(V618)&gt;0,V618,IF(BU618=1,MAX(1,N(VLOOKUP(T618,Parameter!$I$27:$K$29,3,0)),H618,N(N618)),IF(N(Q618)&gt;0,Q618,MAX(1,H618)))))</f>
        <v>125</v>
      </c>
      <c r="BT618" s="60" t="n">
        <f aca="false">IF(BR618="LOSE",1,0)</f>
        <v>0</v>
      </c>
      <c r="BU618" s="60" t="n">
        <f aca="false">IF(AND(U618="",OR(P618="",P618="LOSE"),T618&lt;&gt;"",N(S618)&lt;=0,ISNUMBER(MATCH(T618,Parameter!$I$27:$I$29,0))),1,0)</f>
        <v>1</v>
      </c>
      <c r="BV618" s="55" t="str">
        <f aca="false">IF(AND(Parameter!$B$19="Ja",E618&lt;&gt;"",ISNUMBER(MATCH(E618,Parameter!$I$35:$I$52,0))),VLOOKUP(E618,Parameter!$I$35:$J$52,2,0),IFERROR(VLOOKUP(D618,Parameter!$A$35:$C$64,2,0),"Nein"))</f>
        <v>2+3</v>
      </c>
      <c r="BW618" s="59" t="n">
        <f aca="false">IF(BT618=0,0,IF(N(S618)&gt;0,S618,IFERROR(VLOOKUP(D618,Parameter!$A$35:$C$64,3,0)+0,0)))</f>
        <v>0</v>
      </c>
      <c r="BX618" s="55" t="n">
        <f aca="false">IF(AA618&lt;&gt;"",AA618,Z618)</f>
        <v>3</v>
      </c>
      <c r="BY618" s="55" t="str">
        <f aca="false">IF(BX618=1,"L1",IF(OR(BX618=2,BX618=3),"L23",IF(BX618="Aussen","Aussen","-")))</f>
        <v>L23</v>
      </c>
      <c r="BZ618" s="66" t="n">
        <f aca="false">IF(N(AB618)&gt;0,AB618,0)</f>
        <v>0</v>
      </c>
      <c r="CA618" s="60" t="n">
        <f aca="false">IF(ISNUMBER(AE618),1,0)</f>
        <v>0</v>
      </c>
      <c r="CB618" s="57" t="n">
        <f aca="false">N(AE618)</f>
        <v>0</v>
      </c>
      <c r="CC618" s="57" t="n">
        <f aca="false">N(M618)+N(N618)</f>
        <v>129</v>
      </c>
      <c r="CD618" s="57" t="n">
        <f aca="false">ROUNDUP(H618/BS618,0)</f>
        <v>1</v>
      </c>
      <c r="CE618" s="57" t="n">
        <f aca="false">ROUNDUP(CB618/BS618,0)</f>
        <v>0</v>
      </c>
      <c r="CF618" s="60" t="n">
        <f aca="false">IF(BT618=1,0,IFERROR(VLOOKUP(BR618,'Gebinde-Kategorie'!$A$5:$M$45,5,0)+0,0))</f>
        <v>11</v>
      </c>
      <c r="CG618" s="60" t="n">
        <f aca="false">IFERROR(IF(OR(BX618=1,BX618=2,BX618=3),N(INDEX(Parameter!$I$5:$I$7,BX618)),0),0)</f>
        <v>0</v>
      </c>
      <c r="CH618" s="59" t="n">
        <f aca="false">IF(AND(Parameter!$B$21="Ja",ISNUMBER(W618),N(X618)&gt;0),IFERROR(N(INDEX(Parameter!$L$5:$L$7,W618))*INDEX(Parameter!$E$5:$E$7,W618)*X618/SUMIFS($X$7:$X$1843,$W$7:$W$1843,W618),0),0)</f>
        <v>0</v>
      </c>
    </row>
    <row r="619" customFormat="false" ht="15" hidden="false" customHeight="false" outlineLevel="0" collapsed="false">
      <c r="A619" s="55" t="s">
        <v>1274</v>
      </c>
      <c r="B619" s="55" t="s">
        <v>407</v>
      </c>
      <c r="C619" s="55" t="s">
        <v>164</v>
      </c>
      <c r="D619" s="55" t="s">
        <v>995</v>
      </c>
      <c r="E619" s="55"/>
      <c r="F619" s="55" t="s">
        <v>218</v>
      </c>
      <c r="G619" s="56" t="n">
        <v>3.25</v>
      </c>
      <c r="H619" s="57" t="n">
        <f aca="false">MAX(0,IF(AND(Parameter!$B$21="Ja",ISNUMBER(Y619)),Y619,IF(Parameter!$B$20="Jahresanfang 2025 + Export",BL619+BK619,BK619)))</f>
        <v>1</v>
      </c>
      <c r="I619" s="57" t="n">
        <f aca="false">H619*G619</f>
        <v>3.25</v>
      </c>
      <c r="J619" s="57" t="n">
        <f aca="false">BN619*Parameter!$B$18</f>
        <v>60</v>
      </c>
      <c r="K619" s="58" t="n">
        <v>0.5</v>
      </c>
      <c r="L619" s="59" t="n">
        <v>120</v>
      </c>
      <c r="M619" s="57" t="n">
        <v>0</v>
      </c>
      <c r="N619" s="57" t="n">
        <v>100</v>
      </c>
      <c r="O619" s="60" t="n">
        <v>28</v>
      </c>
      <c r="P619" s="55" t="s">
        <v>168</v>
      </c>
      <c r="Q619" s="57"/>
      <c r="R619" s="60" t="n">
        <f aca="false">IF(BT619=1,0,IFERROR(VLOOKUP(BR619,'Gebinde-Kategorie'!$A$5:$M$45,13,0)+0,0))</f>
        <v>0</v>
      </c>
      <c r="S619" s="61"/>
      <c r="T619" s="62"/>
      <c r="U619" s="62"/>
      <c r="V619" s="62"/>
      <c r="W619" s="55"/>
      <c r="X619" s="57"/>
      <c r="Y619" s="57"/>
      <c r="Z619" s="55" t="str">
        <f aca="false">IF(A619="","",IF(AND(Parameter!$B$21="Ja",ISNUMBER(W619)),W619,IF(BV619="2+3",IF(ISNUMBER(SEARCH("grosser Artikel",BO619)),2,IFERROR(VLOOKUP(BR619,Parameter!$F$35:$G$64,2,0),2)),IF(OR(BV619="Nein",BV619=""),"-",BV619))))</f>
        <v>-</v>
      </c>
      <c r="AA619" s="62"/>
      <c r="AB619" s="63"/>
      <c r="AC619" s="57" t="n">
        <f aca="false">AR619</f>
        <v>100</v>
      </c>
      <c r="AD619" s="57" t="n">
        <f aca="false">MAX(AR619,H619)</f>
        <v>100</v>
      </c>
      <c r="AE619" s="64"/>
      <c r="AF619" s="57" t="n">
        <f aca="false">IF(LEFT(Cockpit!$C$5,1)="A",H619,IF(CA619=1,CB619,IF(LEFT(Cockpit!$C$5,1)="B",AJ619,MAX(AJ619,H619))))</f>
        <v>1</v>
      </c>
      <c r="AG619" s="57" t="n">
        <f aca="false">IF(BT619=1,0,ROUNDUP(AF619/BS619,0))</f>
        <v>0</v>
      </c>
      <c r="AH619" s="59" t="n">
        <f aca="false">IF(CH619&gt;0,CH619*MAX(1,AF619/X619),IF(BT619=1,IF(AF619&lt;=0,0,BW619*MAX(1,IF(H619&gt;0,AF619/H619,1))),IF(R619&gt;0,AG619/R619,0))/MAX(0.1,N(Parameter!$M$21)))</f>
        <v>0.15</v>
      </c>
      <c r="AI619" s="57" t="n">
        <f aca="false">AF619*G619</f>
        <v>3.25</v>
      </c>
      <c r="AJ619" s="57" t="n">
        <f aca="false">ROUNDUP(MAX(J619/IF(BZ619&gt;0,BZ619,MAX(0.1,N(Cockpit!$C$6))),CC619)/BS619,0)*BS619</f>
        <v>100</v>
      </c>
      <c r="AK619" s="58" t="n">
        <f aca="false">IF(AH619&gt;0,J619/AH619,-1)</f>
        <v>400</v>
      </c>
      <c r="AL619" s="58" t="str">
        <f aca="false">IF(AND(OR(BY619="L1",BY619="L23"),AH619&gt;0),SUMIFS($AH$7:$AH$1843,$BY$7:$BY$1843,BY619,$AK$7:$AK$1843,"&gt;"&amp;AK619)+SUMIFS($AH$7:$AH$1843,$BY$7:$BY$1843,BY619,$AK$7:$AK$1843,AK619,$BQ$7:$BQ$1843,"&lt;="&amp;BQ619),"")</f>
        <v/>
      </c>
      <c r="AM619" s="65" t="n">
        <f aca="false">IF(AL619="",0,MAX(0,MIN(1,(IF(BY619="L1",Parameter!$E$5,Parameter!$E$6+Parameter!$E$7)-(AL619-AH619))/AH619)))</f>
        <v>0</v>
      </c>
      <c r="AN619" s="57" t="n">
        <f aca="false">IF(LEFT(Cockpit!$I$5,1)="A",H619,IF(CA619=1,CB619,IF(LEFT(Cockpit!$I$5,1)="B",AR619,MAX(AR619,H619))))</f>
        <v>100</v>
      </c>
      <c r="AO619" s="57" t="n">
        <f aca="false">IF(BT619=1,0,ROUNDUP(AN619/BS619,0))</f>
        <v>0</v>
      </c>
      <c r="AP619" s="59" t="n">
        <f aca="false">IF(CH619&gt;0,CH619*MAX(1,AN619/X619),IF(BT619=1,IF(AN619&lt;=0,0,BW619*MAX(1,IF(H619&gt;0,AN619/H619,1))),IF(R619&gt;0,AO619/R619,0))/MAX(0.1,N(Parameter!$M$21)))</f>
        <v>15</v>
      </c>
      <c r="AQ619" s="57" t="n">
        <f aca="false">AN619*G619</f>
        <v>325</v>
      </c>
      <c r="AR619" s="57" t="n">
        <f aca="false">ROUNDUP(MAX(J619/IF(BZ619&gt;0,BZ619,MAX(0.1,N(Cockpit!$I$6))),CC619)/BS619,0)*BS619</f>
        <v>100</v>
      </c>
      <c r="AS619" s="58" t="n">
        <f aca="false">IF(AP619&gt;0,J619/AP619,-1)</f>
        <v>4</v>
      </c>
      <c r="AT619" s="58" t="str">
        <f aca="false">IF(AND(OR(BY619="L1",BY619="L23"),AP619&gt;0),SUMIFS($AP$7:$AP$1843,$BY$7:$BY$1843,BY619,$AS$7:$AS$1843,"&gt;"&amp;AS619)+SUMIFS($AP$7:$AP$1843,$BY$7:$BY$1843,BY619,$AS$7:$AS$1843,AS619,$BQ$7:$BQ$1843,"&lt;="&amp;BQ619),"")</f>
        <v/>
      </c>
      <c r="AU619" s="65" t="n">
        <f aca="false">IF(AT619="",0,MAX(0,MIN(1,(IF(BY619="L1",Parameter!$E$5,Parameter!$E$6+Parameter!$E$7)-(AT619-AP619))/AP619)))</f>
        <v>0</v>
      </c>
      <c r="AV619" s="57" t="n">
        <f aca="false">IF(LEFT(Cockpit!$O$5,1)="A",H619,IF(CA619=1,CB619,IF(LEFT(Cockpit!$O$5,1)="B",AZ619,MAX(AZ619,H619))))</f>
        <v>100</v>
      </c>
      <c r="AW619" s="57" t="n">
        <f aca="false">IF(BT619=1,0,ROUNDUP(AV619/BS619,0))</f>
        <v>0</v>
      </c>
      <c r="AX619" s="59" t="n">
        <f aca="false">IF(CH619&gt;0,CH619*MAX(1,AV619/X619),IF(BT619=1,IF(AV619&lt;=0,0,BW619*MAX(1,IF(H619&gt;0,AV619/H619,1))),IF(R619&gt;0,AW619/R619,0))/MAX(0.1,N(Parameter!$M$21)))</f>
        <v>15</v>
      </c>
      <c r="AY619" s="57" t="n">
        <f aca="false">AV619*G619</f>
        <v>325</v>
      </c>
      <c r="AZ619" s="57" t="n">
        <f aca="false">ROUNDUP(MAX(J619/IF(BZ619&gt;0,BZ619,MAX(0.1,N(Cockpit!$O$6))),CC619)/BS619,0)*BS619</f>
        <v>100</v>
      </c>
      <c r="BA619" s="58" t="n">
        <f aca="false">IF(AX619&gt;0,J619/AX619,-1)</f>
        <v>4</v>
      </c>
      <c r="BB619" s="58" t="str">
        <f aca="false">IF(AND(OR(BY619="L1",BY619="L23"),AX619&gt;0),SUMIFS($AX$7:$AX$1843,$BY$7:$BY$1843,BY619,$BA$7:$BA$1843,"&gt;"&amp;BA619)+SUMIFS($AX$7:$AX$1843,$BY$7:$BY$1843,BY619,$BA$7:$BA$1843,BA619,$BQ$7:$BQ$1843,"&lt;="&amp;BQ619),"")</f>
        <v/>
      </c>
      <c r="BC619" s="65" t="n">
        <f aca="false">IF(BB619="",0,MAX(0,MIN(1,(IF(BY619="L1",Parameter!$E$5,Parameter!$E$6+Parameter!$E$7)-(BB619-AX619))/AX619)))</f>
        <v>0</v>
      </c>
      <c r="BD619" s="55" t="str">
        <f aca="false">IF(AH619&lt;=0,"",IF(BY619="Aussen","Aussenlager",IF(BY619="-","Nicht im Lift",IF(AM619&gt;=1,"Lift",IF(AM619&lt;=0,"Aussenlager","teilweise")))))</f>
        <v>Nicht im Lift</v>
      </c>
      <c r="BE619" s="55" t="str">
        <f aca="false">IF(AP619&lt;=0,"",IF(BY619="Aussen","Aussenlager",IF(BY619="-","Nicht im Lift",IF(AU619&gt;=1,"Lift",IF(AU619&lt;=0,"Aussenlager","teilweise")))))</f>
        <v>Nicht im Lift</v>
      </c>
      <c r="BF619" s="55" t="str">
        <f aca="false">IF(AX619&lt;=0,"",IF(BY619="Aussen","Aussenlager",IF(BY619="-","Nicht im Lift",IF(BC619&gt;=1,"Lift",IF(BC619&lt;=0,"Aussenlager","teilweise")))))</f>
        <v>Nicht im Lift</v>
      </c>
      <c r="BG619" s="55" t="str">
        <f aca="false">IF(A619="","",IF(BP619=1,"Neu; ","")&amp;IF(AND(BP619=0,BK619&lt;0),"negativer Bestand (Export "&amp;BK619&amp;"); ","")&amp;IF(J619&lt;=0,"Kein Verbrauch; ","")&amp;IF(CH619&gt;0,"Lift "&amp;W619&amp;" lt. Liftbericht (Fach "&amp;X619&amp;" Stk); ",IF(BU619=1,"Gebinde geschätzt ("&amp;T619&amp;"); ",IF(BT619=1,"Lose – Tablare geschätzt; ","")))&amp;IF(H619&gt;AR619,"Überbestand "&amp;ROUND(H619-AR619,0)&amp;" Stk / CHF "&amp;ROUND((H619-AR619)*G619,0)&amp;"; ","")&amp;IF(AND(CA619=1,CB619&lt;CC619),"MAX &lt; MB+LG; ","")&amp;IF(AND(CG619&gt;0,CF619*10&gt;CG619),"zu hoch für Tablar; ","")&amp;IF(AND(BP619=0,OR(CA619=1,AA619&lt;&gt;"",U619&lt;&gt;"",V619&lt;&gt;"",AB619&lt;&gt;"")),"manuell übersteuert; ","")&amp;IF(AND(BT619=0,R619=0),"Gebinde unbekannt / Stellmass fehlt; ","")&amp;IF(AND(BT619=0,N(V619)&lt;=0,N(Q619)&lt;=0),"Menge pro Gebinde fehlt (Ist = 1 Gebinde); ","")&amp;BO619)</f>
        <v>Lose – Tablare geschätzt; </v>
      </c>
      <c r="BH619" s="55"/>
      <c r="BI619" s="55"/>
      <c r="BJ619" s="62"/>
      <c r="BK619" s="57" t="n">
        <v>1</v>
      </c>
      <c r="BL619" s="57" t="n">
        <v>0</v>
      </c>
      <c r="BM619" s="56" t="n">
        <v>3.25</v>
      </c>
      <c r="BN619" s="57" t="n">
        <v>60</v>
      </c>
      <c r="BO619" s="55"/>
      <c r="BP619" s="60" t="n">
        <v>0</v>
      </c>
      <c r="BQ619" s="60" t="n">
        <v>619</v>
      </c>
      <c r="BR619" s="55" t="str">
        <f aca="false">IF(U619&lt;&gt;"",UPPER(TRIM(U619)),IF(BU619=1,UPPER(VLOOKUP(T619,Parameter!$I$27:$K$29,2,0)),IF(P619="","LOSE",P619)))</f>
        <v>LOSE</v>
      </c>
      <c r="BS619" s="57" t="n">
        <f aca="false">IF(BR619="LOSE",1,IF(N(V619)&gt;0,V619,IF(BU619=1,MAX(1,N(VLOOKUP(T619,Parameter!$I$27:$K$29,3,0)),H619,N(N619)),IF(N(Q619)&gt;0,Q619,MAX(1,H619)))))</f>
        <v>1</v>
      </c>
      <c r="BT619" s="60" t="n">
        <f aca="false">IF(BR619="LOSE",1,0)</f>
        <v>1</v>
      </c>
      <c r="BU619" s="60" t="n">
        <f aca="false">IF(AND(U619="",OR(P619="",P619="LOSE"),T619&lt;&gt;"",N(S619)&lt;=0,ISNUMBER(MATCH(T619,Parameter!$I$27:$I$29,0))),1,0)</f>
        <v>0</v>
      </c>
      <c r="BV619" s="55" t="str">
        <f aca="false">IF(AND(Parameter!$B$19="Ja",E619&lt;&gt;"",ISNUMBER(MATCH(E619,Parameter!$I$35:$I$52,0))),VLOOKUP(E619,Parameter!$I$35:$J$52,2,0),IFERROR(VLOOKUP(D619,Parameter!$A$35:$C$64,2,0),"Nein"))</f>
        <v>Nein</v>
      </c>
      <c r="BW619" s="59" t="n">
        <f aca="false">IF(BT619=0,0,IF(N(S619)&gt;0,S619,IFERROR(VLOOKUP(D619,Parameter!$A$35:$C$64,3,0)+0,0)))</f>
        <v>0.15</v>
      </c>
      <c r="BX619" s="55" t="str">
        <f aca="false">IF(AA619&lt;&gt;"",AA619,Z619)</f>
        <v>-</v>
      </c>
      <c r="BY619" s="55" t="str">
        <f aca="false">IF(BX619=1,"L1",IF(OR(BX619=2,BX619=3),"L23",IF(BX619="Aussen","Aussen","-")))</f>
        <v>-</v>
      </c>
      <c r="BZ619" s="66" t="n">
        <f aca="false">IF(N(AB619)&gt;0,AB619,0)</f>
        <v>0</v>
      </c>
      <c r="CA619" s="60" t="n">
        <f aca="false">IF(ISNUMBER(AE619),1,0)</f>
        <v>0</v>
      </c>
      <c r="CB619" s="57" t="n">
        <f aca="false">N(AE619)</f>
        <v>0</v>
      </c>
      <c r="CC619" s="57" t="n">
        <f aca="false">N(M619)+N(N619)</f>
        <v>100</v>
      </c>
      <c r="CD619" s="57" t="n">
        <f aca="false">ROUNDUP(H619/BS619,0)</f>
        <v>1</v>
      </c>
      <c r="CE619" s="57" t="n">
        <f aca="false">ROUNDUP(CB619/BS619,0)</f>
        <v>0</v>
      </c>
      <c r="CF619" s="60" t="n">
        <f aca="false">IF(BT619=1,0,IFERROR(VLOOKUP(BR619,'Gebinde-Kategorie'!$A$5:$M$45,5,0)+0,0))</f>
        <v>0</v>
      </c>
      <c r="CG619" s="60" t="n">
        <f aca="false">IFERROR(IF(OR(BX619=1,BX619=2,BX619=3),N(INDEX(Parameter!$I$5:$I$7,BX619)),0),0)</f>
        <v>0</v>
      </c>
      <c r="CH619" s="59" t="n">
        <f aca="false">IF(AND(Parameter!$B$21="Ja",ISNUMBER(W619),N(X619)&gt;0),IFERROR(N(INDEX(Parameter!$L$5:$L$7,W619))*INDEX(Parameter!$E$5:$E$7,W619)*X619/SUMIFS($X$7:$X$1843,$W$7:$W$1843,W619),0),0)</f>
        <v>0</v>
      </c>
    </row>
    <row r="620" customFormat="false" ht="15" hidden="false" customHeight="false" outlineLevel="0" collapsed="false">
      <c r="A620" s="55" t="s">
        <v>1275</v>
      </c>
      <c r="B620" s="55" t="s">
        <v>1276</v>
      </c>
      <c r="C620" s="55" t="s">
        <v>164</v>
      </c>
      <c r="D620" s="55" t="s">
        <v>184</v>
      </c>
      <c r="E620" s="55"/>
      <c r="F620" s="55" t="s">
        <v>218</v>
      </c>
      <c r="G620" s="56" t="n">
        <v>1.52</v>
      </c>
      <c r="H620" s="57" t="n">
        <f aca="false">MAX(0,IF(AND(Parameter!$B$21="Ja",ISNUMBER(Y620)),Y620,IF(Parameter!$B$20="Jahresanfang 2025 + Export",BL620+BK620,BK620)))</f>
        <v>2</v>
      </c>
      <c r="I620" s="57" t="n">
        <f aca="false">H620*G620</f>
        <v>3.04</v>
      </c>
      <c r="J620" s="57" t="n">
        <f aca="false">BN620*Parameter!$B$18</f>
        <v>0</v>
      </c>
      <c r="K620" s="58" t="n">
        <v>0</v>
      </c>
      <c r="L620" s="59" t="n">
        <v>0</v>
      </c>
      <c r="M620" s="57" t="n">
        <v>0</v>
      </c>
      <c r="N620" s="57" t="n">
        <v>1</v>
      </c>
      <c r="O620" s="60" t="n">
        <v>21</v>
      </c>
      <c r="P620" s="55" t="s">
        <v>426</v>
      </c>
      <c r="Q620" s="57" t="n">
        <v>10</v>
      </c>
      <c r="R620" s="60" t="n">
        <f aca="false">IF(BT620=1,0,IFERROR(VLOOKUP(BR620,'Gebinde-Kategorie'!$A$5:$M$45,13,0)+0,0))</f>
        <v>198</v>
      </c>
      <c r="S620" s="61"/>
      <c r="T620" s="62"/>
      <c r="U620" s="62"/>
      <c r="V620" s="62"/>
      <c r="W620" s="55"/>
      <c r="X620" s="57"/>
      <c r="Y620" s="57"/>
      <c r="Z620" s="55" t="n">
        <f aca="false">IF(A620="","",IF(AND(Parameter!$B$21="Ja",ISNUMBER(W620)),W620,IF(BV620="2+3",IF(ISNUMBER(SEARCH("grosser Artikel",BO620)),2,IFERROR(VLOOKUP(BR620,Parameter!$F$35:$G$64,2,0),2)),IF(OR(BV620="Nein",BV620=""),"-",BV620))))</f>
        <v>3</v>
      </c>
      <c r="AA620" s="62"/>
      <c r="AB620" s="63"/>
      <c r="AC620" s="57" t="n">
        <f aca="false">AR620</f>
        <v>10</v>
      </c>
      <c r="AD620" s="57" t="n">
        <f aca="false">MAX(AR620,H620)</f>
        <v>10</v>
      </c>
      <c r="AE620" s="64"/>
      <c r="AF620" s="57" t="n">
        <f aca="false">IF(LEFT(Cockpit!$C$5,1)="A",H620,IF(CA620=1,CB620,IF(LEFT(Cockpit!$C$5,1)="B",AJ620,MAX(AJ620,H620))))</f>
        <v>2</v>
      </c>
      <c r="AG620" s="57" t="n">
        <f aca="false">IF(BT620=1,0,ROUNDUP(AF620/BS620,0))</f>
        <v>1</v>
      </c>
      <c r="AH620" s="59" t="n">
        <f aca="false">IF(CH620&gt;0,CH620*MAX(1,AF620/X620),IF(BT620=1,IF(AF620&lt;=0,0,BW620*MAX(1,IF(H620&gt;0,AF620/H620,1))),IF(R620&gt;0,AG620/R620,0))/MAX(0.1,N(Parameter!$M$21)))</f>
        <v>0.00505050505050505</v>
      </c>
      <c r="AI620" s="57" t="n">
        <f aca="false">AF620*G620</f>
        <v>3.04</v>
      </c>
      <c r="AJ620" s="57" t="n">
        <f aca="false">ROUNDUP(MAX(J620/IF(BZ620&gt;0,BZ620,MAX(0.1,N(Cockpit!$C$6))),CC620)/BS620,0)*BS620</f>
        <v>10</v>
      </c>
      <c r="AK620" s="58" t="n">
        <f aca="false">IF(AH620&gt;0,J620/AH620,-1)</f>
        <v>0</v>
      </c>
      <c r="AL620" s="58" t="n">
        <f aca="false">IF(AND(OR(BY620="L1",BY620="L23"),AH620&gt;0),SUMIFS($AH$7:$AH$1843,$BY$7:$BY$1843,BY620,$AK$7:$AK$1843,"&gt;"&amp;AK620)+SUMIFS($AH$7:$AH$1843,$BY$7:$BY$1843,BY620,$AK$7:$AK$1843,AK620,$BQ$7:$BQ$1843,"&lt;="&amp;BQ620),"")</f>
        <v>76.2521958717611</v>
      </c>
      <c r="AM620" s="65" t="n">
        <f aca="false">IF(AL620="",0,MAX(0,MIN(1,(IF(BY620="L1",Parameter!$E$5,Parameter!$E$6+Parameter!$E$7)-(AL620-AH620))/AH620)))</f>
        <v>1</v>
      </c>
      <c r="AN620" s="57" t="n">
        <f aca="false">IF(LEFT(Cockpit!$I$5,1)="A",H620,IF(CA620=1,CB620,IF(LEFT(Cockpit!$I$5,1)="B",AR620,MAX(AR620,H620))))</f>
        <v>10</v>
      </c>
      <c r="AO620" s="57" t="n">
        <f aca="false">IF(BT620=1,0,ROUNDUP(AN620/BS620,0))</f>
        <v>1</v>
      </c>
      <c r="AP620" s="59" t="n">
        <f aca="false">IF(CH620&gt;0,CH620*MAX(1,AN620/X620),IF(BT620=1,IF(AN620&lt;=0,0,BW620*MAX(1,IF(H620&gt;0,AN620/H620,1))),IF(R620&gt;0,AO620/R620,0))/MAX(0.1,N(Parameter!$M$21)))</f>
        <v>0.00505050505050505</v>
      </c>
      <c r="AQ620" s="57" t="n">
        <f aca="false">AN620*G620</f>
        <v>15.2</v>
      </c>
      <c r="AR620" s="57" t="n">
        <f aca="false">ROUNDUP(MAX(J620/IF(BZ620&gt;0,BZ620,MAX(0.1,N(Cockpit!$I$6))),CC620)/BS620,0)*BS620</f>
        <v>10</v>
      </c>
      <c r="AS620" s="58" t="n">
        <f aca="false">IF(AP620&gt;0,J620/AP620,-1)</f>
        <v>0</v>
      </c>
      <c r="AT620" s="58" t="n">
        <f aca="false">IF(AND(OR(BY620="L1",BY620="L23"),AP620&gt;0),SUMIFS($AP$7:$AP$1843,$BY$7:$BY$1843,BY620,$AS$7:$AS$1843,"&gt;"&amp;AS620)+SUMIFS($AP$7:$AP$1843,$BY$7:$BY$1843,BY620,$AS$7:$AS$1843,AS620,$BQ$7:$BQ$1843,"&lt;="&amp;BQ620),"")</f>
        <v>115.714781595216</v>
      </c>
      <c r="AU620" s="65" t="n">
        <f aca="false">IF(AT620="",0,MAX(0,MIN(1,(IF(BY620="L1",Parameter!$E$5,Parameter!$E$6+Parameter!$E$7)-(AT620-AP620))/AP620)))</f>
        <v>0</v>
      </c>
      <c r="AV620" s="57" t="n">
        <f aca="false">IF(LEFT(Cockpit!$O$5,1)="A",H620,IF(CA620=1,CB620,IF(LEFT(Cockpit!$O$5,1)="B",AZ620,MAX(AZ620,H620))))</f>
        <v>10</v>
      </c>
      <c r="AW620" s="57" t="n">
        <f aca="false">IF(BT620=1,0,ROUNDUP(AV620/BS620,0))</f>
        <v>1</v>
      </c>
      <c r="AX620" s="59" t="n">
        <f aca="false">IF(CH620&gt;0,CH620*MAX(1,AV620/X620),IF(BT620=1,IF(AV620&lt;=0,0,BW620*MAX(1,IF(H620&gt;0,AV620/H620,1))),IF(R620&gt;0,AW620/R620,0))/MAX(0.1,N(Parameter!$M$21)))</f>
        <v>0.00505050505050505</v>
      </c>
      <c r="AY620" s="57" t="n">
        <f aca="false">AV620*G620</f>
        <v>15.2</v>
      </c>
      <c r="AZ620" s="57" t="n">
        <f aca="false">ROUNDUP(MAX(J620/IF(BZ620&gt;0,BZ620,MAX(0.1,N(Cockpit!$O$6))),CC620)/BS620,0)*BS620</f>
        <v>10</v>
      </c>
      <c r="BA620" s="58" t="n">
        <f aca="false">IF(AX620&gt;0,J620/AX620,-1)</f>
        <v>0</v>
      </c>
      <c r="BB620" s="58" t="n">
        <f aca="false">IF(AND(OR(BY620="L1",BY620="L23"),AX620&gt;0),SUMIFS($AX$7:$AX$1843,$BY$7:$BY$1843,BY620,$BA$7:$BA$1843,"&gt;"&amp;BA620)+SUMIFS($AX$7:$AX$1843,$BY$7:$BY$1843,BY620,$BA$7:$BA$1843,BA620,$BQ$7:$BQ$1843,"&lt;="&amp;BQ620),"")</f>
        <v>106.544618425053</v>
      </c>
      <c r="BC620" s="65" t="n">
        <f aca="false">IF(BB620="",0,MAX(0,MIN(1,(IF(BY620="L1",Parameter!$E$5,Parameter!$E$6+Parameter!$E$7)-(BB620-AX620))/AX620)))</f>
        <v>0</v>
      </c>
      <c r="BD620" s="55" t="str">
        <f aca="false">IF(AH620&lt;=0,"",IF(BY620="Aussen","Aussenlager",IF(BY620="-","Nicht im Lift",IF(AM620&gt;=1,"Lift",IF(AM620&lt;=0,"Aussenlager","teilweise")))))</f>
        <v>Lift</v>
      </c>
      <c r="BE620" s="55" t="str">
        <f aca="false">IF(AP620&lt;=0,"",IF(BY620="Aussen","Aussenlager",IF(BY620="-","Nicht im Lift",IF(AU620&gt;=1,"Lift",IF(AU620&lt;=0,"Aussenlager","teilweise")))))</f>
        <v>Aussenlager</v>
      </c>
      <c r="BF620" s="55" t="str">
        <f aca="false">IF(AX620&lt;=0,"",IF(BY620="Aussen","Aussenlager",IF(BY620="-","Nicht im Lift",IF(BC620&gt;=1,"Lift",IF(BC620&lt;=0,"Aussenlager","teilweise")))))</f>
        <v>Aussenlager</v>
      </c>
      <c r="BG620" s="55" t="str">
        <f aca="false">IF(A620="","",IF(BP620=1,"Neu; ","")&amp;IF(AND(BP620=0,BK620&lt;0),"negativer Bestand (Export "&amp;BK620&amp;"); ","")&amp;IF(J620&lt;=0,"Kein Verbrauch; ","")&amp;IF(CH620&gt;0,"Lift "&amp;W620&amp;" lt. Liftbericht (Fach "&amp;X620&amp;" Stk); ",IF(BU620=1,"Gebinde geschätzt ("&amp;T620&amp;"); ",IF(BT620=1,"Lose – Tablare geschätzt; ","")))&amp;IF(H620&gt;AR620,"Überbestand "&amp;ROUND(H620-AR620,0)&amp;" Stk / CHF "&amp;ROUND((H620-AR620)*G620,0)&amp;"; ","")&amp;IF(AND(CA620=1,CB620&lt;CC620),"MAX &lt; MB+LG; ","")&amp;IF(AND(CG620&gt;0,CF620*10&gt;CG620),"zu hoch für Tablar; ","")&amp;IF(AND(BP620=0,OR(CA620=1,AA620&lt;&gt;"",U620&lt;&gt;"",V620&lt;&gt;"",AB620&lt;&gt;"")),"manuell übersteuert; ","")&amp;IF(AND(BT620=0,R620=0),"Gebinde unbekannt / Stellmass fehlt; ","")&amp;IF(AND(BT620=0,N(V620)&lt;=0,N(Q620)&lt;=0),"Menge pro Gebinde fehlt (Ist = 1 Gebinde); ","")&amp;BO620)</f>
        <v>Kein Verbrauch; </v>
      </c>
      <c r="BH620" s="55"/>
      <c r="BI620" s="55"/>
      <c r="BJ620" s="62"/>
      <c r="BK620" s="57" t="n">
        <v>2</v>
      </c>
      <c r="BL620" s="57" t="n">
        <v>0</v>
      </c>
      <c r="BM620" s="56" t="n">
        <v>3.04000000000001</v>
      </c>
      <c r="BN620" s="57" t="n">
        <v>0</v>
      </c>
      <c r="BO620" s="55"/>
      <c r="BP620" s="60" t="n">
        <v>0</v>
      </c>
      <c r="BQ620" s="60" t="n">
        <v>620</v>
      </c>
      <c r="BR620" s="55" t="str">
        <f aca="false">IF(U620&lt;&gt;"",UPPER(TRIM(U620)),IF(BU620=1,UPPER(VLOOKUP(T620,Parameter!$I$27:$K$29,2,0)),IF(P620="","LOSE",P620)))</f>
        <v>S22</v>
      </c>
      <c r="BS620" s="57" t="n">
        <f aca="false">IF(BR620="LOSE",1,IF(N(V620)&gt;0,V620,IF(BU620=1,MAX(1,N(VLOOKUP(T620,Parameter!$I$27:$K$29,3,0)),H620,N(N620)),IF(N(Q620)&gt;0,Q620,MAX(1,H620)))))</f>
        <v>10</v>
      </c>
      <c r="BT620" s="60" t="n">
        <f aca="false">IF(BR620="LOSE",1,0)</f>
        <v>0</v>
      </c>
      <c r="BU620" s="60" t="n">
        <f aca="false">IF(AND(U620="",OR(P620="",P620="LOSE"),T620&lt;&gt;"",N(S620)&lt;=0,ISNUMBER(MATCH(T620,Parameter!$I$27:$I$29,0))),1,0)</f>
        <v>0</v>
      </c>
      <c r="BV620" s="55" t="str">
        <f aca="false">IF(AND(Parameter!$B$19="Ja",E620&lt;&gt;"",ISNUMBER(MATCH(E620,Parameter!$I$35:$I$52,0))),VLOOKUP(E620,Parameter!$I$35:$J$52,2,0),IFERROR(VLOOKUP(D620,Parameter!$A$35:$C$64,2,0),"Nein"))</f>
        <v>2+3</v>
      </c>
      <c r="BW620" s="59" t="n">
        <f aca="false">IF(BT620=0,0,IF(N(S620)&gt;0,S620,IFERROR(VLOOKUP(D620,Parameter!$A$35:$C$64,3,0)+0,0)))</f>
        <v>0</v>
      </c>
      <c r="BX620" s="55" t="n">
        <f aca="false">IF(AA620&lt;&gt;"",AA620,Z620)</f>
        <v>3</v>
      </c>
      <c r="BY620" s="55" t="str">
        <f aca="false">IF(BX620=1,"L1",IF(OR(BX620=2,BX620=3),"L23",IF(BX620="Aussen","Aussen","-")))</f>
        <v>L23</v>
      </c>
      <c r="BZ620" s="66" t="n">
        <f aca="false">IF(N(AB620)&gt;0,AB620,0)</f>
        <v>0</v>
      </c>
      <c r="CA620" s="60" t="n">
        <f aca="false">IF(ISNUMBER(AE620),1,0)</f>
        <v>0</v>
      </c>
      <c r="CB620" s="57" t="n">
        <f aca="false">N(AE620)</f>
        <v>0</v>
      </c>
      <c r="CC620" s="57" t="n">
        <f aca="false">N(M620)+N(N620)</f>
        <v>1</v>
      </c>
      <c r="CD620" s="57" t="n">
        <f aca="false">ROUNDUP(H620/BS620,0)</f>
        <v>1</v>
      </c>
      <c r="CE620" s="57" t="n">
        <f aca="false">ROUNDUP(CB620/BS620,0)</f>
        <v>0</v>
      </c>
      <c r="CF620" s="60" t="n">
        <f aca="false">IF(BT620=1,0,IFERROR(VLOOKUP(BR620,'Gebinde-Kategorie'!$A$5:$M$45,5,0)+0,0))</f>
        <v>8</v>
      </c>
      <c r="CG620" s="60" t="n">
        <f aca="false">IFERROR(IF(OR(BX620=1,BX620=2,BX620=3),N(INDEX(Parameter!$I$5:$I$7,BX620)),0),0)</f>
        <v>0</v>
      </c>
      <c r="CH620" s="59" t="n">
        <f aca="false">IF(AND(Parameter!$B$21="Ja",ISNUMBER(W620),N(X620)&gt;0),IFERROR(N(INDEX(Parameter!$L$5:$L$7,W620))*INDEX(Parameter!$E$5:$E$7,W620)*X620/SUMIFS($X$7:$X$1843,$W$7:$W$1843,W620),0),0)</f>
        <v>0</v>
      </c>
    </row>
    <row r="621" customFormat="false" ht="15" hidden="false" customHeight="false" outlineLevel="0" collapsed="false">
      <c r="A621" s="55" t="s">
        <v>1277</v>
      </c>
      <c r="B621" s="55" t="s">
        <v>1136</v>
      </c>
      <c r="C621" s="55" t="s">
        <v>164</v>
      </c>
      <c r="D621" s="55" t="s">
        <v>173</v>
      </c>
      <c r="E621" s="55"/>
      <c r="F621" s="55" t="s">
        <v>218</v>
      </c>
      <c r="G621" s="56" t="n">
        <v>3.02</v>
      </c>
      <c r="H621" s="57" t="n">
        <f aca="false">MAX(0,IF(AND(Parameter!$B$21="Ja",ISNUMBER(Y621)),Y621,IF(Parameter!$B$20="Jahresanfang 2025 + Export",BL621+BK621,BK621)))</f>
        <v>12</v>
      </c>
      <c r="I621" s="57" t="n">
        <f aca="false">H621*G621</f>
        <v>36.24</v>
      </c>
      <c r="J621" s="57" t="n">
        <f aca="false">BN621*Parameter!$B$18</f>
        <v>0</v>
      </c>
      <c r="K621" s="58" t="n">
        <v>11.5</v>
      </c>
      <c r="L621" s="59" t="n">
        <v>0</v>
      </c>
      <c r="M621" s="57" t="n">
        <v>0</v>
      </c>
      <c r="N621" s="57" t="n">
        <v>1</v>
      </c>
      <c r="O621" s="60" t="n">
        <v>14</v>
      </c>
      <c r="P621" s="55" t="s">
        <v>168</v>
      </c>
      <c r="Q621" s="57"/>
      <c r="R621" s="60" t="n">
        <f aca="false">IF(BT621=1,0,IFERROR(VLOOKUP(BR621,'Gebinde-Kategorie'!$A$5:$M$45,13,0)+0,0))</f>
        <v>12</v>
      </c>
      <c r="S621" s="61"/>
      <c r="T621" s="62" t="s">
        <v>179</v>
      </c>
      <c r="U621" s="62"/>
      <c r="V621" s="62"/>
      <c r="W621" s="55"/>
      <c r="X621" s="57"/>
      <c r="Y621" s="57"/>
      <c r="Z621" s="55" t="n">
        <f aca="false">IF(A621="","",IF(AND(Parameter!$B$21="Ja",ISNUMBER(W621)),W621,IF(BV621="2+3",IF(ISNUMBER(SEARCH("grosser Artikel",BO621)),2,IFERROR(VLOOKUP(BR621,Parameter!$F$35:$G$64,2,0),2)),IF(OR(BV621="Nein",BV621=""),"-",BV621))))</f>
        <v>2</v>
      </c>
      <c r="AA621" s="62"/>
      <c r="AB621" s="63"/>
      <c r="AC621" s="57" t="n">
        <f aca="false">AR621</f>
        <v>12</v>
      </c>
      <c r="AD621" s="57" t="n">
        <f aca="false">MAX(AR621,H621)</f>
        <v>12</v>
      </c>
      <c r="AE621" s="64"/>
      <c r="AF621" s="57" t="n">
        <f aca="false">IF(LEFT(Cockpit!$C$5,1)="A",H621,IF(CA621=1,CB621,IF(LEFT(Cockpit!$C$5,1)="B",AJ621,MAX(AJ621,H621))))</f>
        <v>12</v>
      </c>
      <c r="AG621" s="57" t="n">
        <f aca="false">IF(BT621=1,0,ROUNDUP(AF621/BS621,0))</f>
        <v>1</v>
      </c>
      <c r="AH621" s="59" t="n">
        <f aca="false">IF(CH621&gt;0,CH621*MAX(1,AF621/X621),IF(BT621=1,IF(AF621&lt;=0,0,BW621*MAX(1,IF(H621&gt;0,AF621/H621,1))),IF(R621&gt;0,AG621/R621,0))/MAX(0.1,N(Parameter!$M$21)))</f>
        <v>0.0833333333333333</v>
      </c>
      <c r="AI621" s="57" t="n">
        <f aca="false">AF621*G621</f>
        <v>36.24</v>
      </c>
      <c r="AJ621" s="57" t="n">
        <f aca="false">ROUNDUP(MAX(J621/IF(BZ621&gt;0,BZ621,MAX(0.1,N(Cockpit!$C$6))),CC621)/BS621,0)*BS621</f>
        <v>12</v>
      </c>
      <c r="AK621" s="58" t="n">
        <f aca="false">IF(AH621&gt;0,J621/AH621,-1)</f>
        <v>0</v>
      </c>
      <c r="AL621" s="58" t="n">
        <f aca="false">IF(AND(OR(BY621="L1",BY621="L23"),AH621&gt;0),SUMIFS($AH$7:$AH$1843,$BY$7:$BY$1843,BY621,$AK$7:$AK$1843,"&gt;"&amp;AK621)+SUMIFS($AH$7:$AH$1843,$BY$7:$BY$1843,BY621,$AK$7:$AK$1843,AK621,$BQ$7:$BQ$1843,"&lt;="&amp;BQ621),"")</f>
        <v>76.3355292050944</v>
      </c>
      <c r="AM621" s="65" t="n">
        <f aca="false">IF(AL621="",0,MAX(0,MIN(1,(IF(BY621="L1",Parameter!$E$5,Parameter!$E$6+Parameter!$E$7)-(AL621-AH621))/AH621)))</f>
        <v>1</v>
      </c>
      <c r="AN621" s="57" t="n">
        <f aca="false">IF(LEFT(Cockpit!$I$5,1)="A",H621,IF(CA621=1,CB621,IF(LEFT(Cockpit!$I$5,1)="B",AR621,MAX(AR621,H621))))</f>
        <v>12</v>
      </c>
      <c r="AO621" s="57" t="n">
        <f aca="false">IF(BT621=1,0,ROUNDUP(AN621/BS621,0))</f>
        <v>1</v>
      </c>
      <c r="AP621" s="59" t="n">
        <f aca="false">IF(CH621&gt;0,CH621*MAX(1,AN621/X621),IF(BT621=1,IF(AN621&lt;=0,0,BW621*MAX(1,IF(H621&gt;0,AN621/H621,1))),IF(R621&gt;0,AO621/R621,0))/MAX(0.1,N(Parameter!$M$21)))</f>
        <v>0.0833333333333333</v>
      </c>
      <c r="AQ621" s="57" t="n">
        <f aca="false">AN621*G621</f>
        <v>36.24</v>
      </c>
      <c r="AR621" s="57" t="n">
        <f aca="false">ROUNDUP(MAX(J621/IF(BZ621&gt;0,BZ621,MAX(0.1,N(Cockpit!$I$6))),CC621)/BS621,0)*BS621</f>
        <v>12</v>
      </c>
      <c r="AS621" s="58" t="n">
        <f aca="false">IF(AP621&gt;0,J621/AP621,-1)</f>
        <v>0</v>
      </c>
      <c r="AT621" s="58" t="n">
        <f aca="false">IF(AND(OR(BY621="L1",BY621="L23"),AP621&gt;0),SUMIFS($AP$7:$AP$1843,$BY$7:$BY$1843,BY621,$AS$7:$AS$1843,"&gt;"&amp;AS621)+SUMIFS($AP$7:$AP$1843,$BY$7:$BY$1843,BY621,$AS$7:$AS$1843,AS621,$BQ$7:$BQ$1843,"&lt;="&amp;BQ621),"")</f>
        <v>115.79811492855</v>
      </c>
      <c r="AU621" s="65" t="n">
        <f aca="false">IF(AT621="",0,MAX(0,MIN(1,(IF(BY621="L1",Parameter!$E$5,Parameter!$E$6+Parameter!$E$7)-(AT621-AP621))/AP621)))</f>
        <v>0</v>
      </c>
      <c r="AV621" s="57" t="n">
        <f aca="false">IF(LEFT(Cockpit!$O$5,1)="A",H621,IF(CA621=1,CB621,IF(LEFT(Cockpit!$O$5,1)="B",AZ621,MAX(AZ621,H621))))</f>
        <v>12</v>
      </c>
      <c r="AW621" s="57" t="n">
        <f aca="false">IF(BT621=1,0,ROUNDUP(AV621/BS621,0))</f>
        <v>1</v>
      </c>
      <c r="AX621" s="59" t="n">
        <f aca="false">IF(CH621&gt;0,CH621*MAX(1,AV621/X621),IF(BT621=1,IF(AV621&lt;=0,0,BW621*MAX(1,IF(H621&gt;0,AV621/H621,1))),IF(R621&gt;0,AW621/R621,0))/MAX(0.1,N(Parameter!$M$21)))</f>
        <v>0.0833333333333333</v>
      </c>
      <c r="AY621" s="57" t="n">
        <f aca="false">AV621*G621</f>
        <v>36.24</v>
      </c>
      <c r="AZ621" s="57" t="n">
        <f aca="false">ROUNDUP(MAX(J621/IF(BZ621&gt;0,BZ621,MAX(0.1,N(Cockpit!$O$6))),CC621)/BS621,0)*BS621</f>
        <v>12</v>
      </c>
      <c r="BA621" s="58" t="n">
        <f aca="false">IF(AX621&gt;0,J621/AX621,-1)</f>
        <v>0</v>
      </c>
      <c r="BB621" s="58" t="n">
        <f aca="false">IF(AND(OR(BY621="L1",BY621="L23"),AX621&gt;0),SUMIFS($AX$7:$AX$1843,$BY$7:$BY$1843,BY621,$BA$7:$BA$1843,"&gt;"&amp;BA621)+SUMIFS($AX$7:$AX$1843,$BY$7:$BY$1843,BY621,$BA$7:$BA$1843,BA621,$BQ$7:$BQ$1843,"&lt;="&amp;BQ621),"")</f>
        <v>106.627951758387</v>
      </c>
      <c r="BC621" s="65" t="n">
        <f aca="false">IF(BB621="",0,MAX(0,MIN(1,(IF(BY621="L1",Parameter!$E$5,Parameter!$E$6+Parameter!$E$7)-(BB621-AX621))/AX621)))</f>
        <v>0</v>
      </c>
      <c r="BD621" s="55" t="str">
        <f aca="false">IF(AH621&lt;=0,"",IF(BY621="Aussen","Aussenlager",IF(BY621="-","Nicht im Lift",IF(AM621&gt;=1,"Lift",IF(AM621&lt;=0,"Aussenlager","teilweise")))))</f>
        <v>Lift</v>
      </c>
      <c r="BE621" s="55" t="str">
        <f aca="false">IF(AP621&lt;=0,"",IF(BY621="Aussen","Aussenlager",IF(BY621="-","Nicht im Lift",IF(AU621&gt;=1,"Lift",IF(AU621&lt;=0,"Aussenlager","teilweise")))))</f>
        <v>Aussenlager</v>
      </c>
      <c r="BF621" s="55" t="str">
        <f aca="false">IF(AX621&lt;=0,"",IF(BY621="Aussen","Aussenlager",IF(BY621="-","Nicht im Lift",IF(BC621&gt;=1,"Lift",IF(BC621&lt;=0,"Aussenlager","teilweise")))))</f>
        <v>Aussenlager</v>
      </c>
      <c r="BG621" s="55" t="str">
        <f aca="false">IF(A621="","",IF(BP621=1,"Neu; ","")&amp;IF(AND(BP621=0,BK621&lt;0),"negativer Bestand (Export "&amp;BK621&amp;"); ","")&amp;IF(J621&lt;=0,"Kein Verbrauch; ","")&amp;IF(CH621&gt;0,"Lift "&amp;W621&amp;" lt. Liftbericht (Fach "&amp;X621&amp;" Stk); ",IF(BU621=1,"Gebinde geschätzt ("&amp;T621&amp;"); ",IF(BT621=1,"Lose – Tablare geschätzt; ","")))&amp;IF(H621&gt;AR621,"Überbestand "&amp;ROUND(H621-AR621,0)&amp;" Stk / CHF "&amp;ROUND((H621-AR621)*G621,0)&amp;"; ","")&amp;IF(AND(CA621=1,CB621&lt;CC621),"MAX &lt; MB+LG; ","")&amp;IF(AND(CG621&gt;0,CF621*10&gt;CG621),"zu hoch für Tablar; ","")&amp;IF(AND(BP621=0,OR(CA621=1,AA621&lt;&gt;"",U621&lt;&gt;"",V621&lt;&gt;"",AB621&lt;&gt;"")),"manuell übersteuert; ","")&amp;IF(AND(BT621=0,R621=0),"Gebinde unbekannt / Stellmass fehlt; ","")&amp;IF(AND(BT621=0,N(V621)&lt;=0,N(Q621)&lt;=0),"Menge pro Gebinde fehlt (Ist = 1 Gebinde); ","")&amp;BO621)</f>
        <v>Kein Verbrauch; Gebinde geschätzt (Mittel); Menge pro Gebinde fehlt (Ist = 1 Gebinde); Überbestand</v>
      </c>
      <c r="BH621" s="55"/>
      <c r="BI621" s="55"/>
      <c r="BJ621" s="62"/>
      <c r="BK621" s="57" t="n">
        <v>1</v>
      </c>
      <c r="BL621" s="57" t="n">
        <v>11</v>
      </c>
      <c r="BM621" s="56" t="n">
        <v>3.02</v>
      </c>
      <c r="BN621" s="57" t="n">
        <v>0</v>
      </c>
      <c r="BO621" s="55" t="s">
        <v>392</v>
      </c>
      <c r="BP621" s="60" t="n">
        <v>0</v>
      </c>
      <c r="BQ621" s="60" t="n">
        <v>621</v>
      </c>
      <c r="BR621" s="55" t="str">
        <f aca="false">IF(U621&lt;&gt;"",UPPER(TRIM(U621)),IF(BU621=1,UPPER(VLOOKUP(T621,Parameter!$I$27:$K$29,2,0)),IF(P621="","LOSE",P621)))</f>
        <v>S61</v>
      </c>
      <c r="BS621" s="57" t="n">
        <f aca="false">IF(BR621="LOSE",1,IF(N(V621)&gt;0,V621,IF(BU621=1,MAX(1,N(VLOOKUP(T621,Parameter!$I$27:$K$29,3,0)),H621,N(N621)),IF(N(Q621)&gt;0,Q621,MAX(1,H621)))))</f>
        <v>12</v>
      </c>
      <c r="BT621" s="60" t="n">
        <f aca="false">IF(BR621="LOSE",1,0)</f>
        <v>0</v>
      </c>
      <c r="BU621" s="60" t="n">
        <f aca="false">IF(AND(U621="",OR(P621="",P621="LOSE"),T621&lt;&gt;"",N(S621)&lt;=0,ISNUMBER(MATCH(T621,Parameter!$I$27:$I$29,0))),1,0)</f>
        <v>1</v>
      </c>
      <c r="BV621" s="55" t="str">
        <f aca="false">IF(AND(Parameter!$B$19="Ja",E621&lt;&gt;"",ISNUMBER(MATCH(E621,Parameter!$I$35:$I$52,0))),VLOOKUP(E621,Parameter!$I$35:$J$52,2,0),IFERROR(VLOOKUP(D621,Parameter!$A$35:$C$64,2,0),"Nein"))</f>
        <v>2+3</v>
      </c>
      <c r="BW621" s="59" t="n">
        <f aca="false">IF(BT621=0,0,IF(N(S621)&gt;0,S621,IFERROR(VLOOKUP(D621,Parameter!$A$35:$C$64,3,0)+0,0)))</f>
        <v>0</v>
      </c>
      <c r="BX621" s="55" t="n">
        <f aca="false">IF(AA621&lt;&gt;"",AA621,Z621)</f>
        <v>2</v>
      </c>
      <c r="BY621" s="55" t="str">
        <f aca="false">IF(BX621=1,"L1",IF(OR(BX621=2,BX621=3),"L23",IF(BX621="Aussen","Aussen","-")))</f>
        <v>L23</v>
      </c>
      <c r="BZ621" s="66" t="n">
        <f aca="false">IF(N(AB621)&gt;0,AB621,0)</f>
        <v>0</v>
      </c>
      <c r="CA621" s="60" t="n">
        <f aca="false">IF(ISNUMBER(AE621),1,0)</f>
        <v>0</v>
      </c>
      <c r="CB621" s="57" t="n">
        <f aca="false">N(AE621)</f>
        <v>0</v>
      </c>
      <c r="CC621" s="57" t="n">
        <f aca="false">N(M621)+N(N621)</f>
        <v>1</v>
      </c>
      <c r="CD621" s="57" t="n">
        <f aca="false">ROUNDUP(H621/BS621,0)</f>
        <v>1</v>
      </c>
      <c r="CE621" s="57" t="n">
        <f aca="false">ROUNDUP(CB621/BS621,0)</f>
        <v>0</v>
      </c>
      <c r="CF621" s="60" t="n">
        <f aca="false">IF(BT621=1,0,IFERROR(VLOOKUP(BR621,'Gebinde-Kategorie'!$A$5:$M$45,5,0)+0,0))</f>
        <v>11</v>
      </c>
      <c r="CG621" s="60" t="n">
        <f aca="false">IFERROR(IF(OR(BX621=1,BX621=2,BX621=3),N(INDEX(Parameter!$I$5:$I$7,BX621)),0),0)</f>
        <v>0</v>
      </c>
      <c r="CH621" s="59" t="n">
        <f aca="false">IF(AND(Parameter!$B$21="Ja",ISNUMBER(W621),N(X621)&gt;0),IFERROR(N(INDEX(Parameter!$L$5:$L$7,W621))*INDEX(Parameter!$E$5:$E$7,W621)*X621/SUMIFS($X$7:$X$1843,$W$7:$W$1843,W621),0),0)</f>
        <v>0</v>
      </c>
    </row>
    <row r="622" customFormat="false" ht="15" hidden="false" customHeight="false" outlineLevel="0" collapsed="false">
      <c r="A622" s="55" t="s">
        <v>1278</v>
      </c>
      <c r="B622" s="55" t="s">
        <v>1279</v>
      </c>
      <c r="C622" s="55" t="s">
        <v>164</v>
      </c>
      <c r="D622" s="55" t="s">
        <v>184</v>
      </c>
      <c r="E622" s="55" t="s">
        <v>185</v>
      </c>
      <c r="F622" s="55" t="s">
        <v>218</v>
      </c>
      <c r="G622" s="56" t="n">
        <v>2.97</v>
      </c>
      <c r="H622" s="57" t="n">
        <f aca="false">MAX(0,IF(AND(Parameter!$B$21="Ja",ISNUMBER(Y622)),Y622,IF(Parameter!$B$20="Jahresanfang 2025 + Export",BL622+BK622,BK622)))</f>
        <v>1</v>
      </c>
      <c r="I622" s="57" t="n">
        <f aca="false">H622*G622</f>
        <v>2.97</v>
      </c>
      <c r="J622" s="57" t="n">
        <f aca="false">BN622*Parameter!$B$18</f>
        <v>0</v>
      </c>
      <c r="K622" s="58" t="n">
        <v>0.5</v>
      </c>
      <c r="L622" s="59" t="n">
        <v>0</v>
      </c>
      <c r="M622" s="57" t="n">
        <v>0</v>
      </c>
      <c r="N622" s="57" t="n">
        <v>1</v>
      </c>
      <c r="O622" s="60" t="n">
        <v>14</v>
      </c>
      <c r="P622" s="55" t="s">
        <v>401</v>
      </c>
      <c r="Q622" s="57" t="n">
        <v>20</v>
      </c>
      <c r="R622" s="60" t="n">
        <f aca="false">IF(BT622=1,0,IFERROR(VLOOKUP(BR622,'Gebinde-Kategorie'!$A$5:$M$45,13,0)+0,0))</f>
        <v>414</v>
      </c>
      <c r="S622" s="61"/>
      <c r="T622" s="62"/>
      <c r="U622" s="62"/>
      <c r="V622" s="62"/>
      <c r="W622" s="55"/>
      <c r="X622" s="57"/>
      <c r="Y622" s="57"/>
      <c r="Z622" s="55" t="n">
        <f aca="false">IF(A622="","",IF(AND(Parameter!$B$21="Ja",ISNUMBER(W622)),W622,IF(BV622="2+3",IF(ISNUMBER(SEARCH("grosser Artikel",BO622)),2,IFERROR(VLOOKUP(BR622,Parameter!$F$35:$G$64,2,0),2)),IF(OR(BV622="Nein",BV622=""),"-",BV622))))</f>
        <v>3</v>
      </c>
      <c r="AA622" s="62"/>
      <c r="AB622" s="63"/>
      <c r="AC622" s="57" t="n">
        <f aca="false">AR622</f>
        <v>20</v>
      </c>
      <c r="AD622" s="57" t="n">
        <f aca="false">MAX(AR622,H622)</f>
        <v>20</v>
      </c>
      <c r="AE622" s="64"/>
      <c r="AF622" s="57" t="n">
        <f aca="false">IF(LEFT(Cockpit!$C$5,1)="A",H622,IF(CA622=1,CB622,IF(LEFT(Cockpit!$C$5,1)="B",AJ622,MAX(AJ622,H622))))</f>
        <v>1</v>
      </c>
      <c r="AG622" s="57" t="n">
        <f aca="false">IF(BT622=1,0,ROUNDUP(AF622/BS622,0))</f>
        <v>1</v>
      </c>
      <c r="AH622" s="59" t="n">
        <f aca="false">IF(CH622&gt;0,CH622*MAX(1,AF622/X622),IF(BT622=1,IF(AF622&lt;=0,0,BW622*MAX(1,IF(H622&gt;0,AF622/H622,1))),IF(R622&gt;0,AG622/R622,0))/MAX(0.1,N(Parameter!$M$21)))</f>
        <v>0.00241545893719807</v>
      </c>
      <c r="AI622" s="57" t="n">
        <f aca="false">AF622*G622</f>
        <v>2.97</v>
      </c>
      <c r="AJ622" s="57" t="n">
        <f aca="false">ROUNDUP(MAX(J622/IF(BZ622&gt;0,BZ622,MAX(0.1,N(Cockpit!$C$6))),CC622)/BS622,0)*BS622</f>
        <v>20</v>
      </c>
      <c r="AK622" s="58" t="n">
        <f aca="false">IF(AH622&gt;0,J622/AH622,-1)</f>
        <v>0</v>
      </c>
      <c r="AL622" s="58" t="n">
        <f aca="false">IF(AND(OR(BY622="L1",BY622="L23"),AH622&gt;0),SUMIFS($AH$7:$AH$1843,$BY$7:$BY$1843,BY622,$AK$7:$AK$1843,"&gt;"&amp;AK622)+SUMIFS($AH$7:$AH$1843,$BY$7:$BY$1843,BY622,$AK$7:$AK$1843,AK622,$BQ$7:$BQ$1843,"&lt;="&amp;BQ622),"")</f>
        <v>76.3379446640316</v>
      </c>
      <c r="AM622" s="65" t="n">
        <f aca="false">IF(AL622="",0,MAX(0,MIN(1,(IF(BY622="L1",Parameter!$E$5,Parameter!$E$6+Parameter!$E$7)-(AL622-AH622))/AH622)))</f>
        <v>1</v>
      </c>
      <c r="AN622" s="57" t="n">
        <f aca="false">IF(LEFT(Cockpit!$I$5,1)="A",H622,IF(CA622=1,CB622,IF(LEFT(Cockpit!$I$5,1)="B",AR622,MAX(AR622,H622))))</f>
        <v>20</v>
      </c>
      <c r="AO622" s="57" t="n">
        <f aca="false">IF(BT622=1,0,ROUNDUP(AN622/BS622,0))</f>
        <v>1</v>
      </c>
      <c r="AP622" s="59" t="n">
        <f aca="false">IF(CH622&gt;0,CH622*MAX(1,AN622/X622),IF(BT622=1,IF(AN622&lt;=0,0,BW622*MAX(1,IF(H622&gt;0,AN622/H622,1))),IF(R622&gt;0,AO622/R622,0))/MAX(0.1,N(Parameter!$M$21)))</f>
        <v>0.00241545893719807</v>
      </c>
      <c r="AQ622" s="57" t="n">
        <f aca="false">AN622*G622</f>
        <v>59.4</v>
      </c>
      <c r="AR622" s="57" t="n">
        <f aca="false">ROUNDUP(MAX(J622/IF(BZ622&gt;0,BZ622,MAX(0.1,N(Cockpit!$I$6))),CC622)/BS622,0)*BS622</f>
        <v>20</v>
      </c>
      <c r="AS622" s="58" t="n">
        <f aca="false">IF(AP622&gt;0,J622/AP622,-1)</f>
        <v>0</v>
      </c>
      <c r="AT622" s="58" t="n">
        <f aca="false">IF(AND(OR(BY622="L1",BY622="L23"),AP622&gt;0),SUMIFS($AP$7:$AP$1843,$BY$7:$BY$1843,BY622,$AS$7:$AS$1843,"&gt;"&amp;AS622)+SUMIFS($AP$7:$AP$1843,$BY$7:$BY$1843,BY622,$AS$7:$AS$1843,AS622,$BQ$7:$BQ$1843,"&lt;="&amp;BQ622),"")</f>
        <v>115.800530387487</v>
      </c>
      <c r="AU622" s="65" t="n">
        <f aca="false">IF(AT622="",0,MAX(0,MIN(1,(IF(BY622="L1",Parameter!$E$5,Parameter!$E$6+Parameter!$E$7)-(AT622-AP622))/AP622)))</f>
        <v>0</v>
      </c>
      <c r="AV622" s="57" t="n">
        <f aca="false">IF(LEFT(Cockpit!$O$5,1)="A",H622,IF(CA622=1,CB622,IF(LEFT(Cockpit!$O$5,1)="B",AZ622,MAX(AZ622,H622))))</f>
        <v>20</v>
      </c>
      <c r="AW622" s="57" t="n">
        <f aca="false">IF(BT622=1,0,ROUNDUP(AV622/BS622,0))</f>
        <v>1</v>
      </c>
      <c r="AX622" s="59" t="n">
        <f aca="false">IF(CH622&gt;0,CH622*MAX(1,AV622/X622),IF(BT622=1,IF(AV622&lt;=0,0,BW622*MAX(1,IF(H622&gt;0,AV622/H622,1))),IF(R622&gt;0,AW622/R622,0))/MAX(0.1,N(Parameter!$M$21)))</f>
        <v>0.00241545893719807</v>
      </c>
      <c r="AY622" s="57" t="n">
        <f aca="false">AV622*G622</f>
        <v>59.4</v>
      </c>
      <c r="AZ622" s="57" t="n">
        <f aca="false">ROUNDUP(MAX(J622/IF(BZ622&gt;0,BZ622,MAX(0.1,N(Cockpit!$O$6))),CC622)/BS622,0)*BS622</f>
        <v>20</v>
      </c>
      <c r="BA622" s="58" t="n">
        <f aca="false">IF(AX622&gt;0,J622/AX622,-1)</f>
        <v>0</v>
      </c>
      <c r="BB622" s="58" t="n">
        <f aca="false">IF(AND(OR(BY622="L1",BY622="L23"),AX622&gt;0),SUMIFS($AX$7:$AX$1843,$BY$7:$BY$1843,BY622,$BA$7:$BA$1843,"&gt;"&amp;BA622)+SUMIFS($AX$7:$AX$1843,$BY$7:$BY$1843,BY622,$BA$7:$BA$1843,BA622,$BQ$7:$BQ$1843,"&lt;="&amp;BQ622),"")</f>
        <v>106.630367217324</v>
      </c>
      <c r="BC622" s="65" t="n">
        <f aca="false">IF(BB622="",0,MAX(0,MIN(1,(IF(BY622="L1",Parameter!$E$5,Parameter!$E$6+Parameter!$E$7)-(BB622-AX622))/AX622)))</f>
        <v>0</v>
      </c>
      <c r="BD622" s="55" t="str">
        <f aca="false">IF(AH622&lt;=0,"",IF(BY622="Aussen","Aussenlager",IF(BY622="-","Nicht im Lift",IF(AM622&gt;=1,"Lift",IF(AM622&lt;=0,"Aussenlager","teilweise")))))</f>
        <v>Lift</v>
      </c>
      <c r="BE622" s="55" t="str">
        <f aca="false">IF(AP622&lt;=0,"",IF(BY622="Aussen","Aussenlager",IF(BY622="-","Nicht im Lift",IF(AU622&gt;=1,"Lift",IF(AU622&lt;=0,"Aussenlager","teilweise")))))</f>
        <v>Aussenlager</v>
      </c>
      <c r="BF622" s="55" t="str">
        <f aca="false">IF(AX622&lt;=0,"",IF(BY622="Aussen","Aussenlager",IF(BY622="-","Nicht im Lift",IF(BC622&gt;=1,"Lift",IF(BC622&lt;=0,"Aussenlager","teilweise")))))</f>
        <v>Aussenlager</v>
      </c>
      <c r="BG622" s="55" t="str">
        <f aca="false">IF(A622="","",IF(BP622=1,"Neu; ","")&amp;IF(AND(BP622=0,BK622&lt;0),"negativer Bestand (Export "&amp;BK622&amp;"); ","")&amp;IF(J622&lt;=0,"Kein Verbrauch; ","")&amp;IF(CH622&gt;0,"Lift "&amp;W622&amp;" lt. Liftbericht (Fach "&amp;X622&amp;" Stk); ",IF(BU622=1,"Gebinde geschätzt ("&amp;T622&amp;"); ",IF(BT622=1,"Lose – Tablare geschätzt; ","")))&amp;IF(H622&gt;AR622,"Überbestand "&amp;ROUND(H622-AR622,0)&amp;" Stk / CHF "&amp;ROUND((H622-AR622)*G622,0)&amp;"; ","")&amp;IF(AND(CA622=1,CB622&lt;CC622),"MAX &lt; MB+LG; ","")&amp;IF(AND(CG622&gt;0,CF622*10&gt;CG622),"zu hoch für Tablar; ","")&amp;IF(AND(BP622=0,OR(CA622=1,AA622&lt;&gt;"",U622&lt;&gt;"",V622&lt;&gt;"",AB622&lt;&gt;"")),"manuell übersteuert; ","")&amp;IF(AND(BT622=0,R622=0),"Gebinde unbekannt / Stellmass fehlt; ","")&amp;IF(AND(BT622=0,N(V622)&lt;=0,N(Q622)&lt;=0),"Menge pro Gebinde fehlt (Ist = 1 Gebinde); ","")&amp;BO622)</f>
        <v>Kein Verbrauch; Verb.Lager</v>
      </c>
      <c r="BH622" s="55"/>
      <c r="BI622" s="55"/>
      <c r="BJ622" s="62"/>
      <c r="BK622" s="57" t="n">
        <v>1</v>
      </c>
      <c r="BL622" s="57" t="n">
        <v>0</v>
      </c>
      <c r="BM622" s="56" t="n">
        <v>2.97</v>
      </c>
      <c r="BN622" s="57" t="n">
        <v>0</v>
      </c>
      <c r="BO622" s="55" t="s">
        <v>1030</v>
      </c>
      <c r="BP622" s="60" t="n">
        <v>0</v>
      </c>
      <c r="BQ622" s="60" t="n">
        <v>622</v>
      </c>
      <c r="BR622" s="55" t="str">
        <f aca="false">IF(U622&lt;&gt;"",UPPER(TRIM(U622)),IF(BU622=1,UPPER(VLOOKUP(T622,Parameter!$I$27:$K$29,2,0)),IF(P622="","LOSE",P622)))</f>
        <v>S21</v>
      </c>
      <c r="BS622" s="57" t="n">
        <f aca="false">IF(BR622="LOSE",1,IF(N(V622)&gt;0,V622,IF(BU622=1,MAX(1,N(VLOOKUP(T622,Parameter!$I$27:$K$29,3,0)),H622,N(N622)),IF(N(Q622)&gt;0,Q622,MAX(1,H622)))))</f>
        <v>20</v>
      </c>
      <c r="BT622" s="60" t="n">
        <f aca="false">IF(BR622="LOSE",1,0)</f>
        <v>0</v>
      </c>
      <c r="BU622" s="60" t="n">
        <f aca="false">IF(AND(U622="",OR(P622="",P622="LOSE"),T622&lt;&gt;"",N(S622)&lt;=0,ISNUMBER(MATCH(T622,Parameter!$I$27:$I$29,0))),1,0)</f>
        <v>0</v>
      </c>
      <c r="BV622" s="55" t="str">
        <f aca="false">IF(AND(Parameter!$B$19="Ja",E622&lt;&gt;"",ISNUMBER(MATCH(E622,Parameter!$I$35:$I$52,0))),VLOOKUP(E622,Parameter!$I$35:$J$52,2,0),IFERROR(VLOOKUP(D622,Parameter!$A$35:$C$64,2,0),"Nein"))</f>
        <v>2+3</v>
      </c>
      <c r="BW622" s="59" t="n">
        <f aca="false">IF(BT622=0,0,IF(N(S622)&gt;0,S622,IFERROR(VLOOKUP(D622,Parameter!$A$35:$C$64,3,0)+0,0)))</f>
        <v>0</v>
      </c>
      <c r="BX622" s="55" t="n">
        <f aca="false">IF(AA622&lt;&gt;"",AA622,Z622)</f>
        <v>3</v>
      </c>
      <c r="BY622" s="55" t="str">
        <f aca="false">IF(BX622=1,"L1",IF(OR(BX622=2,BX622=3),"L23",IF(BX622="Aussen","Aussen","-")))</f>
        <v>L23</v>
      </c>
      <c r="BZ622" s="66" t="n">
        <f aca="false">IF(N(AB622)&gt;0,AB622,0)</f>
        <v>0</v>
      </c>
      <c r="CA622" s="60" t="n">
        <f aca="false">IF(ISNUMBER(AE622),1,0)</f>
        <v>0</v>
      </c>
      <c r="CB622" s="57" t="n">
        <f aca="false">N(AE622)</f>
        <v>0</v>
      </c>
      <c r="CC622" s="57" t="n">
        <f aca="false">N(M622)+N(N622)</f>
        <v>1</v>
      </c>
      <c r="CD622" s="57" t="n">
        <f aca="false">ROUNDUP(H622/BS622,0)</f>
        <v>1</v>
      </c>
      <c r="CE622" s="57" t="n">
        <f aca="false">ROUNDUP(CB622/BS622,0)</f>
        <v>0</v>
      </c>
      <c r="CF622" s="60" t="n">
        <f aca="false">IF(BT622=1,0,IFERROR(VLOOKUP(BR622,'Gebinde-Kategorie'!$A$5:$M$45,5,0)+0,0))</f>
        <v>8</v>
      </c>
      <c r="CG622" s="60" t="n">
        <f aca="false">IFERROR(IF(OR(BX622=1,BX622=2,BX622=3),N(INDEX(Parameter!$I$5:$I$7,BX622)),0),0)</f>
        <v>0</v>
      </c>
      <c r="CH622" s="59" t="n">
        <f aca="false">IF(AND(Parameter!$B$21="Ja",ISNUMBER(W622),N(X622)&gt;0),IFERROR(N(INDEX(Parameter!$L$5:$L$7,W622))*INDEX(Parameter!$E$5:$E$7,W622)*X622/SUMIFS($X$7:$X$1843,$W$7:$W$1843,W622),0),0)</f>
        <v>0</v>
      </c>
    </row>
    <row r="623" customFormat="false" ht="15" hidden="false" customHeight="false" outlineLevel="0" collapsed="false">
      <c r="A623" s="55" t="s">
        <v>1280</v>
      </c>
      <c r="B623" s="55" t="s">
        <v>1281</v>
      </c>
      <c r="C623" s="55" t="s">
        <v>164</v>
      </c>
      <c r="D623" s="55" t="s">
        <v>184</v>
      </c>
      <c r="E623" s="55" t="s">
        <v>185</v>
      </c>
      <c r="F623" s="55" t="s">
        <v>218</v>
      </c>
      <c r="G623" s="56" t="n">
        <v>0.72</v>
      </c>
      <c r="H623" s="57" t="n">
        <f aca="false">MAX(0,IF(AND(Parameter!$B$21="Ja",ISNUMBER(Y623)),Y623,IF(Parameter!$B$20="Jahresanfang 2025 + Export",BL623+BK623,BK623)))</f>
        <v>119</v>
      </c>
      <c r="I623" s="57" t="n">
        <f aca="false">H623*G623</f>
        <v>85.68</v>
      </c>
      <c r="J623" s="57" t="n">
        <f aca="false">BN623*Parameter!$B$18</f>
        <v>0</v>
      </c>
      <c r="K623" s="58" t="n">
        <v>117.5</v>
      </c>
      <c r="L623" s="59" t="n">
        <v>0</v>
      </c>
      <c r="M623" s="57" t="n">
        <v>0</v>
      </c>
      <c r="N623" s="57" t="n">
        <v>1</v>
      </c>
      <c r="O623" s="60" t="n">
        <v>21</v>
      </c>
      <c r="P623" s="55" t="s">
        <v>421</v>
      </c>
      <c r="Q623" s="57" t="n">
        <v>132</v>
      </c>
      <c r="R623" s="60" t="n">
        <f aca="false">IF(BT623=1,0,IFERROR(VLOOKUP(BR623,'Gebinde-Kategorie'!$A$5:$M$45,13,0)+0,0))</f>
        <v>132</v>
      </c>
      <c r="S623" s="61"/>
      <c r="T623" s="62"/>
      <c r="U623" s="62"/>
      <c r="V623" s="62"/>
      <c r="W623" s="55"/>
      <c r="X623" s="57"/>
      <c r="Y623" s="57"/>
      <c r="Z623" s="55" t="n">
        <f aca="false">IF(A623="","",IF(AND(Parameter!$B$21="Ja",ISNUMBER(W623)),W623,IF(BV623="2+3",IF(ISNUMBER(SEARCH("grosser Artikel",BO623)),2,IFERROR(VLOOKUP(BR623,Parameter!$F$35:$G$64,2,0),2)),IF(OR(BV623="Nein",BV623=""),"-",BV623))))</f>
        <v>3</v>
      </c>
      <c r="AA623" s="62"/>
      <c r="AB623" s="63"/>
      <c r="AC623" s="57" t="n">
        <f aca="false">AR623</f>
        <v>132</v>
      </c>
      <c r="AD623" s="57" t="n">
        <f aca="false">MAX(AR623,H623)</f>
        <v>132</v>
      </c>
      <c r="AE623" s="64"/>
      <c r="AF623" s="57" t="n">
        <f aca="false">IF(LEFT(Cockpit!$C$5,1)="A",H623,IF(CA623=1,CB623,IF(LEFT(Cockpit!$C$5,1)="B",AJ623,MAX(AJ623,H623))))</f>
        <v>119</v>
      </c>
      <c r="AG623" s="57" t="n">
        <f aca="false">IF(BT623=1,0,ROUNDUP(AF623/BS623,0))</f>
        <v>1</v>
      </c>
      <c r="AH623" s="59" t="n">
        <f aca="false">IF(CH623&gt;0,CH623*MAX(1,AF623/X623),IF(BT623=1,IF(AF623&lt;=0,0,BW623*MAX(1,IF(H623&gt;0,AF623/H623,1))),IF(R623&gt;0,AG623/R623,0))/MAX(0.1,N(Parameter!$M$21)))</f>
        <v>0.00757575757575758</v>
      </c>
      <c r="AI623" s="57" t="n">
        <f aca="false">AF623*G623</f>
        <v>85.68</v>
      </c>
      <c r="AJ623" s="57" t="n">
        <f aca="false">ROUNDUP(MAX(J623/IF(BZ623&gt;0,BZ623,MAX(0.1,N(Cockpit!$C$6))),CC623)/BS623,0)*BS623</f>
        <v>132</v>
      </c>
      <c r="AK623" s="58" t="n">
        <f aca="false">IF(AH623&gt;0,J623/AH623,-1)</f>
        <v>0</v>
      </c>
      <c r="AL623" s="58" t="n">
        <f aca="false">IF(AND(OR(BY623="L1",BY623="L23"),AH623&gt;0),SUMIFS($AH$7:$AH$1843,$BY$7:$BY$1843,BY623,$AK$7:$AK$1843,"&gt;"&amp;AK623)+SUMIFS($AH$7:$AH$1843,$BY$7:$BY$1843,BY623,$AK$7:$AK$1843,AK623,$BQ$7:$BQ$1843,"&lt;="&amp;BQ623),"")</f>
        <v>76.3455204216074</v>
      </c>
      <c r="AM623" s="65" t="n">
        <f aca="false">IF(AL623="",0,MAX(0,MIN(1,(IF(BY623="L1",Parameter!$E$5,Parameter!$E$6+Parameter!$E$7)-(AL623-AH623))/AH623)))</f>
        <v>1</v>
      </c>
      <c r="AN623" s="57" t="n">
        <f aca="false">IF(LEFT(Cockpit!$I$5,1)="A",H623,IF(CA623=1,CB623,IF(LEFT(Cockpit!$I$5,1)="B",AR623,MAX(AR623,H623))))</f>
        <v>132</v>
      </c>
      <c r="AO623" s="57" t="n">
        <f aca="false">IF(BT623=1,0,ROUNDUP(AN623/BS623,0))</f>
        <v>1</v>
      </c>
      <c r="AP623" s="59" t="n">
        <f aca="false">IF(CH623&gt;0,CH623*MAX(1,AN623/X623),IF(BT623=1,IF(AN623&lt;=0,0,BW623*MAX(1,IF(H623&gt;0,AN623/H623,1))),IF(R623&gt;0,AO623/R623,0))/MAX(0.1,N(Parameter!$M$21)))</f>
        <v>0.00757575757575758</v>
      </c>
      <c r="AQ623" s="57" t="n">
        <f aca="false">AN623*G623</f>
        <v>95.04</v>
      </c>
      <c r="AR623" s="57" t="n">
        <f aca="false">ROUNDUP(MAX(J623/IF(BZ623&gt;0,BZ623,MAX(0.1,N(Cockpit!$I$6))),CC623)/BS623,0)*BS623</f>
        <v>132</v>
      </c>
      <c r="AS623" s="58" t="n">
        <f aca="false">IF(AP623&gt;0,J623/AP623,-1)</f>
        <v>0</v>
      </c>
      <c r="AT623" s="58" t="n">
        <f aca="false">IF(AND(OR(BY623="L1",BY623="L23"),AP623&gt;0),SUMIFS($AP$7:$AP$1843,$BY$7:$BY$1843,BY623,$AS$7:$AS$1843,"&gt;"&amp;AS623)+SUMIFS($AP$7:$AP$1843,$BY$7:$BY$1843,BY623,$AS$7:$AS$1843,AS623,$BQ$7:$BQ$1843,"&lt;="&amp;BQ623),"")</f>
        <v>115.808106145063</v>
      </c>
      <c r="AU623" s="65" t="n">
        <f aca="false">IF(AT623="",0,MAX(0,MIN(1,(IF(BY623="L1",Parameter!$E$5,Parameter!$E$6+Parameter!$E$7)-(AT623-AP623))/AP623)))</f>
        <v>0</v>
      </c>
      <c r="AV623" s="57" t="n">
        <f aca="false">IF(LEFT(Cockpit!$O$5,1)="A",H623,IF(CA623=1,CB623,IF(LEFT(Cockpit!$O$5,1)="B",AZ623,MAX(AZ623,H623))))</f>
        <v>132</v>
      </c>
      <c r="AW623" s="57" t="n">
        <f aca="false">IF(BT623=1,0,ROUNDUP(AV623/BS623,0))</f>
        <v>1</v>
      </c>
      <c r="AX623" s="59" t="n">
        <f aca="false">IF(CH623&gt;0,CH623*MAX(1,AV623/X623),IF(BT623=1,IF(AV623&lt;=0,0,BW623*MAX(1,IF(H623&gt;0,AV623/H623,1))),IF(R623&gt;0,AW623/R623,0))/MAX(0.1,N(Parameter!$M$21)))</f>
        <v>0.00757575757575758</v>
      </c>
      <c r="AY623" s="57" t="n">
        <f aca="false">AV623*G623</f>
        <v>95.04</v>
      </c>
      <c r="AZ623" s="57" t="n">
        <f aca="false">ROUNDUP(MAX(J623/IF(BZ623&gt;0,BZ623,MAX(0.1,N(Cockpit!$O$6))),CC623)/BS623,0)*BS623</f>
        <v>132</v>
      </c>
      <c r="BA623" s="58" t="n">
        <f aca="false">IF(AX623&gt;0,J623/AX623,-1)</f>
        <v>0</v>
      </c>
      <c r="BB623" s="58" t="n">
        <f aca="false">IF(AND(OR(BY623="L1",BY623="L23"),AX623&gt;0),SUMIFS($AX$7:$AX$1843,$BY$7:$BY$1843,BY623,$BA$7:$BA$1843,"&gt;"&amp;BA623)+SUMIFS($AX$7:$AX$1843,$BY$7:$BY$1843,BY623,$BA$7:$BA$1843,BA623,$BQ$7:$BQ$1843,"&lt;="&amp;BQ623),"")</f>
        <v>106.637942974899</v>
      </c>
      <c r="BC623" s="65" t="n">
        <f aca="false">IF(BB623="",0,MAX(0,MIN(1,(IF(BY623="L1",Parameter!$E$5,Parameter!$E$6+Parameter!$E$7)-(BB623-AX623))/AX623)))</f>
        <v>0</v>
      </c>
      <c r="BD623" s="55" t="str">
        <f aca="false">IF(AH623&lt;=0,"",IF(BY623="Aussen","Aussenlager",IF(BY623="-","Nicht im Lift",IF(AM623&gt;=1,"Lift",IF(AM623&lt;=0,"Aussenlager","teilweise")))))</f>
        <v>Lift</v>
      </c>
      <c r="BE623" s="55" t="str">
        <f aca="false">IF(AP623&lt;=0,"",IF(BY623="Aussen","Aussenlager",IF(BY623="-","Nicht im Lift",IF(AU623&gt;=1,"Lift",IF(AU623&lt;=0,"Aussenlager","teilweise")))))</f>
        <v>Aussenlager</v>
      </c>
      <c r="BF623" s="55" t="str">
        <f aca="false">IF(AX623&lt;=0,"",IF(BY623="Aussen","Aussenlager",IF(BY623="-","Nicht im Lift",IF(BC623&gt;=1,"Lift",IF(BC623&lt;=0,"Aussenlager","teilweise")))))</f>
        <v>Aussenlager</v>
      </c>
      <c r="BG623" s="55" t="str">
        <f aca="false">IF(A623="","",IF(BP623=1,"Neu; ","")&amp;IF(AND(BP623=0,BK623&lt;0),"negativer Bestand (Export "&amp;BK623&amp;"); ","")&amp;IF(J623&lt;=0,"Kein Verbrauch; ","")&amp;IF(CH623&gt;0,"Lift "&amp;W623&amp;" lt. Liftbericht (Fach "&amp;X623&amp;" Stk); ",IF(BU623=1,"Gebinde geschätzt ("&amp;T623&amp;"); ",IF(BT623=1,"Lose – Tablare geschätzt; ","")))&amp;IF(H623&gt;AR623,"Überbestand "&amp;ROUND(H623-AR623,0)&amp;" Stk / CHF "&amp;ROUND((H623-AR623)*G623,0)&amp;"; ","")&amp;IF(AND(CA623=1,CB623&lt;CC623),"MAX &lt; MB+LG; ","")&amp;IF(AND(CG623&gt;0,CF623*10&gt;CG623),"zu hoch für Tablar; ","")&amp;IF(AND(BP623=0,OR(CA623=1,AA623&lt;&gt;"",U623&lt;&gt;"",V623&lt;&gt;"",AB623&lt;&gt;"")),"manuell übersteuert; ","")&amp;IF(AND(BT623=0,R623=0),"Gebinde unbekannt / Stellmass fehlt; ","")&amp;IF(AND(BT623=0,N(V623)&lt;=0,N(Q623)&lt;=0),"Menge pro Gebinde fehlt (Ist = 1 Gebinde); ","")&amp;BO623)</f>
        <v>Kein Verbrauch; </v>
      </c>
      <c r="BH623" s="55"/>
      <c r="BI623" s="55"/>
      <c r="BJ623" s="62"/>
      <c r="BK623" s="57" t="n">
        <v>4</v>
      </c>
      <c r="BL623" s="57" t="n">
        <v>115</v>
      </c>
      <c r="BM623" s="56" t="n">
        <v>2.88</v>
      </c>
      <c r="BN623" s="57" t="n">
        <v>0</v>
      </c>
      <c r="BO623" s="55"/>
      <c r="BP623" s="60" t="n">
        <v>0</v>
      </c>
      <c r="BQ623" s="60" t="n">
        <v>623</v>
      </c>
      <c r="BR623" s="55" t="str">
        <f aca="false">IF(U623&lt;&gt;"",UPPER(TRIM(U623)),IF(BU623=1,UPPER(VLOOKUP(T623,Parameter!$I$27:$K$29,2,0)),IF(P623="","LOSE",P623)))</f>
        <v>S32</v>
      </c>
      <c r="BS623" s="57" t="n">
        <f aca="false">IF(BR623="LOSE",1,IF(N(V623)&gt;0,V623,IF(BU623=1,MAX(1,N(VLOOKUP(T623,Parameter!$I$27:$K$29,3,0)),H623,N(N623)),IF(N(Q623)&gt;0,Q623,MAX(1,H623)))))</f>
        <v>132</v>
      </c>
      <c r="BT623" s="60" t="n">
        <f aca="false">IF(BR623="LOSE",1,0)</f>
        <v>0</v>
      </c>
      <c r="BU623" s="60" t="n">
        <f aca="false">IF(AND(U623="",OR(P623="",P623="LOSE"),T623&lt;&gt;"",N(S623)&lt;=0,ISNUMBER(MATCH(T623,Parameter!$I$27:$I$29,0))),1,0)</f>
        <v>0</v>
      </c>
      <c r="BV623" s="55" t="str">
        <f aca="false">IF(AND(Parameter!$B$19="Ja",E623&lt;&gt;"",ISNUMBER(MATCH(E623,Parameter!$I$35:$I$52,0))),VLOOKUP(E623,Parameter!$I$35:$J$52,2,0),IFERROR(VLOOKUP(D623,Parameter!$A$35:$C$64,2,0),"Nein"))</f>
        <v>2+3</v>
      </c>
      <c r="BW623" s="59" t="n">
        <f aca="false">IF(BT623=0,0,IF(N(S623)&gt;0,S623,IFERROR(VLOOKUP(D623,Parameter!$A$35:$C$64,3,0)+0,0)))</f>
        <v>0</v>
      </c>
      <c r="BX623" s="55" t="n">
        <f aca="false">IF(AA623&lt;&gt;"",AA623,Z623)</f>
        <v>3</v>
      </c>
      <c r="BY623" s="55" t="str">
        <f aca="false">IF(BX623=1,"L1",IF(OR(BX623=2,BX623=3),"L23",IF(BX623="Aussen","Aussen","-")))</f>
        <v>L23</v>
      </c>
      <c r="BZ623" s="66" t="n">
        <f aca="false">IF(N(AB623)&gt;0,AB623,0)</f>
        <v>0</v>
      </c>
      <c r="CA623" s="60" t="n">
        <f aca="false">IF(ISNUMBER(AE623),1,0)</f>
        <v>0</v>
      </c>
      <c r="CB623" s="57" t="n">
        <f aca="false">N(AE623)</f>
        <v>0</v>
      </c>
      <c r="CC623" s="57" t="n">
        <f aca="false">N(M623)+N(N623)</f>
        <v>1</v>
      </c>
      <c r="CD623" s="57" t="n">
        <f aca="false">ROUNDUP(H623/BS623,0)</f>
        <v>1</v>
      </c>
      <c r="CE623" s="57" t="n">
        <f aca="false">ROUNDUP(CB623/BS623,0)</f>
        <v>0</v>
      </c>
      <c r="CF623" s="60" t="n">
        <f aca="false">IF(BT623=1,0,IFERROR(VLOOKUP(BR623,'Gebinde-Kategorie'!$A$5:$M$45,5,0)+0,0))</f>
        <v>8</v>
      </c>
      <c r="CG623" s="60" t="n">
        <f aca="false">IFERROR(IF(OR(BX623=1,BX623=2,BX623=3),N(INDEX(Parameter!$I$5:$I$7,BX623)),0),0)</f>
        <v>0</v>
      </c>
      <c r="CH623" s="59" t="n">
        <f aca="false">IF(AND(Parameter!$B$21="Ja",ISNUMBER(W623),N(X623)&gt;0),IFERROR(N(INDEX(Parameter!$L$5:$L$7,W623))*INDEX(Parameter!$E$5:$E$7,W623)*X623/SUMIFS($X$7:$X$1843,$W$7:$W$1843,W623),0),0)</f>
        <v>0</v>
      </c>
    </row>
    <row r="624" customFormat="false" ht="15" hidden="false" customHeight="false" outlineLevel="0" collapsed="false">
      <c r="A624" s="55" t="s">
        <v>1282</v>
      </c>
      <c r="B624" s="55" t="s">
        <v>1262</v>
      </c>
      <c r="C624" s="55" t="s">
        <v>164</v>
      </c>
      <c r="D624" s="55" t="s">
        <v>184</v>
      </c>
      <c r="E624" s="55"/>
      <c r="F624" s="55" t="s">
        <v>218</v>
      </c>
      <c r="G624" s="56" t="n">
        <v>0.05</v>
      </c>
      <c r="H624" s="57" t="n">
        <f aca="false">MAX(0,IF(AND(Parameter!$B$21="Ja",ISNUMBER(Y624)),Y624,IF(Parameter!$B$20="Jahresanfang 2025 + Export",BL624+BK624,BK624)))</f>
        <v>66</v>
      </c>
      <c r="I624" s="57" t="n">
        <f aca="false">H624*G624</f>
        <v>3.3</v>
      </c>
      <c r="J624" s="57" t="n">
        <f aca="false">BN624*Parameter!$B$18</f>
        <v>0</v>
      </c>
      <c r="K624" s="58" t="n">
        <v>51.5</v>
      </c>
      <c r="L624" s="59" t="n">
        <v>0</v>
      </c>
      <c r="M624" s="57" t="n">
        <v>0</v>
      </c>
      <c r="N624" s="57" t="n">
        <v>25</v>
      </c>
      <c r="O624" s="60" t="n">
        <v>14</v>
      </c>
      <c r="P624" s="55" t="s">
        <v>401</v>
      </c>
      <c r="Q624" s="57" t="n">
        <v>100</v>
      </c>
      <c r="R624" s="60" t="n">
        <f aca="false">IF(BT624=1,0,IFERROR(VLOOKUP(BR624,'Gebinde-Kategorie'!$A$5:$M$45,13,0)+0,0))</f>
        <v>414</v>
      </c>
      <c r="S624" s="61"/>
      <c r="T624" s="62"/>
      <c r="U624" s="62"/>
      <c r="V624" s="62"/>
      <c r="W624" s="55"/>
      <c r="X624" s="57"/>
      <c r="Y624" s="57"/>
      <c r="Z624" s="55" t="n">
        <f aca="false">IF(A624="","",IF(AND(Parameter!$B$21="Ja",ISNUMBER(W624)),W624,IF(BV624="2+3",IF(ISNUMBER(SEARCH("grosser Artikel",BO624)),2,IFERROR(VLOOKUP(BR624,Parameter!$F$35:$G$64,2,0),2)),IF(OR(BV624="Nein",BV624=""),"-",BV624))))</f>
        <v>3</v>
      </c>
      <c r="AA624" s="62"/>
      <c r="AB624" s="63"/>
      <c r="AC624" s="57" t="n">
        <f aca="false">AR624</f>
        <v>100</v>
      </c>
      <c r="AD624" s="57" t="n">
        <f aca="false">MAX(AR624,H624)</f>
        <v>100</v>
      </c>
      <c r="AE624" s="64"/>
      <c r="AF624" s="57" t="n">
        <f aca="false">IF(LEFT(Cockpit!$C$5,1)="A",H624,IF(CA624=1,CB624,IF(LEFT(Cockpit!$C$5,1)="B",AJ624,MAX(AJ624,H624))))</f>
        <v>66</v>
      </c>
      <c r="AG624" s="57" t="n">
        <f aca="false">IF(BT624=1,0,ROUNDUP(AF624/BS624,0))</f>
        <v>1</v>
      </c>
      <c r="AH624" s="59" t="n">
        <f aca="false">IF(CH624&gt;0,CH624*MAX(1,AF624/X624),IF(BT624=1,IF(AF624&lt;=0,0,BW624*MAX(1,IF(H624&gt;0,AF624/H624,1))),IF(R624&gt;0,AG624/R624,0))/MAX(0.1,N(Parameter!$M$21)))</f>
        <v>0.00241545893719807</v>
      </c>
      <c r="AI624" s="57" t="n">
        <f aca="false">AF624*G624</f>
        <v>3.3</v>
      </c>
      <c r="AJ624" s="57" t="n">
        <f aca="false">ROUNDUP(MAX(J624/IF(BZ624&gt;0,BZ624,MAX(0.1,N(Cockpit!$C$6))),CC624)/BS624,0)*BS624</f>
        <v>100</v>
      </c>
      <c r="AK624" s="58" t="n">
        <f aca="false">IF(AH624&gt;0,J624/AH624,-1)</f>
        <v>0</v>
      </c>
      <c r="AL624" s="58" t="n">
        <f aca="false">IF(AND(OR(BY624="L1",BY624="L23"),AH624&gt;0),SUMIFS($AH$7:$AH$1843,$BY$7:$BY$1843,BY624,$AK$7:$AK$1843,"&gt;"&amp;AK624)+SUMIFS($AH$7:$AH$1843,$BY$7:$BY$1843,BY624,$AK$7:$AK$1843,AK624,$BQ$7:$BQ$1843,"&lt;="&amp;BQ624),"")</f>
        <v>76.3479358805446</v>
      </c>
      <c r="AM624" s="65" t="n">
        <f aca="false">IF(AL624="",0,MAX(0,MIN(1,(IF(BY624="L1",Parameter!$E$5,Parameter!$E$6+Parameter!$E$7)-(AL624-AH624))/AH624)))</f>
        <v>1</v>
      </c>
      <c r="AN624" s="57" t="n">
        <f aca="false">IF(LEFT(Cockpit!$I$5,1)="A",H624,IF(CA624=1,CB624,IF(LEFT(Cockpit!$I$5,1)="B",AR624,MAX(AR624,H624))))</f>
        <v>100</v>
      </c>
      <c r="AO624" s="57" t="n">
        <f aca="false">IF(BT624=1,0,ROUNDUP(AN624/BS624,0))</f>
        <v>1</v>
      </c>
      <c r="AP624" s="59" t="n">
        <f aca="false">IF(CH624&gt;0,CH624*MAX(1,AN624/X624),IF(BT624=1,IF(AN624&lt;=0,0,BW624*MAX(1,IF(H624&gt;0,AN624/H624,1))),IF(R624&gt;0,AO624/R624,0))/MAX(0.1,N(Parameter!$M$21)))</f>
        <v>0.00241545893719807</v>
      </c>
      <c r="AQ624" s="57" t="n">
        <f aca="false">AN624*G624</f>
        <v>5</v>
      </c>
      <c r="AR624" s="57" t="n">
        <f aca="false">ROUNDUP(MAX(J624/IF(BZ624&gt;0,BZ624,MAX(0.1,N(Cockpit!$I$6))),CC624)/BS624,0)*BS624</f>
        <v>100</v>
      </c>
      <c r="AS624" s="58" t="n">
        <f aca="false">IF(AP624&gt;0,J624/AP624,-1)</f>
        <v>0</v>
      </c>
      <c r="AT624" s="58" t="n">
        <f aca="false">IF(AND(OR(BY624="L1",BY624="L23"),AP624&gt;0),SUMIFS($AP$7:$AP$1843,$BY$7:$BY$1843,BY624,$AS$7:$AS$1843,"&gt;"&amp;AS624)+SUMIFS($AP$7:$AP$1843,$BY$7:$BY$1843,BY624,$AS$7:$AS$1843,AS624,$BQ$7:$BQ$1843,"&lt;="&amp;BQ624),"")</f>
        <v>115.810521604</v>
      </c>
      <c r="AU624" s="65" t="n">
        <f aca="false">IF(AT624="",0,MAX(0,MIN(1,(IF(BY624="L1",Parameter!$E$5,Parameter!$E$6+Parameter!$E$7)-(AT624-AP624))/AP624)))</f>
        <v>0</v>
      </c>
      <c r="AV624" s="57" t="n">
        <f aca="false">IF(LEFT(Cockpit!$O$5,1)="A",H624,IF(CA624=1,CB624,IF(LEFT(Cockpit!$O$5,1)="B",AZ624,MAX(AZ624,H624))))</f>
        <v>100</v>
      </c>
      <c r="AW624" s="57" t="n">
        <f aca="false">IF(BT624=1,0,ROUNDUP(AV624/BS624,0))</f>
        <v>1</v>
      </c>
      <c r="AX624" s="59" t="n">
        <f aca="false">IF(CH624&gt;0,CH624*MAX(1,AV624/X624),IF(BT624=1,IF(AV624&lt;=0,0,BW624*MAX(1,IF(H624&gt;0,AV624/H624,1))),IF(R624&gt;0,AW624/R624,0))/MAX(0.1,N(Parameter!$M$21)))</f>
        <v>0.00241545893719807</v>
      </c>
      <c r="AY624" s="57" t="n">
        <f aca="false">AV624*G624</f>
        <v>5</v>
      </c>
      <c r="AZ624" s="57" t="n">
        <f aca="false">ROUNDUP(MAX(J624/IF(BZ624&gt;0,BZ624,MAX(0.1,N(Cockpit!$O$6))),CC624)/BS624,0)*BS624</f>
        <v>100</v>
      </c>
      <c r="BA624" s="58" t="n">
        <f aca="false">IF(AX624&gt;0,J624/AX624,-1)</f>
        <v>0</v>
      </c>
      <c r="BB624" s="58" t="n">
        <f aca="false">IF(AND(OR(BY624="L1",BY624="L23"),AX624&gt;0),SUMIFS($AX$7:$AX$1843,$BY$7:$BY$1843,BY624,$BA$7:$BA$1843,"&gt;"&amp;BA624)+SUMIFS($AX$7:$AX$1843,$BY$7:$BY$1843,BY624,$BA$7:$BA$1843,BA624,$BQ$7:$BQ$1843,"&lt;="&amp;BQ624),"")</f>
        <v>106.640358433837</v>
      </c>
      <c r="BC624" s="65" t="n">
        <f aca="false">IF(BB624="",0,MAX(0,MIN(1,(IF(BY624="L1",Parameter!$E$5,Parameter!$E$6+Parameter!$E$7)-(BB624-AX624))/AX624)))</f>
        <v>0</v>
      </c>
      <c r="BD624" s="55" t="str">
        <f aca="false">IF(AH624&lt;=0,"",IF(BY624="Aussen","Aussenlager",IF(BY624="-","Nicht im Lift",IF(AM624&gt;=1,"Lift",IF(AM624&lt;=0,"Aussenlager","teilweise")))))</f>
        <v>Lift</v>
      </c>
      <c r="BE624" s="55" t="str">
        <f aca="false">IF(AP624&lt;=0,"",IF(BY624="Aussen","Aussenlager",IF(BY624="-","Nicht im Lift",IF(AU624&gt;=1,"Lift",IF(AU624&lt;=0,"Aussenlager","teilweise")))))</f>
        <v>Aussenlager</v>
      </c>
      <c r="BF624" s="55" t="str">
        <f aca="false">IF(AX624&lt;=0,"",IF(BY624="Aussen","Aussenlager",IF(BY624="-","Nicht im Lift",IF(BC624&gt;=1,"Lift",IF(BC624&lt;=0,"Aussenlager","teilweise")))))</f>
        <v>Aussenlager</v>
      </c>
      <c r="BG624" s="55" t="str">
        <f aca="false">IF(A624="","",IF(BP624=1,"Neu; ","")&amp;IF(AND(BP624=0,BK624&lt;0),"negativer Bestand (Export "&amp;BK624&amp;"); ","")&amp;IF(J624&lt;=0,"Kein Verbrauch; ","")&amp;IF(CH624&gt;0,"Lift "&amp;W624&amp;" lt. Liftbericht (Fach "&amp;X624&amp;" Stk); ",IF(BU624=1,"Gebinde geschätzt ("&amp;T624&amp;"); ",IF(BT624=1,"Lose – Tablare geschätzt; ","")))&amp;IF(H624&gt;AR624,"Überbestand "&amp;ROUND(H624-AR624,0)&amp;" Stk / CHF "&amp;ROUND((H624-AR624)*G624,0)&amp;"; ","")&amp;IF(AND(CA624=1,CB624&lt;CC624),"MAX &lt; MB+LG; ","")&amp;IF(AND(CG624&gt;0,CF624*10&gt;CG624),"zu hoch für Tablar; ","")&amp;IF(AND(BP624=0,OR(CA624=1,AA624&lt;&gt;"",U624&lt;&gt;"",V624&lt;&gt;"",AB624&lt;&gt;"")),"manuell übersteuert; ","")&amp;IF(AND(BT624=0,R624=0),"Gebinde unbekannt / Stellmass fehlt; ","")&amp;IF(AND(BT624=0,N(V624)&lt;=0,N(Q624)&lt;=0),"Menge pro Gebinde fehlt (Ist = 1 Gebinde); ","")&amp;BO624)</f>
        <v>Kein Verbrauch; </v>
      </c>
      <c r="BH624" s="55"/>
      <c r="BI624" s="55"/>
      <c r="BJ624" s="62"/>
      <c r="BK624" s="57" t="n">
        <v>56</v>
      </c>
      <c r="BL624" s="57" t="n">
        <v>10</v>
      </c>
      <c r="BM624" s="56" t="n">
        <v>2.8</v>
      </c>
      <c r="BN624" s="57" t="n">
        <v>0</v>
      </c>
      <c r="BO624" s="55"/>
      <c r="BP624" s="60" t="n">
        <v>0</v>
      </c>
      <c r="BQ624" s="60" t="n">
        <v>624</v>
      </c>
      <c r="BR624" s="55" t="str">
        <f aca="false">IF(U624&lt;&gt;"",UPPER(TRIM(U624)),IF(BU624=1,UPPER(VLOOKUP(T624,Parameter!$I$27:$K$29,2,0)),IF(P624="","LOSE",P624)))</f>
        <v>S21</v>
      </c>
      <c r="BS624" s="57" t="n">
        <f aca="false">IF(BR624="LOSE",1,IF(N(V624)&gt;0,V624,IF(BU624=1,MAX(1,N(VLOOKUP(T624,Parameter!$I$27:$K$29,3,0)),H624,N(N624)),IF(N(Q624)&gt;0,Q624,MAX(1,H624)))))</f>
        <v>100</v>
      </c>
      <c r="BT624" s="60" t="n">
        <f aca="false">IF(BR624="LOSE",1,0)</f>
        <v>0</v>
      </c>
      <c r="BU624" s="60" t="n">
        <f aca="false">IF(AND(U624="",OR(P624="",P624="LOSE"),T624&lt;&gt;"",N(S624)&lt;=0,ISNUMBER(MATCH(T624,Parameter!$I$27:$I$29,0))),1,0)</f>
        <v>0</v>
      </c>
      <c r="BV624" s="55" t="str">
        <f aca="false">IF(AND(Parameter!$B$19="Ja",E624&lt;&gt;"",ISNUMBER(MATCH(E624,Parameter!$I$35:$I$52,0))),VLOOKUP(E624,Parameter!$I$35:$J$52,2,0),IFERROR(VLOOKUP(D624,Parameter!$A$35:$C$64,2,0),"Nein"))</f>
        <v>2+3</v>
      </c>
      <c r="BW624" s="59" t="n">
        <f aca="false">IF(BT624=0,0,IF(N(S624)&gt;0,S624,IFERROR(VLOOKUP(D624,Parameter!$A$35:$C$64,3,0)+0,0)))</f>
        <v>0</v>
      </c>
      <c r="BX624" s="55" t="n">
        <f aca="false">IF(AA624&lt;&gt;"",AA624,Z624)</f>
        <v>3</v>
      </c>
      <c r="BY624" s="55" t="str">
        <f aca="false">IF(BX624=1,"L1",IF(OR(BX624=2,BX624=3),"L23",IF(BX624="Aussen","Aussen","-")))</f>
        <v>L23</v>
      </c>
      <c r="BZ624" s="66" t="n">
        <f aca="false">IF(N(AB624)&gt;0,AB624,0)</f>
        <v>0</v>
      </c>
      <c r="CA624" s="60" t="n">
        <f aca="false">IF(ISNUMBER(AE624),1,0)</f>
        <v>0</v>
      </c>
      <c r="CB624" s="57" t="n">
        <f aca="false">N(AE624)</f>
        <v>0</v>
      </c>
      <c r="CC624" s="57" t="n">
        <f aca="false">N(M624)+N(N624)</f>
        <v>25</v>
      </c>
      <c r="CD624" s="57" t="n">
        <f aca="false">ROUNDUP(H624/BS624,0)</f>
        <v>1</v>
      </c>
      <c r="CE624" s="57" t="n">
        <f aca="false">ROUNDUP(CB624/BS624,0)</f>
        <v>0</v>
      </c>
      <c r="CF624" s="60" t="n">
        <f aca="false">IF(BT624=1,0,IFERROR(VLOOKUP(BR624,'Gebinde-Kategorie'!$A$5:$M$45,5,0)+0,0))</f>
        <v>8</v>
      </c>
      <c r="CG624" s="60" t="n">
        <f aca="false">IFERROR(IF(OR(BX624=1,BX624=2,BX624=3),N(INDEX(Parameter!$I$5:$I$7,BX624)),0),0)</f>
        <v>0</v>
      </c>
      <c r="CH624" s="59" t="n">
        <f aca="false">IF(AND(Parameter!$B$21="Ja",ISNUMBER(W624),N(X624)&gt;0),IFERROR(N(INDEX(Parameter!$L$5:$L$7,W624))*INDEX(Parameter!$E$5:$E$7,W624)*X624/SUMIFS($X$7:$X$1843,$W$7:$W$1843,W624),0),0)</f>
        <v>0</v>
      </c>
    </row>
    <row r="625" customFormat="false" ht="15" hidden="false" customHeight="false" outlineLevel="0" collapsed="false">
      <c r="A625" s="55" t="s">
        <v>1283</v>
      </c>
      <c r="B625" s="55" t="s">
        <v>949</v>
      </c>
      <c r="C625" s="55" t="s">
        <v>164</v>
      </c>
      <c r="D625" s="55" t="s">
        <v>995</v>
      </c>
      <c r="E625" s="55"/>
      <c r="F625" s="55" t="s">
        <v>218</v>
      </c>
      <c r="G625" s="56" t="n">
        <v>0.54</v>
      </c>
      <c r="H625" s="57" t="n">
        <f aca="false">MAX(0,IF(AND(Parameter!$B$21="Ja",ISNUMBER(Y625)),Y625,IF(Parameter!$B$20="Jahresanfang 2025 + Export",BL625+BK625,BK625)))</f>
        <v>4</v>
      </c>
      <c r="I625" s="57" t="n">
        <f aca="false">H625*G625</f>
        <v>2.16</v>
      </c>
      <c r="J625" s="57" t="n">
        <f aca="false">BN625*Parameter!$B$18</f>
        <v>96</v>
      </c>
      <c r="K625" s="58" t="n">
        <v>2</v>
      </c>
      <c r="L625" s="59" t="n">
        <v>48</v>
      </c>
      <c r="M625" s="57" t="n">
        <v>0</v>
      </c>
      <c r="N625" s="57" t="n">
        <v>100</v>
      </c>
      <c r="O625" s="60" t="n">
        <v>21</v>
      </c>
      <c r="P625" s="55" t="s">
        <v>168</v>
      </c>
      <c r="Q625" s="57"/>
      <c r="R625" s="60" t="n">
        <f aca="false">IF(BT625=1,0,IFERROR(VLOOKUP(BR625,'Gebinde-Kategorie'!$A$5:$M$45,13,0)+0,0))</f>
        <v>0</v>
      </c>
      <c r="S625" s="61"/>
      <c r="T625" s="62"/>
      <c r="U625" s="62"/>
      <c r="V625" s="62"/>
      <c r="W625" s="55"/>
      <c r="X625" s="57"/>
      <c r="Y625" s="57"/>
      <c r="Z625" s="55" t="str">
        <f aca="false">IF(A625="","",IF(AND(Parameter!$B$21="Ja",ISNUMBER(W625)),W625,IF(BV625="2+3",IF(ISNUMBER(SEARCH("grosser Artikel",BO625)),2,IFERROR(VLOOKUP(BR625,Parameter!$F$35:$G$64,2,0),2)),IF(OR(BV625="Nein",BV625=""),"-",BV625))))</f>
        <v>-</v>
      </c>
      <c r="AA625" s="62"/>
      <c r="AB625" s="63"/>
      <c r="AC625" s="57" t="n">
        <f aca="false">AR625</f>
        <v>100</v>
      </c>
      <c r="AD625" s="57" t="n">
        <f aca="false">MAX(AR625,H625)</f>
        <v>100</v>
      </c>
      <c r="AE625" s="64"/>
      <c r="AF625" s="57" t="n">
        <f aca="false">IF(LEFT(Cockpit!$C$5,1)="A",H625,IF(CA625=1,CB625,IF(LEFT(Cockpit!$C$5,1)="B",AJ625,MAX(AJ625,H625))))</f>
        <v>4</v>
      </c>
      <c r="AG625" s="57" t="n">
        <f aca="false">IF(BT625=1,0,ROUNDUP(AF625/BS625,0))</f>
        <v>0</v>
      </c>
      <c r="AH625" s="59" t="n">
        <f aca="false">IF(CH625&gt;0,CH625*MAX(1,AF625/X625),IF(BT625=1,IF(AF625&lt;=0,0,BW625*MAX(1,IF(H625&gt;0,AF625/H625,1))),IF(R625&gt;0,AG625/R625,0))/MAX(0.1,N(Parameter!$M$21)))</f>
        <v>0.15</v>
      </c>
      <c r="AI625" s="57" t="n">
        <f aca="false">AF625*G625</f>
        <v>2.16</v>
      </c>
      <c r="AJ625" s="57" t="n">
        <f aca="false">ROUNDUP(MAX(J625/IF(BZ625&gt;0,BZ625,MAX(0.1,N(Cockpit!$C$6))),CC625)/BS625,0)*BS625</f>
        <v>100</v>
      </c>
      <c r="AK625" s="58" t="n">
        <f aca="false">IF(AH625&gt;0,J625/AH625,-1)</f>
        <v>640</v>
      </c>
      <c r="AL625" s="58" t="str">
        <f aca="false">IF(AND(OR(BY625="L1",BY625="L23"),AH625&gt;0),SUMIFS($AH$7:$AH$1843,$BY$7:$BY$1843,BY625,$AK$7:$AK$1843,"&gt;"&amp;AK625)+SUMIFS($AH$7:$AH$1843,$BY$7:$BY$1843,BY625,$AK$7:$AK$1843,AK625,$BQ$7:$BQ$1843,"&lt;="&amp;BQ625),"")</f>
        <v/>
      </c>
      <c r="AM625" s="65" t="n">
        <f aca="false">IF(AL625="",0,MAX(0,MIN(1,(IF(BY625="L1",Parameter!$E$5,Parameter!$E$6+Parameter!$E$7)-(AL625-AH625))/AH625)))</f>
        <v>0</v>
      </c>
      <c r="AN625" s="57" t="n">
        <f aca="false">IF(LEFT(Cockpit!$I$5,1)="A",H625,IF(CA625=1,CB625,IF(LEFT(Cockpit!$I$5,1)="B",AR625,MAX(AR625,H625))))</f>
        <v>100</v>
      </c>
      <c r="AO625" s="57" t="n">
        <f aca="false">IF(BT625=1,0,ROUNDUP(AN625/BS625,0))</f>
        <v>0</v>
      </c>
      <c r="AP625" s="59" t="n">
        <f aca="false">IF(CH625&gt;0,CH625*MAX(1,AN625/X625),IF(BT625=1,IF(AN625&lt;=0,0,BW625*MAX(1,IF(H625&gt;0,AN625/H625,1))),IF(R625&gt;0,AO625/R625,0))/MAX(0.1,N(Parameter!$M$21)))</f>
        <v>3.75</v>
      </c>
      <c r="AQ625" s="57" t="n">
        <f aca="false">AN625*G625</f>
        <v>54</v>
      </c>
      <c r="AR625" s="57" t="n">
        <f aca="false">ROUNDUP(MAX(J625/IF(BZ625&gt;0,BZ625,MAX(0.1,N(Cockpit!$I$6))),CC625)/BS625,0)*BS625</f>
        <v>100</v>
      </c>
      <c r="AS625" s="58" t="n">
        <f aca="false">IF(AP625&gt;0,J625/AP625,-1)</f>
        <v>25.6</v>
      </c>
      <c r="AT625" s="58" t="str">
        <f aca="false">IF(AND(OR(BY625="L1",BY625="L23"),AP625&gt;0),SUMIFS($AP$7:$AP$1843,$BY$7:$BY$1843,BY625,$AS$7:$AS$1843,"&gt;"&amp;AS625)+SUMIFS($AP$7:$AP$1843,$BY$7:$BY$1843,BY625,$AS$7:$AS$1843,AS625,$BQ$7:$BQ$1843,"&lt;="&amp;BQ625),"")</f>
        <v/>
      </c>
      <c r="AU625" s="65" t="n">
        <f aca="false">IF(AT625="",0,MAX(0,MIN(1,(IF(BY625="L1",Parameter!$E$5,Parameter!$E$6+Parameter!$E$7)-(AT625-AP625))/AP625)))</f>
        <v>0</v>
      </c>
      <c r="AV625" s="57" t="n">
        <f aca="false">IF(LEFT(Cockpit!$O$5,1)="A",H625,IF(CA625=1,CB625,IF(LEFT(Cockpit!$O$5,1)="B",AZ625,MAX(AZ625,H625))))</f>
        <v>100</v>
      </c>
      <c r="AW625" s="57" t="n">
        <f aca="false">IF(BT625=1,0,ROUNDUP(AV625/BS625,0))</f>
        <v>0</v>
      </c>
      <c r="AX625" s="59" t="n">
        <f aca="false">IF(CH625&gt;0,CH625*MAX(1,AV625/X625),IF(BT625=1,IF(AV625&lt;=0,0,BW625*MAX(1,IF(H625&gt;0,AV625/H625,1))),IF(R625&gt;0,AW625/R625,0))/MAX(0.1,N(Parameter!$M$21)))</f>
        <v>3.75</v>
      </c>
      <c r="AY625" s="57" t="n">
        <f aca="false">AV625*G625</f>
        <v>54</v>
      </c>
      <c r="AZ625" s="57" t="n">
        <f aca="false">ROUNDUP(MAX(J625/IF(BZ625&gt;0,BZ625,MAX(0.1,N(Cockpit!$O$6))),CC625)/BS625,0)*BS625</f>
        <v>100</v>
      </c>
      <c r="BA625" s="58" t="n">
        <f aca="false">IF(AX625&gt;0,J625/AX625,-1)</f>
        <v>25.6</v>
      </c>
      <c r="BB625" s="58" t="str">
        <f aca="false">IF(AND(OR(BY625="L1",BY625="L23"),AX625&gt;0),SUMIFS($AX$7:$AX$1843,$BY$7:$BY$1843,BY625,$BA$7:$BA$1843,"&gt;"&amp;BA625)+SUMIFS($AX$7:$AX$1843,$BY$7:$BY$1843,BY625,$BA$7:$BA$1843,BA625,$BQ$7:$BQ$1843,"&lt;="&amp;BQ625),"")</f>
        <v/>
      </c>
      <c r="BC625" s="65" t="n">
        <f aca="false">IF(BB625="",0,MAX(0,MIN(1,(IF(BY625="L1",Parameter!$E$5,Parameter!$E$6+Parameter!$E$7)-(BB625-AX625))/AX625)))</f>
        <v>0</v>
      </c>
      <c r="BD625" s="55" t="str">
        <f aca="false">IF(AH625&lt;=0,"",IF(BY625="Aussen","Aussenlager",IF(BY625="-","Nicht im Lift",IF(AM625&gt;=1,"Lift",IF(AM625&lt;=0,"Aussenlager","teilweise")))))</f>
        <v>Nicht im Lift</v>
      </c>
      <c r="BE625" s="55" t="str">
        <f aca="false">IF(AP625&lt;=0,"",IF(BY625="Aussen","Aussenlager",IF(BY625="-","Nicht im Lift",IF(AU625&gt;=1,"Lift",IF(AU625&lt;=0,"Aussenlager","teilweise")))))</f>
        <v>Nicht im Lift</v>
      </c>
      <c r="BF625" s="55" t="str">
        <f aca="false">IF(AX625&lt;=0,"",IF(BY625="Aussen","Aussenlager",IF(BY625="-","Nicht im Lift",IF(BC625&gt;=1,"Lift",IF(BC625&lt;=0,"Aussenlager","teilweise")))))</f>
        <v>Nicht im Lift</v>
      </c>
      <c r="BG625" s="55" t="str">
        <f aca="false">IF(A625="","",IF(BP625=1,"Neu; ","")&amp;IF(AND(BP625=0,BK625&lt;0),"negativer Bestand (Export "&amp;BK625&amp;"); ","")&amp;IF(J625&lt;=0,"Kein Verbrauch; ","")&amp;IF(CH625&gt;0,"Lift "&amp;W625&amp;" lt. Liftbericht (Fach "&amp;X625&amp;" Stk); ",IF(BU625=1,"Gebinde geschätzt ("&amp;T625&amp;"); ",IF(BT625=1,"Lose – Tablare geschätzt; ","")))&amp;IF(H625&gt;AR625,"Überbestand "&amp;ROUND(H625-AR625,0)&amp;" Stk / CHF "&amp;ROUND((H625-AR625)*G625,0)&amp;"; ","")&amp;IF(AND(CA625=1,CB625&lt;CC625),"MAX &lt; MB+LG; ","")&amp;IF(AND(CG625&gt;0,CF625*10&gt;CG625),"zu hoch für Tablar; ","")&amp;IF(AND(BP625=0,OR(CA625=1,AA625&lt;&gt;"",U625&lt;&gt;"",V625&lt;&gt;"",AB625&lt;&gt;"")),"manuell übersteuert; ","")&amp;IF(AND(BT625=0,R625=0),"Gebinde unbekannt / Stellmass fehlt; ","")&amp;IF(AND(BT625=0,N(V625)&lt;=0,N(Q625)&lt;=0),"Menge pro Gebinde fehlt (Ist = 1 Gebinde); ","")&amp;BO625)</f>
        <v>Lose – Tablare geschätzt; </v>
      </c>
      <c r="BH625" s="55"/>
      <c r="BI625" s="55"/>
      <c r="BJ625" s="62"/>
      <c r="BK625" s="57" t="n">
        <v>4</v>
      </c>
      <c r="BL625" s="57" t="n">
        <v>0</v>
      </c>
      <c r="BM625" s="56" t="n">
        <v>2.16</v>
      </c>
      <c r="BN625" s="57" t="n">
        <v>96</v>
      </c>
      <c r="BO625" s="55"/>
      <c r="BP625" s="60" t="n">
        <v>0</v>
      </c>
      <c r="BQ625" s="60" t="n">
        <v>625</v>
      </c>
      <c r="BR625" s="55" t="str">
        <f aca="false">IF(U625&lt;&gt;"",UPPER(TRIM(U625)),IF(BU625=1,UPPER(VLOOKUP(T625,Parameter!$I$27:$K$29,2,0)),IF(P625="","LOSE",P625)))</f>
        <v>LOSE</v>
      </c>
      <c r="BS625" s="57" t="n">
        <f aca="false">IF(BR625="LOSE",1,IF(N(V625)&gt;0,V625,IF(BU625=1,MAX(1,N(VLOOKUP(T625,Parameter!$I$27:$K$29,3,0)),H625,N(N625)),IF(N(Q625)&gt;0,Q625,MAX(1,H625)))))</f>
        <v>1</v>
      </c>
      <c r="BT625" s="60" t="n">
        <f aca="false">IF(BR625="LOSE",1,0)</f>
        <v>1</v>
      </c>
      <c r="BU625" s="60" t="n">
        <f aca="false">IF(AND(U625="",OR(P625="",P625="LOSE"),T625&lt;&gt;"",N(S625)&lt;=0,ISNUMBER(MATCH(T625,Parameter!$I$27:$I$29,0))),1,0)</f>
        <v>0</v>
      </c>
      <c r="BV625" s="55" t="str">
        <f aca="false">IF(AND(Parameter!$B$19="Ja",E625&lt;&gt;"",ISNUMBER(MATCH(E625,Parameter!$I$35:$I$52,0))),VLOOKUP(E625,Parameter!$I$35:$J$52,2,0),IFERROR(VLOOKUP(D625,Parameter!$A$35:$C$64,2,0),"Nein"))</f>
        <v>Nein</v>
      </c>
      <c r="BW625" s="59" t="n">
        <f aca="false">IF(BT625=0,0,IF(N(S625)&gt;0,S625,IFERROR(VLOOKUP(D625,Parameter!$A$35:$C$64,3,0)+0,0)))</f>
        <v>0.15</v>
      </c>
      <c r="BX625" s="55" t="str">
        <f aca="false">IF(AA625&lt;&gt;"",AA625,Z625)</f>
        <v>-</v>
      </c>
      <c r="BY625" s="55" t="str">
        <f aca="false">IF(BX625=1,"L1",IF(OR(BX625=2,BX625=3),"L23",IF(BX625="Aussen","Aussen","-")))</f>
        <v>-</v>
      </c>
      <c r="BZ625" s="66" t="n">
        <f aca="false">IF(N(AB625)&gt;0,AB625,0)</f>
        <v>0</v>
      </c>
      <c r="CA625" s="60" t="n">
        <f aca="false">IF(ISNUMBER(AE625),1,0)</f>
        <v>0</v>
      </c>
      <c r="CB625" s="57" t="n">
        <f aca="false">N(AE625)</f>
        <v>0</v>
      </c>
      <c r="CC625" s="57" t="n">
        <f aca="false">N(M625)+N(N625)</f>
        <v>100</v>
      </c>
      <c r="CD625" s="57" t="n">
        <f aca="false">ROUNDUP(H625/BS625,0)</f>
        <v>4</v>
      </c>
      <c r="CE625" s="57" t="n">
        <f aca="false">ROUNDUP(CB625/BS625,0)</f>
        <v>0</v>
      </c>
      <c r="CF625" s="60" t="n">
        <f aca="false">IF(BT625=1,0,IFERROR(VLOOKUP(BR625,'Gebinde-Kategorie'!$A$5:$M$45,5,0)+0,0))</f>
        <v>0</v>
      </c>
      <c r="CG625" s="60" t="n">
        <f aca="false">IFERROR(IF(OR(BX625=1,BX625=2,BX625=3),N(INDEX(Parameter!$I$5:$I$7,BX625)),0),0)</f>
        <v>0</v>
      </c>
      <c r="CH625" s="59" t="n">
        <f aca="false">IF(AND(Parameter!$B$21="Ja",ISNUMBER(W625),N(X625)&gt;0),IFERROR(N(INDEX(Parameter!$L$5:$L$7,W625))*INDEX(Parameter!$E$5:$E$7,W625)*X625/SUMIFS($X$7:$X$1843,$W$7:$W$1843,W625),0),0)</f>
        <v>0</v>
      </c>
    </row>
    <row r="626" customFormat="false" ht="15" hidden="false" customHeight="false" outlineLevel="0" collapsed="false">
      <c r="A626" s="55" t="s">
        <v>1284</v>
      </c>
      <c r="B626" s="55" t="s">
        <v>949</v>
      </c>
      <c r="C626" s="55" t="s">
        <v>164</v>
      </c>
      <c r="D626" s="55" t="s">
        <v>184</v>
      </c>
      <c r="E626" s="55" t="s">
        <v>185</v>
      </c>
      <c r="F626" s="55" t="s">
        <v>218</v>
      </c>
      <c r="G626" s="56" t="n">
        <v>0.01</v>
      </c>
      <c r="H626" s="57" t="n">
        <f aca="false">MAX(0,IF(AND(Parameter!$B$21="Ja",ISNUMBER(Y626)),Y626,IF(Parameter!$B$20="Jahresanfang 2025 + Export",BL626+BK626,BK626)))</f>
        <v>3584</v>
      </c>
      <c r="I626" s="57" t="n">
        <f aca="false">H626*G626</f>
        <v>35.84</v>
      </c>
      <c r="J626" s="57" t="n">
        <f aca="false">BN626*Parameter!$B$18</f>
        <v>604</v>
      </c>
      <c r="K626" s="58" t="n">
        <v>3704</v>
      </c>
      <c r="L626" s="59" t="n">
        <v>0.163066954643629</v>
      </c>
      <c r="M626" s="57" t="n">
        <v>35</v>
      </c>
      <c r="N626" s="57" t="n">
        <v>605</v>
      </c>
      <c r="O626" s="60" t="n">
        <v>21</v>
      </c>
      <c r="P626" s="55" t="s">
        <v>476</v>
      </c>
      <c r="Q626" s="57" t="n">
        <v>6007</v>
      </c>
      <c r="R626" s="60" t="n">
        <f aca="false">IF(BT626=1,0,IFERROR(VLOOKUP(BR626,'Gebinde-Kategorie'!$A$5:$M$45,13,0)+0,0))</f>
        <v>66</v>
      </c>
      <c r="S626" s="61"/>
      <c r="T626" s="62"/>
      <c r="U626" s="62"/>
      <c r="V626" s="62"/>
      <c r="W626" s="55"/>
      <c r="X626" s="57"/>
      <c r="Y626" s="57"/>
      <c r="Z626" s="55" t="n">
        <f aca="false">IF(A626="","",IF(AND(Parameter!$B$21="Ja",ISNUMBER(W626)),W626,IF(BV626="2+3",IF(ISNUMBER(SEARCH("grosser Artikel",BO626)),2,IFERROR(VLOOKUP(BR626,Parameter!$F$35:$G$64,2,0),2)),IF(OR(BV626="Nein",BV626=""),"-",BV626))))</f>
        <v>3</v>
      </c>
      <c r="AA626" s="62"/>
      <c r="AB626" s="63"/>
      <c r="AC626" s="57" t="n">
        <f aca="false">AR626</f>
        <v>6007</v>
      </c>
      <c r="AD626" s="57" t="n">
        <f aca="false">MAX(AR626,H626)</f>
        <v>6007</v>
      </c>
      <c r="AE626" s="64"/>
      <c r="AF626" s="57" t="n">
        <f aca="false">IF(LEFT(Cockpit!$C$5,1)="A",H626,IF(CA626=1,CB626,IF(LEFT(Cockpit!$C$5,1)="B",AJ626,MAX(AJ626,H626))))</f>
        <v>3584</v>
      </c>
      <c r="AG626" s="57" t="n">
        <f aca="false">IF(BT626=1,0,ROUNDUP(AF626/BS626,0))</f>
        <v>1</v>
      </c>
      <c r="AH626" s="59" t="n">
        <f aca="false">IF(CH626&gt;0,CH626*MAX(1,AF626/X626),IF(BT626=1,IF(AF626&lt;=0,0,BW626*MAX(1,IF(H626&gt;0,AF626/H626,1))),IF(R626&gt;0,AG626/R626,0))/MAX(0.1,N(Parameter!$M$21)))</f>
        <v>0.0151515151515152</v>
      </c>
      <c r="AI626" s="57" t="n">
        <f aca="false">AF626*G626</f>
        <v>35.84</v>
      </c>
      <c r="AJ626" s="57" t="n">
        <f aca="false">ROUNDUP(MAX(J626/IF(BZ626&gt;0,BZ626,MAX(0.1,N(Cockpit!$C$6))),CC626)/BS626,0)*BS626</f>
        <v>6007</v>
      </c>
      <c r="AK626" s="58" t="n">
        <f aca="false">IF(AH626&gt;0,J626/AH626,-1)</f>
        <v>39864</v>
      </c>
      <c r="AL626" s="58" t="n">
        <f aca="false">IF(AND(OR(BY626="L1",BY626="L23"),AH626&gt;0),SUMIFS($AH$7:$AH$1843,$BY$7:$BY$1843,BY626,$AK$7:$AK$1843,"&gt;"&amp;AK626)+SUMIFS($AH$7:$AH$1843,$BY$7:$BY$1843,BY626,$AK$7:$AK$1843,AK626,$BQ$7:$BQ$1843,"&lt;="&amp;BQ626),"")</f>
        <v>2.08710854363028</v>
      </c>
      <c r="AM626" s="65" t="n">
        <f aca="false">IF(AL626="",0,MAX(0,MIN(1,(IF(BY626="L1",Parameter!$E$5,Parameter!$E$6+Parameter!$E$7)-(AL626-AH626))/AH626)))</f>
        <v>1</v>
      </c>
      <c r="AN626" s="57" t="n">
        <f aca="false">IF(LEFT(Cockpit!$I$5,1)="A",H626,IF(CA626=1,CB626,IF(LEFT(Cockpit!$I$5,1)="B",AR626,MAX(AR626,H626))))</f>
        <v>6007</v>
      </c>
      <c r="AO626" s="57" t="n">
        <f aca="false">IF(BT626=1,0,ROUNDUP(AN626/BS626,0))</f>
        <v>1</v>
      </c>
      <c r="AP626" s="59" t="n">
        <f aca="false">IF(CH626&gt;0,CH626*MAX(1,AN626/X626),IF(BT626=1,IF(AN626&lt;=0,0,BW626*MAX(1,IF(H626&gt;0,AN626/H626,1))),IF(R626&gt;0,AO626/R626,0))/MAX(0.1,N(Parameter!$M$21)))</f>
        <v>0.0151515151515152</v>
      </c>
      <c r="AQ626" s="57" t="n">
        <f aca="false">AN626*G626</f>
        <v>60.07</v>
      </c>
      <c r="AR626" s="57" t="n">
        <f aca="false">ROUNDUP(MAX(J626/IF(BZ626&gt;0,BZ626,MAX(0.1,N(Cockpit!$I$6))),CC626)/BS626,0)*BS626</f>
        <v>6007</v>
      </c>
      <c r="AS626" s="58" t="n">
        <f aca="false">IF(AP626&gt;0,J626/AP626,-1)</f>
        <v>39864</v>
      </c>
      <c r="AT626" s="58" t="n">
        <f aca="false">IF(AND(OR(BY626="L1",BY626="L23"),AP626&gt;0),SUMIFS($AP$7:$AP$1843,$BY$7:$BY$1843,BY626,$AS$7:$AS$1843,"&gt;"&amp;AS626)+SUMIFS($AP$7:$AP$1843,$BY$7:$BY$1843,BY626,$AS$7:$AS$1843,AS626,$BQ$7:$BQ$1843,"&lt;="&amp;BQ626),"")</f>
        <v>2.00938312894835</v>
      </c>
      <c r="AU626" s="65" t="n">
        <f aca="false">IF(AT626="",0,MAX(0,MIN(1,(IF(BY626="L1",Parameter!$E$5,Parameter!$E$6+Parameter!$E$7)-(AT626-AP626))/AP626)))</f>
        <v>1</v>
      </c>
      <c r="AV626" s="57" t="n">
        <f aca="false">IF(LEFT(Cockpit!$O$5,1)="A",H626,IF(CA626=1,CB626,IF(LEFT(Cockpit!$O$5,1)="B",AZ626,MAX(AZ626,H626))))</f>
        <v>6007</v>
      </c>
      <c r="AW626" s="57" t="n">
        <f aca="false">IF(BT626=1,0,ROUNDUP(AV626/BS626,0))</f>
        <v>1</v>
      </c>
      <c r="AX626" s="59" t="n">
        <f aca="false">IF(CH626&gt;0,CH626*MAX(1,AV626/X626),IF(BT626=1,IF(AV626&lt;=0,0,BW626*MAX(1,IF(H626&gt;0,AV626/H626,1))),IF(R626&gt;0,AW626/R626,0))/MAX(0.1,N(Parameter!$M$21)))</f>
        <v>0.0151515151515152</v>
      </c>
      <c r="AY626" s="57" t="n">
        <f aca="false">AV626*G626</f>
        <v>60.07</v>
      </c>
      <c r="AZ626" s="57" t="n">
        <f aca="false">ROUNDUP(MAX(J626/IF(BZ626&gt;0,BZ626,MAX(0.1,N(Cockpit!$O$6))),CC626)/BS626,0)*BS626</f>
        <v>6007</v>
      </c>
      <c r="BA626" s="58" t="n">
        <f aca="false">IF(AX626&gt;0,J626/AX626,-1)</f>
        <v>39864</v>
      </c>
      <c r="BB626" s="58" t="n">
        <f aca="false">IF(AND(OR(BY626="L1",BY626="L23"),AX626&gt;0),SUMIFS($AX$7:$AX$1843,$BY$7:$BY$1843,BY626,$BA$7:$BA$1843,"&gt;"&amp;BA626)+SUMIFS($AX$7:$AX$1843,$BY$7:$BY$1843,BY626,$BA$7:$BA$1843,BA626,$BQ$7:$BQ$1843,"&lt;="&amp;BQ626),"")</f>
        <v>2.29259991216513</v>
      </c>
      <c r="BC626" s="65" t="n">
        <f aca="false">IF(BB626="",0,MAX(0,MIN(1,(IF(BY626="L1",Parameter!$E$5,Parameter!$E$6+Parameter!$E$7)-(BB626-AX626))/AX626)))</f>
        <v>1</v>
      </c>
      <c r="BD626" s="55" t="str">
        <f aca="false">IF(AH626&lt;=0,"",IF(BY626="Aussen","Aussenlager",IF(BY626="-","Nicht im Lift",IF(AM626&gt;=1,"Lift",IF(AM626&lt;=0,"Aussenlager","teilweise")))))</f>
        <v>Lift</v>
      </c>
      <c r="BE626" s="55" t="str">
        <f aca="false">IF(AP626&lt;=0,"",IF(BY626="Aussen","Aussenlager",IF(BY626="-","Nicht im Lift",IF(AU626&gt;=1,"Lift",IF(AU626&lt;=0,"Aussenlager","teilweise")))))</f>
        <v>Lift</v>
      </c>
      <c r="BF626" s="55" t="str">
        <f aca="false">IF(AX626&lt;=0,"",IF(BY626="Aussen","Aussenlager",IF(BY626="-","Nicht im Lift",IF(BC626&gt;=1,"Lift",IF(BC626&lt;=0,"Aussenlager","teilweise")))))</f>
        <v>Lift</v>
      </c>
      <c r="BG626" s="55" t="str">
        <f aca="false">IF(A626="","",IF(BP626=1,"Neu; ","")&amp;IF(AND(BP626=0,BK626&lt;0),"negativer Bestand (Export "&amp;BK626&amp;"); ","")&amp;IF(J626&lt;=0,"Kein Verbrauch; ","")&amp;IF(CH626&gt;0,"Lift "&amp;W626&amp;" lt. Liftbericht (Fach "&amp;X626&amp;" Stk); ",IF(BU626=1,"Gebinde geschätzt ("&amp;T626&amp;"); ",IF(BT626=1,"Lose – Tablare geschätzt; ","")))&amp;IF(H626&gt;AR626,"Überbestand "&amp;ROUND(H626-AR626,0)&amp;" Stk / CHF "&amp;ROUND((H626-AR626)*G626,0)&amp;"; ","")&amp;IF(AND(CA626=1,CB626&lt;CC626),"MAX &lt; MB+LG; ","")&amp;IF(AND(CG626&gt;0,CF626*10&gt;CG626),"zu hoch für Tablar; ","")&amp;IF(AND(BP626=0,OR(CA626=1,AA626&lt;&gt;"",U626&lt;&gt;"",V626&lt;&gt;"",AB626&lt;&gt;"")),"manuell übersteuert; ","")&amp;IF(AND(BT626=0,R626=0),"Gebinde unbekannt / Stellmass fehlt; ","")&amp;IF(AND(BT626=0,N(V626)&lt;=0,N(Q626)&lt;=0),"Menge pro Gebinde fehlt (Ist = 1 Gebinde); ","")&amp;BO626)</f>
        <v>Überbestand</v>
      </c>
      <c r="BH626" s="55"/>
      <c r="BI626" s="55"/>
      <c r="BJ626" s="62"/>
      <c r="BK626" s="57" t="n">
        <v>200</v>
      </c>
      <c r="BL626" s="57" t="n">
        <v>3384</v>
      </c>
      <c r="BM626" s="56" t="n">
        <v>2</v>
      </c>
      <c r="BN626" s="57" t="n">
        <v>604</v>
      </c>
      <c r="BO626" s="55" t="s">
        <v>392</v>
      </c>
      <c r="BP626" s="60" t="n">
        <v>0</v>
      </c>
      <c r="BQ626" s="60" t="n">
        <v>626</v>
      </c>
      <c r="BR626" s="55" t="str">
        <f aca="false">IF(U626&lt;&gt;"",UPPER(TRIM(U626)),IF(BU626=1,UPPER(VLOOKUP(T626,Parameter!$I$27:$K$29,2,0)),IF(P626="","LOSE",P626)))</f>
        <v>S33</v>
      </c>
      <c r="BS626" s="57" t="n">
        <f aca="false">IF(BR626="LOSE",1,IF(N(V626)&gt;0,V626,IF(BU626=1,MAX(1,N(VLOOKUP(T626,Parameter!$I$27:$K$29,3,0)),H626,N(N626)),IF(N(Q626)&gt;0,Q626,MAX(1,H626)))))</f>
        <v>6007</v>
      </c>
      <c r="BT626" s="60" t="n">
        <f aca="false">IF(BR626="LOSE",1,0)</f>
        <v>0</v>
      </c>
      <c r="BU626" s="60" t="n">
        <f aca="false">IF(AND(U626="",OR(P626="",P626="LOSE"),T626&lt;&gt;"",N(S626)&lt;=0,ISNUMBER(MATCH(T626,Parameter!$I$27:$I$29,0))),1,0)</f>
        <v>0</v>
      </c>
      <c r="BV626" s="55" t="str">
        <f aca="false">IF(AND(Parameter!$B$19="Ja",E626&lt;&gt;"",ISNUMBER(MATCH(E626,Parameter!$I$35:$I$52,0))),VLOOKUP(E626,Parameter!$I$35:$J$52,2,0),IFERROR(VLOOKUP(D626,Parameter!$A$35:$C$64,2,0),"Nein"))</f>
        <v>2+3</v>
      </c>
      <c r="BW626" s="59" t="n">
        <f aca="false">IF(BT626=0,0,IF(N(S626)&gt;0,S626,IFERROR(VLOOKUP(D626,Parameter!$A$35:$C$64,3,0)+0,0)))</f>
        <v>0</v>
      </c>
      <c r="BX626" s="55" t="n">
        <f aca="false">IF(AA626&lt;&gt;"",AA626,Z626)</f>
        <v>3</v>
      </c>
      <c r="BY626" s="55" t="str">
        <f aca="false">IF(BX626=1,"L1",IF(OR(BX626=2,BX626=3),"L23",IF(BX626="Aussen","Aussen","-")))</f>
        <v>L23</v>
      </c>
      <c r="BZ626" s="66" t="n">
        <f aca="false">IF(N(AB626)&gt;0,AB626,0)</f>
        <v>0</v>
      </c>
      <c r="CA626" s="60" t="n">
        <f aca="false">IF(ISNUMBER(AE626),1,0)</f>
        <v>0</v>
      </c>
      <c r="CB626" s="57" t="n">
        <f aca="false">N(AE626)</f>
        <v>0</v>
      </c>
      <c r="CC626" s="57" t="n">
        <f aca="false">N(M626)+N(N626)</f>
        <v>640</v>
      </c>
      <c r="CD626" s="57" t="n">
        <f aca="false">ROUNDUP(H626/BS626,0)</f>
        <v>1</v>
      </c>
      <c r="CE626" s="57" t="n">
        <f aca="false">ROUNDUP(CB626/BS626,0)</f>
        <v>0</v>
      </c>
      <c r="CF626" s="60" t="n">
        <f aca="false">IF(BT626=1,0,IFERROR(VLOOKUP(BR626,'Gebinde-Kategorie'!$A$5:$M$45,5,0)+0,0))</f>
        <v>8</v>
      </c>
      <c r="CG626" s="60" t="n">
        <f aca="false">IFERROR(IF(OR(BX626=1,BX626=2,BX626=3),N(INDEX(Parameter!$I$5:$I$7,BX626)),0),0)</f>
        <v>0</v>
      </c>
      <c r="CH626" s="59" t="n">
        <f aca="false">IF(AND(Parameter!$B$21="Ja",ISNUMBER(W626),N(X626)&gt;0),IFERROR(N(INDEX(Parameter!$L$5:$L$7,W626))*INDEX(Parameter!$E$5:$E$7,W626)*X626/SUMIFS($X$7:$X$1843,$W$7:$W$1843,W626),0),0)</f>
        <v>0</v>
      </c>
    </row>
    <row r="627" customFormat="false" ht="15" hidden="false" customHeight="false" outlineLevel="0" collapsed="false">
      <c r="A627" s="55" t="s">
        <v>1285</v>
      </c>
      <c r="B627" s="55" t="s">
        <v>1262</v>
      </c>
      <c r="C627" s="55" t="s">
        <v>164</v>
      </c>
      <c r="D627" s="55" t="s">
        <v>184</v>
      </c>
      <c r="E627" s="55" t="s">
        <v>185</v>
      </c>
      <c r="F627" s="55" t="s">
        <v>218</v>
      </c>
      <c r="G627" s="56" t="n">
        <v>0.05</v>
      </c>
      <c r="H627" s="57" t="n">
        <f aca="false">MAX(0,IF(AND(Parameter!$B$21="Ja",ISNUMBER(Y627)),Y627,IF(Parameter!$B$20="Jahresanfang 2025 + Export",BL627+BK627,BK627)))</f>
        <v>85</v>
      </c>
      <c r="I627" s="57" t="n">
        <f aca="false">H627*G627</f>
        <v>4.25</v>
      </c>
      <c r="J627" s="57" t="n">
        <f aca="false">BN627*Parameter!$B$18</f>
        <v>0</v>
      </c>
      <c r="K627" s="58" t="n">
        <v>67</v>
      </c>
      <c r="L627" s="59" t="n">
        <v>0</v>
      </c>
      <c r="M627" s="57" t="n">
        <v>0</v>
      </c>
      <c r="N627" s="57" t="n">
        <v>1</v>
      </c>
      <c r="O627" s="60" t="n">
        <v>14</v>
      </c>
      <c r="P627" s="55" t="s">
        <v>401</v>
      </c>
      <c r="Q627" s="57" t="n">
        <v>91</v>
      </c>
      <c r="R627" s="60" t="n">
        <f aca="false">IF(BT627=1,0,IFERROR(VLOOKUP(BR627,'Gebinde-Kategorie'!$A$5:$M$45,13,0)+0,0))</f>
        <v>414</v>
      </c>
      <c r="S627" s="61"/>
      <c r="T627" s="62"/>
      <c r="U627" s="62"/>
      <c r="V627" s="62"/>
      <c r="W627" s="55"/>
      <c r="X627" s="57"/>
      <c r="Y627" s="57"/>
      <c r="Z627" s="55" t="n">
        <f aca="false">IF(A627="","",IF(AND(Parameter!$B$21="Ja",ISNUMBER(W627)),W627,IF(BV627="2+3",IF(ISNUMBER(SEARCH("grosser Artikel",BO627)),2,IFERROR(VLOOKUP(BR627,Parameter!$F$35:$G$64,2,0),2)),IF(OR(BV627="Nein",BV627=""),"-",BV627))))</f>
        <v>3</v>
      </c>
      <c r="AA627" s="62"/>
      <c r="AB627" s="63"/>
      <c r="AC627" s="57" t="n">
        <f aca="false">AR627</f>
        <v>91</v>
      </c>
      <c r="AD627" s="57" t="n">
        <f aca="false">MAX(AR627,H627)</f>
        <v>91</v>
      </c>
      <c r="AE627" s="64"/>
      <c r="AF627" s="57" t="n">
        <f aca="false">IF(LEFT(Cockpit!$C$5,1)="A",H627,IF(CA627=1,CB627,IF(LEFT(Cockpit!$C$5,1)="B",AJ627,MAX(AJ627,H627))))</f>
        <v>85</v>
      </c>
      <c r="AG627" s="57" t="n">
        <f aca="false">IF(BT627=1,0,ROUNDUP(AF627/BS627,0))</f>
        <v>1</v>
      </c>
      <c r="AH627" s="59" t="n">
        <f aca="false">IF(CH627&gt;0,CH627*MAX(1,AF627/X627),IF(BT627=1,IF(AF627&lt;=0,0,BW627*MAX(1,IF(H627&gt;0,AF627/H627,1))),IF(R627&gt;0,AG627/R627,0))/MAX(0.1,N(Parameter!$M$21)))</f>
        <v>0.00241545893719807</v>
      </c>
      <c r="AI627" s="57" t="n">
        <f aca="false">AF627*G627</f>
        <v>4.25</v>
      </c>
      <c r="AJ627" s="57" t="n">
        <f aca="false">ROUNDUP(MAX(J627/IF(BZ627&gt;0,BZ627,MAX(0.1,N(Cockpit!$C$6))),CC627)/BS627,0)*BS627</f>
        <v>91</v>
      </c>
      <c r="AK627" s="58" t="n">
        <f aca="false">IF(AH627&gt;0,J627/AH627,-1)</f>
        <v>0</v>
      </c>
      <c r="AL627" s="58" t="n">
        <f aca="false">IF(AND(OR(BY627="L1",BY627="L23"),AH627&gt;0),SUMIFS($AH$7:$AH$1843,$BY$7:$BY$1843,BY627,$AK$7:$AK$1843,"&gt;"&amp;AK627)+SUMIFS($AH$7:$AH$1843,$BY$7:$BY$1843,BY627,$AK$7:$AK$1843,AK627,$BQ$7:$BQ$1843,"&lt;="&amp;BQ627),"")</f>
        <v>76.3503513394818</v>
      </c>
      <c r="AM627" s="65" t="n">
        <f aca="false">IF(AL627="",0,MAX(0,MIN(1,(IF(BY627="L1",Parameter!$E$5,Parameter!$E$6+Parameter!$E$7)-(AL627-AH627))/AH627)))</f>
        <v>1</v>
      </c>
      <c r="AN627" s="57" t="n">
        <f aca="false">IF(LEFT(Cockpit!$I$5,1)="A",H627,IF(CA627=1,CB627,IF(LEFT(Cockpit!$I$5,1)="B",AR627,MAX(AR627,H627))))</f>
        <v>91</v>
      </c>
      <c r="AO627" s="57" t="n">
        <f aca="false">IF(BT627=1,0,ROUNDUP(AN627/BS627,0))</f>
        <v>1</v>
      </c>
      <c r="AP627" s="59" t="n">
        <f aca="false">IF(CH627&gt;0,CH627*MAX(1,AN627/X627),IF(BT627=1,IF(AN627&lt;=0,0,BW627*MAX(1,IF(H627&gt;0,AN627/H627,1))),IF(R627&gt;0,AO627/R627,0))/MAX(0.1,N(Parameter!$M$21)))</f>
        <v>0.00241545893719807</v>
      </c>
      <c r="AQ627" s="57" t="n">
        <f aca="false">AN627*G627</f>
        <v>4.55</v>
      </c>
      <c r="AR627" s="57" t="n">
        <f aca="false">ROUNDUP(MAX(J627/IF(BZ627&gt;0,BZ627,MAX(0.1,N(Cockpit!$I$6))),CC627)/BS627,0)*BS627</f>
        <v>91</v>
      </c>
      <c r="AS627" s="58" t="n">
        <f aca="false">IF(AP627&gt;0,J627/AP627,-1)</f>
        <v>0</v>
      </c>
      <c r="AT627" s="58" t="n">
        <f aca="false">IF(AND(OR(BY627="L1",BY627="L23"),AP627&gt;0),SUMIFS($AP$7:$AP$1843,$BY$7:$BY$1843,BY627,$AS$7:$AS$1843,"&gt;"&amp;AS627)+SUMIFS($AP$7:$AP$1843,$BY$7:$BY$1843,BY627,$AS$7:$AS$1843,AS627,$BQ$7:$BQ$1843,"&lt;="&amp;BQ627),"")</f>
        <v>115.812937062937</v>
      </c>
      <c r="AU627" s="65" t="n">
        <f aca="false">IF(AT627="",0,MAX(0,MIN(1,(IF(BY627="L1",Parameter!$E$5,Parameter!$E$6+Parameter!$E$7)-(AT627-AP627))/AP627)))</f>
        <v>0</v>
      </c>
      <c r="AV627" s="57" t="n">
        <f aca="false">IF(LEFT(Cockpit!$O$5,1)="A",H627,IF(CA627=1,CB627,IF(LEFT(Cockpit!$O$5,1)="B",AZ627,MAX(AZ627,H627))))</f>
        <v>91</v>
      </c>
      <c r="AW627" s="57" t="n">
        <f aca="false">IF(BT627=1,0,ROUNDUP(AV627/BS627,0))</f>
        <v>1</v>
      </c>
      <c r="AX627" s="59" t="n">
        <f aca="false">IF(CH627&gt;0,CH627*MAX(1,AV627/X627),IF(BT627=1,IF(AV627&lt;=0,0,BW627*MAX(1,IF(H627&gt;0,AV627/H627,1))),IF(R627&gt;0,AW627/R627,0))/MAX(0.1,N(Parameter!$M$21)))</f>
        <v>0.00241545893719807</v>
      </c>
      <c r="AY627" s="57" t="n">
        <f aca="false">AV627*G627</f>
        <v>4.55</v>
      </c>
      <c r="AZ627" s="57" t="n">
        <f aca="false">ROUNDUP(MAX(J627/IF(BZ627&gt;0,BZ627,MAX(0.1,N(Cockpit!$O$6))),CC627)/BS627,0)*BS627</f>
        <v>91</v>
      </c>
      <c r="BA627" s="58" t="n">
        <f aca="false">IF(AX627&gt;0,J627/AX627,-1)</f>
        <v>0</v>
      </c>
      <c r="BB627" s="58" t="n">
        <f aca="false">IF(AND(OR(BY627="L1",BY627="L23"),AX627&gt;0),SUMIFS($AX$7:$AX$1843,$BY$7:$BY$1843,BY627,$BA$7:$BA$1843,"&gt;"&amp;BA627)+SUMIFS($AX$7:$AX$1843,$BY$7:$BY$1843,BY627,$BA$7:$BA$1843,BA627,$BQ$7:$BQ$1843,"&lt;="&amp;BQ627),"")</f>
        <v>106.642773892774</v>
      </c>
      <c r="BC627" s="65" t="n">
        <f aca="false">IF(BB627="",0,MAX(0,MIN(1,(IF(BY627="L1",Parameter!$E$5,Parameter!$E$6+Parameter!$E$7)-(BB627-AX627))/AX627)))</f>
        <v>0</v>
      </c>
      <c r="BD627" s="55" t="str">
        <f aca="false">IF(AH627&lt;=0,"",IF(BY627="Aussen","Aussenlager",IF(BY627="-","Nicht im Lift",IF(AM627&gt;=1,"Lift",IF(AM627&lt;=0,"Aussenlager","teilweise")))))</f>
        <v>Lift</v>
      </c>
      <c r="BE627" s="55" t="str">
        <f aca="false">IF(AP627&lt;=0,"",IF(BY627="Aussen","Aussenlager",IF(BY627="-","Nicht im Lift",IF(AU627&gt;=1,"Lift",IF(AU627&lt;=0,"Aussenlager","teilweise")))))</f>
        <v>Aussenlager</v>
      </c>
      <c r="BF627" s="55" t="str">
        <f aca="false">IF(AX627&lt;=0,"",IF(BY627="Aussen","Aussenlager",IF(BY627="-","Nicht im Lift",IF(BC627&gt;=1,"Lift",IF(BC627&lt;=0,"Aussenlager","teilweise")))))</f>
        <v>Aussenlager</v>
      </c>
      <c r="BG627" s="55" t="str">
        <f aca="false">IF(A627="","",IF(BP627=1,"Neu; ","")&amp;IF(AND(BP627=0,BK627&lt;0),"negativer Bestand (Export "&amp;BK627&amp;"); ","")&amp;IF(J627&lt;=0,"Kein Verbrauch; ","")&amp;IF(CH627&gt;0,"Lift "&amp;W627&amp;" lt. Liftbericht (Fach "&amp;X627&amp;" Stk); ",IF(BU627=1,"Gebinde geschätzt ("&amp;T627&amp;"); ",IF(BT627=1,"Lose – Tablare geschätzt; ","")))&amp;IF(H627&gt;AR627,"Überbestand "&amp;ROUND(H627-AR627,0)&amp;" Stk / CHF "&amp;ROUND((H627-AR627)*G627,0)&amp;"; ","")&amp;IF(AND(CA627=1,CB627&lt;CC627),"MAX &lt; MB+LG; ","")&amp;IF(AND(CG627&gt;0,CF627*10&gt;CG627),"zu hoch für Tablar; ","")&amp;IF(AND(BP627=0,OR(CA627=1,AA627&lt;&gt;"",U627&lt;&gt;"",V627&lt;&gt;"",AB627&lt;&gt;"")),"manuell übersteuert; ","")&amp;IF(AND(BT627=0,R627=0),"Gebinde unbekannt / Stellmass fehlt; ","")&amp;IF(AND(BT627=0,N(V627)&lt;=0,N(Q627)&lt;=0),"Menge pro Gebinde fehlt (Ist = 1 Gebinde); ","")&amp;BO627)</f>
        <v>Kein Verbrauch; </v>
      </c>
      <c r="BH627" s="55"/>
      <c r="BI627" s="55"/>
      <c r="BJ627" s="62"/>
      <c r="BK627" s="57" t="n">
        <v>36</v>
      </c>
      <c r="BL627" s="57" t="n">
        <v>49</v>
      </c>
      <c r="BM627" s="56" t="n">
        <v>1.8</v>
      </c>
      <c r="BN627" s="57" t="n">
        <v>0</v>
      </c>
      <c r="BO627" s="55"/>
      <c r="BP627" s="60" t="n">
        <v>0</v>
      </c>
      <c r="BQ627" s="60" t="n">
        <v>627</v>
      </c>
      <c r="BR627" s="55" t="str">
        <f aca="false">IF(U627&lt;&gt;"",UPPER(TRIM(U627)),IF(BU627=1,UPPER(VLOOKUP(T627,Parameter!$I$27:$K$29,2,0)),IF(P627="","LOSE",P627)))</f>
        <v>S21</v>
      </c>
      <c r="BS627" s="57" t="n">
        <f aca="false">IF(BR627="LOSE",1,IF(N(V627)&gt;0,V627,IF(BU627=1,MAX(1,N(VLOOKUP(T627,Parameter!$I$27:$K$29,3,0)),H627,N(N627)),IF(N(Q627)&gt;0,Q627,MAX(1,H627)))))</f>
        <v>91</v>
      </c>
      <c r="BT627" s="60" t="n">
        <f aca="false">IF(BR627="LOSE",1,0)</f>
        <v>0</v>
      </c>
      <c r="BU627" s="60" t="n">
        <f aca="false">IF(AND(U627="",OR(P627="",P627="LOSE"),T627&lt;&gt;"",N(S627)&lt;=0,ISNUMBER(MATCH(T627,Parameter!$I$27:$I$29,0))),1,0)</f>
        <v>0</v>
      </c>
      <c r="BV627" s="55" t="str">
        <f aca="false">IF(AND(Parameter!$B$19="Ja",E627&lt;&gt;"",ISNUMBER(MATCH(E627,Parameter!$I$35:$I$52,0))),VLOOKUP(E627,Parameter!$I$35:$J$52,2,0),IFERROR(VLOOKUP(D627,Parameter!$A$35:$C$64,2,0),"Nein"))</f>
        <v>2+3</v>
      </c>
      <c r="BW627" s="59" t="n">
        <f aca="false">IF(BT627=0,0,IF(N(S627)&gt;0,S627,IFERROR(VLOOKUP(D627,Parameter!$A$35:$C$64,3,0)+0,0)))</f>
        <v>0</v>
      </c>
      <c r="BX627" s="55" t="n">
        <f aca="false">IF(AA627&lt;&gt;"",AA627,Z627)</f>
        <v>3</v>
      </c>
      <c r="BY627" s="55" t="str">
        <f aca="false">IF(BX627=1,"L1",IF(OR(BX627=2,BX627=3),"L23",IF(BX627="Aussen","Aussen","-")))</f>
        <v>L23</v>
      </c>
      <c r="BZ627" s="66" t="n">
        <f aca="false">IF(N(AB627)&gt;0,AB627,0)</f>
        <v>0</v>
      </c>
      <c r="CA627" s="60" t="n">
        <f aca="false">IF(ISNUMBER(AE627),1,0)</f>
        <v>0</v>
      </c>
      <c r="CB627" s="57" t="n">
        <f aca="false">N(AE627)</f>
        <v>0</v>
      </c>
      <c r="CC627" s="57" t="n">
        <f aca="false">N(M627)+N(N627)</f>
        <v>1</v>
      </c>
      <c r="CD627" s="57" t="n">
        <f aca="false">ROUNDUP(H627/BS627,0)</f>
        <v>1</v>
      </c>
      <c r="CE627" s="57" t="n">
        <f aca="false">ROUNDUP(CB627/BS627,0)</f>
        <v>0</v>
      </c>
      <c r="CF627" s="60" t="n">
        <f aca="false">IF(BT627=1,0,IFERROR(VLOOKUP(BR627,'Gebinde-Kategorie'!$A$5:$M$45,5,0)+0,0))</f>
        <v>8</v>
      </c>
      <c r="CG627" s="60" t="n">
        <f aca="false">IFERROR(IF(OR(BX627=1,BX627=2,BX627=3),N(INDEX(Parameter!$I$5:$I$7,BX627)),0),0)</f>
        <v>0</v>
      </c>
      <c r="CH627" s="59" t="n">
        <f aca="false">IF(AND(Parameter!$B$21="Ja",ISNUMBER(W627),N(X627)&gt;0),IFERROR(N(INDEX(Parameter!$L$5:$L$7,W627))*INDEX(Parameter!$E$5:$E$7,W627)*X627/SUMIFS($X$7:$X$1843,$W$7:$W$1843,W627),0),0)</f>
        <v>0</v>
      </c>
    </row>
    <row r="628" customFormat="false" ht="15" hidden="false" customHeight="false" outlineLevel="0" collapsed="false">
      <c r="A628" s="55" t="s">
        <v>1286</v>
      </c>
      <c r="B628" s="55" t="s">
        <v>1136</v>
      </c>
      <c r="C628" s="55" t="s">
        <v>164</v>
      </c>
      <c r="D628" s="55" t="s">
        <v>184</v>
      </c>
      <c r="E628" s="55" t="s">
        <v>185</v>
      </c>
      <c r="F628" s="55" t="s">
        <v>218</v>
      </c>
      <c r="G628" s="56" t="n">
        <v>8.01</v>
      </c>
      <c r="H628" s="57" t="n">
        <f aca="false">MAX(0,IF(AND(Parameter!$B$21="Ja",ISNUMBER(Y628)),Y628,IF(Parameter!$B$20="Jahresanfang 2025 + Export",BL628+BK628,BK628)))</f>
        <v>4</v>
      </c>
      <c r="I628" s="57" t="n">
        <f aca="false">H628*G628</f>
        <v>32.04</v>
      </c>
      <c r="J628" s="57" t="n">
        <f aca="false">BN628*Parameter!$B$18</f>
        <v>2</v>
      </c>
      <c r="K628" s="58" t="n">
        <v>3.5</v>
      </c>
      <c r="L628" s="59" t="n">
        <v>0.571428571428571</v>
      </c>
      <c r="M628" s="57" t="n">
        <v>0</v>
      </c>
      <c r="N628" s="57" t="n">
        <v>1</v>
      </c>
      <c r="O628" s="60" t="n">
        <v>14</v>
      </c>
      <c r="P628" s="55" t="s">
        <v>328</v>
      </c>
      <c r="Q628" s="57" t="n">
        <v>1</v>
      </c>
      <c r="R628" s="60" t="n">
        <f aca="false">IF(BT628=1,0,IFERROR(VLOOKUP(BR628,'Gebinde-Kategorie'!$A$5:$M$45,13,0)+0,0))</f>
        <v>52</v>
      </c>
      <c r="S628" s="61"/>
      <c r="T628" s="62"/>
      <c r="U628" s="62"/>
      <c r="V628" s="62"/>
      <c r="W628" s="55"/>
      <c r="X628" s="57"/>
      <c r="Y628" s="57"/>
      <c r="Z628" s="55" t="n">
        <f aca="false">IF(A628="","",IF(AND(Parameter!$B$21="Ja",ISNUMBER(W628)),W628,IF(BV628="2+3",IF(ISNUMBER(SEARCH("grosser Artikel",BO628)),2,IFERROR(VLOOKUP(BR628,Parameter!$F$35:$G$64,2,0),2)),IF(OR(BV628="Nein",BV628=""),"-",BV628))))</f>
        <v>3</v>
      </c>
      <c r="AA628" s="62"/>
      <c r="AB628" s="63"/>
      <c r="AC628" s="57" t="n">
        <f aca="false">AR628</f>
        <v>1</v>
      </c>
      <c r="AD628" s="57" t="n">
        <f aca="false">MAX(AR628,H628)</f>
        <v>4</v>
      </c>
      <c r="AE628" s="64"/>
      <c r="AF628" s="57" t="n">
        <f aca="false">IF(LEFT(Cockpit!$C$5,1)="A",H628,IF(CA628=1,CB628,IF(LEFT(Cockpit!$C$5,1)="B",AJ628,MAX(AJ628,H628))))</f>
        <v>4</v>
      </c>
      <c r="AG628" s="57" t="n">
        <f aca="false">IF(BT628=1,0,ROUNDUP(AF628/BS628,0))</f>
        <v>4</v>
      </c>
      <c r="AH628" s="59" t="n">
        <f aca="false">IF(CH628&gt;0,CH628*MAX(1,AF628/X628),IF(BT628=1,IF(AF628&lt;=0,0,BW628*MAX(1,IF(H628&gt;0,AF628/H628,1))),IF(R628&gt;0,AG628/R628,0))/MAX(0.1,N(Parameter!$M$21)))</f>
        <v>0.0769230769230769</v>
      </c>
      <c r="AI628" s="57" t="n">
        <f aca="false">AF628*G628</f>
        <v>32.04</v>
      </c>
      <c r="AJ628" s="57" t="n">
        <f aca="false">ROUNDUP(MAX(J628/IF(BZ628&gt;0,BZ628,MAX(0.1,N(Cockpit!$C$6))),CC628)/BS628,0)*BS628</f>
        <v>1</v>
      </c>
      <c r="AK628" s="58" t="n">
        <f aca="false">IF(AH628&gt;0,J628/AH628,-1)</f>
        <v>26</v>
      </c>
      <c r="AL628" s="58" t="n">
        <f aca="false">IF(AND(OR(BY628="L1",BY628="L23"),AH628&gt;0),SUMIFS($AH$7:$AH$1843,$BY$7:$BY$1843,BY628,$AK$7:$AK$1843,"&gt;"&amp;AK628)+SUMIFS($AH$7:$AH$1843,$BY$7:$BY$1843,BY628,$AK$7:$AK$1843,AK628,$BQ$7:$BQ$1843,"&lt;="&amp;BQ628),"")</f>
        <v>48.4599760143238</v>
      </c>
      <c r="AM628" s="65" t="n">
        <f aca="false">IF(AL628="",0,MAX(0,MIN(1,(IF(BY628="L1",Parameter!$E$5,Parameter!$E$6+Parameter!$E$7)-(AL628-AH628))/AH628)))</f>
        <v>1</v>
      </c>
      <c r="AN628" s="57" t="n">
        <f aca="false">IF(LEFT(Cockpit!$I$5,1)="A",H628,IF(CA628=1,CB628,IF(LEFT(Cockpit!$I$5,1)="B",AR628,MAX(AR628,H628))))</f>
        <v>4</v>
      </c>
      <c r="AO628" s="57" t="n">
        <f aca="false">IF(BT628=1,0,ROUNDUP(AN628/BS628,0))</f>
        <v>4</v>
      </c>
      <c r="AP628" s="59" t="n">
        <f aca="false">IF(CH628&gt;0,CH628*MAX(1,AN628/X628),IF(BT628=1,IF(AN628&lt;=0,0,BW628*MAX(1,IF(H628&gt;0,AN628/H628,1))),IF(R628&gt;0,AO628/R628,0))/MAX(0.1,N(Parameter!$M$21)))</f>
        <v>0.0769230769230769</v>
      </c>
      <c r="AQ628" s="57" t="n">
        <f aca="false">AN628*G628</f>
        <v>32.04</v>
      </c>
      <c r="AR628" s="57" t="n">
        <f aca="false">ROUNDUP(MAX(J628/IF(BZ628&gt;0,BZ628,MAX(0.1,N(Cockpit!$I$6))),CC628)/BS628,0)*BS628</f>
        <v>1</v>
      </c>
      <c r="AS628" s="58" t="n">
        <f aca="false">IF(AP628&gt;0,J628/AP628,-1)</f>
        <v>26</v>
      </c>
      <c r="AT628" s="58" t="n">
        <f aca="false">IF(AND(OR(BY628="L1",BY628="L23"),AP628&gt;0),SUMIFS($AP$7:$AP$1843,$BY$7:$BY$1843,BY628,$AS$7:$AS$1843,"&gt;"&amp;AS628)+SUMIFS($AP$7:$AP$1843,$BY$7:$BY$1843,BY628,$AS$7:$AS$1843,AS628,$BQ$7:$BQ$1843,"&lt;="&amp;BQ628),"")</f>
        <v>73.5571771223945</v>
      </c>
      <c r="AU628" s="65" t="n">
        <f aca="false">IF(AT628="",0,MAX(0,MIN(1,(IF(BY628="L1",Parameter!$E$5,Parameter!$E$6+Parameter!$E$7)-(AT628-AP628))/AP628)))</f>
        <v>1</v>
      </c>
      <c r="AV628" s="57" t="n">
        <f aca="false">IF(LEFT(Cockpit!$O$5,1)="A",H628,IF(CA628=1,CB628,IF(LEFT(Cockpit!$O$5,1)="B",AZ628,MAX(AZ628,H628))))</f>
        <v>4</v>
      </c>
      <c r="AW628" s="57" t="n">
        <f aca="false">IF(BT628=1,0,ROUNDUP(AV628/BS628,0))</f>
        <v>4</v>
      </c>
      <c r="AX628" s="59" t="n">
        <f aca="false">IF(CH628&gt;0,CH628*MAX(1,AV628/X628),IF(BT628=1,IF(AV628&lt;=0,0,BW628*MAX(1,IF(H628&gt;0,AV628/H628,1))),IF(R628&gt;0,AW628/R628,0))/MAX(0.1,N(Parameter!$M$21)))</f>
        <v>0.0769230769230769</v>
      </c>
      <c r="AY628" s="57" t="n">
        <f aca="false">AV628*G628</f>
        <v>32.04</v>
      </c>
      <c r="AZ628" s="57" t="n">
        <f aca="false">ROUNDUP(MAX(J628/IF(BZ628&gt;0,BZ628,MAX(0.1,N(Cockpit!$O$6))),CC628)/BS628,0)*BS628</f>
        <v>1</v>
      </c>
      <c r="BA628" s="58" t="n">
        <f aca="false">IF(AX628&gt;0,J628/AX628,-1)</f>
        <v>26</v>
      </c>
      <c r="BB628" s="58" t="n">
        <f aca="false">IF(AND(OR(BY628="L1",BY628="L23"),AX628&gt;0),SUMIFS($AX$7:$AX$1843,$BY$7:$BY$1843,BY628,$BA$7:$BA$1843,"&gt;"&amp;BA628)+SUMIFS($AX$7:$AX$1843,$BY$7:$BY$1843,BY628,$BA$7:$BA$1843,BA628,$BQ$7:$BQ$1843,"&lt;="&amp;BQ628),"")</f>
        <v>69.053680618898</v>
      </c>
      <c r="BC628" s="65" t="n">
        <f aca="false">IF(BB628="",0,MAX(0,MIN(1,(IF(BY628="L1",Parameter!$E$5,Parameter!$E$6+Parameter!$E$7)-(BB628-AX628))/AX628)))</f>
        <v>1</v>
      </c>
      <c r="BD628" s="55" t="str">
        <f aca="false">IF(AH628&lt;=0,"",IF(BY628="Aussen","Aussenlager",IF(BY628="-","Nicht im Lift",IF(AM628&gt;=1,"Lift",IF(AM628&lt;=0,"Aussenlager","teilweise")))))</f>
        <v>Lift</v>
      </c>
      <c r="BE628" s="55" t="str">
        <f aca="false">IF(AP628&lt;=0,"",IF(BY628="Aussen","Aussenlager",IF(BY628="-","Nicht im Lift",IF(AU628&gt;=1,"Lift",IF(AU628&lt;=0,"Aussenlager","teilweise")))))</f>
        <v>Lift</v>
      </c>
      <c r="BF628" s="55" t="str">
        <f aca="false">IF(AX628&lt;=0,"",IF(BY628="Aussen","Aussenlager",IF(BY628="-","Nicht im Lift",IF(BC628&gt;=1,"Lift",IF(BC628&lt;=0,"Aussenlager","teilweise")))))</f>
        <v>Lift</v>
      </c>
      <c r="BG628" s="55" t="str">
        <f aca="false">IF(A628="","",IF(BP628=1,"Neu; ","")&amp;IF(AND(BP628=0,BK628&lt;0),"negativer Bestand (Export "&amp;BK628&amp;"); ","")&amp;IF(J628&lt;=0,"Kein Verbrauch; ","")&amp;IF(CH628&gt;0,"Lift "&amp;W628&amp;" lt. Liftbericht (Fach "&amp;X628&amp;" Stk); ",IF(BU628=1,"Gebinde geschätzt ("&amp;T628&amp;"); ",IF(BT628=1,"Lose – Tablare geschätzt; ","")))&amp;IF(H628&gt;AR628,"Überbestand "&amp;ROUND(H628-AR628,0)&amp;" Stk / CHF "&amp;ROUND((H628-AR628)*G628,0)&amp;"; ","")&amp;IF(AND(CA628=1,CB628&lt;CC628),"MAX &lt; MB+LG; ","")&amp;IF(AND(CG628&gt;0,CF628*10&gt;CG628),"zu hoch für Tablar; ","")&amp;IF(AND(BP628=0,OR(CA628=1,AA628&lt;&gt;"",U628&lt;&gt;"",V628&lt;&gt;"",AB628&lt;&gt;"")),"manuell übersteuert; ","")&amp;IF(AND(BT628=0,R628=0),"Gebinde unbekannt / Stellmass fehlt; ","")&amp;IF(AND(BT628=0,N(V628)&lt;=0,N(Q628)&lt;=0),"Menge pro Gebinde fehlt (Ist = 1 Gebinde); ","")&amp;BO628)</f>
        <v>Überbestand 3 Stk / CHF 24; </v>
      </c>
      <c r="BH628" s="55"/>
      <c r="BI628" s="55"/>
      <c r="BJ628" s="62"/>
      <c r="BK628" s="57" t="n">
        <v>1</v>
      </c>
      <c r="BL628" s="57" t="n">
        <v>3</v>
      </c>
      <c r="BM628" s="56" t="n">
        <v>1.8</v>
      </c>
      <c r="BN628" s="57" t="n">
        <v>2</v>
      </c>
      <c r="BO628" s="55"/>
      <c r="BP628" s="60" t="n">
        <v>0</v>
      </c>
      <c r="BQ628" s="60" t="n">
        <v>628</v>
      </c>
      <c r="BR628" s="55" t="str">
        <f aca="false">IF(U628&lt;&gt;"",UPPER(TRIM(U628)),IF(BU628=1,UPPER(VLOOKUP(T628,Parameter!$I$27:$K$29,2,0)),IF(P628="","LOSE",P628)))</f>
        <v>S41</v>
      </c>
      <c r="BS628" s="57" t="n">
        <f aca="false">IF(BR628="LOSE",1,IF(N(V628)&gt;0,V628,IF(BU628=1,MAX(1,N(VLOOKUP(T628,Parameter!$I$27:$K$29,3,0)),H628,N(N628)),IF(N(Q628)&gt;0,Q628,MAX(1,H628)))))</f>
        <v>1</v>
      </c>
      <c r="BT628" s="60" t="n">
        <f aca="false">IF(BR628="LOSE",1,0)</f>
        <v>0</v>
      </c>
      <c r="BU628" s="60" t="n">
        <f aca="false">IF(AND(U628="",OR(P628="",P628="LOSE"),T628&lt;&gt;"",N(S628)&lt;=0,ISNUMBER(MATCH(T628,Parameter!$I$27:$I$29,0))),1,0)</f>
        <v>0</v>
      </c>
      <c r="BV628" s="55" t="str">
        <f aca="false">IF(AND(Parameter!$B$19="Ja",E628&lt;&gt;"",ISNUMBER(MATCH(E628,Parameter!$I$35:$I$52,0))),VLOOKUP(E628,Parameter!$I$35:$J$52,2,0),IFERROR(VLOOKUP(D628,Parameter!$A$35:$C$64,2,0),"Nein"))</f>
        <v>2+3</v>
      </c>
      <c r="BW628" s="59" t="n">
        <f aca="false">IF(BT628=0,0,IF(N(S628)&gt;0,S628,IFERROR(VLOOKUP(D628,Parameter!$A$35:$C$64,3,0)+0,0)))</f>
        <v>0</v>
      </c>
      <c r="BX628" s="55" t="n">
        <f aca="false">IF(AA628&lt;&gt;"",AA628,Z628)</f>
        <v>3</v>
      </c>
      <c r="BY628" s="55" t="str">
        <f aca="false">IF(BX628=1,"L1",IF(OR(BX628=2,BX628=3),"L23",IF(BX628="Aussen","Aussen","-")))</f>
        <v>L23</v>
      </c>
      <c r="BZ628" s="66" t="n">
        <f aca="false">IF(N(AB628)&gt;0,AB628,0)</f>
        <v>0</v>
      </c>
      <c r="CA628" s="60" t="n">
        <f aca="false">IF(ISNUMBER(AE628),1,0)</f>
        <v>0</v>
      </c>
      <c r="CB628" s="57" t="n">
        <f aca="false">N(AE628)</f>
        <v>0</v>
      </c>
      <c r="CC628" s="57" t="n">
        <f aca="false">N(M628)+N(N628)</f>
        <v>1</v>
      </c>
      <c r="CD628" s="57" t="n">
        <f aca="false">ROUNDUP(H628/BS628,0)</f>
        <v>4</v>
      </c>
      <c r="CE628" s="57" t="n">
        <f aca="false">ROUNDUP(CB628/BS628,0)</f>
        <v>0</v>
      </c>
      <c r="CF628" s="60" t="n">
        <f aca="false">IF(BT628=1,0,IFERROR(VLOOKUP(BR628,'Gebinde-Kategorie'!$A$5:$M$45,5,0)+0,0))</f>
        <v>11</v>
      </c>
      <c r="CG628" s="60" t="n">
        <f aca="false">IFERROR(IF(OR(BX628=1,BX628=2,BX628=3),N(INDEX(Parameter!$I$5:$I$7,BX628)),0),0)</f>
        <v>0</v>
      </c>
      <c r="CH628" s="59" t="n">
        <f aca="false">IF(AND(Parameter!$B$21="Ja",ISNUMBER(W628),N(X628)&gt;0),IFERROR(N(INDEX(Parameter!$L$5:$L$7,W628))*INDEX(Parameter!$E$5:$E$7,W628)*X628/SUMIFS($X$7:$X$1843,$W$7:$W$1843,W628),0),0)</f>
        <v>0</v>
      </c>
    </row>
    <row r="629" customFormat="false" ht="15" hidden="false" customHeight="false" outlineLevel="0" collapsed="false">
      <c r="A629" s="55" t="s">
        <v>1287</v>
      </c>
      <c r="B629" s="55" t="s">
        <v>1288</v>
      </c>
      <c r="C629" s="55" t="s">
        <v>164</v>
      </c>
      <c r="D629" s="55" t="s">
        <v>184</v>
      </c>
      <c r="E629" s="55" t="s">
        <v>185</v>
      </c>
      <c r="F629" s="55" t="s">
        <v>218</v>
      </c>
      <c r="G629" s="56" t="n">
        <v>5.5</v>
      </c>
      <c r="H629" s="57" t="n">
        <f aca="false">MAX(0,IF(AND(Parameter!$B$21="Ja",ISNUMBER(Y629)),Y629,IF(Parameter!$B$20="Jahresanfang 2025 + Export",BL629+BK629,BK629)))</f>
        <v>3</v>
      </c>
      <c r="I629" s="57" t="n">
        <f aca="false">H629*G629</f>
        <v>16.5</v>
      </c>
      <c r="J629" s="57" t="n">
        <f aca="false">BN629*Parameter!$B$18</f>
        <v>6</v>
      </c>
      <c r="K629" s="58" t="n">
        <v>4.5</v>
      </c>
      <c r="L629" s="59" t="n">
        <v>1.33333333333333</v>
      </c>
      <c r="M629" s="57" t="n">
        <v>0</v>
      </c>
      <c r="N629" s="57" t="n">
        <v>5</v>
      </c>
      <c r="O629" s="60" t="n">
        <v>14</v>
      </c>
      <c r="P629" s="55" t="s">
        <v>421</v>
      </c>
      <c r="Q629" s="57" t="n">
        <v>5</v>
      </c>
      <c r="R629" s="60" t="n">
        <f aca="false">IF(BT629=1,0,IFERROR(VLOOKUP(BR629,'Gebinde-Kategorie'!$A$5:$M$45,13,0)+0,0))</f>
        <v>132</v>
      </c>
      <c r="S629" s="61"/>
      <c r="T629" s="62"/>
      <c r="U629" s="62"/>
      <c r="V629" s="62"/>
      <c r="W629" s="55"/>
      <c r="X629" s="57"/>
      <c r="Y629" s="57"/>
      <c r="Z629" s="55" t="n">
        <f aca="false">IF(A629="","",IF(AND(Parameter!$B$21="Ja",ISNUMBER(W629)),W629,IF(BV629="2+3",IF(ISNUMBER(SEARCH("grosser Artikel",BO629)),2,IFERROR(VLOOKUP(BR629,Parameter!$F$35:$G$64,2,0),2)),IF(OR(BV629="Nein",BV629=""),"-",BV629))))</f>
        <v>3</v>
      </c>
      <c r="AA629" s="62"/>
      <c r="AB629" s="63"/>
      <c r="AC629" s="57" t="n">
        <f aca="false">AR629</f>
        <v>5</v>
      </c>
      <c r="AD629" s="57" t="n">
        <f aca="false">MAX(AR629,H629)</f>
        <v>5</v>
      </c>
      <c r="AE629" s="64"/>
      <c r="AF629" s="57" t="n">
        <f aca="false">IF(LEFT(Cockpit!$C$5,1)="A",H629,IF(CA629=1,CB629,IF(LEFT(Cockpit!$C$5,1)="B",AJ629,MAX(AJ629,H629))))</f>
        <v>3</v>
      </c>
      <c r="AG629" s="57" t="n">
        <f aca="false">IF(BT629=1,0,ROUNDUP(AF629/BS629,0))</f>
        <v>1</v>
      </c>
      <c r="AH629" s="59" t="n">
        <f aca="false">IF(CH629&gt;0,CH629*MAX(1,AF629/X629),IF(BT629=1,IF(AF629&lt;=0,0,BW629*MAX(1,IF(H629&gt;0,AF629/H629,1))),IF(R629&gt;0,AG629/R629,0))/MAX(0.1,N(Parameter!$M$21)))</f>
        <v>0.00757575757575758</v>
      </c>
      <c r="AI629" s="57" t="n">
        <f aca="false">AF629*G629</f>
        <v>16.5</v>
      </c>
      <c r="AJ629" s="57" t="n">
        <f aca="false">ROUNDUP(MAX(J629/IF(BZ629&gt;0,BZ629,MAX(0.1,N(Cockpit!$C$6))),CC629)/BS629,0)*BS629</f>
        <v>5</v>
      </c>
      <c r="AK629" s="58" t="n">
        <f aca="false">IF(AH629&gt;0,J629/AH629,-1)</f>
        <v>792</v>
      </c>
      <c r="AL629" s="58" t="n">
        <f aca="false">IF(AND(OR(BY629="L1",BY629="L23"),AH629&gt;0),SUMIFS($AH$7:$AH$1843,$BY$7:$BY$1843,BY629,$AK$7:$AK$1843,"&gt;"&amp;AK629)+SUMIFS($AH$7:$AH$1843,$BY$7:$BY$1843,BY629,$AK$7:$AK$1843,AK629,$BQ$7:$BQ$1843,"&lt;="&amp;BQ629),"")</f>
        <v>20.8003108003108</v>
      </c>
      <c r="AM629" s="65" t="n">
        <f aca="false">IF(AL629="",0,MAX(0,MIN(1,(IF(BY629="L1",Parameter!$E$5,Parameter!$E$6+Parameter!$E$7)-(AL629-AH629))/AH629)))</f>
        <v>1</v>
      </c>
      <c r="AN629" s="57" t="n">
        <f aca="false">IF(LEFT(Cockpit!$I$5,1)="A",H629,IF(CA629=1,CB629,IF(LEFT(Cockpit!$I$5,1)="B",AR629,MAX(AR629,H629))))</f>
        <v>5</v>
      </c>
      <c r="AO629" s="57" t="n">
        <f aca="false">IF(BT629=1,0,ROUNDUP(AN629/BS629,0))</f>
        <v>1</v>
      </c>
      <c r="AP629" s="59" t="n">
        <f aca="false">IF(CH629&gt;0,CH629*MAX(1,AN629/X629),IF(BT629=1,IF(AN629&lt;=0,0,BW629*MAX(1,IF(H629&gt;0,AN629/H629,1))),IF(R629&gt;0,AO629/R629,0))/MAX(0.1,N(Parameter!$M$21)))</f>
        <v>0.00757575757575758</v>
      </c>
      <c r="AQ629" s="57" t="n">
        <f aca="false">AN629*G629</f>
        <v>27.5</v>
      </c>
      <c r="AR629" s="57" t="n">
        <f aca="false">ROUNDUP(MAX(J629/IF(BZ629&gt;0,BZ629,MAX(0.1,N(Cockpit!$I$6))),CC629)/BS629,0)*BS629</f>
        <v>5</v>
      </c>
      <c r="AS629" s="58" t="n">
        <f aca="false">IF(AP629&gt;0,J629/AP629,-1)</f>
        <v>792</v>
      </c>
      <c r="AT629" s="58" t="n">
        <f aca="false">IF(AND(OR(BY629="L1",BY629="L23"),AP629&gt;0),SUMIFS($AP$7:$AP$1843,$BY$7:$BY$1843,BY629,$AS$7:$AS$1843,"&gt;"&amp;AS629)+SUMIFS($AP$7:$AP$1843,$BY$7:$BY$1843,BY629,$AS$7:$AS$1843,AS629,$BQ$7:$BQ$1843,"&lt;="&amp;BQ629),"")</f>
        <v>26.5450575994054</v>
      </c>
      <c r="AU629" s="65" t="n">
        <f aca="false">IF(AT629="",0,MAX(0,MIN(1,(IF(BY629="L1",Parameter!$E$5,Parameter!$E$6+Parameter!$E$7)-(AT629-AP629))/AP629)))</f>
        <v>1</v>
      </c>
      <c r="AV629" s="57" t="n">
        <f aca="false">IF(LEFT(Cockpit!$O$5,1)="A",H629,IF(CA629=1,CB629,IF(LEFT(Cockpit!$O$5,1)="B",AZ629,MAX(AZ629,H629))))</f>
        <v>5</v>
      </c>
      <c r="AW629" s="57" t="n">
        <f aca="false">IF(BT629=1,0,ROUNDUP(AV629/BS629,0))</f>
        <v>1</v>
      </c>
      <c r="AX629" s="59" t="n">
        <f aca="false">IF(CH629&gt;0,CH629*MAX(1,AV629/X629),IF(BT629=1,IF(AV629&lt;=0,0,BW629*MAX(1,IF(H629&gt;0,AV629/H629,1))),IF(R629&gt;0,AW629/R629,0))/MAX(0.1,N(Parameter!$M$21)))</f>
        <v>0.00757575757575758</v>
      </c>
      <c r="AY629" s="57" t="n">
        <f aca="false">AV629*G629</f>
        <v>27.5</v>
      </c>
      <c r="AZ629" s="57" t="n">
        <f aca="false">ROUNDUP(MAX(J629/IF(BZ629&gt;0,BZ629,MAX(0.1,N(Cockpit!$O$6))),CC629)/BS629,0)*BS629</f>
        <v>5</v>
      </c>
      <c r="BA629" s="58" t="n">
        <f aca="false">IF(AX629&gt;0,J629/AX629,-1)</f>
        <v>792</v>
      </c>
      <c r="BB629" s="58" t="n">
        <f aca="false">IF(AND(OR(BY629="L1",BY629="L23"),AX629&gt;0),SUMIFS($AX$7:$AX$1843,$BY$7:$BY$1843,BY629,$BA$7:$BA$1843,"&gt;"&amp;BA629)+SUMIFS($AX$7:$AX$1843,$BY$7:$BY$1843,BY629,$BA$7:$BA$1843,BA629,$BQ$7:$BQ$1843,"&lt;="&amp;BQ629),"")</f>
        <v>25.9966893010371</v>
      </c>
      <c r="BC629" s="65" t="n">
        <f aca="false">IF(BB629="",0,MAX(0,MIN(1,(IF(BY629="L1",Parameter!$E$5,Parameter!$E$6+Parameter!$E$7)-(BB629-AX629))/AX629)))</f>
        <v>1</v>
      </c>
      <c r="BD629" s="55" t="str">
        <f aca="false">IF(AH629&lt;=0,"",IF(BY629="Aussen","Aussenlager",IF(BY629="-","Nicht im Lift",IF(AM629&gt;=1,"Lift",IF(AM629&lt;=0,"Aussenlager","teilweise")))))</f>
        <v>Lift</v>
      </c>
      <c r="BE629" s="55" t="str">
        <f aca="false">IF(AP629&lt;=0,"",IF(BY629="Aussen","Aussenlager",IF(BY629="-","Nicht im Lift",IF(AU629&gt;=1,"Lift",IF(AU629&lt;=0,"Aussenlager","teilweise")))))</f>
        <v>Lift</v>
      </c>
      <c r="BF629" s="55" t="str">
        <f aca="false">IF(AX629&lt;=0,"",IF(BY629="Aussen","Aussenlager",IF(BY629="-","Nicht im Lift",IF(BC629&gt;=1,"Lift",IF(BC629&lt;=0,"Aussenlager","teilweise")))))</f>
        <v>Lift</v>
      </c>
      <c r="BG629" s="55" t="str">
        <f aca="false">IF(A629="","",IF(BP629=1,"Neu; ","")&amp;IF(AND(BP629=0,BK629&lt;0),"negativer Bestand (Export "&amp;BK629&amp;"); ","")&amp;IF(J629&lt;=0,"Kein Verbrauch; ","")&amp;IF(CH629&gt;0,"Lift "&amp;W629&amp;" lt. Liftbericht (Fach "&amp;X629&amp;" Stk); ",IF(BU629=1,"Gebinde geschätzt ("&amp;T629&amp;"); ",IF(BT629=1,"Lose – Tablare geschätzt; ","")))&amp;IF(H629&gt;AR629,"Überbestand "&amp;ROUND(H629-AR629,0)&amp;" Stk / CHF "&amp;ROUND((H629-AR629)*G629,0)&amp;"; ","")&amp;IF(AND(CA629=1,CB629&lt;CC629),"MAX &lt; MB+LG; ","")&amp;IF(AND(CG629&gt;0,CF629*10&gt;CG629),"zu hoch für Tablar; ","")&amp;IF(AND(BP629=0,OR(CA629=1,AA629&lt;&gt;"",U629&lt;&gt;"",V629&lt;&gt;"",AB629&lt;&gt;"")),"manuell übersteuert; ","")&amp;IF(AND(BT629=0,R629=0),"Gebinde unbekannt / Stellmass fehlt; ","")&amp;IF(AND(BT629=0,N(V629)&lt;=0,N(Q629)&lt;=0),"Menge pro Gebinde fehlt (Ist = 1 Gebinde); ","")&amp;BO629)</f>
        <v/>
      </c>
      <c r="BH629" s="55"/>
      <c r="BI629" s="55"/>
      <c r="BJ629" s="62"/>
      <c r="BK629" s="57" t="n">
        <v>0</v>
      </c>
      <c r="BL629" s="57" t="n">
        <v>3</v>
      </c>
      <c r="BM629" s="56" t="n">
        <v>1.70999999999999</v>
      </c>
      <c r="BN629" s="57" t="n">
        <v>6</v>
      </c>
      <c r="BO629" s="55"/>
      <c r="BP629" s="60" t="n">
        <v>0</v>
      </c>
      <c r="BQ629" s="60" t="n">
        <v>629</v>
      </c>
      <c r="BR629" s="55" t="str">
        <f aca="false">IF(U629&lt;&gt;"",UPPER(TRIM(U629)),IF(BU629=1,UPPER(VLOOKUP(T629,Parameter!$I$27:$K$29,2,0)),IF(P629="","LOSE",P629)))</f>
        <v>S32</v>
      </c>
      <c r="BS629" s="57" t="n">
        <f aca="false">IF(BR629="LOSE",1,IF(N(V629)&gt;0,V629,IF(BU629=1,MAX(1,N(VLOOKUP(T629,Parameter!$I$27:$K$29,3,0)),H629,N(N629)),IF(N(Q629)&gt;0,Q629,MAX(1,H629)))))</f>
        <v>5</v>
      </c>
      <c r="BT629" s="60" t="n">
        <f aca="false">IF(BR629="LOSE",1,0)</f>
        <v>0</v>
      </c>
      <c r="BU629" s="60" t="n">
        <f aca="false">IF(AND(U629="",OR(P629="",P629="LOSE"),T629&lt;&gt;"",N(S629)&lt;=0,ISNUMBER(MATCH(T629,Parameter!$I$27:$I$29,0))),1,0)</f>
        <v>0</v>
      </c>
      <c r="BV629" s="55" t="str">
        <f aca="false">IF(AND(Parameter!$B$19="Ja",E629&lt;&gt;"",ISNUMBER(MATCH(E629,Parameter!$I$35:$I$52,0))),VLOOKUP(E629,Parameter!$I$35:$J$52,2,0),IFERROR(VLOOKUP(D629,Parameter!$A$35:$C$64,2,0),"Nein"))</f>
        <v>2+3</v>
      </c>
      <c r="BW629" s="59" t="n">
        <f aca="false">IF(BT629=0,0,IF(N(S629)&gt;0,S629,IFERROR(VLOOKUP(D629,Parameter!$A$35:$C$64,3,0)+0,0)))</f>
        <v>0</v>
      </c>
      <c r="BX629" s="55" t="n">
        <f aca="false">IF(AA629&lt;&gt;"",AA629,Z629)</f>
        <v>3</v>
      </c>
      <c r="BY629" s="55" t="str">
        <f aca="false">IF(BX629=1,"L1",IF(OR(BX629=2,BX629=3),"L23",IF(BX629="Aussen","Aussen","-")))</f>
        <v>L23</v>
      </c>
      <c r="BZ629" s="66" t="n">
        <f aca="false">IF(N(AB629)&gt;0,AB629,0)</f>
        <v>0</v>
      </c>
      <c r="CA629" s="60" t="n">
        <f aca="false">IF(ISNUMBER(AE629),1,0)</f>
        <v>0</v>
      </c>
      <c r="CB629" s="57" t="n">
        <f aca="false">N(AE629)</f>
        <v>0</v>
      </c>
      <c r="CC629" s="57" t="n">
        <f aca="false">N(M629)+N(N629)</f>
        <v>5</v>
      </c>
      <c r="CD629" s="57" t="n">
        <f aca="false">ROUNDUP(H629/BS629,0)</f>
        <v>1</v>
      </c>
      <c r="CE629" s="57" t="n">
        <f aca="false">ROUNDUP(CB629/BS629,0)</f>
        <v>0</v>
      </c>
      <c r="CF629" s="60" t="n">
        <f aca="false">IF(BT629=1,0,IFERROR(VLOOKUP(BR629,'Gebinde-Kategorie'!$A$5:$M$45,5,0)+0,0))</f>
        <v>8</v>
      </c>
      <c r="CG629" s="60" t="n">
        <f aca="false">IFERROR(IF(OR(BX629=1,BX629=2,BX629=3),N(INDEX(Parameter!$I$5:$I$7,BX629)),0),0)</f>
        <v>0</v>
      </c>
      <c r="CH629" s="59" t="n">
        <f aca="false">IF(AND(Parameter!$B$21="Ja",ISNUMBER(W629),N(X629)&gt;0),IFERROR(N(INDEX(Parameter!$L$5:$L$7,W629))*INDEX(Parameter!$E$5:$E$7,W629)*X629/SUMIFS($X$7:$X$1843,$W$7:$W$1843,W629),0),0)</f>
        <v>0</v>
      </c>
    </row>
    <row r="630" customFormat="false" ht="15" hidden="false" customHeight="false" outlineLevel="0" collapsed="false">
      <c r="A630" s="55" t="s">
        <v>1289</v>
      </c>
      <c r="B630" s="55" t="s">
        <v>1290</v>
      </c>
      <c r="C630" s="55" t="s">
        <v>164</v>
      </c>
      <c r="D630" s="55" t="s">
        <v>184</v>
      </c>
      <c r="E630" s="55" t="s">
        <v>185</v>
      </c>
      <c r="F630" s="55" t="s">
        <v>218</v>
      </c>
      <c r="G630" s="56" t="n">
        <v>0.34</v>
      </c>
      <c r="H630" s="57" t="n">
        <f aca="false">MAX(0,IF(AND(Parameter!$B$21="Ja",ISNUMBER(Y630)),Y630,IF(Parameter!$B$20="Jahresanfang 2025 + Export",BL630+BK630,BK630)))</f>
        <v>880</v>
      </c>
      <c r="I630" s="57" t="n">
        <f aca="false">H630*G630</f>
        <v>299.2</v>
      </c>
      <c r="J630" s="57" t="n">
        <f aca="false">BN630*Parameter!$B$18</f>
        <v>0</v>
      </c>
      <c r="K630" s="58" t="n">
        <v>877.5</v>
      </c>
      <c r="L630" s="59" t="n">
        <v>0</v>
      </c>
      <c r="M630" s="57" t="n">
        <v>0</v>
      </c>
      <c r="N630" s="57" t="n">
        <v>1</v>
      </c>
      <c r="O630" s="60" t="n">
        <v>21</v>
      </c>
      <c r="P630" s="55" t="s">
        <v>302</v>
      </c>
      <c r="Q630" s="57" t="n">
        <v>827</v>
      </c>
      <c r="R630" s="60" t="n">
        <f aca="false">IF(BT630=1,0,IFERROR(VLOOKUP(BR630,'Gebinde-Kategorie'!$A$5:$M$45,13,0)+0,0))</f>
        <v>26</v>
      </c>
      <c r="S630" s="61"/>
      <c r="T630" s="62"/>
      <c r="U630" s="62"/>
      <c r="V630" s="62"/>
      <c r="W630" s="55"/>
      <c r="X630" s="57"/>
      <c r="Y630" s="57"/>
      <c r="Z630" s="55" t="n">
        <f aca="false">IF(A630="","",IF(AND(Parameter!$B$21="Ja",ISNUMBER(W630)),W630,IF(BV630="2+3",IF(ISNUMBER(SEARCH("grosser Artikel",BO630)),2,IFERROR(VLOOKUP(BR630,Parameter!$F$35:$G$64,2,0),2)),IF(OR(BV630="Nein",BV630=""),"-",BV630))))</f>
        <v>3</v>
      </c>
      <c r="AA630" s="62"/>
      <c r="AB630" s="63"/>
      <c r="AC630" s="57" t="n">
        <f aca="false">AR630</f>
        <v>827</v>
      </c>
      <c r="AD630" s="57" t="n">
        <f aca="false">MAX(AR630,H630)</f>
        <v>880</v>
      </c>
      <c r="AE630" s="64"/>
      <c r="AF630" s="57" t="n">
        <f aca="false">IF(LEFT(Cockpit!$C$5,1)="A",H630,IF(CA630=1,CB630,IF(LEFT(Cockpit!$C$5,1)="B",AJ630,MAX(AJ630,H630))))</f>
        <v>880</v>
      </c>
      <c r="AG630" s="57" t="n">
        <f aca="false">IF(BT630=1,0,ROUNDUP(AF630/BS630,0))</f>
        <v>2</v>
      </c>
      <c r="AH630" s="59" t="n">
        <f aca="false">IF(CH630&gt;0,CH630*MAX(1,AF630/X630),IF(BT630=1,IF(AF630&lt;=0,0,BW630*MAX(1,IF(H630&gt;0,AF630/H630,1))),IF(R630&gt;0,AG630/R630,0))/MAX(0.1,N(Parameter!$M$21)))</f>
        <v>0.0769230769230769</v>
      </c>
      <c r="AI630" s="57" t="n">
        <f aca="false">AF630*G630</f>
        <v>299.2</v>
      </c>
      <c r="AJ630" s="57" t="n">
        <f aca="false">ROUNDUP(MAX(J630/IF(BZ630&gt;0,BZ630,MAX(0.1,N(Cockpit!$C$6))),CC630)/BS630,0)*BS630</f>
        <v>827</v>
      </c>
      <c r="AK630" s="58" t="n">
        <f aca="false">IF(AH630&gt;0,J630/AH630,-1)</f>
        <v>0</v>
      </c>
      <c r="AL630" s="58" t="n">
        <f aca="false">IF(AND(OR(BY630="L1",BY630="L23"),AH630&gt;0),SUMIFS($AH$7:$AH$1843,$BY$7:$BY$1843,BY630,$AK$7:$AK$1843,"&gt;"&amp;AK630)+SUMIFS($AH$7:$AH$1843,$BY$7:$BY$1843,BY630,$AK$7:$AK$1843,AK630,$BQ$7:$BQ$1843,"&lt;="&amp;BQ630),"")</f>
        <v>76.4272744164049</v>
      </c>
      <c r="AM630" s="65" t="n">
        <f aca="false">IF(AL630="",0,MAX(0,MIN(1,(IF(BY630="L1",Parameter!$E$5,Parameter!$E$6+Parameter!$E$7)-(AL630-AH630))/AH630)))</f>
        <v>1</v>
      </c>
      <c r="AN630" s="57" t="n">
        <f aca="false">IF(LEFT(Cockpit!$I$5,1)="A",H630,IF(CA630=1,CB630,IF(LEFT(Cockpit!$I$5,1)="B",AR630,MAX(AR630,H630))))</f>
        <v>880</v>
      </c>
      <c r="AO630" s="57" t="n">
        <f aca="false">IF(BT630=1,0,ROUNDUP(AN630/BS630,0))</f>
        <v>2</v>
      </c>
      <c r="AP630" s="59" t="n">
        <f aca="false">IF(CH630&gt;0,CH630*MAX(1,AN630/X630),IF(BT630=1,IF(AN630&lt;=0,0,BW630*MAX(1,IF(H630&gt;0,AN630/H630,1))),IF(R630&gt;0,AO630/R630,0))/MAX(0.1,N(Parameter!$M$21)))</f>
        <v>0.0769230769230769</v>
      </c>
      <c r="AQ630" s="57" t="n">
        <f aca="false">AN630*G630</f>
        <v>299.2</v>
      </c>
      <c r="AR630" s="57" t="n">
        <f aca="false">ROUNDUP(MAX(J630/IF(BZ630&gt;0,BZ630,MAX(0.1,N(Cockpit!$I$6))),CC630)/BS630,0)*BS630</f>
        <v>827</v>
      </c>
      <c r="AS630" s="58" t="n">
        <f aca="false">IF(AP630&gt;0,J630/AP630,-1)</f>
        <v>0</v>
      </c>
      <c r="AT630" s="58" t="n">
        <f aca="false">IF(AND(OR(BY630="L1",BY630="L23"),AP630&gt;0),SUMIFS($AP$7:$AP$1843,$BY$7:$BY$1843,BY630,$AS$7:$AS$1843,"&gt;"&amp;AS630)+SUMIFS($AP$7:$AP$1843,$BY$7:$BY$1843,BY630,$AS$7:$AS$1843,AS630,$BQ$7:$BQ$1843,"&lt;="&amp;BQ630),"")</f>
        <v>115.88986013986</v>
      </c>
      <c r="AU630" s="65" t="n">
        <f aca="false">IF(AT630="",0,MAX(0,MIN(1,(IF(BY630="L1",Parameter!$E$5,Parameter!$E$6+Parameter!$E$7)-(AT630-AP630))/AP630)))</f>
        <v>0</v>
      </c>
      <c r="AV630" s="57" t="n">
        <f aca="false">IF(LEFT(Cockpit!$O$5,1)="A",H630,IF(CA630=1,CB630,IF(LEFT(Cockpit!$O$5,1)="B",AZ630,MAX(AZ630,H630))))</f>
        <v>880</v>
      </c>
      <c r="AW630" s="57" t="n">
        <f aca="false">IF(BT630=1,0,ROUNDUP(AV630/BS630,0))</f>
        <v>2</v>
      </c>
      <c r="AX630" s="59" t="n">
        <f aca="false">IF(CH630&gt;0,CH630*MAX(1,AV630/X630),IF(BT630=1,IF(AV630&lt;=0,0,BW630*MAX(1,IF(H630&gt;0,AV630/H630,1))),IF(R630&gt;0,AW630/R630,0))/MAX(0.1,N(Parameter!$M$21)))</f>
        <v>0.0769230769230769</v>
      </c>
      <c r="AY630" s="57" t="n">
        <f aca="false">AV630*G630</f>
        <v>299.2</v>
      </c>
      <c r="AZ630" s="57" t="n">
        <f aca="false">ROUNDUP(MAX(J630/IF(BZ630&gt;0,BZ630,MAX(0.1,N(Cockpit!$O$6))),CC630)/BS630,0)*BS630</f>
        <v>827</v>
      </c>
      <c r="BA630" s="58" t="n">
        <f aca="false">IF(AX630&gt;0,J630/AX630,-1)</f>
        <v>0</v>
      </c>
      <c r="BB630" s="58" t="n">
        <f aca="false">IF(AND(OR(BY630="L1",BY630="L23"),AX630&gt;0),SUMIFS($AX$7:$AX$1843,$BY$7:$BY$1843,BY630,$BA$7:$BA$1843,"&gt;"&amp;BA630)+SUMIFS($AX$7:$AX$1843,$BY$7:$BY$1843,BY630,$BA$7:$BA$1843,BA630,$BQ$7:$BQ$1843,"&lt;="&amp;BQ630),"")</f>
        <v>106.719696969697</v>
      </c>
      <c r="BC630" s="65" t="n">
        <f aca="false">IF(BB630="",0,MAX(0,MIN(1,(IF(BY630="L1",Parameter!$E$5,Parameter!$E$6+Parameter!$E$7)-(BB630-AX630))/AX630)))</f>
        <v>0</v>
      </c>
      <c r="BD630" s="55" t="str">
        <f aca="false">IF(AH630&lt;=0,"",IF(BY630="Aussen","Aussenlager",IF(BY630="-","Nicht im Lift",IF(AM630&gt;=1,"Lift",IF(AM630&lt;=0,"Aussenlager","teilweise")))))</f>
        <v>Lift</v>
      </c>
      <c r="BE630" s="55" t="str">
        <f aca="false">IF(AP630&lt;=0,"",IF(BY630="Aussen","Aussenlager",IF(BY630="-","Nicht im Lift",IF(AU630&gt;=1,"Lift",IF(AU630&lt;=0,"Aussenlager","teilweise")))))</f>
        <v>Aussenlager</v>
      </c>
      <c r="BF630" s="55" t="str">
        <f aca="false">IF(AX630&lt;=0,"",IF(BY630="Aussen","Aussenlager",IF(BY630="-","Nicht im Lift",IF(BC630&gt;=1,"Lift",IF(BC630&lt;=0,"Aussenlager","teilweise")))))</f>
        <v>Aussenlager</v>
      </c>
      <c r="BG630" s="55" t="str">
        <f aca="false">IF(A630="","",IF(BP630=1,"Neu; ","")&amp;IF(AND(BP630=0,BK630&lt;0),"negativer Bestand (Export "&amp;BK630&amp;"); ","")&amp;IF(J630&lt;=0,"Kein Verbrauch; ","")&amp;IF(CH630&gt;0,"Lift "&amp;W630&amp;" lt. Liftbericht (Fach "&amp;X630&amp;" Stk); ",IF(BU630=1,"Gebinde geschätzt ("&amp;T630&amp;"); ",IF(BT630=1,"Lose – Tablare geschätzt; ","")))&amp;IF(H630&gt;AR630,"Überbestand "&amp;ROUND(H630-AR630,0)&amp;" Stk / CHF "&amp;ROUND((H630-AR630)*G630,0)&amp;"; ","")&amp;IF(AND(CA630=1,CB630&lt;CC630),"MAX &lt; MB+LG; ","")&amp;IF(AND(CG630&gt;0,CF630*10&gt;CG630),"zu hoch für Tablar; ","")&amp;IF(AND(BP630=0,OR(CA630=1,AA630&lt;&gt;"",U630&lt;&gt;"",V630&lt;&gt;"",AB630&lt;&gt;"")),"manuell übersteuert; ","")&amp;IF(AND(BT630=0,R630=0),"Gebinde unbekannt / Stellmass fehlt; ","")&amp;IF(AND(BT630=0,N(V630)&lt;=0,N(Q630)&lt;=0),"Menge pro Gebinde fehlt (Ist = 1 Gebinde); ","")&amp;BO630)</f>
        <v>Kein Verbrauch; Überbestand 53 Stk / CHF 18; Handlager</v>
      </c>
      <c r="BH630" s="55"/>
      <c r="BI630" s="55"/>
      <c r="BJ630" s="62"/>
      <c r="BK630" s="57" t="n">
        <v>5</v>
      </c>
      <c r="BL630" s="57" t="n">
        <v>875</v>
      </c>
      <c r="BM630" s="56" t="n">
        <v>1.7</v>
      </c>
      <c r="BN630" s="57" t="n">
        <v>0</v>
      </c>
      <c r="BO630" s="55" t="s">
        <v>895</v>
      </c>
      <c r="BP630" s="60" t="n">
        <v>0</v>
      </c>
      <c r="BQ630" s="60" t="n">
        <v>630</v>
      </c>
      <c r="BR630" s="55" t="str">
        <f aca="false">IF(U630&lt;&gt;"",UPPER(TRIM(U630)),IF(BU630=1,UPPER(VLOOKUP(T630,Parameter!$I$27:$K$29,2,0)),IF(P630="","LOSE",P630)))</f>
        <v>S51</v>
      </c>
      <c r="BS630" s="57" t="n">
        <f aca="false">IF(BR630="LOSE",1,IF(N(V630)&gt;0,V630,IF(BU630=1,MAX(1,N(VLOOKUP(T630,Parameter!$I$27:$K$29,3,0)),H630,N(N630)),IF(N(Q630)&gt;0,Q630,MAX(1,H630)))))</f>
        <v>827</v>
      </c>
      <c r="BT630" s="60" t="n">
        <f aca="false">IF(BR630="LOSE",1,0)</f>
        <v>0</v>
      </c>
      <c r="BU630" s="60" t="n">
        <f aca="false">IF(AND(U630="",OR(P630="",P630="LOSE"),T630&lt;&gt;"",N(S630)&lt;=0,ISNUMBER(MATCH(T630,Parameter!$I$27:$I$29,0))),1,0)</f>
        <v>0</v>
      </c>
      <c r="BV630" s="55" t="str">
        <f aca="false">IF(AND(Parameter!$B$19="Ja",E630&lt;&gt;"",ISNUMBER(MATCH(E630,Parameter!$I$35:$I$52,0))),VLOOKUP(E630,Parameter!$I$35:$J$52,2,0),IFERROR(VLOOKUP(D630,Parameter!$A$35:$C$64,2,0),"Nein"))</f>
        <v>2+3</v>
      </c>
      <c r="BW630" s="59" t="n">
        <f aca="false">IF(BT630=0,0,IF(N(S630)&gt;0,S630,IFERROR(VLOOKUP(D630,Parameter!$A$35:$C$64,3,0)+0,0)))</f>
        <v>0</v>
      </c>
      <c r="BX630" s="55" t="n">
        <f aca="false">IF(AA630&lt;&gt;"",AA630,Z630)</f>
        <v>3</v>
      </c>
      <c r="BY630" s="55" t="str">
        <f aca="false">IF(BX630=1,"L1",IF(OR(BX630=2,BX630=3),"L23",IF(BX630="Aussen","Aussen","-")))</f>
        <v>L23</v>
      </c>
      <c r="BZ630" s="66" t="n">
        <f aca="false">IF(N(AB630)&gt;0,AB630,0)</f>
        <v>0</v>
      </c>
      <c r="CA630" s="60" t="n">
        <f aca="false">IF(ISNUMBER(AE630),1,0)</f>
        <v>0</v>
      </c>
      <c r="CB630" s="57" t="n">
        <f aca="false">N(AE630)</f>
        <v>0</v>
      </c>
      <c r="CC630" s="57" t="n">
        <f aca="false">N(M630)+N(N630)</f>
        <v>1</v>
      </c>
      <c r="CD630" s="57" t="n">
        <f aca="false">ROUNDUP(H630/BS630,0)</f>
        <v>2</v>
      </c>
      <c r="CE630" s="57" t="n">
        <f aca="false">ROUNDUP(CB630/BS630,0)</f>
        <v>0</v>
      </c>
      <c r="CF630" s="60" t="n">
        <f aca="false">IF(BT630=1,0,IFERROR(VLOOKUP(BR630,'Gebinde-Kategorie'!$A$5:$M$45,5,0)+0,0))</f>
        <v>11</v>
      </c>
      <c r="CG630" s="60" t="n">
        <f aca="false">IFERROR(IF(OR(BX630=1,BX630=2,BX630=3),N(INDEX(Parameter!$I$5:$I$7,BX630)),0),0)</f>
        <v>0</v>
      </c>
      <c r="CH630" s="59" t="n">
        <f aca="false">IF(AND(Parameter!$B$21="Ja",ISNUMBER(W630),N(X630)&gt;0),IFERROR(N(INDEX(Parameter!$L$5:$L$7,W630))*INDEX(Parameter!$E$5:$E$7,W630)*X630/SUMIFS($X$7:$X$1843,$W$7:$W$1843,W630),0),0)</f>
        <v>0</v>
      </c>
    </row>
    <row r="631" customFormat="false" ht="15" hidden="false" customHeight="false" outlineLevel="0" collapsed="false">
      <c r="A631" s="55" t="s">
        <v>1291</v>
      </c>
      <c r="B631" s="55" t="s">
        <v>403</v>
      </c>
      <c r="C631" s="55" t="s">
        <v>164</v>
      </c>
      <c r="D631" s="55" t="s">
        <v>995</v>
      </c>
      <c r="E631" s="55"/>
      <c r="F631" s="55" t="s">
        <v>218</v>
      </c>
      <c r="G631" s="56" t="n">
        <v>0.41</v>
      </c>
      <c r="H631" s="57" t="n">
        <f aca="false">MAX(0,IF(AND(Parameter!$B$21="Ja",ISNUMBER(Y631)),Y631,IF(Parameter!$B$20="Jahresanfang 2025 + Export",BL631+BK631,BK631)))</f>
        <v>4</v>
      </c>
      <c r="I631" s="57" t="n">
        <f aca="false">H631*G631</f>
        <v>1.64</v>
      </c>
      <c r="J631" s="57" t="n">
        <f aca="false">BN631*Parameter!$B$18</f>
        <v>96</v>
      </c>
      <c r="K631" s="58" t="n">
        <v>2</v>
      </c>
      <c r="L631" s="59" t="n">
        <v>48</v>
      </c>
      <c r="M631" s="57" t="n">
        <v>0</v>
      </c>
      <c r="N631" s="57" t="n">
        <v>100</v>
      </c>
      <c r="O631" s="60" t="n">
        <v>21</v>
      </c>
      <c r="P631" s="55" t="s">
        <v>168</v>
      </c>
      <c r="Q631" s="57"/>
      <c r="R631" s="60" t="n">
        <f aca="false">IF(BT631=1,0,IFERROR(VLOOKUP(BR631,'Gebinde-Kategorie'!$A$5:$M$45,13,0)+0,0))</f>
        <v>0</v>
      </c>
      <c r="S631" s="61"/>
      <c r="T631" s="62"/>
      <c r="U631" s="62"/>
      <c r="V631" s="62"/>
      <c r="W631" s="55"/>
      <c r="X631" s="57"/>
      <c r="Y631" s="57"/>
      <c r="Z631" s="55" t="str">
        <f aca="false">IF(A631="","",IF(AND(Parameter!$B$21="Ja",ISNUMBER(W631)),W631,IF(BV631="2+3",IF(ISNUMBER(SEARCH("grosser Artikel",BO631)),2,IFERROR(VLOOKUP(BR631,Parameter!$F$35:$G$64,2,0),2)),IF(OR(BV631="Nein",BV631=""),"-",BV631))))</f>
        <v>-</v>
      </c>
      <c r="AA631" s="62"/>
      <c r="AB631" s="63"/>
      <c r="AC631" s="57" t="n">
        <f aca="false">AR631</f>
        <v>100</v>
      </c>
      <c r="AD631" s="57" t="n">
        <f aca="false">MAX(AR631,H631)</f>
        <v>100</v>
      </c>
      <c r="AE631" s="64"/>
      <c r="AF631" s="57" t="n">
        <f aca="false">IF(LEFT(Cockpit!$C$5,1)="A",H631,IF(CA631=1,CB631,IF(LEFT(Cockpit!$C$5,1)="B",AJ631,MAX(AJ631,H631))))</f>
        <v>4</v>
      </c>
      <c r="AG631" s="57" t="n">
        <f aca="false">IF(BT631=1,0,ROUNDUP(AF631/BS631,0))</f>
        <v>0</v>
      </c>
      <c r="AH631" s="59" t="n">
        <f aca="false">IF(CH631&gt;0,CH631*MAX(1,AF631/X631),IF(BT631=1,IF(AF631&lt;=0,0,BW631*MAX(1,IF(H631&gt;0,AF631/H631,1))),IF(R631&gt;0,AG631/R631,0))/MAX(0.1,N(Parameter!$M$21)))</f>
        <v>0.15</v>
      </c>
      <c r="AI631" s="57" t="n">
        <f aca="false">AF631*G631</f>
        <v>1.64</v>
      </c>
      <c r="AJ631" s="57" t="n">
        <f aca="false">ROUNDUP(MAX(J631/IF(BZ631&gt;0,BZ631,MAX(0.1,N(Cockpit!$C$6))),CC631)/BS631,0)*BS631</f>
        <v>100</v>
      </c>
      <c r="AK631" s="58" t="n">
        <f aca="false">IF(AH631&gt;0,J631/AH631,-1)</f>
        <v>640</v>
      </c>
      <c r="AL631" s="58" t="str">
        <f aca="false">IF(AND(OR(BY631="L1",BY631="L23"),AH631&gt;0),SUMIFS($AH$7:$AH$1843,$BY$7:$BY$1843,BY631,$AK$7:$AK$1843,"&gt;"&amp;AK631)+SUMIFS($AH$7:$AH$1843,$BY$7:$BY$1843,BY631,$AK$7:$AK$1843,AK631,$BQ$7:$BQ$1843,"&lt;="&amp;BQ631),"")</f>
        <v/>
      </c>
      <c r="AM631" s="65" t="n">
        <f aca="false">IF(AL631="",0,MAX(0,MIN(1,(IF(BY631="L1",Parameter!$E$5,Parameter!$E$6+Parameter!$E$7)-(AL631-AH631))/AH631)))</f>
        <v>0</v>
      </c>
      <c r="AN631" s="57" t="n">
        <f aca="false">IF(LEFT(Cockpit!$I$5,1)="A",H631,IF(CA631=1,CB631,IF(LEFT(Cockpit!$I$5,1)="B",AR631,MAX(AR631,H631))))</f>
        <v>100</v>
      </c>
      <c r="AO631" s="57" t="n">
        <f aca="false">IF(BT631=1,0,ROUNDUP(AN631/BS631,0))</f>
        <v>0</v>
      </c>
      <c r="AP631" s="59" t="n">
        <f aca="false">IF(CH631&gt;0,CH631*MAX(1,AN631/X631),IF(BT631=1,IF(AN631&lt;=0,0,BW631*MAX(1,IF(H631&gt;0,AN631/H631,1))),IF(R631&gt;0,AO631/R631,0))/MAX(0.1,N(Parameter!$M$21)))</f>
        <v>3.75</v>
      </c>
      <c r="AQ631" s="57" t="n">
        <f aca="false">AN631*G631</f>
        <v>41</v>
      </c>
      <c r="AR631" s="57" t="n">
        <f aca="false">ROUNDUP(MAX(J631/IF(BZ631&gt;0,BZ631,MAX(0.1,N(Cockpit!$I$6))),CC631)/BS631,0)*BS631</f>
        <v>100</v>
      </c>
      <c r="AS631" s="58" t="n">
        <f aca="false">IF(AP631&gt;0,J631/AP631,-1)</f>
        <v>25.6</v>
      </c>
      <c r="AT631" s="58" t="str">
        <f aca="false">IF(AND(OR(BY631="L1",BY631="L23"),AP631&gt;0),SUMIFS($AP$7:$AP$1843,$BY$7:$BY$1843,BY631,$AS$7:$AS$1843,"&gt;"&amp;AS631)+SUMIFS($AP$7:$AP$1843,$BY$7:$BY$1843,BY631,$AS$7:$AS$1843,AS631,$BQ$7:$BQ$1843,"&lt;="&amp;BQ631),"")</f>
        <v/>
      </c>
      <c r="AU631" s="65" t="n">
        <f aca="false">IF(AT631="",0,MAX(0,MIN(1,(IF(BY631="L1",Parameter!$E$5,Parameter!$E$6+Parameter!$E$7)-(AT631-AP631))/AP631)))</f>
        <v>0</v>
      </c>
      <c r="AV631" s="57" t="n">
        <f aca="false">IF(LEFT(Cockpit!$O$5,1)="A",H631,IF(CA631=1,CB631,IF(LEFT(Cockpit!$O$5,1)="B",AZ631,MAX(AZ631,H631))))</f>
        <v>100</v>
      </c>
      <c r="AW631" s="57" t="n">
        <f aca="false">IF(BT631=1,0,ROUNDUP(AV631/BS631,0))</f>
        <v>0</v>
      </c>
      <c r="AX631" s="59" t="n">
        <f aca="false">IF(CH631&gt;0,CH631*MAX(1,AV631/X631),IF(BT631=1,IF(AV631&lt;=0,0,BW631*MAX(1,IF(H631&gt;0,AV631/H631,1))),IF(R631&gt;0,AW631/R631,0))/MAX(0.1,N(Parameter!$M$21)))</f>
        <v>3.75</v>
      </c>
      <c r="AY631" s="57" t="n">
        <f aca="false">AV631*G631</f>
        <v>41</v>
      </c>
      <c r="AZ631" s="57" t="n">
        <f aca="false">ROUNDUP(MAX(J631/IF(BZ631&gt;0,BZ631,MAX(0.1,N(Cockpit!$O$6))),CC631)/BS631,0)*BS631</f>
        <v>100</v>
      </c>
      <c r="BA631" s="58" t="n">
        <f aca="false">IF(AX631&gt;0,J631/AX631,-1)</f>
        <v>25.6</v>
      </c>
      <c r="BB631" s="58" t="str">
        <f aca="false">IF(AND(OR(BY631="L1",BY631="L23"),AX631&gt;0),SUMIFS($AX$7:$AX$1843,$BY$7:$BY$1843,BY631,$BA$7:$BA$1843,"&gt;"&amp;BA631)+SUMIFS($AX$7:$AX$1843,$BY$7:$BY$1843,BY631,$BA$7:$BA$1843,BA631,$BQ$7:$BQ$1843,"&lt;="&amp;BQ631),"")</f>
        <v/>
      </c>
      <c r="BC631" s="65" t="n">
        <f aca="false">IF(BB631="",0,MAX(0,MIN(1,(IF(BY631="L1",Parameter!$E$5,Parameter!$E$6+Parameter!$E$7)-(BB631-AX631))/AX631)))</f>
        <v>0</v>
      </c>
      <c r="BD631" s="55" t="str">
        <f aca="false">IF(AH631&lt;=0,"",IF(BY631="Aussen","Aussenlager",IF(BY631="-","Nicht im Lift",IF(AM631&gt;=1,"Lift",IF(AM631&lt;=0,"Aussenlager","teilweise")))))</f>
        <v>Nicht im Lift</v>
      </c>
      <c r="BE631" s="55" t="str">
        <f aca="false">IF(AP631&lt;=0,"",IF(BY631="Aussen","Aussenlager",IF(BY631="-","Nicht im Lift",IF(AU631&gt;=1,"Lift",IF(AU631&lt;=0,"Aussenlager","teilweise")))))</f>
        <v>Nicht im Lift</v>
      </c>
      <c r="BF631" s="55" t="str">
        <f aca="false">IF(AX631&lt;=0,"",IF(BY631="Aussen","Aussenlager",IF(BY631="-","Nicht im Lift",IF(BC631&gt;=1,"Lift",IF(BC631&lt;=0,"Aussenlager","teilweise")))))</f>
        <v>Nicht im Lift</v>
      </c>
      <c r="BG631" s="55" t="str">
        <f aca="false">IF(A631="","",IF(BP631=1,"Neu; ","")&amp;IF(AND(BP631=0,BK631&lt;0),"negativer Bestand (Export "&amp;BK631&amp;"); ","")&amp;IF(J631&lt;=0,"Kein Verbrauch; ","")&amp;IF(CH631&gt;0,"Lift "&amp;W631&amp;" lt. Liftbericht (Fach "&amp;X631&amp;" Stk); ",IF(BU631=1,"Gebinde geschätzt ("&amp;T631&amp;"); ",IF(BT631=1,"Lose – Tablare geschätzt; ","")))&amp;IF(H631&gt;AR631,"Überbestand "&amp;ROUND(H631-AR631,0)&amp;" Stk / CHF "&amp;ROUND((H631-AR631)*G631,0)&amp;"; ","")&amp;IF(AND(CA631=1,CB631&lt;CC631),"MAX &lt; MB+LG; ","")&amp;IF(AND(CG631&gt;0,CF631*10&gt;CG631),"zu hoch für Tablar; ","")&amp;IF(AND(BP631=0,OR(CA631=1,AA631&lt;&gt;"",U631&lt;&gt;"",V631&lt;&gt;"",AB631&lt;&gt;"")),"manuell übersteuert; ","")&amp;IF(AND(BT631=0,R631=0),"Gebinde unbekannt / Stellmass fehlt; ","")&amp;IF(AND(BT631=0,N(V631)&lt;=0,N(Q631)&lt;=0),"Menge pro Gebinde fehlt (Ist = 1 Gebinde); ","")&amp;BO631)</f>
        <v>Lose – Tablare geschätzt; </v>
      </c>
      <c r="BH631" s="55"/>
      <c r="BI631" s="55"/>
      <c r="BJ631" s="62"/>
      <c r="BK631" s="57" t="n">
        <v>4</v>
      </c>
      <c r="BL631" s="57" t="n">
        <v>0</v>
      </c>
      <c r="BM631" s="56" t="n">
        <v>1.64</v>
      </c>
      <c r="BN631" s="57" t="n">
        <v>96</v>
      </c>
      <c r="BO631" s="55"/>
      <c r="BP631" s="60" t="n">
        <v>0</v>
      </c>
      <c r="BQ631" s="60" t="n">
        <v>631</v>
      </c>
      <c r="BR631" s="55" t="str">
        <f aca="false">IF(U631&lt;&gt;"",UPPER(TRIM(U631)),IF(BU631=1,UPPER(VLOOKUP(T631,Parameter!$I$27:$K$29,2,0)),IF(P631="","LOSE",P631)))</f>
        <v>LOSE</v>
      </c>
      <c r="BS631" s="57" t="n">
        <f aca="false">IF(BR631="LOSE",1,IF(N(V631)&gt;0,V631,IF(BU631=1,MAX(1,N(VLOOKUP(T631,Parameter!$I$27:$K$29,3,0)),H631,N(N631)),IF(N(Q631)&gt;0,Q631,MAX(1,H631)))))</f>
        <v>1</v>
      </c>
      <c r="BT631" s="60" t="n">
        <f aca="false">IF(BR631="LOSE",1,0)</f>
        <v>1</v>
      </c>
      <c r="BU631" s="60" t="n">
        <f aca="false">IF(AND(U631="",OR(P631="",P631="LOSE"),T631&lt;&gt;"",N(S631)&lt;=0,ISNUMBER(MATCH(T631,Parameter!$I$27:$I$29,0))),1,0)</f>
        <v>0</v>
      </c>
      <c r="BV631" s="55" t="str">
        <f aca="false">IF(AND(Parameter!$B$19="Ja",E631&lt;&gt;"",ISNUMBER(MATCH(E631,Parameter!$I$35:$I$52,0))),VLOOKUP(E631,Parameter!$I$35:$J$52,2,0),IFERROR(VLOOKUP(D631,Parameter!$A$35:$C$64,2,0),"Nein"))</f>
        <v>Nein</v>
      </c>
      <c r="BW631" s="59" t="n">
        <f aca="false">IF(BT631=0,0,IF(N(S631)&gt;0,S631,IFERROR(VLOOKUP(D631,Parameter!$A$35:$C$64,3,0)+0,0)))</f>
        <v>0.15</v>
      </c>
      <c r="BX631" s="55" t="str">
        <f aca="false">IF(AA631&lt;&gt;"",AA631,Z631)</f>
        <v>-</v>
      </c>
      <c r="BY631" s="55" t="str">
        <f aca="false">IF(BX631=1,"L1",IF(OR(BX631=2,BX631=3),"L23",IF(BX631="Aussen","Aussen","-")))</f>
        <v>-</v>
      </c>
      <c r="BZ631" s="66" t="n">
        <f aca="false">IF(N(AB631)&gt;0,AB631,0)</f>
        <v>0</v>
      </c>
      <c r="CA631" s="60" t="n">
        <f aca="false">IF(ISNUMBER(AE631),1,0)</f>
        <v>0</v>
      </c>
      <c r="CB631" s="57" t="n">
        <f aca="false">N(AE631)</f>
        <v>0</v>
      </c>
      <c r="CC631" s="57" t="n">
        <f aca="false">N(M631)+N(N631)</f>
        <v>100</v>
      </c>
      <c r="CD631" s="57" t="n">
        <f aca="false">ROUNDUP(H631/BS631,0)</f>
        <v>4</v>
      </c>
      <c r="CE631" s="57" t="n">
        <f aca="false">ROUNDUP(CB631/BS631,0)</f>
        <v>0</v>
      </c>
      <c r="CF631" s="60" t="n">
        <f aca="false">IF(BT631=1,0,IFERROR(VLOOKUP(BR631,'Gebinde-Kategorie'!$A$5:$M$45,5,0)+0,0))</f>
        <v>0</v>
      </c>
      <c r="CG631" s="60" t="n">
        <f aca="false">IFERROR(IF(OR(BX631=1,BX631=2,BX631=3),N(INDEX(Parameter!$I$5:$I$7,BX631)),0),0)</f>
        <v>0</v>
      </c>
      <c r="CH631" s="59" t="n">
        <f aca="false">IF(AND(Parameter!$B$21="Ja",ISNUMBER(W631),N(X631)&gt;0),IFERROR(N(INDEX(Parameter!$L$5:$L$7,W631))*INDEX(Parameter!$E$5:$E$7,W631)*X631/SUMIFS($X$7:$X$1843,$W$7:$W$1843,W631),0),0)</f>
        <v>0</v>
      </c>
    </row>
    <row r="632" customFormat="false" ht="15" hidden="false" customHeight="false" outlineLevel="0" collapsed="false">
      <c r="A632" s="55" t="s">
        <v>1292</v>
      </c>
      <c r="B632" s="55" t="s">
        <v>1293</v>
      </c>
      <c r="C632" s="55" t="s">
        <v>164</v>
      </c>
      <c r="D632" s="55" t="s">
        <v>184</v>
      </c>
      <c r="E632" s="55"/>
      <c r="F632" s="55" t="s">
        <v>218</v>
      </c>
      <c r="G632" s="56" t="n">
        <v>1.25</v>
      </c>
      <c r="H632" s="57" t="n">
        <f aca="false">MAX(0,IF(AND(Parameter!$B$21="Ja",ISNUMBER(Y632)),Y632,IF(Parameter!$B$20="Jahresanfang 2025 + Export",BL632+BK632,BK632)))</f>
        <v>14</v>
      </c>
      <c r="I632" s="57" t="n">
        <f aca="false">H632*G632</f>
        <v>17.5</v>
      </c>
      <c r="J632" s="57" t="n">
        <f aca="false">BN632*Parameter!$B$18</f>
        <v>22</v>
      </c>
      <c r="K632" s="58" t="n">
        <v>11.5</v>
      </c>
      <c r="L632" s="59" t="n">
        <v>1.91304347826087</v>
      </c>
      <c r="M632" s="57" t="n">
        <v>0</v>
      </c>
      <c r="N632" s="57" t="n">
        <v>20</v>
      </c>
      <c r="O632" s="60" t="n">
        <v>14</v>
      </c>
      <c r="P632" s="55" t="s">
        <v>426</v>
      </c>
      <c r="Q632" s="57" t="n">
        <v>22</v>
      </c>
      <c r="R632" s="60" t="n">
        <f aca="false">IF(BT632=1,0,IFERROR(VLOOKUP(BR632,'Gebinde-Kategorie'!$A$5:$M$45,13,0)+0,0))</f>
        <v>198</v>
      </c>
      <c r="S632" s="61"/>
      <c r="T632" s="62"/>
      <c r="U632" s="62"/>
      <c r="V632" s="62"/>
      <c r="W632" s="55"/>
      <c r="X632" s="57"/>
      <c r="Y632" s="57"/>
      <c r="Z632" s="55" t="n">
        <f aca="false">IF(A632="","",IF(AND(Parameter!$B$21="Ja",ISNUMBER(W632)),W632,IF(BV632="2+3",IF(ISNUMBER(SEARCH("grosser Artikel",BO632)),2,IFERROR(VLOOKUP(BR632,Parameter!$F$35:$G$64,2,0),2)),IF(OR(BV632="Nein",BV632=""),"-",BV632))))</f>
        <v>3</v>
      </c>
      <c r="AA632" s="62"/>
      <c r="AB632" s="63"/>
      <c r="AC632" s="57" t="n">
        <f aca="false">AR632</f>
        <v>22</v>
      </c>
      <c r="AD632" s="57" t="n">
        <f aca="false">MAX(AR632,H632)</f>
        <v>22</v>
      </c>
      <c r="AE632" s="64"/>
      <c r="AF632" s="57" t="n">
        <f aca="false">IF(LEFT(Cockpit!$C$5,1)="A",H632,IF(CA632=1,CB632,IF(LEFT(Cockpit!$C$5,1)="B",AJ632,MAX(AJ632,H632))))</f>
        <v>14</v>
      </c>
      <c r="AG632" s="57" t="n">
        <f aca="false">IF(BT632=1,0,ROUNDUP(AF632/BS632,0))</f>
        <v>1</v>
      </c>
      <c r="AH632" s="59" t="n">
        <f aca="false">IF(CH632&gt;0,CH632*MAX(1,AF632/X632),IF(BT632=1,IF(AF632&lt;=0,0,BW632*MAX(1,IF(H632&gt;0,AF632/H632,1))),IF(R632&gt;0,AG632/R632,0))/MAX(0.1,N(Parameter!$M$21)))</f>
        <v>0.00505050505050505</v>
      </c>
      <c r="AI632" s="57" t="n">
        <f aca="false">AF632*G632</f>
        <v>17.5</v>
      </c>
      <c r="AJ632" s="57" t="n">
        <f aca="false">ROUNDUP(MAX(J632/IF(BZ632&gt;0,BZ632,MAX(0.1,N(Cockpit!$C$6))),CC632)/BS632,0)*BS632</f>
        <v>22</v>
      </c>
      <c r="AK632" s="58" t="n">
        <f aca="false">IF(AH632&gt;0,J632/AH632,-1)</f>
        <v>4356</v>
      </c>
      <c r="AL632" s="58" t="n">
        <f aca="false">IF(AND(OR(BY632="L1",BY632="L23"),AH632&gt;0),SUMIFS($AH$7:$AH$1843,$BY$7:$BY$1843,BY632,$AK$7:$AK$1843,"&gt;"&amp;AK632)+SUMIFS($AH$7:$AH$1843,$BY$7:$BY$1843,BY632,$AK$7:$AK$1843,AK632,$BQ$7:$BQ$1843,"&lt;="&amp;BQ632),"")</f>
        <v>8.1770379379075</v>
      </c>
      <c r="AM632" s="65" t="n">
        <f aca="false">IF(AL632="",0,MAX(0,MIN(1,(IF(BY632="L1",Parameter!$E$5,Parameter!$E$6+Parameter!$E$7)-(AL632-AH632))/AH632)))</f>
        <v>1</v>
      </c>
      <c r="AN632" s="57" t="n">
        <f aca="false">IF(LEFT(Cockpit!$I$5,1)="A",H632,IF(CA632=1,CB632,IF(LEFT(Cockpit!$I$5,1)="B",AR632,MAX(AR632,H632))))</f>
        <v>22</v>
      </c>
      <c r="AO632" s="57" t="n">
        <f aca="false">IF(BT632=1,0,ROUNDUP(AN632/BS632,0))</f>
        <v>1</v>
      </c>
      <c r="AP632" s="59" t="n">
        <f aca="false">IF(CH632&gt;0,CH632*MAX(1,AN632/X632),IF(BT632=1,IF(AN632&lt;=0,0,BW632*MAX(1,IF(H632&gt;0,AN632/H632,1))),IF(R632&gt;0,AO632/R632,0))/MAX(0.1,N(Parameter!$M$21)))</f>
        <v>0.00505050505050505</v>
      </c>
      <c r="AQ632" s="57" t="n">
        <f aca="false">AN632*G632</f>
        <v>27.5</v>
      </c>
      <c r="AR632" s="57" t="n">
        <f aca="false">ROUNDUP(MAX(J632/IF(BZ632&gt;0,BZ632,MAX(0.1,N(Cockpit!$I$6))),CC632)/BS632,0)*BS632</f>
        <v>22</v>
      </c>
      <c r="AS632" s="58" t="n">
        <f aca="false">IF(AP632&gt;0,J632/AP632,-1)</f>
        <v>4356</v>
      </c>
      <c r="AT632" s="58" t="n">
        <f aca="false">IF(AND(OR(BY632="L1",BY632="L23"),AP632&gt;0),SUMIFS($AP$7:$AP$1843,$BY$7:$BY$1843,BY632,$AS$7:$AS$1843,"&gt;"&amp;AS632)+SUMIFS($AP$7:$AP$1843,$BY$7:$BY$1843,BY632,$AS$7:$AS$1843,AS632,$BQ$7:$BQ$1843,"&lt;="&amp;BQ632),"")</f>
        <v>12.8693878585183</v>
      </c>
      <c r="AU632" s="65" t="n">
        <f aca="false">IF(AT632="",0,MAX(0,MIN(1,(IF(BY632="L1",Parameter!$E$5,Parameter!$E$6+Parameter!$E$7)-(AT632-AP632))/AP632)))</f>
        <v>1</v>
      </c>
      <c r="AV632" s="57" t="n">
        <f aca="false">IF(LEFT(Cockpit!$O$5,1)="A",H632,IF(CA632=1,CB632,IF(LEFT(Cockpit!$O$5,1)="B",AZ632,MAX(AZ632,H632))))</f>
        <v>22</v>
      </c>
      <c r="AW632" s="57" t="n">
        <f aca="false">IF(BT632=1,0,ROUNDUP(AV632/BS632,0))</f>
        <v>1</v>
      </c>
      <c r="AX632" s="59" t="n">
        <f aca="false">IF(CH632&gt;0,CH632*MAX(1,AV632/X632),IF(BT632=1,IF(AV632&lt;=0,0,BW632*MAX(1,IF(H632&gt;0,AV632/H632,1))),IF(R632&gt;0,AW632/R632,0))/MAX(0.1,N(Parameter!$M$21)))</f>
        <v>0.00505050505050505</v>
      </c>
      <c r="AY632" s="57" t="n">
        <f aca="false">AV632*G632</f>
        <v>27.5</v>
      </c>
      <c r="AZ632" s="57" t="n">
        <f aca="false">ROUNDUP(MAX(J632/IF(BZ632&gt;0,BZ632,MAX(0.1,N(Cockpit!$O$6))),CC632)/BS632,0)*BS632</f>
        <v>22</v>
      </c>
      <c r="BA632" s="58" t="n">
        <f aca="false">IF(AX632&gt;0,J632/AX632,-1)</f>
        <v>4356</v>
      </c>
      <c r="BB632" s="58" t="n">
        <f aca="false">IF(AND(OR(BY632="L1",BY632="L23"),AX632&gt;0),SUMIFS($AX$7:$AX$1843,$BY$7:$BY$1843,BY632,$BA$7:$BA$1843,"&gt;"&amp;BA632)+SUMIFS($AX$7:$AX$1843,$BY$7:$BY$1843,BY632,$BA$7:$BA$1843,BA632,$BQ$7:$BQ$1843,"&lt;="&amp;BQ632),"")</f>
        <v>11.4364041755346</v>
      </c>
      <c r="BC632" s="65" t="n">
        <f aca="false">IF(BB632="",0,MAX(0,MIN(1,(IF(BY632="L1",Parameter!$E$5,Parameter!$E$6+Parameter!$E$7)-(BB632-AX632))/AX632)))</f>
        <v>1</v>
      </c>
      <c r="BD632" s="55" t="str">
        <f aca="false">IF(AH632&lt;=0,"",IF(BY632="Aussen","Aussenlager",IF(BY632="-","Nicht im Lift",IF(AM632&gt;=1,"Lift",IF(AM632&lt;=0,"Aussenlager","teilweise")))))</f>
        <v>Lift</v>
      </c>
      <c r="BE632" s="55" t="str">
        <f aca="false">IF(AP632&lt;=0,"",IF(BY632="Aussen","Aussenlager",IF(BY632="-","Nicht im Lift",IF(AU632&gt;=1,"Lift",IF(AU632&lt;=0,"Aussenlager","teilweise")))))</f>
        <v>Lift</v>
      </c>
      <c r="BF632" s="55" t="str">
        <f aca="false">IF(AX632&lt;=0,"",IF(BY632="Aussen","Aussenlager",IF(BY632="-","Nicht im Lift",IF(BC632&gt;=1,"Lift",IF(BC632&lt;=0,"Aussenlager","teilweise")))))</f>
        <v>Lift</v>
      </c>
      <c r="BG632" s="55" t="str">
        <f aca="false">IF(A632="","",IF(BP632=1,"Neu; ","")&amp;IF(AND(BP632=0,BK632&lt;0),"negativer Bestand (Export "&amp;BK632&amp;"); ","")&amp;IF(J632&lt;=0,"Kein Verbrauch; ","")&amp;IF(CH632&gt;0,"Lift "&amp;W632&amp;" lt. Liftbericht (Fach "&amp;X632&amp;" Stk); ",IF(BU632=1,"Gebinde geschätzt ("&amp;T632&amp;"); ",IF(BT632=1,"Lose – Tablare geschätzt; ","")))&amp;IF(H632&gt;AR632,"Überbestand "&amp;ROUND(H632-AR632,0)&amp;" Stk / CHF "&amp;ROUND((H632-AR632)*G632,0)&amp;"; ","")&amp;IF(AND(CA632=1,CB632&lt;CC632),"MAX &lt; MB+LG; ","")&amp;IF(AND(CG632&gt;0,CF632*10&gt;CG632),"zu hoch für Tablar; ","")&amp;IF(AND(BP632=0,OR(CA632=1,AA632&lt;&gt;"",U632&lt;&gt;"",V632&lt;&gt;"",AB632&lt;&gt;"")),"manuell übersteuert; ","")&amp;IF(AND(BT632=0,R632=0),"Gebinde unbekannt / Stellmass fehlt; ","")&amp;IF(AND(BT632=0,N(V632)&lt;=0,N(Q632)&lt;=0),"Menge pro Gebinde fehlt (Ist = 1 Gebinde); ","")&amp;BO632)</f>
        <v/>
      </c>
      <c r="BH632" s="55"/>
      <c r="BI632" s="55"/>
      <c r="BJ632" s="62"/>
      <c r="BK632" s="57" t="n">
        <v>1</v>
      </c>
      <c r="BL632" s="57" t="n">
        <v>13</v>
      </c>
      <c r="BM632" s="56" t="n">
        <v>1.64</v>
      </c>
      <c r="BN632" s="57" t="n">
        <v>22</v>
      </c>
      <c r="BO632" s="55"/>
      <c r="BP632" s="60" t="n">
        <v>0</v>
      </c>
      <c r="BQ632" s="60" t="n">
        <v>632</v>
      </c>
      <c r="BR632" s="55" t="str">
        <f aca="false">IF(U632&lt;&gt;"",UPPER(TRIM(U632)),IF(BU632=1,UPPER(VLOOKUP(T632,Parameter!$I$27:$K$29,2,0)),IF(P632="","LOSE",P632)))</f>
        <v>S22</v>
      </c>
      <c r="BS632" s="57" t="n">
        <f aca="false">IF(BR632="LOSE",1,IF(N(V632)&gt;0,V632,IF(BU632=1,MAX(1,N(VLOOKUP(T632,Parameter!$I$27:$K$29,3,0)),H632,N(N632)),IF(N(Q632)&gt;0,Q632,MAX(1,H632)))))</f>
        <v>22</v>
      </c>
      <c r="BT632" s="60" t="n">
        <f aca="false">IF(BR632="LOSE",1,0)</f>
        <v>0</v>
      </c>
      <c r="BU632" s="60" t="n">
        <f aca="false">IF(AND(U632="",OR(P632="",P632="LOSE"),T632&lt;&gt;"",N(S632)&lt;=0,ISNUMBER(MATCH(T632,Parameter!$I$27:$I$29,0))),1,0)</f>
        <v>0</v>
      </c>
      <c r="BV632" s="55" t="str">
        <f aca="false">IF(AND(Parameter!$B$19="Ja",E632&lt;&gt;"",ISNUMBER(MATCH(E632,Parameter!$I$35:$I$52,0))),VLOOKUP(E632,Parameter!$I$35:$J$52,2,0),IFERROR(VLOOKUP(D632,Parameter!$A$35:$C$64,2,0),"Nein"))</f>
        <v>2+3</v>
      </c>
      <c r="BW632" s="59" t="n">
        <f aca="false">IF(BT632=0,0,IF(N(S632)&gt;0,S632,IFERROR(VLOOKUP(D632,Parameter!$A$35:$C$64,3,0)+0,0)))</f>
        <v>0</v>
      </c>
      <c r="BX632" s="55" t="n">
        <f aca="false">IF(AA632&lt;&gt;"",AA632,Z632)</f>
        <v>3</v>
      </c>
      <c r="BY632" s="55" t="str">
        <f aca="false">IF(BX632=1,"L1",IF(OR(BX632=2,BX632=3),"L23",IF(BX632="Aussen","Aussen","-")))</f>
        <v>L23</v>
      </c>
      <c r="BZ632" s="66" t="n">
        <f aca="false">IF(N(AB632)&gt;0,AB632,0)</f>
        <v>0</v>
      </c>
      <c r="CA632" s="60" t="n">
        <f aca="false">IF(ISNUMBER(AE632),1,0)</f>
        <v>0</v>
      </c>
      <c r="CB632" s="57" t="n">
        <f aca="false">N(AE632)</f>
        <v>0</v>
      </c>
      <c r="CC632" s="57" t="n">
        <f aca="false">N(M632)+N(N632)</f>
        <v>20</v>
      </c>
      <c r="CD632" s="57" t="n">
        <f aca="false">ROUNDUP(H632/BS632,0)</f>
        <v>1</v>
      </c>
      <c r="CE632" s="57" t="n">
        <f aca="false">ROUNDUP(CB632/BS632,0)</f>
        <v>0</v>
      </c>
      <c r="CF632" s="60" t="n">
        <f aca="false">IF(BT632=1,0,IFERROR(VLOOKUP(BR632,'Gebinde-Kategorie'!$A$5:$M$45,5,0)+0,0))</f>
        <v>8</v>
      </c>
      <c r="CG632" s="60" t="n">
        <f aca="false">IFERROR(IF(OR(BX632=1,BX632=2,BX632=3),N(INDEX(Parameter!$I$5:$I$7,BX632)),0),0)</f>
        <v>0</v>
      </c>
      <c r="CH632" s="59" t="n">
        <f aca="false">IF(AND(Parameter!$B$21="Ja",ISNUMBER(W632),N(X632)&gt;0),IFERROR(N(INDEX(Parameter!$L$5:$L$7,W632))*INDEX(Parameter!$E$5:$E$7,W632)*X632/SUMIFS($X$7:$X$1843,$W$7:$W$1843,W632),0),0)</f>
        <v>0</v>
      </c>
    </row>
    <row r="633" customFormat="false" ht="15" hidden="false" customHeight="false" outlineLevel="0" collapsed="false">
      <c r="A633" s="55" t="s">
        <v>1294</v>
      </c>
      <c r="B633" s="55" t="s">
        <v>1290</v>
      </c>
      <c r="C633" s="55" t="s">
        <v>164</v>
      </c>
      <c r="D633" s="55" t="s">
        <v>184</v>
      </c>
      <c r="E633" s="55" t="s">
        <v>185</v>
      </c>
      <c r="F633" s="55" t="s">
        <v>218</v>
      </c>
      <c r="G633" s="56" t="n">
        <v>0.85</v>
      </c>
      <c r="H633" s="57" t="n">
        <f aca="false">MAX(0,IF(AND(Parameter!$B$21="Ja",ISNUMBER(Y633)),Y633,IF(Parameter!$B$20="Jahresanfang 2025 + Export",BL633+BK633,BK633)))</f>
        <v>23</v>
      </c>
      <c r="I633" s="57" t="n">
        <f aca="false">H633*G633</f>
        <v>19.55</v>
      </c>
      <c r="J633" s="57" t="n">
        <f aca="false">BN633*Parameter!$B$18</f>
        <v>72</v>
      </c>
      <c r="K633" s="58" t="n">
        <v>40</v>
      </c>
      <c r="L633" s="59" t="n">
        <v>1.8</v>
      </c>
      <c r="M633" s="57" t="n">
        <v>2</v>
      </c>
      <c r="N633" s="57" t="n">
        <v>70</v>
      </c>
      <c r="O633" s="60" t="n">
        <v>14</v>
      </c>
      <c r="P633" s="55" t="s">
        <v>233</v>
      </c>
      <c r="Q633" s="57" t="n">
        <v>88</v>
      </c>
      <c r="R633" s="60" t="n">
        <f aca="false">IF(BT633=1,0,IFERROR(VLOOKUP(BR633,'Gebinde-Kategorie'!$A$5:$M$45,13,0)+0,0))</f>
        <v>26</v>
      </c>
      <c r="S633" s="61"/>
      <c r="T633" s="62"/>
      <c r="U633" s="62"/>
      <c r="V633" s="62"/>
      <c r="W633" s="55"/>
      <c r="X633" s="57"/>
      <c r="Y633" s="57"/>
      <c r="Z633" s="55" t="n">
        <f aca="false">IF(A633="","",IF(AND(Parameter!$B$21="Ja",ISNUMBER(W633)),W633,IF(BV633="2+3",IF(ISNUMBER(SEARCH("grosser Artikel",BO633)),2,IFERROR(VLOOKUP(BR633,Parameter!$F$35:$G$64,2,0),2)),IF(OR(BV633="Nein",BV633=""),"-",BV633))))</f>
        <v>3</v>
      </c>
      <c r="AA633" s="62"/>
      <c r="AB633" s="63"/>
      <c r="AC633" s="57" t="n">
        <f aca="false">AR633</f>
        <v>88</v>
      </c>
      <c r="AD633" s="57" t="n">
        <f aca="false">MAX(AR633,H633)</f>
        <v>88</v>
      </c>
      <c r="AE633" s="64"/>
      <c r="AF633" s="57" t="n">
        <f aca="false">IF(LEFT(Cockpit!$C$5,1)="A",H633,IF(CA633=1,CB633,IF(LEFT(Cockpit!$C$5,1)="B",AJ633,MAX(AJ633,H633))))</f>
        <v>23</v>
      </c>
      <c r="AG633" s="57" t="n">
        <f aca="false">IF(BT633=1,0,ROUNDUP(AF633/BS633,0))</f>
        <v>1</v>
      </c>
      <c r="AH633" s="59" t="n">
        <f aca="false">IF(CH633&gt;0,CH633*MAX(1,AF633/X633),IF(BT633=1,IF(AF633&lt;=0,0,BW633*MAX(1,IF(H633&gt;0,AF633/H633,1))),IF(R633&gt;0,AG633/R633,0))/MAX(0.1,N(Parameter!$M$21)))</f>
        <v>0.0384615384615385</v>
      </c>
      <c r="AI633" s="57" t="n">
        <f aca="false">AF633*G633</f>
        <v>19.55</v>
      </c>
      <c r="AJ633" s="57" t="n">
        <f aca="false">ROUNDUP(MAX(J633/IF(BZ633&gt;0,BZ633,MAX(0.1,N(Cockpit!$C$6))),CC633)/BS633,0)*BS633</f>
        <v>88</v>
      </c>
      <c r="AK633" s="58" t="n">
        <f aca="false">IF(AH633&gt;0,J633/AH633,-1)</f>
        <v>1872</v>
      </c>
      <c r="AL633" s="58" t="n">
        <f aca="false">IF(AND(OR(BY633="L1",BY633="L23"),AH633&gt;0),SUMIFS($AH$7:$AH$1843,$BY$7:$BY$1843,BY633,$AK$7:$AK$1843,"&gt;"&amp;AK633)+SUMIFS($AH$7:$AH$1843,$BY$7:$BY$1843,BY633,$AK$7:$AK$1843,AK633,$BQ$7:$BQ$1843,"&lt;="&amp;BQ633),"")</f>
        <v>13.7135147461234</v>
      </c>
      <c r="AM633" s="65" t="n">
        <f aca="false">IF(AL633="",0,MAX(0,MIN(1,(IF(BY633="L1",Parameter!$E$5,Parameter!$E$6+Parameter!$E$7)-(AL633-AH633))/AH633)))</f>
        <v>1</v>
      </c>
      <c r="AN633" s="57" t="n">
        <f aca="false">IF(LEFT(Cockpit!$I$5,1)="A",H633,IF(CA633=1,CB633,IF(LEFT(Cockpit!$I$5,1)="B",AR633,MAX(AR633,H633))))</f>
        <v>88</v>
      </c>
      <c r="AO633" s="57" t="n">
        <f aca="false">IF(BT633=1,0,ROUNDUP(AN633/BS633,0))</f>
        <v>1</v>
      </c>
      <c r="AP633" s="59" t="n">
        <f aca="false">IF(CH633&gt;0,CH633*MAX(1,AN633/X633),IF(BT633=1,IF(AN633&lt;=0,0,BW633*MAX(1,IF(H633&gt;0,AN633/H633,1))),IF(R633&gt;0,AO633/R633,0))/MAX(0.1,N(Parameter!$M$21)))</f>
        <v>0.0384615384615385</v>
      </c>
      <c r="AQ633" s="57" t="n">
        <f aca="false">AN633*G633</f>
        <v>74.8</v>
      </c>
      <c r="AR633" s="57" t="n">
        <f aca="false">ROUNDUP(MAX(J633/IF(BZ633&gt;0,BZ633,MAX(0.1,N(Cockpit!$I$6))),CC633)/BS633,0)*BS633</f>
        <v>88</v>
      </c>
      <c r="AS633" s="58" t="n">
        <f aca="false">IF(AP633&gt;0,J633/AP633,-1)</f>
        <v>1872</v>
      </c>
      <c r="AT633" s="58" t="n">
        <f aca="false">IF(AND(OR(BY633="L1",BY633="L23"),AP633&gt;0),SUMIFS($AP$7:$AP$1843,$BY$7:$BY$1843,BY633,$AS$7:$AS$1843,"&gt;"&amp;AS633)+SUMIFS($AP$7:$AP$1843,$BY$7:$BY$1843,BY633,$AS$7:$AS$1843,AS633,$BQ$7:$BQ$1843,"&lt;="&amp;BQ633),"")</f>
        <v>19.0343738387217</v>
      </c>
      <c r="AU633" s="65" t="n">
        <f aca="false">IF(AT633="",0,MAX(0,MIN(1,(IF(BY633="L1",Parameter!$E$5,Parameter!$E$6+Parameter!$E$7)-(AT633-AP633))/AP633)))</f>
        <v>1</v>
      </c>
      <c r="AV633" s="57" t="n">
        <f aca="false">IF(LEFT(Cockpit!$O$5,1)="A",H633,IF(CA633=1,CB633,IF(LEFT(Cockpit!$O$5,1)="B",AZ633,MAX(AZ633,H633))))</f>
        <v>88</v>
      </c>
      <c r="AW633" s="57" t="n">
        <f aca="false">IF(BT633=1,0,ROUNDUP(AV633/BS633,0))</f>
        <v>1</v>
      </c>
      <c r="AX633" s="59" t="n">
        <f aca="false">IF(CH633&gt;0,CH633*MAX(1,AV633/X633),IF(BT633=1,IF(AV633&lt;=0,0,BW633*MAX(1,IF(H633&gt;0,AV633/H633,1))),IF(R633&gt;0,AW633/R633,0))/MAX(0.1,N(Parameter!$M$21)))</f>
        <v>0.0384615384615385</v>
      </c>
      <c r="AY633" s="57" t="n">
        <f aca="false">AV633*G633</f>
        <v>74.8</v>
      </c>
      <c r="AZ633" s="57" t="n">
        <f aca="false">ROUNDUP(MAX(J633/IF(BZ633&gt;0,BZ633,MAX(0.1,N(Cockpit!$O$6))),CC633)/BS633,0)*BS633</f>
        <v>88</v>
      </c>
      <c r="BA633" s="58" t="n">
        <f aca="false">IF(AX633&gt;0,J633/AX633,-1)</f>
        <v>1872</v>
      </c>
      <c r="BB633" s="58" t="n">
        <f aca="false">IF(AND(OR(BY633="L1",BY633="L23"),AX633&gt;0),SUMIFS($AX$7:$AX$1843,$BY$7:$BY$1843,BY633,$BA$7:$BA$1843,"&gt;"&amp;BA633)+SUMIFS($AX$7:$AX$1843,$BY$7:$BY$1843,BY633,$BA$7:$BA$1843,BA633,$BQ$7:$BQ$1843,"&lt;="&amp;BQ633),"")</f>
        <v>17.7295952839431</v>
      </c>
      <c r="BC633" s="65" t="n">
        <f aca="false">IF(BB633="",0,MAX(0,MIN(1,(IF(BY633="L1",Parameter!$E$5,Parameter!$E$6+Parameter!$E$7)-(BB633-AX633))/AX633)))</f>
        <v>1</v>
      </c>
      <c r="BD633" s="55" t="str">
        <f aca="false">IF(AH633&lt;=0,"",IF(BY633="Aussen","Aussenlager",IF(BY633="-","Nicht im Lift",IF(AM633&gt;=1,"Lift",IF(AM633&lt;=0,"Aussenlager","teilweise")))))</f>
        <v>Lift</v>
      </c>
      <c r="BE633" s="55" t="str">
        <f aca="false">IF(AP633&lt;=0,"",IF(BY633="Aussen","Aussenlager",IF(BY633="-","Nicht im Lift",IF(AU633&gt;=1,"Lift",IF(AU633&lt;=0,"Aussenlager","teilweise")))))</f>
        <v>Lift</v>
      </c>
      <c r="BF633" s="55" t="str">
        <f aca="false">IF(AX633&lt;=0,"",IF(BY633="Aussen","Aussenlager",IF(BY633="-","Nicht im Lift",IF(BC633&gt;=1,"Lift",IF(BC633&lt;=0,"Aussenlager","teilweise")))))</f>
        <v>Lift</v>
      </c>
      <c r="BG633" s="55" t="str">
        <f aca="false">IF(A633="","",IF(BP633=1,"Neu; ","")&amp;IF(AND(BP633=0,BK633&lt;0),"negativer Bestand (Export "&amp;BK633&amp;"); ","")&amp;IF(J633&lt;=0,"Kein Verbrauch; ","")&amp;IF(CH633&gt;0,"Lift "&amp;W633&amp;" lt. Liftbericht (Fach "&amp;X633&amp;" Stk); ",IF(BU633=1,"Gebinde geschätzt ("&amp;T633&amp;"); ",IF(BT633=1,"Lose – Tablare geschätzt; ","")))&amp;IF(H633&gt;AR633,"Überbestand "&amp;ROUND(H633-AR633,0)&amp;" Stk / CHF "&amp;ROUND((H633-AR633)*G633,0)&amp;"; ","")&amp;IF(AND(CA633=1,CB633&lt;CC633),"MAX &lt; MB+LG; ","")&amp;IF(AND(CG633&gt;0,CF633*10&gt;CG633),"zu hoch für Tablar; ","")&amp;IF(AND(BP633=0,OR(CA633=1,AA633&lt;&gt;"",U633&lt;&gt;"",V633&lt;&gt;"",AB633&lt;&gt;"")),"manuell übersteuert; ","")&amp;IF(AND(BT633=0,R633=0),"Gebinde unbekannt / Stellmass fehlt; ","")&amp;IF(AND(BT633=0,N(V633)&lt;=0,N(Q633)&lt;=0),"Menge pro Gebinde fehlt (Ist = 1 Gebinde); ","")&amp;BO633)</f>
        <v/>
      </c>
      <c r="BH633" s="55"/>
      <c r="BI633" s="55"/>
      <c r="BJ633" s="62"/>
      <c r="BK633" s="57" t="n">
        <v>1</v>
      </c>
      <c r="BL633" s="57" t="n">
        <v>22</v>
      </c>
      <c r="BM633" s="56" t="n">
        <v>1.50999999999997</v>
      </c>
      <c r="BN633" s="57" t="n">
        <v>72</v>
      </c>
      <c r="BO633" s="55"/>
      <c r="BP633" s="60" t="n">
        <v>0</v>
      </c>
      <c r="BQ633" s="60" t="n">
        <v>633</v>
      </c>
      <c r="BR633" s="55" t="str">
        <f aca="false">IF(U633&lt;&gt;"",UPPER(TRIM(U633)),IF(BU633=1,UPPER(VLOOKUP(T633,Parameter!$I$27:$K$29,2,0)),IF(P633="","LOSE",P633)))</f>
        <v>S52</v>
      </c>
      <c r="BS633" s="57" t="n">
        <f aca="false">IF(BR633="LOSE",1,IF(N(V633)&gt;0,V633,IF(BU633=1,MAX(1,N(VLOOKUP(T633,Parameter!$I$27:$K$29,3,0)),H633,N(N633)),IF(N(Q633)&gt;0,Q633,MAX(1,H633)))))</f>
        <v>88</v>
      </c>
      <c r="BT633" s="60" t="n">
        <f aca="false">IF(BR633="LOSE",1,0)</f>
        <v>0</v>
      </c>
      <c r="BU633" s="60" t="n">
        <f aca="false">IF(AND(U633="",OR(P633="",P633="LOSE"),T633&lt;&gt;"",N(S633)&lt;=0,ISNUMBER(MATCH(T633,Parameter!$I$27:$I$29,0))),1,0)</f>
        <v>0</v>
      </c>
      <c r="BV633" s="55" t="str">
        <f aca="false">IF(AND(Parameter!$B$19="Ja",E633&lt;&gt;"",ISNUMBER(MATCH(E633,Parameter!$I$35:$I$52,0))),VLOOKUP(E633,Parameter!$I$35:$J$52,2,0),IFERROR(VLOOKUP(D633,Parameter!$A$35:$C$64,2,0),"Nein"))</f>
        <v>2+3</v>
      </c>
      <c r="BW633" s="59" t="n">
        <f aca="false">IF(BT633=0,0,IF(N(S633)&gt;0,S633,IFERROR(VLOOKUP(D633,Parameter!$A$35:$C$64,3,0)+0,0)))</f>
        <v>0</v>
      </c>
      <c r="BX633" s="55" t="n">
        <f aca="false">IF(AA633&lt;&gt;"",AA633,Z633)</f>
        <v>3</v>
      </c>
      <c r="BY633" s="55" t="str">
        <f aca="false">IF(BX633=1,"L1",IF(OR(BX633=2,BX633=3),"L23",IF(BX633="Aussen","Aussen","-")))</f>
        <v>L23</v>
      </c>
      <c r="BZ633" s="66" t="n">
        <f aca="false">IF(N(AB633)&gt;0,AB633,0)</f>
        <v>0</v>
      </c>
      <c r="CA633" s="60" t="n">
        <f aca="false">IF(ISNUMBER(AE633),1,0)</f>
        <v>0</v>
      </c>
      <c r="CB633" s="57" t="n">
        <f aca="false">N(AE633)</f>
        <v>0</v>
      </c>
      <c r="CC633" s="57" t="n">
        <f aca="false">N(M633)+N(N633)</f>
        <v>72</v>
      </c>
      <c r="CD633" s="57" t="n">
        <f aca="false">ROUNDUP(H633/BS633,0)</f>
        <v>1</v>
      </c>
      <c r="CE633" s="57" t="n">
        <f aca="false">ROUNDUP(CB633/BS633,0)</f>
        <v>0</v>
      </c>
      <c r="CF633" s="60" t="n">
        <f aca="false">IF(BT633=1,0,IFERROR(VLOOKUP(BR633,'Gebinde-Kategorie'!$A$5:$M$45,5,0)+0,0))</f>
        <v>21</v>
      </c>
      <c r="CG633" s="60" t="n">
        <f aca="false">IFERROR(IF(OR(BX633=1,BX633=2,BX633=3),N(INDEX(Parameter!$I$5:$I$7,BX633)),0),0)</f>
        <v>0</v>
      </c>
      <c r="CH633" s="59" t="n">
        <f aca="false">IF(AND(Parameter!$B$21="Ja",ISNUMBER(W633),N(X633)&gt;0),IFERROR(N(INDEX(Parameter!$L$5:$L$7,W633))*INDEX(Parameter!$E$5:$E$7,W633)*X633/SUMIFS($X$7:$X$1843,$W$7:$W$1843,W633),0),0)</f>
        <v>0</v>
      </c>
    </row>
    <row r="634" customFormat="false" ht="15" hidden="false" customHeight="false" outlineLevel="0" collapsed="false">
      <c r="A634" s="55" t="s">
        <v>1295</v>
      </c>
      <c r="B634" s="55" t="s">
        <v>892</v>
      </c>
      <c r="C634" s="55" t="s">
        <v>164</v>
      </c>
      <c r="D634" s="55" t="s">
        <v>184</v>
      </c>
      <c r="E634" s="55" t="s">
        <v>185</v>
      </c>
      <c r="F634" s="55" t="s">
        <v>218</v>
      </c>
      <c r="G634" s="56" t="n">
        <v>0.66</v>
      </c>
      <c r="H634" s="57" t="n">
        <f aca="false">MAX(0,IF(AND(Parameter!$B$21="Ja",ISNUMBER(Y634)),Y634,IF(Parameter!$B$20="Jahresanfang 2025 + Export",BL634+BK634,BK634)))</f>
        <v>23</v>
      </c>
      <c r="I634" s="57" t="n">
        <f aca="false">H634*G634</f>
        <v>15.18</v>
      </c>
      <c r="J634" s="57" t="n">
        <f aca="false">BN634*Parameter!$B$18</f>
        <v>1</v>
      </c>
      <c r="K634" s="58" t="n">
        <v>15</v>
      </c>
      <c r="L634" s="59" t="n">
        <v>0.0666666666666667</v>
      </c>
      <c r="M634" s="57" t="n">
        <v>0</v>
      </c>
      <c r="N634" s="57" t="n">
        <v>1</v>
      </c>
      <c r="O634" s="60" t="n">
        <v>28</v>
      </c>
      <c r="P634" s="55" t="s">
        <v>426</v>
      </c>
      <c r="Q634" s="57" t="n">
        <v>11</v>
      </c>
      <c r="R634" s="60" t="n">
        <f aca="false">IF(BT634=1,0,IFERROR(VLOOKUP(BR634,'Gebinde-Kategorie'!$A$5:$M$45,13,0)+0,0))</f>
        <v>198</v>
      </c>
      <c r="S634" s="61"/>
      <c r="T634" s="62"/>
      <c r="U634" s="62"/>
      <c r="V634" s="62"/>
      <c r="W634" s="55"/>
      <c r="X634" s="57"/>
      <c r="Y634" s="57"/>
      <c r="Z634" s="55" t="n">
        <f aca="false">IF(A634="","",IF(AND(Parameter!$B$21="Ja",ISNUMBER(W634)),W634,IF(BV634="2+3",IF(ISNUMBER(SEARCH("grosser Artikel",BO634)),2,IFERROR(VLOOKUP(BR634,Parameter!$F$35:$G$64,2,0),2)),IF(OR(BV634="Nein",BV634=""),"-",BV634))))</f>
        <v>3</v>
      </c>
      <c r="AA634" s="62"/>
      <c r="AB634" s="63"/>
      <c r="AC634" s="57" t="n">
        <f aca="false">AR634</f>
        <v>11</v>
      </c>
      <c r="AD634" s="57" t="n">
        <f aca="false">MAX(AR634,H634)</f>
        <v>23</v>
      </c>
      <c r="AE634" s="64"/>
      <c r="AF634" s="57" t="n">
        <f aca="false">IF(LEFT(Cockpit!$C$5,1)="A",H634,IF(CA634=1,CB634,IF(LEFT(Cockpit!$C$5,1)="B",AJ634,MAX(AJ634,H634))))</f>
        <v>23</v>
      </c>
      <c r="AG634" s="57" t="n">
        <f aca="false">IF(BT634=1,0,ROUNDUP(AF634/BS634,0))</f>
        <v>3</v>
      </c>
      <c r="AH634" s="59" t="n">
        <f aca="false">IF(CH634&gt;0,CH634*MAX(1,AF634/X634),IF(BT634=1,IF(AF634&lt;=0,0,BW634*MAX(1,IF(H634&gt;0,AF634/H634,1))),IF(R634&gt;0,AG634/R634,0))/MAX(0.1,N(Parameter!$M$21)))</f>
        <v>0.0151515151515152</v>
      </c>
      <c r="AI634" s="57" t="n">
        <f aca="false">AF634*G634</f>
        <v>15.18</v>
      </c>
      <c r="AJ634" s="57" t="n">
        <f aca="false">ROUNDUP(MAX(J634/IF(BZ634&gt;0,BZ634,MAX(0.1,N(Cockpit!$C$6))),CC634)/BS634,0)*BS634</f>
        <v>11</v>
      </c>
      <c r="AK634" s="58" t="n">
        <f aca="false">IF(AH634&gt;0,J634/AH634,-1)</f>
        <v>66</v>
      </c>
      <c r="AL634" s="58" t="n">
        <f aca="false">IF(AND(OR(BY634="L1",BY634="L23"),AH634&gt;0),SUMIFS($AH$7:$AH$1843,$BY$7:$BY$1843,BY634,$AK$7:$AK$1843,"&gt;"&amp;AK634)+SUMIFS($AH$7:$AH$1843,$BY$7:$BY$1843,BY634,$AK$7:$AK$1843,AK634,$BQ$7:$BQ$1843,"&lt;="&amp;BQ634),"")</f>
        <v>42.6720972264451</v>
      </c>
      <c r="AM634" s="65" t="n">
        <f aca="false">IF(AL634="",0,MAX(0,MIN(1,(IF(BY634="L1",Parameter!$E$5,Parameter!$E$6+Parameter!$E$7)-(AL634-AH634))/AH634)))</f>
        <v>1</v>
      </c>
      <c r="AN634" s="57" t="n">
        <f aca="false">IF(LEFT(Cockpit!$I$5,1)="A",H634,IF(CA634=1,CB634,IF(LEFT(Cockpit!$I$5,1)="B",AR634,MAX(AR634,H634))))</f>
        <v>23</v>
      </c>
      <c r="AO634" s="57" t="n">
        <f aca="false">IF(BT634=1,0,ROUNDUP(AN634/BS634,0))</f>
        <v>3</v>
      </c>
      <c r="AP634" s="59" t="n">
        <f aca="false">IF(CH634&gt;0,CH634*MAX(1,AN634/X634),IF(BT634=1,IF(AN634&lt;=0,0,BW634*MAX(1,IF(H634&gt;0,AN634/H634,1))),IF(R634&gt;0,AO634/R634,0))/MAX(0.1,N(Parameter!$M$21)))</f>
        <v>0.0151515151515152</v>
      </c>
      <c r="AQ634" s="57" t="n">
        <f aca="false">AN634*G634</f>
        <v>15.18</v>
      </c>
      <c r="AR634" s="57" t="n">
        <f aca="false">ROUNDUP(MAX(J634/IF(BZ634&gt;0,BZ634,MAX(0.1,N(Cockpit!$I$6))),CC634)/BS634,0)*BS634</f>
        <v>11</v>
      </c>
      <c r="AS634" s="58" t="n">
        <f aca="false">IF(AP634&gt;0,J634/AP634,-1)</f>
        <v>66</v>
      </c>
      <c r="AT634" s="58" t="n">
        <f aca="false">IF(AND(OR(BY634="L1",BY634="L23"),AP634&gt;0),SUMIFS($AP$7:$AP$1843,$BY$7:$BY$1843,BY634,$AS$7:$AS$1843,"&gt;"&amp;AS634)+SUMIFS($AP$7:$AP$1843,$BY$7:$BY$1843,BY634,$AS$7:$AS$1843,AS634,$BQ$7:$BQ$1843,"&lt;="&amp;BQ634),"")</f>
        <v>64.8782726934901</v>
      </c>
      <c r="AU634" s="65" t="n">
        <f aca="false">IF(AT634="",0,MAX(0,MIN(1,(IF(BY634="L1",Parameter!$E$5,Parameter!$E$6+Parameter!$E$7)-(AT634-AP634))/AP634)))</f>
        <v>1</v>
      </c>
      <c r="AV634" s="57" t="n">
        <f aca="false">IF(LEFT(Cockpit!$O$5,1)="A",H634,IF(CA634=1,CB634,IF(LEFT(Cockpit!$O$5,1)="B",AZ634,MAX(AZ634,H634))))</f>
        <v>23</v>
      </c>
      <c r="AW634" s="57" t="n">
        <f aca="false">IF(BT634=1,0,ROUNDUP(AV634/BS634,0))</f>
        <v>3</v>
      </c>
      <c r="AX634" s="59" t="n">
        <f aca="false">IF(CH634&gt;0,CH634*MAX(1,AV634/X634),IF(BT634=1,IF(AV634&lt;=0,0,BW634*MAX(1,IF(H634&gt;0,AV634/H634,1))),IF(R634&gt;0,AW634/R634,0))/MAX(0.1,N(Parameter!$M$21)))</f>
        <v>0.0151515151515152</v>
      </c>
      <c r="AY634" s="57" t="n">
        <f aca="false">AV634*G634</f>
        <v>15.18</v>
      </c>
      <c r="AZ634" s="57" t="n">
        <f aca="false">ROUNDUP(MAX(J634/IF(BZ634&gt;0,BZ634,MAX(0.1,N(Cockpit!$O$6))),CC634)/BS634,0)*BS634</f>
        <v>11</v>
      </c>
      <c r="BA634" s="58" t="n">
        <f aca="false">IF(AX634&gt;0,J634/AX634,-1)</f>
        <v>66</v>
      </c>
      <c r="BB634" s="58" t="n">
        <f aca="false">IF(AND(OR(BY634="L1",BY634="L23"),AX634&gt;0),SUMIFS($AX$7:$AX$1843,$BY$7:$BY$1843,BY634,$BA$7:$BA$1843,"&gt;"&amp;BA634)+SUMIFS($AX$7:$AX$1843,$BY$7:$BY$1843,BY634,$BA$7:$BA$1843,BA634,$BQ$7:$BQ$1843,"&lt;="&amp;BQ634),"")</f>
        <v>59.3747761899936</v>
      </c>
      <c r="BC634" s="65" t="n">
        <f aca="false">IF(BB634="",0,MAX(0,MIN(1,(IF(BY634="L1",Parameter!$E$5,Parameter!$E$6+Parameter!$E$7)-(BB634-AX634))/AX634)))</f>
        <v>1</v>
      </c>
      <c r="BD634" s="55" t="str">
        <f aca="false">IF(AH634&lt;=0,"",IF(BY634="Aussen","Aussenlager",IF(BY634="-","Nicht im Lift",IF(AM634&gt;=1,"Lift",IF(AM634&lt;=0,"Aussenlager","teilweise")))))</f>
        <v>Lift</v>
      </c>
      <c r="BE634" s="55" t="str">
        <f aca="false">IF(AP634&lt;=0,"",IF(BY634="Aussen","Aussenlager",IF(BY634="-","Nicht im Lift",IF(AU634&gt;=1,"Lift",IF(AU634&lt;=0,"Aussenlager","teilweise")))))</f>
        <v>Lift</v>
      </c>
      <c r="BF634" s="55" t="str">
        <f aca="false">IF(AX634&lt;=0,"",IF(BY634="Aussen","Aussenlager",IF(BY634="-","Nicht im Lift",IF(BC634&gt;=1,"Lift",IF(BC634&lt;=0,"Aussenlager","teilweise")))))</f>
        <v>Lift</v>
      </c>
      <c r="BG634" s="55" t="str">
        <f aca="false">IF(A634="","",IF(BP634=1,"Neu; ","")&amp;IF(AND(BP634=0,BK634&lt;0),"negativer Bestand (Export "&amp;BK634&amp;"); ","")&amp;IF(J634&lt;=0,"Kein Verbrauch; ","")&amp;IF(CH634&gt;0,"Lift "&amp;W634&amp;" lt. Liftbericht (Fach "&amp;X634&amp;" Stk); ",IF(BU634=1,"Gebinde geschätzt ("&amp;T634&amp;"); ",IF(BT634=1,"Lose – Tablare geschätzt; ","")))&amp;IF(H634&gt;AR634,"Überbestand "&amp;ROUND(H634-AR634,0)&amp;" Stk / CHF "&amp;ROUND((H634-AR634)*G634,0)&amp;"; ","")&amp;IF(AND(CA634=1,CB634&lt;CC634),"MAX &lt; MB+LG; ","")&amp;IF(AND(CG634&gt;0,CF634*10&gt;CG634),"zu hoch für Tablar; ","")&amp;IF(AND(BP634=0,OR(CA634=1,AA634&lt;&gt;"",U634&lt;&gt;"",V634&lt;&gt;"",AB634&lt;&gt;"")),"manuell übersteuert; ","")&amp;IF(AND(BT634=0,R634=0),"Gebinde unbekannt / Stellmass fehlt; ","")&amp;IF(AND(BT634=0,N(V634)&lt;=0,N(Q634)&lt;=0),"Menge pro Gebinde fehlt (Ist = 1 Gebinde); ","")&amp;BO634)</f>
        <v>Überbestand 12 Stk / CHF 8; </v>
      </c>
      <c r="BH634" s="55"/>
      <c r="BI634" s="55"/>
      <c r="BJ634" s="62"/>
      <c r="BK634" s="57" t="n">
        <v>17</v>
      </c>
      <c r="BL634" s="57" t="n">
        <v>6</v>
      </c>
      <c r="BM634" s="56" t="n">
        <v>1.38</v>
      </c>
      <c r="BN634" s="57" t="n">
        <v>1</v>
      </c>
      <c r="BO634" s="55"/>
      <c r="BP634" s="60" t="n">
        <v>0</v>
      </c>
      <c r="BQ634" s="60" t="n">
        <v>634</v>
      </c>
      <c r="BR634" s="55" t="str">
        <f aca="false">IF(U634&lt;&gt;"",UPPER(TRIM(U634)),IF(BU634=1,UPPER(VLOOKUP(T634,Parameter!$I$27:$K$29,2,0)),IF(P634="","LOSE",P634)))</f>
        <v>S22</v>
      </c>
      <c r="BS634" s="57" t="n">
        <f aca="false">IF(BR634="LOSE",1,IF(N(V634)&gt;0,V634,IF(BU634=1,MAX(1,N(VLOOKUP(T634,Parameter!$I$27:$K$29,3,0)),H634,N(N634)),IF(N(Q634)&gt;0,Q634,MAX(1,H634)))))</f>
        <v>11</v>
      </c>
      <c r="BT634" s="60" t="n">
        <f aca="false">IF(BR634="LOSE",1,0)</f>
        <v>0</v>
      </c>
      <c r="BU634" s="60" t="n">
        <f aca="false">IF(AND(U634="",OR(P634="",P634="LOSE"),T634&lt;&gt;"",N(S634)&lt;=0,ISNUMBER(MATCH(T634,Parameter!$I$27:$I$29,0))),1,0)</f>
        <v>0</v>
      </c>
      <c r="BV634" s="55" t="str">
        <f aca="false">IF(AND(Parameter!$B$19="Ja",E634&lt;&gt;"",ISNUMBER(MATCH(E634,Parameter!$I$35:$I$52,0))),VLOOKUP(E634,Parameter!$I$35:$J$52,2,0),IFERROR(VLOOKUP(D634,Parameter!$A$35:$C$64,2,0),"Nein"))</f>
        <v>2+3</v>
      </c>
      <c r="BW634" s="59" t="n">
        <f aca="false">IF(BT634=0,0,IF(N(S634)&gt;0,S634,IFERROR(VLOOKUP(D634,Parameter!$A$35:$C$64,3,0)+0,0)))</f>
        <v>0</v>
      </c>
      <c r="BX634" s="55" t="n">
        <f aca="false">IF(AA634&lt;&gt;"",AA634,Z634)</f>
        <v>3</v>
      </c>
      <c r="BY634" s="55" t="str">
        <f aca="false">IF(BX634=1,"L1",IF(OR(BX634=2,BX634=3),"L23",IF(BX634="Aussen","Aussen","-")))</f>
        <v>L23</v>
      </c>
      <c r="BZ634" s="66" t="n">
        <f aca="false">IF(N(AB634)&gt;0,AB634,0)</f>
        <v>0</v>
      </c>
      <c r="CA634" s="60" t="n">
        <f aca="false">IF(ISNUMBER(AE634),1,0)</f>
        <v>0</v>
      </c>
      <c r="CB634" s="57" t="n">
        <f aca="false">N(AE634)</f>
        <v>0</v>
      </c>
      <c r="CC634" s="57" t="n">
        <f aca="false">N(M634)+N(N634)</f>
        <v>1</v>
      </c>
      <c r="CD634" s="57" t="n">
        <f aca="false">ROUNDUP(H634/BS634,0)</f>
        <v>3</v>
      </c>
      <c r="CE634" s="57" t="n">
        <f aca="false">ROUNDUP(CB634/BS634,0)</f>
        <v>0</v>
      </c>
      <c r="CF634" s="60" t="n">
        <f aca="false">IF(BT634=1,0,IFERROR(VLOOKUP(BR634,'Gebinde-Kategorie'!$A$5:$M$45,5,0)+0,0))</f>
        <v>8</v>
      </c>
      <c r="CG634" s="60" t="n">
        <f aca="false">IFERROR(IF(OR(BX634=1,BX634=2,BX634=3),N(INDEX(Parameter!$I$5:$I$7,BX634)),0),0)</f>
        <v>0</v>
      </c>
      <c r="CH634" s="59" t="n">
        <f aca="false">IF(AND(Parameter!$B$21="Ja",ISNUMBER(W634),N(X634)&gt;0),IFERROR(N(INDEX(Parameter!$L$5:$L$7,W634))*INDEX(Parameter!$E$5:$E$7,W634)*X634/SUMIFS($X$7:$X$1843,$W$7:$W$1843,W634),0),0)</f>
        <v>0</v>
      </c>
    </row>
    <row r="635" customFormat="false" ht="15" hidden="false" customHeight="false" outlineLevel="0" collapsed="false">
      <c r="A635" s="55" t="s">
        <v>1296</v>
      </c>
      <c r="B635" s="55" t="s">
        <v>1262</v>
      </c>
      <c r="C635" s="55" t="s">
        <v>164</v>
      </c>
      <c r="D635" s="55" t="s">
        <v>184</v>
      </c>
      <c r="E635" s="55" t="s">
        <v>185</v>
      </c>
      <c r="F635" s="55" t="s">
        <v>218</v>
      </c>
      <c r="G635" s="56" t="n">
        <v>0.05</v>
      </c>
      <c r="H635" s="57" t="n">
        <f aca="false">MAX(0,IF(AND(Parameter!$B$21="Ja",ISNUMBER(Y635)),Y635,IF(Parameter!$B$20="Jahresanfang 2025 + Export",BL635+BK635,BK635)))</f>
        <v>29</v>
      </c>
      <c r="I635" s="57" t="n">
        <f aca="false">H635*G635</f>
        <v>1.45</v>
      </c>
      <c r="J635" s="57" t="n">
        <f aca="false">BN635*Parameter!$B$18</f>
        <v>0</v>
      </c>
      <c r="K635" s="58" t="n">
        <v>30.5</v>
      </c>
      <c r="L635" s="59" t="n">
        <v>0</v>
      </c>
      <c r="M635" s="57" t="n">
        <v>1</v>
      </c>
      <c r="N635" s="57" t="n">
        <v>50</v>
      </c>
      <c r="O635" s="60" t="n">
        <v>14</v>
      </c>
      <c r="P635" s="55" t="s">
        <v>401</v>
      </c>
      <c r="Q635" s="57" t="n">
        <v>38</v>
      </c>
      <c r="R635" s="60" t="n">
        <f aca="false">IF(BT635=1,0,IFERROR(VLOOKUP(BR635,'Gebinde-Kategorie'!$A$5:$M$45,13,0)+0,0))</f>
        <v>414</v>
      </c>
      <c r="S635" s="61"/>
      <c r="T635" s="62"/>
      <c r="U635" s="62"/>
      <c r="V635" s="62"/>
      <c r="W635" s="55"/>
      <c r="X635" s="57"/>
      <c r="Y635" s="57"/>
      <c r="Z635" s="55" t="n">
        <f aca="false">IF(A635="","",IF(AND(Parameter!$B$21="Ja",ISNUMBER(W635)),W635,IF(BV635="2+3",IF(ISNUMBER(SEARCH("grosser Artikel",BO635)),2,IFERROR(VLOOKUP(BR635,Parameter!$F$35:$G$64,2,0),2)),IF(OR(BV635="Nein",BV635=""),"-",BV635))))</f>
        <v>3</v>
      </c>
      <c r="AA635" s="62"/>
      <c r="AB635" s="63"/>
      <c r="AC635" s="57" t="n">
        <f aca="false">AR635</f>
        <v>76</v>
      </c>
      <c r="AD635" s="57" t="n">
        <f aca="false">MAX(AR635,H635)</f>
        <v>76</v>
      </c>
      <c r="AE635" s="64"/>
      <c r="AF635" s="57" t="n">
        <f aca="false">IF(LEFT(Cockpit!$C$5,1)="A",H635,IF(CA635=1,CB635,IF(LEFT(Cockpit!$C$5,1)="B",AJ635,MAX(AJ635,H635))))</f>
        <v>29</v>
      </c>
      <c r="AG635" s="57" t="n">
        <f aca="false">IF(BT635=1,0,ROUNDUP(AF635/BS635,0))</f>
        <v>1</v>
      </c>
      <c r="AH635" s="59" t="n">
        <f aca="false">IF(CH635&gt;0,CH635*MAX(1,AF635/X635),IF(BT635=1,IF(AF635&lt;=0,0,BW635*MAX(1,IF(H635&gt;0,AF635/H635,1))),IF(R635&gt;0,AG635/R635,0))/MAX(0.1,N(Parameter!$M$21)))</f>
        <v>0.00241545893719807</v>
      </c>
      <c r="AI635" s="57" t="n">
        <f aca="false">AF635*G635</f>
        <v>1.45</v>
      </c>
      <c r="AJ635" s="57" t="n">
        <f aca="false">ROUNDUP(MAX(J635/IF(BZ635&gt;0,BZ635,MAX(0.1,N(Cockpit!$C$6))),CC635)/BS635,0)*BS635</f>
        <v>76</v>
      </c>
      <c r="AK635" s="58" t="n">
        <f aca="false">IF(AH635&gt;0,J635/AH635,-1)</f>
        <v>0</v>
      </c>
      <c r="AL635" s="58" t="n">
        <f aca="false">IF(AND(OR(BY635="L1",BY635="L23"),AH635&gt;0),SUMIFS($AH$7:$AH$1843,$BY$7:$BY$1843,BY635,$AK$7:$AK$1843,"&gt;"&amp;AK635)+SUMIFS($AH$7:$AH$1843,$BY$7:$BY$1843,BY635,$AK$7:$AK$1843,AK635,$BQ$7:$BQ$1843,"&lt;="&amp;BQ635),"")</f>
        <v>76.4296898753421</v>
      </c>
      <c r="AM635" s="65" t="n">
        <f aca="false">IF(AL635="",0,MAX(0,MIN(1,(IF(BY635="L1",Parameter!$E$5,Parameter!$E$6+Parameter!$E$7)-(AL635-AH635))/AH635)))</f>
        <v>1</v>
      </c>
      <c r="AN635" s="57" t="n">
        <f aca="false">IF(LEFT(Cockpit!$I$5,1)="A",H635,IF(CA635=1,CB635,IF(LEFT(Cockpit!$I$5,1)="B",AR635,MAX(AR635,H635))))</f>
        <v>76</v>
      </c>
      <c r="AO635" s="57" t="n">
        <f aca="false">IF(BT635=1,0,ROUNDUP(AN635/BS635,0))</f>
        <v>2</v>
      </c>
      <c r="AP635" s="59" t="n">
        <f aca="false">IF(CH635&gt;0,CH635*MAX(1,AN635/X635),IF(BT635=1,IF(AN635&lt;=0,0,BW635*MAX(1,IF(H635&gt;0,AN635/H635,1))),IF(R635&gt;0,AO635/R635,0))/MAX(0.1,N(Parameter!$M$21)))</f>
        <v>0.00483091787439614</v>
      </c>
      <c r="AQ635" s="57" t="n">
        <f aca="false">AN635*G635</f>
        <v>3.8</v>
      </c>
      <c r="AR635" s="57" t="n">
        <f aca="false">ROUNDUP(MAX(J635/IF(BZ635&gt;0,BZ635,MAX(0.1,N(Cockpit!$I$6))),CC635)/BS635,0)*BS635</f>
        <v>76</v>
      </c>
      <c r="AS635" s="58" t="n">
        <f aca="false">IF(AP635&gt;0,J635/AP635,-1)</f>
        <v>0</v>
      </c>
      <c r="AT635" s="58" t="n">
        <f aca="false">IF(AND(OR(BY635="L1",BY635="L23"),AP635&gt;0),SUMIFS($AP$7:$AP$1843,$BY$7:$BY$1843,BY635,$AS$7:$AS$1843,"&gt;"&amp;AS635)+SUMIFS($AP$7:$AP$1843,$BY$7:$BY$1843,BY635,$AS$7:$AS$1843,AS635,$BQ$7:$BQ$1843,"&lt;="&amp;BQ635),"")</f>
        <v>115.894691057735</v>
      </c>
      <c r="AU635" s="65" t="n">
        <f aca="false">IF(AT635="",0,MAX(0,MIN(1,(IF(BY635="L1",Parameter!$E$5,Parameter!$E$6+Parameter!$E$7)-(AT635-AP635))/AP635)))</f>
        <v>0</v>
      </c>
      <c r="AV635" s="57" t="n">
        <f aca="false">IF(LEFT(Cockpit!$O$5,1)="A",H635,IF(CA635=1,CB635,IF(LEFT(Cockpit!$O$5,1)="B",AZ635,MAX(AZ635,H635))))</f>
        <v>76</v>
      </c>
      <c r="AW635" s="57" t="n">
        <f aca="false">IF(BT635=1,0,ROUNDUP(AV635/BS635,0))</f>
        <v>2</v>
      </c>
      <c r="AX635" s="59" t="n">
        <f aca="false">IF(CH635&gt;0,CH635*MAX(1,AV635/X635),IF(BT635=1,IF(AV635&lt;=0,0,BW635*MAX(1,IF(H635&gt;0,AV635/H635,1))),IF(R635&gt;0,AW635/R635,0))/MAX(0.1,N(Parameter!$M$21)))</f>
        <v>0.00483091787439614</v>
      </c>
      <c r="AY635" s="57" t="n">
        <f aca="false">AV635*G635</f>
        <v>3.8</v>
      </c>
      <c r="AZ635" s="57" t="n">
        <f aca="false">ROUNDUP(MAX(J635/IF(BZ635&gt;0,BZ635,MAX(0.1,N(Cockpit!$O$6))),CC635)/BS635,0)*BS635</f>
        <v>76</v>
      </c>
      <c r="BA635" s="58" t="n">
        <f aca="false">IF(AX635&gt;0,J635/AX635,-1)</f>
        <v>0</v>
      </c>
      <c r="BB635" s="58" t="n">
        <f aca="false">IF(AND(OR(BY635="L1",BY635="L23"),AX635&gt;0),SUMIFS($AX$7:$AX$1843,$BY$7:$BY$1843,BY635,$BA$7:$BA$1843,"&gt;"&amp;BA635)+SUMIFS($AX$7:$AX$1843,$BY$7:$BY$1843,BY635,$BA$7:$BA$1843,BA635,$BQ$7:$BQ$1843,"&lt;="&amp;BQ635),"")</f>
        <v>106.724527887571</v>
      </c>
      <c r="BC635" s="65" t="n">
        <f aca="false">IF(BB635="",0,MAX(0,MIN(1,(IF(BY635="L1",Parameter!$E$5,Parameter!$E$6+Parameter!$E$7)-(BB635-AX635))/AX635)))</f>
        <v>0</v>
      </c>
      <c r="BD635" s="55" t="str">
        <f aca="false">IF(AH635&lt;=0,"",IF(BY635="Aussen","Aussenlager",IF(BY635="-","Nicht im Lift",IF(AM635&gt;=1,"Lift",IF(AM635&lt;=0,"Aussenlager","teilweise")))))</f>
        <v>Lift</v>
      </c>
      <c r="BE635" s="55" t="str">
        <f aca="false">IF(AP635&lt;=0,"",IF(BY635="Aussen","Aussenlager",IF(BY635="-","Nicht im Lift",IF(AU635&gt;=1,"Lift",IF(AU635&lt;=0,"Aussenlager","teilweise")))))</f>
        <v>Aussenlager</v>
      </c>
      <c r="BF635" s="55" t="str">
        <f aca="false">IF(AX635&lt;=0,"",IF(BY635="Aussen","Aussenlager",IF(BY635="-","Nicht im Lift",IF(BC635&gt;=1,"Lift",IF(BC635&lt;=0,"Aussenlager","teilweise")))))</f>
        <v>Aussenlager</v>
      </c>
      <c r="BG635" s="55" t="str">
        <f aca="false">IF(A635="","",IF(BP635=1,"Neu; ","")&amp;IF(AND(BP635=0,BK635&lt;0),"negativer Bestand (Export "&amp;BK635&amp;"); ","")&amp;IF(J635&lt;=0,"Kein Verbrauch; ","")&amp;IF(CH635&gt;0,"Lift "&amp;W635&amp;" lt. Liftbericht (Fach "&amp;X635&amp;" Stk); ",IF(BU635=1,"Gebinde geschätzt ("&amp;T635&amp;"); ",IF(BT635=1,"Lose – Tablare geschätzt; ","")))&amp;IF(H635&gt;AR635,"Überbestand "&amp;ROUND(H635-AR635,0)&amp;" Stk / CHF "&amp;ROUND((H635-AR635)*G635,0)&amp;"; ","")&amp;IF(AND(CA635=1,CB635&lt;CC635),"MAX &lt; MB+LG; ","")&amp;IF(AND(CG635&gt;0,CF635*10&gt;CG635),"zu hoch für Tablar; ","")&amp;IF(AND(BP635=0,OR(CA635=1,AA635&lt;&gt;"",U635&lt;&gt;"",V635&lt;&gt;"",AB635&lt;&gt;"")),"manuell übersteuert; ","")&amp;IF(AND(BT635=0,R635=0),"Gebinde unbekannt / Stellmass fehlt; ","")&amp;IF(AND(BT635=0,N(V635)&lt;=0,N(Q635)&lt;=0),"Menge pro Gebinde fehlt (Ist = 1 Gebinde); ","")&amp;BO635)</f>
        <v>Kein Verbrauch; </v>
      </c>
      <c r="BH635" s="55"/>
      <c r="BI635" s="55"/>
      <c r="BJ635" s="62"/>
      <c r="BK635" s="57" t="n">
        <v>24</v>
      </c>
      <c r="BL635" s="57" t="n">
        <v>5</v>
      </c>
      <c r="BM635" s="56" t="n">
        <v>1.2</v>
      </c>
      <c r="BN635" s="57" t="n">
        <v>0</v>
      </c>
      <c r="BO635" s="55"/>
      <c r="BP635" s="60" t="n">
        <v>0</v>
      </c>
      <c r="BQ635" s="60" t="n">
        <v>635</v>
      </c>
      <c r="BR635" s="55" t="str">
        <f aca="false">IF(U635&lt;&gt;"",UPPER(TRIM(U635)),IF(BU635=1,UPPER(VLOOKUP(T635,Parameter!$I$27:$K$29,2,0)),IF(P635="","LOSE",P635)))</f>
        <v>S21</v>
      </c>
      <c r="BS635" s="57" t="n">
        <f aca="false">IF(BR635="LOSE",1,IF(N(V635)&gt;0,V635,IF(BU635=1,MAX(1,N(VLOOKUP(T635,Parameter!$I$27:$K$29,3,0)),H635,N(N635)),IF(N(Q635)&gt;0,Q635,MAX(1,H635)))))</f>
        <v>38</v>
      </c>
      <c r="BT635" s="60" t="n">
        <f aca="false">IF(BR635="LOSE",1,0)</f>
        <v>0</v>
      </c>
      <c r="BU635" s="60" t="n">
        <f aca="false">IF(AND(U635="",OR(P635="",P635="LOSE"),T635&lt;&gt;"",N(S635)&lt;=0,ISNUMBER(MATCH(T635,Parameter!$I$27:$I$29,0))),1,0)</f>
        <v>0</v>
      </c>
      <c r="BV635" s="55" t="str">
        <f aca="false">IF(AND(Parameter!$B$19="Ja",E635&lt;&gt;"",ISNUMBER(MATCH(E635,Parameter!$I$35:$I$52,0))),VLOOKUP(E635,Parameter!$I$35:$J$52,2,0),IFERROR(VLOOKUP(D635,Parameter!$A$35:$C$64,2,0),"Nein"))</f>
        <v>2+3</v>
      </c>
      <c r="BW635" s="59" t="n">
        <f aca="false">IF(BT635=0,0,IF(N(S635)&gt;0,S635,IFERROR(VLOOKUP(D635,Parameter!$A$35:$C$64,3,0)+0,0)))</f>
        <v>0</v>
      </c>
      <c r="BX635" s="55" t="n">
        <f aca="false">IF(AA635&lt;&gt;"",AA635,Z635)</f>
        <v>3</v>
      </c>
      <c r="BY635" s="55" t="str">
        <f aca="false">IF(BX635=1,"L1",IF(OR(BX635=2,BX635=3),"L23",IF(BX635="Aussen","Aussen","-")))</f>
        <v>L23</v>
      </c>
      <c r="BZ635" s="66" t="n">
        <f aca="false">IF(N(AB635)&gt;0,AB635,0)</f>
        <v>0</v>
      </c>
      <c r="CA635" s="60" t="n">
        <f aca="false">IF(ISNUMBER(AE635),1,0)</f>
        <v>0</v>
      </c>
      <c r="CB635" s="57" t="n">
        <f aca="false">N(AE635)</f>
        <v>0</v>
      </c>
      <c r="CC635" s="57" t="n">
        <f aca="false">N(M635)+N(N635)</f>
        <v>51</v>
      </c>
      <c r="CD635" s="57" t="n">
        <f aca="false">ROUNDUP(H635/BS635,0)</f>
        <v>1</v>
      </c>
      <c r="CE635" s="57" t="n">
        <f aca="false">ROUNDUP(CB635/BS635,0)</f>
        <v>0</v>
      </c>
      <c r="CF635" s="60" t="n">
        <f aca="false">IF(BT635=1,0,IFERROR(VLOOKUP(BR635,'Gebinde-Kategorie'!$A$5:$M$45,5,0)+0,0))</f>
        <v>8</v>
      </c>
      <c r="CG635" s="60" t="n">
        <f aca="false">IFERROR(IF(OR(BX635=1,BX635=2,BX635=3),N(INDEX(Parameter!$I$5:$I$7,BX635)),0),0)</f>
        <v>0</v>
      </c>
      <c r="CH635" s="59" t="n">
        <f aca="false">IF(AND(Parameter!$B$21="Ja",ISNUMBER(W635),N(X635)&gt;0),IFERROR(N(INDEX(Parameter!$L$5:$L$7,W635))*INDEX(Parameter!$E$5:$E$7,W635)*X635/SUMIFS($X$7:$X$1843,$W$7:$W$1843,W635),0),0)</f>
        <v>0</v>
      </c>
    </row>
    <row r="636" customFormat="false" ht="15" hidden="false" customHeight="false" outlineLevel="0" collapsed="false">
      <c r="A636" s="55" t="s">
        <v>1297</v>
      </c>
      <c r="B636" s="55" t="s">
        <v>405</v>
      </c>
      <c r="C636" s="55" t="s">
        <v>164</v>
      </c>
      <c r="D636" s="55" t="s">
        <v>184</v>
      </c>
      <c r="E636" s="55" t="s">
        <v>185</v>
      </c>
      <c r="F636" s="55" t="s">
        <v>218</v>
      </c>
      <c r="G636" s="56" t="n">
        <v>0.12</v>
      </c>
      <c r="H636" s="57" t="n">
        <f aca="false">MAX(0,IF(AND(Parameter!$B$21="Ja",ISNUMBER(Y636)),Y636,IF(Parameter!$B$20="Jahresanfang 2025 + Export",BL636+BK636,BK636)))</f>
        <v>739</v>
      </c>
      <c r="I636" s="57" t="n">
        <f aca="false">H636*G636</f>
        <v>88.68</v>
      </c>
      <c r="J636" s="57" t="n">
        <f aca="false">BN636*Parameter!$B$18</f>
        <v>1971</v>
      </c>
      <c r="K636" s="58" t="n">
        <v>593.5</v>
      </c>
      <c r="L636" s="59" t="n">
        <v>3.32097725358046</v>
      </c>
      <c r="M636" s="57" t="n">
        <v>114</v>
      </c>
      <c r="N636" s="57" t="n">
        <v>500</v>
      </c>
      <c r="O636" s="60" t="n">
        <v>21</v>
      </c>
      <c r="P636" s="55" t="s">
        <v>233</v>
      </c>
      <c r="Q636" s="57" t="n">
        <v>976</v>
      </c>
      <c r="R636" s="60" t="n">
        <f aca="false">IF(BT636=1,0,IFERROR(VLOOKUP(BR636,'Gebinde-Kategorie'!$A$5:$M$45,13,0)+0,0))</f>
        <v>26</v>
      </c>
      <c r="S636" s="61"/>
      <c r="T636" s="62"/>
      <c r="U636" s="62"/>
      <c r="V636" s="62"/>
      <c r="W636" s="55"/>
      <c r="X636" s="57"/>
      <c r="Y636" s="57"/>
      <c r="Z636" s="55" t="n">
        <f aca="false">IF(A636="","",IF(AND(Parameter!$B$21="Ja",ISNUMBER(W636)),W636,IF(BV636="2+3",IF(ISNUMBER(SEARCH("grosser Artikel",BO636)),2,IFERROR(VLOOKUP(BR636,Parameter!$F$35:$G$64,2,0),2)),IF(OR(BV636="Nein",BV636=""),"-",BV636))))</f>
        <v>3</v>
      </c>
      <c r="AA636" s="62"/>
      <c r="AB636" s="63"/>
      <c r="AC636" s="57" t="n">
        <f aca="false">AR636</f>
        <v>1952</v>
      </c>
      <c r="AD636" s="57" t="n">
        <f aca="false">MAX(AR636,H636)</f>
        <v>1952</v>
      </c>
      <c r="AE636" s="64"/>
      <c r="AF636" s="57" t="n">
        <f aca="false">IF(LEFT(Cockpit!$C$5,1)="A",H636,IF(CA636=1,CB636,IF(LEFT(Cockpit!$C$5,1)="B",AJ636,MAX(AJ636,H636))))</f>
        <v>739</v>
      </c>
      <c r="AG636" s="57" t="n">
        <f aca="false">IF(BT636=1,0,ROUNDUP(AF636/BS636,0))</f>
        <v>1</v>
      </c>
      <c r="AH636" s="59" t="n">
        <f aca="false">IF(CH636&gt;0,CH636*MAX(1,AF636/X636),IF(BT636=1,IF(AF636&lt;=0,0,BW636*MAX(1,IF(H636&gt;0,AF636/H636,1))),IF(R636&gt;0,AG636/R636,0))/MAX(0.1,N(Parameter!$M$21)))</f>
        <v>0.0384615384615385</v>
      </c>
      <c r="AI636" s="57" t="n">
        <f aca="false">AF636*G636</f>
        <v>88.68</v>
      </c>
      <c r="AJ636" s="57" t="n">
        <f aca="false">ROUNDUP(MAX(J636/IF(BZ636&gt;0,BZ636,MAX(0.1,N(Cockpit!$C$6))),CC636)/BS636,0)*BS636</f>
        <v>1952</v>
      </c>
      <c r="AK636" s="58" t="n">
        <f aca="false">IF(AH636&gt;0,J636/AH636,-1)</f>
        <v>51246</v>
      </c>
      <c r="AL636" s="58" t="n">
        <f aca="false">IF(AND(OR(BY636="L1",BY636="L23"),AH636&gt;0),SUMIFS($AH$7:$AH$1843,$BY$7:$BY$1843,BY636,$AK$7:$AK$1843,"&gt;"&amp;AK636)+SUMIFS($AH$7:$AH$1843,$BY$7:$BY$1843,BY636,$AK$7:$AK$1843,AK636,$BQ$7:$BQ$1843,"&lt;="&amp;BQ636),"")</f>
        <v>1.27321712104321</v>
      </c>
      <c r="AM636" s="65" t="n">
        <f aca="false">IF(AL636="",0,MAX(0,MIN(1,(IF(BY636="L1",Parameter!$E$5,Parameter!$E$6+Parameter!$E$7)-(AL636-AH636))/AH636)))</f>
        <v>1</v>
      </c>
      <c r="AN636" s="57" t="n">
        <f aca="false">IF(LEFT(Cockpit!$I$5,1)="A",H636,IF(CA636=1,CB636,IF(LEFT(Cockpit!$I$5,1)="B",AR636,MAX(AR636,H636))))</f>
        <v>1952</v>
      </c>
      <c r="AO636" s="57" t="n">
        <f aca="false">IF(BT636=1,0,ROUNDUP(AN636/BS636,0))</f>
        <v>2</v>
      </c>
      <c r="AP636" s="59" t="n">
        <f aca="false">IF(CH636&gt;0,CH636*MAX(1,AN636/X636),IF(BT636=1,IF(AN636&lt;=0,0,BW636*MAX(1,IF(H636&gt;0,AN636/H636,1))),IF(R636&gt;0,AO636/R636,0))/MAX(0.1,N(Parameter!$M$21)))</f>
        <v>0.0769230769230769</v>
      </c>
      <c r="AQ636" s="57" t="n">
        <f aca="false">AN636*G636</f>
        <v>234.24</v>
      </c>
      <c r="AR636" s="57" t="n">
        <f aca="false">ROUNDUP(MAX(J636/IF(BZ636&gt;0,BZ636,MAX(0.1,N(Cockpit!$I$6))),CC636)/BS636,0)*BS636</f>
        <v>1952</v>
      </c>
      <c r="AS636" s="58" t="n">
        <f aca="false">IF(AP636&gt;0,J636/AP636,-1)</f>
        <v>25623</v>
      </c>
      <c r="AT636" s="58" t="n">
        <f aca="false">IF(AND(OR(BY636="L1",BY636="L23"),AP636&gt;0),SUMIFS($AP$7:$AP$1843,$BY$7:$BY$1843,BY636,$AS$7:$AS$1843,"&gt;"&amp;AS636)+SUMIFS($AP$7:$AP$1843,$BY$7:$BY$1843,BY636,$AS$7:$AS$1843,AS636,$BQ$7:$BQ$1843,"&lt;="&amp;BQ636),"")</f>
        <v>3.72684199858113</v>
      </c>
      <c r="AU636" s="65" t="n">
        <f aca="false">IF(AT636="",0,MAX(0,MIN(1,(IF(BY636="L1",Parameter!$E$5,Parameter!$E$6+Parameter!$E$7)-(AT636-AP636))/AP636)))</f>
        <v>1</v>
      </c>
      <c r="AV636" s="57" t="n">
        <f aca="false">IF(LEFT(Cockpit!$O$5,1)="A",H636,IF(CA636=1,CB636,IF(LEFT(Cockpit!$O$5,1)="B",AZ636,MAX(AZ636,H636))))</f>
        <v>976</v>
      </c>
      <c r="AW636" s="57" t="n">
        <f aca="false">IF(BT636=1,0,ROUNDUP(AV636/BS636,0))</f>
        <v>1</v>
      </c>
      <c r="AX636" s="59" t="n">
        <f aca="false">IF(CH636&gt;0,CH636*MAX(1,AV636/X636),IF(BT636=1,IF(AV636&lt;=0,0,BW636*MAX(1,IF(H636&gt;0,AV636/H636,1))),IF(R636&gt;0,AW636/R636,0))/MAX(0.1,N(Parameter!$M$21)))</f>
        <v>0.0384615384615385</v>
      </c>
      <c r="AY636" s="57" t="n">
        <f aca="false">AV636*G636</f>
        <v>117.12</v>
      </c>
      <c r="AZ636" s="57" t="n">
        <f aca="false">ROUNDUP(MAX(J636/IF(BZ636&gt;0,BZ636,MAX(0.1,N(Cockpit!$O$6))),CC636)/BS636,0)*BS636</f>
        <v>976</v>
      </c>
      <c r="BA636" s="58" t="n">
        <f aca="false">IF(AX636&gt;0,J636/AX636,-1)</f>
        <v>51246</v>
      </c>
      <c r="BB636" s="58" t="n">
        <f aca="false">IF(AND(OR(BY636="L1",BY636="L23"),AX636&gt;0),SUMIFS($AX$7:$AX$1843,$BY$7:$BY$1843,BY636,$BA$7:$BA$1843,"&gt;"&amp;BA636)+SUMIFS($AX$7:$AX$1843,$BY$7:$BY$1843,BY636,$BA$7:$BA$1843,BA636,$BQ$7:$BQ$1843,"&lt;="&amp;BQ636),"")</f>
        <v>1.32278470321949</v>
      </c>
      <c r="BC636" s="65" t="n">
        <f aca="false">IF(BB636="",0,MAX(0,MIN(1,(IF(BY636="L1",Parameter!$E$5,Parameter!$E$6+Parameter!$E$7)-(BB636-AX636))/AX636)))</f>
        <v>1</v>
      </c>
      <c r="BD636" s="55" t="str">
        <f aca="false">IF(AH636&lt;=0,"",IF(BY636="Aussen","Aussenlager",IF(BY636="-","Nicht im Lift",IF(AM636&gt;=1,"Lift",IF(AM636&lt;=0,"Aussenlager","teilweise")))))</f>
        <v>Lift</v>
      </c>
      <c r="BE636" s="55" t="str">
        <f aca="false">IF(AP636&lt;=0,"",IF(BY636="Aussen","Aussenlager",IF(BY636="-","Nicht im Lift",IF(AU636&gt;=1,"Lift",IF(AU636&lt;=0,"Aussenlager","teilweise")))))</f>
        <v>Lift</v>
      </c>
      <c r="BF636" s="55" t="str">
        <f aca="false">IF(AX636&lt;=0,"",IF(BY636="Aussen","Aussenlager",IF(BY636="-","Nicht im Lift",IF(BC636&gt;=1,"Lift",IF(BC636&lt;=0,"Aussenlager","teilweise")))))</f>
        <v>Lift</v>
      </c>
      <c r="BG636" s="55" t="str">
        <f aca="false">IF(A636="","",IF(BP636=1,"Neu; ","")&amp;IF(AND(BP636=0,BK636&lt;0),"negativer Bestand (Export "&amp;BK636&amp;"); ","")&amp;IF(J636&lt;=0,"Kein Verbrauch; ","")&amp;IF(CH636&gt;0,"Lift "&amp;W636&amp;" lt. Liftbericht (Fach "&amp;X636&amp;" Stk); ",IF(BU636=1,"Gebinde geschätzt ("&amp;T636&amp;"); ",IF(BT636=1,"Lose – Tablare geschätzt; ","")))&amp;IF(H636&gt;AR636,"Überbestand "&amp;ROUND(H636-AR636,0)&amp;" Stk / CHF "&amp;ROUND((H636-AR636)*G636,0)&amp;"; ","")&amp;IF(AND(CA636=1,CB636&lt;CC636),"MAX &lt; MB+LG; ","")&amp;IF(AND(CG636&gt;0,CF636*10&gt;CG636),"zu hoch für Tablar; ","")&amp;IF(AND(BP636=0,OR(CA636=1,AA636&lt;&gt;"",U636&lt;&gt;"",V636&lt;&gt;"",AB636&lt;&gt;"")),"manuell übersteuert; ","")&amp;IF(AND(BT636=0,R636=0),"Gebinde unbekannt / Stellmass fehlt; ","")&amp;IF(AND(BT636=0,N(V636)&lt;=0,N(Q636)&lt;=0),"Menge pro Gebinde fehlt (Ist = 1 Gebinde); ","")&amp;BO636)</f>
        <v/>
      </c>
      <c r="BH636" s="55"/>
      <c r="BI636" s="55"/>
      <c r="BJ636" s="62"/>
      <c r="BK636" s="57" t="n">
        <v>9</v>
      </c>
      <c r="BL636" s="57" t="n">
        <v>730</v>
      </c>
      <c r="BM636" s="56" t="n">
        <v>1.07999999999998</v>
      </c>
      <c r="BN636" s="57" t="n">
        <v>1971</v>
      </c>
      <c r="BO636" s="55"/>
      <c r="BP636" s="60" t="n">
        <v>0</v>
      </c>
      <c r="BQ636" s="60" t="n">
        <v>636</v>
      </c>
      <c r="BR636" s="55" t="str">
        <f aca="false">IF(U636&lt;&gt;"",UPPER(TRIM(U636)),IF(BU636=1,UPPER(VLOOKUP(T636,Parameter!$I$27:$K$29,2,0)),IF(P636="","LOSE",P636)))</f>
        <v>S52</v>
      </c>
      <c r="BS636" s="57" t="n">
        <f aca="false">IF(BR636="LOSE",1,IF(N(V636)&gt;0,V636,IF(BU636=1,MAX(1,N(VLOOKUP(T636,Parameter!$I$27:$K$29,3,0)),H636,N(N636)),IF(N(Q636)&gt;0,Q636,MAX(1,H636)))))</f>
        <v>976</v>
      </c>
      <c r="BT636" s="60" t="n">
        <f aca="false">IF(BR636="LOSE",1,0)</f>
        <v>0</v>
      </c>
      <c r="BU636" s="60" t="n">
        <f aca="false">IF(AND(U636="",OR(P636="",P636="LOSE"),T636&lt;&gt;"",N(S636)&lt;=0,ISNUMBER(MATCH(T636,Parameter!$I$27:$I$29,0))),1,0)</f>
        <v>0</v>
      </c>
      <c r="BV636" s="55" t="str">
        <f aca="false">IF(AND(Parameter!$B$19="Ja",E636&lt;&gt;"",ISNUMBER(MATCH(E636,Parameter!$I$35:$I$52,0))),VLOOKUP(E636,Parameter!$I$35:$J$52,2,0),IFERROR(VLOOKUP(D636,Parameter!$A$35:$C$64,2,0),"Nein"))</f>
        <v>2+3</v>
      </c>
      <c r="BW636" s="59" t="n">
        <f aca="false">IF(BT636=0,0,IF(N(S636)&gt;0,S636,IFERROR(VLOOKUP(D636,Parameter!$A$35:$C$64,3,0)+0,0)))</f>
        <v>0</v>
      </c>
      <c r="BX636" s="55" t="n">
        <f aca="false">IF(AA636&lt;&gt;"",AA636,Z636)</f>
        <v>3</v>
      </c>
      <c r="BY636" s="55" t="str">
        <f aca="false">IF(BX636=1,"L1",IF(OR(BX636=2,BX636=3),"L23",IF(BX636="Aussen","Aussen","-")))</f>
        <v>L23</v>
      </c>
      <c r="BZ636" s="66" t="n">
        <f aca="false">IF(N(AB636)&gt;0,AB636,0)</f>
        <v>0</v>
      </c>
      <c r="CA636" s="60" t="n">
        <f aca="false">IF(ISNUMBER(AE636),1,0)</f>
        <v>0</v>
      </c>
      <c r="CB636" s="57" t="n">
        <f aca="false">N(AE636)</f>
        <v>0</v>
      </c>
      <c r="CC636" s="57" t="n">
        <f aca="false">N(M636)+N(N636)</f>
        <v>614</v>
      </c>
      <c r="CD636" s="57" t="n">
        <f aca="false">ROUNDUP(H636/BS636,0)</f>
        <v>1</v>
      </c>
      <c r="CE636" s="57" t="n">
        <f aca="false">ROUNDUP(CB636/BS636,0)</f>
        <v>0</v>
      </c>
      <c r="CF636" s="60" t="n">
        <f aca="false">IF(BT636=1,0,IFERROR(VLOOKUP(BR636,'Gebinde-Kategorie'!$A$5:$M$45,5,0)+0,0))</f>
        <v>21</v>
      </c>
      <c r="CG636" s="60" t="n">
        <f aca="false">IFERROR(IF(OR(BX636=1,BX636=2,BX636=3),N(INDEX(Parameter!$I$5:$I$7,BX636)),0),0)</f>
        <v>0</v>
      </c>
      <c r="CH636" s="59" t="n">
        <f aca="false">IF(AND(Parameter!$B$21="Ja",ISNUMBER(W636),N(X636)&gt;0),IFERROR(N(INDEX(Parameter!$L$5:$L$7,W636))*INDEX(Parameter!$E$5:$E$7,W636)*X636/SUMIFS($X$7:$X$1843,$W$7:$W$1843,W636),0),0)</f>
        <v>0</v>
      </c>
    </row>
    <row r="637" customFormat="false" ht="15" hidden="false" customHeight="false" outlineLevel="0" collapsed="false">
      <c r="A637" s="55" t="s">
        <v>1298</v>
      </c>
      <c r="B637" s="55" t="s">
        <v>1299</v>
      </c>
      <c r="C637" s="55" t="s">
        <v>164</v>
      </c>
      <c r="D637" s="55" t="s">
        <v>173</v>
      </c>
      <c r="E637" s="55"/>
      <c r="F637" s="55" t="s">
        <v>218</v>
      </c>
      <c r="G637" s="56" t="n">
        <v>0.01</v>
      </c>
      <c r="H637" s="57" t="n">
        <f aca="false">MAX(0,IF(AND(Parameter!$B$21="Ja",ISNUMBER(Y637)),Y637,IF(Parameter!$B$20="Jahresanfang 2025 + Export",BL637+BK637,BK637)))</f>
        <v>59</v>
      </c>
      <c r="I637" s="57" t="n">
        <f aca="false">H637*G637</f>
        <v>0.59</v>
      </c>
      <c r="J637" s="57" t="n">
        <f aca="false">BN637*Parameter!$B$18</f>
        <v>0</v>
      </c>
      <c r="K637" s="58" t="n">
        <v>0</v>
      </c>
      <c r="L637" s="59" t="n">
        <v>0</v>
      </c>
      <c r="M637" s="57" t="n">
        <v>0</v>
      </c>
      <c r="N637" s="57" t="n">
        <v>1</v>
      </c>
      <c r="O637" s="60" t="n">
        <v>14</v>
      </c>
      <c r="P637" s="55" t="s">
        <v>168</v>
      </c>
      <c r="Q637" s="57"/>
      <c r="R637" s="60" t="n">
        <f aca="false">IF(BT637=1,0,IFERROR(VLOOKUP(BR637,'Gebinde-Kategorie'!$A$5:$M$45,13,0)+0,0))</f>
        <v>26</v>
      </c>
      <c r="S637" s="61"/>
      <c r="T637" s="62" t="s">
        <v>275</v>
      </c>
      <c r="U637" s="62"/>
      <c r="V637" s="62"/>
      <c r="W637" s="55"/>
      <c r="X637" s="57"/>
      <c r="Y637" s="57"/>
      <c r="Z637" s="55" t="n">
        <f aca="false">IF(A637="","",IF(AND(Parameter!$B$21="Ja",ISNUMBER(W637)),W637,IF(BV637="2+3",IF(ISNUMBER(SEARCH("grosser Artikel",BO637)),2,IFERROR(VLOOKUP(BR637,Parameter!$F$35:$G$64,2,0),2)),IF(OR(BV637="Nein",BV637=""),"-",BV637))))</f>
        <v>3</v>
      </c>
      <c r="AA637" s="62"/>
      <c r="AB637" s="63"/>
      <c r="AC637" s="57" t="n">
        <f aca="false">AR637</f>
        <v>59</v>
      </c>
      <c r="AD637" s="57" t="n">
        <f aca="false">MAX(AR637,H637)</f>
        <v>59</v>
      </c>
      <c r="AE637" s="64"/>
      <c r="AF637" s="57" t="n">
        <f aca="false">IF(LEFT(Cockpit!$C$5,1)="A",H637,IF(CA637=1,CB637,IF(LEFT(Cockpit!$C$5,1)="B",AJ637,MAX(AJ637,H637))))</f>
        <v>59</v>
      </c>
      <c r="AG637" s="57" t="n">
        <f aca="false">IF(BT637=1,0,ROUNDUP(AF637/BS637,0))</f>
        <v>1</v>
      </c>
      <c r="AH637" s="59" t="n">
        <f aca="false">IF(CH637&gt;0,CH637*MAX(1,AF637/X637),IF(BT637=1,IF(AF637&lt;=0,0,BW637*MAX(1,IF(H637&gt;0,AF637/H637,1))),IF(R637&gt;0,AG637/R637,0))/MAX(0.1,N(Parameter!$M$21)))</f>
        <v>0.0384615384615385</v>
      </c>
      <c r="AI637" s="57" t="n">
        <f aca="false">AF637*G637</f>
        <v>0.59</v>
      </c>
      <c r="AJ637" s="57" t="n">
        <f aca="false">ROUNDUP(MAX(J637/IF(BZ637&gt;0,BZ637,MAX(0.1,N(Cockpit!$C$6))),CC637)/BS637,0)*BS637</f>
        <v>59</v>
      </c>
      <c r="AK637" s="58" t="n">
        <f aca="false">IF(AH637&gt;0,J637/AH637,-1)</f>
        <v>0</v>
      </c>
      <c r="AL637" s="58" t="n">
        <f aca="false">IF(AND(OR(BY637="L1",BY637="L23"),AH637&gt;0),SUMIFS($AH$7:$AH$1843,$BY$7:$BY$1843,BY637,$AK$7:$AK$1843,"&gt;"&amp;AK637)+SUMIFS($AH$7:$AH$1843,$BY$7:$BY$1843,BY637,$AK$7:$AK$1843,AK637,$BQ$7:$BQ$1843,"&lt;="&amp;BQ637),"")</f>
        <v>76.4681514138036</v>
      </c>
      <c r="AM637" s="65" t="n">
        <f aca="false">IF(AL637="",0,MAX(0,MIN(1,(IF(BY637="L1",Parameter!$E$5,Parameter!$E$6+Parameter!$E$7)-(AL637-AH637))/AH637)))</f>
        <v>1</v>
      </c>
      <c r="AN637" s="57" t="n">
        <f aca="false">IF(LEFT(Cockpit!$I$5,1)="A",H637,IF(CA637=1,CB637,IF(LEFT(Cockpit!$I$5,1)="B",AR637,MAX(AR637,H637))))</f>
        <v>59</v>
      </c>
      <c r="AO637" s="57" t="n">
        <f aca="false">IF(BT637=1,0,ROUNDUP(AN637/BS637,0))</f>
        <v>1</v>
      </c>
      <c r="AP637" s="59" t="n">
        <f aca="false">IF(CH637&gt;0,CH637*MAX(1,AN637/X637),IF(BT637=1,IF(AN637&lt;=0,0,BW637*MAX(1,IF(H637&gt;0,AN637/H637,1))),IF(R637&gt;0,AO637/R637,0))/MAX(0.1,N(Parameter!$M$21)))</f>
        <v>0.0384615384615385</v>
      </c>
      <c r="AQ637" s="57" t="n">
        <f aca="false">AN637*G637</f>
        <v>0.59</v>
      </c>
      <c r="AR637" s="57" t="n">
        <f aca="false">ROUNDUP(MAX(J637/IF(BZ637&gt;0,BZ637,MAX(0.1,N(Cockpit!$I$6))),CC637)/BS637,0)*BS637</f>
        <v>59</v>
      </c>
      <c r="AS637" s="58" t="n">
        <f aca="false">IF(AP637&gt;0,J637/AP637,-1)</f>
        <v>0</v>
      </c>
      <c r="AT637" s="58" t="n">
        <f aca="false">IF(AND(OR(BY637="L1",BY637="L23"),AP637&gt;0),SUMIFS($AP$7:$AP$1843,$BY$7:$BY$1843,BY637,$AS$7:$AS$1843,"&gt;"&amp;AS637)+SUMIFS($AP$7:$AP$1843,$BY$7:$BY$1843,BY637,$AS$7:$AS$1843,AS637,$BQ$7:$BQ$1843,"&lt;="&amp;BQ637),"")</f>
        <v>115.933152596196</v>
      </c>
      <c r="AU637" s="65" t="n">
        <f aca="false">IF(AT637="",0,MAX(0,MIN(1,(IF(BY637="L1",Parameter!$E$5,Parameter!$E$6+Parameter!$E$7)-(AT637-AP637))/AP637)))</f>
        <v>0</v>
      </c>
      <c r="AV637" s="57" t="n">
        <f aca="false">IF(LEFT(Cockpit!$O$5,1)="A",H637,IF(CA637=1,CB637,IF(LEFT(Cockpit!$O$5,1)="B",AZ637,MAX(AZ637,H637))))</f>
        <v>59</v>
      </c>
      <c r="AW637" s="57" t="n">
        <f aca="false">IF(BT637=1,0,ROUNDUP(AV637/BS637,0))</f>
        <v>1</v>
      </c>
      <c r="AX637" s="59" t="n">
        <f aca="false">IF(CH637&gt;0,CH637*MAX(1,AV637/X637),IF(BT637=1,IF(AV637&lt;=0,0,BW637*MAX(1,IF(H637&gt;0,AV637/H637,1))),IF(R637&gt;0,AW637/R637,0))/MAX(0.1,N(Parameter!$M$21)))</f>
        <v>0.0384615384615385</v>
      </c>
      <c r="AY637" s="57" t="n">
        <f aca="false">AV637*G637</f>
        <v>0.59</v>
      </c>
      <c r="AZ637" s="57" t="n">
        <f aca="false">ROUNDUP(MAX(J637/IF(BZ637&gt;0,BZ637,MAX(0.1,N(Cockpit!$O$6))),CC637)/BS637,0)*BS637</f>
        <v>59</v>
      </c>
      <c r="BA637" s="58" t="n">
        <f aca="false">IF(AX637&gt;0,J637/AX637,-1)</f>
        <v>0</v>
      </c>
      <c r="BB637" s="58" t="n">
        <f aca="false">IF(AND(OR(BY637="L1",BY637="L23"),AX637&gt;0),SUMIFS($AX$7:$AX$1843,$BY$7:$BY$1843,BY637,$BA$7:$BA$1843,"&gt;"&amp;BA637)+SUMIFS($AX$7:$AX$1843,$BY$7:$BY$1843,BY637,$BA$7:$BA$1843,BA637,$BQ$7:$BQ$1843,"&lt;="&amp;BQ637),"")</f>
        <v>106.762989426033</v>
      </c>
      <c r="BC637" s="65" t="n">
        <f aca="false">IF(BB637="",0,MAX(0,MIN(1,(IF(BY637="L1",Parameter!$E$5,Parameter!$E$6+Parameter!$E$7)-(BB637-AX637))/AX637)))</f>
        <v>0</v>
      </c>
      <c r="BD637" s="55" t="str">
        <f aca="false">IF(AH637&lt;=0,"",IF(BY637="Aussen","Aussenlager",IF(BY637="-","Nicht im Lift",IF(AM637&gt;=1,"Lift",IF(AM637&lt;=0,"Aussenlager","teilweise")))))</f>
        <v>Lift</v>
      </c>
      <c r="BE637" s="55" t="str">
        <f aca="false">IF(AP637&lt;=0,"",IF(BY637="Aussen","Aussenlager",IF(BY637="-","Nicht im Lift",IF(AU637&gt;=1,"Lift",IF(AU637&lt;=0,"Aussenlager","teilweise")))))</f>
        <v>Aussenlager</v>
      </c>
      <c r="BF637" s="55" t="str">
        <f aca="false">IF(AX637&lt;=0,"",IF(BY637="Aussen","Aussenlager",IF(BY637="-","Nicht im Lift",IF(BC637&gt;=1,"Lift",IF(BC637&lt;=0,"Aussenlager","teilweise")))))</f>
        <v>Aussenlager</v>
      </c>
      <c r="BG637" s="55" t="str">
        <f aca="false">IF(A637="","",IF(BP637=1,"Neu; ","")&amp;IF(AND(BP637=0,BK637&lt;0),"negativer Bestand (Export "&amp;BK637&amp;"); ","")&amp;IF(J637&lt;=0,"Kein Verbrauch; ","")&amp;IF(CH637&gt;0,"Lift "&amp;W637&amp;" lt. Liftbericht (Fach "&amp;X637&amp;" Stk); ",IF(BU637=1,"Gebinde geschätzt ("&amp;T637&amp;"); ",IF(BT637=1,"Lose – Tablare geschätzt; ","")))&amp;IF(H637&gt;AR637,"Überbestand "&amp;ROUND(H637-AR637,0)&amp;" Stk / CHF "&amp;ROUND((H637-AR637)*G637,0)&amp;"; ","")&amp;IF(AND(CA637=1,CB637&lt;CC637),"MAX &lt; MB+LG; ","")&amp;IF(AND(CG637&gt;0,CF637*10&gt;CG637),"zu hoch für Tablar; ","")&amp;IF(AND(BP637=0,OR(CA637=1,AA637&lt;&gt;"",U637&lt;&gt;"",V637&lt;&gt;"",AB637&lt;&gt;"")),"manuell übersteuert; ","")&amp;IF(AND(BT637=0,R637=0),"Gebinde unbekannt / Stellmass fehlt; ","")&amp;IF(AND(BT637=0,N(V637)&lt;=0,N(Q637)&lt;=0),"Menge pro Gebinde fehlt (Ist = 1 Gebinde); ","")&amp;BO637)</f>
        <v>Kein Verbrauch; Gebinde geschätzt (Klein); Menge pro Gebinde fehlt (Ist = 1 Gebinde); </v>
      </c>
      <c r="BH637" s="55"/>
      <c r="BI637" s="55"/>
      <c r="BJ637" s="62"/>
      <c r="BK637" s="57" t="n">
        <v>59</v>
      </c>
      <c r="BL637" s="57" t="n">
        <v>0</v>
      </c>
      <c r="BM637" s="56" t="n">
        <v>0.59</v>
      </c>
      <c r="BN637" s="57" t="n">
        <v>0</v>
      </c>
      <c r="BO637" s="55"/>
      <c r="BP637" s="60" t="n">
        <v>0</v>
      </c>
      <c r="BQ637" s="60" t="n">
        <v>637</v>
      </c>
      <c r="BR637" s="55" t="str">
        <f aca="false">IF(U637&lt;&gt;"",UPPER(TRIM(U637)),IF(BU637=1,UPPER(VLOOKUP(T637,Parameter!$I$27:$K$29,2,0)),IF(P637="","LOSE",P637)))</f>
        <v>S51</v>
      </c>
      <c r="BS637" s="57" t="n">
        <f aca="false">IF(BR637="LOSE",1,IF(N(V637)&gt;0,V637,IF(BU637=1,MAX(1,N(VLOOKUP(T637,Parameter!$I$27:$K$29,3,0)),H637,N(N637)),IF(N(Q637)&gt;0,Q637,MAX(1,H637)))))</f>
        <v>59</v>
      </c>
      <c r="BT637" s="60" t="n">
        <f aca="false">IF(BR637="LOSE",1,0)</f>
        <v>0</v>
      </c>
      <c r="BU637" s="60" t="n">
        <f aca="false">IF(AND(U637="",OR(P637="",P637="LOSE"),T637&lt;&gt;"",N(S637)&lt;=0,ISNUMBER(MATCH(T637,Parameter!$I$27:$I$29,0))),1,0)</f>
        <v>1</v>
      </c>
      <c r="BV637" s="55" t="str">
        <f aca="false">IF(AND(Parameter!$B$19="Ja",E637&lt;&gt;"",ISNUMBER(MATCH(E637,Parameter!$I$35:$I$52,0))),VLOOKUP(E637,Parameter!$I$35:$J$52,2,0),IFERROR(VLOOKUP(D637,Parameter!$A$35:$C$64,2,0),"Nein"))</f>
        <v>2+3</v>
      </c>
      <c r="BW637" s="59" t="n">
        <f aca="false">IF(BT637=0,0,IF(N(S637)&gt;0,S637,IFERROR(VLOOKUP(D637,Parameter!$A$35:$C$64,3,0)+0,0)))</f>
        <v>0</v>
      </c>
      <c r="BX637" s="55" t="n">
        <f aca="false">IF(AA637&lt;&gt;"",AA637,Z637)</f>
        <v>3</v>
      </c>
      <c r="BY637" s="55" t="str">
        <f aca="false">IF(BX637=1,"L1",IF(OR(BX637=2,BX637=3),"L23",IF(BX637="Aussen","Aussen","-")))</f>
        <v>L23</v>
      </c>
      <c r="BZ637" s="66" t="n">
        <f aca="false">IF(N(AB637)&gt;0,AB637,0)</f>
        <v>0</v>
      </c>
      <c r="CA637" s="60" t="n">
        <f aca="false">IF(ISNUMBER(AE637),1,0)</f>
        <v>0</v>
      </c>
      <c r="CB637" s="57" t="n">
        <f aca="false">N(AE637)</f>
        <v>0</v>
      </c>
      <c r="CC637" s="57" t="n">
        <f aca="false">N(M637)+N(N637)</f>
        <v>1</v>
      </c>
      <c r="CD637" s="57" t="n">
        <f aca="false">ROUNDUP(H637/BS637,0)</f>
        <v>1</v>
      </c>
      <c r="CE637" s="57" t="n">
        <f aca="false">ROUNDUP(CB637/BS637,0)</f>
        <v>0</v>
      </c>
      <c r="CF637" s="60" t="n">
        <f aca="false">IF(BT637=1,0,IFERROR(VLOOKUP(BR637,'Gebinde-Kategorie'!$A$5:$M$45,5,0)+0,0))</f>
        <v>11</v>
      </c>
      <c r="CG637" s="60" t="n">
        <f aca="false">IFERROR(IF(OR(BX637=1,BX637=2,BX637=3),N(INDEX(Parameter!$I$5:$I$7,BX637)),0),0)</f>
        <v>0</v>
      </c>
      <c r="CH637" s="59" t="n">
        <f aca="false">IF(AND(Parameter!$B$21="Ja",ISNUMBER(W637),N(X637)&gt;0),IFERROR(N(INDEX(Parameter!$L$5:$L$7,W637))*INDEX(Parameter!$E$5:$E$7,W637)*X637/SUMIFS($X$7:$X$1843,$W$7:$W$1843,W637),0),0)</f>
        <v>0</v>
      </c>
    </row>
    <row r="638" customFormat="false" ht="15" hidden="false" customHeight="false" outlineLevel="0" collapsed="false">
      <c r="A638" s="55" t="s">
        <v>1300</v>
      </c>
      <c r="B638" s="55" t="s">
        <v>1301</v>
      </c>
      <c r="C638" s="55" t="s">
        <v>164</v>
      </c>
      <c r="D638" s="55" t="s">
        <v>173</v>
      </c>
      <c r="E638" s="55"/>
      <c r="F638" s="55" t="s">
        <v>218</v>
      </c>
      <c r="G638" s="56" t="n">
        <v>0.01</v>
      </c>
      <c r="H638" s="57" t="n">
        <f aca="false">MAX(0,IF(AND(Parameter!$B$21="Ja",ISNUMBER(Y638)),Y638,IF(Parameter!$B$20="Jahresanfang 2025 + Export",BL638+BK638,BK638)))</f>
        <v>43</v>
      </c>
      <c r="I638" s="57" t="n">
        <f aca="false">H638*G638</f>
        <v>0.43</v>
      </c>
      <c r="J638" s="57" t="n">
        <f aca="false">BN638*Parameter!$B$18</f>
        <v>0</v>
      </c>
      <c r="K638" s="58" t="n">
        <v>0</v>
      </c>
      <c r="L638" s="59" t="n">
        <v>0</v>
      </c>
      <c r="M638" s="57" t="n">
        <v>0</v>
      </c>
      <c r="N638" s="57" t="n">
        <v>1</v>
      </c>
      <c r="O638" s="60" t="n">
        <v>999</v>
      </c>
      <c r="P638" s="55" t="s">
        <v>168</v>
      </c>
      <c r="Q638" s="57"/>
      <c r="R638" s="60" t="n">
        <f aca="false">IF(BT638=1,0,IFERROR(VLOOKUP(BR638,'Gebinde-Kategorie'!$A$5:$M$45,13,0)+0,0))</f>
        <v>26</v>
      </c>
      <c r="S638" s="61"/>
      <c r="T638" s="62" t="s">
        <v>275</v>
      </c>
      <c r="U638" s="62"/>
      <c r="V638" s="62"/>
      <c r="W638" s="55"/>
      <c r="X638" s="57"/>
      <c r="Y638" s="57"/>
      <c r="Z638" s="55" t="n">
        <f aca="false">IF(A638="","",IF(AND(Parameter!$B$21="Ja",ISNUMBER(W638)),W638,IF(BV638="2+3",IF(ISNUMBER(SEARCH("grosser Artikel",BO638)),2,IFERROR(VLOOKUP(BR638,Parameter!$F$35:$G$64,2,0),2)),IF(OR(BV638="Nein",BV638=""),"-",BV638))))</f>
        <v>3</v>
      </c>
      <c r="AA638" s="62"/>
      <c r="AB638" s="63"/>
      <c r="AC638" s="57" t="n">
        <f aca="false">AR638</f>
        <v>43</v>
      </c>
      <c r="AD638" s="57" t="n">
        <f aca="false">MAX(AR638,H638)</f>
        <v>43</v>
      </c>
      <c r="AE638" s="64"/>
      <c r="AF638" s="57" t="n">
        <f aca="false">IF(LEFT(Cockpit!$C$5,1)="A",H638,IF(CA638=1,CB638,IF(LEFT(Cockpit!$C$5,1)="B",AJ638,MAX(AJ638,H638))))</f>
        <v>43</v>
      </c>
      <c r="AG638" s="57" t="n">
        <f aca="false">IF(BT638=1,0,ROUNDUP(AF638/BS638,0))</f>
        <v>1</v>
      </c>
      <c r="AH638" s="59" t="n">
        <f aca="false">IF(CH638&gt;0,CH638*MAX(1,AF638/X638),IF(BT638=1,IF(AF638&lt;=0,0,BW638*MAX(1,IF(H638&gt;0,AF638/H638,1))),IF(R638&gt;0,AG638/R638,0))/MAX(0.1,N(Parameter!$M$21)))</f>
        <v>0.0384615384615385</v>
      </c>
      <c r="AI638" s="57" t="n">
        <f aca="false">AF638*G638</f>
        <v>0.43</v>
      </c>
      <c r="AJ638" s="57" t="n">
        <f aca="false">ROUNDUP(MAX(J638/IF(BZ638&gt;0,BZ638,MAX(0.1,N(Cockpit!$C$6))),CC638)/BS638,0)*BS638</f>
        <v>43</v>
      </c>
      <c r="AK638" s="58" t="n">
        <f aca="false">IF(AH638&gt;0,J638/AH638,-1)</f>
        <v>0</v>
      </c>
      <c r="AL638" s="58" t="n">
        <f aca="false">IF(AND(OR(BY638="L1",BY638="L23"),AH638&gt;0),SUMIFS($AH$7:$AH$1843,$BY$7:$BY$1843,BY638,$AK$7:$AK$1843,"&gt;"&amp;AK638)+SUMIFS($AH$7:$AH$1843,$BY$7:$BY$1843,BY638,$AK$7:$AK$1843,AK638,$BQ$7:$BQ$1843,"&lt;="&amp;BQ638),"")</f>
        <v>76.5066129522651</v>
      </c>
      <c r="AM638" s="65" t="n">
        <f aca="false">IF(AL638="",0,MAX(0,MIN(1,(IF(BY638="L1",Parameter!$E$5,Parameter!$E$6+Parameter!$E$7)-(AL638-AH638))/AH638)))</f>
        <v>1</v>
      </c>
      <c r="AN638" s="57" t="n">
        <f aca="false">IF(LEFT(Cockpit!$I$5,1)="A",H638,IF(CA638=1,CB638,IF(LEFT(Cockpit!$I$5,1)="B",AR638,MAX(AR638,H638))))</f>
        <v>43</v>
      </c>
      <c r="AO638" s="57" t="n">
        <f aca="false">IF(BT638=1,0,ROUNDUP(AN638/BS638,0))</f>
        <v>1</v>
      </c>
      <c r="AP638" s="59" t="n">
        <f aca="false">IF(CH638&gt;0,CH638*MAX(1,AN638/X638),IF(BT638=1,IF(AN638&lt;=0,0,BW638*MAX(1,IF(H638&gt;0,AN638/H638,1))),IF(R638&gt;0,AO638/R638,0))/MAX(0.1,N(Parameter!$M$21)))</f>
        <v>0.0384615384615385</v>
      </c>
      <c r="AQ638" s="57" t="n">
        <f aca="false">AN638*G638</f>
        <v>0.43</v>
      </c>
      <c r="AR638" s="57" t="n">
        <f aca="false">ROUNDUP(MAX(J638/IF(BZ638&gt;0,BZ638,MAX(0.1,N(Cockpit!$I$6))),CC638)/BS638,0)*BS638</f>
        <v>43</v>
      </c>
      <c r="AS638" s="58" t="n">
        <f aca="false">IF(AP638&gt;0,J638/AP638,-1)</f>
        <v>0</v>
      </c>
      <c r="AT638" s="58" t="n">
        <f aca="false">IF(AND(OR(BY638="L1",BY638="L23"),AP638&gt;0),SUMIFS($AP$7:$AP$1843,$BY$7:$BY$1843,BY638,$AS$7:$AS$1843,"&gt;"&amp;AS638)+SUMIFS($AP$7:$AP$1843,$BY$7:$BY$1843,BY638,$AS$7:$AS$1843,AS638,$BQ$7:$BQ$1843,"&lt;="&amp;BQ638),"")</f>
        <v>115.971614134658</v>
      </c>
      <c r="AU638" s="65" t="n">
        <f aca="false">IF(AT638="",0,MAX(0,MIN(1,(IF(BY638="L1",Parameter!$E$5,Parameter!$E$6+Parameter!$E$7)-(AT638-AP638))/AP638)))</f>
        <v>0</v>
      </c>
      <c r="AV638" s="57" t="n">
        <f aca="false">IF(LEFT(Cockpit!$O$5,1)="A",H638,IF(CA638=1,CB638,IF(LEFT(Cockpit!$O$5,1)="B",AZ638,MAX(AZ638,H638))))</f>
        <v>43</v>
      </c>
      <c r="AW638" s="57" t="n">
        <f aca="false">IF(BT638=1,0,ROUNDUP(AV638/BS638,0))</f>
        <v>1</v>
      </c>
      <c r="AX638" s="59" t="n">
        <f aca="false">IF(CH638&gt;0,CH638*MAX(1,AV638/X638),IF(BT638=1,IF(AV638&lt;=0,0,BW638*MAX(1,IF(H638&gt;0,AV638/H638,1))),IF(R638&gt;0,AW638/R638,0))/MAX(0.1,N(Parameter!$M$21)))</f>
        <v>0.0384615384615385</v>
      </c>
      <c r="AY638" s="57" t="n">
        <f aca="false">AV638*G638</f>
        <v>0.43</v>
      </c>
      <c r="AZ638" s="57" t="n">
        <f aca="false">ROUNDUP(MAX(J638/IF(BZ638&gt;0,BZ638,MAX(0.1,N(Cockpit!$O$6))),CC638)/BS638,0)*BS638</f>
        <v>43</v>
      </c>
      <c r="BA638" s="58" t="n">
        <f aca="false">IF(AX638&gt;0,J638/AX638,-1)</f>
        <v>0</v>
      </c>
      <c r="BB638" s="58" t="n">
        <f aca="false">IF(AND(OR(BY638="L1",BY638="L23"),AX638&gt;0),SUMIFS($AX$7:$AX$1843,$BY$7:$BY$1843,BY638,$BA$7:$BA$1843,"&gt;"&amp;BA638)+SUMIFS($AX$7:$AX$1843,$BY$7:$BY$1843,BY638,$BA$7:$BA$1843,BA638,$BQ$7:$BQ$1843,"&lt;="&amp;BQ638),"")</f>
        <v>106.801450964494</v>
      </c>
      <c r="BC638" s="65" t="n">
        <f aca="false">IF(BB638="",0,MAX(0,MIN(1,(IF(BY638="L1",Parameter!$E$5,Parameter!$E$6+Parameter!$E$7)-(BB638-AX638))/AX638)))</f>
        <v>0</v>
      </c>
      <c r="BD638" s="55" t="str">
        <f aca="false">IF(AH638&lt;=0,"",IF(BY638="Aussen","Aussenlager",IF(BY638="-","Nicht im Lift",IF(AM638&gt;=1,"Lift",IF(AM638&lt;=0,"Aussenlager","teilweise")))))</f>
        <v>Lift</v>
      </c>
      <c r="BE638" s="55" t="str">
        <f aca="false">IF(AP638&lt;=0,"",IF(BY638="Aussen","Aussenlager",IF(BY638="-","Nicht im Lift",IF(AU638&gt;=1,"Lift",IF(AU638&lt;=0,"Aussenlager","teilweise")))))</f>
        <v>Aussenlager</v>
      </c>
      <c r="BF638" s="55" t="str">
        <f aca="false">IF(AX638&lt;=0,"",IF(BY638="Aussen","Aussenlager",IF(BY638="-","Nicht im Lift",IF(BC638&gt;=1,"Lift",IF(BC638&lt;=0,"Aussenlager","teilweise")))))</f>
        <v>Aussenlager</v>
      </c>
      <c r="BG638" s="55" t="str">
        <f aca="false">IF(A638="","",IF(BP638=1,"Neu; ","")&amp;IF(AND(BP638=0,BK638&lt;0),"negativer Bestand (Export "&amp;BK638&amp;"); ","")&amp;IF(J638&lt;=0,"Kein Verbrauch; ","")&amp;IF(CH638&gt;0,"Lift "&amp;W638&amp;" lt. Liftbericht (Fach "&amp;X638&amp;" Stk); ",IF(BU638=1,"Gebinde geschätzt ("&amp;T638&amp;"); ",IF(BT638=1,"Lose – Tablare geschätzt; ","")))&amp;IF(H638&gt;AR638,"Überbestand "&amp;ROUND(H638-AR638,0)&amp;" Stk / CHF "&amp;ROUND((H638-AR638)*G638,0)&amp;"; ","")&amp;IF(AND(CA638=1,CB638&lt;CC638),"MAX &lt; MB+LG; ","")&amp;IF(AND(CG638&gt;0,CF638*10&gt;CG638),"zu hoch für Tablar; ","")&amp;IF(AND(BP638=0,OR(CA638=1,AA638&lt;&gt;"",U638&lt;&gt;"",V638&lt;&gt;"",AB638&lt;&gt;"")),"manuell übersteuert; ","")&amp;IF(AND(BT638=0,R638=0),"Gebinde unbekannt / Stellmass fehlt; ","")&amp;IF(AND(BT638=0,N(V638)&lt;=0,N(Q638)&lt;=0),"Menge pro Gebinde fehlt (Ist = 1 Gebinde); ","")&amp;BO638)</f>
        <v>Kein Verbrauch; Gebinde geschätzt (Klein); Menge pro Gebinde fehlt (Ist = 1 Gebinde); </v>
      </c>
      <c r="BH638" s="55"/>
      <c r="BI638" s="55"/>
      <c r="BJ638" s="62"/>
      <c r="BK638" s="57" t="n">
        <v>43</v>
      </c>
      <c r="BL638" s="57" t="n">
        <v>0</v>
      </c>
      <c r="BM638" s="56" t="n">
        <v>0.43</v>
      </c>
      <c r="BN638" s="57" t="n">
        <v>0</v>
      </c>
      <c r="BO638" s="55"/>
      <c r="BP638" s="60" t="n">
        <v>0</v>
      </c>
      <c r="BQ638" s="60" t="n">
        <v>638</v>
      </c>
      <c r="BR638" s="55" t="str">
        <f aca="false">IF(U638&lt;&gt;"",UPPER(TRIM(U638)),IF(BU638=1,UPPER(VLOOKUP(T638,Parameter!$I$27:$K$29,2,0)),IF(P638="","LOSE",P638)))</f>
        <v>S51</v>
      </c>
      <c r="BS638" s="57" t="n">
        <f aca="false">IF(BR638="LOSE",1,IF(N(V638)&gt;0,V638,IF(BU638=1,MAX(1,N(VLOOKUP(T638,Parameter!$I$27:$K$29,3,0)),H638,N(N638)),IF(N(Q638)&gt;0,Q638,MAX(1,H638)))))</f>
        <v>43</v>
      </c>
      <c r="BT638" s="60" t="n">
        <f aca="false">IF(BR638="LOSE",1,0)</f>
        <v>0</v>
      </c>
      <c r="BU638" s="60" t="n">
        <f aca="false">IF(AND(U638="",OR(P638="",P638="LOSE"),T638&lt;&gt;"",N(S638)&lt;=0,ISNUMBER(MATCH(T638,Parameter!$I$27:$I$29,0))),1,0)</f>
        <v>1</v>
      </c>
      <c r="BV638" s="55" t="str">
        <f aca="false">IF(AND(Parameter!$B$19="Ja",E638&lt;&gt;"",ISNUMBER(MATCH(E638,Parameter!$I$35:$I$52,0))),VLOOKUP(E638,Parameter!$I$35:$J$52,2,0),IFERROR(VLOOKUP(D638,Parameter!$A$35:$C$64,2,0),"Nein"))</f>
        <v>2+3</v>
      </c>
      <c r="BW638" s="59" t="n">
        <f aca="false">IF(BT638=0,0,IF(N(S638)&gt;0,S638,IFERROR(VLOOKUP(D638,Parameter!$A$35:$C$64,3,0)+0,0)))</f>
        <v>0</v>
      </c>
      <c r="BX638" s="55" t="n">
        <f aca="false">IF(AA638&lt;&gt;"",AA638,Z638)</f>
        <v>3</v>
      </c>
      <c r="BY638" s="55" t="str">
        <f aca="false">IF(BX638=1,"L1",IF(OR(BX638=2,BX638=3),"L23",IF(BX638="Aussen","Aussen","-")))</f>
        <v>L23</v>
      </c>
      <c r="BZ638" s="66" t="n">
        <f aca="false">IF(N(AB638)&gt;0,AB638,0)</f>
        <v>0</v>
      </c>
      <c r="CA638" s="60" t="n">
        <f aca="false">IF(ISNUMBER(AE638),1,0)</f>
        <v>0</v>
      </c>
      <c r="CB638" s="57" t="n">
        <f aca="false">N(AE638)</f>
        <v>0</v>
      </c>
      <c r="CC638" s="57" t="n">
        <f aca="false">N(M638)+N(N638)</f>
        <v>1</v>
      </c>
      <c r="CD638" s="57" t="n">
        <f aca="false">ROUNDUP(H638/BS638,0)</f>
        <v>1</v>
      </c>
      <c r="CE638" s="57" t="n">
        <f aca="false">ROUNDUP(CB638/BS638,0)</f>
        <v>0</v>
      </c>
      <c r="CF638" s="60" t="n">
        <f aca="false">IF(BT638=1,0,IFERROR(VLOOKUP(BR638,'Gebinde-Kategorie'!$A$5:$M$45,5,0)+0,0))</f>
        <v>11</v>
      </c>
      <c r="CG638" s="60" t="n">
        <f aca="false">IFERROR(IF(OR(BX638=1,BX638=2,BX638=3),N(INDEX(Parameter!$I$5:$I$7,BX638)),0),0)</f>
        <v>0</v>
      </c>
      <c r="CH638" s="59" t="n">
        <f aca="false">IF(AND(Parameter!$B$21="Ja",ISNUMBER(W638),N(X638)&gt;0),IFERROR(N(INDEX(Parameter!$L$5:$L$7,W638))*INDEX(Parameter!$E$5:$E$7,W638)*X638/SUMIFS($X$7:$X$1843,$W$7:$W$1843,W638),0),0)</f>
        <v>0</v>
      </c>
    </row>
    <row r="639" customFormat="false" ht="15" hidden="false" customHeight="false" outlineLevel="0" collapsed="false">
      <c r="A639" s="55" t="s">
        <v>1302</v>
      </c>
      <c r="B639" s="55" t="s">
        <v>949</v>
      </c>
      <c r="C639" s="55" t="s">
        <v>164</v>
      </c>
      <c r="D639" s="55" t="s">
        <v>184</v>
      </c>
      <c r="E639" s="55" t="s">
        <v>185</v>
      </c>
      <c r="F639" s="55" t="s">
        <v>218</v>
      </c>
      <c r="G639" s="56" t="n">
        <v>0.38</v>
      </c>
      <c r="H639" s="57" t="n">
        <f aca="false">MAX(0,IF(AND(Parameter!$B$21="Ja",ISNUMBER(Y639)),Y639,IF(Parameter!$B$20="Jahresanfang 2025 + Export",BL639+BK639,BK639)))</f>
        <v>14</v>
      </c>
      <c r="I639" s="57" t="n">
        <f aca="false">H639*G639</f>
        <v>5.32</v>
      </c>
      <c r="J639" s="57" t="n">
        <f aca="false">BN639*Parameter!$B$18</f>
        <v>2</v>
      </c>
      <c r="K639" s="58" t="n">
        <v>12.5</v>
      </c>
      <c r="L639" s="59" t="n">
        <v>0.16</v>
      </c>
      <c r="M639" s="57" t="n">
        <v>0</v>
      </c>
      <c r="N639" s="57" t="n">
        <v>1</v>
      </c>
      <c r="O639" s="60" t="n">
        <v>21</v>
      </c>
      <c r="P639" s="55" t="s">
        <v>426</v>
      </c>
      <c r="Q639" s="57" t="n">
        <v>36</v>
      </c>
      <c r="R639" s="60" t="n">
        <f aca="false">IF(BT639=1,0,IFERROR(VLOOKUP(BR639,'Gebinde-Kategorie'!$A$5:$M$45,13,0)+0,0))</f>
        <v>198</v>
      </c>
      <c r="S639" s="61"/>
      <c r="T639" s="62"/>
      <c r="U639" s="62"/>
      <c r="V639" s="62"/>
      <c r="W639" s="55"/>
      <c r="X639" s="57"/>
      <c r="Y639" s="57"/>
      <c r="Z639" s="55" t="n">
        <f aca="false">IF(A639="","",IF(AND(Parameter!$B$21="Ja",ISNUMBER(W639)),W639,IF(BV639="2+3",IF(ISNUMBER(SEARCH("grosser Artikel",BO639)),2,IFERROR(VLOOKUP(BR639,Parameter!$F$35:$G$64,2,0),2)),IF(OR(BV639="Nein",BV639=""),"-",BV639))))</f>
        <v>3</v>
      </c>
      <c r="AA639" s="62"/>
      <c r="AB639" s="63"/>
      <c r="AC639" s="57" t="n">
        <f aca="false">AR639</f>
        <v>36</v>
      </c>
      <c r="AD639" s="57" t="n">
        <f aca="false">MAX(AR639,H639)</f>
        <v>36</v>
      </c>
      <c r="AE639" s="64"/>
      <c r="AF639" s="57" t="n">
        <f aca="false">IF(LEFT(Cockpit!$C$5,1)="A",H639,IF(CA639=1,CB639,IF(LEFT(Cockpit!$C$5,1)="B",AJ639,MAX(AJ639,H639))))</f>
        <v>14</v>
      </c>
      <c r="AG639" s="57" t="n">
        <f aca="false">IF(BT639=1,0,ROUNDUP(AF639/BS639,0))</f>
        <v>1</v>
      </c>
      <c r="AH639" s="59" t="n">
        <f aca="false">IF(CH639&gt;0,CH639*MAX(1,AF639/X639),IF(BT639=1,IF(AF639&lt;=0,0,BW639*MAX(1,IF(H639&gt;0,AF639/H639,1))),IF(R639&gt;0,AG639/R639,0))/MAX(0.1,N(Parameter!$M$21)))</f>
        <v>0.00505050505050505</v>
      </c>
      <c r="AI639" s="57" t="n">
        <f aca="false">AF639*G639</f>
        <v>5.32</v>
      </c>
      <c r="AJ639" s="57" t="n">
        <f aca="false">ROUNDUP(MAX(J639/IF(BZ639&gt;0,BZ639,MAX(0.1,N(Cockpit!$C$6))),CC639)/BS639,0)*BS639</f>
        <v>36</v>
      </c>
      <c r="AK639" s="58" t="n">
        <f aca="false">IF(AH639&gt;0,J639/AH639,-1)</f>
        <v>396</v>
      </c>
      <c r="AL639" s="58" t="n">
        <f aca="false">IF(AND(OR(BY639="L1",BY639="L23"),AH639&gt;0),SUMIFS($AH$7:$AH$1843,$BY$7:$BY$1843,BY639,$AK$7:$AK$1843,"&gt;"&amp;AK639)+SUMIFS($AH$7:$AH$1843,$BY$7:$BY$1843,BY639,$AK$7:$AK$1843,AK639,$BQ$7:$BQ$1843,"&lt;="&amp;BQ639),"")</f>
        <v>25.9152055673795</v>
      </c>
      <c r="AM639" s="65" t="n">
        <f aca="false">IF(AL639="",0,MAX(0,MIN(1,(IF(BY639="L1",Parameter!$E$5,Parameter!$E$6+Parameter!$E$7)-(AL639-AH639))/AH639)))</f>
        <v>1</v>
      </c>
      <c r="AN639" s="57" t="n">
        <f aca="false">IF(LEFT(Cockpit!$I$5,1)="A",H639,IF(CA639=1,CB639,IF(LEFT(Cockpit!$I$5,1)="B",AR639,MAX(AR639,H639))))</f>
        <v>36</v>
      </c>
      <c r="AO639" s="57" t="n">
        <f aca="false">IF(BT639=1,0,ROUNDUP(AN639/BS639,0))</f>
        <v>1</v>
      </c>
      <c r="AP639" s="59" t="n">
        <f aca="false">IF(CH639&gt;0,CH639*MAX(1,AN639/X639),IF(BT639=1,IF(AN639&lt;=0,0,BW639*MAX(1,IF(H639&gt;0,AN639/H639,1))),IF(R639&gt;0,AO639/R639,0))/MAX(0.1,N(Parameter!$M$21)))</f>
        <v>0.00505050505050505</v>
      </c>
      <c r="AQ639" s="57" t="n">
        <f aca="false">AN639*G639</f>
        <v>13.68</v>
      </c>
      <c r="AR639" s="57" t="n">
        <f aca="false">ROUNDUP(MAX(J639/IF(BZ639&gt;0,BZ639,MAX(0.1,N(Cockpit!$I$6))),CC639)/BS639,0)*BS639</f>
        <v>36</v>
      </c>
      <c r="AS639" s="58" t="n">
        <f aca="false">IF(AP639&gt;0,J639/AP639,-1)</f>
        <v>396</v>
      </c>
      <c r="AT639" s="58" t="n">
        <f aca="false">IF(AND(OR(BY639="L1",BY639="L23"),AP639&gt;0),SUMIFS($AP$7:$AP$1843,$BY$7:$BY$1843,BY639,$AS$7:$AS$1843,"&gt;"&amp;AS639)+SUMIFS($AP$7:$AP$1843,$BY$7:$BY$1843,BY639,$AS$7:$AS$1843,AS639,$BQ$7:$BQ$1843,"&lt;="&amp;BQ639),"")</f>
        <v>35.3535100165535</v>
      </c>
      <c r="AU639" s="65" t="n">
        <f aca="false">IF(AT639="",0,MAX(0,MIN(1,(IF(BY639="L1",Parameter!$E$5,Parameter!$E$6+Parameter!$E$7)-(AT639-AP639))/AP639)))</f>
        <v>1</v>
      </c>
      <c r="AV639" s="57" t="n">
        <f aca="false">IF(LEFT(Cockpit!$O$5,1)="A",H639,IF(CA639=1,CB639,IF(LEFT(Cockpit!$O$5,1)="B",AZ639,MAX(AZ639,H639))))</f>
        <v>36</v>
      </c>
      <c r="AW639" s="57" t="n">
        <f aca="false">IF(BT639=1,0,ROUNDUP(AV639/BS639,0))</f>
        <v>1</v>
      </c>
      <c r="AX639" s="59" t="n">
        <f aca="false">IF(CH639&gt;0,CH639*MAX(1,AV639/X639),IF(BT639=1,IF(AV639&lt;=0,0,BW639*MAX(1,IF(H639&gt;0,AV639/H639,1))),IF(R639&gt;0,AW639/R639,0))/MAX(0.1,N(Parameter!$M$21)))</f>
        <v>0.00505050505050505</v>
      </c>
      <c r="AY639" s="57" t="n">
        <f aca="false">AV639*G639</f>
        <v>13.68</v>
      </c>
      <c r="AZ639" s="57" t="n">
        <f aca="false">ROUNDUP(MAX(J639/IF(BZ639&gt;0,BZ639,MAX(0.1,N(Cockpit!$O$6))),CC639)/BS639,0)*BS639</f>
        <v>36</v>
      </c>
      <c r="BA639" s="58" t="n">
        <f aca="false">IF(AX639&gt;0,J639/AX639,-1)</f>
        <v>396</v>
      </c>
      <c r="BB639" s="58" t="n">
        <f aca="false">IF(AND(OR(BY639="L1",BY639="L23"),AX639&gt;0),SUMIFS($AX$7:$AX$1843,$BY$7:$BY$1843,BY639,$BA$7:$BA$1843,"&gt;"&amp;BA639)+SUMIFS($AX$7:$AX$1843,$BY$7:$BY$1843,BY639,$BA$7:$BA$1843,BA639,$BQ$7:$BQ$1843,"&lt;="&amp;BQ639),"")</f>
        <v>34.600013513057</v>
      </c>
      <c r="BC639" s="65" t="n">
        <f aca="false">IF(BB639="",0,MAX(0,MIN(1,(IF(BY639="L1",Parameter!$E$5,Parameter!$E$6+Parameter!$E$7)-(BB639-AX639))/AX639)))</f>
        <v>1</v>
      </c>
      <c r="BD639" s="55" t="str">
        <f aca="false">IF(AH639&lt;=0,"",IF(BY639="Aussen","Aussenlager",IF(BY639="-","Nicht im Lift",IF(AM639&gt;=1,"Lift",IF(AM639&lt;=0,"Aussenlager","teilweise")))))</f>
        <v>Lift</v>
      </c>
      <c r="BE639" s="55" t="str">
        <f aca="false">IF(AP639&lt;=0,"",IF(BY639="Aussen","Aussenlager",IF(BY639="-","Nicht im Lift",IF(AU639&gt;=1,"Lift",IF(AU639&lt;=0,"Aussenlager","teilweise")))))</f>
        <v>Lift</v>
      </c>
      <c r="BF639" s="55" t="str">
        <f aca="false">IF(AX639&lt;=0,"",IF(BY639="Aussen","Aussenlager",IF(BY639="-","Nicht im Lift",IF(BC639&gt;=1,"Lift",IF(BC639&lt;=0,"Aussenlager","teilweise")))))</f>
        <v>Lift</v>
      </c>
      <c r="BG639" s="55" t="str">
        <f aca="false">IF(A639="","",IF(BP639=1,"Neu; ","")&amp;IF(AND(BP639=0,BK639&lt;0),"negativer Bestand (Export "&amp;BK639&amp;"); ","")&amp;IF(J639&lt;=0,"Kein Verbrauch; ","")&amp;IF(CH639&gt;0,"Lift "&amp;W639&amp;" lt. Liftbericht (Fach "&amp;X639&amp;" Stk); ",IF(BU639=1,"Gebinde geschätzt ("&amp;T639&amp;"); ",IF(BT639=1,"Lose – Tablare geschätzt; ","")))&amp;IF(H639&gt;AR639,"Überbestand "&amp;ROUND(H639-AR639,0)&amp;" Stk / CHF "&amp;ROUND((H639-AR639)*G639,0)&amp;"; ","")&amp;IF(AND(CA639=1,CB639&lt;CC639),"MAX &lt; MB+LG; ","")&amp;IF(AND(CG639&gt;0,CF639*10&gt;CG639),"zu hoch für Tablar; ","")&amp;IF(AND(BP639=0,OR(CA639=1,AA639&lt;&gt;"",U639&lt;&gt;"",V639&lt;&gt;"",AB639&lt;&gt;"")),"manuell übersteuert; ","")&amp;IF(AND(BT639=0,R639=0),"Gebinde unbekannt / Stellmass fehlt; ","")&amp;IF(AND(BT639=0,N(V639)&lt;=0,N(Q639)&lt;=0),"Menge pro Gebinde fehlt (Ist = 1 Gebinde); ","")&amp;BO639)</f>
        <v>Überbestand</v>
      </c>
      <c r="BH639" s="55"/>
      <c r="BI639" s="55"/>
      <c r="BJ639" s="62"/>
      <c r="BK639" s="57" t="n">
        <v>1</v>
      </c>
      <c r="BL639" s="57" t="n">
        <v>13</v>
      </c>
      <c r="BM639" s="56" t="n">
        <v>0.38</v>
      </c>
      <c r="BN639" s="57" t="n">
        <v>2</v>
      </c>
      <c r="BO639" s="55" t="s">
        <v>392</v>
      </c>
      <c r="BP639" s="60" t="n">
        <v>0</v>
      </c>
      <c r="BQ639" s="60" t="n">
        <v>639</v>
      </c>
      <c r="BR639" s="55" t="str">
        <f aca="false">IF(U639&lt;&gt;"",UPPER(TRIM(U639)),IF(BU639=1,UPPER(VLOOKUP(T639,Parameter!$I$27:$K$29,2,0)),IF(P639="","LOSE",P639)))</f>
        <v>S22</v>
      </c>
      <c r="BS639" s="57" t="n">
        <f aca="false">IF(BR639="LOSE",1,IF(N(V639)&gt;0,V639,IF(BU639=1,MAX(1,N(VLOOKUP(T639,Parameter!$I$27:$K$29,3,0)),H639,N(N639)),IF(N(Q639)&gt;0,Q639,MAX(1,H639)))))</f>
        <v>36</v>
      </c>
      <c r="BT639" s="60" t="n">
        <f aca="false">IF(BR639="LOSE",1,0)</f>
        <v>0</v>
      </c>
      <c r="BU639" s="60" t="n">
        <f aca="false">IF(AND(U639="",OR(P639="",P639="LOSE"),T639&lt;&gt;"",N(S639)&lt;=0,ISNUMBER(MATCH(T639,Parameter!$I$27:$I$29,0))),1,0)</f>
        <v>0</v>
      </c>
      <c r="BV639" s="55" t="str">
        <f aca="false">IF(AND(Parameter!$B$19="Ja",E639&lt;&gt;"",ISNUMBER(MATCH(E639,Parameter!$I$35:$I$52,0))),VLOOKUP(E639,Parameter!$I$35:$J$52,2,0),IFERROR(VLOOKUP(D639,Parameter!$A$35:$C$64,2,0),"Nein"))</f>
        <v>2+3</v>
      </c>
      <c r="BW639" s="59" t="n">
        <f aca="false">IF(BT639=0,0,IF(N(S639)&gt;0,S639,IFERROR(VLOOKUP(D639,Parameter!$A$35:$C$64,3,0)+0,0)))</f>
        <v>0</v>
      </c>
      <c r="BX639" s="55" t="n">
        <f aca="false">IF(AA639&lt;&gt;"",AA639,Z639)</f>
        <v>3</v>
      </c>
      <c r="BY639" s="55" t="str">
        <f aca="false">IF(BX639=1,"L1",IF(OR(BX639=2,BX639=3),"L23",IF(BX639="Aussen","Aussen","-")))</f>
        <v>L23</v>
      </c>
      <c r="BZ639" s="66" t="n">
        <f aca="false">IF(N(AB639)&gt;0,AB639,0)</f>
        <v>0</v>
      </c>
      <c r="CA639" s="60" t="n">
        <f aca="false">IF(ISNUMBER(AE639),1,0)</f>
        <v>0</v>
      </c>
      <c r="CB639" s="57" t="n">
        <f aca="false">N(AE639)</f>
        <v>0</v>
      </c>
      <c r="CC639" s="57" t="n">
        <f aca="false">N(M639)+N(N639)</f>
        <v>1</v>
      </c>
      <c r="CD639" s="57" t="n">
        <f aca="false">ROUNDUP(H639/BS639,0)</f>
        <v>1</v>
      </c>
      <c r="CE639" s="57" t="n">
        <f aca="false">ROUNDUP(CB639/BS639,0)</f>
        <v>0</v>
      </c>
      <c r="CF639" s="60" t="n">
        <f aca="false">IF(BT639=1,0,IFERROR(VLOOKUP(BR639,'Gebinde-Kategorie'!$A$5:$M$45,5,0)+0,0))</f>
        <v>8</v>
      </c>
      <c r="CG639" s="60" t="n">
        <f aca="false">IFERROR(IF(OR(BX639=1,BX639=2,BX639=3),N(INDEX(Parameter!$I$5:$I$7,BX639)),0),0)</f>
        <v>0</v>
      </c>
      <c r="CH639" s="59" t="n">
        <f aca="false">IF(AND(Parameter!$B$21="Ja",ISNUMBER(W639),N(X639)&gt;0),IFERROR(N(INDEX(Parameter!$L$5:$L$7,W639))*INDEX(Parameter!$E$5:$E$7,W639)*X639/SUMIFS($X$7:$X$1843,$W$7:$W$1843,W639),0),0)</f>
        <v>0</v>
      </c>
    </row>
    <row r="640" customFormat="false" ht="15" hidden="false" customHeight="false" outlineLevel="0" collapsed="false">
      <c r="A640" s="55" t="s">
        <v>1303</v>
      </c>
      <c r="B640" s="55" t="s">
        <v>1304</v>
      </c>
      <c r="C640" s="55" t="s">
        <v>164</v>
      </c>
      <c r="D640" s="55" t="s">
        <v>173</v>
      </c>
      <c r="E640" s="55"/>
      <c r="F640" s="55" t="s">
        <v>218</v>
      </c>
      <c r="G640" s="56" t="n">
        <v>0.01</v>
      </c>
      <c r="H640" s="57" t="n">
        <f aca="false">MAX(0,IF(AND(Parameter!$B$21="Ja",ISNUMBER(Y640)),Y640,IF(Parameter!$B$20="Jahresanfang 2025 + Export",BL640+BK640,BK640)))</f>
        <v>37</v>
      </c>
      <c r="I640" s="57" t="n">
        <f aca="false">H640*G640</f>
        <v>0.37</v>
      </c>
      <c r="J640" s="57" t="n">
        <f aca="false">BN640*Parameter!$B$18</f>
        <v>0</v>
      </c>
      <c r="K640" s="58" t="n">
        <v>0</v>
      </c>
      <c r="L640" s="59" t="n">
        <v>0</v>
      </c>
      <c r="M640" s="57" t="n">
        <v>0</v>
      </c>
      <c r="N640" s="57" t="n">
        <v>1</v>
      </c>
      <c r="O640" s="60" t="n">
        <v>999</v>
      </c>
      <c r="P640" s="55" t="s">
        <v>168</v>
      </c>
      <c r="Q640" s="57"/>
      <c r="R640" s="60" t="n">
        <f aca="false">IF(BT640=1,0,IFERROR(VLOOKUP(BR640,'Gebinde-Kategorie'!$A$5:$M$45,13,0)+0,0))</f>
        <v>26</v>
      </c>
      <c r="S640" s="61"/>
      <c r="T640" s="62" t="s">
        <v>275</v>
      </c>
      <c r="U640" s="62"/>
      <c r="V640" s="62"/>
      <c r="W640" s="55"/>
      <c r="X640" s="57"/>
      <c r="Y640" s="57"/>
      <c r="Z640" s="55" t="n">
        <f aca="false">IF(A640="","",IF(AND(Parameter!$B$21="Ja",ISNUMBER(W640)),W640,IF(BV640="2+3",IF(ISNUMBER(SEARCH("grosser Artikel",BO640)),2,IFERROR(VLOOKUP(BR640,Parameter!$F$35:$G$64,2,0),2)),IF(OR(BV640="Nein",BV640=""),"-",BV640))))</f>
        <v>3</v>
      </c>
      <c r="AA640" s="62"/>
      <c r="AB640" s="63"/>
      <c r="AC640" s="57" t="n">
        <f aca="false">AR640</f>
        <v>37</v>
      </c>
      <c r="AD640" s="57" t="n">
        <f aca="false">MAX(AR640,H640)</f>
        <v>37</v>
      </c>
      <c r="AE640" s="64"/>
      <c r="AF640" s="57" t="n">
        <f aca="false">IF(LEFT(Cockpit!$C$5,1)="A",H640,IF(CA640=1,CB640,IF(LEFT(Cockpit!$C$5,1)="B",AJ640,MAX(AJ640,H640))))</f>
        <v>37</v>
      </c>
      <c r="AG640" s="57" t="n">
        <f aca="false">IF(BT640=1,0,ROUNDUP(AF640/BS640,0))</f>
        <v>1</v>
      </c>
      <c r="AH640" s="59" t="n">
        <f aca="false">IF(CH640&gt;0,CH640*MAX(1,AF640/X640),IF(BT640=1,IF(AF640&lt;=0,0,BW640*MAX(1,IF(H640&gt;0,AF640/H640,1))),IF(R640&gt;0,AG640/R640,0))/MAX(0.1,N(Parameter!$M$21)))</f>
        <v>0.0384615384615385</v>
      </c>
      <c r="AI640" s="57" t="n">
        <f aca="false">AF640*G640</f>
        <v>0.37</v>
      </c>
      <c r="AJ640" s="57" t="n">
        <f aca="false">ROUNDUP(MAX(J640/IF(BZ640&gt;0,BZ640,MAX(0.1,N(Cockpit!$C$6))),CC640)/BS640,0)*BS640</f>
        <v>37</v>
      </c>
      <c r="AK640" s="58" t="n">
        <f aca="false">IF(AH640&gt;0,J640/AH640,-1)</f>
        <v>0</v>
      </c>
      <c r="AL640" s="58" t="n">
        <f aca="false">IF(AND(OR(BY640="L1",BY640="L23"),AH640&gt;0),SUMIFS($AH$7:$AH$1843,$BY$7:$BY$1843,BY640,$AK$7:$AK$1843,"&gt;"&amp;AK640)+SUMIFS($AH$7:$AH$1843,$BY$7:$BY$1843,BY640,$AK$7:$AK$1843,AK640,$BQ$7:$BQ$1843,"&lt;="&amp;BQ640),"")</f>
        <v>76.5450744907267</v>
      </c>
      <c r="AM640" s="65" t="n">
        <f aca="false">IF(AL640="",0,MAX(0,MIN(1,(IF(BY640="L1",Parameter!$E$5,Parameter!$E$6+Parameter!$E$7)-(AL640-AH640))/AH640)))</f>
        <v>1</v>
      </c>
      <c r="AN640" s="57" t="n">
        <f aca="false">IF(LEFT(Cockpit!$I$5,1)="A",H640,IF(CA640=1,CB640,IF(LEFT(Cockpit!$I$5,1)="B",AR640,MAX(AR640,H640))))</f>
        <v>37</v>
      </c>
      <c r="AO640" s="57" t="n">
        <f aca="false">IF(BT640=1,0,ROUNDUP(AN640/BS640,0))</f>
        <v>1</v>
      </c>
      <c r="AP640" s="59" t="n">
        <f aca="false">IF(CH640&gt;0,CH640*MAX(1,AN640/X640),IF(BT640=1,IF(AN640&lt;=0,0,BW640*MAX(1,IF(H640&gt;0,AN640/H640,1))),IF(R640&gt;0,AO640/R640,0))/MAX(0.1,N(Parameter!$M$21)))</f>
        <v>0.0384615384615385</v>
      </c>
      <c r="AQ640" s="57" t="n">
        <f aca="false">AN640*G640</f>
        <v>0.37</v>
      </c>
      <c r="AR640" s="57" t="n">
        <f aca="false">ROUNDUP(MAX(J640/IF(BZ640&gt;0,BZ640,MAX(0.1,N(Cockpit!$I$6))),CC640)/BS640,0)*BS640</f>
        <v>37</v>
      </c>
      <c r="AS640" s="58" t="n">
        <f aca="false">IF(AP640&gt;0,J640/AP640,-1)</f>
        <v>0</v>
      </c>
      <c r="AT640" s="58" t="n">
        <f aca="false">IF(AND(OR(BY640="L1",BY640="L23"),AP640&gt;0),SUMIFS($AP$7:$AP$1843,$BY$7:$BY$1843,BY640,$AS$7:$AS$1843,"&gt;"&amp;AS640)+SUMIFS($AP$7:$AP$1843,$BY$7:$BY$1843,BY640,$AS$7:$AS$1843,AS640,$BQ$7:$BQ$1843,"&lt;="&amp;BQ640),"")</f>
        <v>116.010075673119</v>
      </c>
      <c r="AU640" s="65" t="n">
        <f aca="false">IF(AT640="",0,MAX(0,MIN(1,(IF(BY640="L1",Parameter!$E$5,Parameter!$E$6+Parameter!$E$7)-(AT640-AP640))/AP640)))</f>
        <v>0</v>
      </c>
      <c r="AV640" s="57" t="n">
        <f aca="false">IF(LEFT(Cockpit!$O$5,1)="A",H640,IF(CA640=1,CB640,IF(LEFT(Cockpit!$O$5,1)="B",AZ640,MAX(AZ640,H640))))</f>
        <v>37</v>
      </c>
      <c r="AW640" s="57" t="n">
        <f aca="false">IF(BT640=1,0,ROUNDUP(AV640/BS640,0))</f>
        <v>1</v>
      </c>
      <c r="AX640" s="59" t="n">
        <f aca="false">IF(CH640&gt;0,CH640*MAX(1,AV640/X640),IF(BT640=1,IF(AV640&lt;=0,0,BW640*MAX(1,IF(H640&gt;0,AV640/H640,1))),IF(R640&gt;0,AW640/R640,0))/MAX(0.1,N(Parameter!$M$21)))</f>
        <v>0.0384615384615385</v>
      </c>
      <c r="AY640" s="57" t="n">
        <f aca="false">AV640*G640</f>
        <v>0.37</v>
      </c>
      <c r="AZ640" s="57" t="n">
        <f aca="false">ROUNDUP(MAX(J640/IF(BZ640&gt;0,BZ640,MAX(0.1,N(Cockpit!$O$6))),CC640)/BS640,0)*BS640</f>
        <v>37</v>
      </c>
      <c r="BA640" s="58" t="n">
        <f aca="false">IF(AX640&gt;0,J640/AX640,-1)</f>
        <v>0</v>
      </c>
      <c r="BB640" s="58" t="n">
        <f aca="false">IF(AND(OR(BY640="L1",BY640="L23"),AX640&gt;0),SUMIFS($AX$7:$AX$1843,$BY$7:$BY$1843,BY640,$BA$7:$BA$1843,"&gt;"&amp;BA640)+SUMIFS($AX$7:$AX$1843,$BY$7:$BY$1843,BY640,$BA$7:$BA$1843,BA640,$BQ$7:$BQ$1843,"&lt;="&amp;BQ640),"")</f>
        <v>106.839912502956</v>
      </c>
      <c r="BC640" s="65" t="n">
        <f aca="false">IF(BB640="",0,MAX(0,MIN(1,(IF(BY640="L1",Parameter!$E$5,Parameter!$E$6+Parameter!$E$7)-(BB640-AX640))/AX640)))</f>
        <v>0</v>
      </c>
      <c r="BD640" s="55" t="str">
        <f aca="false">IF(AH640&lt;=0,"",IF(BY640="Aussen","Aussenlager",IF(BY640="-","Nicht im Lift",IF(AM640&gt;=1,"Lift",IF(AM640&lt;=0,"Aussenlager","teilweise")))))</f>
        <v>Lift</v>
      </c>
      <c r="BE640" s="55" t="str">
        <f aca="false">IF(AP640&lt;=0,"",IF(BY640="Aussen","Aussenlager",IF(BY640="-","Nicht im Lift",IF(AU640&gt;=1,"Lift",IF(AU640&lt;=0,"Aussenlager","teilweise")))))</f>
        <v>Aussenlager</v>
      </c>
      <c r="BF640" s="55" t="str">
        <f aca="false">IF(AX640&lt;=0,"",IF(BY640="Aussen","Aussenlager",IF(BY640="-","Nicht im Lift",IF(BC640&gt;=1,"Lift",IF(BC640&lt;=0,"Aussenlager","teilweise")))))</f>
        <v>Aussenlager</v>
      </c>
      <c r="BG640" s="55" t="str">
        <f aca="false">IF(A640="","",IF(BP640=1,"Neu; ","")&amp;IF(AND(BP640=0,BK640&lt;0),"negativer Bestand (Export "&amp;BK640&amp;"); ","")&amp;IF(J640&lt;=0,"Kein Verbrauch; ","")&amp;IF(CH640&gt;0,"Lift "&amp;W640&amp;" lt. Liftbericht (Fach "&amp;X640&amp;" Stk); ",IF(BU640=1,"Gebinde geschätzt ("&amp;T640&amp;"); ",IF(BT640=1,"Lose – Tablare geschätzt; ","")))&amp;IF(H640&gt;AR640,"Überbestand "&amp;ROUND(H640-AR640,0)&amp;" Stk / CHF "&amp;ROUND((H640-AR640)*G640,0)&amp;"; ","")&amp;IF(AND(CA640=1,CB640&lt;CC640),"MAX &lt; MB+LG; ","")&amp;IF(AND(CG640&gt;0,CF640*10&gt;CG640),"zu hoch für Tablar; ","")&amp;IF(AND(BP640=0,OR(CA640=1,AA640&lt;&gt;"",U640&lt;&gt;"",V640&lt;&gt;"",AB640&lt;&gt;"")),"manuell übersteuert; ","")&amp;IF(AND(BT640=0,R640=0),"Gebinde unbekannt / Stellmass fehlt; ","")&amp;IF(AND(BT640=0,N(V640)&lt;=0,N(Q640)&lt;=0),"Menge pro Gebinde fehlt (Ist = 1 Gebinde); ","")&amp;BO640)</f>
        <v>Kein Verbrauch; Gebinde geschätzt (Klein); Menge pro Gebinde fehlt (Ist = 1 Gebinde); </v>
      </c>
      <c r="BH640" s="55"/>
      <c r="BI640" s="55"/>
      <c r="BJ640" s="62"/>
      <c r="BK640" s="57" t="n">
        <v>37</v>
      </c>
      <c r="BL640" s="57" t="n">
        <v>0</v>
      </c>
      <c r="BM640" s="56" t="n">
        <v>0.37</v>
      </c>
      <c r="BN640" s="57" t="n">
        <v>0</v>
      </c>
      <c r="BO640" s="55"/>
      <c r="BP640" s="60" t="n">
        <v>0</v>
      </c>
      <c r="BQ640" s="60" t="n">
        <v>640</v>
      </c>
      <c r="BR640" s="55" t="str">
        <f aca="false">IF(U640&lt;&gt;"",UPPER(TRIM(U640)),IF(BU640=1,UPPER(VLOOKUP(T640,Parameter!$I$27:$K$29,2,0)),IF(P640="","LOSE",P640)))</f>
        <v>S51</v>
      </c>
      <c r="BS640" s="57" t="n">
        <f aca="false">IF(BR640="LOSE",1,IF(N(V640)&gt;0,V640,IF(BU640=1,MAX(1,N(VLOOKUP(T640,Parameter!$I$27:$K$29,3,0)),H640,N(N640)),IF(N(Q640)&gt;0,Q640,MAX(1,H640)))))</f>
        <v>37</v>
      </c>
      <c r="BT640" s="60" t="n">
        <f aca="false">IF(BR640="LOSE",1,0)</f>
        <v>0</v>
      </c>
      <c r="BU640" s="60" t="n">
        <f aca="false">IF(AND(U640="",OR(P640="",P640="LOSE"),T640&lt;&gt;"",N(S640)&lt;=0,ISNUMBER(MATCH(T640,Parameter!$I$27:$I$29,0))),1,0)</f>
        <v>1</v>
      </c>
      <c r="BV640" s="55" t="str">
        <f aca="false">IF(AND(Parameter!$B$19="Ja",E640&lt;&gt;"",ISNUMBER(MATCH(E640,Parameter!$I$35:$I$52,0))),VLOOKUP(E640,Parameter!$I$35:$J$52,2,0),IFERROR(VLOOKUP(D640,Parameter!$A$35:$C$64,2,0),"Nein"))</f>
        <v>2+3</v>
      </c>
      <c r="BW640" s="59" t="n">
        <f aca="false">IF(BT640=0,0,IF(N(S640)&gt;0,S640,IFERROR(VLOOKUP(D640,Parameter!$A$35:$C$64,3,0)+0,0)))</f>
        <v>0</v>
      </c>
      <c r="BX640" s="55" t="n">
        <f aca="false">IF(AA640&lt;&gt;"",AA640,Z640)</f>
        <v>3</v>
      </c>
      <c r="BY640" s="55" t="str">
        <f aca="false">IF(BX640=1,"L1",IF(OR(BX640=2,BX640=3),"L23",IF(BX640="Aussen","Aussen","-")))</f>
        <v>L23</v>
      </c>
      <c r="BZ640" s="66" t="n">
        <f aca="false">IF(N(AB640)&gt;0,AB640,0)</f>
        <v>0</v>
      </c>
      <c r="CA640" s="60" t="n">
        <f aca="false">IF(ISNUMBER(AE640),1,0)</f>
        <v>0</v>
      </c>
      <c r="CB640" s="57" t="n">
        <f aca="false">N(AE640)</f>
        <v>0</v>
      </c>
      <c r="CC640" s="57" t="n">
        <f aca="false">N(M640)+N(N640)</f>
        <v>1</v>
      </c>
      <c r="CD640" s="57" t="n">
        <f aca="false">ROUNDUP(H640/BS640,0)</f>
        <v>1</v>
      </c>
      <c r="CE640" s="57" t="n">
        <f aca="false">ROUNDUP(CB640/BS640,0)</f>
        <v>0</v>
      </c>
      <c r="CF640" s="60" t="n">
        <f aca="false">IF(BT640=1,0,IFERROR(VLOOKUP(BR640,'Gebinde-Kategorie'!$A$5:$M$45,5,0)+0,0))</f>
        <v>11</v>
      </c>
      <c r="CG640" s="60" t="n">
        <f aca="false">IFERROR(IF(OR(BX640=1,BX640=2,BX640=3),N(INDEX(Parameter!$I$5:$I$7,BX640)),0),0)</f>
        <v>0</v>
      </c>
      <c r="CH640" s="59" t="n">
        <f aca="false">IF(AND(Parameter!$B$21="Ja",ISNUMBER(W640),N(X640)&gt;0),IFERROR(N(INDEX(Parameter!$L$5:$L$7,W640))*INDEX(Parameter!$E$5:$E$7,W640)*X640/SUMIFS($X$7:$X$1843,$W$7:$W$1843,W640),0),0)</f>
        <v>0</v>
      </c>
    </row>
    <row r="641" customFormat="false" ht="15" hidden="false" customHeight="false" outlineLevel="0" collapsed="false">
      <c r="A641" s="55" t="s">
        <v>1305</v>
      </c>
      <c r="B641" s="55" t="s">
        <v>1306</v>
      </c>
      <c r="C641" s="55" t="s">
        <v>164</v>
      </c>
      <c r="D641" s="55" t="s">
        <v>184</v>
      </c>
      <c r="E641" s="55" t="s">
        <v>185</v>
      </c>
      <c r="F641" s="55" t="s">
        <v>218</v>
      </c>
      <c r="G641" s="56" t="n">
        <v>0.01</v>
      </c>
      <c r="H641" s="57" t="n">
        <f aca="false">MAX(0,IF(AND(Parameter!$B$21="Ja",ISNUMBER(Y641)),Y641,IF(Parameter!$B$20="Jahresanfang 2025 + Export",BL641+BK641,BK641)))</f>
        <v>76</v>
      </c>
      <c r="I641" s="57" t="n">
        <f aca="false">H641*G641</f>
        <v>0.76</v>
      </c>
      <c r="J641" s="57" t="n">
        <f aca="false">BN641*Parameter!$B$18</f>
        <v>56</v>
      </c>
      <c r="K641" s="58" t="n">
        <v>59</v>
      </c>
      <c r="L641" s="59" t="n">
        <v>0.949152542372881</v>
      </c>
      <c r="M641" s="57" t="n">
        <v>3</v>
      </c>
      <c r="N641" s="57" t="n">
        <v>100</v>
      </c>
      <c r="O641" s="60" t="n">
        <v>21</v>
      </c>
      <c r="P641" s="55" t="s">
        <v>426</v>
      </c>
      <c r="Q641" s="57" t="n">
        <v>161</v>
      </c>
      <c r="R641" s="60" t="n">
        <f aca="false">IF(BT641=1,0,IFERROR(VLOOKUP(BR641,'Gebinde-Kategorie'!$A$5:$M$45,13,0)+0,0))</f>
        <v>198</v>
      </c>
      <c r="S641" s="61"/>
      <c r="T641" s="62"/>
      <c r="U641" s="62"/>
      <c r="V641" s="62"/>
      <c r="W641" s="55"/>
      <c r="X641" s="57"/>
      <c r="Y641" s="57"/>
      <c r="Z641" s="55" t="n">
        <f aca="false">IF(A641="","",IF(AND(Parameter!$B$21="Ja",ISNUMBER(W641)),W641,IF(BV641="2+3",IF(ISNUMBER(SEARCH("grosser Artikel",BO641)),2,IFERROR(VLOOKUP(BR641,Parameter!$F$35:$G$64,2,0),2)),IF(OR(BV641="Nein",BV641=""),"-",BV641))))</f>
        <v>3</v>
      </c>
      <c r="AA641" s="62"/>
      <c r="AB641" s="63"/>
      <c r="AC641" s="57" t="n">
        <f aca="false">AR641</f>
        <v>161</v>
      </c>
      <c r="AD641" s="57" t="n">
        <f aca="false">MAX(AR641,H641)</f>
        <v>161</v>
      </c>
      <c r="AE641" s="64"/>
      <c r="AF641" s="57" t="n">
        <f aca="false">IF(LEFT(Cockpit!$C$5,1)="A",H641,IF(CA641=1,CB641,IF(LEFT(Cockpit!$C$5,1)="B",AJ641,MAX(AJ641,H641))))</f>
        <v>76</v>
      </c>
      <c r="AG641" s="57" t="n">
        <f aca="false">IF(BT641=1,0,ROUNDUP(AF641/BS641,0))</f>
        <v>1</v>
      </c>
      <c r="AH641" s="59" t="n">
        <f aca="false">IF(CH641&gt;0,CH641*MAX(1,AF641/X641),IF(BT641=1,IF(AF641&lt;=0,0,BW641*MAX(1,IF(H641&gt;0,AF641/H641,1))),IF(R641&gt;0,AG641/R641,0))/MAX(0.1,N(Parameter!$M$21)))</f>
        <v>0.00505050505050505</v>
      </c>
      <c r="AI641" s="57" t="n">
        <f aca="false">AF641*G641</f>
        <v>0.76</v>
      </c>
      <c r="AJ641" s="57" t="n">
        <f aca="false">ROUNDUP(MAX(J641/IF(BZ641&gt;0,BZ641,MAX(0.1,N(Cockpit!$C$6))),CC641)/BS641,0)*BS641</f>
        <v>161</v>
      </c>
      <c r="AK641" s="58" t="n">
        <f aca="false">IF(AH641&gt;0,J641/AH641,-1)</f>
        <v>11088</v>
      </c>
      <c r="AL641" s="58" t="n">
        <f aca="false">IF(AND(OR(BY641="L1",BY641="L23"),AH641&gt;0),SUMIFS($AH$7:$AH$1843,$BY$7:$BY$1843,BY641,$AK$7:$AK$1843,"&gt;"&amp;AK641)+SUMIFS($AH$7:$AH$1843,$BY$7:$BY$1843,BY641,$AK$7:$AK$1843,AK641,$BQ$7:$BQ$1843,"&lt;="&amp;BQ641),"")</f>
        <v>5.00095435965001</v>
      </c>
      <c r="AM641" s="65" t="n">
        <f aca="false">IF(AL641="",0,MAX(0,MIN(1,(IF(BY641="L1",Parameter!$E$5,Parameter!$E$6+Parameter!$E$7)-(AL641-AH641))/AH641)))</f>
        <v>1</v>
      </c>
      <c r="AN641" s="57" t="n">
        <f aca="false">IF(LEFT(Cockpit!$I$5,1)="A",H641,IF(CA641=1,CB641,IF(LEFT(Cockpit!$I$5,1)="B",AR641,MAX(AR641,H641))))</f>
        <v>161</v>
      </c>
      <c r="AO641" s="57" t="n">
        <f aca="false">IF(BT641=1,0,ROUNDUP(AN641/BS641,0))</f>
        <v>1</v>
      </c>
      <c r="AP641" s="59" t="n">
        <f aca="false">IF(CH641&gt;0,CH641*MAX(1,AN641/X641),IF(BT641=1,IF(AN641&lt;=0,0,BW641*MAX(1,IF(H641&gt;0,AN641/H641,1))),IF(R641&gt;0,AO641/R641,0))/MAX(0.1,N(Parameter!$M$21)))</f>
        <v>0.00505050505050505</v>
      </c>
      <c r="AQ641" s="57" t="n">
        <f aca="false">AN641*G641</f>
        <v>1.61</v>
      </c>
      <c r="AR641" s="57" t="n">
        <f aca="false">ROUNDUP(MAX(J641/IF(BZ641&gt;0,BZ641,MAX(0.1,N(Cockpit!$I$6))),CC641)/BS641,0)*BS641</f>
        <v>161</v>
      </c>
      <c r="AS641" s="58" t="n">
        <f aca="false">IF(AP641&gt;0,J641/AP641,-1)</f>
        <v>11088</v>
      </c>
      <c r="AT641" s="58" t="n">
        <f aca="false">IF(AND(OR(BY641="L1",BY641="L23"),AP641&gt;0),SUMIFS($AP$7:$AP$1843,$BY$7:$BY$1843,BY641,$AS$7:$AS$1843,"&gt;"&amp;AS641)+SUMIFS($AP$7:$AP$1843,$BY$7:$BY$1843,BY641,$AS$7:$AS$1843,AS641,$BQ$7:$BQ$1843,"&lt;="&amp;BQ641),"")</f>
        <v>6.07764095807574</v>
      </c>
      <c r="AU641" s="65" t="n">
        <f aca="false">IF(AT641="",0,MAX(0,MIN(1,(IF(BY641="L1",Parameter!$E$5,Parameter!$E$6+Parameter!$E$7)-(AT641-AP641))/AP641)))</f>
        <v>1</v>
      </c>
      <c r="AV641" s="57" t="n">
        <f aca="false">IF(LEFT(Cockpit!$O$5,1)="A",H641,IF(CA641=1,CB641,IF(LEFT(Cockpit!$O$5,1)="B",AZ641,MAX(AZ641,H641))))</f>
        <v>161</v>
      </c>
      <c r="AW641" s="57" t="n">
        <f aca="false">IF(BT641=1,0,ROUNDUP(AV641/BS641,0))</f>
        <v>1</v>
      </c>
      <c r="AX641" s="59" t="n">
        <f aca="false">IF(CH641&gt;0,CH641*MAX(1,AV641/X641),IF(BT641=1,IF(AV641&lt;=0,0,BW641*MAX(1,IF(H641&gt;0,AV641/H641,1))),IF(R641&gt;0,AW641/R641,0))/MAX(0.1,N(Parameter!$M$21)))</f>
        <v>0.00505050505050505</v>
      </c>
      <c r="AY641" s="57" t="n">
        <f aca="false">AV641*G641</f>
        <v>1.61</v>
      </c>
      <c r="AZ641" s="57" t="n">
        <f aca="false">ROUNDUP(MAX(J641/IF(BZ641&gt;0,BZ641,MAX(0.1,N(Cockpit!$O$6))),CC641)/BS641,0)*BS641</f>
        <v>161</v>
      </c>
      <c r="BA641" s="58" t="n">
        <f aca="false">IF(AX641&gt;0,J641/AX641,-1)</f>
        <v>11088</v>
      </c>
      <c r="BB641" s="58" t="n">
        <f aca="false">IF(AND(OR(BY641="L1",BY641="L23"),AX641&gt;0),SUMIFS($AX$7:$AX$1843,$BY$7:$BY$1843,BY641,$BA$7:$BA$1843,"&gt;"&amp;BA641)+SUMIFS($AX$7:$AX$1843,$BY$7:$BY$1843,BY641,$BA$7:$BA$1843,BA641,$BQ$7:$BQ$1843,"&lt;="&amp;BQ641),"")</f>
        <v>7.22799060842539</v>
      </c>
      <c r="BC641" s="65" t="n">
        <f aca="false">IF(BB641="",0,MAX(0,MIN(1,(IF(BY641="L1",Parameter!$E$5,Parameter!$E$6+Parameter!$E$7)-(BB641-AX641))/AX641)))</f>
        <v>1</v>
      </c>
      <c r="BD641" s="55" t="str">
        <f aca="false">IF(AH641&lt;=0,"",IF(BY641="Aussen","Aussenlager",IF(BY641="-","Nicht im Lift",IF(AM641&gt;=1,"Lift",IF(AM641&lt;=0,"Aussenlager","teilweise")))))</f>
        <v>Lift</v>
      </c>
      <c r="BE641" s="55" t="str">
        <f aca="false">IF(AP641&lt;=0,"",IF(BY641="Aussen","Aussenlager",IF(BY641="-","Nicht im Lift",IF(AU641&gt;=1,"Lift",IF(AU641&lt;=0,"Aussenlager","teilweise")))))</f>
        <v>Lift</v>
      </c>
      <c r="BF641" s="55" t="str">
        <f aca="false">IF(AX641&lt;=0,"",IF(BY641="Aussen","Aussenlager",IF(BY641="-","Nicht im Lift",IF(BC641&gt;=1,"Lift",IF(BC641&lt;=0,"Aussenlager","teilweise")))))</f>
        <v>Lift</v>
      </c>
      <c r="BG641" s="55" t="str">
        <f aca="false">IF(A641="","",IF(BP641=1,"Neu; ","")&amp;IF(AND(BP641=0,BK641&lt;0),"negativer Bestand (Export "&amp;BK641&amp;"); ","")&amp;IF(J641&lt;=0,"Kein Verbrauch; ","")&amp;IF(CH641&gt;0,"Lift "&amp;W641&amp;" lt. Liftbericht (Fach "&amp;X641&amp;" Stk); ",IF(BU641=1,"Gebinde geschätzt ("&amp;T641&amp;"); ",IF(BT641=1,"Lose – Tablare geschätzt; ","")))&amp;IF(H641&gt;AR641,"Überbestand "&amp;ROUND(H641-AR641,0)&amp;" Stk / CHF "&amp;ROUND((H641-AR641)*G641,0)&amp;"; ","")&amp;IF(AND(CA641=1,CB641&lt;CC641),"MAX &lt; MB+LG; ","")&amp;IF(AND(CG641&gt;0,CF641*10&gt;CG641),"zu hoch für Tablar; ","")&amp;IF(AND(BP641=0,OR(CA641=1,AA641&lt;&gt;"",U641&lt;&gt;"",V641&lt;&gt;"",AB641&lt;&gt;"")),"manuell übersteuert; ","")&amp;IF(AND(BT641=0,R641=0),"Gebinde unbekannt / Stellmass fehlt; ","")&amp;IF(AND(BT641=0,N(V641)&lt;=0,N(Q641)&lt;=0),"Menge pro Gebinde fehlt (Ist = 1 Gebinde); ","")&amp;BO641)</f>
        <v/>
      </c>
      <c r="BH641" s="55"/>
      <c r="BI641" s="55"/>
      <c r="BJ641" s="62"/>
      <c r="BK641" s="57" t="n">
        <v>37</v>
      </c>
      <c r="BL641" s="57" t="n">
        <v>39</v>
      </c>
      <c r="BM641" s="56" t="n">
        <v>0.369999999999999</v>
      </c>
      <c r="BN641" s="57" t="n">
        <v>56</v>
      </c>
      <c r="BO641" s="55"/>
      <c r="BP641" s="60" t="n">
        <v>0</v>
      </c>
      <c r="BQ641" s="60" t="n">
        <v>641</v>
      </c>
      <c r="BR641" s="55" t="str">
        <f aca="false">IF(U641&lt;&gt;"",UPPER(TRIM(U641)),IF(BU641=1,UPPER(VLOOKUP(T641,Parameter!$I$27:$K$29,2,0)),IF(P641="","LOSE",P641)))</f>
        <v>S22</v>
      </c>
      <c r="BS641" s="57" t="n">
        <f aca="false">IF(BR641="LOSE",1,IF(N(V641)&gt;0,V641,IF(BU641=1,MAX(1,N(VLOOKUP(T641,Parameter!$I$27:$K$29,3,0)),H641,N(N641)),IF(N(Q641)&gt;0,Q641,MAX(1,H641)))))</f>
        <v>161</v>
      </c>
      <c r="BT641" s="60" t="n">
        <f aca="false">IF(BR641="LOSE",1,0)</f>
        <v>0</v>
      </c>
      <c r="BU641" s="60" t="n">
        <f aca="false">IF(AND(U641="",OR(P641="",P641="LOSE"),T641&lt;&gt;"",N(S641)&lt;=0,ISNUMBER(MATCH(T641,Parameter!$I$27:$I$29,0))),1,0)</f>
        <v>0</v>
      </c>
      <c r="BV641" s="55" t="str">
        <f aca="false">IF(AND(Parameter!$B$19="Ja",E641&lt;&gt;"",ISNUMBER(MATCH(E641,Parameter!$I$35:$I$52,0))),VLOOKUP(E641,Parameter!$I$35:$J$52,2,0),IFERROR(VLOOKUP(D641,Parameter!$A$35:$C$64,2,0),"Nein"))</f>
        <v>2+3</v>
      </c>
      <c r="BW641" s="59" t="n">
        <f aca="false">IF(BT641=0,0,IF(N(S641)&gt;0,S641,IFERROR(VLOOKUP(D641,Parameter!$A$35:$C$64,3,0)+0,0)))</f>
        <v>0</v>
      </c>
      <c r="BX641" s="55" t="n">
        <f aca="false">IF(AA641&lt;&gt;"",AA641,Z641)</f>
        <v>3</v>
      </c>
      <c r="BY641" s="55" t="str">
        <f aca="false">IF(BX641=1,"L1",IF(OR(BX641=2,BX641=3),"L23",IF(BX641="Aussen","Aussen","-")))</f>
        <v>L23</v>
      </c>
      <c r="BZ641" s="66" t="n">
        <f aca="false">IF(N(AB641)&gt;0,AB641,0)</f>
        <v>0</v>
      </c>
      <c r="CA641" s="60" t="n">
        <f aca="false">IF(ISNUMBER(AE641),1,0)</f>
        <v>0</v>
      </c>
      <c r="CB641" s="57" t="n">
        <f aca="false">N(AE641)</f>
        <v>0</v>
      </c>
      <c r="CC641" s="57" t="n">
        <f aca="false">N(M641)+N(N641)</f>
        <v>103</v>
      </c>
      <c r="CD641" s="57" t="n">
        <f aca="false">ROUNDUP(H641/BS641,0)</f>
        <v>1</v>
      </c>
      <c r="CE641" s="57" t="n">
        <f aca="false">ROUNDUP(CB641/BS641,0)</f>
        <v>0</v>
      </c>
      <c r="CF641" s="60" t="n">
        <f aca="false">IF(BT641=1,0,IFERROR(VLOOKUP(BR641,'Gebinde-Kategorie'!$A$5:$M$45,5,0)+0,0))</f>
        <v>8</v>
      </c>
      <c r="CG641" s="60" t="n">
        <f aca="false">IFERROR(IF(OR(BX641=1,BX641=2,BX641=3),N(INDEX(Parameter!$I$5:$I$7,BX641)),0),0)</f>
        <v>0</v>
      </c>
      <c r="CH641" s="59" t="n">
        <f aca="false">IF(AND(Parameter!$B$21="Ja",ISNUMBER(W641),N(X641)&gt;0),IFERROR(N(INDEX(Parameter!$L$5:$L$7,W641))*INDEX(Parameter!$E$5:$E$7,W641)*X641/SUMIFS($X$7:$X$1843,$W$7:$W$1843,W641),0),0)</f>
        <v>0</v>
      </c>
    </row>
    <row r="642" customFormat="false" ht="15" hidden="false" customHeight="false" outlineLevel="0" collapsed="false">
      <c r="A642" s="55" t="s">
        <v>1307</v>
      </c>
      <c r="B642" s="55" t="s">
        <v>1308</v>
      </c>
      <c r="C642" s="55" t="s">
        <v>164</v>
      </c>
      <c r="D642" s="55" t="s">
        <v>173</v>
      </c>
      <c r="E642" s="55"/>
      <c r="F642" s="55" t="s">
        <v>218</v>
      </c>
      <c r="G642" s="56" t="n">
        <v>0.01</v>
      </c>
      <c r="H642" s="57" t="n">
        <f aca="false">MAX(0,IF(AND(Parameter!$B$21="Ja",ISNUMBER(Y642)),Y642,IF(Parameter!$B$20="Jahresanfang 2025 + Export",BL642+BK642,BK642)))</f>
        <v>36</v>
      </c>
      <c r="I642" s="57" t="n">
        <f aca="false">H642*G642</f>
        <v>0.36</v>
      </c>
      <c r="J642" s="57" t="n">
        <f aca="false">BN642*Parameter!$B$18</f>
        <v>0</v>
      </c>
      <c r="K642" s="58" t="n">
        <v>0</v>
      </c>
      <c r="L642" s="59" t="n">
        <v>0</v>
      </c>
      <c r="M642" s="57" t="n">
        <v>0</v>
      </c>
      <c r="N642" s="57" t="n">
        <v>1</v>
      </c>
      <c r="O642" s="60" t="n">
        <v>0</v>
      </c>
      <c r="P642" s="55" t="s">
        <v>168</v>
      </c>
      <c r="Q642" s="57"/>
      <c r="R642" s="60" t="n">
        <f aca="false">IF(BT642=1,0,IFERROR(VLOOKUP(BR642,'Gebinde-Kategorie'!$A$5:$M$45,13,0)+0,0))</f>
        <v>26</v>
      </c>
      <c r="S642" s="61"/>
      <c r="T642" s="62" t="s">
        <v>275</v>
      </c>
      <c r="U642" s="62"/>
      <c r="V642" s="62"/>
      <c r="W642" s="55"/>
      <c r="X642" s="57"/>
      <c r="Y642" s="57"/>
      <c r="Z642" s="55" t="n">
        <f aca="false">IF(A642="","",IF(AND(Parameter!$B$21="Ja",ISNUMBER(W642)),W642,IF(BV642="2+3",IF(ISNUMBER(SEARCH("grosser Artikel",BO642)),2,IFERROR(VLOOKUP(BR642,Parameter!$F$35:$G$64,2,0),2)),IF(OR(BV642="Nein",BV642=""),"-",BV642))))</f>
        <v>3</v>
      </c>
      <c r="AA642" s="62"/>
      <c r="AB642" s="63"/>
      <c r="AC642" s="57" t="n">
        <f aca="false">AR642</f>
        <v>36</v>
      </c>
      <c r="AD642" s="57" t="n">
        <f aca="false">MAX(AR642,H642)</f>
        <v>36</v>
      </c>
      <c r="AE642" s="64"/>
      <c r="AF642" s="57" t="n">
        <f aca="false">IF(LEFT(Cockpit!$C$5,1)="A",H642,IF(CA642=1,CB642,IF(LEFT(Cockpit!$C$5,1)="B",AJ642,MAX(AJ642,H642))))</f>
        <v>36</v>
      </c>
      <c r="AG642" s="57" t="n">
        <f aca="false">IF(BT642=1,0,ROUNDUP(AF642/BS642,0))</f>
        <v>1</v>
      </c>
      <c r="AH642" s="59" t="n">
        <f aca="false">IF(CH642&gt;0,CH642*MAX(1,AF642/X642),IF(BT642=1,IF(AF642&lt;=0,0,BW642*MAX(1,IF(H642&gt;0,AF642/H642,1))),IF(R642&gt;0,AG642/R642,0))/MAX(0.1,N(Parameter!$M$21)))</f>
        <v>0.0384615384615385</v>
      </c>
      <c r="AI642" s="57" t="n">
        <f aca="false">AF642*G642</f>
        <v>0.36</v>
      </c>
      <c r="AJ642" s="57" t="n">
        <f aca="false">ROUNDUP(MAX(J642/IF(BZ642&gt;0,BZ642,MAX(0.1,N(Cockpit!$C$6))),CC642)/BS642,0)*BS642</f>
        <v>36</v>
      </c>
      <c r="AK642" s="58" t="n">
        <f aca="false">IF(AH642&gt;0,J642/AH642,-1)</f>
        <v>0</v>
      </c>
      <c r="AL642" s="58" t="n">
        <f aca="false">IF(AND(OR(BY642="L1",BY642="L23"),AH642&gt;0),SUMIFS($AH$7:$AH$1843,$BY$7:$BY$1843,BY642,$AK$7:$AK$1843,"&gt;"&amp;AK642)+SUMIFS($AH$7:$AH$1843,$BY$7:$BY$1843,BY642,$AK$7:$AK$1843,AK642,$BQ$7:$BQ$1843,"&lt;="&amp;BQ642),"")</f>
        <v>76.5835360291882</v>
      </c>
      <c r="AM642" s="65" t="n">
        <f aca="false">IF(AL642="",0,MAX(0,MIN(1,(IF(BY642="L1",Parameter!$E$5,Parameter!$E$6+Parameter!$E$7)-(AL642-AH642))/AH642)))</f>
        <v>1</v>
      </c>
      <c r="AN642" s="57" t="n">
        <f aca="false">IF(LEFT(Cockpit!$I$5,1)="A",H642,IF(CA642=1,CB642,IF(LEFT(Cockpit!$I$5,1)="B",AR642,MAX(AR642,H642))))</f>
        <v>36</v>
      </c>
      <c r="AO642" s="57" t="n">
        <f aca="false">IF(BT642=1,0,ROUNDUP(AN642/BS642,0))</f>
        <v>1</v>
      </c>
      <c r="AP642" s="59" t="n">
        <f aca="false">IF(CH642&gt;0,CH642*MAX(1,AN642/X642),IF(BT642=1,IF(AN642&lt;=0,0,BW642*MAX(1,IF(H642&gt;0,AN642/H642,1))),IF(R642&gt;0,AO642/R642,0))/MAX(0.1,N(Parameter!$M$21)))</f>
        <v>0.0384615384615385</v>
      </c>
      <c r="AQ642" s="57" t="n">
        <f aca="false">AN642*G642</f>
        <v>0.36</v>
      </c>
      <c r="AR642" s="57" t="n">
        <f aca="false">ROUNDUP(MAX(J642/IF(BZ642&gt;0,BZ642,MAX(0.1,N(Cockpit!$I$6))),CC642)/BS642,0)*BS642</f>
        <v>36</v>
      </c>
      <c r="AS642" s="58" t="n">
        <f aca="false">IF(AP642&gt;0,J642/AP642,-1)</f>
        <v>0</v>
      </c>
      <c r="AT642" s="58" t="n">
        <f aca="false">IF(AND(OR(BY642="L1",BY642="L23"),AP642&gt;0),SUMIFS($AP$7:$AP$1843,$BY$7:$BY$1843,BY642,$AS$7:$AS$1843,"&gt;"&amp;AS642)+SUMIFS($AP$7:$AP$1843,$BY$7:$BY$1843,BY642,$AS$7:$AS$1843,AS642,$BQ$7:$BQ$1843,"&lt;="&amp;BQ642),"")</f>
        <v>116.048537211581</v>
      </c>
      <c r="AU642" s="65" t="n">
        <f aca="false">IF(AT642="",0,MAX(0,MIN(1,(IF(BY642="L1",Parameter!$E$5,Parameter!$E$6+Parameter!$E$7)-(AT642-AP642))/AP642)))</f>
        <v>0</v>
      </c>
      <c r="AV642" s="57" t="n">
        <f aca="false">IF(LEFT(Cockpit!$O$5,1)="A",H642,IF(CA642=1,CB642,IF(LEFT(Cockpit!$O$5,1)="B",AZ642,MAX(AZ642,H642))))</f>
        <v>36</v>
      </c>
      <c r="AW642" s="57" t="n">
        <f aca="false">IF(BT642=1,0,ROUNDUP(AV642/BS642,0))</f>
        <v>1</v>
      </c>
      <c r="AX642" s="59" t="n">
        <f aca="false">IF(CH642&gt;0,CH642*MAX(1,AV642/X642),IF(BT642=1,IF(AV642&lt;=0,0,BW642*MAX(1,IF(H642&gt;0,AV642/H642,1))),IF(R642&gt;0,AW642/R642,0))/MAX(0.1,N(Parameter!$M$21)))</f>
        <v>0.0384615384615385</v>
      </c>
      <c r="AY642" s="57" t="n">
        <f aca="false">AV642*G642</f>
        <v>0.36</v>
      </c>
      <c r="AZ642" s="57" t="n">
        <f aca="false">ROUNDUP(MAX(J642/IF(BZ642&gt;0,BZ642,MAX(0.1,N(Cockpit!$O$6))),CC642)/BS642,0)*BS642</f>
        <v>36</v>
      </c>
      <c r="BA642" s="58" t="n">
        <f aca="false">IF(AX642&gt;0,J642/AX642,-1)</f>
        <v>0</v>
      </c>
      <c r="BB642" s="58" t="n">
        <f aca="false">IF(AND(OR(BY642="L1",BY642="L23"),AX642&gt;0),SUMIFS($AX$7:$AX$1843,$BY$7:$BY$1843,BY642,$BA$7:$BA$1843,"&gt;"&amp;BA642)+SUMIFS($AX$7:$AX$1843,$BY$7:$BY$1843,BY642,$BA$7:$BA$1843,BA642,$BQ$7:$BQ$1843,"&lt;="&amp;BQ642),"")</f>
        <v>106.878374041418</v>
      </c>
      <c r="BC642" s="65" t="n">
        <f aca="false">IF(BB642="",0,MAX(0,MIN(1,(IF(BY642="L1",Parameter!$E$5,Parameter!$E$6+Parameter!$E$7)-(BB642-AX642))/AX642)))</f>
        <v>0</v>
      </c>
      <c r="BD642" s="55" t="str">
        <f aca="false">IF(AH642&lt;=0,"",IF(BY642="Aussen","Aussenlager",IF(BY642="-","Nicht im Lift",IF(AM642&gt;=1,"Lift",IF(AM642&lt;=0,"Aussenlager","teilweise")))))</f>
        <v>Lift</v>
      </c>
      <c r="BE642" s="55" t="str">
        <f aca="false">IF(AP642&lt;=0,"",IF(BY642="Aussen","Aussenlager",IF(BY642="-","Nicht im Lift",IF(AU642&gt;=1,"Lift",IF(AU642&lt;=0,"Aussenlager","teilweise")))))</f>
        <v>Aussenlager</v>
      </c>
      <c r="BF642" s="55" t="str">
        <f aca="false">IF(AX642&lt;=0,"",IF(BY642="Aussen","Aussenlager",IF(BY642="-","Nicht im Lift",IF(BC642&gt;=1,"Lift",IF(BC642&lt;=0,"Aussenlager","teilweise")))))</f>
        <v>Aussenlager</v>
      </c>
      <c r="BG642" s="55" t="str">
        <f aca="false">IF(A642="","",IF(BP642=1,"Neu; ","")&amp;IF(AND(BP642=0,BK642&lt;0),"negativer Bestand (Export "&amp;BK642&amp;"); ","")&amp;IF(J642&lt;=0,"Kein Verbrauch; ","")&amp;IF(CH642&gt;0,"Lift "&amp;W642&amp;" lt. Liftbericht (Fach "&amp;X642&amp;" Stk); ",IF(BU642=1,"Gebinde geschätzt ("&amp;T642&amp;"); ",IF(BT642=1,"Lose – Tablare geschätzt; ","")))&amp;IF(H642&gt;AR642,"Überbestand "&amp;ROUND(H642-AR642,0)&amp;" Stk / CHF "&amp;ROUND((H642-AR642)*G642,0)&amp;"; ","")&amp;IF(AND(CA642=1,CB642&lt;CC642),"MAX &lt; MB+LG; ","")&amp;IF(AND(CG642&gt;0,CF642*10&gt;CG642),"zu hoch für Tablar; ","")&amp;IF(AND(BP642=0,OR(CA642=1,AA642&lt;&gt;"",U642&lt;&gt;"",V642&lt;&gt;"",AB642&lt;&gt;"")),"manuell übersteuert; ","")&amp;IF(AND(BT642=0,R642=0),"Gebinde unbekannt / Stellmass fehlt; ","")&amp;IF(AND(BT642=0,N(V642)&lt;=0,N(Q642)&lt;=0),"Menge pro Gebinde fehlt (Ist = 1 Gebinde); ","")&amp;BO642)</f>
        <v>Kein Verbrauch; Gebinde geschätzt (Klein); Menge pro Gebinde fehlt (Ist = 1 Gebinde); </v>
      </c>
      <c r="BH642" s="55"/>
      <c r="BI642" s="55"/>
      <c r="BJ642" s="62"/>
      <c r="BK642" s="57" t="n">
        <v>36</v>
      </c>
      <c r="BL642" s="57" t="n">
        <v>0</v>
      </c>
      <c r="BM642" s="56" t="n">
        <v>0.36</v>
      </c>
      <c r="BN642" s="57" t="n">
        <v>0</v>
      </c>
      <c r="BO642" s="55"/>
      <c r="BP642" s="60" t="n">
        <v>0</v>
      </c>
      <c r="BQ642" s="60" t="n">
        <v>642</v>
      </c>
      <c r="BR642" s="55" t="str">
        <f aca="false">IF(U642&lt;&gt;"",UPPER(TRIM(U642)),IF(BU642=1,UPPER(VLOOKUP(T642,Parameter!$I$27:$K$29,2,0)),IF(P642="","LOSE",P642)))</f>
        <v>S51</v>
      </c>
      <c r="BS642" s="57" t="n">
        <f aca="false">IF(BR642="LOSE",1,IF(N(V642)&gt;0,V642,IF(BU642=1,MAX(1,N(VLOOKUP(T642,Parameter!$I$27:$K$29,3,0)),H642,N(N642)),IF(N(Q642)&gt;0,Q642,MAX(1,H642)))))</f>
        <v>36</v>
      </c>
      <c r="BT642" s="60" t="n">
        <f aca="false">IF(BR642="LOSE",1,0)</f>
        <v>0</v>
      </c>
      <c r="BU642" s="60" t="n">
        <f aca="false">IF(AND(U642="",OR(P642="",P642="LOSE"),T642&lt;&gt;"",N(S642)&lt;=0,ISNUMBER(MATCH(T642,Parameter!$I$27:$I$29,0))),1,0)</f>
        <v>1</v>
      </c>
      <c r="BV642" s="55" t="str">
        <f aca="false">IF(AND(Parameter!$B$19="Ja",E642&lt;&gt;"",ISNUMBER(MATCH(E642,Parameter!$I$35:$I$52,0))),VLOOKUP(E642,Parameter!$I$35:$J$52,2,0),IFERROR(VLOOKUP(D642,Parameter!$A$35:$C$64,2,0),"Nein"))</f>
        <v>2+3</v>
      </c>
      <c r="BW642" s="59" t="n">
        <f aca="false">IF(BT642=0,0,IF(N(S642)&gt;0,S642,IFERROR(VLOOKUP(D642,Parameter!$A$35:$C$64,3,0)+0,0)))</f>
        <v>0</v>
      </c>
      <c r="BX642" s="55" t="n">
        <f aca="false">IF(AA642&lt;&gt;"",AA642,Z642)</f>
        <v>3</v>
      </c>
      <c r="BY642" s="55" t="str">
        <f aca="false">IF(BX642=1,"L1",IF(OR(BX642=2,BX642=3),"L23",IF(BX642="Aussen","Aussen","-")))</f>
        <v>L23</v>
      </c>
      <c r="BZ642" s="66" t="n">
        <f aca="false">IF(N(AB642)&gt;0,AB642,0)</f>
        <v>0</v>
      </c>
      <c r="CA642" s="60" t="n">
        <f aca="false">IF(ISNUMBER(AE642),1,0)</f>
        <v>0</v>
      </c>
      <c r="CB642" s="57" t="n">
        <f aca="false">N(AE642)</f>
        <v>0</v>
      </c>
      <c r="CC642" s="57" t="n">
        <f aca="false">N(M642)+N(N642)</f>
        <v>1</v>
      </c>
      <c r="CD642" s="57" t="n">
        <f aca="false">ROUNDUP(H642/BS642,0)</f>
        <v>1</v>
      </c>
      <c r="CE642" s="57" t="n">
        <f aca="false">ROUNDUP(CB642/BS642,0)</f>
        <v>0</v>
      </c>
      <c r="CF642" s="60" t="n">
        <f aca="false">IF(BT642=1,0,IFERROR(VLOOKUP(BR642,'Gebinde-Kategorie'!$A$5:$M$45,5,0)+0,0))</f>
        <v>11</v>
      </c>
      <c r="CG642" s="60" t="n">
        <f aca="false">IFERROR(IF(OR(BX642=1,BX642=2,BX642=3),N(INDEX(Parameter!$I$5:$I$7,BX642)),0),0)</f>
        <v>0</v>
      </c>
      <c r="CH642" s="59" t="n">
        <f aca="false">IF(AND(Parameter!$B$21="Ja",ISNUMBER(W642),N(X642)&gt;0),IFERROR(N(INDEX(Parameter!$L$5:$L$7,W642))*INDEX(Parameter!$E$5:$E$7,W642)*X642/SUMIFS($X$7:$X$1843,$W$7:$W$1843,W642),0),0)</f>
        <v>0</v>
      </c>
    </row>
    <row r="643" customFormat="false" ht="15" hidden="false" customHeight="false" outlineLevel="0" collapsed="false">
      <c r="A643" s="55" t="s">
        <v>1309</v>
      </c>
      <c r="B643" s="55" t="s">
        <v>405</v>
      </c>
      <c r="C643" s="55" t="s">
        <v>164</v>
      </c>
      <c r="D643" s="55" t="s">
        <v>184</v>
      </c>
      <c r="E643" s="55" t="s">
        <v>185</v>
      </c>
      <c r="F643" s="55" t="s">
        <v>218</v>
      </c>
      <c r="G643" s="56" t="n">
        <v>0.09</v>
      </c>
      <c r="H643" s="57" t="n">
        <f aca="false">MAX(0,IF(AND(Parameter!$B$21="Ja",ISNUMBER(Y643)),Y643,IF(Parameter!$B$20="Jahresanfang 2025 + Export",BL643+BK643,BK643)))</f>
        <v>266</v>
      </c>
      <c r="I643" s="57" t="n">
        <f aca="false">H643*G643</f>
        <v>23.94</v>
      </c>
      <c r="J643" s="57" t="n">
        <f aca="false">BN643*Parameter!$B$18</f>
        <v>0</v>
      </c>
      <c r="K643" s="58" t="n">
        <v>264</v>
      </c>
      <c r="L643" s="59" t="n">
        <v>0</v>
      </c>
      <c r="M643" s="57" t="n">
        <v>0</v>
      </c>
      <c r="N643" s="57" t="n">
        <v>1</v>
      </c>
      <c r="O643" s="60" t="n">
        <v>14</v>
      </c>
      <c r="P643" s="55" t="s">
        <v>401</v>
      </c>
      <c r="Q643" s="57" t="n">
        <v>94</v>
      </c>
      <c r="R643" s="60" t="n">
        <f aca="false">IF(BT643=1,0,IFERROR(VLOOKUP(BR643,'Gebinde-Kategorie'!$A$5:$M$45,13,0)+0,0))</f>
        <v>414</v>
      </c>
      <c r="S643" s="61"/>
      <c r="T643" s="62"/>
      <c r="U643" s="62"/>
      <c r="V643" s="62"/>
      <c r="W643" s="55"/>
      <c r="X643" s="57"/>
      <c r="Y643" s="57"/>
      <c r="Z643" s="55" t="n">
        <f aca="false">IF(A643="","",IF(AND(Parameter!$B$21="Ja",ISNUMBER(W643)),W643,IF(BV643="2+3",IF(ISNUMBER(SEARCH("grosser Artikel",BO643)),2,IFERROR(VLOOKUP(BR643,Parameter!$F$35:$G$64,2,0),2)),IF(OR(BV643="Nein",BV643=""),"-",BV643))))</f>
        <v>3</v>
      </c>
      <c r="AA643" s="62"/>
      <c r="AB643" s="63"/>
      <c r="AC643" s="57" t="n">
        <f aca="false">AR643</f>
        <v>94</v>
      </c>
      <c r="AD643" s="57" t="n">
        <f aca="false">MAX(AR643,H643)</f>
        <v>266</v>
      </c>
      <c r="AE643" s="64"/>
      <c r="AF643" s="57" t="n">
        <f aca="false">IF(LEFT(Cockpit!$C$5,1)="A",H643,IF(CA643=1,CB643,IF(LEFT(Cockpit!$C$5,1)="B",AJ643,MAX(AJ643,H643))))</f>
        <v>266</v>
      </c>
      <c r="AG643" s="57" t="n">
        <f aca="false">IF(BT643=1,0,ROUNDUP(AF643/BS643,0))</f>
        <v>3</v>
      </c>
      <c r="AH643" s="59" t="n">
        <f aca="false">IF(CH643&gt;0,CH643*MAX(1,AF643/X643),IF(BT643=1,IF(AF643&lt;=0,0,BW643*MAX(1,IF(H643&gt;0,AF643/H643,1))),IF(R643&gt;0,AG643/R643,0))/MAX(0.1,N(Parameter!$M$21)))</f>
        <v>0.0072463768115942</v>
      </c>
      <c r="AI643" s="57" t="n">
        <f aca="false">AF643*G643</f>
        <v>23.94</v>
      </c>
      <c r="AJ643" s="57" t="n">
        <f aca="false">ROUNDUP(MAX(J643/IF(BZ643&gt;0,BZ643,MAX(0.1,N(Cockpit!$C$6))),CC643)/BS643,0)*BS643</f>
        <v>94</v>
      </c>
      <c r="AK643" s="58" t="n">
        <f aca="false">IF(AH643&gt;0,J643/AH643,-1)</f>
        <v>0</v>
      </c>
      <c r="AL643" s="58" t="n">
        <f aca="false">IF(AND(OR(BY643="L1",BY643="L23"),AH643&gt;0),SUMIFS($AH$7:$AH$1843,$BY$7:$BY$1843,BY643,$AK$7:$AK$1843,"&gt;"&amp;AK643)+SUMIFS($AH$7:$AH$1843,$BY$7:$BY$1843,BY643,$AK$7:$AK$1843,AK643,$BQ$7:$BQ$1843,"&lt;="&amp;BQ643),"")</f>
        <v>76.5907824059998</v>
      </c>
      <c r="AM643" s="65" t="n">
        <f aca="false">IF(AL643="",0,MAX(0,MIN(1,(IF(BY643="L1",Parameter!$E$5,Parameter!$E$6+Parameter!$E$7)-(AL643-AH643))/AH643)))</f>
        <v>1</v>
      </c>
      <c r="AN643" s="57" t="n">
        <f aca="false">IF(LEFT(Cockpit!$I$5,1)="A",H643,IF(CA643=1,CB643,IF(LEFT(Cockpit!$I$5,1)="B",AR643,MAX(AR643,H643))))</f>
        <v>266</v>
      </c>
      <c r="AO643" s="57" t="n">
        <f aca="false">IF(BT643=1,0,ROUNDUP(AN643/BS643,0))</f>
        <v>3</v>
      </c>
      <c r="AP643" s="59" t="n">
        <f aca="false">IF(CH643&gt;0,CH643*MAX(1,AN643/X643),IF(BT643=1,IF(AN643&lt;=0,0,BW643*MAX(1,IF(H643&gt;0,AN643/H643,1))),IF(R643&gt;0,AO643/R643,0))/MAX(0.1,N(Parameter!$M$21)))</f>
        <v>0.0072463768115942</v>
      </c>
      <c r="AQ643" s="57" t="n">
        <f aca="false">AN643*G643</f>
        <v>23.94</v>
      </c>
      <c r="AR643" s="57" t="n">
        <f aca="false">ROUNDUP(MAX(J643/IF(BZ643&gt;0,BZ643,MAX(0.1,N(Cockpit!$I$6))),CC643)/BS643,0)*BS643</f>
        <v>94</v>
      </c>
      <c r="AS643" s="58" t="n">
        <f aca="false">IF(AP643&gt;0,J643/AP643,-1)</f>
        <v>0</v>
      </c>
      <c r="AT643" s="58" t="n">
        <f aca="false">IF(AND(OR(BY643="L1",BY643="L23"),AP643&gt;0),SUMIFS($AP$7:$AP$1843,$BY$7:$BY$1843,BY643,$AS$7:$AS$1843,"&gt;"&amp;AS643)+SUMIFS($AP$7:$AP$1843,$BY$7:$BY$1843,BY643,$AS$7:$AS$1843,AS643,$BQ$7:$BQ$1843,"&lt;="&amp;BQ643),"")</f>
        <v>116.055783588392</v>
      </c>
      <c r="AU643" s="65" t="n">
        <f aca="false">IF(AT643="",0,MAX(0,MIN(1,(IF(BY643="L1",Parameter!$E$5,Parameter!$E$6+Parameter!$E$7)-(AT643-AP643))/AP643)))</f>
        <v>0</v>
      </c>
      <c r="AV643" s="57" t="n">
        <f aca="false">IF(LEFT(Cockpit!$O$5,1)="A",H643,IF(CA643=1,CB643,IF(LEFT(Cockpit!$O$5,1)="B",AZ643,MAX(AZ643,H643))))</f>
        <v>266</v>
      </c>
      <c r="AW643" s="57" t="n">
        <f aca="false">IF(BT643=1,0,ROUNDUP(AV643/BS643,0))</f>
        <v>3</v>
      </c>
      <c r="AX643" s="59" t="n">
        <f aca="false">IF(CH643&gt;0,CH643*MAX(1,AV643/X643),IF(BT643=1,IF(AV643&lt;=0,0,BW643*MAX(1,IF(H643&gt;0,AV643/H643,1))),IF(R643&gt;0,AW643/R643,0))/MAX(0.1,N(Parameter!$M$21)))</f>
        <v>0.0072463768115942</v>
      </c>
      <c r="AY643" s="57" t="n">
        <f aca="false">AV643*G643</f>
        <v>23.94</v>
      </c>
      <c r="AZ643" s="57" t="n">
        <f aca="false">ROUNDUP(MAX(J643/IF(BZ643&gt;0,BZ643,MAX(0.1,N(Cockpit!$O$6))),CC643)/BS643,0)*BS643</f>
        <v>94</v>
      </c>
      <c r="BA643" s="58" t="n">
        <f aca="false">IF(AX643&gt;0,J643/AX643,-1)</f>
        <v>0</v>
      </c>
      <c r="BB643" s="58" t="n">
        <f aca="false">IF(AND(OR(BY643="L1",BY643="L23"),AX643&gt;0),SUMIFS($AX$7:$AX$1843,$BY$7:$BY$1843,BY643,$BA$7:$BA$1843,"&gt;"&amp;BA643)+SUMIFS($AX$7:$AX$1843,$BY$7:$BY$1843,BY643,$BA$7:$BA$1843,BA643,$BQ$7:$BQ$1843,"&lt;="&amp;BQ643),"")</f>
        <v>106.885620418229</v>
      </c>
      <c r="BC643" s="65" t="n">
        <f aca="false">IF(BB643="",0,MAX(0,MIN(1,(IF(BY643="L1",Parameter!$E$5,Parameter!$E$6+Parameter!$E$7)-(BB643-AX643))/AX643)))</f>
        <v>0</v>
      </c>
      <c r="BD643" s="55" t="str">
        <f aca="false">IF(AH643&lt;=0,"",IF(BY643="Aussen","Aussenlager",IF(BY643="-","Nicht im Lift",IF(AM643&gt;=1,"Lift",IF(AM643&lt;=0,"Aussenlager","teilweise")))))</f>
        <v>Lift</v>
      </c>
      <c r="BE643" s="55" t="str">
        <f aca="false">IF(AP643&lt;=0,"",IF(BY643="Aussen","Aussenlager",IF(BY643="-","Nicht im Lift",IF(AU643&gt;=1,"Lift",IF(AU643&lt;=0,"Aussenlager","teilweise")))))</f>
        <v>Aussenlager</v>
      </c>
      <c r="BF643" s="55" t="str">
        <f aca="false">IF(AX643&lt;=0,"",IF(BY643="Aussen","Aussenlager",IF(BY643="-","Nicht im Lift",IF(BC643&gt;=1,"Lift",IF(BC643&lt;=0,"Aussenlager","teilweise")))))</f>
        <v>Aussenlager</v>
      </c>
      <c r="BG643" s="55" t="str">
        <f aca="false">IF(A643="","",IF(BP643=1,"Neu; ","")&amp;IF(AND(BP643=0,BK643&lt;0),"negativer Bestand (Export "&amp;BK643&amp;"); ","")&amp;IF(J643&lt;=0,"Kein Verbrauch; ","")&amp;IF(CH643&gt;0,"Lift "&amp;W643&amp;" lt. Liftbericht (Fach "&amp;X643&amp;" Stk); ",IF(BU643=1,"Gebinde geschätzt ("&amp;T643&amp;"); ",IF(BT643=1,"Lose – Tablare geschätzt; ","")))&amp;IF(H643&gt;AR643,"Überbestand "&amp;ROUND(H643-AR643,0)&amp;" Stk / CHF "&amp;ROUND((H643-AR643)*G643,0)&amp;"; ","")&amp;IF(AND(CA643=1,CB643&lt;CC643),"MAX &lt; MB+LG; ","")&amp;IF(AND(CG643&gt;0,CF643*10&gt;CG643),"zu hoch für Tablar; ","")&amp;IF(AND(BP643=0,OR(CA643=1,AA643&lt;&gt;"",U643&lt;&gt;"",V643&lt;&gt;"",AB643&lt;&gt;"")),"manuell übersteuert; ","")&amp;IF(AND(BT643=0,R643=0),"Gebinde unbekannt / Stellmass fehlt; ","")&amp;IF(AND(BT643=0,N(V643)&lt;=0,N(Q643)&lt;=0),"Menge pro Gebinde fehlt (Ist = 1 Gebinde); ","")&amp;BO643)</f>
        <v>Kein Verbrauch; Überbestand 172 Stk / CHF 15; Überbestand</v>
      </c>
      <c r="BH643" s="55"/>
      <c r="BI643" s="55"/>
      <c r="BJ643" s="62"/>
      <c r="BK643" s="57" t="n">
        <v>4</v>
      </c>
      <c r="BL643" s="57" t="n">
        <v>262</v>
      </c>
      <c r="BM643" s="56" t="n">
        <v>0.36</v>
      </c>
      <c r="BN643" s="57" t="n">
        <v>0</v>
      </c>
      <c r="BO643" s="55" t="s">
        <v>392</v>
      </c>
      <c r="BP643" s="60" t="n">
        <v>0</v>
      </c>
      <c r="BQ643" s="60" t="n">
        <v>643</v>
      </c>
      <c r="BR643" s="55" t="str">
        <f aca="false">IF(U643&lt;&gt;"",UPPER(TRIM(U643)),IF(BU643=1,UPPER(VLOOKUP(T643,Parameter!$I$27:$K$29,2,0)),IF(P643="","LOSE",P643)))</f>
        <v>S21</v>
      </c>
      <c r="BS643" s="57" t="n">
        <f aca="false">IF(BR643="LOSE",1,IF(N(V643)&gt;0,V643,IF(BU643=1,MAX(1,N(VLOOKUP(T643,Parameter!$I$27:$K$29,3,0)),H643,N(N643)),IF(N(Q643)&gt;0,Q643,MAX(1,H643)))))</f>
        <v>94</v>
      </c>
      <c r="BT643" s="60" t="n">
        <f aca="false">IF(BR643="LOSE",1,0)</f>
        <v>0</v>
      </c>
      <c r="BU643" s="60" t="n">
        <f aca="false">IF(AND(U643="",OR(P643="",P643="LOSE"),T643&lt;&gt;"",N(S643)&lt;=0,ISNUMBER(MATCH(T643,Parameter!$I$27:$I$29,0))),1,0)</f>
        <v>0</v>
      </c>
      <c r="BV643" s="55" t="str">
        <f aca="false">IF(AND(Parameter!$B$19="Ja",E643&lt;&gt;"",ISNUMBER(MATCH(E643,Parameter!$I$35:$I$52,0))),VLOOKUP(E643,Parameter!$I$35:$J$52,2,0),IFERROR(VLOOKUP(D643,Parameter!$A$35:$C$64,2,0),"Nein"))</f>
        <v>2+3</v>
      </c>
      <c r="BW643" s="59" t="n">
        <f aca="false">IF(BT643=0,0,IF(N(S643)&gt;0,S643,IFERROR(VLOOKUP(D643,Parameter!$A$35:$C$64,3,0)+0,0)))</f>
        <v>0</v>
      </c>
      <c r="BX643" s="55" t="n">
        <f aca="false">IF(AA643&lt;&gt;"",AA643,Z643)</f>
        <v>3</v>
      </c>
      <c r="BY643" s="55" t="str">
        <f aca="false">IF(BX643=1,"L1",IF(OR(BX643=2,BX643=3),"L23",IF(BX643="Aussen","Aussen","-")))</f>
        <v>L23</v>
      </c>
      <c r="BZ643" s="66" t="n">
        <f aca="false">IF(N(AB643)&gt;0,AB643,0)</f>
        <v>0</v>
      </c>
      <c r="CA643" s="60" t="n">
        <f aca="false">IF(ISNUMBER(AE643),1,0)</f>
        <v>0</v>
      </c>
      <c r="CB643" s="57" t="n">
        <f aca="false">N(AE643)</f>
        <v>0</v>
      </c>
      <c r="CC643" s="57" t="n">
        <f aca="false">N(M643)+N(N643)</f>
        <v>1</v>
      </c>
      <c r="CD643" s="57" t="n">
        <f aca="false">ROUNDUP(H643/BS643,0)</f>
        <v>3</v>
      </c>
      <c r="CE643" s="57" t="n">
        <f aca="false">ROUNDUP(CB643/BS643,0)</f>
        <v>0</v>
      </c>
      <c r="CF643" s="60" t="n">
        <f aca="false">IF(BT643=1,0,IFERROR(VLOOKUP(BR643,'Gebinde-Kategorie'!$A$5:$M$45,5,0)+0,0))</f>
        <v>8</v>
      </c>
      <c r="CG643" s="60" t="n">
        <f aca="false">IFERROR(IF(OR(BX643=1,BX643=2,BX643=3),N(INDEX(Parameter!$I$5:$I$7,BX643)),0),0)</f>
        <v>0</v>
      </c>
      <c r="CH643" s="59" t="n">
        <f aca="false">IF(AND(Parameter!$B$21="Ja",ISNUMBER(W643),N(X643)&gt;0),IFERROR(N(INDEX(Parameter!$L$5:$L$7,W643))*INDEX(Parameter!$E$5:$E$7,W643)*X643/SUMIFS($X$7:$X$1843,$W$7:$W$1843,W643),0),0)</f>
        <v>0</v>
      </c>
    </row>
    <row r="644" customFormat="false" ht="15" hidden="false" customHeight="false" outlineLevel="0" collapsed="false">
      <c r="A644" s="55" t="s">
        <v>1310</v>
      </c>
      <c r="B644" s="55" t="s">
        <v>1236</v>
      </c>
      <c r="C644" s="55" t="s">
        <v>164</v>
      </c>
      <c r="D644" s="55" t="s">
        <v>184</v>
      </c>
      <c r="E644" s="55" t="s">
        <v>185</v>
      </c>
      <c r="F644" s="55" t="s">
        <v>218</v>
      </c>
      <c r="G644" s="56" t="n">
        <v>0.04</v>
      </c>
      <c r="H644" s="57" t="n">
        <f aca="false">MAX(0,IF(AND(Parameter!$B$21="Ja",ISNUMBER(Y644)),Y644,IF(Parameter!$B$20="Jahresanfang 2025 + Export",BL644+BK644,BK644)))</f>
        <v>166</v>
      </c>
      <c r="I644" s="57" t="n">
        <f aca="false">H644*G644</f>
        <v>6.64</v>
      </c>
      <c r="J644" s="57" t="n">
        <f aca="false">BN644*Parameter!$B$18</f>
        <v>4</v>
      </c>
      <c r="K644" s="58" t="n">
        <v>162</v>
      </c>
      <c r="L644" s="59" t="n">
        <v>0.0246913580246914</v>
      </c>
      <c r="M644" s="57" t="n">
        <v>0</v>
      </c>
      <c r="N644" s="57" t="n">
        <v>5</v>
      </c>
      <c r="O644" s="60" t="n">
        <v>21</v>
      </c>
      <c r="P644" s="55" t="s">
        <v>401</v>
      </c>
      <c r="Q644" s="57" t="n">
        <v>169</v>
      </c>
      <c r="R644" s="60" t="n">
        <f aca="false">IF(BT644=1,0,IFERROR(VLOOKUP(BR644,'Gebinde-Kategorie'!$A$5:$M$45,13,0)+0,0))</f>
        <v>414</v>
      </c>
      <c r="S644" s="61"/>
      <c r="T644" s="62"/>
      <c r="U644" s="62"/>
      <c r="V644" s="62"/>
      <c r="W644" s="55"/>
      <c r="X644" s="57"/>
      <c r="Y644" s="57"/>
      <c r="Z644" s="55" t="n">
        <f aca="false">IF(A644="","",IF(AND(Parameter!$B$21="Ja",ISNUMBER(W644)),W644,IF(BV644="2+3",IF(ISNUMBER(SEARCH("grosser Artikel",BO644)),2,IFERROR(VLOOKUP(BR644,Parameter!$F$35:$G$64,2,0),2)),IF(OR(BV644="Nein",BV644=""),"-",BV644))))</f>
        <v>3</v>
      </c>
      <c r="AA644" s="62"/>
      <c r="AB644" s="63"/>
      <c r="AC644" s="57" t="n">
        <f aca="false">AR644</f>
        <v>169</v>
      </c>
      <c r="AD644" s="57" t="n">
        <f aca="false">MAX(AR644,H644)</f>
        <v>169</v>
      </c>
      <c r="AE644" s="64"/>
      <c r="AF644" s="57" t="n">
        <f aca="false">IF(LEFT(Cockpit!$C$5,1)="A",H644,IF(CA644=1,CB644,IF(LEFT(Cockpit!$C$5,1)="B",AJ644,MAX(AJ644,H644))))</f>
        <v>166</v>
      </c>
      <c r="AG644" s="57" t="n">
        <f aca="false">IF(BT644=1,0,ROUNDUP(AF644/BS644,0))</f>
        <v>1</v>
      </c>
      <c r="AH644" s="59" t="n">
        <f aca="false">IF(CH644&gt;0,CH644*MAX(1,AF644/X644),IF(BT644=1,IF(AF644&lt;=0,0,BW644*MAX(1,IF(H644&gt;0,AF644/H644,1))),IF(R644&gt;0,AG644/R644,0))/MAX(0.1,N(Parameter!$M$21)))</f>
        <v>0.00241545893719807</v>
      </c>
      <c r="AI644" s="57" t="n">
        <f aca="false">AF644*G644</f>
        <v>6.64</v>
      </c>
      <c r="AJ644" s="57" t="n">
        <f aca="false">ROUNDUP(MAX(J644/IF(BZ644&gt;0,BZ644,MAX(0.1,N(Cockpit!$C$6))),CC644)/BS644,0)*BS644</f>
        <v>169</v>
      </c>
      <c r="AK644" s="58" t="n">
        <f aca="false">IF(AH644&gt;0,J644/AH644,-1)</f>
        <v>1656</v>
      </c>
      <c r="AL644" s="58" t="n">
        <f aca="false">IF(AND(OR(BY644="L1",BY644="L23"),AH644&gt;0),SUMIFS($AH$7:$AH$1843,$BY$7:$BY$1843,BY644,$AK$7:$AK$1843,"&gt;"&amp;AK644)+SUMIFS($AH$7:$AH$1843,$BY$7:$BY$1843,BY644,$AK$7:$AK$1843,AK644,$BQ$7:$BQ$1843,"&lt;="&amp;BQ644),"")</f>
        <v>15.4325529542921</v>
      </c>
      <c r="AM644" s="65" t="n">
        <f aca="false">IF(AL644="",0,MAX(0,MIN(1,(IF(BY644="L1",Parameter!$E$5,Parameter!$E$6+Parameter!$E$7)-(AL644-AH644))/AH644)))</f>
        <v>1</v>
      </c>
      <c r="AN644" s="57" t="n">
        <f aca="false">IF(LEFT(Cockpit!$I$5,1)="A",H644,IF(CA644=1,CB644,IF(LEFT(Cockpit!$I$5,1)="B",AR644,MAX(AR644,H644))))</f>
        <v>169</v>
      </c>
      <c r="AO644" s="57" t="n">
        <f aca="false">IF(BT644=1,0,ROUNDUP(AN644/BS644,0))</f>
        <v>1</v>
      </c>
      <c r="AP644" s="59" t="n">
        <f aca="false">IF(CH644&gt;0,CH644*MAX(1,AN644/X644),IF(BT644=1,IF(AN644&lt;=0,0,BW644*MAX(1,IF(H644&gt;0,AN644/H644,1))),IF(R644&gt;0,AO644/R644,0))/MAX(0.1,N(Parameter!$M$21)))</f>
        <v>0.00241545893719807</v>
      </c>
      <c r="AQ644" s="57" t="n">
        <f aca="false">AN644*G644</f>
        <v>6.76</v>
      </c>
      <c r="AR644" s="57" t="n">
        <f aca="false">ROUNDUP(MAX(J644/IF(BZ644&gt;0,BZ644,MAX(0.1,N(Cockpit!$I$6))),CC644)/BS644,0)*BS644</f>
        <v>169</v>
      </c>
      <c r="AS644" s="58" t="n">
        <f aca="false">IF(AP644&gt;0,J644/AP644,-1)</f>
        <v>1656</v>
      </c>
      <c r="AT644" s="58" t="n">
        <f aca="false">IF(AND(OR(BY644="L1",BY644="L23"),AP644&gt;0),SUMIFS($AP$7:$AP$1843,$BY$7:$BY$1843,BY644,$AS$7:$AS$1843,"&gt;"&amp;AS644)+SUMIFS($AP$7:$AP$1843,$BY$7:$BY$1843,BY644,$AS$7:$AS$1843,AS644,$BQ$7:$BQ$1843,"&lt;="&amp;BQ644),"")</f>
        <v>19.9437181176312</v>
      </c>
      <c r="AU644" s="65" t="n">
        <f aca="false">IF(AT644="",0,MAX(0,MIN(1,(IF(BY644="L1",Parameter!$E$5,Parameter!$E$6+Parameter!$E$7)-(AT644-AP644))/AP644)))</f>
        <v>1</v>
      </c>
      <c r="AV644" s="57" t="n">
        <f aca="false">IF(LEFT(Cockpit!$O$5,1)="A",H644,IF(CA644=1,CB644,IF(LEFT(Cockpit!$O$5,1)="B",AZ644,MAX(AZ644,H644))))</f>
        <v>169</v>
      </c>
      <c r="AW644" s="57" t="n">
        <f aca="false">IF(BT644=1,0,ROUNDUP(AV644/BS644,0))</f>
        <v>1</v>
      </c>
      <c r="AX644" s="59" t="n">
        <f aca="false">IF(CH644&gt;0,CH644*MAX(1,AV644/X644),IF(BT644=1,IF(AV644&lt;=0,0,BW644*MAX(1,IF(H644&gt;0,AV644/H644,1))),IF(R644&gt;0,AW644/R644,0))/MAX(0.1,N(Parameter!$M$21)))</f>
        <v>0.00241545893719807</v>
      </c>
      <c r="AY644" s="57" t="n">
        <f aca="false">AV644*G644</f>
        <v>6.76</v>
      </c>
      <c r="AZ644" s="57" t="n">
        <f aca="false">ROUNDUP(MAX(J644/IF(BZ644&gt;0,BZ644,MAX(0.1,N(Cockpit!$O$6))),CC644)/BS644,0)*BS644</f>
        <v>169</v>
      </c>
      <c r="BA644" s="58" t="n">
        <f aca="false">IF(AX644&gt;0,J644/AX644,-1)</f>
        <v>1656</v>
      </c>
      <c r="BB644" s="58" t="n">
        <f aca="false">IF(AND(OR(BY644="L1",BY644="L23"),AX644&gt;0),SUMIFS($AX$7:$AX$1843,$BY$7:$BY$1843,BY644,$BA$7:$BA$1843,"&gt;"&amp;BA644)+SUMIFS($AX$7:$AX$1843,$BY$7:$BY$1843,BY644,$BA$7:$BA$1843,BA644,$BQ$7:$BQ$1843,"&lt;="&amp;BQ644),"")</f>
        <v>18.8056062295193</v>
      </c>
      <c r="BC644" s="65" t="n">
        <f aca="false">IF(BB644="",0,MAX(0,MIN(1,(IF(BY644="L1",Parameter!$E$5,Parameter!$E$6+Parameter!$E$7)-(BB644-AX644))/AX644)))</f>
        <v>1</v>
      </c>
      <c r="BD644" s="55" t="str">
        <f aca="false">IF(AH644&lt;=0,"",IF(BY644="Aussen","Aussenlager",IF(BY644="-","Nicht im Lift",IF(AM644&gt;=1,"Lift",IF(AM644&lt;=0,"Aussenlager","teilweise")))))</f>
        <v>Lift</v>
      </c>
      <c r="BE644" s="55" t="str">
        <f aca="false">IF(AP644&lt;=0,"",IF(BY644="Aussen","Aussenlager",IF(BY644="-","Nicht im Lift",IF(AU644&gt;=1,"Lift",IF(AU644&lt;=0,"Aussenlager","teilweise")))))</f>
        <v>Lift</v>
      </c>
      <c r="BF644" s="55" t="str">
        <f aca="false">IF(AX644&lt;=0,"",IF(BY644="Aussen","Aussenlager",IF(BY644="-","Nicht im Lift",IF(BC644&gt;=1,"Lift",IF(BC644&lt;=0,"Aussenlager","teilweise")))))</f>
        <v>Lift</v>
      </c>
      <c r="BG644" s="55" t="str">
        <f aca="false">IF(A644="","",IF(BP644=1,"Neu; ","")&amp;IF(AND(BP644=0,BK644&lt;0),"negativer Bestand (Export "&amp;BK644&amp;"); ","")&amp;IF(J644&lt;=0,"Kein Verbrauch; ","")&amp;IF(CH644&gt;0,"Lift "&amp;W644&amp;" lt. Liftbericht (Fach "&amp;X644&amp;" Stk); ",IF(BU644=1,"Gebinde geschätzt ("&amp;T644&amp;"); ",IF(BT644=1,"Lose – Tablare geschätzt; ","")))&amp;IF(H644&gt;AR644,"Überbestand "&amp;ROUND(H644-AR644,0)&amp;" Stk / CHF "&amp;ROUND((H644-AR644)*G644,0)&amp;"; ","")&amp;IF(AND(CA644=1,CB644&lt;CC644),"MAX &lt; MB+LG; ","")&amp;IF(AND(CG644&gt;0,CF644*10&gt;CG644),"zu hoch für Tablar; ","")&amp;IF(AND(BP644=0,OR(CA644=1,AA644&lt;&gt;"",U644&lt;&gt;"",V644&lt;&gt;"",AB644&lt;&gt;"")),"manuell übersteuert; ","")&amp;IF(AND(BT644=0,R644=0),"Gebinde unbekannt / Stellmass fehlt; ","")&amp;IF(AND(BT644=0,N(V644)&lt;=0,N(Q644)&lt;=0),"Menge pro Gebinde fehlt (Ist = 1 Gebinde); ","")&amp;BO644)</f>
        <v>Überbestand</v>
      </c>
      <c r="BH644" s="55"/>
      <c r="BI644" s="55"/>
      <c r="BJ644" s="62"/>
      <c r="BK644" s="57" t="n">
        <v>7</v>
      </c>
      <c r="BL644" s="57" t="n">
        <v>159</v>
      </c>
      <c r="BM644" s="56" t="n">
        <v>0.28</v>
      </c>
      <c r="BN644" s="57" t="n">
        <v>4</v>
      </c>
      <c r="BO644" s="55" t="s">
        <v>392</v>
      </c>
      <c r="BP644" s="60" t="n">
        <v>0</v>
      </c>
      <c r="BQ644" s="60" t="n">
        <v>644</v>
      </c>
      <c r="BR644" s="55" t="str">
        <f aca="false">IF(U644&lt;&gt;"",UPPER(TRIM(U644)),IF(BU644=1,UPPER(VLOOKUP(T644,Parameter!$I$27:$K$29,2,0)),IF(P644="","LOSE",P644)))</f>
        <v>S21</v>
      </c>
      <c r="BS644" s="57" t="n">
        <f aca="false">IF(BR644="LOSE",1,IF(N(V644)&gt;0,V644,IF(BU644=1,MAX(1,N(VLOOKUP(T644,Parameter!$I$27:$K$29,3,0)),H644,N(N644)),IF(N(Q644)&gt;0,Q644,MAX(1,H644)))))</f>
        <v>169</v>
      </c>
      <c r="BT644" s="60" t="n">
        <f aca="false">IF(BR644="LOSE",1,0)</f>
        <v>0</v>
      </c>
      <c r="BU644" s="60" t="n">
        <f aca="false">IF(AND(U644="",OR(P644="",P644="LOSE"),T644&lt;&gt;"",N(S644)&lt;=0,ISNUMBER(MATCH(T644,Parameter!$I$27:$I$29,0))),1,0)</f>
        <v>0</v>
      </c>
      <c r="BV644" s="55" t="str">
        <f aca="false">IF(AND(Parameter!$B$19="Ja",E644&lt;&gt;"",ISNUMBER(MATCH(E644,Parameter!$I$35:$I$52,0))),VLOOKUP(E644,Parameter!$I$35:$J$52,2,0),IFERROR(VLOOKUP(D644,Parameter!$A$35:$C$64,2,0),"Nein"))</f>
        <v>2+3</v>
      </c>
      <c r="BW644" s="59" t="n">
        <f aca="false">IF(BT644=0,0,IF(N(S644)&gt;0,S644,IFERROR(VLOOKUP(D644,Parameter!$A$35:$C$64,3,0)+0,0)))</f>
        <v>0</v>
      </c>
      <c r="BX644" s="55" t="n">
        <f aca="false">IF(AA644&lt;&gt;"",AA644,Z644)</f>
        <v>3</v>
      </c>
      <c r="BY644" s="55" t="str">
        <f aca="false">IF(BX644=1,"L1",IF(OR(BX644=2,BX644=3),"L23",IF(BX644="Aussen","Aussen","-")))</f>
        <v>L23</v>
      </c>
      <c r="BZ644" s="66" t="n">
        <f aca="false">IF(N(AB644)&gt;0,AB644,0)</f>
        <v>0</v>
      </c>
      <c r="CA644" s="60" t="n">
        <f aca="false">IF(ISNUMBER(AE644),1,0)</f>
        <v>0</v>
      </c>
      <c r="CB644" s="57" t="n">
        <f aca="false">N(AE644)</f>
        <v>0</v>
      </c>
      <c r="CC644" s="57" t="n">
        <f aca="false">N(M644)+N(N644)</f>
        <v>5</v>
      </c>
      <c r="CD644" s="57" t="n">
        <f aca="false">ROUNDUP(H644/BS644,0)</f>
        <v>1</v>
      </c>
      <c r="CE644" s="57" t="n">
        <f aca="false">ROUNDUP(CB644/BS644,0)</f>
        <v>0</v>
      </c>
      <c r="CF644" s="60" t="n">
        <f aca="false">IF(BT644=1,0,IFERROR(VLOOKUP(BR644,'Gebinde-Kategorie'!$A$5:$M$45,5,0)+0,0))</f>
        <v>8</v>
      </c>
      <c r="CG644" s="60" t="n">
        <f aca="false">IFERROR(IF(OR(BX644=1,BX644=2,BX644=3),N(INDEX(Parameter!$I$5:$I$7,BX644)),0),0)</f>
        <v>0</v>
      </c>
      <c r="CH644" s="59" t="n">
        <f aca="false">IF(AND(Parameter!$B$21="Ja",ISNUMBER(W644),N(X644)&gt;0),IFERROR(N(INDEX(Parameter!$L$5:$L$7,W644))*INDEX(Parameter!$E$5:$E$7,W644)*X644/SUMIFS($X$7:$X$1843,$W$7:$W$1843,W644),0),0)</f>
        <v>0</v>
      </c>
    </row>
    <row r="645" customFormat="false" ht="15" hidden="false" customHeight="false" outlineLevel="0" collapsed="false">
      <c r="A645" s="55" t="s">
        <v>1311</v>
      </c>
      <c r="B645" s="55" t="s">
        <v>949</v>
      </c>
      <c r="C645" s="55" t="s">
        <v>164</v>
      </c>
      <c r="D645" s="55" t="s">
        <v>995</v>
      </c>
      <c r="E645" s="55"/>
      <c r="F645" s="55" t="s">
        <v>218</v>
      </c>
      <c r="G645" s="56" t="n">
        <v>0.07</v>
      </c>
      <c r="H645" s="57" t="n">
        <f aca="false">MAX(0,IF(AND(Parameter!$B$21="Ja",ISNUMBER(Y645)),Y645,IF(Parameter!$B$20="Jahresanfang 2025 + Export",BL645+BK645,BK645)))</f>
        <v>3</v>
      </c>
      <c r="I645" s="57" t="n">
        <f aca="false">H645*G645</f>
        <v>0.21</v>
      </c>
      <c r="J645" s="57" t="n">
        <f aca="false">BN645*Parameter!$B$18</f>
        <v>96</v>
      </c>
      <c r="K645" s="58" t="n">
        <v>1.5</v>
      </c>
      <c r="L645" s="59" t="n">
        <v>64</v>
      </c>
      <c r="M645" s="57" t="n">
        <v>0</v>
      </c>
      <c r="N645" s="57" t="n">
        <v>100</v>
      </c>
      <c r="O645" s="60" t="n">
        <v>21</v>
      </c>
      <c r="P645" s="55" t="s">
        <v>168</v>
      </c>
      <c r="Q645" s="57"/>
      <c r="R645" s="60" t="n">
        <f aca="false">IF(BT645=1,0,IFERROR(VLOOKUP(BR645,'Gebinde-Kategorie'!$A$5:$M$45,13,0)+0,0))</f>
        <v>0</v>
      </c>
      <c r="S645" s="61"/>
      <c r="T645" s="62"/>
      <c r="U645" s="62"/>
      <c r="V645" s="62"/>
      <c r="W645" s="55"/>
      <c r="X645" s="57"/>
      <c r="Y645" s="57"/>
      <c r="Z645" s="55" t="str">
        <f aca="false">IF(A645="","",IF(AND(Parameter!$B$21="Ja",ISNUMBER(W645)),W645,IF(BV645="2+3",IF(ISNUMBER(SEARCH("grosser Artikel",BO645)),2,IFERROR(VLOOKUP(BR645,Parameter!$F$35:$G$64,2,0),2)),IF(OR(BV645="Nein",BV645=""),"-",BV645))))</f>
        <v>-</v>
      </c>
      <c r="AA645" s="62"/>
      <c r="AB645" s="63"/>
      <c r="AC645" s="57" t="n">
        <f aca="false">AR645</f>
        <v>100</v>
      </c>
      <c r="AD645" s="57" t="n">
        <f aca="false">MAX(AR645,H645)</f>
        <v>100</v>
      </c>
      <c r="AE645" s="64"/>
      <c r="AF645" s="57" t="n">
        <f aca="false">IF(LEFT(Cockpit!$C$5,1)="A",H645,IF(CA645=1,CB645,IF(LEFT(Cockpit!$C$5,1)="B",AJ645,MAX(AJ645,H645))))</f>
        <v>3</v>
      </c>
      <c r="AG645" s="57" t="n">
        <f aca="false">IF(BT645=1,0,ROUNDUP(AF645/BS645,0))</f>
        <v>0</v>
      </c>
      <c r="AH645" s="59" t="n">
        <f aca="false">IF(CH645&gt;0,CH645*MAX(1,AF645/X645),IF(BT645=1,IF(AF645&lt;=0,0,BW645*MAX(1,IF(H645&gt;0,AF645/H645,1))),IF(R645&gt;0,AG645/R645,0))/MAX(0.1,N(Parameter!$M$21)))</f>
        <v>0.15</v>
      </c>
      <c r="AI645" s="57" t="n">
        <f aca="false">AF645*G645</f>
        <v>0.21</v>
      </c>
      <c r="AJ645" s="57" t="n">
        <f aca="false">ROUNDUP(MAX(J645/IF(BZ645&gt;0,BZ645,MAX(0.1,N(Cockpit!$C$6))),CC645)/BS645,0)*BS645</f>
        <v>100</v>
      </c>
      <c r="AK645" s="58" t="n">
        <f aca="false">IF(AH645&gt;0,J645/AH645,-1)</f>
        <v>640</v>
      </c>
      <c r="AL645" s="58" t="str">
        <f aca="false">IF(AND(OR(BY645="L1",BY645="L23"),AH645&gt;0),SUMIFS($AH$7:$AH$1843,$BY$7:$BY$1843,BY645,$AK$7:$AK$1843,"&gt;"&amp;AK645)+SUMIFS($AH$7:$AH$1843,$BY$7:$BY$1843,BY645,$AK$7:$AK$1843,AK645,$BQ$7:$BQ$1843,"&lt;="&amp;BQ645),"")</f>
        <v/>
      </c>
      <c r="AM645" s="65" t="n">
        <f aca="false">IF(AL645="",0,MAX(0,MIN(1,(IF(BY645="L1",Parameter!$E$5,Parameter!$E$6+Parameter!$E$7)-(AL645-AH645))/AH645)))</f>
        <v>0</v>
      </c>
      <c r="AN645" s="57" t="n">
        <f aca="false">IF(LEFT(Cockpit!$I$5,1)="A",H645,IF(CA645=1,CB645,IF(LEFT(Cockpit!$I$5,1)="B",AR645,MAX(AR645,H645))))</f>
        <v>100</v>
      </c>
      <c r="AO645" s="57" t="n">
        <f aca="false">IF(BT645=1,0,ROUNDUP(AN645/BS645,0))</f>
        <v>0</v>
      </c>
      <c r="AP645" s="59" t="n">
        <f aca="false">IF(CH645&gt;0,CH645*MAX(1,AN645/X645),IF(BT645=1,IF(AN645&lt;=0,0,BW645*MAX(1,IF(H645&gt;0,AN645/H645,1))),IF(R645&gt;0,AO645/R645,0))/MAX(0.1,N(Parameter!$M$21)))</f>
        <v>5</v>
      </c>
      <c r="AQ645" s="57" t="n">
        <f aca="false">AN645*G645</f>
        <v>7</v>
      </c>
      <c r="AR645" s="57" t="n">
        <f aca="false">ROUNDUP(MAX(J645/IF(BZ645&gt;0,BZ645,MAX(0.1,N(Cockpit!$I$6))),CC645)/BS645,0)*BS645</f>
        <v>100</v>
      </c>
      <c r="AS645" s="58" t="n">
        <f aca="false">IF(AP645&gt;0,J645/AP645,-1)</f>
        <v>19.2</v>
      </c>
      <c r="AT645" s="58" t="str">
        <f aca="false">IF(AND(OR(BY645="L1",BY645="L23"),AP645&gt;0),SUMIFS($AP$7:$AP$1843,$BY$7:$BY$1843,BY645,$AS$7:$AS$1843,"&gt;"&amp;AS645)+SUMIFS($AP$7:$AP$1843,$BY$7:$BY$1843,BY645,$AS$7:$AS$1843,AS645,$BQ$7:$BQ$1843,"&lt;="&amp;BQ645),"")</f>
        <v/>
      </c>
      <c r="AU645" s="65" t="n">
        <f aca="false">IF(AT645="",0,MAX(0,MIN(1,(IF(BY645="L1",Parameter!$E$5,Parameter!$E$6+Parameter!$E$7)-(AT645-AP645))/AP645)))</f>
        <v>0</v>
      </c>
      <c r="AV645" s="57" t="n">
        <f aca="false">IF(LEFT(Cockpit!$O$5,1)="A",H645,IF(CA645=1,CB645,IF(LEFT(Cockpit!$O$5,1)="B",AZ645,MAX(AZ645,H645))))</f>
        <v>100</v>
      </c>
      <c r="AW645" s="57" t="n">
        <f aca="false">IF(BT645=1,0,ROUNDUP(AV645/BS645,0))</f>
        <v>0</v>
      </c>
      <c r="AX645" s="59" t="n">
        <f aca="false">IF(CH645&gt;0,CH645*MAX(1,AV645/X645),IF(BT645=1,IF(AV645&lt;=0,0,BW645*MAX(1,IF(H645&gt;0,AV645/H645,1))),IF(R645&gt;0,AW645/R645,0))/MAX(0.1,N(Parameter!$M$21)))</f>
        <v>5</v>
      </c>
      <c r="AY645" s="57" t="n">
        <f aca="false">AV645*G645</f>
        <v>7</v>
      </c>
      <c r="AZ645" s="57" t="n">
        <f aca="false">ROUNDUP(MAX(J645/IF(BZ645&gt;0,BZ645,MAX(0.1,N(Cockpit!$O$6))),CC645)/BS645,0)*BS645</f>
        <v>100</v>
      </c>
      <c r="BA645" s="58" t="n">
        <f aca="false">IF(AX645&gt;0,J645/AX645,-1)</f>
        <v>19.2</v>
      </c>
      <c r="BB645" s="58" t="str">
        <f aca="false">IF(AND(OR(BY645="L1",BY645="L23"),AX645&gt;0),SUMIFS($AX$7:$AX$1843,$BY$7:$BY$1843,BY645,$BA$7:$BA$1843,"&gt;"&amp;BA645)+SUMIFS($AX$7:$AX$1843,$BY$7:$BY$1843,BY645,$BA$7:$BA$1843,BA645,$BQ$7:$BQ$1843,"&lt;="&amp;BQ645),"")</f>
        <v/>
      </c>
      <c r="BC645" s="65" t="n">
        <f aca="false">IF(BB645="",0,MAX(0,MIN(1,(IF(BY645="L1",Parameter!$E$5,Parameter!$E$6+Parameter!$E$7)-(BB645-AX645))/AX645)))</f>
        <v>0</v>
      </c>
      <c r="BD645" s="55" t="str">
        <f aca="false">IF(AH645&lt;=0,"",IF(BY645="Aussen","Aussenlager",IF(BY645="-","Nicht im Lift",IF(AM645&gt;=1,"Lift",IF(AM645&lt;=0,"Aussenlager","teilweise")))))</f>
        <v>Nicht im Lift</v>
      </c>
      <c r="BE645" s="55" t="str">
        <f aca="false">IF(AP645&lt;=0,"",IF(BY645="Aussen","Aussenlager",IF(BY645="-","Nicht im Lift",IF(AU645&gt;=1,"Lift",IF(AU645&lt;=0,"Aussenlager","teilweise")))))</f>
        <v>Nicht im Lift</v>
      </c>
      <c r="BF645" s="55" t="str">
        <f aca="false">IF(AX645&lt;=0,"",IF(BY645="Aussen","Aussenlager",IF(BY645="-","Nicht im Lift",IF(BC645&gt;=1,"Lift",IF(BC645&lt;=0,"Aussenlager","teilweise")))))</f>
        <v>Nicht im Lift</v>
      </c>
      <c r="BG645" s="55" t="str">
        <f aca="false">IF(A645="","",IF(BP645=1,"Neu; ","")&amp;IF(AND(BP645=0,BK645&lt;0),"negativer Bestand (Export "&amp;BK645&amp;"); ","")&amp;IF(J645&lt;=0,"Kein Verbrauch; ","")&amp;IF(CH645&gt;0,"Lift "&amp;W645&amp;" lt. Liftbericht (Fach "&amp;X645&amp;" Stk); ",IF(BU645=1,"Gebinde geschätzt ("&amp;T645&amp;"); ",IF(BT645=1,"Lose – Tablare geschätzt; ","")))&amp;IF(H645&gt;AR645,"Überbestand "&amp;ROUND(H645-AR645,0)&amp;" Stk / CHF "&amp;ROUND((H645-AR645)*G645,0)&amp;"; ","")&amp;IF(AND(CA645=1,CB645&lt;CC645),"MAX &lt; MB+LG; ","")&amp;IF(AND(CG645&gt;0,CF645*10&gt;CG645),"zu hoch für Tablar; ","")&amp;IF(AND(BP645=0,OR(CA645=1,AA645&lt;&gt;"",U645&lt;&gt;"",V645&lt;&gt;"",AB645&lt;&gt;"")),"manuell übersteuert; ","")&amp;IF(AND(BT645=0,R645=0),"Gebinde unbekannt / Stellmass fehlt; ","")&amp;IF(AND(BT645=0,N(V645)&lt;=0,N(Q645)&lt;=0),"Menge pro Gebinde fehlt (Ist = 1 Gebinde); ","")&amp;BO645)</f>
        <v>Lose – Tablare geschätzt; </v>
      </c>
      <c r="BH645" s="55"/>
      <c r="BI645" s="55"/>
      <c r="BJ645" s="62"/>
      <c r="BK645" s="57" t="n">
        <v>3</v>
      </c>
      <c r="BL645" s="57" t="n">
        <v>0</v>
      </c>
      <c r="BM645" s="56" t="n">
        <v>0.21</v>
      </c>
      <c r="BN645" s="57" t="n">
        <v>96</v>
      </c>
      <c r="BO645" s="55"/>
      <c r="BP645" s="60" t="n">
        <v>0</v>
      </c>
      <c r="BQ645" s="60" t="n">
        <v>645</v>
      </c>
      <c r="BR645" s="55" t="str">
        <f aca="false">IF(U645&lt;&gt;"",UPPER(TRIM(U645)),IF(BU645=1,UPPER(VLOOKUP(T645,Parameter!$I$27:$K$29,2,0)),IF(P645="","LOSE",P645)))</f>
        <v>LOSE</v>
      </c>
      <c r="BS645" s="57" t="n">
        <f aca="false">IF(BR645="LOSE",1,IF(N(V645)&gt;0,V645,IF(BU645=1,MAX(1,N(VLOOKUP(T645,Parameter!$I$27:$K$29,3,0)),H645,N(N645)),IF(N(Q645)&gt;0,Q645,MAX(1,H645)))))</f>
        <v>1</v>
      </c>
      <c r="BT645" s="60" t="n">
        <f aca="false">IF(BR645="LOSE",1,0)</f>
        <v>1</v>
      </c>
      <c r="BU645" s="60" t="n">
        <f aca="false">IF(AND(U645="",OR(P645="",P645="LOSE"),T645&lt;&gt;"",N(S645)&lt;=0,ISNUMBER(MATCH(T645,Parameter!$I$27:$I$29,0))),1,0)</f>
        <v>0</v>
      </c>
      <c r="BV645" s="55" t="str">
        <f aca="false">IF(AND(Parameter!$B$19="Ja",E645&lt;&gt;"",ISNUMBER(MATCH(E645,Parameter!$I$35:$I$52,0))),VLOOKUP(E645,Parameter!$I$35:$J$52,2,0),IFERROR(VLOOKUP(D645,Parameter!$A$35:$C$64,2,0),"Nein"))</f>
        <v>Nein</v>
      </c>
      <c r="BW645" s="59" t="n">
        <f aca="false">IF(BT645=0,0,IF(N(S645)&gt;0,S645,IFERROR(VLOOKUP(D645,Parameter!$A$35:$C$64,3,0)+0,0)))</f>
        <v>0.15</v>
      </c>
      <c r="BX645" s="55" t="str">
        <f aca="false">IF(AA645&lt;&gt;"",AA645,Z645)</f>
        <v>-</v>
      </c>
      <c r="BY645" s="55" t="str">
        <f aca="false">IF(BX645=1,"L1",IF(OR(BX645=2,BX645=3),"L23",IF(BX645="Aussen","Aussen","-")))</f>
        <v>-</v>
      </c>
      <c r="BZ645" s="66" t="n">
        <f aca="false">IF(N(AB645)&gt;0,AB645,0)</f>
        <v>0</v>
      </c>
      <c r="CA645" s="60" t="n">
        <f aca="false">IF(ISNUMBER(AE645),1,0)</f>
        <v>0</v>
      </c>
      <c r="CB645" s="57" t="n">
        <f aca="false">N(AE645)</f>
        <v>0</v>
      </c>
      <c r="CC645" s="57" t="n">
        <f aca="false">N(M645)+N(N645)</f>
        <v>100</v>
      </c>
      <c r="CD645" s="57" t="n">
        <f aca="false">ROUNDUP(H645/BS645,0)</f>
        <v>3</v>
      </c>
      <c r="CE645" s="57" t="n">
        <f aca="false">ROUNDUP(CB645/BS645,0)</f>
        <v>0</v>
      </c>
      <c r="CF645" s="60" t="n">
        <f aca="false">IF(BT645=1,0,IFERROR(VLOOKUP(BR645,'Gebinde-Kategorie'!$A$5:$M$45,5,0)+0,0))</f>
        <v>0</v>
      </c>
      <c r="CG645" s="60" t="n">
        <f aca="false">IFERROR(IF(OR(BX645=1,BX645=2,BX645=3),N(INDEX(Parameter!$I$5:$I$7,BX645)),0),0)</f>
        <v>0</v>
      </c>
      <c r="CH645" s="59" t="n">
        <f aca="false">IF(AND(Parameter!$B$21="Ja",ISNUMBER(W645),N(X645)&gt;0),IFERROR(N(INDEX(Parameter!$L$5:$L$7,W645))*INDEX(Parameter!$E$5:$E$7,W645)*X645/SUMIFS($X$7:$X$1843,$W$7:$W$1843,W645),0),0)</f>
        <v>0</v>
      </c>
    </row>
    <row r="646" customFormat="false" ht="15" hidden="false" customHeight="false" outlineLevel="0" collapsed="false">
      <c r="A646" s="55" t="s">
        <v>1312</v>
      </c>
      <c r="B646" s="55" t="s">
        <v>1313</v>
      </c>
      <c r="C646" s="55" t="s">
        <v>164</v>
      </c>
      <c r="D646" s="55" t="s">
        <v>173</v>
      </c>
      <c r="E646" s="55"/>
      <c r="F646" s="55" t="s">
        <v>218</v>
      </c>
      <c r="G646" s="56" t="n">
        <v>0.01</v>
      </c>
      <c r="H646" s="57" t="n">
        <f aca="false">MAX(0,IF(AND(Parameter!$B$21="Ja",ISNUMBER(Y646)),Y646,IF(Parameter!$B$20="Jahresanfang 2025 + Export",BL646+BK646,BK646)))</f>
        <v>17</v>
      </c>
      <c r="I646" s="57" t="n">
        <f aca="false">H646*G646</f>
        <v>0.17</v>
      </c>
      <c r="J646" s="57" t="n">
        <f aca="false">BN646*Parameter!$B$18</f>
        <v>0</v>
      </c>
      <c r="K646" s="58" t="n">
        <v>0</v>
      </c>
      <c r="L646" s="59" t="n">
        <v>0</v>
      </c>
      <c r="M646" s="57" t="n">
        <v>0</v>
      </c>
      <c r="N646" s="57" t="n">
        <v>1</v>
      </c>
      <c r="O646" s="60" t="n">
        <v>999</v>
      </c>
      <c r="P646" s="55" t="s">
        <v>168</v>
      </c>
      <c r="Q646" s="57"/>
      <c r="R646" s="60" t="n">
        <f aca="false">IF(BT646=1,0,IFERROR(VLOOKUP(BR646,'Gebinde-Kategorie'!$A$5:$M$45,13,0)+0,0))</f>
        <v>26</v>
      </c>
      <c r="S646" s="61"/>
      <c r="T646" s="62" t="s">
        <v>275</v>
      </c>
      <c r="U646" s="62"/>
      <c r="V646" s="62"/>
      <c r="W646" s="55"/>
      <c r="X646" s="57"/>
      <c r="Y646" s="57"/>
      <c r="Z646" s="55" t="n">
        <f aca="false">IF(A646="","",IF(AND(Parameter!$B$21="Ja",ISNUMBER(W646)),W646,IF(BV646="2+3",IF(ISNUMBER(SEARCH("grosser Artikel",BO646)),2,IFERROR(VLOOKUP(BR646,Parameter!$F$35:$G$64,2,0),2)),IF(OR(BV646="Nein",BV646=""),"-",BV646))))</f>
        <v>3</v>
      </c>
      <c r="AA646" s="62"/>
      <c r="AB646" s="63"/>
      <c r="AC646" s="57" t="n">
        <f aca="false">AR646</f>
        <v>20</v>
      </c>
      <c r="AD646" s="57" t="n">
        <f aca="false">MAX(AR646,H646)</f>
        <v>20</v>
      </c>
      <c r="AE646" s="64"/>
      <c r="AF646" s="57" t="n">
        <f aca="false">IF(LEFT(Cockpit!$C$5,1)="A",H646,IF(CA646=1,CB646,IF(LEFT(Cockpit!$C$5,1)="B",AJ646,MAX(AJ646,H646))))</f>
        <v>17</v>
      </c>
      <c r="AG646" s="57" t="n">
        <f aca="false">IF(BT646=1,0,ROUNDUP(AF646/BS646,0))</f>
        <v>1</v>
      </c>
      <c r="AH646" s="59" t="n">
        <f aca="false">IF(CH646&gt;0,CH646*MAX(1,AF646/X646),IF(BT646=1,IF(AF646&lt;=0,0,BW646*MAX(1,IF(H646&gt;0,AF646/H646,1))),IF(R646&gt;0,AG646/R646,0))/MAX(0.1,N(Parameter!$M$21)))</f>
        <v>0.0384615384615385</v>
      </c>
      <c r="AI646" s="57" t="n">
        <f aca="false">AF646*G646</f>
        <v>0.17</v>
      </c>
      <c r="AJ646" s="57" t="n">
        <f aca="false">ROUNDUP(MAX(J646/IF(BZ646&gt;0,BZ646,MAX(0.1,N(Cockpit!$C$6))),CC646)/BS646,0)*BS646</f>
        <v>20</v>
      </c>
      <c r="AK646" s="58" t="n">
        <f aca="false">IF(AH646&gt;0,J646/AH646,-1)</f>
        <v>0</v>
      </c>
      <c r="AL646" s="58" t="n">
        <f aca="false">IF(AND(OR(BY646="L1",BY646="L23"),AH646&gt;0),SUMIFS($AH$7:$AH$1843,$BY$7:$BY$1843,BY646,$AK$7:$AK$1843,"&gt;"&amp;AK646)+SUMIFS($AH$7:$AH$1843,$BY$7:$BY$1843,BY646,$AK$7:$AK$1843,AK646,$BQ$7:$BQ$1843,"&lt;="&amp;BQ646),"")</f>
        <v>76.6292439444613</v>
      </c>
      <c r="AM646" s="65" t="n">
        <f aca="false">IF(AL646="",0,MAX(0,MIN(1,(IF(BY646="L1",Parameter!$E$5,Parameter!$E$6+Parameter!$E$7)-(AL646-AH646))/AH646)))</f>
        <v>1</v>
      </c>
      <c r="AN646" s="57" t="n">
        <f aca="false">IF(LEFT(Cockpit!$I$5,1)="A",H646,IF(CA646=1,CB646,IF(LEFT(Cockpit!$I$5,1)="B",AR646,MAX(AR646,H646))))</f>
        <v>20</v>
      </c>
      <c r="AO646" s="57" t="n">
        <f aca="false">IF(BT646=1,0,ROUNDUP(AN646/BS646,0))</f>
        <v>1</v>
      </c>
      <c r="AP646" s="59" t="n">
        <f aca="false">IF(CH646&gt;0,CH646*MAX(1,AN646/X646),IF(BT646=1,IF(AN646&lt;=0,0,BW646*MAX(1,IF(H646&gt;0,AN646/H646,1))),IF(R646&gt;0,AO646/R646,0))/MAX(0.1,N(Parameter!$M$21)))</f>
        <v>0.0384615384615385</v>
      </c>
      <c r="AQ646" s="57" t="n">
        <f aca="false">AN646*G646</f>
        <v>0.2</v>
      </c>
      <c r="AR646" s="57" t="n">
        <f aca="false">ROUNDUP(MAX(J646/IF(BZ646&gt;0,BZ646,MAX(0.1,N(Cockpit!$I$6))),CC646)/BS646,0)*BS646</f>
        <v>20</v>
      </c>
      <c r="AS646" s="58" t="n">
        <f aca="false">IF(AP646&gt;0,J646/AP646,-1)</f>
        <v>0</v>
      </c>
      <c r="AT646" s="58" t="n">
        <f aca="false">IF(AND(OR(BY646="L1",BY646="L23"),AP646&gt;0),SUMIFS($AP$7:$AP$1843,$BY$7:$BY$1843,BY646,$AS$7:$AS$1843,"&gt;"&amp;AS646)+SUMIFS($AP$7:$AP$1843,$BY$7:$BY$1843,BY646,$AS$7:$AS$1843,AS646,$BQ$7:$BQ$1843,"&lt;="&amp;BQ646),"")</f>
        <v>116.094245126854</v>
      </c>
      <c r="AU646" s="65" t="n">
        <f aca="false">IF(AT646="",0,MAX(0,MIN(1,(IF(BY646="L1",Parameter!$E$5,Parameter!$E$6+Parameter!$E$7)-(AT646-AP646))/AP646)))</f>
        <v>0</v>
      </c>
      <c r="AV646" s="57" t="n">
        <f aca="false">IF(LEFT(Cockpit!$O$5,1)="A",H646,IF(CA646=1,CB646,IF(LEFT(Cockpit!$O$5,1)="B",AZ646,MAX(AZ646,H646))))</f>
        <v>20</v>
      </c>
      <c r="AW646" s="57" t="n">
        <f aca="false">IF(BT646=1,0,ROUNDUP(AV646/BS646,0))</f>
        <v>1</v>
      </c>
      <c r="AX646" s="59" t="n">
        <f aca="false">IF(CH646&gt;0,CH646*MAX(1,AV646/X646),IF(BT646=1,IF(AV646&lt;=0,0,BW646*MAX(1,IF(H646&gt;0,AV646/H646,1))),IF(R646&gt;0,AW646/R646,0))/MAX(0.1,N(Parameter!$M$21)))</f>
        <v>0.0384615384615385</v>
      </c>
      <c r="AY646" s="57" t="n">
        <f aca="false">AV646*G646</f>
        <v>0.2</v>
      </c>
      <c r="AZ646" s="57" t="n">
        <f aca="false">ROUNDUP(MAX(J646/IF(BZ646&gt;0,BZ646,MAX(0.1,N(Cockpit!$O$6))),CC646)/BS646,0)*BS646</f>
        <v>20</v>
      </c>
      <c r="BA646" s="58" t="n">
        <f aca="false">IF(AX646&gt;0,J646/AX646,-1)</f>
        <v>0</v>
      </c>
      <c r="BB646" s="58" t="n">
        <f aca="false">IF(AND(OR(BY646="L1",BY646="L23"),AX646&gt;0),SUMIFS($AX$7:$AX$1843,$BY$7:$BY$1843,BY646,$BA$7:$BA$1843,"&gt;"&amp;BA646)+SUMIFS($AX$7:$AX$1843,$BY$7:$BY$1843,BY646,$BA$7:$BA$1843,BA646,$BQ$7:$BQ$1843,"&lt;="&amp;BQ646),"")</f>
        <v>106.924081956691</v>
      </c>
      <c r="BC646" s="65" t="n">
        <f aca="false">IF(BB646="",0,MAX(0,MIN(1,(IF(BY646="L1",Parameter!$E$5,Parameter!$E$6+Parameter!$E$7)-(BB646-AX646))/AX646)))</f>
        <v>0</v>
      </c>
      <c r="BD646" s="55" t="str">
        <f aca="false">IF(AH646&lt;=0,"",IF(BY646="Aussen","Aussenlager",IF(BY646="-","Nicht im Lift",IF(AM646&gt;=1,"Lift",IF(AM646&lt;=0,"Aussenlager","teilweise")))))</f>
        <v>Lift</v>
      </c>
      <c r="BE646" s="55" t="str">
        <f aca="false">IF(AP646&lt;=0,"",IF(BY646="Aussen","Aussenlager",IF(BY646="-","Nicht im Lift",IF(AU646&gt;=1,"Lift",IF(AU646&lt;=0,"Aussenlager","teilweise")))))</f>
        <v>Aussenlager</v>
      </c>
      <c r="BF646" s="55" t="str">
        <f aca="false">IF(AX646&lt;=0,"",IF(BY646="Aussen","Aussenlager",IF(BY646="-","Nicht im Lift",IF(BC646&gt;=1,"Lift",IF(BC646&lt;=0,"Aussenlager","teilweise")))))</f>
        <v>Aussenlager</v>
      </c>
      <c r="BG646" s="55" t="str">
        <f aca="false">IF(A646="","",IF(BP646=1,"Neu; ","")&amp;IF(AND(BP646=0,BK646&lt;0),"negativer Bestand (Export "&amp;BK646&amp;"); ","")&amp;IF(J646&lt;=0,"Kein Verbrauch; ","")&amp;IF(CH646&gt;0,"Lift "&amp;W646&amp;" lt. Liftbericht (Fach "&amp;X646&amp;" Stk); ",IF(BU646=1,"Gebinde geschätzt ("&amp;T646&amp;"); ",IF(BT646=1,"Lose – Tablare geschätzt; ","")))&amp;IF(H646&gt;AR646,"Überbestand "&amp;ROUND(H646-AR646,0)&amp;" Stk / CHF "&amp;ROUND((H646-AR646)*G646,0)&amp;"; ","")&amp;IF(AND(CA646=1,CB646&lt;CC646),"MAX &lt; MB+LG; ","")&amp;IF(AND(CG646&gt;0,CF646*10&gt;CG646),"zu hoch für Tablar; ","")&amp;IF(AND(BP646=0,OR(CA646=1,AA646&lt;&gt;"",U646&lt;&gt;"",V646&lt;&gt;"",AB646&lt;&gt;"")),"manuell übersteuert; ","")&amp;IF(AND(BT646=0,R646=0),"Gebinde unbekannt / Stellmass fehlt; ","")&amp;IF(AND(BT646=0,N(V646)&lt;=0,N(Q646)&lt;=0),"Menge pro Gebinde fehlt (Ist = 1 Gebinde); ","")&amp;BO646)</f>
        <v>Kein Verbrauch; Gebinde geschätzt (Klein); Menge pro Gebinde fehlt (Ist = 1 Gebinde); </v>
      </c>
      <c r="BH646" s="55"/>
      <c r="BI646" s="55"/>
      <c r="BJ646" s="62"/>
      <c r="BK646" s="57" t="n">
        <v>17</v>
      </c>
      <c r="BL646" s="57" t="n">
        <v>0</v>
      </c>
      <c r="BM646" s="56" t="n">
        <v>0.17</v>
      </c>
      <c r="BN646" s="57" t="n">
        <v>0</v>
      </c>
      <c r="BO646" s="55"/>
      <c r="BP646" s="60" t="n">
        <v>0</v>
      </c>
      <c r="BQ646" s="60" t="n">
        <v>646</v>
      </c>
      <c r="BR646" s="55" t="str">
        <f aca="false">IF(U646&lt;&gt;"",UPPER(TRIM(U646)),IF(BU646=1,UPPER(VLOOKUP(T646,Parameter!$I$27:$K$29,2,0)),IF(P646="","LOSE",P646)))</f>
        <v>S51</v>
      </c>
      <c r="BS646" s="57" t="n">
        <f aca="false">IF(BR646="LOSE",1,IF(N(V646)&gt;0,V646,IF(BU646=1,MAX(1,N(VLOOKUP(T646,Parameter!$I$27:$K$29,3,0)),H646,N(N646)),IF(N(Q646)&gt;0,Q646,MAX(1,H646)))))</f>
        <v>20</v>
      </c>
      <c r="BT646" s="60" t="n">
        <f aca="false">IF(BR646="LOSE",1,0)</f>
        <v>0</v>
      </c>
      <c r="BU646" s="60" t="n">
        <f aca="false">IF(AND(U646="",OR(P646="",P646="LOSE"),T646&lt;&gt;"",N(S646)&lt;=0,ISNUMBER(MATCH(T646,Parameter!$I$27:$I$29,0))),1,0)</f>
        <v>1</v>
      </c>
      <c r="BV646" s="55" t="str">
        <f aca="false">IF(AND(Parameter!$B$19="Ja",E646&lt;&gt;"",ISNUMBER(MATCH(E646,Parameter!$I$35:$I$52,0))),VLOOKUP(E646,Parameter!$I$35:$J$52,2,0),IFERROR(VLOOKUP(D646,Parameter!$A$35:$C$64,2,0),"Nein"))</f>
        <v>2+3</v>
      </c>
      <c r="BW646" s="59" t="n">
        <f aca="false">IF(BT646=0,0,IF(N(S646)&gt;0,S646,IFERROR(VLOOKUP(D646,Parameter!$A$35:$C$64,3,0)+0,0)))</f>
        <v>0</v>
      </c>
      <c r="BX646" s="55" t="n">
        <f aca="false">IF(AA646&lt;&gt;"",AA646,Z646)</f>
        <v>3</v>
      </c>
      <c r="BY646" s="55" t="str">
        <f aca="false">IF(BX646=1,"L1",IF(OR(BX646=2,BX646=3),"L23",IF(BX646="Aussen","Aussen","-")))</f>
        <v>L23</v>
      </c>
      <c r="BZ646" s="66" t="n">
        <f aca="false">IF(N(AB646)&gt;0,AB646,0)</f>
        <v>0</v>
      </c>
      <c r="CA646" s="60" t="n">
        <f aca="false">IF(ISNUMBER(AE646),1,0)</f>
        <v>0</v>
      </c>
      <c r="CB646" s="57" t="n">
        <f aca="false">N(AE646)</f>
        <v>0</v>
      </c>
      <c r="CC646" s="57" t="n">
        <f aca="false">N(M646)+N(N646)</f>
        <v>1</v>
      </c>
      <c r="CD646" s="57" t="n">
        <f aca="false">ROUNDUP(H646/BS646,0)</f>
        <v>1</v>
      </c>
      <c r="CE646" s="57" t="n">
        <f aca="false">ROUNDUP(CB646/BS646,0)</f>
        <v>0</v>
      </c>
      <c r="CF646" s="60" t="n">
        <f aca="false">IF(BT646=1,0,IFERROR(VLOOKUP(BR646,'Gebinde-Kategorie'!$A$5:$M$45,5,0)+0,0))</f>
        <v>11</v>
      </c>
      <c r="CG646" s="60" t="n">
        <f aca="false">IFERROR(IF(OR(BX646=1,BX646=2,BX646=3),N(INDEX(Parameter!$I$5:$I$7,BX646)),0),0)</f>
        <v>0</v>
      </c>
      <c r="CH646" s="59" t="n">
        <f aca="false">IF(AND(Parameter!$B$21="Ja",ISNUMBER(W646),N(X646)&gt;0),IFERROR(N(INDEX(Parameter!$L$5:$L$7,W646))*INDEX(Parameter!$E$5:$E$7,W646)*X646/SUMIFS($X$7:$X$1843,$W$7:$W$1843,W646),0),0)</f>
        <v>0</v>
      </c>
    </row>
    <row r="647" customFormat="false" ht="15" hidden="false" customHeight="false" outlineLevel="0" collapsed="false">
      <c r="A647" s="55" t="s">
        <v>1314</v>
      </c>
      <c r="B647" s="55" t="s">
        <v>405</v>
      </c>
      <c r="C647" s="55" t="s">
        <v>164</v>
      </c>
      <c r="D647" s="55" t="s">
        <v>184</v>
      </c>
      <c r="E647" s="55" t="s">
        <v>185</v>
      </c>
      <c r="F647" s="55" t="s">
        <v>218</v>
      </c>
      <c r="G647" s="56" t="n">
        <v>0.1</v>
      </c>
      <c r="H647" s="57" t="n">
        <f aca="false">MAX(0,IF(AND(Parameter!$B$21="Ja",ISNUMBER(Y647)),Y647,IF(Parameter!$B$20="Jahresanfang 2025 + Export",BL647+BK647,BK647)))</f>
        <v>184</v>
      </c>
      <c r="I647" s="57" t="n">
        <f aca="false">H647*G647</f>
        <v>18.4</v>
      </c>
      <c r="J647" s="57" t="n">
        <f aca="false">BN647*Parameter!$B$18</f>
        <v>0</v>
      </c>
      <c r="K647" s="58" t="n">
        <v>183.5</v>
      </c>
      <c r="L647" s="59" t="n">
        <v>0</v>
      </c>
      <c r="M647" s="57" t="n">
        <v>0</v>
      </c>
      <c r="N647" s="57" t="n">
        <v>1</v>
      </c>
      <c r="O647" s="60" t="n">
        <v>21</v>
      </c>
      <c r="P647" s="55" t="s">
        <v>421</v>
      </c>
      <c r="Q647" s="57" t="n">
        <v>198</v>
      </c>
      <c r="R647" s="60" t="n">
        <f aca="false">IF(BT647=1,0,IFERROR(VLOOKUP(BR647,'Gebinde-Kategorie'!$A$5:$M$45,13,0)+0,0))</f>
        <v>132</v>
      </c>
      <c r="S647" s="61"/>
      <c r="T647" s="62"/>
      <c r="U647" s="62"/>
      <c r="V647" s="62"/>
      <c r="W647" s="55"/>
      <c r="X647" s="57"/>
      <c r="Y647" s="57"/>
      <c r="Z647" s="55" t="n">
        <f aca="false">IF(A647="","",IF(AND(Parameter!$B$21="Ja",ISNUMBER(W647)),W647,IF(BV647="2+3",IF(ISNUMBER(SEARCH("grosser Artikel",BO647)),2,IFERROR(VLOOKUP(BR647,Parameter!$F$35:$G$64,2,0),2)),IF(OR(BV647="Nein",BV647=""),"-",BV647))))</f>
        <v>3</v>
      </c>
      <c r="AA647" s="62"/>
      <c r="AB647" s="63"/>
      <c r="AC647" s="57" t="n">
        <f aca="false">AR647</f>
        <v>198</v>
      </c>
      <c r="AD647" s="57" t="n">
        <f aca="false">MAX(AR647,H647)</f>
        <v>198</v>
      </c>
      <c r="AE647" s="64"/>
      <c r="AF647" s="57" t="n">
        <f aca="false">IF(LEFT(Cockpit!$C$5,1)="A",H647,IF(CA647=1,CB647,IF(LEFT(Cockpit!$C$5,1)="B",AJ647,MAX(AJ647,H647))))</f>
        <v>184</v>
      </c>
      <c r="AG647" s="57" t="n">
        <f aca="false">IF(BT647=1,0,ROUNDUP(AF647/BS647,0))</f>
        <v>1</v>
      </c>
      <c r="AH647" s="59" t="n">
        <f aca="false">IF(CH647&gt;0,CH647*MAX(1,AF647/X647),IF(BT647=1,IF(AF647&lt;=0,0,BW647*MAX(1,IF(H647&gt;0,AF647/H647,1))),IF(R647&gt;0,AG647/R647,0))/MAX(0.1,N(Parameter!$M$21)))</f>
        <v>0.00757575757575758</v>
      </c>
      <c r="AI647" s="57" t="n">
        <f aca="false">AF647*G647</f>
        <v>18.4</v>
      </c>
      <c r="AJ647" s="57" t="n">
        <f aca="false">ROUNDUP(MAX(J647/IF(BZ647&gt;0,BZ647,MAX(0.1,N(Cockpit!$C$6))),CC647)/BS647,0)*BS647</f>
        <v>198</v>
      </c>
      <c r="AK647" s="58" t="n">
        <f aca="false">IF(AH647&gt;0,J647/AH647,-1)</f>
        <v>0</v>
      </c>
      <c r="AL647" s="58" t="n">
        <f aca="false">IF(AND(OR(BY647="L1",BY647="L23"),AH647&gt;0),SUMIFS($AH$7:$AH$1843,$BY$7:$BY$1843,BY647,$AK$7:$AK$1843,"&gt;"&amp;AK647)+SUMIFS($AH$7:$AH$1843,$BY$7:$BY$1843,BY647,$AK$7:$AK$1843,AK647,$BQ$7:$BQ$1843,"&lt;="&amp;BQ647),"")</f>
        <v>76.6368197020371</v>
      </c>
      <c r="AM647" s="65" t="n">
        <f aca="false">IF(AL647="",0,MAX(0,MIN(1,(IF(BY647="L1",Parameter!$E$5,Parameter!$E$6+Parameter!$E$7)-(AL647-AH647))/AH647)))</f>
        <v>1</v>
      </c>
      <c r="AN647" s="57" t="n">
        <f aca="false">IF(LEFT(Cockpit!$I$5,1)="A",H647,IF(CA647=1,CB647,IF(LEFT(Cockpit!$I$5,1)="B",AR647,MAX(AR647,H647))))</f>
        <v>198</v>
      </c>
      <c r="AO647" s="57" t="n">
        <f aca="false">IF(BT647=1,0,ROUNDUP(AN647/BS647,0))</f>
        <v>1</v>
      </c>
      <c r="AP647" s="59" t="n">
        <f aca="false">IF(CH647&gt;0,CH647*MAX(1,AN647/X647),IF(BT647=1,IF(AN647&lt;=0,0,BW647*MAX(1,IF(H647&gt;0,AN647/H647,1))),IF(R647&gt;0,AO647/R647,0))/MAX(0.1,N(Parameter!$M$21)))</f>
        <v>0.00757575757575758</v>
      </c>
      <c r="AQ647" s="57" t="n">
        <f aca="false">AN647*G647</f>
        <v>19.8</v>
      </c>
      <c r="AR647" s="57" t="n">
        <f aca="false">ROUNDUP(MAX(J647/IF(BZ647&gt;0,BZ647,MAX(0.1,N(Cockpit!$I$6))),CC647)/BS647,0)*BS647</f>
        <v>198</v>
      </c>
      <c r="AS647" s="58" t="n">
        <f aca="false">IF(AP647&gt;0,J647/AP647,-1)</f>
        <v>0</v>
      </c>
      <c r="AT647" s="58" t="n">
        <f aca="false">IF(AND(OR(BY647="L1",BY647="L23"),AP647&gt;0),SUMIFS($AP$7:$AP$1843,$BY$7:$BY$1843,BY647,$AS$7:$AS$1843,"&gt;"&amp;AS647)+SUMIFS($AP$7:$AP$1843,$BY$7:$BY$1843,BY647,$AS$7:$AS$1843,AS647,$BQ$7:$BQ$1843,"&lt;="&amp;BQ647),"")</f>
        <v>116.10182088443</v>
      </c>
      <c r="AU647" s="65" t="n">
        <f aca="false">IF(AT647="",0,MAX(0,MIN(1,(IF(BY647="L1",Parameter!$E$5,Parameter!$E$6+Parameter!$E$7)-(AT647-AP647))/AP647)))</f>
        <v>0</v>
      </c>
      <c r="AV647" s="57" t="n">
        <f aca="false">IF(LEFT(Cockpit!$O$5,1)="A",H647,IF(CA647=1,CB647,IF(LEFT(Cockpit!$O$5,1)="B",AZ647,MAX(AZ647,H647))))</f>
        <v>198</v>
      </c>
      <c r="AW647" s="57" t="n">
        <f aca="false">IF(BT647=1,0,ROUNDUP(AV647/BS647,0))</f>
        <v>1</v>
      </c>
      <c r="AX647" s="59" t="n">
        <f aca="false">IF(CH647&gt;0,CH647*MAX(1,AV647/X647),IF(BT647=1,IF(AV647&lt;=0,0,BW647*MAX(1,IF(H647&gt;0,AV647/H647,1))),IF(R647&gt;0,AW647/R647,0))/MAX(0.1,N(Parameter!$M$21)))</f>
        <v>0.00757575757575758</v>
      </c>
      <c r="AY647" s="57" t="n">
        <f aca="false">AV647*G647</f>
        <v>19.8</v>
      </c>
      <c r="AZ647" s="57" t="n">
        <f aca="false">ROUNDUP(MAX(J647/IF(BZ647&gt;0,BZ647,MAX(0.1,N(Cockpit!$O$6))),CC647)/BS647,0)*BS647</f>
        <v>198</v>
      </c>
      <c r="BA647" s="58" t="n">
        <f aca="false">IF(AX647&gt;0,J647/AX647,-1)</f>
        <v>0</v>
      </c>
      <c r="BB647" s="58" t="n">
        <f aca="false">IF(AND(OR(BY647="L1",BY647="L23"),AX647&gt;0),SUMIFS($AX$7:$AX$1843,$BY$7:$BY$1843,BY647,$BA$7:$BA$1843,"&gt;"&amp;BA647)+SUMIFS($AX$7:$AX$1843,$BY$7:$BY$1843,BY647,$BA$7:$BA$1843,BA647,$BQ$7:$BQ$1843,"&lt;="&amp;BQ647),"")</f>
        <v>106.931657714266</v>
      </c>
      <c r="BC647" s="65" t="n">
        <f aca="false">IF(BB647="",0,MAX(0,MIN(1,(IF(BY647="L1",Parameter!$E$5,Parameter!$E$6+Parameter!$E$7)-(BB647-AX647))/AX647)))</f>
        <v>0</v>
      </c>
      <c r="BD647" s="55" t="str">
        <f aca="false">IF(AH647&lt;=0,"",IF(BY647="Aussen","Aussenlager",IF(BY647="-","Nicht im Lift",IF(AM647&gt;=1,"Lift",IF(AM647&lt;=0,"Aussenlager","teilweise")))))</f>
        <v>Lift</v>
      </c>
      <c r="BE647" s="55" t="str">
        <f aca="false">IF(AP647&lt;=0,"",IF(BY647="Aussen","Aussenlager",IF(BY647="-","Nicht im Lift",IF(AU647&gt;=1,"Lift",IF(AU647&lt;=0,"Aussenlager","teilweise")))))</f>
        <v>Aussenlager</v>
      </c>
      <c r="BF647" s="55" t="str">
        <f aca="false">IF(AX647&lt;=0,"",IF(BY647="Aussen","Aussenlager",IF(BY647="-","Nicht im Lift",IF(BC647&gt;=1,"Lift",IF(BC647&lt;=0,"Aussenlager","teilweise")))))</f>
        <v>Aussenlager</v>
      </c>
      <c r="BG647" s="55" t="str">
        <f aca="false">IF(A647="","",IF(BP647=1,"Neu; ","")&amp;IF(AND(BP647=0,BK647&lt;0),"negativer Bestand (Export "&amp;BK647&amp;"); ","")&amp;IF(J647&lt;=0,"Kein Verbrauch; ","")&amp;IF(CH647&gt;0,"Lift "&amp;W647&amp;" lt. Liftbericht (Fach "&amp;X647&amp;" Stk); ",IF(BU647=1,"Gebinde geschätzt ("&amp;T647&amp;"); ",IF(BT647=1,"Lose – Tablare geschätzt; ","")))&amp;IF(H647&gt;AR647,"Überbestand "&amp;ROUND(H647-AR647,0)&amp;" Stk / CHF "&amp;ROUND((H647-AR647)*G647,0)&amp;"; ","")&amp;IF(AND(CA647=1,CB647&lt;CC647),"MAX &lt; MB+LG; ","")&amp;IF(AND(CG647&gt;0,CF647*10&gt;CG647),"zu hoch für Tablar; ","")&amp;IF(AND(BP647=0,OR(CA647=1,AA647&lt;&gt;"",U647&lt;&gt;"",V647&lt;&gt;"",AB647&lt;&gt;"")),"manuell übersteuert; ","")&amp;IF(AND(BT647=0,R647=0),"Gebinde unbekannt / Stellmass fehlt; ","")&amp;IF(AND(BT647=0,N(V647)&lt;=0,N(Q647)&lt;=0),"Menge pro Gebinde fehlt (Ist = 1 Gebinde); ","")&amp;BO647)</f>
        <v>Kein Verbrauch; Neu</v>
      </c>
      <c r="BH647" s="55"/>
      <c r="BI647" s="55"/>
      <c r="BJ647" s="62"/>
      <c r="BK647" s="57" t="n">
        <v>1</v>
      </c>
      <c r="BL647" s="57" t="n">
        <v>183</v>
      </c>
      <c r="BM647" s="56" t="n">
        <v>0.1</v>
      </c>
      <c r="BN647" s="57" t="n">
        <v>0</v>
      </c>
      <c r="BO647" s="55" t="s">
        <v>626</v>
      </c>
      <c r="BP647" s="60" t="n">
        <v>0</v>
      </c>
      <c r="BQ647" s="60" t="n">
        <v>647</v>
      </c>
      <c r="BR647" s="55" t="str">
        <f aca="false">IF(U647&lt;&gt;"",UPPER(TRIM(U647)),IF(BU647=1,UPPER(VLOOKUP(T647,Parameter!$I$27:$K$29,2,0)),IF(P647="","LOSE",P647)))</f>
        <v>S32</v>
      </c>
      <c r="BS647" s="57" t="n">
        <f aca="false">IF(BR647="LOSE",1,IF(N(V647)&gt;0,V647,IF(BU647=1,MAX(1,N(VLOOKUP(T647,Parameter!$I$27:$K$29,3,0)),H647,N(N647)),IF(N(Q647)&gt;0,Q647,MAX(1,H647)))))</f>
        <v>198</v>
      </c>
      <c r="BT647" s="60" t="n">
        <f aca="false">IF(BR647="LOSE",1,0)</f>
        <v>0</v>
      </c>
      <c r="BU647" s="60" t="n">
        <f aca="false">IF(AND(U647="",OR(P647="",P647="LOSE"),T647&lt;&gt;"",N(S647)&lt;=0,ISNUMBER(MATCH(T647,Parameter!$I$27:$I$29,0))),1,0)</f>
        <v>0</v>
      </c>
      <c r="BV647" s="55" t="str">
        <f aca="false">IF(AND(Parameter!$B$19="Ja",E647&lt;&gt;"",ISNUMBER(MATCH(E647,Parameter!$I$35:$I$52,0))),VLOOKUP(E647,Parameter!$I$35:$J$52,2,0),IFERROR(VLOOKUP(D647,Parameter!$A$35:$C$64,2,0),"Nein"))</f>
        <v>2+3</v>
      </c>
      <c r="BW647" s="59" t="n">
        <f aca="false">IF(BT647=0,0,IF(N(S647)&gt;0,S647,IFERROR(VLOOKUP(D647,Parameter!$A$35:$C$64,3,0)+0,0)))</f>
        <v>0</v>
      </c>
      <c r="BX647" s="55" t="n">
        <f aca="false">IF(AA647&lt;&gt;"",AA647,Z647)</f>
        <v>3</v>
      </c>
      <c r="BY647" s="55" t="str">
        <f aca="false">IF(BX647=1,"L1",IF(OR(BX647=2,BX647=3),"L23",IF(BX647="Aussen","Aussen","-")))</f>
        <v>L23</v>
      </c>
      <c r="BZ647" s="66" t="n">
        <f aca="false">IF(N(AB647)&gt;0,AB647,0)</f>
        <v>0</v>
      </c>
      <c r="CA647" s="60" t="n">
        <f aca="false">IF(ISNUMBER(AE647),1,0)</f>
        <v>0</v>
      </c>
      <c r="CB647" s="57" t="n">
        <f aca="false">N(AE647)</f>
        <v>0</v>
      </c>
      <c r="CC647" s="57" t="n">
        <f aca="false">N(M647)+N(N647)</f>
        <v>1</v>
      </c>
      <c r="CD647" s="57" t="n">
        <f aca="false">ROUNDUP(H647/BS647,0)</f>
        <v>1</v>
      </c>
      <c r="CE647" s="57" t="n">
        <f aca="false">ROUNDUP(CB647/BS647,0)</f>
        <v>0</v>
      </c>
      <c r="CF647" s="60" t="n">
        <f aca="false">IF(BT647=1,0,IFERROR(VLOOKUP(BR647,'Gebinde-Kategorie'!$A$5:$M$45,5,0)+0,0))</f>
        <v>8</v>
      </c>
      <c r="CG647" s="60" t="n">
        <f aca="false">IFERROR(IF(OR(BX647=1,BX647=2,BX647=3),N(INDEX(Parameter!$I$5:$I$7,BX647)),0),0)</f>
        <v>0</v>
      </c>
      <c r="CH647" s="59" t="n">
        <f aca="false">IF(AND(Parameter!$B$21="Ja",ISNUMBER(W647),N(X647)&gt;0),IFERROR(N(INDEX(Parameter!$L$5:$L$7,W647))*INDEX(Parameter!$E$5:$E$7,W647)*X647/SUMIFS($X$7:$X$1843,$W$7:$W$1843,W647),0),0)</f>
        <v>0</v>
      </c>
    </row>
    <row r="648" customFormat="false" ht="15" hidden="false" customHeight="false" outlineLevel="0" collapsed="false">
      <c r="A648" s="55" t="s">
        <v>1315</v>
      </c>
      <c r="B648" s="55" t="s">
        <v>654</v>
      </c>
      <c r="C648" s="55" t="s">
        <v>164</v>
      </c>
      <c r="D648" s="55" t="s">
        <v>184</v>
      </c>
      <c r="E648" s="55" t="s">
        <v>185</v>
      </c>
      <c r="F648" s="55" t="s">
        <v>218</v>
      </c>
      <c r="G648" s="56" t="n">
        <v>0.01</v>
      </c>
      <c r="H648" s="57" t="n">
        <f aca="false">MAX(0,IF(AND(Parameter!$B$21="Ja",ISNUMBER(Y648)),Y648,IF(Parameter!$B$20="Jahresanfang 2025 + Export",BL648+BK648,BK648)))</f>
        <v>942</v>
      </c>
      <c r="I648" s="57" t="n">
        <f aca="false">H648*G648</f>
        <v>9.42</v>
      </c>
      <c r="J648" s="57" t="n">
        <f aca="false">BN648*Parameter!$B$18</f>
        <v>2</v>
      </c>
      <c r="K648" s="58" t="n">
        <v>940.5</v>
      </c>
      <c r="L648" s="59" t="n">
        <v>0.00212652844231792</v>
      </c>
      <c r="M648" s="57" t="n">
        <v>0</v>
      </c>
      <c r="N648" s="57" t="n">
        <v>1</v>
      </c>
      <c r="O648" s="60" t="n">
        <v>21</v>
      </c>
      <c r="P648" s="55" t="s">
        <v>421</v>
      </c>
      <c r="Q648" s="57" t="n">
        <v>977</v>
      </c>
      <c r="R648" s="60" t="n">
        <f aca="false">IF(BT648=1,0,IFERROR(VLOOKUP(BR648,'Gebinde-Kategorie'!$A$5:$M$45,13,0)+0,0))</f>
        <v>132</v>
      </c>
      <c r="S648" s="61"/>
      <c r="T648" s="62"/>
      <c r="U648" s="62"/>
      <c r="V648" s="62"/>
      <c r="W648" s="55"/>
      <c r="X648" s="57"/>
      <c r="Y648" s="57"/>
      <c r="Z648" s="55" t="n">
        <f aca="false">IF(A648="","",IF(AND(Parameter!$B$21="Ja",ISNUMBER(W648)),W648,IF(BV648="2+3",IF(ISNUMBER(SEARCH("grosser Artikel",BO648)),2,IFERROR(VLOOKUP(BR648,Parameter!$F$35:$G$64,2,0),2)),IF(OR(BV648="Nein",BV648=""),"-",BV648))))</f>
        <v>3</v>
      </c>
      <c r="AA648" s="62"/>
      <c r="AB648" s="63"/>
      <c r="AC648" s="57" t="n">
        <f aca="false">AR648</f>
        <v>977</v>
      </c>
      <c r="AD648" s="57" t="n">
        <f aca="false">MAX(AR648,H648)</f>
        <v>977</v>
      </c>
      <c r="AE648" s="64"/>
      <c r="AF648" s="57" t="n">
        <f aca="false">IF(LEFT(Cockpit!$C$5,1)="A",H648,IF(CA648=1,CB648,IF(LEFT(Cockpit!$C$5,1)="B",AJ648,MAX(AJ648,H648))))</f>
        <v>942</v>
      </c>
      <c r="AG648" s="57" t="n">
        <f aca="false">IF(BT648=1,0,ROUNDUP(AF648/BS648,0))</f>
        <v>1</v>
      </c>
      <c r="AH648" s="59" t="n">
        <f aca="false">IF(CH648&gt;0,CH648*MAX(1,AF648/X648),IF(BT648=1,IF(AF648&lt;=0,0,BW648*MAX(1,IF(H648&gt;0,AF648/H648,1))),IF(R648&gt;0,AG648/R648,0))/MAX(0.1,N(Parameter!$M$21)))</f>
        <v>0.00757575757575758</v>
      </c>
      <c r="AI648" s="57" t="n">
        <f aca="false">AF648*G648</f>
        <v>9.42</v>
      </c>
      <c r="AJ648" s="57" t="n">
        <f aca="false">ROUNDUP(MAX(J648/IF(BZ648&gt;0,BZ648,MAX(0.1,N(Cockpit!$C$6))),CC648)/BS648,0)*BS648</f>
        <v>977</v>
      </c>
      <c r="AK648" s="58" t="n">
        <f aca="false">IF(AH648&gt;0,J648/AH648,-1)</f>
        <v>264</v>
      </c>
      <c r="AL648" s="58" t="n">
        <f aca="false">IF(AND(OR(BY648="L1",BY648="L23"),AH648&gt;0),SUMIFS($AH$7:$AH$1843,$BY$7:$BY$1843,BY648,$AK$7:$AK$1843,"&gt;"&amp;AK648)+SUMIFS($AH$7:$AH$1843,$BY$7:$BY$1843,BY648,$AK$7:$AK$1843,AK648,$BQ$7:$BQ$1843,"&lt;="&amp;BQ648),"")</f>
        <v>29.1038225059964</v>
      </c>
      <c r="AM648" s="65" t="n">
        <f aca="false">IF(AL648="",0,MAX(0,MIN(1,(IF(BY648="L1",Parameter!$E$5,Parameter!$E$6+Parameter!$E$7)-(AL648-AH648))/AH648)))</f>
        <v>1</v>
      </c>
      <c r="AN648" s="57" t="n">
        <f aca="false">IF(LEFT(Cockpit!$I$5,1)="A",H648,IF(CA648=1,CB648,IF(LEFT(Cockpit!$I$5,1)="B",AR648,MAX(AR648,H648))))</f>
        <v>977</v>
      </c>
      <c r="AO648" s="57" t="n">
        <f aca="false">IF(BT648=1,0,ROUNDUP(AN648/BS648,0))</f>
        <v>1</v>
      </c>
      <c r="AP648" s="59" t="n">
        <f aca="false">IF(CH648&gt;0,CH648*MAX(1,AN648/X648),IF(BT648=1,IF(AN648&lt;=0,0,BW648*MAX(1,IF(H648&gt;0,AN648/H648,1))),IF(R648&gt;0,AO648/R648,0))/MAX(0.1,N(Parameter!$M$21)))</f>
        <v>0.00757575757575758</v>
      </c>
      <c r="AQ648" s="57" t="n">
        <f aca="false">AN648*G648</f>
        <v>9.77</v>
      </c>
      <c r="AR648" s="57" t="n">
        <f aca="false">ROUNDUP(MAX(J648/IF(BZ648&gt;0,BZ648,MAX(0.1,N(Cockpit!$I$6))),CC648)/BS648,0)*BS648</f>
        <v>977</v>
      </c>
      <c r="AS648" s="58" t="n">
        <f aca="false">IF(AP648&gt;0,J648/AP648,-1)</f>
        <v>264</v>
      </c>
      <c r="AT648" s="58" t="n">
        <f aca="false">IF(AND(OR(BY648="L1",BY648="L23"),AP648&gt;0),SUMIFS($AP$7:$AP$1843,$BY$7:$BY$1843,BY648,$AS$7:$AS$1843,"&gt;"&amp;AS648)+SUMIFS($AP$7:$AP$1843,$BY$7:$BY$1843,BY648,$AS$7:$AS$1843,AS648,$BQ$7:$BQ$1843,"&lt;="&amp;BQ648),"")</f>
        <v>42.2826086956522</v>
      </c>
      <c r="AU648" s="65" t="n">
        <f aca="false">IF(AT648="",0,MAX(0,MIN(1,(IF(BY648="L1",Parameter!$E$5,Parameter!$E$6+Parameter!$E$7)-(AT648-AP648))/AP648)))</f>
        <v>1</v>
      </c>
      <c r="AV648" s="57" t="n">
        <f aca="false">IF(LEFT(Cockpit!$O$5,1)="A",H648,IF(CA648=1,CB648,IF(LEFT(Cockpit!$O$5,1)="B",AZ648,MAX(AZ648,H648))))</f>
        <v>977</v>
      </c>
      <c r="AW648" s="57" t="n">
        <f aca="false">IF(BT648=1,0,ROUNDUP(AV648/BS648,0))</f>
        <v>1</v>
      </c>
      <c r="AX648" s="59" t="n">
        <f aca="false">IF(CH648&gt;0,CH648*MAX(1,AV648/X648),IF(BT648=1,IF(AV648&lt;=0,0,BW648*MAX(1,IF(H648&gt;0,AV648/H648,1))),IF(R648&gt;0,AW648/R648,0))/MAX(0.1,N(Parameter!$M$21)))</f>
        <v>0.00757575757575758</v>
      </c>
      <c r="AY648" s="57" t="n">
        <f aca="false">AV648*G648</f>
        <v>9.77</v>
      </c>
      <c r="AZ648" s="57" t="n">
        <f aca="false">ROUNDUP(MAX(J648/IF(BZ648&gt;0,BZ648,MAX(0.1,N(Cockpit!$O$6))),CC648)/BS648,0)*BS648</f>
        <v>977</v>
      </c>
      <c r="BA648" s="58" t="n">
        <f aca="false">IF(AX648&gt;0,J648/AX648,-1)</f>
        <v>264</v>
      </c>
      <c r="BB648" s="58" t="n">
        <f aca="false">IF(AND(OR(BY648="L1",BY648="L23"),AX648&gt;0),SUMIFS($AX$7:$AX$1843,$BY$7:$BY$1843,BY648,$BA$7:$BA$1843,"&gt;"&amp;BA648)+SUMIFS($AX$7:$AX$1843,$BY$7:$BY$1843,BY648,$BA$7:$BA$1843,BA648,$BQ$7:$BQ$1843,"&lt;="&amp;BQ648),"")</f>
        <v>38.612445525489</v>
      </c>
      <c r="BC648" s="65" t="n">
        <f aca="false">IF(BB648="",0,MAX(0,MIN(1,(IF(BY648="L1",Parameter!$E$5,Parameter!$E$6+Parameter!$E$7)-(BB648-AX648))/AX648)))</f>
        <v>1</v>
      </c>
      <c r="BD648" s="55" t="str">
        <f aca="false">IF(AH648&lt;=0,"",IF(BY648="Aussen","Aussenlager",IF(BY648="-","Nicht im Lift",IF(AM648&gt;=1,"Lift",IF(AM648&lt;=0,"Aussenlager","teilweise")))))</f>
        <v>Lift</v>
      </c>
      <c r="BE648" s="55" t="str">
        <f aca="false">IF(AP648&lt;=0,"",IF(BY648="Aussen","Aussenlager",IF(BY648="-","Nicht im Lift",IF(AU648&gt;=1,"Lift",IF(AU648&lt;=0,"Aussenlager","teilweise")))))</f>
        <v>Lift</v>
      </c>
      <c r="BF648" s="55" t="str">
        <f aca="false">IF(AX648&lt;=0,"",IF(BY648="Aussen","Aussenlager",IF(BY648="-","Nicht im Lift",IF(BC648&gt;=1,"Lift",IF(BC648&lt;=0,"Aussenlager","teilweise")))))</f>
        <v>Lift</v>
      </c>
      <c r="BG648" s="55" t="str">
        <f aca="false">IF(A648="","",IF(BP648=1,"Neu; ","")&amp;IF(AND(BP648=0,BK648&lt;0),"negativer Bestand (Export "&amp;BK648&amp;"); ","")&amp;IF(J648&lt;=0,"Kein Verbrauch; ","")&amp;IF(CH648&gt;0,"Lift "&amp;W648&amp;" lt. Liftbericht (Fach "&amp;X648&amp;" Stk); ",IF(BU648=1,"Gebinde geschätzt ("&amp;T648&amp;"); ",IF(BT648=1,"Lose – Tablare geschätzt; ","")))&amp;IF(H648&gt;AR648,"Überbestand "&amp;ROUND(H648-AR648,0)&amp;" Stk / CHF "&amp;ROUND((H648-AR648)*G648,0)&amp;"; ","")&amp;IF(AND(CA648=1,CB648&lt;CC648),"MAX &lt; MB+LG; ","")&amp;IF(AND(CG648&gt;0,CF648*10&gt;CG648),"zu hoch für Tablar; ","")&amp;IF(AND(BP648=0,OR(CA648=1,AA648&lt;&gt;"",U648&lt;&gt;"",V648&lt;&gt;"",AB648&lt;&gt;"")),"manuell übersteuert; ","")&amp;IF(AND(BT648=0,R648=0),"Gebinde unbekannt / Stellmass fehlt; ","")&amp;IF(AND(BT648=0,N(V648)&lt;=0,N(Q648)&lt;=0),"Menge pro Gebinde fehlt (Ist = 1 Gebinde); ","")&amp;BO648)</f>
        <v>Überbestand</v>
      </c>
      <c r="BH648" s="55"/>
      <c r="BI648" s="55"/>
      <c r="BJ648" s="62"/>
      <c r="BK648" s="57" t="n">
        <v>3</v>
      </c>
      <c r="BL648" s="57" t="n">
        <v>939</v>
      </c>
      <c r="BM648" s="56" t="n">
        <v>0.03</v>
      </c>
      <c r="BN648" s="57" t="n">
        <v>2</v>
      </c>
      <c r="BO648" s="55" t="s">
        <v>392</v>
      </c>
      <c r="BP648" s="60" t="n">
        <v>0</v>
      </c>
      <c r="BQ648" s="60" t="n">
        <v>648</v>
      </c>
      <c r="BR648" s="55" t="str">
        <f aca="false">IF(U648&lt;&gt;"",UPPER(TRIM(U648)),IF(BU648=1,UPPER(VLOOKUP(T648,Parameter!$I$27:$K$29,2,0)),IF(P648="","LOSE",P648)))</f>
        <v>S32</v>
      </c>
      <c r="BS648" s="57" t="n">
        <f aca="false">IF(BR648="LOSE",1,IF(N(V648)&gt;0,V648,IF(BU648=1,MAX(1,N(VLOOKUP(T648,Parameter!$I$27:$K$29,3,0)),H648,N(N648)),IF(N(Q648)&gt;0,Q648,MAX(1,H648)))))</f>
        <v>977</v>
      </c>
      <c r="BT648" s="60" t="n">
        <f aca="false">IF(BR648="LOSE",1,0)</f>
        <v>0</v>
      </c>
      <c r="BU648" s="60" t="n">
        <f aca="false">IF(AND(U648="",OR(P648="",P648="LOSE"),T648&lt;&gt;"",N(S648)&lt;=0,ISNUMBER(MATCH(T648,Parameter!$I$27:$I$29,0))),1,0)</f>
        <v>0</v>
      </c>
      <c r="BV648" s="55" t="str">
        <f aca="false">IF(AND(Parameter!$B$19="Ja",E648&lt;&gt;"",ISNUMBER(MATCH(E648,Parameter!$I$35:$I$52,0))),VLOOKUP(E648,Parameter!$I$35:$J$52,2,0),IFERROR(VLOOKUP(D648,Parameter!$A$35:$C$64,2,0),"Nein"))</f>
        <v>2+3</v>
      </c>
      <c r="BW648" s="59" t="n">
        <f aca="false">IF(BT648=0,0,IF(N(S648)&gt;0,S648,IFERROR(VLOOKUP(D648,Parameter!$A$35:$C$64,3,0)+0,0)))</f>
        <v>0</v>
      </c>
      <c r="BX648" s="55" t="n">
        <f aca="false">IF(AA648&lt;&gt;"",AA648,Z648)</f>
        <v>3</v>
      </c>
      <c r="BY648" s="55" t="str">
        <f aca="false">IF(BX648=1,"L1",IF(OR(BX648=2,BX648=3),"L23",IF(BX648="Aussen","Aussen","-")))</f>
        <v>L23</v>
      </c>
      <c r="BZ648" s="66" t="n">
        <f aca="false">IF(N(AB648)&gt;0,AB648,0)</f>
        <v>0</v>
      </c>
      <c r="CA648" s="60" t="n">
        <f aca="false">IF(ISNUMBER(AE648),1,0)</f>
        <v>0</v>
      </c>
      <c r="CB648" s="57" t="n">
        <f aca="false">N(AE648)</f>
        <v>0</v>
      </c>
      <c r="CC648" s="57" t="n">
        <f aca="false">N(M648)+N(N648)</f>
        <v>1</v>
      </c>
      <c r="CD648" s="57" t="n">
        <f aca="false">ROUNDUP(H648/BS648,0)</f>
        <v>1</v>
      </c>
      <c r="CE648" s="57" t="n">
        <f aca="false">ROUNDUP(CB648/BS648,0)</f>
        <v>0</v>
      </c>
      <c r="CF648" s="60" t="n">
        <f aca="false">IF(BT648=1,0,IFERROR(VLOOKUP(BR648,'Gebinde-Kategorie'!$A$5:$M$45,5,0)+0,0))</f>
        <v>8</v>
      </c>
      <c r="CG648" s="60" t="n">
        <f aca="false">IFERROR(IF(OR(BX648=1,BX648=2,BX648=3),N(INDEX(Parameter!$I$5:$I$7,BX648)),0),0)</f>
        <v>0</v>
      </c>
      <c r="CH648" s="59" t="n">
        <f aca="false">IF(AND(Parameter!$B$21="Ja",ISNUMBER(W648),N(X648)&gt;0),IFERROR(N(INDEX(Parameter!$L$5:$L$7,W648))*INDEX(Parameter!$E$5:$E$7,W648)*X648/SUMIFS($X$7:$X$1843,$W$7:$W$1843,W648),0),0)</f>
        <v>0</v>
      </c>
    </row>
    <row r="649" customFormat="false" ht="15" hidden="false" customHeight="false" outlineLevel="0" collapsed="false">
      <c r="A649" s="55" t="s">
        <v>1316</v>
      </c>
      <c r="B649" s="55" t="s">
        <v>949</v>
      </c>
      <c r="C649" s="55" t="s">
        <v>164</v>
      </c>
      <c r="D649" s="55" t="s">
        <v>184</v>
      </c>
      <c r="E649" s="55"/>
      <c r="F649" s="55" t="s">
        <v>218</v>
      </c>
      <c r="G649" s="56" t="n">
        <v>0.01</v>
      </c>
      <c r="H649" s="57" t="n">
        <f aca="false">MAX(0,IF(AND(Parameter!$B$21="Ja",ISNUMBER(Y649)),Y649,IF(Parameter!$B$20="Jahresanfang 2025 + Export",BL649+BK649,BK649)))</f>
        <v>278</v>
      </c>
      <c r="I649" s="57" t="n">
        <f aca="false">H649*G649</f>
        <v>2.78</v>
      </c>
      <c r="J649" s="57" t="n">
        <f aca="false">BN649*Parameter!$B$18</f>
        <v>0</v>
      </c>
      <c r="K649" s="58" t="n">
        <v>276.5</v>
      </c>
      <c r="L649" s="59" t="n">
        <v>0</v>
      </c>
      <c r="M649" s="57" t="n">
        <v>0</v>
      </c>
      <c r="N649" s="57" t="n">
        <v>1</v>
      </c>
      <c r="O649" s="60" t="n">
        <v>14</v>
      </c>
      <c r="P649" s="55" t="s">
        <v>401</v>
      </c>
      <c r="Q649" s="57" t="n">
        <v>280</v>
      </c>
      <c r="R649" s="60" t="n">
        <f aca="false">IF(BT649=1,0,IFERROR(VLOOKUP(BR649,'Gebinde-Kategorie'!$A$5:$M$45,13,0)+0,0))</f>
        <v>414</v>
      </c>
      <c r="S649" s="61"/>
      <c r="T649" s="62"/>
      <c r="U649" s="62"/>
      <c r="V649" s="62"/>
      <c r="W649" s="55"/>
      <c r="X649" s="57"/>
      <c r="Y649" s="57"/>
      <c r="Z649" s="55" t="n">
        <f aca="false">IF(A649="","",IF(AND(Parameter!$B$21="Ja",ISNUMBER(W649)),W649,IF(BV649="2+3",IF(ISNUMBER(SEARCH("grosser Artikel",BO649)),2,IFERROR(VLOOKUP(BR649,Parameter!$F$35:$G$64,2,0),2)),IF(OR(BV649="Nein",BV649=""),"-",BV649))))</f>
        <v>3</v>
      </c>
      <c r="AA649" s="62"/>
      <c r="AB649" s="63"/>
      <c r="AC649" s="57" t="n">
        <f aca="false">AR649</f>
        <v>280</v>
      </c>
      <c r="AD649" s="57" t="n">
        <f aca="false">MAX(AR649,H649)</f>
        <v>280</v>
      </c>
      <c r="AE649" s="64"/>
      <c r="AF649" s="57" t="n">
        <f aca="false">IF(LEFT(Cockpit!$C$5,1)="A",H649,IF(CA649=1,CB649,IF(LEFT(Cockpit!$C$5,1)="B",AJ649,MAX(AJ649,H649))))</f>
        <v>278</v>
      </c>
      <c r="AG649" s="57" t="n">
        <f aca="false">IF(BT649=1,0,ROUNDUP(AF649/BS649,0))</f>
        <v>1</v>
      </c>
      <c r="AH649" s="59" t="n">
        <f aca="false">IF(CH649&gt;0,CH649*MAX(1,AF649/X649),IF(BT649=1,IF(AF649&lt;=0,0,BW649*MAX(1,IF(H649&gt;0,AF649/H649,1))),IF(R649&gt;0,AG649/R649,0))/MAX(0.1,N(Parameter!$M$21)))</f>
        <v>0.00241545893719807</v>
      </c>
      <c r="AI649" s="57" t="n">
        <f aca="false">AF649*G649</f>
        <v>2.78</v>
      </c>
      <c r="AJ649" s="57" t="n">
        <f aca="false">ROUNDUP(MAX(J649/IF(BZ649&gt;0,BZ649,MAX(0.1,N(Cockpit!$C$6))),CC649)/BS649,0)*BS649</f>
        <v>280</v>
      </c>
      <c r="AK649" s="58" t="n">
        <f aca="false">IF(AH649&gt;0,J649/AH649,-1)</f>
        <v>0</v>
      </c>
      <c r="AL649" s="58" t="n">
        <f aca="false">IF(AND(OR(BY649="L1",BY649="L23"),AH649&gt;0),SUMIFS($AH$7:$AH$1843,$BY$7:$BY$1843,BY649,$AK$7:$AK$1843,"&gt;"&amp;AK649)+SUMIFS($AH$7:$AH$1843,$BY$7:$BY$1843,BY649,$AK$7:$AK$1843,AK649,$BQ$7:$BQ$1843,"&lt;="&amp;BQ649),"")</f>
        <v>76.6392351609743</v>
      </c>
      <c r="AM649" s="65" t="n">
        <f aca="false">IF(AL649="",0,MAX(0,MIN(1,(IF(BY649="L1",Parameter!$E$5,Parameter!$E$6+Parameter!$E$7)-(AL649-AH649))/AH649)))</f>
        <v>1</v>
      </c>
      <c r="AN649" s="57" t="n">
        <f aca="false">IF(LEFT(Cockpit!$I$5,1)="A",H649,IF(CA649=1,CB649,IF(LEFT(Cockpit!$I$5,1)="B",AR649,MAX(AR649,H649))))</f>
        <v>280</v>
      </c>
      <c r="AO649" s="57" t="n">
        <f aca="false">IF(BT649=1,0,ROUNDUP(AN649/BS649,0))</f>
        <v>1</v>
      </c>
      <c r="AP649" s="59" t="n">
        <f aca="false">IF(CH649&gt;0,CH649*MAX(1,AN649/X649),IF(BT649=1,IF(AN649&lt;=0,0,BW649*MAX(1,IF(H649&gt;0,AN649/H649,1))),IF(R649&gt;0,AO649/R649,0))/MAX(0.1,N(Parameter!$M$21)))</f>
        <v>0.00241545893719807</v>
      </c>
      <c r="AQ649" s="57" t="n">
        <f aca="false">AN649*G649</f>
        <v>2.8</v>
      </c>
      <c r="AR649" s="57" t="n">
        <f aca="false">ROUNDUP(MAX(J649/IF(BZ649&gt;0,BZ649,MAX(0.1,N(Cockpit!$I$6))),CC649)/BS649,0)*BS649</f>
        <v>280</v>
      </c>
      <c r="AS649" s="58" t="n">
        <f aca="false">IF(AP649&gt;0,J649/AP649,-1)</f>
        <v>0</v>
      </c>
      <c r="AT649" s="58" t="n">
        <f aca="false">IF(AND(OR(BY649="L1",BY649="L23"),AP649&gt;0),SUMIFS($AP$7:$AP$1843,$BY$7:$BY$1843,BY649,$AS$7:$AS$1843,"&gt;"&amp;AS649)+SUMIFS($AP$7:$AP$1843,$BY$7:$BY$1843,BY649,$AS$7:$AS$1843,AS649,$BQ$7:$BQ$1843,"&lt;="&amp;BQ649),"")</f>
        <v>116.104236343367</v>
      </c>
      <c r="AU649" s="65" t="n">
        <f aca="false">IF(AT649="",0,MAX(0,MIN(1,(IF(BY649="L1",Parameter!$E$5,Parameter!$E$6+Parameter!$E$7)-(AT649-AP649))/AP649)))</f>
        <v>0</v>
      </c>
      <c r="AV649" s="57" t="n">
        <f aca="false">IF(LEFT(Cockpit!$O$5,1)="A",H649,IF(CA649=1,CB649,IF(LEFT(Cockpit!$O$5,1)="B",AZ649,MAX(AZ649,H649))))</f>
        <v>280</v>
      </c>
      <c r="AW649" s="57" t="n">
        <f aca="false">IF(BT649=1,0,ROUNDUP(AV649/BS649,0))</f>
        <v>1</v>
      </c>
      <c r="AX649" s="59" t="n">
        <f aca="false">IF(CH649&gt;0,CH649*MAX(1,AV649/X649),IF(BT649=1,IF(AV649&lt;=0,0,BW649*MAX(1,IF(H649&gt;0,AV649/H649,1))),IF(R649&gt;0,AW649/R649,0))/MAX(0.1,N(Parameter!$M$21)))</f>
        <v>0.00241545893719807</v>
      </c>
      <c r="AY649" s="57" t="n">
        <f aca="false">AV649*G649</f>
        <v>2.8</v>
      </c>
      <c r="AZ649" s="57" t="n">
        <f aca="false">ROUNDUP(MAX(J649/IF(BZ649&gt;0,BZ649,MAX(0.1,N(Cockpit!$O$6))),CC649)/BS649,0)*BS649</f>
        <v>280</v>
      </c>
      <c r="BA649" s="58" t="n">
        <f aca="false">IF(AX649&gt;0,J649/AX649,-1)</f>
        <v>0</v>
      </c>
      <c r="BB649" s="58" t="n">
        <f aca="false">IF(AND(OR(BY649="L1",BY649="L23"),AX649&gt;0),SUMIFS($AX$7:$AX$1843,$BY$7:$BY$1843,BY649,$BA$7:$BA$1843,"&gt;"&amp;BA649)+SUMIFS($AX$7:$AX$1843,$BY$7:$BY$1843,BY649,$BA$7:$BA$1843,BA649,$BQ$7:$BQ$1843,"&lt;="&amp;BQ649),"")</f>
        <v>106.934073173204</v>
      </c>
      <c r="BC649" s="65" t="n">
        <f aca="false">IF(BB649="",0,MAX(0,MIN(1,(IF(BY649="L1",Parameter!$E$5,Parameter!$E$6+Parameter!$E$7)-(BB649-AX649))/AX649)))</f>
        <v>0</v>
      </c>
      <c r="BD649" s="55" t="str">
        <f aca="false">IF(AH649&lt;=0,"",IF(BY649="Aussen","Aussenlager",IF(BY649="-","Nicht im Lift",IF(AM649&gt;=1,"Lift",IF(AM649&lt;=0,"Aussenlager","teilweise")))))</f>
        <v>Lift</v>
      </c>
      <c r="BE649" s="55" t="str">
        <f aca="false">IF(AP649&lt;=0,"",IF(BY649="Aussen","Aussenlager",IF(BY649="-","Nicht im Lift",IF(AU649&gt;=1,"Lift",IF(AU649&lt;=0,"Aussenlager","teilweise")))))</f>
        <v>Aussenlager</v>
      </c>
      <c r="BF649" s="55" t="str">
        <f aca="false">IF(AX649&lt;=0,"",IF(BY649="Aussen","Aussenlager",IF(BY649="-","Nicht im Lift",IF(BC649&gt;=1,"Lift",IF(BC649&lt;=0,"Aussenlager","teilweise")))))</f>
        <v>Aussenlager</v>
      </c>
      <c r="BG649" s="55" t="str">
        <f aca="false">IF(A649="","",IF(BP649=1,"Neu; ","")&amp;IF(AND(BP649=0,BK649&lt;0),"negativer Bestand (Export "&amp;BK649&amp;"); ","")&amp;IF(J649&lt;=0,"Kein Verbrauch; ","")&amp;IF(CH649&gt;0,"Lift "&amp;W649&amp;" lt. Liftbericht (Fach "&amp;X649&amp;" Stk); ",IF(BU649=1,"Gebinde geschätzt ("&amp;T649&amp;"); ",IF(BT649=1,"Lose – Tablare geschätzt; ","")))&amp;IF(H649&gt;AR649,"Überbestand "&amp;ROUND(H649-AR649,0)&amp;" Stk / CHF "&amp;ROUND((H649-AR649)*G649,0)&amp;"; ","")&amp;IF(AND(CA649=1,CB649&lt;CC649),"MAX &lt; MB+LG; ","")&amp;IF(AND(CG649&gt;0,CF649*10&gt;CG649),"zu hoch für Tablar; ","")&amp;IF(AND(BP649=0,OR(CA649=1,AA649&lt;&gt;"",U649&lt;&gt;"",V649&lt;&gt;"",AB649&lt;&gt;"")),"manuell übersteuert; ","")&amp;IF(AND(BT649=0,R649=0),"Gebinde unbekannt / Stellmass fehlt; ","")&amp;IF(AND(BT649=0,N(V649)&lt;=0,N(Q649)&lt;=0),"Menge pro Gebinde fehlt (Ist = 1 Gebinde); ","")&amp;BO649)</f>
        <v>Kein Verbrauch; </v>
      </c>
      <c r="BH649" s="55"/>
      <c r="BI649" s="55"/>
      <c r="BJ649" s="62"/>
      <c r="BK649" s="57" t="n">
        <v>3</v>
      </c>
      <c r="BL649" s="57" t="n">
        <v>275</v>
      </c>
      <c r="BM649" s="56" t="n">
        <v>0.03</v>
      </c>
      <c r="BN649" s="57" t="n">
        <v>0</v>
      </c>
      <c r="BO649" s="55"/>
      <c r="BP649" s="60" t="n">
        <v>0</v>
      </c>
      <c r="BQ649" s="60" t="n">
        <v>649</v>
      </c>
      <c r="BR649" s="55" t="str">
        <f aca="false">IF(U649&lt;&gt;"",UPPER(TRIM(U649)),IF(BU649=1,UPPER(VLOOKUP(T649,Parameter!$I$27:$K$29,2,0)),IF(P649="","LOSE",P649)))</f>
        <v>S21</v>
      </c>
      <c r="BS649" s="57" t="n">
        <f aca="false">IF(BR649="LOSE",1,IF(N(V649)&gt;0,V649,IF(BU649=1,MAX(1,N(VLOOKUP(T649,Parameter!$I$27:$K$29,3,0)),H649,N(N649)),IF(N(Q649)&gt;0,Q649,MAX(1,H649)))))</f>
        <v>280</v>
      </c>
      <c r="BT649" s="60" t="n">
        <f aca="false">IF(BR649="LOSE",1,0)</f>
        <v>0</v>
      </c>
      <c r="BU649" s="60" t="n">
        <f aca="false">IF(AND(U649="",OR(P649="",P649="LOSE"),T649&lt;&gt;"",N(S649)&lt;=0,ISNUMBER(MATCH(T649,Parameter!$I$27:$I$29,0))),1,0)</f>
        <v>0</v>
      </c>
      <c r="BV649" s="55" t="str">
        <f aca="false">IF(AND(Parameter!$B$19="Ja",E649&lt;&gt;"",ISNUMBER(MATCH(E649,Parameter!$I$35:$I$52,0))),VLOOKUP(E649,Parameter!$I$35:$J$52,2,0),IFERROR(VLOOKUP(D649,Parameter!$A$35:$C$64,2,0),"Nein"))</f>
        <v>2+3</v>
      </c>
      <c r="BW649" s="59" t="n">
        <f aca="false">IF(BT649=0,0,IF(N(S649)&gt;0,S649,IFERROR(VLOOKUP(D649,Parameter!$A$35:$C$64,3,0)+0,0)))</f>
        <v>0</v>
      </c>
      <c r="BX649" s="55" t="n">
        <f aca="false">IF(AA649&lt;&gt;"",AA649,Z649)</f>
        <v>3</v>
      </c>
      <c r="BY649" s="55" t="str">
        <f aca="false">IF(BX649=1,"L1",IF(OR(BX649=2,BX649=3),"L23",IF(BX649="Aussen","Aussen","-")))</f>
        <v>L23</v>
      </c>
      <c r="BZ649" s="66" t="n">
        <f aca="false">IF(N(AB649)&gt;0,AB649,0)</f>
        <v>0</v>
      </c>
      <c r="CA649" s="60" t="n">
        <f aca="false">IF(ISNUMBER(AE649),1,0)</f>
        <v>0</v>
      </c>
      <c r="CB649" s="57" t="n">
        <f aca="false">N(AE649)</f>
        <v>0</v>
      </c>
      <c r="CC649" s="57" t="n">
        <f aca="false">N(M649)+N(N649)</f>
        <v>1</v>
      </c>
      <c r="CD649" s="57" t="n">
        <f aca="false">ROUNDUP(H649/BS649,0)</f>
        <v>1</v>
      </c>
      <c r="CE649" s="57" t="n">
        <f aca="false">ROUNDUP(CB649/BS649,0)</f>
        <v>0</v>
      </c>
      <c r="CF649" s="60" t="n">
        <f aca="false">IF(BT649=1,0,IFERROR(VLOOKUP(BR649,'Gebinde-Kategorie'!$A$5:$M$45,5,0)+0,0))</f>
        <v>8</v>
      </c>
      <c r="CG649" s="60" t="n">
        <f aca="false">IFERROR(IF(OR(BX649=1,BX649=2,BX649=3),N(INDEX(Parameter!$I$5:$I$7,BX649)),0),0)</f>
        <v>0</v>
      </c>
      <c r="CH649" s="59" t="n">
        <f aca="false">IF(AND(Parameter!$B$21="Ja",ISNUMBER(W649),N(X649)&gt;0),IFERROR(N(INDEX(Parameter!$L$5:$L$7,W649))*INDEX(Parameter!$E$5:$E$7,W649)*X649/SUMIFS($X$7:$X$1843,$W$7:$W$1843,W649),0),0)</f>
        <v>0</v>
      </c>
    </row>
    <row r="650" customFormat="false" ht="15" hidden="false" customHeight="false" outlineLevel="0" collapsed="false">
      <c r="A650" s="55" t="s">
        <v>1317</v>
      </c>
      <c r="B650" s="55" t="s">
        <v>654</v>
      </c>
      <c r="C650" s="55" t="s">
        <v>164</v>
      </c>
      <c r="D650" s="55" t="s">
        <v>184</v>
      </c>
      <c r="E650" s="55"/>
      <c r="F650" s="55" t="s">
        <v>218</v>
      </c>
      <c r="G650" s="56" t="n">
        <v>0.02</v>
      </c>
      <c r="H650" s="57" t="n">
        <f aca="false">MAX(0,IF(AND(Parameter!$B$21="Ja",ISNUMBER(Y650)),Y650,IF(Parameter!$B$20="Jahresanfang 2025 + Export",BL650+BK650,BK650)))</f>
        <v>470</v>
      </c>
      <c r="I650" s="57" t="n">
        <f aca="false">H650*G650</f>
        <v>9.4</v>
      </c>
      <c r="J650" s="57" t="n">
        <f aca="false">BN650*Parameter!$B$18</f>
        <v>0</v>
      </c>
      <c r="K650" s="58" t="n">
        <v>469.5</v>
      </c>
      <c r="L650" s="59" t="n">
        <v>0</v>
      </c>
      <c r="M650" s="57" t="n">
        <v>0</v>
      </c>
      <c r="N650" s="57" t="n">
        <v>1</v>
      </c>
      <c r="O650" s="60" t="n">
        <v>14</v>
      </c>
      <c r="P650" s="55" t="s">
        <v>426</v>
      </c>
      <c r="Q650" s="57" t="n">
        <v>300</v>
      </c>
      <c r="R650" s="60" t="n">
        <f aca="false">IF(BT650=1,0,IFERROR(VLOOKUP(BR650,'Gebinde-Kategorie'!$A$5:$M$45,13,0)+0,0))</f>
        <v>198</v>
      </c>
      <c r="S650" s="61"/>
      <c r="T650" s="62"/>
      <c r="U650" s="62"/>
      <c r="V650" s="62"/>
      <c r="W650" s="55"/>
      <c r="X650" s="57"/>
      <c r="Y650" s="57"/>
      <c r="Z650" s="55" t="n">
        <f aca="false">IF(A650="","",IF(AND(Parameter!$B$21="Ja",ISNUMBER(W650)),W650,IF(BV650="2+3",IF(ISNUMBER(SEARCH("grosser Artikel",BO650)),2,IFERROR(VLOOKUP(BR650,Parameter!$F$35:$G$64,2,0),2)),IF(OR(BV650="Nein",BV650=""),"-",BV650))))</f>
        <v>3</v>
      </c>
      <c r="AA650" s="62"/>
      <c r="AB650" s="63"/>
      <c r="AC650" s="57" t="n">
        <f aca="false">AR650</f>
        <v>300</v>
      </c>
      <c r="AD650" s="57" t="n">
        <f aca="false">MAX(AR650,H650)</f>
        <v>470</v>
      </c>
      <c r="AE650" s="64"/>
      <c r="AF650" s="57" t="n">
        <f aca="false">IF(LEFT(Cockpit!$C$5,1)="A",H650,IF(CA650=1,CB650,IF(LEFT(Cockpit!$C$5,1)="B",AJ650,MAX(AJ650,H650))))</f>
        <v>470</v>
      </c>
      <c r="AG650" s="57" t="n">
        <f aca="false">IF(BT650=1,0,ROUNDUP(AF650/BS650,0))</f>
        <v>2</v>
      </c>
      <c r="AH650" s="59" t="n">
        <f aca="false">IF(CH650&gt;0,CH650*MAX(1,AF650/X650),IF(BT650=1,IF(AF650&lt;=0,0,BW650*MAX(1,IF(H650&gt;0,AF650/H650,1))),IF(R650&gt;0,AG650/R650,0))/MAX(0.1,N(Parameter!$M$21)))</f>
        <v>0.0101010101010101</v>
      </c>
      <c r="AI650" s="57" t="n">
        <f aca="false">AF650*G650</f>
        <v>9.4</v>
      </c>
      <c r="AJ650" s="57" t="n">
        <f aca="false">ROUNDUP(MAX(J650/IF(BZ650&gt;0,BZ650,MAX(0.1,N(Cockpit!$C$6))),CC650)/BS650,0)*BS650</f>
        <v>300</v>
      </c>
      <c r="AK650" s="58" t="n">
        <f aca="false">IF(AH650&gt;0,J650/AH650,-1)</f>
        <v>0</v>
      </c>
      <c r="AL650" s="58" t="n">
        <f aca="false">IF(AND(OR(BY650="L1",BY650="L23"),AH650&gt;0),SUMIFS($AH$7:$AH$1843,$BY$7:$BY$1843,BY650,$AK$7:$AK$1843,"&gt;"&amp;AK650)+SUMIFS($AH$7:$AH$1843,$BY$7:$BY$1843,BY650,$AK$7:$AK$1843,AK650,$BQ$7:$BQ$1843,"&lt;="&amp;BQ650),"")</f>
        <v>76.6493361710753</v>
      </c>
      <c r="AM650" s="65" t="n">
        <f aca="false">IF(AL650="",0,MAX(0,MIN(1,(IF(BY650="L1",Parameter!$E$5,Parameter!$E$6+Parameter!$E$7)-(AL650-AH650))/AH650)))</f>
        <v>1</v>
      </c>
      <c r="AN650" s="57" t="n">
        <f aca="false">IF(LEFT(Cockpit!$I$5,1)="A",H650,IF(CA650=1,CB650,IF(LEFT(Cockpit!$I$5,1)="B",AR650,MAX(AR650,H650))))</f>
        <v>470</v>
      </c>
      <c r="AO650" s="57" t="n">
        <f aca="false">IF(BT650=1,0,ROUNDUP(AN650/BS650,0))</f>
        <v>2</v>
      </c>
      <c r="AP650" s="59" t="n">
        <f aca="false">IF(CH650&gt;0,CH650*MAX(1,AN650/X650),IF(BT650=1,IF(AN650&lt;=0,0,BW650*MAX(1,IF(H650&gt;0,AN650/H650,1))),IF(R650&gt;0,AO650/R650,0))/MAX(0.1,N(Parameter!$M$21)))</f>
        <v>0.0101010101010101</v>
      </c>
      <c r="AQ650" s="57" t="n">
        <f aca="false">AN650*G650</f>
        <v>9.4</v>
      </c>
      <c r="AR650" s="57" t="n">
        <f aca="false">ROUNDUP(MAX(J650/IF(BZ650&gt;0,BZ650,MAX(0.1,N(Cockpit!$I$6))),CC650)/BS650,0)*BS650</f>
        <v>300</v>
      </c>
      <c r="AS650" s="58" t="n">
        <f aca="false">IF(AP650&gt;0,J650/AP650,-1)</f>
        <v>0</v>
      </c>
      <c r="AT650" s="58" t="n">
        <f aca="false">IF(AND(OR(BY650="L1",BY650="L23"),AP650&gt;0),SUMIFS($AP$7:$AP$1843,$BY$7:$BY$1843,BY650,$AS$7:$AS$1843,"&gt;"&amp;AS650)+SUMIFS($AP$7:$AP$1843,$BY$7:$BY$1843,BY650,$AS$7:$AS$1843,AS650,$BQ$7:$BQ$1843,"&lt;="&amp;BQ650),"")</f>
        <v>116.114337353468</v>
      </c>
      <c r="AU650" s="65" t="n">
        <f aca="false">IF(AT650="",0,MAX(0,MIN(1,(IF(BY650="L1",Parameter!$E$5,Parameter!$E$6+Parameter!$E$7)-(AT650-AP650))/AP650)))</f>
        <v>0</v>
      </c>
      <c r="AV650" s="57" t="n">
        <f aca="false">IF(LEFT(Cockpit!$O$5,1)="A",H650,IF(CA650=1,CB650,IF(LEFT(Cockpit!$O$5,1)="B",AZ650,MAX(AZ650,H650))))</f>
        <v>470</v>
      </c>
      <c r="AW650" s="57" t="n">
        <f aca="false">IF(BT650=1,0,ROUNDUP(AV650/BS650,0))</f>
        <v>2</v>
      </c>
      <c r="AX650" s="59" t="n">
        <f aca="false">IF(CH650&gt;0,CH650*MAX(1,AV650/X650),IF(BT650=1,IF(AV650&lt;=0,0,BW650*MAX(1,IF(H650&gt;0,AV650/H650,1))),IF(R650&gt;0,AW650/R650,0))/MAX(0.1,N(Parameter!$M$21)))</f>
        <v>0.0101010101010101</v>
      </c>
      <c r="AY650" s="57" t="n">
        <f aca="false">AV650*G650</f>
        <v>9.4</v>
      </c>
      <c r="AZ650" s="57" t="n">
        <f aca="false">ROUNDUP(MAX(J650/IF(BZ650&gt;0,BZ650,MAX(0.1,N(Cockpit!$O$6))),CC650)/BS650,0)*BS650</f>
        <v>300</v>
      </c>
      <c r="BA650" s="58" t="n">
        <f aca="false">IF(AX650&gt;0,J650/AX650,-1)</f>
        <v>0</v>
      </c>
      <c r="BB650" s="58" t="n">
        <f aca="false">IF(AND(OR(BY650="L1",BY650="L23"),AX650&gt;0),SUMIFS($AX$7:$AX$1843,$BY$7:$BY$1843,BY650,$BA$7:$BA$1843,"&gt;"&amp;BA650)+SUMIFS($AX$7:$AX$1843,$BY$7:$BY$1843,BY650,$BA$7:$BA$1843,BA650,$BQ$7:$BQ$1843,"&lt;="&amp;BQ650),"")</f>
        <v>106.944174183305</v>
      </c>
      <c r="BC650" s="65" t="n">
        <f aca="false">IF(BB650="",0,MAX(0,MIN(1,(IF(BY650="L1",Parameter!$E$5,Parameter!$E$6+Parameter!$E$7)-(BB650-AX650))/AX650)))</f>
        <v>0</v>
      </c>
      <c r="BD650" s="55" t="str">
        <f aca="false">IF(AH650&lt;=0,"",IF(BY650="Aussen","Aussenlager",IF(BY650="-","Nicht im Lift",IF(AM650&gt;=1,"Lift",IF(AM650&lt;=0,"Aussenlager","teilweise")))))</f>
        <v>Lift</v>
      </c>
      <c r="BE650" s="55" t="str">
        <f aca="false">IF(AP650&lt;=0,"",IF(BY650="Aussen","Aussenlager",IF(BY650="-","Nicht im Lift",IF(AU650&gt;=1,"Lift",IF(AU650&lt;=0,"Aussenlager","teilweise")))))</f>
        <v>Aussenlager</v>
      </c>
      <c r="BF650" s="55" t="str">
        <f aca="false">IF(AX650&lt;=0,"",IF(BY650="Aussen","Aussenlager",IF(BY650="-","Nicht im Lift",IF(BC650&gt;=1,"Lift",IF(BC650&lt;=0,"Aussenlager","teilweise")))))</f>
        <v>Aussenlager</v>
      </c>
      <c r="BG650" s="55" t="str">
        <f aca="false">IF(A650="","",IF(BP650=1,"Neu; ","")&amp;IF(AND(BP650=0,BK650&lt;0),"negativer Bestand (Export "&amp;BK650&amp;"); ","")&amp;IF(J650&lt;=0,"Kein Verbrauch; ","")&amp;IF(CH650&gt;0,"Lift "&amp;W650&amp;" lt. Liftbericht (Fach "&amp;X650&amp;" Stk); ",IF(BU650=1,"Gebinde geschätzt ("&amp;T650&amp;"); ",IF(BT650=1,"Lose – Tablare geschätzt; ","")))&amp;IF(H650&gt;AR650,"Überbestand "&amp;ROUND(H650-AR650,0)&amp;" Stk / CHF "&amp;ROUND((H650-AR650)*G650,0)&amp;"; ","")&amp;IF(AND(CA650=1,CB650&lt;CC650),"MAX &lt; MB+LG; ","")&amp;IF(AND(CG650&gt;0,CF650*10&gt;CG650),"zu hoch für Tablar; ","")&amp;IF(AND(BP650=0,OR(CA650=1,AA650&lt;&gt;"",U650&lt;&gt;"",V650&lt;&gt;"",AB650&lt;&gt;"")),"manuell übersteuert; ","")&amp;IF(AND(BT650=0,R650=0),"Gebinde unbekannt / Stellmass fehlt; ","")&amp;IF(AND(BT650=0,N(V650)&lt;=0,N(Q650)&lt;=0),"Menge pro Gebinde fehlt (Ist = 1 Gebinde); ","")&amp;BO650)</f>
        <v>Kein Verbrauch; Überbestand 170 Stk / CHF 3; Überbestand</v>
      </c>
      <c r="BH650" s="55"/>
      <c r="BI650" s="55"/>
      <c r="BJ650" s="62"/>
      <c r="BK650" s="57" t="n">
        <v>1</v>
      </c>
      <c r="BL650" s="57" t="n">
        <v>469</v>
      </c>
      <c r="BM650" s="56" t="n">
        <v>0.02</v>
      </c>
      <c r="BN650" s="57" t="n">
        <v>0</v>
      </c>
      <c r="BO650" s="55" t="s">
        <v>392</v>
      </c>
      <c r="BP650" s="60" t="n">
        <v>0</v>
      </c>
      <c r="BQ650" s="60" t="n">
        <v>650</v>
      </c>
      <c r="BR650" s="55" t="str">
        <f aca="false">IF(U650&lt;&gt;"",UPPER(TRIM(U650)),IF(BU650=1,UPPER(VLOOKUP(T650,Parameter!$I$27:$K$29,2,0)),IF(P650="","LOSE",P650)))</f>
        <v>S22</v>
      </c>
      <c r="BS650" s="57" t="n">
        <f aca="false">IF(BR650="LOSE",1,IF(N(V650)&gt;0,V650,IF(BU650=1,MAX(1,N(VLOOKUP(T650,Parameter!$I$27:$K$29,3,0)),H650,N(N650)),IF(N(Q650)&gt;0,Q650,MAX(1,H650)))))</f>
        <v>300</v>
      </c>
      <c r="BT650" s="60" t="n">
        <f aca="false">IF(BR650="LOSE",1,0)</f>
        <v>0</v>
      </c>
      <c r="BU650" s="60" t="n">
        <f aca="false">IF(AND(U650="",OR(P650="",P650="LOSE"),T650&lt;&gt;"",N(S650)&lt;=0,ISNUMBER(MATCH(T650,Parameter!$I$27:$I$29,0))),1,0)</f>
        <v>0</v>
      </c>
      <c r="BV650" s="55" t="str">
        <f aca="false">IF(AND(Parameter!$B$19="Ja",E650&lt;&gt;"",ISNUMBER(MATCH(E650,Parameter!$I$35:$I$52,0))),VLOOKUP(E650,Parameter!$I$35:$J$52,2,0),IFERROR(VLOOKUP(D650,Parameter!$A$35:$C$64,2,0),"Nein"))</f>
        <v>2+3</v>
      </c>
      <c r="BW650" s="59" t="n">
        <f aca="false">IF(BT650=0,0,IF(N(S650)&gt;0,S650,IFERROR(VLOOKUP(D650,Parameter!$A$35:$C$64,3,0)+0,0)))</f>
        <v>0</v>
      </c>
      <c r="BX650" s="55" t="n">
        <f aca="false">IF(AA650&lt;&gt;"",AA650,Z650)</f>
        <v>3</v>
      </c>
      <c r="BY650" s="55" t="str">
        <f aca="false">IF(BX650=1,"L1",IF(OR(BX650=2,BX650=3),"L23",IF(BX650="Aussen","Aussen","-")))</f>
        <v>L23</v>
      </c>
      <c r="BZ650" s="66" t="n">
        <f aca="false">IF(N(AB650)&gt;0,AB650,0)</f>
        <v>0</v>
      </c>
      <c r="CA650" s="60" t="n">
        <f aca="false">IF(ISNUMBER(AE650),1,0)</f>
        <v>0</v>
      </c>
      <c r="CB650" s="57" t="n">
        <f aca="false">N(AE650)</f>
        <v>0</v>
      </c>
      <c r="CC650" s="57" t="n">
        <f aca="false">N(M650)+N(N650)</f>
        <v>1</v>
      </c>
      <c r="CD650" s="57" t="n">
        <f aca="false">ROUNDUP(H650/BS650,0)</f>
        <v>2</v>
      </c>
      <c r="CE650" s="57" t="n">
        <f aca="false">ROUNDUP(CB650/BS650,0)</f>
        <v>0</v>
      </c>
      <c r="CF650" s="60" t="n">
        <f aca="false">IF(BT650=1,0,IFERROR(VLOOKUP(BR650,'Gebinde-Kategorie'!$A$5:$M$45,5,0)+0,0))</f>
        <v>8</v>
      </c>
      <c r="CG650" s="60" t="n">
        <f aca="false">IFERROR(IF(OR(BX650=1,BX650=2,BX650=3),N(INDEX(Parameter!$I$5:$I$7,BX650)),0),0)</f>
        <v>0</v>
      </c>
      <c r="CH650" s="59" t="n">
        <f aca="false">IF(AND(Parameter!$B$21="Ja",ISNUMBER(W650),N(X650)&gt;0),IFERROR(N(INDEX(Parameter!$L$5:$L$7,W650))*INDEX(Parameter!$E$5:$E$7,W650)*X650/SUMIFS($X$7:$X$1843,$W$7:$W$1843,W650),0),0)</f>
        <v>0</v>
      </c>
    </row>
    <row r="651" customFormat="false" ht="15" hidden="false" customHeight="false" outlineLevel="0" collapsed="false">
      <c r="A651" s="55" t="s">
        <v>1318</v>
      </c>
      <c r="B651" s="55" t="s">
        <v>949</v>
      </c>
      <c r="C651" s="55" t="s">
        <v>164</v>
      </c>
      <c r="D651" s="55" t="s">
        <v>184</v>
      </c>
      <c r="E651" s="55" t="s">
        <v>185</v>
      </c>
      <c r="F651" s="55" t="s">
        <v>218</v>
      </c>
      <c r="G651" s="56" t="n">
        <v>0.01</v>
      </c>
      <c r="H651" s="57" t="n">
        <f aca="false">MAX(0,IF(AND(Parameter!$B$21="Ja",ISNUMBER(Y651)),Y651,IF(Parameter!$B$20="Jahresanfang 2025 + Export",BL651+BK651,BK651)))</f>
        <v>179</v>
      </c>
      <c r="I651" s="57" t="n">
        <f aca="false">H651*G651</f>
        <v>1.79</v>
      </c>
      <c r="J651" s="57" t="n">
        <f aca="false">BN651*Parameter!$B$18</f>
        <v>0</v>
      </c>
      <c r="K651" s="58" t="n">
        <v>178.5</v>
      </c>
      <c r="L651" s="59" t="n">
        <v>0</v>
      </c>
      <c r="M651" s="57" t="n">
        <v>0</v>
      </c>
      <c r="N651" s="57" t="n">
        <v>1</v>
      </c>
      <c r="O651" s="60" t="n">
        <v>14</v>
      </c>
      <c r="P651" s="55" t="s">
        <v>401</v>
      </c>
      <c r="Q651" s="57" t="n">
        <v>180</v>
      </c>
      <c r="R651" s="60" t="n">
        <f aca="false">IF(BT651=1,0,IFERROR(VLOOKUP(BR651,'Gebinde-Kategorie'!$A$5:$M$45,13,0)+0,0))</f>
        <v>414</v>
      </c>
      <c r="S651" s="61"/>
      <c r="T651" s="62"/>
      <c r="U651" s="62"/>
      <c r="V651" s="62"/>
      <c r="W651" s="55"/>
      <c r="X651" s="57"/>
      <c r="Y651" s="57"/>
      <c r="Z651" s="55" t="n">
        <f aca="false">IF(A651="","",IF(AND(Parameter!$B$21="Ja",ISNUMBER(W651)),W651,IF(BV651="2+3",IF(ISNUMBER(SEARCH("grosser Artikel",BO651)),2,IFERROR(VLOOKUP(BR651,Parameter!$F$35:$G$64,2,0),2)),IF(OR(BV651="Nein",BV651=""),"-",BV651))))</f>
        <v>3</v>
      </c>
      <c r="AA651" s="62"/>
      <c r="AB651" s="63"/>
      <c r="AC651" s="57" t="n">
        <f aca="false">AR651</f>
        <v>180</v>
      </c>
      <c r="AD651" s="57" t="n">
        <f aca="false">MAX(AR651,H651)</f>
        <v>180</v>
      </c>
      <c r="AE651" s="64"/>
      <c r="AF651" s="57" t="n">
        <f aca="false">IF(LEFT(Cockpit!$C$5,1)="A",H651,IF(CA651=1,CB651,IF(LEFT(Cockpit!$C$5,1)="B",AJ651,MAX(AJ651,H651))))</f>
        <v>179</v>
      </c>
      <c r="AG651" s="57" t="n">
        <f aca="false">IF(BT651=1,0,ROUNDUP(AF651/BS651,0))</f>
        <v>1</v>
      </c>
      <c r="AH651" s="59" t="n">
        <f aca="false">IF(CH651&gt;0,CH651*MAX(1,AF651/X651),IF(BT651=1,IF(AF651&lt;=0,0,BW651*MAX(1,IF(H651&gt;0,AF651/H651,1))),IF(R651&gt;0,AG651/R651,0))/MAX(0.1,N(Parameter!$M$21)))</f>
        <v>0.00241545893719807</v>
      </c>
      <c r="AI651" s="57" t="n">
        <f aca="false">AF651*G651</f>
        <v>1.79</v>
      </c>
      <c r="AJ651" s="57" t="n">
        <f aca="false">ROUNDUP(MAX(J651/IF(BZ651&gt;0,BZ651,MAX(0.1,N(Cockpit!$C$6))),CC651)/BS651,0)*BS651</f>
        <v>180</v>
      </c>
      <c r="AK651" s="58" t="n">
        <f aca="false">IF(AH651&gt;0,J651/AH651,-1)</f>
        <v>0</v>
      </c>
      <c r="AL651" s="58" t="n">
        <f aca="false">IF(AND(OR(BY651="L1",BY651="L23"),AH651&gt;0),SUMIFS($AH$7:$AH$1843,$BY$7:$BY$1843,BY651,$AK$7:$AK$1843,"&gt;"&amp;AK651)+SUMIFS($AH$7:$AH$1843,$BY$7:$BY$1843,BY651,$AK$7:$AK$1843,AK651,$BQ$7:$BQ$1843,"&lt;="&amp;BQ651),"")</f>
        <v>76.6517516300125</v>
      </c>
      <c r="AM651" s="65" t="n">
        <f aca="false">IF(AL651="",0,MAX(0,MIN(1,(IF(BY651="L1",Parameter!$E$5,Parameter!$E$6+Parameter!$E$7)-(AL651-AH651))/AH651)))</f>
        <v>1</v>
      </c>
      <c r="AN651" s="57" t="n">
        <f aca="false">IF(LEFT(Cockpit!$I$5,1)="A",H651,IF(CA651=1,CB651,IF(LEFT(Cockpit!$I$5,1)="B",AR651,MAX(AR651,H651))))</f>
        <v>180</v>
      </c>
      <c r="AO651" s="57" t="n">
        <f aca="false">IF(BT651=1,0,ROUNDUP(AN651/BS651,0))</f>
        <v>1</v>
      </c>
      <c r="AP651" s="59" t="n">
        <f aca="false">IF(CH651&gt;0,CH651*MAX(1,AN651/X651),IF(BT651=1,IF(AN651&lt;=0,0,BW651*MAX(1,IF(H651&gt;0,AN651/H651,1))),IF(R651&gt;0,AO651/R651,0))/MAX(0.1,N(Parameter!$M$21)))</f>
        <v>0.00241545893719807</v>
      </c>
      <c r="AQ651" s="57" t="n">
        <f aca="false">AN651*G651</f>
        <v>1.8</v>
      </c>
      <c r="AR651" s="57" t="n">
        <f aca="false">ROUNDUP(MAX(J651/IF(BZ651&gt;0,BZ651,MAX(0.1,N(Cockpit!$I$6))),CC651)/BS651,0)*BS651</f>
        <v>180</v>
      </c>
      <c r="AS651" s="58" t="n">
        <f aca="false">IF(AP651&gt;0,J651/AP651,-1)</f>
        <v>0</v>
      </c>
      <c r="AT651" s="58" t="n">
        <f aca="false">IF(AND(OR(BY651="L1",BY651="L23"),AP651&gt;0),SUMIFS($AP$7:$AP$1843,$BY$7:$BY$1843,BY651,$AS$7:$AS$1843,"&gt;"&amp;AS651)+SUMIFS($AP$7:$AP$1843,$BY$7:$BY$1843,BY651,$AS$7:$AS$1843,AS651,$BQ$7:$BQ$1843,"&lt;="&amp;BQ651),"")</f>
        <v>116.116752812405</v>
      </c>
      <c r="AU651" s="65" t="n">
        <f aca="false">IF(AT651="",0,MAX(0,MIN(1,(IF(BY651="L1",Parameter!$E$5,Parameter!$E$6+Parameter!$E$7)-(AT651-AP651))/AP651)))</f>
        <v>0</v>
      </c>
      <c r="AV651" s="57" t="n">
        <f aca="false">IF(LEFT(Cockpit!$O$5,1)="A",H651,IF(CA651=1,CB651,IF(LEFT(Cockpit!$O$5,1)="B",AZ651,MAX(AZ651,H651))))</f>
        <v>180</v>
      </c>
      <c r="AW651" s="57" t="n">
        <f aca="false">IF(BT651=1,0,ROUNDUP(AV651/BS651,0))</f>
        <v>1</v>
      </c>
      <c r="AX651" s="59" t="n">
        <f aca="false">IF(CH651&gt;0,CH651*MAX(1,AV651/X651),IF(BT651=1,IF(AV651&lt;=0,0,BW651*MAX(1,IF(H651&gt;0,AV651/H651,1))),IF(R651&gt;0,AW651/R651,0))/MAX(0.1,N(Parameter!$M$21)))</f>
        <v>0.00241545893719807</v>
      </c>
      <c r="AY651" s="57" t="n">
        <f aca="false">AV651*G651</f>
        <v>1.8</v>
      </c>
      <c r="AZ651" s="57" t="n">
        <f aca="false">ROUNDUP(MAX(J651/IF(BZ651&gt;0,BZ651,MAX(0.1,N(Cockpit!$O$6))),CC651)/BS651,0)*BS651</f>
        <v>180</v>
      </c>
      <c r="BA651" s="58" t="n">
        <f aca="false">IF(AX651&gt;0,J651/AX651,-1)</f>
        <v>0</v>
      </c>
      <c r="BB651" s="58" t="n">
        <f aca="false">IF(AND(OR(BY651="L1",BY651="L23"),AX651&gt;0),SUMIFS($AX$7:$AX$1843,$BY$7:$BY$1843,BY651,$BA$7:$BA$1843,"&gt;"&amp;BA651)+SUMIFS($AX$7:$AX$1843,$BY$7:$BY$1843,BY651,$BA$7:$BA$1843,BA651,$BQ$7:$BQ$1843,"&lt;="&amp;BQ651),"")</f>
        <v>106.946589642242</v>
      </c>
      <c r="BC651" s="65" t="n">
        <f aca="false">IF(BB651="",0,MAX(0,MIN(1,(IF(BY651="L1",Parameter!$E$5,Parameter!$E$6+Parameter!$E$7)-(BB651-AX651))/AX651)))</f>
        <v>0</v>
      </c>
      <c r="BD651" s="55" t="str">
        <f aca="false">IF(AH651&lt;=0,"",IF(BY651="Aussen","Aussenlager",IF(BY651="-","Nicht im Lift",IF(AM651&gt;=1,"Lift",IF(AM651&lt;=0,"Aussenlager","teilweise")))))</f>
        <v>Lift</v>
      </c>
      <c r="BE651" s="55" t="str">
        <f aca="false">IF(AP651&lt;=0,"",IF(BY651="Aussen","Aussenlager",IF(BY651="-","Nicht im Lift",IF(AU651&gt;=1,"Lift",IF(AU651&lt;=0,"Aussenlager","teilweise")))))</f>
        <v>Aussenlager</v>
      </c>
      <c r="BF651" s="55" t="str">
        <f aca="false">IF(AX651&lt;=0,"",IF(BY651="Aussen","Aussenlager",IF(BY651="-","Nicht im Lift",IF(BC651&gt;=1,"Lift",IF(BC651&lt;=0,"Aussenlager","teilweise")))))</f>
        <v>Aussenlager</v>
      </c>
      <c r="BG651" s="55" t="str">
        <f aca="false">IF(A651="","",IF(BP651=1,"Neu; ","")&amp;IF(AND(BP651=0,BK651&lt;0),"negativer Bestand (Export "&amp;BK651&amp;"); ","")&amp;IF(J651&lt;=0,"Kein Verbrauch; ","")&amp;IF(CH651&gt;0,"Lift "&amp;W651&amp;" lt. Liftbericht (Fach "&amp;X651&amp;" Stk); ",IF(BU651=1,"Gebinde geschätzt ("&amp;T651&amp;"); ",IF(BT651=1,"Lose – Tablare geschätzt; ","")))&amp;IF(H651&gt;AR651,"Überbestand "&amp;ROUND(H651-AR651,0)&amp;" Stk / CHF "&amp;ROUND((H651-AR651)*G651,0)&amp;"; ","")&amp;IF(AND(CA651=1,CB651&lt;CC651),"MAX &lt; MB+LG; ","")&amp;IF(AND(CG651&gt;0,CF651*10&gt;CG651),"zu hoch für Tablar; ","")&amp;IF(AND(BP651=0,OR(CA651=1,AA651&lt;&gt;"",U651&lt;&gt;"",V651&lt;&gt;"",AB651&lt;&gt;"")),"manuell übersteuert; ","")&amp;IF(AND(BT651=0,R651=0),"Gebinde unbekannt / Stellmass fehlt; ","")&amp;IF(AND(BT651=0,N(V651)&lt;=0,N(Q651)&lt;=0),"Menge pro Gebinde fehlt (Ist = 1 Gebinde); ","")&amp;BO651)</f>
        <v>Kein Verbrauch; Überbestand</v>
      </c>
      <c r="BH651" s="55"/>
      <c r="BI651" s="55"/>
      <c r="BJ651" s="62"/>
      <c r="BK651" s="57" t="n">
        <v>1</v>
      </c>
      <c r="BL651" s="57" t="n">
        <v>178</v>
      </c>
      <c r="BM651" s="56" t="n">
        <v>0.01</v>
      </c>
      <c r="BN651" s="57" t="n">
        <v>0</v>
      </c>
      <c r="BO651" s="55" t="s">
        <v>392</v>
      </c>
      <c r="BP651" s="60" t="n">
        <v>0</v>
      </c>
      <c r="BQ651" s="60" t="n">
        <v>651</v>
      </c>
      <c r="BR651" s="55" t="str">
        <f aca="false">IF(U651&lt;&gt;"",UPPER(TRIM(U651)),IF(BU651=1,UPPER(VLOOKUP(T651,Parameter!$I$27:$K$29,2,0)),IF(P651="","LOSE",P651)))</f>
        <v>S21</v>
      </c>
      <c r="BS651" s="57" t="n">
        <f aca="false">IF(BR651="LOSE",1,IF(N(V651)&gt;0,V651,IF(BU651=1,MAX(1,N(VLOOKUP(T651,Parameter!$I$27:$K$29,3,0)),H651,N(N651)),IF(N(Q651)&gt;0,Q651,MAX(1,H651)))))</f>
        <v>180</v>
      </c>
      <c r="BT651" s="60" t="n">
        <f aca="false">IF(BR651="LOSE",1,0)</f>
        <v>0</v>
      </c>
      <c r="BU651" s="60" t="n">
        <f aca="false">IF(AND(U651="",OR(P651="",P651="LOSE"),T651&lt;&gt;"",N(S651)&lt;=0,ISNUMBER(MATCH(T651,Parameter!$I$27:$I$29,0))),1,0)</f>
        <v>0</v>
      </c>
      <c r="BV651" s="55" t="str">
        <f aca="false">IF(AND(Parameter!$B$19="Ja",E651&lt;&gt;"",ISNUMBER(MATCH(E651,Parameter!$I$35:$I$52,0))),VLOOKUP(E651,Parameter!$I$35:$J$52,2,0),IFERROR(VLOOKUP(D651,Parameter!$A$35:$C$64,2,0),"Nein"))</f>
        <v>2+3</v>
      </c>
      <c r="BW651" s="59" t="n">
        <f aca="false">IF(BT651=0,0,IF(N(S651)&gt;0,S651,IFERROR(VLOOKUP(D651,Parameter!$A$35:$C$64,3,0)+0,0)))</f>
        <v>0</v>
      </c>
      <c r="BX651" s="55" t="n">
        <f aca="false">IF(AA651&lt;&gt;"",AA651,Z651)</f>
        <v>3</v>
      </c>
      <c r="BY651" s="55" t="str">
        <f aca="false">IF(BX651=1,"L1",IF(OR(BX651=2,BX651=3),"L23",IF(BX651="Aussen","Aussen","-")))</f>
        <v>L23</v>
      </c>
      <c r="BZ651" s="66" t="n">
        <f aca="false">IF(N(AB651)&gt;0,AB651,0)</f>
        <v>0</v>
      </c>
      <c r="CA651" s="60" t="n">
        <f aca="false">IF(ISNUMBER(AE651),1,0)</f>
        <v>0</v>
      </c>
      <c r="CB651" s="57" t="n">
        <f aca="false">N(AE651)</f>
        <v>0</v>
      </c>
      <c r="CC651" s="57" t="n">
        <f aca="false">N(M651)+N(N651)</f>
        <v>1</v>
      </c>
      <c r="CD651" s="57" t="n">
        <f aca="false">ROUNDUP(H651/BS651,0)</f>
        <v>1</v>
      </c>
      <c r="CE651" s="57" t="n">
        <f aca="false">ROUNDUP(CB651/BS651,0)</f>
        <v>0</v>
      </c>
      <c r="CF651" s="60" t="n">
        <f aca="false">IF(BT651=1,0,IFERROR(VLOOKUP(BR651,'Gebinde-Kategorie'!$A$5:$M$45,5,0)+0,0))</f>
        <v>8</v>
      </c>
      <c r="CG651" s="60" t="n">
        <f aca="false">IFERROR(IF(OR(BX651=1,BX651=2,BX651=3),N(INDEX(Parameter!$I$5:$I$7,BX651)),0),0)</f>
        <v>0</v>
      </c>
      <c r="CH651" s="59" t="n">
        <f aca="false">IF(AND(Parameter!$B$21="Ja",ISNUMBER(W651),N(X651)&gt;0),IFERROR(N(INDEX(Parameter!$L$5:$L$7,W651))*INDEX(Parameter!$E$5:$E$7,W651)*X651/SUMIFS($X$7:$X$1843,$W$7:$W$1843,W651),0),0)</f>
        <v>0</v>
      </c>
    </row>
    <row r="652" customFormat="false" ht="15" hidden="false" customHeight="false" outlineLevel="0" collapsed="false">
      <c r="A652" s="55" t="s">
        <v>1319</v>
      </c>
      <c r="B652" s="55" t="s">
        <v>237</v>
      </c>
      <c r="C652" s="55" t="s">
        <v>164</v>
      </c>
      <c r="D652" s="55" t="s">
        <v>173</v>
      </c>
      <c r="E652" s="55"/>
      <c r="F652" s="55" t="s">
        <v>218</v>
      </c>
      <c r="G652" s="56" t="n">
        <v>162.29</v>
      </c>
      <c r="H652" s="57" t="n">
        <f aca="false">MAX(0,IF(AND(Parameter!$B$21="Ja",ISNUMBER(Y652)),Y652,IF(Parameter!$B$20="Jahresanfang 2025 + Export",BL652+BK652,BK652)))</f>
        <v>0</v>
      </c>
      <c r="I652" s="57" t="n">
        <f aca="false">H652*G652</f>
        <v>0</v>
      </c>
      <c r="J652" s="57" t="n">
        <f aca="false">BN652*Parameter!$B$18</f>
        <v>14</v>
      </c>
      <c r="K652" s="58" t="n">
        <v>1</v>
      </c>
      <c r="L652" s="59" t="n">
        <v>14</v>
      </c>
      <c r="M652" s="57" t="n">
        <v>0</v>
      </c>
      <c r="N652" s="57" t="n">
        <v>15</v>
      </c>
      <c r="O652" s="60" t="n">
        <v>14</v>
      </c>
      <c r="P652" s="55" t="s">
        <v>168</v>
      </c>
      <c r="Q652" s="57"/>
      <c r="R652" s="60" t="n">
        <f aca="false">IF(BT652=1,0,IFERROR(VLOOKUP(BR652,'Gebinde-Kategorie'!$A$5:$M$45,13,0)+0,0))</f>
        <v>12</v>
      </c>
      <c r="S652" s="61"/>
      <c r="T652" s="62" t="s">
        <v>179</v>
      </c>
      <c r="U652" s="62"/>
      <c r="V652" s="62"/>
      <c r="W652" s="55"/>
      <c r="X652" s="57"/>
      <c r="Y652" s="57"/>
      <c r="Z652" s="55" t="n">
        <f aca="false">IF(A652="","",IF(AND(Parameter!$B$21="Ja",ISNUMBER(W652)),W652,IF(BV652="2+3",IF(ISNUMBER(SEARCH("grosser Artikel",BO652)),2,IFERROR(VLOOKUP(BR652,Parameter!$F$35:$G$64,2,0),2)),IF(OR(BV652="Nein",BV652=""),"-",BV652))))</f>
        <v>2</v>
      </c>
      <c r="AA652" s="62"/>
      <c r="AB652" s="63"/>
      <c r="AC652" s="57" t="n">
        <f aca="false">AR652</f>
        <v>15</v>
      </c>
      <c r="AD652" s="57" t="n">
        <f aca="false">MAX(AR652,H652)</f>
        <v>15</v>
      </c>
      <c r="AE652" s="64"/>
      <c r="AF652" s="57" t="n">
        <f aca="false">IF(LEFT(Cockpit!$C$5,1)="A",H652,IF(CA652=1,CB652,IF(LEFT(Cockpit!$C$5,1)="B",AJ652,MAX(AJ652,H652))))</f>
        <v>0</v>
      </c>
      <c r="AG652" s="57" t="n">
        <f aca="false">IF(BT652=1,0,ROUNDUP(AF652/BS652,0))</f>
        <v>0</v>
      </c>
      <c r="AH652" s="59" t="n">
        <f aca="false">IF(CH652&gt;0,CH652*MAX(1,AF652/X652),IF(BT652=1,IF(AF652&lt;=0,0,BW652*MAX(1,IF(H652&gt;0,AF652/H652,1))),IF(R652&gt;0,AG652/R652,0))/MAX(0.1,N(Parameter!$M$21)))</f>
        <v>0</v>
      </c>
      <c r="AI652" s="57" t="n">
        <f aca="false">AF652*G652</f>
        <v>0</v>
      </c>
      <c r="AJ652" s="57" t="n">
        <f aca="false">ROUNDUP(MAX(J652/IF(BZ652&gt;0,BZ652,MAX(0.1,N(Cockpit!$C$6))),CC652)/BS652,0)*BS652</f>
        <v>15</v>
      </c>
      <c r="AK652" s="58" t="n">
        <f aca="false">IF(AH652&gt;0,J652/AH652,-1)</f>
        <v>-1</v>
      </c>
      <c r="AL652" s="58" t="str">
        <f aca="false">IF(AND(OR(BY652="L1",BY652="L23"),AH652&gt;0),SUMIFS($AH$7:$AH$1843,$BY$7:$BY$1843,BY652,$AK$7:$AK$1843,"&gt;"&amp;AK652)+SUMIFS($AH$7:$AH$1843,$BY$7:$BY$1843,BY652,$AK$7:$AK$1843,AK652,$BQ$7:$BQ$1843,"&lt;="&amp;BQ652),"")</f>
        <v/>
      </c>
      <c r="AM652" s="65" t="n">
        <f aca="false">IF(AL652="",0,MAX(0,MIN(1,(IF(BY652="L1",Parameter!$E$5,Parameter!$E$6+Parameter!$E$7)-(AL652-AH652))/AH652)))</f>
        <v>0</v>
      </c>
      <c r="AN652" s="57" t="n">
        <f aca="false">IF(LEFT(Cockpit!$I$5,1)="A",H652,IF(CA652=1,CB652,IF(LEFT(Cockpit!$I$5,1)="B",AR652,MAX(AR652,H652))))</f>
        <v>15</v>
      </c>
      <c r="AO652" s="57" t="n">
        <f aca="false">IF(BT652=1,0,ROUNDUP(AN652/BS652,0))</f>
        <v>1</v>
      </c>
      <c r="AP652" s="59" t="n">
        <f aca="false">IF(CH652&gt;0,CH652*MAX(1,AN652/X652),IF(BT652=1,IF(AN652&lt;=0,0,BW652*MAX(1,IF(H652&gt;0,AN652/H652,1))),IF(R652&gt;0,AO652/R652,0))/MAX(0.1,N(Parameter!$M$21)))</f>
        <v>0.0833333333333333</v>
      </c>
      <c r="AQ652" s="57" t="n">
        <f aca="false">AN652*G652</f>
        <v>2434.35</v>
      </c>
      <c r="AR652" s="57" t="n">
        <f aca="false">ROUNDUP(MAX(J652/IF(BZ652&gt;0,BZ652,MAX(0.1,N(Cockpit!$I$6))),CC652)/BS652,0)*BS652</f>
        <v>15</v>
      </c>
      <c r="AS652" s="58" t="n">
        <f aca="false">IF(AP652&gt;0,J652/AP652,-1)</f>
        <v>168</v>
      </c>
      <c r="AT652" s="58" t="n">
        <f aca="false">IF(AND(OR(BY652="L1",BY652="L23"),AP652&gt;0),SUMIFS($AP$7:$AP$1843,$BY$7:$BY$1843,BY652,$AS$7:$AS$1843,"&gt;"&amp;AS652)+SUMIFS($AP$7:$AP$1843,$BY$7:$BY$1843,BY652,$AS$7:$AS$1843,AS652,$BQ$7:$BQ$1843,"&lt;="&amp;BQ652),"")</f>
        <v>48.4151802303976</v>
      </c>
      <c r="AU652" s="65" t="n">
        <f aca="false">IF(AT652="",0,MAX(0,MIN(1,(IF(BY652="L1",Parameter!$E$5,Parameter!$E$6+Parameter!$E$7)-(AT652-AP652))/AP652)))</f>
        <v>1</v>
      </c>
      <c r="AV652" s="57" t="n">
        <f aca="false">IF(LEFT(Cockpit!$O$5,1)="A",H652,IF(CA652=1,CB652,IF(LEFT(Cockpit!$O$5,1)="B",AZ652,MAX(AZ652,H652))))</f>
        <v>15</v>
      </c>
      <c r="AW652" s="57" t="n">
        <f aca="false">IF(BT652=1,0,ROUNDUP(AV652/BS652,0))</f>
        <v>1</v>
      </c>
      <c r="AX652" s="59" t="n">
        <f aca="false">IF(CH652&gt;0,CH652*MAX(1,AV652/X652),IF(BT652=1,IF(AV652&lt;=0,0,BW652*MAX(1,IF(H652&gt;0,AV652/H652,1))),IF(R652&gt;0,AW652/R652,0))/MAX(0.1,N(Parameter!$M$21)))</f>
        <v>0.0833333333333333</v>
      </c>
      <c r="AY652" s="57" t="n">
        <f aca="false">AV652*G652</f>
        <v>2434.35</v>
      </c>
      <c r="AZ652" s="57" t="n">
        <f aca="false">ROUNDUP(MAX(J652/IF(BZ652&gt;0,BZ652,MAX(0.1,N(Cockpit!$O$6))),CC652)/BS652,0)*BS652</f>
        <v>15</v>
      </c>
      <c r="BA652" s="58" t="n">
        <f aca="false">IF(AX652&gt;0,J652/AX652,-1)</f>
        <v>168</v>
      </c>
      <c r="BB652" s="58" t="n">
        <f aca="false">IF(AND(OR(BY652="L1",BY652="L23"),AX652&gt;0),SUMIFS($AX$7:$AX$1843,$BY$7:$BY$1843,BY652,$BA$7:$BA$1843,"&gt;"&amp;BA652)+SUMIFS($AX$7:$AX$1843,$BY$7:$BY$1843,BY652,$BA$7:$BA$1843,BA652,$BQ$7:$BQ$1843,"&lt;="&amp;BQ652),"")</f>
        <v>43.9950170602345</v>
      </c>
      <c r="BC652" s="65" t="n">
        <f aca="false">IF(BB652="",0,MAX(0,MIN(1,(IF(BY652="L1",Parameter!$E$5,Parameter!$E$6+Parameter!$E$7)-(BB652-AX652))/AX652)))</f>
        <v>1</v>
      </c>
      <c r="BD652" s="55" t="str">
        <f aca="false">IF(AH652&lt;=0,"",IF(BY652="Aussen","Aussenlager",IF(BY652="-","Nicht im Lift",IF(AM652&gt;=1,"Lift",IF(AM652&lt;=0,"Aussenlager","teilweise")))))</f>
        <v/>
      </c>
      <c r="BE652" s="55" t="str">
        <f aca="false">IF(AP652&lt;=0,"",IF(BY652="Aussen","Aussenlager",IF(BY652="-","Nicht im Lift",IF(AU652&gt;=1,"Lift",IF(AU652&lt;=0,"Aussenlager","teilweise")))))</f>
        <v>Lift</v>
      </c>
      <c r="BF652" s="55" t="str">
        <f aca="false">IF(AX652&lt;=0,"",IF(BY652="Aussen","Aussenlager",IF(BY652="-","Nicht im Lift",IF(BC652&gt;=1,"Lift",IF(BC652&lt;=0,"Aussenlager","teilweise")))))</f>
        <v>Lift</v>
      </c>
      <c r="BG652" s="55" t="str">
        <f aca="false">IF(A652="","",IF(BP652=1,"Neu; ","")&amp;IF(AND(BP652=0,BK652&lt;0),"negativer Bestand (Export "&amp;BK652&amp;"); ","")&amp;IF(J652&lt;=0,"Kein Verbrauch; ","")&amp;IF(CH652&gt;0,"Lift "&amp;W652&amp;" lt. Liftbericht (Fach "&amp;X652&amp;" Stk); ",IF(BU652=1,"Gebinde geschätzt ("&amp;T652&amp;"); ",IF(BT652=1,"Lose – Tablare geschätzt; ","")))&amp;IF(H652&gt;AR652,"Überbestand "&amp;ROUND(H652-AR652,0)&amp;" Stk / CHF "&amp;ROUND((H652-AR652)*G652,0)&amp;"; ","")&amp;IF(AND(CA652=1,CB652&lt;CC652),"MAX &lt; MB+LG; ","")&amp;IF(AND(CG652&gt;0,CF652*10&gt;CG652),"zu hoch für Tablar; ","")&amp;IF(AND(BP652=0,OR(CA652=1,AA652&lt;&gt;"",U652&lt;&gt;"",V652&lt;&gt;"",AB652&lt;&gt;"")),"manuell übersteuert; ","")&amp;IF(AND(BT652=0,R652=0),"Gebinde unbekannt / Stellmass fehlt; ","")&amp;IF(AND(BT652=0,N(V652)&lt;=0,N(Q652)&lt;=0),"Menge pro Gebinde fehlt (Ist = 1 Gebinde); ","")&amp;BO652)</f>
        <v>Gebinde geschätzt (Mittel); Menge pro Gebinde fehlt (Ist = 1 Gebinde); </v>
      </c>
      <c r="BH652" s="55"/>
      <c r="BI652" s="55"/>
      <c r="BJ652" s="62"/>
      <c r="BK652" s="57" t="n">
        <v>0</v>
      </c>
      <c r="BL652" s="57" t="n">
        <v>0</v>
      </c>
      <c r="BM652" s="56" t="n">
        <v>5.6843418860808E-013</v>
      </c>
      <c r="BN652" s="57" t="n">
        <v>14</v>
      </c>
      <c r="BO652" s="55"/>
      <c r="BP652" s="60" t="n">
        <v>0</v>
      </c>
      <c r="BQ652" s="60" t="n">
        <v>652</v>
      </c>
      <c r="BR652" s="55" t="str">
        <f aca="false">IF(U652&lt;&gt;"",UPPER(TRIM(U652)),IF(BU652=1,UPPER(VLOOKUP(T652,Parameter!$I$27:$K$29,2,0)),IF(P652="","LOSE",P652)))</f>
        <v>S61</v>
      </c>
      <c r="BS652" s="57" t="n">
        <f aca="false">IF(BR652="LOSE",1,IF(N(V652)&gt;0,V652,IF(BU652=1,MAX(1,N(VLOOKUP(T652,Parameter!$I$27:$K$29,3,0)),H652,N(N652)),IF(N(Q652)&gt;0,Q652,MAX(1,H652)))))</f>
        <v>15</v>
      </c>
      <c r="BT652" s="60" t="n">
        <f aca="false">IF(BR652="LOSE",1,0)</f>
        <v>0</v>
      </c>
      <c r="BU652" s="60" t="n">
        <f aca="false">IF(AND(U652="",OR(P652="",P652="LOSE"),T652&lt;&gt;"",N(S652)&lt;=0,ISNUMBER(MATCH(T652,Parameter!$I$27:$I$29,0))),1,0)</f>
        <v>1</v>
      </c>
      <c r="BV652" s="55" t="str">
        <f aca="false">IF(AND(Parameter!$B$19="Ja",E652&lt;&gt;"",ISNUMBER(MATCH(E652,Parameter!$I$35:$I$52,0))),VLOOKUP(E652,Parameter!$I$35:$J$52,2,0),IFERROR(VLOOKUP(D652,Parameter!$A$35:$C$64,2,0),"Nein"))</f>
        <v>2+3</v>
      </c>
      <c r="BW652" s="59" t="n">
        <f aca="false">IF(BT652=0,0,IF(N(S652)&gt;0,S652,IFERROR(VLOOKUP(D652,Parameter!$A$35:$C$64,3,0)+0,0)))</f>
        <v>0</v>
      </c>
      <c r="BX652" s="55" t="n">
        <f aca="false">IF(AA652&lt;&gt;"",AA652,Z652)</f>
        <v>2</v>
      </c>
      <c r="BY652" s="55" t="str">
        <f aca="false">IF(BX652=1,"L1",IF(OR(BX652=2,BX652=3),"L23",IF(BX652="Aussen","Aussen","-")))</f>
        <v>L23</v>
      </c>
      <c r="BZ652" s="66" t="n">
        <f aca="false">IF(N(AB652)&gt;0,AB652,0)</f>
        <v>0</v>
      </c>
      <c r="CA652" s="60" t="n">
        <f aca="false">IF(ISNUMBER(AE652),1,0)</f>
        <v>0</v>
      </c>
      <c r="CB652" s="57" t="n">
        <f aca="false">N(AE652)</f>
        <v>0</v>
      </c>
      <c r="CC652" s="57" t="n">
        <f aca="false">N(M652)+N(N652)</f>
        <v>15</v>
      </c>
      <c r="CD652" s="57" t="n">
        <f aca="false">ROUNDUP(H652/BS652,0)</f>
        <v>0</v>
      </c>
      <c r="CE652" s="57" t="n">
        <f aca="false">ROUNDUP(CB652/BS652,0)</f>
        <v>0</v>
      </c>
      <c r="CF652" s="60" t="n">
        <f aca="false">IF(BT652=1,0,IFERROR(VLOOKUP(BR652,'Gebinde-Kategorie'!$A$5:$M$45,5,0)+0,0))</f>
        <v>11</v>
      </c>
      <c r="CG652" s="60" t="n">
        <f aca="false">IFERROR(IF(OR(BX652=1,BX652=2,BX652=3),N(INDEX(Parameter!$I$5:$I$7,BX652)),0),0)</f>
        <v>0</v>
      </c>
      <c r="CH652" s="59" t="n">
        <f aca="false">IF(AND(Parameter!$B$21="Ja",ISNUMBER(W652),N(X652)&gt;0),IFERROR(N(INDEX(Parameter!$L$5:$L$7,W652))*INDEX(Parameter!$E$5:$E$7,W652)*X652/SUMIFS($X$7:$X$1843,$W$7:$W$1843,W652),0),0)</f>
        <v>0</v>
      </c>
    </row>
    <row r="653" customFormat="false" ht="15" hidden="false" customHeight="false" outlineLevel="0" collapsed="false">
      <c r="A653" s="55" t="s">
        <v>1320</v>
      </c>
      <c r="B653" s="55" t="s">
        <v>1321</v>
      </c>
      <c r="C653" s="55" t="s">
        <v>164</v>
      </c>
      <c r="D653" s="55" t="s">
        <v>173</v>
      </c>
      <c r="E653" s="55"/>
      <c r="F653" s="55" t="s">
        <v>218</v>
      </c>
      <c r="G653" s="56" t="n">
        <v>14462.68</v>
      </c>
      <c r="H653" s="57" t="n">
        <f aca="false">MAX(0,IF(AND(Parameter!$B$21="Ja",ISNUMBER(Y653)),Y653,IF(Parameter!$B$20="Jahresanfang 2025 + Export",BL653+BK653,BK653)))</f>
        <v>0</v>
      </c>
      <c r="I653" s="57" t="n">
        <f aca="false">H653*G653</f>
        <v>0</v>
      </c>
      <c r="J653" s="57" t="n">
        <f aca="false">BN653*Parameter!$B$18</f>
        <v>4</v>
      </c>
      <c r="K653" s="58" t="n">
        <v>0</v>
      </c>
      <c r="L653" s="59" t="n">
        <v>0</v>
      </c>
      <c r="M653" s="57" t="n">
        <v>0</v>
      </c>
      <c r="N653" s="57" t="n">
        <v>1</v>
      </c>
      <c r="O653" s="60" t="n">
        <v>90</v>
      </c>
      <c r="P653" s="55" t="s">
        <v>168</v>
      </c>
      <c r="Q653" s="57"/>
      <c r="R653" s="60" t="n">
        <f aca="false">IF(BT653=1,0,IFERROR(VLOOKUP(BR653,'Gebinde-Kategorie'!$A$5:$M$45,13,0)+0,0))</f>
        <v>12</v>
      </c>
      <c r="S653" s="61"/>
      <c r="T653" s="62" t="s">
        <v>179</v>
      </c>
      <c r="U653" s="62"/>
      <c r="V653" s="62"/>
      <c r="W653" s="55"/>
      <c r="X653" s="57"/>
      <c r="Y653" s="57"/>
      <c r="Z653" s="55" t="n">
        <f aca="false">IF(A653="","",IF(AND(Parameter!$B$21="Ja",ISNUMBER(W653)),W653,IF(BV653="2+3",IF(ISNUMBER(SEARCH("grosser Artikel",BO653)),2,IFERROR(VLOOKUP(BR653,Parameter!$F$35:$G$64,2,0),2)),IF(OR(BV653="Nein",BV653=""),"-",BV653))))</f>
        <v>2</v>
      </c>
      <c r="AA653" s="62"/>
      <c r="AB653" s="63"/>
      <c r="AC653" s="57" t="n">
        <f aca="false">AR653</f>
        <v>4</v>
      </c>
      <c r="AD653" s="57" t="n">
        <f aca="false">MAX(AR653,H653)</f>
        <v>4</v>
      </c>
      <c r="AE653" s="64"/>
      <c r="AF653" s="57" t="n">
        <f aca="false">IF(LEFT(Cockpit!$C$5,1)="A",H653,IF(CA653=1,CB653,IF(LEFT(Cockpit!$C$5,1)="B",AJ653,MAX(AJ653,H653))))</f>
        <v>0</v>
      </c>
      <c r="AG653" s="57" t="n">
        <f aca="false">IF(BT653=1,0,ROUNDUP(AF653/BS653,0))</f>
        <v>0</v>
      </c>
      <c r="AH653" s="59" t="n">
        <f aca="false">IF(CH653&gt;0,CH653*MAX(1,AF653/X653),IF(BT653=1,IF(AF653&lt;=0,0,BW653*MAX(1,IF(H653&gt;0,AF653/H653,1))),IF(R653&gt;0,AG653/R653,0))/MAX(0.1,N(Parameter!$M$21)))</f>
        <v>0</v>
      </c>
      <c r="AI653" s="57" t="n">
        <f aca="false">AF653*G653</f>
        <v>0</v>
      </c>
      <c r="AJ653" s="57" t="n">
        <f aca="false">ROUNDUP(MAX(J653/IF(BZ653&gt;0,BZ653,MAX(0.1,N(Cockpit!$C$6))),CC653)/BS653,0)*BS653</f>
        <v>4</v>
      </c>
      <c r="AK653" s="58" t="n">
        <f aca="false">IF(AH653&gt;0,J653/AH653,-1)</f>
        <v>-1</v>
      </c>
      <c r="AL653" s="58" t="str">
        <f aca="false">IF(AND(OR(BY653="L1",BY653="L23"),AH653&gt;0),SUMIFS($AH$7:$AH$1843,$BY$7:$BY$1843,BY653,$AK$7:$AK$1843,"&gt;"&amp;AK653)+SUMIFS($AH$7:$AH$1843,$BY$7:$BY$1843,BY653,$AK$7:$AK$1843,AK653,$BQ$7:$BQ$1843,"&lt;="&amp;BQ653),"")</f>
        <v/>
      </c>
      <c r="AM653" s="65" t="n">
        <f aca="false">IF(AL653="",0,MAX(0,MIN(1,(IF(BY653="L1",Parameter!$E$5,Parameter!$E$6+Parameter!$E$7)-(AL653-AH653))/AH653)))</f>
        <v>0</v>
      </c>
      <c r="AN653" s="57" t="n">
        <f aca="false">IF(LEFT(Cockpit!$I$5,1)="A",H653,IF(CA653=1,CB653,IF(LEFT(Cockpit!$I$5,1)="B",AR653,MAX(AR653,H653))))</f>
        <v>4</v>
      </c>
      <c r="AO653" s="57" t="n">
        <f aca="false">IF(BT653=1,0,ROUNDUP(AN653/BS653,0))</f>
        <v>1</v>
      </c>
      <c r="AP653" s="59" t="n">
        <f aca="false">IF(CH653&gt;0,CH653*MAX(1,AN653/X653),IF(BT653=1,IF(AN653&lt;=0,0,BW653*MAX(1,IF(H653&gt;0,AN653/H653,1))),IF(R653&gt;0,AO653/R653,0))/MAX(0.1,N(Parameter!$M$21)))</f>
        <v>0.0833333333333333</v>
      </c>
      <c r="AQ653" s="57" t="n">
        <f aca="false">AN653*G653</f>
        <v>57850.72</v>
      </c>
      <c r="AR653" s="57" t="n">
        <f aca="false">ROUNDUP(MAX(J653/IF(BZ653&gt;0,BZ653,MAX(0.1,N(Cockpit!$I$6))),CC653)/BS653,0)*BS653</f>
        <v>4</v>
      </c>
      <c r="AS653" s="58" t="n">
        <f aca="false">IF(AP653&gt;0,J653/AP653,-1)</f>
        <v>48</v>
      </c>
      <c r="AT653" s="58" t="n">
        <f aca="false">IF(AND(OR(BY653="L1",BY653="L23"),AP653&gt;0),SUMIFS($AP$7:$AP$1843,$BY$7:$BY$1843,BY653,$AS$7:$AS$1843,"&gt;"&amp;AS653)+SUMIFS($AP$7:$AP$1843,$BY$7:$BY$1843,BY653,$AS$7:$AS$1843,AS653,$BQ$7:$BQ$1843,"&lt;="&amp;BQ653),"")</f>
        <v>68.26172257694</v>
      </c>
      <c r="AU653" s="65" t="n">
        <f aca="false">IF(AT653="",0,MAX(0,MIN(1,(IF(BY653="L1",Parameter!$E$5,Parameter!$E$6+Parameter!$E$7)-(AT653-AP653))/AP653)))</f>
        <v>1</v>
      </c>
      <c r="AV653" s="57" t="n">
        <f aca="false">IF(LEFT(Cockpit!$O$5,1)="A",H653,IF(CA653=1,CB653,IF(LEFT(Cockpit!$O$5,1)="B",AZ653,MAX(AZ653,H653))))</f>
        <v>4</v>
      </c>
      <c r="AW653" s="57" t="n">
        <f aca="false">IF(BT653=1,0,ROUNDUP(AV653/BS653,0))</f>
        <v>1</v>
      </c>
      <c r="AX653" s="59" t="n">
        <f aca="false">IF(CH653&gt;0,CH653*MAX(1,AV653/X653),IF(BT653=1,IF(AV653&lt;=0,0,BW653*MAX(1,IF(H653&gt;0,AV653/H653,1))),IF(R653&gt;0,AW653/R653,0))/MAX(0.1,N(Parameter!$M$21)))</f>
        <v>0.0833333333333333</v>
      </c>
      <c r="AY653" s="57" t="n">
        <f aca="false">AV653*G653</f>
        <v>57850.72</v>
      </c>
      <c r="AZ653" s="57" t="n">
        <f aca="false">ROUNDUP(MAX(J653/IF(BZ653&gt;0,BZ653,MAX(0.1,N(Cockpit!$O$6))),CC653)/BS653,0)*BS653</f>
        <v>4</v>
      </c>
      <c r="BA653" s="58" t="n">
        <f aca="false">IF(AX653&gt;0,J653/AX653,-1)</f>
        <v>48</v>
      </c>
      <c r="BB653" s="58" t="n">
        <f aca="false">IF(AND(OR(BY653="L1",BY653="L23"),AX653&gt;0),SUMIFS($AX$7:$AX$1843,$BY$7:$BY$1843,BY653,$BA$7:$BA$1843,"&gt;"&amp;BA653)+SUMIFS($AX$7:$AX$1843,$BY$7:$BY$1843,BY653,$BA$7:$BA$1843,BA653,$BQ$7:$BQ$1843,"&lt;="&amp;BQ653),"")</f>
        <v>62.7582260734435</v>
      </c>
      <c r="BC653" s="65" t="n">
        <f aca="false">IF(BB653="",0,MAX(0,MIN(1,(IF(BY653="L1",Parameter!$E$5,Parameter!$E$6+Parameter!$E$7)-(BB653-AX653))/AX653)))</f>
        <v>1</v>
      </c>
      <c r="BD653" s="55" t="str">
        <f aca="false">IF(AH653&lt;=0,"",IF(BY653="Aussen","Aussenlager",IF(BY653="-","Nicht im Lift",IF(AM653&gt;=1,"Lift",IF(AM653&lt;=0,"Aussenlager","teilweise")))))</f>
        <v/>
      </c>
      <c r="BE653" s="55" t="str">
        <f aca="false">IF(AP653&lt;=0,"",IF(BY653="Aussen","Aussenlager",IF(BY653="-","Nicht im Lift",IF(AU653&gt;=1,"Lift",IF(AU653&lt;=0,"Aussenlager","teilweise")))))</f>
        <v>Lift</v>
      </c>
      <c r="BF653" s="55" t="str">
        <f aca="false">IF(AX653&lt;=0,"",IF(BY653="Aussen","Aussenlager",IF(BY653="-","Nicht im Lift",IF(BC653&gt;=1,"Lift",IF(BC653&lt;=0,"Aussenlager","teilweise")))))</f>
        <v>Lift</v>
      </c>
      <c r="BG653" s="55" t="str">
        <f aca="false">IF(A653="","",IF(BP653=1,"Neu; ","")&amp;IF(AND(BP653=0,BK653&lt;0),"negativer Bestand (Export "&amp;BK653&amp;"); ","")&amp;IF(J653&lt;=0,"Kein Verbrauch; ","")&amp;IF(CH653&gt;0,"Lift "&amp;W653&amp;" lt. Liftbericht (Fach "&amp;X653&amp;" Stk); ",IF(BU653=1,"Gebinde geschätzt ("&amp;T653&amp;"); ",IF(BT653=1,"Lose – Tablare geschätzt; ","")))&amp;IF(H653&gt;AR653,"Überbestand "&amp;ROUND(H653-AR653,0)&amp;" Stk / CHF "&amp;ROUND((H653-AR653)*G653,0)&amp;"; ","")&amp;IF(AND(CA653=1,CB653&lt;CC653),"MAX &lt; MB+LG; ","")&amp;IF(AND(CG653&gt;0,CF653*10&gt;CG653),"zu hoch für Tablar; ","")&amp;IF(AND(BP653=0,OR(CA653=1,AA653&lt;&gt;"",U653&lt;&gt;"",V653&lt;&gt;"",AB653&lt;&gt;"")),"manuell übersteuert; ","")&amp;IF(AND(BT653=0,R653=0),"Gebinde unbekannt / Stellmass fehlt; ","")&amp;IF(AND(BT653=0,N(V653)&lt;=0,N(Q653)&lt;=0),"Menge pro Gebinde fehlt (Ist = 1 Gebinde); ","")&amp;BO653)</f>
        <v>Gebinde geschätzt (Mittel); Menge pro Gebinde fehlt (Ist = 1 Gebinde); </v>
      </c>
      <c r="BH653" s="55"/>
      <c r="BI653" s="55"/>
      <c r="BJ653" s="62"/>
      <c r="BK653" s="57" t="n">
        <v>0</v>
      </c>
      <c r="BL653" s="57" t="n">
        <v>0</v>
      </c>
      <c r="BM653" s="56" t="n">
        <v>4.36557040517371E-013</v>
      </c>
      <c r="BN653" s="57" t="n">
        <v>4</v>
      </c>
      <c r="BO653" s="55"/>
      <c r="BP653" s="60" t="n">
        <v>0</v>
      </c>
      <c r="BQ653" s="60" t="n">
        <v>653</v>
      </c>
      <c r="BR653" s="55" t="str">
        <f aca="false">IF(U653&lt;&gt;"",UPPER(TRIM(U653)),IF(BU653=1,UPPER(VLOOKUP(T653,Parameter!$I$27:$K$29,2,0)),IF(P653="","LOSE",P653)))</f>
        <v>S61</v>
      </c>
      <c r="BS653" s="57" t="n">
        <f aca="false">IF(BR653="LOSE",1,IF(N(V653)&gt;0,V653,IF(BU653=1,MAX(1,N(VLOOKUP(T653,Parameter!$I$27:$K$29,3,0)),H653,N(N653)),IF(N(Q653)&gt;0,Q653,MAX(1,H653)))))</f>
        <v>4</v>
      </c>
      <c r="BT653" s="60" t="n">
        <f aca="false">IF(BR653="LOSE",1,0)</f>
        <v>0</v>
      </c>
      <c r="BU653" s="60" t="n">
        <f aca="false">IF(AND(U653="",OR(P653="",P653="LOSE"),T653&lt;&gt;"",N(S653)&lt;=0,ISNUMBER(MATCH(T653,Parameter!$I$27:$I$29,0))),1,0)</f>
        <v>1</v>
      </c>
      <c r="BV653" s="55" t="str">
        <f aca="false">IF(AND(Parameter!$B$19="Ja",E653&lt;&gt;"",ISNUMBER(MATCH(E653,Parameter!$I$35:$I$52,0))),VLOOKUP(E653,Parameter!$I$35:$J$52,2,0),IFERROR(VLOOKUP(D653,Parameter!$A$35:$C$64,2,0),"Nein"))</f>
        <v>2+3</v>
      </c>
      <c r="BW653" s="59" t="n">
        <f aca="false">IF(BT653=0,0,IF(N(S653)&gt;0,S653,IFERROR(VLOOKUP(D653,Parameter!$A$35:$C$64,3,0)+0,0)))</f>
        <v>0</v>
      </c>
      <c r="BX653" s="55" t="n">
        <f aca="false">IF(AA653&lt;&gt;"",AA653,Z653)</f>
        <v>2</v>
      </c>
      <c r="BY653" s="55" t="str">
        <f aca="false">IF(BX653=1,"L1",IF(OR(BX653=2,BX653=3),"L23",IF(BX653="Aussen","Aussen","-")))</f>
        <v>L23</v>
      </c>
      <c r="BZ653" s="66" t="n">
        <f aca="false">IF(N(AB653)&gt;0,AB653,0)</f>
        <v>0</v>
      </c>
      <c r="CA653" s="60" t="n">
        <f aca="false">IF(ISNUMBER(AE653),1,0)</f>
        <v>0</v>
      </c>
      <c r="CB653" s="57" t="n">
        <f aca="false">N(AE653)</f>
        <v>0</v>
      </c>
      <c r="CC653" s="57" t="n">
        <f aca="false">N(M653)+N(N653)</f>
        <v>1</v>
      </c>
      <c r="CD653" s="57" t="n">
        <f aca="false">ROUNDUP(H653/BS653,0)</f>
        <v>0</v>
      </c>
      <c r="CE653" s="57" t="n">
        <f aca="false">ROUNDUP(CB653/BS653,0)</f>
        <v>0</v>
      </c>
      <c r="CF653" s="60" t="n">
        <f aca="false">IF(BT653=1,0,IFERROR(VLOOKUP(BR653,'Gebinde-Kategorie'!$A$5:$M$45,5,0)+0,0))</f>
        <v>11</v>
      </c>
      <c r="CG653" s="60" t="n">
        <f aca="false">IFERROR(IF(OR(BX653=1,BX653=2,BX653=3),N(INDEX(Parameter!$I$5:$I$7,BX653)),0),0)</f>
        <v>0</v>
      </c>
      <c r="CH653" s="59" t="n">
        <f aca="false">IF(AND(Parameter!$B$21="Ja",ISNUMBER(W653),N(X653)&gt;0),IFERROR(N(INDEX(Parameter!$L$5:$L$7,W653))*INDEX(Parameter!$E$5:$E$7,W653)*X653/SUMIFS($X$7:$X$1843,$W$7:$W$1843,W653),0),0)</f>
        <v>0</v>
      </c>
    </row>
    <row r="654" customFormat="false" ht="15" hidden="false" customHeight="false" outlineLevel="0" collapsed="false">
      <c r="A654" s="55" t="s">
        <v>1322</v>
      </c>
      <c r="B654" s="55" t="s">
        <v>998</v>
      </c>
      <c r="C654" s="55" t="s">
        <v>164</v>
      </c>
      <c r="D654" s="55" t="s">
        <v>995</v>
      </c>
      <c r="E654" s="55"/>
      <c r="F654" s="55" t="s">
        <v>218</v>
      </c>
      <c r="G654" s="56" t="n">
        <v>163.77</v>
      </c>
      <c r="H654" s="57" t="n">
        <f aca="false">MAX(0,IF(AND(Parameter!$B$21="Ja",ISNUMBER(Y654)),Y654,IF(Parameter!$B$20="Jahresanfang 2025 + Export",BL654+BK654,BK654)))</f>
        <v>0</v>
      </c>
      <c r="I654" s="57" t="n">
        <f aca="false">H654*G654</f>
        <v>0</v>
      </c>
      <c r="J654" s="57" t="n">
        <f aca="false">BN654*Parameter!$B$18</f>
        <v>8</v>
      </c>
      <c r="K654" s="58" t="n">
        <v>0</v>
      </c>
      <c r="L654" s="59" t="n">
        <v>0</v>
      </c>
      <c r="M654" s="57" t="n">
        <v>0</v>
      </c>
      <c r="N654" s="57" t="n">
        <v>1</v>
      </c>
      <c r="O654" s="60" t="n">
        <v>105</v>
      </c>
      <c r="P654" s="55" t="s">
        <v>168</v>
      </c>
      <c r="Q654" s="57"/>
      <c r="R654" s="60" t="n">
        <f aca="false">IF(BT654=1,0,IFERROR(VLOOKUP(BR654,'Gebinde-Kategorie'!$A$5:$M$45,13,0)+0,0))</f>
        <v>0</v>
      </c>
      <c r="S654" s="61"/>
      <c r="T654" s="62"/>
      <c r="U654" s="62"/>
      <c r="V654" s="62"/>
      <c r="W654" s="55"/>
      <c r="X654" s="57"/>
      <c r="Y654" s="57"/>
      <c r="Z654" s="55" t="str">
        <f aca="false">IF(A654="","",IF(AND(Parameter!$B$21="Ja",ISNUMBER(W654)),W654,IF(BV654="2+3",IF(ISNUMBER(SEARCH("grosser Artikel",BO654)),2,IFERROR(VLOOKUP(BR654,Parameter!$F$35:$G$64,2,0),2)),IF(OR(BV654="Nein",BV654=""),"-",BV654))))</f>
        <v>-</v>
      </c>
      <c r="AA654" s="62"/>
      <c r="AB654" s="63"/>
      <c r="AC654" s="57" t="n">
        <f aca="false">AR654</f>
        <v>4</v>
      </c>
      <c r="AD654" s="57" t="n">
        <f aca="false">MAX(AR654,H654)</f>
        <v>4</v>
      </c>
      <c r="AE654" s="64"/>
      <c r="AF654" s="57" t="n">
        <f aca="false">IF(LEFT(Cockpit!$C$5,1)="A",H654,IF(CA654=1,CB654,IF(LEFT(Cockpit!$C$5,1)="B",AJ654,MAX(AJ654,H654))))</f>
        <v>0</v>
      </c>
      <c r="AG654" s="57" t="n">
        <f aca="false">IF(BT654=1,0,ROUNDUP(AF654/BS654,0))</f>
        <v>0</v>
      </c>
      <c r="AH654" s="59" t="n">
        <f aca="false">IF(CH654&gt;0,CH654*MAX(1,AF654/X654),IF(BT654=1,IF(AF654&lt;=0,0,BW654*MAX(1,IF(H654&gt;0,AF654/H654,1))),IF(R654&gt;0,AG654/R654,0))/MAX(0.1,N(Parameter!$M$21)))</f>
        <v>0</v>
      </c>
      <c r="AI654" s="57" t="n">
        <f aca="false">AF654*G654</f>
        <v>0</v>
      </c>
      <c r="AJ654" s="57" t="n">
        <f aca="false">ROUNDUP(MAX(J654/IF(BZ654&gt;0,BZ654,MAX(0.1,N(Cockpit!$C$6))),CC654)/BS654,0)*BS654</f>
        <v>4</v>
      </c>
      <c r="AK654" s="58" t="n">
        <f aca="false">IF(AH654&gt;0,J654/AH654,-1)</f>
        <v>-1</v>
      </c>
      <c r="AL654" s="58" t="str">
        <f aca="false">IF(AND(OR(BY654="L1",BY654="L23"),AH654&gt;0),SUMIFS($AH$7:$AH$1843,$BY$7:$BY$1843,BY654,$AK$7:$AK$1843,"&gt;"&amp;AK654)+SUMIFS($AH$7:$AH$1843,$BY$7:$BY$1843,BY654,$AK$7:$AK$1843,AK654,$BQ$7:$BQ$1843,"&lt;="&amp;BQ654),"")</f>
        <v/>
      </c>
      <c r="AM654" s="65" t="n">
        <f aca="false">IF(AL654="",0,MAX(0,MIN(1,(IF(BY654="L1",Parameter!$E$5,Parameter!$E$6+Parameter!$E$7)-(AL654-AH654))/AH654)))</f>
        <v>0</v>
      </c>
      <c r="AN654" s="57" t="n">
        <f aca="false">IF(LEFT(Cockpit!$I$5,1)="A",H654,IF(CA654=1,CB654,IF(LEFT(Cockpit!$I$5,1)="B",AR654,MAX(AR654,H654))))</f>
        <v>4</v>
      </c>
      <c r="AO654" s="57" t="n">
        <f aca="false">IF(BT654=1,0,ROUNDUP(AN654/BS654,0))</f>
        <v>0</v>
      </c>
      <c r="AP654" s="59" t="n">
        <f aca="false">IF(CH654&gt;0,CH654*MAX(1,AN654/X654),IF(BT654=1,IF(AN654&lt;=0,0,BW654*MAX(1,IF(H654&gt;0,AN654/H654,1))),IF(R654&gt;0,AO654/R654,0))/MAX(0.1,N(Parameter!$M$21)))</f>
        <v>0.15</v>
      </c>
      <c r="AQ654" s="57" t="n">
        <f aca="false">AN654*G654</f>
        <v>655.08</v>
      </c>
      <c r="AR654" s="57" t="n">
        <f aca="false">ROUNDUP(MAX(J654/IF(BZ654&gt;0,BZ654,MAX(0.1,N(Cockpit!$I$6))),CC654)/BS654,0)*BS654</f>
        <v>4</v>
      </c>
      <c r="AS654" s="58" t="n">
        <f aca="false">IF(AP654&gt;0,J654/AP654,-1)</f>
        <v>53.3333333333333</v>
      </c>
      <c r="AT654" s="58" t="str">
        <f aca="false">IF(AND(OR(BY654="L1",BY654="L23"),AP654&gt;0),SUMIFS($AP$7:$AP$1843,$BY$7:$BY$1843,BY654,$AS$7:$AS$1843,"&gt;"&amp;AS654)+SUMIFS($AP$7:$AP$1843,$BY$7:$BY$1843,BY654,$AS$7:$AS$1843,AS654,$BQ$7:$BQ$1843,"&lt;="&amp;BQ654),"")</f>
        <v/>
      </c>
      <c r="AU654" s="65" t="n">
        <f aca="false">IF(AT654="",0,MAX(0,MIN(1,(IF(BY654="L1",Parameter!$E$5,Parameter!$E$6+Parameter!$E$7)-(AT654-AP654))/AP654)))</f>
        <v>0</v>
      </c>
      <c r="AV654" s="57" t="n">
        <f aca="false">IF(LEFT(Cockpit!$O$5,1)="A",H654,IF(CA654=1,CB654,IF(LEFT(Cockpit!$O$5,1)="B",AZ654,MAX(AZ654,H654))))</f>
        <v>3</v>
      </c>
      <c r="AW654" s="57" t="n">
        <f aca="false">IF(BT654=1,0,ROUNDUP(AV654/BS654,0))</f>
        <v>0</v>
      </c>
      <c r="AX654" s="59" t="n">
        <f aca="false">IF(CH654&gt;0,CH654*MAX(1,AV654/X654),IF(BT654=1,IF(AV654&lt;=0,0,BW654*MAX(1,IF(H654&gt;0,AV654/H654,1))),IF(R654&gt;0,AW654/R654,0))/MAX(0.1,N(Parameter!$M$21)))</f>
        <v>0.15</v>
      </c>
      <c r="AY654" s="57" t="n">
        <f aca="false">AV654*G654</f>
        <v>491.31</v>
      </c>
      <c r="AZ654" s="57" t="n">
        <f aca="false">ROUNDUP(MAX(J654/IF(BZ654&gt;0,BZ654,MAX(0.1,N(Cockpit!$O$6))),CC654)/BS654,0)*BS654</f>
        <v>3</v>
      </c>
      <c r="BA654" s="58" t="n">
        <f aca="false">IF(AX654&gt;0,J654/AX654,-1)</f>
        <v>53.3333333333333</v>
      </c>
      <c r="BB654" s="58" t="str">
        <f aca="false">IF(AND(OR(BY654="L1",BY654="L23"),AX654&gt;0),SUMIFS($AX$7:$AX$1843,$BY$7:$BY$1843,BY654,$BA$7:$BA$1843,"&gt;"&amp;BA654)+SUMIFS($AX$7:$AX$1843,$BY$7:$BY$1843,BY654,$BA$7:$BA$1843,BA654,$BQ$7:$BQ$1843,"&lt;="&amp;BQ654),"")</f>
        <v/>
      </c>
      <c r="BC654" s="65" t="n">
        <f aca="false">IF(BB654="",0,MAX(0,MIN(1,(IF(BY654="L1",Parameter!$E$5,Parameter!$E$6+Parameter!$E$7)-(BB654-AX654))/AX654)))</f>
        <v>0</v>
      </c>
      <c r="BD654" s="55" t="str">
        <f aca="false">IF(AH654&lt;=0,"",IF(BY654="Aussen","Aussenlager",IF(BY654="-","Nicht im Lift",IF(AM654&gt;=1,"Lift",IF(AM654&lt;=0,"Aussenlager","teilweise")))))</f>
        <v/>
      </c>
      <c r="BE654" s="55" t="str">
        <f aca="false">IF(AP654&lt;=0,"",IF(BY654="Aussen","Aussenlager",IF(BY654="-","Nicht im Lift",IF(AU654&gt;=1,"Lift",IF(AU654&lt;=0,"Aussenlager","teilweise")))))</f>
        <v>Nicht im Lift</v>
      </c>
      <c r="BF654" s="55" t="str">
        <f aca="false">IF(AX654&lt;=0,"",IF(BY654="Aussen","Aussenlager",IF(BY654="-","Nicht im Lift",IF(BC654&gt;=1,"Lift",IF(BC654&lt;=0,"Aussenlager","teilweise")))))</f>
        <v>Nicht im Lift</v>
      </c>
      <c r="BG654" s="55" t="str">
        <f aca="false">IF(A654="","",IF(BP654=1,"Neu; ","")&amp;IF(AND(BP654=0,BK654&lt;0),"negativer Bestand (Export "&amp;BK654&amp;"); ","")&amp;IF(J654&lt;=0,"Kein Verbrauch; ","")&amp;IF(CH654&gt;0,"Lift "&amp;W654&amp;" lt. Liftbericht (Fach "&amp;X654&amp;" Stk); ",IF(BU654=1,"Gebinde geschätzt ("&amp;T654&amp;"); ",IF(BT654=1,"Lose – Tablare geschätzt; ","")))&amp;IF(H654&gt;AR654,"Überbestand "&amp;ROUND(H654-AR654,0)&amp;" Stk / CHF "&amp;ROUND((H654-AR654)*G654,0)&amp;"; ","")&amp;IF(AND(CA654=1,CB654&lt;CC654),"MAX &lt; MB+LG; ","")&amp;IF(AND(CG654&gt;0,CF654*10&gt;CG654),"zu hoch für Tablar; ","")&amp;IF(AND(BP654=0,OR(CA654=1,AA654&lt;&gt;"",U654&lt;&gt;"",V654&lt;&gt;"",AB654&lt;&gt;"")),"manuell übersteuert; ","")&amp;IF(AND(BT654=0,R654=0),"Gebinde unbekannt / Stellmass fehlt; ","")&amp;IF(AND(BT654=0,N(V654)&lt;=0,N(Q654)&lt;=0),"Menge pro Gebinde fehlt (Ist = 1 Gebinde); ","")&amp;BO654)</f>
        <v>Lose – Tablare geschätzt; </v>
      </c>
      <c r="BH654" s="55"/>
      <c r="BI654" s="55"/>
      <c r="BJ654" s="62"/>
      <c r="BK654" s="57" t="n">
        <v>0</v>
      </c>
      <c r="BL654" s="57" t="n">
        <v>0</v>
      </c>
      <c r="BM654" s="56" t="n">
        <v>1.31877148090709E-013</v>
      </c>
      <c r="BN654" s="57" t="n">
        <v>8</v>
      </c>
      <c r="BO654" s="55"/>
      <c r="BP654" s="60" t="n">
        <v>0</v>
      </c>
      <c r="BQ654" s="60" t="n">
        <v>654</v>
      </c>
      <c r="BR654" s="55" t="str">
        <f aca="false">IF(U654&lt;&gt;"",UPPER(TRIM(U654)),IF(BU654=1,UPPER(VLOOKUP(T654,Parameter!$I$27:$K$29,2,0)),IF(P654="","LOSE",P654)))</f>
        <v>LOSE</v>
      </c>
      <c r="BS654" s="57" t="n">
        <f aca="false">IF(BR654="LOSE",1,IF(N(V654)&gt;0,V654,IF(BU654=1,MAX(1,N(VLOOKUP(T654,Parameter!$I$27:$K$29,3,0)),H654,N(N654)),IF(N(Q654)&gt;0,Q654,MAX(1,H654)))))</f>
        <v>1</v>
      </c>
      <c r="BT654" s="60" t="n">
        <f aca="false">IF(BR654="LOSE",1,0)</f>
        <v>1</v>
      </c>
      <c r="BU654" s="60" t="n">
        <f aca="false">IF(AND(U654="",OR(P654="",P654="LOSE"),T654&lt;&gt;"",N(S654)&lt;=0,ISNUMBER(MATCH(T654,Parameter!$I$27:$I$29,0))),1,0)</f>
        <v>0</v>
      </c>
      <c r="BV654" s="55" t="str">
        <f aca="false">IF(AND(Parameter!$B$19="Ja",E654&lt;&gt;"",ISNUMBER(MATCH(E654,Parameter!$I$35:$I$52,0))),VLOOKUP(E654,Parameter!$I$35:$J$52,2,0),IFERROR(VLOOKUP(D654,Parameter!$A$35:$C$64,2,0),"Nein"))</f>
        <v>Nein</v>
      </c>
      <c r="BW654" s="59" t="n">
        <f aca="false">IF(BT654=0,0,IF(N(S654)&gt;0,S654,IFERROR(VLOOKUP(D654,Parameter!$A$35:$C$64,3,0)+0,0)))</f>
        <v>0.15</v>
      </c>
      <c r="BX654" s="55" t="str">
        <f aca="false">IF(AA654&lt;&gt;"",AA654,Z654)</f>
        <v>-</v>
      </c>
      <c r="BY654" s="55" t="str">
        <f aca="false">IF(BX654=1,"L1",IF(OR(BX654=2,BX654=3),"L23",IF(BX654="Aussen","Aussen","-")))</f>
        <v>-</v>
      </c>
      <c r="BZ654" s="66" t="n">
        <f aca="false">IF(N(AB654)&gt;0,AB654,0)</f>
        <v>0</v>
      </c>
      <c r="CA654" s="60" t="n">
        <f aca="false">IF(ISNUMBER(AE654),1,0)</f>
        <v>0</v>
      </c>
      <c r="CB654" s="57" t="n">
        <f aca="false">N(AE654)</f>
        <v>0</v>
      </c>
      <c r="CC654" s="57" t="n">
        <f aca="false">N(M654)+N(N654)</f>
        <v>1</v>
      </c>
      <c r="CD654" s="57" t="n">
        <f aca="false">ROUNDUP(H654/BS654,0)</f>
        <v>0</v>
      </c>
      <c r="CE654" s="57" t="n">
        <f aca="false">ROUNDUP(CB654/BS654,0)</f>
        <v>0</v>
      </c>
      <c r="CF654" s="60" t="n">
        <f aca="false">IF(BT654=1,0,IFERROR(VLOOKUP(BR654,'Gebinde-Kategorie'!$A$5:$M$45,5,0)+0,0))</f>
        <v>0</v>
      </c>
      <c r="CG654" s="60" t="n">
        <f aca="false">IFERROR(IF(OR(BX654=1,BX654=2,BX654=3),N(INDEX(Parameter!$I$5:$I$7,BX654)),0),0)</f>
        <v>0</v>
      </c>
      <c r="CH654" s="59" t="n">
        <f aca="false">IF(AND(Parameter!$B$21="Ja",ISNUMBER(W654),N(X654)&gt;0),IFERROR(N(INDEX(Parameter!$L$5:$L$7,W654))*INDEX(Parameter!$E$5:$E$7,W654)*X654/SUMIFS($X$7:$X$1843,$W$7:$W$1843,W654),0),0)</f>
        <v>0</v>
      </c>
    </row>
    <row r="655" customFormat="false" ht="15" hidden="false" customHeight="false" outlineLevel="0" collapsed="false">
      <c r="A655" s="55" t="s">
        <v>1323</v>
      </c>
      <c r="B655" s="55" t="s">
        <v>1324</v>
      </c>
      <c r="C655" s="55" t="s">
        <v>164</v>
      </c>
      <c r="D655" s="55" t="s">
        <v>184</v>
      </c>
      <c r="E655" s="55"/>
      <c r="F655" s="55" t="s">
        <v>218</v>
      </c>
      <c r="G655" s="56" t="n">
        <v>42.14</v>
      </c>
      <c r="H655" s="57" t="n">
        <f aca="false">MAX(0,IF(AND(Parameter!$B$21="Ja",ISNUMBER(Y655)),Y655,IF(Parameter!$B$20="Jahresanfang 2025 + Export",BL655+BK655,BK655)))</f>
        <v>0</v>
      </c>
      <c r="I655" s="57" t="n">
        <f aca="false">H655*G655</f>
        <v>0</v>
      </c>
      <c r="J655" s="57" t="n">
        <f aca="false">BN655*Parameter!$B$18</f>
        <v>2</v>
      </c>
      <c r="K655" s="58" t="n">
        <v>3</v>
      </c>
      <c r="L655" s="59" t="n">
        <v>0.666666666666667</v>
      </c>
      <c r="M655" s="57" t="n">
        <v>0</v>
      </c>
      <c r="N655" s="57" t="n">
        <v>1</v>
      </c>
      <c r="O655" s="60" t="n">
        <v>21</v>
      </c>
      <c r="P655" s="55" t="s">
        <v>168</v>
      </c>
      <c r="Q655" s="57"/>
      <c r="R655" s="60" t="n">
        <f aca="false">IF(BT655=1,0,IFERROR(VLOOKUP(BR655,'Gebinde-Kategorie'!$A$5:$M$45,13,0)+0,0))</f>
        <v>26</v>
      </c>
      <c r="S655" s="61"/>
      <c r="T655" s="62" t="s">
        <v>275</v>
      </c>
      <c r="U655" s="62"/>
      <c r="V655" s="62"/>
      <c r="W655" s="55"/>
      <c r="X655" s="57"/>
      <c r="Y655" s="57"/>
      <c r="Z655" s="55" t="n">
        <f aca="false">IF(A655="","",IF(AND(Parameter!$B$21="Ja",ISNUMBER(W655)),W655,IF(BV655="2+3",IF(ISNUMBER(SEARCH("grosser Artikel",BO655)),2,IFERROR(VLOOKUP(BR655,Parameter!$F$35:$G$64,2,0),2)),IF(OR(BV655="Nein",BV655=""),"-",BV655))))</f>
        <v>3</v>
      </c>
      <c r="AA655" s="62"/>
      <c r="AB655" s="63"/>
      <c r="AC655" s="57" t="n">
        <f aca="false">AR655</f>
        <v>20</v>
      </c>
      <c r="AD655" s="57" t="n">
        <f aca="false">MAX(AR655,H655)</f>
        <v>20</v>
      </c>
      <c r="AE655" s="64"/>
      <c r="AF655" s="57" t="n">
        <f aca="false">IF(LEFT(Cockpit!$C$5,1)="A",H655,IF(CA655=1,CB655,IF(LEFT(Cockpit!$C$5,1)="B",AJ655,MAX(AJ655,H655))))</f>
        <v>0</v>
      </c>
      <c r="AG655" s="57" t="n">
        <f aca="false">IF(BT655=1,0,ROUNDUP(AF655/BS655,0))</f>
        <v>0</v>
      </c>
      <c r="AH655" s="59" t="n">
        <f aca="false">IF(CH655&gt;0,CH655*MAX(1,AF655/X655),IF(BT655=1,IF(AF655&lt;=0,0,BW655*MAX(1,IF(H655&gt;0,AF655/H655,1))),IF(R655&gt;0,AG655/R655,0))/MAX(0.1,N(Parameter!$M$21)))</f>
        <v>0</v>
      </c>
      <c r="AI655" s="57" t="n">
        <f aca="false">AF655*G655</f>
        <v>0</v>
      </c>
      <c r="AJ655" s="57" t="n">
        <f aca="false">ROUNDUP(MAX(J655/IF(BZ655&gt;0,BZ655,MAX(0.1,N(Cockpit!$C$6))),CC655)/BS655,0)*BS655</f>
        <v>20</v>
      </c>
      <c r="AK655" s="58" t="n">
        <f aca="false">IF(AH655&gt;0,J655/AH655,-1)</f>
        <v>-1</v>
      </c>
      <c r="AL655" s="58" t="str">
        <f aca="false">IF(AND(OR(BY655="L1",BY655="L23"),AH655&gt;0),SUMIFS($AH$7:$AH$1843,$BY$7:$BY$1843,BY655,$AK$7:$AK$1843,"&gt;"&amp;AK655)+SUMIFS($AH$7:$AH$1843,$BY$7:$BY$1843,BY655,$AK$7:$AK$1843,AK655,$BQ$7:$BQ$1843,"&lt;="&amp;BQ655),"")</f>
        <v/>
      </c>
      <c r="AM655" s="65" t="n">
        <f aca="false">IF(AL655="",0,MAX(0,MIN(1,(IF(BY655="L1",Parameter!$E$5,Parameter!$E$6+Parameter!$E$7)-(AL655-AH655))/AH655)))</f>
        <v>0</v>
      </c>
      <c r="AN655" s="57" t="n">
        <f aca="false">IF(LEFT(Cockpit!$I$5,1)="A",H655,IF(CA655=1,CB655,IF(LEFT(Cockpit!$I$5,1)="B",AR655,MAX(AR655,H655))))</f>
        <v>20</v>
      </c>
      <c r="AO655" s="57" t="n">
        <f aca="false">IF(BT655=1,0,ROUNDUP(AN655/BS655,0))</f>
        <v>1</v>
      </c>
      <c r="AP655" s="59" t="n">
        <f aca="false">IF(CH655&gt;0,CH655*MAX(1,AN655/X655),IF(BT655=1,IF(AN655&lt;=0,0,BW655*MAX(1,IF(H655&gt;0,AN655/H655,1))),IF(R655&gt;0,AO655/R655,0))/MAX(0.1,N(Parameter!$M$21)))</f>
        <v>0.0384615384615385</v>
      </c>
      <c r="AQ655" s="57" t="n">
        <f aca="false">AN655*G655</f>
        <v>842.8</v>
      </c>
      <c r="AR655" s="57" t="n">
        <f aca="false">ROUNDUP(MAX(J655/IF(BZ655&gt;0,BZ655,MAX(0.1,N(Cockpit!$I$6))),CC655)/BS655,0)*BS655</f>
        <v>20</v>
      </c>
      <c r="AS655" s="58" t="n">
        <f aca="false">IF(AP655&gt;0,J655/AP655,-1)</f>
        <v>52</v>
      </c>
      <c r="AT655" s="58" t="n">
        <f aca="false">IF(AND(OR(BY655="L1",BY655="L23"),AP655&gt;0),SUMIFS($AP$7:$AP$1843,$BY$7:$BY$1843,BY655,$AS$7:$AS$1843,"&gt;"&amp;AS655)+SUMIFS($AP$7:$AP$1843,$BY$7:$BY$1843,BY655,$AS$7:$AS$1843,AS655,$BQ$7:$BQ$1843,"&lt;="&amp;BQ655),"")</f>
        <v>67.26172257694</v>
      </c>
      <c r="AU655" s="65" t="n">
        <f aca="false">IF(AT655="",0,MAX(0,MIN(1,(IF(BY655="L1",Parameter!$E$5,Parameter!$E$6+Parameter!$E$7)-(AT655-AP655))/AP655)))</f>
        <v>1</v>
      </c>
      <c r="AV655" s="57" t="n">
        <f aca="false">IF(LEFT(Cockpit!$O$5,1)="A",H655,IF(CA655=1,CB655,IF(LEFT(Cockpit!$O$5,1)="B",AZ655,MAX(AZ655,H655))))</f>
        <v>20</v>
      </c>
      <c r="AW655" s="57" t="n">
        <f aca="false">IF(BT655=1,0,ROUNDUP(AV655/BS655,0))</f>
        <v>1</v>
      </c>
      <c r="AX655" s="59" t="n">
        <f aca="false">IF(CH655&gt;0,CH655*MAX(1,AV655/X655),IF(BT655=1,IF(AV655&lt;=0,0,BW655*MAX(1,IF(H655&gt;0,AV655/H655,1))),IF(R655&gt;0,AW655/R655,0))/MAX(0.1,N(Parameter!$M$21)))</f>
        <v>0.0384615384615385</v>
      </c>
      <c r="AY655" s="57" t="n">
        <f aca="false">AV655*G655</f>
        <v>842.8</v>
      </c>
      <c r="AZ655" s="57" t="n">
        <f aca="false">ROUNDUP(MAX(J655/IF(BZ655&gt;0,BZ655,MAX(0.1,N(Cockpit!$O$6))),CC655)/BS655,0)*BS655</f>
        <v>20</v>
      </c>
      <c r="BA655" s="58" t="n">
        <f aca="false">IF(AX655&gt;0,J655/AX655,-1)</f>
        <v>52</v>
      </c>
      <c r="BB655" s="58" t="n">
        <f aca="false">IF(AND(OR(BY655="L1",BY655="L23"),AX655&gt;0),SUMIFS($AX$7:$AX$1843,$BY$7:$BY$1843,BY655,$BA$7:$BA$1843,"&gt;"&amp;BA655)+SUMIFS($AX$7:$AX$1843,$BY$7:$BY$1843,BY655,$BA$7:$BA$1843,BA655,$BQ$7:$BQ$1843,"&lt;="&amp;BQ655),"")</f>
        <v>61.7582260734435</v>
      </c>
      <c r="BC655" s="65" t="n">
        <f aca="false">IF(BB655="",0,MAX(0,MIN(1,(IF(BY655="L1",Parameter!$E$5,Parameter!$E$6+Parameter!$E$7)-(BB655-AX655))/AX655)))</f>
        <v>1</v>
      </c>
      <c r="BD655" s="55" t="str">
        <f aca="false">IF(AH655&lt;=0,"",IF(BY655="Aussen","Aussenlager",IF(BY655="-","Nicht im Lift",IF(AM655&gt;=1,"Lift",IF(AM655&lt;=0,"Aussenlager","teilweise")))))</f>
        <v/>
      </c>
      <c r="BE655" s="55" t="str">
        <f aca="false">IF(AP655&lt;=0,"",IF(BY655="Aussen","Aussenlager",IF(BY655="-","Nicht im Lift",IF(AU655&gt;=1,"Lift",IF(AU655&lt;=0,"Aussenlager","teilweise")))))</f>
        <v>Lift</v>
      </c>
      <c r="BF655" s="55" t="str">
        <f aca="false">IF(AX655&lt;=0,"",IF(BY655="Aussen","Aussenlager",IF(BY655="-","Nicht im Lift",IF(BC655&gt;=1,"Lift",IF(BC655&lt;=0,"Aussenlager","teilweise")))))</f>
        <v>Lift</v>
      </c>
      <c r="BG655" s="55" t="str">
        <f aca="false">IF(A655="","",IF(BP655=1,"Neu; ","")&amp;IF(AND(BP655=0,BK655&lt;0),"negativer Bestand (Export "&amp;BK655&amp;"); ","")&amp;IF(J655&lt;=0,"Kein Verbrauch; ","")&amp;IF(CH655&gt;0,"Lift "&amp;W655&amp;" lt. Liftbericht (Fach "&amp;X655&amp;" Stk); ",IF(BU655=1,"Gebinde geschätzt ("&amp;T655&amp;"); ",IF(BT655=1,"Lose – Tablare geschätzt; ","")))&amp;IF(H655&gt;AR655,"Überbestand "&amp;ROUND(H655-AR655,0)&amp;" Stk / CHF "&amp;ROUND((H655-AR655)*G655,0)&amp;"; ","")&amp;IF(AND(CA655=1,CB655&lt;CC655),"MAX &lt; MB+LG; ","")&amp;IF(AND(CG655&gt;0,CF655*10&gt;CG655),"zu hoch für Tablar; ","")&amp;IF(AND(BP655=0,OR(CA655=1,AA655&lt;&gt;"",U655&lt;&gt;"",V655&lt;&gt;"",AB655&lt;&gt;"")),"manuell übersteuert; ","")&amp;IF(AND(BT655=0,R655=0),"Gebinde unbekannt / Stellmass fehlt; ","")&amp;IF(AND(BT655=0,N(V655)&lt;=0,N(Q655)&lt;=0),"Menge pro Gebinde fehlt (Ist = 1 Gebinde); ","")&amp;BO655)</f>
        <v>Gebinde geschätzt (Klein); Menge pro Gebinde fehlt (Ist = 1 Gebinde); </v>
      </c>
      <c r="BH655" s="55"/>
      <c r="BI655" s="55"/>
      <c r="BJ655" s="62"/>
      <c r="BK655" s="57" t="n">
        <v>0</v>
      </c>
      <c r="BL655" s="57" t="n">
        <v>0</v>
      </c>
      <c r="BM655" s="56" t="n">
        <v>1.13686837721616E-013</v>
      </c>
      <c r="BN655" s="57" t="n">
        <v>2</v>
      </c>
      <c r="BO655" s="55"/>
      <c r="BP655" s="60" t="n">
        <v>0</v>
      </c>
      <c r="BQ655" s="60" t="n">
        <v>655</v>
      </c>
      <c r="BR655" s="55" t="str">
        <f aca="false">IF(U655&lt;&gt;"",UPPER(TRIM(U655)),IF(BU655=1,UPPER(VLOOKUP(T655,Parameter!$I$27:$K$29,2,0)),IF(P655="","LOSE",P655)))</f>
        <v>S51</v>
      </c>
      <c r="BS655" s="57" t="n">
        <f aca="false">IF(BR655="LOSE",1,IF(N(V655)&gt;0,V655,IF(BU655=1,MAX(1,N(VLOOKUP(T655,Parameter!$I$27:$K$29,3,0)),H655,N(N655)),IF(N(Q655)&gt;0,Q655,MAX(1,H655)))))</f>
        <v>20</v>
      </c>
      <c r="BT655" s="60" t="n">
        <f aca="false">IF(BR655="LOSE",1,0)</f>
        <v>0</v>
      </c>
      <c r="BU655" s="60" t="n">
        <f aca="false">IF(AND(U655="",OR(P655="",P655="LOSE"),T655&lt;&gt;"",N(S655)&lt;=0,ISNUMBER(MATCH(T655,Parameter!$I$27:$I$29,0))),1,0)</f>
        <v>1</v>
      </c>
      <c r="BV655" s="55" t="str">
        <f aca="false">IF(AND(Parameter!$B$19="Ja",E655&lt;&gt;"",ISNUMBER(MATCH(E655,Parameter!$I$35:$I$52,0))),VLOOKUP(E655,Parameter!$I$35:$J$52,2,0),IFERROR(VLOOKUP(D655,Parameter!$A$35:$C$64,2,0),"Nein"))</f>
        <v>2+3</v>
      </c>
      <c r="BW655" s="59" t="n">
        <f aca="false">IF(BT655=0,0,IF(N(S655)&gt;0,S655,IFERROR(VLOOKUP(D655,Parameter!$A$35:$C$64,3,0)+0,0)))</f>
        <v>0</v>
      </c>
      <c r="BX655" s="55" t="n">
        <f aca="false">IF(AA655&lt;&gt;"",AA655,Z655)</f>
        <v>3</v>
      </c>
      <c r="BY655" s="55" t="str">
        <f aca="false">IF(BX655=1,"L1",IF(OR(BX655=2,BX655=3),"L23",IF(BX655="Aussen","Aussen","-")))</f>
        <v>L23</v>
      </c>
      <c r="BZ655" s="66" t="n">
        <f aca="false">IF(N(AB655)&gt;0,AB655,0)</f>
        <v>0</v>
      </c>
      <c r="CA655" s="60" t="n">
        <f aca="false">IF(ISNUMBER(AE655),1,0)</f>
        <v>0</v>
      </c>
      <c r="CB655" s="57" t="n">
        <f aca="false">N(AE655)</f>
        <v>0</v>
      </c>
      <c r="CC655" s="57" t="n">
        <f aca="false">N(M655)+N(N655)</f>
        <v>1</v>
      </c>
      <c r="CD655" s="57" t="n">
        <f aca="false">ROUNDUP(H655/BS655,0)</f>
        <v>0</v>
      </c>
      <c r="CE655" s="57" t="n">
        <f aca="false">ROUNDUP(CB655/BS655,0)</f>
        <v>0</v>
      </c>
      <c r="CF655" s="60" t="n">
        <f aca="false">IF(BT655=1,0,IFERROR(VLOOKUP(BR655,'Gebinde-Kategorie'!$A$5:$M$45,5,0)+0,0))</f>
        <v>11</v>
      </c>
      <c r="CG655" s="60" t="n">
        <f aca="false">IFERROR(IF(OR(BX655=1,BX655=2,BX655=3),N(INDEX(Parameter!$I$5:$I$7,BX655)),0),0)</f>
        <v>0</v>
      </c>
      <c r="CH655" s="59" t="n">
        <f aca="false">IF(AND(Parameter!$B$21="Ja",ISNUMBER(W655),N(X655)&gt;0),IFERROR(N(INDEX(Parameter!$L$5:$L$7,W655))*INDEX(Parameter!$E$5:$E$7,W655)*X655/SUMIFS($X$7:$X$1843,$W$7:$W$1843,W655),0),0)</f>
        <v>0</v>
      </c>
    </row>
    <row r="656" customFormat="false" ht="15" hidden="false" customHeight="false" outlineLevel="0" collapsed="false">
      <c r="A656" s="55" t="s">
        <v>1325</v>
      </c>
      <c r="B656" s="55" t="s">
        <v>509</v>
      </c>
      <c r="C656" s="55" t="s">
        <v>164</v>
      </c>
      <c r="D656" s="55" t="s">
        <v>173</v>
      </c>
      <c r="E656" s="55" t="s">
        <v>173</v>
      </c>
      <c r="F656" s="55" t="s">
        <v>218</v>
      </c>
      <c r="G656" s="56" t="n">
        <v>444.6</v>
      </c>
      <c r="H656" s="57" t="n">
        <f aca="false">MAX(0,IF(AND(Parameter!$B$21="Ja",ISNUMBER(Y656)),Y656,IF(Parameter!$B$20="Jahresanfang 2025 + Export",BL656+BK656,BK656)))</f>
        <v>0</v>
      </c>
      <c r="I656" s="57" t="n">
        <f aca="false">H656*G656</f>
        <v>0</v>
      </c>
      <c r="J656" s="57" t="n">
        <f aca="false">BN656*Parameter!$B$18</f>
        <v>2</v>
      </c>
      <c r="K656" s="58" t="n">
        <v>0</v>
      </c>
      <c r="L656" s="59" t="n">
        <v>0</v>
      </c>
      <c r="M656" s="57" t="n">
        <v>0</v>
      </c>
      <c r="N656" s="57" t="n">
        <v>1</v>
      </c>
      <c r="O656" s="60" t="n">
        <v>42</v>
      </c>
      <c r="P656" s="55" t="s">
        <v>168</v>
      </c>
      <c r="Q656" s="57"/>
      <c r="R656" s="60" t="n">
        <f aca="false">IF(BT656=1,0,IFERROR(VLOOKUP(BR656,'Gebinde-Kategorie'!$A$5:$M$45,13,0)+0,0))</f>
        <v>12</v>
      </c>
      <c r="S656" s="61"/>
      <c r="T656" s="62" t="s">
        <v>179</v>
      </c>
      <c r="U656" s="62"/>
      <c r="V656" s="62"/>
      <c r="W656" s="55"/>
      <c r="X656" s="57"/>
      <c r="Y656" s="57"/>
      <c r="Z656" s="55" t="str">
        <f aca="false">IF(A656="","",IF(AND(Parameter!$B$21="Ja",ISNUMBER(W656)),W656,IF(BV656="2+3",IF(ISNUMBER(SEARCH("grosser Artikel",BO656)),2,IFERROR(VLOOKUP(BR656,Parameter!$F$35:$G$64,2,0),2)),IF(OR(BV656="Nein",BV656=""),"-",BV656))))</f>
        <v>-</v>
      </c>
      <c r="AA656" s="62"/>
      <c r="AB656" s="63"/>
      <c r="AC656" s="57" t="n">
        <f aca="false">AR656</f>
        <v>4</v>
      </c>
      <c r="AD656" s="57" t="n">
        <f aca="false">MAX(AR656,H656)</f>
        <v>4</v>
      </c>
      <c r="AE656" s="64"/>
      <c r="AF656" s="57" t="n">
        <f aca="false">IF(LEFT(Cockpit!$C$5,1)="A",H656,IF(CA656=1,CB656,IF(LEFT(Cockpit!$C$5,1)="B",AJ656,MAX(AJ656,H656))))</f>
        <v>0</v>
      </c>
      <c r="AG656" s="57" t="n">
        <f aca="false">IF(BT656=1,0,ROUNDUP(AF656/BS656,0))</f>
        <v>0</v>
      </c>
      <c r="AH656" s="59" t="n">
        <f aca="false">IF(CH656&gt;0,CH656*MAX(1,AF656/X656),IF(BT656=1,IF(AF656&lt;=0,0,BW656*MAX(1,IF(H656&gt;0,AF656/H656,1))),IF(R656&gt;0,AG656/R656,0))/MAX(0.1,N(Parameter!$M$21)))</f>
        <v>0</v>
      </c>
      <c r="AI656" s="57" t="n">
        <f aca="false">AF656*G656</f>
        <v>0</v>
      </c>
      <c r="AJ656" s="57" t="n">
        <f aca="false">ROUNDUP(MAX(J656/IF(BZ656&gt;0,BZ656,MAX(0.1,N(Cockpit!$C$6))),CC656)/BS656,0)*BS656</f>
        <v>4</v>
      </c>
      <c r="AK656" s="58" t="n">
        <f aca="false">IF(AH656&gt;0,J656/AH656,-1)</f>
        <v>-1</v>
      </c>
      <c r="AL656" s="58" t="str">
        <f aca="false">IF(AND(OR(BY656="L1",BY656="L23"),AH656&gt;0),SUMIFS($AH$7:$AH$1843,$BY$7:$BY$1843,BY656,$AK$7:$AK$1843,"&gt;"&amp;AK656)+SUMIFS($AH$7:$AH$1843,$BY$7:$BY$1843,BY656,$AK$7:$AK$1843,AK656,$BQ$7:$BQ$1843,"&lt;="&amp;BQ656),"")</f>
        <v/>
      </c>
      <c r="AM656" s="65" t="n">
        <f aca="false">IF(AL656="",0,MAX(0,MIN(1,(IF(BY656="L1",Parameter!$E$5,Parameter!$E$6+Parameter!$E$7)-(AL656-AH656))/AH656)))</f>
        <v>0</v>
      </c>
      <c r="AN656" s="57" t="n">
        <f aca="false">IF(LEFT(Cockpit!$I$5,1)="A",H656,IF(CA656=1,CB656,IF(LEFT(Cockpit!$I$5,1)="B",AR656,MAX(AR656,H656))))</f>
        <v>4</v>
      </c>
      <c r="AO656" s="57" t="n">
        <f aca="false">IF(BT656=1,0,ROUNDUP(AN656/BS656,0))</f>
        <v>1</v>
      </c>
      <c r="AP656" s="59" t="n">
        <f aca="false">IF(CH656&gt;0,CH656*MAX(1,AN656/X656),IF(BT656=1,IF(AN656&lt;=0,0,BW656*MAX(1,IF(H656&gt;0,AN656/H656,1))),IF(R656&gt;0,AO656/R656,0))/MAX(0.1,N(Parameter!$M$21)))</f>
        <v>0.0833333333333333</v>
      </c>
      <c r="AQ656" s="57" t="n">
        <f aca="false">AN656*G656</f>
        <v>1778.4</v>
      </c>
      <c r="AR656" s="57" t="n">
        <f aca="false">ROUNDUP(MAX(J656/IF(BZ656&gt;0,BZ656,MAX(0.1,N(Cockpit!$I$6))),CC656)/BS656,0)*BS656</f>
        <v>4</v>
      </c>
      <c r="AS656" s="58" t="n">
        <f aca="false">IF(AP656&gt;0,J656/AP656,-1)</f>
        <v>24</v>
      </c>
      <c r="AT656" s="58" t="str">
        <f aca="false">IF(AND(OR(BY656="L1",BY656="L23"),AP656&gt;0),SUMIFS($AP$7:$AP$1843,$BY$7:$BY$1843,BY656,$AS$7:$AS$1843,"&gt;"&amp;AS656)+SUMIFS($AP$7:$AP$1843,$BY$7:$BY$1843,BY656,$AS$7:$AS$1843,AS656,$BQ$7:$BQ$1843,"&lt;="&amp;BQ656),"")</f>
        <v/>
      </c>
      <c r="AU656" s="65" t="n">
        <f aca="false">IF(AT656="",0,MAX(0,MIN(1,(IF(BY656="L1",Parameter!$E$5,Parameter!$E$6+Parameter!$E$7)-(AT656-AP656))/AP656)))</f>
        <v>0</v>
      </c>
      <c r="AV656" s="57" t="n">
        <f aca="false">IF(LEFT(Cockpit!$O$5,1)="A",H656,IF(CA656=1,CB656,IF(LEFT(Cockpit!$O$5,1)="B",AZ656,MAX(AZ656,H656))))</f>
        <v>4</v>
      </c>
      <c r="AW656" s="57" t="n">
        <f aca="false">IF(BT656=1,0,ROUNDUP(AV656/BS656,0))</f>
        <v>1</v>
      </c>
      <c r="AX656" s="59" t="n">
        <f aca="false">IF(CH656&gt;0,CH656*MAX(1,AV656/X656),IF(BT656=1,IF(AV656&lt;=0,0,BW656*MAX(1,IF(H656&gt;0,AV656/H656,1))),IF(R656&gt;0,AW656/R656,0))/MAX(0.1,N(Parameter!$M$21)))</f>
        <v>0.0833333333333333</v>
      </c>
      <c r="AY656" s="57" t="n">
        <f aca="false">AV656*G656</f>
        <v>1778.4</v>
      </c>
      <c r="AZ656" s="57" t="n">
        <f aca="false">ROUNDUP(MAX(J656/IF(BZ656&gt;0,BZ656,MAX(0.1,N(Cockpit!$O$6))),CC656)/BS656,0)*BS656</f>
        <v>4</v>
      </c>
      <c r="BA656" s="58" t="n">
        <f aca="false">IF(AX656&gt;0,J656/AX656,-1)</f>
        <v>24</v>
      </c>
      <c r="BB656" s="58" t="str">
        <f aca="false">IF(AND(OR(BY656="L1",BY656="L23"),AX656&gt;0),SUMIFS($AX$7:$AX$1843,$BY$7:$BY$1843,BY656,$BA$7:$BA$1843,"&gt;"&amp;BA656)+SUMIFS($AX$7:$AX$1843,$BY$7:$BY$1843,BY656,$BA$7:$BA$1843,BA656,$BQ$7:$BQ$1843,"&lt;="&amp;BQ656),"")</f>
        <v/>
      </c>
      <c r="BC656" s="65" t="n">
        <f aca="false">IF(BB656="",0,MAX(0,MIN(1,(IF(BY656="L1",Parameter!$E$5,Parameter!$E$6+Parameter!$E$7)-(BB656-AX656))/AX656)))</f>
        <v>0</v>
      </c>
      <c r="BD656" s="55" t="str">
        <f aca="false">IF(AH656&lt;=0,"",IF(BY656="Aussen","Aussenlager",IF(BY656="-","Nicht im Lift",IF(AM656&gt;=1,"Lift",IF(AM656&lt;=0,"Aussenlager","teilweise")))))</f>
        <v/>
      </c>
      <c r="BE656" s="55" t="str">
        <f aca="false">IF(AP656&lt;=0,"",IF(BY656="Aussen","Aussenlager",IF(BY656="-","Nicht im Lift",IF(AU656&gt;=1,"Lift",IF(AU656&lt;=0,"Aussenlager","teilweise")))))</f>
        <v>Nicht im Lift</v>
      </c>
      <c r="BF656" s="55" t="str">
        <f aca="false">IF(AX656&lt;=0,"",IF(BY656="Aussen","Aussenlager",IF(BY656="-","Nicht im Lift",IF(BC656&gt;=1,"Lift",IF(BC656&lt;=0,"Aussenlager","teilweise")))))</f>
        <v>Nicht im Lift</v>
      </c>
      <c r="BG656" s="55" t="str">
        <f aca="false">IF(A656="","",IF(BP656=1,"Neu; ","")&amp;IF(AND(BP656=0,BK656&lt;0),"negativer Bestand (Export "&amp;BK656&amp;"); ","")&amp;IF(J656&lt;=0,"Kein Verbrauch; ","")&amp;IF(CH656&gt;0,"Lift "&amp;W656&amp;" lt. Liftbericht (Fach "&amp;X656&amp;" Stk); ",IF(BU656=1,"Gebinde geschätzt ("&amp;T656&amp;"); ",IF(BT656=1,"Lose – Tablare geschätzt; ","")))&amp;IF(H656&gt;AR656,"Überbestand "&amp;ROUND(H656-AR656,0)&amp;" Stk / CHF "&amp;ROUND((H656-AR656)*G656,0)&amp;"; ","")&amp;IF(AND(CA656=1,CB656&lt;CC656),"MAX &lt; MB+LG; ","")&amp;IF(AND(CG656&gt;0,CF656*10&gt;CG656),"zu hoch für Tablar; ","")&amp;IF(AND(BP656=0,OR(CA656=1,AA656&lt;&gt;"",U656&lt;&gt;"",V656&lt;&gt;"",AB656&lt;&gt;"")),"manuell übersteuert; ","")&amp;IF(AND(BT656=0,R656=0),"Gebinde unbekannt / Stellmass fehlt; ","")&amp;IF(AND(BT656=0,N(V656)&lt;=0,N(Q656)&lt;=0),"Menge pro Gebinde fehlt (Ist = 1 Gebinde); ","")&amp;BO656)</f>
        <v>Gebinde geschätzt (Mittel); Menge pro Gebinde fehlt (Ist = 1 Gebinde); </v>
      </c>
      <c r="BH656" s="55"/>
      <c r="BI656" s="55"/>
      <c r="BJ656" s="62"/>
      <c r="BK656" s="57" t="n">
        <v>0</v>
      </c>
      <c r="BL656" s="57" t="n">
        <v>0</v>
      </c>
      <c r="BM656" s="56" t="n">
        <v>1.13686837721616E-013</v>
      </c>
      <c r="BN656" s="57" t="n">
        <v>2</v>
      </c>
      <c r="BO656" s="55"/>
      <c r="BP656" s="60" t="n">
        <v>0</v>
      </c>
      <c r="BQ656" s="60" t="n">
        <v>656</v>
      </c>
      <c r="BR656" s="55" t="str">
        <f aca="false">IF(U656&lt;&gt;"",UPPER(TRIM(U656)),IF(BU656=1,UPPER(VLOOKUP(T656,Parameter!$I$27:$K$29,2,0)),IF(P656="","LOSE",P656)))</f>
        <v>S61</v>
      </c>
      <c r="BS656" s="57" t="n">
        <f aca="false">IF(BR656="LOSE",1,IF(N(V656)&gt;0,V656,IF(BU656=1,MAX(1,N(VLOOKUP(T656,Parameter!$I$27:$K$29,3,0)),H656,N(N656)),IF(N(Q656)&gt;0,Q656,MAX(1,H656)))))</f>
        <v>4</v>
      </c>
      <c r="BT656" s="60" t="n">
        <f aca="false">IF(BR656="LOSE",1,0)</f>
        <v>0</v>
      </c>
      <c r="BU656" s="60" t="n">
        <f aca="false">IF(AND(U656="",OR(P656="",P656="LOSE"),T656&lt;&gt;"",N(S656)&lt;=0,ISNUMBER(MATCH(T656,Parameter!$I$27:$I$29,0))),1,0)</f>
        <v>1</v>
      </c>
      <c r="BV656" s="55" t="str">
        <f aca="false">IF(AND(Parameter!$B$19="Ja",E656&lt;&gt;"",ISNUMBER(MATCH(E656,Parameter!$I$35:$I$52,0))),VLOOKUP(E656,Parameter!$I$35:$J$52,2,0),IFERROR(VLOOKUP(D656,Parameter!$A$35:$C$64,2,0),"Nein"))</f>
        <v>Nein</v>
      </c>
      <c r="BW656" s="59" t="n">
        <f aca="false">IF(BT656=0,0,IF(N(S656)&gt;0,S656,IFERROR(VLOOKUP(D656,Parameter!$A$35:$C$64,3,0)+0,0)))</f>
        <v>0</v>
      </c>
      <c r="BX656" s="55" t="str">
        <f aca="false">IF(AA656&lt;&gt;"",AA656,Z656)</f>
        <v>-</v>
      </c>
      <c r="BY656" s="55" t="str">
        <f aca="false">IF(BX656=1,"L1",IF(OR(BX656=2,BX656=3),"L23",IF(BX656="Aussen","Aussen","-")))</f>
        <v>-</v>
      </c>
      <c r="BZ656" s="66" t="n">
        <f aca="false">IF(N(AB656)&gt;0,AB656,0)</f>
        <v>0</v>
      </c>
      <c r="CA656" s="60" t="n">
        <f aca="false">IF(ISNUMBER(AE656),1,0)</f>
        <v>0</v>
      </c>
      <c r="CB656" s="57" t="n">
        <f aca="false">N(AE656)</f>
        <v>0</v>
      </c>
      <c r="CC656" s="57" t="n">
        <f aca="false">N(M656)+N(N656)</f>
        <v>1</v>
      </c>
      <c r="CD656" s="57" t="n">
        <f aca="false">ROUNDUP(H656/BS656,0)</f>
        <v>0</v>
      </c>
      <c r="CE656" s="57" t="n">
        <f aca="false">ROUNDUP(CB656/BS656,0)</f>
        <v>0</v>
      </c>
      <c r="CF656" s="60" t="n">
        <f aca="false">IF(BT656=1,0,IFERROR(VLOOKUP(BR656,'Gebinde-Kategorie'!$A$5:$M$45,5,0)+0,0))</f>
        <v>11</v>
      </c>
      <c r="CG656" s="60" t="n">
        <f aca="false">IFERROR(IF(OR(BX656=1,BX656=2,BX656=3),N(INDEX(Parameter!$I$5:$I$7,BX656)),0),0)</f>
        <v>0</v>
      </c>
      <c r="CH656" s="59" t="n">
        <f aca="false">IF(AND(Parameter!$B$21="Ja",ISNUMBER(W656),N(X656)&gt;0),IFERROR(N(INDEX(Parameter!$L$5:$L$7,W656))*INDEX(Parameter!$E$5:$E$7,W656)*X656/SUMIFS($X$7:$X$1843,$W$7:$W$1843,W656),0),0)</f>
        <v>0</v>
      </c>
    </row>
    <row r="657" customFormat="false" ht="15" hidden="false" customHeight="false" outlineLevel="0" collapsed="false">
      <c r="A657" s="55" t="s">
        <v>1326</v>
      </c>
      <c r="B657" s="55" t="s">
        <v>698</v>
      </c>
      <c r="C657" s="55" t="s">
        <v>164</v>
      </c>
      <c r="D657" s="55" t="s">
        <v>173</v>
      </c>
      <c r="E657" s="55" t="s">
        <v>173</v>
      </c>
      <c r="F657" s="55" t="s">
        <v>218</v>
      </c>
      <c r="G657" s="56" t="n">
        <v>444.6</v>
      </c>
      <c r="H657" s="57" t="n">
        <f aca="false">MAX(0,IF(AND(Parameter!$B$21="Ja",ISNUMBER(Y657)),Y657,IF(Parameter!$B$20="Jahresanfang 2025 + Export",BL657+BK657,BK657)))</f>
        <v>0</v>
      </c>
      <c r="I657" s="57" t="n">
        <f aca="false">H657*G657</f>
        <v>0</v>
      </c>
      <c r="J657" s="57" t="n">
        <f aca="false">BN657*Parameter!$B$18</f>
        <v>2</v>
      </c>
      <c r="K657" s="58" t="n">
        <v>0</v>
      </c>
      <c r="L657" s="59" t="n">
        <v>0</v>
      </c>
      <c r="M657" s="57" t="n">
        <v>0</v>
      </c>
      <c r="N657" s="57" t="n">
        <v>1</v>
      </c>
      <c r="O657" s="60" t="n">
        <v>42</v>
      </c>
      <c r="P657" s="55" t="s">
        <v>168</v>
      </c>
      <c r="Q657" s="57"/>
      <c r="R657" s="60" t="n">
        <f aca="false">IF(BT657=1,0,IFERROR(VLOOKUP(BR657,'Gebinde-Kategorie'!$A$5:$M$45,13,0)+0,0))</f>
        <v>12</v>
      </c>
      <c r="S657" s="61"/>
      <c r="T657" s="62" t="s">
        <v>179</v>
      </c>
      <c r="U657" s="62"/>
      <c r="V657" s="62"/>
      <c r="W657" s="55"/>
      <c r="X657" s="57"/>
      <c r="Y657" s="57"/>
      <c r="Z657" s="55" t="str">
        <f aca="false">IF(A657="","",IF(AND(Parameter!$B$21="Ja",ISNUMBER(W657)),W657,IF(BV657="2+3",IF(ISNUMBER(SEARCH("grosser Artikel",BO657)),2,IFERROR(VLOOKUP(BR657,Parameter!$F$35:$G$64,2,0),2)),IF(OR(BV657="Nein",BV657=""),"-",BV657))))</f>
        <v>-</v>
      </c>
      <c r="AA657" s="62"/>
      <c r="AB657" s="63"/>
      <c r="AC657" s="57" t="n">
        <f aca="false">AR657</f>
        <v>4</v>
      </c>
      <c r="AD657" s="57" t="n">
        <f aca="false">MAX(AR657,H657)</f>
        <v>4</v>
      </c>
      <c r="AE657" s="64"/>
      <c r="AF657" s="57" t="n">
        <f aca="false">IF(LEFT(Cockpit!$C$5,1)="A",H657,IF(CA657=1,CB657,IF(LEFT(Cockpit!$C$5,1)="B",AJ657,MAX(AJ657,H657))))</f>
        <v>0</v>
      </c>
      <c r="AG657" s="57" t="n">
        <f aca="false">IF(BT657=1,0,ROUNDUP(AF657/BS657,0))</f>
        <v>0</v>
      </c>
      <c r="AH657" s="59" t="n">
        <f aca="false">IF(CH657&gt;0,CH657*MAX(1,AF657/X657),IF(BT657=1,IF(AF657&lt;=0,0,BW657*MAX(1,IF(H657&gt;0,AF657/H657,1))),IF(R657&gt;0,AG657/R657,0))/MAX(0.1,N(Parameter!$M$21)))</f>
        <v>0</v>
      </c>
      <c r="AI657" s="57" t="n">
        <f aca="false">AF657*G657</f>
        <v>0</v>
      </c>
      <c r="AJ657" s="57" t="n">
        <f aca="false">ROUNDUP(MAX(J657/IF(BZ657&gt;0,BZ657,MAX(0.1,N(Cockpit!$C$6))),CC657)/BS657,0)*BS657</f>
        <v>4</v>
      </c>
      <c r="AK657" s="58" t="n">
        <f aca="false">IF(AH657&gt;0,J657/AH657,-1)</f>
        <v>-1</v>
      </c>
      <c r="AL657" s="58" t="str">
        <f aca="false">IF(AND(OR(BY657="L1",BY657="L23"),AH657&gt;0),SUMIFS($AH$7:$AH$1843,$BY$7:$BY$1843,BY657,$AK$7:$AK$1843,"&gt;"&amp;AK657)+SUMIFS($AH$7:$AH$1843,$BY$7:$BY$1843,BY657,$AK$7:$AK$1843,AK657,$BQ$7:$BQ$1843,"&lt;="&amp;BQ657),"")</f>
        <v/>
      </c>
      <c r="AM657" s="65" t="n">
        <f aca="false">IF(AL657="",0,MAX(0,MIN(1,(IF(BY657="L1",Parameter!$E$5,Parameter!$E$6+Parameter!$E$7)-(AL657-AH657))/AH657)))</f>
        <v>0</v>
      </c>
      <c r="AN657" s="57" t="n">
        <f aca="false">IF(LEFT(Cockpit!$I$5,1)="A",H657,IF(CA657=1,CB657,IF(LEFT(Cockpit!$I$5,1)="B",AR657,MAX(AR657,H657))))</f>
        <v>4</v>
      </c>
      <c r="AO657" s="57" t="n">
        <f aca="false">IF(BT657=1,0,ROUNDUP(AN657/BS657,0))</f>
        <v>1</v>
      </c>
      <c r="AP657" s="59" t="n">
        <f aca="false">IF(CH657&gt;0,CH657*MAX(1,AN657/X657),IF(BT657=1,IF(AN657&lt;=0,0,BW657*MAX(1,IF(H657&gt;0,AN657/H657,1))),IF(R657&gt;0,AO657/R657,0))/MAX(0.1,N(Parameter!$M$21)))</f>
        <v>0.0833333333333333</v>
      </c>
      <c r="AQ657" s="57" t="n">
        <f aca="false">AN657*G657</f>
        <v>1778.4</v>
      </c>
      <c r="AR657" s="57" t="n">
        <f aca="false">ROUNDUP(MAX(J657/IF(BZ657&gt;0,BZ657,MAX(0.1,N(Cockpit!$I$6))),CC657)/BS657,0)*BS657</f>
        <v>4</v>
      </c>
      <c r="AS657" s="58" t="n">
        <f aca="false">IF(AP657&gt;0,J657/AP657,-1)</f>
        <v>24</v>
      </c>
      <c r="AT657" s="58" t="str">
        <f aca="false">IF(AND(OR(BY657="L1",BY657="L23"),AP657&gt;0),SUMIFS($AP$7:$AP$1843,$BY$7:$BY$1843,BY657,$AS$7:$AS$1843,"&gt;"&amp;AS657)+SUMIFS($AP$7:$AP$1843,$BY$7:$BY$1843,BY657,$AS$7:$AS$1843,AS657,$BQ$7:$BQ$1843,"&lt;="&amp;BQ657),"")</f>
        <v/>
      </c>
      <c r="AU657" s="65" t="n">
        <f aca="false">IF(AT657="",0,MAX(0,MIN(1,(IF(BY657="L1",Parameter!$E$5,Parameter!$E$6+Parameter!$E$7)-(AT657-AP657))/AP657)))</f>
        <v>0</v>
      </c>
      <c r="AV657" s="57" t="n">
        <f aca="false">IF(LEFT(Cockpit!$O$5,1)="A",H657,IF(CA657=1,CB657,IF(LEFT(Cockpit!$O$5,1)="B",AZ657,MAX(AZ657,H657))))</f>
        <v>4</v>
      </c>
      <c r="AW657" s="57" t="n">
        <f aca="false">IF(BT657=1,0,ROUNDUP(AV657/BS657,0))</f>
        <v>1</v>
      </c>
      <c r="AX657" s="59" t="n">
        <f aca="false">IF(CH657&gt;0,CH657*MAX(1,AV657/X657),IF(BT657=1,IF(AV657&lt;=0,0,BW657*MAX(1,IF(H657&gt;0,AV657/H657,1))),IF(R657&gt;0,AW657/R657,0))/MAX(0.1,N(Parameter!$M$21)))</f>
        <v>0.0833333333333333</v>
      </c>
      <c r="AY657" s="57" t="n">
        <f aca="false">AV657*G657</f>
        <v>1778.4</v>
      </c>
      <c r="AZ657" s="57" t="n">
        <f aca="false">ROUNDUP(MAX(J657/IF(BZ657&gt;0,BZ657,MAX(0.1,N(Cockpit!$O$6))),CC657)/BS657,0)*BS657</f>
        <v>4</v>
      </c>
      <c r="BA657" s="58" t="n">
        <f aca="false">IF(AX657&gt;0,J657/AX657,-1)</f>
        <v>24</v>
      </c>
      <c r="BB657" s="58" t="str">
        <f aca="false">IF(AND(OR(BY657="L1",BY657="L23"),AX657&gt;0),SUMIFS($AX$7:$AX$1843,$BY$7:$BY$1843,BY657,$BA$7:$BA$1843,"&gt;"&amp;BA657)+SUMIFS($AX$7:$AX$1843,$BY$7:$BY$1843,BY657,$BA$7:$BA$1843,BA657,$BQ$7:$BQ$1843,"&lt;="&amp;BQ657),"")</f>
        <v/>
      </c>
      <c r="BC657" s="65" t="n">
        <f aca="false">IF(BB657="",0,MAX(0,MIN(1,(IF(BY657="L1",Parameter!$E$5,Parameter!$E$6+Parameter!$E$7)-(BB657-AX657))/AX657)))</f>
        <v>0</v>
      </c>
      <c r="BD657" s="55" t="str">
        <f aca="false">IF(AH657&lt;=0,"",IF(BY657="Aussen","Aussenlager",IF(BY657="-","Nicht im Lift",IF(AM657&gt;=1,"Lift",IF(AM657&lt;=0,"Aussenlager","teilweise")))))</f>
        <v/>
      </c>
      <c r="BE657" s="55" t="str">
        <f aca="false">IF(AP657&lt;=0,"",IF(BY657="Aussen","Aussenlager",IF(BY657="-","Nicht im Lift",IF(AU657&gt;=1,"Lift",IF(AU657&lt;=0,"Aussenlager","teilweise")))))</f>
        <v>Nicht im Lift</v>
      </c>
      <c r="BF657" s="55" t="str">
        <f aca="false">IF(AX657&lt;=0,"",IF(BY657="Aussen","Aussenlager",IF(BY657="-","Nicht im Lift",IF(BC657&gt;=1,"Lift",IF(BC657&lt;=0,"Aussenlager","teilweise")))))</f>
        <v>Nicht im Lift</v>
      </c>
      <c r="BG657" s="55" t="str">
        <f aca="false">IF(A657="","",IF(BP657=1,"Neu; ","")&amp;IF(AND(BP657=0,BK657&lt;0),"negativer Bestand (Export "&amp;BK657&amp;"); ","")&amp;IF(J657&lt;=0,"Kein Verbrauch; ","")&amp;IF(CH657&gt;0,"Lift "&amp;W657&amp;" lt. Liftbericht (Fach "&amp;X657&amp;" Stk); ",IF(BU657=1,"Gebinde geschätzt ("&amp;T657&amp;"); ",IF(BT657=1,"Lose – Tablare geschätzt; ","")))&amp;IF(H657&gt;AR657,"Überbestand "&amp;ROUND(H657-AR657,0)&amp;" Stk / CHF "&amp;ROUND((H657-AR657)*G657,0)&amp;"; ","")&amp;IF(AND(CA657=1,CB657&lt;CC657),"MAX &lt; MB+LG; ","")&amp;IF(AND(CG657&gt;0,CF657*10&gt;CG657),"zu hoch für Tablar; ","")&amp;IF(AND(BP657=0,OR(CA657=1,AA657&lt;&gt;"",U657&lt;&gt;"",V657&lt;&gt;"",AB657&lt;&gt;"")),"manuell übersteuert; ","")&amp;IF(AND(BT657=0,R657=0),"Gebinde unbekannt / Stellmass fehlt; ","")&amp;IF(AND(BT657=0,N(V657)&lt;=0,N(Q657)&lt;=0),"Menge pro Gebinde fehlt (Ist = 1 Gebinde); ","")&amp;BO657)</f>
        <v>Gebinde geschätzt (Mittel); Menge pro Gebinde fehlt (Ist = 1 Gebinde); </v>
      </c>
      <c r="BH657" s="55"/>
      <c r="BI657" s="55"/>
      <c r="BJ657" s="62"/>
      <c r="BK657" s="57" t="n">
        <v>0</v>
      </c>
      <c r="BL657" s="57" t="n">
        <v>0</v>
      </c>
      <c r="BM657" s="56" t="n">
        <v>1.13686837721616E-013</v>
      </c>
      <c r="BN657" s="57" t="n">
        <v>2</v>
      </c>
      <c r="BO657" s="55"/>
      <c r="BP657" s="60" t="n">
        <v>0</v>
      </c>
      <c r="BQ657" s="60" t="n">
        <v>657</v>
      </c>
      <c r="BR657" s="55" t="str">
        <f aca="false">IF(U657&lt;&gt;"",UPPER(TRIM(U657)),IF(BU657=1,UPPER(VLOOKUP(T657,Parameter!$I$27:$K$29,2,0)),IF(P657="","LOSE",P657)))</f>
        <v>S61</v>
      </c>
      <c r="BS657" s="57" t="n">
        <f aca="false">IF(BR657="LOSE",1,IF(N(V657)&gt;0,V657,IF(BU657=1,MAX(1,N(VLOOKUP(T657,Parameter!$I$27:$K$29,3,0)),H657,N(N657)),IF(N(Q657)&gt;0,Q657,MAX(1,H657)))))</f>
        <v>4</v>
      </c>
      <c r="BT657" s="60" t="n">
        <f aca="false">IF(BR657="LOSE",1,0)</f>
        <v>0</v>
      </c>
      <c r="BU657" s="60" t="n">
        <f aca="false">IF(AND(U657="",OR(P657="",P657="LOSE"),T657&lt;&gt;"",N(S657)&lt;=0,ISNUMBER(MATCH(T657,Parameter!$I$27:$I$29,0))),1,0)</f>
        <v>1</v>
      </c>
      <c r="BV657" s="55" t="str">
        <f aca="false">IF(AND(Parameter!$B$19="Ja",E657&lt;&gt;"",ISNUMBER(MATCH(E657,Parameter!$I$35:$I$52,0))),VLOOKUP(E657,Parameter!$I$35:$J$52,2,0),IFERROR(VLOOKUP(D657,Parameter!$A$35:$C$64,2,0),"Nein"))</f>
        <v>Nein</v>
      </c>
      <c r="BW657" s="59" t="n">
        <f aca="false">IF(BT657=0,0,IF(N(S657)&gt;0,S657,IFERROR(VLOOKUP(D657,Parameter!$A$35:$C$64,3,0)+0,0)))</f>
        <v>0</v>
      </c>
      <c r="BX657" s="55" t="str">
        <f aca="false">IF(AA657&lt;&gt;"",AA657,Z657)</f>
        <v>-</v>
      </c>
      <c r="BY657" s="55" t="str">
        <f aca="false">IF(BX657=1,"L1",IF(OR(BX657=2,BX657=3),"L23",IF(BX657="Aussen","Aussen","-")))</f>
        <v>-</v>
      </c>
      <c r="BZ657" s="66" t="n">
        <f aca="false">IF(N(AB657)&gt;0,AB657,0)</f>
        <v>0</v>
      </c>
      <c r="CA657" s="60" t="n">
        <f aca="false">IF(ISNUMBER(AE657),1,0)</f>
        <v>0</v>
      </c>
      <c r="CB657" s="57" t="n">
        <f aca="false">N(AE657)</f>
        <v>0</v>
      </c>
      <c r="CC657" s="57" t="n">
        <f aca="false">N(M657)+N(N657)</f>
        <v>1</v>
      </c>
      <c r="CD657" s="57" t="n">
        <f aca="false">ROUNDUP(H657/BS657,0)</f>
        <v>0</v>
      </c>
      <c r="CE657" s="57" t="n">
        <f aca="false">ROUNDUP(CB657/BS657,0)</f>
        <v>0</v>
      </c>
      <c r="CF657" s="60" t="n">
        <f aca="false">IF(BT657=1,0,IFERROR(VLOOKUP(BR657,'Gebinde-Kategorie'!$A$5:$M$45,5,0)+0,0))</f>
        <v>11</v>
      </c>
      <c r="CG657" s="60" t="n">
        <f aca="false">IFERROR(IF(OR(BX657=1,BX657=2,BX657=3),N(INDEX(Parameter!$I$5:$I$7,BX657)),0),0)</f>
        <v>0</v>
      </c>
      <c r="CH657" s="59" t="n">
        <f aca="false">IF(AND(Parameter!$B$21="Ja",ISNUMBER(W657),N(X657)&gt;0),IFERROR(N(INDEX(Parameter!$L$5:$L$7,W657))*INDEX(Parameter!$E$5:$E$7,W657)*X657/SUMIFS($X$7:$X$1843,$W$7:$W$1843,W657),0),0)</f>
        <v>0</v>
      </c>
    </row>
    <row r="658" customFormat="false" ht="15" hidden="false" customHeight="false" outlineLevel="0" collapsed="false">
      <c r="A658" s="55" t="s">
        <v>1327</v>
      </c>
      <c r="B658" s="55" t="s">
        <v>1328</v>
      </c>
      <c r="C658" s="55" t="s">
        <v>164</v>
      </c>
      <c r="D658" s="55" t="s">
        <v>995</v>
      </c>
      <c r="E658" s="55"/>
      <c r="F658" s="55" t="s">
        <v>218</v>
      </c>
      <c r="G658" s="56" t="n">
        <v>20.47</v>
      </c>
      <c r="H658" s="57" t="n">
        <f aca="false">MAX(0,IF(AND(Parameter!$B$21="Ja",ISNUMBER(Y658)),Y658,IF(Parameter!$B$20="Jahresanfang 2025 + Export",BL658+BK658,BK658)))</f>
        <v>0</v>
      </c>
      <c r="I658" s="57" t="n">
        <f aca="false">H658*G658</f>
        <v>0</v>
      </c>
      <c r="J658" s="57" t="n">
        <f aca="false">BN658*Parameter!$B$18</f>
        <v>60</v>
      </c>
      <c r="K658" s="58" t="n">
        <v>0</v>
      </c>
      <c r="L658" s="59" t="n">
        <v>0</v>
      </c>
      <c r="M658" s="57" t="n">
        <v>0</v>
      </c>
      <c r="N658" s="57" t="n">
        <v>10</v>
      </c>
      <c r="O658" s="60" t="n">
        <v>28</v>
      </c>
      <c r="P658" s="55" t="s">
        <v>168</v>
      </c>
      <c r="Q658" s="57"/>
      <c r="R658" s="60" t="n">
        <f aca="false">IF(BT658=1,0,IFERROR(VLOOKUP(BR658,'Gebinde-Kategorie'!$A$5:$M$45,13,0)+0,0))</f>
        <v>0</v>
      </c>
      <c r="S658" s="61"/>
      <c r="T658" s="62"/>
      <c r="U658" s="62"/>
      <c r="V658" s="62"/>
      <c r="W658" s="55"/>
      <c r="X658" s="57"/>
      <c r="Y658" s="57"/>
      <c r="Z658" s="55" t="str">
        <f aca="false">IF(A658="","",IF(AND(Parameter!$B$21="Ja",ISNUMBER(W658)),W658,IF(BV658="2+3",IF(ISNUMBER(SEARCH("grosser Artikel",BO658)),2,IFERROR(VLOOKUP(BR658,Parameter!$F$35:$G$64,2,0),2)),IF(OR(BV658="Nein",BV658=""),"-",BV658))))</f>
        <v>-</v>
      </c>
      <c r="AA658" s="62"/>
      <c r="AB658" s="63"/>
      <c r="AC658" s="57" t="n">
        <f aca="false">AR658</f>
        <v>30</v>
      </c>
      <c r="AD658" s="57" t="n">
        <f aca="false">MAX(AR658,H658)</f>
        <v>30</v>
      </c>
      <c r="AE658" s="64"/>
      <c r="AF658" s="57" t="n">
        <f aca="false">IF(LEFT(Cockpit!$C$5,1)="A",H658,IF(CA658=1,CB658,IF(LEFT(Cockpit!$C$5,1)="B",AJ658,MAX(AJ658,H658))))</f>
        <v>0</v>
      </c>
      <c r="AG658" s="57" t="n">
        <f aca="false">IF(BT658=1,0,ROUNDUP(AF658/BS658,0))</f>
        <v>0</v>
      </c>
      <c r="AH658" s="59" t="n">
        <f aca="false">IF(CH658&gt;0,CH658*MAX(1,AF658/X658),IF(BT658=1,IF(AF658&lt;=0,0,BW658*MAX(1,IF(H658&gt;0,AF658/H658,1))),IF(R658&gt;0,AG658/R658,0))/MAX(0.1,N(Parameter!$M$21)))</f>
        <v>0</v>
      </c>
      <c r="AI658" s="57" t="n">
        <f aca="false">AF658*G658</f>
        <v>0</v>
      </c>
      <c r="AJ658" s="57" t="n">
        <f aca="false">ROUNDUP(MAX(J658/IF(BZ658&gt;0,BZ658,MAX(0.1,N(Cockpit!$C$6))),CC658)/BS658,0)*BS658</f>
        <v>30</v>
      </c>
      <c r="AK658" s="58" t="n">
        <f aca="false">IF(AH658&gt;0,J658/AH658,-1)</f>
        <v>-1</v>
      </c>
      <c r="AL658" s="58" t="str">
        <f aca="false">IF(AND(OR(BY658="L1",BY658="L23"),AH658&gt;0),SUMIFS($AH$7:$AH$1843,$BY$7:$BY$1843,BY658,$AK$7:$AK$1843,"&gt;"&amp;AK658)+SUMIFS($AH$7:$AH$1843,$BY$7:$BY$1843,BY658,$AK$7:$AK$1843,AK658,$BQ$7:$BQ$1843,"&lt;="&amp;BQ658),"")</f>
        <v/>
      </c>
      <c r="AM658" s="65" t="n">
        <f aca="false">IF(AL658="",0,MAX(0,MIN(1,(IF(BY658="L1",Parameter!$E$5,Parameter!$E$6+Parameter!$E$7)-(AL658-AH658))/AH658)))</f>
        <v>0</v>
      </c>
      <c r="AN658" s="57" t="n">
        <f aca="false">IF(LEFT(Cockpit!$I$5,1)="A",H658,IF(CA658=1,CB658,IF(LEFT(Cockpit!$I$5,1)="B",AR658,MAX(AR658,H658))))</f>
        <v>30</v>
      </c>
      <c r="AO658" s="57" t="n">
        <f aca="false">IF(BT658=1,0,ROUNDUP(AN658/BS658,0))</f>
        <v>0</v>
      </c>
      <c r="AP658" s="59" t="n">
        <f aca="false">IF(CH658&gt;0,CH658*MAX(1,AN658/X658),IF(BT658=1,IF(AN658&lt;=0,0,BW658*MAX(1,IF(H658&gt;0,AN658/H658,1))),IF(R658&gt;0,AO658/R658,0))/MAX(0.1,N(Parameter!$M$21)))</f>
        <v>0.15</v>
      </c>
      <c r="AQ658" s="57" t="n">
        <f aca="false">AN658*G658</f>
        <v>614.1</v>
      </c>
      <c r="AR658" s="57" t="n">
        <f aca="false">ROUNDUP(MAX(J658/IF(BZ658&gt;0,BZ658,MAX(0.1,N(Cockpit!$I$6))),CC658)/BS658,0)*BS658</f>
        <v>30</v>
      </c>
      <c r="AS658" s="58" t="n">
        <f aca="false">IF(AP658&gt;0,J658/AP658,-1)</f>
        <v>400</v>
      </c>
      <c r="AT658" s="58" t="str">
        <f aca="false">IF(AND(OR(BY658="L1",BY658="L23"),AP658&gt;0),SUMIFS($AP$7:$AP$1843,$BY$7:$BY$1843,BY658,$AS$7:$AS$1843,"&gt;"&amp;AS658)+SUMIFS($AP$7:$AP$1843,$BY$7:$BY$1843,BY658,$AS$7:$AS$1843,AS658,$BQ$7:$BQ$1843,"&lt;="&amp;BQ658),"")</f>
        <v/>
      </c>
      <c r="AU658" s="65" t="n">
        <f aca="false">IF(AT658="",0,MAX(0,MIN(1,(IF(BY658="L1",Parameter!$E$5,Parameter!$E$6+Parameter!$E$7)-(AT658-AP658))/AP658)))</f>
        <v>0</v>
      </c>
      <c r="AV658" s="57" t="n">
        <f aca="false">IF(LEFT(Cockpit!$O$5,1)="A",H658,IF(CA658=1,CB658,IF(LEFT(Cockpit!$O$5,1)="B",AZ658,MAX(AZ658,H658))))</f>
        <v>20</v>
      </c>
      <c r="AW658" s="57" t="n">
        <f aca="false">IF(BT658=1,0,ROUNDUP(AV658/BS658,0))</f>
        <v>0</v>
      </c>
      <c r="AX658" s="59" t="n">
        <f aca="false">IF(CH658&gt;0,CH658*MAX(1,AV658/X658),IF(BT658=1,IF(AV658&lt;=0,0,BW658*MAX(1,IF(H658&gt;0,AV658/H658,1))),IF(R658&gt;0,AW658/R658,0))/MAX(0.1,N(Parameter!$M$21)))</f>
        <v>0.15</v>
      </c>
      <c r="AY658" s="57" t="n">
        <f aca="false">AV658*G658</f>
        <v>409.4</v>
      </c>
      <c r="AZ658" s="57" t="n">
        <f aca="false">ROUNDUP(MAX(J658/IF(BZ658&gt;0,BZ658,MAX(0.1,N(Cockpit!$O$6))),CC658)/BS658,0)*BS658</f>
        <v>20</v>
      </c>
      <c r="BA658" s="58" t="n">
        <f aca="false">IF(AX658&gt;0,J658/AX658,-1)</f>
        <v>400</v>
      </c>
      <c r="BB658" s="58" t="str">
        <f aca="false">IF(AND(OR(BY658="L1",BY658="L23"),AX658&gt;0),SUMIFS($AX$7:$AX$1843,$BY$7:$BY$1843,BY658,$BA$7:$BA$1843,"&gt;"&amp;BA658)+SUMIFS($AX$7:$AX$1843,$BY$7:$BY$1843,BY658,$BA$7:$BA$1843,BA658,$BQ$7:$BQ$1843,"&lt;="&amp;BQ658),"")</f>
        <v/>
      </c>
      <c r="BC658" s="65" t="n">
        <f aca="false">IF(BB658="",0,MAX(0,MIN(1,(IF(BY658="L1",Parameter!$E$5,Parameter!$E$6+Parameter!$E$7)-(BB658-AX658))/AX658)))</f>
        <v>0</v>
      </c>
      <c r="BD658" s="55" t="str">
        <f aca="false">IF(AH658&lt;=0,"",IF(BY658="Aussen","Aussenlager",IF(BY658="-","Nicht im Lift",IF(AM658&gt;=1,"Lift",IF(AM658&lt;=0,"Aussenlager","teilweise")))))</f>
        <v/>
      </c>
      <c r="BE658" s="55" t="str">
        <f aca="false">IF(AP658&lt;=0,"",IF(BY658="Aussen","Aussenlager",IF(BY658="-","Nicht im Lift",IF(AU658&gt;=1,"Lift",IF(AU658&lt;=0,"Aussenlager","teilweise")))))</f>
        <v>Nicht im Lift</v>
      </c>
      <c r="BF658" s="55" t="str">
        <f aca="false">IF(AX658&lt;=0,"",IF(BY658="Aussen","Aussenlager",IF(BY658="-","Nicht im Lift",IF(BC658&gt;=1,"Lift",IF(BC658&lt;=0,"Aussenlager","teilweise")))))</f>
        <v>Nicht im Lift</v>
      </c>
      <c r="BG658" s="55" t="str">
        <f aca="false">IF(A658="","",IF(BP658=1,"Neu; ","")&amp;IF(AND(BP658=0,BK658&lt;0),"negativer Bestand (Export "&amp;BK658&amp;"); ","")&amp;IF(J658&lt;=0,"Kein Verbrauch; ","")&amp;IF(CH658&gt;0,"Lift "&amp;W658&amp;" lt. Liftbericht (Fach "&amp;X658&amp;" Stk); ",IF(BU658=1,"Gebinde geschätzt ("&amp;T658&amp;"); ",IF(BT658=1,"Lose – Tablare geschätzt; ","")))&amp;IF(H658&gt;AR658,"Überbestand "&amp;ROUND(H658-AR658,0)&amp;" Stk / CHF "&amp;ROUND((H658-AR658)*G658,0)&amp;"; ","")&amp;IF(AND(CA658=1,CB658&lt;CC658),"MAX &lt; MB+LG; ","")&amp;IF(AND(CG658&gt;0,CF658*10&gt;CG658),"zu hoch für Tablar; ","")&amp;IF(AND(BP658=0,OR(CA658=1,AA658&lt;&gt;"",U658&lt;&gt;"",V658&lt;&gt;"",AB658&lt;&gt;"")),"manuell übersteuert; ","")&amp;IF(AND(BT658=0,R658=0),"Gebinde unbekannt / Stellmass fehlt; ","")&amp;IF(AND(BT658=0,N(V658)&lt;=0,N(Q658)&lt;=0),"Menge pro Gebinde fehlt (Ist = 1 Gebinde); ","")&amp;BO658)</f>
        <v>Lose – Tablare geschätzt; </v>
      </c>
      <c r="BH658" s="55"/>
      <c r="BI658" s="55"/>
      <c r="BJ658" s="62"/>
      <c r="BK658" s="57" t="n">
        <v>0</v>
      </c>
      <c r="BL658" s="57" t="n">
        <v>0</v>
      </c>
      <c r="BM658" s="56" t="n">
        <v>5.6843418860808E-014</v>
      </c>
      <c r="BN658" s="57" t="n">
        <v>60</v>
      </c>
      <c r="BO658" s="55"/>
      <c r="BP658" s="60" t="n">
        <v>0</v>
      </c>
      <c r="BQ658" s="60" t="n">
        <v>658</v>
      </c>
      <c r="BR658" s="55" t="str">
        <f aca="false">IF(U658&lt;&gt;"",UPPER(TRIM(U658)),IF(BU658=1,UPPER(VLOOKUP(T658,Parameter!$I$27:$K$29,2,0)),IF(P658="","LOSE",P658)))</f>
        <v>LOSE</v>
      </c>
      <c r="BS658" s="57" t="n">
        <f aca="false">IF(BR658="LOSE",1,IF(N(V658)&gt;0,V658,IF(BU658=1,MAX(1,N(VLOOKUP(T658,Parameter!$I$27:$K$29,3,0)),H658,N(N658)),IF(N(Q658)&gt;0,Q658,MAX(1,H658)))))</f>
        <v>1</v>
      </c>
      <c r="BT658" s="60" t="n">
        <f aca="false">IF(BR658="LOSE",1,0)</f>
        <v>1</v>
      </c>
      <c r="BU658" s="60" t="n">
        <f aca="false">IF(AND(U658="",OR(P658="",P658="LOSE"),T658&lt;&gt;"",N(S658)&lt;=0,ISNUMBER(MATCH(T658,Parameter!$I$27:$I$29,0))),1,0)</f>
        <v>0</v>
      </c>
      <c r="BV658" s="55" t="str">
        <f aca="false">IF(AND(Parameter!$B$19="Ja",E658&lt;&gt;"",ISNUMBER(MATCH(E658,Parameter!$I$35:$I$52,0))),VLOOKUP(E658,Parameter!$I$35:$J$52,2,0),IFERROR(VLOOKUP(D658,Parameter!$A$35:$C$64,2,0),"Nein"))</f>
        <v>Nein</v>
      </c>
      <c r="BW658" s="59" t="n">
        <f aca="false">IF(BT658=0,0,IF(N(S658)&gt;0,S658,IFERROR(VLOOKUP(D658,Parameter!$A$35:$C$64,3,0)+0,0)))</f>
        <v>0.15</v>
      </c>
      <c r="BX658" s="55" t="str">
        <f aca="false">IF(AA658&lt;&gt;"",AA658,Z658)</f>
        <v>-</v>
      </c>
      <c r="BY658" s="55" t="str">
        <f aca="false">IF(BX658=1,"L1",IF(OR(BX658=2,BX658=3),"L23",IF(BX658="Aussen","Aussen","-")))</f>
        <v>-</v>
      </c>
      <c r="BZ658" s="66" t="n">
        <f aca="false">IF(N(AB658)&gt;0,AB658,0)</f>
        <v>0</v>
      </c>
      <c r="CA658" s="60" t="n">
        <f aca="false">IF(ISNUMBER(AE658),1,0)</f>
        <v>0</v>
      </c>
      <c r="CB658" s="57" t="n">
        <f aca="false">N(AE658)</f>
        <v>0</v>
      </c>
      <c r="CC658" s="57" t="n">
        <f aca="false">N(M658)+N(N658)</f>
        <v>10</v>
      </c>
      <c r="CD658" s="57" t="n">
        <f aca="false">ROUNDUP(H658/BS658,0)</f>
        <v>0</v>
      </c>
      <c r="CE658" s="57" t="n">
        <f aca="false">ROUNDUP(CB658/BS658,0)</f>
        <v>0</v>
      </c>
      <c r="CF658" s="60" t="n">
        <f aca="false">IF(BT658=1,0,IFERROR(VLOOKUP(BR658,'Gebinde-Kategorie'!$A$5:$M$45,5,0)+0,0))</f>
        <v>0</v>
      </c>
      <c r="CG658" s="60" t="n">
        <f aca="false">IFERROR(IF(OR(BX658=1,BX658=2,BX658=3),N(INDEX(Parameter!$I$5:$I$7,BX658)),0),0)</f>
        <v>0</v>
      </c>
      <c r="CH658" s="59" t="n">
        <f aca="false">IF(AND(Parameter!$B$21="Ja",ISNUMBER(W658),N(X658)&gt;0),IFERROR(N(INDEX(Parameter!$L$5:$L$7,W658))*INDEX(Parameter!$E$5:$E$7,W658)*X658/SUMIFS($X$7:$X$1843,$W$7:$W$1843,W658),0),0)</f>
        <v>0</v>
      </c>
    </row>
    <row r="659" customFormat="false" ht="15" hidden="false" customHeight="false" outlineLevel="0" collapsed="false">
      <c r="A659" s="55" t="s">
        <v>1329</v>
      </c>
      <c r="B659" s="55" t="s">
        <v>1330</v>
      </c>
      <c r="C659" s="55" t="s">
        <v>164</v>
      </c>
      <c r="D659" s="55" t="s">
        <v>184</v>
      </c>
      <c r="E659" s="55"/>
      <c r="F659" s="55" t="s">
        <v>218</v>
      </c>
      <c r="G659" s="56" t="n">
        <v>10.02</v>
      </c>
      <c r="H659" s="57" t="n">
        <f aca="false">MAX(0,IF(AND(Parameter!$B$21="Ja",ISNUMBER(Y659)),Y659,IF(Parameter!$B$20="Jahresanfang 2025 + Export",BL659+BK659,BK659)))</f>
        <v>0</v>
      </c>
      <c r="I659" s="57" t="n">
        <f aca="false">H659*G659</f>
        <v>0</v>
      </c>
      <c r="J659" s="57" t="n">
        <f aca="false">BN659*Parameter!$B$18</f>
        <v>2</v>
      </c>
      <c r="K659" s="58" t="n">
        <v>3</v>
      </c>
      <c r="L659" s="59" t="n">
        <v>0.666666666666667</v>
      </c>
      <c r="M659" s="57" t="n">
        <v>0</v>
      </c>
      <c r="N659" s="57" t="n">
        <v>1</v>
      </c>
      <c r="O659" s="60" t="n">
        <v>21</v>
      </c>
      <c r="P659" s="55" t="s">
        <v>328</v>
      </c>
      <c r="Q659" s="57" t="n">
        <v>5</v>
      </c>
      <c r="R659" s="60" t="n">
        <f aca="false">IF(BT659=1,0,IFERROR(VLOOKUP(BR659,'Gebinde-Kategorie'!$A$5:$M$45,13,0)+0,0))</f>
        <v>52</v>
      </c>
      <c r="S659" s="61"/>
      <c r="T659" s="62"/>
      <c r="U659" s="62"/>
      <c r="V659" s="62"/>
      <c r="W659" s="55"/>
      <c r="X659" s="57"/>
      <c r="Y659" s="57"/>
      <c r="Z659" s="55" t="n">
        <f aca="false">IF(A659="","",IF(AND(Parameter!$B$21="Ja",ISNUMBER(W659)),W659,IF(BV659="2+3",IF(ISNUMBER(SEARCH("grosser Artikel",BO659)),2,IFERROR(VLOOKUP(BR659,Parameter!$F$35:$G$64,2,0),2)),IF(OR(BV659="Nein",BV659=""),"-",BV659))))</f>
        <v>3</v>
      </c>
      <c r="AA659" s="62"/>
      <c r="AB659" s="63"/>
      <c r="AC659" s="57" t="n">
        <f aca="false">AR659</f>
        <v>5</v>
      </c>
      <c r="AD659" s="57" t="n">
        <f aca="false">MAX(AR659,H659)</f>
        <v>5</v>
      </c>
      <c r="AE659" s="64"/>
      <c r="AF659" s="57" t="n">
        <f aca="false">IF(LEFT(Cockpit!$C$5,1)="A",H659,IF(CA659=1,CB659,IF(LEFT(Cockpit!$C$5,1)="B",AJ659,MAX(AJ659,H659))))</f>
        <v>0</v>
      </c>
      <c r="AG659" s="57" t="n">
        <f aca="false">IF(BT659=1,0,ROUNDUP(AF659/BS659,0))</f>
        <v>0</v>
      </c>
      <c r="AH659" s="59" t="n">
        <f aca="false">IF(CH659&gt;0,CH659*MAX(1,AF659/X659),IF(BT659=1,IF(AF659&lt;=0,0,BW659*MAX(1,IF(H659&gt;0,AF659/H659,1))),IF(R659&gt;0,AG659/R659,0))/MAX(0.1,N(Parameter!$M$21)))</f>
        <v>0</v>
      </c>
      <c r="AI659" s="57" t="n">
        <f aca="false">AF659*G659</f>
        <v>0</v>
      </c>
      <c r="AJ659" s="57" t="n">
        <f aca="false">ROUNDUP(MAX(J659/IF(BZ659&gt;0,BZ659,MAX(0.1,N(Cockpit!$C$6))),CC659)/BS659,0)*BS659</f>
        <v>5</v>
      </c>
      <c r="AK659" s="58" t="n">
        <f aca="false">IF(AH659&gt;0,J659/AH659,-1)</f>
        <v>-1</v>
      </c>
      <c r="AL659" s="58" t="str">
        <f aca="false">IF(AND(OR(BY659="L1",BY659="L23"),AH659&gt;0),SUMIFS($AH$7:$AH$1843,$BY$7:$BY$1843,BY659,$AK$7:$AK$1843,"&gt;"&amp;AK659)+SUMIFS($AH$7:$AH$1843,$BY$7:$BY$1843,BY659,$AK$7:$AK$1843,AK659,$BQ$7:$BQ$1843,"&lt;="&amp;BQ659),"")</f>
        <v/>
      </c>
      <c r="AM659" s="65" t="n">
        <f aca="false">IF(AL659="",0,MAX(0,MIN(1,(IF(BY659="L1",Parameter!$E$5,Parameter!$E$6+Parameter!$E$7)-(AL659-AH659))/AH659)))</f>
        <v>0</v>
      </c>
      <c r="AN659" s="57" t="n">
        <f aca="false">IF(LEFT(Cockpit!$I$5,1)="A",H659,IF(CA659=1,CB659,IF(LEFT(Cockpit!$I$5,1)="B",AR659,MAX(AR659,H659))))</f>
        <v>5</v>
      </c>
      <c r="AO659" s="57" t="n">
        <f aca="false">IF(BT659=1,0,ROUNDUP(AN659/BS659,0))</f>
        <v>1</v>
      </c>
      <c r="AP659" s="59" t="n">
        <f aca="false">IF(CH659&gt;0,CH659*MAX(1,AN659/X659),IF(BT659=1,IF(AN659&lt;=0,0,BW659*MAX(1,IF(H659&gt;0,AN659/H659,1))),IF(R659&gt;0,AO659/R659,0))/MAX(0.1,N(Parameter!$M$21)))</f>
        <v>0.0192307692307692</v>
      </c>
      <c r="AQ659" s="57" t="n">
        <f aca="false">AN659*G659</f>
        <v>50.1</v>
      </c>
      <c r="AR659" s="57" t="n">
        <f aca="false">ROUNDUP(MAX(J659/IF(BZ659&gt;0,BZ659,MAX(0.1,N(Cockpit!$I$6))),CC659)/BS659,0)*BS659</f>
        <v>5</v>
      </c>
      <c r="AS659" s="58" t="n">
        <f aca="false">IF(AP659&gt;0,J659/AP659,-1)</f>
        <v>104</v>
      </c>
      <c r="AT659" s="58" t="n">
        <f aca="false">IF(AND(OR(BY659="L1",BY659="L23"),AP659&gt;0),SUMIFS($AP$7:$AP$1843,$BY$7:$BY$1843,BY659,$AS$7:$AS$1843,"&gt;"&amp;AS659)+SUMIFS($AP$7:$AP$1843,$BY$7:$BY$1843,BY659,$AS$7:$AS$1843,AS659,$BQ$7:$BQ$1843,"&lt;="&amp;BQ659),"")</f>
        <v>56.4268352420526</v>
      </c>
      <c r="AU659" s="65" t="n">
        <f aca="false">IF(AT659="",0,MAX(0,MIN(1,(IF(BY659="L1",Parameter!$E$5,Parameter!$E$6+Parameter!$E$7)-(AT659-AP659))/AP659)))</f>
        <v>1</v>
      </c>
      <c r="AV659" s="57" t="n">
        <f aca="false">IF(LEFT(Cockpit!$O$5,1)="A",H659,IF(CA659=1,CB659,IF(LEFT(Cockpit!$O$5,1)="B",AZ659,MAX(AZ659,H659))))</f>
        <v>5</v>
      </c>
      <c r="AW659" s="57" t="n">
        <f aca="false">IF(BT659=1,0,ROUNDUP(AV659/BS659,0))</f>
        <v>1</v>
      </c>
      <c r="AX659" s="59" t="n">
        <f aca="false">IF(CH659&gt;0,CH659*MAX(1,AV659/X659),IF(BT659=1,IF(AV659&lt;=0,0,BW659*MAX(1,IF(H659&gt;0,AV659/H659,1))),IF(R659&gt;0,AW659/R659,0))/MAX(0.1,N(Parameter!$M$21)))</f>
        <v>0.0192307692307692</v>
      </c>
      <c r="AY659" s="57" t="n">
        <f aca="false">AV659*G659</f>
        <v>50.1</v>
      </c>
      <c r="AZ659" s="57" t="n">
        <f aca="false">ROUNDUP(MAX(J659/IF(BZ659&gt;0,BZ659,MAX(0.1,N(Cockpit!$O$6))),CC659)/BS659,0)*BS659</f>
        <v>5</v>
      </c>
      <c r="BA659" s="58" t="n">
        <f aca="false">IF(AX659&gt;0,J659/AX659,-1)</f>
        <v>104</v>
      </c>
      <c r="BB659" s="58" t="n">
        <f aca="false">IF(AND(OR(BY659="L1",BY659="L23"),AX659&gt;0),SUMIFS($AX$7:$AX$1843,$BY$7:$BY$1843,BY659,$BA$7:$BA$1843,"&gt;"&amp;BA659)+SUMIFS($AX$7:$AX$1843,$BY$7:$BY$1843,BY659,$BA$7:$BA$1843,BA659,$BQ$7:$BQ$1843,"&lt;="&amp;BQ659),"")</f>
        <v>54.2566720718895</v>
      </c>
      <c r="BC659" s="65" t="n">
        <f aca="false">IF(BB659="",0,MAX(0,MIN(1,(IF(BY659="L1",Parameter!$E$5,Parameter!$E$6+Parameter!$E$7)-(BB659-AX659))/AX659)))</f>
        <v>1</v>
      </c>
      <c r="BD659" s="55" t="str">
        <f aca="false">IF(AH659&lt;=0,"",IF(BY659="Aussen","Aussenlager",IF(BY659="-","Nicht im Lift",IF(AM659&gt;=1,"Lift",IF(AM659&lt;=0,"Aussenlager","teilweise")))))</f>
        <v/>
      </c>
      <c r="BE659" s="55" t="str">
        <f aca="false">IF(AP659&lt;=0,"",IF(BY659="Aussen","Aussenlager",IF(BY659="-","Nicht im Lift",IF(AU659&gt;=1,"Lift",IF(AU659&lt;=0,"Aussenlager","teilweise")))))</f>
        <v>Lift</v>
      </c>
      <c r="BF659" s="55" t="str">
        <f aca="false">IF(AX659&lt;=0,"",IF(BY659="Aussen","Aussenlager",IF(BY659="-","Nicht im Lift",IF(BC659&gt;=1,"Lift",IF(BC659&lt;=0,"Aussenlager","teilweise")))))</f>
        <v>Lift</v>
      </c>
      <c r="BG659" s="55" t="str">
        <f aca="false">IF(A659="","",IF(BP659=1,"Neu; ","")&amp;IF(AND(BP659=0,BK659&lt;0),"negativer Bestand (Export "&amp;BK659&amp;"); ","")&amp;IF(J659&lt;=0,"Kein Verbrauch; ","")&amp;IF(CH659&gt;0,"Lift "&amp;W659&amp;" lt. Liftbericht (Fach "&amp;X659&amp;" Stk); ",IF(BU659=1,"Gebinde geschätzt ("&amp;T659&amp;"); ",IF(BT659=1,"Lose – Tablare geschätzt; ","")))&amp;IF(H659&gt;AR659,"Überbestand "&amp;ROUND(H659-AR659,0)&amp;" Stk / CHF "&amp;ROUND((H659-AR659)*G659,0)&amp;"; ","")&amp;IF(AND(CA659=1,CB659&lt;CC659),"MAX &lt; MB+LG; ","")&amp;IF(AND(CG659&gt;0,CF659*10&gt;CG659),"zu hoch für Tablar; ","")&amp;IF(AND(BP659=0,OR(CA659=1,AA659&lt;&gt;"",U659&lt;&gt;"",V659&lt;&gt;"",AB659&lt;&gt;"")),"manuell übersteuert; ","")&amp;IF(AND(BT659=0,R659=0),"Gebinde unbekannt / Stellmass fehlt; ","")&amp;IF(AND(BT659=0,N(V659)&lt;=0,N(Q659)&lt;=0),"Menge pro Gebinde fehlt (Ist = 1 Gebinde); ","")&amp;BO659)</f>
        <v/>
      </c>
      <c r="BH659" s="55"/>
      <c r="BI659" s="55"/>
      <c r="BJ659" s="62"/>
      <c r="BK659" s="57" t="n">
        <v>0</v>
      </c>
      <c r="BL659" s="57" t="n">
        <v>0</v>
      </c>
      <c r="BM659" s="56" t="n">
        <v>2.8421709430404E-014</v>
      </c>
      <c r="BN659" s="57" t="n">
        <v>2</v>
      </c>
      <c r="BO659" s="55"/>
      <c r="BP659" s="60" t="n">
        <v>0</v>
      </c>
      <c r="BQ659" s="60" t="n">
        <v>659</v>
      </c>
      <c r="BR659" s="55" t="str">
        <f aca="false">IF(U659&lt;&gt;"",UPPER(TRIM(U659)),IF(BU659=1,UPPER(VLOOKUP(T659,Parameter!$I$27:$K$29,2,0)),IF(P659="","LOSE",P659)))</f>
        <v>S41</v>
      </c>
      <c r="BS659" s="57" t="n">
        <f aca="false">IF(BR659="LOSE",1,IF(N(V659)&gt;0,V659,IF(BU659=1,MAX(1,N(VLOOKUP(T659,Parameter!$I$27:$K$29,3,0)),H659,N(N659)),IF(N(Q659)&gt;0,Q659,MAX(1,H659)))))</f>
        <v>5</v>
      </c>
      <c r="BT659" s="60" t="n">
        <f aca="false">IF(BR659="LOSE",1,0)</f>
        <v>0</v>
      </c>
      <c r="BU659" s="60" t="n">
        <f aca="false">IF(AND(U659="",OR(P659="",P659="LOSE"),T659&lt;&gt;"",N(S659)&lt;=0,ISNUMBER(MATCH(T659,Parameter!$I$27:$I$29,0))),1,0)</f>
        <v>0</v>
      </c>
      <c r="BV659" s="55" t="str">
        <f aca="false">IF(AND(Parameter!$B$19="Ja",E659&lt;&gt;"",ISNUMBER(MATCH(E659,Parameter!$I$35:$I$52,0))),VLOOKUP(E659,Parameter!$I$35:$J$52,2,0),IFERROR(VLOOKUP(D659,Parameter!$A$35:$C$64,2,0),"Nein"))</f>
        <v>2+3</v>
      </c>
      <c r="BW659" s="59" t="n">
        <f aca="false">IF(BT659=0,0,IF(N(S659)&gt;0,S659,IFERROR(VLOOKUP(D659,Parameter!$A$35:$C$64,3,0)+0,0)))</f>
        <v>0</v>
      </c>
      <c r="BX659" s="55" t="n">
        <f aca="false">IF(AA659&lt;&gt;"",AA659,Z659)</f>
        <v>3</v>
      </c>
      <c r="BY659" s="55" t="str">
        <f aca="false">IF(BX659=1,"L1",IF(OR(BX659=2,BX659=3),"L23",IF(BX659="Aussen","Aussen","-")))</f>
        <v>L23</v>
      </c>
      <c r="BZ659" s="66" t="n">
        <f aca="false">IF(N(AB659)&gt;0,AB659,0)</f>
        <v>0</v>
      </c>
      <c r="CA659" s="60" t="n">
        <f aca="false">IF(ISNUMBER(AE659),1,0)</f>
        <v>0</v>
      </c>
      <c r="CB659" s="57" t="n">
        <f aca="false">N(AE659)</f>
        <v>0</v>
      </c>
      <c r="CC659" s="57" t="n">
        <f aca="false">N(M659)+N(N659)</f>
        <v>1</v>
      </c>
      <c r="CD659" s="57" t="n">
        <f aca="false">ROUNDUP(H659/BS659,0)</f>
        <v>0</v>
      </c>
      <c r="CE659" s="57" t="n">
        <f aca="false">ROUNDUP(CB659/BS659,0)</f>
        <v>0</v>
      </c>
      <c r="CF659" s="60" t="n">
        <f aca="false">IF(BT659=1,0,IFERROR(VLOOKUP(BR659,'Gebinde-Kategorie'!$A$5:$M$45,5,0)+0,0))</f>
        <v>11</v>
      </c>
      <c r="CG659" s="60" t="n">
        <f aca="false">IFERROR(IF(OR(BX659=1,BX659=2,BX659=3),N(INDEX(Parameter!$I$5:$I$7,BX659)),0),0)</f>
        <v>0</v>
      </c>
      <c r="CH659" s="59" t="n">
        <f aca="false">IF(AND(Parameter!$B$21="Ja",ISNUMBER(W659),N(X659)&gt;0),IFERROR(N(INDEX(Parameter!$L$5:$L$7,W659))*INDEX(Parameter!$E$5:$E$7,W659)*X659/SUMIFS($X$7:$X$1843,$W$7:$W$1843,W659),0),0)</f>
        <v>0</v>
      </c>
    </row>
    <row r="660" customFormat="false" ht="15" hidden="false" customHeight="false" outlineLevel="0" collapsed="false">
      <c r="A660" s="55" t="s">
        <v>1331</v>
      </c>
      <c r="B660" s="55" t="s">
        <v>1330</v>
      </c>
      <c r="C660" s="55" t="s">
        <v>164</v>
      </c>
      <c r="D660" s="55" t="s">
        <v>184</v>
      </c>
      <c r="E660" s="55"/>
      <c r="F660" s="55" t="s">
        <v>218</v>
      </c>
      <c r="G660" s="56" t="n">
        <v>10.02</v>
      </c>
      <c r="H660" s="57" t="n">
        <f aca="false">MAX(0,IF(AND(Parameter!$B$21="Ja",ISNUMBER(Y660)),Y660,IF(Parameter!$B$20="Jahresanfang 2025 + Export",BL660+BK660,BK660)))</f>
        <v>0</v>
      </c>
      <c r="I660" s="57" t="n">
        <f aca="false">H660*G660</f>
        <v>0</v>
      </c>
      <c r="J660" s="57" t="n">
        <f aca="false">BN660*Parameter!$B$18</f>
        <v>2</v>
      </c>
      <c r="K660" s="58" t="n">
        <v>3</v>
      </c>
      <c r="L660" s="59" t="n">
        <v>0.666666666666667</v>
      </c>
      <c r="M660" s="57" t="n">
        <v>0</v>
      </c>
      <c r="N660" s="57" t="n">
        <v>1</v>
      </c>
      <c r="O660" s="60" t="n">
        <v>21</v>
      </c>
      <c r="P660" s="55" t="s">
        <v>328</v>
      </c>
      <c r="Q660" s="57" t="n">
        <v>5</v>
      </c>
      <c r="R660" s="60" t="n">
        <f aca="false">IF(BT660=1,0,IFERROR(VLOOKUP(BR660,'Gebinde-Kategorie'!$A$5:$M$45,13,0)+0,0))</f>
        <v>52</v>
      </c>
      <c r="S660" s="61"/>
      <c r="T660" s="62"/>
      <c r="U660" s="62"/>
      <c r="V660" s="62"/>
      <c r="W660" s="55"/>
      <c r="X660" s="57"/>
      <c r="Y660" s="57"/>
      <c r="Z660" s="55" t="n">
        <f aca="false">IF(A660="","",IF(AND(Parameter!$B$21="Ja",ISNUMBER(W660)),W660,IF(BV660="2+3",IF(ISNUMBER(SEARCH("grosser Artikel",BO660)),2,IFERROR(VLOOKUP(BR660,Parameter!$F$35:$G$64,2,0),2)),IF(OR(BV660="Nein",BV660=""),"-",BV660))))</f>
        <v>3</v>
      </c>
      <c r="AA660" s="62"/>
      <c r="AB660" s="63"/>
      <c r="AC660" s="57" t="n">
        <f aca="false">AR660</f>
        <v>5</v>
      </c>
      <c r="AD660" s="57" t="n">
        <f aca="false">MAX(AR660,H660)</f>
        <v>5</v>
      </c>
      <c r="AE660" s="64"/>
      <c r="AF660" s="57" t="n">
        <f aca="false">IF(LEFT(Cockpit!$C$5,1)="A",H660,IF(CA660=1,CB660,IF(LEFT(Cockpit!$C$5,1)="B",AJ660,MAX(AJ660,H660))))</f>
        <v>0</v>
      </c>
      <c r="AG660" s="57" t="n">
        <f aca="false">IF(BT660=1,0,ROUNDUP(AF660/BS660,0))</f>
        <v>0</v>
      </c>
      <c r="AH660" s="59" t="n">
        <f aca="false">IF(CH660&gt;0,CH660*MAX(1,AF660/X660),IF(BT660=1,IF(AF660&lt;=0,0,BW660*MAX(1,IF(H660&gt;0,AF660/H660,1))),IF(R660&gt;0,AG660/R660,0))/MAX(0.1,N(Parameter!$M$21)))</f>
        <v>0</v>
      </c>
      <c r="AI660" s="57" t="n">
        <f aca="false">AF660*G660</f>
        <v>0</v>
      </c>
      <c r="AJ660" s="57" t="n">
        <f aca="false">ROUNDUP(MAX(J660/IF(BZ660&gt;0,BZ660,MAX(0.1,N(Cockpit!$C$6))),CC660)/BS660,0)*BS660</f>
        <v>5</v>
      </c>
      <c r="AK660" s="58" t="n">
        <f aca="false">IF(AH660&gt;0,J660/AH660,-1)</f>
        <v>-1</v>
      </c>
      <c r="AL660" s="58" t="str">
        <f aca="false">IF(AND(OR(BY660="L1",BY660="L23"),AH660&gt;0),SUMIFS($AH$7:$AH$1843,$BY$7:$BY$1843,BY660,$AK$7:$AK$1843,"&gt;"&amp;AK660)+SUMIFS($AH$7:$AH$1843,$BY$7:$BY$1843,BY660,$AK$7:$AK$1843,AK660,$BQ$7:$BQ$1843,"&lt;="&amp;BQ660),"")</f>
        <v/>
      </c>
      <c r="AM660" s="65" t="n">
        <f aca="false">IF(AL660="",0,MAX(0,MIN(1,(IF(BY660="L1",Parameter!$E$5,Parameter!$E$6+Parameter!$E$7)-(AL660-AH660))/AH660)))</f>
        <v>0</v>
      </c>
      <c r="AN660" s="57" t="n">
        <f aca="false">IF(LEFT(Cockpit!$I$5,1)="A",H660,IF(CA660=1,CB660,IF(LEFT(Cockpit!$I$5,1)="B",AR660,MAX(AR660,H660))))</f>
        <v>5</v>
      </c>
      <c r="AO660" s="57" t="n">
        <f aca="false">IF(BT660=1,0,ROUNDUP(AN660/BS660,0))</f>
        <v>1</v>
      </c>
      <c r="AP660" s="59" t="n">
        <f aca="false">IF(CH660&gt;0,CH660*MAX(1,AN660/X660),IF(BT660=1,IF(AN660&lt;=0,0,BW660*MAX(1,IF(H660&gt;0,AN660/H660,1))),IF(R660&gt;0,AO660/R660,0))/MAX(0.1,N(Parameter!$M$21)))</f>
        <v>0.0192307692307692</v>
      </c>
      <c r="AQ660" s="57" t="n">
        <f aca="false">AN660*G660</f>
        <v>50.1</v>
      </c>
      <c r="AR660" s="57" t="n">
        <f aca="false">ROUNDUP(MAX(J660/IF(BZ660&gt;0,BZ660,MAX(0.1,N(Cockpit!$I$6))),CC660)/BS660,0)*BS660</f>
        <v>5</v>
      </c>
      <c r="AS660" s="58" t="n">
        <f aca="false">IF(AP660&gt;0,J660/AP660,-1)</f>
        <v>104</v>
      </c>
      <c r="AT660" s="58" t="n">
        <f aca="false">IF(AND(OR(BY660="L1",BY660="L23"),AP660&gt;0),SUMIFS($AP$7:$AP$1843,$BY$7:$BY$1843,BY660,$AS$7:$AS$1843,"&gt;"&amp;AS660)+SUMIFS($AP$7:$AP$1843,$BY$7:$BY$1843,BY660,$AS$7:$AS$1843,AS660,$BQ$7:$BQ$1843,"&lt;="&amp;BQ660),"")</f>
        <v>56.4460660112834</v>
      </c>
      <c r="AU660" s="65" t="n">
        <f aca="false">IF(AT660="",0,MAX(0,MIN(1,(IF(BY660="L1",Parameter!$E$5,Parameter!$E$6+Parameter!$E$7)-(AT660-AP660))/AP660)))</f>
        <v>1</v>
      </c>
      <c r="AV660" s="57" t="n">
        <f aca="false">IF(LEFT(Cockpit!$O$5,1)="A",H660,IF(CA660=1,CB660,IF(LEFT(Cockpit!$O$5,1)="B",AZ660,MAX(AZ660,H660))))</f>
        <v>5</v>
      </c>
      <c r="AW660" s="57" t="n">
        <f aca="false">IF(BT660=1,0,ROUNDUP(AV660/BS660,0))</f>
        <v>1</v>
      </c>
      <c r="AX660" s="59" t="n">
        <f aca="false">IF(CH660&gt;0,CH660*MAX(1,AV660/X660),IF(BT660=1,IF(AV660&lt;=0,0,BW660*MAX(1,IF(H660&gt;0,AV660/H660,1))),IF(R660&gt;0,AW660/R660,0))/MAX(0.1,N(Parameter!$M$21)))</f>
        <v>0.0192307692307692</v>
      </c>
      <c r="AY660" s="57" t="n">
        <f aca="false">AV660*G660</f>
        <v>50.1</v>
      </c>
      <c r="AZ660" s="57" t="n">
        <f aca="false">ROUNDUP(MAX(J660/IF(BZ660&gt;0,BZ660,MAX(0.1,N(Cockpit!$O$6))),CC660)/BS660,0)*BS660</f>
        <v>5</v>
      </c>
      <c r="BA660" s="58" t="n">
        <f aca="false">IF(AX660&gt;0,J660/AX660,-1)</f>
        <v>104</v>
      </c>
      <c r="BB660" s="58" t="n">
        <f aca="false">IF(AND(OR(BY660="L1",BY660="L23"),AX660&gt;0),SUMIFS($AX$7:$AX$1843,$BY$7:$BY$1843,BY660,$BA$7:$BA$1843,"&gt;"&amp;BA660)+SUMIFS($AX$7:$AX$1843,$BY$7:$BY$1843,BY660,$BA$7:$BA$1843,BA660,$BQ$7:$BQ$1843,"&lt;="&amp;BQ660),"")</f>
        <v>54.2759028411202</v>
      </c>
      <c r="BC660" s="65" t="n">
        <f aca="false">IF(BB660="",0,MAX(0,MIN(1,(IF(BY660="L1",Parameter!$E$5,Parameter!$E$6+Parameter!$E$7)-(BB660-AX660))/AX660)))</f>
        <v>1</v>
      </c>
      <c r="BD660" s="55" t="str">
        <f aca="false">IF(AH660&lt;=0,"",IF(BY660="Aussen","Aussenlager",IF(BY660="-","Nicht im Lift",IF(AM660&gt;=1,"Lift",IF(AM660&lt;=0,"Aussenlager","teilweise")))))</f>
        <v/>
      </c>
      <c r="BE660" s="55" t="str">
        <f aca="false">IF(AP660&lt;=0,"",IF(BY660="Aussen","Aussenlager",IF(BY660="-","Nicht im Lift",IF(AU660&gt;=1,"Lift",IF(AU660&lt;=0,"Aussenlager","teilweise")))))</f>
        <v>Lift</v>
      </c>
      <c r="BF660" s="55" t="str">
        <f aca="false">IF(AX660&lt;=0,"",IF(BY660="Aussen","Aussenlager",IF(BY660="-","Nicht im Lift",IF(BC660&gt;=1,"Lift",IF(BC660&lt;=0,"Aussenlager","teilweise")))))</f>
        <v>Lift</v>
      </c>
      <c r="BG660" s="55" t="str">
        <f aca="false">IF(A660="","",IF(BP660=1,"Neu; ","")&amp;IF(AND(BP660=0,BK660&lt;0),"negativer Bestand (Export "&amp;BK660&amp;"); ","")&amp;IF(J660&lt;=0,"Kein Verbrauch; ","")&amp;IF(CH660&gt;0,"Lift "&amp;W660&amp;" lt. Liftbericht (Fach "&amp;X660&amp;" Stk); ",IF(BU660=1,"Gebinde geschätzt ("&amp;T660&amp;"); ",IF(BT660=1,"Lose – Tablare geschätzt; ","")))&amp;IF(H660&gt;AR660,"Überbestand "&amp;ROUND(H660-AR660,0)&amp;" Stk / CHF "&amp;ROUND((H660-AR660)*G660,0)&amp;"; ","")&amp;IF(AND(CA660=1,CB660&lt;CC660),"MAX &lt; MB+LG; ","")&amp;IF(AND(CG660&gt;0,CF660*10&gt;CG660),"zu hoch für Tablar; ","")&amp;IF(AND(BP660=0,OR(CA660=1,AA660&lt;&gt;"",U660&lt;&gt;"",V660&lt;&gt;"",AB660&lt;&gt;"")),"manuell übersteuert; ","")&amp;IF(AND(BT660=0,R660=0),"Gebinde unbekannt / Stellmass fehlt; ","")&amp;IF(AND(BT660=0,N(V660)&lt;=0,N(Q660)&lt;=0),"Menge pro Gebinde fehlt (Ist = 1 Gebinde); ","")&amp;BO660)</f>
        <v/>
      </c>
      <c r="BH660" s="55"/>
      <c r="BI660" s="55"/>
      <c r="BJ660" s="62"/>
      <c r="BK660" s="57" t="n">
        <v>0</v>
      </c>
      <c r="BL660" s="57" t="n">
        <v>0</v>
      </c>
      <c r="BM660" s="56" t="n">
        <v>2.8421709430404E-014</v>
      </c>
      <c r="BN660" s="57" t="n">
        <v>2</v>
      </c>
      <c r="BO660" s="55"/>
      <c r="BP660" s="60" t="n">
        <v>0</v>
      </c>
      <c r="BQ660" s="60" t="n">
        <v>660</v>
      </c>
      <c r="BR660" s="55" t="str">
        <f aca="false">IF(U660&lt;&gt;"",UPPER(TRIM(U660)),IF(BU660=1,UPPER(VLOOKUP(T660,Parameter!$I$27:$K$29,2,0)),IF(P660="","LOSE",P660)))</f>
        <v>S41</v>
      </c>
      <c r="BS660" s="57" t="n">
        <f aca="false">IF(BR660="LOSE",1,IF(N(V660)&gt;0,V660,IF(BU660=1,MAX(1,N(VLOOKUP(T660,Parameter!$I$27:$K$29,3,0)),H660,N(N660)),IF(N(Q660)&gt;0,Q660,MAX(1,H660)))))</f>
        <v>5</v>
      </c>
      <c r="BT660" s="60" t="n">
        <f aca="false">IF(BR660="LOSE",1,0)</f>
        <v>0</v>
      </c>
      <c r="BU660" s="60" t="n">
        <f aca="false">IF(AND(U660="",OR(P660="",P660="LOSE"),T660&lt;&gt;"",N(S660)&lt;=0,ISNUMBER(MATCH(T660,Parameter!$I$27:$I$29,0))),1,0)</f>
        <v>0</v>
      </c>
      <c r="BV660" s="55" t="str">
        <f aca="false">IF(AND(Parameter!$B$19="Ja",E660&lt;&gt;"",ISNUMBER(MATCH(E660,Parameter!$I$35:$I$52,0))),VLOOKUP(E660,Parameter!$I$35:$J$52,2,0),IFERROR(VLOOKUP(D660,Parameter!$A$35:$C$64,2,0),"Nein"))</f>
        <v>2+3</v>
      </c>
      <c r="BW660" s="59" t="n">
        <f aca="false">IF(BT660=0,0,IF(N(S660)&gt;0,S660,IFERROR(VLOOKUP(D660,Parameter!$A$35:$C$64,3,0)+0,0)))</f>
        <v>0</v>
      </c>
      <c r="BX660" s="55" t="n">
        <f aca="false">IF(AA660&lt;&gt;"",AA660,Z660)</f>
        <v>3</v>
      </c>
      <c r="BY660" s="55" t="str">
        <f aca="false">IF(BX660=1,"L1",IF(OR(BX660=2,BX660=3),"L23",IF(BX660="Aussen","Aussen","-")))</f>
        <v>L23</v>
      </c>
      <c r="BZ660" s="66" t="n">
        <f aca="false">IF(N(AB660)&gt;0,AB660,0)</f>
        <v>0</v>
      </c>
      <c r="CA660" s="60" t="n">
        <f aca="false">IF(ISNUMBER(AE660),1,0)</f>
        <v>0</v>
      </c>
      <c r="CB660" s="57" t="n">
        <f aca="false">N(AE660)</f>
        <v>0</v>
      </c>
      <c r="CC660" s="57" t="n">
        <f aca="false">N(M660)+N(N660)</f>
        <v>1</v>
      </c>
      <c r="CD660" s="57" t="n">
        <f aca="false">ROUNDUP(H660/BS660,0)</f>
        <v>0</v>
      </c>
      <c r="CE660" s="57" t="n">
        <f aca="false">ROUNDUP(CB660/BS660,0)</f>
        <v>0</v>
      </c>
      <c r="CF660" s="60" t="n">
        <f aca="false">IF(BT660=1,0,IFERROR(VLOOKUP(BR660,'Gebinde-Kategorie'!$A$5:$M$45,5,0)+0,0))</f>
        <v>11</v>
      </c>
      <c r="CG660" s="60" t="n">
        <f aca="false">IFERROR(IF(OR(BX660=1,BX660=2,BX660=3),N(INDEX(Parameter!$I$5:$I$7,BX660)),0),0)</f>
        <v>0</v>
      </c>
      <c r="CH660" s="59" t="n">
        <f aca="false">IF(AND(Parameter!$B$21="Ja",ISNUMBER(W660),N(X660)&gt;0),IFERROR(N(INDEX(Parameter!$L$5:$L$7,W660))*INDEX(Parameter!$E$5:$E$7,W660)*X660/SUMIFS($X$7:$X$1843,$W$7:$W$1843,W660),0),0)</f>
        <v>0</v>
      </c>
    </row>
    <row r="661" customFormat="false" ht="15" hidden="false" customHeight="false" outlineLevel="0" collapsed="false">
      <c r="A661" s="55" t="s">
        <v>1332</v>
      </c>
      <c r="B661" s="55" t="s">
        <v>998</v>
      </c>
      <c r="C661" s="55" t="s">
        <v>164</v>
      </c>
      <c r="D661" s="55" t="s">
        <v>995</v>
      </c>
      <c r="E661" s="55"/>
      <c r="F661" s="55" t="s">
        <v>218</v>
      </c>
      <c r="G661" s="56" t="n">
        <v>161.29</v>
      </c>
      <c r="H661" s="57" t="n">
        <f aca="false">MAX(0,IF(AND(Parameter!$B$21="Ja",ISNUMBER(Y661)),Y661,IF(Parameter!$B$20="Jahresanfang 2025 + Export",BL661+BK661,BK661)))</f>
        <v>0</v>
      </c>
      <c r="I661" s="57" t="n">
        <f aca="false">H661*G661</f>
        <v>0</v>
      </c>
      <c r="J661" s="57" t="n">
        <f aca="false">BN661*Parameter!$B$18</f>
        <v>4</v>
      </c>
      <c r="K661" s="58" t="n">
        <v>0</v>
      </c>
      <c r="L661" s="59" t="n">
        <v>0</v>
      </c>
      <c r="M661" s="57" t="n">
        <v>0</v>
      </c>
      <c r="N661" s="57" t="n">
        <v>1</v>
      </c>
      <c r="O661" s="60" t="n">
        <v>105</v>
      </c>
      <c r="P661" s="55" t="s">
        <v>168</v>
      </c>
      <c r="Q661" s="57"/>
      <c r="R661" s="60" t="n">
        <f aca="false">IF(BT661=1,0,IFERROR(VLOOKUP(BR661,'Gebinde-Kategorie'!$A$5:$M$45,13,0)+0,0))</f>
        <v>0</v>
      </c>
      <c r="S661" s="61"/>
      <c r="T661" s="62"/>
      <c r="U661" s="62"/>
      <c r="V661" s="62"/>
      <c r="W661" s="55"/>
      <c r="X661" s="57"/>
      <c r="Y661" s="57"/>
      <c r="Z661" s="55" t="str">
        <f aca="false">IF(A661="","",IF(AND(Parameter!$B$21="Ja",ISNUMBER(W661)),W661,IF(BV661="2+3",IF(ISNUMBER(SEARCH("grosser Artikel",BO661)),2,IFERROR(VLOOKUP(BR661,Parameter!$F$35:$G$64,2,0),2)),IF(OR(BV661="Nein",BV661=""),"-",BV661))))</f>
        <v>-</v>
      </c>
      <c r="AA661" s="62"/>
      <c r="AB661" s="63"/>
      <c r="AC661" s="57" t="n">
        <f aca="false">AR661</f>
        <v>2</v>
      </c>
      <c r="AD661" s="57" t="n">
        <f aca="false">MAX(AR661,H661)</f>
        <v>2</v>
      </c>
      <c r="AE661" s="64"/>
      <c r="AF661" s="57" t="n">
        <f aca="false">IF(LEFT(Cockpit!$C$5,1)="A",H661,IF(CA661=1,CB661,IF(LEFT(Cockpit!$C$5,1)="B",AJ661,MAX(AJ661,H661))))</f>
        <v>0</v>
      </c>
      <c r="AG661" s="57" t="n">
        <f aca="false">IF(BT661=1,0,ROUNDUP(AF661/BS661,0))</f>
        <v>0</v>
      </c>
      <c r="AH661" s="59" t="n">
        <f aca="false">IF(CH661&gt;0,CH661*MAX(1,AF661/X661),IF(BT661=1,IF(AF661&lt;=0,0,BW661*MAX(1,IF(H661&gt;0,AF661/H661,1))),IF(R661&gt;0,AG661/R661,0))/MAX(0.1,N(Parameter!$M$21)))</f>
        <v>0</v>
      </c>
      <c r="AI661" s="57" t="n">
        <f aca="false">AF661*G661</f>
        <v>0</v>
      </c>
      <c r="AJ661" s="57" t="n">
        <f aca="false">ROUNDUP(MAX(J661/IF(BZ661&gt;0,BZ661,MAX(0.1,N(Cockpit!$C$6))),CC661)/BS661,0)*BS661</f>
        <v>2</v>
      </c>
      <c r="AK661" s="58" t="n">
        <f aca="false">IF(AH661&gt;0,J661/AH661,-1)</f>
        <v>-1</v>
      </c>
      <c r="AL661" s="58" t="str">
        <f aca="false">IF(AND(OR(BY661="L1",BY661="L23"),AH661&gt;0),SUMIFS($AH$7:$AH$1843,$BY$7:$BY$1843,BY661,$AK$7:$AK$1843,"&gt;"&amp;AK661)+SUMIFS($AH$7:$AH$1843,$BY$7:$BY$1843,BY661,$AK$7:$AK$1843,AK661,$BQ$7:$BQ$1843,"&lt;="&amp;BQ661),"")</f>
        <v/>
      </c>
      <c r="AM661" s="65" t="n">
        <f aca="false">IF(AL661="",0,MAX(0,MIN(1,(IF(BY661="L1",Parameter!$E$5,Parameter!$E$6+Parameter!$E$7)-(AL661-AH661))/AH661)))</f>
        <v>0</v>
      </c>
      <c r="AN661" s="57" t="n">
        <f aca="false">IF(LEFT(Cockpit!$I$5,1)="A",H661,IF(CA661=1,CB661,IF(LEFT(Cockpit!$I$5,1)="B",AR661,MAX(AR661,H661))))</f>
        <v>2</v>
      </c>
      <c r="AO661" s="57" t="n">
        <f aca="false">IF(BT661=1,0,ROUNDUP(AN661/BS661,0))</f>
        <v>0</v>
      </c>
      <c r="AP661" s="59" t="n">
        <f aca="false">IF(CH661&gt;0,CH661*MAX(1,AN661/X661),IF(BT661=1,IF(AN661&lt;=0,0,BW661*MAX(1,IF(H661&gt;0,AN661/H661,1))),IF(R661&gt;0,AO661/R661,0))/MAX(0.1,N(Parameter!$M$21)))</f>
        <v>0.15</v>
      </c>
      <c r="AQ661" s="57" t="n">
        <f aca="false">AN661*G661</f>
        <v>322.58</v>
      </c>
      <c r="AR661" s="57" t="n">
        <f aca="false">ROUNDUP(MAX(J661/IF(BZ661&gt;0,BZ661,MAX(0.1,N(Cockpit!$I$6))),CC661)/BS661,0)*BS661</f>
        <v>2</v>
      </c>
      <c r="AS661" s="58" t="n">
        <f aca="false">IF(AP661&gt;0,J661/AP661,-1)</f>
        <v>26.6666666666667</v>
      </c>
      <c r="AT661" s="58" t="str">
        <f aca="false">IF(AND(OR(BY661="L1",BY661="L23"),AP661&gt;0),SUMIFS($AP$7:$AP$1843,$BY$7:$BY$1843,BY661,$AS$7:$AS$1843,"&gt;"&amp;AS661)+SUMIFS($AP$7:$AP$1843,$BY$7:$BY$1843,BY661,$AS$7:$AS$1843,AS661,$BQ$7:$BQ$1843,"&lt;="&amp;BQ661),"")</f>
        <v/>
      </c>
      <c r="AU661" s="65" t="n">
        <f aca="false">IF(AT661="",0,MAX(0,MIN(1,(IF(BY661="L1",Parameter!$E$5,Parameter!$E$6+Parameter!$E$7)-(AT661-AP661))/AP661)))</f>
        <v>0</v>
      </c>
      <c r="AV661" s="57" t="n">
        <f aca="false">IF(LEFT(Cockpit!$O$5,1)="A",H661,IF(CA661=1,CB661,IF(LEFT(Cockpit!$O$5,1)="B",AZ661,MAX(AZ661,H661))))</f>
        <v>2</v>
      </c>
      <c r="AW661" s="57" t="n">
        <f aca="false">IF(BT661=1,0,ROUNDUP(AV661/BS661,0))</f>
        <v>0</v>
      </c>
      <c r="AX661" s="59" t="n">
        <f aca="false">IF(CH661&gt;0,CH661*MAX(1,AV661/X661),IF(BT661=1,IF(AV661&lt;=0,0,BW661*MAX(1,IF(H661&gt;0,AV661/H661,1))),IF(R661&gt;0,AW661/R661,0))/MAX(0.1,N(Parameter!$M$21)))</f>
        <v>0.15</v>
      </c>
      <c r="AY661" s="57" t="n">
        <f aca="false">AV661*G661</f>
        <v>322.58</v>
      </c>
      <c r="AZ661" s="57" t="n">
        <f aca="false">ROUNDUP(MAX(J661/IF(BZ661&gt;0,BZ661,MAX(0.1,N(Cockpit!$O$6))),CC661)/BS661,0)*BS661</f>
        <v>2</v>
      </c>
      <c r="BA661" s="58" t="n">
        <f aca="false">IF(AX661&gt;0,J661/AX661,-1)</f>
        <v>26.6666666666667</v>
      </c>
      <c r="BB661" s="58" t="str">
        <f aca="false">IF(AND(OR(BY661="L1",BY661="L23"),AX661&gt;0),SUMIFS($AX$7:$AX$1843,$BY$7:$BY$1843,BY661,$BA$7:$BA$1843,"&gt;"&amp;BA661)+SUMIFS($AX$7:$AX$1843,$BY$7:$BY$1843,BY661,$BA$7:$BA$1843,BA661,$BQ$7:$BQ$1843,"&lt;="&amp;BQ661),"")</f>
        <v/>
      </c>
      <c r="BC661" s="65" t="n">
        <f aca="false">IF(BB661="",0,MAX(0,MIN(1,(IF(BY661="L1",Parameter!$E$5,Parameter!$E$6+Parameter!$E$7)-(BB661-AX661))/AX661)))</f>
        <v>0</v>
      </c>
      <c r="BD661" s="55" t="str">
        <f aca="false">IF(AH661&lt;=0,"",IF(BY661="Aussen","Aussenlager",IF(BY661="-","Nicht im Lift",IF(AM661&gt;=1,"Lift",IF(AM661&lt;=0,"Aussenlager","teilweise")))))</f>
        <v/>
      </c>
      <c r="BE661" s="55" t="str">
        <f aca="false">IF(AP661&lt;=0,"",IF(BY661="Aussen","Aussenlager",IF(BY661="-","Nicht im Lift",IF(AU661&gt;=1,"Lift",IF(AU661&lt;=0,"Aussenlager","teilweise")))))</f>
        <v>Nicht im Lift</v>
      </c>
      <c r="BF661" s="55" t="str">
        <f aca="false">IF(AX661&lt;=0,"",IF(BY661="Aussen","Aussenlager",IF(BY661="-","Nicht im Lift",IF(BC661&gt;=1,"Lift",IF(BC661&lt;=0,"Aussenlager","teilweise")))))</f>
        <v>Nicht im Lift</v>
      </c>
      <c r="BG661" s="55" t="str">
        <f aca="false">IF(A661="","",IF(BP661=1,"Neu; ","")&amp;IF(AND(BP661=0,BK661&lt;0),"negativer Bestand (Export "&amp;BK661&amp;"); ","")&amp;IF(J661&lt;=0,"Kein Verbrauch; ","")&amp;IF(CH661&gt;0,"Lift "&amp;W661&amp;" lt. Liftbericht (Fach "&amp;X661&amp;" Stk); ",IF(BU661=1,"Gebinde geschätzt ("&amp;T661&amp;"); ",IF(BT661=1,"Lose – Tablare geschätzt; ","")))&amp;IF(H661&gt;AR661,"Überbestand "&amp;ROUND(H661-AR661,0)&amp;" Stk / CHF "&amp;ROUND((H661-AR661)*G661,0)&amp;"; ","")&amp;IF(AND(CA661=1,CB661&lt;CC661),"MAX &lt; MB+LG; ","")&amp;IF(AND(CG661&gt;0,CF661*10&gt;CG661),"zu hoch für Tablar; ","")&amp;IF(AND(BP661=0,OR(CA661=1,AA661&lt;&gt;"",U661&lt;&gt;"",V661&lt;&gt;"",AB661&lt;&gt;"")),"manuell übersteuert; ","")&amp;IF(AND(BT661=0,R661=0),"Gebinde unbekannt / Stellmass fehlt; ","")&amp;IF(AND(BT661=0,N(V661)&lt;=0,N(Q661)&lt;=0),"Menge pro Gebinde fehlt (Ist = 1 Gebinde); ","")&amp;BO661)</f>
        <v>Lose – Tablare geschätzt; </v>
      </c>
      <c r="BH661" s="55"/>
      <c r="BI661" s="55"/>
      <c r="BJ661" s="62"/>
      <c r="BK661" s="57" t="n">
        <v>0</v>
      </c>
      <c r="BL661" s="57" t="n">
        <v>0</v>
      </c>
      <c r="BM661" s="56" t="n">
        <v>1.81903103690928E-014</v>
      </c>
      <c r="BN661" s="57" t="n">
        <v>4</v>
      </c>
      <c r="BO661" s="55"/>
      <c r="BP661" s="60" t="n">
        <v>0</v>
      </c>
      <c r="BQ661" s="60" t="n">
        <v>661</v>
      </c>
      <c r="BR661" s="55" t="str">
        <f aca="false">IF(U661&lt;&gt;"",UPPER(TRIM(U661)),IF(BU661=1,UPPER(VLOOKUP(T661,Parameter!$I$27:$K$29,2,0)),IF(P661="","LOSE",P661)))</f>
        <v>LOSE</v>
      </c>
      <c r="BS661" s="57" t="n">
        <f aca="false">IF(BR661="LOSE",1,IF(N(V661)&gt;0,V661,IF(BU661=1,MAX(1,N(VLOOKUP(T661,Parameter!$I$27:$K$29,3,0)),H661,N(N661)),IF(N(Q661)&gt;0,Q661,MAX(1,H661)))))</f>
        <v>1</v>
      </c>
      <c r="BT661" s="60" t="n">
        <f aca="false">IF(BR661="LOSE",1,0)</f>
        <v>1</v>
      </c>
      <c r="BU661" s="60" t="n">
        <f aca="false">IF(AND(U661="",OR(P661="",P661="LOSE"),T661&lt;&gt;"",N(S661)&lt;=0,ISNUMBER(MATCH(T661,Parameter!$I$27:$I$29,0))),1,0)</f>
        <v>0</v>
      </c>
      <c r="BV661" s="55" t="str">
        <f aca="false">IF(AND(Parameter!$B$19="Ja",E661&lt;&gt;"",ISNUMBER(MATCH(E661,Parameter!$I$35:$I$52,0))),VLOOKUP(E661,Parameter!$I$35:$J$52,2,0),IFERROR(VLOOKUP(D661,Parameter!$A$35:$C$64,2,0),"Nein"))</f>
        <v>Nein</v>
      </c>
      <c r="BW661" s="59" t="n">
        <f aca="false">IF(BT661=0,0,IF(N(S661)&gt;0,S661,IFERROR(VLOOKUP(D661,Parameter!$A$35:$C$64,3,0)+0,0)))</f>
        <v>0.15</v>
      </c>
      <c r="BX661" s="55" t="str">
        <f aca="false">IF(AA661&lt;&gt;"",AA661,Z661)</f>
        <v>-</v>
      </c>
      <c r="BY661" s="55" t="str">
        <f aca="false">IF(BX661=1,"L1",IF(OR(BX661=2,BX661=3),"L23",IF(BX661="Aussen","Aussen","-")))</f>
        <v>-</v>
      </c>
      <c r="BZ661" s="66" t="n">
        <f aca="false">IF(N(AB661)&gt;0,AB661,0)</f>
        <v>0</v>
      </c>
      <c r="CA661" s="60" t="n">
        <f aca="false">IF(ISNUMBER(AE661),1,0)</f>
        <v>0</v>
      </c>
      <c r="CB661" s="57" t="n">
        <f aca="false">N(AE661)</f>
        <v>0</v>
      </c>
      <c r="CC661" s="57" t="n">
        <f aca="false">N(M661)+N(N661)</f>
        <v>1</v>
      </c>
      <c r="CD661" s="57" t="n">
        <f aca="false">ROUNDUP(H661/BS661,0)</f>
        <v>0</v>
      </c>
      <c r="CE661" s="57" t="n">
        <f aca="false">ROUNDUP(CB661/BS661,0)</f>
        <v>0</v>
      </c>
      <c r="CF661" s="60" t="n">
        <f aca="false">IF(BT661=1,0,IFERROR(VLOOKUP(BR661,'Gebinde-Kategorie'!$A$5:$M$45,5,0)+0,0))</f>
        <v>0</v>
      </c>
      <c r="CG661" s="60" t="n">
        <f aca="false">IFERROR(IF(OR(BX661=1,BX661=2,BX661=3),N(INDEX(Parameter!$I$5:$I$7,BX661)),0),0)</f>
        <v>0</v>
      </c>
      <c r="CH661" s="59" t="n">
        <f aca="false">IF(AND(Parameter!$B$21="Ja",ISNUMBER(W661),N(X661)&gt;0),IFERROR(N(INDEX(Parameter!$L$5:$L$7,W661))*INDEX(Parameter!$E$5:$E$7,W661)*X661/SUMIFS($X$7:$X$1843,$W$7:$W$1843,W661),0),0)</f>
        <v>0</v>
      </c>
    </row>
    <row r="662" customFormat="false" ht="15" hidden="false" customHeight="false" outlineLevel="0" collapsed="false">
      <c r="A662" s="55" t="s">
        <v>1333</v>
      </c>
      <c r="B662" s="55" t="s">
        <v>654</v>
      </c>
      <c r="C662" s="55" t="s">
        <v>164</v>
      </c>
      <c r="D662" s="55" t="s">
        <v>995</v>
      </c>
      <c r="E662" s="55"/>
      <c r="F662" s="55" t="s">
        <v>218</v>
      </c>
      <c r="G662" s="56" t="n">
        <v>0.27</v>
      </c>
      <c r="H662" s="57" t="n">
        <f aca="false">MAX(0,IF(AND(Parameter!$B$21="Ja",ISNUMBER(Y662)),Y662,IF(Parameter!$B$20="Jahresanfang 2025 + Export",BL662+BK662,BK662)))</f>
        <v>0</v>
      </c>
      <c r="I662" s="57" t="n">
        <f aca="false">H662*G662</f>
        <v>0</v>
      </c>
      <c r="J662" s="57" t="n">
        <f aca="false">BN662*Parameter!$B$18</f>
        <v>60</v>
      </c>
      <c r="K662" s="58" t="n">
        <v>0</v>
      </c>
      <c r="L662" s="59" t="n">
        <v>0</v>
      </c>
      <c r="M662" s="57" t="n">
        <v>0</v>
      </c>
      <c r="N662" s="57" t="n">
        <v>1</v>
      </c>
      <c r="O662" s="60" t="n">
        <v>28</v>
      </c>
      <c r="P662" s="55" t="s">
        <v>168</v>
      </c>
      <c r="Q662" s="57"/>
      <c r="R662" s="60" t="n">
        <f aca="false">IF(BT662=1,0,IFERROR(VLOOKUP(BR662,'Gebinde-Kategorie'!$A$5:$M$45,13,0)+0,0))</f>
        <v>0</v>
      </c>
      <c r="S662" s="61"/>
      <c r="T662" s="62"/>
      <c r="U662" s="62"/>
      <c r="V662" s="62"/>
      <c r="W662" s="55"/>
      <c r="X662" s="57"/>
      <c r="Y662" s="57"/>
      <c r="Z662" s="55" t="str">
        <f aca="false">IF(A662="","",IF(AND(Parameter!$B$21="Ja",ISNUMBER(W662)),W662,IF(BV662="2+3",IF(ISNUMBER(SEARCH("grosser Artikel",BO662)),2,IFERROR(VLOOKUP(BR662,Parameter!$F$35:$G$64,2,0),2)),IF(OR(BV662="Nein",BV662=""),"-",BV662))))</f>
        <v>-</v>
      </c>
      <c r="AA662" s="62"/>
      <c r="AB662" s="63"/>
      <c r="AC662" s="57" t="n">
        <f aca="false">AR662</f>
        <v>30</v>
      </c>
      <c r="AD662" s="57" t="n">
        <f aca="false">MAX(AR662,H662)</f>
        <v>30</v>
      </c>
      <c r="AE662" s="64"/>
      <c r="AF662" s="57" t="n">
        <f aca="false">IF(LEFT(Cockpit!$C$5,1)="A",H662,IF(CA662=1,CB662,IF(LEFT(Cockpit!$C$5,1)="B",AJ662,MAX(AJ662,H662))))</f>
        <v>0</v>
      </c>
      <c r="AG662" s="57" t="n">
        <f aca="false">IF(BT662=1,0,ROUNDUP(AF662/BS662,0))</f>
        <v>0</v>
      </c>
      <c r="AH662" s="59" t="n">
        <f aca="false">IF(CH662&gt;0,CH662*MAX(1,AF662/X662),IF(BT662=1,IF(AF662&lt;=0,0,BW662*MAX(1,IF(H662&gt;0,AF662/H662,1))),IF(R662&gt;0,AG662/R662,0))/MAX(0.1,N(Parameter!$M$21)))</f>
        <v>0</v>
      </c>
      <c r="AI662" s="57" t="n">
        <f aca="false">AF662*G662</f>
        <v>0</v>
      </c>
      <c r="AJ662" s="57" t="n">
        <f aca="false">ROUNDUP(MAX(J662/IF(BZ662&gt;0,BZ662,MAX(0.1,N(Cockpit!$C$6))),CC662)/BS662,0)*BS662</f>
        <v>30</v>
      </c>
      <c r="AK662" s="58" t="n">
        <f aca="false">IF(AH662&gt;0,J662/AH662,-1)</f>
        <v>-1</v>
      </c>
      <c r="AL662" s="58" t="str">
        <f aca="false">IF(AND(OR(BY662="L1",BY662="L23"),AH662&gt;0),SUMIFS($AH$7:$AH$1843,$BY$7:$BY$1843,BY662,$AK$7:$AK$1843,"&gt;"&amp;AK662)+SUMIFS($AH$7:$AH$1843,$BY$7:$BY$1843,BY662,$AK$7:$AK$1843,AK662,$BQ$7:$BQ$1843,"&lt;="&amp;BQ662),"")</f>
        <v/>
      </c>
      <c r="AM662" s="65" t="n">
        <f aca="false">IF(AL662="",0,MAX(0,MIN(1,(IF(BY662="L1",Parameter!$E$5,Parameter!$E$6+Parameter!$E$7)-(AL662-AH662))/AH662)))</f>
        <v>0</v>
      </c>
      <c r="AN662" s="57" t="n">
        <f aca="false">IF(LEFT(Cockpit!$I$5,1)="A",H662,IF(CA662=1,CB662,IF(LEFT(Cockpit!$I$5,1)="B",AR662,MAX(AR662,H662))))</f>
        <v>30</v>
      </c>
      <c r="AO662" s="57" t="n">
        <f aca="false">IF(BT662=1,0,ROUNDUP(AN662/BS662,0))</f>
        <v>0</v>
      </c>
      <c r="AP662" s="59" t="n">
        <f aca="false">IF(CH662&gt;0,CH662*MAX(1,AN662/X662),IF(BT662=1,IF(AN662&lt;=0,0,BW662*MAX(1,IF(H662&gt;0,AN662/H662,1))),IF(R662&gt;0,AO662/R662,0))/MAX(0.1,N(Parameter!$M$21)))</f>
        <v>0.15</v>
      </c>
      <c r="AQ662" s="57" t="n">
        <f aca="false">AN662*G662</f>
        <v>8.1</v>
      </c>
      <c r="AR662" s="57" t="n">
        <f aca="false">ROUNDUP(MAX(J662/IF(BZ662&gt;0,BZ662,MAX(0.1,N(Cockpit!$I$6))),CC662)/BS662,0)*BS662</f>
        <v>30</v>
      </c>
      <c r="AS662" s="58" t="n">
        <f aca="false">IF(AP662&gt;0,J662/AP662,-1)</f>
        <v>400</v>
      </c>
      <c r="AT662" s="58" t="str">
        <f aca="false">IF(AND(OR(BY662="L1",BY662="L23"),AP662&gt;0),SUMIFS($AP$7:$AP$1843,$BY$7:$BY$1843,BY662,$AS$7:$AS$1843,"&gt;"&amp;AS662)+SUMIFS($AP$7:$AP$1843,$BY$7:$BY$1843,BY662,$AS$7:$AS$1843,AS662,$BQ$7:$BQ$1843,"&lt;="&amp;BQ662),"")</f>
        <v/>
      </c>
      <c r="AU662" s="65" t="n">
        <f aca="false">IF(AT662="",0,MAX(0,MIN(1,(IF(BY662="L1",Parameter!$E$5,Parameter!$E$6+Parameter!$E$7)-(AT662-AP662))/AP662)))</f>
        <v>0</v>
      </c>
      <c r="AV662" s="57" t="n">
        <f aca="false">IF(LEFT(Cockpit!$O$5,1)="A",H662,IF(CA662=1,CB662,IF(LEFT(Cockpit!$O$5,1)="B",AZ662,MAX(AZ662,H662))))</f>
        <v>20</v>
      </c>
      <c r="AW662" s="57" t="n">
        <f aca="false">IF(BT662=1,0,ROUNDUP(AV662/BS662,0))</f>
        <v>0</v>
      </c>
      <c r="AX662" s="59" t="n">
        <f aca="false">IF(CH662&gt;0,CH662*MAX(1,AV662/X662),IF(BT662=1,IF(AV662&lt;=0,0,BW662*MAX(1,IF(H662&gt;0,AV662/H662,1))),IF(R662&gt;0,AW662/R662,0))/MAX(0.1,N(Parameter!$M$21)))</f>
        <v>0.15</v>
      </c>
      <c r="AY662" s="57" t="n">
        <f aca="false">AV662*G662</f>
        <v>5.4</v>
      </c>
      <c r="AZ662" s="57" t="n">
        <f aca="false">ROUNDUP(MAX(J662/IF(BZ662&gt;0,BZ662,MAX(0.1,N(Cockpit!$O$6))),CC662)/BS662,0)*BS662</f>
        <v>20</v>
      </c>
      <c r="BA662" s="58" t="n">
        <f aca="false">IF(AX662&gt;0,J662/AX662,-1)</f>
        <v>400</v>
      </c>
      <c r="BB662" s="58" t="str">
        <f aca="false">IF(AND(OR(BY662="L1",BY662="L23"),AX662&gt;0),SUMIFS($AX$7:$AX$1843,$BY$7:$BY$1843,BY662,$BA$7:$BA$1843,"&gt;"&amp;BA662)+SUMIFS($AX$7:$AX$1843,$BY$7:$BY$1843,BY662,$BA$7:$BA$1843,BA662,$BQ$7:$BQ$1843,"&lt;="&amp;BQ662),"")</f>
        <v/>
      </c>
      <c r="BC662" s="65" t="n">
        <f aca="false">IF(BB662="",0,MAX(0,MIN(1,(IF(BY662="L1",Parameter!$E$5,Parameter!$E$6+Parameter!$E$7)-(BB662-AX662))/AX662)))</f>
        <v>0</v>
      </c>
      <c r="BD662" s="55" t="str">
        <f aca="false">IF(AH662&lt;=0,"",IF(BY662="Aussen","Aussenlager",IF(BY662="-","Nicht im Lift",IF(AM662&gt;=1,"Lift",IF(AM662&lt;=0,"Aussenlager","teilweise")))))</f>
        <v/>
      </c>
      <c r="BE662" s="55" t="str">
        <f aca="false">IF(AP662&lt;=0,"",IF(BY662="Aussen","Aussenlager",IF(BY662="-","Nicht im Lift",IF(AU662&gt;=1,"Lift",IF(AU662&lt;=0,"Aussenlager","teilweise")))))</f>
        <v>Nicht im Lift</v>
      </c>
      <c r="BF662" s="55" t="str">
        <f aca="false">IF(AX662&lt;=0,"",IF(BY662="Aussen","Aussenlager",IF(BY662="-","Nicht im Lift",IF(BC662&gt;=1,"Lift",IF(BC662&lt;=0,"Aussenlager","teilweise")))))</f>
        <v>Nicht im Lift</v>
      </c>
      <c r="BG662" s="55" t="str">
        <f aca="false">IF(A662="","",IF(BP662=1,"Neu; ","")&amp;IF(AND(BP662=0,BK662&lt;0),"negativer Bestand (Export "&amp;BK662&amp;"); ","")&amp;IF(J662&lt;=0,"Kein Verbrauch; ","")&amp;IF(CH662&gt;0,"Lift "&amp;W662&amp;" lt. Liftbericht (Fach "&amp;X662&amp;" Stk); ",IF(BU662=1,"Gebinde geschätzt ("&amp;T662&amp;"); ",IF(BT662=1,"Lose – Tablare geschätzt; ","")))&amp;IF(H662&gt;AR662,"Überbestand "&amp;ROUND(H662-AR662,0)&amp;" Stk / CHF "&amp;ROUND((H662-AR662)*G662,0)&amp;"; ","")&amp;IF(AND(CA662=1,CB662&lt;CC662),"MAX &lt; MB+LG; ","")&amp;IF(AND(CG662&gt;0,CF662*10&gt;CG662),"zu hoch für Tablar; ","")&amp;IF(AND(BP662=0,OR(CA662=1,AA662&lt;&gt;"",U662&lt;&gt;"",V662&lt;&gt;"",AB662&lt;&gt;"")),"manuell übersteuert; ","")&amp;IF(AND(BT662=0,R662=0),"Gebinde unbekannt / Stellmass fehlt; ","")&amp;IF(AND(BT662=0,N(V662)&lt;=0,N(Q662)&lt;=0),"Menge pro Gebinde fehlt (Ist = 1 Gebinde); ","")&amp;BO662)</f>
        <v>Lose – Tablare geschätzt; </v>
      </c>
      <c r="BH662" s="55"/>
      <c r="BI662" s="55"/>
      <c r="BJ662" s="62"/>
      <c r="BK662" s="57" t="n">
        <v>0</v>
      </c>
      <c r="BL662" s="57" t="n">
        <v>0</v>
      </c>
      <c r="BM662" s="56" t="n">
        <v>8.88178419700125E-016</v>
      </c>
      <c r="BN662" s="57" t="n">
        <v>60</v>
      </c>
      <c r="BO662" s="55"/>
      <c r="BP662" s="60" t="n">
        <v>0</v>
      </c>
      <c r="BQ662" s="60" t="n">
        <v>662</v>
      </c>
      <c r="BR662" s="55" t="str">
        <f aca="false">IF(U662&lt;&gt;"",UPPER(TRIM(U662)),IF(BU662=1,UPPER(VLOOKUP(T662,Parameter!$I$27:$K$29,2,0)),IF(P662="","LOSE",P662)))</f>
        <v>LOSE</v>
      </c>
      <c r="BS662" s="57" t="n">
        <f aca="false">IF(BR662="LOSE",1,IF(N(V662)&gt;0,V662,IF(BU662=1,MAX(1,N(VLOOKUP(T662,Parameter!$I$27:$K$29,3,0)),H662,N(N662)),IF(N(Q662)&gt;0,Q662,MAX(1,H662)))))</f>
        <v>1</v>
      </c>
      <c r="BT662" s="60" t="n">
        <f aca="false">IF(BR662="LOSE",1,0)</f>
        <v>1</v>
      </c>
      <c r="BU662" s="60" t="n">
        <f aca="false">IF(AND(U662="",OR(P662="",P662="LOSE"),T662&lt;&gt;"",N(S662)&lt;=0,ISNUMBER(MATCH(T662,Parameter!$I$27:$I$29,0))),1,0)</f>
        <v>0</v>
      </c>
      <c r="BV662" s="55" t="str">
        <f aca="false">IF(AND(Parameter!$B$19="Ja",E662&lt;&gt;"",ISNUMBER(MATCH(E662,Parameter!$I$35:$I$52,0))),VLOOKUP(E662,Parameter!$I$35:$J$52,2,0),IFERROR(VLOOKUP(D662,Parameter!$A$35:$C$64,2,0),"Nein"))</f>
        <v>Nein</v>
      </c>
      <c r="BW662" s="59" t="n">
        <f aca="false">IF(BT662=0,0,IF(N(S662)&gt;0,S662,IFERROR(VLOOKUP(D662,Parameter!$A$35:$C$64,3,0)+0,0)))</f>
        <v>0.15</v>
      </c>
      <c r="BX662" s="55" t="str">
        <f aca="false">IF(AA662&lt;&gt;"",AA662,Z662)</f>
        <v>-</v>
      </c>
      <c r="BY662" s="55" t="str">
        <f aca="false">IF(BX662=1,"L1",IF(OR(BX662=2,BX662=3),"L23",IF(BX662="Aussen","Aussen","-")))</f>
        <v>-</v>
      </c>
      <c r="BZ662" s="66" t="n">
        <f aca="false">IF(N(AB662)&gt;0,AB662,0)</f>
        <v>0</v>
      </c>
      <c r="CA662" s="60" t="n">
        <f aca="false">IF(ISNUMBER(AE662),1,0)</f>
        <v>0</v>
      </c>
      <c r="CB662" s="57" t="n">
        <f aca="false">N(AE662)</f>
        <v>0</v>
      </c>
      <c r="CC662" s="57" t="n">
        <f aca="false">N(M662)+N(N662)</f>
        <v>1</v>
      </c>
      <c r="CD662" s="57" t="n">
        <f aca="false">ROUNDUP(H662/BS662,0)</f>
        <v>0</v>
      </c>
      <c r="CE662" s="57" t="n">
        <f aca="false">ROUNDUP(CB662/BS662,0)</f>
        <v>0</v>
      </c>
      <c r="CF662" s="60" t="n">
        <f aca="false">IF(BT662=1,0,IFERROR(VLOOKUP(BR662,'Gebinde-Kategorie'!$A$5:$M$45,5,0)+0,0))</f>
        <v>0</v>
      </c>
      <c r="CG662" s="60" t="n">
        <f aca="false">IFERROR(IF(OR(BX662=1,BX662=2,BX662=3),N(INDEX(Parameter!$I$5:$I$7,BX662)),0),0)</f>
        <v>0</v>
      </c>
      <c r="CH662" s="59" t="n">
        <f aca="false">IF(AND(Parameter!$B$21="Ja",ISNUMBER(W662),N(X662)&gt;0),IFERROR(N(INDEX(Parameter!$L$5:$L$7,W662))*INDEX(Parameter!$E$5:$E$7,W662)*X662/SUMIFS($X$7:$X$1843,$W$7:$W$1843,W662),0),0)</f>
        <v>0</v>
      </c>
    </row>
    <row r="663" customFormat="false" ht="15" hidden="false" customHeight="false" outlineLevel="0" collapsed="false">
      <c r="A663" s="55" t="s">
        <v>1334</v>
      </c>
      <c r="B663" s="55" t="s">
        <v>1335</v>
      </c>
      <c r="C663" s="55" t="s">
        <v>164</v>
      </c>
      <c r="D663" s="55" t="s">
        <v>173</v>
      </c>
      <c r="E663" s="55"/>
      <c r="F663" s="55" t="s">
        <v>218</v>
      </c>
      <c r="G663" s="56" t="n">
        <v>0.01</v>
      </c>
      <c r="H663" s="57" t="n">
        <f aca="false">MAX(0,IF(AND(Parameter!$B$21="Ja",ISNUMBER(Y663)),Y663,IF(Parameter!$B$20="Jahresanfang 2025 + Export",BL663+BK663,BK663)))</f>
        <v>0</v>
      </c>
      <c r="I663" s="57" t="n">
        <f aca="false">H663*G663</f>
        <v>0</v>
      </c>
      <c r="J663" s="57" t="n">
        <f aca="false">BN663*Parameter!$B$18</f>
        <v>31</v>
      </c>
      <c r="K663" s="58" t="n">
        <v>50</v>
      </c>
      <c r="L663" s="59" t="n">
        <v>0.62</v>
      </c>
      <c r="M663" s="57" t="n">
        <v>0</v>
      </c>
      <c r="N663" s="57" t="n">
        <v>1</v>
      </c>
      <c r="O663" s="60" t="n">
        <v>0</v>
      </c>
      <c r="P663" s="55" t="s">
        <v>168</v>
      </c>
      <c r="Q663" s="57"/>
      <c r="R663" s="60" t="n">
        <f aca="false">IF(BT663=1,0,IFERROR(VLOOKUP(BR663,'Gebinde-Kategorie'!$A$5:$M$45,13,0)+0,0))</f>
        <v>12</v>
      </c>
      <c r="S663" s="61"/>
      <c r="T663" s="62" t="s">
        <v>179</v>
      </c>
      <c r="U663" s="62"/>
      <c r="V663" s="62"/>
      <c r="W663" s="55"/>
      <c r="X663" s="57"/>
      <c r="Y663" s="57"/>
      <c r="Z663" s="55" t="n">
        <f aca="false">IF(A663="","",IF(AND(Parameter!$B$21="Ja",ISNUMBER(W663)),W663,IF(BV663="2+3",IF(ISNUMBER(SEARCH("grosser Artikel",BO663)),2,IFERROR(VLOOKUP(BR663,Parameter!$F$35:$G$64,2,0),2)),IF(OR(BV663="Nein",BV663=""),"-",BV663))))</f>
        <v>2</v>
      </c>
      <c r="AA663" s="62"/>
      <c r="AB663" s="63"/>
      <c r="AC663" s="57" t="n">
        <f aca="false">AR663</f>
        <v>16</v>
      </c>
      <c r="AD663" s="57" t="n">
        <f aca="false">MAX(AR663,H663)</f>
        <v>16</v>
      </c>
      <c r="AE663" s="64"/>
      <c r="AF663" s="57" t="n">
        <f aca="false">IF(LEFT(Cockpit!$C$5,1)="A",H663,IF(CA663=1,CB663,IF(LEFT(Cockpit!$C$5,1)="B",AJ663,MAX(AJ663,H663))))</f>
        <v>0</v>
      </c>
      <c r="AG663" s="57" t="n">
        <f aca="false">IF(BT663=1,0,ROUNDUP(AF663/BS663,0))</f>
        <v>0</v>
      </c>
      <c r="AH663" s="59" t="n">
        <f aca="false">IF(CH663&gt;0,CH663*MAX(1,AF663/X663),IF(BT663=1,IF(AF663&lt;=0,0,BW663*MAX(1,IF(H663&gt;0,AF663/H663,1))),IF(R663&gt;0,AG663/R663,0))/MAX(0.1,N(Parameter!$M$21)))</f>
        <v>0</v>
      </c>
      <c r="AI663" s="57" t="n">
        <f aca="false">AF663*G663</f>
        <v>0</v>
      </c>
      <c r="AJ663" s="57" t="n">
        <f aca="false">ROUNDUP(MAX(J663/IF(BZ663&gt;0,BZ663,MAX(0.1,N(Cockpit!$C$6))),CC663)/BS663,0)*BS663</f>
        <v>16</v>
      </c>
      <c r="AK663" s="58" t="n">
        <f aca="false">IF(AH663&gt;0,J663/AH663,-1)</f>
        <v>-1</v>
      </c>
      <c r="AL663" s="58" t="str">
        <f aca="false">IF(AND(OR(BY663="L1",BY663="L23"),AH663&gt;0),SUMIFS($AH$7:$AH$1843,$BY$7:$BY$1843,BY663,$AK$7:$AK$1843,"&gt;"&amp;AK663)+SUMIFS($AH$7:$AH$1843,$BY$7:$BY$1843,BY663,$AK$7:$AK$1843,AK663,$BQ$7:$BQ$1843,"&lt;="&amp;BQ663),"")</f>
        <v/>
      </c>
      <c r="AM663" s="65" t="n">
        <f aca="false">IF(AL663="",0,MAX(0,MIN(1,(IF(BY663="L1",Parameter!$E$5,Parameter!$E$6+Parameter!$E$7)-(AL663-AH663))/AH663)))</f>
        <v>0</v>
      </c>
      <c r="AN663" s="57" t="n">
        <f aca="false">IF(LEFT(Cockpit!$I$5,1)="A",H663,IF(CA663=1,CB663,IF(LEFT(Cockpit!$I$5,1)="B",AR663,MAX(AR663,H663))))</f>
        <v>16</v>
      </c>
      <c r="AO663" s="57" t="n">
        <f aca="false">IF(BT663=1,0,ROUNDUP(AN663/BS663,0))</f>
        <v>4</v>
      </c>
      <c r="AP663" s="59" t="n">
        <f aca="false">IF(CH663&gt;0,CH663*MAX(1,AN663/X663),IF(BT663=1,IF(AN663&lt;=0,0,BW663*MAX(1,IF(H663&gt;0,AN663/H663,1))),IF(R663&gt;0,AO663/R663,0))/MAX(0.1,N(Parameter!$M$21)))</f>
        <v>0.333333333333333</v>
      </c>
      <c r="AQ663" s="57" t="n">
        <f aca="false">AN663*G663</f>
        <v>0.16</v>
      </c>
      <c r="AR663" s="57" t="n">
        <f aca="false">ROUNDUP(MAX(J663/IF(BZ663&gt;0,BZ663,MAX(0.1,N(Cockpit!$I$6))),CC663)/BS663,0)*BS663</f>
        <v>16</v>
      </c>
      <c r="AS663" s="58" t="n">
        <f aca="false">IF(AP663&gt;0,J663/AP663,-1)</f>
        <v>93</v>
      </c>
      <c r="AT663" s="58" t="n">
        <f aca="false">IF(AND(OR(BY663="L1",BY663="L23"),AP663&gt;0),SUMIFS($AP$7:$AP$1843,$BY$7:$BY$1843,BY663,$AS$7:$AS$1843,"&gt;"&amp;AS663)+SUMIFS($AP$7:$AP$1843,$BY$7:$BY$1843,BY663,$AS$7:$AS$1843,AS663,$BQ$7:$BQ$1843,"&lt;="&amp;BQ663),"")</f>
        <v>59.9406270058444</v>
      </c>
      <c r="AU663" s="65" t="n">
        <f aca="false">IF(AT663="",0,MAX(0,MIN(1,(IF(BY663="L1",Parameter!$E$5,Parameter!$E$6+Parameter!$E$7)-(AT663-AP663))/AP663)))</f>
        <v>1</v>
      </c>
      <c r="AV663" s="57" t="n">
        <f aca="false">IF(LEFT(Cockpit!$O$5,1)="A",H663,IF(CA663=1,CB663,IF(LEFT(Cockpit!$O$5,1)="B",AZ663,MAX(AZ663,H663))))</f>
        <v>12</v>
      </c>
      <c r="AW663" s="57" t="n">
        <f aca="false">IF(BT663=1,0,ROUNDUP(AV663/BS663,0))</f>
        <v>3</v>
      </c>
      <c r="AX663" s="59" t="n">
        <f aca="false">IF(CH663&gt;0,CH663*MAX(1,AV663/X663),IF(BT663=1,IF(AV663&lt;=0,0,BW663*MAX(1,IF(H663&gt;0,AV663/H663,1))),IF(R663&gt;0,AW663/R663,0))/MAX(0.1,N(Parameter!$M$21)))</f>
        <v>0.25</v>
      </c>
      <c r="AY663" s="57" t="n">
        <f aca="false">AV663*G663</f>
        <v>0.12</v>
      </c>
      <c r="AZ663" s="57" t="n">
        <f aca="false">ROUNDUP(MAX(J663/IF(BZ663&gt;0,BZ663,MAX(0.1,N(Cockpit!$O$6))),CC663)/BS663,0)*BS663</f>
        <v>12</v>
      </c>
      <c r="BA663" s="58" t="n">
        <f aca="false">IF(AX663&gt;0,J663/AX663,-1)</f>
        <v>124</v>
      </c>
      <c r="BB663" s="58" t="n">
        <f aca="false">IF(AND(OR(BY663="L1",BY663="L23"),AX663&gt;0),SUMIFS($AX$7:$AX$1843,$BY$7:$BY$1843,BY663,$BA$7:$BA$1843,"&gt;"&amp;BA663)+SUMIFS($AX$7:$AX$1843,$BY$7:$BY$1843,BY663,$BA$7:$BA$1843,BA663,$BQ$7:$BQ$1843,"&lt;="&amp;BQ663),"")</f>
        <v>51.3079541231715</v>
      </c>
      <c r="BC663" s="65" t="n">
        <f aca="false">IF(BB663="",0,MAX(0,MIN(1,(IF(BY663="L1",Parameter!$E$5,Parameter!$E$6+Parameter!$E$7)-(BB663-AX663))/AX663)))</f>
        <v>1</v>
      </c>
      <c r="BD663" s="55" t="str">
        <f aca="false">IF(AH663&lt;=0,"",IF(BY663="Aussen","Aussenlager",IF(BY663="-","Nicht im Lift",IF(AM663&gt;=1,"Lift",IF(AM663&lt;=0,"Aussenlager","teilweise")))))</f>
        <v/>
      </c>
      <c r="BE663" s="55" t="str">
        <f aca="false">IF(AP663&lt;=0,"",IF(BY663="Aussen","Aussenlager",IF(BY663="-","Nicht im Lift",IF(AU663&gt;=1,"Lift",IF(AU663&lt;=0,"Aussenlager","teilweise")))))</f>
        <v>Lift</v>
      </c>
      <c r="BF663" s="55" t="str">
        <f aca="false">IF(AX663&lt;=0,"",IF(BY663="Aussen","Aussenlager",IF(BY663="-","Nicht im Lift",IF(BC663&gt;=1,"Lift",IF(BC663&lt;=0,"Aussenlager","teilweise")))))</f>
        <v>Lift</v>
      </c>
      <c r="BG663" s="55" t="str">
        <f aca="false">IF(A663="","",IF(BP663=1,"Neu; ","")&amp;IF(AND(BP663=0,BK663&lt;0),"negativer Bestand (Export "&amp;BK663&amp;"); ","")&amp;IF(J663&lt;=0,"Kein Verbrauch; ","")&amp;IF(CH663&gt;0,"Lift "&amp;W663&amp;" lt. Liftbericht (Fach "&amp;X663&amp;" Stk); ",IF(BU663=1,"Gebinde geschätzt ("&amp;T663&amp;"); ",IF(BT663=1,"Lose – Tablare geschätzt; ","")))&amp;IF(H663&gt;AR663,"Überbestand "&amp;ROUND(H663-AR663,0)&amp;" Stk / CHF "&amp;ROUND((H663-AR663)*G663,0)&amp;"; ","")&amp;IF(AND(CA663=1,CB663&lt;CC663),"MAX &lt; MB+LG; ","")&amp;IF(AND(CG663&gt;0,CF663*10&gt;CG663),"zu hoch für Tablar; ","")&amp;IF(AND(BP663=0,OR(CA663=1,AA663&lt;&gt;"",U663&lt;&gt;"",V663&lt;&gt;"",AB663&lt;&gt;"")),"manuell übersteuert; ","")&amp;IF(AND(BT663=0,R663=0),"Gebinde unbekannt / Stellmass fehlt; ","")&amp;IF(AND(BT663=0,N(V663)&lt;=0,N(Q663)&lt;=0),"Menge pro Gebinde fehlt (Ist = 1 Gebinde); ","")&amp;BO663)</f>
        <v>negativer Bestand (Export -100); Gebinde geschätzt (Mittel); Menge pro Gebinde fehlt (Ist = 1 Gebinde); </v>
      </c>
      <c r="BH663" s="55"/>
      <c r="BI663" s="55"/>
      <c r="BJ663" s="62"/>
      <c r="BK663" s="57" t="n">
        <v>-100</v>
      </c>
      <c r="BL663" s="57" t="n">
        <v>100</v>
      </c>
      <c r="BM663" s="56" t="n">
        <v>1.11022302462516E-016</v>
      </c>
      <c r="BN663" s="57" t="n">
        <v>31</v>
      </c>
      <c r="BO663" s="55"/>
      <c r="BP663" s="60" t="n">
        <v>0</v>
      </c>
      <c r="BQ663" s="60" t="n">
        <v>663</v>
      </c>
      <c r="BR663" s="55" t="str">
        <f aca="false">IF(U663&lt;&gt;"",UPPER(TRIM(U663)),IF(BU663=1,UPPER(VLOOKUP(T663,Parameter!$I$27:$K$29,2,0)),IF(P663="","LOSE",P663)))</f>
        <v>S61</v>
      </c>
      <c r="BS663" s="57" t="n">
        <f aca="false">IF(BR663="LOSE",1,IF(N(V663)&gt;0,V663,IF(BU663=1,MAX(1,N(VLOOKUP(T663,Parameter!$I$27:$K$29,3,0)),H663,N(N663)),IF(N(Q663)&gt;0,Q663,MAX(1,H663)))))</f>
        <v>4</v>
      </c>
      <c r="BT663" s="60" t="n">
        <f aca="false">IF(BR663="LOSE",1,0)</f>
        <v>0</v>
      </c>
      <c r="BU663" s="60" t="n">
        <f aca="false">IF(AND(U663="",OR(P663="",P663="LOSE"),T663&lt;&gt;"",N(S663)&lt;=0,ISNUMBER(MATCH(T663,Parameter!$I$27:$I$29,0))),1,0)</f>
        <v>1</v>
      </c>
      <c r="BV663" s="55" t="str">
        <f aca="false">IF(AND(Parameter!$B$19="Ja",E663&lt;&gt;"",ISNUMBER(MATCH(E663,Parameter!$I$35:$I$52,0))),VLOOKUP(E663,Parameter!$I$35:$J$52,2,0),IFERROR(VLOOKUP(D663,Parameter!$A$35:$C$64,2,0),"Nein"))</f>
        <v>2+3</v>
      </c>
      <c r="BW663" s="59" t="n">
        <f aca="false">IF(BT663=0,0,IF(N(S663)&gt;0,S663,IFERROR(VLOOKUP(D663,Parameter!$A$35:$C$64,3,0)+0,0)))</f>
        <v>0</v>
      </c>
      <c r="BX663" s="55" t="n">
        <f aca="false">IF(AA663&lt;&gt;"",AA663,Z663)</f>
        <v>2</v>
      </c>
      <c r="BY663" s="55" t="str">
        <f aca="false">IF(BX663=1,"L1",IF(OR(BX663=2,BX663=3),"L23",IF(BX663="Aussen","Aussen","-")))</f>
        <v>L23</v>
      </c>
      <c r="BZ663" s="66" t="n">
        <f aca="false">IF(N(AB663)&gt;0,AB663,0)</f>
        <v>0</v>
      </c>
      <c r="CA663" s="60" t="n">
        <f aca="false">IF(ISNUMBER(AE663),1,0)</f>
        <v>0</v>
      </c>
      <c r="CB663" s="57" t="n">
        <f aca="false">N(AE663)</f>
        <v>0</v>
      </c>
      <c r="CC663" s="57" t="n">
        <f aca="false">N(M663)+N(N663)</f>
        <v>1</v>
      </c>
      <c r="CD663" s="57" t="n">
        <f aca="false">ROUNDUP(H663/BS663,0)</f>
        <v>0</v>
      </c>
      <c r="CE663" s="57" t="n">
        <f aca="false">ROUNDUP(CB663/BS663,0)</f>
        <v>0</v>
      </c>
      <c r="CF663" s="60" t="n">
        <f aca="false">IF(BT663=1,0,IFERROR(VLOOKUP(BR663,'Gebinde-Kategorie'!$A$5:$M$45,5,0)+0,0))</f>
        <v>11</v>
      </c>
      <c r="CG663" s="60" t="n">
        <f aca="false">IFERROR(IF(OR(BX663=1,BX663=2,BX663=3),N(INDEX(Parameter!$I$5:$I$7,BX663)),0),0)</f>
        <v>0</v>
      </c>
      <c r="CH663" s="59" t="n">
        <f aca="false">IF(AND(Parameter!$B$21="Ja",ISNUMBER(W663),N(X663)&gt;0),IFERROR(N(INDEX(Parameter!$L$5:$L$7,W663))*INDEX(Parameter!$E$5:$E$7,W663)*X663/SUMIFS($X$7:$X$1843,$W$7:$W$1843,W663),0),0)</f>
        <v>0</v>
      </c>
    </row>
    <row r="664" customFormat="false" ht="15" hidden="false" customHeight="false" outlineLevel="0" collapsed="false">
      <c r="A664" s="55" t="s">
        <v>1336</v>
      </c>
      <c r="B664" s="55" t="s">
        <v>998</v>
      </c>
      <c r="C664" s="55" t="s">
        <v>164</v>
      </c>
      <c r="D664" s="55" t="s">
        <v>995</v>
      </c>
      <c r="E664" s="55"/>
      <c r="F664" s="55" t="s">
        <v>218</v>
      </c>
      <c r="G664" s="56" t="n">
        <v>144.62</v>
      </c>
      <c r="H664" s="57" t="n">
        <f aca="false">MAX(0,IF(AND(Parameter!$B$21="Ja",ISNUMBER(Y664)),Y664,IF(Parameter!$B$20="Jahresanfang 2025 + Export",BL664+BK664,BK664)))</f>
        <v>0</v>
      </c>
      <c r="I664" s="57" t="n">
        <f aca="false">H664*G664</f>
        <v>0</v>
      </c>
      <c r="J664" s="57" t="n">
        <f aca="false">BN664*Parameter!$B$18</f>
        <v>8</v>
      </c>
      <c r="K664" s="58" t="n">
        <v>0</v>
      </c>
      <c r="L664" s="59" t="n">
        <v>0</v>
      </c>
      <c r="M664" s="57" t="n">
        <v>0</v>
      </c>
      <c r="N664" s="57" t="n">
        <v>1</v>
      </c>
      <c r="O664" s="60" t="n">
        <v>105</v>
      </c>
      <c r="P664" s="55" t="s">
        <v>168</v>
      </c>
      <c r="Q664" s="57"/>
      <c r="R664" s="60" t="n">
        <f aca="false">IF(BT664=1,0,IFERROR(VLOOKUP(BR664,'Gebinde-Kategorie'!$A$5:$M$45,13,0)+0,0))</f>
        <v>0</v>
      </c>
      <c r="S664" s="61"/>
      <c r="T664" s="62"/>
      <c r="U664" s="62"/>
      <c r="V664" s="62"/>
      <c r="W664" s="55"/>
      <c r="X664" s="57"/>
      <c r="Y664" s="57"/>
      <c r="Z664" s="55" t="str">
        <f aca="false">IF(A664="","",IF(AND(Parameter!$B$21="Ja",ISNUMBER(W664)),W664,IF(BV664="2+3",IF(ISNUMBER(SEARCH("grosser Artikel",BO664)),2,IFERROR(VLOOKUP(BR664,Parameter!$F$35:$G$64,2,0),2)),IF(OR(BV664="Nein",BV664=""),"-",BV664))))</f>
        <v>-</v>
      </c>
      <c r="AA664" s="62"/>
      <c r="AB664" s="63"/>
      <c r="AC664" s="57" t="n">
        <f aca="false">AR664</f>
        <v>4</v>
      </c>
      <c r="AD664" s="57" t="n">
        <f aca="false">MAX(AR664,H664)</f>
        <v>4</v>
      </c>
      <c r="AE664" s="64"/>
      <c r="AF664" s="57" t="n">
        <f aca="false">IF(LEFT(Cockpit!$C$5,1)="A",H664,IF(CA664=1,CB664,IF(LEFT(Cockpit!$C$5,1)="B",AJ664,MAX(AJ664,H664))))</f>
        <v>0</v>
      </c>
      <c r="AG664" s="57" t="n">
        <f aca="false">IF(BT664=1,0,ROUNDUP(AF664/BS664,0))</f>
        <v>0</v>
      </c>
      <c r="AH664" s="59" t="n">
        <f aca="false">IF(CH664&gt;0,CH664*MAX(1,AF664/X664),IF(BT664=1,IF(AF664&lt;=0,0,BW664*MAX(1,IF(H664&gt;0,AF664/H664,1))),IF(R664&gt;0,AG664/R664,0))/MAX(0.1,N(Parameter!$M$21)))</f>
        <v>0</v>
      </c>
      <c r="AI664" s="57" t="n">
        <f aca="false">AF664*G664</f>
        <v>0</v>
      </c>
      <c r="AJ664" s="57" t="n">
        <f aca="false">ROUNDUP(MAX(J664/IF(BZ664&gt;0,BZ664,MAX(0.1,N(Cockpit!$C$6))),CC664)/BS664,0)*BS664</f>
        <v>4</v>
      </c>
      <c r="AK664" s="58" t="n">
        <f aca="false">IF(AH664&gt;0,J664/AH664,-1)</f>
        <v>-1</v>
      </c>
      <c r="AL664" s="58" t="str">
        <f aca="false">IF(AND(OR(BY664="L1",BY664="L23"),AH664&gt;0),SUMIFS($AH$7:$AH$1843,$BY$7:$BY$1843,BY664,$AK$7:$AK$1843,"&gt;"&amp;AK664)+SUMIFS($AH$7:$AH$1843,$BY$7:$BY$1843,BY664,$AK$7:$AK$1843,AK664,$BQ$7:$BQ$1843,"&lt;="&amp;BQ664),"")</f>
        <v/>
      </c>
      <c r="AM664" s="65" t="n">
        <f aca="false">IF(AL664="",0,MAX(0,MIN(1,(IF(BY664="L1",Parameter!$E$5,Parameter!$E$6+Parameter!$E$7)-(AL664-AH664))/AH664)))</f>
        <v>0</v>
      </c>
      <c r="AN664" s="57" t="n">
        <f aca="false">IF(LEFT(Cockpit!$I$5,1)="A",H664,IF(CA664=1,CB664,IF(LEFT(Cockpit!$I$5,1)="B",AR664,MAX(AR664,H664))))</f>
        <v>4</v>
      </c>
      <c r="AO664" s="57" t="n">
        <f aca="false">IF(BT664=1,0,ROUNDUP(AN664/BS664,0))</f>
        <v>0</v>
      </c>
      <c r="AP664" s="59" t="n">
        <f aca="false">IF(CH664&gt;0,CH664*MAX(1,AN664/X664),IF(BT664=1,IF(AN664&lt;=0,0,BW664*MAX(1,IF(H664&gt;0,AN664/H664,1))),IF(R664&gt;0,AO664/R664,0))/MAX(0.1,N(Parameter!$M$21)))</f>
        <v>0.15</v>
      </c>
      <c r="AQ664" s="57" t="n">
        <f aca="false">AN664*G664</f>
        <v>578.48</v>
      </c>
      <c r="AR664" s="57" t="n">
        <f aca="false">ROUNDUP(MAX(J664/IF(BZ664&gt;0,BZ664,MAX(0.1,N(Cockpit!$I$6))),CC664)/BS664,0)*BS664</f>
        <v>4</v>
      </c>
      <c r="AS664" s="58" t="n">
        <f aca="false">IF(AP664&gt;0,J664/AP664,-1)</f>
        <v>53.3333333333333</v>
      </c>
      <c r="AT664" s="58" t="str">
        <f aca="false">IF(AND(OR(BY664="L1",BY664="L23"),AP664&gt;0),SUMIFS($AP$7:$AP$1843,$BY$7:$BY$1843,BY664,$AS$7:$AS$1843,"&gt;"&amp;AS664)+SUMIFS($AP$7:$AP$1843,$BY$7:$BY$1843,BY664,$AS$7:$AS$1843,AS664,$BQ$7:$BQ$1843,"&lt;="&amp;BQ664),"")</f>
        <v/>
      </c>
      <c r="AU664" s="65" t="n">
        <f aca="false">IF(AT664="",0,MAX(0,MIN(1,(IF(BY664="L1",Parameter!$E$5,Parameter!$E$6+Parameter!$E$7)-(AT664-AP664))/AP664)))</f>
        <v>0</v>
      </c>
      <c r="AV664" s="57" t="n">
        <f aca="false">IF(LEFT(Cockpit!$O$5,1)="A",H664,IF(CA664=1,CB664,IF(LEFT(Cockpit!$O$5,1)="B",AZ664,MAX(AZ664,H664))))</f>
        <v>3</v>
      </c>
      <c r="AW664" s="57" t="n">
        <f aca="false">IF(BT664=1,0,ROUNDUP(AV664/BS664,0))</f>
        <v>0</v>
      </c>
      <c r="AX664" s="59" t="n">
        <f aca="false">IF(CH664&gt;0,CH664*MAX(1,AV664/X664),IF(BT664=1,IF(AV664&lt;=0,0,BW664*MAX(1,IF(H664&gt;0,AV664/H664,1))),IF(R664&gt;0,AW664/R664,0))/MAX(0.1,N(Parameter!$M$21)))</f>
        <v>0.15</v>
      </c>
      <c r="AY664" s="57" t="n">
        <f aca="false">AV664*G664</f>
        <v>433.86</v>
      </c>
      <c r="AZ664" s="57" t="n">
        <f aca="false">ROUNDUP(MAX(J664/IF(BZ664&gt;0,BZ664,MAX(0.1,N(Cockpit!$O$6))),CC664)/BS664,0)*BS664</f>
        <v>3</v>
      </c>
      <c r="BA664" s="58" t="n">
        <f aca="false">IF(AX664&gt;0,J664/AX664,-1)</f>
        <v>53.3333333333333</v>
      </c>
      <c r="BB664" s="58" t="str">
        <f aca="false">IF(AND(OR(BY664="L1",BY664="L23"),AX664&gt;0),SUMIFS($AX$7:$AX$1843,$BY$7:$BY$1843,BY664,$BA$7:$BA$1843,"&gt;"&amp;BA664)+SUMIFS($AX$7:$AX$1843,$BY$7:$BY$1843,BY664,$BA$7:$BA$1843,BA664,$BQ$7:$BQ$1843,"&lt;="&amp;BQ664),"")</f>
        <v/>
      </c>
      <c r="BC664" s="65" t="n">
        <f aca="false">IF(BB664="",0,MAX(0,MIN(1,(IF(BY664="L1",Parameter!$E$5,Parameter!$E$6+Parameter!$E$7)-(BB664-AX664))/AX664)))</f>
        <v>0</v>
      </c>
      <c r="BD664" s="55" t="str">
        <f aca="false">IF(AH664&lt;=0,"",IF(BY664="Aussen","Aussenlager",IF(BY664="-","Nicht im Lift",IF(AM664&gt;=1,"Lift",IF(AM664&lt;=0,"Aussenlager","teilweise")))))</f>
        <v/>
      </c>
      <c r="BE664" s="55" t="str">
        <f aca="false">IF(AP664&lt;=0,"",IF(BY664="Aussen","Aussenlager",IF(BY664="-","Nicht im Lift",IF(AU664&gt;=1,"Lift",IF(AU664&lt;=0,"Aussenlager","teilweise")))))</f>
        <v>Nicht im Lift</v>
      </c>
      <c r="BF664" s="55" t="str">
        <f aca="false">IF(AX664&lt;=0,"",IF(BY664="Aussen","Aussenlager",IF(BY664="-","Nicht im Lift",IF(BC664&gt;=1,"Lift",IF(BC664&lt;=0,"Aussenlager","teilweise")))))</f>
        <v>Nicht im Lift</v>
      </c>
      <c r="BG664" s="55" t="str">
        <f aca="false">IF(A664="","",IF(BP664=1,"Neu; ","")&amp;IF(AND(BP664=0,BK664&lt;0),"negativer Bestand (Export "&amp;BK664&amp;"); ","")&amp;IF(J664&lt;=0,"Kein Verbrauch; ","")&amp;IF(CH664&gt;0,"Lift "&amp;W664&amp;" lt. Liftbericht (Fach "&amp;X664&amp;" Stk); ",IF(BU664=1,"Gebinde geschätzt ("&amp;T664&amp;"); ",IF(BT664=1,"Lose – Tablare geschätzt; ","")))&amp;IF(H664&gt;AR664,"Überbestand "&amp;ROUND(H664-AR664,0)&amp;" Stk / CHF "&amp;ROUND((H664-AR664)*G664,0)&amp;"; ","")&amp;IF(AND(CA664=1,CB664&lt;CC664),"MAX &lt; MB+LG; ","")&amp;IF(AND(CG664&gt;0,CF664*10&gt;CG664),"zu hoch für Tablar; ","")&amp;IF(AND(BP664=0,OR(CA664=1,AA664&lt;&gt;"",U664&lt;&gt;"",V664&lt;&gt;"",AB664&lt;&gt;"")),"manuell übersteuert; ","")&amp;IF(AND(BT664=0,R664=0),"Gebinde unbekannt / Stellmass fehlt; ","")&amp;IF(AND(BT664=0,N(V664)&lt;=0,N(Q664)&lt;=0),"Menge pro Gebinde fehlt (Ist = 1 Gebinde); ","")&amp;BO664)</f>
        <v>Lose – Tablare geschätzt; </v>
      </c>
      <c r="BH664" s="55"/>
      <c r="BI664" s="55"/>
      <c r="BJ664" s="62"/>
      <c r="BK664" s="57" t="n">
        <v>0</v>
      </c>
      <c r="BL664" s="57" t="n">
        <v>0</v>
      </c>
      <c r="BM664" s="56" t="n">
        <v>0</v>
      </c>
      <c r="BN664" s="57" t="n">
        <v>8</v>
      </c>
      <c r="BO664" s="55"/>
      <c r="BP664" s="60" t="n">
        <v>0</v>
      </c>
      <c r="BQ664" s="60" t="n">
        <v>664</v>
      </c>
      <c r="BR664" s="55" t="str">
        <f aca="false">IF(U664&lt;&gt;"",UPPER(TRIM(U664)),IF(BU664=1,UPPER(VLOOKUP(T664,Parameter!$I$27:$K$29,2,0)),IF(P664="","LOSE",P664)))</f>
        <v>LOSE</v>
      </c>
      <c r="BS664" s="57" t="n">
        <f aca="false">IF(BR664="LOSE",1,IF(N(V664)&gt;0,V664,IF(BU664=1,MAX(1,N(VLOOKUP(T664,Parameter!$I$27:$K$29,3,0)),H664,N(N664)),IF(N(Q664)&gt;0,Q664,MAX(1,H664)))))</f>
        <v>1</v>
      </c>
      <c r="BT664" s="60" t="n">
        <f aca="false">IF(BR664="LOSE",1,0)</f>
        <v>1</v>
      </c>
      <c r="BU664" s="60" t="n">
        <f aca="false">IF(AND(U664="",OR(P664="",P664="LOSE"),T664&lt;&gt;"",N(S664)&lt;=0,ISNUMBER(MATCH(T664,Parameter!$I$27:$I$29,0))),1,0)</f>
        <v>0</v>
      </c>
      <c r="BV664" s="55" t="str">
        <f aca="false">IF(AND(Parameter!$B$19="Ja",E664&lt;&gt;"",ISNUMBER(MATCH(E664,Parameter!$I$35:$I$52,0))),VLOOKUP(E664,Parameter!$I$35:$J$52,2,0),IFERROR(VLOOKUP(D664,Parameter!$A$35:$C$64,2,0),"Nein"))</f>
        <v>Nein</v>
      </c>
      <c r="BW664" s="59" t="n">
        <f aca="false">IF(BT664=0,0,IF(N(S664)&gt;0,S664,IFERROR(VLOOKUP(D664,Parameter!$A$35:$C$64,3,0)+0,0)))</f>
        <v>0.15</v>
      </c>
      <c r="BX664" s="55" t="str">
        <f aca="false">IF(AA664&lt;&gt;"",AA664,Z664)</f>
        <v>-</v>
      </c>
      <c r="BY664" s="55" t="str">
        <f aca="false">IF(BX664=1,"L1",IF(OR(BX664=2,BX664=3),"L23",IF(BX664="Aussen","Aussen","-")))</f>
        <v>-</v>
      </c>
      <c r="BZ664" s="66" t="n">
        <f aca="false">IF(N(AB664)&gt;0,AB664,0)</f>
        <v>0</v>
      </c>
      <c r="CA664" s="60" t="n">
        <f aca="false">IF(ISNUMBER(AE664),1,0)</f>
        <v>0</v>
      </c>
      <c r="CB664" s="57" t="n">
        <f aca="false">N(AE664)</f>
        <v>0</v>
      </c>
      <c r="CC664" s="57" t="n">
        <f aca="false">N(M664)+N(N664)</f>
        <v>1</v>
      </c>
      <c r="CD664" s="57" t="n">
        <f aca="false">ROUNDUP(H664/BS664,0)</f>
        <v>0</v>
      </c>
      <c r="CE664" s="57" t="n">
        <f aca="false">ROUNDUP(CB664/BS664,0)</f>
        <v>0</v>
      </c>
      <c r="CF664" s="60" t="n">
        <f aca="false">IF(BT664=1,0,IFERROR(VLOOKUP(BR664,'Gebinde-Kategorie'!$A$5:$M$45,5,0)+0,0))</f>
        <v>0</v>
      </c>
      <c r="CG664" s="60" t="n">
        <f aca="false">IFERROR(IF(OR(BX664=1,BX664=2,BX664=3),N(INDEX(Parameter!$I$5:$I$7,BX664)),0),0)</f>
        <v>0</v>
      </c>
      <c r="CH664" s="59" t="n">
        <f aca="false">IF(AND(Parameter!$B$21="Ja",ISNUMBER(W664),N(X664)&gt;0),IFERROR(N(INDEX(Parameter!$L$5:$L$7,W664))*INDEX(Parameter!$E$5:$E$7,W664)*X664/SUMIFS($X$7:$X$1843,$W$7:$W$1843,W664),0),0)</f>
        <v>0</v>
      </c>
    </row>
    <row r="665" customFormat="false" ht="15" hidden="false" customHeight="false" outlineLevel="0" collapsed="false">
      <c r="A665" s="55" t="s">
        <v>1337</v>
      </c>
      <c r="B665" s="55" t="s">
        <v>1338</v>
      </c>
      <c r="C665" s="55" t="s">
        <v>164</v>
      </c>
      <c r="D665" s="55" t="s">
        <v>1339</v>
      </c>
      <c r="E665" s="55"/>
      <c r="F665" s="55" t="s">
        <v>218</v>
      </c>
      <c r="G665" s="56" t="n">
        <v>0.65</v>
      </c>
      <c r="H665" s="57" t="n">
        <f aca="false">MAX(0,IF(AND(Parameter!$B$21="Ja",ISNUMBER(Y665)),Y665,IF(Parameter!$B$20="Jahresanfang 2025 + Export",BL665+BK665,BK665)))</f>
        <v>0</v>
      </c>
      <c r="I665" s="57" t="n">
        <f aca="false">H665*G665</f>
        <v>0</v>
      </c>
      <c r="J665" s="57" t="n">
        <f aca="false">BN665*Parameter!$B$18</f>
        <v>0</v>
      </c>
      <c r="K665" s="58" t="n">
        <v>0</v>
      </c>
      <c r="L665" s="59" t="n">
        <v>0</v>
      </c>
      <c r="M665" s="57" t="n">
        <v>0</v>
      </c>
      <c r="N665" s="57" t="n">
        <v>1050</v>
      </c>
      <c r="O665" s="60" t="n">
        <v>21</v>
      </c>
      <c r="P665" s="55" t="s">
        <v>168</v>
      </c>
      <c r="Q665" s="57"/>
      <c r="R665" s="60" t="n">
        <f aca="false">IF(BT665=1,0,IFERROR(VLOOKUP(BR665,'Gebinde-Kategorie'!$A$5:$M$45,13,0)+0,0))</f>
        <v>0</v>
      </c>
      <c r="S665" s="61"/>
      <c r="T665" s="62"/>
      <c r="U665" s="62"/>
      <c r="V665" s="62"/>
      <c r="W665" s="55"/>
      <c r="X665" s="57"/>
      <c r="Y665" s="57"/>
      <c r="Z665" s="55" t="str">
        <f aca="false">IF(A665="","",IF(AND(Parameter!$B$21="Ja",ISNUMBER(W665)),W665,IF(BV665="2+3",IF(ISNUMBER(SEARCH("grosser Artikel",BO665)),2,IFERROR(VLOOKUP(BR665,Parameter!$F$35:$G$64,2,0),2)),IF(OR(BV665="Nein",BV665=""),"-",BV665))))</f>
        <v>-</v>
      </c>
      <c r="AA665" s="62"/>
      <c r="AB665" s="63"/>
      <c r="AC665" s="57" t="n">
        <f aca="false">AR665</f>
        <v>1050</v>
      </c>
      <c r="AD665" s="57" t="n">
        <f aca="false">MAX(AR665,H665)</f>
        <v>1050</v>
      </c>
      <c r="AE665" s="64"/>
      <c r="AF665" s="57" t="n">
        <f aca="false">IF(LEFT(Cockpit!$C$5,1)="A",H665,IF(CA665=1,CB665,IF(LEFT(Cockpit!$C$5,1)="B",AJ665,MAX(AJ665,H665))))</f>
        <v>0</v>
      </c>
      <c r="AG665" s="57" t="n">
        <f aca="false">IF(BT665=1,0,ROUNDUP(AF665/BS665,0))</f>
        <v>0</v>
      </c>
      <c r="AH665" s="59" t="n">
        <f aca="false">IF(CH665&gt;0,CH665*MAX(1,AF665/X665),IF(BT665=1,IF(AF665&lt;=0,0,BW665*MAX(1,IF(H665&gt;0,AF665/H665,1))),IF(R665&gt;0,AG665/R665,0))/MAX(0.1,N(Parameter!$M$21)))</f>
        <v>0</v>
      </c>
      <c r="AI665" s="57" t="n">
        <f aca="false">AF665*G665</f>
        <v>0</v>
      </c>
      <c r="AJ665" s="57" t="n">
        <f aca="false">ROUNDUP(MAX(J665/IF(BZ665&gt;0,BZ665,MAX(0.1,N(Cockpit!$C$6))),CC665)/BS665,0)*BS665</f>
        <v>1050</v>
      </c>
      <c r="AK665" s="58" t="n">
        <f aca="false">IF(AH665&gt;0,J665/AH665,-1)</f>
        <v>-1</v>
      </c>
      <c r="AL665" s="58" t="str">
        <f aca="false">IF(AND(OR(BY665="L1",BY665="L23"),AH665&gt;0),SUMIFS($AH$7:$AH$1843,$BY$7:$BY$1843,BY665,$AK$7:$AK$1843,"&gt;"&amp;AK665)+SUMIFS($AH$7:$AH$1843,$BY$7:$BY$1843,BY665,$AK$7:$AK$1843,AK665,$BQ$7:$BQ$1843,"&lt;="&amp;BQ665),"")</f>
        <v/>
      </c>
      <c r="AM665" s="65" t="n">
        <f aca="false">IF(AL665="",0,MAX(0,MIN(1,(IF(BY665="L1",Parameter!$E$5,Parameter!$E$6+Parameter!$E$7)-(AL665-AH665))/AH665)))</f>
        <v>0</v>
      </c>
      <c r="AN665" s="57" t="n">
        <f aca="false">IF(LEFT(Cockpit!$I$5,1)="A",H665,IF(CA665=1,CB665,IF(LEFT(Cockpit!$I$5,1)="B",AR665,MAX(AR665,H665))))</f>
        <v>1050</v>
      </c>
      <c r="AO665" s="57" t="n">
        <f aca="false">IF(BT665=1,0,ROUNDUP(AN665/BS665,0))</f>
        <v>0</v>
      </c>
      <c r="AP665" s="59" t="n">
        <f aca="false">IF(CH665&gt;0,CH665*MAX(1,AN665/X665),IF(BT665=1,IF(AN665&lt;=0,0,BW665*MAX(1,IF(H665&gt;0,AN665/H665,1))),IF(R665&gt;0,AO665/R665,0))/MAX(0.1,N(Parameter!$M$21)))</f>
        <v>0.15</v>
      </c>
      <c r="AQ665" s="57" t="n">
        <f aca="false">AN665*G665</f>
        <v>682.5</v>
      </c>
      <c r="AR665" s="57" t="n">
        <f aca="false">ROUNDUP(MAX(J665/IF(BZ665&gt;0,BZ665,MAX(0.1,N(Cockpit!$I$6))),CC665)/BS665,0)*BS665</f>
        <v>1050</v>
      </c>
      <c r="AS665" s="58" t="n">
        <f aca="false">IF(AP665&gt;0,J665/AP665,-1)</f>
        <v>0</v>
      </c>
      <c r="AT665" s="58" t="str">
        <f aca="false">IF(AND(OR(BY665="L1",BY665="L23"),AP665&gt;0),SUMIFS($AP$7:$AP$1843,$BY$7:$BY$1843,BY665,$AS$7:$AS$1843,"&gt;"&amp;AS665)+SUMIFS($AP$7:$AP$1843,$BY$7:$BY$1843,BY665,$AS$7:$AS$1843,AS665,$BQ$7:$BQ$1843,"&lt;="&amp;BQ665),"")</f>
        <v/>
      </c>
      <c r="AU665" s="65" t="n">
        <f aca="false">IF(AT665="",0,MAX(0,MIN(1,(IF(BY665="L1",Parameter!$E$5,Parameter!$E$6+Parameter!$E$7)-(AT665-AP665))/AP665)))</f>
        <v>0</v>
      </c>
      <c r="AV665" s="57" t="n">
        <f aca="false">IF(LEFT(Cockpit!$O$5,1)="A",H665,IF(CA665=1,CB665,IF(LEFT(Cockpit!$O$5,1)="B",AZ665,MAX(AZ665,H665))))</f>
        <v>1050</v>
      </c>
      <c r="AW665" s="57" t="n">
        <f aca="false">IF(BT665=1,0,ROUNDUP(AV665/BS665,0))</f>
        <v>0</v>
      </c>
      <c r="AX665" s="59" t="n">
        <f aca="false">IF(CH665&gt;0,CH665*MAX(1,AV665/X665),IF(BT665=1,IF(AV665&lt;=0,0,BW665*MAX(1,IF(H665&gt;0,AV665/H665,1))),IF(R665&gt;0,AW665/R665,0))/MAX(0.1,N(Parameter!$M$21)))</f>
        <v>0.15</v>
      </c>
      <c r="AY665" s="57" t="n">
        <f aca="false">AV665*G665</f>
        <v>682.5</v>
      </c>
      <c r="AZ665" s="57" t="n">
        <f aca="false">ROUNDUP(MAX(J665/IF(BZ665&gt;0,BZ665,MAX(0.1,N(Cockpit!$O$6))),CC665)/BS665,0)*BS665</f>
        <v>1050</v>
      </c>
      <c r="BA665" s="58" t="n">
        <f aca="false">IF(AX665&gt;0,J665/AX665,-1)</f>
        <v>0</v>
      </c>
      <c r="BB665" s="58" t="str">
        <f aca="false">IF(AND(OR(BY665="L1",BY665="L23"),AX665&gt;0),SUMIFS($AX$7:$AX$1843,$BY$7:$BY$1843,BY665,$BA$7:$BA$1843,"&gt;"&amp;BA665)+SUMIFS($AX$7:$AX$1843,$BY$7:$BY$1843,BY665,$BA$7:$BA$1843,BA665,$BQ$7:$BQ$1843,"&lt;="&amp;BQ665),"")</f>
        <v/>
      </c>
      <c r="BC665" s="65" t="n">
        <f aca="false">IF(BB665="",0,MAX(0,MIN(1,(IF(BY665="L1",Parameter!$E$5,Parameter!$E$6+Parameter!$E$7)-(BB665-AX665))/AX665)))</f>
        <v>0</v>
      </c>
      <c r="BD665" s="55" t="str">
        <f aca="false">IF(AH665&lt;=0,"",IF(BY665="Aussen","Aussenlager",IF(BY665="-","Nicht im Lift",IF(AM665&gt;=1,"Lift",IF(AM665&lt;=0,"Aussenlager","teilweise")))))</f>
        <v/>
      </c>
      <c r="BE665" s="55" t="str">
        <f aca="false">IF(AP665&lt;=0,"",IF(BY665="Aussen","Aussenlager",IF(BY665="-","Nicht im Lift",IF(AU665&gt;=1,"Lift",IF(AU665&lt;=0,"Aussenlager","teilweise")))))</f>
        <v>Nicht im Lift</v>
      </c>
      <c r="BF665" s="55" t="str">
        <f aca="false">IF(AX665&lt;=0,"",IF(BY665="Aussen","Aussenlager",IF(BY665="-","Nicht im Lift",IF(BC665&gt;=1,"Lift",IF(BC665&lt;=0,"Aussenlager","teilweise")))))</f>
        <v>Nicht im Lift</v>
      </c>
      <c r="BG665" s="55" t="str">
        <f aca="false">IF(A665="","",IF(BP665=1,"Neu; ","")&amp;IF(AND(BP665=0,BK665&lt;0),"negativer Bestand (Export "&amp;BK665&amp;"); ","")&amp;IF(J665&lt;=0,"Kein Verbrauch; ","")&amp;IF(CH665&gt;0,"Lift "&amp;W665&amp;" lt. Liftbericht (Fach "&amp;X665&amp;" Stk); ",IF(BU665=1,"Gebinde geschätzt ("&amp;T665&amp;"); ",IF(BT665=1,"Lose – Tablare geschätzt; ","")))&amp;IF(H665&gt;AR665,"Überbestand "&amp;ROUND(H665-AR665,0)&amp;" Stk / CHF "&amp;ROUND((H665-AR665)*G665,0)&amp;"; ","")&amp;IF(AND(CA665=1,CB665&lt;CC665),"MAX &lt; MB+LG; ","")&amp;IF(AND(CG665&gt;0,CF665*10&gt;CG665),"zu hoch für Tablar; ","")&amp;IF(AND(BP665=0,OR(CA665=1,AA665&lt;&gt;"",U665&lt;&gt;"",V665&lt;&gt;"",AB665&lt;&gt;"")),"manuell übersteuert; ","")&amp;IF(AND(BT665=0,R665=0),"Gebinde unbekannt / Stellmass fehlt; ","")&amp;IF(AND(BT665=0,N(V665)&lt;=0,N(Q665)&lt;=0),"Menge pro Gebinde fehlt (Ist = 1 Gebinde); ","")&amp;BO665)</f>
        <v>Kein Verbrauch; Lose – Tablare geschätzt; </v>
      </c>
      <c r="BH665" s="55"/>
      <c r="BI665" s="55"/>
      <c r="BJ665" s="62"/>
      <c r="BK665" s="57" t="n">
        <v>0</v>
      </c>
      <c r="BL665" s="57" t="n">
        <v>0</v>
      </c>
      <c r="BM665" s="56" t="n">
        <v>0</v>
      </c>
      <c r="BN665" s="57" t="n">
        <v>0</v>
      </c>
      <c r="BO665" s="55"/>
      <c r="BP665" s="60" t="n">
        <v>0</v>
      </c>
      <c r="BQ665" s="60" t="n">
        <v>665</v>
      </c>
      <c r="BR665" s="55" t="str">
        <f aca="false">IF(U665&lt;&gt;"",UPPER(TRIM(U665)),IF(BU665=1,UPPER(VLOOKUP(T665,Parameter!$I$27:$K$29,2,0)),IF(P665="","LOSE",P665)))</f>
        <v>LOSE</v>
      </c>
      <c r="BS665" s="57" t="n">
        <f aca="false">IF(BR665="LOSE",1,IF(N(V665)&gt;0,V665,IF(BU665=1,MAX(1,N(VLOOKUP(T665,Parameter!$I$27:$K$29,3,0)),H665,N(N665)),IF(N(Q665)&gt;0,Q665,MAX(1,H665)))))</f>
        <v>1</v>
      </c>
      <c r="BT665" s="60" t="n">
        <f aca="false">IF(BR665="LOSE",1,0)</f>
        <v>1</v>
      </c>
      <c r="BU665" s="60" t="n">
        <f aca="false">IF(AND(U665="",OR(P665="",P665="LOSE"),T665&lt;&gt;"",N(S665)&lt;=0,ISNUMBER(MATCH(T665,Parameter!$I$27:$I$29,0))),1,0)</f>
        <v>0</v>
      </c>
      <c r="BV665" s="55" t="str">
        <f aca="false">IF(AND(Parameter!$B$19="Ja",E665&lt;&gt;"",ISNUMBER(MATCH(E665,Parameter!$I$35:$I$52,0))),VLOOKUP(E665,Parameter!$I$35:$J$52,2,0),IFERROR(VLOOKUP(D665,Parameter!$A$35:$C$64,2,0),"Nein"))</f>
        <v>Nein</v>
      </c>
      <c r="BW665" s="59" t="n">
        <f aca="false">IF(BT665=0,0,IF(N(S665)&gt;0,S665,IFERROR(VLOOKUP(D665,Parameter!$A$35:$C$64,3,0)+0,0)))</f>
        <v>0.15</v>
      </c>
      <c r="BX665" s="55" t="str">
        <f aca="false">IF(AA665&lt;&gt;"",AA665,Z665)</f>
        <v>-</v>
      </c>
      <c r="BY665" s="55" t="str">
        <f aca="false">IF(BX665=1,"L1",IF(OR(BX665=2,BX665=3),"L23",IF(BX665="Aussen","Aussen","-")))</f>
        <v>-</v>
      </c>
      <c r="BZ665" s="66" t="n">
        <f aca="false">IF(N(AB665)&gt;0,AB665,0)</f>
        <v>0</v>
      </c>
      <c r="CA665" s="60" t="n">
        <f aca="false">IF(ISNUMBER(AE665),1,0)</f>
        <v>0</v>
      </c>
      <c r="CB665" s="57" t="n">
        <f aca="false">N(AE665)</f>
        <v>0</v>
      </c>
      <c r="CC665" s="57" t="n">
        <f aca="false">N(M665)+N(N665)</f>
        <v>1050</v>
      </c>
      <c r="CD665" s="57" t="n">
        <f aca="false">ROUNDUP(H665/BS665,0)</f>
        <v>0</v>
      </c>
      <c r="CE665" s="57" t="n">
        <f aca="false">ROUNDUP(CB665/BS665,0)</f>
        <v>0</v>
      </c>
      <c r="CF665" s="60" t="n">
        <f aca="false">IF(BT665=1,0,IFERROR(VLOOKUP(BR665,'Gebinde-Kategorie'!$A$5:$M$45,5,0)+0,0))</f>
        <v>0</v>
      </c>
      <c r="CG665" s="60" t="n">
        <f aca="false">IFERROR(IF(OR(BX665=1,BX665=2,BX665=3),N(INDEX(Parameter!$I$5:$I$7,BX665)),0),0)</f>
        <v>0</v>
      </c>
      <c r="CH665" s="59" t="n">
        <f aca="false">IF(AND(Parameter!$B$21="Ja",ISNUMBER(W665),N(X665)&gt;0),IFERROR(N(INDEX(Parameter!$L$5:$L$7,W665))*INDEX(Parameter!$E$5:$E$7,W665)*X665/SUMIFS($X$7:$X$1843,$W$7:$W$1843,W665),0),0)</f>
        <v>0</v>
      </c>
    </row>
    <row r="666" customFormat="false" ht="15" hidden="false" customHeight="false" outlineLevel="0" collapsed="false">
      <c r="A666" s="55" t="s">
        <v>1340</v>
      </c>
      <c r="B666" s="55" t="s">
        <v>1341</v>
      </c>
      <c r="C666" s="55" t="s">
        <v>164</v>
      </c>
      <c r="D666" s="55" t="s">
        <v>850</v>
      </c>
      <c r="E666" s="55"/>
      <c r="F666" s="55" t="s">
        <v>218</v>
      </c>
      <c r="G666" s="56" t="n">
        <v>5.8</v>
      </c>
      <c r="H666" s="57" t="n">
        <f aca="false">MAX(0,IF(AND(Parameter!$B$21="Ja",ISNUMBER(Y666)),Y666,IF(Parameter!$B$20="Jahresanfang 2025 + Export",BL666+BK666,BK666)))</f>
        <v>0</v>
      </c>
      <c r="I666" s="57" t="n">
        <f aca="false">H666*G666</f>
        <v>0</v>
      </c>
      <c r="J666" s="57" t="n">
        <f aca="false">BN666*Parameter!$B$18</f>
        <v>0</v>
      </c>
      <c r="K666" s="58" t="n">
        <v>0</v>
      </c>
      <c r="L666" s="59" t="n">
        <v>0</v>
      </c>
      <c r="M666" s="57" t="n">
        <v>0</v>
      </c>
      <c r="N666" s="57" t="n">
        <v>1</v>
      </c>
      <c r="O666" s="60" t="n">
        <v>7</v>
      </c>
      <c r="P666" s="55" t="s">
        <v>168</v>
      </c>
      <c r="Q666" s="57"/>
      <c r="R666" s="60" t="n">
        <f aca="false">IF(BT666=1,0,IFERROR(VLOOKUP(BR666,'Gebinde-Kategorie'!$A$5:$M$45,13,0)+0,0))</f>
        <v>0</v>
      </c>
      <c r="S666" s="61"/>
      <c r="T666" s="62"/>
      <c r="U666" s="62"/>
      <c r="V666" s="62"/>
      <c r="W666" s="55"/>
      <c r="X666" s="57"/>
      <c r="Y666" s="57"/>
      <c r="Z666" s="55" t="str">
        <f aca="false">IF(A666="","",IF(AND(Parameter!$B$21="Ja",ISNUMBER(W666)),W666,IF(BV666="2+3",IF(ISNUMBER(SEARCH("grosser Artikel",BO666)),2,IFERROR(VLOOKUP(BR666,Parameter!$F$35:$G$64,2,0),2)),IF(OR(BV666="Nein",BV666=""),"-",BV666))))</f>
        <v>-</v>
      </c>
      <c r="AA666" s="62"/>
      <c r="AB666" s="63"/>
      <c r="AC666" s="57" t="n">
        <f aca="false">AR666</f>
        <v>1</v>
      </c>
      <c r="AD666" s="57" t="n">
        <f aca="false">MAX(AR666,H666)</f>
        <v>1</v>
      </c>
      <c r="AE666" s="64"/>
      <c r="AF666" s="57" t="n">
        <f aca="false">IF(LEFT(Cockpit!$C$5,1)="A",H666,IF(CA666=1,CB666,IF(LEFT(Cockpit!$C$5,1)="B",AJ666,MAX(AJ666,H666))))</f>
        <v>0</v>
      </c>
      <c r="AG666" s="57" t="n">
        <f aca="false">IF(BT666=1,0,ROUNDUP(AF666/BS666,0))</f>
        <v>0</v>
      </c>
      <c r="AH666" s="59" t="n">
        <f aca="false">IF(CH666&gt;0,CH666*MAX(1,AF666/X666),IF(BT666=1,IF(AF666&lt;=0,0,BW666*MAX(1,IF(H666&gt;0,AF666/H666,1))),IF(R666&gt;0,AG666/R666,0))/MAX(0.1,N(Parameter!$M$21)))</f>
        <v>0</v>
      </c>
      <c r="AI666" s="57" t="n">
        <f aca="false">AF666*G666</f>
        <v>0</v>
      </c>
      <c r="AJ666" s="57" t="n">
        <f aca="false">ROUNDUP(MAX(J666/IF(BZ666&gt;0,BZ666,MAX(0.1,N(Cockpit!$C$6))),CC666)/BS666,0)*BS666</f>
        <v>1</v>
      </c>
      <c r="AK666" s="58" t="n">
        <f aca="false">IF(AH666&gt;0,J666/AH666,-1)</f>
        <v>-1</v>
      </c>
      <c r="AL666" s="58" t="str">
        <f aca="false">IF(AND(OR(BY666="L1",BY666="L23"),AH666&gt;0),SUMIFS($AH$7:$AH$1843,$BY$7:$BY$1843,BY666,$AK$7:$AK$1843,"&gt;"&amp;AK666)+SUMIFS($AH$7:$AH$1843,$BY$7:$BY$1843,BY666,$AK$7:$AK$1843,AK666,$BQ$7:$BQ$1843,"&lt;="&amp;BQ666),"")</f>
        <v/>
      </c>
      <c r="AM666" s="65" t="n">
        <f aca="false">IF(AL666="",0,MAX(0,MIN(1,(IF(BY666="L1",Parameter!$E$5,Parameter!$E$6+Parameter!$E$7)-(AL666-AH666))/AH666)))</f>
        <v>0</v>
      </c>
      <c r="AN666" s="57" t="n">
        <f aca="false">IF(LEFT(Cockpit!$I$5,1)="A",H666,IF(CA666=1,CB666,IF(LEFT(Cockpit!$I$5,1)="B",AR666,MAX(AR666,H666))))</f>
        <v>1</v>
      </c>
      <c r="AO666" s="57" t="n">
        <f aca="false">IF(BT666=1,0,ROUNDUP(AN666/BS666,0))</f>
        <v>0</v>
      </c>
      <c r="AP666" s="59" t="n">
        <f aca="false">IF(CH666&gt;0,CH666*MAX(1,AN666/X666),IF(BT666=1,IF(AN666&lt;=0,0,BW666*MAX(1,IF(H666&gt;0,AN666/H666,1))),IF(R666&gt;0,AO666/R666,0))/MAX(0.1,N(Parameter!$M$21)))</f>
        <v>0.15</v>
      </c>
      <c r="AQ666" s="57" t="n">
        <f aca="false">AN666*G666</f>
        <v>5.8</v>
      </c>
      <c r="AR666" s="57" t="n">
        <f aca="false">ROUNDUP(MAX(J666/IF(BZ666&gt;0,BZ666,MAX(0.1,N(Cockpit!$I$6))),CC666)/BS666,0)*BS666</f>
        <v>1</v>
      </c>
      <c r="AS666" s="58" t="n">
        <f aca="false">IF(AP666&gt;0,J666/AP666,-1)</f>
        <v>0</v>
      </c>
      <c r="AT666" s="58" t="str">
        <f aca="false">IF(AND(OR(BY666="L1",BY666="L23"),AP666&gt;0),SUMIFS($AP$7:$AP$1843,$BY$7:$BY$1843,BY666,$AS$7:$AS$1843,"&gt;"&amp;AS666)+SUMIFS($AP$7:$AP$1843,$BY$7:$BY$1843,BY666,$AS$7:$AS$1843,AS666,$BQ$7:$BQ$1843,"&lt;="&amp;BQ666),"")</f>
        <v/>
      </c>
      <c r="AU666" s="65" t="n">
        <f aca="false">IF(AT666="",0,MAX(0,MIN(1,(IF(BY666="L1",Parameter!$E$5,Parameter!$E$6+Parameter!$E$7)-(AT666-AP666))/AP666)))</f>
        <v>0</v>
      </c>
      <c r="AV666" s="57" t="n">
        <f aca="false">IF(LEFT(Cockpit!$O$5,1)="A",H666,IF(CA666=1,CB666,IF(LEFT(Cockpit!$O$5,1)="B",AZ666,MAX(AZ666,H666))))</f>
        <v>1</v>
      </c>
      <c r="AW666" s="57" t="n">
        <f aca="false">IF(BT666=1,0,ROUNDUP(AV666/BS666,0))</f>
        <v>0</v>
      </c>
      <c r="AX666" s="59" t="n">
        <f aca="false">IF(CH666&gt;0,CH666*MAX(1,AV666/X666),IF(BT666=1,IF(AV666&lt;=0,0,BW666*MAX(1,IF(H666&gt;0,AV666/H666,1))),IF(R666&gt;0,AW666/R666,0))/MAX(0.1,N(Parameter!$M$21)))</f>
        <v>0.15</v>
      </c>
      <c r="AY666" s="57" t="n">
        <f aca="false">AV666*G666</f>
        <v>5.8</v>
      </c>
      <c r="AZ666" s="57" t="n">
        <f aca="false">ROUNDUP(MAX(J666/IF(BZ666&gt;0,BZ666,MAX(0.1,N(Cockpit!$O$6))),CC666)/BS666,0)*BS666</f>
        <v>1</v>
      </c>
      <c r="BA666" s="58" t="n">
        <f aca="false">IF(AX666&gt;0,J666/AX666,-1)</f>
        <v>0</v>
      </c>
      <c r="BB666" s="58" t="str">
        <f aca="false">IF(AND(OR(BY666="L1",BY666="L23"),AX666&gt;0),SUMIFS($AX$7:$AX$1843,$BY$7:$BY$1843,BY666,$BA$7:$BA$1843,"&gt;"&amp;BA666)+SUMIFS($AX$7:$AX$1843,$BY$7:$BY$1843,BY666,$BA$7:$BA$1843,BA666,$BQ$7:$BQ$1843,"&lt;="&amp;BQ666),"")</f>
        <v/>
      </c>
      <c r="BC666" s="65" t="n">
        <f aca="false">IF(BB666="",0,MAX(0,MIN(1,(IF(BY666="L1",Parameter!$E$5,Parameter!$E$6+Parameter!$E$7)-(BB666-AX666))/AX666)))</f>
        <v>0</v>
      </c>
      <c r="BD666" s="55" t="str">
        <f aca="false">IF(AH666&lt;=0,"",IF(BY666="Aussen","Aussenlager",IF(BY666="-","Nicht im Lift",IF(AM666&gt;=1,"Lift",IF(AM666&lt;=0,"Aussenlager","teilweise")))))</f>
        <v/>
      </c>
      <c r="BE666" s="55" t="str">
        <f aca="false">IF(AP666&lt;=0,"",IF(BY666="Aussen","Aussenlager",IF(BY666="-","Nicht im Lift",IF(AU666&gt;=1,"Lift",IF(AU666&lt;=0,"Aussenlager","teilweise")))))</f>
        <v>Nicht im Lift</v>
      </c>
      <c r="BF666" s="55" t="str">
        <f aca="false">IF(AX666&lt;=0,"",IF(BY666="Aussen","Aussenlager",IF(BY666="-","Nicht im Lift",IF(BC666&gt;=1,"Lift",IF(BC666&lt;=0,"Aussenlager","teilweise")))))</f>
        <v>Nicht im Lift</v>
      </c>
      <c r="BG666" s="55" t="str">
        <f aca="false">IF(A666="","",IF(BP666=1,"Neu; ","")&amp;IF(AND(BP666=0,BK666&lt;0),"negativer Bestand (Export "&amp;BK666&amp;"); ","")&amp;IF(J666&lt;=0,"Kein Verbrauch; ","")&amp;IF(CH666&gt;0,"Lift "&amp;W666&amp;" lt. Liftbericht (Fach "&amp;X666&amp;" Stk); ",IF(BU666=1,"Gebinde geschätzt ("&amp;T666&amp;"); ",IF(BT666=1,"Lose – Tablare geschätzt; ","")))&amp;IF(H666&gt;AR666,"Überbestand "&amp;ROUND(H666-AR666,0)&amp;" Stk / CHF "&amp;ROUND((H666-AR666)*G666,0)&amp;"; ","")&amp;IF(AND(CA666=1,CB666&lt;CC666),"MAX &lt; MB+LG; ","")&amp;IF(AND(CG666&gt;0,CF666*10&gt;CG666),"zu hoch für Tablar; ","")&amp;IF(AND(BP666=0,OR(CA666=1,AA666&lt;&gt;"",U666&lt;&gt;"",V666&lt;&gt;"",AB666&lt;&gt;"")),"manuell übersteuert; ","")&amp;IF(AND(BT666=0,R666=0),"Gebinde unbekannt / Stellmass fehlt; ","")&amp;IF(AND(BT666=0,N(V666)&lt;=0,N(Q666)&lt;=0),"Menge pro Gebinde fehlt (Ist = 1 Gebinde); ","")&amp;BO666)</f>
        <v>Kein Verbrauch; Lose – Tablare geschätzt; </v>
      </c>
      <c r="BH666" s="55"/>
      <c r="BI666" s="55"/>
      <c r="BJ666" s="62"/>
      <c r="BK666" s="57" t="n">
        <v>0</v>
      </c>
      <c r="BL666" s="57" t="n">
        <v>0</v>
      </c>
      <c r="BM666" s="56" t="n">
        <v>0</v>
      </c>
      <c r="BN666" s="57" t="n">
        <v>0</v>
      </c>
      <c r="BO666" s="55"/>
      <c r="BP666" s="60" t="n">
        <v>0</v>
      </c>
      <c r="BQ666" s="60" t="n">
        <v>666</v>
      </c>
      <c r="BR666" s="55" t="str">
        <f aca="false">IF(U666&lt;&gt;"",UPPER(TRIM(U666)),IF(BU666=1,UPPER(VLOOKUP(T666,Parameter!$I$27:$K$29,2,0)),IF(P666="","LOSE",P666)))</f>
        <v>LOSE</v>
      </c>
      <c r="BS666" s="57" t="n">
        <f aca="false">IF(BR666="LOSE",1,IF(N(V666)&gt;0,V666,IF(BU666=1,MAX(1,N(VLOOKUP(T666,Parameter!$I$27:$K$29,3,0)),H666,N(N666)),IF(N(Q666)&gt;0,Q666,MAX(1,H666)))))</f>
        <v>1</v>
      </c>
      <c r="BT666" s="60" t="n">
        <f aca="false">IF(BR666="LOSE",1,0)</f>
        <v>1</v>
      </c>
      <c r="BU666" s="60" t="n">
        <f aca="false">IF(AND(U666="",OR(P666="",P666="LOSE"),T666&lt;&gt;"",N(S666)&lt;=0,ISNUMBER(MATCH(T666,Parameter!$I$27:$I$29,0))),1,0)</f>
        <v>0</v>
      </c>
      <c r="BV666" s="55" t="str">
        <f aca="false">IF(AND(Parameter!$B$19="Ja",E666&lt;&gt;"",ISNUMBER(MATCH(E666,Parameter!$I$35:$I$52,0))),VLOOKUP(E666,Parameter!$I$35:$J$52,2,0),IFERROR(VLOOKUP(D666,Parameter!$A$35:$C$64,2,0),"Nein"))</f>
        <v>Nein</v>
      </c>
      <c r="BW666" s="59" t="n">
        <f aca="false">IF(BT666=0,0,IF(N(S666)&gt;0,S666,IFERROR(VLOOKUP(D666,Parameter!$A$35:$C$64,3,0)+0,0)))</f>
        <v>0.15</v>
      </c>
      <c r="BX666" s="55" t="str">
        <f aca="false">IF(AA666&lt;&gt;"",AA666,Z666)</f>
        <v>-</v>
      </c>
      <c r="BY666" s="55" t="str">
        <f aca="false">IF(BX666=1,"L1",IF(OR(BX666=2,BX666=3),"L23",IF(BX666="Aussen","Aussen","-")))</f>
        <v>-</v>
      </c>
      <c r="BZ666" s="66" t="n">
        <f aca="false">IF(N(AB666)&gt;0,AB666,0)</f>
        <v>0</v>
      </c>
      <c r="CA666" s="60" t="n">
        <f aca="false">IF(ISNUMBER(AE666),1,0)</f>
        <v>0</v>
      </c>
      <c r="CB666" s="57" t="n">
        <f aca="false">N(AE666)</f>
        <v>0</v>
      </c>
      <c r="CC666" s="57" t="n">
        <f aca="false">N(M666)+N(N666)</f>
        <v>1</v>
      </c>
      <c r="CD666" s="57" t="n">
        <f aca="false">ROUNDUP(H666/BS666,0)</f>
        <v>0</v>
      </c>
      <c r="CE666" s="57" t="n">
        <f aca="false">ROUNDUP(CB666/BS666,0)</f>
        <v>0</v>
      </c>
      <c r="CF666" s="60" t="n">
        <f aca="false">IF(BT666=1,0,IFERROR(VLOOKUP(BR666,'Gebinde-Kategorie'!$A$5:$M$45,5,0)+0,0))</f>
        <v>0</v>
      </c>
      <c r="CG666" s="60" t="n">
        <f aca="false">IFERROR(IF(OR(BX666=1,BX666=2,BX666=3),N(INDEX(Parameter!$I$5:$I$7,BX666)),0),0)</f>
        <v>0</v>
      </c>
      <c r="CH666" s="59" t="n">
        <f aca="false">IF(AND(Parameter!$B$21="Ja",ISNUMBER(W666),N(X666)&gt;0),IFERROR(N(INDEX(Parameter!$L$5:$L$7,W666))*INDEX(Parameter!$E$5:$E$7,W666)*X666/SUMIFS($X$7:$X$1843,$W$7:$W$1843,W666),0),0)</f>
        <v>0</v>
      </c>
    </row>
    <row r="667" customFormat="false" ht="15" hidden="false" customHeight="false" outlineLevel="0" collapsed="false">
      <c r="A667" s="55" t="s">
        <v>1342</v>
      </c>
      <c r="B667" s="55" t="s">
        <v>654</v>
      </c>
      <c r="C667" s="55" t="s">
        <v>164</v>
      </c>
      <c r="D667" s="55" t="s">
        <v>995</v>
      </c>
      <c r="E667" s="55"/>
      <c r="F667" s="55" t="s">
        <v>218</v>
      </c>
      <c r="G667" s="56" t="n">
        <v>0.61</v>
      </c>
      <c r="H667" s="57" t="n">
        <f aca="false">MAX(0,IF(AND(Parameter!$B$21="Ja",ISNUMBER(Y667)),Y667,IF(Parameter!$B$20="Jahresanfang 2025 + Export",BL667+BK667,BK667)))</f>
        <v>0</v>
      </c>
      <c r="I667" s="57" t="n">
        <f aca="false">H667*G667</f>
        <v>0</v>
      </c>
      <c r="J667" s="57" t="n">
        <f aca="false">BN667*Parameter!$B$18</f>
        <v>60</v>
      </c>
      <c r="K667" s="58" t="n">
        <v>0</v>
      </c>
      <c r="L667" s="59" t="n">
        <v>0</v>
      </c>
      <c r="M667" s="57" t="n">
        <v>0</v>
      </c>
      <c r="N667" s="57" t="n">
        <v>1</v>
      </c>
      <c r="O667" s="60" t="n">
        <v>28</v>
      </c>
      <c r="P667" s="55" t="s">
        <v>168</v>
      </c>
      <c r="Q667" s="57"/>
      <c r="R667" s="60" t="n">
        <f aca="false">IF(BT667=1,0,IFERROR(VLOOKUP(BR667,'Gebinde-Kategorie'!$A$5:$M$45,13,0)+0,0))</f>
        <v>0</v>
      </c>
      <c r="S667" s="61"/>
      <c r="T667" s="62"/>
      <c r="U667" s="62"/>
      <c r="V667" s="62"/>
      <c r="W667" s="55"/>
      <c r="X667" s="57"/>
      <c r="Y667" s="57"/>
      <c r="Z667" s="55" t="str">
        <f aca="false">IF(A667="","",IF(AND(Parameter!$B$21="Ja",ISNUMBER(W667)),W667,IF(BV667="2+3",IF(ISNUMBER(SEARCH("grosser Artikel",BO667)),2,IFERROR(VLOOKUP(BR667,Parameter!$F$35:$G$64,2,0),2)),IF(OR(BV667="Nein",BV667=""),"-",BV667))))</f>
        <v>-</v>
      </c>
      <c r="AA667" s="62"/>
      <c r="AB667" s="63"/>
      <c r="AC667" s="57" t="n">
        <f aca="false">AR667</f>
        <v>30</v>
      </c>
      <c r="AD667" s="57" t="n">
        <f aca="false">MAX(AR667,H667)</f>
        <v>30</v>
      </c>
      <c r="AE667" s="64"/>
      <c r="AF667" s="57" t="n">
        <f aca="false">IF(LEFT(Cockpit!$C$5,1)="A",H667,IF(CA667=1,CB667,IF(LEFT(Cockpit!$C$5,1)="B",AJ667,MAX(AJ667,H667))))</f>
        <v>0</v>
      </c>
      <c r="AG667" s="57" t="n">
        <f aca="false">IF(BT667=1,0,ROUNDUP(AF667/BS667,0))</f>
        <v>0</v>
      </c>
      <c r="AH667" s="59" t="n">
        <f aca="false">IF(CH667&gt;0,CH667*MAX(1,AF667/X667),IF(BT667=1,IF(AF667&lt;=0,0,BW667*MAX(1,IF(H667&gt;0,AF667/H667,1))),IF(R667&gt;0,AG667/R667,0))/MAX(0.1,N(Parameter!$M$21)))</f>
        <v>0</v>
      </c>
      <c r="AI667" s="57" t="n">
        <f aca="false">AF667*G667</f>
        <v>0</v>
      </c>
      <c r="AJ667" s="57" t="n">
        <f aca="false">ROUNDUP(MAX(J667/IF(BZ667&gt;0,BZ667,MAX(0.1,N(Cockpit!$C$6))),CC667)/BS667,0)*BS667</f>
        <v>30</v>
      </c>
      <c r="AK667" s="58" t="n">
        <f aca="false">IF(AH667&gt;0,J667/AH667,-1)</f>
        <v>-1</v>
      </c>
      <c r="AL667" s="58" t="str">
        <f aca="false">IF(AND(OR(BY667="L1",BY667="L23"),AH667&gt;0),SUMIFS($AH$7:$AH$1843,$BY$7:$BY$1843,BY667,$AK$7:$AK$1843,"&gt;"&amp;AK667)+SUMIFS($AH$7:$AH$1843,$BY$7:$BY$1843,BY667,$AK$7:$AK$1843,AK667,$BQ$7:$BQ$1843,"&lt;="&amp;BQ667),"")</f>
        <v/>
      </c>
      <c r="AM667" s="65" t="n">
        <f aca="false">IF(AL667="",0,MAX(0,MIN(1,(IF(BY667="L1",Parameter!$E$5,Parameter!$E$6+Parameter!$E$7)-(AL667-AH667))/AH667)))</f>
        <v>0</v>
      </c>
      <c r="AN667" s="57" t="n">
        <f aca="false">IF(LEFT(Cockpit!$I$5,1)="A",H667,IF(CA667=1,CB667,IF(LEFT(Cockpit!$I$5,1)="B",AR667,MAX(AR667,H667))))</f>
        <v>30</v>
      </c>
      <c r="AO667" s="57" t="n">
        <f aca="false">IF(BT667=1,0,ROUNDUP(AN667/BS667,0))</f>
        <v>0</v>
      </c>
      <c r="AP667" s="59" t="n">
        <f aca="false">IF(CH667&gt;0,CH667*MAX(1,AN667/X667),IF(BT667=1,IF(AN667&lt;=0,0,BW667*MAX(1,IF(H667&gt;0,AN667/H667,1))),IF(R667&gt;0,AO667/R667,0))/MAX(0.1,N(Parameter!$M$21)))</f>
        <v>0.15</v>
      </c>
      <c r="AQ667" s="57" t="n">
        <f aca="false">AN667*G667</f>
        <v>18.3</v>
      </c>
      <c r="AR667" s="57" t="n">
        <f aca="false">ROUNDUP(MAX(J667/IF(BZ667&gt;0,BZ667,MAX(0.1,N(Cockpit!$I$6))),CC667)/BS667,0)*BS667</f>
        <v>30</v>
      </c>
      <c r="AS667" s="58" t="n">
        <f aca="false">IF(AP667&gt;0,J667/AP667,-1)</f>
        <v>400</v>
      </c>
      <c r="AT667" s="58" t="str">
        <f aca="false">IF(AND(OR(BY667="L1",BY667="L23"),AP667&gt;0),SUMIFS($AP$7:$AP$1843,$BY$7:$BY$1843,BY667,$AS$7:$AS$1843,"&gt;"&amp;AS667)+SUMIFS($AP$7:$AP$1843,$BY$7:$BY$1843,BY667,$AS$7:$AS$1843,AS667,$BQ$7:$BQ$1843,"&lt;="&amp;BQ667),"")</f>
        <v/>
      </c>
      <c r="AU667" s="65" t="n">
        <f aca="false">IF(AT667="",0,MAX(0,MIN(1,(IF(BY667="L1",Parameter!$E$5,Parameter!$E$6+Parameter!$E$7)-(AT667-AP667))/AP667)))</f>
        <v>0</v>
      </c>
      <c r="AV667" s="57" t="n">
        <f aca="false">IF(LEFT(Cockpit!$O$5,1)="A",H667,IF(CA667=1,CB667,IF(LEFT(Cockpit!$O$5,1)="B",AZ667,MAX(AZ667,H667))))</f>
        <v>20</v>
      </c>
      <c r="AW667" s="57" t="n">
        <f aca="false">IF(BT667=1,0,ROUNDUP(AV667/BS667,0))</f>
        <v>0</v>
      </c>
      <c r="AX667" s="59" t="n">
        <f aca="false">IF(CH667&gt;0,CH667*MAX(1,AV667/X667),IF(BT667=1,IF(AV667&lt;=0,0,BW667*MAX(1,IF(H667&gt;0,AV667/H667,1))),IF(R667&gt;0,AW667/R667,0))/MAX(0.1,N(Parameter!$M$21)))</f>
        <v>0.15</v>
      </c>
      <c r="AY667" s="57" t="n">
        <f aca="false">AV667*G667</f>
        <v>12.2</v>
      </c>
      <c r="AZ667" s="57" t="n">
        <f aca="false">ROUNDUP(MAX(J667/IF(BZ667&gt;0,BZ667,MAX(0.1,N(Cockpit!$O$6))),CC667)/BS667,0)*BS667</f>
        <v>20</v>
      </c>
      <c r="BA667" s="58" t="n">
        <f aca="false">IF(AX667&gt;0,J667/AX667,-1)</f>
        <v>400</v>
      </c>
      <c r="BB667" s="58" t="str">
        <f aca="false">IF(AND(OR(BY667="L1",BY667="L23"),AX667&gt;0),SUMIFS($AX$7:$AX$1843,$BY$7:$BY$1843,BY667,$BA$7:$BA$1843,"&gt;"&amp;BA667)+SUMIFS($AX$7:$AX$1843,$BY$7:$BY$1843,BY667,$BA$7:$BA$1843,BA667,$BQ$7:$BQ$1843,"&lt;="&amp;BQ667),"")</f>
        <v/>
      </c>
      <c r="BC667" s="65" t="n">
        <f aca="false">IF(BB667="",0,MAX(0,MIN(1,(IF(BY667="L1",Parameter!$E$5,Parameter!$E$6+Parameter!$E$7)-(BB667-AX667))/AX667)))</f>
        <v>0</v>
      </c>
      <c r="BD667" s="55" t="str">
        <f aca="false">IF(AH667&lt;=0,"",IF(BY667="Aussen","Aussenlager",IF(BY667="-","Nicht im Lift",IF(AM667&gt;=1,"Lift",IF(AM667&lt;=0,"Aussenlager","teilweise")))))</f>
        <v/>
      </c>
      <c r="BE667" s="55" t="str">
        <f aca="false">IF(AP667&lt;=0,"",IF(BY667="Aussen","Aussenlager",IF(BY667="-","Nicht im Lift",IF(AU667&gt;=1,"Lift",IF(AU667&lt;=0,"Aussenlager","teilweise")))))</f>
        <v>Nicht im Lift</v>
      </c>
      <c r="BF667" s="55" t="str">
        <f aca="false">IF(AX667&lt;=0,"",IF(BY667="Aussen","Aussenlager",IF(BY667="-","Nicht im Lift",IF(BC667&gt;=1,"Lift",IF(BC667&lt;=0,"Aussenlager","teilweise")))))</f>
        <v>Nicht im Lift</v>
      </c>
      <c r="BG667" s="55" t="str">
        <f aca="false">IF(A667="","",IF(BP667=1,"Neu; ","")&amp;IF(AND(BP667=0,BK667&lt;0),"negativer Bestand (Export "&amp;BK667&amp;"); ","")&amp;IF(J667&lt;=0,"Kein Verbrauch; ","")&amp;IF(CH667&gt;0,"Lift "&amp;W667&amp;" lt. Liftbericht (Fach "&amp;X667&amp;" Stk); ",IF(BU667=1,"Gebinde geschätzt ("&amp;T667&amp;"); ",IF(BT667=1,"Lose – Tablare geschätzt; ","")))&amp;IF(H667&gt;AR667,"Überbestand "&amp;ROUND(H667-AR667,0)&amp;" Stk / CHF "&amp;ROUND((H667-AR667)*G667,0)&amp;"; ","")&amp;IF(AND(CA667=1,CB667&lt;CC667),"MAX &lt; MB+LG; ","")&amp;IF(AND(CG667&gt;0,CF667*10&gt;CG667),"zu hoch für Tablar; ","")&amp;IF(AND(BP667=0,OR(CA667=1,AA667&lt;&gt;"",U667&lt;&gt;"",V667&lt;&gt;"",AB667&lt;&gt;"")),"manuell übersteuert; ","")&amp;IF(AND(BT667=0,R667=0),"Gebinde unbekannt / Stellmass fehlt; ","")&amp;IF(AND(BT667=0,N(V667)&lt;=0,N(Q667)&lt;=0),"Menge pro Gebinde fehlt (Ist = 1 Gebinde); ","")&amp;BO667)</f>
        <v>Lose – Tablare geschätzt; </v>
      </c>
      <c r="BH667" s="55"/>
      <c r="BI667" s="55"/>
      <c r="BJ667" s="62"/>
      <c r="BK667" s="57" t="n">
        <v>0</v>
      </c>
      <c r="BL667" s="57" t="n">
        <v>0</v>
      </c>
      <c r="BM667" s="56" t="n">
        <v>0</v>
      </c>
      <c r="BN667" s="57" t="n">
        <v>60</v>
      </c>
      <c r="BO667" s="55"/>
      <c r="BP667" s="60" t="n">
        <v>0</v>
      </c>
      <c r="BQ667" s="60" t="n">
        <v>667</v>
      </c>
      <c r="BR667" s="55" t="str">
        <f aca="false">IF(U667&lt;&gt;"",UPPER(TRIM(U667)),IF(BU667=1,UPPER(VLOOKUP(T667,Parameter!$I$27:$K$29,2,0)),IF(P667="","LOSE",P667)))</f>
        <v>LOSE</v>
      </c>
      <c r="BS667" s="57" t="n">
        <f aca="false">IF(BR667="LOSE",1,IF(N(V667)&gt;0,V667,IF(BU667=1,MAX(1,N(VLOOKUP(T667,Parameter!$I$27:$K$29,3,0)),H667,N(N667)),IF(N(Q667)&gt;0,Q667,MAX(1,H667)))))</f>
        <v>1</v>
      </c>
      <c r="BT667" s="60" t="n">
        <f aca="false">IF(BR667="LOSE",1,0)</f>
        <v>1</v>
      </c>
      <c r="BU667" s="60" t="n">
        <f aca="false">IF(AND(U667="",OR(P667="",P667="LOSE"),T667&lt;&gt;"",N(S667)&lt;=0,ISNUMBER(MATCH(T667,Parameter!$I$27:$I$29,0))),1,0)</f>
        <v>0</v>
      </c>
      <c r="BV667" s="55" t="str">
        <f aca="false">IF(AND(Parameter!$B$19="Ja",E667&lt;&gt;"",ISNUMBER(MATCH(E667,Parameter!$I$35:$I$52,0))),VLOOKUP(E667,Parameter!$I$35:$J$52,2,0),IFERROR(VLOOKUP(D667,Parameter!$A$35:$C$64,2,0),"Nein"))</f>
        <v>Nein</v>
      </c>
      <c r="BW667" s="59" t="n">
        <f aca="false">IF(BT667=0,0,IF(N(S667)&gt;0,S667,IFERROR(VLOOKUP(D667,Parameter!$A$35:$C$64,3,0)+0,0)))</f>
        <v>0.15</v>
      </c>
      <c r="BX667" s="55" t="str">
        <f aca="false">IF(AA667&lt;&gt;"",AA667,Z667)</f>
        <v>-</v>
      </c>
      <c r="BY667" s="55" t="str">
        <f aca="false">IF(BX667=1,"L1",IF(OR(BX667=2,BX667=3),"L23",IF(BX667="Aussen","Aussen","-")))</f>
        <v>-</v>
      </c>
      <c r="BZ667" s="66" t="n">
        <f aca="false">IF(N(AB667)&gt;0,AB667,0)</f>
        <v>0</v>
      </c>
      <c r="CA667" s="60" t="n">
        <f aca="false">IF(ISNUMBER(AE667),1,0)</f>
        <v>0</v>
      </c>
      <c r="CB667" s="57" t="n">
        <f aca="false">N(AE667)</f>
        <v>0</v>
      </c>
      <c r="CC667" s="57" t="n">
        <f aca="false">N(M667)+N(N667)</f>
        <v>1</v>
      </c>
      <c r="CD667" s="57" t="n">
        <f aca="false">ROUNDUP(H667/BS667,0)</f>
        <v>0</v>
      </c>
      <c r="CE667" s="57" t="n">
        <f aca="false">ROUNDUP(CB667/BS667,0)</f>
        <v>0</v>
      </c>
      <c r="CF667" s="60" t="n">
        <f aca="false">IF(BT667=1,0,IFERROR(VLOOKUP(BR667,'Gebinde-Kategorie'!$A$5:$M$45,5,0)+0,0))</f>
        <v>0</v>
      </c>
      <c r="CG667" s="60" t="n">
        <f aca="false">IFERROR(IF(OR(BX667=1,BX667=2,BX667=3),N(INDEX(Parameter!$I$5:$I$7,BX667)),0),0)</f>
        <v>0</v>
      </c>
      <c r="CH667" s="59" t="n">
        <f aca="false">IF(AND(Parameter!$B$21="Ja",ISNUMBER(W667),N(X667)&gt;0),IFERROR(N(INDEX(Parameter!$L$5:$L$7,W667))*INDEX(Parameter!$E$5:$E$7,W667)*X667/SUMIFS($X$7:$X$1843,$W$7:$W$1843,W667),0),0)</f>
        <v>0</v>
      </c>
    </row>
    <row r="668" customFormat="false" ht="15" hidden="false" customHeight="false" outlineLevel="0" collapsed="false">
      <c r="A668" s="55" t="s">
        <v>1343</v>
      </c>
      <c r="B668" s="55" t="s">
        <v>1344</v>
      </c>
      <c r="C668" s="55" t="s">
        <v>164</v>
      </c>
      <c r="D668" s="55" t="s">
        <v>995</v>
      </c>
      <c r="E668" s="55"/>
      <c r="F668" s="55" t="s">
        <v>218</v>
      </c>
      <c r="G668" s="56" t="n">
        <v>2344.22</v>
      </c>
      <c r="H668" s="57" t="n">
        <f aca="false">MAX(0,IF(AND(Parameter!$B$21="Ja",ISNUMBER(Y668)),Y668,IF(Parameter!$B$20="Jahresanfang 2025 + Export",BL668+BK668,BK668)))</f>
        <v>0</v>
      </c>
      <c r="I668" s="57" t="n">
        <f aca="false">H668*G668</f>
        <v>0</v>
      </c>
      <c r="J668" s="57" t="n">
        <f aca="false">BN668*Parameter!$B$18</f>
        <v>4</v>
      </c>
      <c r="K668" s="58" t="n">
        <v>0</v>
      </c>
      <c r="L668" s="59" t="n">
        <v>0</v>
      </c>
      <c r="M668" s="57" t="n">
        <v>0</v>
      </c>
      <c r="N668" s="57" t="n">
        <v>1</v>
      </c>
      <c r="O668" s="60" t="n">
        <v>70</v>
      </c>
      <c r="P668" s="55" t="s">
        <v>168</v>
      </c>
      <c r="Q668" s="57"/>
      <c r="R668" s="60" t="n">
        <f aca="false">IF(BT668=1,0,IFERROR(VLOOKUP(BR668,'Gebinde-Kategorie'!$A$5:$M$45,13,0)+0,0))</f>
        <v>0</v>
      </c>
      <c r="S668" s="61"/>
      <c r="T668" s="62"/>
      <c r="U668" s="62"/>
      <c r="V668" s="62"/>
      <c r="W668" s="55"/>
      <c r="X668" s="57"/>
      <c r="Y668" s="57"/>
      <c r="Z668" s="55" t="str">
        <f aca="false">IF(A668="","",IF(AND(Parameter!$B$21="Ja",ISNUMBER(W668)),W668,IF(BV668="2+3",IF(ISNUMBER(SEARCH("grosser Artikel",BO668)),2,IFERROR(VLOOKUP(BR668,Parameter!$F$35:$G$64,2,0),2)),IF(OR(BV668="Nein",BV668=""),"-",BV668))))</f>
        <v>-</v>
      </c>
      <c r="AA668" s="62"/>
      <c r="AB668" s="63"/>
      <c r="AC668" s="57" t="n">
        <f aca="false">AR668</f>
        <v>2</v>
      </c>
      <c r="AD668" s="57" t="n">
        <f aca="false">MAX(AR668,H668)</f>
        <v>2</v>
      </c>
      <c r="AE668" s="64"/>
      <c r="AF668" s="57" t="n">
        <f aca="false">IF(LEFT(Cockpit!$C$5,1)="A",H668,IF(CA668=1,CB668,IF(LEFT(Cockpit!$C$5,1)="B",AJ668,MAX(AJ668,H668))))</f>
        <v>0</v>
      </c>
      <c r="AG668" s="57" t="n">
        <f aca="false">IF(BT668=1,0,ROUNDUP(AF668/BS668,0))</f>
        <v>0</v>
      </c>
      <c r="AH668" s="59" t="n">
        <f aca="false">IF(CH668&gt;0,CH668*MAX(1,AF668/X668),IF(BT668=1,IF(AF668&lt;=0,0,BW668*MAX(1,IF(H668&gt;0,AF668/H668,1))),IF(R668&gt;0,AG668/R668,0))/MAX(0.1,N(Parameter!$M$21)))</f>
        <v>0</v>
      </c>
      <c r="AI668" s="57" t="n">
        <f aca="false">AF668*G668</f>
        <v>0</v>
      </c>
      <c r="AJ668" s="57" t="n">
        <f aca="false">ROUNDUP(MAX(J668/IF(BZ668&gt;0,BZ668,MAX(0.1,N(Cockpit!$C$6))),CC668)/BS668,0)*BS668</f>
        <v>2</v>
      </c>
      <c r="AK668" s="58" t="n">
        <f aca="false">IF(AH668&gt;0,J668/AH668,-1)</f>
        <v>-1</v>
      </c>
      <c r="AL668" s="58" t="str">
        <f aca="false">IF(AND(OR(BY668="L1",BY668="L23"),AH668&gt;0),SUMIFS($AH$7:$AH$1843,$BY$7:$BY$1843,BY668,$AK$7:$AK$1843,"&gt;"&amp;AK668)+SUMIFS($AH$7:$AH$1843,$BY$7:$BY$1843,BY668,$AK$7:$AK$1843,AK668,$BQ$7:$BQ$1843,"&lt;="&amp;BQ668),"")</f>
        <v/>
      </c>
      <c r="AM668" s="65" t="n">
        <f aca="false">IF(AL668="",0,MAX(0,MIN(1,(IF(BY668="L1",Parameter!$E$5,Parameter!$E$6+Parameter!$E$7)-(AL668-AH668))/AH668)))</f>
        <v>0</v>
      </c>
      <c r="AN668" s="57" t="n">
        <f aca="false">IF(LEFT(Cockpit!$I$5,1)="A",H668,IF(CA668=1,CB668,IF(LEFT(Cockpit!$I$5,1)="B",AR668,MAX(AR668,H668))))</f>
        <v>2</v>
      </c>
      <c r="AO668" s="57" t="n">
        <f aca="false">IF(BT668=1,0,ROUNDUP(AN668/BS668,0))</f>
        <v>0</v>
      </c>
      <c r="AP668" s="59" t="n">
        <f aca="false">IF(CH668&gt;0,CH668*MAX(1,AN668/X668),IF(BT668=1,IF(AN668&lt;=0,0,BW668*MAX(1,IF(H668&gt;0,AN668/H668,1))),IF(R668&gt;0,AO668/R668,0))/MAX(0.1,N(Parameter!$M$21)))</f>
        <v>0.15</v>
      </c>
      <c r="AQ668" s="57" t="n">
        <f aca="false">AN668*G668</f>
        <v>4688.44</v>
      </c>
      <c r="AR668" s="57" t="n">
        <f aca="false">ROUNDUP(MAX(J668/IF(BZ668&gt;0,BZ668,MAX(0.1,N(Cockpit!$I$6))),CC668)/BS668,0)*BS668</f>
        <v>2</v>
      </c>
      <c r="AS668" s="58" t="n">
        <f aca="false">IF(AP668&gt;0,J668/AP668,-1)</f>
        <v>26.6666666666667</v>
      </c>
      <c r="AT668" s="58" t="str">
        <f aca="false">IF(AND(OR(BY668="L1",BY668="L23"),AP668&gt;0),SUMIFS($AP$7:$AP$1843,$BY$7:$BY$1843,BY668,$AS$7:$AS$1843,"&gt;"&amp;AS668)+SUMIFS($AP$7:$AP$1843,$BY$7:$BY$1843,BY668,$AS$7:$AS$1843,AS668,$BQ$7:$BQ$1843,"&lt;="&amp;BQ668),"")</f>
        <v/>
      </c>
      <c r="AU668" s="65" t="n">
        <f aca="false">IF(AT668="",0,MAX(0,MIN(1,(IF(BY668="L1",Parameter!$E$5,Parameter!$E$6+Parameter!$E$7)-(AT668-AP668))/AP668)))</f>
        <v>0</v>
      </c>
      <c r="AV668" s="57" t="n">
        <f aca="false">IF(LEFT(Cockpit!$O$5,1)="A",H668,IF(CA668=1,CB668,IF(LEFT(Cockpit!$O$5,1)="B",AZ668,MAX(AZ668,H668))))</f>
        <v>2</v>
      </c>
      <c r="AW668" s="57" t="n">
        <f aca="false">IF(BT668=1,0,ROUNDUP(AV668/BS668,0))</f>
        <v>0</v>
      </c>
      <c r="AX668" s="59" t="n">
        <f aca="false">IF(CH668&gt;0,CH668*MAX(1,AV668/X668),IF(BT668=1,IF(AV668&lt;=0,0,BW668*MAX(1,IF(H668&gt;0,AV668/H668,1))),IF(R668&gt;0,AW668/R668,0))/MAX(0.1,N(Parameter!$M$21)))</f>
        <v>0.15</v>
      </c>
      <c r="AY668" s="57" t="n">
        <f aca="false">AV668*G668</f>
        <v>4688.44</v>
      </c>
      <c r="AZ668" s="57" t="n">
        <f aca="false">ROUNDUP(MAX(J668/IF(BZ668&gt;0,BZ668,MAX(0.1,N(Cockpit!$O$6))),CC668)/BS668,0)*BS668</f>
        <v>2</v>
      </c>
      <c r="BA668" s="58" t="n">
        <f aca="false">IF(AX668&gt;0,J668/AX668,-1)</f>
        <v>26.6666666666667</v>
      </c>
      <c r="BB668" s="58" t="str">
        <f aca="false">IF(AND(OR(BY668="L1",BY668="L23"),AX668&gt;0),SUMIFS($AX$7:$AX$1843,$BY$7:$BY$1843,BY668,$BA$7:$BA$1843,"&gt;"&amp;BA668)+SUMIFS($AX$7:$AX$1843,$BY$7:$BY$1843,BY668,$BA$7:$BA$1843,BA668,$BQ$7:$BQ$1843,"&lt;="&amp;BQ668),"")</f>
        <v/>
      </c>
      <c r="BC668" s="65" t="n">
        <f aca="false">IF(BB668="",0,MAX(0,MIN(1,(IF(BY668="L1",Parameter!$E$5,Parameter!$E$6+Parameter!$E$7)-(BB668-AX668))/AX668)))</f>
        <v>0</v>
      </c>
      <c r="BD668" s="55" t="str">
        <f aca="false">IF(AH668&lt;=0,"",IF(BY668="Aussen","Aussenlager",IF(BY668="-","Nicht im Lift",IF(AM668&gt;=1,"Lift",IF(AM668&lt;=0,"Aussenlager","teilweise")))))</f>
        <v/>
      </c>
      <c r="BE668" s="55" t="str">
        <f aca="false">IF(AP668&lt;=0,"",IF(BY668="Aussen","Aussenlager",IF(BY668="-","Nicht im Lift",IF(AU668&gt;=1,"Lift",IF(AU668&lt;=0,"Aussenlager","teilweise")))))</f>
        <v>Nicht im Lift</v>
      </c>
      <c r="BF668" s="55" t="str">
        <f aca="false">IF(AX668&lt;=0,"",IF(BY668="Aussen","Aussenlager",IF(BY668="-","Nicht im Lift",IF(BC668&gt;=1,"Lift",IF(BC668&lt;=0,"Aussenlager","teilweise")))))</f>
        <v>Nicht im Lift</v>
      </c>
      <c r="BG668" s="55" t="str">
        <f aca="false">IF(A668="","",IF(BP668=1,"Neu; ","")&amp;IF(AND(BP668=0,BK668&lt;0),"negativer Bestand (Export "&amp;BK668&amp;"); ","")&amp;IF(J668&lt;=0,"Kein Verbrauch; ","")&amp;IF(CH668&gt;0,"Lift "&amp;W668&amp;" lt. Liftbericht (Fach "&amp;X668&amp;" Stk); ",IF(BU668=1,"Gebinde geschätzt ("&amp;T668&amp;"); ",IF(BT668=1,"Lose – Tablare geschätzt; ","")))&amp;IF(H668&gt;AR668,"Überbestand "&amp;ROUND(H668-AR668,0)&amp;" Stk / CHF "&amp;ROUND((H668-AR668)*G668,0)&amp;"; ","")&amp;IF(AND(CA668=1,CB668&lt;CC668),"MAX &lt; MB+LG; ","")&amp;IF(AND(CG668&gt;0,CF668*10&gt;CG668),"zu hoch für Tablar; ","")&amp;IF(AND(BP668=0,OR(CA668=1,AA668&lt;&gt;"",U668&lt;&gt;"",V668&lt;&gt;"",AB668&lt;&gt;"")),"manuell übersteuert; ","")&amp;IF(AND(BT668=0,R668=0),"Gebinde unbekannt / Stellmass fehlt; ","")&amp;IF(AND(BT668=0,N(V668)&lt;=0,N(Q668)&lt;=0),"Menge pro Gebinde fehlt (Ist = 1 Gebinde); ","")&amp;BO668)</f>
        <v>Lose – Tablare geschätzt; </v>
      </c>
      <c r="BH668" s="55"/>
      <c r="BI668" s="55"/>
      <c r="BJ668" s="62"/>
      <c r="BK668" s="57" t="n">
        <v>0</v>
      </c>
      <c r="BL668" s="57" t="n">
        <v>0</v>
      </c>
      <c r="BM668" s="56" t="n">
        <v>0</v>
      </c>
      <c r="BN668" s="57" t="n">
        <v>4</v>
      </c>
      <c r="BO668" s="55"/>
      <c r="BP668" s="60" t="n">
        <v>0</v>
      </c>
      <c r="BQ668" s="60" t="n">
        <v>668</v>
      </c>
      <c r="BR668" s="55" t="str">
        <f aca="false">IF(U668&lt;&gt;"",UPPER(TRIM(U668)),IF(BU668=1,UPPER(VLOOKUP(T668,Parameter!$I$27:$K$29,2,0)),IF(P668="","LOSE",P668)))</f>
        <v>LOSE</v>
      </c>
      <c r="BS668" s="57" t="n">
        <f aca="false">IF(BR668="LOSE",1,IF(N(V668)&gt;0,V668,IF(BU668=1,MAX(1,N(VLOOKUP(T668,Parameter!$I$27:$K$29,3,0)),H668,N(N668)),IF(N(Q668)&gt;0,Q668,MAX(1,H668)))))</f>
        <v>1</v>
      </c>
      <c r="BT668" s="60" t="n">
        <f aca="false">IF(BR668="LOSE",1,0)</f>
        <v>1</v>
      </c>
      <c r="BU668" s="60" t="n">
        <f aca="false">IF(AND(U668="",OR(P668="",P668="LOSE"),T668&lt;&gt;"",N(S668)&lt;=0,ISNUMBER(MATCH(T668,Parameter!$I$27:$I$29,0))),1,0)</f>
        <v>0</v>
      </c>
      <c r="BV668" s="55" t="str">
        <f aca="false">IF(AND(Parameter!$B$19="Ja",E668&lt;&gt;"",ISNUMBER(MATCH(E668,Parameter!$I$35:$I$52,0))),VLOOKUP(E668,Parameter!$I$35:$J$52,2,0),IFERROR(VLOOKUP(D668,Parameter!$A$35:$C$64,2,0),"Nein"))</f>
        <v>Nein</v>
      </c>
      <c r="BW668" s="59" t="n">
        <f aca="false">IF(BT668=0,0,IF(N(S668)&gt;0,S668,IFERROR(VLOOKUP(D668,Parameter!$A$35:$C$64,3,0)+0,0)))</f>
        <v>0.15</v>
      </c>
      <c r="BX668" s="55" t="str">
        <f aca="false">IF(AA668&lt;&gt;"",AA668,Z668)</f>
        <v>-</v>
      </c>
      <c r="BY668" s="55" t="str">
        <f aca="false">IF(BX668=1,"L1",IF(OR(BX668=2,BX668=3),"L23",IF(BX668="Aussen","Aussen","-")))</f>
        <v>-</v>
      </c>
      <c r="BZ668" s="66" t="n">
        <f aca="false">IF(N(AB668)&gt;0,AB668,0)</f>
        <v>0</v>
      </c>
      <c r="CA668" s="60" t="n">
        <f aca="false">IF(ISNUMBER(AE668),1,0)</f>
        <v>0</v>
      </c>
      <c r="CB668" s="57" t="n">
        <f aca="false">N(AE668)</f>
        <v>0</v>
      </c>
      <c r="CC668" s="57" t="n">
        <f aca="false">N(M668)+N(N668)</f>
        <v>1</v>
      </c>
      <c r="CD668" s="57" t="n">
        <f aca="false">ROUNDUP(H668/BS668,0)</f>
        <v>0</v>
      </c>
      <c r="CE668" s="57" t="n">
        <f aca="false">ROUNDUP(CB668/BS668,0)</f>
        <v>0</v>
      </c>
      <c r="CF668" s="60" t="n">
        <f aca="false">IF(BT668=1,0,IFERROR(VLOOKUP(BR668,'Gebinde-Kategorie'!$A$5:$M$45,5,0)+0,0))</f>
        <v>0</v>
      </c>
      <c r="CG668" s="60" t="n">
        <f aca="false">IFERROR(IF(OR(BX668=1,BX668=2,BX668=3),N(INDEX(Parameter!$I$5:$I$7,BX668)),0),0)</f>
        <v>0</v>
      </c>
      <c r="CH668" s="59" t="n">
        <f aca="false">IF(AND(Parameter!$B$21="Ja",ISNUMBER(W668),N(X668)&gt;0),IFERROR(N(INDEX(Parameter!$L$5:$L$7,W668))*INDEX(Parameter!$E$5:$E$7,W668)*X668/SUMIFS($X$7:$X$1843,$W$7:$W$1843,W668),0),0)</f>
        <v>0</v>
      </c>
    </row>
    <row r="669" customFormat="false" ht="15" hidden="false" customHeight="false" outlineLevel="0" collapsed="false">
      <c r="A669" s="55" t="s">
        <v>1345</v>
      </c>
      <c r="B669" s="55" t="s">
        <v>206</v>
      </c>
      <c r="C669" s="55" t="s">
        <v>164</v>
      </c>
      <c r="D669" s="55" t="s">
        <v>995</v>
      </c>
      <c r="E669" s="55"/>
      <c r="F669" s="55" t="s">
        <v>218</v>
      </c>
      <c r="G669" s="56" t="n">
        <v>4681.1</v>
      </c>
      <c r="H669" s="57" t="n">
        <f aca="false">MAX(0,IF(AND(Parameter!$B$21="Ja",ISNUMBER(Y669)),Y669,IF(Parameter!$B$20="Jahresanfang 2025 + Export",BL669+BK669,BK669)))</f>
        <v>0</v>
      </c>
      <c r="I669" s="57" t="n">
        <f aca="false">H669*G669</f>
        <v>0</v>
      </c>
      <c r="J669" s="57" t="n">
        <f aca="false">BN669*Parameter!$B$18</f>
        <v>3</v>
      </c>
      <c r="K669" s="58" t="n">
        <v>0</v>
      </c>
      <c r="L669" s="59" t="n">
        <v>0</v>
      </c>
      <c r="M669" s="57" t="n">
        <v>0</v>
      </c>
      <c r="N669" s="57" t="n">
        <v>1</v>
      </c>
      <c r="O669" s="60" t="n">
        <v>70</v>
      </c>
      <c r="P669" s="55" t="s">
        <v>168</v>
      </c>
      <c r="Q669" s="57"/>
      <c r="R669" s="60" t="n">
        <f aca="false">IF(BT669=1,0,IFERROR(VLOOKUP(BR669,'Gebinde-Kategorie'!$A$5:$M$45,13,0)+0,0))</f>
        <v>0</v>
      </c>
      <c r="S669" s="61"/>
      <c r="T669" s="62"/>
      <c r="U669" s="62"/>
      <c r="V669" s="62"/>
      <c r="W669" s="55"/>
      <c r="X669" s="57"/>
      <c r="Y669" s="57"/>
      <c r="Z669" s="55" t="str">
        <f aca="false">IF(A669="","",IF(AND(Parameter!$B$21="Ja",ISNUMBER(W669)),W669,IF(BV669="2+3",IF(ISNUMBER(SEARCH("grosser Artikel",BO669)),2,IFERROR(VLOOKUP(BR669,Parameter!$F$35:$G$64,2,0),2)),IF(OR(BV669="Nein",BV669=""),"-",BV669))))</f>
        <v>-</v>
      </c>
      <c r="AA669" s="62"/>
      <c r="AB669" s="63"/>
      <c r="AC669" s="57" t="n">
        <f aca="false">AR669</f>
        <v>2</v>
      </c>
      <c r="AD669" s="57" t="n">
        <f aca="false">MAX(AR669,H669)</f>
        <v>2</v>
      </c>
      <c r="AE669" s="64"/>
      <c r="AF669" s="57" t="n">
        <f aca="false">IF(LEFT(Cockpit!$C$5,1)="A",H669,IF(CA669=1,CB669,IF(LEFT(Cockpit!$C$5,1)="B",AJ669,MAX(AJ669,H669))))</f>
        <v>0</v>
      </c>
      <c r="AG669" s="57" t="n">
        <f aca="false">IF(BT669=1,0,ROUNDUP(AF669/BS669,0))</f>
        <v>0</v>
      </c>
      <c r="AH669" s="59" t="n">
        <f aca="false">IF(CH669&gt;0,CH669*MAX(1,AF669/X669),IF(BT669=1,IF(AF669&lt;=0,0,BW669*MAX(1,IF(H669&gt;0,AF669/H669,1))),IF(R669&gt;0,AG669/R669,0))/MAX(0.1,N(Parameter!$M$21)))</f>
        <v>0</v>
      </c>
      <c r="AI669" s="57" t="n">
        <f aca="false">AF669*G669</f>
        <v>0</v>
      </c>
      <c r="AJ669" s="57" t="n">
        <f aca="false">ROUNDUP(MAX(J669/IF(BZ669&gt;0,BZ669,MAX(0.1,N(Cockpit!$C$6))),CC669)/BS669,0)*BS669</f>
        <v>2</v>
      </c>
      <c r="AK669" s="58" t="n">
        <f aca="false">IF(AH669&gt;0,J669/AH669,-1)</f>
        <v>-1</v>
      </c>
      <c r="AL669" s="58" t="str">
        <f aca="false">IF(AND(OR(BY669="L1",BY669="L23"),AH669&gt;0),SUMIFS($AH$7:$AH$1843,$BY$7:$BY$1843,BY669,$AK$7:$AK$1843,"&gt;"&amp;AK669)+SUMIFS($AH$7:$AH$1843,$BY$7:$BY$1843,BY669,$AK$7:$AK$1843,AK669,$BQ$7:$BQ$1843,"&lt;="&amp;BQ669),"")</f>
        <v/>
      </c>
      <c r="AM669" s="65" t="n">
        <f aca="false">IF(AL669="",0,MAX(0,MIN(1,(IF(BY669="L1",Parameter!$E$5,Parameter!$E$6+Parameter!$E$7)-(AL669-AH669))/AH669)))</f>
        <v>0</v>
      </c>
      <c r="AN669" s="57" t="n">
        <f aca="false">IF(LEFT(Cockpit!$I$5,1)="A",H669,IF(CA669=1,CB669,IF(LEFT(Cockpit!$I$5,1)="B",AR669,MAX(AR669,H669))))</f>
        <v>2</v>
      </c>
      <c r="AO669" s="57" t="n">
        <f aca="false">IF(BT669=1,0,ROUNDUP(AN669/BS669,0))</f>
        <v>0</v>
      </c>
      <c r="AP669" s="59" t="n">
        <f aca="false">IF(CH669&gt;0,CH669*MAX(1,AN669/X669),IF(BT669=1,IF(AN669&lt;=0,0,BW669*MAX(1,IF(H669&gt;0,AN669/H669,1))),IF(R669&gt;0,AO669/R669,0))/MAX(0.1,N(Parameter!$M$21)))</f>
        <v>0.15</v>
      </c>
      <c r="AQ669" s="57" t="n">
        <f aca="false">AN669*G669</f>
        <v>9362.2</v>
      </c>
      <c r="AR669" s="57" t="n">
        <f aca="false">ROUNDUP(MAX(J669/IF(BZ669&gt;0,BZ669,MAX(0.1,N(Cockpit!$I$6))),CC669)/BS669,0)*BS669</f>
        <v>2</v>
      </c>
      <c r="AS669" s="58" t="n">
        <f aca="false">IF(AP669&gt;0,J669/AP669,-1)</f>
        <v>20</v>
      </c>
      <c r="AT669" s="58" t="str">
        <f aca="false">IF(AND(OR(BY669="L1",BY669="L23"),AP669&gt;0),SUMIFS($AP$7:$AP$1843,$BY$7:$BY$1843,BY669,$AS$7:$AS$1843,"&gt;"&amp;AS669)+SUMIFS($AP$7:$AP$1843,$BY$7:$BY$1843,BY669,$AS$7:$AS$1843,AS669,$BQ$7:$BQ$1843,"&lt;="&amp;BQ669),"")</f>
        <v/>
      </c>
      <c r="AU669" s="65" t="n">
        <f aca="false">IF(AT669="",0,MAX(0,MIN(1,(IF(BY669="L1",Parameter!$E$5,Parameter!$E$6+Parameter!$E$7)-(AT669-AP669))/AP669)))</f>
        <v>0</v>
      </c>
      <c r="AV669" s="57" t="n">
        <f aca="false">IF(LEFT(Cockpit!$O$5,1)="A",H669,IF(CA669=1,CB669,IF(LEFT(Cockpit!$O$5,1)="B",AZ669,MAX(AZ669,H669))))</f>
        <v>1</v>
      </c>
      <c r="AW669" s="57" t="n">
        <f aca="false">IF(BT669=1,0,ROUNDUP(AV669/BS669,0))</f>
        <v>0</v>
      </c>
      <c r="AX669" s="59" t="n">
        <f aca="false">IF(CH669&gt;0,CH669*MAX(1,AV669/X669),IF(BT669=1,IF(AV669&lt;=0,0,BW669*MAX(1,IF(H669&gt;0,AV669/H669,1))),IF(R669&gt;0,AW669/R669,0))/MAX(0.1,N(Parameter!$M$21)))</f>
        <v>0.15</v>
      </c>
      <c r="AY669" s="57" t="n">
        <f aca="false">AV669*G669</f>
        <v>4681.1</v>
      </c>
      <c r="AZ669" s="57" t="n">
        <f aca="false">ROUNDUP(MAX(J669/IF(BZ669&gt;0,BZ669,MAX(0.1,N(Cockpit!$O$6))),CC669)/BS669,0)*BS669</f>
        <v>1</v>
      </c>
      <c r="BA669" s="58" t="n">
        <f aca="false">IF(AX669&gt;0,J669/AX669,-1)</f>
        <v>20</v>
      </c>
      <c r="BB669" s="58" t="str">
        <f aca="false">IF(AND(OR(BY669="L1",BY669="L23"),AX669&gt;0),SUMIFS($AX$7:$AX$1843,$BY$7:$BY$1843,BY669,$BA$7:$BA$1843,"&gt;"&amp;BA669)+SUMIFS($AX$7:$AX$1843,$BY$7:$BY$1843,BY669,$BA$7:$BA$1843,BA669,$BQ$7:$BQ$1843,"&lt;="&amp;BQ669),"")</f>
        <v/>
      </c>
      <c r="BC669" s="65" t="n">
        <f aca="false">IF(BB669="",0,MAX(0,MIN(1,(IF(BY669="L1",Parameter!$E$5,Parameter!$E$6+Parameter!$E$7)-(BB669-AX669))/AX669)))</f>
        <v>0</v>
      </c>
      <c r="BD669" s="55" t="str">
        <f aca="false">IF(AH669&lt;=0,"",IF(BY669="Aussen","Aussenlager",IF(BY669="-","Nicht im Lift",IF(AM669&gt;=1,"Lift",IF(AM669&lt;=0,"Aussenlager","teilweise")))))</f>
        <v/>
      </c>
      <c r="BE669" s="55" t="str">
        <f aca="false">IF(AP669&lt;=0,"",IF(BY669="Aussen","Aussenlager",IF(BY669="-","Nicht im Lift",IF(AU669&gt;=1,"Lift",IF(AU669&lt;=0,"Aussenlager","teilweise")))))</f>
        <v>Nicht im Lift</v>
      </c>
      <c r="BF669" s="55" t="str">
        <f aca="false">IF(AX669&lt;=0,"",IF(BY669="Aussen","Aussenlager",IF(BY669="-","Nicht im Lift",IF(BC669&gt;=1,"Lift",IF(BC669&lt;=0,"Aussenlager","teilweise")))))</f>
        <v>Nicht im Lift</v>
      </c>
      <c r="BG669" s="55" t="str">
        <f aca="false">IF(A669="","",IF(BP669=1,"Neu; ","")&amp;IF(AND(BP669=0,BK669&lt;0),"negativer Bestand (Export "&amp;BK669&amp;"); ","")&amp;IF(J669&lt;=0,"Kein Verbrauch; ","")&amp;IF(CH669&gt;0,"Lift "&amp;W669&amp;" lt. Liftbericht (Fach "&amp;X669&amp;" Stk); ",IF(BU669=1,"Gebinde geschätzt ("&amp;T669&amp;"); ",IF(BT669=1,"Lose – Tablare geschätzt; ","")))&amp;IF(H669&gt;AR669,"Überbestand "&amp;ROUND(H669-AR669,0)&amp;" Stk / CHF "&amp;ROUND((H669-AR669)*G669,0)&amp;"; ","")&amp;IF(AND(CA669=1,CB669&lt;CC669),"MAX &lt; MB+LG; ","")&amp;IF(AND(CG669&gt;0,CF669*10&gt;CG669),"zu hoch für Tablar; ","")&amp;IF(AND(BP669=0,OR(CA669=1,AA669&lt;&gt;"",U669&lt;&gt;"",V669&lt;&gt;"",AB669&lt;&gt;"")),"manuell übersteuert; ","")&amp;IF(AND(BT669=0,R669=0),"Gebinde unbekannt / Stellmass fehlt; ","")&amp;IF(AND(BT669=0,N(V669)&lt;=0,N(Q669)&lt;=0),"Menge pro Gebinde fehlt (Ist = 1 Gebinde); ","")&amp;BO669)</f>
        <v>Lose – Tablare geschätzt; </v>
      </c>
      <c r="BH669" s="55"/>
      <c r="BI669" s="55"/>
      <c r="BJ669" s="62"/>
      <c r="BK669" s="57" t="n">
        <v>0</v>
      </c>
      <c r="BL669" s="57" t="n">
        <v>0</v>
      </c>
      <c r="BM669" s="56" t="n">
        <v>0</v>
      </c>
      <c r="BN669" s="57" t="n">
        <v>3</v>
      </c>
      <c r="BO669" s="55"/>
      <c r="BP669" s="60" t="n">
        <v>0</v>
      </c>
      <c r="BQ669" s="60" t="n">
        <v>669</v>
      </c>
      <c r="BR669" s="55" t="str">
        <f aca="false">IF(U669&lt;&gt;"",UPPER(TRIM(U669)),IF(BU669=1,UPPER(VLOOKUP(T669,Parameter!$I$27:$K$29,2,0)),IF(P669="","LOSE",P669)))</f>
        <v>LOSE</v>
      </c>
      <c r="BS669" s="57" t="n">
        <f aca="false">IF(BR669="LOSE",1,IF(N(V669)&gt;0,V669,IF(BU669=1,MAX(1,N(VLOOKUP(T669,Parameter!$I$27:$K$29,3,0)),H669,N(N669)),IF(N(Q669)&gt;0,Q669,MAX(1,H669)))))</f>
        <v>1</v>
      </c>
      <c r="BT669" s="60" t="n">
        <f aca="false">IF(BR669="LOSE",1,0)</f>
        <v>1</v>
      </c>
      <c r="BU669" s="60" t="n">
        <f aca="false">IF(AND(U669="",OR(P669="",P669="LOSE"),T669&lt;&gt;"",N(S669)&lt;=0,ISNUMBER(MATCH(T669,Parameter!$I$27:$I$29,0))),1,0)</f>
        <v>0</v>
      </c>
      <c r="BV669" s="55" t="str">
        <f aca="false">IF(AND(Parameter!$B$19="Ja",E669&lt;&gt;"",ISNUMBER(MATCH(E669,Parameter!$I$35:$I$52,0))),VLOOKUP(E669,Parameter!$I$35:$J$52,2,0),IFERROR(VLOOKUP(D669,Parameter!$A$35:$C$64,2,0),"Nein"))</f>
        <v>Nein</v>
      </c>
      <c r="BW669" s="59" t="n">
        <f aca="false">IF(BT669=0,0,IF(N(S669)&gt;0,S669,IFERROR(VLOOKUP(D669,Parameter!$A$35:$C$64,3,0)+0,0)))</f>
        <v>0.15</v>
      </c>
      <c r="BX669" s="55" t="str">
        <f aca="false">IF(AA669&lt;&gt;"",AA669,Z669)</f>
        <v>-</v>
      </c>
      <c r="BY669" s="55" t="str">
        <f aca="false">IF(BX669=1,"L1",IF(OR(BX669=2,BX669=3),"L23",IF(BX669="Aussen","Aussen","-")))</f>
        <v>-</v>
      </c>
      <c r="BZ669" s="66" t="n">
        <f aca="false">IF(N(AB669)&gt;0,AB669,0)</f>
        <v>0</v>
      </c>
      <c r="CA669" s="60" t="n">
        <f aca="false">IF(ISNUMBER(AE669),1,0)</f>
        <v>0</v>
      </c>
      <c r="CB669" s="57" t="n">
        <f aca="false">N(AE669)</f>
        <v>0</v>
      </c>
      <c r="CC669" s="57" t="n">
        <f aca="false">N(M669)+N(N669)</f>
        <v>1</v>
      </c>
      <c r="CD669" s="57" t="n">
        <f aca="false">ROUNDUP(H669/BS669,0)</f>
        <v>0</v>
      </c>
      <c r="CE669" s="57" t="n">
        <f aca="false">ROUNDUP(CB669/BS669,0)</f>
        <v>0</v>
      </c>
      <c r="CF669" s="60" t="n">
        <f aca="false">IF(BT669=1,0,IFERROR(VLOOKUP(BR669,'Gebinde-Kategorie'!$A$5:$M$45,5,0)+0,0))</f>
        <v>0</v>
      </c>
      <c r="CG669" s="60" t="n">
        <f aca="false">IFERROR(IF(OR(BX669=1,BX669=2,BX669=3),N(INDEX(Parameter!$I$5:$I$7,BX669)),0),0)</f>
        <v>0</v>
      </c>
      <c r="CH669" s="59" t="n">
        <f aca="false">IF(AND(Parameter!$B$21="Ja",ISNUMBER(W669),N(X669)&gt;0),IFERROR(N(INDEX(Parameter!$L$5:$L$7,W669))*INDEX(Parameter!$E$5:$E$7,W669)*X669/SUMIFS($X$7:$X$1843,$W$7:$W$1843,W669),0),0)</f>
        <v>0</v>
      </c>
    </row>
    <row r="670" customFormat="false" ht="15" hidden="false" customHeight="false" outlineLevel="0" collapsed="false">
      <c r="A670" s="55" t="s">
        <v>1346</v>
      </c>
      <c r="B670" s="55" t="s">
        <v>1347</v>
      </c>
      <c r="C670" s="55" t="s">
        <v>164</v>
      </c>
      <c r="D670" s="55" t="s">
        <v>995</v>
      </c>
      <c r="E670" s="55"/>
      <c r="F670" s="55" t="s">
        <v>218</v>
      </c>
      <c r="G670" s="56" t="n">
        <v>171.76</v>
      </c>
      <c r="H670" s="57" t="n">
        <f aca="false">MAX(0,IF(AND(Parameter!$B$21="Ja",ISNUMBER(Y670)),Y670,IF(Parameter!$B$20="Jahresanfang 2025 + Export",BL670+BK670,BK670)))</f>
        <v>0</v>
      </c>
      <c r="I670" s="57" t="n">
        <f aca="false">H670*G670</f>
        <v>0</v>
      </c>
      <c r="J670" s="57" t="n">
        <f aca="false">BN670*Parameter!$B$18</f>
        <v>1</v>
      </c>
      <c r="K670" s="58" t="n">
        <v>0</v>
      </c>
      <c r="L670" s="59" t="n">
        <v>0</v>
      </c>
      <c r="M670" s="57" t="n">
        <v>0</v>
      </c>
      <c r="N670" s="57" t="n">
        <v>1</v>
      </c>
      <c r="O670" s="60" t="n">
        <v>105</v>
      </c>
      <c r="P670" s="55" t="s">
        <v>168</v>
      </c>
      <c r="Q670" s="57"/>
      <c r="R670" s="60" t="n">
        <f aca="false">IF(BT670=1,0,IFERROR(VLOOKUP(BR670,'Gebinde-Kategorie'!$A$5:$M$45,13,0)+0,0))</f>
        <v>0</v>
      </c>
      <c r="S670" s="61"/>
      <c r="T670" s="62"/>
      <c r="U670" s="62"/>
      <c r="V670" s="62"/>
      <c r="W670" s="55"/>
      <c r="X670" s="57"/>
      <c r="Y670" s="57"/>
      <c r="Z670" s="55" t="str">
        <f aca="false">IF(A670="","",IF(AND(Parameter!$B$21="Ja",ISNUMBER(W670)),W670,IF(BV670="2+3",IF(ISNUMBER(SEARCH("grosser Artikel",BO670)),2,IFERROR(VLOOKUP(BR670,Parameter!$F$35:$G$64,2,0),2)),IF(OR(BV670="Nein",BV670=""),"-",BV670))))</f>
        <v>-</v>
      </c>
      <c r="AA670" s="62"/>
      <c r="AB670" s="63"/>
      <c r="AC670" s="57" t="n">
        <f aca="false">AR670</f>
        <v>1</v>
      </c>
      <c r="AD670" s="57" t="n">
        <f aca="false">MAX(AR670,H670)</f>
        <v>1</v>
      </c>
      <c r="AE670" s="64"/>
      <c r="AF670" s="57" t="n">
        <f aca="false">IF(LEFT(Cockpit!$C$5,1)="A",H670,IF(CA670=1,CB670,IF(LEFT(Cockpit!$C$5,1)="B",AJ670,MAX(AJ670,H670))))</f>
        <v>0</v>
      </c>
      <c r="AG670" s="57" t="n">
        <f aca="false">IF(BT670=1,0,ROUNDUP(AF670/BS670,0))</f>
        <v>0</v>
      </c>
      <c r="AH670" s="59" t="n">
        <f aca="false">IF(CH670&gt;0,CH670*MAX(1,AF670/X670),IF(BT670=1,IF(AF670&lt;=0,0,BW670*MAX(1,IF(H670&gt;0,AF670/H670,1))),IF(R670&gt;0,AG670/R670,0))/MAX(0.1,N(Parameter!$M$21)))</f>
        <v>0</v>
      </c>
      <c r="AI670" s="57" t="n">
        <f aca="false">AF670*G670</f>
        <v>0</v>
      </c>
      <c r="AJ670" s="57" t="n">
        <f aca="false">ROUNDUP(MAX(J670/IF(BZ670&gt;0,BZ670,MAX(0.1,N(Cockpit!$C$6))),CC670)/BS670,0)*BS670</f>
        <v>1</v>
      </c>
      <c r="AK670" s="58" t="n">
        <f aca="false">IF(AH670&gt;0,J670/AH670,-1)</f>
        <v>-1</v>
      </c>
      <c r="AL670" s="58" t="str">
        <f aca="false">IF(AND(OR(BY670="L1",BY670="L23"),AH670&gt;0),SUMIFS($AH$7:$AH$1843,$BY$7:$BY$1843,BY670,$AK$7:$AK$1843,"&gt;"&amp;AK670)+SUMIFS($AH$7:$AH$1843,$BY$7:$BY$1843,BY670,$AK$7:$AK$1843,AK670,$BQ$7:$BQ$1843,"&lt;="&amp;BQ670),"")</f>
        <v/>
      </c>
      <c r="AM670" s="65" t="n">
        <f aca="false">IF(AL670="",0,MAX(0,MIN(1,(IF(BY670="L1",Parameter!$E$5,Parameter!$E$6+Parameter!$E$7)-(AL670-AH670))/AH670)))</f>
        <v>0</v>
      </c>
      <c r="AN670" s="57" t="n">
        <f aca="false">IF(LEFT(Cockpit!$I$5,1)="A",H670,IF(CA670=1,CB670,IF(LEFT(Cockpit!$I$5,1)="B",AR670,MAX(AR670,H670))))</f>
        <v>1</v>
      </c>
      <c r="AO670" s="57" t="n">
        <f aca="false">IF(BT670=1,0,ROUNDUP(AN670/BS670,0))</f>
        <v>0</v>
      </c>
      <c r="AP670" s="59" t="n">
        <f aca="false">IF(CH670&gt;0,CH670*MAX(1,AN670/X670),IF(BT670=1,IF(AN670&lt;=0,0,BW670*MAX(1,IF(H670&gt;0,AN670/H670,1))),IF(R670&gt;0,AO670/R670,0))/MAX(0.1,N(Parameter!$M$21)))</f>
        <v>0.15</v>
      </c>
      <c r="AQ670" s="57" t="n">
        <f aca="false">AN670*G670</f>
        <v>171.76</v>
      </c>
      <c r="AR670" s="57" t="n">
        <f aca="false">ROUNDUP(MAX(J670/IF(BZ670&gt;0,BZ670,MAX(0.1,N(Cockpit!$I$6))),CC670)/BS670,0)*BS670</f>
        <v>1</v>
      </c>
      <c r="AS670" s="58" t="n">
        <f aca="false">IF(AP670&gt;0,J670/AP670,-1)</f>
        <v>6.66666666666667</v>
      </c>
      <c r="AT670" s="58" t="str">
        <f aca="false">IF(AND(OR(BY670="L1",BY670="L23"),AP670&gt;0),SUMIFS($AP$7:$AP$1843,$BY$7:$BY$1843,BY670,$AS$7:$AS$1843,"&gt;"&amp;AS670)+SUMIFS($AP$7:$AP$1843,$BY$7:$BY$1843,BY670,$AS$7:$AS$1843,AS670,$BQ$7:$BQ$1843,"&lt;="&amp;BQ670),"")</f>
        <v/>
      </c>
      <c r="AU670" s="65" t="n">
        <f aca="false">IF(AT670="",0,MAX(0,MIN(1,(IF(BY670="L1",Parameter!$E$5,Parameter!$E$6+Parameter!$E$7)-(AT670-AP670))/AP670)))</f>
        <v>0</v>
      </c>
      <c r="AV670" s="57" t="n">
        <f aca="false">IF(LEFT(Cockpit!$O$5,1)="A",H670,IF(CA670=1,CB670,IF(LEFT(Cockpit!$O$5,1)="B",AZ670,MAX(AZ670,H670))))</f>
        <v>1</v>
      </c>
      <c r="AW670" s="57" t="n">
        <f aca="false">IF(BT670=1,0,ROUNDUP(AV670/BS670,0))</f>
        <v>0</v>
      </c>
      <c r="AX670" s="59" t="n">
        <f aca="false">IF(CH670&gt;0,CH670*MAX(1,AV670/X670),IF(BT670=1,IF(AV670&lt;=0,0,BW670*MAX(1,IF(H670&gt;0,AV670/H670,1))),IF(R670&gt;0,AW670/R670,0))/MAX(0.1,N(Parameter!$M$21)))</f>
        <v>0.15</v>
      </c>
      <c r="AY670" s="57" t="n">
        <f aca="false">AV670*G670</f>
        <v>171.76</v>
      </c>
      <c r="AZ670" s="57" t="n">
        <f aca="false">ROUNDUP(MAX(J670/IF(BZ670&gt;0,BZ670,MAX(0.1,N(Cockpit!$O$6))),CC670)/BS670,0)*BS670</f>
        <v>1</v>
      </c>
      <c r="BA670" s="58" t="n">
        <f aca="false">IF(AX670&gt;0,J670/AX670,-1)</f>
        <v>6.66666666666667</v>
      </c>
      <c r="BB670" s="58" t="str">
        <f aca="false">IF(AND(OR(BY670="L1",BY670="L23"),AX670&gt;0),SUMIFS($AX$7:$AX$1843,$BY$7:$BY$1843,BY670,$BA$7:$BA$1843,"&gt;"&amp;BA670)+SUMIFS($AX$7:$AX$1843,$BY$7:$BY$1843,BY670,$BA$7:$BA$1843,BA670,$BQ$7:$BQ$1843,"&lt;="&amp;BQ670),"")</f>
        <v/>
      </c>
      <c r="BC670" s="65" t="n">
        <f aca="false">IF(BB670="",0,MAX(0,MIN(1,(IF(BY670="L1",Parameter!$E$5,Parameter!$E$6+Parameter!$E$7)-(BB670-AX670))/AX670)))</f>
        <v>0</v>
      </c>
      <c r="BD670" s="55" t="str">
        <f aca="false">IF(AH670&lt;=0,"",IF(BY670="Aussen","Aussenlager",IF(BY670="-","Nicht im Lift",IF(AM670&gt;=1,"Lift",IF(AM670&lt;=0,"Aussenlager","teilweise")))))</f>
        <v/>
      </c>
      <c r="BE670" s="55" t="str">
        <f aca="false">IF(AP670&lt;=0,"",IF(BY670="Aussen","Aussenlager",IF(BY670="-","Nicht im Lift",IF(AU670&gt;=1,"Lift",IF(AU670&lt;=0,"Aussenlager","teilweise")))))</f>
        <v>Nicht im Lift</v>
      </c>
      <c r="BF670" s="55" t="str">
        <f aca="false">IF(AX670&lt;=0,"",IF(BY670="Aussen","Aussenlager",IF(BY670="-","Nicht im Lift",IF(BC670&gt;=1,"Lift",IF(BC670&lt;=0,"Aussenlager","teilweise")))))</f>
        <v>Nicht im Lift</v>
      </c>
      <c r="BG670" s="55" t="str">
        <f aca="false">IF(A670="","",IF(BP670=1,"Neu; ","")&amp;IF(AND(BP670=0,BK670&lt;0),"negativer Bestand (Export "&amp;BK670&amp;"); ","")&amp;IF(J670&lt;=0,"Kein Verbrauch; ","")&amp;IF(CH670&gt;0,"Lift "&amp;W670&amp;" lt. Liftbericht (Fach "&amp;X670&amp;" Stk); ",IF(BU670=1,"Gebinde geschätzt ("&amp;T670&amp;"); ",IF(BT670=1,"Lose – Tablare geschätzt; ","")))&amp;IF(H670&gt;AR670,"Überbestand "&amp;ROUND(H670-AR670,0)&amp;" Stk / CHF "&amp;ROUND((H670-AR670)*G670,0)&amp;"; ","")&amp;IF(AND(CA670=1,CB670&lt;CC670),"MAX &lt; MB+LG; ","")&amp;IF(AND(CG670&gt;0,CF670*10&gt;CG670),"zu hoch für Tablar; ","")&amp;IF(AND(BP670=0,OR(CA670=1,AA670&lt;&gt;"",U670&lt;&gt;"",V670&lt;&gt;"",AB670&lt;&gt;"")),"manuell übersteuert; ","")&amp;IF(AND(BT670=0,R670=0),"Gebinde unbekannt / Stellmass fehlt; ","")&amp;IF(AND(BT670=0,N(V670)&lt;=0,N(Q670)&lt;=0),"Menge pro Gebinde fehlt (Ist = 1 Gebinde); ","")&amp;BO670)</f>
        <v>Lose – Tablare geschätzt; </v>
      </c>
      <c r="BH670" s="55"/>
      <c r="BI670" s="55"/>
      <c r="BJ670" s="62"/>
      <c r="BK670" s="57" t="n">
        <v>0</v>
      </c>
      <c r="BL670" s="57" t="n">
        <v>0</v>
      </c>
      <c r="BM670" s="56" t="n">
        <v>0</v>
      </c>
      <c r="BN670" s="57" t="n">
        <v>1</v>
      </c>
      <c r="BO670" s="55"/>
      <c r="BP670" s="60" t="n">
        <v>0</v>
      </c>
      <c r="BQ670" s="60" t="n">
        <v>670</v>
      </c>
      <c r="BR670" s="55" t="str">
        <f aca="false">IF(U670&lt;&gt;"",UPPER(TRIM(U670)),IF(BU670=1,UPPER(VLOOKUP(T670,Parameter!$I$27:$K$29,2,0)),IF(P670="","LOSE",P670)))</f>
        <v>LOSE</v>
      </c>
      <c r="BS670" s="57" t="n">
        <f aca="false">IF(BR670="LOSE",1,IF(N(V670)&gt;0,V670,IF(BU670=1,MAX(1,N(VLOOKUP(T670,Parameter!$I$27:$K$29,3,0)),H670,N(N670)),IF(N(Q670)&gt;0,Q670,MAX(1,H670)))))</f>
        <v>1</v>
      </c>
      <c r="BT670" s="60" t="n">
        <f aca="false">IF(BR670="LOSE",1,0)</f>
        <v>1</v>
      </c>
      <c r="BU670" s="60" t="n">
        <f aca="false">IF(AND(U670="",OR(P670="",P670="LOSE"),T670&lt;&gt;"",N(S670)&lt;=0,ISNUMBER(MATCH(T670,Parameter!$I$27:$I$29,0))),1,0)</f>
        <v>0</v>
      </c>
      <c r="BV670" s="55" t="str">
        <f aca="false">IF(AND(Parameter!$B$19="Ja",E670&lt;&gt;"",ISNUMBER(MATCH(E670,Parameter!$I$35:$I$52,0))),VLOOKUP(E670,Parameter!$I$35:$J$52,2,0),IFERROR(VLOOKUP(D670,Parameter!$A$35:$C$64,2,0),"Nein"))</f>
        <v>Nein</v>
      </c>
      <c r="BW670" s="59" t="n">
        <f aca="false">IF(BT670=0,0,IF(N(S670)&gt;0,S670,IFERROR(VLOOKUP(D670,Parameter!$A$35:$C$64,3,0)+0,0)))</f>
        <v>0.15</v>
      </c>
      <c r="BX670" s="55" t="str">
        <f aca="false">IF(AA670&lt;&gt;"",AA670,Z670)</f>
        <v>-</v>
      </c>
      <c r="BY670" s="55" t="str">
        <f aca="false">IF(BX670=1,"L1",IF(OR(BX670=2,BX670=3),"L23",IF(BX670="Aussen","Aussen","-")))</f>
        <v>-</v>
      </c>
      <c r="BZ670" s="66" t="n">
        <f aca="false">IF(N(AB670)&gt;0,AB670,0)</f>
        <v>0</v>
      </c>
      <c r="CA670" s="60" t="n">
        <f aca="false">IF(ISNUMBER(AE670),1,0)</f>
        <v>0</v>
      </c>
      <c r="CB670" s="57" t="n">
        <f aca="false">N(AE670)</f>
        <v>0</v>
      </c>
      <c r="CC670" s="57" t="n">
        <f aca="false">N(M670)+N(N670)</f>
        <v>1</v>
      </c>
      <c r="CD670" s="57" t="n">
        <f aca="false">ROUNDUP(H670/BS670,0)</f>
        <v>0</v>
      </c>
      <c r="CE670" s="57" t="n">
        <f aca="false">ROUNDUP(CB670/BS670,0)</f>
        <v>0</v>
      </c>
      <c r="CF670" s="60" t="n">
        <f aca="false">IF(BT670=1,0,IFERROR(VLOOKUP(BR670,'Gebinde-Kategorie'!$A$5:$M$45,5,0)+0,0))</f>
        <v>0</v>
      </c>
      <c r="CG670" s="60" t="n">
        <f aca="false">IFERROR(IF(OR(BX670=1,BX670=2,BX670=3),N(INDEX(Parameter!$I$5:$I$7,BX670)),0),0)</f>
        <v>0</v>
      </c>
      <c r="CH670" s="59" t="n">
        <f aca="false">IF(AND(Parameter!$B$21="Ja",ISNUMBER(W670),N(X670)&gt;0),IFERROR(N(INDEX(Parameter!$L$5:$L$7,W670))*INDEX(Parameter!$E$5:$E$7,W670)*X670/SUMIFS($X$7:$X$1843,$W$7:$W$1843,W670),0),0)</f>
        <v>0</v>
      </c>
    </row>
    <row r="671" customFormat="false" ht="15" hidden="false" customHeight="false" outlineLevel="0" collapsed="false">
      <c r="A671" s="55" t="s">
        <v>1348</v>
      </c>
      <c r="B671" s="55" t="s">
        <v>1349</v>
      </c>
      <c r="C671" s="55" t="s">
        <v>164</v>
      </c>
      <c r="D671" s="55" t="s">
        <v>995</v>
      </c>
      <c r="E671" s="55"/>
      <c r="F671" s="55" t="s">
        <v>218</v>
      </c>
      <c r="G671" s="56" t="n">
        <v>154.75</v>
      </c>
      <c r="H671" s="57" t="n">
        <f aca="false">MAX(0,IF(AND(Parameter!$B$21="Ja",ISNUMBER(Y671)),Y671,IF(Parameter!$B$20="Jahresanfang 2025 + Export",BL671+BK671,BK671)))</f>
        <v>0</v>
      </c>
      <c r="I671" s="57" t="n">
        <f aca="false">H671*G671</f>
        <v>0</v>
      </c>
      <c r="J671" s="57" t="n">
        <f aca="false">BN671*Parameter!$B$18</f>
        <v>4</v>
      </c>
      <c r="K671" s="58" t="n">
        <v>0</v>
      </c>
      <c r="L671" s="59" t="n">
        <v>0</v>
      </c>
      <c r="M671" s="57" t="n">
        <v>0</v>
      </c>
      <c r="N671" s="57" t="n">
        <v>1</v>
      </c>
      <c r="O671" s="60" t="n">
        <v>105</v>
      </c>
      <c r="P671" s="55" t="s">
        <v>168</v>
      </c>
      <c r="Q671" s="57"/>
      <c r="R671" s="60" t="n">
        <f aca="false">IF(BT671=1,0,IFERROR(VLOOKUP(BR671,'Gebinde-Kategorie'!$A$5:$M$45,13,0)+0,0))</f>
        <v>0</v>
      </c>
      <c r="S671" s="61"/>
      <c r="T671" s="62"/>
      <c r="U671" s="62"/>
      <c r="V671" s="62"/>
      <c r="W671" s="55"/>
      <c r="X671" s="57"/>
      <c r="Y671" s="57"/>
      <c r="Z671" s="55" t="str">
        <f aca="false">IF(A671="","",IF(AND(Parameter!$B$21="Ja",ISNUMBER(W671)),W671,IF(BV671="2+3",IF(ISNUMBER(SEARCH("grosser Artikel",BO671)),2,IFERROR(VLOOKUP(BR671,Parameter!$F$35:$G$64,2,0),2)),IF(OR(BV671="Nein",BV671=""),"-",BV671))))</f>
        <v>-</v>
      </c>
      <c r="AA671" s="62"/>
      <c r="AB671" s="63"/>
      <c r="AC671" s="57" t="n">
        <f aca="false">AR671</f>
        <v>2</v>
      </c>
      <c r="AD671" s="57" t="n">
        <f aca="false">MAX(AR671,H671)</f>
        <v>2</v>
      </c>
      <c r="AE671" s="64"/>
      <c r="AF671" s="57" t="n">
        <f aca="false">IF(LEFT(Cockpit!$C$5,1)="A",H671,IF(CA671=1,CB671,IF(LEFT(Cockpit!$C$5,1)="B",AJ671,MAX(AJ671,H671))))</f>
        <v>0</v>
      </c>
      <c r="AG671" s="57" t="n">
        <f aca="false">IF(BT671=1,0,ROUNDUP(AF671/BS671,0))</f>
        <v>0</v>
      </c>
      <c r="AH671" s="59" t="n">
        <f aca="false">IF(CH671&gt;0,CH671*MAX(1,AF671/X671),IF(BT671=1,IF(AF671&lt;=0,0,BW671*MAX(1,IF(H671&gt;0,AF671/H671,1))),IF(R671&gt;0,AG671/R671,0))/MAX(0.1,N(Parameter!$M$21)))</f>
        <v>0</v>
      </c>
      <c r="AI671" s="57" t="n">
        <f aca="false">AF671*G671</f>
        <v>0</v>
      </c>
      <c r="AJ671" s="57" t="n">
        <f aca="false">ROUNDUP(MAX(J671/IF(BZ671&gt;0,BZ671,MAX(0.1,N(Cockpit!$C$6))),CC671)/BS671,0)*BS671</f>
        <v>2</v>
      </c>
      <c r="AK671" s="58" t="n">
        <f aca="false">IF(AH671&gt;0,J671/AH671,-1)</f>
        <v>-1</v>
      </c>
      <c r="AL671" s="58" t="str">
        <f aca="false">IF(AND(OR(BY671="L1",BY671="L23"),AH671&gt;0),SUMIFS($AH$7:$AH$1843,$BY$7:$BY$1843,BY671,$AK$7:$AK$1843,"&gt;"&amp;AK671)+SUMIFS($AH$7:$AH$1843,$BY$7:$BY$1843,BY671,$AK$7:$AK$1843,AK671,$BQ$7:$BQ$1843,"&lt;="&amp;BQ671),"")</f>
        <v/>
      </c>
      <c r="AM671" s="65" t="n">
        <f aca="false">IF(AL671="",0,MAX(0,MIN(1,(IF(BY671="L1",Parameter!$E$5,Parameter!$E$6+Parameter!$E$7)-(AL671-AH671))/AH671)))</f>
        <v>0</v>
      </c>
      <c r="AN671" s="57" t="n">
        <f aca="false">IF(LEFT(Cockpit!$I$5,1)="A",H671,IF(CA671=1,CB671,IF(LEFT(Cockpit!$I$5,1)="B",AR671,MAX(AR671,H671))))</f>
        <v>2</v>
      </c>
      <c r="AO671" s="57" t="n">
        <f aca="false">IF(BT671=1,0,ROUNDUP(AN671/BS671,0))</f>
        <v>0</v>
      </c>
      <c r="AP671" s="59" t="n">
        <f aca="false">IF(CH671&gt;0,CH671*MAX(1,AN671/X671),IF(BT671=1,IF(AN671&lt;=0,0,BW671*MAX(1,IF(H671&gt;0,AN671/H671,1))),IF(R671&gt;0,AO671/R671,0))/MAX(0.1,N(Parameter!$M$21)))</f>
        <v>0.15</v>
      </c>
      <c r="AQ671" s="57" t="n">
        <f aca="false">AN671*G671</f>
        <v>309.5</v>
      </c>
      <c r="AR671" s="57" t="n">
        <f aca="false">ROUNDUP(MAX(J671/IF(BZ671&gt;0,BZ671,MAX(0.1,N(Cockpit!$I$6))),CC671)/BS671,0)*BS671</f>
        <v>2</v>
      </c>
      <c r="AS671" s="58" t="n">
        <f aca="false">IF(AP671&gt;0,J671/AP671,-1)</f>
        <v>26.6666666666667</v>
      </c>
      <c r="AT671" s="58" t="str">
        <f aca="false">IF(AND(OR(BY671="L1",BY671="L23"),AP671&gt;0),SUMIFS($AP$7:$AP$1843,$BY$7:$BY$1843,BY671,$AS$7:$AS$1843,"&gt;"&amp;AS671)+SUMIFS($AP$7:$AP$1843,$BY$7:$BY$1843,BY671,$AS$7:$AS$1843,AS671,$BQ$7:$BQ$1843,"&lt;="&amp;BQ671),"")</f>
        <v/>
      </c>
      <c r="AU671" s="65" t="n">
        <f aca="false">IF(AT671="",0,MAX(0,MIN(1,(IF(BY671="L1",Parameter!$E$5,Parameter!$E$6+Parameter!$E$7)-(AT671-AP671))/AP671)))</f>
        <v>0</v>
      </c>
      <c r="AV671" s="57" t="n">
        <f aca="false">IF(LEFT(Cockpit!$O$5,1)="A",H671,IF(CA671=1,CB671,IF(LEFT(Cockpit!$O$5,1)="B",AZ671,MAX(AZ671,H671))))</f>
        <v>2</v>
      </c>
      <c r="AW671" s="57" t="n">
        <f aca="false">IF(BT671=1,0,ROUNDUP(AV671/BS671,0))</f>
        <v>0</v>
      </c>
      <c r="AX671" s="59" t="n">
        <f aca="false">IF(CH671&gt;0,CH671*MAX(1,AV671/X671),IF(BT671=1,IF(AV671&lt;=0,0,BW671*MAX(1,IF(H671&gt;0,AV671/H671,1))),IF(R671&gt;0,AW671/R671,0))/MAX(0.1,N(Parameter!$M$21)))</f>
        <v>0.15</v>
      </c>
      <c r="AY671" s="57" t="n">
        <f aca="false">AV671*G671</f>
        <v>309.5</v>
      </c>
      <c r="AZ671" s="57" t="n">
        <f aca="false">ROUNDUP(MAX(J671/IF(BZ671&gt;0,BZ671,MAX(0.1,N(Cockpit!$O$6))),CC671)/BS671,0)*BS671</f>
        <v>2</v>
      </c>
      <c r="BA671" s="58" t="n">
        <f aca="false">IF(AX671&gt;0,J671/AX671,-1)</f>
        <v>26.6666666666667</v>
      </c>
      <c r="BB671" s="58" t="str">
        <f aca="false">IF(AND(OR(BY671="L1",BY671="L23"),AX671&gt;0),SUMIFS($AX$7:$AX$1843,$BY$7:$BY$1843,BY671,$BA$7:$BA$1843,"&gt;"&amp;BA671)+SUMIFS($AX$7:$AX$1843,$BY$7:$BY$1843,BY671,$BA$7:$BA$1843,BA671,$BQ$7:$BQ$1843,"&lt;="&amp;BQ671),"")</f>
        <v/>
      </c>
      <c r="BC671" s="65" t="n">
        <f aca="false">IF(BB671="",0,MAX(0,MIN(1,(IF(BY671="L1",Parameter!$E$5,Parameter!$E$6+Parameter!$E$7)-(BB671-AX671))/AX671)))</f>
        <v>0</v>
      </c>
      <c r="BD671" s="55" t="str">
        <f aca="false">IF(AH671&lt;=0,"",IF(BY671="Aussen","Aussenlager",IF(BY671="-","Nicht im Lift",IF(AM671&gt;=1,"Lift",IF(AM671&lt;=0,"Aussenlager","teilweise")))))</f>
        <v/>
      </c>
      <c r="BE671" s="55" t="str">
        <f aca="false">IF(AP671&lt;=0,"",IF(BY671="Aussen","Aussenlager",IF(BY671="-","Nicht im Lift",IF(AU671&gt;=1,"Lift",IF(AU671&lt;=0,"Aussenlager","teilweise")))))</f>
        <v>Nicht im Lift</v>
      </c>
      <c r="BF671" s="55" t="str">
        <f aca="false">IF(AX671&lt;=0,"",IF(BY671="Aussen","Aussenlager",IF(BY671="-","Nicht im Lift",IF(BC671&gt;=1,"Lift",IF(BC671&lt;=0,"Aussenlager","teilweise")))))</f>
        <v>Nicht im Lift</v>
      </c>
      <c r="BG671" s="55" t="str">
        <f aca="false">IF(A671="","",IF(BP671=1,"Neu; ","")&amp;IF(AND(BP671=0,BK671&lt;0),"negativer Bestand (Export "&amp;BK671&amp;"); ","")&amp;IF(J671&lt;=0,"Kein Verbrauch; ","")&amp;IF(CH671&gt;0,"Lift "&amp;W671&amp;" lt. Liftbericht (Fach "&amp;X671&amp;" Stk); ",IF(BU671=1,"Gebinde geschätzt ("&amp;T671&amp;"); ",IF(BT671=1,"Lose – Tablare geschätzt; ","")))&amp;IF(H671&gt;AR671,"Überbestand "&amp;ROUND(H671-AR671,0)&amp;" Stk / CHF "&amp;ROUND((H671-AR671)*G671,0)&amp;"; ","")&amp;IF(AND(CA671=1,CB671&lt;CC671),"MAX &lt; MB+LG; ","")&amp;IF(AND(CG671&gt;0,CF671*10&gt;CG671),"zu hoch für Tablar; ","")&amp;IF(AND(BP671=0,OR(CA671=1,AA671&lt;&gt;"",U671&lt;&gt;"",V671&lt;&gt;"",AB671&lt;&gt;"")),"manuell übersteuert; ","")&amp;IF(AND(BT671=0,R671=0),"Gebinde unbekannt / Stellmass fehlt; ","")&amp;IF(AND(BT671=0,N(V671)&lt;=0,N(Q671)&lt;=0),"Menge pro Gebinde fehlt (Ist = 1 Gebinde); ","")&amp;BO671)</f>
        <v>Lose – Tablare geschätzt; </v>
      </c>
      <c r="BH671" s="55"/>
      <c r="BI671" s="55"/>
      <c r="BJ671" s="62"/>
      <c r="BK671" s="57" t="n">
        <v>0</v>
      </c>
      <c r="BL671" s="57" t="n">
        <v>0</v>
      </c>
      <c r="BM671" s="56" t="n">
        <v>0</v>
      </c>
      <c r="BN671" s="57" t="n">
        <v>4</v>
      </c>
      <c r="BO671" s="55"/>
      <c r="BP671" s="60" t="n">
        <v>0</v>
      </c>
      <c r="BQ671" s="60" t="n">
        <v>671</v>
      </c>
      <c r="BR671" s="55" t="str">
        <f aca="false">IF(U671&lt;&gt;"",UPPER(TRIM(U671)),IF(BU671=1,UPPER(VLOOKUP(T671,Parameter!$I$27:$K$29,2,0)),IF(P671="","LOSE",P671)))</f>
        <v>LOSE</v>
      </c>
      <c r="BS671" s="57" t="n">
        <f aca="false">IF(BR671="LOSE",1,IF(N(V671)&gt;0,V671,IF(BU671=1,MAX(1,N(VLOOKUP(T671,Parameter!$I$27:$K$29,3,0)),H671,N(N671)),IF(N(Q671)&gt;0,Q671,MAX(1,H671)))))</f>
        <v>1</v>
      </c>
      <c r="BT671" s="60" t="n">
        <f aca="false">IF(BR671="LOSE",1,0)</f>
        <v>1</v>
      </c>
      <c r="BU671" s="60" t="n">
        <f aca="false">IF(AND(U671="",OR(P671="",P671="LOSE"),T671&lt;&gt;"",N(S671)&lt;=0,ISNUMBER(MATCH(T671,Parameter!$I$27:$I$29,0))),1,0)</f>
        <v>0</v>
      </c>
      <c r="BV671" s="55" t="str">
        <f aca="false">IF(AND(Parameter!$B$19="Ja",E671&lt;&gt;"",ISNUMBER(MATCH(E671,Parameter!$I$35:$I$52,0))),VLOOKUP(E671,Parameter!$I$35:$J$52,2,0),IFERROR(VLOOKUP(D671,Parameter!$A$35:$C$64,2,0),"Nein"))</f>
        <v>Nein</v>
      </c>
      <c r="BW671" s="59" t="n">
        <f aca="false">IF(BT671=0,0,IF(N(S671)&gt;0,S671,IFERROR(VLOOKUP(D671,Parameter!$A$35:$C$64,3,0)+0,0)))</f>
        <v>0.15</v>
      </c>
      <c r="BX671" s="55" t="str">
        <f aca="false">IF(AA671&lt;&gt;"",AA671,Z671)</f>
        <v>-</v>
      </c>
      <c r="BY671" s="55" t="str">
        <f aca="false">IF(BX671=1,"L1",IF(OR(BX671=2,BX671=3),"L23",IF(BX671="Aussen","Aussen","-")))</f>
        <v>-</v>
      </c>
      <c r="BZ671" s="66" t="n">
        <f aca="false">IF(N(AB671)&gt;0,AB671,0)</f>
        <v>0</v>
      </c>
      <c r="CA671" s="60" t="n">
        <f aca="false">IF(ISNUMBER(AE671),1,0)</f>
        <v>0</v>
      </c>
      <c r="CB671" s="57" t="n">
        <f aca="false">N(AE671)</f>
        <v>0</v>
      </c>
      <c r="CC671" s="57" t="n">
        <f aca="false">N(M671)+N(N671)</f>
        <v>1</v>
      </c>
      <c r="CD671" s="57" t="n">
        <f aca="false">ROUNDUP(H671/BS671,0)</f>
        <v>0</v>
      </c>
      <c r="CE671" s="57" t="n">
        <f aca="false">ROUNDUP(CB671/BS671,0)</f>
        <v>0</v>
      </c>
      <c r="CF671" s="60" t="n">
        <f aca="false">IF(BT671=1,0,IFERROR(VLOOKUP(BR671,'Gebinde-Kategorie'!$A$5:$M$45,5,0)+0,0))</f>
        <v>0</v>
      </c>
      <c r="CG671" s="60" t="n">
        <f aca="false">IFERROR(IF(OR(BX671=1,BX671=2,BX671=3),N(INDEX(Parameter!$I$5:$I$7,BX671)),0),0)</f>
        <v>0</v>
      </c>
      <c r="CH671" s="59" t="n">
        <f aca="false">IF(AND(Parameter!$B$21="Ja",ISNUMBER(W671),N(X671)&gt;0),IFERROR(N(INDEX(Parameter!$L$5:$L$7,W671))*INDEX(Parameter!$E$5:$E$7,W671)*X671/SUMIFS($X$7:$X$1843,$W$7:$W$1843,W671),0),0)</f>
        <v>0</v>
      </c>
    </row>
    <row r="672" customFormat="false" ht="15" hidden="false" customHeight="false" outlineLevel="0" collapsed="false">
      <c r="A672" s="55" t="s">
        <v>1350</v>
      </c>
      <c r="B672" s="55" t="s">
        <v>181</v>
      </c>
      <c r="C672" s="55" t="s">
        <v>164</v>
      </c>
      <c r="D672" s="55" t="s">
        <v>173</v>
      </c>
      <c r="E672" s="55"/>
      <c r="F672" s="55" t="s">
        <v>218</v>
      </c>
      <c r="G672" s="56" t="n">
        <v>5409.17</v>
      </c>
      <c r="H672" s="57" t="n">
        <f aca="false">MAX(0,IF(AND(Parameter!$B$21="Ja",ISNUMBER(Y672)),Y672,IF(Parameter!$B$20="Jahresanfang 2025 + Export",BL672+BK672,BK672)))</f>
        <v>0</v>
      </c>
      <c r="I672" s="57" t="n">
        <f aca="false">H672*G672</f>
        <v>0</v>
      </c>
      <c r="J672" s="57" t="n">
        <f aca="false">BN672*Parameter!$B$18</f>
        <v>1</v>
      </c>
      <c r="K672" s="58" t="n">
        <v>0</v>
      </c>
      <c r="L672" s="59" t="n">
        <v>0</v>
      </c>
      <c r="M672" s="57" t="n">
        <v>0</v>
      </c>
      <c r="N672" s="57" t="n">
        <v>1</v>
      </c>
      <c r="O672" s="60" t="n">
        <v>115</v>
      </c>
      <c r="P672" s="55" t="s">
        <v>168</v>
      </c>
      <c r="Q672" s="57"/>
      <c r="R672" s="60" t="n">
        <f aca="false">IF(BT672=1,0,IFERROR(VLOOKUP(BR672,'Gebinde-Kategorie'!$A$5:$M$45,13,0)+0,0))</f>
        <v>12</v>
      </c>
      <c r="S672" s="61"/>
      <c r="T672" s="62" t="s">
        <v>179</v>
      </c>
      <c r="U672" s="62"/>
      <c r="V672" s="62"/>
      <c r="W672" s="55"/>
      <c r="X672" s="57"/>
      <c r="Y672" s="57"/>
      <c r="Z672" s="55" t="n">
        <f aca="false">IF(A672="","",IF(AND(Parameter!$B$21="Ja",ISNUMBER(W672)),W672,IF(BV672="2+3",IF(ISNUMBER(SEARCH("grosser Artikel",BO672)),2,IFERROR(VLOOKUP(BR672,Parameter!$F$35:$G$64,2,0),2)),IF(OR(BV672="Nein",BV672=""),"-",BV672))))</f>
        <v>2</v>
      </c>
      <c r="AA672" s="62"/>
      <c r="AB672" s="63"/>
      <c r="AC672" s="57" t="n">
        <f aca="false">AR672</f>
        <v>4</v>
      </c>
      <c r="AD672" s="57" t="n">
        <f aca="false">MAX(AR672,H672)</f>
        <v>4</v>
      </c>
      <c r="AE672" s="64"/>
      <c r="AF672" s="57" t="n">
        <f aca="false">IF(LEFT(Cockpit!$C$5,1)="A",H672,IF(CA672=1,CB672,IF(LEFT(Cockpit!$C$5,1)="B",AJ672,MAX(AJ672,H672))))</f>
        <v>0</v>
      </c>
      <c r="AG672" s="57" t="n">
        <f aca="false">IF(BT672=1,0,ROUNDUP(AF672/BS672,0))</f>
        <v>0</v>
      </c>
      <c r="AH672" s="59" t="n">
        <f aca="false">IF(CH672&gt;0,CH672*MAX(1,AF672/X672),IF(BT672=1,IF(AF672&lt;=0,0,BW672*MAX(1,IF(H672&gt;0,AF672/H672,1))),IF(R672&gt;0,AG672/R672,0))/MAX(0.1,N(Parameter!$M$21)))</f>
        <v>0</v>
      </c>
      <c r="AI672" s="57" t="n">
        <f aca="false">AF672*G672</f>
        <v>0</v>
      </c>
      <c r="AJ672" s="57" t="n">
        <f aca="false">ROUNDUP(MAX(J672/IF(BZ672&gt;0,BZ672,MAX(0.1,N(Cockpit!$C$6))),CC672)/BS672,0)*BS672</f>
        <v>4</v>
      </c>
      <c r="AK672" s="58" t="n">
        <f aca="false">IF(AH672&gt;0,J672/AH672,-1)</f>
        <v>-1</v>
      </c>
      <c r="AL672" s="58" t="str">
        <f aca="false">IF(AND(OR(BY672="L1",BY672="L23"),AH672&gt;0),SUMIFS($AH$7:$AH$1843,$BY$7:$BY$1843,BY672,$AK$7:$AK$1843,"&gt;"&amp;AK672)+SUMIFS($AH$7:$AH$1843,$BY$7:$BY$1843,BY672,$AK$7:$AK$1843,AK672,$BQ$7:$BQ$1843,"&lt;="&amp;BQ672),"")</f>
        <v/>
      </c>
      <c r="AM672" s="65" t="n">
        <f aca="false">IF(AL672="",0,MAX(0,MIN(1,(IF(BY672="L1",Parameter!$E$5,Parameter!$E$6+Parameter!$E$7)-(AL672-AH672))/AH672)))</f>
        <v>0</v>
      </c>
      <c r="AN672" s="57" t="n">
        <f aca="false">IF(LEFT(Cockpit!$I$5,1)="A",H672,IF(CA672=1,CB672,IF(LEFT(Cockpit!$I$5,1)="B",AR672,MAX(AR672,H672))))</f>
        <v>4</v>
      </c>
      <c r="AO672" s="57" t="n">
        <f aca="false">IF(BT672=1,0,ROUNDUP(AN672/BS672,0))</f>
        <v>1</v>
      </c>
      <c r="AP672" s="59" t="n">
        <f aca="false">IF(CH672&gt;0,CH672*MAX(1,AN672/X672),IF(BT672=1,IF(AN672&lt;=0,0,BW672*MAX(1,IF(H672&gt;0,AN672/H672,1))),IF(R672&gt;0,AO672/R672,0))/MAX(0.1,N(Parameter!$M$21)))</f>
        <v>0.0833333333333333</v>
      </c>
      <c r="AQ672" s="57" t="n">
        <f aca="false">AN672*G672</f>
        <v>21636.68</v>
      </c>
      <c r="AR672" s="57" t="n">
        <f aca="false">ROUNDUP(MAX(J672/IF(BZ672&gt;0,BZ672,MAX(0.1,N(Cockpit!$I$6))),CC672)/BS672,0)*BS672</f>
        <v>4</v>
      </c>
      <c r="AS672" s="58" t="n">
        <f aca="false">IF(AP672&gt;0,J672/AP672,-1)</f>
        <v>12</v>
      </c>
      <c r="AT672" s="58" t="n">
        <f aca="false">IF(AND(OR(BY672="L1",BY672="L23"),AP672&gt;0),SUMIFS($AP$7:$AP$1843,$BY$7:$BY$1843,BY672,$AS$7:$AS$1843,"&gt;"&amp;AS672)+SUMIFS($AP$7:$AP$1843,$BY$7:$BY$1843,BY672,$AS$7:$AS$1843,AS672,$BQ$7:$BQ$1843,"&lt;="&amp;BQ672),"")</f>
        <v>81.5315360967535</v>
      </c>
      <c r="AU672" s="65" t="n">
        <f aca="false">IF(AT672="",0,MAX(0,MIN(1,(IF(BY672="L1",Parameter!$E$5,Parameter!$E$6+Parameter!$E$7)-(AT672-AP672))/AP672)))</f>
        <v>1</v>
      </c>
      <c r="AV672" s="57" t="n">
        <f aca="false">IF(LEFT(Cockpit!$O$5,1)="A",H672,IF(CA672=1,CB672,IF(LEFT(Cockpit!$O$5,1)="B",AZ672,MAX(AZ672,H672))))</f>
        <v>4</v>
      </c>
      <c r="AW672" s="57" t="n">
        <f aca="false">IF(BT672=1,0,ROUNDUP(AV672/BS672,0))</f>
        <v>1</v>
      </c>
      <c r="AX672" s="59" t="n">
        <f aca="false">IF(CH672&gt;0,CH672*MAX(1,AV672/X672),IF(BT672=1,IF(AV672&lt;=0,0,BW672*MAX(1,IF(H672&gt;0,AV672/H672,1))),IF(R672&gt;0,AW672/R672,0))/MAX(0.1,N(Parameter!$M$21)))</f>
        <v>0.0833333333333333</v>
      </c>
      <c r="AY672" s="57" t="n">
        <f aca="false">AV672*G672</f>
        <v>21636.68</v>
      </c>
      <c r="AZ672" s="57" t="n">
        <f aca="false">ROUNDUP(MAX(J672/IF(BZ672&gt;0,BZ672,MAX(0.1,N(Cockpit!$O$6))),CC672)/BS672,0)*BS672</f>
        <v>4</v>
      </c>
      <c r="BA672" s="58" t="n">
        <f aca="false">IF(AX672&gt;0,J672/AX672,-1)</f>
        <v>12</v>
      </c>
      <c r="BB672" s="58" t="n">
        <f aca="false">IF(AND(OR(BY672="L1",BY672="L23"),AX672&gt;0),SUMIFS($AX$7:$AX$1843,$BY$7:$BY$1843,BY672,$BA$7:$BA$1843,"&gt;"&amp;BA672)+SUMIFS($AX$7:$AX$1843,$BY$7:$BY$1843,BY672,$BA$7:$BA$1843,BA672,$BQ$7:$BQ$1843,"&lt;="&amp;BQ672),"")</f>
        <v>81.028039593257</v>
      </c>
      <c r="BC672" s="65" t="n">
        <f aca="false">IF(BB672="",0,MAX(0,MIN(1,(IF(BY672="L1",Parameter!$E$5,Parameter!$E$6+Parameter!$E$7)-(BB672-AX672))/AX672)))</f>
        <v>1</v>
      </c>
      <c r="BD672" s="55" t="str">
        <f aca="false">IF(AH672&lt;=0,"",IF(BY672="Aussen","Aussenlager",IF(BY672="-","Nicht im Lift",IF(AM672&gt;=1,"Lift",IF(AM672&lt;=0,"Aussenlager","teilweise")))))</f>
        <v/>
      </c>
      <c r="BE672" s="55" t="str">
        <f aca="false">IF(AP672&lt;=0,"",IF(BY672="Aussen","Aussenlager",IF(BY672="-","Nicht im Lift",IF(AU672&gt;=1,"Lift",IF(AU672&lt;=0,"Aussenlager","teilweise")))))</f>
        <v>Lift</v>
      </c>
      <c r="BF672" s="55" t="str">
        <f aca="false">IF(AX672&lt;=0,"",IF(BY672="Aussen","Aussenlager",IF(BY672="-","Nicht im Lift",IF(BC672&gt;=1,"Lift",IF(BC672&lt;=0,"Aussenlager","teilweise")))))</f>
        <v>Lift</v>
      </c>
      <c r="BG672" s="55" t="str">
        <f aca="false">IF(A672="","",IF(BP672=1,"Neu; ","")&amp;IF(AND(BP672=0,BK672&lt;0),"negativer Bestand (Export "&amp;BK672&amp;"); ","")&amp;IF(J672&lt;=0,"Kein Verbrauch; ","")&amp;IF(CH672&gt;0,"Lift "&amp;W672&amp;" lt. Liftbericht (Fach "&amp;X672&amp;" Stk); ",IF(BU672=1,"Gebinde geschätzt ("&amp;T672&amp;"); ",IF(BT672=1,"Lose – Tablare geschätzt; ","")))&amp;IF(H672&gt;AR672,"Überbestand "&amp;ROUND(H672-AR672,0)&amp;" Stk / CHF "&amp;ROUND((H672-AR672)*G672,0)&amp;"; ","")&amp;IF(AND(CA672=1,CB672&lt;CC672),"MAX &lt; MB+LG; ","")&amp;IF(AND(CG672&gt;0,CF672*10&gt;CG672),"zu hoch für Tablar; ","")&amp;IF(AND(BP672=0,OR(CA672=1,AA672&lt;&gt;"",U672&lt;&gt;"",V672&lt;&gt;"",AB672&lt;&gt;"")),"manuell übersteuert; ","")&amp;IF(AND(BT672=0,R672=0),"Gebinde unbekannt / Stellmass fehlt; ","")&amp;IF(AND(BT672=0,N(V672)&lt;=0,N(Q672)&lt;=0),"Menge pro Gebinde fehlt (Ist = 1 Gebinde); ","")&amp;BO672)</f>
        <v>Gebinde geschätzt (Mittel); Menge pro Gebinde fehlt (Ist = 1 Gebinde); </v>
      </c>
      <c r="BH672" s="55"/>
      <c r="BI672" s="55"/>
      <c r="BJ672" s="62"/>
      <c r="BK672" s="57" t="n">
        <v>0</v>
      </c>
      <c r="BL672" s="57" t="n">
        <v>0</v>
      </c>
      <c r="BM672" s="56" t="n">
        <v>0</v>
      </c>
      <c r="BN672" s="57" t="n">
        <v>1</v>
      </c>
      <c r="BO672" s="55"/>
      <c r="BP672" s="60" t="n">
        <v>0</v>
      </c>
      <c r="BQ672" s="60" t="n">
        <v>672</v>
      </c>
      <c r="BR672" s="55" t="str">
        <f aca="false">IF(U672&lt;&gt;"",UPPER(TRIM(U672)),IF(BU672=1,UPPER(VLOOKUP(T672,Parameter!$I$27:$K$29,2,0)),IF(P672="","LOSE",P672)))</f>
        <v>S61</v>
      </c>
      <c r="BS672" s="57" t="n">
        <f aca="false">IF(BR672="LOSE",1,IF(N(V672)&gt;0,V672,IF(BU672=1,MAX(1,N(VLOOKUP(T672,Parameter!$I$27:$K$29,3,0)),H672,N(N672)),IF(N(Q672)&gt;0,Q672,MAX(1,H672)))))</f>
        <v>4</v>
      </c>
      <c r="BT672" s="60" t="n">
        <f aca="false">IF(BR672="LOSE",1,0)</f>
        <v>0</v>
      </c>
      <c r="BU672" s="60" t="n">
        <f aca="false">IF(AND(U672="",OR(P672="",P672="LOSE"),T672&lt;&gt;"",N(S672)&lt;=0,ISNUMBER(MATCH(T672,Parameter!$I$27:$I$29,0))),1,0)</f>
        <v>1</v>
      </c>
      <c r="BV672" s="55" t="str">
        <f aca="false">IF(AND(Parameter!$B$19="Ja",E672&lt;&gt;"",ISNUMBER(MATCH(E672,Parameter!$I$35:$I$52,0))),VLOOKUP(E672,Parameter!$I$35:$J$52,2,0),IFERROR(VLOOKUP(D672,Parameter!$A$35:$C$64,2,0),"Nein"))</f>
        <v>2+3</v>
      </c>
      <c r="BW672" s="59" t="n">
        <f aca="false">IF(BT672=0,0,IF(N(S672)&gt;0,S672,IFERROR(VLOOKUP(D672,Parameter!$A$35:$C$64,3,0)+0,0)))</f>
        <v>0</v>
      </c>
      <c r="BX672" s="55" t="n">
        <f aca="false">IF(AA672&lt;&gt;"",AA672,Z672)</f>
        <v>2</v>
      </c>
      <c r="BY672" s="55" t="str">
        <f aca="false">IF(BX672=1,"L1",IF(OR(BX672=2,BX672=3),"L23",IF(BX672="Aussen","Aussen","-")))</f>
        <v>L23</v>
      </c>
      <c r="BZ672" s="66" t="n">
        <f aca="false">IF(N(AB672)&gt;0,AB672,0)</f>
        <v>0</v>
      </c>
      <c r="CA672" s="60" t="n">
        <f aca="false">IF(ISNUMBER(AE672),1,0)</f>
        <v>0</v>
      </c>
      <c r="CB672" s="57" t="n">
        <f aca="false">N(AE672)</f>
        <v>0</v>
      </c>
      <c r="CC672" s="57" t="n">
        <f aca="false">N(M672)+N(N672)</f>
        <v>1</v>
      </c>
      <c r="CD672" s="57" t="n">
        <f aca="false">ROUNDUP(H672/BS672,0)</f>
        <v>0</v>
      </c>
      <c r="CE672" s="57" t="n">
        <f aca="false">ROUNDUP(CB672/BS672,0)</f>
        <v>0</v>
      </c>
      <c r="CF672" s="60" t="n">
        <f aca="false">IF(BT672=1,0,IFERROR(VLOOKUP(BR672,'Gebinde-Kategorie'!$A$5:$M$45,5,0)+0,0))</f>
        <v>11</v>
      </c>
      <c r="CG672" s="60" t="n">
        <f aca="false">IFERROR(IF(OR(BX672=1,BX672=2,BX672=3),N(INDEX(Parameter!$I$5:$I$7,BX672)),0),0)</f>
        <v>0</v>
      </c>
      <c r="CH672" s="59" t="n">
        <f aca="false">IF(AND(Parameter!$B$21="Ja",ISNUMBER(W672),N(X672)&gt;0),IFERROR(N(INDEX(Parameter!$L$5:$L$7,W672))*INDEX(Parameter!$E$5:$E$7,W672)*X672/SUMIFS($X$7:$X$1843,$W$7:$W$1843,W672),0),0)</f>
        <v>0</v>
      </c>
    </row>
    <row r="673" customFormat="false" ht="15" hidden="false" customHeight="false" outlineLevel="0" collapsed="false">
      <c r="A673" s="55" t="s">
        <v>1351</v>
      </c>
      <c r="B673" s="55" t="s">
        <v>1352</v>
      </c>
      <c r="C673" s="55" t="s">
        <v>164</v>
      </c>
      <c r="D673" s="55" t="s">
        <v>995</v>
      </c>
      <c r="E673" s="55"/>
      <c r="F673" s="55" t="s">
        <v>218</v>
      </c>
      <c r="G673" s="56" t="n">
        <v>0</v>
      </c>
      <c r="H673" s="57" t="n">
        <f aca="false">MAX(0,IF(AND(Parameter!$B$21="Ja",ISNUMBER(Y673)),Y673,IF(Parameter!$B$20="Jahresanfang 2025 + Export",BL673+BK673,BK673)))</f>
        <v>0</v>
      </c>
      <c r="I673" s="57" t="n">
        <f aca="false">H673*G673</f>
        <v>0</v>
      </c>
      <c r="J673" s="57" t="n">
        <f aca="false">BN673*Parameter!$B$18</f>
        <v>0</v>
      </c>
      <c r="K673" s="58" t="n">
        <v>0.5</v>
      </c>
      <c r="L673" s="59" t="n">
        <v>0</v>
      </c>
      <c r="M673" s="57" t="n">
        <v>0</v>
      </c>
      <c r="N673" s="57" t="n">
        <v>1</v>
      </c>
      <c r="O673" s="60" t="n">
        <v>28</v>
      </c>
      <c r="P673" s="55" t="s">
        <v>168</v>
      </c>
      <c r="Q673" s="57"/>
      <c r="R673" s="60" t="n">
        <f aca="false">IF(BT673=1,0,IFERROR(VLOOKUP(BR673,'Gebinde-Kategorie'!$A$5:$M$45,13,0)+0,0))</f>
        <v>0</v>
      </c>
      <c r="S673" s="61"/>
      <c r="T673" s="62"/>
      <c r="U673" s="62"/>
      <c r="V673" s="62"/>
      <c r="W673" s="55"/>
      <c r="X673" s="57"/>
      <c r="Y673" s="57"/>
      <c r="Z673" s="55" t="str">
        <f aca="false">IF(A673="","",IF(AND(Parameter!$B$21="Ja",ISNUMBER(W673)),W673,IF(BV673="2+3",IF(ISNUMBER(SEARCH("grosser Artikel",BO673)),2,IFERROR(VLOOKUP(BR673,Parameter!$F$35:$G$64,2,0),2)),IF(OR(BV673="Nein",BV673=""),"-",BV673))))</f>
        <v>-</v>
      </c>
      <c r="AA673" s="62"/>
      <c r="AB673" s="63"/>
      <c r="AC673" s="57" t="n">
        <f aca="false">AR673</f>
        <v>1</v>
      </c>
      <c r="AD673" s="57" t="n">
        <f aca="false">MAX(AR673,H673)</f>
        <v>1</v>
      </c>
      <c r="AE673" s="64"/>
      <c r="AF673" s="57" t="n">
        <f aca="false">IF(LEFT(Cockpit!$C$5,1)="A",H673,IF(CA673=1,CB673,IF(LEFT(Cockpit!$C$5,1)="B",AJ673,MAX(AJ673,H673))))</f>
        <v>0</v>
      </c>
      <c r="AG673" s="57" t="n">
        <f aca="false">IF(BT673=1,0,ROUNDUP(AF673/BS673,0))</f>
        <v>0</v>
      </c>
      <c r="AH673" s="59" t="n">
        <f aca="false">IF(CH673&gt;0,CH673*MAX(1,AF673/X673),IF(BT673=1,IF(AF673&lt;=0,0,BW673*MAX(1,IF(H673&gt;0,AF673/H673,1))),IF(R673&gt;0,AG673/R673,0))/MAX(0.1,N(Parameter!$M$21)))</f>
        <v>0</v>
      </c>
      <c r="AI673" s="57" t="n">
        <f aca="false">AF673*G673</f>
        <v>0</v>
      </c>
      <c r="AJ673" s="57" t="n">
        <f aca="false">ROUNDUP(MAX(J673/IF(BZ673&gt;0,BZ673,MAX(0.1,N(Cockpit!$C$6))),CC673)/BS673,0)*BS673</f>
        <v>1</v>
      </c>
      <c r="AK673" s="58" t="n">
        <f aca="false">IF(AH673&gt;0,J673/AH673,-1)</f>
        <v>-1</v>
      </c>
      <c r="AL673" s="58" t="str">
        <f aca="false">IF(AND(OR(BY673="L1",BY673="L23"),AH673&gt;0),SUMIFS($AH$7:$AH$1843,$BY$7:$BY$1843,BY673,$AK$7:$AK$1843,"&gt;"&amp;AK673)+SUMIFS($AH$7:$AH$1843,$BY$7:$BY$1843,BY673,$AK$7:$AK$1843,AK673,$BQ$7:$BQ$1843,"&lt;="&amp;BQ673),"")</f>
        <v/>
      </c>
      <c r="AM673" s="65" t="n">
        <f aca="false">IF(AL673="",0,MAX(0,MIN(1,(IF(BY673="L1",Parameter!$E$5,Parameter!$E$6+Parameter!$E$7)-(AL673-AH673))/AH673)))</f>
        <v>0</v>
      </c>
      <c r="AN673" s="57" t="n">
        <f aca="false">IF(LEFT(Cockpit!$I$5,1)="A",H673,IF(CA673=1,CB673,IF(LEFT(Cockpit!$I$5,1)="B",AR673,MAX(AR673,H673))))</f>
        <v>1</v>
      </c>
      <c r="AO673" s="57" t="n">
        <f aca="false">IF(BT673=1,0,ROUNDUP(AN673/BS673,0))</f>
        <v>0</v>
      </c>
      <c r="AP673" s="59" t="n">
        <f aca="false">IF(CH673&gt;0,CH673*MAX(1,AN673/X673),IF(BT673=1,IF(AN673&lt;=0,0,BW673*MAX(1,IF(H673&gt;0,AN673/H673,1))),IF(R673&gt;0,AO673/R673,0))/MAX(0.1,N(Parameter!$M$21)))</f>
        <v>0.15</v>
      </c>
      <c r="AQ673" s="57" t="n">
        <f aca="false">AN673*G673</f>
        <v>0</v>
      </c>
      <c r="AR673" s="57" t="n">
        <f aca="false">ROUNDUP(MAX(J673/IF(BZ673&gt;0,BZ673,MAX(0.1,N(Cockpit!$I$6))),CC673)/BS673,0)*BS673</f>
        <v>1</v>
      </c>
      <c r="AS673" s="58" t="n">
        <f aca="false">IF(AP673&gt;0,J673/AP673,-1)</f>
        <v>0</v>
      </c>
      <c r="AT673" s="58" t="str">
        <f aca="false">IF(AND(OR(BY673="L1",BY673="L23"),AP673&gt;0),SUMIFS($AP$7:$AP$1843,$BY$7:$BY$1843,BY673,$AS$7:$AS$1843,"&gt;"&amp;AS673)+SUMIFS($AP$7:$AP$1843,$BY$7:$BY$1843,BY673,$AS$7:$AS$1843,AS673,$BQ$7:$BQ$1843,"&lt;="&amp;BQ673),"")</f>
        <v/>
      </c>
      <c r="AU673" s="65" t="n">
        <f aca="false">IF(AT673="",0,MAX(0,MIN(1,(IF(BY673="L1",Parameter!$E$5,Parameter!$E$6+Parameter!$E$7)-(AT673-AP673))/AP673)))</f>
        <v>0</v>
      </c>
      <c r="AV673" s="57" t="n">
        <f aca="false">IF(LEFT(Cockpit!$O$5,1)="A",H673,IF(CA673=1,CB673,IF(LEFT(Cockpit!$O$5,1)="B",AZ673,MAX(AZ673,H673))))</f>
        <v>1</v>
      </c>
      <c r="AW673" s="57" t="n">
        <f aca="false">IF(BT673=1,0,ROUNDUP(AV673/BS673,0))</f>
        <v>0</v>
      </c>
      <c r="AX673" s="59" t="n">
        <f aca="false">IF(CH673&gt;0,CH673*MAX(1,AV673/X673),IF(BT673=1,IF(AV673&lt;=0,0,BW673*MAX(1,IF(H673&gt;0,AV673/H673,1))),IF(R673&gt;0,AW673/R673,0))/MAX(0.1,N(Parameter!$M$21)))</f>
        <v>0.15</v>
      </c>
      <c r="AY673" s="57" t="n">
        <f aca="false">AV673*G673</f>
        <v>0</v>
      </c>
      <c r="AZ673" s="57" t="n">
        <f aca="false">ROUNDUP(MAX(J673/IF(BZ673&gt;0,BZ673,MAX(0.1,N(Cockpit!$O$6))),CC673)/BS673,0)*BS673</f>
        <v>1</v>
      </c>
      <c r="BA673" s="58" t="n">
        <f aca="false">IF(AX673&gt;0,J673/AX673,-1)</f>
        <v>0</v>
      </c>
      <c r="BB673" s="58" t="str">
        <f aca="false">IF(AND(OR(BY673="L1",BY673="L23"),AX673&gt;0),SUMIFS($AX$7:$AX$1843,$BY$7:$BY$1843,BY673,$BA$7:$BA$1843,"&gt;"&amp;BA673)+SUMIFS($AX$7:$AX$1843,$BY$7:$BY$1843,BY673,$BA$7:$BA$1843,BA673,$BQ$7:$BQ$1843,"&lt;="&amp;BQ673),"")</f>
        <v/>
      </c>
      <c r="BC673" s="65" t="n">
        <f aca="false">IF(BB673="",0,MAX(0,MIN(1,(IF(BY673="L1",Parameter!$E$5,Parameter!$E$6+Parameter!$E$7)-(BB673-AX673))/AX673)))</f>
        <v>0</v>
      </c>
      <c r="BD673" s="55" t="str">
        <f aca="false">IF(AH673&lt;=0,"",IF(BY673="Aussen","Aussenlager",IF(BY673="-","Nicht im Lift",IF(AM673&gt;=1,"Lift",IF(AM673&lt;=0,"Aussenlager","teilweise")))))</f>
        <v/>
      </c>
      <c r="BE673" s="55" t="str">
        <f aca="false">IF(AP673&lt;=0,"",IF(BY673="Aussen","Aussenlager",IF(BY673="-","Nicht im Lift",IF(AU673&gt;=1,"Lift",IF(AU673&lt;=0,"Aussenlager","teilweise")))))</f>
        <v>Nicht im Lift</v>
      </c>
      <c r="BF673" s="55" t="str">
        <f aca="false">IF(AX673&lt;=0,"",IF(BY673="Aussen","Aussenlager",IF(BY673="-","Nicht im Lift",IF(BC673&gt;=1,"Lift",IF(BC673&lt;=0,"Aussenlager","teilweise")))))</f>
        <v>Nicht im Lift</v>
      </c>
      <c r="BG673" s="55" t="str">
        <f aca="false">IF(A673="","",IF(BP673=1,"Neu; ","")&amp;IF(AND(BP673=0,BK673&lt;0),"negativer Bestand (Export "&amp;BK673&amp;"); ","")&amp;IF(J673&lt;=0,"Kein Verbrauch; ","")&amp;IF(CH673&gt;0,"Lift "&amp;W673&amp;" lt. Liftbericht (Fach "&amp;X673&amp;" Stk); ",IF(BU673=1,"Gebinde geschätzt ("&amp;T673&amp;"); ",IF(BT673=1,"Lose – Tablare geschätzt; ","")))&amp;IF(H673&gt;AR673,"Überbestand "&amp;ROUND(H673-AR673,0)&amp;" Stk / CHF "&amp;ROUND((H673-AR673)*G673,0)&amp;"; ","")&amp;IF(AND(CA673=1,CB673&lt;CC673),"MAX &lt; MB+LG; ","")&amp;IF(AND(CG673&gt;0,CF673*10&gt;CG673),"zu hoch für Tablar; ","")&amp;IF(AND(BP673=0,OR(CA673=1,AA673&lt;&gt;"",U673&lt;&gt;"",V673&lt;&gt;"",AB673&lt;&gt;"")),"manuell übersteuert; ","")&amp;IF(AND(BT673=0,R673=0),"Gebinde unbekannt / Stellmass fehlt; ","")&amp;IF(AND(BT673=0,N(V673)&lt;=0,N(Q673)&lt;=0),"Menge pro Gebinde fehlt (Ist = 1 Gebinde); ","")&amp;BO673)</f>
        <v>Kein Verbrauch; Lose – Tablare geschätzt; </v>
      </c>
      <c r="BH673" s="55"/>
      <c r="BI673" s="55"/>
      <c r="BJ673" s="62"/>
      <c r="BK673" s="57" t="n">
        <v>0</v>
      </c>
      <c r="BL673" s="57" t="n">
        <v>0</v>
      </c>
      <c r="BM673" s="56" t="n">
        <v>0</v>
      </c>
      <c r="BN673" s="57" t="n">
        <v>0</v>
      </c>
      <c r="BO673" s="55"/>
      <c r="BP673" s="60" t="n">
        <v>0</v>
      </c>
      <c r="BQ673" s="60" t="n">
        <v>673</v>
      </c>
      <c r="BR673" s="55" t="str">
        <f aca="false">IF(U673&lt;&gt;"",UPPER(TRIM(U673)),IF(BU673=1,UPPER(VLOOKUP(T673,Parameter!$I$27:$K$29,2,0)),IF(P673="","LOSE",P673)))</f>
        <v>LOSE</v>
      </c>
      <c r="BS673" s="57" t="n">
        <f aca="false">IF(BR673="LOSE",1,IF(N(V673)&gt;0,V673,IF(BU673=1,MAX(1,N(VLOOKUP(T673,Parameter!$I$27:$K$29,3,0)),H673,N(N673)),IF(N(Q673)&gt;0,Q673,MAX(1,H673)))))</f>
        <v>1</v>
      </c>
      <c r="BT673" s="60" t="n">
        <f aca="false">IF(BR673="LOSE",1,0)</f>
        <v>1</v>
      </c>
      <c r="BU673" s="60" t="n">
        <f aca="false">IF(AND(U673="",OR(P673="",P673="LOSE"),T673&lt;&gt;"",N(S673)&lt;=0,ISNUMBER(MATCH(T673,Parameter!$I$27:$I$29,0))),1,0)</f>
        <v>0</v>
      </c>
      <c r="BV673" s="55" t="str">
        <f aca="false">IF(AND(Parameter!$B$19="Ja",E673&lt;&gt;"",ISNUMBER(MATCH(E673,Parameter!$I$35:$I$52,0))),VLOOKUP(E673,Parameter!$I$35:$J$52,2,0),IFERROR(VLOOKUP(D673,Parameter!$A$35:$C$64,2,0),"Nein"))</f>
        <v>Nein</v>
      </c>
      <c r="BW673" s="59" t="n">
        <f aca="false">IF(BT673=0,0,IF(N(S673)&gt;0,S673,IFERROR(VLOOKUP(D673,Parameter!$A$35:$C$64,3,0)+0,0)))</f>
        <v>0.15</v>
      </c>
      <c r="BX673" s="55" t="str">
        <f aca="false">IF(AA673&lt;&gt;"",AA673,Z673)</f>
        <v>-</v>
      </c>
      <c r="BY673" s="55" t="str">
        <f aca="false">IF(BX673=1,"L1",IF(OR(BX673=2,BX673=3),"L23",IF(BX673="Aussen","Aussen","-")))</f>
        <v>-</v>
      </c>
      <c r="BZ673" s="66" t="n">
        <f aca="false">IF(N(AB673)&gt;0,AB673,0)</f>
        <v>0</v>
      </c>
      <c r="CA673" s="60" t="n">
        <f aca="false">IF(ISNUMBER(AE673),1,0)</f>
        <v>0</v>
      </c>
      <c r="CB673" s="57" t="n">
        <f aca="false">N(AE673)</f>
        <v>0</v>
      </c>
      <c r="CC673" s="57" t="n">
        <f aca="false">N(M673)+N(N673)</f>
        <v>1</v>
      </c>
      <c r="CD673" s="57" t="n">
        <f aca="false">ROUNDUP(H673/BS673,0)</f>
        <v>0</v>
      </c>
      <c r="CE673" s="57" t="n">
        <f aca="false">ROUNDUP(CB673/BS673,0)</f>
        <v>0</v>
      </c>
      <c r="CF673" s="60" t="n">
        <f aca="false">IF(BT673=1,0,IFERROR(VLOOKUP(BR673,'Gebinde-Kategorie'!$A$5:$M$45,5,0)+0,0))</f>
        <v>0</v>
      </c>
      <c r="CG673" s="60" t="n">
        <f aca="false">IFERROR(IF(OR(BX673=1,BX673=2,BX673=3),N(INDEX(Parameter!$I$5:$I$7,BX673)),0),0)</f>
        <v>0</v>
      </c>
      <c r="CH673" s="59" t="n">
        <f aca="false">IF(AND(Parameter!$B$21="Ja",ISNUMBER(W673),N(X673)&gt;0),IFERROR(N(INDEX(Parameter!$L$5:$L$7,W673))*INDEX(Parameter!$E$5:$E$7,W673)*X673/SUMIFS($X$7:$X$1843,$W$7:$W$1843,W673),0),0)</f>
        <v>0</v>
      </c>
    </row>
    <row r="674" customFormat="false" ht="15" hidden="false" customHeight="false" outlineLevel="0" collapsed="false">
      <c r="A674" s="55" t="s">
        <v>1353</v>
      </c>
      <c r="B674" s="55" t="s">
        <v>998</v>
      </c>
      <c r="C674" s="55" t="s">
        <v>164</v>
      </c>
      <c r="D674" s="55" t="s">
        <v>995</v>
      </c>
      <c r="E674" s="55"/>
      <c r="F674" s="55" t="s">
        <v>218</v>
      </c>
      <c r="G674" s="56" t="n">
        <v>177.69</v>
      </c>
      <c r="H674" s="57" t="n">
        <f aca="false">MAX(0,IF(AND(Parameter!$B$21="Ja",ISNUMBER(Y674)),Y674,IF(Parameter!$B$20="Jahresanfang 2025 + Export",BL674+BK674,BK674)))</f>
        <v>0</v>
      </c>
      <c r="I674" s="57" t="n">
        <f aca="false">H674*G674</f>
        <v>0</v>
      </c>
      <c r="J674" s="57" t="n">
        <f aca="false">BN674*Parameter!$B$18</f>
        <v>4</v>
      </c>
      <c r="K674" s="58" t="n">
        <v>0</v>
      </c>
      <c r="L674" s="59" t="n">
        <v>0</v>
      </c>
      <c r="M674" s="57" t="n">
        <v>0</v>
      </c>
      <c r="N674" s="57" t="n">
        <v>1</v>
      </c>
      <c r="O674" s="60" t="n">
        <v>105</v>
      </c>
      <c r="P674" s="55" t="s">
        <v>168</v>
      </c>
      <c r="Q674" s="57"/>
      <c r="R674" s="60" t="n">
        <f aca="false">IF(BT674=1,0,IFERROR(VLOOKUP(BR674,'Gebinde-Kategorie'!$A$5:$M$45,13,0)+0,0))</f>
        <v>0</v>
      </c>
      <c r="S674" s="61"/>
      <c r="T674" s="62"/>
      <c r="U674" s="62"/>
      <c r="V674" s="62"/>
      <c r="W674" s="55"/>
      <c r="X674" s="57"/>
      <c r="Y674" s="57"/>
      <c r="Z674" s="55" t="str">
        <f aca="false">IF(A674="","",IF(AND(Parameter!$B$21="Ja",ISNUMBER(W674)),W674,IF(BV674="2+3",IF(ISNUMBER(SEARCH("grosser Artikel",BO674)),2,IFERROR(VLOOKUP(BR674,Parameter!$F$35:$G$64,2,0),2)),IF(OR(BV674="Nein",BV674=""),"-",BV674))))</f>
        <v>-</v>
      </c>
      <c r="AA674" s="62"/>
      <c r="AB674" s="63"/>
      <c r="AC674" s="57" t="n">
        <f aca="false">AR674</f>
        <v>2</v>
      </c>
      <c r="AD674" s="57" t="n">
        <f aca="false">MAX(AR674,H674)</f>
        <v>2</v>
      </c>
      <c r="AE674" s="64"/>
      <c r="AF674" s="57" t="n">
        <f aca="false">IF(LEFT(Cockpit!$C$5,1)="A",H674,IF(CA674=1,CB674,IF(LEFT(Cockpit!$C$5,1)="B",AJ674,MAX(AJ674,H674))))</f>
        <v>0</v>
      </c>
      <c r="AG674" s="57" t="n">
        <f aca="false">IF(BT674=1,0,ROUNDUP(AF674/BS674,0))</f>
        <v>0</v>
      </c>
      <c r="AH674" s="59" t="n">
        <f aca="false">IF(CH674&gt;0,CH674*MAX(1,AF674/X674),IF(BT674=1,IF(AF674&lt;=0,0,BW674*MAX(1,IF(H674&gt;0,AF674/H674,1))),IF(R674&gt;0,AG674/R674,0))/MAX(0.1,N(Parameter!$M$21)))</f>
        <v>0</v>
      </c>
      <c r="AI674" s="57" t="n">
        <f aca="false">AF674*G674</f>
        <v>0</v>
      </c>
      <c r="AJ674" s="57" t="n">
        <f aca="false">ROUNDUP(MAX(J674/IF(BZ674&gt;0,BZ674,MAX(0.1,N(Cockpit!$C$6))),CC674)/BS674,0)*BS674</f>
        <v>2</v>
      </c>
      <c r="AK674" s="58" t="n">
        <f aca="false">IF(AH674&gt;0,J674/AH674,-1)</f>
        <v>-1</v>
      </c>
      <c r="AL674" s="58" t="str">
        <f aca="false">IF(AND(OR(BY674="L1",BY674="L23"),AH674&gt;0),SUMIFS($AH$7:$AH$1843,$BY$7:$BY$1843,BY674,$AK$7:$AK$1843,"&gt;"&amp;AK674)+SUMIFS($AH$7:$AH$1843,$BY$7:$BY$1843,BY674,$AK$7:$AK$1843,AK674,$BQ$7:$BQ$1843,"&lt;="&amp;BQ674),"")</f>
        <v/>
      </c>
      <c r="AM674" s="65" t="n">
        <f aca="false">IF(AL674="",0,MAX(0,MIN(1,(IF(BY674="L1",Parameter!$E$5,Parameter!$E$6+Parameter!$E$7)-(AL674-AH674))/AH674)))</f>
        <v>0</v>
      </c>
      <c r="AN674" s="57" t="n">
        <f aca="false">IF(LEFT(Cockpit!$I$5,1)="A",H674,IF(CA674=1,CB674,IF(LEFT(Cockpit!$I$5,1)="B",AR674,MAX(AR674,H674))))</f>
        <v>2</v>
      </c>
      <c r="AO674" s="57" t="n">
        <f aca="false">IF(BT674=1,0,ROUNDUP(AN674/BS674,0))</f>
        <v>0</v>
      </c>
      <c r="AP674" s="59" t="n">
        <f aca="false">IF(CH674&gt;0,CH674*MAX(1,AN674/X674),IF(BT674=1,IF(AN674&lt;=0,0,BW674*MAX(1,IF(H674&gt;0,AN674/H674,1))),IF(R674&gt;0,AO674/R674,0))/MAX(0.1,N(Parameter!$M$21)))</f>
        <v>0.15</v>
      </c>
      <c r="AQ674" s="57" t="n">
        <f aca="false">AN674*G674</f>
        <v>355.38</v>
      </c>
      <c r="AR674" s="57" t="n">
        <f aca="false">ROUNDUP(MAX(J674/IF(BZ674&gt;0,BZ674,MAX(0.1,N(Cockpit!$I$6))),CC674)/BS674,0)*BS674</f>
        <v>2</v>
      </c>
      <c r="AS674" s="58" t="n">
        <f aca="false">IF(AP674&gt;0,J674/AP674,-1)</f>
        <v>26.6666666666667</v>
      </c>
      <c r="AT674" s="58" t="str">
        <f aca="false">IF(AND(OR(BY674="L1",BY674="L23"),AP674&gt;0),SUMIFS($AP$7:$AP$1843,$BY$7:$BY$1843,BY674,$AS$7:$AS$1843,"&gt;"&amp;AS674)+SUMIFS($AP$7:$AP$1843,$BY$7:$BY$1843,BY674,$AS$7:$AS$1843,AS674,$BQ$7:$BQ$1843,"&lt;="&amp;BQ674),"")</f>
        <v/>
      </c>
      <c r="AU674" s="65" t="n">
        <f aca="false">IF(AT674="",0,MAX(0,MIN(1,(IF(BY674="L1",Parameter!$E$5,Parameter!$E$6+Parameter!$E$7)-(AT674-AP674))/AP674)))</f>
        <v>0</v>
      </c>
      <c r="AV674" s="57" t="n">
        <f aca="false">IF(LEFT(Cockpit!$O$5,1)="A",H674,IF(CA674=1,CB674,IF(LEFT(Cockpit!$O$5,1)="B",AZ674,MAX(AZ674,H674))))</f>
        <v>2</v>
      </c>
      <c r="AW674" s="57" t="n">
        <f aca="false">IF(BT674=1,0,ROUNDUP(AV674/BS674,0))</f>
        <v>0</v>
      </c>
      <c r="AX674" s="59" t="n">
        <f aca="false">IF(CH674&gt;0,CH674*MAX(1,AV674/X674),IF(BT674=1,IF(AV674&lt;=0,0,BW674*MAX(1,IF(H674&gt;0,AV674/H674,1))),IF(R674&gt;0,AW674/R674,0))/MAX(0.1,N(Parameter!$M$21)))</f>
        <v>0.15</v>
      </c>
      <c r="AY674" s="57" t="n">
        <f aca="false">AV674*G674</f>
        <v>355.38</v>
      </c>
      <c r="AZ674" s="57" t="n">
        <f aca="false">ROUNDUP(MAX(J674/IF(BZ674&gt;0,BZ674,MAX(0.1,N(Cockpit!$O$6))),CC674)/BS674,0)*BS674</f>
        <v>2</v>
      </c>
      <c r="BA674" s="58" t="n">
        <f aca="false">IF(AX674&gt;0,J674/AX674,-1)</f>
        <v>26.6666666666667</v>
      </c>
      <c r="BB674" s="58" t="str">
        <f aca="false">IF(AND(OR(BY674="L1",BY674="L23"),AX674&gt;0),SUMIFS($AX$7:$AX$1843,$BY$7:$BY$1843,BY674,$BA$7:$BA$1843,"&gt;"&amp;BA674)+SUMIFS($AX$7:$AX$1843,$BY$7:$BY$1843,BY674,$BA$7:$BA$1843,BA674,$BQ$7:$BQ$1843,"&lt;="&amp;BQ674),"")</f>
        <v/>
      </c>
      <c r="BC674" s="65" t="n">
        <f aca="false">IF(BB674="",0,MAX(0,MIN(1,(IF(BY674="L1",Parameter!$E$5,Parameter!$E$6+Parameter!$E$7)-(BB674-AX674))/AX674)))</f>
        <v>0</v>
      </c>
      <c r="BD674" s="55" t="str">
        <f aca="false">IF(AH674&lt;=0,"",IF(BY674="Aussen","Aussenlager",IF(BY674="-","Nicht im Lift",IF(AM674&gt;=1,"Lift",IF(AM674&lt;=0,"Aussenlager","teilweise")))))</f>
        <v/>
      </c>
      <c r="BE674" s="55" t="str">
        <f aca="false">IF(AP674&lt;=0,"",IF(BY674="Aussen","Aussenlager",IF(BY674="-","Nicht im Lift",IF(AU674&gt;=1,"Lift",IF(AU674&lt;=0,"Aussenlager","teilweise")))))</f>
        <v>Nicht im Lift</v>
      </c>
      <c r="BF674" s="55" t="str">
        <f aca="false">IF(AX674&lt;=0,"",IF(BY674="Aussen","Aussenlager",IF(BY674="-","Nicht im Lift",IF(BC674&gt;=1,"Lift",IF(BC674&lt;=0,"Aussenlager","teilweise")))))</f>
        <v>Nicht im Lift</v>
      </c>
      <c r="BG674" s="55" t="str">
        <f aca="false">IF(A674="","",IF(BP674=1,"Neu; ","")&amp;IF(AND(BP674=0,BK674&lt;0),"negativer Bestand (Export "&amp;BK674&amp;"); ","")&amp;IF(J674&lt;=0,"Kein Verbrauch; ","")&amp;IF(CH674&gt;0,"Lift "&amp;W674&amp;" lt. Liftbericht (Fach "&amp;X674&amp;" Stk); ",IF(BU674=1,"Gebinde geschätzt ("&amp;T674&amp;"); ",IF(BT674=1,"Lose – Tablare geschätzt; ","")))&amp;IF(H674&gt;AR674,"Überbestand "&amp;ROUND(H674-AR674,0)&amp;" Stk / CHF "&amp;ROUND((H674-AR674)*G674,0)&amp;"; ","")&amp;IF(AND(CA674=1,CB674&lt;CC674),"MAX &lt; MB+LG; ","")&amp;IF(AND(CG674&gt;0,CF674*10&gt;CG674),"zu hoch für Tablar; ","")&amp;IF(AND(BP674=0,OR(CA674=1,AA674&lt;&gt;"",U674&lt;&gt;"",V674&lt;&gt;"",AB674&lt;&gt;"")),"manuell übersteuert; ","")&amp;IF(AND(BT674=0,R674=0),"Gebinde unbekannt / Stellmass fehlt; ","")&amp;IF(AND(BT674=0,N(V674)&lt;=0,N(Q674)&lt;=0),"Menge pro Gebinde fehlt (Ist = 1 Gebinde); ","")&amp;BO674)</f>
        <v>Lose – Tablare geschätzt; </v>
      </c>
      <c r="BH674" s="55"/>
      <c r="BI674" s="55"/>
      <c r="BJ674" s="62"/>
      <c r="BK674" s="57" t="n">
        <v>0</v>
      </c>
      <c r="BL674" s="57" t="n">
        <v>0</v>
      </c>
      <c r="BM674" s="56" t="n">
        <v>0</v>
      </c>
      <c r="BN674" s="57" t="n">
        <v>4</v>
      </c>
      <c r="BO674" s="55"/>
      <c r="BP674" s="60" t="n">
        <v>0</v>
      </c>
      <c r="BQ674" s="60" t="n">
        <v>674</v>
      </c>
      <c r="BR674" s="55" t="str">
        <f aca="false">IF(U674&lt;&gt;"",UPPER(TRIM(U674)),IF(BU674=1,UPPER(VLOOKUP(T674,Parameter!$I$27:$K$29,2,0)),IF(P674="","LOSE",P674)))</f>
        <v>LOSE</v>
      </c>
      <c r="BS674" s="57" t="n">
        <f aca="false">IF(BR674="LOSE",1,IF(N(V674)&gt;0,V674,IF(BU674=1,MAX(1,N(VLOOKUP(T674,Parameter!$I$27:$K$29,3,0)),H674,N(N674)),IF(N(Q674)&gt;0,Q674,MAX(1,H674)))))</f>
        <v>1</v>
      </c>
      <c r="BT674" s="60" t="n">
        <f aca="false">IF(BR674="LOSE",1,0)</f>
        <v>1</v>
      </c>
      <c r="BU674" s="60" t="n">
        <f aca="false">IF(AND(U674="",OR(P674="",P674="LOSE"),T674&lt;&gt;"",N(S674)&lt;=0,ISNUMBER(MATCH(T674,Parameter!$I$27:$I$29,0))),1,0)</f>
        <v>0</v>
      </c>
      <c r="BV674" s="55" t="str">
        <f aca="false">IF(AND(Parameter!$B$19="Ja",E674&lt;&gt;"",ISNUMBER(MATCH(E674,Parameter!$I$35:$I$52,0))),VLOOKUP(E674,Parameter!$I$35:$J$52,2,0),IFERROR(VLOOKUP(D674,Parameter!$A$35:$C$64,2,0),"Nein"))</f>
        <v>Nein</v>
      </c>
      <c r="BW674" s="59" t="n">
        <f aca="false">IF(BT674=0,0,IF(N(S674)&gt;0,S674,IFERROR(VLOOKUP(D674,Parameter!$A$35:$C$64,3,0)+0,0)))</f>
        <v>0.15</v>
      </c>
      <c r="BX674" s="55" t="str">
        <f aca="false">IF(AA674&lt;&gt;"",AA674,Z674)</f>
        <v>-</v>
      </c>
      <c r="BY674" s="55" t="str">
        <f aca="false">IF(BX674=1,"L1",IF(OR(BX674=2,BX674=3),"L23",IF(BX674="Aussen","Aussen","-")))</f>
        <v>-</v>
      </c>
      <c r="BZ674" s="66" t="n">
        <f aca="false">IF(N(AB674)&gt;0,AB674,0)</f>
        <v>0</v>
      </c>
      <c r="CA674" s="60" t="n">
        <f aca="false">IF(ISNUMBER(AE674),1,0)</f>
        <v>0</v>
      </c>
      <c r="CB674" s="57" t="n">
        <f aca="false">N(AE674)</f>
        <v>0</v>
      </c>
      <c r="CC674" s="57" t="n">
        <f aca="false">N(M674)+N(N674)</f>
        <v>1</v>
      </c>
      <c r="CD674" s="57" t="n">
        <f aca="false">ROUNDUP(H674/BS674,0)</f>
        <v>0</v>
      </c>
      <c r="CE674" s="57" t="n">
        <f aca="false">ROUNDUP(CB674/BS674,0)</f>
        <v>0</v>
      </c>
      <c r="CF674" s="60" t="n">
        <f aca="false">IF(BT674=1,0,IFERROR(VLOOKUP(BR674,'Gebinde-Kategorie'!$A$5:$M$45,5,0)+0,0))</f>
        <v>0</v>
      </c>
      <c r="CG674" s="60" t="n">
        <f aca="false">IFERROR(IF(OR(BX674=1,BX674=2,BX674=3),N(INDEX(Parameter!$I$5:$I$7,BX674)),0),0)</f>
        <v>0</v>
      </c>
      <c r="CH674" s="59" t="n">
        <f aca="false">IF(AND(Parameter!$B$21="Ja",ISNUMBER(W674),N(X674)&gt;0),IFERROR(N(INDEX(Parameter!$L$5:$L$7,W674))*INDEX(Parameter!$E$5:$E$7,W674)*X674/SUMIFS($X$7:$X$1843,$W$7:$W$1843,W674),0),0)</f>
        <v>0</v>
      </c>
    </row>
    <row r="675" customFormat="false" ht="15" hidden="false" customHeight="false" outlineLevel="0" collapsed="false">
      <c r="A675" s="55" t="s">
        <v>1354</v>
      </c>
      <c r="B675" s="55" t="s">
        <v>1355</v>
      </c>
      <c r="C675" s="55" t="s">
        <v>164</v>
      </c>
      <c r="D675" s="55" t="s">
        <v>173</v>
      </c>
      <c r="E675" s="55"/>
      <c r="F675" s="55" t="s">
        <v>218</v>
      </c>
      <c r="G675" s="56" t="n">
        <v>245</v>
      </c>
      <c r="H675" s="57" t="n">
        <f aca="false">MAX(0,IF(AND(Parameter!$B$21="Ja",ISNUMBER(Y675)),Y675,IF(Parameter!$B$20="Jahresanfang 2025 + Export",BL675+BK675,BK675)))</f>
        <v>0</v>
      </c>
      <c r="I675" s="57" t="n">
        <f aca="false">H675*G675</f>
        <v>0</v>
      </c>
      <c r="J675" s="57" t="n">
        <f aca="false">BN675*Parameter!$B$18</f>
        <v>0</v>
      </c>
      <c r="K675" s="58" t="n">
        <v>0</v>
      </c>
      <c r="L675" s="59" t="n">
        <v>0</v>
      </c>
      <c r="M675" s="57" t="n">
        <v>0</v>
      </c>
      <c r="N675" s="57" t="n">
        <v>1</v>
      </c>
      <c r="O675" s="60" t="n">
        <v>999</v>
      </c>
      <c r="P675" s="55" t="s">
        <v>174</v>
      </c>
      <c r="Q675" s="57"/>
      <c r="R675" s="60" t="n">
        <f aca="false">IF(BT675=1,0,IFERROR(VLOOKUP(BR675,'Gebinde-Kategorie'!$A$5:$M$45,13,0)+0,0))</f>
        <v>6</v>
      </c>
      <c r="S675" s="61"/>
      <c r="T675" s="62"/>
      <c r="U675" s="62"/>
      <c r="V675" s="62"/>
      <c r="W675" s="55"/>
      <c r="X675" s="57"/>
      <c r="Y675" s="57"/>
      <c r="Z675" s="55" t="n">
        <f aca="false">IF(A675="","",IF(AND(Parameter!$B$21="Ja",ISNUMBER(W675)),W675,IF(BV675="2+3",IF(ISNUMBER(SEARCH("grosser Artikel",BO675)),2,IFERROR(VLOOKUP(BR675,Parameter!$F$35:$G$64,2,0),2)),IF(OR(BV675="Nein",BV675=""),"-",BV675))))</f>
        <v>2</v>
      </c>
      <c r="AA675" s="62"/>
      <c r="AB675" s="63"/>
      <c r="AC675" s="57" t="n">
        <f aca="false">AR675</f>
        <v>1</v>
      </c>
      <c r="AD675" s="57" t="n">
        <f aca="false">MAX(AR675,H675)</f>
        <v>1</v>
      </c>
      <c r="AE675" s="64"/>
      <c r="AF675" s="57" t="n">
        <f aca="false">IF(LEFT(Cockpit!$C$5,1)="A",H675,IF(CA675=1,CB675,IF(LEFT(Cockpit!$C$5,1)="B",AJ675,MAX(AJ675,H675))))</f>
        <v>0</v>
      </c>
      <c r="AG675" s="57" t="n">
        <f aca="false">IF(BT675=1,0,ROUNDUP(AF675/BS675,0))</f>
        <v>0</v>
      </c>
      <c r="AH675" s="59" t="n">
        <f aca="false">IF(CH675&gt;0,CH675*MAX(1,AF675/X675),IF(BT675=1,IF(AF675&lt;=0,0,BW675*MAX(1,IF(H675&gt;0,AF675/H675,1))),IF(R675&gt;0,AG675/R675,0))/MAX(0.1,N(Parameter!$M$21)))</f>
        <v>0</v>
      </c>
      <c r="AI675" s="57" t="n">
        <f aca="false">AF675*G675</f>
        <v>0</v>
      </c>
      <c r="AJ675" s="57" t="n">
        <f aca="false">ROUNDUP(MAX(J675/IF(BZ675&gt;0,BZ675,MAX(0.1,N(Cockpit!$C$6))),CC675)/BS675,0)*BS675</f>
        <v>1</v>
      </c>
      <c r="AK675" s="58" t="n">
        <f aca="false">IF(AH675&gt;0,J675/AH675,-1)</f>
        <v>-1</v>
      </c>
      <c r="AL675" s="58" t="str">
        <f aca="false">IF(AND(OR(BY675="L1",BY675="L23"),AH675&gt;0),SUMIFS($AH$7:$AH$1843,$BY$7:$BY$1843,BY675,$AK$7:$AK$1843,"&gt;"&amp;AK675)+SUMIFS($AH$7:$AH$1843,$BY$7:$BY$1843,BY675,$AK$7:$AK$1843,AK675,$BQ$7:$BQ$1843,"&lt;="&amp;BQ675),"")</f>
        <v/>
      </c>
      <c r="AM675" s="65" t="n">
        <f aca="false">IF(AL675="",0,MAX(0,MIN(1,(IF(BY675="L1",Parameter!$E$5,Parameter!$E$6+Parameter!$E$7)-(AL675-AH675))/AH675)))</f>
        <v>0</v>
      </c>
      <c r="AN675" s="57" t="n">
        <f aca="false">IF(LEFT(Cockpit!$I$5,1)="A",H675,IF(CA675=1,CB675,IF(LEFT(Cockpit!$I$5,1)="B",AR675,MAX(AR675,H675))))</f>
        <v>1</v>
      </c>
      <c r="AO675" s="57" t="n">
        <f aca="false">IF(BT675=1,0,ROUNDUP(AN675/BS675,0))</f>
        <v>1</v>
      </c>
      <c r="AP675" s="59" t="n">
        <f aca="false">IF(CH675&gt;0,CH675*MAX(1,AN675/X675),IF(BT675=1,IF(AN675&lt;=0,0,BW675*MAX(1,IF(H675&gt;0,AN675/H675,1))),IF(R675&gt;0,AO675/R675,0))/MAX(0.1,N(Parameter!$M$21)))</f>
        <v>0.166666666666667</v>
      </c>
      <c r="AQ675" s="57" t="n">
        <f aca="false">AN675*G675</f>
        <v>245</v>
      </c>
      <c r="AR675" s="57" t="n">
        <f aca="false">ROUNDUP(MAX(J675/IF(BZ675&gt;0,BZ675,MAX(0.1,N(Cockpit!$I$6))),CC675)/BS675,0)*BS675</f>
        <v>1</v>
      </c>
      <c r="AS675" s="58" t="n">
        <f aca="false">IF(AP675&gt;0,J675/AP675,-1)</f>
        <v>0</v>
      </c>
      <c r="AT675" s="58" t="n">
        <f aca="false">IF(AND(OR(BY675="L1",BY675="L23"),AP675&gt;0),SUMIFS($AP$7:$AP$1843,$BY$7:$BY$1843,BY675,$AS$7:$AS$1843,"&gt;"&amp;AS675)+SUMIFS($AP$7:$AP$1843,$BY$7:$BY$1843,BY675,$AS$7:$AS$1843,AS675,$BQ$7:$BQ$1843,"&lt;="&amp;BQ675),"")</f>
        <v>116.283419479072</v>
      </c>
      <c r="AU675" s="65" t="n">
        <f aca="false">IF(AT675="",0,MAX(0,MIN(1,(IF(BY675="L1",Parameter!$E$5,Parameter!$E$6+Parameter!$E$7)-(AT675-AP675))/AP675)))</f>
        <v>0</v>
      </c>
      <c r="AV675" s="57" t="n">
        <f aca="false">IF(LEFT(Cockpit!$O$5,1)="A",H675,IF(CA675=1,CB675,IF(LEFT(Cockpit!$O$5,1)="B",AZ675,MAX(AZ675,H675))))</f>
        <v>1</v>
      </c>
      <c r="AW675" s="57" t="n">
        <f aca="false">IF(BT675=1,0,ROUNDUP(AV675/BS675,0))</f>
        <v>1</v>
      </c>
      <c r="AX675" s="59" t="n">
        <f aca="false">IF(CH675&gt;0,CH675*MAX(1,AV675/X675),IF(BT675=1,IF(AV675&lt;=0,0,BW675*MAX(1,IF(H675&gt;0,AV675/H675,1))),IF(R675&gt;0,AW675/R675,0))/MAX(0.1,N(Parameter!$M$21)))</f>
        <v>0.166666666666667</v>
      </c>
      <c r="AY675" s="57" t="n">
        <f aca="false">AV675*G675</f>
        <v>245</v>
      </c>
      <c r="AZ675" s="57" t="n">
        <f aca="false">ROUNDUP(MAX(J675/IF(BZ675&gt;0,BZ675,MAX(0.1,N(Cockpit!$O$6))),CC675)/BS675,0)*BS675</f>
        <v>1</v>
      </c>
      <c r="BA675" s="58" t="n">
        <f aca="false">IF(AX675&gt;0,J675/AX675,-1)</f>
        <v>0</v>
      </c>
      <c r="BB675" s="58" t="n">
        <f aca="false">IF(AND(OR(BY675="L1",BY675="L23"),AX675&gt;0),SUMIFS($AX$7:$AX$1843,$BY$7:$BY$1843,BY675,$BA$7:$BA$1843,"&gt;"&amp;BA675)+SUMIFS($AX$7:$AX$1843,$BY$7:$BY$1843,BY675,$BA$7:$BA$1843,BA675,$BQ$7:$BQ$1843,"&lt;="&amp;BQ675),"")</f>
        <v>107.113256308908</v>
      </c>
      <c r="BC675" s="65" t="n">
        <f aca="false">IF(BB675="",0,MAX(0,MIN(1,(IF(BY675="L1",Parameter!$E$5,Parameter!$E$6+Parameter!$E$7)-(BB675-AX675))/AX675)))</f>
        <v>0</v>
      </c>
      <c r="BD675" s="55" t="str">
        <f aca="false">IF(AH675&lt;=0,"",IF(BY675="Aussen","Aussenlager",IF(BY675="-","Nicht im Lift",IF(AM675&gt;=1,"Lift",IF(AM675&lt;=0,"Aussenlager","teilweise")))))</f>
        <v/>
      </c>
      <c r="BE675" s="55" t="str">
        <f aca="false">IF(AP675&lt;=0,"",IF(BY675="Aussen","Aussenlager",IF(BY675="-","Nicht im Lift",IF(AU675&gt;=1,"Lift",IF(AU675&lt;=0,"Aussenlager","teilweise")))))</f>
        <v>Aussenlager</v>
      </c>
      <c r="BF675" s="55" t="str">
        <f aca="false">IF(AX675&lt;=0,"",IF(BY675="Aussen","Aussenlager",IF(BY675="-","Nicht im Lift",IF(BC675&gt;=1,"Lift",IF(BC675&lt;=0,"Aussenlager","teilweise")))))</f>
        <v>Aussenlager</v>
      </c>
      <c r="BG675" s="55" t="str">
        <f aca="false">IF(A675="","",IF(BP675=1,"Neu; ","")&amp;IF(AND(BP675=0,BK675&lt;0),"negativer Bestand (Export "&amp;BK675&amp;"); ","")&amp;IF(J675&lt;=0,"Kein Verbrauch; ","")&amp;IF(CH675&gt;0,"Lift "&amp;W675&amp;" lt. Liftbericht (Fach "&amp;X675&amp;" Stk); ",IF(BU675=1,"Gebinde geschätzt ("&amp;T675&amp;"); ",IF(BT675=1,"Lose – Tablare geschätzt; ","")))&amp;IF(H675&gt;AR675,"Überbestand "&amp;ROUND(H675-AR675,0)&amp;" Stk / CHF "&amp;ROUND((H675-AR675)*G675,0)&amp;"; ","")&amp;IF(AND(CA675=1,CB675&lt;CC675),"MAX &lt; MB+LG; ","")&amp;IF(AND(CG675&gt;0,CF675*10&gt;CG675),"zu hoch für Tablar; ","")&amp;IF(AND(BP675=0,OR(CA675=1,AA675&lt;&gt;"",U675&lt;&gt;"",V675&lt;&gt;"",AB675&lt;&gt;"")),"manuell übersteuert; ","")&amp;IF(AND(BT675=0,R675=0),"Gebinde unbekannt / Stellmass fehlt; ","")&amp;IF(AND(BT675=0,N(V675)&lt;=0,N(Q675)&lt;=0),"Menge pro Gebinde fehlt (Ist = 1 Gebinde); ","")&amp;BO675)</f>
        <v>Kein Verbrauch; Menge pro Gebinde fehlt (Ist = 1 Gebinde); </v>
      </c>
      <c r="BH675" s="55"/>
      <c r="BI675" s="55"/>
      <c r="BJ675" s="62"/>
      <c r="BK675" s="57" t="n">
        <v>0</v>
      </c>
      <c r="BL675" s="57" t="n">
        <v>0</v>
      </c>
      <c r="BM675" s="56" t="n">
        <v>0</v>
      </c>
      <c r="BN675" s="57" t="n">
        <v>0</v>
      </c>
      <c r="BO675" s="55"/>
      <c r="BP675" s="60" t="n">
        <v>0</v>
      </c>
      <c r="BQ675" s="60" t="n">
        <v>675</v>
      </c>
      <c r="BR675" s="55" t="str">
        <f aca="false">IF(U675&lt;&gt;"",UPPER(TRIM(U675)),IF(BU675=1,UPPER(VLOOKUP(T675,Parameter!$I$27:$K$29,2,0)),IF(P675="","LOSE",P675)))</f>
        <v>S71</v>
      </c>
      <c r="BS675" s="57" t="n">
        <f aca="false">IF(BR675="LOSE",1,IF(N(V675)&gt;0,V675,IF(BU675=1,MAX(1,N(VLOOKUP(T675,Parameter!$I$27:$K$29,3,0)),H675,N(N675)),IF(N(Q675)&gt;0,Q675,MAX(1,H675)))))</f>
        <v>1</v>
      </c>
      <c r="BT675" s="60" t="n">
        <f aca="false">IF(BR675="LOSE",1,0)</f>
        <v>0</v>
      </c>
      <c r="BU675" s="60" t="n">
        <f aca="false">IF(AND(U675="",OR(P675="",P675="LOSE"),T675&lt;&gt;"",N(S675)&lt;=0,ISNUMBER(MATCH(T675,Parameter!$I$27:$I$29,0))),1,0)</f>
        <v>0</v>
      </c>
      <c r="BV675" s="55" t="str">
        <f aca="false">IF(AND(Parameter!$B$19="Ja",E675&lt;&gt;"",ISNUMBER(MATCH(E675,Parameter!$I$35:$I$52,0))),VLOOKUP(E675,Parameter!$I$35:$J$52,2,0),IFERROR(VLOOKUP(D675,Parameter!$A$35:$C$64,2,0),"Nein"))</f>
        <v>2+3</v>
      </c>
      <c r="BW675" s="59" t="n">
        <f aca="false">IF(BT675=0,0,IF(N(S675)&gt;0,S675,IFERROR(VLOOKUP(D675,Parameter!$A$35:$C$64,3,0)+0,0)))</f>
        <v>0</v>
      </c>
      <c r="BX675" s="55" t="n">
        <f aca="false">IF(AA675&lt;&gt;"",AA675,Z675)</f>
        <v>2</v>
      </c>
      <c r="BY675" s="55" t="str">
        <f aca="false">IF(BX675=1,"L1",IF(OR(BX675=2,BX675=3),"L23",IF(BX675="Aussen","Aussen","-")))</f>
        <v>L23</v>
      </c>
      <c r="BZ675" s="66" t="n">
        <f aca="false">IF(N(AB675)&gt;0,AB675,0)</f>
        <v>0</v>
      </c>
      <c r="CA675" s="60" t="n">
        <f aca="false">IF(ISNUMBER(AE675),1,0)</f>
        <v>0</v>
      </c>
      <c r="CB675" s="57" t="n">
        <f aca="false">N(AE675)</f>
        <v>0</v>
      </c>
      <c r="CC675" s="57" t="n">
        <f aca="false">N(M675)+N(N675)</f>
        <v>1</v>
      </c>
      <c r="CD675" s="57" t="n">
        <f aca="false">ROUNDUP(H675/BS675,0)</f>
        <v>0</v>
      </c>
      <c r="CE675" s="57" t="n">
        <f aca="false">ROUNDUP(CB675/BS675,0)</f>
        <v>0</v>
      </c>
      <c r="CF675" s="60" t="n">
        <f aca="false">IF(BT675=1,0,IFERROR(VLOOKUP(BR675,'Gebinde-Kategorie'!$A$5:$M$45,5,0)+0,0))</f>
        <v>20</v>
      </c>
      <c r="CG675" s="60" t="n">
        <f aca="false">IFERROR(IF(OR(BX675=1,BX675=2,BX675=3),N(INDEX(Parameter!$I$5:$I$7,BX675)),0),0)</f>
        <v>0</v>
      </c>
      <c r="CH675" s="59" t="n">
        <f aca="false">IF(AND(Parameter!$B$21="Ja",ISNUMBER(W675),N(X675)&gt;0),IFERROR(N(INDEX(Parameter!$L$5:$L$7,W675))*INDEX(Parameter!$E$5:$E$7,W675)*X675/SUMIFS($X$7:$X$1843,$W$7:$W$1843,W675),0),0)</f>
        <v>0</v>
      </c>
    </row>
    <row r="676" customFormat="false" ht="15" hidden="false" customHeight="false" outlineLevel="0" collapsed="false">
      <c r="A676" s="55" t="s">
        <v>1356</v>
      </c>
      <c r="B676" s="55" t="s">
        <v>1357</v>
      </c>
      <c r="C676" s="55" t="s">
        <v>164</v>
      </c>
      <c r="D676" s="55" t="s">
        <v>995</v>
      </c>
      <c r="E676" s="55"/>
      <c r="F676" s="55" t="s">
        <v>218</v>
      </c>
      <c r="G676" s="56" t="n">
        <v>3157.44</v>
      </c>
      <c r="H676" s="57" t="n">
        <f aca="false">MAX(0,IF(AND(Parameter!$B$21="Ja",ISNUMBER(Y676)),Y676,IF(Parameter!$B$20="Jahresanfang 2025 + Export",BL676+BK676,BK676)))</f>
        <v>0</v>
      </c>
      <c r="I676" s="57" t="n">
        <f aca="false">H676*G676</f>
        <v>0</v>
      </c>
      <c r="J676" s="57" t="n">
        <f aca="false">BN676*Parameter!$B$18</f>
        <v>4</v>
      </c>
      <c r="K676" s="58" t="n">
        <v>0</v>
      </c>
      <c r="L676" s="59" t="n">
        <v>0</v>
      </c>
      <c r="M676" s="57" t="n">
        <v>0</v>
      </c>
      <c r="N676" s="57" t="n">
        <v>1</v>
      </c>
      <c r="O676" s="60" t="n">
        <v>90</v>
      </c>
      <c r="P676" s="55" t="s">
        <v>168</v>
      </c>
      <c r="Q676" s="57"/>
      <c r="R676" s="60" t="n">
        <f aca="false">IF(BT676=1,0,IFERROR(VLOOKUP(BR676,'Gebinde-Kategorie'!$A$5:$M$45,13,0)+0,0))</f>
        <v>0</v>
      </c>
      <c r="S676" s="61"/>
      <c r="T676" s="62"/>
      <c r="U676" s="62"/>
      <c r="V676" s="62"/>
      <c r="W676" s="55"/>
      <c r="X676" s="57"/>
      <c r="Y676" s="57"/>
      <c r="Z676" s="55" t="str">
        <f aca="false">IF(A676="","",IF(AND(Parameter!$B$21="Ja",ISNUMBER(W676)),W676,IF(BV676="2+3",IF(ISNUMBER(SEARCH("grosser Artikel",BO676)),2,IFERROR(VLOOKUP(BR676,Parameter!$F$35:$G$64,2,0),2)),IF(OR(BV676="Nein",BV676=""),"-",BV676))))</f>
        <v>-</v>
      </c>
      <c r="AA676" s="62"/>
      <c r="AB676" s="63"/>
      <c r="AC676" s="57" t="n">
        <f aca="false">AR676</f>
        <v>2</v>
      </c>
      <c r="AD676" s="57" t="n">
        <f aca="false">MAX(AR676,H676)</f>
        <v>2</v>
      </c>
      <c r="AE676" s="64"/>
      <c r="AF676" s="57" t="n">
        <f aca="false">IF(LEFT(Cockpit!$C$5,1)="A",H676,IF(CA676=1,CB676,IF(LEFT(Cockpit!$C$5,1)="B",AJ676,MAX(AJ676,H676))))</f>
        <v>0</v>
      </c>
      <c r="AG676" s="57" t="n">
        <f aca="false">IF(BT676=1,0,ROUNDUP(AF676/BS676,0))</f>
        <v>0</v>
      </c>
      <c r="AH676" s="59" t="n">
        <f aca="false">IF(CH676&gt;0,CH676*MAX(1,AF676/X676),IF(BT676=1,IF(AF676&lt;=0,0,BW676*MAX(1,IF(H676&gt;0,AF676/H676,1))),IF(R676&gt;0,AG676/R676,0))/MAX(0.1,N(Parameter!$M$21)))</f>
        <v>0</v>
      </c>
      <c r="AI676" s="57" t="n">
        <f aca="false">AF676*G676</f>
        <v>0</v>
      </c>
      <c r="AJ676" s="57" t="n">
        <f aca="false">ROUNDUP(MAX(J676/IF(BZ676&gt;0,BZ676,MAX(0.1,N(Cockpit!$C$6))),CC676)/BS676,0)*BS676</f>
        <v>2</v>
      </c>
      <c r="AK676" s="58" t="n">
        <f aca="false">IF(AH676&gt;0,J676/AH676,-1)</f>
        <v>-1</v>
      </c>
      <c r="AL676" s="58" t="str">
        <f aca="false">IF(AND(OR(BY676="L1",BY676="L23"),AH676&gt;0),SUMIFS($AH$7:$AH$1843,$BY$7:$BY$1843,BY676,$AK$7:$AK$1843,"&gt;"&amp;AK676)+SUMIFS($AH$7:$AH$1843,$BY$7:$BY$1843,BY676,$AK$7:$AK$1843,AK676,$BQ$7:$BQ$1843,"&lt;="&amp;BQ676),"")</f>
        <v/>
      </c>
      <c r="AM676" s="65" t="n">
        <f aca="false">IF(AL676="",0,MAX(0,MIN(1,(IF(BY676="L1",Parameter!$E$5,Parameter!$E$6+Parameter!$E$7)-(AL676-AH676))/AH676)))</f>
        <v>0</v>
      </c>
      <c r="AN676" s="57" t="n">
        <f aca="false">IF(LEFT(Cockpit!$I$5,1)="A",H676,IF(CA676=1,CB676,IF(LEFT(Cockpit!$I$5,1)="B",AR676,MAX(AR676,H676))))</f>
        <v>2</v>
      </c>
      <c r="AO676" s="57" t="n">
        <f aca="false">IF(BT676=1,0,ROUNDUP(AN676/BS676,0))</f>
        <v>0</v>
      </c>
      <c r="AP676" s="59" t="n">
        <f aca="false">IF(CH676&gt;0,CH676*MAX(1,AN676/X676),IF(BT676=1,IF(AN676&lt;=0,0,BW676*MAX(1,IF(H676&gt;0,AN676/H676,1))),IF(R676&gt;0,AO676/R676,0))/MAX(0.1,N(Parameter!$M$21)))</f>
        <v>0.15</v>
      </c>
      <c r="AQ676" s="57" t="n">
        <f aca="false">AN676*G676</f>
        <v>6314.88</v>
      </c>
      <c r="AR676" s="57" t="n">
        <f aca="false">ROUNDUP(MAX(J676/IF(BZ676&gt;0,BZ676,MAX(0.1,N(Cockpit!$I$6))),CC676)/BS676,0)*BS676</f>
        <v>2</v>
      </c>
      <c r="AS676" s="58" t="n">
        <f aca="false">IF(AP676&gt;0,J676/AP676,-1)</f>
        <v>26.6666666666667</v>
      </c>
      <c r="AT676" s="58" t="str">
        <f aca="false">IF(AND(OR(BY676="L1",BY676="L23"),AP676&gt;0),SUMIFS($AP$7:$AP$1843,$BY$7:$BY$1843,BY676,$AS$7:$AS$1843,"&gt;"&amp;AS676)+SUMIFS($AP$7:$AP$1843,$BY$7:$BY$1843,BY676,$AS$7:$AS$1843,AS676,$BQ$7:$BQ$1843,"&lt;="&amp;BQ676),"")</f>
        <v/>
      </c>
      <c r="AU676" s="65" t="n">
        <f aca="false">IF(AT676="",0,MAX(0,MIN(1,(IF(BY676="L1",Parameter!$E$5,Parameter!$E$6+Parameter!$E$7)-(AT676-AP676))/AP676)))</f>
        <v>0</v>
      </c>
      <c r="AV676" s="57" t="n">
        <f aca="false">IF(LEFT(Cockpit!$O$5,1)="A",H676,IF(CA676=1,CB676,IF(LEFT(Cockpit!$O$5,1)="B",AZ676,MAX(AZ676,H676))))</f>
        <v>2</v>
      </c>
      <c r="AW676" s="57" t="n">
        <f aca="false">IF(BT676=1,0,ROUNDUP(AV676/BS676,0))</f>
        <v>0</v>
      </c>
      <c r="AX676" s="59" t="n">
        <f aca="false">IF(CH676&gt;0,CH676*MAX(1,AV676/X676),IF(BT676=1,IF(AV676&lt;=0,0,BW676*MAX(1,IF(H676&gt;0,AV676/H676,1))),IF(R676&gt;0,AW676/R676,0))/MAX(0.1,N(Parameter!$M$21)))</f>
        <v>0.15</v>
      </c>
      <c r="AY676" s="57" t="n">
        <f aca="false">AV676*G676</f>
        <v>6314.88</v>
      </c>
      <c r="AZ676" s="57" t="n">
        <f aca="false">ROUNDUP(MAX(J676/IF(BZ676&gt;0,BZ676,MAX(0.1,N(Cockpit!$O$6))),CC676)/BS676,0)*BS676</f>
        <v>2</v>
      </c>
      <c r="BA676" s="58" t="n">
        <f aca="false">IF(AX676&gt;0,J676/AX676,-1)</f>
        <v>26.6666666666667</v>
      </c>
      <c r="BB676" s="58" t="str">
        <f aca="false">IF(AND(OR(BY676="L1",BY676="L23"),AX676&gt;0),SUMIFS($AX$7:$AX$1843,$BY$7:$BY$1843,BY676,$BA$7:$BA$1843,"&gt;"&amp;BA676)+SUMIFS($AX$7:$AX$1843,$BY$7:$BY$1843,BY676,$BA$7:$BA$1843,BA676,$BQ$7:$BQ$1843,"&lt;="&amp;BQ676),"")</f>
        <v/>
      </c>
      <c r="BC676" s="65" t="n">
        <f aca="false">IF(BB676="",0,MAX(0,MIN(1,(IF(BY676="L1",Parameter!$E$5,Parameter!$E$6+Parameter!$E$7)-(BB676-AX676))/AX676)))</f>
        <v>0</v>
      </c>
      <c r="BD676" s="55" t="str">
        <f aca="false">IF(AH676&lt;=0,"",IF(BY676="Aussen","Aussenlager",IF(BY676="-","Nicht im Lift",IF(AM676&gt;=1,"Lift",IF(AM676&lt;=0,"Aussenlager","teilweise")))))</f>
        <v/>
      </c>
      <c r="BE676" s="55" t="str">
        <f aca="false">IF(AP676&lt;=0,"",IF(BY676="Aussen","Aussenlager",IF(BY676="-","Nicht im Lift",IF(AU676&gt;=1,"Lift",IF(AU676&lt;=0,"Aussenlager","teilweise")))))</f>
        <v>Nicht im Lift</v>
      </c>
      <c r="BF676" s="55" t="str">
        <f aca="false">IF(AX676&lt;=0,"",IF(BY676="Aussen","Aussenlager",IF(BY676="-","Nicht im Lift",IF(BC676&gt;=1,"Lift",IF(BC676&lt;=0,"Aussenlager","teilweise")))))</f>
        <v>Nicht im Lift</v>
      </c>
      <c r="BG676" s="55" t="str">
        <f aca="false">IF(A676="","",IF(BP676=1,"Neu; ","")&amp;IF(AND(BP676=0,BK676&lt;0),"negativer Bestand (Export "&amp;BK676&amp;"); ","")&amp;IF(J676&lt;=0,"Kein Verbrauch; ","")&amp;IF(CH676&gt;0,"Lift "&amp;W676&amp;" lt. Liftbericht (Fach "&amp;X676&amp;" Stk); ",IF(BU676=1,"Gebinde geschätzt ("&amp;T676&amp;"); ",IF(BT676=1,"Lose – Tablare geschätzt; ","")))&amp;IF(H676&gt;AR676,"Überbestand "&amp;ROUND(H676-AR676,0)&amp;" Stk / CHF "&amp;ROUND((H676-AR676)*G676,0)&amp;"; ","")&amp;IF(AND(CA676=1,CB676&lt;CC676),"MAX &lt; MB+LG; ","")&amp;IF(AND(CG676&gt;0,CF676*10&gt;CG676),"zu hoch für Tablar; ","")&amp;IF(AND(BP676=0,OR(CA676=1,AA676&lt;&gt;"",U676&lt;&gt;"",V676&lt;&gt;"",AB676&lt;&gt;"")),"manuell übersteuert; ","")&amp;IF(AND(BT676=0,R676=0),"Gebinde unbekannt / Stellmass fehlt; ","")&amp;IF(AND(BT676=0,N(V676)&lt;=0,N(Q676)&lt;=0),"Menge pro Gebinde fehlt (Ist = 1 Gebinde); ","")&amp;BO676)</f>
        <v>Lose – Tablare geschätzt; </v>
      </c>
      <c r="BH676" s="55"/>
      <c r="BI676" s="55"/>
      <c r="BJ676" s="62"/>
      <c r="BK676" s="57" t="n">
        <v>0</v>
      </c>
      <c r="BL676" s="57" t="n">
        <v>0</v>
      </c>
      <c r="BM676" s="56" t="n">
        <v>0</v>
      </c>
      <c r="BN676" s="57" t="n">
        <v>4</v>
      </c>
      <c r="BO676" s="55"/>
      <c r="BP676" s="60" t="n">
        <v>0</v>
      </c>
      <c r="BQ676" s="60" t="n">
        <v>676</v>
      </c>
      <c r="BR676" s="55" t="str">
        <f aca="false">IF(U676&lt;&gt;"",UPPER(TRIM(U676)),IF(BU676=1,UPPER(VLOOKUP(T676,Parameter!$I$27:$K$29,2,0)),IF(P676="","LOSE",P676)))</f>
        <v>LOSE</v>
      </c>
      <c r="BS676" s="57" t="n">
        <f aca="false">IF(BR676="LOSE",1,IF(N(V676)&gt;0,V676,IF(BU676=1,MAX(1,N(VLOOKUP(T676,Parameter!$I$27:$K$29,3,0)),H676,N(N676)),IF(N(Q676)&gt;0,Q676,MAX(1,H676)))))</f>
        <v>1</v>
      </c>
      <c r="BT676" s="60" t="n">
        <f aca="false">IF(BR676="LOSE",1,0)</f>
        <v>1</v>
      </c>
      <c r="BU676" s="60" t="n">
        <f aca="false">IF(AND(U676="",OR(P676="",P676="LOSE"),T676&lt;&gt;"",N(S676)&lt;=0,ISNUMBER(MATCH(T676,Parameter!$I$27:$I$29,0))),1,0)</f>
        <v>0</v>
      </c>
      <c r="BV676" s="55" t="str">
        <f aca="false">IF(AND(Parameter!$B$19="Ja",E676&lt;&gt;"",ISNUMBER(MATCH(E676,Parameter!$I$35:$I$52,0))),VLOOKUP(E676,Parameter!$I$35:$J$52,2,0),IFERROR(VLOOKUP(D676,Parameter!$A$35:$C$64,2,0),"Nein"))</f>
        <v>Nein</v>
      </c>
      <c r="BW676" s="59" t="n">
        <f aca="false">IF(BT676=0,0,IF(N(S676)&gt;0,S676,IFERROR(VLOOKUP(D676,Parameter!$A$35:$C$64,3,0)+0,0)))</f>
        <v>0.15</v>
      </c>
      <c r="BX676" s="55" t="str">
        <f aca="false">IF(AA676&lt;&gt;"",AA676,Z676)</f>
        <v>-</v>
      </c>
      <c r="BY676" s="55" t="str">
        <f aca="false">IF(BX676=1,"L1",IF(OR(BX676=2,BX676=3),"L23",IF(BX676="Aussen","Aussen","-")))</f>
        <v>-</v>
      </c>
      <c r="BZ676" s="66" t="n">
        <f aca="false">IF(N(AB676)&gt;0,AB676,0)</f>
        <v>0</v>
      </c>
      <c r="CA676" s="60" t="n">
        <f aca="false">IF(ISNUMBER(AE676),1,0)</f>
        <v>0</v>
      </c>
      <c r="CB676" s="57" t="n">
        <f aca="false">N(AE676)</f>
        <v>0</v>
      </c>
      <c r="CC676" s="57" t="n">
        <f aca="false">N(M676)+N(N676)</f>
        <v>1</v>
      </c>
      <c r="CD676" s="57" t="n">
        <f aca="false">ROUNDUP(H676/BS676,0)</f>
        <v>0</v>
      </c>
      <c r="CE676" s="57" t="n">
        <f aca="false">ROUNDUP(CB676/BS676,0)</f>
        <v>0</v>
      </c>
      <c r="CF676" s="60" t="n">
        <f aca="false">IF(BT676=1,0,IFERROR(VLOOKUP(BR676,'Gebinde-Kategorie'!$A$5:$M$45,5,0)+0,0))</f>
        <v>0</v>
      </c>
      <c r="CG676" s="60" t="n">
        <f aca="false">IFERROR(IF(OR(BX676=1,BX676=2,BX676=3),N(INDEX(Parameter!$I$5:$I$7,BX676)),0),0)</f>
        <v>0</v>
      </c>
      <c r="CH676" s="59" t="n">
        <f aca="false">IF(AND(Parameter!$B$21="Ja",ISNUMBER(W676),N(X676)&gt;0),IFERROR(N(INDEX(Parameter!$L$5:$L$7,W676))*INDEX(Parameter!$E$5:$E$7,W676)*X676/SUMIFS($X$7:$X$1843,$W$7:$W$1843,W676),0),0)</f>
        <v>0</v>
      </c>
    </row>
    <row r="677" customFormat="false" ht="15" hidden="false" customHeight="false" outlineLevel="0" collapsed="false">
      <c r="A677" s="55" t="s">
        <v>1358</v>
      </c>
      <c r="B677" s="55" t="s">
        <v>1359</v>
      </c>
      <c r="C677" s="55" t="s">
        <v>164</v>
      </c>
      <c r="D677" s="55" t="s">
        <v>995</v>
      </c>
      <c r="E677" s="55"/>
      <c r="F677" s="55" t="s">
        <v>218</v>
      </c>
      <c r="G677" s="56" t="n">
        <v>12854.39</v>
      </c>
      <c r="H677" s="57" t="n">
        <f aca="false">MAX(0,IF(AND(Parameter!$B$21="Ja",ISNUMBER(Y677)),Y677,IF(Parameter!$B$20="Jahresanfang 2025 + Export",BL677+BK677,BK677)))</f>
        <v>0</v>
      </c>
      <c r="I677" s="57" t="n">
        <f aca="false">H677*G677</f>
        <v>0</v>
      </c>
      <c r="J677" s="57" t="n">
        <f aca="false">BN677*Parameter!$B$18</f>
        <v>4</v>
      </c>
      <c r="K677" s="58" t="n">
        <v>0</v>
      </c>
      <c r="L677" s="59" t="n">
        <v>0</v>
      </c>
      <c r="M677" s="57" t="n">
        <v>0</v>
      </c>
      <c r="N677" s="57" t="n">
        <v>1</v>
      </c>
      <c r="O677" s="60" t="n">
        <v>90</v>
      </c>
      <c r="P677" s="55" t="s">
        <v>168</v>
      </c>
      <c r="Q677" s="57"/>
      <c r="R677" s="60" t="n">
        <f aca="false">IF(BT677=1,0,IFERROR(VLOOKUP(BR677,'Gebinde-Kategorie'!$A$5:$M$45,13,0)+0,0))</f>
        <v>0</v>
      </c>
      <c r="S677" s="61"/>
      <c r="T677" s="62"/>
      <c r="U677" s="62"/>
      <c r="V677" s="62"/>
      <c r="W677" s="55"/>
      <c r="X677" s="57"/>
      <c r="Y677" s="57"/>
      <c r="Z677" s="55" t="str">
        <f aca="false">IF(A677="","",IF(AND(Parameter!$B$21="Ja",ISNUMBER(W677)),W677,IF(BV677="2+3",IF(ISNUMBER(SEARCH("grosser Artikel",BO677)),2,IFERROR(VLOOKUP(BR677,Parameter!$F$35:$G$64,2,0),2)),IF(OR(BV677="Nein",BV677=""),"-",BV677))))</f>
        <v>-</v>
      </c>
      <c r="AA677" s="62"/>
      <c r="AB677" s="63"/>
      <c r="AC677" s="57" t="n">
        <f aca="false">AR677</f>
        <v>2</v>
      </c>
      <c r="AD677" s="57" t="n">
        <f aca="false">MAX(AR677,H677)</f>
        <v>2</v>
      </c>
      <c r="AE677" s="64"/>
      <c r="AF677" s="57" t="n">
        <f aca="false">IF(LEFT(Cockpit!$C$5,1)="A",H677,IF(CA677=1,CB677,IF(LEFT(Cockpit!$C$5,1)="B",AJ677,MAX(AJ677,H677))))</f>
        <v>0</v>
      </c>
      <c r="AG677" s="57" t="n">
        <f aca="false">IF(BT677=1,0,ROUNDUP(AF677/BS677,0))</f>
        <v>0</v>
      </c>
      <c r="AH677" s="59" t="n">
        <f aca="false">IF(CH677&gt;0,CH677*MAX(1,AF677/X677),IF(BT677=1,IF(AF677&lt;=0,0,BW677*MAX(1,IF(H677&gt;0,AF677/H677,1))),IF(R677&gt;0,AG677/R677,0))/MAX(0.1,N(Parameter!$M$21)))</f>
        <v>0</v>
      </c>
      <c r="AI677" s="57" t="n">
        <f aca="false">AF677*G677</f>
        <v>0</v>
      </c>
      <c r="AJ677" s="57" t="n">
        <f aca="false">ROUNDUP(MAX(J677/IF(BZ677&gt;0,BZ677,MAX(0.1,N(Cockpit!$C$6))),CC677)/BS677,0)*BS677</f>
        <v>2</v>
      </c>
      <c r="AK677" s="58" t="n">
        <f aca="false">IF(AH677&gt;0,J677/AH677,-1)</f>
        <v>-1</v>
      </c>
      <c r="AL677" s="58" t="str">
        <f aca="false">IF(AND(OR(BY677="L1",BY677="L23"),AH677&gt;0),SUMIFS($AH$7:$AH$1843,$BY$7:$BY$1843,BY677,$AK$7:$AK$1843,"&gt;"&amp;AK677)+SUMIFS($AH$7:$AH$1843,$BY$7:$BY$1843,BY677,$AK$7:$AK$1843,AK677,$BQ$7:$BQ$1843,"&lt;="&amp;BQ677),"")</f>
        <v/>
      </c>
      <c r="AM677" s="65" t="n">
        <f aca="false">IF(AL677="",0,MAX(0,MIN(1,(IF(BY677="L1",Parameter!$E$5,Parameter!$E$6+Parameter!$E$7)-(AL677-AH677))/AH677)))</f>
        <v>0</v>
      </c>
      <c r="AN677" s="57" t="n">
        <f aca="false">IF(LEFT(Cockpit!$I$5,1)="A",H677,IF(CA677=1,CB677,IF(LEFT(Cockpit!$I$5,1)="B",AR677,MAX(AR677,H677))))</f>
        <v>2</v>
      </c>
      <c r="AO677" s="57" t="n">
        <f aca="false">IF(BT677=1,0,ROUNDUP(AN677/BS677,0))</f>
        <v>0</v>
      </c>
      <c r="AP677" s="59" t="n">
        <f aca="false">IF(CH677&gt;0,CH677*MAX(1,AN677/X677),IF(BT677=1,IF(AN677&lt;=0,0,BW677*MAX(1,IF(H677&gt;0,AN677/H677,1))),IF(R677&gt;0,AO677/R677,0))/MAX(0.1,N(Parameter!$M$21)))</f>
        <v>0.15</v>
      </c>
      <c r="AQ677" s="57" t="n">
        <f aca="false">AN677*G677</f>
        <v>25708.78</v>
      </c>
      <c r="AR677" s="57" t="n">
        <f aca="false">ROUNDUP(MAX(J677/IF(BZ677&gt;0,BZ677,MAX(0.1,N(Cockpit!$I$6))),CC677)/BS677,0)*BS677</f>
        <v>2</v>
      </c>
      <c r="AS677" s="58" t="n">
        <f aca="false">IF(AP677&gt;0,J677/AP677,-1)</f>
        <v>26.6666666666667</v>
      </c>
      <c r="AT677" s="58" t="str">
        <f aca="false">IF(AND(OR(BY677="L1",BY677="L23"),AP677&gt;0),SUMIFS($AP$7:$AP$1843,$BY$7:$BY$1843,BY677,$AS$7:$AS$1843,"&gt;"&amp;AS677)+SUMIFS($AP$7:$AP$1843,$BY$7:$BY$1843,BY677,$AS$7:$AS$1843,AS677,$BQ$7:$BQ$1843,"&lt;="&amp;BQ677),"")</f>
        <v/>
      </c>
      <c r="AU677" s="65" t="n">
        <f aca="false">IF(AT677="",0,MAX(0,MIN(1,(IF(BY677="L1",Parameter!$E$5,Parameter!$E$6+Parameter!$E$7)-(AT677-AP677))/AP677)))</f>
        <v>0</v>
      </c>
      <c r="AV677" s="57" t="n">
        <f aca="false">IF(LEFT(Cockpit!$O$5,1)="A",H677,IF(CA677=1,CB677,IF(LEFT(Cockpit!$O$5,1)="B",AZ677,MAX(AZ677,H677))))</f>
        <v>2</v>
      </c>
      <c r="AW677" s="57" t="n">
        <f aca="false">IF(BT677=1,0,ROUNDUP(AV677/BS677,0))</f>
        <v>0</v>
      </c>
      <c r="AX677" s="59" t="n">
        <f aca="false">IF(CH677&gt;0,CH677*MAX(1,AV677/X677),IF(BT677=1,IF(AV677&lt;=0,0,BW677*MAX(1,IF(H677&gt;0,AV677/H677,1))),IF(R677&gt;0,AW677/R677,0))/MAX(0.1,N(Parameter!$M$21)))</f>
        <v>0.15</v>
      </c>
      <c r="AY677" s="57" t="n">
        <f aca="false">AV677*G677</f>
        <v>25708.78</v>
      </c>
      <c r="AZ677" s="57" t="n">
        <f aca="false">ROUNDUP(MAX(J677/IF(BZ677&gt;0,BZ677,MAX(0.1,N(Cockpit!$O$6))),CC677)/BS677,0)*BS677</f>
        <v>2</v>
      </c>
      <c r="BA677" s="58" t="n">
        <f aca="false">IF(AX677&gt;0,J677/AX677,-1)</f>
        <v>26.6666666666667</v>
      </c>
      <c r="BB677" s="58" t="str">
        <f aca="false">IF(AND(OR(BY677="L1",BY677="L23"),AX677&gt;0),SUMIFS($AX$7:$AX$1843,$BY$7:$BY$1843,BY677,$BA$7:$BA$1843,"&gt;"&amp;BA677)+SUMIFS($AX$7:$AX$1843,$BY$7:$BY$1843,BY677,$BA$7:$BA$1843,BA677,$BQ$7:$BQ$1843,"&lt;="&amp;BQ677),"")</f>
        <v/>
      </c>
      <c r="BC677" s="65" t="n">
        <f aca="false">IF(BB677="",0,MAX(0,MIN(1,(IF(BY677="L1",Parameter!$E$5,Parameter!$E$6+Parameter!$E$7)-(BB677-AX677))/AX677)))</f>
        <v>0</v>
      </c>
      <c r="BD677" s="55" t="str">
        <f aca="false">IF(AH677&lt;=0,"",IF(BY677="Aussen","Aussenlager",IF(BY677="-","Nicht im Lift",IF(AM677&gt;=1,"Lift",IF(AM677&lt;=0,"Aussenlager","teilweise")))))</f>
        <v/>
      </c>
      <c r="BE677" s="55" t="str">
        <f aca="false">IF(AP677&lt;=0,"",IF(BY677="Aussen","Aussenlager",IF(BY677="-","Nicht im Lift",IF(AU677&gt;=1,"Lift",IF(AU677&lt;=0,"Aussenlager","teilweise")))))</f>
        <v>Nicht im Lift</v>
      </c>
      <c r="BF677" s="55" t="str">
        <f aca="false">IF(AX677&lt;=0,"",IF(BY677="Aussen","Aussenlager",IF(BY677="-","Nicht im Lift",IF(BC677&gt;=1,"Lift",IF(BC677&lt;=0,"Aussenlager","teilweise")))))</f>
        <v>Nicht im Lift</v>
      </c>
      <c r="BG677" s="55" t="str">
        <f aca="false">IF(A677="","",IF(BP677=1,"Neu; ","")&amp;IF(AND(BP677=0,BK677&lt;0),"negativer Bestand (Export "&amp;BK677&amp;"); ","")&amp;IF(J677&lt;=0,"Kein Verbrauch; ","")&amp;IF(CH677&gt;0,"Lift "&amp;W677&amp;" lt. Liftbericht (Fach "&amp;X677&amp;" Stk); ",IF(BU677=1,"Gebinde geschätzt ("&amp;T677&amp;"); ",IF(BT677=1,"Lose – Tablare geschätzt; ","")))&amp;IF(H677&gt;AR677,"Überbestand "&amp;ROUND(H677-AR677,0)&amp;" Stk / CHF "&amp;ROUND((H677-AR677)*G677,0)&amp;"; ","")&amp;IF(AND(CA677=1,CB677&lt;CC677),"MAX &lt; MB+LG; ","")&amp;IF(AND(CG677&gt;0,CF677*10&gt;CG677),"zu hoch für Tablar; ","")&amp;IF(AND(BP677=0,OR(CA677=1,AA677&lt;&gt;"",U677&lt;&gt;"",V677&lt;&gt;"",AB677&lt;&gt;"")),"manuell übersteuert; ","")&amp;IF(AND(BT677=0,R677=0),"Gebinde unbekannt / Stellmass fehlt; ","")&amp;IF(AND(BT677=0,N(V677)&lt;=0,N(Q677)&lt;=0),"Menge pro Gebinde fehlt (Ist = 1 Gebinde); ","")&amp;BO677)</f>
        <v>Lose – Tablare geschätzt; </v>
      </c>
      <c r="BH677" s="55"/>
      <c r="BI677" s="55"/>
      <c r="BJ677" s="62"/>
      <c r="BK677" s="57" t="n">
        <v>0</v>
      </c>
      <c r="BL677" s="57" t="n">
        <v>0</v>
      </c>
      <c r="BM677" s="56" t="n">
        <v>0</v>
      </c>
      <c r="BN677" s="57" t="n">
        <v>4</v>
      </c>
      <c r="BO677" s="55"/>
      <c r="BP677" s="60" t="n">
        <v>0</v>
      </c>
      <c r="BQ677" s="60" t="n">
        <v>677</v>
      </c>
      <c r="BR677" s="55" t="str">
        <f aca="false">IF(U677&lt;&gt;"",UPPER(TRIM(U677)),IF(BU677=1,UPPER(VLOOKUP(T677,Parameter!$I$27:$K$29,2,0)),IF(P677="","LOSE",P677)))</f>
        <v>LOSE</v>
      </c>
      <c r="BS677" s="57" t="n">
        <f aca="false">IF(BR677="LOSE",1,IF(N(V677)&gt;0,V677,IF(BU677=1,MAX(1,N(VLOOKUP(T677,Parameter!$I$27:$K$29,3,0)),H677,N(N677)),IF(N(Q677)&gt;0,Q677,MAX(1,H677)))))</f>
        <v>1</v>
      </c>
      <c r="BT677" s="60" t="n">
        <f aca="false">IF(BR677="LOSE",1,0)</f>
        <v>1</v>
      </c>
      <c r="BU677" s="60" t="n">
        <f aca="false">IF(AND(U677="",OR(P677="",P677="LOSE"),T677&lt;&gt;"",N(S677)&lt;=0,ISNUMBER(MATCH(T677,Parameter!$I$27:$I$29,0))),1,0)</f>
        <v>0</v>
      </c>
      <c r="BV677" s="55" t="str">
        <f aca="false">IF(AND(Parameter!$B$19="Ja",E677&lt;&gt;"",ISNUMBER(MATCH(E677,Parameter!$I$35:$I$52,0))),VLOOKUP(E677,Parameter!$I$35:$J$52,2,0),IFERROR(VLOOKUP(D677,Parameter!$A$35:$C$64,2,0),"Nein"))</f>
        <v>Nein</v>
      </c>
      <c r="BW677" s="59" t="n">
        <f aca="false">IF(BT677=0,0,IF(N(S677)&gt;0,S677,IFERROR(VLOOKUP(D677,Parameter!$A$35:$C$64,3,0)+0,0)))</f>
        <v>0.15</v>
      </c>
      <c r="BX677" s="55" t="str">
        <f aca="false">IF(AA677&lt;&gt;"",AA677,Z677)</f>
        <v>-</v>
      </c>
      <c r="BY677" s="55" t="str">
        <f aca="false">IF(BX677=1,"L1",IF(OR(BX677=2,BX677=3),"L23",IF(BX677="Aussen","Aussen","-")))</f>
        <v>-</v>
      </c>
      <c r="BZ677" s="66" t="n">
        <f aca="false">IF(N(AB677)&gt;0,AB677,0)</f>
        <v>0</v>
      </c>
      <c r="CA677" s="60" t="n">
        <f aca="false">IF(ISNUMBER(AE677),1,0)</f>
        <v>0</v>
      </c>
      <c r="CB677" s="57" t="n">
        <f aca="false">N(AE677)</f>
        <v>0</v>
      </c>
      <c r="CC677" s="57" t="n">
        <f aca="false">N(M677)+N(N677)</f>
        <v>1</v>
      </c>
      <c r="CD677" s="57" t="n">
        <f aca="false">ROUNDUP(H677/BS677,0)</f>
        <v>0</v>
      </c>
      <c r="CE677" s="57" t="n">
        <f aca="false">ROUNDUP(CB677/BS677,0)</f>
        <v>0</v>
      </c>
      <c r="CF677" s="60" t="n">
        <f aca="false">IF(BT677=1,0,IFERROR(VLOOKUP(BR677,'Gebinde-Kategorie'!$A$5:$M$45,5,0)+0,0))</f>
        <v>0</v>
      </c>
      <c r="CG677" s="60" t="n">
        <f aca="false">IFERROR(IF(OR(BX677=1,BX677=2,BX677=3),N(INDEX(Parameter!$I$5:$I$7,BX677)),0),0)</f>
        <v>0</v>
      </c>
      <c r="CH677" s="59" t="n">
        <f aca="false">IF(AND(Parameter!$B$21="Ja",ISNUMBER(W677),N(X677)&gt;0),IFERROR(N(INDEX(Parameter!$L$5:$L$7,W677))*INDEX(Parameter!$E$5:$E$7,W677)*X677/SUMIFS($X$7:$X$1843,$W$7:$W$1843,W677),0),0)</f>
        <v>0</v>
      </c>
    </row>
    <row r="678" customFormat="false" ht="15" hidden="false" customHeight="false" outlineLevel="0" collapsed="false">
      <c r="A678" s="55" t="s">
        <v>1360</v>
      </c>
      <c r="B678" s="55" t="s">
        <v>196</v>
      </c>
      <c r="C678" s="55" t="s">
        <v>164</v>
      </c>
      <c r="D678" s="55" t="s">
        <v>173</v>
      </c>
      <c r="E678" s="55"/>
      <c r="F678" s="55" t="s">
        <v>218</v>
      </c>
      <c r="G678" s="56" t="n">
        <v>5018.88</v>
      </c>
      <c r="H678" s="57" t="n">
        <f aca="false">MAX(0,IF(AND(Parameter!$B$21="Ja",ISNUMBER(Y678)),Y678,IF(Parameter!$B$20="Jahresanfang 2025 + Export",BL678+BK678,BK678)))</f>
        <v>0</v>
      </c>
      <c r="I678" s="57" t="n">
        <f aca="false">H678*G678</f>
        <v>0</v>
      </c>
      <c r="J678" s="57" t="n">
        <f aca="false">BN678*Parameter!$B$18</f>
        <v>1</v>
      </c>
      <c r="K678" s="58" t="n">
        <v>0</v>
      </c>
      <c r="L678" s="59" t="n">
        <v>0</v>
      </c>
      <c r="M678" s="57" t="n">
        <v>0</v>
      </c>
      <c r="N678" s="57" t="n">
        <v>1</v>
      </c>
      <c r="O678" s="60" t="n">
        <v>115</v>
      </c>
      <c r="P678" s="55" t="s">
        <v>168</v>
      </c>
      <c r="Q678" s="57"/>
      <c r="R678" s="60" t="n">
        <f aca="false">IF(BT678=1,0,IFERROR(VLOOKUP(BR678,'Gebinde-Kategorie'!$A$5:$M$45,13,0)+0,0))</f>
        <v>12</v>
      </c>
      <c r="S678" s="61"/>
      <c r="T678" s="62" t="s">
        <v>179</v>
      </c>
      <c r="U678" s="62"/>
      <c r="V678" s="62"/>
      <c r="W678" s="55"/>
      <c r="X678" s="57"/>
      <c r="Y678" s="57"/>
      <c r="Z678" s="55" t="n">
        <f aca="false">IF(A678="","",IF(AND(Parameter!$B$21="Ja",ISNUMBER(W678)),W678,IF(BV678="2+3",IF(ISNUMBER(SEARCH("grosser Artikel",BO678)),2,IFERROR(VLOOKUP(BR678,Parameter!$F$35:$G$64,2,0),2)),IF(OR(BV678="Nein",BV678=""),"-",BV678))))</f>
        <v>2</v>
      </c>
      <c r="AA678" s="62"/>
      <c r="AB678" s="63"/>
      <c r="AC678" s="57" t="n">
        <f aca="false">AR678</f>
        <v>4</v>
      </c>
      <c r="AD678" s="57" t="n">
        <f aca="false">MAX(AR678,H678)</f>
        <v>4</v>
      </c>
      <c r="AE678" s="64"/>
      <c r="AF678" s="57" t="n">
        <f aca="false">IF(LEFT(Cockpit!$C$5,1)="A",H678,IF(CA678=1,CB678,IF(LEFT(Cockpit!$C$5,1)="B",AJ678,MAX(AJ678,H678))))</f>
        <v>0</v>
      </c>
      <c r="AG678" s="57" t="n">
        <f aca="false">IF(BT678=1,0,ROUNDUP(AF678/BS678,0))</f>
        <v>0</v>
      </c>
      <c r="AH678" s="59" t="n">
        <f aca="false">IF(CH678&gt;0,CH678*MAX(1,AF678/X678),IF(BT678=1,IF(AF678&lt;=0,0,BW678*MAX(1,IF(H678&gt;0,AF678/H678,1))),IF(R678&gt;0,AG678/R678,0))/MAX(0.1,N(Parameter!$M$21)))</f>
        <v>0</v>
      </c>
      <c r="AI678" s="57" t="n">
        <f aca="false">AF678*G678</f>
        <v>0</v>
      </c>
      <c r="AJ678" s="57" t="n">
        <f aca="false">ROUNDUP(MAX(J678/IF(BZ678&gt;0,BZ678,MAX(0.1,N(Cockpit!$C$6))),CC678)/BS678,0)*BS678</f>
        <v>4</v>
      </c>
      <c r="AK678" s="58" t="n">
        <f aca="false">IF(AH678&gt;0,J678/AH678,-1)</f>
        <v>-1</v>
      </c>
      <c r="AL678" s="58" t="str">
        <f aca="false">IF(AND(OR(BY678="L1",BY678="L23"),AH678&gt;0),SUMIFS($AH$7:$AH$1843,$BY$7:$BY$1843,BY678,$AK$7:$AK$1843,"&gt;"&amp;AK678)+SUMIFS($AH$7:$AH$1843,$BY$7:$BY$1843,BY678,$AK$7:$AK$1843,AK678,$BQ$7:$BQ$1843,"&lt;="&amp;BQ678),"")</f>
        <v/>
      </c>
      <c r="AM678" s="65" t="n">
        <f aca="false">IF(AL678="",0,MAX(0,MIN(1,(IF(BY678="L1",Parameter!$E$5,Parameter!$E$6+Parameter!$E$7)-(AL678-AH678))/AH678)))</f>
        <v>0</v>
      </c>
      <c r="AN678" s="57" t="n">
        <f aca="false">IF(LEFT(Cockpit!$I$5,1)="A",H678,IF(CA678=1,CB678,IF(LEFT(Cockpit!$I$5,1)="B",AR678,MAX(AR678,H678))))</f>
        <v>4</v>
      </c>
      <c r="AO678" s="57" t="n">
        <f aca="false">IF(BT678=1,0,ROUNDUP(AN678/BS678,0))</f>
        <v>1</v>
      </c>
      <c r="AP678" s="59" t="n">
        <f aca="false">IF(CH678&gt;0,CH678*MAX(1,AN678/X678),IF(BT678=1,IF(AN678&lt;=0,0,BW678*MAX(1,IF(H678&gt;0,AN678/H678,1))),IF(R678&gt;0,AO678/R678,0))/MAX(0.1,N(Parameter!$M$21)))</f>
        <v>0.0833333333333333</v>
      </c>
      <c r="AQ678" s="57" t="n">
        <f aca="false">AN678*G678</f>
        <v>20075.52</v>
      </c>
      <c r="AR678" s="57" t="n">
        <f aca="false">ROUNDUP(MAX(J678/IF(BZ678&gt;0,BZ678,MAX(0.1,N(Cockpit!$I$6))),CC678)/BS678,0)*BS678</f>
        <v>4</v>
      </c>
      <c r="AS678" s="58" t="n">
        <f aca="false">IF(AP678&gt;0,J678/AP678,-1)</f>
        <v>12</v>
      </c>
      <c r="AT678" s="58" t="n">
        <f aca="false">IF(AND(OR(BY678="L1",BY678="L23"),AP678&gt;0),SUMIFS($AP$7:$AP$1843,$BY$7:$BY$1843,BY678,$AS$7:$AS$1843,"&gt;"&amp;AS678)+SUMIFS($AP$7:$AP$1843,$BY$7:$BY$1843,BY678,$AS$7:$AS$1843,AS678,$BQ$7:$BQ$1843,"&lt;="&amp;BQ678),"")</f>
        <v>81.6148694300868</v>
      </c>
      <c r="AU678" s="65" t="n">
        <f aca="false">IF(AT678="",0,MAX(0,MIN(1,(IF(BY678="L1",Parameter!$E$5,Parameter!$E$6+Parameter!$E$7)-(AT678-AP678))/AP678)))</f>
        <v>1</v>
      </c>
      <c r="AV678" s="57" t="n">
        <f aca="false">IF(LEFT(Cockpit!$O$5,1)="A",H678,IF(CA678=1,CB678,IF(LEFT(Cockpit!$O$5,1)="B",AZ678,MAX(AZ678,H678))))</f>
        <v>4</v>
      </c>
      <c r="AW678" s="57" t="n">
        <f aca="false">IF(BT678=1,0,ROUNDUP(AV678/BS678,0))</f>
        <v>1</v>
      </c>
      <c r="AX678" s="59" t="n">
        <f aca="false">IF(CH678&gt;0,CH678*MAX(1,AV678/X678),IF(BT678=1,IF(AV678&lt;=0,0,BW678*MAX(1,IF(H678&gt;0,AV678/H678,1))),IF(R678&gt;0,AW678/R678,0))/MAX(0.1,N(Parameter!$M$21)))</f>
        <v>0.0833333333333333</v>
      </c>
      <c r="AY678" s="57" t="n">
        <f aca="false">AV678*G678</f>
        <v>20075.52</v>
      </c>
      <c r="AZ678" s="57" t="n">
        <f aca="false">ROUNDUP(MAX(J678/IF(BZ678&gt;0,BZ678,MAX(0.1,N(Cockpit!$O$6))),CC678)/BS678,0)*BS678</f>
        <v>4</v>
      </c>
      <c r="BA678" s="58" t="n">
        <f aca="false">IF(AX678&gt;0,J678/AX678,-1)</f>
        <v>12</v>
      </c>
      <c r="BB678" s="58" t="n">
        <f aca="false">IF(AND(OR(BY678="L1",BY678="L23"),AX678&gt;0),SUMIFS($AX$7:$AX$1843,$BY$7:$BY$1843,BY678,$BA$7:$BA$1843,"&gt;"&amp;BA678)+SUMIFS($AX$7:$AX$1843,$BY$7:$BY$1843,BY678,$BA$7:$BA$1843,BA678,$BQ$7:$BQ$1843,"&lt;="&amp;BQ678),"")</f>
        <v>81.1113729265903</v>
      </c>
      <c r="BC678" s="65" t="n">
        <f aca="false">IF(BB678="",0,MAX(0,MIN(1,(IF(BY678="L1",Parameter!$E$5,Parameter!$E$6+Parameter!$E$7)-(BB678-AX678))/AX678)))</f>
        <v>1</v>
      </c>
      <c r="BD678" s="55" t="str">
        <f aca="false">IF(AH678&lt;=0,"",IF(BY678="Aussen","Aussenlager",IF(BY678="-","Nicht im Lift",IF(AM678&gt;=1,"Lift",IF(AM678&lt;=0,"Aussenlager","teilweise")))))</f>
        <v/>
      </c>
      <c r="BE678" s="55" t="str">
        <f aca="false">IF(AP678&lt;=0,"",IF(BY678="Aussen","Aussenlager",IF(BY678="-","Nicht im Lift",IF(AU678&gt;=1,"Lift",IF(AU678&lt;=0,"Aussenlager","teilweise")))))</f>
        <v>Lift</v>
      </c>
      <c r="BF678" s="55" t="str">
        <f aca="false">IF(AX678&lt;=0,"",IF(BY678="Aussen","Aussenlager",IF(BY678="-","Nicht im Lift",IF(BC678&gt;=1,"Lift",IF(BC678&lt;=0,"Aussenlager","teilweise")))))</f>
        <v>Lift</v>
      </c>
      <c r="BG678" s="55" t="str">
        <f aca="false">IF(A678="","",IF(BP678=1,"Neu; ","")&amp;IF(AND(BP678=0,BK678&lt;0),"negativer Bestand (Export "&amp;BK678&amp;"); ","")&amp;IF(J678&lt;=0,"Kein Verbrauch; ","")&amp;IF(CH678&gt;0,"Lift "&amp;W678&amp;" lt. Liftbericht (Fach "&amp;X678&amp;" Stk); ",IF(BU678=1,"Gebinde geschätzt ("&amp;T678&amp;"); ",IF(BT678=1,"Lose – Tablare geschätzt; ","")))&amp;IF(H678&gt;AR678,"Überbestand "&amp;ROUND(H678-AR678,0)&amp;" Stk / CHF "&amp;ROUND((H678-AR678)*G678,0)&amp;"; ","")&amp;IF(AND(CA678=1,CB678&lt;CC678),"MAX &lt; MB+LG; ","")&amp;IF(AND(CG678&gt;0,CF678*10&gt;CG678),"zu hoch für Tablar; ","")&amp;IF(AND(BP678=0,OR(CA678=1,AA678&lt;&gt;"",U678&lt;&gt;"",V678&lt;&gt;"",AB678&lt;&gt;"")),"manuell übersteuert; ","")&amp;IF(AND(BT678=0,R678=0),"Gebinde unbekannt / Stellmass fehlt; ","")&amp;IF(AND(BT678=0,N(V678)&lt;=0,N(Q678)&lt;=0),"Menge pro Gebinde fehlt (Ist = 1 Gebinde); ","")&amp;BO678)</f>
        <v>Gebinde geschätzt (Mittel); Menge pro Gebinde fehlt (Ist = 1 Gebinde); </v>
      </c>
      <c r="BH678" s="55"/>
      <c r="BI678" s="55"/>
      <c r="BJ678" s="62"/>
      <c r="BK678" s="57" t="n">
        <v>0</v>
      </c>
      <c r="BL678" s="57" t="n">
        <v>0</v>
      </c>
      <c r="BM678" s="56" t="n">
        <v>0</v>
      </c>
      <c r="BN678" s="57" t="n">
        <v>1</v>
      </c>
      <c r="BO678" s="55"/>
      <c r="BP678" s="60" t="n">
        <v>0</v>
      </c>
      <c r="BQ678" s="60" t="n">
        <v>678</v>
      </c>
      <c r="BR678" s="55" t="str">
        <f aca="false">IF(U678&lt;&gt;"",UPPER(TRIM(U678)),IF(BU678=1,UPPER(VLOOKUP(T678,Parameter!$I$27:$K$29,2,0)),IF(P678="","LOSE",P678)))</f>
        <v>S61</v>
      </c>
      <c r="BS678" s="57" t="n">
        <f aca="false">IF(BR678="LOSE",1,IF(N(V678)&gt;0,V678,IF(BU678=1,MAX(1,N(VLOOKUP(T678,Parameter!$I$27:$K$29,3,0)),H678,N(N678)),IF(N(Q678)&gt;0,Q678,MAX(1,H678)))))</f>
        <v>4</v>
      </c>
      <c r="BT678" s="60" t="n">
        <f aca="false">IF(BR678="LOSE",1,0)</f>
        <v>0</v>
      </c>
      <c r="BU678" s="60" t="n">
        <f aca="false">IF(AND(U678="",OR(P678="",P678="LOSE"),T678&lt;&gt;"",N(S678)&lt;=0,ISNUMBER(MATCH(T678,Parameter!$I$27:$I$29,0))),1,0)</f>
        <v>1</v>
      </c>
      <c r="BV678" s="55" t="str">
        <f aca="false">IF(AND(Parameter!$B$19="Ja",E678&lt;&gt;"",ISNUMBER(MATCH(E678,Parameter!$I$35:$I$52,0))),VLOOKUP(E678,Parameter!$I$35:$J$52,2,0),IFERROR(VLOOKUP(D678,Parameter!$A$35:$C$64,2,0),"Nein"))</f>
        <v>2+3</v>
      </c>
      <c r="BW678" s="59" t="n">
        <f aca="false">IF(BT678=0,0,IF(N(S678)&gt;0,S678,IFERROR(VLOOKUP(D678,Parameter!$A$35:$C$64,3,0)+0,0)))</f>
        <v>0</v>
      </c>
      <c r="BX678" s="55" t="n">
        <f aca="false">IF(AA678&lt;&gt;"",AA678,Z678)</f>
        <v>2</v>
      </c>
      <c r="BY678" s="55" t="str">
        <f aca="false">IF(BX678=1,"L1",IF(OR(BX678=2,BX678=3),"L23",IF(BX678="Aussen","Aussen","-")))</f>
        <v>L23</v>
      </c>
      <c r="BZ678" s="66" t="n">
        <f aca="false">IF(N(AB678)&gt;0,AB678,0)</f>
        <v>0</v>
      </c>
      <c r="CA678" s="60" t="n">
        <f aca="false">IF(ISNUMBER(AE678),1,0)</f>
        <v>0</v>
      </c>
      <c r="CB678" s="57" t="n">
        <f aca="false">N(AE678)</f>
        <v>0</v>
      </c>
      <c r="CC678" s="57" t="n">
        <f aca="false">N(M678)+N(N678)</f>
        <v>1</v>
      </c>
      <c r="CD678" s="57" t="n">
        <f aca="false">ROUNDUP(H678/BS678,0)</f>
        <v>0</v>
      </c>
      <c r="CE678" s="57" t="n">
        <f aca="false">ROUNDUP(CB678/BS678,0)</f>
        <v>0</v>
      </c>
      <c r="CF678" s="60" t="n">
        <f aca="false">IF(BT678=1,0,IFERROR(VLOOKUP(BR678,'Gebinde-Kategorie'!$A$5:$M$45,5,0)+0,0))</f>
        <v>11</v>
      </c>
      <c r="CG678" s="60" t="n">
        <f aca="false">IFERROR(IF(OR(BX678=1,BX678=2,BX678=3),N(INDEX(Parameter!$I$5:$I$7,BX678)),0),0)</f>
        <v>0</v>
      </c>
      <c r="CH678" s="59" t="n">
        <f aca="false">IF(AND(Parameter!$B$21="Ja",ISNUMBER(W678),N(X678)&gt;0),IFERROR(N(INDEX(Parameter!$L$5:$L$7,W678))*INDEX(Parameter!$E$5:$E$7,W678)*X678/SUMIFS($X$7:$X$1843,$W$7:$W$1843,W678),0),0)</f>
        <v>0</v>
      </c>
    </row>
    <row r="679" customFormat="false" ht="15" hidden="false" customHeight="false" outlineLevel="0" collapsed="false">
      <c r="A679" s="55" t="s">
        <v>1361</v>
      </c>
      <c r="B679" s="55" t="s">
        <v>1362</v>
      </c>
      <c r="C679" s="55" t="s">
        <v>164</v>
      </c>
      <c r="D679" s="55" t="s">
        <v>995</v>
      </c>
      <c r="E679" s="55"/>
      <c r="F679" s="55" t="s">
        <v>218</v>
      </c>
      <c r="G679" s="56" t="n">
        <v>3620.46</v>
      </c>
      <c r="H679" s="57" t="n">
        <f aca="false">MAX(0,IF(AND(Parameter!$B$21="Ja",ISNUMBER(Y679)),Y679,IF(Parameter!$B$20="Jahresanfang 2025 + Export",BL679+BK679,BK679)))</f>
        <v>0</v>
      </c>
      <c r="I679" s="57" t="n">
        <f aca="false">H679*G679</f>
        <v>0</v>
      </c>
      <c r="J679" s="57" t="n">
        <f aca="false">BN679*Parameter!$B$18</f>
        <v>1</v>
      </c>
      <c r="K679" s="58" t="n">
        <v>0</v>
      </c>
      <c r="L679" s="59" t="n">
        <v>0</v>
      </c>
      <c r="M679" s="57" t="n">
        <v>0</v>
      </c>
      <c r="N679" s="57" t="n">
        <v>1</v>
      </c>
      <c r="O679" s="60" t="n">
        <v>70</v>
      </c>
      <c r="P679" s="55" t="s">
        <v>168</v>
      </c>
      <c r="Q679" s="57"/>
      <c r="R679" s="60" t="n">
        <f aca="false">IF(BT679=1,0,IFERROR(VLOOKUP(BR679,'Gebinde-Kategorie'!$A$5:$M$45,13,0)+0,0))</f>
        <v>0</v>
      </c>
      <c r="S679" s="61"/>
      <c r="T679" s="62"/>
      <c r="U679" s="62"/>
      <c r="V679" s="62"/>
      <c r="W679" s="55"/>
      <c r="X679" s="57"/>
      <c r="Y679" s="57"/>
      <c r="Z679" s="55" t="str">
        <f aca="false">IF(A679="","",IF(AND(Parameter!$B$21="Ja",ISNUMBER(W679)),W679,IF(BV679="2+3",IF(ISNUMBER(SEARCH("grosser Artikel",BO679)),2,IFERROR(VLOOKUP(BR679,Parameter!$F$35:$G$64,2,0),2)),IF(OR(BV679="Nein",BV679=""),"-",BV679))))</f>
        <v>-</v>
      </c>
      <c r="AA679" s="62"/>
      <c r="AB679" s="63"/>
      <c r="AC679" s="57" t="n">
        <f aca="false">AR679</f>
        <v>1</v>
      </c>
      <c r="AD679" s="57" t="n">
        <f aca="false">MAX(AR679,H679)</f>
        <v>1</v>
      </c>
      <c r="AE679" s="64"/>
      <c r="AF679" s="57" t="n">
        <f aca="false">IF(LEFT(Cockpit!$C$5,1)="A",H679,IF(CA679=1,CB679,IF(LEFT(Cockpit!$C$5,1)="B",AJ679,MAX(AJ679,H679))))</f>
        <v>0</v>
      </c>
      <c r="AG679" s="57" t="n">
        <f aca="false">IF(BT679=1,0,ROUNDUP(AF679/BS679,0))</f>
        <v>0</v>
      </c>
      <c r="AH679" s="59" t="n">
        <f aca="false">IF(CH679&gt;0,CH679*MAX(1,AF679/X679),IF(BT679=1,IF(AF679&lt;=0,0,BW679*MAX(1,IF(H679&gt;0,AF679/H679,1))),IF(R679&gt;0,AG679/R679,0))/MAX(0.1,N(Parameter!$M$21)))</f>
        <v>0</v>
      </c>
      <c r="AI679" s="57" t="n">
        <f aca="false">AF679*G679</f>
        <v>0</v>
      </c>
      <c r="AJ679" s="57" t="n">
        <f aca="false">ROUNDUP(MAX(J679/IF(BZ679&gt;0,BZ679,MAX(0.1,N(Cockpit!$C$6))),CC679)/BS679,0)*BS679</f>
        <v>1</v>
      </c>
      <c r="AK679" s="58" t="n">
        <f aca="false">IF(AH679&gt;0,J679/AH679,-1)</f>
        <v>-1</v>
      </c>
      <c r="AL679" s="58" t="str">
        <f aca="false">IF(AND(OR(BY679="L1",BY679="L23"),AH679&gt;0),SUMIFS($AH$7:$AH$1843,$BY$7:$BY$1843,BY679,$AK$7:$AK$1843,"&gt;"&amp;AK679)+SUMIFS($AH$7:$AH$1843,$BY$7:$BY$1843,BY679,$AK$7:$AK$1843,AK679,$BQ$7:$BQ$1843,"&lt;="&amp;BQ679),"")</f>
        <v/>
      </c>
      <c r="AM679" s="65" t="n">
        <f aca="false">IF(AL679="",0,MAX(0,MIN(1,(IF(BY679="L1",Parameter!$E$5,Parameter!$E$6+Parameter!$E$7)-(AL679-AH679))/AH679)))</f>
        <v>0</v>
      </c>
      <c r="AN679" s="57" t="n">
        <f aca="false">IF(LEFT(Cockpit!$I$5,1)="A",H679,IF(CA679=1,CB679,IF(LEFT(Cockpit!$I$5,1)="B",AR679,MAX(AR679,H679))))</f>
        <v>1</v>
      </c>
      <c r="AO679" s="57" t="n">
        <f aca="false">IF(BT679=1,0,ROUNDUP(AN679/BS679,0))</f>
        <v>0</v>
      </c>
      <c r="AP679" s="59" t="n">
        <f aca="false">IF(CH679&gt;0,CH679*MAX(1,AN679/X679),IF(BT679=1,IF(AN679&lt;=0,0,BW679*MAX(1,IF(H679&gt;0,AN679/H679,1))),IF(R679&gt;0,AO679/R679,0))/MAX(0.1,N(Parameter!$M$21)))</f>
        <v>0.15</v>
      </c>
      <c r="AQ679" s="57" t="n">
        <f aca="false">AN679*G679</f>
        <v>3620.46</v>
      </c>
      <c r="AR679" s="57" t="n">
        <f aca="false">ROUNDUP(MAX(J679/IF(BZ679&gt;0,BZ679,MAX(0.1,N(Cockpit!$I$6))),CC679)/BS679,0)*BS679</f>
        <v>1</v>
      </c>
      <c r="AS679" s="58" t="n">
        <f aca="false">IF(AP679&gt;0,J679/AP679,-1)</f>
        <v>6.66666666666667</v>
      </c>
      <c r="AT679" s="58" t="str">
        <f aca="false">IF(AND(OR(BY679="L1",BY679="L23"),AP679&gt;0),SUMIFS($AP$7:$AP$1843,$BY$7:$BY$1843,BY679,$AS$7:$AS$1843,"&gt;"&amp;AS679)+SUMIFS($AP$7:$AP$1843,$BY$7:$BY$1843,BY679,$AS$7:$AS$1843,AS679,$BQ$7:$BQ$1843,"&lt;="&amp;BQ679),"")</f>
        <v/>
      </c>
      <c r="AU679" s="65" t="n">
        <f aca="false">IF(AT679="",0,MAX(0,MIN(1,(IF(BY679="L1",Parameter!$E$5,Parameter!$E$6+Parameter!$E$7)-(AT679-AP679))/AP679)))</f>
        <v>0</v>
      </c>
      <c r="AV679" s="57" t="n">
        <f aca="false">IF(LEFT(Cockpit!$O$5,1)="A",H679,IF(CA679=1,CB679,IF(LEFT(Cockpit!$O$5,1)="B",AZ679,MAX(AZ679,H679))))</f>
        <v>1</v>
      </c>
      <c r="AW679" s="57" t="n">
        <f aca="false">IF(BT679=1,0,ROUNDUP(AV679/BS679,0))</f>
        <v>0</v>
      </c>
      <c r="AX679" s="59" t="n">
        <f aca="false">IF(CH679&gt;0,CH679*MAX(1,AV679/X679),IF(BT679=1,IF(AV679&lt;=0,0,BW679*MAX(1,IF(H679&gt;0,AV679/H679,1))),IF(R679&gt;0,AW679/R679,0))/MAX(0.1,N(Parameter!$M$21)))</f>
        <v>0.15</v>
      </c>
      <c r="AY679" s="57" t="n">
        <f aca="false">AV679*G679</f>
        <v>3620.46</v>
      </c>
      <c r="AZ679" s="57" t="n">
        <f aca="false">ROUNDUP(MAX(J679/IF(BZ679&gt;0,BZ679,MAX(0.1,N(Cockpit!$O$6))),CC679)/BS679,0)*BS679</f>
        <v>1</v>
      </c>
      <c r="BA679" s="58" t="n">
        <f aca="false">IF(AX679&gt;0,J679/AX679,-1)</f>
        <v>6.66666666666667</v>
      </c>
      <c r="BB679" s="58" t="str">
        <f aca="false">IF(AND(OR(BY679="L1",BY679="L23"),AX679&gt;0),SUMIFS($AX$7:$AX$1843,$BY$7:$BY$1843,BY679,$BA$7:$BA$1843,"&gt;"&amp;BA679)+SUMIFS($AX$7:$AX$1843,$BY$7:$BY$1843,BY679,$BA$7:$BA$1843,BA679,$BQ$7:$BQ$1843,"&lt;="&amp;BQ679),"")</f>
        <v/>
      </c>
      <c r="BC679" s="65" t="n">
        <f aca="false">IF(BB679="",0,MAX(0,MIN(1,(IF(BY679="L1",Parameter!$E$5,Parameter!$E$6+Parameter!$E$7)-(BB679-AX679))/AX679)))</f>
        <v>0</v>
      </c>
      <c r="BD679" s="55" t="str">
        <f aca="false">IF(AH679&lt;=0,"",IF(BY679="Aussen","Aussenlager",IF(BY679="-","Nicht im Lift",IF(AM679&gt;=1,"Lift",IF(AM679&lt;=0,"Aussenlager","teilweise")))))</f>
        <v/>
      </c>
      <c r="BE679" s="55" t="str">
        <f aca="false">IF(AP679&lt;=0,"",IF(BY679="Aussen","Aussenlager",IF(BY679="-","Nicht im Lift",IF(AU679&gt;=1,"Lift",IF(AU679&lt;=0,"Aussenlager","teilweise")))))</f>
        <v>Nicht im Lift</v>
      </c>
      <c r="BF679" s="55" t="str">
        <f aca="false">IF(AX679&lt;=0,"",IF(BY679="Aussen","Aussenlager",IF(BY679="-","Nicht im Lift",IF(BC679&gt;=1,"Lift",IF(BC679&lt;=0,"Aussenlager","teilweise")))))</f>
        <v>Nicht im Lift</v>
      </c>
      <c r="BG679" s="55" t="str">
        <f aca="false">IF(A679="","",IF(BP679=1,"Neu; ","")&amp;IF(AND(BP679=0,BK679&lt;0),"negativer Bestand (Export "&amp;BK679&amp;"); ","")&amp;IF(J679&lt;=0,"Kein Verbrauch; ","")&amp;IF(CH679&gt;0,"Lift "&amp;W679&amp;" lt. Liftbericht (Fach "&amp;X679&amp;" Stk); ",IF(BU679=1,"Gebinde geschätzt ("&amp;T679&amp;"); ",IF(BT679=1,"Lose – Tablare geschätzt; ","")))&amp;IF(H679&gt;AR679,"Überbestand "&amp;ROUND(H679-AR679,0)&amp;" Stk / CHF "&amp;ROUND((H679-AR679)*G679,0)&amp;"; ","")&amp;IF(AND(CA679=1,CB679&lt;CC679),"MAX &lt; MB+LG; ","")&amp;IF(AND(CG679&gt;0,CF679*10&gt;CG679),"zu hoch für Tablar; ","")&amp;IF(AND(BP679=0,OR(CA679=1,AA679&lt;&gt;"",U679&lt;&gt;"",V679&lt;&gt;"",AB679&lt;&gt;"")),"manuell übersteuert; ","")&amp;IF(AND(BT679=0,R679=0),"Gebinde unbekannt / Stellmass fehlt; ","")&amp;IF(AND(BT679=0,N(V679)&lt;=0,N(Q679)&lt;=0),"Menge pro Gebinde fehlt (Ist = 1 Gebinde); ","")&amp;BO679)</f>
        <v>Lose – Tablare geschätzt; </v>
      </c>
      <c r="BH679" s="55"/>
      <c r="BI679" s="55"/>
      <c r="BJ679" s="62"/>
      <c r="BK679" s="57" t="n">
        <v>0</v>
      </c>
      <c r="BL679" s="57" t="n">
        <v>0</v>
      </c>
      <c r="BM679" s="56" t="n">
        <v>0</v>
      </c>
      <c r="BN679" s="57" t="n">
        <v>1</v>
      </c>
      <c r="BO679" s="55"/>
      <c r="BP679" s="60" t="n">
        <v>0</v>
      </c>
      <c r="BQ679" s="60" t="n">
        <v>679</v>
      </c>
      <c r="BR679" s="55" t="str">
        <f aca="false">IF(U679&lt;&gt;"",UPPER(TRIM(U679)),IF(BU679=1,UPPER(VLOOKUP(T679,Parameter!$I$27:$K$29,2,0)),IF(P679="","LOSE",P679)))</f>
        <v>LOSE</v>
      </c>
      <c r="BS679" s="57" t="n">
        <f aca="false">IF(BR679="LOSE",1,IF(N(V679)&gt;0,V679,IF(BU679=1,MAX(1,N(VLOOKUP(T679,Parameter!$I$27:$K$29,3,0)),H679,N(N679)),IF(N(Q679)&gt;0,Q679,MAX(1,H679)))))</f>
        <v>1</v>
      </c>
      <c r="BT679" s="60" t="n">
        <f aca="false">IF(BR679="LOSE",1,0)</f>
        <v>1</v>
      </c>
      <c r="BU679" s="60" t="n">
        <f aca="false">IF(AND(U679="",OR(P679="",P679="LOSE"),T679&lt;&gt;"",N(S679)&lt;=0,ISNUMBER(MATCH(T679,Parameter!$I$27:$I$29,0))),1,0)</f>
        <v>0</v>
      </c>
      <c r="BV679" s="55" t="str">
        <f aca="false">IF(AND(Parameter!$B$19="Ja",E679&lt;&gt;"",ISNUMBER(MATCH(E679,Parameter!$I$35:$I$52,0))),VLOOKUP(E679,Parameter!$I$35:$J$52,2,0),IFERROR(VLOOKUP(D679,Parameter!$A$35:$C$64,2,0),"Nein"))</f>
        <v>Nein</v>
      </c>
      <c r="BW679" s="59" t="n">
        <f aca="false">IF(BT679=0,0,IF(N(S679)&gt;0,S679,IFERROR(VLOOKUP(D679,Parameter!$A$35:$C$64,3,0)+0,0)))</f>
        <v>0.15</v>
      </c>
      <c r="BX679" s="55" t="str">
        <f aca="false">IF(AA679&lt;&gt;"",AA679,Z679)</f>
        <v>-</v>
      </c>
      <c r="BY679" s="55" t="str">
        <f aca="false">IF(BX679=1,"L1",IF(OR(BX679=2,BX679=3),"L23",IF(BX679="Aussen","Aussen","-")))</f>
        <v>-</v>
      </c>
      <c r="BZ679" s="66" t="n">
        <f aca="false">IF(N(AB679)&gt;0,AB679,0)</f>
        <v>0</v>
      </c>
      <c r="CA679" s="60" t="n">
        <f aca="false">IF(ISNUMBER(AE679),1,0)</f>
        <v>0</v>
      </c>
      <c r="CB679" s="57" t="n">
        <f aca="false">N(AE679)</f>
        <v>0</v>
      </c>
      <c r="CC679" s="57" t="n">
        <f aca="false">N(M679)+N(N679)</f>
        <v>1</v>
      </c>
      <c r="CD679" s="57" t="n">
        <f aca="false">ROUNDUP(H679/BS679,0)</f>
        <v>0</v>
      </c>
      <c r="CE679" s="57" t="n">
        <f aca="false">ROUNDUP(CB679/BS679,0)</f>
        <v>0</v>
      </c>
      <c r="CF679" s="60" t="n">
        <f aca="false">IF(BT679=1,0,IFERROR(VLOOKUP(BR679,'Gebinde-Kategorie'!$A$5:$M$45,5,0)+0,0))</f>
        <v>0</v>
      </c>
      <c r="CG679" s="60" t="n">
        <f aca="false">IFERROR(IF(OR(BX679=1,BX679=2,BX679=3),N(INDEX(Parameter!$I$5:$I$7,BX679)),0),0)</f>
        <v>0</v>
      </c>
      <c r="CH679" s="59" t="n">
        <f aca="false">IF(AND(Parameter!$B$21="Ja",ISNUMBER(W679),N(X679)&gt;0),IFERROR(N(INDEX(Parameter!$L$5:$L$7,W679))*INDEX(Parameter!$E$5:$E$7,W679)*X679/SUMIFS($X$7:$X$1843,$W$7:$W$1843,W679),0),0)</f>
        <v>0</v>
      </c>
    </row>
    <row r="680" customFormat="false" ht="15" hidden="false" customHeight="false" outlineLevel="0" collapsed="false">
      <c r="A680" s="55" t="s">
        <v>1363</v>
      </c>
      <c r="B680" s="55" t="s">
        <v>1347</v>
      </c>
      <c r="C680" s="55" t="s">
        <v>164</v>
      </c>
      <c r="D680" s="55" t="s">
        <v>995</v>
      </c>
      <c r="E680" s="55"/>
      <c r="F680" s="55" t="s">
        <v>218</v>
      </c>
      <c r="G680" s="56" t="n">
        <v>164.77</v>
      </c>
      <c r="H680" s="57" t="n">
        <f aca="false">MAX(0,IF(AND(Parameter!$B$21="Ja",ISNUMBER(Y680)),Y680,IF(Parameter!$B$20="Jahresanfang 2025 + Export",BL680+BK680,BK680)))</f>
        <v>0</v>
      </c>
      <c r="I680" s="57" t="n">
        <f aca="false">H680*G680</f>
        <v>0</v>
      </c>
      <c r="J680" s="57" t="n">
        <f aca="false">BN680*Parameter!$B$18</f>
        <v>3</v>
      </c>
      <c r="K680" s="58" t="n">
        <v>0</v>
      </c>
      <c r="L680" s="59" t="n">
        <v>0</v>
      </c>
      <c r="M680" s="57" t="n">
        <v>0</v>
      </c>
      <c r="N680" s="57" t="n">
        <v>1</v>
      </c>
      <c r="O680" s="60" t="n">
        <v>105</v>
      </c>
      <c r="P680" s="55" t="s">
        <v>168</v>
      </c>
      <c r="Q680" s="57"/>
      <c r="R680" s="60" t="n">
        <f aca="false">IF(BT680=1,0,IFERROR(VLOOKUP(BR680,'Gebinde-Kategorie'!$A$5:$M$45,13,0)+0,0))</f>
        <v>0</v>
      </c>
      <c r="S680" s="61"/>
      <c r="T680" s="62"/>
      <c r="U680" s="62"/>
      <c r="V680" s="62"/>
      <c r="W680" s="55"/>
      <c r="X680" s="57"/>
      <c r="Y680" s="57"/>
      <c r="Z680" s="55" t="str">
        <f aca="false">IF(A680="","",IF(AND(Parameter!$B$21="Ja",ISNUMBER(W680)),W680,IF(BV680="2+3",IF(ISNUMBER(SEARCH("grosser Artikel",BO680)),2,IFERROR(VLOOKUP(BR680,Parameter!$F$35:$G$64,2,0),2)),IF(OR(BV680="Nein",BV680=""),"-",BV680))))</f>
        <v>-</v>
      </c>
      <c r="AA680" s="62"/>
      <c r="AB680" s="63"/>
      <c r="AC680" s="57" t="n">
        <f aca="false">AR680</f>
        <v>2</v>
      </c>
      <c r="AD680" s="57" t="n">
        <f aca="false">MAX(AR680,H680)</f>
        <v>2</v>
      </c>
      <c r="AE680" s="64"/>
      <c r="AF680" s="57" t="n">
        <f aca="false">IF(LEFT(Cockpit!$C$5,1)="A",H680,IF(CA680=1,CB680,IF(LEFT(Cockpit!$C$5,1)="B",AJ680,MAX(AJ680,H680))))</f>
        <v>0</v>
      </c>
      <c r="AG680" s="57" t="n">
        <f aca="false">IF(BT680=1,0,ROUNDUP(AF680/BS680,0))</f>
        <v>0</v>
      </c>
      <c r="AH680" s="59" t="n">
        <f aca="false">IF(CH680&gt;0,CH680*MAX(1,AF680/X680),IF(BT680=1,IF(AF680&lt;=0,0,BW680*MAX(1,IF(H680&gt;0,AF680/H680,1))),IF(R680&gt;0,AG680/R680,0))/MAX(0.1,N(Parameter!$M$21)))</f>
        <v>0</v>
      </c>
      <c r="AI680" s="57" t="n">
        <f aca="false">AF680*G680</f>
        <v>0</v>
      </c>
      <c r="AJ680" s="57" t="n">
        <f aca="false">ROUNDUP(MAX(J680/IF(BZ680&gt;0,BZ680,MAX(0.1,N(Cockpit!$C$6))),CC680)/BS680,0)*BS680</f>
        <v>2</v>
      </c>
      <c r="AK680" s="58" t="n">
        <f aca="false">IF(AH680&gt;0,J680/AH680,-1)</f>
        <v>-1</v>
      </c>
      <c r="AL680" s="58" t="str">
        <f aca="false">IF(AND(OR(BY680="L1",BY680="L23"),AH680&gt;0),SUMIFS($AH$7:$AH$1843,$BY$7:$BY$1843,BY680,$AK$7:$AK$1843,"&gt;"&amp;AK680)+SUMIFS($AH$7:$AH$1843,$BY$7:$BY$1843,BY680,$AK$7:$AK$1843,AK680,$BQ$7:$BQ$1843,"&lt;="&amp;BQ680),"")</f>
        <v/>
      </c>
      <c r="AM680" s="65" t="n">
        <f aca="false">IF(AL680="",0,MAX(0,MIN(1,(IF(BY680="L1",Parameter!$E$5,Parameter!$E$6+Parameter!$E$7)-(AL680-AH680))/AH680)))</f>
        <v>0</v>
      </c>
      <c r="AN680" s="57" t="n">
        <f aca="false">IF(LEFT(Cockpit!$I$5,1)="A",H680,IF(CA680=1,CB680,IF(LEFT(Cockpit!$I$5,1)="B",AR680,MAX(AR680,H680))))</f>
        <v>2</v>
      </c>
      <c r="AO680" s="57" t="n">
        <f aca="false">IF(BT680=1,0,ROUNDUP(AN680/BS680,0))</f>
        <v>0</v>
      </c>
      <c r="AP680" s="59" t="n">
        <f aca="false">IF(CH680&gt;0,CH680*MAX(1,AN680/X680),IF(BT680=1,IF(AN680&lt;=0,0,BW680*MAX(1,IF(H680&gt;0,AN680/H680,1))),IF(R680&gt;0,AO680/R680,0))/MAX(0.1,N(Parameter!$M$21)))</f>
        <v>0.15</v>
      </c>
      <c r="AQ680" s="57" t="n">
        <f aca="false">AN680*G680</f>
        <v>329.54</v>
      </c>
      <c r="AR680" s="57" t="n">
        <f aca="false">ROUNDUP(MAX(J680/IF(BZ680&gt;0,BZ680,MAX(0.1,N(Cockpit!$I$6))),CC680)/BS680,0)*BS680</f>
        <v>2</v>
      </c>
      <c r="AS680" s="58" t="n">
        <f aca="false">IF(AP680&gt;0,J680/AP680,-1)</f>
        <v>20</v>
      </c>
      <c r="AT680" s="58" t="str">
        <f aca="false">IF(AND(OR(BY680="L1",BY680="L23"),AP680&gt;0),SUMIFS($AP$7:$AP$1843,$BY$7:$BY$1843,BY680,$AS$7:$AS$1843,"&gt;"&amp;AS680)+SUMIFS($AP$7:$AP$1843,$BY$7:$BY$1843,BY680,$AS$7:$AS$1843,AS680,$BQ$7:$BQ$1843,"&lt;="&amp;BQ680),"")</f>
        <v/>
      </c>
      <c r="AU680" s="65" t="n">
        <f aca="false">IF(AT680="",0,MAX(0,MIN(1,(IF(BY680="L1",Parameter!$E$5,Parameter!$E$6+Parameter!$E$7)-(AT680-AP680))/AP680)))</f>
        <v>0</v>
      </c>
      <c r="AV680" s="57" t="n">
        <f aca="false">IF(LEFT(Cockpit!$O$5,1)="A",H680,IF(CA680=1,CB680,IF(LEFT(Cockpit!$O$5,1)="B",AZ680,MAX(AZ680,H680))))</f>
        <v>1</v>
      </c>
      <c r="AW680" s="57" t="n">
        <f aca="false">IF(BT680=1,0,ROUNDUP(AV680/BS680,0))</f>
        <v>0</v>
      </c>
      <c r="AX680" s="59" t="n">
        <f aca="false">IF(CH680&gt;0,CH680*MAX(1,AV680/X680),IF(BT680=1,IF(AV680&lt;=0,0,BW680*MAX(1,IF(H680&gt;0,AV680/H680,1))),IF(R680&gt;0,AW680/R680,0))/MAX(0.1,N(Parameter!$M$21)))</f>
        <v>0.15</v>
      </c>
      <c r="AY680" s="57" t="n">
        <f aca="false">AV680*G680</f>
        <v>164.77</v>
      </c>
      <c r="AZ680" s="57" t="n">
        <f aca="false">ROUNDUP(MAX(J680/IF(BZ680&gt;0,BZ680,MAX(0.1,N(Cockpit!$O$6))),CC680)/BS680,0)*BS680</f>
        <v>1</v>
      </c>
      <c r="BA680" s="58" t="n">
        <f aca="false">IF(AX680&gt;0,J680/AX680,-1)</f>
        <v>20</v>
      </c>
      <c r="BB680" s="58" t="str">
        <f aca="false">IF(AND(OR(BY680="L1",BY680="L23"),AX680&gt;0),SUMIFS($AX$7:$AX$1843,$BY$7:$BY$1843,BY680,$BA$7:$BA$1843,"&gt;"&amp;BA680)+SUMIFS($AX$7:$AX$1843,$BY$7:$BY$1843,BY680,$BA$7:$BA$1843,BA680,$BQ$7:$BQ$1843,"&lt;="&amp;BQ680),"")</f>
        <v/>
      </c>
      <c r="BC680" s="65" t="n">
        <f aca="false">IF(BB680="",0,MAX(0,MIN(1,(IF(BY680="L1",Parameter!$E$5,Parameter!$E$6+Parameter!$E$7)-(BB680-AX680))/AX680)))</f>
        <v>0</v>
      </c>
      <c r="BD680" s="55" t="str">
        <f aca="false">IF(AH680&lt;=0,"",IF(BY680="Aussen","Aussenlager",IF(BY680="-","Nicht im Lift",IF(AM680&gt;=1,"Lift",IF(AM680&lt;=0,"Aussenlager","teilweise")))))</f>
        <v/>
      </c>
      <c r="BE680" s="55" t="str">
        <f aca="false">IF(AP680&lt;=0,"",IF(BY680="Aussen","Aussenlager",IF(BY680="-","Nicht im Lift",IF(AU680&gt;=1,"Lift",IF(AU680&lt;=0,"Aussenlager","teilweise")))))</f>
        <v>Nicht im Lift</v>
      </c>
      <c r="BF680" s="55" t="str">
        <f aca="false">IF(AX680&lt;=0,"",IF(BY680="Aussen","Aussenlager",IF(BY680="-","Nicht im Lift",IF(BC680&gt;=1,"Lift",IF(BC680&lt;=0,"Aussenlager","teilweise")))))</f>
        <v>Nicht im Lift</v>
      </c>
      <c r="BG680" s="55" t="str">
        <f aca="false">IF(A680="","",IF(BP680=1,"Neu; ","")&amp;IF(AND(BP680=0,BK680&lt;0),"negativer Bestand (Export "&amp;BK680&amp;"); ","")&amp;IF(J680&lt;=0,"Kein Verbrauch; ","")&amp;IF(CH680&gt;0,"Lift "&amp;W680&amp;" lt. Liftbericht (Fach "&amp;X680&amp;" Stk); ",IF(BU680=1,"Gebinde geschätzt ("&amp;T680&amp;"); ",IF(BT680=1,"Lose – Tablare geschätzt; ","")))&amp;IF(H680&gt;AR680,"Überbestand "&amp;ROUND(H680-AR680,0)&amp;" Stk / CHF "&amp;ROUND((H680-AR680)*G680,0)&amp;"; ","")&amp;IF(AND(CA680=1,CB680&lt;CC680),"MAX &lt; MB+LG; ","")&amp;IF(AND(CG680&gt;0,CF680*10&gt;CG680),"zu hoch für Tablar; ","")&amp;IF(AND(BP680=0,OR(CA680=1,AA680&lt;&gt;"",U680&lt;&gt;"",V680&lt;&gt;"",AB680&lt;&gt;"")),"manuell übersteuert; ","")&amp;IF(AND(BT680=0,R680=0),"Gebinde unbekannt / Stellmass fehlt; ","")&amp;IF(AND(BT680=0,N(V680)&lt;=0,N(Q680)&lt;=0),"Menge pro Gebinde fehlt (Ist = 1 Gebinde); ","")&amp;BO680)</f>
        <v>Lose – Tablare geschätzt; </v>
      </c>
      <c r="BH680" s="55"/>
      <c r="BI680" s="55"/>
      <c r="BJ680" s="62"/>
      <c r="BK680" s="57" t="n">
        <v>0</v>
      </c>
      <c r="BL680" s="57" t="n">
        <v>0</v>
      </c>
      <c r="BM680" s="56" t="n">
        <v>0</v>
      </c>
      <c r="BN680" s="57" t="n">
        <v>3</v>
      </c>
      <c r="BO680" s="55"/>
      <c r="BP680" s="60" t="n">
        <v>0</v>
      </c>
      <c r="BQ680" s="60" t="n">
        <v>680</v>
      </c>
      <c r="BR680" s="55" t="str">
        <f aca="false">IF(U680&lt;&gt;"",UPPER(TRIM(U680)),IF(BU680=1,UPPER(VLOOKUP(T680,Parameter!$I$27:$K$29,2,0)),IF(P680="","LOSE",P680)))</f>
        <v>LOSE</v>
      </c>
      <c r="BS680" s="57" t="n">
        <f aca="false">IF(BR680="LOSE",1,IF(N(V680)&gt;0,V680,IF(BU680=1,MAX(1,N(VLOOKUP(T680,Parameter!$I$27:$K$29,3,0)),H680,N(N680)),IF(N(Q680)&gt;0,Q680,MAX(1,H680)))))</f>
        <v>1</v>
      </c>
      <c r="BT680" s="60" t="n">
        <f aca="false">IF(BR680="LOSE",1,0)</f>
        <v>1</v>
      </c>
      <c r="BU680" s="60" t="n">
        <f aca="false">IF(AND(U680="",OR(P680="",P680="LOSE"),T680&lt;&gt;"",N(S680)&lt;=0,ISNUMBER(MATCH(T680,Parameter!$I$27:$I$29,0))),1,0)</f>
        <v>0</v>
      </c>
      <c r="BV680" s="55" t="str">
        <f aca="false">IF(AND(Parameter!$B$19="Ja",E680&lt;&gt;"",ISNUMBER(MATCH(E680,Parameter!$I$35:$I$52,0))),VLOOKUP(E680,Parameter!$I$35:$J$52,2,0),IFERROR(VLOOKUP(D680,Parameter!$A$35:$C$64,2,0),"Nein"))</f>
        <v>Nein</v>
      </c>
      <c r="BW680" s="59" t="n">
        <f aca="false">IF(BT680=0,0,IF(N(S680)&gt;0,S680,IFERROR(VLOOKUP(D680,Parameter!$A$35:$C$64,3,0)+0,0)))</f>
        <v>0.15</v>
      </c>
      <c r="BX680" s="55" t="str">
        <f aca="false">IF(AA680&lt;&gt;"",AA680,Z680)</f>
        <v>-</v>
      </c>
      <c r="BY680" s="55" t="str">
        <f aca="false">IF(BX680=1,"L1",IF(OR(BX680=2,BX680=3),"L23",IF(BX680="Aussen","Aussen","-")))</f>
        <v>-</v>
      </c>
      <c r="BZ680" s="66" t="n">
        <f aca="false">IF(N(AB680)&gt;0,AB680,0)</f>
        <v>0</v>
      </c>
      <c r="CA680" s="60" t="n">
        <f aca="false">IF(ISNUMBER(AE680),1,0)</f>
        <v>0</v>
      </c>
      <c r="CB680" s="57" t="n">
        <f aca="false">N(AE680)</f>
        <v>0</v>
      </c>
      <c r="CC680" s="57" t="n">
        <f aca="false">N(M680)+N(N680)</f>
        <v>1</v>
      </c>
      <c r="CD680" s="57" t="n">
        <f aca="false">ROUNDUP(H680/BS680,0)</f>
        <v>0</v>
      </c>
      <c r="CE680" s="57" t="n">
        <f aca="false">ROUNDUP(CB680/BS680,0)</f>
        <v>0</v>
      </c>
      <c r="CF680" s="60" t="n">
        <f aca="false">IF(BT680=1,0,IFERROR(VLOOKUP(BR680,'Gebinde-Kategorie'!$A$5:$M$45,5,0)+0,0))</f>
        <v>0</v>
      </c>
      <c r="CG680" s="60" t="n">
        <f aca="false">IFERROR(IF(OR(BX680=1,BX680=2,BX680=3),N(INDEX(Parameter!$I$5:$I$7,BX680)),0),0)</f>
        <v>0</v>
      </c>
      <c r="CH680" s="59" t="n">
        <f aca="false">IF(AND(Parameter!$B$21="Ja",ISNUMBER(W680),N(X680)&gt;0),IFERROR(N(INDEX(Parameter!$L$5:$L$7,W680))*INDEX(Parameter!$E$5:$E$7,W680)*X680/SUMIFS($X$7:$X$1843,$W$7:$W$1843,W680),0),0)</f>
        <v>0</v>
      </c>
    </row>
    <row r="681" customFormat="false" ht="15" hidden="false" customHeight="false" outlineLevel="0" collapsed="false">
      <c r="A681" s="55" t="s">
        <v>1364</v>
      </c>
      <c r="B681" s="55" t="s">
        <v>1365</v>
      </c>
      <c r="C681" s="55" t="s">
        <v>164</v>
      </c>
      <c r="D681" s="55" t="s">
        <v>184</v>
      </c>
      <c r="E681" s="55"/>
      <c r="F681" s="55" t="s">
        <v>218</v>
      </c>
      <c r="G681" s="56" t="n">
        <v>106.32</v>
      </c>
      <c r="H681" s="57" t="n">
        <f aca="false">MAX(0,IF(AND(Parameter!$B$21="Ja",ISNUMBER(Y681)),Y681,IF(Parameter!$B$20="Jahresanfang 2025 + Export",BL681+BK681,BK681)))</f>
        <v>0</v>
      </c>
      <c r="I681" s="57" t="n">
        <f aca="false">H681*G681</f>
        <v>0</v>
      </c>
      <c r="J681" s="57" t="n">
        <f aca="false">BN681*Parameter!$B$18</f>
        <v>2</v>
      </c>
      <c r="K681" s="58" t="n">
        <v>0</v>
      </c>
      <c r="L681" s="59" t="n">
        <v>0</v>
      </c>
      <c r="M681" s="57" t="n">
        <v>0</v>
      </c>
      <c r="N681" s="57" t="n">
        <v>1</v>
      </c>
      <c r="O681" s="60" t="n">
        <v>28</v>
      </c>
      <c r="P681" s="55" t="s">
        <v>168</v>
      </c>
      <c r="Q681" s="57"/>
      <c r="R681" s="60" t="n">
        <f aca="false">IF(BT681=1,0,IFERROR(VLOOKUP(BR681,'Gebinde-Kategorie'!$A$5:$M$45,13,0)+0,0))</f>
        <v>26</v>
      </c>
      <c r="S681" s="61"/>
      <c r="T681" s="62" t="s">
        <v>275</v>
      </c>
      <c r="U681" s="62"/>
      <c r="V681" s="62"/>
      <c r="W681" s="55"/>
      <c r="X681" s="57"/>
      <c r="Y681" s="57"/>
      <c r="Z681" s="55" t="n">
        <f aca="false">IF(A681="","",IF(AND(Parameter!$B$21="Ja",ISNUMBER(W681)),W681,IF(BV681="2+3",IF(ISNUMBER(SEARCH("grosser Artikel",BO681)),2,IFERROR(VLOOKUP(BR681,Parameter!$F$35:$G$64,2,0),2)),IF(OR(BV681="Nein",BV681=""),"-",BV681))))</f>
        <v>3</v>
      </c>
      <c r="AA681" s="62"/>
      <c r="AB681" s="63"/>
      <c r="AC681" s="57" t="n">
        <f aca="false">AR681</f>
        <v>20</v>
      </c>
      <c r="AD681" s="57" t="n">
        <f aca="false">MAX(AR681,H681)</f>
        <v>20</v>
      </c>
      <c r="AE681" s="64"/>
      <c r="AF681" s="57" t="n">
        <f aca="false">IF(LEFT(Cockpit!$C$5,1)="A",H681,IF(CA681=1,CB681,IF(LEFT(Cockpit!$C$5,1)="B",AJ681,MAX(AJ681,H681))))</f>
        <v>0</v>
      </c>
      <c r="AG681" s="57" t="n">
        <f aca="false">IF(BT681=1,0,ROUNDUP(AF681/BS681,0))</f>
        <v>0</v>
      </c>
      <c r="AH681" s="59" t="n">
        <f aca="false">IF(CH681&gt;0,CH681*MAX(1,AF681/X681),IF(BT681=1,IF(AF681&lt;=0,0,BW681*MAX(1,IF(H681&gt;0,AF681/H681,1))),IF(R681&gt;0,AG681/R681,0))/MAX(0.1,N(Parameter!$M$21)))</f>
        <v>0</v>
      </c>
      <c r="AI681" s="57" t="n">
        <f aca="false">AF681*G681</f>
        <v>0</v>
      </c>
      <c r="AJ681" s="57" t="n">
        <f aca="false">ROUNDUP(MAX(J681/IF(BZ681&gt;0,BZ681,MAX(0.1,N(Cockpit!$C$6))),CC681)/BS681,0)*BS681</f>
        <v>20</v>
      </c>
      <c r="AK681" s="58" t="n">
        <f aca="false">IF(AH681&gt;0,J681/AH681,-1)</f>
        <v>-1</v>
      </c>
      <c r="AL681" s="58" t="str">
        <f aca="false">IF(AND(OR(BY681="L1",BY681="L23"),AH681&gt;0),SUMIFS($AH$7:$AH$1843,$BY$7:$BY$1843,BY681,$AK$7:$AK$1843,"&gt;"&amp;AK681)+SUMIFS($AH$7:$AH$1843,$BY$7:$BY$1843,BY681,$AK$7:$AK$1843,AK681,$BQ$7:$BQ$1843,"&lt;="&amp;BQ681),"")</f>
        <v/>
      </c>
      <c r="AM681" s="65" t="n">
        <f aca="false">IF(AL681="",0,MAX(0,MIN(1,(IF(BY681="L1",Parameter!$E$5,Parameter!$E$6+Parameter!$E$7)-(AL681-AH681))/AH681)))</f>
        <v>0</v>
      </c>
      <c r="AN681" s="57" t="n">
        <f aca="false">IF(LEFT(Cockpit!$I$5,1)="A",H681,IF(CA681=1,CB681,IF(LEFT(Cockpit!$I$5,1)="B",AR681,MAX(AR681,H681))))</f>
        <v>20</v>
      </c>
      <c r="AO681" s="57" t="n">
        <f aca="false">IF(BT681=1,0,ROUNDUP(AN681/BS681,0))</f>
        <v>1</v>
      </c>
      <c r="AP681" s="59" t="n">
        <f aca="false">IF(CH681&gt;0,CH681*MAX(1,AN681/X681),IF(BT681=1,IF(AN681&lt;=0,0,BW681*MAX(1,IF(H681&gt;0,AN681/H681,1))),IF(R681&gt;0,AO681/R681,0))/MAX(0.1,N(Parameter!$M$21)))</f>
        <v>0.0384615384615385</v>
      </c>
      <c r="AQ681" s="57" t="n">
        <f aca="false">AN681*G681</f>
        <v>2126.4</v>
      </c>
      <c r="AR681" s="57" t="n">
        <f aca="false">ROUNDUP(MAX(J681/IF(BZ681&gt;0,BZ681,MAX(0.1,N(Cockpit!$I$6))),CC681)/BS681,0)*BS681</f>
        <v>20</v>
      </c>
      <c r="AS681" s="58" t="n">
        <f aca="false">IF(AP681&gt;0,J681/AP681,-1)</f>
        <v>52</v>
      </c>
      <c r="AT681" s="58" t="n">
        <f aca="false">IF(AND(OR(BY681="L1",BY681="L23"),AP681&gt;0),SUMIFS($AP$7:$AP$1843,$BY$7:$BY$1843,BY681,$AS$7:$AS$1843,"&gt;"&amp;AS681)+SUMIFS($AP$7:$AP$1843,$BY$7:$BY$1843,BY681,$AS$7:$AS$1843,AS681,$BQ$7:$BQ$1843,"&lt;="&amp;BQ681),"")</f>
        <v>67.3001841154015</v>
      </c>
      <c r="AU681" s="65" t="n">
        <f aca="false">IF(AT681="",0,MAX(0,MIN(1,(IF(BY681="L1",Parameter!$E$5,Parameter!$E$6+Parameter!$E$7)-(AT681-AP681))/AP681)))</f>
        <v>1</v>
      </c>
      <c r="AV681" s="57" t="n">
        <f aca="false">IF(LEFT(Cockpit!$O$5,1)="A",H681,IF(CA681=1,CB681,IF(LEFT(Cockpit!$O$5,1)="B",AZ681,MAX(AZ681,H681))))</f>
        <v>20</v>
      </c>
      <c r="AW681" s="57" t="n">
        <f aca="false">IF(BT681=1,0,ROUNDUP(AV681/BS681,0))</f>
        <v>1</v>
      </c>
      <c r="AX681" s="59" t="n">
        <f aca="false">IF(CH681&gt;0,CH681*MAX(1,AV681/X681),IF(BT681=1,IF(AV681&lt;=0,0,BW681*MAX(1,IF(H681&gt;0,AV681/H681,1))),IF(R681&gt;0,AW681/R681,0))/MAX(0.1,N(Parameter!$M$21)))</f>
        <v>0.0384615384615385</v>
      </c>
      <c r="AY681" s="57" t="n">
        <f aca="false">AV681*G681</f>
        <v>2126.4</v>
      </c>
      <c r="AZ681" s="57" t="n">
        <f aca="false">ROUNDUP(MAX(J681/IF(BZ681&gt;0,BZ681,MAX(0.1,N(Cockpit!$O$6))),CC681)/BS681,0)*BS681</f>
        <v>20</v>
      </c>
      <c r="BA681" s="58" t="n">
        <f aca="false">IF(AX681&gt;0,J681/AX681,-1)</f>
        <v>52</v>
      </c>
      <c r="BB681" s="58" t="n">
        <f aca="false">IF(AND(OR(BY681="L1",BY681="L23"),AX681&gt;0),SUMIFS($AX$7:$AX$1843,$BY$7:$BY$1843,BY681,$BA$7:$BA$1843,"&gt;"&amp;BA681)+SUMIFS($AX$7:$AX$1843,$BY$7:$BY$1843,BY681,$BA$7:$BA$1843,BA681,$BQ$7:$BQ$1843,"&lt;="&amp;BQ681),"")</f>
        <v>61.796687611905</v>
      </c>
      <c r="BC681" s="65" t="n">
        <f aca="false">IF(BB681="",0,MAX(0,MIN(1,(IF(BY681="L1",Parameter!$E$5,Parameter!$E$6+Parameter!$E$7)-(BB681-AX681))/AX681)))</f>
        <v>1</v>
      </c>
      <c r="BD681" s="55" t="str">
        <f aca="false">IF(AH681&lt;=0,"",IF(BY681="Aussen","Aussenlager",IF(BY681="-","Nicht im Lift",IF(AM681&gt;=1,"Lift",IF(AM681&lt;=0,"Aussenlager","teilweise")))))</f>
        <v/>
      </c>
      <c r="BE681" s="55" t="str">
        <f aca="false">IF(AP681&lt;=0,"",IF(BY681="Aussen","Aussenlager",IF(BY681="-","Nicht im Lift",IF(AU681&gt;=1,"Lift",IF(AU681&lt;=0,"Aussenlager","teilweise")))))</f>
        <v>Lift</v>
      </c>
      <c r="BF681" s="55" t="str">
        <f aca="false">IF(AX681&lt;=0,"",IF(BY681="Aussen","Aussenlager",IF(BY681="-","Nicht im Lift",IF(BC681&gt;=1,"Lift",IF(BC681&lt;=0,"Aussenlager","teilweise")))))</f>
        <v>Lift</v>
      </c>
      <c r="BG681" s="55" t="str">
        <f aca="false">IF(A681="","",IF(BP681=1,"Neu; ","")&amp;IF(AND(BP681=0,BK681&lt;0),"negativer Bestand (Export "&amp;BK681&amp;"); ","")&amp;IF(J681&lt;=0,"Kein Verbrauch; ","")&amp;IF(CH681&gt;0,"Lift "&amp;W681&amp;" lt. Liftbericht (Fach "&amp;X681&amp;" Stk); ",IF(BU681=1,"Gebinde geschätzt ("&amp;T681&amp;"); ",IF(BT681=1,"Lose – Tablare geschätzt; ","")))&amp;IF(H681&gt;AR681,"Überbestand "&amp;ROUND(H681-AR681,0)&amp;" Stk / CHF "&amp;ROUND((H681-AR681)*G681,0)&amp;"; ","")&amp;IF(AND(CA681=1,CB681&lt;CC681),"MAX &lt; MB+LG; ","")&amp;IF(AND(CG681&gt;0,CF681*10&gt;CG681),"zu hoch für Tablar; ","")&amp;IF(AND(BP681=0,OR(CA681=1,AA681&lt;&gt;"",U681&lt;&gt;"",V681&lt;&gt;"",AB681&lt;&gt;"")),"manuell übersteuert; ","")&amp;IF(AND(BT681=0,R681=0),"Gebinde unbekannt / Stellmass fehlt; ","")&amp;IF(AND(BT681=0,N(V681)&lt;=0,N(Q681)&lt;=0),"Menge pro Gebinde fehlt (Ist = 1 Gebinde); ","")&amp;BO681)</f>
        <v>Gebinde geschätzt (Klein); Menge pro Gebinde fehlt (Ist = 1 Gebinde); </v>
      </c>
      <c r="BH681" s="55"/>
      <c r="BI681" s="55"/>
      <c r="BJ681" s="62"/>
      <c r="BK681" s="57" t="n">
        <v>0</v>
      </c>
      <c r="BL681" s="57" t="n">
        <v>0</v>
      </c>
      <c r="BM681" s="56" t="n">
        <v>0</v>
      </c>
      <c r="BN681" s="57" t="n">
        <v>2</v>
      </c>
      <c r="BO681" s="55"/>
      <c r="BP681" s="60" t="n">
        <v>0</v>
      </c>
      <c r="BQ681" s="60" t="n">
        <v>681</v>
      </c>
      <c r="BR681" s="55" t="str">
        <f aca="false">IF(U681&lt;&gt;"",UPPER(TRIM(U681)),IF(BU681=1,UPPER(VLOOKUP(T681,Parameter!$I$27:$K$29,2,0)),IF(P681="","LOSE",P681)))</f>
        <v>S51</v>
      </c>
      <c r="BS681" s="57" t="n">
        <f aca="false">IF(BR681="LOSE",1,IF(N(V681)&gt;0,V681,IF(BU681=1,MAX(1,N(VLOOKUP(T681,Parameter!$I$27:$K$29,3,0)),H681,N(N681)),IF(N(Q681)&gt;0,Q681,MAX(1,H681)))))</f>
        <v>20</v>
      </c>
      <c r="BT681" s="60" t="n">
        <f aca="false">IF(BR681="LOSE",1,0)</f>
        <v>0</v>
      </c>
      <c r="BU681" s="60" t="n">
        <f aca="false">IF(AND(U681="",OR(P681="",P681="LOSE"),T681&lt;&gt;"",N(S681)&lt;=0,ISNUMBER(MATCH(T681,Parameter!$I$27:$I$29,0))),1,0)</f>
        <v>1</v>
      </c>
      <c r="BV681" s="55" t="str">
        <f aca="false">IF(AND(Parameter!$B$19="Ja",E681&lt;&gt;"",ISNUMBER(MATCH(E681,Parameter!$I$35:$I$52,0))),VLOOKUP(E681,Parameter!$I$35:$J$52,2,0),IFERROR(VLOOKUP(D681,Parameter!$A$35:$C$64,2,0),"Nein"))</f>
        <v>2+3</v>
      </c>
      <c r="BW681" s="59" t="n">
        <f aca="false">IF(BT681=0,0,IF(N(S681)&gt;0,S681,IFERROR(VLOOKUP(D681,Parameter!$A$35:$C$64,3,0)+0,0)))</f>
        <v>0</v>
      </c>
      <c r="BX681" s="55" t="n">
        <f aca="false">IF(AA681&lt;&gt;"",AA681,Z681)</f>
        <v>3</v>
      </c>
      <c r="BY681" s="55" t="str">
        <f aca="false">IF(BX681=1,"L1",IF(OR(BX681=2,BX681=3),"L23",IF(BX681="Aussen","Aussen","-")))</f>
        <v>L23</v>
      </c>
      <c r="BZ681" s="66" t="n">
        <f aca="false">IF(N(AB681)&gt;0,AB681,0)</f>
        <v>0</v>
      </c>
      <c r="CA681" s="60" t="n">
        <f aca="false">IF(ISNUMBER(AE681),1,0)</f>
        <v>0</v>
      </c>
      <c r="CB681" s="57" t="n">
        <f aca="false">N(AE681)</f>
        <v>0</v>
      </c>
      <c r="CC681" s="57" t="n">
        <f aca="false">N(M681)+N(N681)</f>
        <v>1</v>
      </c>
      <c r="CD681" s="57" t="n">
        <f aca="false">ROUNDUP(H681/BS681,0)</f>
        <v>0</v>
      </c>
      <c r="CE681" s="57" t="n">
        <f aca="false">ROUNDUP(CB681/BS681,0)</f>
        <v>0</v>
      </c>
      <c r="CF681" s="60" t="n">
        <f aca="false">IF(BT681=1,0,IFERROR(VLOOKUP(BR681,'Gebinde-Kategorie'!$A$5:$M$45,5,0)+0,0))</f>
        <v>11</v>
      </c>
      <c r="CG681" s="60" t="n">
        <f aca="false">IFERROR(IF(OR(BX681=1,BX681=2,BX681=3),N(INDEX(Parameter!$I$5:$I$7,BX681)),0),0)</f>
        <v>0</v>
      </c>
      <c r="CH681" s="59" t="n">
        <f aca="false">IF(AND(Parameter!$B$21="Ja",ISNUMBER(W681),N(X681)&gt;0),IFERROR(N(INDEX(Parameter!$L$5:$L$7,W681))*INDEX(Parameter!$E$5:$E$7,W681)*X681/SUMIFS($X$7:$X$1843,$W$7:$W$1843,W681),0),0)</f>
        <v>0</v>
      </c>
    </row>
    <row r="682" customFormat="false" ht="15" hidden="false" customHeight="false" outlineLevel="0" collapsed="false">
      <c r="A682" s="55" t="s">
        <v>1366</v>
      </c>
      <c r="B682" s="55" t="s">
        <v>1367</v>
      </c>
      <c r="C682" s="55" t="s">
        <v>164</v>
      </c>
      <c r="D682" s="55" t="s">
        <v>353</v>
      </c>
      <c r="E682" s="55"/>
      <c r="F682" s="55" t="s">
        <v>218</v>
      </c>
      <c r="G682" s="56" t="n">
        <v>1</v>
      </c>
      <c r="H682" s="57" t="n">
        <f aca="false">MAX(0,IF(AND(Parameter!$B$21="Ja",ISNUMBER(Y682)),Y682,IF(Parameter!$B$20="Jahresanfang 2025 + Export",BL682+BK682,BK682)))</f>
        <v>0</v>
      </c>
      <c r="I682" s="57" t="n">
        <f aca="false">H682*G682</f>
        <v>0</v>
      </c>
      <c r="J682" s="57" t="n">
        <f aca="false">BN682*Parameter!$B$18</f>
        <v>1</v>
      </c>
      <c r="K682" s="58" t="n">
        <v>0.5</v>
      </c>
      <c r="L682" s="59" t="n">
        <v>2</v>
      </c>
      <c r="M682" s="57" t="n">
        <v>0</v>
      </c>
      <c r="N682" s="57" t="n">
        <v>1</v>
      </c>
      <c r="O682" s="60" t="n">
        <v>0</v>
      </c>
      <c r="P682" s="55" t="s">
        <v>168</v>
      </c>
      <c r="Q682" s="57"/>
      <c r="R682" s="60" t="n">
        <f aca="false">IF(BT682=1,0,IFERROR(VLOOKUP(BR682,'Gebinde-Kategorie'!$A$5:$M$45,13,0)+0,0))</f>
        <v>0</v>
      </c>
      <c r="S682" s="61"/>
      <c r="T682" s="62"/>
      <c r="U682" s="62"/>
      <c r="V682" s="62"/>
      <c r="W682" s="55"/>
      <c r="X682" s="57"/>
      <c r="Y682" s="57"/>
      <c r="Z682" s="55" t="str">
        <f aca="false">IF(A682="","",IF(AND(Parameter!$B$21="Ja",ISNUMBER(W682)),W682,IF(BV682="2+3",IF(ISNUMBER(SEARCH("grosser Artikel",BO682)),2,IFERROR(VLOOKUP(BR682,Parameter!$F$35:$G$64,2,0),2)),IF(OR(BV682="Nein",BV682=""),"-",BV682))))</f>
        <v>-</v>
      </c>
      <c r="AA682" s="62"/>
      <c r="AB682" s="63"/>
      <c r="AC682" s="57" t="n">
        <f aca="false">AR682</f>
        <v>1</v>
      </c>
      <c r="AD682" s="57" t="n">
        <f aca="false">MAX(AR682,H682)</f>
        <v>1</v>
      </c>
      <c r="AE682" s="64"/>
      <c r="AF682" s="57" t="n">
        <f aca="false">IF(LEFT(Cockpit!$C$5,1)="A",H682,IF(CA682=1,CB682,IF(LEFT(Cockpit!$C$5,1)="B",AJ682,MAX(AJ682,H682))))</f>
        <v>0</v>
      </c>
      <c r="AG682" s="57" t="n">
        <f aca="false">IF(BT682=1,0,ROUNDUP(AF682/BS682,0))</f>
        <v>0</v>
      </c>
      <c r="AH682" s="59" t="n">
        <f aca="false">IF(CH682&gt;0,CH682*MAX(1,AF682/X682),IF(BT682=1,IF(AF682&lt;=0,0,BW682*MAX(1,IF(H682&gt;0,AF682/H682,1))),IF(R682&gt;0,AG682/R682,0))/MAX(0.1,N(Parameter!$M$21)))</f>
        <v>0</v>
      </c>
      <c r="AI682" s="57" t="n">
        <f aca="false">AF682*G682</f>
        <v>0</v>
      </c>
      <c r="AJ682" s="57" t="n">
        <f aca="false">ROUNDUP(MAX(J682/IF(BZ682&gt;0,BZ682,MAX(0.1,N(Cockpit!$C$6))),CC682)/BS682,0)*BS682</f>
        <v>1</v>
      </c>
      <c r="AK682" s="58" t="n">
        <f aca="false">IF(AH682&gt;0,J682/AH682,-1)</f>
        <v>-1</v>
      </c>
      <c r="AL682" s="58" t="str">
        <f aca="false">IF(AND(OR(BY682="L1",BY682="L23"),AH682&gt;0),SUMIFS($AH$7:$AH$1843,$BY$7:$BY$1843,BY682,$AK$7:$AK$1843,"&gt;"&amp;AK682)+SUMIFS($AH$7:$AH$1843,$BY$7:$BY$1843,BY682,$AK$7:$AK$1843,AK682,$BQ$7:$BQ$1843,"&lt;="&amp;BQ682),"")</f>
        <v/>
      </c>
      <c r="AM682" s="65" t="n">
        <f aca="false">IF(AL682="",0,MAX(0,MIN(1,(IF(BY682="L1",Parameter!$E$5,Parameter!$E$6+Parameter!$E$7)-(AL682-AH682))/AH682)))</f>
        <v>0</v>
      </c>
      <c r="AN682" s="57" t="n">
        <f aca="false">IF(LEFT(Cockpit!$I$5,1)="A",H682,IF(CA682=1,CB682,IF(LEFT(Cockpit!$I$5,1)="B",AR682,MAX(AR682,H682))))</f>
        <v>1</v>
      </c>
      <c r="AO682" s="57" t="n">
        <f aca="false">IF(BT682=1,0,ROUNDUP(AN682/BS682,0))</f>
        <v>0</v>
      </c>
      <c r="AP682" s="59" t="n">
        <f aca="false">IF(CH682&gt;0,CH682*MAX(1,AN682/X682),IF(BT682=1,IF(AN682&lt;=0,0,BW682*MAX(1,IF(H682&gt;0,AN682/H682,1))),IF(R682&gt;0,AO682/R682,0))/MAX(0.1,N(Parameter!$M$21)))</f>
        <v>0.15</v>
      </c>
      <c r="AQ682" s="57" t="n">
        <f aca="false">AN682*G682</f>
        <v>1</v>
      </c>
      <c r="AR682" s="57" t="n">
        <f aca="false">ROUNDUP(MAX(J682/IF(BZ682&gt;0,BZ682,MAX(0.1,N(Cockpit!$I$6))),CC682)/BS682,0)*BS682</f>
        <v>1</v>
      </c>
      <c r="AS682" s="58" t="n">
        <f aca="false">IF(AP682&gt;0,J682/AP682,-1)</f>
        <v>6.66666666666667</v>
      </c>
      <c r="AT682" s="58" t="str">
        <f aca="false">IF(AND(OR(BY682="L1",BY682="L23"),AP682&gt;0),SUMIFS($AP$7:$AP$1843,$BY$7:$BY$1843,BY682,$AS$7:$AS$1843,"&gt;"&amp;AS682)+SUMIFS($AP$7:$AP$1843,$BY$7:$BY$1843,BY682,$AS$7:$AS$1843,AS682,$BQ$7:$BQ$1843,"&lt;="&amp;BQ682),"")</f>
        <v/>
      </c>
      <c r="AU682" s="65" t="n">
        <f aca="false">IF(AT682="",0,MAX(0,MIN(1,(IF(BY682="L1",Parameter!$E$5,Parameter!$E$6+Parameter!$E$7)-(AT682-AP682))/AP682)))</f>
        <v>0</v>
      </c>
      <c r="AV682" s="57" t="n">
        <f aca="false">IF(LEFT(Cockpit!$O$5,1)="A",H682,IF(CA682=1,CB682,IF(LEFT(Cockpit!$O$5,1)="B",AZ682,MAX(AZ682,H682))))</f>
        <v>1</v>
      </c>
      <c r="AW682" s="57" t="n">
        <f aca="false">IF(BT682=1,0,ROUNDUP(AV682/BS682,0))</f>
        <v>0</v>
      </c>
      <c r="AX682" s="59" t="n">
        <f aca="false">IF(CH682&gt;0,CH682*MAX(1,AV682/X682),IF(BT682=1,IF(AV682&lt;=0,0,BW682*MAX(1,IF(H682&gt;0,AV682/H682,1))),IF(R682&gt;0,AW682/R682,0))/MAX(0.1,N(Parameter!$M$21)))</f>
        <v>0.15</v>
      </c>
      <c r="AY682" s="57" t="n">
        <f aca="false">AV682*G682</f>
        <v>1</v>
      </c>
      <c r="AZ682" s="57" t="n">
        <f aca="false">ROUNDUP(MAX(J682/IF(BZ682&gt;0,BZ682,MAX(0.1,N(Cockpit!$O$6))),CC682)/BS682,0)*BS682</f>
        <v>1</v>
      </c>
      <c r="BA682" s="58" t="n">
        <f aca="false">IF(AX682&gt;0,J682/AX682,-1)</f>
        <v>6.66666666666667</v>
      </c>
      <c r="BB682" s="58" t="str">
        <f aca="false">IF(AND(OR(BY682="L1",BY682="L23"),AX682&gt;0),SUMIFS($AX$7:$AX$1843,$BY$7:$BY$1843,BY682,$BA$7:$BA$1843,"&gt;"&amp;BA682)+SUMIFS($AX$7:$AX$1843,$BY$7:$BY$1843,BY682,$BA$7:$BA$1843,BA682,$BQ$7:$BQ$1843,"&lt;="&amp;BQ682),"")</f>
        <v/>
      </c>
      <c r="BC682" s="65" t="n">
        <f aca="false">IF(BB682="",0,MAX(0,MIN(1,(IF(BY682="L1",Parameter!$E$5,Parameter!$E$6+Parameter!$E$7)-(BB682-AX682))/AX682)))</f>
        <v>0</v>
      </c>
      <c r="BD682" s="55" t="str">
        <f aca="false">IF(AH682&lt;=0,"",IF(BY682="Aussen","Aussenlager",IF(BY682="-","Nicht im Lift",IF(AM682&gt;=1,"Lift",IF(AM682&lt;=0,"Aussenlager","teilweise")))))</f>
        <v/>
      </c>
      <c r="BE682" s="55" t="str">
        <f aca="false">IF(AP682&lt;=0,"",IF(BY682="Aussen","Aussenlager",IF(BY682="-","Nicht im Lift",IF(AU682&gt;=1,"Lift",IF(AU682&lt;=0,"Aussenlager","teilweise")))))</f>
        <v>Nicht im Lift</v>
      </c>
      <c r="BF682" s="55" t="str">
        <f aca="false">IF(AX682&lt;=0,"",IF(BY682="Aussen","Aussenlager",IF(BY682="-","Nicht im Lift",IF(BC682&gt;=1,"Lift",IF(BC682&lt;=0,"Aussenlager","teilweise")))))</f>
        <v>Nicht im Lift</v>
      </c>
      <c r="BG682" s="55" t="str">
        <f aca="false">IF(A682="","",IF(BP682=1,"Neu; ","")&amp;IF(AND(BP682=0,BK682&lt;0),"negativer Bestand (Export "&amp;BK682&amp;"); ","")&amp;IF(J682&lt;=0,"Kein Verbrauch; ","")&amp;IF(CH682&gt;0,"Lift "&amp;W682&amp;" lt. Liftbericht (Fach "&amp;X682&amp;" Stk); ",IF(BU682=1,"Gebinde geschätzt ("&amp;T682&amp;"); ",IF(BT682=1,"Lose – Tablare geschätzt; ","")))&amp;IF(H682&gt;AR682,"Überbestand "&amp;ROUND(H682-AR682,0)&amp;" Stk / CHF "&amp;ROUND((H682-AR682)*G682,0)&amp;"; ","")&amp;IF(AND(CA682=1,CB682&lt;CC682),"MAX &lt; MB+LG; ","")&amp;IF(AND(CG682&gt;0,CF682*10&gt;CG682),"zu hoch für Tablar; ","")&amp;IF(AND(BP682=0,OR(CA682=1,AA682&lt;&gt;"",U682&lt;&gt;"",V682&lt;&gt;"",AB682&lt;&gt;"")),"manuell übersteuert; ","")&amp;IF(AND(BT682=0,R682=0),"Gebinde unbekannt / Stellmass fehlt; ","")&amp;IF(AND(BT682=0,N(V682)&lt;=0,N(Q682)&lt;=0),"Menge pro Gebinde fehlt (Ist = 1 Gebinde); ","")&amp;BO682)</f>
        <v>negativer Bestand (Export -1); Lose – Tablare geschätzt; </v>
      </c>
      <c r="BH682" s="55"/>
      <c r="BI682" s="55"/>
      <c r="BJ682" s="62"/>
      <c r="BK682" s="57" t="n">
        <v>-1</v>
      </c>
      <c r="BL682" s="57" t="n">
        <v>1</v>
      </c>
      <c r="BM682" s="56" t="n">
        <v>0</v>
      </c>
      <c r="BN682" s="57" t="n">
        <v>1</v>
      </c>
      <c r="BO682" s="55"/>
      <c r="BP682" s="60" t="n">
        <v>0</v>
      </c>
      <c r="BQ682" s="60" t="n">
        <v>682</v>
      </c>
      <c r="BR682" s="55" t="str">
        <f aca="false">IF(U682&lt;&gt;"",UPPER(TRIM(U682)),IF(BU682=1,UPPER(VLOOKUP(T682,Parameter!$I$27:$K$29,2,0)),IF(P682="","LOSE",P682)))</f>
        <v>LOSE</v>
      </c>
      <c r="BS682" s="57" t="n">
        <f aca="false">IF(BR682="LOSE",1,IF(N(V682)&gt;0,V682,IF(BU682=1,MAX(1,N(VLOOKUP(T682,Parameter!$I$27:$K$29,3,0)),H682,N(N682)),IF(N(Q682)&gt;0,Q682,MAX(1,H682)))))</f>
        <v>1</v>
      </c>
      <c r="BT682" s="60" t="n">
        <f aca="false">IF(BR682="LOSE",1,0)</f>
        <v>1</v>
      </c>
      <c r="BU682" s="60" t="n">
        <f aca="false">IF(AND(U682="",OR(P682="",P682="LOSE"),T682&lt;&gt;"",N(S682)&lt;=0,ISNUMBER(MATCH(T682,Parameter!$I$27:$I$29,0))),1,0)</f>
        <v>0</v>
      </c>
      <c r="BV682" s="55" t="str">
        <f aca="false">IF(AND(Parameter!$B$19="Ja",E682&lt;&gt;"",ISNUMBER(MATCH(E682,Parameter!$I$35:$I$52,0))),VLOOKUP(E682,Parameter!$I$35:$J$52,2,0),IFERROR(VLOOKUP(D682,Parameter!$A$35:$C$64,2,0),"Nein"))</f>
        <v>Nein</v>
      </c>
      <c r="BW682" s="59" t="n">
        <f aca="false">IF(BT682=0,0,IF(N(S682)&gt;0,S682,IFERROR(VLOOKUP(D682,Parameter!$A$35:$C$64,3,0)+0,0)))</f>
        <v>0.15</v>
      </c>
      <c r="BX682" s="55" t="str">
        <f aca="false">IF(AA682&lt;&gt;"",AA682,Z682)</f>
        <v>-</v>
      </c>
      <c r="BY682" s="55" t="str">
        <f aca="false">IF(BX682=1,"L1",IF(OR(BX682=2,BX682=3),"L23",IF(BX682="Aussen","Aussen","-")))</f>
        <v>-</v>
      </c>
      <c r="BZ682" s="66" t="n">
        <f aca="false">IF(N(AB682)&gt;0,AB682,0)</f>
        <v>0</v>
      </c>
      <c r="CA682" s="60" t="n">
        <f aca="false">IF(ISNUMBER(AE682),1,0)</f>
        <v>0</v>
      </c>
      <c r="CB682" s="57" t="n">
        <f aca="false">N(AE682)</f>
        <v>0</v>
      </c>
      <c r="CC682" s="57" t="n">
        <f aca="false">N(M682)+N(N682)</f>
        <v>1</v>
      </c>
      <c r="CD682" s="57" t="n">
        <f aca="false">ROUNDUP(H682/BS682,0)</f>
        <v>0</v>
      </c>
      <c r="CE682" s="57" t="n">
        <f aca="false">ROUNDUP(CB682/BS682,0)</f>
        <v>0</v>
      </c>
      <c r="CF682" s="60" t="n">
        <f aca="false">IF(BT682=1,0,IFERROR(VLOOKUP(BR682,'Gebinde-Kategorie'!$A$5:$M$45,5,0)+0,0))</f>
        <v>0</v>
      </c>
      <c r="CG682" s="60" t="n">
        <f aca="false">IFERROR(IF(OR(BX682=1,BX682=2,BX682=3),N(INDEX(Parameter!$I$5:$I$7,BX682)),0),0)</f>
        <v>0</v>
      </c>
      <c r="CH682" s="59" t="n">
        <f aca="false">IF(AND(Parameter!$B$21="Ja",ISNUMBER(W682),N(X682)&gt;0),IFERROR(N(INDEX(Parameter!$L$5:$L$7,W682))*INDEX(Parameter!$E$5:$E$7,W682)*X682/SUMIFS($X$7:$X$1843,$W$7:$W$1843,W682),0),0)</f>
        <v>0</v>
      </c>
    </row>
    <row r="683" customFormat="false" ht="15" hidden="false" customHeight="false" outlineLevel="0" collapsed="false">
      <c r="A683" s="55" t="s">
        <v>1368</v>
      </c>
      <c r="B683" s="55" t="s">
        <v>1369</v>
      </c>
      <c r="C683" s="55" t="s">
        <v>164</v>
      </c>
      <c r="D683" s="55" t="s">
        <v>173</v>
      </c>
      <c r="E683" s="55"/>
      <c r="F683" s="55" t="s">
        <v>218</v>
      </c>
      <c r="G683" s="56" t="n">
        <v>4509.47</v>
      </c>
      <c r="H683" s="57" t="n">
        <f aca="false">MAX(0,IF(AND(Parameter!$B$21="Ja",ISNUMBER(Y683)),Y683,IF(Parameter!$B$20="Jahresanfang 2025 + Export",BL683+BK683,BK683)))</f>
        <v>0</v>
      </c>
      <c r="I683" s="57" t="n">
        <f aca="false">H683*G683</f>
        <v>0</v>
      </c>
      <c r="J683" s="57" t="n">
        <f aca="false">BN683*Parameter!$B$18</f>
        <v>5</v>
      </c>
      <c r="K683" s="58" t="n">
        <v>0</v>
      </c>
      <c r="L683" s="59" t="n">
        <v>0</v>
      </c>
      <c r="M683" s="57" t="n">
        <v>0</v>
      </c>
      <c r="N683" s="57" t="n">
        <v>1</v>
      </c>
      <c r="O683" s="60" t="n">
        <v>70</v>
      </c>
      <c r="P683" s="55" t="s">
        <v>168</v>
      </c>
      <c r="Q683" s="57"/>
      <c r="R683" s="60" t="n">
        <f aca="false">IF(BT683=1,0,IFERROR(VLOOKUP(BR683,'Gebinde-Kategorie'!$A$5:$M$45,13,0)+0,0))</f>
        <v>12</v>
      </c>
      <c r="S683" s="61"/>
      <c r="T683" s="62" t="s">
        <v>179</v>
      </c>
      <c r="U683" s="62"/>
      <c r="V683" s="62"/>
      <c r="W683" s="55"/>
      <c r="X683" s="57"/>
      <c r="Y683" s="57"/>
      <c r="Z683" s="55" t="n">
        <f aca="false">IF(A683="","",IF(AND(Parameter!$B$21="Ja",ISNUMBER(W683)),W683,IF(BV683="2+3",IF(ISNUMBER(SEARCH("grosser Artikel",BO683)),2,IFERROR(VLOOKUP(BR683,Parameter!$F$35:$G$64,2,0),2)),IF(OR(BV683="Nein",BV683=""),"-",BV683))))</f>
        <v>2</v>
      </c>
      <c r="AA683" s="62"/>
      <c r="AB683" s="63"/>
      <c r="AC683" s="57" t="n">
        <f aca="false">AR683</f>
        <v>4</v>
      </c>
      <c r="AD683" s="57" t="n">
        <f aca="false">MAX(AR683,H683)</f>
        <v>4</v>
      </c>
      <c r="AE683" s="64"/>
      <c r="AF683" s="57" t="n">
        <f aca="false">IF(LEFT(Cockpit!$C$5,1)="A",H683,IF(CA683=1,CB683,IF(LEFT(Cockpit!$C$5,1)="B",AJ683,MAX(AJ683,H683))))</f>
        <v>0</v>
      </c>
      <c r="AG683" s="57" t="n">
        <f aca="false">IF(BT683=1,0,ROUNDUP(AF683/BS683,0))</f>
        <v>0</v>
      </c>
      <c r="AH683" s="59" t="n">
        <f aca="false">IF(CH683&gt;0,CH683*MAX(1,AF683/X683),IF(BT683=1,IF(AF683&lt;=0,0,BW683*MAX(1,IF(H683&gt;0,AF683/H683,1))),IF(R683&gt;0,AG683/R683,0))/MAX(0.1,N(Parameter!$M$21)))</f>
        <v>0</v>
      </c>
      <c r="AI683" s="57" t="n">
        <f aca="false">AF683*G683</f>
        <v>0</v>
      </c>
      <c r="AJ683" s="57" t="n">
        <f aca="false">ROUNDUP(MAX(J683/IF(BZ683&gt;0,BZ683,MAX(0.1,N(Cockpit!$C$6))),CC683)/BS683,0)*BS683</f>
        <v>4</v>
      </c>
      <c r="AK683" s="58" t="n">
        <f aca="false">IF(AH683&gt;0,J683/AH683,-1)</f>
        <v>-1</v>
      </c>
      <c r="AL683" s="58" t="str">
        <f aca="false">IF(AND(OR(BY683="L1",BY683="L23"),AH683&gt;0),SUMIFS($AH$7:$AH$1843,$BY$7:$BY$1843,BY683,$AK$7:$AK$1843,"&gt;"&amp;AK683)+SUMIFS($AH$7:$AH$1843,$BY$7:$BY$1843,BY683,$AK$7:$AK$1843,AK683,$BQ$7:$BQ$1843,"&lt;="&amp;BQ683),"")</f>
        <v/>
      </c>
      <c r="AM683" s="65" t="n">
        <f aca="false">IF(AL683="",0,MAX(0,MIN(1,(IF(BY683="L1",Parameter!$E$5,Parameter!$E$6+Parameter!$E$7)-(AL683-AH683))/AH683)))</f>
        <v>0</v>
      </c>
      <c r="AN683" s="57" t="n">
        <f aca="false">IF(LEFT(Cockpit!$I$5,1)="A",H683,IF(CA683=1,CB683,IF(LEFT(Cockpit!$I$5,1)="B",AR683,MAX(AR683,H683))))</f>
        <v>4</v>
      </c>
      <c r="AO683" s="57" t="n">
        <f aca="false">IF(BT683=1,0,ROUNDUP(AN683/BS683,0))</f>
        <v>1</v>
      </c>
      <c r="AP683" s="59" t="n">
        <f aca="false">IF(CH683&gt;0,CH683*MAX(1,AN683/X683),IF(BT683=1,IF(AN683&lt;=0,0,BW683*MAX(1,IF(H683&gt;0,AN683/H683,1))),IF(R683&gt;0,AO683/R683,0))/MAX(0.1,N(Parameter!$M$21)))</f>
        <v>0.0833333333333333</v>
      </c>
      <c r="AQ683" s="57" t="n">
        <f aca="false">AN683*G683</f>
        <v>18037.88</v>
      </c>
      <c r="AR683" s="57" t="n">
        <f aca="false">ROUNDUP(MAX(J683/IF(BZ683&gt;0,BZ683,MAX(0.1,N(Cockpit!$I$6))),CC683)/BS683,0)*BS683</f>
        <v>4</v>
      </c>
      <c r="AS683" s="58" t="n">
        <f aca="false">IF(AP683&gt;0,J683/AP683,-1)</f>
        <v>60</v>
      </c>
      <c r="AT683" s="58" t="n">
        <f aca="false">IF(AND(OR(BY683="L1",BY683="L23"),AP683&gt;0),SUMIFS($AP$7:$AP$1843,$BY$7:$BY$1843,BY683,$AS$7:$AS$1843,"&gt;"&amp;AS683)+SUMIFS($AP$7:$AP$1843,$BY$7:$BY$1843,BY683,$AS$7:$AS$1843,AS683,$BQ$7:$BQ$1843,"&lt;="&amp;BQ683),"")</f>
        <v>65.4668507820682</v>
      </c>
      <c r="AU683" s="65" t="n">
        <f aca="false">IF(AT683="",0,MAX(0,MIN(1,(IF(BY683="L1",Parameter!$E$5,Parameter!$E$6+Parameter!$E$7)-(AT683-AP683))/AP683)))</f>
        <v>1</v>
      </c>
      <c r="AV683" s="57" t="n">
        <f aca="false">IF(LEFT(Cockpit!$O$5,1)="A",H683,IF(CA683=1,CB683,IF(LEFT(Cockpit!$O$5,1)="B",AZ683,MAX(AZ683,H683))))</f>
        <v>4</v>
      </c>
      <c r="AW683" s="57" t="n">
        <f aca="false">IF(BT683=1,0,ROUNDUP(AV683/BS683,0))</f>
        <v>1</v>
      </c>
      <c r="AX683" s="59" t="n">
        <f aca="false">IF(CH683&gt;0,CH683*MAX(1,AV683/X683),IF(BT683=1,IF(AV683&lt;=0,0,BW683*MAX(1,IF(H683&gt;0,AV683/H683,1))),IF(R683&gt;0,AW683/R683,0))/MAX(0.1,N(Parameter!$M$21)))</f>
        <v>0.0833333333333333</v>
      </c>
      <c r="AY683" s="57" t="n">
        <f aca="false">AV683*G683</f>
        <v>18037.88</v>
      </c>
      <c r="AZ683" s="57" t="n">
        <f aca="false">ROUNDUP(MAX(J683/IF(BZ683&gt;0,BZ683,MAX(0.1,N(Cockpit!$O$6))),CC683)/BS683,0)*BS683</f>
        <v>4</v>
      </c>
      <c r="BA683" s="58" t="n">
        <f aca="false">IF(AX683&gt;0,J683/AX683,-1)</f>
        <v>60</v>
      </c>
      <c r="BB683" s="58" t="n">
        <f aca="false">IF(AND(OR(BY683="L1",BY683="L23"),AX683&gt;0),SUMIFS($AX$7:$AX$1843,$BY$7:$BY$1843,BY683,$BA$7:$BA$1843,"&gt;"&amp;BA683)+SUMIFS($AX$7:$AX$1843,$BY$7:$BY$1843,BY683,$BA$7:$BA$1843,BA683,$BQ$7:$BQ$1843,"&lt;="&amp;BQ683),"")</f>
        <v>59.9633542785717</v>
      </c>
      <c r="BC683" s="65" t="n">
        <f aca="false">IF(BB683="",0,MAX(0,MIN(1,(IF(BY683="L1",Parameter!$E$5,Parameter!$E$6+Parameter!$E$7)-(BB683-AX683))/AX683)))</f>
        <v>1</v>
      </c>
      <c r="BD683" s="55" t="str">
        <f aca="false">IF(AH683&lt;=0,"",IF(BY683="Aussen","Aussenlager",IF(BY683="-","Nicht im Lift",IF(AM683&gt;=1,"Lift",IF(AM683&lt;=0,"Aussenlager","teilweise")))))</f>
        <v/>
      </c>
      <c r="BE683" s="55" t="str">
        <f aca="false">IF(AP683&lt;=0,"",IF(BY683="Aussen","Aussenlager",IF(BY683="-","Nicht im Lift",IF(AU683&gt;=1,"Lift",IF(AU683&lt;=0,"Aussenlager","teilweise")))))</f>
        <v>Lift</v>
      </c>
      <c r="BF683" s="55" t="str">
        <f aca="false">IF(AX683&lt;=0,"",IF(BY683="Aussen","Aussenlager",IF(BY683="-","Nicht im Lift",IF(BC683&gt;=1,"Lift",IF(BC683&lt;=0,"Aussenlager","teilweise")))))</f>
        <v>Lift</v>
      </c>
      <c r="BG683" s="55" t="str">
        <f aca="false">IF(A683="","",IF(BP683=1,"Neu; ","")&amp;IF(AND(BP683=0,BK683&lt;0),"negativer Bestand (Export "&amp;BK683&amp;"); ","")&amp;IF(J683&lt;=0,"Kein Verbrauch; ","")&amp;IF(CH683&gt;0,"Lift "&amp;W683&amp;" lt. Liftbericht (Fach "&amp;X683&amp;" Stk); ",IF(BU683=1,"Gebinde geschätzt ("&amp;T683&amp;"); ",IF(BT683=1,"Lose – Tablare geschätzt; ","")))&amp;IF(H683&gt;AR683,"Überbestand "&amp;ROUND(H683-AR683,0)&amp;" Stk / CHF "&amp;ROUND((H683-AR683)*G683,0)&amp;"; ","")&amp;IF(AND(CA683=1,CB683&lt;CC683),"MAX &lt; MB+LG; ","")&amp;IF(AND(CG683&gt;0,CF683*10&gt;CG683),"zu hoch für Tablar; ","")&amp;IF(AND(BP683=0,OR(CA683=1,AA683&lt;&gt;"",U683&lt;&gt;"",V683&lt;&gt;"",AB683&lt;&gt;"")),"manuell übersteuert; ","")&amp;IF(AND(BT683=0,R683=0),"Gebinde unbekannt / Stellmass fehlt; ","")&amp;IF(AND(BT683=0,N(V683)&lt;=0,N(Q683)&lt;=0),"Menge pro Gebinde fehlt (Ist = 1 Gebinde); ","")&amp;BO683)</f>
        <v>Gebinde geschätzt (Mittel); Menge pro Gebinde fehlt (Ist = 1 Gebinde); </v>
      </c>
      <c r="BH683" s="55"/>
      <c r="BI683" s="55"/>
      <c r="BJ683" s="62"/>
      <c r="BK683" s="57" t="n">
        <v>0</v>
      </c>
      <c r="BL683" s="57" t="n">
        <v>0</v>
      </c>
      <c r="BM683" s="56" t="n">
        <v>0</v>
      </c>
      <c r="BN683" s="57" t="n">
        <v>5</v>
      </c>
      <c r="BO683" s="55"/>
      <c r="BP683" s="60" t="n">
        <v>0</v>
      </c>
      <c r="BQ683" s="60" t="n">
        <v>683</v>
      </c>
      <c r="BR683" s="55" t="str">
        <f aca="false">IF(U683&lt;&gt;"",UPPER(TRIM(U683)),IF(BU683=1,UPPER(VLOOKUP(T683,Parameter!$I$27:$K$29,2,0)),IF(P683="","LOSE",P683)))</f>
        <v>S61</v>
      </c>
      <c r="BS683" s="57" t="n">
        <f aca="false">IF(BR683="LOSE",1,IF(N(V683)&gt;0,V683,IF(BU683=1,MAX(1,N(VLOOKUP(T683,Parameter!$I$27:$K$29,3,0)),H683,N(N683)),IF(N(Q683)&gt;0,Q683,MAX(1,H683)))))</f>
        <v>4</v>
      </c>
      <c r="BT683" s="60" t="n">
        <f aca="false">IF(BR683="LOSE",1,0)</f>
        <v>0</v>
      </c>
      <c r="BU683" s="60" t="n">
        <f aca="false">IF(AND(U683="",OR(P683="",P683="LOSE"),T683&lt;&gt;"",N(S683)&lt;=0,ISNUMBER(MATCH(T683,Parameter!$I$27:$I$29,0))),1,0)</f>
        <v>1</v>
      </c>
      <c r="BV683" s="55" t="str">
        <f aca="false">IF(AND(Parameter!$B$19="Ja",E683&lt;&gt;"",ISNUMBER(MATCH(E683,Parameter!$I$35:$I$52,0))),VLOOKUP(E683,Parameter!$I$35:$J$52,2,0),IFERROR(VLOOKUP(D683,Parameter!$A$35:$C$64,2,0),"Nein"))</f>
        <v>2+3</v>
      </c>
      <c r="BW683" s="59" t="n">
        <f aca="false">IF(BT683=0,0,IF(N(S683)&gt;0,S683,IFERROR(VLOOKUP(D683,Parameter!$A$35:$C$64,3,0)+0,0)))</f>
        <v>0</v>
      </c>
      <c r="BX683" s="55" t="n">
        <f aca="false">IF(AA683&lt;&gt;"",AA683,Z683)</f>
        <v>2</v>
      </c>
      <c r="BY683" s="55" t="str">
        <f aca="false">IF(BX683=1,"L1",IF(OR(BX683=2,BX683=3),"L23",IF(BX683="Aussen","Aussen","-")))</f>
        <v>L23</v>
      </c>
      <c r="BZ683" s="66" t="n">
        <f aca="false">IF(N(AB683)&gt;0,AB683,0)</f>
        <v>0</v>
      </c>
      <c r="CA683" s="60" t="n">
        <f aca="false">IF(ISNUMBER(AE683),1,0)</f>
        <v>0</v>
      </c>
      <c r="CB683" s="57" t="n">
        <f aca="false">N(AE683)</f>
        <v>0</v>
      </c>
      <c r="CC683" s="57" t="n">
        <f aca="false">N(M683)+N(N683)</f>
        <v>1</v>
      </c>
      <c r="CD683" s="57" t="n">
        <f aca="false">ROUNDUP(H683/BS683,0)</f>
        <v>0</v>
      </c>
      <c r="CE683" s="57" t="n">
        <f aca="false">ROUNDUP(CB683/BS683,0)</f>
        <v>0</v>
      </c>
      <c r="CF683" s="60" t="n">
        <f aca="false">IF(BT683=1,0,IFERROR(VLOOKUP(BR683,'Gebinde-Kategorie'!$A$5:$M$45,5,0)+0,0))</f>
        <v>11</v>
      </c>
      <c r="CG683" s="60" t="n">
        <f aca="false">IFERROR(IF(OR(BX683=1,BX683=2,BX683=3),N(INDEX(Parameter!$I$5:$I$7,BX683)),0),0)</f>
        <v>0</v>
      </c>
      <c r="CH683" s="59" t="n">
        <f aca="false">IF(AND(Parameter!$B$21="Ja",ISNUMBER(W683),N(X683)&gt;0),IFERROR(N(INDEX(Parameter!$L$5:$L$7,W683))*INDEX(Parameter!$E$5:$E$7,W683)*X683/SUMIFS($X$7:$X$1843,$W$7:$W$1843,W683),0),0)</f>
        <v>0</v>
      </c>
    </row>
    <row r="684" customFormat="false" ht="15" hidden="false" customHeight="false" outlineLevel="0" collapsed="false">
      <c r="A684" s="55" t="s">
        <v>1370</v>
      </c>
      <c r="B684" s="55" t="s">
        <v>1371</v>
      </c>
      <c r="C684" s="55" t="s">
        <v>164</v>
      </c>
      <c r="D684" s="55" t="s">
        <v>850</v>
      </c>
      <c r="E684" s="55"/>
      <c r="F684" s="55" t="s">
        <v>218</v>
      </c>
      <c r="G684" s="56" t="n">
        <v>159</v>
      </c>
      <c r="H684" s="57" t="n">
        <f aca="false">MAX(0,IF(AND(Parameter!$B$21="Ja",ISNUMBER(Y684)),Y684,IF(Parameter!$B$20="Jahresanfang 2025 + Export",BL684+BK684,BK684)))</f>
        <v>0</v>
      </c>
      <c r="I684" s="57" t="n">
        <f aca="false">H684*G684</f>
        <v>0</v>
      </c>
      <c r="J684" s="57" t="n">
        <f aca="false">BN684*Parameter!$B$18</f>
        <v>0</v>
      </c>
      <c r="K684" s="58" t="n">
        <v>0</v>
      </c>
      <c r="L684" s="59" t="n">
        <v>0</v>
      </c>
      <c r="M684" s="57" t="n">
        <v>0</v>
      </c>
      <c r="N684" s="57" t="n">
        <v>1</v>
      </c>
      <c r="O684" s="60" t="n">
        <v>0</v>
      </c>
      <c r="P684" s="55" t="s">
        <v>168</v>
      </c>
      <c r="Q684" s="57"/>
      <c r="R684" s="60" t="n">
        <f aca="false">IF(BT684=1,0,IFERROR(VLOOKUP(BR684,'Gebinde-Kategorie'!$A$5:$M$45,13,0)+0,0))</f>
        <v>0</v>
      </c>
      <c r="S684" s="61"/>
      <c r="T684" s="62"/>
      <c r="U684" s="62"/>
      <c r="V684" s="62"/>
      <c r="W684" s="55"/>
      <c r="X684" s="57"/>
      <c r="Y684" s="57"/>
      <c r="Z684" s="55" t="str">
        <f aca="false">IF(A684="","",IF(AND(Parameter!$B$21="Ja",ISNUMBER(W684)),W684,IF(BV684="2+3",IF(ISNUMBER(SEARCH("grosser Artikel",BO684)),2,IFERROR(VLOOKUP(BR684,Parameter!$F$35:$G$64,2,0),2)),IF(OR(BV684="Nein",BV684=""),"-",BV684))))</f>
        <v>-</v>
      </c>
      <c r="AA684" s="62"/>
      <c r="AB684" s="63"/>
      <c r="AC684" s="57" t="n">
        <f aca="false">AR684</f>
        <v>1</v>
      </c>
      <c r="AD684" s="57" t="n">
        <f aca="false">MAX(AR684,H684)</f>
        <v>1</v>
      </c>
      <c r="AE684" s="64"/>
      <c r="AF684" s="57" t="n">
        <f aca="false">IF(LEFT(Cockpit!$C$5,1)="A",H684,IF(CA684=1,CB684,IF(LEFT(Cockpit!$C$5,1)="B",AJ684,MAX(AJ684,H684))))</f>
        <v>0</v>
      </c>
      <c r="AG684" s="57" t="n">
        <f aca="false">IF(BT684=1,0,ROUNDUP(AF684/BS684,0))</f>
        <v>0</v>
      </c>
      <c r="AH684" s="59" t="n">
        <f aca="false">IF(CH684&gt;0,CH684*MAX(1,AF684/X684),IF(BT684=1,IF(AF684&lt;=0,0,BW684*MAX(1,IF(H684&gt;0,AF684/H684,1))),IF(R684&gt;0,AG684/R684,0))/MAX(0.1,N(Parameter!$M$21)))</f>
        <v>0</v>
      </c>
      <c r="AI684" s="57" t="n">
        <f aca="false">AF684*G684</f>
        <v>0</v>
      </c>
      <c r="AJ684" s="57" t="n">
        <f aca="false">ROUNDUP(MAX(J684/IF(BZ684&gt;0,BZ684,MAX(0.1,N(Cockpit!$C$6))),CC684)/BS684,0)*BS684</f>
        <v>1</v>
      </c>
      <c r="AK684" s="58" t="n">
        <f aca="false">IF(AH684&gt;0,J684/AH684,-1)</f>
        <v>-1</v>
      </c>
      <c r="AL684" s="58" t="str">
        <f aca="false">IF(AND(OR(BY684="L1",BY684="L23"),AH684&gt;0),SUMIFS($AH$7:$AH$1843,$BY$7:$BY$1843,BY684,$AK$7:$AK$1843,"&gt;"&amp;AK684)+SUMIFS($AH$7:$AH$1843,$BY$7:$BY$1843,BY684,$AK$7:$AK$1843,AK684,$BQ$7:$BQ$1843,"&lt;="&amp;BQ684),"")</f>
        <v/>
      </c>
      <c r="AM684" s="65" t="n">
        <f aca="false">IF(AL684="",0,MAX(0,MIN(1,(IF(BY684="L1",Parameter!$E$5,Parameter!$E$6+Parameter!$E$7)-(AL684-AH684))/AH684)))</f>
        <v>0</v>
      </c>
      <c r="AN684" s="57" t="n">
        <f aca="false">IF(LEFT(Cockpit!$I$5,1)="A",H684,IF(CA684=1,CB684,IF(LEFT(Cockpit!$I$5,1)="B",AR684,MAX(AR684,H684))))</f>
        <v>1</v>
      </c>
      <c r="AO684" s="57" t="n">
        <f aca="false">IF(BT684=1,0,ROUNDUP(AN684/BS684,0))</f>
        <v>0</v>
      </c>
      <c r="AP684" s="59" t="n">
        <f aca="false">IF(CH684&gt;0,CH684*MAX(1,AN684/X684),IF(BT684=1,IF(AN684&lt;=0,0,BW684*MAX(1,IF(H684&gt;0,AN684/H684,1))),IF(R684&gt;0,AO684/R684,0))/MAX(0.1,N(Parameter!$M$21)))</f>
        <v>0.15</v>
      </c>
      <c r="AQ684" s="57" t="n">
        <f aca="false">AN684*G684</f>
        <v>159</v>
      </c>
      <c r="AR684" s="57" t="n">
        <f aca="false">ROUNDUP(MAX(J684/IF(BZ684&gt;0,BZ684,MAX(0.1,N(Cockpit!$I$6))),CC684)/BS684,0)*BS684</f>
        <v>1</v>
      </c>
      <c r="AS684" s="58" t="n">
        <f aca="false">IF(AP684&gt;0,J684/AP684,-1)</f>
        <v>0</v>
      </c>
      <c r="AT684" s="58" t="str">
        <f aca="false">IF(AND(OR(BY684="L1",BY684="L23"),AP684&gt;0),SUMIFS($AP$7:$AP$1843,$BY$7:$BY$1843,BY684,$AS$7:$AS$1843,"&gt;"&amp;AS684)+SUMIFS($AP$7:$AP$1843,$BY$7:$BY$1843,BY684,$AS$7:$AS$1843,AS684,$BQ$7:$BQ$1843,"&lt;="&amp;BQ684),"")</f>
        <v/>
      </c>
      <c r="AU684" s="65" t="n">
        <f aca="false">IF(AT684="",0,MAX(0,MIN(1,(IF(BY684="L1",Parameter!$E$5,Parameter!$E$6+Parameter!$E$7)-(AT684-AP684))/AP684)))</f>
        <v>0</v>
      </c>
      <c r="AV684" s="57" t="n">
        <f aca="false">IF(LEFT(Cockpit!$O$5,1)="A",H684,IF(CA684=1,CB684,IF(LEFT(Cockpit!$O$5,1)="B",AZ684,MAX(AZ684,H684))))</f>
        <v>1</v>
      </c>
      <c r="AW684" s="57" t="n">
        <f aca="false">IF(BT684=1,0,ROUNDUP(AV684/BS684,0))</f>
        <v>0</v>
      </c>
      <c r="AX684" s="59" t="n">
        <f aca="false">IF(CH684&gt;0,CH684*MAX(1,AV684/X684),IF(BT684=1,IF(AV684&lt;=0,0,BW684*MAX(1,IF(H684&gt;0,AV684/H684,1))),IF(R684&gt;0,AW684/R684,0))/MAX(0.1,N(Parameter!$M$21)))</f>
        <v>0.15</v>
      </c>
      <c r="AY684" s="57" t="n">
        <f aca="false">AV684*G684</f>
        <v>159</v>
      </c>
      <c r="AZ684" s="57" t="n">
        <f aca="false">ROUNDUP(MAX(J684/IF(BZ684&gt;0,BZ684,MAX(0.1,N(Cockpit!$O$6))),CC684)/BS684,0)*BS684</f>
        <v>1</v>
      </c>
      <c r="BA684" s="58" t="n">
        <f aca="false">IF(AX684&gt;0,J684/AX684,-1)</f>
        <v>0</v>
      </c>
      <c r="BB684" s="58" t="str">
        <f aca="false">IF(AND(OR(BY684="L1",BY684="L23"),AX684&gt;0),SUMIFS($AX$7:$AX$1843,$BY$7:$BY$1843,BY684,$BA$7:$BA$1843,"&gt;"&amp;BA684)+SUMIFS($AX$7:$AX$1843,$BY$7:$BY$1843,BY684,$BA$7:$BA$1843,BA684,$BQ$7:$BQ$1843,"&lt;="&amp;BQ684),"")</f>
        <v/>
      </c>
      <c r="BC684" s="65" t="n">
        <f aca="false">IF(BB684="",0,MAX(0,MIN(1,(IF(BY684="L1",Parameter!$E$5,Parameter!$E$6+Parameter!$E$7)-(BB684-AX684))/AX684)))</f>
        <v>0</v>
      </c>
      <c r="BD684" s="55" t="str">
        <f aca="false">IF(AH684&lt;=0,"",IF(BY684="Aussen","Aussenlager",IF(BY684="-","Nicht im Lift",IF(AM684&gt;=1,"Lift",IF(AM684&lt;=0,"Aussenlager","teilweise")))))</f>
        <v/>
      </c>
      <c r="BE684" s="55" t="str">
        <f aca="false">IF(AP684&lt;=0,"",IF(BY684="Aussen","Aussenlager",IF(BY684="-","Nicht im Lift",IF(AU684&gt;=1,"Lift",IF(AU684&lt;=0,"Aussenlager","teilweise")))))</f>
        <v>Nicht im Lift</v>
      </c>
      <c r="BF684" s="55" t="str">
        <f aca="false">IF(AX684&lt;=0,"",IF(BY684="Aussen","Aussenlager",IF(BY684="-","Nicht im Lift",IF(BC684&gt;=1,"Lift",IF(BC684&lt;=0,"Aussenlager","teilweise")))))</f>
        <v>Nicht im Lift</v>
      </c>
      <c r="BG684" s="55" t="str">
        <f aca="false">IF(A684="","",IF(BP684=1,"Neu; ","")&amp;IF(AND(BP684=0,BK684&lt;0),"negativer Bestand (Export "&amp;BK684&amp;"); ","")&amp;IF(J684&lt;=0,"Kein Verbrauch; ","")&amp;IF(CH684&gt;0,"Lift "&amp;W684&amp;" lt. Liftbericht (Fach "&amp;X684&amp;" Stk); ",IF(BU684=1,"Gebinde geschätzt ("&amp;T684&amp;"); ",IF(BT684=1,"Lose – Tablare geschätzt; ","")))&amp;IF(H684&gt;AR684,"Überbestand "&amp;ROUND(H684-AR684,0)&amp;" Stk / CHF "&amp;ROUND((H684-AR684)*G684,0)&amp;"; ","")&amp;IF(AND(CA684=1,CB684&lt;CC684),"MAX &lt; MB+LG; ","")&amp;IF(AND(CG684&gt;0,CF684*10&gt;CG684),"zu hoch für Tablar; ","")&amp;IF(AND(BP684=0,OR(CA684=1,AA684&lt;&gt;"",U684&lt;&gt;"",V684&lt;&gt;"",AB684&lt;&gt;"")),"manuell übersteuert; ","")&amp;IF(AND(BT684=0,R684=0),"Gebinde unbekannt / Stellmass fehlt; ","")&amp;IF(AND(BT684=0,N(V684)&lt;=0,N(Q684)&lt;=0),"Menge pro Gebinde fehlt (Ist = 1 Gebinde); ","")&amp;BO684)</f>
        <v>Kein Verbrauch; Lose – Tablare geschätzt; </v>
      </c>
      <c r="BH684" s="55"/>
      <c r="BI684" s="55"/>
      <c r="BJ684" s="62"/>
      <c r="BK684" s="57" t="n">
        <v>0</v>
      </c>
      <c r="BL684" s="57" t="n">
        <v>0</v>
      </c>
      <c r="BM684" s="56" t="n">
        <v>0</v>
      </c>
      <c r="BN684" s="57" t="n">
        <v>0</v>
      </c>
      <c r="BO684" s="55"/>
      <c r="BP684" s="60" t="n">
        <v>0</v>
      </c>
      <c r="BQ684" s="60" t="n">
        <v>684</v>
      </c>
      <c r="BR684" s="55" t="str">
        <f aca="false">IF(U684&lt;&gt;"",UPPER(TRIM(U684)),IF(BU684=1,UPPER(VLOOKUP(T684,Parameter!$I$27:$K$29,2,0)),IF(P684="","LOSE",P684)))</f>
        <v>LOSE</v>
      </c>
      <c r="BS684" s="57" t="n">
        <f aca="false">IF(BR684="LOSE",1,IF(N(V684)&gt;0,V684,IF(BU684=1,MAX(1,N(VLOOKUP(T684,Parameter!$I$27:$K$29,3,0)),H684,N(N684)),IF(N(Q684)&gt;0,Q684,MAX(1,H684)))))</f>
        <v>1</v>
      </c>
      <c r="BT684" s="60" t="n">
        <f aca="false">IF(BR684="LOSE",1,0)</f>
        <v>1</v>
      </c>
      <c r="BU684" s="60" t="n">
        <f aca="false">IF(AND(U684="",OR(P684="",P684="LOSE"),T684&lt;&gt;"",N(S684)&lt;=0,ISNUMBER(MATCH(T684,Parameter!$I$27:$I$29,0))),1,0)</f>
        <v>0</v>
      </c>
      <c r="BV684" s="55" t="str">
        <f aca="false">IF(AND(Parameter!$B$19="Ja",E684&lt;&gt;"",ISNUMBER(MATCH(E684,Parameter!$I$35:$I$52,0))),VLOOKUP(E684,Parameter!$I$35:$J$52,2,0),IFERROR(VLOOKUP(D684,Parameter!$A$35:$C$64,2,0),"Nein"))</f>
        <v>Nein</v>
      </c>
      <c r="BW684" s="59" t="n">
        <f aca="false">IF(BT684=0,0,IF(N(S684)&gt;0,S684,IFERROR(VLOOKUP(D684,Parameter!$A$35:$C$64,3,0)+0,0)))</f>
        <v>0.15</v>
      </c>
      <c r="BX684" s="55" t="str">
        <f aca="false">IF(AA684&lt;&gt;"",AA684,Z684)</f>
        <v>-</v>
      </c>
      <c r="BY684" s="55" t="str">
        <f aca="false">IF(BX684=1,"L1",IF(OR(BX684=2,BX684=3),"L23",IF(BX684="Aussen","Aussen","-")))</f>
        <v>-</v>
      </c>
      <c r="BZ684" s="66" t="n">
        <f aca="false">IF(N(AB684)&gt;0,AB684,0)</f>
        <v>0</v>
      </c>
      <c r="CA684" s="60" t="n">
        <f aca="false">IF(ISNUMBER(AE684),1,0)</f>
        <v>0</v>
      </c>
      <c r="CB684" s="57" t="n">
        <f aca="false">N(AE684)</f>
        <v>0</v>
      </c>
      <c r="CC684" s="57" t="n">
        <f aca="false">N(M684)+N(N684)</f>
        <v>1</v>
      </c>
      <c r="CD684" s="57" t="n">
        <f aca="false">ROUNDUP(H684/BS684,0)</f>
        <v>0</v>
      </c>
      <c r="CE684" s="57" t="n">
        <f aca="false">ROUNDUP(CB684/BS684,0)</f>
        <v>0</v>
      </c>
      <c r="CF684" s="60" t="n">
        <f aca="false">IF(BT684=1,0,IFERROR(VLOOKUP(BR684,'Gebinde-Kategorie'!$A$5:$M$45,5,0)+0,0))</f>
        <v>0</v>
      </c>
      <c r="CG684" s="60" t="n">
        <f aca="false">IFERROR(IF(OR(BX684=1,BX684=2,BX684=3),N(INDEX(Parameter!$I$5:$I$7,BX684)),0),0)</f>
        <v>0</v>
      </c>
      <c r="CH684" s="59" t="n">
        <f aca="false">IF(AND(Parameter!$B$21="Ja",ISNUMBER(W684),N(X684)&gt;0),IFERROR(N(INDEX(Parameter!$L$5:$L$7,W684))*INDEX(Parameter!$E$5:$E$7,W684)*X684/SUMIFS($X$7:$X$1843,$W$7:$W$1843,W684),0),0)</f>
        <v>0</v>
      </c>
    </row>
    <row r="685" customFormat="false" ht="15" hidden="false" customHeight="false" outlineLevel="0" collapsed="false">
      <c r="A685" s="55" t="s">
        <v>1372</v>
      </c>
      <c r="B685" s="55" t="s">
        <v>1373</v>
      </c>
      <c r="C685" s="55" t="s">
        <v>164</v>
      </c>
      <c r="D685" s="55" t="s">
        <v>995</v>
      </c>
      <c r="E685" s="55"/>
      <c r="F685" s="55" t="s">
        <v>218</v>
      </c>
      <c r="G685" s="56" t="n">
        <v>3157.32</v>
      </c>
      <c r="H685" s="57" t="n">
        <f aca="false">MAX(0,IF(AND(Parameter!$B$21="Ja",ISNUMBER(Y685)),Y685,IF(Parameter!$B$20="Jahresanfang 2025 + Export",BL685+BK685,BK685)))</f>
        <v>0</v>
      </c>
      <c r="I685" s="57" t="n">
        <f aca="false">H685*G685</f>
        <v>0</v>
      </c>
      <c r="J685" s="57" t="n">
        <f aca="false">BN685*Parameter!$B$18</f>
        <v>3</v>
      </c>
      <c r="K685" s="58" t="n">
        <v>0</v>
      </c>
      <c r="L685" s="59" t="n">
        <v>0</v>
      </c>
      <c r="M685" s="57" t="n">
        <v>0</v>
      </c>
      <c r="N685" s="57" t="n">
        <v>1</v>
      </c>
      <c r="O685" s="60" t="n">
        <v>70</v>
      </c>
      <c r="P685" s="55" t="s">
        <v>168</v>
      </c>
      <c r="Q685" s="57"/>
      <c r="R685" s="60" t="n">
        <f aca="false">IF(BT685=1,0,IFERROR(VLOOKUP(BR685,'Gebinde-Kategorie'!$A$5:$M$45,13,0)+0,0))</f>
        <v>0</v>
      </c>
      <c r="S685" s="61"/>
      <c r="T685" s="62"/>
      <c r="U685" s="62"/>
      <c r="V685" s="62"/>
      <c r="W685" s="55"/>
      <c r="X685" s="57"/>
      <c r="Y685" s="57"/>
      <c r="Z685" s="55" t="str">
        <f aca="false">IF(A685="","",IF(AND(Parameter!$B$21="Ja",ISNUMBER(W685)),W685,IF(BV685="2+3",IF(ISNUMBER(SEARCH("grosser Artikel",BO685)),2,IFERROR(VLOOKUP(BR685,Parameter!$F$35:$G$64,2,0),2)),IF(OR(BV685="Nein",BV685=""),"-",BV685))))</f>
        <v>-</v>
      </c>
      <c r="AA685" s="62"/>
      <c r="AB685" s="63"/>
      <c r="AC685" s="57" t="n">
        <f aca="false">AR685</f>
        <v>2</v>
      </c>
      <c r="AD685" s="57" t="n">
        <f aca="false">MAX(AR685,H685)</f>
        <v>2</v>
      </c>
      <c r="AE685" s="64"/>
      <c r="AF685" s="57" t="n">
        <f aca="false">IF(LEFT(Cockpit!$C$5,1)="A",H685,IF(CA685=1,CB685,IF(LEFT(Cockpit!$C$5,1)="B",AJ685,MAX(AJ685,H685))))</f>
        <v>0</v>
      </c>
      <c r="AG685" s="57" t="n">
        <f aca="false">IF(BT685=1,0,ROUNDUP(AF685/BS685,0))</f>
        <v>0</v>
      </c>
      <c r="AH685" s="59" t="n">
        <f aca="false">IF(CH685&gt;0,CH685*MAX(1,AF685/X685),IF(BT685=1,IF(AF685&lt;=0,0,BW685*MAX(1,IF(H685&gt;0,AF685/H685,1))),IF(R685&gt;0,AG685/R685,0))/MAX(0.1,N(Parameter!$M$21)))</f>
        <v>0</v>
      </c>
      <c r="AI685" s="57" t="n">
        <f aca="false">AF685*G685</f>
        <v>0</v>
      </c>
      <c r="AJ685" s="57" t="n">
        <f aca="false">ROUNDUP(MAX(J685/IF(BZ685&gt;0,BZ685,MAX(0.1,N(Cockpit!$C$6))),CC685)/BS685,0)*BS685</f>
        <v>2</v>
      </c>
      <c r="AK685" s="58" t="n">
        <f aca="false">IF(AH685&gt;0,J685/AH685,-1)</f>
        <v>-1</v>
      </c>
      <c r="AL685" s="58" t="str">
        <f aca="false">IF(AND(OR(BY685="L1",BY685="L23"),AH685&gt;0),SUMIFS($AH$7:$AH$1843,$BY$7:$BY$1843,BY685,$AK$7:$AK$1843,"&gt;"&amp;AK685)+SUMIFS($AH$7:$AH$1843,$BY$7:$BY$1843,BY685,$AK$7:$AK$1843,AK685,$BQ$7:$BQ$1843,"&lt;="&amp;BQ685),"")</f>
        <v/>
      </c>
      <c r="AM685" s="65" t="n">
        <f aca="false">IF(AL685="",0,MAX(0,MIN(1,(IF(BY685="L1",Parameter!$E$5,Parameter!$E$6+Parameter!$E$7)-(AL685-AH685))/AH685)))</f>
        <v>0</v>
      </c>
      <c r="AN685" s="57" t="n">
        <f aca="false">IF(LEFT(Cockpit!$I$5,1)="A",H685,IF(CA685=1,CB685,IF(LEFT(Cockpit!$I$5,1)="B",AR685,MAX(AR685,H685))))</f>
        <v>2</v>
      </c>
      <c r="AO685" s="57" t="n">
        <f aca="false">IF(BT685=1,0,ROUNDUP(AN685/BS685,0))</f>
        <v>0</v>
      </c>
      <c r="AP685" s="59" t="n">
        <f aca="false">IF(CH685&gt;0,CH685*MAX(1,AN685/X685),IF(BT685=1,IF(AN685&lt;=0,0,BW685*MAX(1,IF(H685&gt;0,AN685/H685,1))),IF(R685&gt;0,AO685/R685,0))/MAX(0.1,N(Parameter!$M$21)))</f>
        <v>0.15</v>
      </c>
      <c r="AQ685" s="57" t="n">
        <f aca="false">AN685*G685</f>
        <v>6314.64</v>
      </c>
      <c r="AR685" s="57" t="n">
        <f aca="false">ROUNDUP(MAX(J685/IF(BZ685&gt;0,BZ685,MAX(0.1,N(Cockpit!$I$6))),CC685)/BS685,0)*BS685</f>
        <v>2</v>
      </c>
      <c r="AS685" s="58" t="n">
        <f aca="false">IF(AP685&gt;0,J685/AP685,-1)</f>
        <v>20</v>
      </c>
      <c r="AT685" s="58" t="str">
        <f aca="false">IF(AND(OR(BY685="L1",BY685="L23"),AP685&gt;0),SUMIFS($AP$7:$AP$1843,$BY$7:$BY$1843,BY685,$AS$7:$AS$1843,"&gt;"&amp;AS685)+SUMIFS($AP$7:$AP$1843,$BY$7:$BY$1843,BY685,$AS$7:$AS$1843,AS685,$BQ$7:$BQ$1843,"&lt;="&amp;BQ685),"")</f>
        <v/>
      </c>
      <c r="AU685" s="65" t="n">
        <f aca="false">IF(AT685="",0,MAX(0,MIN(1,(IF(BY685="L1",Parameter!$E$5,Parameter!$E$6+Parameter!$E$7)-(AT685-AP685))/AP685)))</f>
        <v>0</v>
      </c>
      <c r="AV685" s="57" t="n">
        <f aca="false">IF(LEFT(Cockpit!$O$5,1)="A",H685,IF(CA685=1,CB685,IF(LEFT(Cockpit!$O$5,1)="B",AZ685,MAX(AZ685,H685))))</f>
        <v>1</v>
      </c>
      <c r="AW685" s="57" t="n">
        <f aca="false">IF(BT685=1,0,ROUNDUP(AV685/BS685,0))</f>
        <v>0</v>
      </c>
      <c r="AX685" s="59" t="n">
        <f aca="false">IF(CH685&gt;0,CH685*MAX(1,AV685/X685),IF(BT685=1,IF(AV685&lt;=0,0,BW685*MAX(1,IF(H685&gt;0,AV685/H685,1))),IF(R685&gt;0,AW685/R685,0))/MAX(0.1,N(Parameter!$M$21)))</f>
        <v>0.15</v>
      </c>
      <c r="AY685" s="57" t="n">
        <f aca="false">AV685*G685</f>
        <v>3157.32</v>
      </c>
      <c r="AZ685" s="57" t="n">
        <f aca="false">ROUNDUP(MAX(J685/IF(BZ685&gt;0,BZ685,MAX(0.1,N(Cockpit!$O$6))),CC685)/BS685,0)*BS685</f>
        <v>1</v>
      </c>
      <c r="BA685" s="58" t="n">
        <f aca="false">IF(AX685&gt;0,J685/AX685,-1)</f>
        <v>20</v>
      </c>
      <c r="BB685" s="58" t="str">
        <f aca="false">IF(AND(OR(BY685="L1",BY685="L23"),AX685&gt;0),SUMIFS($AX$7:$AX$1843,$BY$7:$BY$1843,BY685,$BA$7:$BA$1843,"&gt;"&amp;BA685)+SUMIFS($AX$7:$AX$1843,$BY$7:$BY$1843,BY685,$BA$7:$BA$1843,BA685,$BQ$7:$BQ$1843,"&lt;="&amp;BQ685),"")</f>
        <v/>
      </c>
      <c r="BC685" s="65" t="n">
        <f aca="false">IF(BB685="",0,MAX(0,MIN(1,(IF(BY685="L1",Parameter!$E$5,Parameter!$E$6+Parameter!$E$7)-(BB685-AX685))/AX685)))</f>
        <v>0</v>
      </c>
      <c r="BD685" s="55" t="str">
        <f aca="false">IF(AH685&lt;=0,"",IF(BY685="Aussen","Aussenlager",IF(BY685="-","Nicht im Lift",IF(AM685&gt;=1,"Lift",IF(AM685&lt;=0,"Aussenlager","teilweise")))))</f>
        <v/>
      </c>
      <c r="BE685" s="55" t="str">
        <f aca="false">IF(AP685&lt;=0,"",IF(BY685="Aussen","Aussenlager",IF(BY685="-","Nicht im Lift",IF(AU685&gt;=1,"Lift",IF(AU685&lt;=0,"Aussenlager","teilweise")))))</f>
        <v>Nicht im Lift</v>
      </c>
      <c r="BF685" s="55" t="str">
        <f aca="false">IF(AX685&lt;=0,"",IF(BY685="Aussen","Aussenlager",IF(BY685="-","Nicht im Lift",IF(BC685&gt;=1,"Lift",IF(BC685&lt;=0,"Aussenlager","teilweise")))))</f>
        <v>Nicht im Lift</v>
      </c>
      <c r="BG685" s="55" t="str">
        <f aca="false">IF(A685="","",IF(BP685=1,"Neu; ","")&amp;IF(AND(BP685=0,BK685&lt;0),"negativer Bestand (Export "&amp;BK685&amp;"); ","")&amp;IF(J685&lt;=0,"Kein Verbrauch; ","")&amp;IF(CH685&gt;0,"Lift "&amp;W685&amp;" lt. Liftbericht (Fach "&amp;X685&amp;" Stk); ",IF(BU685=1,"Gebinde geschätzt ("&amp;T685&amp;"); ",IF(BT685=1,"Lose – Tablare geschätzt; ","")))&amp;IF(H685&gt;AR685,"Überbestand "&amp;ROUND(H685-AR685,0)&amp;" Stk / CHF "&amp;ROUND((H685-AR685)*G685,0)&amp;"; ","")&amp;IF(AND(CA685=1,CB685&lt;CC685),"MAX &lt; MB+LG; ","")&amp;IF(AND(CG685&gt;0,CF685*10&gt;CG685),"zu hoch für Tablar; ","")&amp;IF(AND(BP685=0,OR(CA685=1,AA685&lt;&gt;"",U685&lt;&gt;"",V685&lt;&gt;"",AB685&lt;&gt;"")),"manuell übersteuert; ","")&amp;IF(AND(BT685=0,R685=0),"Gebinde unbekannt / Stellmass fehlt; ","")&amp;IF(AND(BT685=0,N(V685)&lt;=0,N(Q685)&lt;=0),"Menge pro Gebinde fehlt (Ist = 1 Gebinde); ","")&amp;BO685)</f>
        <v>Lose – Tablare geschätzt; </v>
      </c>
      <c r="BH685" s="55"/>
      <c r="BI685" s="55"/>
      <c r="BJ685" s="62"/>
      <c r="BK685" s="57" t="n">
        <v>0</v>
      </c>
      <c r="BL685" s="57" t="n">
        <v>0</v>
      </c>
      <c r="BM685" s="56" t="n">
        <v>0</v>
      </c>
      <c r="BN685" s="57" t="n">
        <v>3</v>
      </c>
      <c r="BO685" s="55"/>
      <c r="BP685" s="60" t="n">
        <v>0</v>
      </c>
      <c r="BQ685" s="60" t="n">
        <v>685</v>
      </c>
      <c r="BR685" s="55" t="str">
        <f aca="false">IF(U685&lt;&gt;"",UPPER(TRIM(U685)),IF(BU685=1,UPPER(VLOOKUP(T685,Parameter!$I$27:$K$29,2,0)),IF(P685="","LOSE",P685)))</f>
        <v>LOSE</v>
      </c>
      <c r="BS685" s="57" t="n">
        <f aca="false">IF(BR685="LOSE",1,IF(N(V685)&gt;0,V685,IF(BU685=1,MAX(1,N(VLOOKUP(T685,Parameter!$I$27:$K$29,3,0)),H685,N(N685)),IF(N(Q685)&gt;0,Q685,MAX(1,H685)))))</f>
        <v>1</v>
      </c>
      <c r="BT685" s="60" t="n">
        <f aca="false">IF(BR685="LOSE",1,0)</f>
        <v>1</v>
      </c>
      <c r="BU685" s="60" t="n">
        <f aca="false">IF(AND(U685="",OR(P685="",P685="LOSE"),T685&lt;&gt;"",N(S685)&lt;=0,ISNUMBER(MATCH(T685,Parameter!$I$27:$I$29,0))),1,0)</f>
        <v>0</v>
      </c>
      <c r="BV685" s="55" t="str">
        <f aca="false">IF(AND(Parameter!$B$19="Ja",E685&lt;&gt;"",ISNUMBER(MATCH(E685,Parameter!$I$35:$I$52,0))),VLOOKUP(E685,Parameter!$I$35:$J$52,2,0),IFERROR(VLOOKUP(D685,Parameter!$A$35:$C$64,2,0),"Nein"))</f>
        <v>Nein</v>
      </c>
      <c r="BW685" s="59" t="n">
        <f aca="false">IF(BT685=0,0,IF(N(S685)&gt;0,S685,IFERROR(VLOOKUP(D685,Parameter!$A$35:$C$64,3,0)+0,0)))</f>
        <v>0.15</v>
      </c>
      <c r="BX685" s="55" t="str">
        <f aca="false">IF(AA685&lt;&gt;"",AA685,Z685)</f>
        <v>-</v>
      </c>
      <c r="BY685" s="55" t="str">
        <f aca="false">IF(BX685=1,"L1",IF(OR(BX685=2,BX685=3),"L23",IF(BX685="Aussen","Aussen","-")))</f>
        <v>-</v>
      </c>
      <c r="BZ685" s="66" t="n">
        <f aca="false">IF(N(AB685)&gt;0,AB685,0)</f>
        <v>0</v>
      </c>
      <c r="CA685" s="60" t="n">
        <f aca="false">IF(ISNUMBER(AE685),1,0)</f>
        <v>0</v>
      </c>
      <c r="CB685" s="57" t="n">
        <f aca="false">N(AE685)</f>
        <v>0</v>
      </c>
      <c r="CC685" s="57" t="n">
        <f aca="false">N(M685)+N(N685)</f>
        <v>1</v>
      </c>
      <c r="CD685" s="57" t="n">
        <f aca="false">ROUNDUP(H685/BS685,0)</f>
        <v>0</v>
      </c>
      <c r="CE685" s="57" t="n">
        <f aca="false">ROUNDUP(CB685/BS685,0)</f>
        <v>0</v>
      </c>
      <c r="CF685" s="60" t="n">
        <f aca="false">IF(BT685=1,0,IFERROR(VLOOKUP(BR685,'Gebinde-Kategorie'!$A$5:$M$45,5,0)+0,0))</f>
        <v>0</v>
      </c>
      <c r="CG685" s="60" t="n">
        <f aca="false">IFERROR(IF(OR(BX685=1,BX685=2,BX685=3),N(INDEX(Parameter!$I$5:$I$7,BX685)),0),0)</f>
        <v>0</v>
      </c>
      <c r="CH685" s="59" t="n">
        <f aca="false">IF(AND(Parameter!$B$21="Ja",ISNUMBER(W685),N(X685)&gt;0),IFERROR(N(INDEX(Parameter!$L$5:$L$7,W685))*INDEX(Parameter!$E$5:$E$7,W685)*X685/SUMIFS($X$7:$X$1843,$W$7:$W$1843,W685),0),0)</f>
        <v>0</v>
      </c>
    </row>
    <row r="686" customFormat="false" ht="15" hidden="false" customHeight="false" outlineLevel="0" collapsed="false">
      <c r="A686" s="55" t="s">
        <v>1374</v>
      </c>
      <c r="B686" s="55" t="s">
        <v>1338</v>
      </c>
      <c r="C686" s="55" t="s">
        <v>164</v>
      </c>
      <c r="D686" s="55" t="s">
        <v>1339</v>
      </c>
      <c r="E686" s="55"/>
      <c r="F686" s="55" t="s">
        <v>218</v>
      </c>
      <c r="G686" s="56" t="n">
        <v>0.65</v>
      </c>
      <c r="H686" s="57" t="n">
        <f aca="false">MAX(0,IF(AND(Parameter!$B$21="Ja",ISNUMBER(Y686)),Y686,IF(Parameter!$B$20="Jahresanfang 2025 + Export",BL686+BK686,BK686)))</f>
        <v>0</v>
      </c>
      <c r="I686" s="57" t="n">
        <f aca="false">H686*G686</f>
        <v>0</v>
      </c>
      <c r="J686" s="57" t="n">
        <f aca="false">BN686*Parameter!$B$18</f>
        <v>0</v>
      </c>
      <c r="K686" s="58" t="n">
        <v>0</v>
      </c>
      <c r="L686" s="59" t="n">
        <v>0</v>
      </c>
      <c r="M686" s="57" t="n">
        <v>0</v>
      </c>
      <c r="N686" s="57" t="n">
        <v>1000</v>
      </c>
      <c r="O686" s="60" t="n">
        <v>21</v>
      </c>
      <c r="P686" s="55" t="s">
        <v>168</v>
      </c>
      <c r="Q686" s="57"/>
      <c r="R686" s="60" t="n">
        <f aca="false">IF(BT686=1,0,IFERROR(VLOOKUP(BR686,'Gebinde-Kategorie'!$A$5:$M$45,13,0)+0,0))</f>
        <v>0</v>
      </c>
      <c r="S686" s="61"/>
      <c r="T686" s="62"/>
      <c r="U686" s="62"/>
      <c r="V686" s="62"/>
      <c r="W686" s="55"/>
      <c r="X686" s="57"/>
      <c r="Y686" s="57"/>
      <c r="Z686" s="55" t="str">
        <f aca="false">IF(A686="","",IF(AND(Parameter!$B$21="Ja",ISNUMBER(W686)),W686,IF(BV686="2+3",IF(ISNUMBER(SEARCH("grosser Artikel",BO686)),2,IFERROR(VLOOKUP(BR686,Parameter!$F$35:$G$64,2,0),2)),IF(OR(BV686="Nein",BV686=""),"-",BV686))))</f>
        <v>-</v>
      </c>
      <c r="AA686" s="62"/>
      <c r="AB686" s="63"/>
      <c r="AC686" s="57" t="n">
        <f aca="false">AR686</f>
        <v>1000</v>
      </c>
      <c r="AD686" s="57" t="n">
        <f aca="false">MAX(AR686,H686)</f>
        <v>1000</v>
      </c>
      <c r="AE686" s="64"/>
      <c r="AF686" s="57" t="n">
        <f aca="false">IF(LEFT(Cockpit!$C$5,1)="A",H686,IF(CA686=1,CB686,IF(LEFT(Cockpit!$C$5,1)="B",AJ686,MAX(AJ686,H686))))</f>
        <v>0</v>
      </c>
      <c r="AG686" s="57" t="n">
        <f aca="false">IF(BT686=1,0,ROUNDUP(AF686/BS686,0))</f>
        <v>0</v>
      </c>
      <c r="AH686" s="59" t="n">
        <f aca="false">IF(CH686&gt;0,CH686*MAX(1,AF686/X686),IF(BT686=1,IF(AF686&lt;=0,0,BW686*MAX(1,IF(H686&gt;0,AF686/H686,1))),IF(R686&gt;0,AG686/R686,0))/MAX(0.1,N(Parameter!$M$21)))</f>
        <v>0</v>
      </c>
      <c r="AI686" s="57" t="n">
        <f aca="false">AF686*G686</f>
        <v>0</v>
      </c>
      <c r="AJ686" s="57" t="n">
        <f aca="false">ROUNDUP(MAX(J686/IF(BZ686&gt;0,BZ686,MAX(0.1,N(Cockpit!$C$6))),CC686)/BS686,0)*BS686</f>
        <v>1000</v>
      </c>
      <c r="AK686" s="58" t="n">
        <f aca="false">IF(AH686&gt;0,J686/AH686,-1)</f>
        <v>-1</v>
      </c>
      <c r="AL686" s="58" t="str">
        <f aca="false">IF(AND(OR(BY686="L1",BY686="L23"),AH686&gt;0),SUMIFS($AH$7:$AH$1843,$BY$7:$BY$1843,BY686,$AK$7:$AK$1843,"&gt;"&amp;AK686)+SUMIFS($AH$7:$AH$1843,$BY$7:$BY$1843,BY686,$AK$7:$AK$1843,AK686,$BQ$7:$BQ$1843,"&lt;="&amp;BQ686),"")</f>
        <v/>
      </c>
      <c r="AM686" s="65" t="n">
        <f aca="false">IF(AL686="",0,MAX(0,MIN(1,(IF(BY686="L1",Parameter!$E$5,Parameter!$E$6+Parameter!$E$7)-(AL686-AH686))/AH686)))</f>
        <v>0</v>
      </c>
      <c r="AN686" s="57" t="n">
        <f aca="false">IF(LEFT(Cockpit!$I$5,1)="A",H686,IF(CA686=1,CB686,IF(LEFT(Cockpit!$I$5,1)="B",AR686,MAX(AR686,H686))))</f>
        <v>1000</v>
      </c>
      <c r="AO686" s="57" t="n">
        <f aca="false">IF(BT686=1,0,ROUNDUP(AN686/BS686,0))</f>
        <v>0</v>
      </c>
      <c r="AP686" s="59" t="n">
        <f aca="false">IF(CH686&gt;0,CH686*MAX(1,AN686/X686),IF(BT686=1,IF(AN686&lt;=0,0,BW686*MAX(1,IF(H686&gt;0,AN686/H686,1))),IF(R686&gt;0,AO686/R686,0))/MAX(0.1,N(Parameter!$M$21)))</f>
        <v>0.15</v>
      </c>
      <c r="AQ686" s="57" t="n">
        <f aca="false">AN686*G686</f>
        <v>650</v>
      </c>
      <c r="AR686" s="57" t="n">
        <f aca="false">ROUNDUP(MAX(J686/IF(BZ686&gt;0,BZ686,MAX(0.1,N(Cockpit!$I$6))),CC686)/BS686,0)*BS686</f>
        <v>1000</v>
      </c>
      <c r="AS686" s="58" t="n">
        <f aca="false">IF(AP686&gt;0,J686/AP686,-1)</f>
        <v>0</v>
      </c>
      <c r="AT686" s="58" t="str">
        <f aca="false">IF(AND(OR(BY686="L1",BY686="L23"),AP686&gt;0),SUMIFS($AP$7:$AP$1843,$BY$7:$BY$1843,BY686,$AS$7:$AS$1843,"&gt;"&amp;AS686)+SUMIFS($AP$7:$AP$1843,$BY$7:$BY$1843,BY686,$AS$7:$AS$1843,AS686,$BQ$7:$BQ$1843,"&lt;="&amp;BQ686),"")</f>
        <v/>
      </c>
      <c r="AU686" s="65" t="n">
        <f aca="false">IF(AT686="",0,MAX(0,MIN(1,(IF(BY686="L1",Parameter!$E$5,Parameter!$E$6+Parameter!$E$7)-(AT686-AP686))/AP686)))</f>
        <v>0</v>
      </c>
      <c r="AV686" s="57" t="n">
        <f aca="false">IF(LEFT(Cockpit!$O$5,1)="A",H686,IF(CA686=1,CB686,IF(LEFT(Cockpit!$O$5,1)="B",AZ686,MAX(AZ686,H686))))</f>
        <v>1000</v>
      </c>
      <c r="AW686" s="57" t="n">
        <f aca="false">IF(BT686=1,0,ROUNDUP(AV686/BS686,0))</f>
        <v>0</v>
      </c>
      <c r="AX686" s="59" t="n">
        <f aca="false">IF(CH686&gt;0,CH686*MAX(1,AV686/X686),IF(BT686=1,IF(AV686&lt;=0,0,BW686*MAX(1,IF(H686&gt;0,AV686/H686,1))),IF(R686&gt;0,AW686/R686,0))/MAX(0.1,N(Parameter!$M$21)))</f>
        <v>0.15</v>
      </c>
      <c r="AY686" s="57" t="n">
        <f aca="false">AV686*G686</f>
        <v>650</v>
      </c>
      <c r="AZ686" s="57" t="n">
        <f aca="false">ROUNDUP(MAX(J686/IF(BZ686&gt;0,BZ686,MAX(0.1,N(Cockpit!$O$6))),CC686)/BS686,0)*BS686</f>
        <v>1000</v>
      </c>
      <c r="BA686" s="58" t="n">
        <f aca="false">IF(AX686&gt;0,J686/AX686,-1)</f>
        <v>0</v>
      </c>
      <c r="BB686" s="58" t="str">
        <f aca="false">IF(AND(OR(BY686="L1",BY686="L23"),AX686&gt;0),SUMIFS($AX$7:$AX$1843,$BY$7:$BY$1843,BY686,$BA$7:$BA$1843,"&gt;"&amp;BA686)+SUMIFS($AX$7:$AX$1843,$BY$7:$BY$1843,BY686,$BA$7:$BA$1843,BA686,$BQ$7:$BQ$1843,"&lt;="&amp;BQ686),"")</f>
        <v/>
      </c>
      <c r="BC686" s="65" t="n">
        <f aca="false">IF(BB686="",0,MAX(0,MIN(1,(IF(BY686="L1",Parameter!$E$5,Parameter!$E$6+Parameter!$E$7)-(BB686-AX686))/AX686)))</f>
        <v>0</v>
      </c>
      <c r="BD686" s="55" t="str">
        <f aca="false">IF(AH686&lt;=0,"",IF(BY686="Aussen","Aussenlager",IF(BY686="-","Nicht im Lift",IF(AM686&gt;=1,"Lift",IF(AM686&lt;=0,"Aussenlager","teilweise")))))</f>
        <v/>
      </c>
      <c r="BE686" s="55" t="str">
        <f aca="false">IF(AP686&lt;=0,"",IF(BY686="Aussen","Aussenlager",IF(BY686="-","Nicht im Lift",IF(AU686&gt;=1,"Lift",IF(AU686&lt;=0,"Aussenlager","teilweise")))))</f>
        <v>Nicht im Lift</v>
      </c>
      <c r="BF686" s="55" t="str">
        <f aca="false">IF(AX686&lt;=0,"",IF(BY686="Aussen","Aussenlager",IF(BY686="-","Nicht im Lift",IF(BC686&gt;=1,"Lift",IF(BC686&lt;=0,"Aussenlager","teilweise")))))</f>
        <v>Nicht im Lift</v>
      </c>
      <c r="BG686" s="55" t="str">
        <f aca="false">IF(A686="","",IF(BP686=1,"Neu; ","")&amp;IF(AND(BP686=0,BK686&lt;0),"negativer Bestand (Export "&amp;BK686&amp;"); ","")&amp;IF(J686&lt;=0,"Kein Verbrauch; ","")&amp;IF(CH686&gt;0,"Lift "&amp;W686&amp;" lt. Liftbericht (Fach "&amp;X686&amp;" Stk); ",IF(BU686=1,"Gebinde geschätzt ("&amp;T686&amp;"); ",IF(BT686=1,"Lose – Tablare geschätzt; ","")))&amp;IF(H686&gt;AR686,"Überbestand "&amp;ROUND(H686-AR686,0)&amp;" Stk / CHF "&amp;ROUND((H686-AR686)*G686,0)&amp;"; ","")&amp;IF(AND(CA686=1,CB686&lt;CC686),"MAX &lt; MB+LG; ","")&amp;IF(AND(CG686&gt;0,CF686*10&gt;CG686),"zu hoch für Tablar; ","")&amp;IF(AND(BP686=0,OR(CA686=1,AA686&lt;&gt;"",U686&lt;&gt;"",V686&lt;&gt;"",AB686&lt;&gt;"")),"manuell übersteuert; ","")&amp;IF(AND(BT686=0,R686=0),"Gebinde unbekannt / Stellmass fehlt; ","")&amp;IF(AND(BT686=0,N(V686)&lt;=0,N(Q686)&lt;=0),"Menge pro Gebinde fehlt (Ist = 1 Gebinde); ","")&amp;BO686)</f>
        <v>Kein Verbrauch; Lose – Tablare geschätzt; </v>
      </c>
      <c r="BH686" s="55"/>
      <c r="BI686" s="55"/>
      <c r="BJ686" s="62"/>
      <c r="BK686" s="57" t="n">
        <v>0</v>
      </c>
      <c r="BL686" s="57" t="n">
        <v>0</v>
      </c>
      <c r="BM686" s="56" t="n">
        <v>0</v>
      </c>
      <c r="BN686" s="57" t="n">
        <v>0</v>
      </c>
      <c r="BO686" s="55"/>
      <c r="BP686" s="60" t="n">
        <v>0</v>
      </c>
      <c r="BQ686" s="60" t="n">
        <v>686</v>
      </c>
      <c r="BR686" s="55" t="str">
        <f aca="false">IF(U686&lt;&gt;"",UPPER(TRIM(U686)),IF(BU686=1,UPPER(VLOOKUP(T686,Parameter!$I$27:$K$29,2,0)),IF(P686="","LOSE",P686)))</f>
        <v>LOSE</v>
      </c>
      <c r="BS686" s="57" t="n">
        <f aca="false">IF(BR686="LOSE",1,IF(N(V686)&gt;0,V686,IF(BU686=1,MAX(1,N(VLOOKUP(T686,Parameter!$I$27:$K$29,3,0)),H686,N(N686)),IF(N(Q686)&gt;0,Q686,MAX(1,H686)))))</f>
        <v>1</v>
      </c>
      <c r="BT686" s="60" t="n">
        <f aca="false">IF(BR686="LOSE",1,0)</f>
        <v>1</v>
      </c>
      <c r="BU686" s="60" t="n">
        <f aca="false">IF(AND(U686="",OR(P686="",P686="LOSE"),T686&lt;&gt;"",N(S686)&lt;=0,ISNUMBER(MATCH(T686,Parameter!$I$27:$I$29,0))),1,0)</f>
        <v>0</v>
      </c>
      <c r="BV686" s="55" t="str">
        <f aca="false">IF(AND(Parameter!$B$19="Ja",E686&lt;&gt;"",ISNUMBER(MATCH(E686,Parameter!$I$35:$I$52,0))),VLOOKUP(E686,Parameter!$I$35:$J$52,2,0),IFERROR(VLOOKUP(D686,Parameter!$A$35:$C$64,2,0),"Nein"))</f>
        <v>Nein</v>
      </c>
      <c r="BW686" s="59" t="n">
        <f aca="false">IF(BT686=0,0,IF(N(S686)&gt;0,S686,IFERROR(VLOOKUP(D686,Parameter!$A$35:$C$64,3,0)+0,0)))</f>
        <v>0.15</v>
      </c>
      <c r="BX686" s="55" t="str">
        <f aca="false">IF(AA686&lt;&gt;"",AA686,Z686)</f>
        <v>-</v>
      </c>
      <c r="BY686" s="55" t="str">
        <f aca="false">IF(BX686=1,"L1",IF(OR(BX686=2,BX686=3),"L23",IF(BX686="Aussen","Aussen","-")))</f>
        <v>-</v>
      </c>
      <c r="BZ686" s="66" t="n">
        <f aca="false">IF(N(AB686)&gt;0,AB686,0)</f>
        <v>0</v>
      </c>
      <c r="CA686" s="60" t="n">
        <f aca="false">IF(ISNUMBER(AE686),1,0)</f>
        <v>0</v>
      </c>
      <c r="CB686" s="57" t="n">
        <f aca="false">N(AE686)</f>
        <v>0</v>
      </c>
      <c r="CC686" s="57" t="n">
        <f aca="false">N(M686)+N(N686)</f>
        <v>1000</v>
      </c>
      <c r="CD686" s="57" t="n">
        <f aca="false">ROUNDUP(H686/BS686,0)</f>
        <v>0</v>
      </c>
      <c r="CE686" s="57" t="n">
        <f aca="false">ROUNDUP(CB686/BS686,0)</f>
        <v>0</v>
      </c>
      <c r="CF686" s="60" t="n">
        <f aca="false">IF(BT686=1,0,IFERROR(VLOOKUP(BR686,'Gebinde-Kategorie'!$A$5:$M$45,5,0)+0,0))</f>
        <v>0</v>
      </c>
      <c r="CG686" s="60" t="n">
        <f aca="false">IFERROR(IF(OR(BX686=1,BX686=2,BX686=3),N(INDEX(Parameter!$I$5:$I$7,BX686)),0),0)</f>
        <v>0</v>
      </c>
      <c r="CH686" s="59" t="n">
        <f aca="false">IF(AND(Parameter!$B$21="Ja",ISNUMBER(W686),N(X686)&gt;0),IFERROR(N(INDEX(Parameter!$L$5:$L$7,W686))*INDEX(Parameter!$E$5:$E$7,W686)*X686/SUMIFS($X$7:$X$1843,$W$7:$W$1843,W686),0),0)</f>
        <v>0</v>
      </c>
    </row>
    <row r="687" customFormat="false" ht="15" hidden="false" customHeight="false" outlineLevel="0" collapsed="false">
      <c r="A687" s="55" t="s">
        <v>1375</v>
      </c>
      <c r="B687" s="55" t="s">
        <v>1362</v>
      </c>
      <c r="C687" s="55" t="s">
        <v>164</v>
      </c>
      <c r="D687" s="55" t="s">
        <v>995</v>
      </c>
      <c r="E687" s="55"/>
      <c r="F687" s="55" t="s">
        <v>218</v>
      </c>
      <c r="G687" s="56" t="n">
        <v>2743.64</v>
      </c>
      <c r="H687" s="57" t="n">
        <f aca="false">MAX(0,IF(AND(Parameter!$B$21="Ja",ISNUMBER(Y687)),Y687,IF(Parameter!$B$20="Jahresanfang 2025 + Export",BL687+BK687,BK687)))</f>
        <v>0</v>
      </c>
      <c r="I687" s="57" t="n">
        <f aca="false">H687*G687</f>
        <v>0</v>
      </c>
      <c r="J687" s="57" t="n">
        <f aca="false">BN687*Parameter!$B$18</f>
        <v>3</v>
      </c>
      <c r="K687" s="58" t="n">
        <v>0</v>
      </c>
      <c r="L687" s="59" t="n">
        <v>0</v>
      </c>
      <c r="M687" s="57" t="n">
        <v>0</v>
      </c>
      <c r="N687" s="57" t="n">
        <v>1</v>
      </c>
      <c r="O687" s="60" t="n">
        <v>70</v>
      </c>
      <c r="P687" s="55" t="s">
        <v>168</v>
      </c>
      <c r="Q687" s="57"/>
      <c r="R687" s="60" t="n">
        <f aca="false">IF(BT687=1,0,IFERROR(VLOOKUP(BR687,'Gebinde-Kategorie'!$A$5:$M$45,13,0)+0,0))</f>
        <v>0</v>
      </c>
      <c r="S687" s="61"/>
      <c r="T687" s="62"/>
      <c r="U687" s="62"/>
      <c r="V687" s="62"/>
      <c r="W687" s="55"/>
      <c r="X687" s="57"/>
      <c r="Y687" s="57"/>
      <c r="Z687" s="55" t="str">
        <f aca="false">IF(A687="","",IF(AND(Parameter!$B$21="Ja",ISNUMBER(W687)),W687,IF(BV687="2+3",IF(ISNUMBER(SEARCH("grosser Artikel",BO687)),2,IFERROR(VLOOKUP(BR687,Parameter!$F$35:$G$64,2,0),2)),IF(OR(BV687="Nein",BV687=""),"-",BV687))))</f>
        <v>-</v>
      </c>
      <c r="AA687" s="62"/>
      <c r="AB687" s="63"/>
      <c r="AC687" s="57" t="n">
        <f aca="false">AR687</f>
        <v>2</v>
      </c>
      <c r="AD687" s="57" t="n">
        <f aca="false">MAX(AR687,H687)</f>
        <v>2</v>
      </c>
      <c r="AE687" s="64"/>
      <c r="AF687" s="57" t="n">
        <f aca="false">IF(LEFT(Cockpit!$C$5,1)="A",H687,IF(CA687=1,CB687,IF(LEFT(Cockpit!$C$5,1)="B",AJ687,MAX(AJ687,H687))))</f>
        <v>0</v>
      </c>
      <c r="AG687" s="57" t="n">
        <f aca="false">IF(BT687=1,0,ROUNDUP(AF687/BS687,0))</f>
        <v>0</v>
      </c>
      <c r="AH687" s="59" t="n">
        <f aca="false">IF(CH687&gt;0,CH687*MAX(1,AF687/X687),IF(BT687=1,IF(AF687&lt;=0,0,BW687*MAX(1,IF(H687&gt;0,AF687/H687,1))),IF(R687&gt;0,AG687/R687,0))/MAX(0.1,N(Parameter!$M$21)))</f>
        <v>0</v>
      </c>
      <c r="AI687" s="57" t="n">
        <f aca="false">AF687*G687</f>
        <v>0</v>
      </c>
      <c r="AJ687" s="57" t="n">
        <f aca="false">ROUNDUP(MAX(J687/IF(BZ687&gt;0,BZ687,MAX(0.1,N(Cockpit!$C$6))),CC687)/BS687,0)*BS687</f>
        <v>2</v>
      </c>
      <c r="AK687" s="58" t="n">
        <f aca="false">IF(AH687&gt;0,J687/AH687,-1)</f>
        <v>-1</v>
      </c>
      <c r="AL687" s="58" t="str">
        <f aca="false">IF(AND(OR(BY687="L1",BY687="L23"),AH687&gt;0),SUMIFS($AH$7:$AH$1843,$BY$7:$BY$1843,BY687,$AK$7:$AK$1843,"&gt;"&amp;AK687)+SUMIFS($AH$7:$AH$1843,$BY$7:$BY$1843,BY687,$AK$7:$AK$1843,AK687,$BQ$7:$BQ$1843,"&lt;="&amp;BQ687),"")</f>
        <v/>
      </c>
      <c r="AM687" s="65" t="n">
        <f aca="false">IF(AL687="",0,MAX(0,MIN(1,(IF(BY687="L1",Parameter!$E$5,Parameter!$E$6+Parameter!$E$7)-(AL687-AH687))/AH687)))</f>
        <v>0</v>
      </c>
      <c r="AN687" s="57" t="n">
        <f aca="false">IF(LEFT(Cockpit!$I$5,1)="A",H687,IF(CA687=1,CB687,IF(LEFT(Cockpit!$I$5,1)="B",AR687,MAX(AR687,H687))))</f>
        <v>2</v>
      </c>
      <c r="AO687" s="57" t="n">
        <f aca="false">IF(BT687=1,0,ROUNDUP(AN687/BS687,0))</f>
        <v>0</v>
      </c>
      <c r="AP687" s="59" t="n">
        <f aca="false">IF(CH687&gt;0,CH687*MAX(1,AN687/X687),IF(BT687=1,IF(AN687&lt;=0,0,BW687*MAX(1,IF(H687&gt;0,AN687/H687,1))),IF(R687&gt;0,AO687/R687,0))/MAX(0.1,N(Parameter!$M$21)))</f>
        <v>0.15</v>
      </c>
      <c r="AQ687" s="57" t="n">
        <f aca="false">AN687*G687</f>
        <v>5487.28</v>
      </c>
      <c r="AR687" s="57" t="n">
        <f aca="false">ROUNDUP(MAX(J687/IF(BZ687&gt;0,BZ687,MAX(0.1,N(Cockpit!$I$6))),CC687)/BS687,0)*BS687</f>
        <v>2</v>
      </c>
      <c r="AS687" s="58" t="n">
        <f aca="false">IF(AP687&gt;0,J687/AP687,-1)</f>
        <v>20</v>
      </c>
      <c r="AT687" s="58" t="str">
        <f aca="false">IF(AND(OR(BY687="L1",BY687="L23"),AP687&gt;0),SUMIFS($AP$7:$AP$1843,$BY$7:$BY$1843,BY687,$AS$7:$AS$1843,"&gt;"&amp;AS687)+SUMIFS($AP$7:$AP$1843,$BY$7:$BY$1843,BY687,$AS$7:$AS$1843,AS687,$BQ$7:$BQ$1843,"&lt;="&amp;BQ687),"")</f>
        <v/>
      </c>
      <c r="AU687" s="65" t="n">
        <f aca="false">IF(AT687="",0,MAX(0,MIN(1,(IF(BY687="L1",Parameter!$E$5,Parameter!$E$6+Parameter!$E$7)-(AT687-AP687))/AP687)))</f>
        <v>0</v>
      </c>
      <c r="AV687" s="57" t="n">
        <f aca="false">IF(LEFT(Cockpit!$O$5,1)="A",H687,IF(CA687=1,CB687,IF(LEFT(Cockpit!$O$5,1)="B",AZ687,MAX(AZ687,H687))))</f>
        <v>1</v>
      </c>
      <c r="AW687" s="57" t="n">
        <f aca="false">IF(BT687=1,0,ROUNDUP(AV687/BS687,0))</f>
        <v>0</v>
      </c>
      <c r="AX687" s="59" t="n">
        <f aca="false">IF(CH687&gt;0,CH687*MAX(1,AV687/X687),IF(BT687=1,IF(AV687&lt;=0,0,BW687*MAX(1,IF(H687&gt;0,AV687/H687,1))),IF(R687&gt;0,AW687/R687,0))/MAX(0.1,N(Parameter!$M$21)))</f>
        <v>0.15</v>
      </c>
      <c r="AY687" s="57" t="n">
        <f aca="false">AV687*G687</f>
        <v>2743.64</v>
      </c>
      <c r="AZ687" s="57" t="n">
        <f aca="false">ROUNDUP(MAX(J687/IF(BZ687&gt;0,BZ687,MAX(0.1,N(Cockpit!$O$6))),CC687)/BS687,0)*BS687</f>
        <v>1</v>
      </c>
      <c r="BA687" s="58" t="n">
        <f aca="false">IF(AX687&gt;0,J687/AX687,-1)</f>
        <v>20</v>
      </c>
      <c r="BB687" s="58" t="str">
        <f aca="false">IF(AND(OR(BY687="L1",BY687="L23"),AX687&gt;0),SUMIFS($AX$7:$AX$1843,$BY$7:$BY$1843,BY687,$BA$7:$BA$1843,"&gt;"&amp;BA687)+SUMIFS($AX$7:$AX$1843,$BY$7:$BY$1843,BY687,$BA$7:$BA$1843,BA687,$BQ$7:$BQ$1843,"&lt;="&amp;BQ687),"")</f>
        <v/>
      </c>
      <c r="BC687" s="65" t="n">
        <f aca="false">IF(BB687="",0,MAX(0,MIN(1,(IF(BY687="L1",Parameter!$E$5,Parameter!$E$6+Parameter!$E$7)-(BB687-AX687))/AX687)))</f>
        <v>0</v>
      </c>
      <c r="BD687" s="55" t="str">
        <f aca="false">IF(AH687&lt;=0,"",IF(BY687="Aussen","Aussenlager",IF(BY687="-","Nicht im Lift",IF(AM687&gt;=1,"Lift",IF(AM687&lt;=0,"Aussenlager","teilweise")))))</f>
        <v/>
      </c>
      <c r="BE687" s="55" t="str">
        <f aca="false">IF(AP687&lt;=0,"",IF(BY687="Aussen","Aussenlager",IF(BY687="-","Nicht im Lift",IF(AU687&gt;=1,"Lift",IF(AU687&lt;=0,"Aussenlager","teilweise")))))</f>
        <v>Nicht im Lift</v>
      </c>
      <c r="BF687" s="55" t="str">
        <f aca="false">IF(AX687&lt;=0,"",IF(BY687="Aussen","Aussenlager",IF(BY687="-","Nicht im Lift",IF(BC687&gt;=1,"Lift",IF(BC687&lt;=0,"Aussenlager","teilweise")))))</f>
        <v>Nicht im Lift</v>
      </c>
      <c r="BG687" s="55" t="str">
        <f aca="false">IF(A687="","",IF(BP687=1,"Neu; ","")&amp;IF(AND(BP687=0,BK687&lt;0),"negativer Bestand (Export "&amp;BK687&amp;"); ","")&amp;IF(J687&lt;=0,"Kein Verbrauch; ","")&amp;IF(CH687&gt;0,"Lift "&amp;W687&amp;" lt. Liftbericht (Fach "&amp;X687&amp;" Stk); ",IF(BU687=1,"Gebinde geschätzt ("&amp;T687&amp;"); ",IF(BT687=1,"Lose – Tablare geschätzt; ","")))&amp;IF(H687&gt;AR687,"Überbestand "&amp;ROUND(H687-AR687,0)&amp;" Stk / CHF "&amp;ROUND((H687-AR687)*G687,0)&amp;"; ","")&amp;IF(AND(CA687=1,CB687&lt;CC687),"MAX &lt; MB+LG; ","")&amp;IF(AND(CG687&gt;0,CF687*10&gt;CG687),"zu hoch für Tablar; ","")&amp;IF(AND(BP687=0,OR(CA687=1,AA687&lt;&gt;"",U687&lt;&gt;"",V687&lt;&gt;"",AB687&lt;&gt;"")),"manuell übersteuert; ","")&amp;IF(AND(BT687=0,R687=0),"Gebinde unbekannt / Stellmass fehlt; ","")&amp;IF(AND(BT687=0,N(V687)&lt;=0,N(Q687)&lt;=0),"Menge pro Gebinde fehlt (Ist = 1 Gebinde); ","")&amp;BO687)</f>
        <v>Lose – Tablare geschätzt; </v>
      </c>
      <c r="BH687" s="55"/>
      <c r="BI687" s="55"/>
      <c r="BJ687" s="62"/>
      <c r="BK687" s="57" t="n">
        <v>0</v>
      </c>
      <c r="BL687" s="57" t="n">
        <v>0</v>
      </c>
      <c r="BM687" s="56" t="n">
        <v>0</v>
      </c>
      <c r="BN687" s="57" t="n">
        <v>3</v>
      </c>
      <c r="BO687" s="55"/>
      <c r="BP687" s="60" t="n">
        <v>0</v>
      </c>
      <c r="BQ687" s="60" t="n">
        <v>687</v>
      </c>
      <c r="BR687" s="55" t="str">
        <f aca="false">IF(U687&lt;&gt;"",UPPER(TRIM(U687)),IF(BU687=1,UPPER(VLOOKUP(T687,Parameter!$I$27:$K$29,2,0)),IF(P687="","LOSE",P687)))</f>
        <v>LOSE</v>
      </c>
      <c r="BS687" s="57" t="n">
        <f aca="false">IF(BR687="LOSE",1,IF(N(V687)&gt;0,V687,IF(BU687=1,MAX(1,N(VLOOKUP(T687,Parameter!$I$27:$K$29,3,0)),H687,N(N687)),IF(N(Q687)&gt;0,Q687,MAX(1,H687)))))</f>
        <v>1</v>
      </c>
      <c r="BT687" s="60" t="n">
        <f aca="false">IF(BR687="LOSE",1,0)</f>
        <v>1</v>
      </c>
      <c r="BU687" s="60" t="n">
        <f aca="false">IF(AND(U687="",OR(P687="",P687="LOSE"),T687&lt;&gt;"",N(S687)&lt;=0,ISNUMBER(MATCH(T687,Parameter!$I$27:$I$29,0))),1,0)</f>
        <v>0</v>
      </c>
      <c r="BV687" s="55" t="str">
        <f aca="false">IF(AND(Parameter!$B$19="Ja",E687&lt;&gt;"",ISNUMBER(MATCH(E687,Parameter!$I$35:$I$52,0))),VLOOKUP(E687,Parameter!$I$35:$J$52,2,0),IFERROR(VLOOKUP(D687,Parameter!$A$35:$C$64,2,0),"Nein"))</f>
        <v>Nein</v>
      </c>
      <c r="BW687" s="59" t="n">
        <f aca="false">IF(BT687=0,0,IF(N(S687)&gt;0,S687,IFERROR(VLOOKUP(D687,Parameter!$A$35:$C$64,3,0)+0,0)))</f>
        <v>0.15</v>
      </c>
      <c r="BX687" s="55" t="str">
        <f aca="false">IF(AA687&lt;&gt;"",AA687,Z687)</f>
        <v>-</v>
      </c>
      <c r="BY687" s="55" t="str">
        <f aca="false">IF(BX687=1,"L1",IF(OR(BX687=2,BX687=3),"L23",IF(BX687="Aussen","Aussen","-")))</f>
        <v>-</v>
      </c>
      <c r="BZ687" s="66" t="n">
        <f aca="false">IF(N(AB687)&gt;0,AB687,0)</f>
        <v>0</v>
      </c>
      <c r="CA687" s="60" t="n">
        <f aca="false">IF(ISNUMBER(AE687),1,0)</f>
        <v>0</v>
      </c>
      <c r="CB687" s="57" t="n">
        <f aca="false">N(AE687)</f>
        <v>0</v>
      </c>
      <c r="CC687" s="57" t="n">
        <f aca="false">N(M687)+N(N687)</f>
        <v>1</v>
      </c>
      <c r="CD687" s="57" t="n">
        <f aca="false">ROUNDUP(H687/BS687,0)</f>
        <v>0</v>
      </c>
      <c r="CE687" s="57" t="n">
        <f aca="false">ROUNDUP(CB687/BS687,0)</f>
        <v>0</v>
      </c>
      <c r="CF687" s="60" t="n">
        <f aca="false">IF(BT687=1,0,IFERROR(VLOOKUP(BR687,'Gebinde-Kategorie'!$A$5:$M$45,5,0)+0,0))</f>
        <v>0</v>
      </c>
      <c r="CG687" s="60" t="n">
        <f aca="false">IFERROR(IF(OR(BX687=1,BX687=2,BX687=3),N(INDEX(Parameter!$I$5:$I$7,BX687)),0),0)</f>
        <v>0</v>
      </c>
      <c r="CH687" s="59" t="n">
        <f aca="false">IF(AND(Parameter!$B$21="Ja",ISNUMBER(W687),N(X687)&gt;0),IFERROR(N(INDEX(Parameter!$L$5:$L$7,W687))*INDEX(Parameter!$E$5:$E$7,W687)*X687/SUMIFS($X$7:$X$1843,$W$7:$W$1843,W687),0),0)</f>
        <v>0</v>
      </c>
    </row>
    <row r="688" customFormat="false" ht="15" hidden="false" customHeight="false" outlineLevel="0" collapsed="false">
      <c r="A688" s="55" t="s">
        <v>1376</v>
      </c>
      <c r="B688" s="55" t="s">
        <v>1377</v>
      </c>
      <c r="C688" s="55" t="s">
        <v>164</v>
      </c>
      <c r="D688" s="55" t="s">
        <v>995</v>
      </c>
      <c r="E688" s="55"/>
      <c r="F688" s="55" t="s">
        <v>218</v>
      </c>
      <c r="G688" s="56" t="n">
        <v>3703.81</v>
      </c>
      <c r="H688" s="57" t="n">
        <f aca="false">MAX(0,IF(AND(Parameter!$B$21="Ja",ISNUMBER(Y688)),Y688,IF(Parameter!$B$20="Jahresanfang 2025 + Export",BL688+BK688,BK688)))</f>
        <v>0</v>
      </c>
      <c r="I688" s="57" t="n">
        <f aca="false">H688*G688</f>
        <v>0</v>
      </c>
      <c r="J688" s="57" t="n">
        <f aca="false">BN688*Parameter!$B$18</f>
        <v>4</v>
      </c>
      <c r="K688" s="58" t="n">
        <v>0</v>
      </c>
      <c r="L688" s="59" t="n">
        <v>0</v>
      </c>
      <c r="M688" s="57" t="n">
        <v>0</v>
      </c>
      <c r="N688" s="57" t="n">
        <v>1</v>
      </c>
      <c r="O688" s="60" t="n">
        <v>90</v>
      </c>
      <c r="P688" s="55" t="s">
        <v>168</v>
      </c>
      <c r="Q688" s="57"/>
      <c r="R688" s="60" t="n">
        <f aca="false">IF(BT688=1,0,IFERROR(VLOOKUP(BR688,'Gebinde-Kategorie'!$A$5:$M$45,13,0)+0,0))</f>
        <v>0</v>
      </c>
      <c r="S688" s="61"/>
      <c r="T688" s="62"/>
      <c r="U688" s="62"/>
      <c r="V688" s="62"/>
      <c r="W688" s="55"/>
      <c r="X688" s="57"/>
      <c r="Y688" s="57"/>
      <c r="Z688" s="55" t="str">
        <f aca="false">IF(A688="","",IF(AND(Parameter!$B$21="Ja",ISNUMBER(W688)),W688,IF(BV688="2+3",IF(ISNUMBER(SEARCH("grosser Artikel",BO688)),2,IFERROR(VLOOKUP(BR688,Parameter!$F$35:$G$64,2,0),2)),IF(OR(BV688="Nein",BV688=""),"-",BV688))))</f>
        <v>-</v>
      </c>
      <c r="AA688" s="62"/>
      <c r="AB688" s="63"/>
      <c r="AC688" s="57" t="n">
        <f aca="false">AR688</f>
        <v>2</v>
      </c>
      <c r="AD688" s="57" t="n">
        <f aca="false">MAX(AR688,H688)</f>
        <v>2</v>
      </c>
      <c r="AE688" s="64"/>
      <c r="AF688" s="57" t="n">
        <f aca="false">IF(LEFT(Cockpit!$C$5,1)="A",H688,IF(CA688=1,CB688,IF(LEFT(Cockpit!$C$5,1)="B",AJ688,MAX(AJ688,H688))))</f>
        <v>0</v>
      </c>
      <c r="AG688" s="57" t="n">
        <f aca="false">IF(BT688=1,0,ROUNDUP(AF688/BS688,0))</f>
        <v>0</v>
      </c>
      <c r="AH688" s="59" t="n">
        <f aca="false">IF(CH688&gt;0,CH688*MAX(1,AF688/X688),IF(BT688=1,IF(AF688&lt;=0,0,BW688*MAX(1,IF(H688&gt;0,AF688/H688,1))),IF(R688&gt;0,AG688/R688,0))/MAX(0.1,N(Parameter!$M$21)))</f>
        <v>0</v>
      </c>
      <c r="AI688" s="57" t="n">
        <f aca="false">AF688*G688</f>
        <v>0</v>
      </c>
      <c r="AJ688" s="57" t="n">
        <f aca="false">ROUNDUP(MAX(J688/IF(BZ688&gt;0,BZ688,MAX(0.1,N(Cockpit!$C$6))),CC688)/BS688,0)*BS688</f>
        <v>2</v>
      </c>
      <c r="AK688" s="58" t="n">
        <f aca="false">IF(AH688&gt;0,J688/AH688,-1)</f>
        <v>-1</v>
      </c>
      <c r="AL688" s="58" t="str">
        <f aca="false">IF(AND(OR(BY688="L1",BY688="L23"),AH688&gt;0),SUMIFS($AH$7:$AH$1843,$BY$7:$BY$1843,BY688,$AK$7:$AK$1843,"&gt;"&amp;AK688)+SUMIFS($AH$7:$AH$1843,$BY$7:$BY$1843,BY688,$AK$7:$AK$1843,AK688,$BQ$7:$BQ$1843,"&lt;="&amp;BQ688),"")</f>
        <v/>
      </c>
      <c r="AM688" s="65" t="n">
        <f aca="false">IF(AL688="",0,MAX(0,MIN(1,(IF(BY688="L1",Parameter!$E$5,Parameter!$E$6+Parameter!$E$7)-(AL688-AH688))/AH688)))</f>
        <v>0</v>
      </c>
      <c r="AN688" s="57" t="n">
        <f aca="false">IF(LEFT(Cockpit!$I$5,1)="A",H688,IF(CA688=1,CB688,IF(LEFT(Cockpit!$I$5,1)="B",AR688,MAX(AR688,H688))))</f>
        <v>2</v>
      </c>
      <c r="AO688" s="57" t="n">
        <f aca="false">IF(BT688=1,0,ROUNDUP(AN688/BS688,0))</f>
        <v>0</v>
      </c>
      <c r="AP688" s="59" t="n">
        <f aca="false">IF(CH688&gt;0,CH688*MAX(1,AN688/X688),IF(BT688=1,IF(AN688&lt;=0,0,BW688*MAX(1,IF(H688&gt;0,AN688/H688,1))),IF(R688&gt;0,AO688/R688,0))/MAX(0.1,N(Parameter!$M$21)))</f>
        <v>0.15</v>
      </c>
      <c r="AQ688" s="57" t="n">
        <f aca="false">AN688*G688</f>
        <v>7407.62</v>
      </c>
      <c r="AR688" s="57" t="n">
        <f aca="false">ROUNDUP(MAX(J688/IF(BZ688&gt;0,BZ688,MAX(0.1,N(Cockpit!$I$6))),CC688)/BS688,0)*BS688</f>
        <v>2</v>
      </c>
      <c r="AS688" s="58" t="n">
        <f aca="false">IF(AP688&gt;0,J688/AP688,-1)</f>
        <v>26.6666666666667</v>
      </c>
      <c r="AT688" s="58" t="str">
        <f aca="false">IF(AND(OR(BY688="L1",BY688="L23"),AP688&gt;0),SUMIFS($AP$7:$AP$1843,$BY$7:$BY$1843,BY688,$AS$7:$AS$1843,"&gt;"&amp;AS688)+SUMIFS($AP$7:$AP$1843,$BY$7:$BY$1843,BY688,$AS$7:$AS$1843,AS688,$BQ$7:$BQ$1843,"&lt;="&amp;BQ688),"")</f>
        <v/>
      </c>
      <c r="AU688" s="65" t="n">
        <f aca="false">IF(AT688="",0,MAX(0,MIN(1,(IF(BY688="L1",Parameter!$E$5,Parameter!$E$6+Parameter!$E$7)-(AT688-AP688))/AP688)))</f>
        <v>0</v>
      </c>
      <c r="AV688" s="57" t="n">
        <f aca="false">IF(LEFT(Cockpit!$O$5,1)="A",H688,IF(CA688=1,CB688,IF(LEFT(Cockpit!$O$5,1)="B",AZ688,MAX(AZ688,H688))))</f>
        <v>2</v>
      </c>
      <c r="AW688" s="57" t="n">
        <f aca="false">IF(BT688=1,0,ROUNDUP(AV688/BS688,0))</f>
        <v>0</v>
      </c>
      <c r="AX688" s="59" t="n">
        <f aca="false">IF(CH688&gt;0,CH688*MAX(1,AV688/X688),IF(BT688=1,IF(AV688&lt;=0,0,BW688*MAX(1,IF(H688&gt;0,AV688/H688,1))),IF(R688&gt;0,AW688/R688,0))/MAX(0.1,N(Parameter!$M$21)))</f>
        <v>0.15</v>
      </c>
      <c r="AY688" s="57" t="n">
        <f aca="false">AV688*G688</f>
        <v>7407.62</v>
      </c>
      <c r="AZ688" s="57" t="n">
        <f aca="false">ROUNDUP(MAX(J688/IF(BZ688&gt;0,BZ688,MAX(0.1,N(Cockpit!$O$6))),CC688)/BS688,0)*BS688</f>
        <v>2</v>
      </c>
      <c r="BA688" s="58" t="n">
        <f aca="false">IF(AX688&gt;0,J688/AX688,-1)</f>
        <v>26.6666666666667</v>
      </c>
      <c r="BB688" s="58" t="str">
        <f aca="false">IF(AND(OR(BY688="L1",BY688="L23"),AX688&gt;0),SUMIFS($AX$7:$AX$1843,$BY$7:$BY$1843,BY688,$BA$7:$BA$1843,"&gt;"&amp;BA688)+SUMIFS($AX$7:$AX$1843,$BY$7:$BY$1843,BY688,$BA$7:$BA$1843,BA688,$BQ$7:$BQ$1843,"&lt;="&amp;BQ688),"")</f>
        <v/>
      </c>
      <c r="BC688" s="65" t="n">
        <f aca="false">IF(BB688="",0,MAX(0,MIN(1,(IF(BY688="L1",Parameter!$E$5,Parameter!$E$6+Parameter!$E$7)-(BB688-AX688))/AX688)))</f>
        <v>0</v>
      </c>
      <c r="BD688" s="55" t="str">
        <f aca="false">IF(AH688&lt;=0,"",IF(BY688="Aussen","Aussenlager",IF(BY688="-","Nicht im Lift",IF(AM688&gt;=1,"Lift",IF(AM688&lt;=0,"Aussenlager","teilweise")))))</f>
        <v/>
      </c>
      <c r="BE688" s="55" t="str">
        <f aca="false">IF(AP688&lt;=0,"",IF(BY688="Aussen","Aussenlager",IF(BY688="-","Nicht im Lift",IF(AU688&gt;=1,"Lift",IF(AU688&lt;=0,"Aussenlager","teilweise")))))</f>
        <v>Nicht im Lift</v>
      </c>
      <c r="BF688" s="55" t="str">
        <f aca="false">IF(AX688&lt;=0,"",IF(BY688="Aussen","Aussenlager",IF(BY688="-","Nicht im Lift",IF(BC688&gt;=1,"Lift",IF(BC688&lt;=0,"Aussenlager","teilweise")))))</f>
        <v>Nicht im Lift</v>
      </c>
      <c r="BG688" s="55" t="str">
        <f aca="false">IF(A688="","",IF(BP688=1,"Neu; ","")&amp;IF(AND(BP688=0,BK688&lt;0),"negativer Bestand (Export "&amp;BK688&amp;"); ","")&amp;IF(J688&lt;=0,"Kein Verbrauch; ","")&amp;IF(CH688&gt;0,"Lift "&amp;W688&amp;" lt. Liftbericht (Fach "&amp;X688&amp;" Stk); ",IF(BU688=1,"Gebinde geschätzt ("&amp;T688&amp;"); ",IF(BT688=1,"Lose – Tablare geschätzt; ","")))&amp;IF(H688&gt;AR688,"Überbestand "&amp;ROUND(H688-AR688,0)&amp;" Stk / CHF "&amp;ROUND((H688-AR688)*G688,0)&amp;"; ","")&amp;IF(AND(CA688=1,CB688&lt;CC688),"MAX &lt; MB+LG; ","")&amp;IF(AND(CG688&gt;0,CF688*10&gt;CG688),"zu hoch für Tablar; ","")&amp;IF(AND(BP688=0,OR(CA688=1,AA688&lt;&gt;"",U688&lt;&gt;"",V688&lt;&gt;"",AB688&lt;&gt;"")),"manuell übersteuert; ","")&amp;IF(AND(BT688=0,R688=0),"Gebinde unbekannt / Stellmass fehlt; ","")&amp;IF(AND(BT688=0,N(V688)&lt;=0,N(Q688)&lt;=0),"Menge pro Gebinde fehlt (Ist = 1 Gebinde); ","")&amp;BO688)</f>
        <v>Lose – Tablare geschätzt; </v>
      </c>
      <c r="BH688" s="55"/>
      <c r="BI688" s="55"/>
      <c r="BJ688" s="62"/>
      <c r="BK688" s="57" t="n">
        <v>0</v>
      </c>
      <c r="BL688" s="57" t="n">
        <v>0</v>
      </c>
      <c r="BM688" s="56" t="n">
        <v>0</v>
      </c>
      <c r="BN688" s="57" t="n">
        <v>4</v>
      </c>
      <c r="BO688" s="55"/>
      <c r="BP688" s="60" t="n">
        <v>0</v>
      </c>
      <c r="BQ688" s="60" t="n">
        <v>688</v>
      </c>
      <c r="BR688" s="55" t="str">
        <f aca="false">IF(U688&lt;&gt;"",UPPER(TRIM(U688)),IF(BU688=1,UPPER(VLOOKUP(T688,Parameter!$I$27:$K$29,2,0)),IF(P688="","LOSE",P688)))</f>
        <v>LOSE</v>
      </c>
      <c r="BS688" s="57" t="n">
        <f aca="false">IF(BR688="LOSE",1,IF(N(V688)&gt;0,V688,IF(BU688=1,MAX(1,N(VLOOKUP(T688,Parameter!$I$27:$K$29,3,0)),H688,N(N688)),IF(N(Q688)&gt;0,Q688,MAX(1,H688)))))</f>
        <v>1</v>
      </c>
      <c r="BT688" s="60" t="n">
        <f aca="false">IF(BR688="LOSE",1,0)</f>
        <v>1</v>
      </c>
      <c r="BU688" s="60" t="n">
        <f aca="false">IF(AND(U688="",OR(P688="",P688="LOSE"),T688&lt;&gt;"",N(S688)&lt;=0,ISNUMBER(MATCH(T688,Parameter!$I$27:$I$29,0))),1,0)</f>
        <v>0</v>
      </c>
      <c r="BV688" s="55" t="str">
        <f aca="false">IF(AND(Parameter!$B$19="Ja",E688&lt;&gt;"",ISNUMBER(MATCH(E688,Parameter!$I$35:$I$52,0))),VLOOKUP(E688,Parameter!$I$35:$J$52,2,0),IFERROR(VLOOKUP(D688,Parameter!$A$35:$C$64,2,0),"Nein"))</f>
        <v>Nein</v>
      </c>
      <c r="BW688" s="59" t="n">
        <f aca="false">IF(BT688=0,0,IF(N(S688)&gt;0,S688,IFERROR(VLOOKUP(D688,Parameter!$A$35:$C$64,3,0)+0,0)))</f>
        <v>0.15</v>
      </c>
      <c r="BX688" s="55" t="str">
        <f aca="false">IF(AA688&lt;&gt;"",AA688,Z688)</f>
        <v>-</v>
      </c>
      <c r="BY688" s="55" t="str">
        <f aca="false">IF(BX688=1,"L1",IF(OR(BX688=2,BX688=3),"L23",IF(BX688="Aussen","Aussen","-")))</f>
        <v>-</v>
      </c>
      <c r="BZ688" s="66" t="n">
        <f aca="false">IF(N(AB688)&gt;0,AB688,0)</f>
        <v>0</v>
      </c>
      <c r="CA688" s="60" t="n">
        <f aca="false">IF(ISNUMBER(AE688),1,0)</f>
        <v>0</v>
      </c>
      <c r="CB688" s="57" t="n">
        <f aca="false">N(AE688)</f>
        <v>0</v>
      </c>
      <c r="CC688" s="57" t="n">
        <f aca="false">N(M688)+N(N688)</f>
        <v>1</v>
      </c>
      <c r="CD688" s="57" t="n">
        <f aca="false">ROUNDUP(H688/BS688,0)</f>
        <v>0</v>
      </c>
      <c r="CE688" s="57" t="n">
        <f aca="false">ROUNDUP(CB688/BS688,0)</f>
        <v>0</v>
      </c>
      <c r="CF688" s="60" t="n">
        <f aca="false">IF(BT688=1,0,IFERROR(VLOOKUP(BR688,'Gebinde-Kategorie'!$A$5:$M$45,5,0)+0,0))</f>
        <v>0</v>
      </c>
      <c r="CG688" s="60" t="n">
        <f aca="false">IFERROR(IF(OR(BX688=1,BX688=2,BX688=3),N(INDEX(Parameter!$I$5:$I$7,BX688)),0),0)</f>
        <v>0</v>
      </c>
      <c r="CH688" s="59" t="n">
        <f aca="false">IF(AND(Parameter!$B$21="Ja",ISNUMBER(W688),N(X688)&gt;0),IFERROR(N(INDEX(Parameter!$L$5:$L$7,W688))*INDEX(Parameter!$E$5:$E$7,W688)*X688/SUMIFS($X$7:$X$1843,$W$7:$W$1843,W688),0),0)</f>
        <v>0</v>
      </c>
    </row>
    <row r="689" customFormat="false" ht="15" hidden="false" customHeight="false" outlineLevel="0" collapsed="false">
      <c r="A689" s="55" t="s">
        <v>1378</v>
      </c>
      <c r="B689" s="55" t="s">
        <v>1379</v>
      </c>
      <c r="C689" s="55" t="s">
        <v>164</v>
      </c>
      <c r="D689" s="55" t="s">
        <v>184</v>
      </c>
      <c r="E689" s="55"/>
      <c r="F689" s="55" t="s">
        <v>218</v>
      </c>
      <c r="G689" s="56" t="n">
        <v>8.97</v>
      </c>
      <c r="H689" s="57" t="n">
        <f aca="false">MAX(0,IF(AND(Parameter!$B$21="Ja",ISNUMBER(Y689)),Y689,IF(Parameter!$B$20="Jahresanfang 2025 + Export",BL689+BK689,BK689)))</f>
        <v>22</v>
      </c>
      <c r="I689" s="57" t="n">
        <f aca="false">H689*G689</f>
        <v>197.34</v>
      </c>
      <c r="J689" s="57" t="n">
        <f aca="false">BN689*Parameter!$B$18</f>
        <v>0</v>
      </c>
      <c r="K689" s="58" t="n">
        <v>22.5</v>
      </c>
      <c r="L689" s="59" t="n">
        <v>0</v>
      </c>
      <c r="M689" s="57" t="n">
        <v>0</v>
      </c>
      <c r="N689" s="57" t="n">
        <v>1</v>
      </c>
      <c r="O689" s="60" t="n">
        <v>21</v>
      </c>
      <c r="P689" s="55" t="s">
        <v>421</v>
      </c>
      <c r="Q689" s="57" t="n">
        <v>25</v>
      </c>
      <c r="R689" s="60" t="n">
        <f aca="false">IF(BT689=1,0,IFERROR(VLOOKUP(BR689,'Gebinde-Kategorie'!$A$5:$M$45,13,0)+0,0))</f>
        <v>132</v>
      </c>
      <c r="S689" s="61"/>
      <c r="T689" s="62"/>
      <c r="U689" s="62"/>
      <c r="V689" s="62"/>
      <c r="W689" s="55"/>
      <c r="X689" s="57"/>
      <c r="Y689" s="57"/>
      <c r="Z689" s="55" t="n">
        <f aca="false">IF(A689="","",IF(AND(Parameter!$B$21="Ja",ISNUMBER(W689)),W689,IF(BV689="2+3",IF(ISNUMBER(SEARCH("grosser Artikel",BO689)),2,IFERROR(VLOOKUP(BR689,Parameter!$F$35:$G$64,2,0),2)),IF(OR(BV689="Nein",BV689=""),"-",BV689))))</f>
        <v>3</v>
      </c>
      <c r="AA689" s="62"/>
      <c r="AB689" s="63"/>
      <c r="AC689" s="57" t="n">
        <f aca="false">AR689</f>
        <v>25</v>
      </c>
      <c r="AD689" s="57" t="n">
        <f aca="false">MAX(AR689,H689)</f>
        <v>25</v>
      </c>
      <c r="AE689" s="64"/>
      <c r="AF689" s="57" t="n">
        <f aca="false">IF(LEFT(Cockpit!$C$5,1)="A",H689,IF(CA689=1,CB689,IF(LEFT(Cockpit!$C$5,1)="B",AJ689,MAX(AJ689,H689))))</f>
        <v>22</v>
      </c>
      <c r="AG689" s="57" t="n">
        <f aca="false">IF(BT689=1,0,ROUNDUP(AF689/BS689,0))</f>
        <v>1</v>
      </c>
      <c r="AH689" s="59" t="n">
        <f aca="false">IF(CH689&gt;0,CH689*MAX(1,AF689/X689),IF(BT689=1,IF(AF689&lt;=0,0,BW689*MAX(1,IF(H689&gt;0,AF689/H689,1))),IF(R689&gt;0,AG689/R689,0))/MAX(0.1,N(Parameter!$M$21)))</f>
        <v>0.00757575757575758</v>
      </c>
      <c r="AI689" s="57" t="n">
        <f aca="false">AF689*G689</f>
        <v>197.34</v>
      </c>
      <c r="AJ689" s="57" t="n">
        <f aca="false">ROUNDUP(MAX(J689/IF(BZ689&gt;0,BZ689,MAX(0.1,N(Cockpit!$C$6))),CC689)/BS689,0)*BS689</f>
        <v>25</v>
      </c>
      <c r="AK689" s="58" t="n">
        <f aca="false">IF(AH689&gt;0,J689/AH689,-1)</f>
        <v>0</v>
      </c>
      <c r="AL689" s="58" t="n">
        <f aca="false">IF(AND(OR(BY689="L1",BY689="L23"),AH689&gt;0),SUMIFS($AH$7:$AH$1843,$BY$7:$BY$1843,BY689,$AK$7:$AK$1843,"&gt;"&amp;AK689)+SUMIFS($AH$7:$AH$1843,$BY$7:$BY$1843,BY689,$AK$7:$AK$1843,AK689,$BQ$7:$BQ$1843,"&lt;="&amp;BQ689),"")</f>
        <v>76.6593273875883</v>
      </c>
      <c r="AM689" s="65" t="n">
        <f aca="false">IF(AL689="",0,MAX(0,MIN(1,(IF(BY689="L1",Parameter!$E$5,Parameter!$E$6+Parameter!$E$7)-(AL689-AH689))/AH689)))</f>
        <v>1</v>
      </c>
      <c r="AN689" s="57" t="n">
        <f aca="false">IF(LEFT(Cockpit!$I$5,1)="A",H689,IF(CA689=1,CB689,IF(LEFT(Cockpit!$I$5,1)="B",AR689,MAX(AR689,H689))))</f>
        <v>25</v>
      </c>
      <c r="AO689" s="57" t="n">
        <f aca="false">IF(BT689=1,0,ROUNDUP(AN689/BS689,0))</f>
        <v>1</v>
      </c>
      <c r="AP689" s="59" t="n">
        <f aca="false">IF(CH689&gt;0,CH689*MAX(1,AN689/X689),IF(BT689=1,IF(AN689&lt;=0,0,BW689*MAX(1,IF(H689&gt;0,AN689/H689,1))),IF(R689&gt;0,AO689/R689,0))/MAX(0.1,N(Parameter!$M$21)))</f>
        <v>0.00757575757575758</v>
      </c>
      <c r="AQ689" s="57" t="n">
        <f aca="false">AN689*G689</f>
        <v>224.25</v>
      </c>
      <c r="AR689" s="57" t="n">
        <f aca="false">ROUNDUP(MAX(J689/IF(BZ689&gt;0,BZ689,MAX(0.1,N(Cockpit!$I$6))),CC689)/BS689,0)*BS689</f>
        <v>25</v>
      </c>
      <c r="AS689" s="58" t="n">
        <f aca="false">IF(AP689&gt;0,J689/AP689,-1)</f>
        <v>0</v>
      </c>
      <c r="AT689" s="58" t="n">
        <f aca="false">IF(AND(OR(BY689="L1",BY689="L23"),AP689&gt;0),SUMIFS($AP$7:$AP$1843,$BY$7:$BY$1843,BY689,$AS$7:$AS$1843,"&gt;"&amp;AS689)+SUMIFS($AP$7:$AP$1843,$BY$7:$BY$1843,BY689,$AS$7:$AS$1843,AS689,$BQ$7:$BQ$1843,"&lt;="&amp;BQ689),"")</f>
        <v>116.290995236647</v>
      </c>
      <c r="AU689" s="65" t="n">
        <f aca="false">IF(AT689="",0,MAX(0,MIN(1,(IF(BY689="L1",Parameter!$E$5,Parameter!$E$6+Parameter!$E$7)-(AT689-AP689))/AP689)))</f>
        <v>0</v>
      </c>
      <c r="AV689" s="57" t="n">
        <f aca="false">IF(LEFT(Cockpit!$O$5,1)="A",H689,IF(CA689=1,CB689,IF(LEFT(Cockpit!$O$5,1)="B",AZ689,MAX(AZ689,H689))))</f>
        <v>25</v>
      </c>
      <c r="AW689" s="57" t="n">
        <f aca="false">IF(BT689=1,0,ROUNDUP(AV689/BS689,0))</f>
        <v>1</v>
      </c>
      <c r="AX689" s="59" t="n">
        <f aca="false">IF(CH689&gt;0,CH689*MAX(1,AV689/X689),IF(BT689=1,IF(AV689&lt;=0,0,BW689*MAX(1,IF(H689&gt;0,AV689/H689,1))),IF(R689&gt;0,AW689/R689,0))/MAX(0.1,N(Parameter!$M$21)))</f>
        <v>0.00757575757575758</v>
      </c>
      <c r="AY689" s="57" t="n">
        <f aca="false">AV689*G689</f>
        <v>224.25</v>
      </c>
      <c r="AZ689" s="57" t="n">
        <f aca="false">ROUNDUP(MAX(J689/IF(BZ689&gt;0,BZ689,MAX(0.1,N(Cockpit!$O$6))),CC689)/BS689,0)*BS689</f>
        <v>25</v>
      </c>
      <c r="BA689" s="58" t="n">
        <f aca="false">IF(AX689&gt;0,J689/AX689,-1)</f>
        <v>0</v>
      </c>
      <c r="BB689" s="58" t="n">
        <f aca="false">IF(AND(OR(BY689="L1",BY689="L23"),AX689&gt;0),SUMIFS($AX$7:$AX$1843,$BY$7:$BY$1843,BY689,$BA$7:$BA$1843,"&gt;"&amp;BA689)+SUMIFS($AX$7:$AX$1843,$BY$7:$BY$1843,BY689,$BA$7:$BA$1843,BA689,$BQ$7:$BQ$1843,"&lt;="&amp;BQ689),"")</f>
        <v>107.120832066484</v>
      </c>
      <c r="BC689" s="65" t="n">
        <f aca="false">IF(BB689="",0,MAX(0,MIN(1,(IF(BY689="L1",Parameter!$E$5,Parameter!$E$6+Parameter!$E$7)-(BB689-AX689))/AX689)))</f>
        <v>0</v>
      </c>
      <c r="BD689" s="55" t="str">
        <f aca="false">IF(AH689&lt;=0,"",IF(BY689="Aussen","Aussenlager",IF(BY689="-","Nicht im Lift",IF(AM689&gt;=1,"Lift",IF(AM689&lt;=0,"Aussenlager","teilweise")))))</f>
        <v>Lift</v>
      </c>
      <c r="BE689" s="55" t="str">
        <f aca="false">IF(AP689&lt;=0,"",IF(BY689="Aussen","Aussenlager",IF(BY689="-","Nicht im Lift",IF(AU689&gt;=1,"Lift",IF(AU689&lt;=0,"Aussenlager","teilweise")))))</f>
        <v>Aussenlager</v>
      </c>
      <c r="BF689" s="55" t="str">
        <f aca="false">IF(AX689&lt;=0,"",IF(BY689="Aussen","Aussenlager",IF(BY689="-","Nicht im Lift",IF(BC689&gt;=1,"Lift",IF(BC689&lt;=0,"Aussenlager","teilweise")))))</f>
        <v>Aussenlager</v>
      </c>
      <c r="BG689" s="55" t="str">
        <f aca="false">IF(A689="","",IF(BP689=1,"Neu; ","")&amp;IF(AND(BP689=0,BK689&lt;0),"negativer Bestand (Export "&amp;BK689&amp;"); ","")&amp;IF(J689&lt;=0,"Kein Verbrauch; ","")&amp;IF(CH689&gt;0,"Lift "&amp;W689&amp;" lt. Liftbericht (Fach "&amp;X689&amp;" Stk); ",IF(BU689=1,"Gebinde geschätzt ("&amp;T689&amp;"); ",IF(BT689=1,"Lose – Tablare geschätzt; ","")))&amp;IF(H689&gt;AR689,"Überbestand "&amp;ROUND(H689-AR689,0)&amp;" Stk / CHF "&amp;ROUND((H689-AR689)*G689,0)&amp;"; ","")&amp;IF(AND(CA689=1,CB689&lt;CC689),"MAX &lt; MB+LG; ","")&amp;IF(AND(CG689&gt;0,CF689*10&gt;CG689),"zu hoch für Tablar; ","")&amp;IF(AND(BP689=0,OR(CA689=1,AA689&lt;&gt;"",U689&lt;&gt;"",V689&lt;&gt;"",AB689&lt;&gt;"")),"manuell übersteuert; ","")&amp;IF(AND(BT689=0,R689=0),"Gebinde unbekannt / Stellmass fehlt; ","")&amp;IF(AND(BT689=0,N(V689)&lt;=0,N(Q689)&lt;=0),"Menge pro Gebinde fehlt (Ist = 1 Gebinde); ","")&amp;BO689)</f>
        <v>Kein Verbrauch; </v>
      </c>
      <c r="BH689" s="55"/>
      <c r="BI689" s="55"/>
      <c r="BJ689" s="62"/>
      <c r="BK689" s="57" t="n">
        <v>0</v>
      </c>
      <c r="BL689" s="57" t="n">
        <v>22</v>
      </c>
      <c r="BM689" s="56" t="n">
        <v>0</v>
      </c>
      <c r="BN689" s="57" t="n">
        <v>0</v>
      </c>
      <c r="BO689" s="55"/>
      <c r="BP689" s="60" t="n">
        <v>0</v>
      </c>
      <c r="BQ689" s="60" t="n">
        <v>689</v>
      </c>
      <c r="BR689" s="55" t="str">
        <f aca="false">IF(U689&lt;&gt;"",UPPER(TRIM(U689)),IF(BU689=1,UPPER(VLOOKUP(T689,Parameter!$I$27:$K$29,2,0)),IF(P689="","LOSE",P689)))</f>
        <v>S32</v>
      </c>
      <c r="BS689" s="57" t="n">
        <f aca="false">IF(BR689="LOSE",1,IF(N(V689)&gt;0,V689,IF(BU689=1,MAX(1,N(VLOOKUP(T689,Parameter!$I$27:$K$29,3,0)),H689,N(N689)),IF(N(Q689)&gt;0,Q689,MAX(1,H689)))))</f>
        <v>25</v>
      </c>
      <c r="BT689" s="60" t="n">
        <f aca="false">IF(BR689="LOSE",1,0)</f>
        <v>0</v>
      </c>
      <c r="BU689" s="60" t="n">
        <f aca="false">IF(AND(U689="",OR(P689="",P689="LOSE"),T689&lt;&gt;"",N(S689)&lt;=0,ISNUMBER(MATCH(T689,Parameter!$I$27:$I$29,0))),1,0)</f>
        <v>0</v>
      </c>
      <c r="BV689" s="55" t="str">
        <f aca="false">IF(AND(Parameter!$B$19="Ja",E689&lt;&gt;"",ISNUMBER(MATCH(E689,Parameter!$I$35:$I$52,0))),VLOOKUP(E689,Parameter!$I$35:$J$52,2,0),IFERROR(VLOOKUP(D689,Parameter!$A$35:$C$64,2,0),"Nein"))</f>
        <v>2+3</v>
      </c>
      <c r="BW689" s="59" t="n">
        <f aca="false">IF(BT689=0,0,IF(N(S689)&gt;0,S689,IFERROR(VLOOKUP(D689,Parameter!$A$35:$C$64,3,0)+0,0)))</f>
        <v>0</v>
      </c>
      <c r="BX689" s="55" t="n">
        <f aca="false">IF(AA689&lt;&gt;"",AA689,Z689)</f>
        <v>3</v>
      </c>
      <c r="BY689" s="55" t="str">
        <f aca="false">IF(BX689=1,"L1",IF(OR(BX689=2,BX689=3),"L23",IF(BX689="Aussen","Aussen","-")))</f>
        <v>L23</v>
      </c>
      <c r="BZ689" s="66" t="n">
        <f aca="false">IF(N(AB689)&gt;0,AB689,0)</f>
        <v>0</v>
      </c>
      <c r="CA689" s="60" t="n">
        <f aca="false">IF(ISNUMBER(AE689),1,0)</f>
        <v>0</v>
      </c>
      <c r="CB689" s="57" t="n">
        <f aca="false">N(AE689)</f>
        <v>0</v>
      </c>
      <c r="CC689" s="57" t="n">
        <f aca="false">N(M689)+N(N689)</f>
        <v>1</v>
      </c>
      <c r="CD689" s="57" t="n">
        <f aca="false">ROUNDUP(H689/BS689,0)</f>
        <v>1</v>
      </c>
      <c r="CE689" s="57" t="n">
        <f aca="false">ROUNDUP(CB689/BS689,0)</f>
        <v>0</v>
      </c>
      <c r="CF689" s="60" t="n">
        <f aca="false">IF(BT689=1,0,IFERROR(VLOOKUP(BR689,'Gebinde-Kategorie'!$A$5:$M$45,5,0)+0,0))</f>
        <v>8</v>
      </c>
      <c r="CG689" s="60" t="n">
        <f aca="false">IFERROR(IF(OR(BX689=1,BX689=2,BX689=3),N(INDEX(Parameter!$I$5:$I$7,BX689)),0),0)</f>
        <v>0</v>
      </c>
      <c r="CH689" s="59" t="n">
        <f aca="false">IF(AND(Parameter!$B$21="Ja",ISNUMBER(W689),N(X689)&gt;0),IFERROR(N(INDEX(Parameter!$L$5:$L$7,W689))*INDEX(Parameter!$E$5:$E$7,W689)*X689/SUMIFS($X$7:$X$1843,$W$7:$W$1843,W689),0),0)</f>
        <v>0</v>
      </c>
    </row>
    <row r="690" customFormat="false" ht="15" hidden="false" customHeight="false" outlineLevel="0" collapsed="false">
      <c r="A690" s="55" t="s">
        <v>1380</v>
      </c>
      <c r="B690" s="55" t="s">
        <v>576</v>
      </c>
      <c r="C690" s="55" t="s">
        <v>164</v>
      </c>
      <c r="D690" s="55" t="s">
        <v>184</v>
      </c>
      <c r="E690" s="55"/>
      <c r="F690" s="55" t="s">
        <v>218</v>
      </c>
      <c r="G690" s="56" t="n">
        <v>703.81</v>
      </c>
      <c r="H690" s="57" t="n">
        <f aca="false">MAX(0,IF(AND(Parameter!$B$21="Ja",ISNUMBER(Y690)),Y690,IF(Parameter!$B$20="Jahresanfang 2025 + Export",BL690+BK690,BK690)))</f>
        <v>17</v>
      </c>
      <c r="I690" s="57" t="n">
        <f aca="false">H690*G690</f>
        <v>11964.77</v>
      </c>
      <c r="J690" s="57" t="n">
        <f aca="false">BN690*Parameter!$B$18</f>
        <v>0</v>
      </c>
      <c r="K690" s="58" t="n">
        <v>17</v>
      </c>
      <c r="L690" s="59" t="n">
        <v>0</v>
      </c>
      <c r="M690" s="57" t="n">
        <v>0</v>
      </c>
      <c r="N690" s="57" t="n">
        <v>1</v>
      </c>
      <c r="O690" s="60" t="n">
        <v>35</v>
      </c>
      <c r="P690" s="55" t="s">
        <v>168</v>
      </c>
      <c r="Q690" s="57"/>
      <c r="R690" s="60" t="n">
        <f aca="false">IF(BT690=1,0,IFERROR(VLOOKUP(BR690,'Gebinde-Kategorie'!$A$5:$M$45,13,0)+0,0))</f>
        <v>26</v>
      </c>
      <c r="S690" s="61"/>
      <c r="T690" s="62" t="s">
        <v>275</v>
      </c>
      <c r="U690" s="62"/>
      <c r="V690" s="62"/>
      <c r="W690" s="55"/>
      <c r="X690" s="57"/>
      <c r="Y690" s="57"/>
      <c r="Z690" s="55" t="n">
        <f aca="false">IF(A690="","",IF(AND(Parameter!$B$21="Ja",ISNUMBER(W690)),W690,IF(BV690="2+3",IF(ISNUMBER(SEARCH("grosser Artikel",BO690)),2,IFERROR(VLOOKUP(BR690,Parameter!$F$35:$G$64,2,0),2)),IF(OR(BV690="Nein",BV690=""),"-",BV690))))</f>
        <v>3</v>
      </c>
      <c r="AA690" s="62"/>
      <c r="AB690" s="63"/>
      <c r="AC690" s="57" t="n">
        <f aca="false">AR690</f>
        <v>20</v>
      </c>
      <c r="AD690" s="57" t="n">
        <f aca="false">MAX(AR690,H690)</f>
        <v>20</v>
      </c>
      <c r="AE690" s="64"/>
      <c r="AF690" s="57" t="n">
        <f aca="false">IF(LEFT(Cockpit!$C$5,1)="A",H690,IF(CA690=1,CB690,IF(LEFT(Cockpit!$C$5,1)="B",AJ690,MAX(AJ690,H690))))</f>
        <v>17</v>
      </c>
      <c r="AG690" s="57" t="n">
        <f aca="false">IF(BT690=1,0,ROUNDUP(AF690/BS690,0))</f>
        <v>1</v>
      </c>
      <c r="AH690" s="59" t="n">
        <f aca="false">IF(CH690&gt;0,CH690*MAX(1,AF690/X690),IF(BT690=1,IF(AF690&lt;=0,0,BW690*MAX(1,IF(H690&gt;0,AF690/H690,1))),IF(R690&gt;0,AG690/R690,0))/MAX(0.1,N(Parameter!$M$21)))</f>
        <v>0.0384615384615385</v>
      </c>
      <c r="AI690" s="57" t="n">
        <f aca="false">AF690*G690</f>
        <v>11964.77</v>
      </c>
      <c r="AJ690" s="57" t="n">
        <f aca="false">ROUNDUP(MAX(J690/IF(BZ690&gt;0,BZ690,MAX(0.1,N(Cockpit!$C$6))),CC690)/BS690,0)*BS690</f>
        <v>20</v>
      </c>
      <c r="AK690" s="58" t="n">
        <f aca="false">IF(AH690&gt;0,J690/AH690,-1)</f>
        <v>0</v>
      </c>
      <c r="AL690" s="58" t="n">
        <f aca="false">IF(AND(OR(BY690="L1",BY690="L23"),AH690&gt;0),SUMIFS($AH$7:$AH$1843,$BY$7:$BY$1843,BY690,$AK$7:$AK$1843,"&gt;"&amp;AK690)+SUMIFS($AH$7:$AH$1843,$BY$7:$BY$1843,BY690,$AK$7:$AK$1843,AK690,$BQ$7:$BQ$1843,"&lt;="&amp;BQ690),"")</f>
        <v>76.6977889260498</v>
      </c>
      <c r="AM690" s="65" t="n">
        <f aca="false">IF(AL690="",0,MAX(0,MIN(1,(IF(BY690="L1",Parameter!$E$5,Parameter!$E$6+Parameter!$E$7)-(AL690-AH690))/AH690)))</f>
        <v>1</v>
      </c>
      <c r="AN690" s="57" t="n">
        <f aca="false">IF(LEFT(Cockpit!$I$5,1)="A",H690,IF(CA690=1,CB690,IF(LEFT(Cockpit!$I$5,1)="B",AR690,MAX(AR690,H690))))</f>
        <v>20</v>
      </c>
      <c r="AO690" s="57" t="n">
        <f aca="false">IF(BT690=1,0,ROUNDUP(AN690/BS690,0))</f>
        <v>1</v>
      </c>
      <c r="AP690" s="59" t="n">
        <f aca="false">IF(CH690&gt;0,CH690*MAX(1,AN690/X690),IF(BT690=1,IF(AN690&lt;=0,0,BW690*MAX(1,IF(H690&gt;0,AN690/H690,1))),IF(R690&gt;0,AO690/R690,0))/MAX(0.1,N(Parameter!$M$21)))</f>
        <v>0.0384615384615385</v>
      </c>
      <c r="AQ690" s="57" t="n">
        <f aca="false">AN690*G690</f>
        <v>14076.2</v>
      </c>
      <c r="AR690" s="57" t="n">
        <f aca="false">ROUNDUP(MAX(J690/IF(BZ690&gt;0,BZ690,MAX(0.1,N(Cockpit!$I$6))),CC690)/BS690,0)*BS690</f>
        <v>20</v>
      </c>
      <c r="AS690" s="58" t="n">
        <f aca="false">IF(AP690&gt;0,J690/AP690,-1)</f>
        <v>0</v>
      </c>
      <c r="AT690" s="58" t="n">
        <f aca="false">IF(AND(OR(BY690="L1",BY690="L23"),AP690&gt;0),SUMIFS($AP$7:$AP$1843,$BY$7:$BY$1843,BY690,$AS$7:$AS$1843,"&gt;"&amp;AS690)+SUMIFS($AP$7:$AP$1843,$BY$7:$BY$1843,BY690,$AS$7:$AS$1843,AS690,$BQ$7:$BQ$1843,"&lt;="&amp;BQ690),"")</f>
        <v>116.329456775109</v>
      </c>
      <c r="AU690" s="65" t="n">
        <f aca="false">IF(AT690="",0,MAX(0,MIN(1,(IF(BY690="L1",Parameter!$E$5,Parameter!$E$6+Parameter!$E$7)-(AT690-AP690))/AP690)))</f>
        <v>0</v>
      </c>
      <c r="AV690" s="57" t="n">
        <f aca="false">IF(LEFT(Cockpit!$O$5,1)="A",H690,IF(CA690=1,CB690,IF(LEFT(Cockpit!$O$5,1)="B",AZ690,MAX(AZ690,H690))))</f>
        <v>20</v>
      </c>
      <c r="AW690" s="57" t="n">
        <f aca="false">IF(BT690=1,0,ROUNDUP(AV690/BS690,0))</f>
        <v>1</v>
      </c>
      <c r="AX690" s="59" t="n">
        <f aca="false">IF(CH690&gt;0,CH690*MAX(1,AV690/X690),IF(BT690=1,IF(AV690&lt;=0,0,BW690*MAX(1,IF(H690&gt;0,AV690/H690,1))),IF(R690&gt;0,AW690/R690,0))/MAX(0.1,N(Parameter!$M$21)))</f>
        <v>0.0384615384615385</v>
      </c>
      <c r="AY690" s="57" t="n">
        <f aca="false">AV690*G690</f>
        <v>14076.2</v>
      </c>
      <c r="AZ690" s="57" t="n">
        <f aca="false">ROUNDUP(MAX(J690/IF(BZ690&gt;0,BZ690,MAX(0.1,N(Cockpit!$O$6))),CC690)/BS690,0)*BS690</f>
        <v>20</v>
      </c>
      <c r="BA690" s="58" t="n">
        <f aca="false">IF(AX690&gt;0,J690/AX690,-1)</f>
        <v>0</v>
      </c>
      <c r="BB690" s="58" t="n">
        <f aca="false">IF(AND(OR(BY690="L1",BY690="L23"),AX690&gt;0),SUMIFS($AX$7:$AX$1843,$BY$7:$BY$1843,BY690,$BA$7:$BA$1843,"&gt;"&amp;BA690)+SUMIFS($AX$7:$AX$1843,$BY$7:$BY$1843,BY690,$BA$7:$BA$1843,BA690,$BQ$7:$BQ$1843,"&lt;="&amp;BQ690),"")</f>
        <v>107.159293604946</v>
      </c>
      <c r="BC690" s="65" t="n">
        <f aca="false">IF(BB690="",0,MAX(0,MIN(1,(IF(BY690="L1",Parameter!$E$5,Parameter!$E$6+Parameter!$E$7)-(BB690-AX690))/AX690)))</f>
        <v>0</v>
      </c>
      <c r="BD690" s="55" t="str">
        <f aca="false">IF(AH690&lt;=0,"",IF(BY690="Aussen","Aussenlager",IF(BY690="-","Nicht im Lift",IF(AM690&gt;=1,"Lift",IF(AM690&lt;=0,"Aussenlager","teilweise")))))</f>
        <v>Lift</v>
      </c>
      <c r="BE690" s="55" t="str">
        <f aca="false">IF(AP690&lt;=0,"",IF(BY690="Aussen","Aussenlager",IF(BY690="-","Nicht im Lift",IF(AU690&gt;=1,"Lift",IF(AU690&lt;=0,"Aussenlager","teilweise")))))</f>
        <v>Aussenlager</v>
      </c>
      <c r="BF690" s="55" t="str">
        <f aca="false">IF(AX690&lt;=0,"",IF(BY690="Aussen","Aussenlager",IF(BY690="-","Nicht im Lift",IF(BC690&gt;=1,"Lift",IF(BC690&lt;=0,"Aussenlager","teilweise")))))</f>
        <v>Aussenlager</v>
      </c>
      <c r="BG690" s="55" t="str">
        <f aca="false">IF(A690="","",IF(BP690=1,"Neu; ","")&amp;IF(AND(BP690=0,BK690&lt;0),"negativer Bestand (Export "&amp;BK690&amp;"); ","")&amp;IF(J690&lt;=0,"Kein Verbrauch; ","")&amp;IF(CH690&gt;0,"Lift "&amp;W690&amp;" lt. Liftbericht (Fach "&amp;X690&amp;" Stk); ",IF(BU690=1,"Gebinde geschätzt ("&amp;T690&amp;"); ",IF(BT690=1,"Lose – Tablare geschätzt; ","")))&amp;IF(H690&gt;AR690,"Überbestand "&amp;ROUND(H690-AR690,0)&amp;" Stk / CHF "&amp;ROUND((H690-AR690)*G690,0)&amp;"; ","")&amp;IF(AND(CA690=1,CB690&lt;CC690),"MAX &lt; MB+LG; ","")&amp;IF(AND(CG690&gt;0,CF690*10&gt;CG690),"zu hoch für Tablar; ","")&amp;IF(AND(BP690=0,OR(CA690=1,AA690&lt;&gt;"",U690&lt;&gt;"",V690&lt;&gt;"",AB690&lt;&gt;"")),"manuell übersteuert; ","")&amp;IF(AND(BT690=0,R690=0),"Gebinde unbekannt / Stellmass fehlt; ","")&amp;IF(AND(BT690=0,N(V690)&lt;=0,N(Q690)&lt;=0),"Menge pro Gebinde fehlt (Ist = 1 Gebinde); ","")&amp;BO690)</f>
        <v>Kein Verbrauch; Gebinde geschätzt (Klein); Menge pro Gebinde fehlt (Ist = 1 Gebinde); </v>
      </c>
      <c r="BH690" s="55"/>
      <c r="BI690" s="55"/>
      <c r="BJ690" s="62"/>
      <c r="BK690" s="57" t="n">
        <v>0</v>
      </c>
      <c r="BL690" s="57" t="n">
        <v>17</v>
      </c>
      <c r="BM690" s="56" t="n">
        <v>0</v>
      </c>
      <c r="BN690" s="57" t="n">
        <v>0</v>
      </c>
      <c r="BO690" s="55"/>
      <c r="BP690" s="60" t="n">
        <v>0</v>
      </c>
      <c r="BQ690" s="60" t="n">
        <v>690</v>
      </c>
      <c r="BR690" s="55" t="str">
        <f aca="false">IF(U690&lt;&gt;"",UPPER(TRIM(U690)),IF(BU690=1,UPPER(VLOOKUP(T690,Parameter!$I$27:$K$29,2,0)),IF(P690="","LOSE",P690)))</f>
        <v>S51</v>
      </c>
      <c r="BS690" s="57" t="n">
        <f aca="false">IF(BR690="LOSE",1,IF(N(V690)&gt;0,V690,IF(BU690=1,MAX(1,N(VLOOKUP(T690,Parameter!$I$27:$K$29,3,0)),H690,N(N690)),IF(N(Q690)&gt;0,Q690,MAX(1,H690)))))</f>
        <v>20</v>
      </c>
      <c r="BT690" s="60" t="n">
        <f aca="false">IF(BR690="LOSE",1,0)</f>
        <v>0</v>
      </c>
      <c r="BU690" s="60" t="n">
        <f aca="false">IF(AND(U690="",OR(P690="",P690="LOSE"),T690&lt;&gt;"",N(S690)&lt;=0,ISNUMBER(MATCH(T690,Parameter!$I$27:$I$29,0))),1,0)</f>
        <v>1</v>
      </c>
      <c r="BV690" s="55" t="str">
        <f aca="false">IF(AND(Parameter!$B$19="Ja",E690&lt;&gt;"",ISNUMBER(MATCH(E690,Parameter!$I$35:$I$52,0))),VLOOKUP(E690,Parameter!$I$35:$J$52,2,0),IFERROR(VLOOKUP(D690,Parameter!$A$35:$C$64,2,0),"Nein"))</f>
        <v>2+3</v>
      </c>
      <c r="BW690" s="59" t="n">
        <f aca="false">IF(BT690=0,0,IF(N(S690)&gt;0,S690,IFERROR(VLOOKUP(D690,Parameter!$A$35:$C$64,3,0)+0,0)))</f>
        <v>0</v>
      </c>
      <c r="BX690" s="55" t="n">
        <f aca="false">IF(AA690&lt;&gt;"",AA690,Z690)</f>
        <v>3</v>
      </c>
      <c r="BY690" s="55" t="str">
        <f aca="false">IF(BX690=1,"L1",IF(OR(BX690=2,BX690=3),"L23",IF(BX690="Aussen","Aussen","-")))</f>
        <v>L23</v>
      </c>
      <c r="BZ690" s="66" t="n">
        <f aca="false">IF(N(AB690)&gt;0,AB690,0)</f>
        <v>0</v>
      </c>
      <c r="CA690" s="60" t="n">
        <f aca="false">IF(ISNUMBER(AE690),1,0)</f>
        <v>0</v>
      </c>
      <c r="CB690" s="57" t="n">
        <f aca="false">N(AE690)</f>
        <v>0</v>
      </c>
      <c r="CC690" s="57" t="n">
        <f aca="false">N(M690)+N(N690)</f>
        <v>1</v>
      </c>
      <c r="CD690" s="57" t="n">
        <f aca="false">ROUNDUP(H690/BS690,0)</f>
        <v>1</v>
      </c>
      <c r="CE690" s="57" t="n">
        <f aca="false">ROUNDUP(CB690/BS690,0)</f>
        <v>0</v>
      </c>
      <c r="CF690" s="60" t="n">
        <f aca="false">IF(BT690=1,0,IFERROR(VLOOKUP(BR690,'Gebinde-Kategorie'!$A$5:$M$45,5,0)+0,0))</f>
        <v>11</v>
      </c>
      <c r="CG690" s="60" t="n">
        <f aca="false">IFERROR(IF(OR(BX690=1,BX690=2,BX690=3),N(INDEX(Parameter!$I$5:$I$7,BX690)),0),0)</f>
        <v>0</v>
      </c>
      <c r="CH690" s="59" t="n">
        <f aca="false">IF(AND(Parameter!$B$21="Ja",ISNUMBER(W690),N(X690)&gt;0),IFERROR(N(INDEX(Parameter!$L$5:$L$7,W690))*INDEX(Parameter!$E$5:$E$7,W690)*X690/SUMIFS($X$7:$X$1843,$W$7:$W$1843,W690),0),0)</f>
        <v>0</v>
      </c>
    </row>
    <row r="691" customFormat="false" ht="15" hidden="false" customHeight="false" outlineLevel="0" collapsed="false">
      <c r="A691" s="55" t="s">
        <v>1381</v>
      </c>
      <c r="B691" s="55" t="s">
        <v>431</v>
      </c>
      <c r="C691" s="55" t="s">
        <v>164</v>
      </c>
      <c r="D691" s="55" t="s">
        <v>184</v>
      </c>
      <c r="E691" s="55" t="s">
        <v>185</v>
      </c>
      <c r="F691" s="55" t="s">
        <v>218</v>
      </c>
      <c r="G691" s="56" t="n">
        <v>137.1</v>
      </c>
      <c r="H691" s="57" t="n">
        <f aca="false">MAX(0,IF(AND(Parameter!$B$21="Ja",ISNUMBER(Y691)),Y691,IF(Parameter!$B$20="Jahresanfang 2025 + Export",BL691+BK691,BK691)))</f>
        <v>1</v>
      </c>
      <c r="I691" s="57" t="n">
        <f aca="false">H691*G691</f>
        <v>137.1</v>
      </c>
      <c r="J691" s="57" t="n">
        <f aca="false">BN691*Parameter!$B$18</f>
        <v>1</v>
      </c>
      <c r="K691" s="58" t="n">
        <v>1</v>
      </c>
      <c r="L691" s="59" t="n">
        <v>1</v>
      </c>
      <c r="M691" s="57" t="n">
        <v>0</v>
      </c>
      <c r="N691" s="57" t="n">
        <v>1</v>
      </c>
      <c r="O691" s="60" t="n">
        <v>70</v>
      </c>
      <c r="P691" s="55" t="s">
        <v>401</v>
      </c>
      <c r="Q691" s="57" t="n">
        <v>1</v>
      </c>
      <c r="R691" s="60" t="n">
        <f aca="false">IF(BT691=1,0,IFERROR(VLOOKUP(BR691,'Gebinde-Kategorie'!$A$5:$M$45,13,0)+0,0))</f>
        <v>414</v>
      </c>
      <c r="S691" s="61"/>
      <c r="T691" s="62"/>
      <c r="U691" s="62"/>
      <c r="V691" s="62"/>
      <c r="W691" s="55"/>
      <c r="X691" s="57"/>
      <c r="Y691" s="57"/>
      <c r="Z691" s="55" t="n">
        <f aca="false">IF(A691="","",IF(AND(Parameter!$B$21="Ja",ISNUMBER(W691)),W691,IF(BV691="2+3",IF(ISNUMBER(SEARCH("grosser Artikel",BO691)),2,IFERROR(VLOOKUP(BR691,Parameter!$F$35:$G$64,2,0),2)),IF(OR(BV691="Nein",BV691=""),"-",BV691))))</f>
        <v>3</v>
      </c>
      <c r="AA691" s="62"/>
      <c r="AB691" s="63"/>
      <c r="AC691" s="57" t="n">
        <f aca="false">AR691</f>
        <v>1</v>
      </c>
      <c r="AD691" s="57" t="n">
        <f aca="false">MAX(AR691,H691)</f>
        <v>1</v>
      </c>
      <c r="AE691" s="64"/>
      <c r="AF691" s="57" t="n">
        <f aca="false">IF(LEFT(Cockpit!$C$5,1)="A",H691,IF(CA691=1,CB691,IF(LEFT(Cockpit!$C$5,1)="B",AJ691,MAX(AJ691,H691))))</f>
        <v>1</v>
      </c>
      <c r="AG691" s="57" t="n">
        <f aca="false">IF(BT691=1,0,ROUNDUP(AF691/BS691,0))</f>
        <v>1</v>
      </c>
      <c r="AH691" s="59" t="n">
        <f aca="false">IF(CH691&gt;0,CH691*MAX(1,AF691/X691),IF(BT691=1,IF(AF691&lt;=0,0,BW691*MAX(1,IF(H691&gt;0,AF691/H691,1))),IF(R691&gt;0,AG691/R691,0))/MAX(0.1,N(Parameter!$M$21)))</f>
        <v>0.00241545893719807</v>
      </c>
      <c r="AI691" s="57" t="n">
        <f aca="false">AF691*G691</f>
        <v>137.1</v>
      </c>
      <c r="AJ691" s="57" t="n">
        <f aca="false">ROUNDUP(MAX(J691/IF(BZ691&gt;0,BZ691,MAX(0.1,N(Cockpit!$C$6))),CC691)/BS691,0)*BS691</f>
        <v>1</v>
      </c>
      <c r="AK691" s="58" t="n">
        <f aca="false">IF(AH691&gt;0,J691/AH691,-1)</f>
        <v>414</v>
      </c>
      <c r="AL691" s="58" t="n">
        <f aca="false">IF(AND(OR(BY691="L1",BY691="L23"),AH691&gt;0),SUMIFS($AH$7:$AH$1843,$BY$7:$BY$1843,BY691,$AK$7:$AK$1843,"&gt;"&amp;AK691)+SUMIFS($AH$7:$AH$1843,$BY$7:$BY$1843,BY691,$AK$7:$AK$1843,AK691,$BQ$7:$BQ$1843,"&lt;="&amp;BQ691),"")</f>
        <v>25.4234992061079</v>
      </c>
      <c r="AM691" s="65" t="n">
        <f aca="false">IF(AL691="",0,MAX(0,MIN(1,(IF(BY691="L1",Parameter!$E$5,Parameter!$E$6+Parameter!$E$7)-(AL691-AH691))/AH691)))</f>
        <v>1</v>
      </c>
      <c r="AN691" s="57" t="n">
        <f aca="false">IF(LEFT(Cockpit!$I$5,1)="A",H691,IF(CA691=1,CB691,IF(LEFT(Cockpit!$I$5,1)="B",AR691,MAX(AR691,H691))))</f>
        <v>1</v>
      </c>
      <c r="AO691" s="57" t="n">
        <f aca="false">IF(BT691=1,0,ROUNDUP(AN691/BS691,0))</f>
        <v>1</v>
      </c>
      <c r="AP691" s="59" t="n">
        <f aca="false">IF(CH691&gt;0,CH691*MAX(1,AN691/X691),IF(BT691=1,IF(AN691&lt;=0,0,BW691*MAX(1,IF(H691&gt;0,AN691/H691,1))),IF(R691&gt;0,AO691/R691,0))/MAX(0.1,N(Parameter!$M$21)))</f>
        <v>0.00241545893719807</v>
      </c>
      <c r="AQ691" s="57" t="n">
        <f aca="false">AN691*G691</f>
        <v>137.1</v>
      </c>
      <c r="AR691" s="57" t="n">
        <f aca="false">ROUNDUP(MAX(J691/IF(BZ691&gt;0,BZ691,MAX(0.1,N(Cockpit!$I$6))),CC691)/BS691,0)*BS691</f>
        <v>1</v>
      </c>
      <c r="AS691" s="58" t="n">
        <f aca="false">IF(AP691&gt;0,J691/AP691,-1)</f>
        <v>414</v>
      </c>
      <c r="AT691" s="58" t="n">
        <f aca="false">IF(AND(OR(BY691="L1",BY691="L23"),AP691&gt;0),SUMIFS($AP$7:$AP$1843,$BY$7:$BY$1843,BY691,$AS$7:$AS$1843,"&gt;"&amp;AS691)+SUMIFS($AP$7:$AP$1843,$BY$7:$BY$1843,BY691,$AS$7:$AS$1843,AS691,$BQ$7:$BQ$1843,"&lt;="&amp;BQ691),"")</f>
        <v>35.0109033478599</v>
      </c>
      <c r="AU691" s="65" t="n">
        <f aca="false">IF(AT691="",0,MAX(0,MIN(1,(IF(BY691="L1",Parameter!$E$5,Parameter!$E$6+Parameter!$E$7)-(AT691-AP691))/AP691)))</f>
        <v>1</v>
      </c>
      <c r="AV691" s="57" t="n">
        <f aca="false">IF(LEFT(Cockpit!$O$5,1)="A",H691,IF(CA691=1,CB691,IF(LEFT(Cockpit!$O$5,1)="B",AZ691,MAX(AZ691,H691))))</f>
        <v>1</v>
      </c>
      <c r="AW691" s="57" t="n">
        <f aca="false">IF(BT691=1,0,ROUNDUP(AV691/BS691,0))</f>
        <v>1</v>
      </c>
      <c r="AX691" s="59" t="n">
        <f aca="false">IF(CH691&gt;0,CH691*MAX(1,AV691/X691),IF(BT691=1,IF(AV691&lt;=0,0,BW691*MAX(1,IF(H691&gt;0,AV691/H691,1))),IF(R691&gt;0,AW691/R691,0))/MAX(0.1,N(Parameter!$M$21)))</f>
        <v>0.00241545893719807</v>
      </c>
      <c r="AY691" s="57" t="n">
        <f aca="false">AV691*G691</f>
        <v>137.1</v>
      </c>
      <c r="AZ691" s="57" t="n">
        <f aca="false">ROUNDUP(MAX(J691/IF(BZ691&gt;0,BZ691,MAX(0.1,N(Cockpit!$O$6))),CC691)/BS691,0)*BS691</f>
        <v>1</v>
      </c>
      <c r="BA691" s="58" t="n">
        <f aca="false">IF(AX691&gt;0,J691/AX691,-1)</f>
        <v>414</v>
      </c>
      <c r="BB691" s="58" t="n">
        <f aca="false">IF(AND(OR(BY691="L1",BY691="L23"),AX691&gt;0),SUMIFS($AX$7:$AX$1843,$BY$7:$BY$1843,BY691,$BA$7:$BA$1843,"&gt;"&amp;BA691)+SUMIFS($AX$7:$AX$1843,$BY$7:$BY$1843,BY691,$BA$7:$BA$1843,BA691,$BQ$7:$BQ$1843,"&lt;="&amp;BQ691),"")</f>
        <v>34.2574068443634</v>
      </c>
      <c r="BC691" s="65" t="n">
        <f aca="false">IF(BB691="",0,MAX(0,MIN(1,(IF(BY691="L1",Parameter!$E$5,Parameter!$E$6+Parameter!$E$7)-(BB691-AX691))/AX691)))</f>
        <v>1</v>
      </c>
      <c r="BD691" s="55" t="str">
        <f aca="false">IF(AH691&lt;=0,"",IF(BY691="Aussen","Aussenlager",IF(BY691="-","Nicht im Lift",IF(AM691&gt;=1,"Lift",IF(AM691&lt;=0,"Aussenlager","teilweise")))))</f>
        <v>Lift</v>
      </c>
      <c r="BE691" s="55" t="str">
        <f aca="false">IF(AP691&lt;=0,"",IF(BY691="Aussen","Aussenlager",IF(BY691="-","Nicht im Lift",IF(AU691&gt;=1,"Lift",IF(AU691&lt;=0,"Aussenlager","teilweise")))))</f>
        <v>Lift</v>
      </c>
      <c r="BF691" s="55" t="str">
        <f aca="false">IF(AX691&lt;=0,"",IF(BY691="Aussen","Aussenlager",IF(BY691="-","Nicht im Lift",IF(BC691&gt;=1,"Lift",IF(BC691&lt;=0,"Aussenlager","teilweise")))))</f>
        <v>Lift</v>
      </c>
      <c r="BG691" s="55" t="str">
        <f aca="false">IF(A691="","",IF(BP691=1,"Neu; ","")&amp;IF(AND(BP691=0,BK691&lt;0),"negativer Bestand (Export "&amp;BK691&amp;"); ","")&amp;IF(J691&lt;=0,"Kein Verbrauch; ","")&amp;IF(CH691&gt;0,"Lift "&amp;W691&amp;" lt. Liftbericht (Fach "&amp;X691&amp;" Stk); ",IF(BU691=1,"Gebinde geschätzt ("&amp;T691&amp;"); ",IF(BT691=1,"Lose – Tablare geschätzt; ","")))&amp;IF(H691&gt;AR691,"Überbestand "&amp;ROUND(H691-AR691,0)&amp;" Stk / CHF "&amp;ROUND((H691-AR691)*G691,0)&amp;"; ","")&amp;IF(AND(CA691=1,CB691&lt;CC691),"MAX &lt; MB+LG; ","")&amp;IF(AND(CG691&gt;0,CF691*10&gt;CG691),"zu hoch für Tablar; ","")&amp;IF(AND(BP691=0,OR(CA691=1,AA691&lt;&gt;"",U691&lt;&gt;"",V691&lt;&gt;"",AB691&lt;&gt;"")),"manuell übersteuert; ","")&amp;IF(AND(BT691=0,R691=0),"Gebinde unbekannt / Stellmass fehlt; ","")&amp;IF(AND(BT691=0,N(V691)&lt;=0,N(Q691)&lt;=0),"Menge pro Gebinde fehlt (Ist = 1 Gebinde); ","")&amp;BO691)</f>
        <v/>
      </c>
      <c r="BH691" s="55"/>
      <c r="BI691" s="55"/>
      <c r="BJ691" s="62"/>
      <c r="BK691" s="57" t="n">
        <v>0</v>
      </c>
      <c r="BL691" s="57" t="n">
        <v>1</v>
      </c>
      <c r="BM691" s="56" t="n">
        <v>0</v>
      </c>
      <c r="BN691" s="57" t="n">
        <v>1</v>
      </c>
      <c r="BO691" s="55"/>
      <c r="BP691" s="60" t="n">
        <v>0</v>
      </c>
      <c r="BQ691" s="60" t="n">
        <v>691</v>
      </c>
      <c r="BR691" s="55" t="str">
        <f aca="false">IF(U691&lt;&gt;"",UPPER(TRIM(U691)),IF(BU691=1,UPPER(VLOOKUP(T691,Parameter!$I$27:$K$29,2,0)),IF(P691="","LOSE",P691)))</f>
        <v>S21</v>
      </c>
      <c r="BS691" s="57" t="n">
        <f aca="false">IF(BR691="LOSE",1,IF(N(V691)&gt;0,V691,IF(BU691=1,MAX(1,N(VLOOKUP(T691,Parameter!$I$27:$K$29,3,0)),H691,N(N691)),IF(N(Q691)&gt;0,Q691,MAX(1,H691)))))</f>
        <v>1</v>
      </c>
      <c r="BT691" s="60" t="n">
        <f aca="false">IF(BR691="LOSE",1,0)</f>
        <v>0</v>
      </c>
      <c r="BU691" s="60" t="n">
        <f aca="false">IF(AND(U691="",OR(P691="",P691="LOSE"),T691&lt;&gt;"",N(S691)&lt;=0,ISNUMBER(MATCH(T691,Parameter!$I$27:$I$29,0))),1,0)</f>
        <v>0</v>
      </c>
      <c r="BV691" s="55" t="str">
        <f aca="false">IF(AND(Parameter!$B$19="Ja",E691&lt;&gt;"",ISNUMBER(MATCH(E691,Parameter!$I$35:$I$52,0))),VLOOKUP(E691,Parameter!$I$35:$J$52,2,0),IFERROR(VLOOKUP(D691,Parameter!$A$35:$C$64,2,0),"Nein"))</f>
        <v>2+3</v>
      </c>
      <c r="BW691" s="59" t="n">
        <f aca="false">IF(BT691=0,0,IF(N(S691)&gt;0,S691,IFERROR(VLOOKUP(D691,Parameter!$A$35:$C$64,3,0)+0,0)))</f>
        <v>0</v>
      </c>
      <c r="BX691" s="55" t="n">
        <f aca="false">IF(AA691&lt;&gt;"",AA691,Z691)</f>
        <v>3</v>
      </c>
      <c r="BY691" s="55" t="str">
        <f aca="false">IF(BX691=1,"L1",IF(OR(BX691=2,BX691=3),"L23",IF(BX691="Aussen","Aussen","-")))</f>
        <v>L23</v>
      </c>
      <c r="BZ691" s="66" t="n">
        <f aca="false">IF(N(AB691)&gt;0,AB691,0)</f>
        <v>0</v>
      </c>
      <c r="CA691" s="60" t="n">
        <f aca="false">IF(ISNUMBER(AE691),1,0)</f>
        <v>0</v>
      </c>
      <c r="CB691" s="57" t="n">
        <f aca="false">N(AE691)</f>
        <v>0</v>
      </c>
      <c r="CC691" s="57" t="n">
        <f aca="false">N(M691)+N(N691)</f>
        <v>1</v>
      </c>
      <c r="CD691" s="57" t="n">
        <f aca="false">ROUNDUP(H691/BS691,0)</f>
        <v>1</v>
      </c>
      <c r="CE691" s="57" t="n">
        <f aca="false">ROUNDUP(CB691/BS691,0)</f>
        <v>0</v>
      </c>
      <c r="CF691" s="60" t="n">
        <f aca="false">IF(BT691=1,0,IFERROR(VLOOKUP(BR691,'Gebinde-Kategorie'!$A$5:$M$45,5,0)+0,0))</f>
        <v>8</v>
      </c>
      <c r="CG691" s="60" t="n">
        <f aca="false">IFERROR(IF(OR(BX691=1,BX691=2,BX691=3),N(INDEX(Parameter!$I$5:$I$7,BX691)),0),0)</f>
        <v>0</v>
      </c>
      <c r="CH691" s="59" t="n">
        <f aca="false">IF(AND(Parameter!$B$21="Ja",ISNUMBER(W691),N(X691)&gt;0),IFERROR(N(INDEX(Parameter!$L$5:$L$7,W691))*INDEX(Parameter!$E$5:$E$7,W691)*X691/SUMIFS($X$7:$X$1843,$W$7:$W$1843,W691),0),0)</f>
        <v>0</v>
      </c>
    </row>
    <row r="692" customFormat="false" ht="15" hidden="false" customHeight="false" outlineLevel="0" collapsed="false">
      <c r="A692" s="55" t="s">
        <v>1382</v>
      </c>
      <c r="B692" s="55" t="s">
        <v>1383</v>
      </c>
      <c r="C692" s="55" t="s">
        <v>164</v>
      </c>
      <c r="D692" s="55" t="s">
        <v>173</v>
      </c>
      <c r="E692" s="55"/>
      <c r="F692" s="55" t="s">
        <v>218</v>
      </c>
      <c r="G692" s="56" t="n">
        <v>11045.16</v>
      </c>
      <c r="H692" s="57" t="n">
        <f aca="false">MAX(0,IF(AND(Parameter!$B$21="Ja",ISNUMBER(Y692)),Y692,IF(Parameter!$B$20="Jahresanfang 2025 + Export",BL692+BK692,BK692)))</f>
        <v>0</v>
      </c>
      <c r="I692" s="57" t="n">
        <f aca="false">H692*G692</f>
        <v>0</v>
      </c>
      <c r="J692" s="57" t="n">
        <f aca="false">BN692*Parameter!$B$18</f>
        <v>2</v>
      </c>
      <c r="K692" s="58" t="n">
        <v>0</v>
      </c>
      <c r="L692" s="59" t="n">
        <v>0</v>
      </c>
      <c r="M692" s="57" t="n">
        <v>0</v>
      </c>
      <c r="N692" s="57" t="n">
        <v>1</v>
      </c>
      <c r="O692" s="60" t="n">
        <v>170</v>
      </c>
      <c r="P692" s="55" t="s">
        <v>168</v>
      </c>
      <c r="Q692" s="57"/>
      <c r="R692" s="60" t="n">
        <f aca="false">IF(BT692=1,0,IFERROR(VLOOKUP(BR692,'Gebinde-Kategorie'!$A$5:$M$45,13,0)+0,0))</f>
        <v>3</v>
      </c>
      <c r="S692" s="61"/>
      <c r="T692" s="62" t="s">
        <v>189</v>
      </c>
      <c r="U692" s="62"/>
      <c r="V692" s="62"/>
      <c r="W692" s="55"/>
      <c r="X692" s="57"/>
      <c r="Y692" s="57"/>
      <c r="Z692" s="55" t="n">
        <f aca="false">IF(A692="","",IF(AND(Parameter!$B$21="Ja",ISNUMBER(W692)),W692,IF(BV692="2+3",IF(ISNUMBER(SEARCH("grosser Artikel",BO692)),2,IFERROR(VLOOKUP(BR692,Parameter!$F$35:$G$64,2,0),2)),IF(OR(BV692="Nein",BV692=""),"-",BV692))))</f>
        <v>2</v>
      </c>
      <c r="AA692" s="62"/>
      <c r="AB692" s="63"/>
      <c r="AC692" s="57" t="n">
        <f aca="false">AR692</f>
        <v>2</v>
      </c>
      <c r="AD692" s="57" t="n">
        <f aca="false">MAX(AR692,H692)</f>
        <v>2</v>
      </c>
      <c r="AE692" s="64"/>
      <c r="AF692" s="57" t="n">
        <f aca="false">IF(LEFT(Cockpit!$C$5,1)="A",H692,IF(CA692=1,CB692,IF(LEFT(Cockpit!$C$5,1)="B",AJ692,MAX(AJ692,H692))))</f>
        <v>0</v>
      </c>
      <c r="AG692" s="57" t="n">
        <f aca="false">IF(BT692=1,0,ROUNDUP(AF692/BS692,0))</f>
        <v>0</v>
      </c>
      <c r="AH692" s="59" t="n">
        <f aca="false">IF(CH692&gt;0,CH692*MAX(1,AF692/X692),IF(BT692=1,IF(AF692&lt;=0,0,BW692*MAX(1,IF(H692&gt;0,AF692/H692,1))),IF(R692&gt;0,AG692/R692,0))/MAX(0.1,N(Parameter!$M$21)))</f>
        <v>0</v>
      </c>
      <c r="AI692" s="57" t="n">
        <f aca="false">AF692*G692</f>
        <v>0</v>
      </c>
      <c r="AJ692" s="57" t="n">
        <f aca="false">ROUNDUP(MAX(J692/IF(BZ692&gt;0,BZ692,MAX(0.1,N(Cockpit!$C$6))),CC692)/BS692,0)*BS692</f>
        <v>2</v>
      </c>
      <c r="AK692" s="58" t="n">
        <f aca="false">IF(AH692&gt;0,J692/AH692,-1)</f>
        <v>-1</v>
      </c>
      <c r="AL692" s="58" t="str">
        <f aca="false">IF(AND(OR(BY692="L1",BY692="L23"),AH692&gt;0),SUMIFS($AH$7:$AH$1843,$BY$7:$BY$1843,BY692,$AK$7:$AK$1843,"&gt;"&amp;AK692)+SUMIFS($AH$7:$AH$1843,$BY$7:$BY$1843,BY692,$AK$7:$AK$1843,AK692,$BQ$7:$BQ$1843,"&lt;="&amp;BQ692),"")</f>
        <v/>
      </c>
      <c r="AM692" s="65" t="n">
        <f aca="false">IF(AL692="",0,MAX(0,MIN(1,(IF(BY692="L1",Parameter!$E$5,Parameter!$E$6+Parameter!$E$7)-(AL692-AH692))/AH692)))</f>
        <v>0</v>
      </c>
      <c r="AN692" s="57" t="n">
        <f aca="false">IF(LEFT(Cockpit!$I$5,1)="A",H692,IF(CA692=1,CB692,IF(LEFT(Cockpit!$I$5,1)="B",AR692,MAX(AR692,H692))))</f>
        <v>2</v>
      </c>
      <c r="AO692" s="57" t="n">
        <f aca="false">IF(BT692=1,0,ROUNDUP(AN692/BS692,0))</f>
        <v>1</v>
      </c>
      <c r="AP692" s="59" t="n">
        <f aca="false">IF(CH692&gt;0,CH692*MAX(1,AN692/X692),IF(BT692=1,IF(AN692&lt;=0,0,BW692*MAX(1,IF(H692&gt;0,AN692/H692,1))),IF(R692&gt;0,AO692/R692,0))/MAX(0.1,N(Parameter!$M$21)))</f>
        <v>0.333333333333333</v>
      </c>
      <c r="AQ692" s="57" t="n">
        <f aca="false">AN692*G692</f>
        <v>22090.32</v>
      </c>
      <c r="AR692" s="57" t="n">
        <f aca="false">ROUNDUP(MAX(J692/IF(BZ692&gt;0,BZ692,MAX(0.1,N(Cockpit!$I$6))),CC692)/BS692,0)*BS692</f>
        <v>2</v>
      </c>
      <c r="AS692" s="58" t="n">
        <f aca="false">IF(AP692&gt;0,J692/AP692,-1)</f>
        <v>6</v>
      </c>
      <c r="AT692" s="58" t="n">
        <f aca="false">IF(AND(OR(BY692="L1",BY692="L23"),AP692&gt;0),SUMIFS($AP$7:$AP$1843,$BY$7:$BY$1843,BY692,$AS$7:$AS$1843,"&gt;"&amp;AS692)+SUMIFS($AP$7:$AP$1843,$BY$7:$BY$1843,BY692,$AS$7:$AS$1843,AS692,$BQ$7:$BQ$1843,"&lt;="&amp;BQ692),"")</f>
        <v>93.069997635215</v>
      </c>
      <c r="AU692" s="65" t="n">
        <f aca="false">IF(AT692="",0,MAX(0,MIN(1,(IF(BY692="L1",Parameter!$E$5,Parameter!$E$6+Parameter!$E$7)-(AT692-AP692))/AP692)))</f>
        <v>1</v>
      </c>
      <c r="AV692" s="57" t="n">
        <f aca="false">IF(LEFT(Cockpit!$O$5,1)="A",H692,IF(CA692=1,CB692,IF(LEFT(Cockpit!$O$5,1)="B",AZ692,MAX(AZ692,H692))))</f>
        <v>2</v>
      </c>
      <c r="AW692" s="57" t="n">
        <f aca="false">IF(BT692=1,0,ROUNDUP(AV692/BS692,0))</f>
        <v>1</v>
      </c>
      <c r="AX692" s="59" t="n">
        <f aca="false">IF(CH692&gt;0,CH692*MAX(1,AV692/X692),IF(BT692=1,IF(AV692&lt;=0,0,BW692*MAX(1,IF(H692&gt;0,AV692/H692,1))),IF(R692&gt;0,AW692/R692,0))/MAX(0.1,N(Parameter!$M$21)))</f>
        <v>0.333333333333333</v>
      </c>
      <c r="AY692" s="57" t="n">
        <f aca="false">AV692*G692</f>
        <v>22090.32</v>
      </c>
      <c r="AZ692" s="57" t="n">
        <f aca="false">ROUNDUP(MAX(J692/IF(BZ692&gt;0,BZ692,MAX(0.1,N(Cockpit!$O$6))),CC692)/BS692,0)*BS692</f>
        <v>2</v>
      </c>
      <c r="BA692" s="58" t="n">
        <f aca="false">IF(AX692&gt;0,J692/AX692,-1)</f>
        <v>6</v>
      </c>
      <c r="BB692" s="58" t="n">
        <f aca="false">IF(AND(OR(BY692="L1",BY692="L23"),AX692&gt;0),SUMIFS($AX$7:$AX$1843,$BY$7:$BY$1843,BY692,$BA$7:$BA$1843,"&gt;"&amp;BA692)+SUMIFS($AX$7:$AX$1843,$BY$7:$BY$1843,BY692,$BA$7:$BA$1843,BA692,$BQ$7:$BQ$1843,"&lt;="&amp;BQ692),"")</f>
        <v>83.8998344650519</v>
      </c>
      <c r="BC692" s="65" t="n">
        <f aca="false">IF(BB692="",0,MAX(0,MIN(1,(IF(BY692="L1",Parameter!$E$5,Parameter!$E$6+Parameter!$E$7)-(BB692-AX692))/AX692)))</f>
        <v>1</v>
      </c>
      <c r="BD692" s="55" t="str">
        <f aca="false">IF(AH692&lt;=0,"",IF(BY692="Aussen","Aussenlager",IF(BY692="-","Nicht im Lift",IF(AM692&gt;=1,"Lift",IF(AM692&lt;=0,"Aussenlager","teilweise")))))</f>
        <v/>
      </c>
      <c r="BE692" s="55" t="str">
        <f aca="false">IF(AP692&lt;=0,"",IF(BY692="Aussen","Aussenlager",IF(BY692="-","Nicht im Lift",IF(AU692&gt;=1,"Lift",IF(AU692&lt;=0,"Aussenlager","teilweise")))))</f>
        <v>Lift</v>
      </c>
      <c r="BF692" s="55" t="str">
        <f aca="false">IF(AX692&lt;=0,"",IF(BY692="Aussen","Aussenlager",IF(BY692="-","Nicht im Lift",IF(BC692&gt;=1,"Lift",IF(BC692&lt;=0,"Aussenlager","teilweise")))))</f>
        <v>Lift</v>
      </c>
      <c r="BG692" s="55" t="str">
        <f aca="false">IF(A692="","",IF(BP692=1,"Neu; ","")&amp;IF(AND(BP692=0,BK692&lt;0),"negativer Bestand (Export "&amp;BK692&amp;"); ","")&amp;IF(J692&lt;=0,"Kein Verbrauch; ","")&amp;IF(CH692&gt;0,"Lift "&amp;W692&amp;" lt. Liftbericht (Fach "&amp;X692&amp;" Stk); ",IF(BU692=1,"Gebinde geschätzt ("&amp;T692&amp;"); ",IF(BT692=1,"Lose – Tablare geschätzt; ","")))&amp;IF(H692&gt;AR692,"Überbestand "&amp;ROUND(H692-AR692,0)&amp;" Stk / CHF "&amp;ROUND((H692-AR692)*G692,0)&amp;"; ","")&amp;IF(AND(CA692=1,CB692&lt;CC692),"MAX &lt; MB+LG; ","")&amp;IF(AND(CG692&gt;0,CF692*10&gt;CG692),"zu hoch für Tablar; ","")&amp;IF(AND(BP692=0,OR(CA692=1,AA692&lt;&gt;"",U692&lt;&gt;"",V692&lt;&gt;"",AB692&lt;&gt;"")),"manuell übersteuert; ","")&amp;IF(AND(BT692=0,R692=0),"Gebinde unbekannt / Stellmass fehlt; ","")&amp;IF(AND(BT692=0,N(V692)&lt;=0,N(Q692)&lt;=0),"Menge pro Gebinde fehlt (Ist = 1 Gebinde); ","")&amp;BO692)</f>
        <v>Gebinde geschätzt (Gross); Menge pro Gebinde fehlt (Ist = 1 Gebinde); </v>
      </c>
      <c r="BH692" s="55"/>
      <c r="BI692" s="55"/>
      <c r="BJ692" s="62"/>
      <c r="BK692" s="57" t="n">
        <v>0</v>
      </c>
      <c r="BL692" s="57" t="n">
        <v>0</v>
      </c>
      <c r="BM692" s="56" t="n">
        <v>0</v>
      </c>
      <c r="BN692" s="57" t="n">
        <v>2</v>
      </c>
      <c r="BO692" s="55"/>
      <c r="BP692" s="60" t="n">
        <v>0</v>
      </c>
      <c r="BQ692" s="60" t="n">
        <v>692</v>
      </c>
      <c r="BR692" s="55" t="str">
        <f aca="false">IF(U692&lt;&gt;"",UPPER(TRIM(U692)),IF(BU692=1,UPPER(VLOOKUP(T692,Parameter!$I$27:$K$29,2,0)),IF(P692="","LOSE",P692)))</f>
        <v>S81</v>
      </c>
      <c r="BS692" s="57" t="n">
        <f aca="false">IF(BR692="LOSE",1,IF(N(V692)&gt;0,V692,IF(BU692=1,MAX(1,N(VLOOKUP(T692,Parameter!$I$27:$K$29,3,0)),H692,N(N692)),IF(N(Q692)&gt;0,Q692,MAX(1,H692)))))</f>
        <v>2</v>
      </c>
      <c r="BT692" s="60" t="n">
        <f aca="false">IF(BR692="LOSE",1,0)</f>
        <v>0</v>
      </c>
      <c r="BU692" s="60" t="n">
        <f aca="false">IF(AND(U692="",OR(P692="",P692="LOSE"),T692&lt;&gt;"",N(S692)&lt;=0,ISNUMBER(MATCH(T692,Parameter!$I$27:$I$29,0))),1,0)</f>
        <v>1</v>
      </c>
      <c r="BV692" s="55" t="str">
        <f aca="false">IF(AND(Parameter!$B$19="Ja",E692&lt;&gt;"",ISNUMBER(MATCH(E692,Parameter!$I$35:$I$52,0))),VLOOKUP(E692,Parameter!$I$35:$J$52,2,0),IFERROR(VLOOKUP(D692,Parameter!$A$35:$C$64,2,0),"Nein"))</f>
        <v>2+3</v>
      </c>
      <c r="BW692" s="59" t="n">
        <f aca="false">IF(BT692=0,0,IF(N(S692)&gt;0,S692,IFERROR(VLOOKUP(D692,Parameter!$A$35:$C$64,3,0)+0,0)))</f>
        <v>0</v>
      </c>
      <c r="BX692" s="55" t="n">
        <f aca="false">IF(AA692&lt;&gt;"",AA692,Z692)</f>
        <v>2</v>
      </c>
      <c r="BY692" s="55" t="str">
        <f aca="false">IF(BX692=1,"L1",IF(OR(BX692=2,BX692=3),"L23",IF(BX692="Aussen","Aussen","-")))</f>
        <v>L23</v>
      </c>
      <c r="BZ692" s="66" t="n">
        <f aca="false">IF(N(AB692)&gt;0,AB692,0)</f>
        <v>0</v>
      </c>
      <c r="CA692" s="60" t="n">
        <f aca="false">IF(ISNUMBER(AE692),1,0)</f>
        <v>0</v>
      </c>
      <c r="CB692" s="57" t="n">
        <f aca="false">N(AE692)</f>
        <v>0</v>
      </c>
      <c r="CC692" s="57" t="n">
        <f aca="false">N(M692)+N(N692)</f>
        <v>1</v>
      </c>
      <c r="CD692" s="57" t="n">
        <f aca="false">ROUNDUP(H692/BS692,0)</f>
        <v>0</v>
      </c>
      <c r="CE692" s="57" t="n">
        <f aca="false">ROUNDUP(CB692/BS692,0)</f>
        <v>0</v>
      </c>
      <c r="CF692" s="60" t="n">
        <f aca="false">IF(BT692=1,0,IFERROR(VLOOKUP(BR692,'Gebinde-Kategorie'!$A$5:$M$45,5,0)+0,0))</f>
        <v>20</v>
      </c>
      <c r="CG692" s="60" t="n">
        <f aca="false">IFERROR(IF(OR(BX692=1,BX692=2,BX692=3),N(INDEX(Parameter!$I$5:$I$7,BX692)),0),0)</f>
        <v>0</v>
      </c>
      <c r="CH692" s="59" t="n">
        <f aca="false">IF(AND(Parameter!$B$21="Ja",ISNUMBER(W692),N(X692)&gt;0),IFERROR(N(INDEX(Parameter!$L$5:$L$7,W692))*INDEX(Parameter!$E$5:$E$7,W692)*X692/SUMIFS($X$7:$X$1843,$W$7:$W$1843,W692),0),0)</f>
        <v>0</v>
      </c>
    </row>
    <row r="693" customFormat="false" ht="15" hidden="false" customHeight="false" outlineLevel="0" collapsed="false">
      <c r="A693" s="55" t="s">
        <v>1384</v>
      </c>
      <c r="B693" s="55" t="s">
        <v>1385</v>
      </c>
      <c r="C693" s="55" t="s">
        <v>164</v>
      </c>
      <c r="D693" s="55" t="s">
        <v>184</v>
      </c>
      <c r="E693" s="55" t="s">
        <v>185</v>
      </c>
      <c r="F693" s="55" t="s">
        <v>218</v>
      </c>
      <c r="G693" s="56" t="n">
        <v>480</v>
      </c>
      <c r="H693" s="57" t="n">
        <f aca="false">MAX(0,IF(AND(Parameter!$B$21="Ja",ISNUMBER(Y693)),Y693,IF(Parameter!$B$20="Jahresanfang 2025 + Export",BL693+BK693,BK693)))</f>
        <v>4</v>
      </c>
      <c r="I693" s="57" t="n">
        <f aca="false">H693*G693</f>
        <v>1920</v>
      </c>
      <c r="J693" s="57" t="n">
        <f aca="false">BN693*Parameter!$B$18</f>
        <v>5</v>
      </c>
      <c r="K693" s="58" t="n">
        <v>2.5</v>
      </c>
      <c r="L693" s="59" t="n">
        <v>2</v>
      </c>
      <c r="M693" s="57" t="n">
        <v>0</v>
      </c>
      <c r="N693" s="57" t="n">
        <v>5</v>
      </c>
      <c r="O693" s="60" t="n">
        <v>35</v>
      </c>
      <c r="P693" s="55" t="s">
        <v>174</v>
      </c>
      <c r="Q693" s="57" t="n">
        <v>1</v>
      </c>
      <c r="R693" s="60" t="n">
        <f aca="false">IF(BT693=1,0,IFERROR(VLOOKUP(BR693,'Gebinde-Kategorie'!$A$5:$M$45,13,0)+0,0))</f>
        <v>6</v>
      </c>
      <c r="S693" s="61"/>
      <c r="T693" s="62"/>
      <c r="U693" s="62"/>
      <c r="V693" s="62"/>
      <c r="W693" s="55"/>
      <c r="X693" s="57"/>
      <c r="Y693" s="57"/>
      <c r="Z693" s="55" t="n">
        <f aca="false">IF(A693="","",IF(AND(Parameter!$B$21="Ja",ISNUMBER(W693)),W693,IF(BV693="2+3",IF(ISNUMBER(SEARCH("grosser Artikel",BO693)),2,IFERROR(VLOOKUP(BR693,Parameter!$F$35:$G$64,2,0),2)),IF(OR(BV693="Nein",BV693=""),"-",BV693))))</f>
        <v>2</v>
      </c>
      <c r="AA693" s="62"/>
      <c r="AB693" s="63"/>
      <c r="AC693" s="57" t="n">
        <f aca="false">AR693</f>
        <v>5</v>
      </c>
      <c r="AD693" s="57" t="n">
        <f aca="false">MAX(AR693,H693)</f>
        <v>5</v>
      </c>
      <c r="AE693" s="64"/>
      <c r="AF693" s="57" t="n">
        <f aca="false">IF(LEFT(Cockpit!$C$5,1)="A",H693,IF(CA693=1,CB693,IF(LEFT(Cockpit!$C$5,1)="B",AJ693,MAX(AJ693,H693))))</f>
        <v>4</v>
      </c>
      <c r="AG693" s="57" t="n">
        <f aca="false">IF(BT693=1,0,ROUNDUP(AF693/BS693,0))</f>
        <v>4</v>
      </c>
      <c r="AH693" s="59" t="n">
        <f aca="false">IF(CH693&gt;0,CH693*MAX(1,AF693/X693),IF(BT693=1,IF(AF693&lt;=0,0,BW693*MAX(1,IF(H693&gt;0,AF693/H693,1))),IF(R693&gt;0,AG693/R693,0))/MAX(0.1,N(Parameter!$M$21)))</f>
        <v>0.666666666666667</v>
      </c>
      <c r="AI693" s="57" t="n">
        <f aca="false">AF693*G693</f>
        <v>1920</v>
      </c>
      <c r="AJ693" s="57" t="n">
        <f aca="false">ROUNDUP(MAX(J693/IF(BZ693&gt;0,BZ693,MAX(0.1,N(Cockpit!$C$6))),CC693)/BS693,0)*BS693</f>
        <v>5</v>
      </c>
      <c r="AK693" s="58" t="n">
        <f aca="false">IF(AH693&gt;0,J693/AH693,-1)</f>
        <v>7.5</v>
      </c>
      <c r="AL693" s="58" t="n">
        <f aca="false">IF(AND(OR(BY693="L1",BY693="L23"),AH693&gt;0),SUMIFS($AH$7:$AH$1843,$BY$7:$BY$1843,BY693,$AK$7:$AK$1843,"&gt;"&amp;AK693)+SUMIFS($AH$7:$AH$1843,$BY$7:$BY$1843,BY693,$AK$7:$AK$1843,AK693,$BQ$7:$BQ$1843,"&lt;="&amp;BQ693),"")</f>
        <v>56.1458734502213</v>
      </c>
      <c r="AM693" s="65" t="n">
        <f aca="false">IF(AL693="",0,MAX(0,MIN(1,(IF(BY693="L1",Parameter!$E$5,Parameter!$E$6+Parameter!$E$7)-(AL693-AH693))/AH693)))</f>
        <v>1</v>
      </c>
      <c r="AN693" s="57" t="n">
        <f aca="false">IF(LEFT(Cockpit!$I$5,1)="A",H693,IF(CA693=1,CB693,IF(LEFT(Cockpit!$I$5,1)="B",AR693,MAX(AR693,H693))))</f>
        <v>5</v>
      </c>
      <c r="AO693" s="57" t="n">
        <f aca="false">IF(BT693=1,0,ROUNDUP(AN693/BS693,0))</f>
        <v>5</v>
      </c>
      <c r="AP693" s="59" t="n">
        <f aca="false">IF(CH693&gt;0,CH693*MAX(1,AN693/X693),IF(BT693=1,IF(AN693&lt;=0,0,BW693*MAX(1,IF(H693&gt;0,AN693/H693,1))),IF(R693&gt;0,AO693/R693,0))/MAX(0.1,N(Parameter!$M$21)))</f>
        <v>0.833333333333333</v>
      </c>
      <c r="AQ693" s="57" t="n">
        <f aca="false">AN693*G693</f>
        <v>2400</v>
      </c>
      <c r="AR693" s="57" t="n">
        <f aca="false">ROUNDUP(MAX(J693/IF(BZ693&gt;0,BZ693,MAX(0.1,N(Cockpit!$I$6))),CC693)/BS693,0)*BS693</f>
        <v>5</v>
      </c>
      <c r="AS693" s="58" t="n">
        <f aca="false">IF(AP693&gt;0,J693/AP693,-1)</f>
        <v>6</v>
      </c>
      <c r="AT693" s="58" t="n">
        <f aca="false">IF(AND(OR(BY693="L1",BY693="L23"),AP693&gt;0),SUMIFS($AP$7:$AP$1843,$BY$7:$BY$1843,BY693,$AS$7:$AS$1843,"&gt;"&amp;AS693)+SUMIFS($AP$7:$AP$1843,$BY$7:$BY$1843,BY693,$AS$7:$AS$1843,AS693,$BQ$7:$BQ$1843,"&lt;="&amp;BQ693),"")</f>
        <v>93.9033309685484</v>
      </c>
      <c r="AU693" s="65" t="n">
        <f aca="false">IF(AT693="",0,MAX(0,MIN(1,(IF(BY693="L1",Parameter!$E$5,Parameter!$E$6+Parameter!$E$7)-(AT693-AP693))/AP693)))</f>
        <v>1</v>
      </c>
      <c r="AV693" s="57" t="n">
        <f aca="false">IF(LEFT(Cockpit!$O$5,1)="A",H693,IF(CA693=1,CB693,IF(LEFT(Cockpit!$O$5,1)="B",AZ693,MAX(AZ693,H693))))</f>
        <v>5</v>
      </c>
      <c r="AW693" s="57" t="n">
        <f aca="false">IF(BT693=1,0,ROUNDUP(AV693/BS693,0))</f>
        <v>5</v>
      </c>
      <c r="AX693" s="59" t="n">
        <f aca="false">IF(CH693&gt;0,CH693*MAX(1,AV693/X693),IF(BT693=1,IF(AV693&lt;=0,0,BW693*MAX(1,IF(H693&gt;0,AV693/H693,1))),IF(R693&gt;0,AW693/R693,0))/MAX(0.1,N(Parameter!$M$21)))</f>
        <v>0.833333333333333</v>
      </c>
      <c r="AY693" s="57" t="n">
        <f aca="false">AV693*G693</f>
        <v>2400</v>
      </c>
      <c r="AZ693" s="57" t="n">
        <f aca="false">ROUNDUP(MAX(J693/IF(BZ693&gt;0,BZ693,MAX(0.1,N(Cockpit!$O$6))),CC693)/BS693,0)*BS693</f>
        <v>5</v>
      </c>
      <c r="BA693" s="58" t="n">
        <f aca="false">IF(AX693&gt;0,J693/AX693,-1)</f>
        <v>6</v>
      </c>
      <c r="BB693" s="58" t="n">
        <f aca="false">IF(AND(OR(BY693="L1",BY693="L23"),AX693&gt;0),SUMIFS($AX$7:$AX$1843,$BY$7:$BY$1843,BY693,$BA$7:$BA$1843,"&gt;"&amp;BA693)+SUMIFS($AX$7:$AX$1843,$BY$7:$BY$1843,BY693,$BA$7:$BA$1843,BA693,$BQ$7:$BQ$1843,"&lt;="&amp;BQ693),"")</f>
        <v>84.7331677983852</v>
      </c>
      <c r="BC693" s="65" t="n">
        <f aca="false">IF(BB693="",0,MAX(0,MIN(1,(IF(BY693="L1",Parameter!$E$5,Parameter!$E$6+Parameter!$E$7)-(BB693-AX693))/AX693)))</f>
        <v>1</v>
      </c>
      <c r="BD693" s="55" t="str">
        <f aca="false">IF(AH693&lt;=0,"",IF(BY693="Aussen","Aussenlager",IF(BY693="-","Nicht im Lift",IF(AM693&gt;=1,"Lift",IF(AM693&lt;=0,"Aussenlager","teilweise")))))</f>
        <v>Lift</v>
      </c>
      <c r="BE693" s="55" t="str">
        <f aca="false">IF(AP693&lt;=0,"",IF(BY693="Aussen","Aussenlager",IF(BY693="-","Nicht im Lift",IF(AU693&gt;=1,"Lift",IF(AU693&lt;=0,"Aussenlager","teilweise")))))</f>
        <v>Lift</v>
      </c>
      <c r="BF693" s="55" t="str">
        <f aca="false">IF(AX693&lt;=0,"",IF(BY693="Aussen","Aussenlager",IF(BY693="-","Nicht im Lift",IF(BC693&gt;=1,"Lift",IF(BC693&lt;=0,"Aussenlager","teilweise")))))</f>
        <v>Lift</v>
      </c>
      <c r="BG693" s="55" t="str">
        <f aca="false">IF(A693="","",IF(BP693=1,"Neu; ","")&amp;IF(AND(BP693=0,BK693&lt;0),"negativer Bestand (Export "&amp;BK693&amp;"); ","")&amp;IF(J693&lt;=0,"Kein Verbrauch; ","")&amp;IF(CH693&gt;0,"Lift "&amp;W693&amp;" lt. Liftbericht (Fach "&amp;X693&amp;" Stk); ",IF(BU693=1,"Gebinde geschätzt ("&amp;T693&amp;"); ",IF(BT693=1,"Lose – Tablare geschätzt; ","")))&amp;IF(H693&gt;AR693,"Überbestand "&amp;ROUND(H693-AR693,0)&amp;" Stk / CHF "&amp;ROUND((H693-AR693)*G693,0)&amp;"; ","")&amp;IF(AND(CA693=1,CB693&lt;CC693),"MAX &lt; MB+LG; ","")&amp;IF(AND(CG693&gt;0,CF693*10&gt;CG693),"zu hoch für Tablar; ","")&amp;IF(AND(BP693=0,OR(CA693=1,AA693&lt;&gt;"",U693&lt;&gt;"",V693&lt;&gt;"",AB693&lt;&gt;"")),"manuell übersteuert; ","")&amp;IF(AND(BT693=0,R693=0),"Gebinde unbekannt / Stellmass fehlt; ","")&amp;IF(AND(BT693=0,N(V693)&lt;=0,N(Q693)&lt;=0),"Menge pro Gebinde fehlt (Ist = 1 Gebinde); ","")&amp;BO693)</f>
        <v>grosser Artikel &amp; nicht im KTL</v>
      </c>
      <c r="BH693" s="55"/>
      <c r="BI693" s="55"/>
      <c r="BJ693" s="62"/>
      <c r="BK693" s="57" t="n">
        <v>0</v>
      </c>
      <c r="BL693" s="57" t="n">
        <v>4</v>
      </c>
      <c r="BM693" s="56" t="n">
        <v>0</v>
      </c>
      <c r="BN693" s="57" t="n">
        <v>5</v>
      </c>
      <c r="BO693" s="55" t="s">
        <v>261</v>
      </c>
      <c r="BP693" s="60" t="n">
        <v>0</v>
      </c>
      <c r="BQ693" s="60" t="n">
        <v>693</v>
      </c>
      <c r="BR693" s="55" t="str">
        <f aca="false">IF(U693&lt;&gt;"",UPPER(TRIM(U693)),IF(BU693=1,UPPER(VLOOKUP(T693,Parameter!$I$27:$K$29,2,0)),IF(P693="","LOSE",P693)))</f>
        <v>S71</v>
      </c>
      <c r="BS693" s="57" t="n">
        <f aca="false">IF(BR693="LOSE",1,IF(N(V693)&gt;0,V693,IF(BU693=1,MAX(1,N(VLOOKUP(T693,Parameter!$I$27:$K$29,3,0)),H693,N(N693)),IF(N(Q693)&gt;0,Q693,MAX(1,H693)))))</f>
        <v>1</v>
      </c>
      <c r="BT693" s="60" t="n">
        <f aca="false">IF(BR693="LOSE",1,0)</f>
        <v>0</v>
      </c>
      <c r="BU693" s="60" t="n">
        <f aca="false">IF(AND(U693="",OR(P693="",P693="LOSE"),T693&lt;&gt;"",N(S693)&lt;=0,ISNUMBER(MATCH(T693,Parameter!$I$27:$I$29,0))),1,0)</f>
        <v>0</v>
      </c>
      <c r="BV693" s="55" t="str">
        <f aca="false">IF(AND(Parameter!$B$19="Ja",E693&lt;&gt;"",ISNUMBER(MATCH(E693,Parameter!$I$35:$I$52,0))),VLOOKUP(E693,Parameter!$I$35:$J$52,2,0),IFERROR(VLOOKUP(D693,Parameter!$A$35:$C$64,2,0),"Nein"))</f>
        <v>2+3</v>
      </c>
      <c r="BW693" s="59" t="n">
        <f aca="false">IF(BT693=0,0,IF(N(S693)&gt;0,S693,IFERROR(VLOOKUP(D693,Parameter!$A$35:$C$64,3,0)+0,0)))</f>
        <v>0</v>
      </c>
      <c r="BX693" s="55" t="n">
        <f aca="false">IF(AA693&lt;&gt;"",AA693,Z693)</f>
        <v>2</v>
      </c>
      <c r="BY693" s="55" t="str">
        <f aca="false">IF(BX693=1,"L1",IF(OR(BX693=2,BX693=3),"L23",IF(BX693="Aussen","Aussen","-")))</f>
        <v>L23</v>
      </c>
      <c r="BZ693" s="66" t="n">
        <f aca="false">IF(N(AB693)&gt;0,AB693,0)</f>
        <v>0</v>
      </c>
      <c r="CA693" s="60" t="n">
        <f aca="false">IF(ISNUMBER(AE693),1,0)</f>
        <v>0</v>
      </c>
      <c r="CB693" s="57" t="n">
        <f aca="false">N(AE693)</f>
        <v>0</v>
      </c>
      <c r="CC693" s="57" t="n">
        <f aca="false">N(M693)+N(N693)</f>
        <v>5</v>
      </c>
      <c r="CD693" s="57" t="n">
        <f aca="false">ROUNDUP(H693/BS693,0)</f>
        <v>4</v>
      </c>
      <c r="CE693" s="57" t="n">
        <f aca="false">ROUNDUP(CB693/BS693,0)</f>
        <v>0</v>
      </c>
      <c r="CF693" s="60" t="n">
        <f aca="false">IF(BT693=1,0,IFERROR(VLOOKUP(BR693,'Gebinde-Kategorie'!$A$5:$M$45,5,0)+0,0))</f>
        <v>20</v>
      </c>
      <c r="CG693" s="60" t="n">
        <f aca="false">IFERROR(IF(OR(BX693=1,BX693=2,BX693=3),N(INDEX(Parameter!$I$5:$I$7,BX693)),0),0)</f>
        <v>0</v>
      </c>
      <c r="CH693" s="59" t="n">
        <f aca="false">IF(AND(Parameter!$B$21="Ja",ISNUMBER(W693),N(X693)&gt;0),IFERROR(N(INDEX(Parameter!$L$5:$L$7,W693))*INDEX(Parameter!$E$5:$E$7,W693)*X693/SUMIFS($X$7:$X$1843,$W$7:$W$1843,W693),0),0)</f>
        <v>0</v>
      </c>
    </row>
    <row r="694" customFormat="false" ht="15" hidden="false" customHeight="false" outlineLevel="0" collapsed="false">
      <c r="A694" s="55" t="s">
        <v>1386</v>
      </c>
      <c r="B694" s="55" t="s">
        <v>1387</v>
      </c>
      <c r="C694" s="55" t="s">
        <v>164</v>
      </c>
      <c r="D694" s="55" t="s">
        <v>1388</v>
      </c>
      <c r="E694" s="55"/>
      <c r="F694" s="55" t="s">
        <v>218</v>
      </c>
      <c r="G694" s="56" t="n">
        <v>930</v>
      </c>
      <c r="H694" s="57" t="n">
        <f aca="false">MAX(0,IF(AND(Parameter!$B$21="Ja",ISNUMBER(Y694)),Y694,IF(Parameter!$B$20="Jahresanfang 2025 + Export",BL694+BK694,BK694)))</f>
        <v>0</v>
      </c>
      <c r="I694" s="57" t="n">
        <f aca="false">H694*G694</f>
        <v>0</v>
      </c>
      <c r="J694" s="57" t="n">
        <f aca="false">BN694*Parameter!$B$18</f>
        <v>4</v>
      </c>
      <c r="K694" s="58" t="n">
        <v>3</v>
      </c>
      <c r="L694" s="59" t="n">
        <v>1.33333333333333</v>
      </c>
      <c r="M694" s="57" t="n">
        <v>0</v>
      </c>
      <c r="N694" s="57" t="n">
        <v>1</v>
      </c>
      <c r="O694" s="60" t="n">
        <v>0</v>
      </c>
      <c r="P694" s="55" t="s">
        <v>168</v>
      </c>
      <c r="Q694" s="57"/>
      <c r="R694" s="60" t="n">
        <f aca="false">IF(BT694=1,0,IFERROR(VLOOKUP(BR694,'Gebinde-Kategorie'!$A$5:$M$45,13,0)+0,0))</f>
        <v>0</v>
      </c>
      <c r="S694" s="61"/>
      <c r="T694" s="62"/>
      <c r="U694" s="62"/>
      <c r="V694" s="62"/>
      <c r="W694" s="55"/>
      <c r="X694" s="57"/>
      <c r="Y694" s="57"/>
      <c r="Z694" s="55" t="str">
        <f aca="false">IF(A694="","",IF(AND(Parameter!$B$21="Ja",ISNUMBER(W694)),W694,IF(BV694="2+3",IF(ISNUMBER(SEARCH("grosser Artikel",BO694)),2,IFERROR(VLOOKUP(BR694,Parameter!$F$35:$G$64,2,0),2)),IF(OR(BV694="Nein",BV694=""),"-",BV694))))</f>
        <v>-</v>
      </c>
      <c r="AA694" s="62"/>
      <c r="AB694" s="63"/>
      <c r="AC694" s="57" t="n">
        <f aca="false">AR694</f>
        <v>2</v>
      </c>
      <c r="AD694" s="57" t="n">
        <f aca="false">MAX(AR694,H694)</f>
        <v>2</v>
      </c>
      <c r="AE694" s="64"/>
      <c r="AF694" s="57" t="n">
        <f aca="false">IF(LEFT(Cockpit!$C$5,1)="A",H694,IF(CA694=1,CB694,IF(LEFT(Cockpit!$C$5,1)="B",AJ694,MAX(AJ694,H694))))</f>
        <v>0</v>
      </c>
      <c r="AG694" s="57" t="n">
        <f aca="false">IF(BT694=1,0,ROUNDUP(AF694/BS694,0))</f>
        <v>0</v>
      </c>
      <c r="AH694" s="59" t="n">
        <f aca="false">IF(CH694&gt;0,CH694*MAX(1,AF694/X694),IF(BT694=1,IF(AF694&lt;=0,0,BW694*MAX(1,IF(H694&gt;0,AF694/H694,1))),IF(R694&gt;0,AG694/R694,0))/MAX(0.1,N(Parameter!$M$21)))</f>
        <v>0</v>
      </c>
      <c r="AI694" s="57" t="n">
        <f aca="false">AF694*G694</f>
        <v>0</v>
      </c>
      <c r="AJ694" s="57" t="n">
        <f aca="false">ROUNDUP(MAX(J694/IF(BZ694&gt;0,BZ694,MAX(0.1,N(Cockpit!$C$6))),CC694)/BS694,0)*BS694</f>
        <v>2</v>
      </c>
      <c r="AK694" s="58" t="n">
        <f aca="false">IF(AH694&gt;0,J694/AH694,-1)</f>
        <v>-1</v>
      </c>
      <c r="AL694" s="58" t="str">
        <f aca="false">IF(AND(OR(BY694="L1",BY694="L23"),AH694&gt;0),SUMIFS($AH$7:$AH$1843,$BY$7:$BY$1843,BY694,$AK$7:$AK$1843,"&gt;"&amp;AK694)+SUMIFS($AH$7:$AH$1843,$BY$7:$BY$1843,BY694,$AK$7:$AK$1843,AK694,$BQ$7:$BQ$1843,"&lt;="&amp;BQ694),"")</f>
        <v/>
      </c>
      <c r="AM694" s="65" t="n">
        <f aca="false">IF(AL694="",0,MAX(0,MIN(1,(IF(BY694="L1",Parameter!$E$5,Parameter!$E$6+Parameter!$E$7)-(AL694-AH694))/AH694)))</f>
        <v>0</v>
      </c>
      <c r="AN694" s="57" t="n">
        <f aca="false">IF(LEFT(Cockpit!$I$5,1)="A",H694,IF(CA694=1,CB694,IF(LEFT(Cockpit!$I$5,1)="B",AR694,MAX(AR694,H694))))</f>
        <v>2</v>
      </c>
      <c r="AO694" s="57" t="n">
        <f aca="false">IF(BT694=1,0,ROUNDUP(AN694/BS694,0))</f>
        <v>0</v>
      </c>
      <c r="AP694" s="59" t="n">
        <f aca="false">IF(CH694&gt;0,CH694*MAX(1,AN694/X694),IF(BT694=1,IF(AN694&lt;=0,0,BW694*MAX(1,IF(H694&gt;0,AN694/H694,1))),IF(R694&gt;0,AO694/R694,0))/MAX(0.1,N(Parameter!$M$21)))</f>
        <v>0.15</v>
      </c>
      <c r="AQ694" s="57" t="n">
        <f aca="false">AN694*G694</f>
        <v>1860</v>
      </c>
      <c r="AR694" s="57" t="n">
        <f aca="false">ROUNDUP(MAX(J694/IF(BZ694&gt;0,BZ694,MAX(0.1,N(Cockpit!$I$6))),CC694)/BS694,0)*BS694</f>
        <v>2</v>
      </c>
      <c r="AS694" s="58" t="n">
        <f aca="false">IF(AP694&gt;0,J694/AP694,-1)</f>
        <v>26.6666666666667</v>
      </c>
      <c r="AT694" s="58" t="str">
        <f aca="false">IF(AND(OR(BY694="L1",BY694="L23"),AP694&gt;0),SUMIFS($AP$7:$AP$1843,$BY$7:$BY$1843,BY694,$AS$7:$AS$1843,"&gt;"&amp;AS694)+SUMIFS($AP$7:$AP$1843,$BY$7:$BY$1843,BY694,$AS$7:$AS$1843,AS694,$BQ$7:$BQ$1843,"&lt;="&amp;BQ694),"")</f>
        <v/>
      </c>
      <c r="AU694" s="65" t="n">
        <f aca="false">IF(AT694="",0,MAX(0,MIN(1,(IF(BY694="L1",Parameter!$E$5,Parameter!$E$6+Parameter!$E$7)-(AT694-AP694))/AP694)))</f>
        <v>0</v>
      </c>
      <c r="AV694" s="57" t="n">
        <f aca="false">IF(LEFT(Cockpit!$O$5,1)="A",H694,IF(CA694=1,CB694,IF(LEFT(Cockpit!$O$5,1)="B",AZ694,MAX(AZ694,H694))))</f>
        <v>2</v>
      </c>
      <c r="AW694" s="57" t="n">
        <f aca="false">IF(BT694=1,0,ROUNDUP(AV694/BS694,0))</f>
        <v>0</v>
      </c>
      <c r="AX694" s="59" t="n">
        <f aca="false">IF(CH694&gt;0,CH694*MAX(1,AV694/X694),IF(BT694=1,IF(AV694&lt;=0,0,BW694*MAX(1,IF(H694&gt;0,AV694/H694,1))),IF(R694&gt;0,AW694/R694,0))/MAX(0.1,N(Parameter!$M$21)))</f>
        <v>0.15</v>
      </c>
      <c r="AY694" s="57" t="n">
        <f aca="false">AV694*G694</f>
        <v>1860</v>
      </c>
      <c r="AZ694" s="57" t="n">
        <f aca="false">ROUNDUP(MAX(J694/IF(BZ694&gt;0,BZ694,MAX(0.1,N(Cockpit!$O$6))),CC694)/BS694,0)*BS694</f>
        <v>2</v>
      </c>
      <c r="BA694" s="58" t="n">
        <f aca="false">IF(AX694&gt;0,J694/AX694,-1)</f>
        <v>26.6666666666667</v>
      </c>
      <c r="BB694" s="58" t="str">
        <f aca="false">IF(AND(OR(BY694="L1",BY694="L23"),AX694&gt;0),SUMIFS($AX$7:$AX$1843,$BY$7:$BY$1843,BY694,$BA$7:$BA$1843,"&gt;"&amp;BA694)+SUMIFS($AX$7:$AX$1843,$BY$7:$BY$1843,BY694,$BA$7:$BA$1843,BA694,$BQ$7:$BQ$1843,"&lt;="&amp;BQ694),"")</f>
        <v/>
      </c>
      <c r="BC694" s="65" t="n">
        <f aca="false">IF(BB694="",0,MAX(0,MIN(1,(IF(BY694="L1",Parameter!$E$5,Parameter!$E$6+Parameter!$E$7)-(BB694-AX694))/AX694)))</f>
        <v>0</v>
      </c>
      <c r="BD694" s="55" t="str">
        <f aca="false">IF(AH694&lt;=0,"",IF(BY694="Aussen","Aussenlager",IF(BY694="-","Nicht im Lift",IF(AM694&gt;=1,"Lift",IF(AM694&lt;=0,"Aussenlager","teilweise")))))</f>
        <v/>
      </c>
      <c r="BE694" s="55" t="str">
        <f aca="false">IF(AP694&lt;=0,"",IF(BY694="Aussen","Aussenlager",IF(BY694="-","Nicht im Lift",IF(AU694&gt;=1,"Lift",IF(AU694&lt;=0,"Aussenlager","teilweise")))))</f>
        <v>Nicht im Lift</v>
      </c>
      <c r="BF694" s="55" t="str">
        <f aca="false">IF(AX694&lt;=0,"",IF(BY694="Aussen","Aussenlager",IF(BY694="-","Nicht im Lift",IF(BC694&gt;=1,"Lift",IF(BC694&lt;=0,"Aussenlager","teilweise")))))</f>
        <v>Nicht im Lift</v>
      </c>
      <c r="BG694" s="55" t="str">
        <f aca="false">IF(A694="","",IF(BP694=1,"Neu; ","")&amp;IF(AND(BP694=0,BK694&lt;0),"negativer Bestand (Export "&amp;BK694&amp;"); ","")&amp;IF(J694&lt;=0,"Kein Verbrauch; ","")&amp;IF(CH694&gt;0,"Lift "&amp;W694&amp;" lt. Liftbericht (Fach "&amp;X694&amp;" Stk); ",IF(BU694=1,"Gebinde geschätzt ("&amp;T694&amp;"); ",IF(BT694=1,"Lose – Tablare geschätzt; ","")))&amp;IF(H694&gt;AR694,"Überbestand "&amp;ROUND(H694-AR694,0)&amp;" Stk / CHF "&amp;ROUND((H694-AR694)*G694,0)&amp;"; ","")&amp;IF(AND(CA694=1,CB694&lt;CC694),"MAX &lt; MB+LG; ","")&amp;IF(AND(CG694&gt;0,CF694*10&gt;CG694),"zu hoch für Tablar; ","")&amp;IF(AND(BP694=0,OR(CA694=1,AA694&lt;&gt;"",U694&lt;&gt;"",V694&lt;&gt;"",AB694&lt;&gt;"")),"manuell übersteuert; ","")&amp;IF(AND(BT694=0,R694=0),"Gebinde unbekannt / Stellmass fehlt; ","")&amp;IF(AND(BT694=0,N(V694)&lt;=0,N(Q694)&lt;=0),"Menge pro Gebinde fehlt (Ist = 1 Gebinde); ","")&amp;BO694)</f>
        <v>Lose – Tablare geschätzt; </v>
      </c>
      <c r="BH694" s="55"/>
      <c r="BI694" s="55"/>
      <c r="BJ694" s="62"/>
      <c r="BK694" s="57" t="n">
        <v>0</v>
      </c>
      <c r="BL694" s="57" t="n">
        <v>0</v>
      </c>
      <c r="BM694" s="56" t="n">
        <v>0</v>
      </c>
      <c r="BN694" s="57" t="n">
        <v>4</v>
      </c>
      <c r="BO694" s="55"/>
      <c r="BP694" s="60" t="n">
        <v>0</v>
      </c>
      <c r="BQ694" s="60" t="n">
        <v>694</v>
      </c>
      <c r="BR694" s="55" t="str">
        <f aca="false">IF(U694&lt;&gt;"",UPPER(TRIM(U694)),IF(BU694=1,UPPER(VLOOKUP(T694,Parameter!$I$27:$K$29,2,0)),IF(P694="","LOSE",P694)))</f>
        <v>LOSE</v>
      </c>
      <c r="BS694" s="57" t="n">
        <f aca="false">IF(BR694="LOSE",1,IF(N(V694)&gt;0,V694,IF(BU694=1,MAX(1,N(VLOOKUP(T694,Parameter!$I$27:$K$29,3,0)),H694,N(N694)),IF(N(Q694)&gt;0,Q694,MAX(1,H694)))))</f>
        <v>1</v>
      </c>
      <c r="BT694" s="60" t="n">
        <f aca="false">IF(BR694="LOSE",1,0)</f>
        <v>1</v>
      </c>
      <c r="BU694" s="60" t="n">
        <f aca="false">IF(AND(U694="",OR(P694="",P694="LOSE"),T694&lt;&gt;"",N(S694)&lt;=0,ISNUMBER(MATCH(T694,Parameter!$I$27:$I$29,0))),1,0)</f>
        <v>0</v>
      </c>
      <c r="BV694" s="55" t="str">
        <f aca="false">IF(AND(Parameter!$B$19="Ja",E694&lt;&gt;"",ISNUMBER(MATCH(E694,Parameter!$I$35:$I$52,0))),VLOOKUP(E694,Parameter!$I$35:$J$52,2,0),IFERROR(VLOOKUP(D694,Parameter!$A$35:$C$64,2,0),"Nein"))</f>
        <v>Nein</v>
      </c>
      <c r="BW694" s="59" t="n">
        <f aca="false">IF(BT694=0,0,IF(N(S694)&gt;0,S694,IFERROR(VLOOKUP(D694,Parameter!$A$35:$C$64,3,0)+0,0)))</f>
        <v>0.15</v>
      </c>
      <c r="BX694" s="55" t="str">
        <f aca="false">IF(AA694&lt;&gt;"",AA694,Z694)</f>
        <v>-</v>
      </c>
      <c r="BY694" s="55" t="str">
        <f aca="false">IF(BX694=1,"L1",IF(OR(BX694=2,BX694=3),"L23",IF(BX694="Aussen","Aussen","-")))</f>
        <v>-</v>
      </c>
      <c r="BZ694" s="66" t="n">
        <f aca="false">IF(N(AB694)&gt;0,AB694,0)</f>
        <v>0</v>
      </c>
      <c r="CA694" s="60" t="n">
        <f aca="false">IF(ISNUMBER(AE694),1,0)</f>
        <v>0</v>
      </c>
      <c r="CB694" s="57" t="n">
        <f aca="false">N(AE694)</f>
        <v>0</v>
      </c>
      <c r="CC694" s="57" t="n">
        <f aca="false">N(M694)+N(N694)</f>
        <v>1</v>
      </c>
      <c r="CD694" s="57" t="n">
        <f aca="false">ROUNDUP(H694/BS694,0)</f>
        <v>0</v>
      </c>
      <c r="CE694" s="57" t="n">
        <f aca="false">ROUNDUP(CB694/BS694,0)</f>
        <v>0</v>
      </c>
      <c r="CF694" s="60" t="n">
        <f aca="false">IF(BT694=1,0,IFERROR(VLOOKUP(BR694,'Gebinde-Kategorie'!$A$5:$M$45,5,0)+0,0))</f>
        <v>0</v>
      </c>
      <c r="CG694" s="60" t="n">
        <f aca="false">IFERROR(IF(OR(BX694=1,BX694=2,BX694=3),N(INDEX(Parameter!$I$5:$I$7,BX694)),0),0)</f>
        <v>0</v>
      </c>
      <c r="CH694" s="59" t="n">
        <f aca="false">IF(AND(Parameter!$B$21="Ja",ISNUMBER(W694),N(X694)&gt;0),IFERROR(N(INDEX(Parameter!$L$5:$L$7,W694))*INDEX(Parameter!$E$5:$E$7,W694)*X694/SUMIFS($X$7:$X$1843,$W$7:$W$1843,W694),0),0)</f>
        <v>0</v>
      </c>
    </row>
    <row r="695" customFormat="false" ht="15" hidden="false" customHeight="false" outlineLevel="0" collapsed="false">
      <c r="A695" s="55" t="s">
        <v>1389</v>
      </c>
      <c r="B695" s="55" t="s">
        <v>544</v>
      </c>
      <c r="C695" s="55" t="s">
        <v>164</v>
      </c>
      <c r="D695" s="55" t="s">
        <v>995</v>
      </c>
      <c r="E695" s="55"/>
      <c r="F695" s="55" t="s">
        <v>218</v>
      </c>
      <c r="G695" s="56" t="n">
        <v>27.23</v>
      </c>
      <c r="H695" s="57" t="n">
        <f aca="false">MAX(0,IF(AND(Parameter!$B$21="Ja",ISNUMBER(Y695)),Y695,IF(Parameter!$B$20="Jahresanfang 2025 + Export",BL695+BK695,BK695)))</f>
        <v>4</v>
      </c>
      <c r="I695" s="57" t="n">
        <f aca="false">H695*G695</f>
        <v>108.92</v>
      </c>
      <c r="J695" s="57" t="n">
        <f aca="false">BN695*Parameter!$B$18</f>
        <v>0</v>
      </c>
      <c r="K695" s="58" t="n">
        <v>3.5</v>
      </c>
      <c r="L695" s="59" t="n">
        <v>0</v>
      </c>
      <c r="M695" s="57" t="n">
        <v>0</v>
      </c>
      <c r="N695" s="57" t="n">
        <v>1</v>
      </c>
      <c r="O695" s="60" t="n">
        <v>21</v>
      </c>
      <c r="P695" s="55" t="s">
        <v>168</v>
      </c>
      <c r="Q695" s="57"/>
      <c r="R695" s="60" t="n">
        <f aca="false">IF(BT695=1,0,IFERROR(VLOOKUP(BR695,'Gebinde-Kategorie'!$A$5:$M$45,13,0)+0,0))</f>
        <v>0</v>
      </c>
      <c r="S695" s="61"/>
      <c r="T695" s="62"/>
      <c r="U695" s="62"/>
      <c r="V695" s="62"/>
      <c r="W695" s="55"/>
      <c r="X695" s="57"/>
      <c r="Y695" s="57"/>
      <c r="Z695" s="55" t="str">
        <f aca="false">IF(A695="","",IF(AND(Parameter!$B$21="Ja",ISNUMBER(W695)),W695,IF(BV695="2+3",IF(ISNUMBER(SEARCH("grosser Artikel",BO695)),2,IFERROR(VLOOKUP(BR695,Parameter!$F$35:$G$64,2,0),2)),IF(OR(BV695="Nein",BV695=""),"-",BV695))))</f>
        <v>-</v>
      </c>
      <c r="AA695" s="62"/>
      <c r="AB695" s="63"/>
      <c r="AC695" s="57" t="n">
        <f aca="false">AR695</f>
        <v>1</v>
      </c>
      <c r="AD695" s="57" t="n">
        <f aca="false">MAX(AR695,H695)</f>
        <v>4</v>
      </c>
      <c r="AE695" s="64"/>
      <c r="AF695" s="57" t="n">
        <f aca="false">IF(LEFT(Cockpit!$C$5,1)="A",H695,IF(CA695=1,CB695,IF(LEFT(Cockpit!$C$5,1)="B",AJ695,MAX(AJ695,H695))))</f>
        <v>4</v>
      </c>
      <c r="AG695" s="57" t="n">
        <f aca="false">IF(BT695=1,0,ROUNDUP(AF695/BS695,0))</f>
        <v>0</v>
      </c>
      <c r="AH695" s="59" t="n">
        <f aca="false">IF(CH695&gt;0,CH695*MAX(1,AF695/X695),IF(BT695=1,IF(AF695&lt;=0,0,BW695*MAX(1,IF(H695&gt;0,AF695/H695,1))),IF(R695&gt;0,AG695/R695,0))/MAX(0.1,N(Parameter!$M$21)))</f>
        <v>0.15</v>
      </c>
      <c r="AI695" s="57" t="n">
        <f aca="false">AF695*G695</f>
        <v>108.92</v>
      </c>
      <c r="AJ695" s="57" t="n">
        <f aca="false">ROUNDUP(MAX(J695/IF(BZ695&gt;0,BZ695,MAX(0.1,N(Cockpit!$C$6))),CC695)/BS695,0)*BS695</f>
        <v>1</v>
      </c>
      <c r="AK695" s="58" t="n">
        <f aca="false">IF(AH695&gt;0,J695/AH695,-1)</f>
        <v>0</v>
      </c>
      <c r="AL695" s="58" t="str">
        <f aca="false">IF(AND(OR(BY695="L1",BY695="L23"),AH695&gt;0),SUMIFS($AH$7:$AH$1843,$BY$7:$BY$1843,BY695,$AK$7:$AK$1843,"&gt;"&amp;AK695)+SUMIFS($AH$7:$AH$1843,$BY$7:$BY$1843,BY695,$AK$7:$AK$1843,AK695,$BQ$7:$BQ$1843,"&lt;="&amp;BQ695),"")</f>
        <v/>
      </c>
      <c r="AM695" s="65" t="n">
        <f aca="false">IF(AL695="",0,MAX(0,MIN(1,(IF(BY695="L1",Parameter!$E$5,Parameter!$E$6+Parameter!$E$7)-(AL695-AH695))/AH695)))</f>
        <v>0</v>
      </c>
      <c r="AN695" s="57" t="n">
        <f aca="false">IF(LEFT(Cockpit!$I$5,1)="A",H695,IF(CA695=1,CB695,IF(LEFT(Cockpit!$I$5,1)="B",AR695,MAX(AR695,H695))))</f>
        <v>4</v>
      </c>
      <c r="AO695" s="57" t="n">
        <f aca="false">IF(BT695=1,0,ROUNDUP(AN695/BS695,0))</f>
        <v>0</v>
      </c>
      <c r="AP695" s="59" t="n">
        <f aca="false">IF(CH695&gt;0,CH695*MAX(1,AN695/X695),IF(BT695=1,IF(AN695&lt;=0,0,BW695*MAX(1,IF(H695&gt;0,AN695/H695,1))),IF(R695&gt;0,AO695/R695,0))/MAX(0.1,N(Parameter!$M$21)))</f>
        <v>0.15</v>
      </c>
      <c r="AQ695" s="57" t="n">
        <f aca="false">AN695*G695</f>
        <v>108.92</v>
      </c>
      <c r="AR695" s="57" t="n">
        <f aca="false">ROUNDUP(MAX(J695/IF(BZ695&gt;0,BZ695,MAX(0.1,N(Cockpit!$I$6))),CC695)/BS695,0)*BS695</f>
        <v>1</v>
      </c>
      <c r="AS695" s="58" t="n">
        <f aca="false">IF(AP695&gt;0,J695/AP695,-1)</f>
        <v>0</v>
      </c>
      <c r="AT695" s="58" t="str">
        <f aca="false">IF(AND(OR(BY695="L1",BY695="L23"),AP695&gt;0),SUMIFS($AP$7:$AP$1843,$BY$7:$BY$1843,BY695,$AS$7:$AS$1843,"&gt;"&amp;AS695)+SUMIFS($AP$7:$AP$1843,$BY$7:$BY$1843,BY695,$AS$7:$AS$1843,AS695,$BQ$7:$BQ$1843,"&lt;="&amp;BQ695),"")</f>
        <v/>
      </c>
      <c r="AU695" s="65" t="n">
        <f aca="false">IF(AT695="",0,MAX(0,MIN(1,(IF(BY695="L1",Parameter!$E$5,Parameter!$E$6+Parameter!$E$7)-(AT695-AP695))/AP695)))</f>
        <v>0</v>
      </c>
      <c r="AV695" s="57" t="n">
        <f aca="false">IF(LEFT(Cockpit!$O$5,1)="A",H695,IF(CA695=1,CB695,IF(LEFT(Cockpit!$O$5,1)="B",AZ695,MAX(AZ695,H695))))</f>
        <v>4</v>
      </c>
      <c r="AW695" s="57" t="n">
        <f aca="false">IF(BT695=1,0,ROUNDUP(AV695/BS695,0))</f>
        <v>0</v>
      </c>
      <c r="AX695" s="59" t="n">
        <f aca="false">IF(CH695&gt;0,CH695*MAX(1,AV695/X695),IF(BT695=1,IF(AV695&lt;=0,0,BW695*MAX(1,IF(H695&gt;0,AV695/H695,1))),IF(R695&gt;0,AW695/R695,0))/MAX(0.1,N(Parameter!$M$21)))</f>
        <v>0.15</v>
      </c>
      <c r="AY695" s="57" t="n">
        <f aca="false">AV695*G695</f>
        <v>108.92</v>
      </c>
      <c r="AZ695" s="57" t="n">
        <f aca="false">ROUNDUP(MAX(J695/IF(BZ695&gt;0,BZ695,MAX(0.1,N(Cockpit!$O$6))),CC695)/BS695,0)*BS695</f>
        <v>1</v>
      </c>
      <c r="BA695" s="58" t="n">
        <f aca="false">IF(AX695&gt;0,J695/AX695,-1)</f>
        <v>0</v>
      </c>
      <c r="BB695" s="58" t="str">
        <f aca="false">IF(AND(OR(BY695="L1",BY695="L23"),AX695&gt;0),SUMIFS($AX$7:$AX$1843,$BY$7:$BY$1843,BY695,$BA$7:$BA$1843,"&gt;"&amp;BA695)+SUMIFS($AX$7:$AX$1843,$BY$7:$BY$1843,BY695,$BA$7:$BA$1843,BA695,$BQ$7:$BQ$1843,"&lt;="&amp;BQ695),"")</f>
        <v/>
      </c>
      <c r="BC695" s="65" t="n">
        <f aca="false">IF(BB695="",0,MAX(0,MIN(1,(IF(BY695="L1",Parameter!$E$5,Parameter!$E$6+Parameter!$E$7)-(BB695-AX695))/AX695)))</f>
        <v>0</v>
      </c>
      <c r="BD695" s="55" t="str">
        <f aca="false">IF(AH695&lt;=0,"",IF(BY695="Aussen","Aussenlager",IF(BY695="-","Nicht im Lift",IF(AM695&gt;=1,"Lift",IF(AM695&lt;=0,"Aussenlager","teilweise")))))</f>
        <v>Nicht im Lift</v>
      </c>
      <c r="BE695" s="55" t="str">
        <f aca="false">IF(AP695&lt;=0,"",IF(BY695="Aussen","Aussenlager",IF(BY695="-","Nicht im Lift",IF(AU695&gt;=1,"Lift",IF(AU695&lt;=0,"Aussenlager","teilweise")))))</f>
        <v>Nicht im Lift</v>
      </c>
      <c r="BF695" s="55" t="str">
        <f aca="false">IF(AX695&lt;=0,"",IF(BY695="Aussen","Aussenlager",IF(BY695="-","Nicht im Lift",IF(BC695&gt;=1,"Lift",IF(BC695&lt;=0,"Aussenlager","teilweise")))))</f>
        <v>Nicht im Lift</v>
      </c>
      <c r="BG695" s="55" t="str">
        <f aca="false">IF(A695="","",IF(BP695=1,"Neu; ","")&amp;IF(AND(BP695=0,BK695&lt;0),"negativer Bestand (Export "&amp;BK695&amp;"); ","")&amp;IF(J695&lt;=0,"Kein Verbrauch; ","")&amp;IF(CH695&gt;0,"Lift "&amp;W695&amp;" lt. Liftbericht (Fach "&amp;X695&amp;" Stk); ",IF(BU695=1,"Gebinde geschätzt ("&amp;T695&amp;"); ",IF(BT695=1,"Lose – Tablare geschätzt; ","")))&amp;IF(H695&gt;AR695,"Überbestand "&amp;ROUND(H695-AR695,0)&amp;" Stk / CHF "&amp;ROUND((H695-AR695)*G695,0)&amp;"; ","")&amp;IF(AND(CA695=1,CB695&lt;CC695),"MAX &lt; MB+LG; ","")&amp;IF(AND(CG695&gt;0,CF695*10&gt;CG695),"zu hoch für Tablar; ","")&amp;IF(AND(BP695=0,OR(CA695=1,AA695&lt;&gt;"",U695&lt;&gt;"",V695&lt;&gt;"",AB695&lt;&gt;"")),"manuell übersteuert; ","")&amp;IF(AND(BT695=0,R695=0),"Gebinde unbekannt / Stellmass fehlt; ","")&amp;IF(AND(BT695=0,N(V695)&lt;=0,N(Q695)&lt;=0),"Menge pro Gebinde fehlt (Ist = 1 Gebinde); ","")&amp;BO695)</f>
        <v>Kein Verbrauch; Lose – Tablare geschätzt; Überbestand 3 Stk / CHF 82; </v>
      </c>
      <c r="BH695" s="55"/>
      <c r="BI695" s="55"/>
      <c r="BJ695" s="62"/>
      <c r="BK695" s="57" t="n">
        <v>0</v>
      </c>
      <c r="BL695" s="57" t="n">
        <v>4</v>
      </c>
      <c r="BM695" s="56" t="n">
        <v>0</v>
      </c>
      <c r="BN695" s="57" t="n">
        <v>0</v>
      </c>
      <c r="BO695" s="55"/>
      <c r="BP695" s="60" t="n">
        <v>0</v>
      </c>
      <c r="BQ695" s="60" t="n">
        <v>695</v>
      </c>
      <c r="BR695" s="55" t="str">
        <f aca="false">IF(U695&lt;&gt;"",UPPER(TRIM(U695)),IF(BU695=1,UPPER(VLOOKUP(T695,Parameter!$I$27:$K$29,2,0)),IF(P695="","LOSE",P695)))</f>
        <v>LOSE</v>
      </c>
      <c r="BS695" s="57" t="n">
        <f aca="false">IF(BR695="LOSE",1,IF(N(V695)&gt;0,V695,IF(BU695=1,MAX(1,N(VLOOKUP(T695,Parameter!$I$27:$K$29,3,0)),H695,N(N695)),IF(N(Q695)&gt;0,Q695,MAX(1,H695)))))</f>
        <v>1</v>
      </c>
      <c r="BT695" s="60" t="n">
        <f aca="false">IF(BR695="LOSE",1,0)</f>
        <v>1</v>
      </c>
      <c r="BU695" s="60" t="n">
        <f aca="false">IF(AND(U695="",OR(P695="",P695="LOSE"),T695&lt;&gt;"",N(S695)&lt;=0,ISNUMBER(MATCH(T695,Parameter!$I$27:$I$29,0))),1,0)</f>
        <v>0</v>
      </c>
      <c r="BV695" s="55" t="str">
        <f aca="false">IF(AND(Parameter!$B$19="Ja",E695&lt;&gt;"",ISNUMBER(MATCH(E695,Parameter!$I$35:$I$52,0))),VLOOKUP(E695,Parameter!$I$35:$J$52,2,0),IFERROR(VLOOKUP(D695,Parameter!$A$35:$C$64,2,0),"Nein"))</f>
        <v>Nein</v>
      </c>
      <c r="BW695" s="59" t="n">
        <f aca="false">IF(BT695=0,0,IF(N(S695)&gt;0,S695,IFERROR(VLOOKUP(D695,Parameter!$A$35:$C$64,3,0)+0,0)))</f>
        <v>0.15</v>
      </c>
      <c r="BX695" s="55" t="str">
        <f aca="false">IF(AA695&lt;&gt;"",AA695,Z695)</f>
        <v>-</v>
      </c>
      <c r="BY695" s="55" t="str">
        <f aca="false">IF(BX695=1,"L1",IF(OR(BX695=2,BX695=3),"L23",IF(BX695="Aussen","Aussen","-")))</f>
        <v>-</v>
      </c>
      <c r="BZ695" s="66" t="n">
        <f aca="false">IF(N(AB695)&gt;0,AB695,0)</f>
        <v>0</v>
      </c>
      <c r="CA695" s="60" t="n">
        <f aca="false">IF(ISNUMBER(AE695),1,0)</f>
        <v>0</v>
      </c>
      <c r="CB695" s="57" t="n">
        <f aca="false">N(AE695)</f>
        <v>0</v>
      </c>
      <c r="CC695" s="57" t="n">
        <f aca="false">N(M695)+N(N695)</f>
        <v>1</v>
      </c>
      <c r="CD695" s="57" t="n">
        <f aca="false">ROUNDUP(H695/BS695,0)</f>
        <v>4</v>
      </c>
      <c r="CE695" s="57" t="n">
        <f aca="false">ROUNDUP(CB695/BS695,0)</f>
        <v>0</v>
      </c>
      <c r="CF695" s="60" t="n">
        <f aca="false">IF(BT695=1,0,IFERROR(VLOOKUP(BR695,'Gebinde-Kategorie'!$A$5:$M$45,5,0)+0,0))</f>
        <v>0</v>
      </c>
      <c r="CG695" s="60" t="n">
        <f aca="false">IFERROR(IF(OR(BX695=1,BX695=2,BX695=3),N(INDEX(Parameter!$I$5:$I$7,BX695)),0),0)</f>
        <v>0</v>
      </c>
      <c r="CH695" s="59" t="n">
        <f aca="false">IF(AND(Parameter!$B$21="Ja",ISNUMBER(W695),N(X695)&gt;0),IFERROR(N(INDEX(Parameter!$L$5:$L$7,W695))*INDEX(Parameter!$E$5:$E$7,W695)*X695/SUMIFS($X$7:$X$1843,$W$7:$W$1843,W695),0),0)</f>
        <v>0</v>
      </c>
    </row>
    <row r="696" customFormat="false" ht="15" hidden="false" customHeight="false" outlineLevel="0" collapsed="false">
      <c r="A696" s="55" t="s">
        <v>1390</v>
      </c>
      <c r="B696" s="55" t="s">
        <v>1391</v>
      </c>
      <c r="C696" s="55" t="s">
        <v>456</v>
      </c>
      <c r="D696" s="55" t="s">
        <v>184</v>
      </c>
      <c r="E696" s="55" t="s">
        <v>185</v>
      </c>
      <c r="F696" s="55" t="s">
        <v>218</v>
      </c>
      <c r="G696" s="56" t="n">
        <v>139.35</v>
      </c>
      <c r="H696" s="57" t="n">
        <f aca="false">MAX(0,IF(AND(Parameter!$B$21="Ja",ISNUMBER(Y696)),Y696,IF(Parameter!$B$20="Jahresanfang 2025 + Export",BL696+BK696,BK696)))</f>
        <v>0</v>
      </c>
      <c r="I696" s="57" t="n">
        <f aca="false">H696*G696</f>
        <v>0</v>
      </c>
      <c r="J696" s="57" t="n">
        <f aca="false">BN696*Parameter!$B$18</f>
        <v>0</v>
      </c>
      <c r="K696" s="58" t="n">
        <v>0</v>
      </c>
      <c r="L696" s="59" t="n">
        <v>0</v>
      </c>
      <c r="M696" s="57" t="n">
        <v>0</v>
      </c>
      <c r="N696" s="57" t="n">
        <v>1</v>
      </c>
      <c r="O696" s="60" t="n">
        <v>56</v>
      </c>
      <c r="P696" s="55" t="s">
        <v>226</v>
      </c>
      <c r="Q696" s="57" t="n">
        <v>140</v>
      </c>
      <c r="R696" s="60" t="n">
        <f aca="false">IF(BT696=1,0,IFERROR(VLOOKUP(BR696,'Gebinde-Kategorie'!$A$5:$M$45,13,0)+0,0))</f>
        <v>12</v>
      </c>
      <c r="S696" s="61"/>
      <c r="T696" s="62"/>
      <c r="U696" s="62"/>
      <c r="V696" s="62"/>
      <c r="W696" s="55"/>
      <c r="X696" s="57"/>
      <c r="Y696" s="57"/>
      <c r="Z696" s="55" t="n">
        <f aca="false">IF(A696="","",IF(AND(Parameter!$B$21="Ja",ISNUMBER(W696)),W696,IF(BV696="2+3",IF(ISNUMBER(SEARCH("grosser Artikel",BO696)),2,IFERROR(VLOOKUP(BR696,Parameter!$F$35:$G$64,2,0),2)),IF(OR(BV696="Nein",BV696=""),"-",BV696))))</f>
        <v>2</v>
      </c>
      <c r="AA696" s="62"/>
      <c r="AB696" s="63"/>
      <c r="AC696" s="57" t="n">
        <f aca="false">AR696</f>
        <v>140</v>
      </c>
      <c r="AD696" s="57" t="n">
        <f aca="false">MAX(AR696,H696)</f>
        <v>140</v>
      </c>
      <c r="AE696" s="64"/>
      <c r="AF696" s="57" t="n">
        <f aca="false">IF(LEFT(Cockpit!$C$5,1)="A",H696,IF(CA696=1,CB696,IF(LEFT(Cockpit!$C$5,1)="B",AJ696,MAX(AJ696,H696))))</f>
        <v>0</v>
      </c>
      <c r="AG696" s="57" t="n">
        <f aca="false">IF(BT696=1,0,ROUNDUP(AF696/BS696,0))</f>
        <v>0</v>
      </c>
      <c r="AH696" s="59" t="n">
        <f aca="false">IF(CH696&gt;0,CH696*MAX(1,AF696/X696),IF(BT696=1,IF(AF696&lt;=0,0,BW696*MAX(1,IF(H696&gt;0,AF696/H696,1))),IF(R696&gt;0,AG696/R696,0))/MAX(0.1,N(Parameter!$M$21)))</f>
        <v>0</v>
      </c>
      <c r="AI696" s="57" t="n">
        <f aca="false">AF696*G696</f>
        <v>0</v>
      </c>
      <c r="AJ696" s="57" t="n">
        <f aca="false">ROUNDUP(MAX(J696/IF(BZ696&gt;0,BZ696,MAX(0.1,N(Cockpit!$C$6))),CC696)/BS696,0)*BS696</f>
        <v>140</v>
      </c>
      <c r="AK696" s="58" t="n">
        <f aca="false">IF(AH696&gt;0,J696/AH696,-1)</f>
        <v>-1</v>
      </c>
      <c r="AL696" s="58" t="str">
        <f aca="false">IF(AND(OR(BY696="L1",BY696="L23"),AH696&gt;0),SUMIFS($AH$7:$AH$1843,$BY$7:$BY$1843,BY696,$AK$7:$AK$1843,"&gt;"&amp;AK696)+SUMIFS($AH$7:$AH$1843,$BY$7:$BY$1843,BY696,$AK$7:$AK$1843,AK696,$BQ$7:$BQ$1843,"&lt;="&amp;BQ696),"")</f>
        <v/>
      </c>
      <c r="AM696" s="65" t="n">
        <f aca="false">IF(AL696="",0,MAX(0,MIN(1,(IF(BY696="L1",Parameter!$E$5,Parameter!$E$6+Parameter!$E$7)-(AL696-AH696))/AH696)))</f>
        <v>0</v>
      </c>
      <c r="AN696" s="57" t="n">
        <f aca="false">IF(LEFT(Cockpit!$I$5,1)="A",H696,IF(CA696=1,CB696,IF(LEFT(Cockpit!$I$5,1)="B",AR696,MAX(AR696,H696))))</f>
        <v>140</v>
      </c>
      <c r="AO696" s="57" t="n">
        <f aca="false">IF(BT696=1,0,ROUNDUP(AN696/BS696,0))</f>
        <v>1</v>
      </c>
      <c r="AP696" s="59" t="n">
        <f aca="false">IF(CH696&gt;0,CH696*MAX(1,AN696/X696),IF(BT696=1,IF(AN696&lt;=0,0,BW696*MAX(1,IF(H696&gt;0,AN696/H696,1))),IF(R696&gt;0,AO696/R696,0))/MAX(0.1,N(Parameter!$M$21)))</f>
        <v>0.0833333333333333</v>
      </c>
      <c r="AQ696" s="57" t="n">
        <f aca="false">AN696*G696</f>
        <v>19509</v>
      </c>
      <c r="AR696" s="57" t="n">
        <f aca="false">ROUNDUP(MAX(J696/IF(BZ696&gt;0,BZ696,MAX(0.1,N(Cockpit!$I$6))),CC696)/BS696,0)*BS696</f>
        <v>140</v>
      </c>
      <c r="AS696" s="58" t="n">
        <f aca="false">IF(AP696&gt;0,J696/AP696,-1)</f>
        <v>0</v>
      </c>
      <c r="AT696" s="58" t="n">
        <f aca="false">IF(AND(OR(BY696="L1",BY696="L23"),AP696&gt;0),SUMIFS($AP$7:$AP$1843,$BY$7:$BY$1843,BY696,$AS$7:$AS$1843,"&gt;"&amp;AS696)+SUMIFS($AP$7:$AP$1843,$BY$7:$BY$1843,BY696,$AS$7:$AS$1843,AS696,$BQ$7:$BQ$1843,"&lt;="&amp;BQ696),"")</f>
        <v>116.412790108442</v>
      </c>
      <c r="AU696" s="65" t="n">
        <f aca="false">IF(AT696="",0,MAX(0,MIN(1,(IF(BY696="L1",Parameter!$E$5,Parameter!$E$6+Parameter!$E$7)-(AT696-AP696))/AP696)))</f>
        <v>0</v>
      </c>
      <c r="AV696" s="57" t="n">
        <f aca="false">IF(LEFT(Cockpit!$O$5,1)="A",H696,IF(CA696=1,CB696,IF(LEFT(Cockpit!$O$5,1)="B",AZ696,MAX(AZ696,H696))))</f>
        <v>140</v>
      </c>
      <c r="AW696" s="57" t="n">
        <f aca="false">IF(BT696=1,0,ROUNDUP(AV696/BS696,0))</f>
        <v>1</v>
      </c>
      <c r="AX696" s="59" t="n">
        <f aca="false">IF(CH696&gt;0,CH696*MAX(1,AV696/X696),IF(BT696=1,IF(AV696&lt;=0,0,BW696*MAX(1,IF(H696&gt;0,AV696/H696,1))),IF(R696&gt;0,AW696/R696,0))/MAX(0.1,N(Parameter!$M$21)))</f>
        <v>0.0833333333333333</v>
      </c>
      <c r="AY696" s="57" t="n">
        <f aca="false">AV696*G696</f>
        <v>19509</v>
      </c>
      <c r="AZ696" s="57" t="n">
        <f aca="false">ROUNDUP(MAX(J696/IF(BZ696&gt;0,BZ696,MAX(0.1,N(Cockpit!$O$6))),CC696)/BS696,0)*BS696</f>
        <v>140</v>
      </c>
      <c r="BA696" s="58" t="n">
        <f aca="false">IF(AX696&gt;0,J696/AX696,-1)</f>
        <v>0</v>
      </c>
      <c r="BB696" s="58" t="n">
        <f aca="false">IF(AND(OR(BY696="L1",BY696="L23"),AX696&gt;0),SUMIFS($AX$7:$AX$1843,$BY$7:$BY$1843,BY696,$BA$7:$BA$1843,"&gt;"&amp;BA696)+SUMIFS($AX$7:$AX$1843,$BY$7:$BY$1843,BY696,$BA$7:$BA$1843,BA696,$BQ$7:$BQ$1843,"&lt;="&amp;BQ696),"")</f>
        <v>107.242626938279</v>
      </c>
      <c r="BC696" s="65" t="n">
        <f aca="false">IF(BB696="",0,MAX(0,MIN(1,(IF(BY696="L1",Parameter!$E$5,Parameter!$E$6+Parameter!$E$7)-(BB696-AX696))/AX696)))</f>
        <v>0</v>
      </c>
      <c r="BD696" s="55" t="str">
        <f aca="false">IF(AH696&lt;=0,"",IF(BY696="Aussen","Aussenlager",IF(BY696="-","Nicht im Lift",IF(AM696&gt;=1,"Lift",IF(AM696&lt;=0,"Aussenlager","teilweise")))))</f>
        <v/>
      </c>
      <c r="BE696" s="55" t="str">
        <f aca="false">IF(AP696&lt;=0,"",IF(BY696="Aussen","Aussenlager",IF(BY696="-","Nicht im Lift",IF(AU696&gt;=1,"Lift",IF(AU696&lt;=0,"Aussenlager","teilweise")))))</f>
        <v>Aussenlager</v>
      </c>
      <c r="BF696" s="55" t="str">
        <f aca="false">IF(AX696&lt;=0,"",IF(BY696="Aussen","Aussenlager",IF(BY696="-","Nicht im Lift",IF(BC696&gt;=1,"Lift",IF(BC696&lt;=0,"Aussenlager","teilweise")))))</f>
        <v>Aussenlager</v>
      </c>
      <c r="BG696" s="55" t="str">
        <f aca="false">IF(A696="","",IF(BP696=1,"Neu; ","")&amp;IF(AND(BP696=0,BK696&lt;0),"negativer Bestand (Export "&amp;BK696&amp;"); ","")&amp;IF(J696&lt;=0,"Kein Verbrauch; ","")&amp;IF(CH696&gt;0,"Lift "&amp;W696&amp;" lt. Liftbericht (Fach "&amp;X696&amp;" Stk); ",IF(BU696=1,"Gebinde geschätzt ("&amp;T696&amp;"); ",IF(BT696=1,"Lose – Tablare geschätzt; ","")))&amp;IF(H696&gt;AR696,"Überbestand "&amp;ROUND(H696-AR696,0)&amp;" Stk / CHF "&amp;ROUND((H696-AR696)*G696,0)&amp;"; ","")&amp;IF(AND(CA696=1,CB696&lt;CC696),"MAX &lt; MB+LG; ","")&amp;IF(AND(CG696&gt;0,CF696*10&gt;CG696),"zu hoch für Tablar; ","")&amp;IF(AND(BP696=0,OR(CA696=1,AA696&lt;&gt;"",U696&lt;&gt;"",V696&lt;&gt;"",AB696&lt;&gt;"")),"manuell übersteuert; ","")&amp;IF(AND(BT696=0,R696=0),"Gebinde unbekannt / Stellmass fehlt; ","")&amp;IF(AND(BT696=0,N(V696)&lt;=0,N(Q696)&lt;=0),"Menge pro Gebinde fehlt (Ist = 1 Gebinde); ","")&amp;BO696)</f>
        <v>Kein Verbrauch; </v>
      </c>
      <c r="BH696" s="55"/>
      <c r="BI696" s="55"/>
      <c r="BJ696" s="62"/>
      <c r="BK696" s="57" t="n">
        <v>0</v>
      </c>
      <c r="BL696" s="57" t="n">
        <v>0</v>
      </c>
      <c r="BM696" s="56" t="n">
        <v>0</v>
      </c>
      <c r="BN696" s="57" t="n">
        <v>0</v>
      </c>
      <c r="BO696" s="55"/>
      <c r="BP696" s="60" t="n">
        <v>0</v>
      </c>
      <c r="BQ696" s="60" t="n">
        <v>696</v>
      </c>
      <c r="BR696" s="55" t="str">
        <f aca="false">IF(U696&lt;&gt;"",UPPER(TRIM(U696)),IF(BU696=1,UPPER(VLOOKUP(T696,Parameter!$I$27:$K$29,2,0)),IF(P696="","LOSE",P696)))</f>
        <v>S63</v>
      </c>
      <c r="BS696" s="57" t="n">
        <f aca="false">IF(BR696="LOSE",1,IF(N(V696)&gt;0,V696,IF(BU696=1,MAX(1,N(VLOOKUP(T696,Parameter!$I$27:$K$29,3,0)),H696,N(N696)),IF(N(Q696)&gt;0,Q696,MAX(1,H696)))))</f>
        <v>140</v>
      </c>
      <c r="BT696" s="60" t="n">
        <f aca="false">IF(BR696="LOSE",1,0)</f>
        <v>0</v>
      </c>
      <c r="BU696" s="60" t="n">
        <f aca="false">IF(AND(U696="",OR(P696="",P696="LOSE"),T696&lt;&gt;"",N(S696)&lt;=0,ISNUMBER(MATCH(T696,Parameter!$I$27:$I$29,0))),1,0)</f>
        <v>0</v>
      </c>
      <c r="BV696" s="55" t="str">
        <f aca="false">IF(AND(Parameter!$B$19="Ja",E696&lt;&gt;"",ISNUMBER(MATCH(E696,Parameter!$I$35:$I$52,0))),VLOOKUP(E696,Parameter!$I$35:$J$52,2,0),IFERROR(VLOOKUP(D696,Parameter!$A$35:$C$64,2,0),"Nein"))</f>
        <v>2+3</v>
      </c>
      <c r="BW696" s="59" t="n">
        <f aca="false">IF(BT696=0,0,IF(N(S696)&gt;0,S696,IFERROR(VLOOKUP(D696,Parameter!$A$35:$C$64,3,0)+0,0)))</f>
        <v>0</v>
      </c>
      <c r="BX696" s="55" t="n">
        <f aca="false">IF(AA696&lt;&gt;"",AA696,Z696)</f>
        <v>2</v>
      </c>
      <c r="BY696" s="55" t="str">
        <f aca="false">IF(BX696=1,"L1",IF(OR(BX696=2,BX696=3),"L23",IF(BX696="Aussen","Aussen","-")))</f>
        <v>L23</v>
      </c>
      <c r="BZ696" s="66" t="n">
        <f aca="false">IF(N(AB696)&gt;0,AB696,0)</f>
        <v>0</v>
      </c>
      <c r="CA696" s="60" t="n">
        <f aca="false">IF(ISNUMBER(AE696),1,0)</f>
        <v>0</v>
      </c>
      <c r="CB696" s="57" t="n">
        <f aca="false">N(AE696)</f>
        <v>0</v>
      </c>
      <c r="CC696" s="57" t="n">
        <f aca="false">N(M696)+N(N696)</f>
        <v>1</v>
      </c>
      <c r="CD696" s="57" t="n">
        <f aca="false">ROUNDUP(H696/BS696,0)</f>
        <v>0</v>
      </c>
      <c r="CE696" s="57" t="n">
        <f aca="false">ROUNDUP(CB696/BS696,0)</f>
        <v>0</v>
      </c>
      <c r="CF696" s="60" t="n">
        <f aca="false">IF(BT696=1,0,IFERROR(VLOOKUP(BR696,'Gebinde-Kategorie'!$A$5:$M$45,5,0)+0,0))</f>
        <v>31</v>
      </c>
      <c r="CG696" s="60" t="n">
        <f aca="false">IFERROR(IF(OR(BX696=1,BX696=2,BX696=3),N(INDEX(Parameter!$I$5:$I$7,BX696)),0),0)</f>
        <v>0</v>
      </c>
      <c r="CH696" s="59" t="n">
        <f aca="false">IF(AND(Parameter!$B$21="Ja",ISNUMBER(W696),N(X696)&gt;0),IFERROR(N(INDEX(Parameter!$L$5:$L$7,W696))*INDEX(Parameter!$E$5:$E$7,W696)*X696/SUMIFS($X$7:$X$1843,$W$7:$W$1843,W696),0),0)</f>
        <v>0</v>
      </c>
    </row>
    <row r="697" customFormat="false" ht="15" hidden="false" customHeight="false" outlineLevel="0" collapsed="false">
      <c r="A697" s="55" t="s">
        <v>1392</v>
      </c>
      <c r="B697" s="55" t="s">
        <v>1393</v>
      </c>
      <c r="C697" s="55" t="s">
        <v>164</v>
      </c>
      <c r="D697" s="55" t="s">
        <v>184</v>
      </c>
      <c r="E697" s="55"/>
      <c r="F697" s="55" t="s">
        <v>218</v>
      </c>
      <c r="G697" s="56" t="n">
        <v>51.81</v>
      </c>
      <c r="H697" s="57" t="n">
        <f aca="false">MAX(0,IF(AND(Parameter!$B$21="Ja",ISNUMBER(Y697)),Y697,IF(Parameter!$B$20="Jahresanfang 2025 + Export",BL697+BK697,BK697)))</f>
        <v>7</v>
      </c>
      <c r="I697" s="57" t="n">
        <f aca="false">H697*G697</f>
        <v>362.67</v>
      </c>
      <c r="J697" s="57" t="n">
        <f aca="false">BN697*Parameter!$B$18</f>
        <v>1</v>
      </c>
      <c r="K697" s="58" t="n">
        <v>7</v>
      </c>
      <c r="L697" s="59" t="n">
        <v>0.142857142857143</v>
      </c>
      <c r="M697" s="57" t="n">
        <v>0</v>
      </c>
      <c r="N697" s="57" t="n">
        <v>1</v>
      </c>
      <c r="O697" s="60" t="n">
        <v>42</v>
      </c>
      <c r="P697" s="55" t="s">
        <v>421</v>
      </c>
      <c r="Q697" s="57" t="n">
        <v>4</v>
      </c>
      <c r="R697" s="60" t="n">
        <f aca="false">IF(BT697=1,0,IFERROR(VLOOKUP(BR697,'Gebinde-Kategorie'!$A$5:$M$45,13,0)+0,0))</f>
        <v>132</v>
      </c>
      <c r="S697" s="61"/>
      <c r="T697" s="62"/>
      <c r="U697" s="62"/>
      <c r="V697" s="62"/>
      <c r="W697" s="55"/>
      <c r="X697" s="57"/>
      <c r="Y697" s="57"/>
      <c r="Z697" s="55" t="n">
        <f aca="false">IF(A697="","",IF(AND(Parameter!$B$21="Ja",ISNUMBER(W697)),W697,IF(BV697="2+3",IF(ISNUMBER(SEARCH("grosser Artikel",BO697)),2,IFERROR(VLOOKUP(BR697,Parameter!$F$35:$G$64,2,0),2)),IF(OR(BV697="Nein",BV697=""),"-",BV697))))</f>
        <v>3</v>
      </c>
      <c r="AA697" s="62"/>
      <c r="AB697" s="63"/>
      <c r="AC697" s="57" t="n">
        <f aca="false">AR697</f>
        <v>4</v>
      </c>
      <c r="AD697" s="57" t="n">
        <f aca="false">MAX(AR697,H697)</f>
        <v>7</v>
      </c>
      <c r="AE697" s="64"/>
      <c r="AF697" s="57" t="n">
        <f aca="false">IF(LEFT(Cockpit!$C$5,1)="A",H697,IF(CA697=1,CB697,IF(LEFT(Cockpit!$C$5,1)="B",AJ697,MAX(AJ697,H697))))</f>
        <v>7</v>
      </c>
      <c r="AG697" s="57" t="n">
        <f aca="false">IF(BT697=1,0,ROUNDUP(AF697/BS697,0))</f>
        <v>2</v>
      </c>
      <c r="AH697" s="59" t="n">
        <f aca="false">IF(CH697&gt;0,CH697*MAX(1,AF697/X697),IF(BT697=1,IF(AF697&lt;=0,0,BW697*MAX(1,IF(H697&gt;0,AF697/H697,1))),IF(R697&gt;0,AG697/R697,0))/MAX(0.1,N(Parameter!$M$21)))</f>
        <v>0.0151515151515152</v>
      </c>
      <c r="AI697" s="57" t="n">
        <f aca="false">AF697*G697</f>
        <v>362.67</v>
      </c>
      <c r="AJ697" s="57" t="n">
        <f aca="false">ROUNDUP(MAX(J697/IF(BZ697&gt;0,BZ697,MAX(0.1,N(Cockpit!$C$6))),CC697)/BS697,0)*BS697</f>
        <v>4</v>
      </c>
      <c r="AK697" s="58" t="n">
        <f aca="false">IF(AH697&gt;0,J697/AH697,-1)</f>
        <v>66</v>
      </c>
      <c r="AL697" s="58" t="n">
        <f aca="false">IF(AND(OR(BY697="L1",BY697="L23"),AH697&gt;0),SUMIFS($AH$7:$AH$1843,$BY$7:$BY$1843,BY697,$AK$7:$AK$1843,"&gt;"&amp;AK697)+SUMIFS($AH$7:$AH$1843,$BY$7:$BY$1843,BY697,$AK$7:$AK$1843,AK697,$BQ$7:$BQ$1843,"&lt;="&amp;BQ697),"")</f>
        <v>42.6872487415966</v>
      </c>
      <c r="AM697" s="65" t="n">
        <f aca="false">IF(AL697="",0,MAX(0,MIN(1,(IF(BY697="L1",Parameter!$E$5,Parameter!$E$6+Parameter!$E$7)-(AL697-AH697))/AH697)))</f>
        <v>1</v>
      </c>
      <c r="AN697" s="57" t="n">
        <f aca="false">IF(LEFT(Cockpit!$I$5,1)="A",H697,IF(CA697=1,CB697,IF(LEFT(Cockpit!$I$5,1)="B",AR697,MAX(AR697,H697))))</f>
        <v>7</v>
      </c>
      <c r="AO697" s="57" t="n">
        <f aca="false">IF(BT697=1,0,ROUNDUP(AN697/BS697,0))</f>
        <v>2</v>
      </c>
      <c r="AP697" s="59" t="n">
        <f aca="false">IF(CH697&gt;0,CH697*MAX(1,AN697/X697),IF(BT697=1,IF(AN697&lt;=0,0,BW697*MAX(1,IF(H697&gt;0,AN697/H697,1))),IF(R697&gt;0,AO697/R697,0))/MAX(0.1,N(Parameter!$M$21)))</f>
        <v>0.0151515151515152</v>
      </c>
      <c r="AQ697" s="57" t="n">
        <f aca="false">AN697*G697</f>
        <v>362.67</v>
      </c>
      <c r="AR697" s="57" t="n">
        <f aca="false">ROUNDUP(MAX(J697/IF(BZ697&gt;0,BZ697,MAX(0.1,N(Cockpit!$I$6))),CC697)/BS697,0)*BS697</f>
        <v>4</v>
      </c>
      <c r="AS697" s="58" t="n">
        <f aca="false">IF(AP697&gt;0,J697/AP697,-1)</f>
        <v>66</v>
      </c>
      <c r="AT697" s="58" t="n">
        <f aca="false">IF(AND(OR(BY697="L1",BY697="L23"),AP697&gt;0),SUMIFS($AP$7:$AP$1843,$BY$7:$BY$1843,BY697,$AS$7:$AS$1843,"&gt;"&amp;AS697)+SUMIFS($AP$7:$AP$1843,$BY$7:$BY$1843,BY697,$AS$7:$AS$1843,AS697,$BQ$7:$BQ$1843,"&lt;="&amp;BQ697),"")</f>
        <v>64.8934242086416</v>
      </c>
      <c r="AU697" s="65" t="n">
        <f aca="false">IF(AT697="",0,MAX(0,MIN(1,(IF(BY697="L1",Parameter!$E$5,Parameter!$E$6+Parameter!$E$7)-(AT697-AP697))/AP697)))</f>
        <v>1</v>
      </c>
      <c r="AV697" s="57" t="n">
        <f aca="false">IF(LEFT(Cockpit!$O$5,1)="A",H697,IF(CA697=1,CB697,IF(LEFT(Cockpit!$O$5,1)="B",AZ697,MAX(AZ697,H697))))</f>
        <v>7</v>
      </c>
      <c r="AW697" s="57" t="n">
        <f aca="false">IF(BT697=1,0,ROUNDUP(AV697/BS697,0))</f>
        <v>2</v>
      </c>
      <c r="AX697" s="59" t="n">
        <f aca="false">IF(CH697&gt;0,CH697*MAX(1,AV697/X697),IF(BT697=1,IF(AV697&lt;=0,0,BW697*MAX(1,IF(H697&gt;0,AV697/H697,1))),IF(R697&gt;0,AW697/R697,0))/MAX(0.1,N(Parameter!$M$21)))</f>
        <v>0.0151515151515152</v>
      </c>
      <c r="AY697" s="57" t="n">
        <f aca="false">AV697*G697</f>
        <v>362.67</v>
      </c>
      <c r="AZ697" s="57" t="n">
        <f aca="false">ROUNDUP(MAX(J697/IF(BZ697&gt;0,BZ697,MAX(0.1,N(Cockpit!$O$6))),CC697)/BS697,0)*BS697</f>
        <v>4</v>
      </c>
      <c r="BA697" s="58" t="n">
        <f aca="false">IF(AX697&gt;0,J697/AX697,-1)</f>
        <v>66</v>
      </c>
      <c r="BB697" s="58" t="n">
        <f aca="false">IF(AND(OR(BY697="L1",BY697="L23"),AX697&gt;0),SUMIFS($AX$7:$AX$1843,$BY$7:$BY$1843,BY697,$BA$7:$BA$1843,"&gt;"&amp;BA697)+SUMIFS($AX$7:$AX$1843,$BY$7:$BY$1843,BY697,$BA$7:$BA$1843,BA697,$BQ$7:$BQ$1843,"&lt;="&amp;BQ697),"")</f>
        <v>59.3899277051451</v>
      </c>
      <c r="BC697" s="65" t="n">
        <f aca="false">IF(BB697="",0,MAX(0,MIN(1,(IF(BY697="L1",Parameter!$E$5,Parameter!$E$6+Parameter!$E$7)-(BB697-AX697))/AX697)))</f>
        <v>1</v>
      </c>
      <c r="BD697" s="55" t="str">
        <f aca="false">IF(AH697&lt;=0,"",IF(BY697="Aussen","Aussenlager",IF(BY697="-","Nicht im Lift",IF(AM697&gt;=1,"Lift",IF(AM697&lt;=0,"Aussenlager","teilweise")))))</f>
        <v>Lift</v>
      </c>
      <c r="BE697" s="55" t="str">
        <f aca="false">IF(AP697&lt;=0,"",IF(BY697="Aussen","Aussenlager",IF(BY697="-","Nicht im Lift",IF(AU697&gt;=1,"Lift",IF(AU697&lt;=0,"Aussenlager","teilweise")))))</f>
        <v>Lift</v>
      </c>
      <c r="BF697" s="55" t="str">
        <f aca="false">IF(AX697&lt;=0,"",IF(BY697="Aussen","Aussenlager",IF(BY697="-","Nicht im Lift",IF(BC697&gt;=1,"Lift",IF(BC697&lt;=0,"Aussenlager","teilweise")))))</f>
        <v>Lift</v>
      </c>
      <c r="BG697" s="55" t="str">
        <f aca="false">IF(A697="","",IF(BP697=1,"Neu; ","")&amp;IF(AND(BP697=0,BK697&lt;0),"negativer Bestand (Export "&amp;BK697&amp;"); ","")&amp;IF(J697&lt;=0,"Kein Verbrauch; ","")&amp;IF(CH697&gt;0,"Lift "&amp;W697&amp;" lt. Liftbericht (Fach "&amp;X697&amp;" Stk); ",IF(BU697=1,"Gebinde geschätzt ("&amp;T697&amp;"); ",IF(BT697=1,"Lose – Tablare geschätzt; ","")))&amp;IF(H697&gt;AR697,"Überbestand "&amp;ROUND(H697-AR697,0)&amp;" Stk / CHF "&amp;ROUND((H697-AR697)*G697,0)&amp;"; ","")&amp;IF(AND(CA697=1,CB697&lt;CC697),"MAX &lt; MB+LG; ","")&amp;IF(AND(CG697&gt;0,CF697*10&gt;CG697),"zu hoch für Tablar; ","")&amp;IF(AND(BP697=0,OR(CA697=1,AA697&lt;&gt;"",U697&lt;&gt;"",V697&lt;&gt;"",AB697&lt;&gt;"")),"manuell übersteuert; ","")&amp;IF(AND(BT697=0,R697=0),"Gebinde unbekannt / Stellmass fehlt; ","")&amp;IF(AND(BT697=0,N(V697)&lt;=0,N(Q697)&lt;=0),"Menge pro Gebinde fehlt (Ist = 1 Gebinde); ","")&amp;BO697)</f>
        <v>Überbestand 3 Stk / CHF 155; </v>
      </c>
      <c r="BH697" s="55"/>
      <c r="BI697" s="55"/>
      <c r="BJ697" s="62"/>
      <c r="BK697" s="57" t="n">
        <v>0</v>
      </c>
      <c r="BL697" s="57" t="n">
        <v>7</v>
      </c>
      <c r="BM697" s="56" t="n">
        <v>0</v>
      </c>
      <c r="BN697" s="57" t="n">
        <v>1</v>
      </c>
      <c r="BO697" s="55"/>
      <c r="BP697" s="60" t="n">
        <v>0</v>
      </c>
      <c r="BQ697" s="60" t="n">
        <v>697</v>
      </c>
      <c r="BR697" s="55" t="str">
        <f aca="false">IF(U697&lt;&gt;"",UPPER(TRIM(U697)),IF(BU697=1,UPPER(VLOOKUP(T697,Parameter!$I$27:$K$29,2,0)),IF(P697="","LOSE",P697)))</f>
        <v>S32</v>
      </c>
      <c r="BS697" s="57" t="n">
        <f aca="false">IF(BR697="LOSE",1,IF(N(V697)&gt;0,V697,IF(BU697=1,MAX(1,N(VLOOKUP(T697,Parameter!$I$27:$K$29,3,0)),H697,N(N697)),IF(N(Q697)&gt;0,Q697,MAX(1,H697)))))</f>
        <v>4</v>
      </c>
      <c r="BT697" s="60" t="n">
        <f aca="false">IF(BR697="LOSE",1,0)</f>
        <v>0</v>
      </c>
      <c r="BU697" s="60" t="n">
        <f aca="false">IF(AND(U697="",OR(P697="",P697="LOSE"),T697&lt;&gt;"",N(S697)&lt;=0,ISNUMBER(MATCH(T697,Parameter!$I$27:$I$29,0))),1,0)</f>
        <v>0</v>
      </c>
      <c r="BV697" s="55" t="str">
        <f aca="false">IF(AND(Parameter!$B$19="Ja",E697&lt;&gt;"",ISNUMBER(MATCH(E697,Parameter!$I$35:$I$52,0))),VLOOKUP(E697,Parameter!$I$35:$J$52,2,0),IFERROR(VLOOKUP(D697,Parameter!$A$35:$C$64,2,0),"Nein"))</f>
        <v>2+3</v>
      </c>
      <c r="BW697" s="59" t="n">
        <f aca="false">IF(BT697=0,0,IF(N(S697)&gt;0,S697,IFERROR(VLOOKUP(D697,Parameter!$A$35:$C$64,3,0)+0,0)))</f>
        <v>0</v>
      </c>
      <c r="BX697" s="55" t="n">
        <f aca="false">IF(AA697&lt;&gt;"",AA697,Z697)</f>
        <v>3</v>
      </c>
      <c r="BY697" s="55" t="str">
        <f aca="false">IF(BX697=1,"L1",IF(OR(BX697=2,BX697=3),"L23",IF(BX697="Aussen","Aussen","-")))</f>
        <v>L23</v>
      </c>
      <c r="BZ697" s="66" t="n">
        <f aca="false">IF(N(AB697)&gt;0,AB697,0)</f>
        <v>0</v>
      </c>
      <c r="CA697" s="60" t="n">
        <f aca="false">IF(ISNUMBER(AE697),1,0)</f>
        <v>0</v>
      </c>
      <c r="CB697" s="57" t="n">
        <f aca="false">N(AE697)</f>
        <v>0</v>
      </c>
      <c r="CC697" s="57" t="n">
        <f aca="false">N(M697)+N(N697)</f>
        <v>1</v>
      </c>
      <c r="CD697" s="57" t="n">
        <f aca="false">ROUNDUP(H697/BS697,0)</f>
        <v>2</v>
      </c>
      <c r="CE697" s="57" t="n">
        <f aca="false">ROUNDUP(CB697/BS697,0)</f>
        <v>0</v>
      </c>
      <c r="CF697" s="60" t="n">
        <f aca="false">IF(BT697=1,0,IFERROR(VLOOKUP(BR697,'Gebinde-Kategorie'!$A$5:$M$45,5,0)+0,0))</f>
        <v>8</v>
      </c>
      <c r="CG697" s="60" t="n">
        <f aca="false">IFERROR(IF(OR(BX697=1,BX697=2,BX697=3),N(INDEX(Parameter!$I$5:$I$7,BX697)),0),0)</f>
        <v>0</v>
      </c>
      <c r="CH697" s="59" t="n">
        <f aca="false">IF(AND(Parameter!$B$21="Ja",ISNUMBER(W697),N(X697)&gt;0),IFERROR(N(INDEX(Parameter!$L$5:$L$7,W697))*INDEX(Parameter!$E$5:$E$7,W697)*X697/SUMIFS($X$7:$X$1843,$W$7:$W$1843,W697),0),0)</f>
        <v>0</v>
      </c>
    </row>
    <row r="698" customFormat="false" ht="15" hidden="false" customHeight="false" outlineLevel="0" collapsed="false">
      <c r="A698" s="55" t="s">
        <v>1394</v>
      </c>
      <c r="B698" s="55" t="s">
        <v>1395</v>
      </c>
      <c r="C698" s="55" t="s">
        <v>164</v>
      </c>
      <c r="D698" s="55" t="s">
        <v>173</v>
      </c>
      <c r="E698" s="55"/>
      <c r="F698" s="55" t="s">
        <v>218</v>
      </c>
      <c r="G698" s="56" t="n">
        <v>544.15</v>
      </c>
      <c r="H698" s="57" t="n">
        <f aca="false">MAX(0,IF(AND(Parameter!$B$21="Ja",ISNUMBER(Y698)),Y698,IF(Parameter!$B$20="Jahresanfang 2025 + Export",BL698+BK698,BK698)))</f>
        <v>0</v>
      </c>
      <c r="I698" s="57" t="n">
        <f aca="false">H698*G698</f>
        <v>0</v>
      </c>
      <c r="J698" s="57" t="n">
        <f aca="false">BN698*Parameter!$B$18</f>
        <v>1</v>
      </c>
      <c r="K698" s="58" t="n">
        <v>0</v>
      </c>
      <c r="L698" s="59" t="n">
        <v>0</v>
      </c>
      <c r="M698" s="57" t="n">
        <v>0</v>
      </c>
      <c r="N698" s="57" t="n">
        <v>1</v>
      </c>
      <c r="O698" s="60" t="n">
        <v>21</v>
      </c>
      <c r="P698" s="55" t="s">
        <v>168</v>
      </c>
      <c r="Q698" s="57"/>
      <c r="R698" s="60" t="n">
        <f aca="false">IF(BT698=1,0,IFERROR(VLOOKUP(BR698,'Gebinde-Kategorie'!$A$5:$M$45,13,0)+0,0))</f>
        <v>3</v>
      </c>
      <c r="S698" s="61"/>
      <c r="T698" s="62" t="s">
        <v>189</v>
      </c>
      <c r="U698" s="62"/>
      <c r="V698" s="62"/>
      <c r="W698" s="55"/>
      <c r="X698" s="57"/>
      <c r="Y698" s="57"/>
      <c r="Z698" s="55" t="n">
        <f aca="false">IF(A698="","",IF(AND(Parameter!$B$21="Ja",ISNUMBER(W698)),W698,IF(BV698="2+3",IF(ISNUMBER(SEARCH("grosser Artikel",BO698)),2,IFERROR(VLOOKUP(BR698,Parameter!$F$35:$G$64,2,0),2)),IF(OR(BV698="Nein",BV698=""),"-",BV698))))</f>
        <v>2</v>
      </c>
      <c r="AA698" s="62"/>
      <c r="AB698" s="63"/>
      <c r="AC698" s="57" t="n">
        <f aca="false">AR698</f>
        <v>2</v>
      </c>
      <c r="AD698" s="57" t="n">
        <f aca="false">MAX(AR698,H698)</f>
        <v>2</v>
      </c>
      <c r="AE698" s="64"/>
      <c r="AF698" s="57" t="n">
        <f aca="false">IF(LEFT(Cockpit!$C$5,1)="A",H698,IF(CA698=1,CB698,IF(LEFT(Cockpit!$C$5,1)="B",AJ698,MAX(AJ698,H698))))</f>
        <v>0</v>
      </c>
      <c r="AG698" s="57" t="n">
        <f aca="false">IF(BT698=1,0,ROUNDUP(AF698/BS698,0))</f>
        <v>0</v>
      </c>
      <c r="AH698" s="59" t="n">
        <f aca="false">IF(CH698&gt;0,CH698*MAX(1,AF698/X698),IF(BT698=1,IF(AF698&lt;=0,0,BW698*MAX(1,IF(H698&gt;0,AF698/H698,1))),IF(R698&gt;0,AG698/R698,0))/MAX(0.1,N(Parameter!$M$21)))</f>
        <v>0</v>
      </c>
      <c r="AI698" s="57" t="n">
        <f aca="false">AF698*G698</f>
        <v>0</v>
      </c>
      <c r="AJ698" s="57" t="n">
        <f aca="false">ROUNDUP(MAX(J698/IF(BZ698&gt;0,BZ698,MAX(0.1,N(Cockpit!$C$6))),CC698)/BS698,0)*BS698</f>
        <v>2</v>
      </c>
      <c r="AK698" s="58" t="n">
        <f aca="false">IF(AH698&gt;0,J698/AH698,-1)</f>
        <v>-1</v>
      </c>
      <c r="AL698" s="58" t="str">
        <f aca="false">IF(AND(OR(BY698="L1",BY698="L23"),AH698&gt;0),SUMIFS($AH$7:$AH$1843,$BY$7:$BY$1843,BY698,$AK$7:$AK$1843,"&gt;"&amp;AK698)+SUMIFS($AH$7:$AH$1843,$BY$7:$BY$1843,BY698,$AK$7:$AK$1843,AK698,$BQ$7:$BQ$1843,"&lt;="&amp;BQ698),"")</f>
        <v/>
      </c>
      <c r="AM698" s="65" t="n">
        <f aca="false">IF(AL698="",0,MAX(0,MIN(1,(IF(BY698="L1",Parameter!$E$5,Parameter!$E$6+Parameter!$E$7)-(AL698-AH698))/AH698)))</f>
        <v>0</v>
      </c>
      <c r="AN698" s="57" t="n">
        <f aca="false">IF(LEFT(Cockpit!$I$5,1)="A",H698,IF(CA698=1,CB698,IF(LEFT(Cockpit!$I$5,1)="B",AR698,MAX(AR698,H698))))</f>
        <v>2</v>
      </c>
      <c r="AO698" s="57" t="n">
        <f aca="false">IF(BT698=1,0,ROUNDUP(AN698/BS698,0))</f>
        <v>1</v>
      </c>
      <c r="AP698" s="59" t="n">
        <f aca="false">IF(CH698&gt;0,CH698*MAX(1,AN698/X698),IF(BT698=1,IF(AN698&lt;=0,0,BW698*MAX(1,IF(H698&gt;0,AN698/H698,1))),IF(R698&gt;0,AO698/R698,0))/MAX(0.1,N(Parameter!$M$21)))</f>
        <v>0.333333333333333</v>
      </c>
      <c r="AQ698" s="57" t="n">
        <f aca="false">AN698*G698</f>
        <v>1088.3</v>
      </c>
      <c r="AR698" s="57" t="n">
        <f aca="false">ROUNDUP(MAX(J698/IF(BZ698&gt;0,BZ698,MAX(0.1,N(Cockpit!$I$6))),CC698)/BS698,0)*BS698</f>
        <v>2</v>
      </c>
      <c r="AS698" s="58" t="n">
        <f aca="false">IF(AP698&gt;0,J698/AP698,-1)</f>
        <v>3</v>
      </c>
      <c r="AT698" s="58" t="n">
        <f aca="false">IF(AND(OR(BY698="L1",BY698="L23"),AP698&gt;0),SUMIFS($AP$7:$AP$1843,$BY$7:$BY$1843,BY698,$AS$7:$AS$1843,"&gt;"&amp;AS698)+SUMIFS($AP$7:$AP$1843,$BY$7:$BY$1843,BY698,$AS$7:$AS$1843,AS698,$BQ$7:$BQ$1843,"&lt;="&amp;BQ698),"")</f>
        <v>96.5828181480355</v>
      </c>
      <c r="AU698" s="65" t="n">
        <f aca="false">IF(AT698="",0,MAX(0,MIN(1,(IF(BY698="L1",Parameter!$E$5,Parameter!$E$6+Parameter!$E$7)-(AT698-AP698))/AP698)))</f>
        <v>1</v>
      </c>
      <c r="AV698" s="57" t="n">
        <f aca="false">IF(LEFT(Cockpit!$O$5,1)="A",H698,IF(CA698=1,CB698,IF(LEFT(Cockpit!$O$5,1)="B",AZ698,MAX(AZ698,H698))))</f>
        <v>2</v>
      </c>
      <c r="AW698" s="57" t="n">
        <f aca="false">IF(BT698=1,0,ROUNDUP(AV698/BS698,0))</f>
        <v>1</v>
      </c>
      <c r="AX698" s="59" t="n">
        <f aca="false">IF(CH698&gt;0,CH698*MAX(1,AV698/X698),IF(BT698=1,IF(AV698&lt;=0,0,BW698*MAX(1,IF(H698&gt;0,AV698/H698,1))),IF(R698&gt;0,AW698/R698,0))/MAX(0.1,N(Parameter!$M$21)))</f>
        <v>0.333333333333333</v>
      </c>
      <c r="AY698" s="57" t="n">
        <f aca="false">AV698*G698</f>
        <v>1088.3</v>
      </c>
      <c r="AZ698" s="57" t="n">
        <f aca="false">ROUNDUP(MAX(J698/IF(BZ698&gt;0,BZ698,MAX(0.1,N(Cockpit!$O$6))),CC698)/BS698,0)*BS698</f>
        <v>2</v>
      </c>
      <c r="BA698" s="58" t="n">
        <f aca="false">IF(AX698&gt;0,J698/AX698,-1)</f>
        <v>3</v>
      </c>
      <c r="BB698" s="58" t="n">
        <f aca="false">IF(AND(OR(BY698="L1",BY698="L23"),AX698&gt;0),SUMIFS($AX$7:$AX$1843,$BY$7:$BY$1843,BY698,$BA$7:$BA$1843,"&gt;"&amp;BA698)+SUMIFS($AX$7:$AX$1843,$BY$7:$BY$1843,BY698,$BA$7:$BA$1843,BA698,$BQ$7:$BQ$1843,"&lt;="&amp;BQ698),"")</f>
        <v>87.4126549778724</v>
      </c>
      <c r="BC698" s="65" t="n">
        <f aca="false">IF(BB698="",0,MAX(0,MIN(1,(IF(BY698="L1",Parameter!$E$5,Parameter!$E$6+Parameter!$E$7)-(BB698-AX698))/AX698)))</f>
        <v>1</v>
      </c>
      <c r="BD698" s="55" t="str">
        <f aca="false">IF(AH698&lt;=0,"",IF(BY698="Aussen","Aussenlager",IF(BY698="-","Nicht im Lift",IF(AM698&gt;=1,"Lift",IF(AM698&lt;=0,"Aussenlager","teilweise")))))</f>
        <v/>
      </c>
      <c r="BE698" s="55" t="str">
        <f aca="false">IF(AP698&lt;=0,"",IF(BY698="Aussen","Aussenlager",IF(BY698="-","Nicht im Lift",IF(AU698&gt;=1,"Lift",IF(AU698&lt;=0,"Aussenlager","teilweise")))))</f>
        <v>Lift</v>
      </c>
      <c r="BF698" s="55" t="str">
        <f aca="false">IF(AX698&lt;=0,"",IF(BY698="Aussen","Aussenlager",IF(BY698="-","Nicht im Lift",IF(BC698&gt;=1,"Lift",IF(BC698&lt;=0,"Aussenlager","teilweise")))))</f>
        <v>Lift</v>
      </c>
      <c r="BG698" s="55" t="str">
        <f aca="false">IF(A698="","",IF(BP698=1,"Neu; ","")&amp;IF(AND(BP698=0,BK698&lt;0),"negativer Bestand (Export "&amp;BK698&amp;"); ","")&amp;IF(J698&lt;=0,"Kein Verbrauch; ","")&amp;IF(CH698&gt;0,"Lift "&amp;W698&amp;" lt. Liftbericht (Fach "&amp;X698&amp;" Stk); ",IF(BU698=1,"Gebinde geschätzt ("&amp;T698&amp;"); ",IF(BT698=1,"Lose – Tablare geschätzt; ","")))&amp;IF(H698&gt;AR698,"Überbestand "&amp;ROUND(H698-AR698,0)&amp;" Stk / CHF "&amp;ROUND((H698-AR698)*G698,0)&amp;"; ","")&amp;IF(AND(CA698=1,CB698&lt;CC698),"MAX &lt; MB+LG; ","")&amp;IF(AND(CG698&gt;0,CF698*10&gt;CG698),"zu hoch für Tablar; ","")&amp;IF(AND(BP698=0,OR(CA698=1,AA698&lt;&gt;"",U698&lt;&gt;"",V698&lt;&gt;"",AB698&lt;&gt;"")),"manuell übersteuert; ","")&amp;IF(AND(BT698=0,R698=0),"Gebinde unbekannt / Stellmass fehlt; ","")&amp;IF(AND(BT698=0,N(V698)&lt;=0,N(Q698)&lt;=0),"Menge pro Gebinde fehlt (Ist = 1 Gebinde); ","")&amp;BO698)</f>
        <v>Gebinde geschätzt (Gross); Menge pro Gebinde fehlt (Ist = 1 Gebinde); </v>
      </c>
      <c r="BH698" s="55"/>
      <c r="BI698" s="55"/>
      <c r="BJ698" s="62"/>
      <c r="BK698" s="57" t="n">
        <v>0</v>
      </c>
      <c r="BL698" s="57" t="n">
        <v>0</v>
      </c>
      <c r="BM698" s="56" t="n">
        <v>0</v>
      </c>
      <c r="BN698" s="57" t="n">
        <v>1</v>
      </c>
      <c r="BO698" s="55"/>
      <c r="BP698" s="60" t="n">
        <v>0</v>
      </c>
      <c r="BQ698" s="60" t="n">
        <v>698</v>
      </c>
      <c r="BR698" s="55" t="str">
        <f aca="false">IF(U698&lt;&gt;"",UPPER(TRIM(U698)),IF(BU698=1,UPPER(VLOOKUP(T698,Parameter!$I$27:$K$29,2,0)),IF(P698="","LOSE",P698)))</f>
        <v>S81</v>
      </c>
      <c r="BS698" s="57" t="n">
        <f aca="false">IF(BR698="LOSE",1,IF(N(V698)&gt;0,V698,IF(BU698=1,MAX(1,N(VLOOKUP(T698,Parameter!$I$27:$K$29,3,0)),H698,N(N698)),IF(N(Q698)&gt;0,Q698,MAX(1,H698)))))</f>
        <v>2</v>
      </c>
      <c r="BT698" s="60" t="n">
        <f aca="false">IF(BR698="LOSE",1,0)</f>
        <v>0</v>
      </c>
      <c r="BU698" s="60" t="n">
        <f aca="false">IF(AND(U698="",OR(P698="",P698="LOSE"),T698&lt;&gt;"",N(S698)&lt;=0,ISNUMBER(MATCH(T698,Parameter!$I$27:$I$29,0))),1,0)</f>
        <v>1</v>
      </c>
      <c r="BV698" s="55" t="str">
        <f aca="false">IF(AND(Parameter!$B$19="Ja",E698&lt;&gt;"",ISNUMBER(MATCH(E698,Parameter!$I$35:$I$52,0))),VLOOKUP(E698,Parameter!$I$35:$J$52,2,0),IFERROR(VLOOKUP(D698,Parameter!$A$35:$C$64,2,0),"Nein"))</f>
        <v>2+3</v>
      </c>
      <c r="BW698" s="59" t="n">
        <f aca="false">IF(BT698=0,0,IF(N(S698)&gt;0,S698,IFERROR(VLOOKUP(D698,Parameter!$A$35:$C$64,3,0)+0,0)))</f>
        <v>0</v>
      </c>
      <c r="BX698" s="55" t="n">
        <f aca="false">IF(AA698&lt;&gt;"",AA698,Z698)</f>
        <v>2</v>
      </c>
      <c r="BY698" s="55" t="str">
        <f aca="false">IF(BX698=1,"L1",IF(OR(BX698=2,BX698=3),"L23",IF(BX698="Aussen","Aussen","-")))</f>
        <v>L23</v>
      </c>
      <c r="BZ698" s="66" t="n">
        <f aca="false">IF(N(AB698)&gt;0,AB698,0)</f>
        <v>0</v>
      </c>
      <c r="CA698" s="60" t="n">
        <f aca="false">IF(ISNUMBER(AE698),1,0)</f>
        <v>0</v>
      </c>
      <c r="CB698" s="57" t="n">
        <f aca="false">N(AE698)</f>
        <v>0</v>
      </c>
      <c r="CC698" s="57" t="n">
        <f aca="false">N(M698)+N(N698)</f>
        <v>1</v>
      </c>
      <c r="CD698" s="57" t="n">
        <f aca="false">ROUNDUP(H698/BS698,0)</f>
        <v>0</v>
      </c>
      <c r="CE698" s="57" t="n">
        <f aca="false">ROUNDUP(CB698/BS698,0)</f>
        <v>0</v>
      </c>
      <c r="CF698" s="60" t="n">
        <f aca="false">IF(BT698=1,0,IFERROR(VLOOKUP(BR698,'Gebinde-Kategorie'!$A$5:$M$45,5,0)+0,0))</f>
        <v>20</v>
      </c>
      <c r="CG698" s="60" t="n">
        <f aca="false">IFERROR(IF(OR(BX698=1,BX698=2,BX698=3),N(INDEX(Parameter!$I$5:$I$7,BX698)),0),0)</f>
        <v>0</v>
      </c>
      <c r="CH698" s="59" t="n">
        <f aca="false">IF(AND(Parameter!$B$21="Ja",ISNUMBER(W698),N(X698)&gt;0),IFERROR(N(INDEX(Parameter!$L$5:$L$7,W698))*INDEX(Parameter!$E$5:$E$7,W698)*X698/SUMIFS($X$7:$X$1843,$W$7:$W$1843,W698),0),0)</f>
        <v>0</v>
      </c>
    </row>
    <row r="699" customFormat="false" ht="15" hidden="false" customHeight="false" outlineLevel="0" collapsed="false">
      <c r="A699" s="55" t="s">
        <v>1396</v>
      </c>
      <c r="B699" s="55" t="s">
        <v>1397</v>
      </c>
      <c r="C699" s="55" t="s">
        <v>164</v>
      </c>
      <c r="D699" s="55" t="s">
        <v>995</v>
      </c>
      <c r="E699" s="55"/>
      <c r="F699" s="55" t="s">
        <v>218</v>
      </c>
      <c r="G699" s="56" t="n">
        <v>1635.8</v>
      </c>
      <c r="H699" s="57" t="n">
        <f aca="false">MAX(0,IF(AND(Parameter!$B$21="Ja",ISNUMBER(Y699)),Y699,IF(Parameter!$B$20="Jahresanfang 2025 + Export",BL699+BK699,BK699)))</f>
        <v>0</v>
      </c>
      <c r="I699" s="57" t="n">
        <f aca="false">H699*G699</f>
        <v>0</v>
      </c>
      <c r="J699" s="57" t="n">
        <f aca="false">BN699*Parameter!$B$18</f>
        <v>0</v>
      </c>
      <c r="K699" s="58" t="n">
        <v>0.5</v>
      </c>
      <c r="L699" s="59" t="n">
        <v>0</v>
      </c>
      <c r="M699" s="57" t="n">
        <v>0</v>
      </c>
      <c r="N699" s="57" t="n">
        <v>1</v>
      </c>
      <c r="O699" s="60" t="n">
        <v>7</v>
      </c>
      <c r="P699" s="55" t="s">
        <v>168</v>
      </c>
      <c r="Q699" s="57"/>
      <c r="R699" s="60" t="n">
        <f aca="false">IF(BT699=1,0,IFERROR(VLOOKUP(BR699,'Gebinde-Kategorie'!$A$5:$M$45,13,0)+0,0))</f>
        <v>0</v>
      </c>
      <c r="S699" s="61"/>
      <c r="T699" s="62"/>
      <c r="U699" s="62"/>
      <c r="V699" s="62"/>
      <c r="W699" s="55"/>
      <c r="X699" s="57"/>
      <c r="Y699" s="57"/>
      <c r="Z699" s="55" t="str">
        <f aca="false">IF(A699="","",IF(AND(Parameter!$B$21="Ja",ISNUMBER(W699)),W699,IF(BV699="2+3",IF(ISNUMBER(SEARCH("grosser Artikel",BO699)),2,IFERROR(VLOOKUP(BR699,Parameter!$F$35:$G$64,2,0),2)),IF(OR(BV699="Nein",BV699=""),"-",BV699))))</f>
        <v>-</v>
      </c>
      <c r="AA699" s="62"/>
      <c r="AB699" s="63"/>
      <c r="AC699" s="57" t="n">
        <f aca="false">AR699</f>
        <v>1</v>
      </c>
      <c r="AD699" s="57" t="n">
        <f aca="false">MAX(AR699,H699)</f>
        <v>1</v>
      </c>
      <c r="AE699" s="64"/>
      <c r="AF699" s="57" t="n">
        <f aca="false">IF(LEFT(Cockpit!$C$5,1)="A",H699,IF(CA699=1,CB699,IF(LEFT(Cockpit!$C$5,1)="B",AJ699,MAX(AJ699,H699))))</f>
        <v>0</v>
      </c>
      <c r="AG699" s="57" t="n">
        <f aca="false">IF(BT699=1,0,ROUNDUP(AF699/BS699,0))</f>
        <v>0</v>
      </c>
      <c r="AH699" s="59" t="n">
        <f aca="false">IF(CH699&gt;0,CH699*MAX(1,AF699/X699),IF(BT699=1,IF(AF699&lt;=0,0,BW699*MAX(1,IF(H699&gt;0,AF699/H699,1))),IF(R699&gt;0,AG699/R699,0))/MAX(0.1,N(Parameter!$M$21)))</f>
        <v>0</v>
      </c>
      <c r="AI699" s="57" t="n">
        <f aca="false">AF699*G699</f>
        <v>0</v>
      </c>
      <c r="AJ699" s="57" t="n">
        <f aca="false">ROUNDUP(MAX(J699/IF(BZ699&gt;0,BZ699,MAX(0.1,N(Cockpit!$C$6))),CC699)/BS699,0)*BS699</f>
        <v>1</v>
      </c>
      <c r="AK699" s="58" t="n">
        <f aca="false">IF(AH699&gt;0,J699/AH699,-1)</f>
        <v>-1</v>
      </c>
      <c r="AL699" s="58" t="str">
        <f aca="false">IF(AND(OR(BY699="L1",BY699="L23"),AH699&gt;0),SUMIFS($AH$7:$AH$1843,$BY$7:$BY$1843,BY699,$AK$7:$AK$1843,"&gt;"&amp;AK699)+SUMIFS($AH$7:$AH$1843,$BY$7:$BY$1843,BY699,$AK$7:$AK$1843,AK699,$BQ$7:$BQ$1843,"&lt;="&amp;BQ699),"")</f>
        <v/>
      </c>
      <c r="AM699" s="65" t="n">
        <f aca="false">IF(AL699="",0,MAX(0,MIN(1,(IF(BY699="L1",Parameter!$E$5,Parameter!$E$6+Parameter!$E$7)-(AL699-AH699))/AH699)))</f>
        <v>0</v>
      </c>
      <c r="AN699" s="57" t="n">
        <f aca="false">IF(LEFT(Cockpit!$I$5,1)="A",H699,IF(CA699=1,CB699,IF(LEFT(Cockpit!$I$5,1)="B",AR699,MAX(AR699,H699))))</f>
        <v>1</v>
      </c>
      <c r="AO699" s="57" t="n">
        <f aca="false">IF(BT699=1,0,ROUNDUP(AN699/BS699,0))</f>
        <v>0</v>
      </c>
      <c r="AP699" s="59" t="n">
        <f aca="false">IF(CH699&gt;0,CH699*MAX(1,AN699/X699),IF(BT699=1,IF(AN699&lt;=0,0,BW699*MAX(1,IF(H699&gt;0,AN699/H699,1))),IF(R699&gt;0,AO699/R699,0))/MAX(0.1,N(Parameter!$M$21)))</f>
        <v>0.15</v>
      </c>
      <c r="AQ699" s="57" t="n">
        <f aca="false">AN699*G699</f>
        <v>1635.8</v>
      </c>
      <c r="AR699" s="57" t="n">
        <f aca="false">ROUNDUP(MAX(J699/IF(BZ699&gt;0,BZ699,MAX(0.1,N(Cockpit!$I$6))),CC699)/BS699,0)*BS699</f>
        <v>1</v>
      </c>
      <c r="AS699" s="58" t="n">
        <f aca="false">IF(AP699&gt;0,J699/AP699,-1)</f>
        <v>0</v>
      </c>
      <c r="AT699" s="58" t="str">
        <f aca="false">IF(AND(OR(BY699="L1",BY699="L23"),AP699&gt;0),SUMIFS($AP$7:$AP$1843,$BY$7:$BY$1843,BY699,$AS$7:$AS$1843,"&gt;"&amp;AS699)+SUMIFS($AP$7:$AP$1843,$BY$7:$BY$1843,BY699,$AS$7:$AS$1843,AS699,$BQ$7:$BQ$1843,"&lt;="&amp;BQ699),"")</f>
        <v/>
      </c>
      <c r="AU699" s="65" t="n">
        <f aca="false">IF(AT699="",0,MAX(0,MIN(1,(IF(BY699="L1",Parameter!$E$5,Parameter!$E$6+Parameter!$E$7)-(AT699-AP699))/AP699)))</f>
        <v>0</v>
      </c>
      <c r="AV699" s="57" t="n">
        <f aca="false">IF(LEFT(Cockpit!$O$5,1)="A",H699,IF(CA699=1,CB699,IF(LEFT(Cockpit!$O$5,1)="B",AZ699,MAX(AZ699,H699))))</f>
        <v>1</v>
      </c>
      <c r="AW699" s="57" t="n">
        <f aca="false">IF(BT699=1,0,ROUNDUP(AV699/BS699,0))</f>
        <v>0</v>
      </c>
      <c r="AX699" s="59" t="n">
        <f aca="false">IF(CH699&gt;0,CH699*MAX(1,AV699/X699),IF(BT699=1,IF(AV699&lt;=0,0,BW699*MAX(1,IF(H699&gt;0,AV699/H699,1))),IF(R699&gt;0,AW699/R699,0))/MAX(0.1,N(Parameter!$M$21)))</f>
        <v>0.15</v>
      </c>
      <c r="AY699" s="57" t="n">
        <f aca="false">AV699*G699</f>
        <v>1635.8</v>
      </c>
      <c r="AZ699" s="57" t="n">
        <f aca="false">ROUNDUP(MAX(J699/IF(BZ699&gt;0,BZ699,MAX(0.1,N(Cockpit!$O$6))),CC699)/BS699,0)*BS699</f>
        <v>1</v>
      </c>
      <c r="BA699" s="58" t="n">
        <f aca="false">IF(AX699&gt;0,J699/AX699,-1)</f>
        <v>0</v>
      </c>
      <c r="BB699" s="58" t="str">
        <f aca="false">IF(AND(OR(BY699="L1",BY699="L23"),AX699&gt;0),SUMIFS($AX$7:$AX$1843,$BY$7:$BY$1843,BY699,$BA$7:$BA$1843,"&gt;"&amp;BA699)+SUMIFS($AX$7:$AX$1843,$BY$7:$BY$1843,BY699,$BA$7:$BA$1843,BA699,$BQ$7:$BQ$1843,"&lt;="&amp;BQ699),"")</f>
        <v/>
      </c>
      <c r="BC699" s="65" t="n">
        <f aca="false">IF(BB699="",0,MAX(0,MIN(1,(IF(BY699="L1",Parameter!$E$5,Parameter!$E$6+Parameter!$E$7)-(BB699-AX699))/AX699)))</f>
        <v>0</v>
      </c>
      <c r="BD699" s="55" t="str">
        <f aca="false">IF(AH699&lt;=0,"",IF(BY699="Aussen","Aussenlager",IF(BY699="-","Nicht im Lift",IF(AM699&gt;=1,"Lift",IF(AM699&lt;=0,"Aussenlager","teilweise")))))</f>
        <v/>
      </c>
      <c r="BE699" s="55" t="str">
        <f aca="false">IF(AP699&lt;=0,"",IF(BY699="Aussen","Aussenlager",IF(BY699="-","Nicht im Lift",IF(AU699&gt;=1,"Lift",IF(AU699&lt;=0,"Aussenlager","teilweise")))))</f>
        <v>Nicht im Lift</v>
      </c>
      <c r="BF699" s="55" t="str">
        <f aca="false">IF(AX699&lt;=0,"",IF(BY699="Aussen","Aussenlager",IF(BY699="-","Nicht im Lift",IF(BC699&gt;=1,"Lift",IF(BC699&lt;=0,"Aussenlager","teilweise")))))</f>
        <v>Nicht im Lift</v>
      </c>
      <c r="BG699" s="55" t="str">
        <f aca="false">IF(A699="","",IF(BP699=1,"Neu; ","")&amp;IF(AND(BP699=0,BK699&lt;0),"negativer Bestand (Export "&amp;BK699&amp;"); ","")&amp;IF(J699&lt;=0,"Kein Verbrauch; ","")&amp;IF(CH699&gt;0,"Lift "&amp;W699&amp;" lt. Liftbericht (Fach "&amp;X699&amp;" Stk); ",IF(BU699=1,"Gebinde geschätzt ("&amp;T699&amp;"); ",IF(BT699=1,"Lose – Tablare geschätzt; ","")))&amp;IF(H699&gt;AR699,"Überbestand "&amp;ROUND(H699-AR699,0)&amp;" Stk / CHF "&amp;ROUND((H699-AR699)*G699,0)&amp;"; ","")&amp;IF(AND(CA699=1,CB699&lt;CC699),"MAX &lt; MB+LG; ","")&amp;IF(AND(CG699&gt;0,CF699*10&gt;CG699),"zu hoch für Tablar; ","")&amp;IF(AND(BP699=0,OR(CA699=1,AA699&lt;&gt;"",U699&lt;&gt;"",V699&lt;&gt;"",AB699&lt;&gt;"")),"manuell übersteuert; ","")&amp;IF(AND(BT699=0,R699=0),"Gebinde unbekannt / Stellmass fehlt; ","")&amp;IF(AND(BT699=0,N(V699)&lt;=0,N(Q699)&lt;=0),"Menge pro Gebinde fehlt (Ist = 1 Gebinde); ","")&amp;BO699)</f>
        <v>Kein Verbrauch; Lose – Tablare geschätzt; </v>
      </c>
      <c r="BH699" s="55"/>
      <c r="BI699" s="55"/>
      <c r="BJ699" s="62"/>
      <c r="BK699" s="57" t="n">
        <v>0</v>
      </c>
      <c r="BL699" s="57" t="n">
        <v>0</v>
      </c>
      <c r="BM699" s="56" t="n">
        <v>0</v>
      </c>
      <c r="BN699" s="57" t="n">
        <v>0</v>
      </c>
      <c r="BO699" s="55"/>
      <c r="BP699" s="60" t="n">
        <v>0</v>
      </c>
      <c r="BQ699" s="60" t="n">
        <v>699</v>
      </c>
      <c r="BR699" s="55" t="str">
        <f aca="false">IF(U699&lt;&gt;"",UPPER(TRIM(U699)),IF(BU699=1,UPPER(VLOOKUP(T699,Parameter!$I$27:$K$29,2,0)),IF(P699="","LOSE",P699)))</f>
        <v>LOSE</v>
      </c>
      <c r="BS699" s="57" t="n">
        <f aca="false">IF(BR699="LOSE",1,IF(N(V699)&gt;0,V699,IF(BU699=1,MAX(1,N(VLOOKUP(T699,Parameter!$I$27:$K$29,3,0)),H699,N(N699)),IF(N(Q699)&gt;0,Q699,MAX(1,H699)))))</f>
        <v>1</v>
      </c>
      <c r="BT699" s="60" t="n">
        <f aca="false">IF(BR699="LOSE",1,0)</f>
        <v>1</v>
      </c>
      <c r="BU699" s="60" t="n">
        <f aca="false">IF(AND(U699="",OR(P699="",P699="LOSE"),T699&lt;&gt;"",N(S699)&lt;=0,ISNUMBER(MATCH(T699,Parameter!$I$27:$I$29,0))),1,0)</f>
        <v>0</v>
      </c>
      <c r="BV699" s="55" t="str">
        <f aca="false">IF(AND(Parameter!$B$19="Ja",E699&lt;&gt;"",ISNUMBER(MATCH(E699,Parameter!$I$35:$I$52,0))),VLOOKUP(E699,Parameter!$I$35:$J$52,2,0),IFERROR(VLOOKUP(D699,Parameter!$A$35:$C$64,2,0),"Nein"))</f>
        <v>Nein</v>
      </c>
      <c r="BW699" s="59" t="n">
        <f aca="false">IF(BT699=0,0,IF(N(S699)&gt;0,S699,IFERROR(VLOOKUP(D699,Parameter!$A$35:$C$64,3,0)+0,0)))</f>
        <v>0.15</v>
      </c>
      <c r="BX699" s="55" t="str">
        <f aca="false">IF(AA699&lt;&gt;"",AA699,Z699)</f>
        <v>-</v>
      </c>
      <c r="BY699" s="55" t="str">
        <f aca="false">IF(BX699=1,"L1",IF(OR(BX699=2,BX699=3),"L23",IF(BX699="Aussen","Aussen","-")))</f>
        <v>-</v>
      </c>
      <c r="BZ699" s="66" t="n">
        <f aca="false">IF(N(AB699)&gt;0,AB699,0)</f>
        <v>0</v>
      </c>
      <c r="CA699" s="60" t="n">
        <f aca="false">IF(ISNUMBER(AE699),1,0)</f>
        <v>0</v>
      </c>
      <c r="CB699" s="57" t="n">
        <f aca="false">N(AE699)</f>
        <v>0</v>
      </c>
      <c r="CC699" s="57" t="n">
        <f aca="false">N(M699)+N(N699)</f>
        <v>1</v>
      </c>
      <c r="CD699" s="57" t="n">
        <f aca="false">ROUNDUP(H699/BS699,0)</f>
        <v>0</v>
      </c>
      <c r="CE699" s="57" t="n">
        <f aca="false">ROUNDUP(CB699/BS699,0)</f>
        <v>0</v>
      </c>
      <c r="CF699" s="60" t="n">
        <f aca="false">IF(BT699=1,0,IFERROR(VLOOKUP(BR699,'Gebinde-Kategorie'!$A$5:$M$45,5,0)+0,0))</f>
        <v>0</v>
      </c>
      <c r="CG699" s="60" t="n">
        <f aca="false">IFERROR(IF(OR(BX699=1,BX699=2,BX699=3),N(INDEX(Parameter!$I$5:$I$7,BX699)),0),0)</f>
        <v>0</v>
      </c>
      <c r="CH699" s="59" t="n">
        <f aca="false">IF(AND(Parameter!$B$21="Ja",ISNUMBER(W699),N(X699)&gt;0),IFERROR(N(INDEX(Parameter!$L$5:$L$7,W699))*INDEX(Parameter!$E$5:$E$7,W699)*X699/SUMIFS($X$7:$X$1843,$W$7:$W$1843,W699),0),0)</f>
        <v>0</v>
      </c>
    </row>
    <row r="700" customFormat="false" ht="15" hidden="false" customHeight="false" outlineLevel="0" collapsed="false">
      <c r="A700" s="55" t="s">
        <v>1398</v>
      </c>
      <c r="B700" s="55" t="s">
        <v>1399</v>
      </c>
      <c r="C700" s="55" t="s">
        <v>164</v>
      </c>
      <c r="D700" s="55" t="s">
        <v>184</v>
      </c>
      <c r="E700" s="55"/>
      <c r="F700" s="55" t="s">
        <v>218</v>
      </c>
      <c r="G700" s="56" t="n">
        <v>956</v>
      </c>
      <c r="H700" s="57" t="n">
        <f aca="false">MAX(0,IF(AND(Parameter!$B$21="Ja",ISNUMBER(Y700)),Y700,IF(Parameter!$B$20="Jahresanfang 2025 + Export",BL700+BK700,BK700)))</f>
        <v>0</v>
      </c>
      <c r="I700" s="57" t="n">
        <f aca="false">H700*G700</f>
        <v>0</v>
      </c>
      <c r="J700" s="57" t="n">
        <f aca="false">BN700*Parameter!$B$18</f>
        <v>1</v>
      </c>
      <c r="K700" s="58" t="n">
        <v>0</v>
      </c>
      <c r="L700" s="59" t="n">
        <v>0</v>
      </c>
      <c r="M700" s="57" t="n">
        <v>0</v>
      </c>
      <c r="N700" s="57" t="n">
        <v>1</v>
      </c>
      <c r="O700" s="60" t="n">
        <v>100</v>
      </c>
      <c r="P700" s="55" t="s">
        <v>168</v>
      </c>
      <c r="Q700" s="57"/>
      <c r="R700" s="60" t="n">
        <f aca="false">IF(BT700=1,0,IFERROR(VLOOKUP(BR700,'Gebinde-Kategorie'!$A$5:$M$45,13,0)+0,0))</f>
        <v>26</v>
      </c>
      <c r="S700" s="61"/>
      <c r="T700" s="62" t="s">
        <v>275</v>
      </c>
      <c r="U700" s="62"/>
      <c r="V700" s="62"/>
      <c r="W700" s="55"/>
      <c r="X700" s="57"/>
      <c r="Y700" s="57"/>
      <c r="Z700" s="55" t="n">
        <f aca="false">IF(A700="","",IF(AND(Parameter!$B$21="Ja",ISNUMBER(W700)),W700,IF(BV700="2+3",IF(ISNUMBER(SEARCH("grosser Artikel",BO700)),2,IFERROR(VLOOKUP(BR700,Parameter!$F$35:$G$64,2,0),2)),IF(OR(BV700="Nein",BV700=""),"-",BV700))))</f>
        <v>3</v>
      </c>
      <c r="AA700" s="62"/>
      <c r="AB700" s="63"/>
      <c r="AC700" s="57" t="n">
        <f aca="false">AR700</f>
        <v>20</v>
      </c>
      <c r="AD700" s="57" t="n">
        <f aca="false">MAX(AR700,H700)</f>
        <v>20</v>
      </c>
      <c r="AE700" s="64"/>
      <c r="AF700" s="57" t="n">
        <f aca="false">IF(LEFT(Cockpit!$C$5,1)="A",H700,IF(CA700=1,CB700,IF(LEFT(Cockpit!$C$5,1)="B",AJ700,MAX(AJ700,H700))))</f>
        <v>0</v>
      </c>
      <c r="AG700" s="57" t="n">
        <f aca="false">IF(BT700=1,0,ROUNDUP(AF700/BS700,0))</f>
        <v>0</v>
      </c>
      <c r="AH700" s="59" t="n">
        <f aca="false">IF(CH700&gt;0,CH700*MAX(1,AF700/X700),IF(BT700=1,IF(AF700&lt;=0,0,BW700*MAX(1,IF(H700&gt;0,AF700/H700,1))),IF(R700&gt;0,AG700/R700,0))/MAX(0.1,N(Parameter!$M$21)))</f>
        <v>0</v>
      </c>
      <c r="AI700" s="57" t="n">
        <f aca="false">AF700*G700</f>
        <v>0</v>
      </c>
      <c r="AJ700" s="57" t="n">
        <f aca="false">ROUNDUP(MAX(J700/IF(BZ700&gt;0,BZ700,MAX(0.1,N(Cockpit!$C$6))),CC700)/BS700,0)*BS700</f>
        <v>20</v>
      </c>
      <c r="AK700" s="58" t="n">
        <f aca="false">IF(AH700&gt;0,J700/AH700,-1)</f>
        <v>-1</v>
      </c>
      <c r="AL700" s="58" t="str">
        <f aca="false">IF(AND(OR(BY700="L1",BY700="L23"),AH700&gt;0),SUMIFS($AH$7:$AH$1843,$BY$7:$BY$1843,BY700,$AK$7:$AK$1843,"&gt;"&amp;AK700)+SUMIFS($AH$7:$AH$1843,$BY$7:$BY$1843,BY700,$AK$7:$AK$1843,AK700,$BQ$7:$BQ$1843,"&lt;="&amp;BQ700),"")</f>
        <v/>
      </c>
      <c r="AM700" s="65" t="n">
        <f aca="false">IF(AL700="",0,MAX(0,MIN(1,(IF(BY700="L1",Parameter!$E$5,Parameter!$E$6+Parameter!$E$7)-(AL700-AH700))/AH700)))</f>
        <v>0</v>
      </c>
      <c r="AN700" s="57" t="n">
        <f aca="false">IF(LEFT(Cockpit!$I$5,1)="A",H700,IF(CA700=1,CB700,IF(LEFT(Cockpit!$I$5,1)="B",AR700,MAX(AR700,H700))))</f>
        <v>20</v>
      </c>
      <c r="AO700" s="57" t="n">
        <f aca="false">IF(BT700=1,0,ROUNDUP(AN700/BS700,0))</f>
        <v>1</v>
      </c>
      <c r="AP700" s="59" t="n">
        <f aca="false">IF(CH700&gt;0,CH700*MAX(1,AN700/X700),IF(BT700=1,IF(AN700&lt;=0,0,BW700*MAX(1,IF(H700&gt;0,AN700/H700,1))),IF(R700&gt;0,AO700/R700,0))/MAX(0.1,N(Parameter!$M$21)))</f>
        <v>0.0384615384615385</v>
      </c>
      <c r="AQ700" s="57" t="n">
        <f aca="false">AN700*G700</f>
        <v>19120</v>
      </c>
      <c r="AR700" s="57" t="n">
        <f aca="false">ROUNDUP(MAX(J700/IF(BZ700&gt;0,BZ700,MAX(0.1,N(Cockpit!$I$6))),CC700)/BS700,0)*BS700</f>
        <v>20</v>
      </c>
      <c r="AS700" s="58" t="n">
        <f aca="false">IF(AP700&gt;0,J700/AP700,-1)</f>
        <v>26</v>
      </c>
      <c r="AT700" s="58" t="n">
        <f aca="false">IF(AND(OR(BY700="L1",BY700="L23"),AP700&gt;0),SUMIFS($AP$7:$AP$1843,$BY$7:$BY$1843,BY700,$AS$7:$AS$1843,"&gt;"&amp;AS700)+SUMIFS($AP$7:$AP$1843,$BY$7:$BY$1843,BY700,$AS$7:$AS$1843,AS700,$BQ$7:$BQ$1843,"&lt;="&amp;BQ700),"")</f>
        <v>73.5956386608561</v>
      </c>
      <c r="AU700" s="65" t="n">
        <f aca="false">IF(AT700="",0,MAX(0,MIN(1,(IF(BY700="L1",Parameter!$E$5,Parameter!$E$6+Parameter!$E$7)-(AT700-AP700))/AP700)))</f>
        <v>1</v>
      </c>
      <c r="AV700" s="57" t="n">
        <f aca="false">IF(LEFT(Cockpit!$O$5,1)="A",H700,IF(CA700=1,CB700,IF(LEFT(Cockpit!$O$5,1)="B",AZ700,MAX(AZ700,H700))))</f>
        <v>20</v>
      </c>
      <c r="AW700" s="57" t="n">
        <f aca="false">IF(BT700=1,0,ROUNDUP(AV700/BS700,0))</f>
        <v>1</v>
      </c>
      <c r="AX700" s="59" t="n">
        <f aca="false">IF(CH700&gt;0,CH700*MAX(1,AV700/X700),IF(BT700=1,IF(AV700&lt;=0,0,BW700*MAX(1,IF(H700&gt;0,AV700/H700,1))),IF(R700&gt;0,AW700/R700,0))/MAX(0.1,N(Parameter!$M$21)))</f>
        <v>0.0384615384615385</v>
      </c>
      <c r="AY700" s="57" t="n">
        <f aca="false">AV700*G700</f>
        <v>19120</v>
      </c>
      <c r="AZ700" s="57" t="n">
        <f aca="false">ROUNDUP(MAX(J700/IF(BZ700&gt;0,BZ700,MAX(0.1,N(Cockpit!$O$6))),CC700)/BS700,0)*BS700</f>
        <v>20</v>
      </c>
      <c r="BA700" s="58" t="n">
        <f aca="false">IF(AX700&gt;0,J700/AX700,-1)</f>
        <v>26</v>
      </c>
      <c r="BB700" s="58" t="n">
        <f aca="false">IF(AND(OR(BY700="L1",BY700="L23"),AX700&gt;0),SUMIFS($AX$7:$AX$1843,$BY$7:$BY$1843,BY700,$BA$7:$BA$1843,"&gt;"&amp;BA700)+SUMIFS($AX$7:$AX$1843,$BY$7:$BY$1843,BY700,$BA$7:$BA$1843,BA700,$BQ$7:$BQ$1843,"&lt;="&amp;BQ700),"")</f>
        <v>69.0921421573596</v>
      </c>
      <c r="BC700" s="65" t="n">
        <f aca="false">IF(BB700="",0,MAX(0,MIN(1,(IF(BY700="L1",Parameter!$E$5,Parameter!$E$6+Parameter!$E$7)-(BB700-AX700))/AX700)))</f>
        <v>1</v>
      </c>
      <c r="BD700" s="55" t="str">
        <f aca="false">IF(AH700&lt;=0,"",IF(BY700="Aussen","Aussenlager",IF(BY700="-","Nicht im Lift",IF(AM700&gt;=1,"Lift",IF(AM700&lt;=0,"Aussenlager","teilweise")))))</f>
        <v/>
      </c>
      <c r="BE700" s="55" t="str">
        <f aca="false">IF(AP700&lt;=0,"",IF(BY700="Aussen","Aussenlager",IF(BY700="-","Nicht im Lift",IF(AU700&gt;=1,"Lift",IF(AU700&lt;=0,"Aussenlager","teilweise")))))</f>
        <v>Lift</v>
      </c>
      <c r="BF700" s="55" t="str">
        <f aca="false">IF(AX700&lt;=0,"",IF(BY700="Aussen","Aussenlager",IF(BY700="-","Nicht im Lift",IF(BC700&gt;=1,"Lift",IF(BC700&lt;=0,"Aussenlager","teilweise")))))</f>
        <v>Lift</v>
      </c>
      <c r="BG700" s="55" t="str">
        <f aca="false">IF(A700="","",IF(BP700=1,"Neu; ","")&amp;IF(AND(BP700=0,BK700&lt;0),"negativer Bestand (Export "&amp;BK700&amp;"); ","")&amp;IF(J700&lt;=0,"Kein Verbrauch; ","")&amp;IF(CH700&gt;0,"Lift "&amp;W700&amp;" lt. Liftbericht (Fach "&amp;X700&amp;" Stk); ",IF(BU700=1,"Gebinde geschätzt ("&amp;T700&amp;"); ",IF(BT700=1,"Lose – Tablare geschätzt; ","")))&amp;IF(H700&gt;AR700,"Überbestand "&amp;ROUND(H700-AR700,0)&amp;" Stk / CHF "&amp;ROUND((H700-AR700)*G700,0)&amp;"; ","")&amp;IF(AND(CA700=1,CB700&lt;CC700),"MAX &lt; MB+LG; ","")&amp;IF(AND(CG700&gt;0,CF700*10&gt;CG700),"zu hoch für Tablar; ","")&amp;IF(AND(BP700=0,OR(CA700=1,AA700&lt;&gt;"",U700&lt;&gt;"",V700&lt;&gt;"",AB700&lt;&gt;"")),"manuell übersteuert; ","")&amp;IF(AND(BT700=0,R700=0),"Gebinde unbekannt / Stellmass fehlt; ","")&amp;IF(AND(BT700=0,N(V700)&lt;=0,N(Q700)&lt;=0),"Menge pro Gebinde fehlt (Ist = 1 Gebinde); ","")&amp;BO700)</f>
        <v>Gebinde geschätzt (Klein); Menge pro Gebinde fehlt (Ist = 1 Gebinde); </v>
      </c>
      <c r="BH700" s="55"/>
      <c r="BI700" s="55"/>
      <c r="BJ700" s="62"/>
      <c r="BK700" s="57" t="n">
        <v>0</v>
      </c>
      <c r="BL700" s="57" t="n">
        <v>0</v>
      </c>
      <c r="BM700" s="56" t="n">
        <v>0</v>
      </c>
      <c r="BN700" s="57" t="n">
        <v>1</v>
      </c>
      <c r="BO700" s="55"/>
      <c r="BP700" s="60" t="n">
        <v>0</v>
      </c>
      <c r="BQ700" s="60" t="n">
        <v>700</v>
      </c>
      <c r="BR700" s="55" t="str">
        <f aca="false">IF(U700&lt;&gt;"",UPPER(TRIM(U700)),IF(BU700=1,UPPER(VLOOKUP(T700,Parameter!$I$27:$K$29,2,0)),IF(P700="","LOSE",P700)))</f>
        <v>S51</v>
      </c>
      <c r="BS700" s="57" t="n">
        <f aca="false">IF(BR700="LOSE",1,IF(N(V700)&gt;0,V700,IF(BU700=1,MAX(1,N(VLOOKUP(T700,Parameter!$I$27:$K$29,3,0)),H700,N(N700)),IF(N(Q700)&gt;0,Q700,MAX(1,H700)))))</f>
        <v>20</v>
      </c>
      <c r="BT700" s="60" t="n">
        <f aca="false">IF(BR700="LOSE",1,0)</f>
        <v>0</v>
      </c>
      <c r="BU700" s="60" t="n">
        <f aca="false">IF(AND(U700="",OR(P700="",P700="LOSE"),T700&lt;&gt;"",N(S700)&lt;=0,ISNUMBER(MATCH(T700,Parameter!$I$27:$I$29,0))),1,0)</f>
        <v>1</v>
      </c>
      <c r="BV700" s="55" t="str">
        <f aca="false">IF(AND(Parameter!$B$19="Ja",E700&lt;&gt;"",ISNUMBER(MATCH(E700,Parameter!$I$35:$I$52,0))),VLOOKUP(E700,Parameter!$I$35:$J$52,2,0),IFERROR(VLOOKUP(D700,Parameter!$A$35:$C$64,2,0),"Nein"))</f>
        <v>2+3</v>
      </c>
      <c r="BW700" s="59" t="n">
        <f aca="false">IF(BT700=0,0,IF(N(S700)&gt;0,S700,IFERROR(VLOOKUP(D700,Parameter!$A$35:$C$64,3,0)+0,0)))</f>
        <v>0</v>
      </c>
      <c r="BX700" s="55" t="n">
        <f aca="false">IF(AA700&lt;&gt;"",AA700,Z700)</f>
        <v>3</v>
      </c>
      <c r="BY700" s="55" t="str">
        <f aca="false">IF(BX700=1,"L1",IF(OR(BX700=2,BX700=3),"L23",IF(BX700="Aussen","Aussen","-")))</f>
        <v>L23</v>
      </c>
      <c r="BZ700" s="66" t="n">
        <f aca="false">IF(N(AB700)&gt;0,AB700,0)</f>
        <v>0</v>
      </c>
      <c r="CA700" s="60" t="n">
        <f aca="false">IF(ISNUMBER(AE700),1,0)</f>
        <v>0</v>
      </c>
      <c r="CB700" s="57" t="n">
        <f aca="false">N(AE700)</f>
        <v>0</v>
      </c>
      <c r="CC700" s="57" t="n">
        <f aca="false">N(M700)+N(N700)</f>
        <v>1</v>
      </c>
      <c r="CD700" s="57" t="n">
        <f aca="false">ROUNDUP(H700/BS700,0)</f>
        <v>0</v>
      </c>
      <c r="CE700" s="57" t="n">
        <f aca="false">ROUNDUP(CB700/BS700,0)</f>
        <v>0</v>
      </c>
      <c r="CF700" s="60" t="n">
        <f aca="false">IF(BT700=1,0,IFERROR(VLOOKUP(BR700,'Gebinde-Kategorie'!$A$5:$M$45,5,0)+0,0))</f>
        <v>11</v>
      </c>
      <c r="CG700" s="60" t="n">
        <f aca="false">IFERROR(IF(OR(BX700=1,BX700=2,BX700=3),N(INDEX(Parameter!$I$5:$I$7,BX700)),0),0)</f>
        <v>0</v>
      </c>
      <c r="CH700" s="59" t="n">
        <f aca="false">IF(AND(Parameter!$B$21="Ja",ISNUMBER(W700),N(X700)&gt;0),IFERROR(N(INDEX(Parameter!$L$5:$L$7,W700))*INDEX(Parameter!$E$5:$E$7,W700)*X700/SUMIFS($X$7:$X$1843,$W$7:$W$1843,W700),0),0)</f>
        <v>0</v>
      </c>
    </row>
    <row r="701" customFormat="false" ht="15" hidden="false" customHeight="false" outlineLevel="0" collapsed="false">
      <c r="A701" s="55" t="s">
        <v>1400</v>
      </c>
      <c r="B701" s="55" t="s">
        <v>1401</v>
      </c>
      <c r="C701" s="55" t="s">
        <v>164</v>
      </c>
      <c r="D701" s="55" t="s">
        <v>173</v>
      </c>
      <c r="E701" s="55" t="s">
        <v>185</v>
      </c>
      <c r="F701" s="55" t="s">
        <v>218</v>
      </c>
      <c r="G701" s="56" t="n">
        <v>79.13</v>
      </c>
      <c r="H701" s="57" t="n">
        <f aca="false">MAX(0,IF(AND(Parameter!$B$21="Ja",ISNUMBER(Y701)),Y701,IF(Parameter!$B$20="Jahresanfang 2025 + Export",BL701+BK701,BK701)))</f>
        <v>13</v>
      </c>
      <c r="I701" s="57" t="n">
        <f aca="false">H701*G701</f>
        <v>1028.69</v>
      </c>
      <c r="J701" s="57" t="n">
        <f aca="false">BN701*Parameter!$B$18</f>
        <v>1</v>
      </c>
      <c r="K701" s="58" t="n">
        <v>12.5</v>
      </c>
      <c r="L701" s="59" t="n">
        <v>0.08</v>
      </c>
      <c r="M701" s="57" t="n">
        <v>0</v>
      </c>
      <c r="N701" s="57" t="n">
        <v>1</v>
      </c>
      <c r="O701" s="60" t="n">
        <v>14</v>
      </c>
      <c r="P701" s="55" t="s">
        <v>174</v>
      </c>
      <c r="Q701" s="57" t="n">
        <v>4</v>
      </c>
      <c r="R701" s="60" t="n">
        <f aca="false">IF(BT701=1,0,IFERROR(VLOOKUP(BR701,'Gebinde-Kategorie'!$A$5:$M$45,13,0)+0,0))</f>
        <v>6</v>
      </c>
      <c r="S701" s="61"/>
      <c r="T701" s="62"/>
      <c r="U701" s="62"/>
      <c r="V701" s="62"/>
      <c r="W701" s="55"/>
      <c r="X701" s="57"/>
      <c r="Y701" s="57"/>
      <c r="Z701" s="55" t="n">
        <f aca="false">IF(A701="","",IF(AND(Parameter!$B$21="Ja",ISNUMBER(W701)),W701,IF(BV701="2+3",IF(ISNUMBER(SEARCH("grosser Artikel",BO701)),2,IFERROR(VLOOKUP(BR701,Parameter!$F$35:$G$64,2,0),2)),IF(OR(BV701="Nein",BV701=""),"-",BV701))))</f>
        <v>2</v>
      </c>
      <c r="AA701" s="62"/>
      <c r="AB701" s="63"/>
      <c r="AC701" s="57" t="n">
        <f aca="false">AR701</f>
        <v>4</v>
      </c>
      <c r="AD701" s="57" t="n">
        <f aca="false">MAX(AR701,H701)</f>
        <v>13</v>
      </c>
      <c r="AE701" s="64"/>
      <c r="AF701" s="57" t="n">
        <f aca="false">IF(LEFT(Cockpit!$C$5,1)="A",H701,IF(CA701=1,CB701,IF(LEFT(Cockpit!$C$5,1)="B",AJ701,MAX(AJ701,H701))))</f>
        <v>13</v>
      </c>
      <c r="AG701" s="57" t="n">
        <f aca="false">IF(BT701=1,0,ROUNDUP(AF701/BS701,0))</f>
        <v>4</v>
      </c>
      <c r="AH701" s="59" t="n">
        <f aca="false">IF(CH701&gt;0,CH701*MAX(1,AF701/X701),IF(BT701=1,IF(AF701&lt;=0,0,BW701*MAX(1,IF(H701&gt;0,AF701/H701,1))),IF(R701&gt;0,AG701/R701,0))/MAX(0.1,N(Parameter!$M$21)))</f>
        <v>0.666666666666667</v>
      </c>
      <c r="AI701" s="57" t="n">
        <f aca="false">AF701*G701</f>
        <v>1028.69</v>
      </c>
      <c r="AJ701" s="57" t="n">
        <f aca="false">ROUNDUP(MAX(J701/IF(BZ701&gt;0,BZ701,MAX(0.1,N(Cockpit!$C$6))),CC701)/BS701,0)*BS701</f>
        <v>4</v>
      </c>
      <c r="AK701" s="58" t="n">
        <f aca="false">IF(AH701&gt;0,J701/AH701,-1)</f>
        <v>1.5</v>
      </c>
      <c r="AL701" s="58" t="n">
        <f aca="false">IF(AND(OR(BY701="L1",BY701="L23"),AH701&gt;0),SUMIFS($AH$7:$AH$1843,$BY$7:$BY$1843,BY701,$AK$7:$AK$1843,"&gt;"&amp;AK701)+SUMIFS($AH$7:$AH$1843,$BY$7:$BY$1843,BY701,$AK$7:$AK$1843,AK701,$BQ$7:$BQ$1843,"&lt;="&amp;BQ701),"")</f>
        <v>60.6586939630418</v>
      </c>
      <c r="AM701" s="65" t="n">
        <f aca="false">IF(AL701="",0,MAX(0,MIN(1,(IF(BY701="L1",Parameter!$E$5,Parameter!$E$6+Parameter!$E$7)-(AL701-AH701))/AH701)))</f>
        <v>1</v>
      </c>
      <c r="AN701" s="57" t="n">
        <f aca="false">IF(LEFT(Cockpit!$I$5,1)="A",H701,IF(CA701=1,CB701,IF(LEFT(Cockpit!$I$5,1)="B",AR701,MAX(AR701,H701))))</f>
        <v>13</v>
      </c>
      <c r="AO701" s="57" t="n">
        <f aca="false">IF(BT701=1,0,ROUNDUP(AN701/BS701,0))</f>
        <v>4</v>
      </c>
      <c r="AP701" s="59" t="n">
        <f aca="false">IF(CH701&gt;0,CH701*MAX(1,AN701/X701),IF(BT701=1,IF(AN701&lt;=0,0,BW701*MAX(1,IF(H701&gt;0,AN701/H701,1))),IF(R701&gt;0,AO701/R701,0))/MAX(0.1,N(Parameter!$M$21)))</f>
        <v>0.666666666666667</v>
      </c>
      <c r="AQ701" s="57" t="n">
        <f aca="false">AN701*G701</f>
        <v>1028.69</v>
      </c>
      <c r="AR701" s="57" t="n">
        <f aca="false">ROUNDUP(MAX(J701/IF(BZ701&gt;0,BZ701,MAX(0.1,N(Cockpit!$I$6))),CC701)/BS701,0)*BS701</f>
        <v>4</v>
      </c>
      <c r="AS701" s="58" t="n">
        <f aca="false">IF(AP701&gt;0,J701/AP701,-1)</f>
        <v>1.5</v>
      </c>
      <c r="AT701" s="58" t="n">
        <f aca="false">IF(AND(OR(BY701="L1",BY701="L23"),AP701&gt;0),SUMIFS($AP$7:$AP$1843,$BY$7:$BY$1843,BY701,$AS$7:$AS$1843,"&gt;"&amp;AS701)+SUMIFS($AP$7:$AP$1843,$BY$7:$BY$1843,BY701,$AS$7:$AS$1843,AS701,$BQ$7:$BQ$1843,"&lt;="&amp;BQ701),"")</f>
        <v>99.7494848147022</v>
      </c>
      <c r="AU701" s="65" t="n">
        <f aca="false">IF(AT701="",0,MAX(0,MIN(1,(IF(BY701="L1",Parameter!$E$5,Parameter!$E$6+Parameter!$E$7)-(AT701-AP701))/AP701)))</f>
        <v>1</v>
      </c>
      <c r="AV701" s="57" t="n">
        <f aca="false">IF(LEFT(Cockpit!$O$5,1)="A",H701,IF(CA701=1,CB701,IF(LEFT(Cockpit!$O$5,1)="B",AZ701,MAX(AZ701,H701))))</f>
        <v>13</v>
      </c>
      <c r="AW701" s="57" t="n">
        <f aca="false">IF(BT701=1,0,ROUNDUP(AV701/BS701,0))</f>
        <v>4</v>
      </c>
      <c r="AX701" s="59" t="n">
        <f aca="false">IF(CH701&gt;0,CH701*MAX(1,AV701/X701),IF(BT701=1,IF(AV701&lt;=0,0,BW701*MAX(1,IF(H701&gt;0,AV701/H701,1))),IF(R701&gt;0,AW701/R701,0))/MAX(0.1,N(Parameter!$M$21)))</f>
        <v>0.666666666666667</v>
      </c>
      <c r="AY701" s="57" t="n">
        <f aca="false">AV701*G701</f>
        <v>1028.69</v>
      </c>
      <c r="AZ701" s="57" t="n">
        <f aca="false">ROUNDUP(MAX(J701/IF(BZ701&gt;0,BZ701,MAX(0.1,N(Cockpit!$O$6))),CC701)/BS701,0)*BS701</f>
        <v>4</v>
      </c>
      <c r="BA701" s="58" t="n">
        <f aca="false">IF(AX701&gt;0,J701/AX701,-1)</f>
        <v>1.5</v>
      </c>
      <c r="BB701" s="58" t="n">
        <f aca="false">IF(AND(OR(BY701="L1",BY701="L23"),AX701&gt;0),SUMIFS($AX$7:$AX$1843,$BY$7:$BY$1843,BY701,$BA$7:$BA$1843,"&gt;"&amp;BA701)+SUMIFS($AX$7:$AX$1843,$BY$7:$BY$1843,BY701,$BA$7:$BA$1843,BA701,$BQ$7:$BQ$1843,"&lt;="&amp;BQ701),"")</f>
        <v>90.579321644539</v>
      </c>
      <c r="BC701" s="65" t="n">
        <f aca="false">IF(BB701="",0,MAX(0,MIN(1,(IF(BY701="L1",Parameter!$E$5,Parameter!$E$6+Parameter!$E$7)-(BB701-AX701))/AX701)))</f>
        <v>1</v>
      </c>
      <c r="BD701" s="55" t="str">
        <f aca="false">IF(AH701&lt;=0,"",IF(BY701="Aussen","Aussenlager",IF(BY701="-","Nicht im Lift",IF(AM701&gt;=1,"Lift",IF(AM701&lt;=0,"Aussenlager","teilweise")))))</f>
        <v>Lift</v>
      </c>
      <c r="BE701" s="55" t="str">
        <f aca="false">IF(AP701&lt;=0,"",IF(BY701="Aussen","Aussenlager",IF(BY701="-","Nicht im Lift",IF(AU701&gt;=1,"Lift",IF(AU701&lt;=0,"Aussenlager","teilweise")))))</f>
        <v>Lift</v>
      </c>
      <c r="BF701" s="55" t="str">
        <f aca="false">IF(AX701&lt;=0,"",IF(BY701="Aussen","Aussenlager",IF(BY701="-","Nicht im Lift",IF(BC701&gt;=1,"Lift",IF(BC701&lt;=0,"Aussenlager","teilweise")))))</f>
        <v>Lift</v>
      </c>
      <c r="BG701" s="55" t="str">
        <f aca="false">IF(A701="","",IF(BP701=1,"Neu; ","")&amp;IF(AND(BP701=0,BK701&lt;0),"negativer Bestand (Export "&amp;BK701&amp;"); ","")&amp;IF(J701&lt;=0,"Kein Verbrauch; ","")&amp;IF(CH701&gt;0,"Lift "&amp;W701&amp;" lt. Liftbericht (Fach "&amp;X701&amp;" Stk); ",IF(BU701=1,"Gebinde geschätzt ("&amp;T701&amp;"); ",IF(BT701=1,"Lose – Tablare geschätzt; ","")))&amp;IF(H701&gt;AR701,"Überbestand "&amp;ROUND(H701-AR701,0)&amp;" Stk / CHF "&amp;ROUND((H701-AR701)*G701,0)&amp;"; ","")&amp;IF(AND(CA701=1,CB701&lt;CC701),"MAX &lt; MB+LG; ","")&amp;IF(AND(CG701&gt;0,CF701*10&gt;CG701),"zu hoch für Tablar; ","")&amp;IF(AND(BP701=0,OR(CA701=1,AA701&lt;&gt;"",U701&lt;&gt;"",V701&lt;&gt;"",AB701&lt;&gt;"")),"manuell übersteuert; ","")&amp;IF(AND(BT701=0,R701=0),"Gebinde unbekannt / Stellmass fehlt; ","")&amp;IF(AND(BT701=0,N(V701)&lt;=0,N(Q701)&lt;=0),"Menge pro Gebinde fehlt (Ist = 1 Gebinde); ","")&amp;BO701)</f>
        <v>Überbestand 9 Stk / CHF 712; grosser Artikel &amp; nicht im KTL</v>
      </c>
      <c r="BH701" s="55"/>
      <c r="BI701" s="55"/>
      <c r="BJ701" s="62"/>
      <c r="BK701" s="57" t="n">
        <v>0</v>
      </c>
      <c r="BL701" s="57" t="n">
        <v>13</v>
      </c>
      <c r="BM701" s="56" t="n">
        <v>0</v>
      </c>
      <c r="BN701" s="57" t="n">
        <v>1</v>
      </c>
      <c r="BO701" s="55" t="s">
        <v>261</v>
      </c>
      <c r="BP701" s="60" t="n">
        <v>0</v>
      </c>
      <c r="BQ701" s="60" t="n">
        <v>701</v>
      </c>
      <c r="BR701" s="55" t="str">
        <f aca="false">IF(U701&lt;&gt;"",UPPER(TRIM(U701)),IF(BU701=1,UPPER(VLOOKUP(T701,Parameter!$I$27:$K$29,2,0)),IF(P701="","LOSE",P701)))</f>
        <v>S71</v>
      </c>
      <c r="BS701" s="57" t="n">
        <f aca="false">IF(BR701="LOSE",1,IF(N(V701)&gt;0,V701,IF(BU701=1,MAX(1,N(VLOOKUP(T701,Parameter!$I$27:$K$29,3,0)),H701,N(N701)),IF(N(Q701)&gt;0,Q701,MAX(1,H701)))))</f>
        <v>4</v>
      </c>
      <c r="BT701" s="60" t="n">
        <f aca="false">IF(BR701="LOSE",1,0)</f>
        <v>0</v>
      </c>
      <c r="BU701" s="60" t="n">
        <f aca="false">IF(AND(U701="",OR(P701="",P701="LOSE"),T701&lt;&gt;"",N(S701)&lt;=0,ISNUMBER(MATCH(T701,Parameter!$I$27:$I$29,0))),1,0)</f>
        <v>0</v>
      </c>
      <c r="BV701" s="55" t="str">
        <f aca="false">IF(AND(Parameter!$B$19="Ja",E701&lt;&gt;"",ISNUMBER(MATCH(E701,Parameter!$I$35:$I$52,0))),VLOOKUP(E701,Parameter!$I$35:$J$52,2,0),IFERROR(VLOOKUP(D701,Parameter!$A$35:$C$64,2,0),"Nein"))</f>
        <v>2+3</v>
      </c>
      <c r="BW701" s="59" t="n">
        <f aca="false">IF(BT701=0,0,IF(N(S701)&gt;0,S701,IFERROR(VLOOKUP(D701,Parameter!$A$35:$C$64,3,0)+0,0)))</f>
        <v>0</v>
      </c>
      <c r="BX701" s="55" t="n">
        <f aca="false">IF(AA701&lt;&gt;"",AA701,Z701)</f>
        <v>2</v>
      </c>
      <c r="BY701" s="55" t="str">
        <f aca="false">IF(BX701=1,"L1",IF(OR(BX701=2,BX701=3),"L23",IF(BX701="Aussen","Aussen","-")))</f>
        <v>L23</v>
      </c>
      <c r="BZ701" s="66" t="n">
        <f aca="false">IF(N(AB701)&gt;0,AB701,0)</f>
        <v>0</v>
      </c>
      <c r="CA701" s="60" t="n">
        <f aca="false">IF(ISNUMBER(AE701),1,0)</f>
        <v>0</v>
      </c>
      <c r="CB701" s="57" t="n">
        <f aca="false">N(AE701)</f>
        <v>0</v>
      </c>
      <c r="CC701" s="57" t="n">
        <f aca="false">N(M701)+N(N701)</f>
        <v>1</v>
      </c>
      <c r="CD701" s="57" t="n">
        <f aca="false">ROUNDUP(H701/BS701,0)</f>
        <v>4</v>
      </c>
      <c r="CE701" s="57" t="n">
        <f aca="false">ROUNDUP(CB701/BS701,0)</f>
        <v>0</v>
      </c>
      <c r="CF701" s="60" t="n">
        <f aca="false">IF(BT701=1,0,IFERROR(VLOOKUP(BR701,'Gebinde-Kategorie'!$A$5:$M$45,5,0)+0,0))</f>
        <v>20</v>
      </c>
      <c r="CG701" s="60" t="n">
        <f aca="false">IFERROR(IF(OR(BX701=1,BX701=2,BX701=3),N(INDEX(Parameter!$I$5:$I$7,BX701)),0),0)</f>
        <v>0</v>
      </c>
      <c r="CH701" s="59" t="n">
        <f aca="false">IF(AND(Parameter!$B$21="Ja",ISNUMBER(W701),N(X701)&gt;0),IFERROR(N(INDEX(Parameter!$L$5:$L$7,W701))*INDEX(Parameter!$E$5:$E$7,W701)*X701/SUMIFS($X$7:$X$1843,$W$7:$W$1843,W701),0),0)</f>
        <v>0</v>
      </c>
    </row>
    <row r="702" customFormat="false" ht="15" hidden="false" customHeight="false" outlineLevel="0" collapsed="false">
      <c r="A702" s="55" t="s">
        <v>1402</v>
      </c>
      <c r="B702" s="55" t="s">
        <v>1403</v>
      </c>
      <c r="C702" s="55" t="s">
        <v>164</v>
      </c>
      <c r="D702" s="55" t="s">
        <v>184</v>
      </c>
      <c r="E702" s="55"/>
      <c r="F702" s="55" t="s">
        <v>218</v>
      </c>
      <c r="G702" s="56" t="n">
        <v>293</v>
      </c>
      <c r="H702" s="57" t="n">
        <f aca="false">MAX(0,IF(AND(Parameter!$B$21="Ja",ISNUMBER(Y702)),Y702,IF(Parameter!$B$20="Jahresanfang 2025 + Export",BL702+BK702,BK702)))</f>
        <v>0</v>
      </c>
      <c r="I702" s="57" t="n">
        <f aca="false">H702*G702</f>
        <v>0</v>
      </c>
      <c r="J702" s="57" t="n">
        <f aca="false">BN702*Parameter!$B$18</f>
        <v>3</v>
      </c>
      <c r="K702" s="58" t="n">
        <v>0</v>
      </c>
      <c r="L702" s="59" t="n">
        <v>0</v>
      </c>
      <c r="M702" s="57" t="n">
        <v>0</v>
      </c>
      <c r="N702" s="57" t="n">
        <v>5</v>
      </c>
      <c r="O702" s="60" t="n">
        <v>112</v>
      </c>
      <c r="P702" s="55" t="s">
        <v>168</v>
      </c>
      <c r="Q702" s="57"/>
      <c r="R702" s="60" t="n">
        <f aca="false">IF(BT702=1,0,IFERROR(VLOOKUP(BR702,'Gebinde-Kategorie'!$A$5:$M$45,13,0)+0,0))</f>
        <v>26</v>
      </c>
      <c r="S702" s="61"/>
      <c r="T702" s="62" t="s">
        <v>275</v>
      </c>
      <c r="U702" s="62"/>
      <c r="V702" s="62"/>
      <c r="W702" s="55"/>
      <c r="X702" s="57"/>
      <c r="Y702" s="57"/>
      <c r="Z702" s="55" t="n">
        <f aca="false">IF(A702="","",IF(AND(Parameter!$B$21="Ja",ISNUMBER(W702)),W702,IF(BV702="2+3",IF(ISNUMBER(SEARCH("grosser Artikel",BO702)),2,IFERROR(VLOOKUP(BR702,Parameter!$F$35:$G$64,2,0),2)),IF(OR(BV702="Nein",BV702=""),"-",BV702))))</f>
        <v>3</v>
      </c>
      <c r="AA702" s="62"/>
      <c r="AB702" s="63"/>
      <c r="AC702" s="57" t="n">
        <f aca="false">AR702</f>
        <v>20</v>
      </c>
      <c r="AD702" s="57" t="n">
        <f aca="false">MAX(AR702,H702)</f>
        <v>20</v>
      </c>
      <c r="AE702" s="64"/>
      <c r="AF702" s="57" t="n">
        <f aca="false">IF(LEFT(Cockpit!$C$5,1)="A",H702,IF(CA702=1,CB702,IF(LEFT(Cockpit!$C$5,1)="B",AJ702,MAX(AJ702,H702))))</f>
        <v>0</v>
      </c>
      <c r="AG702" s="57" t="n">
        <f aca="false">IF(BT702=1,0,ROUNDUP(AF702/BS702,0))</f>
        <v>0</v>
      </c>
      <c r="AH702" s="59" t="n">
        <f aca="false">IF(CH702&gt;0,CH702*MAX(1,AF702/X702),IF(BT702=1,IF(AF702&lt;=0,0,BW702*MAX(1,IF(H702&gt;0,AF702/H702,1))),IF(R702&gt;0,AG702/R702,0))/MAX(0.1,N(Parameter!$M$21)))</f>
        <v>0</v>
      </c>
      <c r="AI702" s="57" t="n">
        <f aca="false">AF702*G702</f>
        <v>0</v>
      </c>
      <c r="AJ702" s="57" t="n">
        <f aca="false">ROUNDUP(MAX(J702/IF(BZ702&gt;0,BZ702,MAX(0.1,N(Cockpit!$C$6))),CC702)/BS702,0)*BS702</f>
        <v>20</v>
      </c>
      <c r="AK702" s="58" t="n">
        <f aca="false">IF(AH702&gt;0,J702/AH702,-1)</f>
        <v>-1</v>
      </c>
      <c r="AL702" s="58" t="str">
        <f aca="false">IF(AND(OR(BY702="L1",BY702="L23"),AH702&gt;0),SUMIFS($AH$7:$AH$1843,$BY$7:$BY$1843,BY702,$AK$7:$AK$1843,"&gt;"&amp;AK702)+SUMIFS($AH$7:$AH$1843,$BY$7:$BY$1843,BY702,$AK$7:$AK$1843,AK702,$BQ$7:$BQ$1843,"&lt;="&amp;BQ702),"")</f>
        <v/>
      </c>
      <c r="AM702" s="65" t="n">
        <f aca="false">IF(AL702="",0,MAX(0,MIN(1,(IF(BY702="L1",Parameter!$E$5,Parameter!$E$6+Parameter!$E$7)-(AL702-AH702))/AH702)))</f>
        <v>0</v>
      </c>
      <c r="AN702" s="57" t="n">
        <f aca="false">IF(LEFT(Cockpit!$I$5,1)="A",H702,IF(CA702=1,CB702,IF(LEFT(Cockpit!$I$5,1)="B",AR702,MAX(AR702,H702))))</f>
        <v>20</v>
      </c>
      <c r="AO702" s="57" t="n">
        <f aca="false">IF(BT702=1,0,ROUNDUP(AN702/BS702,0))</f>
        <v>1</v>
      </c>
      <c r="AP702" s="59" t="n">
        <f aca="false">IF(CH702&gt;0,CH702*MAX(1,AN702/X702),IF(BT702=1,IF(AN702&lt;=0,0,BW702*MAX(1,IF(H702&gt;0,AN702/H702,1))),IF(R702&gt;0,AO702/R702,0))/MAX(0.1,N(Parameter!$M$21)))</f>
        <v>0.0384615384615385</v>
      </c>
      <c r="AQ702" s="57" t="n">
        <f aca="false">AN702*G702</f>
        <v>5860</v>
      </c>
      <c r="AR702" s="57" t="n">
        <f aca="false">ROUNDUP(MAX(J702/IF(BZ702&gt;0,BZ702,MAX(0.1,N(Cockpit!$I$6))),CC702)/BS702,0)*BS702</f>
        <v>20</v>
      </c>
      <c r="AS702" s="58" t="n">
        <f aca="false">IF(AP702&gt;0,J702/AP702,-1)</f>
        <v>78</v>
      </c>
      <c r="AT702" s="58" t="n">
        <f aca="false">IF(AND(OR(BY702="L1",BY702="L23"),AP702&gt;0),SUMIFS($AP$7:$AP$1843,$BY$7:$BY$1843,BY702,$AS$7:$AS$1843,"&gt;"&amp;AS702)+SUMIFS($AP$7:$AP$1843,$BY$7:$BY$1843,BY702,$AS$7:$AS$1843,AS702,$BQ$7:$BQ$1843,"&lt;="&amp;BQ702),"")</f>
        <v>63.4371305023479</v>
      </c>
      <c r="AU702" s="65" t="n">
        <f aca="false">IF(AT702="",0,MAX(0,MIN(1,(IF(BY702="L1",Parameter!$E$5,Parameter!$E$6+Parameter!$E$7)-(AT702-AP702))/AP702)))</f>
        <v>1</v>
      </c>
      <c r="AV702" s="57" t="n">
        <f aca="false">IF(LEFT(Cockpit!$O$5,1)="A",H702,IF(CA702=1,CB702,IF(LEFT(Cockpit!$O$5,1)="B",AZ702,MAX(AZ702,H702))))</f>
        <v>20</v>
      </c>
      <c r="AW702" s="57" t="n">
        <f aca="false">IF(BT702=1,0,ROUNDUP(AV702/BS702,0))</f>
        <v>1</v>
      </c>
      <c r="AX702" s="59" t="n">
        <f aca="false">IF(CH702&gt;0,CH702*MAX(1,AV702/X702),IF(BT702=1,IF(AV702&lt;=0,0,BW702*MAX(1,IF(H702&gt;0,AV702/H702,1))),IF(R702&gt;0,AW702/R702,0))/MAX(0.1,N(Parameter!$M$21)))</f>
        <v>0.0384615384615385</v>
      </c>
      <c r="AY702" s="57" t="n">
        <f aca="false">AV702*G702</f>
        <v>5860</v>
      </c>
      <c r="AZ702" s="57" t="n">
        <f aca="false">ROUNDUP(MAX(J702/IF(BZ702&gt;0,BZ702,MAX(0.1,N(Cockpit!$O$6))),CC702)/BS702,0)*BS702</f>
        <v>20</v>
      </c>
      <c r="BA702" s="58" t="n">
        <f aca="false">IF(AX702&gt;0,J702/AX702,-1)</f>
        <v>78</v>
      </c>
      <c r="BB702" s="58" t="n">
        <f aca="false">IF(AND(OR(BY702="L1",BY702="L23"),AX702&gt;0),SUMIFS($AX$7:$AX$1843,$BY$7:$BY$1843,BY702,$BA$7:$BA$1843,"&gt;"&amp;BA702)+SUMIFS($AX$7:$AX$1843,$BY$7:$BY$1843,BY702,$BA$7:$BA$1843,BA702,$BQ$7:$BQ$1843,"&lt;="&amp;BQ702),"")</f>
        <v>57.9336339988514</v>
      </c>
      <c r="BC702" s="65" t="n">
        <f aca="false">IF(BB702="",0,MAX(0,MIN(1,(IF(BY702="L1",Parameter!$E$5,Parameter!$E$6+Parameter!$E$7)-(BB702-AX702))/AX702)))</f>
        <v>1</v>
      </c>
      <c r="BD702" s="55" t="str">
        <f aca="false">IF(AH702&lt;=0,"",IF(BY702="Aussen","Aussenlager",IF(BY702="-","Nicht im Lift",IF(AM702&gt;=1,"Lift",IF(AM702&lt;=0,"Aussenlager","teilweise")))))</f>
        <v/>
      </c>
      <c r="BE702" s="55" t="str">
        <f aca="false">IF(AP702&lt;=0,"",IF(BY702="Aussen","Aussenlager",IF(BY702="-","Nicht im Lift",IF(AU702&gt;=1,"Lift",IF(AU702&lt;=0,"Aussenlager","teilweise")))))</f>
        <v>Lift</v>
      </c>
      <c r="BF702" s="55" t="str">
        <f aca="false">IF(AX702&lt;=0,"",IF(BY702="Aussen","Aussenlager",IF(BY702="-","Nicht im Lift",IF(BC702&gt;=1,"Lift",IF(BC702&lt;=0,"Aussenlager","teilweise")))))</f>
        <v>Lift</v>
      </c>
      <c r="BG702" s="55" t="str">
        <f aca="false">IF(A702="","",IF(BP702=1,"Neu; ","")&amp;IF(AND(BP702=0,BK702&lt;0),"negativer Bestand (Export "&amp;BK702&amp;"); ","")&amp;IF(J702&lt;=0,"Kein Verbrauch; ","")&amp;IF(CH702&gt;0,"Lift "&amp;W702&amp;" lt. Liftbericht (Fach "&amp;X702&amp;" Stk); ",IF(BU702=1,"Gebinde geschätzt ("&amp;T702&amp;"); ",IF(BT702=1,"Lose – Tablare geschätzt; ","")))&amp;IF(H702&gt;AR702,"Überbestand "&amp;ROUND(H702-AR702,0)&amp;" Stk / CHF "&amp;ROUND((H702-AR702)*G702,0)&amp;"; ","")&amp;IF(AND(CA702=1,CB702&lt;CC702),"MAX &lt; MB+LG; ","")&amp;IF(AND(CG702&gt;0,CF702*10&gt;CG702),"zu hoch für Tablar; ","")&amp;IF(AND(BP702=0,OR(CA702=1,AA702&lt;&gt;"",U702&lt;&gt;"",V702&lt;&gt;"",AB702&lt;&gt;"")),"manuell übersteuert; ","")&amp;IF(AND(BT702=0,R702=0),"Gebinde unbekannt / Stellmass fehlt; ","")&amp;IF(AND(BT702=0,N(V702)&lt;=0,N(Q702)&lt;=0),"Menge pro Gebinde fehlt (Ist = 1 Gebinde); ","")&amp;BO702)</f>
        <v>Gebinde geschätzt (Klein); Menge pro Gebinde fehlt (Ist = 1 Gebinde); </v>
      </c>
      <c r="BH702" s="55"/>
      <c r="BI702" s="55"/>
      <c r="BJ702" s="62"/>
      <c r="BK702" s="57" t="n">
        <v>0</v>
      </c>
      <c r="BL702" s="57" t="n">
        <v>0</v>
      </c>
      <c r="BM702" s="56" t="n">
        <v>0</v>
      </c>
      <c r="BN702" s="57" t="n">
        <v>3</v>
      </c>
      <c r="BO702" s="55"/>
      <c r="BP702" s="60" t="n">
        <v>0</v>
      </c>
      <c r="BQ702" s="60" t="n">
        <v>702</v>
      </c>
      <c r="BR702" s="55" t="str">
        <f aca="false">IF(U702&lt;&gt;"",UPPER(TRIM(U702)),IF(BU702=1,UPPER(VLOOKUP(T702,Parameter!$I$27:$K$29,2,0)),IF(P702="","LOSE",P702)))</f>
        <v>S51</v>
      </c>
      <c r="BS702" s="57" t="n">
        <f aca="false">IF(BR702="LOSE",1,IF(N(V702)&gt;0,V702,IF(BU702=1,MAX(1,N(VLOOKUP(T702,Parameter!$I$27:$K$29,3,0)),H702,N(N702)),IF(N(Q702)&gt;0,Q702,MAX(1,H702)))))</f>
        <v>20</v>
      </c>
      <c r="BT702" s="60" t="n">
        <f aca="false">IF(BR702="LOSE",1,0)</f>
        <v>0</v>
      </c>
      <c r="BU702" s="60" t="n">
        <f aca="false">IF(AND(U702="",OR(P702="",P702="LOSE"),T702&lt;&gt;"",N(S702)&lt;=0,ISNUMBER(MATCH(T702,Parameter!$I$27:$I$29,0))),1,0)</f>
        <v>1</v>
      </c>
      <c r="BV702" s="55" t="str">
        <f aca="false">IF(AND(Parameter!$B$19="Ja",E702&lt;&gt;"",ISNUMBER(MATCH(E702,Parameter!$I$35:$I$52,0))),VLOOKUP(E702,Parameter!$I$35:$J$52,2,0),IFERROR(VLOOKUP(D702,Parameter!$A$35:$C$64,2,0),"Nein"))</f>
        <v>2+3</v>
      </c>
      <c r="BW702" s="59" t="n">
        <f aca="false">IF(BT702=0,0,IF(N(S702)&gt;0,S702,IFERROR(VLOOKUP(D702,Parameter!$A$35:$C$64,3,0)+0,0)))</f>
        <v>0</v>
      </c>
      <c r="BX702" s="55" t="n">
        <f aca="false">IF(AA702&lt;&gt;"",AA702,Z702)</f>
        <v>3</v>
      </c>
      <c r="BY702" s="55" t="str">
        <f aca="false">IF(BX702=1,"L1",IF(OR(BX702=2,BX702=3),"L23",IF(BX702="Aussen","Aussen","-")))</f>
        <v>L23</v>
      </c>
      <c r="BZ702" s="66" t="n">
        <f aca="false">IF(N(AB702)&gt;0,AB702,0)</f>
        <v>0</v>
      </c>
      <c r="CA702" s="60" t="n">
        <f aca="false">IF(ISNUMBER(AE702),1,0)</f>
        <v>0</v>
      </c>
      <c r="CB702" s="57" t="n">
        <f aca="false">N(AE702)</f>
        <v>0</v>
      </c>
      <c r="CC702" s="57" t="n">
        <f aca="false">N(M702)+N(N702)</f>
        <v>5</v>
      </c>
      <c r="CD702" s="57" t="n">
        <f aca="false">ROUNDUP(H702/BS702,0)</f>
        <v>0</v>
      </c>
      <c r="CE702" s="57" t="n">
        <f aca="false">ROUNDUP(CB702/BS702,0)</f>
        <v>0</v>
      </c>
      <c r="CF702" s="60" t="n">
        <f aca="false">IF(BT702=1,0,IFERROR(VLOOKUP(BR702,'Gebinde-Kategorie'!$A$5:$M$45,5,0)+0,0))</f>
        <v>11</v>
      </c>
      <c r="CG702" s="60" t="n">
        <f aca="false">IFERROR(IF(OR(BX702=1,BX702=2,BX702=3),N(INDEX(Parameter!$I$5:$I$7,BX702)),0),0)</f>
        <v>0</v>
      </c>
      <c r="CH702" s="59" t="n">
        <f aca="false">IF(AND(Parameter!$B$21="Ja",ISNUMBER(W702),N(X702)&gt;0),IFERROR(N(INDEX(Parameter!$L$5:$L$7,W702))*INDEX(Parameter!$E$5:$E$7,W702)*X702/SUMIFS($X$7:$X$1843,$W$7:$W$1843,W702),0),0)</f>
        <v>0</v>
      </c>
    </row>
    <row r="703" customFormat="false" ht="15" hidden="false" customHeight="false" outlineLevel="0" collapsed="false">
      <c r="A703" s="55" t="s">
        <v>1404</v>
      </c>
      <c r="B703" s="55" t="s">
        <v>544</v>
      </c>
      <c r="C703" s="55" t="s">
        <v>164</v>
      </c>
      <c r="D703" s="55" t="s">
        <v>995</v>
      </c>
      <c r="E703" s="55" t="s">
        <v>185</v>
      </c>
      <c r="F703" s="55" t="s">
        <v>218</v>
      </c>
      <c r="G703" s="56" t="n">
        <v>27.2</v>
      </c>
      <c r="H703" s="57" t="n">
        <f aca="false">MAX(0,IF(AND(Parameter!$B$21="Ja",ISNUMBER(Y703)),Y703,IF(Parameter!$B$20="Jahresanfang 2025 + Export",BL703+BK703,BK703)))</f>
        <v>14</v>
      </c>
      <c r="I703" s="57" t="n">
        <f aca="false">H703*G703</f>
        <v>380.8</v>
      </c>
      <c r="J703" s="57" t="n">
        <f aca="false">BN703*Parameter!$B$18</f>
        <v>0</v>
      </c>
      <c r="K703" s="58" t="n">
        <v>17</v>
      </c>
      <c r="L703" s="59" t="n">
        <v>0</v>
      </c>
      <c r="M703" s="57" t="n">
        <v>0</v>
      </c>
      <c r="N703" s="57" t="n">
        <v>1</v>
      </c>
      <c r="O703" s="60" t="n">
        <v>21</v>
      </c>
      <c r="P703" s="55" t="s">
        <v>168</v>
      </c>
      <c r="Q703" s="57"/>
      <c r="R703" s="60" t="n">
        <f aca="false">IF(BT703=1,0,IFERROR(VLOOKUP(BR703,'Gebinde-Kategorie'!$A$5:$M$45,13,0)+0,0))</f>
        <v>12</v>
      </c>
      <c r="S703" s="61"/>
      <c r="T703" s="62" t="s">
        <v>179</v>
      </c>
      <c r="U703" s="62"/>
      <c r="V703" s="62"/>
      <c r="W703" s="55"/>
      <c r="X703" s="57"/>
      <c r="Y703" s="57"/>
      <c r="Z703" s="55" t="n">
        <f aca="false">IF(A703="","",IF(AND(Parameter!$B$21="Ja",ISNUMBER(W703)),W703,IF(BV703="2+3",IF(ISNUMBER(SEARCH("grosser Artikel",BO703)),2,IFERROR(VLOOKUP(BR703,Parameter!$F$35:$G$64,2,0),2)),IF(OR(BV703="Nein",BV703=""),"-",BV703))))</f>
        <v>2</v>
      </c>
      <c r="AA703" s="62"/>
      <c r="AB703" s="63"/>
      <c r="AC703" s="57" t="n">
        <f aca="false">AR703</f>
        <v>14</v>
      </c>
      <c r="AD703" s="57" t="n">
        <f aca="false">MAX(AR703,H703)</f>
        <v>14</v>
      </c>
      <c r="AE703" s="64"/>
      <c r="AF703" s="57" t="n">
        <f aca="false">IF(LEFT(Cockpit!$C$5,1)="A",H703,IF(CA703=1,CB703,IF(LEFT(Cockpit!$C$5,1)="B",AJ703,MAX(AJ703,H703))))</f>
        <v>14</v>
      </c>
      <c r="AG703" s="57" t="n">
        <f aca="false">IF(BT703=1,0,ROUNDUP(AF703/BS703,0))</f>
        <v>1</v>
      </c>
      <c r="AH703" s="59" t="n">
        <f aca="false">IF(CH703&gt;0,CH703*MAX(1,AF703/X703),IF(BT703=1,IF(AF703&lt;=0,0,BW703*MAX(1,IF(H703&gt;0,AF703/H703,1))),IF(R703&gt;0,AG703/R703,0))/MAX(0.1,N(Parameter!$M$21)))</f>
        <v>0.0833333333333333</v>
      </c>
      <c r="AI703" s="57" t="n">
        <f aca="false">AF703*G703</f>
        <v>380.8</v>
      </c>
      <c r="AJ703" s="57" t="n">
        <f aca="false">ROUNDUP(MAX(J703/IF(BZ703&gt;0,BZ703,MAX(0.1,N(Cockpit!$C$6))),CC703)/BS703,0)*BS703</f>
        <v>14</v>
      </c>
      <c r="AK703" s="58" t="n">
        <f aca="false">IF(AH703&gt;0,J703/AH703,-1)</f>
        <v>0</v>
      </c>
      <c r="AL703" s="58" t="n">
        <f aca="false">IF(AND(OR(BY703="L1",BY703="L23"),AH703&gt;0),SUMIFS($AH$7:$AH$1843,$BY$7:$BY$1843,BY703,$AK$7:$AK$1843,"&gt;"&amp;AK703)+SUMIFS($AH$7:$AH$1843,$BY$7:$BY$1843,BY703,$AK$7:$AK$1843,AK703,$BQ$7:$BQ$1843,"&lt;="&amp;BQ703),"")</f>
        <v>76.7811222593831</v>
      </c>
      <c r="AM703" s="65" t="n">
        <f aca="false">IF(AL703="",0,MAX(0,MIN(1,(IF(BY703="L1",Parameter!$E$5,Parameter!$E$6+Parameter!$E$7)-(AL703-AH703))/AH703)))</f>
        <v>1</v>
      </c>
      <c r="AN703" s="57" t="n">
        <f aca="false">IF(LEFT(Cockpit!$I$5,1)="A",H703,IF(CA703=1,CB703,IF(LEFT(Cockpit!$I$5,1)="B",AR703,MAX(AR703,H703))))</f>
        <v>14</v>
      </c>
      <c r="AO703" s="57" t="n">
        <f aca="false">IF(BT703=1,0,ROUNDUP(AN703/BS703,0))</f>
        <v>1</v>
      </c>
      <c r="AP703" s="59" t="n">
        <f aca="false">IF(CH703&gt;0,CH703*MAX(1,AN703/X703),IF(BT703=1,IF(AN703&lt;=0,0,BW703*MAX(1,IF(H703&gt;0,AN703/H703,1))),IF(R703&gt;0,AO703/R703,0))/MAX(0.1,N(Parameter!$M$21)))</f>
        <v>0.0833333333333333</v>
      </c>
      <c r="AQ703" s="57" t="n">
        <f aca="false">AN703*G703</f>
        <v>380.8</v>
      </c>
      <c r="AR703" s="57" t="n">
        <f aca="false">ROUNDUP(MAX(J703/IF(BZ703&gt;0,BZ703,MAX(0.1,N(Cockpit!$I$6))),CC703)/BS703,0)*BS703</f>
        <v>14</v>
      </c>
      <c r="AS703" s="58" t="n">
        <f aca="false">IF(AP703&gt;0,J703/AP703,-1)</f>
        <v>0</v>
      </c>
      <c r="AT703" s="58" t="n">
        <f aca="false">IF(AND(OR(BY703="L1",BY703="L23"),AP703&gt;0),SUMIFS($AP$7:$AP$1843,$BY$7:$BY$1843,BY703,$AS$7:$AS$1843,"&gt;"&amp;AS703)+SUMIFS($AP$7:$AP$1843,$BY$7:$BY$1843,BY703,$AS$7:$AS$1843,AS703,$BQ$7:$BQ$1843,"&lt;="&amp;BQ703),"")</f>
        <v>116.496123441776</v>
      </c>
      <c r="AU703" s="65" t="n">
        <f aca="false">IF(AT703="",0,MAX(0,MIN(1,(IF(BY703="L1",Parameter!$E$5,Parameter!$E$6+Parameter!$E$7)-(AT703-AP703))/AP703)))</f>
        <v>0</v>
      </c>
      <c r="AV703" s="57" t="n">
        <f aca="false">IF(LEFT(Cockpit!$O$5,1)="A",H703,IF(CA703=1,CB703,IF(LEFT(Cockpit!$O$5,1)="B",AZ703,MAX(AZ703,H703))))</f>
        <v>14</v>
      </c>
      <c r="AW703" s="57" t="n">
        <f aca="false">IF(BT703=1,0,ROUNDUP(AV703/BS703,0))</f>
        <v>1</v>
      </c>
      <c r="AX703" s="59" t="n">
        <f aca="false">IF(CH703&gt;0,CH703*MAX(1,AV703/X703),IF(BT703=1,IF(AV703&lt;=0,0,BW703*MAX(1,IF(H703&gt;0,AV703/H703,1))),IF(R703&gt;0,AW703/R703,0))/MAX(0.1,N(Parameter!$M$21)))</f>
        <v>0.0833333333333333</v>
      </c>
      <c r="AY703" s="57" t="n">
        <f aca="false">AV703*G703</f>
        <v>380.8</v>
      </c>
      <c r="AZ703" s="57" t="n">
        <f aca="false">ROUNDUP(MAX(J703/IF(BZ703&gt;0,BZ703,MAX(0.1,N(Cockpit!$O$6))),CC703)/BS703,0)*BS703</f>
        <v>14</v>
      </c>
      <c r="BA703" s="58" t="n">
        <f aca="false">IF(AX703&gt;0,J703/AX703,-1)</f>
        <v>0</v>
      </c>
      <c r="BB703" s="58" t="n">
        <f aca="false">IF(AND(OR(BY703="L1",BY703="L23"),AX703&gt;0),SUMIFS($AX$7:$AX$1843,$BY$7:$BY$1843,BY703,$BA$7:$BA$1843,"&gt;"&amp;BA703)+SUMIFS($AX$7:$AX$1843,$BY$7:$BY$1843,BY703,$BA$7:$BA$1843,BA703,$BQ$7:$BQ$1843,"&lt;="&amp;BQ703),"")</f>
        <v>107.325960271612</v>
      </c>
      <c r="BC703" s="65" t="n">
        <f aca="false">IF(BB703="",0,MAX(0,MIN(1,(IF(BY703="L1",Parameter!$E$5,Parameter!$E$6+Parameter!$E$7)-(BB703-AX703))/AX703)))</f>
        <v>0</v>
      </c>
      <c r="BD703" s="55" t="str">
        <f aca="false">IF(AH703&lt;=0,"",IF(BY703="Aussen","Aussenlager",IF(BY703="-","Nicht im Lift",IF(AM703&gt;=1,"Lift",IF(AM703&lt;=0,"Aussenlager","teilweise")))))</f>
        <v>Lift</v>
      </c>
      <c r="BE703" s="55" t="str">
        <f aca="false">IF(AP703&lt;=0,"",IF(BY703="Aussen","Aussenlager",IF(BY703="-","Nicht im Lift",IF(AU703&gt;=1,"Lift",IF(AU703&lt;=0,"Aussenlager","teilweise")))))</f>
        <v>Aussenlager</v>
      </c>
      <c r="BF703" s="55" t="str">
        <f aca="false">IF(AX703&lt;=0,"",IF(BY703="Aussen","Aussenlager",IF(BY703="-","Nicht im Lift",IF(BC703&gt;=1,"Lift",IF(BC703&lt;=0,"Aussenlager","teilweise")))))</f>
        <v>Aussenlager</v>
      </c>
      <c r="BG703" s="55" t="str">
        <f aca="false">IF(A703="","",IF(BP703=1,"Neu; ","")&amp;IF(AND(BP703=0,BK703&lt;0),"negativer Bestand (Export "&amp;BK703&amp;"); ","")&amp;IF(J703&lt;=0,"Kein Verbrauch; ","")&amp;IF(CH703&gt;0,"Lift "&amp;W703&amp;" lt. Liftbericht (Fach "&amp;X703&amp;" Stk); ",IF(BU703=1,"Gebinde geschätzt ("&amp;T703&amp;"); ",IF(BT703=1,"Lose – Tablare geschätzt; ","")))&amp;IF(H703&gt;AR703,"Überbestand "&amp;ROUND(H703-AR703,0)&amp;" Stk / CHF "&amp;ROUND((H703-AR703)*G703,0)&amp;"; ","")&amp;IF(AND(CA703=1,CB703&lt;CC703),"MAX &lt; MB+LG; ","")&amp;IF(AND(CG703&gt;0,CF703*10&gt;CG703),"zu hoch für Tablar; ","")&amp;IF(AND(BP703=0,OR(CA703=1,AA703&lt;&gt;"",U703&lt;&gt;"",V703&lt;&gt;"",AB703&lt;&gt;"")),"manuell übersteuert; ","")&amp;IF(AND(BT703=0,R703=0),"Gebinde unbekannt / Stellmass fehlt; ","")&amp;IF(AND(BT703=0,N(V703)&lt;=0,N(Q703)&lt;=0),"Menge pro Gebinde fehlt (Ist = 1 Gebinde); ","")&amp;BO703)</f>
        <v>Kein Verbrauch; Gebinde geschätzt (Mittel); Menge pro Gebinde fehlt (Ist = 1 Gebinde); Neu; gehört nicht ins KTL</v>
      </c>
      <c r="BH703" s="55"/>
      <c r="BI703" s="55"/>
      <c r="BJ703" s="62"/>
      <c r="BK703" s="57" t="n">
        <v>0</v>
      </c>
      <c r="BL703" s="57" t="n">
        <v>14</v>
      </c>
      <c r="BM703" s="56" t="n">
        <v>0</v>
      </c>
      <c r="BN703" s="57" t="n">
        <v>0</v>
      </c>
      <c r="BO703" s="55" t="s">
        <v>1405</v>
      </c>
      <c r="BP703" s="60" t="n">
        <v>0</v>
      </c>
      <c r="BQ703" s="60" t="n">
        <v>703</v>
      </c>
      <c r="BR703" s="55" t="str">
        <f aca="false">IF(U703&lt;&gt;"",UPPER(TRIM(U703)),IF(BU703=1,UPPER(VLOOKUP(T703,Parameter!$I$27:$K$29,2,0)),IF(P703="","LOSE",P703)))</f>
        <v>S61</v>
      </c>
      <c r="BS703" s="57" t="n">
        <f aca="false">IF(BR703="LOSE",1,IF(N(V703)&gt;0,V703,IF(BU703=1,MAX(1,N(VLOOKUP(T703,Parameter!$I$27:$K$29,3,0)),H703,N(N703)),IF(N(Q703)&gt;0,Q703,MAX(1,H703)))))</f>
        <v>14</v>
      </c>
      <c r="BT703" s="60" t="n">
        <f aca="false">IF(BR703="LOSE",1,0)</f>
        <v>0</v>
      </c>
      <c r="BU703" s="60" t="n">
        <f aca="false">IF(AND(U703="",OR(P703="",P703="LOSE"),T703&lt;&gt;"",N(S703)&lt;=0,ISNUMBER(MATCH(T703,Parameter!$I$27:$I$29,0))),1,0)</f>
        <v>1</v>
      </c>
      <c r="BV703" s="55" t="str">
        <f aca="false">IF(AND(Parameter!$B$19="Ja",E703&lt;&gt;"",ISNUMBER(MATCH(E703,Parameter!$I$35:$I$52,0))),VLOOKUP(E703,Parameter!$I$35:$J$52,2,0),IFERROR(VLOOKUP(D703,Parameter!$A$35:$C$64,2,0),"Nein"))</f>
        <v>2+3</v>
      </c>
      <c r="BW703" s="59" t="n">
        <f aca="false">IF(BT703=0,0,IF(N(S703)&gt;0,S703,IFERROR(VLOOKUP(D703,Parameter!$A$35:$C$64,3,0)+0,0)))</f>
        <v>0</v>
      </c>
      <c r="BX703" s="55" t="n">
        <f aca="false">IF(AA703&lt;&gt;"",AA703,Z703)</f>
        <v>2</v>
      </c>
      <c r="BY703" s="55" t="str">
        <f aca="false">IF(BX703=1,"L1",IF(OR(BX703=2,BX703=3),"L23",IF(BX703="Aussen","Aussen","-")))</f>
        <v>L23</v>
      </c>
      <c r="BZ703" s="66" t="n">
        <f aca="false">IF(N(AB703)&gt;0,AB703,0)</f>
        <v>0</v>
      </c>
      <c r="CA703" s="60" t="n">
        <f aca="false">IF(ISNUMBER(AE703),1,0)</f>
        <v>0</v>
      </c>
      <c r="CB703" s="57" t="n">
        <f aca="false">N(AE703)</f>
        <v>0</v>
      </c>
      <c r="CC703" s="57" t="n">
        <f aca="false">N(M703)+N(N703)</f>
        <v>1</v>
      </c>
      <c r="CD703" s="57" t="n">
        <f aca="false">ROUNDUP(H703/BS703,0)</f>
        <v>1</v>
      </c>
      <c r="CE703" s="57" t="n">
        <f aca="false">ROUNDUP(CB703/BS703,0)</f>
        <v>0</v>
      </c>
      <c r="CF703" s="60" t="n">
        <f aca="false">IF(BT703=1,0,IFERROR(VLOOKUP(BR703,'Gebinde-Kategorie'!$A$5:$M$45,5,0)+0,0))</f>
        <v>11</v>
      </c>
      <c r="CG703" s="60" t="n">
        <f aca="false">IFERROR(IF(OR(BX703=1,BX703=2,BX703=3),N(INDEX(Parameter!$I$5:$I$7,BX703)),0),0)</f>
        <v>0</v>
      </c>
      <c r="CH703" s="59" t="n">
        <f aca="false">IF(AND(Parameter!$B$21="Ja",ISNUMBER(W703),N(X703)&gt;0),IFERROR(N(INDEX(Parameter!$L$5:$L$7,W703))*INDEX(Parameter!$E$5:$E$7,W703)*X703/SUMIFS($X$7:$X$1843,$W$7:$W$1843,W703),0),0)</f>
        <v>0</v>
      </c>
    </row>
    <row r="704" customFormat="false" ht="15" hidden="false" customHeight="false" outlineLevel="0" collapsed="false">
      <c r="A704" s="55" t="s">
        <v>1406</v>
      </c>
      <c r="B704" s="55" t="s">
        <v>1407</v>
      </c>
      <c r="C704" s="55" t="s">
        <v>164</v>
      </c>
      <c r="D704" s="55" t="s">
        <v>173</v>
      </c>
      <c r="E704" s="55" t="s">
        <v>1408</v>
      </c>
      <c r="F704" s="55" t="s">
        <v>218</v>
      </c>
      <c r="G704" s="56" t="n">
        <v>629.85</v>
      </c>
      <c r="H704" s="57" t="n">
        <f aca="false">MAX(0,IF(AND(Parameter!$B$21="Ja",ISNUMBER(Y704)),Y704,IF(Parameter!$B$20="Jahresanfang 2025 + Export",BL704+BK704,BK704)))</f>
        <v>0</v>
      </c>
      <c r="I704" s="57" t="n">
        <f aca="false">H704*G704</f>
        <v>0</v>
      </c>
      <c r="J704" s="57" t="n">
        <f aca="false">BN704*Parameter!$B$18</f>
        <v>0</v>
      </c>
      <c r="K704" s="58" t="n">
        <v>0</v>
      </c>
      <c r="L704" s="59" t="n">
        <v>0</v>
      </c>
      <c r="M704" s="57" t="n">
        <v>0</v>
      </c>
      <c r="N704" s="57" t="n">
        <v>1</v>
      </c>
      <c r="O704" s="60" t="n">
        <v>14</v>
      </c>
      <c r="P704" s="55" t="s">
        <v>168</v>
      </c>
      <c r="Q704" s="57"/>
      <c r="R704" s="60" t="n">
        <f aca="false">IF(BT704=1,0,IFERROR(VLOOKUP(BR704,'Gebinde-Kategorie'!$A$5:$M$45,13,0)+0,0))</f>
        <v>3</v>
      </c>
      <c r="S704" s="61"/>
      <c r="T704" s="62" t="s">
        <v>189</v>
      </c>
      <c r="U704" s="62"/>
      <c r="V704" s="62"/>
      <c r="W704" s="55"/>
      <c r="X704" s="57"/>
      <c r="Y704" s="57"/>
      <c r="Z704" s="55" t="str">
        <f aca="false">IF(A704="","",IF(AND(Parameter!$B$21="Ja",ISNUMBER(W704)),W704,IF(BV704="2+3",IF(ISNUMBER(SEARCH("grosser Artikel",BO704)),2,IFERROR(VLOOKUP(BR704,Parameter!$F$35:$G$64,2,0),2)),IF(OR(BV704="Nein",BV704=""),"-",BV704))))</f>
        <v>-</v>
      </c>
      <c r="AA704" s="62"/>
      <c r="AB704" s="63"/>
      <c r="AC704" s="57" t="n">
        <f aca="false">AR704</f>
        <v>2</v>
      </c>
      <c r="AD704" s="57" t="n">
        <f aca="false">MAX(AR704,H704)</f>
        <v>2</v>
      </c>
      <c r="AE704" s="64"/>
      <c r="AF704" s="57" t="n">
        <f aca="false">IF(LEFT(Cockpit!$C$5,1)="A",H704,IF(CA704=1,CB704,IF(LEFT(Cockpit!$C$5,1)="B",AJ704,MAX(AJ704,H704))))</f>
        <v>0</v>
      </c>
      <c r="AG704" s="57" t="n">
        <f aca="false">IF(BT704=1,0,ROUNDUP(AF704/BS704,0))</f>
        <v>0</v>
      </c>
      <c r="AH704" s="59" t="n">
        <f aca="false">IF(CH704&gt;0,CH704*MAX(1,AF704/X704),IF(BT704=1,IF(AF704&lt;=0,0,BW704*MAX(1,IF(H704&gt;0,AF704/H704,1))),IF(R704&gt;0,AG704/R704,0))/MAX(0.1,N(Parameter!$M$21)))</f>
        <v>0</v>
      </c>
      <c r="AI704" s="57" t="n">
        <f aca="false">AF704*G704</f>
        <v>0</v>
      </c>
      <c r="AJ704" s="57" t="n">
        <f aca="false">ROUNDUP(MAX(J704/IF(BZ704&gt;0,BZ704,MAX(0.1,N(Cockpit!$C$6))),CC704)/BS704,0)*BS704</f>
        <v>2</v>
      </c>
      <c r="AK704" s="58" t="n">
        <f aca="false">IF(AH704&gt;0,J704/AH704,-1)</f>
        <v>-1</v>
      </c>
      <c r="AL704" s="58" t="str">
        <f aca="false">IF(AND(OR(BY704="L1",BY704="L23"),AH704&gt;0),SUMIFS($AH$7:$AH$1843,$BY$7:$BY$1843,BY704,$AK$7:$AK$1843,"&gt;"&amp;AK704)+SUMIFS($AH$7:$AH$1843,$BY$7:$BY$1843,BY704,$AK$7:$AK$1843,AK704,$BQ$7:$BQ$1843,"&lt;="&amp;BQ704),"")</f>
        <v/>
      </c>
      <c r="AM704" s="65" t="n">
        <f aca="false">IF(AL704="",0,MAX(0,MIN(1,(IF(BY704="L1",Parameter!$E$5,Parameter!$E$6+Parameter!$E$7)-(AL704-AH704))/AH704)))</f>
        <v>0</v>
      </c>
      <c r="AN704" s="57" t="n">
        <f aca="false">IF(LEFT(Cockpit!$I$5,1)="A",H704,IF(CA704=1,CB704,IF(LEFT(Cockpit!$I$5,1)="B",AR704,MAX(AR704,H704))))</f>
        <v>2</v>
      </c>
      <c r="AO704" s="57" t="n">
        <f aca="false">IF(BT704=1,0,ROUNDUP(AN704/BS704,0))</f>
        <v>1</v>
      </c>
      <c r="AP704" s="59" t="n">
        <f aca="false">IF(CH704&gt;0,CH704*MAX(1,AN704/X704),IF(BT704=1,IF(AN704&lt;=0,0,BW704*MAX(1,IF(H704&gt;0,AN704/H704,1))),IF(R704&gt;0,AO704/R704,0))/MAX(0.1,N(Parameter!$M$21)))</f>
        <v>0.333333333333333</v>
      </c>
      <c r="AQ704" s="57" t="n">
        <f aca="false">AN704*G704</f>
        <v>1259.7</v>
      </c>
      <c r="AR704" s="57" t="n">
        <f aca="false">ROUNDUP(MAX(J704/IF(BZ704&gt;0,BZ704,MAX(0.1,N(Cockpit!$I$6))),CC704)/BS704,0)*BS704</f>
        <v>2</v>
      </c>
      <c r="AS704" s="58" t="n">
        <f aca="false">IF(AP704&gt;0,J704/AP704,-1)</f>
        <v>0</v>
      </c>
      <c r="AT704" s="58" t="str">
        <f aca="false">IF(AND(OR(BY704="L1",BY704="L23"),AP704&gt;0),SUMIFS($AP$7:$AP$1843,$BY$7:$BY$1843,BY704,$AS$7:$AS$1843,"&gt;"&amp;AS704)+SUMIFS($AP$7:$AP$1843,$BY$7:$BY$1843,BY704,$AS$7:$AS$1843,AS704,$BQ$7:$BQ$1843,"&lt;="&amp;BQ704),"")</f>
        <v/>
      </c>
      <c r="AU704" s="65" t="n">
        <f aca="false">IF(AT704="",0,MAX(0,MIN(1,(IF(BY704="L1",Parameter!$E$5,Parameter!$E$6+Parameter!$E$7)-(AT704-AP704))/AP704)))</f>
        <v>0</v>
      </c>
      <c r="AV704" s="57" t="n">
        <f aca="false">IF(LEFT(Cockpit!$O$5,1)="A",H704,IF(CA704=1,CB704,IF(LEFT(Cockpit!$O$5,1)="B",AZ704,MAX(AZ704,H704))))</f>
        <v>2</v>
      </c>
      <c r="AW704" s="57" t="n">
        <f aca="false">IF(BT704=1,0,ROUNDUP(AV704/BS704,0))</f>
        <v>1</v>
      </c>
      <c r="AX704" s="59" t="n">
        <f aca="false">IF(CH704&gt;0,CH704*MAX(1,AV704/X704),IF(BT704=1,IF(AV704&lt;=0,0,BW704*MAX(1,IF(H704&gt;0,AV704/H704,1))),IF(R704&gt;0,AW704/R704,0))/MAX(0.1,N(Parameter!$M$21)))</f>
        <v>0.333333333333333</v>
      </c>
      <c r="AY704" s="57" t="n">
        <f aca="false">AV704*G704</f>
        <v>1259.7</v>
      </c>
      <c r="AZ704" s="57" t="n">
        <f aca="false">ROUNDUP(MAX(J704/IF(BZ704&gt;0,BZ704,MAX(0.1,N(Cockpit!$O$6))),CC704)/BS704,0)*BS704</f>
        <v>2</v>
      </c>
      <c r="BA704" s="58" t="n">
        <f aca="false">IF(AX704&gt;0,J704/AX704,-1)</f>
        <v>0</v>
      </c>
      <c r="BB704" s="58" t="str">
        <f aca="false">IF(AND(OR(BY704="L1",BY704="L23"),AX704&gt;0),SUMIFS($AX$7:$AX$1843,$BY$7:$BY$1843,BY704,$BA$7:$BA$1843,"&gt;"&amp;BA704)+SUMIFS($AX$7:$AX$1843,$BY$7:$BY$1843,BY704,$BA$7:$BA$1843,BA704,$BQ$7:$BQ$1843,"&lt;="&amp;BQ704),"")</f>
        <v/>
      </c>
      <c r="BC704" s="65" t="n">
        <f aca="false">IF(BB704="",0,MAX(0,MIN(1,(IF(BY704="L1",Parameter!$E$5,Parameter!$E$6+Parameter!$E$7)-(BB704-AX704))/AX704)))</f>
        <v>0</v>
      </c>
      <c r="BD704" s="55" t="str">
        <f aca="false">IF(AH704&lt;=0,"",IF(BY704="Aussen","Aussenlager",IF(BY704="-","Nicht im Lift",IF(AM704&gt;=1,"Lift",IF(AM704&lt;=0,"Aussenlager","teilweise")))))</f>
        <v/>
      </c>
      <c r="BE704" s="55" t="str">
        <f aca="false">IF(AP704&lt;=0,"",IF(BY704="Aussen","Aussenlager",IF(BY704="-","Nicht im Lift",IF(AU704&gt;=1,"Lift",IF(AU704&lt;=0,"Aussenlager","teilweise")))))</f>
        <v>Nicht im Lift</v>
      </c>
      <c r="BF704" s="55" t="str">
        <f aca="false">IF(AX704&lt;=0,"",IF(BY704="Aussen","Aussenlager",IF(BY704="-","Nicht im Lift",IF(BC704&gt;=1,"Lift",IF(BC704&lt;=0,"Aussenlager","teilweise")))))</f>
        <v>Nicht im Lift</v>
      </c>
      <c r="BG704" s="55" t="str">
        <f aca="false">IF(A704="","",IF(BP704=1,"Neu; ","")&amp;IF(AND(BP704=0,BK704&lt;0),"negativer Bestand (Export "&amp;BK704&amp;"); ","")&amp;IF(J704&lt;=0,"Kein Verbrauch; ","")&amp;IF(CH704&gt;0,"Lift "&amp;W704&amp;" lt. Liftbericht (Fach "&amp;X704&amp;" Stk); ",IF(BU704=1,"Gebinde geschätzt ("&amp;T704&amp;"); ",IF(BT704=1,"Lose – Tablare geschätzt; ","")))&amp;IF(H704&gt;AR704,"Überbestand "&amp;ROUND(H704-AR704,0)&amp;" Stk / CHF "&amp;ROUND((H704-AR704)*G704,0)&amp;"; ","")&amp;IF(AND(CA704=1,CB704&lt;CC704),"MAX &lt; MB+LG; ","")&amp;IF(AND(CG704&gt;0,CF704*10&gt;CG704),"zu hoch für Tablar; ","")&amp;IF(AND(BP704=0,OR(CA704=1,AA704&lt;&gt;"",U704&lt;&gt;"",V704&lt;&gt;"",AB704&lt;&gt;"")),"manuell übersteuert; ","")&amp;IF(AND(BT704=0,R704=0),"Gebinde unbekannt / Stellmass fehlt; ","")&amp;IF(AND(BT704=0,N(V704)&lt;=0,N(Q704)&lt;=0),"Menge pro Gebinde fehlt (Ist = 1 Gebinde); ","")&amp;BO704)</f>
        <v>Kein Verbrauch; Gebinde geschätzt (Gross); Menge pro Gebinde fehlt (Ist = 1 Gebinde); </v>
      </c>
      <c r="BH704" s="55"/>
      <c r="BI704" s="55"/>
      <c r="BJ704" s="62"/>
      <c r="BK704" s="57" t="n">
        <v>0</v>
      </c>
      <c r="BL704" s="57" t="n">
        <v>0</v>
      </c>
      <c r="BM704" s="56" t="n">
        <v>0</v>
      </c>
      <c r="BN704" s="57" t="n">
        <v>0</v>
      </c>
      <c r="BO704" s="55"/>
      <c r="BP704" s="60" t="n">
        <v>0</v>
      </c>
      <c r="BQ704" s="60" t="n">
        <v>704</v>
      </c>
      <c r="BR704" s="55" t="str">
        <f aca="false">IF(U704&lt;&gt;"",UPPER(TRIM(U704)),IF(BU704=1,UPPER(VLOOKUP(T704,Parameter!$I$27:$K$29,2,0)),IF(P704="","LOSE",P704)))</f>
        <v>S81</v>
      </c>
      <c r="BS704" s="57" t="n">
        <f aca="false">IF(BR704="LOSE",1,IF(N(V704)&gt;0,V704,IF(BU704=1,MAX(1,N(VLOOKUP(T704,Parameter!$I$27:$K$29,3,0)),H704,N(N704)),IF(N(Q704)&gt;0,Q704,MAX(1,H704)))))</f>
        <v>2</v>
      </c>
      <c r="BT704" s="60" t="n">
        <f aca="false">IF(BR704="LOSE",1,0)</f>
        <v>0</v>
      </c>
      <c r="BU704" s="60" t="n">
        <f aca="false">IF(AND(U704="",OR(P704="",P704="LOSE"),T704&lt;&gt;"",N(S704)&lt;=0,ISNUMBER(MATCH(T704,Parameter!$I$27:$I$29,0))),1,0)</f>
        <v>1</v>
      </c>
      <c r="BV704" s="55" t="str">
        <f aca="false">IF(AND(Parameter!$B$19="Ja",E704&lt;&gt;"",ISNUMBER(MATCH(E704,Parameter!$I$35:$I$52,0))),VLOOKUP(E704,Parameter!$I$35:$J$52,2,0),IFERROR(VLOOKUP(D704,Parameter!$A$35:$C$64,2,0),"Nein"))</f>
        <v>Nein</v>
      </c>
      <c r="BW704" s="59" t="n">
        <f aca="false">IF(BT704=0,0,IF(N(S704)&gt;0,S704,IFERROR(VLOOKUP(D704,Parameter!$A$35:$C$64,3,0)+0,0)))</f>
        <v>0</v>
      </c>
      <c r="BX704" s="55" t="str">
        <f aca="false">IF(AA704&lt;&gt;"",AA704,Z704)</f>
        <v>-</v>
      </c>
      <c r="BY704" s="55" t="str">
        <f aca="false">IF(BX704=1,"L1",IF(OR(BX704=2,BX704=3),"L23",IF(BX704="Aussen","Aussen","-")))</f>
        <v>-</v>
      </c>
      <c r="BZ704" s="66" t="n">
        <f aca="false">IF(N(AB704)&gt;0,AB704,0)</f>
        <v>0</v>
      </c>
      <c r="CA704" s="60" t="n">
        <f aca="false">IF(ISNUMBER(AE704),1,0)</f>
        <v>0</v>
      </c>
      <c r="CB704" s="57" t="n">
        <f aca="false">N(AE704)</f>
        <v>0</v>
      </c>
      <c r="CC704" s="57" t="n">
        <f aca="false">N(M704)+N(N704)</f>
        <v>1</v>
      </c>
      <c r="CD704" s="57" t="n">
        <f aca="false">ROUNDUP(H704/BS704,0)</f>
        <v>0</v>
      </c>
      <c r="CE704" s="57" t="n">
        <f aca="false">ROUNDUP(CB704/BS704,0)</f>
        <v>0</v>
      </c>
      <c r="CF704" s="60" t="n">
        <f aca="false">IF(BT704=1,0,IFERROR(VLOOKUP(BR704,'Gebinde-Kategorie'!$A$5:$M$45,5,0)+0,0))</f>
        <v>20</v>
      </c>
      <c r="CG704" s="60" t="n">
        <f aca="false">IFERROR(IF(OR(BX704=1,BX704=2,BX704=3),N(INDEX(Parameter!$I$5:$I$7,BX704)),0),0)</f>
        <v>0</v>
      </c>
      <c r="CH704" s="59" t="n">
        <f aca="false">IF(AND(Parameter!$B$21="Ja",ISNUMBER(W704),N(X704)&gt;0),IFERROR(N(INDEX(Parameter!$L$5:$L$7,W704))*INDEX(Parameter!$E$5:$E$7,W704)*X704/SUMIFS($X$7:$X$1843,$W$7:$W$1843,W704),0),0)</f>
        <v>0</v>
      </c>
    </row>
    <row r="705" customFormat="false" ht="15" hidden="false" customHeight="false" outlineLevel="0" collapsed="false">
      <c r="A705" s="55" t="s">
        <v>1409</v>
      </c>
      <c r="B705" s="55" t="s">
        <v>1410</v>
      </c>
      <c r="C705" s="55" t="s">
        <v>164</v>
      </c>
      <c r="D705" s="55" t="s">
        <v>995</v>
      </c>
      <c r="E705" s="55" t="s">
        <v>1408</v>
      </c>
      <c r="F705" s="55" t="s">
        <v>218</v>
      </c>
      <c r="G705" s="56" t="n">
        <v>12657.45</v>
      </c>
      <c r="H705" s="57" t="n">
        <f aca="false">MAX(0,IF(AND(Parameter!$B$21="Ja",ISNUMBER(Y705)),Y705,IF(Parameter!$B$20="Jahresanfang 2025 + Export",BL705+BK705,BK705)))</f>
        <v>0</v>
      </c>
      <c r="I705" s="57" t="n">
        <f aca="false">H705*G705</f>
        <v>0</v>
      </c>
      <c r="J705" s="57" t="n">
        <f aca="false">BN705*Parameter!$B$18</f>
        <v>0</v>
      </c>
      <c r="K705" s="58" t="n">
        <v>1</v>
      </c>
      <c r="L705" s="59" t="n">
        <v>0</v>
      </c>
      <c r="M705" s="57" t="n">
        <v>0</v>
      </c>
      <c r="N705" s="57" t="n">
        <v>1</v>
      </c>
      <c r="O705" s="60" t="n">
        <v>35</v>
      </c>
      <c r="P705" s="55" t="s">
        <v>168</v>
      </c>
      <c r="Q705" s="57"/>
      <c r="R705" s="60" t="n">
        <f aca="false">IF(BT705=1,0,IFERROR(VLOOKUP(BR705,'Gebinde-Kategorie'!$A$5:$M$45,13,0)+0,0))</f>
        <v>0</v>
      </c>
      <c r="S705" s="61"/>
      <c r="T705" s="62"/>
      <c r="U705" s="62"/>
      <c r="V705" s="62"/>
      <c r="W705" s="55"/>
      <c r="X705" s="57"/>
      <c r="Y705" s="57"/>
      <c r="Z705" s="55" t="str">
        <f aca="false">IF(A705="","",IF(AND(Parameter!$B$21="Ja",ISNUMBER(W705)),W705,IF(BV705="2+3",IF(ISNUMBER(SEARCH("grosser Artikel",BO705)),2,IFERROR(VLOOKUP(BR705,Parameter!$F$35:$G$64,2,0),2)),IF(OR(BV705="Nein",BV705=""),"-",BV705))))</f>
        <v>-</v>
      </c>
      <c r="AA705" s="62"/>
      <c r="AB705" s="63"/>
      <c r="AC705" s="57" t="n">
        <f aca="false">AR705</f>
        <v>1</v>
      </c>
      <c r="AD705" s="57" t="n">
        <f aca="false">MAX(AR705,H705)</f>
        <v>1</v>
      </c>
      <c r="AE705" s="64"/>
      <c r="AF705" s="57" t="n">
        <f aca="false">IF(LEFT(Cockpit!$C$5,1)="A",H705,IF(CA705=1,CB705,IF(LEFT(Cockpit!$C$5,1)="B",AJ705,MAX(AJ705,H705))))</f>
        <v>0</v>
      </c>
      <c r="AG705" s="57" t="n">
        <f aca="false">IF(BT705=1,0,ROUNDUP(AF705/BS705,0))</f>
        <v>0</v>
      </c>
      <c r="AH705" s="59" t="n">
        <f aca="false">IF(CH705&gt;0,CH705*MAX(1,AF705/X705),IF(BT705=1,IF(AF705&lt;=0,0,BW705*MAX(1,IF(H705&gt;0,AF705/H705,1))),IF(R705&gt;0,AG705/R705,0))/MAX(0.1,N(Parameter!$M$21)))</f>
        <v>0</v>
      </c>
      <c r="AI705" s="57" t="n">
        <f aca="false">AF705*G705</f>
        <v>0</v>
      </c>
      <c r="AJ705" s="57" t="n">
        <f aca="false">ROUNDUP(MAX(J705/IF(BZ705&gt;0,BZ705,MAX(0.1,N(Cockpit!$C$6))),CC705)/BS705,0)*BS705</f>
        <v>1</v>
      </c>
      <c r="AK705" s="58" t="n">
        <f aca="false">IF(AH705&gt;0,J705/AH705,-1)</f>
        <v>-1</v>
      </c>
      <c r="AL705" s="58" t="str">
        <f aca="false">IF(AND(OR(BY705="L1",BY705="L23"),AH705&gt;0),SUMIFS($AH$7:$AH$1843,$BY$7:$BY$1843,BY705,$AK$7:$AK$1843,"&gt;"&amp;AK705)+SUMIFS($AH$7:$AH$1843,$BY$7:$BY$1843,BY705,$AK$7:$AK$1843,AK705,$BQ$7:$BQ$1843,"&lt;="&amp;BQ705),"")</f>
        <v/>
      </c>
      <c r="AM705" s="65" t="n">
        <f aca="false">IF(AL705="",0,MAX(0,MIN(1,(IF(BY705="L1",Parameter!$E$5,Parameter!$E$6+Parameter!$E$7)-(AL705-AH705))/AH705)))</f>
        <v>0</v>
      </c>
      <c r="AN705" s="57" t="n">
        <f aca="false">IF(LEFT(Cockpit!$I$5,1)="A",H705,IF(CA705=1,CB705,IF(LEFT(Cockpit!$I$5,1)="B",AR705,MAX(AR705,H705))))</f>
        <v>1</v>
      </c>
      <c r="AO705" s="57" t="n">
        <f aca="false">IF(BT705=1,0,ROUNDUP(AN705/BS705,0))</f>
        <v>0</v>
      </c>
      <c r="AP705" s="59" t="n">
        <f aca="false">IF(CH705&gt;0,CH705*MAX(1,AN705/X705),IF(BT705=1,IF(AN705&lt;=0,0,BW705*MAX(1,IF(H705&gt;0,AN705/H705,1))),IF(R705&gt;0,AO705/R705,0))/MAX(0.1,N(Parameter!$M$21)))</f>
        <v>0.15</v>
      </c>
      <c r="AQ705" s="57" t="n">
        <f aca="false">AN705*G705</f>
        <v>12657.45</v>
      </c>
      <c r="AR705" s="57" t="n">
        <f aca="false">ROUNDUP(MAX(J705/IF(BZ705&gt;0,BZ705,MAX(0.1,N(Cockpit!$I$6))),CC705)/BS705,0)*BS705</f>
        <v>1</v>
      </c>
      <c r="AS705" s="58" t="n">
        <f aca="false">IF(AP705&gt;0,J705/AP705,-1)</f>
        <v>0</v>
      </c>
      <c r="AT705" s="58" t="str">
        <f aca="false">IF(AND(OR(BY705="L1",BY705="L23"),AP705&gt;0),SUMIFS($AP$7:$AP$1843,$BY$7:$BY$1843,BY705,$AS$7:$AS$1843,"&gt;"&amp;AS705)+SUMIFS($AP$7:$AP$1843,$BY$7:$BY$1843,BY705,$AS$7:$AS$1843,AS705,$BQ$7:$BQ$1843,"&lt;="&amp;BQ705),"")</f>
        <v/>
      </c>
      <c r="AU705" s="65" t="n">
        <f aca="false">IF(AT705="",0,MAX(0,MIN(1,(IF(BY705="L1",Parameter!$E$5,Parameter!$E$6+Parameter!$E$7)-(AT705-AP705))/AP705)))</f>
        <v>0</v>
      </c>
      <c r="AV705" s="57" t="n">
        <f aca="false">IF(LEFT(Cockpit!$O$5,1)="A",H705,IF(CA705=1,CB705,IF(LEFT(Cockpit!$O$5,1)="B",AZ705,MAX(AZ705,H705))))</f>
        <v>1</v>
      </c>
      <c r="AW705" s="57" t="n">
        <f aca="false">IF(BT705=1,0,ROUNDUP(AV705/BS705,0))</f>
        <v>0</v>
      </c>
      <c r="AX705" s="59" t="n">
        <f aca="false">IF(CH705&gt;0,CH705*MAX(1,AV705/X705),IF(BT705=1,IF(AV705&lt;=0,0,BW705*MAX(1,IF(H705&gt;0,AV705/H705,1))),IF(R705&gt;0,AW705/R705,0))/MAX(0.1,N(Parameter!$M$21)))</f>
        <v>0.15</v>
      </c>
      <c r="AY705" s="57" t="n">
        <f aca="false">AV705*G705</f>
        <v>12657.45</v>
      </c>
      <c r="AZ705" s="57" t="n">
        <f aca="false">ROUNDUP(MAX(J705/IF(BZ705&gt;0,BZ705,MAX(0.1,N(Cockpit!$O$6))),CC705)/BS705,0)*BS705</f>
        <v>1</v>
      </c>
      <c r="BA705" s="58" t="n">
        <f aca="false">IF(AX705&gt;0,J705/AX705,-1)</f>
        <v>0</v>
      </c>
      <c r="BB705" s="58" t="str">
        <f aca="false">IF(AND(OR(BY705="L1",BY705="L23"),AX705&gt;0),SUMIFS($AX$7:$AX$1843,$BY$7:$BY$1843,BY705,$BA$7:$BA$1843,"&gt;"&amp;BA705)+SUMIFS($AX$7:$AX$1843,$BY$7:$BY$1843,BY705,$BA$7:$BA$1843,BA705,$BQ$7:$BQ$1843,"&lt;="&amp;BQ705),"")</f>
        <v/>
      </c>
      <c r="BC705" s="65" t="n">
        <f aca="false">IF(BB705="",0,MAX(0,MIN(1,(IF(BY705="L1",Parameter!$E$5,Parameter!$E$6+Parameter!$E$7)-(BB705-AX705))/AX705)))</f>
        <v>0</v>
      </c>
      <c r="BD705" s="55" t="str">
        <f aca="false">IF(AH705&lt;=0,"",IF(BY705="Aussen","Aussenlager",IF(BY705="-","Nicht im Lift",IF(AM705&gt;=1,"Lift",IF(AM705&lt;=0,"Aussenlager","teilweise")))))</f>
        <v/>
      </c>
      <c r="BE705" s="55" t="str">
        <f aca="false">IF(AP705&lt;=0,"",IF(BY705="Aussen","Aussenlager",IF(BY705="-","Nicht im Lift",IF(AU705&gt;=1,"Lift",IF(AU705&lt;=0,"Aussenlager","teilweise")))))</f>
        <v>Nicht im Lift</v>
      </c>
      <c r="BF705" s="55" t="str">
        <f aca="false">IF(AX705&lt;=0,"",IF(BY705="Aussen","Aussenlager",IF(BY705="-","Nicht im Lift",IF(BC705&gt;=1,"Lift",IF(BC705&lt;=0,"Aussenlager","teilweise")))))</f>
        <v>Nicht im Lift</v>
      </c>
      <c r="BG705" s="55" t="str">
        <f aca="false">IF(A705="","",IF(BP705=1,"Neu; ","")&amp;IF(AND(BP705=0,BK705&lt;0),"negativer Bestand (Export "&amp;BK705&amp;"); ","")&amp;IF(J705&lt;=0,"Kein Verbrauch; ","")&amp;IF(CH705&gt;0,"Lift "&amp;W705&amp;" lt. Liftbericht (Fach "&amp;X705&amp;" Stk); ",IF(BU705=1,"Gebinde geschätzt ("&amp;T705&amp;"); ",IF(BT705=1,"Lose – Tablare geschätzt; ","")))&amp;IF(H705&gt;AR705,"Überbestand "&amp;ROUND(H705-AR705,0)&amp;" Stk / CHF "&amp;ROUND((H705-AR705)*G705,0)&amp;"; ","")&amp;IF(AND(CA705=1,CB705&lt;CC705),"MAX &lt; MB+LG; ","")&amp;IF(AND(CG705&gt;0,CF705*10&gt;CG705),"zu hoch für Tablar; ","")&amp;IF(AND(BP705=0,OR(CA705=1,AA705&lt;&gt;"",U705&lt;&gt;"",V705&lt;&gt;"",AB705&lt;&gt;"")),"manuell übersteuert; ","")&amp;IF(AND(BT705=0,R705=0),"Gebinde unbekannt / Stellmass fehlt; ","")&amp;IF(AND(BT705=0,N(V705)&lt;=0,N(Q705)&lt;=0),"Menge pro Gebinde fehlt (Ist = 1 Gebinde); ","")&amp;BO705)</f>
        <v>Kein Verbrauch; Lose – Tablare geschätzt; </v>
      </c>
      <c r="BH705" s="55"/>
      <c r="BI705" s="55"/>
      <c r="BJ705" s="62"/>
      <c r="BK705" s="57" t="n">
        <v>0</v>
      </c>
      <c r="BL705" s="57" t="n">
        <v>0</v>
      </c>
      <c r="BM705" s="56" t="n">
        <v>0</v>
      </c>
      <c r="BN705" s="57" t="n">
        <v>0</v>
      </c>
      <c r="BO705" s="55"/>
      <c r="BP705" s="60" t="n">
        <v>0</v>
      </c>
      <c r="BQ705" s="60" t="n">
        <v>705</v>
      </c>
      <c r="BR705" s="55" t="str">
        <f aca="false">IF(U705&lt;&gt;"",UPPER(TRIM(U705)),IF(BU705=1,UPPER(VLOOKUP(T705,Parameter!$I$27:$K$29,2,0)),IF(P705="","LOSE",P705)))</f>
        <v>LOSE</v>
      </c>
      <c r="BS705" s="57" t="n">
        <f aca="false">IF(BR705="LOSE",1,IF(N(V705)&gt;0,V705,IF(BU705=1,MAX(1,N(VLOOKUP(T705,Parameter!$I$27:$K$29,3,0)),H705,N(N705)),IF(N(Q705)&gt;0,Q705,MAX(1,H705)))))</f>
        <v>1</v>
      </c>
      <c r="BT705" s="60" t="n">
        <f aca="false">IF(BR705="LOSE",1,0)</f>
        <v>1</v>
      </c>
      <c r="BU705" s="60" t="n">
        <f aca="false">IF(AND(U705="",OR(P705="",P705="LOSE"),T705&lt;&gt;"",N(S705)&lt;=0,ISNUMBER(MATCH(T705,Parameter!$I$27:$I$29,0))),1,0)</f>
        <v>0</v>
      </c>
      <c r="BV705" s="55" t="str">
        <f aca="false">IF(AND(Parameter!$B$19="Ja",E705&lt;&gt;"",ISNUMBER(MATCH(E705,Parameter!$I$35:$I$52,0))),VLOOKUP(E705,Parameter!$I$35:$J$52,2,0),IFERROR(VLOOKUP(D705,Parameter!$A$35:$C$64,2,0),"Nein"))</f>
        <v>Nein</v>
      </c>
      <c r="BW705" s="59" t="n">
        <f aca="false">IF(BT705=0,0,IF(N(S705)&gt;0,S705,IFERROR(VLOOKUP(D705,Parameter!$A$35:$C$64,3,0)+0,0)))</f>
        <v>0.15</v>
      </c>
      <c r="BX705" s="55" t="str">
        <f aca="false">IF(AA705&lt;&gt;"",AA705,Z705)</f>
        <v>-</v>
      </c>
      <c r="BY705" s="55" t="str">
        <f aca="false">IF(BX705=1,"L1",IF(OR(BX705=2,BX705=3),"L23",IF(BX705="Aussen","Aussen","-")))</f>
        <v>-</v>
      </c>
      <c r="BZ705" s="66" t="n">
        <f aca="false">IF(N(AB705)&gt;0,AB705,0)</f>
        <v>0</v>
      </c>
      <c r="CA705" s="60" t="n">
        <f aca="false">IF(ISNUMBER(AE705),1,0)</f>
        <v>0</v>
      </c>
      <c r="CB705" s="57" t="n">
        <f aca="false">N(AE705)</f>
        <v>0</v>
      </c>
      <c r="CC705" s="57" t="n">
        <f aca="false">N(M705)+N(N705)</f>
        <v>1</v>
      </c>
      <c r="CD705" s="57" t="n">
        <f aca="false">ROUNDUP(H705/BS705,0)</f>
        <v>0</v>
      </c>
      <c r="CE705" s="57" t="n">
        <f aca="false">ROUNDUP(CB705/BS705,0)</f>
        <v>0</v>
      </c>
      <c r="CF705" s="60" t="n">
        <f aca="false">IF(BT705=1,0,IFERROR(VLOOKUP(BR705,'Gebinde-Kategorie'!$A$5:$M$45,5,0)+0,0))</f>
        <v>0</v>
      </c>
      <c r="CG705" s="60" t="n">
        <f aca="false">IFERROR(IF(OR(BX705=1,BX705=2,BX705=3),N(INDEX(Parameter!$I$5:$I$7,BX705)),0),0)</f>
        <v>0</v>
      </c>
      <c r="CH705" s="59" t="n">
        <f aca="false">IF(AND(Parameter!$B$21="Ja",ISNUMBER(W705),N(X705)&gt;0),IFERROR(N(INDEX(Parameter!$L$5:$L$7,W705))*INDEX(Parameter!$E$5:$E$7,W705)*X705/SUMIFS($X$7:$X$1843,$W$7:$W$1843,W705),0),0)</f>
        <v>0</v>
      </c>
    </row>
    <row r="706" customFormat="false" ht="15" hidden="false" customHeight="false" outlineLevel="0" collapsed="false">
      <c r="A706" s="55" t="s">
        <v>1411</v>
      </c>
      <c r="B706" s="55" t="s">
        <v>633</v>
      </c>
      <c r="C706" s="55" t="s">
        <v>164</v>
      </c>
      <c r="D706" s="55" t="s">
        <v>173</v>
      </c>
      <c r="E706" s="55" t="s">
        <v>1408</v>
      </c>
      <c r="F706" s="55" t="s">
        <v>218</v>
      </c>
      <c r="G706" s="56" t="n">
        <v>798.3</v>
      </c>
      <c r="H706" s="57" t="n">
        <f aca="false">MAX(0,IF(AND(Parameter!$B$21="Ja",ISNUMBER(Y706)),Y706,IF(Parameter!$B$20="Jahresanfang 2025 + Export",BL706+BK706,BK706)))</f>
        <v>0</v>
      </c>
      <c r="I706" s="57" t="n">
        <f aca="false">H706*G706</f>
        <v>0</v>
      </c>
      <c r="J706" s="57" t="n">
        <f aca="false">BN706*Parameter!$B$18</f>
        <v>2</v>
      </c>
      <c r="K706" s="58" t="n">
        <v>5.5</v>
      </c>
      <c r="L706" s="59" t="n">
        <v>0.363636363636364</v>
      </c>
      <c r="M706" s="57" t="n">
        <v>0</v>
      </c>
      <c r="N706" s="57" t="n">
        <v>1</v>
      </c>
      <c r="O706" s="60" t="n">
        <v>14</v>
      </c>
      <c r="P706" s="55" t="s">
        <v>168</v>
      </c>
      <c r="Q706" s="57"/>
      <c r="R706" s="60" t="n">
        <f aca="false">IF(BT706=1,0,IFERROR(VLOOKUP(BR706,'Gebinde-Kategorie'!$A$5:$M$45,13,0)+0,0))</f>
        <v>3</v>
      </c>
      <c r="S706" s="61"/>
      <c r="T706" s="62" t="s">
        <v>189</v>
      </c>
      <c r="U706" s="62"/>
      <c r="V706" s="62"/>
      <c r="W706" s="55"/>
      <c r="X706" s="57"/>
      <c r="Y706" s="57"/>
      <c r="Z706" s="55" t="str">
        <f aca="false">IF(A706="","",IF(AND(Parameter!$B$21="Ja",ISNUMBER(W706)),W706,IF(BV706="2+3",IF(ISNUMBER(SEARCH("grosser Artikel",BO706)),2,IFERROR(VLOOKUP(BR706,Parameter!$F$35:$G$64,2,0),2)),IF(OR(BV706="Nein",BV706=""),"-",BV706))))</f>
        <v>-</v>
      </c>
      <c r="AA706" s="62"/>
      <c r="AB706" s="63"/>
      <c r="AC706" s="57" t="n">
        <f aca="false">AR706</f>
        <v>2</v>
      </c>
      <c r="AD706" s="57" t="n">
        <f aca="false">MAX(AR706,H706)</f>
        <v>2</v>
      </c>
      <c r="AE706" s="64"/>
      <c r="AF706" s="57" t="n">
        <f aca="false">IF(LEFT(Cockpit!$C$5,1)="A",H706,IF(CA706=1,CB706,IF(LEFT(Cockpit!$C$5,1)="B",AJ706,MAX(AJ706,H706))))</f>
        <v>0</v>
      </c>
      <c r="AG706" s="57" t="n">
        <f aca="false">IF(BT706=1,0,ROUNDUP(AF706/BS706,0))</f>
        <v>0</v>
      </c>
      <c r="AH706" s="59" t="n">
        <f aca="false">IF(CH706&gt;0,CH706*MAX(1,AF706/X706),IF(BT706=1,IF(AF706&lt;=0,0,BW706*MAX(1,IF(H706&gt;0,AF706/H706,1))),IF(R706&gt;0,AG706/R706,0))/MAX(0.1,N(Parameter!$M$21)))</f>
        <v>0</v>
      </c>
      <c r="AI706" s="57" t="n">
        <f aca="false">AF706*G706</f>
        <v>0</v>
      </c>
      <c r="AJ706" s="57" t="n">
        <f aca="false">ROUNDUP(MAX(J706/IF(BZ706&gt;0,BZ706,MAX(0.1,N(Cockpit!$C$6))),CC706)/BS706,0)*BS706</f>
        <v>2</v>
      </c>
      <c r="AK706" s="58" t="n">
        <f aca="false">IF(AH706&gt;0,J706/AH706,-1)</f>
        <v>-1</v>
      </c>
      <c r="AL706" s="58" t="str">
        <f aca="false">IF(AND(OR(BY706="L1",BY706="L23"),AH706&gt;0),SUMIFS($AH$7:$AH$1843,$BY$7:$BY$1843,BY706,$AK$7:$AK$1843,"&gt;"&amp;AK706)+SUMIFS($AH$7:$AH$1843,$BY$7:$BY$1843,BY706,$AK$7:$AK$1843,AK706,$BQ$7:$BQ$1843,"&lt;="&amp;BQ706),"")</f>
        <v/>
      </c>
      <c r="AM706" s="65" t="n">
        <f aca="false">IF(AL706="",0,MAX(0,MIN(1,(IF(BY706="L1",Parameter!$E$5,Parameter!$E$6+Parameter!$E$7)-(AL706-AH706))/AH706)))</f>
        <v>0</v>
      </c>
      <c r="AN706" s="57" t="n">
        <f aca="false">IF(LEFT(Cockpit!$I$5,1)="A",H706,IF(CA706=1,CB706,IF(LEFT(Cockpit!$I$5,1)="B",AR706,MAX(AR706,H706))))</f>
        <v>2</v>
      </c>
      <c r="AO706" s="57" t="n">
        <f aca="false">IF(BT706=1,0,ROUNDUP(AN706/BS706,0))</f>
        <v>1</v>
      </c>
      <c r="AP706" s="59" t="n">
        <f aca="false">IF(CH706&gt;0,CH706*MAX(1,AN706/X706),IF(BT706=1,IF(AN706&lt;=0,0,BW706*MAX(1,IF(H706&gt;0,AN706/H706,1))),IF(R706&gt;0,AO706/R706,0))/MAX(0.1,N(Parameter!$M$21)))</f>
        <v>0.333333333333333</v>
      </c>
      <c r="AQ706" s="57" t="n">
        <f aca="false">AN706*G706</f>
        <v>1596.6</v>
      </c>
      <c r="AR706" s="57" t="n">
        <f aca="false">ROUNDUP(MAX(J706/IF(BZ706&gt;0,BZ706,MAX(0.1,N(Cockpit!$I$6))),CC706)/BS706,0)*BS706</f>
        <v>2</v>
      </c>
      <c r="AS706" s="58" t="n">
        <f aca="false">IF(AP706&gt;0,J706/AP706,-1)</f>
        <v>6</v>
      </c>
      <c r="AT706" s="58" t="str">
        <f aca="false">IF(AND(OR(BY706="L1",BY706="L23"),AP706&gt;0),SUMIFS($AP$7:$AP$1843,$BY$7:$BY$1843,BY706,$AS$7:$AS$1843,"&gt;"&amp;AS706)+SUMIFS($AP$7:$AP$1843,$BY$7:$BY$1843,BY706,$AS$7:$AS$1843,AS706,$BQ$7:$BQ$1843,"&lt;="&amp;BQ706),"")</f>
        <v/>
      </c>
      <c r="AU706" s="65" t="n">
        <f aca="false">IF(AT706="",0,MAX(0,MIN(1,(IF(BY706="L1",Parameter!$E$5,Parameter!$E$6+Parameter!$E$7)-(AT706-AP706))/AP706)))</f>
        <v>0</v>
      </c>
      <c r="AV706" s="57" t="n">
        <f aca="false">IF(LEFT(Cockpit!$O$5,1)="A",H706,IF(CA706=1,CB706,IF(LEFT(Cockpit!$O$5,1)="B",AZ706,MAX(AZ706,H706))))</f>
        <v>2</v>
      </c>
      <c r="AW706" s="57" t="n">
        <f aca="false">IF(BT706=1,0,ROUNDUP(AV706/BS706,0))</f>
        <v>1</v>
      </c>
      <c r="AX706" s="59" t="n">
        <f aca="false">IF(CH706&gt;0,CH706*MAX(1,AV706/X706),IF(BT706=1,IF(AV706&lt;=0,0,BW706*MAX(1,IF(H706&gt;0,AV706/H706,1))),IF(R706&gt;0,AW706/R706,0))/MAX(0.1,N(Parameter!$M$21)))</f>
        <v>0.333333333333333</v>
      </c>
      <c r="AY706" s="57" t="n">
        <f aca="false">AV706*G706</f>
        <v>1596.6</v>
      </c>
      <c r="AZ706" s="57" t="n">
        <f aca="false">ROUNDUP(MAX(J706/IF(BZ706&gt;0,BZ706,MAX(0.1,N(Cockpit!$O$6))),CC706)/BS706,0)*BS706</f>
        <v>2</v>
      </c>
      <c r="BA706" s="58" t="n">
        <f aca="false">IF(AX706&gt;0,J706/AX706,-1)</f>
        <v>6</v>
      </c>
      <c r="BB706" s="58" t="str">
        <f aca="false">IF(AND(OR(BY706="L1",BY706="L23"),AX706&gt;0),SUMIFS($AX$7:$AX$1843,$BY$7:$BY$1843,BY706,$BA$7:$BA$1843,"&gt;"&amp;BA706)+SUMIFS($AX$7:$AX$1843,$BY$7:$BY$1843,BY706,$BA$7:$BA$1843,BA706,$BQ$7:$BQ$1843,"&lt;="&amp;BQ706),"")</f>
        <v/>
      </c>
      <c r="BC706" s="65" t="n">
        <f aca="false">IF(BB706="",0,MAX(0,MIN(1,(IF(BY706="L1",Parameter!$E$5,Parameter!$E$6+Parameter!$E$7)-(BB706-AX706))/AX706)))</f>
        <v>0</v>
      </c>
      <c r="BD706" s="55" t="str">
        <f aca="false">IF(AH706&lt;=0,"",IF(BY706="Aussen","Aussenlager",IF(BY706="-","Nicht im Lift",IF(AM706&gt;=1,"Lift",IF(AM706&lt;=0,"Aussenlager","teilweise")))))</f>
        <v/>
      </c>
      <c r="BE706" s="55" t="str">
        <f aca="false">IF(AP706&lt;=0,"",IF(BY706="Aussen","Aussenlager",IF(BY706="-","Nicht im Lift",IF(AU706&gt;=1,"Lift",IF(AU706&lt;=0,"Aussenlager","teilweise")))))</f>
        <v>Nicht im Lift</v>
      </c>
      <c r="BF706" s="55" t="str">
        <f aca="false">IF(AX706&lt;=0,"",IF(BY706="Aussen","Aussenlager",IF(BY706="-","Nicht im Lift",IF(BC706&gt;=1,"Lift",IF(BC706&lt;=0,"Aussenlager","teilweise")))))</f>
        <v>Nicht im Lift</v>
      </c>
      <c r="BG706" s="55" t="str">
        <f aca="false">IF(A706="","",IF(BP706=1,"Neu; ","")&amp;IF(AND(BP706=0,BK706&lt;0),"negativer Bestand (Export "&amp;BK706&amp;"); ","")&amp;IF(J706&lt;=0,"Kein Verbrauch; ","")&amp;IF(CH706&gt;0,"Lift "&amp;W706&amp;" lt. Liftbericht (Fach "&amp;X706&amp;" Stk); ",IF(BU706=1,"Gebinde geschätzt ("&amp;T706&amp;"); ",IF(BT706=1,"Lose – Tablare geschätzt; ","")))&amp;IF(H706&gt;AR706,"Überbestand "&amp;ROUND(H706-AR706,0)&amp;" Stk / CHF "&amp;ROUND((H706-AR706)*G706,0)&amp;"; ","")&amp;IF(AND(CA706=1,CB706&lt;CC706),"MAX &lt; MB+LG; ","")&amp;IF(AND(CG706&gt;0,CF706*10&gt;CG706),"zu hoch für Tablar; ","")&amp;IF(AND(BP706=0,OR(CA706=1,AA706&lt;&gt;"",U706&lt;&gt;"",V706&lt;&gt;"",AB706&lt;&gt;"")),"manuell übersteuert; ","")&amp;IF(AND(BT706=0,R706=0),"Gebinde unbekannt / Stellmass fehlt; ","")&amp;IF(AND(BT706=0,N(V706)&lt;=0,N(Q706)&lt;=0),"Menge pro Gebinde fehlt (Ist = 1 Gebinde); ","")&amp;BO706)</f>
        <v>Gebinde geschätzt (Gross); Menge pro Gebinde fehlt (Ist = 1 Gebinde); </v>
      </c>
      <c r="BH706" s="55"/>
      <c r="BI706" s="55"/>
      <c r="BJ706" s="62"/>
      <c r="BK706" s="57" t="n">
        <v>0</v>
      </c>
      <c r="BL706" s="57" t="n">
        <v>0</v>
      </c>
      <c r="BM706" s="56" t="n">
        <v>0</v>
      </c>
      <c r="BN706" s="57" t="n">
        <v>2</v>
      </c>
      <c r="BO706" s="55"/>
      <c r="BP706" s="60" t="n">
        <v>0</v>
      </c>
      <c r="BQ706" s="60" t="n">
        <v>706</v>
      </c>
      <c r="BR706" s="55" t="str">
        <f aca="false">IF(U706&lt;&gt;"",UPPER(TRIM(U706)),IF(BU706=1,UPPER(VLOOKUP(T706,Parameter!$I$27:$K$29,2,0)),IF(P706="","LOSE",P706)))</f>
        <v>S81</v>
      </c>
      <c r="BS706" s="57" t="n">
        <f aca="false">IF(BR706="LOSE",1,IF(N(V706)&gt;0,V706,IF(BU706=1,MAX(1,N(VLOOKUP(T706,Parameter!$I$27:$K$29,3,0)),H706,N(N706)),IF(N(Q706)&gt;0,Q706,MAX(1,H706)))))</f>
        <v>2</v>
      </c>
      <c r="BT706" s="60" t="n">
        <f aca="false">IF(BR706="LOSE",1,0)</f>
        <v>0</v>
      </c>
      <c r="BU706" s="60" t="n">
        <f aca="false">IF(AND(U706="",OR(P706="",P706="LOSE"),T706&lt;&gt;"",N(S706)&lt;=0,ISNUMBER(MATCH(T706,Parameter!$I$27:$I$29,0))),1,0)</f>
        <v>1</v>
      </c>
      <c r="BV706" s="55" t="str">
        <f aca="false">IF(AND(Parameter!$B$19="Ja",E706&lt;&gt;"",ISNUMBER(MATCH(E706,Parameter!$I$35:$I$52,0))),VLOOKUP(E706,Parameter!$I$35:$J$52,2,0),IFERROR(VLOOKUP(D706,Parameter!$A$35:$C$64,2,0),"Nein"))</f>
        <v>Nein</v>
      </c>
      <c r="BW706" s="59" t="n">
        <f aca="false">IF(BT706=0,0,IF(N(S706)&gt;0,S706,IFERROR(VLOOKUP(D706,Parameter!$A$35:$C$64,3,0)+0,0)))</f>
        <v>0</v>
      </c>
      <c r="BX706" s="55" t="str">
        <f aca="false">IF(AA706&lt;&gt;"",AA706,Z706)</f>
        <v>-</v>
      </c>
      <c r="BY706" s="55" t="str">
        <f aca="false">IF(BX706=1,"L1",IF(OR(BX706=2,BX706=3),"L23",IF(BX706="Aussen","Aussen","-")))</f>
        <v>-</v>
      </c>
      <c r="BZ706" s="66" t="n">
        <f aca="false">IF(N(AB706)&gt;0,AB706,0)</f>
        <v>0</v>
      </c>
      <c r="CA706" s="60" t="n">
        <f aca="false">IF(ISNUMBER(AE706),1,0)</f>
        <v>0</v>
      </c>
      <c r="CB706" s="57" t="n">
        <f aca="false">N(AE706)</f>
        <v>0</v>
      </c>
      <c r="CC706" s="57" t="n">
        <f aca="false">N(M706)+N(N706)</f>
        <v>1</v>
      </c>
      <c r="CD706" s="57" t="n">
        <f aca="false">ROUNDUP(H706/BS706,0)</f>
        <v>0</v>
      </c>
      <c r="CE706" s="57" t="n">
        <f aca="false">ROUNDUP(CB706/BS706,0)</f>
        <v>0</v>
      </c>
      <c r="CF706" s="60" t="n">
        <f aca="false">IF(BT706=1,0,IFERROR(VLOOKUP(BR706,'Gebinde-Kategorie'!$A$5:$M$45,5,0)+0,0))</f>
        <v>20</v>
      </c>
      <c r="CG706" s="60" t="n">
        <f aca="false">IFERROR(IF(OR(BX706=1,BX706=2,BX706=3),N(INDEX(Parameter!$I$5:$I$7,BX706)),0),0)</f>
        <v>0</v>
      </c>
      <c r="CH706" s="59" t="n">
        <f aca="false">IF(AND(Parameter!$B$21="Ja",ISNUMBER(W706),N(X706)&gt;0),IFERROR(N(INDEX(Parameter!$L$5:$L$7,W706))*INDEX(Parameter!$E$5:$E$7,W706)*X706/SUMIFS($X$7:$X$1843,$W$7:$W$1843,W706),0),0)</f>
        <v>0</v>
      </c>
    </row>
    <row r="707" customFormat="false" ht="15" hidden="false" customHeight="false" outlineLevel="0" collapsed="false">
      <c r="A707" s="55" t="s">
        <v>1412</v>
      </c>
      <c r="B707" s="55" t="s">
        <v>1413</v>
      </c>
      <c r="C707" s="55" t="s">
        <v>164</v>
      </c>
      <c r="D707" s="55" t="s">
        <v>995</v>
      </c>
      <c r="E707" s="55"/>
      <c r="F707" s="55" t="s">
        <v>218</v>
      </c>
      <c r="G707" s="56" t="n">
        <v>4993.1</v>
      </c>
      <c r="H707" s="57" t="n">
        <f aca="false">MAX(0,IF(AND(Parameter!$B$21="Ja",ISNUMBER(Y707)),Y707,IF(Parameter!$B$20="Jahresanfang 2025 + Export",BL707+BK707,BK707)))</f>
        <v>0</v>
      </c>
      <c r="I707" s="57" t="n">
        <f aca="false">H707*G707</f>
        <v>0</v>
      </c>
      <c r="J707" s="57" t="n">
        <f aca="false">BN707*Parameter!$B$18</f>
        <v>0</v>
      </c>
      <c r="K707" s="58" t="n">
        <v>1</v>
      </c>
      <c r="L707" s="59" t="n">
        <v>0</v>
      </c>
      <c r="M707" s="57" t="n">
        <v>0</v>
      </c>
      <c r="N707" s="57" t="n">
        <v>1</v>
      </c>
      <c r="O707" s="60" t="n">
        <v>35</v>
      </c>
      <c r="P707" s="55" t="s">
        <v>168</v>
      </c>
      <c r="Q707" s="57"/>
      <c r="R707" s="60" t="n">
        <f aca="false">IF(BT707=1,0,IFERROR(VLOOKUP(BR707,'Gebinde-Kategorie'!$A$5:$M$45,13,0)+0,0))</f>
        <v>0</v>
      </c>
      <c r="S707" s="61"/>
      <c r="T707" s="62"/>
      <c r="U707" s="62"/>
      <c r="V707" s="62"/>
      <c r="W707" s="55"/>
      <c r="X707" s="57"/>
      <c r="Y707" s="57"/>
      <c r="Z707" s="55" t="str">
        <f aca="false">IF(A707="","",IF(AND(Parameter!$B$21="Ja",ISNUMBER(W707)),W707,IF(BV707="2+3",IF(ISNUMBER(SEARCH("grosser Artikel",BO707)),2,IFERROR(VLOOKUP(BR707,Parameter!$F$35:$G$64,2,0),2)),IF(OR(BV707="Nein",BV707=""),"-",BV707))))</f>
        <v>-</v>
      </c>
      <c r="AA707" s="62"/>
      <c r="AB707" s="63"/>
      <c r="AC707" s="57" t="n">
        <f aca="false">AR707</f>
        <v>1</v>
      </c>
      <c r="AD707" s="57" t="n">
        <f aca="false">MAX(AR707,H707)</f>
        <v>1</v>
      </c>
      <c r="AE707" s="64"/>
      <c r="AF707" s="57" t="n">
        <f aca="false">IF(LEFT(Cockpit!$C$5,1)="A",H707,IF(CA707=1,CB707,IF(LEFT(Cockpit!$C$5,1)="B",AJ707,MAX(AJ707,H707))))</f>
        <v>0</v>
      </c>
      <c r="AG707" s="57" t="n">
        <f aca="false">IF(BT707=1,0,ROUNDUP(AF707/BS707,0))</f>
        <v>0</v>
      </c>
      <c r="AH707" s="59" t="n">
        <f aca="false">IF(CH707&gt;0,CH707*MAX(1,AF707/X707),IF(BT707=1,IF(AF707&lt;=0,0,BW707*MAX(1,IF(H707&gt;0,AF707/H707,1))),IF(R707&gt;0,AG707/R707,0))/MAX(0.1,N(Parameter!$M$21)))</f>
        <v>0</v>
      </c>
      <c r="AI707" s="57" t="n">
        <f aca="false">AF707*G707</f>
        <v>0</v>
      </c>
      <c r="AJ707" s="57" t="n">
        <f aca="false">ROUNDUP(MAX(J707/IF(BZ707&gt;0,BZ707,MAX(0.1,N(Cockpit!$C$6))),CC707)/BS707,0)*BS707</f>
        <v>1</v>
      </c>
      <c r="AK707" s="58" t="n">
        <f aca="false">IF(AH707&gt;0,J707/AH707,-1)</f>
        <v>-1</v>
      </c>
      <c r="AL707" s="58" t="str">
        <f aca="false">IF(AND(OR(BY707="L1",BY707="L23"),AH707&gt;0),SUMIFS($AH$7:$AH$1843,$BY$7:$BY$1843,BY707,$AK$7:$AK$1843,"&gt;"&amp;AK707)+SUMIFS($AH$7:$AH$1843,$BY$7:$BY$1843,BY707,$AK$7:$AK$1843,AK707,$BQ$7:$BQ$1843,"&lt;="&amp;BQ707),"")</f>
        <v/>
      </c>
      <c r="AM707" s="65" t="n">
        <f aca="false">IF(AL707="",0,MAX(0,MIN(1,(IF(BY707="L1",Parameter!$E$5,Parameter!$E$6+Parameter!$E$7)-(AL707-AH707))/AH707)))</f>
        <v>0</v>
      </c>
      <c r="AN707" s="57" t="n">
        <f aca="false">IF(LEFT(Cockpit!$I$5,1)="A",H707,IF(CA707=1,CB707,IF(LEFT(Cockpit!$I$5,1)="B",AR707,MAX(AR707,H707))))</f>
        <v>1</v>
      </c>
      <c r="AO707" s="57" t="n">
        <f aca="false">IF(BT707=1,0,ROUNDUP(AN707/BS707,0))</f>
        <v>0</v>
      </c>
      <c r="AP707" s="59" t="n">
        <f aca="false">IF(CH707&gt;0,CH707*MAX(1,AN707/X707),IF(BT707=1,IF(AN707&lt;=0,0,BW707*MAX(1,IF(H707&gt;0,AN707/H707,1))),IF(R707&gt;0,AO707/R707,0))/MAX(0.1,N(Parameter!$M$21)))</f>
        <v>0.15</v>
      </c>
      <c r="AQ707" s="57" t="n">
        <f aca="false">AN707*G707</f>
        <v>4993.1</v>
      </c>
      <c r="AR707" s="57" t="n">
        <f aca="false">ROUNDUP(MAX(J707/IF(BZ707&gt;0,BZ707,MAX(0.1,N(Cockpit!$I$6))),CC707)/BS707,0)*BS707</f>
        <v>1</v>
      </c>
      <c r="AS707" s="58" t="n">
        <f aca="false">IF(AP707&gt;0,J707/AP707,-1)</f>
        <v>0</v>
      </c>
      <c r="AT707" s="58" t="str">
        <f aca="false">IF(AND(OR(BY707="L1",BY707="L23"),AP707&gt;0),SUMIFS($AP$7:$AP$1843,$BY$7:$BY$1843,BY707,$AS$7:$AS$1843,"&gt;"&amp;AS707)+SUMIFS($AP$7:$AP$1843,$BY$7:$BY$1843,BY707,$AS$7:$AS$1843,AS707,$BQ$7:$BQ$1843,"&lt;="&amp;BQ707),"")</f>
        <v/>
      </c>
      <c r="AU707" s="65" t="n">
        <f aca="false">IF(AT707="",0,MAX(0,MIN(1,(IF(BY707="L1",Parameter!$E$5,Parameter!$E$6+Parameter!$E$7)-(AT707-AP707))/AP707)))</f>
        <v>0</v>
      </c>
      <c r="AV707" s="57" t="n">
        <f aca="false">IF(LEFT(Cockpit!$O$5,1)="A",H707,IF(CA707=1,CB707,IF(LEFT(Cockpit!$O$5,1)="B",AZ707,MAX(AZ707,H707))))</f>
        <v>1</v>
      </c>
      <c r="AW707" s="57" t="n">
        <f aca="false">IF(BT707=1,0,ROUNDUP(AV707/BS707,0))</f>
        <v>0</v>
      </c>
      <c r="AX707" s="59" t="n">
        <f aca="false">IF(CH707&gt;0,CH707*MAX(1,AV707/X707),IF(BT707=1,IF(AV707&lt;=0,0,BW707*MAX(1,IF(H707&gt;0,AV707/H707,1))),IF(R707&gt;0,AW707/R707,0))/MAX(0.1,N(Parameter!$M$21)))</f>
        <v>0.15</v>
      </c>
      <c r="AY707" s="57" t="n">
        <f aca="false">AV707*G707</f>
        <v>4993.1</v>
      </c>
      <c r="AZ707" s="57" t="n">
        <f aca="false">ROUNDUP(MAX(J707/IF(BZ707&gt;0,BZ707,MAX(0.1,N(Cockpit!$O$6))),CC707)/BS707,0)*BS707</f>
        <v>1</v>
      </c>
      <c r="BA707" s="58" t="n">
        <f aca="false">IF(AX707&gt;0,J707/AX707,-1)</f>
        <v>0</v>
      </c>
      <c r="BB707" s="58" t="str">
        <f aca="false">IF(AND(OR(BY707="L1",BY707="L23"),AX707&gt;0),SUMIFS($AX$7:$AX$1843,$BY$7:$BY$1843,BY707,$BA$7:$BA$1843,"&gt;"&amp;BA707)+SUMIFS($AX$7:$AX$1843,$BY$7:$BY$1843,BY707,$BA$7:$BA$1843,BA707,$BQ$7:$BQ$1843,"&lt;="&amp;BQ707),"")</f>
        <v/>
      </c>
      <c r="BC707" s="65" t="n">
        <f aca="false">IF(BB707="",0,MAX(0,MIN(1,(IF(BY707="L1",Parameter!$E$5,Parameter!$E$6+Parameter!$E$7)-(BB707-AX707))/AX707)))</f>
        <v>0</v>
      </c>
      <c r="BD707" s="55" t="str">
        <f aca="false">IF(AH707&lt;=0,"",IF(BY707="Aussen","Aussenlager",IF(BY707="-","Nicht im Lift",IF(AM707&gt;=1,"Lift",IF(AM707&lt;=0,"Aussenlager","teilweise")))))</f>
        <v/>
      </c>
      <c r="BE707" s="55" t="str">
        <f aca="false">IF(AP707&lt;=0,"",IF(BY707="Aussen","Aussenlager",IF(BY707="-","Nicht im Lift",IF(AU707&gt;=1,"Lift",IF(AU707&lt;=0,"Aussenlager","teilweise")))))</f>
        <v>Nicht im Lift</v>
      </c>
      <c r="BF707" s="55" t="str">
        <f aca="false">IF(AX707&lt;=0,"",IF(BY707="Aussen","Aussenlager",IF(BY707="-","Nicht im Lift",IF(BC707&gt;=1,"Lift",IF(BC707&lt;=0,"Aussenlager","teilweise")))))</f>
        <v>Nicht im Lift</v>
      </c>
      <c r="BG707" s="55" t="str">
        <f aca="false">IF(A707="","",IF(BP707=1,"Neu; ","")&amp;IF(AND(BP707=0,BK707&lt;0),"negativer Bestand (Export "&amp;BK707&amp;"); ","")&amp;IF(J707&lt;=0,"Kein Verbrauch; ","")&amp;IF(CH707&gt;0,"Lift "&amp;W707&amp;" lt. Liftbericht (Fach "&amp;X707&amp;" Stk); ",IF(BU707=1,"Gebinde geschätzt ("&amp;T707&amp;"); ",IF(BT707=1,"Lose – Tablare geschätzt; ","")))&amp;IF(H707&gt;AR707,"Überbestand "&amp;ROUND(H707-AR707,0)&amp;" Stk / CHF "&amp;ROUND((H707-AR707)*G707,0)&amp;"; ","")&amp;IF(AND(CA707=1,CB707&lt;CC707),"MAX &lt; MB+LG; ","")&amp;IF(AND(CG707&gt;0,CF707*10&gt;CG707),"zu hoch für Tablar; ","")&amp;IF(AND(BP707=0,OR(CA707=1,AA707&lt;&gt;"",U707&lt;&gt;"",V707&lt;&gt;"",AB707&lt;&gt;"")),"manuell übersteuert; ","")&amp;IF(AND(BT707=0,R707=0),"Gebinde unbekannt / Stellmass fehlt; ","")&amp;IF(AND(BT707=0,N(V707)&lt;=0,N(Q707)&lt;=0),"Menge pro Gebinde fehlt (Ist = 1 Gebinde); ","")&amp;BO707)</f>
        <v>Kein Verbrauch; Lose – Tablare geschätzt; </v>
      </c>
      <c r="BH707" s="55"/>
      <c r="BI707" s="55"/>
      <c r="BJ707" s="62"/>
      <c r="BK707" s="57" t="n">
        <v>0</v>
      </c>
      <c r="BL707" s="57" t="n">
        <v>0</v>
      </c>
      <c r="BM707" s="56" t="n">
        <v>0</v>
      </c>
      <c r="BN707" s="57" t="n">
        <v>0</v>
      </c>
      <c r="BO707" s="55"/>
      <c r="BP707" s="60" t="n">
        <v>0</v>
      </c>
      <c r="BQ707" s="60" t="n">
        <v>707</v>
      </c>
      <c r="BR707" s="55" t="str">
        <f aca="false">IF(U707&lt;&gt;"",UPPER(TRIM(U707)),IF(BU707=1,UPPER(VLOOKUP(T707,Parameter!$I$27:$K$29,2,0)),IF(P707="","LOSE",P707)))</f>
        <v>LOSE</v>
      </c>
      <c r="BS707" s="57" t="n">
        <f aca="false">IF(BR707="LOSE",1,IF(N(V707)&gt;0,V707,IF(BU707=1,MAX(1,N(VLOOKUP(T707,Parameter!$I$27:$K$29,3,0)),H707,N(N707)),IF(N(Q707)&gt;0,Q707,MAX(1,H707)))))</f>
        <v>1</v>
      </c>
      <c r="BT707" s="60" t="n">
        <f aca="false">IF(BR707="LOSE",1,0)</f>
        <v>1</v>
      </c>
      <c r="BU707" s="60" t="n">
        <f aca="false">IF(AND(U707="",OR(P707="",P707="LOSE"),T707&lt;&gt;"",N(S707)&lt;=0,ISNUMBER(MATCH(T707,Parameter!$I$27:$I$29,0))),1,0)</f>
        <v>0</v>
      </c>
      <c r="BV707" s="55" t="str">
        <f aca="false">IF(AND(Parameter!$B$19="Ja",E707&lt;&gt;"",ISNUMBER(MATCH(E707,Parameter!$I$35:$I$52,0))),VLOOKUP(E707,Parameter!$I$35:$J$52,2,0),IFERROR(VLOOKUP(D707,Parameter!$A$35:$C$64,2,0),"Nein"))</f>
        <v>Nein</v>
      </c>
      <c r="BW707" s="59" t="n">
        <f aca="false">IF(BT707=0,0,IF(N(S707)&gt;0,S707,IFERROR(VLOOKUP(D707,Parameter!$A$35:$C$64,3,0)+0,0)))</f>
        <v>0.15</v>
      </c>
      <c r="BX707" s="55" t="str">
        <f aca="false">IF(AA707&lt;&gt;"",AA707,Z707)</f>
        <v>-</v>
      </c>
      <c r="BY707" s="55" t="str">
        <f aca="false">IF(BX707=1,"L1",IF(OR(BX707=2,BX707=3),"L23",IF(BX707="Aussen","Aussen","-")))</f>
        <v>-</v>
      </c>
      <c r="BZ707" s="66" t="n">
        <f aca="false">IF(N(AB707)&gt;0,AB707,0)</f>
        <v>0</v>
      </c>
      <c r="CA707" s="60" t="n">
        <f aca="false">IF(ISNUMBER(AE707),1,0)</f>
        <v>0</v>
      </c>
      <c r="CB707" s="57" t="n">
        <f aca="false">N(AE707)</f>
        <v>0</v>
      </c>
      <c r="CC707" s="57" t="n">
        <f aca="false">N(M707)+N(N707)</f>
        <v>1</v>
      </c>
      <c r="CD707" s="57" t="n">
        <f aca="false">ROUNDUP(H707/BS707,0)</f>
        <v>0</v>
      </c>
      <c r="CE707" s="57" t="n">
        <f aca="false">ROUNDUP(CB707/BS707,0)</f>
        <v>0</v>
      </c>
      <c r="CF707" s="60" t="n">
        <f aca="false">IF(BT707=1,0,IFERROR(VLOOKUP(BR707,'Gebinde-Kategorie'!$A$5:$M$45,5,0)+0,0))</f>
        <v>0</v>
      </c>
      <c r="CG707" s="60" t="n">
        <f aca="false">IFERROR(IF(OR(BX707=1,BX707=2,BX707=3),N(INDEX(Parameter!$I$5:$I$7,BX707)),0),0)</f>
        <v>0</v>
      </c>
      <c r="CH707" s="59" t="n">
        <f aca="false">IF(AND(Parameter!$B$21="Ja",ISNUMBER(W707),N(X707)&gt;0),IFERROR(N(INDEX(Parameter!$L$5:$L$7,W707))*INDEX(Parameter!$E$5:$E$7,W707)*X707/SUMIFS($X$7:$X$1843,$W$7:$W$1843,W707),0),0)</f>
        <v>0</v>
      </c>
    </row>
    <row r="708" customFormat="false" ht="15" hidden="false" customHeight="false" outlineLevel="0" collapsed="false">
      <c r="A708" s="55" t="s">
        <v>1414</v>
      </c>
      <c r="B708" s="55" t="s">
        <v>367</v>
      </c>
      <c r="C708" s="55" t="s">
        <v>164</v>
      </c>
      <c r="D708" s="55" t="s">
        <v>184</v>
      </c>
      <c r="E708" s="55"/>
      <c r="F708" s="55" t="s">
        <v>218</v>
      </c>
      <c r="G708" s="56" t="n">
        <v>5.85</v>
      </c>
      <c r="H708" s="57" t="n">
        <f aca="false">MAX(0,IF(AND(Parameter!$B$21="Ja",ISNUMBER(Y708)),Y708,IF(Parameter!$B$20="Jahresanfang 2025 + Export",BL708+BK708,BK708)))</f>
        <v>43</v>
      </c>
      <c r="I708" s="57" t="n">
        <f aca="false">H708*G708</f>
        <v>251.55</v>
      </c>
      <c r="J708" s="57" t="n">
        <f aca="false">BN708*Parameter!$B$18</f>
        <v>0</v>
      </c>
      <c r="K708" s="58" t="n">
        <v>43.5</v>
      </c>
      <c r="L708" s="59" t="n">
        <v>0</v>
      </c>
      <c r="M708" s="57" t="n">
        <v>0</v>
      </c>
      <c r="N708" s="57" t="n">
        <v>1</v>
      </c>
      <c r="O708" s="60" t="n">
        <v>21</v>
      </c>
      <c r="P708" s="55" t="s">
        <v>401</v>
      </c>
      <c r="Q708" s="57" t="n">
        <v>50</v>
      </c>
      <c r="R708" s="60" t="n">
        <f aca="false">IF(BT708=1,0,IFERROR(VLOOKUP(BR708,'Gebinde-Kategorie'!$A$5:$M$45,13,0)+0,0))</f>
        <v>414</v>
      </c>
      <c r="S708" s="61"/>
      <c r="T708" s="62"/>
      <c r="U708" s="62"/>
      <c r="V708" s="62"/>
      <c r="W708" s="55"/>
      <c r="X708" s="57"/>
      <c r="Y708" s="57"/>
      <c r="Z708" s="55" t="n">
        <f aca="false">IF(A708="","",IF(AND(Parameter!$B$21="Ja",ISNUMBER(W708)),W708,IF(BV708="2+3",IF(ISNUMBER(SEARCH("grosser Artikel",BO708)),2,IFERROR(VLOOKUP(BR708,Parameter!$F$35:$G$64,2,0),2)),IF(OR(BV708="Nein",BV708=""),"-",BV708))))</f>
        <v>3</v>
      </c>
      <c r="AA708" s="62"/>
      <c r="AB708" s="63"/>
      <c r="AC708" s="57" t="n">
        <f aca="false">AR708</f>
        <v>50</v>
      </c>
      <c r="AD708" s="57" t="n">
        <f aca="false">MAX(AR708,H708)</f>
        <v>50</v>
      </c>
      <c r="AE708" s="64"/>
      <c r="AF708" s="57" t="n">
        <f aca="false">IF(LEFT(Cockpit!$C$5,1)="A",H708,IF(CA708=1,CB708,IF(LEFT(Cockpit!$C$5,1)="B",AJ708,MAX(AJ708,H708))))</f>
        <v>43</v>
      </c>
      <c r="AG708" s="57" t="n">
        <f aca="false">IF(BT708=1,0,ROUNDUP(AF708/BS708,0))</f>
        <v>1</v>
      </c>
      <c r="AH708" s="59" t="n">
        <f aca="false">IF(CH708&gt;0,CH708*MAX(1,AF708/X708),IF(BT708=1,IF(AF708&lt;=0,0,BW708*MAX(1,IF(H708&gt;0,AF708/H708,1))),IF(R708&gt;0,AG708/R708,0))/MAX(0.1,N(Parameter!$M$21)))</f>
        <v>0.00241545893719807</v>
      </c>
      <c r="AI708" s="57" t="n">
        <f aca="false">AF708*G708</f>
        <v>251.55</v>
      </c>
      <c r="AJ708" s="57" t="n">
        <f aca="false">ROUNDUP(MAX(J708/IF(BZ708&gt;0,BZ708,MAX(0.1,N(Cockpit!$C$6))),CC708)/BS708,0)*BS708</f>
        <v>50</v>
      </c>
      <c r="AK708" s="58" t="n">
        <f aca="false">IF(AH708&gt;0,J708/AH708,-1)</f>
        <v>0</v>
      </c>
      <c r="AL708" s="58" t="n">
        <f aca="false">IF(AND(OR(BY708="L1",BY708="L23"),AH708&gt;0),SUMIFS($AH$7:$AH$1843,$BY$7:$BY$1843,BY708,$AK$7:$AK$1843,"&gt;"&amp;AK708)+SUMIFS($AH$7:$AH$1843,$BY$7:$BY$1843,BY708,$AK$7:$AK$1843,AK708,$BQ$7:$BQ$1843,"&lt;="&amp;BQ708),"")</f>
        <v>76.7835377183203</v>
      </c>
      <c r="AM708" s="65" t="n">
        <f aca="false">IF(AL708="",0,MAX(0,MIN(1,(IF(BY708="L1",Parameter!$E$5,Parameter!$E$6+Parameter!$E$7)-(AL708-AH708))/AH708)))</f>
        <v>1</v>
      </c>
      <c r="AN708" s="57" t="n">
        <f aca="false">IF(LEFT(Cockpit!$I$5,1)="A",H708,IF(CA708=1,CB708,IF(LEFT(Cockpit!$I$5,1)="B",AR708,MAX(AR708,H708))))</f>
        <v>50</v>
      </c>
      <c r="AO708" s="57" t="n">
        <f aca="false">IF(BT708=1,0,ROUNDUP(AN708/BS708,0))</f>
        <v>1</v>
      </c>
      <c r="AP708" s="59" t="n">
        <f aca="false">IF(CH708&gt;0,CH708*MAX(1,AN708/X708),IF(BT708=1,IF(AN708&lt;=0,0,BW708*MAX(1,IF(H708&gt;0,AN708/H708,1))),IF(R708&gt;0,AO708/R708,0))/MAX(0.1,N(Parameter!$M$21)))</f>
        <v>0.00241545893719807</v>
      </c>
      <c r="AQ708" s="57" t="n">
        <f aca="false">AN708*G708</f>
        <v>292.5</v>
      </c>
      <c r="AR708" s="57" t="n">
        <f aca="false">ROUNDUP(MAX(J708/IF(BZ708&gt;0,BZ708,MAX(0.1,N(Cockpit!$I$6))),CC708)/BS708,0)*BS708</f>
        <v>50</v>
      </c>
      <c r="AS708" s="58" t="n">
        <f aca="false">IF(AP708&gt;0,J708/AP708,-1)</f>
        <v>0</v>
      </c>
      <c r="AT708" s="58" t="n">
        <f aca="false">IF(AND(OR(BY708="L1",BY708="L23"),AP708&gt;0),SUMIFS($AP$7:$AP$1843,$BY$7:$BY$1843,BY708,$AS$7:$AS$1843,"&gt;"&amp;AS708)+SUMIFS($AP$7:$AP$1843,$BY$7:$BY$1843,BY708,$AS$7:$AS$1843,AS708,$BQ$7:$BQ$1843,"&lt;="&amp;BQ708),"")</f>
        <v>116.498538900713</v>
      </c>
      <c r="AU708" s="65" t="n">
        <f aca="false">IF(AT708="",0,MAX(0,MIN(1,(IF(BY708="L1",Parameter!$E$5,Parameter!$E$6+Parameter!$E$7)-(AT708-AP708))/AP708)))</f>
        <v>0</v>
      </c>
      <c r="AV708" s="57" t="n">
        <f aca="false">IF(LEFT(Cockpit!$O$5,1)="A",H708,IF(CA708=1,CB708,IF(LEFT(Cockpit!$O$5,1)="B",AZ708,MAX(AZ708,H708))))</f>
        <v>50</v>
      </c>
      <c r="AW708" s="57" t="n">
        <f aca="false">IF(BT708=1,0,ROUNDUP(AV708/BS708,0))</f>
        <v>1</v>
      </c>
      <c r="AX708" s="59" t="n">
        <f aca="false">IF(CH708&gt;0,CH708*MAX(1,AV708/X708),IF(BT708=1,IF(AV708&lt;=0,0,BW708*MAX(1,IF(H708&gt;0,AV708/H708,1))),IF(R708&gt;0,AW708/R708,0))/MAX(0.1,N(Parameter!$M$21)))</f>
        <v>0.00241545893719807</v>
      </c>
      <c r="AY708" s="57" t="n">
        <f aca="false">AV708*G708</f>
        <v>292.5</v>
      </c>
      <c r="AZ708" s="57" t="n">
        <f aca="false">ROUNDUP(MAX(J708/IF(BZ708&gt;0,BZ708,MAX(0.1,N(Cockpit!$O$6))),CC708)/BS708,0)*BS708</f>
        <v>50</v>
      </c>
      <c r="BA708" s="58" t="n">
        <f aca="false">IF(AX708&gt;0,J708/AX708,-1)</f>
        <v>0</v>
      </c>
      <c r="BB708" s="58" t="n">
        <f aca="false">IF(AND(OR(BY708="L1",BY708="L23"),AX708&gt;0),SUMIFS($AX$7:$AX$1843,$BY$7:$BY$1843,BY708,$BA$7:$BA$1843,"&gt;"&amp;BA708)+SUMIFS($AX$7:$AX$1843,$BY$7:$BY$1843,BY708,$BA$7:$BA$1843,BA708,$BQ$7:$BQ$1843,"&lt;="&amp;BQ708),"")</f>
        <v>107.32837573055</v>
      </c>
      <c r="BC708" s="65" t="n">
        <f aca="false">IF(BB708="",0,MAX(0,MIN(1,(IF(BY708="L1",Parameter!$E$5,Parameter!$E$6+Parameter!$E$7)-(BB708-AX708))/AX708)))</f>
        <v>0</v>
      </c>
      <c r="BD708" s="55" t="str">
        <f aca="false">IF(AH708&lt;=0,"",IF(BY708="Aussen","Aussenlager",IF(BY708="-","Nicht im Lift",IF(AM708&gt;=1,"Lift",IF(AM708&lt;=0,"Aussenlager","teilweise")))))</f>
        <v>Lift</v>
      </c>
      <c r="BE708" s="55" t="str">
        <f aca="false">IF(AP708&lt;=0,"",IF(BY708="Aussen","Aussenlager",IF(BY708="-","Nicht im Lift",IF(AU708&gt;=1,"Lift",IF(AU708&lt;=0,"Aussenlager","teilweise")))))</f>
        <v>Aussenlager</v>
      </c>
      <c r="BF708" s="55" t="str">
        <f aca="false">IF(AX708&lt;=0,"",IF(BY708="Aussen","Aussenlager",IF(BY708="-","Nicht im Lift",IF(BC708&gt;=1,"Lift",IF(BC708&lt;=0,"Aussenlager","teilweise")))))</f>
        <v>Aussenlager</v>
      </c>
      <c r="BG708" s="55" t="str">
        <f aca="false">IF(A708="","",IF(BP708=1,"Neu; ","")&amp;IF(AND(BP708=0,BK708&lt;0),"negativer Bestand (Export "&amp;BK708&amp;"); ","")&amp;IF(J708&lt;=0,"Kein Verbrauch; ","")&amp;IF(CH708&gt;0,"Lift "&amp;W708&amp;" lt. Liftbericht (Fach "&amp;X708&amp;" Stk); ",IF(BU708=1,"Gebinde geschätzt ("&amp;T708&amp;"); ",IF(BT708=1,"Lose – Tablare geschätzt; ","")))&amp;IF(H708&gt;AR708,"Überbestand "&amp;ROUND(H708-AR708,0)&amp;" Stk / CHF "&amp;ROUND((H708-AR708)*G708,0)&amp;"; ","")&amp;IF(AND(CA708=1,CB708&lt;CC708),"MAX &lt; MB+LG; ","")&amp;IF(AND(CG708&gt;0,CF708*10&gt;CG708),"zu hoch für Tablar; ","")&amp;IF(AND(BP708=0,OR(CA708=1,AA708&lt;&gt;"",U708&lt;&gt;"",V708&lt;&gt;"",AB708&lt;&gt;"")),"manuell übersteuert; ","")&amp;IF(AND(BT708=0,R708=0),"Gebinde unbekannt / Stellmass fehlt; ","")&amp;IF(AND(BT708=0,N(V708)&lt;=0,N(Q708)&lt;=0),"Menge pro Gebinde fehlt (Ist = 1 Gebinde); ","")&amp;BO708)</f>
        <v>Kein Verbrauch; </v>
      </c>
      <c r="BH708" s="55"/>
      <c r="BI708" s="55"/>
      <c r="BJ708" s="62"/>
      <c r="BK708" s="57" t="n">
        <v>0</v>
      </c>
      <c r="BL708" s="57" t="n">
        <v>43</v>
      </c>
      <c r="BM708" s="56" t="n">
        <v>0</v>
      </c>
      <c r="BN708" s="57" t="n">
        <v>0</v>
      </c>
      <c r="BO708" s="55"/>
      <c r="BP708" s="60" t="n">
        <v>0</v>
      </c>
      <c r="BQ708" s="60" t="n">
        <v>708</v>
      </c>
      <c r="BR708" s="55" t="str">
        <f aca="false">IF(U708&lt;&gt;"",UPPER(TRIM(U708)),IF(BU708=1,UPPER(VLOOKUP(T708,Parameter!$I$27:$K$29,2,0)),IF(P708="","LOSE",P708)))</f>
        <v>S21</v>
      </c>
      <c r="BS708" s="57" t="n">
        <f aca="false">IF(BR708="LOSE",1,IF(N(V708)&gt;0,V708,IF(BU708=1,MAX(1,N(VLOOKUP(T708,Parameter!$I$27:$K$29,3,0)),H708,N(N708)),IF(N(Q708)&gt;0,Q708,MAX(1,H708)))))</f>
        <v>50</v>
      </c>
      <c r="BT708" s="60" t="n">
        <f aca="false">IF(BR708="LOSE",1,0)</f>
        <v>0</v>
      </c>
      <c r="BU708" s="60" t="n">
        <f aca="false">IF(AND(U708="",OR(P708="",P708="LOSE"),T708&lt;&gt;"",N(S708)&lt;=0,ISNUMBER(MATCH(T708,Parameter!$I$27:$I$29,0))),1,0)</f>
        <v>0</v>
      </c>
      <c r="BV708" s="55" t="str">
        <f aca="false">IF(AND(Parameter!$B$19="Ja",E708&lt;&gt;"",ISNUMBER(MATCH(E708,Parameter!$I$35:$I$52,0))),VLOOKUP(E708,Parameter!$I$35:$J$52,2,0),IFERROR(VLOOKUP(D708,Parameter!$A$35:$C$64,2,0),"Nein"))</f>
        <v>2+3</v>
      </c>
      <c r="BW708" s="59" t="n">
        <f aca="false">IF(BT708=0,0,IF(N(S708)&gt;0,S708,IFERROR(VLOOKUP(D708,Parameter!$A$35:$C$64,3,0)+0,0)))</f>
        <v>0</v>
      </c>
      <c r="BX708" s="55" t="n">
        <f aca="false">IF(AA708&lt;&gt;"",AA708,Z708)</f>
        <v>3</v>
      </c>
      <c r="BY708" s="55" t="str">
        <f aca="false">IF(BX708=1,"L1",IF(OR(BX708=2,BX708=3),"L23",IF(BX708="Aussen","Aussen","-")))</f>
        <v>L23</v>
      </c>
      <c r="BZ708" s="66" t="n">
        <f aca="false">IF(N(AB708)&gt;0,AB708,0)</f>
        <v>0</v>
      </c>
      <c r="CA708" s="60" t="n">
        <f aca="false">IF(ISNUMBER(AE708),1,0)</f>
        <v>0</v>
      </c>
      <c r="CB708" s="57" t="n">
        <f aca="false">N(AE708)</f>
        <v>0</v>
      </c>
      <c r="CC708" s="57" t="n">
        <f aca="false">N(M708)+N(N708)</f>
        <v>1</v>
      </c>
      <c r="CD708" s="57" t="n">
        <f aca="false">ROUNDUP(H708/BS708,0)</f>
        <v>1</v>
      </c>
      <c r="CE708" s="57" t="n">
        <f aca="false">ROUNDUP(CB708/BS708,0)</f>
        <v>0</v>
      </c>
      <c r="CF708" s="60" t="n">
        <f aca="false">IF(BT708=1,0,IFERROR(VLOOKUP(BR708,'Gebinde-Kategorie'!$A$5:$M$45,5,0)+0,0))</f>
        <v>8</v>
      </c>
      <c r="CG708" s="60" t="n">
        <f aca="false">IFERROR(IF(OR(BX708=1,BX708=2,BX708=3),N(INDEX(Parameter!$I$5:$I$7,BX708)),0),0)</f>
        <v>0</v>
      </c>
      <c r="CH708" s="59" t="n">
        <f aca="false">IF(AND(Parameter!$B$21="Ja",ISNUMBER(W708),N(X708)&gt;0),IFERROR(N(INDEX(Parameter!$L$5:$L$7,W708))*INDEX(Parameter!$E$5:$E$7,W708)*X708/SUMIFS($X$7:$X$1843,$W$7:$W$1843,W708),0),0)</f>
        <v>0</v>
      </c>
    </row>
    <row r="709" customFormat="false" ht="15" hidden="false" customHeight="false" outlineLevel="0" collapsed="false">
      <c r="A709" s="55" t="s">
        <v>1415</v>
      </c>
      <c r="B709" s="55" t="s">
        <v>1328</v>
      </c>
      <c r="C709" s="55" t="s">
        <v>164</v>
      </c>
      <c r="D709" s="55" t="s">
        <v>184</v>
      </c>
      <c r="E709" s="55" t="s">
        <v>185</v>
      </c>
      <c r="F709" s="55" t="s">
        <v>218</v>
      </c>
      <c r="G709" s="56" t="n">
        <v>55.5</v>
      </c>
      <c r="H709" s="57" t="n">
        <f aca="false">MAX(0,IF(AND(Parameter!$B$21="Ja",ISNUMBER(Y709)),Y709,IF(Parameter!$B$20="Jahresanfang 2025 + Export",BL709+BK709,BK709)))</f>
        <v>4</v>
      </c>
      <c r="I709" s="57" t="n">
        <f aca="false">H709*G709</f>
        <v>222</v>
      </c>
      <c r="J709" s="57" t="n">
        <f aca="false">BN709*Parameter!$B$18</f>
        <v>2</v>
      </c>
      <c r="K709" s="58" t="n">
        <v>3</v>
      </c>
      <c r="L709" s="59" t="n">
        <v>0.666666666666667</v>
      </c>
      <c r="M709" s="57" t="n">
        <v>0</v>
      </c>
      <c r="N709" s="57" t="n">
        <v>1</v>
      </c>
      <c r="O709" s="60" t="n">
        <v>28</v>
      </c>
      <c r="P709" s="55" t="s">
        <v>302</v>
      </c>
      <c r="Q709" s="57" t="n">
        <v>6</v>
      </c>
      <c r="R709" s="60" t="n">
        <f aca="false">IF(BT709=1,0,IFERROR(VLOOKUP(BR709,'Gebinde-Kategorie'!$A$5:$M$45,13,0)+0,0))</f>
        <v>26</v>
      </c>
      <c r="S709" s="61"/>
      <c r="T709" s="62"/>
      <c r="U709" s="62"/>
      <c r="V709" s="62"/>
      <c r="W709" s="55"/>
      <c r="X709" s="57"/>
      <c r="Y709" s="57"/>
      <c r="Z709" s="55" t="n">
        <f aca="false">IF(A709="","",IF(AND(Parameter!$B$21="Ja",ISNUMBER(W709)),W709,IF(BV709="2+3",IF(ISNUMBER(SEARCH("grosser Artikel",BO709)),2,IFERROR(VLOOKUP(BR709,Parameter!$F$35:$G$64,2,0),2)),IF(OR(BV709="Nein",BV709=""),"-",BV709))))</f>
        <v>3</v>
      </c>
      <c r="AA709" s="62"/>
      <c r="AB709" s="63"/>
      <c r="AC709" s="57" t="n">
        <f aca="false">AR709</f>
        <v>6</v>
      </c>
      <c r="AD709" s="57" t="n">
        <f aca="false">MAX(AR709,H709)</f>
        <v>6</v>
      </c>
      <c r="AE709" s="64"/>
      <c r="AF709" s="57" t="n">
        <f aca="false">IF(LEFT(Cockpit!$C$5,1)="A",H709,IF(CA709=1,CB709,IF(LEFT(Cockpit!$C$5,1)="B",AJ709,MAX(AJ709,H709))))</f>
        <v>4</v>
      </c>
      <c r="AG709" s="57" t="n">
        <f aca="false">IF(BT709=1,0,ROUNDUP(AF709/BS709,0))</f>
        <v>1</v>
      </c>
      <c r="AH709" s="59" t="n">
        <f aca="false">IF(CH709&gt;0,CH709*MAX(1,AF709/X709),IF(BT709=1,IF(AF709&lt;=0,0,BW709*MAX(1,IF(H709&gt;0,AF709/H709,1))),IF(R709&gt;0,AG709/R709,0))/MAX(0.1,N(Parameter!$M$21)))</f>
        <v>0.0384615384615385</v>
      </c>
      <c r="AI709" s="57" t="n">
        <f aca="false">AF709*G709</f>
        <v>222</v>
      </c>
      <c r="AJ709" s="57" t="n">
        <f aca="false">ROUNDUP(MAX(J709/IF(BZ709&gt;0,BZ709,MAX(0.1,N(Cockpit!$C$6))),CC709)/BS709,0)*BS709</f>
        <v>6</v>
      </c>
      <c r="AK709" s="58" t="n">
        <f aca="false">IF(AH709&gt;0,J709/AH709,-1)</f>
        <v>52</v>
      </c>
      <c r="AL709" s="58" t="n">
        <f aca="false">IF(AND(OR(BY709="L1",BY709="L23"),AH709&gt;0),SUMIFS($AH$7:$AH$1843,$BY$7:$BY$1843,BY709,$AK$7:$AK$1843,"&gt;"&amp;AK709)+SUMIFS($AH$7:$AH$1843,$BY$7:$BY$1843,BY709,$AK$7:$AK$1843,AK709,$BQ$7:$BQ$1843,"&lt;="&amp;BQ709),"")</f>
        <v>44.3952906996385</v>
      </c>
      <c r="AM709" s="65" t="n">
        <f aca="false">IF(AL709="",0,MAX(0,MIN(1,(IF(BY709="L1",Parameter!$E$5,Parameter!$E$6+Parameter!$E$7)-(AL709-AH709))/AH709)))</f>
        <v>1</v>
      </c>
      <c r="AN709" s="57" t="n">
        <f aca="false">IF(LEFT(Cockpit!$I$5,1)="A",H709,IF(CA709=1,CB709,IF(LEFT(Cockpit!$I$5,1)="B",AR709,MAX(AR709,H709))))</f>
        <v>6</v>
      </c>
      <c r="AO709" s="57" t="n">
        <f aca="false">IF(BT709=1,0,ROUNDUP(AN709/BS709,0))</f>
        <v>1</v>
      </c>
      <c r="AP709" s="59" t="n">
        <f aca="false">IF(CH709&gt;0,CH709*MAX(1,AN709/X709),IF(BT709=1,IF(AN709&lt;=0,0,BW709*MAX(1,IF(H709&gt;0,AN709/H709,1))),IF(R709&gt;0,AO709/R709,0))/MAX(0.1,N(Parameter!$M$21)))</f>
        <v>0.0384615384615385</v>
      </c>
      <c r="AQ709" s="57" t="n">
        <f aca="false">AN709*G709</f>
        <v>333</v>
      </c>
      <c r="AR709" s="57" t="n">
        <f aca="false">ROUNDUP(MAX(J709/IF(BZ709&gt;0,BZ709,MAX(0.1,N(Cockpit!$I$6))),CC709)/BS709,0)*BS709</f>
        <v>6</v>
      </c>
      <c r="AS709" s="58" t="n">
        <f aca="false">IF(AP709&gt;0,J709/AP709,-1)</f>
        <v>52</v>
      </c>
      <c r="AT709" s="58" t="n">
        <f aca="false">IF(AND(OR(BY709="L1",BY709="L23"),AP709&gt;0),SUMIFS($AP$7:$AP$1843,$BY$7:$BY$1843,BY709,$AS$7:$AS$1843,"&gt;"&amp;AS709)+SUMIFS($AP$7:$AP$1843,$BY$7:$BY$1843,BY709,$AS$7:$AS$1843,AS709,$BQ$7:$BQ$1843,"&lt;="&amp;BQ709),"")</f>
        <v>67.338645653863</v>
      </c>
      <c r="AU709" s="65" t="n">
        <f aca="false">IF(AT709="",0,MAX(0,MIN(1,(IF(BY709="L1",Parameter!$E$5,Parameter!$E$6+Parameter!$E$7)-(AT709-AP709))/AP709)))</f>
        <v>1</v>
      </c>
      <c r="AV709" s="57" t="n">
        <f aca="false">IF(LEFT(Cockpit!$O$5,1)="A",H709,IF(CA709=1,CB709,IF(LEFT(Cockpit!$O$5,1)="B",AZ709,MAX(AZ709,H709))))</f>
        <v>6</v>
      </c>
      <c r="AW709" s="57" t="n">
        <f aca="false">IF(BT709=1,0,ROUNDUP(AV709/BS709,0))</f>
        <v>1</v>
      </c>
      <c r="AX709" s="59" t="n">
        <f aca="false">IF(CH709&gt;0,CH709*MAX(1,AV709/X709),IF(BT709=1,IF(AV709&lt;=0,0,BW709*MAX(1,IF(H709&gt;0,AV709/H709,1))),IF(R709&gt;0,AW709/R709,0))/MAX(0.1,N(Parameter!$M$21)))</f>
        <v>0.0384615384615385</v>
      </c>
      <c r="AY709" s="57" t="n">
        <f aca="false">AV709*G709</f>
        <v>333</v>
      </c>
      <c r="AZ709" s="57" t="n">
        <f aca="false">ROUNDUP(MAX(J709/IF(BZ709&gt;0,BZ709,MAX(0.1,N(Cockpit!$O$6))),CC709)/BS709,0)*BS709</f>
        <v>6</v>
      </c>
      <c r="BA709" s="58" t="n">
        <f aca="false">IF(AX709&gt;0,J709/AX709,-1)</f>
        <v>52</v>
      </c>
      <c r="BB709" s="58" t="n">
        <f aca="false">IF(AND(OR(BY709="L1",BY709="L23"),AX709&gt;0),SUMIFS($AX$7:$AX$1843,$BY$7:$BY$1843,BY709,$BA$7:$BA$1843,"&gt;"&amp;BA709)+SUMIFS($AX$7:$AX$1843,$BY$7:$BY$1843,BY709,$BA$7:$BA$1843,BA709,$BQ$7:$BQ$1843,"&lt;="&amp;BQ709),"")</f>
        <v>61.8351491503665</v>
      </c>
      <c r="BC709" s="65" t="n">
        <f aca="false">IF(BB709="",0,MAX(0,MIN(1,(IF(BY709="L1",Parameter!$E$5,Parameter!$E$6+Parameter!$E$7)-(BB709-AX709))/AX709)))</f>
        <v>1</v>
      </c>
      <c r="BD709" s="55" t="str">
        <f aca="false">IF(AH709&lt;=0,"",IF(BY709="Aussen","Aussenlager",IF(BY709="-","Nicht im Lift",IF(AM709&gt;=1,"Lift",IF(AM709&lt;=0,"Aussenlager","teilweise")))))</f>
        <v>Lift</v>
      </c>
      <c r="BE709" s="55" t="str">
        <f aca="false">IF(AP709&lt;=0,"",IF(BY709="Aussen","Aussenlager",IF(BY709="-","Nicht im Lift",IF(AU709&gt;=1,"Lift",IF(AU709&lt;=0,"Aussenlager","teilweise")))))</f>
        <v>Lift</v>
      </c>
      <c r="BF709" s="55" t="str">
        <f aca="false">IF(AX709&lt;=0,"",IF(BY709="Aussen","Aussenlager",IF(BY709="-","Nicht im Lift",IF(BC709&gt;=1,"Lift",IF(BC709&lt;=0,"Aussenlager","teilweise")))))</f>
        <v>Lift</v>
      </c>
      <c r="BG709" s="55" t="str">
        <f aca="false">IF(A709="","",IF(BP709=1,"Neu; ","")&amp;IF(AND(BP709=0,BK709&lt;0),"negativer Bestand (Export "&amp;BK709&amp;"); ","")&amp;IF(J709&lt;=0,"Kein Verbrauch; ","")&amp;IF(CH709&gt;0,"Lift "&amp;W709&amp;" lt. Liftbericht (Fach "&amp;X709&amp;" Stk); ",IF(BU709=1,"Gebinde geschätzt ("&amp;T709&amp;"); ",IF(BT709=1,"Lose – Tablare geschätzt; ","")))&amp;IF(H709&gt;AR709,"Überbestand "&amp;ROUND(H709-AR709,0)&amp;" Stk / CHF "&amp;ROUND((H709-AR709)*G709,0)&amp;"; ","")&amp;IF(AND(CA709=1,CB709&lt;CC709),"MAX &lt; MB+LG; ","")&amp;IF(AND(CG709&gt;0,CF709*10&gt;CG709),"zu hoch für Tablar; ","")&amp;IF(AND(BP709=0,OR(CA709=1,AA709&lt;&gt;"",U709&lt;&gt;"",V709&lt;&gt;"",AB709&lt;&gt;"")),"manuell übersteuert; ","")&amp;IF(AND(BT709=0,R709=0),"Gebinde unbekannt / Stellmass fehlt; ","")&amp;IF(AND(BT709=0,N(V709)&lt;=0,N(Q709)&lt;=0),"Menge pro Gebinde fehlt (Ist = 1 Gebinde); ","")&amp;BO709)</f>
        <v/>
      </c>
      <c r="BH709" s="55"/>
      <c r="BI709" s="55"/>
      <c r="BJ709" s="62"/>
      <c r="BK709" s="57" t="n">
        <v>0</v>
      </c>
      <c r="BL709" s="57" t="n">
        <v>4</v>
      </c>
      <c r="BM709" s="56" t="n">
        <v>0</v>
      </c>
      <c r="BN709" s="57" t="n">
        <v>2</v>
      </c>
      <c r="BO709" s="55"/>
      <c r="BP709" s="60" t="n">
        <v>0</v>
      </c>
      <c r="BQ709" s="60" t="n">
        <v>709</v>
      </c>
      <c r="BR709" s="55" t="str">
        <f aca="false">IF(U709&lt;&gt;"",UPPER(TRIM(U709)),IF(BU709=1,UPPER(VLOOKUP(T709,Parameter!$I$27:$K$29,2,0)),IF(P709="","LOSE",P709)))</f>
        <v>S51</v>
      </c>
      <c r="BS709" s="57" t="n">
        <f aca="false">IF(BR709="LOSE",1,IF(N(V709)&gt;0,V709,IF(BU709=1,MAX(1,N(VLOOKUP(T709,Parameter!$I$27:$K$29,3,0)),H709,N(N709)),IF(N(Q709)&gt;0,Q709,MAX(1,H709)))))</f>
        <v>6</v>
      </c>
      <c r="BT709" s="60" t="n">
        <f aca="false">IF(BR709="LOSE",1,0)</f>
        <v>0</v>
      </c>
      <c r="BU709" s="60" t="n">
        <f aca="false">IF(AND(U709="",OR(P709="",P709="LOSE"),T709&lt;&gt;"",N(S709)&lt;=0,ISNUMBER(MATCH(T709,Parameter!$I$27:$I$29,0))),1,0)</f>
        <v>0</v>
      </c>
      <c r="BV709" s="55" t="str">
        <f aca="false">IF(AND(Parameter!$B$19="Ja",E709&lt;&gt;"",ISNUMBER(MATCH(E709,Parameter!$I$35:$I$52,0))),VLOOKUP(E709,Parameter!$I$35:$J$52,2,0),IFERROR(VLOOKUP(D709,Parameter!$A$35:$C$64,2,0),"Nein"))</f>
        <v>2+3</v>
      </c>
      <c r="BW709" s="59" t="n">
        <f aca="false">IF(BT709=0,0,IF(N(S709)&gt;0,S709,IFERROR(VLOOKUP(D709,Parameter!$A$35:$C$64,3,0)+0,0)))</f>
        <v>0</v>
      </c>
      <c r="BX709" s="55" t="n">
        <f aca="false">IF(AA709&lt;&gt;"",AA709,Z709)</f>
        <v>3</v>
      </c>
      <c r="BY709" s="55" t="str">
        <f aca="false">IF(BX709=1,"L1",IF(OR(BX709=2,BX709=3),"L23",IF(BX709="Aussen","Aussen","-")))</f>
        <v>L23</v>
      </c>
      <c r="BZ709" s="66" t="n">
        <f aca="false">IF(N(AB709)&gt;0,AB709,0)</f>
        <v>0</v>
      </c>
      <c r="CA709" s="60" t="n">
        <f aca="false">IF(ISNUMBER(AE709),1,0)</f>
        <v>0</v>
      </c>
      <c r="CB709" s="57" t="n">
        <f aca="false">N(AE709)</f>
        <v>0</v>
      </c>
      <c r="CC709" s="57" t="n">
        <f aca="false">N(M709)+N(N709)</f>
        <v>1</v>
      </c>
      <c r="CD709" s="57" t="n">
        <f aca="false">ROUNDUP(H709/BS709,0)</f>
        <v>1</v>
      </c>
      <c r="CE709" s="57" t="n">
        <f aca="false">ROUNDUP(CB709/BS709,0)</f>
        <v>0</v>
      </c>
      <c r="CF709" s="60" t="n">
        <f aca="false">IF(BT709=1,0,IFERROR(VLOOKUP(BR709,'Gebinde-Kategorie'!$A$5:$M$45,5,0)+0,0))</f>
        <v>11</v>
      </c>
      <c r="CG709" s="60" t="n">
        <f aca="false">IFERROR(IF(OR(BX709=1,BX709=2,BX709=3),N(INDEX(Parameter!$I$5:$I$7,BX709)),0),0)</f>
        <v>0</v>
      </c>
      <c r="CH709" s="59" t="n">
        <f aca="false">IF(AND(Parameter!$B$21="Ja",ISNUMBER(W709),N(X709)&gt;0),IFERROR(N(INDEX(Parameter!$L$5:$L$7,W709))*INDEX(Parameter!$E$5:$E$7,W709)*X709/SUMIFS($X$7:$X$1843,$W$7:$W$1843,W709),0),0)</f>
        <v>0</v>
      </c>
    </row>
    <row r="710" customFormat="false" ht="15" hidden="false" customHeight="false" outlineLevel="0" collapsed="false">
      <c r="A710" s="55" t="s">
        <v>1416</v>
      </c>
      <c r="B710" s="55" t="s">
        <v>1417</v>
      </c>
      <c r="C710" s="55" t="s">
        <v>164</v>
      </c>
      <c r="D710" s="55" t="s">
        <v>184</v>
      </c>
      <c r="E710" s="55"/>
      <c r="F710" s="55" t="s">
        <v>218</v>
      </c>
      <c r="G710" s="56" t="n">
        <v>268</v>
      </c>
      <c r="H710" s="57" t="n">
        <f aca="false">MAX(0,IF(AND(Parameter!$B$21="Ja",ISNUMBER(Y710)),Y710,IF(Parameter!$B$20="Jahresanfang 2025 + Export",BL710+BK710,BK710)))</f>
        <v>0</v>
      </c>
      <c r="I710" s="57" t="n">
        <f aca="false">H710*G710</f>
        <v>0</v>
      </c>
      <c r="J710" s="57" t="n">
        <f aca="false">BN710*Parameter!$B$18</f>
        <v>0</v>
      </c>
      <c r="K710" s="58" t="n">
        <v>0</v>
      </c>
      <c r="L710" s="59" t="n">
        <v>0</v>
      </c>
      <c r="M710" s="57" t="n">
        <v>0</v>
      </c>
      <c r="N710" s="57" t="n">
        <v>1</v>
      </c>
      <c r="O710" s="60" t="n">
        <v>90</v>
      </c>
      <c r="P710" s="55" t="s">
        <v>168</v>
      </c>
      <c r="Q710" s="57"/>
      <c r="R710" s="60" t="n">
        <f aca="false">IF(BT710=1,0,IFERROR(VLOOKUP(BR710,'Gebinde-Kategorie'!$A$5:$M$45,13,0)+0,0))</f>
        <v>26</v>
      </c>
      <c r="S710" s="61"/>
      <c r="T710" s="62" t="s">
        <v>275</v>
      </c>
      <c r="U710" s="62"/>
      <c r="V710" s="62"/>
      <c r="W710" s="55"/>
      <c r="X710" s="57"/>
      <c r="Y710" s="57"/>
      <c r="Z710" s="55" t="n">
        <f aca="false">IF(A710="","",IF(AND(Parameter!$B$21="Ja",ISNUMBER(W710)),W710,IF(BV710="2+3",IF(ISNUMBER(SEARCH("grosser Artikel",BO710)),2,IFERROR(VLOOKUP(BR710,Parameter!$F$35:$G$64,2,0),2)),IF(OR(BV710="Nein",BV710=""),"-",BV710))))</f>
        <v>3</v>
      </c>
      <c r="AA710" s="62"/>
      <c r="AB710" s="63"/>
      <c r="AC710" s="57" t="n">
        <f aca="false">AR710</f>
        <v>20</v>
      </c>
      <c r="AD710" s="57" t="n">
        <f aca="false">MAX(AR710,H710)</f>
        <v>20</v>
      </c>
      <c r="AE710" s="64"/>
      <c r="AF710" s="57" t="n">
        <f aca="false">IF(LEFT(Cockpit!$C$5,1)="A",H710,IF(CA710=1,CB710,IF(LEFT(Cockpit!$C$5,1)="B",AJ710,MAX(AJ710,H710))))</f>
        <v>0</v>
      </c>
      <c r="AG710" s="57" t="n">
        <f aca="false">IF(BT710=1,0,ROUNDUP(AF710/BS710,0))</f>
        <v>0</v>
      </c>
      <c r="AH710" s="59" t="n">
        <f aca="false">IF(CH710&gt;0,CH710*MAX(1,AF710/X710),IF(BT710=1,IF(AF710&lt;=0,0,BW710*MAX(1,IF(H710&gt;0,AF710/H710,1))),IF(R710&gt;0,AG710/R710,0))/MAX(0.1,N(Parameter!$M$21)))</f>
        <v>0</v>
      </c>
      <c r="AI710" s="57" t="n">
        <f aca="false">AF710*G710</f>
        <v>0</v>
      </c>
      <c r="AJ710" s="57" t="n">
        <f aca="false">ROUNDUP(MAX(J710/IF(BZ710&gt;0,BZ710,MAX(0.1,N(Cockpit!$C$6))),CC710)/BS710,0)*BS710</f>
        <v>20</v>
      </c>
      <c r="AK710" s="58" t="n">
        <f aca="false">IF(AH710&gt;0,J710/AH710,-1)</f>
        <v>-1</v>
      </c>
      <c r="AL710" s="58" t="str">
        <f aca="false">IF(AND(OR(BY710="L1",BY710="L23"),AH710&gt;0),SUMIFS($AH$7:$AH$1843,$BY$7:$BY$1843,BY710,$AK$7:$AK$1843,"&gt;"&amp;AK710)+SUMIFS($AH$7:$AH$1843,$BY$7:$BY$1843,BY710,$AK$7:$AK$1843,AK710,$BQ$7:$BQ$1843,"&lt;="&amp;BQ710),"")</f>
        <v/>
      </c>
      <c r="AM710" s="65" t="n">
        <f aca="false">IF(AL710="",0,MAX(0,MIN(1,(IF(BY710="L1",Parameter!$E$5,Parameter!$E$6+Parameter!$E$7)-(AL710-AH710))/AH710)))</f>
        <v>0</v>
      </c>
      <c r="AN710" s="57" t="n">
        <f aca="false">IF(LEFT(Cockpit!$I$5,1)="A",H710,IF(CA710=1,CB710,IF(LEFT(Cockpit!$I$5,1)="B",AR710,MAX(AR710,H710))))</f>
        <v>20</v>
      </c>
      <c r="AO710" s="57" t="n">
        <f aca="false">IF(BT710=1,0,ROUNDUP(AN710/BS710,0))</f>
        <v>1</v>
      </c>
      <c r="AP710" s="59" t="n">
        <f aca="false">IF(CH710&gt;0,CH710*MAX(1,AN710/X710),IF(BT710=1,IF(AN710&lt;=0,0,BW710*MAX(1,IF(H710&gt;0,AN710/H710,1))),IF(R710&gt;0,AO710/R710,0))/MAX(0.1,N(Parameter!$M$21)))</f>
        <v>0.0384615384615385</v>
      </c>
      <c r="AQ710" s="57" t="n">
        <f aca="false">AN710*G710</f>
        <v>5360</v>
      </c>
      <c r="AR710" s="57" t="n">
        <f aca="false">ROUNDUP(MAX(J710/IF(BZ710&gt;0,BZ710,MAX(0.1,N(Cockpit!$I$6))),CC710)/BS710,0)*BS710</f>
        <v>20</v>
      </c>
      <c r="AS710" s="58" t="n">
        <f aca="false">IF(AP710&gt;0,J710/AP710,-1)</f>
        <v>0</v>
      </c>
      <c r="AT710" s="58" t="n">
        <f aca="false">IF(AND(OR(BY710="L1",BY710="L23"),AP710&gt;0),SUMIFS($AP$7:$AP$1843,$BY$7:$BY$1843,BY710,$AS$7:$AS$1843,"&gt;"&amp;AS710)+SUMIFS($AP$7:$AP$1843,$BY$7:$BY$1843,BY710,$AS$7:$AS$1843,AS710,$BQ$7:$BQ$1843,"&lt;="&amp;BQ710),"")</f>
        <v>116.537000439174</v>
      </c>
      <c r="AU710" s="65" t="n">
        <f aca="false">IF(AT710="",0,MAX(0,MIN(1,(IF(BY710="L1",Parameter!$E$5,Parameter!$E$6+Parameter!$E$7)-(AT710-AP710))/AP710)))</f>
        <v>0</v>
      </c>
      <c r="AV710" s="57" t="n">
        <f aca="false">IF(LEFT(Cockpit!$O$5,1)="A",H710,IF(CA710=1,CB710,IF(LEFT(Cockpit!$O$5,1)="B",AZ710,MAX(AZ710,H710))))</f>
        <v>20</v>
      </c>
      <c r="AW710" s="57" t="n">
        <f aca="false">IF(BT710=1,0,ROUNDUP(AV710/BS710,0))</f>
        <v>1</v>
      </c>
      <c r="AX710" s="59" t="n">
        <f aca="false">IF(CH710&gt;0,CH710*MAX(1,AV710/X710),IF(BT710=1,IF(AV710&lt;=0,0,BW710*MAX(1,IF(H710&gt;0,AV710/H710,1))),IF(R710&gt;0,AW710/R710,0))/MAX(0.1,N(Parameter!$M$21)))</f>
        <v>0.0384615384615385</v>
      </c>
      <c r="AY710" s="57" t="n">
        <f aca="false">AV710*G710</f>
        <v>5360</v>
      </c>
      <c r="AZ710" s="57" t="n">
        <f aca="false">ROUNDUP(MAX(J710/IF(BZ710&gt;0,BZ710,MAX(0.1,N(Cockpit!$O$6))),CC710)/BS710,0)*BS710</f>
        <v>20</v>
      </c>
      <c r="BA710" s="58" t="n">
        <f aca="false">IF(AX710&gt;0,J710/AX710,-1)</f>
        <v>0</v>
      </c>
      <c r="BB710" s="58" t="n">
        <f aca="false">IF(AND(OR(BY710="L1",BY710="L23"),AX710&gt;0),SUMIFS($AX$7:$AX$1843,$BY$7:$BY$1843,BY710,$BA$7:$BA$1843,"&gt;"&amp;BA710)+SUMIFS($AX$7:$AX$1843,$BY$7:$BY$1843,BY710,$BA$7:$BA$1843,BA710,$BQ$7:$BQ$1843,"&lt;="&amp;BQ710),"")</f>
        <v>107.366837269011</v>
      </c>
      <c r="BC710" s="65" t="n">
        <f aca="false">IF(BB710="",0,MAX(0,MIN(1,(IF(BY710="L1",Parameter!$E$5,Parameter!$E$6+Parameter!$E$7)-(BB710-AX710))/AX710)))</f>
        <v>0</v>
      </c>
      <c r="BD710" s="55" t="str">
        <f aca="false">IF(AH710&lt;=0,"",IF(BY710="Aussen","Aussenlager",IF(BY710="-","Nicht im Lift",IF(AM710&gt;=1,"Lift",IF(AM710&lt;=0,"Aussenlager","teilweise")))))</f>
        <v/>
      </c>
      <c r="BE710" s="55" t="str">
        <f aca="false">IF(AP710&lt;=0,"",IF(BY710="Aussen","Aussenlager",IF(BY710="-","Nicht im Lift",IF(AU710&gt;=1,"Lift",IF(AU710&lt;=0,"Aussenlager","teilweise")))))</f>
        <v>Aussenlager</v>
      </c>
      <c r="BF710" s="55" t="str">
        <f aca="false">IF(AX710&lt;=0,"",IF(BY710="Aussen","Aussenlager",IF(BY710="-","Nicht im Lift",IF(BC710&gt;=1,"Lift",IF(BC710&lt;=0,"Aussenlager","teilweise")))))</f>
        <v>Aussenlager</v>
      </c>
      <c r="BG710" s="55" t="str">
        <f aca="false">IF(A710="","",IF(BP710=1,"Neu; ","")&amp;IF(AND(BP710=0,BK710&lt;0),"negativer Bestand (Export "&amp;BK710&amp;"); ","")&amp;IF(J710&lt;=0,"Kein Verbrauch; ","")&amp;IF(CH710&gt;0,"Lift "&amp;W710&amp;" lt. Liftbericht (Fach "&amp;X710&amp;" Stk); ",IF(BU710=1,"Gebinde geschätzt ("&amp;T710&amp;"); ",IF(BT710=1,"Lose – Tablare geschätzt; ","")))&amp;IF(H710&gt;AR710,"Überbestand "&amp;ROUND(H710-AR710,0)&amp;" Stk / CHF "&amp;ROUND((H710-AR710)*G710,0)&amp;"; ","")&amp;IF(AND(CA710=1,CB710&lt;CC710),"MAX &lt; MB+LG; ","")&amp;IF(AND(CG710&gt;0,CF710*10&gt;CG710),"zu hoch für Tablar; ","")&amp;IF(AND(BP710=0,OR(CA710=1,AA710&lt;&gt;"",U710&lt;&gt;"",V710&lt;&gt;"",AB710&lt;&gt;"")),"manuell übersteuert; ","")&amp;IF(AND(BT710=0,R710=0),"Gebinde unbekannt / Stellmass fehlt; ","")&amp;IF(AND(BT710=0,N(V710)&lt;=0,N(Q710)&lt;=0),"Menge pro Gebinde fehlt (Ist = 1 Gebinde); ","")&amp;BO710)</f>
        <v>Kein Verbrauch; Gebinde geschätzt (Klein); Menge pro Gebinde fehlt (Ist = 1 Gebinde); </v>
      </c>
      <c r="BH710" s="55"/>
      <c r="BI710" s="55"/>
      <c r="BJ710" s="62"/>
      <c r="BK710" s="57" t="n">
        <v>0</v>
      </c>
      <c r="BL710" s="57" t="n">
        <v>0</v>
      </c>
      <c r="BM710" s="56" t="n">
        <v>0</v>
      </c>
      <c r="BN710" s="57" t="n">
        <v>0</v>
      </c>
      <c r="BO710" s="55"/>
      <c r="BP710" s="60" t="n">
        <v>0</v>
      </c>
      <c r="BQ710" s="60" t="n">
        <v>710</v>
      </c>
      <c r="BR710" s="55" t="str">
        <f aca="false">IF(U710&lt;&gt;"",UPPER(TRIM(U710)),IF(BU710=1,UPPER(VLOOKUP(T710,Parameter!$I$27:$K$29,2,0)),IF(P710="","LOSE",P710)))</f>
        <v>S51</v>
      </c>
      <c r="BS710" s="57" t="n">
        <f aca="false">IF(BR710="LOSE",1,IF(N(V710)&gt;0,V710,IF(BU710=1,MAX(1,N(VLOOKUP(T710,Parameter!$I$27:$K$29,3,0)),H710,N(N710)),IF(N(Q710)&gt;0,Q710,MAX(1,H710)))))</f>
        <v>20</v>
      </c>
      <c r="BT710" s="60" t="n">
        <f aca="false">IF(BR710="LOSE",1,0)</f>
        <v>0</v>
      </c>
      <c r="BU710" s="60" t="n">
        <f aca="false">IF(AND(U710="",OR(P710="",P710="LOSE"),T710&lt;&gt;"",N(S710)&lt;=0,ISNUMBER(MATCH(T710,Parameter!$I$27:$I$29,0))),1,0)</f>
        <v>1</v>
      </c>
      <c r="BV710" s="55" t="str">
        <f aca="false">IF(AND(Parameter!$B$19="Ja",E710&lt;&gt;"",ISNUMBER(MATCH(E710,Parameter!$I$35:$I$52,0))),VLOOKUP(E710,Parameter!$I$35:$J$52,2,0),IFERROR(VLOOKUP(D710,Parameter!$A$35:$C$64,2,0),"Nein"))</f>
        <v>2+3</v>
      </c>
      <c r="BW710" s="59" t="n">
        <f aca="false">IF(BT710=0,0,IF(N(S710)&gt;0,S710,IFERROR(VLOOKUP(D710,Parameter!$A$35:$C$64,3,0)+0,0)))</f>
        <v>0</v>
      </c>
      <c r="BX710" s="55" t="n">
        <f aca="false">IF(AA710&lt;&gt;"",AA710,Z710)</f>
        <v>3</v>
      </c>
      <c r="BY710" s="55" t="str">
        <f aca="false">IF(BX710=1,"L1",IF(OR(BX710=2,BX710=3),"L23",IF(BX710="Aussen","Aussen","-")))</f>
        <v>L23</v>
      </c>
      <c r="BZ710" s="66" t="n">
        <f aca="false">IF(N(AB710)&gt;0,AB710,0)</f>
        <v>0</v>
      </c>
      <c r="CA710" s="60" t="n">
        <f aca="false">IF(ISNUMBER(AE710),1,0)</f>
        <v>0</v>
      </c>
      <c r="CB710" s="57" t="n">
        <f aca="false">N(AE710)</f>
        <v>0</v>
      </c>
      <c r="CC710" s="57" t="n">
        <f aca="false">N(M710)+N(N710)</f>
        <v>1</v>
      </c>
      <c r="CD710" s="57" t="n">
        <f aca="false">ROUNDUP(H710/BS710,0)</f>
        <v>0</v>
      </c>
      <c r="CE710" s="57" t="n">
        <f aca="false">ROUNDUP(CB710/BS710,0)</f>
        <v>0</v>
      </c>
      <c r="CF710" s="60" t="n">
        <f aca="false">IF(BT710=1,0,IFERROR(VLOOKUP(BR710,'Gebinde-Kategorie'!$A$5:$M$45,5,0)+0,0))</f>
        <v>11</v>
      </c>
      <c r="CG710" s="60" t="n">
        <f aca="false">IFERROR(IF(OR(BX710=1,BX710=2,BX710=3),N(INDEX(Parameter!$I$5:$I$7,BX710)),0),0)</f>
        <v>0</v>
      </c>
      <c r="CH710" s="59" t="n">
        <f aca="false">IF(AND(Parameter!$B$21="Ja",ISNUMBER(W710),N(X710)&gt;0),IFERROR(N(INDEX(Parameter!$L$5:$L$7,W710))*INDEX(Parameter!$E$5:$E$7,W710)*X710/SUMIFS($X$7:$X$1843,$W$7:$W$1843,W710),0),0)</f>
        <v>0</v>
      </c>
    </row>
    <row r="711" customFormat="false" ht="15" hidden="false" customHeight="false" outlineLevel="0" collapsed="false">
      <c r="A711" s="55" t="s">
        <v>1418</v>
      </c>
      <c r="B711" s="55" t="s">
        <v>1419</v>
      </c>
      <c r="C711" s="55" t="s">
        <v>164</v>
      </c>
      <c r="D711" s="55" t="s">
        <v>184</v>
      </c>
      <c r="E711" s="55"/>
      <c r="F711" s="55" t="s">
        <v>218</v>
      </c>
      <c r="G711" s="56" t="n">
        <v>644</v>
      </c>
      <c r="H711" s="57" t="n">
        <f aca="false">MAX(0,IF(AND(Parameter!$B$21="Ja",ISNUMBER(Y711)),Y711,IF(Parameter!$B$20="Jahresanfang 2025 + Export",BL711+BK711,BK711)))</f>
        <v>0</v>
      </c>
      <c r="I711" s="57" t="n">
        <f aca="false">H711*G711</f>
        <v>0</v>
      </c>
      <c r="J711" s="57" t="n">
        <f aca="false">BN711*Parameter!$B$18</f>
        <v>1</v>
      </c>
      <c r="K711" s="58" t="n">
        <v>0</v>
      </c>
      <c r="L711" s="59" t="n">
        <v>0</v>
      </c>
      <c r="M711" s="57" t="n">
        <v>0</v>
      </c>
      <c r="N711" s="57" t="n">
        <v>1</v>
      </c>
      <c r="O711" s="60" t="n">
        <v>28</v>
      </c>
      <c r="P711" s="55" t="s">
        <v>168</v>
      </c>
      <c r="Q711" s="57"/>
      <c r="R711" s="60" t="n">
        <f aca="false">IF(BT711=1,0,IFERROR(VLOOKUP(BR711,'Gebinde-Kategorie'!$A$5:$M$45,13,0)+0,0))</f>
        <v>26</v>
      </c>
      <c r="S711" s="61"/>
      <c r="T711" s="62" t="s">
        <v>275</v>
      </c>
      <c r="U711" s="62"/>
      <c r="V711" s="62"/>
      <c r="W711" s="55"/>
      <c r="X711" s="57"/>
      <c r="Y711" s="57"/>
      <c r="Z711" s="55" t="n">
        <f aca="false">IF(A711="","",IF(AND(Parameter!$B$21="Ja",ISNUMBER(W711)),W711,IF(BV711="2+3",IF(ISNUMBER(SEARCH("grosser Artikel",BO711)),2,IFERROR(VLOOKUP(BR711,Parameter!$F$35:$G$64,2,0),2)),IF(OR(BV711="Nein",BV711=""),"-",BV711))))</f>
        <v>3</v>
      </c>
      <c r="AA711" s="62"/>
      <c r="AB711" s="63"/>
      <c r="AC711" s="57" t="n">
        <f aca="false">AR711</f>
        <v>20</v>
      </c>
      <c r="AD711" s="57" t="n">
        <f aca="false">MAX(AR711,H711)</f>
        <v>20</v>
      </c>
      <c r="AE711" s="64"/>
      <c r="AF711" s="57" t="n">
        <f aca="false">IF(LEFT(Cockpit!$C$5,1)="A",H711,IF(CA711=1,CB711,IF(LEFT(Cockpit!$C$5,1)="B",AJ711,MAX(AJ711,H711))))</f>
        <v>0</v>
      </c>
      <c r="AG711" s="57" t="n">
        <f aca="false">IF(BT711=1,0,ROUNDUP(AF711/BS711,0))</f>
        <v>0</v>
      </c>
      <c r="AH711" s="59" t="n">
        <f aca="false">IF(CH711&gt;0,CH711*MAX(1,AF711/X711),IF(BT711=1,IF(AF711&lt;=0,0,BW711*MAX(1,IF(H711&gt;0,AF711/H711,1))),IF(R711&gt;0,AG711/R711,0))/MAX(0.1,N(Parameter!$M$21)))</f>
        <v>0</v>
      </c>
      <c r="AI711" s="57" t="n">
        <f aca="false">AF711*G711</f>
        <v>0</v>
      </c>
      <c r="AJ711" s="57" t="n">
        <f aca="false">ROUNDUP(MAX(J711/IF(BZ711&gt;0,BZ711,MAX(0.1,N(Cockpit!$C$6))),CC711)/BS711,0)*BS711</f>
        <v>20</v>
      </c>
      <c r="AK711" s="58" t="n">
        <f aca="false">IF(AH711&gt;0,J711/AH711,-1)</f>
        <v>-1</v>
      </c>
      <c r="AL711" s="58" t="str">
        <f aca="false">IF(AND(OR(BY711="L1",BY711="L23"),AH711&gt;0),SUMIFS($AH$7:$AH$1843,$BY$7:$BY$1843,BY711,$AK$7:$AK$1843,"&gt;"&amp;AK711)+SUMIFS($AH$7:$AH$1843,$BY$7:$BY$1843,BY711,$AK$7:$AK$1843,AK711,$BQ$7:$BQ$1843,"&lt;="&amp;BQ711),"")</f>
        <v/>
      </c>
      <c r="AM711" s="65" t="n">
        <f aca="false">IF(AL711="",0,MAX(0,MIN(1,(IF(BY711="L1",Parameter!$E$5,Parameter!$E$6+Parameter!$E$7)-(AL711-AH711))/AH711)))</f>
        <v>0</v>
      </c>
      <c r="AN711" s="57" t="n">
        <f aca="false">IF(LEFT(Cockpit!$I$5,1)="A",H711,IF(CA711=1,CB711,IF(LEFT(Cockpit!$I$5,1)="B",AR711,MAX(AR711,H711))))</f>
        <v>20</v>
      </c>
      <c r="AO711" s="57" t="n">
        <f aca="false">IF(BT711=1,0,ROUNDUP(AN711/BS711,0))</f>
        <v>1</v>
      </c>
      <c r="AP711" s="59" t="n">
        <f aca="false">IF(CH711&gt;0,CH711*MAX(1,AN711/X711),IF(BT711=1,IF(AN711&lt;=0,0,BW711*MAX(1,IF(H711&gt;0,AN711/H711,1))),IF(R711&gt;0,AO711/R711,0))/MAX(0.1,N(Parameter!$M$21)))</f>
        <v>0.0384615384615385</v>
      </c>
      <c r="AQ711" s="57" t="n">
        <f aca="false">AN711*G711</f>
        <v>12880</v>
      </c>
      <c r="AR711" s="57" t="n">
        <f aca="false">ROUNDUP(MAX(J711/IF(BZ711&gt;0,BZ711,MAX(0.1,N(Cockpit!$I$6))),CC711)/BS711,0)*BS711</f>
        <v>20</v>
      </c>
      <c r="AS711" s="58" t="n">
        <f aca="false">IF(AP711&gt;0,J711/AP711,-1)</f>
        <v>26</v>
      </c>
      <c r="AT711" s="58" t="n">
        <f aca="false">IF(AND(OR(BY711="L1",BY711="L23"),AP711&gt;0),SUMIFS($AP$7:$AP$1843,$BY$7:$BY$1843,BY711,$AS$7:$AS$1843,"&gt;"&amp;AS711)+SUMIFS($AP$7:$AP$1843,$BY$7:$BY$1843,BY711,$AS$7:$AS$1843,AS711,$BQ$7:$BQ$1843,"&lt;="&amp;BQ711),"")</f>
        <v>73.6341001993176</v>
      </c>
      <c r="AU711" s="65" t="n">
        <f aca="false">IF(AT711="",0,MAX(0,MIN(1,(IF(BY711="L1",Parameter!$E$5,Parameter!$E$6+Parameter!$E$7)-(AT711-AP711))/AP711)))</f>
        <v>1</v>
      </c>
      <c r="AV711" s="57" t="n">
        <f aca="false">IF(LEFT(Cockpit!$O$5,1)="A",H711,IF(CA711=1,CB711,IF(LEFT(Cockpit!$O$5,1)="B",AZ711,MAX(AZ711,H711))))</f>
        <v>20</v>
      </c>
      <c r="AW711" s="57" t="n">
        <f aca="false">IF(BT711=1,0,ROUNDUP(AV711/BS711,0))</f>
        <v>1</v>
      </c>
      <c r="AX711" s="59" t="n">
        <f aca="false">IF(CH711&gt;0,CH711*MAX(1,AV711/X711),IF(BT711=1,IF(AV711&lt;=0,0,BW711*MAX(1,IF(H711&gt;0,AV711/H711,1))),IF(R711&gt;0,AW711/R711,0))/MAX(0.1,N(Parameter!$M$21)))</f>
        <v>0.0384615384615385</v>
      </c>
      <c r="AY711" s="57" t="n">
        <f aca="false">AV711*G711</f>
        <v>12880</v>
      </c>
      <c r="AZ711" s="57" t="n">
        <f aca="false">ROUNDUP(MAX(J711/IF(BZ711&gt;0,BZ711,MAX(0.1,N(Cockpit!$O$6))),CC711)/BS711,0)*BS711</f>
        <v>20</v>
      </c>
      <c r="BA711" s="58" t="n">
        <f aca="false">IF(AX711&gt;0,J711/AX711,-1)</f>
        <v>26</v>
      </c>
      <c r="BB711" s="58" t="n">
        <f aca="false">IF(AND(OR(BY711="L1",BY711="L23"),AX711&gt;0),SUMIFS($AX$7:$AX$1843,$BY$7:$BY$1843,BY711,$BA$7:$BA$1843,"&gt;"&amp;BA711)+SUMIFS($AX$7:$AX$1843,$BY$7:$BY$1843,BY711,$BA$7:$BA$1843,BA711,$BQ$7:$BQ$1843,"&lt;="&amp;BQ711),"")</f>
        <v>69.1306036958211</v>
      </c>
      <c r="BC711" s="65" t="n">
        <f aca="false">IF(BB711="",0,MAX(0,MIN(1,(IF(BY711="L1",Parameter!$E$5,Parameter!$E$6+Parameter!$E$7)-(BB711-AX711))/AX711)))</f>
        <v>1</v>
      </c>
      <c r="BD711" s="55" t="str">
        <f aca="false">IF(AH711&lt;=0,"",IF(BY711="Aussen","Aussenlager",IF(BY711="-","Nicht im Lift",IF(AM711&gt;=1,"Lift",IF(AM711&lt;=0,"Aussenlager","teilweise")))))</f>
        <v/>
      </c>
      <c r="BE711" s="55" t="str">
        <f aca="false">IF(AP711&lt;=0,"",IF(BY711="Aussen","Aussenlager",IF(BY711="-","Nicht im Lift",IF(AU711&gt;=1,"Lift",IF(AU711&lt;=0,"Aussenlager","teilweise")))))</f>
        <v>Lift</v>
      </c>
      <c r="BF711" s="55" t="str">
        <f aca="false">IF(AX711&lt;=0,"",IF(BY711="Aussen","Aussenlager",IF(BY711="-","Nicht im Lift",IF(BC711&gt;=1,"Lift",IF(BC711&lt;=0,"Aussenlager","teilweise")))))</f>
        <v>Lift</v>
      </c>
      <c r="BG711" s="55" t="str">
        <f aca="false">IF(A711="","",IF(BP711=1,"Neu; ","")&amp;IF(AND(BP711=0,BK711&lt;0),"negativer Bestand (Export "&amp;BK711&amp;"); ","")&amp;IF(J711&lt;=0,"Kein Verbrauch; ","")&amp;IF(CH711&gt;0,"Lift "&amp;W711&amp;" lt. Liftbericht (Fach "&amp;X711&amp;" Stk); ",IF(BU711=1,"Gebinde geschätzt ("&amp;T711&amp;"); ",IF(BT711=1,"Lose – Tablare geschätzt; ","")))&amp;IF(H711&gt;AR711,"Überbestand "&amp;ROUND(H711-AR711,0)&amp;" Stk / CHF "&amp;ROUND((H711-AR711)*G711,0)&amp;"; ","")&amp;IF(AND(CA711=1,CB711&lt;CC711),"MAX &lt; MB+LG; ","")&amp;IF(AND(CG711&gt;0,CF711*10&gt;CG711),"zu hoch für Tablar; ","")&amp;IF(AND(BP711=0,OR(CA711=1,AA711&lt;&gt;"",U711&lt;&gt;"",V711&lt;&gt;"",AB711&lt;&gt;"")),"manuell übersteuert; ","")&amp;IF(AND(BT711=0,R711=0),"Gebinde unbekannt / Stellmass fehlt; ","")&amp;IF(AND(BT711=0,N(V711)&lt;=0,N(Q711)&lt;=0),"Menge pro Gebinde fehlt (Ist = 1 Gebinde); ","")&amp;BO711)</f>
        <v>Gebinde geschätzt (Klein); Menge pro Gebinde fehlt (Ist = 1 Gebinde); </v>
      </c>
      <c r="BH711" s="55"/>
      <c r="BI711" s="55"/>
      <c r="BJ711" s="62"/>
      <c r="BK711" s="57" t="n">
        <v>0</v>
      </c>
      <c r="BL711" s="57" t="n">
        <v>0</v>
      </c>
      <c r="BM711" s="56" t="n">
        <v>0</v>
      </c>
      <c r="BN711" s="57" t="n">
        <v>1</v>
      </c>
      <c r="BO711" s="55"/>
      <c r="BP711" s="60" t="n">
        <v>0</v>
      </c>
      <c r="BQ711" s="60" t="n">
        <v>711</v>
      </c>
      <c r="BR711" s="55" t="str">
        <f aca="false">IF(U711&lt;&gt;"",UPPER(TRIM(U711)),IF(BU711=1,UPPER(VLOOKUP(T711,Parameter!$I$27:$K$29,2,0)),IF(P711="","LOSE",P711)))</f>
        <v>S51</v>
      </c>
      <c r="BS711" s="57" t="n">
        <f aca="false">IF(BR711="LOSE",1,IF(N(V711)&gt;0,V711,IF(BU711=1,MAX(1,N(VLOOKUP(T711,Parameter!$I$27:$K$29,3,0)),H711,N(N711)),IF(N(Q711)&gt;0,Q711,MAX(1,H711)))))</f>
        <v>20</v>
      </c>
      <c r="BT711" s="60" t="n">
        <f aca="false">IF(BR711="LOSE",1,0)</f>
        <v>0</v>
      </c>
      <c r="BU711" s="60" t="n">
        <f aca="false">IF(AND(U711="",OR(P711="",P711="LOSE"),T711&lt;&gt;"",N(S711)&lt;=0,ISNUMBER(MATCH(T711,Parameter!$I$27:$I$29,0))),1,0)</f>
        <v>1</v>
      </c>
      <c r="BV711" s="55" t="str">
        <f aca="false">IF(AND(Parameter!$B$19="Ja",E711&lt;&gt;"",ISNUMBER(MATCH(E711,Parameter!$I$35:$I$52,0))),VLOOKUP(E711,Parameter!$I$35:$J$52,2,0),IFERROR(VLOOKUP(D711,Parameter!$A$35:$C$64,2,0),"Nein"))</f>
        <v>2+3</v>
      </c>
      <c r="BW711" s="59" t="n">
        <f aca="false">IF(BT711=0,0,IF(N(S711)&gt;0,S711,IFERROR(VLOOKUP(D711,Parameter!$A$35:$C$64,3,0)+0,0)))</f>
        <v>0</v>
      </c>
      <c r="BX711" s="55" t="n">
        <f aca="false">IF(AA711&lt;&gt;"",AA711,Z711)</f>
        <v>3</v>
      </c>
      <c r="BY711" s="55" t="str">
        <f aca="false">IF(BX711=1,"L1",IF(OR(BX711=2,BX711=3),"L23",IF(BX711="Aussen","Aussen","-")))</f>
        <v>L23</v>
      </c>
      <c r="BZ711" s="66" t="n">
        <f aca="false">IF(N(AB711)&gt;0,AB711,0)</f>
        <v>0</v>
      </c>
      <c r="CA711" s="60" t="n">
        <f aca="false">IF(ISNUMBER(AE711),1,0)</f>
        <v>0</v>
      </c>
      <c r="CB711" s="57" t="n">
        <f aca="false">N(AE711)</f>
        <v>0</v>
      </c>
      <c r="CC711" s="57" t="n">
        <f aca="false">N(M711)+N(N711)</f>
        <v>1</v>
      </c>
      <c r="CD711" s="57" t="n">
        <f aca="false">ROUNDUP(H711/BS711,0)</f>
        <v>0</v>
      </c>
      <c r="CE711" s="57" t="n">
        <f aca="false">ROUNDUP(CB711/BS711,0)</f>
        <v>0</v>
      </c>
      <c r="CF711" s="60" t="n">
        <f aca="false">IF(BT711=1,0,IFERROR(VLOOKUP(BR711,'Gebinde-Kategorie'!$A$5:$M$45,5,0)+0,0))</f>
        <v>11</v>
      </c>
      <c r="CG711" s="60" t="n">
        <f aca="false">IFERROR(IF(OR(BX711=1,BX711=2,BX711=3),N(INDEX(Parameter!$I$5:$I$7,BX711)),0),0)</f>
        <v>0</v>
      </c>
      <c r="CH711" s="59" t="n">
        <f aca="false">IF(AND(Parameter!$B$21="Ja",ISNUMBER(W711),N(X711)&gt;0),IFERROR(N(INDEX(Parameter!$L$5:$L$7,W711))*INDEX(Parameter!$E$5:$E$7,W711)*X711/SUMIFS($X$7:$X$1843,$W$7:$W$1843,W711),0),0)</f>
        <v>0</v>
      </c>
    </row>
    <row r="712" customFormat="false" ht="15" hidden="false" customHeight="false" outlineLevel="0" collapsed="false">
      <c r="A712" s="55" t="s">
        <v>1420</v>
      </c>
      <c r="B712" s="55" t="s">
        <v>462</v>
      </c>
      <c r="C712" s="55" t="s">
        <v>164</v>
      </c>
      <c r="D712" s="55" t="s">
        <v>173</v>
      </c>
      <c r="E712" s="55"/>
      <c r="F712" s="55" t="s">
        <v>218</v>
      </c>
      <c r="G712" s="56" t="n">
        <v>531.26</v>
      </c>
      <c r="H712" s="57" t="n">
        <f aca="false">MAX(0,IF(AND(Parameter!$B$21="Ja",ISNUMBER(Y712)),Y712,IF(Parameter!$B$20="Jahresanfang 2025 + Export",BL712+BK712,BK712)))</f>
        <v>0</v>
      </c>
      <c r="I712" s="57" t="n">
        <f aca="false">H712*G712</f>
        <v>0</v>
      </c>
      <c r="J712" s="57" t="n">
        <f aca="false">BN712*Parameter!$B$18</f>
        <v>0</v>
      </c>
      <c r="K712" s="58" t="n">
        <v>0</v>
      </c>
      <c r="L712" s="59" t="n">
        <v>0</v>
      </c>
      <c r="M712" s="57" t="n">
        <v>0</v>
      </c>
      <c r="N712" s="57" t="n">
        <v>1</v>
      </c>
      <c r="O712" s="60" t="n">
        <v>28</v>
      </c>
      <c r="P712" s="55" t="s">
        <v>168</v>
      </c>
      <c r="Q712" s="57"/>
      <c r="R712" s="60" t="n">
        <f aca="false">IF(BT712=1,0,IFERROR(VLOOKUP(BR712,'Gebinde-Kategorie'!$A$5:$M$45,13,0)+0,0))</f>
        <v>3</v>
      </c>
      <c r="S712" s="61"/>
      <c r="T712" s="62" t="s">
        <v>189</v>
      </c>
      <c r="U712" s="62"/>
      <c r="V712" s="62"/>
      <c r="W712" s="55"/>
      <c r="X712" s="57"/>
      <c r="Y712" s="57"/>
      <c r="Z712" s="55" t="n">
        <f aca="false">IF(A712="","",IF(AND(Parameter!$B$21="Ja",ISNUMBER(W712)),W712,IF(BV712="2+3",IF(ISNUMBER(SEARCH("grosser Artikel",BO712)),2,IFERROR(VLOOKUP(BR712,Parameter!$F$35:$G$64,2,0),2)),IF(OR(BV712="Nein",BV712=""),"-",BV712))))</f>
        <v>2</v>
      </c>
      <c r="AA712" s="62"/>
      <c r="AB712" s="63"/>
      <c r="AC712" s="57" t="n">
        <f aca="false">AR712</f>
        <v>2</v>
      </c>
      <c r="AD712" s="57" t="n">
        <f aca="false">MAX(AR712,H712)</f>
        <v>2</v>
      </c>
      <c r="AE712" s="64"/>
      <c r="AF712" s="57" t="n">
        <f aca="false">IF(LEFT(Cockpit!$C$5,1)="A",H712,IF(CA712=1,CB712,IF(LEFT(Cockpit!$C$5,1)="B",AJ712,MAX(AJ712,H712))))</f>
        <v>0</v>
      </c>
      <c r="AG712" s="57" t="n">
        <f aca="false">IF(BT712=1,0,ROUNDUP(AF712/BS712,0))</f>
        <v>0</v>
      </c>
      <c r="AH712" s="59" t="n">
        <f aca="false">IF(CH712&gt;0,CH712*MAX(1,AF712/X712),IF(BT712=1,IF(AF712&lt;=0,0,BW712*MAX(1,IF(H712&gt;0,AF712/H712,1))),IF(R712&gt;0,AG712/R712,0))/MAX(0.1,N(Parameter!$M$21)))</f>
        <v>0</v>
      </c>
      <c r="AI712" s="57" t="n">
        <f aca="false">AF712*G712</f>
        <v>0</v>
      </c>
      <c r="AJ712" s="57" t="n">
        <f aca="false">ROUNDUP(MAX(J712/IF(BZ712&gt;0,BZ712,MAX(0.1,N(Cockpit!$C$6))),CC712)/BS712,0)*BS712</f>
        <v>2</v>
      </c>
      <c r="AK712" s="58" t="n">
        <f aca="false">IF(AH712&gt;0,J712/AH712,-1)</f>
        <v>-1</v>
      </c>
      <c r="AL712" s="58" t="str">
        <f aca="false">IF(AND(OR(BY712="L1",BY712="L23"),AH712&gt;0),SUMIFS($AH$7:$AH$1843,$BY$7:$BY$1843,BY712,$AK$7:$AK$1843,"&gt;"&amp;AK712)+SUMIFS($AH$7:$AH$1843,$BY$7:$BY$1843,BY712,$AK$7:$AK$1843,AK712,$BQ$7:$BQ$1843,"&lt;="&amp;BQ712),"")</f>
        <v/>
      </c>
      <c r="AM712" s="65" t="n">
        <f aca="false">IF(AL712="",0,MAX(0,MIN(1,(IF(BY712="L1",Parameter!$E$5,Parameter!$E$6+Parameter!$E$7)-(AL712-AH712))/AH712)))</f>
        <v>0</v>
      </c>
      <c r="AN712" s="57" t="n">
        <f aca="false">IF(LEFT(Cockpit!$I$5,1)="A",H712,IF(CA712=1,CB712,IF(LEFT(Cockpit!$I$5,1)="B",AR712,MAX(AR712,H712))))</f>
        <v>2</v>
      </c>
      <c r="AO712" s="57" t="n">
        <f aca="false">IF(BT712=1,0,ROUNDUP(AN712/BS712,0))</f>
        <v>1</v>
      </c>
      <c r="AP712" s="59" t="n">
        <f aca="false">IF(CH712&gt;0,CH712*MAX(1,AN712/X712),IF(BT712=1,IF(AN712&lt;=0,0,BW712*MAX(1,IF(H712&gt;0,AN712/H712,1))),IF(R712&gt;0,AO712/R712,0))/MAX(0.1,N(Parameter!$M$21)))</f>
        <v>0.333333333333333</v>
      </c>
      <c r="AQ712" s="57" t="n">
        <f aca="false">AN712*G712</f>
        <v>1062.52</v>
      </c>
      <c r="AR712" s="57" t="n">
        <f aca="false">ROUNDUP(MAX(J712/IF(BZ712&gt;0,BZ712,MAX(0.1,N(Cockpit!$I$6))),CC712)/BS712,0)*BS712</f>
        <v>2</v>
      </c>
      <c r="AS712" s="58" t="n">
        <f aca="false">IF(AP712&gt;0,J712/AP712,-1)</f>
        <v>0</v>
      </c>
      <c r="AT712" s="58" t="n">
        <f aca="false">IF(AND(OR(BY712="L1",BY712="L23"),AP712&gt;0),SUMIFS($AP$7:$AP$1843,$BY$7:$BY$1843,BY712,$AS$7:$AS$1843,"&gt;"&amp;AS712)+SUMIFS($AP$7:$AP$1843,$BY$7:$BY$1843,BY712,$AS$7:$AS$1843,AS712,$BQ$7:$BQ$1843,"&lt;="&amp;BQ712),"")</f>
        <v>116.870333772508</v>
      </c>
      <c r="AU712" s="65" t="n">
        <f aca="false">IF(AT712="",0,MAX(0,MIN(1,(IF(BY712="L1",Parameter!$E$5,Parameter!$E$6+Parameter!$E$7)-(AT712-AP712))/AP712)))</f>
        <v>0</v>
      </c>
      <c r="AV712" s="57" t="n">
        <f aca="false">IF(LEFT(Cockpit!$O$5,1)="A",H712,IF(CA712=1,CB712,IF(LEFT(Cockpit!$O$5,1)="B",AZ712,MAX(AZ712,H712))))</f>
        <v>2</v>
      </c>
      <c r="AW712" s="57" t="n">
        <f aca="false">IF(BT712=1,0,ROUNDUP(AV712/BS712,0))</f>
        <v>1</v>
      </c>
      <c r="AX712" s="59" t="n">
        <f aca="false">IF(CH712&gt;0,CH712*MAX(1,AV712/X712),IF(BT712=1,IF(AV712&lt;=0,0,BW712*MAX(1,IF(H712&gt;0,AV712/H712,1))),IF(R712&gt;0,AW712/R712,0))/MAX(0.1,N(Parameter!$M$21)))</f>
        <v>0.333333333333333</v>
      </c>
      <c r="AY712" s="57" t="n">
        <f aca="false">AV712*G712</f>
        <v>1062.52</v>
      </c>
      <c r="AZ712" s="57" t="n">
        <f aca="false">ROUNDUP(MAX(J712/IF(BZ712&gt;0,BZ712,MAX(0.1,N(Cockpit!$O$6))),CC712)/BS712,0)*BS712</f>
        <v>2</v>
      </c>
      <c r="BA712" s="58" t="n">
        <f aca="false">IF(AX712&gt;0,J712/AX712,-1)</f>
        <v>0</v>
      </c>
      <c r="BB712" s="58" t="n">
        <f aca="false">IF(AND(OR(BY712="L1",BY712="L23"),AX712&gt;0),SUMIFS($AX$7:$AX$1843,$BY$7:$BY$1843,BY712,$BA$7:$BA$1843,"&gt;"&amp;BA712)+SUMIFS($AX$7:$AX$1843,$BY$7:$BY$1843,BY712,$BA$7:$BA$1843,BA712,$BQ$7:$BQ$1843,"&lt;="&amp;BQ712),"")</f>
        <v>107.700170602345</v>
      </c>
      <c r="BC712" s="65" t="n">
        <f aca="false">IF(BB712="",0,MAX(0,MIN(1,(IF(BY712="L1",Parameter!$E$5,Parameter!$E$6+Parameter!$E$7)-(BB712-AX712))/AX712)))</f>
        <v>0</v>
      </c>
      <c r="BD712" s="55" t="str">
        <f aca="false">IF(AH712&lt;=0,"",IF(BY712="Aussen","Aussenlager",IF(BY712="-","Nicht im Lift",IF(AM712&gt;=1,"Lift",IF(AM712&lt;=0,"Aussenlager","teilweise")))))</f>
        <v/>
      </c>
      <c r="BE712" s="55" t="str">
        <f aca="false">IF(AP712&lt;=0,"",IF(BY712="Aussen","Aussenlager",IF(BY712="-","Nicht im Lift",IF(AU712&gt;=1,"Lift",IF(AU712&lt;=0,"Aussenlager","teilweise")))))</f>
        <v>Aussenlager</v>
      </c>
      <c r="BF712" s="55" t="str">
        <f aca="false">IF(AX712&lt;=0,"",IF(BY712="Aussen","Aussenlager",IF(BY712="-","Nicht im Lift",IF(BC712&gt;=1,"Lift",IF(BC712&lt;=0,"Aussenlager","teilweise")))))</f>
        <v>Aussenlager</v>
      </c>
      <c r="BG712" s="55" t="str">
        <f aca="false">IF(A712="","",IF(BP712=1,"Neu; ","")&amp;IF(AND(BP712=0,BK712&lt;0),"negativer Bestand (Export "&amp;BK712&amp;"); ","")&amp;IF(J712&lt;=0,"Kein Verbrauch; ","")&amp;IF(CH712&gt;0,"Lift "&amp;W712&amp;" lt. Liftbericht (Fach "&amp;X712&amp;" Stk); ",IF(BU712=1,"Gebinde geschätzt ("&amp;T712&amp;"); ",IF(BT712=1,"Lose – Tablare geschätzt; ","")))&amp;IF(H712&gt;AR712,"Überbestand "&amp;ROUND(H712-AR712,0)&amp;" Stk / CHF "&amp;ROUND((H712-AR712)*G712,0)&amp;"; ","")&amp;IF(AND(CA712=1,CB712&lt;CC712),"MAX &lt; MB+LG; ","")&amp;IF(AND(CG712&gt;0,CF712*10&gt;CG712),"zu hoch für Tablar; ","")&amp;IF(AND(BP712=0,OR(CA712=1,AA712&lt;&gt;"",U712&lt;&gt;"",V712&lt;&gt;"",AB712&lt;&gt;"")),"manuell übersteuert; ","")&amp;IF(AND(BT712=0,R712=0),"Gebinde unbekannt / Stellmass fehlt; ","")&amp;IF(AND(BT712=0,N(V712)&lt;=0,N(Q712)&lt;=0),"Menge pro Gebinde fehlt (Ist = 1 Gebinde); ","")&amp;BO712)</f>
        <v>Kein Verbrauch; Gebinde geschätzt (Gross); Menge pro Gebinde fehlt (Ist = 1 Gebinde); </v>
      </c>
      <c r="BH712" s="55"/>
      <c r="BI712" s="55"/>
      <c r="BJ712" s="62"/>
      <c r="BK712" s="57" t="n">
        <v>0</v>
      </c>
      <c r="BL712" s="57" t="n">
        <v>0</v>
      </c>
      <c r="BM712" s="56" t="n">
        <v>0</v>
      </c>
      <c r="BN712" s="57" t="n">
        <v>0</v>
      </c>
      <c r="BO712" s="55"/>
      <c r="BP712" s="60" t="n">
        <v>0</v>
      </c>
      <c r="BQ712" s="60" t="n">
        <v>712</v>
      </c>
      <c r="BR712" s="55" t="str">
        <f aca="false">IF(U712&lt;&gt;"",UPPER(TRIM(U712)),IF(BU712=1,UPPER(VLOOKUP(T712,Parameter!$I$27:$K$29,2,0)),IF(P712="","LOSE",P712)))</f>
        <v>S81</v>
      </c>
      <c r="BS712" s="57" t="n">
        <f aca="false">IF(BR712="LOSE",1,IF(N(V712)&gt;0,V712,IF(BU712=1,MAX(1,N(VLOOKUP(T712,Parameter!$I$27:$K$29,3,0)),H712,N(N712)),IF(N(Q712)&gt;0,Q712,MAX(1,H712)))))</f>
        <v>2</v>
      </c>
      <c r="BT712" s="60" t="n">
        <f aca="false">IF(BR712="LOSE",1,0)</f>
        <v>0</v>
      </c>
      <c r="BU712" s="60" t="n">
        <f aca="false">IF(AND(U712="",OR(P712="",P712="LOSE"),T712&lt;&gt;"",N(S712)&lt;=0,ISNUMBER(MATCH(T712,Parameter!$I$27:$I$29,0))),1,0)</f>
        <v>1</v>
      </c>
      <c r="BV712" s="55" t="str">
        <f aca="false">IF(AND(Parameter!$B$19="Ja",E712&lt;&gt;"",ISNUMBER(MATCH(E712,Parameter!$I$35:$I$52,0))),VLOOKUP(E712,Parameter!$I$35:$J$52,2,0),IFERROR(VLOOKUP(D712,Parameter!$A$35:$C$64,2,0),"Nein"))</f>
        <v>2+3</v>
      </c>
      <c r="BW712" s="59" t="n">
        <f aca="false">IF(BT712=0,0,IF(N(S712)&gt;0,S712,IFERROR(VLOOKUP(D712,Parameter!$A$35:$C$64,3,0)+0,0)))</f>
        <v>0</v>
      </c>
      <c r="BX712" s="55" t="n">
        <f aca="false">IF(AA712&lt;&gt;"",AA712,Z712)</f>
        <v>2</v>
      </c>
      <c r="BY712" s="55" t="str">
        <f aca="false">IF(BX712=1,"L1",IF(OR(BX712=2,BX712=3),"L23",IF(BX712="Aussen","Aussen","-")))</f>
        <v>L23</v>
      </c>
      <c r="BZ712" s="66" t="n">
        <f aca="false">IF(N(AB712)&gt;0,AB712,0)</f>
        <v>0</v>
      </c>
      <c r="CA712" s="60" t="n">
        <f aca="false">IF(ISNUMBER(AE712),1,0)</f>
        <v>0</v>
      </c>
      <c r="CB712" s="57" t="n">
        <f aca="false">N(AE712)</f>
        <v>0</v>
      </c>
      <c r="CC712" s="57" t="n">
        <f aca="false">N(M712)+N(N712)</f>
        <v>1</v>
      </c>
      <c r="CD712" s="57" t="n">
        <f aca="false">ROUNDUP(H712/BS712,0)</f>
        <v>0</v>
      </c>
      <c r="CE712" s="57" t="n">
        <f aca="false">ROUNDUP(CB712/BS712,0)</f>
        <v>0</v>
      </c>
      <c r="CF712" s="60" t="n">
        <f aca="false">IF(BT712=1,0,IFERROR(VLOOKUP(BR712,'Gebinde-Kategorie'!$A$5:$M$45,5,0)+0,0))</f>
        <v>20</v>
      </c>
      <c r="CG712" s="60" t="n">
        <f aca="false">IFERROR(IF(OR(BX712=1,BX712=2,BX712=3),N(INDEX(Parameter!$I$5:$I$7,BX712)),0),0)</f>
        <v>0</v>
      </c>
      <c r="CH712" s="59" t="n">
        <f aca="false">IF(AND(Parameter!$B$21="Ja",ISNUMBER(W712),N(X712)&gt;0),IFERROR(N(INDEX(Parameter!$L$5:$L$7,W712))*INDEX(Parameter!$E$5:$E$7,W712)*X712/SUMIFS($X$7:$X$1843,$W$7:$W$1843,W712),0),0)</f>
        <v>0</v>
      </c>
    </row>
    <row r="713" customFormat="false" ht="15" hidden="false" customHeight="false" outlineLevel="0" collapsed="false">
      <c r="A713" s="55" t="s">
        <v>1421</v>
      </c>
      <c r="B713" s="55" t="s">
        <v>1422</v>
      </c>
      <c r="C713" s="55" t="s">
        <v>164</v>
      </c>
      <c r="D713" s="55" t="s">
        <v>173</v>
      </c>
      <c r="E713" s="55" t="s">
        <v>166</v>
      </c>
      <c r="F713" s="55" t="s">
        <v>218</v>
      </c>
      <c r="G713" s="56" t="n">
        <v>700</v>
      </c>
      <c r="H713" s="57" t="n">
        <f aca="false">MAX(0,IF(AND(Parameter!$B$21="Ja",ISNUMBER(Y713)),Y713,IF(Parameter!$B$20="Jahresanfang 2025 + Export",BL713+BK713,BK713)))</f>
        <v>0</v>
      </c>
      <c r="I713" s="57" t="n">
        <f aca="false">H713*G713</f>
        <v>0</v>
      </c>
      <c r="J713" s="57" t="n">
        <f aca="false">BN713*Parameter!$B$18</f>
        <v>4</v>
      </c>
      <c r="K713" s="58" t="n">
        <v>0</v>
      </c>
      <c r="L713" s="59" t="n">
        <v>0</v>
      </c>
      <c r="M713" s="57" t="n">
        <v>0</v>
      </c>
      <c r="N713" s="57" t="n">
        <v>5</v>
      </c>
      <c r="O713" s="60" t="n">
        <v>21</v>
      </c>
      <c r="P713" s="55" t="s">
        <v>168</v>
      </c>
      <c r="Q713" s="57"/>
      <c r="R713" s="60" t="n">
        <f aca="false">IF(BT713=1,0,IFERROR(VLOOKUP(BR713,'Gebinde-Kategorie'!$A$5:$M$45,13,0)+0,0))</f>
        <v>3</v>
      </c>
      <c r="S713" s="61"/>
      <c r="T713" s="62" t="s">
        <v>189</v>
      </c>
      <c r="U713" s="62"/>
      <c r="V713" s="62"/>
      <c r="W713" s="55"/>
      <c r="X713" s="57"/>
      <c r="Y713" s="57"/>
      <c r="Z713" s="55" t="n">
        <f aca="false">IF(A713="","",IF(AND(Parameter!$B$21="Ja",ISNUMBER(W713)),W713,IF(BV713="2+3",IF(ISNUMBER(SEARCH("grosser Artikel",BO713)),2,IFERROR(VLOOKUP(BR713,Parameter!$F$35:$G$64,2,0),2)),IF(OR(BV713="Nein",BV713=""),"-",BV713))))</f>
        <v>1</v>
      </c>
      <c r="AA713" s="62"/>
      <c r="AB713" s="63"/>
      <c r="AC713" s="57" t="n">
        <f aca="false">AR713</f>
        <v>5</v>
      </c>
      <c r="AD713" s="57" t="n">
        <f aca="false">MAX(AR713,H713)</f>
        <v>5</v>
      </c>
      <c r="AE713" s="64"/>
      <c r="AF713" s="57" t="n">
        <f aca="false">IF(LEFT(Cockpit!$C$5,1)="A",H713,IF(CA713=1,CB713,IF(LEFT(Cockpit!$C$5,1)="B",AJ713,MAX(AJ713,H713))))</f>
        <v>0</v>
      </c>
      <c r="AG713" s="57" t="n">
        <f aca="false">IF(BT713=1,0,ROUNDUP(AF713/BS713,0))</f>
        <v>0</v>
      </c>
      <c r="AH713" s="59" t="n">
        <f aca="false">IF(CH713&gt;0,CH713*MAX(1,AF713/X713),IF(BT713=1,IF(AF713&lt;=0,0,BW713*MAX(1,IF(H713&gt;0,AF713/H713,1))),IF(R713&gt;0,AG713/R713,0))/MAX(0.1,N(Parameter!$M$21)))</f>
        <v>0</v>
      </c>
      <c r="AI713" s="57" t="n">
        <f aca="false">AF713*G713</f>
        <v>0</v>
      </c>
      <c r="AJ713" s="57" t="n">
        <f aca="false">ROUNDUP(MAX(J713/IF(BZ713&gt;0,BZ713,MAX(0.1,N(Cockpit!$C$6))),CC713)/BS713,0)*BS713</f>
        <v>5</v>
      </c>
      <c r="AK713" s="58" t="n">
        <f aca="false">IF(AH713&gt;0,J713/AH713,-1)</f>
        <v>-1</v>
      </c>
      <c r="AL713" s="58" t="str">
        <f aca="false">IF(AND(OR(BY713="L1",BY713="L23"),AH713&gt;0),SUMIFS($AH$7:$AH$1843,$BY$7:$BY$1843,BY713,$AK$7:$AK$1843,"&gt;"&amp;AK713)+SUMIFS($AH$7:$AH$1843,$BY$7:$BY$1843,BY713,$AK$7:$AK$1843,AK713,$BQ$7:$BQ$1843,"&lt;="&amp;BQ713),"")</f>
        <v/>
      </c>
      <c r="AM713" s="65" t="n">
        <f aca="false">IF(AL713="",0,MAX(0,MIN(1,(IF(BY713="L1",Parameter!$E$5,Parameter!$E$6+Parameter!$E$7)-(AL713-AH713))/AH713)))</f>
        <v>0</v>
      </c>
      <c r="AN713" s="57" t="n">
        <f aca="false">IF(LEFT(Cockpit!$I$5,1)="A",H713,IF(CA713=1,CB713,IF(LEFT(Cockpit!$I$5,1)="B",AR713,MAX(AR713,H713))))</f>
        <v>5</v>
      </c>
      <c r="AO713" s="57" t="n">
        <f aca="false">IF(BT713=1,0,ROUNDUP(AN713/BS713,0))</f>
        <v>1</v>
      </c>
      <c r="AP713" s="59" t="n">
        <f aca="false">IF(CH713&gt;0,CH713*MAX(1,AN713/X713),IF(BT713=1,IF(AN713&lt;=0,0,BW713*MAX(1,IF(H713&gt;0,AN713/H713,1))),IF(R713&gt;0,AO713/R713,0))/MAX(0.1,N(Parameter!$M$21)))</f>
        <v>0.333333333333333</v>
      </c>
      <c r="AQ713" s="57" t="n">
        <f aca="false">AN713*G713</f>
        <v>3500</v>
      </c>
      <c r="AR713" s="57" t="n">
        <f aca="false">ROUNDUP(MAX(J713/IF(BZ713&gt;0,BZ713,MAX(0.1,N(Cockpit!$I$6))),CC713)/BS713,0)*BS713</f>
        <v>5</v>
      </c>
      <c r="AS713" s="58" t="n">
        <f aca="false">IF(AP713&gt;0,J713/AP713,-1)</f>
        <v>12</v>
      </c>
      <c r="AT713" s="58" t="n">
        <f aca="false">IF(AND(OR(BY713="L1",BY713="L23"),AP713&gt;0),SUMIFS($AP$7:$AP$1843,$BY$7:$BY$1843,BY713,$AS$7:$AS$1843,"&gt;"&amp;AS713)+SUMIFS($AP$7:$AP$1843,$BY$7:$BY$1843,BY713,$AS$7:$AS$1843,AS713,$BQ$7:$BQ$1843,"&lt;="&amp;BQ713),"")</f>
        <v>45.3597742632378</v>
      </c>
      <c r="AU713" s="65" t="n">
        <f aca="false">IF(AT713="",0,MAX(0,MIN(1,(IF(BY713="L1",Parameter!$E$5,Parameter!$E$6+Parameter!$E$7)-(AT713-AP713))/AP713)))</f>
        <v>1</v>
      </c>
      <c r="AV713" s="57" t="n">
        <f aca="false">IF(LEFT(Cockpit!$O$5,1)="A",H713,IF(CA713=1,CB713,IF(LEFT(Cockpit!$O$5,1)="B",AZ713,MAX(AZ713,H713))))</f>
        <v>5</v>
      </c>
      <c r="AW713" s="57" t="n">
        <f aca="false">IF(BT713=1,0,ROUNDUP(AV713/BS713,0))</f>
        <v>1</v>
      </c>
      <c r="AX713" s="59" t="n">
        <f aca="false">IF(CH713&gt;0,CH713*MAX(1,AV713/X713),IF(BT713=1,IF(AV713&lt;=0,0,BW713*MAX(1,IF(H713&gt;0,AV713/H713,1))),IF(R713&gt;0,AW713/R713,0))/MAX(0.1,N(Parameter!$M$21)))</f>
        <v>0.333333333333333</v>
      </c>
      <c r="AY713" s="57" t="n">
        <f aca="false">AV713*G713</f>
        <v>3500</v>
      </c>
      <c r="AZ713" s="57" t="n">
        <f aca="false">ROUNDUP(MAX(J713/IF(BZ713&gt;0,BZ713,MAX(0.1,N(Cockpit!$O$6))),CC713)/BS713,0)*BS713</f>
        <v>5</v>
      </c>
      <c r="BA713" s="58" t="n">
        <f aca="false">IF(AX713&gt;0,J713/AX713,-1)</f>
        <v>12</v>
      </c>
      <c r="BB713" s="58" t="n">
        <f aca="false">IF(AND(OR(BY713="L1",BY713="L23"),AX713&gt;0),SUMIFS($AX$7:$AX$1843,$BY$7:$BY$1843,BY713,$BA$7:$BA$1843,"&gt;"&amp;BA713)+SUMIFS($AX$7:$AX$1843,$BY$7:$BY$1843,BY713,$BA$7:$BA$1843,BA713,$BQ$7:$BQ$1843,"&lt;="&amp;BQ713),"")</f>
        <v>39.0265857944561</v>
      </c>
      <c r="BC713" s="65" t="n">
        <f aca="false">IF(BB713="",0,MAX(0,MIN(1,(IF(BY713="L1",Parameter!$E$5,Parameter!$E$6+Parameter!$E$7)-(BB713-AX713))/AX713)))</f>
        <v>1</v>
      </c>
      <c r="BD713" s="55" t="str">
        <f aca="false">IF(AH713&lt;=0,"",IF(BY713="Aussen","Aussenlager",IF(BY713="-","Nicht im Lift",IF(AM713&gt;=1,"Lift",IF(AM713&lt;=0,"Aussenlager","teilweise")))))</f>
        <v/>
      </c>
      <c r="BE713" s="55" t="str">
        <f aca="false">IF(AP713&lt;=0,"",IF(BY713="Aussen","Aussenlager",IF(BY713="-","Nicht im Lift",IF(AU713&gt;=1,"Lift",IF(AU713&lt;=0,"Aussenlager","teilweise")))))</f>
        <v>Lift</v>
      </c>
      <c r="BF713" s="55" t="str">
        <f aca="false">IF(AX713&lt;=0,"",IF(BY713="Aussen","Aussenlager",IF(BY713="-","Nicht im Lift",IF(BC713&gt;=1,"Lift",IF(BC713&lt;=0,"Aussenlager","teilweise")))))</f>
        <v>Lift</v>
      </c>
      <c r="BG713" s="55" t="str">
        <f aca="false">IF(A713="","",IF(BP713=1,"Neu; ","")&amp;IF(AND(BP713=0,BK713&lt;0),"negativer Bestand (Export "&amp;BK713&amp;"); ","")&amp;IF(J713&lt;=0,"Kein Verbrauch; ","")&amp;IF(CH713&gt;0,"Lift "&amp;W713&amp;" lt. Liftbericht (Fach "&amp;X713&amp;" Stk); ",IF(BU713=1,"Gebinde geschätzt ("&amp;T713&amp;"); ",IF(BT713=1,"Lose – Tablare geschätzt; ","")))&amp;IF(H713&gt;AR713,"Überbestand "&amp;ROUND(H713-AR713,0)&amp;" Stk / CHF "&amp;ROUND((H713-AR713)*G713,0)&amp;"; ","")&amp;IF(AND(CA713=1,CB713&lt;CC713),"MAX &lt; MB+LG; ","")&amp;IF(AND(CG713&gt;0,CF713*10&gt;CG713),"zu hoch für Tablar; ","")&amp;IF(AND(BP713=0,OR(CA713=1,AA713&lt;&gt;"",U713&lt;&gt;"",V713&lt;&gt;"",AB713&lt;&gt;"")),"manuell übersteuert; ","")&amp;IF(AND(BT713=0,R713=0),"Gebinde unbekannt / Stellmass fehlt; ","")&amp;IF(AND(BT713=0,N(V713)&lt;=0,N(Q713)&lt;=0),"Menge pro Gebinde fehlt (Ist = 1 Gebinde); ","")&amp;BO713)</f>
        <v>Gebinde geschätzt (Gross); Menge pro Gebinde fehlt (Ist = 1 Gebinde); </v>
      </c>
      <c r="BH713" s="55"/>
      <c r="BI713" s="55"/>
      <c r="BJ713" s="62"/>
      <c r="BK713" s="57" t="n">
        <v>0</v>
      </c>
      <c r="BL713" s="57" t="n">
        <v>0</v>
      </c>
      <c r="BM713" s="56" t="n">
        <v>0</v>
      </c>
      <c r="BN713" s="57" t="n">
        <v>4</v>
      </c>
      <c r="BO713" s="55"/>
      <c r="BP713" s="60" t="n">
        <v>0</v>
      </c>
      <c r="BQ713" s="60" t="n">
        <v>713</v>
      </c>
      <c r="BR713" s="55" t="str">
        <f aca="false">IF(U713&lt;&gt;"",UPPER(TRIM(U713)),IF(BU713=1,UPPER(VLOOKUP(T713,Parameter!$I$27:$K$29,2,0)),IF(P713="","LOSE",P713)))</f>
        <v>S81</v>
      </c>
      <c r="BS713" s="57" t="n">
        <f aca="false">IF(BR713="LOSE",1,IF(N(V713)&gt;0,V713,IF(BU713=1,MAX(1,N(VLOOKUP(T713,Parameter!$I$27:$K$29,3,0)),H713,N(N713)),IF(N(Q713)&gt;0,Q713,MAX(1,H713)))))</f>
        <v>5</v>
      </c>
      <c r="BT713" s="60" t="n">
        <f aca="false">IF(BR713="LOSE",1,0)</f>
        <v>0</v>
      </c>
      <c r="BU713" s="60" t="n">
        <f aca="false">IF(AND(U713="",OR(P713="",P713="LOSE"),T713&lt;&gt;"",N(S713)&lt;=0,ISNUMBER(MATCH(T713,Parameter!$I$27:$I$29,0))),1,0)</f>
        <v>1</v>
      </c>
      <c r="BV713" s="55" t="n">
        <f aca="false">IF(AND(Parameter!$B$19="Ja",E713&lt;&gt;"",ISNUMBER(MATCH(E713,Parameter!$I$35:$I$52,0))),VLOOKUP(E713,Parameter!$I$35:$J$52,2,0),IFERROR(VLOOKUP(D713,Parameter!$A$35:$C$64,2,0),"Nein"))</f>
        <v>1</v>
      </c>
      <c r="BW713" s="59" t="n">
        <f aca="false">IF(BT713=0,0,IF(N(S713)&gt;0,S713,IFERROR(VLOOKUP(D713,Parameter!$A$35:$C$64,3,0)+0,0)))</f>
        <v>0</v>
      </c>
      <c r="BX713" s="55" t="n">
        <f aca="false">IF(AA713&lt;&gt;"",AA713,Z713)</f>
        <v>1</v>
      </c>
      <c r="BY713" s="55" t="str">
        <f aca="false">IF(BX713=1,"L1",IF(OR(BX713=2,BX713=3),"L23",IF(BX713="Aussen","Aussen","-")))</f>
        <v>L1</v>
      </c>
      <c r="BZ713" s="66" t="n">
        <f aca="false">IF(N(AB713)&gt;0,AB713,0)</f>
        <v>0</v>
      </c>
      <c r="CA713" s="60" t="n">
        <f aca="false">IF(ISNUMBER(AE713),1,0)</f>
        <v>0</v>
      </c>
      <c r="CB713" s="57" t="n">
        <f aca="false">N(AE713)</f>
        <v>0</v>
      </c>
      <c r="CC713" s="57" t="n">
        <f aca="false">N(M713)+N(N713)</f>
        <v>5</v>
      </c>
      <c r="CD713" s="57" t="n">
        <f aca="false">ROUNDUP(H713/BS713,0)</f>
        <v>0</v>
      </c>
      <c r="CE713" s="57" t="n">
        <f aca="false">ROUNDUP(CB713/BS713,0)</f>
        <v>0</v>
      </c>
      <c r="CF713" s="60" t="n">
        <f aca="false">IF(BT713=1,0,IFERROR(VLOOKUP(BR713,'Gebinde-Kategorie'!$A$5:$M$45,5,0)+0,0))</f>
        <v>20</v>
      </c>
      <c r="CG713" s="60" t="n">
        <f aca="false">IFERROR(IF(OR(BX713=1,BX713=2,BX713=3),N(INDEX(Parameter!$I$5:$I$7,BX713)),0),0)</f>
        <v>0</v>
      </c>
      <c r="CH713" s="59" t="n">
        <f aca="false">IF(AND(Parameter!$B$21="Ja",ISNUMBER(W713),N(X713)&gt;0),IFERROR(N(INDEX(Parameter!$L$5:$L$7,W713))*INDEX(Parameter!$E$5:$E$7,W713)*X713/SUMIFS($X$7:$X$1843,$W$7:$W$1843,W713),0),0)</f>
        <v>0</v>
      </c>
    </row>
    <row r="714" customFormat="false" ht="15" hidden="false" customHeight="false" outlineLevel="0" collapsed="false">
      <c r="A714" s="55" t="s">
        <v>1423</v>
      </c>
      <c r="B714" s="55" t="s">
        <v>604</v>
      </c>
      <c r="C714" s="55" t="s">
        <v>164</v>
      </c>
      <c r="D714" s="55" t="s">
        <v>173</v>
      </c>
      <c r="E714" s="55" t="s">
        <v>185</v>
      </c>
      <c r="F714" s="55" t="s">
        <v>218</v>
      </c>
      <c r="G714" s="56" t="n">
        <v>144.5</v>
      </c>
      <c r="H714" s="57" t="n">
        <f aca="false">MAX(0,IF(AND(Parameter!$B$21="Ja",ISNUMBER(Y714)),Y714,IF(Parameter!$B$20="Jahresanfang 2025 + Export",BL714+BK714,BK714)))</f>
        <v>13</v>
      </c>
      <c r="I714" s="57" t="n">
        <f aca="false">H714*G714</f>
        <v>1878.5</v>
      </c>
      <c r="J714" s="57" t="n">
        <f aca="false">BN714*Parameter!$B$18</f>
        <v>0</v>
      </c>
      <c r="K714" s="58" t="n">
        <v>13.5</v>
      </c>
      <c r="L714" s="59" t="n">
        <v>0</v>
      </c>
      <c r="M714" s="57" t="n">
        <v>0</v>
      </c>
      <c r="N714" s="57" t="n">
        <v>1</v>
      </c>
      <c r="O714" s="60" t="n">
        <v>49</v>
      </c>
      <c r="P714" s="55" t="s">
        <v>174</v>
      </c>
      <c r="Q714" s="57" t="n">
        <v>15</v>
      </c>
      <c r="R714" s="60" t="n">
        <f aca="false">IF(BT714=1,0,IFERROR(VLOOKUP(BR714,'Gebinde-Kategorie'!$A$5:$M$45,13,0)+0,0))</f>
        <v>6</v>
      </c>
      <c r="S714" s="61"/>
      <c r="T714" s="62"/>
      <c r="U714" s="62"/>
      <c r="V714" s="62"/>
      <c r="W714" s="55"/>
      <c r="X714" s="57"/>
      <c r="Y714" s="57"/>
      <c r="Z714" s="55" t="n">
        <f aca="false">IF(A714="","",IF(AND(Parameter!$B$21="Ja",ISNUMBER(W714)),W714,IF(BV714="2+3",IF(ISNUMBER(SEARCH("grosser Artikel",BO714)),2,IFERROR(VLOOKUP(BR714,Parameter!$F$35:$G$64,2,0),2)),IF(OR(BV714="Nein",BV714=""),"-",BV714))))</f>
        <v>2</v>
      </c>
      <c r="AA714" s="62"/>
      <c r="AB714" s="63"/>
      <c r="AC714" s="57" t="n">
        <f aca="false">AR714</f>
        <v>15</v>
      </c>
      <c r="AD714" s="57" t="n">
        <f aca="false">MAX(AR714,H714)</f>
        <v>15</v>
      </c>
      <c r="AE714" s="64"/>
      <c r="AF714" s="57" t="n">
        <f aca="false">IF(LEFT(Cockpit!$C$5,1)="A",H714,IF(CA714=1,CB714,IF(LEFT(Cockpit!$C$5,1)="B",AJ714,MAX(AJ714,H714))))</f>
        <v>13</v>
      </c>
      <c r="AG714" s="57" t="n">
        <f aca="false">IF(BT714=1,0,ROUNDUP(AF714/BS714,0))</f>
        <v>1</v>
      </c>
      <c r="AH714" s="59" t="n">
        <f aca="false">IF(CH714&gt;0,CH714*MAX(1,AF714/X714),IF(BT714=1,IF(AF714&lt;=0,0,BW714*MAX(1,IF(H714&gt;0,AF714/H714,1))),IF(R714&gt;0,AG714/R714,0))/MAX(0.1,N(Parameter!$M$21)))</f>
        <v>0.166666666666667</v>
      </c>
      <c r="AI714" s="57" t="n">
        <f aca="false">AF714*G714</f>
        <v>1878.5</v>
      </c>
      <c r="AJ714" s="57" t="n">
        <f aca="false">ROUNDUP(MAX(J714/IF(BZ714&gt;0,BZ714,MAX(0.1,N(Cockpit!$C$6))),CC714)/BS714,0)*BS714</f>
        <v>15</v>
      </c>
      <c r="AK714" s="58" t="n">
        <f aca="false">IF(AH714&gt;0,J714/AH714,-1)</f>
        <v>0</v>
      </c>
      <c r="AL714" s="58" t="n">
        <f aca="false">IF(AND(OR(BY714="L1",BY714="L23"),AH714&gt;0),SUMIFS($AH$7:$AH$1843,$BY$7:$BY$1843,BY714,$AK$7:$AK$1843,"&gt;"&amp;AK714)+SUMIFS($AH$7:$AH$1843,$BY$7:$BY$1843,BY714,$AK$7:$AK$1843,AK714,$BQ$7:$BQ$1843,"&lt;="&amp;BQ714),"")</f>
        <v>76.950204384987</v>
      </c>
      <c r="AM714" s="65" t="n">
        <f aca="false">IF(AL714="",0,MAX(0,MIN(1,(IF(BY714="L1",Parameter!$E$5,Parameter!$E$6+Parameter!$E$7)-(AL714-AH714))/AH714)))</f>
        <v>1</v>
      </c>
      <c r="AN714" s="57" t="n">
        <f aca="false">IF(LEFT(Cockpit!$I$5,1)="A",H714,IF(CA714=1,CB714,IF(LEFT(Cockpit!$I$5,1)="B",AR714,MAX(AR714,H714))))</f>
        <v>15</v>
      </c>
      <c r="AO714" s="57" t="n">
        <f aca="false">IF(BT714=1,0,ROUNDUP(AN714/BS714,0))</f>
        <v>1</v>
      </c>
      <c r="AP714" s="59" t="n">
        <f aca="false">IF(CH714&gt;0,CH714*MAX(1,AN714/X714),IF(BT714=1,IF(AN714&lt;=0,0,BW714*MAX(1,IF(H714&gt;0,AN714/H714,1))),IF(R714&gt;0,AO714/R714,0))/MAX(0.1,N(Parameter!$M$21)))</f>
        <v>0.166666666666667</v>
      </c>
      <c r="AQ714" s="57" t="n">
        <f aca="false">AN714*G714</f>
        <v>2167.5</v>
      </c>
      <c r="AR714" s="57" t="n">
        <f aca="false">ROUNDUP(MAX(J714/IF(BZ714&gt;0,BZ714,MAX(0.1,N(Cockpit!$I$6))),CC714)/BS714,0)*BS714</f>
        <v>15</v>
      </c>
      <c r="AS714" s="58" t="n">
        <f aca="false">IF(AP714&gt;0,J714/AP714,-1)</f>
        <v>0</v>
      </c>
      <c r="AT714" s="58" t="n">
        <f aca="false">IF(AND(OR(BY714="L1",BY714="L23"),AP714&gt;0),SUMIFS($AP$7:$AP$1843,$BY$7:$BY$1843,BY714,$AS$7:$AS$1843,"&gt;"&amp;AS714)+SUMIFS($AP$7:$AP$1843,$BY$7:$BY$1843,BY714,$AS$7:$AS$1843,AS714,$BQ$7:$BQ$1843,"&lt;="&amp;BQ714),"")</f>
        <v>117.037000439174</v>
      </c>
      <c r="AU714" s="65" t="n">
        <f aca="false">IF(AT714="",0,MAX(0,MIN(1,(IF(BY714="L1",Parameter!$E$5,Parameter!$E$6+Parameter!$E$7)-(AT714-AP714))/AP714)))</f>
        <v>0</v>
      </c>
      <c r="AV714" s="57" t="n">
        <f aca="false">IF(LEFT(Cockpit!$O$5,1)="A",H714,IF(CA714=1,CB714,IF(LEFT(Cockpit!$O$5,1)="B",AZ714,MAX(AZ714,H714))))</f>
        <v>15</v>
      </c>
      <c r="AW714" s="57" t="n">
        <f aca="false">IF(BT714=1,0,ROUNDUP(AV714/BS714,0))</f>
        <v>1</v>
      </c>
      <c r="AX714" s="59" t="n">
        <f aca="false">IF(CH714&gt;0,CH714*MAX(1,AV714/X714),IF(BT714=1,IF(AV714&lt;=0,0,BW714*MAX(1,IF(H714&gt;0,AV714/H714,1))),IF(R714&gt;0,AW714/R714,0))/MAX(0.1,N(Parameter!$M$21)))</f>
        <v>0.166666666666667</v>
      </c>
      <c r="AY714" s="57" t="n">
        <f aca="false">AV714*G714</f>
        <v>2167.5</v>
      </c>
      <c r="AZ714" s="57" t="n">
        <f aca="false">ROUNDUP(MAX(J714/IF(BZ714&gt;0,BZ714,MAX(0.1,N(Cockpit!$O$6))),CC714)/BS714,0)*BS714</f>
        <v>15</v>
      </c>
      <c r="BA714" s="58" t="n">
        <f aca="false">IF(AX714&gt;0,J714/AX714,-1)</f>
        <v>0</v>
      </c>
      <c r="BB714" s="58" t="n">
        <f aca="false">IF(AND(OR(BY714="L1",BY714="L23"),AX714&gt;0),SUMIFS($AX$7:$AX$1843,$BY$7:$BY$1843,BY714,$BA$7:$BA$1843,"&gt;"&amp;BA714)+SUMIFS($AX$7:$AX$1843,$BY$7:$BY$1843,BY714,$BA$7:$BA$1843,BA714,$BQ$7:$BQ$1843,"&lt;="&amp;BQ714),"")</f>
        <v>107.866837269011</v>
      </c>
      <c r="BC714" s="65" t="n">
        <f aca="false">IF(BB714="",0,MAX(0,MIN(1,(IF(BY714="L1",Parameter!$E$5,Parameter!$E$6+Parameter!$E$7)-(BB714-AX714))/AX714)))</f>
        <v>0</v>
      </c>
      <c r="BD714" s="55" t="str">
        <f aca="false">IF(AH714&lt;=0,"",IF(BY714="Aussen","Aussenlager",IF(BY714="-","Nicht im Lift",IF(AM714&gt;=1,"Lift",IF(AM714&lt;=0,"Aussenlager","teilweise")))))</f>
        <v>Lift</v>
      </c>
      <c r="BE714" s="55" t="str">
        <f aca="false">IF(AP714&lt;=0,"",IF(BY714="Aussen","Aussenlager",IF(BY714="-","Nicht im Lift",IF(AU714&gt;=1,"Lift",IF(AU714&lt;=0,"Aussenlager","teilweise")))))</f>
        <v>Aussenlager</v>
      </c>
      <c r="BF714" s="55" t="str">
        <f aca="false">IF(AX714&lt;=0,"",IF(BY714="Aussen","Aussenlager",IF(BY714="-","Nicht im Lift",IF(BC714&gt;=1,"Lift",IF(BC714&lt;=0,"Aussenlager","teilweise")))))</f>
        <v>Aussenlager</v>
      </c>
      <c r="BG714" s="55" t="str">
        <f aca="false">IF(A714="","",IF(BP714=1,"Neu; ","")&amp;IF(AND(BP714=0,BK714&lt;0),"negativer Bestand (Export "&amp;BK714&amp;"); ","")&amp;IF(J714&lt;=0,"Kein Verbrauch; ","")&amp;IF(CH714&gt;0,"Lift "&amp;W714&amp;" lt. Liftbericht (Fach "&amp;X714&amp;" Stk); ",IF(BU714=1,"Gebinde geschätzt ("&amp;T714&amp;"); ",IF(BT714=1,"Lose – Tablare geschätzt; ","")))&amp;IF(H714&gt;AR714,"Überbestand "&amp;ROUND(H714-AR714,0)&amp;" Stk / CHF "&amp;ROUND((H714-AR714)*G714,0)&amp;"; ","")&amp;IF(AND(CA714=1,CB714&lt;CC714),"MAX &lt; MB+LG; ","")&amp;IF(AND(CG714&gt;0,CF714*10&gt;CG714),"zu hoch für Tablar; ","")&amp;IF(AND(BP714=0,OR(CA714=1,AA714&lt;&gt;"",U714&lt;&gt;"",V714&lt;&gt;"",AB714&lt;&gt;"")),"manuell übersteuert; ","")&amp;IF(AND(BT714=0,R714=0),"Gebinde unbekannt / Stellmass fehlt; ","")&amp;IF(AND(BT714=0,N(V714)&lt;=0,N(Q714)&lt;=0),"Menge pro Gebinde fehlt (Ist = 1 Gebinde); ","")&amp;BO714)</f>
        <v>Kein Verbrauch; Überbestand; grosser Artikel &amp; nicht im KTL</v>
      </c>
      <c r="BH714" s="55"/>
      <c r="BI714" s="55"/>
      <c r="BJ714" s="62"/>
      <c r="BK714" s="57" t="n">
        <v>0</v>
      </c>
      <c r="BL714" s="57" t="n">
        <v>13</v>
      </c>
      <c r="BM714" s="56" t="n">
        <v>0</v>
      </c>
      <c r="BN714" s="57" t="n">
        <v>0</v>
      </c>
      <c r="BO714" s="55" t="s">
        <v>359</v>
      </c>
      <c r="BP714" s="60" t="n">
        <v>0</v>
      </c>
      <c r="BQ714" s="60" t="n">
        <v>714</v>
      </c>
      <c r="BR714" s="55" t="str">
        <f aca="false">IF(U714&lt;&gt;"",UPPER(TRIM(U714)),IF(BU714=1,UPPER(VLOOKUP(T714,Parameter!$I$27:$K$29,2,0)),IF(P714="","LOSE",P714)))</f>
        <v>S71</v>
      </c>
      <c r="BS714" s="57" t="n">
        <f aca="false">IF(BR714="LOSE",1,IF(N(V714)&gt;0,V714,IF(BU714=1,MAX(1,N(VLOOKUP(T714,Parameter!$I$27:$K$29,3,0)),H714,N(N714)),IF(N(Q714)&gt;0,Q714,MAX(1,H714)))))</f>
        <v>15</v>
      </c>
      <c r="BT714" s="60" t="n">
        <f aca="false">IF(BR714="LOSE",1,0)</f>
        <v>0</v>
      </c>
      <c r="BU714" s="60" t="n">
        <f aca="false">IF(AND(U714="",OR(P714="",P714="LOSE"),T714&lt;&gt;"",N(S714)&lt;=0,ISNUMBER(MATCH(T714,Parameter!$I$27:$I$29,0))),1,0)</f>
        <v>0</v>
      </c>
      <c r="BV714" s="55" t="str">
        <f aca="false">IF(AND(Parameter!$B$19="Ja",E714&lt;&gt;"",ISNUMBER(MATCH(E714,Parameter!$I$35:$I$52,0))),VLOOKUP(E714,Parameter!$I$35:$J$52,2,0),IFERROR(VLOOKUP(D714,Parameter!$A$35:$C$64,2,0),"Nein"))</f>
        <v>2+3</v>
      </c>
      <c r="BW714" s="59" t="n">
        <f aca="false">IF(BT714=0,0,IF(N(S714)&gt;0,S714,IFERROR(VLOOKUP(D714,Parameter!$A$35:$C$64,3,0)+0,0)))</f>
        <v>0</v>
      </c>
      <c r="BX714" s="55" t="n">
        <f aca="false">IF(AA714&lt;&gt;"",AA714,Z714)</f>
        <v>2</v>
      </c>
      <c r="BY714" s="55" t="str">
        <f aca="false">IF(BX714=1,"L1",IF(OR(BX714=2,BX714=3),"L23",IF(BX714="Aussen","Aussen","-")))</f>
        <v>L23</v>
      </c>
      <c r="BZ714" s="66" t="n">
        <f aca="false">IF(N(AB714)&gt;0,AB714,0)</f>
        <v>0</v>
      </c>
      <c r="CA714" s="60" t="n">
        <f aca="false">IF(ISNUMBER(AE714),1,0)</f>
        <v>0</v>
      </c>
      <c r="CB714" s="57" t="n">
        <f aca="false">N(AE714)</f>
        <v>0</v>
      </c>
      <c r="CC714" s="57" t="n">
        <f aca="false">N(M714)+N(N714)</f>
        <v>1</v>
      </c>
      <c r="CD714" s="57" t="n">
        <f aca="false">ROUNDUP(H714/BS714,0)</f>
        <v>1</v>
      </c>
      <c r="CE714" s="57" t="n">
        <f aca="false">ROUNDUP(CB714/BS714,0)</f>
        <v>0</v>
      </c>
      <c r="CF714" s="60" t="n">
        <f aca="false">IF(BT714=1,0,IFERROR(VLOOKUP(BR714,'Gebinde-Kategorie'!$A$5:$M$45,5,0)+0,0))</f>
        <v>20</v>
      </c>
      <c r="CG714" s="60" t="n">
        <f aca="false">IFERROR(IF(OR(BX714=1,BX714=2,BX714=3),N(INDEX(Parameter!$I$5:$I$7,BX714)),0),0)</f>
        <v>0</v>
      </c>
      <c r="CH714" s="59" t="n">
        <f aca="false">IF(AND(Parameter!$B$21="Ja",ISNUMBER(W714),N(X714)&gt;0),IFERROR(N(INDEX(Parameter!$L$5:$L$7,W714))*INDEX(Parameter!$E$5:$E$7,W714)*X714/SUMIFS($X$7:$X$1843,$W$7:$W$1843,W714),0),0)</f>
        <v>0</v>
      </c>
    </row>
    <row r="715" customFormat="false" ht="15" hidden="false" customHeight="false" outlineLevel="0" collapsed="false">
      <c r="A715" s="55" t="s">
        <v>1424</v>
      </c>
      <c r="B715" s="55" t="s">
        <v>1425</v>
      </c>
      <c r="C715" s="55" t="s">
        <v>164</v>
      </c>
      <c r="D715" s="55" t="s">
        <v>995</v>
      </c>
      <c r="E715" s="55"/>
      <c r="F715" s="55" t="s">
        <v>218</v>
      </c>
      <c r="G715" s="56" t="n">
        <v>5572.64</v>
      </c>
      <c r="H715" s="57" t="n">
        <f aca="false">MAX(0,IF(AND(Parameter!$B$21="Ja",ISNUMBER(Y715)),Y715,IF(Parameter!$B$20="Jahresanfang 2025 + Export",BL715+BK715,BK715)))</f>
        <v>5</v>
      </c>
      <c r="I715" s="57" t="n">
        <f aca="false">H715*G715</f>
        <v>27863.2</v>
      </c>
      <c r="J715" s="57" t="n">
        <f aca="false">BN715*Parameter!$B$18</f>
        <v>0</v>
      </c>
      <c r="K715" s="58" t="n">
        <v>0.5</v>
      </c>
      <c r="L715" s="59" t="n">
        <v>0</v>
      </c>
      <c r="M715" s="57" t="n">
        <v>0</v>
      </c>
      <c r="N715" s="57" t="n">
        <v>1</v>
      </c>
      <c r="O715" s="60" t="n">
        <v>28</v>
      </c>
      <c r="P715" s="55" t="s">
        <v>168</v>
      </c>
      <c r="Q715" s="57"/>
      <c r="R715" s="60" t="n">
        <f aca="false">IF(BT715=1,0,IFERROR(VLOOKUP(BR715,'Gebinde-Kategorie'!$A$5:$M$45,13,0)+0,0))</f>
        <v>0</v>
      </c>
      <c r="S715" s="61"/>
      <c r="T715" s="62"/>
      <c r="U715" s="62"/>
      <c r="V715" s="62"/>
      <c r="W715" s="55"/>
      <c r="X715" s="57"/>
      <c r="Y715" s="57"/>
      <c r="Z715" s="55" t="str">
        <f aca="false">IF(A715="","",IF(AND(Parameter!$B$21="Ja",ISNUMBER(W715)),W715,IF(BV715="2+3",IF(ISNUMBER(SEARCH("grosser Artikel",BO715)),2,IFERROR(VLOOKUP(BR715,Parameter!$F$35:$G$64,2,0),2)),IF(OR(BV715="Nein",BV715=""),"-",BV715))))</f>
        <v>-</v>
      </c>
      <c r="AA715" s="62"/>
      <c r="AB715" s="63"/>
      <c r="AC715" s="57" t="n">
        <f aca="false">AR715</f>
        <v>1</v>
      </c>
      <c r="AD715" s="57" t="n">
        <f aca="false">MAX(AR715,H715)</f>
        <v>5</v>
      </c>
      <c r="AE715" s="64"/>
      <c r="AF715" s="57" t="n">
        <f aca="false">IF(LEFT(Cockpit!$C$5,1)="A",H715,IF(CA715=1,CB715,IF(LEFT(Cockpit!$C$5,1)="B",AJ715,MAX(AJ715,H715))))</f>
        <v>5</v>
      </c>
      <c r="AG715" s="57" t="n">
        <f aca="false">IF(BT715=1,0,ROUNDUP(AF715/BS715,0))</f>
        <v>0</v>
      </c>
      <c r="AH715" s="59" t="n">
        <f aca="false">IF(CH715&gt;0,CH715*MAX(1,AF715/X715),IF(BT715=1,IF(AF715&lt;=0,0,BW715*MAX(1,IF(H715&gt;0,AF715/H715,1))),IF(R715&gt;0,AG715/R715,0))/MAX(0.1,N(Parameter!$M$21)))</f>
        <v>0.15</v>
      </c>
      <c r="AI715" s="57" t="n">
        <f aca="false">AF715*G715</f>
        <v>27863.2</v>
      </c>
      <c r="AJ715" s="57" t="n">
        <f aca="false">ROUNDUP(MAX(J715/IF(BZ715&gt;0,BZ715,MAX(0.1,N(Cockpit!$C$6))),CC715)/BS715,0)*BS715</f>
        <v>1</v>
      </c>
      <c r="AK715" s="58" t="n">
        <f aca="false">IF(AH715&gt;0,J715/AH715,-1)</f>
        <v>0</v>
      </c>
      <c r="AL715" s="58" t="str">
        <f aca="false">IF(AND(OR(BY715="L1",BY715="L23"),AH715&gt;0),SUMIFS($AH$7:$AH$1843,$BY$7:$BY$1843,BY715,$AK$7:$AK$1843,"&gt;"&amp;AK715)+SUMIFS($AH$7:$AH$1843,$BY$7:$BY$1843,BY715,$AK$7:$AK$1843,AK715,$BQ$7:$BQ$1843,"&lt;="&amp;BQ715),"")</f>
        <v/>
      </c>
      <c r="AM715" s="65" t="n">
        <f aca="false">IF(AL715="",0,MAX(0,MIN(1,(IF(BY715="L1",Parameter!$E$5,Parameter!$E$6+Parameter!$E$7)-(AL715-AH715))/AH715)))</f>
        <v>0</v>
      </c>
      <c r="AN715" s="57" t="n">
        <f aca="false">IF(LEFT(Cockpit!$I$5,1)="A",H715,IF(CA715=1,CB715,IF(LEFT(Cockpit!$I$5,1)="B",AR715,MAX(AR715,H715))))</f>
        <v>5</v>
      </c>
      <c r="AO715" s="57" t="n">
        <f aca="false">IF(BT715=1,0,ROUNDUP(AN715/BS715,0))</f>
        <v>0</v>
      </c>
      <c r="AP715" s="59" t="n">
        <f aca="false">IF(CH715&gt;0,CH715*MAX(1,AN715/X715),IF(BT715=1,IF(AN715&lt;=0,0,BW715*MAX(1,IF(H715&gt;0,AN715/H715,1))),IF(R715&gt;0,AO715/R715,0))/MAX(0.1,N(Parameter!$M$21)))</f>
        <v>0.15</v>
      </c>
      <c r="AQ715" s="57" t="n">
        <f aca="false">AN715*G715</f>
        <v>27863.2</v>
      </c>
      <c r="AR715" s="57" t="n">
        <f aca="false">ROUNDUP(MAX(J715/IF(BZ715&gt;0,BZ715,MAX(0.1,N(Cockpit!$I$6))),CC715)/BS715,0)*BS715</f>
        <v>1</v>
      </c>
      <c r="AS715" s="58" t="n">
        <f aca="false">IF(AP715&gt;0,J715/AP715,-1)</f>
        <v>0</v>
      </c>
      <c r="AT715" s="58" t="str">
        <f aca="false">IF(AND(OR(BY715="L1",BY715="L23"),AP715&gt;0),SUMIFS($AP$7:$AP$1843,$BY$7:$BY$1843,BY715,$AS$7:$AS$1843,"&gt;"&amp;AS715)+SUMIFS($AP$7:$AP$1843,$BY$7:$BY$1843,BY715,$AS$7:$AS$1843,AS715,$BQ$7:$BQ$1843,"&lt;="&amp;BQ715),"")</f>
        <v/>
      </c>
      <c r="AU715" s="65" t="n">
        <f aca="false">IF(AT715="",0,MAX(0,MIN(1,(IF(BY715="L1",Parameter!$E$5,Parameter!$E$6+Parameter!$E$7)-(AT715-AP715))/AP715)))</f>
        <v>0</v>
      </c>
      <c r="AV715" s="57" t="n">
        <f aca="false">IF(LEFT(Cockpit!$O$5,1)="A",H715,IF(CA715=1,CB715,IF(LEFT(Cockpit!$O$5,1)="B",AZ715,MAX(AZ715,H715))))</f>
        <v>5</v>
      </c>
      <c r="AW715" s="57" t="n">
        <f aca="false">IF(BT715=1,0,ROUNDUP(AV715/BS715,0))</f>
        <v>0</v>
      </c>
      <c r="AX715" s="59" t="n">
        <f aca="false">IF(CH715&gt;0,CH715*MAX(1,AV715/X715),IF(BT715=1,IF(AV715&lt;=0,0,BW715*MAX(1,IF(H715&gt;0,AV715/H715,1))),IF(R715&gt;0,AW715/R715,0))/MAX(0.1,N(Parameter!$M$21)))</f>
        <v>0.15</v>
      </c>
      <c r="AY715" s="57" t="n">
        <f aca="false">AV715*G715</f>
        <v>27863.2</v>
      </c>
      <c r="AZ715" s="57" t="n">
        <f aca="false">ROUNDUP(MAX(J715/IF(BZ715&gt;0,BZ715,MAX(0.1,N(Cockpit!$O$6))),CC715)/BS715,0)*BS715</f>
        <v>1</v>
      </c>
      <c r="BA715" s="58" t="n">
        <f aca="false">IF(AX715&gt;0,J715/AX715,-1)</f>
        <v>0</v>
      </c>
      <c r="BB715" s="58" t="str">
        <f aca="false">IF(AND(OR(BY715="L1",BY715="L23"),AX715&gt;0),SUMIFS($AX$7:$AX$1843,$BY$7:$BY$1843,BY715,$BA$7:$BA$1843,"&gt;"&amp;BA715)+SUMIFS($AX$7:$AX$1843,$BY$7:$BY$1843,BY715,$BA$7:$BA$1843,BA715,$BQ$7:$BQ$1843,"&lt;="&amp;BQ715),"")</f>
        <v/>
      </c>
      <c r="BC715" s="65" t="n">
        <f aca="false">IF(BB715="",0,MAX(0,MIN(1,(IF(BY715="L1",Parameter!$E$5,Parameter!$E$6+Parameter!$E$7)-(BB715-AX715))/AX715)))</f>
        <v>0</v>
      </c>
      <c r="BD715" s="55" t="str">
        <f aca="false">IF(AH715&lt;=0,"",IF(BY715="Aussen","Aussenlager",IF(BY715="-","Nicht im Lift",IF(AM715&gt;=1,"Lift",IF(AM715&lt;=0,"Aussenlager","teilweise")))))</f>
        <v>Nicht im Lift</v>
      </c>
      <c r="BE715" s="55" t="str">
        <f aca="false">IF(AP715&lt;=0,"",IF(BY715="Aussen","Aussenlager",IF(BY715="-","Nicht im Lift",IF(AU715&gt;=1,"Lift",IF(AU715&lt;=0,"Aussenlager","teilweise")))))</f>
        <v>Nicht im Lift</v>
      </c>
      <c r="BF715" s="55" t="str">
        <f aca="false">IF(AX715&lt;=0,"",IF(BY715="Aussen","Aussenlager",IF(BY715="-","Nicht im Lift",IF(BC715&gt;=1,"Lift",IF(BC715&lt;=0,"Aussenlager","teilweise")))))</f>
        <v>Nicht im Lift</v>
      </c>
      <c r="BG715" s="55" t="str">
        <f aca="false">IF(A715="","",IF(BP715=1,"Neu; ","")&amp;IF(AND(BP715=0,BK715&lt;0),"negativer Bestand (Export "&amp;BK715&amp;"); ","")&amp;IF(J715&lt;=0,"Kein Verbrauch; ","")&amp;IF(CH715&gt;0,"Lift "&amp;W715&amp;" lt. Liftbericht (Fach "&amp;X715&amp;" Stk); ",IF(BU715=1,"Gebinde geschätzt ("&amp;T715&amp;"); ",IF(BT715=1,"Lose – Tablare geschätzt; ","")))&amp;IF(H715&gt;AR715,"Überbestand "&amp;ROUND(H715-AR715,0)&amp;" Stk / CHF "&amp;ROUND((H715-AR715)*G715,0)&amp;"; ","")&amp;IF(AND(CA715=1,CB715&lt;CC715),"MAX &lt; MB+LG; ","")&amp;IF(AND(CG715&gt;0,CF715*10&gt;CG715),"zu hoch für Tablar; ","")&amp;IF(AND(BP715=0,OR(CA715=1,AA715&lt;&gt;"",U715&lt;&gt;"",V715&lt;&gt;"",AB715&lt;&gt;"")),"manuell übersteuert; ","")&amp;IF(AND(BT715=0,R715=0),"Gebinde unbekannt / Stellmass fehlt; ","")&amp;IF(AND(BT715=0,N(V715)&lt;=0,N(Q715)&lt;=0),"Menge pro Gebinde fehlt (Ist = 1 Gebinde); ","")&amp;BO715)</f>
        <v>Kein Verbrauch; Lose – Tablare geschätzt; Überbestand 4 Stk / CHF 22291; </v>
      </c>
      <c r="BH715" s="55"/>
      <c r="BI715" s="55"/>
      <c r="BJ715" s="62"/>
      <c r="BK715" s="57" t="n">
        <v>5</v>
      </c>
      <c r="BL715" s="57" t="n">
        <v>0</v>
      </c>
      <c r="BM715" s="56" t="n">
        <v>0</v>
      </c>
      <c r="BN715" s="57" t="n">
        <v>0</v>
      </c>
      <c r="BO715" s="55"/>
      <c r="BP715" s="60" t="n">
        <v>0</v>
      </c>
      <c r="BQ715" s="60" t="n">
        <v>715</v>
      </c>
      <c r="BR715" s="55" t="str">
        <f aca="false">IF(U715&lt;&gt;"",UPPER(TRIM(U715)),IF(BU715=1,UPPER(VLOOKUP(T715,Parameter!$I$27:$K$29,2,0)),IF(P715="","LOSE",P715)))</f>
        <v>LOSE</v>
      </c>
      <c r="BS715" s="57" t="n">
        <f aca="false">IF(BR715="LOSE",1,IF(N(V715)&gt;0,V715,IF(BU715=1,MAX(1,N(VLOOKUP(T715,Parameter!$I$27:$K$29,3,0)),H715,N(N715)),IF(N(Q715)&gt;0,Q715,MAX(1,H715)))))</f>
        <v>1</v>
      </c>
      <c r="BT715" s="60" t="n">
        <f aca="false">IF(BR715="LOSE",1,0)</f>
        <v>1</v>
      </c>
      <c r="BU715" s="60" t="n">
        <f aca="false">IF(AND(U715="",OR(P715="",P715="LOSE"),T715&lt;&gt;"",N(S715)&lt;=0,ISNUMBER(MATCH(T715,Parameter!$I$27:$I$29,0))),1,0)</f>
        <v>0</v>
      </c>
      <c r="BV715" s="55" t="str">
        <f aca="false">IF(AND(Parameter!$B$19="Ja",E715&lt;&gt;"",ISNUMBER(MATCH(E715,Parameter!$I$35:$I$52,0))),VLOOKUP(E715,Parameter!$I$35:$J$52,2,0),IFERROR(VLOOKUP(D715,Parameter!$A$35:$C$64,2,0),"Nein"))</f>
        <v>Nein</v>
      </c>
      <c r="BW715" s="59" t="n">
        <f aca="false">IF(BT715=0,0,IF(N(S715)&gt;0,S715,IFERROR(VLOOKUP(D715,Parameter!$A$35:$C$64,3,0)+0,0)))</f>
        <v>0.15</v>
      </c>
      <c r="BX715" s="55" t="str">
        <f aca="false">IF(AA715&lt;&gt;"",AA715,Z715)</f>
        <v>-</v>
      </c>
      <c r="BY715" s="55" t="str">
        <f aca="false">IF(BX715=1,"L1",IF(OR(BX715=2,BX715=3),"L23",IF(BX715="Aussen","Aussen","-")))</f>
        <v>-</v>
      </c>
      <c r="BZ715" s="66" t="n">
        <f aca="false">IF(N(AB715)&gt;0,AB715,0)</f>
        <v>0</v>
      </c>
      <c r="CA715" s="60" t="n">
        <f aca="false">IF(ISNUMBER(AE715),1,0)</f>
        <v>0</v>
      </c>
      <c r="CB715" s="57" t="n">
        <f aca="false">N(AE715)</f>
        <v>0</v>
      </c>
      <c r="CC715" s="57" t="n">
        <f aca="false">N(M715)+N(N715)</f>
        <v>1</v>
      </c>
      <c r="CD715" s="57" t="n">
        <f aca="false">ROUNDUP(H715/BS715,0)</f>
        <v>5</v>
      </c>
      <c r="CE715" s="57" t="n">
        <f aca="false">ROUNDUP(CB715/BS715,0)</f>
        <v>0</v>
      </c>
      <c r="CF715" s="60" t="n">
        <f aca="false">IF(BT715=1,0,IFERROR(VLOOKUP(BR715,'Gebinde-Kategorie'!$A$5:$M$45,5,0)+0,0))</f>
        <v>0</v>
      </c>
      <c r="CG715" s="60" t="n">
        <f aca="false">IFERROR(IF(OR(BX715=1,BX715=2,BX715=3),N(INDEX(Parameter!$I$5:$I$7,BX715)),0),0)</f>
        <v>0</v>
      </c>
      <c r="CH715" s="59" t="n">
        <f aca="false">IF(AND(Parameter!$B$21="Ja",ISNUMBER(W715),N(X715)&gt;0),IFERROR(N(INDEX(Parameter!$L$5:$L$7,W715))*INDEX(Parameter!$E$5:$E$7,W715)*X715/SUMIFS($X$7:$X$1843,$W$7:$W$1843,W715),0),0)</f>
        <v>0</v>
      </c>
    </row>
    <row r="716" customFormat="false" ht="15" hidden="false" customHeight="false" outlineLevel="0" collapsed="false">
      <c r="A716" s="55" t="s">
        <v>1426</v>
      </c>
      <c r="B716" s="55" t="s">
        <v>544</v>
      </c>
      <c r="C716" s="55" t="s">
        <v>164</v>
      </c>
      <c r="D716" s="55" t="s">
        <v>995</v>
      </c>
      <c r="E716" s="55"/>
      <c r="F716" s="55" t="s">
        <v>218</v>
      </c>
      <c r="G716" s="56" t="n">
        <v>27.64</v>
      </c>
      <c r="H716" s="57" t="n">
        <f aca="false">MAX(0,IF(AND(Parameter!$B$21="Ja",ISNUMBER(Y716)),Y716,IF(Parameter!$B$20="Jahresanfang 2025 + Export",BL716+BK716,BK716)))</f>
        <v>0</v>
      </c>
      <c r="I716" s="57" t="n">
        <f aca="false">H716*G716</f>
        <v>0</v>
      </c>
      <c r="J716" s="57" t="n">
        <f aca="false">BN716*Parameter!$B$18</f>
        <v>0</v>
      </c>
      <c r="K716" s="58" t="n">
        <v>0</v>
      </c>
      <c r="L716" s="59" t="n">
        <v>0</v>
      </c>
      <c r="M716" s="57" t="n">
        <v>0</v>
      </c>
      <c r="N716" s="57" t="n">
        <v>10</v>
      </c>
      <c r="O716" s="60" t="n">
        <v>28</v>
      </c>
      <c r="P716" s="55" t="s">
        <v>168</v>
      </c>
      <c r="Q716" s="57"/>
      <c r="R716" s="60" t="n">
        <f aca="false">IF(BT716=1,0,IFERROR(VLOOKUP(BR716,'Gebinde-Kategorie'!$A$5:$M$45,13,0)+0,0))</f>
        <v>0</v>
      </c>
      <c r="S716" s="61"/>
      <c r="T716" s="62"/>
      <c r="U716" s="62"/>
      <c r="V716" s="62"/>
      <c r="W716" s="55"/>
      <c r="X716" s="57"/>
      <c r="Y716" s="57"/>
      <c r="Z716" s="55" t="str">
        <f aca="false">IF(A716="","",IF(AND(Parameter!$B$21="Ja",ISNUMBER(W716)),W716,IF(BV716="2+3",IF(ISNUMBER(SEARCH("grosser Artikel",BO716)),2,IFERROR(VLOOKUP(BR716,Parameter!$F$35:$G$64,2,0),2)),IF(OR(BV716="Nein",BV716=""),"-",BV716))))</f>
        <v>-</v>
      </c>
      <c r="AA716" s="62"/>
      <c r="AB716" s="63"/>
      <c r="AC716" s="57" t="n">
        <f aca="false">AR716</f>
        <v>10</v>
      </c>
      <c r="AD716" s="57" t="n">
        <f aca="false">MAX(AR716,H716)</f>
        <v>10</v>
      </c>
      <c r="AE716" s="64"/>
      <c r="AF716" s="57" t="n">
        <f aca="false">IF(LEFT(Cockpit!$C$5,1)="A",H716,IF(CA716=1,CB716,IF(LEFT(Cockpit!$C$5,1)="B",AJ716,MAX(AJ716,H716))))</f>
        <v>0</v>
      </c>
      <c r="AG716" s="57" t="n">
        <f aca="false">IF(BT716=1,0,ROUNDUP(AF716/BS716,0))</f>
        <v>0</v>
      </c>
      <c r="AH716" s="59" t="n">
        <f aca="false">IF(CH716&gt;0,CH716*MAX(1,AF716/X716),IF(BT716=1,IF(AF716&lt;=0,0,BW716*MAX(1,IF(H716&gt;0,AF716/H716,1))),IF(R716&gt;0,AG716/R716,0))/MAX(0.1,N(Parameter!$M$21)))</f>
        <v>0</v>
      </c>
      <c r="AI716" s="57" t="n">
        <f aca="false">AF716*G716</f>
        <v>0</v>
      </c>
      <c r="AJ716" s="57" t="n">
        <f aca="false">ROUNDUP(MAX(J716/IF(BZ716&gt;0,BZ716,MAX(0.1,N(Cockpit!$C$6))),CC716)/BS716,0)*BS716</f>
        <v>10</v>
      </c>
      <c r="AK716" s="58" t="n">
        <f aca="false">IF(AH716&gt;0,J716/AH716,-1)</f>
        <v>-1</v>
      </c>
      <c r="AL716" s="58" t="str">
        <f aca="false">IF(AND(OR(BY716="L1",BY716="L23"),AH716&gt;0),SUMIFS($AH$7:$AH$1843,$BY$7:$BY$1843,BY716,$AK$7:$AK$1843,"&gt;"&amp;AK716)+SUMIFS($AH$7:$AH$1843,$BY$7:$BY$1843,BY716,$AK$7:$AK$1843,AK716,$BQ$7:$BQ$1843,"&lt;="&amp;BQ716),"")</f>
        <v/>
      </c>
      <c r="AM716" s="65" t="n">
        <f aca="false">IF(AL716="",0,MAX(0,MIN(1,(IF(BY716="L1",Parameter!$E$5,Parameter!$E$6+Parameter!$E$7)-(AL716-AH716))/AH716)))</f>
        <v>0</v>
      </c>
      <c r="AN716" s="57" t="n">
        <f aca="false">IF(LEFT(Cockpit!$I$5,1)="A",H716,IF(CA716=1,CB716,IF(LEFT(Cockpit!$I$5,1)="B",AR716,MAX(AR716,H716))))</f>
        <v>10</v>
      </c>
      <c r="AO716" s="57" t="n">
        <f aca="false">IF(BT716=1,0,ROUNDUP(AN716/BS716,0))</f>
        <v>0</v>
      </c>
      <c r="AP716" s="59" t="n">
        <f aca="false">IF(CH716&gt;0,CH716*MAX(1,AN716/X716),IF(BT716=1,IF(AN716&lt;=0,0,BW716*MAX(1,IF(H716&gt;0,AN716/H716,1))),IF(R716&gt;0,AO716/R716,0))/MAX(0.1,N(Parameter!$M$21)))</f>
        <v>0.15</v>
      </c>
      <c r="AQ716" s="57" t="n">
        <f aca="false">AN716*G716</f>
        <v>276.4</v>
      </c>
      <c r="AR716" s="57" t="n">
        <f aca="false">ROUNDUP(MAX(J716/IF(BZ716&gt;0,BZ716,MAX(0.1,N(Cockpit!$I$6))),CC716)/BS716,0)*BS716</f>
        <v>10</v>
      </c>
      <c r="AS716" s="58" t="n">
        <f aca="false">IF(AP716&gt;0,J716/AP716,-1)</f>
        <v>0</v>
      </c>
      <c r="AT716" s="58" t="str">
        <f aca="false">IF(AND(OR(BY716="L1",BY716="L23"),AP716&gt;0),SUMIFS($AP$7:$AP$1843,$BY$7:$BY$1843,BY716,$AS$7:$AS$1843,"&gt;"&amp;AS716)+SUMIFS($AP$7:$AP$1843,$BY$7:$BY$1843,BY716,$AS$7:$AS$1843,AS716,$BQ$7:$BQ$1843,"&lt;="&amp;BQ716),"")</f>
        <v/>
      </c>
      <c r="AU716" s="65" t="n">
        <f aca="false">IF(AT716="",0,MAX(0,MIN(1,(IF(BY716="L1",Parameter!$E$5,Parameter!$E$6+Parameter!$E$7)-(AT716-AP716))/AP716)))</f>
        <v>0</v>
      </c>
      <c r="AV716" s="57" t="n">
        <f aca="false">IF(LEFT(Cockpit!$O$5,1)="A",H716,IF(CA716=1,CB716,IF(LEFT(Cockpit!$O$5,1)="B",AZ716,MAX(AZ716,H716))))</f>
        <v>10</v>
      </c>
      <c r="AW716" s="57" t="n">
        <f aca="false">IF(BT716=1,0,ROUNDUP(AV716/BS716,0))</f>
        <v>0</v>
      </c>
      <c r="AX716" s="59" t="n">
        <f aca="false">IF(CH716&gt;0,CH716*MAX(1,AV716/X716),IF(BT716=1,IF(AV716&lt;=0,0,BW716*MAX(1,IF(H716&gt;0,AV716/H716,1))),IF(R716&gt;0,AW716/R716,0))/MAX(0.1,N(Parameter!$M$21)))</f>
        <v>0.15</v>
      </c>
      <c r="AY716" s="57" t="n">
        <f aca="false">AV716*G716</f>
        <v>276.4</v>
      </c>
      <c r="AZ716" s="57" t="n">
        <f aca="false">ROUNDUP(MAX(J716/IF(BZ716&gt;0,BZ716,MAX(0.1,N(Cockpit!$O$6))),CC716)/BS716,0)*BS716</f>
        <v>10</v>
      </c>
      <c r="BA716" s="58" t="n">
        <f aca="false">IF(AX716&gt;0,J716/AX716,-1)</f>
        <v>0</v>
      </c>
      <c r="BB716" s="58" t="str">
        <f aca="false">IF(AND(OR(BY716="L1",BY716="L23"),AX716&gt;0),SUMIFS($AX$7:$AX$1843,$BY$7:$BY$1843,BY716,$BA$7:$BA$1843,"&gt;"&amp;BA716)+SUMIFS($AX$7:$AX$1843,$BY$7:$BY$1843,BY716,$BA$7:$BA$1843,BA716,$BQ$7:$BQ$1843,"&lt;="&amp;BQ716),"")</f>
        <v/>
      </c>
      <c r="BC716" s="65" t="n">
        <f aca="false">IF(BB716="",0,MAX(0,MIN(1,(IF(BY716="L1",Parameter!$E$5,Parameter!$E$6+Parameter!$E$7)-(BB716-AX716))/AX716)))</f>
        <v>0</v>
      </c>
      <c r="BD716" s="55" t="str">
        <f aca="false">IF(AH716&lt;=0,"",IF(BY716="Aussen","Aussenlager",IF(BY716="-","Nicht im Lift",IF(AM716&gt;=1,"Lift",IF(AM716&lt;=0,"Aussenlager","teilweise")))))</f>
        <v/>
      </c>
      <c r="BE716" s="55" t="str">
        <f aca="false">IF(AP716&lt;=0,"",IF(BY716="Aussen","Aussenlager",IF(BY716="-","Nicht im Lift",IF(AU716&gt;=1,"Lift",IF(AU716&lt;=0,"Aussenlager","teilweise")))))</f>
        <v>Nicht im Lift</v>
      </c>
      <c r="BF716" s="55" t="str">
        <f aca="false">IF(AX716&lt;=0,"",IF(BY716="Aussen","Aussenlager",IF(BY716="-","Nicht im Lift",IF(BC716&gt;=1,"Lift",IF(BC716&lt;=0,"Aussenlager","teilweise")))))</f>
        <v>Nicht im Lift</v>
      </c>
      <c r="BG716" s="55" t="str">
        <f aca="false">IF(A716="","",IF(BP716=1,"Neu; ","")&amp;IF(AND(BP716=0,BK716&lt;0),"negativer Bestand (Export "&amp;BK716&amp;"); ","")&amp;IF(J716&lt;=0,"Kein Verbrauch; ","")&amp;IF(CH716&gt;0,"Lift "&amp;W716&amp;" lt. Liftbericht (Fach "&amp;X716&amp;" Stk); ",IF(BU716=1,"Gebinde geschätzt ("&amp;T716&amp;"); ",IF(BT716=1,"Lose – Tablare geschätzt; ","")))&amp;IF(H716&gt;AR716,"Überbestand "&amp;ROUND(H716-AR716,0)&amp;" Stk / CHF "&amp;ROUND((H716-AR716)*G716,0)&amp;"; ","")&amp;IF(AND(CA716=1,CB716&lt;CC716),"MAX &lt; MB+LG; ","")&amp;IF(AND(CG716&gt;0,CF716*10&gt;CG716),"zu hoch für Tablar; ","")&amp;IF(AND(BP716=0,OR(CA716=1,AA716&lt;&gt;"",U716&lt;&gt;"",V716&lt;&gt;"",AB716&lt;&gt;"")),"manuell übersteuert; ","")&amp;IF(AND(BT716=0,R716=0),"Gebinde unbekannt / Stellmass fehlt; ","")&amp;IF(AND(BT716=0,N(V716)&lt;=0,N(Q716)&lt;=0),"Menge pro Gebinde fehlt (Ist = 1 Gebinde); ","")&amp;BO716)</f>
        <v>Kein Verbrauch; Lose – Tablare geschätzt; </v>
      </c>
      <c r="BH716" s="55"/>
      <c r="BI716" s="55"/>
      <c r="BJ716" s="62"/>
      <c r="BK716" s="57" t="n">
        <v>0</v>
      </c>
      <c r="BL716" s="57" t="n">
        <v>0</v>
      </c>
      <c r="BM716" s="56" t="n">
        <v>0</v>
      </c>
      <c r="BN716" s="57" t="n">
        <v>0</v>
      </c>
      <c r="BO716" s="55"/>
      <c r="BP716" s="60" t="n">
        <v>0</v>
      </c>
      <c r="BQ716" s="60" t="n">
        <v>716</v>
      </c>
      <c r="BR716" s="55" t="str">
        <f aca="false">IF(U716&lt;&gt;"",UPPER(TRIM(U716)),IF(BU716=1,UPPER(VLOOKUP(T716,Parameter!$I$27:$K$29,2,0)),IF(P716="","LOSE",P716)))</f>
        <v>LOSE</v>
      </c>
      <c r="BS716" s="57" t="n">
        <f aca="false">IF(BR716="LOSE",1,IF(N(V716)&gt;0,V716,IF(BU716=1,MAX(1,N(VLOOKUP(T716,Parameter!$I$27:$K$29,3,0)),H716,N(N716)),IF(N(Q716)&gt;0,Q716,MAX(1,H716)))))</f>
        <v>1</v>
      </c>
      <c r="BT716" s="60" t="n">
        <f aca="false">IF(BR716="LOSE",1,0)</f>
        <v>1</v>
      </c>
      <c r="BU716" s="60" t="n">
        <f aca="false">IF(AND(U716="",OR(P716="",P716="LOSE"),T716&lt;&gt;"",N(S716)&lt;=0,ISNUMBER(MATCH(T716,Parameter!$I$27:$I$29,0))),1,0)</f>
        <v>0</v>
      </c>
      <c r="BV716" s="55" t="str">
        <f aca="false">IF(AND(Parameter!$B$19="Ja",E716&lt;&gt;"",ISNUMBER(MATCH(E716,Parameter!$I$35:$I$52,0))),VLOOKUP(E716,Parameter!$I$35:$J$52,2,0),IFERROR(VLOOKUP(D716,Parameter!$A$35:$C$64,2,0),"Nein"))</f>
        <v>Nein</v>
      </c>
      <c r="BW716" s="59" t="n">
        <f aca="false">IF(BT716=0,0,IF(N(S716)&gt;0,S716,IFERROR(VLOOKUP(D716,Parameter!$A$35:$C$64,3,0)+0,0)))</f>
        <v>0.15</v>
      </c>
      <c r="BX716" s="55" t="str">
        <f aca="false">IF(AA716&lt;&gt;"",AA716,Z716)</f>
        <v>-</v>
      </c>
      <c r="BY716" s="55" t="str">
        <f aca="false">IF(BX716=1,"L1",IF(OR(BX716=2,BX716=3),"L23",IF(BX716="Aussen","Aussen","-")))</f>
        <v>-</v>
      </c>
      <c r="BZ716" s="66" t="n">
        <f aca="false">IF(N(AB716)&gt;0,AB716,0)</f>
        <v>0</v>
      </c>
      <c r="CA716" s="60" t="n">
        <f aca="false">IF(ISNUMBER(AE716),1,0)</f>
        <v>0</v>
      </c>
      <c r="CB716" s="57" t="n">
        <f aca="false">N(AE716)</f>
        <v>0</v>
      </c>
      <c r="CC716" s="57" t="n">
        <f aca="false">N(M716)+N(N716)</f>
        <v>10</v>
      </c>
      <c r="CD716" s="57" t="n">
        <f aca="false">ROUNDUP(H716/BS716,0)</f>
        <v>0</v>
      </c>
      <c r="CE716" s="57" t="n">
        <f aca="false">ROUNDUP(CB716/BS716,0)</f>
        <v>0</v>
      </c>
      <c r="CF716" s="60" t="n">
        <f aca="false">IF(BT716=1,0,IFERROR(VLOOKUP(BR716,'Gebinde-Kategorie'!$A$5:$M$45,5,0)+0,0))</f>
        <v>0</v>
      </c>
      <c r="CG716" s="60" t="n">
        <f aca="false">IFERROR(IF(OR(BX716=1,BX716=2,BX716=3),N(INDEX(Parameter!$I$5:$I$7,BX716)),0),0)</f>
        <v>0</v>
      </c>
      <c r="CH716" s="59" t="n">
        <f aca="false">IF(AND(Parameter!$B$21="Ja",ISNUMBER(W716),N(X716)&gt;0),IFERROR(N(INDEX(Parameter!$L$5:$L$7,W716))*INDEX(Parameter!$E$5:$E$7,W716)*X716/SUMIFS($X$7:$X$1843,$W$7:$W$1843,W716),0),0)</f>
        <v>0</v>
      </c>
    </row>
    <row r="717" customFormat="false" ht="15" hidden="false" customHeight="false" outlineLevel="0" collapsed="false">
      <c r="A717" s="55" t="s">
        <v>1427</v>
      </c>
      <c r="B717" s="55" t="s">
        <v>1428</v>
      </c>
      <c r="C717" s="55" t="s">
        <v>164</v>
      </c>
      <c r="D717" s="55" t="s">
        <v>995</v>
      </c>
      <c r="E717" s="55"/>
      <c r="F717" s="55" t="s">
        <v>218</v>
      </c>
      <c r="G717" s="56" t="n">
        <v>161.1</v>
      </c>
      <c r="H717" s="57" t="n">
        <f aca="false">MAX(0,IF(AND(Parameter!$B$21="Ja",ISNUMBER(Y717)),Y717,IF(Parameter!$B$20="Jahresanfang 2025 + Export",BL717+BK717,BK717)))</f>
        <v>0</v>
      </c>
      <c r="I717" s="57" t="n">
        <f aca="false">H717*G717</f>
        <v>0</v>
      </c>
      <c r="J717" s="57" t="n">
        <f aca="false">BN717*Parameter!$B$18</f>
        <v>0</v>
      </c>
      <c r="K717" s="58" t="n">
        <v>0.5</v>
      </c>
      <c r="L717" s="59" t="n">
        <v>0</v>
      </c>
      <c r="M717" s="57" t="n">
        <v>0</v>
      </c>
      <c r="N717" s="57" t="n">
        <v>1</v>
      </c>
      <c r="O717" s="60" t="n">
        <v>7</v>
      </c>
      <c r="P717" s="55" t="s">
        <v>168</v>
      </c>
      <c r="Q717" s="57"/>
      <c r="R717" s="60" t="n">
        <f aca="false">IF(BT717=1,0,IFERROR(VLOOKUP(BR717,'Gebinde-Kategorie'!$A$5:$M$45,13,0)+0,0))</f>
        <v>0</v>
      </c>
      <c r="S717" s="61"/>
      <c r="T717" s="62"/>
      <c r="U717" s="62"/>
      <c r="V717" s="62"/>
      <c r="W717" s="55"/>
      <c r="X717" s="57"/>
      <c r="Y717" s="57"/>
      <c r="Z717" s="55" t="str">
        <f aca="false">IF(A717="","",IF(AND(Parameter!$B$21="Ja",ISNUMBER(W717)),W717,IF(BV717="2+3",IF(ISNUMBER(SEARCH("grosser Artikel",BO717)),2,IFERROR(VLOOKUP(BR717,Parameter!$F$35:$G$64,2,0),2)),IF(OR(BV717="Nein",BV717=""),"-",BV717))))</f>
        <v>-</v>
      </c>
      <c r="AA717" s="62"/>
      <c r="AB717" s="63"/>
      <c r="AC717" s="57" t="n">
        <f aca="false">AR717</f>
        <v>1</v>
      </c>
      <c r="AD717" s="57" t="n">
        <f aca="false">MAX(AR717,H717)</f>
        <v>1</v>
      </c>
      <c r="AE717" s="64"/>
      <c r="AF717" s="57" t="n">
        <f aca="false">IF(LEFT(Cockpit!$C$5,1)="A",H717,IF(CA717=1,CB717,IF(LEFT(Cockpit!$C$5,1)="B",AJ717,MAX(AJ717,H717))))</f>
        <v>0</v>
      </c>
      <c r="AG717" s="57" t="n">
        <f aca="false">IF(BT717=1,0,ROUNDUP(AF717/BS717,0))</f>
        <v>0</v>
      </c>
      <c r="AH717" s="59" t="n">
        <f aca="false">IF(CH717&gt;0,CH717*MAX(1,AF717/X717),IF(BT717=1,IF(AF717&lt;=0,0,BW717*MAX(1,IF(H717&gt;0,AF717/H717,1))),IF(R717&gt;0,AG717/R717,0))/MAX(0.1,N(Parameter!$M$21)))</f>
        <v>0</v>
      </c>
      <c r="AI717" s="57" t="n">
        <f aca="false">AF717*G717</f>
        <v>0</v>
      </c>
      <c r="AJ717" s="57" t="n">
        <f aca="false">ROUNDUP(MAX(J717/IF(BZ717&gt;0,BZ717,MAX(0.1,N(Cockpit!$C$6))),CC717)/BS717,0)*BS717</f>
        <v>1</v>
      </c>
      <c r="AK717" s="58" t="n">
        <f aca="false">IF(AH717&gt;0,J717/AH717,-1)</f>
        <v>-1</v>
      </c>
      <c r="AL717" s="58" t="str">
        <f aca="false">IF(AND(OR(BY717="L1",BY717="L23"),AH717&gt;0),SUMIFS($AH$7:$AH$1843,$BY$7:$BY$1843,BY717,$AK$7:$AK$1843,"&gt;"&amp;AK717)+SUMIFS($AH$7:$AH$1843,$BY$7:$BY$1843,BY717,$AK$7:$AK$1843,AK717,$BQ$7:$BQ$1843,"&lt;="&amp;BQ717),"")</f>
        <v/>
      </c>
      <c r="AM717" s="65" t="n">
        <f aca="false">IF(AL717="",0,MAX(0,MIN(1,(IF(BY717="L1",Parameter!$E$5,Parameter!$E$6+Parameter!$E$7)-(AL717-AH717))/AH717)))</f>
        <v>0</v>
      </c>
      <c r="AN717" s="57" t="n">
        <f aca="false">IF(LEFT(Cockpit!$I$5,1)="A",H717,IF(CA717=1,CB717,IF(LEFT(Cockpit!$I$5,1)="B",AR717,MAX(AR717,H717))))</f>
        <v>1</v>
      </c>
      <c r="AO717" s="57" t="n">
        <f aca="false">IF(BT717=1,0,ROUNDUP(AN717/BS717,0))</f>
        <v>0</v>
      </c>
      <c r="AP717" s="59" t="n">
        <f aca="false">IF(CH717&gt;0,CH717*MAX(1,AN717/X717),IF(BT717=1,IF(AN717&lt;=0,0,BW717*MAX(1,IF(H717&gt;0,AN717/H717,1))),IF(R717&gt;0,AO717/R717,0))/MAX(0.1,N(Parameter!$M$21)))</f>
        <v>0.15</v>
      </c>
      <c r="AQ717" s="57" t="n">
        <f aca="false">AN717*G717</f>
        <v>161.1</v>
      </c>
      <c r="AR717" s="57" t="n">
        <f aca="false">ROUNDUP(MAX(J717/IF(BZ717&gt;0,BZ717,MAX(0.1,N(Cockpit!$I$6))),CC717)/BS717,0)*BS717</f>
        <v>1</v>
      </c>
      <c r="AS717" s="58" t="n">
        <f aca="false">IF(AP717&gt;0,J717/AP717,-1)</f>
        <v>0</v>
      </c>
      <c r="AT717" s="58" t="str">
        <f aca="false">IF(AND(OR(BY717="L1",BY717="L23"),AP717&gt;0),SUMIFS($AP$7:$AP$1843,$BY$7:$BY$1843,BY717,$AS$7:$AS$1843,"&gt;"&amp;AS717)+SUMIFS($AP$7:$AP$1843,$BY$7:$BY$1843,BY717,$AS$7:$AS$1843,AS717,$BQ$7:$BQ$1843,"&lt;="&amp;BQ717),"")</f>
        <v/>
      </c>
      <c r="AU717" s="65" t="n">
        <f aca="false">IF(AT717="",0,MAX(0,MIN(1,(IF(BY717="L1",Parameter!$E$5,Parameter!$E$6+Parameter!$E$7)-(AT717-AP717))/AP717)))</f>
        <v>0</v>
      </c>
      <c r="AV717" s="57" t="n">
        <f aca="false">IF(LEFT(Cockpit!$O$5,1)="A",H717,IF(CA717=1,CB717,IF(LEFT(Cockpit!$O$5,1)="B",AZ717,MAX(AZ717,H717))))</f>
        <v>1</v>
      </c>
      <c r="AW717" s="57" t="n">
        <f aca="false">IF(BT717=1,0,ROUNDUP(AV717/BS717,0))</f>
        <v>0</v>
      </c>
      <c r="AX717" s="59" t="n">
        <f aca="false">IF(CH717&gt;0,CH717*MAX(1,AV717/X717),IF(BT717=1,IF(AV717&lt;=0,0,BW717*MAX(1,IF(H717&gt;0,AV717/H717,1))),IF(R717&gt;0,AW717/R717,0))/MAX(0.1,N(Parameter!$M$21)))</f>
        <v>0.15</v>
      </c>
      <c r="AY717" s="57" t="n">
        <f aca="false">AV717*G717</f>
        <v>161.1</v>
      </c>
      <c r="AZ717" s="57" t="n">
        <f aca="false">ROUNDUP(MAX(J717/IF(BZ717&gt;0,BZ717,MAX(0.1,N(Cockpit!$O$6))),CC717)/BS717,0)*BS717</f>
        <v>1</v>
      </c>
      <c r="BA717" s="58" t="n">
        <f aca="false">IF(AX717&gt;0,J717/AX717,-1)</f>
        <v>0</v>
      </c>
      <c r="BB717" s="58" t="str">
        <f aca="false">IF(AND(OR(BY717="L1",BY717="L23"),AX717&gt;0),SUMIFS($AX$7:$AX$1843,$BY$7:$BY$1843,BY717,$BA$7:$BA$1843,"&gt;"&amp;BA717)+SUMIFS($AX$7:$AX$1843,$BY$7:$BY$1843,BY717,$BA$7:$BA$1843,BA717,$BQ$7:$BQ$1843,"&lt;="&amp;BQ717),"")</f>
        <v/>
      </c>
      <c r="BC717" s="65" t="n">
        <f aca="false">IF(BB717="",0,MAX(0,MIN(1,(IF(BY717="L1",Parameter!$E$5,Parameter!$E$6+Parameter!$E$7)-(BB717-AX717))/AX717)))</f>
        <v>0</v>
      </c>
      <c r="BD717" s="55" t="str">
        <f aca="false">IF(AH717&lt;=0,"",IF(BY717="Aussen","Aussenlager",IF(BY717="-","Nicht im Lift",IF(AM717&gt;=1,"Lift",IF(AM717&lt;=0,"Aussenlager","teilweise")))))</f>
        <v/>
      </c>
      <c r="BE717" s="55" t="str">
        <f aca="false">IF(AP717&lt;=0,"",IF(BY717="Aussen","Aussenlager",IF(BY717="-","Nicht im Lift",IF(AU717&gt;=1,"Lift",IF(AU717&lt;=0,"Aussenlager","teilweise")))))</f>
        <v>Nicht im Lift</v>
      </c>
      <c r="BF717" s="55" t="str">
        <f aca="false">IF(AX717&lt;=0,"",IF(BY717="Aussen","Aussenlager",IF(BY717="-","Nicht im Lift",IF(BC717&gt;=1,"Lift",IF(BC717&lt;=0,"Aussenlager","teilweise")))))</f>
        <v>Nicht im Lift</v>
      </c>
      <c r="BG717" s="55" t="str">
        <f aca="false">IF(A717="","",IF(BP717=1,"Neu; ","")&amp;IF(AND(BP717=0,BK717&lt;0),"negativer Bestand (Export "&amp;BK717&amp;"); ","")&amp;IF(J717&lt;=0,"Kein Verbrauch; ","")&amp;IF(CH717&gt;0,"Lift "&amp;W717&amp;" lt. Liftbericht (Fach "&amp;X717&amp;" Stk); ",IF(BU717=1,"Gebinde geschätzt ("&amp;T717&amp;"); ",IF(BT717=1,"Lose – Tablare geschätzt; ","")))&amp;IF(H717&gt;AR717,"Überbestand "&amp;ROUND(H717-AR717,0)&amp;" Stk / CHF "&amp;ROUND((H717-AR717)*G717,0)&amp;"; ","")&amp;IF(AND(CA717=1,CB717&lt;CC717),"MAX &lt; MB+LG; ","")&amp;IF(AND(CG717&gt;0,CF717*10&gt;CG717),"zu hoch für Tablar; ","")&amp;IF(AND(BP717=0,OR(CA717=1,AA717&lt;&gt;"",U717&lt;&gt;"",V717&lt;&gt;"",AB717&lt;&gt;"")),"manuell übersteuert; ","")&amp;IF(AND(BT717=0,R717=0),"Gebinde unbekannt / Stellmass fehlt; ","")&amp;IF(AND(BT717=0,N(V717)&lt;=0,N(Q717)&lt;=0),"Menge pro Gebinde fehlt (Ist = 1 Gebinde); ","")&amp;BO717)</f>
        <v>Kein Verbrauch; Lose – Tablare geschätzt; </v>
      </c>
      <c r="BH717" s="55"/>
      <c r="BI717" s="55"/>
      <c r="BJ717" s="62"/>
      <c r="BK717" s="57" t="n">
        <v>0</v>
      </c>
      <c r="BL717" s="57" t="n">
        <v>0</v>
      </c>
      <c r="BM717" s="56" t="n">
        <v>0</v>
      </c>
      <c r="BN717" s="57" t="n">
        <v>0</v>
      </c>
      <c r="BO717" s="55"/>
      <c r="BP717" s="60" t="n">
        <v>0</v>
      </c>
      <c r="BQ717" s="60" t="n">
        <v>717</v>
      </c>
      <c r="BR717" s="55" t="str">
        <f aca="false">IF(U717&lt;&gt;"",UPPER(TRIM(U717)),IF(BU717=1,UPPER(VLOOKUP(T717,Parameter!$I$27:$K$29,2,0)),IF(P717="","LOSE",P717)))</f>
        <v>LOSE</v>
      </c>
      <c r="BS717" s="57" t="n">
        <f aca="false">IF(BR717="LOSE",1,IF(N(V717)&gt;0,V717,IF(BU717=1,MAX(1,N(VLOOKUP(T717,Parameter!$I$27:$K$29,3,0)),H717,N(N717)),IF(N(Q717)&gt;0,Q717,MAX(1,H717)))))</f>
        <v>1</v>
      </c>
      <c r="BT717" s="60" t="n">
        <f aca="false">IF(BR717="LOSE",1,0)</f>
        <v>1</v>
      </c>
      <c r="BU717" s="60" t="n">
        <f aca="false">IF(AND(U717="",OR(P717="",P717="LOSE"),T717&lt;&gt;"",N(S717)&lt;=0,ISNUMBER(MATCH(T717,Parameter!$I$27:$I$29,0))),1,0)</f>
        <v>0</v>
      </c>
      <c r="BV717" s="55" t="str">
        <f aca="false">IF(AND(Parameter!$B$19="Ja",E717&lt;&gt;"",ISNUMBER(MATCH(E717,Parameter!$I$35:$I$52,0))),VLOOKUP(E717,Parameter!$I$35:$J$52,2,0),IFERROR(VLOOKUP(D717,Parameter!$A$35:$C$64,2,0),"Nein"))</f>
        <v>Nein</v>
      </c>
      <c r="BW717" s="59" t="n">
        <f aca="false">IF(BT717=0,0,IF(N(S717)&gt;0,S717,IFERROR(VLOOKUP(D717,Parameter!$A$35:$C$64,3,0)+0,0)))</f>
        <v>0.15</v>
      </c>
      <c r="BX717" s="55" t="str">
        <f aca="false">IF(AA717&lt;&gt;"",AA717,Z717)</f>
        <v>-</v>
      </c>
      <c r="BY717" s="55" t="str">
        <f aca="false">IF(BX717=1,"L1",IF(OR(BX717=2,BX717=3),"L23",IF(BX717="Aussen","Aussen","-")))</f>
        <v>-</v>
      </c>
      <c r="BZ717" s="66" t="n">
        <f aca="false">IF(N(AB717)&gt;0,AB717,0)</f>
        <v>0</v>
      </c>
      <c r="CA717" s="60" t="n">
        <f aca="false">IF(ISNUMBER(AE717),1,0)</f>
        <v>0</v>
      </c>
      <c r="CB717" s="57" t="n">
        <f aca="false">N(AE717)</f>
        <v>0</v>
      </c>
      <c r="CC717" s="57" t="n">
        <f aca="false">N(M717)+N(N717)</f>
        <v>1</v>
      </c>
      <c r="CD717" s="57" t="n">
        <f aca="false">ROUNDUP(H717/BS717,0)</f>
        <v>0</v>
      </c>
      <c r="CE717" s="57" t="n">
        <f aca="false">ROUNDUP(CB717/BS717,0)</f>
        <v>0</v>
      </c>
      <c r="CF717" s="60" t="n">
        <f aca="false">IF(BT717=1,0,IFERROR(VLOOKUP(BR717,'Gebinde-Kategorie'!$A$5:$M$45,5,0)+0,0))</f>
        <v>0</v>
      </c>
      <c r="CG717" s="60" t="n">
        <f aca="false">IFERROR(IF(OR(BX717=1,BX717=2,BX717=3),N(INDEX(Parameter!$I$5:$I$7,BX717)),0),0)</f>
        <v>0</v>
      </c>
      <c r="CH717" s="59" t="n">
        <f aca="false">IF(AND(Parameter!$B$21="Ja",ISNUMBER(W717),N(X717)&gt;0),IFERROR(N(INDEX(Parameter!$L$5:$L$7,W717))*INDEX(Parameter!$E$5:$E$7,W717)*X717/SUMIFS($X$7:$X$1843,$W$7:$W$1843,W717),0),0)</f>
        <v>0</v>
      </c>
    </row>
    <row r="718" customFormat="false" ht="15" hidden="false" customHeight="false" outlineLevel="0" collapsed="false">
      <c r="A718" s="55" t="s">
        <v>1429</v>
      </c>
      <c r="B718" s="55" t="s">
        <v>544</v>
      </c>
      <c r="C718" s="55" t="s">
        <v>164</v>
      </c>
      <c r="D718" s="55" t="s">
        <v>995</v>
      </c>
      <c r="E718" s="55"/>
      <c r="F718" s="55" t="s">
        <v>218</v>
      </c>
      <c r="G718" s="56" t="n">
        <v>27.2</v>
      </c>
      <c r="H718" s="57" t="n">
        <f aca="false">MAX(0,IF(AND(Parameter!$B$21="Ja",ISNUMBER(Y718)),Y718,IF(Parameter!$B$20="Jahresanfang 2025 + Export",BL718+BK718,BK718)))</f>
        <v>1</v>
      </c>
      <c r="I718" s="57" t="n">
        <f aca="false">H718*G718</f>
        <v>27.2</v>
      </c>
      <c r="J718" s="57" t="n">
        <f aca="false">BN718*Parameter!$B$18</f>
        <v>0</v>
      </c>
      <c r="K718" s="58" t="n">
        <v>0.5</v>
      </c>
      <c r="L718" s="59" t="n">
        <v>0</v>
      </c>
      <c r="M718" s="57" t="n">
        <v>0</v>
      </c>
      <c r="N718" s="57" t="n">
        <v>10</v>
      </c>
      <c r="O718" s="60" t="n">
        <v>28</v>
      </c>
      <c r="P718" s="55" t="s">
        <v>168</v>
      </c>
      <c r="Q718" s="57"/>
      <c r="R718" s="60" t="n">
        <f aca="false">IF(BT718=1,0,IFERROR(VLOOKUP(BR718,'Gebinde-Kategorie'!$A$5:$M$45,13,0)+0,0))</f>
        <v>0</v>
      </c>
      <c r="S718" s="61"/>
      <c r="T718" s="62"/>
      <c r="U718" s="62"/>
      <c r="V718" s="62"/>
      <c r="W718" s="55"/>
      <c r="X718" s="57"/>
      <c r="Y718" s="57"/>
      <c r="Z718" s="55" t="str">
        <f aca="false">IF(A718="","",IF(AND(Parameter!$B$21="Ja",ISNUMBER(W718)),W718,IF(BV718="2+3",IF(ISNUMBER(SEARCH("grosser Artikel",BO718)),2,IFERROR(VLOOKUP(BR718,Parameter!$F$35:$G$64,2,0),2)),IF(OR(BV718="Nein",BV718=""),"-",BV718))))</f>
        <v>-</v>
      </c>
      <c r="AA718" s="62"/>
      <c r="AB718" s="63"/>
      <c r="AC718" s="57" t="n">
        <f aca="false">AR718</f>
        <v>10</v>
      </c>
      <c r="AD718" s="57" t="n">
        <f aca="false">MAX(AR718,H718)</f>
        <v>10</v>
      </c>
      <c r="AE718" s="64"/>
      <c r="AF718" s="57" t="n">
        <f aca="false">IF(LEFT(Cockpit!$C$5,1)="A",H718,IF(CA718=1,CB718,IF(LEFT(Cockpit!$C$5,1)="B",AJ718,MAX(AJ718,H718))))</f>
        <v>1</v>
      </c>
      <c r="AG718" s="57" t="n">
        <f aca="false">IF(BT718=1,0,ROUNDUP(AF718/BS718,0))</f>
        <v>0</v>
      </c>
      <c r="AH718" s="59" t="n">
        <f aca="false">IF(CH718&gt;0,CH718*MAX(1,AF718/X718),IF(BT718=1,IF(AF718&lt;=0,0,BW718*MAX(1,IF(H718&gt;0,AF718/H718,1))),IF(R718&gt;0,AG718/R718,0))/MAX(0.1,N(Parameter!$M$21)))</f>
        <v>0.15</v>
      </c>
      <c r="AI718" s="57" t="n">
        <f aca="false">AF718*G718</f>
        <v>27.2</v>
      </c>
      <c r="AJ718" s="57" t="n">
        <f aca="false">ROUNDUP(MAX(J718/IF(BZ718&gt;0,BZ718,MAX(0.1,N(Cockpit!$C$6))),CC718)/BS718,0)*BS718</f>
        <v>10</v>
      </c>
      <c r="AK718" s="58" t="n">
        <f aca="false">IF(AH718&gt;0,J718/AH718,-1)</f>
        <v>0</v>
      </c>
      <c r="AL718" s="58" t="str">
        <f aca="false">IF(AND(OR(BY718="L1",BY718="L23"),AH718&gt;0),SUMIFS($AH$7:$AH$1843,$BY$7:$BY$1843,BY718,$AK$7:$AK$1843,"&gt;"&amp;AK718)+SUMIFS($AH$7:$AH$1843,$BY$7:$BY$1843,BY718,$AK$7:$AK$1843,AK718,$BQ$7:$BQ$1843,"&lt;="&amp;BQ718),"")</f>
        <v/>
      </c>
      <c r="AM718" s="65" t="n">
        <f aca="false">IF(AL718="",0,MAX(0,MIN(1,(IF(BY718="L1",Parameter!$E$5,Parameter!$E$6+Parameter!$E$7)-(AL718-AH718))/AH718)))</f>
        <v>0</v>
      </c>
      <c r="AN718" s="57" t="n">
        <f aca="false">IF(LEFT(Cockpit!$I$5,1)="A",H718,IF(CA718=1,CB718,IF(LEFT(Cockpit!$I$5,1)="B",AR718,MAX(AR718,H718))))</f>
        <v>10</v>
      </c>
      <c r="AO718" s="57" t="n">
        <f aca="false">IF(BT718=1,0,ROUNDUP(AN718/BS718,0))</f>
        <v>0</v>
      </c>
      <c r="AP718" s="59" t="n">
        <f aca="false">IF(CH718&gt;0,CH718*MAX(1,AN718/X718),IF(BT718=1,IF(AN718&lt;=0,0,BW718*MAX(1,IF(H718&gt;0,AN718/H718,1))),IF(R718&gt;0,AO718/R718,0))/MAX(0.1,N(Parameter!$M$21)))</f>
        <v>1.5</v>
      </c>
      <c r="AQ718" s="57" t="n">
        <f aca="false">AN718*G718</f>
        <v>272</v>
      </c>
      <c r="AR718" s="57" t="n">
        <f aca="false">ROUNDUP(MAX(J718/IF(BZ718&gt;0,BZ718,MAX(0.1,N(Cockpit!$I$6))),CC718)/BS718,0)*BS718</f>
        <v>10</v>
      </c>
      <c r="AS718" s="58" t="n">
        <f aca="false">IF(AP718&gt;0,J718/AP718,-1)</f>
        <v>0</v>
      </c>
      <c r="AT718" s="58" t="str">
        <f aca="false">IF(AND(OR(BY718="L1",BY718="L23"),AP718&gt;0),SUMIFS($AP$7:$AP$1843,$BY$7:$BY$1843,BY718,$AS$7:$AS$1843,"&gt;"&amp;AS718)+SUMIFS($AP$7:$AP$1843,$BY$7:$BY$1843,BY718,$AS$7:$AS$1843,AS718,$BQ$7:$BQ$1843,"&lt;="&amp;BQ718),"")</f>
        <v/>
      </c>
      <c r="AU718" s="65" t="n">
        <f aca="false">IF(AT718="",0,MAX(0,MIN(1,(IF(BY718="L1",Parameter!$E$5,Parameter!$E$6+Parameter!$E$7)-(AT718-AP718))/AP718)))</f>
        <v>0</v>
      </c>
      <c r="AV718" s="57" t="n">
        <f aca="false">IF(LEFT(Cockpit!$O$5,1)="A",H718,IF(CA718=1,CB718,IF(LEFT(Cockpit!$O$5,1)="B",AZ718,MAX(AZ718,H718))))</f>
        <v>10</v>
      </c>
      <c r="AW718" s="57" t="n">
        <f aca="false">IF(BT718=1,0,ROUNDUP(AV718/BS718,0))</f>
        <v>0</v>
      </c>
      <c r="AX718" s="59" t="n">
        <f aca="false">IF(CH718&gt;0,CH718*MAX(1,AV718/X718),IF(BT718=1,IF(AV718&lt;=0,0,BW718*MAX(1,IF(H718&gt;0,AV718/H718,1))),IF(R718&gt;0,AW718/R718,0))/MAX(0.1,N(Parameter!$M$21)))</f>
        <v>1.5</v>
      </c>
      <c r="AY718" s="57" t="n">
        <f aca="false">AV718*G718</f>
        <v>272</v>
      </c>
      <c r="AZ718" s="57" t="n">
        <f aca="false">ROUNDUP(MAX(J718/IF(BZ718&gt;0,BZ718,MAX(0.1,N(Cockpit!$O$6))),CC718)/BS718,0)*BS718</f>
        <v>10</v>
      </c>
      <c r="BA718" s="58" t="n">
        <f aca="false">IF(AX718&gt;0,J718/AX718,-1)</f>
        <v>0</v>
      </c>
      <c r="BB718" s="58" t="str">
        <f aca="false">IF(AND(OR(BY718="L1",BY718="L23"),AX718&gt;0),SUMIFS($AX$7:$AX$1843,$BY$7:$BY$1843,BY718,$BA$7:$BA$1843,"&gt;"&amp;BA718)+SUMIFS($AX$7:$AX$1843,$BY$7:$BY$1843,BY718,$BA$7:$BA$1843,BA718,$BQ$7:$BQ$1843,"&lt;="&amp;BQ718),"")</f>
        <v/>
      </c>
      <c r="BC718" s="65" t="n">
        <f aca="false">IF(BB718="",0,MAX(0,MIN(1,(IF(BY718="L1",Parameter!$E$5,Parameter!$E$6+Parameter!$E$7)-(BB718-AX718))/AX718)))</f>
        <v>0</v>
      </c>
      <c r="BD718" s="55" t="str">
        <f aca="false">IF(AH718&lt;=0,"",IF(BY718="Aussen","Aussenlager",IF(BY718="-","Nicht im Lift",IF(AM718&gt;=1,"Lift",IF(AM718&lt;=0,"Aussenlager","teilweise")))))</f>
        <v>Nicht im Lift</v>
      </c>
      <c r="BE718" s="55" t="str">
        <f aca="false">IF(AP718&lt;=0,"",IF(BY718="Aussen","Aussenlager",IF(BY718="-","Nicht im Lift",IF(AU718&gt;=1,"Lift",IF(AU718&lt;=0,"Aussenlager","teilweise")))))</f>
        <v>Nicht im Lift</v>
      </c>
      <c r="BF718" s="55" t="str">
        <f aca="false">IF(AX718&lt;=0,"",IF(BY718="Aussen","Aussenlager",IF(BY718="-","Nicht im Lift",IF(BC718&gt;=1,"Lift",IF(BC718&lt;=0,"Aussenlager","teilweise")))))</f>
        <v>Nicht im Lift</v>
      </c>
      <c r="BG718" s="55" t="str">
        <f aca="false">IF(A718="","",IF(BP718=1,"Neu; ","")&amp;IF(AND(BP718=0,BK718&lt;0),"negativer Bestand (Export "&amp;BK718&amp;"); ","")&amp;IF(J718&lt;=0,"Kein Verbrauch; ","")&amp;IF(CH718&gt;0,"Lift "&amp;W718&amp;" lt. Liftbericht (Fach "&amp;X718&amp;" Stk); ",IF(BU718=1,"Gebinde geschätzt ("&amp;T718&amp;"); ",IF(BT718=1,"Lose – Tablare geschätzt; ","")))&amp;IF(H718&gt;AR718,"Überbestand "&amp;ROUND(H718-AR718,0)&amp;" Stk / CHF "&amp;ROUND((H718-AR718)*G718,0)&amp;"; ","")&amp;IF(AND(CA718=1,CB718&lt;CC718),"MAX &lt; MB+LG; ","")&amp;IF(AND(CG718&gt;0,CF718*10&gt;CG718),"zu hoch für Tablar; ","")&amp;IF(AND(BP718=0,OR(CA718=1,AA718&lt;&gt;"",U718&lt;&gt;"",V718&lt;&gt;"",AB718&lt;&gt;"")),"manuell übersteuert; ","")&amp;IF(AND(BT718=0,R718=0),"Gebinde unbekannt / Stellmass fehlt; ","")&amp;IF(AND(BT718=0,N(V718)&lt;=0,N(Q718)&lt;=0),"Menge pro Gebinde fehlt (Ist = 1 Gebinde); ","")&amp;BO718)</f>
        <v>Kein Verbrauch; Lose – Tablare geschätzt; </v>
      </c>
      <c r="BH718" s="55"/>
      <c r="BI718" s="55"/>
      <c r="BJ718" s="62"/>
      <c r="BK718" s="57" t="n">
        <v>1</v>
      </c>
      <c r="BL718" s="57" t="n">
        <v>0</v>
      </c>
      <c r="BM718" s="56" t="n">
        <v>0</v>
      </c>
      <c r="BN718" s="57" t="n">
        <v>0</v>
      </c>
      <c r="BO718" s="55"/>
      <c r="BP718" s="60" t="n">
        <v>0</v>
      </c>
      <c r="BQ718" s="60" t="n">
        <v>718</v>
      </c>
      <c r="BR718" s="55" t="str">
        <f aca="false">IF(U718&lt;&gt;"",UPPER(TRIM(U718)),IF(BU718=1,UPPER(VLOOKUP(T718,Parameter!$I$27:$K$29,2,0)),IF(P718="","LOSE",P718)))</f>
        <v>LOSE</v>
      </c>
      <c r="BS718" s="57" t="n">
        <f aca="false">IF(BR718="LOSE",1,IF(N(V718)&gt;0,V718,IF(BU718=1,MAX(1,N(VLOOKUP(T718,Parameter!$I$27:$K$29,3,0)),H718,N(N718)),IF(N(Q718)&gt;0,Q718,MAX(1,H718)))))</f>
        <v>1</v>
      </c>
      <c r="BT718" s="60" t="n">
        <f aca="false">IF(BR718="LOSE",1,0)</f>
        <v>1</v>
      </c>
      <c r="BU718" s="60" t="n">
        <f aca="false">IF(AND(U718="",OR(P718="",P718="LOSE"),T718&lt;&gt;"",N(S718)&lt;=0,ISNUMBER(MATCH(T718,Parameter!$I$27:$I$29,0))),1,0)</f>
        <v>0</v>
      </c>
      <c r="BV718" s="55" t="str">
        <f aca="false">IF(AND(Parameter!$B$19="Ja",E718&lt;&gt;"",ISNUMBER(MATCH(E718,Parameter!$I$35:$I$52,0))),VLOOKUP(E718,Parameter!$I$35:$J$52,2,0),IFERROR(VLOOKUP(D718,Parameter!$A$35:$C$64,2,0),"Nein"))</f>
        <v>Nein</v>
      </c>
      <c r="BW718" s="59" t="n">
        <f aca="false">IF(BT718=0,0,IF(N(S718)&gt;0,S718,IFERROR(VLOOKUP(D718,Parameter!$A$35:$C$64,3,0)+0,0)))</f>
        <v>0.15</v>
      </c>
      <c r="BX718" s="55" t="str">
        <f aca="false">IF(AA718&lt;&gt;"",AA718,Z718)</f>
        <v>-</v>
      </c>
      <c r="BY718" s="55" t="str">
        <f aca="false">IF(BX718=1,"L1",IF(OR(BX718=2,BX718=3),"L23",IF(BX718="Aussen","Aussen","-")))</f>
        <v>-</v>
      </c>
      <c r="BZ718" s="66" t="n">
        <f aca="false">IF(N(AB718)&gt;0,AB718,0)</f>
        <v>0</v>
      </c>
      <c r="CA718" s="60" t="n">
        <f aca="false">IF(ISNUMBER(AE718),1,0)</f>
        <v>0</v>
      </c>
      <c r="CB718" s="57" t="n">
        <f aca="false">N(AE718)</f>
        <v>0</v>
      </c>
      <c r="CC718" s="57" t="n">
        <f aca="false">N(M718)+N(N718)</f>
        <v>10</v>
      </c>
      <c r="CD718" s="57" t="n">
        <f aca="false">ROUNDUP(H718/BS718,0)</f>
        <v>1</v>
      </c>
      <c r="CE718" s="57" t="n">
        <f aca="false">ROUNDUP(CB718/BS718,0)</f>
        <v>0</v>
      </c>
      <c r="CF718" s="60" t="n">
        <f aca="false">IF(BT718=1,0,IFERROR(VLOOKUP(BR718,'Gebinde-Kategorie'!$A$5:$M$45,5,0)+0,0))</f>
        <v>0</v>
      </c>
      <c r="CG718" s="60" t="n">
        <f aca="false">IFERROR(IF(OR(BX718=1,BX718=2,BX718=3),N(INDEX(Parameter!$I$5:$I$7,BX718)),0),0)</f>
        <v>0</v>
      </c>
      <c r="CH718" s="59" t="n">
        <f aca="false">IF(AND(Parameter!$B$21="Ja",ISNUMBER(W718),N(X718)&gt;0),IFERROR(N(INDEX(Parameter!$L$5:$L$7,W718))*INDEX(Parameter!$E$5:$E$7,W718)*X718/SUMIFS($X$7:$X$1843,$W$7:$W$1843,W718),0),0)</f>
        <v>0</v>
      </c>
    </row>
    <row r="719" customFormat="false" ht="15" hidden="false" customHeight="false" outlineLevel="0" collapsed="false">
      <c r="A719" s="55" t="s">
        <v>1430</v>
      </c>
      <c r="B719" s="55" t="s">
        <v>654</v>
      </c>
      <c r="C719" s="55" t="s">
        <v>164</v>
      </c>
      <c r="D719" s="55" t="s">
        <v>184</v>
      </c>
      <c r="E719" s="55" t="s">
        <v>185</v>
      </c>
      <c r="F719" s="55" t="s">
        <v>218</v>
      </c>
      <c r="G719" s="56" t="n">
        <v>0.39</v>
      </c>
      <c r="H719" s="57" t="n">
        <f aca="false">MAX(0,IF(AND(Parameter!$B$21="Ja",ISNUMBER(Y719)),Y719,IF(Parameter!$B$20="Jahresanfang 2025 + Export",BL719+BK719,BK719)))</f>
        <v>22</v>
      </c>
      <c r="I719" s="57" t="n">
        <f aca="false">H719*G719</f>
        <v>8.58</v>
      </c>
      <c r="J719" s="57" t="n">
        <f aca="false">BN719*Parameter!$B$18</f>
        <v>2</v>
      </c>
      <c r="K719" s="58" t="n">
        <v>21</v>
      </c>
      <c r="L719" s="59" t="n">
        <v>0.0952380952380952</v>
      </c>
      <c r="M719" s="57" t="n">
        <v>0</v>
      </c>
      <c r="N719" s="57" t="n">
        <v>1</v>
      </c>
      <c r="O719" s="60" t="n">
        <v>21</v>
      </c>
      <c r="P719" s="55" t="s">
        <v>401</v>
      </c>
      <c r="Q719" s="57" t="n">
        <v>36</v>
      </c>
      <c r="R719" s="60" t="n">
        <f aca="false">IF(BT719=1,0,IFERROR(VLOOKUP(BR719,'Gebinde-Kategorie'!$A$5:$M$45,13,0)+0,0))</f>
        <v>414</v>
      </c>
      <c r="S719" s="61"/>
      <c r="T719" s="62"/>
      <c r="U719" s="62"/>
      <c r="V719" s="62"/>
      <c r="W719" s="55"/>
      <c r="X719" s="57"/>
      <c r="Y719" s="57"/>
      <c r="Z719" s="55" t="n">
        <f aca="false">IF(A719="","",IF(AND(Parameter!$B$21="Ja",ISNUMBER(W719)),W719,IF(BV719="2+3",IF(ISNUMBER(SEARCH("grosser Artikel",BO719)),2,IFERROR(VLOOKUP(BR719,Parameter!$F$35:$G$64,2,0),2)),IF(OR(BV719="Nein",BV719=""),"-",BV719))))</f>
        <v>3</v>
      </c>
      <c r="AA719" s="62"/>
      <c r="AB719" s="63"/>
      <c r="AC719" s="57" t="n">
        <f aca="false">AR719</f>
        <v>36</v>
      </c>
      <c r="AD719" s="57" t="n">
        <f aca="false">MAX(AR719,H719)</f>
        <v>36</v>
      </c>
      <c r="AE719" s="64"/>
      <c r="AF719" s="57" t="n">
        <f aca="false">IF(LEFT(Cockpit!$C$5,1)="A",H719,IF(CA719=1,CB719,IF(LEFT(Cockpit!$C$5,1)="B",AJ719,MAX(AJ719,H719))))</f>
        <v>22</v>
      </c>
      <c r="AG719" s="57" t="n">
        <f aca="false">IF(BT719=1,0,ROUNDUP(AF719/BS719,0))</f>
        <v>1</v>
      </c>
      <c r="AH719" s="59" t="n">
        <f aca="false">IF(CH719&gt;0,CH719*MAX(1,AF719/X719),IF(BT719=1,IF(AF719&lt;=0,0,BW719*MAX(1,IF(H719&gt;0,AF719/H719,1))),IF(R719&gt;0,AG719/R719,0))/MAX(0.1,N(Parameter!$M$21)))</f>
        <v>0.00241545893719807</v>
      </c>
      <c r="AI719" s="57" t="n">
        <f aca="false">AF719*G719</f>
        <v>8.58</v>
      </c>
      <c r="AJ719" s="57" t="n">
        <f aca="false">ROUNDUP(MAX(J719/IF(BZ719&gt;0,BZ719,MAX(0.1,N(Cockpit!$C$6))),CC719)/BS719,0)*BS719</f>
        <v>36</v>
      </c>
      <c r="AK719" s="58" t="n">
        <f aca="false">IF(AH719&gt;0,J719/AH719,-1)</f>
        <v>828</v>
      </c>
      <c r="AL719" s="58" t="n">
        <f aca="false">IF(AND(OR(BY719="L1",BY719="L23"),AH719&gt;0),SUMIFS($AH$7:$AH$1843,$BY$7:$BY$1843,BY719,$AK$7:$AK$1843,"&gt;"&amp;AK719)+SUMIFS($AH$7:$AH$1843,$BY$7:$BY$1843,BY719,$AK$7:$AK$1843,AK719,$BQ$7:$BQ$1843,"&lt;="&amp;BQ719),"")</f>
        <v>20.7274078578426</v>
      </c>
      <c r="AM719" s="65" t="n">
        <f aca="false">IF(AL719="",0,MAX(0,MIN(1,(IF(BY719="L1",Parameter!$E$5,Parameter!$E$6+Parameter!$E$7)-(AL719-AH719))/AH719)))</f>
        <v>1</v>
      </c>
      <c r="AN719" s="57" t="n">
        <f aca="false">IF(LEFT(Cockpit!$I$5,1)="A",H719,IF(CA719=1,CB719,IF(LEFT(Cockpit!$I$5,1)="B",AR719,MAX(AR719,H719))))</f>
        <v>36</v>
      </c>
      <c r="AO719" s="57" t="n">
        <f aca="false">IF(BT719=1,0,ROUNDUP(AN719/BS719,0))</f>
        <v>1</v>
      </c>
      <c r="AP719" s="59" t="n">
        <f aca="false">IF(CH719&gt;0,CH719*MAX(1,AN719/X719),IF(BT719=1,IF(AN719&lt;=0,0,BW719*MAX(1,IF(H719&gt;0,AN719/H719,1))),IF(R719&gt;0,AO719/R719,0))/MAX(0.1,N(Parameter!$M$21)))</f>
        <v>0.00241545893719807</v>
      </c>
      <c r="AQ719" s="57" t="n">
        <f aca="false">AN719*G719</f>
        <v>14.04</v>
      </c>
      <c r="AR719" s="57" t="n">
        <f aca="false">ROUNDUP(MAX(J719/IF(BZ719&gt;0,BZ719,MAX(0.1,N(Cockpit!$I$6))),CC719)/BS719,0)*BS719</f>
        <v>36</v>
      </c>
      <c r="AS719" s="58" t="n">
        <f aca="false">IF(AP719&gt;0,J719/AP719,-1)</f>
        <v>828</v>
      </c>
      <c r="AT719" s="58" t="n">
        <f aca="false">IF(AND(OR(BY719="L1",BY719="L23"),AP719&gt;0),SUMIFS($AP$7:$AP$1843,$BY$7:$BY$1843,BY719,$AS$7:$AS$1843,"&gt;"&amp;AS719)+SUMIFS($AP$7:$AP$1843,$BY$7:$BY$1843,BY719,$AS$7:$AS$1843,AS719,$BQ$7:$BQ$1843,"&lt;="&amp;BQ719),"")</f>
        <v>25.9476791324617</v>
      </c>
      <c r="AU719" s="65" t="n">
        <f aca="false">IF(AT719="",0,MAX(0,MIN(1,(IF(BY719="L1",Parameter!$E$5,Parameter!$E$6+Parameter!$E$7)-(AT719-AP719))/AP719)))</f>
        <v>1</v>
      </c>
      <c r="AV719" s="57" t="n">
        <f aca="false">IF(LEFT(Cockpit!$O$5,1)="A",H719,IF(CA719=1,CB719,IF(LEFT(Cockpit!$O$5,1)="B",AZ719,MAX(AZ719,H719))))</f>
        <v>36</v>
      </c>
      <c r="AW719" s="57" t="n">
        <f aca="false">IF(BT719=1,0,ROUNDUP(AV719/BS719,0))</f>
        <v>1</v>
      </c>
      <c r="AX719" s="59" t="n">
        <f aca="false">IF(CH719&gt;0,CH719*MAX(1,AV719/X719),IF(BT719=1,IF(AV719&lt;=0,0,BW719*MAX(1,IF(H719&gt;0,AV719/H719,1))),IF(R719&gt;0,AW719/R719,0))/MAX(0.1,N(Parameter!$M$21)))</f>
        <v>0.00241545893719807</v>
      </c>
      <c r="AY719" s="57" t="n">
        <f aca="false">AV719*G719</f>
        <v>14.04</v>
      </c>
      <c r="AZ719" s="57" t="n">
        <f aca="false">ROUNDUP(MAX(J719/IF(BZ719&gt;0,BZ719,MAX(0.1,N(Cockpit!$O$6))),CC719)/BS719,0)*BS719</f>
        <v>36</v>
      </c>
      <c r="BA719" s="58" t="n">
        <f aca="false">IF(AX719&gt;0,J719/AX719,-1)</f>
        <v>828</v>
      </c>
      <c r="BB719" s="58" t="n">
        <f aca="false">IF(AND(OR(BY719="L1",BY719="L23"),AX719&gt;0),SUMIFS($AX$7:$AX$1843,$BY$7:$BY$1843,BY719,$BA$7:$BA$1843,"&gt;"&amp;BA719)+SUMIFS($AX$7:$AX$1843,$BY$7:$BY$1843,BY719,$BA$7:$BA$1843,BA719,$BQ$7:$BQ$1843,"&lt;="&amp;BQ719),"")</f>
        <v>25.8159775007601</v>
      </c>
      <c r="BC719" s="65" t="n">
        <f aca="false">IF(BB719="",0,MAX(0,MIN(1,(IF(BY719="L1",Parameter!$E$5,Parameter!$E$6+Parameter!$E$7)-(BB719-AX719))/AX719)))</f>
        <v>1</v>
      </c>
      <c r="BD719" s="55" t="str">
        <f aca="false">IF(AH719&lt;=0,"",IF(BY719="Aussen","Aussenlager",IF(BY719="-","Nicht im Lift",IF(AM719&gt;=1,"Lift",IF(AM719&lt;=0,"Aussenlager","teilweise")))))</f>
        <v>Lift</v>
      </c>
      <c r="BE719" s="55" t="str">
        <f aca="false">IF(AP719&lt;=0,"",IF(BY719="Aussen","Aussenlager",IF(BY719="-","Nicht im Lift",IF(AU719&gt;=1,"Lift",IF(AU719&lt;=0,"Aussenlager","teilweise")))))</f>
        <v>Lift</v>
      </c>
      <c r="BF719" s="55" t="str">
        <f aca="false">IF(AX719&lt;=0,"",IF(BY719="Aussen","Aussenlager",IF(BY719="-","Nicht im Lift",IF(BC719&gt;=1,"Lift",IF(BC719&lt;=0,"Aussenlager","teilweise")))))</f>
        <v>Lift</v>
      </c>
      <c r="BG719" s="55" t="str">
        <f aca="false">IF(A719="","",IF(BP719=1,"Neu; ","")&amp;IF(AND(BP719=0,BK719&lt;0),"negativer Bestand (Export "&amp;BK719&amp;"); ","")&amp;IF(J719&lt;=0,"Kein Verbrauch; ","")&amp;IF(CH719&gt;0,"Lift "&amp;W719&amp;" lt. Liftbericht (Fach "&amp;X719&amp;" Stk); ",IF(BU719=1,"Gebinde geschätzt ("&amp;T719&amp;"); ",IF(BT719=1,"Lose – Tablare geschätzt; ","")))&amp;IF(H719&gt;AR719,"Überbestand "&amp;ROUND(H719-AR719,0)&amp;" Stk / CHF "&amp;ROUND((H719-AR719)*G719,0)&amp;"; ","")&amp;IF(AND(CA719=1,CB719&lt;CC719),"MAX &lt; MB+LG; ","")&amp;IF(AND(CG719&gt;0,CF719*10&gt;CG719),"zu hoch für Tablar; ","")&amp;IF(AND(BP719=0,OR(CA719=1,AA719&lt;&gt;"",U719&lt;&gt;"",V719&lt;&gt;"",AB719&lt;&gt;"")),"manuell übersteuert; ","")&amp;IF(AND(BT719=0,R719=0),"Gebinde unbekannt / Stellmass fehlt; ","")&amp;IF(AND(BT719=0,N(V719)&lt;=0,N(Q719)&lt;=0),"Menge pro Gebinde fehlt (Ist = 1 Gebinde); ","")&amp;BO719)</f>
        <v>Überbestand</v>
      </c>
      <c r="BH719" s="55"/>
      <c r="BI719" s="55"/>
      <c r="BJ719" s="62"/>
      <c r="BK719" s="57" t="n">
        <v>0</v>
      </c>
      <c r="BL719" s="57" t="n">
        <v>22</v>
      </c>
      <c r="BM719" s="56" t="n">
        <v>0</v>
      </c>
      <c r="BN719" s="57" t="n">
        <v>2</v>
      </c>
      <c r="BO719" s="55" t="s">
        <v>392</v>
      </c>
      <c r="BP719" s="60" t="n">
        <v>0</v>
      </c>
      <c r="BQ719" s="60" t="n">
        <v>719</v>
      </c>
      <c r="BR719" s="55" t="str">
        <f aca="false">IF(U719&lt;&gt;"",UPPER(TRIM(U719)),IF(BU719=1,UPPER(VLOOKUP(T719,Parameter!$I$27:$K$29,2,0)),IF(P719="","LOSE",P719)))</f>
        <v>S21</v>
      </c>
      <c r="BS719" s="57" t="n">
        <f aca="false">IF(BR719="LOSE",1,IF(N(V719)&gt;0,V719,IF(BU719=1,MAX(1,N(VLOOKUP(T719,Parameter!$I$27:$K$29,3,0)),H719,N(N719)),IF(N(Q719)&gt;0,Q719,MAX(1,H719)))))</f>
        <v>36</v>
      </c>
      <c r="BT719" s="60" t="n">
        <f aca="false">IF(BR719="LOSE",1,0)</f>
        <v>0</v>
      </c>
      <c r="BU719" s="60" t="n">
        <f aca="false">IF(AND(U719="",OR(P719="",P719="LOSE"),T719&lt;&gt;"",N(S719)&lt;=0,ISNUMBER(MATCH(T719,Parameter!$I$27:$I$29,0))),1,0)</f>
        <v>0</v>
      </c>
      <c r="BV719" s="55" t="str">
        <f aca="false">IF(AND(Parameter!$B$19="Ja",E719&lt;&gt;"",ISNUMBER(MATCH(E719,Parameter!$I$35:$I$52,0))),VLOOKUP(E719,Parameter!$I$35:$J$52,2,0),IFERROR(VLOOKUP(D719,Parameter!$A$35:$C$64,2,0),"Nein"))</f>
        <v>2+3</v>
      </c>
      <c r="BW719" s="59" t="n">
        <f aca="false">IF(BT719=0,0,IF(N(S719)&gt;0,S719,IFERROR(VLOOKUP(D719,Parameter!$A$35:$C$64,3,0)+0,0)))</f>
        <v>0</v>
      </c>
      <c r="BX719" s="55" t="n">
        <f aca="false">IF(AA719&lt;&gt;"",AA719,Z719)</f>
        <v>3</v>
      </c>
      <c r="BY719" s="55" t="str">
        <f aca="false">IF(BX719=1,"L1",IF(OR(BX719=2,BX719=3),"L23",IF(BX719="Aussen","Aussen","-")))</f>
        <v>L23</v>
      </c>
      <c r="BZ719" s="66" t="n">
        <f aca="false">IF(N(AB719)&gt;0,AB719,0)</f>
        <v>0</v>
      </c>
      <c r="CA719" s="60" t="n">
        <f aca="false">IF(ISNUMBER(AE719),1,0)</f>
        <v>0</v>
      </c>
      <c r="CB719" s="57" t="n">
        <f aca="false">N(AE719)</f>
        <v>0</v>
      </c>
      <c r="CC719" s="57" t="n">
        <f aca="false">N(M719)+N(N719)</f>
        <v>1</v>
      </c>
      <c r="CD719" s="57" t="n">
        <f aca="false">ROUNDUP(H719/BS719,0)</f>
        <v>1</v>
      </c>
      <c r="CE719" s="57" t="n">
        <f aca="false">ROUNDUP(CB719/BS719,0)</f>
        <v>0</v>
      </c>
      <c r="CF719" s="60" t="n">
        <f aca="false">IF(BT719=1,0,IFERROR(VLOOKUP(BR719,'Gebinde-Kategorie'!$A$5:$M$45,5,0)+0,0))</f>
        <v>8</v>
      </c>
      <c r="CG719" s="60" t="n">
        <f aca="false">IFERROR(IF(OR(BX719=1,BX719=2,BX719=3),N(INDEX(Parameter!$I$5:$I$7,BX719)),0),0)</f>
        <v>0</v>
      </c>
      <c r="CH719" s="59" t="n">
        <f aca="false">IF(AND(Parameter!$B$21="Ja",ISNUMBER(W719),N(X719)&gt;0),IFERROR(N(INDEX(Parameter!$L$5:$L$7,W719))*INDEX(Parameter!$E$5:$E$7,W719)*X719/SUMIFS($X$7:$X$1843,$W$7:$W$1843,W719),0),0)</f>
        <v>0</v>
      </c>
    </row>
    <row r="720" customFormat="false" ht="15" hidden="false" customHeight="false" outlineLevel="0" collapsed="false">
      <c r="A720" s="55" t="s">
        <v>1431</v>
      </c>
      <c r="B720" s="55" t="s">
        <v>544</v>
      </c>
      <c r="C720" s="55" t="s">
        <v>164</v>
      </c>
      <c r="D720" s="55" t="s">
        <v>995</v>
      </c>
      <c r="E720" s="55"/>
      <c r="F720" s="55" t="s">
        <v>218</v>
      </c>
      <c r="G720" s="56" t="n">
        <v>32.17</v>
      </c>
      <c r="H720" s="57" t="n">
        <f aca="false">MAX(0,IF(AND(Parameter!$B$21="Ja",ISNUMBER(Y720)),Y720,IF(Parameter!$B$20="Jahresanfang 2025 + Export",BL720+BK720,BK720)))</f>
        <v>6</v>
      </c>
      <c r="I720" s="57" t="n">
        <f aca="false">H720*G720</f>
        <v>193.02</v>
      </c>
      <c r="J720" s="57" t="n">
        <f aca="false">BN720*Parameter!$B$18</f>
        <v>0</v>
      </c>
      <c r="K720" s="58" t="n">
        <v>2.5</v>
      </c>
      <c r="L720" s="59" t="n">
        <v>0</v>
      </c>
      <c r="M720" s="57" t="n">
        <v>0</v>
      </c>
      <c r="N720" s="57" t="n">
        <v>10</v>
      </c>
      <c r="O720" s="60" t="n">
        <v>28</v>
      </c>
      <c r="P720" s="55" t="s">
        <v>168</v>
      </c>
      <c r="Q720" s="57"/>
      <c r="R720" s="60" t="n">
        <f aca="false">IF(BT720=1,0,IFERROR(VLOOKUP(BR720,'Gebinde-Kategorie'!$A$5:$M$45,13,0)+0,0))</f>
        <v>0</v>
      </c>
      <c r="S720" s="61"/>
      <c r="T720" s="62"/>
      <c r="U720" s="62"/>
      <c r="V720" s="62"/>
      <c r="W720" s="55"/>
      <c r="X720" s="57"/>
      <c r="Y720" s="57"/>
      <c r="Z720" s="55" t="str">
        <f aca="false">IF(A720="","",IF(AND(Parameter!$B$21="Ja",ISNUMBER(W720)),W720,IF(BV720="2+3",IF(ISNUMBER(SEARCH("grosser Artikel",BO720)),2,IFERROR(VLOOKUP(BR720,Parameter!$F$35:$G$64,2,0),2)),IF(OR(BV720="Nein",BV720=""),"-",BV720))))</f>
        <v>-</v>
      </c>
      <c r="AA720" s="62"/>
      <c r="AB720" s="63"/>
      <c r="AC720" s="57" t="n">
        <f aca="false">AR720</f>
        <v>10</v>
      </c>
      <c r="AD720" s="57" t="n">
        <f aca="false">MAX(AR720,H720)</f>
        <v>10</v>
      </c>
      <c r="AE720" s="64"/>
      <c r="AF720" s="57" t="n">
        <f aca="false">IF(LEFT(Cockpit!$C$5,1)="A",H720,IF(CA720=1,CB720,IF(LEFT(Cockpit!$C$5,1)="B",AJ720,MAX(AJ720,H720))))</f>
        <v>6</v>
      </c>
      <c r="AG720" s="57" t="n">
        <f aca="false">IF(BT720=1,0,ROUNDUP(AF720/BS720,0))</f>
        <v>0</v>
      </c>
      <c r="AH720" s="59" t="n">
        <f aca="false">IF(CH720&gt;0,CH720*MAX(1,AF720/X720),IF(BT720=1,IF(AF720&lt;=0,0,BW720*MAX(1,IF(H720&gt;0,AF720/H720,1))),IF(R720&gt;0,AG720/R720,0))/MAX(0.1,N(Parameter!$M$21)))</f>
        <v>0.15</v>
      </c>
      <c r="AI720" s="57" t="n">
        <f aca="false">AF720*G720</f>
        <v>193.02</v>
      </c>
      <c r="AJ720" s="57" t="n">
        <f aca="false">ROUNDUP(MAX(J720/IF(BZ720&gt;0,BZ720,MAX(0.1,N(Cockpit!$C$6))),CC720)/BS720,0)*BS720</f>
        <v>10</v>
      </c>
      <c r="AK720" s="58" t="n">
        <f aca="false">IF(AH720&gt;0,J720/AH720,-1)</f>
        <v>0</v>
      </c>
      <c r="AL720" s="58" t="str">
        <f aca="false">IF(AND(OR(BY720="L1",BY720="L23"),AH720&gt;0),SUMIFS($AH$7:$AH$1843,$BY$7:$BY$1843,BY720,$AK$7:$AK$1843,"&gt;"&amp;AK720)+SUMIFS($AH$7:$AH$1843,$BY$7:$BY$1843,BY720,$AK$7:$AK$1843,AK720,$BQ$7:$BQ$1843,"&lt;="&amp;BQ720),"")</f>
        <v/>
      </c>
      <c r="AM720" s="65" t="n">
        <f aca="false">IF(AL720="",0,MAX(0,MIN(1,(IF(BY720="L1",Parameter!$E$5,Parameter!$E$6+Parameter!$E$7)-(AL720-AH720))/AH720)))</f>
        <v>0</v>
      </c>
      <c r="AN720" s="57" t="n">
        <f aca="false">IF(LEFT(Cockpit!$I$5,1)="A",H720,IF(CA720=1,CB720,IF(LEFT(Cockpit!$I$5,1)="B",AR720,MAX(AR720,H720))))</f>
        <v>10</v>
      </c>
      <c r="AO720" s="57" t="n">
        <f aca="false">IF(BT720=1,0,ROUNDUP(AN720/BS720,0))</f>
        <v>0</v>
      </c>
      <c r="AP720" s="59" t="n">
        <f aca="false">IF(CH720&gt;0,CH720*MAX(1,AN720/X720),IF(BT720=1,IF(AN720&lt;=0,0,BW720*MAX(1,IF(H720&gt;0,AN720/H720,1))),IF(R720&gt;0,AO720/R720,0))/MAX(0.1,N(Parameter!$M$21)))</f>
        <v>0.25</v>
      </c>
      <c r="AQ720" s="57" t="n">
        <f aca="false">AN720*G720</f>
        <v>321.7</v>
      </c>
      <c r="AR720" s="57" t="n">
        <f aca="false">ROUNDUP(MAX(J720/IF(BZ720&gt;0,BZ720,MAX(0.1,N(Cockpit!$I$6))),CC720)/BS720,0)*BS720</f>
        <v>10</v>
      </c>
      <c r="AS720" s="58" t="n">
        <f aca="false">IF(AP720&gt;0,J720/AP720,-1)</f>
        <v>0</v>
      </c>
      <c r="AT720" s="58" t="str">
        <f aca="false">IF(AND(OR(BY720="L1",BY720="L23"),AP720&gt;0),SUMIFS($AP$7:$AP$1843,$BY$7:$BY$1843,BY720,$AS$7:$AS$1843,"&gt;"&amp;AS720)+SUMIFS($AP$7:$AP$1843,$BY$7:$BY$1843,BY720,$AS$7:$AS$1843,AS720,$BQ$7:$BQ$1843,"&lt;="&amp;BQ720),"")</f>
        <v/>
      </c>
      <c r="AU720" s="65" t="n">
        <f aca="false">IF(AT720="",0,MAX(0,MIN(1,(IF(BY720="L1",Parameter!$E$5,Parameter!$E$6+Parameter!$E$7)-(AT720-AP720))/AP720)))</f>
        <v>0</v>
      </c>
      <c r="AV720" s="57" t="n">
        <f aca="false">IF(LEFT(Cockpit!$O$5,1)="A",H720,IF(CA720=1,CB720,IF(LEFT(Cockpit!$O$5,1)="B",AZ720,MAX(AZ720,H720))))</f>
        <v>10</v>
      </c>
      <c r="AW720" s="57" t="n">
        <f aca="false">IF(BT720=1,0,ROUNDUP(AV720/BS720,0))</f>
        <v>0</v>
      </c>
      <c r="AX720" s="59" t="n">
        <f aca="false">IF(CH720&gt;0,CH720*MAX(1,AV720/X720),IF(BT720=1,IF(AV720&lt;=0,0,BW720*MAX(1,IF(H720&gt;0,AV720/H720,1))),IF(R720&gt;0,AW720/R720,0))/MAX(0.1,N(Parameter!$M$21)))</f>
        <v>0.25</v>
      </c>
      <c r="AY720" s="57" t="n">
        <f aca="false">AV720*G720</f>
        <v>321.7</v>
      </c>
      <c r="AZ720" s="57" t="n">
        <f aca="false">ROUNDUP(MAX(J720/IF(BZ720&gt;0,BZ720,MAX(0.1,N(Cockpit!$O$6))),CC720)/BS720,0)*BS720</f>
        <v>10</v>
      </c>
      <c r="BA720" s="58" t="n">
        <f aca="false">IF(AX720&gt;0,J720/AX720,-1)</f>
        <v>0</v>
      </c>
      <c r="BB720" s="58" t="str">
        <f aca="false">IF(AND(OR(BY720="L1",BY720="L23"),AX720&gt;0),SUMIFS($AX$7:$AX$1843,$BY$7:$BY$1843,BY720,$BA$7:$BA$1843,"&gt;"&amp;BA720)+SUMIFS($AX$7:$AX$1843,$BY$7:$BY$1843,BY720,$BA$7:$BA$1843,BA720,$BQ$7:$BQ$1843,"&lt;="&amp;BQ720),"")</f>
        <v/>
      </c>
      <c r="BC720" s="65" t="n">
        <f aca="false">IF(BB720="",0,MAX(0,MIN(1,(IF(BY720="L1",Parameter!$E$5,Parameter!$E$6+Parameter!$E$7)-(BB720-AX720))/AX720)))</f>
        <v>0</v>
      </c>
      <c r="BD720" s="55" t="str">
        <f aca="false">IF(AH720&lt;=0,"",IF(BY720="Aussen","Aussenlager",IF(BY720="-","Nicht im Lift",IF(AM720&gt;=1,"Lift",IF(AM720&lt;=0,"Aussenlager","teilweise")))))</f>
        <v>Nicht im Lift</v>
      </c>
      <c r="BE720" s="55" t="str">
        <f aca="false">IF(AP720&lt;=0,"",IF(BY720="Aussen","Aussenlager",IF(BY720="-","Nicht im Lift",IF(AU720&gt;=1,"Lift",IF(AU720&lt;=0,"Aussenlager","teilweise")))))</f>
        <v>Nicht im Lift</v>
      </c>
      <c r="BF720" s="55" t="str">
        <f aca="false">IF(AX720&lt;=0,"",IF(BY720="Aussen","Aussenlager",IF(BY720="-","Nicht im Lift",IF(BC720&gt;=1,"Lift",IF(BC720&lt;=0,"Aussenlager","teilweise")))))</f>
        <v>Nicht im Lift</v>
      </c>
      <c r="BG720" s="55" t="str">
        <f aca="false">IF(A720="","",IF(BP720=1,"Neu; ","")&amp;IF(AND(BP720=0,BK720&lt;0),"negativer Bestand (Export "&amp;BK720&amp;"); ","")&amp;IF(J720&lt;=0,"Kein Verbrauch; ","")&amp;IF(CH720&gt;0,"Lift "&amp;W720&amp;" lt. Liftbericht (Fach "&amp;X720&amp;" Stk); ",IF(BU720=1,"Gebinde geschätzt ("&amp;T720&amp;"); ",IF(BT720=1,"Lose – Tablare geschätzt; ","")))&amp;IF(H720&gt;AR720,"Überbestand "&amp;ROUND(H720-AR720,0)&amp;" Stk / CHF "&amp;ROUND((H720-AR720)*G720,0)&amp;"; ","")&amp;IF(AND(CA720=1,CB720&lt;CC720),"MAX &lt; MB+LG; ","")&amp;IF(AND(CG720&gt;0,CF720*10&gt;CG720),"zu hoch für Tablar; ","")&amp;IF(AND(BP720=0,OR(CA720=1,AA720&lt;&gt;"",U720&lt;&gt;"",V720&lt;&gt;"",AB720&lt;&gt;"")),"manuell übersteuert; ","")&amp;IF(AND(BT720=0,R720=0),"Gebinde unbekannt / Stellmass fehlt; ","")&amp;IF(AND(BT720=0,N(V720)&lt;=0,N(Q720)&lt;=0),"Menge pro Gebinde fehlt (Ist = 1 Gebinde); ","")&amp;BO720)</f>
        <v>Kein Verbrauch; Lose – Tablare geschätzt; </v>
      </c>
      <c r="BH720" s="55"/>
      <c r="BI720" s="55"/>
      <c r="BJ720" s="62"/>
      <c r="BK720" s="57" t="n">
        <v>4</v>
      </c>
      <c r="BL720" s="57" t="n">
        <v>2</v>
      </c>
      <c r="BM720" s="56" t="n">
        <v>0</v>
      </c>
      <c r="BN720" s="57" t="n">
        <v>0</v>
      </c>
      <c r="BO720" s="55"/>
      <c r="BP720" s="60" t="n">
        <v>0</v>
      </c>
      <c r="BQ720" s="60" t="n">
        <v>720</v>
      </c>
      <c r="BR720" s="55" t="str">
        <f aca="false">IF(U720&lt;&gt;"",UPPER(TRIM(U720)),IF(BU720=1,UPPER(VLOOKUP(T720,Parameter!$I$27:$K$29,2,0)),IF(P720="","LOSE",P720)))</f>
        <v>LOSE</v>
      </c>
      <c r="BS720" s="57" t="n">
        <f aca="false">IF(BR720="LOSE",1,IF(N(V720)&gt;0,V720,IF(BU720=1,MAX(1,N(VLOOKUP(T720,Parameter!$I$27:$K$29,3,0)),H720,N(N720)),IF(N(Q720)&gt;0,Q720,MAX(1,H720)))))</f>
        <v>1</v>
      </c>
      <c r="BT720" s="60" t="n">
        <f aca="false">IF(BR720="LOSE",1,0)</f>
        <v>1</v>
      </c>
      <c r="BU720" s="60" t="n">
        <f aca="false">IF(AND(U720="",OR(P720="",P720="LOSE"),T720&lt;&gt;"",N(S720)&lt;=0,ISNUMBER(MATCH(T720,Parameter!$I$27:$I$29,0))),1,0)</f>
        <v>0</v>
      </c>
      <c r="BV720" s="55" t="str">
        <f aca="false">IF(AND(Parameter!$B$19="Ja",E720&lt;&gt;"",ISNUMBER(MATCH(E720,Parameter!$I$35:$I$52,0))),VLOOKUP(E720,Parameter!$I$35:$J$52,2,0),IFERROR(VLOOKUP(D720,Parameter!$A$35:$C$64,2,0),"Nein"))</f>
        <v>Nein</v>
      </c>
      <c r="BW720" s="59" t="n">
        <f aca="false">IF(BT720=0,0,IF(N(S720)&gt;0,S720,IFERROR(VLOOKUP(D720,Parameter!$A$35:$C$64,3,0)+0,0)))</f>
        <v>0.15</v>
      </c>
      <c r="BX720" s="55" t="str">
        <f aca="false">IF(AA720&lt;&gt;"",AA720,Z720)</f>
        <v>-</v>
      </c>
      <c r="BY720" s="55" t="str">
        <f aca="false">IF(BX720=1,"L1",IF(OR(BX720=2,BX720=3),"L23",IF(BX720="Aussen","Aussen","-")))</f>
        <v>-</v>
      </c>
      <c r="BZ720" s="66" t="n">
        <f aca="false">IF(N(AB720)&gt;0,AB720,0)</f>
        <v>0</v>
      </c>
      <c r="CA720" s="60" t="n">
        <f aca="false">IF(ISNUMBER(AE720),1,0)</f>
        <v>0</v>
      </c>
      <c r="CB720" s="57" t="n">
        <f aca="false">N(AE720)</f>
        <v>0</v>
      </c>
      <c r="CC720" s="57" t="n">
        <f aca="false">N(M720)+N(N720)</f>
        <v>10</v>
      </c>
      <c r="CD720" s="57" t="n">
        <f aca="false">ROUNDUP(H720/BS720,0)</f>
        <v>6</v>
      </c>
      <c r="CE720" s="57" t="n">
        <f aca="false">ROUNDUP(CB720/BS720,0)</f>
        <v>0</v>
      </c>
      <c r="CF720" s="60" t="n">
        <f aca="false">IF(BT720=1,0,IFERROR(VLOOKUP(BR720,'Gebinde-Kategorie'!$A$5:$M$45,5,0)+0,0))</f>
        <v>0</v>
      </c>
      <c r="CG720" s="60" t="n">
        <f aca="false">IFERROR(IF(OR(BX720=1,BX720=2,BX720=3),N(INDEX(Parameter!$I$5:$I$7,BX720)),0),0)</f>
        <v>0</v>
      </c>
      <c r="CH720" s="59" t="n">
        <f aca="false">IF(AND(Parameter!$B$21="Ja",ISNUMBER(W720),N(X720)&gt;0),IFERROR(N(INDEX(Parameter!$L$5:$L$7,W720))*INDEX(Parameter!$E$5:$E$7,W720)*X720/SUMIFS($X$7:$X$1843,$W$7:$W$1843,W720),0),0)</f>
        <v>0</v>
      </c>
    </row>
    <row r="721" customFormat="false" ht="15" hidden="false" customHeight="false" outlineLevel="0" collapsed="false">
      <c r="A721" s="55" t="s">
        <v>1432</v>
      </c>
      <c r="B721" s="55" t="s">
        <v>1433</v>
      </c>
      <c r="C721" s="55" t="s">
        <v>164</v>
      </c>
      <c r="D721" s="55" t="s">
        <v>173</v>
      </c>
      <c r="E721" s="55" t="s">
        <v>185</v>
      </c>
      <c r="F721" s="55" t="s">
        <v>218</v>
      </c>
      <c r="G721" s="56" t="n">
        <v>299</v>
      </c>
      <c r="H721" s="57" t="n">
        <f aca="false">MAX(0,IF(AND(Parameter!$B$21="Ja",ISNUMBER(Y721)),Y721,IF(Parameter!$B$20="Jahresanfang 2025 + Export",BL721+BK721,BK721)))</f>
        <v>0</v>
      </c>
      <c r="I721" s="57" t="n">
        <f aca="false">H721*G721</f>
        <v>0</v>
      </c>
      <c r="J721" s="57" t="n">
        <f aca="false">BN721*Parameter!$B$18</f>
        <v>0</v>
      </c>
      <c r="K721" s="58" t="n">
        <v>0</v>
      </c>
      <c r="L721" s="59" t="n">
        <v>0</v>
      </c>
      <c r="M721" s="57" t="n">
        <v>0</v>
      </c>
      <c r="N721" s="57" t="n">
        <v>1</v>
      </c>
      <c r="O721" s="60" t="n">
        <v>28</v>
      </c>
      <c r="P721" s="55" t="s">
        <v>186</v>
      </c>
      <c r="Q721" s="57" t="n">
        <v>1</v>
      </c>
      <c r="R721" s="60" t="n">
        <f aca="false">IF(BT721=1,0,IFERROR(VLOOKUP(BR721,'Gebinde-Kategorie'!$A$5:$M$45,13,0)+0,0))</f>
        <v>12</v>
      </c>
      <c r="S721" s="61"/>
      <c r="T721" s="62"/>
      <c r="U721" s="62"/>
      <c r="V721" s="62"/>
      <c r="W721" s="55"/>
      <c r="X721" s="57"/>
      <c r="Y721" s="57"/>
      <c r="Z721" s="55" t="n">
        <f aca="false">IF(A721="","",IF(AND(Parameter!$B$21="Ja",ISNUMBER(W721)),W721,IF(BV721="2+3",IF(ISNUMBER(SEARCH("grosser Artikel",BO721)),2,IFERROR(VLOOKUP(BR721,Parameter!$F$35:$G$64,2,0),2)),IF(OR(BV721="Nein",BV721=""),"-",BV721))))</f>
        <v>2</v>
      </c>
      <c r="AA721" s="62"/>
      <c r="AB721" s="63"/>
      <c r="AC721" s="57" t="n">
        <f aca="false">AR721</f>
        <v>1</v>
      </c>
      <c r="AD721" s="57" t="n">
        <f aca="false">MAX(AR721,H721)</f>
        <v>1</v>
      </c>
      <c r="AE721" s="64"/>
      <c r="AF721" s="57" t="n">
        <f aca="false">IF(LEFT(Cockpit!$C$5,1)="A",H721,IF(CA721=1,CB721,IF(LEFT(Cockpit!$C$5,1)="B",AJ721,MAX(AJ721,H721))))</f>
        <v>0</v>
      </c>
      <c r="AG721" s="57" t="n">
        <f aca="false">IF(BT721=1,0,ROUNDUP(AF721/BS721,0))</f>
        <v>0</v>
      </c>
      <c r="AH721" s="59" t="n">
        <f aca="false">IF(CH721&gt;0,CH721*MAX(1,AF721/X721),IF(BT721=1,IF(AF721&lt;=0,0,BW721*MAX(1,IF(H721&gt;0,AF721/H721,1))),IF(R721&gt;0,AG721/R721,0))/MAX(0.1,N(Parameter!$M$21)))</f>
        <v>0</v>
      </c>
      <c r="AI721" s="57" t="n">
        <f aca="false">AF721*G721</f>
        <v>0</v>
      </c>
      <c r="AJ721" s="57" t="n">
        <f aca="false">ROUNDUP(MAX(J721/IF(BZ721&gt;0,BZ721,MAX(0.1,N(Cockpit!$C$6))),CC721)/BS721,0)*BS721</f>
        <v>1</v>
      </c>
      <c r="AK721" s="58" t="n">
        <f aca="false">IF(AH721&gt;0,J721/AH721,-1)</f>
        <v>-1</v>
      </c>
      <c r="AL721" s="58" t="str">
        <f aca="false">IF(AND(OR(BY721="L1",BY721="L23"),AH721&gt;0),SUMIFS($AH$7:$AH$1843,$BY$7:$BY$1843,BY721,$AK$7:$AK$1843,"&gt;"&amp;AK721)+SUMIFS($AH$7:$AH$1843,$BY$7:$BY$1843,BY721,$AK$7:$AK$1843,AK721,$BQ$7:$BQ$1843,"&lt;="&amp;BQ721),"")</f>
        <v/>
      </c>
      <c r="AM721" s="65" t="n">
        <f aca="false">IF(AL721="",0,MAX(0,MIN(1,(IF(BY721="L1",Parameter!$E$5,Parameter!$E$6+Parameter!$E$7)-(AL721-AH721))/AH721)))</f>
        <v>0</v>
      </c>
      <c r="AN721" s="57" t="n">
        <f aca="false">IF(LEFT(Cockpit!$I$5,1)="A",H721,IF(CA721=1,CB721,IF(LEFT(Cockpit!$I$5,1)="B",AR721,MAX(AR721,H721))))</f>
        <v>1</v>
      </c>
      <c r="AO721" s="57" t="n">
        <f aca="false">IF(BT721=1,0,ROUNDUP(AN721/BS721,0))</f>
        <v>1</v>
      </c>
      <c r="AP721" s="59" t="n">
        <f aca="false">IF(CH721&gt;0,CH721*MAX(1,AN721/X721),IF(BT721=1,IF(AN721&lt;=0,0,BW721*MAX(1,IF(H721&gt;0,AN721/H721,1))),IF(R721&gt;0,AO721/R721,0))/MAX(0.1,N(Parameter!$M$21)))</f>
        <v>0.0833333333333333</v>
      </c>
      <c r="AQ721" s="57" t="n">
        <f aca="false">AN721*G721</f>
        <v>299</v>
      </c>
      <c r="AR721" s="57" t="n">
        <f aca="false">ROUNDUP(MAX(J721/IF(BZ721&gt;0,BZ721,MAX(0.1,N(Cockpit!$I$6))),CC721)/BS721,0)*BS721</f>
        <v>1</v>
      </c>
      <c r="AS721" s="58" t="n">
        <f aca="false">IF(AP721&gt;0,J721/AP721,-1)</f>
        <v>0</v>
      </c>
      <c r="AT721" s="58" t="n">
        <f aca="false">IF(AND(OR(BY721="L1",BY721="L23"),AP721&gt;0),SUMIFS($AP$7:$AP$1843,$BY$7:$BY$1843,BY721,$AS$7:$AS$1843,"&gt;"&amp;AS721)+SUMIFS($AP$7:$AP$1843,$BY$7:$BY$1843,BY721,$AS$7:$AS$1843,AS721,$BQ$7:$BQ$1843,"&lt;="&amp;BQ721),"")</f>
        <v>117.120333772508</v>
      </c>
      <c r="AU721" s="65" t="n">
        <f aca="false">IF(AT721="",0,MAX(0,MIN(1,(IF(BY721="L1",Parameter!$E$5,Parameter!$E$6+Parameter!$E$7)-(AT721-AP721))/AP721)))</f>
        <v>0</v>
      </c>
      <c r="AV721" s="57" t="n">
        <f aca="false">IF(LEFT(Cockpit!$O$5,1)="A",H721,IF(CA721=1,CB721,IF(LEFT(Cockpit!$O$5,1)="B",AZ721,MAX(AZ721,H721))))</f>
        <v>1</v>
      </c>
      <c r="AW721" s="57" t="n">
        <f aca="false">IF(BT721=1,0,ROUNDUP(AV721/BS721,0))</f>
        <v>1</v>
      </c>
      <c r="AX721" s="59" t="n">
        <f aca="false">IF(CH721&gt;0,CH721*MAX(1,AV721/X721),IF(BT721=1,IF(AV721&lt;=0,0,BW721*MAX(1,IF(H721&gt;0,AV721/H721,1))),IF(R721&gt;0,AW721/R721,0))/MAX(0.1,N(Parameter!$M$21)))</f>
        <v>0.0833333333333333</v>
      </c>
      <c r="AY721" s="57" t="n">
        <f aca="false">AV721*G721</f>
        <v>299</v>
      </c>
      <c r="AZ721" s="57" t="n">
        <f aca="false">ROUNDUP(MAX(J721/IF(BZ721&gt;0,BZ721,MAX(0.1,N(Cockpit!$O$6))),CC721)/BS721,0)*BS721</f>
        <v>1</v>
      </c>
      <c r="BA721" s="58" t="n">
        <f aca="false">IF(AX721&gt;0,J721/AX721,-1)</f>
        <v>0</v>
      </c>
      <c r="BB721" s="58" t="n">
        <f aca="false">IF(AND(OR(BY721="L1",BY721="L23"),AX721&gt;0),SUMIFS($AX$7:$AX$1843,$BY$7:$BY$1843,BY721,$BA$7:$BA$1843,"&gt;"&amp;BA721)+SUMIFS($AX$7:$AX$1843,$BY$7:$BY$1843,BY721,$BA$7:$BA$1843,BA721,$BQ$7:$BQ$1843,"&lt;="&amp;BQ721),"")</f>
        <v>107.950170602345</v>
      </c>
      <c r="BC721" s="65" t="n">
        <f aca="false">IF(BB721="",0,MAX(0,MIN(1,(IF(BY721="L1",Parameter!$E$5,Parameter!$E$6+Parameter!$E$7)-(BB721-AX721))/AX721)))</f>
        <v>0</v>
      </c>
      <c r="BD721" s="55" t="str">
        <f aca="false">IF(AH721&lt;=0,"",IF(BY721="Aussen","Aussenlager",IF(BY721="-","Nicht im Lift",IF(AM721&gt;=1,"Lift",IF(AM721&lt;=0,"Aussenlager","teilweise")))))</f>
        <v/>
      </c>
      <c r="BE721" s="55" t="str">
        <f aca="false">IF(AP721&lt;=0,"",IF(BY721="Aussen","Aussenlager",IF(BY721="-","Nicht im Lift",IF(AU721&gt;=1,"Lift",IF(AU721&lt;=0,"Aussenlager","teilweise")))))</f>
        <v>Aussenlager</v>
      </c>
      <c r="BF721" s="55" t="str">
        <f aca="false">IF(AX721&lt;=0,"",IF(BY721="Aussen","Aussenlager",IF(BY721="-","Nicht im Lift",IF(BC721&gt;=1,"Lift",IF(BC721&lt;=0,"Aussenlager","teilweise")))))</f>
        <v>Aussenlager</v>
      </c>
      <c r="BG721" s="55" t="str">
        <f aca="false">IF(A721="","",IF(BP721=1,"Neu; ","")&amp;IF(AND(BP721=0,BK721&lt;0),"negativer Bestand (Export "&amp;BK721&amp;"); ","")&amp;IF(J721&lt;=0,"Kein Verbrauch; ","")&amp;IF(CH721&gt;0,"Lift "&amp;W721&amp;" lt. Liftbericht (Fach "&amp;X721&amp;" Stk); ",IF(BU721=1,"Gebinde geschätzt ("&amp;T721&amp;"); ",IF(BT721=1,"Lose – Tablare geschätzt; ","")))&amp;IF(H721&gt;AR721,"Überbestand "&amp;ROUND(H721-AR721,0)&amp;" Stk / CHF "&amp;ROUND((H721-AR721)*G721,0)&amp;"; ","")&amp;IF(AND(CA721=1,CB721&lt;CC721),"MAX &lt; MB+LG; ","")&amp;IF(AND(CG721&gt;0,CF721*10&gt;CG721),"zu hoch für Tablar; ","")&amp;IF(AND(BP721=0,OR(CA721=1,AA721&lt;&gt;"",U721&lt;&gt;"",V721&lt;&gt;"",AB721&lt;&gt;"")),"manuell übersteuert; ","")&amp;IF(AND(BT721=0,R721=0),"Gebinde unbekannt / Stellmass fehlt; ","")&amp;IF(AND(BT721=0,N(V721)&lt;=0,N(Q721)&lt;=0),"Menge pro Gebinde fehlt (Ist = 1 Gebinde); ","")&amp;BO721)</f>
        <v>Kein Verbrauch; </v>
      </c>
      <c r="BH721" s="55"/>
      <c r="BI721" s="55"/>
      <c r="BJ721" s="62"/>
      <c r="BK721" s="57" t="n">
        <v>0</v>
      </c>
      <c r="BL721" s="57" t="n">
        <v>0</v>
      </c>
      <c r="BM721" s="56" t="n">
        <v>0</v>
      </c>
      <c r="BN721" s="57" t="n">
        <v>0</v>
      </c>
      <c r="BO721" s="55"/>
      <c r="BP721" s="60" t="n">
        <v>0</v>
      </c>
      <c r="BQ721" s="60" t="n">
        <v>721</v>
      </c>
      <c r="BR721" s="55" t="str">
        <f aca="false">IF(U721&lt;&gt;"",UPPER(TRIM(U721)),IF(BU721=1,UPPER(VLOOKUP(T721,Parameter!$I$27:$K$29,2,0)),IF(P721="","LOSE",P721)))</f>
        <v>S61</v>
      </c>
      <c r="BS721" s="57" t="n">
        <f aca="false">IF(BR721="LOSE",1,IF(N(V721)&gt;0,V721,IF(BU721=1,MAX(1,N(VLOOKUP(T721,Parameter!$I$27:$K$29,3,0)),H721,N(N721)),IF(N(Q721)&gt;0,Q721,MAX(1,H721)))))</f>
        <v>1</v>
      </c>
      <c r="BT721" s="60" t="n">
        <f aca="false">IF(BR721="LOSE",1,0)</f>
        <v>0</v>
      </c>
      <c r="BU721" s="60" t="n">
        <f aca="false">IF(AND(U721="",OR(P721="",P721="LOSE"),T721&lt;&gt;"",N(S721)&lt;=0,ISNUMBER(MATCH(T721,Parameter!$I$27:$I$29,0))),1,0)</f>
        <v>0</v>
      </c>
      <c r="BV721" s="55" t="str">
        <f aca="false">IF(AND(Parameter!$B$19="Ja",E721&lt;&gt;"",ISNUMBER(MATCH(E721,Parameter!$I$35:$I$52,0))),VLOOKUP(E721,Parameter!$I$35:$J$52,2,0),IFERROR(VLOOKUP(D721,Parameter!$A$35:$C$64,2,0),"Nein"))</f>
        <v>2+3</v>
      </c>
      <c r="BW721" s="59" t="n">
        <f aca="false">IF(BT721=0,0,IF(N(S721)&gt;0,S721,IFERROR(VLOOKUP(D721,Parameter!$A$35:$C$64,3,0)+0,0)))</f>
        <v>0</v>
      </c>
      <c r="BX721" s="55" t="n">
        <f aca="false">IF(AA721&lt;&gt;"",AA721,Z721)</f>
        <v>2</v>
      </c>
      <c r="BY721" s="55" t="str">
        <f aca="false">IF(BX721=1,"L1",IF(OR(BX721=2,BX721=3),"L23",IF(BX721="Aussen","Aussen","-")))</f>
        <v>L23</v>
      </c>
      <c r="BZ721" s="66" t="n">
        <f aca="false">IF(N(AB721)&gt;0,AB721,0)</f>
        <v>0</v>
      </c>
      <c r="CA721" s="60" t="n">
        <f aca="false">IF(ISNUMBER(AE721),1,0)</f>
        <v>0</v>
      </c>
      <c r="CB721" s="57" t="n">
        <f aca="false">N(AE721)</f>
        <v>0</v>
      </c>
      <c r="CC721" s="57" t="n">
        <f aca="false">N(M721)+N(N721)</f>
        <v>1</v>
      </c>
      <c r="CD721" s="57" t="n">
        <f aca="false">ROUNDUP(H721/BS721,0)</f>
        <v>0</v>
      </c>
      <c r="CE721" s="57" t="n">
        <f aca="false">ROUNDUP(CB721/BS721,0)</f>
        <v>0</v>
      </c>
      <c r="CF721" s="60" t="n">
        <f aca="false">IF(BT721=1,0,IFERROR(VLOOKUP(BR721,'Gebinde-Kategorie'!$A$5:$M$45,5,0)+0,0))</f>
        <v>11</v>
      </c>
      <c r="CG721" s="60" t="n">
        <f aca="false">IFERROR(IF(OR(BX721=1,BX721=2,BX721=3),N(INDEX(Parameter!$I$5:$I$7,BX721)),0),0)</f>
        <v>0</v>
      </c>
      <c r="CH721" s="59" t="n">
        <f aca="false">IF(AND(Parameter!$B$21="Ja",ISNUMBER(W721),N(X721)&gt;0),IFERROR(N(INDEX(Parameter!$L$5:$L$7,W721))*INDEX(Parameter!$E$5:$E$7,W721)*X721/SUMIFS($X$7:$X$1843,$W$7:$W$1843,W721),0),0)</f>
        <v>0</v>
      </c>
    </row>
    <row r="722" customFormat="false" ht="15" hidden="false" customHeight="false" outlineLevel="0" collapsed="false">
      <c r="A722" s="55" t="s">
        <v>1434</v>
      </c>
      <c r="B722" s="55" t="s">
        <v>544</v>
      </c>
      <c r="C722" s="55" t="s">
        <v>164</v>
      </c>
      <c r="D722" s="55" t="s">
        <v>995</v>
      </c>
      <c r="E722" s="55"/>
      <c r="F722" s="55" t="s">
        <v>218</v>
      </c>
      <c r="G722" s="56" t="n">
        <v>28.69</v>
      </c>
      <c r="H722" s="57" t="n">
        <f aca="false">MAX(0,IF(AND(Parameter!$B$21="Ja",ISNUMBER(Y722)),Y722,IF(Parameter!$B$20="Jahresanfang 2025 + Export",BL722+BK722,BK722)))</f>
        <v>15</v>
      </c>
      <c r="I722" s="57" t="n">
        <f aca="false">H722*G722</f>
        <v>430.35</v>
      </c>
      <c r="J722" s="57" t="n">
        <f aca="false">BN722*Parameter!$B$18</f>
        <v>0</v>
      </c>
      <c r="K722" s="58" t="n">
        <v>12</v>
      </c>
      <c r="L722" s="59" t="n">
        <v>0</v>
      </c>
      <c r="M722" s="57" t="n">
        <v>0</v>
      </c>
      <c r="N722" s="57" t="n">
        <v>10</v>
      </c>
      <c r="O722" s="60" t="n">
        <v>28</v>
      </c>
      <c r="P722" s="55" t="s">
        <v>168</v>
      </c>
      <c r="Q722" s="57"/>
      <c r="R722" s="60" t="n">
        <f aca="false">IF(BT722=1,0,IFERROR(VLOOKUP(BR722,'Gebinde-Kategorie'!$A$5:$M$45,13,0)+0,0))</f>
        <v>0</v>
      </c>
      <c r="S722" s="61"/>
      <c r="T722" s="62"/>
      <c r="U722" s="62"/>
      <c r="V722" s="62"/>
      <c r="W722" s="55"/>
      <c r="X722" s="57"/>
      <c r="Y722" s="57"/>
      <c r="Z722" s="55" t="str">
        <f aca="false">IF(A722="","",IF(AND(Parameter!$B$21="Ja",ISNUMBER(W722)),W722,IF(BV722="2+3",IF(ISNUMBER(SEARCH("grosser Artikel",BO722)),2,IFERROR(VLOOKUP(BR722,Parameter!$F$35:$G$64,2,0),2)),IF(OR(BV722="Nein",BV722=""),"-",BV722))))</f>
        <v>-</v>
      </c>
      <c r="AA722" s="62"/>
      <c r="AB722" s="63"/>
      <c r="AC722" s="57" t="n">
        <f aca="false">AR722</f>
        <v>10</v>
      </c>
      <c r="AD722" s="57" t="n">
        <f aca="false">MAX(AR722,H722)</f>
        <v>15</v>
      </c>
      <c r="AE722" s="64"/>
      <c r="AF722" s="57" t="n">
        <f aca="false">IF(LEFT(Cockpit!$C$5,1)="A",H722,IF(CA722=1,CB722,IF(LEFT(Cockpit!$C$5,1)="B",AJ722,MAX(AJ722,H722))))</f>
        <v>15</v>
      </c>
      <c r="AG722" s="57" t="n">
        <f aca="false">IF(BT722=1,0,ROUNDUP(AF722/BS722,0))</f>
        <v>0</v>
      </c>
      <c r="AH722" s="59" t="n">
        <f aca="false">IF(CH722&gt;0,CH722*MAX(1,AF722/X722),IF(BT722=1,IF(AF722&lt;=0,0,BW722*MAX(1,IF(H722&gt;0,AF722/H722,1))),IF(R722&gt;0,AG722/R722,0))/MAX(0.1,N(Parameter!$M$21)))</f>
        <v>0.15</v>
      </c>
      <c r="AI722" s="57" t="n">
        <f aca="false">AF722*G722</f>
        <v>430.35</v>
      </c>
      <c r="AJ722" s="57" t="n">
        <f aca="false">ROUNDUP(MAX(J722/IF(BZ722&gt;0,BZ722,MAX(0.1,N(Cockpit!$C$6))),CC722)/BS722,0)*BS722</f>
        <v>10</v>
      </c>
      <c r="AK722" s="58" t="n">
        <f aca="false">IF(AH722&gt;0,J722/AH722,-1)</f>
        <v>0</v>
      </c>
      <c r="AL722" s="58" t="str">
        <f aca="false">IF(AND(OR(BY722="L1",BY722="L23"),AH722&gt;0),SUMIFS($AH$7:$AH$1843,$BY$7:$BY$1843,BY722,$AK$7:$AK$1843,"&gt;"&amp;AK722)+SUMIFS($AH$7:$AH$1843,$BY$7:$BY$1843,BY722,$AK$7:$AK$1843,AK722,$BQ$7:$BQ$1843,"&lt;="&amp;BQ722),"")</f>
        <v/>
      </c>
      <c r="AM722" s="65" t="n">
        <f aca="false">IF(AL722="",0,MAX(0,MIN(1,(IF(BY722="L1",Parameter!$E$5,Parameter!$E$6+Parameter!$E$7)-(AL722-AH722))/AH722)))</f>
        <v>0</v>
      </c>
      <c r="AN722" s="57" t="n">
        <f aca="false">IF(LEFT(Cockpit!$I$5,1)="A",H722,IF(CA722=1,CB722,IF(LEFT(Cockpit!$I$5,1)="B",AR722,MAX(AR722,H722))))</f>
        <v>15</v>
      </c>
      <c r="AO722" s="57" t="n">
        <f aca="false">IF(BT722=1,0,ROUNDUP(AN722/BS722,0))</f>
        <v>0</v>
      </c>
      <c r="AP722" s="59" t="n">
        <f aca="false">IF(CH722&gt;0,CH722*MAX(1,AN722/X722),IF(BT722=1,IF(AN722&lt;=0,0,BW722*MAX(1,IF(H722&gt;0,AN722/H722,1))),IF(R722&gt;0,AO722/R722,0))/MAX(0.1,N(Parameter!$M$21)))</f>
        <v>0.15</v>
      </c>
      <c r="AQ722" s="57" t="n">
        <f aca="false">AN722*G722</f>
        <v>430.35</v>
      </c>
      <c r="AR722" s="57" t="n">
        <f aca="false">ROUNDUP(MAX(J722/IF(BZ722&gt;0,BZ722,MAX(0.1,N(Cockpit!$I$6))),CC722)/BS722,0)*BS722</f>
        <v>10</v>
      </c>
      <c r="AS722" s="58" t="n">
        <f aca="false">IF(AP722&gt;0,J722/AP722,-1)</f>
        <v>0</v>
      </c>
      <c r="AT722" s="58" t="str">
        <f aca="false">IF(AND(OR(BY722="L1",BY722="L23"),AP722&gt;0),SUMIFS($AP$7:$AP$1843,$BY$7:$BY$1843,BY722,$AS$7:$AS$1843,"&gt;"&amp;AS722)+SUMIFS($AP$7:$AP$1843,$BY$7:$BY$1843,BY722,$AS$7:$AS$1843,AS722,$BQ$7:$BQ$1843,"&lt;="&amp;BQ722),"")</f>
        <v/>
      </c>
      <c r="AU722" s="65" t="n">
        <f aca="false">IF(AT722="",0,MAX(0,MIN(1,(IF(BY722="L1",Parameter!$E$5,Parameter!$E$6+Parameter!$E$7)-(AT722-AP722))/AP722)))</f>
        <v>0</v>
      </c>
      <c r="AV722" s="57" t="n">
        <f aca="false">IF(LEFT(Cockpit!$O$5,1)="A",H722,IF(CA722=1,CB722,IF(LEFT(Cockpit!$O$5,1)="B",AZ722,MAX(AZ722,H722))))</f>
        <v>15</v>
      </c>
      <c r="AW722" s="57" t="n">
        <f aca="false">IF(BT722=1,0,ROUNDUP(AV722/BS722,0))</f>
        <v>0</v>
      </c>
      <c r="AX722" s="59" t="n">
        <f aca="false">IF(CH722&gt;0,CH722*MAX(1,AV722/X722),IF(BT722=1,IF(AV722&lt;=0,0,BW722*MAX(1,IF(H722&gt;0,AV722/H722,1))),IF(R722&gt;0,AW722/R722,0))/MAX(0.1,N(Parameter!$M$21)))</f>
        <v>0.15</v>
      </c>
      <c r="AY722" s="57" t="n">
        <f aca="false">AV722*G722</f>
        <v>430.35</v>
      </c>
      <c r="AZ722" s="57" t="n">
        <f aca="false">ROUNDUP(MAX(J722/IF(BZ722&gt;0,BZ722,MAX(0.1,N(Cockpit!$O$6))),CC722)/BS722,0)*BS722</f>
        <v>10</v>
      </c>
      <c r="BA722" s="58" t="n">
        <f aca="false">IF(AX722&gt;0,J722/AX722,-1)</f>
        <v>0</v>
      </c>
      <c r="BB722" s="58" t="str">
        <f aca="false">IF(AND(OR(BY722="L1",BY722="L23"),AX722&gt;0),SUMIFS($AX$7:$AX$1843,$BY$7:$BY$1843,BY722,$BA$7:$BA$1843,"&gt;"&amp;BA722)+SUMIFS($AX$7:$AX$1843,$BY$7:$BY$1843,BY722,$BA$7:$BA$1843,BA722,$BQ$7:$BQ$1843,"&lt;="&amp;BQ722),"")</f>
        <v/>
      </c>
      <c r="BC722" s="65" t="n">
        <f aca="false">IF(BB722="",0,MAX(0,MIN(1,(IF(BY722="L1",Parameter!$E$5,Parameter!$E$6+Parameter!$E$7)-(BB722-AX722))/AX722)))</f>
        <v>0</v>
      </c>
      <c r="BD722" s="55" t="str">
        <f aca="false">IF(AH722&lt;=0,"",IF(BY722="Aussen","Aussenlager",IF(BY722="-","Nicht im Lift",IF(AM722&gt;=1,"Lift",IF(AM722&lt;=0,"Aussenlager","teilweise")))))</f>
        <v>Nicht im Lift</v>
      </c>
      <c r="BE722" s="55" t="str">
        <f aca="false">IF(AP722&lt;=0,"",IF(BY722="Aussen","Aussenlager",IF(BY722="-","Nicht im Lift",IF(AU722&gt;=1,"Lift",IF(AU722&lt;=0,"Aussenlager","teilweise")))))</f>
        <v>Nicht im Lift</v>
      </c>
      <c r="BF722" s="55" t="str">
        <f aca="false">IF(AX722&lt;=0,"",IF(BY722="Aussen","Aussenlager",IF(BY722="-","Nicht im Lift",IF(BC722&gt;=1,"Lift",IF(BC722&lt;=0,"Aussenlager","teilweise")))))</f>
        <v>Nicht im Lift</v>
      </c>
      <c r="BG722" s="55" t="str">
        <f aca="false">IF(A722="","",IF(BP722=1,"Neu; ","")&amp;IF(AND(BP722=0,BK722&lt;0),"negativer Bestand (Export "&amp;BK722&amp;"); ","")&amp;IF(J722&lt;=0,"Kein Verbrauch; ","")&amp;IF(CH722&gt;0,"Lift "&amp;W722&amp;" lt. Liftbericht (Fach "&amp;X722&amp;" Stk); ",IF(BU722=1,"Gebinde geschätzt ("&amp;T722&amp;"); ",IF(BT722=1,"Lose – Tablare geschätzt; ","")))&amp;IF(H722&gt;AR722,"Überbestand "&amp;ROUND(H722-AR722,0)&amp;" Stk / CHF "&amp;ROUND((H722-AR722)*G722,0)&amp;"; ","")&amp;IF(AND(CA722=1,CB722&lt;CC722),"MAX &lt; MB+LG; ","")&amp;IF(AND(CG722&gt;0,CF722*10&gt;CG722),"zu hoch für Tablar; ","")&amp;IF(AND(BP722=0,OR(CA722=1,AA722&lt;&gt;"",U722&lt;&gt;"",V722&lt;&gt;"",AB722&lt;&gt;"")),"manuell übersteuert; ","")&amp;IF(AND(BT722=0,R722=0),"Gebinde unbekannt / Stellmass fehlt; ","")&amp;IF(AND(BT722=0,N(V722)&lt;=0,N(Q722)&lt;=0),"Menge pro Gebinde fehlt (Ist = 1 Gebinde); ","")&amp;BO722)</f>
        <v>Kein Verbrauch; Lose – Tablare geschätzt; Überbestand 5 Stk / CHF 143; </v>
      </c>
      <c r="BH722" s="55"/>
      <c r="BI722" s="55"/>
      <c r="BJ722" s="62"/>
      <c r="BK722" s="57" t="n">
        <v>3</v>
      </c>
      <c r="BL722" s="57" t="n">
        <v>12</v>
      </c>
      <c r="BM722" s="56" t="n">
        <v>0</v>
      </c>
      <c r="BN722" s="57" t="n">
        <v>0</v>
      </c>
      <c r="BO722" s="55"/>
      <c r="BP722" s="60" t="n">
        <v>0</v>
      </c>
      <c r="BQ722" s="60" t="n">
        <v>722</v>
      </c>
      <c r="BR722" s="55" t="str">
        <f aca="false">IF(U722&lt;&gt;"",UPPER(TRIM(U722)),IF(BU722=1,UPPER(VLOOKUP(T722,Parameter!$I$27:$K$29,2,0)),IF(P722="","LOSE",P722)))</f>
        <v>LOSE</v>
      </c>
      <c r="BS722" s="57" t="n">
        <f aca="false">IF(BR722="LOSE",1,IF(N(V722)&gt;0,V722,IF(BU722=1,MAX(1,N(VLOOKUP(T722,Parameter!$I$27:$K$29,3,0)),H722,N(N722)),IF(N(Q722)&gt;0,Q722,MAX(1,H722)))))</f>
        <v>1</v>
      </c>
      <c r="BT722" s="60" t="n">
        <f aca="false">IF(BR722="LOSE",1,0)</f>
        <v>1</v>
      </c>
      <c r="BU722" s="60" t="n">
        <f aca="false">IF(AND(U722="",OR(P722="",P722="LOSE"),T722&lt;&gt;"",N(S722)&lt;=0,ISNUMBER(MATCH(T722,Parameter!$I$27:$I$29,0))),1,0)</f>
        <v>0</v>
      </c>
      <c r="BV722" s="55" t="str">
        <f aca="false">IF(AND(Parameter!$B$19="Ja",E722&lt;&gt;"",ISNUMBER(MATCH(E722,Parameter!$I$35:$I$52,0))),VLOOKUP(E722,Parameter!$I$35:$J$52,2,0),IFERROR(VLOOKUP(D722,Parameter!$A$35:$C$64,2,0),"Nein"))</f>
        <v>Nein</v>
      </c>
      <c r="BW722" s="59" t="n">
        <f aca="false">IF(BT722=0,0,IF(N(S722)&gt;0,S722,IFERROR(VLOOKUP(D722,Parameter!$A$35:$C$64,3,0)+0,0)))</f>
        <v>0.15</v>
      </c>
      <c r="BX722" s="55" t="str">
        <f aca="false">IF(AA722&lt;&gt;"",AA722,Z722)</f>
        <v>-</v>
      </c>
      <c r="BY722" s="55" t="str">
        <f aca="false">IF(BX722=1,"L1",IF(OR(BX722=2,BX722=3),"L23",IF(BX722="Aussen","Aussen","-")))</f>
        <v>-</v>
      </c>
      <c r="BZ722" s="66" t="n">
        <f aca="false">IF(N(AB722)&gt;0,AB722,0)</f>
        <v>0</v>
      </c>
      <c r="CA722" s="60" t="n">
        <f aca="false">IF(ISNUMBER(AE722),1,0)</f>
        <v>0</v>
      </c>
      <c r="CB722" s="57" t="n">
        <f aca="false">N(AE722)</f>
        <v>0</v>
      </c>
      <c r="CC722" s="57" t="n">
        <f aca="false">N(M722)+N(N722)</f>
        <v>10</v>
      </c>
      <c r="CD722" s="57" t="n">
        <f aca="false">ROUNDUP(H722/BS722,0)</f>
        <v>15</v>
      </c>
      <c r="CE722" s="57" t="n">
        <f aca="false">ROUNDUP(CB722/BS722,0)</f>
        <v>0</v>
      </c>
      <c r="CF722" s="60" t="n">
        <f aca="false">IF(BT722=1,0,IFERROR(VLOOKUP(BR722,'Gebinde-Kategorie'!$A$5:$M$45,5,0)+0,0))</f>
        <v>0</v>
      </c>
      <c r="CG722" s="60" t="n">
        <f aca="false">IFERROR(IF(OR(BX722=1,BX722=2,BX722=3),N(INDEX(Parameter!$I$5:$I$7,BX722)),0),0)</f>
        <v>0</v>
      </c>
      <c r="CH722" s="59" t="n">
        <f aca="false">IF(AND(Parameter!$B$21="Ja",ISNUMBER(W722),N(X722)&gt;0),IFERROR(N(INDEX(Parameter!$L$5:$L$7,W722))*INDEX(Parameter!$E$5:$E$7,W722)*X722/SUMIFS($X$7:$X$1843,$W$7:$W$1843,W722),0),0)</f>
        <v>0</v>
      </c>
    </row>
    <row r="723" customFormat="false" ht="15" hidden="false" customHeight="false" outlineLevel="0" collapsed="false">
      <c r="A723" s="55" t="s">
        <v>1435</v>
      </c>
      <c r="B723" s="55" t="s">
        <v>1054</v>
      </c>
      <c r="C723" s="55" t="s">
        <v>164</v>
      </c>
      <c r="D723" s="55" t="s">
        <v>850</v>
      </c>
      <c r="E723" s="55" t="s">
        <v>185</v>
      </c>
      <c r="F723" s="55" t="s">
        <v>218</v>
      </c>
      <c r="G723" s="56" t="n">
        <v>4.4</v>
      </c>
      <c r="H723" s="57" t="n">
        <f aca="false">MAX(0,IF(AND(Parameter!$B$21="Ja",ISNUMBER(Y723)),Y723,IF(Parameter!$B$20="Jahresanfang 2025 + Export",BL723+BK723,BK723)))</f>
        <v>0</v>
      </c>
      <c r="I723" s="57" t="n">
        <f aca="false">H723*G723</f>
        <v>0</v>
      </c>
      <c r="J723" s="57" t="n">
        <f aca="false">BN723*Parameter!$B$18</f>
        <v>24</v>
      </c>
      <c r="K723" s="58" t="n">
        <v>0</v>
      </c>
      <c r="L723" s="59" t="n">
        <v>0</v>
      </c>
      <c r="M723" s="57" t="n">
        <v>0</v>
      </c>
      <c r="N723" s="57" t="n">
        <v>12</v>
      </c>
      <c r="O723" s="60" t="n">
        <v>14</v>
      </c>
      <c r="P723" s="55" t="s">
        <v>302</v>
      </c>
      <c r="Q723" s="57" t="n">
        <v>50</v>
      </c>
      <c r="R723" s="60" t="n">
        <f aca="false">IF(BT723=1,0,IFERROR(VLOOKUP(BR723,'Gebinde-Kategorie'!$A$5:$M$45,13,0)+0,0))</f>
        <v>26</v>
      </c>
      <c r="S723" s="61"/>
      <c r="T723" s="62"/>
      <c r="U723" s="62"/>
      <c r="V723" s="62"/>
      <c r="W723" s="55"/>
      <c r="X723" s="57"/>
      <c r="Y723" s="57"/>
      <c r="Z723" s="55" t="n">
        <f aca="false">IF(A723="","",IF(AND(Parameter!$B$21="Ja",ISNUMBER(W723)),W723,IF(BV723="2+3",IF(ISNUMBER(SEARCH("grosser Artikel",BO723)),2,IFERROR(VLOOKUP(BR723,Parameter!$F$35:$G$64,2,0),2)),IF(OR(BV723="Nein",BV723=""),"-",BV723))))</f>
        <v>3</v>
      </c>
      <c r="AA723" s="62"/>
      <c r="AB723" s="63"/>
      <c r="AC723" s="57" t="n">
        <f aca="false">AR723</f>
        <v>50</v>
      </c>
      <c r="AD723" s="57" t="n">
        <f aca="false">MAX(AR723,H723)</f>
        <v>50</v>
      </c>
      <c r="AE723" s="64"/>
      <c r="AF723" s="57" t="n">
        <f aca="false">IF(LEFT(Cockpit!$C$5,1)="A",H723,IF(CA723=1,CB723,IF(LEFT(Cockpit!$C$5,1)="B",AJ723,MAX(AJ723,H723))))</f>
        <v>0</v>
      </c>
      <c r="AG723" s="57" t="n">
        <f aca="false">IF(BT723=1,0,ROUNDUP(AF723/BS723,0))</f>
        <v>0</v>
      </c>
      <c r="AH723" s="59" t="n">
        <f aca="false">IF(CH723&gt;0,CH723*MAX(1,AF723/X723),IF(BT723=1,IF(AF723&lt;=0,0,BW723*MAX(1,IF(H723&gt;0,AF723/H723,1))),IF(R723&gt;0,AG723/R723,0))/MAX(0.1,N(Parameter!$M$21)))</f>
        <v>0</v>
      </c>
      <c r="AI723" s="57" t="n">
        <f aca="false">AF723*G723</f>
        <v>0</v>
      </c>
      <c r="AJ723" s="57" t="n">
        <f aca="false">ROUNDUP(MAX(J723/IF(BZ723&gt;0,BZ723,MAX(0.1,N(Cockpit!$C$6))),CC723)/BS723,0)*BS723</f>
        <v>50</v>
      </c>
      <c r="AK723" s="58" t="n">
        <f aca="false">IF(AH723&gt;0,J723/AH723,-1)</f>
        <v>-1</v>
      </c>
      <c r="AL723" s="58" t="str">
        <f aca="false">IF(AND(OR(BY723="L1",BY723="L23"),AH723&gt;0),SUMIFS($AH$7:$AH$1843,$BY$7:$BY$1843,BY723,$AK$7:$AK$1843,"&gt;"&amp;AK723)+SUMIFS($AH$7:$AH$1843,$BY$7:$BY$1843,BY723,$AK$7:$AK$1843,AK723,$BQ$7:$BQ$1843,"&lt;="&amp;BQ723),"")</f>
        <v/>
      </c>
      <c r="AM723" s="65" t="n">
        <f aca="false">IF(AL723="",0,MAX(0,MIN(1,(IF(BY723="L1",Parameter!$E$5,Parameter!$E$6+Parameter!$E$7)-(AL723-AH723))/AH723)))</f>
        <v>0</v>
      </c>
      <c r="AN723" s="57" t="n">
        <f aca="false">IF(LEFT(Cockpit!$I$5,1)="A",H723,IF(CA723=1,CB723,IF(LEFT(Cockpit!$I$5,1)="B",AR723,MAX(AR723,H723))))</f>
        <v>50</v>
      </c>
      <c r="AO723" s="57" t="n">
        <f aca="false">IF(BT723=1,0,ROUNDUP(AN723/BS723,0))</f>
        <v>1</v>
      </c>
      <c r="AP723" s="59" t="n">
        <f aca="false">IF(CH723&gt;0,CH723*MAX(1,AN723/X723),IF(BT723=1,IF(AN723&lt;=0,0,BW723*MAX(1,IF(H723&gt;0,AN723/H723,1))),IF(R723&gt;0,AO723/R723,0))/MAX(0.1,N(Parameter!$M$21)))</f>
        <v>0.0384615384615385</v>
      </c>
      <c r="AQ723" s="57" t="n">
        <f aca="false">AN723*G723</f>
        <v>220</v>
      </c>
      <c r="AR723" s="57" t="n">
        <f aca="false">ROUNDUP(MAX(J723/IF(BZ723&gt;0,BZ723,MAX(0.1,N(Cockpit!$I$6))),CC723)/BS723,0)*BS723</f>
        <v>50</v>
      </c>
      <c r="AS723" s="58" t="n">
        <f aca="false">IF(AP723&gt;0,J723/AP723,-1)</f>
        <v>624</v>
      </c>
      <c r="AT723" s="58" t="n">
        <f aca="false">IF(AND(OR(BY723="L1",BY723="L23"),AP723&gt;0),SUMIFS($AP$7:$AP$1843,$BY$7:$BY$1843,BY723,$AS$7:$AS$1843,"&gt;"&amp;AS723)+SUMIFS($AP$7:$AP$1843,$BY$7:$BY$1843,BY723,$AS$7:$AS$1843,AS723,$BQ$7:$BQ$1843,"&lt;="&amp;BQ723),"")</f>
        <v>30.2938920982399</v>
      </c>
      <c r="AU723" s="65" t="n">
        <f aca="false">IF(AT723="",0,MAX(0,MIN(1,(IF(BY723="L1",Parameter!$E$5,Parameter!$E$6+Parameter!$E$7)-(AT723-AP723))/AP723)))</f>
        <v>1</v>
      </c>
      <c r="AV723" s="57" t="n">
        <f aca="false">IF(LEFT(Cockpit!$O$5,1)="A",H723,IF(CA723=1,CB723,IF(LEFT(Cockpit!$O$5,1)="B",AZ723,MAX(AZ723,H723))))</f>
        <v>50</v>
      </c>
      <c r="AW723" s="57" t="n">
        <f aca="false">IF(BT723=1,0,ROUNDUP(AV723/BS723,0))</f>
        <v>1</v>
      </c>
      <c r="AX723" s="59" t="n">
        <f aca="false">IF(CH723&gt;0,CH723*MAX(1,AV723/X723),IF(BT723=1,IF(AV723&lt;=0,0,BW723*MAX(1,IF(H723&gt;0,AV723/H723,1))),IF(R723&gt;0,AW723/R723,0))/MAX(0.1,N(Parameter!$M$21)))</f>
        <v>0.0384615384615385</v>
      </c>
      <c r="AY723" s="57" t="n">
        <f aca="false">AV723*G723</f>
        <v>220</v>
      </c>
      <c r="AZ723" s="57" t="n">
        <f aca="false">ROUNDUP(MAX(J723/IF(BZ723&gt;0,BZ723,MAX(0.1,N(Cockpit!$O$6))),CC723)/BS723,0)*BS723</f>
        <v>50</v>
      </c>
      <c r="BA723" s="58" t="n">
        <f aca="false">IF(AX723&gt;0,J723/AX723,-1)</f>
        <v>624</v>
      </c>
      <c r="BB723" s="58" t="n">
        <f aca="false">IF(AND(OR(BY723="L1",BY723="L23"),AX723&gt;0),SUMIFS($AX$7:$AX$1843,$BY$7:$BY$1843,BY723,$BA$7:$BA$1843,"&gt;"&amp;BA723)+SUMIFS($AX$7:$AX$1843,$BY$7:$BY$1843,BY723,$BA$7:$BA$1843,BA723,$BQ$7:$BQ$1843,"&lt;="&amp;BQ723),"")</f>
        <v>28.9955237998716</v>
      </c>
      <c r="BC723" s="65" t="n">
        <f aca="false">IF(BB723="",0,MAX(0,MIN(1,(IF(BY723="L1",Parameter!$E$5,Parameter!$E$6+Parameter!$E$7)-(BB723-AX723))/AX723)))</f>
        <v>1</v>
      </c>
      <c r="BD723" s="55" t="str">
        <f aca="false">IF(AH723&lt;=0,"",IF(BY723="Aussen","Aussenlager",IF(BY723="-","Nicht im Lift",IF(AM723&gt;=1,"Lift",IF(AM723&lt;=0,"Aussenlager","teilweise")))))</f>
        <v/>
      </c>
      <c r="BE723" s="55" t="str">
        <f aca="false">IF(AP723&lt;=0,"",IF(BY723="Aussen","Aussenlager",IF(BY723="-","Nicht im Lift",IF(AU723&gt;=1,"Lift",IF(AU723&lt;=0,"Aussenlager","teilweise")))))</f>
        <v>Lift</v>
      </c>
      <c r="BF723" s="55" t="str">
        <f aca="false">IF(AX723&lt;=0,"",IF(BY723="Aussen","Aussenlager",IF(BY723="-","Nicht im Lift",IF(BC723&gt;=1,"Lift",IF(BC723&lt;=0,"Aussenlager","teilweise")))))</f>
        <v>Lift</v>
      </c>
      <c r="BG723" s="55" t="str">
        <f aca="false">IF(A723="","",IF(BP723=1,"Neu; ","")&amp;IF(AND(BP723=0,BK723&lt;0),"negativer Bestand (Export "&amp;BK723&amp;"); ","")&amp;IF(J723&lt;=0,"Kein Verbrauch; ","")&amp;IF(CH723&gt;0,"Lift "&amp;W723&amp;" lt. Liftbericht (Fach "&amp;X723&amp;" Stk); ",IF(BU723=1,"Gebinde geschätzt ("&amp;T723&amp;"); ",IF(BT723=1,"Lose – Tablare geschätzt; ","")))&amp;IF(H723&gt;AR723,"Überbestand "&amp;ROUND(H723-AR723,0)&amp;" Stk / CHF "&amp;ROUND((H723-AR723)*G723,0)&amp;"; ","")&amp;IF(AND(CA723=1,CB723&lt;CC723),"MAX &lt; MB+LG; ","")&amp;IF(AND(CG723&gt;0,CF723*10&gt;CG723),"zu hoch für Tablar; ","")&amp;IF(AND(BP723=0,OR(CA723=1,AA723&lt;&gt;"",U723&lt;&gt;"",V723&lt;&gt;"",AB723&lt;&gt;"")),"manuell übersteuert; ","")&amp;IF(AND(BT723=0,R723=0),"Gebinde unbekannt / Stellmass fehlt; ","")&amp;IF(AND(BT723=0,N(V723)&lt;=0,N(Q723)&lt;=0),"Menge pro Gebinde fehlt (Ist = 1 Gebinde); ","")&amp;BO723)</f>
        <v/>
      </c>
      <c r="BH723" s="55"/>
      <c r="BI723" s="55"/>
      <c r="BJ723" s="62"/>
      <c r="BK723" s="57" t="n">
        <v>0</v>
      </c>
      <c r="BL723" s="57" t="n">
        <v>0</v>
      </c>
      <c r="BM723" s="56" t="n">
        <v>0</v>
      </c>
      <c r="BN723" s="57" t="n">
        <v>24</v>
      </c>
      <c r="BO723" s="55"/>
      <c r="BP723" s="60" t="n">
        <v>0</v>
      </c>
      <c r="BQ723" s="60" t="n">
        <v>723</v>
      </c>
      <c r="BR723" s="55" t="str">
        <f aca="false">IF(U723&lt;&gt;"",UPPER(TRIM(U723)),IF(BU723=1,UPPER(VLOOKUP(T723,Parameter!$I$27:$K$29,2,0)),IF(P723="","LOSE",P723)))</f>
        <v>S51</v>
      </c>
      <c r="BS723" s="57" t="n">
        <f aca="false">IF(BR723="LOSE",1,IF(N(V723)&gt;0,V723,IF(BU723=1,MAX(1,N(VLOOKUP(T723,Parameter!$I$27:$K$29,3,0)),H723,N(N723)),IF(N(Q723)&gt;0,Q723,MAX(1,H723)))))</f>
        <v>50</v>
      </c>
      <c r="BT723" s="60" t="n">
        <f aca="false">IF(BR723="LOSE",1,0)</f>
        <v>0</v>
      </c>
      <c r="BU723" s="60" t="n">
        <f aca="false">IF(AND(U723="",OR(P723="",P723="LOSE"),T723&lt;&gt;"",N(S723)&lt;=0,ISNUMBER(MATCH(T723,Parameter!$I$27:$I$29,0))),1,0)</f>
        <v>0</v>
      </c>
      <c r="BV723" s="55" t="str">
        <f aca="false">IF(AND(Parameter!$B$19="Ja",E723&lt;&gt;"",ISNUMBER(MATCH(E723,Parameter!$I$35:$I$52,0))),VLOOKUP(E723,Parameter!$I$35:$J$52,2,0),IFERROR(VLOOKUP(D723,Parameter!$A$35:$C$64,2,0),"Nein"))</f>
        <v>2+3</v>
      </c>
      <c r="BW723" s="59" t="n">
        <f aca="false">IF(BT723=0,0,IF(N(S723)&gt;0,S723,IFERROR(VLOOKUP(D723,Parameter!$A$35:$C$64,3,0)+0,0)))</f>
        <v>0</v>
      </c>
      <c r="BX723" s="55" t="n">
        <f aca="false">IF(AA723&lt;&gt;"",AA723,Z723)</f>
        <v>3</v>
      </c>
      <c r="BY723" s="55" t="str">
        <f aca="false">IF(BX723=1,"L1",IF(OR(BX723=2,BX723=3),"L23",IF(BX723="Aussen","Aussen","-")))</f>
        <v>L23</v>
      </c>
      <c r="BZ723" s="66" t="n">
        <f aca="false">IF(N(AB723)&gt;0,AB723,0)</f>
        <v>0</v>
      </c>
      <c r="CA723" s="60" t="n">
        <f aca="false">IF(ISNUMBER(AE723),1,0)</f>
        <v>0</v>
      </c>
      <c r="CB723" s="57" t="n">
        <f aca="false">N(AE723)</f>
        <v>0</v>
      </c>
      <c r="CC723" s="57" t="n">
        <f aca="false">N(M723)+N(N723)</f>
        <v>12</v>
      </c>
      <c r="CD723" s="57" t="n">
        <f aca="false">ROUNDUP(H723/BS723,0)</f>
        <v>0</v>
      </c>
      <c r="CE723" s="57" t="n">
        <f aca="false">ROUNDUP(CB723/BS723,0)</f>
        <v>0</v>
      </c>
      <c r="CF723" s="60" t="n">
        <f aca="false">IF(BT723=1,0,IFERROR(VLOOKUP(BR723,'Gebinde-Kategorie'!$A$5:$M$45,5,0)+0,0))</f>
        <v>11</v>
      </c>
      <c r="CG723" s="60" t="n">
        <f aca="false">IFERROR(IF(OR(BX723=1,BX723=2,BX723=3),N(INDEX(Parameter!$I$5:$I$7,BX723)),0),0)</f>
        <v>0</v>
      </c>
      <c r="CH723" s="59" t="n">
        <f aca="false">IF(AND(Parameter!$B$21="Ja",ISNUMBER(W723),N(X723)&gt;0),IFERROR(N(INDEX(Parameter!$L$5:$L$7,W723))*INDEX(Parameter!$E$5:$E$7,W723)*X723/SUMIFS($X$7:$X$1843,$W$7:$W$1843,W723),0),0)</f>
        <v>0</v>
      </c>
    </row>
    <row r="724" customFormat="false" ht="15" hidden="false" customHeight="false" outlineLevel="0" collapsed="false">
      <c r="A724" s="55" t="s">
        <v>1436</v>
      </c>
      <c r="B724" s="55" t="s">
        <v>1437</v>
      </c>
      <c r="C724" s="55" t="s">
        <v>164</v>
      </c>
      <c r="D724" s="55" t="s">
        <v>173</v>
      </c>
      <c r="E724" s="55" t="s">
        <v>370</v>
      </c>
      <c r="F724" s="55" t="s">
        <v>218</v>
      </c>
      <c r="G724" s="56" t="n">
        <v>658.54</v>
      </c>
      <c r="H724" s="57" t="n">
        <f aca="false">MAX(0,IF(AND(Parameter!$B$21="Ja",ISNUMBER(Y724)),Y724,IF(Parameter!$B$20="Jahresanfang 2025 + Export",BL724+BK724,BK724)))</f>
        <v>0</v>
      </c>
      <c r="I724" s="57" t="n">
        <f aca="false">H724*G724</f>
        <v>0</v>
      </c>
      <c r="J724" s="57" t="n">
        <f aca="false">BN724*Parameter!$B$18</f>
        <v>3</v>
      </c>
      <c r="K724" s="58" t="n">
        <v>4</v>
      </c>
      <c r="L724" s="59" t="n">
        <v>0.75</v>
      </c>
      <c r="M724" s="57" t="n">
        <v>0</v>
      </c>
      <c r="N724" s="57" t="n">
        <v>1</v>
      </c>
      <c r="O724" s="60" t="n">
        <v>14</v>
      </c>
      <c r="P724" s="55" t="s">
        <v>168</v>
      </c>
      <c r="Q724" s="57"/>
      <c r="R724" s="60" t="n">
        <f aca="false">IF(BT724=1,0,IFERROR(VLOOKUP(BR724,'Gebinde-Kategorie'!$A$5:$M$45,13,0)+0,0))</f>
        <v>3</v>
      </c>
      <c r="S724" s="61"/>
      <c r="T724" s="62" t="s">
        <v>189</v>
      </c>
      <c r="U724" s="62"/>
      <c r="V724" s="62"/>
      <c r="W724" s="55"/>
      <c r="X724" s="57"/>
      <c r="Y724" s="57"/>
      <c r="Z724" s="55" t="str">
        <f aca="false">IF(A724="","",IF(AND(Parameter!$B$21="Ja",ISNUMBER(W724)),W724,IF(BV724="2+3",IF(ISNUMBER(SEARCH("grosser Artikel",BO724)),2,IFERROR(VLOOKUP(BR724,Parameter!$F$35:$G$64,2,0),2)),IF(OR(BV724="Nein",BV724=""),"-",BV724))))</f>
        <v>-</v>
      </c>
      <c r="AA724" s="62"/>
      <c r="AB724" s="63"/>
      <c r="AC724" s="57" t="n">
        <f aca="false">AR724</f>
        <v>2</v>
      </c>
      <c r="AD724" s="57" t="n">
        <f aca="false">MAX(AR724,H724)</f>
        <v>2</v>
      </c>
      <c r="AE724" s="64"/>
      <c r="AF724" s="57" t="n">
        <f aca="false">IF(LEFT(Cockpit!$C$5,1)="A",H724,IF(CA724=1,CB724,IF(LEFT(Cockpit!$C$5,1)="B",AJ724,MAX(AJ724,H724))))</f>
        <v>0</v>
      </c>
      <c r="AG724" s="57" t="n">
        <f aca="false">IF(BT724=1,0,ROUNDUP(AF724/BS724,0))</f>
        <v>0</v>
      </c>
      <c r="AH724" s="59" t="n">
        <f aca="false">IF(CH724&gt;0,CH724*MAX(1,AF724/X724),IF(BT724=1,IF(AF724&lt;=0,0,BW724*MAX(1,IF(H724&gt;0,AF724/H724,1))),IF(R724&gt;0,AG724/R724,0))/MAX(0.1,N(Parameter!$M$21)))</f>
        <v>0</v>
      </c>
      <c r="AI724" s="57" t="n">
        <f aca="false">AF724*G724</f>
        <v>0</v>
      </c>
      <c r="AJ724" s="57" t="n">
        <f aca="false">ROUNDUP(MAX(J724/IF(BZ724&gt;0,BZ724,MAX(0.1,N(Cockpit!$C$6))),CC724)/BS724,0)*BS724</f>
        <v>2</v>
      </c>
      <c r="AK724" s="58" t="n">
        <f aca="false">IF(AH724&gt;0,J724/AH724,-1)</f>
        <v>-1</v>
      </c>
      <c r="AL724" s="58" t="str">
        <f aca="false">IF(AND(OR(BY724="L1",BY724="L23"),AH724&gt;0),SUMIFS($AH$7:$AH$1843,$BY$7:$BY$1843,BY724,$AK$7:$AK$1843,"&gt;"&amp;AK724)+SUMIFS($AH$7:$AH$1843,$BY$7:$BY$1843,BY724,$AK$7:$AK$1843,AK724,$BQ$7:$BQ$1843,"&lt;="&amp;BQ724),"")</f>
        <v/>
      </c>
      <c r="AM724" s="65" t="n">
        <f aca="false">IF(AL724="",0,MAX(0,MIN(1,(IF(BY724="L1",Parameter!$E$5,Parameter!$E$6+Parameter!$E$7)-(AL724-AH724))/AH724)))</f>
        <v>0</v>
      </c>
      <c r="AN724" s="57" t="n">
        <f aca="false">IF(LEFT(Cockpit!$I$5,1)="A",H724,IF(CA724=1,CB724,IF(LEFT(Cockpit!$I$5,1)="B",AR724,MAX(AR724,H724))))</f>
        <v>2</v>
      </c>
      <c r="AO724" s="57" t="n">
        <f aca="false">IF(BT724=1,0,ROUNDUP(AN724/BS724,0))</f>
        <v>1</v>
      </c>
      <c r="AP724" s="59" t="n">
        <f aca="false">IF(CH724&gt;0,CH724*MAX(1,AN724/X724),IF(BT724=1,IF(AN724&lt;=0,0,BW724*MAX(1,IF(H724&gt;0,AN724/H724,1))),IF(R724&gt;0,AO724/R724,0))/MAX(0.1,N(Parameter!$M$21)))</f>
        <v>0.333333333333333</v>
      </c>
      <c r="AQ724" s="57" t="n">
        <f aca="false">AN724*G724</f>
        <v>1317.08</v>
      </c>
      <c r="AR724" s="57" t="n">
        <f aca="false">ROUNDUP(MAX(J724/IF(BZ724&gt;0,BZ724,MAX(0.1,N(Cockpit!$I$6))),CC724)/BS724,0)*BS724</f>
        <v>2</v>
      </c>
      <c r="AS724" s="58" t="n">
        <f aca="false">IF(AP724&gt;0,J724/AP724,-1)</f>
        <v>9</v>
      </c>
      <c r="AT724" s="58" t="str">
        <f aca="false">IF(AND(OR(BY724="L1",BY724="L23"),AP724&gt;0),SUMIFS($AP$7:$AP$1843,$BY$7:$BY$1843,BY724,$AS$7:$AS$1843,"&gt;"&amp;AS724)+SUMIFS($AP$7:$AP$1843,$BY$7:$BY$1843,BY724,$AS$7:$AS$1843,AS724,$BQ$7:$BQ$1843,"&lt;="&amp;BQ724),"")</f>
        <v/>
      </c>
      <c r="AU724" s="65" t="n">
        <f aca="false">IF(AT724="",0,MAX(0,MIN(1,(IF(BY724="L1",Parameter!$E$5,Parameter!$E$6+Parameter!$E$7)-(AT724-AP724))/AP724)))</f>
        <v>0</v>
      </c>
      <c r="AV724" s="57" t="n">
        <f aca="false">IF(LEFT(Cockpit!$O$5,1)="A",H724,IF(CA724=1,CB724,IF(LEFT(Cockpit!$O$5,1)="B",AZ724,MAX(AZ724,H724))))</f>
        <v>2</v>
      </c>
      <c r="AW724" s="57" t="n">
        <f aca="false">IF(BT724=1,0,ROUNDUP(AV724/BS724,0))</f>
        <v>1</v>
      </c>
      <c r="AX724" s="59" t="n">
        <f aca="false">IF(CH724&gt;0,CH724*MAX(1,AV724/X724),IF(BT724=1,IF(AV724&lt;=0,0,BW724*MAX(1,IF(H724&gt;0,AV724/H724,1))),IF(R724&gt;0,AW724/R724,0))/MAX(0.1,N(Parameter!$M$21)))</f>
        <v>0.333333333333333</v>
      </c>
      <c r="AY724" s="57" t="n">
        <f aca="false">AV724*G724</f>
        <v>1317.08</v>
      </c>
      <c r="AZ724" s="57" t="n">
        <f aca="false">ROUNDUP(MAX(J724/IF(BZ724&gt;0,BZ724,MAX(0.1,N(Cockpit!$O$6))),CC724)/BS724,0)*BS724</f>
        <v>2</v>
      </c>
      <c r="BA724" s="58" t="n">
        <f aca="false">IF(AX724&gt;0,J724/AX724,-1)</f>
        <v>9</v>
      </c>
      <c r="BB724" s="58" t="str">
        <f aca="false">IF(AND(OR(BY724="L1",BY724="L23"),AX724&gt;0),SUMIFS($AX$7:$AX$1843,$BY$7:$BY$1843,BY724,$BA$7:$BA$1843,"&gt;"&amp;BA724)+SUMIFS($AX$7:$AX$1843,$BY$7:$BY$1843,BY724,$BA$7:$BA$1843,BA724,$BQ$7:$BQ$1843,"&lt;="&amp;BQ724),"")</f>
        <v/>
      </c>
      <c r="BC724" s="65" t="n">
        <f aca="false">IF(BB724="",0,MAX(0,MIN(1,(IF(BY724="L1",Parameter!$E$5,Parameter!$E$6+Parameter!$E$7)-(BB724-AX724))/AX724)))</f>
        <v>0</v>
      </c>
      <c r="BD724" s="55" t="str">
        <f aca="false">IF(AH724&lt;=0,"",IF(BY724="Aussen","Aussenlager",IF(BY724="-","Nicht im Lift",IF(AM724&gt;=1,"Lift",IF(AM724&lt;=0,"Aussenlager","teilweise")))))</f>
        <v/>
      </c>
      <c r="BE724" s="55" t="str">
        <f aca="false">IF(AP724&lt;=0,"",IF(BY724="Aussen","Aussenlager",IF(BY724="-","Nicht im Lift",IF(AU724&gt;=1,"Lift",IF(AU724&lt;=0,"Aussenlager","teilweise")))))</f>
        <v>Nicht im Lift</v>
      </c>
      <c r="BF724" s="55" t="str">
        <f aca="false">IF(AX724&lt;=0,"",IF(BY724="Aussen","Aussenlager",IF(BY724="-","Nicht im Lift",IF(BC724&gt;=1,"Lift",IF(BC724&lt;=0,"Aussenlager","teilweise")))))</f>
        <v>Nicht im Lift</v>
      </c>
      <c r="BG724" s="55" t="str">
        <f aca="false">IF(A724="","",IF(BP724=1,"Neu; ","")&amp;IF(AND(BP724=0,BK724&lt;0),"negativer Bestand (Export "&amp;BK724&amp;"); ","")&amp;IF(J724&lt;=0,"Kein Verbrauch; ","")&amp;IF(CH724&gt;0,"Lift "&amp;W724&amp;" lt. Liftbericht (Fach "&amp;X724&amp;" Stk); ",IF(BU724=1,"Gebinde geschätzt ("&amp;T724&amp;"); ",IF(BT724=1,"Lose – Tablare geschätzt; ","")))&amp;IF(H724&gt;AR724,"Überbestand "&amp;ROUND(H724-AR724,0)&amp;" Stk / CHF "&amp;ROUND((H724-AR724)*G724,0)&amp;"; ","")&amp;IF(AND(CA724=1,CB724&lt;CC724),"MAX &lt; MB+LG; ","")&amp;IF(AND(CG724&gt;0,CF724*10&gt;CG724),"zu hoch für Tablar; ","")&amp;IF(AND(BP724=0,OR(CA724=1,AA724&lt;&gt;"",U724&lt;&gt;"",V724&lt;&gt;"",AB724&lt;&gt;"")),"manuell übersteuert; ","")&amp;IF(AND(BT724=0,R724=0),"Gebinde unbekannt / Stellmass fehlt; ","")&amp;IF(AND(BT724=0,N(V724)&lt;=0,N(Q724)&lt;=0),"Menge pro Gebinde fehlt (Ist = 1 Gebinde); ","")&amp;BO724)</f>
        <v>Gebinde geschätzt (Gross); Menge pro Gebinde fehlt (Ist = 1 Gebinde); </v>
      </c>
      <c r="BH724" s="55"/>
      <c r="BI724" s="55"/>
      <c r="BJ724" s="62"/>
      <c r="BK724" s="57" t="n">
        <v>0</v>
      </c>
      <c r="BL724" s="57" t="n">
        <v>0</v>
      </c>
      <c r="BM724" s="56" t="n">
        <v>0</v>
      </c>
      <c r="BN724" s="57" t="n">
        <v>3</v>
      </c>
      <c r="BO724" s="55"/>
      <c r="BP724" s="60" t="n">
        <v>0</v>
      </c>
      <c r="BQ724" s="60" t="n">
        <v>724</v>
      </c>
      <c r="BR724" s="55" t="str">
        <f aca="false">IF(U724&lt;&gt;"",UPPER(TRIM(U724)),IF(BU724=1,UPPER(VLOOKUP(T724,Parameter!$I$27:$K$29,2,0)),IF(P724="","LOSE",P724)))</f>
        <v>S81</v>
      </c>
      <c r="BS724" s="57" t="n">
        <f aca="false">IF(BR724="LOSE",1,IF(N(V724)&gt;0,V724,IF(BU724=1,MAX(1,N(VLOOKUP(T724,Parameter!$I$27:$K$29,3,0)),H724,N(N724)),IF(N(Q724)&gt;0,Q724,MAX(1,H724)))))</f>
        <v>2</v>
      </c>
      <c r="BT724" s="60" t="n">
        <f aca="false">IF(BR724="LOSE",1,0)</f>
        <v>0</v>
      </c>
      <c r="BU724" s="60" t="n">
        <f aca="false">IF(AND(U724="",OR(P724="",P724="LOSE"),T724&lt;&gt;"",N(S724)&lt;=0,ISNUMBER(MATCH(T724,Parameter!$I$27:$I$29,0))),1,0)</f>
        <v>1</v>
      </c>
      <c r="BV724" s="55" t="str">
        <f aca="false">IF(AND(Parameter!$B$19="Ja",E724&lt;&gt;"",ISNUMBER(MATCH(E724,Parameter!$I$35:$I$52,0))),VLOOKUP(E724,Parameter!$I$35:$J$52,2,0),IFERROR(VLOOKUP(D724,Parameter!$A$35:$C$64,2,0),"Nein"))</f>
        <v>Nein</v>
      </c>
      <c r="BW724" s="59" t="n">
        <f aca="false">IF(BT724=0,0,IF(N(S724)&gt;0,S724,IFERROR(VLOOKUP(D724,Parameter!$A$35:$C$64,3,0)+0,0)))</f>
        <v>0</v>
      </c>
      <c r="BX724" s="55" t="str">
        <f aca="false">IF(AA724&lt;&gt;"",AA724,Z724)</f>
        <v>-</v>
      </c>
      <c r="BY724" s="55" t="str">
        <f aca="false">IF(BX724=1,"L1",IF(OR(BX724=2,BX724=3),"L23",IF(BX724="Aussen","Aussen","-")))</f>
        <v>-</v>
      </c>
      <c r="BZ724" s="66" t="n">
        <f aca="false">IF(N(AB724)&gt;0,AB724,0)</f>
        <v>0</v>
      </c>
      <c r="CA724" s="60" t="n">
        <f aca="false">IF(ISNUMBER(AE724),1,0)</f>
        <v>0</v>
      </c>
      <c r="CB724" s="57" t="n">
        <f aca="false">N(AE724)</f>
        <v>0</v>
      </c>
      <c r="CC724" s="57" t="n">
        <f aca="false">N(M724)+N(N724)</f>
        <v>1</v>
      </c>
      <c r="CD724" s="57" t="n">
        <f aca="false">ROUNDUP(H724/BS724,0)</f>
        <v>0</v>
      </c>
      <c r="CE724" s="57" t="n">
        <f aca="false">ROUNDUP(CB724/BS724,0)</f>
        <v>0</v>
      </c>
      <c r="CF724" s="60" t="n">
        <f aca="false">IF(BT724=1,0,IFERROR(VLOOKUP(BR724,'Gebinde-Kategorie'!$A$5:$M$45,5,0)+0,0))</f>
        <v>20</v>
      </c>
      <c r="CG724" s="60" t="n">
        <f aca="false">IFERROR(IF(OR(BX724=1,BX724=2,BX724=3),N(INDEX(Parameter!$I$5:$I$7,BX724)),0),0)</f>
        <v>0</v>
      </c>
      <c r="CH724" s="59" t="n">
        <f aca="false">IF(AND(Parameter!$B$21="Ja",ISNUMBER(W724),N(X724)&gt;0),IFERROR(N(INDEX(Parameter!$L$5:$L$7,W724))*INDEX(Parameter!$E$5:$E$7,W724)*X724/SUMIFS($X$7:$X$1843,$W$7:$W$1843,W724),0),0)</f>
        <v>0</v>
      </c>
    </row>
    <row r="725" customFormat="false" ht="15" hidden="false" customHeight="false" outlineLevel="0" collapsed="false">
      <c r="A725" s="55" t="s">
        <v>1438</v>
      </c>
      <c r="B725" s="55" t="s">
        <v>1439</v>
      </c>
      <c r="C725" s="55" t="s">
        <v>456</v>
      </c>
      <c r="D725" s="55" t="s">
        <v>173</v>
      </c>
      <c r="E725" s="55"/>
      <c r="F725" s="55" t="s">
        <v>218</v>
      </c>
      <c r="G725" s="56" t="n">
        <v>100.23</v>
      </c>
      <c r="H725" s="57" t="n">
        <f aca="false">MAX(0,IF(AND(Parameter!$B$21="Ja",ISNUMBER(Y725)),Y725,IF(Parameter!$B$20="Jahresanfang 2025 + Export",BL725+BK725,BK725)))</f>
        <v>0</v>
      </c>
      <c r="I725" s="57" t="n">
        <f aca="false">H725*G725</f>
        <v>0</v>
      </c>
      <c r="J725" s="57" t="n">
        <f aca="false">BN725*Parameter!$B$18</f>
        <v>0</v>
      </c>
      <c r="K725" s="58" t="n">
        <v>0</v>
      </c>
      <c r="L725" s="59" t="n">
        <v>0</v>
      </c>
      <c r="M725" s="57" t="n">
        <v>0</v>
      </c>
      <c r="N725" s="57" t="n">
        <v>1</v>
      </c>
      <c r="O725" s="60" t="n">
        <v>21</v>
      </c>
      <c r="P725" s="55" t="s">
        <v>168</v>
      </c>
      <c r="Q725" s="57"/>
      <c r="R725" s="60" t="n">
        <f aca="false">IF(BT725=1,0,IFERROR(VLOOKUP(BR725,'Gebinde-Kategorie'!$A$5:$M$45,13,0)+0,0))</f>
        <v>12</v>
      </c>
      <c r="S725" s="61"/>
      <c r="T725" s="62" t="s">
        <v>179</v>
      </c>
      <c r="U725" s="62"/>
      <c r="V725" s="62"/>
      <c r="W725" s="55"/>
      <c r="X725" s="57"/>
      <c r="Y725" s="57"/>
      <c r="Z725" s="55" t="n">
        <f aca="false">IF(A725="","",IF(AND(Parameter!$B$21="Ja",ISNUMBER(W725)),W725,IF(BV725="2+3",IF(ISNUMBER(SEARCH("grosser Artikel",BO725)),2,IFERROR(VLOOKUP(BR725,Parameter!$F$35:$G$64,2,0),2)),IF(OR(BV725="Nein",BV725=""),"-",BV725))))</f>
        <v>2</v>
      </c>
      <c r="AA725" s="62"/>
      <c r="AB725" s="63"/>
      <c r="AC725" s="57" t="n">
        <f aca="false">AR725</f>
        <v>4</v>
      </c>
      <c r="AD725" s="57" t="n">
        <f aca="false">MAX(AR725,H725)</f>
        <v>4</v>
      </c>
      <c r="AE725" s="64"/>
      <c r="AF725" s="57" t="n">
        <f aca="false">IF(LEFT(Cockpit!$C$5,1)="A",H725,IF(CA725=1,CB725,IF(LEFT(Cockpit!$C$5,1)="B",AJ725,MAX(AJ725,H725))))</f>
        <v>0</v>
      </c>
      <c r="AG725" s="57" t="n">
        <f aca="false">IF(BT725=1,0,ROUNDUP(AF725/BS725,0))</f>
        <v>0</v>
      </c>
      <c r="AH725" s="59" t="n">
        <f aca="false">IF(CH725&gt;0,CH725*MAX(1,AF725/X725),IF(BT725=1,IF(AF725&lt;=0,0,BW725*MAX(1,IF(H725&gt;0,AF725/H725,1))),IF(R725&gt;0,AG725/R725,0))/MAX(0.1,N(Parameter!$M$21)))</f>
        <v>0</v>
      </c>
      <c r="AI725" s="57" t="n">
        <f aca="false">AF725*G725</f>
        <v>0</v>
      </c>
      <c r="AJ725" s="57" t="n">
        <f aca="false">ROUNDUP(MAX(J725/IF(BZ725&gt;0,BZ725,MAX(0.1,N(Cockpit!$C$6))),CC725)/BS725,0)*BS725</f>
        <v>4</v>
      </c>
      <c r="AK725" s="58" t="n">
        <f aca="false">IF(AH725&gt;0,J725/AH725,-1)</f>
        <v>-1</v>
      </c>
      <c r="AL725" s="58" t="str">
        <f aca="false">IF(AND(OR(BY725="L1",BY725="L23"),AH725&gt;0),SUMIFS($AH$7:$AH$1843,$BY$7:$BY$1843,BY725,$AK$7:$AK$1843,"&gt;"&amp;AK725)+SUMIFS($AH$7:$AH$1843,$BY$7:$BY$1843,BY725,$AK$7:$AK$1843,AK725,$BQ$7:$BQ$1843,"&lt;="&amp;BQ725),"")</f>
        <v/>
      </c>
      <c r="AM725" s="65" t="n">
        <f aca="false">IF(AL725="",0,MAX(0,MIN(1,(IF(BY725="L1",Parameter!$E$5,Parameter!$E$6+Parameter!$E$7)-(AL725-AH725))/AH725)))</f>
        <v>0</v>
      </c>
      <c r="AN725" s="57" t="n">
        <f aca="false">IF(LEFT(Cockpit!$I$5,1)="A",H725,IF(CA725=1,CB725,IF(LEFT(Cockpit!$I$5,1)="B",AR725,MAX(AR725,H725))))</f>
        <v>4</v>
      </c>
      <c r="AO725" s="57" t="n">
        <f aca="false">IF(BT725=1,0,ROUNDUP(AN725/BS725,0))</f>
        <v>1</v>
      </c>
      <c r="AP725" s="59" t="n">
        <f aca="false">IF(CH725&gt;0,CH725*MAX(1,AN725/X725),IF(BT725=1,IF(AN725&lt;=0,0,BW725*MAX(1,IF(H725&gt;0,AN725/H725,1))),IF(R725&gt;0,AO725/R725,0))/MAX(0.1,N(Parameter!$M$21)))</f>
        <v>0.0833333333333333</v>
      </c>
      <c r="AQ725" s="57" t="n">
        <f aca="false">AN725*G725</f>
        <v>400.92</v>
      </c>
      <c r="AR725" s="57" t="n">
        <f aca="false">ROUNDUP(MAX(J725/IF(BZ725&gt;0,BZ725,MAX(0.1,N(Cockpit!$I$6))),CC725)/BS725,0)*BS725</f>
        <v>4</v>
      </c>
      <c r="AS725" s="58" t="n">
        <f aca="false">IF(AP725&gt;0,J725/AP725,-1)</f>
        <v>0</v>
      </c>
      <c r="AT725" s="58" t="n">
        <f aca="false">IF(AND(OR(BY725="L1",BY725="L23"),AP725&gt;0),SUMIFS($AP$7:$AP$1843,$BY$7:$BY$1843,BY725,$AS$7:$AS$1843,"&gt;"&amp;AS725)+SUMIFS($AP$7:$AP$1843,$BY$7:$BY$1843,BY725,$AS$7:$AS$1843,AS725,$BQ$7:$BQ$1843,"&lt;="&amp;BQ725),"")</f>
        <v>117.203667105841</v>
      </c>
      <c r="AU725" s="65" t="n">
        <f aca="false">IF(AT725="",0,MAX(0,MIN(1,(IF(BY725="L1",Parameter!$E$5,Parameter!$E$6+Parameter!$E$7)-(AT725-AP725))/AP725)))</f>
        <v>0</v>
      </c>
      <c r="AV725" s="57" t="n">
        <f aca="false">IF(LEFT(Cockpit!$O$5,1)="A",H725,IF(CA725=1,CB725,IF(LEFT(Cockpit!$O$5,1)="B",AZ725,MAX(AZ725,H725))))</f>
        <v>4</v>
      </c>
      <c r="AW725" s="57" t="n">
        <f aca="false">IF(BT725=1,0,ROUNDUP(AV725/BS725,0))</f>
        <v>1</v>
      </c>
      <c r="AX725" s="59" t="n">
        <f aca="false">IF(CH725&gt;0,CH725*MAX(1,AV725/X725),IF(BT725=1,IF(AV725&lt;=0,0,BW725*MAX(1,IF(H725&gt;0,AV725/H725,1))),IF(R725&gt;0,AW725/R725,0))/MAX(0.1,N(Parameter!$M$21)))</f>
        <v>0.0833333333333333</v>
      </c>
      <c r="AY725" s="57" t="n">
        <f aca="false">AV725*G725</f>
        <v>400.92</v>
      </c>
      <c r="AZ725" s="57" t="n">
        <f aca="false">ROUNDUP(MAX(J725/IF(BZ725&gt;0,BZ725,MAX(0.1,N(Cockpit!$O$6))),CC725)/BS725,0)*BS725</f>
        <v>4</v>
      </c>
      <c r="BA725" s="58" t="n">
        <f aca="false">IF(AX725&gt;0,J725/AX725,-1)</f>
        <v>0</v>
      </c>
      <c r="BB725" s="58" t="n">
        <f aca="false">IF(AND(OR(BY725="L1",BY725="L23"),AX725&gt;0),SUMIFS($AX$7:$AX$1843,$BY$7:$BY$1843,BY725,$BA$7:$BA$1843,"&gt;"&amp;BA725)+SUMIFS($AX$7:$AX$1843,$BY$7:$BY$1843,BY725,$BA$7:$BA$1843,BA725,$BQ$7:$BQ$1843,"&lt;="&amp;BQ725),"")</f>
        <v>108.033503935678</v>
      </c>
      <c r="BC725" s="65" t="n">
        <f aca="false">IF(BB725="",0,MAX(0,MIN(1,(IF(BY725="L1",Parameter!$E$5,Parameter!$E$6+Parameter!$E$7)-(BB725-AX725))/AX725)))</f>
        <v>0</v>
      </c>
      <c r="BD725" s="55" t="str">
        <f aca="false">IF(AH725&lt;=0,"",IF(BY725="Aussen","Aussenlager",IF(BY725="-","Nicht im Lift",IF(AM725&gt;=1,"Lift",IF(AM725&lt;=0,"Aussenlager","teilweise")))))</f>
        <v/>
      </c>
      <c r="BE725" s="55" t="str">
        <f aca="false">IF(AP725&lt;=0,"",IF(BY725="Aussen","Aussenlager",IF(BY725="-","Nicht im Lift",IF(AU725&gt;=1,"Lift",IF(AU725&lt;=0,"Aussenlager","teilweise")))))</f>
        <v>Aussenlager</v>
      </c>
      <c r="BF725" s="55" t="str">
        <f aca="false">IF(AX725&lt;=0,"",IF(BY725="Aussen","Aussenlager",IF(BY725="-","Nicht im Lift",IF(BC725&gt;=1,"Lift",IF(BC725&lt;=0,"Aussenlager","teilweise")))))</f>
        <v>Aussenlager</v>
      </c>
      <c r="BG725" s="55" t="str">
        <f aca="false">IF(A725="","",IF(BP725=1,"Neu; ","")&amp;IF(AND(BP725=0,BK725&lt;0),"negativer Bestand (Export "&amp;BK725&amp;"); ","")&amp;IF(J725&lt;=0,"Kein Verbrauch; ","")&amp;IF(CH725&gt;0,"Lift "&amp;W725&amp;" lt. Liftbericht (Fach "&amp;X725&amp;" Stk); ",IF(BU725=1,"Gebinde geschätzt ("&amp;T725&amp;"); ",IF(BT725=1,"Lose – Tablare geschätzt; ","")))&amp;IF(H725&gt;AR725,"Überbestand "&amp;ROUND(H725-AR725,0)&amp;" Stk / CHF "&amp;ROUND((H725-AR725)*G725,0)&amp;"; ","")&amp;IF(AND(CA725=1,CB725&lt;CC725),"MAX &lt; MB+LG; ","")&amp;IF(AND(CG725&gt;0,CF725*10&gt;CG725),"zu hoch für Tablar; ","")&amp;IF(AND(BP725=0,OR(CA725=1,AA725&lt;&gt;"",U725&lt;&gt;"",V725&lt;&gt;"",AB725&lt;&gt;"")),"manuell übersteuert; ","")&amp;IF(AND(BT725=0,R725=0),"Gebinde unbekannt / Stellmass fehlt; ","")&amp;IF(AND(BT725=0,N(V725)&lt;=0,N(Q725)&lt;=0),"Menge pro Gebinde fehlt (Ist = 1 Gebinde); ","")&amp;BO725)</f>
        <v>Kein Verbrauch; Gebinde geschätzt (Mittel); Menge pro Gebinde fehlt (Ist = 1 Gebinde); </v>
      </c>
      <c r="BH725" s="55"/>
      <c r="BI725" s="55"/>
      <c r="BJ725" s="62"/>
      <c r="BK725" s="57" t="n">
        <v>0</v>
      </c>
      <c r="BL725" s="57" t="n">
        <v>0</v>
      </c>
      <c r="BM725" s="56" t="n">
        <v>0</v>
      </c>
      <c r="BN725" s="57" t="n">
        <v>0</v>
      </c>
      <c r="BO725" s="55"/>
      <c r="BP725" s="60" t="n">
        <v>0</v>
      </c>
      <c r="BQ725" s="60" t="n">
        <v>725</v>
      </c>
      <c r="BR725" s="55" t="str">
        <f aca="false">IF(U725&lt;&gt;"",UPPER(TRIM(U725)),IF(BU725=1,UPPER(VLOOKUP(T725,Parameter!$I$27:$K$29,2,0)),IF(P725="","LOSE",P725)))</f>
        <v>S61</v>
      </c>
      <c r="BS725" s="57" t="n">
        <f aca="false">IF(BR725="LOSE",1,IF(N(V725)&gt;0,V725,IF(BU725=1,MAX(1,N(VLOOKUP(T725,Parameter!$I$27:$K$29,3,0)),H725,N(N725)),IF(N(Q725)&gt;0,Q725,MAX(1,H725)))))</f>
        <v>4</v>
      </c>
      <c r="BT725" s="60" t="n">
        <f aca="false">IF(BR725="LOSE",1,0)</f>
        <v>0</v>
      </c>
      <c r="BU725" s="60" t="n">
        <f aca="false">IF(AND(U725="",OR(P725="",P725="LOSE"),T725&lt;&gt;"",N(S725)&lt;=0,ISNUMBER(MATCH(T725,Parameter!$I$27:$I$29,0))),1,0)</f>
        <v>1</v>
      </c>
      <c r="BV725" s="55" t="str">
        <f aca="false">IF(AND(Parameter!$B$19="Ja",E725&lt;&gt;"",ISNUMBER(MATCH(E725,Parameter!$I$35:$I$52,0))),VLOOKUP(E725,Parameter!$I$35:$J$52,2,0),IFERROR(VLOOKUP(D725,Parameter!$A$35:$C$64,2,0),"Nein"))</f>
        <v>2+3</v>
      </c>
      <c r="BW725" s="59" t="n">
        <f aca="false">IF(BT725=0,0,IF(N(S725)&gt;0,S725,IFERROR(VLOOKUP(D725,Parameter!$A$35:$C$64,3,0)+0,0)))</f>
        <v>0</v>
      </c>
      <c r="BX725" s="55" t="n">
        <f aca="false">IF(AA725&lt;&gt;"",AA725,Z725)</f>
        <v>2</v>
      </c>
      <c r="BY725" s="55" t="str">
        <f aca="false">IF(BX725=1,"L1",IF(OR(BX725=2,BX725=3),"L23",IF(BX725="Aussen","Aussen","-")))</f>
        <v>L23</v>
      </c>
      <c r="BZ725" s="66" t="n">
        <f aca="false">IF(N(AB725)&gt;0,AB725,0)</f>
        <v>0</v>
      </c>
      <c r="CA725" s="60" t="n">
        <f aca="false">IF(ISNUMBER(AE725),1,0)</f>
        <v>0</v>
      </c>
      <c r="CB725" s="57" t="n">
        <f aca="false">N(AE725)</f>
        <v>0</v>
      </c>
      <c r="CC725" s="57" t="n">
        <f aca="false">N(M725)+N(N725)</f>
        <v>1</v>
      </c>
      <c r="CD725" s="57" t="n">
        <f aca="false">ROUNDUP(H725/BS725,0)</f>
        <v>0</v>
      </c>
      <c r="CE725" s="57" t="n">
        <f aca="false">ROUNDUP(CB725/BS725,0)</f>
        <v>0</v>
      </c>
      <c r="CF725" s="60" t="n">
        <f aca="false">IF(BT725=1,0,IFERROR(VLOOKUP(BR725,'Gebinde-Kategorie'!$A$5:$M$45,5,0)+0,0))</f>
        <v>11</v>
      </c>
      <c r="CG725" s="60" t="n">
        <f aca="false">IFERROR(IF(OR(BX725=1,BX725=2,BX725=3),N(INDEX(Parameter!$I$5:$I$7,BX725)),0),0)</f>
        <v>0</v>
      </c>
      <c r="CH725" s="59" t="n">
        <f aca="false">IF(AND(Parameter!$B$21="Ja",ISNUMBER(W725),N(X725)&gt;0),IFERROR(N(INDEX(Parameter!$L$5:$L$7,W725))*INDEX(Parameter!$E$5:$E$7,W725)*X725/SUMIFS($X$7:$X$1843,$W$7:$W$1843,W725),0),0)</f>
        <v>0</v>
      </c>
    </row>
    <row r="726" customFormat="false" ht="15" hidden="false" customHeight="false" outlineLevel="0" collapsed="false">
      <c r="A726" s="55" t="s">
        <v>1440</v>
      </c>
      <c r="B726" s="55" t="s">
        <v>1441</v>
      </c>
      <c r="C726" s="55" t="s">
        <v>164</v>
      </c>
      <c r="D726" s="55" t="s">
        <v>173</v>
      </c>
      <c r="E726" s="55"/>
      <c r="F726" s="55" t="s">
        <v>218</v>
      </c>
      <c r="G726" s="56" t="n">
        <v>467.1</v>
      </c>
      <c r="H726" s="57" t="n">
        <f aca="false">MAX(0,IF(AND(Parameter!$B$21="Ja",ISNUMBER(Y726)),Y726,IF(Parameter!$B$20="Jahresanfang 2025 + Export",BL726+BK726,BK726)))</f>
        <v>0</v>
      </c>
      <c r="I726" s="57" t="n">
        <f aca="false">H726*G726</f>
        <v>0</v>
      </c>
      <c r="J726" s="57" t="n">
        <f aca="false">BN726*Parameter!$B$18</f>
        <v>1</v>
      </c>
      <c r="K726" s="58" t="n">
        <v>0</v>
      </c>
      <c r="L726" s="59" t="n">
        <v>0</v>
      </c>
      <c r="M726" s="57" t="n">
        <v>0</v>
      </c>
      <c r="N726" s="57" t="n">
        <v>1</v>
      </c>
      <c r="O726" s="60" t="n">
        <v>28</v>
      </c>
      <c r="P726" s="55" t="s">
        <v>168</v>
      </c>
      <c r="Q726" s="57"/>
      <c r="R726" s="60" t="n">
        <f aca="false">IF(BT726=1,0,IFERROR(VLOOKUP(BR726,'Gebinde-Kategorie'!$A$5:$M$45,13,0)+0,0))</f>
        <v>12</v>
      </c>
      <c r="S726" s="61"/>
      <c r="T726" s="62" t="s">
        <v>179</v>
      </c>
      <c r="U726" s="62"/>
      <c r="V726" s="62"/>
      <c r="W726" s="55"/>
      <c r="X726" s="57"/>
      <c r="Y726" s="57"/>
      <c r="Z726" s="55" t="n">
        <f aca="false">IF(A726="","",IF(AND(Parameter!$B$21="Ja",ISNUMBER(W726)),W726,IF(BV726="2+3",IF(ISNUMBER(SEARCH("grosser Artikel",BO726)),2,IFERROR(VLOOKUP(BR726,Parameter!$F$35:$G$64,2,0),2)),IF(OR(BV726="Nein",BV726=""),"-",BV726))))</f>
        <v>2</v>
      </c>
      <c r="AA726" s="62"/>
      <c r="AB726" s="63"/>
      <c r="AC726" s="57" t="n">
        <f aca="false">AR726</f>
        <v>4</v>
      </c>
      <c r="AD726" s="57" t="n">
        <f aca="false">MAX(AR726,H726)</f>
        <v>4</v>
      </c>
      <c r="AE726" s="64"/>
      <c r="AF726" s="57" t="n">
        <f aca="false">IF(LEFT(Cockpit!$C$5,1)="A",H726,IF(CA726=1,CB726,IF(LEFT(Cockpit!$C$5,1)="B",AJ726,MAX(AJ726,H726))))</f>
        <v>0</v>
      </c>
      <c r="AG726" s="57" t="n">
        <f aca="false">IF(BT726=1,0,ROUNDUP(AF726/BS726,0))</f>
        <v>0</v>
      </c>
      <c r="AH726" s="59" t="n">
        <f aca="false">IF(CH726&gt;0,CH726*MAX(1,AF726/X726),IF(BT726=1,IF(AF726&lt;=0,0,BW726*MAX(1,IF(H726&gt;0,AF726/H726,1))),IF(R726&gt;0,AG726/R726,0))/MAX(0.1,N(Parameter!$M$21)))</f>
        <v>0</v>
      </c>
      <c r="AI726" s="57" t="n">
        <f aca="false">AF726*G726</f>
        <v>0</v>
      </c>
      <c r="AJ726" s="57" t="n">
        <f aca="false">ROUNDUP(MAX(J726/IF(BZ726&gt;0,BZ726,MAX(0.1,N(Cockpit!$C$6))),CC726)/BS726,0)*BS726</f>
        <v>4</v>
      </c>
      <c r="AK726" s="58" t="n">
        <f aca="false">IF(AH726&gt;0,J726/AH726,-1)</f>
        <v>-1</v>
      </c>
      <c r="AL726" s="58" t="str">
        <f aca="false">IF(AND(OR(BY726="L1",BY726="L23"),AH726&gt;0),SUMIFS($AH$7:$AH$1843,$BY$7:$BY$1843,BY726,$AK$7:$AK$1843,"&gt;"&amp;AK726)+SUMIFS($AH$7:$AH$1843,$BY$7:$BY$1843,BY726,$AK$7:$AK$1843,AK726,$BQ$7:$BQ$1843,"&lt;="&amp;BQ726),"")</f>
        <v/>
      </c>
      <c r="AM726" s="65" t="n">
        <f aca="false">IF(AL726="",0,MAX(0,MIN(1,(IF(BY726="L1",Parameter!$E$5,Parameter!$E$6+Parameter!$E$7)-(AL726-AH726))/AH726)))</f>
        <v>0</v>
      </c>
      <c r="AN726" s="57" t="n">
        <f aca="false">IF(LEFT(Cockpit!$I$5,1)="A",H726,IF(CA726=1,CB726,IF(LEFT(Cockpit!$I$5,1)="B",AR726,MAX(AR726,H726))))</f>
        <v>4</v>
      </c>
      <c r="AO726" s="57" t="n">
        <f aca="false">IF(BT726=1,0,ROUNDUP(AN726/BS726,0))</f>
        <v>1</v>
      </c>
      <c r="AP726" s="59" t="n">
        <f aca="false">IF(CH726&gt;0,CH726*MAX(1,AN726/X726),IF(BT726=1,IF(AN726&lt;=0,0,BW726*MAX(1,IF(H726&gt;0,AN726/H726,1))),IF(R726&gt;0,AO726/R726,0))/MAX(0.1,N(Parameter!$M$21)))</f>
        <v>0.0833333333333333</v>
      </c>
      <c r="AQ726" s="57" t="n">
        <f aca="false">AN726*G726</f>
        <v>1868.4</v>
      </c>
      <c r="AR726" s="57" t="n">
        <f aca="false">ROUNDUP(MAX(J726/IF(BZ726&gt;0,BZ726,MAX(0.1,N(Cockpit!$I$6))),CC726)/BS726,0)*BS726</f>
        <v>4</v>
      </c>
      <c r="AS726" s="58" t="n">
        <f aca="false">IF(AP726&gt;0,J726/AP726,-1)</f>
        <v>12</v>
      </c>
      <c r="AT726" s="58" t="n">
        <f aca="false">IF(AND(OR(BY726="L1",BY726="L23"),AP726&gt;0),SUMIFS($AP$7:$AP$1843,$BY$7:$BY$1843,BY726,$AS$7:$AS$1843,"&gt;"&amp;AS726)+SUMIFS($AP$7:$AP$1843,$BY$7:$BY$1843,BY726,$AS$7:$AS$1843,AS726,$BQ$7:$BQ$1843,"&lt;="&amp;BQ726),"")</f>
        <v>81.6982027634202</v>
      </c>
      <c r="AU726" s="65" t="n">
        <f aca="false">IF(AT726="",0,MAX(0,MIN(1,(IF(BY726="L1",Parameter!$E$5,Parameter!$E$6+Parameter!$E$7)-(AT726-AP726))/AP726)))</f>
        <v>1</v>
      </c>
      <c r="AV726" s="57" t="n">
        <f aca="false">IF(LEFT(Cockpit!$O$5,1)="A",H726,IF(CA726=1,CB726,IF(LEFT(Cockpit!$O$5,1)="B",AZ726,MAX(AZ726,H726))))</f>
        <v>4</v>
      </c>
      <c r="AW726" s="57" t="n">
        <f aca="false">IF(BT726=1,0,ROUNDUP(AV726/BS726,0))</f>
        <v>1</v>
      </c>
      <c r="AX726" s="59" t="n">
        <f aca="false">IF(CH726&gt;0,CH726*MAX(1,AV726/X726),IF(BT726=1,IF(AV726&lt;=0,0,BW726*MAX(1,IF(H726&gt;0,AV726/H726,1))),IF(R726&gt;0,AW726/R726,0))/MAX(0.1,N(Parameter!$M$21)))</f>
        <v>0.0833333333333333</v>
      </c>
      <c r="AY726" s="57" t="n">
        <f aca="false">AV726*G726</f>
        <v>1868.4</v>
      </c>
      <c r="AZ726" s="57" t="n">
        <f aca="false">ROUNDUP(MAX(J726/IF(BZ726&gt;0,BZ726,MAX(0.1,N(Cockpit!$O$6))),CC726)/BS726,0)*BS726</f>
        <v>4</v>
      </c>
      <c r="BA726" s="58" t="n">
        <f aca="false">IF(AX726&gt;0,J726/AX726,-1)</f>
        <v>12</v>
      </c>
      <c r="BB726" s="58" t="n">
        <f aca="false">IF(AND(OR(BY726="L1",BY726="L23"),AX726&gt;0),SUMIFS($AX$7:$AX$1843,$BY$7:$BY$1843,BY726,$BA$7:$BA$1843,"&gt;"&amp;BA726)+SUMIFS($AX$7:$AX$1843,$BY$7:$BY$1843,BY726,$BA$7:$BA$1843,BA726,$BQ$7:$BQ$1843,"&lt;="&amp;BQ726),"")</f>
        <v>81.1947062599237</v>
      </c>
      <c r="BC726" s="65" t="n">
        <f aca="false">IF(BB726="",0,MAX(0,MIN(1,(IF(BY726="L1",Parameter!$E$5,Parameter!$E$6+Parameter!$E$7)-(BB726-AX726))/AX726)))</f>
        <v>1</v>
      </c>
      <c r="BD726" s="55" t="str">
        <f aca="false">IF(AH726&lt;=0,"",IF(BY726="Aussen","Aussenlager",IF(BY726="-","Nicht im Lift",IF(AM726&gt;=1,"Lift",IF(AM726&lt;=0,"Aussenlager","teilweise")))))</f>
        <v/>
      </c>
      <c r="BE726" s="55" t="str">
        <f aca="false">IF(AP726&lt;=0,"",IF(BY726="Aussen","Aussenlager",IF(BY726="-","Nicht im Lift",IF(AU726&gt;=1,"Lift",IF(AU726&lt;=0,"Aussenlager","teilweise")))))</f>
        <v>Lift</v>
      </c>
      <c r="BF726" s="55" t="str">
        <f aca="false">IF(AX726&lt;=0,"",IF(BY726="Aussen","Aussenlager",IF(BY726="-","Nicht im Lift",IF(BC726&gt;=1,"Lift",IF(BC726&lt;=0,"Aussenlager","teilweise")))))</f>
        <v>Lift</v>
      </c>
      <c r="BG726" s="55" t="str">
        <f aca="false">IF(A726="","",IF(BP726=1,"Neu; ","")&amp;IF(AND(BP726=0,BK726&lt;0),"negativer Bestand (Export "&amp;BK726&amp;"); ","")&amp;IF(J726&lt;=0,"Kein Verbrauch; ","")&amp;IF(CH726&gt;0,"Lift "&amp;W726&amp;" lt. Liftbericht (Fach "&amp;X726&amp;" Stk); ",IF(BU726=1,"Gebinde geschätzt ("&amp;T726&amp;"); ",IF(BT726=1,"Lose – Tablare geschätzt; ","")))&amp;IF(H726&gt;AR726,"Überbestand "&amp;ROUND(H726-AR726,0)&amp;" Stk / CHF "&amp;ROUND((H726-AR726)*G726,0)&amp;"; ","")&amp;IF(AND(CA726=1,CB726&lt;CC726),"MAX &lt; MB+LG; ","")&amp;IF(AND(CG726&gt;0,CF726*10&gt;CG726),"zu hoch für Tablar; ","")&amp;IF(AND(BP726=0,OR(CA726=1,AA726&lt;&gt;"",U726&lt;&gt;"",V726&lt;&gt;"",AB726&lt;&gt;"")),"manuell übersteuert; ","")&amp;IF(AND(BT726=0,R726=0),"Gebinde unbekannt / Stellmass fehlt; ","")&amp;IF(AND(BT726=0,N(V726)&lt;=0,N(Q726)&lt;=0),"Menge pro Gebinde fehlt (Ist = 1 Gebinde); ","")&amp;BO726)</f>
        <v>Gebinde geschätzt (Mittel); Menge pro Gebinde fehlt (Ist = 1 Gebinde); </v>
      </c>
      <c r="BH726" s="55"/>
      <c r="BI726" s="55"/>
      <c r="BJ726" s="62"/>
      <c r="BK726" s="57" t="n">
        <v>0</v>
      </c>
      <c r="BL726" s="57" t="n">
        <v>0</v>
      </c>
      <c r="BM726" s="56" t="n">
        <v>0</v>
      </c>
      <c r="BN726" s="57" t="n">
        <v>1</v>
      </c>
      <c r="BO726" s="55"/>
      <c r="BP726" s="60" t="n">
        <v>0</v>
      </c>
      <c r="BQ726" s="60" t="n">
        <v>726</v>
      </c>
      <c r="BR726" s="55" t="str">
        <f aca="false">IF(U726&lt;&gt;"",UPPER(TRIM(U726)),IF(BU726=1,UPPER(VLOOKUP(T726,Parameter!$I$27:$K$29,2,0)),IF(P726="","LOSE",P726)))</f>
        <v>S61</v>
      </c>
      <c r="BS726" s="57" t="n">
        <f aca="false">IF(BR726="LOSE",1,IF(N(V726)&gt;0,V726,IF(BU726=1,MAX(1,N(VLOOKUP(T726,Parameter!$I$27:$K$29,3,0)),H726,N(N726)),IF(N(Q726)&gt;0,Q726,MAX(1,H726)))))</f>
        <v>4</v>
      </c>
      <c r="BT726" s="60" t="n">
        <f aca="false">IF(BR726="LOSE",1,0)</f>
        <v>0</v>
      </c>
      <c r="BU726" s="60" t="n">
        <f aca="false">IF(AND(U726="",OR(P726="",P726="LOSE"),T726&lt;&gt;"",N(S726)&lt;=0,ISNUMBER(MATCH(T726,Parameter!$I$27:$I$29,0))),1,0)</f>
        <v>1</v>
      </c>
      <c r="BV726" s="55" t="str">
        <f aca="false">IF(AND(Parameter!$B$19="Ja",E726&lt;&gt;"",ISNUMBER(MATCH(E726,Parameter!$I$35:$I$52,0))),VLOOKUP(E726,Parameter!$I$35:$J$52,2,0),IFERROR(VLOOKUP(D726,Parameter!$A$35:$C$64,2,0),"Nein"))</f>
        <v>2+3</v>
      </c>
      <c r="BW726" s="59" t="n">
        <f aca="false">IF(BT726=0,0,IF(N(S726)&gt;0,S726,IFERROR(VLOOKUP(D726,Parameter!$A$35:$C$64,3,0)+0,0)))</f>
        <v>0</v>
      </c>
      <c r="BX726" s="55" t="n">
        <f aca="false">IF(AA726&lt;&gt;"",AA726,Z726)</f>
        <v>2</v>
      </c>
      <c r="BY726" s="55" t="str">
        <f aca="false">IF(BX726=1,"L1",IF(OR(BX726=2,BX726=3),"L23",IF(BX726="Aussen","Aussen","-")))</f>
        <v>L23</v>
      </c>
      <c r="BZ726" s="66" t="n">
        <f aca="false">IF(N(AB726)&gt;0,AB726,0)</f>
        <v>0</v>
      </c>
      <c r="CA726" s="60" t="n">
        <f aca="false">IF(ISNUMBER(AE726),1,0)</f>
        <v>0</v>
      </c>
      <c r="CB726" s="57" t="n">
        <f aca="false">N(AE726)</f>
        <v>0</v>
      </c>
      <c r="CC726" s="57" t="n">
        <f aca="false">N(M726)+N(N726)</f>
        <v>1</v>
      </c>
      <c r="CD726" s="57" t="n">
        <f aca="false">ROUNDUP(H726/BS726,0)</f>
        <v>0</v>
      </c>
      <c r="CE726" s="57" t="n">
        <f aca="false">ROUNDUP(CB726/BS726,0)</f>
        <v>0</v>
      </c>
      <c r="CF726" s="60" t="n">
        <f aca="false">IF(BT726=1,0,IFERROR(VLOOKUP(BR726,'Gebinde-Kategorie'!$A$5:$M$45,5,0)+0,0))</f>
        <v>11</v>
      </c>
      <c r="CG726" s="60" t="n">
        <f aca="false">IFERROR(IF(OR(BX726=1,BX726=2,BX726=3),N(INDEX(Parameter!$I$5:$I$7,BX726)),0),0)</f>
        <v>0</v>
      </c>
      <c r="CH726" s="59" t="n">
        <f aca="false">IF(AND(Parameter!$B$21="Ja",ISNUMBER(W726),N(X726)&gt;0),IFERROR(N(INDEX(Parameter!$L$5:$L$7,W726))*INDEX(Parameter!$E$5:$E$7,W726)*X726/SUMIFS($X$7:$X$1843,$W$7:$W$1843,W726),0),0)</f>
        <v>0</v>
      </c>
    </row>
    <row r="727" customFormat="false" ht="15" hidden="false" customHeight="false" outlineLevel="0" collapsed="false">
      <c r="A727" s="55" t="s">
        <v>1442</v>
      </c>
      <c r="B727" s="55" t="s">
        <v>1443</v>
      </c>
      <c r="C727" s="55" t="s">
        <v>164</v>
      </c>
      <c r="D727" s="55" t="s">
        <v>184</v>
      </c>
      <c r="E727" s="55" t="s">
        <v>185</v>
      </c>
      <c r="F727" s="55" t="s">
        <v>218</v>
      </c>
      <c r="G727" s="56" t="n">
        <v>141.03</v>
      </c>
      <c r="H727" s="57" t="n">
        <f aca="false">MAX(0,IF(AND(Parameter!$B$21="Ja",ISNUMBER(Y727)),Y727,IF(Parameter!$B$20="Jahresanfang 2025 + Export",BL727+BK727,BK727)))</f>
        <v>12</v>
      </c>
      <c r="I727" s="57" t="n">
        <f aca="false">H727*G727</f>
        <v>1692.36</v>
      </c>
      <c r="J727" s="57" t="n">
        <f aca="false">BN727*Parameter!$B$18</f>
        <v>1</v>
      </c>
      <c r="K727" s="58" t="n">
        <v>11.5</v>
      </c>
      <c r="L727" s="59" t="n">
        <v>0.0869565217391304</v>
      </c>
      <c r="M727" s="57" t="n">
        <v>0</v>
      </c>
      <c r="N727" s="57" t="n">
        <v>1</v>
      </c>
      <c r="O727" s="60" t="n">
        <v>28</v>
      </c>
      <c r="P727" s="55" t="s">
        <v>302</v>
      </c>
      <c r="Q727" s="57" t="n">
        <v>15</v>
      </c>
      <c r="R727" s="60" t="n">
        <f aca="false">IF(BT727=1,0,IFERROR(VLOOKUP(BR727,'Gebinde-Kategorie'!$A$5:$M$45,13,0)+0,0))</f>
        <v>26</v>
      </c>
      <c r="S727" s="61"/>
      <c r="T727" s="62"/>
      <c r="U727" s="62"/>
      <c r="V727" s="62"/>
      <c r="W727" s="55"/>
      <c r="X727" s="57"/>
      <c r="Y727" s="57"/>
      <c r="Z727" s="55" t="n">
        <f aca="false">IF(A727="","",IF(AND(Parameter!$B$21="Ja",ISNUMBER(W727)),W727,IF(BV727="2+3",IF(ISNUMBER(SEARCH("grosser Artikel",BO727)),2,IFERROR(VLOOKUP(BR727,Parameter!$F$35:$G$64,2,0),2)),IF(OR(BV727="Nein",BV727=""),"-",BV727))))</f>
        <v>3</v>
      </c>
      <c r="AA727" s="62"/>
      <c r="AB727" s="63"/>
      <c r="AC727" s="57" t="n">
        <f aca="false">AR727</f>
        <v>15</v>
      </c>
      <c r="AD727" s="57" t="n">
        <f aca="false">MAX(AR727,H727)</f>
        <v>15</v>
      </c>
      <c r="AE727" s="64"/>
      <c r="AF727" s="57" t="n">
        <f aca="false">IF(LEFT(Cockpit!$C$5,1)="A",H727,IF(CA727=1,CB727,IF(LEFT(Cockpit!$C$5,1)="B",AJ727,MAX(AJ727,H727))))</f>
        <v>12</v>
      </c>
      <c r="AG727" s="57" t="n">
        <f aca="false">IF(BT727=1,0,ROUNDUP(AF727/BS727,0))</f>
        <v>1</v>
      </c>
      <c r="AH727" s="59" t="n">
        <f aca="false">IF(CH727&gt;0,CH727*MAX(1,AF727/X727),IF(BT727=1,IF(AF727&lt;=0,0,BW727*MAX(1,IF(H727&gt;0,AF727/H727,1))),IF(R727&gt;0,AG727/R727,0))/MAX(0.1,N(Parameter!$M$21)))</f>
        <v>0.0384615384615385</v>
      </c>
      <c r="AI727" s="57" t="n">
        <f aca="false">AF727*G727</f>
        <v>1692.36</v>
      </c>
      <c r="AJ727" s="57" t="n">
        <f aca="false">ROUNDUP(MAX(J727/IF(BZ727&gt;0,BZ727,MAX(0.1,N(Cockpit!$C$6))),CC727)/BS727,0)*BS727</f>
        <v>15</v>
      </c>
      <c r="AK727" s="58" t="n">
        <f aca="false">IF(AH727&gt;0,J727/AH727,-1)</f>
        <v>26</v>
      </c>
      <c r="AL727" s="58" t="n">
        <f aca="false">IF(AND(OR(BY727="L1",BY727="L23"),AH727&gt;0),SUMIFS($AH$7:$AH$1843,$BY$7:$BY$1843,BY727,$AK$7:$AK$1843,"&gt;"&amp;AK727)+SUMIFS($AH$7:$AH$1843,$BY$7:$BY$1843,BY727,$AK$7:$AK$1843,AK727,$BQ$7:$BQ$1843,"&lt;="&amp;BQ727),"")</f>
        <v>48.4984375527854</v>
      </c>
      <c r="AM727" s="65" t="n">
        <f aca="false">IF(AL727="",0,MAX(0,MIN(1,(IF(BY727="L1",Parameter!$E$5,Parameter!$E$6+Parameter!$E$7)-(AL727-AH727))/AH727)))</f>
        <v>1</v>
      </c>
      <c r="AN727" s="57" t="n">
        <f aca="false">IF(LEFT(Cockpit!$I$5,1)="A",H727,IF(CA727=1,CB727,IF(LEFT(Cockpit!$I$5,1)="B",AR727,MAX(AR727,H727))))</f>
        <v>15</v>
      </c>
      <c r="AO727" s="57" t="n">
        <f aca="false">IF(BT727=1,0,ROUNDUP(AN727/BS727,0))</f>
        <v>1</v>
      </c>
      <c r="AP727" s="59" t="n">
        <f aca="false">IF(CH727&gt;0,CH727*MAX(1,AN727/X727),IF(BT727=1,IF(AN727&lt;=0,0,BW727*MAX(1,IF(H727&gt;0,AN727/H727,1))),IF(R727&gt;0,AO727/R727,0))/MAX(0.1,N(Parameter!$M$21)))</f>
        <v>0.0384615384615385</v>
      </c>
      <c r="AQ727" s="57" t="n">
        <f aca="false">AN727*G727</f>
        <v>2115.45</v>
      </c>
      <c r="AR727" s="57" t="n">
        <f aca="false">ROUNDUP(MAX(J727/IF(BZ727&gt;0,BZ727,MAX(0.1,N(Cockpit!$I$6))),CC727)/BS727,0)*BS727</f>
        <v>15</v>
      </c>
      <c r="AS727" s="58" t="n">
        <f aca="false">IF(AP727&gt;0,J727/AP727,-1)</f>
        <v>26</v>
      </c>
      <c r="AT727" s="58" t="n">
        <f aca="false">IF(AND(OR(BY727="L1",BY727="L23"),AP727&gt;0),SUMIFS($AP$7:$AP$1843,$BY$7:$BY$1843,BY727,$AS$7:$AS$1843,"&gt;"&amp;AS727)+SUMIFS($AP$7:$AP$1843,$BY$7:$BY$1843,BY727,$AS$7:$AS$1843,AS727,$BQ$7:$BQ$1843,"&lt;="&amp;BQ727),"")</f>
        <v>73.6725617377791</v>
      </c>
      <c r="AU727" s="65" t="n">
        <f aca="false">IF(AT727="",0,MAX(0,MIN(1,(IF(BY727="L1",Parameter!$E$5,Parameter!$E$6+Parameter!$E$7)-(AT727-AP727))/AP727)))</f>
        <v>1</v>
      </c>
      <c r="AV727" s="57" t="n">
        <f aca="false">IF(LEFT(Cockpit!$O$5,1)="A",H727,IF(CA727=1,CB727,IF(LEFT(Cockpit!$O$5,1)="B",AZ727,MAX(AZ727,H727))))</f>
        <v>15</v>
      </c>
      <c r="AW727" s="57" t="n">
        <f aca="false">IF(BT727=1,0,ROUNDUP(AV727/BS727,0))</f>
        <v>1</v>
      </c>
      <c r="AX727" s="59" t="n">
        <f aca="false">IF(CH727&gt;0,CH727*MAX(1,AV727/X727),IF(BT727=1,IF(AV727&lt;=0,0,BW727*MAX(1,IF(H727&gt;0,AV727/H727,1))),IF(R727&gt;0,AW727/R727,0))/MAX(0.1,N(Parameter!$M$21)))</f>
        <v>0.0384615384615385</v>
      </c>
      <c r="AY727" s="57" t="n">
        <f aca="false">AV727*G727</f>
        <v>2115.45</v>
      </c>
      <c r="AZ727" s="57" t="n">
        <f aca="false">ROUNDUP(MAX(J727/IF(BZ727&gt;0,BZ727,MAX(0.1,N(Cockpit!$O$6))),CC727)/BS727,0)*BS727</f>
        <v>15</v>
      </c>
      <c r="BA727" s="58" t="n">
        <f aca="false">IF(AX727&gt;0,J727/AX727,-1)</f>
        <v>26</v>
      </c>
      <c r="BB727" s="58" t="n">
        <f aca="false">IF(AND(OR(BY727="L1",BY727="L23"),AX727&gt;0),SUMIFS($AX$7:$AX$1843,$BY$7:$BY$1843,BY727,$BA$7:$BA$1843,"&gt;"&amp;BA727)+SUMIFS($AX$7:$AX$1843,$BY$7:$BY$1843,BY727,$BA$7:$BA$1843,BA727,$BQ$7:$BQ$1843,"&lt;="&amp;BQ727),"")</f>
        <v>69.1690652342826</v>
      </c>
      <c r="BC727" s="65" t="n">
        <f aca="false">IF(BB727="",0,MAX(0,MIN(1,(IF(BY727="L1",Parameter!$E$5,Parameter!$E$6+Parameter!$E$7)-(BB727-AX727))/AX727)))</f>
        <v>1</v>
      </c>
      <c r="BD727" s="55" t="str">
        <f aca="false">IF(AH727&lt;=0,"",IF(BY727="Aussen","Aussenlager",IF(BY727="-","Nicht im Lift",IF(AM727&gt;=1,"Lift",IF(AM727&lt;=0,"Aussenlager","teilweise")))))</f>
        <v>Lift</v>
      </c>
      <c r="BE727" s="55" t="str">
        <f aca="false">IF(AP727&lt;=0,"",IF(BY727="Aussen","Aussenlager",IF(BY727="-","Nicht im Lift",IF(AU727&gt;=1,"Lift",IF(AU727&lt;=0,"Aussenlager","teilweise")))))</f>
        <v>Lift</v>
      </c>
      <c r="BF727" s="55" t="str">
        <f aca="false">IF(AX727&lt;=0,"",IF(BY727="Aussen","Aussenlager",IF(BY727="-","Nicht im Lift",IF(BC727&gt;=1,"Lift",IF(BC727&lt;=0,"Aussenlager","teilweise")))))</f>
        <v>Lift</v>
      </c>
      <c r="BG727" s="55" t="str">
        <f aca="false">IF(A727="","",IF(BP727=1,"Neu; ","")&amp;IF(AND(BP727=0,BK727&lt;0),"negativer Bestand (Export "&amp;BK727&amp;"); ","")&amp;IF(J727&lt;=0,"Kein Verbrauch; ","")&amp;IF(CH727&gt;0,"Lift "&amp;W727&amp;" lt. Liftbericht (Fach "&amp;X727&amp;" Stk); ",IF(BU727=1,"Gebinde geschätzt ("&amp;T727&amp;"); ",IF(BT727=1,"Lose – Tablare geschätzt; ","")))&amp;IF(H727&gt;AR727,"Überbestand "&amp;ROUND(H727-AR727,0)&amp;" Stk / CHF "&amp;ROUND((H727-AR727)*G727,0)&amp;"; ","")&amp;IF(AND(CA727=1,CB727&lt;CC727),"MAX &lt; MB+LG; ","")&amp;IF(AND(CG727&gt;0,CF727*10&gt;CG727),"zu hoch für Tablar; ","")&amp;IF(AND(BP727=0,OR(CA727=1,AA727&lt;&gt;"",U727&lt;&gt;"",V727&lt;&gt;"",AB727&lt;&gt;"")),"manuell übersteuert; ","")&amp;IF(AND(BT727=0,R727=0),"Gebinde unbekannt / Stellmass fehlt; ","")&amp;IF(AND(BT727=0,N(V727)&lt;=0,N(Q727)&lt;=0),"Menge pro Gebinde fehlt (Ist = 1 Gebinde); ","")&amp;BO727)</f>
        <v/>
      </c>
      <c r="BH727" s="55"/>
      <c r="BI727" s="55"/>
      <c r="BJ727" s="62"/>
      <c r="BK727" s="57" t="n">
        <v>0</v>
      </c>
      <c r="BL727" s="57" t="n">
        <v>12</v>
      </c>
      <c r="BM727" s="56" t="n">
        <v>0</v>
      </c>
      <c r="BN727" s="57" t="n">
        <v>1</v>
      </c>
      <c r="BO727" s="55"/>
      <c r="BP727" s="60" t="n">
        <v>0</v>
      </c>
      <c r="BQ727" s="60" t="n">
        <v>727</v>
      </c>
      <c r="BR727" s="55" t="str">
        <f aca="false">IF(U727&lt;&gt;"",UPPER(TRIM(U727)),IF(BU727=1,UPPER(VLOOKUP(T727,Parameter!$I$27:$K$29,2,0)),IF(P727="","LOSE",P727)))</f>
        <v>S51</v>
      </c>
      <c r="BS727" s="57" t="n">
        <f aca="false">IF(BR727="LOSE",1,IF(N(V727)&gt;0,V727,IF(BU727=1,MAX(1,N(VLOOKUP(T727,Parameter!$I$27:$K$29,3,0)),H727,N(N727)),IF(N(Q727)&gt;0,Q727,MAX(1,H727)))))</f>
        <v>15</v>
      </c>
      <c r="BT727" s="60" t="n">
        <f aca="false">IF(BR727="LOSE",1,0)</f>
        <v>0</v>
      </c>
      <c r="BU727" s="60" t="n">
        <f aca="false">IF(AND(U727="",OR(P727="",P727="LOSE"),T727&lt;&gt;"",N(S727)&lt;=0,ISNUMBER(MATCH(T727,Parameter!$I$27:$I$29,0))),1,0)</f>
        <v>0</v>
      </c>
      <c r="BV727" s="55" t="str">
        <f aca="false">IF(AND(Parameter!$B$19="Ja",E727&lt;&gt;"",ISNUMBER(MATCH(E727,Parameter!$I$35:$I$52,0))),VLOOKUP(E727,Parameter!$I$35:$J$52,2,0),IFERROR(VLOOKUP(D727,Parameter!$A$35:$C$64,2,0),"Nein"))</f>
        <v>2+3</v>
      </c>
      <c r="BW727" s="59" t="n">
        <f aca="false">IF(BT727=0,0,IF(N(S727)&gt;0,S727,IFERROR(VLOOKUP(D727,Parameter!$A$35:$C$64,3,0)+0,0)))</f>
        <v>0</v>
      </c>
      <c r="BX727" s="55" t="n">
        <f aca="false">IF(AA727&lt;&gt;"",AA727,Z727)</f>
        <v>3</v>
      </c>
      <c r="BY727" s="55" t="str">
        <f aca="false">IF(BX727=1,"L1",IF(OR(BX727=2,BX727=3),"L23",IF(BX727="Aussen","Aussen","-")))</f>
        <v>L23</v>
      </c>
      <c r="BZ727" s="66" t="n">
        <f aca="false">IF(N(AB727)&gt;0,AB727,0)</f>
        <v>0</v>
      </c>
      <c r="CA727" s="60" t="n">
        <f aca="false">IF(ISNUMBER(AE727),1,0)</f>
        <v>0</v>
      </c>
      <c r="CB727" s="57" t="n">
        <f aca="false">N(AE727)</f>
        <v>0</v>
      </c>
      <c r="CC727" s="57" t="n">
        <f aca="false">N(M727)+N(N727)</f>
        <v>1</v>
      </c>
      <c r="CD727" s="57" t="n">
        <f aca="false">ROUNDUP(H727/BS727,0)</f>
        <v>1</v>
      </c>
      <c r="CE727" s="57" t="n">
        <f aca="false">ROUNDUP(CB727/BS727,0)</f>
        <v>0</v>
      </c>
      <c r="CF727" s="60" t="n">
        <f aca="false">IF(BT727=1,0,IFERROR(VLOOKUP(BR727,'Gebinde-Kategorie'!$A$5:$M$45,5,0)+0,0))</f>
        <v>11</v>
      </c>
      <c r="CG727" s="60" t="n">
        <f aca="false">IFERROR(IF(OR(BX727=1,BX727=2,BX727=3),N(INDEX(Parameter!$I$5:$I$7,BX727)),0),0)</f>
        <v>0</v>
      </c>
      <c r="CH727" s="59" t="n">
        <f aca="false">IF(AND(Parameter!$B$21="Ja",ISNUMBER(W727),N(X727)&gt;0),IFERROR(N(INDEX(Parameter!$L$5:$L$7,W727))*INDEX(Parameter!$E$5:$E$7,W727)*X727/SUMIFS($X$7:$X$1843,$W$7:$W$1843,W727),0),0)</f>
        <v>0</v>
      </c>
    </row>
    <row r="728" customFormat="false" ht="15" hidden="false" customHeight="false" outlineLevel="0" collapsed="false">
      <c r="A728" s="55" t="s">
        <v>1444</v>
      </c>
      <c r="B728" s="55" t="s">
        <v>1445</v>
      </c>
      <c r="C728" s="55" t="s">
        <v>164</v>
      </c>
      <c r="D728" s="55" t="s">
        <v>184</v>
      </c>
      <c r="E728" s="55"/>
      <c r="F728" s="55" t="s">
        <v>218</v>
      </c>
      <c r="G728" s="56" t="n">
        <v>0</v>
      </c>
      <c r="H728" s="57" t="n">
        <f aca="false">MAX(0,IF(AND(Parameter!$B$21="Ja",ISNUMBER(Y728)),Y728,IF(Parameter!$B$20="Jahresanfang 2025 + Export",BL728+BK728,BK728)))</f>
        <v>0</v>
      </c>
      <c r="I728" s="57" t="n">
        <f aca="false">H728*G728</f>
        <v>0</v>
      </c>
      <c r="J728" s="57" t="n">
        <f aca="false">BN728*Parameter!$B$18</f>
        <v>0</v>
      </c>
      <c r="K728" s="58" t="n">
        <v>0.5</v>
      </c>
      <c r="L728" s="59" t="n">
        <v>0</v>
      </c>
      <c r="M728" s="57" t="n">
        <v>0</v>
      </c>
      <c r="N728" s="57" t="n">
        <v>1</v>
      </c>
      <c r="O728" s="60" t="n">
        <v>14</v>
      </c>
      <c r="P728" s="55" t="s">
        <v>168</v>
      </c>
      <c r="Q728" s="57"/>
      <c r="R728" s="60" t="n">
        <f aca="false">IF(BT728=1,0,IFERROR(VLOOKUP(BR728,'Gebinde-Kategorie'!$A$5:$M$45,13,0)+0,0))</f>
        <v>26</v>
      </c>
      <c r="S728" s="61"/>
      <c r="T728" s="62" t="s">
        <v>275</v>
      </c>
      <c r="U728" s="62"/>
      <c r="V728" s="62"/>
      <c r="W728" s="55"/>
      <c r="X728" s="57"/>
      <c r="Y728" s="57"/>
      <c r="Z728" s="55" t="n">
        <f aca="false">IF(A728="","",IF(AND(Parameter!$B$21="Ja",ISNUMBER(W728)),W728,IF(BV728="2+3",IF(ISNUMBER(SEARCH("grosser Artikel",BO728)),2,IFERROR(VLOOKUP(BR728,Parameter!$F$35:$G$64,2,0),2)),IF(OR(BV728="Nein",BV728=""),"-",BV728))))</f>
        <v>3</v>
      </c>
      <c r="AA728" s="62"/>
      <c r="AB728" s="63"/>
      <c r="AC728" s="57" t="n">
        <f aca="false">AR728</f>
        <v>20</v>
      </c>
      <c r="AD728" s="57" t="n">
        <f aca="false">MAX(AR728,H728)</f>
        <v>20</v>
      </c>
      <c r="AE728" s="64"/>
      <c r="AF728" s="57" t="n">
        <f aca="false">IF(LEFT(Cockpit!$C$5,1)="A",H728,IF(CA728=1,CB728,IF(LEFT(Cockpit!$C$5,1)="B",AJ728,MAX(AJ728,H728))))</f>
        <v>0</v>
      </c>
      <c r="AG728" s="57" t="n">
        <f aca="false">IF(BT728=1,0,ROUNDUP(AF728/BS728,0))</f>
        <v>0</v>
      </c>
      <c r="AH728" s="59" t="n">
        <f aca="false">IF(CH728&gt;0,CH728*MAX(1,AF728/X728),IF(BT728=1,IF(AF728&lt;=0,0,BW728*MAX(1,IF(H728&gt;0,AF728/H728,1))),IF(R728&gt;0,AG728/R728,0))/MAX(0.1,N(Parameter!$M$21)))</f>
        <v>0</v>
      </c>
      <c r="AI728" s="57" t="n">
        <f aca="false">AF728*G728</f>
        <v>0</v>
      </c>
      <c r="AJ728" s="57" t="n">
        <f aca="false">ROUNDUP(MAX(J728/IF(BZ728&gt;0,BZ728,MAX(0.1,N(Cockpit!$C$6))),CC728)/BS728,0)*BS728</f>
        <v>20</v>
      </c>
      <c r="AK728" s="58" t="n">
        <f aca="false">IF(AH728&gt;0,J728/AH728,-1)</f>
        <v>-1</v>
      </c>
      <c r="AL728" s="58" t="str">
        <f aca="false">IF(AND(OR(BY728="L1",BY728="L23"),AH728&gt;0),SUMIFS($AH$7:$AH$1843,$BY$7:$BY$1843,BY728,$AK$7:$AK$1843,"&gt;"&amp;AK728)+SUMIFS($AH$7:$AH$1843,$BY$7:$BY$1843,BY728,$AK$7:$AK$1843,AK728,$BQ$7:$BQ$1843,"&lt;="&amp;BQ728),"")</f>
        <v/>
      </c>
      <c r="AM728" s="65" t="n">
        <f aca="false">IF(AL728="",0,MAX(0,MIN(1,(IF(BY728="L1",Parameter!$E$5,Parameter!$E$6+Parameter!$E$7)-(AL728-AH728))/AH728)))</f>
        <v>0</v>
      </c>
      <c r="AN728" s="57" t="n">
        <f aca="false">IF(LEFT(Cockpit!$I$5,1)="A",H728,IF(CA728=1,CB728,IF(LEFT(Cockpit!$I$5,1)="B",AR728,MAX(AR728,H728))))</f>
        <v>20</v>
      </c>
      <c r="AO728" s="57" t="n">
        <f aca="false">IF(BT728=1,0,ROUNDUP(AN728/BS728,0))</f>
        <v>1</v>
      </c>
      <c r="AP728" s="59" t="n">
        <f aca="false">IF(CH728&gt;0,CH728*MAX(1,AN728/X728),IF(BT728=1,IF(AN728&lt;=0,0,BW728*MAX(1,IF(H728&gt;0,AN728/H728,1))),IF(R728&gt;0,AO728/R728,0))/MAX(0.1,N(Parameter!$M$21)))</f>
        <v>0.0384615384615385</v>
      </c>
      <c r="AQ728" s="57" t="n">
        <f aca="false">AN728*G728</f>
        <v>0</v>
      </c>
      <c r="AR728" s="57" t="n">
        <f aca="false">ROUNDUP(MAX(J728/IF(BZ728&gt;0,BZ728,MAX(0.1,N(Cockpit!$I$6))),CC728)/BS728,0)*BS728</f>
        <v>20</v>
      </c>
      <c r="AS728" s="58" t="n">
        <f aca="false">IF(AP728&gt;0,J728/AP728,-1)</f>
        <v>0</v>
      </c>
      <c r="AT728" s="58" t="n">
        <f aca="false">IF(AND(OR(BY728="L1",BY728="L23"),AP728&gt;0),SUMIFS($AP$7:$AP$1843,$BY$7:$BY$1843,BY728,$AS$7:$AS$1843,"&gt;"&amp;AS728)+SUMIFS($AP$7:$AP$1843,$BY$7:$BY$1843,BY728,$AS$7:$AS$1843,AS728,$BQ$7:$BQ$1843,"&lt;="&amp;BQ728),"")</f>
        <v>117.242128644303</v>
      </c>
      <c r="AU728" s="65" t="n">
        <f aca="false">IF(AT728="",0,MAX(0,MIN(1,(IF(BY728="L1",Parameter!$E$5,Parameter!$E$6+Parameter!$E$7)-(AT728-AP728))/AP728)))</f>
        <v>0</v>
      </c>
      <c r="AV728" s="57" t="n">
        <f aca="false">IF(LEFT(Cockpit!$O$5,1)="A",H728,IF(CA728=1,CB728,IF(LEFT(Cockpit!$O$5,1)="B",AZ728,MAX(AZ728,H728))))</f>
        <v>20</v>
      </c>
      <c r="AW728" s="57" t="n">
        <f aca="false">IF(BT728=1,0,ROUNDUP(AV728/BS728,0))</f>
        <v>1</v>
      </c>
      <c r="AX728" s="59" t="n">
        <f aca="false">IF(CH728&gt;0,CH728*MAX(1,AV728/X728),IF(BT728=1,IF(AV728&lt;=0,0,BW728*MAX(1,IF(H728&gt;0,AV728/H728,1))),IF(R728&gt;0,AW728/R728,0))/MAX(0.1,N(Parameter!$M$21)))</f>
        <v>0.0384615384615385</v>
      </c>
      <c r="AY728" s="57" t="n">
        <f aca="false">AV728*G728</f>
        <v>0</v>
      </c>
      <c r="AZ728" s="57" t="n">
        <f aca="false">ROUNDUP(MAX(J728/IF(BZ728&gt;0,BZ728,MAX(0.1,N(Cockpit!$O$6))),CC728)/BS728,0)*BS728</f>
        <v>20</v>
      </c>
      <c r="BA728" s="58" t="n">
        <f aca="false">IF(AX728&gt;0,J728/AX728,-1)</f>
        <v>0</v>
      </c>
      <c r="BB728" s="58" t="n">
        <f aca="false">IF(AND(OR(BY728="L1",BY728="L23"),AX728&gt;0),SUMIFS($AX$7:$AX$1843,$BY$7:$BY$1843,BY728,$BA$7:$BA$1843,"&gt;"&amp;BA728)+SUMIFS($AX$7:$AX$1843,$BY$7:$BY$1843,BY728,$BA$7:$BA$1843,BA728,$BQ$7:$BQ$1843,"&lt;="&amp;BQ728),"")</f>
        <v>108.071965474139</v>
      </c>
      <c r="BC728" s="65" t="n">
        <f aca="false">IF(BB728="",0,MAX(0,MIN(1,(IF(BY728="L1",Parameter!$E$5,Parameter!$E$6+Parameter!$E$7)-(BB728-AX728))/AX728)))</f>
        <v>0</v>
      </c>
      <c r="BD728" s="55" t="str">
        <f aca="false">IF(AH728&lt;=0,"",IF(BY728="Aussen","Aussenlager",IF(BY728="-","Nicht im Lift",IF(AM728&gt;=1,"Lift",IF(AM728&lt;=0,"Aussenlager","teilweise")))))</f>
        <v/>
      </c>
      <c r="BE728" s="55" t="str">
        <f aca="false">IF(AP728&lt;=0,"",IF(BY728="Aussen","Aussenlager",IF(BY728="-","Nicht im Lift",IF(AU728&gt;=1,"Lift",IF(AU728&lt;=0,"Aussenlager","teilweise")))))</f>
        <v>Aussenlager</v>
      </c>
      <c r="BF728" s="55" t="str">
        <f aca="false">IF(AX728&lt;=0,"",IF(BY728="Aussen","Aussenlager",IF(BY728="-","Nicht im Lift",IF(BC728&gt;=1,"Lift",IF(BC728&lt;=0,"Aussenlager","teilweise")))))</f>
        <v>Aussenlager</v>
      </c>
      <c r="BG728" s="55" t="str">
        <f aca="false">IF(A728="","",IF(BP728=1,"Neu; ","")&amp;IF(AND(BP728=0,BK728&lt;0),"negativer Bestand (Export "&amp;BK728&amp;"); ","")&amp;IF(J728&lt;=0,"Kein Verbrauch; ","")&amp;IF(CH728&gt;0,"Lift "&amp;W728&amp;" lt. Liftbericht (Fach "&amp;X728&amp;" Stk); ",IF(BU728=1,"Gebinde geschätzt ("&amp;T728&amp;"); ",IF(BT728=1,"Lose – Tablare geschätzt; ","")))&amp;IF(H728&gt;AR728,"Überbestand "&amp;ROUND(H728-AR728,0)&amp;" Stk / CHF "&amp;ROUND((H728-AR728)*G728,0)&amp;"; ","")&amp;IF(AND(CA728=1,CB728&lt;CC728),"MAX &lt; MB+LG; ","")&amp;IF(AND(CG728&gt;0,CF728*10&gt;CG728),"zu hoch für Tablar; ","")&amp;IF(AND(BP728=0,OR(CA728=1,AA728&lt;&gt;"",U728&lt;&gt;"",V728&lt;&gt;"",AB728&lt;&gt;"")),"manuell übersteuert; ","")&amp;IF(AND(BT728=0,R728=0),"Gebinde unbekannt / Stellmass fehlt; ","")&amp;IF(AND(BT728=0,N(V728)&lt;=0,N(Q728)&lt;=0),"Menge pro Gebinde fehlt (Ist = 1 Gebinde); ","")&amp;BO728)</f>
        <v>negativer Bestand (Export -1); Kein Verbrauch; Gebinde geschätzt (Klein); Menge pro Gebinde fehlt (Ist = 1 Gebinde); </v>
      </c>
      <c r="BH728" s="55"/>
      <c r="BI728" s="55"/>
      <c r="BJ728" s="62"/>
      <c r="BK728" s="57" t="n">
        <v>-1</v>
      </c>
      <c r="BL728" s="57" t="n">
        <v>1</v>
      </c>
      <c r="BM728" s="56" t="n">
        <v>0</v>
      </c>
      <c r="BN728" s="57" t="n">
        <v>0</v>
      </c>
      <c r="BO728" s="55"/>
      <c r="BP728" s="60" t="n">
        <v>0</v>
      </c>
      <c r="BQ728" s="60" t="n">
        <v>728</v>
      </c>
      <c r="BR728" s="55" t="str">
        <f aca="false">IF(U728&lt;&gt;"",UPPER(TRIM(U728)),IF(BU728=1,UPPER(VLOOKUP(T728,Parameter!$I$27:$K$29,2,0)),IF(P728="","LOSE",P728)))</f>
        <v>S51</v>
      </c>
      <c r="BS728" s="57" t="n">
        <f aca="false">IF(BR728="LOSE",1,IF(N(V728)&gt;0,V728,IF(BU728=1,MAX(1,N(VLOOKUP(T728,Parameter!$I$27:$K$29,3,0)),H728,N(N728)),IF(N(Q728)&gt;0,Q728,MAX(1,H728)))))</f>
        <v>20</v>
      </c>
      <c r="BT728" s="60" t="n">
        <f aca="false">IF(BR728="LOSE",1,0)</f>
        <v>0</v>
      </c>
      <c r="BU728" s="60" t="n">
        <f aca="false">IF(AND(U728="",OR(P728="",P728="LOSE"),T728&lt;&gt;"",N(S728)&lt;=0,ISNUMBER(MATCH(T728,Parameter!$I$27:$I$29,0))),1,0)</f>
        <v>1</v>
      </c>
      <c r="BV728" s="55" t="str">
        <f aca="false">IF(AND(Parameter!$B$19="Ja",E728&lt;&gt;"",ISNUMBER(MATCH(E728,Parameter!$I$35:$I$52,0))),VLOOKUP(E728,Parameter!$I$35:$J$52,2,0),IFERROR(VLOOKUP(D728,Parameter!$A$35:$C$64,2,0),"Nein"))</f>
        <v>2+3</v>
      </c>
      <c r="BW728" s="59" t="n">
        <f aca="false">IF(BT728=0,0,IF(N(S728)&gt;0,S728,IFERROR(VLOOKUP(D728,Parameter!$A$35:$C$64,3,0)+0,0)))</f>
        <v>0</v>
      </c>
      <c r="BX728" s="55" t="n">
        <f aca="false">IF(AA728&lt;&gt;"",AA728,Z728)</f>
        <v>3</v>
      </c>
      <c r="BY728" s="55" t="str">
        <f aca="false">IF(BX728=1,"L1",IF(OR(BX728=2,BX728=3),"L23",IF(BX728="Aussen","Aussen","-")))</f>
        <v>L23</v>
      </c>
      <c r="BZ728" s="66" t="n">
        <f aca="false">IF(N(AB728)&gt;0,AB728,0)</f>
        <v>0</v>
      </c>
      <c r="CA728" s="60" t="n">
        <f aca="false">IF(ISNUMBER(AE728),1,0)</f>
        <v>0</v>
      </c>
      <c r="CB728" s="57" t="n">
        <f aca="false">N(AE728)</f>
        <v>0</v>
      </c>
      <c r="CC728" s="57" t="n">
        <f aca="false">N(M728)+N(N728)</f>
        <v>1</v>
      </c>
      <c r="CD728" s="57" t="n">
        <f aca="false">ROUNDUP(H728/BS728,0)</f>
        <v>0</v>
      </c>
      <c r="CE728" s="57" t="n">
        <f aca="false">ROUNDUP(CB728/BS728,0)</f>
        <v>0</v>
      </c>
      <c r="CF728" s="60" t="n">
        <f aca="false">IF(BT728=1,0,IFERROR(VLOOKUP(BR728,'Gebinde-Kategorie'!$A$5:$M$45,5,0)+0,0))</f>
        <v>11</v>
      </c>
      <c r="CG728" s="60" t="n">
        <f aca="false">IFERROR(IF(OR(BX728=1,BX728=2,BX728=3),N(INDEX(Parameter!$I$5:$I$7,BX728)),0),0)</f>
        <v>0</v>
      </c>
      <c r="CH728" s="59" t="n">
        <f aca="false">IF(AND(Parameter!$B$21="Ja",ISNUMBER(W728),N(X728)&gt;0),IFERROR(N(INDEX(Parameter!$L$5:$L$7,W728))*INDEX(Parameter!$E$5:$E$7,W728)*X728/SUMIFS($X$7:$X$1843,$W$7:$W$1843,W728),0),0)</f>
        <v>0</v>
      </c>
    </row>
    <row r="729" customFormat="false" ht="15" hidden="false" customHeight="false" outlineLevel="0" collapsed="false">
      <c r="A729" s="55" t="s">
        <v>1446</v>
      </c>
      <c r="B729" s="55" t="s">
        <v>1054</v>
      </c>
      <c r="C729" s="55" t="s">
        <v>164</v>
      </c>
      <c r="D729" s="55" t="s">
        <v>850</v>
      </c>
      <c r="E729" s="55" t="s">
        <v>185</v>
      </c>
      <c r="F729" s="55" t="s">
        <v>218</v>
      </c>
      <c r="G729" s="56" t="n">
        <v>4.4</v>
      </c>
      <c r="H729" s="57" t="n">
        <f aca="false">MAX(0,IF(AND(Parameter!$B$21="Ja",ISNUMBER(Y729)),Y729,IF(Parameter!$B$20="Jahresanfang 2025 + Export",BL729+BK729,BK729)))</f>
        <v>0</v>
      </c>
      <c r="I729" s="57" t="n">
        <f aca="false">H729*G729</f>
        <v>0</v>
      </c>
      <c r="J729" s="57" t="n">
        <f aca="false">BN729*Parameter!$B$18</f>
        <v>24</v>
      </c>
      <c r="K729" s="58" t="n">
        <v>0</v>
      </c>
      <c r="L729" s="59" t="n">
        <v>0</v>
      </c>
      <c r="M729" s="57" t="n">
        <v>0</v>
      </c>
      <c r="N729" s="57" t="n">
        <v>12</v>
      </c>
      <c r="O729" s="60" t="n">
        <v>14</v>
      </c>
      <c r="P729" s="55" t="s">
        <v>302</v>
      </c>
      <c r="Q729" s="57" t="n">
        <v>24</v>
      </c>
      <c r="R729" s="60" t="n">
        <f aca="false">IF(BT729=1,0,IFERROR(VLOOKUP(BR729,'Gebinde-Kategorie'!$A$5:$M$45,13,0)+0,0))</f>
        <v>26</v>
      </c>
      <c r="S729" s="61"/>
      <c r="T729" s="62"/>
      <c r="U729" s="62"/>
      <c r="V729" s="62"/>
      <c r="W729" s="55"/>
      <c r="X729" s="57"/>
      <c r="Y729" s="57"/>
      <c r="Z729" s="55" t="n">
        <f aca="false">IF(A729="","",IF(AND(Parameter!$B$21="Ja",ISNUMBER(W729)),W729,IF(BV729="2+3",IF(ISNUMBER(SEARCH("grosser Artikel",BO729)),2,IFERROR(VLOOKUP(BR729,Parameter!$F$35:$G$64,2,0),2)),IF(OR(BV729="Nein",BV729=""),"-",BV729))))</f>
        <v>3</v>
      </c>
      <c r="AA729" s="62"/>
      <c r="AB729" s="63"/>
      <c r="AC729" s="57" t="n">
        <f aca="false">AR729</f>
        <v>24</v>
      </c>
      <c r="AD729" s="57" t="n">
        <f aca="false">MAX(AR729,H729)</f>
        <v>24</v>
      </c>
      <c r="AE729" s="64"/>
      <c r="AF729" s="57" t="n">
        <f aca="false">IF(LEFT(Cockpit!$C$5,1)="A",H729,IF(CA729=1,CB729,IF(LEFT(Cockpit!$C$5,1)="B",AJ729,MAX(AJ729,H729))))</f>
        <v>0</v>
      </c>
      <c r="AG729" s="57" t="n">
        <f aca="false">IF(BT729=1,0,ROUNDUP(AF729/BS729,0))</f>
        <v>0</v>
      </c>
      <c r="AH729" s="59" t="n">
        <f aca="false">IF(CH729&gt;0,CH729*MAX(1,AF729/X729),IF(BT729=1,IF(AF729&lt;=0,0,BW729*MAX(1,IF(H729&gt;0,AF729/H729,1))),IF(R729&gt;0,AG729/R729,0))/MAX(0.1,N(Parameter!$M$21)))</f>
        <v>0</v>
      </c>
      <c r="AI729" s="57" t="n">
        <f aca="false">AF729*G729</f>
        <v>0</v>
      </c>
      <c r="AJ729" s="57" t="n">
        <f aca="false">ROUNDUP(MAX(J729/IF(BZ729&gt;0,BZ729,MAX(0.1,N(Cockpit!$C$6))),CC729)/BS729,0)*BS729</f>
        <v>24</v>
      </c>
      <c r="AK729" s="58" t="n">
        <f aca="false">IF(AH729&gt;0,J729/AH729,-1)</f>
        <v>-1</v>
      </c>
      <c r="AL729" s="58" t="str">
        <f aca="false">IF(AND(OR(BY729="L1",BY729="L23"),AH729&gt;0),SUMIFS($AH$7:$AH$1843,$BY$7:$BY$1843,BY729,$AK$7:$AK$1843,"&gt;"&amp;AK729)+SUMIFS($AH$7:$AH$1843,$BY$7:$BY$1843,BY729,$AK$7:$AK$1843,AK729,$BQ$7:$BQ$1843,"&lt;="&amp;BQ729),"")</f>
        <v/>
      </c>
      <c r="AM729" s="65" t="n">
        <f aca="false">IF(AL729="",0,MAX(0,MIN(1,(IF(BY729="L1",Parameter!$E$5,Parameter!$E$6+Parameter!$E$7)-(AL729-AH729))/AH729)))</f>
        <v>0</v>
      </c>
      <c r="AN729" s="57" t="n">
        <f aca="false">IF(LEFT(Cockpit!$I$5,1)="A",H729,IF(CA729=1,CB729,IF(LEFT(Cockpit!$I$5,1)="B",AR729,MAX(AR729,H729))))</f>
        <v>24</v>
      </c>
      <c r="AO729" s="57" t="n">
        <f aca="false">IF(BT729=1,0,ROUNDUP(AN729/BS729,0))</f>
        <v>1</v>
      </c>
      <c r="AP729" s="59" t="n">
        <f aca="false">IF(CH729&gt;0,CH729*MAX(1,AN729/X729),IF(BT729=1,IF(AN729&lt;=0,0,BW729*MAX(1,IF(H729&gt;0,AN729/H729,1))),IF(R729&gt;0,AO729/R729,0))/MAX(0.1,N(Parameter!$M$21)))</f>
        <v>0.0384615384615385</v>
      </c>
      <c r="AQ729" s="57" t="n">
        <f aca="false">AN729*G729</f>
        <v>105.6</v>
      </c>
      <c r="AR729" s="57" t="n">
        <f aca="false">ROUNDUP(MAX(J729/IF(BZ729&gt;0,BZ729,MAX(0.1,N(Cockpit!$I$6))),CC729)/BS729,0)*BS729</f>
        <v>24</v>
      </c>
      <c r="AS729" s="58" t="n">
        <f aca="false">IF(AP729&gt;0,J729/AP729,-1)</f>
        <v>624</v>
      </c>
      <c r="AT729" s="58" t="n">
        <f aca="false">IF(AND(OR(BY729="L1",BY729="L23"),AP729&gt;0),SUMIFS($AP$7:$AP$1843,$BY$7:$BY$1843,BY729,$AS$7:$AS$1843,"&gt;"&amp;AS729)+SUMIFS($AP$7:$AP$1843,$BY$7:$BY$1843,BY729,$AS$7:$AS$1843,AS729,$BQ$7:$BQ$1843,"&lt;="&amp;BQ729),"")</f>
        <v>30.3323536367015</v>
      </c>
      <c r="AU729" s="65" t="n">
        <f aca="false">IF(AT729="",0,MAX(0,MIN(1,(IF(BY729="L1",Parameter!$E$5,Parameter!$E$6+Parameter!$E$7)-(AT729-AP729))/AP729)))</f>
        <v>1</v>
      </c>
      <c r="AV729" s="57" t="n">
        <f aca="false">IF(LEFT(Cockpit!$O$5,1)="A",H729,IF(CA729=1,CB729,IF(LEFT(Cockpit!$O$5,1)="B",AZ729,MAX(AZ729,H729))))</f>
        <v>24</v>
      </c>
      <c r="AW729" s="57" t="n">
        <f aca="false">IF(BT729=1,0,ROUNDUP(AV729/BS729,0))</f>
        <v>1</v>
      </c>
      <c r="AX729" s="59" t="n">
        <f aca="false">IF(CH729&gt;0,CH729*MAX(1,AV729/X729),IF(BT729=1,IF(AV729&lt;=0,0,BW729*MAX(1,IF(H729&gt;0,AV729/H729,1))),IF(R729&gt;0,AW729/R729,0))/MAX(0.1,N(Parameter!$M$21)))</f>
        <v>0.0384615384615385</v>
      </c>
      <c r="AY729" s="57" t="n">
        <f aca="false">AV729*G729</f>
        <v>105.6</v>
      </c>
      <c r="AZ729" s="57" t="n">
        <f aca="false">ROUNDUP(MAX(J729/IF(BZ729&gt;0,BZ729,MAX(0.1,N(Cockpit!$O$6))),CC729)/BS729,0)*BS729</f>
        <v>24</v>
      </c>
      <c r="BA729" s="58" t="n">
        <f aca="false">IF(AX729&gt;0,J729/AX729,-1)</f>
        <v>624</v>
      </c>
      <c r="BB729" s="58" t="n">
        <f aca="false">IF(AND(OR(BY729="L1",BY729="L23"),AX729&gt;0),SUMIFS($AX$7:$AX$1843,$BY$7:$BY$1843,BY729,$BA$7:$BA$1843,"&gt;"&amp;BA729)+SUMIFS($AX$7:$AX$1843,$BY$7:$BY$1843,BY729,$BA$7:$BA$1843,BA729,$BQ$7:$BQ$1843,"&lt;="&amp;BQ729),"")</f>
        <v>29.0339853383332</v>
      </c>
      <c r="BC729" s="65" t="n">
        <f aca="false">IF(BB729="",0,MAX(0,MIN(1,(IF(BY729="L1",Parameter!$E$5,Parameter!$E$6+Parameter!$E$7)-(BB729-AX729))/AX729)))</f>
        <v>1</v>
      </c>
      <c r="BD729" s="55" t="str">
        <f aca="false">IF(AH729&lt;=0,"",IF(BY729="Aussen","Aussenlager",IF(BY729="-","Nicht im Lift",IF(AM729&gt;=1,"Lift",IF(AM729&lt;=0,"Aussenlager","teilweise")))))</f>
        <v/>
      </c>
      <c r="BE729" s="55" t="str">
        <f aca="false">IF(AP729&lt;=0,"",IF(BY729="Aussen","Aussenlager",IF(BY729="-","Nicht im Lift",IF(AU729&gt;=1,"Lift",IF(AU729&lt;=0,"Aussenlager","teilweise")))))</f>
        <v>Lift</v>
      </c>
      <c r="BF729" s="55" t="str">
        <f aca="false">IF(AX729&lt;=0,"",IF(BY729="Aussen","Aussenlager",IF(BY729="-","Nicht im Lift",IF(BC729&gt;=1,"Lift",IF(BC729&lt;=0,"Aussenlager","teilweise")))))</f>
        <v>Lift</v>
      </c>
      <c r="BG729" s="55" t="str">
        <f aca="false">IF(A729="","",IF(BP729=1,"Neu; ","")&amp;IF(AND(BP729=0,BK729&lt;0),"negativer Bestand (Export "&amp;BK729&amp;"); ","")&amp;IF(J729&lt;=0,"Kein Verbrauch; ","")&amp;IF(CH729&gt;0,"Lift "&amp;W729&amp;" lt. Liftbericht (Fach "&amp;X729&amp;" Stk); ",IF(BU729=1,"Gebinde geschätzt ("&amp;T729&amp;"); ",IF(BT729=1,"Lose – Tablare geschätzt; ","")))&amp;IF(H729&gt;AR729,"Überbestand "&amp;ROUND(H729-AR729,0)&amp;" Stk / CHF "&amp;ROUND((H729-AR729)*G729,0)&amp;"; ","")&amp;IF(AND(CA729=1,CB729&lt;CC729),"MAX &lt; MB+LG; ","")&amp;IF(AND(CG729&gt;0,CF729*10&gt;CG729),"zu hoch für Tablar; ","")&amp;IF(AND(BP729=0,OR(CA729=1,AA729&lt;&gt;"",U729&lt;&gt;"",V729&lt;&gt;"",AB729&lt;&gt;"")),"manuell übersteuert; ","")&amp;IF(AND(BT729=0,R729=0),"Gebinde unbekannt / Stellmass fehlt; ","")&amp;IF(AND(BT729=0,N(V729)&lt;=0,N(Q729)&lt;=0),"Menge pro Gebinde fehlt (Ist = 1 Gebinde); ","")&amp;BO729)</f>
        <v/>
      </c>
      <c r="BH729" s="55"/>
      <c r="BI729" s="55"/>
      <c r="BJ729" s="62"/>
      <c r="BK729" s="57" t="n">
        <v>0</v>
      </c>
      <c r="BL729" s="57" t="n">
        <v>0</v>
      </c>
      <c r="BM729" s="56" t="n">
        <v>0</v>
      </c>
      <c r="BN729" s="57" t="n">
        <v>24</v>
      </c>
      <c r="BO729" s="55"/>
      <c r="BP729" s="60" t="n">
        <v>0</v>
      </c>
      <c r="BQ729" s="60" t="n">
        <v>729</v>
      </c>
      <c r="BR729" s="55" t="str">
        <f aca="false">IF(U729&lt;&gt;"",UPPER(TRIM(U729)),IF(BU729=1,UPPER(VLOOKUP(T729,Parameter!$I$27:$K$29,2,0)),IF(P729="","LOSE",P729)))</f>
        <v>S51</v>
      </c>
      <c r="BS729" s="57" t="n">
        <f aca="false">IF(BR729="LOSE",1,IF(N(V729)&gt;0,V729,IF(BU729=1,MAX(1,N(VLOOKUP(T729,Parameter!$I$27:$K$29,3,0)),H729,N(N729)),IF(N(Q729)&gt;0,Q729,MAX(1,H729)))))</f>
        <v>24</v>
      </c>
      <c r="BT729" s="60" t="n">
        <f aca="false">IF(BR729="LOSE",1,0)</f>
        <v>0</v>
      </c>
      <c r="BU729" s="60" t="n">
        <f aca="false">IF(AND(U729="",OR(P729="",P729="LOSE"),T729&lt;&gt;"",N(S729)&lt;=0,ISNUMBER(MATCH(T729,Parameter!$I$27:$I$29,0))),1,0)</f>
        <v>0</v>
      </c>
      <c r="BV729" s="55" t="str">
        <f aca="false">IF(AND(Parameter!$B$19="Ja",E729&lt;&gt;"",ISNUMBER(MATCH(E729,Parameter!$I$35:$I$52,0))),VLOOKUP(E729,Parameter!$I$35:$J$52,2,0),IFERROR(VLOOKUP(D729,Parameter!$A$35:$C$64,2,0),"Nein"))</f>
        <v>2+3</v>
      </c>
      <c r="BW729" s="59" t="n">
        <f aca="false">IF(BT729=0,0,IF(N(S729)&gt;0,S729,IFERROR(VLOOKUP(D729,Parameter!$A$35:$C$64,3,0)+0,0)))</f>
        <v>0</v>
      </c>
      <c r="BX729" s="55" t="n">
        <f aca="false">IF(AA729&lt;&gt;"",AA729,Z729)</f>
        <v>3</v>
      </c>
      <c r="BY729" s="55" t="str">
        <f aca="false">IF(BX729=1,"L1",IF(OR(BX729=2,BX729=3),"L23",IF(BX729="Aussen","Aussen","-")))</f>
        <v>L23</v>
      </c>
      <c r="BZ729" s="66" t="n">
        <f aca="false">IF(N(AB729)&gt;0,AB729,0)</f>
        <v>0</v>
      </c>
      <c r="CA729" s="60" t="n">
        <f aca="false">IF(ISNUMBER(AE729),1,0)</f>
        <v>0</v>
      </c>
      <c r="CB729" s="57" t="n">
        <f aca="false">N(AE729)</f>
        <v>0</v>
      </c>
      <c r="CC729" s="57" t="n">
        <f aca="false">N(M729)+N(N729)</f>
        <v>12</v>
      </c>
      <c r="CD729" s="57" t="n">
        <f aca="false">ROUNDUP(H729/BS729,0)</f>
        <v>0</v>
      </c>
      <c r="CE729" s="57" t="n">
        <f aca="false">ROUNDUP(CB729/BS729,0)</f>
        <v>0</v>
      </c>
      <c r="CF729" s="60" t="n">
        <f aca="false">IF(BT729=1,0,IFERROR(VLOOKUP(BR729,'Gebinde-Kategorie'!$A$5:$M$45,5,0)+0,0))</f>
        <v>11</v>
      </c>
      <c r="CG729" s="60" t="n">
        <f aca="false">IFERROR(IF(OR(BX729=1,BX729=2,BX729=3),N(INDEX(Parameter!$I$5:$I$7,BX729)),0),0)</f>
        <v>0</v>
      </c>
      <c r="CH729" s="59" t="n">
        <f aca="false">IF(AND(Parameter!$B$21="Ja",ISNUMBER(W729),N(X729)&gt;0),IFERROR(N(INDEX(Parameter!$L$5:$L$7,W729))*INDEX(Parameter!$E$5:$E$7,W729)*X729/SUMIFS($X$7:$X$1843,$W$7:$W$1843,W729),0),0)</f>
        <v>0</v>
      </c>
    </row>
    <row r="730" customFormat="false" ht="15" hidden="false" customHeight="false" outlineLevel="0" collapsed="false">
      <c r="A730" s="55" t="s">
        <v>1447</v>
      </c>
      <c r="B730" s="55" t="s">
        <v>1448</v>
      </c>
      <c r="C730" s="55" t="s">
        <v>164</v>
      </c>
      <c r="D730" s="55" t="s">
        <v>184</v>
      </c>
      <c r="E730" s="55" t="s">
        <v>185</v>
      </c>
      <c r="F730" s="55" t="s">
        <v>218</v>
      </c>
      <c r="G730" s="56" t="n">
        <v>70.7</v>
      </c>
      <c r="H730" s="57" t="n">
        <f aca="false">MAX(0,IF(AND(Parameter!$B$21="Ja",ISNUMBER(Y730)),Y730,IF(Parameter!$B$20="Jahresanfang 2025 + Export",BL730+BK730,BK730)))</f>
        <v>172</v>
      </c>
      <c r="I730" s="57" t="n">
        <f aca="false">H730*G730</f>
        <v>12160.4</v>
      </c>
      <c r="J730" s="57" t="n">
        <f aca="false">BN730*Parameter!$B$18</f>
        <v>1</v>
      </c>
      <c r="K730" s="58" t="n">
        <v>172</v>
      </c>
      <c r="L730" s="59" t="n">
        <v>0.00581395348837209</v>
      </c>
      <c r="M730" s="57" t="n">
        <v>0</v>
      </c>
      <c r="N730" s="57" t="n">
        <v>10</v>
      </c>
      <c r="O730" s="60" t="n">
        <v>105</v>
      </c>
      <c r="P730" s="55" t="s">
        <v>302</v>
      </c>
      <c r="Q730" s="57" t="n">
        <v>181</v>
      </c>
      <c r="R730" s="60" t="n">
        <f aca="false">IF(BT730=1,0,IFERROR(VLOOKUP(BR730,'Gebinde-Kategorie'!$A$5:$M$45,13,0)+0,0))</f>
        <v>26</v>
      </c>
      <c r="S730" s="61"/>
      <c r="T730" s="62"/>
      <c r="U730" s="62"/>
      <c r="V730" s="62"/>
      <c r="W730" s="55"/>
      <c r="X730" s="57"/>
      <c r="Y730" s="57"/>
      <c r="Z730" s="55" t="n">
        <f aca="false">IF(A730="","",IF(AND(Parameter!$B$21="Ja",ISNUMBER(W730)),W730,IF(BV730="2+3",IF(ISNUMBER(SEARCH("grosser Artikel",BO730)),2,IFERROR(VLOOKUP(BR730,Parameter!$F$35:$G$64,2,0),2)),IF(OR(BV730="Nein",BV730=""),"-",BV730))))</f>
        <v>3</v>
      </c>
      <c r="AA730" s="62"/>
      <c r="AB730" s="63"/>
      <c r="AC730" s="57" t="n">
        <f aca="false">AR730</f>
        <v>181</v>
      </c>
      <c r="AD730" s="57" t="n">
        <f aca="false">MAX(AR730,H730)</f>
        <v>181</v>
      </c>
      <c r="AE730" s="64"/>
      <c r="AF730" s="57" t="n">
        <f aca="false">IF(LEFT(Cockpit!$C$5,1)="A",H730,IF(CA730=1,CB730,IF(LEFT(Cockpit!$C$5,1)="B",AJ730,MAX(AJ730,H730))))</f>
        <v>172</v>
      </c>
      <c r="AG730" s="57" t="n">
        <f aca="false">IF(BT730=1,0,ROUNDUP(AF730/BS730,0))</f>
        <v>1</v>
      </c>
      <c r="AH730" s="59" t="n">
        <f aca="false">IF(CH730&gt;0,CH730*MAX(1,AF730/X730),IF(BT730=1,IF(AF730&lt;=0,0,BW730*MAX(1,IF(H730&gt;0,AF730/H730,1))),IF(R730&gt;0,AG730/R730,0))/MAX(0.1,N(Parameter!$M$21)))</f>
        <v>0.0384615384615385</v>
      </c>
      <c r="AI730" s="57" t="n">
        <f aca="false">AF730*G730</f>
        <v>12160.4</v>
      </c>
      <c r="AJ730" s="57" t="n">
        <f aca="false">ROUNDUP(MAX(J730/IF(BZ730&gt;0,BZ730,MAX(0.1,N(Cockpit!$C$6))),CC730)/BS730,0)*BS730</f>
        <v>181</v>
      </c>
      <c r="AK730" s="58" t="n">
        <f aca="false">IF(AH730&gt;0,J730/AH730,-1)</f>
        <v>26</v>
      </c>
      <c r="AL730" s="58" t="n">
        <f aca="false">IF(AND(OR(BY730="L1",BY730="L23"),AH730&gt;0),SUMIFS($AH$7:$AH$1843,$BY$7:$BY$1843,BY730,$AK$7:$AK$1843,"&gt;"&amp;AK730)+SUMIFS($AH$7:$AH$1843,$BY$7:$BY$1843,BY730,$AK$7:$AK$1843,AK730,$BQ$7:$BQ$1843,"&lt;="&amp;BQ730),"")</f>
        <v>48.5368990912469</v>
      </c>
      <c r="AM730" s="65" t="n">
        <f aca="false">IF(AL730="",0,MAX(0,MIN(1,(IF(BY730="L1",Parameter!$E$5,Parameter!$E$6+Parameter!$E$7)-(AL730-AH730))/AH730)))</f>
        <v>1</v>
      </c>
      <c r="AN730" s="57" t="n">
        <f aca="false">IF(LEFT(Cockpit!$I$5,1)="A",H730,IF(CA730=1,CB730,IF(LEFT(Cockpit!$I$5,1)="B",AR730,MAX(AR730,H730))))</f>
        <v>181</v>
      </c>
      <c r="AO730" s="57" t="n">
        <f aca="false">IF(BT730=1,0,ROUNDUP(AN730/BS730,0))</f>
        <v>1</v>
      </c>
      <c r="AP730" s="59" t="n">
        <f aca="false">IF(CH730&gt;0,CH730*MAX(1,AN730/X730),IF(BT730=1,IF(AN730&lt;=0,0,BW730*MAX(1,IF(H730&gt;0,AN730/H730,1))),IF(R730&gt;0,AO730/R730,0))/MAX(0.1,N(Parameter!$M$21)))</f>
        <v>0.0384615384615385</v>
      </c>
      <c r="AQ730" s="57" t="n">
        <f aca="false">AN730*G730</f>
        <v>12796.7</v>
      </c>
      <c r="AR730" s="57" t="n">
        <f aca="false">ROUNDUP(MAX(J730/IF(BZ730&gt;0,BZ730,MAX(0.1,N(Cockpit!$I$6))),CC730)/BS730,0)*BS730</f>
        <v>181</v>
      </c>
      <c r="AS730" s="58" t="n">
        <f aca="false">IF(AP730&gt;0,J730/AP730,-1)</f>
        <v>26</v>
      </c>
      <c r="AT730" s="58" t="n">
        <f aca="false">IF(AND(OR(BY730="L1",BY730="L23"),AP730&gt;0),SUMIFS($AP$7:$AP$1843,$BY$7:$BY$1843,BY730,$AS$7:$AS$1843,"&gt;"&amp;AS730)+SUMIFS($AP$7:$AP$1843,$BY$7:$BY$1843,BY730,$AS$7:$AS$1843,AS730,$BQ$7:$BQ$1843,"&lt;="&amp;BQ730),"")</f>
        <v>73.7110232762407</v>
      </c>
      <c r="AU730" s="65" t="n">
        <f aca="false">IF(AT730="",0,MAX(0,MIN(1,(IF(BY730="L1",Parameter!$E$5,Parameter!$E$6+Parameter!$E$7)-(AT730-AP730))/AP730)))</f>
        <v>1</v>
      </c>
      <c r="AV730" s="57" t="n">
        <f aca="false">IF(LEFT(Cockpit!$O$5,1)="A",H730,IF(CA730=1,CB730,IF(LEFT(Cockpit!$O$5,1)="B",AZ730,MAX(AZ730,H730))))</f>
        <v>181</v>
      </c>
      <c r="AW730" s="57" t="n">
        <f aca="false">IF(BT730=1,0,ROUNDUP(AV730/BS730,0))</f>
        <v>1</v>
      </c>
      <c r="AX730" s="59" t="n">
        <f aca="false">IF(CH730&gt;0,CH730*MAX(1,AV730/X730),IF(BT730=1,IF(AV730&lt;=0,0,BW730*MAX(1,IF(H730&gt;0,AV730/H730,1))),IF(R730&gt;0,AW730/R730,0))/MAX(0.1,N(Parameter!$M$21)))</f>
        <v>0.0384615384615385</v>
      </c>
      <c r="AY730" s="57" t="n">
        <f aca="false">AV730*G730</f>
        <v>12796.7</v>
      </c>
      <c r="AZ730" s="57" t="n">
        <f aca="false">ROUNDUP(MAX(J730/IF(BZ730&gt;0,BZ730,MAX(0.1,N(Cockpit!$O$6))),CC730)/BS730,0)*BS730</f>
        <v>181</v>
      </c>
      <c r="BA730" s="58" t="n">
        <f aca="false">IF(AX730&gt;0,J730/AX730,-1)</f>
        <v>26</v>
      </c>
      <c r="BB730" s="58" t="n">
        <f aca="false">IF(AND(OR(BY730="L1",BY730="L23"),AX730&gt;0),SUMIFS($AX$7:$AX$1843,$BY$7:$BY$1843,BY730,$BA$7:$BA$1843,"&gt;"&amp;BA730)+SUMIFS($AX$7:$AX$1843,$BY$7:$BY$1843,BY730,$BA$7:$BA$1843,BA730,$BQ$7:$BQ$1843,"&lt;="&amp;BQ730),"")</f>
        <v>69.2075267727442</v>
      </c>
      <c r="BC730" s="65" t="n">
        <f aca="false">IF(BB730="",0,MAX(0,MIN(1,(IF(BY730="L1",Parameter!$E$5,Parameter!$E$6+Parameter!$E$7)-(BB730-AX730))/AX730)))</f>
        <v>1</v>
      </c>
      <c r="BD730" s="55" t="str">
        <f aca="false">IF(AH730&lt;=0,"",IF(BY730="Aussen","Aussenlager",IF(BY730="-","Nicht im Lift",IF(AM730&gt;=1,"Lift",IF(AM730&lt;=0,"Aussenlager","teilweise")))))</f>
        <v>Lift</v>
      </c>
      <c r="BE730" s="55" t="str">
        <f aca="false">IF(AP730&lt;=0,"",IF(BY730="Aussen","Aussenlager",IF(BY730="-","Nicht im Lift",IF(AU730&gt;=1,"Lift",IF(AU730&lt;=0,"Aussenlager","teilweise")))))</f>
        <v>Lift</v>
      </c>
      <c r="BF730" s="55" t="str">
        <f aca="false">IF(AX730&lt;=0,"",IF(BY730="Aussen","Aussenlager",IF(BY730="-","Nicht im Lift",IF(BC730&gt;=1,"Lift",IF(BC730&lt;=0,"Aussenlager","teilweise")))))</f>
        <v>Lift</v>
      </c>
      <c r="BG730" s="55" t="str">
        <f aca="false">IF(A730="","",IF(BP730=1,"Neu; ","")&amp;IF(AND(BP730=0,BK730&lt;0),"negativer Bestand (Export "&amp;BK730&amp;"); ","")&amp;IF(J730&lt;=0,"Kein Verbrauch; ","")&amp;IF(CH730&gt;0,"Lift "&amp;W730&amp;" lt. Liftbericht (Fach "&amp;X730&amp;" Stk); ",IF(BU730=1,"Gebinde geschätzt ("&amp;T730&amp;"); ",IF(BT730=1,"Lose – Tablare geschätzt; ","")))&amp;IF(H730&gt;AR730,"Überbestand "&amp;ROUND(H730-AR730,0)&amp;" Stk / CHF "&amp;ROUND((H730-AR730)*G730,0)&amp;"; ","")&amp;IF(AND(CA730=1,CB730&lt;CC730),"MAX &lt; MB+LG; ","")&amp;IF(AND(CG730&gt;0,CF730*10&gt;CG730),"zu hoch für Tablar; ","")&amp;IF(AND(BP730=0,OR(CA730=1,AA730&lt;&gt;"",U730&lt;&gt;"",V730&lt;&gt;"",AB730&lt;&gt;"")),"manuell übersteuert; ","")&amp;IF(AND(BT730=0,R730=0),"Gebinde unbekannt / Stellmass fehlt; ","")&amp;IF(AND(BT730=0,N(V730)&lt;=0,N(Q730)&lt;=0),"Menge pro Gebinde fehlt (Ist = 1 Gebinde); ","")&amp;BO730)</f>
        <v>Überbestand</v>
      </c>
      <c r="BH730" s="55"/>
      <c r="BI730" s="55"/>
      <c r="BJ730" s="62"/>
      <c r="BK730" s="57" t="n">
        <v>0</v>
      </c>
      <c r="BL730" s="57" t="n">
        <v>172</v>
      </c>
      <c r="BM730" s="56" t="n">
        <v>0</v>
      </c>
      <c r="BN730" s="57" t="n">
        <v>1</v>
      </c>
      <c r="BO730" s="55" t="s">
        <v>392</v>
      </c>
      <c r="BP730" s="60" t="n">
        <v>0</v>
      </c>
      <c r="BQ730" s="60" t="n">
        <v>730</v>
      </c>
      <c r="BR730" s="55" t="str">
        <f aca="false">IF(U730&lt;&gt;"",UPPER(TRIM(U730)),IF(BU730=1,UPPER(VLOOKUP(T730,Parameter!$I$27:$K$29,2,0)),IF(P730="","LOSE",P730)))</f>
        <v>S51</v>
      </c>
      <c r="BS730" s="57" t="n">
        <f aca="false">IF(BR730="LOSE",1,IF(N(V730)&gt;0,V730,IF(BU730=1,MAX(1,N(VLOOKUP(T730,Parameter!$I$27:$K$29,3,0)),H730,N(N730)),IF(N(Q730)&gt;0,Q730,MAX(1,H730)))))</f>
        <v>181</v>
      </c>
      <c r="BT730" s="60" t="n">
        <f aca="false">IF(BR730="LOSE",1,0)</f>
        <v>0</v>
      </c>
      <c r="BU730" s="60" t="n">
        <f aca="false">IF(AND(U730="",OR(P730="",P730="LOSE"),T730&lt;&gt;"",N(S730)&lt;=0,ISNUMBER(MATCH(T730,Parameter!$I$27:$I$29,0))),1,0)</f>
        <v>0</v>
      </c>
      <c r="BV730" s="55" t="str">
        <f aca="false">IF(AND(Parameter!$B$19="Ja",E730&lt;&gt;"",ISNUMBER(MATCH(E730,Parameter!$I$35:$I$52,0))),VLOOKUP(E730,Parameter!$I$35:$J$52,2,0),IFERROR(VLOOKUP(D730,Parameter!$A$35:$C$64,2,0),"Nein"))</f>
        <v>2+3</v>
      </c>
      <c r="BW730" s="59" t="n">
        <f aca="false">IF(BT730=0,0,IF(N(S730)&gt;0,S730,IFERROR(VLOOKUP(D730,Parameter!$A$35:$C$64,3,0)+0,0)))</f>
        <v>0</v>
      </c>
      <c r="BX730" s="55" t="n">
        <f aca="false">IF(AA730&lt;&gt;"",AA730,Z730)</f>
        <v>3</v>
      </c>
      <c r="BY730" s="55" t="str">
        <f aca="false">IF(BX730=1,"L1",IF(OR(BX730=2,BX730=3),"L23",IF(BX730="Aussen","Aussen","-")))</f>
        <v>L23</v>
      </c>
      <c r="BZ730" s="66" t="n">
        <f aca="false">IF(N(AB730)&gt;0,AB730,0)</f>
        <v>0</v>
      </c>
      <c r="CA730" s="60" t="n">
        <f aca="false">IF(ISNUMBER(AE730),1,0)</f>
        <v>0</v>
      </c>
      <c r="CB730" s="57" t="n">
        <f aca="false">N(AE730)</f>
        <v>0</v>
      </c>
      <c r="CC730" s="57" t="n">
        <f aca="false">N(M730)+N(N730)</f>
        <v>10</v>
      </c>
      <c r="CD730" s="57" t="n">
        <f aca="false">ROUNDUP(H730/BS730,0)</f>
        <v>1</v>
      </c>
      <c r="CE730" s="57" t="n">
        <f aca="false">ROUNDUP(CB730/BS730,0)</f>
        <v>0</v>
      </c>
      <c r="CF730" s="60" t="n">
        <f aca="false">IF(BT730=1,0,IFERROR(VLOOKUP(BR730,'Gebinde-Kategorie'!$A$5:$M$45,5,0)+0,0))</f>
        <v>11</v>
      </c>
      <c r="CG730" s="60" t="n">
        <f aca="false">IFERROR(IF(OR(BX730=1,BX730=2,BX730=3),N(INDEX(Parameter!$I$5:$I$7,BX730)),0),0)</f>
        <v>0</v>
      </c>
      <c r="CH730" s="59" t="n">
        <f aca="false">IF(AND(Parameter!$B$21="Ja",ISNUMBER(W730),N(X730)&gt;0),IFERROR(N(INDEX(Parameter!$L$5:$L$7,W730))*INDEX(Parameter!$E$5:$E$7,W730)*X730/SUMIFS($X$7:$X$1843,$W$7:$W$1843,W730),0),0)</f>
        <v>0</v>
      </c>
    </row>
    <row r="731" customFormat="false" ht="15" hidden="false" customHeight="false" outlineLevel="0" collapsed="false">
      <c r="A731" s="55" t="s">
        <v>1449</v>
      </c>
      <c r="B731" s="55" t="s">
        <v>1450</v>
      </c>
      <c r="C731" s="55" t="s">
        <v>164</v>
      </c>
      <c r="D731" s="55" t="s">
        <v>173</v>
      </c>
      <c r="E731" s="55"/>
      <c r="F731" s="55" t="s">
        <v>218</v>
      </c>
      <c r="G731" s="56" t="n">
        <v>0</v>
      </c>
      <c r="H731" s="57" t="n">
        <f aca="false">MAX(0,IF(AND(Parameter!$B$21="Ja",ISNUMBER(Y731)),Y731,IF(Parameter!$B$20="Jahresanfang 2025 + Export",BL731+BK731,BK731)))</f>
        <v>0</v>
      </c>
      <c r="I731" s="57" t="n">
        <f aca="false">H731*G731</f>
        <v>0</v>
      </c>
      <c r="J731" s="57" t="n">
        <f aca="false">BN731*Parameter!$B$18</f>
        <v>0</v>
      </c>
      <c r="K731" s="58" t="n">
        <v>0.5</v>
      </c>
      <c r="L731" s="59" t="n">
        <v>0</v>
      </c>
      <c r="M731" s="57" t="n">
        <v>0</v>
      </c>
      <c r="N731" s="57" t="n">
        <v>1</v>
      </c>
      <c r="O731" s="60" t="n">
        <v>90</v>
      </c>
      <c r="P731" s="55" t="s">
        <v>168</v>
      </c>
      <c r="Q731" s="57"/>
      <c r="R731" s="60" t="n">
        <f aca="false">IF(BT731=1,0,IFERROR(VLOOKUP(BR731,'Gebinde-Kategorie'!$A$5:$M$45,13,0)+0,0))</f>
        <v>3</v>
      </c>
      <c r="S731" s="61"/>
      <c r="T731" s="62" t="s">
        <v>189</v>
      </c>
      <c r="U731" s="62"/>
      <c r="V731" s="62"/>
      <c r="W731" s="55"/>
      <c r="X731" s="57"/>
      <c r="Y731" s="57"/>
      <c r="Z731" s="55" t="n">
        <f aca="false">IF(A731="","",IF(AND(Parameter!$B$21="Ja",ISNUMBER(W731)),W731,IF(BV731="2+3",IF(ISNUMBER(SEARCH("grosser Artikel",BO731)),2,IFERROR(VLOOKUP(BR731,Parameter!$F$35:$G$64,2,0),2)),IF(OR(BV731="Nein",BV731=""),"-",BV731))))</f>
        <v>2</v>
      </c>
      <c r="AA731" s="62"/>
      <c r="AB731" s="63"/>
      <c r="AC731" s="57" t="n">
        <f aca="false">AR731</f>
        <v>2</v>
      </c>
      <c r="AD731" s="57" t="n">
        <f aca="false">MAX(AR731,H731)</f>
        <v>2</v>
      </c>
      <c r="AE731" s="64"/>
      <c r="AF731" s="57" t="n">
        <f aca="false">IF(LEFT(Cockpit!$C$5,1)="A",H731,IF(CA731=1,CB731,IF(LEFT(Cockpit!$C$5,1)="B",AJ731,MAX(AJ731,H731))))</f>
        <v>0</v>
      </c>
      <c r="AG731" s="57" t="n">
        <f aca="false">IF(BT731=1,0,ROUNDUP(AF731/BS731,0))</f>
        <v>0</v>
      </c>
      <c r="AH731" s="59" t="n">
        <f aca="false">IF(CH731&gt;0,CH731*MAX(1,AF731/X731),IF(BT731=1,IF(AF731&lt;=0,0,BW731*MAX(1,IF(H731&gt;0,AF731/H731,1))),IF(R731&gt;0,AG731/R731,0))/MAX(0.1,N(Parameter!$M$21)))</f>
        <v>0</v>
      </c>
      <c r="AI731" s="57" t="n">
        <f aca="false">AF731*G731</f>
        <v>0</v>
      </c>
      <c r="AJ731" s="57" t="n">
        <f aca="false">ROUNDUP(MAX(J731/IF(BZ731&gt;0,BZ731,MAX(0.1,N(Cockpit!$C$6))),CC731)/BS731,0)*BS731</f>
        <v>2</v>
      </c>
      <c r="AK731" s="58" t="n">
        <f aca="false">IF(AH731&gt;0,J731/AH731,-1)</f>
        <v>-1</v>
      </c>
      <c r="AL731" s="58" t="str">
        <f aca="false">IF(AND(OR(BY731="L1",BY731="L23"),AH731&gt;0),SUMIFS($AH$7:$AH$1843,$BY$7:$BY$1843,BY731,$AK$7:$AK$1843,"&gt;"&amp;AK731)+SUMIFS($AH$7:$AH$1843,$BY$7:$BY$1843,BY731,$AK$7:$AK$1843,AK731,$BQ$7:$BQ$1843,"&lt;="&amp;BQ731),"")</f>
        <v/>
      </c>
      <c r="AM731" s="65" t="n">
        <f aca="false">IF(AL731="",0,MAX(0,MIN(1,(IF(BY731="L1",Parameter!$E$5,Parameter!$E$6+Parameter!$E$7)-(AL731-AH731))/AH731)))</f>
        <v>0</v>
      </c>
      <c r="AN731" s="57" t="n">
        <f aca="false">IF(LEFT(Cockpit!$I$5,1)="A",H731,IF(CA731=1,CB731,IF(LEFT(Cockpit!$I$5,1)="B",AR731,MAX(AR731,H731))))</f>
        <v>2</v>
      </c>
      <c r="AO731" s="57" t="n">
        <f aca="false">IF(BT731=1,0,ROUNDUP(AN731/BS731,0))</f>
        <v>1</v>
      </c>
      <c r="AP731" s="59" t="n">
        <f aca="false">IF(CH731&gt;0,CH731*MAX(1,AN731/X731),IF(BT731=1,IF(AN731&lt;=0,0,BW731*MAX(1,IF(H731&gt;0,AN731/H731,1))),IF(R731&gt;0,AO731/R731,0))/MAX(0.1,N(Parameter!$M$21)))</f>
        <v>0.333333333333333</v>
      </c>
      <c r="AQ731" s="57" t="n">
        <f aca="false">AN731*G731</f>
        <v>0</v>
      </c>
      <c r="AR731" s="57" t="n">
        <f aca="false">ROUNDUP(MAX(J731/IF(BZ731&gt;0,BZ731,MAX(0.1,N(Cockpit!$I$6))),CC731)/BS731,0)*BS731</f>
        <v>2</v>
      </c>
      <c r="AS731" s="58" t="n">
        <f aca="false">IF(AP731&gt;0,J731/AP731,-1)</f>
        <v>0</v>
      </c>
      <c r="AT731" s="58" t="n">
        <f aca="false">IF(AND(OR(BY731="L1",BY731="L23"),AP731&gt;0),SUMIFS($AP$7:$AP$1843,$BY$7:$BY$1843,BY731,$AS$7:$AS$1843,"&gt;"&amp;AS731)+SUMIFS($AP$7:$AP$1843,$BY$7:$BY$1843,BY731,$AS$7:$AS$1843,AS731,$BQ$7:$BQ$1843,"&lt;="&amp;BQ731),"")</f>
        <v>117.575461977636</v>
      </c>
      <c r="AU731" s="65" t="n">
        <f aca="false">IF(AT731="",0,MAX(0,MIN(1,(IF(BY731="L1",Parameter!$E$5,Parameter!$E$6+Parameter!$E$7)-(AT731-AP731))/AP731)))</f>
        <v>0</v>
      </c>
      <c r="AV731" s="57" t="n">
        <f aca="false">IF(LEFT(Cockpit!$O$5,1)="A",H731,IF(CA731=1,CB731,IF(LEFT(Cockpit!$O$5,1)="B",AZ731,MAX(AZ731,H731))))</f>
        <v>2</v>
      </c>
      <c r="AW731" s="57" t="n">
        <f aca="false">IF(BT731=1,0,ROUNDUP(AV731/BS731,0))</f>
        <v>1</v>
      </c>
      <c r="AX731" s="59" t="n">
        <f aca="false">IF(CH731&gt;0,CH731*MAX(1,AV731/X731),IF(BT731=1,IF(AV731&lt;=0,0,BW731*MAX(1,IF(H731&gt;0,AV731/H731,1))),IF(R731&gt;0,AW731/R731,0))/MAX(0.1,N(Parameter!$M$21)))</f>
        <v>0.333333333333333</v>
      </c>
      <c r="AY731" s="57" t="n">
        <f aca="false">AV731*G731</f>
        <v>0</v>
      </c>
      <c r="AZ731" s="57" t="n">
        <f aca="false">ROUNDUP(MAX(J731/IF(BZ731&gt;0,BZ731,MAX(0.1,N(Cockpit!$O$6))),CC731)/BS731,0)*BS731</f>
        <v>2</v>
      </c>
      <c r="BA731" s="58" t="n">
        <f aca="false">IF(AX731&gt;0,J731/AX731,-1)</f>
        <v>0</v>
      </c>
      <c r="BB731" s="58" t="n">
        <f aca="false">IF(AND(OR(BY731="L1",BY731="L23"),AX731&gt;0),SUMIFS($AX$7:$AX$1843,$BY$7:$BY$1843,BY731,$BA$7:$BA$1843,"&gt;"&amp;BA731)+SUMIFS($AX$7:$AX$1843,$BY$7:$BY$1843,BY731,$BA$7:$BA$1843,BA731,$BQ$7:$BQ$1843,"&lt;="&amp;BQ731),"")</f>
        <v>108.405298807473</v>
      </c>
      <c r="BC731" s="65" t="n">
        <f aca="false">IF(BB731="",0,MAX(0,MIN(1,(IF(BY731="L1",Parameter!$E$5,Parameter!$E$6+Parameter!$E$7)-(BB731-AX731))/AX731)))</f>
        <v>0</v>
      </c>
      <c r="BD731" s="55" t="str">
        <f aca="false">IF(AH731&lt;=0,"",IF(BY731="Aussen","Aussenlager",IF(BY731="-","Nicht im Lift",IF(AM731&gt;=1,"Lift",IF(AM731&lt;=0,"Aussenlager","teilweise")))))</f>
        <v/>
      </c>
      <c r="BE731" s="55" t="str">
        <f aca="false">IF(AP731&lt;=0,"",IF(BY731="Aussen","Aussenlager",IF(BY731="-","Nicht im Lift",IF(AU731&gt;=1,"Lift",IF(AU731&lt;=0,"Aussenlager","teilweise")))))</f>
        <v>Aussenlager</v>
      </c>
      <c r="BF731" s="55" t="str">
        <f aca="false">IF(AX731&lt;=0,"",IF(BY731="Aussen","Aussenlager",IF(BY731="-","Nicht im Lift",IF(BC731&gt;=1,"Lift",IF(BC731&lt;=0,"Aussenlager","teilweise")))))</f>
        <v>Aussenlager</v>
      </c>
      <c r="BG731" s="55" t="str">
        <f aca="false">IF(A731="","",IF(BP731=1,"Neu; ","")&amp;IF(AND(BP731=0,BK731&lt;0),"negativer Bestand (Export "&amp;BK731&amp;"); ","")&amp;IF(J731&lt;=0,"Kein Verbrauch; ","")&amp;IF(CH731&gt;0,"Lift "&amp;W731&amp;" lt. Liftbericht (Fach "&amp;X731&amp;" Stk); ",IF(BU731=1,"Gebinde geschätzt ("&amp;T731&amp;"); ",IF(BT731=1,"Lose – Tablare geschätzt; ","")))&amp;IF(H731&gt;AR731,"Überbestand "&amp;ROUND(H731-AR731,0)&amp;" Stk / CHF "&amp;ROUND((H731-AR731)*G731,0)&amp;"; ","")&amp;IF(AND(CA731=1,CB731&lt;CC731),"MAX &lt; MB+LG; ","")&amp;IF(AND(CG731&gt;0,CF731*10&gt;CG731),"zu hoch für Tablar; ","")&amp;IF(AND(BP731=0,OR(CA731=1,AA731&lt;&gt;"",U731&lt;&gt;"",V731&lt;&gt;"",AB731&lt;&gt;"")),"manuell übersteuert; ","")&amp;IF(AND(BT731=0,R731=0),"Gebinde unbekannt / Stellmass fehlt; ","")&amp;IF(AND(BT731=0,N(V731)&lt;=0,N(Q731)&lt;=0),"Menge pro Gebinde fehlt (Ist = 1 Gebinde); ","")&amp;BO731)</f>
        <v>negativer Bestand (Export -1); Kein Verbrauch; Gebinde geschätzt (Gross); Menge pro Gebinde fehlt (Ist = 1 Gebinde); </v>
      </c>
      <c r="BH731" s="55"/>
      <c r="BI731" s="55"/>
      <c r="BJ731" s="62"/>
      <c r="BK731" s="57" t="n">
        <v>-1</v>
      </c>
      <c r="BL731" s="57" t="n">
        <v>1</v>
      </c>
      <c r="BM731" s="56" t="n">
        <v>0</v>
      </c>
      <c r="BN731" s="57" t="n">
        <v>0</v>
      </c>
      <c r="BO731" s="55"/>
      <c r="BP731" s="60" t="n">
        <v>0</v>
      </c>
      <c r="BQ731" s="60" t="n">
        <v>731</v>
      </c>
      <c r="BR731" s="55" t="str">
        <f aca="false">IF(U731&lt;&gt;"",UPPER(TRIM(U731)),IF(BU731=1,UPPER(VLOOKUP(T731,Parameter!$I$27:$K$29,2,0)),IF(P731="","LOSE",P731)))</f>
        <v>S81</v>
      </c>
      <c r="BS731" s="57" t="n">
        <f aca="false">IF(BR731="LOSE",1,IF(N(V731)&gt;0,V731,IF(BU731=1,MAX(1,N(VLOOKUP(T731,Parameter!$I$27:$K$29,3,0)),H731,N(N731)),IF(N(Q731)&gt;0,Q731,MAX(1,H731)))))</f>
        <v>2</v>
      </c>
      <c r="BT731" s="60" t="n">
        <f aca="false">IF(BR731="LOSE",1,0)</f>
        <v>0</v>
      </c>
      <c r="BU731" s="60" t="n">
        <f aca="false">IF(AND(U731="",OR(P731="",P731="LOSE"),T731&lt;&gt;"",N(S731)&lt;=0,ISNUMBER(MATCH(T731,Parameter!$I$27:$I$29,0))),1,0)</f>
        <v>1</v>
      </c>
      <c r="BV731" s="55" t="str">
        <f aca="false">IF(AND(Parameter!$B$19="Ja",E731&lt;&gt;"",ISNUMBER(MATCH(E731,Parameter!$I$35:$I$52,0))),VLOOKUP(E731,Parameter!$I$35:$J$52,2,0),IFERROR(VLOOKUP(D731,Parameter!$A$35:$C$64,2,0),"Nein"))</f>
        <v>2+3</v>
      </c>
      <c r="BW731" s="59" t="n">
        <f aca="false">IF(BT731=0,0,IF(N(S731)&gt;0,S731,IFERROR(VLOOKUP(D731,Parameter!$A$35:$C$64,3,0)+0,0)))</f>
        <v>0</v>
      </c>
      <c r="BX731" s="55" t="n">
        <f aca="false">IF(AA731&lt;&gt;"",AA731,Z731)</f>
        <v>2</v>
      </c>
      <c r="BY731" s="55" t="str">
        <f aca="false">IF(BX731=1,"L1",IF(OR(BX731=2,BX731=3),"L23",IF(BX731="Aussen","Aussen","-")))</f>
        <v>L23</v>
      </c>
      <c r="BZ731" s="66" t="n">
        <f aca="false">IF(N(AB731)&gt;0,AB731,0)</f>
        <v>0</v>
      </c>
      <c r="CA731" s="60" t="n">
        <f aca="false">IF(ISNUMBER(AE731),1,0)</f>
        <v>0</v>
      </c>
      <c r="CB731" s="57" t="n">
        <f aca="false">N(AE731)</f>
        <v>0</v>
      </c>
      <c r="CC731" s="57" t="n">
        <f aca="false">N(M731)+N(N731)</f>
        <v>1</v>
      </c>
      <c r="CD731" s="57" t="n">
        <f aca="false">ROUNDUP(H731/BS731,0)</f>
        <v>0</v>
      </c>
      <c r="CE731" s="57" t="n">
        <f aca="false">ROUNDUP(CB731/BS731,0)</f>
        <v>0</v>
      </c>
      <c r="CF731" s="60" t="n">
        <f aca="false">IF(BT731=1,0,IFERROR(VLOOKUP(BR731,'Gebinde-Kategorie'!$A$5:$M$45,5,0)+0,0))</f>
        <v>20</v>
      </c>
      <c r="CG731" s="60" t="n">
        <f aca="false">IFERROR(IF(OR(BX731=1,BX731=2,BX731=3),N(INDEX(Parameter!$I$5:$I$7,BX731)),0),0)</f>
        <v>0</v>
      </c>
      <c r="CH731" s="59" t="n">
        <f aca="false">IF(AND(Parameter!$B$21="Ja",ISNUMBER(W731),N(X731)&gt;0),IFERROR(N(INDEX(Parameter!$L$5:$L$7,W731))*INDEX(Parameter!$E$5:$E$7,W731)*X731/SUMIFS($X$7:$X$1843,$W$7:$W$1843,W731),0),0)</f>
        <v>0</v>
      </c>
    </row>
    <row r="732" customFormat="false" ht="15" hidden="false" customHeight="false" outlineLevel="0" collapsed="false">
      <c r="A732" s="55" t="s">
        <v>1451</v>
      </c>
      <c r="B732" s="55" t="s">
        <v>892</v>
      </c>
      <c r="C732" s="55" t="s">
        <v>164</v>
      </c>
      <c r="D732" s="55" t="s">
        <v>184</v>
      </c>
      <c r="E732" s="55" t="s">
        <v>185</v>
      </c>
      <c r="F732" s="55" t="s">
        <v>218</v>
      </c>
      <c r="G732" s="56" t="n">
        <v>22.27</v>
      </c>
      <c r="H732" s="57" t="n">
        <f aca="false">MAX(0,IF(AND(Parameter!$B$21="Ja",ISNUMBER(Y732)),Y732,IF(Parameter!$B$20="Jahresanfang 2025 + Export",BL732+BK732,BK732)))</f>
        <v>13</v>
      </c>
      <c r="I732" s="57" t="n">
        <f aca="false">H732*G732</f>
        <v>289.51</v>
      </c>
      <c r="J732" s="57" t="n">
        <f aca="false">BN732*Parameter!$B$18</f>
        <v>1</v>
      </c>
      <c r="K732" s="58" t="n">
        <v>12.5</v>
      </c>
      <c r="L732" s="59" t="n">
        <v>0.08</v>
      </c>
      <c r="M732" s="57" t="n">
        <v>0</v>
      </c>
      <c r="N732" s="57" t="n">
        <v>1</v>
      </c>
      <c r="O732" s="60" t="n">
        <v>14</v>
      </c>
      <c r="P732" s="55" t="s">
        <v>476</v>
      </c>
      <c r="Q732" s="57" t="n">
        <v>16</v>
      </c>
      <c r="R732" s="60" t="n">
        <f aca="false">IF(BT732=1,0,IFERROR(VLOOKUP(BR732,'Gebinde-Kategorie'!$A$5:$M$45,13,0)+0,0))</f>
        <v>66</v>
      </c>
      <c r="S732" s="61"/>
      <c r="T732" s="62"/>
      <c r="U732" s="62"/>
      <c r="V732" s="62"/>
      <c r="W732" s="55"/>
      <c r="X732" s="57"/>
      <c r="Y732" s="57"/>
      <c r="Z732" s="55" t="n">
        <f aca="false">IF(A732="","",IF(AND(Parameter!$B$21="Ja",ISNUMBER(W732)),W732,IF(BV732="2+3",IF(ISNUMBER(SEARCH("grosser Artikel",BO732)),2,IFERROR(VLOOKUP(BR732,Parameter!$F$35:$G$64,2,0),2)),IF(OR(BV732="Nein",BV732=""),"-",BV732))))</f>
        <v>3</v>
      </c>
      <c r="AA732" s="62"/>
      <c r="AB732" s="63"/>
      <c r="AC732" s="57" t="n">
        <f aca="false">AR732</f>
        <v>16</v>
      </c>
      <c r="AD732" s="57" t="n">
        <f aca="false">MAX(AR732,H732)</f>
        <v>16</v>
      </c>
      <c r="AE732" s="64"/>
      <c r="AF732" s="57" t="n">
        <f aca="false">IF(LEFT(Cockpit!$C$5,1)="A",H732,IF(CA732=1,CB732,IF(LEFT(Cockpit!$C$5,1)="B",AJ732,MAX(AJ732,H732))))</f>
        <v>13</v>
      </c>
      <c r="AG732" s="57" t="n">
        <f aca="false">IF(BT732=1,0,ROUNDUP(AF732/BS732,0))</f>
        <v>1</v>
      </c>
      <c r="AH732" s="59" t="n">
        <f aca="false">IF(CH732&gt;0,CH732*MAX(1,AF732/X732),IF(BT732=1,IF(AF732&lt;=0,0,BW732*MAX(1,IF(H732&gt;0,AF732/H732,1))),IF(R732&gt;0,AG732/R732,0))/MAX(0.1,N(Parameter!$M$21)))</f>
        <v>0.0151515151515152</v>
      </c>
      <c r="AI732" s="57" t="n">
        <f aca="false">AF732*G732</f>
        <v>289.51</v>
      </c>
      <c r="AJ732" s="57" t="n">
        <f aca="false">ROUNDUP(MAX(J732/IF(BZ732&gt;0,BZ732,MAX(0.1,N(Cockpit!$C$6))),CC732)/BS732,0)*BS732</f>
        <v>16</v>
      </c>
      <c r="AK732" s="58" t="n">
        <f aca="false">IF(AH732&gt;0,J732/AH732,-1)</f>
        <v>66</v>
      </c>
      <c r="AL732" s="58" t="n">
        <f aca="false">IF(AND(OR(BY732="L1",BY732="L23"),AH732&gt;0),SUMIFS($AH$7:$AH$1843,$BY$7:$BY$1843,BY732,$AK$7:$AK$1843,"&gt;"&amp;AK732)+SUMIFS($AH$7:$AH$1843,$BY$7:$BY$1843,BY732,$AK$7:$AK$1843,AK732,$BQ$7:$BQ$1843,"&lt;="&amp;BQ732),"")</f>
        <v>42.7024002567481</v>
      </c>
      <c r="AM732" s="65" t="n">
        <f aca="false">IF(AL732="",0,MAX(0,MIN(1,(IF(BY732="L1",Parameter!$E$5,Parameter!$E$6+Parameter!$E$7)-(AL732-AH732))/AH732)))</f>
        <v>1</v>
      </c>
      <c r="AN732" s="57" t="n">
        <f aca="false">IF(LEFT(Cockpit!$I$5,1)="A",H732,IF(CA732=1,CB732,IF(LEFT(Cockpit!$I$5,1)="B",AR732,MAX(AR732,H732))))</f>
        <v>16</v>
      </c>
      <c r="AO732" s="57" t="n">
        <f aca="false">IF(BT732=1,0,ROUNDUP(AN732/BS732,0))</f>
        <v>1</v>
      </c>
      <c r="AP732" s="59" t="n">
        <f aca="false">IF(CH732&gt;0,CH732*MAX(1,AN732/X732),IF(BT732=1,IF(AN732&lt;=0,0,BW732*MAX(1,IF(H732&gt;0,AN732/H732,1))),IF(R732&gt;0,AO732/R732,0))/MAX(0.1,N(Parameter!$M$21)))</f>
        <v>0.0151515151515152</v>
      </c>
      <c r="AQ732" s="57" t="n">
        <f aca="false">AN732*G732</f>
        <v>356.32</v>
      </c>
      <c r="AR732" s="57" t="n">
        <f aca="false">ROUNDUP(MAX(J732/IF(BZ732&gt;0,BZ732,MAX(0.1,N(Cockpit!$I$6))),CC732)/BS732,0)*BS732</f>
        <v>16</v>
      </c>
      <c r="AS732" s="58" t="n">
        <f aca="false">IF(AP732&gt;0,J732/AP732,-1)</f>
        <v>66</v>
      </c>
      <c r="AT732" s="58" t="n">
        <f aca="false">IF(AND(OR(BY732="L1",BY732="L23"),AP732&gt;0),SUMIFS($AP$7:$AP$1843,$BY$7:$BY$1843,BY732,$AS$7:$AS$1843,"&gt;"&amp;AS732)+SUMIFS($AP$7:$AP$1843,$BY$7:$BY$1843,BY732,$AS$7:$AS$1843,AS732,$BQ$7:$BQ$1843,"&lt;="&amp;BQ732),"")</f>
        <v>64.9085757237931</v>
      </c>
      <c r="AU732" s="65" t="n">
        <f aca="false">IF(AT732="",0,MAX(0,MIN(1,(IF(BY732="L1",Parameter!$E$5,Parameter!$E$6+Parameter!$E$7)-(AT732-AP732))/AP732)))</f>
        <v>1</v>
      </c>
      <c r="AV732" s="57" t="n">
        <f aca="false">IF(LEFT(Cockpit!$O$5,1)="A",H732,IF(CA732=1,CB732,IF(LEFT(Cockpit!$O$5,1)="B",AZ732,MAX(AZ732,H732))))</f>
        <v>16</v>
      </c>
      <c r="AW732" s="57" t="n">
        <f aca="false">IF(BT732=1,0,ROUNDUP(AV732/BS732,0))</f>
        <v>1</v>
      </c>
      <c r="AX732" s="59" t="n">
        <f aca="false">IF(CH732&gt;0,CH732*MAX(1,AV732/X732),IF(BT732=1,IF(AV732&lt;=0,0,BW732*MAX(1,IF(H732&gt;0,AV732/H732,1))),IF(R732&gt;0,AW732/R732,0))/MAX(0.1,N(Parameter!$M$21)))</f>
        <v>0.0151515151515152</v>
      </c>
      <c r="AY732" s="57" t="n">
        <f aca="false">AV732*G732</f>
        <v>356.32</v>
      </c>
      <c r="AZ732" s="57" t="n">
        <f aca="false">ROUNDUP(MAX(J732/IF(BZ732&gt;0,BZ732,MAX(0.1,N(Cockpit!$O$6))),CC732)/BS732,0)*BS732</f>
        <v>16</v>
      </c>
      <c r="BA732" s="58" t="n">
        <f aca="false">IF(AX732&gt;0,J732/AX732,-1)</f>
        <v>66</v>
      </c>
      <c r="BB732" s="58" t="n">
        <f aca="false">IF(AND(OR(BY732="L1",BY732="L23"),AX732&gt;0),SUMIFS($AX$7:$AX$1843,$BY$7:$BY$1843,BY732,$BA$7:$BA$1843,"&gt;"&amp;BA732)+SUMIFS($AX$7:$AX$1843,$BY$7:$BY$1843,BY732,$BA$7:$BA$1843,BA732,$BQ$7:$BQ$1843,"&lt;="&amp;BQ732),"")</f>
        <v>59.4050792202966</v>
      </c>
      <c r="BC732" s="65" t="n">
        <f aca="false">IF(BB732="",0,MAX(0,MIN(1,(IF(BY732="L1",Parameter!$E$5,Parameter!$E$6+Parameter!$E$7)-(BB732-AX732))/AX732)))</f>
        <v>1</v>
      </c>
      <c r="BD732" s="55" t="str">
        <f aca="false">IF(AH732&lt;=0,"",IF(BY732="Aussen","Aussenlager",IF(BY732="-","Nicht im Lift",IF(AM732&gt;=1,"Lift",IF(AM732&lt;=0,"Aussenlager","teilweise")))))</f>
        <v>Lift</v>
      </c>
      <c r="BE732" s="55" t="str">
        <f aca="false">IF(AP732&lt;=0,"",IF(BY732="Aussen","Aussenlager",IF(BY732="-","Nicht im Lift",IF(AU732&gt;=1,"Lift",IF(AU732&lt;=0,"Aussenlager","teilweise")))))</f>
        <v>Lift</v>
      </c>
      <c r="BF732" s="55" t="str">
        <f aca="false">IF(AX732&lt;=0,"",IF(BY732="Aussen","Aussenlager",IF(BY732="-","Nicht im Lift",IF(BC732&gt;=1,"Lift",IF(BC732&lt;=0,"Aussenlager","teilweise")))))</f>
        <v>Lift</v>
      </c>
      <c r="BG732" s="55" t="str">
        <f aca="false">IF(A732="","",IF(BP732=1,"Neu; ","")&amp;IF(AND(BP732=0,BK732&lt;0),"negativer Bestand (Export "&amp;BK732&amp;"); ","")&amp;IF(J732&lt;=0,"Kein Verbrauch; ","")&amp;IF(CH732&gt;0,"Lift "&amp;W732&amp;" lt. Liftbericht (Fach "&amp;X732&amp;" Stk); ",IF(BU732=1,"Gebinde geschätzt ("&amp;T732&amp;"); ",IF(BT732=1,"Lose – Tablare geschätzt; ","")))&amp;IF(H732&gt;AR732,"Überbestand "&amp;ROUND(H732-AR732,0)&amp;" Stk / CHF "&amp;ROUND((H732-AR732)*G732,0)&amp;"; ","")&amp;IF(AND(CA732=1,CB732&lt;CC732),"MAX &lt; MB+LG; ","")&amp;IF(AND(CG732&gt;0,CF732*10&gt;CG732),"zu hoch für Tablar; ","")&amp;IF(AND(BP732=0,OR(CA732=1,AA732&lt;&gt;"",U732&lt;&gt;"",V732&lt;&gt;"",AB732&lt;&gt;"")),"manuell übersteuert; ","")&amp;IF(AND(BT732=0,R732=0),"Gebinde unbekannt / Stellmass fehlt; ","")&amp;IF(AND(BT732=0,N(V732)&lt;=0,N(Q732)&lt;=0),"Menge pro Gebinde fehlt (Ist = 1 Gebinde); ","")&amp;BO732)</f>
        <v/>
      </c>
      <c r="BH732" s="55"/>
      <c r="BI732" s="55"/>
      <c r="BJ732" s="62"/>
      <c r="BK732" s="57" t="n">
        <v>0</v>
      </c>
      <c r="BL732" s="57" t="n">
        <v>13</v>
      </c>
      <c r="BM732" s="56" t="n">
        <v>0</v>
      </c>
      <c r="BN732" s="57" t="n">
        <v>1</v>
      </c>
      <c r="BO732" s="55"/>
      <c r="BP732" s="60" t="n">
        <v>0</v>
      </c>
      <c r="BQ732" s="60" t="n">
        <v>732</v>
      </c>
      <c r="BR732" s="55" t="str">
        <f aca="false">IF(U732&lt;&gt;"",UPPER(TRIM(U732)),IF(BU732=1,UPPER(VLOOKUP(T732,Parameter!$I$27:$K$29,2,0)),IF(P732="","LOSE",P732)))</f>
        <v>S33</v>
      </c>
      <c r="BS732" s="57" t="n">
        <f aca="false">IF(BR732="LOSE",1,IF(N(V732)&gt;0,V732,IF(BU732=1,MAX(1,N(VLOOKUP(T732,Parameter!$I$27:$K$29,3,0)),H732,N(N732)),IF(N(Q732)&gt;0,Q732,MAX(1,H732)))))</f>
        <v>16</v>
      </c>
      <c r="BT732" s="60" t="n">
        <f aca="false">IF(BR732="LOSE",1,0)</f>
        <v>0</v>
      </c>
      <c r="BU732" s="60" t="n">
        <f aca="false">IF(AND(U732="",OR(P732="",P732="LOSE"),T732&lt;&gt;"",N(S732)&lt;=0,ISNUMBER(MATCH(T732,Parameter!$I$27:$I$29,0))),1,0)</f>
        <v>0</v>
      </c>
      <c r="BV732" s="55" t="str">
        <f aca="false">IF(AND(Parameter!$B$19="Ja",E732&lt;&gt;"",ISNUMBER(MATCH(E732,Parameter!$I$35:$I$52,0))),VLOOKUP(E732,Parameter!$I$35:$J$52,2,0),IFERROR(VLOOKUP(D732,Parameter!$A$35:$C$64,2,0),"Nein"))</f>
        <v>2+3</v>
      </c>
      <c r="BW732" s="59" t="n">
        <f aca="false">IF(BT732=0,0,IF(N(S732)&gt;0,S732,IFERROR(VLOOKUP(D732,Parameter!$A$35:$C$64,3,0)+0,0)))</f>
        <v>0</v>
      </c>
      <c r="BX732" s="55" t="n">
        <f aca="false">IF(AA732&lt;&gt;"",AA732,Z732)</f>
        <v>3</v>
      </c>
      <c r="BY732" s="55" t="str">
        <f aca="false">IF(BX732=1,"L1",IF(OR(BX732=2,BX732=3),"L23",IF(BX732="Aussen","Aussen","-")))</f>
        <v>L23</v>
      </c>
      <c r="BZ732" s="66" t="n">
        <f aca="false">IF(N(AB732)&gt;0,AB732,0)</f>
        <v>0</v>
      </c>
      <c r="CA732" s="60" t="n">
        <f aca="false">IF(ISNUMBER(AE732),1,0)</f>
        <v>0</v>
      </c>
      <c r="CB732" s="57" t="n">
        <f aca="false">N(AE732)</f>
        <v>0</v>
      </c>
      <c r="CC732" s="57" t="n">
        <f aca="false">N(M732)+N(N732)</f>
        <v>1</v>
      </c>
      <c r="CD732" s="57" t="n">
        <f aca="false">ROUNDUP(H732/BS732,0)</f>
        <v>1</v>
      </c>
      <c r="CE732" s="57" t="n">
        <f aca="false">ROUNDUP(CB732/BS732,0)</f>
        <v>0</v>
      </c>
      <c r="CF732" s="60" t="n">
        <f aca="false">IF(BT732=1,0,IFERROR(VLOOKUP(BR732,'Gebinde-Kategorie'!$A$5:$M$45,5,0)+0,0))</f>
        <v>8</v>
      </c>
      <c r="CG732" s="60" t="n">
        <f aca="false">IFERROR(IF(OR(BX732=1,BX732=2,BX732=3),N(INDEX(Parameter!$I$5:$I$7,BX732)),0),0)</f>
        <v>0</v>
      </c>
      <c r="CH732" s="59" t="n">
        <f aca="false">IF(AND(Parameter!$B$21="Ja",ISNUMBER(W732),N(X732)&gt;0),IFERROR(N(INDEX(Parameter!$L$5:$L$7,W732))*INDEX(Parameter!$E$5:$E$7,W732)*X732/SUMIFS($X$7:$X$1843,$W$7:$W$1843,W732),0),0)</f>
        <v>0</v>
      </c>
    </row>
    <row r="733" customFormat="false" ht="15" hidden="false" customHeight="false" outlineLevel="0" collapsed="false">
      <c r="A733" s="55" t="s">
        <v>1452</v>
      </c>
      <c r="B733" s="55" t="s">
        <v>1453</v>
      </c>
      <c r="C733" s="55" t="s">
        <v>164</v>
      </c>
      <c r="D733" s="55" t="s">
        <v>184</v>
      </c>
      <c r="E733" s="55"/>
      <c r="F733" s="55" t="s">
        <v>218</v>
      </c>
      <c r="G733" s="56" t="n">
        <v>20.37</v>
      </c>
      <c r="H733" s="57" t="n">
        <f aca="false">MAX(0,IF(AND(Parameter!$B$21="Ja",ISNUMBER(Y733)),Y733,IF(Parameter!$B$20="Jahresanfang 2025 + Export",BL733+BK733,BK733)))</f>
        <v>17</v>
      </c>
      <c r="I733" s="57" t="n">
        <f aca="false">H733*G733</f>
        <v>346.29</v>
      </c>
      <c r="J733" s="57" t="n">
        <f aca="false">BN733*Parameter!$B$18</f>
        <v>0</v>
      </c>
      <c r="K733" s="58" t="n">
        <v>17</v>
      </c>
      <c r="L733" s="59" t="n">
        <v>0</v>
      </c>
      <c r="M733" s="57" t="n">
        <v>0</v>
      </c>
      <c r="N733" s="57" t="n">
        <v>1</v>
      </c>
      <c r="O733" s="60" t="n">
        <v>28</v>
      </c>
      <c r="P733" s="55" t="s">
        <v>426</v>
      </c>
      <c r="Q733" s="57" t="n">
        <v>7</v>
      </c>
      <c r="R733" s="60" t="n">
        <f aca="false">IF(BT733=1,0,IFERROR(VLOOKUP(BR733,'Gebinde-Kategorie'!$A$5:$M$45,13,0)+0,0))</f>
        <v>198</v>
      </c>
      <c r="S733" s="61"/>
      <c r="T733" s="62"/>
      <c r="U733" s="62"/>
      <c r="V733" s="62"/>
      <c r="W733" s="55"/>
      <c r="X733" s="57"/>
      <c r="Y733" s="57"/>
      <c r="Z733" s="55" t="n">
        <f aca="false">IF(A733="","",IF(AND(Parameter!$B$21="Ja",ISNUMBER(W733)),W733,IF(BV733="2+3",IF(ISNUMBER(SEARCH("grosser Artikel",BO733)),2,IFERROR(VLOOKUP(BR733,Parameter!$F$35:$G$64,2,0),2)),IF(OR(BV733="Nein",BV733=""),"-",BV733))))</f>
        <v>3</v>
      </c>
      <c r="AA733" s="62"/>
      <c r="AB733" s="63"/>
      <c r="AC733" s="57" t="n">
        <f aca="false">AR733</f>
        <v>7</v>
      </c>
      <c r="AD733" s="57" t="n">
        <f aca="false">MAX(AR733,H733)</f>
        <v>17</v>
      </c>
      <c r="AE733" s="64"/>
      <c r="AF733" s="57" t="n">
        <f aca="false">IF(LEFT(Cockpit!$C$5,1)="A",H733,IF(CA733=1,CB733,IF(LEFT(Cockpit!$C$5,1)="B",AJ733,MAX(AJ733,H733))))</f>
        <v>17</v>
      </c>
      <c r="AG733" s="57" t="n">
        <f aca="false">IF(BT733=1,0,ROUNDUP(AF733/BS733,0))</f>
        <v>3</v>
      </c>
      <c r="AH733" s="59" t="n">
        <f aca="false">IF(CH733&gt;0,CH733*MAX(1,AF733/X733),IF(BT733=1,IF(AF733&lt;=0,0,BW733*MAX(1,IF(H733&gt;0,AF733/H733,1))),IF(R733&gt;0,AG733/R733,0))/MAX(0.1,N(Parameter!$M$21)))</f>
        <v>0.0151515151515152</v>
      </c>
      <c r="AI733" s="57" t="n">
        <f aca="false">AF733*G733</f>
        <v>346.29</v>
      </c>
      <c r="AJ733" s="57" t="n">
        <f aca="false">ROUNDUP(MAX(J733/IF(BZ733&gt;0,BZ733,MAX(0.1,N(Cockpit!$C$6))),CC733)/BS733,0)*BS733</f>
        <v>7</v>
      </c>
      <c r="AK733" s="58" t="n">
        <f aca="false">IF(AH733&gt;0,J733/AH733,-1)</f>
        <v>0</v>
      </c>
      <c r="AL733" s="58" t="n">
        <f aca="false">IF(AND(OR(BY733="L1",BY733="L23"),AH733&gt;0),SUMIFS($AH$7:$AH$1843,$BY$7:$BY$1843,BY733,$AK$7:$AK$1843,"&gt;"&amp;AK733)+SUMIFS($AH$7:$AH$1843,$BY$7:$BY$1843,BY733,$AK$7:$AK$1843,AK733,$BQ$7:$BQ$1843,"&lt;="&amp;BQ733),"")</f>
        <v>76.9653559001385</v>
      </c>
      <c r="AM733" s="65" t="n">
        <f aca="false">IF(AL733="",0,MAX(0,MIN(1,(IF(BY733="L1",Parameter!$E$5,Parameter!$E$6+Parameter!$E$7)-(AL733-AH733))/AH733)))</f>
        <v>1</v>
      </c>
      <c r="AN733" s="57" t="n">
        <f aca="false">IF(LEFT(Cockpit!$I$5,1)="A",H733,IF(CA733=1,CB733,IF(LEFT(Cockpit!$I$5,1)="B",AR733,MAX(AR733,H733))))</f>
        <v>17</v>
      </c>
      <c r="AO733" s="57" t="n">
        <f aca="false">IF(BT733=1,0,ROUNDUP(AN733/BS733,0))</f>
        <v>3</v>
      </c>
      <c r="AP733" s="59" t="n">
        <f aca="false">IF(CH733&gt;0,CH733*MAX(1,AN733/X733),IF(BT733=1,IF(AN733&lt;=0,0,BW733*MAX(1,IF(H733&gt;0,AN733/H733,1))),IF(R733&gt;0,AO733/R733,0))/MAX(0.1,N(Parameter!$M$21)))</f>
        <v>0.0151515151515152</v>
      </c>
      <c r="AQ733" s="57" t="n">
        <f aca="false">AN733*G733</f>
        <v>346.29</v>
      </c>
      <c r="AR733" s="57" t="n">
        <f aca="false">ROUNDUP(MAX(J733/IF(BZ733&gt;0,BZ733,MAX(0.1,N(Cockpit!$I$6))),CC733)/BS733,0)*BS733</f>
        <v>7</v>
      </c>
      <c r="AS733" s="58" t="n">
        <f aca="false">IF(AP733&gt;0,J733/AP733,-1)</f>
        <v>0</v>
      </c>
      <c r="AT733" s="58" t="n">
        <f aca="false">IF(AND(OR(BY733="L1",BY733="L23"),AP733&gt;0),SUMIFS($AP$7:$AP$1843,$BY$7:$BY$1843,BY733,$AS$7:$AS$1843,"&gt;"&amp;AS733)+SUMIFS($AP$7:$AP$1843,$BY$7:$BY$1843,BY733,$AS$7:$AS$1843,AS733,$BQ$7:$BQ$1843,"&lt;="&amp;BQ733),"")</f>
        <v>117.590613492787</v>
      </c>
      <c r="AU733" s="65" t="n">
        <f aca="false">IF(AT733="",0,MAX(0,MIN(1,(IF(BY733="L1",Parameter!$E$5,Parameter!$E$6+Parameter!$E$7)-(AT733-AP733))/AP733)))</f>
        <v>0</v>
      </c>
      <c r="AV733" s="57" t="n">
        <f aca="false">IF(LEFT(Cockpit!$O$5,1)="A",H733,IF(CA733=1,CB733,IF(LEFT(Cockpit!$O$5,1)="B",AZ733,MAX(AZ733,H733))))</f>
        <v>17</v>
      </c>
      <c r="AW733" s="57" t="n">
        <f aca="false">IF(BT733=1,0,ROUNDUP(AV733/BS733,0))</f>
        <v>3</v>
      </c>
      <c r="AX733" s="59" t="n">
        <f aca="false">IF(CH733&gt;0,CH733*MAX(1,AV733/X733),IF(BT733=1,IF(AV733&lt;=0,0,BW733*MAX(1,IF(H733&gt;0,AV733/H733,1))),IF(R733&gt;0,AW733/R733,0))/MAX(0.1,N(Parameter!$M$21)))</f>
        <v>0.0151515151515152</v>
      </c>
      <c r="AY733" s="57" t="n">
        <f aca="false">AV733*G733</f>
        <v>346.29</v>
      </c>
      <c r="AZ733" s="57" t="n">
        <f aca="false">ROUNDUP(MAX(J733/IF(BZ733&gt;0,BZ733,MAX(0.1,N(Cockpit!$O$6))),CC733)/BS733,0)*BS733</f>
        <v>7</v>
      </c>
      <c r="BA733" s="58" t="n">
        <f aca="false">IF(AX733&gt;0,J733/AX733,-1)</f>
        <v>0</v>
      </c>
      <c r="BB733" s="58" t="n">
        <f aca="false">IF(AND(OR(BY733="L1",BY733="L23"),AX733&gt;0),SUMIFS($AX$7:$AX$1843,$BY$7:$BY$1843,BY733,$BA$7:$BA$1843,"&gt;"&amp;BA733)+SUMIFS($AX$7:$AX$1843,$BY$7:$BY$1843,BY733,$BA$7:$BA$1843,BA733,$BQ$7:$BQ$1843,"&lt;="&amp;BQ733),"")</f>
        <v>108.420450322624</v>
      </c>
      <c r="BC733" s="65" t="n">
        <f aca="false">IF(BB733="",0,MAX(0,MIN(1,(IF(BY733="L1",Parameter!$E$5,Parameter!$E$6+Parameter!$E$7)-(BB733-AX733))/AX733)))</f>
        <v>0</v>
      </c>
      <c r="BD733" s="55" t="str">
        <f aca="false">IF(AH733&lt;=0,"",IF(BY733="Aussen","Aussenlager",IF(BY733="-","Nicht im Lift",IF(AM733&gt;=1,"Lift",IF(AM733&lt;=0,"Aussenlager","teilweise")))))</f>
        <v>Lift</v>
      </c>
      <c r="BE733" s="55" t="str">
        <f aca="false">IF(AP733&lt;=0,"",IF(BY733="Aussen","Aussenlager",IF(BY733="-","Nicht im Lift",IF(AU733&gt;=1,"Lift",IF(AU733&lt;=0,"Aussenlager","teilweise")))))</f>
        <v>Aussenlager</v>
      </c>
      <c r="BF733" s="55" t="str">
        <f aca="false">IF(AX733&lt;=0,"",IF(BY733="Aussen","Aussenlager",IF(BY733="-","Nicht im Lift",IF(BC733&gt;=1,"Lift",IF(BC733&lt;=0,"Aussenlager","teilweise")))))</f>
        <v>Aussenlager</v>
      </c>
      <c r="BG733" s="55" t="str">
        <f aca="false">IF(A733="","",IF(BP733=1,"Neu; ","")&amp;IF(AND(BP733=0,BK733&lt;0),"negativer Bestand (Export "&amp;BK733&amp;"); ","")&amp;IF(J733&lt;=0,"Kein Verbrauch; ","")&amp;IF(CH733&gt;0,"Lift "&amp;W733&amp;" lt. Liftbericht (Fach "&amp;X733&amp;" Stk); ",IF(BU733=1,"Gebinde geschätzt ("&amp;T733&amp;"); ",IF(BT733=1,"Lose – Tablare geschätzt; ","")))&amp;IF(H733&gt;AR733,"Überbestand "&amp;ROUND(H733-AR733,0)&amp;" Stk / CHF "&amp;ROUND((H733-AR733)*G733,0)&amp;"; ","")&amp;IF(AND(CA733=1,CB733&lt;CC733),"MAX &lt; MB+LG; ","")&amp;IF(AND(CG733&gt;0,CF733*10&gt;CG733),"zu hoch für Tablar; ","")&amp;IF(AND(BP733=0,OR(CA733=1,AA733&lt;&gt;"",U733&lt;&gt;"",V733&lt;&gt;"",AB733&lt;&gt;"")),"manuell übersteuert; ","")&amp;IF(AND(BT733=0,R733=0),"Gebinde unbekannt / Stellmass fehlt; ","")&amp;IF(AND(BT733=0,N(V733)&lt;=0,N(Q733)&lt;=0),"Menge pro Gebinde fehlt (Ist = 1 Gebinde); ","")&amp;BO733)</f>
        <v>Kein Verbrauch; Überbestand 10 Stk / CHF 204; Überbestand</v>
      </c>
      <c r="BH733" s="55"/>
      <c r="BI733" s="55"/>
      <c r="BJ733" s="62"/>
      <c r="BK733" s="57" t="n">
        <v>0</v>
      </c>
      <c r="BL733" s="57" t="n">
        <v>17</v>
      </c>
      <c r="BM733" s="56" t="n">
        <v>0</v>
      </c>
      <c r="BN733" s="57" t="n">
        <v>0</v>
      </c>
      <c r="BO733" s="55" t="s">
        <v>392</v>
      </c>
      <c r="BP733" s="60" t="n">
        <v>0</v>
      </c>
      <c r="BQ733" s="60" t="n">
        <v>733</v>
      </c>
      <c r="BR733" s="55" t="str">
        <f aca="false">IF(U733&lt;&gt;"",UPPER(TRIM(U733)),IF(BU733=1,UPPER(VLOOKUP(T733,Parameter!$I$27:$K$29,2,0)),IF(P733="","LOSE",P733)))</f>
        <v>S22</v>
      </c>
      <c r="BS733" s="57" t="n">
        <f aca="false">IF(BR733="LOSE",1,IF(N(V733)&gt;0,V733,IF(BU733=1,MAX(1,N(VLOOKUP(T733,Parameter!$I$27:$K$29,3,0)),H733,N(N733)),IF(N(Q733)&gt;0,Q733,MAX(1,H733)))))</f>
        <v>7</v>
      </c>
      <c r="BT733" s="60" t="n">
        <f aca="false">IF(BR733="LOSE",1,0)</f>
        <v>0</v>
      </c>
      <c r="BU733" s="60" t="n">
        <f aca="false">IF(AND(U733="",OR(P733="",P733="LOSE"),T733&lt;&gt;"",N(S733)&lt;=0,ISNUMBER(MATCH(T733,Parameter!$I$27:$I$29,0))),1,0)</f>
        <v>0</v>
      </c>
      <c r="BV733" s="55" t="str">
        <f aca="false">IF(AND(Parameter!$B$19="Ja",E733&lt;&gt;"",ISNUMBER(MATCH(E733,Parameter!$I$35:$I$52,0))),VLOOKUP(E733,Parameter!$I$35:$J$52,2,0),IFERROR(VLOOKUP(D733,Parameter!$A$35:$C$64,2,0),"Nein"))</f>
        <v>2+3</v>
      </c>
      <c r="BW733" s="59" t="n">
        <f aca="false">IF(BT733=0,0,IF(N(S733)&gt;0,S733,IFERROR(VLOOKUP(D733,Parameter!$A$35:$C$64,3,0)+0,0)))</f>
        <v>0</v>
      </c>
      <c r="BX733" s="55" t="n">
        <f aca="false">IF(AA733&lt;&gt;"",AA733,Z733)</f>
        <v>3</v>
      </c>
      <c r="BY733" s="55" t="str">
        <f aca="false">IF(BX733=1,"L1",IF(OR(BX733=2,BX733=3),"L23",IF(BX733="Aussen","Aussen","-")))</f>
        <v>L23</v>
      </c>
      <c r="BZ733" s="66" t="n">
        <f aca="false">IF(N(AB733)&gt;0,AB733,0)</f>
        <v>0</v>
      </c>
      <c r="CA733" s="60" t="n">
        <f aca="false">IF(ISNUMBER(AE733),1,0)</f>
        <v>0</v>
      </c>
      <c r="CB733" s="57" t="n">
        <f aca="false">N(AE733)</f>
        <v>0</v>
      </c>
      <c r="CC733" s="57" t="n">
        <f aca="false">N(M733)+N(N733)</f>
        <v>1</v>
      </c>
      <c r="CD733" s="57" t="n">
        <f aca="false">ROUNDUP(H733/BS733,0)</f>
        <v>3</v>
      </c>
      <c r="CE733" s="57" t="n">
        <f aca="false">ROUNDUP(CB733/BS733,0)</f>
        <v>0</v>
      </c>
      <c r="CF733" s="60" t="n">
        <f aca="false">IF(BT733=1,0,IFERROR(VLOOKUP(BR733,'Gebinde-Kategorie'!$A$5:$M$45,5,0)+0,0))</f>
        <v>8</v>
      </c>
      <c r="CG733" s="60" t="n">
        <f aca="false">IFERROR(IF(OR(BX733=1,BX733=2,BX733=3),N(INDEX(Parameter!$I$5:$I$7,BX733)),0),0)</f>
        <v>0</v>
      </c>
      <c r="CH733" s="59" t="n">
        <f aca="false">IF(AND(Parameter!$B$21="Ja",ISNUMBER(W733),N(X733)&gt;0),IFERROR(N(INDEX(Parameter!$L$5:$L$7,W733))*INDEX(Parameter!$E$5:$E$7,W733)*X733/SUMIFS($X$7:$X$1843,$W$7:$W$1843,W733),0),0)</f>
        <v>0</v>
      </c>
    </row>
    <row r="734" customFormat="false" ht="15" hidden="false" customHeight="false" outlineLevel="0" collapsed="false">
      <c r="A734" s="55" t="s">
        <v>1454</v>
      </c>
      <c r="B734" s="55" t="s">
        <v>1441</v>
      </c>
      <c r="C734" s="55" t="s">
        <v>164</v>
      </c>
      <c r="D734" s="55" t="s">
        <v>173</v>
      </c>
      <c r="E734" s="55" t="s">
        <v>173</v>
      </c>
      <c r="F734" s="55" t="s">
        <v>218</v>
      </c>
      <c r="G734" s="56" t="n">
        <v>490.5</v>
      </c>
      <c r="H734" s="57" t="n">
        <f aca="false">MAX(0,IF(AND(Parameter!$B$21="Ja",ISNUMBER(Y734)),Y734,IF(Parameter!$B$20="Jahresanfang 2025 + Export",BL734+BK734,BK734)))</f>
        <v>0</v>
      </c>
      <c r="I734" s="57" t="n">
        <f aca="false">H734*G734</f>
        <v>0</v>
      </c>
      <c r="J734" s="57" t="n">
        <f aca="false">BN734*Parameter!$B$18</f>
        <v>2</v>
      </c>
      <c r="K734" s="58" t="n">
        <v>0</v>
      </c>
      <c r="L734" s="59" t="n">
        <v>0</v>
      </c>
      <c r="M734" s="57" t="n">
        <v>0</v>
      </c>
      <c r="N734" s="57" t="n">
        <v>1</v>
      </c>
      <c r="O734" s="60" t="n">
        <v>42</v>
      </c>
      <c r="P734" s="55" t="s">
        <v>168</v>
      </c>
      <c r="Q734" s="57"/>
      <c r="R734" s="60" t="n">
        <f aca="false">IF(BT734=1,0,IFERROR(VLOOKUP(BR734,'Gebinde-Kategorie'!$A$5:$M$45,13,0)+0,0))</f>
        <v>12</v>
      </c>
      <c r="S734" s="61"/>
      <c r="T734" s="62" t="s">
        <v>179</v>
      </c>
      <c r="U734" s="62"/>
      <c r="V734" s="62"/>
      <c r="W734" s="55"/>
      <c r="X734" s="57"/>
      <c r="Y734" s="57"/>
      <c r="Z734" s="55" t="str">
        <f aca="false">IF(A734="","",IF(AND(Parameter!$B$21="Ja",ISNUMBER(W734)),W734,IF(BV734="2+3",IF(ISNUMBER(SEARCH("grosser Artikel",BO734)),2,IFERROR(VLOOKUP(BR734,Parameter!$F$35:$G$64,2,0),2)),IF(OR(BV734="Nein",BV734=""),"-",BV734))))</f>
        <v>-</v>
      </c>
      <c r="AA734" s="62"/>
      <c r="AB734" s="63"/>
      <c r="AC734" s="57" t="n">
        <f aca="false">AR734</f>
        <v>4</v>
      </c>
      <c r="AD734" s="57" t="n">
        <f aca="false">MAX(AR734,H734)</f>
        <v>4</v>
      </c>
      <c r="AE734" s="64"/>
      <c r="AF734" s="57" t="n">
        <f aca="false">IF(LEFT(Cockpit!$C$5,1)="A",H734,IF(CA734=1,CB734,IF(LEFT(Cockpit!$C$5,1)="B",AJ734,MAX(AJ734,H734))))</f>
        <v>0</v>
      </c>
      <c r="AG734" s="57" t="n">
        <f aca="false">IF(BT734=1,0,ROUNDUP(AF734/BS734,0))</f>
        <v>0</v>
      </c>
      <c r="AH734" s="59" t="n">
        <f aca="false">IF(CH734&gt;0,CH734*MAX(1,AF734/X734),IF(BT734=1,IF(AF734&lt;=0,0,BW734*MAX(1,IF(H734&gt;0,AF734/H734,1))),IF(R734&gt;0,AG734/R734,0))/MAX(0.1,N(Parameter!$M$21)))</f>
        <v>0</v>
      </c>
      <c r="AI734" s="57" t="n">
        <f aca="false">AF734*G734</f>
        <v>0</v>
      </c>
      <c r="AJ734" s="57" t="n">
        <f aca="false">ROUNDUP(MAX(J734/IF(BZ734&gt;0,BZ734,MAX(0.1,N(Cockpit!$C$6))),CC734)/BS734,0)*BS734</f>
        <v>4</v>
      </c>
      <c r="AK734" s="58" t="n">
        <f aca="false">IF(AH734&gt;0,J734/AH734,-1)</f>
        <v>-1</v>
      </c>
      <c r="AL734" s="58" t="str">
        <f aca="false">IF(AND(OR(BY734="L1",BY734="L23"),AH734&gt;0),SUMIFS($AH$7:$AH$1843,$BY$7:$BY$1843,BY734,$AK$7:$AK$1843,"&gt;"&amp;AK734)+SUMIFS($AH$7:$AH$1843,$BY$7:$BY$1843,BY734,$AK$7:$AK$1843,AK734,$BQ$7:$BQ$1843,"&lt;="&amp;BQ734),"")</f>
        <v/>
      </c>
      <c r="AM734" s="65" t="n">
        <f aca="false">IF(AL734="",0,MAX(0,MIN(1,(IF(BY734="L1",Parameter!$E$5,Parameter!$E$6+Parameter!$E$7)-(AL734-AH734))/AH734)))</f>
        <v>0</v>
      </c>
      <c r="AN734" s="57" t="n">
        <f aca="false">IF(LEFT(Cockpit!$I$5,1)="A",H734,IF(CA734=1,CB734,IF(LEFT(Cockpit!$I$5,1)="B",AR734,MAX(AR734,H734))))</f>
        <v>4</v>
      </c>
      <c r="AO734" s="57" t="n">
        <f aca="false">IF(BT734=1,0,ROUNDUP(AN734/BS734,0))</f>
        <v>1</v>
      </c>
      <c r="AP734" s="59" t="n">
        <f aca="false">IF(CH734&gt;0,CH734*MAX(1,AN734/X734),IF(BT734=1,IF(AN734&lt;=0,0,BW734*MAX(1,IF(H734&gt;0,AN734/H734,1))),IF(R734&gt;0,AO734/R734,0))/MAX(0.1,N(Parameter!$M$21)))</f>
        <v>0.0833333333333333</v>
      </c>
      <c r="AQ734" s="57" t="n">
        <f aca="false">AN734*G734</f>
        <v>1962</v>
      </c>
      <c r="AR734" s="57" t="n">
        <f aca="false">ROUNDUP(MAX(J734/IF(BZ734&gt;0,BZ734,MAX(0.1,N(Cockpit!$I$6))),CC734)/BS734,0)*BS734</f>
        <v>4</v>
      </c>
      <c r="AS734" s="58" t="n">
        <f aca="false">IF(AP734&gt;0,J734/AP734,-1)</f>
        <v>24</v>
      </c>
      <c r="AT734" s="58" t="str">
        <f aca="false">IF(AND(OR(BY734="L1",BY734="L23"),AP734&gt;0),SUMIFS($AP$7:$AP$1843,$BY$7:$BY$1843,BY734,$AS$7:$AS$1843,"&gt;"&amp;AS734)+SUMIFS($AP$7:$AP$1843,$BY$7:$BY$1843,BY734,$AS$7:$AS$1843,AS734,$BQ$7:$BQ$1843,"&lt;="&amp;BQ734),"")</f>
        <v/>
      </c>
      <c r="AU734" s="65" t="n">
        <f aca="false">IF(AT734="",0,MAX(0,MIN(1,(IF(BY734="L1",Parameter!$E$5,Parameter!$E$6+Parameter!$E$7)-(AT734-AP734))/AP734)))</f>
        <v>0</v>
      </c>
      <c r="AV734" s="57" t="n">
        <f aca="false">IF(LEFT(Cockpit!$O$5,1)="A",H734,IF(CA734=1,CB734,IF(LEFT(Cockpit!$O$5,1)="B",AZ734,MAX(AZ734,H734))))</f>
        <v>4</v>
      </c>
      <c r="AW734" s="57" t="n">
        <f aca="false">IF(BT734=1,0,ROUNDUP(AV734/BS734,0))</f>
        <v>1</v>
      </c>
      <c r="AX734" s="59" t="n">
        <f aca="false">IF(CH734&gt;0,CH734*MAX(1,AV734/X734),IF(BT734=1,IF(AV734&lt;=0,0,BW734*MAX(1,IF(H734&gt;0,AV734/H734,1))),IF(R734&gt;0,AW734/R734,0))/MAX(0.1,N(Parameter!$M$21)))</f>
        <v>0.0833333333333333</v>
      </c>
      <c r="AY734" s="57" t="n">
        <f aca="false">AV734*G734</f>
        <v>1962</v>
      </c>
      <c r="AZ734" s="57" t="n">
        <f aca="false">ROUNDUP(MAX(J734/IF(BZ734&gt;0,BZ734,MAX(0.1,N(Cockpit!$O$6))),CC734)/BS734,0)*BS734</f>
        <v>4</v>
      </c>
      <c r="BA734" s="58" t="n">
        <f aca="false">IF(AX734&gt;0,J734/AX734,-1)</f>
        <v>24</v>
      </c>
      <c r="BB734" s="58" t="str">
        <f aca="false">IF(AND(OR(BY734="L1",BY734="L23"),AX734&gt;0),SUMIFS($AX$7:$AX$1843,$BY$7:$BY$1843,BY734,$BA$7:$BA$1843,"&gt;"&amp;BA734)+SUMIFS($AX$7:$AX$1843,$BY$7:$BY$1843,BY734,$BA$7:$BA$1843,BA734,$BQ$7:$BQ$1843,"&lt;="&amp;BQ734),"")</f>
        <v/>
      </c>
      <c r="BC734" s="65" t="n">
        <f aca="false">IF(BB734="",0,MAX(0,MIN(1,(IF(BY734="L1",Parameter!$E$5,Parameter!$E$6+Parameter!$E$7)-(BB734-AX734))/AX734)))</f>
        <v>0</v>
      </c>
      <c r="BD734" s="55" t="str">
        <f aca="false">IF(AH734&lt;=0,"",IF(BY734="Aussen","Aussenlager",IF(BY734="-","Nicht im Lift",IF(AM734&gt;=1,"Lift",IF(AM734&lt;=0,"Aussenlager","teilweise")))))</f>
        <v/>
      </c>
      <c r="BE734" s="55" t="str">
        <f aca="false">IF(AP734&lt;=0,"",IF(BY734="Aussen","Aussenlager",IF(BY734="-","Nicht im Lift",IF(AU734&gt;=1,"Lift",IF(AU734&lt;=0,"Aussenlager","teilweise")))))</f>
        <v>Nicht im Lift</v>
      </c>
      <c r="BF734" s="55" t="str">
        <f aca="false">IF(AX734&lt;=0,"",IF(BY734="Aussen","Aussenlager",IF(BY734="-","Nicht im Lift",IF(BC734&gt;=1,"Lift",IF(BC734&lt;=0,"Aussenlager","teilweise")))))</f>
        <v>Nicht im Lift</v>
      </c>
      <c r="BG734" s="55" t="str">
        <f aca="false">IF(A734="","",IF(BP734=1,"Neu; ","")&amp;IF(AND(BP734=0,BK734&lt;0),"negativer Bestand (Export "&amp;BK734&amp;"); ","")&amp;IF(J734&lt;=0,"Kein Verbrauch; ","")&amp;IF(CH734&gt;0,"Lift "&amp;W734&amp;" lt. Liftbericht (Fach "&amp;X734&amp;" Stk); ",IF(BU734=1,"Gebinde geschätzt ("&amp;T734&amp;"); ",IF(BT734=1,"Lose – Tablare geschätzt; ","")))&amp;IF(H734&gt;AR734,"Überbestand "&amp;ROUND(H734-AR734,0)&amp;" Stk / CHF "&amp;ROUND((H734-AR734)*G734,0)&amp;"; ","")&amp;IF(AND(CA734=1,CB734&lt;CC734),"MAX &lt; MB+LG; ","")&amp;IF(AND(CG734&gt;0,CF734*10&gt;CG734),"zu hoch für Tablar; ","")&amp;IF(AND(BP734=0,OR(CA734=1,AA734&lt;&gt;"",U734&lt;&gt;"",V734&lt;&gt;"",AB734&lt;&gt;"")),"manuell übersteuert; ","")&amp;IF(AND(BT734=0,R734=0),"Gebinde unbekannt / Stellmass fehlt; ","")&amp;IF(AND(BT734=0,N(V734)&lt;=0,N(Q734)&lt;=0),"Menge pro Gebinde fehlt (Ist = 1 Gebinde); ","")&amp;BO734)</f>
        <v>Gebinde geschätzt (Mittel); Menge pro Gebinde fehlt (Ist = 1 Gebinde); </v>
      </c>
      <c r="BH734" s="55"/>
      <c r="BI734" s="55"/>
      <c r="BJ734" s="62"/>
      <c r="BK734" s="57" t="n">
        <v>0</v>
      </c>
      <c r="BL734" s="57" t="n">
        <v>0</v>
      </c>
      <c r="BM734" s="56" t="n">
        <v>0</v>
      </c>
      <c r="BN734" s="57" t="n">
        <v>2</v>
      </c>
      <c r="BO734" s="55"/>
      <c r="BP734" s="60" t="n">
        <v>0</v>
      </c>
      <c r="BQ734" s="60" t="n">
        <v>734</v>
      </c>
      <c r="BR734" s="55" t="str">
        <f aca="false">IF(U734&lt;&gt;"",UPPER(TRIM(U734)),IF(BU734=1,UPPER(VLOOKUP(T734,Parameter!$I$27:$K$29,2,0)),IF(P734="","LOSE",P734)))</f>
        <v>S61</v>
      </c>
      <c r="BS734" s="57" t="n">
        <f aca="false">IF(BR734="LOSE",1,IF(N(V734)&gt;0,V734,IF(BU734=1,MAX(1,N(VLOOKUP(T734,Parameter!$I$27:$K$29,3,0)),H734,N(N734)),IF(N(Q734)&gt;0,Q734,MAX(1,H734)))))</f>
        <v>4</v>
      </c>
      <c r="BT734" s="60" t="n">
        <f aca="false">IF(BR734="LOSE",1,0)</f>
        <v>0</v>
      </c>
      <c r="BU734" s="60" t="n">
        <f aca="false">IF(AND(U734="",OR(P734="",P734="LOSE"),T734&lt;&gt;"",N(S734)&lt;=0,ISNUMBER(MATCH(T734,Parameter!$I$27:$I$29,0))),1,0)</f>
        <v>1</v>
      </c>
      <c r="BV734" s="55" t="str">
        <f aca="false">IF(AND(Parameter!$B$19="Ja",E734&lt;&gt;"",ISNUMBER(MATCH(E734,Parameter!$I$35:$I$52,0))),VLOOKUP(E734,Parameter!$I$35:$J$52,2,0),IFERROR(VLOOKUP(D734,Parameter!$A$35:$C$64,2,0),"Nein"))</f>
        <v>Nein</v>
      </c>
      <c r="BW734" s="59" t="n">
        <f aca="false">IF(BT734=0,0,IF(N(S734)&gt;0,S734,IFERROR(VLOOKUP(D734,Parameter!$A$35:$C$64,3,0)+0,0)))</f>
        <v>0</v>
      </c>
      <c r="BX734" s="55" t="str">
        <f aca="false">IF(AA734&lt;&gt;"",AA734,Z734)</f>
        <v>-</v>
      </c>
      <c r="BY734" s="55" t="str">
        <f aca="false">IF(BX734=1,"L1",IF(OR(BX734=2,BX734=3),"L23",IF(BX734="Aussen","Aussen","-")))</f>
        <v>-</v>
      </c>
      <c r="BZ734" s="66" t="n">
        <f aca="false">IF(N(AB734)&gt;0,AB734,0)</f>
        <v>0</v>
      </c>
      <c r="CA734" s="60" t="n">
        <f aca="false">IF(ISNUMBER(AE734),1,0)</f>
        <v>0</v>
      </c>
      <c r="CB734" s="57" t="n">
        <f aca="false">N(AE734)</f>
        <v>0</v>
      </c>
      <c r="CC734" s="57" t="n">
        <f aca="false">N(M734)+N(N734)</f>
        <v>1</v>
      </c>
      <c r="CD734" s="57" t="n">
        <f aca="false">ROUNDUP(H734/BS734,0)</f>
        <v>0</v>
      </c>
      <c r="CE734" s="57" t="n">
        <f aca="false">ROUNDUP(CB734/BS734,0)</f>
        <v>0</v>
      </c>
      <c r="CF734" s="60" t="n">
        <f aca="false">IF(BT734=1,0,IFERROR(VLOOKUP(BR734,'Gebinde-Kategorie'!$A$5:$M$45,5,0)+0,0))</f>
        <v>11</v>
      </c>
      <c r="CG734" s="60" t="n">
        <f aca="false">IFERROR(IF(OR(BX734=1,BX734=2,BX734=3),N(INDEX(Parameter!$I$5:$I$7,BX734)),0),0)</f>
        <v>0</v>
      </c>
      <c r="CH734" s="59" t="n">
        <f aca="false">IF(AND(Parameter!$B$21="Ja",ISNUMBER(W734),N(X734)&gt;0),IFERROR(N(INDEX(Parameter!$L$5:$L$7,W734))*INDEX(Parameter!$E$5:$E$7,W734)*X734/SUMIFS($X$7:$X$1843,$W$7:$W$1843,W734),0),0)</f>
        <v>0</v>
      </c>
    </row>
    <row r="735" customFormat="false" ht="15" hidden="false" customHeight="false" outlineLevel="0" collapsed="false">
      <c r="A735" s="55" t="s">
        <v>1455</v>
      </c>
      <c r="B735" s="55" t="s">
        <v>1456</v>
      </c>
      <c r="C735" s="55" t="s">
        <v>164</v>
      </c>
      <c r="D735" s="55" t="s">
        <v>184</v>
      </c>
      <c r="E735" s="55"/>
      <c r="F735" s="55" t="s">
        <v>218</v>
      </c>
      <c r="G735" s="56" t="n">
        <v>0</v>
      </c>
      <c r="H735" s="57" t="n">
        <f aca="false">MAX(0,IF(AND(Parameter!$B$21="Ja",ISNUMBER(Y735)),Y735,IF(Parameter!$B$20="Jahresanfang 2025 + Export",BL735+BK735,BK735)))</f>
        <v>0</v>
      </c>
      <c r="I735" s="57" t="n">
        <f aca="false">H735*G735</f>
        <v>0</v>
      </c>
      <c r="J735" s="57" t="n">
        <f aca="false">BN735*Parameter!$B$18</f>
        <v>0</v>
      </c>
      <c r="K735" s="58" t="n">
        <v>0.5</v>
      </c>
      <c r="L735" s="59" t="n">
        <v>0</v>
      </c>
      <c r="M735" s="57" t="n">
        <v>0</v>
      </c>
      <c r="N735" s="57" t="n">
        <v>1</v>
      </c>
      <c r="O735" s="60" t="n">
        <v>14</v>
      </c>
      <c r="P735" s="55" t="s">
        <v>168</v>
      </c>
      <c r="Q735" s="57"/>
      <c r="R735" s="60" t="n">
        <f aca="false">IF(BT735=1,0,IFERROR(VLOOKUP(BR735,'Gebinde-Kategorie'!$A$5:$M$45,13,0)+0,0))</f>
        <v>26</v>
      </c>
      <c r="S735" s="61"/>
      <c r="T735" s="62" t="s">
        <v>275</v>
      </c>
      <c r="U735" s="62"/>
      <c r="V735" s="62"/>
      <c r="W735" s="55"/>
      <c r="X735" s="57"/>
      <c r="Y735" s="57"/>
      <c r="Z735" s="55" t="n">
        <f aca="false">IF(A735="","",IF(AND(Parameter!$B$21="Ja",ISNUMBER(W735)),W735,IF(BV735="2+3",IF(ISNUMBER(SEARCH("grosser Artikel",BO735)),2,IFERROR(VLOOKUP(BR735,Parameter!$F$35:$G$64,2,0),2)),IF(OR(BV735="Nein",BV735=""),"-",BV735))))</f>
        <v>3</v>
      </c>
      <c r="AA735" s="62"/>
      <c r="AB735" s="63"/>
      <c r="AC735" s="57" t="n">
        <f aca="false">AR735</f>
        <v>20</v>
      </c>
      <c r="AD735" s="57" t="n">
        <f aca="false">MAX(AR735,H735)</f>
        <v>20</v>
      </c>
      <c r="AE735" s="64"/>
      <c r="AF735" s="57" t="n">
        <f aca="false">IF(LEFT(Cockpit!$C$5,1)="A",H735,IF(CA735=1,CB735,IF(LEFT(Cockpit!$C$5,1)="B",AJ735,MAX(AJ735,H735))))</f>
        <v>0</v>
      </c>
      <c r="AG735" s="57" t="n">
        <f aca="false">IF(BT735=1,0,ROUNDUP(AF735/BS735,0))</f>
        <v>0</v>
      </c>
      <c r="AH735" s="59" t="n">
        <f aca="false">IF(CH735&gt;0,CH735*MAX(1,AF735/X735),IF(BT735=1,IF(AF735&lt;=0,0,BW735*MAX(1,IF(H735&gt;0,AF735/H735,1))),IF(R735&gt;0,AG735/R735,0))/MAX(0.1,N(Parameter!$M$21)))</f>
        <v>0</v>
      </c>
      <c r="AI735" s="57" t="n">
        <f aca="false">AF735*G735</f>
        <v>0</v>
      </c>
      <c r="AJ735" s="57" t="n">
        <f aca="false">ROUNDUP(MAX(J735/IF(BZ735&gt;0,BZ735,MAX(0.1,N(Cockpit!$C$6))),CC735)/BS735,0)*BS735</f>
        <v>20</v>
      </c>
      <c r="AK735" s="58" t="n">
        <f aca="false">IF(AH735&gt;0,J735/AH735,-1)</f>
        <v>-1</v>
      </c>
      <c r="AL735" s="58" t="str">
        <f aca="false">IF(AND(OR(BY735="L1",BY735="L23"),AH735&gt;0),SUMIFS($AH$7:$AH$1843,$BY$7:$BY$1843,BY735,$AK$7:$AK$1843,"&gt;"&amp;AK735)+SUMIFS($AH$7:$AH$1843,$BY$7:$BY$1843,BY735,$AK$7:$AK$1843,AK735,$BQ$7:$BQ$1843,"&lt;="&amp;BQ735),"")</f>
        <v/>
      </c>
      <c r="AM735" s="65" t="n">
        <f aca="false">IF(AL735="",0,MAX(0,MIN(1,(IF(BY735="L1",Parameter!$E$5,Parameter!$E$6+Parameter!$E$7)-(AL735-AH735))/AH735)))</f>
        <v>0</v>
      </c>
      <c r="AN735" s="57" t="n">
        <f aca="false">IF(LEFT(Cockpit!$I$5,1)="A",H735,IF(CA735=1,CB735,IF(LEFT(Cockpit!$I$5,1)="B",AR735,MAX(AR735,H735))))</f>
        <v>20</v>
      </c>
      <c r="AO735" s="57" t="n">
        <f aca="false">IF(BT735=1,0,ROUNDUP(AN735/BS735,0))</f>
        <v>1</v>
      </c>
      <c r="AP735" s="59" t="n">
        <f aca="false">IF(CH735&gt;0,CH735*MAX(1,AN735/X735),IF(BT735=1,IF(AN735&lt;=0,0,BW735*MAX(1,IF(H735&gt;0,AN735/H735,1))),IF(R735&gt;0,AO735/R735,0))/MAX(0.1,N(Parameter!$M$21)))</f>
        <v>0.0384615384615385</v>
      </c>
      <c r="AQ735" s="57" t="n">
        <f aca="false">AN735*G735</f>
        <v>0</v>
      </c>
      <c r="AR735" s="57" t="n">
        <f aca="false">ROUNDUP(MAX(J735/IF(BZ735&gt;0,BZ735,MAX(0.1,N(Cockpit!$I$6))),CC735)/BS735,0)*BS735</f>
        <v>20</v>
      </c>
      <c r="AS735" s="58" t="n">
        <f aca="false">IF(AP735&gt;0,J735/AP735,-1)</f>
        <v>0</v>
      </c>
      <c r="AT735" s="58" t="n">
        <f aca="false">IF(AND(OR(BY735="L1",BY735="L23"),AP735&gt;0),SUMIFS($AP$7:$AP$1843,$BY$7:$BY$1843,BY735,$AS$7:$AS$1843,"&gt;"&amp;AS735)+SUMIFS($AP$7:$AP$1843,$BY$7:$BY$1843,BY735,$AS$7:$AS$1843,AS735,$BQ$7:$BQ$1843,"&lt;="&amp;BQ735),"")</f>
        <v>117.629075031249</v>
      </c>
      <c r="AU735" s="65" t="n">
        <f aca="false">IF(AT735="",0,MAX(0,MIN(1,(IF(BY735="L1",Parameter!$E$5,Parameter!$E$6+Parameter!$E$7)-(AT735-AP735))/AP735)))</f>
        <v>0</v>
      </c>
      <c r="AV735" s="57" t="n">
        <f aca="false">IF(LEFT(Cockpit!$O$5,1)="A",H735,IF(CA735=1,CB735,IF(LEFT(Cockpit!$O$5,1)="B",AZ735,MAX(AZ735,H735))))</f>
        <v>20</v>
      </c>
      <c r="AW735" s="57" t="n">
        <f aca="false">IF(BT735=1,0,ROUNDUP(AV735/BS735,0))</f>
        <v>1</v>
      </c>
      <c r="AX735" s="59" t="n">
        <f aca="false">IF(CH735&gt;0,CH735*MAX(1,AV735/X735),IF(BT735=1,IF(AV735&lt;=0,0,BW735*MAX(1,IF(H735&gt;0,AV735/H735,1))),IF(R735&gt;0,AW735/R735,0))/MAX(0.1,N(Parameter!$M$21)))</f>
        <v>0.0384615384615385</v>
      </c>
      <c r="AY735" s="57" t="n">
        <f aca="false">AV735*G735</f>
        <v>0</v>
      </c>
      <c r="AZ735" s="57" t="n">
        <f aca="false">ROUNDUP(MAX(J735/IF(BZ735&gt;0,BZ735,MAX(0.1,N(Cockpit!$O$6))),CC735)/BS735,0)*BS735</f>
        <v>20</v>
      </c>
      <c r="BA735" s="58" t="n">
        <f aca="false">IF(AX735&gt;0,J735/AX735,-1)</f>
        <v>0</v>
      </c>
      <c r="BB735" s="58" t="n">
        <f aca="false">IF(AND(OR(BY735="L1",BY735="L23"),AX735&gt;0),SUMIFS($AX$7:$AX$1843,$BY$7:$BY$1843,BY735,$BA$7:$BA$1843,"&gt;"&amp;BA735)+SUMIFS($AX$7:$AX$1843,$BY$7:$BY$1843,BY735,$BA$7:$BA$1843,BA735,$BQ$7:$BQ$1843,"&lt;="&amp;BQ735),"")</f>
        <v>108.458911861086</v>
      </c>
      <c r="BC735" s="65" t="n">
        <f aca="false">IF(BB735="",0,MAX(0,MIN(1,(IF(BY735="L1",Parameter!$E$5,Parameter!$E$6+Parameter!$E$7)-(BB735-AX735))/AX735)))</f>
        <v>0</v>
      </c>
      <c r="BD735" s="55" t="str">
        <f aca="false">IF(AH735&lt;=0,"",IF(BY735="Aussen","Aussenlager",IF(BY735="-","Nicht im Lift",IF(AM735&gt;=1,"Lift",IF(AM735&lt;=0,"Aussenlager","teilweise")))))</f>
        <v/>
      </c>
      <c r="BE735" s="55" t="str">
        <f aca="false">IF(AP735&lt;=0,"",IF(BY735="Aussen","Aussenlager",IF(BY735="-","Nicht im Lift",IF(AU735&gt;=1,"Lift",IF(AU735&lt;=0,"Aussenlager","teilweise")))))</f>
        <v>Aussenlager</v>
      </c>
      <c r="BF735" s="55" t="str">
        <f aca="false">IF(AX735&lt;=0,"",IF(BY735="Aussen","Aussenlager",IF(BY735="-","Nicht im Lift",IF(BC735&gt;=1,"Lift",IF(BC735&lt;=0,"Aussenlager","teilweise")))))</f>
        <v>Aussenlager</v>
      </c>
      <c r="BG735" s="55" t="str">
        <f aca="false">IF(A735="","",IF(BP735=1,"Neu; ","")&amp;IF(AND(BP735=0,BK735&lt;0),"negativer Bestand (Export "&amp;BK735&amp;"); ","")&amp;IF(J735&lt;=0,"Kein Verbrauch; ","")&amp;IF(CH735&gt;0,"Lift "&amp;W735&amp;" lt. Liftbericht (Fach "&amp;X735&amp;" Stk); ",IF(BU735=1,"Gebinde geschätzt ("&amp;T735&amp;"); ",IF(BT735=1,"Lose – Tablare geschätzt; ","")))&amp;IF(H735&gt;AR735,"Überbestand "&amp;ROUND(H735-AR735,0)&amp;" Stk / CHF "&amp;ROUND((H735-AR735)*G735,0)&amp;"; ","")&amp;IF(AND(CA735=1,CB735&lt;CC735),"MAX &lt; MB+LG; ","")&amp;IF(AND(CG735&gt;0,CF735*10&gt;CG735),"zu hoch für Tablar; ","")&amp;IF(AND(BP735=0,OR(CA735=1,AA735&lt;&gt;"",U735&lt;&gt;"",V735&lt;&gt;"",AB735&lt;&gt;"")),"manuell übersteuert; ","")&amp;IF(AND(BT735=0,R735=0),"Gebinde unbekannt / Stellmass fehlt; ","")&amp;IF(AND(BT735=0,N(V735)&lt;=0,N(Q735)&lt;=0),"Menge pro Gebinde fehlt (Ist = 1 Gebinde); ","")&amp;BO735)</f>
        <v>negativer Bestand (Export -1); Kein Verbrauch; Gebinde geschätzt (Klein); Menge pro Gebinde fehlt (Ist = 1 Gebinde); </v>
      </c>
      <c r="BH735" s="55"/>
      <c r="BI735" s="55"/>
      <c r="BJ735" s="62"/>
      <c r="BK735" s="57" t="n">
        <v>-1</v>
      </c>
      <c r="BL735" s="57" t="n">
        <v>1</v>
      </c>
      <c r="BM735" s="56" t="n">
        <v>0</v>
      </c>
      <c r="BN735" s="57" t="n">
        <v>0</v>
      </c>
      <c r="BO735" s="55"/>
      <c r="BP735" s="60" t="n">
        <v>0</v>
      </c>
      <c r="BQ735" s="60" t="n">
        <v>735</v>
      </c>
      <c r="BR735" s="55" t="str">
        <f aca="false">IF(U735&lt;&gt;"",UPPER(TRIM(U735)),IF(BU735=1,UPPER(VLOOKUP(T735,Parameter!$I$27:$K$29,2,0)),IF(P735="","LOSE",P735)))</f>
        <v>S51</v>
      </c>
      <c r="BS735" s="57" t="n">
        <f aca="false">IF(BR735="LOSE",1,IF(N(V735)&gt;0,V735,IF(BU735=1,MAX(1,N(VLOOKUP(T735,Parameter!$I$27:$K$29,3,0)),H735,N(N735)),IF(N(Q735)&gt;0,Q735,MAX(1,H735)))))</f>
        <v>20</v>
      </c>
      <c r="BT735" s="60" t="n">
        <f aca="false">IF(BR735="LOSE",1,0)</f>
        <v>0</v>
      </c>
      <c r="BU735" s="60" t="n">
        <f aca="false">IF(AND(U735="",OR(P735="",P735="LOSE"),T735&lt;&gt;"",N(S735)&lt;=0,ISNUMBER(MATCH(T735,Parameter!$I$27:$I$29,0))),1,0)</f>
        <v>1</v>
      </c>
      <c r="BV735" s="55" t="str">
        <f aca="false">IF(AND(Parameter!$B$19="Ja",E735&lt;&gt;"",ISNUMBER(MATCH(E735,Parameter!$I$35:$I$52,0))),VLOOKUP(E735,Parameter!$I$35:$J$52,2,0),IFERROR(VLOOKUP(D735,Parameter!$A$35:$C$64,2,0),"Nein"))</f>
        <v>2+3</v>
      </c>
      <c r="BW735" s="59" t="n">
        <f aca="false">IF(BT735=0,0,IF(N(S735)&gt;0,S735,IFERROR(VLOOKUP(D735,Parameter!$A$35:$C$64,3,0)+0,0)))</f>
        <v>0</v>
      </c>
      <c r="BX735" s="55" t="n">
        <f aca="false">IF(AA735&lt;&gt;"",AA735,Z735)</f>
        <v>3</v>
      </c>
      <c r="BY735" s="55" t="str">
        <f aca="false">IF(BX735=1,"L1",IF(OR(BX735=2,BX735=3),"L23",IF(BX735="Aussen","Aussen","-")))</f>
        <v>L23</v>
      </c>
      <c r="BZ735" s="66" t="n">
        <f aca="false">IF(N(AB735)&gt;0,AB735,0)</f>
        <v>0</v>
      </c>
      <c r="CA735" s="60" t="n">
        <f aca="false">IF(ISNUMBER(AE735),1,0)</f>
        <v>0</v>
      </c>
      <c r="CB735" s="57" t="n">
        <f aca="false">N(AE735)</f>
        <v>0</v>
      </c>
      <c r="CC735" s="57" t="n">
        <f aca="false">N(M735)+N(N735)</f>
        <v>1</v>
      </c>
      <c r="CD735" s="57" t="n">
        <f aca="false">ROUNDUP(H735/BS735,0)</f>
        <v>0</v>
      </c>
      <c r="CE735" s="57" t="n">
        <f aca="false">ROUNDUP(CB735/BS735,0)</f>
        <v>0</v>
      </c>
      <c r="CF735" s="60" t="n">
        <f aca="false">IF(BT735=1,0,IFERROR(VLOOKUP(BR735,'Gebinde-Kategorie'!$A$5:$M$45,5,0)+0,0))</f>
        <v>11</v>
      </c>
      <c r="CG735" s="60" t="n">
        <f aca="false">IFERROR(IF(OR(BX735=1,BX735=2,BX735=3),N(INDEX(Parameter!$I$5:$I$7,BX735)),0),0)</f>
        <v>0</v>
      </c>
      <c r="CH735" s="59" t="n">
        <f aca="false">IF(AND(Parameter!$B$21="Ja",ISNUMBER(W735),N(X735)&gt;0),IFERROR(N(INDEX(Parameter!$L$5:$L$7,W735))*INDEX(Parameter!$E$5:$E$7,W735)*X735/SUMIFS($X$7:$X$1843,$W$7:$W$1843,W735),0),0)</f>
        <v>0</v>
      </c>
    </row>
    <row r="736" customFormat="false" ht="15" hidden="false" customHeight="false" outlineLevel="0" collapsed="false">
      <c r="A736" s="55" t="s">
        <v>1457</v>
      </c>
      <c r="B736" s="55" t="s">
        <v>1458</v>
      </c>
      <c r="C736" s="55" t="s">
        <v>164</v>
      </c>
      <c r="D736" s="55" t="s">
        <v>184</v>
      </c>
      <c r="E736" s="55"/>
      <c r="F736" s="55" t="s">
        <v>218</v>
      </c>
      <c r="G736" s="56" t="n">
        <v>16.35</v>
      </c>
      <c r="H736" s="57" t="n">
        <f aca="false">MAX(0,IF(AND(Parameter!$B$21="Ja",ISNUMBER(Y736)),Y736,IF(Parameter!$B$20="Jahresanfang 2025 + Export",BL736+BK736,BK736)))</f>
        <v>0</v>
      </c>
      <c r="I736" s="57" t="n">
        <f aca="false">H736*G736</f>
        <v>0</v>
      </c>
      <c r="J736" s="57" t="n">
        <f aca="false">BN736*Parameter!$B$18</f>
        <v>72</v>
      </c>
      <c r="K736" s="58" t="n">
        <v>0</v>
      </c>
      <c r="L736" s="59" t="n">
        <v>0</v>
      </c>
      <c r="M736" s="57" t="n">
        <v>0</v>
      </c>
      <c r="N736" s="57" t="n">
        <v>0</v>
      </c>
      <c r="O736" s="60" t="n">
        <v>21</v>
      </c>
      <c r="P736" s="55" t="s">
        <v>168</v>
      </c>
      <c r="Q736" s="57"/>
      <c r="R736" s="60" t="n">
        <f aca="false">IF(BT736=1,0,IFERROR(VLOOKUP(BR736,'Gebinde-Kategorie'!$A$5:$M$45,13,0)+0,0))</f>
        <v>3</v>
      </c>
      <c r="S736" s="61"/>
      <c r="T736" s="62" t="s">
        <v>189</v>
      </c>
      <c r="U736" s="62"/>
      <c r="V736" s="62"/>
      <c r="W736" s="55"/>
      <c r="X736" s="57"/>
      <c r="Y736" s="57"/>
      <c r="Z736" s="55" t="n">
        <f aca="false">IF(A736="","",IF(AND(Parameter!$B$21="Ja",ISNUMBER(W736)),W736,IF(BV736="2+3",IF(ISNUMBER(SEARCH("grosser Artikel",BO736)),2,IFERROR(VLOOKUP(BR736,Parameter!$F$35:$G$64,2,0),2)),IF(OR(BV736="Nein",BV736=""),"-",BV736))))</f>
        <v>2</v>
      </c>
      <c r="AA736" s="62"/>
      <c r="AB736" s="63"/>
      <c r="AC736" s="57" t="n">
        <f aca="false">AR736</f>
        <v>36</v>
      </c>
      <c r="AD736" s="57" t="n">
        <f aca="false">MAX(AR736,H736)</f>
        <v>36</v>
      </c>
      <c r="AE736" s="64"/>
      <c r="AF736" s="57" t="n">
        <f aca="false">IF(LEFT(Cockpit!$C$5,1)="A",H736,IF(CA736=1,CB736,IF(LEFT(Cockpit!$C$5,1)="B",AJ736,MAX(AJ736,H736))))</f>
        <v>0</v>
      </c>
      <c r="AG736" s="57" t="n">
        <f aca="false">IF(BT736=1,0,ROUNDUP(AF736/BS736,0))</f>
        <v>0</v>
      </c>
      <c r="AH736" s="59" t="n">
        <f aca="false">IF(CH736&gt;0,CH736*MAX(1,AF736/X736),IF(BT736=1,IF(AF736&lt;=0,0,BW736*MAX(1,IF(H736&gt;0,AF736/H736,1))),IF(R736&gt;0,AG736/R736,0))/MAX(0.1,N(Parameter!$M$21)))</f>
        <v>0</v>
      </c>
      <c r="AI736" s="57" t="n">
        <f aca="false">AF736*G736</f>
        <v>0</v>
      </c>
      <c r="AJ736" s="57" t="n">
        <f aca="false">ROUNDUP(MAX(J736/IF(BZ736&gt;0,BZ736,MAX(0.1,N(Cockpit!$C$6))),CC736)/BS736,0)*BS736</f>
        <v>36</v>
      </c>
      <c r="AK736" s="58" t="n">
        <f aca="false">IF(AH736&gt;0,J736/AH736,-1)</f>
        <v>-1</v>
      </c>
      <c r="AL736" s="58" t="str">
        <f aca="false">IF(AND(OR(BY736="L1",BY736="L23"),AH736&gt;0),SUMIFS($AH$7:$AH$1843,$BY$7:$BY$1843,BY736,$AK$7:$AK$1843,"&gt;"&amp;AK736)+SUMIFS($AH$7:$AH$1843,$BY$7:$BY$1843,BY736,$AK$7:$AK$1843,AK736,$BQ$7:$BQ$1843,"&lt;="&amp;BQ736),"")</f>
        <v/>
      </c>
      <c r="AM736" s="65" t="n">
        <f aca="false">IF(AL736="",0,MAX(0,MIN(1,(IF(BY736="L1",Parameter!$E$5,Parameter!$E$6+Parameter!$E$7)-(AL736-AH736))/AH736)))</f>
        <v>0</v>
      </c>
      <c r="AN736" s="57" t="n">
        <f aca="false">IF(LEFT(Cockpit!$I$5,1)="A",H736,IF(CA736=1,CB736,IF(LEFT(Cockpit!$I$5,1)="B",AR736,MAX(AR736,H736))))</f>
        <v>36</v>
      </c>
      <c r="AO736" s="57" t="n">
        <f aca="false">IF(BT736=1,0,ROUNDUP(AN736/BS736,0))</f>
        <v>18</v>
      </c>
      <c r="AP736" s="59" t="n">
        <f aca="false">IF(CH736&gt;0,CH736*MAX(1,AN736/X736),IF(BT736=1,IF(AN736&lt;=0,0,BW736*MAX(1,IF(H736&gt;0,AN736/H736,1))),IF(R736&gt;0,AO736/R736,0))/MAX(0.1,N(Parameter!$M$21)))</f>
        <v>6</v>
      </c>
      <c r="AQ736" s="57" t="n">
        <f aca="false">AN736*G736</f>
        <v>588.6</v>
      </c>
      <c r="AR736" s="57" t="n">
        <f aca="false">ROUNDUP(MAX(J736/IF(BZ736&gt;0,BZ736,MAX(0.1,N(Cockpit!$I$6))),CC736)/BS736,0)*BS736</f>
        <v>36</v>
      </c>
      <c r="AS736" s="58" t="n">
        <f aca="false">IF(AP736&gt;0,J736/AP736,-1)</f>
        <v>12</v>
      </c>
      <c r="AT736" s="58" t="n">
        <f aca="false">IF(AND(OR(BY736="L1",BY736="L23"),AP736&gt;0),SUMIFS($AP$7:$AP$1843,$BY$7:$BY$1843,BY736,$AS$7:$AS$1843,"&gt;"&amp;AS736)+SUMIFS($AP$7:$AP$1843,$BY$7:$BY$1843,BY736,$AS$7:$AS$1843,AS736,$BQ$7:$BQ$1843,"&lt;="&amp;BQ736),"")</f>
        <v>87.6982027634202</v>
      </c>
      <c r="AU736" s="65" t="n">
        <f aca="false">IF(AT736="",0,MAX(0,MIN(1,(IF(BY736="L1",Parameter!$E$5,Parameter!$E$6+Parameter!$E$7)-(AT736-AP736))/AP736)))</f>
        <v>1</v>
      </c>
      <c r="AV736" s="57" t="n">
        <f aca="false">IF(LEFT(Cockpit!$O$5,1)="A",H736,IF(CA736=1,CB736,IF(LEFT(Cockpit!$O$5,1)="B",AZ736,MAX(AZ736,H736))))</f>
        <v>24</v>
      </c>
      <c r="AW736" s="57" t="n">
        <f aca="false">IF(BT736=1,0,ROUNDUP(AV736/BS736,0))</f>
        <v>12</v>
      </c>
      <c r="AX736" s="59" t="n">
        <f aca="false">IF(CH736&gt;0,CH736*MAX(1,AV736/X736),IF(BT736=1,IF(AV736&lt;=0,0,BW736*MAX(1,IF(H736&gt;0,AV736/H736,1))),IF(R736&gt;0,AW736/R736,0))/MAX(0.1,N(Parameter!$M$21)))</f>
        <v>4</v>
      </c>
      <c r="AY736" s="57" t="n">
        <f aca="false">AV736*G736</f>
        <v>392.4</v>
      </c>
      <c r="AZ736" s="57" t="n">
        <f aca="false">ROUNDUP(MAX(J736/IF(BZ736&gt;0,BZ736,MAX(0.1,N(Cockpit!$O$6))),CC736)/BS736,0)*BS736</f>
        <v>24</v>
      </c>
      <c r="BA736" s="58" t="n">
        <f aca="false">IF(AX736&gt;0,J736/AX736,-1)</f>
        <v>18</v>
      </c>
      <c r="BB736" s="58" t="n">
        <f aca="false">IF(AND(OR(BY736="L1",BY736="L23"),AX736&gt;0),SUMIFS($AX$7:$AX$1843,$BY$7:$BY$1843,BY736,$BA$7:$BA$1843,"&gt;"&amp;BA736)+SUMIFS($AX$7:$AX$1843,$BY$7:$BY$1843,BY736,$BA$7:$BA$1843,BA736,$BQ$7:$BQ$1843,"&lt;="&amp;BQ736),"")</f>
        <v>77.1754754906929</v>
      </c>
      <c r="BC736" s="65" t="n">
        <f aca="false">IF(BB736="",0,MAX(0,MIN(1,(IF(BY736="L1",Parameter!$E$5,Parameter!$E$6+Parameter!$E$7)-(BB736-AX736))/AX736)))</f>
        <v>1</v>
      </c>
      <c r="BD736" s="55" t="str">
        <f aca="false">IF(AH736&lt;=0,"",IF(BY736="Aussen","Aussenlager",IF(BY736="-","Nicht im Lift",IF(AM736&gt;=1,"Lift",IF(AM736&lt;=0,"Aussenlager","teilweise")))))</f>
        <v/>
      </c>
      <c r="BE736" s="55" t="str">
        <f aca="false">IF(AP736&lt;=0,"",IF(BY736="Aussen","Aussenlager",IF(BY736="-","Nicht im Lift",IF(AU736&gt;=1,"Lift",IF(AU736&lt;=0,"Aussenlager","teilweise")))))</f>
        <v>Lift</v>
      </c>
      <c r="BF736" s="55" t="str">
        <f aca="false">IF(AX736&lt;=0,"",IF(BY736="Aussen","Aussenlager",IF(BY736="-","Nicht im Lift",IF(BC736&gt;=1,"Lift",IF(BC736&lt;=0,"Aussenlager","teilweise")))))</f>
        <v>Lift</v>
      </c>
      <c r="BG736" s="55" t="str">
        <f aca="false">IF(A736="","",IF(BP736=1,"Neu; ","")&amp;IF(AND(BP736=0,BK736&lt;0),"negativer Bestand (Export "&amp;BK736&amp;"); ","")&amp;IF(J736&lt;=0,"Kein Verbrauch; ","")&amp;IF(CH736&gt;0,"Lift "&amp;W736&amp;" lt. Liftbericht (Fach "&amp;X736&amp;" Stk); ",IF(BU736=1,"Gebinde geschätzt ("&amp;T736&amp;"); ",IF(BT736=1,"Lose – Tablare geschätzt; ","")))&amp;IF(H736&gt;AR736,"Überbestand "&amp;ROUND(H736-AR736,0)&amp;" Stk / CHF "&amp;ROUND((H736-AR736)*G736,0)&amp;"; ","")&amp;IF(AND(CA736=1,CB736&lt;CC736),"MAX &lt; MB+LG; ","")&amp;IF(AND(CG736&gt;0,CF736*10&gt;CG736),"zu hoch für Tablar; ","")&amp;IF(AND(BP736=0,OR(CA736=1,AA736&lt;&gt;"",U736&lt;&gt;"",V736&lt;&gt;"",AB736&lt;&gt;"")),"manuell übersteuert; ","")&amp;IF(AND(BT736=0,R736=0),"Gebinde unbekannt / Stellmass fehlt; ","")&amp;IF(AND(BT736=0,N(V736)&lt;=0,N(Q736)&lt;=0),"Menge pro Gebinde fehlt (Ist = 1 Gebinde); ","")&amp;BO736)</f>
        <v>Gebinde geschätzt (Gross); Menge pro Gebinde fehlt (Ist = 1 Gebinde); </v>
      </c>
      <c r="BH736" s="55"/>
      <c r="BI736" s="55"/>
      <c r="BJ736" s="62"/>
      <c r="BK736" s="57" t="n">
        <v>0</v>
      </c>
      <c r="BL736" s="57" t="n">
        <v>0</v>
      </c>
      <c r="BM736" s="56" t="n">
        <v>0</v>
      </c>
      <c r="BN736" s="57" t="n">
        <v>72</v>
      </c>
      <c r="BO736" s="55"/>
      <c r="BP736" s="60" t="n">
        <v>0</v>
      </c>
      <c r="BQ736" s="60" t="n">
        <v>736</v>
      </c>
      <c r="BR736" s="55" t="str">
        <f aca="false">IF(U736&lt;&gt;"",UPPER(TRIM(U736)),IF(BU736=1,UPPER(VLOOKUP(T736,Parameter!$I$27:$K$29,2,0)),IF(P736="","LOSE",P736)))</f>
        <v>S81</v>
      </c>
      <c r="BS736" s="57" t="n">
        <f aca="false">IF(BR736="LOSE",1,IF(N(V736)&gt;0,V736,IF(BU736=1,MAX(1,N(VLOOKUP(T736,Parameter!$I$27:$K$29,3,0)),H736,N(N736)),IF(N(Q736)&gt;0,Q736,MAX(1,H736)))))</f>
        <v>2</v>
      </c>
      <c r="BT736" s="60" t="n">
        <f aca="false">IF(BR736="LOSE",1,0)</f>
        <v>0</v>
      </c>
      <c r="BU736" s="60" t="n">
        <f aca="false">IF(AND(U736="",OR(P736="",P736="LOSE"),T736&lt;&gt;"",N(S736)&lt;=0,ISNUMBER(MATCH(T736,Parameter!$I$27:$I$29,0))),1,0)</f>
        <v>1</v>
      </c>
      <c r="BV736" s="55" t="str">
        <f aca="false">IF(AND(Parameter!$B$19="Ja",E736&lt;&gt;"",ISNUMBER(MATCH(E736,Parameter!$I$35:$I$52,0))),VLOOKUP(E736,Parameter!$I$35:$J$52,2,0),IFERROR(VLOOKUP(D736,Parameter!$A$35:$C$64,2,0),"Nein"))</f>
        <v>2+3</v>
      </c>
      <c r="BW736" s="59" t="n">
        <f aca="false">IF(BT736=0,0,IF(N(S736)&gt;0,S736,IFERROR(VLOOKUP(D736,Parameter!$A$35:$C$64,3,0)+0,0)))</f>
        <v>0</v>
      </c>
      <c r="BX736" s="55" t="n">
        <f aca="false">IF(AA736&lt;&gt;"",AA736,Z736)</f>
        <v>2</v>
      </c>
      <c r="BY736" s="55" t="str">
        <f aca="false">IF(BX736=1,"L1",IF(OR(BX736=2,BX736=3),"L23",IF(BX736="Aussen","Aussen","-")))</f>
        <v>L23</v>
      </c>
      <c r="BZ736" s="66" t="n">
        <f aca="false">IF(N(AB736)&gt;0,AB736,0)</f>
        <v>0</v>
      </c>
      <c r="CA736" s="60" t="n">
        <f aca="false">IF(ISNUMBER(AE736),1,0)</f>
        <v>0</v>
      </c>
      <c r="CB736" s="57" t="n">
        <f aca="false">N(AE736)</f>
        <v>0</v>
      </c>
      <c r="CC736" s="57" t="n">
        <f aca="false">N(M736)+N(N736)</f>
        <v>0</v>
      </c>
      <c r="CD736" s="57" t="n">
        <f aca="false">ROUNDUP(H736/BS736,0)</f>
        <v>0</v>
      </c>
      <c r="CE736" s="57" t="n">
        <f aca="false">ROUNDUP(CB736/BS736,0)</f>
        <v>0</v>
      </c>
      <c r="CF736" s="60" t="n">
        <f aca="false">IF(BT736=1,0,IFERROR(VLOOKUP(BR736,'Gebinde-Kategorie'!$A$5:$M$45,5,0)+0,0))</f>
        <v>20</v>
      </c>
      <c r="CG736" s="60" t="n">
        <f aca="false">IFERROR(IF(OR(BX736=1,BX736=2,BX736=3),N(INDEX(Parameter!$I$5:$I$7,BX736)),0),0)</f>
        <v>0</v>
      </c>
      <c r="CH736" s="59" t="n">
        <f aca="false">IF(AND(Parameter!$B$21="Ja",ISNUMBER(W736),N(X736)&gt;0),IFERROR(N(INDEX(Parameter!$L$5:$L$7,W736))*INDEX(Parameter!$E$5:$E$7,W736)*X736/SUMIFS($X$7:$X$1843,$W$7:$W$1843,W736),0),0)</f>
        <v>0</v>
      </c>
    </row>
    <row r="737" customFormat="false" ht="15" hidden="false" customHeight="false" outlineLevel="0" collapsed="false">
      <c r="A737" s="55" t="s">
        <v>1459</v>
      </c>
      <c r="B737" s="55" t="s">
        <v>1460</v>
      </c>
      <c r="C737" s="55" t="s">
        <v>164</v>
      </c>
      <c r="D737" s="55" t="s">
        <v>184</v>
      </c>
      <c r="E737" s="55" t="s">
        <v>185</v>
      </c>
      <c r="F737" s="55" t="s">
        <v>218</v>
      </c>
      <c r="G737" s="56" t="n">
        <v>914.73</v>
      </c>
      <c r="H737" s="57" t="n">
        <f aca="false">MAX(0,IF(AND(Parameter!$B$21="Ja",ISNUMBER(Y737)),Y737,IF(Parameter!$B$20="Jahresanfang 2025 + Export",BL737+BK737,BK737)))</f>
        <v>5</v>
      </c>
      <c r="I737" s="57" t="n">
        <f aca="false">H737*G737</f>
        <v>4573.65</v>
      </c>
      <c r="J737" s="57" t="n">
        <f aca="false">BN737*Parameter!$B$18</f>
        <v>0</v>
      </c>
      <c r="K737" s="58" t="n">
        <v>5</v>
      </c>
      <c r="L737" s="59" t="n">
        <v>0</v>
      </c>
      <c r="M737" s="57" t="n">
        <v>0</v>
      </c>
      <c r="N737" s="57" t="n">
        <v>1</v>
      </c>
      <c r="O737" s="60" t="n">
        <v>14</v>
      </c>
      <c r="P737" s="55" t="s">
        <v>186</v>
      </c>
      <c r="Q737" s="57" t="n">
        <v>3</v>
      </c>
      <c r="R737" s="60" t="n">
        <f aca="false">IF(BT737=1,0,IFERROR(VLOOKUP(BR737,'Gebinde-Kategorie'!$A$5:$M$45,13,0)+0,0))</f>
        <v>12</v>
      </c>
      <c r="S737" s="61"/>
      <c r="T737" s="62"/>
      <c r="U737" s="62"/>
      <c r="V737" s="62"/>
      <c r="W737" s="55"/>
      <c r="X737" s="57"/>
      <c r="Y737" s="57"/>
      <c r="Z737" s="55" t="n">
        <f aca="false">IF(A737="","",IF(AND(Parameter!$B$21="Ja",ISNUMBER(W737)),W737,IF(BV737="2+3",IF(ISNUMBER(SEARCH("grosser Artikel",BO737)),2,IFERROR(VLOOKUP(BR737,Parameter!$F$35:$G$64,2,0),2)),IF(OR(BV737="Nein",BV737=""),"-",BV737))))</f>
        <v>2</v>
      </c>
      <c r="AA737" s="62"/>
      <c r="AB737" s="63"/>
      <c r="AC737" s="57" t="n">
        <f aca="false">AR737</f>
        <v>3</v>
      </c>
      <c r="AD737" s="57" t="n">
        <f aca="false">MAX(AR737,H737)</f>
        <v>5</v>
      </c>
      <c r="AE737" s="64"/>
      <c r="AF737" s="57" t="n">
        <f aca="false">IF(LEFT(Cockpit!$C$5,1)="A",H737,IF(CA737=1,CB737,IF(LEFT(Cockpit!$C$5,1)="B",AJ737,MAX(AJ737,H737))))</f>
        <v>5</v>
      </c>
      <c r="AG737" s="57" t="n">
        <f aca="false">IF(BT737=1,0,ROUNDUP(AF737/BS737,0))</f>
        <v>2</v>
      </c>
      <c r="AH737" s="59" t="n">
        <f aca="false">IF(CH737&gt;0,CH737*MAX(1,AF737/X737),IF(BT737=1,IF(AF737&lt;=0,0,BW737*MAX(1,IF(H737&gt;0,AF737/H737,1))),IF(R737&gt;0,AG737/R737,0))/MAX(0.1,N(Parameter!$M$21)))</f>
        <v>0.166666666666667</v>
      </c>
      <c r="AI737" s="57" t="n">
        <f aca="false">AF737*G737</f>
        <v>4573.65</v>
      </c>
      <c r="AJ737" s="57" t="n">
        <f aca="false">ROUNDUP(MAX(J737/IF(BZ737&gt;0,BZ737,MAX(0.1,N(Cockpit!$C$6))),CC737)/BS737,0)*BS737</f>
        <v>3</v>
      </c>
      <c r="AK737" s="58" t="n">
        <f aca="false">IF(AH737&gt;0,J737/AH737,-1)</f>
        <v>0</v>
      </c>
      <c r="AL737" s="58" t="n">
        <f aca="false">IF(AND(OR(BY737="L1",BY737="L23"),AH737&gt;0),SUMIFS($AH$7:$AH$1843,$BY$7:$BY$1843,BY737,$AK$7:$AK$1843,"&gt;"&amp;AK737)+SUMIFS($AH$7:$AH$1843,$BY$7:$BY$1843,BY737,$AK$7:$AK$1843,AK737,$BQ$7:$BQ$1843,"&lt;="&amp;BQ737),"")</f>
        <v>77.1320225668052</v>
      </c>
      <c r="AM737" s="65" t="n">
        <f aca="false">IF(AL737="",0,MAX(0,MIN(1,(IF(BY737="L1",Parameter!$E$5,Parameter!$E$6+Parameter!$E$7)-(AL737-AH737))/AH737)))</f>
        <v>1</v>
      </c>
      <c r="AN737" s="57" t="n">
        <f aca="false">IF(LEFT(Cockpit!$I$5,1)="A",H737,IF(CA737=1,CB737,IF(LEFT(Cockpit!$I$5,1)="B",AR737,MAX(AR737,H737))))</f>
        <v>5</v>
      </c>
      <c r="AO737" s="57" t="n">
        <f aca="false">IF(BT737=1,0,ROUNDUP(AN737/BS737,0))</f>
        <v>2</v>
      </c>
      <c r="AP737" s="59" t="n">
        <f aca="false">IF(CH737&gt;0,CH737*MAX(1,AN737/X737),IF(BT737=1,IF(AN737&lt;=0,0,BW737*MAX(1,IF(H737&gt;0,AN737/H737,1))),IF(R737&gt;0,AO737/R737,0))/MAX(0.1,N(Parameter!$M$21)))</f>
        <v>0.166666666666667</v>
      </c>
      <c r="AQ737" s="57" t="n">
        <f aca="false">AN737*G737</f>
        <v>4573.65</v>
      </c>
      <c r="AR737" s="57" t="n">
        <f aca="false">ROUNDUP(MAX(J737/IF(BZ737&gt;0,BZ737,MAX(0.1,N(Cockpit!$I$6))),CC737)/BS737,0)*BS737</f>
        <v>3</v>
      </c>
      <c r="AS737" s="58" t="n">
        <f aca="false">IF(AP737&gt;0,J737/AP737,-1)</f>
        <v>0</v>
      </c>
      <c r="AT737" s="58" t="n">
        <f aca="false">IF(AND(OR(BY737="L1",BY737="L23"),AP737&gt;0),SUMIFS($AP$7:$AP$1843,$BY$7:$BY$1843,BY737,$AS$7:$AS$1843,"&gt;"&amp;AS737)+SUMIFS($AP$7:$AP$1843,$BY$7:$BY$1843,BY737,$AS$7:$AS$1843,AS737,$BQ$7:$BQ$1843,"&lt;="&amp;BQ737),"")</f>
        <v>117.795741697916</v>
      </c>
      <c r="AU737" s="65" t="n">
        <f aca="false">IF(AT737="",0,MAX(0,MIN(1,(IF(BY737="L1",Parameter!$E$5,Parameter!$E$6+Parameter!$E$7)-(AT737-AP737))/AP737)))</f>
        <v>0</v>
      </c>
      <c r="AV737" s="57" t="n">
        <f aca="false">IF(LEFT(Cockpit!$O$5,1)="A",H737,IF(CA737=1,CB737,IF(LEFT(Cockpit!$O$5,1)="B",AZ737,MAX(AZ737,H737))))</f>
        <v>5</v>
      </c>
      <c r="AW737" s="57" t="n">
        <f aca="false">IF(BT737=1,0,ROUNDUP(AV737/BS737,0))</f>
        <v>2</v>
      </c>
      <c r="AX737" s="59" t="n">
        <f aca="false">IF(CH737&gt;0,CH737*MAX(1,AV737/X737),IF(BT737=1,IF(AV737&lt;=0,0,BW737*MAX(1,IF(H737&gt;0,AV737/H737,1))),IF(R737&gt;0,AW737/R737,0))/MAX(0.1,N(Parameter!$M$21)))</f>
        <v>0.166666666666667</v>
      </c>
      <c r="AY737" s="57" t="n">
        <f aca="false">AV737*G737</f>
        <v>4573.65</v>
      </c>
      <c r="AZ737" s="57" t="n">
        <f aca="false">ROUNDUP(MAX(J737/IF(BZ737&gt;0,BZ737,MAX(0.1,N(Cockpit!$O$6))),CC737)/BS737,0)*BS737</f>
        <v>3</v>
      </c>
      <c r="BA737" s="58" t="n">
        <f aca="false">IF(AX737&gt;0,J737/AX737,-1)</f>
        <v>0</v>
      </c>
      <c r="BB737" s="58" t="n">
        <f aca="false">IF(AND(OR(BY737="L1",BY737="L23"),AX737&gt;0),SUMIFS($AX$7:$AX$1843,$BY$7:$BY$1843,BY737,$BA$7:$BA$1843,"&gt;"&amp;BA737)+SUMIFS($AX$7:$AX$1843,$BY$7:$BY$1843,BY737,$BA$7:$BA$1843,BA737,$BQ$7:$BQ$1843,"&lt;="&amp;BQ737),"")</f>
        <v>108.625578527752</v>
      </c>
      <c r="BC737" s="65" t="n">
        <f aca="false">IF(BB737="",0,MAX(0,MIN(1,(IF(BY737="L1",Parameter!$E$5,Parameter!$E$6+Parameter!$E$7)-(BB737-AX737))/AX737)))</f>
        <v>0</v>
      </c>
      <c r="BD737" s="55" t="str">
        <f aca="false">IF(AH737&lt;=0,"",IF(BY737="Aussen","Aussenlager",IF(BY737="-","Nicht im Lift",IF(AM737&gt;=1,"Lift",IF(AM737&lt;=0,"Aussenlager","teilweise")))))</f>
        <v>Lift</v>
      </c>
      <c r="BE737" s="55" t="str">
        <f aca="false">IF(AP737&lt;=0,"",IF(BY737="Aussen","Aussenlager",IF(BY737="-","Nicht im Lift",IF(AU737&gt;=1,"Lift",IF(AU737&lt;=0,"Aussenlager","teilweise")))))</f>
        <v>Aussenlager</v>
      </c>
      <c r="BF737" s="55" t="str">
        <f aca="false">IF(AX737&lt;=0,"",IF(BY737="Aussen","Aussenlager",IF(BY737="-","Nicht im Lift",IF(BC737&gt;=1,"Lift",IF(BC737&lt;=0,"Aussenlager","teilweise")))))</f>
        <v>Aussenlager</v>
      </c>
      <c r="BG737" s="55" t="str">
        <f aca="false">IF(A737="","",IF(BP737=1,"Neu; ","")&amp;IF(AND(BP737=0,BK737&lt;0),"negativer Bestand (Export "&amp;BK737&amp;"); ","")&amp;IF(J737&lt;=0,"Kein Verbrauch; ","")&amp;IF(CH737&gt;0,"Lift "&amp;W737&amp;" lt. Liftbericht (Fach "&amp;X737&amp;" Stk); ",IF(BU737=1,"Gebinde geschätzt ("&amp;T737&amp;"); ",IF(BT737=1,"Lose – Tablare geschätzt; ","")))&amp;IF(H737&gt;AR737,"Überbestand "&amp;ROUND(H737-AR737,0)&amp;" Stk / CHF "&amp;ROUND((H737-AR737)*G737,0)&amp;"; ","")&amp;IF(AND(CA737=1,CB737&lt;CC737),"MAX &lt; MB+LG; ","")&amp;IF(AND(CG737&gt;0,CF737*10&gt;CG737),"zu hoch für Tablar; ","")&amp;IF(AND(BP737=0,OR(CA737=1,AA737&lt;&gt;"",U737&lt;&gt;"",V737&lt;&gt;"",AB737&lt;&gt;"")),"manuell übersteuert; ","")&amp;IF(AND(BT737=0,R737=0),"Gebinde unbekannt / Stellmass fehlt; ","")&amp;IF(AND(BT737=0,N(V737)&lt;=0,N(Q737)&lt;=0),"Menge pro Gebinde fehlt (Ist = 1 Gebinde); ","")&amp;BO737)</f>
        <v>Kein Verbrauch; Überbestand 2 Stk / CHF 1829; Ohne Fuss</v>
      </c>
      <c r="BH737" s="55"/>
      <c r="BI737" s="55"/>
      <c r="BJ737" s="62"/>
      <c r="BK737" s="57" t="n">
        <v>0</v>
      </c>
      <c r="BL737" s="57" t="n">
        <v>5</v>
      </c>
      <c r="BM737" s="56" t="n">
        <v>0</v>
      </c>
      <c r="BN737" s="57" t="n">
        <v>0</v>
      </c>
      <c r="BO737" s="55" t="s">
        <v>1461</v>
      </c>
      <c r="BP737" s="60" t="n">
        <v>0</v>
      </c>
      <c r="BQ737" s="60" t="n">
        <v>737</v>
      </c>
      <c r="BR737" s="55" t="str">
        <f aca="false">IF(U737&lt;&gt;"",UPPER(TRIM(U737)),IF(BU737=1,UPPER(VLOOKUP(T737,Parameter!$I$27:$K$29,2,0)),IF(P737="","LOSE",P737)))</f>
        <v>S61</v>
      </c>
      <c r="BS737" s="57" t="n">
        <f aca="false">IF(BR737="LOSE",1,IF(N(V737)&gt;0,V737,IF(BU737=1,MAX(1,N(VLOOKUP(T737,Parameter!$I$27:$K$29,3,0)),H737,N(N737)),IF(N(Q737)&gt;0,Q737,MAX(1,H737)))))</f>
        <v>3</v>
      </c>
      <c r="BT737" s="60" t="n">
        <f aca="false">IF(BR737="LOSE",1,0)</f>
        <v>0</v>
      </c>
      <c r="BU737" s="60" t="n">
        <f aca="false">IF(AND(U737="",OR(P737="",P737="LOSE"),T737&lt;&gt;"",N(S737)&lt;=0,ISNUMBER(MATCH(T737,Parameter!$I$27:$I$29,0))),1,0)</f>
        <v>0</v>
      </c>
      <c r="BV737" s="55" t="str">
        <f aca="false">IF(AND(Parameter!$B$19="Ja",E737&lt;&gt;"",ISNUMBER(MATCH(E737,Parameter!$I$35:$I$52,0))),VLOOKUP(E737,Parameter!$I$35:$J$52,2,0),IFERROR(VLOOKUP(D737,Parameter!$A$35:$C$64,2,0),"Nein"))</f>
        <v>2+3</v>
      </c>
      <c r="BW737" s="59" t="n">
        <f aca="false">IF(BT737=0,0,IF(N(S737)&gt;0,S737,IFERROR(VLOOKUP(D737,Parameter!$A$35:$C$64,3,0)+0,0)))</f>
        <v>0</v>
      </c>
      <c r="BX737" s="55" t="n">
        <f aca="false">IF(AA737&lt;&gt;"",AA737,Z737)</f>
        <v>2</v>
      </c>
      <c r="BY737" s="55" t="str">
        <f aca="false">IF(BX737=1,"L1",IF(OR(BX737=2,BX737=3),"L23",IF(BX737="Aussen","Aussen","-")))</f>
        <v>L23</v>
      </c>
      <c r="BZ737" s="66" t="n">
        <f aca="false">IF(N(AB737)&gt;0,AB737,0)</f>
        <v>0</v>
      </c>
      <c r="CA737" s="60" t="n">
        <f aca="false">IF(ISNUMBER(AE737),1,0)</f>
        <v>0</v>
      </c>
      <c r="CB737" s="57" t="n">
        <f aca="false">N(AE737)</f>
        <v>0</v>
      </c>
      <c r="CC737" s="57" t="n">
        <f aca="false">N(M737)+N(N737)</f>
        <v>1</v>
      </c>
      <c r="CD737" s="57" t="n">
        <f aca="false">ROUNDUP(H737/BS737,0)</f>
        <v>2</v>
      </c>
      <c r="CE737" s="57" t="n">
        <f aca="false">ROUNDUP(CB737/BS737,0)</f>
        <v>0</v>
      </c>
      <c r="CF737" s="60" t="n">
        <f aca="false">IF(BT737=1,0,IFERROR(VLOOKUP(BR737,'Gebinde-Kategorie'!$A$5:$M$45,5,0)+0,0))</f>
        <v>11</v>
      </c>
      <c r="CG737" s="60" t="n">
        <f aca="false">IFERROR(IF(OR(BX737=1,BX737=2,BX737=3),N(INDEX(Parameter!$I$5:$I$7,BX737)),0),0)</f>
        <v>0</v>
      </c>
      <c r="CH737" s="59" t="n">
        <f aca="false">IF(AND(Parameter!$B$21="Ja",ISNUMBER(W737),N(X737)&gt;0),IFERROR(N(INDEX(Parameter!$L$5:$L$7,W737))*INDEX(Parameter!$E$5:$E$7,W737)*X737/SUMIFS($X$7:$X$1843,$W$7:$W$1843,W737),0),0)</f>
        <v>0</v>
      </c>
    </row>
    <row r="738" customFormat="false" ht="15" hidden="false" customHeight="false" outlineLevel="0" collapsed="false">
      <c r="A738" s="55" t="s">
        <v>1462</v>
      </c>
      <c r="B738" s="55" t="s">
        <v>1463</v>
      </c>
      <c r="C738" s="55" t="s">
        <v>164</v>
      </c>
      <c r="D738" s="55" t="s">
        <v>184</v>
      </c>
      <c r="E738" s="55" t="s">
        <v>185</v>
      </c>
      <c r="F738" s="55" t="s">
        <v>218</v>
      </c>
      <c r="G738" s="56" t="n">
        <v>170.05</v>
      </c>
      <c r="H738" s="57" t="n">
        <f aca="false">MAX(0,IF(AND(Parameter!$B$21="Ja",ISNUMBER(Y738)),Y738,IF(Parameter!$B$20="Jahresanfang 2025 + Export",BL738+BK738,BK738)))</f>
        <v>8</v>
      </c>
      <c r="I738" s="57" t="n">
        <f aca="false">H738*G738</f>
        <v>1360.4</v>
      </c>
      <c r="J738" s="57" t="n">
        <f aca="false">BN738*Parameter!$B$18</f>
        <v>0</v>
      </c>
      <c r="K738" s="58" t="n">
        <v>8</v>
      </c>
      <c r="L738" s="59" t="n">
        <v>0</v>
      </c>
      <c r="M738" s="57" t="n">
        <v>0</v>
      </c>
      <c r="N738" s="57" t="n">
        <v>1</v>
      </c>
      <c r="O738" s="60" t="n">
        <v>28</v>
      </c>
      <c r="P738" s="55" t="s">
        <v>328</v>
      </c>
      <c r="Q738" s="57" t="n">
        <v>15</v>
      </c>
      <c r="R738" s="60" t="n">
        <f aca="false">IF(BT738=1,0,IFERROR(VLOOKUP(BR738,'Gebinde-Kategorie'!$A$5:$M$45,13,0)+0,0))</f>
        <v>52</v>
      </c>
      <c r="S738" s="61"/>
      <c r="T738" s="62"/>
      <c r="U738" s="62"/>
      <c r="V738" s="62"/>
      <c r="W738" s="55"/>
      <c r="X738" s="57"/>
      <c r="Y738" s="57"/>
      <c r="Z738" s="55" t="n">
        <f aca="false">IF(A738="","",IF(AND(Parameter!$B$21="Ja",ISNUMBER(W738)),W738,IF(BV738="2+3",IF(ISNUMBER(SEARCH("grosser Artikel",BO738)),2,IFERROR(VLOOKUP(BR738,Parameter!$F$35:$G$64,2,0),2)),IF(OR(BV738="Nein",BV738=""),"-",BV738))))</f>
        <v>3</v>
      </c>
      <c r="AA738" s="62"/>
      <c r="AB738" s="63"/>
      <c r="AC738" s="57" t="n">
        <f aca="false">AR738</f>
        <v>15</v>
      </c>
      <c r="AD738" s="57" t="n">
        <f aca="false">MAX(AR738,H738)</f>
        <v>15</v>
      </c>
      <c r="AE738" s="64"/>
      <c r="AF738" s="57" t="n">
        <f aca="false">IF(LEFT(Cockpit!$C$5,1)="A",H738,IF(CA738=1,CB738,IF(LEFT(Cockpit!$C$5,1)="B",AJ738,MAX(AJ738,H738))))</f>
        <v>8</v>
      </c>
      <c r="AG738" s="57" t="n">
        <f aca="false">IF(BT738=1,0,ROUNDUP(AF738/BS738,0))</f>
        <v>1</v>
      </c>
      <c r="AH738" s="59" t="n">
        <f aca="false">IF(CH738&gt;0,CH738*MAX(1,AF738/X738),IF(BT738=1,IF(AF738&lt;=0,0,BW738*MAX(1,IF(H738&gt;0,AF738/H738,1))),IF(R738&gt;0,AG738/R738,0))/MAX(0.1,N(Parameter!$M$21)))</f>
        <v>0.0192307692307692</v>
      </c>
      <c r="AI738" s="57" t="n">
        <f aca="false">AF738*G738</f>
        <v>1360.4</v>
      </c>
      <c r="AJ738" s="57" t="n">
        <f aca="false">ROUNDUP(MAX(J738/IF(BZ738&gt;0,BZ738,MAX(0.1,N(Cockpit!$C$6))),CC738)/BS738,0)*BS738</f>
        <v>15</v>
      </c>
      <c r="AK738" s="58" t="n">
        <f aca="false">IF(AH738&gt;0,J738/AH738,-1)</f>
        <v>0</v>
      </c>
      <c r="AL738" s="58" t="n">
        <f aca="false">IF(AND(OR(BY738="L1",BY738="L23"),AH738&gt;0),SUMIFS($AH$7:$AH$1843,$BY$7:$BY$1843,BY738,$AK$7:$AK$1843,"&gt;"&amp;AK738)+SUMIFS($AH$7:$AH$1843,$BY$7:$BY$1843,BY738,$AK$7:$AK$1843,AK738,$BQ$7:$BQ$1843,"&lt;="&amp;BQ738),"")</f>
        <v>77.151253336036</v>
      </c>
      <c r="AM738" s="65" t="n">
        <f aca="false">IF(AL738="",0,MAX(0,MIN(1,(IF(BY738="L1",Parameter!$E$5,Parameter!$E$6+Parameter!$E$7)-(AL738-AH738))/AH738)))</f>
        <v>1</v>
      </c>
      <c r="AN738" s="57" t="n">
        <f aca="false">IF(LEFT(Cockpit!$I$5,1)="A",H738,IF(CA738=1,CB738,IF(LEFT(Cockpit!$I$5,1)="B",AR738,MAX(AR738,H738))))</f>
        <v>15</v>
      </c>
      <c r="AO738" s="57" t="n">
        <f aca="false">IF(BT738=1,0,ROUNDUP(AN738/BS738,0))</f>
        <v>1</v>
      </c>
      <c r="AP738" s="59" t="n">
        <f aca="false">IF(CH738&gt;0,CH738*MAX(1,AN738/X738),IF(BT738=1,IF(AN738&lt;=0,0,BW738*MAX(1,IF(H738&gt;0,AN738/H738,1))),IF(R738&gt;0,AO738/R738,0))/MAX(0.1,N(Parameter!$M$21)))</f>
        <v>0.0192307692307692</v>
      </c>
      <c r="AQ738" s="57" t="n">
        <f aca="false">AN738*G738</f>
        <v>2550.75</v>
      </c>
      <c r="AR738" s="57" t="n">
        <f aca="false">ROUNDUP(MAX(J738/IF(BZ738&gt;0,BZ738,MAX(0.1,N(Cockpit!$I$6))),CC738)/BS738,0)*BS738</f>
        <v>15</v>
      </c>
      <c r="AS738" s="58" t="n">
        <f aca="false">IF(AP738&gt;0,J738/AP738,-1)</f>
        <v>0</v>
      </c>
      <c r="AT738" s="58" t="n">
        <f aca="false">IF(AND(OR(BY738="L1",BY738="L23"),AP738&gt;0),SUMIFS($AP$7:$AP$1843,$BY$7:$BY$1843,BY738,$AS$7:$AS$1843,"&gt;"&amp;AS738)+SUMIFS($AP$7:$AP$1843,$BY$7:$BY$1843,BY738,$AS$7:$AS$1843,AS738,$BQ$7:$BQ$1843,"&lt;="&amp;BQ738),"")</f>
        <v>117.814972467146</v>
      </c>
      <c r="AU738" s="65" t="n">
        <f aca="false">IF(AT738="",0,MAX(0,MIN(1,(IF(BY738="L1",Parameter!$E$5,Parameter!$E$6+Parameter!$E$7)-(AT738-AP738))/AP738)))</f>
        <v>0</v>
      </c>
      <c r="AV738" s="57" t="n">
        <f aca="false">IF(LEFT(Cockpit!$O$5,1)="A",H738,IF(CA738=1,CB738,IF(LEFT(Cockpit!$O$5,1)="B",AZ738,MAX(AZ738,H738))))</f>
        <v>15</v>
      </c>
      <c r="AW738" s="57" t="n">
        <f aca="false">IF(BT738=1,0,ROUNDUP(AV738/BS738,0))</f>
        <v>1</v>
      </c>
      <c r="AX738" s="59" t="n">
        <f aca="false">IF(CH738&gt;0,CH738*MAX(1,AV738/X738),IF(BT738=1,IF(AV738&lt;=0,0,BW738*MAX(1,IF(H738&gt;0,AV738/H738,1))),IF(R738&gt;0,AW738/R738,0))/MAX(0.1,N(Parameter!$M$21)))</f>
        <v>0.0192307692307692</v>
      </c>
      <c r="AY738" s="57" t="n">
        <f aca="false">AV738*G738</f>
        <v>2550.75</v>
      </c>
      <c r="AZ738" s="57" t="n">
        <f aca="false">ROUNDUP(MAX(J738/IF(BZ738&gt;0,BZ738,MAX(0.1,N(Cockpit!$O$6))),CC738)/BS738,0)*BS738</f>
        <v>15</v>
      </c>
      <c r="BA738" s="58" t="n">
        <f aca="false">IF(AX738&gt;0,J738/AX738,-1)</f>
        <v>0</v>
      </c>
      <c r="BB738" s="58" t="n">
        <f aca="false">IF(AND(OR(BY738="L1",BY738="L23"),AX738&gt;0),SUMIFS($AX$7:$AX$1843,$BY$7:$BY$1843,BY738,$BA$7:$BA$1843,"&gt;"&amp;BA738)+SUMIFS($AX$7:$AX$1843,$BY$7:$BY$1843,BY738,$BA$7:$BA$1843,BA738,$BQ$7:$BQ$1843,"&lt;="&amp;BQ738),"")</f>
        <v>108.644809296983</v>
      </c>
      <c r="BC738" s="65" t="n">
        <f aca="false">IF(BB738="",0,MAX(0,MIN(1,(IF(BY738="L1",Parameter!$E$5,Parameter!$E$6+Parameter!$E$7)-(BB738-AX738))/AX738)))</f>
        <v>0</v>
      </c>
      <c r="BD738" s="55" t="str">
        <f aca="false">IF(AH738&lt;=0,"",IF(BY738="Aussen","Aussenlager",IF(BY738="-","Nicht im Lift",IF(AM738&gt;=1,"Lift",IF(AM738&lt;=0,"Aussenlager","teilweise")))))</f>
        <v>Lift</v>
      </c>
      <c r="BE738" s="55" t="str">
        <f aca="false">IF(AP738&lt;=0,"",IF(BY738="Aussen","Aussenlager",IF(BY738="-","Nicht im Lift",IF(AU738&gt;=1,"Lift",IF(AU738&lt;=0,"Aussenlager","teilweise")))))</f>
        <v>Aussenlager</v>
      </c>
      <c r="BF738" s="55" t="str">
        <f aca="false">IF(AX738&lt;=0,"",IF(BY738="Aussen","Aussenlager",IF(BY738="-","Nicht im Lift",IF(BC738&gt;=1,"Lift",IF(BC738&lt;=0,"Aussenlager","teilweise")))))</f>
        <v>Aussenlager</v>
      </c>
      <c r="BG738" s="55" t="str">
        <f aca="false">IF(A738="","",IF(BP738=1,"Neu; ","")&amp;IF(AND(BP738=0,BK738&lt;0),"negativer Bestand (Export "&amp;BK738&amp;"); ","")&amp;IF(J738&lt;=0,"Kein Verbrauch; ","")&amp;IF(CH738&gt;0,"Lift "&amp;W738&amp;" lt. Liftbericht (Fach "&amp;X738&amp;" Stk); ",IF(BU738=1,"Gebinde geschätzt ("&amp;T738&amp;"); ",IF(BT738=1,"Lose – Tablare geschätzt; ","")))&amp;IF(H738&gt;AR738,"Überbestand "&amp;ROUND(H738-AR738,0)&amp;" Stk / CHF "&amp;ROUND((H738-AR738)*G738,0)&amp;"; ","")&amp;IF(AND(CA738=1,CB738&lt;CC738),"MAX &lt; MB+LG; ","")&amp;IF(AND(CG738&gt;0,CF738*10&gt;CG738),"zu hoch für Tablar; ","")&amp;IF(AND(BP738=0,OR(CA738=1,AA738&lt;&gt;"",U738&lt;&gt;"",V738&lt;&gt;"",AB738&lt;&gt;"")),"manuell übersteuert; ","")&amp;IF(AND(BT738=0,R738=0),"Gebinde unbekannt / Stellmass fehlt; ","")&amp;IF(AND(BT738=0,N(V738)&lt;=0,N(Q738)&lt;=0),"Menge pro Gebinde fehlt (Ist = 1 Gebinde); ","")&amp;BO738)</f>
        <v>Kein Verbrauch; </v>
      </c>
      <c r="BH738" s="55"/>
      <c r="BI738" s="55"/>
      <c r="BJ738" s="62"/>
      <c r="BK738" s="57" t="n">
        <v>0</v>
      </c>
      <c r="BL738" s="57" t="n">
        <v>8</v>
      </c>
      <c r="BM738" s="56" t="n">
        <v>0</v>
      </c>
      <c r="BN738" s="57" t="n">
        <v>0</v>
      </c>
      <c r="BO738" s="55"/>
      <c r="BP738" s="60" t="n">
        <v>0</v>
      </c>
      <c r="BQ738" s="60" t="n">
        <v>738</v>
      </c>
      <c r="BR738" s="55" t="str">
        <f aca="false">IF(U738&lt;&gt;"",UPPER(TRIM(U738)),IF(BU738=1,UPPER(VLOOKUP(T738,Parameter!$I$27:$K$29,2,0)),IF(P738="","LOSE",P738)))</f>
        <v>S41</v>
      </c>
      <c r="BS738" s="57" t="n">
        <f aca="false">IF(BR738="LOSE",1,IF(N(V738)&gt;0,V738,IF(BU738=1,MAX(1,N(VLOOKUP(T738,Parameter!$I$27:$K$29,3,0)),H738,N(N738)),IF(N(Q738)&gt;0,Q738,MAX(1,H738)))))</f>
        <v>15</v>
      </c>
      <c r="BT738" s="60" t="n">
        <f aca="false">IF(BR738="LOSE",1,0)</f>
        <v>0</v>
      </c>
      <c r="BU738" s="60" t="n">
        <f aca="false">IF(AND(U738="",OR(P738="",P738="LOSE"),T738&lt;&gt;"",N(S738)&lt;=0,ISNUMBER(MATCH(T738,Parameter!$I$27:$I$29,0))),1,0)</f>
        <v>0</v>
      </c>
      <c r="BV738" s="55" t="str">
        <f aca="false">IF(AND(Parameter!$B$19="Ja",E738&lt;&gt;"",ISNUMBER(MATCH(E738,Parameter!$I$35:$I$52,0))),VLOOKUP(E738,Parameter!$I$35:$J$52,2,0),IFERROR(VLOOKUP(D738,Parameter!$A$35:$C$64,2,0),"Nein"))</f>
        <v>2+3</v>
      </c>
      <c r="BW738" s="59" t="n">
        <f aca="false">IF(BT738=0,0,IF(N(S738)&gt;0,S738,IFERROR(VLOOKUP(D738,Parameter!$A$35:$C$64,3,0)+0,0)))</f>
        <v>0</v>
      </c>
      <c r="BX738" s="55" t="n">
        <f aca="false">IF(AA738&lt;&gt;"",AA738,Z738)</f>
        <v>3</v>
      </c>
      <c r="BY738" s="55" t="str">
        <f aca="false">IF(BX738=1,"L1",IF(OR(BX738=2,BX738=3),"L23",IF(BX738="Aussen","Aussen","-")))</f>
        <v>L23</v>
      </c>
      <c r="BZ738" s="66" t="n">
        <f aca="false">IF(N(AB738)&gt;0,AB738,0)</f>
        <v>0</v>
      </c>
      <c r="CA738" s="60" t="n">
        <f aca="false">IF(ISNUMBER(AE738),1,0)</f>
        <v>0</v>
      </c>
      <c r="CB738" s="57" t="n">
        <f aca="false">N(AE738)</f>
        <v>0</v>
      </c>
      <c r="CC738" s="57" t="n">
        <f aca="false">N(M738)+N(N738)</f>
        <v>1</v>
      </c>
      <c r="CD738" s="57" t="n">
        <f aca="false">ROUNDUP(H738/BS738,0)</f>
        <v>1</v>
      </c>
      <c r="CE738" s="57" t="n">
        <f aca="false">ROUNDUP(CB738/BS738,0)</f>
        <v>0</v>
      </c>
      <c r="CF738" s="60" t="n">
        <f aca="false">IF(BT738=1,0,IFERROR(VLOOKUP(BR738,'Gebinde-Kategorie'!$A$5:$M$45,5,0)+0,0))</f>
        <v>11</v>
      </c>
      <c r="CG738" s="60" t="n">
        <f aca="false">IFERROR(IF(OR(BX738=1,BX738=2,BX738=3),N(INDEX(Parameter!$I$5:$I$7,BX738)),0),0)</f>
        <v>0</v>
      </c>
      <c r="CH738" s="59" t="n">
        <f aca="false">IF(AND(Parameter!$B$21="Ja",ISNUMBER(W738),N(X738)&gt;0),IFERROR(N(INDEX(Parameter!$L$5:$L$7,W738))*INDEX(Parameter!$E$5:$E$7,W738)*X738/SUMIFS($X$7:$X$1843,$W$7:$W$1843,W738),0),0)</f>
        <v>0</v>
      </c>
    </row>
    <row r="739" customFormat="false" ht="15" hidden="false" customHeight="false" outlineLevel="0" collapsed="false">
      <c r="A739" s="55" t="s">
        <v>1464</v>
      </c>
      <c r="B739" s="55" t="s">
        <v>1465</v>
      </c>
      <c r="C739" s="55" t="s">
        <v>164</v>
      </c>
      <c r="D739" s="55" t="s">
        <v>995</v>
      </c>
      <c r="E739" s="55"/>
      <c r="F739" s="55" t="s">
        <v>218</v>
      </c>
      <c r="G739" s="56" t="n">
        <v>1088.02</v>
      </c>
      <c r="H739" s="57" t="n">
        <f aca="false">MAX(0,IF(AND(Parameter!$B$21="Ja",ISNUMBER(Y739)),Y739,IF(Parameter!$B$20="Jahresanfang 2025 + Export",BL739+BK739,BK739)))</f>
        <v>0</v>
      </c>
      <c r="I739" s="57" t="n">
        <f aca="false">H739*G739</f>
        <v>0</v>
      </c>
      <c r="J739" s="57" t="n">
        <f aca="false">BN739*Parameter!$B$18</f>
        <v>0</v>
      </c>
      <c r="K739" s="58" t="n">
        <v>0</v>
      </c>
      <c r="L739" s="59" t="n">
        <v>0</v>
      </c>
      <c r="M739" s="57" t="n">
        <v>0</v>
      </c>
      <c r="N739" s="57" t="n">
        <v>1</v>
      </c>
      <c r="O739" s="60" t="n">
        <v>42</v>
      </c>
      <c r="P739" s="55" t="s">
        <v>168</v>
      </c>
      <c r="Q739" s="57"/>
      <c r="R739" s="60" t="n">
        <f aca="false">IF(BT739=1,0,IFERROR(VLOOKUP(BR739,'Gebinde-Kategorie'!$A$5:$M$45,13,0)+0,0))</f>
        <v>0</v>
      </c>
      <c r="S739" s="61"/>
      <c r="T739" s="62"/>
      <c r="U739" s="62"/>
      <c r="V739" s="62"/>
      <c r="W739" s="55"/>
      <c r="X739" s="57"/>
      <c r="Y739" s="57"/>
      <c r="Z739" s="55" t="str">
        <f aca="false">IF(A739="","",IF(AND(Parameter!$B$21="Ja",ISNUMBER(W739)),W739,IF(BV739="2+3",IF(ISNUMBER(SEARCH("grosser Artikel",BO739)),2,IFERROR(VLOOKUP(BR739,Parameter!$F$35:$G$64,2,0),2)),IF(OR(BV739="Nein",BV739=""),"-",BV739))))</f>
        <v>-</v>
      </c>
      <c r="AA739" s="62"/>
      <c r="AB739" s="63"/>
      <c r="AC739" s="57" t="n">
        <f aca="false">AR739</f>
        <v>1</v>
      </c>
      <c r="AD739" s="57" t="n">
        <f aca="false">MAX(AR739,H739)</f>
        <v>1</v>
      </c>
      <c r="AE739" s="64"/>
      <c r="AF739" s="57" t="n">
        <f aca="false">IF(LEFT(Cockpit!$C$5,1)="A",H739,IF(CA739=1,CB739,IF(LEFT(Cockpit!$C$5,1)="B",AJ739,MAX(AJ739,H739))))</f>
        <v>0</v>
      </c>
      <c r="AG739" s="57" t="n">
        <f aca="false">IF(BT739=1,0,ROUNDUP(AF739/BS739,0))</f>
        <v>0</v>
      </c>
      <c r="AH739" s="59" t="n">
        <f aca="false">IF(CH739&gt;0,CH739*MAX(1,AF739/X739),IF(BT739=1,IF(AF739&lt;=0,0,BW739*MAX(1,IF(H739&gt;0,AF739/H739,1))),IF(R739&gt;0,AG739/R739,0))/MAX(0.1,N(Parameter!$M$21)))</f>
        <v>0</v>
      </c>
      <c r="AI739" s="57" t="n">
        <f aca="false">AF739*G739</f>
        <v>0</v>
      </c>
      <c r="AJ739" s="57" t="n">
        <f aca="false">ROUNDUP(MAX(J739/IF(BZ739&gt;0,BZ739,MAX(0.1,N(Cockpit!$C$6))),CC739)/BS739,0)*BS739</f>
        <v>1</v>
      </c>
      <c r="AK739" s="58" t="n">
        <f aca="false">IF(AH739&gt;0,J739/AH739,-1)</f>
        <v>-1</v>
      </c>
      <c r="AL739" s="58" t="str">
        <f aca="false">IF(AND(OR(BY739="L1",BY739="L23"),AH739&gt;0),SUMIFS($AH$7:$AH$1843,$BY$7:$BY$1843,BY739,$AK$7:$AK$1843,"&gt;"&amp;AK739)+SUMIFS($AH$7:$AH$1843,$BY$7:$BY$1843,BY739,$AK$7:$AK$1843,AK739,$BQ$7:$BQ$1843,"&lt;="&amp;BQ739),"")</f>
        <v/>
      </c>
      <c r="AM739" s="65" t="n">
        <f aca="false">IF(AL739="",0,MAX(0,MIN(1,(IF(BY739="L1",Parameter!$E$5,Parameter!$E$6+Parameter!$E$7)-(AL739-AH739))/AH739)))</f>
        <v>0</v>
      </c>
      <c r="AN739" s="57" t="n">
        <f aca="false">IF(LEFT(Cockpit!$I$5,1)="A",H739,IF(CA739=1,CB739,IF(LEFT(Cockpit!$I$5,1)="B",AR739,MAX(AR739,H739))))</f>
        <v>1</v>
      </c>
      <c r="AO739" s="57" t="n">
        <f aca="false">IF(BT739=1,0,ROUNDUP(AN739/BS739,0))</f>
        <v>0</v>
      </c>
      <c r="AP739" s="59" t="n">
        <f aca="false">IF(CH739&gt;0,CH739*MAX(1,AN739/X739),IF(BT739=1,IF(AN739&lt;=0,0,BW739*MAX(1,IF(H739&gt;0,AN739/H739,1))),IF(R739&gt;0,AO739/R739,0))/MAX(0.1,N(Parameter!$M$21)))</f>
        <v>0.15</v>
      </c>
      <c r="AQ739" s="57" t="n">
        <f aca="false">AN739*G739</f>
        <v>1088.02</v>
      </c>
      <c r="AR739" s="57" t="n">
        <f aca="false">ROUNDUP(MAX(J739/IF(BZ739&gt;0,BZ739,MAX(0.1,N(Cockpit!$I$6))),CC739)/BS739,0)*BS739</f>
        <v>1</v>
      </c>
      <c r="AS739" s="58" t="n">
        <f aca="false">IF(AP739&gt;0,J739/AP739,-1)</f>
        <v>0</v>
      </c>
      <c r="AT739" s="58" t="str">
        <f aca="false">IF(AND(OR(BY739="L1",BY739="L23"),AP739&gt;0),SUMIFS($AP$7:$AP$1843,$BY$7:$BY$1843,BY739,$AS$7:$AS$1843,"&gt;"&amp;AS739)+SUMIFS($AP$7:$AP$1843,$BY$7:$BY$1843,BY739,$AS$7:$AS$1843,AS739,$BQ$7:$BQ$1843,"&lt;="&amp;BQ739),"")</f>
        <v/>
      </c>
      <c r="AU739" s="65" t="n">
        <f aca="false">IF(AT739="",0,MAX(0,MIN(1,(IF(BY739="L1",Parameter!$E$5,Parameter!$E$6+Parameter!$E$7)-(AT739-AP739))/AP739)))</f>
        <v>0</v>
      </c>
      <c r="AV739" s="57" t="n">
        <f aca="false">IF(LEFT(Cockpit!$O$5,1)="A",H739,IF(CA739=1,CB739,IF(LEFT(Cockpit!$O$5,1)="B",AZ739,MAX(AZ739,H739))))</f>
        <v>1</v>
      </c>
      <c r="AW739" s="57" t="n">
        <f aca="false">IF(BT739=1,0,ROUNDUP(AV739/BS739,0))</f>
        <v>0</v>
      </c>
      <c r="AX739" s="59" t="n">
        <f aca="false">IF(CH739&gt;0,CH739*MAX(1,AV739/X739),IF(BT739=1,IF(AV739&lt;=0,0,BW739*MAX(1,IF(H739&gt;0,AV739/H739,1))),IF(R739&gt;0,AW739/R739,0))/MAX(0.1,N(Parameter!$M$21)))</f>
        <v>0.15</v>
      </c>
      <c r="AY739" s="57" t="n">
        <f aca="false">AV739*G739</f>
        <v>1088.02</v>
      </c>
      <c r="AZ739" s="57" t="n">
        <f aca="false">ROUNDUP(MAX(J739/IF(BZ739&gt;0,BZ739,MAX(0.1,N(Cockpit!$O$6))),CC739)/BS739,0)*BS739</f>
        <v>1</v>
      </c>
      <c r="BA739" s="58" t="n">
        <f aca="false">IF(AX739&gt;0,J739/AX739,-1)</f>
        <v>0</v>
      </c>
      <c r="BB739" s="58" t="str">
        <f aca="false">IF(AND(OR(BY739="L1",BY739="L23"),AX739&gt;0),SUMIFS($AX$7:$AX$1843,$BY$7:$BY$1843,BY739,$BA$7:$BA$1843,"&gt;"&amp;BA739)+SUMIFS($AX$7:$AX$1843,$BY$7:$BY$1843,BY739,$BA$7:$BA$1843,BA739,$BQ$7:$BQ$1843,"&lt;="&amp;BQ739),"")</f>
        <v/>
      </c>
      <c r="BC739" s="65" t="n">
        <f aca="false">IF(BB739="",0,MAX(0,MIN(1,(IF(BY739="L1",Parameter!$E$5,Parameter!$E$6+Parameter!$E$7)-(BB739-AX739))/AX739)))</f>
        <v>0</v>
      </c>
      <c r="BD739" s="55" t="str">
        <f aca="false">IF(AH739&lt;=0,"",IF(BY739="Aussen","Aussenlager",IF(BY739="-","Nicht im Lift",IF(AM739&gt;=1,"Lift",IF(AM739&lt;=0,"Aussenlager","teilweise")))))</f>
        <v/>
      </c>
      <c r="BE739" s="55" t="str">
        <f aca="false">IF(AP739&lt;=0,"",IF(BY739="Aussen","Aussenlager",IF(BY739="-","Nicht im Lift",IF(AU739&gt;=1,"Lift",IF(AU739&lt;=0,"Aussenlager","teilweise")))))</f>
        <v>Nicht im Lift</v>
      </c>
      <c r="BF739" s="55" t="str">
        <f aca="false">IF(AX739&lt;=0,"",IF(BY739="Aussen","Aussenlager",IF(BY739="-","Nicht im Lift",IF(BC739&gt;=1,"Lift",IF(BC739&lt;=0,"Aussenlager","teilweise")))))</f>
        <v>Nicht im Lift</v>
      </c>
      <c r="BG739" s="55" t="str">
        <f aca="false">IF(A739="","",IF(BP739=1,"Neu; ","")&amp;IF(AND(BP739=0,BK739&lt;0),"negativer Bestand (Export "&amp;BK739&amp;"); ","")&amp;IF(J739&lt;=0,"Kein Verbrauch; ","")&amp;IF(CH739&gt;0,"Lift "&amp;W739&amp;" lt. Liftbericht (Fach "&amp;X739&amp;" Stk); ",IF(BU739=1,"Gebinde geschätzt ("&amp;T739&amp;"); ",IF(BT739=1,"Lose – Tablare geschätzt; ","")))&amp;IF(H739&gt;AR739,"Überbestand "&amp;ROUND(H739-AR739,0)&amp;" Stk / CHF "&amp;ROUND((H739-AR739)*G739,0)&amp;"; ","")&amp;IF(AND(CA739=1,CB739&lt;CC739),"MAX &lt; MB+LG; ","")&amp;IF(AND(CG739&gt;0,CF739*10&gt;CG739),"zu hoch für Tablar; ","")&amp;IF(AND(BP739=0,OR(CA739=1,AA739&lt;&gt;"",U739&lt;&gt;"",V739&lt;&gt;"",AB739&lt;&gt;"")),"manuell übersteuert; ","")&amp;IF(AND(BT739=0,R739=0),"Gebinde unbekannt / Stellmass fehlt; ","")&amp;IF(AND(BT739=0,N(V739)&lt;=0,N(Q739)&lt;=0),"Menge pro Gebinde fehlt (Ist = 1 Gebinde); ","")&amp;BO739)</f>
        <v>Kein Verbrauch; Lose – Tablare geschätzt; </v>
      </c>
      <c r="BH739" s="55"/>
      <c r="BI739" s="55"/>
      <c r="BJ739" s="62"/>
      <c r="BK739" s="57" t="n">
        <v>0</v>
      </c>
      <c r="BL739" s="57" t="n">
        <v>0</v>
      </c>
      <c r="BM739" s="56" t="n">
        <v>0</v>
      </c>
      <c r="BN739" s="57" t="n">
        <v>0</v>
      </c>
      <c r="BO739" s="55"/>
      <c r="BP739" s="60" t="n">
        <v>0</v>
      </c>
      <c r="BQ739" s="60" t="n">
        <v>739</v>
      </c>
      <c r="BR739" s="55" t="str">
        <f aca="false">IF(U739&lt;&gt;"",UPPER(TRIM(U739)),IF(BU739=1,UPPER(VLOOKUP(T739,Parameter!$I$27:$K$29,2,0)),IF(P739="","LOSE",P739)))</f>
        <v>LOSE</v>
      </c>
      <c r="BS739" s="57" t="n">
        <f aca="false">IF(BR739="LOSE",1,IF(N(V739)&gt;0,V739,IF(BU739=1,MAX(1,N(VLOOKUP(T739,Parameter!$I$27:$K$29,3,0)),H739,N(N739)),IF(N(Q739)&gt;0,Q739,MAX(1,H739)))))</f>
        <v>1</v>
      </c>
      <c r="BT739" s="60" t="n">
        <f aca="false">IF(BR739="LOSE",1,0)</f>
        <v>1</v>
      </c>
      <c r="BU739" s="60" t="n">
        <f aca="false">IF(AND(U739="",OR(P739="",P739="LOSE"),T739&lt;&gt;"",N(S739)&lt;=0,ISNUMBER(MATCH(T739,Parameter!$I$27:$I$29,0))),1,0)</f>
        <v>0</v>
      </c>
      <c r="BV739" s="55" t="str">
        <f aca="false">IF(AND(Parameter!$B$19="Ja",E739&lt;&gt;"",ISNUMBER(MATCH(E739,Parameter!$I$35:$I$52,0))),VLOOKUP(E739,Parameter!$I$35:$J$52,2,0),IFERROR(VLOOKUP(D739,Parameter!$A$35:$C$64,2,0),"Nein"))</f>
        <v>Nein</v>
      </c>
      <c r="BW739" s="59" t="n">
        <f aca="false">IF(BT739=0,0,IF(N(S739)&gt;0,S739,IFERROR(VLOOKUP(D739,Parameter!$A$35:$C$64,3,0)+0,0)))</f>
        <v>0.15</v>
      </c>
      <c r="BX739" s="55" t="str">
        <f aca="false">IF(AA739&lt;&gt;"",AA739,Z739)</f>
        <v>-</v>
      </c>
      <c r="BY739" s="55" t="str">
        <f aca="false">IF(BX739=1,"L1",IF(OR(BX739=2,BX739=3),"L23",IF(BX739="Aussen","Aussen","-")))</f>
        <v>-</v>
      </c>
      <c r="BZ739" s="66" t="n">
        <f aca="false">IF(N(AB739)&gt;0,AB739,0)</f>
        <v>0</v>
      </c>
      <c r="CA739" s="60" t="n">
        <f aca="false">IF(ISNUMBER(AE739),1,0)</f>
        <v>0</v>
      </c>
      <c r="CB739" s="57" t="n">
        <f aca="false">N(AE739)</f>
        <v>0</v>
      </c>
      <c r="CC739" s="57" t="n">
        <f aca="false">N(M739)+N(N739)</f>
        <v>1</v>
      </c>
      <c r="CD739" s="57" t="n">
        <f aca="false">ROUNDUP(H739/BS739,0)</f>
        <v>0</v>
      </c>
      <c r="CE739" s="57" t="n">
        <f aca="false">ROUNDUP(CB739/BS739,0)</f>
        <v>0</v>
      </c>
      <c r="CF739" s="60" t="n">
        <f aca="false">IF(BT739=1,0,IFERROR(VLOOKUP(BR739,'Gebinde-Kategorie'!$A$5:$M$45,5,0)+0,0))</f>
        <v>0</v>
      </c>
      <c r="CG739" s="60" t="n">
        <f aca="false">IFERROR(IF(OR(BX739=1,BX739=2,BX739=3),N(INDEX(Parameter!$I$5:$I$7,BX739)),0),0)</f>
        <v>0</v>
      </c>
      <c r="CH739" s="59" t="n">
        <f aca="false">IF(AND(Parameter!$B$21="Ja",ISNUMBER(W739),N(X739)&gt;0),IFERROR(N(INDEX(Parameter!$L$5:$L$7,W739))*INDEX(Parameter!$E$5:$E$7,W739)*X739/SUMIFS($X$7:$X$1843,$W$7:$W$1843,W739),0),0)</f>
        <v>0</v>
      </c>
    </row>
    <row r="740" customFormat="false" ht="15" hidden="false" customHeight="false" outlineLevel="0" collapsed="false">
      <c r="A740" s="55" t="s">
        <v>1466</v>
      </c>
      <c r="B740" s="55" t="s">
        <v>1467</v>
      </c>
      <c r="C740" s="55" t="s">
        <v>456</v>
      </c>
      <c r="D740" s="55" t="s">
        <v>173</v>
      </c>
      <c r="E740" s="55"/>
      <c r="F740" s="55" t="s">
        <v>218</v>
      </c>
      <c r="G740" s="56" t="n">
        <v>0.01</v>
      </c>
      <c r="H740" s="57" t="n">
        <f aca="false">MAX(0,IF(AND(Parameter!$B$21="Ja",ISNUMBER(Y740)),Y740,IF(Parameter!$B$20="Jahresanfang 2025 + Export",BL740+BK740,BK740)))</f>
        <v>0</v>
      </c>
      <c r="I740" s="57" t="n">
        <f aca="false">H740*G740</f>
        <v>0</v>
      </c>
      <c r="J740" s="57" t="n">
        <f aca="false">BN740*Parameter!$B$18</f>
        <v>0</v>
      </c>
      <c r="K740" s="58" t="n">
        <v>49.5</v>
      </c>
      <c r="L740" s="59" t="n">
        <v>0</v>
      </c>
      <c r="M740" s="57" t="n">
        <v>0</v>
      </c>
      <c r="N740" s="57" t="n">
        <v>10</v>
      </c>
      <c r="O740" s="60" t="n">
        <v>90</v>
      </c>
      <c r="P740" s="55" t="s">
        <v>168</v>
      </c>
      <c r="Q740" s="57"/>
      <c r="R740" s="60" t="n">
        <f aca="false">IF(BT740=1,0,IFERROR(VLOOKUP(BR740,'Gebinde-Kategorie'!$A$5:$M$45,13,0)+0,0))</f>
        <v>12</v>
      </c>
      <c r="S740" s="61"/>
      <c r="T740" s="62" t="s">
        <v>179</v>
      </c>
      <c r="U740" s="62"/>
      <c r="V740" s="62"/>
      <c r="W740" s="55"/>
      <c r="X740" s="57"/>
      <c r="Y740" s="57"/>
      <c r="Z740" s="55" t="n">
        <f aca="false">IF(A740="","",IF(AND(Parameter!$B$21="Ja",ISNUMBER(W740)),W740,IF(BV740="2+3",IF(ISNUMBER(SEARCH("grosser Artikel",BO740)),2,IFERROR(VLOOKUP(BR740,Parameter!$F$35:$G$64,2,0),2)),IF(OR(BV740="Nein",BV740=""),"-",BV740))))</f>
        <v>2</v>
      </c>
      <c r="AA740" s="62"/>
      <c r="AB740" s="63"/>
      <c r="AC740" s="57" t="n">
        <f aca="false">AR740</f>
        <v>10</v>
      </c>
      <c r="AD740" s="57" t="n">
        <f aca="false">MAX(AR740,H740)</f>
        <v>10</v>
      </c>
      <c r="AE740" s="64"/>
      <c r="AF740" s="57" t="n">
        <f aca="false">IF(LEFT(Cockpit!$C$5,1)="A",H740,IF(CA740=1,CB740,IF(LEFT(Cockpit!$C$5,1)="B",AJ740,MAX(AJ740,H740))))</f>
        <v>0</v>
      </c>
      <c r="AG740" s="57" t="n">
        <f aca="false">IF(BT740=1,0,ROUNDUP(AF740/BS740,0))</f>
        <v>0</v>
      </c>
      <c r="AH740" s="59" t="n">
        <f aca="false">IF(CH740&gt;0,CH740*MAX(1,AF740/X740),IF(BT740=1,IF(AF740&lt;=0,0,BW740*MAX(1,IF(H740&gt;0,AF740/H740,1))),IF(R740&gt;0,AG740/R740,0))/MAX(0.1,N(Parameter!$M$21)))</f>
        <v>0</v>
      </c>
      <c r="AI740" s="57" t="n">
        <f aca="false">AF740*G740</f>
        <v>0</v>
      </c>
      <c r="AJ740" s="57" t="n">
        <f aca="false">ROUNDUP(MAX(J740/IF(BZ740&gt;0,BZ740,MAX(0.1,N(Cockpit!$C$6))),CC740)/BS740,0)*BS740</f>
        <v>10</v>
      </c>
      <c r="AK740" s="58" t="n">
        <f aca="false">IF(AH740&gt;0,J740/AH740,-1)</f>
        <v>-1</v>
      </c>
      <c r="AL740" s="58" t="str">
        <f aca="false">IF(AND(OR(BY740="L1",BY740="L23"),AH740&gt;0),SUMIFS($AH$7:$AH$1843,$BY$7:$BY$1843,BY740,$AK$7:$AK$1843,"&gt;"&amp;AK740)+SUMIFS($AH$7:$AH$1843,$BY$7:$BY$1843,BY740,$AK$7:$AK$1843,AK740,$BQ$7:$BQ$1843,"&lt;="&amp;BQ740),"")</f>
        <v/>
      </c>
      <c r="AM740" s="65" t="n">
        <f aca="false">IF(AL740="",0,MAX(0,MIN(1,(IF(BY740="L1",Parameter!$E$5,Parameter!$E$6+Parameter!$E$7)-(AL740-AH740))/AH740)))</f>
        <v>0</v>
      </c>
      <c r="AN740" s="57" t="n">
        <f aca="false">IF(LEFT(Cockpit!$I$5,1)="A",H740,IF(CA740=1,CB740,IF(LEFT(Cockpit!$I$5,1)="B",AR740,MAX(AR740,H740))))</f>
        <v>10</v>
      </c>
      <c r="AO740" s="57" t="n">
        <f aca="false">IF(BT740=1,0,ROUNDUP(AN740/BS740,0))</f>
        <v>1</v>
      </c>
      <c r="AP740" s="59" t="n">
        <f aca="false">IF(CH740&gt;0,CH740*MAX(1,AN740/X740),IF(BT740=1,IF(AN740&lt;=0,0,BW740*MAX(1,IF(H740&gt;0,AN740/H740,1))),IF(R740&gt;0,AO740/R740,0))/MAX(0.1,N(Parameter!$M$21)))</f>
        <v>0.0833333333333333</v>
      </c>
      <c r="AQ740" s="57" t="n">
        <f aca="false">AN740*G740</f>
        <v>0.1</v>
      </c>
      <c r="AR740" s="57" t="n">
        <f aca="false">ROUNDUP(MAX(J740/IF(BZ740&gt;0,BZ740,MAX(0.1,N(Cockpit!$I$6))),CC740)/BS740,0)*BS740</f>
        <v>10</v>
      </c>
      <c r="AS740" s="58" t="n">
        <f aca="false">IF(AP740&gt;0,J740/AP740,-1)</f>
        <v>0</v>
      </c>
      <c r="AT740" s="58" t="n">
        <f aca="false">IF(AND(OR(BY740="L1",BY740="L23"),AP740&gt;0),SUMIFS($AP$7:$AP$1843,$BY$7:$BY$1843,BY740,$AS$7:$AS$1843,"&gt;"&amp;AS740)+SUMIFS($AP$7:$AP$1843,$BY$7:$BY$1843,BY740,$AS$7:$AS$1843,AS740,$BQ$7:$BQ$1843,"&lt;="&amp;BQ740),"")</f>
        <v>117.89830580048</v>
      </c>
      <c r="AU740" s="65" t="n">
        <f aca="false">IF(AT740="",0,MAX(0,MIN(1,(IF(BY740="L1",Parameter!$E$5,Parameter!$E$6+Parameter!$E$7)-(AT740-AP740))/AP740)))</f>
        <v>0</v>
      </c>
      <c r="AV740" s="57" t="n">
        <f aca="false">IF(LEFT(Cockpit!$O$5,1)="A",H740,IF(CA740=1,CB740,IF(LEFT(Cockpit!$O$5,1)="B",AZ740,MAX(AZ740,H740))))</f>
        <v>10</v>
      </c>
      <c r="AW740" s="57" t="n">
        <f aca="false">IF(BT740=1,0,ROUNDUP(AV740/BS740,0))</f>
        <v>1</v>
      </c>
      <c r="AX740" s="59" t="n">
        <f aca="false">IF(CH740&gt;0,CH740*MAX(1,AV740/X740),IF(BT740=1,IF(AV740&lt;=0,0,BW740*MAX(1,IF(H740&gt;0,AV740/H740,1))),IF(R740&gt;0,AW740/R740,0))/MAX(0.1,N(Parameter!$M$21)))</f>
        <v>0.0833333333333333</v>
      </c>
      <c r="AY740" s="57" t="n">
        <f aca="false">AV740*G740</f>
        <v>0.1</v>
      </c>
      <c r="AZ740" s="57" t="n">
        <f aca="false">ROUNDUP(MAX(J740/IF(BZ740&gt;0,BZ740,MAX(0.1,N(Cockpit!$O$6))),CC740)/BS740,0)*BS740</f>
        <v>10</v>
      </c>
      <c r="BA740" s="58" t="n">
        <f aca="false">IF(AX740&gt;0,J740/AX740,-1)</f>
        <v>0</v>
      </c>
      <c r="BB740" s="58" t="n">
        <f aca="false">IF(AND(OR(BY740="L1",BY740="L23"),AX740&gt;0),SUMIFS($AX$7:$AX$1843,$BY$7:$BY$1843,BY740,$BA$7:$BA$1843,"&gt;"&amp;BA740)+SUMIFS($AX$7:$AX$1843,$BY$7:$BY$1843,BY740,$BA$7:$BA$1843,BA740,$BQ$7:$BQ$1843,"&lt;="&amp;BQ740),"")</f>
        <v>108.728142630317</v>
      </c>
      <c r="BC740" s="65" t="n">
        <f aca="false">IF(BB740="",0,MAX(0,MIN(1,(IF(BY740="L1",Parameter!$E$5,Parameter!$E$6+Parameter!$E$7)-(BB740-AX740))/AX740)))</f>
        <v>0</v>
      </c>
      <c r="BD740" s="55" t="str">
        <f aca="false">IF(AH740&lt;=0,"",IF(BY740="Aussen","Aussenlager",IF(BY740="-","Nicht im Lift",IF(AM740&gt;=1,"Lift",IF(AM740&lt;=0,"Aussenlager","teilweise")))))</f>
        <v/>
      </c>
      <c r="BE740" s="55" t="str">
        <f aca="false">IF(AP740&lt;=0,"",IF(BY740="Aussen","Aussenlager",IF(BY740="-","Nicht im Lift",IF(AU740&gt;=1,"Lift",IF(AU740&lt;=0,"Aussenlager","teilweise")))))</f>
        <v>Aussenlager</v>
      </c>
      <c r="BF740" s="55" t="str">
        <f aca="false">IF(AX740&lt;=0,"",IF(BY740="Aussen","Aussenlager",IF(BY740="-","Nicht im Lift",IF(BC740&gt;=1,"Lift",IF(BC740&lt;=0,"Aussenlager","teilweise")))))</f>
        <v>Aussenlager</v>
      </c>
      <c r="BG740" s="55" t="str">
        <f aca="false">IF(A740="","",IF(BP740=1,"Neu; ","")&amp;IF(AND(BP740=0,BK740&lt;0),"negativer Bestand (Export "&amp;BK740&amp;"); ","")&amp;IF(J740&lt;=0,"Kein Verbrauch; ","")&amp;IF(CH740&gt;0,"Lift "&amp;W740&amp;" lt. Liftbericht (Fach "&amp;X740&amp;" Stk); ",IF(BU740=1,"Gebinde geschätzt ("&amp;T740&amp;"); ",IF(BT740=1,"Lose – Tablare geschätzt; ","")))&amp;IF(H740&gt;AR740,"Überbestand "&amp;ROUND(H740-AR740,0)&amp;" Stk / CHF "&amp;ROUND((H740-AR740)*G740,0)&amp;"; ","")&amp;IF(AND(CA740=1,CB740&lt;CC740),"MAX &lt; MB+LG; ","")&amp;IF(AND(CG740&gt;0,CF740*10&gt;CG740),"zu hoch für Tablar; ","")&amp;IF(AND(BP740=0,OR(CA740=1,AA740&lt;&gt;"",U740&lt;&gt;"",V740&lt;&gt;"",AB740&lt;&gt;"")),"manuell übersteuert; ","")&amp;IF(AND(BT740=0,R740=0),"Gebinde unbekannt / Stellmass fehlt; ","")&amp;IF(AND(BT740=0,N(V740)&lt;=0,N(Q740)&lt;=0),"Menge pro Gebinde fehlt (Ist = 1 Gebinde); ","")&amp;BO740)</f>
        <v>Kein Verbrauch; Gebinde geschätzt (Mittel); Menge pro Gebinde fehlt (Ist = 1 Gebinde); </v>
      </c>
      <c r="BH740" s="55"/>
      <c r="BI740" s="55"/>
      <c r="BJ740" s="62"/>
      <c r="BK740" s="57" t="n">
        <v>0</v>
      </c>
      <c r="BL740" s="57" t="n">
        <v>0</v>
      </c>
      <c r="BM740" s="56" t="n">
        <v>-1.11022302462516E-016</v>
      </c>
      <c r="BN740" s="57" t="n">
        <v>0</v>
      </c>
      <c r="BO740" s="55"/>
      <c r="BP740" s="60" t="n">
        <v>0</v>
      </c>
      <c r="BQ740" s="60" t="n">
        <v>740</v>
      </c>
      <c r="BR740" s="55" t="str">
        <f aca="false">IF(U740&lt;&gt;"",UPPER(TRIM(U740)),IF(BU740=1,UPPER(VLOOKUP(T740,Parameter!$I$27:$K$29,2,0)),IF(P740="","LOSE",P740)))</f>
        <v>S61</v>
      </c>
      <c r="BS740" s="57" t="n">
        <f aca="false">IF(BR740="LOSE",1,IF(N(V740)&gt;0,V740,IF(BU740=1,MAX(1,N(VLOOKUP(T740,Parameter!$I$27:$K$29,3,0)),H740,N(N740)),IF(N(Q740)&gt;0,Q740,MAX(1,H740)))))</f>
        <v>10</v>
      </c>
      <c r="BT740" s="60" t="n">
        <f aca="false">IF(BR740="LOSE",1,0)</f>
        <v>0</v>
      </c>
      <c r="BU740" s="60" t="n">
        <f aca="false">IF(AND(U740="",OR(P740="",P740="LOSE"),T740&lt;&gt;"",N(S740)&lt;=0,ISNUMBER(MATCH(T740,Parameter!$I$27:$I$29,0))),1,0)</f>
        <v>1</v>
      </c>
      <c r="BV740" s="55" t="str">
        <f aca="false">IF(AND(Parameter!$B$19="Ja",E740&lt;&gt;"",ISNUMBER(MATCH(E740,Parameter!$I$35:$I$52,0))),VLOOKUP(E740,Parameter!$I$35:$J$52,2,0),IFERROR(VLOOKUP(D740,Parameter!$A$35:$C$64,2,0),"Nein"))</f>
        <v>2+3</v>
      </c>
      <c r="BW740" s="59" t="n">
        <f aca="false">IF(BT740=0,0,IF(N(S740)&gt;0,S740,IFERROR(VLOOKUP(D740,Parameter!$A$35:$C$64,3,0)+0,0)))</f>
        <v>0</v>
      </c>
      <c r="BX740" s="55" t="n">
        <f aca="false">IF(AA740&lt;&gt;"",AA740,Z740)</f>
        <v>2</v>
      </c>
      <c r="BY740" s="55" t="str">
        <f aca="false">IF(BX740=1,"L1",IF(OR(BX740=2,BX740=3),"L23",IF(BX740="Aussen","Aussen","-")))</f>
        <v>L23</v>
      </c>
      <c r="BZ740" s="66" t="n">
        <f aca="false">IF(N(AB740)&gt;0,AB740,0)</f>
        <v>0</v>
      </c>
      <c r="CA740" s="60" t="n">
        <f aca="false">IF(ISNUMBER(AE740),1,0)</f>
        <v>0</v>
      </c>
      <c r="CB740" s="57" t="n">
        <f aca="false">N(AE740)</f>
        <v>0</v>
      </c>
      <c r="CC740" s="57" t="n">
        <f aca="false">N(M740)+N(N740)</f>
        <v>10</v>
      </c>
      <c r="CD740" s="57" t="n">
        <f aca="false">ROUNDUP(H740/BS740,0)</f>
        <v>0</v>
      </c>
      <c r="CE740" s="57" t="n">
        <f aca="false">ROUNDUP(CB740/BS740,0)</f>
        <v>0</v>
      </c>
      <c r="CF740" s="60" t="n">
        <f aca="false">IF(BT740=1,0,IFERROR(VLOOKUP(BR740,'Gebinde-Kategorie'!$A$5:$M$45,5,0)+0,0))</f>
        <v>11</v>
      </c>
      <c r="CG740" s="60" t="n">
        <f aca="false">IFERROR(IF(OR(BX740=1,BX740=2,BX740=3),N(INDEX(Parameter!$I$5:$I$7,BX740)),0),0)</f>
        <v>0</v>
      </c>
      <c r="CH740" s="59" t="n">
        <f aca="false">IF(AND(Parameter!$B$21="Ja",ISNUMBER(W740),N(X740)&gt;0),IFERROR(N(INDEX(Parameter!$L$5:$L$7,W740))*INDEX(Parameter!$E$5:$E$7,W740)*X740/SUMIFS($X$7:$X$1843,$W$7:$W$1843,W740),0),0)</f>
        <v>0</v>
      </c>
    </row>
    <row r="741" customFormat="false" ht="15" hidden="false" customHeight="false" outlineLevel="0" collapsed="false">
      <c r="A741" s="55" t="s">
        <v>1468</v>
      </c>
      <c r="B741" s="55" t="s">
        <v>544</v>
      </c>
      <c r="C741" s="55" t="s">
        <v>164</v>
      </c>
      <c r="D741" s="55" t="s">
        <v>995</v>
      </c>
      <c r="E741" s="55" t="s">
        <v>185</v>
      </c>
      <c r="F741" s="55" t="s">
        <v>218</v>
      </c>
      <c r="G741" s="56" t="n">
        <v>32.3</v>
      </c>
      <c r="H741" s="57" t="n">
        <f aca="false">MAX(0,IF(AND(Parameter!$B$21="Ja",ISNUMBER(Y741)),Y741,IF(Parameter!$B$20="Jahresanfang 2025 + Export",BL741+BK741,BK741)))</f>
        <v>7</v>
      </c>
      <c r="I741" s="57" t="n">
        <f aca="false">H741*G741</f>
        <v>226.1</v>
      </c>
      <c r="J741" s="57" t="n">
        <f aca="false">BN741*Parameter!$B$18</f>
        <v>3</v>
      </c>
      <c r="K741" s="58" t="n">
        <v>7.5</v>
      </c>
      <c r="L741" s="59" t="n">
        <v>0.4</v>
      </c>
      <c r="M741" s="57" t="n">
        <v>0</v>
      </c>
      <c r="N741" s="57" t="n">
        <v>0</v>
      </c>
      <c r="O741" s="60" t="n">
        <v>28</v>
      </c>
      <c r="P741" s="55" t="s">
        <v>168</v>
      </c>
      <c r="Q741" s="57"/>
      <c r="R741" s="60" t="n">
        <f aca="false">IF(BT741=1,0,IFERROR(VLOOKUP(BR741,'Gebinde-Kategorie'!$A$5:$M$45,13,0)+0,0))</f>
        <v>12</v>
      </c>
      <c r="S741" s="61"/>
      <c r="T741" s="62" t="s">
        <v>179</v>
      </c>
      <c r="U741" s="62"/>
      <c r="V741" s="62"/>
      <c r="W741" s="55"/>
      <c r="X741" s="57"/>
      <c r="Y741" s="57"/>
      <c r="Z741" s="55" t="n">
        <f aca="false">IF(A741="","",IF(AND(Parameter!$B$21="Ja",ISNUMBER(W741)),W741,IF(BV741="2+3",IF(ISNUMBER(SEARCH("grosser Artikel",BO741)),2,IFERROR(VLOOKUP(BR741,Parameter!$F$35:$G$64,2,0),2)),IF(OR(BV741="Nein",BV741=""),"-",BV741))))</f>
        <v>2</v>
      </c>
      <c r="AA741" s="62"/>
      <c r="AB741" s="63"/>
      <c r="AC741" s="57" t="n">
        <f aca="false">AR741</f>
        <v>7</v>
      </c>
      <c r="AD741" s="57" t="n">
        <f aca="false">MAX(AR741,H741)</f>
        <v>7</v>
      </c>
      <c r="AE741" s="64"/>
      <c r="AF741" s="57" t="n">
        <f aca="false">IF(LEFT(Cockpit!$C$5,1)="A",H741,IF(CA741=1,CB741,IF(LEFT(Cockpit!$C$5,1)="B",AJ741,MAX(AJ741,H741))))</f>
        <v>7</v>
      </c>
      <c r="AG741" s="57" t="n">
        <f aca="false">IF(BT741=1,0,ROUNDUP(AF741/BS741,0))</f>
        <v>1</v>
      </c>
      <c r="AH741" s="59" t="n">
        <f aca="false">IF(CH741&gt;0,CH741*MAX(1,AF741/X741),IF(BT741=1,IF(AF741&lt;=0,0,BW741*MAX(1,IF(H741&gt;0,AF741/H741,1))),IF(R741&gt;0,AG741/R741,0))/MAX(0.1,N(Parameter!$M$21)))</f>
        <v>0.0833333333333333</v>
      </c>
      <c r="AI741" s="57" t="n">
        <f aca="false">AF741*G741</f>
        <v>226.1</v>
      </c>
      <c r="AJ741" s="57" t="n">
        <f aca="false">ROUNDUP(MAX(J741/IF(BZ741&gt;0,BZ741,MAX(0.1,N(Cockpit!$C$6))),CC741)/BS741,0)*BS741</f>
        <v>7</v>
      </c>
      <c r="AK741" s="58" t="n">
        <f aca="false">IF(AH741&gt;0,J741/AH741,-1)</f>
        <v>36</v>
      </c>
      <c r="AL741" s="58" t="n">
        <f aca="false">IF(AND(OR(BY741="L1",BY741="L23"),AH741&gt;0),SUMIFS($AH$7:$AH$1843,$BY$7:$BY$1843,BY741,$AK$7:$AK$1843,"&gt;"&amp;AK741)+SUMIFS($AH$7:$AH$1843,$BY$7:$BY$1843,BY741,$AK$7:$AK$1843,AK741,$BQ$7:$BQ$1843,"&lt;="&amp;BQ741),"")</f>
        <v>46.2804888348367</v>
      </c>
      <c r="AM741" s="65" t="n">
        <f aca="false">IF(AL741="",0,MAX(0,MIN(1,(IF(BY741="L1",Parameter!$E$5,Parameter!$E$6+Parameter!$E$7)-(AL741-AH741))/AH741)))</f>
        <v>1</v>
      </c>
      <c r="AN741" s="57" t="n">
        <f aca="false">IF(LEFT(Cockpit!$I$5,1)="A",H741,IF(CA741=1,CB741,IF(LEFT(Cockpit!$I$5,1)="B",AR741,MAX(AR741,H741))))</f>
        <v>7</v>
      </c>
      <c r="AO741" s="57" t="n">
        <f aca="false">IF(BT741=1,0,ROUNDUP(AN741/BS741,0))</f>
        <v>1</v>
      </c>
      <c r="AP741" s="59" t="n">
        <f aca="false">IF(CH741&gt;0,CH741*MAX(1,AN741/X741),IF(BT741=1,IF(AN741&lt;=0,0,BW741*MAX(1,IF(H741&gt;0,AN741/H741,1))),IF(R741&gt;0,AO741/R741,0))/MAX(0.1,N(Parameter!$M$21)))</f>
        <v>0.0833333333333333</v>
      </c>
      <c r="AQ741" s="57" t="n">
        <f aca="false">AN741*G741</f>
        <v>226.1</v>
      </c>
      <c r="AR741" s="57" t="n">
        <f aca="false">ROUNDUP(MAX(J741/IF(BZ741&gt;0,BZ741,MAX(0.1,N(Cockpit!$I$6))),CC741)/BS741,0)*BS741</f>
        <v>7</v>
      </c>
      <c r="AS741" s="58" t="n">
        <f aca="false">IF(AP741&gt;0,J741/AP741,-1)</f>
        <v>36</v>
      </c>
      <c r="AT741" s="58" t="n">
        <f aca="false">IF(AND(OR(BY741="L1",BY741="L23"),AP741&gt;0),SUMIFS($AP$7:$AP$1843,$BY$7:$BY$1843,BY741,$AS$7:$AS$1843,"&gt;"&amp;AS741)+SUMIFS($AP$7:$AP$1843,$BY$7:$BY$1843,BY741,$AS$7:$AS$1843,AS741,$BQ$7:$BQ$1843,"&lt;="&amp;BQ741),"")</f>
        <v>70.7110232762407</v>
      </c>
      <c r="AU741" s="65" t="n">
        <f aca="false">IF(AT741="",0,MAX(0,MIN(1,(IF(BY741="L1",Parameter!$E$5,Parameter!$E$6+Parameter!$E$7)-(AT741-AP741))/AP741)))</f>
        <v>1</v>
      </c>
      <c r="AV741" s="57" t="n">
        <f aca="false">IF(LEFT(Cockpit!$O$5,1)="A",H741,IF(CA741=1,CB741,IF(LEFT(Cockpit!$O$5,1)="B",AZ741,MAX(AZ741,H741))))</f>
        <v>7</v>
      </c>
      <c r="AW741" s="57" t="n">
        <f aca="false">IF(BT741=1,0,ROUNDUP(AV741/BS741,0))</f>
        <v>1</v>
      </c>
      <c r="AX741" s="59" t="n">
        <f aca="false">IF(CH741&gt;0,CH741*MAX(1,AV741/X741),IF(BT741=1,IF(AV741&lt;=0,0,BW741*MAX(1,IF(H741&gt;0,AV741/H741,1))),IF(R741&gt;0,AW741/R741,0))/MAX(0.1,N(Parameter!$M$21)))</f>
        <v>0.0833333333333333</v>
      </c>
      <c r="AY741" s="57" t="n">
        <f aca="false">AV741*G741</f>
        <v>226.1</v>
      </c>
      <c r="AZ741" s="57" t="n">
        <f aca="false">ROUNDUP(MAX(J741/IF(BZ741&gt;0,BZ741,MAX(0.1,N(Cockpit!$O$6))),CC741)/BS741,0)*BS741</f>
        <v>7</v>
      </c>
      <c r="BA741" s="58" t="n">
        <f aca="false">IF(AX741&gt;0,J741/AX741,-1)</f>
        <v>36</v>
      </c>
      <c r="BB741" s="58" t="n">
        <f aca="false">IF(AND(OR(BY741="L1",BY741="L23"),AX741&gt;0),SUMIFS($AX$7:$AX$1843,$BY$7:$BY$1843,BY741,$BA$7:$BA$1843,"&gt;"&amp;BA741)+SUMIFS($AX$7:$AX$1843,$BY$7:$BY$1843,BY741,$BA$7:$BA$1843,BA741,$BQ$7:$BQ$1843,"&lt;="&amp;BQ741),"")</f>
        <v>65.2075267727442</v>
      </c>
      <c r="BC741" s="65" t="n">
        <f aca="false">IF(BB741="",0,MAX(0,MIN(1,(IF(BY741="L1",Parameter!$E$5,Parameter!$E$6+Parameter!$E$7)-(BB741-AX741))/AX741)))</f>
        <v>1</v>
      </c>
      <c r="BD741" s="55" t="str">
        <f aca="false">IF(AH741&lt;=0,"",IF(BY741="Aussen","Aussenlager",IF(BY741="-","Nicht im Lift",IF(AM741&gt;=1,"Lift",IF(AM741&lt;=0,"Aussenlager","teilweise")))))</f>
        <v>Lift</v>
      </c>
      <c r="BE741" s="55" t="str">
        <f aca="false">IF(AP741&lt;=0,"",IF(BY741="Aussen","Aussenlager",IF(BY741="-","Nicht im Lift",IF(AU741&gt;=1,"Lift",IF(AU741&lt;=0,"Aussenlager","teilweise")))))</f>
        <v>Lift</v>
      </c>
      <c r="BF741" s="55" t="str">
        <f aca="false">IF(AX741&lt;=0,"",IF(BY741="Aussen","Aussenlager",IF(BY741="-","Nicht im Lift",IF(BC741&gt;=1,"Lift",IF(BC741&lt;=0,"Aussenlager","teilweise")))))</f>
        <v>Lift</v>
      </c>
      <c r="BG741" s="55" t="str">
        <f aca="false">IF(A741="","",IF(BP741=1,"Neu; ","")&amp;IF(AND(BP741=0,BK741&lt;0),"negativer Bestand (Export "&amp;BK741&amp;"); ","")&amp;IF(J741&lt;=0,"Kein Verbrauch; ","")&amp;IF(CH741&gt;0,"Lift "&amp;W741&amp;" lt. Liftbericht (Fach "&amp;X741&amp;" Stk); ",IF(BU741=1,"Gebinde geschätzt ("&amp;T741&amp;"); ",IF(BT741=1,"Lose – Tablare geschätzt; ","")))&amp;IF(H741&gt;AR741,"Überbestand "&amp;ROUND(H741-AR741,0)&amp;" Stk / CHF "&amp;ROUND((H741-AR741)*G741,0)&amp;"; ","")&amp;IF(AND(CA741=1,CB741&lt;CC741),"MAX &lt; MB+LG; ","")&amp;IF(AND(CG741&gt;0,CF741*10&gt;CG741),"zu hoch für Tablar; ","")&amp;IF(AND(BP741=0,OR(CA741=1,AA741&lt;&gt;"",U741&lt;&gt;"",V741&lt;&gt;"",AB741&lt;&gt;"")),"manuell übersteuert; ","")&amp;IF(AND(BT741=0,R741=0),"Gebinde unbekannt / Stellmass fehlt; ","")&amp;IF(AND(BT741=0,N(V741)&lt;=0,N(Q741)&lt;=0),"Menge pro Gebinde fehlt (Ist = 1 Gebinde); ","")&amp;BO741)</f>
        <v>Gebinde geschätzt (Mittel); Menge pro Gebinde fehlt (Ist = 1 Gebinde); gehört nicht ins KTL</v>
      </c>
      <c r="BH741" s="55"/>
      <c r="BI741" s="55"/>
      <c r="BJ741" s="62"/>
      <c r="BK741" s="57" t="n">
        <v>0</v>
      </c>
      <c r="BL741" s="57" t="n">
        <v>7</v>
      </c>
      <c r="BM741" s="56" t="n">
        <v>-1.4210854715202E-014</v>
      </c>
      <c r="BN741" s="57" t="n">
        <v>3</v>
      </c>
      <c r="BO741" s="55" t="s">
        <v>1469</v>
      </c>
      <c r="BP741" s="60" t="n">
        <v>0</v>
      </c>
      <c r="BQ741" s="60" t="n">
        <v>741</v>
      </c>
      <c r="BR741" s="55" t="str">
        <f aca="false">IF(U741&lt;&gt;"",UPPER(TRIM(U741)),IF(BU741=1,UPPER(VLOOKUP(T741,Parameter!$I$27:$K$29,2,0)),IF(P741="","LOSE",P741)))</f>
        <v>S61</v>
      </c>
      <c r="BS741" s="57" t="n">
        <f aca="false">IF(BR741="LOSE",1,IF(N(V741)&gt;0,V741,IF(BU741=1,MAX(1,N(VLOOKUP(T741,Parameter!$I$27:$K$29,3,0)),H741,N(N741)),IF(N(Q741)&gt;0,Q741,MAX(1,H741)))))</f>
        <v>7</v>
      </c>
      <c r="BT741" s="60" t="n">
        <f aca="false">IF(BR741="LOSE",1,0)</f>
        <v>0</v>
      </c>
      <c r="BU741" s="60" t="n">
        <f aca="false">IF(AND(U741="",OR(P741="",P741="LOSE"),T741&lt;&gt;"",N(S741)&lt;=0,ISNUMBER(MATCH(T741,Parameter!$I$27:$I$29,0))),1,0)</f>
        <v>1</v>
      </c>
      <c r="BV741" s="55" t="str">
        <f aca="false">IF(AND(Parameter!$B$19="Ja",E741&lt;&gt;"",ISNUMBER(MATCH(E741,Parameter!$I$35:$I$52,0))),VLOOKUP(E741,Parameter!$I$35:$J$52,2,0),IFERROR(VLOOKUP(D741,Parameter!$A$35:$C$64,2,0),"Nein"))</f>
        <v>2+3</v>
      </c>
      <c r="BW741" s="59" t="n">
        <f aca="false">IF(BT741=0,0,IF(N(S741)&gt;0,S741,IFERROR(VLOOKUP(D741,Parameter!$A$35:$C$64,3,0)+0,0)))</f>
        <v>0</v>
      </c>
      <c r="BX741" s="55" t="n">
        <f aca="false">IF(AA741&lt;&gt;"",AA741,Z741)</f>
        <v>2</v>
      </c>
      <c r="BY741" s="55" t="str">
        <f aca="false">IF(BX741=1,"L1",IF(OR(BX741=2,BX741=3),"L23",IF(BX741="Aussen","Aussen","-")))</f>
        <v>L23</v>
      </c>
      <c r="BZ741" s="66" t="n">
        <f aca="false">IF(N(AB741)&gt;0,AB741,0)</f>
        <v>0</v>
      </c>
      <c r="CA741" s="60" t="n">
        <f aca="false">IF(ISNUMBER(AE741),1,0)</f>
        <v>0</v>
      </c>
      <c r="CB741" s="57" t="n">
        <f aca="false">N(AE741)</f>
        <v>0</v>
      </c>
      <c r="CC741" s="57" t="n">
        <f aca="false">N(M741)+N(N741)</f>
        <v>0</v>
      </c>
      <c r="CD741" s="57" t="n">
        <f aca="false">ROUNDUP(H741/BS741,0)</f>
        <v>1</v>
      </c>
      <c r="CE741" s="57" t="n">
        <f aca="false">ROUNDUP(CB741/BS741,0)</f>
        <v>0</v>
      </c>
      <c r="CF741" s="60" t="n">
        <f aca="false">IF(BT741=1,0,IFERROR(VLOOKUP(BR741,'Gebinde-Kategorie'!$A$5:$M$45,5,0)+0,0))</f>
        <v>11</v>
      </c>
      <c r="CG741" s="60" t="n">
        <f aca="false">IFERROR(IF(OR(BX741=1,BX741=2,BX741=3),N(INDEX(Parameter!$I$5:$I$7,BX741)),0),0)</f>
        <v>0</v>
      </c>
      <c r="CH741" s="59" t="n">
        <f aca="false">IF(AND(Parameter!$B$21="Ja",ISNUMBER(W741),N(X741)&gt;0),IFERROR(N(INDEX(Parameter!$L$5:$L$7,W741))*INDEX(Parameter!$E$5:$E$7,W741)*X741/SUMIFS($X$7:$X$1843,$W$7:$W$1843,W741),0),0)</f>
        <v>0</v>
      </c>
    </row>
    <row r="742" customFormat="false" ht="15" hidden="false" customHeight="false" outlineLevel="0" collapsed="false">
      <c r="A742" s="55" t="s">
        <v>1470</v>
      </c>
      <c r="B742" s="55" t="s">
        <v>1471</v>
      </c>
      <c r="C742" s="55" t="s">
        <v>164</v>
      </c>
      <c r="D742" s="55" t="s">
        <v>1472</v>
      </c>
      <c r="E742" s="55"/>
      <c r="F742" s="55" t="s">
        <v>218</v>
      </c>
      <c r="G742" s="56" t="n">
        <v>79.34</v>
      </c>
      <c r="H742" s="57" t="n">
        <f aca="false">MAX(0,IF(AND(Parameter!$B$21="Ja",ISNUMBER(Y742)),Y742,IF(Parameter!$B$20="Jahresanfang 2025 + Export",BL742+BK742,BK742)))</f>
        <v>1</v>
      </c>
      <c r="I742" s="57" t="n">
        <f aca="false">H742*G742</f>
        <v>79.34</v>
      </c>
      <c r="J742" s="57" t="n">
        <f aca="false">BN742*Parameter!$B$18</f>
        <v>2</v>
      </c>
      <c r="K742" s="58" t="n">
        <v>3</v>
      </c>
      <c r="L742" s="59" t="n">
        <v>0.666666666666667</v>
      </c>
      <c r="M742" s="57" t="n">
        <v>0</v>
      </c>
      <c r="N742" s="57" t="n">
        <v>2</v>
      </c>
      <c r="O742" s="60" t="n">
        <v>21</v>
      </c>
      <c r="P742" s="55" t="s">
        <v>168</v>
      </c>
      <c r="Q742" s="57"/>
      <c r="R742" s="60" t="n">
        <f aca="false">IF(BT742=1,0,IFERROR(VLOOKUP(BR742,'Gebinde-Kategorie'!$A$5:$M$45,13,0)+0,0))</f>
        <v>0</v>
      </c>
      <c r="S742" s="61"/>
      <c r="T742" s="62"/>
      <c r="U742" s="62"/>
      <c r="V742" s="62"/>
      <c r="W742" s="55"/>
      <c r="X742" s="57"/>
      <c r="Y742" s="57"/>
      <c r="Z742" s="55" t="str">
        <f aca="false">IF(A742="","",IF(AND(Parameter!$B$21="Ja",ISNUMBER(W742)),W742,IF(BV742="2+3",IF(ISNUMBER(SEARCH("grosser Artikel",BO742)),2,IFERROR(VLOOKUP(BR742,Parameter!$F$35:$G$64,2,0),2)),IF(OR(BV742="Nein",BV742=""),"-",BV742))))</f>
        <v>-</v>
      </c>
      <c r="AA742" s="62"/>
      <c r="AB742" s="63"/>
      <c r="AC742" s="57" t="n">
        <f aca="false">AR742</f>
        <v>2</v>
      </c>
      <c r="AD742" s="57" t="n">
        <f aca="false">MAX(AR742,H742)</f>
        <v>2</v>
      </c>
      <c r="AE742" s="64"/>
      <c r="AF742" s="57" t="n">
        <f aca="false">IF(LEFT(Cockpit!$C$5,1)="A",H742,IF(CA742=1,CB742,IF(LEFT(Cockpit!$C$5,1)="B",AJ742,MAX(AJ742,H742))))</f>
        <v>1</v>
      </c>
      <c r="AG742" s="57" t="n">
        <f aca="false">IF(BT742=1,0,ROUNDUP(AF742/BS742,0))</f>
        <v>0</v>
      </c>
      <c r="AH742" s="59" t="n">
        <f aca="false">IF(CH742&gt;0,CH742*MAX(1,AF742/X742),IF(BT742=1,IF(AF742&lt;=0,0,BW742*MAX(1,IF(H742&gt;0,AF742/H742,1))),IF(R742&gt;0,AG742/R742,0))/MAX(0.1,N(Parameter!$M$21)))</f>
        <v>0.15</v>
      </c>
      <c r="AI742" s="57" t="n">
        <f aca="false">AF742*G742</f>
        <v>79.34</v>
      </c>
      <c r="AJ742" s="57" t="n">
        <f aca="false">ROUNDUP(MAX(J742/IF(BZ742&gt;0,BZ742,MAX(0.1,N(Cockpit!$C$6))),CC742)/BS742,0)*BS742</f>
        <v>2</v>
      </c>
      <c r="AK742" s="58" t="n">
        <f aca="false">IF(AH742&gt;0,J742/AH742,-1)</f>
        <v>13.3333333333333</v>
      </c>
      <c r="AL742" s="58" t="str">
        <f aca="false">IF(AND(OR(BY742="L1",BY742="L23"),AH742&gt;0),SUMIFS($AH$7:$AH$1843,$BY$7:$BY$1843,BY742,$AK$7:$AK$1843,"&gt;"&amp;AK742)+SUMIFS($AH$7:$AH$1843,$BY$7:$BY$1843,BY742,$AK$7:$AK$1843,AK742,$BQ$7:$BQ$1843,"&lt;="&amp;BQ742),"")</f>
        <v/>
      </c>
      <c r="AM742" s="65" t="n">
        <f aca="false">IF(AL742="",0,MAX(0,MIN(1,(IF(BY742="L1",Parameter!$E$5,Parameter!$E$6+Parameter!$E$7)-(AL742-AH742))/AH742)))</f>
        <v>0</v>
      </c>
      <c r="AN742" s="57" t="n">
        <f aca="false">IF(LEFT(Cockpit!$I$5,1)="A",H742,IF(CA742=1,CB742,IF(LEFT(Cockpit!$I$5,1)="B",AR742,MAX(AR742,H742))))</f>
        <v>2</v>
      </c>
      <c r="AO742" s="57" t="n">
        <f aca="false">IF(BT742=1,0,ROUNDUP(AN742/BS742,0))</f>
        <v>0</v>
      </c>
      <c r="AP742" s="59" t="n">
        <f aca="false">IF(CH742&gt;0,CH742*MAX(1,AN742/X742),IF(BT742=1,IF(AN742&lt;=0,0,BW742*MAX(1,IF(H742&gt;0,AN742/H742,1))),IF(R742&gt;0,AO742/R742,0))/MAX(0.1,N(Parameter!$M$21)))</f>
        <v>0.3</v>
      </c>
      <c r="AQ742" s="57" t="n">
        <f aca="false">AN742*G742</f>
        <v>158.68</v>
      </c>
      <c r="AR742" s="57" t="n">
        <f aca="false">ROUNDUP(MAX(J742/IF(BZ742&gt;0,BZ742,MAX(0.1,N(Cockpit!$I$6))),CC742)/BS742,0)*BS742</f>
        <v>2</v>
      </c>
      <c r="AS742" s="58" t="n">
        <f aca="false">IF(AP742&gt;0,J742/AP742,-1)</f>
        <v>6.66666666666667</v>
      </c>
      <c r="AT742" s="58" t="str">
        <f aca="false">IF(AND(OR(BY742="L1",BY742="L23"),AP742&gt;0),SUMIFS($AP$7:$AP$1843,$BY$7:$BY$1843,BY742,$AS$7:$AS$1843,"&gt;"&amp;AS742)+SUMIFS($AP$7:$AP$1843,$BY$7:$BY$1843,BY742,$AS$7:$AS$1843,AS742,$BQ$7:$BQ$1843,"&lt;="&amp;BQ742),"")</f>
        <v/>
      </c>
      <c r="AU742" s="65" t="n">
        <f aca="false">IF(AT742="",0,MAX(0,MIN(1,(IF(BY742="L1",Parameter!$E$5,Parameter!$E$6+Parameter!$E$7)-(AT742-AP742))/AP742)))</f>
        <v>0</v>
      </c>
      <c r="AV742" s="57" t="n">
        <f aca="false">IF(LEFT(Cockpit!$O$5,1)="A",H742,IF(CA742=1,CB742,IF(LEFT(Cockpit!$O$5,1)="B",AZ742,MAX(AZ742,H742))))</f>
        <v>2</v>
      </c>
      <c r="AW742" s="57" t="n">
        <f aca="false">IF(BT742=1,0,ROUNDUP(AV742/BS742,0))</f>
        <v>0</v>
      </c>
      <c r="AX742" s="59" t="n">
        <f aca="false">IF(CH742&gt;0,CH742*MAX(1,AV742/X742),IF(BT742=1,IF(AV742&lt;=0,0,BW742*MAX(1,IF(H742&gt;0,AV742/H742,1))),IF(R742&gt;0,AW742/R742,0))/MAX(0.1,N(Parameter!$M$21)))</f>
        <v>0.3</v>
      </c>
      <c r="AY742" s="57" t="n">
        <f aca="false">AV742*G742</f>
        <v>158.68</v>
      </c>
      <c r="AZ742" s="57" t="n">
        <f aca="false">ROUNDUP(MAX(J742/IF(BZ742&gt;0,BZ742,MAX(0.1,N(Cockpit!$O$6))),CC742)/BS742,0)*BS742</f>
        <v>2</v>
      </c>
      <c r="BA742" s="58" t="n">
        <f aca="false">IF(AX742&gt;0,J742/AX742,-1)</f>
        <v>6.66666666666667</v>
      </c>
      <c r="BB742" s="58" t="str">
        <f aca="false">IF(AND(OR(BY742="L1",BY742="L23"),AX742&gt;0),SUMIFS($AX$7:$AX$1843,$BY$7:$BY$1843,BY742,$BA$7:$BA$1843,"&gt;"&amp;BA742)+SUMIFS($AX$7:$AX$1843,$BY$7:$BY$1843,BY742,$BA$7:$BA$1843,BA742,$BQ$7:$BQ$1843,"&lt;="&amp;BQ742),"")</f>
        <v/>
      </c>
      <c r="BC742" s="65" t="n">
        <f aca="false">IF(BB742="",0,MAX(0,MIN(1,(IF(BY742="L1",Parameter!$E$5,Parameter!$E$6+Parameter!$E$7)-(BB742-AX742))/AX742)))</f>
        <v>0</v>
      </c>
      <c r="BD742" s="55" t="str">
        <f aca="false">IF(AH742&lt;=0,"",IF(BY742="Aussen","Aussenlager",IF(BY742="-","Nicht im Lift",IF(AM742&gt;=1,"Lift",IF(AM742&lt;=0,"Aussenlager","teilweise")))))</f>
        <v>Nicht im Lift</v>
      </c>
      <c r="BE742" s="55" t="str">
        <f aca="false">IF(AP742&lt;=0,"",IF(BY742="Aussen","Aussenlager",IF(BY742="-","Nicht im Lift",IF(AU742&gt;=1,"Lift",IF(AU742&lt;=0,"Aussenlager","teilweise")))))</f>
        <v>Nicht im Lift</v>
      </c>
      <c r="BF742" s="55" t="str">
        <f aca="false">IF(AX742&lt;=0,"",IF(BY742="Aussen","Aussenlager",IF(BY742="-","Nicht im Lift",IF(BC742&gt;=1,"Lift",IF(BC742&lt;=0,"Aussenlager","teilweise")))))</f>
        <v>Nicht im Lift</v>
      </c>
      <c r="BG742" s="55" t="str">
        <f aca="false">IF(A742="","",IF(BP742=1,"Neu; ","")&amp;IF(AND(BP742=0,BK742&lt;0),"negativer Bestand (Export "&amp;BK742&amp;"); ","")&amp;IF(J742&lt;=0,"Kein Verbrauch; ","")&amp;IF(CH742&gt;0,"Lift "&amp;W742&amp;" lt. Liftbericht (Fach "&amp;X742&amp;" Stk); ",IF(BU742=1,"Gebinde geschätzt ("&amp;T742&amp;"); ",IF(BT742=1,"Lose – Tablare geschätzt; ","")))&amp;IF(H742&gt;AR742,"Überbestand "&amp;ROUND(H742-AR742,0)&amp;" Stk / CHF "&amp;ROUND((H742-AR742)*G742,0)&amp;"; ","")&amp;IF(AND(CA742=1,CB742&lt;CC742),"MAX &lt; MB+LG; ","")&amp;IF(AND(CG742&gt;0,CF742*10&gt;CG742),"zu hoch für Tablar; ","")&amp;IF(AND(BP742=0,OR(CA742=1,AA742&lt;&gt;"",U742&lt;&gt;"",V742&lt;&gt;"",AB742&lt;&gt;"")),"manuell übersteuert; ","")&amp;IF(AND(BT742=0,R742=0),"Gebinde unbekannt / Stellmass fehlt; ","")&amp;IF(AND(BT742=0,N(V742)&lt;=0,N(Q742)&lt;=0),"Menge pro Gebinde fehlt (Ist = 1 Gebinde); ","")&amp;BO742)</f>
        <v>Lose – Tablare geschätzt; Kleidung</v>
      </c>
      <c r="BH742" s="55"/>
      <c r="BI742" s="55"/>
      <c r="BJ742" s="62"/>
      <c r="BK742" s="57" t="n">
        <v>0</v>
      </c>
      <c r="BL742" s="57" t="n">
        <v>1</v>
      </c>
      <c r="BM742" s="56" t="n">
        <v>-1.4210854715202E-014</v>
      </c>
      <c r="BN742" s="57" t="n">
        <v>2</v>
      </c>
      <c r="BO742" s="55" t="s">
        <v>1473</v>
      </c>
      <c r="BP742" s="60" t="n">
        <v>0</v>
      </c>
      <c r="BQ742" s="60" t="n">
        <v>742</v>
      </c>
      <c r="BR742" s="55" t="str">
        <f aca="false">IF(U742&lt;&gt;"",UPPER(TRIM(U742)),IF(BU742=1,UPPER(VLOOKUP(T742,Parameter!$I$27:$K$29,2,0)),IF(P742="","LOSE",P742)))</f>
        <v>LOSE</v>
      </c>
      <c r="BS742" s="57" t="n">
        <f aca="false">IF(BR742="LOSE",1,IF(N(V742)&gt;0,V742,IF(BU742=1,MAX(1,N(VLOOKUP(T742,Parameter!$I$27:$K$29,3,0)),H742,N(N742)),IF(N(Q742)&gt;0,Q742,MAX(1,H742)))))</f>
        <v>1</v>
      </c>
      <c r="BT742" s="60" t="n">
        <f aca="false">IF(BR742="LOSE",1,0)</f>
        <v>1</v>
      </c>
      <c r="BU742" s="60" t="n">
        <f aca="false">IF(AND(U742="",OR(P742="",P742="LOSE"),T742&lt;&gt;"",N(S742)&lt;=0,ISNUMBER(MATCH(T742,Parameter!$I$27:$I$29,0))),1,0)</f>
        <v>0</v>
      </c>
      <c r="BV742" s="55" t="str">
        <f aca="false">IF(AND(Parameter!$B$19="Ja",E742&lt;&gt;"",ISNUMBER(MATCH(E742,Parameter!$I$35:$I$52,0))),VLOOKUP(E742,Parameter!$I$35:$J$52,2,0),IFERROR(VLOOKUP(D742,Parameter!$A$35:$C$64,2,0),"Nein"))</f>
        <v>Nein</v>
      </c>
      <c r="BW742" s="59" t="n">
        <f aca="false">IF(BT742=0,0,IF(N(S742)&gt;0,S742,IFERROR(VLOOKUP(D742,Parameter!$A$35:$C$64,3,0)+0,0)))</f>
        <v>0.15</v>
      </c>
      <c r="BX742" s="55" t="str">
        <f aca="false">IF(AA742&lt;&gt;"",AA742,Z742)</f>
        <v>-</v>
      </c>
      <c r="BY742" s="55" t="str">
        <f aca="false">IF(BX742=1,"L1",IF(OR(BX742=2,BX742=3),"L23",IF(BX742="Aussen","Aussen","-")))</f>
        <v>-</v>
      </c>
      <c r="BZ742" s="66" t="n">
        <f aca="false">IF(N(AB742)&gt;0,AB742,0)</f>
        <v>0</v>
      </c>
      <c r="CA742" s="60" t="n">
        <f aca="false">IF(ISNUMBER(AE742),1,0)</f>
        <v>0</v>
      </c>
      <c r="CB742" s="57" t="n">
        <f aca="false">N(AE742)</f>
        <v>0</v>
      </c>
      <c r="CC742" s="57" t="n">
        <f aca="false">N(M742)+N(N742)</f>
        <v>2</v>
      </c>
      <c r="CD742" s="57" t="n">
        <f aca="false">ROUNDUP(H742/BS742,0)</f>
        <v>1</v>
      </c>
      <c r="CE742" s="57" t="n">
        <f aca="false">ROUNDUP(CB742/BS742,0)</f>
        <v>0</v>
      </c>
      <c r="CF742" s="60" t="n">
        <f aca="false">IF(BT742=1,0,IFERROR(VLOOKUP(BR742,'Gebinde-Kategorie'!$A$5:$M$45,5,0)+0,0))</f>
        <v>0</v>
      </c>
      <c r="CG742" s="60" t="n">
        <f aca="false">IFERROR(IF(OR(BX742=1,BX742=2,BX742=3),N(INDEX(Parameter!$I$5:$I$7,BX742)),0),0)</f>
        <v>0</v>
      </c>
      <c r="CH742" s="59" t="n">
        <f aca="false">IF(AND(Parameter!$B$21="Ja",ISNUMBER(W742),N(X742)&gt;0),IFERROR(N(INDEX(Parameter!$L$5:$L$7,W742))*INDEX(Parameter!$E$5:$E$7,W742)*X742/SUMIFS($X$7:$X$1843,$W$7:$W$1843,W742),0),0)</f>
        <v>0</v>
      </c>
    </row>
    <row r="743" customFormat="false" ht="15" hidden="false" customHeight="false" outlineLevel="0" collapsed="false">
      <c r="A743" s="55" t="s">
        <v>1474</v>
      </c>
      <c r="B743" s="55" t="s">
        <v>1328</v>
      </c>
      <c r="C743" s="55" t="s">
        <v>164</v>
      </c>
      <c r="D743" s="55" t="s">
        <v>995</v>
      </c>
      <c r="E743" s="55"/>
      <c r="F743" s="55" t="s">
        <v>218</v>
      </c>
      <c r="G743" s="56" t="n">
        <v>19.76</v>
      </c>
      <c r="H743" s="57" t="n">
        <f aca="false">MAX(0,IF(AND(Parameter!$B$21="Ja",ISNUMBER(Y743)),Y743,IF(Parameter!$B$20="Jahresanfang 2025 + Export",BL743+BK743,BK743)))</f>
        <v>0</v>
      </c>
      <c r="I743" s="57" t="n">
        <f aca="false">H743*G743</f>
        <v>0</v>
      </c>
      <c r="J743" s="57" t="n">
        <f aca="false">BN743*Parameter!$B$18</f>
        <v>60</v>
      </c>
      <c r="K743" s="58" t="n">
        <v>0</v>
      </c>
      <c r="L743" s="59" t="n">
        <v>0</v>
      </c>
      <c r="M743" s="57" t="n">
        <v>0</v>
      </c>
      <c r="N743" s="57" t="n">
        <v>10</v>
      </c>
      <c r="O743" s="60" t="n">
        <v>28</v>
      </c>
      <c r="P743" s="55" t="s">
        <v>168</v>
      </c>
      <c r="Q743" s="57"/>
      <c r="R743" s="60" t="n">
        <f aca="false">IF(BT743=1,0,IFERROR(VLOOKUP(BR743,'Gebinde-Kategorie'!$A$5:$M$45,13,0)+0,0))</f>
        <v>0</v>
      </c>
      <c r="S743" s="61"/>
      <c r="T743" s="62"/>
      <c r="U743" s="62"/>
      <c r="V743" s="62"/>
      <c r="W743" s="55"/>
      <c r="X743" s="57"/>
      <c r="Y743" s="57"/>
      <c r="Z743" s="55" t="str">
        <f aca="false">IF(A743="","",IF(AND(Parameter!$B$21="Ja",ISNUMBER(W743)),W743,IF(BV743="2+3",IF(ISNUMBER(SEARCH("grosser Artikel",BO743)),2,IFERROR(VLOOKUP(BR743,Parameter!$F$35:$G$64,2,0),2)),IF(OR(BV743="Nein",BV743=""),"-",BV743))))</f>
        <v>-</v>
      </c>
      <c r="AA743" s="62"/>
      <c r="AB743" s="63"/>
      <c r="AC743" s="57" t="n">
        <f aca="false">AR743</f>
        <v>30</v>
      </c>
      <c r="AD743" s="57" t="n">
        <f aca="false">MAX(AR743,H743)</f>
        <v>30</v>
      </c>
      <c r="AE743" s="64"/>
      <c r="AF743" s="57" t="n">
        <f aca="false">IF(LEFT(Cockpit!$C$5,1)="A",H743,IF(CA743=1,CB743,IF(LEFT(Cockpit!$C$5,1)="B",AJ743,MAX(AJ743,H743))))</f>
        <v>0</v>
      </c>
      <c r="AG743" s="57" t="n">
        <f aca="false">IF(BT743=1,0,ROUNDUP(AF743/BS743,0))</f>
        <v>0</v>
      </c>
      <c r="AH743" s="59" t="n">
        <f aca="false">IF(CH743&gt;0,CH743*MAX(1,AF743/X743),IF(BT743=1,IF(AF743&lt;=0,0,BW743*MAX(1,IF(H743&gt;0,AF743/H743,1))),IF(R743&gt;0,AG743/R743,0))/MAX(0.1,N(Parameter!$M$21)))</f>
        <v>0</v>
      </c>
      <c r="AI743" s="57" t="n">
        <f aca="false">AF743*G743</f>
        <v>0</v>
      </c>
      <c r="AJ743" s="57" t="n">
        <f aca="false">ROUNDUP(MAX(J743/IF(BZ743&gt;0,BZ743,MAX(0.1,N(Cockpit!$C$6))),CC743)/BS743,0)*BS743</f>
        <v>30</v>
      </c>
      <c r="AK743" s="58" t="n">
        <f aca="false">IF(AH743&gt;0,J743/AH743,-1)</f>
        <v>-1</v>
      </c>
      <c r="AL743" s="58" t="str">
        <f aca="false">IF(AND(OR(BY743="L1",BY743="L23"),AH743&gt;0),SUMIFS($AH$7:$AH$1843,$BY$7:$BY$1843,BY743,$AK$7:$AK$1843,"&gt;"&amp;AK743)+SUMIFS($AH$7:$AH$1843,$BY$7:$BY$1843,BY743,$AK$7:$AK$1843,AK743,$BQ$7:$BQ$1843,"&lt;="&amp;BQ743),"")</f>
        <v/>
      </c>
      <c r="AM743" s="65" t="n">
        <f aca="false">IF(AL743="",0,MAX(0,MIN(1,(IF(BY743="L1",Parameter!$E$5,Parameter!$E$6+Parameter!$E$7)-(AL743-AH743))/AH743)))</f>
        <v>0</v>
      </c>
      <c r="AN743" s="57" t="n">
        <f aca="false">IF(LEFT(Cockpit!$I$5,1)="A",H743,IF(CA743=1,CB743,IF(LEFT(Cockpit!$I$5,1)="B",AR743,MAX(AR743,H743))))</f>
        <v>30</v>
      </c>
      <c r="AO743" s="57" t="n">
        <f aca="false">IF(BT743=1,0,ROUNDUP(AN743/BS743,0))</f>
        <v>0</v>
      </c>
      <c r="AP743" s="59" t="n">
        <f aca="false">IF(CH743&gt;0,CH743*MAX(1,AN743/X743),IF(BT743=1,IF(AN743&lt;=0,0,BW743*MAX(1,IF(H743&gt;0,AN743/H743,1))),IF(R743&gt;0,AO743/R743,0))/MAX(0.1,N(Parameter!$M$21)))</f>
        <v>0.15</v>
      </c>
      <c r="AQ743" s="57" t="n">
        <f aca="false">AN743*G743</f>
        <v>592.8</v>
      </c>
      <c r="AR743" s="57" t="n">
        <f aca="false">ROUNDUP(MAX(J743/IF(BZ743&gt;0,BZ743,MAX(0.1,N(Cockpit!$I$6))),CC743)/BS743,0)*BS743</f>
        <v>30</v>
      </c>
      <c r="AS743" s="58" t="n">
        <f aca="false">IF(AP743&gt;0,J743/AP743,-1)</f>
        <v>400</v>
      </c>
      <c r="AT743" s="58" t="str">
        <f aca="false">IF(AND(OR(BY743="L1",BY743="L23"),AP743&gt;0),SUMIFS($AP$7:$AP$1843,$BY$7:$BY$1843,BY743,$AS$7:$AS$1843,"&gt;"&amp;AS743)+SUMIFS($AP$7:$AP$1843,$BY$7:$BY$1843,BY743,$AS$7:$AS$1843,AS743,$BQ$7:$BQ$1843,"&lt;="&amp;BQ743),"")</f>
        <v/>
      </c>
      <c r="AU743" s="65" t="n">
        <f aca="false">IF(AT743="",0,MAX(0,MIN(1,(IF(BY743="L1",Parameter!$E$5,Parameter!$E$6+Parameter!$E$7)-(AT743-AP743))/AP743)))</f>
        <v>0</v>
      </c>
      <c r="AV743" s="57" t="n">
        <f aca="false">IF(LEFT(Cockpit!$O$5,1)="A",H743,IF(CA743=1,CB743,IF(LEFT(Cockpit!$O$5,1)="B",AZ743,MAX(AZ743,H743))))</f>
        <v>20</v>
      </c>
      <c r="AW743" s="57" t="n">
        <f aca="false">IF(BT743=1,0,ROUNDUP(AV743/BS743,0))</f>
        <v>0</v>
      </c>
      <c r="AX743" s="59" t="n">
        <f aca="false">IF(CH743&gt;0,CH743*MAX(1,AV743/X743),IF(BT743=1,IF(AV743&lt;=0,0,BW743*MAX(1,IF(H743&gt;0,AV743/H743,1))),IF(R743&gt;0,AW743/R743,0))/MAX(0.1,N(Parameter!$M$21)))</f>
        <v>0.15</v>
      </c>
      <c r="AY743" s="57" t="n">
        <f aca="false">AV743*G743</f>
        <v>395.2</v>
      </c>
      <c r="AZ743" s="57" t="n">
        <f aca="false">ROUNDUP(MAX(J743/IF(BZ743&gt;0,BZ743,MAX(0.1,N(Cockpit!$O$6))),CC743)/BS743,0)*BS743</f>
        <v>20</v>
      </c>
      <c r="BA743" s="58" t="n">
        <f aca="false">IF(AX743&gt;0,J743/AX743,-1)</f>
        <v>400</v>
      </c>
      <c r="BB743" s="58" t="str">
        <f aca="false">IF(AND(OR(BY743="L1",BY743="L23"),AX743&gt;0),SUMIFS($AX$7:$AX$1843,$BY$7:$BY$1843,BY743,$BA$7:$BA$1843,"&gt;"&amp;BA743)+SUMIFS($AX$7:$AX$1843,$BY$7:$BY$1843,BY743,$BA$7:$BA$1843,BA743,$BQ$7:$BQ$1843,"&lt;="&amp;BQ743),"")</f>
        <v/>
      </c>
      <c r="BC743" s="65" t="n">
        <f aca="false">IF(BB743="",0,MAX(0,MIN(1,(IF(BY743="L1",Parameter!$E$5,Parameter!$E$6+Parameter!$E$7)-(BB743-AX743))/AX743)))</f>
        <v>0</v>
      </c>
      <c r="BD743" s="55" t="str">
        <f aca="false">IF(AH743&lt;=0,"",IF(BY743="Aussen","Aussenlager",IF(BY743="-","Nicht im Lift",IF(AM743&gt;=1,"Lift",IF(AM743&lt;=0,"Aussenlager","teilweise")))))</f>
        <v/>
      </c>
      <c r="BE743" s="55" t="str">
        <f aca="false">IF(AP743&lt;=0,"",IF(BY743="Aussen","Aussenlager",IF(BY743="-","Nicht im Lift",IF(AU743&gt;=1,"Lift",IF(AU743&lt;=0,"Aussenlager","teilweise")))))</f>
        <v>Nicht im Lift</v>
      </c>
      <c r="BF743" s="55" t="str">
        <f aca="false">IF(AX743&lt;=0,"",IF(BY743="Aussen","Aussenlager",IF(BY743="-","Nicht im Lift",IF(BC743&gt;=1,"Lift",IF(BC743&lt;=0,"Aussenlager","teilweise")))))</f>
        <v>Nicht im Lift</v>
      </c>
      <c r="BG743" s="55" t="str">
        <f aca="false">IF(A743="","",IF(BP743=1,"Neu; ","")&amp;IF(AND(BP743=0,BK743&lt;0),"negativer Bestand (Export "&amp;BK743&amp;"); ","")&amp;IF(J743&lt;=0,"Kein Verbrauch; ","")&amp;IF(CH743&gt;0,"Lift "&amp;W743&amp;" lt. Liftbericht (Fach "&amp;X743&amp;" Stk); ",IF(BU743=1,"Gebinde geschätzt ("&amp;T743&amp;"); ",IF(BT743=1,"Lose – Tablare geschätzt; ","")))&amp;IF(H743&gt;AR743,"Überbestand "&amp;ROUND(H743-AR743,0)&amp;" Stk / CHF "&amp;ROUND((H743-AR743)*G743,0)&amp;"; ","")&amp;IF(AND(CA743=1,CB743&lt;CC743),"MAX &lt; MB+LG; ","")&amp;IF(AND(CG743&gt;0,CF743*10&gt;CG743),"zu hoch für Tablar; ","")&amp;IF(AND(BP743=0,OR(CA743=1,AA743&lt;&gt;"",U743&lt;&gt;"",V743&lt;&gt;"",AB743&lt;&gt;"")),"manuell übersteuert; ","")&amp;IF(AND(BT743=0,R743=0),"Gebinde unbekannt / Stellmass fehlt; ","")&amp;IF(AND(BT743=0,N(V743)&lt;=0,N(Q743)&lt;=0),"Menge pro Gebinde fehlt (Ist = 1 Gebinde); ","")&amp;BO743)</f>
        <v>Lose – Tablare geschätzt; </v>
      </c>
      <c r="BH743" s="55"/>
      <c r="BI743" s="55"/>
      <c r="BJ743" s="62"/>
      <c r="BK743" s="57" t="n">
        <v>0</v>
      </c>
      <c r="BL743" s="57" t="n">
        <v>0</v>
      </c>
      <c r="BM743" s="56" t="n">
        <v>-2.1316282072803E-014</v>
      </c>
      <c r="BN743" s="57" t="n">
        <v>60</v>
      </c>
      <c r="BO743" s="55"/>
      <c r="BP743" s="60" t="n">
        <v>0</v>
      </c>
      <c r="BQ743" s="60" t="n">
        <v>743</v>
      </c>
      <c r="BR743" s="55" t="str">
        <f aca="false">IF(U743&lt;&gt;"",UPPER(TRIM(U743)),IF(BU743=1,UPPER(VLOOKUP(T743,Parameter!$I$27:$K$29,2,0)),IF(P743="","LOSE",P743)))</f>
        <v>LOSE</v>
      </c>
      <c r="BS743" s="57" t="n">
        <f aca="false">IF(BR743="LOSE",1,IF(N(V743)&gt;0,V743,IF(BU743=1,MAX(1,N(VLOOKUP(T743,Parameter!$I$27:$K$29,3,0)),H743,N(N743)),IF(N(Q743)&gt;0,Q743,MAX(1,H743)))))</f>
        <v>1</v>
      </c>
      <c r="BT743" s="60" t="n">
        <f aca="false">IF(BR743="LOSE",1,0)</f>
        <v>1</v>
      </c>
      <c r="BU743" s="60" t="n">
        <f aca="false">IF(AND(U743="",OR(P743="",P743="LOSE"),T743&lt;&gt;"",N(S743)&lt;=0,ISNUMBER(MATCH(T743,Parameter!$I$27:$I$29,0))),1,0)</f>
        <v>0</v>
      </c>
      <c r="BV743" s="55" t="str">
        <f aca="false">IF(AND(Parameter!$B$19="Ja",E743&lt;&gt;"",ISNUMBER(MATCH(E743,Parameter!$I$35:$I$52,0))),VLOOKUP(E743,Parameter!$I$35:$J$52,2,0),IFERROR(VLOOKUP(D743,Parameter!$A$35:$C$64,2,0),"Nein"))</f>
        <v>Nein</v>
      </c>
      <c r="BW743" s="59" t="n">
        <f aca="false">IF(BT743=0,0,IF(N(S743)&gt;0,S743,IFERROR(VLOOKUP(D743,Parameter!$A$35:$C$64,3,0)+0,0)))</f>
        <v>0.15</v>
      </c>
      <c r="BX743" s="55" t="str">
        <f aca="false">IF(AA743&lt;&gt;"",AA743,Z743)</f>
        <v>-</v>
      </c>
      <c r="BY743" s="55" t="str">
        <f aca="false">IF(BX743=1,"L1",IF(OR(BX743=2,BX743=3),"L23",IF(BX743="Aussen","Aussen","-")))</f>
        <v>-</v>
      </c>
      <c r="BZ743" s="66" t="n">
        <f aca="false">IF(N(AB743)&gt;0,AB743,0)</f>
        <v>0</v>
      </c>
      <c r="CA743" s="60" t="n">
        <f aca="false">IF(ISNUMBER(AE743),1,0)</f>
        <v>0</v>
      </c>
      <c r="CB743" s="57" t="n">
        <f aca="false">N(AE743)</f>
        <v>0</v>
      </c>
      <c r="CC743" s="57" t="n">
        <f aca="false">N(M743)+N(N743)</f>
        <v>10</v>
      </c>
      <c r="CD743" s="57" t="n">
        <f aca="false">ROUNDUP(H743/BS743,0)</f>
        <v>0</v>
      </c>
      <c r="CE743" s="57" t="n">
        <f aca="false">ROUNDUP(CB743/BS743,0)</f>
        <v>0</v>
      </c>
      <c r="CF743" s="60" t="n">
        <f aca="false">IF(BT743=1,0,IFERROR(VLOOKUP(BR743,'Gebinde-Kategorie'!$A$5:$M$45,5,0)+0,0))</f>
        <v>0</v>
      </c>
      <c r="CG743" s="60" t="n">
        <f aca="false">IFERROR(IF(OR(BX743=1,BX743=2,BX743=3),N(INDEX(Parameter!$I$5:$I$7,BX743)),0),0)</f>
        <v>0</v>
      </c>
      <c r="CH743" s="59" t="n">
        <f aca="false">IF(AND(Parameter!$B$21="Ja",ISNUMBER(W743),N(X743)&gt;0),IFERROR(N(INDEX(Parameter!$L$5:$L$7,W743))*INDEX(Parameter!$E$5:$E$7,W743)*X743/SUMIFS($X$7:$X$1843,$W$7:$W$1843,W743),0),0)</f>
        <v>0</v>
      </c>
    </row>
    <row r="744" customFormat="false" ht="15" hidden="false" customHeight="false" outlineLevel="0" collapsed="false">
      <c r="A744" s="55" t="s">
        <v>1475</v>
      </c>
      <c r="B744" s="55" t="s">
        <v>589</v>
      </c>
      <c r="C744" s="55" t="s">
        <v>164</v>
      </c>
      <c r="D744" s="55" t="s">
        <v>184</v>
      </c>
      <c r="E744" s="55" t="s">
        <v>185</v>
      </c>
      <c r="F744" s="55" t="s">
        <v>218</v>
      </c>
      <c r="G744" s="56" t="n">
        <v>1.7</v>
      </c>
      <c r="H744" s="57" t="n">
        <f aca="false">MAX(0,IF(AND(Parameter!$B$21="Ja",ISNUMBER(Y744)),Y744,IF(Parameter!$B$20="Jahresanfang 2025 + Export",BL744+BK744,BK744)))</f>
        <v>78</v>
      </c>
      <c r="I744" s="57" t="n">
        <f aca="false">H744*G744</f>
        <v>132.6</v>
      </c>
      <c r="J744" s="57" t="n">
        <f aca="false">BN744*Parameter!$B$18</f>
        <v>80</v>
      </c>
      <c r="K744" s="58" t="n">
        <v>74</v>
      </c>
      <c r="L744" s="59" t="n">
        <v>1.08108108108108</v>
      </c>
      <c r="M744" s="57" t="n">
        <v>4</v>
      </c>
      <c r="N744" s="57" t="n">
        <v>80</v>
      </c>
      <c r="O744" s="60" t="n">
        <v>21</v>
      </c>
      <c r="P744" s="55" t="s">
        <v>426</v>
      </c>
      <c r="Q744" s="57" t="n">
        <v>157</v>
      </c>
      <c r="R744" s="60" t="n">
        <f aca="false">IF(BT744=1,0,IFERROR(VLOOKUP(BR744,'Gebinde-Kategorie'!$A$5:$M$45,13,0)+0,0))</f>
        <v>198</v>
      </c>
      <c r="S744" s="61"/>
      <c r="T744" s="62"/>
      <c r="U744" s="62"/>
      <c r="V744" s="62"/>
      <c r="W744" s="55"/>
      <c r="X744" s="57"/>
      <c r="Y744" s="57"/>
      <c r="Z744" s="55" t="n">
        <f aca="false">IF(A744="","",IF(AND(Parameter!$B$21="Ja",ISNUMBER(W744)),W744,IF(BV744="2+3",IF(ISNUMBER(SEARCH("grosser Artikel",BO744)),2,IFERROR(VLOOKUP(BR744,Parameter!$F$35:$G$64,2,0),2)),IF(OR(BV744="Nein",BV744=""),"-",BV744))))</f>
        <v>3</v>
      </c>
      <c r="AA744" s="62"/>
      <c r="AB744" s="63"/>
      <c r="AC744" s="57" t="n">
        <f aca="false">AR744</f>
        <v>157</v>
      </c>
      <c r="AD744" s="57" t="n">
        <f aca="false">MAX(AR744,H744)</f>
        <v>157</v>
      </c>
      <c r="AE744" s="64"/>
      <c r="AF744" s="57" t="n">
        <f aca="false">IF(LEFT(Cockpit!$C$5,1)="A",H744,IF(CA744=1,CB744,IF(LEFT(Cockpit!$C$5,1)="B",AJ744,MAX(AJ744,H744))))</f>
        <v>78</v>
      </c>
      <c r="AG744" s="57" t="n">
        <f aca="false">IF(BT744=1,0,ROUNDUP(AF744/BS744,0))</f>
        <v>1</v>
      </c>
      <c r="AH744" s="59" t="n">
        <f aca="false">IF(CH744&gt;0,CH744*MAX(1,AF744/X744),IF(BT744=1,IF(AF744&lt;=0,0,BW744*MAX(1,IF(H744&gt;0,AF744/H744,1))),IF(R744&gt;0,AG744/R744,0))/MAX(0.1,N(Parameter!$M$21)))</f>
        <v>0.00505050505050505</v>
      </c>
      <c r="AI744" s="57" t="n">
        <f aca="false">AF744*G744</f>
        <v>132.6</v>
      </c>
      <c r="AJ744" s="57" t="n">
        <f aca="false">ROUNDUP(MAX(J744/IF(BZ744&gt;0,BZ744,MAX(0.1,N(Cockpit!$C$6))),CC744)/BS744,0)*BS744</f>
        <v>157</v>
      </c>
      <c r="AK744" s="58" t="n">
        <f aca="false">IF(AH744&gt;0,J744/AH744,-1)</f>
        <v>15840</v>
      </c>
      <c r="AL744" s="58" t="n">
        <f aca="false">IF(AND(OR(BY744="L1",BY744="L23"),AH744&gt;0),SUMIFS($AH$7:$AH$1843,$BY$7:$BY$1843,BY744,$AK$7:$AK$1843,"&gt;"&amp;AK744)+SUMIFS($AH$7:$AH$1843,$BY$7:$BY$1843,BY744,$AK$7:$AK$1843,AK744,$BQ$7:$BQ$1843,"&lt;="&amp;BQ744),"")</f>
        <v>4.30584270801662</v>
      </c>
      <c r="AM744" s="65" t="n">
        <f aca="false">IF(AL744="",0,MAX(0,MIN(1,(IF(BY744="L1",Parameter!$E$5,Parameter!$E$6+Parameter!$E$7)-(AL744-AH744))/AH744)))</f>
        <v>1</v>
      </c>
      <c r="AN744" s="57" t="n">
        <f aca="false">IF(LEFT(Cockpit!$I$5,1)="A",H744,IF(CA744=1,CB744,IF(LEFT(Cockpit!$I$5,1)="B",AR744,MAX(AR744,H744))))</f>
        <v>157</v>
      </c>
      <c r="AO744" s="57" t="n">
        <f aca="false">IF(BT744=1,0,ROUNDUP(AN744/BS744,0))</f>
        <v>1</v>
      </c>
      <c r="AP744" s="59" t="n">
        <f aca="false">IF(CH744&gt;0,CH744*MAX(1,AN744/X744),IF(BT744=1,IF(AN744&lt;=0,0,BW744*MAX(1,IF(H744&gt;0,AN744/H744,1))),IF(R744&gt;0,AO744/R744,0))/MAX(0.1,N(Parameter!$M$21)))</f>
        <v>0.00505050505050505</v>
      </c>
      <c r="AQ744" s="57" t="n">
        <f aca="false">AN744*G744</f>
        <v>266.9</v>
      </c>
      <c r="AR744" s="57" t="n">
        <f aca="false">ROUNDUP(MAX(J744/IF(BZ744&gt;0,BZ744,MAX(0.1,N(Cockpit!$I$6))),CC744)/BS744,0)*BS744</f>
        <v>157</v>
      </c>
      <c r="AS744" s="58" t="n">
        <f aca="false">IF(AP744&gt;0,J744/AP744,-1)</f>
        <v>15840</v>
      </c>
      <c r="AT744" s="58" t="n">
        <f aca="false">IF(AND(OR(BY744="L1",BY744="L23"),AP744&gt;0),SUMIFS($AP$7:$AP$1843,$BY$7:$BY$1843,BY744,$AS$7:$AS$1843,"&gt;"&amp;AS744)+SUMIFS($AP$7:$AP$1843,$BY$7:$BY$1843,BY744,$AS$7:$AS$1843,AS744,$BQ$7:$BQ$1843,"&lt;="&amp;BQ744),"")</f>
        <v>4.78948346339651</v>
      </c>
      <c r="AU744" s="65" t="n">
        <f aca="false">IF(AT744="",0,MAX(0,MIN(1,(IF(BY744="L1",Parameter!$E$5,Parameter!$E$6+Parameter!$E$7)-(AT744-AP744))/AP744)))</f>
        <v>1</v>
      </c>
      <c r="AV744" s="57" t="n">
        <f aca="false">IF(LEFT(Cockpit!$O$5,1)="A",H744,IF(CA744=1,CB744,IF(LEFT(Cockpit!$O$5,1)="B",AZ744,MAX(AZ744,H744))))</f>
        <v>157</v>
      </c>
      <c r="AW744" s="57" t="n">
        <f aca="false">IF(BT744=1,0,ROUNDUP(AV744/BS744,0))</f>
        <v>1</v>
      </c>
      <c r="AX744" s="59" t="n">
        <f aca="false">IF(CH744&gt;0,CH744*MAX(1,AV744/X744),IF(BT744=1,IF(AV744&lt;=0,0,BW744*MAX(1,IF(H744&gt;0,AV744/H744,1))),IF(R744&gt;0,AW744/R744,0))/MAX(0.1,N(Parameter!$M$21)))</f>
        <v>0.00505050505050505</v>
      </c>
      <c r="AY744" s="57" t="n">
        <f aca="false">AV744*G744</f>
        <v>266.9</v>
      </c>
      <c r="AZ744" s="57" t="n">
        <f aca="false">ROUNDUP(MAX(J744/IF(BZ744&gt;0,BZ744,MAX(0.1,N(Cockpit!$O$6))),CC744)/BS744,0)*BS744</f>
        <v>157</v>
      </c>
      <c r="BA744" s="58" t="n">
        <f aca="false">IF(AX744&gt;0,J744/AX744,-1)</f>
        <v>15840</v>
      </c>
      <c r="BB744" s="58" t="n">
        <f aca="false">IF(AND(OR(BY744="L1",BY744="L23"),AX744&gt;0),SUMIFS($AX$7:$AX$1843,$BY$7:$BY$1843,BY744,$BA$7:$BA$1843,"&gt;"&amp;BA744)+SUMIFS($AX$7:$AX$1843,$BY$7:$BY$1843,BY744,$BA$7:$BA$1843,BA744,$BQ$7:$BQ$1843,"&lt;="&amp;BQ744),"")</f>
        <v>4.46547413938718</v>
      </c>
      <c r="BC744" s="65" t="n">
        <f aca="false">IF(BB744="",0,MAX(0,MIN(1,(IF(BY744="L1",Parameter!$E$5,Parameter!$E$6+Parameter!$E$7)-(BB744-AX744))/AX744)))</f>
        <v>1</v>
      </c>
      <c r="BD744" s="55" t="str">
        <f aca="false">IF(AH744&lt;=0,"",IF(BY744="Aussen","Aussenlager",IF(BY744="-","Nicht im Lift",IF(AM744&gt;=1,"Lift",IF(AM744&lt;=0,"Aussenlager","teilweise")))))</f>
        <v>Lift</v>
      </c>
      <c r="BE744" s="55" t="str">
        <f aca="false">IF(AP744&lt;=0,"",IF(BY744="Aussen","Aussenlager",IF(BY744="-","Nicht im Lift",IF(AU744&gt;=1,"Lift",IF(AU744&lt;=0,"Aussenlager","teilweise")))))</f>
        <v>Lift</v>
      </c>
      <c r="BF744" s="55" t="str">
        <f aca="false">IF(AX744&lt;=0,"",IF(BY744="Aussen","Aussenlager",IF(BY744="-","Nicht im Lift",IF(BC744&gt;=1,"Lift",IF(BC744&lt;=0,"Aussenlager","teilweise")))))</f>
        <v>Lift</v>
      </c>
      <c r="BG744" s="55" t="str">
        <f aca="false">IF(A744="","",IF(BP744=1,"Neu; ","")&amp;IF(AND(BP744=0,BK744&lt;0),"negativer Bestand (Export "&amp;BK744&amp;"); ","")&amp;IF(J744&lt;=0,"Kein Verbrauch; ","")&amp;IF(CH744&gt;0,"Lift "&amp;W744&amp;" lt. Liftbericht (Fach "&amp;X744&amp;" Stk); ",IF(BU744=1,"Gebinde geschätzt ("&amp;T744&amp;"); ",IF(BT744=1,"Lose – Tablare geschätzt; ","")))&amp;IF(H744&gt;AR744,"Überbestand "&amp;ROUND(H744-AR744,0)&amp;" Stk / CHF "&amp;ROUND((H744-AR744)*G744,0)&amp;"; ","")&amp;IF(AND(CA744=1,CB744&lt;CC744),"MAX &lt; MB+LG; ","")&amp;IF(AND(CG744&gt;0,CF744*10&gt;CG744),"zu hoch für Tablar; ","")&amp;IF(AND(BP744=0,OR(CA744=1,AA744&lt;&gt;"",U744&lt;&gt;"",V744&lt;&gt;"",AB744&lt;&gt;"")),"manuell übersteuert; ","")&amp;IF(AND(BT744=0,R744=0),"Gebinde unbekannt / Stellmass fehlt; ","")&amp;IF(AND(BT744=0,N(V744)&lt;=0,N(Q744)&lt;=0),"Menge pro Gebinde fehlt (Ist = 1 Gebinde); ","")&amp;BO744)</f>
        <v/>
      </c>
      <c r="BH744" s="55"/>
      <c r="BI744" s="55"/>
      <c r="BJ744" s="62"/>
      <c r="BK744" s="57" t="n">
        <v>0</v>
      </c>
      <c r="BL744" s="57" t="n">
        <v>78</v>
      </c>
      <c r="BM744" s="56" t="n">
        <v>-2.1316282072803E-014</v>
      </c>
      <c r="BN744" s="57" t="n">
        <v>80</v>
      </c>
      <c r="BO744" s="55"/>
      <c r="BP744" s="60" t="n">
        <v>0</v>
      </c>
      <c r="BQ744" s="60" t="n">
        <v>744</v>
      </c>
      <c r="BR744" s="55" t="str">
        <f aca="false">IF(U744&lt;&gt;"",UPPER(TRIM(U744)),IF(BU744=1,UPPER(VLOOKUP(T744,Parameter!$I$27:$K$29,2,0)),IF(P744="","LOSE",P744)))</f>
        <v>S22</v>
      </c>
      <c r="BS744" s="57" t="n">
        <f aca="false">IF(BR744="LOSE",1,IF(N(V744)&gt;0,V744,IF(BU744=1,MAX(1,N(VLOOKUP(T744,Parameter!$I$27:$K$29,3,0)),H744,N(N744)),IF(N(Q744)&gt;0,Q744,MAX(1,H744)))))</f>
        <v>157</v>
      </c>
      <c r="BT744" s="60" t="n">
        <f aca="false">IF(BR744="LOSE",1,0)</f>
        <v>0</v>
      </c>
      <c r="BU744" s="60" t="n">
        <f aca="false">IF(AND(U744="",OR(P744="",P744="LOSE"),T744&lt;&gt;"",N(S744)&lt;=0,ISNUMBER(MATCH(T744,Parameter!$I$27:$I$29,0))),1,0)</f>
        <v>0</v>
      </c>
      <c r="BV744" s="55" t="str">
        <f aca="false">IF(AND(Parameter!$B$19="Ja",E744&lt;&gt;"",ISNUMBER(MATCH(E744,Parameter!$I$35:$I$52,0))),VLOOKUP(E744,Parameter!$I$35:$J$52,2,0),IFERROR(VLOOKUP(D744,Parameter!$A$35:$C$64,2,0),"Nein"))</f>
        <v>2+3</v>
      </c>
      <c r="BW744" s="59" t="n">
        <f aca="false">IF(BT744=0,0,IF(N(S744)&gt;0,S744,IFERROR(VLOOKUP(D744,Parameter!$A$35:$C$64,3,0)+0,0)))</f>
        <v>0</v>
      </c>
      <c r="BX744" s="55" t="n">
        <f aca="false">IF(AA744&lt;&gt;"",AA744,Z744)</f>
        <v>3</v>
      </c>
      <c r="BY744" s="55" t="str">
        <f aca="false">IF(BX744=1,"L1",IF(OR(BX744=2,BX744=3),"L23",IF(BX744="Aussen","Aussen","-")))</f>
        <v>L23</v>
      </c>
      <c r="BZ744" s="66" t="n">
        <f aca="false">IF(N(AB744)&gt;0,AB744,0)</f>
        <v>0</v>
      </c>
      <c r="CA744" s="60" t="n">
        <f aca="false">IF(ISNUMBER(AE744),1,0)</f>
        <v>0</v>
      </c>
      <c r="CB744" s="57" t="n">
        <f aca="false">N(AE744)</f>
        <v>0</v>
      </c>
      <c r="CC744" s="57" t="n">
        <f aca="false">N(M744)+N(N744)</f>
        <v>84</v>
      </c>
      <c r="CD744" s="57" t="n">
        <f aca="false">ROUNDUP(H744/BS744,0)</f>
        <v>1</v>
      </c>
      <c r="CE744" s="57" t="n">
        <f aca="false">ROUNDUP(CB744/BS744,0)</f>
        <v>0</v>
      </c>
      <c r="CF744" s="60" t="n">
        <f aca="false">IF(BT744=1,0,IFERROR(VLOOKUP(BR744,'Gebinde-Kategorie'!$A$5:$M$45,5,0)+0,0))</f>
        <v>8</v>
      </c>
      <c r="CG744" s="60" t="n">
        <f aca="false">IFERROR(IF(OR(BX744=1,BX744=2,BX744=3),N(INDEX(Parameter!$I$5:$I$7,BX744)),0),0)</f>
        <v>0</v>
      </c>
      <c r="CH744" s="59" t="n">
        <f aca="false">IF(AND(Parameter!$B$21="Ja",ISNUMBER(W744),N(X744)&gt;0),IFERROR(N(INDEX(Parameter!$L$5:$L$7,W744))*INDEX(Parameter!$E$5:$E$7,W744)*X744/SUMIFS($X$7:$X$1843,$W$7:$W$1843,W744),0),0)</f>
        <v>0</v>
      </c>
    </row>
    <row r="745" customFormat="false" ht="15" hidden="false" customHeight="false" outlineLevel="0" collapsed="false">
      <c r="A745" s="55" t="s">
        <v>1476</v>
      </c>
      <c r="B745" s="55" t="s">
        <v>1383</v>
      </c>
      <c r="C745" s="55" t="s">
        <v>164</v>
      </c>
      <c r="D745" s="55" t="s">
        <v>173</v>
      </c>
      <c r="E745" s="55"/>
      <c r="F745" s="55" t="s">
        <v>218</v>
      </c>
      <c r="G745" s="56" t="n">
        <v>11075.32</v>
      </c>
      <c r="H745" s="57" t="n">
        <f aca="false">MAX(0,IF(AND(Parameter!$B$21="Ja",ISNUMBER(Y745)),Y745,IF(Parameter!$B$20="Jahresanfang 2025 + Export",BL745+BK745,BK745)))</f>
        <v>0</v>
      </c>
      <c r="I745" s="57" t="n">
        <f aca="false">H745*G745</f>
        <v>0</v>
      </c>
      <c r="J745" s="57" t="n">
        <f aca="false">BN745*Parameter!$B$18</f>
        <v>1</v>
      </c>
      <c r="K745" s="58" t="n">
        <v>0</v>
      </c>
      <c r="L745" s="59" t="n">
        <v>0</v>
      </c>
      <c r="M745" s="57" t="n">
        <v>0</v>
      </c>
      <c r="N745" s="57" t="n">
        <v>1</v>
      </c>
      <c r="O745" s="60" t="n">
        <v>170</v>
      </c>
      <c r="P745" s="55" t="s">
        <v>168</v>
      </c>
      <c r="Q745" s="57"/>
      <c r="R745" s="60" t="n">
        <f aca="false">IF(BT745=1,0,IFERROR(VLOOKUP(BR745,'Gebinde-Kategorie'!$A$5:$M$45,13,0)+0,0))</f>
        <v>3</v>
      </c>
      <c r="S745" s="61"/>
      <c r="T745" s="62" t="s">
        <v>189</v>
      </c>
      <c r="U745" s="62"/>
      <c r="V745" s="62"/>
      <c r="W745" s="55"/>
      <c r="X745" s="57"/>
      <c r="Y745" s="57"/>
      <c r="Z745" s="55" t="n">
        <f aca="false">IF(A745="","",IF(AND(Parameter!$B$21="Ja",ISNUMBER(W745)),W745,IF(BV745="2+3",IF(ISNUMBER(SEARCH("grosser Artikel",BO745)),2,IFERROR(VLOOKUP(BR745,Parameter!$F$35:$G$64,2,0),2)),IF(OR(BV745="Nein",BV745=""),"-",BV745))))</f>
        <v>2</v>
      </c>
      <c r="AA745" s="62"/>
      <c r="AB745" s="63"/>
      <c r="AC745" s="57" t="n">
        <f aca="false">AR745</f>
        <v>2</v>
      </c>
      <c r="AD745" s="57" t="n">
        <f aca="false">MAX(AR745,H745)</f>
        <v>2</v>
      </c>
      <c r="AE745" s="64"/>
      <c r="AF745" s="57" t="n">
        <f aca="false">IF(LEFT(Cockpit!$C$5,1)="A",H745,IF(CA745=1,CB745,IF(LEFT(Cockpit!$C$5,1)="B",AJ745,MAX(AJ745,H745))))</f>
        <v>0</v>
      </c>
      <c r="AG745" s="57" t="n">
        <f aca="false">IF(BT745=1,0,ROUNDUP(AF745/BS745,0))</f>
        <v>0</v>
      </c>
      <c r="AH745" s="59" t="n">
        <f aca="false">IF(CH745&gt;0,CH745*MAX(1,AF745/X745),IF(BT745=1,IF(AF745&lt;=0,0,BW745*MAX(1,IF(H745&gt;0,AF745/H745,1))),IF(R745&gt;0,AG745/R745,0))/MAX(0.1,N(Parameter!$M$21)))</f>
        <v>0</v>
      </c>
      <c r="AI745" s="57" t="n">
        <f aca="false">AF745*G745</f>
        <v>0</v>
      </c>
      <c r="AJ745" s="57" t="n">
        <f aca="false">ROUNDUP(MAX(J745/IF(BZ745&gt;0,BZ745,MAX(0.1,N(Cockpit!$C$6))),CC745)/BS745,0)*BS745</f>
        <v>2</v>
      </c>
      <c r="AK745" s="58" t="n">
        <f aca="false">IF(AH745&gt;0,J745/AH745,-1)</f>
        <v>-1</v>
      </c>
      <c r="AL745" s="58" t="str">
        <f aca="false">IF(AND(OR(BY745="L1",BY745="L23"),AH745&gt;0),SUMIFS($AH$7:$AH$1843,$BY$7:$BY$1843,BY745,$AK$7:$AK$1843,"&gt;"&amp;AK745)+SUMIFS($AH$7:$AH$1843,$BY$7:$BY$1843,BY745,$AK$7:$AK$1843,AK745,$BQ$7:$BQ$1843,"&lt;="&amp;BQ745),"")</f>
        <v/>
      </c>
      <c r="AM745" s="65" t="n">
        <f aca="false">IF(AL745="",0,MAX(0,MIN(1,(IF(BY745="L1",Parameter!$E$5,Parameter!$E$6+Parameter!$E$7)-(AL745-AH745))/AH745)))</f>
        <v>0</v>
      </c>
      <c r="AN745" s="57" t="n">
        <f aca="false">IF(LEFT(Cockpit!$I$5,1)="A",H745,IF(CA745=1,CB745,IF(LEFT(Cockpit!$I$5,1)="B",AR745,MAX(AR745,H745))))</f>
        <v>2</v>
      </c>
      <c r="AO745" s="57" t="n">
        <f aca="false">IF(BT745=1,0,ROUNDUP(AN745/BS745,0))</f>
        <v>1</v>
      </c>
      <c r="AP745" s="59" t="n">
        <f aca="false">IF(CH745&gt;0,CH745*MAX(1,AN745/X745),IF(BT745=1,IF(AN745&lt;=0,0,BW745*MAX(1,IF(H745&gt;0,AN745/H745,1))),IF(R745&gt;0,AO745/R745,0))/MAX(0.1,N(Parameter!$M$21)))</f>
        <v>0.333333333333333</v>
      </c>
      <c r="AQ745" s="57" t="n">
        <f aca="false">AN745*G745</f>
        <v>22150.64</v>
      </c>
      <c r="AR745" s="57" t="n">
        <f aca="false">ROUNDUP(MAX(J745/IF(BZ745&gt;0,BZ745,MAX(0.1,N(Cockpit!$I$6))),CC745)/BS745,0)*BS745</f>
        <v>2</v>
      </c>
      <c r="AS745" s="58" t="n">
        <f aca="false">IF(AP745&gt;0,J745/AP745,-1)</f>
        <v>3</v>
      </c>
      <c r="AT745" s="58" t="n">
        <f aca="false">IF(AND(OR(BY745="L1",BY745="L23"),AP745&gt;0),SUMIFS($AP$7:$AP$1843,$BY$7:$BY$1843,BY745,$AS$7:$AS$1843,"&gt;"&amp;AS745)+SUMIFS($AP$7:$AP$1843,$BY$7:$BY$1843,BY745,$AS$7:$AS$1843,AS745,$BQ$7:$BQ$1843,"&lt;="&amp;BQ745),"")</f>
        <v>96.9161514813689</v>
      </c>
      <c r="AU745" s="65" t="n">
        <f aca="false">IF(AT745="",0,MAX(0,MIN(1,(IF(BY745="L1",Parameter!$E$5,Parameter!$E$6+Parameter!$E$7)-(AT745-AP745))/AP745)))</f>
        <v>1</v>
      </c>
      <c r="AV745" s="57" t="n">
        <f aca="false">IF(LEFT(Cockpit!$O$5,1)="A",H745,IF(CA745=1,CB745,IF(LEFT(Cockpit!$O$5,1)="B",AZ745,MAX(AZ745,H745))))</f>
        <v>2</v>
      </c>
      <c r="AW745" s="57" t="n">
        <f aca="false">IF(BT745=1,0,ROUNDUP(AV745/BS745,0))</f>
        <v>1</v>
      </c>
      <c r="AX745" s="59" t="n">
        <f aca="false">IF(CH745&gt;0,CH745*MAX(1,AV745/X745),IF(BT745=1,IF(AV745&lt;=0,0,BW745*MAX(1,IF(H745&gt;0,AV745/H745,1))),IF(R745&gt;0,AW745/R745,0))/MAX(0.1,N(Parameter!$M$21)))</f>
        <v>0.333333333333333</v>
      </c>
      <c r="AY745" s="57" t="n">
        <f aca="false">AV745*G745</f>
        <v>22150.64</v>
      </c>
      <c r="AZ745" s="57" t="n">
        <f aca="false">ROUNDUP(MAX(J745/IF(BZ745&gt;0,BZ745,MAX(0.1,N(Cockpit!$O$6))),CC745)/BS745,0)*BS745</f>
        <v>2</v>
      </c>
      <c r="BA745" s="58" t="n">
        <f aca="false">IF(AX745&gt;0,J745/AX745,-1)</f>
        <v>3</v>
      </c>
      <c r="BB745" s="58" t="n">
        <f aca="false">IF(AND(OR(BY745="L1",BY745="L23"),AX745&gt;0),SUMIFS($AX$7:$AX$1843,$BY$7:$BY$1843,BY745,$BA$7:$BA$1843,"&gt;"&amp;BA745)+SUMIFS($AX$7:$AX$1843,$BY$7:$BY$1843,BY745,$BA$7:$BA$1843,BA745,$BQ$7:$BQ$1843,"&lt;="&amp;BQ745),"")</f>
        <v>87.7459883112057</v>
      </c>
      <c r="BC745" s="65" t="n">
        <f aca="false">IF(BB745="",0,MAX(0,MIN(1,(IF(BY745="L1",Parameter!$E$5,Parameter!$E$6+Parameter!$E$7)-(BB745-AX745))/AX745)))</f>
        <v>1</v>
      </c>
      <c r="BD745" s="55" t="str">
        <f aca="false">IF(AH745&lt;=0,"",IF(BY745="Aussen","Aussenlager",IF(BY745="-","Nicht im Lift",IF(AM745&gt;=1,"Lift",IF(AM745&lt;=0,"Aussenlager","teilweise")))))</f>
        <v/>
      </c>
      <c r="BE745" s="55" t="str">
        <f aca="false">IF(AP745&lt;=0,"",IF(BY745="Aussen","Aussenlager",IF(BY745="-","Nicht im Lift",IF(AU745&gt;=1,"Lift",IF(AU745&lt;=0,"Aussenlager","teilweise")))))</f>
        <v>Lift</v>
      </c>
      <c r="BF745" s="55" t="str">
        <f aca="false">IF(AX745&lt;=0,"",IF(BY745="Aussen","Aussenlager",IF(BY745="-","Nicht im Lift",IF(BC745&gt;=1,"Lift",IF(BC745&lt;=0,"Aussenlager","teilweise")))))</f>
        <v>Lift</v>
      </c>
      <c r="BG745" s="55" t="str">
        <f aca="false">IF(A745="","",IF(BP745=1,"Neu; ","")&amp;IF(AND(BP745=0,BK745&lt;0),"negativer Bestand (Export "&amp;BK745&amp;"); ","")&amp;IF(J745&lt;=0,"Kein Verbrauch; ","")&amp;IF(CH745&gt;0,"Lift "&amp;W745&amp;" lt. Liftbericht (Fach "&amp;X745&amp;" Stk); ",IF(BU745=1,"Gebinde geschätzt ("&amp;T745&amp;"); ",IF(BT745=1,"Lose – Tablare geschätzt; ","")))&amp;IF(H745&gt;AR745,"Überbestand "&amp;ROUND(H745-AR745,0)&amp;" Stk / CHF "&amp;ROUND((H745-AR745)*G745,0)&amp;"; ","")&amp;IF(AND(CA745=1,CB745&lt;CC745),"MAX &lt; MB+LG; ","")&amp;IF(AND(CG745&gt;0,CF745*10&gt;CG745),"zu hoch für Tablar; ","")&amp;IF(AND(BP745=0,OR(CA745=1,AA745&lt;&gt;"",U745&lt;&gt;"",V745&lt;&gt;"",AB745&lt;&gt;"")),"manuell übersteuert; ","")&amp;IF(AND(BT745=0,R745=0),"Gebinde unbekannt / Stellmass fehlt; ","")&amp;IF(AND(BT745=0,N(V745)&lt;=0,N(Q745)&lt;=0),"Menge pro Gebinde fehlt (Ist = 1 Gebinde); ","")&amp;BO745)</f>
        <v>Gebinde geschätzt (Gross); Menge pro Gebinde fehlt (Ist = 1 Gebinde); </v>
      </c>
      <c r="BH745" s="55"/>
      <c r="BI745" s="55"/>
      <c r="BJ745" s="62"/>
      <c r="BK745" s="57" t="n">
        <v>0</v>
      </c>
      <c r="BL745" s="57" t="n">
        <v>0</v>
      </c>
      <c r="BM745" s="56" t="n">
        <v>-1.70530256582424E-013</v>
      </c>
      <c r="BN745" s="57" t="n">
        <v>1</v>
      </c>
      <c r="BO745" s="55"/>
      <c r="BP745" s="60" t="n">
        <v>0</v>
      </c>
      <c r="BQ745" s="60" t="n">
        <v>745</v>
      </c>
      <c r="BR745" s="55" t="str">
        <f aca="false">IF(U745&lt;&gt;"",UPPER(TRIM(U745)),IF(BU745=1,UPPER(VLOOKUP(T745,Parameter!$I$27:$K$29,2,0)),IF(P745="","LOSE",P745)))</f>
        <v>S81</v>
      </c>
      <c r="BS745" s="57" t="n">
        <f aca="false">IF(BR745="LOSE",1,IF(N(V745)&gt;0,V745,IF(BU745=1,MAX(1,N(VLOOKUP(T745,Parameter!$I$27:$K$29,3,0)),H745,N(N745)),IF(N(Q745)&gt;0,Q745,MAX(1,H745)))))</f>
        <v>2</v>
      </c>
      <c r="BT745" s="60" t="n">
        <f aca="false">IF(BR745="LOSE",1,0)</f>
        <v>0</v>
      </c>
      <c r="BU745" s="60" t="n">
        <f aca="false">IF(AND(U745="",OR(P745="",P745="LOSE"),T745&lt;&gt;"",N(S745)&lt;=0,ISNUMBER(MATCH(T745,Parameter!$I$27:$I$29,0))),1,0)</f>
        <v>1</v>
      </c>
      <c r="BV745" s="55" t="str">
        <f aca="false">IF(AND(Parameter!$B$19="Ja",E745&lt;&gt;"",ISNUMBER(MATCH(E745,Parameter!$I$35:$I$52,0))),VLOOKUP(E745,Parameter!$I$35:$J$52,2,0),IFERROR(VLOOKUP(D745,Parameter!$A$35:$C$64,2,0),"Nein"))</f>
        <v>2+3</v>
      </c>
      <c r="BW745" s="59" t="n">
        <f aca="false">IF(BT745=0,0,IF(N(S745)&gt;0,S745,IFERROR(VLOOKUP(D745,Parameter!$A$35:$C$64,3,0)+0,0)))</f>
        <v>0</v>
      </c>
      <c r="BX745" s="55" t="n">
        <f aca="false">IF(AA745&lt;&gt;"",AA745,Z745)</f>
        <v>2</v>
      </c>
      <c r="BY745" s="55" t="str">
        <f aca="false">IF(BX745=1,"L1",IF(OR(BX745=2,BX745=3),"L23",IF(BX745="Aussen","Aussen","-")))</f>
        <v>L23</v>
      </c>
      <c r="BZ745" s="66" t="n">
        <f aca="false">IF(N(AB745)&gt;0,AB745,0)</f>
        <v>0</v>
      </c>
      <c r="CA745" s="60" t="n">
        <f aca="false">IF(ISNUMBER(AE745),1,0)</f>
        <v>0</v>
      </c>
      <c r="CB745" s="57" t="n">
        <f aca="false">N(AE745)</f>
        <v>0</v>
      </c>
      <c r="CC745" s="57" t="n">
        <f aca="false">N(M745)+N(N745)</f>
        <v>1</v>
      </c>
      <c r="CD745" s="57" t="n">
        <f aca="false">ROUNDUP(H745/BS745,0)</f>
        <v>0</v>
      </c>
      <c r="CE745" s="57" t="n">
        <f aca="false">ROUNDUP(CB745/BS745,0)</f>
        <v>0</v>
      </c>
      <c r="CF745" s="60" t="n">
        <f aca="false">IF(BT745=1,0,IFERROR(VLOOKUP(BR745,'Gebinde-Kategorie'!$A$5:$M$45,5,0)+0,0))</f>
        <v>20</v>
      </c>
      <c r="CG745" s="60" t="n">
        <f aca="false">IFERROR(IF(OR(BX745=1,BX745=2,BX745=3),N(INDEX(Parameter!$I$5:$I$7,BX745)),0),0)</f>
        <v>0</v>
      </c>
      <c r="CH745" s="59" t="n">
        <f aca="false">IF(AND(Parameter!$B$21="Ja",ISNUMBER(W745),N(X745)&gt;0),IFERROR(N(INDEX(Parameter!$L$5:$L$7,W745))*INDEX(Parameter!$E$5:$E$7,W745)*X745/SUMIFS($X$7:$X$1843,$W$7:$W$1843,W745),0),0)</f>
        <v>0</v>
      </c>
    </row>
    <row r="746" customFormat="false" ht="15" hidden="false" customHeight="false" outlineLevel="0" collapsed="false">
      <c r="A746" s="55" t="s">
        <v>1477</v>
      </c>
      <c r="B746" s="55" t="s">
        <v>1478</v>
      </c>
      <c r="C746" s="55" t="s">
        <v>167</v>
      </c>
      <c r="D746" s="55" t="s">
        <v>1388</v>
      </c>
      <c r="E746" s="55" t="s">
        <v>1479</v>
      </c>
      <c r="F746" s="55" t="s">
        <v>218</v>
      </c>
      <c r="G746" s="56" t="n">
        <v>2567.23</v>
      </c>
      <c r="H746" s="57" t="n">
        <f aca="false">MAX(0,IF(AND(Parameter!$B$21="Ja",ISNUMBER(Y746)),Y746,IF(Parameter!$B$20="Jahresanfang 2025 + Export",BL746+BK746,BK746)))</f>
        <v>0</v>
      </c>
      <c r="I746" s="57" t="n">
        <f aca="false">H746*G746</f>
        <v>0</v>
      </c>
      <c r="J746" s="57" t="n">
        <f aca="false">BN746*Parameter!$B$18</f>
        <v>44</v>
      </c>
      <c r="K746" s="58" t="n">
        <v>0</v>
      </c>
      <c r="L746" s="59" t="n">
        <v>0</v>
      </c>
      <c r="M746" s="57" t="n">
        <v>0</v>
      </c>
      <c r="N746" s="57" t="n">
        <v>1</v>
      </c>
      <c r="O746" s="60" t="n">
        <v>7</v>
      </c>
      <c r="P746" s="55" t="s">
        <v>168</v>
      </c>
      <c r="Q746" s="57"/>
      <c r="R746" s="60" t="n">
        <f aca="false">IF(BT746=1,0,IFERROR(VLOOKUP(BR746,'Gebinde-Kategorie'!$A$5:$M$45,13,0)+0,0))</f>
        <v>0</v>
      </c>
      <c r="S746" s="61"/>
      <c r="T746" s="62"/>
      <c r="U746" s="62"/>
      <c r="V746" s="62"/>
      <c r="W746" s="55"/>
      <c r="X746" s="57"/>
      <c r="Y746" s="57"/>
      <c r="Z746" s="55" t="str">
        <f aca="false">IF(A746="","",IF(AND(Parameter!$B$21="Ja",ISNUMBER(W746)),W746,IF(BV746="2+3",IF(ISNUMBER(SEARCH("grosser Artikel",BO746)),2,IFERROR(VLOOKUP(BR746,Parameter!$F$35:$G$64,2,0),2)),IF(OR(BV746="Nein",BV746=""),"-",BV746))))</f>
        <v>-</v>
      </c>
      <c r="AA746" s="62"/>
      <c r="AB746" s="63"/>
      <c r="AC746" s="57" t="n">
        <f aca="false">AR746</f>
        <v>22</v>
      </c>
      <c r="AD746" s="57" t="n">
        <f aca="false">MAX(AR746,H746)</f>
        <v>22</v>
      </c>
      <c r="AE746" s="64"/>
      <c r="AF746" s="57" t="n">
        <f aca="false">IF(LEFT(Cockpit!$C$5,1)="A",H746,IF(CA746=1,CB746,IF(LEFT(Cockpit!$C$5,1)="B",AJ746,MAX(AJ746,H746))))</f>
        <v>0</v>
      </c>
      <c r="AG746" s="57" t="n">
        <f aca="false">IF(BT746=1,0,ROUNDUP(AF746/BS746,0))</f>
        <v>0</v>
      </c>
      <c r="AH746" s="59" t="n">
        <f aca="false">IF(CH746&gt;0,CH746*MAX(1,AF746/X746),IF(BT746=1,IF(AF746&lt;=0,0,BW746*MAX(1,IF(H746&gt;0,AF746/H746,1))),IF(R746&gt;0,AG746/R746,0))/MAX(0.1,N(Parameter!$M$21)))</f>
        <v>0</v>
      </c>
      <c r="AI746" s="57" t="n">
        <f aca="false">AF746*G746</f>
        <v>0</v>
      </c>
      <c r="AJ746" s="57" t="n">
        <f aca="false">ROUNDUP(MAX(J746/IF(BZ746&gt;0,BZ746,MAX(0.1,N(Cockpit!$C$6))),CC746)/BS746,0)*BS746</f>
        <v>22</v>
      </c>
      <c r="AK746" s="58" t="n">
        <f aca="false">IF(AH746&gt;0,J746/AH746,-1)</f>
        <v>-1</v>
      </c>
      <c r="AL746" s="58" t="str">
        <f aca="false">IF(AND(OR(BY746="L1",BY746="L23"),AH746&gt;0),SUMIFS($AH$7:$AH$1843,$BY$7:$BY$1843,BY746,$AK$7:$AK$1843,"&gt;"&amp;AK746)+SUMIFS($AH$7:$AH$1843,$BY$7:$BY$1843,BY746,$AK$7:$AK$1843,AK746,$BQ$7:$BQ$1843,"&lt;="&amp;BQ746),"")</f>
        <v/>
      </c>
      <c r="AM746" s="65" t="n">
        <f aca="false">IF(AL746="",0,MAX(0,MIN(1,(IF(BY746="L1",Parameter!$E$5,Parameter!$E$6+Parameter!$E$7)-(AL746-AH746))/AH746)))</f>
        <v>0</v>
      </c>
      <c r="AN746" s="57" t="n">
        <f aca="false">IF(LEFT(Cockpit!$I$5,1)="A",H746,IF(CA746=1,CB746,IF(LEFT(Cockpit!$I$5,1)="B",AR746,MAX(AR746,H746))))</f>
        <v>22</v>
      </c>
      <c r="AO746" s="57" t="n">
        <f aca="false">IF(BT746=1,0,ROUNDUP(AN746/BS746,0))</f>
        <v>0</v>
      </c>
      <c r="AP746" s="59" t="n">
        <f aca="false">IF(CH746&gt;0,CH746*MAX(1,AN746/X746),IF(BT746=1,IF(AN746&lt;=0,0,BW746*MAX(1,IF(H746&gt;0,AN746/H746,1))),IF(R746&gt;0,AO746/R746,0))/MAX(0.1,N(Parameter!$M$21)))</f>
        <v>0.15</v>
      </c>
      <c r="AQ746" s="57" t="n">
        <f aca="false">AN746*G746</f>
        <v>56479.06</v>
      </c>
      <c r="AR746" s="57" t="n">
        <f aca="false">ROUNDUP(MAX(J746/IF(BZ746&gt;0,BZ746,MAX(0.1,N(Cockpit!$I$6))),CC746)/BS746,0)*BS746</f>
        <v>22</v>
      </c>
      <c r="AS746" s="58" t="n">
        <f aca="false">IF(AP746&gt;0,J746/AP746,-1)</f>
        <v>293.333333333333</v>
      </c>
      <c r="AT746" s="58" t="str">
        <f aca="false">IF(AND(OR(BY746="L1",BY746="L23"),AP746&gt;0),SUMIFS($AP$7:$AP$1843,$BY$7:$BY$1843,BY746,$AS$7:$AS$1843,"&gt;"&amp;AS746)+SUMIFS($AP$7:$AP$1843,$BY$7:$BY$1843,BY746,$AS$7:$AS$1843,AS746,$BQ$7:$BQ$1843,"&lt;="&amp;BQ746),"")</f>
        <v/>
      </c>
      <c r="AU746" s="65" t="n">
        <f aca="false">IF(AT746="",0,MAX(0,MIN(1,(IF(BY746="L1",Parameter!$E$5,Parameter!$E$6+Parameter!$E$7)-(AT746-AP746))/AP746)))</f>
        <v>0</v>
      </c>
      <c r="AV746" s="57" t="n">
        <f aca="false">IF(LEFT(Cockpit!$O$5,1)="A",H746,IF(CA746=1,CB746,IF(LEFT(Cockpit!$O$5,1)="B",AZ746,MAX(AZ746,H746))))</f>
        <v>15</v>
      </c>
      <c r="AW746" s="57" t="n">
        <f aca="false">IF(BT746=1,0,ROUNDUP(AV746/BS746,0))</f>
        <v>0</v>
      </c>
      <c r="AX746" s="59" t="n">
        <f aca="false">IF(CH746&gt;0,CH746*MAX(1,AV746/X746),IF(BT746=1,IF(AV746&lt;=0,0,BW746*MAX(1,IF(H746&gt;0,AV746/H746,1))),IF(R746&gt;0,AW746/R746,0))/MAX(0.1,N(Parameter!$M$21)))</f>
        <v>0.15</v>
      </c>
      <c r="AY746" s="57" t="n">
        <f aca="false">AV746*G746</f>
        <v>38508.45</v>
      </c>
      <c r="AZ746" s="57" t="n">
        <f aca="false">ROUNDUP(MAX(J746/IF(BZ746&gt;0,BZ746,MAX(0.1,N(Cockpit!$O$6))),CC746)/BS746,0)*BS746</f>
        <v>15</v>
      </c>
      <c r="BA746" s="58" t="n">
        <f aca="false">IF(AX746&gt;0,J746/AX746,-1)</f>
        <v>293.333333333333</v>
      </c>
      <c r="BB746" s="58" t="str">
        <f aca="false">IF(AND(OR(BY746="L1",BY746="L23"),AX746&gt;0),SUMIFS($AX$7:$AX$1843,$BY$7:$BY$1843,BY746,$BA$7:$BA$1843,"&gt;"&amp;BA746)+SUMIFS($AX$7:$AX$1843,$BY$7:$BY$1843,BY746,$BA$7:$BA$1843,BA746,$BQ$7:$BQ$1843,"&lt;="&amp;BQ746),"")</f>
        <v/>
      </c>
      <c r="BC746" s="65" t="n">
        <f aca="false">IF(BB746="",0,MAX(0,MIN(1,(IF(BY746="L1",Parameter!$E$5,Parameter!$E$6+Parameter!$E$7)-(BB746-AX746))/AX746)))</f>
        <v>0</v>
      </c>
      <c r="BD746" s="55" t="str">
        <f aca="false">IF(AH746&lt;=0,"",IF(BY746="Aussen","Aussenlager",IF(BY746="-","Nicht im Lift",IF(AM746&gt;=1,"Lift",IF(AM746&lt;=0,"Aussenlager","teilweise")))))</f>
        <v/>
      </c>
      <c r="BE746" s="55" t="str">
        <f aca="false">IF(AP746&lt;=0,"",IF(BY746="Aussen","Aussenlager",IF(BY746="-","Nicht im Lift",IF(AU746&gt;=1,"Lift",IF(AU746&lt;=0,"Aussenlager","teilweise")))))</f>
        <v>Nicht im Lift</v>
      </c>
      <c r="BF746" s="55" t="str">
        <f aca="false">IF(AX746&lt;=0,"",IF(BY746="Aussen","Aussenlager",IF(BY746="-","Nicht im Lift",IF(BC746&gt;=1,"Lift",IF(BC746&lt;=0,"Aussenlager","teilweise")))))</f>
        <v>Nicht im Lift</v>
      </c>
      <c r="BG746" s="55" t="str">
        <f aca="false">IF(A746="","",IF(BP746=1,"Neu; ","")&amp;IF(AND(BP746=0,BK746&lt;0),"negativer Bestand (Export "&amp;BK746&amp;"); ","")&amp;IF(J746&lt;=0,"Kein Verbrauch; ","")&amp;IF(CH746&gt;0,"Lift "&amp;W746&amp;" lt. Liftbericht (Fach "&amp;X746&amp;" Stk); ",IF(BU746=1,"Gebinde geschätzt ("&amp;T746&amp;"); ",IF(BT746=1,"Lose – Tablare geschätzt; ","")))&amp;IF(H746&gt;AR746,"Überbestand "&amp;ROUND(H746-AR746,0)&amp;" Stk / CHF "&amp;ROUND((H746-AR746)*G746,0)&amp;"; ","")&amp;IF(AND(CA746=1,CB746&lt;CC746),"MAX &lt; MB+LG; ","")&amp;IF(AND(CG746&gt;0,CF746*10&gt;CG746),"zu hoch für Tablar; ","")&amp;IF(AND(BP746=0,OR(CA746=1,AA746&lt;&gt;"",U746&lt;&gt;"",V746&lt;&gt;"",AB746&lt;&gt;"")),"manuell übersteuert; ","")&amp;IF(AND(BT746=0,R746=0),"Gebinde unbekannt / Stellmass fehlt; ","")&amp;IF(AND(BT746=0,N(V746)&lt;=0,N(Q746)&lt;=0),"Menge pro Gebinde fehlt (Ist = 1 Gebinde); ","")&amp;BO746)</f>
        <v>Lose – Tablare geschätzt; </v>
      </c>
      <c r="BH746" s="55"/>
      <c r="BI746" s="55"/>
      <c r="BJ746" s="62"/>
      <c r="BK746" s="57" t="n">
        <v>0</v>
      </c>
      <c r="BL746" s="57" t="n">
        <v>0</v>
      </c>
      <c r="BM746" s="56" t="n">
        <v>-7.27595761418343E-012</v>
      </c>
      <c r="BN746" s="57" t="n">
        <v>44</v>
      </c>
      <c r="BO746" s="55"/>
      <c r="BP746" s="60" t="n">
        <v>0</v>
      </c>
      <c r="BQ746" s="60" t="n">
        <v>746</v>
      </c>
      <c r="BR746" s="55" t="str">
        <f aca="false">IF(U746&lt;&gt;"",UPPER(TRIM(U746)),IF(BU746=1,UPPER(VLOOKUP(T746,Parameter!$I$27:$K$29,2,0)),IF(P746="","LOSE",P746)))</f>
        <v>LOSE</v>
      </c>
      <c r="BS746" s="57" t="n">
        <f aca="false">IF(BR746="LOSE",1,IF(N(V746)&gt;0,V746,IF(BU746=1,MAX(1,N(VLOOKUP(T746,Parameter!$I$27:$K$29,3,0)),H746,N(N746)),IF(N(Q746)&gt;0,Q746,MAX(1,H746)))))</f>
        <v>1</v>
      </c>
      <c r="BT746" s="60" t="n">
        <f aca="false">IF(BR746="LOSE",1,0)</f>
        <v>1</v>
      </c>
      <c r="BU746" s="60" t="n">
        <f aca="false">IF(AND(U746="",OR(P746="",P746="LOSE"),T746&lt;&gt;"",N(S746)&lt;=0,ISNUMBER(MATCH(T746,Parameter!$I$27:$I$29,0))),1,0)</f>
        <v>0</v>
      </c>
      <c r="BV746" s="55" t="str">
        <f aca="false">IF(AND(Parameter!$B$19="Ja",E746&lt;&gt;"",ISNUMBER(MATCH(E746,Parameter!$I$35:$I$52,0))),VLOOKUP(E746,Parameter!$I$35:$J$52,2,0),IFERROR(VLOOKUP(D746,Parameter!$A$35:$C$64,2,0),"Nein"))</f>
        <v>Nein</v>
      </c>
      <c r="BW746" s="59" t="n">
        <f aca="false">IF(BT746=0,0,IF(N(S746)&gt;0,S746,IFERROR(VLOOKUP(D746,Parameter!$A$35:$C$64,3,0)+0,0)))</f>
        <v>0.15</v>
      </c>
      <c r="BX746" s="55" t="str">
        <f aca="false">IF(AA746&lt;&gt;"",AA746,Z746)</f>
        <v>-</v>
      </c>
      <c r="BY746" s="55" t="str">
        <f aca="false">IF(BX746=1,"L1",IF(OR(BX746=2,BX746=3),"L23",IF(BX746="Aussen","Aussen","-")))</f>
        <v>-</v>
      </c>
      <c r="BZ746" s="66" t="n">
        <f aca="false">IF(N(AB746)&gt;0,AB746,0)</f>
        <v>0</v>
      </c>
      <c r="CA746" s="60" t="n">
        <f aca="false">IF(ISNUMBER(AE746),1,0)</f>
        <v>0</v>
      </c>
      <c r="CB746" s="57" t="n">
        <f aca="false">N(AE746)</f>
        <v>0</v>
      </c>
      <c r="CC746" s="57" t="n">
        <f aca="false">N(M746)+N(N746)</f>
        <v>1</v>
      </c>
      <c r="CD746" s="57" t="n">
        <f aca="false">ROUNDUP(H746/BS746,0)</f>
        <v>0</v>
      </c>
      <c r="CE746" s="57" t="n">
        <f aca="false">ROUNDUP(CB746/BS746,0)</f>
        <v>0</v>
      </c>
      <c r="CF746" s="60" t="n">
        <f aca="false">IF(BT746=1,0,IFERROR(VLOOKUP(BR746,'Gebinde-Kategorie'!$A$5:$M$45,5,0)+0,0))</f>
        <v>0</v>
      </c>
      <c r="CG746" s="60" t="n">
        <f aca="false">IFERROR(IF(OR(BX746=1,BX746=2,BX746=3),N(INDEX(Parameter!$I$5:$I$7,BX746)),0),0)</f>
        <v>0</v>
      </c>
      <c r="CH746" s="59" t="n">
        <f aca="false">IF(AND(Parameter!$B$21="Ja",ISNUMBER(W746),N(X746)&gt;0),IFERROR(N(INDEX(Parameter!$L$5:$L$7,W746))*INDEX(Parameter!$E$5:$E$7,W746)*X746/SUMIFS($X$7:$X$1843,$W$7:$W$1843,W746),0),0)</f>
        <v>0</v>
      </c>
    </row>
    <row r="747" customFormat="false" ht="15" hidden="false" customHeight="false" outlineLevel="0" collapsed="false">
      <c r="A747" s="55" t="s">
        <v>1480</v>
      </c>
      <c r="B747" s="55" t="s">
        <v>1481</v>
      </c>
      <c r="C747" s="55" t="s">
        <v>167</v>
      </c>
      <c r="D747" s="55" t="s">
        <v>1388</v>
      </c>
      <c r="E747" s="55" t="s">
        <v>1479</v>
      </c>
      <c r="F747" s="55" t="s">
        <v>218</v>
      </c>
      <c r="G747" s="56" t="n">
        <v>2080.97</v>
      </c>
      <c r="H747" s="57" t="n">
        <f aca="false">MAX(0,IF(AND(Parameter!$B$21="Ja",ISNUMBER(Y747)),Y747,IF(Parameter!$B$20="Jahresanfang 2025 + Export",BL747+BK747,BK747)))</f>
        <v>0</v>
      </c>
      <c r="I747" s="57" t="n">
        <f aca="false">H747*G747</f>
        <v>0</v>
      </c>
      <c r="J747" s="57" t="n">
        <f aca="false">BN747*Parameter!$B$18</f>
        <v>115</v>
      </c>
      <c r="K747" s="58" t="n">
        <v>0</v>
      </c>
      <c r="L747" s="59" t="n">
        <v>0</v>
      </c>
      <c r="M747" s="57" t="n">
        <v>0</v>
      </c>
      <c r="N747" s="57" t="n">
        <v>1</v>
      </c>
      <c r="O747" s="60" t="n">
        <v>7</v>
      </c>
      <c r="P747" s="55" t="s">
        <v>168</v>
      </c>
      <c r="Q747" s="57"/>
      <c r="R747" s="60" t="n">
        <f aca="false">IF(BT747=1,0,IFERROR(VLOOKUP(BR747,'Gebinde-Kategorie'!$A$5:$M$45,13,0)+0,0))</f>
        <v>0</v>
      </c>
      <c r="S747" s="61"/>
      <c r="T747" s="62"/>
      <c r="U747" s="62"/>
      <c r="V747" s="62"/>
      <c r="W747" s="55"/>
      <c r="X747" s="57"/>
      <c r="Y747" s="57"/>
      <c r="Z747" s="55" t="str">
        <f aca="false">IF(A747="","",IF(AND(Parameter!$B$21="Ja",ISNUMBER(W747)),W747,IF(BV747="2+3",IF(ISNUMBER(SEARCH("grosser Artikel",BO747)),2,IFERROR(VLOOKUP(BR747,Parameter!$F$35:$G$64,2,0),2)),IF(OR(BV747="Nein",BV747=""),"-",BV747))))</f>
        <v>-</v>
      </c>
      <c r="AA747" s="62"/>
      <c r="AB747" s="63"/>
      <c r="AC747" s="57" t="n">
        <f aca="false">AR747</f>
        <v>58</v>
      </c>
      <c r="AD747" s="57" t="n">
        <f aca="false">MAX(AR747,H747)</f>
        <v>58</v>
      </c>
      <c r="AE747" s="64"/>
      <c r="AF747" s="57" t="n">
        <f aca="false">IF(LEFT(Cockpit!$C$5,1)="A",H747,IF(CA747=1,CB747,IF(LEFT(Cockpit!$C$5,1)="B",AJ747,MAX(AJ747,H747))))</f>
        <v>0</v>
      </c>
      <c r="AG747" s="57" t="n">
        <f aca="false">IF(BT747=1,0,ROUNDUP(AF747/BS747,0))</f>
        <v>0</v>
      </c>
      <c r="AH747" s="59" t="n">
        <f aca="false">IF(CH747&gt;0,CH747*MAX(1,AF747/X747),IF(BT747=1,IF(AF747&lt;=0,0,BW747*MAX(1,IF(H747&gt;0,AF747/H747,1))),IF(R747&gt;0,AG747/R747,0))/MAX(0.1,N(Parameter!$M$21)))</f>
        <v>0</v>
      </c>
      <c r="AI747" s="57" t="n">
        <f aca="false">AF747*G747</f>
        <v>0</v>
      </c>
      <c r="AJ747" s="57" t="n">
        <f aca="false">ROUNDUP(MAX(J747/IF(BZ747&gt;0,BZ747,MAX(0.1,N(Cockpit!$C$6))),CC747)/BS747,0)*BS747</f>
        <v>58</v>
      </c>
      <c r="AK747" s="58" t="n">
        <f aca="false">IF(AH747&gt;0,J747/AH747,-1)</f>
        <v>-1</v>
      </c>
      <c r="AL747" s="58" t="str">
        <f aca="false">IF(AND(OR(BY747="L1",BY747="L23"),AH747&gt;0),SUMIFS($AH$7:$AH$1843,$BY$7:$BY$1843,BY747,$AK$7:$AK$1843,"&gt;"&amp;AK747)+SUMIFS($AH$7:$AH$1843,$BY$7:$BY$1843,BY747,$AK$7:$AK$1843,AK747,$BQ$7:$BQ$1843,"&lt;="&amp;BQ747),"")</f>
        <v/>
      </c>
      <c r="AM747" s="65" t="n">
        <f aca="false">IF(AL747="",0,MAX(0,MIN(1,(IF(BY747="L1",Parameter!$E$5,Parameter!$E$6+Parameter!$E$7)-(AL747-AH747))/AH747)))</f>
        <v>0</v>
      </c>
      <c r="AN747" s="57" t="n">
        <f aca="false">IF(LEFT(Cockpit!$I$5,1)="A",H747,IF(CA747=1,CB747,IF(LEFT(Cockpit!$I$5,1)="B",AR747,MAX(AR747,H747))))</f>
        <v>58</v>
      </c>
      <c r="AO747" s="57" t="n">
        <f aca="false">IF(BT747=1,0,ROUNDUP(AN747/BS747,0))</f>
        <v>0</v>
      </c>
      <c r="AP747" s="59" t="n">
        <f aca="false">IF(CH747&gt;0,CH747*MAX(1,AN747/X747),IF(BT747=1,IF(AN747&lt;=0,0,BW747*MAX(1,IF(H747&gt;0,AN747/H747,1))),IF(R747&gt;0,AO747/R747,0))/MAX(0.1,N(Parameter!$M$21)))</f>
        <v>0.15</v>
      </c>
      <c r="AQ747" s="57" t="n">
        <f aca="false">AN747*G747</f>
        <v>120696.26</v>
      </c>
      <c r="AR747" s="57" t="n">
        <f aca="false">ROUNDUP(MAX(J747/IF(BZ747&gt;0,BZ747,MAX(0.1,N(Cockpit!$I$6))),CC747)/BS747,0)*BS747</f>
        <v>58</v>
      </c>
      <c r="AS747" s="58" t="n">
        <f aca="false">IF(AP747&gt;0,J747/AP747,-1)</f>
        <v>766.666666666667</v>
      </c>
      <c r="AT747" s="58" t="str">
        <f aca="false">IF(AND(OR(BY747="L1",BY747="L23"),AP747&gt;0),SUMIFS($AP$7:$AP$1843,$BY$7:$BY$1843,BY747,$AS$7:$AS$1843,"&gt;"&amp;AS747)+SUMIFS($AP$7:$AP$1843,$BY$7:$BY$1843,BY747,$AS$7:$AS$1843,AS747,$BQ$7:$BQ$1843,"&lt;="&amp;BQ747),"")</f>
        <v/>
      </c>
      <c r="AU747" s="65" t="n">
        <f aca="false">IF(AT747="",0,MAX(0,MIN(1,(IF(BY747="L1",Parameter!$E$5,Parameter!$E$6+Parameter!$E$7)-(AT747-AP747))/AP747)))</f>
        <v>0</v>
      </c>
      <c r="AV747" s="57" t="n">
        <f aca="false">IF(LEFT(Cockpit!$O$5,1)="A",H747,IF(CA747=1,CB747,IF(LEFT(Cockpit!$O$5,1)="B",AZ747,MAX(AZ747,H747))))</f>
        <v>39</v>
      </c>
      <c r="AW747" s="57" t="n">
        <f aca="false">IF(BT747=1,0,ROUNDUP(AV747/BS747,0))</f>
        <v>0</v>
      </c>
      <c r="AX747" s="59" t="n">
        <f aca="false">IF(CH747&gt;0,CH747*MAX(1,AV747/X747),IF(BT747=1,IF(AV747&lt;=0,0,BW747*MAX(1,IF(H747&gt;0,AV747/H747,1))),IF(R747&gt;0,AW747/R747,0))/MAX(0.1,N(Parameter!$M$21)))</f>
        <v>0.15</v>
      </c>
      <c r="AY747" s="57" t="n">
        <f aca="false">AV747*G747</f>
        <v>81157.83</v>
      </c>
      <c r="AZ747" s="57" t="n">
        <f aca="false">ROUNDUP(MAX(J747/IF(BZ747&gt;0,BZ747,MAX(0.1,N(Cockpit!$O$6))),CC747)/BS747,0)*BS747</f>
        <v>39</v>
      </c>
      <c r="BA747" s="58" t="n">
        <f aca="false">IF(AX747&gt;0,J747/AX747,-1)</f>
        <v>766.666666666667</v>
      </c>
      <c r="BB747" s="58" t="str">
        <f aca="false">IF(AND(OR(BY747="L1",BY747="L23"),AX747&gt;0),SUMIFS($AX$7:$AX$1843,$BY$7:$BY$1843,BY747,$BA$7:$BA$1843,"&gt;"&amp;BA747)+SUMIFS($AX$7:$AX$1843,$BY$7:$BY$1843,BY747,$BA$7:$BA$1843,BA747,$BQ$7:$BQ$1843,"&lt;="&amp;BQ747),"")</f>
        <v/>
      </c>
      <c r="BC747" s="65" t="n">
        <f aca="false">IF(BB747="",0,MAX(0,MIN(1,(IF(BY747="L1",Parameter!$E$5,Parameter!$E$6+Parameter!$E$7)-(BB747-AX747))/AX747)))</f>
        <v>0</v>
      </c>
      <c r="BD747" s="55" t="str">
        <f aca="false">IF(AH747&lt;=0,"",IF(BY747="Aussen","Aussenlager",IF(BY747="-","Nicht im Lift",IF(AM747&gt;=1,"Lift",IF(AM747&lt;=0,"Aussenlager","teilweise")))))</f>
        <v/>
      </c>
      <c r="BE747" s="55" t="str">
        <f aca="false">IF(AP747&lt;=0,"",IF(BY747="Aussen","Aussenlager",IF(BY747="-","Nicht im Lift",IF(AU747&gt;=1,"Lift",IF(AU747&lt;=0,"Aussenlager","teilweise")))))</f>
        <v>Nicht im Lift</v>
      </c>
      <c r="BF747" s="55" t="str">
        <f aca="false">IF(AX747&lt;=0,"",IF(BY747="Aussen","Aussenlager",IF(BY747="-","Nicht im Lift",IF(BC747&gt;=1,"Lift",IF(BC747&lt;=0,"Aussenlager","teilweise")))))</f>
        <v>Nicht im Lift</v>
      </c>
      <c r="BG747" s="55" t="str">
        <f aca="false">IF(A747="","",IF(BP747=1,"Neu; ","")&amp;IF(AND(BP747=0,BK747&lt;0),"negativer Bestand (Export "&amp;BK747&amp;"); ","")&amp;IF(J747&lt;=0,"Kein Verbrauch; ","")&amp;IF(CH747&gt;0,"Lift "&amp;W747&amp;" lt. Liftbericht (Fach "&amp;X747&amp;" Stk); ",IF(BU747=1,"Gebinde geschätzt ("&amp;T747&amp;"); ",IF(BT747=1,"Lose – Tablare geschätzt; ","")))&amp;IF(H747&gt;AR747,"Überbestand "&amp;ROUND(H747-AR747,0)&amp;" Stk / CHF "&amp;ROUND((H747-AR747)*G747,0)&amp;"; ","")&amp;IF(AND(CA747=1,CB747&lt;CC747),"MAX &lt; MB+LG; ","")&amp;IF(AND(CG747&gt;0,CF747*10&gt;CG747),"zu hoch für Tablar; ","")&amp;IF(AND(BP747=0,OR(CA747=1,AA747&lt;&gt;"",U747&lt;&gt;"",V747&lt;&gt;"",AB747&lt;&gt;"")),"manuell übersteuert; ","")&amp;IF(AND(BT747=0,R747=0),"Gebinde unbekannt / Stellmass fehlt; ","")&amp;IF(AND(BT747=0,N(V747)&lt;=0,N(Q747)&lt;=0),"Menge pro Gebinde fehlt (Ist = 1 Gebinde); ","")&amp;BO747)</f>
        <v>Lose – Tablare geschätzt; </v>
      </c>
      <c r="BH747" s="55"/>
      <c r="BI747" s="55"/>
      <c r="BJ747" s="62"/>
      <c r="BK747" s="57" t="n">
        <v>0</v>
      </c>
      <c r="BL747" s="57" t="n">
        <v>0</v>
      </c>
      <c r="BM747" s="56" t="n">
        <v>-1.45519152283669E-011</v>
      </c>
      <c r="BN747" s="57" t="n">
        <v>115</v>
      </c>
      <c r="BO747" s="55"/>
      <c r="BP747" s="60" t="n">
        <v>0</v>
      </c>
      <c r="BQ747" s="60" t="n">
        <v>747</v>
      </c>
      <c r="BR747" s="55" t="str">
        <f aca="false">IF(U747&lt;&gt;"",UPPER(TRIM(U747)),IF(BU747=1,UPPER(VLOOKUP(T747,Parameter!$I$27:$K$29,2,0)),IF(P747="","LOSE",P747)))</f>
        <v>LOSE</v>
      </c>
      <c r="BS747" s="57" t="n">
        <f aca="false">IF(BR747="LOSE",1,IF(N(V747)&gt;0,V747,IF(BU747=1,MAX(1,N(VLOOKUP(T747,Parameter!$I$27:$K$29,3,0)),H747,N(N747)),IF(N(Q747)&gt;0,Q747,MAX(1,H747)))))</f>
        <v>1</v>
      </c>
      <c r="BT747" s="60" t="n">
        <f aca="false">IF(BR747="LOSE",1,0)</f>
        <v>1</v>
      </c>
      <c r="BU747" s="60" t="n">
        <f aca="false">IF(AND(U747="",OR(P747="",P747="LOSE"),T747&lt;&gt;"",N(S747)&lt;=0,ISNUMBER(MATCH(T747,Parameter!$I$27:$I$29,0))),1,0)</f>
        <v>0</v>
      </c>
      <c r="BV747" s="55" t="str">
        <f aca="false">IF(AND(Parameter!$B$19="Ja",E747&lt;&gt;"",ISNUMBER(MATCH(E747,Parameter!$I$35:$I$52,0))),VLOOKUP(E747,Parameter!$I$35:$J$52,2,0),IFERROR(VLOOKUP(D747,Parameter!$A$35:$C$64,2,0),"Nein"))</f>
        <v>Nein</v>
      </c>
      <c r="BW747" s="59" t="n">
        <f aca="false">IF(BT747=0,0,IF(N(S747)&gt;0,S747,IFERROR(VLOOKUP(D747,Parameter!$A$35:$C$64,3,0)+0,0)))</f>
        <v>0.15</v>
      </c>
      <c r="BX747" s="55" t="str">
        <f aca="false">IF(AA747&lt;&gt;"",AA747,Z747)</f>
        <v>-</v>
      </c>
      <c r="BY747" s="55" t="str">
        <f aca="false">IF(BX747=1,"L1",IF(OR(BX747=2,BX747=3),"L23",IF(BX747="Aussen","Aussen","-")))</f>
        <v>-</v>
      </c>
      <c r="BZ747" s="66" t="n">
        <f aca="false">IF(N(AB747)&gt;0,AB747,0)</f>
        <v>0</v>
      </c>
      <c r="CA747" s="60" t="n">
        <f aca="false">IF(ISNUMBER(AE747),1,0)</f>
        <v>0</v>
      </c>
      <c r="CB747" s="57" t="n">
        <f aca="false">N(AE747)</f>
        <v>0</v>
      </c>
      <c r="CC747" s="57" t="n">
        <f aca="false">N(M747)+N(N747)</f>
        <v>1</v>
      </c>
      <c r="CD747" s="57" t="n">
        <f aca="false">ROUNDUP(H747/BS747,0)</f>
        <v>0</v>
      </c>
      <c r="CE747" s="57" t="n">
        <f aca="false">ROUNDUP(CB747/BS747,0)</f>
        <v>0</v>
      </c>
      <c r="CF747" s="60" t="n">
        <f aca="false">IF(BT747=1,0,IFERROR(VLOOKUP(BR747,'Gebinde-Kategorie'!$A$5:$M$45,5,0)+0,0))</f>
        <v>0</v>
      </c>
      <c r="CG747" s="60" t="n">
        <f aca="false">IFERROR(IF(OR(BX747=1,BX747=2,BX747=3),N(INDEX(Parameter!$I$5:$I$7,BX747)),0),0)</f>
        <v>0</v>
      </c>
      <c r="CH747" s="59" t="n">
        <f aca="false">IF(AND(Parameter!$B$21="Ja",ISNUMBER(W747),N(X747)&gt;0),IFERROR(N(INDEX(Parameter!$L$5:$L$7,W747))*INDEX(Parameter!$E$5:$E$7,W747)*X747/SUMIFS($X$7:$X$1843,$W$7:$W$1843,W747),0),0)</f>
        <v>0</v>
      </c>
    </row>
    <row r="748" customFormat="false" ht="15" hidden="false" customHeight="false" outlineLevel="0" collapsed="false">
      <c r="A748" s="55" t="s">
        <v>1482</v>
      </c>
      <c r="B748" s="55" t="s">
        <v>949</v>
      </c>
      <c r="C748" s="55" t="s">
        <v>164</v>
      </c>
      <c r="D748" s="55" t="s">
        <v>184</v>
      </c>
      <c r="E748" s="55"/>
      <c r="F748" s="55" t="s">
        <v>218</v>
      </c>
      <c r="G748" s="56" t="n">
        <v>0.02</v>
      </c>
      <c r="H748" s="57" t="n">
        <f aca="false">MAX(0,IF(AND(Parameter!$B$21="Ja",ISNUMBER(Y748)),Y748,IF(Parameter!$B$20="Jahresanfang 2025 + Export",BL748+BK748,BK748)))</f>
        <v>94</v>
      </c>
      <c r="I748" s="57" t="n">
        <f aca="false">H748*G748</f>
        <v>1.88</v>
      </c>
      <c r="J748" s="57" t="n">
        <f aca="false">BN748*Parameter!$B$18</f>
        <v>0</v>
      </c>
      <c r="K748" s="58" t="n">
        <v>94.5</v>
      </c>
      <c r="L748" s="59" t="n">
        <v>0</v>
      </c>
      <c r="M748" s="57" t="n">
        <v>0</v>
      </c>
      <c r="N748" s="57" t="n">
        <v>1</v>
      </c>
      <c r="O748" s="60" t="n">
        <v>14</v>
      </c>
      <c r="P748" s="55" t="s">
        <v>168</v>
      </c>
      <c r="Q748" s="57"/>
      <c r="R748" s="60" t="n">
        <f aca="false">IF(BT748=1,0,IFERROR(VLOOKUP(BR748,'Gebinde-Kategorie'!$A$5:$M$45,13,0)+0,0))</f>
        <v>26</v>
      </c>
      <c r="S748" s="61"/>
      <c r="T748" s="62" t="s">
        <v>275</v>
      </c>
      <c r="U748" s="62"/>
      <c r="V748" s="62"/>
      <c r="W748" s="55"/>
      <c r="X748" s="57"/>
      <c r="Y748" s="57"/>
      <c r="Z748" s="55" t="n">
        <f aca="false">IF(A748="","",IF(AND(Parameter!$B$21="Ja",ISNUMBER(W748)),W748,IF(BV748="2+3",IF(ISNUMBER(SEARCH("grosser Artikel",BO748)),2,IFERROR(VLOOKUP(BR748,Parameter!$F$35:$G$64,2,0),2)),IF(OR(BV748="Nein",BV748=""),"-",BV748))))</f>
        <v>3</v>
      </c>
      <c r="AA748" s="62"/>
      <c r="AB748" s="63"/>
      <c r="AC748" s="57" t="n">
        <f aca="false">AR748</f>
        <v>94</v>
      </c>
      <c r="AD748" s="57" t="n">
        <f aca="false">MAX(AR748,H748)</f>
        <v>94</v>
      </c>
      <c r="AE748" s="64"/>
      <c r="AF748" s="57" t="n">
        <f aca="false">IF(LEFT(Cockpit!$C$5,1)="A",H748,IF(CA748=1,CB748,IF(LEFT(Cockpit!$C$5,1)="B",AJ748,MAX(AJ748,H748))))</f>
        <v>94</v>
      </c>
      <c r="AG748" s="57" t="n">
        <f aca="false">IF(BT748=1,0,ROUNDUP(AF748/BS748,0))</f>
        <v>1</v>
      </c>
      <c r="AH748" s="59" t="n">
        <f aca="false">IF(CH748&gt;0,CH748*MAX(1,AF748/X748),IF(BT748=1,IF(AF748&lt;=0,0,BW748*MAX(1,IF(H748&gt;0,AF748/H748,1))),IF(R748&gt;0,AG748/R748,0))/MAX(0.1,N(Parameter!$M$21)))</f>
        <v>0.0384615384615385</v>
      </c>
      <c r="AI748" s="57" t="n">
        <f aca="false">AF748*G748</f>
        <v>1.88</v>
      </c>
      <c r="AJ748" s="57" t="n">
        <f aca="false">ROUNDUP(MAX(J748/IF(BZ748&gt;0,BZ748,MAX(0.1,N(Cockpit!$C$6))),CC748)/BS748,0)*BS748</f>
        <v>94</v>
      </c>
      <c r="AK748" s="58" t="n">
        <f aca="false">IF(AH748&gt;0,J748/AH748,-1)</f>
        <v>0</v>
      </c>
      <c r="AL748" s="58" t="n">
        <f aca="false">IF(AND(OR(BY748="L1",BY748="L23"),AH748&gt;0),SUMIFS($AH$7:$AH$1843,$BY$7:$BY$1843,BY748,$AK$7:$AK$1843,"&gt;"&amp;AK748)+SUMIFS($AH$7:$AH$1843,$BY$7:$BY$1843,BY748,$AK$7:$AK$1843,AK748,$BQ$7:$BQ$1843,"&lt;="&amp;BQ748),"")</f>
        <v>77.1897148744975</v>
      </c>
      <c r="AM748" s="65" t="n">
        <f aca="false">IF(AL748="",0,MAX(0,MIN(1,(IF(BY748="L1",Parameter!$E$5,Parameter!$E$6+Parameter!$E$7)-(AL748-AH748))/AH748)))</f>
        <v>1</v>
      </c>
      <c r="AN748" s="57" t="n">
        <f aca="false">IF(LEFT(Cockpit!$I$5,1)="A",H748,IF(CA748=1,CB748,IF(LEFT(Cockpit!$I$5,1)="B",AR748,MAX(AR748,H748))))</f>
        <v>94</v>
      </c>
      <c r="AO748" s="57" t="n">
        <f aca="false">IF(BT748=1,0,ROUNDUP(AN748/BS748,0))</f>
        <v>1</v>
      </c>
      <c r="AP748" s="59" t="n">
        <f aca="false">IF(CH748&gt;0,CH748*MAX(1,AN748/X748),IF(BT748=1,IF(AN748&lt;=0,0,BW748*MAX(1,IF(H748&gt;0,AN748/H748,1))),IF(R748&gt;0,AO748/R748,0))/MAX(0.1,N(Parameter!$M$21)))</f>
        <v>0.0384615384615385</v>
      </c>
      <c r="AQ748" s="57" t="n">
        <f aca="false">AN748*G748</f>
        <v>1.88</v>
      </c>
      <c r="AR748" s="57" t="n">
        <f aca="false">ROUNDUP(MAX(J748/IF(BZ748&gt;0,BZ748,MAX(0.1,N(Cockpit!$I$6))),CC748)/BS748,0)*BS748</f>
        <v>94</v>
      </c>
      <c r="AS748" s="58" t="n">
        <f aca="false">IF(AP748&gt;0,J748/AP748,-1)</f>
        <v>0</v>
      </c>
      <c r="AT748" s="58" t="n">
        <f aca="false">IF(AND(OR(BY748="L1",BY748="L23"),AP748&gt;0),SUMIFS($AP$7:$AP$1843,$BY$7:$BY$1843,BY748,$AS$7:$AS$1843,"&gt;"&amp;AS748)+SUMIFS($AP$7:$AP$1843,$BY$7:$BY$1843,BY748,$AS$7:$AS$1843,AS748,$BQ$7:$BQ$1843,"&lt;="&amp;BQ748),"")</f>
        <v>117.936767338941</v>
      </c>
      <c r="AU748" s="65" t="n">
        <f aca="false">IF(AT748="",0,MAX(0,MIN(1,(IF(BY748="L1",Parameter!$E$5,Parameter!$E$6+Parameter!$E$7)-(AT748-AP748))/AP748)))</f>
        <v>0</v>
      </c>
      <c r="AV748" s="57" t="n">
        <f aca="false">IF(LEFT(Cockpit!$O$5,1)="A",H748,IF(CA748=1,CB748,IF(LEFT(Cockpit!$O$5,1)="B",AZ748,MAX(AZ748,H748))))</f>
        <v>94</v>
      </c>
      <c r="AW748" s="57" t="n">
        <f aca="false">IF(BT748=1,0,ROUNDUP(AV748/BS748,0))</f>
        <v>1</v>
      </c>
      <c r="AX748" s="59" t="n">
        <f aca="false">IF(CH748&gt;0,CH748*MAX(1,AV748/X748),IF(BT748=1,IF(AV748&lt;=0,0,BW748*MAX(1,IF(H748&gt;0,AV748/H748,1))),IF(R748&gt;0,AW748/R748,0))/MAX(0.1,N(Parameter!$M$21)))</f>
        <v>0.0384615384615385</v>
      </c>
      <c r="AY748" s="57" t="n">
        <f aca="false">AV748*G748</f>
        <v>1.88</v>
      </c>
      <c r="AZ748" s="57" t="n">
        <f aca="false">ROUNDUP(MAX(J748/IF(BZ748&gt;0,BZ748,MAX(0.1,N(Cockpit!$O$6))),CC748)/BS748,0)*BS748</f>
        <v>94</v>
      </c>
      <c r="BA748" s="58" t="n">
        <f aca="false">IF(AX748&gt;0,J748/AX748,-1)</f>
        <v>0</v>
      </c>
      <c r="BB748" s="58" t="n">
        <f aca="false">IF(AND(OR(BY748="L1",BY748="L23"),AX748&gt;0),SUMIFS($AX$7:$AX$1843,$BY$7:$BY$1843,BY748,$BA$7:$BA$1843,"&gt;"&amp;BA748)+SUMIFS($AX$7:$AX$1843,$BY$7:$BY$1843,BY748,$BA$7:$BA$1843,BA748,$BQ$7:$BQ$1843,"&lt;="&amp;BQ748),"")</f>
        <v>108.766604168778</v>
      </c>
      <c r="BC748" s="65" t="n">
        <f aca="false">IF(BB748="",0,MAX(0,MIN(1,(IF(BY748="L1",Parameter!$E$5,Parameter!$E$6+Parameter!$E$7)-(BB748-AX748))/AX748)))</f>
        <v>0</v>
      </c>
      <c r="BD748" s="55" t="str">
        <f aca="false">IF(AH748&lt;=0,"",IF(BY748="Aussen","Aussenlager",IF(BY748="-","Nicht im Lift",IF(AM748&gt;=1,"Lift",IF(AM748&lt;=0,"Aussenlager","teilweise")))))</f>
        <v>Lift</v>
      </c>
      <c r="BE748" s="55" t="str">
        <f aca="false">IF(AP748&lt;=0,"",IF(BY748="Aussen","Aussenlager",IF(BY748="-","Nicht im Lift",IF(AU748&gt;=1,"Lift",IF(AU748&lt;=0,"Aussenlager","teilweise")))))</f>
        <v>Aussenlager</v>
      </c>
      <c r="BF748" s="55" t="str">
        <f aca="false">IF(AX748&lt;=0,"",IF(BY748="Aussen","Aussenlager",IF(BY748="-","Nicht im Lift",IF(BC748&gt;=1,"Lift",IF(BC748&lt;=0,"Aussenlager","teilweise")))))</f>
        <v>Aussenlager</v>
      </c>
      <c r="BG748" s="55" t="str">
        <f aca="false">IF(A748="","",IF(BP748=1,"Neu; ","")&amp;IF(AND(BP748=0,BK748&lt;0),"negativer Bestand (Export "&amp;BK748&amp;"); ","")&amp;IF(J748&lt;=0,"Kein Verbrauch; ","")&amp;IF(CH748&gt;0,"Lift "&amp;W748&amp;" lt. Liftbericht (Fach "&amp;X748&amp;" Stk); ",IF(BU748=1,"Gebinde geschätzt ("&amp;T748&amp;"); ",IF(BT748=1,"Lose – Tablare geschätzt; ","")))&amp;IF(H748&gt;AR748,"Überbestand "&amp;ROUND(H748-AR748,0)&amp;" Stk / CHF "&amp;ROUND((H748-AR748)*G748,0)&amp;"; ","")&amp;IF(AND(CA748=1,CB748&lt;CC748),"MAX &lt; MB+LG; ","")&amp;IF(AND(CG748&gt;0,CF748*10&gt;CG748),"zu hoch für Tablar; ","")&amp;IF(AND(BP748=0,OR(CA748=1,AA748&lt;&gt;"",U748&lt;&gt;"",V748&lt;&gt;"",AB748&lt;&gt;"")),"manuell übersteuert; ","")&amp;IF(AND(BT748=0,R748=0),"Gebinde unbekannt / Stellmass fehlt; ","")&amp;IF(AND(BT748=0,N(V748)&lt;=0,N(Q748)&lt;=0),"Menge pro Gebinde fehlt (Ist = 1 Gebinde); ","")&amp;BO748)</f>
        <v>negativer Bestand (Export -1); Kein Verbrauch; Gebinde geschätzt (Klein); Menge pro Gebinde fehlt (Ist = 1 Gebinde); </v>
      </c>
      <c r="BH748" s="55"/>
      <c r="BI748" s="55"/>
      <c r="BJ748" s="62"/>
      <c r="BK748" s="57" t="n">
        <v>-1</v>
      </c>
      <c r="BL748" s="57" t="n">
        <v>95</v>
      </c>
      <c r="BM748" s="56" t="n">
        <v>-0.02</v>
      </c>
      <c r="BN748" s="57" t="n">
        <v>0</v>
      </c>
      <c r="BO748" s="55"/>
      <c r="BP748" s="60" t="n">
        <v>0</v>
      </c>
      <c r="BQ748" s="60" t="n">
        <v>748</v>
      </c>
      <c r="BR748" s="55" t="str">
        <f aca="false">IF(U748&lt;&gt;"",UPPER(TRIM(U748)),IF(BU748=1,UPPER(VLOOKUP(T748,Parameter!$I$27:$K$29,2,0)),IF(P748="","LOSE",P748)))</f>
        <v>S51</v>
      </c>
      <c r="BS748" s="57" t="n">
        <f aca="false">IF(BR748="LOSE",1,IF(N(V748)&gt;0,V748,IF(BU748=1,MAX(1,N(VLOOKUP(T748,Parameter!$I$27:$K$29,3,0)),H748,N(N748)),IF(N(Q748)&gt;0,Q748,MAX(1,H748)))))</f>
        <v>94</v>
      </c>
      <c r="BT748" s="60" t="n">
        <f aca="false">IF(BR748="LOSE",1,0)</f>
        <v>0</v>
      </c>
      <c r="BU748" s="60" t="n">
        <f aca="false">IF(AND(U748="",OR(P748="",P748="LOSE"),T748&lt;&gt;"",N(S748)&lt;=0,ISNUMBER(MATCH(T748,Parameter!$I$27:$I$29,0))),1,0)</f>
        <v>1</v>
      </c>
      <c r="BV748" s="55" t="str">
        <f aca="false">IF(AND(Parameter!$B$19="Ja",E748&lt;&gt;"",ISNUMBER(MATCH(E748,Parameter!$I$35:$I$52,0))),VLOOKUP(E748,Parameter!$I$35:$J$52,2,0),IFERROR(VLOOKUP(D748,Parameter!$A$35:$C$64,2,0),"Nein"))</f>
        <v>2+3</v>
      </c>
      <c r="BW748" s="59" t="n">
        <f aca="false">IF(BT748=0,0,IF(N(S748)&gt;0,S748,IFERROR(VLOOKUP(D748,Parameter!$A$35:$C$64,3,0)+0,0)))</f>
        <v>0</v>
      </c>
      <c r="BX748" s="55" t="n">
        <f aca="false">IF(AA748&lt;&gt;"",AA748,Z748)</f>
        <v>3</v>
      </c>
      <c r="BY748" s="55" t="str">
        <f aca="false">IF(BX748=1,"L1",IF(OR(BX748=2,BX748=3),"L23",IF(BX748="Aussen","Aussen","-")))</f>
        <v>L23</v>
      </c>
      <c r="BZ748" s="66" t="n">
        <f aca="false">IF(N(AB748)&gt;0,AB748,0)</f>
        <v>0</v>
      </c>
      <c r="CA748" s="60" t="n">
        <f aca="false">IF(ISNUMBER(AE748),1,0)</f>
        <v>0</v>
      </c>
      <c r="CB748" s="57" t="n">
        <f aca="false">N(AE748)</f>
        <v>0</v>
      </c>
      <c r="CC748" s="57" t="n">
        <f aca="false">N(M748)+N(N748)</f>
        <v>1</v>
      </c>
      <c r="CD748" s="57" t="n">
        <f aca="false">ROUNDUP(H748/BS748,0)</f>
        <v>1</v>
      </c>
      <c r="CE748" s="57" t="n">
        <f aca="false">ROUNDUP(CB748/BS748,0)</f>
        <v>0</v>
      </c>
      <c r="CF748" s="60" t="n">
        <f aca="false">IF(BT748=1,0,IFERROR(VLOOKUP(BR748,'Gebinde-Kategorie'!$A$5:$M$45,5,0)+0,0))</f>
        <v>11</v>
      </c>
      <c r="CG748" s="60" t="n">
        <f aca="false">IFERROR(IF(OR(BX748=1,BX748=2,BX748=3),N(INDEX(Parameter!$I$5:$I$7,BX748)),0),0)</f>
        <v>0</v>
      </c>
      <c r="CH748" s="59" t="n">
        <f aca="false">IF(AND(Parameter!$B$21="Ja",ISNUMBER(W748),N(X748)&gt;0),IFERROR(N(INDEX(Parameter!$L$5:$L$7,W748))*INDEX(Parameter!$E$5:$E$7,W748)*X748/SUMIFS($X$7:$X$1843,$W$7:$W$1843,W748),0),0)</f>
        <v>0</v>
      </c>
    </row>
    <row r="749" customFormat="false" ht="15" hidden="false" customHeight="false" outlineLevel="0" collapsed="false">
      <c r="A749" s="55" t="s">
        <v>1483</v>
      </c>
      <c r="B749" s="55" t="s">
        <v>1484</v>
      </c>
      <c r="C749" s="55" t="s">
        <v>456</v>
      </c>
      <c r="D749" s="55" t="s">
        <v>173</v>
      </c>
      <c r="E749" s="55"/>
      <c r="F749" s="55" t="s">
        <v>218</v>
      </c>
      <c r="G749" s="56" t="n">
        <v>0.01</v>
      </c>
      <c r="H749" s="57" t="n">
        <f aca="false">MAX(0,IF(AND(Parameter!$B$21="Ja",ISNUMBER(Y749)),Y749,IF(Parameter!$B$20="Jahresanfang 2025 + Export",BL749+BK749,BK749)))</f>
        <v>7</v>
      </c>
      <c r="I749" s="57" t="n">
        <f aca="false">H749*G749</f>
        <v>0.07</v>
      </c>
      <c r="J749" s="57" t="n">
        <f aca="false">BN749*Parameter!$B$18</f>
        <v>7</v>
      </c>
      <c r="K749" s="58" t="n">
        <v>7</v>
      </c>
      <c r="L749" s="59" t="n">
        <v>1</v>
      </c>
      <c r="M749" s="57" t="n">
        <v>0</v>
      </c>
      <c r="N749" s="57" t="n">
        <v>5</v>
      </c>
      <c r="O749" s="60" t="n">
        <v>90</v>
      </c>
      <c r="P749" s="55" t="s">
        <v>168</v>
      </c>
      <c r="Q749" s="57"/>
      <c r="R749" s="60" t="n">
        <f aca="false">IF(BT749=1,0,IFERROR(VLOOKUP(BR749,'Gebinde-Kategorie'!$A$5:$M$45,13,0)+0,0))</f>
        <v>26</v>
      </c>
      <c r="S749" s="61"/>
      <c r="T749" s="62" t="s">
        <v>275</v>
      </c>
      <c r="U749" s="62"/>
      <c r="V749" s="62"/>
      <c r="W749" s="55"/>
      <c r="X749" s="57"/>
      <c r="Y749" s="57"/>
      <c r="Z749" s="55" t="n">
        <f aca="false">IF(A749="","",IF(AND(Parameter!$B$21="Ja",ISNUMBER(W749)),W749,IF(BV749="2+3",IF(ISNUMBER(SEARCH("grosser Artikel",BO749)),2,IFERROR(VLOOKUP(BR749,Parameter!$F$35:$G$64,2,0),2)),IF(OR(BV749="Nein",BV749=""),"-",BV749))))</f>
        <v>3</v>
      </c>
      <c r="AA749" s="62"/>
      <c r="AB749" s="63"/>
      <c r="AC749" s="57" t="n">
        <f aca="false">AR749</f>
        <v>20</v>
      </c>
      <c r="AD749" s="57" t="n">
        <f aca="false">MAX(AR749,H749)</f>
        <v>20</v>
      </c>
      <c r="AE749" s="64"/>
      <c r="AF749" s="57" t="n">
        <f aca="false">IF(LEFT(Cockpit!$C$5,1)="A",H749,IF(CA749=1,CB749,IF(LEFT(Cockpit!$C$5,1)="B",AJ749,MAX(AJ749,H749))))</f>
        <v>7</v>
      </c>
      <c r="AG749" s="57" t="n">
        <f aca="false">IF(BT749=1,0,ROUNDUP(AF749/BS749,0))</f>
        <v>1</v>
      </c>
      <c r="AH749" s="59" t="n">
        <f aca="false">IF(CH749&gt;0,CH749*MAX(1,AF749/X749),IF(BT749=1,IF(AF749&lt;=0,0,BW749*MAX(1,IF(H749&gt;0,AF749/H749,1))),IF(R749&gt;0,AG749/R749,0))/MAX(0.1,N(Parameter!$M$21)))</f>
        <v>0.0384615384615385</v>
      </c>
      <c r="AI749" s="57" t="n">
        <f aca="false">AF749*G749</f>
        <v>0.07</v>
      </c>
      <c r="AJ749" s="57" t="n">
        <f aca="false">ROUNDUP(MAX(J749/IF(BZ749&gt;0,BZ749,MAX(0.1,N(Cockpit!$C$6))),CC749)/BS749,0)*BS749</f>
        <v>20</v>
      </c>
      <c r="AK749" s="58" t="n">
        <f aca="false">IF(AH749&gt;0,J749/AH749,-1)</f>
        <v>182</v>
      </c>
      <c r="AL749" s="58" t="n">
        <f aca="false">IF(AND(OR(BY749="L1",BY749="L23"),AH749&gt;0),SUMIFS($AH$7:$AH$1843,$BY$7:$BY$1843,BY749,$AK$7:$AK$1843,"&gt;"&amp;AK749)+SUMIFS($AH$7:$AH$1843,$BY$7:$BY$1843,BY749,$AK$7:$AK$1843,AK749,$BQ$7:$BQ$1843,"&lt;="&amp;BQ749),"")</f>
        <v>32.8104033647512</v>
      </c>
      <c r="AM749" s="65" t="n">
        <f aca="false">IF(AL749="",0,MAX(0,MIN(1,(IF(BY749="L1",Parameter!$E$5,Parameter!$E$6+Parameter!$E$7)-(AL749-AH749))/AH749)))</f>
        <v>1</v>
      </c>
      <c r="AN749" s="57" t="n">
        <f aca="false">IF(LEFT(Cockpit!$I$5,1)="A",H749,IF(CA749=1,CB749,IF(LEFT(Cockpit!$I$5,1)="B",AR749,MAX(AR749,H749))))</f>
        <v>20</v>
      </c>
      <c r="AO749" s="57" t="n">
        <f aca="false">IF(BT749=1,0,ROUNDUP(AN749/BS749,0))</f>
        <v>1</v>
      </c>
      <c r="AP749" s="59" t="n">
        <f aca="false">IF(CH749&gt;0,CH749*MAX(1,AN749/X749),IF(BT749=1,IF(AN749&lt;=0,0,BW749*MAX(1,IF(H749&gt;0,AN749/H749,1))),IF(R749&gt;0,AO749/R749,0))/MAX(0.1,N(Parameter!$M$21)))</f>
        <v>0.0384615384615385</v>
      </c>
      <c r="AQ749" s="57" t="n">
        <f aca="false">AN749*G749</f>
        <v>0.2</v>
      </c>
      <c r="AR749" s="57" t="n">
        <f aca="false">ROUNDUP(MAX(J749/IF(BZ749&gt;0,BZ749,MAX(0.1,N(Cockpit!$I$6))),CC749)/BS749,0)*BS749</f>
        <v>20</v>
      </c>
      <c r="AS749" s="58" t="n">
        <f aca="false">IF(AP749&gt;0,J749/AP749,-1)</f>
        <v>182</v>
      </c>
      <c r="AT749" s="58" t="n">
        <f aca="false">IF(AND(OR(BY749="L1",BY749="L23"),AP749&gt;0),SUMIFS($AP$7:$AP$1843,$BY$7:$BY$1843,BY749,$AS$7:$AS$1843,"&gt;"&amp;AS749)+SUMIFS($AP$7:$AP$1843,$BY$7:$BY$1843,BY749,$AS$7:$AS$1843,AS749,$BQ$7:$BQ$1843,"&lt;="&amp;BQ749),"")</f>
        <v>47.7607513259687</v>
      </c>
      <c r="AU749" s="65" t="n">
        <f aca="false">IF(AT749="",0,MAX(0,MIN(1,(IF(BY749="L1",Parameter!$E$5,Parameter!$E$6+Parameter!$E$7)-(AT749-AP749))/AP749)))</f>
        <v>1</v>
      </c>
      <c r="AV749" s="57" t="n">
        <f aca="false">IF(LEFT(Cockpit!$O$5,1)="A",H749,IF(CA749=1,CB749,IF(LEFT(Cockpit!$O$5,1)="B",AZ749,MAX(AZ749,H749))))</f>
        <v>20</v>
      </c>
      <c r="AW749" s="57" t="n">
        <f aca="false">IF(BT749=1,0,ROUNDUP(AV749/BS749,0))</f>
        <v>1</v>
      </c>
      <c r="AX749" s="59" t="n">
        <f aca="false">IF(CH749&gt;0,CH749*MAX(1,AV749/X749),IF(BT749=1,IF(AV749&lt;=0,0,BW749*MAX(1,IF(H749&gt;0,AV749/H749,1))),IF(R749&gt;0,AW749/R749,0))/MAX(0.1,N(Parameter!$M$21)))</f>
        <v>0.0384615384615385</v>
      </c>
      <c r="AY749" s="57" t="n">
        <f aca="false">AV749*G749</f>
        <v>0.2</v>
      </c>
      <c r="AZ749" s="57" t="n">
        <f aca="false">ROUNDUP(MAX(J749/IF(BZ749&gt;0,BZ749,MAX(0.1,N(Cockpit!$O$6))),CC749)/BS749,0)*BS749</f>
        <v>20</v>
      </c>
      <c r="BA749" s="58" t="n">
        <f aca="false">IF(AX749&gt;0,J749/AX749,-1)</f>
        <v>182</v>
      </c>
      <c r="BB749" s="58" t="n">
        <f aca="false">IF(AND(OR(BY749="L1",BY749="L23"),AX749&gt;0),SUMIFS($AX$7:$AX$1843,$BY$7:$BY$1843,BY749,$BA$7:$BA$1843,"&gt;"&amp;BA749)+SUMIFS($AX$7:$AX$1843,$BY$7:$BY$1843,BY749,$BA$7:$BA$1843,BA749,$BQ$7:$BQ$1843,"&lt;="&amp;BQ749),"")</f>
        <v>43.3405881558056</v>
      </c>
      <c r="BC749" s="65" t="n">
        <f aca="false">IF(BB749="",0,MAX(0,MIN(1,(IF(BY749="L1",Parameter!$E$5,Parameter!$E$6+Parameter!$E$7)-(BB749-AX749))/AX749)))</f>
        <v>1</v>
      </c>
      <c r="BD749" s="55" t="str">
        <f aca="false">IF(AH749&lt;=0,"",IF(BY749="Aussen","Aussenlager",IF(BY749="-","Nicht im Lift",IF(AM749&gt;=1,"Lift",IF(AM749&lt;=0,"Aussenlager","teilweise")))))</f>
        <v>Lift</v>
      </c>
      <c r="BE749" s="55" t="str">
        <f aca="false">IF(AP749&lt;=0,"",IF(BY749="Aussen","Aussenlager",IF(BY749="-","Nicht im Lift",IF(AU749&gt;=1,"Lift",IF(AU749&lt;=0,"Aussenlager","teilweise")))))</f>
        <v>Lift</v>
      </c>
      <c r="BF749" s="55" t="str">
        <f aca="false">IF(AX749&lt;=0,"",IF(BY749="Aussen","Aussenlager",IF(BY749="-","Nicht im Lift",IF(BC749&gt;=1,"Lift",IF(BC749&lt;=0,"Aussenlager","teilweise")))))</f>
        <v>Lift</v>
      </c>
      <c r="BG749" s="55" t="str">
        <f aca="false">IF(A749="","",IF(BP749=1,"Neu; ","")&amp;IF(AND(BP749=0,BK749&lt;0),"negativer Bestand (Export "&amp;BK749&amp;"); ","")&amp;IF(J749&lt;=0,"Kein Verbrauch; ","")&amp;IF(CH749&gt;0,"Lift "&amp;W749&amp;" lt. Liftbericht (Fach "&amp;X749&amp;" Stk); ",IF(BU749=1,"Gebinde geschätzt ("&amp;T749&amp;"); ",IF(BT749=1,"Lose – Tablare geschätzt; ","")))&amp;IF(H749&gt;AR749,"Überbestand "&amp;ROUND(H749-AR749,0)&amp;" Stk / CHF "&amp;ROUND((H749-AR749)*G749,0)&amp;"; ","")&amp;IF(AND(CA749=1,CB749&lt;CC749),"MAX &lt; MB+LG; ","")&amp;IF(AND(CG749&gt;0,CF749*10&gt;CG749),"zu hoch für Tablar; ","")&amp;IF(AND(BP749=0,OR(CA749=1,AA749&lt;&gt;"",U749&lt;&gt;"",V749&lt;&gt;"",AB749&lt;&gt;"")),"manuell übersteuert; ","")&amp;IF(AND(BT749=0,R749=0),"Gebinde unbekannt / Stellmass fehlt; ","")&amp;IF(AND(BT749=0,N(V749)&lt;=0,N(Q749)&lt;=0),"Menge pro Gebinde fehlt (Ist = 1 Gebinde); ","")&amp;BO749)</f>
        <v>negativer Bestand (Export -7); Gebinde geschätzt (Klein); Menge pro Gebinde fehlt (Ist = 1 Gebinde); </v>
      </c>
      <c r="BH749" s="55"/>
      <c r="BI749" s="55"/>
      <c r="BJ749" s="62"/>
      <c r="BK749" s="57" t="n">
        <v>-7</v>
      </c>
      <c r="BL749" s="57" t="n">
        <v>14</v>
      </c>
      <c r="BM749" s="56" t="n">
        <v>-0.07</v>
      </c>
      <c r="BN749" s="57" t="n">
        <v>7</v>
      </c>
      <c r="BO749" s="55"/>
      <c r="BP749" s="60" t="n">
        <v>0</v>
      </c>
      <c r="BQ749" s="60" t="n">
        <v>749</v>
      </c>
      <c r="BR749" s="55" t="str">
        <f aca="false">IF(U749&lt;&gt;"",UPPER(TRIM(U749)),IF(BU749=1,UPPER(VLOOKUP(T749,Parameter!$I$27:$K$29,2,0)),IF(P749="","LOSE",P749)))</f>
        <v>S51</v>
      </c>
      <c r="BS749" s="57" t="n">
        <f aca="false">IF(BR749="LOSE",1,IF(N(V749)&gt;0,V749,IF(BU749=1,MAX(1,N(VLOOKUP(T749,Parameter!$I$27:$K$29,3,0)),H749,N(N749)),IF(N(Q749)&gt;0,Q749,MAX(1,H749)))))</f>
        <v>20</v>
      </c>
      <c r="BT749" s="60" t="n">
        <f aca="false">IF(BR749="LOSE",1,0)</f>
        <v>0</v>
      </c>
      <c r="BU749" s="60" t="n">
        <f aca="false">IF(AND(U749="",OR(P749="",P749="LOSE"),T749&lt;&gt;"",N(S749)&lt;=0,ISNUMBER(MATCH(T749,Parameter!$I$27:$I$29,0))),1,0)</f>
        <v>1</v>
      </c>
      <c r="BV749" s="55" t="str">
        <f aca="false">IF(AND(Parameter!$B$19="Ja",E749&lt;&gt;"",ISNUMBER(MATCH(E749,Parameter!$I$35:$I$52,0))),VLOOKUP(E749,Parameter!$I$35:$J$52,2,0),IFERROR(VLOOKUP(D749,Parameter!$A$35:$C$64,2,0),"Nein"))</f>
        <v>2+3</v>
      </c>
      <c r="BW749" s="59" t="n">
        <f aca="false">IF(BT749=0,0,IF(N(S749)&gt;0,S749,IFERROR(VLOOKUP(D749,Parameter!$A$35:$C$64,3,0)+0,0)))</f>
        <v>0</v>
      </c>
      <c r="BX749" s="55" t="n">
        <f aca="false">IF(AA749&lt;&gt;"",AA749,Z749)</f>
        <v>3</v>
      </c>
      <c r="BY749" s="55" t="str">
        <f aca="false">IF(BX749=1,"L1",IF(OR(BX749=2,BX749=3),"L23",IF(BX749="Aussen","Aussen","-")))</f>
        <v>L23</v>
      </c>
      <c r="BZ749" s="66" t="n">
        <f aca="false">IF(N(AB749)&gt;0,AB749,0)</f>
        <v>0</v>
      </c>
      <c r="CA749" s="60" t="n">
        <f aca="false">IF(ISNUMBER(AE749),1,0)</f>
        <v>0</v>
      </c>
      <c r="CB749" s="57" t="n">
        <f aca="false">N(AE749)</f>
        <v>0</v>
      </c>
      <c r="CC749" s="57" t="n">
        <f aca="false">N(M749)+N(N749)</f>
        <v>5</v>
      </c>
      <c r="CD749" s="57" t="n">
        <f aca="false">ROUNDUP(H749/BS749,0)</f>
        <v>1</v>
      </c>
      <c r="CE749" s="57" t="n">
        <f aca="false">ROUNDUP(CB749/BS749,0)</f>
        <v>0</v>
      </c>
      <c r="CF749" s="60" t="n">
        <f aca="false">IF(BT749=1,0,IFERROR(VLOOKUP(BR749,'Gebinde-Kategorie'!$A$5:$M$45,5,0)+0,0))</f>
        <v>11</v>
      </c>
      <c r="CG749" s="60" t="n">
        <f aca="false">IFERROR(IF(OR(BX749=1,BX749=2,BX749=3),N(INDEX(Parameter!$I$5:$I$7,BX749)),0),0)</f>
        <v>0</v>
      </c>
      <c r="CH749" s="59" t="n">
        <f aca="false">IF(AND(Parameter!$B$21="Ja",ISNUMBER(W749),N(X749)&gt;0),IFERROR(N(INDEX(Parameter!$L$5:$L$7,W749))*INDEX(Parameter!$E$5:$E$7,W749)*X749/SUMIFS($X$7:$X$1843,$W$7:$W$1843,W749),0),0)</f>
        <v>0</v>
      </c>
    </row>
    <row r="750" customFormat="false" ht="15" hidden="false" customHeight="false" outlineLevel="0" collapsed="false">
      <c r="A750" s="55" t="s">
        <v>1485</v>
      </c>
      <c r="B750" s="55" t="s">
        <v>1486</v>
      </c>
      <c r="C750" s="55" t="s">
        <v>456</v>
      </c>
      <c r="D750" s="55" t="s">
        <v>173</v>
      </c>
      <c r="E750" s="55"/>
      <c r="F750" s="55" t="s">
        <v>218</v>
      </c>
      <c r="G750" s="56" t="n">
        <v>0.01</v>
      </c>
      <c r="H750" s="57" t="n">
        <f aca="false">MAX(0,IF(AND(Parameter!$B$21="Ja",ISNUMBER(Y750)),Y750,IF(Parameter!$B$20="Jahresanfang 2025 + Export",BL750+BK750,BK750)))</f>
        <v>0</v>
      </c>
      <c r="I750" s="57" t="n">
        <f aca="false">H750*G750</f>
        <v>0</v>
      </c>
      <c r="J750" s="57" t="n">
        <f aca="false">BN750*Parameter!$B$18</f>
        <v>0</v>
      </c>
      <c r="K750" s="58" t="n">
        <v>53.5</v>
      </c>
      <c r="L750" s="59" t="n">
        <v>0</v>
      </c>
      <c r="M750" s="57" t="n">
        <v>0</v>
      </c>
      <c r="N750" s="57" t="n">
        <v>20</v>
      </c>
      <c r="O750" s="60" t="n">
        <v>90</v>
      </c>
      <c r="P750" s="55" t="s">
        <v>168</v>
      </c>
      <c r="Q750" s="57"/>
      <c r="R750" s="60" t="n">
        <f aca="false">IF(BT750=1,0,IFERROR(VLOOKUP(BR750,'Gebinde-Kategorie'!$A$5:$M$45,13,0)+0,0))</f>
        <v>12</v>
      </c>
      <c r="S750" s="61"/>
      <c r="T750" s="62" t="s">
        <v>179</v>
      </c>
      <c r="U750" s="62"/>
      <c r="V750" s="62"/>
      <c r="W750" s="55"/>
      <c r="X750" s="57"/>
      <c r="Y750" s="57"/>
      <c r="Z750" s="55" t="n">
        <f aca="false">IF(A750="","",IF(AND(Parameter!$B$21="Ja",ISNUMBER(W750)),W750,IF(BV750="2+3",IF(ISNUMBER(SEARCH("grosser Artikel",BO750)),2,IFERROR(VLOOKUP(BR750,Parameter!$F$35:$G$64,2,0),2)),IF(OR(BV750="Nein",BV750=""),"-",BV750))))</f>
        <v>2</v>
      </c>
      <c r="AA750" s="62"/>
      <c r="AB750" s="63"/>
      <c r="AC750" s="57" t="n">
        <f aca="false">AR750</f>
        <v>20</v>
      </c>
      <c r="AD750" s="57" t="n">
        <f aca="false">MAX(AR750,H750)</f>
        <v>20</v>
      </c>
      <c r="AE750" s="64"/>
      <c r="AF750" s="57" t="n">
        <f aca="false">IF(LEFT(Cockpit!$C$5,1)="A",H750,IF(CA750=1,CB750,IF(LEFT(Cockpit!$C$5,1)="B",AJ750,MAX(AJ750,H750))))</f>
        <v>0</v>
      </c>
      <c r="AG750" s="57" t="n">
        <f aca="false">IF(BT750=1,0,ROUNDUP(AF750/BS750,0))</f>
        <v>0</v>
      </c>
      <c r="AH750" s="59" t="n">
        <f aca="false">IF(CH750&gt;0,CH750*MAX(1,AF750/X750),IF(BT750=1,IF(AF750&lt;=0,0,BW750*MAX(1,IF(H750&gt;0,AF750/H750,1))),IF(R750&gt;0,AG750/R750,0))/MAX(0.1,N(Parameter!$M$21)))</f>
        <v>0</v>
      </c>
      <c r="AI750" s="57" t="n">
        <f aca="false">AF750*G750</f>
        <v>0</v>
      </c>
      <c r="AJ750" s="57" t="n">
        <f aca="false">ROUNDUP(MAX(J750/IF(BZ750&gt;0,BZ750,MAX(0.1,N(Cockpit!$C$6))),CC750)/BS750,0)*BS750</f>
        <v>20</v>
      </c>
      <c r="AK750" s="58" t="n">
        <f aca="false">IF(AH750&gt;0,J750/AH750,-1)</f>
        <v>-1</v>
      </c>
      <c r="AL750" s="58" t="str">
        <f aca="false">IF(AND(OR(BY750="L1",BY750="L23"),AH750&gt;0),SUMIFS($AH$7:$AH$1843,$BY$7:$BY$1843,BY750,$AK$7:$AK$1843,"&gt;"&amp;AK750)+SUMIFS($AH$7:$AH$1843,$BY$7:$BY$1843,BY750,$AK$7:$AK$1843,AK750,$BQ$7:$BQ$1843,"&lt;="&amp;BQ750),"")</f>
        <v/>
      </c>
      <c r="AM750" s="65" t="n">
        <f aca="false">IF(AL750="",0,MAX(0,MIN(1,(IF(BY750="L1",Parameter!$E$5,Parameter!$E$6+Parameter!$E$7)-(AL750-AH750))/AH750)))</f>
        <v>0</v>
      </c>
      <c r="AN750" s="57" t="n">
        <f aca="false">IF(LEFT(Cockpit!$I$5,1)="A",H750,IF(CA750=1,CB750,IF(LEFT(Cockpit!$I$5,1)="B",AR750,MAX(AR750,H750))))</f>
        <v>20</v>
      </c>
      <c r="AO750" s="57" t="n">
        <f aca="false">IF(BT750=1,0,ROUNDUP(AN750/BS750,0))</f>
        <v>1</v>
      </c>
      <c r="AP750" s="59" t="n">
        <f aca="false">IF(CH750&gt;0,CH750*MAX(1,AN750/X750),IF(BT750=1,IF(AN750&lt;=0,0,BW750*MAX(1,IF(H750&gt;0,AN750/H750,1))),IF(R750&gt;0,AO750/R750,0))/MAX(0.1,N(Parameter!$M$21)))</f>
        <v>0.0833333333333333</v>
      </c>
      <c r="AQ750" s="57" t="n">
        <f aca="false">AN750*G750</f>
        <v>0.2</v>
      </c>
      <c r="AR750" s="57" t="n">
        <f aca="false">ROUNDUP(MAX(J750/IF(BZ750&gt;0,BZ750,MAX(0.1,N(Cockpit!$I$6))),CC750)/BS750,0)*BS750</f>
        <v>20</v>
      </c>
      <c r="AS750" s="58" t="n">
        <f aca="false">IF(AP750&gt;0,J750/AP750,-1)</f>
        <v>0</v>
      </c>
      <c r="AT750" s="58" t="n">
        <f aca="false">IF(AND(OR(BY750="L1",BY750="L23"),AP750&gt;0),SUMIFS($AP$7:$AP$1843,$BY$7:$BY$1843,BY750,$AS$7:$AS$1843,"&gt;"&amp;AS750)+SUMIFS($AP$7:$AP$1843,$BY$7:$BY$1843,BY750,$AS$7:$AS$1843,AS750,$BQ$7:$BQ$1843,"&lt;="&amp;BQ750),"")</f>
        <v>118.020100672275</v>
      </c>
      <c r="AU750" s="65" t="n">
        <f aca="false">IF(AT750="",0,MAX(0,MIN(1,(IF(BY750="L1",Parameter!$E$5,Parameter!$E$6+Parameter!$E$7)-(AT750-AP750))/AP750)))</f>
        <v>0</v>
      </c>
      <c r="AV750" s="57" t="n">
        <f aca="false">IF(LEFT(Cockpit!$O$5,1)="A",H750,IF(CA750=1,CB750,IF(LEFT(Cockpit!$O$5,1)="B",AZ750,MAX(AZ750,H750))))</f>
        <v>20</v>
      </c>
      <c r="AW750" s="57" t="n">
        <f aca="false">IF(BT750=1,0,ROUNDUP(AV750/BS750,0))</f>
        <v>1</v>
      </c>
      <c r="AX750" s="59" t="n">
        <f aca="false">IF(CH750&gt;0,CH750*MAX(1,AV750/X750),IF(BT750=1,IF(AV750&lt;=0,0,BW750*MAX(1,IF(H750&gt;0,AV750/H750,1))),IF(R750&gt;0,AW750/R750,0))/MAX(0.1,N(Parameter!$M$21)))</f>
        <v>0.0833333333333333</v>
      </c>
      <c r="AY750" s="57" t="n">
        <f aca="false">AV750*G750</f>
        <v>0.2</v>
      </c>
      <c r="AZ750" s="57" t="n">
        <f aca="false">ROUNDUP(MAX(J750/IF(BZ750&gt;0,BZ750,MAX(0.1,N(Cockpit!$O$6))),CC750)/BS750,0)*BS750</f>
        <v>20</v>
      </c>
      <c r="BA750" s="58" t="n">
        <f aca="false">IF(AX750&gt;0,J750/AX750,-1)</f>
        <v>0</v>
      </c>
      <c r="BB750" s="58" t="n">
        <f aca="false">IF(AND(OR(BY750="L1",BY750="L23"),AX750&gt;0),SUMIFS($AX$7:$AX$1843,$BY$7:$BY$1843,BY750,$BA$7:$BA$1843,"&gt;"&amp;BA750)+SUMIFS($AX$7:$AX$1843,$BY$7:$BY$1843,BY750,$BA$7:$BA$1843,BA750,$BQ$7:$BQ$1843,"&lt;="&amp;BQ750),"")</f>
        <v>108.849937502111</v>
      </c>
      <c r="BC750" s="65" t="n">
        <f aca="false">IF(BB750="",0,MAX(0,MIN(1,(IF(BY750="L1",Parameter!$E$5,Parameter!$E$6+Parameter!$E$7)-(BB750-AX750))/AX750)))</f>
        <v>0</v>
      </c>
      <c r="BD750" s="55" t="str">
        <f aca="false">IF(AH750&lt;=0,"",IF(BY750="Aussen","Aussenlager",IF(BY750="-","Nicht im Lift",IF(AM750&gt;=1,"Lift",IF(AM750&lt;=0,"Aussenlager","teilweise")))))</f>
        <v/>
      </c>
      <c r="BE750" s="55" t="str">
        <f aca="false">IF(AP750&lt;=0,"",IF(BY750="Aussen","Aussenlager",IF(BY750="-","Nicht im Lift",IF(AU750&gt;=1,"Lift",IF(AU750&lt;=0,"Aussenlager","teilweise")))))</f>
        <v>Aussenlager</v>
      </c>
      <c r="BF750" s="55" t="str">
        <f aca="false">IF(AX750&lt;=0,"",IF(BY750="Aussen","Aussenlager",IF(BY750="-","Nicht im Lift",IF(BC750&gt;=1,"Lift",IF(BC750&lt;=0,"Aussenlager","teilweise")))))</f>
        <v>Aussenlager</v>
      </c>
      <c r="BG750" s="55" t="str">
        <f aca="false">IF(A750="","",IF(BP750=1,"Neu; ","")&amp;IF(AND(BP750=0,BK750&lt;0),"negativer Bestand (Export "&amp;BK750&amp;"); ","")&amp;IF(J750&lt;=0,"Kein Verbrauch; ","")&amp;IF(CH750&gt;0,"Lift "&amp;W750&amp;" lt. Liftbericht (Fach "&amp;X750&amp;" Stk); ",IF(BU750=1,"Gebinde geschätzt ("&amp;T750&amp;"); ",IF(BT750=1,"Lose – Tablare geschätzt; ","")))&amp;IF(H750&gt;AR750,"Überbestand "&amp;ROUND(H750-AR750,0)&amp;" Stk / CHF "&amp;ROUND((H750-AR750)*G750,0)&amp;"; ","")&amp;IF(AND(CA750=1,CB750&lt;CC750),"MAX &lt; MB+LG; ","")&amp;IF(AND(CG750&gt;0,CF750*10&gt;CG750),"zu hoch für Tablar; ","")&amp;IF(AND(BP750=0,OR(CA750=1,AA750&lt;&gt;"",U750&lt;&gt;"",V750&lt;&gt;"",AB750&lt;&gt;"")),"manuell übersteuert; ","")&amp;IF(AND(BT750=0,R750=0),"Gebinde unbekannt / Stellmass fehlt; ","")&amp;IF(AND(BT750=0,N(V750)&lt;=0,N(Q750)&lt;=0),"Menge pro Gebinde fehlt (Ist = 1 Gebinde); ","")&amp;BO750)</f>
        <v>negativer Bestand (Export -7); Kein Verbrauch; Gebinde geschätzt (Mittel); Menge pro Gebinde fehlt (Ist = 1 Gebinde); </v>
      </c>
      <c r="BH750" s="55"/>
      <c r="BI750" s="55"/>
      <c r="BJ750" s="62"/>
      <c r="BK750" s="57" t="n">
        <v>-7</v>
      </c>
      <c r="BL750" s="57" t="n">
        <v>7</v>
      </c>
      <c r="BM750" s="56" t="n">
        <v>-0.0700000000000001</v>
      </c>
      <c r="BN750" s="57" t="n">
        <v>0</v>
      </c>
      <c r="BO750" s="55"/>
      <c r="BP750" s="60" t="n">
        <v>0</v>
      </c>
      <c r="BQ750" s="60" t="n">
        <v>750</v>
      </c>
      <c r="BR750" s="55" t="str">
        <f aca="false">IF(U750&lt;&gt;"",UPPER(TRIM(U750)),IF(BU750=1,UPPER(VLOOKUP(T750,Parameter!$I$27:$K$29,2,0)),IF(P750="","LOSE",P750)))</f>
        <v>S61</v>
      </c>
      <c r="BS750" s="57" t="n">
        <f aca="false">IF(BR750="LOSE",1,IF(N(V750)&gt;0,V750,IF(BU750=1,MAX(1,N(VLOOKUP(T750,Parameter!$I$27:$K$29,3,0)),H750,N(N750)),IF(N(Q750)&gt;0,Q750,MAX(1,H750)))))</f>
        <v>20</v>
      </c>
      <c r="BT750" s="60" t="n">
        <f aca="false">IF(BR750="LOSE",1,0)</f>
        <v>0</v>
      </c>
      <c r="BU750" s="60" t="n">
        <f aca="false">IF(AND(U750="",OR(P750="",P750="LOSE"),T750&lt;&gt;"",N(S750)&lt;=0,ISNUMBER(MATCH(T750,Parameter!$I$27:$I$29,0))),1,0)</f>
        <v>1</v>
      </c>
      <c r="BV750" s="55" t="str">
        <f aca="false">IF(AND(Parameter!$B$19="Ja",E750&lt;&gt;"",ISNUMBER(MATCH(E750,Parameter!$I$35:$I$52,0))),VLOOKUP(E750,Parameter!$I$35:$J$52,2,0),IFERROR(VLOOKUP(D750,Parameter!$A$35:$C$64,2,0),"Nein"))</f>
        <v>2+3</v>
      </c>
      <c r="BW750" s="59" t="n">
        <f aca="false">IF(BT750=0,0,IF(N(S750)&gt;0,S750,IFERROR(VLOOKUP(D750,Parameter!$A$35:$C$64,3,0)+0,0)))</f>
        <v>0</v>
      </c>
      <c r="BX750" s="55" t="n">
        <f aca="false">IF(AA750&lt;&gt;"",AA750,Z750)</f>
        <v>2</v>
      </c>
      <c r="BY750" s="55" t="str">
        <f aca="false">IF(BX750=1,"L1",IF(OR(BX750=2,BX750=3),"L23",IF(BX750="Aussen","Aussen","-")))</f>
        <v>L23</v>
      </c>
      <c r="BZ750" s="66" t="n">
        <f aca="false">IF(N(AB750)&gt;0,AB750,0)</f>
        <v>0</v>
      </c>
      <c r="CA750" s="60" t="n">
        <f aca="false">IF(ISNUMBER(AE750),1,0)</f>
        <v>0</v>
      </c>
      <c r="CB750" s="57" t="n">
        <f aca="false">N(AE750)</f>
        <v>0</v>
      </c>
      <c r="CC750" s="57" t="n">
        <f aca="false">N(M750)+N(N750)</f>
        <v>20</v>
      </c>
      <c r="CD750" s="57" t="n">
        <f aca="false">ROUNDUP(H750/BS750,0)</f>
        <v>0</v>
      </c>
      <c r="CE750" s="57" t="n">
        <f aca="false">ROUNDUP(CB750/BS750,0)</f>
        <v>0</v>
      </c>
      <c r="CF750" s="60" t="n">
        <f aca="false">IF(BT750=1,0,IFERROR(VLOOKUP(BR750,'Gebinde-Kategorie'!$A$5:$M$45,5,0)+0,0))</f>
        <v>11</v>
      </c>
      <c r="CG750" s="60" t="n">
        <f aca="false">IFERROR(IF(OR(BX750=1,BX750=2,BX750=3),N(INDEX(Parameter!$I$5:$I$7,BX750)),0),0)</f>
        <v>0</v>
      </c>
      <c r="CH750" s="59" t="n">
        <f aca="false">IF(AND(Parameter!$B$21="Ja",ISNUMBER(W750),N(X750)&gt;0),IFERROR(N(INDEX(Parameter!$L$5:$L$7,W750))*INDEX(Parameter!$E$5:$E$7,W750)*X750/SUMIFS($X$7:$X$1843,$W$7:$W$1843,W750),0),0)</f>
        <v>0</v>
      </c>
    </row>
    <row r="751" customFormat="false" ht="15" hidden="false" customHeight="false" outlineLevel="0" collapsed="false">
      <c r="A751" s="55" t="s">
        <v>1487</v>
      </c>
      <c r="B751" s="55" t="s">
        <v>1488</v>
      </c>
      <c r="C751" s="55" t="s">
        <v>456</v>
      </c>
      <c r="D751" s="55" t="s">
        <v>173</v>
      </c>
      <c r="E751" s="55"/>
      <c r="F751" s="55" t="s">
        <v>218</v>
      </c>
      <c r="G751" s="56" t="n">
        <v>0.01</v>
      </c>
      <c r="H751" s="57" t="n">
        <f aca="false">MAX(0,IF(AND(Parameter!$B$21="Ja",ISNUMBER(Y751)),Y751,IF(Parameter!$B$20="Jahresanfang 2025 + Export",BL751+BK751,BK751)))</f>
        <v>9</v>
      </c>
      <c r="I751" s="57" t="n">
        <f aca="false">H751*G751</f>
        <v>0.09</v>
      </c>
      <c r="J751" s="57" t="n">
        <f aca="false">BN751*Parameter!$B$18</f>
        <v>9</v>
      </c>
      <c r="K751" s="58" t="n">
        <v>9</v>
      </c>
      <c r="L751" s="59" t="n">
        <v>1</v>
      </c>
      <c r="M751" s="57" t="n">
        <v>0</v>
      </c>
      <c r="N751" s="57" t="n">
        <v>10</v>
      </c>
      <c r="O751" s="60" t="n">
        <v>90</v>
      </c>
      <c r="P751" s="55" t="s">
        <v>168</v>
      </c>
      <c r="Q751" s="57"/>
      <c r="R751" s="60" t="n">
        <f aca="false">IF(BT751=1,0,IFERROR(VLOOKUP(BR751,'Gebinde-Kategorie'!$A$5:$M$45,13,0)+0,0))</f>
        <v>26</v>
      </c>
      <c r="S751" s="61"/>
      <c r="T751" s="62" t="s">
        <v>275</v>
      </c>
      <c r="U751" s="62"/>
      <c r="V751" s="62"/>
      <c r="W751" s="55"/>
      <c r="X751" s="57"/>
      <c r="Y751" s="57"/>
      <c r="Z751" s="55" t="n">
        <f aca="false">IF(A751="","",IF(AND(Parameter!$B$21="Ja",ISNUMBER(W751)),W751,IF(BV751="2+3",IF(ISNUMBER(SEARCH("grosser Artikel",BO751)),2,IFERROR(VLOOKUP(BR751,Parameter!$F$35:$G$64,2,0),2)),IF(OR(BV751="Nein",BV751=""),"-",BV751))))</f>
        <v>3</v>
      </c>
      <c r="AA751" s="62"/>
      <c r="AB751" s="63"/>
      <c r="AC751" s="57" t="n">
        <f aca="false">AR751</f>
        <v>20</v>
      </c>
      <c r="AD751" s="57" t="n">
        <f aca="false">MAX(AR751,H751)</f>
        <v>20</v>
      </c>
      <c r="AE751" s="64"/>
      <c r="AF751" s="57" t="n">
        <f aca="false">IF(LEFT(Cockpit!$C$5,1)="A",H751,IF(CA751=1,CB751,IF(LEFT(Cockpit!$C$5,1)="B",AJ751,MAX(AJ751,H751))))</f>
        <v>9</v>
      </c>
      <c r="AG751" s="57" t="n">
        <f aca="false">IF(BT751=1,0,ROUNDUP(AF751/BS751,0))</f>
        <v>1</v>
      </c>
      <c r="AH751" s="59" t="n">
        <f aca="false">IF(CH751&gt;0,CH751*MAX(1,AF751/X751),IF(BT751=1,IF(AF751&lt;=0,0,BW751*MAX(1,IF(H751&gt;0,AF751/H751,1))),IF(R751&gt;0,AG751/R751,0))/MAX(0.1,N(Parameter!$M$21)))</f>
        <v>0.0384615384615385</v>
      </c>
      <c r="AI751" s="57" t="n">
        <f aca="false">AF751*G751</f>
        <v>0.09</v>
      </c>
      <c r="AJ751" s="57" t="n">
        <f aca="false">ROUNDUP(MAX(J751/IF(BZ751&gt;0,BZ751,MAX(0.1,N(Cockpit!$C$6))),CC751)/BS751,0)*BS751</f>
        <v>20</v>
      </c>
      <c r="AK751" s="58" t="n">
        <f aca="false">IF(AH751&gt;0,J751/AH751,-1)</f>
        <v>234</v>
      </c>
      <c r="AL751" s="58" t="n">
        <f aca="false">IF(AND(OR(BY751="L1",BY751="L23"),AH751&gt;0),SUMIFS($AH$7:$AH$1843,$BY$7:$BY$1843,BY751,$AK$7:$AK$1843,"&gt;"&amp;AK751)+SUMIFS($AH$7:$AH$1843,$BY$7:$BY$1843,BY751,$AK$7:$AK$1843,AK751,$BQ$7:$BQ$1843,"&lt;="&amp;BQ751),"")</f>
        <v>30.5927502449242</v>
      </c>
      <c r="AM751" s="65" t="n">
        <f aca="false">IF(AL751="",0,MAX(0,MIN(1,(IF(BY751="L1",Parameter!$E$5,Parameter!$E$6+Parameter!$E$7)-(AL751-AH751))/AH751)))</f>
        <v>1</v>
      </c>
      <c r="AN751" s="57" t="n">
        <f aca="false">IF(LEFT(Cockpit!$I$5,1)="A",H751,IF(CA751=1,CB751,IF(LEFT(Cockpit!$I$5,1)="B",AR751,MAX(AR751,H751))))</f>
        <v>20</v>
      </c>
      <c r="AO751" s="57" t="n">
        <f aca="false">IF(BT751=1,0,ROUNDUP(AN751/BS751,0))</f>
        <v>1</v>
      </c>
      <c r="AP751" s="59" t="n">
        <f aca="false">IF(CH751&gt;0,CH751*MAX(1,AN751/X751),IF(BT751=1,IF(AN751&lt;=0,0,BW751*MAX(1,IF(H751&gt;0,AN751/H751,1))),IF(R751&gt;0,AO751/R751,0))/MAX(0.1,N(Parameter!$M$21)))</f>
        <v>0.0384615384615385</v>
      </c>
      <c r="AQ751" s="57" t="n">
        <f aca="false">AN751*G751</f>
        <v>0.2</v>
      </c>
      <c r="AR751" s="57" t="n">
        <f aca="false">ROUNDUP(MAX(J751/IF(BZ751&gt;0,BZ751,MAX(0.1,N(Cockpit!$I$6))),CC751)/BS751,0)*BS751</f>
        <v>20</v>
      </c>
      <c r="AS751" s="58" t="n">
        <f aca="false">IF(AP751&gt;0,J751/AP751,-1)</f>
        <v>234</v>
      </c>
      <c r="AT751" s="58" t="n">
        <f aca="false">IF(AND(OR(BY751="L1",BY751="L23"),AP751&gt;0),SUMIFS($AP$7:$AP$1843,$BY$7:$BY$1843,BY751,$AS$7:$AS$1843,"&gt;"&amp;AS751)+SUMIFS($AP$7:$AP$1843,$BY$7:$BY$1843,BY751,$AS$7:$AS$1843,AS751,$BQ$7:$BQ$1843,"&lt;="&amp;BQ751),"")</f>
        <v>43.9877369007804</v>
      </c>
      <c r="AU751" s="65" t="n">
        <f aca="false">IF(AT751="",0,MAX(0,MIN(1,(IF(BY751="L1",Parameter!$E$5,Parameter!$E$6+Parameter!$E$7)-(AT751-AP751))/AP751)))</f>
        <v>1</v>
      </c>
      <c r="AV751" s="57" t="n">
        <f aca="false">IF(LEFT(Cockpit!$O$5,1)="A",H751,IF(CA751=1,CB751,IF(LEFT(Cockpit!$O$5,1)="B",AZ751,MAX(AZ751,H751))))</f>
        <v>20</v>
      </c>
      <c r="AW751" s="57" t="n">
        <f aca="false">IF(BT751=1,0,ROUNDUP(AV751/BS751,0))</f>
        <v>1</v>
      </c>
      <c r="AX751" s="59" t="n">
        <f aca="false">IF(CH751&gt;0,CH751*MAX(1,AV751/X751),IF(BT751=1,IF(AV751&lt;=0,0,BW751*MAX(1,IF(H751&gt;0,AV751/H751,1))),IF(R751&gt;0,AW751/R751,0))/MAX(0.1,N(Parameter!$M$21)))</f>
        <v>0.0384615384615385</v>
      </c>
      <c r="AY751" s="57" t="n">
        <f aca="false">AV751*G751</f>
        <v>0.2</v>
      </c>
      <c r="AZ751" s="57" t="n">
        <f aca="false">ROUNDUP(MAX(J751/IF(BZ751&gt;0,BZ751,MAX(0.1,N(Cockpit!$O$6))),CC751)/BS751,0)*BS751</f>
        <v>20</v>
      </c>
      <c r="BA751" s="58" t="n">
        <f aca="false">IF(AX751&gt;0,J751/AX751,-1)</f>
        <v>234</v>
      </c>
      <c r="BB751" s="58" t="n">
        <f aca="false">IF(AND(OR(BY751="L1",BY751="L23"),AX751&gt;0),SUMIFS($AX$7:$AX$1843,$BY$7:$BY$1843,BY751,$BA$7:$BA$1843,"&gt;"&amp;BA751)+SUMIFS($AX$7:$AX$1843,$BY$7:$BY$1843,BY751,$BA$7:$BA$1843,BA751,$BQ$7:$BQ$1843,"&lt;="&amp;BQ751),"")</f>
        <v>41.2342403972839</v>
      </c>
      <c r="BC751" s="65" t="n">
        <f aca="false">IF(BB751="",0,MAX(0,MIN(1,(IF(BY751="L1",Parameter!$E$5,Parameter!$E$6+Parameter!$E$7)-(BB751-AX751))/AX751)))</f>
        <v>1</v>
      </c>
      <c r="BD751" s="55" t="str">
        <f aca="false">IF(AH751&lt;=0,"",IF(BY751="Aussen","Aussenlager",IF(BY751="-","Nicht im Lift",IF(AM751&gt;=1,"Lift",IF(AM751&lt;=0,"Aussenlager","teilweise")))))</f>
        <v>Lift</v>
      </c>
      <c r="BE751" s="55" t="str">
        <f aca="false">IF(AP751&lt;=0,"",IF(BY751="Aussen","Aussenlager",IF(BY751="-","Nicht im Lift",IF(AU751&gt;=1,"Lift",IF(AU751&lt;=0,"Aussenlager","teilweise")))))</f>
        <v>Lift</v>
      </c>
      <c r="BF751" s="55" t="str">
        <f aca="false">IF(AX751&lt;=0,"",IF(BY751="Aussen","Aussenlager",IF(BY751="-","Nicht im Lift",IF(BC751&gt;=1,"Lift",IF(BC751&lt;=0,"Aussenlager","teilweise")))))</f>
        <v>Lift</v>
      </c>
      <c r="BG751" s="55" t="str">
        <f aca="false">IF(A751="","",IF(BP751=1,"Neu; ","")&amp;IF(AND(BP751=0,BK751&lt;0),"negativer Bestand (Export "&amp;BK751&amp;"); ","")&amp;IF(J751&lt;=0,"Kein Verbrauch; ","")&amp;IF(CH751&gt;0,"Lift "&amp;W751&amp;" lt. Liftbericht (Fach "&amp;X751&amp;" Stk); ",IF(BU751=1,"Gebinde geschätzt ("&amp;T751&amp;"); ",IF(BT751=1,"Lose – Tablare geschätzt; ","")))&amp;IF(H751&gt;AR751,"Überbestand "&amp;ROUND(H751-AR751,0)&amp;" Stk / CHF "&amp;ROUND((H751-AR751)*G751,0)&amp;"; ","")&amp;IF(AND(CA751=1,CB751&lt;CC751),"MAX &lt; MB+LG; ","")&amp;IF(AND(CG751&gt;0,CF751*10&gt;CG751),"zu hoch für Tablar; ","")&amp;IF(AND(BP751=0,OR(CA751=1,AA751&lt;&gt;"",U751&lt;&gt;"",V751&lt;&gt;"",AB751&lt;&gt;"")),"manuell übersteuert; ","")&amp;IF(AND(BT751=0,R751=0),"Gebinde unbekannt / Stellmass fehlt; ","")&amp;IF(AND(BT751=0,N(V751)&lt;=0,N(Q751)&lt;=0),"Menge pro Gebinde fehlt (Ist = 1 Gebinde); ","")&amp;BO751)</f>
        <v>negativer Bestand (Export -9); Gebinde geschätzt (Klein); Menge pro Gebinde fehlt (Ist = 1 Gebinde); </v>
      </c>
      <c r="BH751" s="55"/>
      <c r="BI751" s="55"/>
      <c r="BJ751" s="62"/>
      <c r="BK751" s="57" t="n">
        <v>-9</v>
      </c>
      <c r="BL751" s="57" t="n">
        <v>18</v>
      </c>
      <c r="BM751" s="56" t="n">
        <v>-0.09</v>
      </c>
      <c r="BN751" s="57" t="n">
        <v>9</v>
      </c>
      <c r="BO751" s="55"/>
      <c r="BP751" s="60" t="n">
        <v>0</v>
      </c>
      <c r="BQ751" s="60" t="n">
        <v>751</v>
      </c>
      <c r="BR751" s="55" t="str">
        <f aca="false">IF(U751&lt;&gt;"",UPPER(TRIM(U751)),IF(BU751=1,UPPER(VLOOKUP(T751,Parameter!$I$27:$K$29,2,0)),IF(P751="","LOSE",P751)))</f>
        <v>S51</v>
      </c>
      <c r="BS751" s="57" t="n">
        <f aca="false">IF(BR751="LOSE",1,IF(N(V751)&gt;0,V751,IF(BU751=1,MAX(1,N(VLOOKUP(T751,Parameter!$I$27:$K$29,3,0)),H751,N(N751)),IF(N(Q751)&gt;0,Q751,MAX(1,H751)))))</f>
        <v>20</v>
      </c>
      <c r="BT751" s="60" t="n">
        <f aca="false">IF(BR751="LOSE",1,0)</f>
        <v>0</v>
      </c>
      <c r="BU751" s="60" t="n">
        <f aca="false">IF(AND(U751="",OR(P751="",P751="LOSE"),T751&lt;&gt;"",N(S751)&lt;=0,ISNUMBER(MATCH(T751,Parameter!$I$27:$I$29,0))),1,0)</f>
        <v>1</v>
      </c>
      <c r="BV751" s="55" t="str">
        <f aca="false">IF(AND(Parameter!$B$19="Ja",E751&lt;&gt;"",ISNUMBER(MATCH(E751,Parameter!$I$35:$I$52,0))),VLOOKUP(E751,Parameter!$I$35:$J$52,2,0),IFERROR(VLOOKUP(D751,Parameter!$A$35:$C$64,2,0),"Nein"))</f>
        <v>2+3</v>
      </c>
      <c r="BW751" s="59" t="n">
        <f aca="false">IF(BT751=0,0,IF(N(S751)&gt;0,S751,IFERROR(VLOOKUP(D751,Parameter!$A$35:$C$64,3,0)+0,0)))</f>
        <v>0</v>
      </c>
      <c r="BX751" s="55" t="n">
        <f aca="false">IF(AA751&lt;&gt;"",AA751,Z751)</f>
        <v>3</v>
      </c>
      <c r="BY751" s="55" t="str">
        <f aca="false">IF(BX751=1,"L1",IF(OR(BX751=2,BX751=3),"L23",IF(BX751="Aussen","Aussen","-")))</f>
        <v>L23</v>
      </c>
      <c r="BZ751" s="66" t="n">
        <f aca="false">IF(N(AB751)&gt;0,AB751,0)</f>
        <v>0</v>
      </c>
      <c r="CA751" s="60" t="n">
        <f aca="false">IF(ISNUMBER(AE751),1,0)</f>
        <v>0</v>
      </c>
      <c r="CB751" s="57" t="n">
        <f aca="false">N(AE751)</f>
        <v>0</v>
      </c>
      <c r="CC751" s="57" t="n">
        <f aca="false">N(M751)+N(N751)</f>
        <v>10</v>
      </c>
      <c r="CD751" s="57" t="n">
        <f aca="false">ROUNDUP(H751/BS751,0)</f>
        <v>1</v>
      </c>
      <c r="CE751" s="57" t="n">
        <f aca="false">ROUNDUP(CB751/BS751,0)</f>
        <v>0</v>
      </c>
      <c r="CF751" s="60" t="n">
        <f aca="false">IF(BT751=1,0,IFERROR(VLOOKUP(BR751,'Gebinde-Kategorie'!$A$5:$M$45,5,0)+0,0))</f>
        <v>11</v>
      </c>
      <c r="CG751" s="60" t="n">
        <f aca="false">IFERROR(IF(OR(BX751=1,BX751=2,BX751=3),N(INDEX(Parameter!$I$5:$I$7,BX751)),0),0)</f>
        <v>0</v>
      </c>
      <c r="CH751" s="59" t="n">
        <f aca="false">IF(AND(Parameter!$B$21="Ja",ISNUMBER(W751),N(X751)&gt;0),IFERROR(N(INDEX(Parameter!$L$5:$L$7,W751))*INDEX(Parameter!$E$5:$E$7,W751)*X751/SUMIFS($X$7:$X$1843,$W$7:$W$1843,W751),0),0)</f>
        <v>0</v>
      </c>
    </row>
    <row r="752" customFormat="false" ht="15" hidden="false" customHeight="false" outlineLevel="0" collapsed="false">
      <c r="A752" s="55" t="s">
        <v>1489</v>
      </c>
      <c r="B752" s="55" t="s">
        <v>1490</v>
      </c>
      <c r="C752" s="55" t="s">
        <v>456</v>
      </c>
      <c r="D752" s="55" t="s">
        <v>173</v>
      </c>
      <c r="E752" s="55"/>
      <c r="F752" s="55" t="s">
        <v>218</v>
      </c>
      <c r="G752" s="56" t="n">
        <v>0.01</v>
      </c>
      <c r="H752" s="57" t="n">
        <f aca="false">MAX(0,IF(AND(Parameter!$B$21="Ja",ISNUMBER(Y752)),Y752,IF(Parameter!$B$20="Jahresanfang 2025 + Export",BL752+BK752,BK752)))</f>
        <v>0</v>
      </c>
      <c r="I752" s="57" t="n">
        <f aca="false">H752*G752</f>
        <v>0</v>
      </c>
      <c r="J752" s="57" t="n">
        <f aca="false">BN752*Parameter!$B$18</f>
        <v>8</v>
      </c>
      <c r="K752" s="58" t="n">
        <v>8</v>
      </c>
      <c r="L752" s="59" t="n">
        <v>1</v>
      </c>
      <c r="M752" s="57" t="n">
        <v>0</v>
      </c>
      <c r="N752" s="57" t="n">
        <v>10</v>
      </c>
      <c r="O752" s="60" t="n">
        <v>90</v>
      </c>
      <c r="P752" s="55" t="s">
        <v>168</v>
      </c>
      <c r="Q752" s="57"/>
      <c r="R752" s="60" t="n">
        <f aca="false">IF(BT752=1,0,IFERROR(VLOOKUP(BR752,'Gebinde-Kategorie'!$A$5:$M$45,13,0)+0,0))</f>
        <v>26</v>
      </c>
      <c r="S752" s="61"/>
      <c r="T752" s="62" t="s">
        <v>275</v>
      </c>
      <c r="U752" s="62"/>
      <c r="V752" s="62"/>
      <c r="W752" s="55"/>
      <c r="X752" s="57"/>
      <c r="Y752" s="57"/>
      <c r="Z752" s="55" t="n">
        <f aca="false">IF(A752="","",IF(AND(Parameter!$B$21="Ja",ISNUMBER(W752)),W752,IF(BV752="2+3",IF(ISNUMBER(SEARCH("grosser Artikel",BO752)),2,IFERROR(VLOOKUP(BR752,Parameter!$F$35:$G$64,2,0),2)),IF(OR(BV752="Nein",BV752=""),"-",BV752))))</f>
        <v>3</v>
      </c>
      <c r="AA752" s="62"/>
      <c r="AB752" s="63"/>
      <c r="AC752" s="57" t="n">
        <f aca="false">AR752</f>
        <v>20</v>
      </c>
      <c r="AD752" s="57" t="n">
        <f aca="false">MAX(AR752,H752)</f>
        <v>20</v>
      </c>
      <c r="AE752" s="64"/>
      <c r="AF752" s="57" t="n">
        <f aca="false">IF(LEFT(Cockpit!$C$5,1)="A",H752,IF(CA752=1,CB752,IF(LEFT(Cockpit!$C$5,1)="B",AJ752,MAX(AJ752,H752))))</f>
        <v>0</v>
      </c>
      <c r="AG752" s="57" t="n">
        <f aca="false">IF(BT752=1,0,ROUNDUP(AF752/BS752,0))</f>
        <v>0</v>
      </c>
      <c r="AH752" s="59" t="n">
        <f aca="false">IF(CH752&gt;0,CH752*MAX(1,AF752/X752),IF(BT752=1,IF(AF752&lt;=0,0,BW752*MAX(1,IF(H752&gt;0,AF752/H752,1))),IF(R752&gt;0,AG752/R752,0))/MAX(0.1,N(Parameter!$M$21)))</f>
        <v>0</v>
      </c>
      <c r="AI752" s="57" t="n">
        <f aca="false">AF752*G752</f>
        <v>0</v>
      </c>
      <c r="AJ752" s="57" t="n">
        <f aca="false">ROUNDUP(MAX(J752/IF(BZ752&gt;0,BZ752,MAX(0.1,N(Cockpit!$C$6))),CC752)/BS752,0)*BS752</f>
        <v>20</v>
      </c>
      <c r="AK752" s="58" t="n">
        <f aca="false">IF(AH752&gt;0,J752/AH752,-1)</f>
        <v>-1</v>
      </c>
      <c r="AL752" s="58" t="str">
        <f aca="false">IF(AND(OR(BY752="L1",BY752="L23"),AH752&gt;0),SUMIFS($AH$7:$AH$1843,$BY$7:$BY$1843,BY752,$AK$7:$AK$1843,"&gt;"&amp;AK752)+SUMIFS($AH$7:$AH$1843,$BY$7:$BY$1843,BY752,$AK$7:$AK$1843,AK752,$BQ$7:$BQ$1843,"&lt;="&amp;BQ752),"")</f>
        <v/>
      </c>
      <c r="AM752" s="65" t="n">
        <f aca="false">IF(AL752="",0,MAX(0,MIN(1,(IF(BY752="L1",Parameter!$E$5,Parameter!$E$6+Parameter!$E$7)-(AL752-AH752))/AH752)))</f>
        <v>0</v>
      </c>
      <c r="AN752" s="57" t="n">
        <f aca="false">IF(LEFT(Cockpit!$I$5,1)="A",H752,IF(CA752=1,CB752,IF(LEFT(Cockpit!$I$5,1)="B",AR752,MAX(AR752,H752))))</f>
        <v>20</v>
      </c>
      <c r="AO752" s="57" t="n">
        <f aca="false">IF(BT752=1,0,ROUNDUP(AN752/BS752,0))</f>
        <v>1</v>
      </c>
      <c r="AP752" s="59" t="n">
        <f aca="false">IF(CH752&gt;0,CH752*MAX(1,AN752/X752),IF(BT752=1,IF(AN752&lt;=0,0,BW752*MAX(1,IF(H752&gt;0,AN752/H752,1))),IF(R752&gt;0,AO752/R752,0))/MAX(0.1,N(Parameter!$M$21)))</f>
        <v>0.0384615384615385</v>
      </c>
      <c r="AQ752" s="57" t="n">
        <f aca="false">AN752*G752</f>
        <v>0.2</v>
      </c>
      <c r="AR752" s="57" t="n">
        <f aca="false">ROUNDUP(MAX(J752/IF(BZ752&gt;0,BZ752,MAX(0.1,N(Cockpit!$I$6))),CC752)/BS752,0)*BS752</f>
        <v>20</v>
      </c>
      <c r="AS752" s="58" t="n">
        <f aca="false">IF(AP752&gt;0,J752/AP752,-1)</f>
        <v>208</v>
      </c>
      <c r="AT752" s="58" t="n">
        <f aca="false">IF(AND(OR(BY752="L1",BY752="L23"),AP752&gt;0),SUMIFS($AP$7:$AP$1843,$BY$7:$BY$1843,BY752,$AS$7:$AS$1843,"&gt;"&amp;AS752)+SUMIFS($AP$7:$AP$1843,$BY$7:$BY$1843,BY752,$AS$7:$AS$1843,AS752,$BQ$7:$BQ$1843,"&lt;="&amp;BQ752),"")</f>
        <v>45.9545201175636</v>
      </c>
      <c r="AU752" s="65" t="n">
        <f aca="false">IF(AT752="",0,MAX(0,MIN(1,(IF(BY752="L1",Parameter!$E$5,Parameter!$E$6+Parameter!$E$7)-(AT752-AP752))/AP752)))</f>
        <v>1</v>
      </c>
      <c r="AV752" s="57" t="n">
        <f aca="false">IF(LEFT(Cockpit!$O$5,1)="A",H752,IF(CA752=1,CB752,IF(LEFT(Cockpit!$O$5,1)="B",AZ752,MAX(AZ752,H752))))</f>
        <v>20</v>
      </c>
      <c r="AW752" s="57" t="n">
        <f aca="false">IF(BT752=1,0,ROUNDUP(AV752/BS752,0))</f>
        <v>1</v>
      </c>
      <c r="AX752" s="59" t="n">
        <f aca="false">IF(CH752&gt;0,CH752*MAX(1,AV752/X752),IF(BT752=1,IF(AV752&lt;=0,0,BW752*MAX(1,IF(H752&gt;0,AV752/H752,1))),IF(R752&gt;0,AW752/R752,0))/MAX(0.1,N(Parameter!$M$21)))</f>
        <v>0.0384615384615385</v>
      </c>
      <c r="AY752" s="57" t="n">
        <f aca="false">AV752*G752</f>
        <v>0.2</v>
      </c>
      <c r="AZ752" s="57" t="n">
        <f aca="false">ROUNDUP(MAX(J752/IF(BZ752&gt;0,BZ752,MAX(0.1,N(Cockpit!$O$6))),CC752)/BS752,0)*BS752</f>
        <v>20</v>
      </c>
      <c r="BA752" s="58" t="n">
        <f aca="false">IF(AX752&gt;0,J752/AX752,-1)</f>
        <v>208</v>
      </c>
      <c r="BB752" s="58" t="n">
        <f aca="false">IF(AND(OR(BY752="L1",BY752="L23"),AX752&gt;0),SUMIFS($AX$7:$AX$1843,$BY$7:$BY$1843,BY752,$BA$7:$BA$1843,"&gt;"&amp;BA752)+SUMIFS($AX$7:$AX$1843,$BY$7:$BY$1843,BY752,$BA$7:$BA$1843,BA752,$BQ$7:$BQ$1843,"&lt;="&amp;BQ752),"")</f>
        <v>42.5343569474004</v>
      </c>
      <c r="BC752" s="65" t="n">
        <f aca="false">IF(BB752="",0,MAX(0,MIN(1,(IF(BY752="L1",Parameter!$E$5,Parameter!$E$6+Parameter!$E$7)-(BB752-AX752))/AX752)))</f>
        <v>1</v>
      </c>
      <c r="BD752" s="55" t="str">
        <f aca="false">IF(AH752&lt;=0,"",IF(BY752="Aussen","Aussenlager",IF(BY752="-","Nicht im Lift",IF(AM752&gt;=1,"Lift",IF(AM752&lt;=0,"Aussenlager","teilweise")))))</f>
        <v/>
      </c>
      <c r="BE752" s="55" t="str">
        <f aca="false">IF(AP752&lt;=0,"",IF(BY752="Aussen","Aussenlager",IF(BY752="-","Nicht im Lift",IF(AU752&gt;=1,"Lift",IF(AU752&lt;=0,"Aussenlager","teilweise")))))</f>
        <v>Lift</v>
      </c>
      <c r="BF752" s="55" t="str">
        <f aca="false">IF(AX752&lt;=0,"",IF(BY752="Aussen","Aussenlager",IF(BY752="-","Nicht im Lift",IF(BC752&gt;=1,"Lift",IF(BC752&lt;=0,"Aussenlager","teilweise")))))</f>
        <v>Lift</v>
      </c>
      <c r="BG752" s="55" t="str">
        <f aca="false">IF(A752="","",IF(BP752=1,"Neu; ","")&amp;IF(AND(BP752=0,BK752&lt;0),"negativer Bestand (Export "&amp;BK752&amp;"); ","")&amp;IF(J752&lt;=0,"Kein Verbrauch; ","")&amp;IF(CH752&gt;0,"Lift "&amp;W752&amp;" lt. Liftbericht (Fach "&amp;X752&amp;" Stk); ",IF(BU752=1,"Gebinde geschätzt ("&amp;T752&amp;"); ",IF(BT752=1,"Lose – Tablare geschätzt; ","")))&amp;IF(H752&gt;AR752,"Überbestand "&amp;ROUND(H752-AR752,0)&amp;" Stk / CHF "&amp;ROUND((H752-AR752)*G752,0)&amp;"; ","")&amp;IF(AND(CA752=1,CB752&lt;CC752),"MAX &lt; MB+LG; ","")&amp;IF(AND(CG752&gt;0,CF752*10&gt;CG752),"zu hoch für Tablar; ","")&amp;IF(AND(BP752=0,OR(CA752=1,AA752&lt;&gt;"",U752&lt;&gt;"",V752&lt;&gt;"",AB752&lt;&gt;"")),"manuell übersteuert; ","")&amp;IF(AND(BT752=0,R752=0),"Gebinde unbekannt / Stellmass fehlt; ","")&amp;IF(AND(BT752=0,N(V752)&lt;=0,N(Q752)&lt;=0),"Menge pro Gebinde fehlt (Ist = 1 Gebinde); ","")&amp;BO752)</f>
        <v>negativer Bestand (Export -16); Gebinde geschätzt (Klein); Menge pro Gebinde fehlt (Ist = 1 Gebinde); </v>
      </c>
      <c r="BH752" s="55"/>
      <c r="BI752" s="55"/>
      <c r="BJ752" s="62"/>
      <c r="BK752" s="57" t="n">
        <v>-16</v>
      </c>
      <c r="BL752" s="57" t="n">
        <v>16</v>
      </c>
      <c r="BM752" s="56" t="n">
        <v>-0.16</v>
      </c>
      <c r="BN752" s="57" t="n">
        <v>8</v>
      </c>
      <c r="BO752" s="55"/>
      <c r="BP752" s="60" t="n">
        <v>0</v>
      </c>
      <c r="BQ752" s="60" t="n">
        <v>752</v>
      </c>
      <c r="BR752" s="55" t="str">
        <f aca="false">IF(U752&lt;&gt;"",UPPER(TRIM(U752)),IF(BU752=1,UPPER(VLOOKUP(T752,Parameter!$I$27:$K$29,2,0)),IF(P752="","LOSE",P752)))</f>
        <v>S51</v>
      </c>
      <c r="BS752" s="57" t="n">
        <f aca="false">IF(BR752="LOSE",1,IF(N(V752)&gt;0,V752,IF(BU752=1,MAX(1,N(VLOOKUP(T752,Parameter!$I$27:$K$29,3,0)),H752,N(N752)),IF(N(Q752)&gt;0,Q752,MAX(1,H752)))))</f>
        <v>20</v>
      </c>
      <c r="BT752" s="60" t="n">
        <f aca="false">IF(BR752="LOSE",1,0)</f>
        <v>0</v>
      </c>
      <c r="BU752" s="60" t="n">
        <f aca="false">IF(AND(U752="",OR(P752="",P752="LOSE"),T752&lt;&gt;"",N(S752)&lt;=0,ISNUMBER(MATCH(T752,Parameter!$I$27:$I$29,0))),1,0)</f>
        <v>1</v>
      </c>
      <c r="BV752" s="55" t="str">
        <f aca="false">IF(AND(Parameter!$B$19="Ja",E752&lt;&gt;"",ISNUMBER(MATCH(E752,Parameter!$I$35:$I$52,0))),VLOOKUP(E752,Parameter!$I$35:$J$52,2,0),IFERROR(VLOOKUP(D752,Parameter!$A$35:$C$64,2,0),"Nein"))</f>
        <v>2+3</v>
      </c>
      <c r="BW752" s="59" t="n">
        <f aca="false">IF(BT752=0,0,IF(N(S752)&gt;0,S752,IFERROR(VLOOKUP(D752,Parameter!$A$35:$C$64,3,0)+0,0)))</f>
        <v>0</v>
      </c>
      <c r="BX752" s="55" t="n">
        <f aca="false">IF(AA752&lt;&gt;"",AA752,Z752)</f>
        <v>3</v>
      </c>
      <c r="BY752" s="55" t="str">
        <f aca="false">IF(BX752=1,"L1",IF(OR(BX752=2,BX752=3),"L23",IF(BX752="Aussen","Aussen","-")))</f>
        <v>L23</v>
      </c>
      <c r="BZ752" s="66" t="n">
        <f aca="false">IF(N(AB752)&gt;0,AB752,0)</f>
        <v>0</v>
      </c>
      <c r="CA752" s="60" t="n">
        <f aca="false">IF(ISNUMBER(AE752),1,0)</f>
        <v>0</v>
      </c>
      <c r="CB752" s="57" t="n">
        <f aca="false">N(AE752)</f>
        <v>0</v>
      </c>
      <c r="CC752" s="57" t="n">
        <f aca="false">N(M752)+N(N752)</f>
        <v>10</v>
      </c>
      <c r="CD752" s="57" t="n">
        <f aca="false">ROUNDUP(H752/BS752,0)</f>
        <v>0</v>
      </c>
      <c r="CE752" s="57" t="n">
        <f aca="false">ROUNDUP(CB752/BS752,0)</f>
        <v>0</v>
      </c>
      <c r="CF752" s="60" t="n">
        <f aca="false">IF(BT752=1,0,IFERROR(VLOOKUP(BR752,'Gebinde-Kategorie'!$A$5:$M$45,5,0)+0,0))</f>
        <v>11</v>
      </c>
      <c r="CG752" s="60" t="n">
        <f aca="false">IFERROR(IF(OR(BX752=1,BX752=2,BX752=3),N(INDEX(Parameter!$I$5:$I$7,BX752)),0),0)</f>
        <v>0</v>
      </c>
      <c r="CH752" s="59" t="n">
        <f aca="false">IF(AND(Parameter!$B$21="Ja",ISNUMBER(W752),N(X752)&gt;0),IFERROR(N(INDEX(Parameter!$L$5:$L$7,W752))*INDEX(Parameter!$E$5:$E$7,W752)*X752/SUMIFS($X$7:$X$1843,$W$7:$W$1843,W752),0),0)</f>
        <v>0</v>
      </c>
    </row>
    <row r="753" customFormat="false" ht="15" hidden="false" customHeight="false" outlineLevel="0" collapsed="false">
      <c r="A753" s="55" t="s">
        <v>1491</v>
      </c>
      <c r="B753" s="55" t="s">
        <v>468</v>
      </c>
      <c r="C753" s="55" t="s">
        <v>164</v>
      </c>
      <c r="D753" s="55" t="s">
        <v>184</v>
      </c>
      <c r="E753" s="55" t="s">
        <v>185</v>
      </c>
      <c r="F753" s="55" t="s">
        <v>218</v>
      </c>
      <c r="G753" s="56" t="n">
        <v>0.2</v>
      </c>
      <c r="H753" s="57" t="n">
        <f aca="false">MAX(0,IF(AND(Parameter!$B$21="Ja",ISNUMBER(Y753)),Y753,IF(Parameter!$B$20="Jahresanfang 2025 + Export",BL753+BK753,BK753)))</f>
        <v>20</v>
      </c>
      <c r="I753" s="57" t="n">
        <f aca="false">H753*G753</f>
        <v>4</v>
      </c>
      <c r="J753" s="57" t="n">
        <f aca="false">BN753*Parameter!$B$18</f>
        <v>0</v>
      </c>
      <c r="K753" s="58" t="n">
        <v>20.5</v>
      </c>
      <c r="L753" s="59" t="n">
        <v>0</v>
      </c>
      <c r="M753" s="57" t="n">
        <v>0</v>
      </c>
      <c r="N753" s="57" t="n">
        <v>1</v>
      </c>
      <c r="O753" s="60" t="n">
        <v>28</v>
      </c>
      <c r="P753" s="55" t="s">
        <v>401</v>
      </c>
      <c r="Q753" s="57" t="n">
        <v>39</v>
      </c>
      <c r="R753" s="60" t="n">
        <f aca="false">IF(BT753=1,0,IFERROR(VLOOKUP(BR753,'Gebinde-Kategorie'!$A$5:$M$45,13,0)+0,0))</f>
        <v>414</v>
      </c>
      <c r="S753" s="61"/>
      <c r="T753" s="62"/>
      <c r="U753" s="62"/>
      <c r="V753" s="62"/>
      <c r="W753" s="55"/>
      <c r="X753" s="57"/>
      <c r="Y753" s="57"/>
      <c r="Z753" s="55" t="n">
        <f aca="false">IF(A753="","",IF(AND(Parameter!$B$21="Ja",ISNUMBER(W753)),W753,IF(BV753="2+3",IF(ISNUMBER(SEARCH("grosser Artikel",BO753)),2,IFERROR(VLOOKUP(BR753,Parameter!$F$35:$G$64,2,0),2)),IF(OR(BV753="Nein",BV753=""),"-",BV753))))</f>
        <v>3</v>
      </c>
      <c r="AA753" s="62"/>
      <c r="AB753" s="63"/>
      <c r="AC753" s="57" t="n">
        <f aca="false">AR753</f>
        <v>39</v>
      </c>
      <c r="AD753" s="57" t="n">
        <f aca="false">MAX(AR753,H753)</f>
        <v>39</v>
      </c>
      <c r="AE753" s="64"/>
      <c r="AF753" s="57" t="n">
        <f aca="false">IF(LEFT(Cockpit!$C$5,1)="A",H753,IF(CA753=1,CB753,IF(LEFT(Cockpit!$C$5,1)="B",AJ753,MAX(AJ753,H753))))</f>
        <v>20</v>
      </c>
      <c r="AG753" s="57" t="n">
        <f aca="false">IF(BT753=1,0,ROUNDUP(AF753/BS753,0))</f>
        <v>1</v>
      </c>
      <c r="AH753" s="59" t="n">
        <f aca="false">IF(CH753&gt;0,CH753*MAX(1,AF753/X753),IF(BT753=1,IF(AF753&lt;=0,0,BW753*MAX(1,IF(H753&gt;0,AF753/H753,1))),IF(R753&gt;0,AG753/R753,0))/MAX(0.1,N(Parameter!$M$21)))</f>
        <v>0.00241545893719807</v>
      </c>
      <c r="AI753" s="57" t="n">
        <f aca="false">AF753*G753</f>
        <v>4</v>
      </c>
      <c r="AJ753" s="57" t="n">
        <f aca="false">ROUNDUP(MAX(J753/IF(BZ753&gt;0,BZ753,MAX(0.1,N(Cockpit!$C$6))),CC753)/BS753,0)*BS753</f>
        <v>39</v>
      </c>
      <c r="AK753" s="58" t="n">
        <f aca="false">IF(AH753&gt;0,J753/AH753,-1)</f>
        <v>0</v>
      </c>
      <c r="AL753" s="58" t="n">
        <f aca="false">IF(AND(OR(BY753="L1",BY753="L23"),AH753&gt;0),SUMIFS($AH$7:$AH$1843,$BY$7:$BY$1843,BY753,$AK$7:$AK$1843,"&gt;"&amp;AK753)+SUMIFS($AH$7:$AH$1843,$BY$7:$BY$1843,BY753,$AK$7:$AK$1843,AK753,$BQ$7:$BQ$1843,"&lt;="&amp;BQ753),"")</f>
        <v>77.1921303334347</v>
      </c>
      <c r="AM753" s="65" t="n">
        <f aca="false">IF(AL753="",0,MAX(0,MIN(1,(IF(BY753="L1",Parameter!$E$5,Parameter!$E$6+Parameter!$E$7)-(AL753-AH753))/AH753)))</f>
        <v>1</v>
      </c>
      <c r="AN753" s="57" t="n">
        <f aca="false">IF(LEFT(Cockpit!$I$5,1)="A",H753,IF(CA753=1,CB753,IF(LEFT(Cockpit!$I$5,1)="B",AR753,MAX(AR753,H753))))</f>
        <v>39</v>
      </c>
      <c r="AO753" s="57" t="n">
        <f aca="false">IF(BT753=1,0,ROUNDUP(AN753/BS753,0))</f>
        <v>1</v>
      </c>
      <c r="AP753" s="59" t="n">
        <f aca="false">IF(CH753&gt;0,CH753*MAX(1,AN753/X753),IF(BT753=1,IF(AN753&lt;=0,0,BW753*MAX(1,IF(H753&gt;0,AN753/H753,1))),IF(R753&gt;0,AO753/R753,0))/MAX(0.1,N(Parameter!$M$21)))</f>
        <v>0.00241545893719807</v>
      </c>
      <c r="AQ753" s="57" t="n">
        <f aca="false">AN753*G753</f>
        <v>7.8</v>
      </c>
      <c r="AR753" s="57" t="n">
        <f aca="false">ROUNDUP(MAX(J753/IF(BZ753&gt;0,BZ753,MAX(0.1,N(Cockpit!$I$6))),CC753)/BS753,0)*BS753</f>
        <v>39</v>
      </c>
      <c r="AS753" s="58" t="n">
        <f aca="false">IF(AP753&gt;0,J753/AP753,-1)</f>
        <v>0</v>
      </c>
      <c r="AT753" s="58" t="n">
        <f aca="false">IF(AND(OR(BY753="L1",BY753="L23"),AP753&gt;0),SUMIFS($AP$7:$AP$1843,$BY$7:$BY$1843,BY753,$AS$7:$AS$1843,"&gt;"&amp;AS753)+SUMIFS($AP$7:$AP$1843,$BY$7:$BY$1843,BY753,$AS$7:$AS$1843,AS753,$BQ$7:$BQ$1843,"&lt;="&amp;BQ753),"")</f>
        <v>118.022516131212</v>
      </c>
      <c r="AU753" s="65" t="n">
        <f aca="false">IF(AT753="",0,MAX(0,MIN(1,(IF(BY753="L1",Parameter!$E$5,Parameter!$E$6+Parameter!$E$7)-(AT753-AP753))/AP753)))</f>
        <v>0</v>
      </c>
      <c r="AV753" s="57" t="n">
        <f aca="false">IF(LEFT(Cockpit!$O$5,1)="A",H753,IF(CA753=1,CB753,IF(LEFT(Cockpit!$O$5,1)="B",AZ753,MAX(AZ753,H753))))</f>
        <v>39</v>
      </c>
      <c r="AW753" s="57" t="n">
        <f aca="false">IF(BT753=1,0,ROUNDUP(AV753/BS753,0))</f>
        <v>1</v>
      </c>
      <c r="AX753" s="59" t="n">
        <f aca="false">IF(CH753&gt;0,CH753*MAX(1,AV753/X753),IF(BT753=1,IF(AV753&lt;=0,0,BW753*MAX(1,IF(H753&gt;0,AV753/H753,1))),IF(R753&gt;0,AW753/R753,0))/MAX(0.1,N(Parameter!$M$21)))</f>
        <v>0.00241545893719807</v>
      </c>
      <c r="AY753" s="57" t="n">
        <f aca="false">AV753*G753</f>
        <v>7.8</v>
      </c>
      <c r="AZ753" s="57" t="n">
        <f aca="false">ROUNDUP(MAX(J753/IF(BZ753&gt;0,BZ753,MAX(0.1,N(Cockpit!$O$6))),CC753)/BS753,0)*BS753</f>
        <v>39</v>
      </c>
      <c r="BA753" s="58" t="n">
        <f aca="false">IF(AX753&gt;0,J753/AX753,-1)</f>
        <v>0</v>
      </c>
      <c r="BB753" s="58" t="n">
        <f aca="false">IF(AND(OR(BY753="L1",BY753="L23"),AX753&gt;0),SUMIFS($AX$7:$AX$1843,$BY$7:$BY$1843,BY753,$BA$7:$BA$1843,"&gt;"&amp;BA753)+SUMIFS($AX$7:$AX$1843,$BY$7:$BY$1843,BY753,$BA$7:$BA$1843,BA753,$BQ$7:$BQ$1843,"&lt;="&amp;BQ753),"")</f>
        <v>108.852352961049</v>
      </c>
      <c r="BC753" s="65" t="n">
        <f aca="false">IF(BB753="",0,MAX(0,MIN(1,(IF(BY753="L1",Parameter!$E$5,Parameter!$E$6+Parameter!$E$7)-(BB753-AX753))/AX753)))</f>
        <v>0</v>
      </c>
      <c r="BD753" s="55" t="str">
        <f aca="false">IF(AH753&lt;=0,"",IF(BY753="Aussen","Aussenlager",IF(BY753="-","Nicht im Lift",IF(AM753&gt;=1,"Lift",IF(AM753&lt;=0,"Aussenlager","teilweise")))))</f>
        <v>Lift</v>
      </c>
      <c r="BE753" s="55" t="str">
        <f aca="false">IF(AP753&lt;=0,"",IF(BY753="Aussen","Aussenlager",IF(BY753="-","Nicht im Lift",IF(AU753&gt;=1,"Lift",IF(AU753&lt;=0,"Aussenlager","teilweise")))))</f>
        <v>Aussenlager</v>
      </c>
      <c r="BF753" s="55" t="str">
        <f aca="false">IF(AX753&lt;=0,"",IF(BY753="Aussen","Aussenlager",IF(BY753="-","Nicht im Lift",IF(BC753&gt;=1,"Lift",IF(BC753&lt;=0,"Aussenlager","teilweise")))))</f>
        <v>Aussenlager</v>
      </c>
      <c r="BG753" s="55" t="str">
        <f aca="false">IF(A753="","",IF(BP753=1,"Neu; ","")&amp;IF(AND(BP753=0,BK753&lt;0),"negativer Bestand (Export "&amp;BK753&amp;"); ","")&amp;IF(J753&lt;=0,"Kein Verbrauch; ","")&amp;IF(CH753&gt;0,"Lift "&amp;W753&amp;" lt. Liftbericht (Fach "&amp;X753&amp;" Stk); ",IF(BU753=1,"Gebinde geschätzt ("&amp;T753&amp;"); ",IF(BT753=1,"Lose – Tablare geschätzt; ","")))&amp;IF(H753&gt;AR753,"Überbestand "&amp;ROUND(H753-AR753,0)&amp;" Stk / CHF "&amp;ROUND((H753-AR753)*G753,0)&amp;"; ","")&amp;IF(AND(CA753=1,CB753&lt;CC753),"MAX &lt; MB+LG; ","")&amp;IF(AND(CG753&gt;0,CF753*10&gt;CG753),"zu hoch für Tablar; ","")&amp;IF(AND(BP753=0,OR(CA753=1,AA753&lt;&gt;"",U753&lt;&gt;"",V753&lt;&gt;"",AB753&lt;&gt;"")),"manuell übersteuert; ","")&amp;IF(AND(BT753=0,R753=0),"Gebinde unbekannt / Stellmass fehlt; ","")&amp;IF(AND(BT753=0,N(V753)&lt;=0,N(Q753)&lt;=0),"Menge pro Gebinde fehlt (Ist = 1 Gebinde); ","")&amp;BO753)</f>
        <v>negativer Bestand (Export -1); Kein Verbrauch; Überbestand</v>
      </c>
      <c r="BH753" s="55"/>
      <c r="BI753" s="55"/>
      <c r="BJ753" s="62"/>
      <c r="BK753" s="57" t="n">
        <v>-1</v>
      </c>
      <c r="BL753" s="57" t="n">
        <v>21</v>
      </c>
      <c r="BM753" s="56" t="n">
        <v>-0.2</v>
      </c>
      <c r="BN753" s="57" t="n">
        <v>0</v>
      </c>
      <c r="BO753" s="55" t="s">
        <v>392</v>
      </c>
      <c r="BP753" s="60" t="n">
        <v>0</v>
      </c>
      <c r="BQ753" s="60" t="n">
        <v>753</v>
      </c>
      <c r="BR753" s="55" t="str">
        <f aca="false">IF(U753&lt;&gt;"",UPPER(TRIM(U753)),IF(BU753=1,UPPER(VLOOKUP(T753,Parameter!$I$27:$K$29,2,0)),IF(P753="","LOSE",P753)))</f>
        <v>S21</v>
      </c>
      <c r="BS753" s="57" t="n">
        <f aca="false">IF(BR753="LOSE",1,IF(N(V753)&gt;0,V753,IF(BU753=1,MAX(1,N(VLOOKUP(T753,Parameter!$I$27:$K$29,3,0)),H753,N(N753)),IF(N(Q753)&gt;0,Q753,MAX(1,H753)))))</f>
        <v>39</v>
      </c>
      <c r="BT753" s="60" t="n">
        <f aca="false">IF(BR753="LOSE",1,0)</f>
        <v>0</v>
      </c>
      <c r="BU753" s="60" t="n">
        <f aca="false">IF(AND(U753="",OR(P753="",P753="LOSE"),T753&lt;&gt;"",N(S753)&lt;=0,ISNUMBER(MATCH(T753,Parameter!$I$27:$I$29,0))),1,0)</f>
        <v>0</v>
      </c>
      <c r="BV753" s="55" t="str">
        <f aca="false">IF(AND(Parameter!$B$19="Ja",E753&lt;&gt;"",ISNUMBER(MATCH(E753,Parameter!$I$35:$I$52,0))),VLOOKUP(E753,Parameter!$I$35:$J$52,2,0),IFERROR(VLOOKUP(D753,Parameter!$A$35:$C$64,2,0),"Nein"))</f>
        <v>2+3</v>
      </c>
      <c r="BW753" s="59" t="n">
        <f aca="false">IF(BT753=0,0,IF(N(S753)&gt;0,S753,IFERROR(VLOOKUP(D753,Parameter!$A$35:$C$64,3,0)+0,0)))</f>
        <v>0</v>
      </c>
      <c r="BX753" s="55" t="n">
        <f aca="false">IF(AA753&lt;&gt;"",AA753,Z753)</f>
        <v>3</v>
      </c>
      <c r="BY753" s="55" t="str">
        <f aca="false">IF(BX753=1,"L1",IF(OR(BX753=2,BX753=3),"L23",IF(BX753="Aussen","Aussen","-")))</f>
        <v>L23</v>
      </c>
      <c r="BZ753" s="66" t="n">
        <f aca="false">IF(N(AB753)&gt;0,AB753,0)</f>
        <v>0</v>
      </c>
      <c r="CA753" s="60" t="n">
        <f aca="false">IF(ISNUMBER(AE753),1,0)</f>
        <v>0</v>
      </c>
      <c r="CB753" s="57" t="n">
        <f aca="false">N(AE753)</f>
        <v>0</v>
      </c>
      <c r="CC753" s="57" t="n">
        <f aca="false">N(M753)+N(N753)</f>
        <v>1</v>
      </c>
      <c r="CD753" s="57" t="n">
        <f aca="false">ROUNDUP(H753/BS753,0)</f>
        <v>1</v>
      </c>
      <c r="CE753" s="57" t="n">
        <f aca="false">ROUNDUP(CB753/BS753,0)</f>
        <v>0</v>
      </c>
      <c r="CF753" s="60" t="n">
        <f aca="false">IF(BT753=1,0,IFERROR(VLOOKUP(BR753,'Gebinde-Kategorie'!$A$5:$M$45,5,0)+0,0))</f>
        <v>8</v>
      </c>
      <c r="CG753" s="60" t="n">
        <f aca="false">IFERROR(IF(OR(BX753=1,BX753=2,BX753=3),N(INDEX(Parameter!$I$5:$I$7,BX753)),0),0)</f>
        <v>0</v>
      </c>
      <c r="CH753" s="59" t="n">
        <f aca="false">IF(AND(Parameter!$B$21="Ja",ISNUMBER(W753),N(X753)&gt;0),IFERROR(N(INDEX(Parameter!$L$5:$L$7,W753))*INDEX(Parameter!$E$5:$E$7,W753)*X753/SUMIFS($X$7:$X$1843,$W$7:$W$1843,W753),0),0)</f>
        <v>0</v>
      </c>
    </row>
    <row r="754" customFormat="false" ht="15" hidden="false" customHeight="false" outlineLevel="0" collapsed="false">
      <c r="A754" s="55" t="s">
        <v>1492</v>
      </c>
      <c r="B754" s="55" t="s">
        <v>1266</v>
      </c>
      <c r="C754" s="55" t="s">
        <v>164</v>
      </c>
      <c r="D754" s="55" t="s">
        <v>184</v>
      </c>
      <c r="E754" s="55"/>
      <c r="F754" s="55" t="s">
        <v>218</v>
      </c>
      <c r="G754" s="56" t="n">
        <v>0.04</v>
      </c>
      <c r="H754" s="57" t="n">
        <f aca="false">MAX(0,IF(AND(Parameter!$B$21="Ja",ISNUMBER(Y754)),Y754,IF(Parameter!$B$20="Jahresanfang 2025 + Export",BL754+BK754,BK754)))</f>
        <v>349</v>
      </c>
      <c r="I754" s="57" t="n">
        <f aca="false">H754*G754</f>
        <v>13.96</v>
      </c>
      <c r="J754" s="57" t="n">
        <f aca="false">BN754*Parameter!$B$18</f>
        <v>0</v>
      </c>
      <c r="K754" s="58" t="n">
        <v>352</v>
      </c>
      <c r="L754" s="59" t="n">
        <v>0</v>
      </c>
      <c r="M754" s="57" t="n">
        <v>0</v>
      </c>
      <c r="N754" s="57" t="n">
        <v>1</v>
      </c>
      <c r="O754" s="60" t="n">
        <v>21</v>
      </c>
      <c r="P754" s="55" t="s">
        <v>168</v>
      </c>
      <c r="Q754" s="57"/>
      <c r="R754" s="60" t="n">
        <f aca="false">IF(BT754=1,0,IFERROR(VLOOKUP(BR754,'Gebinde-Kategorie'!$A$5:$M$45,13,0)+0,0))</f>
        <v>26</v>
      </c>
      <c r="S754" s="61"/>
      <c r="T754" s="62" t="s">
        <v>275</v>
      </c>
      <c r="U754" s="62"/>
      <c r="V754" s="62"/>
      <c r="W754" s="55"/>
      <c r="X754" s="57"/>
      <c r="Y754" s="57"/>
      <c r="Z754" s="55" t="n">
        <f aca="false">IF(A754="","",IF(AND(Parameter!$B$21="Ja",ISNUMBER(W754)),W754,IF(BV754="2+3",IF(ISNUMBER(SEARCH("grosser Artikel",BO754)),2,IFERROR(VLOOKUP(BR754,Parameter!$F$35:$G$64,2,0),2)),IF(OR(BV754="Nein",BV754=""),"-",BV754))))</f>
        <v>3</v>
      </c>
      <c r="AA754" s="62"/>
      <c r="AB754" s="63"/>
      <c r="AC754" s="57" t="n">
        <f aca="false">AR754</f>
        <v>349</v>
      </c>
      <c r="AD754" s="57" t="n">
        <f aca="false">MAX(AR754,H754)</f>
        <v>349</v>
      </c>
      <c r="AE754" s="64"/>
      <c r="AF754" s="57" t="n">
        <f aca="false">IF(LEFT(Cockpit!$C$5,1)="A",H754,IF(CA754=1,CB754,IF(LEFT(Cockpit!$C$5,1)="B",AJ754,MAX(AJ754,H754))))</f>
        <v>349</v>
      </c>
      <c r="AG754" s="57" t="n">
        <f aca="false">IF(BT754=1,0,ROUNDUP(AF754/BS754,0))</f>
        <v>1</v>
      </c>
      <c r="AH754" s="59" t="n">
        <f aca="false">IF(CH754&gt;0,CH754*MAX(1,AF754/X754),IF(BT754=1,IF(AF754&lt;=0,0,BW754*MAX(1,IF(H754&gt;0,AF754/H754,1))),IF(R754&gt;0,AG754/R754,0))/MAX(0.1,N(Parameter!$M$21)))</f>
        <v>0.0384615384615385</v>
      </c>
      <c r="AI754" s="57" t="n">
        <f aca="false">AF754*G754</f>
        <v>13.96</v>
      </c>
      <c r="AJ754" s="57" t="n">
        <f aca="false">ROUNDUP(MAX(J754/IF(BZ754&gt;0,BZ754,MAX(0.1,N(Cockpit!$C$6))),CC754)/BS754,0)*BS754</f>
        <v>349</v>
      </c>
      <c r="AK754" s="58" t="n">
        <f aca="false">IF(AH754&gt;0,J754/AH754,-1)</f>
        <v>0</v>
      </c>
      <c r="AL754" s="58" t="n">
        <f aca="false">IF(AND(OR(BY754="L1",BY754="L23"),AH754&gt;0),SUMIFS($AH$7:$AH$1843,$BY$7:$BY$1843,BY754,$AK$7:$AK$1843,"&gt;"&amp;AK754)+SUMIFS($AH$7:$AH$1843,$BY$7:$BY$1843,BY754,$AK$7:$AK$1843,AK754,$BQ$7:$BQ$1843,"&lt;="&amp;BQ754),"")</f>
        <v>77.2305918718962</v>
      </c>
      <c r="AM754" s="65" t="n">
        <f aca="false">IF(AL754="",0,MAX(0,MIN(1,(IF(BY754="L1",Parameter!$E$5,Parameter!$E$6+Parameter!$E$7)-(AL754-AH754))/AH754)))</f>
        <v>1</v>
      </c>
      <c r="AN754" s="57" t="n">
        <f aca="false">IF(LEFT(Cockpit!$I$5,1)="A",H754,IF(CA754=1,CB754,IF(LEFT(Cockpit!$I$5,1)="B",AR754,MAX(AR754,H754))))</f>
        <v>349</v>
      </c>
      <c r="AO754" s="57" t="n">
        <f aca="false">IF(BT754=1,0,ROUNDUP(AN754/BS754,0))</f>
        <v>1</v>
      </c>
      <c r="AP754" s="59" t="n">
        <f aca="false">IF(CH754&gt;0,CH754*MAX(1,AN754/X754),IF(BT754=1,IF(AN754&lt;=0,0,BW754*MAX(1,IF(H754&gt;0,AN754/H754,1))),IF(R754&gt;0,AO754/R754,0))/MAX(0.1,N(Parameter!$M$21)))</f>
        <v>0.0384615384615385</v>
      </c>
      <c r="AQ754" s="57" t="n">
        <f aca="false">AN754*G754</f>
        <v>13.96</v>
      </c>
      <c r="AR754" s="57" t="n">
        <f aca="false">ROUNDUP(MAX(J754/IF(BZ754&gt;0,BZ754,MAX(0.1,N(Cockpit!$I$6))),CC754)/BS754,0)*BS754</f>
        <v>349</v>
      </c>
      <c r="AS754" s="58" t="n">
        <f aca="false">IF(AP754&gt;0,J754/AP754,-1)</f>
        <v>0</v>
      </c>
      <c r="AT754" s="58" t="n">
        <f aca="false">IF(AND(OR(BY754="L1",BY754="L23"),AP754&gt;0),SUMIFS($AP$7:$AP$1843,$BY$7:$BY$1843,BY754,$AS$7:$AS$1843,"&gt;"&amp;AS754)+SUMIFS($AP$7:$AP$1843,$BY$7:$BY$1843,BY754,$AS$7:$AS$1843,AS754,$BQ$7:$BQ$1843,"&lt;="&amp;BQ754),"")</f>
        <v>118.060977669673</v>
      </c>
      <c r="AU754" s="65" t="n">
        <f aca="false">IF(AT754="",0,MAX(0,MIN(1,(IF(BY754="L1",Parameter!$E$5,Parameter!$E$6+Parameter!$E$7)-(AT754-AP754))/AP754)))</f>
        <v>0</v>
      </c>
      <c r="AV754" s="57" t="n">
        <f aca="false">IF(LEFT(Cockpit!$O$5,1)="A",H754,IF(CA754=1,CB754,IF(LEFT(Cockpit!$O$5,1)="B",AZ754,MAX(AZ754,H754))))</f>
        <v>349</v>
      </c>
      <c r="AW754" s="57" t="n">
        <f aca="false">IF(BT754=1,0,ROUNDUP(AV754/BS754,0))</f>
        <v>1</v>
      </c>
      <c r="AX754" s="59" t="n">
        <f aca="false">IF(CH754&gt;0,CH754*MAX(1,AV754/X754),IF(BT754=1,IF(AV754&lt;=0,0,BW754*MAX(1,IF(H754&gt;0,AV754/H754,1))),IF(R754&gt;0,AW754/R754,0))/MAX(0.1,N(Parameter!$M$21)))</f>
        <v>0.0384615384615385</v>
      </c>
      <c r="AY754" s="57" t="n">
        <f aca="false">AV754*G754</f>
        <v>13.96</v>
      </c>
      <c r="AZ754" s="57" t="n">
        <f aca="false">ROUNDUP(MAX(J754/IF(BZ754&gt;0,BZ754,MAX(0.1,N(Cockpit!$O$6))),CC754)/BS754,0)*BS754</f>
        <v>349</v>
      </c>
      <c r="BA754" s="58" t="n">
        <f aca="false">IF(AX754&gt;0,J754/AX754,-1)</f>
        <v>0</v>
      </c>
      <c r="BB754" s="58" t="n">
        <f aca="false">IF(AND(OR(BY754="L1",BY754="L23"),AX754&gt;0),SUMIFS($AX$7:$AX$1843,$BY$7:$BY$1843,BY754,$BA$7:$BA$1843,"&gt;"&amp;BA754)+SUMIFS($AX$7:$AX$1843,$BY$7:$BY$1843,BY754,$BA$7:$BA$1843,BA754,$BQ$7:$BQ$1843,"&lt;="&amp;BQ754),"")</f>
        <v>108.89081449951</v>
      </c>
      <c r="BC754" s="65" t="n">
        <f aca="false">IF(BB754="",0,MAX(0,MIN(1,(IF(BY754="L1",Parameter!$E$5,Parameter!$E$6+Parameter!$E$7)-(BB754-AX754))/AX754)))</f>
        <v>0</v>
      </c>
      <c r="BD754" s="55" t="str">
        <f aca="false">IF(AH754&lt;=0,"",IF(BY754="Aussen","Aussenlager",IF(BY754="-","Nicht im Lift",IF(AM754&gt;=1,"Lift",IF(AM754&lt;=0,"Aussenlager","teilweise")))))</f>
        <v>Lift</v>
      </c>
      <c r="BE754" s="55" t="str">
        <f aca="false">IF(AP754&lt;=0,"",IF(BY754="Aussen","Aussenlager",IF(BY754="-","Nicht im Lift",IF(AU754&gt;=1,"Lift",IF(AU754&lt;=0,"Aussenlager","teilweise")))))</f>
        <v>Aussenlager</v>
      </c>
      <c r="BF754" s="55" t="str">
        <f aca="false">IF(AX754&lt;=0,"",IF(BY754="Aussen","Aussenlager",IF(BY754="-","Nicht im Lift",IF(BC754&gt;=1,"Lift",IF(BC754&lt;=0,"Aussenlager","teilweise")))))</f>
        <v>Aussenlager</v>
      </c>
      <c r="BG754" s="55" t="str">
        <f aca="false">IF(A754="","",IF(BP754=1,"Neu; ","")&amp;IF(AND(BP754=0,BK754&lt;0),"negativer Bestand (Export "&amp;BK754&amp;"); ","")&amp;IF(J754&lt;=0,"Kein Verbrauch; ","")&amp;IF(CH754&gt;0,"Lift "&amp;W754&amp;" lt. Liftbericht (Fach "&amp;X754&amp;" Stk); ",IF(BU754=1,"Gebinde geschätzt ("&amp;T754&amp;"); ",IF(BT754=1,"Lose – Tablare geschätzt; ","")))&amp;IF(H754&gt;AR754,"Überbestand "&amp;ROUND(H754-AR754,0)&amp;" Stk / CHF "&amp;ROUND((H754-AR754)*G754,0)&amp;"; ","")&amp;IF(AND(CA754=1,CB754&lt;CC754),"MAX &lt; MB+LG; ","")&amp;IF(AND(CG754&gt;0,CF754*10&gt;CG754),"zu hoch für Tablar; ","")&amp;IF(AND(BP754=0,OR(CA754=1,AA754&lt;&gt;"",U754&lt;&gt;"",V754&lt;&gt;"",AB754&lt;&gt;"")),"manuell übersteuert; ","")&amp;IF(AND(BT754=0,R754=0),"Gebinde unbekannt / Stellmass fehlt; ","")&amp;IF(AND(BT754=0,N(V754)&lt;=0,N(Q754)&lt;=0),"Menge pro Gebinde fehlt (Ist = 1 Gebinde); ","")&amp;BO754)</f>
        <v>negativer Bestand (Export -6); Kein Verbrauch; Gebinde geschätzt (Klein); Menge pro Gebinde fehlt (Ist = 1 Gebinde); </v>
      </c>
      <c r="BH754" s="55"/>
      <c r="BI754" s="55"/>
      <c r="BJ754" s="62"/>
      <c r="BK754" s="57" t="n">
        <v>-6</v>
      </c>
      <c r="BL754" s="57" t="n">
        <v>355</v>
      </c>
      <c r="BM754" s="56" t="n">
        <v>-0.24</v>
      </c>
      <c r="BN754" s="57" t="n">
        <v>0</v>
      </c>
      <c r="BO754" s="55"/>
      <c r="BP754" s="60" t="n">
        <v>0</v>
      </c>
      <c r="BQ754" s="60" t="n">
        <v>754</v>
      </c>
      <c r="BR754" s="55" t="str">
        <f aca="false">IF(U754&lt;&gt;"",UPPER(TRIM(U754)),IF(BU754=1,UPPER(VLOOKUP(T754,Parameter!$I$27:$K$29,2,0)),IF(P754="","LOSE",P754)))</f>
        <v>S51</v>
      </c>
      <c r="BS754" s="57" t="n">
        <f aca="false">IF(BR754="LOSE",1,IF(N(V754)&gt;0,V754,IF(BU754=1,MAX(1,N(VLOOKUP(T754,Parameter!$I$27:$K$29,3,0)),H754,N(N754)),IF(N(Q754)&gt;0,Q754,MAX(1,H754)))))</f>
        <v>349</v>
      </c>
      <c r="BT754" s="60" t="n">
        <f aca="false">IF(BR754="LOSE",1,0)</f>
        <v>0</v>
      </c>
      <c r="BU754" s="60" t="n">
        <f aca="false">IF(AND(U754="",OR(P754="",P754="LOSE"),T754&lt;&gt;"",N(S754)&lt;=0,ISNUMBER(MATCH(T754,Parameter!$I$27:$I$29,0))),1,0)</f>
        <v>1</v>
      </c>
      <c r="BV754" s="55" t="str">
        <f aca="false">IF(AND(Parameter!$B$19="Ja",E754&lt;&gt;"",ISNUMBER(MATCH(E754,Parameter!$I$35:$I$52,0))),VLOOKUP(E754,Parameter!$I$35:$J$52,2,0),IFERROR(VLOOKUP(D754,Parameter!$A$35:$C$64,2,0),"Nein"))</f>
        <v>2+3</v>
      </c>
      <c r="BW754" s="59" t="n">
        <f aca="false">IF(BT754=0,0,IF(N(S754)&gt;0,S754,IFERROR(VLOOKUP(D754,Parameter!$A$35:$C$64,3,0)+0,0)))</f>
        <v>0</v>
      </c>
      <c r="BX754" s="55" t="n">
        <f aca="false">IF(AA754&lt;&gt;"",AA754,Z754)</f>
        <v>3</v>
      </c>
      <c r="BY754" s="55" t="str">
        <f aca="false">IF(BX754=1,"L1",IF(OR(BX754=2,BX754=3),"L23",IF(BX754="Aussen","Aussen","-")))</f>
        <v>L23</v>
      </c>
      <c r="BZ754" s="66" t="n">
        <f aca="false">IF(N(AB754)&gt;0,AB754,0)</f>
        <v>0</v>
      </c>
      <c r="CA754" s="60" t="n">
        <f aca="false">IF(ISNUMBER(AE754),1,0)</f>
        <v>0</v>
      </c>
      <c r="CB754" s="57" t="n">
        <f aca="false">N(AE754)</f>
        <v>0</v>
      </c>
      <c r="CC754" s="57" t="n">
        <f aca="false">N(M754)+N(N754)</f>
        <v>1</v>
      </c>
      <c r="CD754" s="57" t="n">
        <f aca="false">ROUNDUP(H754/BS754,0)</f>
        <v>1</v>
      </c>
      <c r="CE754" s="57" t="n">
        <f aca="false">ROUNDUP(CB754/BS754,0)</f>
        <v>0</v>
      </c>
      <c r="CF754" s="60" t="n">
        <f aca="false">IF(BT754=1,0,IFERROR(VLOOKUP(BR754,'Gebinde-Kategorie'!$A$5:$M$45,5,0)+0,0))</f>
        <v>11</v>
      </c>
      <c r="CG754" s="60" t="n">
        <f aca="false">IFERROR(IF(OR(BX754=1,BX754=2,BX754=3),N(INDEX(Parameter!$I$5:$I$7,BX754)),0),0)</f>
        <v>0</v>
      </c>
      <c r="CH754" s="59" t="n">
        <f aca="false">IF(AND(Parameter!$B$21="Ja",ISNUMBER(W754),N(X754)&gt;0),IFERROR(N(INDEX(Parameter!$L$5:$L$7,W754))*INDEX(Parameter!$E$5:$E$7,W754)*X754/SUMIFS($X$7:$X$1843,$W$7:$W$1843,W754),0),0)</f>
        <v>0</v>
      </c>
    </row>
    <row r="755" customFormat="false" ht="15" hidden="false" customHeight="false" outlineLevel="0" collapsed="false">
      <c r="A755" s="55" t="s">
        <v>1493</v>
      </c>
      <c r="B755" s="55" t="s">
        <v>403</v>
      </c>
      <c r="C755" s="55" t="s">
        <v>456</v>
      </c>
      <c r="D755" s="55" t="s">
        <v>184</v>
      </c>
      <c r="E755" s="55"/>
      <c r="F755" s="55" t="s">
        <v>218</v>
      </c>
      <c r="G755" s="56" t="n">
        <v>0.06</v>
      </c>
      <c r="H755" s="57" t="n">
        <f aca="false">MAX(0,IF(AND(Parameter!$B$21="Ja",ISNUMBER(Y755)),Y755,IF(Parameter!$B$20="Jahresanfang 2025 + Export",BL755+BK755,BK755)))</f>
        <v>5</v>
      </c>
      <c r="I755" s="57" t="n">
        <f aca="false">H755*G755</f>
        <v>0.3</v>
      </c>
      <c r="J755" s="57" t="n">
        <f aca="false">BN755*Parameter!$B$18</f>
        <v>0</v>
      </c>
      <c r="K755" s="58" t="n">
        <v>7</v>
      </c>
      <c r="L755" s="59" t="n">
        <v>0</v>
      </c>
      <c r="M755" s="57" t="n">
        <v>0</v>
      </c>
      <c r="N755" s="57" t="n">
        <v>1</v>
      </c>
      <c r="O755" s="60" t="n">
        <v>14</v>
      </c>
      <c r="P755" s="55" t="s">
        <v>168</v>
      </c>
      <c r="Q755" s="57"/>
      <c r="R755" s="60" t="n">
        <f aca="false">IF(BT755=1,0,IFERROR(VLOOKUP(BR755,'Gebinde-Kategorie'!$A$5:$M$45,13,0)+0,0))</f>
        <v>26</v>
      </c>
      <c r="S755" s="61"/>
      <c r="T755" s="62" t="s">
        <v>275</v>
      </c>
      <c r="U755" s="62"/>
      <c r="V755" s="62"/>
      <c r="W755" s="55"/>
      <c r="X755" s="57"/>
      <c r="Y755" s="57"/>
      <c r="Z755" s="55" t="n">
        <f aca="false">IF(A755="","",IF(AND(Parameter!$B$21="Ja",ISNUMBER(W755)),W755,IF(BV755="2+3",IF(ISNUMBER(SEARCH("grosser Artikel",BO755)),2,IFERROR(VLOOKUP(BR755,Parameter!$F$35:$G$64,2,0),2)),IF(OR(BV755="Nein",BV755=""),"-",BV755))))</f>
        <v>3</v>
      </c>
      <c r="AA755" s="62"/>
      <c r="AB755" s="63"/>
      <c r="AC755" s="57" t="n">
        <f aca="false">AR755</f>
        <v>20</v>
      </c>
      <c r="AD755" s="57" t="n">
        <f aca="false">MAX(AR755,H755)</f>
        <v>20</v>
      </c>
      <c r="AE755" s="64"/>
      <c r="AF755" s="57" t="n">
        <f aca="false">IF(LEFT(Cockpit!$C$5,1)="A",H755,IF(CA755=1,CB755,IF(LEFT(Cockpit!$C$5,1)="B",AJ755,MAX(AJ755,H755))))</f>
        <v>5</v>
      </c>
      <c r="AG755" s="57" t="n">
        <f aca="false">IF(BT755=1,0,ROUNDUP(AF755/BS755,0))</f>
        <v>1</v>
      </c>
      <c r="AH755" s="59" t="n">
        <f aca="false">IF(CH755&gt;0,CH755*MAX(1,AF755/X755),IF(BT755=1,IF(AF755&lt;=0,0,BW755*MAX(1,IF(H755&gt;0,AF755/H755,1))),IF(R755&gt;0,AG755/R755,0))/MAX(0.1,N(Parameter!$M$21)))</f>
        <v>0.0384615384615385</v>
      </c>
      <c r="AI755" s="57" t="n">
        <f aca="false">AF755*G755</f>
        <v>0.3</v>
      </c>
      <c r="AJ755" s="57" t="n">
        <f aca="false">ROUNDUP(MAX(J755/IF(BZ755&gt;0,BZ755,MAX(0.1,N(Cockpit!$C$6))),CC755)/BS755,0)*BS755</f>
        <v>20</v>
      </c>
      <c r="AK755" s="58" t="n">
        <f aca="false">IF(AH755&gt;0,J755/AH755,-1)</f>
        <v>0</v>
      </c>
      <c r="AL755" s="58" t="n">
        <f aca="false">IF(AND(OR(BY755="L1",BY755="L23"),AH755&gt;0),SUMIFS($AH$7:$AH$1843,$BY$7:$BY$1843,BY755,$AK$7:$AK$1843,"&gt;"&amp;AK755)+SUMIFS($AH$7:$AH$1843,$BY$7:$BY$1843,BY755,$AK$7:$AK$1843,AK755,$BQ$7:$BQ$1843,"&lt;="&amp;BQ755),"")</f>
        <v>77.2690534103578</v>
      </c>
      <c r="AM755" s="65" t="n">
        <f aca="false">IF(AL755="",0,MAX(0,MIN(1,(IF(BY755="L1",Parameter!$E$5,Parameter!$E$6+Parameter!$E$7)-(AL755-AH755))/AH755)))</f>
        <v>1</v>
      </c>
      <c r="AN755" s="57" t="n">
        <f aca="false">IF(LEFT(Cockpit!$I$5,1)="A",H755,IF(CA755=1,CB755,IF(LEFT(Cockpit!$I$5,1)="B",AR755,MAX(AR755,H755))))</f>
        <v>20</v>
      </c>
      <c r="AO755" s="57" t="n">
        <f aca="false">IF(BT755=1,0,ROUNDUP(AN755/BS755,0))</f>
        <v>1</v>
      </c>
      <c r="AP755" s="59" t="n">
        <f aca="false">IF(CH755&gt;0,CH755*MAX(1,AN755/X755),IF(BT755=1,IF(AN755&lt;=0,0,BW755*MAX(1,IF(H755&gt;0,AN755/H755,1))),IF(R755&gt;0,AO755/R755,0))/MAX(0.1,N(Parameter!$M$21)))</f>
        <v>0.0384615384615385</v>
      </c>
      <c r="AQ755" s="57" t="n">
        <f aca="false">AN755*G755</f>
        <v>1.2</v>
      </c>
      <c r="AR755" s="57" t="n">
        <f aca="false">ROUNDUP(MAX(J755/IF(BZ755&gt;0,BZ755,MAX(0.1,N(Cockpit!$I$6))),CC755)/BS755,0)*BS755</f>
        <v>20</v>
      </c>
      <c r="AS755" s="58" t="n">
        <f aca="false">IF(AP755&gt;0,J755/AP755,-1)</f>
        <v>0</v>
      </c>
      <c r="AT755" s="58" t="n">
        <f aca="false">IF(AND(OR(BY755="L1",BY755="L23"),AP755&gt;0),SUMIFS($AP$7:$AP$1843,$BY$7:$BY$1843,BY755,$AS$7:$AS$1843,"&gt;"&amp;AS755)+SUMIFS($AP$7:$AP$1843,$BY$7:$BY$1843,BY755,$AS$7:$AS$1843,AS755,$BQ$7:$BQ$1843,"&lt;="&amp;BQ755),"")</f>
        <v>118.099439208135</v>
      </c>
      <c r="AU755" s="65" t="n">
        <f aca="false">IF(AT755="",0,MAX(0,MIN(1,(IF(BY755="L1",Parameter!$E$5,Parameter!$E$6+Parameter!$E$7)-(AT755-AP755))/AP755)))</f>
        <v>0</v>
      </c>
      <c r="AV755" s="57" t="n">
        <f aca="false">IF(LEFT(Cockpit!$O$5,1)="A",H755,IF(CA755=1,CB755,IF(LEFT(Cockpit!$O$5,1)="B",AZ755,MAX(AZ755,H755))))</f>
        <v>20</v>
      </c>
      <c r="AW755" s="57" t="n">
        <f aca="false">IF(BT755=1,0,ROUNDUP(AV755/BS755,0))</f>
        <v>1</v>
      </c>
      <c r="AX755" s="59" t="n">
        <f aca="false">IF(CH755&gt;0,CH755*MAX(1,AV755/X755),IF(BT755=1,IF(AV755&lt;=0,0,BW755*MAX(1,IF(H755&gt;0,AV755/H755,1))),IF(R755&gt;0,AW755/R755,0))/MAX(0.1,N(Parameter!$M$21)))</f>
        <v>0.0384615384615385</v>
      </c>
      <c r="AY755" s="57" t="n">
        <f aca="false">AV755*G755</f>
        <v>1.2</v>
      </c>
      <c r="AZ755" s="57" t="n">
        <f aca="false">ROUNDUP(MAX(J755/IF(BZ755&gt;0,BZ755,MAX(0.1,N(Cockpit!$O$6))),CC755)/BS755,0)*BS755</f>
        <v>20</v>
      </c>
      <c r="BA755" s="58" t="n">
        <f aca="false">IF(AX755&gt;0,J755/AX755,-1)</f>
        <v>0</v>
      </c>
      <c r="BB755" s="58" t="n">
        <f aca="false">IF(AND(OR(BY755="L1",BY755="L23"),AX755&gt;0),SUMIFS($AX$7:$AX$1843,$BY$7:$BY$1843,BY755,$BA$7:$BA$1843,"&gt;"&amp;BA755)+SUMIFS($AX$7:$AX$1843,$BY$7:$BY$1843,BY755,$BA$7:$BA$1843,BA755,$BQ$7:$BQ$1843,"&lt;="&amp;BQ755),"")</f>
        <v>108.929276037972</v>
      </c>
      <c r="BC755" s="65" t="n">
        <f aca="false">IF(BB755="",0,MAX(0,MIN(1,(IF(BY755="L1",Parameter!$E$5,Parameter!$E$6+Parameter!$E$7)-(BB755-AX755))/AX755)))</f>
        <v>0</v>
      </c>
      <c r="BD755" s="55" t="str">
        <f aca="false">IF(AH755&lt;=0,"",IF(BY755="Aussen","Aussenlager",IF(BY755="-","Nicht im Lift",IF(AM755&gt;=1,"Lift",IF(AM755&lt;=0,"Aussenlager","teilweise")))))</f>
        <v>Lift</v>
      </c>
      <c r="BE755" s="55" t="str">
        <f aca="false">IF(AP755&lt;=0,"",IF(BY755="Aussen","Aussenlager",IF(BY755="-","Nicht im Lift",IF(AU755&gt;=1,"Lift",IF(AU755&lt;=0,"Aussenlager","teilweise")))))</f>
        <v>Aussenlager</v>
      </c>
      <c r="BF755" s="55" t="str">
        <f aca="false">IF(AX755&lt;=0,"",IF(BY755="Aussen","Aussenlager",IF(BY755="-","Nicht im Lift",IF(BC755&gt;=1,"Lift",IF(BC755&lt;=0,"Aussenlager","teilweise")))))</f>
        <v>Aussenlager</v>
      </c>
      <c r="BG755" s="55" t="str">
        <f aca="false">IF(A755="","",IF(BP755=1,"Neu; ","")&amp;IF(AND(BP755=0,BK755&lt;0),"negativer Bestand (Export "&amp;BK755&amp;"); ","")&amp;IF(J755&lt;=0,"Kein Verbrauch; ","")&amp;IF(CH755&gt;0,"Lift "&amp;W755&amp;" lt. Liftbericht (Fach "&amp;X755&amp;" Stk); ",IF(BU755=1,"Gebinde geschätzt ("&amp;T755&amp;"); ",IF(BT755=1,"Lose – Tablare geschätzt; ","")))&amp;IF(H755&gt;AR755,"Überbestand "&amp;ROUND(H755-AR755,0)&amp;" Stk / CHF "&amp;ROUND((H755-AR755)*G755,0)&amp;"; ","")&amp;IF(AND(CA755=1,CB755&lt;CC755),"MAX &lt; MB+LG; ","")&amp;IF(AND(CG755&gt;0,CF755*10&gt;CG755),"zu hoch für Tablar; ","")&amp;IF(AND(BP755=0,OR(CA755=1,AA755&lt;&gt;"",U755&lt;&gt;"",V755&lt;&gt;"",AB755&lt;&gt;"")),"manuell übersteuert; ","")&amp;IF(AND(BT755=0,R755=0),"Gebinde unbekannt / Stellmass fehlt; ","")&amp;IF(AND(BT755=0,N(V755)&lt;=0,N(Q755)&lt;=0),"Menge pro Gebinde fehlt (Ist = 1 Gebinde); ","")&amp;BO755)</f>
        <v>negativer Bestand (Export -4); Kein Verbrauch; Gebinde geschätzt (Klein); Menge pro Gebinde fehlt (Ist = 1 Gebinde); </v>
      </c>
      <c r="BH755" s="55"/>
      <c r="BI755" s="55"/>
      <c r="BJ755" s="62"/>
      <c r="BK755" s="57" t="n">
        <v>-4</v>
      </c>
      <c r="BL755" s="57" t="n">
        <v>9</v>
      </c>
      <c r="BM755" s="56" t="n">
        <v>-0.24</v>
      </c>
      <c r="BN755" s="57" t="n">
        <v>0</v>
      </c>
      <c r="BO755" s="55"/>
      <c r="BP755" s="60" t="n">
        <v>0</v>
      </c>
      <c r="BQ755" s="60" t="n">
        <v>755</v>
      </c>
      <c r="BR755" s="55" t="str">
        <f aca="false">IF(U755&lt;&gt;"",UPPER(TRIM(U755)),IF(BU755=1,UPPER(VLOOKUP(T755,Parameter!$I$27:$K$29,2,0)),IF(P755="","LOSE",P755)))</f>
        <v>S51</v>
      </c>
      <c r="BS755" s="57" t="n">
        <f aca="false">IF(BR755="LOSE",1,IF(N(V755)&gt;0,V755,IF(BU755=1,MAX(1,N(VLOOKUP(T755,Parameter!$I$27:$K$29,3,0)),H755,N(N755)),IF(N(Q755)&gt;0,Q755,MAX(1,H755)))))</f>
        <v>20</v>
      </c>
      <c r="BT755" s="60" t="n">
        <f aca="false">IF(BR755="LOSE",1,0)</f>
        <v>0</v>
      </c>
      <c r="BU755" s="60" t="n">
        <f aca="false">IF(AND(U755="",OR(P755="",P755="LOSE"),T755&lt;&gt;"",N(S755)&lt;=0,ISNUMBER(MATCH(T755,Parameter!$I$27:$I$29,0))),1,0)</f>
        <v>1</v>
      </c>
      <c r="BV755" s="55" t="str">
        <f aca="false">IF(AND(Parameter!$B$19="Ja",E755&lt;&gt;"",ISNUMBER(MATCH(E755,Parameter!$I$35:$I$52,0))),VLOOKUP(E755,Parameter!$I$35:$J$52,2,0),IFERROR(VLOOKUP(D755,Parameter!$A$35:$C$64,2,0),"Nein"))</f>
        <v>2+3</v>
      </c>
      <c r="BW755" s="59" t="n">
        <f aca="false">IF(BT755=0,0,IF(N(S755)&gt;0,S755,IFERROR(VLOOKUP(D755,Parameter!$A$35:$C$64,3,0)+0,0)))</f>
        <v>0</v>
      </c>
      <c r="BX755" s="55" t="n">
        <f aca="false">IF(AA755&lt;&gt;"",AA755,Z755)</f>
        <v>3</v>
      </c>
      <c r="BY755" s="55" t="str">
        <f aca="false">IF(BX755=1,"L1",IF(OR(BX755=2,BX755=3),"L23",IF(BX755="Aussen","Aussen","-")))</f>
        <v>L23</v>
      </c>
      <c r="BZ755" s="66" t="n">
        <f aca="false">IF(N(AB755)&gt;0,AB755,0)</f>
        <v>0</v>
      </c>
      <c r="CA755" s="60" t="n">
        <f aca="false">IF(ISNUMBER(AE755),1,0)</f>
        <v>0</v>
      </c>
      <c r="CB755" s="57" t="n">
        <f aca="false">N(AE755)</f>
        <v>0</v>
      </c>
      <c r="CC755" s="57" t="n">
        <f aca="false">N(M755)+N(N755)</f>
        <v>1</v>
      </c>
      <c r="CD755" s="57" t="n">
        <f aca="false">ROUNDUP(H755/BS755,0)</f>
        <v>1</v>
      </c>
      <c r="CE755" s="57" t="n">
        <f aca="false">ROUNDUP(CB755/BS755,0)</f>
        <v>0</v>
      </c>
      <c r="CF755" s="60" t="n">
        <f aca="false">IF(BT755=1,0,IFERROR(VLOOKUP(BR755,'Gebinde-Kategorie'!$A$5:$M$45,5,0)+0,0))</f>
        <v>11</v>
      </c>
      <c r="CG755" s="60" t="n">
        <f aca="false">IFERROR(IF(OR(BX755=1,BX755=2,BX755=3),N(INDEX(Parameter!$I$5:$I$7,BX755)),0),0)</f>
        <v>0</v>
      </c>
      <c r="CH755" s="59" t="n">
        <f aca="false">IF(AND(Parameter!$B$21="Ja",ISNUMBER(W755),N(X755)&gt;0),IFERROR(N(INDEX(Parameter!$L$5:$L$7,W755))*INDEX(Parameter!$E$5:$E$7,W755)*X755/SUMIFS($X$7:$X$1843,$W$7:$W$1843,W755),0),0)</f>
        <v>0</v>
      </c>
    </row>
    <row r="756" customFormat="false" ht="15" hidden="false" customHeight="false" outlineLevel="0" collapsed="false">
      <c r="A756" s="55" t="s">
        <v>1494</v>
      </c>
      <c r="B756" s="55" t="s">
        <v>1495</v>
      </c>
      <c r="C756" s="55" t="s">
        <v>164</v>
      </c>
      <c r="D756" s="55" t="s">
        <v>184</v>
      </c>
      <c r="E756" s="55" t="s">
        <v>185</v>
      </c>
      <c r="F756" s="55" t="s">
        <v>218</v>
      </c>
      <c r="G756" s="56" t="n">
        <v>0.06</v>
      </c>
      <c r="H756" s="57" t="n">
        <f aca="false">MAX(0,IF(AND(Parameter!$B$21="Ja",ISNUMBER(Y756)),Y756,IF(Parameter!$B$20="Jahresanfang 2025 + Export",BL756+BK756,BK756)))</f>
        <v>81</v>
      </c>
      <c r="I756" s="57" t="n">
        <f aca="false">H756*G756</f>
        <v>4.86</v>
      </c>
      <c r="J756" s="57" t="n">
        <f aca="false">BN756*Parameter!$B$18</f>
        <v>393</v>
      </c>
      <c r="K756" s="58" t="n">
        <v>178</v>
      </c>
      <c r="L756" s="59" t="n">
        <v>2.20786516853933</v>
      </c>
      <c r="M756" s="57" t="n">
        <v>22</v>
      </c>
      <c r="N756" s="57" t="n">
        <v>500</v>
      </c>
      <c r="O756" s="60" t="n">
        <v>21</v>
      </c>
      <c r="P756" s="55" t="s">
        <v>328</v>
      </c>
      <c r="Q756" s="57" t="n">
        <v>675</v>
      </c>
      <c r="R756" s="60" t="n">
        <f aca="false">IF(BT756=1,0,IFERROR(VLOOKUP(BR756,'Gebinde-Kategorie'!$A$5:$M$45,13,0)+0,0))</f>
        <v>52</v>
      </c>
      <c r="S756" s="61"/>
      <c r="T756" s="62"/>
      <c r="U756" s="62"/>
      <c r="V756" s="62"/>
      <c r="W756" s="55"/>
      <c r="X756" s="57"/>
      <c r="Y756" s="57"/>
      <c r="Z756" s="55" t="n">
        <f aca="false">IF(A756="","",IF(AND(Parameter!$B$21="Ja",ISNUMBER(W756)),W756,IF(BV756="2+3",IF(ISNUMBER(SEARCH("grosser Artikel",BO756)),2,IFERROR(VLOOKUP(BR756,Parameter!$F$35:$G$64,2,0),2)),IF(OR(BV756="Nein",BV756=""),"-",BV756))))</f>
        <v>3</v>
      </c>
      <c r="AA756" s="62"/>
      <c r="AB756" s="63"/>
      <c r="AC756" s="57" t="n">
        <f aca="false">AR756</f>
        <v>675</v>
      </c>
      <c r="AD756" s="57" t="n">
        <f aca="false">MAX(AR756,H756)</f>
        <v>675</v>
      </c>
      <c r="AE756" s="64"/>
      <c r="AF756" s="57" t="n">
        <f aca="false">IF(LEFT(Cockpit!$C$5,1)="A",H756,IF(CA756=1,CB756,IF(LEFT(Cockpit!$C$5,1)="B",AJ756,MAX(AJ756,H756))))</f>
        <v>81</v>
      </c>
      <c r="AG756" s="57" t="n">
        <f aca="false">IF(BT756=1,0,ROUNDUP(AF756/BS756,0))</f>
        <v>1</v>
      </c>
      <c r="AH756" s="59" t="n">
        <f aca="false">IF(CH756&gt;0,CH756*MAX(1,AF756/X756),IF(BT756=1,IF(AF756&lt;=0,0,BW756*MAX(1,IF(H756&gt;0,AF756/H756,1))),IF(R756&gt;0,AG756/R756,0))/MAX(0.1,N(Parameter!$M$21)))</f>
        <v>0.0192307692307692</v>
      </c>
      <c r="AI756" s="57" t="n">
        <f aca="false">AF756*G756</f>
        <v>4.86</v>
      </c>
      <c r="AJ756" s="57" t="n">
        <f aca="false">ROUNDUP(MAX(J756/IF(BZ756&gt;0,BZ756,MAX(0.1,N(Cockpit!$C$6))),CC756)/BS756,0)*BS756</f>
        <v>675</v>
      </c>
      <c r="AK756" s="58" t="n">
        <f aca="false">IF(AH756&gt;0,J756/AH756,-1)</f>
        <v>20436</v>
      </c>
      <c r="AL756" s="58" t="n">
        <f aca="false">IF(AND(OR(BY756="L1",BY756="L23"),AH756&gt;0),SUMIFS($AH$7:$AH$1843,$BY$7:$BY$1843,BY756,$AK$7:$AK$1843,"&gt;"&amp;AK756)+SUMIFS($AH$7:$AH$1843,$BY$7:$BY$1843,BY756,$AK$7:$AK$1843,AK756,$BQ$7:$BQ$1843,"&lt;="&amp;BQ756),"")</f>
        <v>3.64073004290396</v>
      </c>
      <c r="AM756" s="65" t="n">
        <f aca="false">IF(AL756="",0,MAX(0,MIN(1,(IF(BY756="L1",Parameter!$E$5,Parameter!$E$6+Parameter!$E$7)-(AL756-AH756))/AH756)))</f>
        <v>1</v>
      </c>
      <c r="AN756" s="57" t="n">
        <f aca="false">IF(LEFT(Cockpit!$I$5,1)="A",H756,IF(CA756=1,CB756,IF(LEFT(Cockpit!$I$5,1)="B",AR756,MAX(AR756,H756))))</f>
        <v>675</v>
      </c>
      <c r="AO756" s="57" t="n">
        <f aca="false">IF(BT756=1,0,ROUNDUP(AN756/BS756,0))</f>
        <v>1</v>
      </c>
      <c r="AP756" s="59" t="n">
        <f aca="false">IF(CH756&gt;0,CH756*MAX(1,AN756/X756),IF(BT756=1,IF(AN756&lt;=0,0,BW756*MAX(1,IF(H756&gt;0,AN756/H756,1))),IF(R756&gt;0,AO756/R756,0))/MAX(0.1,N(Parameter!$M$21)))</f>
        <v>0.0192307692307692</v>
      </c>
      <c r="AQ756" s="57" t="n">
        <f aca="false">AN756*G756</f>
        <v>40.5</v>
      </c>
      <c r="AR756" s="57" t="n">
        <f aca="false">ROUNDUP(MAX(J756/IF(BZ756&gt;0,BZ756,MAX(0.1,N(Cockpit!$I$6))),CC756)/BS756,0)*BS756</f>
        <v>675</v>
      </c>
      <c r="AS756" s="58" t="n">
        <f aca="false">IF(AP756&gt;0,J756/AP756,-1)</f>
        <v>20436</v>
      </c>
      <c r="AT756" s="58" t="n">
        <f aca="false">IF(AND(OR(BY756="L1",BY756="L23"),AP756&gt;0),SUMIFS($AP$7:$AP$1843,$BY$7:$BY$1843,BY756,$AS$7:$AS$1843,"&gt;"&amp;AS756)+SUMIFS($AP$7:$AP$1843,$BY$7:$BY$1843,BY756,$AS$7:$AS$1843,AS756,$BQ$7:$BQ$1843,"&lt;="&amp;BQ756),"")</f>
        <v>4.20131921218878</v>
      </c>
      <c r="AU756" s="65" t="n">
        <f aca="false">IF(AT756="",0,MAX(0,MIN(1,(IF(BY756="L1",Parameter!$E$5,Parameter!$E$6+Parameter!$E$7)-(AT756-AP756))/AP756)))</f>
        <v>1</v>
      </c>
      <c r="AV756" s="57" t="n">
        <f aca="false">IF(LEFT(Cockpit!$O$5,1)="A",H756,IF(CA756=1,CB756,IF(LEFT(Cockpit!$O$5,1)="B",AZ756,MAX(AZ756,H756))))</f>
        <v>675</v>
      </c>
      <c r="AW756" s="57" t="n">
        <f aca="false">IF(BT756=1,0,ROUNDUP(AV756/BS756,0))</f>
        <v>1</v>
      </c>
      <c r="AX756" s="59" t="n">
        <f aca="false">IF(CH756&gt;0,CH756*MAX(1,AV756/X756),IF(BT756=1,IF(AV756&lt;=0,0,BW756*MAX(1,IF(H756&gt;0,AV756/H756,1))),IF(R756&gt;0,AW756/R756,0))/MAX(0.1,N(Parameter!$M$21)))</f>
        <v>0.0192307692307692</v>
      </c>
      <c r="AY756" s="57" t="n">
        <f aca="false">AV756*G756</f>
        <v>40.5</v>
      </c>
      <c r="AZ756" s="57" t="n">
        <f aca="false">ROUNDUP(MAX(J756/IF(BZ756&gt;0,BZ756,MAX(0.1,N(Cockpit!$O$6))),CC756)/BS756,0)*BS756</f>
        <v>675</v>
      </c>
      <c r="BA756" s="58" t="n">
        <f aca="false">IF(AX756&gt;0,J756/AX756,-1)</f>
        <v>20436</v>
      </c>
      <c r="BB756" s="58" t="n">
        <f aca="false">IF(AND(OR(BY756="L1",BY756="L23"),AX756&gt;0),SUMIFS($AX$7:$AX$1843,$BY$7:$BY$1843,BY756,$BA$7:$BA$1843,"&gt;"&amp;BA756)+SUMIFS($AX$7:$AX$1843,$BY$7:$BY$1843,BY756,$BA$7:$BA$1843,BA756,$BQ$7:$BQ$1843,"&lt;="&amp;BQ756),"")</f>
        <v>3.83884834971792</v>
      </c>
      <c r="BC756" s="65" t="n">
        <f aca="false">IF(BB756="",0,MAX(0,MIN(1,(IF(BY756="L1",Parameter!$E$5,Parameter!$E$6+Parameter!$E$7)-(BB756-AX756))/AX756)))</f>
        <v>1</v>
      </c>
      <c r="BD756" s="55" t="str">
        <f aca="false">IF(AH756&lt;=0,"",IF(BY756="Aussen","Aussenlager",IF(BY756="-","Nicht im Lift",IF(AM756&gt;=1,"Lift",IF(AM756&lt;=0,"Aussenlager","teilweise")))))</f>
        <v>Lift</v>
      </c>
      <c r="BE756" s="55" t="str">
        <f aca="false">IF(AP756&lt;=0,"",IF(BY756="Aussen","Aussenlager",IF(BY756="-","Nicht im Lift",IF(AU756&gt;=1,"Lift",IF(AU756&lt;=0,"Aussenlager","teilweise")))))</f>
        <v>Lift</v>
      </c>
      <c r="BF756" s="55" t="str">
        <f aca="false">IF(AX756&lt;=0,"",IF(BY756="Aussen","Aussenlager",IF(BY756="-","Nicht im Lift",IF(BC756&gt;=1,"Lift",IF(BC756&lt;=0,"Aussenlager","teilweise")))))</f>
        <v>Lift</v>
      </c>
      <c r="BG756" s="55" t="str">
        <f aca="false">IF(A756="","",IF(BP756=1,"Neu; ","")&amp;IF(AND(BP756=0,BK756&lt;0),"negativer Bestand (Export "&amp;BK756&amp;"); ","")&amp;IF(J756&lt;=0,"Kein Verbrauch; ","")&amp;IF(CH756&gt;0,"Lift "&amp;W756&amp;" lt. Liftbericht (Fach "&amp;X756&amp;" Stk); ",IF(BU756=1,"Gebinde geschätzt ("&amp;T756&amp;"); ",IF(BT756=1,"Lose – Tablare geschätzt; ","")))&amp;IF(H756&gt;AR756,"Überbestand "&amp;ROUND(H756-AR756,0)&amp;" Stk / CHF "&amp;ROUND((H756-AR756)*G756,0)&amp;"; ","")&amp;IF(AND(CA756=1,CB756&lt;CC756),"MAX &lt; MB+LG; ","")&amp;IF(AND(CG756&gt;0,CF756*10&gt;CG756),"zu hoch für Tablar; ","")&amp;IF(AND(BP756=0,OR(CA756=1,AA756&lt;&gt;"",U756&lt;&gt;"",V756&lt;&gt;"",AB756&lt;&gt;"")),"manuell übersteuert; ","")&amp;IF(AND(BT756=0,R756=0),"Gebinde unbekannt / Stellmass fehlt; ","")&amp;IF(AND(BT756=0,N(V756)&lt;=0,N(Q756)&lt;=0),"Menge pro Gebinde fehlt (Ist = 1 Gebinde); ","")&amp;BO756)</f>
        <v/>
      </c>
      <c r="BH756" s="55"/>
      <c r="BI756" s="55"/>
      <c r="BJ756" s="62"/>
      <c r="BK756" s="57" t="n">
        <v>7</v>
      </c>
      <c r="BL756" s="57" t="n">
        <v>74</v>
      </c>
      <c r="BM756" s="56" t="n">
        <v>-0.269999999999946</v>
      </c>
      <c r="BN756" s="57" t="n">
        <v>393</v>
      </c>
      <c r="BO756" s="55"/>
      <c r="BP756" s="60" t="n">
        <v>0</v>
      </c>
      <c r="BQ756" s="60" t="n">
        <v>756</v>
      </c>
      <c r="BR756" s="55" t="str">
        <f aca="false">IF(U756&lt;&gt;"",UPPER(TRIM(U756)),IF(BU756=1,UPPER(VLOOKUP(T756,Parameter!$I$27:$K$29,2,0)),IF(P756="","LOSE",P756)))</f>
        <v>S41</v>
      </c>
      <c r="BS756" s="57" t="n">
        <f aca="false">IF(BR756="LOSE",1,IF(N(V756)&gt;0,V756,IF(BU756=1,MAX(1,N(VLOOKUP(T756,Parameter!$I$27:$K$29,3,0)),H756,N(N756)),IF(N(Q756)&gt;0,Q756,MAX(1,H756)))))</f>
        <v>675</v>
      </c>
      <c r="BT756" s="60" t="n">
        <f aca="false">IF(BR756="LOSE",1,0)</f>
        <v>0</v>
      </c>
      <c r="BU756" s="60" t="n">
        <f aca="false">IF(AND(U756="",OR(P756="",P756="LOSE"),T756&lt;&gt;"",N(S756)&lt;=0,ISNUMBER(MATCH(T756,Parameter!$I$27:$I$29,0))),1,0)</f>
        <v>0</v>
      </c>
      <c r="BV756" s="55" t="str">
        <f aca="false">IF(AND(Parameter!$B$19="Ja",E756&lt;&gt;"",ISNUMBER(MATCH(E756,Parameter!$I$35:$I$52,0))),VLOOKUP(E756,Parameter!$I$35:$J$52,2,0),IFERROR(VLOOKUP(D756,Parameter!$A$35:$C$64,2,0),"Nein"))</f>
        <v>2+3</v>
      </c>
      <c r="BW756" s="59" t="n">
        <f aca="false">IF(BT756=0,0,IF(N(S756)&gt;0,S756,IFERROR(VLOOKUP(D756,Parameter!$A$35:$C$64,3,0)+0,0)))</f>
        <v>0</v>
      </c>
      <c r="BX756" s="55" t="n">
        <f aca="false">IF(AA756&lt;&gt;"",AA756,Z756)</f>
        <v>3</v>
      </c>
      <c r="BY756" s="55" t="str">
        <f aca="false">IF(BX756=1,"L1",IF(OR(BX756=2,BX756=3),"L23",IF(BX756="Aussen","Aussen","-")))</f>
        <v>L23</v>
      </c>
      <c r="BZ756" s="66" t="n">
        <f aca="false">IF(N(AB756)&gt;0,AB756,0)</f>
        <v>0</v>
      </c>
      <c r="CA756" s="60" t="n">
        <f aca="false">IF(ISNUMBER(AE756),1,0)</f>
        <v>0</v>
      </c>
      <c r="CB756" s="57" t="n">
        <f aca="false">N(AE756)</f>
        <v>0</v>
      </c>
      <c r="CC756" s="57" t="n">
        <f aca="false">N(M756)+N(N756)</f>
        <v>522</v>
      </c>
      <c r="CD756" s="57" t="n">
        <f aca="false">ROUNDUP(H756/BS756,0)</f>
        <v>1</v>
      </c>
      <c r="CE756" s="57" t="n">
        <f aca="false">ROUNDUP(CB756/BS756,0)</f>
        <v>0</v>
      </c>
      <c r="CF756" s="60" t="n">
        <f aca="false">IF(BT756=1,0,IFERROR(VLOOKUP(BR756,'Gebinde-Kategorie'!$A$5:$M$45,5,0)+0,0))</f>
        <v>11</v>
      </c>
      <c r="CG756" s="60" t="n">
        <f aca="false">IFERROR(IF(OR(BX756=1,BX756=2,BX756=3),N(INDEX(Parameter!$I$5:$I$7,BX756)),0),0)</f>
        <v>0</v>
      </c>
      <c r="CH756" s="59" t="n">
        <f aca="false">IF(AND(Parameter!$B$21="Ja",ISNUMBER(W756),N(X756)&gt;0),IFERROR(N(INDEX(Parameter!$L$5:$L$7,W756))*INDEX(Parameter!$E$5:$E$7,W756)*X756/SUMIFS($X$7:$X$1843,$W$7:$W$1843,W756),0),0)</f>
        <v>0</v>
      </c>
    </row>
    <row r="757" customFormat="false" ht="15" hidden="false" customHeight="false" outlineLevel="0" collapsed="false">
      <c r="A757" s="55" t="s">
        <v>1496</v>
      </c>
      <c r="B757" s="55" t="s">
        <v>405</v>
      </c>
      <c r="C757" s="55" t="s">
        <v>164</v>
      </c>
      <c r="D757" s="55" t="s">
        <v>184</v>
      </c>
      <c r="E757" s="55" t="s">
        <v>185</v>
      </c>
      <c r="F757" s="55" t="s">
        <v>218</v>
      </c>
      <c r="G757" s="56" t="n">
        <v>0.1</v>
      </c>
      <c r="H757" s="57" t="n">
        <f aca="false">MAX(0,IF(AND(Parameter!$B$21="Ja",ISNUMBER(Y757)),Y757,IF(Parameter!$B$20="Jahresanfang 2025 + Export",BL757+BK757,BK757)))</f>
        <v>365</v>
      </c>
      <c r="I757" s="57" t="n">
        <f aca="false">H757*G757</f>
        <v>36.5</v>
      </c>
      <c r="J757" s="57" t="n">
        <f aca="false">BN757*Parameter!$B$18</f>
        <v>1</v>
      </c>
      <c r="K757" s="58" t="n">
        <v>366.5</v>
      </c>
      <c r="L757" s="59" t="n">
        <v>0.00272851296043656</v>
      </c>
      <c r="M757" s="57" t="n">
        <v>0</v>
      </c>
      <c r="N757" s="57" t="n">
        <v>1</v>
      </c>
      <c r="O757" s="60" t="n">
        <v>21</v>
      </c>
      <c r="P757" s="55" t="s">
        <v>328</v>
      </c>
      <c r="Q757" s="57" t="n">
        <v>381</v>
      </c>
      <c r="R757" s="60" t="n">
        <f aca="false">IF(BT757=1,0,IFERROR(VLOOKUP(BR757,'Gebinde-Kategorie'!$A$5:$M$45,13,0)+0,0))</f>
        <v>52</v>
      </c>
      <c r="S757" s="61"/>
      <c r="T757" s="62"/>
      <c r="U757" s="62"/>
      <c r="V757" s="62"/>
      <c r="W757" s="55"/>
      <c r="X757" s="57"/>
      <c r="Y757" s="57"/>
      <c r="Z757" s="55" t="n">
        <f aca="false">IF(A757="","",IF(AND(Parameter!$B$21="Ja",ISNUMBER(W757)),W757,IF(BV757="2+3",IF(ISNUMBER(SEARCH("grosser Artikel",BO757)),2,IFERROR(VLOOKUP(BR757,Parameter!$F$35:$G$64,2,0),2)),IF(OR(BV757="Nein",BV757=""),"-",BV757))))</f>
        <v>3</v>
      </c>
      <c r="AA757" s="62"/>
      <c r="AB757" s="63"/>
      <c r="AC757" s="57" t="n">
        <f aca="false">AR757</f>
        <v>381</v>
      </c>
      <c r="AD757" s="57" t="n">
        <f aca="false">MAX(AR757,H757)</f>
        <v>381</v>
      </c>
      <c r="AE757" s="64"/>
      <c r="AF757" s="57" t="n">
        <f aca="false">IF(LEFT(Cockpit!$C$5,1)="A",H757,IF(CA757=1,CB757,IF(LEFT(Cockpit!$C$5,1)="B",AJ757,MAX(AJ757,H757))))</f>
        <v>365</v>
      </c>
      <c r="AG757" s="57" t="n">
        <f aca="false">IF(BT757=1,0,ROUNDUP(AF757/BS757,0))</f>
        <v>1</v>
      </c>
      <c r="AH757" s="59" t="n">
        <f aca="false">IF(CH757&gt;0,CH757*MAX(1,AF757/X757),IF(BT757=1,IF(AF757&lt;=0,0,BW757*MAX(1,IF(H757&gt;0,AF757/H757,1))),IF(R757&gt;0,AG757/R757,0))/MAX(0.1,N(Parameter!$M$21)))</f>
        <v>0.0192307692307692</v>
      </c>
      <c r="AI757" s="57" t="n">
        <f aca="false">AF757*G757</f>
        <v>36.5</v>
      </c>
      <c r="AJ757" s="57" t="n">
        <f aca="false">ROUNDUP(MAX(J757/IF(BZ757&gt;0,BZ757,MAX(0.1,N(Cockpit!$C$6))),CC757)/BS757,0)*BS757</f>
        <v>381</v>
      </c>
      <c r="AK757" s="58" t="n">
        <f aca="false">IF(AH757&gt;0,J757/AH757,-1)</f>
        <v>52</v>
      </c>
      <c r="AL757" s="58" t="n">
        <f aca="false">IF(AND(OR(BY757="L1",BY757="L23"),AH757&gt;0),SUMIFS($AH$7:$AH$1843,$BY$7:$BY$1843,BY757,$AK$7:$AK$1843,"&gt;"&amp;AK757)+SUMIFS($AH$7:$AH$1843,$BY$7:$BY$1843,BY757,$AK$7:$AK$1843,AK757,$BQ$7:$BQ$1843,"&lt;="&amp;BQ757),"")</f>
        <v>44.4145214688693</v>
      </c>
      <c r="AM757" s="65" t="n">
        <f aca="false">IF(AL757="",0,MAX(0,MIN(1,(IF(BY757="L1",Parameter!$E$5,Parameter!$E$6+Parameter!$E$7)-(AL757-AH757))/AH757)))</f>
        <v>1</v>
      </c>
      <c r="AN757" s="57" t="n">
        <f aca="false">IF(LEFT(Cockpit!$I$5,1)="A",H757,IF(CA757=1,CB757,IF(LEFT(Cockpit!$I$5,1)="B",AR757,MAX(AR757,H757))))</f>
        <v>381</v>
      </c>
      <c r="AO757" s="57" t="n">
        <f aca="false">IF(BT757=1,0,ROUNDUP(AN757/BS757,0))</f>
        <v>1</v>
      </c>
      <c r="AP757" s="59" t="n">
        <f aca="false">IF(CH757&gt;0,CH757*MAX(1,AN757/X757),IF(BT757=1,IF(AN757&lt;=0,0,BW757*MAX(1,IF(H757&gt;0,AN757/H757,1))),IF(R757&gt;0,AO757/R757,0))/MAX(0.1,N(Parameter!$M$21)))</f>
        <v>0.0192307692307692</v>
      </c>
      <c r="AQ757" s="57" t="n">
        <f aca="false">AN757*G757</f>
        <v>38.1</v>
      </c>
      <c r="AR757" s="57" t="n">
        <f aca="false">ROUNDUP(MAX(J757/IF(BZ757&gt;0,BZ757,MAX(0.1,N(Cockpit!$I$6))),CC757)/BS757,0)*BS757</f>
        <v>381</v>
      </c>
      <c r="AS757" s="58" t="n">
        <f aca="false">IF(AP757&gt;0,J757/AP757,-1)</f>
        <v>52</v>
      </c>
      <c r="AT757" s="58" t="n">
        <f aca="false">IF(AND(OR(BY757="L1",BY757="L23"),AP757&gt;0),SUMIFS($AP$7:$AP$1843,$BY$7:$BY$1843,BY757,$AS$7:$AS$1843,"&gt;"&amp;AS757)+SUMIFS($AP$7:$AP$1843,$BY$7:$BY$1843,BY757,$AS$7:$AS$1843,AS757,$BQ$7:$BQ$1843,"&lt;="&amp;BQ757),"")</f>
        <v>67.3578764230938</v>
      </c>
      <c r="AU757" s="65" t="n">
        <f aca="false">IF(AT757="",0,MAX(0,MIN(1,(IF(BY757="L1",Parameter!$E$5,Parameter!$E$6+Parameter!$E$7)-(AT757-AP757))/AP757)))</f>
        <v>1</v>
      </c>
      <c r="AV757" s="57" t="n">
        <f aca="false">IF(LEFT(Cockpit!$O$5,1)="A",H757,IF(CA757=1,CB757,IF(LEFT(Cockpit!$O$5,1)="B",AZ757,MAX(AZ757,H757))))</f>
        <v>381</v>
      </c>
      <c r="AW757" s="57" t="n">
        <f aca="false">IF(BT757=1,0,ROUNDUP(AV757/BS757,0))</f>
        <v>1</v>
      </c>
      <c r="AX757" s="59" t="n">
        <f aca="false">IF(CH757&gt;0,CH757*MAX(1,AV757/X757),IF(BT757=1,IF(AV757&lt;=0,0,BW757*MAX(1,IF(H757&gt;0,AV757/H757,1))),IF(R757&gt;0,AW757/R757,0))/MAX(0.1,N(Parameter!$M$21)))</f>
        <v>0.0192307692307692</v>
      </c>
      <c r="AY757" s="57" t="n">
        <f aca="false">AV757*G757</f>
        <v>38.1</v>
      </c>
      <c r="AZ757" s="57" t="n">
        <f aca="false">ROUNDUP(MAX(J757/IF(BZ757&gt;0,BZ757,MAX(0.1,N(Cockpit!$O$6))),CC757)/BS757,0)*BS757</f>
        <v>381</v>
      </c>
      <c r="BA757" s="58" t="n">
        <f aca="false">IF(AX757&gt;0,J757/AX757,-1)</f>
        <v>52</v>
      </c>
      <c r="BB757" s="58" t="n">
        <f aca="false">IF(AND(OR(BY757="L1",BY757="L23"),AX757&gt;0),SUMIFS($AX$7:$AX$1843,$BY$7:$BY$1843,BY757,$BA$7:$BA$1843,"&gt;"&amp;BA757)+SUMIFS($AX$7:$AX$1843,$BY$7:$BY$1843,BY757,$BA$7:$BA$1843,BA757,$BQ$7:$BQ$1843,"&lt;="&amp;BQ757),"")</f>
        <v>61.8543799195973</v>
      </c>
      <c r="BC757" s="65" t="n">
        <f aca="false">IF(BB757="",0,MAX(0,MIN(1,(IF(BY757="L1",Parameter!$E$5,Parameter!$E$6+Parameter!$E$7)-(BB757-AX757))/AX757)))</f>
        <v>1</v>
      </c>
      <c r="BD757" s="55" t="str">
        <f aca="false">IF(AH757&lt;=0,"",IF(BY757="Aussen","Aussenlager",IF(BY757="-","Nicht im Lift",IF(AM757&gt;=1,"Lift",IF(AM757&lt;=0,"Aussenlager","teilweise")))))</f>
        <v>Lift</v>
      </c>
      <c r="BE757" s="55" t="str">
        <f aca="false">IF(AP757&lt;=0,"",IF(BY757="Aussen","Aussenlager",IF(BY757="-","Nicht im Lift",IF(AU757&gt;=1,"Lift",IF(AU757&lt;=0,"Aussenlager","teilweise")))))</f>
        <v>Lift</v>
      </c>
      <c r="BF757" s="55" t="str">
        <f aca="false">IF(AX757&lt;=0,"",IF(BY757="Aussen","Aussenlager",IF(BY757="-","Nicht im Lift",IF(BC757&gt;=1,"Lift",IF(BC757&lt;=0,"Aussenlager","teilweise")))))</f>
        <v>Lift</v>
      </c>
      <c r="BG757" s="55" t="str">
        <f aca="false">IF(A757="","",IF(BP757=1,"Neu; ","")&amp;IF(AND(BP757=0,BK757&lt;0),"negativer Bestand (Export "&amp;BK757&amp;"); ","")&amp;IF(J757&lt;=0,"Kein Verbrauch; ","")&amp;IF(CH757&gt;0,"Lift "&amp;W757&amp;" lt. Liftbericht (Fach "&amp;X757&amp;" Stk); ",IF(BU757=1,"Gebinde geschätzt ("&amp;T757&amp;"); ",IF(BT757=1,"Lose – Tablare geschätzt; ","")))&amp;IF(H757&gt;AR757,"Überbestand "&amp;ROUND(H757-AR757,0)&amp;" Stk / CHF "&amp;ROUND((H757-AR757)*G757,0)&amp;"; ","")&amp;IF(AND(CA757=1,CB757&lt;CC757),"MAX &lt; MB+LG; ","")&amp;IF(AND(CG757&gt;0,CF757*10&gt;CG757),"zu hoch für Tablar; ","")&amp;IF(AND(BP757=0,OR(CA757=1,AA757&lt;&gt;"",U757&lt;&gt;"",V757&lt;&gt;"",AB757&lt;&gt;"")),"manuell übersteuert; ","")&amp;IF(AND(BT757=0,R757=0),"Gebinde unbekannt / Stellmass fehlt; ","")&amp;IF(AND(BT757=0,N(V757)&lt;=0,N(Q757)&lt;=0),"Menge pro Gebinde fehlt (Ist = 1 Gebinde); ","")&amp;BO757)</f>
        <v>negativer Bestand (Export -3); Überbestand</v>
      </c>
      <c r="BH757" s="55"/>
      <c r="BI757" s="55"/>
      <c r="BJ757" s="62"/>
      <c r="BK757" s="57" t="n">
        <v>-3</v>
      </c>
      <c r="BL757" s="57" t="n">
        <v>368</v>
      </c>
      <c r="BM757" s="56" t="n">
        <v>-0.3</v>
      </c>
      <c r="BN757" s="57" t="n">
        <v>1</v>
      </c>
      <c r="BO757" s="55" t="s">
        <v>392</v>
      </c>
      <c r="BP757" s="60" t="n">
        <v>0</v>
      </c>
      <c r="BQ757" s="60" t="n">
        <v>757</v>
      </c>
      <c r="BR757" s="55" t="str">
        <f aca="false">IF(U757&lt;&gt;"",UPPER(TRIM(U757)),IF(BU757=1,UPPER(VLOOKUP(T757,Parameter!$I$27:$K$29,2,0)),IF(P757="","LOSE",P757)))</f>
        <v>S41</v>
      </c>
      <c r="BS757" s="57" t="n">
        <f aca="false">IF(BR757="LOSE",1,IF(N(V757)&gt;0,V757,IF(BU757=1,MAX(1,N(VLOOKUP(T757,Parameter!$I$27:$K$29,3,0)),H757,N(N757)),IF(N(Q757)&gt;0,Q757,MAX(1,H757)))))</f>
        <v>381</v>
      </c>
      <c r="BT757" s="60" t="n">
        <f aca="false">IF(BR757="LOSE",1,0)</f>
        <v>0</v>
      </c>
      <c r="BU757" s="60" t="n">
        <f aca="false">IF(AND(U757="",OR(P757="",P757="LOSE"),T757&lt;&gt;"",N(S757)&lt;=0,ISNUMBER(MATCH(T757,Parameter!$I$27:$I$29,0))),1,0)</f>
        <v>0</v>
      </c>
      <c r="BV757" s="55" t="str">
        <f aca="false">IF(AND(Parameter!$B$19="Ja",E757&lt;&gt;"",ISNUMBER(MATCH(E757,Parameter!$I$35:$I$52,0))),VLOOKUP(E757,Parameter!$I$35:$J$52,2,0),IFERROR(VLOOKUP(D757,Parameter!$A$35:$C$64,2,0),"Nein"))</f>
        <v>2+3</v>
      </c>
      <c r="BW757" s="59" t="n">
        <f aca="false">IF(BT757=0,0,IF(N(S757)&gt;0,S757,IFERROR(VLOOKUP(D757,Parameter!$A$35:$C$64,3,0)+0,0)))</f>
        <v>0</v>
      </c>
      <c r="BX757" s="55" t="n">
        <f aca="false">IF(AA757&lt;&gt;"",AA757,Z757)</f>
        <v>3</v>
      </c>
      <c r="BY757" s="55" t="str">
        <f aca="false">IF(BX757=1,"L1",IF(OR(BX757=2,BX757=3),"L23",IF(BX757="Aussen","Aussen","-")))</f>
        <v>L23</v>
      </c>
      <c r="BZ757" s="66" t="n">
        <f aca="false">IF(N(AB757)&gt;0,AB757,0)</f>
        <v>0</v>
      </c>
      <c r="CA757" s="60" t="n">
        <f aca="false">IF(ISNUMBER(AE757),1,0)</f>
        <v>0</v>
      </c>
      <c r="CB757" s="57" t="n">
        <f aca="false">N(AE757)</f>
        <v>0</v>
      </c>
      <c r="CC757" s="57" t="n">
        <f aca="false">N(M757)+N(N757)</f>
        <v>1</v>
      </c>
      <c r="CD757" s="57" t="n">
        <f aca="false">ROUNDUP(H757/BS757,0)</f>
        <v>1</v>
      </c>
      <c r="CE757" s="57" t="n">
        <f aca="false">ROUNDUP(CB757/BS757,0)</f>
        <v>0</v>
      </c>
      <c r="CF757" s="60" t="n">
        <f aca="false">IF(BT757=1,0,IFERROR(VLOOKUP(BR757,'Gebinde-Kategorie'!$A$5:$M$45,5,0)+0,0))</f>
        <v>11</v>
      </c>
      <c r="CG757" s="60" t="n">
        <f aca="false">IFERROR(IF(OR(BX757=1,BX757=2,BX757=3),N(INDEX(Parameter!$I$5:$I$7,BX757)),0),0)</f>
        <v>0</v>
      </c>
      <c r="CH757" s="59" t="n">
        <f aca="false">IF(AND(Parameter!$B$21="Ja",ISNUMBER(W757),N(X757)&gt;0),IFERROR(N(INDEX(Parameter!$L$5:$L$7,W757))*INDEX(Parameter!$E$5:$E$7,W757)*X757/SUMIFS($X$7:$X$1843,$W$7:$W$1843,W757),0),0)</f>
        <v>0</v>
      </c>
    </row>
    <row r="758" customFormat="false" ht="15" hidden="false" customHeight="false" outlineLevel="0" collapsed="false">
      <c r="A758" s="55" t="s">
        <v>1497</v>
      </c>
      <c r="B758" s="55" t="s">
        <v>405</v>
      </c>
      <c r="C758" s="55" t="s">
        <v>164</v>
      </c>
      <c r="D758" s="55" t="s">
        <v>184</v>
      </c>
      <c r="E758" s="55" t="s">
        <v>185</v>
      </c>
      <c r="F758" s="55" t="s">
        <v>218</v>
      </c>
      <c r="G758" s="56" t="n">
        <v>0.02</v>
      </c>
      <c r="H758" s="57" t="n">
        <f aca="false">MAX(0,IF(AND(Parameter!$B$21="Ja",ISNUMBER(Y758)),Y758,IF(Parameter!$B$20="Jahresanfang 2025 + Export",BL758+BK758,BK758)))</f>
        <v>227</v>
      </c>
      <c r="I758" s="57" t="n">
        <f aca="false">H758*G758</f>
        <v>4.54</v>
      </c>
      <c r="J758" s="57" t="n">
        <f aca="false">BN758*Parameter!$B$18</f>
        <v>12</v>
      </c>
      <c r="K758" s="58" t="n">
        <v>236.5</v>
      </c>
      <c r="L758" s="59" t="n">
        <v>0.0507399577167019</v>
      </c>
      <c r="M758" s="57" t="n">
        <v>0</v>
      </c>
      <c r="N758" s="57" t="n">
        <v>10</v>
      </c>
      <c r="O758" s="60" t="n">
        <v>14</v>
      </c>
      <c r="P758" s="55" t="s">
        <v>476</v>
      </c>
      <c r="Q758" s="57" t="n">
        <v>500</v>
      </c>
      <c r="R758" s="60" t="n">
        <f aca="false">IF(BT758=1,0,IFERROR(VLOOKUP(BR758,'Gebinde-Kategorie'!$A$5:$M$45,13,0)+0,0))</f>
        <v>66</v>
      </c>
      <c r="S758" s="61"/>
      <c r="T758" s="62"/>
      <c r="U758" s="62"/>
      <c r="V758" s="62"/>
      <c r="W758" s="55"/>
      <c r="X758" s="57"/>
      <c r="Y758" s="57"/>
      <c r="Z758" s="55" t="n">
        <f aca="false">IF(A758="","",IF(AND(Parameter!$B$21="Ja",ISNUMBER(W758)),W758,IF(BV758="2+3",IF(ISNUMBER(SEARCH("grosser Artikel",BO758)),2,IFERROR(VLOOKUP(BR758,Parameter!$F$35:$G$64,2,0),2)),IF(OR(BV758="Nein",BV758=""),"-",BV758))))</f>
        <v>3</v>
      </c>
      <c r="AA758" s="62"/>
      <c r="AB758" s="63"/>
      <c r="AC758" s="57" t="n">
        <f aca="false">AR758</f>
        <v>500</v>
      </c>
      <c r="AD758" s="57" t="n">
        <f aca="false">MAX(AR758,H758)</f>
        <v>500</v>
      </c>
      <c r="AE758" s="64"/>
      <c r="AF758" s="57" t="n">
        <f aca="false">IF(LEFT(Cockpit!$C$5,1)="A",H758,IF(CA758=1,CB758,IF(LEFT(Cockpit!$C$5,1)="B",AJ758,MAX(AJ758,H758))))</f>
        <v>227</v>
      </c>
      <c r="AG758" s="57" t="n">
        <f aca="false">IF(BT758=1,0,ROUNDUP(AF758/BS758,0))</f>
        <v>1</v>
      </c>
      <c r="AH758" s="59" t="n">
        <f aca="false">IF(CH758&gt;0,CH758*MAX(1,AF758/X758),IF(BT758=1,IF(AF758&lt;=0,0,BW758*MAX(1,IF(H758&gt;0,AF758/H758,1))),IF(R758&gt;0,AG758/R758,0))/MAX(0.1,N(Parameter!$M$21)))</f>
        <v>0.0151515151515152</v>
      </c>
      <c r="AI758" s="57" t="n">
        <f aca="false">AF758*G758</f>
        <v>4.54</v>
      </c>
      <c r="AJ758" s="57" t="n">
        <f aca="false">ROUNDUP(MAX(J758/IF(BZ758&gt;0,BZ758,MAX(0.1,N(Cockpit!$C$6))),CC758)/BS758,0)*BS758</f>
        <v>500</v>
      </c>
      <c r="AK758" s="58" t="n">
        <f aca="false">IF(AH758&gt;0,J758/AH758,-1)</f>
        <v>792</v>
      </c>
      <c r="AL758" s="58" t="n">
        <f aca="false">IF(AND(OR(BY758="L1",BY758="L23"),AH758&gt;0),SUMIFS($AH$7:$AH$1843,$BY$7:$BY$1843,BY758,$AK$7:$AK$1843,"&gt;"&amp;AK758)+SUMIFS($AH$7:$AH$1843,$BY$7:$BY$1843,BY758,$AK$7:$AK$1843,AK758,$BQ$7:$BQ$1843,"&lt;="&amp;BQ758),"")</f>
        <v>20.8154623154623</v>
      </c>
      <c r="AM758" s="65" t="n">
        <f aca="false">IF(AL758="",0,MAX(0,MIN(1,(IF(BY758="L1",Parameter!$E$5,Parameter!$E$6+Parameter!$E$7)-(AL758-AH758))/AH758)))</f>
        <v>1</v>
      </c>
      <c r="AN758" s="57" t="n">
        <f aca="false">IF(LEFT(Cockpit!$I$5,1)="A",H758,IF(CA758=1,CB758,IF(LEFT(Cockpit!$I$5,1)="B",AR758,MAX(AR758,H758))))</f>
        <v>500</v>
      </c>
      <c r="AO758" s="57" t="n">
        <f aca="false">IF(BT758=1,0,ROUNDUP(AN758/BS758,0))</f>
        <v>1</v>
      </c>
      <c r="AP758" s="59" t="n">
        <f aca="false">IF(CH758&gt;0,CH758*MAX(1,AN758/X758),IF(BT758=1,IF(AN758&lt;=0,0,BW758*MAX(1,IF(H758&gt;0,AN758/H758,1))),IF(R758&gt;0,AO758/R758,0))/MAX(0.1,N(Parameter!$M$21)))</f>
        <v>0.0151515151515152</v>
      </c>
      <c r="AQ758" s="57" t="n">
        <f aca="false">AN758*G758</f>
        <v>10</v>
      </c>
      <c r="AR758" s="57" t="n">
        <f aca="false">ROUNDUP(MAX(J758/IF(BZ758&gt;0,BZ758,MAX(0.1,N(Cockpit!$I$6))),CC758)/BS758,0)*BS758</f>
        <v>500</v>
      </c>
      <c r="AS758" s="58" t="n">
        <f aca="false">IF(AP758&gt;0,J758/AP758,-1)</f>
        <v>792</v>
      </c>
      <c r="AT758" s="58" t="n">
        <f aca="false">IF(AND(OR(BY758="L1",BY758="L23"),AP758&gt;0),SUMIFS($AP$7:$AP$1843,$BY$7:$BY$1843,BY758,$AS$7:$AS$1843,"&gt;"&amp;AS758)+SUMIFS($AP$7:$AP$1843,$BY$7:$BY$1843,BY758,$AS$7:$AS$1843,AS758,$BQ$7:$BQ$1843,"&lt;="&amp;BQ758),"")</f>
        <v>26.5602091145569</v>
      </c>
      <c r="AU758" s="65" t="n">
        <f aca="false">IF(AT758="",0,MAX(0,MIN(1,(IF(BY758="L1",Parameter!$E$5,Parameter!$E$6+Parameter!$E$7)-(AT758-AP758))/AP758)))</f>
        <v>1</v>
      </c>
      <c r="AV758" s="57" t="n">
        <f aca="false">IF(LEFT(Cockpit!$O$5,1)="A",H758,IF(CA758=1,CB758,IF(LEFT(Cockpit!$O$5,1)="B",AZ758,MAX(AZ758,H758))))</f>
        <v>500</v>
      </c>
      <c r="AW758" s="57" t="n">
        <f aca="false">IF(BT758=1,0,ROUNDUP(AV758/BS758,0))</f>
        <v>1</v>
      </c>
      <c r="AX758" s="59" t="n">
        <f aca="false">IF(CH758&gt;0,CH758*MAX(1,AV758/X758),IF(BT758=1,IF(AV758&lt;=0,0,BW758*MAX(1,IF(H758&gt;0,AV758/H758,1))),IF(R758&gt;0,AW758/R758,0))/MAX(0.1,N(Parameter!$M$21)))</f>
        <v>0.0151515151515152</v>
      </c>
      <c r="AY758" s="57" t="n">
        <f aca="false">AV758*G758</f>
        <v>10</v>
      </c>
      <c r="AZ758" s="57" t="n">
        <f aca="false">ROUNDUP(MAX(J758/IF(BZ758&gt;0,BZ758,MAX(0.1,N(Cockpit!$O$6))),CC758)/BS758,0)*BS758</f>
        <v>500</v>
      </c>
      <c r="BA758" s="58" t="n">
        <f aca="false">IF(AX758&gt;0,J758/AX758,-1)</f>
        <v>792</v>
      </c>
      <c r="BB758" s="58" t="n">
        <f aca="false">IF(AND(OR(BY758="L1",BY758="L23"),AX758&gt;0),SUMIFS($AX$7:$AX$1843,$BY$7:$BY$1843,BY758,$BA$7:$BA$1843,"&gt;"&amp;BA758)+SUMIFS($AX$7:$AX$1843,$BY$7:$BY$1843,BY758,$BA$7:$BA$1843,BA758,$BQ$7:$BQ$1843,"&lt;="&amp;BQ758),"")</f>
        <v>26.0118408161886</v>
      </c>
      <c r="BC758" s="65" t="n">
        <f aca="false">IF(BB758="",0,MAX(0,MIN(1,(IF(BY758="L1",Parameter!$E$5,Parameter!$E$6+Parameter!$E$7)-(BB758-AX758))/AX758)))</f>
        <v>1</v>
      </c>
      <c r="BD758" s="55" t="str">
        <f aca="false">IF(AH758&lt;=0,"",IF(BY758="Aussen","Aussenlager",IF(BY758="-","Nicht im Lift",IF(AM758&gt;=1,"Lift",IF(AM758&lt;=0,"Aussenlager","teilweise")))))</f>
        <v>Lift</v>
      </c>
      <c r="BE758" s="55" t="str">
        <f aca="false">IF(AP758&lt;=0,"",IF(BY758="Aussen","Aussenlager",IF(BY758="-","Nicht im Lift",IF(AU758&gt;=1,"Lift",IF(AU758&lt;=0,"Aussenlager","teilweise")))))</f>
        <v>Lift</v>
      </c>
      <c r="BF758" s="55" t="str">
        <f aca="false">IF(AX758&lt;=0,"",IF(BY758="Aussen","Aussenlager",IF(BY758="-","Nicht im Lift",IF(BC758&gt;=1,"Lift",IF(BC758&lt;=0,"Aussenlager","teilweise")))))</f>
        <v>Lift</v>
      </c>
      <c r="BG758" s="55" t="str">
        <f aca="false">IF(A758="","",IF(BP758=1,"Neu; ","")&amp;IF(AND(BP758=0,BK758&lt;0),"negativer Bestand (Export "&amp;BK758&amp;"); ","")&amp;IF(J758&lt;=0,"Kein Verbrauch; ","")&amp;IF(CH758&gt;0,"Lift "&amp;W758&amp;" lt. Liftbericht (Fach "&amp;X758&amp;" Stk); ",IF(BU758=1,"Gebinde geschätzt ("&amp;T758&amp;"); ",IF(BT758=1,"Lose – Tablare geschätzt; ","")))&amp;IF(H758&gt;AR758,"Überbestand "&amp;ROUND(H758-AR758,0)&amp;" Stk / CHF "&amp;ROUND((H758-AR758)*G758,0)&amp;"; ","")&amp;IF(AND(CA758=1,CB758&lt;CC758),"MAX &lt; MB+LG; ","")&amp;IF(AND(CG758&gt;0,CF758*10&gt;CG758),"zu hoch für Tablar; ","")&amp;IF(AND(BP758=0,OR(CA758=1,AA758&lt;&gt;"",U758&lt;&gt;"",V758&lt;&gt;"",AB758&lt;&gt;"")),"manuell übersteuert; ","")&amp;IF(AND(BT758=0,R758=0),"Gebinde unbekannt / Stellmass fehlt; ","")&amp;IF(AND(BT758=0,N(V758)&lt;=0,N(Q758)&lt;=0),"Menge pro Gebinde fehlt (Ist = 1 Gebinde); ","")&amp;BO758)</f>
        <v>negativer Bestand (Export -19); Neu</v>
      </c>
      <c r="BH758" s="55"/>
      <c r="BI758" s="55"/>
      <c r="BJ758" s="62"/>
      <c r="BK758" s="57" t="n">
        <v>-19</v>
      </c>
      <c r="BL758" s="57" t="n">
        <v>246</v>
      </c>
      <c r="BM758" s="56" t="n">
        <v>-0.38</v>
      </c>
      <c r="BN758" s="57" t="n">
        <v>12</v>
      </c>
      <c r="BO758" s="55" t="s">
        <v>626</v>
      </c>
      <c r="BP758" s="60" t="n">
        <v>0</v>
      </c>
      <c r="BQ758" s="60" t="n">
        <v>758</v>
      </c>
      <c r="BR758" s="55" t="str">
        <f aca="false">IF(U758&lt;&gt;"",UPPER(TRIM(U758)),IF(BU758=1,UPPER(VLOOKUP(T758,Parameter!$I$27:$K$29,2,0)),IF(P758="","LOSE",P758)))</f>
        <v>S33</v>
      </c>
      <c r="BS758" s="57" t="n">
        <f aca="false">IF(BR758="LOSE",1,IF(N(V758)&gt;0,V758,IF(BU758=1,MAX(1,N(VLOOKUP(T758,Parameter!$I$27:$K$29,3,0)),H758,N(N758)),IF(N(Q758)&gt;0,Q758,MAX(1,H758)))))</f>
        <v>500</v>
      </c>
      <c r="BT758" s="60" t="n">
        <f aca="false">IF(BR758="LOSE",1,0)</f>
        <v>0</v>
      </c>
      <c r="BU758" s="60" t="n">
        <f aca="false">IF(AND(U758="",OR(P758="",P758="LOSE"),T758&lt;&gt;"",N(S758)&lt;=0,ISNUMBER(MATCH(T758,Parameter!$I$27:$I$29,0))),1,0)</f>
        <v>0</v>
      </c>
      <c r="BV758" s="55" t="str">
        <f aca="false">IF(AND(Parameter!$B$19="Ja",E758&lt;&gt;"",ISNUMBER(MATCH(E758,Parameter!$I$35:$I$52,0))),VLOOKUP(E758,Parameter!$I$35:$J$52,2,0),IFERROR(VLOOKUP(D758,Parameter!$A$35:$C$64,2,0),"Nein"))</f>
        <v>2+3</v>
      </c>
      <c r="BW758" s="59" t="n">
        <f aca="false">IF(BT758=0,0,IF(N(S758)&gt;0,S758,IFERROR(VLOOKUP(D758,Parameter!$A$35:$C$64,3,0)+0,0)))</f>
        <v>0</v>
      </c>
      <c r="BX758" s="55" t="n">
        <f aca="false">IF(AA758&lt;&gt;"",AA758,Z758)</f>
        <v>3</v>
      </c>
      <c r="BY758" s="55" t="str">
        <f aca="false">IF(BX758=1,"L1",IF(OR(BX758=2,BX758=3),"L23",IF(BX758="Aussen","Aussen","-")))</f>
        <v>L23</v>
      </c>
      <c r="BZ758" s="66" t="n">
        <f aca="false">IF(N(AB758)&gt;0,AB758,0)</f>
        <v>0</v>
      </c>
      <c r="CA758" s="60" t="n">
        <f aca="false">IF(ISNUMBER(AE758),1,0)</f>
        <v>0</v>
      </c>
      <c r="CB758" s="57" t="n">
        <f aca="false">N(AE758)</f>
        <v>0</v>
      </c>
      <c r="CC758" s="57" t="n">
        <f aca="false">N(M758)+N(N758)</f>
        <v>10</v>
      </c>
      <c r="CD758" s="57" t="n">
        <f aca="false">ROUNDUP(H758/BS758,0)</f>
        <v>1</v>
      </c>
      <c r="CE758" s="57" t="n">
        <f aca="false">ROUNDUP(CB758/BS758,0)</f>
        <v>0</v>
      </c>
      <c r="CF758" s="60" t="n">
        <f aca="false">IF(BT758=1,0,IFERROR(VLOOKUP(BR758,'Gebinde-Kategorie'!$A$5:$M$45,5,0)+0,0))</f>
        <v>8</v>
      </c>
      <c r="CG758" s="60" t="n">
        <f aca="false">IFERROR(IF(OR(BX758=1,BX758=2,BX758=3),N(INDEX(Parameter!$I$5:$I$7,BX758)),0),0)</f>
        <v>0</v>
      </c>
      <c r="CH758" s="59" t="n">
        <f aca="false">IF(AND(Parameter!$B$21="Ja",ISNUMBER(W758),N(X758)&gt;0),IFERROR(N(INDEX(Parameter!$L$5:$L$7,W758))*INDEX(Parameter!$E$5:$E$7,W758)*X758/SUMIFS($X$7:$X$1843,$W$7:$W$1843,W758),0),0)</f>
        <v>0</v>
      </c>
    </row>
    <row r="759" customFormat="false" ht="15" hidden="false" customHeight="false" outlineLevel="0" collapsed="false">
      <c r="A759" s="55" t="s">
        <v>1498</v>
      </c>
      <c r="B759" s="55" t="s">
        <v>405</v>
      </c>
      <c r="C759" s="55" t="s">
        <v>164</v>
      </c>
      <c r="D759" s="55" t="s">
        <v>184</v>
      </c>
      <c r="E759" s="55" t="s">
        <v>185</v>
      </c>
      <c r="F759" s="55" t="s">
        <v>218</v>
      </c>
      <c r="G759" s="56" t="n">
        <v>0.03</v>
      </c>
      <c r="H759" s="57" t="n">
        <f aca="false">MAX(0,IF(AND(Parameter!$B$21="Ja",ISNUMBER(Y759)),Y759,IF(Parameter!$B$20="Jahresanfang 2025 + Export",BL759+BK759,BK759)))</f>
        <v>205</v>
      </c>
      <c r="I759" s="57" t="n">
        <f aca="false">H759*G759</f>
        <v>6.15</v>
      </c>
      <c r="J759" s="57" t="n">
        <f aca="false">BN759*Parameter!$B$18</f>
        <v>0</v>
      </c>
      <c r="K759" s="58" t="n">
        <v>220</v>
      </c>
      <c r="L759" s="59" t="n">
        <v>0</v>
      </c>
      <c r="M759" s="57" t="n">
        <v>0</v>
      </c>
      <c r="N759" s="57" t="n">
        <v>1</v>
      </c>
      <c r="O759" s="60" t="n">
        <v>14</v>
      </c>
      <c r="P759" s="55" t="s">
        <v>426</v>
      </c>
      <c r="Q759" s="57" t="n">
        <v>259</v>
      </c>
      <c r="R759" s="60" t="n">
        <f aca="false">IF(BT759=1,0,IFERROR(VLOOKUP(BR759,'Gebinde-Kategorie'!$A$5:$M$45,13,0)+0,0))</f>
        <v>198</v>
      </c>
      <c r="S759" s="61"/>
      <c r="T759" s="62"/>
      <c r="U759" s="62"/>
      <c r="V759" s="62"/>
      <c r="W759" s="55"/>
      <c r="X759" s="57"/>
      <c r="Y759" s="57"/>
      <c r="Z759" s="55" t="n">
        <f aca="false">IF(A759="","",IF(AND(Parameter!$B$21="Ja",ISNUMBER(W759)),W759,IF(BV759="2+3",IF(ISNUMBER(SEARCH("grosser Artikel",BO759)),2,IFERROR(VLOOKUP(BR759,Parameter!$F$35:$G$64,2,0),2)),IF(OR(BV759="Nein",BV759=""),"-",BV759))))</f>
        <v>3</v>
      </c>
      <c r="AA759" s="62"/>
      <c r="AB759" s="63"/>
      <c r="AC759" s="57" t="n">
        <f aca="false">AR759</f>
        <v>259</v>
      </c>
      <c r="AD759" s="57" t="n">
        <f aca="false">MAX(AR759,H759)</f>
        <v>259</v>
      </c>
      <c r="AE759" s="64"/>
      <c r="AF759" s="57" t="n">
        <f aca="false">IF(LEFT(Cockpit!$C$5,1)="A",H759,IF(CA759=1,CB759,IF(LEFT(Cockpit!$C$5,1)="B",AJ759,MAX(AJ759,H759))))</f>
        <v>205</v>
      </c>
      <c r="AG759" s="57" t="n">
        <f aca="false">IF(BT759=1,0,ROUNDUP(AF759/BS759,0))</f>
        <v>1</v>
      </c>
      <c r="AH759" s="59" t="n">
        <f aca="false">IF(CH759&gt;0,CH759*MAX(1,AF759/X759),IF(BT759=1,IF(AF759&lt;=0,0,BW759*MAX(1,IF(H759&gt;0,AF759/H759,1))),IF(R759&gt;0,AG759/R759,0))/MAX(0.1,N(Parameter!$M$21)))</f>
        <v>0.00505050505050505</v>
      </c>
      <c r="AI759" s="57" t="n">
        <f aca="false">AF759*G759</f>
        <v>6.15</v>
      </c>
      <c r="AJ759" s="57" t="n">
        <f aca="false">ROUNDUP(MAX(J759/IF(BZ759&gt;0,BZ759,MAX(0.1,N(Cockpit!$C$6))),CC759)/BS759,0)*BS759</f>
        <v>259</v>
      </c>
      <c r="AK759" s="58" t="n">
        <f aca="false">IF(AH759&gt;0,J759/AH759,-1)</f>
        <v>0</v>
      </c>
      <c r="AL759" s="58" t="n">
        <f aca="false">IF(AND(OR(BY759="L1",BY759="L23"),AH759&gt;0),SUMIFS($AH$7:$AH$1843,$BY$7:$BY$1843,BY759,$AK$7:$AK$1843,"&gt;"&amp;AK759)+SUMIFS($AH$7:$AH$1843,$BY$7:$BY$1843,BY759,$AK$7:$AK$1843,AK759,$BQ$7:$BQ$1843,"&lt;="&amp;BQ759),"")</f>
        <v>77.2741039154083</v>
      </c>
      <c r="AM759" s="65" t="n">
        <f aca="false">IF(AL759="",0,MAX(0,MIN(1,(IF(BY759="L1",Parameter!$E$5,Parameter!$E$6+Parameter!$E$7)-(AL759-AH759))/AH759)))</f>
        <v>1</v>
      </c>
      <c r="AN759" s="57" t="n">
        <f aca="false">IF(LEFT(Cockpit!$I$5,1)="A",H759,IF(CA759=1,CB759,IF(LEFT(Cockpit!$I$5,1)="B",AR759,MAX(AR759,H759))))</f>
        <v>259</v>
      </c>
      <c r="AO759" s="57" t="n">
        <f aca="false">IF(BT759=1,0,ROUNDUP(AN759/BS759,0))</f>
        <v>1</v>
      </c>
      <c r="AP759" s="59" t="n">
        <f aca="false">IF(CH759&gt;0,CH759*MAX(1,AN759/X759),IF(BT759=1,IF(AN759&lt;=0,0,BW759*MAX(1,IF(H759&gt;0,AN759/H759,1))),IF(R759&gt;0,AO759/R759,0))/MAX(0.1,N(Parameter!$M$21)))</f>
        <v>0.00505050505050505</v>
      </c>
      <c r="AQ759" s="57" t="n">
        <f aca="false">AN759*G759</f>
        <v>7.77</v>
      </c>
      <c r="AR759" s="57" t="n">
        <f aca="false">ROUNDUP(MAX(J759/IF(BZ759&gt;0,BZ759,MAX(0.1,N(Cockpit!$I$6))),CC759)/BS759,0)*BS759</f>
        <v>259</v>
      </c>
      <c r="AS759" s="58" t="n">
        <f aca="false">IF(AP759&gt;0,J759/AP759,-1)</f>
        <v>0</v>
      </c>
      <c r="AT759" s="58" t="n">
        <f aca="false">IF(AND(OR(BY759="L1",BY759="L23"),AP759&gt;0),SUMIFS($AP$7:$AP$1843,$BY$7:$BY$1843,BY759,$AS$7:$AS$1843,"&gt;"&amp;AS759)+SUMIFS($AP$7:$AP$1843,$BY$7:$BY$1843,BY759,$AS$7:$AS$1843,AS759,$BQ$7:$BQ$1843,"&lt;="&amp;BQ759),"")</f>
        <v>118.104489713185</v>
      </c>
      <c r="AU759" s="65" t="n">
        <f aca="false">IF(AT759="",0,MAX(0,MIN(1,(IF(BY759="L1",Parameter!$E$5,Parameter!$E$6+Parameter!$E$7)-(AT759-AP759))/AP759)))</f>
        <v>0</v>
      </c>
      <c r="AV759" s="57" t="n">
        <f aca="false">IF(LEFT(Cockpit!$O$5,1)="A",H759,IF(CA759=1,CB759,IF(LEFT(Cockpit!$O$5,1)="B",AZ759,MAX(AZ759,H759))))</f>
        <v>259</v>
      </c>
      <c r="AW759" s="57" t="n">
        <f aca="false">IF(BT759=1,0,ROUNDUP(AV759/BS759,0))</f>
        <v>1</v>
      </c>
      <c r="AX759" s="59" t="n">
        <f aca="false">IF(CH759&gt;0,CH759*MAX(1,AV759/X759),IF(BT759=1,IF(AV759&lt;=0,0,BW759*MAX(1,IF(H759&gt;0,AV759/H759,1))),IF(R759&gt;0,AW759/R759,0))/MAX(0.1,N(Parameter!$M$21)))</f>
        <v>0.00505050505050505</v>
      </c>
      <c r="AY759" s="57" t="n">
        <f aca="false">AV759*G759</f>
        <v>7.77</v>
      </c>
      <c r="AZ759" s="57" t="n">
        <f aca="false">ROUNDUP(MAX(J759/IF(BZ759&gt;0,BZ759,MAX(0.1,N(Cockpit!$O$6))),CC759)/BS759,0)*BS759</f>
        <v>259</v>
      </c>
      <c r="BA759" s="58" t="n">
        <f aca="false">IF(AX759&gt;0,J759/AX759,-1)</f>
        <v>0</v>
      </c>
      <c r="BB759" s="58" t="n">
        <f aca="false">IF(AND(OR(BY759="L1",BY759="L23"),AX759&gt;0),SUMIFS($AX$7:$AX$1843,$BY$7:$BY$1843,BY759,$BA$7:$BA$1843,"&gt;"&amp;BA759)+SUMIFS($AX$7:$AX$1843,$BY$7:$BY$1843,BY759,$BA$7:$BA$1843,BA759,$BQ$7:$BQ$1843,"&lt;="&amp;BQ759),"")</f>
        <v>108.934326543022</v>
      </c>
      <c r="BC759" s="65" t="n">
        <f aca="false">IF(BB759="",0,MAX(0,MIN(1,(IF(BY759="L1",Parameter!$E$5,Parameter!$E$6+Parameter!$E$7)-(BB759-AX759))/AX759)))</f>
        <v>0</v>
      </c>
      <c r="BD759" s="55" t="str">
        <f aca="false">IF(AH759&lt;=0,"",IF(BY759="Aussen","Aussenlager",IF(BY759="-","Nicht im Lift",IF(AM759&gt;=1,"Lift",IF(AM759&lt;=0,"Aussenlager","teilweise")))))</f>
        <v>Lift</v>
      </c>
      <c r="BE759" s="55" t="str">
        <f aca="false">IF(AP759&lt;=0,"",IF(BY759="Aussen","Aussenlager",IF(BY759="-","Nicht im Lift",IF(AU759&gt;=1,"Lift",IF(AU759&lt;=0,"Aussenlager","teilweise")))))</f>
        <v>Aussenlager</v>
      </c>
      <c r="BF759" s="55" t="str">
        <f aca="false">IF(AX759&lt;=0,"",IF(BY759="Aussen","Aussenlager",IF(BY759="-","Nicht im Lift",IF(BC759&gt;=1,"Lift",IF(BC759&lt;=0,"Aussenlager","teilweise")))))</f>
        <v>Aussenlager</v>
      </c>
      <c r="BG759" s="55" t="str">
        <f aca="false">IF(A759="","",IF(BP759=1,"Neu; ","")&amp;IF(AND(BP759=0,BK759&lt;0),"negativer Bestand (Export "&amp;BK759&amp;"); ","")&amp;IF(J759&lt;=0,"Kein Verbrauch; ","")&amp;IF(CH759&gt;0,"Lift "&amp;W759&amp;" lt. Liftbericht (Fach "&amp;X759&amp;" Stk); ",IF(BU759=1,"Gebinde geschätzt ("&amp;T759&amp;"); ",IF(BT759=1,"Lose – Tablare geschätzt; ","")))&amp;IF(H759&gt;AR759,"Überbestand "&amp;ROUND(H759-AR759,0)&amp;" Stk / CHF "&amp;ROUND((H759-AR759)*G759,0)&amp;"; ","")&amp;IF(AND(CA759=1,CB759&lt;CC759),"MAX &lt; MB+LG; ","")&amp;IF(AND(CG759&gt;0,CF759*10&gt;CG759),"zu hoch für Tablar; ","")&amp;IF(AND(BP759=0,OR(CA759=1,AA759&lt;&gt;"",U759&lt;&gt;"",V759&lt;&gt;"",AB759&lt;&gt;"")),"manuell übersteuert; ","")&amp;IF(AND(BT759=0,R759=0),"Gebinde unbekannt / Stellmass fehlt; ","")&amp;IF(AND(BT759=0,N(V759)&lt;=0,N(Q759)&lt;=0),"Menge pro Gebinde fehlt (Ist = 1 Gebinde); ","")&amp;BO759)</f>
        <v>negativer Bestand (Export -20); Kein Verbrauch; Überbestand</v>
      </c>
      <c r="BH759" s="55"/>
      <c r="BI759" s="55"/>
      <c r="BJ759" s="62"/>
      <c r="BK759" s="57" t="n">
        <v>-20</v>
      </c>
      <c r="BL759" s="57" t="n">
        <v>225</v>
      </c>
      <c r="BM759" s="56" t="n">
        <v>-0.6</v>
      </c>
      <c r="BN759" s="57" t="n">
        <v>0</v>
      </c>
      <c r="BO759" s="55" t="s">
        <v>392</v>
      </c>
      <c r="BP759" s="60" t="n">
        <v>0</v>
      </c>
      <c r="BQ759" s="60" t="n">
        <v>759</v>
      </c>
      <c r="BR759" s="55" t="str">
        <f aca="false">IF(U759&lt;&gt;"",UPPER(TRIM(U759)),IF(BU759=1,UPPER(VLOOKUP(T759,Parameter!$I$27:$K$29,2,0)),IF(P759="","LOSE",P759)))</f>
        <v>S22</v>
      </c>
      <c r="BS759" s="57" t="n">
        <f aca="false">IF(BR759="LOSE",1,IF(N(V759)&gt;0,V759,IF(BU759=1,MAX(1,N(VLOOKUP(T759,Parameter!$I$27:$K$29,3,0)),H759,N(N759)),IF(N(Q759)&gt;0,Q759,MAX(1,H759)))))</f>
        <v>259</v>
      </c>
      <c r="BT759" s="60" t="n">
        <f aca="false">IF(BR759="LOSE",1,0)</f>
        <v>0</v>
      </c>
      <c r="BU759" s="60" t="n">
        <f aca="false">IF(AND(U759="",OR(P759="",P759="LOSE"),T759&lt;&gt;"",N(S759)&lt;=0,ISNUMBER(MATCH(T759,Parameter!$I$27:$I$29,0))),1,0)</f>
        <v>0</v>
      </c>
      <c r="BV759" s="55" t="str">
        <f aca="false">IF(AND(Parameter!$B$19="Ja",E759&lt;&gt;"",ISNUMBER(MATCH(E759,Parameter!$I$35:$I$52,0))),VLOOKUP(E759,Parameter!$I$35:$J$52,2,0),IFERROR(VLOOKUP(D759,Parameter!$A$35:$C$64,2,0),"Nein"))</f>
        <v>2+3</v>
      </c>
      <c r="BW759" s="59" t="n">
        <f aca="false">IF(BT759=0,0,IF(N(S759)&gt;0,S759,IFERROR(VLOOKUP(D759,Parameter!$A$35:$C$64,3,0)+0,0)))</f>
        <v>0</v>
      </c>
      <c r="BX759" s="55" t="n">
        <f aca="false">IF(AA759&lt;&gt;"",AA759,Z759)</f>
        <v>3</v>
      </c>
      <c r="BY759" s="55" t="str">
        <f aca="false">IF(BX759=1,"L1",IF(OR(BX759=2,BX759=3),"L23",IF(BX759="Aussen","Aussen","-")))</f>
        <v>L23</v>
      </c>
      <c r="BZ759" s="66" t="n">
        <f aca="false">IF(N(AB759)&gt;0,AB759,0)</f>
        <v>0</v>
      </c>
      <c r="CA759" s="60" t="n">
        <f aca="false">IF(ISNUMBER(AE759),1,0)</f>
        <v>0</v>
      </c>
      <c r="CB759" s="57" t="n">
        <f aca="false">N(AE759)</f>
        <v>0</v>
      </c>
      <c r="CC759" s="57" t="n">
        <f aca="false">N(M759)+N(N759)</f>
        <v>1</v>
      </c>
      <c r="CD759" s="57" t="n">
        <f aca="false">ROUNDUP(H759/BS759,0)</f>
        <v>1</v>
      </c>
      <c r="CE759" s="57" t="n">
        <f aca="false">ROUNDUP(CB759/BS759,0)</f>
        <v>0</v>
      </c>
      <c r="CF759" s="60" t="n">
        <f aca="false">IF(BT759=1,0,IFERROR(VLOOKUP(BR759,'Gebinde-Kategorie'!$A$5:$M$45,5,0)+0,0))</f>
        <v>8</v>
      </c>
      <c r="CG759" s="60" t="n">
        <f aca="false">IFERROR(IF(OR(BX759=1,BX759=2,BX759=3),N(INDEX(Parameter!$I$5:$I$7,BX759)),0),0)</f>
        <v>0</v>
      </c>
      <c r="CH759" s="59" t="n">
        <f aca="false">IF(AND(Parameter!$B$21="Ja",ISNUMBER(W759),N(X759)&gt;0),IFERROR(N(INDEX(Parameter!$L$5:$L$7,W759))*INDEX(Parameter!$E$5:$E$7,W759)*X759/SUMIFS($X$7:$X$1843,$W$7:$W$1843,W759),0),0)</f>
        <v>0</v>
      </c>
    </row>
    <row r="760" customFormat="false" ht="15" hidden="false" customHeight="false" outlineLevel="0" collapsed="false">
      <c r="A760" s="55" t="s">
        <v>1499</v>
      </c>
      <c r="B760" s="55" t="s">
        <v>1266</v>
      </c>
      <c r="C760" s="55" t="s">
        <v>164</v>
      </c>
      <c r="D760" s="55" t="s">
        <v>184</v>
      </c>
      <c r="E760" s="55"/>
      <c r="F760" s="55" t="s">
        <v>218</v>
      </c>
      <c r="G760" s="56" t="n">
        <v>0.09</v>
      </c>
      <c r="H760" s="57" t="n">
        <f aca="false">MAX(0,IF(AND(Parameter!$B$21="Ja",ISNUMBER(Y760)),Y760,IF(Parameter!$B$20="Jahresanfang 2025 + Export",BL760+BK760,BK760)))</f>
        <v>298</v>
      </c>
      <c r="I760" s="57" t="n">
        <f aca="false">H760*G760</f>
        <v>26.82</v>
      </c>
      <c r="J760" s="57" t="n">
        <f aca="false">BN760*Parameter!$B$18</f>
        <v>4</v>
      </c>
      <c r="K760" s="58" t="n">
        <v>301.5</v>
      </c>
      <c r="L760" s="59" t="n">
        <v>0.0132669983416252</v>
      </c>
      <c r="M760" s="57" t="n">
        <v>0</v>
      </c>
      <c r="N760" s="57" t="n">
        <v>5</v>
      </c>
      <c r="O760" s="60" t="n">
        <v>21</v>
      </c>
      <c r="P760" s="55" t="s">
        <v>426</v>
      </c>
      <c r="Q760" s="57" t="n">
        <v>300</v>
      </c>
      <c r="R760" s="60" t="n">
        <f aca="false">IF(BT760=1,0,IFERROR(VLOOKUP(BR760,'Gebinde-Kategorie'!$A$5:$M$45,13,0)+0,0))</f>
        <v>198</v>
      </c>
      <c r="S760" s="61"/>
      <c r="T760" s="62"/>
      <c r="U760" s="62"/>
      <c r="V760" s="62"/>
      <c r="W760" s="55"/>
      <c r="X760" s="57"/>
      <c r="Y760" s="57"/>
      <c r="Z760" s="55" t="n">
        <f aca="false">IF(A760="","",IF(AND(Parameter!$B$21="Ja",ISNUMBER(W760)),W760,IF(BV760="2+3",IF(ISNUMBER(SEARCH("grosser Artikel",BO760)),2,IFERROR(VLOOKUP(BR760,Parameter!$F$35:$G$64,2,0),2)),IF(OR(BV760="Nein",BV760=""),"-",BV760))))</f>
        <v>3</v>
      </c>
      <c r="AA760" s="62"/>
      <c r="AB760" s="63"/>
      <c r="AC760" s="57" t="n">
        <f aca="false">AR760</f>
        <v>300</v>
      </c>
      <c r="AD760" s="57" t="n">
        <f aca="false">MAX(AR760,H760)</f>
        <v>300</v>
      </c>
      <c r="AE760" s="64"/>
      <c r="AF760" s="57" t="n">
        <f aca="false">IF(LEFT(Cockpit!$C$5,1)="A",H760,IF(CA760=1,CB760,IF(LEFT(Cockpit!$C$5,1)="B",AJ760,MAX(AJ760,H760))))</f>
        <v>298</v>
      </c>
      <c r="AG760" s="57" t="n">
        <f aca="false">IF(BT760=1,0,ROUNDUP(AF760/BS760,0))</f>
        <v>1</v>
      </c>
      <c r="AH760" s="59" t="n">
        <f aca="false">IF(CH760&gt;0,CH760*MAX(1,AF760/X760),IF(BT760=1,IF(AF760&lt;=0,0,BW760*MAX(1,IF(H760&gt;0,AF760/H760,1))),IF(R760&gt;0,AG760/R760,0))/MAX(0.1,N(Parameter!$M$21)))</f>
        <v>0.00505050505050505</v>
      </c>
      <c r="AI760" s="57" t="n">
        <f aca="false">AF760*G760</f>
        <v>26.82</v>
      </c>
      <c r="AJ760" s="57" t="n">
        <f aca="false">ROUNDUP(MAX(J760/IF(BZ760&gt;0,BZ760,MAX(0.1,N(Cockpit!$C$6))),CC760)/BS760,0)*BS760</f>
        <v>300</v>
      </c>
      <c r="AK760" s="58" t="n">
        <f aca="false">IF(AH760&gt;0,J760/AH760,-1)</f>
        <v>792</v>
      </c>
      <c r="AL760" s="58" t="n">
        <f aca="false">IF(AND(OR(BY760="L1",BY760="L23"),AH760&gt;0),SUMIFS($AH$7:$AH$1843,$BY$7:$BY$1843,BY760,$AK$7:$AK$1843,"&gt;"&amp;AK760)+SUMIFS($AH$7:$AH$1843,$BY$7:$BY$1843,BY760,$AK$7:$AK$1843,AK760,$BQ$7:$BQ$1843,"&lt;="&amp;BQ760),"")</f>
        <v>20.8205128205128</v>
      </c>
      <c r="AM760" s="65" t="n">
        <f aca="false">IF(AL760="",0,MAX(0,MIN(1,(IF(BY760="L1",Parameter!$E$5,Parameter!$E$6+Parameter!$E$7)-(AL760-AH760))/AH760)))</f>
        <v>1</v>
      </c>
      <c r="AN760" s="57" t="n">
        <f aca="false">IF(LEFT(Cockpit!$I$5,1)="A",H760,IF(CA760=1,CB760,IF(LEFT(Cockpit!$I$5,1)="B",AR760,MAX(AR760,H760))))</f>
        <v>300</v>
      </c>
      <c r="AO760" s="57" t="n">
        <f aca="false">IF(BT760=1,0,ROUNDUP(AN760/BS760,0))</f>
        <v>1</v>
      </c>
      <c r="AP760" s="59" t="n">
        <f aca="false">IF(CH760&gt;0,CH760*MAX(1,AN760/X760),IF(BT760=1,IF(AN760&lt;=0,0,BW760*MAX(1,IF(H760&gt;0,AN760/H760,1))),IF(R760&gt;0,AO760/R760,0))/MAX(0.1,N(Parameter!$M$21)))</f>
        <v>0.00505050505050505</v>
      </c>
      <c r="AQ760" s="57" t="n">
        <f aca="false">AN760*G760</f>
        <v>27</v>
      </c>
      <c r="AR760" s="57" t="n">
        <f aca="false">ROUNDUP(MAX(J760/IF(BZ760&gt;0,BZ760,MAX(0.1,N(Cockpit!$I$6))),CC760)/BS760,0)*BS760</f>
        <v>300</v>
      </c>
      <c r="AS760" s="58" t="n">
        <f aca="false">IF(AP760&gt;0,J760/AP760,-1)</f>
        <v>792</v>
      </c>
      <c r="AT760" s="58" t="n">
        <f aca="false">IF(AND(OR(BY760="L1",BY760="L23"),AP760&gt;0),SUMIFS($AP$7:$AP$1843,$BY$7:$BY$1843,BY760,$AS$7:$AS$1843,"&gt;"&amp;AS760)+SUMIFS($AP$7:$AP$1843,$BY$7:$BY$1843,BY760,$AS$7:$AS$1843,AS760,$BQ$7:$BQ$1843,"&lt;="&amp;BQ760),"")</f>
        <v>26.5652596196074</v>
      </c>
      <c r="AU760" s="65" t="n">
        <f aca="false">IF(AT760="",0,MAX(0,MIN(1,(IF(BY760="L1",Parameter!$E$5,Parameter!$E$6+Parameter!$E$7)-(AT760-AP760))/AP760)))</f>
        <v>1</v>
      </c>
      <c r="AV760" s="57" t="n">
        <f aca="false">IF(LEFT(Cockpit!$O$5,1)="A",H760,IF(CA760=1,CB760,IF(LEFT(Cockpit!$O$5,1)="B",AZ760,MAX(AZ760,H760))))</f>
        <v>300</v>
      </c>
      <c r="AW760" s="57" t="n">
        <f aca="false">IF(BT760=1,0,ROUNDUP(AV760/BS760,0))</f>
        <v>1</v>
      </c>
      <c r="AX760" s="59" t="n">
        <f aca="false">IF(CH760&gt;0,CH760*MAX(1,AV760/X760),IF(BT760=1,IF(AV760&lt;=0,0,BW760*MAX(1,IF(H760&gt;0,AV760/H760,1))),IF(R760&gt;0,AW760/R760,0))/MAX(0.1,N(Parameter!$M$21)))</f>
        <v>0.00505050505050505</v>
      </c>
      <c r="AY760" s="57" t="n">
        <f aca="false">AV760*G760</f>
        <v>27</v>
      </c>
      <c r="AZ760" s="57" t="n">
        <f aca="false">ROUNDUP(MAX(J760/IF(BZ760&gt;0,BZ760,MAX(0.1,N(Cockpit!$O$6))),CC760)/BS760,0)*BS760</f>
        <v>300</v>
      </c>
      <c r="BA760" s="58" t="n">
        <f aca="false">IF(AX760&gt;0,J760/AX760,-1)</f>
        <v>792</v>
      </c>
      <c r="BB760" s="58" t="n">
        <f aca="false">IF(AND(OR(BY760="L1",BY760="L23"),AX760&gt;0),SUMIFS($AX$7:$AX$1843,$BY$7:$BY$1843,BY760,$BA$7:$BA$1843,"&gt;"&amp;BA760)+SUMIFS($AX$7:$AX$1843,$BY$7:$BY$1843,BY760,$BA$7:$BA$1843,BA760,$BQ$7:$BQ$1843,"&lt;="&amp;BQ760),"")</f>
        <v>26.0168913212391</v>
      </c>
      <c r="BC760" s="65" t="n">
        <f aca="false">IF(BB760="",0,MAX(0,MIN(1,(IF(BY760="L1",Parameter!$E$5,Parameter!$E$6+Parameter!$E$7)-(BB760-AX760))/AX760)))</f>
        <v>1</v>
      </c>
      <c r="BD760" s="55" t="str">
        <f aca="false">IF(AH760&lt;=0,"",IF(BY760="Aussen","Aussenlager",IF(BY760="-","Nicht im Lift",IF(AM760&gt;=1,"Lift",IF(AM760&lt;=0,"Aussenlager","teilweise")))))</f>
        <v>Lift</v>
      </c>
      <c r="BE760" s="55" t="str">
        <f aca="false">IF(AP760&lt;=0,"",IF(BY760="Aussen","Aussenlager",IF(BY760="-","Nicht im Lift",IF(AU760&gt;=1,"Lift",IF(AU760&lt;=0,"Aussenlager","teilweise")))))</f>
        <v>Lift</v>
      </c>
      <c r="BF760" s="55" t="str">
        <f aca="false">IF(AX760&lt;=0,"",IF(BY760="Aussen","Aussenlager",IF(BY760="-","Nicht im Lift",IF(BC760&gt;=1,"Lift",IF(BC760&lt;=0,"Aussenlager","teilweise")))))</f>
        <v>Lift</v>
      </c>
      <c r="BG760" s="55" t="str">
        <f aca="false">IF(A760="","",IF(BP760=1,"Neu; ","")&amp;IF(AND(BP760=0,BK760&lt;0),"negativer Bestand (Export "&amp;BK760&amp;"); ","")&amp;IF(J760&lt;=0,"Kein Verbrauch; ","")&amp;IF(CH760&gt;0,"Lift "&amp;W760&amp;" lt. Liftbericht (Fach "&amp;X760&amp;" Stk); ",IF(BU760=1,"Gebinde geschätzt ("&amp;T760&amp;"); ",IF(BT760=1,"Lose – Tablare geschätzt; ","")))&amp;IF(H760&gt;AR760,"Überbestand "&amp;ROUND(H760-AR760,0)&amp;" Stk / CHF "&amp;ROUND((H760-AR760)*G760,0)&amp;"; ","")&amp;IF(AND(CA760=1,CB760&lt;CC760),"MAX &lt; MB+LG; ","")&amp;IF(AND(CG760&gt;0,CF760*10&gt;CG760),"zu hoch für Tablar; ","")&amp;IF(AND(BP760=0,OR(CA760=1,AA760&lt;&gt;"",U760&lt;&gt;"",V760&lt;&gt;"",AB760&lt;&gt;"")),"manuell übersteuert; ","")&amp;IF(AND(BT760=0,R760=0),"Gebinde unbekannt / Stellmass fehlt; ","")&amp;IF(AND(BT760=0,N(V760)&lt;=0,N(Q760)&lt;=0),"Menge pro Gebinde fehlt (Ist = 1 Gebinde); ","")&amp;BO760)</f>
        <v>negativer Bestand (Export -7); </v>
      </c>
      <c r="BH760" s="55"/>
      <c r="BI760" s="55"/>
      <c r="BJ760" s="62"/>
      <c r="BK760" s="57" t="n">
        <v>-7</v>
      </c>
      <c r="BL760" s="57" t="n">
        <v>305</v>
      </c>
      <c r="BM760" s="56" t="n">
        <v>-0.63</v>
      </c>
      <c r="BN760" s="57" t="n">
        <v>4</v>
      </c>
      <c r="BO760" s="55"/>
      <c r="BP760" s="60" t="n">
        <v>0</v>
      </c>
      <c r="BQ760" s="60" t="n">
        <v>760</v>
      </c>
      <c r="BR760" s="55" t="str">
        <f aca="false">IF(U760&lt;&gt;"",UPPER(TRIM(U760)),IF(BU760=1,UPPER(VLOOKUP(T760,Parameter!$I$27:$K$29,2,0)),IF(P760="","LOSE",P760)))</f>
        <v>S22</v>
      </c>
      <c r="BS760" s="57" t="n">
        <f aca="false">IF(BR760="LOSE",1,IF(N(V760)&gt;0,V760,IF(BU760=1,MAX(1,N(VLOOKUP(T760,Parameter!$I$27:$K$29,3,0)),H760,N(N760)),IF(N(Q760)&gt;0,Q760,MAX(1,H760)))))</f>
        <v>300</v>
      </c>
      <c r="BT760" s="60" t="n">
        <f aca="false">IF(BR760="LOSE",1,0)</f>
        <v>0</v>
      </c>
      <c r="BU760" s="60" t="n">
        <f aca="false">IF(AND(U760="",OR(P760="",P760="LOSE"),T760&lt;&gt;"",N(S760)&lt;=0,ISNUMBER(MATCH(T760,Parameter!$I$27:$I$29,0))),1,0)</f>
        <v>0</v>
      </c>
      <c r="BV760" s="55" t="str">
        <f aca="false">IF(AND(Parameter!$B$19="Ja",E760&lt;&gt;"",ISNUMBER(MATCH(E760,Parameter!$I$35:$I$52,0))),VLOOKUP(E760,Parameter!$I$35:$J$52,2,0),IFERROR(VLOOKUP(D760,Parameter!$A$35:$C$64,2,0),"Nein"))</f>
        <v>2+3</v>
      </c>
      <c r="BW760" s="59" t="n">
        <f aca="false">IF(BT760=0,0,IF(N(S760)&gt;0,S760,IFERROR(VLOOKUP(D760,Parameter!$A$35:$C$64,3,0)+0,0)))</f>
        <v>0</v>
      </c>
      <c r="BX760" s="55" t="n">
        <f aca="false">IF(AA760&lt;&gt;"",AA760,Z760)</f>
        <v>3</v>
      </c>
      <c r="BY760" s="55" t="str">
        <f aca="false">IF(BX760=1,"L1",IF(OR(BX760=2,BX760=3),"L23",IF(BX760="Aussen","Aussen","-")))</f>
        <v>L23</v>
      </c>
      <c r="BZ760" s="66" t="n">
        <f aca="false">IF(N(AB760)&gt;0,AB760,0)</f>
        <v>0</v>
      </c>
      <c r="CA760" s="60" t="n">
        <f aca="false">IF(ISNUMBER(AE760),1,0)</f>
        <v>0</v>
      </c>
      <c r="CB760" s="57" t="n">
        <f aca="false">N(AE760)</f>
        <v>0</v>
      </c>
      <c r="CC760" s="57" t="n">
        <f aca="false">N(M760)+N(N760)</f>
        <v>5</v>
      </c>
      <c r="CD760" s="57" t="n">
        <f aca="false">ROUNDUP(H760/BS760,0)</f>
        <v>1</v>
      </c>
      <c r="CE760" s="57" t="n">
        <f aca="false">ROUNDUP(CB760/BS760,0)</f>
        <v>0</v>
      </c>
      <c r="CF760" s="60" t="n">
        <f aca="false">IF(BT760=1,0,IFERROR(VLOOKUP(BR760,'Gebinde-Kategorie'!$A$5:$M$45,5,0)+0,0))</f>
        <v>8</v>
      </c>
      <c r="CG760" s="60" t="n">
        <f aca="false">IFERROR(IF(OR(BX760=1,BX760=2,BX760=3),N(INDEX(Parameter!$I$5:$I$7,BX760)),0),0)</f>
        <v>0</v>
      </c>
      <c r="CH760" s="59" t="n">
        <f aca="false">IF(AND(Parameter!$B$21="Ja",ISNUMBER(W760),N(X760)&gt;0),IFERROR(N(INDEX(Parameter!$L$5:$L$7,W760))*INDEX(Parameter!$E$5:$E$7,W760)*X760/SUMIFS($X$7:$X$1843,$W$7:$W$1843,W760),0),0)</f>
        <v>0</v>
      </c>
    </row>
    <row r="761" customFormat="false" ht="15" hidden="false" customHeight="false" outlineLevel="0" collapsed="false">
      <c r="A761" s="55" t="s">
        <v>1500</v>
      </c>
      <c r="B761" s="55" t="s">
        <v>1501</v>
      </c>
      <c r="C761" s="55" t="s">
        <v>456</v>
      </c>
      <c r="D761" s="55" t="s">
        <v>173</v>
      </c>
      <c r="E761" s="55"/>
      <c r="F761" s="55" t="s">
        <v>218</v>
      </c>
      <c r="G761" s="56" t="n">
        <v>0.01</v>
      </c>
      <c r="H761" s="57" t="n">
        <f aca="false">MAX(0,IF(AND(Parameter!$B$21="Ja",ISNUMBER(Y761)),Y761,IF(Parameter!$B$20="Jahresanfang 2025 + Export",BL761+BK761,BK761)))</f>
        <v>0</v>
      </c>
      <c r="I761" s="57" t="n">
        <f aca="false">H761*G761</f>
        <v>0</v>
      </c>
      <c r="J761" s="57" t="n">
        <f aca="false">BN761*Parameter!$B$18</f>
        <v>35</v>
      </c>
      <c r="K761" s="58" t="n">
        <v>79.5</v>
      </c>
      <c r="L761" s="59" t="n">
        <v>0.440251572327044</v>
      </c>
      <c r="M761" s="57" t="n">
        <v>0</v>
      </c>
      <c r="N761" s="57" t="n">
        <v>105</v>
      </c>
      <c r="O761" s="60" t="n">
        <v>14</v>
      </c>
      <c r="P761" s="55" t="s">
        <v>168</v>
      </c>
      <c r="Q761" s="57"/>
      <c r="R761" s="60" t="n">
        <f aca="false">IF(BT761=1,0,IFERROR(VLOOKUP(BR761,'Gebinde-Kategorie'!$A$5:$M$45,13,0)+0,0))</f>
        <v>12</v>
      </c>
      <c r="S761" s="61"/>
      <c r="T761" s="62" t="s">
        <v>179</v>
      </c>
      <c r="U761" s="62"/>
      <c r="V761" s="62"/>
      <c r="W761" s="55"/>
      <c r="X761" s="57"/>
      <c r="Y761" s="57"/>
      <c r="Z761" s="55" t="n">
        <f aca="false">IF(A761="","",IF(AND(Parameter!$B$21="Ja",ISNUMBER(W761)),W761,IF(BV761="2+3",IF(ISNUMBER(SEARCH("grosser Artikel",BO761)),2,IFERROR(VLOOKUP(BR761,Parameter!$F$35:$G$64,2,0),2)),IF(OR(BV761="Nein",BV761=""),"-",BV761))))</f>
        <v>2</v>
      </c>
      <c r="AA761" s="62"/>
      <c r="AB761" s="63"/>
      <c r="AC761" s="57" t="n">
        <f aca="false">AR761</f>
        <v>105</v>
      </c>
      <c r="AD761" s="57" t="n">
        <f aca="false">MAX(AR761,H761)</f>
        <v>105</v>
      </c>
      <c r="AE761" s="64"/>
      <c r="AF761" s="57" t="n">
        <f aca="false">IF(LEFT(Cockpit!$C$5,1)="A",H761,IF(CA761=1,CB761,IF(LEFT(Cockpit!$C$5,1)="B",AJ761,MAX(AJ761,H761))))</f>
        <v>0</v>
      </c>
      <c r="AG761" s="57" t="n">
        <f aca="false">IF(BT761=1,0,ROUNDUP(AF761/BS761,0))</f>
        <v>0</v>
      </c>
      <c r="AH761" s="59" t="n">
        <f aca="false">IF(CH761&gt;0,CH761*MAX(1,AF761/X761),IF(BT761=1,IF(AF761&lt;=0,0,BW761*MAX(1,IF(H761&gt;0,AF761/H761,1))),IF(R761&gt;0,AG761/R761,0))/MAX(0.1,N(Parameter!$M$21)))</f>
        <v>0</v>
      </c>
      <c r="AI761" s="57" t="n">
        <f aca="false">AF761*G761</f>
        <v>0</v>
      </c>
      <c r="AJ761" s="57" t="n">
        <f aca="false">ROUNDUP(MAX(J761/IF(BZ761&gt;0,BZ761,MAX(0.1,N(Cockpit!$C$6))),CC761)/BS761,0)*BS761</f>
        <v>105</v>
      </c>
      <c r="AK761" s="58" t="n">
        <f aca="false">IF(AH761&gt;0,J761/AH761,-1)</f>
        <v>-1</v>
      </c>
      <c r="AL761" s="58" t="str">
        <f aca="false">IF(AND(OR(BY761="L1",BY761="L23"),AH761&gt;0),SUMIFS($AH$7:$AH$1843,$BY$7:$BY$1843,BY761,$AK$7:$AK$1843,"&gt;"&amp;AK761)+SUMIFS($AH$7:$AH$1843,$BY$7:$BY$1843,BY761,$AK$7:$AK$1843,AK761,$BQ$7:$BQ$1843,"&lt;="&amp;BQ761),"")</f>
        <v/>
      </c>
      <c r="AM761" s="65" t="n">
        <f aca="false">IF(AL761="",0,MAX(0,MIN(1,(IF(BY761="L1",Parameter!$E$5,Parameter!$E$6+Parameter!$E$7)-(AL761-AH761))/AH761)))</f>
        <v>0</v>
      </c>
      <c r="AN761" s="57" t="n">
        <f aca="false">IF(LEFT(Cockpit!$I$5,1)="A",H761,IF(CA761=1,CB761,IF(LEFT(Cockpit!$I$5,1)="B",AR761,MAX(AR761,H761))))</f>
        <v>105</v>
      </c>
      <c r="AO761" s="57" t="n">
        <f aca="false">IF(BT761=1,0,ROUNDUP(AN761/BS761,0))</f>
        <v>1</v>
      </c>
      <c r="AP761" s="59" t="n">
        <f aca="false">IF(CH761&gt;0,CH761*MAX(1,AN761/X761),IF(BT761=1,IF(AN761&lt;=0,0,BW761*MAX(1,IF(H761&gt;0,AN761/H761,1))),IF(R761&gt;0,AO761/R761,0))/MAX(0.1,N(Parameter!$M$21)))</f>
        <v>0.0833333333333333</v>
      </c>
      <c r="AQ761" s="57" t="n">
        <f aca="false">AN761*G761</f>
        <v>1.05</v>
      </c>
      <c r="AR761" s="57" t="n">
        <f aca="false">ROUNDUP(MAX(J761/IF(BZ761&gt;0,BZ761,MAX(0.1,N(Cockpit!$I$6))),CC761)/BS761,0)*BS761</f>
        <v>105</v>
      </c>
      <c r="AS761" s="58" t="n">
        <f aca="false">IF(AP761&gt;0,J761/AP761,-1)</f>
        <v>420</v>
      </c>
      <c r="AT761" s="58" t="n">
        <f aca="false">IF(AND(OR(BY761="L1",BY761="L23"),AP761&gt;0),SUMIFS($AP$7:$AP$1843,$BY$7:$BY$1843,BY761,$AS$7:$AS$1843,"&gt;"&amp;AS761)+SUMIFS($AP$7:$AP$1843,$BY$7:$BY$1843,BY761,$AS$7:$AS$1843,AS761,$BQ$7:$BQ$1843,"&lt;="&amp;BQ761),"")</f>
        <v>34.7552363095841</v>
      </c>
      <c r="AU761" s="65" t="n">
        <f aca="false">IF(AT761="",0,MAX(0,MIN(1,(IF(BY761="L1",Parameter!$E$5,Parameter!$E$6+Parameter!$E$7)-(AT761-AP761))/AP761)))</f>
        <v>1</v>
      </c>
      <c r="AV761" s="57" t="n">
        <f aca="false">IF(LEFT(Cockpit!$O$5,1)="A",H761,IF(CA761=1,CB761,IF(LEFT(Cockpit!$O$5,1)="B",AZ761,MAX(AZ761,H761))))</f>
        <v>105</v>
      </c>
      <c r="AW761" s="57" t="n">
        <f aca="false">IF(BT761=1,0,ROUNDUP(AV761/BS761,0))</f>
        <v>1</v>
      </c>
      <c r="AX761" s="59" t="n">
        <f aca="false">IF(CH761&gt;0,CH761*MAX(1,AV761/X761),IF(BT761=1,IF(AV761&lt;=0,0,BW761*MAX(1,IF(H761&gt;0,AV761/H761,1))),IF(R761&gt;0,AW761/R761,0))/MAX(0.1,N(Parameter!$M$21)))</f>
        <v>0.0833333333333333</v>
      </c>
      <c r="AY761" s="57" t="n">
        <f aca="false">AV761*G761</f>
        <v>1.05</v>
      </c>
      <c r="AZ761" s="57" t="n">
        <f aca="false">ROUNDUP(MAX(J761/IF(BZ761&gt;0,BZ761,MAX(0.1,N(Cockpit!$O$6))),CC761)/BS761,0)*BS761</f>
        <v>105</v>
      </c>
      <c r="BA761" s="58" t="n">
        <f aca="false">IF(AX761&gt;0,J761/AX761,-1)</f>
        <v>420</v>
      </c>
      <c r="BB761" s="58" t="n">
        <f aca="false">IF(AND(OR(BY761="L1",BY761="L23"),AX761&gt;0),SUMIFS($AX$7:$AX$1843,$BY$7:$BY$1843,BY761,$BA$7:$BA$1843,"&gt;"&amp;BA761)+SUMIFS($AX$7:$AX$1843,$BY$7:$BY$1843,BY761,$BA$7:$BA$1843,BA761,$BQ$7:$BQ$1843,"&lt;="&amp;BQ761),"")</f>
        <v>34.1684064727543</v>
      </c>
      <c r="BC761" s="65" t="n">
        <f aca="false">IF(BB761="",0,MAX(0,MIN(1,(IF(BY761="L1",Parameter!$E$5,Parameter!$E$6+Parameter!$E$7)-(BB761-AX761))/AX761)))</f>
        <v>1</v>
      </c>
      <c r="BD761" s="55" t="str">
        <f aca="false">IF(AH761&lt;=0,"",IF(BY761="Aussen","Aussenlager",IF(BY761="-","Nicht im Lift",IF(AM761&gt;=1,"Lift",IF(AM761&lt;=0,"Aussenlager","teilweise")))))</f>
        <v/>
      </c>
      <c r="BE761" s="55" t="str">
        <f aca="false">IF(AP761&lt;=0,"",IF(BY761="Aussen","Aussenlager",IF(BY761="-","Nicht im Lift",IF(AU761&gt;=1,"Lift",IF(AU761&lt;=0,"Aussenlager","teilweise")))))</f>
        <v>Lift</v>
      </c>
      <c r="BF761" s="55" t="str">
        <f aca="false">IF(AX761&lt;=0,"",IF(BY761="Aussen","Aussenlager",IF(BY761="-","Nicht im Lift",IF(BC761&gt;=1,"Lift",IF(BC761&lt;=0,"Aussenlager","teilweise")))))</f>
        <v>Lift</v>
      </c>
      <c r="BG761" s="55" t="str">
        <f aca="false">IF(A761="","",IF(BP761=1,"Neu; ","")&amp;IF(AND(BP761=0,BK761&lt;0),"negativer Bestand (Export "&amp;BK761&amp;"); ","")&amp;IF(J761&lt;=0,"Kein Verbrauch; ","")&amp;IF(CH761&gt;0,"Lift "&amp;W761&amp;" lt. Liftbericht (Fach "&amp;X761&amp;" Stk); ",IF(BU761=1,"Gebinde geschätzt ("&amp;T761&amp;"); ",IF(BT761=1,"Lose – Tablare geschätzt; ","")))&amp;IF(H761&gt;AR761,"Überbestand "&amp;ROUND(H761-AR761,0)&amp;" Stk / CHF "&amp;ROUND((H761-AR761)*G761,0)&amp;"; ","")&amp;IF(AND(CA761=1,CB761&lt;CC761),"MAX &lt; MB+LG; ","")&amp;IF(AND(CG761&gt;0,CF761*10&gt;CG761),"zu hoch für Tablar; ","")&amp;IF(AND(BP761=0,OR(CA761=1,AA761&lt;&gt;"",U761&lt;&gt;"",V761&lt;&gt;"",AB761&lt;&gt;"")),"manuell übersteuert; ","")&amp;IF(AND(BT761=0,R761=0),"Gebinde unbekannt / Stellmass fehlt; ","")&amp;IF(AND(BT761=0,N(V761)&lt;=0,N(Q761)&lt;=0),"Menge pro Gebinde fehlt (Ist = 1 Gebinde); ","")&amp;BO761)</f>
        <v>negativer Bestand (Export -67); Gebinde geschätzt (Mittel); Menge pro Gebinde fehlt (Ist = 1 Gebinde); </v>
      </c>
      <c r="BH761" s="55"/>
      <c r="BI761" s="55"/>
      <c r="BJ761" s="62"/>
      <c r="BK761" s="57" t="n">
        <v>-67</v>
      </c>
      <c r="BL761" s="57" t="n">
        <v>67</v>
      </c>
      <c r="BM761" s="56" t="n">
        <v>-0.67</v>
      </c>
      <c r="BN761" s="57" t="n">
        <v>35</v>
      </c>
      <c r="BO761" s="55"/>
      <c r="BP761" s="60" t="n">
        <v>0</v>
      </c>
      <c r="BQ761" s="60" t="n">
        <v>761</v>
      </c>
      <c r="BR761" s="55" t="str">
        <f aca="false">IF(U761&lt;&gt;"",UPPER(TRIM(U761)),IF(BU761=1,UPPER(VLOOKUP(T761,Parameter!$I$27:$K$29,2,0)),IF(P761="","LOSE",P761)))</f>
        <v>S61</v>
      </c>
      <c r="BS761" s="57" t="n">
        <f aca="false">IF(BR761="LOSE",1,IF(N(V761)&gt;0,V761,IF(BU761=1,MAX(1,N(VLOOKUP(T761,Parameter!$I$27:$K$29,3,0)),H761,N(N761)),IF(N(Q761)&gt;0,Q761,MAX(1,H761)))))</f>
        <v>105</v>
      </c>
      <c r="BT761" s="60" t="n">
        <f aca="false">IF(BR761="LOSE",1,0)</f>
        <v>0</v>
      </c>
      <c r="BU761" s="60" t="n">
        <f aca="false">IF(AND(U761="",OR(P761="",P761="LOSE"),T761&lt;&gt;"",N(S761)&lt;=0,ISNUMBER(MATCH(T761,Parameter!$I$27:$I$29,0))),1,0)</f>
        <v>1</v>
      </c>
      <c r="BV761" s="55" t="str">
        <f aca="false">IF(AND(Parameter!$B$19="Ja",E761&lt;&gt;"",ISNUMBER(MATCH(E761,Parameter!$I$35:$I$52,0))),VLOOKUP(E761,Parameter!$I$35:$J$52,2,0),IFERROR(VLOOKUP(D761,Parameter!$A$35:$C$64,2,0),"Nein"))</f>
        <v>2+3</v>
      </c>
      <c r="BW761" s="59" t="n">
        <f aca="false">IF(BT761=0,0,IF(N(S761)&gt;0,S761,IFERROR(VLOOKUP(D761,Parameter!$A$35:$C$64,3,0)+0,0)))</f>
        <v>0</v>
      </c>
      <c r="BX761" s="55" t="n">
        <f aca="false">IF(AA761&lt;&gt;"",AA761,Z761)</f>
        <v>2</v>
      </c>
      <c r="BY761" s="55" t="str">
        <f aca="false">IF(BX761=1,"L1",IF(OR(BX761=2,BX761=3),"L23",IF(BX761="Aussen","Aussen","-")))</f>
        <v>L23</v>
      </c>
      <c r="BZ761" s="66" t="n">
        <f aca="false">IF(N(AB761)&gt;0,AB761,0)</f>
        <v>0</v>
      </c>
      <c r="CA761" s="60" t="n">
        <f aca="false">IF(ISNUMBER(AE761),1,0)</f>
        <v>0</v>
      </c>
      <c r="CB761" s="57" t="n">
        <f aca="false">N(AE761)</f>
        <v>0</v>
      </c>
      <c r="CC761" s="57" t="n">
        <f aca="false">N(M761)+N(N761)</f>
        <v>105</v>
      </c>
      <c r="CD761" s="57" t="n">
        <f aca="false">ROUNDUP(H761/BS761,0)</f>
        <v>0</v>
      </c>
      <c r="CE761" s="57" t="n">
        <f aca="false">ROUNDUP(CB761/BS761,0)</f>
        <v>0</v>
      </c>
      <c r="CF761" s="60" t="n">
        <f aca="false">IF(BT761=1,0,IFERROR(VLOOKUP(BR761,'Gebinde-Kategorie'!$A$5:$M$45,5,0)+0,0))</f>
        <v>11</v>
      </c>
      <c r="CG761" s="60" t="n">
        <f aca="false">IFERROR(IF(OR(BX761=1,BX761=2,BX761=3),N(INDEX(Parameter!$I$5:$I$7,BX761)),0),0)</f>
        <v>0</v>
      </c>
      <c r="CH761" s="59" t="n">
        <f aca="false">IF(AND(Parameter!$B$21="Ja",ISNUMBER(W761),N(X761)&gt;0),IFERROR(N(INDEX(Parameter!$L$5:$L$7,W761))*INDEX(Parameter!$E$5:$E$7,W761)*X761/SUMIFS($X$7:$X$1843,$W$7:$W$1843,W761),0),0)</f>
        <v>0</v>
      </c>
    </row>
    <row r="762" customFormat="false" ht="15" hidden="false" customHeight="false" outlineLevel="0" collapsed="false">
      <c r="A762" s="55" t="s">
        <v>1502</v>
      </c>
      <c r="B762" s="55" t="s">
        <v>405</v>
      </c>
      <c r="C762" s="55" t="s">
        <v>164</v>
      </c>
      <c r="D762" s="55" t="s">
        <v>184</v>
      </c>
      <c r="E762" s="55" t="s">
        <v>185</v>
      </c>
      <c r="F762" s="55" t="s">
        <v>218</v>
      </c>
      <c r="G762" s="56" t="n">
        <v>0.02</v>
      </c>
      <c r="H762" s="57" t="n">
        <f aca="false">MAX(0,IF(AND(Parameter!$B$21="Ja",ISNUMBER(Y762)),Y762,IF(Parameter!$B$20="Jahresanfang 2025 + Export",BL762+BK762,BK762)))</f>
        <v>670</v>
      </c>
      <c r="I762" s="57" t="n">
        <f aca="false">H762*G762</f>
        <v>13.4</v>
      </c>
      <c r="J762" s="57" t="n">
        <f aca="false">BN762*Parameter!$B$18</f>
        <v>16</v>
      </c>
      <c r="K762" s="58" t="n">
        <v>695</v>
      </c>
      <c r="L762" s="59" t="n">
        <v>0.023021582733813</v>
      </c>
      <c r="M762" s="57" t="n">
        <v>0</v>
      </c>
      <c r="N762" s="57" t="n">
        <v>15</v>
      </c>
      <c r="O762" s="60" t="n">
        <v>14</v>
      </c>
      <c r="P762" s="55" t="s">
        <v>476</v>
      </c>
      <c r="Q762" s="57" t="n">
        <v>752</v>
      </c>
      <c r="R762" s="60" t="n">
        <f aca="false">IF(BT762=1,0,IFERROR(VLOOKUP(BR762,'Gebinde-Kategorie'!$A$5:$M$45,13,0)+0,0))</f>
        <v>66</v>
      </c>
      <c r="S762" s="61"/>
      <c r="T762" s="62"/>
      <c r="U762" s="62"/>
      <c r="V762" s="62"/>
      <c r="W762" s="55"/>
      <c r="X762" s="57"/>
      <c r="Y762" s="57"/>
      <c r="Z762" s="55" t="n">
        <f aca="false">IF(A762="","",IF(AND(Parameter!$B$21="Ja",ISNUMBER(W762)),W762,IF(BV762="2+3",IF(ISNUMBER(SEARCH("grosser Artikel",BO762)),2,IFERROR(VLOOKUP(BR762,Parameter!$F$35:$G$64,2,0),2)),IF(OR(BV762="Nein",BV762=""),"-",BV762))))</f>
        <v>3</v>
      </c>
      <c r="AA762" s="62"/>
      <c r="AB762" s="63"/>
      <c r="AC762" s="57" t="n">
        <f aca="false">AR762</f>
        <v>752</v>
      </c>
      <c r="AD762" s="57" t="n">
        <f aca="false">MAX(AR762,H762)</f>
        <v>752</v>
      </c>
      <c r="AE762" s="64"/>
      <c r="AF762" s="57" t="n">
        <f aca="false">IF(LEFT(Cockpit!$C$5,1)="A",H762,IF(CA762=1,CB762,IF(LEFT(Cockpit!$C$5,1)="B",AJ762,MAX(AJ762,H762))))</f>
        <v>670</v>
      </c>
      <c r="AG762" s="57" t="n">
        <f aca="false">IF(BT762=1,0,ROUNDUP(AF762/BS762,0))</f>
        <v>1</v>
      </c>
      <c r="AH762" s="59" t="n">
        <f aca="false">IF(CH762&gt;0,CH762*MAX(1,AF762/X762),IF(BT762=1,IF(AF762&lt;=0,0,BW762*MAX(1,IF(H762&gt;0,AF762/H762,1))),IF(R762&gt;0,AG762/R762,0))/MAX(0.1,N(Parameter!$M$21)))</f>
        <v>0.0151515151515152</v>
      </c>
      <c r="AI762" s="57" t="n">
        <f aca="false">AF762*G762</f>
        <v>13.4</v>
      </c>
      <c r="AJ762" s="57" t="n">
        <f aca="false">ROUNDUP(MAX(J762/IF(BZ762&gt;0,BZ762,MAX(0.1,N(Cockpit!$C$6))),CC762)/BS762,0)*BS762</f>
        <v>752</v>
      </c>
      <c r="AK762" s="58" t="n">
        <f aca="false">IF(AH762&gt;0,J762/AH762,-1)</f>
        <v>1056</v>
      </c>
      <c r="AL762" s="58" t="n">
        <f aca="false">IF(AND(OR(BY762="L1",BY762="L23"),AH762&gt;0),SUMIFS($AH$7:$AH$1843,$BY$7:$BY$1843,BY762,$AK$7:$AK$1843,"&gt;"&amp;AK762)+SUMIFS($AH$7:$AH$1843,$BY$7:$BY$1843,BY762,$AK$7:$AK$1843,AK762,$BQ$7:$BQ$1843,"&lt;="&amp;BQ762),"")</f>
        <v>17.2247643660687</v>
      </c>
      <c r="AM762" s="65" t="n">
        <f aca="false">IF(AL762="",0,MAX(0,MIN(1,(IF(BY762="L1",Parameter!$E$5,Parameter!$E$6+Parameter!$E$7)-(AL762-AH762))/AH762)))</f>
        <v>1</v>
      </c>
      <c r="AN762" s="57" t="n">
        <f aca="false">IF(LEFT(Cockpit!$I$5,1)="A",H762,IF(CA762=1,CB762,IF(LEFT(Cockpit!$I$5,1)="B",AR762,MAX(AR762,H762))))</f>
        <v>752</v>
      </c>
      <c r="AO762" s="57" t="n">
        <f aca="false">IF(BT762=1,0,ROUNDUP(AN762/BS762,0))</f>
        <v>1</v>
      </c>
      <c r="AP762" s="59" t="n">
        <f aca="false">IF(CH762&gt;0,CH762*MAX(1,AN762/X762),IF(BT762=1,IF(AN762&lt;=0,0,BW762*MAX(1,IF(H762&gt;0,AN762/H762,1))),IF(R762&gt;0,AO762/R762,0))/MAX(0.1,N(Parameter!$M$21)))</f>
        <v>0.0151515151515152</v>
      </c>
      <c r="AQ762" s="57" t="n">
        <f aca="false">AN762*G762</f>
        <v>15.04</v>
      </c>
      <c r="AR762" s="57" t="n">
        <f aca="false">ROUNDUP(MAX(J762/IF(BZ762&gt;0,BZ762,MAX(0.1,N(Cockpit!$I$6))),CC762)/BS762,0)*BS762</f>
        <v>752</v>
      </c>
      <c r="AS762" s="58" t="n">
        <f aca="false">IF(AP762&gt;0,J762/AP762,-1)</f>
        <v>1056</v>
      </c>
      <c r="AT762" s="58" t="n">
        <f aca="false">IF(AND(OR(BY762="L1",BY762="L23"),AP762&gt;0),SUMIFS($AP$7:$AP$1843,$BY$7:$BY$1843,BY762,$AS$7:$AS$1843,"&gt;"&amp;AS762)+SUMIFS($AP$7:$AP$1843,$BY$7:$BY$1843,BY762,$AS$7:$AS$1843,AS762,$BQ$7:$BQ$1843,"&lt;="&amp;BQ762),"")</f>
        <v>23.4261004695787</v>
      </c>
      <c r="AU762" s="65" t="n">
        <f aca="false">IF(AT762="",0,MAX(0,MIN(1,(IF(BY762="L1",Parameter!$E$5,Parameter!$E$6+Parameter!$E$7)-(AT762-AP762))/AP762)))</f>
        <v>1</v>
      </c>
      <c r="AV762" s="57" t="n">
        <f aca="false">IF(LEFT(Cockpit!$O$5,1)="A",H762,IF(CA762=1,CB762,IF(LEFT(Cockpit!$O$5,1)="B",AZ762,MAX(AZ762,H762))))</f>
        <v>752</v>
      </c>
      <c r="AW762" s="57" t="n">
        <f aca="false">IF(BT762=1,0,ROUNDUP(AV762/BS762,0))</f>
        <v>1</v>
      </c>
      <c r="AX762" s="59" t="n">
        <f aca="false">IF(CH762&gt;0,CH762*MAX(1,AV762/X762),IF(BT762=1,IF(AV762&lt;=0,0,BW762*MAX(1,IF(H762&gt;0,AV762/H762,1))),IF(R762&gt;0,AW762/R762,0))/MAX(0.1,N(Parameter!$M$21)))</f>
        <v>0.0151515151515152</v>
      </c>
      <c r="AY762" s="57" t="n">
        <f aca="false">AV762*G762</f>
        <v>15.04</v>
      </c>
      <c r="AZ762" s="57" t="n">
        <f aca="false">ROUNDUP(MAX(J762/IF(BZ762&gt;0,BZ762,MAX(0.1,N(Cockpit!$O$6))),CC762)/BS762,0)*BS762</f>
        <v>752</v>
      </c>
      <c r="BA762" s="58" t="n">
        <f aca="false">IF(AX762&gt;0,J762/AX762,-1)</f>
        <v>1056</v>
      </c>
      <c r="BB762" s="58" t="n">
        <f aca="false">IF(AND(OR(BY762="L1",BY762="L23"),AX762&gt;0),SUMIFS($AX$7:$AX$1843,$BY$7:$BY$1843,BY762,$BA$7:$BA$1843,"&gt;"&amp;BA762)+SUMIFS($AX$7:$AX$1843,$BY$7:$BY$1843,BY762,$BA$7:$BA$1843,BA762,$BQ$7:$BQ$1843,"&lt;="&amp;BQ762),"")</f>
        <v>22.6213219148002</v>
      </c>
      <c r="BC762" s="65" t="n">
        <f aca="false">IF(BB762="",0,MAX(0,MIN(1,(IF(BY762="L1",Parameter!$E$5,Parameter!$E$6+Parameter!$E$7)-(BB762-AX762))/AX762)))</f>
        <v>1</v>
      </c>
      <c r="BD762" s="55" t="str">
        <f aca="false">IF(AH762&lt;=0,"",IF(BY762="Aussen","Aussenlager",IF(BY762="-","Nicht im Lift",IF(AM762&gt;=1,"Lift",IF(AM762&lt;=0,"Aussenlager","teilweise")))))</f>
        <v>Lift</v>
      </c>
      <c r="BE762" s="55" t="str">
        <f aca="false">IF(AP762&lt;=0,"",IF(BY762="Aussen","Aussenlager",IF(BY762="-","Nicht im Lift",IF(AU762&gt;=1,"Lift",IF(AU762&lt;=0,"Aussenlager","teilweise")))))</f>
        <v>Lift</v>
      </c>
      <c r="BF762" s="55" t="str">
        <f aca="false">IF(AX762&lt;=0,"",IF(BY762="Aussen","Aussenlager",IF(BY762="-","Nicht im Lift",IF(BC762&gt;=1,"Lift",IF(BC762&lt;=0,"Aussenlager","teilweise")))))</f>
        <v>Lift</v>
      </c>
      <c r="BG762" s="55" t="str">
        <f aca="false">IF(A762="","",IF(BP762=1,"Neu; ","")&amp;IF(AND(BP762=0,BK762&lt;0),"negativer Bestand (Export "&amp;BK762&amp;"); ","")&amp;IF(J762&lt;=0,"Kein Verbrauch; ","")&amp;IF(CH762&gt;0,"Lift "&amp;W762&amp;" lt. Liftbericht (Fach "&amp;X762&amp;" Stk); ",IF(BU762=1,"Gebinde geschätzt ("&amp;T762&amp;"); ",IF(BT762=1,"Lose – Tablare geschätzt; ","")))&amp;IF(H762&gt;AR762,"Überbestand "&amp;ROUND(H762-AR762,0)&amp;" Stk / CHF "&amp;ROUND((H762-AR762)*G762,0)&amp;"; ","")&amp;IF(AND(CA762=1,CB762&lt;CC762),"MAX &lt; MB+LG; ","")&amp;IF(AND(CG762&gt;0,CF762*10&gt;CG762),"zu hoch für Tablar; ","")&amp;IF(AND(BP762=0,OR(CA762=1,AA762&lt;&gt;"",U762&lt;&gt;"",V762&lt;&gt;"",AB762&lt;&gt;"")),"manuell übersteuert; ","")&amp;IF(AND(BT762=0,R762=0),"Gebinde unbekannt / Stellmass fehlt; ","")&amp;IF(AND(BT762=0,N(V762)&lt;=0,N(Q762)&lt;=0),"Menge pro Gebinde fehlt (Ist = 1 Gebinde); ","")&amp;BO762)</f>
        <v>negativer Bestand (Export -34); Überbestand</v>
      </c>
      <c r="BH762" s="55"/>
      <c r="BI762" s="55"/>
      <c r="BJ762" s="62"/>
      <c r="BK762" s="57" t="n">
        <v>-34</v>
      </c>
      <c r="BL762" s="57" t="n">
        <v>704</v>
      </c>
      <c r="BM762" s="56" t="n">
        <v>-0.68</v>
      </c>
      <c r="BN762" s="57" t="n">
        <v>16</v>
      </c>
      <c r="BO762" s="55" t="s">
        <v>392</v>
      </c>
      <c r="BP762" s="60" t="n">
        <v>0</v>
      </c>
      <c r="BQ762" s="60" t="n">
        <v>762</v>
      </c>
      <c r="BR762" s="55" t="str">
        <f aca="false">IF(U762&lt;&gt;"",UPPER(TRIM(U762)),IF(BU762=1,UPPER(VLOOKUP(T762,Parameter!$I$27:$K$29,2,0)),IF(P762="","LOSE",P762)))</f>
        <v>S33</v>
      </c>
      <c r="BS762" s="57" t="n">
        <f aca="false">IF(BR762="LOSE",1,IF(N(V762)&gt;0,V762,IF(BU762=1,MAX(1,N(VLOOKUP(T762,Parameter!$I$27:$K$29,3,0)),H762,N(N762)),IF(N(Q762)&gt;0,Q762,MAX(1,H762)))))</f>
        <v>752</v>
      </c>
      <c r="BT762" s="60" t="n">
        <f aca="false">IF(BR762="LOSE",1,0)</f>
        <v>0</v>
      </c>
      <c r="BU762" s="60" t="n">
        <f aca="false">IF(AND(U762="",OR(P762="",P762="LOSE"),T762&lt;&gt;"",N(S762)&lt;=0,ISNUMBER(MATCH(T762,Parameter!$I$27:$I$29,0))),1,0)</f>
        <v>0</v>
      </c>
      <c r="BV762" s="55" t="str">
        <f aca="false">IF(AND(Parameter!$B$19="Ja",E762&lt;&gt;"",ISNUMBER(MATCH(E762,Parameter!$I$35:$I$52,0))),VLOOKUP(E762,Parameter!$I$35:$J$52,2,0),IFERROR(VLOOKUP(D762,Parameter!$A$35:$C$64,2,0),"Nein"))</f>
        <v>2+3</v>
      </c>
      <c r="BW762" s="59" t="n">
        <f aca="false">IF(BT762=0,0,IF(N(S762)&gt;0,S762,IFERROR(VLOOKUP(D762,Parameter!$A$35:$C$64,3,0)+0,0)))</f>
        <v>0</v>
      </c>
      <c r="BX762" s="55" t="n">
        <f aca="false">IF(AA762&lt;&gt;"",AA762,Z762)</f>
        <v>3</v>
      </c>
      <c r="BY762" s="55" t="str">
        <f aca="false">IF(BX762=1,"L1",IF(OR(BX762=2,BX762=3),"L23",IF(BX762="Aussen","Aussen","-")))</f>
        <v>L23</v>
      </c>
      <c r="BZ762" s="66" t="n">
        <f aca="false">IF(N(AB762)&gt;0,AB762,0)</f>
        <v>0</v>
      </c>
      <c r="CA762" s="60" t="n">
        <f aca="false">IF(ISNUMBER(AE762),1,0)</f>
        <v>0</v>
      </c>
      <c r="CB762" s="57" t="n">
        <f aca="false">N(AE762)</f>
        <v>0</v>
      </c>
      <c r="CC762" s="57" t="n">
        <f aca="false">N(M762)+N(N762)</f>
        <v>15</v>
      </c>
      <c r="CD762" s="57" t="n">
        <f aca="false">ROUNDUP(H762/BS762,0)</f>
        <v>1</v>
      </c>
      <c r="CE762" s="57" t="n">
        <f aca="false">ROUNDUP(CB762/BS762,0)</f>
        <v>0</v>
      </c>
      <c r="CF762" s="60" t="n">
        <f aca="false">IF(BT762=1,0,IFERROR(VLOOKUP(BR762,'Gebinde-Kategorie'!$A$5:$M$45,5,0)+0,0))</f>
        <v>8</v>
      </c>
      <c r="CG762" s="60" t="n">
        <f aca="false">IFERROR(IF(OR(BX762=1,BX762=2,BX762=3),N(INDEX(Parameter!$I$5:$I$7,BX762)),0),0)</f>
        <v>0</v>
      </c>
      <c r="CH762" s="59" t="n">
        <f aca="false">IF(AND(Parameter!$B$21="Ja",ISNUMBER(W762),N(X762)&gt;0),IFERROR(N(INDEX(Parameter!$L$5:$L$7,W762))*INDEX(Parameter!$E$5:$E$7,W762)*X762/SUMIFS($X$7:$X$1843,$W$7:$W$1843,W762),0),0)</f>
        <v>0</v>
      </c>
    </row>
    <row r="763" customFormat="false" ht="15" hidden="false" customHeight="false" outlineLevel="0" collapsed="false">
      <c r="A763" s="55" t="s">
        <v>1503</v>
      </c>
      <c r="B763" s="55" t="s">
        <v>405</v>
      </c>
      <c r="C763" s="55" t="s">
        <v>164</v>
      </c>
      <c r="D763" s="55" t="s">
        <v>184</v>
      </c>
      <c r="E763" s="55" t="s">
        <v>185</v>
      </c>
      <c r="F763" s="55" t="s">
        <v>218</v>
      </c>
      <c r="G763" s="56" t="n">
        <v>0.03</v>
      </c>
      <c r="H763" s="57" t="n">
        <f aca="false">MAX(0,IF(AND(Parameter!$B$21="Ja",ISNUMBER(Y763)),Y763,IF(Parameter!$B$20="Jahresanfang 2025 + Export",BL763+BK763,BK763)))</f>
        <v>201</v>
      </c>
      <c r="I763" s="57" t="n">
        <f aca="false">H763*G763</f>
        <v>6.03</v>
      </c>
      <c r="J763" s="57" t="n">
        <f aca="false">BN763*Parameter!$B$18</f>
        <v>28</v>
      </c>
      <c r="K763" s="58" t="n">
        <v>213.5</v>
      </c>
      <c r="L763" s="59" t="n">
        <v>0.131147540983607</v>
      </c>
      <c r="M763" s="57" t="n">
        <v>1</v>
      </c>
      <c r="N763" s="57" t="n">
        <v>30</v>
      </c>
      <c r="O763" s="60" t="n">
        <v>14</v>
      </c>
      <c r="P763" s="55" t="s">
        <v>421</v>
      </c>
      <c r="Q763" s="57" t="n">
        <v>261</v>
      </c>
      <c r="R763" s="60" t="n">
        <f aca="false">IF(BT763=1,0,IFERROR(VLOOKUP(BR763,'Gebinde-Kategorie'!$A$5:$M$45,13,0)+0,0))</f>
        <v>132</v>
      </c>
      <c r="S763" s="61"/>
      <c r="T763" s="62"/>
      <c r="U763" s="62"/>
      <c r="V763" s="62"/>
      <c r="W763" s="55"/>
      <c r="X763" s="57"/>
      <c r="Y763" s="57"/>
      <c r="Z763" s="55" t="n">
        <f aca="false">IF(A763="","",IF(AND(Parameter!$B$21="Ja",ISNUMBER(W763)),W763,IF(BV763="2+3",IF(ISNUMBER(SEARCH("grosser Artikel",BO763)),2,IFERROR(VLOOKUP(BR763,Parameter!$F$35:$G$64,2,0),2)),IF(OR(BV763="Nein",BV763=""),"-",BV763))))</f>
        <v>3</v>
      </c>
      <c r="AA763" s="62"/>
      <c r="AB763" s="63"/>
      <c r="AC763" s="57" t="n">
        <f aca="false">AR763</f>
        <v>261</v>
      </c>
      <c r="AD763" s="57" t="n">
        <f aca="false">MAX(AR763,H763)</f>
        <v>261</v>
      </c>
      <c r="AE763" s="64"/>
      <c r="AF763" s="57" t="n">
        <f aca="false">IF(LEFT(Cockpit!$C$5,1)="A",H763,IF(CA763=1,CB763,IF(LEFT(Cockpit!$C$5,1)="B",AJ763,MAX(AJ763,H763))))</f>
        <v>201</v>
      </c>
      <c r="AG763" s="57" t="n">
        <f aca="false">IF(BT763=1,0,ROUNDUP(AF763/BS763,0))</f>
        <v>1</v>
      </c>
      <c r="AH763" s="59" t="n">
        <f aca="false">IF(CH763&gt;0,CH763*MAX(1,AF763/X763),IF(BT763=1,IF(AF763&lt;=0,0,BW763*MAX(1,IF(H763&gt;0,AF763/H763,1))),IF(R763&gt;0,AG763/R763,0))/MAX(0.1,N(Parameter!$M$21)))</f>
        <v>0.00757575757575758</v>
      </c>
      <c r="AI763" s="57" t="n">
        <f aca="false">AF763*G763</f>
        <v>6.03</v>
      </c>
      <c r="AJ763" s="57" t="n">
        <f aca="false">ROUNDUP(MAX(J763/IF(BZ763&gt;0,BZ763,MAX(0.1,N(Cockpit!$C$6))),CC763)/BS763,0)*BS763</f>
        <v>261</v>
      </c>
      <c r="AK763" s="58" t="n">
        <f aca="false">IF(AH763&gt;0,J763/AH763,-1)</f>
        <v>3696</v>
      </c>
      <c r="AL763" s="58" t="n">
        <f aca="false">IF(AND(OR(BY763="L1",BY763="L23"),AH763&gt;0),SUMIFS($AH$7:$AH$1843,$BY$7:$BY$1843,BY763,$AK$7:$AK$1843,"&gt;"&amp;AK763)+SUMIFS($AH$7:$AH$1843,$BY$7:$BY$1843,BY763,$AK$7:$AK$1843,AK763,$BQ$7:$BQ$1843,"&lt;="&amp;BQ763),"")</f>
        <v>9.07686395729874</v>
      </c>
      <c r="AM763" s="65" t="n">
        <f aca="false">IF(AL763="",0,MAX(0,MIN(1,(IF(BY763="L1",Parameter!$E$5,Parameter!$E$6+Parameter!$E$7)-(AL763-AH763))/AH763)))</f>
        <v>1</v>
      </c>
      <c r="AN763" s="57" t="n">
        <f aca="false">IF(LEFT(Cockpit!$I$5,1)="A",H763,IF(CA763=1,CB763,IF(LEFT(Cockpit!$I$5,1)="B",AR763,MAX(AR763,H763))))</f>
        <v>261</v>
      </c>
      <c r="AO763" s="57" t="n">
        <f aca="false">IF(BT763=1,0,ROUNDUP(AN763/BS763,0))</f>
        <v>1</v>
      </c>
      <c r="AP763" s="59" t="n">
        <f aca="false">IF(CH763&gt;0,CH763*MAX(1,AN763/X763),IF(BT763=1,IF(AN763&lt;=0,0,BW763*MAX(1,IF(H763&gt;0,AN763/H763,1))),IF(R763&gt;0,AO763/R763,0))/MAX(0.1,N(Parameter!$M$21)))</f>
        <v>0.00757575757575758</v>
      </c>
      <c r="AQ763" s="57" t="n">
        <f aca="false">AN763*G763</f>
        <v>7.83</v>
      </c>
      <c r="AR763" s="57" t="n">
        <f aca="false">ROUNDUP(MAX(J763/IF(BZ763&gt;0,BZ763,MAX(0.1,N(Cockpit!$I$6))),CC763)/BS763,0)*BS763</f>
        <v>261</v>
      </c>
      <c r="AS763" s="58" t="n">
        <f aca="false">IF(AP763&gt;0,J763/AP763,-1)</f>
        <v>3696</v>
      </c>
      <c r="AT763" s="58" t="n">
        <f aca="false">IF(AND(OR(BY763="L1",BY763="L23"),AP763&gt;0),SUMIFS($AP$7:$AP$1843,$BY$7:$BY$1843,BY763,$AS$7:$AS$1843,"&gt;"&amp;AS763)+SUMIFS($AP$7:$AP$1843,$BY$7:$BY$1843,BY763,$AS$7:$AS$1843,AS763,$BQ$7:$BQ$1843,"&lt;="&amp;BQ763),"")</f>
        <v>13.8888719975677</v>
      </c>
      <c r="AU763" s="65" t="n">
        <f aca="false">IF(AT763="",0,MAX(0,MIN(1,(IF(BY763="L1",Parameter!$E$5,Parameter!$E$6+Parameter!$E$7)-(AT763-AP763))/AP763)))</f>
        <v>1</v>
      </c>
      <c r="AV763" s="57" t="n">
        <f aca="false">IF(LEFT(Cockpit!$O$5,1)="A",H763,IF(CA763=1,CB763,IF(LEFT(Cockpit!$O$5,1)="B",AZ763,MAX(AZ763,H763))))</f>
        <v>261</v>
      </c>
      <c r="AW763" s="57" t="n">
        <f aca="false">IF(BT763=1,0,ROUNDUP(AV763/BS763,0))</f>
        <v>1</v>
      </c>
      <c r="AX763" s="59" t="n">
        <f aca="false">IF(CH763&gt;0,CH763*MAX(1,AV763/X763),IF(BT763=1,IF(AV763&lt;=0,0,BW763*MAX(1,IF(H763&gt;0,AV763/H763,1))),IF(R763&gt;0,AW763/R763,0))/MAX(0.1,N(Parameter!$M$21)))</f>
        <v>0.00757575757575758</v>
      </c>
      <c r="AY763" s="57" t="n">
        <f aca="false">AV763*G763</f>
        <v>7.83</v>
      </c>
      <c r="AZ763" s="57" t="n">
        <f aca="false">ROUNDUP(MAX(J763/IF(BZ763&gt;0,BZ763,MAX(0.1,N(Cockpit!$O$6))),CC763)/BS763,0)*BS763</f>
        <v>261</v>
      </c>
      <c r="BA763" s="58" t="n">
        <f aca="false">IF(AX763&gt;0,J763/AX763,-1)</f>
        <v>3696</v>
      </c>
      <c r="BB763" s="58" t="n">
        <f aca="false">IF(AND(OR(BY763="L1",BY763="L23"),AX763&gt;0),SUMIFS($AX$7:$AX$1843,$BY$7:$BY$1843,BY763,$BA$7:$BA$1843,"&gt;"&amp;BA763)+SUMIFS($AX$7:$AX$1843,$BY$7:$BY$1843,BY763,$BA$7:$BA$1843,BA763,$BQ$7:$BQ$1843,"&lt;="&amp;BQ763),"")</f>
        <v>12.455888314584</v>
      </c>
      <c r="BC763" s="65" t="n">
        <f aca="false">IF(BB763="",0,MAX(0,MIN(1,(IF(BY763="L1",Parameter!$E$5,Parameter!$E$6+Parameter!$E$7)-(BB763-AX763))/AX763)))</f>
        <v>1</v>
      </c>
      <c r="BD763" s="55" t="str">
        <f aca="false">IF(AH763&lt;=0,"",IF(BY763="Aussen","Aussenlager",IF(BY763="-","Nicht im Lift",IF(AM763&gt;=1,"Lift",IF(AM763&lt;=0,"Aussenlager","teilweise")))))</f>
        <v>Lift</v>
      </c>
      <c r="BE763" s="55" t="str">
        <f aca="false">IF(AP763&lt;=0,"",IF(BY763="Aussen","Aussenlager",IF(BY763="-","Nicht im Lift",IF(AU763&gt;=1,"Lift",IF(AU763&lt;=0,"Aussenlager","teilweise")))))</f>
        <v>Lift</v>
      </c>
      <c r="BF763" s="55" t="str">
        <f aca="false">IF(AX763&lt;=0,"",IF(BY763="Aussen","Aussenlager",IF(BY763="-","Nicht im Lift",IF(BC763&gt;=1,"Lift",IF(BC763&lt;=0,"Aussenlager","teilweise")))))</f>
        <v>Lift</v>
      </c>
      <c r="BG763" s="55" t="str">
        <f aca="false">IF(A763="","",IF(BP763=1,"Neu; ","")&amp;IF(AND(BP763=0,BK763&lt;0),"negativer Bestand (Export "&amp;BK763&amp;"); ","")&amp;IF(J763&lt;=0,"Kein Verbrauch; ","")&amp;IF(CH763&gt;0,"Lift "&amp;W763&amp;" lt. Liftbericht (Fach "&amp;X763&amp;" Stk); ",IF(BU763=1,"Gebinde geschätzt ("&amp;T763&amp;"); ",IF(BT763=1,"Lose – Tablare geschätzt; ","")))&amp;IF(H763&gt;AR763,"Überbestand "&amp;ROUND(H763-AR763,0)&amp;" Stk / CHF "&amp;ROUND((H763-AR763)*G763,0)&amp;"; ","")&amp;IF(AND(CA763=1,CB763&lt;CC763),"MAX &lt; MB+LG; ","")&amp;IF(AND(CG763&gt;0,CF763*10&gt;CG763),"zu hoch für Tablar; ","")&amp;IF(AND(BP763=0,OR(CA763=1,AA763&lt;&gt;"",U763&lt;&gt;"",V763&lt;&gt;"",AB763&lt;&gt;"")),"manuell übersteuert; ","")&amp;IF(AND(BT763=0,R763=0),"Gebinde unbekannt / Stellmass fehlt; ","")&amp;IF(AND(BT763=0,N(V763)&lt;=0,N(Q763)&lt;=0),"Menge pro Gebinde fehlt (Ist = 1 Gebinde); ","")&amp;BO763)</f>
        <v>negativer Bestand (Export -25); Überbestand</v>
      </c>
      <c r="BH763" s="55"/>
      <c r="BI763" s="55"/>
      <c r="BJ763" s="62"/>
      <c r="BK763" s="57" t="n">
        <v>-25</v>
      </c>
      <c r="BL763" s="57" t="n">
        <v>226</v>
      </c>
      <c r="BM763" s="56" t="n">
        <v>-0.75</v>
      </c>
      <c r="BN763" s="57" t="n">
        <v>28</v>
      </c>
      <c r="BO763" s="55" t="s">
        <v>392</v>
      </c>
      <c r="BP763" s="60" t="n">
        <v>0</v>
      </c>
      <c r="BQ763" s="60" t="n">
        <v>763</v>
      </c>
      <c r="BR763" s="55" t="str">
        <f aca="false">IF(U763&lt;&gt;"",UPPER(TRIM(U763)),IF(BU763=1,UPPER(VLOOKUP(T763,Parameter!$I$27:$K$29,2,0)),IF(P763="","LOSE",P763)))</f>
        <v>S32</v>
      </c>
      <c r="BS763" s="57" t="n">
        <f aca="false">IF(BR763="LOSE",1,IF(N(V763)&gt;0,V763,IF(BU763=1,MAX(1,N(VLOOKUP(T763,Parameter!$I$27:$K$29,3,0)),H763,N(N763)),IF(N(Q763)&gt;0,Q763,MAX(1,H763)))))</f>
        <v>261</v>
      </c>
      <c r="BT763" s="60" t="n">
        <f aca="false">IF(BR763="LOSE",1,0)</f>
        <v>0</v>
      </c>
      <c r="BU763" s="60" t="n">
        <f aca="false">IF(AND(U763="",OR(P763="",P763="LOSE"),T763&lt;&gt;"",N(S763)&lt;=0,ISNUMBER(MATCH(T763,Parameter!$I$27:$I$29,0))),1,0)</f>
        <v>0</v>
      </c>
      <c r="BV763" s="55" t="str">
        <f aca="false">IF(AND(Parameter!$B$19="Ja",E763&lt;&gt;"",ISNUMBER(MATCH(E763,Parameter!$I$35:$I$52,0))),VLOOKUP(E763,Parameter!$I$35:$J$52,2,0),IFERROR(VLOOKUP(D763,Parameter!$A$35:$C$64,2,0),"Nein"))</f>
        <v>2+3</v>
      </c>
      <c r="BW763" s="59" t="n">
        <f aca="false">IF(BT763=0,0,IF(N(S763)&gt;0,S763,IFERROR(VLOOKUP(D763,Parameter!$A$35:$C$64,3,0)+0,0)))</f>
        <v>0</v>
      </c>
      <c r="BX763" s="55" t="n">
        <f aca="false">IF(AA763&lt;&gt;"",AA763,Z763)</f>
        <v>3</v>
      </c>
      <c r="BY763" s="55" t="str">
        <f aca="false">IF(BX763=1,"L1",IF(OR(BX763=2,BX763=3),"L23",IF(BX763="Aussen","Aussen","-")))</f>
        <v>L23</v>
      </c>
      <c r="BZ763" s="66" t="n">
        <f aca="false">IF(N(AB763)&gt;0,AB763,0)</f>
        <v>0</v>
      </c>
      <c r="CA763" s="60" t="n">
        <f aca="false">IF(ISNUMBER(AE763),1,0)</f>
        <v>0</v>
      </c>
      <c r="CB763" s="57" t="n">
        <f aca="false">N(AE763)</f>
        <v>0</v>
      </c>
      <c r="CC763" s="57" t="n">
        <f aca="false">N(M763)+N(N763)</f>
        <v>31</v>
      </c>
      <c r="CD763" s="57" t="n">
        <f aca="false">ROUNDUP(H763/BS763,0)</f>
        <v>1</v>
      </c>
      <c r="CE763" s="57" t="n">
        <f aca="false">ROUNDUP(CB763/BS763,0)</f>
        <v>0</v>
      </c>
      <c r="CF763" s="60" t="n">
        <f aca="false">IF(BT763=1,0,IFERROR(VLOOKUP(BR763,'Gebinde-Kategorie'!$A$5:$M$45,5,0)+0,0))</f>
        <v>8</v>
      </c>
      <c r="CG763" s="60" t="n">
        <f aca="false">IFERROR(IF(OR(BX763=1,BX763=2,BX763=3),N(INDEX(Parameter!$I$5:$I$7,BX763)),0),0)</f>
        <v>0</v>
      </c>
      <c r="CH763" s="59" t="n">
        <f aca="false">IF(AND(Parameter!$B$21="Ja",ISNUMBER(W763),N(X763)&gt;0),IFERROR(N(INDEX(Parameter!$L$5:$L$7,W763))*INDEX(Parameter!$E$5:$E$7,W763)*X763/SUMIFS($X$7:$X$1843,$W$7:$W$1843,W763),0),0)</f>
        <v>0</v>
      </c>
    </row>
    <row r="764" customFormat="false" ht="15" hidden="false" customHeight="false" outlineLevel="0" collapsed="false">
      <c r="A764" s="55" t="s">
        <v>1504</v>
      </c>
      <c r="B764" s="55" t="s">
        <v>1505</v>
      </c>
      <c r="C764" s="55" t="s">
        <v>164</v>
      </c>
      <c r="D764" s="55" t="s">
        <v>173</v>
      </c>
      <c r="E764" s="55" t="s">
        <v>185</v>
      </c>
      <c r="F764" s="55" t="s">
        <v>218</v>
      </c>
      <c r="G764" s="56" t="n">
        <v>1.03</v>
      </c>
      <c r="H764" s="57" t="n">
        <f aca="false">MAX(0,IF(AND(Parameter!$B$21="Ja",ISNUMBER(Y764)),Y764,IF(Parameter!$B$20="Jahresanfang 2025 + Export",BL764+BK764,BK764)))</f>
        <v>103.4</v>
      </c>
      <c r="I764" s="57" t="n">
        <f aca="false">H764*G764</f>
        <v>106.502</v>
      </c>
      <c r="J764" s="57" t="n">
        <f aca="false">BN764*Parameter!$B$18</f>
        <v>0.8</v>
      </c>
      <c r="K764" s="58" t="n">
        <v>103.8</v>
      </c>
      <c r="L764" s="59" t="n">
        <v>0.00770712909441234</v>
      </c>
      <c r="M764" s="57" t="n">
        <v>0</v>
      </c>
      <c r="N764" s="57" t="n">
        <v>1</v>
      </c>
      <c r="O764" s="60" t="n">
        <v>21</v>
      </c>
      <c r="P764" s="55" t="s">
        <v>233</v>
      </c>
      <c r="Q764" s="57" t="n">
        <v>30</v>
      </c>
      <c r="R764" s="60" t="n">
        <f aca="false">IF(BT764=1,0,IFERROR(VLOOKUP(BR764,'Gebinde-Kategorie'!$A$5:$M$45,13,0)+0,0))</f>
        <v>26</v>
      </c>
      <c r="S764" s="61"/>
      <c r="T764" s="62"/>
      <c r="U764" s="62"/>
      <c r="V764" s="62"/>
      <c r="W764" s="55"/>
      <c r="X764" s="57"/>
      <c r="Y764" s="57"/>
      <c r="Z764" s="55" t="n">
        <f aca="false">IF(A764="","",IF(AND(Parameter!$B$21="Ja",ISNUMBER(W764)),W764,IF(BV764="2+3",IF(ISNUMBER(SEARCH("grosser Artikel",BO764)),2,IFERROR(VLOOKUP(BR764,Parameter!$F$35:$G$64,2,0),2)),IF(OR(BV764="Nein",BV764=""),"-",BV764))))</f>
        <v>3</v>
      </c>
      <c r="AA764" s="62"/>
      <c r="AB764" s="63"/>
      <c r="AC764" s="57" t="n">
        <f aca="false">AR764</f>
        <v>30</v>
      </c>
      <c r="AD764" s="57" t="n">
        <f aca="false">MAX(AR764,H764)</f>
        <v>103.4</v>
      </c>
      <c r="AE764" s="64"/>
      <c r="AF764" s="57" t="n">
        <f aca="false">IF(LEFT(Cockpit!$C$5,1)="A",H764,IF(CA764=1,CB764,IF(LEFT(Cockpit!$C$5,1)="B",AJ764,MAX(AJ764,H764))))</f>
        <v>103.4</v>
      </c>
      <c r="AG764" s="57" t="n">
        <f aca="false">IF(BT764=1,0,ROUNDUP(AF764/BS764,0))</f>
        <v>4</v>
      </c>
      <c r="AH764" s="59" t="n">
        <f aca="false">IF(CH764&gt;0,CH764*MAX(1,AF764/X764),IF(BT764=1,IF(AF764&lt;=0,0,BW764*MAX(1,IF(H764&gt;0,AF764/H764,1))),IF(R764&gt;0,AG764/R764,0))/MAX(0.1,N(Parameter!$M$21)))</f>
        <v>0.153846153846154</v>
      </c>
      <c r="AI764" s="57" t="n">
        <f aca="false">AF764*G764</f>
        <v>106.502</v>
      </c>
      <c r="AJ764" s="57" t="n">
        <f aca="false">ROUNDUP(MAX(J764/IF(BZ764&gt;0,BZ764,MAX(0.1,N(Cockpit!$C$6))),CC764)/BS764,0)*BS764</f>
        <v>30</v>
      </c>
      <c r="AK764" s="58" t="n">
        <f aca="false">IF(AH764&gt;0,J764/AH764,-1)</f>
        <v>5.2</v>
      </c>
      <c r="AL764" s="58" t="n">
        <f aca="false">IF(AND(OR(BY764="L1",BY764="L23"),AH764&gt;0),SUMIFS($AH$7:$AH$1843,$BY$7:$BY$1843,BY764,$AK$7:$AK$1843,"&gt;"&amp;AK764)+SUMIFS($AH$7:$AH$1843,$BY$7:$BY$1843,BY764,$AK$7:$AK$1843,AK764,$BQ$7:$BQ$1843,"&lt;="&amp;BQ764),"")</f>
        <v>58.4920272963751</v>
      </c>
      <c r="AM764" s="65" t="n">
        <f aca="false">IF(AL764="",0,MAX(0,MIN(1,(IF(BY764="L1",Parameter!$E$5,Parameter!$E$6+Parameter!$E$7)-(AL764-AH764))/AH764)))</f>
        <v>1</v>
      </c>
      <c r="AN764" s="57" t="n">
        <f aca="false">IF(LEFT(Cockpit!$I$5,1)="A",H764,IF(CA764=1,CB764,IF(LEFT(Cockpit!$I$5,1)="B",AR764,MAX(AR764,H764))))</f>
        <v>103.4</v>
      </c>
      <c r="AO764" s="57" t="n">
        <f aca="false">IF(BT764=1,0,ROUNDUP(AN764/BS764,0))</f>
        <v>4</v>
      </c>
      <c r="AP764" s="59" t="n">
        <f aca="false">IF(CH764&gt;0,CH764*MAX(1,AN764/X764),IF(BT764=1,IF(AN764&lt;=0,0,BW764*MAX(1,IF(H764&gt;0,AN764/H764,1))),IF(R764&gt;0,AO764/R764,0))/MAX(0.1,N(Parameter!$M$21)))</f>
        <v>0.153846153846154</v>
      </c>
      <c r="AQ764" s="57" t="n">
        <f aca="false">AN764*G764</f>
        <v>106.502</v>
      </c>
      <c r="AR764" s="57" t="n">
        <f aca="false">ROUNDUP(MAX(J764/IF(BZ764&gt;0,BZ764,MAX(0.1,N(Cockpit!$I$6))),CC764)/BS764,0)*BS764</f>
        <v>30</v>
      </c>
      <c r="AS764" s="58" t="n">
        <f aca="false">IF(AP764&gt;0,J764/AP764,-1)</f>
        <v>5.2</v>
      </c>
      <c r="AT764" s="58" t="n">
        <f aca="false">IF(AND(OR(BY764="L1",BY764="L23"),AP764&gt;0),SUMIFS($AP$7:$AP$1843,$BY$7:$BY$1843,BY764,$AS$7:$AS$1843,"&gt;"&amp;AS764)+SUMIFS($AP$7:$AP$1843,$BY$7:$BY$1843,BY764,$AS$7:$AS$1843,AS764,$BQ$7:$BQ$1843,"&lt;="&amp;BQ764),"")</f>
        <v>95.9161514813689</v>
      </c>
      <c r="AU764" s="65" t="n">
        <f aca="false">IF(AT764="",0,MAX(0,MIN(1,(IF(BY764="L1",Parameter!$E$5,Parameter!$E$6+Parameter!$E$7)-(AT764-AP764))/AP764)))</f>
        <v>1</v>
      </c>
      <c r="AV764" s="57" t="n">
        <f aca="false">IF(LEFT(Cockpit!$O$5,1)="A",H764,IF(CA764=1,CB764,IF(LEFT(Cockpit!$O$5,1)="B",AZ764,MAX(AZ764,H764))))</f>
        <v>103.4</v>
      </c>
      <c r="AW764" s="57" t="n">
        <f aca="false">IF(BT764=1,0,ROUNDUP(AV764/BS764,0))</f>
        <v>4</v>
      </c>
      <c r="AX764" s="59" t="n">
        <f aca="false">IF(CH764&gt;0,CH764*MAX(1,AV764/X764),IF(BT764=1,IF(AV764&lt;=0,0,BW764*MAX(1,IF(H764&gt;0,AV764/H764,1))),IF(R764&gt;0,AW764/R764,0))/MAX(0.1,N(Parameter!$M$21)))</f>
        <v>0.153846153846154</v>
      </c>
      <c r="AY764" s="57" t="n">
        <f aca="false">AV764*G764</f>
        <v>106.502</v>
      </c>
      <c r="AZ764" s="57" t="n">
        <f aca="false">ROUNDUP(MAX(J764/IF(BZ764&gt;0,BZ764,MAX(0.1,N(Cockpit!$O$6))),CC764)/BS764,0)*BS764</f>
        <v>30</v>
      </c>
      <c r="BA764" s="58" t="n">
        <f aca="false">IF(AX764&gt;0,J764/AX764,-1)</f>
        <v>5.2</v>
      </c>
      <c r="BB764" s="58" t="n">
        <f aca="false">IF(AND(OR(BY764="L1",BY764="L23"),AX764&gt;0),SUMIFS($AX$7:$AX$1843,$BY$7:$BY$1843,BY764,$BA$7:$BA$1843,"&gt;"&amp;BA764)+SUMIFS($AX$7:$AX$1843,$BY$7:$BY$1843,BY764,$BA$7:$BA$1843,BA764,$BQ$7:$BQ$1843,"&lt;="&amp;BQ764),"")</f>
        <v>86.7459883112057</v>
      </c>
      <c r="BC764" s="65" t="n">
        <f aca="false">IF(BB764="",0,MAX(0,MIN(1,(IF(BY764="L1",Parameter!$E$5,Parameter!$E$6+Parameter!$E$7)-(BB764-AX764))/AX764)))</f>
        <v>1</v>
      </c>
      <c r="BD764" s="55" t="str">
        <f aca="false">IF(AH764&lt;=0,"",IF(BY764="Aussen","Aussenlager",IF(BY764="-","Nicht im Lift",IF(AM764&gt;=1,"Lift",IF(AM764&lt;=0,"Aussenlager","teilweise")))))</f>
        <v>Lift</v>
      </c>
      <c r="BE764" s="55" t="str">
        <f aca="false">IF(AP764&lt;=0,"",IF(BY764="Aussen","Aussenlager",IF(BY764="-","Nicht im Lift",IF(AU764&gt;=1,"Lift",IF(AU764&lt;=0,"Aussenlager","teilweise")))))</f>
        <v>Lift</v>
      </c>
      <c r="BF764" s="55" t="str">
        <f aca="false">IF(AX764&lt;=0,"",IF(BY764="Aussen","Aussenlager",IF(BY764="-","Nicht im Lift",IF(BC764&gt;=1,"Lift",IF(BC764&lt;=0,"Aussenlager","teilweise")))))</f>
        <v>Lift</v>
      </c>
      <c r="BG764" s="55" t="str">
        <f aca="false">IF(A764="","",IF(BP764=1,"Neu; ","")&amp;IF(AND(BP764=0,BK764&lt;0),"negativer Bestand (Export "&amp;BK764&amp;"); ","")&amp;IF(J764&lt;=0,"Kein Verbrauch; ","")&amp;IF(CH764&gt;0,"Lift "&amp;W764&amp;" lt. Liftbericht (Fach "&amp;X764&amp;" Stk); ",IF(BU764=1,"Gebinde geschätzt ("&amp;T764&amp;"); ",IF(BT764=1,"Lose – Tablare geschätzt; ","")))&amp;IF(H764&gt;AR764,"Überbestand "&amp;ROUND(H764-AR764,0)&amp;" Stk / CHF "&amp;ROUND((H764-AR764)*G764,0)&amp;"; ","")&amp;IF(AND(CA764=1,CB764&lt;CC764),"MAX &lt; MB+LG; ","")&amp;IF(AND(CG764&gt;0,CF764*10&gt;CG764),"zu hoch für Tablar; ","")&amp;IF(AND(BP764=0,OR(CA764=1,AA764&lt;&gt;"",U764&lt;&gt;"",V764&lt;&gt;"",AB764&lt;&gt;"")),"manuell übersteuert; ","")&amp;IF(AND(BT764=0,R764=0),"Gebinde unbekannt / Stellmass fehlt; ","")&amp;IF(AND(BT764=0,N(V764)&lt;=0,N(Q764)&lt;=0),"Menge pro Gebinde fehlt (Ist = 1 Gebinde); ","")&amp;BO764)</f>
        <v>negativer Bestand (Export -0.8); Überbestand 73 Stk / CHF 76; Überbestand</v>
      </c>
      <c r="BH764" s="55"/>
      <c r="BI764" s="55"/>
      <c r="BJ764" s="62"/>
      <c r="BK764" s="57" t="n">
        <v>-0.8</v>
      </c>
      <c r="BL764" s="57" t="n">
        <v>104.2</v>
      </c>
      <c r="BM764" s="56" t="n">
        <v>-0.83</v>
      </c>
      <c r="BN764" s="57" t="n">
        <v>0.8</v>
      </c>
      <c r="BO764" s="55" t="s">
        <v>392</v>
      </c>
      <c r="BP764" s="60" t="n">
        <v>0</v>
      </c>
      <c r="BQ764" s="60" t="n">
        <v>764</v>
      </c>
      <c r="BR764" s="55" t="str">
        <f aca="false">IF(U764&lt;&gt;"",UPPER(TRIM(U764)),IF(BU764=1,UPPER(VLOOKUP(T764,Parameter!$I$27:$K$29,2,0)),IF(P764="","LOSE",P764)))</f>
        <v>S52</v>
      </c>
      <c r="BS764" s="57" t="n">
        <f aca="false">IF(BR764="LOSE",1,IF(N(V764)&gt;0,V764,IF(BU764=1,MAX(1,N(VLOOKUP(T764,Parameter!$I$27:$K$29,3,0)),H764,N(N764)),IF(N(Q764)&gt;0,Q764,MAX(1,H764)))))</f>
        <v>30</v>
      </c>
      <c r="BT764" s="60" t="n">
        <f aca="false">IF(BR764="LOSE",1,0)</f>
        <v>0</v>
      </c>
      <c r="BU764" s="60" t="n">
        <f aca="false">IF(AND(U764="",OR(P764="",P764="LOSE"),T764&lt;&gt;"",N(S764)&lt;=0,ISNUMBER(MATCH(T764,Parameter!$I$27:$I$29,0))),1,0)</f>
        <v>0</v>
      </c>
      <c r="BV764" s="55" t="str">
        <f aca="false">IF(AND(Parameter!$B$19="Ja",E764&lt;&gt;"",ISNUMBER(MATCH(E764,Parameter!$I$35:$I$52,0))),VLOOKUP(E764,Parameter!$I$35:$J$52,2,0),IFERROR(VLOOKUP(D764,Parameter!$A$35:$C$64,2,0),"Nein"))</f>
        <v>2+3</v>
      </c>
      <c r="BW764" s="59" t="n">
        <f aca="false">IF(BT764=0,0,IF(N(S764)&gt;0,S764,IFERROR(VLOOKUP(D764,Parameter!$A$35:$C$64,3,0)+0,0)))</f>
        <v>0</v>
      </c>
      <c r="BX764" s="55" t="n">
        <f aca="false">IF(AA764&lt;&gt;"",AA764,Z764)</f>
        <v>3</v>
      </c>
      <c r="BY764" s="55" t="str">
        <f aca="false">IF(BX764=1,"L1",IF(OR(BX764=2,BX764=3),"L23",IF(BX764="Aussen","Aussen","-")))</f>
        <v>L23</v>
      </c>
      <c r="BZ764" s="66" t="n">
        <f aca="false">IF(N(AB764)&gt;0,AB764,0)</f>
        <v>0</v>
      </c>
      <c r="CA764" s="60" t="n">
        <f aca="false">IF(ISNUMBER(AE764),1,0)</f>
        <v>0</v>
      </c>
      <c r="CB764" s="57" t="n">
        <f aca="false">N(AE764)</f>
        <v>0</v>
      </c>
      <c r="CC764" s="57" t="n">
        <f aca="false">N(M764)+N(N764)</f>
        <v>1</v>
      </c>
      <c r="CD764" s="57" t="n">
        <f aca="false">ROUNDUP(H764/BS764,0)</f>
        <v>4</v>
      </c>
      <c r="CE764" s="57" t="n">
        <f aca="false">ROUNDUP(CB764/BS764,0)</f>
        <v>0</v>
      </c>
      <c r="CF764" s="60" t="n">
        <f aca="false">IF(BT764=1,0,IFERROR(VLOOKUP(BR764,'Gebinde-Kategorie'!$A$5:$M$45,5,0)+0,0))</f>
        <v>21</v>
      </c>
      <c r="CG764" s="60" t="n">
        <f aca="false">IFERROR(IF(OR(BX764=1,BX764=2,BX764=3),N(INDEX(Parameter!$I$5:$I$7,BX764)),0),0)</f>
        <v>0</v>
      </c>
      <c r="CH764" s="59" t="n">
        <f aca="false">IF(AND(Parameter!$B$21="Ja",ISNUMBER(W764),N(X764)&gt;0),IFERROR(N(INDEX(Parameter!$L$5:$L$7,W764))*INDEX(Parameter!$E$5:$E$7,W764)*X764/SUMIFS($X$7:$X$1843,$W$7:$W$1843,W764),0),0)</f>
        <v>0</v>
      </c>
    </row>
    <row r="765" customFormat="false" ht="15" hidden="false" customHeight="false" outlineLevel="0" collapsed="false">
      <c r="A765" s="55" t="s">
        <v>1506</v>
      </c>
      <c r="B765" s="55" t="s">
        <v>654</v>
      </c>
      <c r="C765" s="55" t="s">
        <v>164</v>
      </c>
      <c r="D765" s="55" t="s">
        <v>184</v>
      </c>
      <c r="E765" s="55" t="s">
        <v>185</v>
      </c>
      <c r="F765" s="55" t="s">
        <v>218</v>
      </c>
      <c r="G765" s="56" t="n">
        <v>0.42</v>
      </c>
      <c r="H765" s="57" t="n">
        <f aca="false">MAX(0,IF(AND(Parameter!$B$21="Ja",ISNUMBER(Y765)),Y765,IF(Parameter!$B$20="Jahresanfang 2025 + Export",BL765+BK765,BK765)))</f>
        <v>370</v>
      </c>
      <c r="I765" s="57" t="n">
        <f aca="false">H765*G765</f>
        <v>155.4</v>
      </c>
      <c r="J765" s="57" t="n">
        <f aca="false">BN765*Parameter!$B$18</f>
        <v>0</v>
      </c>
      <c r="K765" s="58" t="n">
        <v>372</v>
      </c>
      <c r="L765" s="59" t="n">
        <v>0</v>
      </c>
      <c r="M765" s="57" t="n">
        <v>0</v>
      </c>
      <c r="N765" s="57" t="n">
        <v>1</v>
      </c>
      <c r="O765" s="60" t="n">
        <v>14</v>
      </c>
      <c r="P765" s="55" t="s">
        <v>302</v>
      </c>
      <c r="Q765" s="57" t="n">
        <v>234</v>
      </c>
      <c r="R765" s="60" t="n">
        <f aca="false">IF(BT765=1,0,IFERROR(VLOOKUP(BR765,'Gebinde-Kategorie'!$A$5:$M$45,13,0)+0,0))</f>
        <v>26</v>
      </c>
      <c r="S765" s="61"/>
      <c r="T765" s="62"/>
      <c r="U765" s="62"/>
      <c r="V765" s="62"/>
      <c r="W765" s="55"/>
      <c r="X765" s="57"/>
      <c r="Y765" s="57"/>
      <c r="Z765" s="55" t="n">
        <f aca="false">IF(A765="","",IF(AND(Parameter!$B$21="Ja",ISNUMBER(W765)),W765,IF(BV765="2+3",IF(ISNUMBER(SEARCH("grosser Artikel",BO765)),2,IFERROR(VLOOKUP(BR765,Parameter!$F$35:$G$64,2,0),2)),IF(OR(BV765="Nein",BV765=""),"-",BV765))))</f>
        <v>3</v>
      </c>
      <c r="AA765" s="62"/>
      <c r="AB765" s="63"/>
      <c r="AC765" s="57" t="n">
        <f aca="false">AR765</f>
        <v>234</v>
      </c>
      <c r="AD765" s="57" t="n">
        <f aca="false">MAX(AR765,H765)</f>
        <v>370</v>
      </c>
      <c r="AE765" s="64"/>
      <c r="AF765" s="57" t="n">
        <f aca="false">IF(LEFT(Cockpit!$C$5,1)="A",H765,IF(CA765=1,CB765,IF(LEFT(Cockpit!$C$5,1)="B",AJ765,MAX(AJ765,H765))))</f>
        <v>370</v>
      </c>
      <c r="AG765" s="57" t="n">
        <f aca="false">IF(BT765=1,0,ROUNDUP(AF765/BS765,0))</f>
        <v>2</v>
      </c>
      <c r="AH765" s="59" t="n">
        <f aca="false">IF(CH765&gt;0,CH765*MAX(1,AF765/X765),IF(BT765=1,IF(AF765&lt;=0,0,BW765*MAX(1,IF(H765&gt;0,AF765/H765,1))),IF(R765&gt;0,AG765/R765,0))/MAX(0.1,N(Parameter!$M$21)))</f>
        <v>0.0769230769230769</v>
      </c>
      <c r="AI765" s="57" t="n">
        <f aca="false">AF765*G765</f>
        <v>155.4</v>
      </c>
      <c r="AJ765" s="57" t="n">
        <f aca="false">ROUNDUP(MAX(J765/IF(BZ765&gt;0,BZ765,MAX(0.1,N(Cockpit!$C$6))),CC765)/BS765,0)*BS765</f>
        <v>234</v>
      </c>
      <c r="AK765" s="58" t="n">
        <f aca="false">IF(AH765&gt;0,J765/AH765,-1)</f>
        <v>0</v>
      </c>
      <c r="AL765" s="58" t="n">
        <f aca="false">IF(AND(OR(BY765="L1",BY765="L23"),AH765&gt;0),SUMIFS($AH$7:$AH$1843,$BY$7:$BY$1843,BY765,$AK$7:$AK$1843,"&gt;"&amp;AK765)+SUMIFS($AH$7:$AH$1843,$BY$7:$BY$1843,BY765,$AK$7:$AK$1843,AK765,$BQ$7:$BQ$1843,"&lt;="&amp;BQ765),"")</f>
        <v>77.3510269923313</v>
      </c>
      <c r="AM765" s="65" t="n">
        <f aca="false">IF(AL765="",0,MAX(0,MIN(1,(IF(BY765="L1",Parameter!$E$5,Parameter!$E$6+Parameter!$E$7)-(AL765-AH765))/AH765)))</f>
        <v>1</v>
      </c>
      <c r="AN765" s="57" t="n">
        <f aca="false">IF(LEFT(Cockpit!$I$5,1)="A",H765,IF(CA765=1,CB765,IF(LEFT(Cockpit!$I$5,1)="B",AR765,MAX(AR765,H765))))</f>
        <v>370</v>
      </c>
      <c r="AO765" s="57" t="n">
        <f aca="false">IF(BT765=1,0,ROUNDUP(AN765/BS765,0))</f>
        <v>2</v>
      </c>
      <c r="AP765" s="59" t="n">
        <f aca="false">IF(CH765&gt;0,CH765*MAX(1,AN765/X765),IF(BT765=1,IF(AN765&lt;=0,0,BW765*MAX(1,IF(H765&gt;0,AN765/H765,1))),IF(R765&gt;0,AO765/R765,0))/MAX(0.1,N(Parameter!$M$21)))</f>
        <v>0.0769230769230769</v>
      </c>
      <c r="AQ765" s="57" t="n">
        <f aca="false">AN765*G765</f>
        <v>155.4</v>
      </c>
      <c r="AR765" s="57" t="n">
        <f aca="false">ROUNDUP(MAX(J765/IF(BZ765&gt;0,BZ765,MAX(0.1,N(Cockpit!$I$6))),CC765)/BS765,0)*BS765</f>
        <v>234</v>
      </c>
      <c r="AS765" s="58" t="n">
        <f aca="false">IF(AP765&gt;0,J765/AP765,-1)</f>
        <v>0</v>
      </c>
      <c r="AT765" s="58" t="n">
        <f aca="false">IF(AND(OR(BY765="L1",BY765="L23"),AP765&gt;0),SUMIFS($AP$7:$AP$1843,$BY$7:$BY$1843,BY765,$AS$7:$AS$1843,"&gt;"&amp;AS765)+SUMIFS($AP$7:$AP$1843,$BY$7:$BY$1843,BY765,$AS$7:$AS$1843,AS765,$BQ$7:$BQ$1843,"&lt;="&amp;BQ765),"")</f>
        <v>118.181412790108</v>
      </c>
      <c r="AU765" s="65" t="n">
        <f aca="false">IF(AT765="",0,MAX(0,MIN(1,(IF(BY765="L1",Parameter!$E$5,Parameter!$E$6+Parameter!$E$7)-(AT765-AP765))/AP765)))</f>
        <v>0</v>
      </c>
      <c r="AV765" s="57" t="n">
        <f aca="false">IF(LEFT(Cockpit!$O$5,1)="A",H765,IF(CA765=1,CB765,IF(LEFT(Cockpit!$O$5,1)="B",AZ765,MAX(AZ765,H765))))</f>
        <v>370</v>
      </c>
      <c r="AW765" s="57" t="n">
        <f aca="false">IF(BT765=1,0,ROUNDUP(AV765/BS765,0))</f>
        <v>2</v>
      </c>
      <c r="AX765" s="59" t="n">
        <f aca="false">IF(CH765&gt;0,CH765*MAX(1,AV765/X765),IF(BT765=1,IF(AV765&lt;=0,0,BW765*MAX(1,IF(H765&gt;0,AV765/H765,1))),IF(R765&gt;0,AW765/R765,0))/MAX(0.1,N(Parameter!$M$21)))</f>
        <v>0.0769230769230769</v>
      </c>
      <c r="AY765" s="57" t="n">
        <f aca="false">AV765*G765</f>
        <v>155.4</v>
      </c>
      <c r="AZ765" s="57" t="n">
        <f aca="false">ROUNDUP(MAX(J765/IF(BZ765&gt;0,BZ765,MAX(0.1,N(Cockpit!$O$6))),CC765)/BS765,0)*BS765</f>
        <v>234</v>
      </c>
      <c r="BA765" s="58" t="n">
        <f aca="false">IF(AX765&gt;0,J765/AX765,-1)</f>
        <v>0</v>
      </c>
      <c r="BB765" s="58" t="n">
        <f aca="false">IF(AND(OR(BY765="L1",BY765="L23"),AX765&gt;0),SUMIFS($AX$7:$AX$1843,$BY$7:$BY$1843,BY765,$BA$7:$BA$1843,"&gt;"&amp;BA765)+SUMIFS($AX$7:$AX$1843,$BY$7:$BY$1843,BY765,$BA$7:$BA$1843,BA765,$BQ$7:$BQ$1843,"&lt;="&amp;BQ765),"")</f>
        <v>109.011249619945</v>
      </c>
      <c r="BC765" s="65" t="n">
        <f aca="false">IF(BB765="",0,MAX(0,MIN(1,(IF(BY765="L1",Parameter!$E$5,Parameter!$E$6+Parameter!$E$7)-(BB765-AX765))/AX765)))</f>
        <v>0</v>
      </c>
      <c r="BD765" s="55" t="str">
        <f aca="false">IF(AH765&lt;=0,"",IF(BY765="Aussen","Aussenlager",IF(BY765="-","Nicht im Lift",IF(AM765&gt;=1,"Lift",IF(AM765&lt;=0,"Aussenlager","teilweise")))))</f>
        <v>Lift</v>
      </c>
      <c r="BE765" s="55" t="str">
        <f aca="false">IF(AP765&lt;=0,"",IF(BY765="Aussen","Aussenlager",IF(BY765="-","Nicht im Lift",IF(AU765&gt;=1,"Lift",IF(AU765&lt;=0,"Aussenlager","teilweise")))))</f>
        <v>Aussenlager</v>
      </c>
      <c r="BF765" s="55" t="str">
        <f aca="false">IF(AX765&lt;=0,"",IF(BY765="Aussen","Aussenlager",IF(BY765="-","Nicht im Lift",IF(BC765&gt;=1,"Lift",IF(BC765&lt;=0,"Aussenlager","teilweise")))))</f>
        <v>Aussenlager</v>
      </c>
      <c r="BG765" s="55" t="str">
        <f aca="false">IF(A765="","",IF(BP765=1,"Neu; ","")&amp;IF(AND(BP765=0,BK765&lt;0),"negativer Bestand (Export "&amp;BK765&amp;"); ","")&amp;IF(J765&lt;=0,"Kein Verbrauch; ","")&amp;IF(CH765&gt;0,"Lift "&amp;W765&amp;" lt. Liftbericht (Fach "&amp;X765&amp;" Stk); ",IF(BU765=1,"Gebinde geschätzt ("&amp;T765&amp;"); ",IF(BT765=1,"Lose – Tablare geschätzt; ","")))&amp;IF(H765&gt;AR765,"Überbestand "&amp;ROUND(H765-AR765,0)&amp;" Stk / CHF "&amp;ROUND((H765-AR765)*G765,0)&amp;"; ","")&amp;IF(AND(CA765=1,CB765&lt;CC765),"MAX &lt; MB+LG; ","")&amp;IF(AND(CG765&gt;0,CF765*10&gt;CG765),"zu hoch für Tablar; ","")&amp;IF(AND(BP765=0,OR(CA765=1,AA765&lt;&gt;"",U765&lt;&gt;"",V765&lt;&gt;"",AB765&lt;&gt;"")),"manuell übersteuert; ","")&amp;IF(AND(BT765=0,R765=0),"Gebinde unbekannt / Stellmass fehlt; ","")&amp;IF(AND(BT765=0,N(V765)&lt;=0,N(Q765)&lt;=0),"Menge pro Gebinde fehlt (Ist = 1 Gebinde); ","")&amp;BO765)</f>
        <v>negativer Bestand (Export -2); Kein Verbrauch; Überbestand 136 Stk / CHF 57; Überbestand</v>
      </c>
      <c r="BH765" s="55"/>
      <c r="BI765" s="55"/>
      <c r="BJ765" s="62"/>
      <c r="BK765" s="57" t="n">
        <v>-2</v>
      </c>
      <c r="BL765" s="57" t="n">
        <v>372</v>
      </c>
      <c r="BM765" s="56" t="n">
        <v>-0.84</v>
      </c>
      <c r="BN765" s="57" t="n">
        <v>0</v>
      </c>
      <c r="BO765" s="55" t="s">
        <v>392</v>
      </c>
      <c r="BP765" s="60" t="n">
        <v>0</v>
      </c>
      <c r="BQ765" s="60" t="n">
        <v>765</v>
      </c>
      <c r="BR765" s="55" t="str">
        <f aca="false">IF(U765&lt;&gt;"",UPPER(TRIM(U765)),IF(BU765=1,UPPER(VLOOKUP(T765,Parameter!$I$27:$K$29,2,0)),IF(P765="","LOSE",P765)))</f>
        <v>S51</v>
      </c>
      <c r="BS765" s="57" t="n">
        <f aca="false">IF(BR765="LOSE",1,IF(N(V765)&gt;0,V765,IF(BU765=1,MAX(1,N(VLOOKUP(T765,Parameter!$I$27:$K$29,3,0)),H765,N(N765)),IF(N(Q765)&gt;0,Q765,MAX(1,H765)))))</f>
        <v>234</v>
      </c>
      <c r="BT765" s="60" t="n">
        <f aca="false">IF(BR765="LOSE",1,0)</f>
        <v>0</v>
      </c>
      <c r="BU765" s="60" t="n">
        <f aca="false">IF(AND(U765="",OR(P765="",P765="LOSE"),T765&lt;&gt;"",N(S765)&lt;=0,ISNUMBER(MATCH(T765,Parameter!$I$27:$I$29,0))),1,0)</f>
        <v>0</v>
      </c>
      <c r="BV765" s="55" t="str">
        <f aca="false">IF(AND(Parameter!$B$19="Ja",E765&lt;&gt;"",ISNUMBER(MATCH(E765,Parameter!$I$35:$I$52,0))),VLOOKUP(E765,Parameter!$I$35:$J$52,2,0),IFERROR(VLOOKUP(D765,Parameter!$A$35:$C$64,2,0),"Nein"))</f>
        <v>2+3</v>
      </c>
      <c r="BW765" s="59" t="n">
        <f aca="false">IF(BT765=0,0,IF(N(S765)&gt;0,S765,IFERROR(VLOOKUP(D765,Parameter!$A$35:$C$64,3,0)+0,0)))</f>
        <v>0</v>
      </c>
      <c r="BX765" s="55" t="n">
        <f aca="false">IF(AA765&lt;&gt;"",AA765,Z765)</f>
        <v>3</v>
      </c>
      <c r="BY765" s="55" t="str">
        <f aca="false">IF(BX765=1,"L1",IF(OR(BX765=2,BX765=3),"L23",IF(BX765="Aussen","Aussen","-")))</f>
        <v>L23</v>
      </c>
      <c r="BZ765" s="66" t="n">
        <f aca="false">IF(N(AB765)&gt;0,AB765,0)</f>
        <v>0</v>
      </c>
      <c r="CA765" s="60" t="n">
        <f aca="false">IF(ISNUMBER(AE765),1,0)</f>
        <v>0</v>
      </c>
      <c r="CB765" s="57" t="n">
        <f aca="false">N(AE765)</f>
        <v>0</v>
      </c>
      <c r="CC765" s="57" t="n">
        <f aca="false">N(M765)+N(N765)</f>
        <v>1</v>
      </c>
      <c r="CD765" s="57" t="n">
        <f aca="false">ROUNDUP(H765/BS765,0)</f>
        <v>2</v>
      </c>
      <c r="CE765" s="57" t="n">
        <f aca="false">ROUNDUP(CB765/BS765,0)</f>
        <v>0</v>
      </c>
      <c r="CF765" s="60" t="n">
        <f aca="false">IF(BT765=1,0,IFERROR(VLOOKUP(BR765,'Gebinde-Kategorie'!$A$5:$M$45,5,0)+0,0))</f>
        <v>11</v>
      </c>
      <c r="CG765" s="60" t="n">
        <f aca="false">IFERROR(IF(OR(BX765=1,BX765=2,BX765=3),N(INDEX(Parameter!$I$5:$I$7,BX765)),0),0)</f>
        <v>0</v>
      </c>
      <c r="CH765" s="59" t="n">
        <f aca="false">IF(AND(Parameter!$B$21="Ja",ISNUMBER(W765),N(X765)&gt;0),IFERROR(N(INDEX(Parameter!$L$5:$L$7,W765))*INDEX(Parameter!$E$5:$E$7,W765)*X765/SUMIFS($X$7:$X$1843,$W$7:$W$1843,W765),0),0)</f>
        <v>0</v>
      </c>
    </row>
    <row r="766" customFormat="false" ht="15" hidden="false" customHeight="false" outlineLevel="0" collapsed="false">
      <c r="A766" s="55" t="s">
        <v>1507</v>
      </c>
      <c r="B766" s="55" t="s">
        <v>1508</v>
      </c>
      <c r="C766" s="55" t="s">
        <v>456</v>
      </c>
      <c r="D766" s="55" t="s">
        <v>173</v>
      </c>
      <c r="E766" s="55"/>
      <c r="F766" s="55" t="s">
        <v>218</v>
      </c>
      <c r="G766" s="56" t="n">
        <v>0.01</v>
      </c>
      <c r="H766" s="57" t="n">
        <f aca="false">MAX(0,IF(AND(Parameter!$B$21="Ja",ISNUMBER(Y766)),Y766,IF(Parameter!$B$20="Jahresanfang 2025 + Export",BL766+BK766,BK766)))</f>
        <v>0</v>
      </c>
      <c r="I766" s="57" t="n">
        <f aca="false">H766*G766</f>
        <v>0</v>
      </c>
      <c r="J766" s="57" t="n">
        <f aca="false">BN766*Parameter!$B$18</f>
        <v>50</v>
      </c>
      <c r="K766" s="58" t="n">
        <v>90</v>
      </c>
      <c r="L766" s="59" t="n">
        <v>0.555555555555556</v>
      </c>
      <c r="M766" s="57" t="n">
        <v>0</v>
      </c>
      <c r="N766" s="57" t="n">
        <v>50</v>
      </c>
      <c r="O766" s="60" t="n">
        <v>14</v>
      </c>
      <c r="P766" s="55" t="s">
        <v>168</v>
      </c>
      <c r="Q766" s="57"/>
      <c r="R766" s="60" t="n">
        <f aca="false">IF(BT766=1,0,IFERROR(VLOOKUP(BR766,'Gebinde-Kategorie'!$A$5:$M$45,13,0)+0,0))</f>
        <v>12</v>
      </c>
      <c r="S766" s="61"/>
      <c r="T766" s="62" t="s">
        <v>179</v>
      </c>
      <c r="U766" s="62"/>
      <c r="V766" s="62"/>
      <c r="W766" s="55"/>
      <c r="X766" s="57"/>
      <c r="Y766" s="57"/>
      <c r="Z766" s="55" t="n">
        <f aca="false">IF(A766="","",IF(AND(Parameter!$B$21="Ja",ISNUMBER(W766)),W766,IF(BV766="2+3",IF(ISNUMBER(SEARCH("grosser Artikel",BO766)),2,IFERROR(VLOOKUP(BR766,Parameter!$F$35:$G$64,2,0),2)),IF(OR(BV766="Nein",BV766=""),"-",BV766))))</f>
        <v>2</v>
      </c>
      <c r="AA766" s="62"/>
      <c r="AB766" s="63"/>
      <c r="AC766" s="57" t="n">
        <f aca="false">AR766</f>
        <v>50</v>
      </c>
      <c r="AD766" s="57" t="n">
        <f aca="false">MAX(AR766,H766)</f>
        <v>50</v>
      </c>
      <c r="AE766" s="64"/>
      <c r="AF766" s="57" t="n">
        <f aca="false">IF(LEFT(Cockpit!$C$5,1)="A",H766,IF(CA766=1,CB766,IF(LEFT(Cockpit!$C$5,1)="B",AJ766,MAX(AJ766,H766))))</f>
        <v>0</v>
      </c>
      <c r="AG766" s="57" t="n">
        <f aca="false">IF(BT766=1,0,ROUNDUP(AF766/BS766,0))</f>
        <v>0</v>
      </c>
      <c r="AH766" s="59" t="n">
        <f aca="false">IF(CH766&gt;0,CH766*MAX(1,AF766/X766),IF(BT766=1,IF(AF766&lt;=0,0,BW766*MAX(1,IF(H766&gt;0,AF766/H766,1))),IF(R766&gt;0,AG766/R766,0))/MAX(0.1,N(Parameter!$M$21)))</f>
        <v>0</v>
      </c>
      <c r="AI766" s="57" t="n">
        <f aca="false">AF766*G766</f>
        <v>0</v>
      </c>
      <c r="AJ766" s="57" t="n">
        <f aca="false">ROUNDUP(MAX(J766/IF(BZ766&gt;0,BZ766,MAX(0.1,N(Cockpit!$C$6))),CC766)/BS766,0)*BS766</f>
        <v>50</v>
      </c>
      <c r="AK766" s="58" t="n">
        <f aca="false">IF(AH766&gt;0,J766/AH766,-1)</f>
        <v>-1</v>
      </c>
      <c r="AL766" s="58" t="str">
        <f aca="false">IF(AND(OR(BY766="L1",BY766="L23"),AH766&gt;0),SUMIFS($AH$7:$AH$1843,$BY$7:$BY$1843,BY766,$AK$7:$AK$1843,"&gt;"&amp;AK766)+SUMIFS($AH$7:$AH$1843,$BY$7:$BY$1843,BY766,$AK$7:$AK$1843,AK766,$BQ$7:$BQ$1843,"&lt;="&amp;BQ766),"")</f>
        <v/>
      </c>
      <c r="AM766" s="65" t="n">
        <f aca="false">IF(AL766="",0,MAX(0,MIN(1,(IF(BY766="L1",Parameter!$E$5,Parameter!$E$6+Parameter!$E$7)-(AL766-AH766))/AH766)))</f>
        <v>0</v>
      </c>
      <c r="AN766" s="57" t="n">
        <f aca="false">IF(LEFT(Cockpit!$I$5,1)="A",H766,IF(CA766=1,CB766,IF(LEFT(Cockpit!$I$5,1)="B",AR766,MAX(AR766,H766))))</f>
        <v>50</v>
      </c>
      <c r="AO766" s="57" t="n">
        <f aca="false">IF(BT766=1,0,ROUNDUP(AN766/BS766,0))</f>
        <v>1</v>
      </c>
      <c r="AP766" s="59" t="n">
        <f aca="false">IF(CH766&gt;0,CH766*MAX(1,AN766/X766),IF(BT766=1,IF(AN766&lt;=0,0,BW766*MAX(1,IF(H766&gt;0,AN766/H766,1))),IF(R766&gt;0,AO766/R766,0))/MAX(0.1,N(Parameter!$M$21)))</f>
        <v>0.0833333333333333</v>
      </c>
      <c r="AQ766" s="57" t="n">
        <f aca="false">AN766*G766</f>
        <v>0.5</v>
      </c>
      <c r="AR766" s="57" t="n">
        <f aca="false">ROUNDUP(MAX(J766/IF(BZ766&gt;0,BZ766,MAX(0.1,N(Cockpit!$I$6))),CC766)/BS766,0)*BS766</f>
        <v>50</v>
      </c>
      <c r="AS766" s="58" t="n">
        <f aca="false">IF(AP766&gt;0,J766/AP766,-1)</f>
        <v>600</v>
      </c>
      <c r="AT766" s="58" t="n">
        <f aca="false">IF(AND(OR(BY766="L1",BY766="L23"),AP766&gt;0),SUMIFS($AP$7:$AP$1843,$BY$7:$BY$1843,BY766,$AS$7:$AS$1843,"&gt;"&amp;AS766)+SUMIFS($AP$7:$AP$1843,$BY$7:$BY$1843,BY766,$AS$7:$AS$1843,AS766,$BQ$7:$BQ$1843,"&lt;="&amp;BQ766),"")</f>
        <v>30.5310715854194</v>
      </c>
      <c r="AU766" s="65" t="n">
        <f aca="false">IF(AT766="",0,MAX(0,MIN(1,(IF(BY766="L1",Parameter!$E$5,Parameter!$E$6+Parameter!$E$7)-(AT766-AP766))/AP766)))</f>
        <v>1</v>
      </c>
      <c r="AV766" s="57" t="n">
        <f aca="false">IF(LEFT(Cockpit!$O$5,1)="A",H766,IF(CA766=1,CB766,IF(LEFT(Cockpit!$O$5,1)="B",AZ766,MAX(AZ766,H766))))</f>
        <v>50</v>
      </c>
      <c r="AW766" s="57" t="n">
        <f aca="false">IF(BT766=1,0,ROUNDUP(AV766/BS766,0))</f>
        <v>1</v>
      </c>
      <c r="AX766" s="59" t="n">
        <f aca="false">IF(CH766&gt;0,CH766*MAX(1,AV766/X766),IF(BT766=1,IF(AV766&lt;=0,0,BW766*MAX(1,IF(H766&gt;0,AV766/H766,1))),IF(R766&gt;0,AW766/R766,0))/MAX(0.1,N(Parameter!$M$21)))</f>
        <v>0.0833333333333333</v>
      </c>
      <c r="AY766" s="57" t="n">
        <f aca="false">AV766*G766</f>
        <v>0.5</v>
      </c>
      <c r="AZ766" s="57" t="n">
        <f aca="false">ROUNDUP(MAX(J766/IF(BZ766&gt;0,BZ766,MAX(0.1,N(Cockpit!$O$6))),CC766)/BS766,0)*BS766</f>
        <v>50</v>
      </c>
      <c r="BA766" s="58" t="n">
        <f aca="false">IF(AX766&gt;0,J766/AX766,-1)</f>
        <v>600</v>
      </c>
      <c r="BB766" s="58" t="n">
        <f aca="false">IF(AND(OR(BY766="L1",BY766="L23"),AX766&gt;0),SUMIFS($AX$7:$AX$1843,$BY$7:$BY$1843,BY766,$BA$7:$BA$1843,"&gt;"&amp;BA766)+SUMIFS($AX$7:$AX$1843,$BY$7:$BY$1843,BY766,$BA$7:$BA$1843,BA766,$BQ$7:$BQ$1843,"&lt;="&amp;BQ766),"")</f>
        <v>29.2327032870511</v>
      </c>
      <c r="BC766" s="65" t="n">
        <f aca="false">IF(BB766="",0,MAX(0,MIN(1,(IF(BY766="L1",Parameter!$E$5,Parameter!$E$6+Parameter!$E$7)-(BB766-AX766))/AX766)))</f>
        <v>1</v>
      </c>
      <c r="BD766" s="55" t="str">
        <f aca="false">IF(AH766&lt;=0,"",IF(BY766="Aussen","Aussenlager",IF(BY766="-","Nicht im Lift",IF(AM766&gt;=1,"Lift",IF(AM766&lt;=0,"Aussenlager","teilweise")))))</f>
        <v/>
      </c>
      <c r="BE766" s="55" t="str">
        <f aca="false">IF(AP766&lt;=0,"",IF(BY766="Aussen","Aussenlager",IF(BY766="-","Nicht im Lift",IF(AU766&gt;=1,"Lift",IF(AU766&lt;=0,"Aussenlager","teilweise")))))</f>
        <v>Lift</v>
      </c>
      <c r="BF766" s="55" t="str">
        <f aca="false">IF(AX766&lt;=0,"",IF(BY766="Aussen","Aussenlager",IF(BY766="-","Nicht im Lift",IF(BC766&gt;=1,"Lift",IF(BC766&lt;=0,"Aussenlager","teilweise")))))</f>
        <v>Lift</v>
      </c>
      <c r="BG766" s="55" t="str">
        <f aca="false">IF(A766="","",IF(BP766=1,"Neu; ","")&amp;IF(AND(BP766=0,BK766&lt;0),"negativer Bestand (Export "&amp;BK766&amp;"); ","")&amp;IF(J766&lt;=0,"Kein Verbrauch; ","")&amp;IF(CH766&gt;0,"Lift "&amp;W766&amp;" lt. Liftbericht (Fach "&amp;X766&amp;" Stk); ",IF(BU766=1,"Gebinde geschätzt ("&amp;T766&amp;"); ",IF(BT766=1,"Lose – Tablare geschätzt; ","")))&amp;IF(H766&gt;AR766,"Überbestand "&amp;ROUND(H766-AR766,0)&amp;" Stk / CHF "&amp;ROUND((H766-AR766)*G766,0)&amp;"; ","")&amp;IF(AND(CA766=1,CB766&lt;CC766),"MAX &lt; MB+LG; ","")&amp;IF(AND(CG766&gt;0,CF766*10&gt;CG766),"zu hoch für Tablar; ","")&amp;IF(AND(BP766=0,OR(CA766=1,AA766&lt;&gt;"",U766&lt;&gt;"",V766&lt;&gt;"",AB766&lt;&gt;"")),"manuell übersteuert; ","")&amp;IF(AND(BT766=0,R766=0),"Gebinde unbekannt / Stellmass fehlt; ","")&amp;IF(AND(BT766=0,N(V766)&lt;=0,N(Q766)&lt;=0),"Menge pro Gebinde fehlt (Ist = 1 Gebinde); ","")&amp;BO766)</f>
        <v>negativer Bestand (Export -85); Gebinde geschätzt (Mittel); Menge pro Gebinde fehlt (Ist = 1 Gebinde); </v>
      </c>
      <c r="BH766" s="55"/>
      <c r="BI766" s="55"/>
      <c r="BJ766" s="62"/>
      <c r="BK766" s="57" t="n">
        <v>-85</v>
      </c>
      <c r="BL766" s="57" t="n">
        <v>85</v>
      </c>
      <c r="BM766" s="56" t="n">
        <v>-0.85</v>
      </c>
      <c r="BN766" s="57" t="n">
        <v>50</v>
      </c>
      <c r="BO766" s="55"/>
      <c r="BP766" s="60" t="n">
        <v>0</v>
      </c>
      <c r="BQ766" s="60" t="n">
        <v>766</v>
      </c>
      <c r="BR766" s="55" t="str">
        <f aca="false">IF(U766&lt;&gt;"",UPPER(TRIM(U766)),IF(BU766=1,UPPER(VLOOKUP(T766,Parameter!$I$27:$K$29,2,0)),IF(P766="","LOSE",P766)))</f>
        <v>S61</v>
      </c>
      <c r="BS766" s="57" t="n">
        <f aca="false">IF(BR766="LOSE",1,IF(N(V766)&gt;0,V766,IF(BU766=1,MAX(1,N(VLOOKUP(T766,Parameter!$I$27:$K$29,3,0)),H766,N(N766)),IF(N(Q766)&gt;0,Q766,MAX(1,H766)))))</f>
        <v>50</v>
      </c>
      <c r="BT766" s="60" t="n">
        <f aca="false">IF(BR766="LOSE",1,0)</f>
        <v>0</v>
      </c>
      <c r="BU766" s="60" t="n">
        <f aca="false">IF(AND(U766="",OR(P766="",P766="LOSE"),T766&lt;&gt;"",N(S766)&lt;=0,ISNUMBER(MATCH(T766,Parameter!$I$27:$I$29,0))),1,0)</f>
        <v>1</v>
      </c>
      <c r="BV766" s="55" t="str">
        <f aca="false">IF(AND(Parameter!$B$19="Ja",E766&lt;&gt;"",ISNUMBER(MATCH(E766,Parameter!$I$35:$I$52,0))),VLOOKUP(E766,Parameter!$I$35:$J$52,2,0),IFERROR(VLOOKUP(D766,Parameter!$A$35:$C$64,2,0),"Nein"))</f>
        <v>2+3</v>
      </c>
      <c r="BW766" s="59" t="n">
        <f aca="false">IF(BT766=0,0,IF(N(S766)&gt;0,S766,IFERROR(VLOOKUP(D766,Parameter!$A$35:$C$64,3,0)+0,0)))</f>
        <v>0</v>
      </c>
      <c r="BX766" s="55" t="n">
        <f aca="false">IF(AA766&lt;&gt;"",AA766,Z766)</f>
        <v>2</v>
      </c>
      <c r="BY766" s="55" t="str">
        <f aca="false">IF(BX766=1,"L1",IF(OR(BX766=2,BX766=3),"L23",IF(BX766="Aussen","Aussen","-")))</f>
        <v>L23</v>
      </c>
      <c r="BZ766" s="66" t="n">
        <f aca="false">IF(N(AB766)&gt;0,AB766,0)</f>
        <v>0</v>
      </c>
      <c r="CA766" s="60" t="n">
        <f aca="false">IF(ISNUMBER(AE766),1,0)</f>
        <v>0</v>
      </c>
      <c r="CB766" s="57" t="n">
        <f aca="false">N(AE766)</f>
        <v>0</v>
      </c>
      <c r="CC766" s="57" t="n">
        <f aca="false">N(M766)+N(N766)</f>
        <v>50</v>
      </c>
      <c r="CD766" s="57" t="n">
        <f aca="false">ROUNDUP(H766/BS766,0)</f>
        <v>0</v>
      </c>
      <c r="CE766" s="57" t="n">
        <f aca="false">ROUNDUP(CB766/BS766,0)</f>
        <v>0</v>
      </c>
      <c r="CF766" s="60" t="n">
        <f aca="false">IF(BT766=1,0,IFERROR(VLOOKUP(BR766,'Gebinde-Kategorie'!$A$5:$M$45,5,0)+0,0))</f>
        <v>11</v>
      </c>
      <c r="CG766" s="60" t="n">
        <f aca="false">IFERROR(IF(OR(BX766=1,BX766=2,BX766=3),N(INDEX(Parameter!$I$5:$I$7,BX766)),0),0)</f>
        <v>0</v>
      </c>
      <c r="CH766" s="59" t="n">
        <f aca="false">IF(AND(Parameter!$B$21="Ja",ISNUMBER(W766),N(X766)&gt;0),IFERROR(N(INDEX(Parameter!$L$5:$L$7,W766))*INDEX(Parameter!$E$5:$E$7,W766)*X766/SUMIFS($X$7:$X$1843,$W$7:$W$1843,W766),0),0)</f>
        <v>0</v>
      </c>
    </row>
    <row r="767" customFormat="false" ht="15" hidden="false" customHeight="false" outlineLevel="0" collapsed="false">
      <c r="A767" s="55" t="s">
        <v>1509</v>
      </c>
      <c r="B767" s="55" t="s">
        <v>1510</v>
      </c>
      <c r="C767" s="55" t="s">
        <v>164</v>
      </c>
      <c r="D767" s="55" t="s">
        <v>184</v>
      </c>
      <c r="E767" s="55" t="s">
        <v>185</v>
      </c>
      <c r="F767" s="55" t="s">
        <v>218</v>
      </c>
      <c r="G767" s="56" t="n">
        <v>0.01</v>
      </c>
      <c r="H767" s="57" t="n">
        <f aca="false">MAX(0,IF(AND(Parameter!$B$21="Ja",ISNUMBER(Y767)),Y767,IF(Parameter!$B$20="Jahresanfang 2025 + Export",BL767+BK767,BK767)))</f>
        <v>4864</v>
      </c>
      <c r="I767" s="57" t="n">
        <f aca="false">H767*G767</f>
        <v>48.64</v>
      </c>
      <c r="J767" s="57" t="n">
        <f aca="false">BN767*Parameter!$B$18</f>
        <v>1</v>
      </c>
      <c r="K767" s="58" t="n">
        <v>4924.5</v>
      </c>
      <c r="L767" s="59" t="n">
        <v>0.000203066301147325</v>
      </c>
      <c r="M767" s="57" t="n">
        <v>0</v>
      </c>
      <c r="N767" s="57" t="n">
        <v>1</v>
      </c>
      <c r="O767" s="60" t="n">
        <v>21</v>
      </c>
      <c r="P767" s="55" t="s">
        <v>328</v>
      </c>
      <c r="Q767" s="57" t="n">
        <v>5000</v>
      </c>
      <c r="R767" s="60" t="n">
        <f aca="false">IF(BT767=1,0,IFERROR(VLOOKUP(BR767,'Gebinde-Kategorie'!$A$5:$M$45,13,0)+0,0))</f>
        <v>52</v>
      </c>
      <c r="S767" s="61"/>
      <c r="T767" s="62"/>
      <c r="U767" s="62"/>
      <c r="V767" s="62"/>
      <c r="W767" s="55"/>
      <c r="X767" s="57"/>
      <c r="Y767" s="57"/>
      <c r="Z767" s="55" t="n">
        <f aca="false">IF(A767="","",IF(AND(Parameter!$B$21="Ja",ISNUMBER(W767)),W767,IF(BV767="2+3",IF(ISNUMBER(SEARCH("grosser Artikel",BO767)),2,IFERROR(VLOOKUP(BR767,Parameter!$F$35:$G$64,2,0),2)),IF(OR(BV767="Nein",BV767=""),"-",BV767))))</f>
        <v>3</v>
      </c>
      <c r="AA767" s="62"/>
      <c r="AB767" s="63"/>
      <c r="AC767" s="57" t="n">
        <f aca="false">AR767</f>
        <v>5000</v>
      </c>
      <c r="AD767" s="57" t="n">
        <f aca="false">MAX(AR767,H767)</f>
        <v>5000</v>
      </c>
      <c r="AE767" s="64"/>
      <c r="AF767" s="57" t="n">
        <f aca="false">IF(LEFT(Cockpit!$C$5,1)="A",H767,IF(CA767=1,CB767,IF(LEFT(Cockpit!$C$5,1)="B",AJ767,MAX(AJ767,H767))))</f>
        <v>4864</v>
      </c>
      <c r="AG767" s="57" t="n">
        <f aca="false">IF(BT767=1,0,ROUNDUP(AF767/BS767,0))</f>
        <v>1</v>
      </c>
      <c r="AH767" s="59" t="n">
        <f aca="false">IF(CH767&gt;0,CH767*MAX(1,AF767/X767),IF(BT767=1,IF(AF767&lt;=0,0,BW767*MAX(1,IF(H767&gt;0,AF767/H767,1))),IF(R767&gt;0,AG767/R767,0))/MAX(0.1,N(Parameter!$M$21)))</f>
        <v>0.0192307692307692</v>
      </c>
      <c r="AI767" s="57" t="n">
        <f aca="false">AF767*G767</f>
        <v>48.64</v>
      </c>
      <c r="AJ767" s="57" t="n">
        <f aca="false">ROUNDUP(MAX(J767/IF(BZ767&gt;0,BZ767,MAX(0.1,N(Cockpit!$C$6))),CC767)/BS767,0)*BS767</f>
        <v>5000</v>
      </c>
      <c r="AK767" s="58" t="n">
        <f aca="false">IF(AH767&gt;0,J767/AH767,-1)</f>
        <v>52</v>
      </c>
      <c r="AL767" s="58" t="n">
        <f aca="false">IF(AND(OR(BY767="L1",BY767="L23"),AH767&gt;0),SUMIFS($AH$7:$AH$1843,$BY$7:$BY$1843,BY767,$AK$7:$AK$1843,"&gt;"&amp;AK767)+SUMIFS($AH$7:$AH$1843,$BY$7:$BY$1843,BY767,$AK$7:$AK$1843,AK767,$BQ$7:$BQ$1843,"&lt;="&amp;BQ767),"")</f>
        <v>44.4337522381001</v>
      </c>
      <c r="AM767" s="65" t="n">
        <f aca="false">IF(AL767="",0,MAX(0,MIN(1,(IF(BY767="L1",Parameter!$E$5,Parameter!$E$6+Parameter!$E$7)-(AL767-AH767))/AH767)))</f>
        <v>1</v>
      </c>
      <c r="AN767" s="57" t="n">
        <f aca="false">IF(LEFT(Cockpit!$I$5,1)="A",H767,IF(CA767=1,CB767,IF(LEFT(Cockpit!$I$5,1)="B",AR767,MAX(AR767,H767))))</f>
        <v>5000</v>
      </c>
      <c r="AO767" s="57" t="n">
        <f aca="false">IF(BT767=1,0,ROUNDUP(AN767/BS767,0))</f>
        <v>1</v>
      </c>
      <c r="AP767" s="59" t="n">
        <f aca="false">IF(CH767&gt;0,CH767*MAX(1,AN767/X767),IF(BT767=1,IF(AN767&lt;=0,0,BW767*MAX(1,IF(H767&gt;0,AN767/H767,1))),IF(R767&gt;0,AO767/R767,0))/MAX(0.1,N(Parameter!$M$21)))</f>
        <v>0.0192307692307692</v>
      </c>
      <c r="AQ767" s="57" t="n">
        <f aca="false">AN767*G767</f>
        <v>50</v>
      </c>
      <c r="AR767" s="57" t="n">
        <f aca="false">ROUNDUP(MAX(J767/IF(BZ767&gt;0,BZ767,MAX(0.1,N(Cockpit!$I$6))),CC767)/BS767,0)*BS767</f>
        <v>5000</v>
      </c>
      <c r="AS767" s="58" t="n">
        <f aca="false">IF(AP767&gt;0,J767/AP767,-1)</f>
        <v>52</v>
      </c>
      <c r="AT767" s="58" t="n">
        <f aca="false">IF(AND(OR(BY767="L1",BY767="L23"),AP767&gt;0),SUMIFS($AP$7:$AP$1843,$BY$7:$BY$1843,BY767,$AS$7:$AS$1843,"&gt;"&amp;AS767)+SUMIFS($AP$7:$AP$1843,$BY$7:$BY$1843,BY767,$AS$7:$AS$1843,AS767,$BQ$7:$BQ$1843,"&lt;="&amp;BQ767),"")</f>
        <v>67.3771071923246</v>
      </c>
      <c r="AU767" s="65" t="n">
        <f aca="false">IF(AT767="",0,MAX(0,MIN(1,(IF(BY767="L1",Parameter!$E$5,Parameter!$E$6+Parameter!$E$7)-(AT767-AP767))/AP767)))</f>
        <v>1</v>
      </c>
      <c r="AV767" s="57" t="n">
        <f aca="false">IF(LEFT(Cockpit!$O$5,1)="A",H767,IF(CA767=1,CB767,IF(LEFT(Cockpit!$O$5,1)="B",AZ767,MAX(AZ767,H767))))</f>
        <v>5000</v>
      </c>
      <c r="AW767" s="57" t="n">
        <f aca="false">IF(BT767=1,0,ROUNDUP(AV767/BS767,0))</f>
        <v>1</v>
      </c>
      <c r="AX767" s="59" t="n">
        <f aca="false">IF(CH767&gt;0,CH767*MAX(1,AV767/X767),IF(BT767=1,IF(AV767&lt;=0,0,BW767*MAX(1,IF(H767&gt;0,AV767/H767,1))),IF(R767&gt;0,AW767/R767,0))/MAX(0.1,N(Parameter!$M$21)))</f>
        <v>0.0192307692307692</v>
      </c>
      <c r="AY767" s="57" t="n">
        <f aca="false">AV767*G767</f>
        <v>50</v>
      </c>
      <c r="AZ767" s="57" t="n">
        <f aca="false">ROUNDUP(MAX(J767/IF(BZ767&gt;0,BZ767,MAX(0.1,N(Cockpit!$O$6))),CC767)/BS767,0)*BS767</f>
        <v>5000</v>
      </c>
      <c r="BA767" s="58" t="n">
        <f aca="false">IF(AX767&gt;0,J767/AX767,-1)</f>
        <v>52</v>
      </c>
      <c r="BB767" s="58" t="n">
        <f aca="false">IF(AND(OR(BY767="L1",BY767="L23"),AX767&gt;0),SUMIFS($AX$7:$AX$1843,$BY$7:$BY$1843,BY767,$BA$7:$BA$1843,"&gt;"&amp;BA767)+SUMIFS($AX$7:$AX$1843,$BY$7:$BY$1843,BY767,$BA$7:$BA$1843,BA767,$BQ$7:$BQ$1843,"&lt;="&amp;BQ767),"")</f>
        <v>61.8736106888281</v>
      </c>
      <c r="BC767" s="65" t="n">
        <f aca="false">IF(BB767="",0,MAX(0,MIN(1,(IF(BY767="L1",Parameter!$E$5,Parameter!$E$6+Parameter!$E$7)-(BB767-AX767))/AX767)))</f>
        <v>1</v>
      </c>
      <c r="BD767" s="55" t="str">
        <f aca="false">IF(AH767&lt;=0,"",IF(BY767="Aussen","Aussenlager",IF(BY767="-","Nicht im Lift",IF(AM767&gt;=1,"Lift",IF(AM767&lt;=0,"Aussenlager","teilweise")))))</f>
        <v>Lift</v>
      </c>
      <c r="BE767" s="55" t="str">
        <f aca="false">IF(AP767&lt;=0,"",IF(BY767="Aussen","Aussenlager",IF(BY767="-","Nicht im Lift",IF(AU767&gt;=1,"Lift",IF(AU767&lt;=0,"Aussenlager","teilweise")))))</f>
        <v>Lift</v>
      </c>
      <c r="BF767" s="55" t="str">
        <f aca="false">IF(AX767&lt;=0,"",IF(BY767="Aussen","Aussenlager",IF(BY767="-","Nicht im Lift",IF(BC767&gt;=1,"Lift",IF(BC767&lt;=0,"Aussenlager","teilweise")))))</f>
        <v>Lift</v>
      </c>
      <c r="BG767" s="55" t="str">
        <f aca="false">IF(A767="","",IF(BP767=1,"Neu; ","")&amp;IF(AND(BP767=0,BK767&lt;0),"negativer Bestand (Export "&amp;BK767&amp;"); ","")&amp;IF(J767&lt;=0,"Kein Verbrauch; ","")&amp;IF(CH767&gt;0,"Lift "&amp;W767&amp;" lt. Liftbericht (Fach "&amp;X767&amp;" Stk); ",IF(BU767=1,"Gebinde geschätzt ("&amp;T767&amp;"); ",IF(BT767=1,"Lose – Tablare geschätzt; ","")))&amp;IF(H767&gt;AR767,"Überbestand "&amp;ROUND(H767-AR767,0)&amp;" Stk / CHF "&amp;ROUND((H767-AR767)*G767,0)&amp;"; ","")&amp;IF(AND(CA767=1,CB767&lt;CC767),"MAX &lt; MB+LG; ","")&amp;IF(AND(CG767&gt;0,CF767*10&gt;CG767),"zu hoch für Tablar; ","")&amp;IF(AND(BP767=0,OR(CA767=1,AA767&lt;&gt;"",U767&lt;&gt;"",V767&lt;&gt;"",AB767&lt;&gt;"")),"manuell übersteuert; ","")&amp;IF(AND(BT767=0,R767=0),"Gebinde unbekannt / Stellmass fehlt; ","")&amp;IF(AND(BT767=0,N(V767)&lt;=0,N(Q767)&lt;=0),"Menge pro Gebinde fehlt (Ist = 1 Gebinde); ","")&amp;BO767)</f>
        <v>negativer Bestand (Export -86); Überbestand</v>
      </c>
      <c r="BH767" s="55"/>
      <c r="BI767" s="55"/>
      <c r="BJ767" s="62"/>
      <c r="BK767" s="57" t="n">
        <v>-86</v>
      </c>
      <c r="BL767" s="57" t="n">
        <v>4950</v>
      </c>
      <c r="BM767" s="56" t="n">
        <v>-0.86</v>
      </c>
      <c r="BN767" s="57" t="n">
        <v>1</v>
      </c>
      <c r="BO767" s="55" t="s">
        <v>392</v>
      </c>
      <c r="BP767" s="60" t="n">
        <v>0</v>
      </c>
      <c r="BQ767" s="60" t="n">
        <v>767</v>
      </c>
      <c r="BR767" s="55" t="str">
        <f aca="false">IF(U767&lt;&gt;"",UPPER(TRIM(U767)),IF(BU767=1,UPPER(VLOOKUP(T767,Parameter!$I$27:$K$29,2,0)),IF(P767="","LOSE",P767)))</f>
        <v>S41</v>
      </c>
      <c r="BS767" s="57" t="n">
        <f aca="false">IF(BR767="LOSE",1,IF(N(V767)&gt;0,V767,IF(BU767=1,MAX(1,N(VLOOKUP(T767,Parameter!$I$27:$K$29,3,0)),H767,N(N767)),IF(N(Q767)&gt;0,Q767,MAX(1,H767)))))</f>
        <v>5000</v>
      </c>
      <c r="BT767" s="60" t="n">
        <f aca="false">IF(BR767="LOSE",1,0)</f>
        <v>0</v>
      </c>
      <c r="BU767" s="60" t="n">
        <f aca="false">IF(AND(U767="",OR(P767="",P767="LOSE"),T767&lt;&gt;"",N(S767)&lt;=0,ISNUMBER(MATCH(T767,Parameter!$I$27:$I$29,0))),1,0)</f>
        <v>0</v>
      </c>
      <c r="BV767" s="55" t="str">
        <f aca="false">IF(AND(Parameter!$B$19="Ja",E767&lt;&gt;"",ISNUMBER(MATCH(E767,Parameter!$I$35:$I$52,0))),VLOOKUP(E767,Parameter!$I$35:$J$52,2,0),IFERROR(VLOOKUP(D767,Parameter!$A$35:$C$64,2,0),"Nein"))</f>
        <v>2+3</v>
      </c>
      <c r="BW767" s="59" t="n">
        <f aca="false">IF(BT767=0,0,IF(N(S767)&gt;0,S767,IFERROR(VLOOKUP(D767,Parameter!$A$35:$C$64,3,0)+0,0)))</f>
        <v>0</v>
      </c>
      <c r="BX767" s="55" t="n">
        <f aca="false">IF(AA767&lt;&gt;"",AA767,Z767)</f>
        <v>3</v>
      </c>
      <c r="BY767" s="55" t="str">
        <f aca="false">IF(BX767=1,"L1",IF(OR(BX767=2,BX767=3),"L23",IF(BX767="Aussen","Aussen","-")))</f>
        <v>L23</v>
      </c>
      <c r="BZ767" s="66" t="n">
        <f aca="false">IF(N(AB767)&gt;0,AB767,0)</f>
        <v>0</v>
      </c>
      <c r="CA767" s="60" t="n">
        <f aca="false">IF(ISNUMBER(AE767),1,0)</f>
        <v>0</v>
      </c>
      <c r="CB767" s="57" t="n">
        <f aca="false">N(AE767)</f>
        <v>0</v>
      </c>
      <c r="CC767" s="57" t="n">
        <f aca="false">N(M767)+N(N767)</f>
        <v>1</v>
      </c>
      <c r="CD767" s="57" t="n">
        <f aca="false">ROUNDUP(H767/BS767,0)</f>
        <v>1</v>
      </c>
      <c r="CE767" s="57" t="n">
        <f aca="false">ROUNDUP(CB767/BS767,0)</f>
        <v>0</v>
      </c>
      <c r="CF767" s="60" t="n">
        <f aca="false">IF(BT767=1,0,IFERROR(VLOOKUP(BR767,'Gebinde-Kategorie'!$A$5:$M$45,5,0)+0,0))</f>
        <v>11</v>
      </c>
      <c r="CG767" s="60" t="n">
        <f aca="false">IFERROR(IF(OR(BX767=1,BX767=2,BX767=3),N(INDEX(Parameter!$I$5:$I$7,BX767)),0),0)</f>
        <v>0</v>
      </c>
      <c r="CH767" s="59" t="n">
        <f aca="false">IF(AND(Parameter!$B$21="Ja",ISNUMBER(W767),N(X767)&gt;0),IFERROR(N(INDEX(Parameter!$L$5:$L$7,W767))*INDEX(Parameter!$E$5:$E$7,W767)*X767/SUMIFS($X$7:$X$1843,$W$7:$W$1843,W767),0),0)</f>
        <v>0</v>
      </c>
    </row>
    <row r="768" customFormat="false" ht="15" hidden="false" customHeight="false" outlineLevel="0" collapsed="false">
      <c r="A768" s="55" t="s">
        <v>1511</v>
      </c>
      <c r="B768" s="55" t="s">
        <v>949</v>
      </c>
      <c r="C768" s="55" t="s">
        <v>164</v>
      </c>
      <c r="D768" s="55" t="s">
        <v>184</v>
      </c>
      <c r="E768" s="55" t="s">
        <v>185</v>
      </c>
      <c r="F768" s="55" t="s">
        <v>218</v>
      </c>
      <c r="G768" s="56" t="n">
        <v>0.03</v>
      </c>
      <c r="H768" s="57" t="n">
        <f aca="false">MAX(0,IF(AND(Parameter!$B$21="Ja",ISNUMBER(Y768)),Y768,IF(Parameter!$B$20="Jahresanfang 2025 + Export",BL768+BK768,BK768)))</f>
        <v>277</v>
      </c>
      <c r="I768" s="57" t="n">
        <f aca="false">H768*G768</f>
        <v>8.31</v>
      </c>
      <c r="J768" s="57" t="n">
        <f aca="false">BN768*Parameter!$B$18</f>
        <v>12</v>
      </c>
      <c r="K768" s="58" t="n">
        <v>294</v>
      </c>
      <c r="L768" s="59" t="n">
        <v>0.0408163265306122</v>
      </c>
      <c r="M768" s="57" t="n">
        <v>0</v>
      </c>
      <c r="N768" s="57" t="n">
        <v>10</v>
      </c>
      <c r="O768" s="60" t="n">
        <v>14</v>
      </c>
      <c r="P768" s="55" t="s">
        <v>421</v>
      </c>
      <c r="Q768" s="57" t="n">
        <v>380</v>
      </c>
      <c r="R768" s="60" t="n">
        <f aca="false">IF(BT768=1,0,IFERROR(VLOOKUP(BR768,'Gebinde-Kategorie'!$A$5:$M$45,13,0)+0,0))</f>
        <v>132</v>
      </c>
      <c r="S768" s="61"/>
      <c r="T768" s="62"/>
      <c r="U768" s="62"/>
      <c r="V768" s="62"/>
      <c r="W768" s="55"/>
      <c r="X768" s="57"/>
      <c r="Y768" s="57"/>
      <c r="Z768" s="55" t="n">
        <f aca="false">IF(A768="","",IF(AND(Parameter!$B$21="Ja",ISNUMBER(W768)),W768,IF(BV768="2+3",IF(ISNUMBER(SEARCH("grosser Artikel",BO768)),2,IFERROR(VLOOKUP(BR768,Parameter!$F$35:$G$64,2,0),2)),IF(OR(BV768="Nein",BV768=""),"-",BV768))))</f>
        <v>3</v>
      </c>
      <c r="AA768" s="62"/>
      <c r="AB768" s="63"/>
      <c r="AC768" s="57" t="n">
        <f aca="false">AR768</f>
        <v>380</v>
      </c>
      <c r="AD768" s="57" t="n">
        <f aca="false">MAX(AR768,H768)</f>
        <v>380</v>
      </c>
      <c r="AE768" s="64"/>
      <c r="AF768" s="57" t="n">
        <f aca="false">IF(LEFT(Cockpit!$C$5,1)="A",H768,IF(CA768=1,CB768,IF(LEFT(Cockpit!$C$5,1)="B",AJ768,MAX(AJ768,H768))))</f>
        <v>277</v>
      </c>
      <c r="AG768" s="57" t="n">
        <f aca="false">IF(BT768=1,0,ROUNDUP(AF768/BS768,0))</f>
        <v>1</v>
      </c>
      <c r="AH768" s="59" t="n">
        <f aca="false">IF(CH768&gt;0,CH768*MAX(1,AF768/X768),IF(BT768=1,IF(AF768&lt;=0,0,BW768*MAX(1,IF(H768&gt;0,AF768/H768,1))),IF(R768&gt;0,AG768/R768,0))/MAX(0.1,N(Parameter!$M$21)))</f>
        <v>0.00757575757575758</v>
      </c>
      <c r="AI768" s="57" t="n">
        <f aca="false">AF768*G768</f>
        <v>8.31</v>
      </c>
      <c r="AJ768" s="57" t="n">
        <f aca="false">ROUNDUP(MAX(J768/IF(BZ768&gt;0,BZ768,MAX(0.1,N(Cockpit!$C$6))),CC768)/BS768,0)*BS768</f>
        <v>380</v>
      </c>
      <c r="AK768" s="58" t="n">
        <f aca="false">IF(AH768&gt;0,J768/AH768,-1)</f>
        <v>1584</v>
      </c>
      <c r="AL768" s="58" t="n">
        <f aca="false">IF(AND(OR(BY768="L1",BY768="L23"),AH768&gt;0),SUMIFS($AH$7:$AH$1843,$BY$7:$BY$1843,BY768,$AK$7:$AK$1843,"&gt;"&amp;AK768)+SUMIFS($AH$7:$AH$1843,$BY$7:$BY$1843,BY768,$AK$7:$AK$1843,AK768,$BQ$7:$BQ$1843,"&lt;="&amp;BQ768),"")</f>
        <v>15.559009830749</v>
      </c>
      <c r="AM768" s="65" t="n">
        <f aca="false">IF(AL768="",0,MAX(0,MIN(1,(IF(BY768="L1",Parameter!$E$5,Parameter!$E$6+Parameter!$E$7)-(AL768-AH768))/AH768)))</f>
        <v>1</v>
      </c>
      <c r="AN768" s="57" t="n">
        <f aca="false">IF(LEFT(Cockpit!$I$5,1)="A",H768,IF(CA768=1,CB768,IF(LEFT(Cockpit!$I$5,1)="B",AR768,MAX(AR768,H768))))</f>
        <v>380</v>
      </c>
      <c r="AO768" s="57" t="n">
        <f aca="false">IF(BT768=1,0,ROUNDUP(AN768/BS768,0))</f>
        <v>1</v>
      </c>
      <c r="AP768" s="59" t="n">
        <f aca="false">IF(CH768&gt;0,CH768*MAX(1,AN768/X768),IF(BT768=1,IF(AN768&lt;=0,0,BW768*MAX(1,IF(H768&gt;0,AN768/H768,1))),IF(R768&gt;0,AO768/R768,0))/MAX(0.1,N(Parameter!$M$21)))</f>
        <v>0.00757575757575758</v>
      </c>
      <c r="AQ768" s="57" t="n">
        <f aca="false">AN768*G768</f>
        <v>11.4</v>
      </c>
      <c r="AR768" s="57" t="n">
        <f aca="false">ROUNDUP(MAX(J768/IF(BZ768&gt;0,BZ768,MAX(0.1,N(Cockpit!$I$6))),CC768)/BS768,0)*BS768</f>
        <v>380</v>
      </c>
      <c r="AS768" s="58" t="n">
        <f aca="false">IF(AP768&gt;0,J768/AP768,-1)</f>
        <v>1584</v>
      </c>
      <c r="AT768" s="58" t="n">
        <f aca="false">IF(AND(OR(BY768="L1",BY768="L23"),AP768&gt;0),SUMIFS($AP$7:$AP$1843,$BY$7:$BY$1843,BY768,$AS$7:$AS$1843,"&gt;"&amp;AS768)+SUMIFS($AP$7:$AP$1843,$BY$7:$BY$1843,BY768,$AS$7:$AS$1843,AS768,$BQ$7:$BQ$1843,"&lt;="&amp;BQ768),"")</f>
        <v>20.3353265092396</v>
      </c>
      <c r="AU768" s="65" t="n">
        <f aca="false">IF(AT768="",0,MAX(0,MIN(1,(IF(BY768="L1",Parameter!$E$5,Parameter!$E$6+Parameter!$E$7)-(AT768-AP768))/AP768)))</f>
        <v>1</v>
      </c>
      <c r="AV768" s="57" t="n">
        <f aca="false">IF(LEFT(Cockpit!$O$5,1)="A",H768,IF(CA768=1,CB768,IF(LEFT(Cockpit!$O$5,1)="B",AZ768,MAX(AZ768,H768))))</f>
        <v>380</v>
      </c>
      <c r="AW768" s="57" t="n">
        <f aca="false">IF(BT768=1,0,ROUNDUP(AV768/BS768,0))</f>
        <v>1</v>
      </c>
      <c r="AX768" s="59" t="n">
        <f aca="false">IF(CH768&gt;0,CH768*MAX(1,AV768/X768),IF(BT768=1,IF(AV768&lt;=0,0,BW768*MAX(1,IF(H768&gt;0,AV768/H768,1))),IF(R768&gt;0,AW768/R768,0))/MAX(0.1,N(Parameter!$M$21)))</f>
        <v>0.00757575757575758</v>
      </c>
      <c r="AY768" s="57" t="n">
        <f aca="false">AV768*G768</f>
        <v>11.4</v>
      </c>
      <c r="AZ768" s="57" t="n">
        <f aca="false">ROUNDUP(MAX(J768/IF(BZ768&gt;0,BZ768,MAX(0.1,N(Cockpit!$O$6))),CC768)/BS768,0)*BS768</f>
        <v>380</v>
      </c>
      <c r="BA768" s="58" t="n">
        <f aca="false">IF(AX768&gt;0,J768/AX768,-1)</f>
        <v>1584</v>
      </c>
      <c r="BB768" s="58" t="n">
        <f aca="false">IF(AND(OR(BY768="L1",BY768="L23"),AX768&gt;0),SUMIFS($AX$7:$AX$1843,$BY$7:$BY$1843,BY768,$BA$7:$BA$1843,"&gt;"&amp;BA768)+SUMIFS($AX$7:$AX$1843,$BY$7:$BY$1843,BY768,$BA$7:$BA$1843,BA768,$BQ$7:$BQ$1843,"&lt;="&amp;BQ768),"")</f>
        <v>19.1972146211277</v>
      </c>
      <c r="BC768" s="65" t="n">
        <f aca="false">IF(BB768="",0,MAX(0,MIN(1,(IF(BY768="L1",Parameter!$E$5,Parameter!$E$6+Parameter!$E$7)-(BB768-AX768))/AX768)))</f>
        <v>1</v>
      </c>
      <c r="BD768" s="55" t="str">
        <f aca="false">IF(AH768&lt;=0,"",IF(BY768="Aussen","Aussenlager",IF(BY768="-","Nicht im Lift",IF(AM768&gt;=1,"Lift",IF(AM768&lt;=0,"Aussenlager","teilweise")))))</f>
        <v>Lift</v>
      </c>
      <c r="BE768" s="55" t="str">
        <f aca="false">IF(AP768&lt;=0,"",IF(BY768="Aussen","Aussenlager",IF(BY768="-","Nicht im Lift",IF(AU768&gt;=1,"Lift",IF(AU768&lt;=0,"Aussenlager","teilweise")))))</f>
        <v>Lift</v>
      </c>
      <c r="BF768" s="55" t="str">
        <f aca="false">IF(AX768&lt;=0,"",IF(BY768="Aussen","Aussenlager",IF(BY768="-","Nicht im Lift",IF(BC768&gt;=1,"Lift",IF(BC768&lt;=0,"Aussenlager","teilweise")))))</f>
        <v>Lift</v>
      </c>
      <c r="BG768" s="55" t="str">
        <f aca="false">IF(A768="","",IF(BP768=1,"Neu; ","")&amp;IF(AND(BP768=0,BK768&lt;0),"negativer Bestand (Export "&amp;BK768&amp;"); ","")&amp;IF(J768&lt;=0,"Kein Verbrauch; ","")&amp;IF(CH768&gt;0,"Lift "&amp;W768&amp;" lt. Liftbericht (Fach "&amp;X768&amp;" Stk); ",IF(BU768=1,"Gebinde geschätzt ("&amp;T768&amp;"); ",IF(BT768=1,"Lose – Tablare geschätzt; ","")))&amp;IF(H768&gt;AR768,"Überbestand "&amp;ROUND(H768-AR768,0)&amp;" Stk / CHF "&amp;ROUND((H768-AR768)*G768,0)&amp;"; ","")&amp;IF(AND(CA768=1,CB768&lt;CC768),"MAX &lt; MB+LG; ","")&amp;IF(AND(CG768&gt;0,CF768*10&gt;CG768),"zu hoch für Tablar; ","")&amp;IF(AND(BP768=0,OR(CA768=1,AA768&lt;&gt;"",U768&lt;&gt;"",V768&lt;&gt;"",AB768&lt;&gt;"")),"manuell übersteuert; ","")&amp;IF(AND(BT768=0,R768=0),"Gebinde unbekannt / Stellmass fehlt; ","")&amp;IF(AND(BT768=0,N(V768)&lt;=0,N(Q768)&lt;=0),"Menge pro Gebinde fehlt (Ist = 1 Gebinde); ","")&amp;BO768)</f>
        <v>negativer Bestand (Export -34); </v>
      </c>
      <c r="BH768" s="55"/>
      <c r="BI768" s="55"/>
      <c r="BJ768" s="62"/>
      <c r="BK768" s="57" t="n">
        <v>-34</v>
      </c>
      <c r="BL768" s="57" t="n">
        <v>311</v>
      </c>
      <c r="BM768" s="56" t="n">
        <v>-1.02</v>
      </c>
      <c r="BN768" s="57" t="n">
        <v>12</v>
      </c>
      <c r="BO768" s="55"/>
      <c r="BP768" s="60" t="n">
        <v>0</v>
      </c>
      <c r="BQ768" s="60" t="n">
        <v>768</v>
      </c>
      <c r="BR768" s="55" t="str">
        <f aca="false">IF(U768&lt;&gt;"",UPPER(TRIM(U768)),IF(BU768=1,UPPER(VLOOKUP(T768,Parameter!$I$27:$K$29,2,0)),IF(P768="","LOSE",P768)))</f>
        <v>S32</v>
      </c>
      <c r="BS768" s="57" t="n">
        <f aca="false">IF(BR768="LOSE",1,IF(N(V768)&gt;0,V768,IF(BU768=1,MAX(1,N(VLOOKUP(T768,Parameter!$I$27:$K$29,3,0)),H768,N(N768)),IF(N(Q768)&gt;0,Q768,MAX(1,H768)))))</f>
        <v>380</v>
      </c>
      <c r="BT768" s="60" t="n">
        <f aca="false">IF(BR768="LOSE",1,0)</f>
        <v>0</v>
      </c>
      <c r="BU768" s="60" t="n">
        <f aca="false">IF(AND(U768="",OR(P768="",P768="LOSE"),T768&lt;&gt;"",N(S768)&lt;=0,ISNUMBER(MATCH(T768,Parameter!$I$27:$I$29,0))),1,0)</f>
        <v>0</v>
      </c>
      <c r="BV768" s="55" t="str">
        <f aca="false">IF(AND(Parameter!$B$19="Ja",E768&lt;&gt;"",ISNUMBER(MATCH(E768,Parameter!$I$35:$I$52,0))),VLOOKUP(E768,Parameter!$I$35:$J$52,2,0),IFERROR(VLOOKUP(D768,Parameter!$A$35:$C$64,2,0),"Nein"))</f>
        <v>2+3</v>
      </c>
      <c r="BW768" s="59" t="n">
        <f aca="false">IF(BT768=0,0,IF(N(S768)&gt;0,S768,IFERROR(VLOOKUP(D768,Parameter!$A$35:$C$64,3,0)+0,0)))</f>
        <v>0</v>
      </c>
      <c r="BX768" s="55" t="n">
        <f aca="false">IF(AA768&lt;&gt;"",AA768,Z768)</f>
        <v>3</v>
      </c>
      <c r="BY768" s="55" t="str">
        <f aca="false">IF(BX768=1,"L1",IF(OR(BX768=2,BX768=3),"L23",IF(BX768="Aussen","Aussen","-")))</f>
        <v>L23</v>
      </c>
      <c r="BZ768" s="66" t="n">
        <f aca="false">IF(N(AB768)&gt;0,AB768,0)</f>
        <v>0</v>
      </c>
      <c r="CA768" s="60" t="n">
        <f aca="false">IF(ISNUMBER(AE768),1,0)</f>
        <v>0</v>
      </c>
      <c r="CB768" s="57" t="n">
        <f aca="false">N(AE768)</f>
        <v>0</v>
      </c>
      <c r="CC768" s="57" t="n">
        <f aca="false">N(M768)+N(N768)</f>
        <v>10</v>
      </c>
      <c r="CD768" s="57" t="n">
        <f aca="false">ROUNDUP(H768/BS768,0)</f>
        <v>1</v>
      </c>
      <c r="CE768" s="57" t="n">
        <f aca="false">ROUNDUP(CB768/BS768,0)</f>
        <v>0</v>
      </c>
      <c r="CF768" s="60" t="n">
        <f aca="false">IF(BT768=1,0,IFERROR(VLOOKUP(BR768,'Gebinde-Kategorie'!$A$5:$M$45,5,0)+0,0))</f>
        <v>8</v>
      </c>
      <c r="CG768" s="60" t="n">
        <f aca="false">IFERROR(IF(OR(BX768=1,BX768=2,BX768=3),N(INDEX(Parameter!$I$5:$I$7,BX768)),0),0)</f>
        <v>0</v>
      </c>
      <c r="CH768" s="59" t="n">
        <f aca="false">IF(AND(Parameter!$B$21="Ja",ISNUMBER(W768),N(X768)&gt;0),IFERROR(N(INDEX(Parameter!$L$5:$L$7,W768))*INDEX(Parameter!$E$5:$E$7,W768)*X768/SUMIFS($X$7:$X$1843,$W$7:$W$1843,W768),0),0)</f>
        <v>0</v>
      </c>
    </row>
    <row r="769" customFormat="false" ht="15" hidden="false" customHeight="false" outlineLevel="0" collapsed="false">
      <c r="A769" s="55" t="s">
        <v>1512</v>
      </c>
      <c r="B769" s="55" t="s">
        <v>1022</v>
      </c>
      <c r="C769" s="55" t="s">
        <v>164</v>
      </c>
      <c r="D769" s="55" t="s">
        <v>184</v>
      </c>
      <c r="E769" s="55" t="s">
        <v>185</v>
      </c>
      <c r="F769" s="55" t="s">
        <v>218</v>
      </c>
      <c r="G769" s="56" t="n">
        <v>0.54</v>
      </c>
      <c r="H769" s="57" t="n">
        <f aca="false">MAX(0,IF(AND(Parameter!$B$21="Ja",ISNUMBER(Y769)),Y769,IF(Parameter!$B$20="Jahresanfang 2025 + Export",BL769+BK769,BK769)))</f>
        <v>408</v>
      </c>
      <c r="I769" s="57" t="n">
        <f aca="false">H769*G769</f>
        <v>220.32</v>
      </c>
      <c r="J769" s="57" t="n">
        <f aca="false">BN769*Parameter!$B$18</f>
        <v>0</v>
      </c>
      <c r="K769" s="58" t="n">
        <v>409</v>
      </c>
      <c r="L769" s="59" t="n">
        <v>0</v>
      </c>
      <c r="M769" s="57" t="n">
        <v>0</v>
      </c>
      <c r="N769" s="57" t="n">
        <v>1</v>
      </c>
      <c r="O769" s="60" t="n">
        <v>14</v>
      </c>
      <c r="P769" s="55" t="s">
        <v>302</v>
      </c>
      <c r="Q769" s="57" t="n">
        <v>440</v>
      </c>
      <c r="R769" s="60" t="n">
        <f aca="false">IF(BT769=1,0,IFERROR(VLOOKUP(BR769,'Gebinde-Kategorie'!$A$5:$M$45,13,0)+0,0))</f>
        <v>26</v>
      </c>
      <c r="S769" s="61"/>
      <c r="T769" s="62"/>
      <c r="U769" s="62"/>
      <c r="V769" s="62"/>
      <c r="W769" s="55"/>
      <c r="X769" s="57"/>
      <c r="Y769" s="57"/>
      <c r="Z769" s="55" t="n">
        <f aca="false">IF(A769="","",IF(AND(Parameter!$B$21="Ja",ISNUMBER(W769)),W769,IF(BV769="2+3",IF(ISNUMBER(SEARCH("grosser Artikel",BO769)),2,IFERROR(VLOOKUP(BR769,Parameter!$F$35:$G$64,2,0),2)),IF(OR(BV769="Nein",BV769=""),"-",BV769))))</f>
        <v>3</v>
      </c>
      <c r="AA769" s="62"/>
      <c r="AB769" s="63"/>
      <c r="AC769" s="57" t="n">
        <f aca="false">AR769</f>
        <v>440</v>
      </c>
      <c r="AD769" s="57" t="n">
        <f aca="false">MAX(AR769,H769)</f>
        <v>440</v>
      </c>
      <c r="AE769" s="64"/>
      <c r="AF769" s="57" t="n">
        <f aca="false">IF(LEFT(Cockpit!$C$5,1)="A",H769,IF(CA769=1,CB769,IF(LEFT(Cockpit!$C$5,1)="B",AJ769,MAX(AJ769,H769))))</f>
        <v>408</v>
      </c>
      <c r="AG769" s="57" t="n">
        <f aca="false">IF(BT769=1,0,ROUNDUP(AF769/BS769,0))</f>
        <v>1</v>
      </c>
      <c r="AH769" s="59" t="n">
        <f aca="false">IF(CH769&gt;0,CH769*MAX(1,AF769/X769),IF(BT769=1,IF(AF769&lt;=0,0,BW769*MAX(1,IF(H769&gt;0,AF769/H769,1))),IF(R769&gt;0,AG769/R769,0))/MAX(0.1,N(Parameter!$M$21)))</f>
        <v>0.0384615384615385</v>
      </c>
      <c r="AI769" s="57" t="n">
        <f aca="false">AF769*G769</f>
        <v>220.32</v>
      </c>
      <c r="AJ769" s="57" t="n">
        <f aca="false">ROUNDUP(MAX(J769/IF(BZ769&gt;0,BZ769,MAX(0.1,N(Cockpit!$C$6))),CC769)/BS769,0)*BS769</f>
        <v>440</v>
      </c>
      <c r="AK769" s="58" t="n">
        <f aca="false">IF(AH769&gt;0,J769/AH769,-1)</f>
        <v>0</v>
      </c>
      <c r="AL769" s="58" t="n">
        <f aca="false">IF(AND(OR(BY769="L1",BY769="L23"),AH769&gt;0),SUMIFS($AH$7:$AH$1843,$BY$7:$BY$1843,BY769,$AK$7:$AK$1843,"&gt;"&amp;AK769)+SUMIFS($AH$7:$AH$1843,$BY$7:$BY$1843,BY769,$AK$7:$AK$1843,AK769,$BQ$7:$BQ$1843,"&lt;="&amp;BQ769),"")</f>
        <v>77.3894885307929</v>
      </c>
      <c r="AM769" s="65" t="n">
        <f aca="false">IF(AL769="",0,MAX(0,MIN(1,(IF(BY769="L1",Parameter!$E$5,Parameter!$E$6+Parameter!$E$7)-(AL769-AH769))/AH769)))</f>
        <v>1</v>
      </c>
      <c r="AN769" s="57" t="n">
        <f aca="false">IF(LEFT(Cockpit!$I$5,1)="A",H769,IF(CA769=1,CB769,IF(LEFT(Cockpit!$I$5,1)="B",AR769,MAX(AR769,H769))))</f>
        <v>440</v>
      </c>
      <c r="AO769" s="57" t="n">
        <f aca="false">IF(BT769=1,0,ROUNDUP(AN769/BS769,0))</f>
        <v>1</v>
      </c>
      <c r="AP769" s="59" t="n">
        <f aca="false">IF(CH769&gt;0,CH769*MAX(1,AN769/X769),IF(BT769=1,IF(AN769&lt;=0,0,BW769*MAX(1,IF(H769&gt;0,AN769/H769,1))),IF(R769&gt;0,AO769/R769,0))/MAX(0.1,N(Parameter!$M$21)))</f>
        <v>0.0384615384615385</v>
      </c>
      <c r="AQ769" s="57" t="n">
        <f aca="false">AN769*G769</f>
        <v>237.6</v>
      </c>
      <c r="AR769" s="57" t="n">
        <f aca="false">ROUNDUP(MAX(J769/IF(BZ769&gt;0,BZ769,MAX(0.1,N(Cockpit!$I$6))),CC769)/BS769,0)*BS769</f>
        <v>440</v>
      </c>
      <c r="AS769" s="58" t="n">
        <f aca="false">IF(AP769&gt;0,J769/AP769,-1)</f>
        <v>0</v>
      </c>
      <c r="AT769" s="58" t="n">
        <f aca="false">IF(AND(OR(BY769="L1",BY769="L23"),AP769&gt;0),SUMIFS($AP$7:$AP$1843,$BY$7:$BY$1843,BY769,$AS$7:$AS$1843,"&gt;"&amp;AS769)+SUMIFS($AP$7:$AP$1843,$BY$7:$BY$1843,BY769,$AS$7:$AS$1843,AS769,$BQ$7:$BQ$1843,"&lt;="&amp;BQ769),"")</f>
        <v>118.21987432857</v>
      </c>
      <c r="AU769" s="65" t="n">
        <f aca="false">IF(AT769="",0,MAX(0,MIN(1,(IF(BY769="L1",Parameter!$E$5,Parameter!$E$6+Parameter!$E$7)-(AT769-AP769))/AP769)))</f>
        <v>0</v>
      </c>
      <c r="AV769" s="57" t="n">
        <f aca="false">IF(LEFT(Cockpit!$O$5,1)="A",H769,IF(CA769=1,CB769,IF(LEFT(Cockpit!$O$5,1)="B",AZ769,MAX(AZ769,H769))))</f>
        <v>440</v>
      </c>
      <c r="AW769" s="57" t="n">
        <f aca="false">IF(BT769=1,0,ROUNDUP(AV769/BS769,0))</f>
        <v>1</v>
      </c>
      <c r="AX769" s="59" t="n">
        <f aca="false">IF(CH769&gt;0,CH769*MAX(1,AV769/X769),IF(BT769=1,IF(AV769&lt;=0,0,BW769*MAX(1,IF(H769&gt;0,AV769/H769,1))),IF(R769&gt;0,AW769/R769,0))/MAX(0.1,N(Parameter!$M$21)))</f>
        <v>0.0384615384615385</v>
      </c>
      <c r="AY769" s="57" t="n">
        <f aca="false">AV769*G769</f>
        <v>237.6</v>
      </c>
      <c r="AZ769" s="57" t="n">
        <f aca="false">ROUNDUP(MAX(J769/IF(BZ769&gt;0,BZ769,MAX(0.1,N(Cockpit!$O$6))),CC769)/BS769,0)*BS769</f>
        <v>440</v>
      </c>
      <c r="BA769" s="58" t="n">
        <f aca="false">IF(AX769&gt;0,J769/AX769,-1)</f>
        <v>0</v>
      </c>
      <c r="BB769" s="58" t="n">
        <f aca="false">IF(AND(OR(BY769="L1",BY769="L23"),AX769&gt;0),SUMIFS($AX$7:$AX$1843,$BY$7:$BY$1843,BY769,$BA$7:$BA$1843,"&gt;"&amp;BA769)+SUMIFS($AX$7:$AX$1843,$BY$7:$BY$1843,BY769,$BA$7:$BA$1843,BA769,$BQ$7:$BQ$1843,"&lt;="&amp;BQ769),"")</f>
        <v>109.049711158407</v>
      </c>
      <c r="BC769" s="65" t="n">
        <f aca="false">IF(BB769="",0,MAX(0,MIN(1,(IF(BY769="L1",Parameter!$E$5,Parameter!$E$6+Parameter!$E$7)-(BB769-AX769))/AX769)))</f>
        <v>0</v>
      </c>
      <c r="BD769" s="55" t="str">
        <f aca="false">IF(AH769&lt;=0,"",IF(BY769="Aussen","Aussenlager",IF(BY769="-","Nicht im Lift",IF(AM769&gt;=1,"Lift",IF(AM769&lt;=0,"Aussenlager","teilweise")))))</f>
        <v>Lift</v>
      </c>
      <c r="BE769" s="55" t="str">
        <f aca="false">IF(AP769&lt;=0,"",IF(BY769="Aussen","Aussenlager",IF(BY769="-","Nicht im Lift",IF(AU769&gt;=1,"Lift",IF(AU769&lt;=0,"Aussenlager","teilweise")))))</f>
        <v>Aussenlager</v>
      </c>
      <c r="BF769" s="55" t="str">
        <f aca="false">IF(AX769&lt;=0,"",IF(BY769="Aussen","Aussenlager",IF(BY769="-","Nicht im Lift",IF(BC769&gt;=1,"Lift",IF(BC769&lt;=0,"Aussenlager","teilweise")))))</f>
        <v>Aussenlager</v>
      </c>
      <c r="BG769" s="55" t="str">
        <f aca="false">IF(A769="","",IF(BP769=1,"Neu; ","")&amp;IF(AND(BP769=0,BK769&lt;0),"negativer Bestand (Export "&amp;BK769&amp;"); ","")&amp;IF(J769&lt;=0,"Kein Verbrauch; ","")&amp;IF(CH769&gt;0,"Lift "&amp;W769&amp;" lt. Liftbericht (Fach "&amp;X769&amp;" Stk); ",IF(BU769=1,"Gebinde geschätzt ("&amp;T769&amp;"); ",IF(BT769=1,"Lose – Tablare geschätzt; ","")))&amp;IF(H769&gt;AR769,"Überbestand "&amp;ROUND(H769-AR769,0)&amp;" Stk / CHF "&amp;ROUND((H769-AR769)*G769,0)&amp;"; ","")&amp;IF(AND(CA769=1,CB769&lt;CC769),"MAX &lt; MB+LG; ","")&amp;IF(AND(CG769&gt;0,CF769*10&gt;CG769),"zu hoch für Tablar; ","")&amp;IF(AND(BP769=0,OR(CA769=1,AA769&lt;&gt;"",U769&lt;&gt;"",V769&lt;&gt;"",AB769&lt;&gt;"")),"manuell übersteuert; ","")&amp;IF(AND(BT769=0,R769=0),"Gebinde unbekannt / Stellmass fehlt; ","")&amp;IF(AND(BT769=0,N(V769)&lt;=0,N(Q769)&lt;=0),"Menge pro Gebinde fehlt (Ist = 1 Gebinde); ","")&amp;BO769)</f>
        <v>negativer Bestand (Export -2); Kein Verbrauch; Neu</v>
      </c>
      <c r="BH769" s="55"/>
      <c r="BI769" s="55"/>
      <c r="BJ769" s="62"/>
      <c r="BK769" s="57" t="n">
        <v>-2</v>
      </c>
      <c r="BL769" s="57" t="n">
        <v>410</v>
      </c>
      <c r="BM769" s="56" t="n">
        <v>-1.08</v>
      </c>
      <c r="BN769" s="57" t="n">
        <v>0</v>
      </c>
      <c r="BO769" s="55" t="s">
        <v>626</v>
      </c>
      <c r="BP769" s="60" t="n">
        <v>0</v>
      </c>
      <c r="BQ769" s="60" t="n">
        <v>769</v>
      </c>
      <c r="BR769" s="55" t="str">
        <f aca="false">IF(U769&lt;&gt;"",UPPER(TRIM(U769)),IF(BU769=1,UPPER(VLOOKUP(T769,Parameter!$I$27:$K$29,2,0)),IF(P769="","LOSE",P769)))</f>
        <v>S51</v>
      </c>
      <c r="BS769" s="57" t="n">
        <f aca="false">IF(BR769="LOSE",1,IF(N(V769)&gt;0,V769,IF(BU769=1,MAX(1,N(VLOOKUP(T769,Parameter!$I$27:$K$29,3,0)),H769,N(N769)),IF(N(Q769)&gt;0,Q769,MAX(1,H769)))))</f>
        <v>440</v>
      </c>
      <c r="BT769" s="60" t="n">
        <f aca="false">IF(BR769="LOSE",1,0)</f>
        <v>0</v>
      </c>
      <c r="BU769" s="60" t="n">
        <f aca="false">IF(AND(U769="",OR(P769="",P769="LOSE"),T769&lt;&gt;"",N(S769)&lt;=0,ISNUMBER(MATCH(T769,Parameter!$I$27:$I$29,0))),1,0)</f>
        <v>0</v>
      </c>
      <c r="BV769" s="55" t="str">
        <f aca="false">IF(AND(Parameter!$B$19="Ja",E769&lt;&gt;"",ISNUMBER(MATCH(E769,Parameter!$I$35:$I$52,0))),VLOOKUP(E769,Parameter!$I$35:$J$52,2,0),IFERROR(VLOOKUP(D769,Parameter!$A$35:$C$64,2,0),"Nein"))</f>
        <v>2+3</v>
      </c>
      <c r="BW769" s="59" t="n">
        <f aca="false">IF(BT769=0,0,IF(N(S769)&gt;0,S769,IFERROR(VLOOKUP(D769,Parameter!$A$35:$C$64,3,0)+0,0)))</f>
        <v>0</v>
      </c>
      <c r="BX769" s="55" t="n">
        <f aca="false">IF(AA769&lt;&gt;"",AA769,Z769)</f>
        <v>3</v>
      </c>
      <c r="BY769" s="55" t="str">
        <f aca="false">IF(BX769=1,"L1",IF(OR(BX769=2,BX769=3),"L23",IF(BX769="Aussen","Aussen","-")))</f>
        <v>L23</v>
      </c>
      <c r="BZ769" s="66" t="n">
        <f aca="false">IF(N(AB769)&gt;0,AB769,0)</f>
        <v>0</v>
      </c>
      <c r="CA769" s="60" t="n">
        <f aca="false">IF(ISNUMBER(AE769),1,0)</f>
        <v>0</v>
      </c>
      <c r="CB769" s="57" t="n">
        <f aca="false">N(AE769)</f>
        <v>0</v>
      </c>
      <c r="CC769" s="57" t="n">
        <f aca="false">N(M769)+N(N769)</f>
        <v>1</v>
      </c>
      <c r="CD769" s="57" t="n">
        <f aca="false">ROUNDUP(H769/BS769,0)</f>
        <v>1</v>
      </c>
      <c r="CE769" s="57" t="n">
        <f aca="false">ROUNDUP(CB769/BS769,0)</f>
        <v>0</v>
      </c>
      <c r="CF769" s="60" t="n">
        <f aca="false">IF(BT769=1,0,IFERROR(VLOOKUP(BR769,'Gebinde-Kategorie'!$A$5:$M$45,5,0)+0,0))</f>
        <v>11</v>
      </c>
      <c r="CG769" s="60" t="n">
        <f aca="false">IFERROR(IF(OR(BX769=1,BX769=2,BX769=3),N(INDEX(Parameter!$I$5:$I$7,BX769)),0),0)</f>
        <v>0</v>
      </c>
      <c r="CH769" s="59" t="n">
        <f aca="false">IF(AND(Parameter!$B$21="Ja",ISNUMBER(W769),N(X769)&gt;0),IFERROR(N(INDEX(Parameter!$L$5:$L$7,W769))*INDEX(Parameter!$E$5:$E$7,W769)*X769/SUMIFS($X$7:$X$1843,$W$7:$W$1843,W769),0),0)</f>
        <v>0</v>
      </c>
    </row>
    <row r="770" customFormat="false" ht="15" hidden="false" customHeight="false" outlineLevel="0" collapsed="false">
      <c r="A770" s="55" t="s">
        <v>1513</v>
      </c>
      <c r="B770" s="55" t="s">
        <v>654</v>
      </c>
      <c r="C770" s="55" t="s">
        <v>164</v>
      </c>
      <c r="D770" s="55" t="s">
        <v>184</v>
      </c>
      <c r="E770" s="55" t="s">
        <v>185</v>
      </c>
      <c r="F770" s="55" t="s">
        <v>218</v>
      </c>
      <c r="G770" s="56" t="n">
        <v>0.01</v>
      </c>
      <c r="H770" s="57" t="n">
        <f aca="false">MAX(0,IF(AND(Parameter!$B$21="Ja",ISNUMBER(Y770)),Y770,IF(Parameter!$B$20="Jahresanfang 2025 + Export",BL770+BK770,BK770)))</f>
        <v>456</v>
      </c>
      <c r="I770" s="57" t="n">
        <f aca="false">H770*G770</f>
        <v>4.56</v>
      </c>
      <c r="J770" s="57" t="n">
        <f aca="false">BN770*Parameter!$B$18</f>
        <v>716</v>
      </c>
      <c r="K770" s="58" t="n">
        <v>491</v>
      </c>
      <c r="L770" s="59" t="n">
        <v>1.45824847250509</v>
      </c>
      <c r="M770" s="57" t="n">
        <v>41</v>
      </c>
      <c r="N770" s="57" t="n">
        <v>715</v>
      </c>
      <c r="O770" s="60" t="n">
        <v>21</v>
      </c>
      <c r="P770" s="55" t="s">
        <v>421</v>
      </c>
      <c r="Q770" s="57" t="n">
        <v>819</v>
      </c>
      <c r="R770" s="60" t="n">
        <f aca="false">IF(BT770=1,0,IFERROR(VLOOKUP(BR770,'Gebinde-Kategorie'!$A$5:$M$45,13,0)+0,0))</f>
        <v>132</v>
      </c>
      <c r="S770" s="61"/>
      <c r="T770" s="62"/>
      <c r="U770" s="62"/>
      <c r="V770" s="62"/>
      <c r="W770" s="55"/>
      <c r="X770" s="57"/>
      <c r="Y770" s="57"/>
      <c r="Z770" s="55" t="n">
        <f aca="false">IF(A770="","",IF(AND(Parameter!$B$21="Ja",ISNUMBER(W770)),W770,IF(BV770="2+3",IF(ISNUMBER(SEARCH("grosser Artikel",BO770)),2,IFERROR(VLOOKUP(BR770,Parameter!$F$35:$G$64,2,0),2)),IF(OR(BV770="Nein",BV770=""),"-",BV770))))</f>
        <v>3</v>
      </c>
      <c r="AA770" s="62"/>
      <c r="AB770" s="63"/>
      <c r="AC770" s="57" t="n">
        <f aca="false">AR770</f>
        <v>819</v>
      </c>
      <c r="AD770" s="57" t="n">
        <f aca="false">MAX(AR770,H770)</f>
        <v>819</v>
      </c>
      <c r="AE770" s="64"/>
      <c r="AF770" s="57" t="n">
        <f aca="false">IF(LEFT(Cockpit!$C$5,1)="A",H770,IF(CA770=1,CB770,IF(LEFT(Cockpit!$C$5,1)="B",AJ770,MAX(AJ770,H770))))</f>
        <v>456</v>
      </c>
      <c r="AG770" s="57" t="n">
        <f aca="false">IF(BT770=1,0,ROUNDUP(AF770/BS770,0))</f>
        <v>1</v>
      </c>
      <c r="AH770" s="59" t="n">
        <f aca="false">IF(CH770&gt;0,CH770*MAX(1,AF770/X770),IF(BT770=1,IF(AF770&lt;=0,0,BW770*MAX(1,IF(H770&gt;0,AF770/H770,1))),IF(R770&gt;0,AG770/R770,0))/MAX(0.1,N(Parameter!$M$21)))</f>
        <v>0.00757575757575758</v>
      </c>
      <c r="AI770" s="57" t="n">
        <f aca="false">AF770*G770</f>
        <v>4.56</v>
      </c>
      <c r="AJ770" s="57" t="n">
        <f aca="false">ROUNDUP(MAX(J770/IF(BZ770&gt;0,BZ770,MAX(0.1,N(Cockpit!$C$6))),CC770)/BS770,0)*BS770</f>
        <v>819</v>
      </c>
      <c r="AK770" s="58" t="n">
        <f aca="false">IF(AH770&gt;0,J770/AH770,-1)</f>
        <v>94512</v>
      </c>
      <c r="AL770" s="58" t="n">
        <f aca="false">IF(AND(OR(BY770="L1",BY770="L23"),AH770&gt;0),SUMIFS($AH$7:$AH$1843,$BY$7:$BY$1843,BY770,$AK$7:$AK$1843,"&gt;"&amp;AK770)+SUMIFS($AH$7:$AH$1843,$BY$7:$BY$1843,BY770,$AK$7:$AK$1843,AK770,$BQ$7:$BQ$1843,"&lt;="&amp;BQ770),"")</f>
        <v>0.731140839836492</v>
      </c>
      <c r="AM770" s="65" t="n">
        <f aca="false">IF(AL770="",0,MAX(0,MIN(1,(IF(BY770="L1",Parameter!$E$5,Parameter!$E$6+Parameter!$E$7)-(AL770-AH770))/AH770)))</f>
        <v>1</v>
      </c>
      <c r="AN770" s="57" t="n">
        <f aca="false">IF(LEFT(Cockpit!$I$5,1)="A",H770,IF(CA770=1,CB770,IF(LEFT(Cockpit!$I$5,1)="B",AR770,MAX(AR770,H770))))</f>
        <v>819</v>
      </c>
      <c r="AO770" s="57" t="n">
        <f aca="false">IF(BT770=1,0,ROUNDUP(AN770/BS770,0))</f>
        <v>1</v>
      </c>
      <c r="AP770" s="59" t="n">
        <f aca="false">IF(CH770&gt;0,CH770*MAX(1,AN770/X770),IF(BT770=1,IF(AN770&lt;=0,0,BW770*MAX(1,IF(H770&gt;0,AN770/H770,1))),IF(R770&gt;0,AO770/R770,0))/MAX(0.1,N(Parameter!$M$21)))</f>
        <v>0.00757575757575758</v>
      </c>
      <c r="AQ770" s="57" t="n">
        <f aca="false">AN770*G770</f>
        <v>8.19</v>
      </c>
      <c r="AR770" s="57" t="n">
        <f aca="false">ROUNDUP(MAX(J770/IF(BZ770&gt;0,BZ770,MAX(0.1,N(Cockpit!$I$6))),CC770)/BS770,0)*BS770</f>
        <v>819</v>
      </c>
      <c r="AS770" s="58" t="n">
        <f aca="false">IF(AP770&gt;0,J770/AP770,-1)</f>
        <v>94512</v>
      </c>
      <c r="AT770" s="58" t="n">
        <f aca="false">IF(AND(OR(BY770="L1",BY770="L23"),AP770&gt;0),SUMIFS($AP$7:$AP$1843,$BY$7:$BY$1843,BY770,$AS$7:$AS$1843,"&gt;"&amp;AS770)+SUMIFS($AP$7:$AP$1843,$BY$7:$BY$1843,BY770,$AS$7:$AS$1843,AS770,$BQ$7:$BQ$1843,"&lt;="&amp;BQ770),"")</f>
        <v>0.289576365663322</v>
      </c>
      <c r="AU770" s="65" t="n">
        <f aca="false">IF(AT770="",0,MAX(0,MIN(1,(IF(BY770="L1",Parameter!$E$5,Parameter!$E$6+Parameter!$E$7)-(AT770-AP770))/AP770)))</f>
        <v>1</v>
      </c>
      <c r="AV770" s="57" t="n">
        <f aca="false">IF(LEFT(Cockpit!$O$5,1)="A",H770,IF(CA770=1,CB770,IF(LEFT(Cockpit!$O$5,1)="B",AZ770,MAX(AZ770,H770))))</f>
        <v>819</v>
      </c>
      <c r="AW770" s="57" t="n">
        <f aca="false">IF(BT770=1,0,ROUNDUP(AV770/BS770,0))</f>
        <v>1</v>
      </c>
      <c r="AX770" s="59" t="n">
        <f aca="false">IF(CH770&gt;0,CH770*MAX(1,AV770/X770),IF(BT770=1,IF(AV770&lt;=0,0,BW770*MAX(1,IF(H770&gt;0,AV770/H770,1))),IF(R770&gt;0,AW770/R770,0))/MAX(0.1,N(Parameter!$M$21)))</f>
        <v>0.00757575757575758</v>
      </c>
      <c r="AY770" s="57" t="n">
        <f aca="false">AV770*G770</f>
        <v>8.19</v>
      </c>
      <c r="AZ770" s="57" t="n">
        <f aca="false">ROUNDUP(MAX(J770/IF(BZ770&gt;0,BZ770,MAX(0.1,N(Cockpit!$O$6))),CC770)/BS770,0)*BS770</f>
        <v>819</v>
      </c>
      <c r="BA770" s="58" t="n">
        <f aca="false">IF(AX770&gt;0,J770/AX770,-1)</f>
        <v>94512</v>
      </c>
      <c r="BB770" s="58" t="n">
        <f aca="false">IF(AND(OR(BY770="L1",BY770="L23"),AX770&gt;0),SUMIFS($AX$7:$AX$1843,$BY$7:$BY$1843,BY770,$BA$7:$BA$1843,"&gt;"&amp;BA770)+SUMIFS($AX$7:$AX$1843,$BY$7:$BY$1843,BY770,$BA$7:$BA$1843,BA770,$BQ$7:$BQ$1843,"&lt;="&amp;BQ770),"")</f>
        <v>0.289576365663322</v>
      </c>
      <c r="BC770" s="65" t="n">
        <f aca="false">IF(BB770="",0,MAX(0,MIN(1,(IF(BY770="L1",Parameter!$E$5,Parameter!$E$6+Parameter!$E$7)-(BB770-AX770))/AX770)))</f>
        <v>1</v>
      </c>
      <c r="BD770" s="55" t="str">
        <f aca="false">IF(AH770&lt;=0,"",IF(BY770="Aussen","Aussenlager",IF(BY770="-","Nicht im Lift",IF(AM770&gt;=1,"Lift",IF(AM770&lt;=0,"Aussenlager","teilweise")))))</f>
        <v>Lift</v>
      </c>
      <c r="BE770" s="55" t="str">
        <f aca="false">IF(AP770&lt;=0,"",IF(BY770="Aussen","Aussenlager",IF(BY770="-","Nicht im Lift",IF(AU770&gt;=1,"Lift",IF(AU770&lt;=0,"Aussenlager","teilweise")))))</f>
        <v>Lift</v>
      </c>
      <c r="BF770" s="55" t="str">
        <f aca="false">IF(AX770&lt;=0,"",IF(BY770="Aussen","Aussenlager",IF(BY770="-","Nicht im Lift",IF(BC770&gt;=1,"Lift",IF(BC770&lt;=0,"Aussenlager","teilweise")))))</f>
        <v>Lift</v>
      </c>
      <c r="BG770" s="55" t="str">
        <f aca="false">IF(A770="","",IF(BP770=1,"Neu; ","")&amp;IF(AND(BP770=0,BK770&lt;0),"negativer Bestand (Export "&amp;BK770&amp;"); ","")&amp;IF(J770&lt;=0,"Kein Verbrauch; ","")&amp;IF(CH770&gt;0,"Lift "&amp;W770&amp;" lt. Liftbericht (Fach "&amp;X770&amp;" Stk); ",IF(BU770=1,"Gebinde geschätzt ("&amp;T770&amp;"); ",IF(BT770=1,"Lose – Tablare geschätzt; ","")))&amp;IF(H770&gt;AR770,"Überbestand "&amp;ROUND(H770-AR770,0)&amp;" Stk / CHF "&amp;ROUND((H770-AR770)*G770,0)&amp;"; ","")&amp;IF(AND(CA770=1,CB770&lt;CC770),"MAX &lt; MB+LG; ","")&amp;IF(AND(CG770&gt;0,CF770*10&gt;CG770),"zu hoch für Tablar; ","")&amp;IF(AND(BP770=0,OR(CA770=1,AA770&lt;&gt;"",U770&lt;&gt;"",V770&lt;&gt;"",AB770&lt;&gt;"")),"manuell übersteuert; ","")&amp;IF(AND(BT770=0,R770=0),"Gebinde unbekannt / Stellmass fehlt; ","")&amp;IF(AND(BT770=0,N(V770)&lt;=0,N(Q770)&lt;=0),"Menge pro Gebinde fehlt (Ist = 1 Gebinde); ","")&amp;BO770)</f>
        <v>negativer Bestand (Export -110); </v>
      </c>
      <c r="BH770" s="55"/>
      <c r="BI770" s="55"/>
      <c r="BJ770" s="62"/>
      <c r="BK770" s="57" t="n">
        <v>-110</v>
      </c>
      <c r="BL770" s="57" t="n">
        <v>566</v>
      </c>
      <c r="BM770" s="56" t="n">
        <v>-1.1</v>
      </c>
      <c r="BN770" s="57" t="n">
        <v>716</v>
      </c>
      <c r="BO770" s="55"/>
      <c r="BP770" s="60" t="n">
        <v>0</v>
      </c>
      <c r="BQ770" s="60" t="n">
        <v>770</v>
      </c>
      <c r="BR770" s="55" t="str">
        <f aca="false">IF(U770&lt;&gt;"",UPPER(TRIM(U770)),IF(BU770=1,UPPER(VLOOKUP(T770,Parameter!$I$27:$K$29,2,0)),IF(P770="","LOSE",P770)))</f>
        <v>S32</v>
      </c>
      <c r="BS770" s="57" t="n">
        <f aca="false">IF(BR770="LOSE",1,IF(N(V770)&gt;0,V770,IF(BU770=1,MAX(1,N(VLOOKUP(T770,Parameter!$I$27:$K$29,3,0)),H770,N(N770)),IF(N(Q770)&gt;0,Q770,MAX(1,H770)))))</f>
        <v>819</v>
      </c>
      <c r="BT770" s="60" t="n">
        <f aca="false">IF(BR770="LOSE",1,0)</f>
        <v>0</v>
      </c>
      <c r="BU770" s="60" t="n">
        <f aca="false">IF(AND(U770="",OR(P770="",P770="LOSE"),T770&lt;&gt;"",N(S770)&lt;=0,ISNUMBER(MATCH(T770,Parameter!$I$27:$I$29,0))),1,0)</f>
        <v>0</v>
      </c>
      <c r="BV770" s="55" t="str">
        <f aca="false">IF(AND(Parameter!$B$19="Ja",E770&lt;&gt;"",ISNUMBER(MATCH(E770,Parameter!$I$35:$I$52,0))),VLOOKUP(E770,Parameter!$I$35:$J$52,2,0),IFERROR(VLOOKUP(D770,Parameter!$A$35:$C$64,2,0),"Nein"))</f>
        <v>2+3</v>
      </c>
      <c r="BW770" s="59" t="n">
        <f aca="false">IF(BT770=0,0,IF(N(S770)&gt;0,S770,IFERROR(VLOOKUP(D770,Parameter!$A$35:$C$64,3,0)+0,0)))</f>
        <v>0</v>
      </c>
      <c r="BX770" s="55" t="n">
        <f aca="false">IF(AA770&lt;&gt;"",AA770,Z770)</f>
        <v>3</v>
      </c>
      <c r="BY770" s="55" t="str">
        <f aca="false">IF(BX770=1,"L1",IF(OR(BX770=2,BX770=3),"L23",IF(BX770="Aussen","Aussen","-")))</f>
        <v>L23</v>
      </c>
      <c r="BZ770" s="66" t="n">
        <f aca="false">IF(N(AB770)&gt;0,AB770,0)</f>
        <v>0</v>
      </c>
      <c r="CA770" s="60" t="n">
        <f aca="false">IF(ISNUMBER(AE770),1,0)</f>
        <v>0</v>
      </c>
      <c r="CB770" s="57" t="n">
        <f aca="false">N(AE770)</f>
        <v>0</v>
      </c>
      <c r="CC770" s="57" t="n">
        <f aca="false">N(M770)+N(N770)</f>
        <v>756</v>
      </c>
      <c r="CD770" s="57" t="n">
        <f aca="false">ROUNDUP(H770/BS770,0)</f>
        <v>1</v>
      </c>
      <c r="CE770" s="57" t="n">
        <f aca="false">ROUNDUP(CB770/BS770,0)</f>
        <v>0</v>
      </c>
      <c r="CF770" s="60" t="n">
        <f aca="false">IF(BT770=1,0,IFERROR(VLOOKUP(BR770,'Gebinde-Kategorie'!$A$5:$M$45,5,0)+0,0))</f>
        <v>8</v>
      </c>
      <c r="CG770" s="60" t="n">
        <f aca="false">IFERROR(IF(OR(BX770=1,BX770=2,BX770=3),N(INDEX(Parameter!$I$5:$I$7,BX770)),0),0)</f>
        <v>0</v>
      </c>
      <c r="CH770" s="59" t="n">
        <f aca="false">IF(AND(Parameter!$B$21="Ja",ISNUMBER(W770),N(X770)&gt;0),IFERROR(N(INDEX(Parameter!$L$5:$L$7,W770))*INDEX(Parameter!$E$5:$E$7,W770)*X770/SUMIFS($X$7:$X$1843,$W$7:$W$1843,W770),0),0)</f>
        <v>0</v>
      </c>
    </row>
    <row r="771" customFormat="false" ht="15" hidden="false" customHeight="false" outlineLevel="0" collapsed="false">
      <c r="A771" s="55" t="s">
        <v>1514</v>
      </c>
      <c r="B771" s="55" t="s">
        <v>405</v>
      </c>
      <c r="C771" s="55" t="s">
        <v>164</v>
      </c>
      <c r="D771" s="55" t="s">
        <v>184</v>
      </c>
      <c r="E771" s="55" t="s">
        <v>185</v>
      </c>
      <c r="F771" s="55" t="s">
        <v>218</v>
      </c>
      <c r="G771" s="56" t="n">
        <v>0.38</v>
      </c>
      <c r="H771" s="57" t="n">
        <f aca="false">MAX(0,IF(AND(Parameter!$B$21="Ja",ISNUMBER(Y771)),Y771,IF(Parameter!$B$20="Jahresanfang 2025 + Export",BL771+BK771,BK771)))</f>
        <v>81</v>
      </c>
      <c r="I771" s="57" t="n">
        <f aca="false">H771*G771</f>
        <v>30.78</v>
      </c>
      <c r="J771" s="57" t="n">
        <f aca="false">BN771*Parameter!$B$18</f>
        <v>2</v>
      </c>
      <c r="K771" s="58" t="n">
        <v>82.5</v>
      </c>
      <c r="L771" s="59" t="n">
        <v>0.0242424242424242</v>
      </c>
      <c r="M771" s="57" t="n">
        <v>0</v>
      </c>
      <c r="N771" s="57" t="n">
        <v>1</v>
      </c>
      <c r="O771" s="60" t="n">
        <v>14</v>
      </c>
      <c r="P771" s="55" t="s">
        <v>421</v>
      </c>
      <c r="Q771" s="57" t="n">
        <v>84</v>
      </c>
      <c r="R771" s="60" t="n">
        <f aca="false">IF(BT771=1,0,IFERROR(VLOOKUP(BR771,'Gebinde-Kategorie'!$A$5:$M$45,13,0)+0,0))</f>
        <v>132</v>
      </c>
      <c r="S771" s="61"/>
      <c r="T771" s="62"/>
      <c r="U771" s="62"/>
      <c r="V771" s="62"/>
      <c r="W771" s="55"/>
      <c r="X771" s="57"/>
      <c r="Y771" s="57"/>
      <c r="Z771" s="55" t="n">
        <f aca="false">IF(A771="","",IF(AND(Parameter!$B$21="Ja",ISNUMBER(W771)),W771,IF(BV771="2+3",IF(ISNUMBER(SEARCH("grosser Artikel",BO771)),2,IFERROR(VLOOKUP(BR771,Parameter!$F$35:$G$64,2,0),2)),IF(OR(BV771="Nein",BV771=""),"-",BV771))))</f>
        <v>3</v>
      </c>
      <c r="AA771" s="62"/>
      <c r="AB771" s="63"/>
      <c r="AC771" s="57" t="n">
        <f aca="false">AR771</f>
        <v>84</v>
      </c>
      <c r="AD771" s="57" t="n">
        <f aca="false">MAX(AR771,H771)</f>
        <v>84</v>
      </c>
      <c r="AE771" s="64"/>
      <c r="AF771" s="57" t="n">
        <f aca="false">IF(LEFT(Cockpit!$C$5,1)="A",H771,IF(CA771=1,CB771,IF(LEFT(Cockpit!$C$5,1)="B",AJ771,MAX(AJ771,H771))))</f>
        <v>81</v>
      </c>
      <c r="AG771" s="57" t="n">
        <f aca="false">IF(BT771=1,0,ROUNDUP(AF771/BS771,0))</f>
        <v>1</v>
      </c>
      <c r="AH771" s="59" t="n">
        <f aca="false">IF(CH771&gt;0,CH771*MAX(1,AF771/X771),IF(BT771=1,IF(AF771&lt;=0,0,BW771*MAX(1,IF(H771&gt;0,AF771/H771,1))),IF(R771&gt;0,AG771/R771,0))/MAX(0.1,N(Parameter!$M$21)))</f>
        <v>0.00757575757575758</v>
      </c>
      <c r="AI771" s="57" t="n">
        <f aca="false">AF771*G771</f>
        <v>30.78</v>
      </c>
      <c r="AJ771" s="57" t="n">
        <f aca="false">ROUNDUP(MAX(J771/IF(BZ771&gt;0,BZ771,MAX(0.1,N(Cockpit!$C$6))),CC771)/BS771,0)*BS771</f>
        <v>84</v>
      </c>
      <c r="AK771" s="58" t="n">
        <f aca="false">IF(AH771&gt;0,J771/AH771,-1)</f>
        <v>264</v>
      </c>
      <c r="AL771" s="58" t="n">
        <f aca="false">IF(AND(OR(BY771="L1",BY771="L23"),AH771&gt;0),SUMIFS($AH$7:$AH$1843,$BY$7:$BY$1843,BY771,$AK$7:$AK$1843,"&gt;"&amp;AK771)+SUMIFS($AH$7:$AH$1843,$BY$7:$BY$1843,BY771,$AK$7:$AK$1843,AK771,$BQ$7:$BQ$1843,"&lt;="&amp;BQ771),"")</f>
        <v>29.1113982635722</v>
      </c>
      <c r="AM771" s="65" t="n">
        <f aca="false">IF(AL771="",0,MAX(0,MIN(1,(IF(BY771="L1",Parameter!$E$5,Parameter!$E$6+Parameter!$E$7)-(AL771-AH771))/AH771)))</f>
        <v>1</v>
      </c>
      <c r="AN771" s="57" t="n">
        <f aca="false">IF(LEFT(Cockpit!$I$5,1)="A",H771,IF(CA771=1,CB771,IF(LEFT(Cockpit!$I$5,1)="B",AR771,MAX(AR771,H771))))</f>
        <v>84</v>
      </c>
      <c r="AO771" s="57" t="n">
        <f aca="false">IF(BT771=1,0,ROUNDUP(AN771/BS771,0))</f>
        <v>1</v>
      </c>
      <c r="AP771" s="59" t="n">
        <f aca="false">IF(CH771&gt;0,CH771*MAX(1,AN771/X771),IF(BT771=1,IF(AN771&lt;=0,0,BW771*MAX(1,IF(H771&gt;0,AN771/H771,1))),IF(R771&gt;0,AO771/R771,0))/MAX(0.1,N(Parameter!$M$21)))</f>
        <v>0.00757575757575758</v>
      </c>
      <c r="AQ771" s="57" t="n">
        <f aca="false">AN771*G771</f>
        <v>31.92</v>
      </c>
      <c r="AR771" s="57" t="n">
        <f aca="false">ROUNDUP(MAX(J771/IF(BZ771&gt;0,BZ771,MAX(0.1,N(Cockpit!$I$6))),CC771)/BS771,0)*BS771</f>
        <v>84</v>
      </c>
      <c r="AS771" s="58" t="n">
        <f aca="false">IF(AP771&gt;0,J771/AP771,-1)</f>
        <v>264</v>
      </c>
      <c r="AT771" s="58" t="n">
        <f aca="false">IF(AND(OR(BY771="L1",BY771="L23"),AP771&gt;0),SUMIFS($AP$7:$AP$1843,$BY$7:$BY$1843,BY771,$AS$7:$AS$1843,"&gt;"&amp;AS771)+SUMIFS($AP$7:$AP$1843,$BY$7:$BY$1843,BY771,$AS$7:$AS$1843,AS771,$BQ$7:$BQ$1843,"&lt;="&amp;BQ771),"")</f>
        <v>42.2901844532279</v>
      </c>
      <c r="AU771" s="65" t="n">
        <f aca="false">IF(AT771="",0,MAX(0,MIN(1,(IF(BY771="L1",Parameter!$E$5,Parameter!$E$6+Parameter!$E$7)-(AT771-AP771))/AP771)))</f>
        <v>1</v>
      </c>
      <c r="AV771" s="57" t="n">
        <f aca="false">IF(LEFT(Cockpit!$O$5,1)="A",H771,IF(CA771=1,CB771,IF(LEFT(Cockpit!$O$5,1)="B",AZ771,MAX(AZ771,H771))))</f>
        <v>84</v>
      </c>
      <c r="AW771" s="57" t="n">
        <f aca="false">IF(BT771=1,0,ROUNDUP(AV771/BS771,0))</f>
        <v>1</v>
      </c>
      <c r="AX771" s="59" t="n">
        <f aca="false">IF(CH771&gt;0,CH771*MAX(1,AV771/X771),IF(BT771=1,IF(AV771&lt;=0,0,BW771*MAX(1,IF(H771&gt;0,AV771/H771,1))),IF(R771&gt;0,AW771/R771,0))/MAX(0.1,N(Parameter!$M$21)))</f>
        <v>0.00757575757575758</v>
      </c>
      <c r="AY771" s="57" t="n">
        <f aca="false">AV771*G771</f>
        <v>31.92</v>
      </c>
      <c r="AZ771" s="57" t="n">
        <f aca="false">ROUNDUP(MAX(J771/IF(BZ771&gt;0,BZ771,MAX(0.1,N(Cockpit!$O$6))),CC771)/BS771,0)*BS771</f>
        <v>84</v>
      </c>
      <c r="BA771" s="58" t="n">
        <f aca="false">IF(AX771&gt;0,J771/AX771,-1)</f>
        <v>264</v>
      </c>
      <c r="BB771" s="58" t="n">
        <f aca="false">IF(AND(OR(BY771="L1",BY771="L23"),AX771&gt;0),SUMIFS($AX$7:$AX$1843,$BY$7:$BY$1843,BY771,$BA$7:$BA$1843,"&gt;"&amp;BA771)+SUMIFS($AX$7:$AX$1843,$BY$7:$BY$1843,BY771,$BA$7:$BA$1843,BA771,$BQ$7:$BQ$1843,"&lt;="&amp;BQ771),"")</f>
        <v>38.6200212830648</v>
      </c>
      <c r="BC771" s="65" t="n">
        <f aca="false">IF(BB771="",0,MAX(0,MIN(1,(IF(BY771="L1",Parameter!$E$5,Parameter!$E$6+Parameter!$E$7)-(BB771-AX771))/AX771)))</f>
        <v>1</v>
      </c>
      <c r="BD771" s="55" t="str">
        <f aca="false">IF(AH771&lt;=0,"",IF(BY771="Aussen","Aussenlager",IF(BY771="-","Nicht im Lift",IF(AM771&gt;=1,"Lift",IF(AM771&lt;=0,"Aussenlager","teilweise")))))</f>
        <v>Lift</v>
      </c>
      <c r="BE771" s="55" t="str">
        <f aca="false">IF(AP771&lt;=0,"",IF(BY771="Aussen","Aussenlager",IF(BY771="-","Nicht im Lift",IF(AU771&gt;=1,"Lift",IF(AU771&lt;=0,"Aussenlager","teilweise")))))</f>
        <v>Lift</v>
      </c>
      <c r="BF771" s="55" t="str">
        <f aca="false">IF(AX771&lt;=0,"",IF(BY771="Aussen","Aussenlager",IF(BY771="-","Nicht im Lift",IF(BC771&gt;=1,"Lift",IF(BC771&lt;=0,"Aussenlager","teilweise")))))</f>
        <v>Lift</v>
      </c>
      <c r="BG771" s="55" t="str">
        <f aca="false">IF(A771="","",IF(BP771=1,"Neu; ","")&amp;IF(AND(BP771=0,BK771&lt;0),"negativer Bestand (Export "&amp;BK771&amp;"); ","")&amp;IF(J771&lt;=0,"Kein Verbrauch; ","")&amp;IF(CH771&gt;0,"Lift "&amp;W771&amp;" lt. Liftbericht (Fach "&amp;X771&amp;" Stk); ",IF(BU771=1,"Gebinde geschätzt ("&amp;T771&amp;"); ",IF(BT771=1,"Lose – Tablare geschätzt; ","")))&amp;IF(H771&gt;AR771,"Überbestand "&amp;ROUND(H771-AR771,0)&amp;" Stk / CHF "&amp;ROUND((H771-AR771)*G771,0)&amp;"; ","")&amp;IF(AND(CA771=1,CB771&lt;CC771),"MAX &lt; MB+LG; ","")&amp;IF(AND(CG771&gt;0,CF771*10&gt;CG771),"zu hoch für Tablar; ","")&amp;IF(AND(BP771=0,OR(CA771=1,AA771&lt;&gt;"",U771&lt;&gt;"",V771&lt;&gt;"",AB771&lt;&gt;"")),"manuell übersteuert; ","")&amp;IF(AND(BT771=0,R771=0),"Gebinde unbekannt / Stellmass fehlt; ","")&amp;IF(AND(BT771=0,N(V771)&lt;=0,N(Q771)&lt;=0),"Menge pro Gebinde fehlt (Ist = 1 Gebinde); ","")&amp;BO771)</f>
        <v>negativer Bestand (Export -3); Überbestand</v>
      </c>
      <c r="BH771" s="55"/>
      <c r="BI771" s="55"/>
      <c r="BJ771" s="62"/>
      <c r="BK771" s="57" t="n">
        <v>-3</v>
      </c>
      <c r="BL771" s="57" t="n">
        <v>84</v>
      </c>
      <c r="BM771" s="56" t="n">
        <v>-1.14</v>
      </c>
      <c r="BN771" s="57" t="n">
        <v>2</v>
      </c>
      <c r="BO771" s="55" t="s">
        <v>392</v>
      </c>
      <c r="BP771" s="60" t="n">
        <v>0</v>
      </c>
      <c r="BQ771" s="60" t="n">
        <v>771</v>
      </c>
      <c r="BR771" s="55" t="str">
        <f aca="false">IF(U771&lt;&gt;"",UPPER(TRIM(U771)),IF(BU771=1,UPPER(VLOOKUP(T771,Parameter!$I$27:$K$29,2,0)),IF(P771="","LOSE",P771)))</f>
        <v>S32</v>
      </c>
      <c r="BS771" s="57" t="n">
        <f aca="false">IF(BR771="LOSE",1,IF(N(V771)&gt;0,V771,IF(BU771=1,MAX(1,N(VLOOKUP(T771,Parameter!$I$27:$K$29,3,0)),H771,N(N771)),IF(N(Q771)&gt;0,Q771,MAX(1,H771)))))</f>
        <v>84</v>
      </c>
      <c r="BT771" s="60" t="n">
        <f aca="false">IF(BR771="LOSE",1,0)</f>
        <v>0</v>
      </c>
      <c r="BU771" s="60" t="n">
        <f aca="false">IF(AND(U771="",OR(P771="",P771="LOSE"),T771&lt;&gt;"",N(S771)&lt;=0,ISNUMBER(MATCH(T771,Parameter!$I$27:$I$29,0))),1,0)</f>
        <v>0</v>
      </c>
      <c r="BV771" s="55" t="str">
        <f aca="false">IF(AND(Parameter!$B$19="Ja",E771&lt;&gt;"",ISNUMBER(MATCH(E771,Parameter!$I$35:$I$52,0))),VLOOKUP(E771,Parameter!$I$35:$J$52,2,0),IFERROR(VLOOKUP(D771,Parameter!$A$35:$C$64,2,0),"Nein"))</f>
        <v>2+3</v>
      </c>
      <c r="BW771" s="59" t="n">
        <f aca="false">IF(BT771=0,0,IF(N(S771)&gt;0,S771,IFERROR(VLOOKUP(D771,Parameter!$A$35:$C$64,3,0)+0,0)))</f>
        <v>0</v>
      </c>
      <c r="BX771" s="55" t="n">
        <f aca="false">IF(AA771&lt;&gt;"",AA771,Z771)</f>
        <v>3</v>
      </c>
      <c r="BY771" s="55" t="str">
        <f aca="false">IF(BX771=1,"L1",IF(OR(BX771=2,BX771=3),"L23",IF(BX771="Aussen","Aussen","-")))</f>
        <v>L23</v>
      </c>
      <c r="BZ771" s="66" t="n">
        <f aca="false">IF(N(AB771)&gt;0,AB771,0)</f>
        <v>0</v>
      </c>
      <c r="CA771" s="60" t="n">
        <f aca="false">IF(ISNUMBER(AE771),1,0)</f>
        <v>0</v>
      </c>
      <c r="CB771" s="57" t="n">
        <f aca="false">N(AE771)</f>
        <v>0</v>
      </c>
      <c r="CC771" s="57" t="n">
        <f aca="false">N(M771)+N(N771)</f>
        <v>1</v>
      </c>
      <c r="CD771" s="57" t="n">
        <f aca="false">ROUNDUP(H771/BS771,0)</f>
        <v>1</v>
      </c>
      <c r="CE771" s="57" t="n">
        <f aca="false">ROUNDUP(CB771/BS771,0)</f>
        <v>0</v>
      </c>
      <c r="CF771" s="60" t="n">
        <f aca="false">IF(BT771=1,0,IFERROR(VLOOKUP(BR771,'Gebinde-Kategorie'!$A$5:$M$45,5,0)+0,0))</f>
        <v>8</v>
      </c>
      <c r="CG771" s="60" t="n">
        <f aca="false">IFERROR(IF(OR(BX771=1,BX771=2,BX771=3),N(INDEX(Parameter!$I$5:$I$7,BX771)),0),0)</f>
        <v>0</v>
      </c>
      <c r="CH771" s="59" t="n">
        <f aca="false">IF(AND(Parameter!$B$21="Ja",ISNUMBER(W771),N(X771)&gt;0),IFERROR(N(INDEX(Parameter!$L$5:$L$7,W771))*INDEX(Parameter!$E$5:$E$7,W771)*X771/SUMIFS($X$7:$X$1843,$W$7:$W$1843,W771),0),0)</f>
        <v>0</v>
      </c>
    </row>
    <row r="772" customFormat="false" ht="15" hidden="false" customHeight="false" outlineLevel="0" collapsed="false">
      <c r="A772" s="55" t="s">
        <v>1515</v>
      </c>
      <c r="B772" s="55" t="s">
        <v>1136</v>
      </c>
      <c r="C772" s="55" t="s">
        <v>164</v>
      </c>
      <c r="D772" s="55" t="s">
        <v>184</v>
      </c>
      <c r="E772" s="55"/>
      <c r="F772" s="55" t="s">
        <v>218</v>
      </c>
      <c r="G772" s="56" t="n">
        <v>1.25</v>
      </c>
      <c r="H772" s="57" t="n">
        <f aca="false">MAX(0,IF(AND(Parameter!$B$21="Ja",ISNUMBER(Y772)),Y772,IF(Parameter!$B$20="Jahresanfang 2025 + Export",BL772+BK772,BK772)))</f>
        <v>30</v>
      </c>
      <c r="I772" s="57" t="n">
        <f aca="false">H772*G772</f>
        <v>37.5</v>
      </c>
      <c r="J772" s="57" t="n">
        <f aca="false">BN772*Parameter!$B$18</f>
        <v>0</v>
      </c>
      <c r="K772" s="58" t="n">
        <v>30.5</v>
      </c>
      <c r="L772" s="59" t="n">
        <v>0</v>
      </c>
      <c r="M772" s="57" t="n">
        <v>0</v>
      </c>
      <c r="N772" s="57" t="n">
        <v>1</v>
      </c>
      <c r="O772" s="60" t="n">
        <v>14</v>
      </c>
      <c r="P772" s="55" t="s">
        <v>168</v>
      </c>
      <c r="Q772" s="57"/>
      <c r="R772" s="60" t="n">
        <f aca="false">IF(BT772=1,0,IFERROR(VLOOKUP(BR772,'Gebinde-Kategorie'!$A$5:$M$45,13,0)+0,0))</f>
        <v>26</v>
      </c>
      <c r="S772" s="61"/>
      <c r="T772" s="62" t="s">
        <v>275</v>
      </c>
      <c r="U772" s="62"/>
      <c r="V772" s="62"/>
      <c r="W772" s="55"/>
      <c r="X772" s="57"/>
      <c r="Y772" s="57"/>
      <c r="Z772" s="55" t="n">
        <f aca="false">IF(A772="","",IF(AND(Parameter!$B$21="Ja",ISNUMBER(W772)),W772,IF(BV772="2+3",IF(ISNUMBER(SEARCH("grosser Artikel",BO772)),2,IFERROR(VLOOKUP(BR772,Parameter!$F$35:$G$64,2,0),2)),IF(OR(BV772="Nein",BV772=""),"-",BV772))))</f>
        <v>3</v>
      </c>
      <c r="AA772" s="62"/>
      <c r="AB772" s="63"/>
      <c r="AC772" s="57" t="n">
        <f aca="false">AR772</f>
        <v>30</v>
      </c>
      <c r="AD772" s="57" t="n">
        <f aca="false">MAX(AR772,H772)</f>
        <v>30</v>
      </c>
      <c r="AE772" s="64"/>
      <c r="AF772" s="57" t="n">
        <f aca="false">IF(LEFT(Cockpit!$C$5,1)="A",H772,IF(CA772=1,CB772,IF(LEFT(Cockpit!$C$5,1)="B",AJ772,MAX(AJ772,H772))))</f>
        <v>30</v>
      </c>
      <c r="AG772" s="57" t="n">
        <f aca="false">IF(BT772=1,0,ROUNDUP(AF772/BS772,0))</f>
        <v>1</v>
      </c>
      <c r="AH772" s="59" t="n">
        <f aca="false">IF(CH772&gt;0,CH772*MAX(1,AF772/X772),IF(BT772=1,IF(AF772&lt;=0,0,BW772*MAX(1,IF(H772&gt;0,AF772/H772,1))),IF(R772&gt;0,AG772/R772,0))/MAX(0.1,N(Parameter!$M$21)))</f>
        <v>0.0384615384615385</v>
      </c>
      <c r="AI772" s="57" t="n">
        <f aca="false">AF772*G772</f>
        <v>37.5</v>
      </c>
      <c r="AJ772" s="57" t="n">
        <f aca="false">ROUNDUP(MAX(J772/IF(BZ772&gt;0,BZ772,MAX(0.1,N(Cockpit!$C$6))),CC772)/BS772,0)*BS772</f>
        <v>30</v>
      </c>
      <c r="AK772" s="58" t="n">
        <f aca="false">IF(AH772&gt;0,J772/AH772,-1)</f>
        <v>0</v>
      </c>
      <c r="AL772" s="58" t="n">
        <f aca="false">IF(AND(OR(BY772="L1",BY772="L23"),AH772&gt;0),SUMIFS($AH$7:$AH$1843,$BY$7:$BY$1843,BY772,$AK$7:$AK$1843,"&gt;"&amp;AK772)+SUMIFS($AH$7:$AH$1843,$BY$7:$BY$1843,BY772,$AK$7:$AK$1843,AK772,$BQ$7:$BQ$1843,"&lt;="&amp;BQ772),"")</f>
        <v>77.4279500692544</v>
      </c>
      <c r="AM772" s="65" t="n">
        <f aca="false">IF(AL772="",0,MAX(0,MIN(1,(IF(BY772="L1",Parameter!$E$5,Parameter!$E$6+Parameter!$E$7)-(AL772-AH772))/AH772)))</f>
        <v>1</v>
      </c>
      <c r="AN772" s="57" t="n">
        <f aca="false">IF(LEFT(Cockpit!$I$5,1)="A",H772,IF(CA772=1,CB772,IF(LEFT(Cockpit!$I$5,1)="B",AR772,MAX(AR772,H772))))</f>
        <v>30</v>
      </c>
      <c r="AO772" s="57" t="n">
        <f aca="false">IF(BT772=1,0,ROUNDUP(AN772/BS772,0))</f>
        <v>1</v>
      </c>
      <c r="AP772" s="59" t="n">
        <f aca="false">IF(CH772&gt;0,CH772*MAX(1,AN772/X772),IF(BT772=1,IF(AN772&lt;=0,0,BW772*MAX(1,IF(H772&gt;0,AN772/H772,1))),IF(R772&gt;0,AO772/R772,0))/MAX(0.1,N(Parameter!$M$21)))</f>
        <v>0.0384615384615385</v>
      </c>
      <c r="AQ772" s="57" t="n">
        <f aca="false">AN772*G772</f>
        <v>37.5</v>
      </c>
      <c r="AR772" s="57" t="n">
        <f aca="false">ROUNDUP(MAX(J772/IF(BZ772&gt;0,BZ772,MAX(0.1,N(Cockpit!$I$6))),CC772)/BS772,0)*BS772</f>
        <v>30</v>
      </c>
      <c r="AS772" s="58" t="n">
        <f aca="false">IF(AP772&gt;0,J772/AP772,-1)</f>
        <v>0</v>
      </c>
      <c r="AT772" s="58" t="n">
        <f aca="false">IF(AND(OR(BY772="L1",BY772="L23"),AP772&gt;0),SUMIFS($AP$7:$AP$1843,$BY$7:$BY$1843,BY772,$AS$7:$AS$1843,"&gt;"&amp;AS772)+SUMIFS($AP$7:$AP$1843,$BY$7:$BY$1843,BY772,$AS$7:$AS$1843,AS772,$BQ$7:$BQ$1843,"&lt;="&amp;BQ772),"")</f>
        <v>118.258335867032</v>
      </c>
      <c r="AU772" s="65" t="n">
        <f aca="false">IF(AT772="",0,MAX(0,MIN(1,(IF(BY772="L1",Parameter!$E$5,Parameter!$E$6+Parameter!$E$7)-(AT772-AP772))/AP772)))</f>
        <v>0</v>
      </c>
      <c r="AV772" s="57" t="n">
        <f aca="false">IF(LEFT(Cockpit!$O$5,1)="A",H772,IF(CA772=1,CB772,IF(LEFT(Cockpit!$O$5,1)="B",AZ772,MAX(AZ772,H772))))</f>
        <v>30</v>
      </c>
      <c r="AW772" s="57" t="n">
        <f aca="false">IF(BT772=1,0,ROUNDUP(AV772/BS772,0))</f>
        <v>1</v>
      </c>
      <c r="AX772" s="59" t="n">
        <f aca="false">IF(CH772&gt;0,CH772*MAX(1,AV772/X772),IF(BT772=1,IF(AV772&lt;=0,0,BW772*MAX(1,IF(H772&gt;0,AV772/H772,1))),IF(R772&gt;0,AW772/R772,0))/MAX(0.1,N(Parameter!$M$21)))</f>
        <v>0.0384615384615385</v>
      </c>
      <c r="AY772" s="57" t="n">
        <f aca="false">AV772*G772</f>
        <v>37.5</v>
      </c>
      <c r="AZ772" s="57" t="n">
        <f aca="false">ROUNDUP(MAX(J772/IF(BZ772&gt;0,BZ772,MAX(0.1,N(Cockpit!$O$6))),CC772)/BS772,0)*BS772</f>
        <v>30</v>
      </c>
      <c r="BA772" s="58" t="n">
        <f aca="false">IF(AX772&gt;0,J772/AX772,-1)</f>
        <v>0</v>
      </c>
      <c r="BB772" s="58" t="n">
        <f aca="false">IF(AND(OR(BY772="L1",BY772="L23"),AX772&gt;0),SUMIFS($AX$7:$AX$1843,$BY$7:$BY$1843,BY772,$BA$7:$BA$1843,"&gt;"&amp;BA772)+SUMIFS($AX$7:$AX$1843,$BY$7:$BY$1843,BY772,$BA$7:$BA$1843,BA772,$BQ$7:$BQ$1843,"&lt;="&amp;BQ772),"")</f>
        <v>109.088172696868</v>
      </c>
      <c r="BC772" s="65" t="n">
        <f aca="false">IF(BB772="",0,MAX(0,MIN(1,(IF(BY772="L1",Parameter!$E$5,Parameter!$E$6+Parameter!$E$7)-(BB772-AX772))/AX772)))</f>
        <v>0</v>
      </c>
      <c r="BD772" s="55" t="str">
        <f aca="false">IF(AH772&lt;=0,"",IF(BY772="Aussen","Aussenlager",IF(BY772="-","Nicht im Lift",IF(AM772&gt;=1,"Lift",IF(AM772&lt;=0,"Aussenlager","teilweise")))))</f>
        <v>Lift</v>
      </c>
      <c r="BE772" s="55" t="str">
        <f aca="false">IF(AP772&lt;=0,"",IF(BY772="Aussen","Aussenlager",IF(BY772="-","Nicht im Lift",IF(AU772&gt;=1,"Lift",IF(AU772&lt;=0,"Aussenlager","teilweise")))))</f>
        <v>Aussenlager</v>
      </c>
      <c r="BF772" s="55" t="str">
        <f aca="false">IF(AX772&lt;=0,"",IF(BY772="Aussen","Aussenlager",IF(BY772="-","Nicht im Lift",IF(BC772&gt;=1,"Lift",IF(BC772&lt;=0,"Aussenlager","teilweise")))))</f>
        <v>Aussenlager</v>
      </c>
      <c r="BG772" s="55" t="str">
        <f aca="false">IF(A772="","",IF(BP772=1,"Neu; ","")&amp;IF(AND(BP772=0,BK772&lt;0),"negativer Bestand (Export "&amp;BK772&amp;"); ","")&amp;IF(J772&lt;=0,"Kein Verbrauch; ","")&amp;IF(CH772&gt;0,"Lift "&amp;W772&amp;" lt. Liftbericht (Fach "&amp;X772&amp;" Stk); ",IF(BU772=1,"Gebinde geschätzt ("&amp;T772&amp;"); ",IF(BT772=1,"Lose – Tablare geschätzt; ","")))&amp;IF(H772&gt;AR772,"Überbestand "&amp;ROUND(H772-AR772,0)&amp;" Stk / CHF "&amp;ROUND((H772-AR772)*G772,0)&amp;"; ","")&amp;IF(AND(CA772=1,CB772&lt;CC772),"MAX &lt; MB+LG; ","")&amp;IF(AND(CG772&gt;0,CF772*10&gt;CG772),"zu hoch für Tablar; ","")&amp;IF(AND(BP772=0,OR(CA772=1,AA772&lt;&gt;"",U772&lt;&gt;"",V772&lt;&gt;"",AB772&lt;&gt;"")),"manuell übersteuert; ","")&amp;IF(AND(BT772=0,R772=0),"Gebinde unbekannt / Stellmass fehlt; ","")&amp;IF(AND(BT772=0,N(V772)&lt;=0,N(Q772)&lt;=0),"Menge pro Gebinde fehlt (Ist = 1 Gebinde); ","")&amp;BO772)</f>
        <v>negativer Bestand (Export -1); Kein Verbrauch; Gebinde geschätzt (Klein); Menge pro Gebinde fehlt (Ist = 1 Gebinde); Überbestand</v>
      </c>
      <c r="BH772" s="55"/>
      <c r="BI772" s="55"/>
      <c r="BJ772" s="62"/>
      <c r="BK772" s="57" t="n">
        <v>-1</v>
      </c>
      <c r="BL772" s="57" t="n">
        <v>31</v>
      </c>
      <c r="BM772" s="56" t="n">
        <v>-1.25</v>
      </c>
      <c r="BN772" s="57" t="n">
        <v>0</v>
      </c>
      <c r="BO772" s="55" t="s">
        <v>392</v>
      </c>
      <c r="BP772" s="60" t="n">
        <v>0</v>
      </c>
      <c r="BQ772" s="60" t="n">
        <v>772</v>
      </c>
      <c r="BR772" s="55" t="str">
        <f aca="false">IF(U772&lt;&gt;"",UPPER(TRIM(U772)),IF(BU772=1,UPPER(VLOOKUP(T772,Parameter!$I$27:$K$29,2,0)),IF(P772="","LOSE",P772)))</f>
        <v>S51</v>
      </c>
      <c r="BS772" s="57" t="n">
        <f aca="false">IF(BR772="LOSE",1,IF(N(V772)&gt;0,V772,IF(BU772=1,MAX(1,N(VLOOKUP(T772,Parameter!$I$27:$K$29,3,0)),H772,N(N772)),IF(N(Q772)&gt;0,Q772,MAX(1,H772)))))</f>
        <v>30</v>
      </c>
      <c r="BT772" s="60" t="n">
        <f aca="false">IF(BR772="LOSE",1,0)</f>
        <v>0</v>
      </c>
      <c r="BU772" s="60" t="n">
        <f aca="false">IF(AND(U772="",OR(P772="",P772="LOSE"),T772&lt;&gt;"",N(S772)&lt;=0,ISNUMBER(MATCH(T772,Parameter!$I$27:$I$29,0))),1,0)</f>
        <v>1</v>
      </c>
      <c r="BV772" s="55" t="str">
        <f aca="false">IF(AND(Parameter!$B$19="Ja",E772&lt;&gt;"",ISNUMBER(MATCH(E772,Parameter!$I$35:$I$52,0))),VLOOKUP(E772,Parameter!$I$35:$J$52,2,0),IFERROR(VLOOKUP(D772,Parameter!$A$35:$C$64,2,0),"Nein"))</f>
        <v>2+3</v>
      </c>
      <c r="BW772" s="59" t="n">
        <f aca="false">IF(BT772=0,0,IF(N(S772)&gt;0,S772,IFERROR(VLOOKUP(D772,Parameter!$A$35:$C$64,3,0)+0,0)))</f>
        <v>0</v>
      </c>
      <c r="BX772" s="55" t="n">
        <f aca="false">IF(AA772&lt;&gt;"",AA772,Z772)</f>
        <v>3</v>
      </c>
      <c r="BY772" s="55" t="str">
        <f aca="false">IF(BX772=1,"L1",IF(OR(BX772=2,BX772=3),"L23",IF(BX772="Aussen","Aussen","-")))</f>
        <v>L23</v>
      </c>
      <c r="BZ772" s="66" t="n">
        <f aca="false">IF(N(AB772)&gt;0,AB772,0)</f>
        <v>0</v>
      </c>
      <c r="CA772" s="60" t="n">
        <f aca="false">IF(ISNUMBER(AE772),1,0)</f>
        <v>0</v>
      </c>
      <c r="CB772" s="57" t="n">
        <f aca="false">N(AE772)</f>
        <v>0</v>
      </c>
      <c r="CC772" s="57" t="n">
        <f aca="false">N(M772)+N(N772)</f>
        <v>1</v>
      </c>
      <c r="CD772" s="57" t="n">
        <f aca="false">ROUNDUP(H772/BS772,0)</f>
        <v>1</v>
      </c>
      <c r="CE772" s="57" t="n">
        <f aca="false">ROUNDUP(CB772/BS772,0)</f>
        <v>0</v>
      </c>
      <c r="CF772" s="60" t="n">
        <f aca="false">IF(BT772=1,0,IFERROR(VLOOKUP(BR772,'Gebinde-Kategorie'!$A$5:$M$45,5,0)+0,0))</f>
        <v>11</v>
      </c>
      <c r="CG772" s="60" t="n">
        <f aca="false">IFERROR(IF(OR(BX772=1,BX772=2,BX772=3),N(INDEX(Parameter!$I$5:$I$7,BX772)),0),0)</f>
        <v>0</v>
      </c>
      <c r="CH772" s="59" t="n">
        <f aca="false">IF(AND(Parameter!$B$21="Ja",ISNUMBER(W772),N(X772)&gt;0),IFERROR(N(INDEX(Parameter!$L$5:$L$7,W772))*INDEX(Parameter!$E$5:$E$7,W772)*X772/SUMIFS($X$7:$X$1843,$W$7:$W$1843,W772),0),0)</f>
        <v>0</v>
      </c>
    </row>
    <row r="773" customFormat="false" ht="15" hidden="false" customHeight="false" outlineLevel="0" collapsed="false">
      <c r="A773" s="55" t="s">
        <v>1516</v>
      </c>
      <c r="B773" s="55" t="s">
        <v>468</v>
      </c>
      <c r="C773" s="55" t="s">
        <v>164</v>
      </c>
      <c r="D773" s="55" t="s">
        <v>184</v>
      </c>
      <c r="E773" s="55" t="s">
        <v>185</v>
      </c>
      <c r="F773" s="55" t="s">
        <v>218</v>
      </c>
      <c r="G773" s="56" t="n">
        <v>0.07</v>
      </c>
      <c r="H773" s="57" t="n">
        <f aca="false">MAX(0,IF(AND(Parameter!$B$21="Ja",ISNUMBER(Y773)),Y773,IF(Parameter!$B$20="Jahresanfang 2025 + Export",BL773+BK773,BK773)))</f>
        <v>261</v>
      </c>
      <c r="I773" s="57" t="n">
        <f aca="false">H773*G773</f>
        <v>18.27</v>
      </c>
      <c r="J773" s="57" t="n">
        <f aca="false">BN773*Parameter!$B$18</f>
        <v>309</v>
      </c>
      <c r="K773" s="58" t="n">
        <v>226</v>
      </c>
      <c r="L773" s="59" t="n">
        <v>1.36725663716814</v>
      </c>
      <c r="M773" s="57" t="n">
        <v>12</v>
      </c>
      <c r="N773" s="57" t="n">
        <v>310</v>
      </c>
      <c r="O773" s="60" t="n">
        <v>14</v>
      </c>
      <c r="P773" s="55" t="s">
        <v>401</v>
      </c>
      <c r="Q773" s="57" t="n">
        <v>367</v>
      </c>
      <c r="R773" s="60" t="n">
        <f aca="false">IF(BT773=1,0,IFERROR(VLOOKUP(BR773,'Gebinde-Kategorie'!$A$5:$M$45,13,0)+0,0))</f>
        <v>414</v>
      </c>
      <c r="S773" s="61"/>
      <c r="T773" s="62"/>
      <c r="U773" s="62"/>
      <c r="V773" s="62"/>
      <c r="W773" s="55"/>
      <c r="X773" s="57"/>
      <c r="Y773" s="57"/>
      <c r="Z773" s="55" t="n">
        <f aca="false">IF(A773="","",IF(AND(Parameter!$B$21="Ja",ISNUMBER(W773)),W773,IF(BV773="2+3",IF(ISNUMBER(SEARCH("grosser Artikel",BO773)),2,IFERROR(VLOOKUP(BR773,Parameter!$F$35:$G$64,2,0),2)),IF(OR(BV773="Nein",BV773=""),"-",BV773))))</f>
        <v>3</v>
      </c>
      <c r="AA773" s="62"/>
      <c r="AB773" s="63"/>
      <c r="AC773" s="57" t="n">
        <f aca="false">AR773</f>
        <v>367</v>
      </c>
      <c r="AD773" s="57" t="n">
        <f aca="false">MAX(AR773,H773)</f>
        <v>367</v>
      </c>
      <c r="AE773" s="64"/>
      <c r="AF773" s="57" t="n">
        <f aca="false">IF(LEFT(Cockpit!$C$5,1)="A",H773,IF(CA773=1,CB773,IF(LEFT(Cockpit!$C$5,1)="B",AJ773,MAX(AJ773,H773))))</f>
        <v>261</v>
      </c>
      <c r="AG773" s="57" t="n">
        <f aca="false">IF(BT773=1,0,ROUNDUP(AF773/BS773,0))</f>
        <v>1</v>
      </c>
      <c r="AH773" s="59" t="n">
        <f aca="false">IF(CH773&gt;0,CH773*MAX(1,AF773/X773),IF(BT773=1,IF(AF773&lt;=0,0,BW773*MAX(1,IF(H773&gt;0,AF773/H773,1))),IF(R773&gt;0,AG773/R773,0))/MAX(0.1,N(Parameter!$M$21)))</f>
        <v>0.00241545893719807</v>
      </c>
      <c r="AI773" s="57" t="n">
        <f aca="false">AF773*G773</f>
        <v>18.27</v>
      </c>
      <c r="AJ773" s="57" t="n">
        <f aca="false">ROUNDUP(MAX(J773/IF(BZ773&gt;0,BZ773,MAX(0.1,N(Cockpit!$C$6))),CC773)/BS773,0)*BS773</f>
        <v>367</v>
      </c>
      <c r="AK773" s="58" t="n">
        <f aca="false">IF(AH773&gt;0,J773/AH773,-1)</f>
        <v>127926</v>
      </c>
      <c r="AL773" s="58" t="n">
        <f aca="false">IF(AND(OR(BY773="L1",BY773="L23"),AH773&gt;0),SUMIFS($AH$7:$AH$1843,$BY$7:$BY$1843,BY773,$AK$7:$AK$1843,"&gt;"&amp;AK773)+SUMIFS($AH$7:$AH$1843,$BY$7:$BY$1843,BY773,$AK$7:$AK$1843,AK773,$BQ$7:$BQ$1843,"&lt;="&amp;BQ773),"")</f>
        <v>0.289551028681464</v>
      </c>
      <c r="AM773" s="65" t="n">
        <f aca="false">IF(AL773="",0,MAX(0,MIN(1,(IF(BY773="L1",Parameter!$E$5,Parameter!$E$6+Parameter!$E$7)-(AL773-AH773))/AH773)))</f>
        <v>1</v>
      </c>
      <c r="AN773" s="57" t="n">
        <f aca="false">IF(LEFT(Cockpit!$I$5,1)="A",H773,IF(CA773=1,CB773,IF(LEFT(Cockpit!$I$5,1)="B",AR773,MAX(AR773,H773))))</f>
        <v>367</v>
      </c>
      <c r="AO773" s="57" t="n">
        <f aca="false">IF(BT773=1,0,ROUNDUP(AN773/BS773,0))</f>
        <v>1</v>
      </c>
      <c r="AP773" s="59" t="n">
        <f aca="false">IF(CH773&gt;0,CH773*MAX(1,AN773/X773),IF(BT773=1,IF(AN773&lt;=0,0,BW773*MAX(1,IF(H773&gt;0,AN773/H773,1))),IF(R773&gt;0,AO773/R773,0))/MAX(0.1,N(Parameter!$M$21)))</f>
        <v>0.00241545893719807</v>
      </c>
      <c r="AQ773" s="57" t="n">
        <f aca="false">AN773*G773</f>
        <v>25.69</v>
      </c>
      <c r="AR773" s="57" t="n">
        <f aca="false">ROUNDUP(MAX(J773/IF(BZ773&gt;0,BZ773,MAX(0.1,N(Cockpit!$I$6))),CC773)/BS773,0)*BS773</f>
        <v>367</v>
      </c>
      <c r="AS773" s="58" t="n">
        <f aca="false">IF(AP773&gt;0,J773/AP773,-1)</f>
        <v>127926</v>
      </c>
      <c r="AT773" s="58" t="n">
        <f aca="false">IF(AND(OR(BY773="L1",BY773="L23"),AP773&gt;0),SUMIFS($AP$7:$AP$1843,$BY$7:$BY$1843,BY773,$AS$7:$AS$1843,"&gt;"&amp;AS773)+SUMIFS($AP$7:$AP$1843,$BY$7:$BY$1843,BY773,$AS$7:$AS$1843,AS773,$BQ$7:$BQ$1843,"&lt;="&amp;BQ773),"")</f>
        <v>0.188566264653221</v>
      </c>
      <c r="AU773" s="65" t="n">
        <f aca="false">IF(AT773="",0,MAX(0,MIN(1,(IF(BY773="L1",Parameter!$E$5,Parameter!$E$6+Parameter!$E$7)-(AT773-AP773))/AP773)))</f>
        <v>1</v>
      </c>
      <c r="AV773" s="57" t="n">
        <f aca="false">IF(LEFT(Cockpit!$O$5,1)="A",H773,IF(CA773=1,CB773,IF(LEFT(Cockpit!$O$5,1)="B",AZ773,MAX(AZ773,H773))))</f>
        <v>367</v>
      </c>
      <c r="AW773" s="57" t="n">
        <f aca="false">IF(BT773=1,0,ROUNDUP(AV773/BS773,0))</f>
        <v>1</v>
      </c>
      <c r="AX773" s="59" t="n">
        <f aca="false">IF(CH773&gt;0,CH773*MAX(1,AV773/X773),IF(BT773=1,IF(AV773&lt;=0,0,BW773*MAX(1,IF(H773&gt;0,AV773/H773,1))),IF(R773&gt;0,AW773/R773,0))/MAX(0.1,N(Parameter!$M$21)))</f>
        <v>0.00241545893719807</v>
      </c>
      <c r="AY773" s="57" t="n">
        <f aca="false">AV773*G773</f>
        <v>25.69</v>
      </c>
      <c r="AZ773" s="57" t="n">
        <f aca="false">ROUNDUP(MAX(J773/IF(BZ773&gt;0,BZ773,MAX(0.1,N(Cockpit!$O$6))),CC773)/BS773,0)*BS773</f>
        <v>367</v>
      </c>
      <c r="BA773" s="58" t="n">
        <f aca="false">IF(AX773&gt;0,J773/AX773,-1)</f>
        <v>127926</v>
      </c>
      <c r="BB773" s="58" t="n">
        <f aca="false">IF(AND(OR(BY773="L1",BY773="L23"),AX773&gt;0),SUMIFS($AX$7:$AX$1843,$BY$7:$BY$1843,BY773,$BA$7:$BA$1843,"&gt;"&amp;BA773)+SUMIFS($AX$7:$AX$1843,$BY$7:$BY$1843,BY773,$BA$7:$BA$1843,BA773,$BQ$7:$BQ$1843,"&lt;="&amp;BQ773),"")</f>
        <v>0.188566264653221</v>
      </c>
      <c r="BC773" s="65" t="n">
        <f aca="false">IF(BB773="",0,MAX(0,MIN(1,(IF(BY773="L1",Parameter!$E$5,Parameter!$E$6+Parameter!$E$7)-(BB773-AX773))/AX773)))</f>
        <v>1</v>
      </c>
      <c r="BD773" s="55" t="str">
        <f aca="false">IF(AH773&lt;=0,"",IF(BY773="Aussen","Aussenlager",IF(BY773="-","Nicht im Lift",IF(AM773&gt;=1,"Lift",IF(AM773&lt;=0,"Aussenlager","teilweise")))))</f>
        <v>Lift</v>
      </c>
      <c r="BE773" s="55" t="str">
        <f aca="false">IF(AP773&lt;=0,"",IF(BY773="Aussen","Aussenlager",IF(BY773="-","Nicht im Lift",IF(AU773&gt;=1,"Lift",IF(AU773&lt;=0,"Aussenlager","teilweise")))))</f>
        <v>Lift</v>
      </c>
      <c r="BF773" s="55" t="str">
        <f aca="false">IF(AX773&lt;=0,"",IF(BY773="Aussen","Aussenlager",IF(BY773="-","Nicht im Lift",IF(BC773&gt;=1,"Lift",IF(BC773&lt;=0,"Aussenlager","teilweise")))))</f>
        <v>Lift</v>
      </c>
      <c r="BG773" s="55" t="str">
        <f aca="false">IF(A773="","",IF(BP773=1,"Neu; ","")&amp;IF(AND(BP773=0,BK773&lt;0),"negativer Bestand (Export "&amp;BK773&amp;"); ","")&amp;IF(J773&lt;=0,"Kein Verbrauch; ","")&amp;IF(CH773&gt;0,"Lift "&amp;W773&amp;" lt. Liftbericht (Fach "&amp;X773&amp;" Stk); ",IF(BU773=1,"Gebinde geschätzt ("&amp;T773&amp;"); ",IF(BT773=1,"Lose – Tablare geschätzt; ","")))&amp;IF(H773&gt;AR773,"Überbestand "&amp;ROUND(H773-AR773,0)&amp;" Stk / CHF "&amp;ROUND((H773-AR773)*G773,0)&amp;"; ","")&amp;IF(AND(CA773=1,CB773&lt;CC773),"MAX &lt; MB+LG; ","")&amp;IF(AND(CG773&gt;0,CF773*10&gt;CG773),"zu hoch für Tablar; ","")&amp;IF(AND(BP773=0,OR(CA773=1,AA773&lt;&gt;"",U773&lt;&gt;"",V773&lt;&gt;"",AB773&lt;&gt;"")),"manuell übersteuert; ","")&amp;IF(AND(BT773=0,R773=0),"Gebinde unbekannt / Stellmass fehlt; ","")&amp;IF(AND(BT773=0,N(V773)&lt;=0,N(Q773)&lt;=0),"Menge pro Gebinde fehlt (Ist = 1 Gebinde); ","")&amp;BO773)</f>
        <v>negativer Bestand (Export -18); </v>
      </c>
      <c r="BH773" s="55"/>
      <c r="BI773" s="55"/>
      <c r="BJ773" s="62"/>
      <c r="BK773" s="57" t="n">
        <v>-18</v>
      </c>
      <c r="BL773" s="57" t="n">
        <v>279</v>
      </c>
      <c r="BM773" s="56" t="n">
        <v>-1.26</v>
      </c>
      <c r="BN773" s="57" t="n">
        <v>309</v>
      </c>
      <c r="BO773" s="55"/>
      <c r="BP773" s="60" t="n">
        <v>0</v>
      </c>
      <c r="BQ773" s="60" t="n">
        <v>773</v>
      </c>
      <c r="BR773" s="55" t="str">
        <f aca="false">IF(U773&lt;&gt;"",UPPER(TRIM(U773)),IF(BU773=1,UPPER(VLOOKUP(T773,Parameter!$I$27:$K$29,2,0)),IF(P773="","LOSE",P773)))</f>
        <v>S21</v>
      </c>
      <c r="BS773" s="57" t="n">
        <f aca="false">IF(BR773="LOSE",1,IF(N(V773)&gt;0,V773,IF(BU773=1,MAX(1,N(VLOOKUP(T773,Parameter!$I$27:$K$29,3,0)),H773,N(N773)),IF(N(Q773)&gt;0,Q773,MAX(1,H773)))))</f>
        <v>367</v>
      </c>
      <c r="BT773" s="60" t="n">
        <f aca="false">IF(BR773="LOSE",1,0)</f>
        <v>0</v>
      </c>
      <c r="BU773" s="60" t="n">
        <f aca="false">IF(AND(U773="",OR(P773="",P773="LOSE"),T773&lt;&gt;"",N(S773)&lt;=0,ISNUMBER(MATCH(T773,Parameter!$I$27:$I$29,0))),1,0)</f>
        <v>0</v>
      </c>
      <c r="BV773" s="55" t="str">
        <f aca="false">IF(AND(Parameter!$B$19="Ja",E773&lt;&gt;"",ISNUMBER(MATCH(E773,Parameter!$I$35:$I$52,0))),VLOOKUP(E773,Parameter!$I$35:$J$52,2,0),IFERROR(VLOOKUP(D773,Parameter!$A$35:$C$64,2,0),"Nein"))</f>
        <v>2+3</v>
      </c>
      <c r="BW773" s="59" t="n">
        <f aca="false">IF(BT773=0,0,IF(N(S773)&gt;0,S773,IFERROR(VLOOKUP(D773,Parameter!$A$35:$C$64,3,0)+0,0)))</f>
        <v>0</v>
      </c>
      <c r="BX773" s="55" t="n">
        <f aca="false">IF(AA773&lt;&gt;"",AA773,Z773)</f>
        <v>3</v>
      </c>
      <c r="BY773" s="55" t="str">
        <f aca="false">IF(BX773=1,"L1",IF(OR(BX773=2,BX773=3),"L23",IF(BX773="Aussen","Aussen","-")))</f>
        <v>L23</v>
      </c>
      <c r="BZ773" s="66" t="n">
        <f aca="false">IF(N(AB773)&gt;0,AB773,0)</f>
        <v>0</v>
      </c>
      <c r="CA773" s="60" t="n">
        <f aca="false">IF(ISNUMBER(AE773),1,0)</f>
        <v>0</v>
      </c>
      <c r="CB773" s="57" t="n">
        <f aca="false">N(AE773)</f>
        <v>0</v>
      </c>
      <c r="CC773" s="57" t="n">
        <f aca="false">N(M773)+N(N773)</f>
        <v>322</v>
      </c>
      <c r="CD773" s="57" t="n">
        <f aca="false">ROUNDUP(H773/BS773,0)</f>
        <v>1</v>
      </c>
      <c r="CE773" s="57" t="n">
        <f aca="false">ROUNDUP(CB773/BS773,0)</f>
        <v>0</v>
      </c>
      <c r="CF773" s="60" t="n">
        <f aca="false">IF(BT773=1,0,IFERROR(VLOOKUP(BR773,'Gebinde-Kategorie'!$A$5:$M$45,5,0)+0,0))</f>
        <v>8</v>
      </c>
      <c r="CG773" s="60" t="n">
        <f aca="false">IFERROR(IF(OR(BX773=1,BX773=2,BX773=3),N(INDEX(Parameter!$I$5:$I$7,BX773)),0),0)</f>
        <v>0</v>
      </c>
      <c r="CH773" s="59" t="n">
        <f aca="false">IF(AND(Parameter!$B$21="Ja",ISNUMBER(W773),N(X773)&gt;0),IFERROR(N(INDEX(Parameter!$L$5:$L$7,W773))*INDEX(Parameter!$E$5:$E$7,W773)*X773/SUMIFS($X$7:$X$1843,$W$7:$W$1843,W773),0),0)</f>
        <v>0</v>
      </c>
    </row>
    <row r="774" customFormat="false" ht="15" hidden="false" customHeight="false" outlineLevel="0" collapsed="false">
      <c r="A774" s="55" t="s">
        <v>1517</v>
      </c>
      <c r="B774" s="55" t="s">
        <v>654</v>
      </c>
      <c r="C774" s="55" t="s">
        <v>164</v>
      </c>
      <c r="D774" s="55" t="s">
        <v>184</v>
      </c>
      <c r="E774" s="55"/>
      <c r="F774" s="55" t="s">
        <v>218</v>
      </c>
      <c r="G774" s="56" t="n">
        <v>0.06</v>
      </c>
      <c r="H774" s="57" t="n">
        <f aca="false">MAX(0,IF(AND(Parameter!$B$21="Ja",ISNUMBER(Y774)),Y774,IF(Parameter!$B$20="Jahresanfang 2025 + Export",BL774+BK774,BK774)))</f>
        <v>12</v>
      </c>
      <c r="I774" s="57" t="n">
        <f aca="false">H774*G774</f>
        <v>0.72</v>
      </c>
      <c r="J774" s="57" t="n">
        <f aca="false">BN774*Parameter!$B$18</f>
        <v>0</v>
      </c>
      <c r="K774" s="58" t="n">
        <v>24</v>
      </c>
      <c r="L774" s="59" t="n">
        <v>0</v>
      </c>
      <c r="M774" s="57" t="n">
        <v>0</v>
      </c>
      <c r="N774" s="57" t="n">
        <v>1</v>
      </c>
      <c r="O774" s="60" t="n">
        <v>21</v>
      </c>
      <c r="P774" s="55" t="s">
        <v>168</v>
      </c>
      <c r="Q774" s="57"/>
      <c r="R774" s="60" t="n">
        <f aca="false">IF(BT774=1,0,IFERROR(VLOOKUP(BR774,'Gebinde-Kategorie'!$A$5:$M$45,13,0)+0,0))</f>
        <v>26</v>
      </c>
      <c r="S774" s="61"/>
      <c r="T774" s="62" t="s">
        <v>275</v>
      </c>
      <c r="U774" s="62"/>
      <c r="V774" s="62"/>
      <c r="W774" s="55"/>
      <c r="X774" s="57"/>
      <c r="Y774" s="57"/>
      <c r="Z774" s="55" t="n">
        <f aca="false">IF(A774="","",IF(AND(Parameter!$B$21="Ja",ISNUMBER(W774)),W774,IF(BV774="2+3",IF(ISNUMBER(SEARCH("grosser Artikel",BO774)),2,IFERROR(VLOOKUP(BR774,Parameter!$F$35:$G$64,2,0),2)),IF(OR(BV774="Nein",BV774=""),"-",BV774))))</f>
        <v>3</v>
      </c>
      <c r="AA774" s="62"/>
      <c r="AB774" s="63"/>
      <c r="AC774" s="57" t="n">
        <f aca="false">AR774</f>
        <v>20</v>
      </c>
      <c r="AD774" s="57" t="n">
        <f aca="false">MAX(AR774,H774)</f>
        <v>20</v>
      </c>
      <c r="AE774" s="64"/>
      <c r="AF774" s="57" t="n">
        <f aca="false">IF(LEFT(Cockpit!$C$5,1)="A",H774,IF(CA774=1,CB774,IF(LEFT(Cockpit!$C$5,1)="B",AJ774,MAX(AJ774,H774))))</f>
        <v>12</v>
      </c>
      <c r="AG774" s="57" t="n">
        <f aca="false">IF(BT774=1,0,ROUNDUP(AF774/BS774,0))</f>
        <v>1</v>
      </c>
      <c r="AH774" s="59" t="n">
        <f aca="false">IF(CH774&gt;0,CH774*MAX(1,AF774/X774),IF(BT774=1,IF(AF774&lt;=0,0,BW774*MAX(1,IF(H774&gt;0,AF774/H774,1))),IF(R774&gt;0,AG774/R774,0))/MAX(0.1,N(Parameter!$M$21)))</f>
        <v>0.0384615384615385</v>
      </c>
      <c r="AI774" s="57" t="n">
        <f aca="false">AF774*G774</f>
        <v>0.72</v>
      </c>
      <c r="AJ774" s="57" t="n">
        <f aca="false">ROUNDUP(MAX(J774/IF(BZ774&gt;0,BZ774,MAX(0.1,N(Cockpit!$C$6))),CC774)/BS774,0)*BS774</f>
        <v>20</v>
      </c>
      <c r="AK774" s="58" t="n">
        <f aca="false">IF(AH774&gt;0,J774/AH774,-1)</f>
        <v>0</v>
      </c>
      <c r="AL774" s="58" t="n">
        <f aca="false">IF(AND(OR(BY774="L1",BY774="L23"),AH774&gt;0),SUMIFS($AH$7:$AH$1843,$BY$7:$BY$1843,BY774,$AK$7:$AK$1843,"&gt;"&amp;AK774)+SUMIFS($AH$7:$AH$1843,$BY$7:$BY$1843,BY774,$AK$7:$AK$1843,AK774,$BQ$7:$BQ$1843,"&lt;="&amp;BQ774),"")</f>
        <v>77.466411607716</v>
      </c>
      <c r="AM774" s="65" t="n">
        <f aca="false">IF(AL774="",0,MAX(0,MIN(1,(IF(BY774="L1",Parameter!$E$5,Parameter!$E$6+Parameter!$E$7)-(AL774-AH774))/AH774)))</f>
        <v>1</v>
      </c>
      <c r="AN774" s="57" t="n">
        <f aca="false">IF(LEFT(Cockpit!$I$5,1)="A",H774,IF(CA774=1,CB774,IF(LEFT(Cockpit!$I$5,1)="B",AR774,MAX(AR774,H774))))</f>
        <v>20</v>
      </c>
      <c r="AO774" s="57" t="n">
        <f aca="false">IF(BT774=1,0,ROUNDUP(AN774/BS774,0))</f>
        <v>1</v>
      </c>
      <c r="AP774" s="59" t="n">
        <f aca="false">IF(CH774&gt;0,CH774*MAX(1,AN774/X774),IF(BT774=1,IF(AN774&lt;=0,0,BW774*MAX(1,IF(H774&gt;0,AN774/H774,1))),IF(R774&gt;0,AO774/R774,0))/MAX(0.1,N(Parameter!$M$21)))</f>
        <v>0.0384615384615385</v>
      </c>
      <c r="AQ774" s="57" t="n">
        <f aca="false">AN774*G774</f>
        <v>1.2</v>
      </c>
      <c r="AR774" s="57" t="n">
        <f aca="false">ROUNDUP(MAX(J774/IF(BZ774&gt;0,BZ774,MAX(0.1,N(Cockpit!$I$6))),CC774)/BS774,0)*BS774</f>
        <v>20</v>
      </c>
      <c r="AS774" s="58" t="n">
        <f aca="false">IF(AP774&gt;0,J774/AP774,-1)</f>
        <v>0</v>
      </c>
      <c r="AT774" s="58" t="n">
        <f aca="false">IF(AND(OR(BY774="L1",BY774="L23"),AP774&gt;0),SUMIFS($AP$7:$AP$1843,$BY$7:$BY$1843,BY774,$AS$7:$AS$1843,"&gt;"&amp;AS774)+SUMIFS($AP$7:$AP$1843,$BY$7:$BY$1843,BY774,$AS$7:$AS$1843,AS774,$BQ$7:$BQ$1843,"&lt;="&amp;BQ774),"")</f>
        <v>118.296797405493</v>
      </c>
      <c r="AU774" s="65" t="n">
        <f aca="false">IF(AT774="",0,MAX(0,MIN(1,(IF(BY774="L1",Parameter!$E$5,Parameter!$E$6+Parameter!$E$7)-(AT774-AP774))/AP774)))</f>
        <v>0</v>
      </c>
      <c r="AV774" s="57" t="n">
        <f aca="false">IF(LEFT(Cockpit!$O$5,1)="A",H774,IF(CA774=1,CB774,IF(LEFT(Cockpit!$O$5,1)="B",AZ774,MAX(AZ774,H774))))</f>
        <v>20</v>
      </c>
      <c r="AW774" s="57" t="n">
        <f aca="false">IF(BT774=1,0,ROUNDUP(AV774/BS774,0))</f>
        <v>1</v>
      </c>
      <c r="AX774" s="59" t="n">
        <f aca="false">IF(CH774&gt;0,CH774*MAX(1,AV774/X774),IF(BT774=1,IF(AV774&lt;=0,0,BW774*MAX(1,IF(H774&gt;0,AV774/H774,1))),IF(R774&gt;0,AW774/R774,0))/MAX(0.1,N(Parameter!$M$21)))</f>
        <v>0.0384615384615385</v>
      </c>
      <c r="AY774" s="57" t="n">
        <f aca="false">AV774*G774</f>
        <v>1.2</v>
      </c>
      <c r="AZ774" s="57" t="n">
        <f aca="false">ROUNDUP(MAX(J774/IF(BZ774&gt;0,BZ774,MAX(0.1,N(Cockpit!$O$6))),CC774)/BS774,0)*BS774</f>
        <v>20</v>
      </c>
      <c r="BA774" s="58" t="n">
        <f aca="false">IF(AX774&gt;0,J774/AX774,-1)</f>
        <v>0</v>
      </c>
      <c r="BB774" s="58" t="n">
        <f aca="false">IF(AND(OR(BY774="L1",BY774="L23"),AX774&gt;0),SUMIFS($AX$7:$AX$1843,$BY$7:$BY$1843,BY774,$BA$7:$BA$1843,"&gt;"&amp;BA774)+SUMIFS($AX$7:$AX$1843,$BY$7:$BY$1843,BY774,$BA$7:$BA$1843,BA774,$BQ$7:$BQ$1843,"&lt;="&amp;BQ774),"")</f>
        <v>109.12663423533</v>
      </c>
      <c r="BC774" s="65" t="n">
        <f aca="false">IF(BB774="",0,MAX(0,MIN(1,(IF(BY774="L1",Parameter!$E$5,Parameter!$E$6+Parameter!$E$7)-(BB774-AX774))/AX774)))</f>
        <v>0</v>
      </c>
      <c r="BD774" s="55" t="str">
        <f aca="false">IF(AH774&lt;=0,"",IF(BY774="Aussen","Aussenlager",IF(BY774="-","Nicht im Lift",IF(AM774&gt;=1,"Lift",IF(AM774&lt;=0,"Aussenlager","teilweise")))))</f>
        <v>Lift</v>
      </c>
      <c r="BE774" s="55" t="str">
        <f aca="false">IF(AP774&lt;=0,"",IF(BY774="Aussen","Aussenlager",IF(BY774="-","Nicht im Lift",IF(AU774&gt;=1,"Lift",IF(AU774&lt;=0,"Aussenlager","teilweise")))))</f>
        <v>Aussenlager</v>
      </c>
      <c r="BF774" s="55" t="str">
        <f aca="false">IF(AX774&lt;=0,"",IF(BY774="Aussen","Aussenlager",IF(BY774="-","Nicht im Lift",IF(BC774&gt;=1,"Lift",IF(BC774&lt;=0,"Aussenlager","teilweise")))))</f>
        <v>Aussenlager</v>
      </c>
      <c r="BG774" s="55" t="str">
        <f aca="false">IF(A774="","",IF(BP774=1,"Neu; ","")&amp;IF(AND(BP774=0,BK774&lt;0),"negativer Bestand (Export "&amp;BK774&amp;"); ","")&amp;IF(J774&lt;=0,"Kein Verbrauch; ","")&amp;IF(CH774&gt;0,"Lift "&amp;W774&amp;" lt. Liftbericht (Fach "&amp;X774&amp;" Stk); ",IF(BU774=1,"Gebinde geschätzt ("&amp;T774&amp;"); ",IF(BT774=1,"Lose – Tablare geschätzt; ","")))&amp;IF(H774&gt;AR774,"Überbestand "&amp;ROUND(H774-AR774,0)&amp;" Stk / CHF "&amp;ROUND((H774-AR774)*G774,0)&amp;"; ","")&amp;IF(AND(CA774=1,CB774&lt;CC774),"MAX &lt; MB+LG; ","")&amp;IF(AND(CG774&gt;0,CF774*10&gt;CG774),"zu hoch für Tablar; ","")&amp;IF(AND(BP774=0,OR(CA774=1,AA774&lt;&gt;"",U774&lt;&gt;"",V774&lt;&gt;"",AB774&lt;&gt;"")),"manuell übersteuert; ","")&amp;IF(AND(BT774=0,R774=0),"Gebinde unbekannt / Stellmass fehlt; ","")&amp;IF(AND(BT774=0,N(V774)&lt;=0,N(Q774)&lt;=0),"Menge pro Gebinde fehlt (Ist = 1 Gebinde); ","")&amp;BO774)</f>
        <v>negativer Bestand (Export -24); Kein Verbrauch; Gebinde geschätzt (Klein); Menge pro Gebinde fehlt (Ist = 1 Gebinde); </v>
      </c>
      <c r="BH774" s="55"/>
      <c r="BI774" s="55"/>
      <c r="BJ774" s="62"/>
      <c r="BK774" s="57" t="n">
        <v>-24</v>
      </c>
      <c r="BL774" s="57" t="n">
        <v>36</v>
      </c>
      <c r="BM774" s="56" t="n">
        <v>-1.44</v>
      </c>
      <c r="BN774" s="57" t="n">
        <v>0</v>
      </c>
      <c r="BO774" s="55"/>
      <c r="BP774" s="60" t="n">
        <v>0</v>
      </c>
      <c r="BQ774" s="60" t="n">
        <v>774</v>
      </c>
      <c r="BR774" s="55" t="str">
        <f aca="false">IF(U774&lt;&gt;"",UPPER(TRIM(U774)),IF(BU774=1,UPPER(VLOOKUP(T774,Parameter!$I$27:$K$29,2,0)),IF(P774="","LOSE",P774)))</f>
        <v>S51</v>
      </c>
      <c r="BS774" s="57" t="n">
        <f aca="false">IF(BR774="LOSE",1,IF(N(V774)&gt;0,V774,IF(BU774=1,MAX(1,N(VLOOKUP(T774,Parameter!$I$27:$K$29,3,0)),H774,N(N774)),IF(N(Q774)&gt;0,Q774,MAX(1,H774)))))</f>
        <v>20</v>
      </c>
      <c r="BT774" s="60" t="n">
        <f aca="false">IF(BR774="LOSE",1,0)</f>
        <v>0</v>
      </c>
      <c r="BU774" s="60" t="n">
        <f aca="false">IF(AND(U774="",OR(P774="",P774="LOSE"),T774&lt;&gt;"",N(S774)&lt;=0,ISNUMBER(MATCH(T774,Parameter!$I$27:$I$29,0))),1,0)</f>
        <v>1</v>
      </c>
      <c r="BV774" s="55" t="str">
        <f aca="false">IF(AND(Parameter!$B$19="Ja",E774&lt;&gt;"",ISNUMBER(MATCH(E774,Parameter!$I$35:$I$52,0))),VLOOKUP(E774,Parameter!$I$35:$J$52,2,0),IFERROR(VLOOKUP(D774,Parameter!$A$35:$C$64,2,0),"Nein"))</f>
        <v>2+3</v>
      </c>
      <c r="BW774" s="59" t="n">
        <f aca="false">IF(BT774=0,0,IF(N(S774)&gt;0,S774,IFERROR(VLOOKUP(D774,Parameter!$A$35:$C$64,3,0)+0,0)))</f>
        <v>0</v>
      </c>
      <c r="BX774" s="55" t="n">
        <f aca="false">IF(AA774&lt;&gt;"",AA774,Z774)</f>
        <v>3</v>
      </c>
      <c r="BY774" s="55" t="str">
        <f aca="false">IF(BX774=1,"L1",IF(OR(BX774=2,BX774=3),"L23",IF(BX774="Aussen","Aussen","-")))</f>
        <v>L23</v>
      </c>
      <c r="BZ774" s="66" t="n">
        <f aca="false">IF(N(AB774)&gt;0,AB774,0)</f>
        <v>0</v>
      </c>
      <c r="CA774" s="60" t="n">
        <f aca="false">IF(ISNUMBER(AE774),1,0)</f>
        <v>0</v>
      </c>
      <c r="CB774" s="57" t="n">
        <f aca="false">N(AE774)</f>
        <v>0</v>
      </c>
      <c r="CC774" s="57" t="n">
        <f aca="false">N(M774)+N(N774)</f>
        <v>1</v>
      </c>
      <c r="CD774" s="57" t="n">
        <f aca="false">ROUNDUP(H774/BS774,0)</f>
        <v>1</v>
      </c>
      <c r="CE774" s="57" t="n">
        <f aca="false">ROUNDUP(CB774/BS774,0)</f>
        <v>0</v>
      </c>
      <c r="CF774" s="60" t="n">
        <f aca="false">IF(BT774=1,0,IFERROR(VLOOKUP(BR774,'Gebinde-Kategorie'!$A$5:$M$45,5,0)+0,0))</f>
        <v>11</v>
      </c>
      <c r="CG774" s="60" t="n">
        <f aca="false">IFERROR(IF(OR(BX774=1,BX774=2,BX774=3),N(INDEX(Parameter!$I$5:$I$7,BX774)),0),0)</f>
        <v>0</v>
      </c>
      <c r="CH774" s="59" t="n">
        <f aca="false">IF(AND(Parameter!$B$21="Ja",ISNUMBER(W774),N(X774)&gt;0),IFERROR(N(INDEX(Parameter!$L$5:$L$7,W774))*INDEX(Parameter!$E$5:$E$7,W774)*X774/SUMIFS($X$7:$X$1843,$W$7:$W$1843,W774),0),0)</f>
        <v>0</v>
      </c>
    </row>
    <row r="775" customFormat="false" ht="15" hidden="false" customHeight="false" outlineLevel="0" collapsed="false">
      <c r="A775" s="55" t="s">
        <v>1518</v>
      </c>
      <c r="B775" s="55" t="s">
        <v>405</v>
      </c>
      <c r="C775" s="55" t="s">
        <v>164</v>
      </c>
      <c r="D775" s="55" t="s">
        <v>184</v>
      </c>
      <c r="E775" s="55" t="s">
        <v>185</v>
      </c>
      <c r="F775" s="55" t="s">
        <v>218</v>
      </c>
      <c r="G775" s="56" t="n">
        <v>0.04</v>
      </c>
      <c r="H775" s="57" t="n">
        <f aca="false">MAX(0,IF(AND(Parameter!$B$21="Ja",ISNUMBER(Y775)),Y775,IF(Parameter!$B$20="Jahresanfang 2025 + Export",BL775+BK775,BK775)))</f>
        <v>111</v>
      </c>
      <c r="I775" s="57" t="n">
        <f aca="false">H775*G775</f>
        <v>4.44</v>
      </c>
      <c r="J775" s="57" t="n">
        <f aca="false">BN775*Parameter!$B$18</f>
        <v>219</v>
      </c>
      <c r="K775" s="58" t="n">
        <v>211</v>
      </c>
      <c r="L775" s="59" t="n">
        <v>1.03791469194313</v>
      </c>
      <c r="M775" s="57" t="n">
        <v>12</v>
      </c>
      <c r="N775" s="57" t="n">
        <v>220</v>
      </c>
      <c r="O775" s="60" t="n">
        <v>21</v>
      </c>
      <c r="P775" s="55" t="s">
        <v>401</v>
      </c>
      <c r="Q775" s="57" t="n">
        <v>241</v>
      </c>
      <c r="R775" s="60" t="n">
        <f aca="false">IF(BT775=1,0,IFERROR(VLOOKUP(BR775,'Gebinde-Kategorie'!$A$5:$M$45,13,0)+0,0))</f>
        <v>414</v>
      </c>
      <c r="S775" s="61"/>
      <c r="T775" s="62"/>
      <c r="U775" s="62"/>
      <c r="V775" s="62"/>
      <c r="W775" s="55"/>
      <c r="X775" s="57"/>
      <c r="Y775" s="57"/>
      <c r="Z775" s="55" t="n">
        <f aca="false">IF(A775="","",IF(AND(Parameter!$B$21="Ja",ISNUMBER(W775)),W775,IF(BV775="2+3",IF(ISNUMBER(SEARCH("grosser Artikel",BO775)),2,IFERROR(VLOOKUP(BR775,Parameter!$F$35:$G$64,2,0),2)),IF(OR(BV775="Nein",BV775=""),"-",BV775))))</f>
        <v>3</v>
      </c>
      <c r="AA775" s="62"/>
      <c r="AB775" s="63"/>
      <c r="AC775" s="57" t="n">
        <f aca="false">AR775</f>
        <v>241</v>
      </c>
      <c r="AD775" s="57" t="n">
        <f aca="false">MAX(AR775,H775)</f>
        <v>241</v>
      </c>
      <c r="AE775" s="64"/>
      <c r="AF775" s="57" t="n">
        <f aca="false">IF(LEFT(Cockpit!$C$5,1)="A",H775,IF(CA775=1,CB775,IF(LEFT(Cockpit!$C$5,1)="B",AJ775,MAX(AJ775,H775))))</f>
        <v>111</v>
      </c>
      <c r="AG775" s="57" t="n">
        <f aca="false">IF(BT775=1,0,ROUNDUP(AF775/BS775,0))</f>
        <v>1</v>
      </c>
      <c r="AH775" s="59" t="n">
        <f aca="false">IF(CH775&gt;0,CH775*MAX(1,AF775/X775),IF(BT775=1,IF(AF775&lt;=0,0,BW775*MAX(1,IF(H775&gt;0,AF775/H775,1))),IF(R775&gt;0,AG775/R775,0))/MAX(0.1,N(Parameter!$M$21)))</f>
        <v>0.00241545893719807</v>
      </c>
      <c r="AI775" s="57" t="n">
        <f aca="false">AF775*G775</f>
        <v>4.44</v>
      </c>
      <c r="AJ775" s="57" t="n">
        <f aca="false">ROUNDUP(MAX(J775/IF(BZ775&gt;0,BZ775,MAX(0.1,N(Cockpit!$C$6))),CC775)/BS775,0)*BS775</f>
        <v>241</v>
      </c>
      <c r="AK775" s="58" t="n">
        <f aca="false">IF(AH775&gt;0,J775/AH775,-1)</f>
        <v>90666</v>
      </c>
      <c r="AL775" s="58" t="n">
        <f aca="false">IF(AND(OR(BY775="L1",BY775="L23"),AH775&gt;0),SUMIFS($AH$7:$AH$1843,$BY$7:$BY$1843,BY775,$AK$7:$AK$1843,"&gt;"&amp;AK775)+SUMIFS($AH$7:$AH$1843,$BY$7:$BY$1843,BY775,$AK$7:$AK$1843,AK775,$BQ$7:$BQ$1843,"&lt;="&amp;BQ775),"")</f>
        <v>0.815529880747272</v>
      </c>
      <c r="AM775" s="65" t="n">
        <f aca="false">IF(AL775="",0,MAX(0,MIN(1,(IF(BY775="L1",Parameter!$E$5,Parameter!$E$6+Parameter!$E$7)-(AL775-AH775))/AH775)))</f>
        <v>1</v>
      </c>
      <c r="AN775" s="57" t="n">
        <f aca="false">IF(LEFT(Cockpit!$I$5,1)="A",H775,IF(CA775=1,CB775,IF(LEFT(Cockpit!$I$5,1)="B",AR775,MAX(AR775,H775))))</f>
        <v>241</v>
      </c>
      <c r="AO775" s="57" t="n">
        <f aca="false">IF(BT775=1,0,ROUNDUP(AN775/BS775,0))</f>
        <v>1</v>
      </c>
      <c r="AP775" s="59" t="n">
        <f aca="false">IF(CH775&gt;0,CH775*MAX(1,AN775/X775),IF(BT775=1,IF(AN775&lt;=0,0,BW775*MAX(1,IF(H775&gt;0,AN775/H775,1))),IF(R775&gt;0,AO775/R775,0))/MAX(0.1,N(Parameter!$M$21)))</f>
        <v>0.00241545893719807</v>
      </c>
      <c r="AQ775" s="57" t="n">
        <f aca="false">AN775*G775</f>
        <v>9.64</v>
      </c>
      <c r="AR775" s="57" t="n">
        <f aca="false">ROUNDUP(MAX(J775/IF(BZ775&gt;0,BZ775,MAX(0.1,N(Cockpit!$I$6))),CC775)/BS775,0)*BS775</f>
        <v>241</v>
      </c>
      <c r="AS775" s="58" t="n">
        <f aca="false">IF(AP775&gt;0,J775/AP775,-1)</f>
        <v>90666</v>
      </c>
      <c r="AT775" s="58" t="n">
        <f aca="false">IF(AND(OR(BY775="L1",BY775="L23"),AP775&gt;0),SUMIFS($AP$7:$AP$1843,$BY$7:$BY$1843,BY775,$AS$7:$AS$1843,"&gt;"&amp;AS775)+SUMIFS($AP$7:$AP$1843,$BY$7:$BY$1843,BY775,$AS$7:$AS$1843,AS775,$BQ$7:$BQ$1843,"&lt;="&amp;BQ775),"")</f>
        <v>0.297042329651025</v>
      </c>
      <c r="AU775" s="65" t="n">
        <f aca="false">IF(AT775="",0,MAX(0,MIN(1,(IF(BY775="L1",Parameter!$E$5,Parameter!$E$6+Parameter!$E$7)-(AT775-AP775))/AP775)))</f>
        <v>1</v>
      </c>
      <c r="AV775" s="57" t="n">
        <f aca="false">IF(LEFT(Cockpit!$O$5,1)="A",H775,IF(CA775=1,CB775,IF(LEFT(Cockpit!$O$5,1)="B",AZ775,MAX(AZ775,H775))))</f>
        <v>241</v>
      </c>
      <c r="AW775" s="57" t="n">
        <f aca="false">IF(BT775=1,0,ROUNDUP(AV775/BS775,0))</f>
        <v>1</v>
      </c>
      <c r="AX775" s="59" t="n">
        <f aca="false">IF(CH775&gt;0,CH775*MAX(1,AV775/X775),IF(BT775=1,IF(AV775&lt;=0,0,BW775*MAX(1,IF(H775&gt;0,AV775/H775,1))),IF(R775&gt;0,AW775/R775,0))/MAX(0.1,N(Parameter!$M$21)))</f>
        <v>0.00241545893719807</v>
      </c>
      <c r="AY775" s="57" t="n">
        <f aca="false">AV775*G775</f>
        <v>9.64</v>
      </c>
      <c r="AZ775" s="57" t="n">
        <f aca="false">ROUNDUP(MAX(J775/IF(BZ775&gt;0,BZ775,MAX(0.1,N(Cockpit!$O$6))),CC775)/BS775,0)*BS775</f>
        <v>241</v>
      </c>
      <c r="BA775" s="58" t="n">
        <f aca="false">IF(AX775&gt;0,J775/AX775,-1)</f>
        <v>90666</v>
      </c>
      <c r="BB775" s="58" t="n">
        <f aca="false">IF(AND(OR(BY775="L1",BY775="L23"),AX775&gt;0),SUMIFS($AX$7:$AX$1843,$BY$7:$BY$1843,BY775,$BA$7:$BA$1843,"&gt;"&amp;BA775)+SUMIFS($AX$7:$AX$1843,$BY$7:$BY$1843,BY775,$BA$7:$BA$1843,BA775,$BQ$7:$BQ$1843,"&lt;="&amp;BQ775),"")</f>
        <v>0.373965406574102</v>
      </c>
      <c r="BC775" s="65" t="n">
        <f aca="false">IF(BB775="",0,MAX(0,MIN(1,(IF(BY775="L1",Parameter!$E$5,Parameter!$E$6+Parameter!$E$7)-(BB775-AX775))/AX775)))</f>
        <v>1</v>
      </c>
      <c r="BD775" s="55" t="str">
        <f aca="false">IF(AH775&lt;=0,"",IF(BY775="Aussen","Aussenlager",IF(BY775="-","Nicht im Lift",IF(AM775&gt;=1,"Lift",IF(AM775&lt;=0,"Aussenlager","teilweise")))))</f>
        <v>Lift</v>
      </c>
      <c r="BE775" s="55" t="str">
        <f aca="false">IF(AP775&lt;=0,"",IF(BY775="Aussen","Aussenlager",IF(BY775="-","Nicht im Lift",IF(AU775&gt;=1,"Lift",IF(AU775&lt;=0,"Aussenlager","teilweise")))))</f>
        <v>Lift</v>
      </c>
      <c r="BF775" s="55" t="str">
        <f aca="false">IF(AX775&lt;=0,"",IF(BY775="Aussen","Aussenlager",IF(BY775="-","Nicht im Lift",IF(BC775&gt;=1,"Lift",IF(BC775&lt;=0,"Aussenlager","teilweise")))))</f>
        <v>Lift</v>
      </c>
      <c r="BG775" s="55" t="str">
        <f aca="false">IF(A775="","",IF(BP775=1,"Neu; ","")&amp;IF(AND(BP775=0,BK775&lt;0),"negativer Bestand (Export "&amp;BK775&amp;"); ","")&amp;IF(J775&lt;=0,"Kein Verbrauch; ","")&amp;IF(CH775&gt;0,"Lift "&amp;W775&amp;" lt. Liftbericht (Fach "&amp;X775&amp;" Stk); ",IF(BU775=1,"Gebinde geschätzt ("&amp;T775&amp;"); ",IF(BT775=1,"Lose – Tablare geschätzt; ","")))&amp;IF(H775&gt;AR775,"Überbestand "&amp;ROUND(H775-AR775,0)&amp;" Stk / CHF "&amp;ROUND((H775-AR775)*G775,0)&amp;"; ","")&amp;IF(AND(CA775=1,CB775&lt;CC775),"MAX &lt; MB+LG; ","")&amp;IF(AND(CG775&gt;0,CF775*10&gt;CG775),"zu hoch für Tablar; ","")&amp;IF(AND(BP775=0,OR(CA775=1,AA775&lt;&gt;"",U775&lt;&gt;"",V775&lt;&gt;"",AB775&lt;&gt;"")),"manuell übersteuert; ","")&amp;IF(AND(BT775=0,R775=0),"Gebinde unbekannt / Stellmass fehlt; ","")&amp;IF(AND(BT775=0,N(V775)&lt;=0,N(Q775)&lt;=0),"Menge pro Gebinde fehlt (Ist = 1 Gebinde); ","")&amp;BO775)</f>
        <v>negativer Bestand (Export -36); </v>
      </c>
      <c r="BH775" s="55"/>
      <c r="BI775" s="55"/>
      <c r="BJ775" s="62"/>
      <c r="BK775" s="57" t="n">
        <v>-36</v>
      </c>
      <c r="BL775" s="57" t="n">
        <v>147</v>
      </c>
      <c r="BM775" s="56" t="n">
        <v>-1.44000000000002</v>
      </c>
      <c r="BN775" s="57" t="n">
        <v>219</v>
      </c>
      <c r="BO775" s="55"/>
      <c r="BP775" s="60" t="n">
        <v>0</v>
      </c>
      <c r="BQ775" s="60" t="n">
        <v>775</v>
      </c>
      <c r="BR775" s="55" t="str">
        <f aca="false">IF(U775&lt;&gt;"",UPPER(TRIM(U775)),IF(BU775=1,UPPER(VLOOKUP(T775,Parameter!$I$27:$K$29,2,0)),IF(P775="","LOSE",P775)))</f>
        <v>S21</v>
      </c>
      <c r="BS775" s="57" t="n">
        <f aca="false">IF(BR775="LOSE",1,IF(N(V775)&gt;0,V775,IF(BU775=1,MAX(1,N(VLOOKUP(T775,Parameter!$I$27:$K$29,3,0)),H775,N(N775)),IF(N(Q775)&gt;0,Q775,MAX(1,H775)))))</f>
        <v>241</v>
      </c>
      <c r="BT775" s="60" t="n">
        <f aca="false">IF(BR775="LOSE",1,0)</f>
        <v>0</v>
      </c>
      <c r="BU775" s="60" t="n">
        <f aca="false">IF(AND(U775="",OR(P775="",P775="LOSE"),T775&lt;&gt;"",N(S775)&lt;=0,ISNUMBER(MATCH(T775,Parameter!$I$27:$I$29,0))),1,0)</f>
        <v>0</v>
      </c>
      <c r="BV775" s="55" t="str">
        <f aca="false">IF(AND(Parameter!$B$19="Ja",E775&lt;&gt;"",ISNUMBER(MATCH(E775,Parameter!$I$35:$I$52,0))),VLOOKUP(E775,Parameter!$I$35:$J$52,2,0),IFERROR(VLOOKUP(D775,Parameter!$A$35:$C$64,2,0),"Nein"))</f>
        <v>2+3</v>
      </c>
      <c r="BW775" s="59" t="n">
        <f aca="false">IF(BT775=0,0,IF(N(S775)&gt;0,S775,IFERROR(VLOOKUP(D775,Parameter!$A$35:$C$64,3,0)+0,0)))</f>
        <v>0</v>
      </c>
      <c r="BX775" s="55" t="n">
        <f aca="false">IF(AA775&lt;&gt;"",AA775,Z775)</f>
        <v>3</v>
      </c>
      <c r="BY775" s="55" t="str">
        <f aca="false">IF(BX775=1,"L1",IF(OR(BX775=2,BX775=3),"L23",IF(BX775="Aussen","Aussen","-")))</f>
        <v>L23</v>
      </c>
      <c r="BZ775" s="66" t="n">
        <f aca="false">IF(N(AB775)&gt;0,AB775,0)</f>
        <v>0</v>
      </c>
      <c r="CA775" s="60" t="n">
        <f aca="false">IF(ISNUMBER(AE775),1,0)</f>
        <v>0</v>
      </c>
      <c r="CB775" s="57" t="n">
        <f aca="false">N(AE775)</f>
        <v>0</v>
      </c>
      <c r="CC775" s="57" t="n">
        <f aca="false">N(M775)+N(N775)</f>
        <v>232</v>
      </c>
      <c r="CD775" s="57" t="n">
        <f aca="false">ROUNDUP(H775/BS775,0)</f>
        <v>1</v>
      </c>
      <c r="CE775" s="57" t="n">
        <f aca="false">ROUNDUP(CB775/BS775,0)</f>
        <v>0</v>
      </c>
      <c r="CF775" s="60" t="n">
        <f aca="false">IF(BT775=1,0,IFERROR(VLOOKUP(BR775,'Gebinde-Kategorie'!$A$5:$M$45,5,0)+0,0))</f>
        <v>8</v>
      </c>
      <c r="CG775" s="60" t="n">
        <f aca="false">IFERROR(IF(OR(BX775=1,BX775=2,BX775=3),N(INDEX(Parameter!$I$5:$I$7,BX775)),0),0)</f>
        <v>0</v>
      </c>
      <c r="CH775" s="59" t="n">
        <f aca="false">IF(AND(Parameter!$B$21="Ja",ISNUMBER(W775),N(X775)&gt;0),IFERROR(N(INDEX(Parameter!$L$5:$L$7,W775))*INDEX(Parameter!$E$5:$E$7,W775)*X775/SUMIFS($X$7:$X$1843,$W$7:$W$1843,W775),0),0)</f>
        <v>0</v>
      </c>
    </row>
    <row r="776" customFormat="false" ht="15" hidden="false" customHeight="false" outlineLevel="0" collapsed="false">
      <c r="A776" s="55" t="s">
        <v>1519</v>
      </c>
      <c r="B776" s="55" t="s">
        <v>1520</v>
      </c>
      <c r="C776" s="55" t="s">
        <v>164</v>
      </c>
      <c r="D776" s="55" t="s">
        <v>184</v>
      </c>
      <c r="E776" s="55"/>
      <c r="F776" s="55" t="s">
        <v>218</v>
      </c>
      <c r="G776" s="56" t="n">
        <v>0.5</v>
      </c>
      <c r="H776" s="57" t="n">
        <f aca="false">MAX(0,IF(AND(Parameter!$B$21="Ja",ISNUMBER(Y776)),Y776,IF(Parameter!$B$20="Jahresanfang 2025 + Export",BL776+BK776,BK776)))</f>
        <v>180</v>
      </c>
      <c r="I776" s="57" t="n">
        <f aca="false">H776*G776</f>
        <v>90</v>
      </c>
      <c r="J776" s="57" t="n">
        <f aca="false">BN776*Parameter!$B$18</f>
        <v>0</v>
      </c>
      <c r="K776" s="58" t="n">
        <v>183</v>
      </c>
      <c r="L776" s="59" t="n">
        <v>0</v>
      </c>
      <c r="M776" s="57" t="n">
        <v>0</v>
      </c>
      <c r="N776" s="57" t="n">
        <v>1</v>
      </c>
      <c r="O776" s="60" t="n">
        <v>14</v>
      </c>
      <c r="P776" s="55" t="s">
        <v>401</v>
      </c>
      <c r="Q776" s="57" t="n">
        <v>200</v>
      </c>
      <c r="R776" s="60" t="n">
        <f aca="false">IF(BT776=1,0,IFERROR(VLOOKUP(BR776,'Gebinde-Kategorie'!$A$5:$M$45,13,0)+0,0))</f>
        <v>414</v>
      </c>
      <c r="S776" s="61"/>
      <c r="T776" s="62"/>
      <c r="U776" s="62"/>
      <c r="V776" s="62"/>
      <c r="W776" s="55"/>
      <c r="X776" s="57"/>
      <c r="Y776" s="57"/>
      <c r="Z776" s="55" t="n">
        <f aca="false">IF(A776="","",IF(AND(Parameter!$B$21="Ja",ISNUMBER(W776)),W776,IF(BV776="2+3",IF(ISNUMBER(SEARCH("grosser Artikel",BO776)),2,IFERROR(VLOOKUP(BR776,Parameter!$F$35:$G$64,2,0),2)),IF(OR(BV776="Nein",BV776=""),"-",BV776))))</f>
        <v>3</v>
      </c>
      <c r="AA776" s="62"/>
      <c r="AB776" s="63"/>
      <c r="AC776" s="57" t="n">
        <f aca="false">AR776</f>
        <v>200</v>
      </c>
      <c r="AD776" s="57" t="n">
        <f aca="false">MAX(AR776,H776)</f>
        <v>200</v>
      </c>
      <c r="AE776" s="64"/>
      <c r="AF776" s="57" t="n">
        <f aca="false">IF(LEFT(Cockpit!$C$5,1)="A",H776,IF(CA776=1,CB776,IF(LEFT(Cockpit!$C$5,1)="B",AJ776,MAX(AJ776,H776))))</f>
        <v>180</v>
      </c>
      <c r="AG776" s="57" t="n">
        <f aca="false">IF(BT776=1,0,ROUNDUP(AF776/BS776,0))</f>
        <v>1</v>
      </c>
      <c r="AH776" s="59" t="n">
        <f aca="false">IF(CH776&gt;0,CH776*MAX(1,AF776/X776),IF(BT776=1,IF(AF776&lt;=0,0,BW776*MAX(1,IF(H776&gt;0,AF776/H776,1))),IF(R776&gt;0,AG776/R776,0))/MAX(0.1,N(Parameter!$M$21)))</f>
        <v>0.00241545893719807</v>
      </c>
      <c r="AI776" s="57" t="n">
        <f aca="false">AF776*G776</f>
        <v>90</v>
      </c>
      <c r="AJ776" s="57" t="n">
        <f aca="false">ROUNDUP(MAX(J776/IF(BZ776&gt;0,BZ776,MAX(0.1,N(Cockpit!$C$6))),CC776)/BS776,0)*BS776</f>
        <v>200</v>
      </c>
      <c r="AK776" s="58" t="n">
        <f aca="false">IF(AH776&gt;0,J776/AH776,-1)</f>
        <v>0</v>
      </c>
      <c r="AL776" s="58" t="n">
        <f aca="false">IF(AND(OR(BY776="L1",BY776="L23"),AH776&gt;0),SUMIFS($AH$7:$AH$1843,$BY$7:$BY$1843,BY776,$AK$7:$AK$1843,"&gt;"&amp;AK776)+SUMIFS($AH$7:$AH$1843,$BY$7:$BY$1843,BY776,$AK$7:$AK$1843,AK776,$BQ$7:$BQ$1843,"&lt;="&amp;BQ776),"")</f>
        <v>77.4688270666532</v>
      </c>
      <c r="AM776" s="65" t="n">
        <f aca="false">IF(AL776="",0,MAX(0,MIN(1,(IF(BY776="L1",Parameter!$E$5,Parameter!$E$6+Parameter!$E$7)-(AL776-AH776))/AH776)))</f>
        <v>1</v>
      </c>
      <c r="AN776" s="57" t="n">
        <f aca="false">IF(LEFT(Cockpit!$I$5,1)="A",H776,IF(CA776=1,CB776,IF(LEFT(Cockpit!$I$5,1)="B",AR776,MAX(AR776,H776))))</f>
        <v>200</v>
      </c>
      <c r="AO776" s="57" t="n">
        <f aca="false">IF(BT776=1,0,ROUNDUP(AN776/BS776,0))</f>
        <v>1</v>
      </c>
      <c r="AP776" s="59" t="n">
        <f aca="false">IF(CH776&gt;0,CH776*MAX(1,AN776/X776),IF(BT776=1,IF(AN776&lt;=0,0,BW776*MAX(1,IF(H776&gt;0,AN776/H776,1))),IF(R776&gt;0,AO776/R776,0))/MAX(0.1,N(Parameter!$M$21)))</f>
        <v>0.00241545893719807</v>
      </c>
      <c r="AQ776" s="57" t="n">
        <f aca="false">AN776*G776</f>
        <v>100</v>
      </c>
      <c r="AR776" s="57" t="n">
        <f aca="false">ROUNDUP(MAX(J776/IF(BZ776&gt;0,BZ776,MAX(0.1,N(Cockpit!$I$6))),CC776)/BS776,0)*BS776</f>
        <v>200</v>
      </c>
      <c r="AS776" s="58" t="n">
        <f aca="false">IF(AP776&gt;0,J776/AP776,-1)</f>
        <v>0</v>
      </c>
      <c r="AT776" s="58" t="n">
        <f aca="false">IF(AND(OR(BY776="L1",BY776="L23"),AP776&gt;0),SUMIFS($AP$7:$AP$1843,$BY$7:$BY$1843,BY776,$AS$7:$AS$1843,"&gt;"&amp;AS776)+SUMIFS($AP$7:$AP$1843,$BY$7:$BY$1843,BY776,$AS$7:$AS$1843,AS776,$BQ$7:$BQ$1843,"&lt;="&amp;BQ776),"")</f>
        <v>118.29921286443</v>
      </c>
      <c r="AU776" s="65" t="n">
        <f aca="false">IF(AT776="",0,MAX(0,MIN(1,(IF(BY776="L1",Parameter!$E$5,Parameter!$E$6+Parameter!$E$7)-(AT776-AP776))/AP776)))</f>
        <v>0</v>
      </c>
      <c r="AV776" s="57" t="n">
        <f aca="false">IF(LEFT(Cockpit!$O$5,1)="A",H776,IF(CA776=1,CB776,IF(LEFT(Cockpit!$O$5,1)="B",AZ776,MAX(AZ776,H776))))</f>
        <v>200</v>
      </c>
      <c r="AW776" s="57" t="n">
        <f aca="false">IF(BT776=1,0,ROUNDUP(AV776/BS776,0))</f>
        <v>1</v>
      </c>
      <c r="AX776" s="59" t="n">
        <f aca="false">IF(CH776&gt;0,CH776*MAX(1,AV776/X776),IF(BT776=1,IF(AV776&lt;=0,0,BW776*MAX(1,IF(H776&gt;0,AV776/H776,1))),IF(R776&gt;0,AW776/R776,0))/MAX(0.1,N(Parameter!$M$21)))</f>
        <v>0.00241545893719807</v>
      </c>
      <c r="AY776" s="57" t="n">
        <f aca="false">AV776*G776</f>
        <v>100</v>
      </c>
      <c r="AZ776" s="57" t="n">
        <f aca="false">ROUNDUP(MAX(J776/IF(BZ776&gt;0,BZ776,MAX(0.1,N(Cockpit!$O$6))),CC776)/BS776,0)*BS776</f>
        <v>200</v>
      </c>
      <c r="BA776" s="58" t="n">
        <f aca="false">IF(AX776&gt;0,J776/AX776,-1)</f>
        <v>0</v>
      </c>
      <c r="BB776" s="58" t="n">
        <f aca="false">IF(AND(OR(BY776="L1",BY776="L23"),AX776&gt;0),SUMIFS($AX$7:$AX$1843,$BY$7:$BY$1843,BY776,$BA$7:$BA$1843,"&gt;"&amp;BA776)+SUMIFS($AX$7:$AX$1843,$BY$7:$BY$1843,BY776,$BA$7:$BA$1843,BA776,$BQ$7:$BQ$1843,"&lt;="&amp;BQ776),"")</f>
        <v>109.129049694267</v>
      </c>
      <c r="BC776" s="65" t="n">
        <f aca="false">IF(BB776="",0,MAX(0,MIN(1,(IF(BY776="L1",Parameter!$E$5,Parameter!$E$6+Parameter!$E$7)-(BB776-AX776))/AX776)))</f>
        <v>0</v>
      </c>
      <c r="BD776" s="55" t="str">
        <f aca="false">IF(AH776&lt;=0,"",IF(BY776="Aussen","Aussenlager",IF(BY776="-","Nicht im Lift",IF(AM776&gt;=1,"Lift",IF(AM776&lt;=0,"Aussenlager","teilweise")))))</f>
        <v>Lift</v>
      </c>
      <c r="BE776" s="55" t="str">
        <f aca="false">IF(AP776&lt;=0,"",IF(BY776="Aussen","Aussenlager",IF(BY776="-","Nicht im Lift",IF(AU776&gt;=1,"Lift",IF(AU776&lt;=0,"Aussenlager","teilweise")))))</f>
        <v>Aussenlager</v>
      </c>
      <c r="BF776" s="55" t="str">
        <f aca="false">IF(AX776&lt;=0,"",IF(BY776="Aussen","Aussenlager",IF(BY776="-","Nicht im Lift",IF(BC776&gt;=1,"Lift",IF(BC776&lt;=0,"Aussenlager","teilweise")))))</f>
        <v>Aussenlager</v>
      </c>
      <c r="BG776" s="55" t="str">
        <f aca="false">IF(A776="","",IF(BP776=1,"Neu; ","")&amp;IF(AND(BP776=0,BK776&lt;0),"negativer Bestand (Export "&amp;BK776&amp;"); ","")&amp;IF(J776&lt;=0,"Kein Verbrauch; ","")&amp;IF(CH776&gt;0,"Lift "&amp;W776&amp;" lt. Liftbericht (Fach "&amp;X776&amp;" Stk); ",IF(BU776=1,"Gebinde geschätzt ("&amp;T776&amp;"); ",IF(BT776=1,"Lose – Tablare geschätzt; ","")))&amp;IF(H776&gt;AR776,"Überbestand "&amp;ROUND(H776-AR776,0)&amp;" Stk / CHF "&amp;ROUND((H776-AR776)*G776,0)&amp;"; ","")&amp;IF(AND(CA776=1,CB776&lt;CC776),"MAX &lt; MB+LG; ","")&amp;IF(AND(CG776&gt;0,CF776*10&gt;CG776),"zu hoch für Tablar; ","")&amp;IF(AND(BP776=0,OR(CA776=1,AA776&lt;&gt;"",U776&lt;&gt;"",V776&lt;&gt;"",AB776&lt;&gt;"")),"manuell übersteuert; ","")&amp;IF(AND(BT776=0,R776=0),"Gebinde unbekannt / Stellmass fehlt; ","")&amp;IF(AND(BT776=0,N(V776)&lt;=0,N(Q776)&lt;=0),"Menge pro Gebinde fehlt (Ist = 1 Gebinde); ","")&amp;BO776)</f>
        <v>negativer Bestand (Export -3); Kein Verbrauch; </v>
      </c>
      <c r="BH776" s="55"/>
      <c r="BI776" s="55"/>
      <c r="BJ776" s="62"/>
      <c r="BK776" s="57" t="n">
        <v>-3</v>
      </c>
      <c r="BL776" s="57" t="n">
        <v>183</v>
      </c>
      <c r="BM776" s="56" t="n">
        <v>-1.5</v>
      </c>
      <c r="BN776" s="57" t="n">
        <v>0</v>
      </c>
      <c r="BO776" s="55"/>
      <c r="BP776" s="60" t="n">
        <v>0</v>
      </c>
      <c r="BQ776" s="60" t="n">
        <v>776</v>
      </c>
      <c r="BR776" s="55" t="str">
        <f aca="false">IF(U776&lt;&gt;"",UPPER(TRIM(U776)),IF(BU776=1,UPPER(VLOOKUP(T776,Parameter!$I$27:$K$29,2,0)),IF(P776="","LOSE",P776)))</f>
        <v>S21</v>
      </c>
      <c r="BS776" s="57" t="n">
        <f aca="false">IF(BR776="LOSE",1,IF(N(V776)&gt;0,V776,IF(BU776=1,MAX(1,N(VLOOKUP(T776,Parameter!$I$27:$K$29,3,0)),H776,N(N776)),IF(N(Q776)&gt;0,Q776,MAX(1,H776)))))</f>
        <v>200</v>
      </c>
      <c r="BT776" s="60" t="n">
        <f aca="false">IF(BR776="LOSE",1,0)</f>
        <v>0</v>
      </c>
      <c r="BU776" s="60" t="n">
        <f aca="false">IF(AND(U776="",OR(P776="",P776="LOSE"),T776&lt;&gt;"",N(S776)&lt;=0,ISNUMBER(MATCH(T776,Parameter!$I$27:$I$29,0))),1,0)</f>
        <v>0</v>
      </c>
      <c r="BV776" s="55" t="str">
        <f aca="false">IF(AND(Parameter!$B$19="Ja",E776&lt;&gt;"",ISNUMBER(MATCH(E776,Parameter!$I$35:$I$52,0))),VLOOKUP(E776,Parameter!$I$35:$J$52,2,0),IFERROR(VLOOKUP(D776,Parameter!$A$35:$C$64,2,0),"Nein"))</f>
        <v>2+3</v>
      </c>
      <c r="BW776" s="59" t="n">
        <f aca="false">IF(BT776=0,0,IF(N(S776)&gt;0,S776,IFERROR(VLOOKUP(D776,Parameter!$A$35:$C$64,3,0)+0,0)))</f>
        <v>0</v>
      </c>
      <c r="BX776" s="55" t="n">
        <f aca="false">IF(AA776&lt;&gt;"",AA776,Z776)</f>
        <v>3</v>
      </c>
      <c r="BY776" s="55" t="str">
        <f aca="false">IF(BX776=1,"L1",IF(OR(BX776=2,BX776=3),"L23",IF(BX776="Aussen","Aussen","-")))</f>
        <v>L23</v>
      </c>
      <c r="BZ776" s="66" t="n">
        <f aca="false">IF(N(AB776)&gt;0,AB776,0)</f>
        <v>0</v>
      </c>
      <c r="CA776" s="60" t="n">
        <f aca="false">IF(ISNUMBER(AE776),1,0)</f>
        <v>0</v>
      </c>
      <c r="CB776" s="57" t="n">
        <f aca="false">N(AE776)</f>
        <v>0</v>
      </c>
      <c r="CC776" s="57" t="n">
        <f aca="false">N(M776)+N(N776)</f>
        <v>1</v>
      </c>
      <c r="CD776" s="57" t="n">
        <f aca="false">ROUNDUP(H776/BS776,0)</f>
        <v>1</v>
      </c>
      <c r="CE776" s="57" t="n">
        <f aca="false">ROUNDUP(CB776/BS776,0)</f>
        <v>0</v>
      </c>
      <c r="CF776" s="60" t="n">
        <f aca="false">IF(BT776=1,0,IFERROR(VLOOKUP(BR776,'Gebinde-Kategorie'!$A$5:$M$45,5,0)+0,0))</f>
        <v>8</v>
      </c>
      <c r="CG776" s="60" t="n">
        <f aca="false">IFERROR(IF(OR(BX776=1,BX776=2,BX776=3),N(INDEX(Parameter!$I$5:$I$7,BX776)),0),0)</f>
        <v>0</v>
      </c>
      <c r="CH776" s="59" t="n">
        <f aca="false">IF(AND(Parameter!$B$21="Ja",ISNUMBER(W776),N(X776)&gt;0),IFERROR(N(INDEX(Parameter!$L$5:$L$7,W776))*INDEX(Parameter!$E$5:$E$7,W776)*X776/SUMIFS($X$7:$X$1843,$W$7:$W$1843,W776),0),0)</f>
        <v>0</v>
      </c>
    </row>
    <row r="777" customFormat="false" ht="15" hidden="false" customHeight="false" outlineLevel="0" collapsed="false">
      <c r="A777" s="55" t="s">
        <v>1521</v>
      </c>
      <c r="B777" s="55" t="s">
        <v>1236</v>
      </c>
      <c r="C777" s="55" t="s">
        <v>164</v>
      </c>
      <c r="D777" s="55" t="s">
        <v>184</v>
      </c>
      <c r="E777" s="55" t="s">
        <v>185</v>
      </c>
      <c r="F777" s="55" t="s">
        <v>218</v>
      </c>
      <c r="G777" s="56" t="n">
        <v>0.03</v>
      </c>
      <c r="H777" s="57" t="n">
        <f aca="false">MAX(0,IF(AND(Parameter!$B$21="Ja",ISNUMBER(Y777)),Y777,IF(Parameter!$B$20="Jahresanfang 2025 + Export",BL777+BK777,BK777)))</f>
        <v>459</v>
      </c>
      <c r="I777" s="57" t="n">
        <f aca="false">H777*G777</f>
        <v>13.77</v>
      </c>
      <c r="J777" s="57" t="n">
        <f aca="false">BN777*Parameter!$B$18</f>
        <v>16</v>
      </c>
      <c r="K777" s="58" t="n">
        <v>510.5</v>
      </c>
      <c r="L777" s="59" t="n">
        <v>0.0313418217433888</v>
      </c>
      <c r="M777" s="57" t="n">
        <v>0</v>
      </c>
      <c r="N777" s="57" t="n">
        <v>15</v>
      </c>
      <c r="O777" s="60" t="n">
        <v>21</v>
      </c>
      <c r="P777" s="55" t="s">
        <v>426</v>
      </c>
      <c r="Q777" s="57" t="n">
        <v>535</v>
      </c>
      <c r="R777" s="60" t="n">
        <f aca="false">IF(BT777=1,0,IFERROR(VLOOKUP(BR777,'Gebinde-Kategorie'!$A$5:$M$45,13,0)+0,0))</f>
        <v>198</v>
      </c>
      <c r="S777" s="61"/>
      <c r="T777" s="62"/>
      <c r="U777" s="62"/>
      <c r="V777" s="62"/>
      <c r="W777" s="55"/>
      <c r="X777" s="57"/>
      <c r="Y777" s="57"/>
      <c r="Z777" s="55" t="n">
        <f aca="false">IF(A777="","",IF(AND(Parameter!$B$21="Ja",ISNUMBER(W777)),W777,IF(BV777="2+3",IF(ISNUMBER(SEARCH("grosser Artikel",BO777)),2,IFERROR(VLOOKUP(BR777,Parameter!$F$35:$G$64,2,0),2)),IF(OR(BV777="Nein",BV777=""),"-",BV777))))</f>
        <v>3</v>
      </c>
      <c r="AA777" s="62"/>
      <c r="AB777" s="63"/>
      <c r="AC777" s="57" t="n">
        <f aca="false">AR777</f>
        <v>535</v>
      </c>
      <c r="AD777" s="57" t="n">
        <f aca="false">MAX(AR777,H777)</f>
        <v>535</v>
      </c>
      <c r="AE777" s="64"/>
      <c r="AF777" s="57" t="n">
        <f aca="false">IF(LEFT(Cockpit!$C$5,1)="A",H777,IF(CA777=1,CB777,IF(LEFT(Cockpit!$C$5,1)="B",AJ777,MAX(AJ777,H777))))</f>
        <v>459</v>
      </c>
      <c r="AG777" s="57" t="n">
        <f aca="false">IF(BT777=1,0,ROUNDUP(AF777/BS777,0))</f>
        <v>1</v>
      </c>
      <c r="AH777" s="59" t="n">
        <f aca="false">IF(CH777&gt;0,CH777*MAX(1,AF777/X777),IF(BT777=1,IF(AF777&lt;=0,0,BW777*MAX(1,IF(H777&gt;0,AF777/H777,1))),IF(R777&gt;0,AG777/R777,0))/MAX(0.1,N(Parameter!$M$21)))</f>
        <v>0.00505050505050505</v>
      </c>
      <c r="AI777" s="57" t="n">
        <f aca="false">AF777*G777</f>
        <v>13.77</v>
      </c>
      <c r="AJ777" s="57" t="n">
        <f aca="false">ROUNDUP(MAX(J777/IF(BZ777&gt;0,BZ777,MAX(0.1,N(Cockpit!$C$6))),CC777)/BS777,0)*BS777</f>
        <v>535</v>
      </c>
      <c r="AK777" s="58" t="n">
        <f aca="false">IF(AH777&gt;0,J777/AH777,-1)</f>
        <v>3168</v>
      </c>
      <c r="AL777" s="58" t="n">
        <f aca="false">IF(AND(OR(BY777="L1",BY777="L23"),AH777&gt;0),SUMIFS($AH$7:$AH$1843,$BY$7:$BY$1843,BY777,$AK$7:$AK$1843,"&gt;"&amp;AK777)+SUMIFS($AH$7:$AH$1843,$BY$7:$BY$1843,BY777,$AK$7:$AK$1843,AK777,$BQ$7:$BQ$1843,"&lt;="&amp;BQ777),"")</f>
        <v>10.5584946454512</v>
      </c>
      <c r="AM777" s="65" t="n">
        <f aca="false">IF(AL777="",0,MAX(0,MIN(1,(IF(BY777="L1",Parameter!$E$5,Parameter!$E$6+Parameter!$E$7)-(AL777-AH777))/AH777)))</f>
        <v>1</v>
      </c>
      <c r="AN777" s="57" t="n">
        <f aca="false">IF(LEFT(Cockpit!$I$5,1)="A",H777,IF(CA777=1,CB777,IF(LEFT(Cockpit!$I$5,1)="B",AR777,MAX(AR777,H777))))</f>
        <v>535</v>
      </c>
      <c r="AO777" s="57" t="n">
        <f aca="false">IF(BT777=1,0,ROUNDUP(AN777/BS777,0))</f>
        <v>1</v>
      </c>
      <c r="AP777" s="59" t="n">
        <f aca="false">IF(CH777&gt;0,CH777*MAX(1,AN777/X777),IF(BT777=1,IF(AN777&lt;=0,0,BW777*MAX(1,IF(H777&gt;0,AN777/H777,1))),IF(R777&gt;0,AO777/R777,0))/MAX(0.1,N(Parameter!$M$21)))</f>
        <v>0.00505050505050505</v>
      </c>
      <c r="AQ777" s="57" t="n">
        <f aca="false">AN777*G777</f>
        <v>16.05</v>
      </c>
      <c r="AR777" s="57" t="n">
        <f aca="false">ROUNDUP(MAX(J777/IF(BZ777&gt;0,BZ777,MAX(0.1,N(Cockpit!$I$6))),CC777)/BS777,0)*BS777</f>
        <v>535</v>
      </c>
      <c r="AS777" s="58" t="n">
        <f aca="false">IF(AP777&gt;0,J777/AP777,-1)</f>
        <v>3168</v>
      </c>
      <c r="AT777" s="58" t="n">
        <f aca="false">IF(AND(OR(BY777="L1",BY777="L23"),AP777&gt;0),SUMIFS($AP$7:$AP$1843,$BY$7:$BY$1843,BY777,$AS$7:$AS$1843,"&gt;"&amp;AS777)+SUMIFS($AP$7:$AP$1843,$BY$7:$BY$1843,BY777,$AS$7:$AS$1843,AS777,$BQ$7:$BQ$1843,"&lt;="&amp;BQ777),"")</f>
        <v>15.4178997331171</v>
      </c>
      <c r="AU777" s="65" t="n">
        <f aca="false">IF(AT777="",0,MAX(0,MIN(1,(IF(BY777="L1",Parameter!$E$5,Parameter!$E$6+Parameter!$E$7)-(AT777-AP777))/AP777)))</f>
        <v>1</v>
      </c>
      <c r="AV777" s="57" t="n">
        <f aca="false">IF(LEFT(Cockpit!$O$5,1)="A",H777,IF(CA777=1,CB777,IF(LEFT(Cockpit!$O$5,1)="B",AZ777,MAX(AZ777,H777))))</f>
        <v>535</v>
      </c>
      <c r="AW777" s="57" t="n">
        <f aca="false">IF(BT777=1,0,ROUNDUP(AV777/BS777,0))</f>
        <v>1</v>
      </c>
      <c r="AX777" s="59" t="n">
        <f aca="false">IF(CH777&gt;0,CH777*MAX(1,AV777/X777),IF(BT777=1,IF(AV777&lt;=0,0,BW777*MAX(1,IF(H777&gt;0,AV777/H777,1))),IF(R777&gt;0,AW777/R777,0))/MAX(0.1,N(Parameter!$M$21)))</f>
        <v>0.00505050505050505</v>
      </c>
      <c r="AY777" s="57" t="n">
        <f aca="false">AV777*G777</f>
        <v>16.05</v>
      </c>
      <c r="AZ777" s="57" t="n">
        <f aca="false">ROUNDUP(MAX(J777/IF(BZ777&gt;0,BZ777,MAX(0.1,N(Cockpit!$O$6))),CC777)/BS777,0)*BS777</f>
        <v>535</v>
      </c>
      <c r="BA777" s="58" t="n">
        <f aca="false">IF(AX777&gt;0,J777/AX777,-1)</f>
        <v>3168</v>
      </c>
      <c r="BB777" s="58" t="n">
        <f aca="false">IF(AND(OR(BY777="L1",BY777="L23"),AX777&gt;0),SUMIFS($AX$7:$AX$1843,$BY$7:$BY$1843,BY777,$BA$7:$BA$1843,"&gt;"&amp;BA777)+SUMIFS($AX$7:$AX$1843,$BY$7:$BY$1843,BY777,$BA$7:$BA$1843,BA777,$BQ$7:$BQ$1843,"&lt;="&amp;BQ777),"")</f>
        <v>13.9849160501334</v>
      </c>
      <c r="BC777" s="65" t="n">
        <f aca="false">IF(BB777="",0,MAX(0,MIN(1,(IF(BY777="L1",Parameter!$E$5,Parameter!$E$6+Parameter!$E$7)-(BB777-AX777))/AX777)))</f>
        <v>1</v>
      </c>
      <c r="BD777" s="55" t="str">
        <f aca="false">IF(AH777&lt;=0,"",IF(BY777="Aussen","Aussenlager",IF(BY777="-","Nicht im Lift",IF(AM777&gt;=1,"Lift",IF(AM777&lt;=0,"Aussenlager","teilweise")))))</f>
        <v>Lift</v>
      </c>
      <c r="BE777" s="55" t="str">
        <f aca="false">IF(AP777&lt;=0,"",IF(BY777="Aussen","Aussenlager",IF(BY777="-","Nicht im Lift",IF(AU777&gt;=1,"Lift",IF(AU777&lt;=0,"Aussenlager","teilweise")))))</f>
        <v>Lift</v>
      </c>
      <c r="BF777" s="55" t="str">
        <f aca="false">IF(AX777&lt;=0,"",IF(BY777="Aussen","Aussenlager",IF(BY777="-","Nicht im Lift",IF(BC777&gt;=1,"Lift",IF(BC777&lt;=0,"Aussenlager","teilweise")))))</f>
        <v>Lift</v>
      </c>
      <c r="BG777" s="55" t="str">
        <f aca="false">IF(A777="","",IF(BP777=1,"Neu; ","")&amp;IF(AND(BP777=0,BK777&lt;0),"negativer Bestand (Export "&amp;BK777&amp;"); ","")&amp;IF(J777&lt;=0,"Kein Verbrauch; ","")&amp;IF(CH777&gt;0,"Lift "&amp;W777&amp;" lt. Liftbericht (Fach "&amp;X777&amp;" Stk); ",IF(BU777=1,"Gebinde geschätzt ("&amp;T777&amp;"); ",IF(BT777=1,"Lose – Tablare geschätzt; ","")))&amp;IF(H777&gt;AR777,"Überbestand "&amp;ROUND(H777-AR777,0)&amp;" Stk / CHF "&amp;ROUND((H777-AR777)*G777,0)&amp;"; ","")&amp;IF(AND(CA777=1,CB777&lt;CC777),"MAX &lt; MB+LG; ","")&amp;IF(AND(CG777&gt;0,CF777*10&gt;CG777),"zu hoch für Tablar; ","")&amp;IF(AND(BP777=0,OR(CA777=1,AA777&lt;&gt;"",U777&lt;&gt;"",V777&lt;&gt;"",AB777&lt;&gt;"")),"manuell übersteuert; ","")&amp;IF(AND(BT777=0,R777=0),"Gebinde unbekannt / Stellmass fehlt; ","")&amp;IF(AND(BT777=0,N(V777)&lt;=0,N(Q777)&lt;=0),"Menge pro Gebinde fehlt (Ist = 1 Gebinde); ","")&amp;BO777)</f>
        <v>negativer Bestand (Export -51); Überbestand</v>
      </c>
      <c r="BH777" s="55"/>
      <c r="BI777" s="55"/>
      <c r="BJ777" s="62"/>
      <c r="BK777" s="57" t="n">
        <v>-51</v>
      </c>
      <c r="BL777" s="57" t="n">
        <v>510</v>
      </c>
      <c r="BM777" s="56" t="n">
        <v>-1.53</v>
      </c>
      <c r="BN777" s="57" t="n">
        <v>16</v>
      </c>
      <c r="BO777" s="55" t="s">
        <v>392</v>
      </c>
      <c r="BP777" s="60" t="n">
        <v>0</v>
      </c>
      <c r="BQ777" s="60" t="n">
        <v>777</v>
      </c>
      <c r="BR777" s="55" t="str">
        <f aca="false">IF(U777&lt;&gt;"",UPPER(TRIM(U777)),IF(BU777=1,UPPER(VLOOKUP(T777,Parameter!$I$27:$K$29,2,0)),IF(P777="","LOSE",P777)))</f>
        <v>S22</v>
      </c>
      <c r="BS777" s="57" t="n">
        <f aca="false">IF(BR777="LOSE",1,IF(N(V777)&gt;0,V777,IF(BU777=1,MAX(1,N(VLOOKUP(T777,Parameter!$I$27:$K$29,3,0)),H777,N(N777)),IF(N(Q777)&gt;0,Q777,MAX(1,H777)))))</f>
        <v>535</v>
      </c>
      <c r="BT777" s="60" t="n">
        <f aca="false">IF(BR777="LOSE",1,0)</f>
        <v>0</v>
      </c>
      <c r="BU777" s="60" t="n">
        <f aca="false">IF(AND(U777="",OR(P777="",P777="LOSE"),T777&lt;&gt;"",N(S777)&lt;=0,ISNUMBER(MATCH(T777,Parameter!$I$27:$I$29,0))),1,0)</f>
        <v>0</v>
      </c>
      <c r="BV777" s="55" t="str">
        <f aca="false">IF(AND(Parameter!$B$19="Ja",E777&lt;&gt;"",ISNUMBER(MATCH(E777,Parameter!$I$35:$I$52,0))),VLOOKUP(E777,Parameter!$I$35:$J$52,2,0),IFERROR(VLOOKUP(D777,Parameter!$A$35:$C$64,2,0),"Nein"))</f>
        <v>2+3</v>
      </c>
      <c r="BW777" s="59" t="n">
        <f aca="false">IF(BT777=0,0,IF(N(S777)&gt;0,S777,IFERROR(VLOOKUP(D777,Parameter!$A$35:$C$64,3,0)+0,0)))</f>
        <v>0</v>
      </c>
      <c r="BX777" s="55" t="n">
        <f aca="false">IF(AA777&lt;&gt;"",AA777,Z777)</f>
        <v>3</v>
      </c>
      <c r="BY777" s="55" t="str">
        <f aca="false">IF(BX777=1,"L1",IF(OR(BX777=2,BX777=3),"L23",IF(BX777="Aussen","Aussen","-")))</f>
        <v>L23</v>
      </c>
      <c r="BZ777" s="66" t="n">
        <f aca="false">IF(N(AB777)&gt;0,AB777,0)</f>
        <v>0</v>
      </c>
      <c r="CA777" s="60" t="n">
        <f aca="false">IF(ISNUMBER(AE777),1,0)</f>
        <v>0</v>
      </c>
      <c r="CB777" s="57" t="n">
        <f aca="false">N(AE777)</f>
        <v>0</v>
      </c>
      <c r="CC777" s="57" t="n">
        <f aca="false">N(M777)+N(N777)</f>
        <v>15</v>
      </c>
      <c r="CD777" s="57" t="n">
        <f aca="false">ROUNDUP(H777/BS777,0)</f>
        <v>1</v>
      </c>
      <c r="CE777" s="57" t="n">
        <f aca="false">ROUNDUP(CB777/BS777,0)</f>
        <v>0</v>
      </c>
      <c r="CF777" s="60" t="n">
        <f aca="false">IF(BT777=1,0,IFERROR(VLOOKUP(BR777,'Gebinde-Kategorie'!$A$5:$M$45,5,0)+0,0))</f>
        <v>8</v>
      </c>
      <c r="CG777" s="60" t="n">
        <f aca="false">IFERROR(IF(OR(BX777=1,BX777=2,BX777=3),N(INDEX(Parameter!$I$5:$I$7,BX777)),0),0)</f>
        <v>0</v>
      </c>
      <c r="CH777" s="59" t="n">
        <f aca="false">IF(AND(Parameter!$B$21="Ja",ISNUMBER(W777),N(X777)&gt;0),IFERROR(N(INDEX(Parameter!$L$5:$L$7,W777))*INDEX(Parameter!$E$5:$E$7,W777)*X777/SUMIFS($X$7:$X$1843,$W$7:$W$1843,W777),0),0)</f>
        <v>0</v>
      </c>
    </row>
    <row r="778" customFormat="false" ht="15" hidden="false" customHeight="false" outlineLevel="0" collapsed="false">
      <c r="A778" s="55" t="s">
        <v>1522</v>
      </c>
      <c r="B778" s="55" t="s">
        <v>405</v>
      </c>
      <c r="C778" s="55" t="s">
        <v>164</v>
      </c>
      <c r="D778" s="55" t="s">
        <v>184</v>
      </c>
      <c r="E778" s="55" t="s">
        <v>185</v>
      </c>
      <c r="F778" s="55" t="s">
        <v>218</v>
      </c>
      <c r="G778" s="56" t="n">
        <v>0.03</v>
      </c>
      <c r="H778" s="57" t="n">
        <f aca="false">MAX(0,IF(AND(Parameter!$B$21="Ja",ISNUMBER(Y778)),Y778,IF(Parameter!$B$20="Jahresanfang 2025 + Export",BL778+BK778,BK778)))</f>
        <v>697</v>
      </c>
      <c r="I778" s="57" t="n">
        <f aca="false">H778*G778</f>
        <v>20.91</v>
      </c>
      <c r="J778" s="57" t="n">
        <f aca="false">BN778*Parameter!$B$18</f>
        <v>30</v>
      </c>
      <c r="K778" s="58" t="n">
        <v>736.5</v>
      </c>
      <c r="L778" s="59" t="n">
        <v>0.0407331975560082</v>
      </c>
      <c r="M778" s="57" t="n">
        <v>1</v>
      </c>
      <c r="N778" s="57" t="n">
        <v>30</v>
      </c>
      <c r="O778" s="60" t="n">
        <v>21</v>
      </c>
      <c r="P778" s="55" t="s">
        <v>302</v>
      </c>
      <c r="Q778" s="57" t="n">
        <v>426</v>
      </c>
      <c r="R778" s="60" t="n">
        <f aca="false">IF(BT778=1,0,IFERROR(VLOOKUP(BR778,'Gebinde-Kategorie'!$A$5:$M$45,13,0)+0,0))</f>
        <v>26</v>
      </c>
      <c r="S778" s="61"/>
      <c r="T778" s="62"/>
      <c r="U778" s="62"/>
      <c r="V778" s="62"/>
      <c r="W778" s="55"/>
      <c r="X778" s="57"/>
      <c r="Y778" s="57"/>
      <c r="Z778" s="55" t="n">
        <f aca="false">IF(A778="","",IF(AND(Parameter!$B$21="Ja",ISNUMBER(W778)),W778,IF(BV778="2+3",IF(ISNUMBER(SEARCH("grosser Artikel",BO778)),2,IFERROR(VLOOKUP(BR778,Parameter!$F$35:$G$64,2,0),2)),IF(OR(BV778="Nein",BV778=""),"-",BV778))))</f>
        <v>3</v>
      </c>
      <c r="AA778" s="62"/>
      <c r="AB778" s="63"/>
      <c r="AC778" s="57" t="n">
        <f aca="false">AR778</f>
        <v>426</v>
      </c>
      <c r="AD778" s="57" t="n">
        <f aca="false">MAX(AR778,H778)</f>
        <v>697</v>
      </c>
      <c r="AE778" s="64"/>
      <c r="AF778" s="57" t="n">
        <f aca="false">IF(LEFT(Cockpit!$C$5,1)="A",H778,IF(CA778=1,CB778,IF(LEFT(Cockpit!$C$5,1)="B",AJ778,MAX(AJ778,H778))))</f>
        <v>697</v>
      </c>
      <c r="AG778" s="57" t="n">
        <f aca="false">IF(BT778=1,0,ROUNDUP(AF778/BS778,0))</f>
        <v>2</v>
      </c>
      <c r="AH778" s="59" t="n">
        <f aca="false">IF(CH778&gt;0,CH778*MAX(1,AF778/X778),IF(BT778=1,IF(AF778&lt;=0,0,BW778*MAX(1,IF(H778&gt;0,AF778/H778,1))),IF(R778&gt;0,AG778/R778,0))/MAX(0.1,N(Parameter!$M$21)))</f>
        <v>0.0769230769230769</v>
      </c>
      <c r="AI778" s="57" t="n">
        <f aca="false">AF778*G778</f>
        <v>20.91</v>
      </c>
      <c r="AJ778" s="57" t="n">
        <f aca="false">ROUNDUP(MAX(J778/IF(BZ778&gt;0,BZ778,MAX(0.1,N(Cockpit!$C$6))),CC778)/BS778,0)*BS778</f>
        <v>426</v>
      </c>
      <c r="AK778" s="58" t="n">
        <f aca="false">IF(AH778&gt;0,J778/AH778,-1)</f>
        <v>390</v>
      </c>
      <c r="AL778" s="58" t="n">
        <f aca="false">IF(AND(OR(BY778="L1",BY778="L23"),AH778&gt;0),SUMIFS($AH$7:$AH$1843,$BY$7:$BY$1843,BY778,$AK$7:$AK$1843,"&gt;"&amp;AK778)+SUMIFS($AH$7:$AH$1843,$BY$7:$BY$1843,BY778,$AK$7:$AK$1843,AK778,$BQ$7:$BQ$1843,"&lt;="&amp;BQ778),"")</f>
        <v>26.6044052565792</v>
      </c>
      <c r="AM778" s="65" t="n">
        <f aca="false">IF(AL778="",0,MAX(0,MIN(1,(IF(BY778="L1",Parameter!$E$5,Parameter!$E$6+Parameter!$E$7)-(AL778-AH778))/AH778)))</f>
        <v>1</v>
      </c>
      <c r="AN778" s="57" t="n">
        <f aca="false">IF(LEFT(Cockpit!$I$5,1)="A",H778,IF(CA778=1,CB778,IF(LEFT(Cockpit!$I$5,1)="B",AR778,MAX(AR778,H778))))</f>
        <v>697</v>
      </c>
      <c r="AO778" s="57" t="n">
        <f aca="false">IF(BT778=1,0,ROUNDUP(AN778/BS778,0))</f>
        <v>2</v>
      </c>
      <c r="AP778" s="59" t="n">
        <f aca="false">IF(CH778&gt;0,CH778*MAX(1,AN778/X778),IF(BT778=1,IF(AN778&lt;=0,0,BW778*MAX(1,IF(H778&gt;0,AN778/H778,1))),IF(R778&gt;0,AO778/R778,0))/MAX(0.1,N(Parameter!$M$21)))</f>
        <v>0.0769230769230769</v>
      </c>
      <c r="AQ778" s="57" t="n">
        <f aca="false">AN778*G778</f>
        <v>20.91</v>
      </c>
      <c r="AR778" s="57" t="n">
        <f aca="false">ROUNDUP(MAX(J778/IF(BZ778&gt;0,BZ778,MAX(0.1,N(Cockpit!$I$6))),CC778)/BS778,0)*BS778</f>
        <v>426</v>
      </c>
      <c r="AS778" s="58" t="n">
        <f aca="false">IF(AP778&gt;0,J778/AP778,-1)</f>
        <v>390</v>
      </c>
      <c r="AT778" s="58" t="n">
        <f aca="false">IF(AND(OR(BY778="L1",BY778="L23"),AP778&gt;0),SUMIFS($AP$7:$AP$1843,$BY$7:$BY$1843,BY778,$AS$7:$AS$1843,"&gt;"&amp;AS778)+SUMIFS($AP$7:$AP$1843,$BY$7:$BY$1843,BY778,$AS$7:$AS$1843,AS778,$BQ$7:$BQ$1843,"&lt;="&amp;BQ778),"")</f>
        <v>36.0862217492652</v>
      </c>
      <c r="AU778" s="65" t="n">
        <f aca="false">IF(AT778="",0,MAX(0,MIN(1,(IF(BY778="L1",Parameter!$E$5,Parameter!$E$6+Parameter!$E$7)-(AT778-AP778))/AP778)))</f>
        <v>1</v>
      </c>
      <c r="AV778" s="57" t="n">
        <f aca="false">IF(LEFT(Cockpit!$O$5,1)="A",H778,IF(CA778=1,CB778,IF(LEFT(Cockpit!$O$5,1)="B",AZ778,MAX(AZ778,H778))))</f>
        <v>697</v>
      </c>
      <c r="AW778" s="57" t="n">
        <f aca="false">IF(BT778=1,0,ROUNDUP(AV778/BS778,0))</f>
        <v>2</v>
      </c>
      <c r="AX778" s="59" t="n">
        <f aca="false">IF(CH778&gt;0,CH778*MAX(1,AV778/X778),IF(BT778=1,IF(AV778&lt;=0,0,BW778*MAX(1,IF(H778&gt;0,AV778/H778,1))),IF(R778&gt;0,AW778/R778,0))/MAX(0.1,N(Parameter!$M$21)))</f>
        <v>0.0769230769230769</v>
      </c>
      <c r="AY778" s="57" t="n">
        <f aca="false">AV778*G778</f>
        <v>20.91</v>
      </c>
      <c r="AZ778" s="57" t="n">
        <f aca="false">ROUNDUP(MAX(J778/IF(BZ778&gt;0,BZ778,MAX(0.1,N(Cockpit!$O$6))),CC778)/BS778,0)*BS778</f>
        <v>426</v>
      </c>
      <c r="BA778" s="58" t="n">
        <f aca="false">IF(AX778&gt;0,J778/AX778,-1)</f>
        <v>390</v>
      </c>
      <c r="BB778" s="58" t="n">
        <f aca="false">IF(AND(OR(BY778="L1",BY778="L23"),AX778&gt;0),SUMIFS($AX$7:$AX$1843,$BY$7:$BY$1843,BY778,$BA$7:$BA$1843,"&gt;"&amp;BA778)+SUMIFS($AX$7:$AX$1843,$BY$7:$BY$1843,BY778,$BA$7:$BA$1843,BA778,$BQ$7:$BQ$1843,"&lt;="&amp;BQ778),"")</f>
        <v>35.3327252457687</v>
      </c>
      <c r="BC778" s="65" t="n">
        <f aca="false">IF(BB778="",0,MAX(0,MIN(1,(IF(BY778="L1",Parameter!$E$5,Parameter!$E$6+Parameter!$E$7)-(BB778-AX778))/AX778)))</f>
        <v>1</v>
      </c>
      <c r="BD778" s="55" t="str">
        <f aca="false">IF(AH778&lt;=0,"",IF(BY778="Aussen","Aussenlager",IF(BY778="-","Nicht im Lift",IF(AM778&gt;=1,"Lift",IF(AM778&lt;=0,"Aussenlager","teilweise")))))</f>
        <v>Lift</v>
      </c>
      <c r="BE778" s="55" t="str">
        <f aca="false">IF(AP778&lt;=0,"",IF(BY778="Aussen","Aussenlager",IF(BY778="-","Nicht im Lift",IF(AU778&gt;=1,"Lift",IF(AU778&lt;=0,"Aussenlager","teilweise")))))</f>
        <v>Lift</v>
      </c>
      <c r="BF778" s="55" t="str">
        <f aca="false">IF(AX778&lt;=0,"",IF(BY778="Aussen","Aussenlager",IF(BY778="-","Nicht im Lift",IF(BC778&gt;=1,"Lift",IF(BC778&lt;=0,"Aussenlager","teilweise")))))</f>
        <v>Lift</v>
      </c>
      <c r="BG778" s="55" t="str">
        <f aca="false">IF(A778="","",IF(BP778=1,"Neu; ","")&amp;IF(AND(BP778=0,BK778&lt;0),"negativer Bestand (Export "&amp;BK778&amp;"); ","")&amp;IF(J778&lt;=0,"Kein Verbrauch; ","")&amp;IF(CH778&gt;0,"Lift "&amp;W778&amp;" lt. Liftbericht (Fach "&amp;X778&amp;" Stk); ",IF(BU778=1,"Gebinde geschätzt ("&amp;T778&amp;"); ",IF(BT778=1,"Lose – Tablare geschätzt; ","")))&amp;IF(H778&gt;AR778,"Überbestand "&amp;ROUND(H778-AR778,0)&amp;" Stk / CHF "&amp;ROUND((H778-AR778)*G778,0)&amp;"; ","")&amp;IF(AND(CA778=1,CB778&lt;CC778),"MAX &lt; MB+LG; ","")&amp;IF(AND(CG778&gt;0,CF778*10&gt;CG778),"zu hoch für Tablar; ","")&amp;IF(AND(BP778=0,OR(CA778=1,AA778&lt;&gt;"",U778&lt;&gt;"",V778&lt;&gt;"",AB778&lt;&gt;"")),"manuell übersteuert; ","")&amp;IF(AND(BT778=0,R778=0),"Gebinde unbekannt / Stellmass fehlt; ","")&amp;IF(AND(BT778=0,N(V778)&lt;=0,N(Q778)&lt;=0),"Menge pro Gebinde fehlt (Ist = 1 Gebinde); ","")&amp;BO778)</f>
        <v>negativer Bestand (Export -53); Überbestand 271 Stk / CHF 8; Überbestand</v>
      </c>
      <c r="BH778" s="55"/>
      <c r="BI778" s="55"/>
      <c r="BJ778" s="62"/>
      <c r="BK778" s="57" t="n">
        <v>-53</v>
      </c>
      <c r="BL778" s="57" t="n">
        <v>750</v>
      </c>
      <c r="BM778" s="56" t="n">
        <v>-1.59</v>
      </c>
      <c r="BN778" s="57" t="n">
        <v>30</v>
      </c>
      <c r="BO778" s="55" t="s">
        <v>392</v>
      </c>
      <c r="BP778" s="60" t="n">
        <v>0</v>
      </c>
      <c r="BQ778" s="60" t="n">
        <v>778</v>
      </c>
      <c r="BR778" s="55" t="str">
        <f aca="false">IF(U778&lt;&gt;"",UPPER(TRIM(U778)),IF(BU778=1,UPPER(VLOOKUP(T778,Parameter!$I$27:$K$29,2,0)),IF(P778="","LOSE",P778)))</f>
        <v>S51</v>
      </c>
      <c r="BS778" s="57" t="n">
        <f aca="false">IF(BR778="LOSE",1,IF(N(V778)&gt;0,V778,IF(BU778=1,MAX(1,N(VLOOKUP(T778,Parameter!$I$27:$K$29,3,0)),H778,N(N778)),IF(N(Q778)&gt;0,Q778,MAX(1,H778)))))</f>
        <v>426</v>
      </c>
      <c r="BT778" s="60" t="n">
        <f aca="false">IF(BR778="LOSE",1,0)</f>
        <v>0</v>
      </c>
      <c r="BU778" s="60" t="n">
        <f aca="false">IF(AND(U778="",OR(P778="",P778="LOSE"),T778&lt;&gt;"",N(S778)&lt;=0,ISNUMBER(MATCH(T778,Parameter!$I$27:$I$29,0))),1,0)</f>
        <v>0</v>
      </c>
      <c r="BV778" s="55" t="str">
        <f aca="false">IF(AND(Parameter!$B$19="Ja",E778&lt;&gt;"",ISNUMBER(MATCH(E778,Parameter!$I$35:$I$52,0))),VLOOKUP(E778,Parameter!$I$35:$J$52,2,0),IFERROR(VLOOKUP(D778,Parameter!$A$35:$C$64,2,0),"Nein"))</f>
        <v>2+3</v>
      </c>
      <c r="BW778" s="59" t="n">
        <f aca="false">IF(BT778=0,0,IF(N(S778)&gt;0,S778,IFERROR(VLOOKUP(D778,Parameter!$A$35:$C$64,3,0)+0,0)))</f>
        <v>0</v>
      </c>
      <c r="BX778" s="55" t="n">
        <f aca="false">IF(AA778&lt;&gt;"",AA778,Z778)</f>
        <v>3</v>
      </c>
      <c r="BY778" s="55" t="str">
        <f aca="false">IF(BX778=1,"L1",IF(OR(BX778=2,BX778=3),"L23",IF(BX778="Aussen","Aussen","-")))</f>
        <v>L23</v>
      </c>
      <c r="BZ778" s="66" t="n">
        <f aca="false">IF(N(AB778)&gt;0,AB778,0)</f>
        <v>0</v>
      </c>
      <c r="CA778" s="60" t="n">
        <f aca="false">IF(ISNUMBER(AE778),1,0)</f>
        <v>0</v>
      </c>
      <c r="CB778" s="57" t="n">
        <f aca="false">N(AE778)</f>
        <v>0</v>
      </c>
      <c r="CC778" s="57" t="n">
        <f aca="false">N(M778)+N(N778)</f>
        <v>31</v>
      </c>
      <c r="CD778" s="57" t="n">
        <f aca="false">ROUNDUP(H778/BS778,0)</f>
        <v>2</v>
      </c>
      <c r="CE778" s="57" t="n">
        <f aca="false">ROUNDUP(CB778/BS778,0)</f>
        <v>0</v>
      </c>
      <c r="CF778" s="60" t="n">
        <f aca="false">IF(BT778=1,0,IFERROR(VLOOKUP(BR778,'Gebinde-Kategorie'!$A$5:$M$45,5,0)+0,0))</f>
        <v>11</v>
      </c>
      <c r="CG778" s="60" t="n">
        <f aca="false">IFERROR(IF(OR(BX778=1,BX778=2,BX778=3),N(INDEX(Parameter!$I$5:$I$7,BX778)),0),0)</f>
        <v>0</v>
      </c>
      <c r="CH778" s="59" t="n">
        <f aca="false">IF(AND(Parameter!$B$21="Ja",ISNUMBER(W778),N(X778)&gt;0),IFERROR(N(INDEX(Parameter!$L$5:$L$7,W778))*INDEX(Parameter!$E$5:$E$7,W778)*X778/SUMIFS($X$7:$X$1843,$W$7:$W$1843,W778),0),0)</f>
        <v>0</v>
      </c>
    </row>
    <row r="779" customFormat="false" ht="15" hidden="false" customHeight="false" outlineLevel="0" collapsed="false">
      <c r="A779" s="55" t="s">
        <v>1523</v>
      </c>
      <c r="B779" s="55" t="s">
        <v>892</v>
      </c>
      <c r="C779" s="55" t="s">
        <v>164</v>
      </c>
      <c r="D779" s="55" t="s">
        <v>184</v>
      </c>
      <c r="E779" s="55" t="s">
        <v>185</v>
      </c>
      <c r="F779" s="55" t="s">
        <v>218</v>
      </c>
      <c r="G779" s="56" t="n">
        <v>8.81</v>
      </c>
      <c r="H779" s="57" t="n">
        <f aca="false">MAX(0,IF(AND(Parameter!$B$21="Ja",ISNUMBER(Y779)),Y779,IF(Parameter!$B$20="Jahresanfang 2025 + Export",BL779+BK779,BK779)))</f>
        <v>13</v>
      </c>
      <c r="I779" s="57" t="n">
        <f aca="false">H779*G779</f>
        <v>114.53</v>
      </c>
      <c r="J779" s="57" t="n">
        <f aca="false">BN779*Parameter!$B$18</f>
        <v>8</v>
      </c>
      <c r="K779" s="58" t="n">
        <v>7</v>
      </c>
      <c r="L779" s="59" t="n">
        <v>1.14285714285714</v>
      </c>
      <c r="M779" s="57" t="n">
        <v>0</v>
      </c>
      <c r="N779" s="57" t="n">
        <v>10</v>
      </c>
      <c r="O779" s="60" t="n">
        <v>19</v>
      </c>
      <c r="P779" s="55" t="s">
        <v>421</v>
      </c>
      <c r="Q779" s="57" t="n">
        <v>23</v>
      </c>
      <c r="R779" s="60" t="n">
        <f aca="false">IF(BT779=1,0,IFERROR(VLOOKUP(BR779,'Gebinde-Kategorie'!$A$5:$M$45,13,0)+0,0))</f>
        <v>132</v>
      </c>
      <c r="S779" s="61"/>
      <c r="T779" s="62"/>
      <c r="U779" s="62"/>
      <c r="V779" s="62"/>
      <c r="W779" s="55"/>
      <c r="X779" s="57"/>
      <c r="Y779" s="57"/>
      <c r="Z779" s="55" t="n">
        <f aca="false">IF(A779="","",IF(AND(Parameter!$B$21="Ja",ISNUMBER(W779)),W779,IF(BV779="2+3",IF(ISNUMBER(SEARCH("grosser Artikel",BO779)),2,IFERROR(VLOOKUP(BR779,Parameter!$F$35:$G$64,2,0),2)),IF(OR(BV779="Nein",BV779=""),"-",BV779))))</f>
        <v>3</v>
      </c>
      <c r="AA779" s="62"/>
      <c r="AB779" s="63"/>
      <c r="AC779" s="57" t="n">
        <f aca="false">AR779</f>
        <v>23</v>
      </c>
      <c r="AD779" s="57" t="n">
        <f aca="false">MAX(AR779,H779)</f>
        <v>23</v>
      </c>
      <c r="AE779" s="64"/>
      <c r="AF779" s="57" t="n">
        <f aca="false">IF(LEFT(Cockpit!$C$5,1)="A",H779,IF(CA779=1,CB779,IF(LEFT(Cockpit!$C$5,1)="B",AJ779,MAX(AJ779,H779))))</f>
        <v>13</v>
      </c>
      <c r="AG779" s="57" t="n">
        <f aca="false">IF(BT779=1,0,ROUNDUP(AF779/BS779,0))</f>
        <v>1</v>
      </c>
      <c r="AH779" s="59" t="n">
        <f aca="false">IF(CH779&gt;0,CH779*MAX(1,AF779/X779),IF(BT779=1,IF(AF779&lt;=0,0,BW779*MAX(1,IF(H779&gt;0,AF779/H779,1))),IF(R779&gt;0,AG779/R779,0))/MAX(0.1,N(Parameter!$M$21)))</f>
        <v>0.00757575757575758</v>
      </c>
      <c r="AI779" s="57" t="n">
        <f aca="false">AF779*G779</f>
        <v>114.53</v>
      </c>
      <c r="AJ779" s="57" t="n">
        <f aca="false">ROUNDUP(MAX(J779/IF(BZ779&gt;0,BZ779,MAX(0.1,N(Cockpit!$C$6))),CC779)/BS779,0)*BS779</f>
        <v>23</v>
      </c>
      <c r="AK779" s="58" t="n">
        <f aca="false">IF(AH779&gt;0,J779/AH779,-1)</f>
        <v>1056</v>
      </c>
      <c r="AL779" s="58" t="n">
        <f aca="false">IF(AND(OR(BY779="L1",BY779="L23"),AH779&gt;0),SUMIFS($AH$7:$AH$1843,$BY$7:$BY$1843,BY779,$AK$7:$AK$1843,"&gt;"&amp;AK779)+SUMIFS($AH$7:$AH$1843,$BY$7:$BY$1843,BY779,$AK$7:$AK$1843,AK779,$BQ$7:$BQ$1843,"&lt;="&amp;BQ779),"")</f>
        <v>17.2323401236445</v>
      </c>
      <c r="AM779" s="65" t="n">
        <f aca="false">IF(AL779="",0,MAX(0,MIN(1,(IF(BY779="L1",Parameter!$E$5,Parameter!$E$6+Parameter!$E$7)-(AL779-AH779))/AH779)))</f>
        <v>1</v>
      </c>
      <c r="AN779" s="57" t="n">
        <f aca="false">IF(LEFT(Cockpit!$I$5,1)="A",H779,IF(CA779=1,CB779,IF(LEFT(Cockpit!$I$5,1)="B",AR779,MAX(AR779,H779))))</f>
        <v>23</v>
      </c>
      <c r="AO779" s="57" t="n">
        <f aca="false">IF(BT779=1,0,ROUNDUP(AN779/BS779,0))</f>
        <v>1</v>
      </c>
      <c r="AP779" s="59" t="n">
        <f aca="false">IF(CH779&gt;0,CH779*MAX(1,AN779/X779),IF(BT779=1,IF(AN779&lt;=0,0,BW779*MAX(1,IF(H779&gt;0,AN779/H779,1))),IF(R779&gt;0,AO779/R779,0))/MAX(0.1,N(Parameter!$M$21)))</f>
        <v>0.00757575757575758</v>
      </c>
      <c r="AQ779" s="57" t="n">
        <f aca="false">AN779*G779</f>
        <v>202.63</v>
      </c>
      <c r="AR779" s="57" t="n">
        <f aca="false">ROUNDUP(MAX(J779/IF(BZ779&gt;0,BZ779,MAX(0.1,N(Cockpit!$I$6))),CC779)/BS779,0)*BS779</f>
        <v>23</v>
      </c>
      <c r="AS779" s="58" t="n">
        <f aca="false">IF(AP779&gt;0,J779/AP779,-1)</f>
        <v>1056</v>
      </c>
      <c r="AT779" s="58" t="n">
        <f aca="false">IF(AND(OR(BY779="L1",BY779="L23"),AP779&gt;0),SUMIFS($AP$7:$AP$1843,$BY$7:$BY$1843,BY779,$AS$7:$AS$1843,"&gt;"&amp;AS779)+SUMIFS($AP$7:$AP$1843,$BY$7:$BY$1843,BY779,$AS$7:$AS$1843,AS779,$BQ$7:$BQ$1843,"&lt;="&amp;BQ779),"")</f>
        <v>23.4336762271545</v>
      </c>
      <c r="AU779" s="65" t="n">
        <f aca="false">IF(AT779="",0,MAX(0,MIN(1,(IF(BY779="L1",Parameter!$E$5,Parameter!$E$6+Parameter!$E$7)-(AT779-AP779))/AP779)))</f>
        <v>1</v>
      </c>
      <c r="AV779" s="57" t="n">
        <f aca="false">IF(LEFT(Cockpit!$O$5,1)="A",H779,IF(CA779=1,CB779,IF(LEFT(Cockpit!$O$5,1)="B",AZ779,MAX(AZ779,H779))))</f>
        <v>23</v>
      </c>
      <c r="AW779" s="57" t="n">
        <f aca="false">IF(BT779=1,0,ROUNDUP(AV779/BS779,0))</f>
        <v>1</v>
      </c>
      <c r="AX779" s="59" t="n">
        <f aca="false">IF(CH779&gt;0,CH779*MAX(1,AV779/X779),IF(BT779=1,IF(AV779&lt;=0,0,BW779*MAX(1,IF(H779&gt;0,AV779/H779,1))),IF(R779&gt;0,AW779/R779,0))/MAX(0.1,N(Parameter!$M$21)))</f>
        <v>0.00757575757575758</v>
      </c>
      <c r="AY779" s="57" t="n">
        <f aca="false">AV779*G779</f>
        <v>202.63</v>
      </c>
      <c r="AZ779" s="57" t="n">
        <f aca="false">ROUNDUP(MAX(J779/IF(BZ779&gt;0,BZ779,MAX(0.1,N(Cockpit!$O$6))),CC779)/BS779,0)*BS779</f>
        <v>23</v>
      </c>
      <c r="BA779" s="58" t="n">
        <f aca="false">IF(AX779&gt;0,J779/AX779,-1)</f>
        <v>1056</v>
      </c>
      <c r="BB779" s="58" t="n">
        <f aca="false">IF(AND(OR(BY779="L1",BY779="L23"),AX779&gt;0),SUMIFS($AX$7:$AX$1843,$BY$7:$BY$1843,BY779,$BA$7:$BA$1843,"&gt;"&amp;BA779)+SUMIFS($AX$7:$AX$1843,$BY$7:$BY$1843,BY779,$BA$7:$BA$1843,BA779,$BQ$7:$BQ$1843,"&lt;="&amp;BQ779),"")</f>
        <v>22.6288976723759</v>
      </c>
      <c r="BC779" s="65" t="n">
        <f aca="false">IF(BB779="",0,MAX(0,MIN(1,(IF(BY779="L1",Parameter!$E$5,Parameter!$E$6+Parameter!$E$7)-(BB779-AX779))/AX779)))</f>
        <v>1</v>
      </c>
      <c r="BD779" s="55" t="str">
        <f aca="false">IF(AH779&lt;=0,"",IF(BY779="Aussen","Aussenlager",IF(BY779="-","Nicht im Lift",IF(AM779&gt;=1,"Lift",IF(AM779&lt;=0,"Aussenlager","teilweise")))))</f>
        <v>Lift</v>
      </c>
      <c r="BE779" s="55" t="str">
        <f aca="false">IF(AP779&lt;=0,"",IF(BY779="Aussen","Aussenlager",IF(BY779="-","Nicht im Lift",IF(AU779&gt;=1,"Lift",IF(AU779&lt;=0,"Aussenlager","teilweise")))))</f>
        <v>Lift</v>
      </c>
      <c r="BF779" s="55" t="str">
        <f aca="false">IF(AX779&lt;=0,"",IF(BY779="Aussen","Aussenlager",IF(BY779="-","Nicht im Lift",IF(BC779&gt;=1,"Lift",IF(BC779&lt;=0,"Aussenlager","teilweise")))))</f>
        <v>Lift</v>
      </c>
      <c r="BG779" s="55" t="str">
        <f aca="false">IF(A779="","",IF(BP779=1,"Neu; ","")&amp;IF(AND(BP779=0,BK779&lt;0),"negativer Bestand (Export "&amp;BK779&amp;"); ","")&amp;IF(J779&lt;=0,"Kein Verbrauch; ","")&amp;IF(CH779&gt;0,"Lift "&amp;W779&amp;" lt. Liftbericht (Fach "&amp;X779&amp;" Stk); ",IF(BU779=1,"Gebinde geschätzt ("&amp;T779&amp;"); ",IF(BT779=1,"Lose – Tablare geschätzt; ","")))&amp;IF(H779&gt;AR779,"Überbestand "&amp;ROUND(H779-AR779,0)&amp;" Stk / CHF "&amp;ROUND((H779-AR779)*G779,0)&amp;"; ","")&amp;IF(AND(CA779=1,CB779&lt;CC779),"MAX &lt; MB+LG; ","")&amp;IF(AND(CG779&gt;0,CF779*10&gt;CG779),"zu hoch für Tablar; ","")&amp;IF(AND(BP779=0,OR(CA779=1,AA779&lt;&gt;"",U779&lt;&gt;"",V779&lt;&gt;"",AB779&lt;&gt;"")),"manuell übersteuert; ","")&amp;IF(AND(BT779=0,R779=0),"Gebinde unbekannt / Stellmass fehlt; ","")&amp;IF(AND(BT779=0,N(V779)&lt;=0,N(Q779)&lt;=0),"Menge pro Gebinde fehlt (Ist = 1 Gebinde); ","")&amp;BO779)</f>
        <v/>
      </c>
      <c r="BH779" s="55"/>
      <c r="BI779" s="55"/>
      <c r="BJ779" s="62"/>
      <c r="BK779" s="57" t="n">
        <v>3</v>
      </c>
      <c r="BL779" s="57" t="n">
        <v>10</v>
      </c>
      <c r="BM779" s="56" t="n">
        <v>-1.66999999999997</v>
      </c>
      <c r="BN779" s="57" t="n">
        <v>8</v>
      </c>
      <c r="BO779" s="55"/>
      <c r="BP779" s="60" t="n">
        <v>0</v>
      </c>
      <c r="BQ779" s="60" t="n">
        <v>779</v>
      </c>
      <c r="BR779" s="55" t="str">
        <f aca="false">IF(U779&lt;&gt;"",UPPER(TRIM(U779)),IF(BU779=1,UPPER(VLOOKUP(T779,Parameter!$I$27:$K$29,2,0)),IF(P779="","LOSE",P779)))</f>
        <v>S32</v>
      </c>
      <c r="BS779" s="57" t="n">
        <f aca="false">IF(BR779="LOSE",1,IF(N(V779)&gt;0,V779,IF(BU779=1,MAX(1,N(VLOOKUP(T779,Parameter!$I$27:$K$29,3,0)),H779,N(N779)),IF(N(Q779)&gt;0,Q779,MAX(1,H779)))))</f>
        <v>23</v>
      </c>
      <c r="BT779" s="60" t="n">
        <f aca="false">IF(BR779="LOSE",1,0)</f>
        <v>0</v>
      </c>
      <c r="BU779" s="60" t="n">
        <f aca="false">IF(AND(U779="",OR(P779="",P779="LOSE"),T779&lt;&gt;"",N(S779)&lt;=0,ISNUMBER(MATCH(T779,Parameter!$I$27:$I$29,0))),1,0)</f>
        <v>0</v>
      </c>
      <c r="BV779" s="55" t="str">
        <f aca="false">IF(AND(Parameter!$B$19="Ja",E779&lt;&gt;"",ISNUMBER(MATCH(E779,Parameter!$I$35:$I$52,0))),VLOOKUP(E779,Parameter!$I$35:$J$52,2,0),IFERROR(VLOOKUP(D779,Parameter!$A$35:$C$64,2,0),"Nein"))</f>
        <v>2+3</v>
      </c>
      <c r="BW779" s="59" t="n">
        <f aca="false">IF(BT779=0,0,IF(N(S779)&gt;0,S779,IFERROR(VLOOKUP(D779,Parameter!$A$35:$C$64,3,0)+0,0)))</f>
        <v>0</v>
      </c>
      <c r="BX779" s="55" t="n">
        <f aca="false">IF(AA779&lt;&gt;"",AA779,Z779)</f>
        <v>3</v>
      </c>
      <c r="BY779" s="55" t="str">
        <f aca="false">IF(BX779=1,"L1",IF(OR(BX779=2,BX779=3),"L23",IF(BX779="Aussen","Aussen","-")))</f>
        <v>L23</v>
      </c>
      <c r="BZ779" s="66" t="n">
        <f aca="false">IF(N(AB779)&gt;0,AB779,0)</f>
        <v>0</v>
      </c>
      <c r="CA779" s="60" t="n">
        <f aca="false">IF(ISNUMBER(AE779),1,0)</f>
        <v>0</v>
      </c>
      <c r="CB779" s="57" t="n">
        <f aca="false">N(AE779)</f>
        <v>0</v>
      </c>
      <c r="CC779" s="57" t="n">
        <f aca="false">N(M779)+N(N779)</f>
        <v>10</v>
      </c>
      <c r="CD779" s="57" t="n">
        <f aca="false">ROUNDUP(H779/BS779,0)</f>
        <v>1</v>
      </c>
      <c r="CE779" s="57" t="n">
        <f aca="false">ROUNDUP(CB779/BS779,0)</f>
        <v>0</v>
      </c>
      <c r="CF779" s="60" t="n">
        <f aca="false">IF(BT779=1,0,IFERROR(VLOOKUP(BR779,'Gebinde-Kategorie'!$A$5:$M$45,5,0)+0,0))</f>
        <v>8</v>
      </c>
      <c r="CG779" s="60" t="n">
        <f aca="false">IFERROR(IF(OR(BX779=1,BX779=2,BX779=3),N(INDEX(Parameter!$I$5:$I$7,BX779)),0),0)</f>
        <v>0</v>
      </c>
      <c r="CH779" s="59" t="n">
        <f aca="false">IF(AND(Parameter!$B$21="Ja",ISNUMBER(W779),N(X779)&gt;0),IFERROR(N(INDEX(Parameter!$L$5:$L$7,W779))*INDEX(Parameter!$E$5:$E$7,W779)*X779/SUMIFS($X$7:$X$1843,$W$7:$W$1843,W779),0),0)</f>
        <v>0</v>
      </c>
    </row>
    <row r="780" customFormat="false" ht="15" hidden="false" customHeight="false" outlineLevel="0" collapsed="false">
      <c r="A780" s="55" t="s">
        <v>1524</v>
      </c>
      <c r="B780" s="55" t="s">
        <v>1525</v>
      </c>
      <c r="C780" s="55" t="s">
        <v>167</v>
      </c>
      <c r="D780" s="55" t="s">
        <v>184</v>
      </c>
      <c r="E780" s="55" t="s">
        <v>185</v>
      </c>
      <c r="F780" s="55" t="s">
        <v>218</v>
      </c>
      <c r="G780" s="56" t="n">
        <v>0.48</v>
      </c>
      <c r="H780" s="57" t="n">
        <f aca="false">MAX(0,IF(AND(Parameter!$B$21="Ja",ISNUMBER(Y780)),Y780,IF(Parameter!$B$20="Jahresanfang 2025 + Export",BL780+BK780,BK780)))</f>
        <v>54</v>
      </c>
      <c r="I780" s="57" t="n">
        <f aca="false">H780*G780</f>
        <v>25.92</v>
      </c>
      <c r="J780" s="57" t="n">
        <f aca="false">BN780*Parameter!$B$18</f>
        <v>0</v>
      </c>
      <c r="K780" s="58" t="n">
        <v>56</v>
      </c>
      <c r="L780" s="59" t="n">
        <v>0</v>
      </c>
      <c r="M780" s="57" t="n">
        <v>0</v>
      </c>
      <c r="N780" s="57" t="n">
        <v>1</v>
      </c>
      <c r="O780" s="60" t="n">
        <v>14</v>
      </c>
      <c r="P780" s="55" t="s">
        <v>302</v>
      </c>
      <c r="Q780" s="57" t="n">
        <v>224</v>
      </c>
      <c r="R780" s="60" t="n">
        <f aca="false">IF(BT780=1,0,IFERROR(VLOOKUP(BR780,'Gebinde-Kategorie'!$A$5:$M$45,13,0)+0,0))</f>
        <v>26</v>
      </c>
      <c r="S780" s="61"/>
      <c r="T780" s="62"/>
      <c r="U780" s="62"/>
      <c r="V780" s="62"/>
      <c r="W780" s="55"/>
      <c r="X780" s="57"/>
      <c r="Y780" s="57"/>
      <c r="Z780" s="55" t="n">
        <f aca="false">IF(A780="","",IF(AND(Parameter!$B$21="Ja",ISNUMBER(W780)),W780,IF(BV780="2+3",IF(ISNUMBER(SEARCH("grosser Artikel",BO780)),2,IFERROR(VLOOKUP(BR780,Parameter!$F$35:$G$64,2,0),2)),IF(OR(BV780="Nein",BV780=""),"-",BV780))))</f>
        <v>3</v>
      </c>
      <c r="AA780" s="62"/>
      <c r="AB780" s="63"/>
      <c r="AC780" s="57" t="n">
        <f aca="false">AR780</f>
        <v>224</v>
      </c>
      <c r="AD780" s="57" t="n">
        <f aca="false">MAX(AR780,H780)</f>
        <v>224</v>
      </c>
      <c r="AE780" s="64"/>
      <c r="AF780" s="57" t="n">
        <f aca="false">IF(LEFT(Cockpit!$C$5,1)="A",H780,IF(CA780=1,CB780,IF(LEFT(Cockpit!$C$5,1)="B",AJ780,MAX(AJ780,H780))))</f>
        <v>54</v>
      </c>
      <c r="AG780" s="57" t="n">
        <f aca="false">IF(BT780=1,0,ROUNDUP(AF780/BS780,0))</f>
        <v>1</v>
      </c>
      <c r="AH780" s="59" t="n">
        <f aca="false">IF(CH780&gt;0,CH780*MAX(1,AF780/X780),IF(BT780=1,IF(AF780&lt;=0,0,BW780*MAX(1,IF(H780&gt;0,AF780/H780,1))),IF(R780&gt;0,AG780/R780,0))/MAX(0.1,N(Parameter!$M$21)))</f>
        <v>0.0384615384615385</v>
      </c>
      <c r="AI780" s="57" t="n">
        <f aca="false">AF780*G780</f>
        <v>25.92</v>
      </c>
      <c r="AJ780" s="57" t="n">
        <f aca="false">ROUNDUP(MAX(J780/IF(BZ780&gt;0,BZ780,MAX(0.1,N(Cockpit!$C$6))),CC780)/BS780,0)*BS780</f>
        <v>224</v>
      </c>
      <c r="AK780" s="58" t="n">
        <f aca="false">IF(AH780&gt;0,J780/AH780,-1)</f>
        <v>0</v>
      </c>
      <c r="AL780" s="58" t="n">
        <f aca="false">IF(AND(OR(BY780="L1",BY780="L23"),AH780&gt;0),SUMIFS($AH$7:$AH$1843,$BY$7:$BY$1843,BY780,$AK$7:$AK$1843,"&gt;"&amp;AK780)+SUMIFS($AH$7:$AH$1843,$BY$7:$BY$1843,BY780,$AK$7:$AK$1843,AK780,$BQ$7:$BQ$1843,"&lt;="&amp;BQ780),"")</f>
        <v>77.5072886051147</v>
      </c>
      <c r="AM780" s="65" t="n">
        <f aca="false">IF(AL780="",0,MAX(0,MIN(1,(IF(BY780="L1",Parameter!$E$5,Parameter!$E$6+Parameter!$E$7)-(AL780-AH780))/AH780)))</f>
        <v>1</v>
      </c>
      <c r="AN780" s="57" t="n">
        <f aca="false">IF(LEFT(Cockpit!$I$5,1)="A",H780,IF(CA780=1,CB780,IF(LEFT(Cockpit!$I$5,1)="B",AR780,MAX(AR780,H780))))</f>
        <v>224</v>
      </c>
      <c r="AO780" s="57" t="n">
        <f aca="false">IF(BT780=1,0,ROUNDUP(AN780/BS780,0))</f>
        <v>1</v>
      </c>
      <c r="AP780" s="59" t="n">
        <f aca="false">IF(CH780&gt;0,CH780*MAX(1,AN780/X780),IF(BT780=1,IF(AN780&lt;=0,0,BW780*MAX(1,IF(H780&gt;0,AN780/H780,1))),IF(R780&gt;0,AO780/R780,0))/MAX(0.1,N(Parameter!$M$21)))</f>
        <v>0.0384615384615385</v>
      </c>
      <c r="AQ780" s="57" t="n">
        <f aca="false">AN780*G780</f>
        <v>107.52</v>
      </c>
      <c r="AR780" s="57" t="n">
        <f aca="false">ROUNDUP(MAX(J780/IF(BZ780&gt;0,BZ780,MAX(0.1,N(Cockpit!$I$6))),CC780)/BS780,0)*BS780</f>
        <v>224</v>
      </c>
      <c r="AS780" s="58" t="n">
        <f aca="false">IF(AP780&gt;0,J780/AP780,-1)</f>
        <v>0</v>
      </c>
      <c r="AT780" s="58" t="n">
        <f aca="false">IF(AND(OR(BY780="L1",BY780="L23"),AP780&gt;0),SUMIFS($AP$7:$AP$1843,$BY$7:$BY$1843,BY780,$AS$7:$AS$1843,"&gt;"&amp;AS780)+SUMIFS($AP$7:$AP$1843,$BY$7:$BY$1843,BY780,$AS$7:$AS$1843,AS780,$BQ$7:$BQ$1843,"&lt;="&amp;BQ780),"")</f>
        <v>118.337674402892</v>
      </c>
      <c r="AU780" s="65" t="n">
        <f aca="false">IF(AT780="",0,MAX(0,MIN(1,(IF(BY780="L1",Parameter!$E$5,Parameter!$E$6+Parameter!$E$7)-(AT780-AP780))/AP780)))</f>
        <v>0</v>
      </c>
      <c r="AV780" s="57" t="n">
        <f aca="false">IF(LEFT(Cockpit!$O$5,1)="A",H780,IF(CA780=1,CB780,IF(LEFT(Cockpit!$O$5,1)="B",AZ780,MAX(AZ780,H780))))</f>
        <v>224</v>
      </c>
      <c r="AW780" s="57" t="n">
        <f aca="false">IF(BT780=1,0,ROUNDUP(AV780/BS780,0))</f>
        <v>1</v>
      </c>
      <c r="AX780" s="59" t="n">
        <f aca="false">IF(CH780&gt;0,CH780*MAX(1,AV780/X780),IF(BT780=1,IF(AV780&lt;=0,0,BW780*MAX(1,IF(H780&gt;0,AV780/H780,1))),IF(R780&gt;0,AW780/R780,0))/MAX(0.1,N(Parameter!$M$21)))</f>
        <v>0.0384615384615385</v>
      </c>
      <c r="AY780" s="57" t="n">
        <f aca="false">AV780*G780</f>
        <v>107.52</v>
      </c>
      <c r="AZ780" s="57" t="n">
        <f aca="false">ROUNDUP(MAX(J780/IF(BZ780&gt;0,BZ780,MAX(0.1,N(Cockpit!$O$6))),CC780)/BS780,0)*BS780</f>
        <v>224</v>
      </c>
      <c r="BA780" s="58" t="n">
        <f aca="false">IF(AX780&gt;0,J780/AX780,-1)</f>
        <v>0</v>
      </c>
      <c r="BB780" s="58" t="n">
        <f aca="false">IF(AND(OR(BY780="L1",BY780="L23"),AX780&gt;0),SUMIFS($AX$7:$AX$1843,$BY$7:$BY$1843,BY780,$BA$7:$BA$1843,"&gt;"&amp;BA780)+SUMIFS($AX$7:$AX$1843,$BY$7:$BY$1843,BY780,$BA$7:$BA$1843,BA780,$BQ$7:$BQ$1843,"&lt;="&amp;BQ780),"")</f>
        <v>109.167511232729</v>
      </c>
      <c r="BC780" s="65" t="n">
        <f aca="false">IF(BB780="",0,MAX(0,MIN(1,(IF(BY780="L1",Parameter!$E$5,Parameter!$E$6+Parameter!$E$7)-(BB780-AX780))/AX780)))</f>
        <v>0</v>
      </c>
      <c r="BD780" s="55" t="str">
        <f aca="false">IF(AH780&lt;=0,"",IF(BY780="Aussen","Aussenlager",IF(BY780="-","Nicht im Lift",IF(AM780&gt;=1,"Lift",IF(AM780&lt;=0,"Aussenlager","teilweise")))))</f>
        <v>Lift</v>
      </c>
      <c r="BE780" s="55" t="str">
        <f aca="false">IF(AP780&lt;=0,"",IF(BY780="Aussen","Aussenlager",IF(BY780="-","Nicht im Lift",IF(AU780&gt;=1,"Lift",IF(AU780&lt;=0,"Aussenlager","teilweise")))))</f>
        <v>Aussenlager</v>
      </c>
      <c r="BF780" s="55" t="str">
        <f aca="false">IF(AX780&lt;=0,"",IF(BY780="Aussen","Aussenlager",IF(BY780="-","Nicht im Lift",IF(BC780&gt;=1,"Lift",IF(BC780&lt;=0,"Aussenlager","teilweise")))))</f>
        <v>Aussenlager</v>
      </c>
      <c r="BG780" s="55" t="str">
        <f aca="false">IF(A780="","",IF(BP780=1,"Neu; ","")&amp;IF(AND(BP780=0,BK780&lt;0),"negativer Bestand (Export "&amp;BK780&amp;"); ","")&amp;IF(J780&lt;=0,"Kein Verbrauch; ","")&amp;IF(CH780&gt;0,"Lift "&amp;W780&amp;" lt. Liftbericht (Fach "&amp;X780&amp;" Stk); ",IF(BU780=1,"Gebinde geschätzt ("&amp;T780&amp;"); ",IF(BT780=1,"Lose – Tablare geschätzt; ","")))&amp;IF(H780&gt;AR780,"Überbestand "&amp;ROUND(H780-AR780,0)&amp;" Stk / CHF "&amp;ROUND((H780-AR780)*G780,0)&amp;"; ","")&amp;IF(AND(CA780=1,CB780&lt;CC780),"MAX &lt; MB+LG; ","")&amp;IF(AND(CG780&gt;0,CF780*10&gt;CG780),"zu hoch für Tablar; ","")&amp;IF(AND(BP780=0,OR(CA780=1,AA780&lt;&gt;"",U780&lt;&gt;"",V780&lt;&gt;"",AB780&lt;&gt;"")),"manuell übersteuert; ","")&amp;IF(AND(BT780=0,R780=0),"Gebinde unbekannt / Stellmass fehlt; ","")&amp;IF(AND(BT780=0,N(V780)&lt;=0,N(Q780)&lt;=0),"Menge pro Gebinde fehlt (Ist = 1 Gebinde); ","")&amp;BO780)</f>
        <v>negativer Bestand (Export -4); Kein Verbrauch; </v>
      </c>
      <c r="BH780" s="55"/>
      <c r="BI780" s="55"/>
      <c r="BJ780" s="62"/>
      <c r="BK780" s="57" t="n">
        <v>-4</v>
      </c>
      <c r="BL780" s="57" t="n">
        <v>58</v>
      </c>
      <c r="BM780" s="56" t="n">
        <v>-1.92</v>
      </c>
      <c r="BN780" s="57" t="n">
        <v>0</v>
      </c>
      <c r="BO780" s="55"/>
      <c r="BP780" s="60" t="n">
        <v>0</v>
      </c>
      <c r="BQ780" s="60" t="n">
        <v>780</v>
      </c>
      <c r="BR780" s="55" t="str">
        <f aca="false">IF(U780&lt;&gt;"",UPPER(TRIM(U780)),IF(BU780=1,UPPER(VLOOKUP(T780,Parameter!$I$27:$K$29,2,0)),IF(P780="","LOSE",P780)))</f>
        <v>S51</v>
      </c>
      <c r="BS780" s="57" t="n">
        <f aca="false">IF(BR780="LOSE",1,IF(N(V780)&gt;0,V780,IF(BU780=1,MAX(1,N(VLOOKUP(T780,Parameter!$I$27:$K$29,3,0)),H780,N(N780)),IF(N(Q780)&gt;0,Q780,MAX(1,H780)))))</f>
        <v>224</v>
      </c>
      <c r="BT780" s="60" t="n">
        <f aca="false">IF(BR780="LOSE",1,0)</f>
        <v>0</v>
      </c>
      <c r="BU780" s="60" t="n">
        <f aca="false">IF(AND(U780="",OR(P780="",P780="LOSE"),T780&lt;&gt;"",N(S780)&lt;=0,ISNUMBER(MATCH(T780,Parameter!$I$27:$I$29,0))),1,0)</f>
        <v>0</v>
      </c>
      <c r="BV780" s="55" t="str">
        <f aca="false">IF(AND(Parameter!$B$19="Ja",E780&lt;&gt;"",ISNUMBER(MATCH(E780,Parameter!$I$35:$I$52,0))),VLOOKUP(E780,Parameter!$I$35:$J$52,2,0),IFERROR(VLOOKUP(D780,Parameter!$A$35:$C$64,2,0),"Nein"))</f>
        <v>2+3</v>
      </c>
      <c r="BW780" s="59" t="n">
        <f aca="false">IF(BT780=0,0,IF(N(S780)&gt;0,S780,IFERROR(VLOOKUP(D780,Parameter!$A$35:$C$64,3,0)+0,0)))</f>
        <v>0</v>
      </c>
      <c r="BX780" s="55" t="n">
        <f aca="false">IF(AA780&lt;&gt;"",AA780,Z780)</f>
        <v>3</v>
      </c>
      <c r="BY780" s="55" t="str">
        <f aca="false">IF(BX780=1,"L1",IF(OR(BX780=2,BX780=3),"L23",IF(BX780="Aussen","Aussen","-")))</f>
        <v>L23</v>
      </c>
      <c r="BZ780" s="66" t="n">
        <f aca="false">IF(N(AB780)&gt;0,AB780,0)</f>
        <v>0</v>
      </c>
      <c r="CA780" s="60" t="n">
        <f aca="false">IF(ISNUMBER(AE780),1,0)</f>
        <v>0</v>
      </c>
      <c r="CB780" s="57" t="n">
        <f aca="false">N(AE780)</f>
        <v>0</v>
      </c>
      <c r="CC780" s="57" t="n">
        <f aca="false">N(M780)+N(N780)</f>
        <v>1</v>
      </c>
      <c r="CD780" s="57" t="n">
        <f aca="false">ROUNDUP(H780/BS780,0)</f>
        <v>1</v>
      </c>
      <c r="CE780" s="57" t="n">
        <f aca="false">ROUNDUP(CB780/BS780,0)</f>
        <v>0</v>
      </c>
      <c r="CF780" s="60" t="n">
        <f aca="false">IF(BT780=1,0,IFERROR(VLOOKUP(BR780,'Gebinde-Kategorie'!$A$5:$M$45,5,0)+0,0))</f>
        <v>11</v>
      </c>
      <c r="CG780" s="60" t="n">
        <f aca="false">IFERROR(IF(OR(BX780=1,BX780=2,BX780=3),N(INDEX(Parameter!$I$5:$I$7,BX780)),0),0)</f>
        <v>0</v>
      </c>
      <c r="CH780" s="59" t="n">
        <f aca="false">IF(AND(Parameter!$B$21="Ja",ISNUMBER(W780),N(X780)&gt;0),IFERROR(N(INDEX(Parameter!$L$5:$L$7,W780))*INDEX(Parameter!$E$5:$E$7,W780)*X780/SUMIFS($X$7:$X$1843,$W$7:$W$1843,W780),0),0)</f>
        <v>0</v>
      </c>
    </row>
    <row r="781" customFormat="false" ht="15" hidden="false" customHeight="false" outlineLevel="0" collapsed="false">
      <c r="A781" s="55" t="s">
        <v>1526</v>
      </c>
      <c r="B781" s="55" t="s">
        <v>1527</v>
      </c>
      <c r="C781" s="55" t="s">
        <v>164</v>
      </c>
      <c r="D781" s="55" t="s">
        <v>353</v>
      </c>
      <c r="E781" s="55"/>
      <c r="F781" s="55" t="s">
        <v>218</v>
      </c>
      <c r="G781" s="56" t="n">
        <v>1.93</v>
      </c>
      <c r="H781" s="57" t="n">
        <f aca="false">MAX(0,IF(AND(Parameter!$B$21="Ja",ISNUMBER(Y781)),Y781,IF(Parameter!$B$20="Jahresanfang 2025 + Export",BL781+BK781,BK781)))</f>
        <v>0</v>
      </c>
      <c r="I781" s="57" t="n">
        <f aca="false">H781*G781</f>
        <v>0</v>
      </c>
      <c r="J781" s="57" t="n">
        <f aca="false">BN781*Parameter!$B$18</f>
        <v>1</v>
      </c>
      <c r="K781" s="58" t="n">
        <v>0.5</v>
      </c>
      <c r="L781" s="59" t="n">
        <v>2</v>
      </c>
      <c r="M781" s="57" t="n">
        <v>0</v>
      </c>
      <c r="N781" s="57" t="n">
        <v>1</v>
      </c>
      <c r="O781" s="60" t="n">
        <v>0</v>
      </c>
      <c r="P781" s="55" t="s">
        <v>168</v>
      </c>
      <c r="Q781" s="57"/>
      <c r="R781" s="60" t="n">
        <f aca="false">IF(BT781=1,0,IFERROR(VLOOKUP(BR781,'Gebinde-Kategorie'!$A$5:$M$45,13,0)+0,0))</f>
        <v>0</v>
      </c>
      <c r="S781" s="61"/>
      <c r="T781" s="62"/>
      <c r="U781" s="62"/>
      <c r="V781" s="62"/>
      <c r="W781" s="55"/>
      <c r="X781" s="57"/>
      <c r="Y781" s="57"/>
      <c r="Z781" s="55" t="str">
        <f aca="false">IF(A781="","",IF(AND(Parameter!$B$21="Ja",ISNUMBER(W781)),W781,IF(BV781="2+3",IF(ISNUMBER(SEARCH("grosser Artikel",BO781)),2,IFERROR(VLOOKUP(BR781,Parameter!$F$35:$G$64,2,0),2)),IF(OR(BV781="Nein",BV781=""),"-",BV781))))</f>
        <v>-</v>
      </c>
      <c r="AA781" s="62"/>
      <c r="AB781" s="63"/>
      <c r="AC781" s="57" t="n">
        <f aca="false">AR781</f>
        <v>1</v>
      </c>
      <c r="AD781" s="57" t="n">
        <f aca="false">MAX(AR781,H781)</f>
        <v>1</v>
      </c>
      <c r="AE781" s="64"/>
      <c r="AF781" s="57" t="n">
        <f aca="false">IF(LEFT(Cockpit!$C$5,1)="A",H781,IF(CA781=1,CB781,IF(LEFT(Cockpit!$C$5,1)="B",AJ781,MAX(AJ781,H781))))</f>
        <v>0</v>
      </c>
      <c r="AG781" s="57" t="n">
        <f aca="false">IF(BT781=1,0,ROUNDUP(AF781/BS781,0))</f>
        <v>0</v>
      </c>
      <c r="AH781" s="59" t="n">
        <f aca="false">IF(CH781&gt;0,CH781*MAX(1,AF781/X781),IF(BT781=1,IF(AF781&lt;=0,0,BW781*MAX(1,IF(H781&gt;0,AF781/H781,1))),IF(R781&gt;0,AG781/R781,0))/MAX(0.1,N(Parameter!$M$21)))</f>
        <v>0</v>
      </c>
      <c r="AI781" s="57" t="n">
        <f aca="false">AF781*G781</f>
        <v>0</v>
      </c>
      <c r="AJ781" s="57" t="n">
        <f aca="false">ROUNDUP(MAX(J781/IF(BZ781&gt;0,BZ781,MAX(0.1,N(Cockpit!$C$6))),CC781)/BS781,0)*BS781</f>
        <v>1</v>
      </c>
      <c r="AK781" s="58" t="n">
        <f aca="false">IF(AH781&gt;0,J781/AH781,-1)</f>
        <v>-1</v>
      </c>
      <c r="AL781" s="58" t="str">
        <f aca="false">IF(AND(OR(BY781="L1",BY781="L23"),AH781&gt;0),SUMIFS($AH$7:$AH$1843,$BY$7:$BY$1843,BY781,$AK$7:$AK$1843,"&gt;"&amp;AK781)+SUMIFS($AH$7:$AH$1843,$BY$7:$BY$1843,BY781,$AK$7:$AK$1843,AK781,$BQ$7:$BQ$1843,"&lt;="&amp;BQ781),"")</f>
        <v/>
      </c>
      <c r="AM781" s="65" t="n">
        <f aca="false">IF(AL781="",0,MAX(0,MIN(1,(IF(BY781="L1",Parameter!$E$5,Parameter!$E$6+Parameter!$E$7)-(AL781-AH781))/AH781)))</f>
        <v>0</v>
      </c>
      <c r="AN781" s="57" t="n">
        <f aca="false">IF(LEFT(Cockpit!$I$5,1)="A",H781,IF(CA781=1,CB781,IF(LEFT(Cockpit!$I$5,1)="B",AR781,MAX(AR781,H781))))</f>
        <v>1</v>
      </c>
      <c r="AO781" s="57" t="n">
        <f aca="false">IF(BT781=1,0,ROUNDUP(AN781/BS781,0))</f>
        <v>0</v>
      </c>
      <c r="AP781" s="59" t="n">
        <f aca="false">IF(CH781&gt;0,CH781*MAX(1,AN781/X781),IF(BT781=1,IF(AN781&lt;=0,0,BW781*MAX(1,IF(H781&gt;0,AN781/H781,1))),IF(R781&gt;0,AO781/R781,0))/MAX(0.1,N(Parameter!$M$21)))</f>
        <v>0.15</v>
      </c>
      <c r="AQ781" s="57" t="n">
        <f aca="false">AN781*G781</f>
        <v>1.93</v>
      </c>
      <c r="AR781" s="57" t="n">
        <f aca="false">ROUNDUP(MAX(J781/IF(BZ781&gt;0,BZ781,MAX(0.1,N(Cockpit!$I$6))),CC781)/BS781,0)*BS781</f>
        <v>1</v>
      </c>
      <c r="AS781" s="58" t="n">
        <f aca="false">IF(AP781&gt;0,J781/AP781,-1)</f>
        <v>6.66666666666667</v>
      </c>
      <c r="AT781" s="58" t="str">
        <f aca="false">IF(AND(OR(BY781="L1",BY781="L23"),AP781&gt;0),SUMIFS($AP$7:$AP$1843,$BY$7:$BY$1843,BY781,$AS$7:$AS$1843,"&gt;"&amp;AS781)+SUMIFS($AP$7:$AP$1843,$BY$7:$BY$1843,BY781,$AS$7:$AS$1843,AS781,$BQ$7:$BQ$1843,"&lt;="&amp;BQ781),"")</f>
        <v/>
      </c>
      <c r="AU781" s="65" t="n">
        <f aca="false">IF(AT781="",0,MAX(0,MIN(1,(IF(BY781="L1",Parameter!$E$5,Parameter!$E$6+Parameter!$E$7)-(AT781-AP781))/AP781)))</f>
        <v>0</v>
      </c>
      <c r="AV781" s="57" t="n">
        <f aca="false">IF(LEFT(Cockpit!$O$5,1)="A",H781,IF(CA781=1,CB781,IF(LEFT(Cockpit!$O$5,1)="B",AZ781,MAX(AZ781,H781))))</f>
        <v>1</v>
      </c>
      <c r="AW781" s="57" t="n">
        <f aca="false">IF(BT781=1,0,ROUNDUP(AV781/BS781,0))</f>
        <v>0</v>
      </c>
      <c r="AX781" s="59" t="n">
        <f aca="false">IF(CH781&gt;0,CH781*MAX(1,AV781/X781),IF(BT781=1,IF(AV781&lt;=0,0,BW781*MAX(1,IF(H781&gt;0,AV781/H781,1))),IF(R781&gt;0,AW781/R781,0))/MAX(0.1,N(Parameter!$M$21)))</f>
        <v>0.15</v>
      </c>
      <c r="AY781" s="57" t="n">
        <f aca="false">AV781*G781</f>
        <v>1.93</v>
      </c>
      <c r="AZ781" s="57" t="n">
        <f aca="false">ROUNDUP(MAX(J781/IF(BZ781&gt;0,BZ781,MAX(0.1,N(Cockpit!$O$6))),CC781)/BS781,0)*BS781</f>
        <v>1</v>
      </c>
      <c r="BA781" s="58" t="n">
        <f aca="false">IF(AX781&gt;0,J781/AX781,-1)</f>
        <v>6.66666666666667</v>
      </c>
      <c r="BB781" s="58" t="str">
        <f aca="false">IF(AND(OR(BY781="L1",BY781="L23"),AX781&gt;0),SUMIFS($AX$7:$AX$1843,$BY$7:$BY$1843,BY781,$BA$7:$BA$1843,"&gt;"&amp;BA781)+SUMIFS($AX$7:$AX$1843,$BY$7:$BY$1843,BY781,$BA$7:$BA$1843,BA781,$BQ$7:$BQ$1843,"&lt;="&amp;BQ781),"")</f>
        <v/>
      </c>
      <c r="BC781" s="65" t="n">
        <f aca="false">IF(BB781="",0,MAX(0,MIN(1,(IF(BY781="L1",Parameter!$E$5,Parameter!$E$6+Parameter!$E$7)-(BB781-AX781))/AX781)))</f>
        <v>0</v>
      </c>
      <c r="BD781" s="55" t="str">
        <f aca="false">IF(AH781&lt;=0,"",IF(BY781="Aussen","Aussenlager",IF(BY781="-","Nicht im Lift",IF(AM781&gt;=1,"Lift",IF(AM781&lt;=0,"Aussenlager","teilweise")))))</f>
        <v/>
      </c>
      <c r="BE781" s="55" t="str">
        <f aca="false">IF(AP781&lt;=0,"",IF(BY781="Aussen","Aussenlager",IF(BY781="-","Nicht im Lift",IF(AU781&gt;=1,"Lift",IF(AU781&lt;=0,"Aussenlager","teilweise")))))</f>
        <v>Nicht im Lift</v>
      </c>
      <c r="BF781" s="55" t="str">
        <f aca="false">IF(AX781&lt;=0,"",IF(BY781="Aussen","Aussenlager",IF(BY781="-","Nicht im Lift",IF(BC781&gt;=1,"Lift",IF(BC781&lt;=0,"Aussenlager","teilweise")))))</f>
        <v>Nicht im Lift</v>
      </c>
      <c r="BG781" s="55" t="str">
        <f aca="false">IF(A781="","",IF(BP781=1,"Neu; ","")&amp;IF(AND(BP781=0,BK781&lt;0),"negativer Bestand (Export "&amp;BK781&amp;"); ","")&amp;IF(J781&lt;=0,"Kein Verbrauch; ","")&amp;IF(CH781&gt;0,"Lift "&amp;W781&amp;" lt. Liftbericht (Fach "&amp;X781&amp;" Stk); ",IF(BU781=1,"Gebinde geschätzt ("&amp;T781&amp;"); ",IF(BT781=1,"Lose – Tablare geschätzt; ","")))&amp;IF(H781&gt;AR781,"Überbestand "&amp;ROUND(H781-AR781,0)&amp;" Stk / CHF "&amp;ROUND((H781-AR781)*G781,0)&amp;"; ","")&amp;IF(AND(CA781=1,CB781&lt;CC781),"MAX &lt; MB+LG; ","")&amp;IF(AND(CG781&gt;0,CF781*10&gt;CG781),"zu hoch für Tablar; ","")&amp;IF(AND(BP781=0,OR(CA781=1,AA781&lt;&gt;"",U781&lt;&gt;"",V781&lt;&gt;"",AB781&lt;&gt;"")),"manuell übersteuert; ","")&amp;IF(AND(BT781=0,R781=0),"Gebinde unbekannt / Stellmass fehlt; ","")&amp;IF(AND(BT781=0,N(V781)&lt;=0,N(Q781)&lt;=0),"Menge pro Gebinde fehlt (Ist = 1 Gebinde); ","")&amp;BO781)</f>
        <v>negativer Bestand (Export -1); Lose – Tablare geschätzt; </v>
      </c>
      <c r="BH781" s="55"/>
      <c r="BI781" s="55"/>
      <c r="BJ781" s="62"/>
      <c r="BK781" s="57" t="n">
        <v>-1</v>
      </c>
      <c r="BL781" s="57" t="n">
        <v>1</v>
      </c>
      <c r="BM781" s="56" t="n">
        <v>-1.93</v>
      </c>
      <c r="BN781" s="57" t="n">
        <v>1</v>
      </c>
      <c r="BO781" s="55"/>
      <c r="BP781" s="60" t="n">
        <v>0</v>
      </c>
      <c r="BQ781" s="60" t="n">
        <v>781</v>
      </c>
      <c r="BR781" s="55" t="str">
        <f aca="false">IF(U781&lt;&gt;"",UPPER(TRIM(U781)),IF(BU781=1,UPPER(VLOOKUP(T781,Parameter!$I$27:$K$29,2,0)),IF(P781="","LOSE",P781)))</f>
        <v>LOSE</v>
      </c>
      <c r="BS781" s="57" t="n">
        <f aca="false">IF(BR781="LOSE",1,IF(N(V781)&gt;0,V781,IF(BU781=1,MAX(1,N(VLOOKUP(T781,Parameter!$I$27:$K$29,3,0)),H781,N(N781)),IF(N(Q781)&gt;0,Q781,MAX(1,H781)))))</f>
        <v>1</v>
      </c>
      <c r="BT781" s="60" t="n">
        <f aca="false">IF(BR781="LOSE",1,0)</f>
        <v>1</v>
      </c>
      <c r="BU781" s="60" t="n">
        <f aca="false">IF(AND(U781="",OR(P781="",P781="LOSE"),T781&lt;&gt;"",N(S781)&lt;=0,ISNUMBER(MATCH(T781,Parameter!$I$27:$I$29,0))),1,0)</f>
        <v>0</v>
      </c>
      <c r="BV781" s="55" t="str">
        <f aca="false">IF(AND(Parameter!$B$19="Ja",E781&lt;&gt;"",ISNUMBER(MATCH(E781,Parameter!$I$35:$I$52,0))),VLOOKUP(E781,Parameter!$I$35:$J$52,2,0),IFERROR(VLOOKUP(D781,Parameter!$A$35:$C$64,2,0),"Nein"))</f>
        <v>Nein</v>
      </c>
      <c r="BW781" s="59" t="n">
        <f aca="false">IF(BT781=0,0,IF(N(S781)&gt;0,S781,IFERROR(VLOOKUP(D781,Parameter!$A$35:$C$64,3,0)+0,0)))</f>
        <v>0.15</v>
      </c>
      <c r="BX781" s="55" t="str">
        <f aca="false">IF(AA781&lt;&gt;"",AA781,Z781)</f>
        <v>-</v>
      </c>
      <c r="BY781" s="55" t="str">
        <f aca="false">IF(BX781=1,"L1",IF(OR(BX781=2,BX781=3),"L23",IF(BX781="Aussen","Aussen","-")))</f>
        <v>-</v>
      </c>
      <c r="BZ781" s="66" t="n">
        <f aca="false">IF(N(AB781)&gt;0,AB781,0)</f>
        <v>0</v>
      </c>
      <c r="CA781" s="60" t="n">
        <f aca="false">IF(ISNUMBER(AE781),1,0)</f>
        <v>0</v>
      </c>
      <c r="CB781" s="57" t="n">
        <f aca="false">N(AE781)</f>
        <v>0</v>
      </c>
      <c r="CC781" s="57" t="n">
        <f aca="false">N(M781)+N(N781)</f>
        <v>1</v>
      </c>
      <c r="CD781" s="57" t="n">
        <f aca="false">ROUNDUP(H781/BS781,0)</f>
        <v>0</v>
      </c>
      <c r="CE781" s="57" t="n">
        <f aca="false">ROUNDUP(CB781/BS781,0)</f>
        <v>0</v>
      </c>
      <c r="CF781" s="60" t="n">
        <f aca="false">IF(BT781=1,0,IFERROR(VLOOKUP(BR781,'Gebinde-Kategorie'!$A$5:$M$45,5,0)+0,0))</f>
        <v>0</v>
      </c>
      <c r="CG781" s="60" t="n">
        <f aca="false">IFERROR(IF(OR(BX781=1,BX781=2,BX781=3),N(INDEX(Parameter!$I$5:$I$7,BX781)),0),0)</f>
        <v>0</v>
      </c>
      <c r="CH781" s="59" t="n">
        <f aca="false">IF(AND(Parameter!$B$21="Ja",ISNUMBER(W781),N(X781)&gt;0),IFERROR(N(INDEX(Parameter!$L$5:$L$7,W781))*INDEX(Parameter!$E$5:$E$7,W781)*X781/SUMIFS($X$7:$X$1843,$W$7:$W$1843,W781),0),0)</f>
        <v>0</v>
      </c>
    </row>
    <row r="782" customFormat="false" ht="15" hidden="false" customHeight="false" outlineLevel="0" collapsed="false">
      <c r="A782" s="55" t="s">
        <v>1528</v>
      </c>
      <c r="B782" s="55" t="s">
        <v>654</v>
      </c>
      <c r="C782" s="55" t="s">
        <v>164</v>
      </c>
      <c r="D782" s="55" t="s">
        <v>184</v>
      </c>
      <c r="E782" s="55" t="s">
        <v>185</v>
      </c>
      <c r="F782" s="55" t="s">
        <v>218</v>
      </c>
      <c r="G782" s="56" t="n">
        <v>0.13</v>
      </c>
      <c r="H782" s="57" t="n">
        <f aca="false">MAX(0,IF(AND(Parameter!$B$21="Ja",ISNUMBER(Y782)),Y782,IF(Parameter!$B$20="Jahresanfang 2025 + Export",BL782+BK782,BK782)))</f>
        <v>1002</v>
      </c>
      <c r="I782" s="57" t="n">
        <f aca="false">H782*G782</f>
        <v>130.26</v>
      </c>
      <c r="J782" s="57" t="n">
        <f aca="false">BN782*Parameter!$B$18</f>
        <v>1196</v>
      </c>
      <c r="K782" s="58" t="n">
        <v>912</v>
      </c>
      <c r="L782" s="59" t="n">
        <v>1.31140350877193</v>
      </c>
      <c r="M782" s="57" t="n">
        <v>70</v>
      </c>
      <c r="N782" s="57" t="n">
        <v>1300</v>
      </c>
      <c r="O782" s="60" t="n">
        <v>21</v>
      </c>
      <c r="P782" s="55" t="s">
        <v>293</v>
      </c>
      <c r="Q782" s="57" t="n">
        <v>469</v>
      </c>
      <c r="R782" s="60" t="n">
        <f aca="false">IF(BT782=1,0,IFERROR(VLOOKUP(BR782,'Gebinde-Kategorie'!$A$5:$M$45,13,0)+0,0))</f>
        <v>12</v>
      </c>
      <c r="S782" s="61"/>
      <c r="T782" s="62"/>
      <c r="U782" s="62"/>
      <c r="V782" s="62"/>
      <c r="W782" s="55"/>
      <c r="X782" s="57"/>
      <c r="Y782" s="57"/>
      <c r="Z782" s="55" t="n">
        <f aca="false">IF(A782="","",IF(AND(Parameter!$B$21="Ja",ISNUMBER(W782)),W782,IF(BV782="2+3",IF(ISNUMBER(SEARCH("grosser Artikel",BO782)),2,IFERROR(VLOOKUP(BR782,Parameter!$F$35:$G$64,2,0),2)),IF(OR(BV782="Nein",BV782=""),"-",BV782))))</f>
        <v>2</v>
      </c>
      <c r="AA782" s="62"/>
      <c r="AB782" s="63"/>
      <c r="AC782" s="57" t="n">
        <f aca="false">AR782</f>
        <v>1407</v>
      </c>
      <c r="AD782" s="57" t="n">
        <f aca="false">MAX(AR782,H782)</f>
        <v>1407</v>
      </c>
      <c r="AE782" s="64"/>
      <c r="AF782" s="57" t="n">
        <f aca="false">IF(LEFT(Cockpit!$C$5,1)="A",H782,IF(CA782=1,CB782,IF(LEFT(Cockpit!$C$5,1)="B",AJ782,MAX(AJ782,H782))))</f>
        <v>1002</v>
      </c>
      <c r="AG782" s="57" t="n">
        <f aca="false">IF(BT782=1,0,ROUNDUP(AF782/BS782,0))</f>
        <v>3</v>
      </c>
      <c r="AH782" s="59" t="n">
        <f aca="false">IF(CH782&gt;0,CH782*MAX(1,AF782/X782),IF(BT782=1,IF(AF782&lt;=0,0,BW782*MAX(1,IF(H782&gt;0,AF782/H782,1))),IF(R782&gt;0,AG782/R782,0))/MAX(0.1,N(Parameter!$M$21)))</f>
        <v>0.25</v>
      </c>
      <c r="AI782" s="57" t="n">
        <f aca="false">AF782*G782</f>
        <v>130.26</v>
      </c>
      <c r="AJ782" s="57" t="n">
        <f aca="false">ROUNDUP(MAX(J782/IF(BZ782&gt;0,BZ782,MAX(0.1,N(Cockpit!$C$6))),CC782)/BS782,0)*BS782</f>
        <v>1407</v>
      </c>
      <c r="AK782" s="58" t="n">
        <f aca="false">IF(AH782&gt;0,J782/AH782,-1)</f>
        <v>4784</v>
      </c>
      <c r="AL782" s="58" t="n">
        <f aca="false">IF(AND(OR(BY782="L1",BY782="L23"),AH782&gt;0),SUMIFS($AH$7:$AH$1843,$BY$7:$BY$1843,BY782,$AK$7:$AK$1843,"&gt;"&amp;AK782)+SUMIFS($AH$7:$AH$1843,$BY$7:$BY$1843,BY782,$AK$7:$AK$1843,AK782,$BQ$7:$BQ$1843,"&lt;="&amp;BQ782),"")</f>
        <v>7.93675044762001</v>
      </c>
      <c r="AM782" s="65" t="n">
        <f aca="false">IF(AL782="",0,MAX(0,MIN(1,(IF(BY782="L1",Parameter!$E$5,Parameter!$E$6+Parameter!$E$7)-(AL782-AH782))/AH782)))</f>
        <v>1</v>
      </c>
      <c r="AN782" s="57" t="n">
        <f aca="false">IF(LEFT(Cockpit!$I$5,1)="A",H782,IF(CA782=1,CB782,IF(LEFT(Cockpit!$I$5,1)="B",AR782,MAX(AR782,H782))))</f>
        <v>1407</v>
      </c>
      <c r="AO782" s="57" t="n">
        <f aca="false">IF(BT782=1,0,ROUNDUP(AN782/BS782,0))</f>
        <v>3</v>
      </c>
      <c r="AP782" s="59" t="n">
        <f aca="false">IF(CH782&gt;0,CH782*MAX(1,AN782/X782),IF(BT782=1,IF(AN782&lt;=0,0,BW782*MAX(1,IF(H782&gt;0,AN782/H782,1))),IF(R782&gt;0,AO782/R782,0))/MAX(0.1,N(Parameter!$M$21)))</f>
        <v>0.25</v>
      </c>
      <c r="AQ782" s="57" t="n">
        <f aca="false">AN782*G782</f>
        <v>182.91</v>
      </c>
      <c r="AR782" s="57" t="n">
        <f aca="false">ROUNDUP(MAX(J782/IF(BZ782&gt;0,BZ782,MAX(0.1,N(Cockpit!$I$6))),CC782)/BS782,0)*BS782</f>
        <v>1407</v>
      </c>
      <c r="AS782" s="58" t="n">
        <f aca="false">IF(AP782&gt;0,J782/AP782,-1)</f>
        <v>4784</v>
      </c>
      <c r="AT782" s="58" t="n">
        <f aca="false">IF(AND(OR(BY782="L1",BY782="L23"),AP782&gt;0),SUMIFS($AP$7:$AP$1843,$BY$7:$BY$1843,BY782,$AS$7:$AS$1843,"&gt;"&amp;AS782)+SUMIFS($AP$7:$AP$1843,$BY$7:$BY$1843,BY782,$AS$7:$AS$1843,AS782,$BQ$7:$BQ$1843,"&lt;="&amp;BQ782),"")</f>
        <v>12.4985642376947</v>
      </c>
      <c r="AU782" s="65" t="n">
        <f aca="false">IF(AT782="",0,MAX(0,MIN(1,(IF(BY782="L1",Parameter!$E$5,Parameter!$E$6+Parameter!$E$7)-(AT782-AP782))/AP782)))</f>
        <v>1</v>
      </c>
      <c r="AV782" s="57" t="n">
        <f aca="false">IF(LEFT(Cockpit!$O$5,1)="A",H782,IF(CA782=1,CB782,IF(LEFT(Cockpit!$O$5,1)="B",AZ782,MAX(AZ782,H782))))</f>
        <v>1407</v>
      </c>
      <c r="AW782" s="57" t="n">
        <f aca="false">IF(BT782=1,0,ROUNDUP(AV782/BS782,0))</f>
        <v>3</v>
      </c>
      <c r="AX782" s="59" t="n">
        <f aca="false">IF(CH782&gt;0,CH782*MAX(1,AV782/X782),IF(BT782=1,IF(AV782&lt;=0,0,BW782*MAX(1,IF(H782&gt;0,AV782/H782,1))),IF(R782&gt;0,AW782/R782,0))/MAX(0.1,N(Parameter!$M$21)))</f>
        <v>0.25</v>
      </c>
      <c r="AY782" s="57" t="n">
        <f aca="false">AV782*G782</f>
        <v>182.91</v>
      </c>
      <c r="AZ782" s="57" t="n">
        <f aca="false">ROUNDUP(MAX(J782/IF(BZ782&gt;0,BZ782,MAX(0.1,N(Cockpit!$O$6))),CC782)/BS782,0)*BS782</f>
        <v>1407</v>
      </c>
      <c r="BA782" s="58" t="n">
        <f aca="false">IF(AX782&gt;0,J782/AX782,-1)</f>
        <v>4784</v>
      </c>
      <c r="BB782" s="58" t="n">
        <f aca="false">IF(AND(OR(BY782="L1",BY782="L23"),AX782&gt;0),SUMIFS($AX$7:$AX$1843,$BY$7:$BY$1843,BY782,$BA$7:$BA$1843,"&gt;"&amp;BA782)+SUMIFS($AX$7:$AX$1843,$BY$7:$BY$1843,BY782,$BA$7:$BA$1843,BA782,$BQ$7:$BQ$1843,"&lt;="&amp;BQ782),"")</f>
        <v>11.2194267085571</v>
      </c>
      <c r="BC782" s="65" t="n">
        <f aca="false">IF(BB782="",0,MAX(0,MIN(1,(IF(BY782="L1",Parameter!$E$5,Parameter!$E$6+Parameter!$E$7)-(BB782-AX782))/AX782)))</f>
        <v>1</v>
      </c>
      <c r="BD782" s="55" t="str">
        <f aca="false">IF(AH782&lt;=0,"",IF(BY782="Aussen","Aussenlager",IF(BY782="-","Nicht im Lift",IF(AM782&gt;=1,"Lift",IF(AM782&lt;=0,"Aussenlager","teilweise")))))</f>
        <v>Lift</v>
      </c>
      <c r="BE782" s="55" t="str">
        <f aca="false">IF(AP782&lt;=0,"",IF(BY782="Aussen","Aussenlager",IF(BY782="-","Nicht im Lift",IF(AU782&gt;=1,"Lift",IF(AU782&lt;=0,"Aussenlager","teilweise")))))</f>
        <v>Lift</v>
      </c>
      <c r="BF782" s="55" t="str">
        <f aca="false">IF(AX782&lt;=0,"",IF(BY782="Aussen","Aussenlager",IF(BY782="-","Nicht im Lift",IF(BC782&gt;=1,"Lift",IF(BC782&lt;=0,"Aussenlager","teilweise")))))</f>
        <v>Lift</v>
      </c>
      <c r="BG782" s="55" t="str">
        <f aca="false">IF(A782="","",IF(BP782=1,"Neu; ","")&amp;IF(AND(BP782=0,BK782&lt;0),"negativer Bestand (Export "&amp;BK782&amp;"); ","")&amp;IF(J782&lt;=0,"Kein Verbrauch; ","")&amp;IF(CH782&gt;0,"Lift "&amp;W782&amp;" lt. Liftbericht (Fach "&amp;X782&amp;" Stk); ",IF(BU782=1,"Gebinde geschätzt ("&amp;T782&amp;"); ",IF(BT782=1,"Lose – Tablare geschätzt; ","")))&amp;IF(H782&gt;AR782,"Überbestand "&amp;ROUND(H782-AR782,0)&amp;" Stk / CHF "&amp;ROUND((H782-AR782)*G782,0)&amp;"; ","")&amp;IF(AND(CA782=1,CB782&lt;CC782),"MAX &lt; MB+LG; ","")&amp;IF(AND(CG782&gt;0,CF782*10&gt;CG782),"zu hoch für Tablar; ","")&amp;IF(AND(BP782=0,OR(CA782=1,AA782&lt;&gt;"",U782&lt;&gt;"",V782&lt;&gt;"",AB782&lt;&gt;"")),"manuell übersteuert; ","")&amp;IF(AND(BT782=0,R782=0),"Gebinde unbekannt / Stellmass fehlt; ","")&amp;IF(AND(BT782=0,N(V782)&lt;=0,N(Q782)&lt;=0),"Menge pro Gebinde fehlt (Ist = 1 Gebinde); ","")&amp;BO782)</f>
        <v>negativer Bestand (Export -16); </v>
      </c>
      <c r="BH782" s="55"/>
      <c r="BI782" s="55"/>
      <c r="BJ782" s="62"/>
      <c r="BK782" s="57" t="n">
        <v>-16</v>
      </c>
      <c r="BL782" s="57" t="n">
        <v>1018</v>
      </c>
      <c r="BM782" s="56" t="n">
        <v>-2.07999999999998</v>
      </c>
      <c r="BN782" s="57" t="n">
        <v>1196</v>
      </c>
      <c r="BO782" s="55"/>
      <c r="BP782" s="60" t="n">
        <v>0</v>
      </c>
      <c r="BQ782" s="60" t="n">
        <v>782</v>
      </c>
      <c r="BR782" s="55" t="str">
        <f aca="false">IF(U782&lt;&gt;"",UPPER(TRIM(U782)),IF(BU782=1,UPPER(VLOOKUP(T782,Parameter!$I$27:$K$29,2,0)),IF(P782="","LOSE",P782)))</f>
        <v>S62</v>
      </c>
      <c r="BS782" s="57" t="n">
        <f aca="false">IF(BR782="LOSE",1,IF(N(V782)&gt;0,V782,IF(BU782=1,MAX(1,N(VLOOKUP(T782,Parameter!$I$27:$K$29,3,0)),H782,N(N782)),IF(N(Q782)&gt;0,Q782,MAX(1,H782)))))</f>
        <v>469</v>
      </c>
      <c r="BT782" s="60" t="n">
        <f aca="false">IF(BR782="LOSE",1,0)</f>
        <v>0</v>
      </c>
      <c r="BU782" s="60" t="n">
        <f aca="false">IF(AND(U782="",OR(P782="",P782="LOSE"),T782&lt;&gt;"",N(S782)&lt;=0,ISNUMBER(MATCH(T782,Parameter!$I$27:$I$29,0))),1,0)</f>
        <v>0</v>
      </c>
      <c r="BV782" s="55" t="str">
        <f aca="false">IF(AND(Parameter!$B$19="Ja",E782&lt;&gt;"",ISNUMBER(MATCH(E782,Parameter!$I$35:$I$52,0))),VLOOKUP(E782,Parameter!$I$35:$J$52,2,0),IFERROR(VLOOKUP(D782,Parameter!$A$35:$C$64,2,0),"Nein"))</f>
        <v>2+3</v>
      </c>
      <c r="BW782" s="59" t="n">
        <f aca="false">IF(BT782=0,0,IF(N(S782)&gt;0,S782,IFERROR(VLOOKUP(D782,Parameter!$A$35:$C$64,3,0)+0,0)))</f>
        <v>0</v>
      </c>
      <c r="BX782" s="55" t="n">
        <f aca="false">IF(AA782&lt;&gt;"",AA782,Z782)</f>
        <v>2</v>
      </c>
      <c r="BY782" s="55" t="str">
        <f aca="false">IF(BX782=1,"L1",IF(OR(BX782=2,BX782=3),"L23",IF(BX782="Aussen","Aussen","-")))</f>
        <v>L23</v>
      </c>
      <c r="BZ782" s="66" t="n">
        <f aca="false">IF(N(AB782)&gt;0,AB782,0)</f>
        <v>0</v>
      </c>
      <c r="CA782" s="60" t="n">
        <f aca="false">IF(ISNUMBER(AE782),1,0)</f>
        <v>0</v>
      </c>
      <c r="CB782" s="57" t="n">
        <f aca="false">N(AE782)</f>
        <v>0</v>
      </c>
      <c r="CC782" s="57" t="n">
        <f aca="false">N(M782)+N(N782)</f>
        <v>1370</v>
      </c>
      <c r="CD782" s="57" t="n">
        <f aca="false">ROUNDUP(H782/BS782,0)</f>
        <v>3</v>
      </c>
      <c r="CE782" s="57" t="n">
        <f aca="false">ROUNDUP(CB782/BS782,0)</f>
        <v>0</v>
      </c>
      <c r="CF782" s="60" t="n">
        <f aca="false">IF(BT782=1,0,IFERROR(VLOOKUP(BR782,'Gebinde-Kategorie'!$A$5:$M$45,5,0)+0,0))</f>
        <v>21</v>
      </c>
      <c r="CG782" s="60" t="n">
        <f aca="false">IFERROR(IF(OR(BX782=1,BX782=2,BX782=3),N(INDEX(Parameter!$I$5:$I$7,BX782)),0),0)</f>
        <v>0</v>
      </c>
      <c r="CH782" s="59" t="n">
        <f aca="false">IF(AND(Parameter!$B$21="Ja",ISNUMBER(W782),N(X782)&gt;0),IFERROR(N(INDEX(Parameter!$L$5:$L$7,W782))*INDEX(Parameter!$E$5:$E$7,W782)*X782/SUMIFS($X$7:$X$1843,$W$7:$W$1843,W782),0),0)</f>
        <v>0</v>
      </c>
    </row>
    <row r="783" customFormat="false" ht="15" hidden="false" customHeight="false" outlineLevel="0" collapsed="false">
      <c r="A783" s="55" t="s">
        <v>1529</v>
      </c>
      <c r="B783" s="55" t="s">
        <v>907</v>
      </c>
      <c r="C783" s="55" t="s">
        <v>167</v>
      </c>
      <c r="D783" s="55" t="s">
        <v>184</v>
      </c>
      <c r="E783" s="55" t="s">
        <v>185</v>
      </c>
      <c r="F783" s="55" t="s">
        <v>218</v>
      </c>
      <c r="G783" s="56" t="n">
        <v>0.52</v>
      </c>
      <c r="H783" s="57" t="n">
        <f aca="false">MAX(0,IF(AND(Parameter!$B$21="Ja",ISNUMBER(Y783)),Y783,IF(Parameter!$B$20="Jahresanfang 2025 + Export",BL783+BK783,BK783)))</f>
        <v>45</v>
      </c>
      <c r="I783" s="57" t="n">
        <f aca="false">H783*G783</f>
        <v>23.4</v>
      </c>
      <c r="J783" s="57" t="n">
        <f aca="false">BN783*Parameter!$B$18</f>
        <v>0</v>
      </c>
      <c r="K783" s="58" t="n">
        <v>47</v>
      </c>
      <c r="L783" s="59" t="n">
        <v>0</v>
      </c>
      <c r="M783" s="57" t="n">
        <v>0</v>
      </c>
      <c r="N783" s="57" t="n">
        <v>1</v>
      </c>
      <c r="O783" s="60" t="n">
        <v>14</v>
      </c>
      <c r="P783" s="55" t="s">
        <v>328</v>
      </c>
      <c r="Q783" s="57" t="n">
        <v>96</v>
      </c>
      <c r="R783" s="60" t="n">
        <f aca="false">IF(BT783=1,0,IFERROR(VLOOKUP(BR783,'Gebinde-Kategorie'!$A$5:$M$45,13,0)+0,0))</f>
        <v>52</v>
      </c>
      <c r="S783" s="61"/>
      <c r="T783" s="62"/>
      <c r="U783" s="62"/>
      <c r="V783" s="62"/>
      <c r="W783" s="55"/>
      <c r="X783" s="57"/>
      <c r="Y783" s="57"/>
      <c r="Z783" s="55" t="n">
        <f aca="false">IF(A783="","",IF(AND(Parameter!$B$21="Ja",ISNUMBER(W783)),W783,IF(BV783="2+3",IF(ISNUMBER(SEARCH("grosser Artikel",BO783)),2,IFERROR(VLOOKUP(BR783,Parameter!$F$35:$G$64,2,0),2)),IF(OR(BV783="Nein",BV783=""),"-",BV783))))</f>
        <v>3</v>
      </c>
      <c r="AA783" s="62"/>
      <c r="AB783" s="63"/>
      <c r="AC783" s="57" t="n">
        <f aca="false">AR783</f>
        <v>96</v>
      </c>
      <c r="AD783" s="57" t="n">
        <f aca="false">MAX(AR783,H783)</f>
        <v>96</v>
      </c>
      <c r="AE783" s="64"/>
      <c r="AF783" s="57" t="n">
        <f aca="false">IF(LEFT(Cockpit!$C$5,1)="A",H783,IF(CA783=1,CB783,IF(LEFT(Cockpit!$C$5,1)="B",AJ783,MAX(AJ783,H783))))</f>
        <v>45</v>
      </c>
      <c r="AG783" s="57" t="n">
        <f aca="false">IF(BT783=1,0,ROUNDUP(AF783/BS783,0))</f>
        <v>1</v>
      </c>
      <c r="AH783" s="59" t="n">
        <f aca="false">IF(CH783&gt;0,CH783*MAX(1,AF783/X783),IF(BT783=1,IF(AF783&lt;=0,0,BW783*MAX(1,IF(H783&gt;0,AF783/H783,1))),IF(R783&gt;0,AG783/R783,0))/MAX(0.1,N(Parameter!$M$21)))</f>
        <v>0.0192307692307692</v>
      </c>
      <c r="AI783" s="57" t="n">
        <f aca="false">AF783*G783</f>
        <v>23.4</v>
      </c>
      <c r="AJ783" s="57" t="n">
        <f aca="false">ROUNDUP(MAX(J783/IF(BZ783&gt;0,BZ783,MAX(0.1,N(Cockpit!$C$6))),CC783)/BS783,0)*BS783</f>
        <v>96</v>
      </c>
      <c r="AK783" s="58" t="n">
        <f aca="false">IF(AH783&gt;0,J783/AH783,-1)</f>
        <v>0</v>
      </c>
      <c r="AL783" s="58" t="n">
        <f aca="false">IF(AND(OR(BY783="L1",BY783="L23"),AH783&gt;0),SUMIFS($AH$7:$AH$1843,$BY$7:$BY$1843,BY783,$AK$7:$AK$1843,"&gt;"&amp;AK783)+SUMIFS($AH$7:$AH$1843,$BY$7:$BY$1843,BY783,$AK$7:$AK$1843,AK783,$BQ$7:$BQ$1843,"&lt;="&amp;BQ783),"")</f>
        <v>77.5265193743455</v>
      </c>
      <c r="AM783" s="65" t="n">
        <f aca="false">IF(AL783="",0,MAX(0,MIN(1,(IF(BY783="L1",Parameter!$E$5,Parameter!$E$6+Parameter!$E$7)-(AL783-AH783))/AH783)))</f>
        <v>1</v>
      </c>
      <c r="AN783" s="57" t="n">
        <f aca="false">IF(LEFT(Cockpit!$I$5,1)="A",H783,IF(CA783=1,CB783,IF(LEFT(Cockpit!$I$5,1)="B",AR783,MAX(AR783,H783))))</f>
        <v>96</v>
      </c>
      <c r="AO783" s="57" t="n">
        <f aca="false">IF(BT783=1,0,ROUNDUP(AN783/BS783,0))</f>
        <v>1</v>
      </c>
      <c r="AP783" s="59" t="n">
        <f aca="false">IF(CH783&gt;0,CH783*MAX(1,AN783/X783),IF(BT783=1,IF(AN783&lt;=0,0,BW783*MAX(1,IF(H783&gt;0,AN783/H783,1))),IF(R783&gt;0,AO783/R783,0))/MAX(0.1,N(Parameter!$M$21)))</f>
        <v>0.0192307692307692</v>
      </c>
      <c r="AQ783" s="57" t="n">
        <f aca="false">AN783*G783</f>
        <v>49.92</v>
      </c>
      <c r="AR783" s="57" t="n">
        <f aca="false">ROUNDUP(MAX(J783/IF(BZ783&gt;0,BZ783,MAX(0.1,N(Cockpit!$I$6))),CC783)/BS783,0)*BS783</f>
        <v>96</v>
      </c>
      <c r="AS783" s="58" t="n">
        <f aca="false">IF(AP783&gt;0,J783/AP783,-1)</f>
        <v>0</v>
      </c>
      <c r="AT783" s="58" t="n">
        <f aca="false">IF(AND(OR(BY783="L1",BY783="L23"),AP783&gt;0),SUMIFS($AP$7:$AP$1843,$BY$7:$BY$1843,BY783,$AS$7:$AS$1843,"&gt;"&amp;AS783)+SUMIFS($AP$7:$AP$1843,$BY$7:$BY$1843,BY783,$AS$7:$AS$1843,AS783,$BQ$7:$BQ$1843,"&lt;="&amp;BQ783),"")</f>
        <v>118.356905172123</v>
      </c>
      <c r="AU783" s="65" t="n">
        <f aca="false">IF(AT783="",0,MAX(0,MIN(1,(IF(BY783="L1",Parameter!$E$5,Parameter!$E$6+Parameter!$E$7)-(AT783-AP783))/AP783)))</f>
        <v>0</v>
      </c>
      <c r="AV783" s="57" t="n">
        <f aca="false">IF(LEFT(Cockpit!$O$5,1)="A",H783,IF(CA783=1,CB783,IF(LEFT(Cockpit!$O$5,1)="B",AZ783,MAX(AZ783,H783))))</f>
        <v>96</v>
      </c>
      <c r="AW783" s="57" t="n">
        <f aca="false">IF(BT783=1,0,ROUNDUP(AV783/BS783,0))</f>
        <v>1</v>
      </c>
      <c r="AX783" s="59" t="n">
        <f aca="false">IF(CH783&gt;0,CH783*MAX(1,AV783/X783),IF(BT783=1,IF(AV783&lt;=0,0,BW783*MAX(1,IF(H783&gt;0,AV783/H783,1))),IF(R783&gt;0,AW783/R783,0))/MAX(0.1,N(Parameter!$M$21)))</f>
        <v>0.0192307692307692</v>
      </c>
      <c r="AY783" s="57" t="n">
        <f aca="false">AV783*G783</f>
        <v>49.92</v>
      </c>
      <c r="AZ783" s="57" t="n">
        <f aca="false">ROUNDUP(MAX(J783/IF(BZ783&gt;0,BZ783,MAX(0.1,N(Cockpit!$O$6))),CC783)/BS783,0)*BS783</f>
        <v>96</v>
      </c>
      <c r="BA783" s="58" t="n">
        <f aca="false">IF(AX783&gt;0,J783/AX783,-1)</f>
        <v>0</v>
      </c>
      <c r="BB783" s="58" t="n">
        <f aca="false">IF(AND(OR(BY783="L1",BY783="L23"),AX783&gt;0),SUMIFS($AX$7:$AX$1843,$BY$7:$BY$1843,BY783,$BA$7:$BA$1843,"&gt;"&amp;BA783)+SUMIFS($AX$7:$AX$1843,$BY$7:$BY$1843,BY783,$BA$7:$BA$1843,BA783,$BQ$7:$BQ$1843,"&lt;="&amp;BQ783),"")</f>
        <v>109.186742001959</v>
      </c>
      <c r="BC783" s="65" t="n">
        <f aca="false">IF(BB783="",0,MAX(0,MIN(1,(IF(BY783="L1",Parameter!$E$5,Parameter!$E$6+Parameter!$E$7)-(BB783-AX783))/AX783)))</f>
        <v>0</v>
      </c>
      <c r="BD783" s="55" t="str">
        <f aca="false">IF(AH783&lt;=0,"",IF(BY783="Aussen","Aussenlager",IF(BY783="-","Nicht im Lift",IF(AM783&gt;=1,"Lift",IF(AM783&lt;=0,"Aussenlager","teilweise")))))</f>
        <v>Lift</v>
      </c>
      <c r="BE783" s="55" t="str">
        <f aca="false">IF(AP783&lt;=0,"",IF(BY783="Aussen","Aussenlager",IF(BY783="-","Nicht im Lift",IF(AU783&gt;=1,"Lift",IF(AU783&lt;=0,"Aussenlager","teilweise")))))</f>
        <v>Aussenlager</v>
      </c>
      <c r="BF783" s="55" t="str">
        <f aca="false">IF(AX783&lt;=0,"",IF(BY783="Aussen","Aussenlager",IF(BY783="-","Nicht im Lift",IF(BC783&gt;=1,"Lift",IF(BC783&lt;=0,"Aussenlager","teilweise")))))</f>
        <v>Aussenlager</v>
      </c>
      <c r="BG783" s="55" t="str">
        <f aca="false">IF(A783="","",IF(BP783=1,"Neu; ","")&amp;IF(AND(BP783=0,BK783&lt;0),"negativer Bestand (Export "&amp;BK783&amp;"); ","")&amp;IF(J783&lt;=0,"Kein Verbrauch; ","")&amp;IF(CH783&gt;0,"Lift "&amp;W783&amp;" lt. Liftbericht (Fach "&amp;X783&amp;" Stk); ",IF(BU783=1,"Gebinde geschätzt ("&amp;T783&amp;"); ",IF(BT783=1,"Lose – Tablare geschätzt; ","")))&amp;IF(H783&gt;AR783,"Überbestand "&amp;ROUND(H783-AR783,0)&amp;" Stk / CHF "&amp;ROUND((H783-AR783)*G783,0)&amp;"; ","")&amp;IF(AND(CA783=1,CB783&lt;CC783),"MAX &lt; MB+LG; ","")&amp;IF(AND(CG783&gt;0,CF783*10&gt;CG783),"zu hoch für Tablar; ","")&amp;IF(AND(BP783=0,OR(CA783=1,AA783&lt;&gt;"",U783&lt;&gt;"",V783&lt;&gt;"",AB783&lt;&gt;"")),"manuell übersteuert; ","")&amp;IF(AND(BT783=0,R783=0),"Gebinde unbekannt / Stellmass fehlt; ","")&amp;IF(AND(BT783=0,N(V783)&lt;=0,N(Q783)&lt;=0),"Menge pro Gebinde fehlt (Ist = 1 Gebinde); ","")&amp;BO783)</f>
        <v>negativer Bestand (Export -4); Kein Verbrauch; </v>
      </c>
      <c r="BH783" s="55"/>
      <c r="BI783" s="55"/>
      <c r="BJ783" s="62"/>
      <c r="BK783" s="57" t="n">
        <v>-4</v>
      </c>
      <c r="BL783" s="57" t="n">
        <v>49</v>
      </c>
      <c r="BM783" s="56" t="n">
        <v>-2.08</v>
      </c>
      <c r="BN783" s="57" t="n">
        <v>0</v>
      </c>
      <c r="BO783" s="55"/>
      <c r="BP783" s="60" t="n">
        <v>0</v>
      </c>
      <c r="BQ783" s="60" t="n">
        <v>783</v>
      </c>
      <c r="BR783" s="55" t="str">
        <f aca="false">IF(U783&lt;&gt;"",UPPER(TRIM(U783)),IF(BU783=1,UPPER(VLOOKUP(T783,Parameter!$I$27:$K$29,2,0)),IF(P783="","LOSE",P783)))</f>
        <v>S41</v>
      </c>
      <c r="BS783" s="57" t="n">
        <f aca="false">IF(BR783="LOSE",1,IF(N(V783)&gt;0,V783,IF(BU783=1,MAX(1,N(VLOOKUP(T783,Parameter!$I$27:$K$29,3,0)),H783,N(N783)),IF(N(Q783)&gt;0,Q783,MAX(1,H783)))))</f>
        <v>96</v>
      </c>
      <c r="BT783" s="60" t="n">
        <f aca="false">IF(BR783="LOSE",1,0)</f>
        <v>0</v>
      </c>
      <c r="BU783" s="60" t="n">
        <f aca="false">IF(AND(U783="",OR(P783="",P783="LOSE"),T783&lt;&gt;"",N(S783)&lt;=0,ISNUMBER(MATCH(T783,Parameter!$I$27:$I$29,0))),1,0)</f>
        <v>0</v>
      </c>
      <c r="BV783" s="55" t="str">
        <f aca="false">IF(AND(Parameter!$B$19="Ja",E783&lt;&gt;"",ISNUMBER(MATCH(E783,Parameter!$I$35:$I$52,0))),VLOOKUP(E783,Parameter!$I$35:$J$52,2,0),IFERROR(VLOOKUP(D783,Parameter!$A$35:$C$64,2,0),"Nein"))</f>
        <v>2+3</v>
      </c>
      <c r="BW783" s="59" t="n">
        <f aca="false">IF(BT783=0,0,IF(N(S783)&gt;0,S783,IFERROR(VLOOKUP(D783,Parameter!$A$35:$C$64,3,0)+0,0)))</f>
        <v>0</v>
      </c>
      <c r="BX783" s="55" t="n">
        <f aca="false">IF(AA783&lt;&gt;"",AA783,Z783)</f>
        <v>3</v>
      </c>
      <c r="BY783" s="55" t="str">
        <f aca="false">IF(BX783=1,"L1",IF(OR(BX783=2,BX783=3),"L23",IF(BX783="Aussen","Aussen","-")))</f>
        <v>L23</v>
      </c>
      <c r="BZ783" s="66" t="n">
        <f aca="false">IF(N(AB783)&gt;0,AB783,0)</f>
        <v>0</v>
      </c>
      <c r="CA783" s="60" t="n">
        <f aca="false">IF(ISNUMBER(AE783),1,0)</f>
        <v>0</v>
      </c>
      <c r="CB783" s="57" t="n">
        <f aca="false">N(AE783)</f>
        <v>0</v>
      </c>
      <c r="CC783" s="57" t="n">
        <f aca="false">N(M783)+N(N783)</f>
        <v>1</v>
      </c>
      <c r="CD783" s="57" t="n">
        <f aca="false">ROUNDUP(H783/BS783,0)</f>
        <v>1</v>
      </c>
      <c r="CE783" s="57" t="n">
        <f aca="false">ROUNDUP(CB783/BS783,0)</f>
        <v>0</v>
      </c>
      <c r="CF783" s="60" t="n">
        <f aca="false">IF(BT783=1,0,IFERROR(VLOOKUP(BR783,'Gebinde-Kategorie'!$A$5:$M$45,5,0)+0,0))</f>
        <v>11</v>
      </c>
      <c r="CG783" s="60" t="n">
        <f aca="false">IFERROR(IF(OR(BX783=1,BX783=2,BX783=3),N(INDEX(Parameter!$I$5:$I$7,BX783)),0),0)</f>
        <v>0</v>
      </c>
      <c r="CH783" s="59" t="n">
        <f aca="false">IF(AND(Parameter!$B$21="Ja",ISNUMBER(W783),N(X783)&gt;0),IFERROR(N(INDEX(Parameter!$L$5:$L$7,W783))*INDEX(Parameter!$E$5:$E$7,W783)*X783/SUMIFS($X$7:$X$1843,$W$7:$W$1843,W783),0),0)</f>
        <v>0</v>
      </c>
    </row>
    <row r="784" customFormat="false" ht="15" hidden="false" customHeight="false" outlineLevel="0" collapsed="false">
      <c r="A784" s="55" t="s">
        <v>1530</v>
      </c>
      <c r="B784" s="55" t="s">
        <v>1531</v>
      </c>
      <c r="C784" s="55" t="s">
        <v>164</v>
      </c>
      <c r="D784" s="55" t="s">
        <v>184</v>
      </c>
      <c r="E784" s="55" t="s">
        <v>185</v>
      </c>
      <c r="F784" s="55" t="s">
        <v>218</v>
      </c>
      <c r="G784" s="56" t="n">
        <v>0.45</v>
      </c>
      <c r="H784" s="57" t="n">
        <f aca="false">MAX(0,IF(AND(Parameter!$B$21="Ja",ISNUMBER(Y784)),Y784,IF(Parameter!$B$20="Jahresanfang 2025 + Export",BL784+BK784,BK784)))</f>
        <v>45</v>
      </c>
      <c r="I784" s="57" t="n">
        <f aca="false">H784*G784</f>
        <v>20.25</v>
      </c>
      <c r="J784" s="57" t="n">
        <f aca="false">BN784*Parameter!$B$18</f>
        <v>0</v>
      </c>
      <c r="K784" s="58" t="n">
        <v>53</v>
      </c>
      <c r="L784" s="59" t="n">
        <v>0</v>
      </c>
      <c r="M784" s="57" t="n">
        <v>0</v>
      </c>
      <c r="N784" s="57" t="n">
        <v>1</v>
      </c>
      <c r="O784" s="60" t="n">
        <v>49</v>
      </c>
      <c r="P784" s="55" t="s">
        <v>401</v>
      </c>
      <c r="Q784" s="57" t="n">
        <v>56</v>
      </c>
      <c r="R784" s="60" t="n">
        <f aca="false">IF(BT784=1,0,IFERROR(VLOOKUP(BR784,'Gebinde-Kategorie'!$A$5:$M$45,13,0)+0,0))</f>
        <v>414</v>
      </c>
      <c r="S784" s="61"/>
      <c r="T784" s="62"/>
      <c r="U784" s="62"/>
      <c r="V784" s="62"/>
      <c r="W784" s="55"/>
      <c r="X784" s="57"/>
      <c r="Y784" s="57"/>
      <c r="Z784" s="55" t="n">
        <f aca="false">IF(A784="","",IF(AND(Parameter!$B$21="Ja",ISNUMBER(W784)),W784,IF(BV784="2+3",IF(ISNUMBER(SEARCH("grosser Artikel",BO784)),2,IFERROR(VLOOKUP(BR784,Parameter!$F$35:$G$64,2,0),2)),IF(OR(BV784="Nein",BV784=""),"-",BV784))))</f>
        <v>3</v>
      </c>
      <c r="AA784" s="62"/>
      <c r="AB784" s="63"/>
      <c r="AC784" s="57" t="n">
        <f aca="false">AR784</f>
        <v>56</v>
      </c>
      <c r="AD784" s="57" t="n">
        <f aca="false">MAX(AR784,H784)</f>
        <v>56</v>
      </c>
      <c r="AE784" s="64"/>
      <c r="AF784" s="57" t="n">
        <f aca="false">IF(LEFT(Cockpit!$C$5,1)="A",H784,IF(CA784=1,CB784,IF(LEFT(Cockpit!$C$5,1)="B",AJ784,MAX(AJ784,H784))))</f>
        <v>45</v>
      </c>
      <c r="AG784" s="57" t="n">
        <f aca="false">IF(BT784=1,0,ROUNDUP(AF784/BS784,0))</f>
        <v>1</v>
      </c>
      <c r="AH784" s="59" t="n">
        <f aca="false">IF(CH784&gt;0,CH784*MAX(1,AF784/X784),IF(BT784=1,IF(AF784&lt;=0,0,BW784*MAX(1,IF(H784&gt;0,AF784/H784,1))),IF(R784&gt;0,AG784/R784,0))/MAX(0.1,N(Parameter!$M$21)))</f>
        <v>0.00241545893719807</v>
      </c>
      <c r="AI784" s="57" t="n">
        <f aca="false">AF784*G784</f>
        <v>20.25</v>
      </c>
      <c r="AJ784" s="57" t="n">
        <f aca="false">ROUNDUP(MAX(J784/IF(BZ784&gt;0,BZ784,MAX(0.1,N(Cockpit!$C$6))),CC784)/BS784,0)*BS784</f>
        <v>56</v>
      </c>
      <c r="AK784" s="58" t="n">
        <f aca="false">IF(AH784&gt;0,J784/AH784,-1)</f>
        <v>0</v>
      </c>
      <c r="AL784" s="58" t="n">
        <f aca="false">IF(AND(OR(BY784="L1",BY784="L23"),AH784&gt;0),SUMIFS($AH$7:$AH$1843,$BY$7:$BY$1843,BY784,$AK$7:$AK$1843,"&gt;"&amp;AK784)+SUMIFS($AH$7:$AH$1843,$BY$7:$BY$1843,BY784,$AK$7:$AK$1843,AK784,$BQ$7:$BQ$1843,"&lt;="&amp;BQ784),"")</f>
        <v>77.5289348332827</v>
      </c>
      <c r="AM784" s="65" t="n">
        <f aca="false">IF(AL784="",0,MAX(0,MIN(1,(IF(BY784="L1",Parameter!$E$5,Parameter!$E$6+Parameter!$E$7)-(AL784-AH784))/AH784)))</f>
        <v>1</v>
      </c>
      <c r="AN784" s="57" t="n">
        <f aca="false">IF(LEFT(Cockpit!$I$5,1)="A",H784,IF(CA784=1,CB784,IF(LEFT(Cockpit!$I$5,1)="B",AR784,MAX(AR784,H784))))</f>
        <v>56</v>
      </c>
      <c r="AO784" s="57" t="n">
        <f aca="false">IF(BT784=1,0,ROUNDUP(AN784/BS784,0))</f>
        <v>1</v>
      </c>
      <c r="AP784" s="59" t="n">
        <f aca="false">IF(CH784&gt;0,CH784*MAX(1,AN784/X784),IF(BT784=1,IF(AN784&lt;=0,0,BW784*MAX(1,IF(H784&gt;0,AN784/H784,1))),IF(R784&gt;0,AO784/R784,0))/MAX(0.1,N(Parameter!$M$21)))</f>
        <v>0.00241545893719807</v>
      </c>
      <c r="AQ784" s="57" t="n">
        <f aca="false">AN784*G784</f>
        <v>25.2</v>
      </c>
      <c r="AR784" s="57" t="n">
        <f aca="false">ROUNDUP(MAX(J784/IF(BZ784&gt;0,BZ784,MAX(0.1,N(Cockpit!$I$6))),CC784)/BS784,0)*BS784</f>
        <v>56</v>
      </c>
      <c r="AS784" s="58" t="n">
        <f aca="false">IF(AP784&gt;0,J784/AP784,-1)</f>
        <v>0</v>
      </c>
      <c r="AT784" s="58" t="n">
        <f aca="false">IF(AND(OR(BY784="L1",BY784="L23"),AP784&gt;0),SUMIFS($AP$7:$AP$1843,$BY$7:$BY$1843,BY784,$AS$7:$AS$1843,"&gt;"&amp;AS784)+SUMIFS($AP$7:$AP$1843,$BY$7:$BY$1843,BY784,$AS$7:$AS$1843,AS784,$BQ$7:$BQ$1843,"&lt;="&amp;BQ784),"")</f>
        <v>118.35932063106</v>
      </c>
      <c r="AU784" s="65" t="n">
        <f aca="false">IF(AT784="",0,MAX(0,MIN(1,(IF(BY784="L1",Parameter!$E$5,Parameter!$E$6+Parameter!$E$7)-(AT784-AP784))/AP784)))</f>
        <v>0</v>
      </c>
      <c r="AV784" s="57" t="n">
        <f aca="false">IF(LEFT(Cockpit!$O$5,1)="A",H784,IF(CA784=1,CB784,IF(LEFT(Cockpit!$O$5,1)="B",AZ784,MAX(AZ784,H784))))</f>
        <v>56</v>
      </c>
      <c r="AW784" s="57" t="n">
        <f aca="false">IF(BT784=1,0,ROUNDUP(AV784/BS784,0))</f>
        <v>1</v>
      </c>
      <c r="AX784" s="59" t="n">
        <f aca="false">IF(CH784&gt;0,CH784*MAX(1,AV784/X784),IF(BT784=1,IF(AV784&lt;=0,0,BW784*MAX(1,IF(H784&gt;0,AV784/H784,1))),IF(R784&gt;0,AW784/R784,0))/MAX(0.1,N(Parameter!$M$21)))</f>
        <v>0.00241545893719807</v>
      </c>
      <c r="AY784" s="57" t="n">
        <f aca="false">AV784*G784</f>
        <v>25.2</v>
      </c>
      <c r="AZ784" s="57" t="n">
        <f aca="false">ROUNDUP(MAX(J784/IF(BZ784&gt;0,BZ784,MAX(0.1,N(Cockpit!$O$6))),CC784)/BS784,0)*BS784</f>
        <v>56</v>
      </c>
      <c r="BA784" s="58" t="n">
        <f aca="false">IF(AX784&gt;0,J784/AX784,-1)</f>
        <v>0</v>
      </c>
      <c r="BB784" s="58" t="n">
        <f aca="false">IF(AND(OR(BY784="L1",BY784="L23"),AX784&gt;0),SUMIFS($AX$7:$AX$1843,$BY$7:$BY$1843,BY784,$BA$7:$BA$1843,"&gt;"&amp;BA784)+SUMIFS($AX$7:$AX$1843,$BY$7:$BY$1843,BY784,$BA$7:$BA$1843,BA784,$BQ$7:$BQ$1843,"&lt;="&amp;BQ784),"")</f>
        <v>109.189157460897</v>
      </c>
      <c r="BC784" s="65" t="n">
        <f aca="false">IF(BB784="",0,MAX(0,MIN(1,(IF(BY784="L1",Parameter!$E$5,Parameter!$E$6+Parameter!$E$7)-(BB784-AX784))/AX784)))</f>
        <v>0</v>
      </c>
      <c r="BD784" s="55" t="str">
        <f aca="false">IF(AH784&lt;=0,"",IF(BY784="Aussen","Aussenlager",IF(BY784="-","Nicht im Lift",IF(AM784&gt;=1,"Lift",IF(AM784&lt;=0,"Aussenlager","teilweise")))))</f>
        <v>Lift</v>
      </c>
      <c r="BE784" s="55" t="str">
        <f aca="false">IF(AP784&lt;=0,"",IF(BY784="Aussen","Aussenlager",IF(BY784="-","Nicht im Lift",IF(AU784&gt;=1,"Lift",IF(AU784&lt;=0,"Aussenlager","teilweise")))))</f>
        <v>Aussenlager</v>
      </c>
      <c r="BF784" s="55" t="str">
        <f aca="false">IF(AX784&lt;=0,"",IF(BY784="Aussen","Aussenlager",IF(BY784="-","Nicht im Lift",IF(BC784&gt;=1,"Lift",IF(BC784&lt;=0,"Aussenlager","teilweise")))))</f>
        <v>Aussenlager</v>
      </c>
      <c r="BG784" s="55" t="str">
        <f aca="false">IF(A784="","",IF(BP784=1,"Neu; ","")&amp;IF(AND(BP784=0,BK784&lt;0),"negativer Bestand (Export "&amp;BK784&amp;"); ","")&amp;IF(J784&lt;=0,"Kein Verbrauch; ","")&amp;IF(CH784&gt;0,"Lift "&amp;W784&amp;" lt. Liftbericht (Fach "&amp;X784&amp;" Stk); ",IF(BU784=1,"Gebinde geschätzt ("&amp;T784&amp;"); ",IF(BT784=1,"Lose – Tablare geschätzt; ","")))&amp;IF(H784&gt;AR784,"Überbestand "&amp;ROUND(H784-AR784,0)&amp;" Stk / CHF "&amp;ROUND((H784-AR784)*G784,0)&amp;"; ","")&amp;IF(AND(CA784=1,CB784&lt;CC784),"MAX &lt; MB+LG; ","")&amp;IF(AND(CG784&gt;0,CF784*10&gt;CG784),"zu hoch für Tablar; ","")&amp;IF(AND(BP784=0,OR(CA784=1,AA784&lt;&gt;"",U784&lt;&gt;"",V784&lt;&gt;"",AB784&lt;&gt;"")),"manuell übersteuert; ","")&amp;IF(AND(BT784=0,R784=0),"Gebinde unbekannt / Stellmass fehlt; ","")&amp;IF(AND(BT784=0,N(V784)&lt;=0,N(Q784)&lt;=0),"Menge pro Gebinde fehlt (Ist = 1 Gebinde); ","")&amp;BO784)</f>
        <v>negativer Bestand (Export -5); Kein Verbrauch; </v>
      </c>
      <c r="BH784" s="55"/>
      <c r="BI784" s="55"/>
      <c r="BJ784" s="62"/>
      <c r="BK784" s="57" t="n">
        <v>-5</v>
      </c>
      <c r="BL784" s="57" t="n">
        <v>50</v>
      </c>
      <c r="BM784" s="56" t="n">
        <v>-2.25</v>
      </c>
      <c r="BN784" s="57" t="n">
        <v>0</v>
      </c>
      <c r="BO784" s="55"/>
      <c r="BP784" s="60" t="n">
        <v>0</v>
      </c>
      <c r="BQ784" s="60" t="n">
        <v>784</v>
      </c>
      <c r="BR784" s="55" t="str">
        <f aca="false">IF(U784&lt;&gt;"",UPPER(TRIM(U784)),IF(BU784=1,UPPER(VLOOKUP(T784,Parameter!$I$27:$K$29,2,0)),IF(P784="","LOSE",P784)))</f>
        <v>S21</v>
      </c>
      <c r="BS784" s="57" t="n">
        <f aca="false">IF(BR784="LOSE",1,IF(N(V784)&gt;0,V784,IF(BU784=1,MAX(1,N(VLOOKUP(T784,Parameter!$I$27:$K$29,3,0)),H784,N(N784)),IF(N(Q784)&gt;0,Q784,MAX(1,H784)))))</f>
        <v>56</v>
      </c>
      <c r="BT784" s="60" t="n">
        <f aca="false">IF(BR784="LOSE",1,0)</f>
        <v>0</v>
      </c>
      <c r="BU784" s="60" t="n">
        <f aca="false">IF(AND(U784="",OR(P784="",P784="LOSE"),T784&lt;&gt;"",N(S784)&lt;=0,ISNUMBER(MATCH(T784,Parameter!$I$27:$I$29,0))),1,0)</f>
        <v>0</v>
      </c>
      <c r="BV784" s="55" t="str">
        <f aca="false">IF(AND(Parameter!$B$19="Ja",E784&lt;&gt;"",ISNUMBER(MATCH(E784,Parameter!$I$35:$I$52,0))),VLOOKUP(E784,Parameter!$I$35:$J$52,2,0),IFERROR(VLOOKUP(D784,Parameter!$A$35:$C$64,2,0),"Nein"))</f>
        <v>2+3</v>
      </c>
      <c r="BW784" s="59" t="n">
        <f aca="false">IF(BT784=0,0,IF(N(S784)&gt;0,S784,IFERROR(VLOOKUP(D784,Parameter!$A$35:$C$64,3,0)+0,0)))</f>
        <v>0</v>
      </c>
      <c r="BX784" s="55" t="n">
        <f aca="false">IF(AA784&lt;&gt;"",AA784,Z784)</f>
        <v>3</v>
      </c>
      <c r="BY784" s="55" t="str">
        <f aca="false">IF(BX784=1,"L1",IF(OR(BX784=2,BX784=3),"L23",IF(BX784="Aussen","Aussen","-")))</f>
        <v>L23</v>
      </c>
      <c r="BZ784" s="66" t="n">
        <f aca="false">IF(N(AB784)&gt;0,AB784,0)</f>
        <v>0</v>
      </c>
      <c r="CA784" s="60" t="n">
        <f aca="false">IF(ISNUMBER(AE784),1,0)</f>
        <v>0</v>
      </c>
      <c r="CB784" s="57" t="n">
        <f aca="false">N(AE784)</f>
        <v>0</v>
      </c>
      <c r="CC784" s="57" t="n">
        <f aca="false">N(M784)+N(N784)</f>
        <v>1</v>
      </c>
      <c r="CD784" s="57" t="n">
        <f aca="false">ROUNDUP(H784/BS784,0)</f>
        <v>1</v>
      </c>
      <c r="CE784" s="57" t="n">
        <f aca="false">ROUNDUP(CB784/BS784,0)</f>
        <v>0</v>
      </c>
      <c r="CF784" s="60" t="n">
        <f aca="false">IF(BT784=1,0,IFERROR(VLOOKUP(BR784,'Gebinde-Kategorie'!$A$5:$M$45,5,0)+0,0))</f>
        <v>8</v>
      </c>
      <c r="CG784" s="60" t="n">
        <f aca="false">IFERROR(IF(OR(BX784=1,BX784=2,BX784=3),N(INDEX(Parameter!$I$5:$I$7,BX784)),0),0)</f>
        <v>0</v>
      </c>
      <c r="CH784" s="59" t="n">
        <f aca="false">IF(AND(Parameter!$B$21="Ja",ISNUMBER(W784),N(X784)&gt;0),IFERROR(N(INDEX(Parameter!$L$5:$L$7,W784))*INDEX(Parameter!$E$5:$E$7,W784)*X784/SUMIFS($X$7:$X$1843,$W$7:$W$1843,W784),0),0)</f>
        <v>0</v>
      </c>
    </row>
    <row r="785" customFormat="false" ht="15" hidden="false" customHeight="false" outlineLevel="0" collapsed="false">
      <c r="A785" s="55" t="s">
        <v>1532</v>
      </c>
      <c r="B785" s="55" t="s">
        <v>1236</v>
      </c>
      <c r="C785" s="55" t="s">
        <v>164</v>
      </c>
      <c r="D785" s="55" t="s">
        <v>184</v>
      </c>
      <c r="E785" s="55" t="s">
        <v>185</v>
      </c>
      <c r="F785" s="55" t="s">
        <v>218</v>
      </c>
      <c r="G785" s="56" t="n">
        <v>0.17</v>
      </c>
      <c r="H785" s="57" t="n">
        <f aca="false">MAX(0,IF(AND(Parameter!$B$21="Ja",ISNUMBER(Y785)),Y785,IF(Parameter!$B$20="Jahresanfang 2025 + Export",BL785+BK785,BK785)))</f>
        <v>488</v>
      </c>
      <c r="I785" s="57" t="n">
        <f aca="false">H785*G785</f>
        <v>82.96</v>
      </c>
      <c r="J785" s="57" t="n">
        <f aca="false">BN785*Parameter!$B$18</f>
        <v>8</v>
      </c>
      <c r="K785" s="58" t="n">
        <v>497.5</v>
      </c>
      <c r="L785" s="59" t="n">
        <v>0.0160804020100503</v>
      </c>
      <c r="M785" s="57" t="n">
        <v>0</v>
      </c>
      <c r="N785" s="57" t="n">
        <v>10</v>
      </c>
      <c r="O785" s="60" t="n">
        <v>21</v>
      </c>
      <c r="P785" s="55" t="s">
        <v>476</v>
      </c>
      <c r="Q785" s="57" t="n">
        <v>205</v>
      </c>
      <c r="R785" s="60" t="n">
        <f aca="false">IF(BT785=1,0,IFERROR(VLOOKUP(BR785,'Gebinde-Kategorie'!$A$5:$M$45,13,0)+0,0))</f>
        <v>66</v>
      </c>
      <c r="S785" s="61"/>
      <c r="T785" s="62"/>
      <c r="U785" s="62"/>
      <c r="V785" s="62"/>
      <c r="W785" s="55"/>
      <c r="X785" s="57"/>
      <c r="Y785" s="57"/>
      <c r="Z785" s="55" t="n">
        <f aca="false">IF(A785="","",IF(AND(Parameter!$B$21="Ja",ISNUMBER(W785)),W785,IF(BV785="2+3",IF(ISNUMBER(SEARCH("grosser Artikel",BO785)),2,IFERROR(VLOOKUP(BR785,Parameter!$F$35:$G$64,2,0),2)),IF(OR(BV785="Nein",BV785=""),"-",BV785))))</f>
        <v>3</v>
      </c>
      <c r="AA785" s="62"/>
      <c r="AB785" s="63"/>
      <c r="AC785" s="57" t="n">
        <f aca="false">AR785</f>
        <v>205</v>
      </c>
      <c r="AD785" s="57" t="n">
        <f aca="false">MAX(AR785,H785)</f>
        <v>488</v>
      </c>
      <c r="AE785" s="64"/>
      <c r="AF785" s="57" t="n">
        <f aca="false">IF(LEFT(Cockpit!$C$5,1)="A",H785,IF(CA785=1,CB785,IF(LEFT(Cockpit!$C$5,1)="B",AJ785,MAX(AJ785,H785))))</f>
        <v>488</v>
      </c>
      <c r="AG785" s="57" t="n">
        <f aca="false">IF(BT785=1,0,ROUNDUP(AF785/BS785,0))</f>
        <v>3</v>
      </c>
      <c r="AH785" s="59" t="n">
        <f aca="false">IF(CH785&gt;0,CH785*MAX(1,AF785/X785),IF(BT785=1,IF(AF785&lt;=0,0,BW785*MAX(1,IF(H785&gt;0,AF785/H785,1))),IF(R785&gt;0,AG785/R785,0))/MAX(0.1,N(Parameter!$M$21)))</f>
        <v>0.0454545454545455</v>
      </c>
      <c r="AI785" s="57" t="n">
        <f aca="false">AF785*G785</f>
        <v>82.96</v>
      </c>
      <c r="AJ785" s="57" t="n">
        <f aca="false">ROUNDUP(MAX(J785/IF(BZ785&gt;0,BZ785,MAX(0.1,N(Cockpit!$C$6))),CC785)/BS785,0)*BS785</f>
        <v>205</v>
      </c>
      <c r="AK785" s="58" t="n">
        <f aca="false">IF(AH785&gt;0,J785/AH785,-1)</f>
        <v>176</v>
      </c>
      <c r="AL785" s="58" t="n">
        <f aca="false">IF(AND(OR(BY785="L1",BY785="L23"),AH785&gt;0),SUMIFS($AH$7:$AH$1843,$BY$7:$BY$1843,BY785,$AK$7:$AK$1843,"&gt;"&amp;AK785)+SUMIFS($AH$7:$AH$1843,$BY$7:$BY$1843,BY785,$AK$7:$AK$1843,AK785,$BQ$7:$BQ$1843,"&lt;="&amp;BQ785),"")</f>
        <v>33.9712425255904</v>
      </c>
      <c r="AM785" s="65" t="n">
        <f aca="false">IF(AL785="",0,MAX(0,MIN(1,(IF(BY785="L1",Parameter!$E$5,Parameter!$E$6+Parameter!$E$7)-(AL785-AH785))/AH785)))</f>
        <v>1</v>
      </c>
      <c r="AN785" s="57" t="n">
        <f aca="false">IF(LEFT(Cockpit!$I$5,1)="A",H785,IF(CA785=1,CB785,IF(LEFT(Cockpit!$I$5,1)="B",AR785,MAX(AR785,H785))))</f>
        <v>488</v>
      </c>
      <c r="AO785" s="57" t="n">
        <f aca="false">IF(BT785=1,0,ROUNDUP(AN785/BS785,0))</f>
        <v>3</v>
      </c>
      <c r="AP785" s="59" t="n">
        <f aca="false">IF(CH785&gt;0,CH785*MAX(1,AN785/X785),IF(BT785=1,IF(AN785&lt;=0,0,BW785*MAX(1,IF(H785&gt;0,AN785/H785,1))),IF(R785&gt;0,AO785/R785,0))/MAX(0.1,N(Parameter!$M$21)))</f>
        <v>0.0454545454545455</v>
      </c>
      <c r="AQ785" s="57" t="n">
        <f aca="false">AN785*G785</f>
        <v>82.96</v>
      </c>
      <c r="AR785" s="57" t="n">
        <f aca="false">ROUNDUP(MAX(J785/IF(BZ785&gt;0,BZ785,MAX(0.1,N(Cockpit!$I$6))),CC785)/BS785,0)*BS785</f>
        <v>205</v>
      </c>
      <c r="AS785" s="58" t="n">
        <f aca="false">IF(AP785&gt;0,J785/AP785,-1)</f>
        <v>176</v>
      </c>
      <c r="AT785" s="58" t="n">
        <f aca="false">IF(AND(OR(BY785="L1",BY785="L23"),AP785&gt;0),SUMIFS($AP$7:$AP$1843,$BY$7:$BY$1843,BY785,$AS$7:$AS$1843,"&gt;"&amp;AS785)+SUMIFS($AP$7:$AP$1843,$BY$7:$BY$1843,BY785,$AS$7:$AS$1843,AS785,$BQ$7:$BQ$1843,"&lt;="&amp;BQ785),"")</f>
        <v>48.0882571534745</v>
      </c>
      <c r="AU785" s="65" t="n">
        <f aca="false">IF(AT785="",0,MAX(0,MIN(1,(IF(BY785="L1",Parameter!$E$5,Parameter!$E$6+Parameter!$E$7)-(AT785-AP785))/AP785)))</f>
        <v>1</v>
      </c>
      <c r="AV785" s="57" t="n">
        <f aca="false">IF(LEFT(Cockpit!$O$5,1)="A",H785,IF(CA785=1,CB785,IF(LEFT(Cockpit!$O$5,1)="B",AZ785,MAX(AZ785,H785))))</f>
        <v>488</v>
      </c>
      <c r="AW785" s="57" t="n">
        <f aca="false">IF(BT785=1,0,ROUNDUP(AV785/BS785,0))</f>
        <v>3</v>
      </c>
      <c r="AX785" s="59" t="n">
        <f aca="false">IF(CH785&gt;0,CH785*MAX(1,AV785/X785),IF(BT785=1,IF(AV785&lt;=0,0,BW785*MAX(1,IF(H785&gt;0,AV785/H785,1))),IF(R785&gt;0,AW785/R785,0))/MAX(0.1,N(Parameter!$M$21)))</f>
        <v>0.0454545454545455</v>
      </c>
      <c r="AY785" s="57" t="n">
        <f aca="false">AV785*G785</f>
        <v>82.96</v>
      </c>
      <c r="AZ785" s="57" t="n">
        <f aca="false">ROUNDUP(MAX(J785/IF(BZ785&gt;0,BZ785,MAX(0.1,N(Cockpit!$O$6))),CC785)/BS785,0)*BS785</f>
        <v>205</v>
      </c>
      <c r="BA785" s="58" t="n">
        <f aca="false">IF(AX785&gt;0,J785/AX785,-1)</f>
        <v>176</v>
      </c>
      <c r="BB785" s="58" t="n">
        <f aca="false">IF(AND(OR(BY785="L1",BY785="L23"),AX785&gt;0),SUMIFS($AX$7:$AX$1843,$BY$7:$BY$1843,BY785,$BA$7:$BA$1843,"&gt;"&amp;BA785)+SUMIFS($AX$7:$AX$1843,$BY$7:$BY$1843,BY785,$BA$7:$BA$1843,BA785,$BQ$7:$BQ$1843,"&lt;="&amp;BQ785),"")</f>
        <v>43.6680939833114</v>
      </c>
      <c r="BC785" s="65" t="n">
        <f aca="false">IF(BB785="",0,MAX(0,MIN(1,(IF(BY785="L1",Parameter!$E$5,Parameter!$E$6+Parameter!$E$7)-(BB785-AX785))/AX785)))</f>
        <v>1</v>
      </c>
      <c r="BD785" s="55" t="str">
        <f aca="false">IF(AH785&lt;=0,"",IF(BY785="Aussen","Aussenlager",IF(BY785="-","Nicht im Lift",IF(AM785&gt;=1,"Lift",IF(AM785&lt;=0,"Aussenlager","teilweise")))))</f>
        <v>Lift</v>
      </c>
      <c r="BE785" s="55" t="str">
        <f aca="false">IF(AP785&lt;=0,"",IF(BY785="Aussen","Aussenlager",IF(BY785="-","Nicht im Lift",IF(AU785&gt;=1,"Lift",IF(AU785&lt;=0,"Aussenlager","teilweise")))))</f>
        <v>Lift</v>
      </c>
      <c r="BF785" s="55" t="str">
        <f aca="false">IF(AX785&lt;=0,"",IF(BY785="Aussen","Aussenlager",IF(BY785="-","Nicht im Lift",IF(BC785&gt;=1,"Lift",IF(BC785&lt;=0,"Aussenlager","teilweise")))))</f>
        <v>Lift</v>
      </c>
      <c r="BG785" s="55" t="str">
        <f aca="false">IF(A785="","",IF(BP785=1,"Neu; ","")&amp;IF(AND(BP785=0,BK785&lt;0),"negativer Bestand (Export "&amp;BK785&amp;"); ","")&amp;IF(J785&lt;=0,"Kein Verbrauch; ","")&amp;IF(CH785&gt;0,"Lift "&amp;W785&amp;" lt. Liftbericht (Fach "&amp;X785&amp;" Stk); ",IF(BU785=1,"Gebinde geschätzt ("&amp;T785&amp;"); ",IF(BT785=1,"Lose – Tablare geschätzt; ","")))&amp;IF(H785&gt;AR785,"Überbestand "&amp;ROUND(H785-AR785,0)&amp;" Stk / CHF "&amp;ROUND((H785-AR785)*G785,0)&amp;"; ","")&amp;IF(AND(CA785=1,CB785&lt;CC785),"MAX &lt; MB+LG; ","")&amp;IF(AND(CG785&gt;0,CF785*10&gt;CG785),"zu hoch für Tablar; ","")&amp;IF(AND(BP785=0,OR(CA785=1,AA785&lt;&gt;"",U785&lt;&gt;"",V785&lt;&gt;"",AB785&lt;&gt;"")),"manuell übersteuert; ","")&amp;IF(AND(BT785=0,R785=0),"Gebinde unbekannt / Stellmass fehlt; ","")&amp;IF(AND(BT785=0,N(V785)&lt;=0,N(Q785)&lt;=0),"Menge pro Gebinde fehlt (Ist = 1 Gebinde); ","")&amp;BO785)</f>
        <v>negativer Bestand (Export -15); Überbestand 283 Stk / CHF 48; Überbestand</v>
      </c>
      <c r="BH785" s="55"/>
      <c r="BI785" s="55"/>
      <c r="BJ785" s="62"/>
      <c r="BK785" s="57" t="n">
        <v>-15</v>
      </c>
      <c r="BL785" s="57" t="n">
        <v>503</v>
      </c>
      <c r="BM785" s="56" t="n">
        <v>-2.55</v>
      </c>
      <c r="BN785" s="57" t="n">
        <v>8</v>
      </c>
      <c r="BO785" s="55" t="s">
        <v>392</v>
      </c>
      <c r="BP785" s="60" t="n">
        <v>0</v>
      </c>
      <c r="BQ785" s="60" t="n">
        <v>785</v>
      </c>
      <c r="BR785" s="55" t="str">
        <f aca="false">IF(U785&lt;&gt;"",UPPER(TRIM(U785)),IF(BU785=1,UPPER(VLOOKUP(T785,Parameter!$I$27:$K$29,2,0)),IF(P785="","LOSE",P785)))</f>
        <v>S33</v>
      </c>
      <c r="BS785" s="57" t="n">
        <f aca="false">IF(BR785="LOSE",1,IF(N(V785)&gt;0,V785,IF(BU785=1,MAX(1,N(VLOOKUP(T785,Parameter!$I$27:$K$29,3,0)),H785,N(N785)),IF(N(Q785)&gt;0,Q785,MAX(1,H785)))))</f>
        <v>205</v>
      </c>
      <c r="BT785" s="60" t="n">
        <f aca="false">IF(BR785="LOSE",1,0)</f>
        <v>0</v>
      </c>
      <c r="BU785" s="60" t="n">
        <f aca="false">IF(AND(U785="",OR(P785="",P785="LOSE"),T785&lt;&gt;"",N(S785)&lt;=0,ISNUMBER(MATCH(T785,Parameter!$I$27:$I$29,0))),1,0)</f>
        <v>0</v>
      </c>
      <c r="BV785" s="55" t="str">
        <f aca="false">IF(AND(Parameter!$B$19="Ja",E785&lt;&gt;"",ISNUMBER(MATCH(E785,Parameter!$I$35:$I$52,0))),VLOOKUP(E785,Parameter!$I$35:$J$52,2,0),IFERROR(VLOOKUP(D785,Parameter!$A$35:$C$64,2,0),"Nein"))</f>
        <v>2+3</v>
      </c>
      <c r="BW785" s="59" t="n">
        <f aca="false">IF(BT785=0,0,IF(N(S785)&gt;0,S785,IFERROR(VLOOKUP(D785,Parameter!$A$35:$C$64,3,0)+0,0)))</f>
        <v>0</v>
      </c>
      <c r="BX785" s="55" t="n">
        <f aca="false">IF(AA785&lt;&gt;"",AA785,Z785)</f>
        <v>3</v>
      </c>
      <c r="BY785" s="55" t="str">
        <f aca="false">IF(BX785=1,"L1",IF(OR(BX785=2,BX785=3),"L23",IF(BX785="Aussen","Aussen","-")))</f>
        <v>L23</v>
      </c>
      <c r="BZ785" s="66" t="n">
        <f aca="false">IF(N(AB785)&gt;0,AB785,0)</f>
        <v>0</v>
      </c>
      <c r="CA785" s="60" t="n">
        <f aca="false">IF(ISNUMBER(AE785),1,0)</f>
        <v>0</v>
      </c>
      <c r="CB785" s="57" t="n">
        <f aca="false">N(AE785)</f>
        <v>0</v>
      </c>
      <c r="CC785" s="57" t="n">
        <f aca="false">N(M785)+N(N785)</f>
        <v>10</v>
      </c>
      <c r="CD785" s="57" t="n">
        <f aca="false">ROUNDUP(H785/BS785,0)</f>
        <v>3</v>
      </c>
      <c r="CE785" s="57" t="n">
        <f aca="false">ROUNDUP(CB785/BS785,0)</f>
        <v>0</v>
      </c>
      <c r="CF785" s="60" t="n">
        <f aca="false">IF(BT785=1,0,IFERROR(VLOOKUP(BR785,'Gebinde-Kategorie'!$A$5:$M$45,5,0)+0,0))</f>
        <v>8</v>
      </c>
      <c r="CG785" s="60" t="n">
        <f aca="false">IFERROR(IF(OR(BX785=1,BX785=2,BX785=3),N(INDEX(Parameter!$I$5:$I$7,BX785)),0),0)</f>
        <v>0</v>
      </c>
      <c r="CH785" s="59" t="n">
        <f aca="false">IF(AND(Parameter!$B$21="Ja",ISNUMBER(W785),N(X785)&gt;0),IFERROR(N(INDEX(Parameter!$L$5:$L$7,W785))*INDEX(Parameter!$E$5:$E$7,W785)*X785/SUMIFS($X$7:$X$1843,$W$7:$W$1843,W785),0),0)</f>
        <v>0</v>
      </c>
    </row>
    <row r="786" customFormat="false" ht="15" hidden="false" customHeight="false" outlineLevel="0" collapsed="false">
      <c r="A786" s="55" t="s">
        <v>1533</v>
      </c>
      <c r="B786" s="55" t="s">
        <v>405</v>
      </c>
      <c r="C786" s="55" t="s">
        <v>164</v>
      </c>
      <c r="D786" s="55" t="s">
        <v>184</v>
      </c>
      <c r="E786" s="55" t="s">
        <v>185</v>
      </c>
      <c r="F786" s="55" t="s">
        <v>218</v>
      </c>
      <c r="G786" s="56" t="n">
        <v>0.04</v>
      </c>
      <c r="H786" s="57" t="n">
        <f aca="false">MAX(0,IF(AND(Parameter!$B$21="Ja",ISNUMBER(Y786)),Y786,IF(Parameter!$B$20="Jahresanfang 2025 + Export",BL786+BK786,BK786)))</f>
        <v>21</v>
      </c>
      <c r="I786" s="57" t="n">
        <f aca="false">H786*G786</f>
        <v>0.84</v>
      </c>
      <c r="J786" s="57" t="n">
        <f aca="false">BN786*Parameter!$B$18</f>
        <v>60</v>
      </c>
      <c r="K786" s="58" t="n">
        <v>90</v>
      </c>
      <c r="L786" s="59" t="n">
        <v>0.666666666666667</v>
      </c>
      <c r="M786" s="57" t="n">
        <v>3</v>
      </c>
      <c r="N786" s="57" t="n">
        <v>60</v>
      </c>
      <c r="O786" s="60" t="n">
        <v>21</v>
      </c>
      <c r="P786" s="55" t="s">
        <v>426</v>
      </c>
      <c r="Q786" s="57" t="n">
        <v>175</v>
      </c>
      <c r="R786" s="60" t="n">
        <f aca="false">IF(BT786=1,0,IFERROR(VLOOKUP(BR786,'Gebinde-Kategorie'!$A$5:$M$45,13,0)+0,0))</f>
        <v>198</v>
      </c>
      <c r="S786" s="61"/>
      <c r="T786" s="62"/>
      <c r="U786" s="62"/>
      <c r="V786" s="62"/>
      <c r="W786" s="55"/>
      <c r="X786" s="57"/>
      <c r="Y786" s="57"/>
      <c r="Z786" s="55" t="n">
        <f aca="false">IF(A786="","",IF(AND(Parameter!$B$21="Ja",ISNUMBER(W786)),W786,IF(BV786="2+3",IF(ISNUMBER(SEARCH("grosser Artikel",BO786)),2,IFERROR(VLOOKUP(BR786,Parameter!$F$35:$G$64,2,0),2)),IF(OR(BV786="Nein",BV786=""),"-",BV786))))</f>
        <v>3</v>
      </c>
      <c r="AA786" s="62"/>
      <c r="AB786" s="63"/>
      <c r="AC786" s="57" t="n">
        <f aca="false">AR786</f>
        <v>175</v>
      </c>
      <c r="AD786" s="57" t="n">
        <f aca="false">MAX(AR786,H786)</f>
        <v>175</v>
      </c>
      <c r="AE786" s="64"/>
      <c r="AF786" s="57" t="n">
        <f aca="false">IF(LEFT(Cockpit!$C$5,1)="A",H786,IF(CA786=1,CB786,IF(LEFT(Cockpit!$C$5,1)="B",AJ786,MAX(AJ786,H786))))</f>
        <v>21</v>
      </c>
      <c r="AG786" s="57" t="n">
        <f aca="false">IF(BT786=1,0,ROUNDUP(AF786/BS786,0))</f>
        <v>1</v>
      </c>
      <c r="AH786" s="59" t="n">
        <f aca="false">IF(CH786&gt;0,CH786*MAX(1,AF786/X786),IF(BT786=1,IF(AF786&lt;=0,0,BW786*MAX(1,IF(H786&gt;0,AF786/H786,1))),IF(R786&gt;0,AG786/R786,0))/MAX(0.1,N(Parameter!$M$21)))</f>
        <v>0.00505050505050505</v>
      </c>
      <c r="AI786" s="57" t="n">
        <f aca="false">AF786*G786</f>
        <v>0.84</v>
      </c>
      <c r="AJ786" s="57" t="n">
        <f aca="false">ROUNDUP(MAX(J786/IF(BZ786&gt;0,BZ786,MAX(0.1,N(Cockpit!$C$6))),CC786)/BS786,0)*BS786</f>
        <v>175</v>
      </c>
      <c r="AK786" s="58" t="n">
        <f aca="false">IF(AH786&gt;0,J786/AH786,-1)</f>
        <v>11880</v>
      </c>
      <c r="AL786" s="58" t="n">
        <f aca="false">IF(AND(OR(BY786="L1",BY786="L23"),AH786&gt;0),SUMIFS($AH$7:$AH$1843,$BY$7:$BY$1843,BY786,$AK$7:$AK$1843,"&gt;"&amp;AK786)+SUMIFS($AH$7:$AH$1843,$BY$7:$BY$1843,BY786,$AK$7:$AK$1843,AK786,$BQ$7:$BQ$1843,"&lt;="&amp;BQ786),"")</f>
        <v>4.89275700145265</v>
      </c>
      <c r="AM786" s="65" t="n">
        <f aca="false">IF(AL786="",0,MAX(0,MIN(1,(IF(BY786="L1",Parameter!$E$5,Parameter!$E$6+Parameter!$E$7)-(AL786-AH786))/AH786)))</f>
        <v>1</v>
      </c>
      <c r="AN786" s="57" t="n">
        <f aca="false">IF(LEFT(Cockpit!$I$5,1)="A",H786,IF(CA786=1,CB786,IF(LEFT(Cockpit!$I$5,1)="B",AR786,MAX(AR786,H786))))</f>
        <v>175</v>
      </c>
      <c r="AO786" s="57" t="n">
        <f aca="false">IF(BT786=1,0,ROUNDUP(AN786/BS786,0))</f>
        <v>1</v>
      </c>
      <c r="AP786" s="59" t="n">
        <f aca="false">IF(CH786&gt;0,CH786*MAX(1,AN786/X786),IF(BT786=1,IF(AN786&lt;=0,0,BW786*MAX(1,IF(H786&gt;0,AN786/H786,1))),IF(R786&gt;0,AO786/R786,0))/MAX(0.1,N(Parameter!$M$21)))</f>
        <v>0.00505050505050505</v>
      </c>
      <c r="AQ786" s="57" t="n">
        <f aca="false">AN786*G786</f>
        <v>7</v>
      </c>
      <c r="AR786" s="57" t="n">
        <f aca="false">ROUNDUP(MAX(J786/IF(BZ786&gt;0,BZ786,MAX(0.1,N(Cockpit!$I$6))),CC786)/BS786,0)*BS786</f>
        <v>175</v>
      </c>
      <c r="AS786" s="58" t="n">
        <f aca="false">IF(AP786&gt;0,J786/AP786,-1)</f>
        <v>11880</v>
      </c>
      <c r="AT786" s="58" t="n">
        <f aca="false">IF(AND(OR(BY786="L1",BY786="L23"),AP786&gt;0),SUMIFS($AP$7:$AP$1843,$BY$7:$BY$1843,BY786,$AS$7:$AS$1843,"&gt;"&amp;AS786)+SUMIFS($AP$7:$AP$1843,$BY$7:$BY$1843,BY786,$AS$7:$AS$1843,AS786,$BQ$7:$BQ$1843,"&lt;="&amp;BQ786),"")</f>
        <v>5.582497212932</v>
      </c>
      <c r="AU786" s="65" t="n">
        <f aca="false">IF(AT786="",0,MAX(0,MIN(1,(IF(BY786="L1",Parameter!$E$5,Parameter!$E$6+Parameter!$E$7)-(AT786-AP786))/AP786)))</f>
        <v>1</v>
      </c>
      <c r="AV786" s="57" t="n">
        <f aca="false">IF(LEFT(Cockpit!$O$5,1)="A",H786,IF(CA786=1,CB786,IF(LEFT(Cockpit!$O$5,1)="B",AZ786,MAX(AZ786,H786))))</f>
        <v>175</v>
      </c>
      <c r="AW786" s="57" t="n">
        <f aca="false">IF(BT786=1,0,ROUNDUP(AV786/BS786,0))</f>
        <v>1</v>
      </c>
      <c r="AX786" s="59" t="n">
        <f aca="false">IF(CH786&gt;0,CH786*MAX(1,AV786/X786),IF(BT786=1,IF(AV786&lt;=0,0,BW786*MAX(1,IF(H786&gt;0,AV786/H786,1))),IF(R786&gt;0,AW786/R786,0))/MAX(0.1,N(Parameter!$M$21)))</f>
        <v>0.00505050505050505</v>
      </c>
      <c r="AY786" s="57" t="n">
        <f aca="false">AV786*G786</f>
        <v>7</v>
      </c>
      <c r="AZ786" s="57" t="n">
        <f aca="false">ROUNDUP(MAX(J786/IF(BZ786&gt;0,BZ786,MAX(0.1,N(Cockpit!$O$6))),CC786)/BS786,0)*BS786</f>
        <v>175</v>
      </c>
      <c r="BA786" s="58" t="n">
        <f aca="false">IF(AX786&gt;0,J786/AX786,-1)</f>
        <v>11880</v>
      </c>
      <c r="BB786" s="58" t="n">
        <f aca="false">IF(AND(OR(BY786="L1",BY786="L23"),AX786&gt;0),SUMIFS($AX$7:$AX$1843,$BY$7:$BY$1843,BY786,$BA$7:$BA$1843,"&gt;"&amp;BA786)+SUMIFS($AX$7:$AX$1843,$BY$7:$BY$1843,BY786,$BA$7:$BA$1843,BA786,$BQ$7:$BQ$1843,"&lt;="&amp;BQ786),"")</f>
        <v>6.57900070943549</v>
      </c>
      <c r="BC786" s="65" t="n">
        <f aca="false">IF(BB786="",0,MAX(0,MIN(1,(IF(BY786="L1",Parameter!$E$5,Parameter!$E$6+Parameter!$E$7)-(BB786-AX786))/AX786)))</f>
        <v>1</v>
      </c>
      <c r="BD786" s="55" t="str">
        <f aca="false">IF(AH786&lt;=0,"",IF(BY786="Aussen","Aussenlager",IF(BY786="-","Nicht im Lift",IF(AM786&gt;=1,"Lift",IF(AM786&lt;=0,"Aussenlager","teilweise")))))</f>
        <v>Lift</v>
      </c>
      <c r="BE786" s="55" t="str">
        <f aca="false">IF(AP786&lt;=0,"",IF(BY786="Aussen","Aussenlager",IF(BY786="-","Nicht im Lift",IF(AU786&gt;=1,"Lift",IF(AU786&lt;=0,"Aussenlager","teilweise")))))</f>
        <v>Lift</v>
      </c>
      <c r="BF786" s="55" t="str">
        <f aca="false">IF(AX786&lt;=0,"",IF(BY786="Aussen","Aussenlager",IF(BY786="-","Nicht im Lift",IF(BC786&gt;=1,"Lift",IF(BC786&lt;=0,"Aussenlager","teilweise")))))</f>
        <v>Lift</v>
      </c>
      <c r="BG786" s="55" t="str">
        <f aca="false">IF(A786="","",IF(BP786=1,"Neu; ","")&amp;IF(AND(BP786=0,BK786&lt;0),"negativer Bestand (Export "&amp;BK786&amp;"); ","")&amp;IF(J786&lt;=0,"Kein Verbrauch; ","")&amp;IF(CH786&gt;0,"Lift "&amp;W786&amp;" lt. Liftbericht (Fach "&amp;X786&amp;" Stk); ",IF(BU786=1,"Gebinde geschätzt ("&amp;T786&amp;"); ",IF(BT786=1,"Lose – Tablare geschätzt; ","")))&amp;IF(H786&gt;AR786,"Überbestand "&amp;ROUND(H786-AR786,0)&amp;" Stk / CHF "&amp;ROUND((H786-AR786)*G786,0)&amp;"; ","")&amp;IF(AND(CA786=1,CB786&lt;CC786),"MAX &lt; MB+LG; ","")&amp;IF(AND(CG786&gt;0,CF786*10&gt;CG786),"zu hoch für Tablar; ","")&amp;IF(AND(BP786=0,OR(CA786=1,AA786&lt;&gt;"",U786&lt;&gt;"",V786&lt;&gt;"",AB786&lt;&gt;"")),"manuell übersteuert; ","")&amp;IF(AND(BT786=0,R786=0),"Gebinde unbekannt / Stellmass fehlt; ","")&amp;IF(AND(BT786=0,N(V786)&lt;=0,N(Q786)&lt;=0),"Menge pro Gebinde fehlt (Ist = 1 Gebinde); ","")&amp;BO786)</f>
        <v>negativer Bestand (Export -71); </v>
      </c>
      <c r="BH786" s="55"/>
      <c r="BI786" s="55"/>
      <c r="BJ786" s="62"/>
      <c r="BK786" s="57" t="n">
        <v>-71</v>
      </c>
      <c r="BL786" s="57" t="n">
        <v>92</v>
      </c>
      <c r="BM786" s="56" t="n">
        <v>-2.84</v>
      </c>
      <c r="BN786" s="57" t="n">
        <v>60</v>
      </c>
      <c r="BO786" s="55"/>
      <c r="BP786" s="60" t="n">
        <v>0</v>
      </c>
      <c r="BQ786" s="60" t="n">
        <v>786</v>
      </c>
      <c r="BR786" s="55" t="str">
        <f aca="false">IF(U786&lt;&gt;"",UPPER(TRIM(U786)),IF(BU786=1,UPPER(VLOOKUP(T786,Parameter!$I$27:$K$29,2,0)),IF(P786="","LOSE",P786)))</f>
        <v>S22</v>
      </c>
      <c r="BS786" s="57" t="n">
        <f aca="false">IF(BR786="LOSE",1,IF(N(V786)&gt;0,V786,IF(BU786=1,MAX(1,N(VLOOKUP(T786,Parameter!$I$27:$K$29,3,0)),H786,N(N786)),IF(N(Q786)&gt;0,Q786,MAX(1,H786)))))</f>
        <v>175</v>
      </c>
      <c r="BT786" s="60" t="n">
        <f aca="false">IF(BR786="LOSE",1,0)</f>
        <v>0</v>
      </c>
      <c r="BU786" s="60" t="n">
        <f aca="false">IF(AND(U786="",OR(P786="",P786="LOSE"),T786&lt;&gt;"",N(S786)&lt;=0,ISNUMBER(MATCH(T786,Parameter!$I$27:$I$29,0))),1,0)</f>
        <v>0</v>
      </c>
      <c r="BV786" s="55" t="str">
        <f aca="false">IF(AND(Parameter!$B$19="Ja",E786&lt;&gt;"",ISNUMBER(MATCH(E786,Parameter!$I$35:$I$52,0))),VLOOKUP(E786,Parameter!$I$35:$J$52,2,0),IFERROR(VLOOKUP(D786,Parameter!$A$35:$C$64,2,0),"Nein"))</f>
        <v>2+3</v>
      </c>
      <c r="BW786" s="59" t="n">
        <f aca="false">IF(BT786=0,0,IF(N(S786)&gt;0,S786,IFERROR(VLOOKUP(D786,Parameter!$A$35:$C$64,3,0)+0,0)))</f>
        <v>0</v>
      </c>
      <c r="BX786" s="55" t="n">
        <f aca="false">IF(AA786&lt;&gt;"",AA786,Z786)</f>
        <v>3</v>
      </c>
      <c r="BY786" s="55" t="str">
        <f aca="false">IF(BX786=1,"L1",IF(OR(BX786=2,BX786=3),"L23",IF(BX786="Aussen","Aussen","-")))</f>
        <v>L23</v>
      </c>
      <c r="BZ786" s="66" t="n">
        <f aca="false">IF(N(AB786)&gt;0,AB786,0)</f>
        <v>0</v>
      </c>
      <c r="CA786" s="60" t="n">
        <f aca="false">IF(ISNUMBER(AE786),1,0)</f>
        <v>0</v>
      </c>
      <c r="CB786" s="57" t="n">
        <f aca="false">N(AE786)</f>
        <v>0</v>
      </c>
      <c r="CC786" s="57" t="n">
        <f aca="false">N(M786)+N(N786)</f>
        <v>63</v>
      </c>
      <c r="CD786" s="57" t="n">
        <f aca="false">ROUNDUP(H786/BS786,0)</f>
        <v>1</v>
      </c>
      <c r="CE786" s="57" t="n">
        <f aca="false">ROUNDUP(CB786/BS786,0)</f>
        <v>0</v>
      </c>
      <c r="CF786" s="60" t="n">
        <f aca="false">IF(BT786=1,0,IFERROR(VLOOKUP(BR786,'Gebinde-Kategorie'!$A$5:$M$45,5,0)+0,0))</f>
        <v>8</v>
      </c>
      <c r="CG786" s="60" t="n">
        <f aca="false">IFERROR(IF(OR(BX786=1,BX786=2,BX786=3),N(INDEX(Parameter!$I$5:$I$7,BX786)),0),0)</f>
        <v>0</v>
      </c>
      <c r="CH786" s="59" t="n">
        <f aca="false">IF(AND(Parameter!$B$21="Ja",ISNUMBER(W786),N(X786)&gt;0),IFERROR(N(INDEX(Parameter!$L$5:$L$7,W786))*INDEX(Parameter!$E$5:$E$7,W786)*X786/SUMIFS($X$7:$X$1843,$W$7:$W$1843,W786),0),0)</f>
        <v>0</v>
      </c>
    </row>
    <row r="787" customFormat="false" ht="15" hidden="false" customHeight="false" outlineLevel="0" collapsed="false">
      <c r="A787" s="55" t="s">
        <v>1534</v>
      </c>
      <c r="B787" s="55" t="s">
        <v>407</v>
      </c>
      <c r="C787" s="55" t="s">
        <v>164</v>
      </c>
      <c r="D787" s="55" t="s">
        <v>184</v>
      </c>
      <c r="E787" s="55" t="s">
        <v>185</v>
      </c>
      <c r="F787" s="55" t="s">
        <v>218</v>
      </c>
      <c r="G787" s="56" t="n">
        <v>0.01</v>
      </c>
      <c r="H787" s="57" t="n">
        <f aca="false">MAX(0,IF(AND(Parameter!$B$21="Ja",ISNUMBER(Y787)),Y787,IF(Parameter!$B$20="Jahresanfang 2025 + Export",BL787+BK787,BK787)))</f>
        <v>1073</v>
      </c>
      <c r="I787" s="57" t="n">
        <f aca="false">H787*G787</f>
        <v>10.73</v>
      </c>
      <c r="J787" s="57" t="n">
        <f aca="false">BN787*Parameter!$B$18</f>
        <v>642</v>
      </c>
      <c r="K787" s="58" t="n">
        <v>1057.5</v>
      </c>
      <c r="L787" s="59" t="n">
        <v>0.60709219858156</v>
      </c>
      <c r="M787" s="57" t="n">
        <v>38</v>
      </c>
      <c r="N787" s="57" t="n">
        <v>660</v>
      </c>
      <c r="O787" s="60" t="n">
        <v>21</v>
      </c>
      <c r="P787" s="55" t="s">
        <v>426</v>
      </c>
      <c r="Q787" s="57" t="n">
        <v>3002</v>
      </c>
      <c r="R787" s="60" t="n">
        <f aca="false">IF(BT787=1,0,IFERROR(VLOOKUP(BR787,'Gebinde-Kategorie'!$A$5:$M$45,13,0)+0,0))</f>
        <v>198</v>
      </c>
      <c r="S787" s="61"/>
      <c r="T787" s="62"/>
      <c r="U787" s="62"/>
      <c r="V787" s="62"/>
      <c r="W787" s="55"/>
      <c r="X787" s="57"/>
      <c r="Y787" s="57"/>
      <c r="Z787" s="55" t="n">
        <f aca="false">IF(A787="","",IF(AND(Parameter!$B$21="Ja",ISNUMBER(W787)),W787,IF(BV787="2+3",IF(ISNUMBER(SEARCH("grosser Artikel",BO787)),2,IFERROR(VLOOKUP(BR787,Parameter!$F$35:$G$64,2,0),2)),IF(OR(BV787="Nein",BV787=""),"-",BV787))))</f>
        <v>3</v>
      </c>
      <c r="AA787" s="62"/>
      <c r="AB787" s="63"/>
      <c r="AC787" s="57" t="n">
        <f aca="false">AR787</f>
        <v>3002</v>
      </c>
      <c r="AD787" s="57" t="n">
        <f aca="false">MAX(AR787,H787)</f>
        <v>3002</v>
      </c>
      <c r="AE787" s="64"/>
      <c r="AF787" s="57" t="n">
        <f aca="false">IF(LEFT(Cockpit!$C$5,1)="A",H787,IF(CA787=1,CB787,IF(LEFT(Cockpit!$C$5,1)="B",AJ787,MAX(AJ787,H787))))</f>
        <v>1073</v>
      </c>
      <c r="AG787" s="57" t="n">
        <f aca="false">IF(BT787=1,0,ROUNDUP(AF787/BS787,0))</f>
        <v>1</v>
      </c>
      <c r="AH787" s="59" t="n">
        <f aca="false">IF(CH787&gt;0,CH787*MAX(1,AF787/X787),IF(BT787=1,IF(AF787&lt;=0,0,BW787*MAX(1,IF(H787&gt;0,AF787/H787,1))),IF(R787&gt;0,AG787/R787,0))/MAX(0.1,N(Parameter!$M$21)))</f>
        <v>0.00505050505050505</v>
      </c>
      <c r="AI787" s="57" t="n">
        <f aca="false">AF787*G787</f>
        <v>10.73</v>
      </c>
      <c r="AJ787" s="57" t="n">
        <f aca="false">ROUNDUP(MAX(J787/IF(BZ787&gt;0,BZ787,MAX(0.1,N(Cockpit!$C$6))),CC787)/BS787,0)*BS787</f>
        <v>3002</v>
      </c>
      <c r="AK787" s="58" t="n">
        <f aca="false">IF(AH787&gt;0,J787/AH787,-1)</f>
        <v>127116</v>
      </c>
      <c r="AL787" s="58" t="n">
        <f aca="false">IF(AND(OR(BY787="L1",BY787="L23"),AH787&gt;0),SUMIFS($AH$7:$AH$1843,$BY$7:$BY$1843,BY787,$AK$7:$AK$1843,"&gt;"&amp;AK787)+SUMIFS($AH$7:$AH$1843,$BY$7:$BY$1843,BY787,$AK$7:$AK$1843,AK787,$BQ$7:$BQ$1843,"&lt;="&amp;BQ787),"")</f>
        <v>0.294601533731969</v>
      </c>
      <c r="AM787" s="65" t="n">
        <f aca="false">IF(AL787="",0,MAX(0,MIN(1,(IF(BY787="L1",Parameter!$E$5,Parameter!$E$6+Parameter!$E$7)-(AL787-AH787))/AH787)))</f>
        <v>1</v>
      </c>
      <c r="AN787" s="57" t="n">
        <f aca="false">IF(LEFT(Cockpit!$I$5,1)="A",H787,IF(CA787=1,CB787,IF(LEFT(Cockpit!$I$5,1)="B",AR787,MAX(AR787,H787))))</f>
        <v>3002</v>
      </c>
      <c r="AO787" s="57" t="n">
        <f aca="false">IF(BT787=1,0,ROUNDUP(AN787/BS787,0))</f>
        <v>1</v>
      </c>
      <c r="AP787" s="59" t="n">
        <f aca="false">IF(CH787&gt;0,CH787*MAX(1,AN787/X787),IF(BT787=1,IF(AN787&lt;=0,0,BW787*MAX(1,IF(H787&gt;0,AN787/H787,1))),IF(R787&gt;0,AO787/R787,0))/MAX(0.1,N(Parameter!$M$21)))</f>
        <v>0.00505050505050505</v>
      </c>
      <c r="AQ787" s="57" t="n">
        <f aca="false">AN787*G787</f>
        <v>30.02</v>
      </c>
      <c r="AR787" s="57" t="n">
        <f aca="false">ROUNDUP(MAX(J787/IF(BZ787&gt;0,BZ787,MAX(0.1,N(Cockpit!$I$6))),CC787)/BS787,0)*BS787</f>
        <v>3002</v>
      </c>
      <c r="AS787" s="58" t="n">
        <f aca="false">IF(AP787&gt;0,J787/AP787,-1)</f>
        <v>127116</v>
      </c>
      <c r="AT787" s="58" t="n">
        <f aca="false">IF(AND(OR(BY787="L1",BY787="L23"),AP787&gt;0),SUMIFS($AP$7:$AP$1843,$BY$7:$BY$1843,BY787,$AS$7:$AS$1843,"&gt;"&amp;AS787)+SUMIFS($AP$7:$AP$1843,$BY$7:$BY$1843,BY787,$AS$7:$AS$1843,AS787,$BQ$7:$BQ$1843,"&lt;="&amp;BQ787),"")</f>
        <v>0.193616769703726</v>
      </c>
      <c r="AU787" s="65" t="n">
        <f aca="false">IF(AT787="",0,MAX(0,MIN(1,(IF(BY787="L1",Parameter!$E$5,Parameter!$E$6+Parameter!$E$7)-(AT787-AP787))/AP787)))</f>
        <v>1</v>
      </c>
      <c r="AV787" s="57" t="n">
        <f aca="false">IF(LEFT(Cockpit!$O$5,1)="A",H787,IF(CA787=1,CB787,IF(LEFT(Cockpit!$O$5,1)="B",AZ787,MAX(AZ787,H787))))</f>
        <v>3002</v>
      </c>
      <c r="AW787" s="57" t="n">
        <f aca="false">IF(BT787=1,0,ROUNDUP(AV787/BS787,0))</f>
        <v>1</v>
      </c>
      <c r="AX787" s="59" t="n">
        <f aca="false">IF(CH787&gt;0,CH787*MAX(1,AV787/X787),IF(BT787=1,IF(AV787&lt;=0,0,BW787*MAX(1,IF(H787&gt;0,AV787/H787,1))),IF(R787&gt;0,AW787/R787,0))/MAX(0.1,N(Parameter!$M$21)))</f>
        <v>0.00505050505050505</v>
      </c>
      <c r="AY787" s="57" t="n">
        <f aca="false">AV787*G787</f>
        <v>30.02</v>
      </c>
      <c r="AZ787" s="57" t="n">
        <f aca="false">ROUNDUP(MAX(J787/IF(BZ787&gt;0,BZ787,MAX(0.1,N(Cockpit!$O$6))),CC787)/BS787,0)*BS787</f>
        <v>3002</v>
      </c>
      <c r="BA787" s="58" t="n">
        <f aca="false">IF(AX787&gt;0,J787/AX787,-1)</f>
        <v>127116</v>
      </c>
      <c r="BB787" s="58" t="n">
        <f aca="false">IF(AND(OR(BY787="L1",BY787="L23"),AX787&gt;0),SUMIFS($AX$7:$AX$1843,$BY$7:$BY$1843,BY787,$BA$7:$BA$1843,"&gt;"&amp;BA787)+SUMIFS($AX$7:$AX$1843,$BY$7:$BY$1843,BY787,$BA$7:$BA$1843,BA787,$BQ$7:$BQ$1843,"&lt;="&amp;BQ787),"")</f>
        <v>0.193616769703726</v>
      </c>
      <c r="BC787" s="65" t="n">
        <f aca="false">IF(BB787="",0,MAX(0,MIN(1,(IF(BY787="L1",Parameter!$E$5,Parameter!$E$6+Parameter!$E$7)-(BB787-AX787))/AX787)))</f>
        <v>1</v>
      </c>
      <c r="BD787" s="55" t="str">
        <f aca="false">IF(AH787&lt;=0,"",IF(BY787="Aussen","Aussenlager",IF(BY787="-","Nicht im Lift",IF(AM787&gt;=1,"Lift",IF(AM787&lt;=0,"Aussenlager","teilweise")))))</f>
        <v>Lift</v>
      </c>
      <c r="BE787" s="55" t="str">
        <f aca="false">IF(AP787&lt;=0,"",IF(BY787="Aussen","Aussenlager",IF(BY787="-","Nicht im Lift",IF(AU787&gt;=1,"Lift",IF(AU787&lt;=0,"Aussenlager","teilweise")))))</f>
        <v>Lift</v>
      </c>
      <c r="BF787" s="55" t="str">
        <f aca="false">IF(AX787&lt;=0,"",IF(BY787="Aussen","Aussenlager",IF(BY787="-","Nicht im Lift",IF(BC787&gt;=1,"Lift",IF(BC787&lt;=0,"Aussenlager","teilweise")))))</f>
        <v>Lift</v>
      </c>
      <c r="BG787" s="55" t="str">
        <f aca="false">IF(A787="","",IF(BP787=1,"Neu; ","")&amp;IF(AND(BP787=0,BK787&lt;0),"negativer Bestand (Export "&amp;BK787&amp;"); ","")&amp;IF(J787&lt;=0,"Kein Verbrauch; ","")&amp;IF(CH787&gt;0,"Lift "&amp;W787&amp;" lt. Liftbericht (Fach "&amp;X787&amp;" Stk); ",IF(BU787=1,"Gebinde geschätzt ("&amp;T787&amp;"); ",IF(BT787=1,"Lose – Tablare geschätzt; ","")))&amp;IF(H787&gt;AR787,"Überbestand "&amp;ROUND(H787-AR787,0)&amp;" Stk / CHF "&amp;ROUND((H787-AR787)*G787,0)&amp;"; ","")&amp;IF(AND(CA787=1,CB787&lt;CC787),"MAX &lt; MB+LG; ","")&amp;IF(AND(CG787&gt;0,CF787*10&gt;CG787),"zu hoch für Tablar; ","")&amp;IF(AND(BP787=0,OR(CA787=1,AA787&lt;&gt;"",U787&lt;&gt;"",V787&lt;&gt;"",AB787&lt;&gt;"")),"manuell übersteuert; ","")&amp;IF(AND(BT787=0,R787=0),"Gebinde unbekannt / Stellmass fehlt; ","")&amp;IF(AND(BT787=0,N(V787)&lt;=0,N(Q787)&lt;=0),"Menge pro Gebinde fehlt (Ist = 1 Gebinde); ","")&amp;BO787)</f>
        <v>negativer Bestand (Export -287); Braucht es diesen Artikel ?</v>
      </c>
      <c r="BH787" s="55"/>
      <c r="BI787" s="55"/>
      <c r="BJ787" s="62"/>
      <c r="BK787" s="57" t="n">
        <v>-287</v>
      </c>
      <c r="BL787" s="57" t="n">
        <v>1360</v>
      </c>
      <c r="BM787" s="56" t="n">
        <v>-2.87</v>
      </c>
      <c r="BN787" s="57" t="n">
        <v>642</v>
      </c>
      <c r="BO787" s="55" t="s">
        <v>1535</v>
      </c>
      <c r="BP787" s="60" t="n">
        <v>0</v>
      </c>
      <c r="BQ787" s="60" t="n">
        <v>787</v>
      </c>
      <c r="BR787" s="55" t="str">
        <f aca="false">IF(U787&lt;&gt;"",UPPER(TRIM(U787)),IF(BU787=1,UPPER(VLOOKUP(T787,Parameter!$I$27:$K$29,2,0)),IF(P787="","LOSE",P787)))</f>
        <v>S22</v>
      </c>
      <c r="BS787" s="57" t="n">
        <f aca="false">IF(BR787="LOSE",1,IF(N(V787)&gt;0,V787,IF(BU787=1,MAX(1,N(VLOOKUP(T787,Parameter!$I$27:$K$29,3,0)),H787,N(N787)),IF(N(Q787)&gt;0,Q787,MAX(1,H787)))))</f>
        <v>3002</v>
      </c>
      <c r="BT787" s="60" t="n">
        <f aca="false">IF(BR787="LOSE",1,0)</f>
        <v>0</v>
      </c>
      <c r="BU787" s="60" t="n">
        <f aca="false">IF(AND(U787="",OR(P787="",P787="LOSE"),T787&lt;&gt;"",N(S787)&lt;=0,ISNUMBER(MATCH(T787,Parameter!$I$27:$I$29,0))),1,0)</f>
        <v>0</v>
      </c>
      <c r="BV787" s="55" t="str">
        <f aca="false">IF(AND(Parameter!$B$19="Ja",E787&lt;&gt;"",ISNUMBER(MATCH(E787,Parameter!$I$35:$I$52,0))),VLOOKUP(E787,Parameter!$I$35:$J$52,2,0),IFERROR(VLOOKUP(D787,Parameter!$A$35:$C$64,2,0),"Nein"))</f>
        <v>2+3</v>
      </c>
      <c r="BW787" s="59" t="n">
        <f aca="false">IF(BT787=0,0,IF(N(S787)&gt;0,S787,IFERROR(VLOOKUP(D787,Parameter!$A$35:$C$64,3,0)+0,0)))</f>
        <v>0</v>
      </c>
      <c r="BX787" s="55" t="n">
        <f aca="false">IF(AA787&lt;&gt;"",AA787,Z787)</f>
        <v>3</v>
      </c>
      <c r="BY787" s="55" t="str">
        <f aca="false">IF(BX787=1,"L1",IF(OR(BX787=2,BX787=3),"L23",IF(BX787="Aussen","Aussen","-")))</f>
        <v>L23</v>
      </c>
      <c r="BZ787" s="66" t="n">
        <f aca="false">IF(N(AB787)&gt;0,AB787,0)</f>
        <v>0</v>
      </c>
      <c r="CA787" s="60" t="n">
        <f aca="false">IF(ISNUMBER(AE787),1,0)</f>
        <v>0</v>
      </c>
      <c r="CB787" s="57" t="n">
        <f aca="false">N(AE787)</f>
        <v>0</v>
      </c>
      <c r="CC787" s="57" t="n">
        <f aca="false">N(M787)+N(N787)</f>
        <v>698</v>
      </c>
      <c r="CD787" s="57" t="n">
        <f aca="false">ROUNDUP(H787/BS787,0)</f>
        <v>1</v>
      </c>
      <c r="CE787" s="57" t="n">
        <f aca="false">ROUNDUP(CB787/BS787,0)</f>
        <v>0</v>
      </c>
      <c r="CF787" s="60" t="n">
        <f aca="false">IF(BT787=1,0,IFERROR(VLOOKUP(BR787,'Gebinde-Kategorie'!$A$5:$M$45,5,0)+0,0))</f>
        <v>8</v>
      </c>
      <c r="CG787" s="60" t="n">
        <f aca="false">IFERROR(IF(OR(BX787=1,BX787=2,BX787=3),N(INDEX(Parameter!$I$5:$I$7,BX787)),0),0)</f>
        <v>0</v>
      </c>
      <c r="CH787" s="59" t="n">
        <f aca="false">IF(AND(Parameter!$B$21="Ja",ISNUMBER(W787),N(X787)&gt;0),IFERROR(N(INDEX(Parameter!$L$5:$L$7,W787))*INDEX(Parameter!$E$5:$E$7,W787)*X787/SUMIFS($X$7:$X$1843,$W$7:$W$1843,W787),0),0)</f>
        <v>0</v>
      </c>
    </row>
    <row r="788" customFormat="false" ht="15" hidden="false" customHeight="false" outlineLevel="0" collapsed="false">
      <c r="A788" s="55" t="s">
        <v>1536</v>
      </c>
      <c r="B788" s="55" t="s">
        <v>1537</v>
      </c>
      <c r="C788" s="55" t="s">
        <v>164</v>
      </c>
      <c r="D788" s="55" t="s">
        <v>184</v>
      </c>
      <c r="E788" s="55"/>
      <c r="F788" s="55" t="s">
        <v>218</v>
      </c>
      <c r="G788" s="56" t="n">
        <v>1.5</v>
      </c>
      <c r="H788" s="57" t="n">
        <f aca="false">MAX(0,IF(AND(Parameter!$B$21="Ja",ISNUMBER(Y788)),Y788,IF(Parameter!$B$20="Jahresanfang 2025 + Export",BL788+BK788,BK788)))</f>
        <v>56</v>
      </c>
      <c r="I788" s="57" t="n">
        <f aca="false">H788*G788</f>
        <v>84</v>
      </c>
      <c r="J788" s="57" t="n">
        <f aca="false">BN788*Parameter!$B$18</f>
        <v>0</v>
      </c>
      <c r="K788" s="58" t="n">
        <v>57</v>
      </c>
      <c r="L788" s="59" t="n">
        <v>0</v>
      </c>
      <c r="M788" s="57" t="n">
        <v>0</v>
      </c>
      <c r="N788" s="57" t="n">
        <v>1</v>
      </c>
      <c r="O788" s="60" t="n">
        <v>42</v>
      </c>
      <c r="P788" s="55" t="s">
        <v>401</v>
      </c>
      <c r="Q788" s="57" t="n">
        <v>100</v>
      </c>
      <c r="R788" s="60" t="n">
        <f aca="false">IF(BT788=1,0,IFERROR(VLOOKUP(BR788,'Gebinde-Kategorie'!$A$5:$M$45,13,0)+0,0))</f>
        <v>414</v>
      </c>
      <c r="S788" s="61"/>
      <c r="T788" s="62"/>
      <c r="U788" s="62"/>
      <c r="V788" s="62"/>
      <c r="W788" s="55"/>
      <c r="X788" s="57"/>
      <c r="Y788" s="57"/>
      <c r="Z788" s="55" t="n">
        <f aca="false">IF(A788="","",IF(AND(Parameter!$B$21="Ja",ISNUMBER(W788)),W788,IF(BV788="2+3",IF(ISNUMBER(SEARCH("grosser Artikel",BO788)),2,IFERROR(VLOOKUP(BR788,Parameter!$F$35:$G$64,2,0),2)),IF(OR(BV788="Nein",BV788=""),"-",BV788))))</f>
        <v>3</v>
      </c>
      <c r="AA788" s="62"/>
      <c r="AB788" s="63"/>
      <c r="AC788" s="57" t="n">
        <f aca="false">AR788</f>
        <v>100</v>
      </c>
      <c r="AD788" s="57" t="n">
        <f aca="false">MAX(AR788,H788)</f>
        <v>100</v>
      </c>
      <c r="AE788" s="64"/>
      <c r="AF788" s="57" t="n">
        <f aca="false">IF(LEFT(Cockpit!$C$5,1)="A",H788,IF(CA788=1,CB788,IF(LEFT(Cockpit!$C$5,1)="B",AJ788,MAX(AJ788,H788))))</f>
        <v>56</v>
      </c>
      <c r="AG788" s="57" t="n">
        <f aca="false">IF(BT788=1,0,ROUNDUP(AF788/BS788,0))</f>
        <v>1</v>
      </c>
      <c r="AH788" s="59" t="n">
        <f aca="false">IF(CH788&gt;0,CH788*MAX(1,AF788/X788),IF(BT788=1,IF(AF788&lt;=0,0,BW788*MAX(1,IF(H788&gt;0,AF788/H788,1))),IF(R788&gt;0,AG788/R788,0))/MAX(0.1,N(Parameter!$M$21)))</f>
        <v>0.00241545893719807</v>
      </c>
      <c r="AI788" s="57" t="n">
        <f aca="false">AF788*G788</f>
        <v>84</v>
      </c>
      <c r="AJ788" s="57" t="n">
        <f aca="false">ROUNDUP(MAX(J788/IF(BZ788&gt;0,BZ788,MAX(0.1,N(Cockpit!$C$6))),CC788)/BS788,0)*BS788</f>
        <v>100</v>
      </c>
      <c r="AK788" s="58" t="n">
        <f aca="false">IF(AH788&gt;0,J788/AH788,-1)</f>
        <v>0</v>
      </c>
      <c r="AL788" s="58" t="n">
        <f aca="false">IF(AND(OR(BY788="L1",BY788="L23"),AH788&gt;0),SUMIFS($AH$7:$AH$1843,$BY$7:$BY$1843,BY788,$AK$7:$AK$1843,"&gt;"&amp;AK788)+SUMIFS($AH$7:$AH$1843,$BY$7:$BY$1843,BY788,$AK$7:$AK$1843,AK788,$BQ$7:$BQ$1843,"&lt;="&amp;BQ788),"")</f>
        <v>77.5313502922199</v>
      </c>
      <c r="AM788" s="65" t="n">
        <f aca="false">IF(AL788="",0,MAX(0,MIN(1,(IF(BY788="L1",Parameter!$E$5,Parameter!$E$6+Parameter!$E$7)-(AL788-AH788))/AH788)))</f>
        <v>1</v>
      </c>
      <c r="AN788" s="57" t="n">
        <f aca="false">IF(LEFT(Cockpit!$I$5,1)="A",H788,IF(CA788=1,CB788,IF(LEFT(Cockpit!$I$5,1)="B",AR788,MAX(AR788,H788))))</f>
        <v>100</v>
      </c>
      <c r="AO788" s="57" t="n">
        <f aca="false">IF(BT788=1,0,ROUNDUP(AN788/BS788,0))</f>
        <v>1</v>
      </c>
      <c r="AP788" s="59" t="n">
        <f aca="false">IF(CH788&gt;0,CH788*MAX(1,AN788/X788),IF(BT788=1,IF(AN788&lt;=0,0,BW788*MAX(1,IF(H788&gt;0,AN788/H788,1))),IF(R788&gt;0,AO788/R788,0))/MAX(0.1,N(Parameter!$M$21)))</f>
        <v>0.00241545893719807</v>
      </c>
      <c r="AQ788" s="57" t="n">
        <f aca="false">AN788*G788</f>
        <v>150</v>
      </c>
      <c r="AR788" s="57" t="n">
        <f aca="false">ROUNDUP(MAX(J788/IF(BZ788&gt;0,BZ788,MAX(0.1,N(Cockpit!$I$6))),CC788)/BS788,0)*BS788</f>
        <v>100</v>
      </c>
      <c r="AS788" s="58" t="n">
        <f aca="false">IF(AP788&gt;0,J788/AP788,-1)</f>
        <v>0</v>
      </c>
      <c r="AT788" s="58" t="n">
        <f aca="false">IF(AND(OR(BY788="L1",BY788="L23"),AP788&gt;0),SUMIFS($AP$7:$AP$1843,$BY$7:$BY$1843,BY788,$AS$7:$AS$1843,"&gt;"&amp;AS788)+SUMIFS($AP$7:$AP$1843,$BY$7:$BY$1843,BY788,$AS$7:$AS$1843,AS788,$BQ$7:$BQ$1843,"&lt;="&amp;BQ788),"")</f>
        <v>118.361736089997</v>
      </c>
      <c r="AU788" s="65" t="n">
        <f aca="false">IF(AT788="",0,MAX(0,MIN(1,(IF(BY788="L1",Parameter!$E$5,Parameter!$E$6+Parameter!$E$7)-(AT788-AP788))/AP788)))</f>
        <v>0</v>
      </c>
      <c r="AV788" s="57" t="n">
        <f aca="false">IF(LEFT(Cockpit!$O$5,1)="A",H788,IF(CA788=1,CB788,IF(LEFT(Cockpit!$O$5,1)="B",AZ788,MAX(AZ788,H788))))</f>
        <v>100</v>
      </c>
      <c r="AW788" s="57" t="n">
        <f aca="false">IF(BT788=1,0,ROUNDUP(AV788/BS788,0))</f>
        <v>1</v>
      </c>
      <c r="AX788" s="59" t="n">
        <f aca="false">IF(CH788&gt;0,CH788*MAX(1,AV788/X788),IF(BT788=1,IF(AV788&lt;=0,0,BW788*MAX(1,IF(H788&gt;0,AV788/H788,1))),IF(R788&gt;0,AW788/R788,0))/MAX(0.1,N(Parameter!$M$21)))</f>
        <v>0.00241545893719807</v>
      </c>
      <c r="AY788" s="57" t="n">
        <f aca="false">AV788*G788</f>
        <v>150</v>
      </c>
      <c r="AZ788" s="57" t="n">
        <f aca="false">ROUNDUP(MAX(J788/IF(BZ788&gt;0,BZ788,MAX(0.1,N(Cockpit!$O$6))),CC788)/BS788,0)*BS788</f>
        <v>100</v>
      </c>
      <c r="BA788" s="58" t="n">
        <f aca="false">IF(AX788&gt;0,J788/AX788,-1)</f>
        <v>0</v>
      </c>
      <c r="BB788" s="58" t="n">
        <f aca="false">IF(AND(OR(BY788="L1",BY788="L23"),AX788&gt;0),SUMIFS($AX$7:$AX$1843,$BY$7:$BY$1843,BY788,$BA$7:$BA$1843,"&gt;"&amp;BA788)+SUMIFS($AX$7:$AX$1843,$BY$7:$BY$1843,BY788,$BA$7:$BA$1843,BA788,$BQ$7:$BQ$1843,"&lt;="&amp;BQ788),"")</f>
        <v>109.191572919834</v>
      </c>
      <c r="BC788" s="65" t="n">
        <f aca="false">IF(BB788="",0,MAX(0,MIN(1,(IF(BY788="L1",Parameter!$E$5,Parameter!$E$6+Parameter!$E$7)-(BB788-AX788))/AX788)))</f>
        <v>0</v>
      </c>
      <c r="BD788" s="55" t="str">
        <f aca="false">IF(AH788&lt;=0,"",IF(BY788="Aussen","Aussenlager",IF(BY788="-","Nicht im Lift",IF(AM788&gt;=1,"Lift",IF(AM788&lt;=0,"Aussenlager","teilweise")))))</f>
        <v>Lift</v>
      </c>
      <c r="BE788" s="55" t="str">
        <f aca="false">IF(AP788&lt;=0,"",IF(BY788="Aussen","Aussenlager",IF(BY788="-","Nicht im Lift",IF(AU788&gt;=1,"Lift",IF(AU788&lt;=0,"Aussenlager","teilweise")))))</f>
        <v>Aussenlager</v>
      </c>
      <c r="BF788" s="55" t="str">
        <f aca="false">IF(AX788&lt;=0,"",IF(BY788="Aussen","Aussenlager",IF(BY788="-","Nicht im Lift",IF(BC788&gt;=1,"Lift",IF(BC788&lt;=0,"Aussenlager","teilweise")))))</f>
        <v>Aussenlager</v>
      </c>
      <c r="BG788" s="55" t="str">
        <f aca="false">IF(A788="","",IF(BP788=1,"Neu; ","")&amp;IF(AND(BP788=0,BK788&lt;0),"negativer Bestand (Export "&amp;BK788&amp;"); ","")&amp;IF(J788&lt;=0,"Kein Verbrauch; ","")&amp;IF(CH788&gt;0,"Lift "&amp;W788&amp;" lt. Liftbericht (Fach "&amp;X788&amp;" Stk); ",IF(BU788=1,"Gebinde geschätzt ("&amp;T788&amp;"); ",IF(BT788=1,"Lose – Tablare geschätzt; ","")))&amp;IF(H788&gt;AR788,"Überbestand "&amp;ROUND(H788-AR788,0)&amp;" Stk / CHF "&amp;ROUND((H788-AR788)*G788,0)&amp;"; ","")&amp;IF(AND(CA788=1,CB788&lt;CC788),"MAX &lt; MB+LG; ","")&amp;IF(AND(CG788&gt;0,CF788*10&gt;CG788),"zu hoch für Tablar; ","")&amp;IF(AND(BP788=0,OR(CA788=1,AA788&lt;&gt;"",U788&lt;&gt;"",V788&lt;&gt;"",AB788&lt;&gt;"")),"manuell übersteuert; ","")&amp;IF(AND(BT788=0,R788=0),"Gebinde unbekannt / Stellmass fehlt; ","")&amp;IF(AND(BT788=0,N(V788)&lt;=0,N(Q788)&lt;=0),"Menge pro Gebinde fehlt (Ist = 1 Gebinde); ","")&amp;BO788)</f>
        <v>negativer Bestand (Export -2); Kein Verbrauch; </v>
      </c>
      <c r="BH788" s="55"/>
      <c r="BI788" s="55"/>
      <c r="BJ788" s="62"/>
      <c r="BK788" s="57" t="n">
        <v>-2</v>
      </c>
      <c r="BL788" s="57" t="n">
        <v>58</v>
      </c>
      <c r="BM788" s="56" t="n">
        <v>-3</v>
      </c>
      <c r="BN788" s="57" t="n">
        <v>0</v>
      </c>
      <c r="BO788" s="55"/>
      <c r="BP788" s="60" t="n">
        <v>0</v>
      </c>
      <c r="BQ788" s="60" t="n">
        <v>788</v>
      </c>
      <c r="BR788" s="55" t="str">
        <f aca="false">IF(U788&lt;&gt;"",UPPER(TRIM(U788)),IF(BU788=1,UPPER(VLOOKUP(T788,Parameter!$I$27:$K$29,2,0)),IF(P788="","LOSE",P788)))</f>
        <v>S21</v>
      </c>
      <c r="BS788" s="57" t="n">
        <f aca="false">IF(BR788="LOSE",1,IF(N(V788)&gt;0,V788,IF(BU788=1,MAX(1,N(VLOOKUP(T788,Parameter!$I$27:$K$29,3,0)),H788,N(N788)),IF(N(Q788)&gt;0,Q788,MAX(1,H788)))))</f>
        <v>100</v>
      </c>
      <c r="BT788" s="60" t="n">
        <f aca="false">IF(BR788="LOSE",1,0)</f>
        <v>0</v>
      </c>
      <c r="BU788" s="60" t="n">
        <f aca="false">IF(AND(U788="",OR(P788="",P788="LOSE"),T788&lt;&gt;"",N(S788)&lt;=0,ISNUMBER(MATCH(T788,Parameter!$I$27:$I$29,0))),1,0)</f>
        <v>0</v>
      </c>
      <c r="BV788" s="55" t="str">
        <f aca="false">IF(AND(Parameter!$B$19="Ja",E788&lt;&gt;"",ISNUMBER(MATCH(E788,Parameter!$I$35:$I$52,0))),VLOOKUP(E788,Parameter!$I$35:$J$52,2,0),IFERROR(VLOOKUP(D788,Parameter!$A$35:$C$64,2,0),"Nein"))</f>
        <v>2+3</v>
      </c>
      <c r="BW788" s="59" t="n">
        <f aca="false">IF(BT788=0,0,IF(N(S788)&gt;0,S788,IFERROR(VLOOKUP(D788,Parameter!$A$35:$C$64,3,0)+0,0)))</f>
        <v>0</v>
      </c>
      <c r="BX788" s="55" t="n">
        <f aca="false">IF(AA788&lt;&gt;"",AA788,Z788)</f>
        <v>3</v>
      </c>
      <c r="BY788" s="55" t="str">
        <f aca="false">IF(BX788=1,"L1",IF(OR(BX788=2,BX788=3),"L23",IF(BX788="Aussen","Aussen","-")))</f>
        <v>L23</v>
      </c>
      <c r="BZ788" s="66" t="n">
        <f aca="false">IF(N(AB788)&gt;0,AB788,0)</f>
        <v>0</v>
      </c>
      <c r="CA788" s="60" t="n">
        <f aca="false">IF(ISNUMBER(AE788),1,0)</f>
        <v>0</v>
      </c>
      <c r="CB788" s="57" t="n">
        <f aca="false">N(AE788)</f>
        <v>0</v>
      </c>
      <c r="CC788" s="57" t="n">
        <f aca="false">N(M788)+N(N788)</f>
        <v>1</v>
      </c>
      <c r="CD788" s="57" t="n">
        <f aca="false">ROUNDUP(H788/BS788,0)</f>
        <v>1</v>
      </c>
      <c r="CE788" s="57" t="n">
        <f aca="false">ROUNDUP(CB788/BS788,0)</f>
        <v>0</v>
      </c>
      <c r="CF788" s="60" t="n">
        <f aca="false">IF(BT788=1,0,IFERROR(VLOOKUP(BR788,'Gebinde-Kategorie'!$A$5:$M$45,5,0)+0,0))</f>
        <v>8</v>
      </c>
      <c r="CG788" s="60" t="n">
        <f aca="false">IFERROR(IF(OR(BX788=1,BX788=2,BX788=3),N(INDEX(Parameter!$I$5:$I$7,BX788)),0),0)</f>
        <v>0</v>
      </c>
      <c r="CH788" s="59" t="n">
        <f aca="false">IF(AND(Parameter!$B$21="Ja",ISNUMBER(W788),N(X788)&gt;0),IFERROR(N(INDEX(Parameter!$L$5:$L$7,W788))*INDEX(Parameter!$E$5:$E$7,W788)*X788/SUMIFS($X$7:$X$1843,$W$7:$W$1843,W788),0),0)</f>
        <v>0</v>
      </c>
    </row>
    <row r="789" customFormat="false" ht="15" hidden="false" customHeight="false" outlineLevel="0" collapsed="false">
      <c r="A789" s="55" t="s">
        <v>1538</v>
      </c>
      <c r="B789" s="55" t="s">
        <v>949</v>
      </c>
      <c r="C789" s="55" t="s">
        <v>164</v>
      </c>
      <c r="D789" s="55" t="s">
        <v>184</v>
      </c>
      <c r="E789" s="55"/>
      <c r="F789" s="55" t="s">
        <v>218</v>
      </c>
      <c r="G789" s="56" t="n">
        <v>0.03</v>
      </c>
      <c r="H789" s="57" t="n">
        <f aca="false">MAX(0,IF(AND(Parameter!$B$21="Ja",ISNUMBER(Y789)),Y789,IF(Parameter!$B$20="Jahresanfang 2025 + Export",BL789+BK789,BK789)))</f>
        <v>52</v>
      </c>
      <c r="I789" s="57" t="n">
        <f aca="false">H789*G789</f>
        <v>1.56</v>
      </c>
      <c r="J789" s="57" t="n">
        <f aca="false">BN789*Parameter!$B$18</f>
        <v>132</v>
      </c>
      <c r="K789" s="58" t="n">
        <v>151.5</v>
      </c>
      <c r="L789" s="59" t="n">
        <v>0.871287128712871</v>
      </c>
      <c r="M789" s="57" t="n">
        <v>7</v>
      </c>
      <c r="N789" s="57" t="n">
        <v>130</v>
      </c>
      <c r="O789" s="60" t="n">
        <v>21</v>
      </c>
      <c r="P789" s="55" t="s">
        <v>401</v>
      </c>
      <c r="Q789" s="57" t="n">
        <v>70</v>
      </c>
      <c r="R789" s="60" t="n">
        <f aca="false">IF(BT789=1,0,IFERROR(VLOOKUP(BR789,'Gebinde-Kategorie'!$A$5:$M$45,13,0)+0,0))</f>
        <v>414</v>
      </c>
      <c r="S789" s="61"/>
      <c r="T789" s="62"/>
      <c r="U789" s="62"/>
      <c r="V789" s="62"/>
      <c r="W789" s="55"/>
      <c r="X789" s="57"/>
      <c r="Y789" s="57"/>
      <c r="Z789" s="55" t="n">
        <f aca="false">IF(A789="","",IF(AND(Parameter!$B$21="Ja",ISNUMBER(W789)),W789,IF(BV789="2+3",IF(ISNUMBER(SEARCH("grosser Artikel",BO789)),2,IFERROR(VLOOKUP(BR789,Parameter!$F$35:$G$64,2,0),2)),IF(OR(BV789="Nein",BV789=""),"-",BV789))))</f>
        <v>3</v>
      </c>
      <c r="AA789" s="62"/>
      <c r="AB789" s="63"/>
      <c r="AC789" s="57" t="n">
        <f aca="false">AR789</f>
        <v>140</v>
      </c>
      <c r="AD789" s="57" t="n">
        <f aca="false">MAX(AR789,H789)</f>
        <v>140</v>
      </c>
      <c r="AE789" s="64"/>
      <c r="AF789" s="57" t="n">
        <f aca="false">IF(LEFT(Cockpit!$C$5,1)="A",H789,IF(CA789=1,CB789,IF(LEFT(Cockpit!$C$5,1)="B",AJ789,MAX(AJ789,H789))))</f>
        <v>52</v>
      </c>
      <c r="AG789" s="57" t="n">
        <f aca="false">IF(BT789=1,0,ROUNDUP(AF789/BS789,0))</f>
        <v>1</v>
      </c>
      <c r="AH789" s="59" t="n">
        <f aca="false">IF(CH789&gt;0,CH789*MAX(1,AF789/X789),IF(BT789=1,IF(AF789&lt;=0,0,BW789*MAX(1,IF(H789&gt;0,AF789/H789,1))),IF(R789&gt;0,AG789/R789,0))/MAX(0.1,N(Parameter!$M$21)))</f>
        <v>0.00241545893719807</v>
      </c>
      <c r="AI789" s="57" t="n">
        <f aca="false">AF789*G789</f>
        <v>1.56</v>
      </c>
      <c r="AJ789" s="57" t="n">
        <f aca="false">ROUNDUP(MAX(J789/IF(BZ789&gt;0,BZ789,MAX(0.1,N(Cockpit!$C$6))),CC789)/BS789,0)*BS789</f>
        <v>140</v>
      </c>
      <c r="AK789" s="58" t="n">
        <f aca="false">IF(AH789&gt;0,J789/AH789,-1)</f>
        <v>54648</v>
      </c>
      <c r="AL789" s="58" t="n">
        <f aca="false">IF(AND(OR(BY789="L1",BY789="L23"),AH789&gt;0),SUMIFS($AH$7:$AH$1843,$BY$7:$BY$1843,BY789,$AK$7:$AK$1843,"&gt;"&amp;AK789)+SUMIFS($AH$7:$AH$1843,$BY$7:$BY$1843,BY789,$AK$7:$AK$1843,AK789,$BQ$7:$BQ$1843,"&lt;="&amp;BQ789),"")</f>
        <v>1.15783250565859</v>
      </c>
      <c r="AM789" s="65" t="n">
        <f aca="false">IF(AL789="",0,MAX(0,MIN(1,(IF(BY789="L1",Parameter!$E$5,Parameter!$E$6+Parameter!$E$7)-(AL789-AH789))/AH789)))</f>
        <v>1</v>
      </c>
      <c r="AN789" s="57" t="n">
        <f aca="false">IF(LEFT(Cockpit!$I$5,1)="A",H789,IF(CA789=1,CB789,IF(LEFT(Cockpit!$I$5,1)="B",AR789,MAX(AR789,H789))))</f>
        <v>140</v>
      </c>
      <c r="AO789" s="57" t="n">
        <f aca="false">IF(BT789=1,0,ROUNDUP(AN789/BS789,0))</f>
        <v>2</v>
      </c>
      <c r="AP789" s="59" t="n">
        <f aca="false">IF(CH789&gt;0,CH789*MAX(1,AN789/X789),IF(BT789=1,IF(AN789&lt;=0,0,BW789*MAX(1,IF(H789&gt;0,AN789/H789,1))),IF(R789&gt;0,AO789/R789,0))/MAX(0.1,N(Parameter!$M$21)))</f>
        <v>0.00483091787439614</v>
      </c>
      <c r="AQ789" s="57" t="n">
        <f aca="false">AN789*G789</f>
        <v>4.2</v>
      </c>
      <c r="AR789" s="57" t="n">
        <f aca="false">ROUNDUP(MAX(J789/IF(BZ789&gt;0,BZ789,MAX(0.1,N(Cockpit!$I$6))),CC789)/BS789,0)*BS789</f>
        <v>140</v>
      </c>
      <c r="AS789" s="58" t="n">
        <f aca="false">IF(AP789&gt;0,J789/AP789,-1)</f>
        <v>27324</v>
      </c>
      <c r="AT789" s="58" t="n">
        <f aca="false">IF(AND(OR(BY789="L1",BY789="L23"),AP789&gt;0),SUMIFS($AP$7:$AP$1843,$BY$7:$BY$1843,BY789,$AS$7:$AS$1843,"&gt;"&amp;AS789)+SUMIFS($AP$7:$AP$1843,$BY$7:$BY$1843,BY789,$AS$7:$AS$1843,AS789,$BQ$7:$BQ$1843,"&lt;="&amp;BQ789),"")</f>
        <v>3.50788824701868</v>
      </c>
      <c r="AU789" s="65" t="n">
        <f aca="false">IF(AT789="",0,MAX(0,MIN(1,(IF(BY789="L1",Parameter!$E$5,Parameter!$E$6+Parameter!$E$7)-(AT789-AP789))/AP789)))</f>
        <v>1</v>
      </c>
      <c r="AV789" s="57" t="n">
        <f aca="false">IF(LEFT(Cockpit!$O$5,1)="A",H789,IF(CA789=1,CB789,IF(LEFT(Cockpit!$O$5,1)="B",AZ789,MAX(AZ789,H789))))</f>
        <v>140</v>
      </c>
      <c r="AW789" s="57" t="n">
        <f aca="false">IF(BT789=1,0,ROUNDUP(AV789/BS789,0))</f>
        <v>2</v>
      </c>
      <c r="AX789" s="59" t="n">
        <f aca="false">IF(CH789&gt;0,CH789*MAX(1,AV789/X789),IF(BT789=1,IF(AV789&lt;=0,0,BW789*MAX(1,IF(H789&gt;0,AV789/H789,1))),IF(R789&gt;0,AW789/R789,0))/MAX(0.1,N(Parameter!$M$21)))</f>
        <v>0.00483091787439614</v>
      </c>
      <c r="AY789" s="57" t="n">
        <f aca="false">AV789*G789</f>
        <v>4.2</v>
      </c>
      <c r="AZ789" s="57" t="n">
        <f aca="false">ROUNDUP(MAX(J789/IF(BZ789&gt;0,BZ789,MAX(0.1,N(Cockpit!$O$6))),CC789)/BS789,0)*BS789</f>
        <v>140</v>
      </c>
      <c r="BA789" s="58" t="n">
        <f aca="false">IF(AX789&gt;0,J789/AX789,-1)</f>
        <v>27324</v>
      </c>
      <c r="BB789" s="58" t="n">
        <f aca="false">IF(AND(OR(BY789="L1",BY789="L23"),AX789&gt;0),SUMIFS($AX$7:$AX$1843,$BY$7:$BY$1843,BY789,$BA$7:$BA$1843,"&gt;"&amp;BA789)+SUMIFS($AX$7:$AX$1843,$BY$7:$BY$1843,BY789,$BA$7:$BA$1843,BA789,$BQ$7:$BQ$1843,"&lt;="&amp;BQ789),"")</f>
        <v>3.23749197662241</v>
      </c>
      <c r="BC789" s="65" t="n">
        <f aca="false">IF(BB789="",0,MAX(0,MIN(1,(IF(BY789="L1",Parameter!$E$5,Parameter!$E$6+Parameter!$E$7)-(BB789-AX789))/AX789)))</f>
        <v>1</v>
      </c>
      <c r="BD789" s="55" t="str">
        <f aca="false">IF(AH789&lt;=0,"",IF(BY789="Aussen","Aussenlager",IF(BY789="-","Nicht im Lift",IF(AM789&gt;=1,"Lift",IF(AM789&lt;=0,"Aussenlager","teilweise")))))</f>
        <v>Lift</v>
      </c>
      <c r="BE789" s="55" t="str">
        <f aca="false">IF(AP789&lt;=0,"",IF(BY789="Aussen","Aussenlager",IF(BY789="-","Nicht im Lift",IF(AU789&gt;=1,"Lift",IF(AU789&lt;=0,"Aussenlager","teilweise")))))</f>
        <v>Lift</v>
      </c>
      <c r="BF789" s="55" t="str">
        <f aca="false">IF(AX789&lt;=0,"",IF(BY789="Aussen","Aussenlager",IF(BY789="-","Nicht im Lift",IF(BC789&gt;=1,"Lift",IF(BC789&lt;=0,"Aussenlager","teilweise")))))</f>
        <v>Lift</v>
      </c>
      <c r="BG789" s="55" t="str">
        <f aca="false">IF(A789="","",IF(BP789=1,"Neu; ","")&amp;IF(AND(BP789=0,BK789&lt;0),"negativer Bestand (Export "&amp;BK789&amp;"); ","")&amp;IF(J789&lt;=0,"Kein Verbrauch; ","")&amp;IF(CH789&gt;0,"Lift "&amp;W789&amp;" lt. Liftbericht (Fach "&amp;X789&amp;" Stk); ",IF(BU789=1,"Gebinde geschätzt ("&amp;T789&amp;"); ",IF(BT789=1,"Lose – Tablare geschätzt; ","")))&amp;IF(H789&gt;AR789,"Überbestand "&amp;ROUND(H789-AR789,0)&amp;" Stk / CHF "&amp;ROUND((H789-AR789)*G789,0)&amp;"; ","")&amp;IF(AND(CA789=1,CB789&lt;CC789),"MAX &lt; MB+LG; ","")&amp;IF(AND(CG789&gt;0,CF789*10&gt;CG789),"zu hoch für Tablar; ","")&amp;IF(AND(BP789=0,OR(CA789=1,AA789&lt;&gt;"",U789&lt;&gt;"",V789&lt;&gt;"",AB789&lt;&gt;"")),"manuell übersteuert; ","")&amp;IF(AND(BT789=0,R789=0),"Gebinde unbekannt / Stellmass fehlt; ","")&amp;IF(AND(BT789=0,N(V789)&lt;=0,N(Q789)&lt;=0),"Menge pro Gebinde fehlt (Ist = 1 Gebinde); ","")&amp;BO789)</f>
        <v>negativer Bestand (Export -101); </v>
      </c>
      <c r="BH789" s="55"/>
      <c r="BI789" s="55"/>
      <c r="BJ789" s="62"/>
      <c r="BK789" s="57" t="n">
        <v>-101</v>
      </c>
      <c r="BL789" s="57" t="n">
        <v>153</v>
      </c>
      <c r="BM789" s="56" t="n">
        <v>-3.03</v>
      </c>
      <c r="BN789" s="57" t="n">
        <v>132</v>
      </c>
      <c r="BO789" s="55"/>
      <c r="BP789" s="60" t="n">
        <v>0</v>
      </c>
      <c r="BQ789" s="60" t="n">
        <v>789</v>
      </c>
      <c r="BR789" s="55" t="str">
        <f aca="false">IF(U789&lt;&gt;"",UPPER(TRIM(U789)),IF(BU789=1,UPPER(VLOOKUP(T789,Parameter!$I$27:$K$29,2,0)),IF(P789="","LOSE",P789)))</f>
        <v>S21</v>
      </c>
      <c r="BS789" s="57" t="n">
        <f aca="false">IF(BR789="LOSE",1,IF(N(V789)&gt;0,V789,IF(BU789=1,MAX(1,N(VLOOKUP(T789,Parameter!$I$27:$K$29,3,0)),H789,N(N789)),IF(N(Q789)&gt;0,Q789,MAX(1,H789)))))</f>
        <v>70</v>
      </c>
      <c r="BT789" s="60" t="n">
        <f aca="false">IF(BR789="LOSE",1,0)</f>
        <v>0</v>
      </c>
      <c r="BU789" s="60" t="n">
        <f aca="false">IF(AND(U789="",OR(P789="",P789="LOSE"),T789&lt;&gt;"",N(S789)&lt;=0,ISNUMBER(MATCH(T789,Parameter!$I$27:$I$29,0))),1,0)</f>
        <v>0</v>
      </c>
      <c r="BV789" s="55" t="str">
        <f aca="false">IF(AND(Parameter!$B$19="Ja",E789&lt;&gt;"",ISNUMBER(MATCH(E789,Parameter!$I$35:$I$52,0))),VLOOKUP(E789,Parameter!$I$35:$J$52,2,0),IFERROR(VLOOKUP(D789,Parameter!$A$35:$C$64,2,0),"Nein"))</f>
        <v>2+3</v>
      </c>
      <c r="BW789" s="59" t="n">
        <f aca="false">IF(BT789=0,0,IF(N(S789)&gt;0,S789,IFERROR(VLOOKUP(D789,Parameter!$A$35:$C$64,3,0)+0,0)))</f>
        <v>0</v>
      </c>
      <c r="BX789" s="55" t="n">
        <f aca="false">IF(AA789&lt;&gt;"",AA789,Z789)</f>
        <v>3</v>
      </c>
      <c r="BY789" s="55" t="str">
        <f aca="false">IF(BX789=1,"L1",IF(OR(BX789=2,BX789=3),"L23",IF(BX789="Aussen","Aussen","-")))</f>
        <v>L23</v>
      </c>
      <c r="BZ789" s="66" t="n">
        <f aca="false">IF(N(AB789)&gt;0,AB789,0)</f>
        <v>0</v>
      </c>
      <c r="CA789" s="60" t="n">
        <f aca="false">IF(ISNUMBER(AE789),1,0)</f>
        <v>0</v>
      </c>
      <c r="CB789" s="57" t="n">
        <f aca="false">N(AE789)</f>
        <v>0</v>
      </c>
      <c r="CC789" s="57" t="n">
        <f aca="false">N(M789)+N(N789)</f>
        <v>137</v>
      </c>
      <c r="CD789" s="57" t="n">
        <f aca="false">ROUNDUP(H789/BS789,0)</f>
        <v>1</v>
      </c>
      <c r="CE789" s="57" t="n">
        <f aca="false">ROUNDUP(CB789/BS789,0)</f>
        <v>0</v>
      </c>
      <c r="CF789" s="60" t="n">
        <f aca="false">IF(BT789=1,0,IFERROR(VLOOKUP(BR789,'Gebinde-Kategorie'!$A$5:$M$45,5,0)+0,0))</f>
        <v>8</v>
      </c>
      <c r="CG789" s="60" t="n">
        <f aca="false">IFERROR(IF(OR(BX789=1,BX789=2,BX789=3),N(INDEX(Parameter!$I$5:$I$7,BX789)),0),0)</f>
        <v>0</v>
      </c>
      <c r="CH789" s="59" t="n">
        <f aca="false">IF(AND(Parameter!$B$21="Ja",ISNUMBER(W789),N(X789)&gt;0),IFERROR(N(INDEX(Parameter!$L$5:$L$7,W789))*INDEX(Parameter!$E$5:$E$7,W789)*X789/SUMIFS($X$7:$X$1843,$W$7:$W$1843,W789),0),0)</f>
        <v>0</v>
      </c>
    </row>
    <row r="790" customFormat="false" ht="15" hidden="false" customHeight="false" outlineLevel="0" collapsed="false">
      <c r="A790" s="55" t="s">
        <v>1539</v>
      </c>
      <c r="B790" s="55" t="s">
        <v>374</v>
      </c>
      <c r="C790" s="55" t="s">
        <v>164</v>
      </c>
      <c r="D790" s="55" t="s">
        <v>184</v>
      </c>
      <c r="E790" s="55" t="s">
        <v>185</v>
      </c>
      <c r="F790" s="55" t="s">
        <v>218</v>
      </c>
      <c r="G790" s="56" t="n">
        <v>1.53</v>
      </c>
      <c r="H790" s="57" t="n">
        <f aca="false">MAX(0,IF(AND(Parameter!$B$21="Ja",ISNUMBER(Y790)),Y790,IF(Parameter!$B$20="Jahresanfang 2025 + Export",BL790+BK790,BK790)))</f>
        <v>27</v>
      </c>
      <c r="I790" s="57" t="n">
        <f aca="false">H790*G790</f>
        <v>41.31</v>
      </c>
      <c r="J790" s="57" t="n">
        <f aca="false">BN790*Parameter!$B$18</f>
        <v>2</v>
      </c>
      <c r="K790" s="58" t="n">
        <v>28</v>
      </c>
      <c r="L790" s="59" t="n">
        <v>0.0714285714285714</v>
      </c>
      <c r="M790" s="57" t="n">
        <v>0</v>
      </c>
      <c r="N790" s="57" t="n">
        <v>1</v>
      </c>
      <c r="O790" s="60" t="n">
        <v>14</v>
      </c>
      <c r="P790" s="55" t="s">
        <v>426</v>
      </c>
      <c r="Q790" s="57" t="n">
        <v>34</v>
      </c>
      <c r="R790" s="60" t="n">
        <f aca="false">IF(BT790=1,0,IFERROR(VLOOKUP(BR790,'Gebinde-Kategorie'!$A$5:$M$45,13,0)+0,0))</f>
        <v>198</v>
      </c>
      <c r="S790" s="61"/>
      <c r="T790" s="62"/>
      <c r="U790" s="62"/>
      <c r="V790" s="62"/>
      <c r="W790" s="55"/>
      <c r="X790" s="57"/>
      <c r="Y790" s="57"/>
      <c r="Z790" s="55" t="n">
        <f aca="false">IF(A790="","",IF(AND(Parameter!$B$21="Ja",ISNUMBER(W790)),W790,IF(BV790="2+3",IF(ISNUMBER(SEARCH("grosser Artikel",BO790)),2,IFERROR(VLOOKUP(BR790,Parameter!$F$35:$G$64,2,0),2)),IF(OR(BV790="Nein",BV790=""),"-",BV790))))</f>
        <v>3</v>
      </c>
      <c r="AA790" s="62"/>
      <c r="AB790" s="63"/>
      <c r="AC790" s="57" t="n">
        <f aca="false">AR790</f>
        <v>34</v>
      </c>
      <c r="AD790" s="57" t="n">
        <f aca="false">MAX(AR790,H790)</f>
        <v>34</v>
      </c>
      <c r="AE790" s="64"/>
      <c r="AF790" s="57" t="n">
        <f aca="false">IF(LEFT(Cockpit!$C$5,1)="A",H790,IF(CA790=1,CB790,IF(LEFT(Cockpit!$C$5,1)="B",AJ790,MAX(AJ790,H790))))</f>
        <v>27</v>
      </c>
      <c r="AG790" s="57" t="n">
        <f aca="false">IF(BT790=1,0,ROUNDUP(AF790/BS790,0))</f>
        <v>1</v>
      </c>
      <c r="AH790" s="59" t="n">
        <f aca="false">IF(CH790&gt;0,CH790*MAX(1,AF790/X790),IF(BT790=1,IF(AF790&lt;=0,0,BW790*MAX(1,IF(H790&gt;0,AF790/H790,1))),IF(R790&gt;0,AG790/R790,0))/MAX(0.1,N(Parameter!$M$21)))</f>
        <v>0.00505050505050505</v>
      </c>
      <c r="AI790" s="57" t="n">
        <f aca="false">AF790*G790</f>
        <v>41.31</v>
      </c>
      <c r="AJ790" s="57" t="n">
        <f aca="false">ROUNDUP(MAX(J790/IF(BZ790&gt;0,BZ790,MAX(0.1,N(Cockpit!$C$6))),CC790)/BS790,0)*BS790</f>
        <v>34</v>
      </c>
      <c r="AK790" s="58" t="n">
        <f aca="false">IF(AH790&gt;0,J790/AH790,-1)</f>
        <v>396</v>
      </c>
      <c r="AL790" s="58" t="n">
        <f aca="false">IF(AND(OR(BY790="L1",BY790="L23"),AH790&gt;0),SUMIFS($AH$7:$AH$1843,$BY$7:$BY$1843,BY790,$AK$7:$AK$1843,"&gt;"&amp;AK790)+SUMIFS($AH$7:$AH$1843,$BY$7:$BY$1843,BY790,$AK$7:$AK$1843,AK790,$BQ$7:$BQ$1843,"&lt;="&amp;BQ790),"")</f>
        <v>25.92025607243</v>
      </c>
      <c r="AM790" s="65" t="n">
        <f aca="false">IF(AL790="",0,MAX(0,MIN(1,(IF(BY790="L1",Parameter!$E$5,Parameter!$E$6+Parameter!$E$7)-(AL790-AH790))/AH790)))</f>
        <v>1</v>
      </c>
      <c r="AN790" s="57" t="n">
        <f aca="false">IF(LEFT(Cockpit!$I$5,1)="A",H790,IF(CA790=1,CB790,IF(LEFT(Cockpit!$I$5,1)="B",AR790,MAX(AR790,H790))))</f>
        <v>34</v>
      </c>
      <c r="AO790" s="57" t="n">
        <f aca="false">IF(BT790=1,0,ROUNDUP(AN790/BS790,0))</f>
        <v>1</v>
      </c>
      <c r="AP790" s="59" t="n">
        <f aca="false">IF(CH790&gt;0,CH790*MAX(1,AN790/X790),IF(BT790=1,IF(AN790&lt;=0,0,BW790*MAX(1,IF(H790&gt;0,AN790/H790,1))),IF(R790&gt;0,AO790/R790,0))/MAX(0.1,N(Parameter!$M$21)))</f>
        <v>0.00505050505050505</v>
      </c>
      <c r="AQ790" s="57" t="n">
        <f aca="false">AN790*G790</f>
        <v>52.02</v>
      </c>
      <c r="AR790" s="57" t="n">
        <f aca="false">ROUNDUP(MAX(J790/IF(BZ790&gt;0,BZ790,MAX(0.1,N(Cockpit!$I$6))),CC790)/BS790,0)*BS790</f>
        <v>34</v>
      </c>
      <c r="AS790" s="58" t="n">
        <f aca="false">IF(AP790&gt;0,J790/AP790,-1)</f>
        <v>396</v>
      </c>
      <c r="AT790" s="58" t="n">
        <f aca="false">IF(AND(OR(BY790="L1",BY790="L23"),AP790&gt;0),SUMIFS($AP$7:$AP$1843,$BY$7:$BY$1843,BY790,$AS$7:$AS$1843,"&gt;"&amp;AS790)+SUMIFS($AP$7:$AP$1843,$BY$7:$BY$1843,BY790,$AS$7:$AS$1843,AS790,$BQ$7:$BQ$1843,"&lt;="&amp;BQ790),"")</f>
        <v>35.358560521604</v>
      </c>
      <c r="AU790" s="65" t="n">
        <f aca="false">IF(AT790="",0,MAX(0,MIN(1,(IF(BY790="L1",Parameter!$E$5,Parameter!$E$6+Parameter!$E$7)-(AT790-AP790))/AP790)))</f>
        <v>1</v>
      </c>
      <c r="AV790" s="57" t="n">
        <f aca="false">IF(LEFT(Cockpit!$O$5,1)="A",H790,IF(CA790=1,CB790,IF(LEFT(Cockpit!$O$5,1)="B",AZ790,MAX(AZ790,H790))))</f>
        <v>34</v>
      </c>
      <c r="AW790" s="57" t="n">
        <f aca="false">IF(BT790=1,0,ROUNDUP(AV790/BS790,0))</f>
        <v>1</v>
      </c>
      <c r="AX790" s="59" t="n">
        <f aca="false">IF(CH790&gt;0,CH790*MAX(1,AV790/X790),IF(BT790=1,IF(AV790&lt;=0,0,BW790*MAX(1,IF(H790&gt;0,AV790/H790,1))),IF(R790&gt;0,AW790/R790,0))/MAX(0.1,N(Parameter!$M$21)))</f>
        <v>0.00505050505050505</v>
      </c>
      <c r="AY790" s="57" t="n">
        <f aca="false">AV790*G790</f>
        <v>52.02</v>
      </c>
      <c r="AZ790" s="57" t="n">
        <f aca="false">ROUNDUP(MAX(J790/IF(BZ790&gt;0,BZ790,MAX(0.1,N(Cockpit!$O$6))),CC790)/BS790,0)*BS790</f>
        <v>34</v>
      </c>
      <c r="BA790" s="58" t="n">
        <f aca="false">IF(AX790&gt;0,J790/AX790,-1)</f>
        <v>396</v>
      </c>
      <c r="BB790" s="58" t="n">
        <f aca="false">IF(AND(OR(BY790="L1",BY790="L23"),AX790&gt;0),SUMIFS($AX$7:$AX$1843,$BY$7:$BY$1843,BY790,$BA$7:$BA$1843,"&gt;"&amp;BA790)+SUMIFS($AX$7:$AX$1843,$BY$7:$BY$1843,BY790,$BA$7:$BA$1843,BA790,$BQ$7:$BQ$1843,"&lt;="&amp;BQ790),"")</f>
        <v>34.6050640181075</v>
      </c>
      <c r="BC790" s="65" t="n">
        <f aca="false">IF(BB790="",0,MAX(0,MIN(1,(IF(BY790="L1",Parameter!$E$5,Parameter!$E$6+Parameter!$E$7)-(BB790-AX790))/AX790)))</f>
        <v>1</v>
      </c>
      <c r="BD790" s="55" t="str">
        <f aca="false">IF(AH790&lt;=0,"",IF(BY790="Aussen","Aussenlager",IF(BY790="-","Nicht im Lift",IF(AM790&gt;=1,"Lift",IF(AM790&lt;=0,"Aussenlager","teilweise")))))</f>
        <v>Lift</v>
      </c>
      <c r="BE790" s="55" t="str">
        <f aca="false">IF(AP790&lt;=0,"",IF(BY790="Aussen","Aussenlager",IF(BY790="-","Nicht im Lift",IF(AU790&gt;=1,"Lift",IF(AU790&lt;=0,"Aussenlager","teilweise")))))</f>
        <v>Lift</v>
      </c>
      <c r="BF790" s="55" t="str">
        <f aca="false">IF(AX790&lt;=0,"",IF(BY790="Aussen","Aussenlager",IF(BY790="-","Nicht im Lift",IF(BC790&gt;=1,"Lift",IF(BC790&lt;=0,"Aussenlager","teilweise")))))</f>
        <v>Lift</v>
      </c>
      <c r="BG790" s="55" t="str">
        <f aca="false">IF(A790="","",IF(BP790=1,"Neu; ","")&amp;IF(AND(BP790=0,BK790&lt;0),"negativer Bestand (Export "&amp;BK790&amp;"); ","")&amp;IF(J790&lt;=0,"Kein Verbrauch; ","")&amp;IF(CH790&gt;0,"Lift "&amp;W790&amp;" lt. Liftbericht (Fach "&amp;X790&amp;" Stk); ",IF(BU790=1,"Gebinde geschätzt ("&amp;T790&amp;"); ",IF(BT790=1,"Lose – Tablare geschätzt; ","")))&amp;IF(H790&gt;AR790,"Überbestand "&amp;ROUND(H790-AR790,0)&amp;" Stk / CHF "&amp;ROUND((H790-AR790)*G790,0)&amp;"; ","")&amp;IF(AND(CA790=1,CB790&lt;CC790),"MAX &lt; MB+LG; ","")&amp;IF(AND(CG790&gt;0,CF790*10&gt;CG790),"zu hoch für Tablar; ","")&amp;IF(AND(BP790=0,OR(CA790=1,AA790&lt;&gt;"",U790&lt;&gt;"",V790&lt;&gt;"",AB790&lt;&gt;"")),"manuell übersteuert; ","")&amp;IF(AND(BT790=0,R790=0),"Gebinde unbekannt / Stellmass fehlt; ","")&amp;IF(AND(BT790=0,N(V790)&lt;=0,N(Q790)&lt;=0),"Menge pro Gebinde fehlt (Ist = 1 Gebinde); ","")&amp;BO790)</f>
        <v>negativer Bestand (Export -2); </v>
      </c>
      <c r="BH790" s="55"/>
      <c r="BI790" s="55"/>
      <c r="BJ790" s="62"/>
      <c r="BK790" s="57" t="n">
        <v>-2</v>
      </c>
      <c r="BL790" s="57" t="n">
        <v>29</v>
      </c>
      <c r="BM790" s="56" t="n">
        <v>-3.06</v>
      </c>
      <c r="BN790" s="57" t="n">
        <v>2</v>
      </c>
      <c r="BO790" s="55"/>
      <c r="BP790" s="60" t="n">
        <v>0</v>
      </c>
      <c r="BQ790" s="60" t="n">
        <v>790</v>
      </c>
      <c r="BR790" s="55" t="str">
        <f aca="false">IF(U790&lt;&gt;"",UPPER(TRIM(U790)),IF(BU790=1,UPPER(VLOOKUP(T790,Parameter!$I$27:$K$29,2,0)),IF(P790="","LOSE",P790)))</f>
        <v>S22</v>
      </c>
      <c r="BS790" s="57" t="n">
        <f aca="false">IF(BR790="LOSE",1,IF(N(V790)&gt;0,V790,IF(BU790=1,MAX(1,N(VLOOKUP(T790,Parameter!$I$27:$K$29,3,0)),H790,N(N790)),IF(N(Q790)&gt;0,Q790,MAX(1,H790)))))</f>
        <v>34</v>
      </c>
      <c r="BT790" s="60" t="n">
        <f aca="false">IF(BR790="LOSE",1,0)</f>
        <v>0</v>
      </c>
      <c r="BU790" s="60" t="n">
        <f aca="false">IF(AND(U790="",OR(P790="",P790="LOSE"),T790&lt;&gt;"",N(S790)&lt;=0,ISNUMBER(MATCH(T790,Parameter!$I$27:$I$29,0))),1,0)</f>
        <v>0</v>
      </c>
      <c r="BV790" s="55" t="str">
        <f aca="false">IF(AND(Parameter!$B$19="Ja",E790&lt;&gt;"",ISNUMBER(MATCH(E790,Parameter!$I$35:$I$52,0))),VLOOKUP(E790,Parameter!$I$35:$J$52,2,0),IFERROR(VLOOKUP(D790,Parameter!$A$35:$C$64,2,0),"Nein"))</f>
        <v>2+3</v>
      </c>
      <c r="BW790" s="59" t="n">
        <f aca="false">IF(BT790=0,0,IF(N(S790)&gt;0,S790,IFERROR(VLOOKUP(D790,Parameter!$A$35:$C$64,3,0)+0,0)))</f>
        <v>0</v>
      </c>
      <c r="BX790" s="55" t="n">
        <f aca="false">IF(AA790&lt;&gt;"",AA790,Z790)</f>
        <v>3</v>
      </c>
      <c r="BY790" s="55" t="str">
        <f aca="false">IF(BX790=1,"L1",IF(OR(BX790=2,BX790=3),"L23",IF(BX790="Aussen","Aussen","-")))</f>
        <v>L23</v>
      </c>
      <c r="BZ790" s="66" t="n">
        <f aca="false">IF(N(AB790)&gt;0,AB790,0)</f>
        <v>0</v>
      </c>
      <c r="CA790" s="60" t="n">
        <f aca="false">IF(ISNUMBER(AE790),1,0)</f>
        <v>0</v>
      </c>
      <c r="CB790" s="57" t="n">
        <f aca="false">N(AE790)</f>
        <v>0</v>
      </c>
      <c r="CC790" s="57" t="n">
        <f aca="false">N(M790)+N(N790)</f>
        <v>1</v>
      </c>
      <c r="CD790" s="57" t="n">
        <f aca="false">ROUNDUP(H790/BS790,0)</f>
        <v>1</v>
      </c>
      <c r="CE790" s="57" t="n">
        <f aca="false">ROUNDUP(CB790/BS790,0)</f>
        <v>0</v>
      </c>
      <c r="CF790" s="60" t="n">
        <f aca="false">IF(BT790=1,0,IFERROR(VLOOKUP(BR790,'Gebinde-Kategorie'!$A$5:$M$45,5,0)+0,0))</f>
        <v>8</v>
      </c>
      <c r="CG790" s="60" t="n">
        <f aca="false">IFERROR(IF(OR(BX790=1,BX790=2,BX790=3),N(INDEX(Parameter!$I$5:$I$7,BX790)),0),0)</f>
        <v>0</v>
      </c>
      <c r="CH790" s="59" t="n">
        <f aca="false">IF(AND(Parameter!$B$21="Ja",ISNUMBER(W790),N(X790)&gt;0),IFERROR(N(INDEX(Parameter!$L$5:$L$7,W790))*INDEX(Parameter!$E$5:$E$7,W790)*X790/SUMIFS($X$7:$X$1843,$W$7:$W$1843,W790),0),0)</f>
        <v>0</v>
      </c>
    </row>
    <row r="791" customFormat="false" ht="15" hidden="false" customHeight="false" outlineLevel="0" collapsed="false">
      <c r="A791" s="55" t="s">
        <v>1540</v>
      </c>
      <c r="B791" s="55" t="s">
        <v>405</v>
      </c>
      <c r="C791" s="55" t="s">
        <v>164</v>
      </c>
      <c r="D791" s="55" t="s">
        <v>184</v>
      </c>
      <c r="E791" s="55" t="s">
        <v>185</v>
      </c>
      <c r="F791" s="55" t="s">
        <v>218</v>
      </c>
      <c r="G791" s="56" t="n">
        <v>0.19</v>
      </c>
      <c r="H791" s="57" t="n">
        <f aca="false">MAX(0,IF(AND(Parameter!$B$21="Ja",ISNUMBER(Y791)),Y791,IF(Parameter!$B$20="Jahresanfang 2025 + Export",BL791+BK791,BK791)))</f>
        <v>62</v>
      </c>
      <c r="I791" s="57" t="n">
        <f aca="false">H791*G791</f>
        <v>11.78</v>
      </c>
      <c r="J791" s="57" t="n">
        <f aca="false">BN791*Parameter!$B$18</f>
        <v>6</v>
      </c>
      <c r="K791" s="58" t="n">
        <v>70.5</v>
      </c>
      <c r="L791" s="59" t="n">
        <v>0.0851063829787234</v>
      </c>
      <c r="M791" s="57" t="n">
        <v>0</v>
      </c>
      <c r="N791" s="57" t="n">
        <v>5</v>
      </c>
      <c r="O791" s="60" t="n">
        <v>14</v>
      </c>
      <c r="P791" s="55" t="s">
        <v>426</v>
      </c>
      <c r="Q791" s="57" t="n">
        <v>93</v>
      </c>
      <c r="R791" s="60" t="n">
        <f aca="false">IF(BT791=1,0,IFERROR(VLOOKUP(BR791,'Gebinde-Kategorie'!$A$5:$M$45,13,0)+0,0))</f>
        <v>198</v>
      </c>
      <c r="S791" s="61"/>
      <c r="T791" s="62"/>
      <c r="U791" s="62"/>
      <c r="V791" s="62"/>
      <c r="W791" s="55"/>
      <c r="X791" s="57"/>
      <c r="Y791" s="57"/>
      <c r="Z791" s="55" t="n">
        <f aca="false">IF(A791="","",IF(AND(Parameter!$B$21="Ja",ISNUMBER(W791)),W791,IF(BV791="2+3",IF(ISNUMBER(SEARCH("grosser Artikel",BO791)),2,IFERROR(VLOOKUP(BR791,Parameter!$F$35:$G$64,2,0),2)),IF(OR(BV791="Nein",BV791=""),"-",BV791))))</f>
        <v>3</v>
      </c>
      <c r="AA791" s="62"/>
      <c r="AB791" s="63"/>
      <c r="AC791" s="57" t="n">
        <f aca="false">AR791</f>
        <v>93</v>
      </c>
      <c r="AD791" s="57" t="n">
        <f aca="false">MAX(AR791,H791)</f>
        <v>93</v>
      </c>
      <c r="AE791" s="64"/>
      <c r="AF791" s="57" t="n">
        <f aca="false">IF(LEFT(Cockpit!$C$5,1)="A",H791,IF(CA791=1,CB791,IF(LEFT(Cockpit!$C$5,1)="B",AJ791,MAX(AJ791,H791))))</f>
        <v>62</v>
      </c>
      <c r="AG791" s="57" t="n">
        <f aca="false">IF(BT791=1,0,ROUNDUP(AF791/BS791,0))</f>
        <v>1</v>
      </c>
      <c r="AH791" s="59" t="n">
        <f aca="false">IF(CH791&gt;0,CH791*MAX(1,AF791/X791),IF(BT791=1,IF(AF791&lt;=0,0,BW791*MAX(1,IF(H791&gt;0,AF791/H791,1))),IF(R791&gt;0,AG791/R791,0))/MAX(0.1,N(Parameter!$M$21)))</f>
        <v>0.00505050505050505</v>
      </c>
      <c r="AI791" s="57" t="n">
        <f aca="false">AF791*G791</f>
        <v>11.78</v>
      </c>
      <c r="AJ791" s="57" t="n">
        <f aca="false">ROUNDUP(MAX(J791/IF(BZ791&gt;0,BZ791,MAX(0.1,N(Cockpit!$C$6))),CC791)/BS791,0)*BS791</f>
        <v>93</v>
      </c>
      <c r="AK791" s="58" t="n">
        <f aca="false">IF(AH791&gt;0,J791/AH791,-1)</f>
        <v>1188</v>
      </c>
      <c r="AL791" s="58" t="n">
        <f aca="false">IF(AND(OR(BY791="L1",BY791="L23"),AH791&gt;0),SUMIFS($AH$7:$AH$1843,$BY$7:$BY$1843,BY791,$AK$7:$AK$1843,"&gt;"&amp;AK791)+SUMIFS($AH$7:$AH$1843,$BY$7:$BY$1843,BY791,$AK$7:$AK$1843,AK791,$BQ$7:$BQ$1843,"&lt;="&amp;BQ791),"")</f>
        <v>16.6798925711969</v>
      </c>
      <c r="AM791" s="65" t="n">
        <f aca="false">IF(AL791="",0,MAX(0,MIN(1,(IF(BY791="L1",Parameter!$E$5,Parameter!$E$6+Parameter!$E$7)-(AL791-AH791))/AH791)))</f>
        <v>1</v>
      </c>
      <c r="AN791" s="57" t="n">
        <f aca="false">IF(LEFT(Cockpit!$I$5,1)="A",H791,IF(CA791=1,CB791,IF(LEFT(Cockpit!$I$5,1)="B",AR791,MAX(AR791,H791))))</f>
        <v>93</v>
      </c>
      <c r="AO791" s="57" t="n">
        <f aca="false">IF(BT791=1,0,ROUNDUP(AN791/BS791,0))</f>
        <v>1</v>
      </c>
      <c r="AP791" s="59" t="n">
        <f aca="false">IF(CH791&gt;0,CH791*MAX(1,AN791/X791),IF(BT791=1,IF(AN791&lt;=0,0,BW791*MAX(1,IF(H791&gt;0,AN791/H791,1))),IF(R791&gt;0,AO791/R791,0))/MAX(0.1,N(Parameter!$M$21)))</f>
        <v>0.00505050505050505</v>
      </c>
      <c r="AQ791" s="57" t="n">
        <f aca="false">AN791*G791</f>
        <v>17.67</v>
      </c>
      <c r="AR791" s="57" t="n">
        <f aca="false">ROUNDUP(MAX(J791/IF(BZ791&gt;0,BZ791,MAX(0.1,N(Cockpit!$I$6))),CC791)/BS791,0)*BS791</f>
        <v>93</v>
      </c>
      <c r="AS791" s="58" t="n">
        <f aca="false">IF(AP791&gt;0,J791/AP791,-1)</f>
        <v>1188</v>
      </c>
      <c r="AT791" s="58" t="n">
        <f aca="false">IF(AND(OR(BY791="L1",BY791="L23"),AP791&gt;0),SUMIFS($AP$7:$AP$1843,$BY$7:$BY$1843,BY791,$AS$7:$AS$1843,"&gt;"&amp;AS791)+SUMIFS($AP$7:$AP$1843,$BY$7:$BY$1843,BY791,$AS$7:$AS$1843,AS791,$BQ$7:$BQ$1843,"&lt;="&amp;BQ791),"")</f>
        <v>22.2891540826323</v>
      </c>
      <c r="AU791" s="65" t="n">
        <f aca="false">IF(AT791="",0,MAX(0,MIN(1,(IF(BY791="L1",Parameter!$E$5,Parameter!$E$6+Parameter!$E$7)-(AT791-AP791))/AP791)))</f>
        <v>1</v>
      </c>
      <c r="AV791" s="57" t="n">
        <f aca="false">IF(LEFT(Cockpit!$O$5,1)="A",H791,IF(CA791=1,CB791,IF(LEFT(Cockpit!$O$5,1)="B",AZ791,MAX(AZ791,H791))))</f>
        <v>93</v>
      </c>
      <c r="AW791" s="57" t="n">
        <f aca="false">IF(BT791=1,0,ROUNDUP(AV791/BS791,0))</f>
        <v>1</v>
      </c>
      <c r="AX791" s="59" t="n">
        <f aca="false">IF(CH791&gt;0,CH791*MAX(1,AV791/X791),IF(BT791=1,IF(AV791&lt;=0,0,BW791*MAX(1,IF(H791&gt;0,AV791/H791,1))),IF(R791&gt;0,AW791/R791,0))/MAX(0.1,N(Parameter!$M$21)))</f>
        <v>0.00505050505050505</v>
      </c>
      <c r="AY791" s="57" t="n">
        <f aca="false">AV791*G791</f>
        <v>17.67</v>
      </c>
      <c r="AZ791" s="57" t="n">
        <f aca="false">ROUNDUP(MAX(J791/IF(BZ791&gt;0,BZ791,MAX(0.1,N(Cockpit!$O$6))),CC791)/BS791,0)*BS791</f>
        <v>93</v>
      </c>
      <c r="BA791" s="58" t="n">
        <f aca="false">IF(AX791&gt;0,J791/AX791,-1)</f>
        <v>1188</v>
      </c>
      <c r="BB791" s="58" t="n">
        <f aca="false">IF(AND(OR(BY791="L1",BY791="L23"),AX791&gt;0),SUMIFS($AX$7:$AX$1843,$BY$7:$BY$1843,BY791,$BA$7:$BA$1843,"&gt;"&amp;BA791)+SUMIFS($AX$7:$AX$1843,$BY$7:$BY$1843,BY791,$BA$7:$BA$1843,BA791,$BQ$7:$BQ$1843,"&lt;="&amp;BQ791),"")</f>
        <v>21.2343755278538</v>
      </c>
      <c r="BC791" s="65" t="n">
        <f aca="false">IF(BB791="",0,MAX(0,MIN(1,(IF(BY791="L1",Parameter!$E$5,Parameter!$E$6+Parameter!$E$7)-(BB791-AX791))/AX791)))</f>
        <v>1</v>
      </c>
      <c r="BD791" s="55" t="str">
        <f aca="false">IF(AH791&lt;=0,"",IF(BY791="Aussen","Aussenlager",IF(BY791="-","Nicht im Lift",IF(AM791&gt;=1,"Lift",IF(AM791&lt;=0,"Aussenlager","teilweise")))))</f>
        <v>Lift</v>
      </c>
      <c r="BE791" s="55" t="str">
        <f aca="false">IF(AP791&lt;=0,"",IF(BY791="Aussen","Aussenlager",IF(BY791="-","Nicht im Lift",IF(AU791&gt;=1,"Lift",IF(AU791&lt;=0,"Aussenlager","teilweise")))))</f>
        <v>Lift</v>
      </c>
      <c r="BF791" s="55" t="str">
        <f aca="false">IF(AX791&lt;=0,"",IF(BY791="Aussen","Aussenlager",IF(BY791="-","Nicht im Lift",IF(BC791&gt;=1,"Lift",IF(BC791&lt;=0,"Aussenlager","teilweise")))))</f>
        <v>Lift</v>
      </c>
      <c r="BG791" s="55" t="str">
        <f aca="false">IF(A791="","",IF(BP791=1,"Neu; ","")&amp;IF(AND(BP791=0,BK791&lt;0),"negativer Bestand (Export "&amp;BK791&amp;"); ","")&amp;IF(J791&lt;=0,"Kein Verbrauch; ","")&amp;IF(CH791&gt;0,"Lift "&amp;W791&amp;" lt. Liftbericht (Fach "&amp;X791&amp;" Stk); ",IF(BU791=1,"Gebinde geschätzt ("&amp;T791&amp;"); ",IF(BT791=1,"Lose – Tablare geschätzt; ","")))&amp;IF(H791&gt;AR791,"Überbestand "&amp;ROUND(H791-AR791,0)&amp;" Stk / CHF "&amp;ROUND((H791-AR791)*G791,0)&amp;"; ","")&amp;IF(AND(CA791=1,CB791&lt;CC791),"MAX &lt; MB+LG; ","")&amp;IF(AND(CG791&gt;0,CF791*10&gt;CG791),"zu hoch für Tablar; ","")&amp;IF(AND(BP791=0,OR(CA791=1,AA791&lt;&gt;"",U791&lt;&gt;"",V791&lt;&gt;"",AB791&lt;&gt;"")),"manuell übersteuert; ","")&amp;IF(AND(BT791=0,R791=0),"Gebinde unbekannt / Stellmass fehlt; ","")&amp;IF(AND(BT791=0,N(V791)&lt;=0,N(Q791)&lt;=0),"Menge pro Gebinde fehlt (Ist = 1 Gebinde); ","")&amp;BO791)</f>
        <v>negativer Bestand (Export -17); Überbestand</v>
      </c>
      <c r="BH791" s="55"/>
      <c r="BI791" s="55"/>
      <c r="BJ791" s="62"/>
      <c r="BK791" s="57" t="n">
        <v>-17</v>
      </c>
      <c r="BL791" s="57" t="n">
        <v>79</v>
      </c>
      <c r="BM791" s="56" t="n">
        <v>-3.23</v>
      </c>
      <c r="BN791" s="57" t="n">
        <v>6</v>
      </c>
      <c r="BO791" s="55" t="s">
        <v>392</v>
      </c>
      <c r="BP791" s="60" t="n">
        <v>0</v>
      </c>
      <c r="BQ791" s="60" t="n">
        <v>791</v>
      </c>
      <c r="BR791" s="55" t="str">
        <f aca="false">IF(U791&lt;&gt;"",UPPER(TRIM(U791)),IF(BU791=1,UPPER(VLOOKUP(T791,Parameter!$I$27:$K$29,2,0)),IF(P791="","LOSE",P791)))</f>
        <v>S22</v>
      </c>
      <c r="BS791" s="57" t="n">
        <f aca="false">IF(BR791="LOSE",1,IF(N(V791)&gt;0,V791,IF(BU791=1,MAX(1,N(VLOOKUP(T791,Parameter!$I$27:$K$29,3,0)),H791,N(N791)),IF(N(Q791)&gt;0,Q791,MAX(1,H791)))))</f>
        <v>93</v>
      </c>
      <c r="BT791" s="60" t="n">
        <f aca="false">IF(BR791="LOSE",1,0)</f>
        <v>0</v>
      </c>
      <c r="BU791" s="60" t="n">
        <f aca="false">IF(AND(U791="",OR(P791="",P791="LOSE"),T791&lt;&gt;"",N(S791)&lt;=0,ISNUMBER(MATCH(T791,Parameter!$I$27:$I$29,0))),1,0)</f>
        <v>0</v>
      </c>
      <c r="BV791" s="55" t="str">
        <f aca="false">IF(AND(Parameter!$B$19="Ja",E791&lt;&gt;"",ISNUMBER(MATCH(E791,Parameter!$I$35:$I$52,0))),VLOOKUP(E791,Parameter!$I$35:$J$52,2,0),IFERROR(VLOOKUP(D791,Parameter!$A$35:$C$64,2,0),"Nein"))</f>
        <v>2+3</v>
      </c>
      <c r="BW791" s="59" t="n">
        <f aca="false">IF(BT791=0,0,IF(N(S791)&gt;0,S791,IFERROR(VLOOKUP(D791,Parameter!$A$35:$C$64,3,0)+0,0)))</f>
        <v>0</v>
      </c>
      <c r="BX791" s="55" t="n">
        <f aca="false">IF(AA791&lt;&gt;"",AA791,Z791)</f>
        <v>3</v>
      </c>
      <c r="BY791" s="55" t="str">
        <f aca="false">IF(BX791=1,"L1",IF(OR(BX791=2,BX791=3),"L23",IF(BX791="Aussen","Aussen","-")))</f>
        <v>L23</v>
      </c>
      <c r="BZ791" s="66" t="n">
        <f aca="false">IF(N(AB791)&gt;0,AB791,0)</f>
        <v>0</v>
      </c>
      <c r="CA791" s="60" t="n">
        <f aca="false">IF(ISNUMBER(AE791),1,0)</f>
        <v>0</v>
      </c>
      <c r="CB791" s="57" t="n">
        <f aca="false">N(AE791)</f>
        <v>0</v>
      </c>
      <c r="CC791" s="57" t="n">
        <f aca="false">N(M791)+N(N791)</f>
        <v>5</v>
      </c>
      <c r="CD791" s="57" t="n">
        <f aca="false">ROUNDUP(H791/BS791,0)</f>
        <v>1</v>
      </c>
      <c r="CE791" s="57" t="n">
        <f aca="false">ROUNDUP(CB791/BS791,0)</f>
        <v>0</v>
      </c>
      <c r="CF791" s="60" t="n">
        <f aca="false">IF(BT791=1,0,IFERROR(VLOOKUP(BR791,'Gebinde-Kategorie'!$A$5:$M$45,5,0)+0,0))</f>
        <v>8</v>
      </c>
      <c r="CG791" s="60" t="n">
        <f aca="false">IFERROR(IF(OR(BX791=1,BX791=2,BX791=3),N(INDEX(Parameter!$I$5:$I$7,BX791)),0),0)</f>
        <v>0</v>
      </c>
      <c r="CH791" s="59" t="n">
        <f aca="false">IF(AND(Parameter!$B$21="Ja",ISNUMBER(W791),N(X791)&gt;0),IFERROR(N(INDEX(Parameter!$L$5:$L$7,W791))*INDEX(Parameter!$E$5:$E$7,W791)*X791/SUMIFS($X$7:$X$1843,$W$7:$W$1843,W791),0),0)</f>
        <v>0</v>
      </c>
    </row>
    <row r="792" customFormat="false" ht="15" hidden="false" customHeight="false" outlineLevel="0" collapsed="false">
      <c r="A792" s="55" t="s">
        <v>1541</v>
      </c>
      <c r="B792" s="55" t="s">
        <v>1542</v>
      </c>
      <c r="C792" s="55" t="s">
        <v>164</v>
      </c>
      <c r="D792" s="55" t="s">
        <v>173</v>
      </c>
      <c r="E792" s="55"/>
      <c r="F792" s="55" t="s">
        <v>218</v>
      </c>
      <c r="G792" s="56" t="n">
        <v>3.45</v>
      </c>
      <c r="H792" s="57" t="n">
        <f aca="false">MAX(0,IF(AND(Parameter!$B$21="Ja",ISNUMBER(Y792)),Y792,IF(Parameter!$B$20="Jahresanfang 2025 + Export",BL792+BK792,BK792)))</f>
        <v>18</v>
      </c>
      <c r="I792" s="57" t="n">
        <f aca="false">H792*G792</f>
        <v>62.1</v>
      </c>
      <c r="J792" s="57" t="n">
        <f aca="false">BN792*Parameter!$B$18</f>
        <v>0</v>
      </c>
      <c r="K792" s="58" t="n">
        <v>18.5</v>
      </c>
      <c r="L792" s="59" t="n">
        <v>0</v>
      </c>
      <c r="M792" s="57" t="n">
        <v>0</v>
      </c>
      <c r="N792" s="57" t="n">
        <v>1</v>
      </c>
      <c r="O792" s="60" t="n">
        <v>35</v>
      </c>
      <c r="P792" s="55" t="s">
        <v>421</v>
      </c>
      <c r="Q792" s="57" t="n">
        <v>20</v>
      </c>
      <c r="R792" s="60" t="n">
        <f aca="false">IF(BT792=1,0,IFERROR(VLOOKUP(BR792,'Gebinde-Kategorie'!$A$5:$M$45,13,0)+0,0))</f>
        <v>132</v>
      </c>
      <c r="S792" s="61"/>
      <c r="T792" s="62"/>
      <c r="U792" s="62"/>
      <c r="V792" s="62"/>
      <c r="W792" s="55"/>
      <c r="X792" s="57"/>
      <c r="Y792" s="57"/>
      <c r="Z792" s="55" t="n">
        <f aca="false">IF(A792="","",IF(AND(Parameter!$B$21="Ja",ISNUMBER(W792)),W792,IF(BV792="2+3",IF(ISNUMBER(SEARCH("grosser Artikel",BO792)),2,IFERROR(VLOOKUP(BR792,Parameter!$F$35:$G$64,2,0),2)),IF(OR(BV792="Nein",BV792=""),"-",BV792))))</f>
        <v>3</v>
      </c>
      <c r="AA792" s="62"/>
      <c r="AB792" s="63"/>
      <c r="AC792" s="57" t="n">
        <f aca="false">AR792</f>
        <v>20</v>
      </c>
      <c r="AD792" s="57" t="n">
        <f aca="false">MAX(AR792,H792)</f>
        <v>20</v>
      </c>
      <c r="AE792" s="64"/>
      <c r="AF792" s="57" t="n">
        <f aca="false">IF(LEFT(Cockpit!$C$5,1)="A",H792,IF(CA792=1,CB792,IF(LEFT(Cockpit!$C$5,1)="B",AJ792,MAX(AJ792,H792))))</f>
        <v>18</v>
      </c>
      <c r="AG792" s="57" t="n">
        <f aca="false">IF(BT792=1,0,ROUNDUP(AF792/BS792,0))</f>
        <v>1</v>
      </c>
      <c r="AH792" s="59" t="n">
        <f aca="false">IF(CH792&gt;0,CH792*MAX(1,AF792/X792),IF(BT792=1,IF(AF792&lt;=0,0,BW792*MAX(1,IF(H792&gt;0,AF792/H792,1))),IF(R792&gt;0,AG792/R792,0))/MAX(0.1,N(Parameter!$M$21)))</f>
        <v>0.00757575757575758</v>
      </c>
      <c r="AI792" s="57" t="n">
        <f aca="false">AF792*G792</f>
        <v>62.1</v>
      </c>
      <c r="AJ792" s="57" t="n">
        <f aca="false">ROUNDUP(MAX(J792/IF(BZ792&gt;0,BZ792,MAX(0.1,N(Cockpit!$C$6))),CC792)/BS792,0)*BS792</f>
        <v>20</v>
      </c>
      <c r="AK792" s="58" t="n">
        <f aca="false">IF(AH792&gt;0,J792/AH792,-1)</f>
        <v>0</v>
      </c>
      <c r="AL792" s="58" t="n">
        <f aca="false">IF(AND(OR(BY792="L1",BY792="L23"),AH792&gt;0),SUMIFS($AH$7:$AH$1843,$BY$7:$BY$1843,BY792,$AK$7:$AK$1843,"&gt;"&amp;AK792)+SUMIFS($AH$7:$AH$1843,$BY$7:$BY$1843,BY792,$AK$7:$AK$1843,AK792,$BQ$7:$BQ$1843,"&lt;="&amp;BQ792),"")</f>
        <v>77.5389260497956</v>
      </c>
      <c r="AM792" s="65" t="n">
        <f aca="false">IF(AL792="",0,MAX(0,MIN(1,(IF(BY792="L1",Parameter!$E$5,Parameter!$E$6+Parameter!$E$7)-(AL792-AH792))/AH792)))</f>
        <v>1</v>
      </c>
      <c r="AN792" s="57" t="n">
        <f aca="false">IF(LEFT(Cockpit!$I$5,1)="A",H792,IF(CA792=1,CB792,IF(LEFT(Cockpit!$I$5,1)="B",AR792,MAX(AR792,H792))))</f>
        <v>20</v>
      </c>
      <c r="AO792" s="57" t="n">
        <f aca="false">IF(BT792=1,0,ROUNDUP(AN792/BS792,0))</f>
        <v>1</v>
      </c>
      <c r="AP792" s="59" t="n">
        <f aca="false">IF(CH792&gt;0,CH792*MAX(1,AN792/X792),IF(BT792=1,IF(AN792&lt;=0,0,BW792*MAX(1,IF(H792&gt;0,AN792/H792,1))),IF(R792&gt;0,AO792/R792,0))/MAX(0.1,N(Parameter!$M$21)))</f>
        <v>0.00757575757575758</v>
      </c>
      <c r="AQ792" s="57" t="n">
        <f aca="false">AN792*G792</f>
        <v>69</v>
      </c>
      <c r="AR792" s="57" t="n">
        <f aca="false">ROUNDUP(MAX(J792/IF(BZ792&gt;0,BZ792,MAX(0.1,N(Cockpit!$I$6))),CC792)/BS792,0)*BS792</f>
        <v>20</v>
      </c>
      <c r="AS792" s="58" t="n">
        <f aca="false">IF(AP792&gt;0,J792/AP792,-1)</f>
        <v>0</v>
      </c>
      <c r="AT792" s="58" t="n">
        <f aca="false">IF(AND(OR(BY792="L1",BY792="L23"),AP792&gt;0),SUMIFS($AP$7:$AP$1843,$BY$7:$BY$1843,BY792,$AS$7:$AS$1843,"&gt;"&amp;AS792)+SUMIFS($AP$7:$AP$1843,$BY$7:$BY$1843,BY792,$AS$7:$AS$1843,AS792,$BQ$7:$BQ$1843,"&lt;="&amp;BQ792),"")</f>
        <v>118.369311847573</v>
      </c>
      <c r="AU792" s="65" t="n">
        <f aca="false">IF(AT792="",0,MAX(0,MIN(1,(IF(BY792="L1",Parameter!$E$5,Parameter!$E$6+Parameter!$E$7)-(AT792-AP792))/AP792)))</f>
        <v>0</v>
      </c>
      <c r="AV792" s="57" t="n">
        <f aca="false">IF(LEFT(Cockpit!$O$5,1)="A",H792,IF(CA792=1,CB792,IF(LEFT(Cockpit!$O$5,1)="B",AZ792,MAX(AZ792,H792))))</f>
        <v>20</v>
      </c>
      <c r="AW792" s="57" t="n">
        <f aca="false">IF(BT792=1,0,ROUNDUP(AV792/BS792,0))</f>
        <v>1</v>
      </c>
      <c r="AX792" s="59" t="n">
        <f aca="false">IF(CH792&gt;0,CH792*MAX(1,AV792/X792),IF(BT792=1,IF(AV792&lt;=0,0,BW792*MAX(1,IF(H792&gt;0,AV792/H792,1))),IF(R792&gt;0,AW792/R792,0))/MAX(0.1,N(Parameter!$M$21)))</f>
        <v>0.00757575757575758</v>
      </c>
      <c r="AY792" s="57" t="n">
        <f aca="false">AV792*G792</f>
        <v>69</v>
      </c>
      <c r="AZ792" s="57" t="n">
        <f aca="false">ROUNDUP(MAX(J792/IF(BZ792&gt;0,BZ792,MAX(0.1,N(Cockpit!$O$6))),CC792)/BS792,0)*BS792</f>
        <v>20</v>
      </c>
      <c r="BA792" s="58" t="n">
        <f aca="false">IF(AX792&gt;0,J792/AX792,-1)</f>
        <v>0</v>
      </c>
      <c r="BB792" s="58" t="n">
        <f aca="false">IF(AND(OR(BY792="L1",BY792="L23"),AX792&gt;0),SUMIFS($AX$7:$AX$1843,$BY$7:$BY$1843,BY792,$BA$7:$BA$1843,"&gt;"&amp;BA792)+SUMIFS($AX$7:$AX$1843,$BY$7:$BY$1843,BY792,$BA$7:$BA$1843,BA792,$BQ$7:$BQ$1843,"&lt;="&amp;BQ792),"")</f>
        <v>109.19914867741</v>
      </c>
      <c r="BC792" s="65" t="n">
        <f aca="false">IF(BB792="",0,MAX(0,MIN(1,(IF(BY792="L1",Parameter!$E$5,Parameter!$E$6+Parameter!$E$7)-(BB792-AX792))/AX792)))</f>
        <v>0</v>
      </c>
      <c r="BD792" s="55" t="str">
        <f aca="false">IF(AH792&lt;=0,"",IF(BY792="Aussen","Aussenlager",IF(BY792="-","Nicht im Lift",IF(AM792&gt;=1,"Lift",IF(AM792&lt;=0,"Aussenlager","teilweise")))))</f>
        <v>Lift</v>
      </c>
      <c r="BE792" s="55" t="str">
        <f aca="false">IF(AP792&lt;=0,"",IF(BY792="Aussen","Aussenlager",IF(BY792="-","Nicht im Lift",IF(AU792&gt;=1,"Lift",IF(AU792&lt;=0,"Aussenlager","teilweise")))))</f>
        <v>Aussenlager</v>
      </c>
      <c r="BF792" s="55" t="str">
        <f aca="false">IF(AX792&lt;=0,"",IF(BY792="Aussen","Aussenlager",IF(BY792="-","Nicht im Lift",IF(BC792&gt;=1,"Lift",IF(BC792&lt;=0,"Aussenlager","teilweise")))))</f>
        <v>Aussenlager</v>
      </c>
      <c r="BG792" s="55" t="str">
        <f aca="false">IF(A792="","",IF(BP792=1,"Neu; ","")&amp;IF(AND(BP792=0,BK792&lt;0),"negativer Bestand (Export "&amp;BK792&amp;"); ","")&amp;IF(J792&lt;=0,"Kein Verbrauch; ","")&amp;IF(CH792&gt;0,"Lift "&amp;W792&amp;" lt. Liftbericht (Fach "&amp;X792&amp;" Stk); ",IF(BU792=1,"Gebinde geschätzt ("&amp;T792&amp;"); ",IF(BT792=1,"Lose – Tablare geschätzt; ","")))&amp;IF(H792&gt;AR792,"Überbestand "&amp;ROUND(H792-AR792,0)&amp;" Stk / CHF "&amp;ROUND((H792-AR792)*G792,0)&amp;"; ","")&amp;IF(AND(CA792=1,CB792&lt;CC792),"MAX &lt; MB+LG; ","")&amp;IF(AND(CG792&gt;0,CF792*10&gt;CG792),"zu hoch für Tablar; ","")&amp;IF(AND(BP792=0,OR(CA792=1,AA792&lt;&gt;"",U792&lt;&gt;"",V792&lt;&gt;"",AB792&lt;&gt;"")),"manuell übersteuert; ","")&amp;IF(AND(BT792=0,R792=0),"Gebinde unbekannt / Stellmass fehlt; ","")&amp;IF(AND(BT792=0,N(V792)&lt;=0,N(Q792)&lt;=0),"Menge pro Gebinde fehlt (Ist = 1 Gebinde); ","")&amp;BO792)</f>
        <v>negativer Bestand (Export -1); Kein Verbrauch; Neuer Art.</v>
      </c>
      <c r="BH792" s="55"/>
      <c r="BI792" s="55"/>
      <c r="BJ792" s="62"/>
      <c r="BK792" s="57" t="n">
        <v>-1</v>
      </c>
      <c r="BL792" s="57" t="n">
        <v>19</v>
      </c>
      <c r="BM792" s="56" t="n">
        <v>-3.45</v>
      </c>
      <c r="BN792" s="57" t="n">
        <v>0</v>
      </c>
      <c r="BO792" s="55" t="s">
        <v>512</v>
      </c>
      <c r="BP792" s="60" t="n">
        <v>0</v>
      </c>
      <c r="BQ792" s="60" t="n">
        <v>792</v>
      </c>
      <c r="BR792" s="55" t="str">
        <f aca="false">IF(U792&lt;&gt;"",UPPER(TRIM(U792)),IF(BU792=1,UPPER(VLOOKUP(T792,Parameter!$I$27:$K$29,2,0)),IF(P792="","LOSE",P792)))</f>
        <v>S32</v>
      </c>
      <c r="BS792" s="57" t="n">
        <f aca="false">IF(BR792="LOSE",1,IF(N(V792)&gt;0,V792,IF(BU792=1,MAX(1,N(VLOOKUP(T792,Parameter!$I$27:$K$29,3,0)),H792,N(N792)),IF(N(Q792)&gt;0,Q792,MAX(1,H792)))))</f>
        <v>20</v>
      </c>
      <c r="BT792" s="60" t="n">
        <f aca="false">IF(BR792="LOSE",1,0)</f>
        <v>0</v>
      </c>
      <c r="BU792" s="60" t="n">
        <f aca="false">IF(AND(U792="",OR(P792="",P792="LOSE"),T792&lt;&gt;"",N(S792)&lt;=0,ISNUMBER(MATCH(T792,Parameter!$I$27:$I$29,0))),1,0)</f>
        <v>0</v>
      </c>
      <c r="BV792" s="55" t="str">
        <f aca="false">IF(AND(Parameter!$B$19="Ja",E792&lt;&gt;"",ISNUMBER(MATCH(E792,Parameter!$I$35:$I$52,0))),VLOOKUP(E792,Parameter!$I$35:$J$52,2,0),IFERROR(VLOOKUP(D792,Parameter!$A$35:$C$64,2,0),"Nein"))</f>
        <v>2+3</v>
      </c>
      <c r="BW792" s="59" t="n">
        <f aca="false">IF(BT792=0,0,IF(N(S792)&gt;0,S792,IFERROR(VLOOKUP(D792,Parameter!$A$35:$C$64,3,0)+0,0)))</f>
        <v>0</v>
      </c>
      <c r="BX792" s="55" t="n">
        <f aca="false">IF(AA792&lt;&gt;"",AA792,Z792)</f>
        <v>3</v>
      </c>
      <c r="BY792" s="55" t="str">
        <f aca="false">IF(BX792=1,"L1",IF(OR(BX792=2,BX792=3),"L23",IF(BX792="Aussen","Aussen","-")))</f>
        <v>L23</v>
      </c>
      <c r="BZ792" s="66" t="n">
        <f aca="false">IF(N(AB792)&gt;0,AB792,0)</f>
        <v>0</v>
      </c>
      <c r="CA792" s="60" t="n">
        <f aca="false">IF(ISNUMBER(AE792),1,0)</f>
        <v>0</v>
      </c>
      <c r="CB792" s="57" t="n">
        <f aca="false">N(AE792)</f>
        <v>0</v>
      </c>
      <c r="CC792" s="57" t="n">
        <f aca="false">N(M792)+N(N792)</f>
        <v>1</v>
      </c>
      <c r="CD792" s="57" t="n">
        <f aca="false">ROUNDUP(H792/BS792,0)</f>
        <v>1</v>
      </c>
      <c r="CE792" s="57" t="n">
        <f aca="false">ROUNDUP(CB792/BS792,0)</f>
        <v>0</v>
      </c>
      <c r="CF792" s="60" t="n">
        <f aca="false">IF(BT792=1,0,IFERROR(VLOOKUP(BR792,'Gebinde-Kategorie'!$A$5:$M$45,5,0)+0,0))</f>
        <v>8</v>
      </c>
      <c r="CG792" s="60" t="n">
        <f aca="false">IFERROR(IF(OR(BX792=1,BX792=2,BX792=3),N(INDEX(Parameter!$I$5:$I$7,BX792)),0),0)</f>
        <v>0</v>
      </c>
      <c r="CH792" s="59" t="n">
        <f aca="false">IF(AND(Parameter!$B$21="Ja",ISNUMBER(W792),N(X792)&gt;0),IFERROR(N(INDEX(Parameter!$L$5:$L$7,W792))*INDEX(Parameter!$E$5:$E$7,W792)*X792/SUMIFS($X$7:$X$1843,$W$7:$W$1843,W792),0),0)</f>
        <v>0</v>
      </c>
    </row>
    <row r="793" customFormat="false" ht="15" hidden="false" customHeight="false" outlineLevel="0" collapsed="false">
      <c r="A793" s="55" t="s">
        <v>1543</v>
      </c>
      <c r="B793" s="55" t="s">
        <v>1544</v>
      </c>
      <c r="C793" s="55" t="s">
        <v>164</v>
      </c>
      <c r="D793" s="55" t="s">
        <v>184</v>
      </c>
      <c r="E793" s="55" t="s">
        <v>185</v>
      </c>
      <c r="F793" s="55" t="s">
        <v>218</v>
      </c>
      <c r="G793" s="56" t="n">
        <v>0.01</v>
      </c>
      <c r="H793" s="57" t="n">
        <f aca="false">MAX(0,IF(AND(Parameter!$B$21="Ja",ISNUMBER(Y793)),Y793,IF(Parameter!$B$20="Jahresanfang 2025 + Export",BL793+BK793,BK793)))</f>
        <v>4329</v>
      </c>
      <c r="I793" s="57" t="n">
        <f aca="false">H793*G793</f>
        <v>43.29</v>
      </c>
      <c r="J793" s="57" t="n">
        <f aca="false">BN793*Parameter!$B$18</f>
        <v>9801</v>
      </c>
      <c r="K793" s="58" t="n">
        <v>3164.5</v>
      </c>
      <c r="L793" s="59" t="n">
        <v>3.09717174909148</v>
      </c>
      <c r="M793" s="57" t="n">
        <v>571</v>
      </c>
      <c r="N793" s="57" t="n">
        <v>9800</v>
      </c>
      <c r="O793" s="60" t="n">
        <v>21</v>
      </c>
      <c r="P793" s="55" t="s">
        <v>302</v>
      </c>
      <c r="Q793" s="57" t="n">
        <v>4394</v>
      </c>
      <c r="R793" s="60" t="n">
        <f aca="false">IF(BT793=1,0,IFERROR(VLOOKUP(BR793,'Gebinde-Kategorie'!$A$5:$M$45,13,0)+0,0))</f>
        <v>26</v>
      </c>
      <c r="S793" s="61"/>
      <c r="T793" s="62"/>
      <c r="U793" s="62"/>
      <c r="V793" s="62"/>
      <c r="W793" s="55"/>
      <c r="X793" s="57"/>
      <c r="Y793" s="57"/>
      <c r="Z793" s="55" t="n">
        <f aca="false">IF(A793="","",IF(AND(Parameter!$B$21="Ja",ISNUMBER(W793)),W793,IF(BV793="2+3",IF(ISNUMBER(SEARCH("grosser Artikel",BO793)),2,IFERROR(VLOOKUP(BR793,Parameter!$F$35:$G$64,2,0),2)),IF(OR(BV793="Nein",BV793=""),"-",BV793))))</f>
        <v>3</v>
      </c>
      <c r="AA793" s="62"/>
      <c r="AB793" s="63"/>
      <c r="AC793" s="57" t="n">
        <f aca="false">AR793</f>
        <v>13182</v>
      </c>
      <c r="AD793" s="57" t="n">
        <f aca="false">MAX(AR793,H793)</f>
        <v>13182</v>
      </c>
      <c r="AE793" s="64"/>
      <c r="AF793" s="57" t="n">
        <f aca="false">IF(LEFT(Cockpit!$C$5,1)="A",H793,IF(CA793=1,CB793,IF(LEFT(Cockpit!$C$5,1)="B",AJ793,MAX(AJ793,H793))))</f>
        <v>4329</v>
      </c>
      <c r="AG793" s="57" t="n">
        <f aca="false">IF(BT793=1,0,ROUNDUP(AF793/BS793,0))</f>
        <v>1</v>
      </c>
      <c r="AH793" s="59" t="n">
        <f aca="false">IF(CH793&gt;0,CH793*MAX(1,AF793/X793),IF(BT793=1,IF(AF793&lt;=0,0,BW793*MAX(1,IF(H793&gt;0,AF793/H793,1))),IF(R793&gt;0,AG793/R793,0))/MAX(0.1,N(Parameter!$M$21)))</f>
        <v>0.0384615384615385</v>
      </c>
      <c r="AI793" s="57" t="n">
        <f aca="false">AF793*G793</f>
        <v>43.29</v>
      </c>
      <c r="AJ793" s="57" t="n">
        <f aca="false">ROUNDUP(MAX(J793/IF(BZ793&gt;0,BZ793,MAX(0.1,N(Cockpit!$C$6))),CC793)/BS793,0)*BS793</f>
        <v>13182</v>
      </c>
      <c r="AK793" s="58" t="n">
        <f aca="false">IF(AH793&gt;0,J793/AH793,-1)</f>
        <v>254826</v>
      </c>
      <c r="AL793" s="58" t="n">
        <f aca="false">IF(AND(OR(BY793="L1",BY793="L23"),AH793&gt;0),SUMIFS($AH$7:$AH$1843,$BY$7:$BY$1843,BY793,$AK$7:$AK$1843,"&gt;"&amp;AK793)+SUMIFS($AH$7:$AH$1843,$BY$7:$BY$1843,BY793,$AK$7:$AK$1843,AK793,$BQ$7:$BQ$1843,"&lt;="&amp;BQ793),"")</f>
        <v>0.0752592817810209</v>
      </c>
      <c r="AM793" s="65" t="n">
        <f aca="false">IF(AL793="",0,MAX(0,MIN(1,(IF(BY793="L1",Parameter!$E$5,Parameter!$E$6+Parameter!$E$7)-(AL793-AH793))/AH793)))</f>
        <v>1</v>
      </c>
      <c r="AN793" s="57" t="n">
        <f aca="false">IF(LEFT(Cockpit!$I$5,1)="A",H793,IF(CA793=1,CB793,IF(LEFT(Cockpit!$I$5,1)="B",AR793,MAX(AR793,H793))))</f>
        <v>13182</v>
      </c>
      <c r="AO793" s="57" t="n">
        <f aca="false">IF(BT793=1,0,ROUNDUP(AN793/BS793,0))</f>
        <v>3</v>
      </c>
      <c r="AP793" s="59" t="n">
        <f aca="false">IF(CH793&gt;0,CH793*MAX(1,AN793/X793),IF(BT793=1,IF(AN793&lt;=0,0,BW793*MAX(1,IF(H793&gt;0,AN793/H793,1))),IF(R793&gt;0,AO793/R793,0))/MAX(0.1,N(Parameter!$M$21)))</f>
        <v>0.115384615384615</v>
      </c>
      <c r="AQ793" s="57" t="n">
        <f aca="false">AN793*G793</f>
        <v>131.82</v>
      </c>
      <c r="AR793" s="57" t="n">
        <f aca="false">ROUNDUP(MAX(J793/IF(BZ793&gt;0,BZ793,MAX(0.1,N(Cockpit!$I$6))),CC793)/BS793,0)*BS793</f>
        <v>13182</v>
      </c>
      <c r="AS793" s="58" t="n">
        <f aca="false">IF(AP793&gt;0,J793/AP793,-1)</f>
        <v>84942</v>
      </c>
      <c r="AT793" s="58" t="n">
        <f aca="false">IF(AND(OR(BY793="L1",BY793="L23"),AP793&gt;0),SUMIFS($AP$7:$AP$1843,$BY$7:$BY$1843,BY793,$AS$7:$AS$1843,"&gt;"&amp;AS793)+SUMIFS($AP$7:$AP$1843,$BY$7:$BY$1843,BY793,$AS$7:$AS$1843,AS793,$BQ$7:$BQ$1843,"&lt;="&amp;BQ793),"")</f>
        <v>0.412426945035641</v>
      </c>
      <c r="AU793" s="65" t="n">
        <f aca="false">IF(AT793="",0,MAX(0,MIN(1,(IF(BY793="L1",Parameter!$E$5,Parameter!$E$6+Parameter!$E$7)-(AT793-AP793))/AP793)))</f>
        <v>1</v>
      </c>
      <c r="AV793" s="57" t="n">
        <f aca="false">IF(LEFT(Cockpit!$O$5,1)="A",H793,IF(CA793=1,CB793,IF(LEFT(Cockpit!$O$5,1)="B",AZ793,MAX(AZ793,H793))))</f>
        <v>13182</v>
      </c>
      <c r="AW793" s="57" t="n">
        <f aca="false">IF(BT793=1,0,ROUNDUP(AV793/BS793,0))</f>
        <v>3</v>
      </c>
      <c r="AX793" s="59" t="n">
        <f aca="false">IF(CH793&gt;0,CH793*MAX(1,AV793/X793),IF(BT793=1,IF(AV793&lt;=0,0,BW793*MAX(1,IF(H793&gt;0,AV793/H793,1))),IF(R793&gt;0,AW793/R793,0))/MAX(0.1,N(Parameter!$M$21)))</f>
        <v>0.115384615384615</v>
      </c>
      <c r="AY793" s="57" t="n">
        <f aca="false">AV793*G793</f>
        <v>131.82</v>
      </c>
      <c r="AZ793" s="57" t="n">
        <f aca="false">ROUNDUP(MAX(J793/IF(BZ793&gt;0,BZ793,MAX(0.1,N(Cockpit!$O$6))),CC793)/BS793,0)*BS793</f>
        <v>13182</v>
      </c>
      <c r="BA793" s="58" t="n">
        <f aca="false">IF(AX793&gt;0,J793/AX793,-1)</f>
        <v>84942</v>
      </c>
      <c r="BB793" s="58" t="n">
        <f aca="false">IF(AND(OR(BY793="L1",BY793="L23"),AX793&gt;0),SUMIFS($AX$7:$AX$1843,$BY$7:$BY$1843,BY793,$BA$7:$BA$1843,"&gt;"&amp;BA793)+SUMIFS($AX$7:$AX$1843,$BY$7:$BY$1843,BY793,$BA$7:$BA$1843,BA793,$BQ$7:$BQ$1843,"&lt;="&amp;BQ793),"")</f>
        <v>0.489350021958718</v>
      </c>
      <c r="BC793" s="65" t="n">
        <f aca="false">IF(BB793="",0,MAX(0,MIN(1,(IF(BY793="L1",Parameter!$E$5,Parameter!$E$6+Parameter!$E$7)-(BB793-AX793))/AX793)))</f>
        <v>1</v>
      </c>
      <c r="BD793" s="55" t="str">
        <f aca="false">IF(AH793&lt;=0,"",IF(BY793="Aussen","Aussenlager",IF(BY793="-","Nicht im Lift",IF(AM793&gt;=1,"Lift",IF(AM793&lt;=0,"Aussenlager","teilweise")))))</f>
        <v>Lift</v>
      </c>
      <c r="BE793" s="55" t="str">
        <f aca="false">IF(AP793&lt;=0,"",IF(BY793="Aussen","Aussenlager",IF(BY793="-","Nicht im Lift",IF(AU793&gt;=1,"Lift",IF(AU793&lt;=0,"Aussenlager","teilweise")))))</f>
        <v>Lift</v>
      </c>
      <c r="BF793" s="55" t="str">
        <f aca="false">IF(AX793&lt;=0,"",IF(BY793="Aussen","Aussenlager",IF(BY793="-","Nicht im Lift",IF(BC793&gt;=1,"Lift",IF(BC793&lt;=0,"Aussenlager","teilweise")))))</f>
        <v>Lift</v>
      </c>
      <c r="BG793" s="55" t="str">
        <f aca="false">IF(A793="","",IF(BP793=1,"Neu; ","")&amp;IF(AND(BP793=0,BK793&lt;0),"negativer Bestand (Export "&amp;BK793&amp;"); ","")&amp;IF(J793&lt;=0,"Kein Verbrauch; ","")&amp;IF(CH793&gt;0,"Lift "&amp;W793&amp;" lt. Liftbericht (Fach "&amp;X793&amp;" Stk); ",IF(BU793=1,"Gebinde geschätzt ("&amp;T793&amp;"); ",IF(BT793=1,"Lose – Tablare geschätzt; ","")))&amp;IF(H793&gt;AR793,"Überbestand "&amp;ROUND(H793-AR793,0)&amp;" Stk / CHF "&amp;ROUND((H793-AR793)*G793,0)&amp;"; ","")&amp;IF(AND(CA793=1,CB793&lt;CC793),"MAX &lt; MB+LG; ","")&amp;IF(AND(CG793&gt;0,CF793*10&gt;CG793),"zu hoch für Tablar; ","")&amp;IF(AND(BP793=0,OR(CA793=1,AA793&lt;&gt;"",U793&lt;&gt;"",V793&lt;&gt;"",AB793&lt;&gt;"")),"manuell übersteuert; ","")&amp;IF(AND(BT793=0,R793=0),"Gebinde unbekannt / Stellmass fehlt; ","")&amp;IF(AND(BT793=0,N(V793)&lt;=0,N(Q793)&lt;=0),"Menge pro Gebinde fehlt (Ist = 1 Gebinde); ","")&amp;BO793)</f>
        <v/>
      </c>
      <c r="BH793" s="55"/>
      <c r="BI793" s="55"/>
      <c r="BJ793" s="62"/>
      <c r="BK793" s="57" t="n">
        <v>2769</v>
      </c>
      <c r="BL793" s="57" t="n">
        <v>1560</v>
      </c>
      <c r="BM793" s="56" t="n">
        <v>-3.50999999999995</v>
      </c>
      <c r="BN793" s="57" t="n">
        <v>9801</v>
      </c>
      <c r="BO793" s="55"/>
      <c r="BP793" s="60" t="n">
        <v>0</v>
      </c>
      <c r="BQ793" s="60" t="n">
        <v>793</v>
      </c>
      <c r="BR793" s="55" t="str">
        <f aca="false">IF(U793&lt;&gt;"",UPPER(TRIM(U793)),IF(BU793=1,UPPER(VLOOKUP(T793,Parameter!$I$27:$K$29,2,0)),IF(P793="","LOSE",P793)))</f>
        <v>S51</v>
      </c>
      <c r="BS793" s="57" t="n">
        <f aca="false">IF(BR793="LOSE",1,IF(N(V793)&gt;0,V793,IF(BU793=1,MAX(1,N(VLOOKUP(T793,Parameter!$I$27:$K$29,3,0)),H793,N(N793)),IF(N(Q793)&gt;0,Q793,MAX(1,H793)))))</f>
        <v>4394</v>
      </c>
      <c r="BT793" s="60" t="n">
        <f aca="false">IF(BR793="LOSE",1,0)</f>
        <v>0</v>
      </c>
      <c r="BU793" s="60" t="n">
        <f aca="false">IF(AND(U793="",OR(P793="",P793="LOSE"),T793&lt;&gt;"",N(S793)&lt;=0,ISNUMBER(MATCH(T793,Parameter!$I$27:$I$29,0))),1,0)</f>
        <v>0</v>
      </c>
      <c r="BV793" s="55" t="str">
        <f aca="false">IF(AND(Parameter!$B$19="Ja",E793&lt;&gt;"",ISNUMBER(MATCH(E793,Parameter!$I$35:$I$52,0))),VLOOKUP(E793,Parameter!$I$35:$J$52,2,0),IFERROR(VLOOKUP(D793,Parameter!$A$35:$C$64,2,0),"Nein"))</f>
        <v>2+3</v>
      </c>
      <c r="BW793" s="59" t="n">
        <f aca="false">IF(BT793=0,0,IF(N(S793)&gt;0,S793,IFERROR(VLOOKUP(D793,Parameter!$A$35:$C$64,3,0)+0,0)))</f>
        <v>0</v>
      </c>
      <c r="BX793" s="55" t="n">
        <f aca="false">IF(AA793&lt;&gt;"",AA793,Z793)</f>
        <v>3</v>
      </c>
      <c r="BY793" s="55" t="str">
        <f aca="false">IF(BX793=1,"L1",IF(OR(BX793=2,BX793=3),"L23",IF(BX793="Aussen","Aussen","-")))</f>
        <v>L23</v>
      </c>
      <c r="BZ793" s="66" t="n">
        <f aca="false">IF(N(AB793)&gt;0,AB793,0)</f>
        <v>0</v>
      </c>
      <c r="CA793" s="60" t="n">
        <f aca="false">IF(ISNUMBER(AE793),1,0)</f>
        <v>0</v>
      </c>
      <c r="CB793" s="57" t="n">
        <f aca="false">N(AE793)</f>
        <v>0</v>
      </c>
      <c r="CC793" s="57" t="n">
        <f aca="false">N(M793)+N(N793)</f>
        <v>10371</v>
      </c>
      <c r="CD793" s="57" t="n">
        <f aca="false">ROUNDUP(H793/BS793,0)</f>
        <v>1</v>
      </c>
      <c r="CE793" s="57" t="n">
        <f aca="false">ROUNDUP(CB793/BS793,0)</f>
        <v>0</v>
      </c>
      <c r="CF793" s="60" t="n">
        <f aca="false">IF(BT793=1,0,IFERROR(VLOOKUP(BR793,'Gebinde-Kategorie'!$A$5:$M$45,5,0)+0,0))</f>
        <v>11</v>
      </c>
      <c r="CG793" s="60" t="n">
        <f aca="false">IFERROR(IF(OR(BX793=1,BX793=2,BX793=3),N(INDEX(Parameter!$I$5:$I$7,BX793)),0),0)</f>
        <v>0</v>
      </c>
      <c r="CH793" s="59" t="n">
        <f aca="false">IF(AND(Parameter!$B$21="Ja",ISNUMBER(W793),N(X793)&gt;0),IFERROR(N(INDEX(Parameter!$L$5:$L$7,W793))*INDEX(Parameter!$E$5:$E$7,W793)*X793/SUMIFS($X$7:$X$1843,$W$7:$W$1843,W793),0),0)</f>
        <v>0</v>
      </c>
    </row>
    <row r="794" customFormat="false" ht="15" hidden="false" customHeight="false" outlineLevel="0" collapsed="false">
      <c r="A794" s="55" t="s">
        <v>1545</v>
      </c>
      <c r="B794" s="55" t="s">
        <v>468</v>
      </c>
      <c r="C794" s="55" t="s">
        <v>164</v>
      </c>
      <c r="D794" s="55" t="s">
        <v>184</v>
      </c>
      <c r="E794" s="55" t="s">
        <v>185</v>
      </c>
      <c r="F794" s="55" t="s">
        <v>218</v>
      </c>
      <c r="G794" s="56" t="n">
        <v>0.3</v>
      </c>
      <c r="H794" s="57" t="n">
        <f aca="false">MAX(0,IF(AND(Parameter!$B$21="Ja",ISNUMBER(Y794)),Y794,IF(Parameter!$B$20="Jahresanfang 2025 + Export",BL794+BK794,BK794)))</f>
        <v>99</v>
      </c>
      <c r="I794" s="57" t="n">
        <f aca="false">H794*G794</f>
        <v>29.7</v>
      </c>
      <c r="J794" s="57" t="n">
        <f aca="false">BN794*Parameter!$B$18</f>
        <v>385</v>
      </c>
      <c r="K794" s="58" t="n">
        <v>113.5</v>
      </c>
      <c r="L794" s="59" t="n">
        <v>3.3920704845815</v>
      </c>
      <c r="M794" s="57" t="n">
        <v>14</v>
      </c>
      <c r="N794" s="57" t="n">
        <v>400</v>
      </c>
      <c r="O794" s="60" t="n">
        <v>14</v>
      </c>
      <c r="P794" s="55" t="s">
        <v>476</v>
      </c>
      <c r="Q794" s="57" t="n">
        <v>206</v>
      </c>
      <c r="R794" s="60" t="n">
        <f aca="false">IF(BT794=1,0,IFERROR(VLOOKUP(BR794,'Gebinde-Kategorie'!$A$5:$M$45,13,0)+0,0))</f>
        <v>66</v>
      </c>
      <c r="S794" s="61"/>
      <c r="T794" s="62"/>
      <c r="U794" s="62"/>
      <c r="V794" s="62"/>
      <c r="W794" s="55"/>
      <c r="X794" s="57"/>
      <c r="Y794" s="57"/>
      <c r="Z794" s="55" t="n">
        <f aca="false">IF(A794="","",IF(AND(Parameter!$B$21="Ja",ISNUMBER(W794)),W794,IF(BV794="2+3",IF(ISNUMBER(SEARCH("grosser Artikel",BO794)),2,IFERROR(VLOOKUP(BR794,Parameter!$F$35:$G$64,2,0),2)),IF(OR(BV794="Nein",BV794=""),"-",BV794))))</f>
        <v>3</v>
      </c>
      <c r="AA794" s="62"/>
      <c r="AB794" s="63"/>
      <c r="AC794" s="57" t="n">
        <f aca="false">AR794</f>
        <v>618</v>
      </c>
      <c r="AD794" s="57" t="n">
        <f aca="false">MAX(AR794,H794)</f>
        <v>618</v>
      </c>
      <c r="AE794" s="64"/>
      <c r="AF794" s="57" t="n">
        <f aca="false">IF(LEFT(Cockpit!$C$5,1)="A",H794,IF(CA794=1,CB794,IF(LEFT(Cockpit!$C$5,1)="B",AJ794,MAX(AJ794,H794))))</f>
        <v>99</v>
      </c>
      <c r="AG794" s="57" t="n">
        <f aca="false">IF(BT794=1,0,ROUNDUP(AF794/BS794,0))</f>
        <v>1</v>
      </c>
      <c r="AH794" s="59" t="n">
        <f aca="false">IF(CH794&gt;0,CH794*MAX(1,AF794/X794),IF(BT794=1,IF(AF794&lt;=0,0,BW794*MAX(1,IF(H794&gt;0,AF794/H794,1))),IF(R794&gt;0,AG794/R794,0))/MAX(0.1,N(Parameter!$M$21)))</f>
        <v>0.0151515151515152</v>
      </c>
      <c r="AI794" s="57" t="n">
        <f aca="false">AF794*G794</f>
        <v>29.7</v>
      </c>
      <c r="AJ794" s="57" t="n">
        <f aca="false">ROUNDUP(MAX(J794/IF(BZ794&gt;0,BZ794,MAX(0.1,N(Cockpit!$C$6))),CC794)/BS794,0)*BS794</f>
        <v>618</v>
      </c>
      <c r="AK794" s="58" t="n">
        <f aca="false">IF(AH794&gt;0,J794/AH794,-1)</f>
        <v>25410</v>
      </c>
      <c r="AL794" s="58" t="n">
        <f aca="false">IF(AND(OR(BY794="L1",BY794="L23"),AH794&gt;0),SUMIFS($AH$7:$AH$1843,$BY$7:$BY$1843,BY794,$AK$7:$AK$1843,"&gt;"&amp;AK794)+SUMIFS($AH$7:$AH$1843,$BY$7:$BY$1843,BY794,$AK$7:$AK$1843,AK794,$BQ$7:$BQ$1843,"&lt;="&amp;BQ794),"")</f>
        <v>2.88062903280295</v>
      </c>
      <c r="AM794" s="65" t="n">
        <f aca="false">IF(AL794="",0,MAX(0,MIN(1,(IF(BY794="L1",Parameter!$E$5,Parameter!$E$6+Parameter!$E$7)-(AL794-AH794))/AH794)))</f>
        <v>1</v>
      </c>
      <c r="AN794" s="57" t="n">
        <f aca="false">IF(LEFT(Cockpit!$I$5,1)="A",H794,IF(CA794=1,CB794,IF(LEFT(Cockpit!$I$5,1)="B",AR794,MAX(AR794,H794))))</f>
        <v>618</v>
      </c>
      <c r="AO794" s="57" t="n">
        <f aca="false">IF(BT794=1,0,ROUNDUP(AN794/BS794,0))</f>
        <v>3</v>
      </c>
      <c r="AP794" s="59" t="n">
        <f aca="false">IF(CH794&gt;0,CH794*MAX(1,AN794/X794),IF(BT794=1,IF(AN794&lt;=0,0,BW794*MAX(1,IF(H794&gt;0,AN794/H794,1))),IF(R794&gt;0,AO794/R794,0))/MAX(0.1,N(Parameter!$M$21)))</f>
        <v>0.0454545454545455</v>
      </c>
      <c r="AQ794" s="57" t="n">
        <f aca="false">AN794*G794</f>
        <v>185.4</v>
      </c>
      <c r="AR794" s="57" t="n">
        <f aca="false">ROUNDUP(MAX(J794/IF(BZ794&gt;0,BZ794,MAX(0.1,N(Cockpit!$I$6))),CC794)/BS794,0)*BS794</f>
        <v>618</v>
      </c>
      <c r="AS794" s="58" t="n">
        <f aca="false">IF(AP794&gt;0,J794/AP794,-1)</f>
        <v>8470</v>
      </c>
      <c r="AT794" s="58" t="n">
        <f aca="false">IF(AND(OR(BY794="L1",BY794="L23"),AP794&gt;0),SUMIFS($AP$7:$AP$1843,$BY$7:$BY$1843,BY794,$AS$7:$AS$1843,"&gt;"&amp;AS794)+SUMIFS($AP$7:$AP$1843,$BY$7:$BY$1843,BY794,$AS$7:$AS$1843,AS794,$BQ$7:$BQ$1843,"&lt;="&amp;BQ794),"")</f>
        <v>8.95554204249856</v>
      </c>
      <c r="AU794" s="65" t="n">
        <f aca="false">IF(AT794="",0,MAX(0,MIN(1,(IF(BY794="L1",Parameter!$E$5,Parameter!$E$6+Parameter!$E$7)-(AT794-AP794))/AP794)))</f>
        <v>1</v>
      </c>
      <c r="AV794" s="57" t="n">
        <f aca="false">IF(LEFT(Cockpit!$O$5,1)="A",H794,IF(CA794=1,CB794,IF(LEFT(Cockpit!$O$5,1)="B",AZ794,MAX(AZ794,H794))))</f>
        <v>618</v>
      </c>
      <c r="AW794" s="57" t="n">
        <f aca="false">IF(BT794=1,0,ROUNDUP(AV794/BS794,0))</f>
        <v>3</v>
      </c>
      <c r="AX794" s="59" t="n">
        <f aca="false">IF(CH794&gt;0,CH794*MAX(1,AV794/X794),IF(BT794=1,IF(AV794&lt;=0,0,BW794*MAX(1,IF(H794&gt;0,AV794/H794,1))),IF(R794&gt;0,AW794/R794,0))/MAX(0.1,N(Parameter!$M$21)))</f>
        <v>0.0454545454545455</v>
      </c>
      <c r="AY794" s="57" t="n">
        <f aca="false">AV794*G794</f>
        <v>185.4</v>
      </c>
      <c r="AZ794" s="57" t="n">
        <f aca="false">ROUNDUP(MAX(J794/IF(BZ794&gt;0,BZ794,MAX(0.1,N(Cockpit!$O$6))),CC794)/BS794,0)*BS794</f>
        <v>618</v>
      </c>
      <c r="BA794" s="58" t="n">
        <f aca="false">IF(AX794&gt;0,J794/AX794,-1)</f>
        <v>8470</v>
      </c>
      <c r="BB794" s="58" t="n">
        <f aca="false">IF(AND(OR(BY794="L1",BY794="L23"),AX794&gt;0),SUMIFS($AX$7:$AX$1843,$BY$7:$BY$1843,BY794,$BA$7:$BA$1843,"&gt;"&amp;BA794)+SUMIFS($AX$7:$AX$1843,$BY$7:$BY$1843,BY794,$BA$7:$BA$1843,BA794,$BQ$7:$BQ$1843,"&lt;="&amp;BQ794),"")</f>
        <v>8.68922502618155</v>
      </c>
      <c r="BC794" s="65" t="n">
        <f aca="false">IF(BB794="",0,MAX(0,MIN(1,(IF(BY794="L1",Parameter!$E$5,Parameter!$E$6+Parameter!$E$7)-(BB794-AX794))/AX794)))</f>
        <v>1</v>
      </c>
      <c r="BD794" s="55" t="str">
        <f aca="false">IF(AH794&lt;=0,"",IF(BY794="Aussen","Aussenlager",IF(BY794="-","Nicht im Lift",IF(AM794&gt;=1,"Lift",IF(AM794&lt;=0,"Aussenlager","teilweise")))))</f>
        <v>Lift</v>
      </c>
      <c r="BE794" s="55" t="str">
        <f aca="false">IF(AP794&lt;=0,"",IF(BY794="Aussen","Aussenlager",IF(BY794="-","Nicht im Lift",IF(AU794&gt;=1,"Lift",IF(AU794&lt;=0,"Aussenlager","teilweise")))))</f>
        <v>Lift</v>
      </c>
      <c r="BF794" s="55" t="str">
        <f aca="false">IF(AX794&lt;=0,"",IF(BY794="Aussen","Aussenlager",IF(BY794="-","Nicht im Lift",IF(BC794&gt;=1,"Lift",IF(BC794&lt;=0,"Aussenlager","teilweise")))))</f>
        <v>Lift</v>
      </c>
      <c r="BG794" s="55" t="str">
        <f aca="false">IF(A794="","",IF(BP794=1,"Neu; ","")&amp;IF(AND(BP794=0,BK794&lt;0),"negativer Bestand (Export "&amp;BK794&amp;"); ","")&amp;IF(J794&lt;=0,"Kein Verbrauch; ","")&amp;IF(CH794&gt;0,"Lift "&amp;W794&amp;" lt. Liftbericht (Fach "&amp;X794&amp;" Stk); ",IF(BU794=1,"Gebinde geschätzt ("&amp;T794&amp;"); ",IF(BT794=1,"Lose – Tablare geschätzt; ","")))&amp;IF(H794&gt;AR794,"Überbestand "&amp;ROUND(H794-AR794,0)&amp;" Stk / CHF "&amp;ROUND((H794-AR794)*G794,0)&amp;"; ","")&amp;IF(AND(CA794=1,CB794&lt;CC794),"MAX &lt; MB+LG; ","")&amp;IF(AND(CG794&gt;0,CF794*10&gt;CG794),"zu hoch für Tablar; ","")&amp;IF(AND(BP794=0,OR(CA794=1,AA794&lt;&gt;"",U794&lt;&gt;"",V794&lt;&gt;"",AB794&lt;&gt;"")),"manuell übersteuert; ","")&amp;IF(AND(BT794=0,R794=0),"Gebinde unbekannt / Stellmass fehlt; ","")&amp;IF(AND(BT794=0,N(V794)&lt;=0,N(Q794)&lt;=0),"Menge pro Gebinde fehlt (Ist = 1 Gebinde); ","")&amp;BO794)</f>
        <v>negativer Bestand (Export -15); </v>
      </c>
      <c r="BH794" s="55"/>
      <c r="BI794" s="55"/>
      <c r="BJ794" s="62"/>
      <c r="BK794" s="57" t="n">
        <v>-15</v>
      </c>
      <c r="BL794" s="57" t="n">
        <v>114</v>
      </c>
      <c r="BM794" s="56" t="n">
        <v>-3.56000000000001</v>
      </c>
      <c r="BN794" s="57" t="n">
        <v>385</v>
      </c>
      <c r="BO794" s="55"/>
      <c r="BP794" s="60" t="n">
        <v>0</v>
      </c>
      <c r="BQ794" s="60" t="n">
        <v>794</v>
      </c>
      <c r="BR794" s="55" t="str">
        <f aca="false">IF(U794&lt;&gt;"",UPPER(TRIM(U794)),IF(BU794=1,UPPER(VLOOKUP(T794,Parameter!$I$27:$K$29,2,0)),IF(P794="","LOSE",P794)))</f>
        <v>S33</v>
      </c>
      <c r="BS794" s="57" t="n">
        <f aca="false">IF(BR794="LOSE",1,IF(N(V794)&gt;0,V794,IF(BU794=1,MAX(1,N(VLOOKUP(T794,Parameter!$I$27:$K$29,3,0)),H794,N(N794)),IF(N(Q794)&gt;0,Q794,MAX(1,H794)))))</f>
        <v>206</v>
      </c>
      <c r="BT794" s="60" t="n">
        <f aca="false">IF(BR794="LOSE",1,0)</f>
        <v>0</v>
      </c>
      <c r="BU794" s="60" t="n">
        <f aca="false">IF(AND(U794="",OR(P794="",P794="LOSE"),T794&lt;&gt;"",N(S794)&lt;=0,ISNUMBER(MATCH(T794,Parameter!$I$27:$I$29,0))),1,0)</f>
        <v>0</v>
      </c>
      <c r="BV794" s="55" t="str">
        <f aca="false">IF(AND(Parameter!$B$19="Ja",E794&lt;&gt;"",ISNUMBER(MATCH(E794,Parameter!$I$35:$I$52,0))),VLOOKUP(E794,Parameter!$I$35:$J$52,2,0),IFERROR(VLOOKUP(D794,Parameter!$A$35:$C$64,2,0),"Nein"))</f>
        <v>2+3</v>
      </c>
      <c r="BW794" s="59" t="n">
        <f aca="false">IF(BT794=0,0,IF(N(S794)&gt;0,S794,IFERROR(VLOOKUP(D794,Parameter!$A$35:$C$64,3,0)+0,0)))</f>
        <v>0</v>
      </c>
      <c r="BX794" s="55" t="n">
        <f aca="false">IF(AA794&lt;&gt;"",AA794,Z794)</f>
        <v>3</v>
      </c>
      <c r="BY794" s="55" t="str">
        <f aca="false">IF(BX794=1,"L1",IF(OR(BX794=2,BX794=3),"L23",IF(BX794="Aussen","Aussen","-")))</f>
        <v>L23</v>
      </c>
      <c r="BZ794" s="66" t="n">
        <f aca="false">IF(N(AB794)&gt;0,AB794,0)</f>
        <v>0</v>
      </c>
      <c r="CA794" s="60" t="n">
        <f aca="false">IF(ISNUMBER(AE794),1,0)</f>
        <v>0</v>
      </c>
      <c r="CB794" s="57" t="n">
        <f aca="false">N(AE794)</f>
        <v>0</v>
      </c>
      <c r="CC794" s="57" t="n">
        <f aca="false">N(M794)+N(N794)</f>
        <v>414</v>
      </c>
      <c r="CD794" s="57" t="n">
        <f aca="false">ROUNDUP(H794/BS794,0)</f>
        <v>1</v>
      </c>
      <c r="CE794" s="57" t="n">
        <f aca="false">ROUNDUP(CB794/BS794,0)</f>
        <v>0</v>
      </c>
      <c r="CF794" s="60" t="n">
        <f aca="false">IF(BT794=1,0,IFERROR(VLOOKUP(BR794,'Gebinde-Kategorie'!$A$5:$M$45,5,0)+0,0))</f>
        <v>8</v>
      </c>
      <c r="CG794" s="60" t="n">
        <f aca="false">IFERROR(IF(OR(BX794=1,BX794=2,BX794=3),N(INDEX(Parameter!$I$5:$I$7,BX794)),0),0)</f>
        <v>0</v>
      </c>
      <c r="CH794" s="59" t="n">
        <f aca="false">IF(AND(Parameter!$B$21="Ja",ISNUMBER(W794),N(X794)&gt;0),IFERROR(N(INDEX(Parameter!$L$5:$L$7,W794))*INDEX(Parameter!$E$5:$E$7,W794)*X794/SUMIFS($X$7:$X$1843,$W$7:$W$1843,W794),0),0)</f>
        <v>0</v>
      </c>
    </row>
    <row r="795" customFormat="false" ht="15" hidden="false" customHeight="false" outlineLevel="0" collapsed="false">
      <c r="A795" s="55" t="s">
        <v>1546</v>
      </c>
      <c r="B795" s="55" t="s">
        <v>654</v>
      </c>
      <c r="C795" s="55" t="s">
        <v>456</v>
      </c>
      <c r="D795" s="55" t="s">
        <v>184</v>
      </c>
      <c r="E795" s="55"/>
      <c r="F795" s="55" t="s">
        <v>218</v>
      </c>
      <c r="G795" s="56" t="n">
        <v>0.04</v>
      </c>
      <c r="H795" s="57" t="n">
        <f aca="false">MAX(0,IF(AND(Parameter!$B$21="Ja",ISNUMBER(Y795)),Y795,IF(Parameter!$B$20="Jahresanfang 2025 + Export",BL795+BK795,BK795)))</f>
        <v>96</v>
      </c>
      <c r="I795" s="57" t="n">
        <f aca="false">H795*G795</f>
        <v>3.84</v>
      </c>
      <c r="J795" s="57" t="n">
        <f aca="false">BN795*Parameter!$B$18</f>
        <v>96</v>
      </c>
      <c r="K795" s="58" t="n">
        <v>96</v>
      </c>
      <c r="L795" s="59" t="n">
        <v>1</v>
      </c>
      <c r="M795" s="57" t="n">
        <v>3</v>
      </c>
      <c r="N795" s="57" t="n">
        <v>95</v>
      </c>
      <c r="O795" s="60" t="n">
        <v>14</v>
      </c>
      <c r="P795" s="55" t="s">
        <v>168</v>
      </c>
      <c r="Q795" s="57"/>
      <c r="R795" s="60" t="n">
        <f aca="false">IF(BT795=1,0,IFERROR(VLOOKUP(BR795,'Gebinde-Kategorie'!$A$5:$M$45,13,0)+0,0))</f>
        <v>26</v>
      </c>
      <c r="S795" s="61"/>
      <c r="T795" s="62" t="s">
        <v>275</v>
      </c>
      <c r="U795" s="62"/>
      <c r="V795" s="62"/>
      <c r="W795" s="55"/>
      <c r="X795" s="57"/>
      <c r="Y795" s="57"/>
      <c r="Z795" s="55" t="n">
        <f aca="false">IF(A795="","",IF(AND(Parameter!$B$21="Ja",ISNUMBER(W795)),W795,IF(BV795="2+3",IF(ISNUMBER(SEARCH("grosser Artikel",BO795)),2,IFERROR(VLOOKUP(BR795,Parameter!$F$35:$G$64,2,0),2)),IF(OR(BV795="Nein",BV795=""),"-",BV795))))</f>
        <v>3</v>
      </c>
      <c r="AA795" s="62"/>
      <c r="AB795" s="63"/>
      <c r="AC795" s="57" t="n">
        <f aca="false">AR795</f>
        <v>192</v>
      </c>
      <c r="AD795" s="57" t="n">
        <f aca="false">MAX(AR795,H795)</f>
        <v>192</v>
      </c>
      <c r="AE795" s="64"/>
      <c r="AF795" s="57" t="n">
        <f aca="false">IF(LEFT(Cockpit!$C$5,1)="A",H795,IF(CA795=1,CB795,IF(LEFT(Cockpit!$C$5,1)="B",AJ795,MAX(AJ795,H795))))</f>
        <v>96</v>
      </c>
      <c r="AG795" s="57" t="n">
        <f aca="false">IF(BT795=1,0,ROUNDUP(AF795/BS795,0))</f>
        <v>1</v>
      </c>
      <c r="AH795" s="59" t="n">
        <f aca="false">IF(CH795&gt;0,CH795*MAX(1,AF795/X795),IF(BT795=1,IF(AF795&lt;=0,0,BW795*MAX(1,IF(H795&gt;0,AF795/H795,1))),IF(R795&gt;0,AG795/R795,0))/MAX(0.1,N(Parameter!$M$21)))</f>
        <v>0.0384615384615385</v>
      </c>
      <c r="AI795" s="57" t="n">
        <f aca="false">AF795*G795</f>
        <v>3.84</v>
      </c>
      <c r="AJ795" s="57" t="n">
        <f aca="false">ROUNDUP(MAX(J795/IF(BZ795&gt;0,BZ795,MAX(0.1,N(Cockpit!$C$6))),CC795)/BS795,0)*BS795</f>
        <v>192</v>
      </c>
      <c r="AK795" s="58" t="n">
        <f aca="false">IF(AH795&gt;0,J795/AH795,-1)</f>
        <v>2496</v>
      </c>
      <c r="AL795" s="58" t="n">
        <f aca="false">IF(AND(OR(BY795="L1",BY795="L23"),AH795&gt;0),SUMIFS($AH$7:$AH$1843,$BY$7:$BY$1843,BY795,$AK$7:$AK$1843,"&gt;"&amp;AK795)+SUMIFS($AH$7:$AH$1843,$BY$7:$BY$1843,BY795,$AK$7:$AK$1843,AK795,$BQ$7:$BQ$1843,"&lt;="&amp;BQ795),"")</f>
        <v>11.5648795648796</v>
      </c>
      <c r="AM795" s="65" t="n">
        <f aca="false">IF(AL795="",0,MAX(0,MIN(1,(IF(BY795="L1",Parameter!$E$5,Parameter!$E$6+Parameter!$E$7)-(AL795-AH795))/AH795)))</f>
        <v>1</v>
      </c>
      <c r="AN795" s="57" t="n">
        <f aca="false">IF(LEFT(Cockpit!$I$5,1)="A",H795,IF(CA795=1,CB795,IF(LEFT(Cockpit!$I$5,1)="B",AR795,MAX(AR795,H795))))</f>
        <v>192</v>
      </c>
      <c r="AO795" s="57" t="n">
        <f aca="false">IF(BT795=1,0,ROUNDUP(AN795/BS795,0))</f>
        <v>2</v>
      </c>
      <c r="AP795" s="59" t="n">
        <f aca="false">IF(CH795&gt;0,CH795*MAX(1,AN795/X795),IF(BT795=1,IF(AN795&lt;=0,0,BW795*MAX(1,IF(H795&gt;0,AN795/H795,1))),IF(R795&gt;0,AO795/R795,0))/MAX(0.1,N(Parameter!$M$21)))</f>
        <v>0.0769230769230769</v>
      </c>
      <c r="AQ795" s="57" t="n">
        <f aca="false">AN795*G795</f>
        <v>7.68</v>
      </c>
      <c r="AR795" s="57" t="n">
        <f aca="false">ROUNDUP(MAX(J795/IF(BZ795&gt;0,BZ795,MAX(0.1,N(Cockpit!$I$6))),CC795)/BS795,0)*BS795</f>
        <v>192</v>
      </c>
      <c r="AS795" s="58" t="n">
        <f aca="false">IF(AP795&gt;0,J795/AP795,-1)</f>
        <v>1248</v>
      </c>
      <c r="AT795" s="58" t="n">
        <f aca="false">IF(AND(OR(BY795="L1",BY795="L23"),AP795&gt;0),SUMIFS($AP$7:$AP$1843,$BY$7:$BY$1843,BY795,$AS$7:$AS$1843,"&gt;"&amp;AS795)+SUMIFS($AP$7:$AP$1843,$BY$7:$BY$1843,BY795,$AS$7:$AS$1843,AS795,$BQ$7:$BQ$1843,"&lt;="&amp;BQ795),"")</f>
        <v>22.230819904733</v>
      </c>
      <c r="AU795" s="65" t="n">
        <f aca="false">IF(AT795="",0,MAX(0,MIN(1,(IF(BY795="L1",Parameter!$E$5,Parameter!$E$6+Parameter!$E$7)-(AT795-AP795))/AP795)))</f>
        <v>1</v>
      </c>
      <c r="AV795" s="57" t="n">
        <f aca="false">IF(LEFT(Cockpit!$O$5,1)="A",H795,IF(CA795=1,CB795,IF(LEFT(Cockpit!$O$5,1)="B",AZ795,MAX(AZ795,H795))))</f>
        <v>192</v>
      </c>
      <c r="AW795" s="57" t="n">
        <f aca="false">IF(BT795=1,0,ROUNDUP(AV795/BS795,0))</f>
        <v>2</v>
      </c>
      <c r="AX795" s="59" t="n">
        <f aca="false">IF(CH795&gt;0,CH795*MAX(1,AV795/X795),IF(BT795=1,IF(AV795&lt;=0,0,BW795*MAX(1,IF(H795&gt;0,AV795/H795,1))),IF(R795&gt;0,AW795/R795,0))/MAX(0.1,N(Parameter!$M$21)))</f>
        <v>0.0769230769230769</v>
      </c>
      <c r="AY795" s="57" t="n">
        <f aca="false">AV795*G795</f>
        <v>7.68</v>
      </c>
      <c r="AZ795" s="57" t="n">
        <f aca="false">ROUNDUP(MAX(J795/IF(BZ795&gt;0,BZ795,MAX(0.1,N(Cockpit!$O$6))),CC795)/BS795,0)*BS795</f>
        <v>192</v>
      </c>
      <c r="BA795" s="58" t="n">
        <f aca="false">IF(AX795&gt;0,J795/AX795,-1)</f>
        <v>1248</v>
      </c>
      <c r="BB795" s="58" t="n">
        <f aca="false">IF(AND(OR(BY795="L1",BY795="L23"),AX795&gt;0),SUMIFS($AX$7:$AX$1843,$BY$7:$BY$1843,BY795,$BA$7:$BA$1843,"&gt;"&amp;BA795)+SUMIFS($AX$7:$AX$1843,$BY$7:$BY$1843,BY795,$BA$7:$BA$1843,BA795,$BQ$7:$BQ$1843,"&lt;="&amp;BQ795),"")</f>
        <v>20.9260413499544</v>
      </c>
      <c r="BC795" s="65" t="n">
        <f aca="false">IF(BB795="",0,MAX(0,MIN(1,(IF(BY795="L1",Parameter!$E$5,Parameter!$E$6+Parameter!$E$7)-(BB795-AX795))/AX795)))</f>
        <v>1</v>
      </c>
      <c r="BD795" s="55" t="str">
        <f aca="false">IF(AH795&lt;=0,"",IF(BY795="Aussen","Aussenlager",IF(BY795="-","Nicht im Lift",IF(AM795&gt;=1,"Lift",IF(AM795&lt;=0,"Aussenlager","teilweise")))))</f>
        <v>Lift</v>
      </c>
      <c r="BE795" s="55" t="str">
        <f aca="false">IF(AP795&lt;=0,"",IF(BY795="Aussen","Aussenlager",IF(BY795="-","Nicht im Lift",IF(AU795&gt;=1,"Lift",IF(AU795&lt;=0,"Aussenlager","teilweise")))))</f>
        <v>Lift</v>
      </c>
      <c r="BF795" s="55" t="str">
        <f aca="false">IF(AX795&lt;=0,"",IF(BY795="Aussen","Aussenlager",IF(BY795="-","Nicht im Lift",IF(BC795&gt;=1,"Lift",IF(BC795&lt;=0,"Aussenlager","teilweise")))))</f>
        <v>Lift</v>
      </c>
      <c r="BG795" s="55" t="str">
        <f aca="false">IF(A795="","",IF(BP795=1,"Neu; ","")&amp;IF(AND(BP795=0,BK795&lt;0),"negativer Bestand (Export "&amp;BK795&amp;"); ","")&amp;IF(J795&lt;=0,"Kein Verbrauch; ","")&amp;IF(CH795&gt;0,"Lift "&amp;W795&amp;" lt. Liftbericht (Fach "&amp;X795&amp;" Stk); ",IF(BU795=1,"Gebinde geschätzt ("&amp;T795&amp;"); ",IF(BT795=1,"Lose – Tablare geschätzt; ","")))&amp;IF(H795&gt;AR795,"Überbestand "&amp;ROUND(H795-AR795,0)&amp;" Stk / CHF "&amp;ROUND((H795-AR795)*G795,0)&amp;"; ","")&amp;IF(AND(CA795=1,CB795&lt;CC795),"MAX &lt; MB+LG; ","")&amp;IF(AND(CG795&gt;0,CF795*10&gt;CG795),"zu hoch für Tablar; ","")&amp;IF(AND(BP795=0,OR(CA795=1,AA795&lt;&gt;"",U795&lt;&gt;"",V795&lt;&gt;"",AB795&lt;&gt;"")),"manuell übersteuert; ","")&amp;IF(AND(BT795=0,R795=0),"Gebinde unbekannt / Stellmass fehlt; ","")&amp;IF(AND(BT795=0,N(V795)&lt;=0,N(Q795)&lt;=0),"Menge pro Gebinde fehlt (Ist = 1 Gebinde); ","")&amp;BO795)</f>
        <v>negativer Bestand (Export -96); Gebinde geschätzt (Klein); Menge pro Gebinde fehlt (Ist = 1 Gebinde); </v>
      </c>
      <c r="BH795" s="55"/>
      <c r="BI795" s="55"/>
      <c r="BJ795" s="62"/>
      <c r="BK795" s="57" t="n">
        <v>-96</v>
      </c>
      <c r="BL795" s="57" t="n">
        <v>192</v>
      </c>
      <c r="BM795" s="56" t="n">
        <v>-3.84</v>
      </c>
      <c r="BN795" s="57" t="n">
        <v>96</v>
      </c>
      <c r="BO795" s="55"/>
      <c r="BP795" s="60" t="n">
        <v>0</v>
      </c>
      <c r="BQ795" s="60" t="n">
        <v>795</v>
      </c>
      <c r="BR795" s="55" t="str">
        <f aca="false">IF(U795&lt;&gt;"",UPPER(TRIM(U795)),IF(BU795=1,UPPER(VLOOKUP(T795,Parameter!$I$27:$K$29,2,0)),IF(P795="","LOSE",P795)))</f>
        <v>S51</v>
      </c>
      <c r="BS795" s="57" t="n">
        <f aca="false">IF(BR795="LOSE",1,IF(N(V795)&gt;0,V795,IF(BU795=1,MAX(1,N(VLOOKUP(T795,Parameter!$I$27:$K$29,3,0)),H795,N(N795)),IF(N(Q795)&gt;0,Q795,MAX(1,H795)))))</f>
        <v>96</v>
      </c>
      <c r="BT795" s="60" t="n">
        <f aca="false">IF(BR795="LOSE",1,0)</f>
        <v>0</v>
      </c>
      <c r="BU795" s="60" t="n">
        <f aca="false">IF(AND(U795="",OR(P795="",P795="LOSE"),T795&lt;&gt;"",N(S795)&lt;=0,ISNUMBER(MATCH(T795,Parameter!$I$27:$I$29,0))),1,0)</f>
        <v>1</v>
      </c>
      <c r="BV795" s="55" t="str">
        <f aca="false">IF(AND(Parameter!$B$19="Ja",E795&lt;&gt;"",ISNUMBER(MATCH(E795,Parameter!$I$35:$I$52,0))),VLOOKUP(E795,Parameter!$I$35:$J$52,2,0),IFERROR(VLOOKUP(D795,Parameter!$A$35:$C$64,2,0),"Nein"))</f>
        <v>2+3</v>
      </c>
      <c r="BW795" s="59" t="n">
        <f aca="false">IF(BT795=0,0,IF(N(S795)&gt;0,S795,IFERROR(VLOOKUP(D795,Parameter!$A$35:$C$64,3,0)+0,0)))</f>
        <v>0</v>
      </c>
      <c r="BX795" s="55" t="n">
        <f aca="false">IF(AA795&lt;&gt;"",AA795,Z795)</f>
        <v>3</v>
      </c>
      <c r="BY795" s="55" t="str">
        <f aca="false">IF(BX795=1,"L1",IF(OR(BX795=2,BX795=3),"L23",IF(BX795="Aussen","Aussen","-")))</f>
        <v>L23</v>
      </c>
      <c r="BZ795" s="66" t="n">
        <f aca="false">IF(N(AB795)&gt;0,AB795,0)</f>
        <v>0</v>
      </c>
      <c r="CA795" s="60" t="n">
        <f aca="false">IF(ISNUMBER(AE795),1,0)</f>
        <v>0</v>
      </c>
      <c r="CB795" s="57" t="n">
        <f aca="false">N(AE795)</f>
        <v>0</v>
      </c>
      <c r="CC795" s="57" t="n">
        <f aca="false">N(M795)+N(N795)</f>
        <v>98</v>
      </c>
      <c r="CD795" s="57" t="n">
        <f aca="false">ROUNDUP(H795/BS795,0)</f>
        <v>1</v>
      </c>
      <c r="CE795" s="57" t="n">
        <f aca="false">ROUNDUP(CB795/BS795,0)</f>
        <v>0</v>
      </c>
      <c r="CF795" s="60" t="n">
        <f aca="false">IF(BT795=1,0,IFERROR(VLOOKUP(BR795,'Gebinde-Kategorie'!$A$5:$M$45,5,0)+0,0))</f>
        <v>11</v>
      </c>
      <c r="CG795" s="60" t="n">
        <f aca="false">IFERROR(IF(OR(BX795=1,BX795=2,BX795=3),N(INDEX(Parameter!$I$5:$I$7,BX795)),0),0)</f>
        <v>0</v>
      </c>
      <c r="CH795" s="59" t="n">
        <f aca="false">IF(AND(Parameter!$B$21="Ja",ISNUMBER(W795),N(X795)&gt;0),IFERROR(N(INDEX(Parameter!$L$5:$L$7,W795))*INDEX(Parameter!$E$5:$E$7,W795)*X795/SUMIFS($X$7:$X$1843,$W$7:$W$1843,W795),0),0)</f>
        <v>0</v>
      </c>
    </row>
    <row r="796" customFormat="false" ht="15" hidden="false" customHeight="false" outlineLevel="0" collapsed="false">
      <c r="A796" s="55" t="s">
        <v>1547</v>
      </c>
      <c r="B796" s="55" t="s">
        <v>1548</v>
      </c>
      <c r="C796" s="55" t="s">
        <v>164</v>
      </c>
      <c r="D796" s="55" t="s">
        <v>184</v>
      </c>
      <c r="E796" s="55"/>
      <c r="F796" s="55" t="s">
        <v>218</v>
      </c>
      <c r="G796" s="56" t="n">
        <v>1.95</v>
      </c>
      <c r="H796" s="57" t="n">
        <f aca="false">MAX(0,IF(AND(Parameter!$B$21="Ja",ISNUMBER(Y796)),Y796,IF(Parameter!$B$20="Jahresanfang 2025 + Export",BL796+BK796,BK796)))</f>
        <v>3</v>
      </c>
      <c r="I796" s="57" t="n">
        <f aca="false">H796*G796</f>
        <v>5.85</v>
      </c>
      <c r="J796" s="57" t="n">
        <f aca="false">BN796*Parameter!$B$18</f>
        <v>1</v>
      </c>
      <c r="K796" s="58" t="n">
        <v>4.5</v>
      </c>
      <c r="L796" s="59" t="n">
        <v>0.222222222222222</v>
      </c>
      <c r="M796" s="57" t="n">
        <v>0</v>
      </c>
      <c r="N796" s="57" t="n">
        <v>1</v>
      </c>
      <c r="O796" s="60" t="n">
        <v>42</v>
      </c>
      <c r="P796" s="55" t="s">
        <v>426</v>
      </c>
      <c r="Q796" s="57" t="n">
        <v>5</v>
      </c>
      <c r="R796" s="60" t="n">
        <f aca="false">IF(BT796=1,0,IFERROR(VLOOKUP(BR796,'Gebinde-Kategorie'!$A$5:$M$45,13,0)+0,0))</f>
        <v>198</v>
      </c>
      <c r="S796" s="61"/>
      <c r="T796" s="62"/>
      <c r="U796" s="62"/>
      <c r="V796" s="62"/>
      <c r="W796" s="55"/>
      <c r="X796" s="57"/>
      <c r="Y796" s="57"/>
      <c r="Z796" s="55" t="n">
        <f aca="false">IF(A796="","",IF(AND(Parameter!$B$21="Ja",ISNUMBER(W796)),W796,IF(BV796="2+3",IF(ISNUMBER(SEARCH("grosser Artikel",BO796)),2,IFERROR(VLOOKUP(BR796,Parameter!$F$35:$G$64,2,0),2)),IF(OR(BV796="Nein",BV796=""),"-",BV796))))</f>
        <v>3</v>
      </c>
      <c r="AA796" s="62"/>
      <c r="AB796" s="63"/>
      <c r="AC796" s="57" t="n">
        <f aca="false">AR796</f>
        <v>5</v>
      </c>
      <c r="AD796" s="57" t="n">
        <f aca="false">MAX(AR796,H796)</f>
        <v>5</v>
      </c>
      <c r="AE796" s="64"/>
      <c r="AF796" s="57" t="n">
        <f aca="false">IF(LEFT(Cockpit!$C$5,1)="A",H796,IF(CA796=1,CB796,IF(LEFT(Cockpit!$C$5,1)="B",AJ796,MAX(AJ796,H796))))</f>
        <v>3</v>
      </c>
      <c r="AG796" s="57" t="n">
        <f aca="false">IF(BT796=1,0,ROUNDUP(AF796/BS796,0))</f>
        <v>1</v>
      </c>
      <c r="AH796" s="59" t="n">
        <f aca="false">IF(CH796&gt;0,CH796*MAX(1,AF796/X796),IF(BT796=1,IF(AF796&lt;=0,0,BW796*MAX(1,IF(H796&gt;0,AF796/H796,1))),IF(R796&gt;0,AG796/R796,0))/MAX(0.1,N(Parameter!$M$21)))</f>
        <v>0.00505050505050505</v>
      </c>
      <c r="AI796" s="57" t="n">
        <f aca="false">AF796*G796</f>
        <v>5.85</v>
      </c>
      <c r="AJ796" s="57" t="n">
        <f aca="false">ROUNDUP(MAX(J796/IF(BZ796&gt;0,BZ796,MAX(0.1,N(Cockpit!$C$6))),CC796)/BS796,0)*BS796</f>
        <v>5</v>
      </c>
      <c r="AK796" s="58" t="n">
        <f aca="false">IF(AH796&gt;0,J796/AH796,-1)</f>
        <v>198</v>
      </c>
      <c r="AL796" s="58" t="n">
        <f aca="false">IF(AND(OR(BY796="L1",BY796="L23"),AH796&gt;0),SUMIFS($AH$7:$AH$1843,$BY$7:$BY$1843,BY796,$AK$7:$AK$1843,"&gt;"&amp;AK796)+SUMIFS($AH$7:$AH$1843,$BY$7:$BY$1843,BY796,$AK$7:$AK$1843,AK796,$BQ$7:$BQ$1843,"&lt;="&amp;BQ796),"")</f>
        <v>32.4961065504544</v>
      </c>
      <c r="AM796" s="65" t="n">
        <f aca="false">IF(AL796="",0,MAX(0,MIN(1,(IF(BY796="L1",Parameter!$E$5,Parameter!$E$6+Parameter!$E$7)-(AL796-AH796))/AH796)))</f>
        <v>1</v>
      </c>
      <c r="AN796" s="57" t="n">
        <f aca="false">IF(LEFT(Cockpit!$I$5,1)="A",H796,IF(CA796=1,CB796,IF(LEFT(Cockpit!$I$5,1)="B",AR796,MAX(AR796,H796))))</f>
        <v>5</v>
      </c>
      <c r="AO796" s="57" t="n">
        <f aca="false">IF(BT796=1,0,ROUNDUP(AN796/BS796,0))</f>
        <v>1</v>
      </c>
      <c r="AP796" s="59" t="n">
        <f aca="false">IF(CH796&gt;0,CH796*MAX(1,AN796/X796),IF(BT796=1,IF(AN796&lt;=0,0,BW796*MAX(1,IF(H796&gt;0,AN796/H796,1))),IF(R796&gt;0,AO796/R796,0))/MAX(0.1,N(Parameter!$M$21)))</f>
        <v>0.00505050505050505</v>
      </c>
      <c r="AQ796" s="57" t="n">
        <f aca="false">AN796*G796</f>
        <v>9.75</v>
      </c>
      <c r="AR796" s="57" t="n">
        <f aca="false">ROUNDUP(MAX(J796/IF(BZ796&gt;0,BZ796,MAX(0.1,N(Cockpit!$I$6))),CC796)/BS796,0)*BS796</f>
        <v>5</v>
      </c>
      <c r="AS796" s="58" t="n">
        <f aca="false">IF(AP796&gt;0,J796/AP796,-1)</f>
        <v>198</v>
      </c>
      <c r="AT796" s="58" t="n">
        <f aca="false">IF(AND(OR(BY796="L1",BY796="L23"),AP796&gt;0),SUMIFS($AP$7:$AP$1843,$BY$7:$BY$1843,BY796,$AS$7:$AS$1843,"&gt;"&amp;AS796)+SUMIFS($AP$7:$AP$1843,$BY$7:$BY$1843,BY796,$AS$7:$AS$1843,AS796,$BQ$7:$BQ$1843,"&lt;="&amp;BQ796),"")</f>
        <v>47.2949393601568</v>
      </c>
      <c r="AU796" s="65" t="n">
        <f aca="false">IF(AT796="",0,MAX(0,MIN(1,(IF(BY796="L1",Parameter!$E$5,Parameter!$E$6+Parameter!$E$7)-(AT796-AP796))/AP796)))</f>
        <v>1</v>
      </c>
      <c r="AV796" s="57" t="n">
        <f aca="false">IF(LEFT(Cockpit!$O$5,1)="A",H796,IF(CA796=1,CB796,IF(LEFT(Cockpit!$O$5,1)="B",AZ796,MAX(AZ796,H796))))</f>
        <v>5</v>
      </c>
      <c r="AW796" s="57" t="n">
        <f aca="false">IF(BT796=1,0,ROUNDUP(AV796/BS796,0))</f>
        <v>1</v>
      </c>
      <c r="AX796" s="59" t="n">
        <f aca="false">IF(CH796&gt;0,CH796*MAX(1,AV796/X796),IF(BT796=1,IF(AV796&lt;=0,0,BW796*MAX(1,IF(H796&gt;0,AV796/H796,1))),IF(R796&gt;0,AW796/R796,0))/MAX(0.1,N(Parameter!$M$21)))</f>
        <v>0.00505050505050505</v>
      </c>
      <c r="AY796" s="57" t="n">
        <f aca="false">AV796*G796</f>
        <v>9.75</v>
      </c>
      <c r="AZ796" s="57" t="n">
        <f aca="false">ROUNDUP(MAX(J796/IF(BZ796&gt;0,BZ796,MAX(0.1,N(Cockpit!$O$6))),CC796)/BS796,0)*BS796</f>
        <v>5</v>
      </c>
      <c r="BA796" s="58" t="n">
        <f aca="false">IF(AX796&gt;0,J796/AX796,-1)</f>
        <v>198</v>
      </c>
      <c r="BB796" s="58" t="n">
        <f aca="false">IF(AND(OR(BY796="L1",BY796="L23"),AX796&gt;0),SUMIFS($AX$7:$AX$1843,$BY$7:$BY$1843,BY796,$BA$7:$BA$1843,"&gt;"&amp;BA796)+SUMIFS($AX$7:$AX$1843,$BY$7:$BY$1843,BY796,$BA$7:$BA$1843,BA796,$BQ$7:$BQ$1843,"&lt;="&amp;BQ796),"")</f>
        <v>42.8747761899936</v>
      </c>
      <c r="BC796" s="65" t="n">
        <f aca="false">IF(BB796="",0,MAX(0,MIN(1,(IF(BY796="L1",Parameter!$E$5,Parameter!$E$6+Parameter!$E$7)-(BB796-AX796))/AX796)))</f>
        <v>1</v>
      </c>
      <c r="BD796" s="55" t="str">
        <f aca="false">IF(AH796&lt;=0,"",IF(BY796="Aussen","Aussenlager",IF(BY796="-","Nicht im Lift",IF(AM796&gt;=1,"Lift",IF(AM796&lt;=0,"Aussenlager","teilweise")))))</f>
        <v>Lift</v>
      </c>
      <c r="BE796" s="55" t="str">
        <f aca="false">IF(AP796&lt;=0,"",IF(BY796="Aussen","Aussenlager",IF(BY796="-","Nicht im Lift",IF(AU796&gt;=1,"Lift",IF(AU796&lt;=0,"Aussenlager","teilweise")))))</f>
        <v>Lift</v>
      </c>
      <c r="BF796" s="55" t="str">
        <f aca="false">IF(AX796&lt;=0,"",IF(BY796="Aussen","Aussenlager",IF(BY796="-","Nicht im Lift",IF(BC796&gt;=1,"Lift",IF(BC796&lt;=0,"Aussenlager","teilweise")))))</f>
        <v>Lift</v>
      </c>
      <c r="BG796" s="55" t="str">
        <f aca="false">IF(A796="","",IF(BP796=1,"Neu; ","")&amp;IF(AND(BP796=0,BK796&lt;0),"negativer Bestand (Export "&amp;BK796&amp;"); ","")&amp;IF(J796&lt;=0,"Kein Verbrauch; ","")&amp;IF(CH796&gt;0,"Lift "&amp;W796&amp;" lt. Liftbericht (Fach "&amp;X796&amp;" Stk); ",IF(BU796=1,"Gebinde geschätzt ("&amp;T796&amp;"); ",IF(BT796=1,"Lose – Tablare geschätzt; ","")))&amp;IF(H796&gt;AR796,"Überbestand "&amp;ROUND(H796-AR796,0)&amp;" Stk / CHF "&amp;ROUND((H796-AR796)*G796,0)&amp;"; ","")&amp;IF(AND(CA796=1,CB796&lt;CC796),"MAX &lt; MB+LG; ","")&amp;IF(AND(CG796&gt;0,CF796*10&gt;CG796),"zu hoch für Tablar; ","")&amp;IF(AND(BP796=0,OR(CA796=1,AA796&lt;&gt;"",U796&lt;&gt;"",V796&lt;&gt;"",AB796&lt;&gt;"")),"manuell übersteuert; ","")&amp;IF(AND(BT796=0,R796=0),"Gebinde unbekannt / Stellmass fehlt; ","")&amp;IF(AND(BT796=0,N(V796)&lt;=0,N(Q796)&lt;=0),"Menge pro Gebinde fehlt (Ist = 1 Gebinde); ","")&amp;BO796)</f>
        <v>negativer Bestand (Export -2); </v>
      </c>
      <c r="BH796" s="55"/>
      <c r="BI796" s="55"/>
      <c r="BJ796" s="62"/>
      <c r="BK796" s="57" t="n">
        <v>-2</v>
      </c>
      <c r="BL796" s="57" t="n">
        <v>5</v>
      </c>
      <c r="BM796" s="56" t="n">
        <v>-3.9</v>
      </c>
      <c r="BN796" s="57" t="n">
        <v>1</v>
      </c>
      <c r="BO796" s="55"/>
      <c r="BP796" s="60" t="n">
        <v>0</v>
      </c>
      <c r="BQ796" s="60" t="n">
        <v>796</v>
      </c>
      <c r="BR796" s="55" t="str">
        <f aca="false">IF(U796&lt;&gt;"",UPPER(TRIM(U796)),IF(BU796=1,UPPER(VLOOKUP(T796,Parameter!$I$27:$K$29,2,0)),IF(P796="","LOSE",P796)))</f>
        <v>S22</v>
      </c>
      <c r="BS796" s="57" t="n">
        <f aca="false">IF(BR796="LOSE",1,IF(N(V796)&gt;0,V796,IF(BU796=1,MAX(1,N(VLOOKUP(T796,Parameter!$I$27:$K$29,3,0)),H796,N(N796)),IF(N(Q796)&gt;0,Q796,MAX(1,H796)))))</f>
        <v>5</v>
      </c>
      <c r="BT796" s="60" t="n">
        <f aca="false">IF(BR796="LOSE",1,0)</f>
        <v>0</v>
      </c>
      <c r="BU796" s="60" t="n">
        <f aca="false">IF(AND(U796="",OR(P796="",P796="LOSE"),T796&lt;&gt;"",N(S796)&lt;=0,ISNUMBER(MATCH(T796,Parameter!$I$27:$I$29,0))),1,0)</f>
        <v>0</v>
      </c>
      <c r="BV796" s="55" t="str">
        <f aca="false">IF(AND(Parameter!$B$19="Ja",E796&lt;&gt;"",ISNUMBER(MATCH(E796,Parameter!$I$35:$I$52,0))),VLOOKUP(E796,Parameter!$I$35:$J$52,2,0),IFERROR(VLOOKUP(D796,Parameter!$A$35:$C$64,2,0),"Nein"))</f>
        <v>2+3</v>
      </c>
      <c r="BW796" s="59" t="n">
        <f aca="false">IF(BT796=0,0,IF(N(S796)&gt;0,S796,IFERROR(VLOOKUP(D796,Parameter!$A$35:$C$64,3,0)+0,0)))</f>
        <v>0</v>
      </c>
      <c r="BX796" s="55" t="n">
        <f aca="false">IF(AA796&lt;&gt;"",AA796,Z796)</f>
        <v>3</v>
      </c>
      <c r="BY796" s="55" t="str">
        <f aca="false">IF(BX796=1,"L1",IF(OR(BX796=2,BX796=3),"L23",IF(BX796="Aussen","Aussen","-")))</f>
        <v>L23</v>
      </c>
      <c r="BZ796" s="66" t="n">
        <f aca="false">IF(N(AB796)&gt;0,AB796,0)</f>
        <v>0</v>
      </c>
      <c r="CA796" s="60" t="n">
        <f aca="false">IF(ISNUMBER(AE796),1,0)</f>
        <v>0</v>
      </c>
      <c r="CB796" s="57" t="n">
        <f aca="false">N(AE796)</f>
        <v>0</v>
      </c>
      <c r="CC796" s="57" t="n">
        <f aca="false">N(M796)+N(N796)</f>
        <v>1</v>
      </c>
      <c r="CD796" s="57" t="n">
        <f aca="false">ROUNDUP(H796/BS796,0)</f>
        <v>1</v>
      </c>
      <c r="CE796" s="57" t="n">
        <f aca="false">ROUNDUP(CB796/BS796,0)</f>
        <v>0</v>
      </c>
      <c r="CF796" s="60" t="n">
        <f aca="false">IF(BT796=1,0,IFERROR(VLOOKUP(BR796,'Gebinde-Kategorie'!$A$5:$M$45,5,0)+0,0))</f>
        <v>8</v>
      </c>
      <c r="CG796" s="60" t="n">
        <f aca="false">IFERROR(IF(OR(BX796=1,BX796=2,BX796=3),N(INDEX(Parameter!$I$5:$I$7,BX796)),0),0)</f>
        <v>0</v>
      </c>
      <c r="CH796" s="59" t="n">
        <f aca="false">IF(AND(Parameter!$B$21="Ja",ISNUMBER(W796),N(X796)&gt;0),IFERROR(N(INDEX(Parameter!$L$5:$L$7,W796))*INDEX(Parameter!$E$5:$E$7,W796)*X796/SUMIFS($X$7:$X$1843,$W$7:$W$1843,W796),0),0)</f>
        <v>0</v>
      </c>
    </row>
    <row r="797" customFormat="false" ht="15" hidden="false" customHeight="false" outlineLevel="0" collapsed="false">
      <c r="A797" s="55" t="s">
        <v>1549</v>
      </c>
      <c r="B797" s="55" t="s">
        <v>1550</v>
      </c>
      <c r="C797" s="55" t="s">
        <v>164</v>
      </c>
      <c r="D797" s="55" t="s">
        <v>184</v>
      </c>
      <c r="E797" s="55" t="s">
        <v>185</v>
      </c>
      <c r="F797" s="55" t="s">
        <v>218</v>
      </c>
      <c r="G797" s="56" t="n">
        <v>1.26</v>
      </c>
      <c r="H797" s="57" t="n">
        <f aca="false">MAX(0,IF(AND(Parameter!$B$21="Ja",ISNUMBER(Y797)),Y797,IF(Parameter!$B$20="Jahresanfang 2025 + Export",BL797+BK797,BK797)))</f>
        <v>100</v>
      </c>
      <c r="I797" s="57" t="n">
        <f aca="false">H797*G797</f>
        <v>126</v>
      </c>
      <c r="J797" s="57" t="n">
        <f aca="false">BN797*Parameter!$B$18</f>
        <v>0</v>
      </c>
      <c r="K797" s="58" t="n">
        <v>106</v>
      </c>
      <c r="L797" s="59" t="n">
        <v>0</v>
      </c>
      <c r="M797" s="57" t="n">
        <v>0</v>
      </c>
      <c r="N797" s="57" t="n">
        <v>1</v>
      </c>
      <c r="O797" s="60" t="n">
        <v>21</v>
      </c>
      <c r="P797" s="55" t="s">
        <v>421</v>
      </c>
      <c r="Q797" s="57" t="n">
        <v>100</v>
      </c>
      <c r="R797" s="60" t="n">
        <f aca="false">IF(BT797=1,0,IFERROR(VLOOKUP(BR797,'Gebinde-Kategorie'!$A$5:$M$45,13,0)+0,0))</f>
        <v>132</v>
      </c>
      <c r="S797" s="61"/>
      <c r="T797" s="62"/>
      <c r="U797" s="62"/>
      <c r="V797" s="62"/>
      <c r="W797" s="55"/>
      <c r="X797" s="57"/>
      <c r="Y797" s="57"/>
      <c r="Z797" s="55" t="n">
        <f aca="false">IF(A797="","",IF(AND(Parameter!$B$21="Ja",ISNUMBER(W797)),W797,IF(BV797="2+3",IF(ISNUMBER(SEARCH("grosser Artikel",BO797)),2,IFERROR(VLOOKUP(BR797,Parameter!$F$35:$G$64,2,0),2)),IF(OR(BV797="Nein",BV797=""),"-",BV797))))</f>
        <v>3</v>
      </c>
      <c r="AA797" s="62"/>
      <c r="AB797" s="63"/>
      <c r="AC797" s="57" t="n">
        <f aca="false">AR797</f>
        <v>100</v>
      </c>
      <c r="AD797" s="57" t="n">
        <f aca="false">MAX(AR797,H797)</f>
        <v>100</v>
      </c>
      <c r="AE797" s="64"/>
      <c r="AF797" s="57" t="n">
        <f aca="false">IF(LEFT(Cockpit!$C$5,1)="A",H797,IF(CA797=1,CB797,IF(LEFT(Cockpit!$C$5,1)="B",AJ797,MAX(AJ797,H797))))</f>
        <v>100</v>
      </c>
      <c r="AG797" s="57" t="n">
        <f aca="false">IF(BT797=1,0,ROUNDUP(AF797/BS797,0))</f>
        <v>1</v>
      </c>
      <c r="AH797" s="59" t="n">
        <f aca="false">IF(CH797&gt;0,CH797*MAX(1,AF797/X797),IF(BT797=1,IF(AF797&lt;=0,0,BW797*MAX(1,IF(H797&gt;0,AF797/H797,1))),IF(R797&gt;0,AG797/R797,0))/MAX(0.1,N(Parameter!$M$21)))</f>
        <v>0.00757575757575758</v>
      </c>
      <c r="AI797" s="57" t="n">
        <f aca="false">AF797*G797</f>
        <v>126</v>
      </c>
      <c r="AJ797" s="57" t="n">
        <f aca="false">ROUNDUP(MAX(J797/IF(BZ797&gt;0,BZ797,MAX(0.1,N(Cockpit!$C$6))),CC797)/BS797,0)*BS797</f>
        <v>100</v>
      </c>
      <c r="AK797" s="58" t="n">
        <f aca="false">IF(AH797&gt;0,J797/AH797,-1)</f>
        <v>0</v>
      </c>
      <c r="AL797" s="58" t="n">
        <f aca="false">IF(AND(OR(BY797="L1",BY797="L23"),AH797&gt;0),SUMIFS($AH$7:$AH$1843,$BY$7:$BY$1843,BY797,$AK$7:$AK$1843,"&gt;"&amp;AK797)+SUMIFS($AH$7:$AH$1843,$BY$7:$BY$1843,BY797,$AK$7:$AK$1843,AK797,$BQ$7:$BQ$1843,"&lt;="&amp;BQ797),"")</f>
        <v>77.5465018073714</v>
      </c>
      <c r="AM797" s="65" t="n">
        <f aca="false">IF(AL797="",0,MAX(0,MIN(1,(IF(BY797="L1",Parameter!$E$5,Parameter!$E$6+Parameter!$E$7)-(AL797-AH797))/AH797)))</f>
        <v>1</v>
      </c>
      <c r="AN797" s="57" t="n">
        <f aca="false">IF(LEFT(Cockpit!$I$5,1)="A",H797,IF(CA797=1,CB797,IF(LEFT(Cockpit!$I$5,1)="B",AR797,MAX(AR797,H797))))</f>
        <v>100</v>
      </c>
      <c r="AO797" s="57" t="n">
        <f aca="false">IF(BT797=1,0,ROUNDUP(AN797/BS797,0))</f>
        <v>1</v>
      </c>
      <c r="AP797" s="59" t="n">
        <f aca="false">IF(CH797&gt;0,CH797*MAX(1,AN797/X797),IF(BT797=1,IF(AN797&lt;=0,0,BW797*MAX(1,IF(H797&gt;0,AN797/H797,1))),IF(R797&gt;0,AO797/R797,0))/MAX(0.1,N(Parameter!$M$21)))</f>
        <v>0.00757575757575758</v>
      </c>
      <c r="AQ797" s="57" t="n">
        <f aca="false">AN797*G797</f>
        <v>126</v>
      </c>
      <c r="AR797" s="57" t="n">
        <f aca="false">ROUNDUP(MAX(J797/IF(BZ797&gt;0,BZ797,MAX(0.1,N(Cockpit!$I$6))),CC797)/BS797,0)*BS797</f>
        <v>100</v>
      </c>
      <c r="AS797" s="58" t="n">
        <f aca="false">IF(AP797&gt;0,J797/AP797,-1)</f>
        <v>0</v>
      </c>
      <c r="AT797" s="58" t="n">
        <f aca="false">IF(AND(OR(BY797="L1",BY797="L23"),AP797&gt;0),SUMIFS($AP$7:$AP$1843,$BY$7:$BY$1843,BY797,$AS$7:$AS$1843,"&gt;"&amp;AS797)+SUMIFS($AP$7:$AP$1843,$BY$7:$BY$1843,BY797,$AS$7:$AS$1843,AS797,$BQ$7:$BQ$1843,"&lt;="&amp;BQ797),"")</f>
        <v>118.376887605148</v>
      </c>
      <c r="AU797" s="65" t="n">
        <f aca="false">IF(AT797="",0,MAX(0,MIN(1,(IF(BY797="L1",Parameter!$E$5,Parameter!$E$6+Parameter!$E$7)-(AT797-AP797))/AP797)))</f>
        <v>0</v>
      </c>
      <c r="AV797" s="57" t="n">
        <f aca="false">IF(LEFT(Cockpit!$O$5,1)="A",H797,IF(CA797=1,CB797,IF(LEFT(Cockpit!$O$5,1)="B",AZ797,MAX(AZ797,H797))))</f>
        <v>100</v>
      </c>
      <c r="AW797" s="57" t="n">
        <f aca="false">IF(BT797=1,0,ROUNDUP(AV797/BS797,0))</f>
        <v>1</v>
      </c>
      <c r="AX797" s="59" t="n">
        <f aca="false">IF(CH797&gt;0,CH797*MAX(1,AV797/X797),IF(BT797=1,IF(AV797&lt;=0,0,BW797*MAX(1,IF(H797&gt;0,AV797/H797,1))),IF(R797&gt;0,AW797/R797,0))/MAX(0.1,N(Parameter!$M$21)))</f>
        <v>0.00757575757575758</v>
      </c>
      <c r="AY797" s="57" t="n">
        <f aca="false">AV797*G797</f>
        <v>126</v>
      </c>
      <c r="AZ797" s="57" t="n">
        <f aca="false">ROUNDUP(MAX(J797/IF(BZ797&gt;0,BZ797,MAX(0.1,N(Cockpit!$O$6))),CC797)/BS797,0)*BS797</f>
        <v>100</v>
      </c>
      <c r="BA797" s="58" t="n">
        <f aca="false">IF(AX797&gt;0,J797/AX797,-1)</f>
        <v>0</v>
      </c>
      <c r="BB797" s="58" t="n">
        <f aca="false">IF(AND(OR(BY797="L1",BY797="L23"),AX797&gt;0),SUMIFS($AX$7:$AX$1843,$BY$7:$BY$1843,BY797,$BA$7:$BA$1843,"&gt;"&amp;BA797)+SUMIFS($AX$7:$AX$1843,$BY$7:$BY$1843,BY797,$BA$7:$BA$1843,BA797,$BQ$7:$BQ$1843,"&lt;="&amp;BQ797),"")</f>
        <v>109.206724434985</v>
      </c>
      <c r="BC797" s="65" t="n">
        <f aca="false">IF(BB797="",0,MAX(0,MIN(1,(IF(BY797="L1",Parameter!$E$5,Parameter!$E$6+Parameter!$E$7)-(BB797-AX797))/AX797)))</f>
        <v>0</v>
      </c>
      <c r="BD797" s="55" t="str">
        <f aca="false">IF(AH797&lt;=0,"",IF(BY797="Aussen","Aussenlager",IF(BY797="-","Nicht im Lift",IF(AM797&gt;=1,"Lift",IF(AM797&lt;=0,"Aussenlager","teilweise")))))</f>
        <v>Lift</v>
      </c>
      <c r="BE797" s="55" t="str">
        <f aca="false">IF(AP797&lt;=0,"",IF(BY797="Aussen","Aussenlager",IF(BY797="-","Nicht im Lift",IF(AU797&gt;=1,"Lift",IF(AU797&lt;=0,"Aussenlager","teilweise")))))</f>
        <v>Aussenlager</v>
      </c>
      <c r="BF797" s="55" t="str">
        <f aca="false">IF(AX797&lt;=0,"",IF(BY797="Aussen","Aussenlager",IF(BY797="-","Nicht im Lift",IF(BC797&gt;=1,"Lift",IF(BC797&lt;=0,"Aussenlager","teilweise")))))</f>
        <v>Aussenlager</v>
      </c>
      <c r="BG797" s="55" t="str">
        <f aca="false">IF(A797="","",IF(BP797=1,"Neu; ","")&amp;IF(AND(BP797=0,BK797&lt;0),"negativer Bestand (Export "&amp;BK797&amp;"); ","")&amp;IF(J797&lt;=0,"Kein Verbrauch; ","")&amp;IF(CH797&gt;0,"Lift "&amp;W797&amp;" lt. Liftbericht (Fach "&amp;X797&amp;" Stk); ",IF(BU797=1,"Gebinde geschätzt ("&amp;T797&amp;"); ",IF(BT797=1,"Lose – Tablare geschätzt; ","")))&amp;IF(H797&gt;AR797,"Überbestand "&amp;ROUND(H797-AR797,0)&amp;" Stk / CHF "&amp;ROUND((H797-AR797)*G797,0)&amp;"; ","")&amp;IF(AND(CA797=1,CB797&lt;CC797),"MAX &lt; MB+LG; ","")&amp;IF(AND(CG797&gt;0,CF797*10&gt;CG797),"zu hoch für Tablar; ","")&amp;IF(AND(BP797=0,OR(CA797=1,AA797&lt;&gt;"",U797&lt;&gt;"",V797&lt;&gt;"",AB797&lt;&gt;"")),"manuell übersteuert; ","")&amp;IF(AND(BT797=0,R797=0),"Gebinde unbekannt / Stellmass fehlt; ","")&amp;IF(AND(BT797=0,N(V797)&lt;=0,N(Q797)&lt;=0),"Menge pro Gebinde fehlt (Ist = 1 Gebinde); ","")&amp;BO797)</f>
        <v>negativer Bestand (Export -12); Kein Verbrauch; nicht im KTL vorhanden</v>
      </c>
      <c r="BH797" s="55"/>
      <c r="BI797" s="55"/>
      <c r="BJ797" s="62"/>
      <c r="BK797" s="57" t="n">
        <v>-12</v>
      </c>
      <c r="BL797" s="57" t="n">
        <v>112</v>
      </c>
      <c r="BM797" s="56" t="n">
        <v>-3.91999999999999</v>
      </c>
      <c r="BN797" s="57" t="n">
        <v>0</v>
      </c>
      <c r="BO797" s="55" t="s">
        <v>230</v>
      </c>
      <c r="BP797" s="60" t="n">
        <v>0</v>
      </c>
      <c r="BQ797" s="60" t="n">
        <v>797</v>
      </c>
      <c r="BR797" s="55" t="str">
        <f aca="false">IF(U797&lt;&gt;"",UPPER(TRIM(U797)),IF(BU797=1,UPPER(VLOOKUP(T797,Parameter!$I$27:$K$29,2,0)),IF(P797="","LOSE",P797)))</f>
        <v>S32</v>
      </c>
      <c r="BS797" s="57" t="n">
        <f aca="false">IF(BR797="LOSE",1,IF(N(V797)&gt;0,V797,IF(BU797=1,MAX(1,N(VLOOKUP(T797,Parameter!$I$27:$K$29,3,0)),H797,N(N797)),IF(N(Q797)&gt;0,Q797,MAX(1,H797)))))</f>
        <v>100</v>
      </c>
      <c r="BT797" s="60" t="n">
        <f aca="false">IF(BR797="LOSE",1,0)</f>
        <v>0</v>
      </c>
      <c r="BU797" s="60" t="n">
        <f aca="false">IF(AND(U797="",OR(P797="",P797="LOSE"),T797&lt;&gt;"",N(S797)&lt;=0,ISNUMBER(MATCH(T797,Parameter!$I$27:$I$29,0))),1,0)</f>
        <v>0</v>
      </c>
      <c r="BV797" s="55" t="str">
        <f aca="false">IF(AND(Parameter!$B$19="Ja",E797&lt;&gt;"",ISNUMBER(MATCH(E797,Parameter!$I$35:$I$52,0))),VLOOKUP(E797,Parameter!$I$35:$J$52,2,0),IFERROR(VLOOKUP(D797,Parameter!$A$35:$C$64,2,0),"Nein"))</f>
        <v>2+3</v>
      </c>
      <c r="BW797" s="59" t="n">
        <f aca="false">IF(BT797=0,0,IF(N(S797)&gt;0,S797,IFERROR(VLOOKUP(D797,Parameter!$A$35:$C$64,3,0)+0,0)))</f>
        <v>0</v>
      </c>
      <c r="BX797" s="55" t="n">
        <f aca="false">IF(AA797&lt;&gt;"",AA797,Z797)</f>
        <v>3</v>
      </c>
      <c r="BY797" s="55" t="str">
        <f aca="false">IF(BX797=1,"L1",IF(OR(BX797=2,BX797=3),"L23",IF(BX797="Aussen","Aussen","-")))</f>
        <v>L23</v>
      </c>
      <c r="BZ797" s="66" t="n">
        <f aca="false">IF(N(AB797)&gt;0,AB797,0)</f>
        <v>0</v>
      </c>
      <c r="CA797" s="60" t="n">
        <f aca="false">IF(ISNUMBER(AE797),1,0)</f>
        <v>0</v>
      </c>
      <c r="CB797" s="57" t="n">
        <f aca="false">N(AE797)</f>
        <v>0</v>
      </c>
      <c r="CC797" s="57" t="n">
        <f aca="false">N(M797)+N(N797)</f>
        <v>1</v>
      </c>
      <c r="CD797" s="57" t="n">
        <f aca="false">ROUNDUP(H797/BS797,0)</f>
        <v>1</v>
      </c>
      <c r="CE797" s="57" t="n">
        <f aca="false">ROUNDUP(CB797/BS797,0)</f>
        <v>0</v>
      </c>
      <c r="CF797" s="60" t="n">
        <f aca="false">IF(BT797=1,0,IFERROR(VLOOKUP(BR797,'Gebinde-Kategorie'!$A$5:$M$45,5,0)+0,0))</f>
        <v>8</v>
      </c>
      <c r="CG797" s="60" t="n">
        <f aca="false">IFERROR(IF(OR(BX797=1,BX797=2,BX797=3),N(INDEX(Parameter!$I$5:$I$7,BX797)),0),0)</f>
        <v>0</v>
      </c>
      <c r="CH797" s="59" t="n">
        <f aca="false">IF(AND(Parameter!$B$21="Ja",ISNUMBER(W797),N(X797)&gt;0),IFERROR(N(INDEX(Parameter!$L$5:$L$7,W797))*INDEX(Parameter!$E$5:$E$7,W797)*X797/SUMIFS($X$7:$X$1843,$W$7:$W$1843,W797),0),0)</f>
        <v>0</v>
      </c>
    </row>
    <row r="798" customFormat="false" ht="15" hidden="false" customHeight="false" outlineLevel="0" collapsed="false">
      <c r="A798" s="55" t="s">
        <v>1551</v>
      </c>
      <c r="B798" s="55" t="s">
        <v>1552</v>
      </c>
      <c r="C798" s="55" t="s">
        <v>164</v>
      </c>
      <c r="D798" s="55" t="s">
        <v>184</v>
      </c>
      <c r="E798" s="55" t="s">
        <v>185</v>
      </c>
      <c r="F798" s="55" t="s">
        <v>218</v>
      </c>
      <c r="G798" s="56" t="n">
        <v>0.05</v>
      </c>
      <c r="H798" s="57" t="n">
        <f aca="false">MAX(0,IF(AND(Parameter!$B$21="Ja",ISNUMBER(Y798)),Y798,IF(Parameter!$B$20="Jahresanfang 2025 + Export",BL798+BK798,BK798)))</f>
        <v>1588</v>
      </c>
      <c r="I798" s="57" t="n">
        <f aca="false">H798*G798</f>
        <v>79.4</v>
      </c>
      <c r="J798" s="57" t="n">
        <f aca="false">BN798*Parameter!$B$18</f>
        <v>0</v>
      </c>
      <c r="K798" s="58" t="n">
        <v>1665</v>
      </c>
      <c r="L798" s="59" t="n">
        <v>0</v>
      </c>
      <c r="M798" s="57" t="n">
        <v>0</v>
      </c>
      <c r="N798" s="57" t="n">
        <v>1</v>
      </c>
      <c r="O798" s="60" t="n">
        <v>28</v>
      </c>
      <c r="P798" s="55" t="s">
        <v>426</v>
      </c>
      <c r="Q798" s="57" t="n">
        <v>1786</v>
      </c>
      <c r="R798" s="60" t="n">
        <f aca="false">IF(BT798=1,0,IFERROR(VLOOKUP(BR798,'Gebinde-Kategorie'!$A$5:$M$45,13,0)+0,0))</f>
        <v>198</v>
      </c>
      <c r="S798" s="61"/>
      <c r="T798" s="62"/>
      <c r="U798" s="62"/>
      <c r="V798" s="62"/>
      <c r="W798" s="55"/>
      <c r="X798" s="57"/>
      <c r="Y798" s="57"/>
      <c r="Z798" s="55" t="n">
        <f aca="false">IF(A798="","",IF(AND(Parameter!$B$21="Ja",ISNUMBER(W798)),W798,IF(BV798="2+3",IF(ISNUMBER(SEARCH("grosser Artikel",BO798)),2,IFERROR(VLOOKUP(BR798,Parameter!$F$35:$G$64,2,0),2)),IF(OR(BV798="Nein",BV798=""),"-",BV798))))</f>
        <v>3</v>
      </c>
      <c r="AA798" s="62"/>
      <c r="AB798" s="63"/>
      <c r="AC798" s="57" t="n">
        <f aca="false">AR798</f>
        <v>1786</v>
      </c>
      <c r="AD798" s="57" t="n">
        <f aca="false">MAX(AR798,H798)</f>
        <v>1786</v>
      </c>
      <c r="AE798" s="64"/>
      <c r="AF798" s="57" t="n">
        <f aca="false">IF(LEFT(Cockpit!$C$5,1)="A",H798,IF(CA798=1,CB798,IF(LEFT(Cockpit!$C$5,1)="B",AJ798,MAX(AJ798,H798))))</f>
        <v>1588</v>
      </c>
      <c r="AG798" s="57" t="n">
        <f aca="false">IF(BT798=1,0,ROUNDUP(AF798/BS798,0))</f>
        <v>1</v>
      </c>
      <c r="AH798" s="59" t="n">
        <f aca="false">IF(CH798&gt;0,CH798*MAX(1,AF798/X798),IF(BT798=1,IF(AF798&lt;=0,0,BW798*MAX(1,IF(H798&gt;0,AF798/H798,1))),IF(R798&gt;0,AG798/R798,0))/MAX(0.1,N(Parameter!$M$21)))</f>
        <v>0.00505050505050505</v>
      </c>
      <c r="AI798" s="57" t="n">
        <f aca="false">AF798*G798</f>
        <v>79.4</v>
      </c>
      <c r="AJ798" s="57" t="n">
        <f aca="false">ROUNDUP(MAX(J798/IF(BZ798&gt;0,BZ798,MAX(0.1,N(Cockpit!$C$6))),CC798)/BS798,0)*BS798</f>
        <v>1786</v>
      </c>
      <c r="AK798" s="58" t="n">
        <f aca="false">IF(AH798&gt;0,J798/AH798,-1)</f>
        <v>0</v>
      </c>
      <c r="AL798" s="58" t="n">
        <f aca="false">IF(AND(OR(BY798="L1",BY798="L23"),AH798&gt;0),SUMIFS($AH$7:$AH$1843,$BY$7:$BY$1843,BY798,$AK$7:$AK$1843,"&gt;"&amp;AK798)+SUMIFS($AH$7:$AH$1843,$BY$7:$BY$1843,BY798,$AK$7:$AK$1843,AK798,$BQ$7:$BQ$1843,"&lt;="&amp;BQ798),"")</f>
        <v>77.5515523124219</v>
      </c>
      <c r="AM798" s="65" t="n">
        <f aca="false">IF(AL798="",0,MAX(0,MIN(1,(IF(BY798="L1",Parameter!$E$5,Parameter!$E$6+Parameter!$E$7)-(AL798-AH798))/AH798)))</f>
        <v>1</v>
      </c>
      <c r="AN798" s="57" t="n">
        <f aca="false">IF(LEFT(Cockpit!$I$5,1)="A",H798,IF(CA798=1,CB798,IF(LEFT(Cockpit!$I$5,1)="B",AR798,MAX(AR798,H798))))</f>
        <v>1786</v>
      </c>
      <c r="AO798" s="57" t="n">
        <f aca="false">IF(BT798=1,0,ROUNDUP(AN798/BS798,0))</f>
        <v>1</v>
      </c>
      <c r="AP798" s="59" t="n">
        <f aca="false">IF(CH798&gt;0,CH798*MAX(1,AN798/X798),IF(BT798=1,IF(AN798&lt;=0,0,BW798*MAX(1,IF(H798&gt;0,AN798/H798,1))),IF(R798&gt;0,AO798/R798,0))/MAX(0.1,N(Parameter!$M$21)))</f>
        <v>0.00505050505050505</v>
      </c>
      <c r="AQ798" s="57" t="n">
        <f aca="false">AN798*G798</f>
        <v>89.3</v>
      </c>
      <c r="AR798" s="57" t="n">
        <f aca="false">ROUNDUP(MAX(J798/IF(BZ798&gt;0,BZ798,MAX(0.1,N(Cockpit!$I$6))),CC798)/BS798,0)*BS798</f>
        <v>1786</v>
      </c>
      <c r="AS798" s="58" t="n">
        <f aca="false">IF(AP798&gt;0,J798/AP798,-1)</f>
        <v>0</v>
      </c>
      <c r="AT798" s="58" t="n">
        <f aca="false">IF(AND(OR(BY798="L1",BY798="L23"),AP798&gt;0),SUMIFS($AP$7:$AP$1843,$BY$7:$BY$1843,BY798,$AS$7:$AS$1843,"&gt;"&amp;AS798)+SUMIFS($AP$7:$AP$1843,$BY$7:$BY$1843,BY798,$AS$7:$AS$1843,AS798,$BQ$7:$BQ$1843,"&lt;="&amp;BQ798),"")</f>
        <v>118.381938110199</v>
      </c>
      <c r="AU798" s="65" t="n">
        <f aca="false">IF(AT798="",0,MAX(0,MIN(1,(IF(BY798="L1",Parameter!$E$5,Parameter!$E$6+Parameter!$E$7)-(AT798-AP798))/AP798)))</f>
        <v>0</v>
      </c>
      <c r="AV798" s="57" t="n">
        <f aca="false">IF(LEFT(Cockpit!$O$5,1)="A",H798,IF(CA798=1,CB798,IF(LEFT(Cockpit!$O$5,1)="B",AZ798,MAX(AZ798,H798))))</f>
        <v>1786</v>
      </c>
      <c r="AW798" s="57" t="n">
        <f aca="false">IF(BT798=1,0,ROUNDUP(AV798/BS798,0))</f>
        <v>1</v>
      </c>
      <c r="AX798" s="59" t="n">
        <f aca="false">IF(CH798&gt;0,CH798*MAX(1,AV798/X798),IF(BT798=1,IF(AV798&lt;=0,0,BW798*MAX(1,IF(H798&gt;0,AV798/H798,1))),IF(R798&gt;0,AW798/R798,0))/MAX(0.1,N(Parameter!$M$21)))</f>
        <v>0.00505050505050505</v>
      </c>
      <c r="AY798" s="57" t="n">
        <f aca="false">AV798*G798</f>
        <v>89.3</v>
      </c>
      <c r="AZ798" s="57" t="n">
        <f aca="false">ROUNDUP(MAX(J798/IF(BZ798&gt;0,BZ798,MAX(0.1,N(Cockpit!$O$6))),CC798)/BS798,0)*BS798</f>
        <v>1786</v>
      </c>
      <c r="BA798" s="58" t="n">
        <f aca="false">IF(AX798&gt;0,J798/AX798,-1)</f>
        <v>0</v>
      </c>
      <c r="BB798" s="58" t="n">
        <f aca="false">IF(AND(OR(BY798="L1",BY798="L23"),AX798&gt;0),SUMIFS($AX$7:$AX$1843,$BY$7:$BY$1843,BY798,$BA$7:$BA$1843,"&gt;"&amp;BA798)+SUMIFS($AX$7:$AX$1843,$BY$7:$BY$1843,BY798,$BA$7:$BA$1843,BA798,$BQ$7:$BQ$1843,"&lt;="&amp;BQ798),"")</f>
        <v>109.211774940036</v>
      </c>
      <c r="BC798" s="65" t="n">
        <f aca="false">IF(BB798="",0,MAX(0,MIN(1,(IF(BY798="L1",Parameter!$E$5,Parameter!$E$6+Parameter!$E$7)-(BB798-AX798))/AX798)))</f>
        <v>0</v>
      </c>
      <c r="BD798" s="55" t="str">
        <f aca="false">IF(AH798&lt;=0,"",IF(BY798="Aussen","Aussenlager",IF(BY798="-","Nicht im Lift",IF(AM798&gt;=1,"Lift",IF(AM798&lt;=0,"Aussenlager","teilweise")))))</f>
        <v>Lift</v>
      </c>
      <c r="BE798" s="55" t="str">
        <f aca="false">IF(AP798&lt;=0,"",IF(BY798="Aussen","Aussenlager",IF(BY798="-","Nicht im Lift",IF(AU798&gt;=1,"Lift",IF(AU798&lt;=0,"Aussenlager","teilweise")))))</f>
        <v>Aussenlager</v>
      </c>
      <c r="BF798" s="55" t="str">
        <f aca="false">IF(AX798&lt;=0,"",IF(BY798="Aussen","Aussenlager",IF(BY798="-","Nicht im Lift",IF(BC798&gt;=1,"Lift",IF(BC798&lt;=0,"Aussenlager","teilweise")))))</f>
        <v>Aussenlager</v>
      </c>
      <c r="BG798" s="55" t="str">
        <f aca="false">IF(A798="","",IF(BP798=1,"Neu; ","")&amp;IF(AND(BP798=0,BK798&lt;0),"negativer Bestand (Export "&amp;BK798&amp;"); ","")&amp;IF(J798&lt;=0,"Kein Verbrauch; ","")&amp;IF(CH798&gt;0,"Lift "&amp;W798&amp;" lt. Liftbericht (Fach "&amp;X798&amp;" Stk); ",IF(BU798=1,"Gebinde geschätzt ("&amp;T798&amp;"); ",IF(BT798=1,"Lose – Tablare geschätzt; ","")))&amp;IF(H798&gt;AR798,"Überbestand "&amp;ROUND(H798-AR798,0)&amp;" Stk / CHF "&amp;ROUND((H798-AR798)*G798,0)&amp;"; ","")&amp;IF(AND(CA798=1,CB798&lt;CC798),"MAX &lt; MB+LG; ","")&amp;IF(AND(CG798&gt;0,CF798*10&gt;CG798),"zu hoch für Tablar; ","")&amp;IF(AND(BP798=0,OR(CA798=1,AA798&lt;&gt;"",U798&lt;&gt;"",V798&lt;&gt;"",AB798&lt;&gt;"")),"manuell übersteuert; ","")&amp;IF(AND(BT798=0,R798=0),"Gebinde unbekannt / Stellmass fehlt; ","")&amp;IF(AND(BT798=0,N(V798)&lt;=0,N(Q798)&lt;=0),"Menge pro Gebinde fehlt (Ist = 1 Gebinde); ","")&amp;BO798)</f>
        <v>negativer Bestand (Export -83); Kein Verbrauch; Handlager</v>
      </c>
      <c r="BH798" s="55"/>
      <c r="BI798" s="55"/>
      <c r="BJ798" s="62"/>
      <c r="BK798" s="57" t="n">
        <v>-83</v>
      </c>
      <c r="BL798" s="57" t="n">
        <v>1671</v>
      </c>
      <c r="BM798" s="56" t="n">
        <v>-4.15</v>
      </c>
      <c r="BN798" s="57" t="n">
        <v>0</v>
      </c>
      <c r="BO798" s="55" t="s">
        <v>895</v>
      </c>
      <c r="BP798" s="60" t="n">
        <v>0</v>
      </c>
      <c r="BQ798" s="60" t="n">
        <v>798</v>
      </c>
      <c r="BR798" s="55" t="str">
        <f aca="false">IF(U798&lt;&gt;"",UPPER(TRIM(U798)),IF(BU798=1,UPPER(VLOOKUP(T798,Parameter!$I$27:$K$29,2,0)),IF(P798="","LOSE",P798)))</f>
        <v>S22</v>
      </c>
      <c r="BS798" s="57" t="n">
        <f aca="false">IF(BR798="LOSE",1,IF(N(V798)&gt;0,V798,IF(BU798=1,MAX(1,N(VLOOKUP(T798,Parameter!$I$27:$K$29,3,0)),H798,N(N798)),IF(N(Q798)&gt;0,Q798,MAX(1,H798)))))</f>
        <v>1786</v>
      </c>
      <c r="BT798" s="60" t="n">
        <f aca="false">IF(BR798="LOSE",1,0)</f>
        <v>0</v>
      </c>
      <c r="BU798" s="60" t="n">
        <f aca="false">IF(AND(U798="",OR(P798="",P798="LOSE"),T798&lt;&gt;"",N(S798)&lt;=0,ISNUMBER(MATCH(T798,Parameter!$I$27:$I$29,0))),1,0)</f>
        <v>0</v>
      </c>
      <c r="BV798" s="55" t="str">
        <f aca="false">IF(AND(Parameter!$B$19="Ja",E798&lt;&gt;"",ISNUMBER(MATCH(E798,Parameter!$I$35:$I$52,0))),VLOOKUP(E798,Parameter!$I$35:$J$52,2,0),IFERROR(VLOOKUP(D798,Parameter!$A$35:$C$64,2,0),"Nein"))</f>
        <v>2+3</v>
      </c>
      <c r="BW798" s="59" t="n">
        <f aca="false">IF(BT798=0,0,IF(N(S798)&gt;0,S798,IFERROR(VLOOKUP(D798,Parameter!$A$35:$C$64,3,0)+0,0)))</f>
        <v>0</v>
      </c>
      <c r="BX798" s="55" t="n">
        <f aca="false">IF(AA798&lt;&gt;"",AA798,Z798)</f>
        <v>3</v>
      </c>
      <c r="BY798" s="55" t="str">
        <f aca="false">IF(BX798=1,"L1",IF(OR(BX798=2,BX798=3),"L23",IF(BX798="Aussen","Aussen","-")))</f>
        <v>L23</v>
      </c>
      <c r="BZ798" s="66" t="n">
        <f aca="false">IF(N(AB798)&gt;0,AB798,0)</f>
        <v>0</v>
      </c>
      <c r="CA798" s="60" t="n">
        <f aca="false">IF(ISNUMBER(AE798),1,0)</f>
        <v>0</v>
      </c>
      <c r="CB798" s="57" t="n">
        <f aca="false">N(AE798)</f>
        <v>0</v>
      </c>
      <c r="CC798" s="57" t="n">
        <f aca="false">N(M798)+N(N798)</f>
        <v>1</v>
      </c>
      <c r="CD798" s="57" t="n">
        <f aca="false">ROUNDUP(H798/BS798,0)</f>
        <v>1</v>
      </c>
      <c r="CE798" s="57" t="n">
        <f aca="false">ROUNDUP(CB798/BS798,0)</f>
        <v>0</v>
      </c>
      <c r="CF798" s="60" t="n">
        <f aca="false">IF(BT798=1,0,IFERROR(VLOOKUP(BR798,'Gebinde-Kategorie'!$A$5:$M$45,5,0)+0,0))</f>
        <v>8</v>
      </c>
      <c r="CG798" s="60" t="n">
        <f aca="false">IFERROR(IF(OR(BX798=1,BX798=2,BX798=3),N(INDEX(Parameter!$I$5:$I$7,BX798)),0),0)</f>
        <v>0</v>
      </c>
      <c r="CH798" s="59" t="n">
        <f aca="false">IF(AND(Parameter!$B$21="Ja",ISNUMBER(W798),N(X798)&gt;0),IFERROR(N(INDEX(Parameter!$L$5:$L$7,W798))*INDEX(Parameter!$E$5:$E$7,W798)*X798/SUMIFS($X$7:$X$1843,$W$7:$W$1843,W798),0),0)</f>
        <v>0</v>
      </c>
    </row>
    <row r="799" customFormat="false" ht="15" hidden="false" customHeight="false" outlineLevel="0" collapsed="false">
      <c r="A799" s="55" t="s">
        <v>1553</v>
      </c>
      <c r="B799" s="55" t="s">
        <v>1554</v>
      </c>
      <c r="C799" s="55" t="s">
        <v>164</v>
      </c>
      <c r="D799" s="55" t="s">
        <v>173</v>
      </c>
      <c r="E799" s="55" t="s">
        <v>465</v>
      </c>
      <c r="F799" s="55" t="s">
        <v>218</v>
      </c>
      <c r="G799" s="56" t="n">
        <v>5.23</v>
      </c>
      <c r="H799" s="57" t="n">
        <f aca="false">MAX(0,IF(AND(Parameter!$B$21="Ja",ISNUMBER(Y799)),Y799,IF(Parameter!$B$20="Jahresanfang 2025 + Export",BL799+BK799,BK799)))</f>
        <v>48</v>
      </c>
      <c r="I799" s="57" t="n">
        <f aca="false">H799*G799</f>
        <v>251.04</v>
      </c>
      <c r="J799" s="57" t="n">
        <f aca="false">BN799*Parameter!$B$18</f>
        <v>384</v>
      </c>
      <c r="K799" s="58" t="n">
        <v>44</v>
      </c>
      <c r="L799" s="59" t="n">
        <v>8.72727272727273</v>
      </c>
      <c r="M799" s="57" t="n">
        <v>22</v>
      </c>
      <c r="N799" s="57" t="n">
        <v>60</v>
      </c>
      <c r="O799" s="60" t="n">
        <v>21</v>
      </c>
      <c r="P799" s="55" t="s">
        <v>168</v>
      </c>
      <c r="Q799" s="57"/>
      <c r="R799" s="60" t="n">
        <f aca="false">IF(BT799=1,0,IFERROR(VLOOKUP(BR799,'Gebinde-Kategorie'!$A$5:$M$45,13,0)+0,0))</f>
        <v>3</v>
      </c>
      <c r="S799" s="61"/>
      <c r="T799" s="62" t="s">
        <v>189</v>
      </c>
      <c r="U799" s="62"/>
      <c r="V799" s="62"/>
      <c r="W799" s="55"/>
      <c r="X799" s="57"/>
      <c r="Y799" s="57"/>
      <c r="Z799" s="55" t="str">
        <f aca="false">IF(A799="","",IF(AND(Parameter!$B$21="Ja",ISNUMBER(W799)),W799,IF(BV799="2+3",IF(ISNUMBER(SEARCH("grosser Artikel",BO799)),2,IFERROR(VLOOKUP(BR799,Parameter!$F$35:$G$64,2,0),2)),IF(OR(BV799="Nein",BV799=""),"-",BV799))))</f>
        <v>-</v>
      </c>
      <c r="AA799" s="62"/>
      <c r="AB799" s="63"/>
      <c r="AC799" s="57" t="n">
        <f aca="false">AR799</f>
        <v>240</v>
      </c>
      <c r="AD799" s="57" t="n">
        <f aca="false">MAX(AR799,H799)</f>
        <v>240</v>
      </c>
      <c r="AE799" s="64"/>
      <c r="AF799" s="57" t="n">
        <f aca="false">IF(LEFT(Cockpit!$C$5,1)="A",H799,IF(CA799=1,CB799,IF(LEFT(Cockpit!$C$5,1)="B",AJ799,MAX(AJ799,H799))))</f>
        <v>48</v>
      </c>
      <c r="AG799" s="57" t="n">
        <f aca="false">IF(BT799=1,0,ROUNDUP(AF799/BS799,0))</f>
        <v>1</v>
      </c>
      <c r="AH799" s="59" t="n">
        <f aca="false">IF(CH799&gt;0,CH799*MAX(1,AF799/X799),IF(BT799=1,IF(AF799&lt;=0,0,BW799*MAX(1,IF(H799&gt;0,AF799/H799,1))),IF(R799&gt;0,AG799/R799,0))/MAX(0.1,N(Parameter!$M$21)))</f>
        <v>0.333333333333333</v>
      </c>
      <c r="AI799" s="57" t="n">
        <f aca="false">AF799*G799</f>
        <v>251.04</v>
      </c>
      <c r="AJ799" s="57" t="n">
        <f aca="false">ROUNDUP(MAX(J799/IF(BZ799&gt;0,BZ799,MAX(0.1,N(Cockpit!$C$6))),CC799)/BS799,0)*BS799</f>
        <v>240</v>
      </c>
      <c r="AK799" s="58" t="n">
        <f aca="false">IF(AH799&gt;0,J799/AH799,-1)</f>
        <v>1152</v>
      </c>
      <c r="AL799" s="58" t="str">
        <f aca="false">IF(AND(OR(BY799="L1",BY799="L23"),AH799&gt;0),SUMIFS($AH$7:$AH$1843,$BY$7:$BY$1843,BY799,$AK$7:$AK$1843,"&gt;"&amp;AK799)+SUMIFS($AH$7:$AH$1843,$BY$7:$BY$1843,BY799,$AK$7:$AK$1843,AK799,$BQ$7:$BQ$1843,"&lt;="&amp;BQ799),"")</f>
        <v/>
      </c>
      <c r="AM799" s="65" t="n">
        <f aca="false">IF(AL799="",0,MAX(0,MIN(1,(IF(BY799="L1",Parameter!$E$5,Parameter!$E$6+Parameter!$E$7)-(AL799-AH799))/AH799)))</f>
        <v>0</v>
      </c>
      <c r="AN799" s="57" t="n">
        <f aca="false">IF(LEFT(Cockpit!$I$5,1)="A",H799,IF(CA799=1,CB799,IF(LEFT(Cockpit!$I$5,1)="B",AR799,MAX(AR799,H799))))</f>
        <v>240</v>
      </c>
      <c r="AO799" s="57" t="n">
        <f aca="false">IF(BT799=1,0,ROUNDUP(AN799/BS799,0))</f>
        <v>4</v>
      </c>
      <c r="AP799" s="59" t="n">
        <f aca="false">IF(CH799&gt;0,CH799*MAX(1,AN799/X799),IF(BT799=1,IF(AN799&lt;=0,0,BW799*MAX(1,IF(H799&gt;0,AN799/H799,1))),IF(R799&gt;0,AO799/R799,0))/MAX(0.1,N(Parameter!$M$21)))</f>
        <v>1.33333333333333</v>
      </c>
      <c r="AQ799" s="57" t="n">
        <f aca="false">AN799*G799</f>
        <v>1255.2</v>
      </c>
      <c r="AR799" s="57" t="n">
        <f aca="false">ROUNDUP(MAX(J799/IF(BZ799&gt;0,BZ799,MAX(0.1,N(Cockpit!$I$6))),CC799)/BS799,0)*BS799</f>
        <v>240</v>
      </c>
      <c r="AS799" s="58" t="n">
        <f aca="false">IF(AP799&gt;0,J799/AP799,-1)</f>
        <v>288</v>
      </c>
      <c r="AT799" s="58" t="str">
        <f aca="false">IF(AND(OR(BY799="L1",BY799="L23"),AP799&gt;0),SUMIFS($AP$7:$AP$1843,$BY$7:$BY$1843,BY799,$AS$7:$AS$1843,"&gt;"&amp;AS799)+SUMIFS($AP$7:$AP$1843,$BY$7:$BY$1843,BY799,$AS$7:$AS$1843,AS799,$BQ$7:$BQ$1843,"&lt;="&amp;BQ799),"")</f>
        <v/>
      </c>
      <c r="AU799" s="65" t="n">
        <f aca="false">IF(AT799="",0,MAX(0,MIN(1,(IF(BY799="L1",Parameter!$E$5,Parameter!$E$6+Parameter!$E$7)-(AT799-AP799))/AP799)))</f>
        <v>0</v>
      </c>
      <c r="AV799" s="57" t="n">
        <f aca="false">IF(LEFT(Cockpit!$O$5,1)="A",H799,IF(CA799=1,CB799,IF(LEFT(Cockpit!$O$5,1)="B",AZ799,MAX(AZ799,H799))))</f>
        <v>180</v>
      </c>
      <c r="AW799" s="57" t="n">
        <f aca="false">IF(BT799=1,0,ROUNDUP(AV799/BS799,0))</f>
        <v>3</v>
      </c>
      <c r="AX799" s="59" t="n">
        <f aca="false">IF(CH799&gt;0,CH799*MAX(1,AV799/X799),IF(BT799=1,IF(AV799&lt;=0,0,BW799*MAX(1,IF(H799&gt;0,AV799/H799,1))),IF(R799&gt;0,AW799/R799,0))/MAX(0.1,N(Parameter!$M$21)))</f>
        <v>1</v>
      </c>
      <c r="AY799" s="57" t="n">
        <f aca="false">AV799*G799</f>
        <v>941.4</v>
      </c>
      <c r="AZ799" s="57" t="n">
        <f aca="false">ROUNDUP(MAX(J799/IF(BZ799&gt;0,BZ799,MAX(0.1,N(Cockpit!$O$6))),CC799)/BS799,0)*BS799</f>
        <v>180</v>
      </c>
      <c r="BA799" s="58" t="n">
        <f aca="false">IF(AX799&gt;0,J799/AX799,-1)</f>
        <v>384</v>
      </c>
      <c r="BB799" s="58" t="str">
        <f aca="false">IF(AND(OR(BY799="L1",BY799="L23"),AX799&gt;0),SUMIFS($AX$7:$AX$1843,$BY$7:$BY$1843,BY799,$BA$7:$BA$1843,"&gt;"&amp;BA799)+SUMIFS($AX$7:$AX$1843,$BY$7:$BY$1843,BY799,$BA$7:$BA$1843,BA799,$BQ$7:$BQ$1843,"&lt;="&amp;BQ799),"")</f>
        <v/>
      </c>
      <c r="BC799" s="65" t="n">
        <f aca="false">IF(BB799="",0,MAX(0,MIN(1,(IF(BY799="L1",Parameter!$E$5,Parameter!$E$6+Parameter!$E$7)-(BB799-AX799))/AX799)))</f>
        <v>0</v>
      </c>
      <c r="BD799" s="55" t="str">
        <f aca="false">IF(AH799&lt;=0,"",IF(BY799="Aussen","Aussenlager",IF(BY799="-","Nicht im Lift",IF(AM799&gt;=1,"Lift",IF(AM799&lt;=0,"Aussenlager","teilweise")))))</f>
        <v>Nicht im Lift</v>
      </c>
      <c r="BE799" s="55" t="str">
        <f aca="false">IF(AP799&lt;=0,"",IF(BY799="Aussen","Aussenlager",IF(BY799="-","Nicht im Lift",IF(AU799&gt;=1,"Lift",IF(AU799&lt;=0,"Aussenlager","teilweise")))))</f>
        <v>Nicht im Lift</v>
      </c>
      <c r="BF799" s="55" t="str">
        <f aca="false">IF(AX799&lt;=0,"",IF(BY799="Aussen","Aussenlager",IF(BY799="-","Nicht im Lift",IF(BC799&gt;=1,"Lift",IF(BC799&lt;=0,"Aussenlager","teilweise")))))</f>
        <v>Nicht im Lift</v>
      </c>
      <c r="BG799" s="55" t="str">
        <f aca="false">IF(A799="","",IF(BP799=1,"Neu; ","")&amp;IF(AND(BP799=0,BK799&lt;0),"negativer Bestand (Export "&amp;BK799&amp;"); ","")&amp;IF(J799&lt;=0,"Kein Verbrauch; ","")&amp;IF(CH799&gt;0,"Lift "&amp;W799&amp;" lt. Liftbericht (Fach "&amp;X799&amp;" Stk); ",IF(BU799=1,"Gebinde geschätzt ("&amp;T799&amp;"); ",IF(BT799=1,"Lose – Tablare geschätzt; ","")))&amp;IF(H799&gt;AR799,"Überbestand "&amp;ROUND(H799-AR799,0)&amp;" Stk / CHF "&amp;ROUND((H799-AR799)*G799,0)&amp;"; ","")&amp;IF(AND(CA799=1,CB799&lt;CC799),"MAX &lt; MB+LG; ","")&amp;IF(AND(CG799&gt;0,CF799*10&gt;CG799),"zu hoch für Tablar; ","")&amp;IF(AND(BP799=0,OR(CA799=1,AA799&lt;&gt;"",U799&lt;&gt;"",V799&lt;&gt;"",AB799&lt;&gt;"")),"manuell übersteuert; ","")&amp;IF(AND(BT799=0,R799=0),"Gebinde unbekannt / Stellmass fehlt; ","")&amp;IF(AND(BT799=0,N(V799)&lt;=0,N(Q799)&lt;=0),"Menge pro Gebinde fehlt (Ist = 1 Gebinde); ","")&amp;BO799)</f>
        <v>negativer Bestand (Export -3); Gebinde geschätzt (Gross); Menge pro Gebinde fehlt (Ist = 1 Gebinde); </v>
      </c>
      <c r="BH799" s="55"/>
      <c r="BI799" s="55"/>
      <c r="BJ799" s="62"/>
      <c r="BK799" s="57" t="n">
        <v>-3</v>
      </c>
      <c r="BL799" s="57" t="n">
        <v>51</v>
      </c>
      <c r="BM799" s="56" t="n">
        <v>-4.47000000000013</v>
      </c>
      <c r="BN799" s="57" t="n">
        <v>384</v>
      </c>
      <c r="BO799" s="55"/>
      <c r="BP799" s="60" t="n">
        <v>0</v>
      </c>
      <c r="BQ799" s="60" t="n">
        <v>799</v>
      </c>
      <c r="BR799" s="55" t="str">
        <f aca="false">IF(U799&lt;&gt;"",UPPER(TRIM(U799)),IF(BU799=1,UPPER(VLOOKUP(T799,Parameter!$I$27:$K$29,2,0)),IF(P799="","LOSE",P799)))</f>
        <v>S81</v>
      </c>
      <c r="BS799" s="57" t="n">
        <f aca="false">IF(BR799="LOSE",1,IF(N(V799)&gt;0,V799,IF(BU799=1,MAX(1,N(VLOOKUP(T799,Parameter!$I$27:$K$29,3,0)),H799,N(N799)),IF(N(Q799)&gt;0,Q799,MAX(1,H799)))))</f>
        <v>60</v>
      </c>
      <c r="BT799" s="60" t="n">
        <f aca="false">IF(BR799="LOSE",1,0)</f>
        <v>0</v>
      </c>
      <c r="BU799" s="60" t="n">
        <f aca="false">IF(AND(U799="",OR(P799="",P799="LOSE"),T799&lt;&gt;"",N(S799)&lt;=0,ISNUMBER(MATCH(T799,Parameter!$I$27:$I$29,0))),1,0)</f>
        <v>1</v>
      </c>
      <c r="BV799" s="55" t="str">
        <f aca="false">IF(AND(Parameter!$B$19="Ja",E799&lt;&gt;"",ISNUMBER(MATCH(E799,Parameter!$I$35:$I$52,0))),VLOOKUP(E799,Parameter!$I$35:$J$52,2,0),IFERROR(VLOOKUP(D799,Parameter!$A$35:$C$64,2,0),"Nein"))</f>
        <v>Nein</v>
      </c>
      <c r="BW799" s="59" t="n">
        <f aca="false">IF(BT799=0,0,IF(N(S799)&gt;0,S799,IFERROR(VLOOKUP(D799,Parameter!$A$35:$C$64,3,0)+0,0)))</f>
        <v>0</v>
      </c>
      <c r="BX799" s="55" t="str">
        <f aca="false">IF(AA799&lt;&gt;"",AA799,Z799)</f>
        <v>-</v>
      </c>
      <c r="BY799" s="55" t="str">
        <f aca="false">IF(BX799=1,"L1",IF(OR(BX799=2,BX799=3),"L23",IF(BX799="Aussen","Aussen","-")))</f>
        <v>-</v>
      </c>
      <c r="BZ799" s="66" t="n">
        <f aca="false">IF(N(AB799)&gt;0,AB799,0)</f>
        <v>0</v>
      </c>
      <c r="CA799" s="60" t="n">
        <f aca="false">IF(ISNUMBER(AE799),1,0)</f>
        <v>0</v>
      </c>
      <c r="CB799" s="57" t="n">
        <f aca="false">N(AE799)</f>
        <v>0</v>
      </c>
      <c r="CC799" s="57" t="n">
        <f aca="false">N(M799)+N(N799)</f>
        <v>82</v>
      </c>
      <c r="CD799" s="57" t="n">
        <f aca="false">ROUNDUP(H799/BS799,0)</f>
        <v>1</v>
      </c>
      <c r="CE799" s="57" t="n">
        <f aca="false">ROUNDUP(CB799/BS799,0)</f>
        <v>0</v>
      </c>
      <c r="CF799" s="60" t="n">
        <f aca="false">IF(BT799=1,0,IFERROR(VLOOKUP(BR799,'Gebinde-Kategorie'!$A$5:$M$45,5,0)+0,0))</f>
        <v>20</v>
      </c>
      <c r="CG799" s="60" t="n">
        <f aca="false">IFERROR(IF(OR(BX799=1,BX799=2,BX799=3),N(INDEX(Parameter!$I$5:$I$7,BX799)),0),0)</f>
        <v>0</v>
      </c>
      <c r="CH799" s="59" t="n">
        <f aca="false">IF(AND(Parameter!$B$21="Ja",ISNUMBER(W799),N(X799)&gt;0),IFERROR(N(INDEX(Parameter!$L$5:$L$7,W799))*INDEX(Parameter!$E$5:$E$7,W799)*X799/SUMIFS($X$7:$X$1843,$W$7:$W$1843,W799),0),0)</f>
        <v>0</v>
      </c>
    </row>
    <row r="800" customFormat="false" ht="15" hidden="false" customHeight="false" outlineLevel="0" collapsed="false">
      <c r="A800" s="55" t="s">
        <v>1555</v>
      </c>
      <c r="B800" s="55" t="s">
        <v>949</v>
      </c>
      <c r="C800" s="55" t="s">
        <v>164</v>
      </c>
      <c r="D800" s="55" t="s">
        <v>184</v>
      </c>
      <c r="E800" s="55" t="s">
        <v>185</v>
      </c>
      <c r="F800" s="55" t="s">
        <v>218</v>
      </c>
      <c r="G800" s="56" t="n">
        <v>0.01</v>
      </c>
      <c r="H800" s="57" t="n">
        <f aca="false">MAX(0,IF(AND(Parameter!$B$21="Ja",ISNUMBER(Y800)),Y800,IF(Parameter!$B$20="Jahresanfang 2025 + Export",BL800+BK800,BK800)))</f>
        <v>719</v>
      </c>
      <c r="I800" s="57" t="n">
        <f aca="false">H800*G800</f>
        <v>7.19</v>
      </c>
      <c r="J800" s="57" t="n">
        <f aca="false">BN800*Parameter!$B$18</f>
        <v>1123</v>
      </c>
      <c r="K800" s="58" t="n">
        <v>583</v>
      </c>
      <c r="L800" s="59" t="n">
        <v>1.926243567753</v>
      </c>
      <c r="M800" s="57" t="n">
        <v>65</v>
      </c>
      <c r="N800" s="57" t="n">
        <v>1125</v>
      </c>
      <c r="O800" s="60" t="n">
        <v>21</v>
      </c>
      <c r="P800" s="55" t="s">
        <v>421</v>
      </c>
      <c r="Q800" s="57" t="n">
        <v>381</v>
      </c>
      <c r="R800" s="60" t="n">
        <f aca="false">IF(BT800=1,0,IFERROR(VLOOKUP(BR800,'Gebinde-Kategorie'!$A$5:$M$45,13,0)+0,0))</f>
        <v>132</v>
      </c>
      <c r="S800" s="61"/>
      <c r="T800" s="62"/>
      <c r="U800" s="62"/>
      <c r="V800" s="62"/>
      <c r="W800" s="55"/>
      <c r="X800" s="57"/>
      <c r="Y800" s="57"/>
      <c r="Z800" s="55" t="n">
        <f aca="false">IF(A800="","",IF(AND(Parameter!$B$21="Ja",ISNUMBER(W800)),W800,IF(BV800="2+3",IF(ISNUMBER(SEARCH("grosser Artikel",BO800)),2,IFERROR(VLOOKUP(BR800,Parameter!$F$35:$G$64,2,0),2)),IF(OR(BV800="Nein",BV800=""),"-",BV800))))</f>
        <v>3</v>
      </c>
      <c r="AA800" s="62"/>
      <c r="AB800" s="63"/>
      <c r="AC800" s="57" t="n">
        <f aca="false">AR800</f>
        <v>1524</v>
      </c>
      <c r="AD800" s="57" t="n">
        <f aca="false">MAX(AR800,H800)</f>
        <v>1524</v>
      </c>
      <c r="AE800" s="64"/>
      <c r="AF800" s="57" t="n">
        <f aca="false">IF(LEFT(Cockpit!$C$5,1)="A",H800,IF(CA800=1,CB800,IF(LEFT(Cockpit!$C$5,1)="B",AJ800,MAX(AJ800,H800))))</f>
        <v>719</v>
      </c>
      <c r="AG800" s="57" t="n">
        <f aca="false">IF(BT800=1,0,ROUNDUP(AF800/BS800,0))</f>
        <v>2</v>
      </c>
      <c r="AH800" s="59" t="n">
        <f aca="false">IF(CH800&gt;0,CH800*MAX(1,AF800/X800),IF(BT800=1,IF(AF800&lt;=0,0,BW800*MAX(1,IF(H800&gt;0,AF800/H800,1))),IF(R800&gt;0,AG800/R800,0))/MAX(0.1,N(Parameter!$M$21)))</f>
        <v>0.0151515151515152</v>
      </c>
      <c r="AI800" s="57" t="n">
        <f aca="false">AF800*G800</f>
        <v>7.19</v>
      </c>
      <c r="AJ800" s="57" t="n">
        <f aca="false">ROUNDUP(MAX(J800/IF(BZ800&gt;0,BZ800,MAX(0.1,N(Cockpit!$C$6))),CC800)/BS800,0)*BS800</f>
        <v>1524</v>
      </c>
      <c r="AK800" s="58" t="n">
        <f aca="false">IF(AH800&gt;0,J800/AH800,-1)</f>
        <v>74118</v>
      </c>
      <c r="AL800" s="58" t="n">
        <f aca="false">IF(AND(OR(BY800="L1",BY800="L23"),AH800&gt;0),SUMIFS($AH$7:$AH$1843,$BY$7:$BY$1843,BY800,$AK$7:$AK$1843,"&gt;"&amp;AK800)+SUMIFS($AH$7:$AH$1843,$BY$7:$BY$1843,BY800,$AK$7:$AK$1843,AK800,$BQ$7:$BQ$1843,"&lt;="&amp;BQ800),"")</f>
        <v>0.876135941353333</v>
      </c>
      <c r="AM800" s="65" t="n">
        <f aca="false">IF(AL800="",0,MAX(0,MIN(1,(IF(BY800="L1",Parameter!$E$5,Parameter!$E$6+Parameter!$E$7)-(AL800-AH800))/AH800)))</f>
        <v>1</v>
      </c>
      <c r="AN800" s="57" t="n">
        <f aca="false">IF(LEFT(Cockpit!$I$5,1)="A",H800,IF(CA800=1,CB800,IF(LEFT(Cockpit!$I$5,1)="B",AR800,MAX(AR800,H800))))</f>
        <v>1524</v>
      </c>
      <c r="AO800" s="57" t="n">
        <f aca="false">IF(BT800=1,0,ROUNDUP(AN800/BS800,0))</f>
        <v>4</v>
      </c>
      <c r="AP800" s="59" t="n">
        <f aca="false">IF(CH800&gt;0,CH800*MAX(1,AN800/X800),IF(BT800=1,IF(AN800&lt;=0,0,BW800*MAX(1,IF(H800&gt;0,AN800/H800,1))),IF(R800&gt;0,AO800/R800,0))/MAX(0.1,N(Parameter!$M$21)))</f>
        <v>0.0303030303030303</v>
      </c>
      <c r="AQ800" s="57" t="n">
        <f aca="false">AN800*G800</f>
        <v>15.24</v>
      </c>
      <c r="AR800" s="57" t="n">
        <f aca="false">ROUNDUP(MAX(J800/IF(BZ800&gt;0,BZ800,MAX(0.1,N(Cockpit!$I$6))),CC800)/BS800,0)*BS800</f>
        <v>1524</v>
      </c>
      <c r="AS800" s="58" t="n">
        <f aca="false">IF(AP800&gt;0,J800/AP800,-1)</f>
        <v>37059</v>
      </c>
      <c r="AT800" s="58" t="n">
        <f aca="false">IF(AND(OR(BY800="L1",BY800="L23"),AP800&gt;0),SUMIFS($AP$7:$AP$1843,$BY$7:$BY$1843,BY800,$AS$7:$AS$1843,"&gt;"&amp;AS800)+SUMIFS($AP$7:$AP$1843,$BY$7:$BY$1843,BY800,$AS$7:$AS$1843,AS800,$BQ$7:$BQ$1843,"&lt;="&amp;BQ800),"")</f>
        <v>2.05483767440289</v>
      </c>
      <c r="AU800" s="65" t="n">
        <f aca="false">IF(AT800="",0,MAX(0,MIN(1,(IF(BY800="L1",Parameter!$E$5,Parameter!$E$6+Parameter!$E$7)-(AT800-AP800))/AP800)))</f>
        <v>1</v>
      </c>
      <c r="AV800" s="57" t="n">
        <f aca="false">IF(LEFT(Cockpit!$O$5,1)="A",H800,IF(CA800=1,CB800,IF(LEFT(Cockpit!$O$5,1)="B",AZ800,MAX(AZ800,H800))))</f>
        <v>1524</v>
      </c>
      <c r="AW800" s="57" t="n">
        <f aca="false">IF(BT800=1,0,ROUNDUP(AV800/BS800,0))</f>
        <v>4</v>
      </c>
      <c r="AX800" s="59" t="n">
        <f aca="false">IF(CH800&gt;0,CH800*MAX(1,AV800/X800),IF(BT800=1,IF(AV800&lt;=0,0,BW800*MAX(1,IF(H800&gt;0,AV800/H800,1))),IF(R800&gt;0,AW800/R800,0))/MAX(0.1,N(Parameter!$M$21)))</f>
        <v>0.0303030303030303</v>
      </c>
      <c r="AY800" s="57" t="n">
        <f aca="false">AV800*G800</f>
        <v>15.24</v>
      </c>
      <c r="AZ800" s="57" t="n">
        <f aca="false">ROUNDUP(MAX(J800/IF(BZ800&gt;0,BZ800,MAX(0.1,N(Cockpit!$O$6))),CC800)/BS800,0)*BS800</f>
        <v>1524</v>
      </c>
      <c r="BA800" s="58" t="n">
        <f aca="false">IF(AX800&gt;0,J800/AX800,-1)</f>
        <v>37059</v>
      </c>
      <c r="BB800" s="58" t="n">
        <f aca="false">IF(AND(OR(BY800="L1",BY800="L23"),AX800&gt;0),SUMIFS($AX$7:$AX$1843,$BY$7:$BY$1843,BY800,$BA$7:$BA$1843,"&gt;"&amp;BA800)+SUMIFS($AX$7:$AX$1843,$BY$7:$BY$1843,BY800,$BA$7:$BA$1843,BA800,$BQ$7:$BQ$1843,"&lt;="&amp;BQ800),"")</f>
        <v>2.32290294246816</v>
      </c>
      <c r="BC800" s="65" t="n">
        <f aca="false">IF(BB800="",0,MAX(0,MIN(1,(IF(BY800="L1",Parameter!$E$5,Parameter!$E$6+Parameter!$E$7)-(BB800-AX800))/AX800)))</f>
        <v>1</v>
      </c>
      <c r="BD800" s="55" t="str">
        <f aca="false">IF(AH800&lt;=0,"",IF(BY800="Aussen","Aussenlager",IF(BY800="-","Nicht im Lift",IF(AM800&gt;=1,"Lift",IF(AM800&lt;=0,"Aussenlager","teilweise")))))</f>
        <v>Lift</v>
      </c>
      <c r="BE800" s="55" t="str">
        <f aca="false">IF(AP800&lt;=0,"",IF(BY800="Aussen","Aussenlager",IF(BY800="-","Nicht im Lift",IF(AU800&gt;=1,"Lift",IF(AU800&lt;=0,"Aussenlager","teilweise")))))</f>
        <v>Lift</v>
      </c>
      <c r="BF800" s="55" t="str">
        <f aca="false">IF(AX800&lt;=0,"",IF(BY800="Aussen","Aussenlager",IF(BY800="-","Nicht im Lift",IF(BC800&gt;=1,"Lift",IF(BC800&lt;=0,"Aussenlager","teilweise")))))</f>
        <v>Lift</v>
      </c>
      <c r="BG800" s="55" t="str">
        <f aca="false">IF(A800="","",IF(BP800=1,"Neu; ","")&amp;IF(AND(BP800=0,BK800&lt;0),"negativer Bestand (Export "&amp;BK800&amp;"); ","")&amp;IF(J800&lt;=0,"Kein Verbrauch; ","")&amp;IF(CH800&gt;0,"Lift "&amp;W800&amp;" lt. Liftbericht (Fach "&amp;X800&amp;" Stk); ",IF(BU800=1,"Gebinde geschätzt ("&amp;T800&amp;"); ",IF(BT800=1,"Lose – Tablare geschätzt; ","")))&amp;IF(H800&gt;AR800,"Überbestand "&amp;ROUND(H800-AR800,0)&amp;" Stk / CHF "&amp;ROUND((H800-AR800)*G800,0)&amp;"; ","")&amp;IF(AND(CA800=1,CB800&lt;CC800),"MAX &lt; MB+LG; ","")&amp;IF(AND(CG800&gt;0,CF800*10&gt;CG800),"zu hoch für Tablar; ","")&amp;IF(AND(BP800=0,OR(CA800=1,AA800&lt;&gt;"",U800&lt;&gt;"",V800&lt;&gt;"",AB800&lt;&gt;"")),"manuell übersteuert; ","")&amp;IF(AND(BT800=0,R800=0),"Gebinde unbekannt / Stellmass fehlt; ","")&amp;IF(AND(BT800=0,N(V800)&lt;=0,N(Q800)&lt;=0),"Menge pro Gebinde fehlt (Ist = 1 Gebinde); ","")&amp;BO800)</f>
        <v/>
      </c>
      <c r="BH800" s="55"/>
      <c r="BI800" s="55"/>
      <c r="BJ800" s="62"/>
      <c r="BK800" s="57" t="n">
        <v>126</v>
      </c>
      <c r="BL800" s="57" t="n">
        <v>593</v>
      </c>
      <c r="BM800" s="56" t="n">
        <v>-4.66999999999998</v>
      </c>
      <c r="BN800" s="57" t="n">
        <v>1123</v>
      </c>
      <c r="BO800" s="55"/>
      <c r="BP800" s="60" t="n">
        <v>0</v>
      </c>
      <c r="BQ800" s="60" t="n">
        <v>800</v>
      </c>
      <c r="BR800" s="55" t="str">
        <f aca="false">IF(U800&lt;&gt;"",UPPER(TRIM(U800)),IF(BU800=1,UPPER(VLOOKUP(T800,Parameter!$I$27:$K$29,2,0)),IF(P800="","LOSE",P800)))</f>
        <v>S32</v>
      </c>
      <c r="BS800" s="57" t="n">
        <f aca="false">IF(BR800="LOSE",1,IF(N(V800)&gt;0,V800,IF(BU800=1,MAX(1,N(VLOOKUP(T800,Parameter!$I$27:$K$29,3,0)),H800,N(N800)),IF(N(Q800)&gt;0,Q800,MAX(1,H800)))))</f>
        <v>381</v>
      </c>
      <c r="BT800" s="60" t="n">
        <f aca="false">IF(BR800="LOSE",1,0)</f>
        <v>0</v>
      </c>
      <c r="BU800" s="60" t="n">
        <f aca="false">IF(AND(U800="",OR(P800="",P800="LOSE"),T800&lt;&gt;"",N(S800)&lt;=0,ISNUMBER(MATCH(T800,Parameter!$I$27:$I$29,0))),1,0)</f>
        <v>0</v>
      </c>
      <c r="BV800" s="55" t="str">
        <f aca="false">IF(AND(Parameter!$B$19="Ja",E800&lt;&gt;"",ISNUMBER(MATCH(E800,Parameter!$I$35:$I$52,0))),VLOOKUP(E800,Parameter!$I$35:$J$52,2,0),IFERROR(VLOOKUP(D800,Parameter!$A$35:$C$64,2,0),"Nein"))</f>
        <v>2+3</v>
      </c>
      <c r="BW800" s="59" t="n">
        <f aca="false">IF(BT800=0,0,IF(N(S800)&gt;0,S800,IFERROR(VLOOKUP(D800,Parameter!$A$35:$C$64,3,0)+0,0)))</f>
        <v>0</v>
      </c>
      <c r="BX800" s="55" t="n">
        <f aca="false">IF(AA800&lt;&gt;"",AA800,Z800)</f>
        <v>3</v>
      </c>
      <c r="BY800" s="55" t="str">
        <f aca="false">IF(BX800=1,"L1",IF(OR(BX800=2,BX800=3),"L23",IF(BX800="Aussen","Aussen","-")))</f>
        <v>L23</v>
      </c>
      <c r="BZ800" s="66" t="n">
        <f aca="false">IF(N(AB800)&gt;0,AB800,0)</f>
        <v>0</v>
      </c>
      <c r="CA800" s="60" t="n">
        <f aca="false">IF(ISNUMBER(AE800),1,0)</f>
        <v>0</v>
      </c>
      <c r="CB800" s="57" t="n">
        <f aca="false">N(AE800)</f>
        <v>0</v>
      </c>
      <c r="CC800" s="57" t="n">
        <f aca="false">N(M800)+N(N800)</f>
        <v>1190</v>
      </c>
      <c r="CD800" s="57" t="n">
        <f aca="false">ROUNDUP(H800/BS800,0)</f>
        <v>2</v>
      </c>
      <c r="CE800" s="57" t="n">
        <f aca="false">ROUNDUP(CB800/BS800,0)</f>
        <v>0</v>
      </c>
      <c r="CF800" s="60" t="n">
        <f aca="false">IF(BT800=1,0,IFERROR(VLOOKUP(BR800,'Gebinde-Kategorie'!$A$5:$M$45,5,0)+0,0))</f>
        <v>8</v>
      </c>
      <c r="CG800" s="60" t="n">
        <f aca="false">IFERROR(IF(OR(BX800=1,BX800=2,BX800=3),N(INDEX(Parameter!$I$5:$I$7,BX800)),0),0)</f>
        <v>0</v>
      </c>
      <c r="CH800" s="59" t="n">
        <f aca="false">IF(AND(Parameter!$B$21="Ja",ISNUMBER(W800),N(X800)&gt;0),IFERROR(N(INDEX(Parameter!$L$5:$L$7,W800))*INDEX(Parameter!$E$5:$E$7,W800)*X800/SUMIFS($X$7:$X$1843,$W$7:$W$1843,W800),0),0)</f>
        <v>0</v>
      </c>
    </row>
    <row r="801" customFormat="false" ht="15" hidden="false" customHeight="false" outlineLevel="0" collapsed="false">
      <c r="A801" s="55" t="s">
        <v>1556</v>
      </c>
      <c r="B801" s="55" t="s">
        <v>1557</v>
      </c>
      <c r="C801" s="55" t="s">
        <v>164</v>
      </c>
      <c r="D801" s="55" t="s">
        <v>184</v>
      </c>
      <c r="E801" s="55" t="s">
        <v>185</v>
      </c>
      <c r="F801" s="55" t="s">
        <v>218</v>
      </c>
      <c r="G801" s="56" t="n">
        <v>4.68</v>
      </c>
      <c r="H801" s="57" t="n">
        <f aca="false">MAX(0,IF(AND(Parameter!$B$21="Ja",ISNUMBER(Y801)),Y801,IF(Parameter!$B$20="Jahresanfang 2025 + Export",BL801+BK801,BK801)))</f>
        <v>7</v>
      </c>
      <c r="I801" s="57" t="n">
        <f aca="false">H801*G801</f>
        <v>32.76</v>
      </c>
      <c r="J801" s="57" t="n">
        <f aca="false">BN801*Parameter!$B$18</f>
        <v>2</v>
      </c>
      <c r="K801" s="58" t="n">
        <v>7</v>
      </c>
      <c r="L801" s="59" t="n">
        <v>0.285714285714286</v>
      </c>
      <c r="M801" s="57" t="n">
        <v>0</v>
      </c>
      <c r="N801" s="57" t="n">
        <v>1</v>
      </c>
      <c r="O801" s="60" t="n">
        <v>14</v>
      </c>
      <c r="P801" s="55" t="s">
        <v>401</v>
      </c>
      <c r="Q801" s="57" t="n">
        <v>10</v>
      </c>
      <c r="R801" s="60" t="n">
        <f aca="false">IF(BT801=1,0,IFERROR(VLOOKUP(BR801,'Gebinde-Kategorie'!$A$5:$M$45,13,0)+0,0))</f>
        <v>414</v>
      </c>
      <c r="S801" s="61"/>
      <c r="T801" s="62"/>
      <c r="U801" s="62"/>
      <c r="V801" s="62"/>
      <c r="W801" s="55"/>
      <c r="X801" s="57"/>
      <c r="Y801" s="57"/>
      <c r="Z801" s="55" t="n">
        <f aca="false">IF(A801="","",IF(AND(Parameter!$B$21="Ja",ISNUMBER(W801)),W801,IF(BV801="2+3",IF(ISNUMBER(SEARCH("grosser Artikel",BO801)),2,IFERROR(VLOOKUP(BR801,Parameter!$F$35:$G$64,2,0),2)),IF(OR(BV801="Nein",BV801=""),"-",BV801))))</f>
        <v>3</v>
      </c>
      <c r="AA801" s="62"/>
      <c r="AB801" s="63"/>
      <c r="AC801" s="57" t="n">
        <f aca="false">AR801</f>
        <v>10</v>
      </c>
      <c r="AD801" s="57" t="n">
        <f aca="false">MAX(AR801,H801)</f>
        <v>10</v>
      </c>
      <c r="AE801" s="64"/>
      <c r="AF801" s="57" t="n">
        <f aca="false">IF(LEFT(Cockpit!$C$5,1)="A",H801,IF(CA801=1,CB801,IF(LEFT(Cockpit!$C$5,1)="B",AJ801,MAX(AJ801,H801))))</f>
        <v>7</v>
      </c>
      <c r="AG801" s="57" t="n">
        <f aca="false">IF(BT801=1,0,ROUNDUP(AF801/BS801,0))</f>
        <v>1</v>
      </c>
      <c r="AH801" s="59" t="n">
        <f aca="false">IF(CH801&gt;0,CH801*MAX(1,AF801/X801),IF(BT801=1,IF(AF801&lt;=0,0,BW801*MAX(1,IF(H801&gt;0,AF801/H801,1))),IF(R801&gt;0,AG801/R801,0))/MAX(0.1,N(Parameter!$M$21)))</f>
        <v>0.00241545893719807</v>
      </c>
      <c r="AI801" s="57" t="n">
        <f aca="false">AF801*G801</f>
        <v>32.76</v>
      </c>
      <c r="AJ801" s="57" t="n">
        <f aca="false">ROUNDUP(MAX(J801/IF(BZ801&gt;0,BZ801,MAX(0.1,N(Cockpit!$C$6))),CC801)/BS801,0)*BS801</f>
        <v>10</v>
      </c>
      <c r="AK801" s="58" t="n">
        <f aca="false">IF(AH801&gt;0,J801/AH801,-1)</f>
        <v>828</v>
      </c>
      <c r="AL801" s="58" t="n">
        <f aca="false">IF(AND(OR(BY801="L1",BY801="L23"),AH801&gt;0),SUMIFS($AH$7:$AH$1843,$BY$7:$BY$1843,BY801,$AK$7:$AK$1843,"&gt;"&amp;AK801)+SUMIFS($AH$7:$AH$1843,$BY$7:$BY$1843,BY801,$AK$7:$AK$1843,AK801,$BQ$7:$BQ$1843,"&lt;="&amp;BQ801),"")</f>
        <v>20.7298233167798</v>
      </c>
      <c r="AM801" s="65" t="n">
        <f aca="false">IF(AL801="",0,MAX(0,MIN(1,(IF(BY801="L1",Parameter!$E$5,Parameter!$E$6+Parameter!$E$7)-(AL801-AH801))/AH801)))</f>
        <v>1</v>
      </c>
      <c r="AN801" s="57" t="n">
        <f aca="false">IF(LEFT(Cockpit!$I$5,1)="A",H801,IF(CA801=1,CB801,IF(LEFT(Cockpit!$I$5,1)="B",AR801,MAX(AR801,H801))))</f>
        <v>10</v>
      </c>
      <c r="AO801" s="57" t="n">
        <f aca="false">IF(BT801=1,0,ROUNDUP(AN801/BS801,0))</f>
        <v>1</v>
      </c>
      <c r="AP801" s="59" t="n">
        <f aca="false">IF(CH801&gt;0,CH801*MAX(1,AN801/X801),IF(BT801=1,IF(AN801&lt;=0,0,BW801*MAX(1,IF(H801&gt;0,AN801/H801,1))),IF(R801&gt;0,AO801/R801,0))/MAX(0.1,N(Parameter!$M$21)))</f>
        <v>0.00241545893719807</v>
      </c>
      <c r="AQ801" s="57" t="n">
        <f aca="false">AN801*G801</f>
        <v>46.8</v>
      </c>
      <c r="AR801" s="57" t="n">
        <f aca="false">ROUNDUP(MAX(J801/IF(BZ801&gt;0,BZ801,MAX(0.1,N(Cockpit!$I$6))),CC801)/BS801,0)*BS801</f>
        <v>10</v>
      </c>
      <c r="AS801" s="58" t="n">
        <f aca="false">IF(AP801&gt;0,J801/AP801,-1)</f>
        <v>828</v>
      </c>
      <c r="AT801" s="58" t="n">
        <f aca="false">IF(AND(OR(BY801="L1",BY801="L23"),AP801&gt;0),SUMIFS($AP$7:$AP$1843,$BY$7:$BY$1843,BY801,$AS$7:$AS$1843,"&gt;"&amp;AS801)+SUMIFS($AP$7:$AP$1843,$BY$7:$BY$1843,BY801,$AS$7:$AS$1843,AS801,$BQ$7:$BQ$1843,"&lt;="&amp;BQ801),"")</f>
        <v>25.9500945913989</v>
      </c>
      <c r="AU801" s="65" t="n">
        <f aca="false">IF(AT801="",0,MAX(0,MIN(1,(IF(BY801="L1",Parameter!$E$5,Parameter!$E$6+Parameter!$E$7)-(AT801-AP801))/AP801)))</f>
        <v>1</v>
      </c>
      <c r="AV801" s="57" t="n">
        <f aca="false">IF(LEFT(Cockpit!$O$5,1)="A",H801,IF(CA801=1,CB801,IF(LEFT(Cockpit!$O$5,1)="B",AZ801,MAX(AZ801,H801))))</f>
        <v>10</v>
      </c>
      <c r="AW801" s="57" t="n">
        <f aca="false">IF(BT801=1,0,ROUNDUP(AV801/BS801,0))</f>
        <v>1</v>
      </c>
      <c r="AX801" s="59" t="n">
        <f aca="false">IF(CH801&gt;0,CH801*MAX(1,AV801/X801),IF(BT801=1,IF(AV801&lt;=0,0,BW801*MAX(1,IF(H801&gt;0,AV801/H801,1))),IF(R801&gt;0,AW801/R801,0))/MAX(0.1,N(Parameter!$M$21)))</f>
        <v>0.00241545893719807</v>
      </c>
      <c r="AY801" s="57" t="n">
        <f aca="false">AV801*G801</f>
        <v>46.8</v>
      </c>
      <c r="AZ801" s="57" t="n">
        <f aca="false">ROUNDUP(MAX(J801/IF(BZ801&gt;0,BZ801,MAX(0.1,N(Cockpit!$O$6))),CC801)/BS801,0)*BS801</f>
        <v>10</v>
      </c>
      <c r="BA801" s="58" t="n">
        <f aca="false">IF(AX801&gt;0,J801/AX801,-1)</f>
        <v>828</v>
      </c>
      <c r="BB801" s="58" t="n">
        <f aca="false">IF(AND(OR(BY801="L1",BY801="L23"),AX801&gt;0),SUMIFS($AX$7:$AX$1843,$BY$7:$BY$1843,BY801,$BA$7:$BA$1843,"&gt;"&amp;BA801)+SUMIFS($AX$7:$AX$1843,$BY$7:$BY$1843,BY801,$BA$7:$BA$1843,BA801,$BQ$7:$BQ$1843,"&lt;="&amp;BQ801),"")</f>
        <v>25.8183929596973</v>
      </c>
      <c r="BC801" s="65" t="n">
        <f aca="false">IF(BB801="",0,MAX(0,MIN(1,(IF(BY801="L1",Parameter!$E$5,Parameter!$E$6+Parameter!$E$7)-(BB801-AX801))/AX801)))</f>
        <v>1</v>
      </c>
      <c r="BD801" s="55" t="str">
        <f aca="false">IF(AH801&lt;=0,"",IF(BY801="Aussen","Aussenlager",IF(BY801="-","Nicht im Lift",IF(AM801&gt;=1,"Lift",IF(AM801&lt;=0,"Aussenlager","teilweise")))))</f>
        <v>Lift</v>
      </c>
      <c r="BE801" s="55" t="str">
        <f aca="false">IF(AP801&lt;=0,"",IF(BY801="Aussen","Aussenlager",IF(BY801="-","Nicht im Lift",IF(AU801&gt;=1,"Lift",IF(AU801&lt;=0,"Aussenlager","teilweise")))))</f>
        <v>Lift</v>
      </c>
      <c r="BF801" s="55" t="str">
        <f aca="false">IF(AX801&lt;=0,"",IF(BY801="Aussen","Aussenlager",IF(BY801="-","Nicht im Lift",IF(BC801&gt;=1,"Lift",IF(BC801&lt;=0,"Aussenlager","teilweise")))))</f>
        <v>Lift</v>
      </c>
      <c r="BG801" s="55" t="str">
        <f aca="false">IF(A801="","",IF(BP801=1,"Neu; ","")&amp;IF(AND(BP801=0,BK801&lt;0),"negativer Bestand (Export "&amp;BK801&amp;"); ","")&amp;IF(J801&lt;=0,"Kein Verbrauch; ","")&amp;IF(CH801&gt;0,"Lift "&amp;W801&amp;" lt. Liftbericht (Fach "&amp;X801&amp;" Stk); ",IF(BU801=1,"Gebinde geschätzt ("&amp;T801&amp;"); ",IF(BT801=1,"Lose – Tablare geschätzt; ","")))&amp;IF(H801&gt;AR801,"Überbestand "&amp;ROUND(H801-AR801,0)&amp;" Stk / CHF "&amp;ROUND((H801-AR801)*G801,0)&amp;"; ","")&amp;IF(AND(CA801=1,CB801&lt;CC801),"MAX &lt; MB+LG; ","")&amp;IF(AND(CG801&gt;0,CF801*10&gt;CG801),"zu hoch für Tablar; ","")&amp;IF(AND(BP801=0,OR(CA801=1,AA801&lt;&gt;"",U801&lt;&gt;"",V801&lt;&gt;"",AB801&lt;&gt;"")),"manuell übersteuert; ","")&amp;IF(AND(BT801=0,R801=0),"Gebinde unbekannt / Stellmass fehlt; ","")&amp;IF(AND(BT801=0,N(V801)&lt;=0,N(Q801)&lt;=0),"Menge pro Gebinde fehlt (Ist = 1 Gebinde); ","")&amp;BO801)</f>
        <v>negativer Bestand (Export -1); </v>
      </c>
      <c r="BH801" s="55"/>
      <c r="BI801" s="55"/>
      <c r="BJ801" s="62"/>
      <c r="BK801" s="57" t="n">
        <v>-1</v>
      </c>
      <c r="BL801" s="57" t="n">
        <v>8</v>
      </c>
      <c r="BM801" s="56" t="n">
        <v>-4.68</v>
      </c>
      <c r="BN801" s="57" t="n">
        <v>2</v>
      </c>
      <c r="BO801" s="55"/>
      <c r="BP801" s="60" t="n">
        <v>0</v>
      </c>
      <c r="BQ801" s="60" t="n">
        <v>801</v>
      </c>
      <c r="BR801" s="55" t="str">
        <f aca="false">IF(U801&lt;&gt;"",UPPER(TRIM(U801)),IF(BU801=1,UPPER(VLOOKUP(T801,Parameter!$I$27:$K$29,2,0)),IF(P801="","LOSE",P801)))</f>
        <v>S21</v>
      </c>
      <c r="BS801" s="57" t="n">
        <f aca="false">IF(BR801="LOSE",1,IF(N(V801)&gt;0,V801,IF(BU801=1,MAX(1,N(VLOOKUP(T801,Parameter!$I$27:$K$29,3,0)),H801,N(N801)),IF(N(Q801)&gt;0,Q801,MAX(1,H801)))))</f>
        <v>10</v>
      </c>
      <c r="BT801" s="60" t="n">
        <f aca="false">IF(BR801="LOSE",1,0)</f>
        <v>0</v>
      </c>
      <c r="BU801" s="60" t="n">
        <f aca="false">IF(AND(U801="",OR(P801="",P801="LOSE"),T801&lt;&gt;"",N(S801)&lt;=0,ISNUMBER(MATCH(T801,Parameter!$I$27:$I$29,0))),1,0)</f>
        <v>0</v>
      </c>
      <c r="BV801" s="55" t="str">
        <f aca="false">IF(AND(Parameter!$B$19="Ja",E801&lt;&gt;"",ISNUMBER(MATCH(E801,Parameter!$I$35:$I$52,0))),VLOOKUP(E801,Parameter!$I$35:$J$52,2,0),IFERROR(VLOOKUP(D801,Parameter!$A$35:$C$64,2,0),"Nein"))</f>
        <v>2+3</v>
      </c>
      <c r="BW801" s="59" t="n">
        <f aca="false">IF(BT801=0,0,IF(N(S801)&gt;0,S801,IFERROR(VLOOKUP(D801,Parameter!$A$35:$C$64,3,0)+0,0)))</f>
        <v>0</v>
      </c>
      <c r="BX801" s="55" t="n">
        <f aca="false">IF(AA801&lt;&gt;"",AA801,Z801)</f>
        <v>3</v>
      </c>
      <c r="BY801" s="55" t="str">
        <f aca="false">IF(BX801=1,"L1",IF(OR(BX801=2,BX801=3),"L23",IF(BX801="Aussen","Aussen","-")))</f>
        <v>L23</v>
      </c>
      <c r="BZ801" s="66" t="n">
        <f aca="false">IF(N(AB801)&gt;0,AB801,0)</f>
        <v>0</v>
      </c>
      <c r="CA801" s="60" t="n">
        <f aca="false">IF(ISNUMBER(AE801),1,0)</f>
        <v>0</v>
      </c>
      <c r="CB801" s="57" t="n">
        <f aca="false">N(AE801)</f>
        <v>0</v>
      </c>
      <c r="CC801" s="57" t="n">
        <f aca="false">N(M801)+N(N801)</f>
        <v>1</v>
      </c>
      <c r="CD801" s="57" t="n">
        <f aca="false">ROUNDUP(H801/BS801,0)</f>
        <v>1</v>
      </c>
      <c r="CE801" s="57" t="n">
        <f aca="false">ROUNDUP(CB801/BS801,0)</f>
        <v>0</v>
      </c>
      <c r="CF801" s="60" t="n">
        <f aca="false">IF(BT801=1,0,IFERROR(VLOOKUP(BR801,'Gebinde-Kategorie'!$A$5:$M$45,5,0)+0,0))</f>
        <v>8</v>
      </c>
      <c r="CG801" s="60" t="n">
        <f aca="false">IFERROR(IF(OR(BX801=1,BX801=2,BX801=3),N(INDEX(Parameter!$I$5:$I$7,BX801)),0),0)</f>
        <v>0</v>
      </c>
      <c r="CH801" s="59" t="n">
        <f aca="false">IF(AND(Parameter!$B$21="Ja",ISNUMBER(W801),N(X801)&gt;0),IFERROR(N(INDEX(Parameter!$L$5:$L$7,W801))*INDEX(Parameter!$E$5:$E$7,W801)*X801/SUMIFS($X$7:$X$1843,$W$7:$W$1843,W801),0),0)</f>
        <v>0</v>
      </c>
    </row>
    <row r="802" customFormat="false" ht="15" hidden="false" customHeight="false" outlineLevel="0" collapsed="false">
      <c r="A802" s="55" t="s">
        <v>1558</v>
      </c>
      <c r="B802" s="55" t="s">
        <v>1559</v>
      </c>
      <c r="C802" s="55" t="s">
        <v>164</v>
      </c>
      <c r="D802" s="55" t="s">
        <v>184</v>
      </c>
      <c r="E802" s="55"/>
      <c r="F802" s="55" t="s">
        <v>218</v>
      </c>
      <c r="G802" s="56" t="n">
        <v>0.5</v>
      </c>
      <c r="H802" s="57" t="n">
        <f aca="false">MAX(0,IF(AND(Parameter!$B$21="Ja",ISNUMBER(Y802)),Y802,IF(Parameter!$B$20="Jahresanfang 2025 + Export",BL802+BK802,BK802)))</f>
        <v>0</v>
      </c>
      <c r="I802" s="57" t="n">
        <f aca="false">H802*G802</f>
        <v>0</v>
      </c>
      <c r="J802" s="57" t="n">
        <f aca="false">BN802*Parameter!$B$18</f>
        <v>0</v>
      </c>
      <c r="K802" s="58" t="n">
        <v>5</v>
      </c>
      <c r="L802" s="59" t="n">
        <v>0</v>
      </c>
      <c r="M802" s="57" t="n">
        <v>0</v>
      </c>
      <c r="N802" s="57" t="n">
        <v>1</v>
      </c>
      <c r="O802" s="60" t="n">
        <v>56</v>
      </c>
      <c r="P802" s="55" t="s">
        <v>168</v>
      </c>
      <c r="Q802" s="57"/>
      <c r="R802" s="60" t="n">
        <f aca="false">IF(BT802=1,0,IFERROR(VLOOKUP(BR802,'Gebinde-Kategorie'!$A$5:$M$45,13,0)+0,0))</f>
        <v>26</v>
      </c>
      <c r="S802" s="61"/>
      <c r="T802" s="62" t="s">
        <v>275</v>
      </c>
      <c r="U802" s="62"/>
      <c r="V802" s="62"/>
      <c r="W802" s="55"/>
      <c r="X802" s="57"/>
      <c r="Y802" s="57"/>
      <c r="Z802" s="55" t="n">
        <f aca="false">IF(A802="","",IF(AND(Parameter!$B$21="Ja",ISNUMBER(W802)),W802,IF(BV802="2+3",IF(ISNUMBER(SEARCH("grosser Artikel",BO802)),2,IFERROR(VLOOKUP(BR802,Parameter!$F$35:$G$64,2,0),2)),IF(OR(BV802="Nein",BV802=""),"-",BV802))))</f>
        <v>3</v>
      </c>
      <c r="AA802" s="62"/>
      <c r="AB802" s="63"/>
      <c r="AC802" s="57" t="n">
        <f aca="false">AR802</f>
        <v>20</v>
      </c>
      <c r="AD802" s="57" t="n">
        <f aca="false">MAX(AR802,H802)</f>
        <v>20</v>
      </c>
      <c r="AE802" s="64"/>
      <c r="AF802" s="57" t="n">
        <f aca="false">IF(LEFT(Cockpit!$C$5,1)="A",H802,IF(CA802=1,CB802,IF(LEFT(Cockpit!$C$5,1)="B",AJ802,MAX(AJ802,H802))))</f>
        <v>0</v>
      </c>
      <c r="AG802" s="57" t="n">
        <f aca="false">IF(BT802=1,0,ROUNDUP(AF802/BS802,0))</f>
        <v>0</v>
      </c>
      <c r="AH802" s="59" t="n">
        <f aca="false">IF(CH802&gt;0,CH802*MAX(1,AF802/X802),IF(BT802=1,IF(AF802&lt;=0,0,BW802*MAX(1,IF(H802&gt;0,AF802/H802,1))),IF(R802&gt;0,AG802/R802,0))/MAX(0.1,N(Parameter!$M$21)))</f>
        <v>0</v>
      </c>
      <c r="AI802" s="57" t="n">
        <f aca="false">AF802*G802</f>
        <v>0</v>
      </c>
      <c r="AJ802" s="57" t="n">
        <f aca="false">ROUNDUP(MAX(J802/IF(BZ802&gt;0,BZ802,MAX(0.1,N(Cockpit!$C$6))),CC802)/BS802,0)*BS802</f>
        <v>20</v>
      </c>
      <c r="AK802" s="58" t="n">
        <f aca="false">IF(AH802&gt;0,J802/AH802,-1)</f>
        <v>-1</v>
      </c>
      <c r="AL802" s="58" t="str">
        <f aca="false">IF(AND(OR(BY802="L1",BY802="L23"),AH802&gt;0),SUMIFS($AH$7:$AH$1843,$BY$7:$BY$1843,BY802,$AK$7:$AK$1843,"&gt;"&amp;AK802)+SUMIFS($AH$7:$AH$1843,$BY$7:$BY$1843,BY802,$AK$7:$AK$1843,AK802,$BQ$7:$BQ$1843,"&lt;="&amp;BQ802),"")</f>
        <v/>
      </c>
      <c r="AM802" s="65" t="n">
        <f aca="false">IF(AL802="",0,MAX(0,MIN(1,(IF(BY802="L1",Parameter!$E$5,Parameter!$E$6+Parameter!$E$7)-(AL802-AH802))/AH802)))</f>
        <v>0</v>
      </c>
      <c r="AN802" s="57" t="n">
        <f aca="false">IF(LEFT(Cockpit!$I$5,1)="A",H802,IF(CA802=1,CB802,IF(LEFT(Cockpit!$I$5,1)="B",AR802,MAX(AR802,H802))))</f>
        <v>20</v>
      </c>
      <c r="AO802" s="57" t="n">
        <f aca="false">IF(BT802=1,0,ROUNDUP(AN802/BS802,0))</f>
        <v>1</v>
      </c>
      <c r="AP802" s="59" t="n">
        <f aca="false">IF(CH802&gt;0,CH802*MAX(1,AN802/X802),IF(BT802=1,IF(AN802&lt;=0,0,BW802*MAX(1,IF(H802&gt;0,AN802/H802,1))),IF(R802&gt;0,AO802/R802,0))/MAX(0.1,N(Parameter!$M$21)))</f>
        <v>0.0384615384615385</v>
      </c>
      <c r="AQ802" s="57" t="n">
        <f aca="false">AN802*G802</f>
        <v>10</v>
      </c>
      <c r="AR802" s="57" t="n">
        <f aca="false">ROUNDUP(MAX(J802/IF(BZ802&gt;0,BZ802,MAX(0.1,N(Cockpit!$I$6))),CC802)/BS802,0)*BS802</f>
        <v>20</v>
      </c>
      <c r="AS802" s="58" t="n">
        <f aca="false">IF(AP802&gt;0,J802/AP802,-1)</f>
        <v>0</v>
      </c>
      <c r="AT802" s="58" t="n">
        <f aca="false">IF(AND(OR(BY802="L1",BY802="L23"),AP802&gt;0),SUMIFS($AP$7:$AP$1843,$BY$7:$BY$1843,BY802,$AS$7:$AS$1843,"&gt;"&amp;AS802)+SUMIFS($AP$7:$AP$1843,$BY$7:$BY$1843,BY802,$AS$7:$AS$1843,AS802,$BQ$7:$BQ$1843,"&lt;="&amp;BQ802),"")</f>
        <v>118.420399648661</v>
      </c>
      <c r="AU802" s="65" t="n">
        <f aca="false">IF(AT802="",0,MAX(0,MIN(1,(IF(BY802="L1",Parameter!$E$5,Parameter!$E$6+Parameter!$E$7)-(AT802-AP802))/AP802)))</f>
        <v>0</v>
      </c>
      <c r="AV802" s="57" t="n">
        <f aca="false">IF(LEFT(Cockpit!$O$5,1)="A",H802,IF(CA802=1,CB802,IF(LEFT(Cockpit!$O$5,1)="B",AZ802,MAX(AZ802,H802))))</f>
        <v>20</v>
      </c>
      <c r="AW802" s="57" t="n">
        <f aca="false">IF(BT802=1,0,ROUNDUP(AV802/BS802,0))</f>
        <v>1</v>
      </c>
      <c r="AX802" s="59" t="n">
        <f aca="false">IF(CH802&gt;0,CH802*MAX(1,AV802/X802),IF(BT802=1,IF(AV802&lt;=0,0,BW802*MAX(1,IF(H802&gt;0,AV802/H802,1))),IF(R802&gt;0,AW802/R802,0))/MAX(0.1,N(Parameter!$M$21)))</f>
        <v>0.0384615384615385</v>
      </c>
      <c r="AY802" s="57" t="n">
        <f aca="false">AV802*G802</f>
        <v>10</v>
      </c>
      <c r="AZ802" s="57" t="n">
        <f aca="false">ROUNDUP(MAX(J802/IF(BZ802&gt;0,BZ802,MAX(0.1,N(Cockpit!$O$6))),CC802)/BS802,0)*BS802</f>
        <v>20</v>
      </c>
      <c r="BA802" s="58" t="n">
        <f aca="false">IF(AX802&gt;0,J802/AX802,-1)</f>
        <v>0</v>
      </c>
      <c r="BB802" s="58" t="n">
        <f aca="false">IF(AND(OR(BY802="L1",BY802="L23"),AX802&gt;0),SUMIFS($AX$7:$AX$1843,$BY$7:$BY$1843,BY802,$BA$7:$BA$1843,"&gt;"&amp;BA802)+SUMIFS($AX$7:$AX$1843,$BY$7:$BY$1843,BY802,$BA$7:$BA$1843,BA802,$BQ$7:$BQ$1843,"&lt;="&amp;BQ802),"")</f>
        <v>109.250236478497</v>
      </c>
      <c r="BC802" s="65" t="n">
        <f aca="false">IF(BB802="",0,MAX(0,MIN(1,(IF(BY802="L1",Parameter!$E$5,Parameter!$E$6+Parameter!$E$7)-(BB802-AX802))/AX802)))</f>
        <v>0</v>
      </c>
      <c r="BD802" s="55" t="str">
        <f aca="false">IF(AH802&lt;=0,"",IF(BY802="Aussen","Aussenlager",IF(BY802="-","Nicht im Lift",IF(AM802&gt;=1,"Lift",IF(AM802&lt;=0,"Aussenlager","teilweise")))))</f>
        <v/>
      </c>
      <c r="BE802" s="55" t="str">
        <f aca="false">IF(AP802&lt;=0,"",IF(BY802="Aussen","Aussenlager",IF(BY802="-","Nicht im Lift",IF(AU802&gt;=1,"Lift",IF(AU802&lt;=0,"Aussenlager","teilweise")))))</f>
        <v>Aussenlager</v>
      </c>
      <c r="BF802" s="55" t="str">
        <f aca="false">IF(AX802&lt;=0,"",IF(BY802="Aussen","Aussenlager",IF(BY802="-","Nicht im Lift",IF(BC802&gt;=1,"Lift",IF(BC802&lt;=0,"Aussenlager","teilweise")))))</f>
        <v>Aussenlager</v>
      </c>
      <c r="BG802" s="55" t="str">
        <f aca="false">IF(A802="","",IF(BP802=1,"Neu; ","")&amp;IF(AND(BP802=0,BK802&lt;0),"negativer Bestand (Export "&amp;BK802&amp;"); ","")&amp;IF(J802&lt;=0,"Kein Verbrauch; ","")&amp;IF(CH802&gt;0,"Lift "&amp;W802&amp;" lt. Liftbericht (Fach "&amp;X802&amp;" Stk); ",IF(BU802=1,"Gebinde geschätzt ("&amp;T802&amp;"); ",IF(BT802=1,"Lose – Tablare geschätzt; ","")))&amp;IF(H802&gt;AR802,"Überbestand "&amp;ROUND(H802-AR802,0)&amp;" Stk / CHF "&amp;ROUND((H802-AR802)*G802,0)&amp;"; ","")&amp;IF(AND(CA802=1,CB802&lt;CC802),"MAX &lt; MB+LG; ","")&amp;IF(AND(CG802&gt;0,CF802*10&gt;CG802),"zu hoch für Tablar; ","")&amp;IF(AND(BP802=0,OR(CA802=1,AA802&lt;&gt;"",U802&lt;&gt;"",V802&lt;&gt;"",AB802&lt;&gt;"")),"manuell übersteuert; ","")&amp;IF(AND(BT802=0,R802=0),"Gebinde unbekannt / Stellmass fehlt; ","")&amp;IF(AND(BT802=0,N(V802)&lt;=0,N(Q802)&lt;=0),"Menge pro Gebinde fehlt (Ist = 1 Gebinde); ","")&amp;BO802)</f>
        <v>negativer Bestand (Export -10); Kein Verbrauch; Gebinde geschätzt (Klein); Menge pro Gebinde fehlt (Ist = 1 Gebinde); Überbestand</v>
      </c>
      <c r="BH802" s="55"/>
      <c r="BI802" s="55"/>
      <c r="BJ802" s="62"/>
      <c r="BK802" s="57" t="n">
        <v>-10</v>
      </c>
      <c r="BL802" s="57" t="n">
        <v>10</v>
      </c>
      <c r="BM802" s="56" t="n">
        <v>-5</v>
      </c>
      <c r="BN802" s="57" t="n">
        <v>0</v>
      </c>
      <c r="BO802" s="55" t="s">
        <v>392</v>
      </c>
      <c r="BP802" s="60" t="n">
        <v>0</v>
      </c>
      <c r="BQ802" s="60" t="n">
        <v>802</v>
      </c>
      <c r="BR802" s="55" t="str">
        <f aca="false">IF(U802&lt;&gt;"",UPPER(TRIM(U802)),IF(BU802=1,UPPER(VLOOKUP(T802,Parameter!$I$27:$K$29,2,0)),IF(P802="","LOSE",P802)))</f>
        <v>S51</v>
      </c>
      <c r="BS802" s="57" t="n">
        <f aca="false">IF(BR802="LOSE",1,IF(N(V802)&gt;0,V802,IF(BU802=1,MAX(1,N(VLOOKUP(T802,Parameter!$I$27:$K$29,3,0)),H802,N(N802)),IF(N(Q802)&gt;0,Q802,MAX(1,H802)))))</f>
        <v>20</v>
      </c>
      <c r="BT802" s="60" t="n">
        <f aca="false">IF(BR802="LOSE",1,0)</f>
        <v>0</v>
      </c>
      <c r="BU802" s="60" t="n">
        <f aca="false">IF(AND(U802="",OR(P802="",P802="LOSE"),T802&lt;&gt;"",N(S802)&lt;=0,ISNUMBER(MATCH(T802,Parameter!$I$27:$I$29,0))),1,0)</f>
        <v>1</v>
      </c>
      <c r="BV802" s="55" t="str">
        <f aca="false">IF(AND(Parameter!$B$19="Ja",E802&lt;&gt;"",ISNUMBER(MATCH(E802,Parameter!$I$35:$I$52,0))),VLOOKUP(E802,Parameter!$I$35:$J$52,2,0),IFERROR(VLOOKUP(D802,Parameter!$A$35:$C$64,2,0),"Nein"))</f>
        <v>2+3</v>
      </c>
      <c r="BW802" s="59" t="n">
        <f aca="false">IF(BT802=0,0,IF(N(S802)&gt;0,S802,IFERROR(VLOOKUP(D802,Parameter!$A$35:$C$64,3,0)+0,0)))</f>
        <v>0</v>
      </c>
      <c r="BX802" s="55" t="n">
        <f aca="false">IF(AA802&lt;&gt;"",AA802,Z802)</f>
        <v>3</v>
      </c>
      <c r="BY802" s="55" t="str">
        <f aca="false">IF(BX802=1,"L1",IF(OR(BX802=2,BX802=3),"L23",IF(BX802="Aussen","Aussen","-")))</f>
        <v>L23</v>
      </c>
      <c r="BZ802" s="66" t="n">
        <f aca="false">IF(N(AB802)&gt;0,AB802,0)</f>
        <v>0</v>
      </c>
      <c r="CA802" s="60" t="n">
        <f aca="false">IF(ISNUMBER(AE802),1,0)</f>
        <v>0</v>
      </c>
      <c r="CB802" s="57" t="n">
        <f aca="false">N(AE802)</f>
        <v>0</v>
      </c>
      <c r="CC802" s="57" t="n">
        <f aca="false">N(M802)+N(N802)</f>
        <v>1</v>
      </c>
      <c r="CD802" s="57" t="n">
        <f aca="false">ROUNDUP(H802/BS802,0)</f>
        <v>0</v>
      </c>
      <c r="CE802" s="57" t="n">
        <f aca="false">ROUNDUP(CB802/BS802,0)</f>
        <v>0</v>
      </c>
      <c r="CF802" s="60" t="n">
        <f aca="false">IF(BT802=1,0,IFERROR(VLOOKUP(BR802,'Gebinde-Kategorie'!$A$5:$M$45,5,0)+0,0))</f>
        <v>11</v>
      </c>
      <c r="CG802" s="60" t="n">
        <f aca="false">IFERROR(IF(OR(BX802=1,BX802=2,BX802=3),N(INDEX(Parameter!$I$5:$I$7,BX802)),0),0)</f>
        <v>0</v>
      </c>
      <c r="CH802" s="59" t="n">
        <f aca="false">IF(AND(Parameter!$B$21="Ja",ISNUMBER(W802),N(X802)&gt;0),IFERROR(N(INDEX(Parameter!$L$5:$L$7,W802))*INDEX(Parameter!$E$5:$E$7,W802)*X802/SUMIFS($X$7:$X$1843,$W$7:$W$1843,W802),0),0)</f>
        <v>0</v>
      </c>
    </row>
    <row r="803" customFormat="false" ht="15" hidden="false" customHeight="false" outlineLevel="0" collapsed="false">
      <c r="A803" s="55" t="s">
        <v>1560</v>
      </c>
      <c r="B803" s="55" t="s">
        <v>1262</v>
      </c>
      <c r="C803" s="55" t="s">
        <v>164</v>
      </c>
      <c r="D803" s="55" t="s">
        <v>184</v>
      </c>
      <c r="E803" s="55" t="s">
        <v>185</v>
      </c>
      <c r="F803" s="55" t="s">
        <v>218</v>
      </c>
      <c r="G803" s="56" t="n">
        <v>0.05</v>
      </c>
      <c r="H803" s="57" t="n">
        <f aca="false">MAX(0,IF(AND(Parameter!$B$21="Ja",ISNUMBER(Y803)),Y803,IF(Parameter!$B$20="Jahresanfang 2025 + Export",BL803+BK803,BK803)))</f>
        <v>0</v>
      </c>
      <c r="I803" s="57" t="n">
        <f aca="false">H803*G803</f>
        <v>0</v>
      </c>
      <c r="J803" s="57" t="n">
        <f aca="false">BN803*Parameter!$B$18</f>
        <v>0</v>
      </c>
      <c r="K803" s="58" t="n">
        <v>51.5</v>
      </c>
      <c r="L803" s="59" t="n">
        <v>0</v>
      </c>
      <c r="M803" s="57" t="n">
        <v>0</v>
      </c>
      <c r="N803" s="57" t="n">
        <v>1</v>
      </c>
      <c r="O803" s="60" t="n">
        <v>14</v>
      </c>
      <c r="P803" s="55" t="s">
        <v>401</v>
      </c>
      <c r="Q803" s="57" t="n">
        <v>103</v>
      </c>
      <c r="R803" s="60" t="n">
        <f aca="false">IF(BT803=1,0,IFERROR(VLOOKUP(BR803,'Gebinde-Kategorie'!$A$5:$M$45,13,0)+0,0))</f>
        <v>414</v>
      </c>
      <c r="S803" s="61"/>
      <c r="T803" s="62"/>
      <c r="U803" s="62"/>
      <c r="V803" s="62"/>
      <c r="W803" s="55"/>
      <c r="X803" s="57"/>
      <c r="Y803" s="57"/>
      <c r="Z803" s="55" t="n">
        <f aca="false">IF(A803="","",IF(AND(Parameter!$B$21="Ja",ISNUMBER(W803)),W803,IF(BV803="2+3",IF(ISNUMBER(SEARCH("grosser Artikel",BO803)),2,IFERROR(VLOOKUP(BR803,Parameter!$F$35:$G$64,2,0),2)),IF(OR(BV803="Nein",BV803=""),"-",BV803))))</f>
        <v>3</v>
      </c>
      <c r="AA803" s="62"/>
      <c r="AB803" s="63"/>
      <c r="AC803" s="57" t="n">
        <f aca="false">AR803</f>
        <v>103</v>
      </c>
      <c r="AD803" s="57" t="n">
        <f aca="false">MAX(AR803,H803)</f>
        <v>103</v>
      </c>
      <c r="AE803" s="64"/>
      <c r="AF803" s="57" t="n">
        <f aca="false">IF(LEFT(Cockpit!$C$5,1)="A",H803,IF(CA803=1,CB803,IF(LEFT(Cockpit!$C$5,1)="B",AJ803,MAX(AJ803,H803))))</f>
        <v>0</v>
      </c>
      <c r="AG803" s="57" t="n">
        <f aca="false">IF(BT803=1,0,ROUNDUP(AF803/BS803,0))</f>
        <v>0</v>
      </c>
      <c r="AH803" s="59" t="n">
        <f aca="false">IF(CH803&gt;0,CH803*MAX(1,AF803/X803),IF(BT803=1,IF(AF803&lt;=0,0,BW803*MAX(1,IF(H803&gt;0,AF803/H803,1))),IF(R803&gt;0,AG803/R803,0))/MAX(0.1,N(Parameter!$M$21)))</f>
        <v>0</v>
      </c>
      <c r="AI803" s="57" t="n">
        <f aca="false">AF803*G803</f>
        <v>0</v>
      </c>
      <c r="AJ803" s="57" t="n">
        <f aca="false">ROUNDUP(MAX(J803/IF(BZ803&gt;0,BZ803,MAX(0.1,N(Cockpit!$C$6))),CC803)/BS803,0)*BS803</f>
        <v>103</v>
      </c>
      <c r="AK803" s="58" t="n">
        <f aca="false">IF(AH803&gt;0,J803/AH803,-1)</f>
        <v>-1</v>
      </c>
      <c r="AL803" s="58" t="str">
        <f aca="false">IF(AND(OR(BY803="L1",BY803="L23"),AH803&gt;0),SUMIFS($AH$7:$AH$1843,$BY$7:$BY$1843,BY803,$AK$7:$AK$1843,"&gt;"&amp;AK803)+SUMIFS($AH$7:$AH$1843,$BY$7:$BY$1843,BY803,$AK$7:$AK$1843,AK803,$BQ$7:$BQ$1843,"&lt;="&amp;BQ803),"")</f>
        <v/>
      </c>
      <c r="AM803" s="65" t="n">
        <f aca="false">IF(AL803="",0,MAX(0,MIN(1,(IF(BY803="L1",Parameter!$E$5,Parameter!$E$6+Parameter!$E$7)-(AL803-AH803))/AH803)))</f>
        <v>0</v>
      </c>
      <c r="AN803" s="57" t="n">
        <f aca="false">IF(LEFT(Cockpit!$I$5,1)="A",H803,IF(CA803=1,CB803,IF(LEFT(Cockpit!$I$5,1)="B",AR803,MAX(AR803,H803))))</f>
        <v>103</v>
      </c>
      <c r="AO803" s="57" t="n">
        <f aca="false">IF(BT803=1,0,ROUNDUP(AN803/BS803,0))</f>
        <v>1</v>
      </c>
      <c r="AP803" s="59" t="n">
        <f aca="false">IF(CH803&gt;0,CH803*MAX(1,AN803/X803),IF(BT803=1,IF(AN803&lt;=0,0,BW803*MAX(1,IF(H803&gt;0,AN803/H803,1))),IF(R803&gt;0,AO803/R803,0))/MAX(0.1,N(Parameter!$M$21)))</f>
        <v>0.00241545893719807</v>
      </c>
      <c r="AQ803" s="57" t="n">
        <f aca="false">AN803*G803</f>
        <v>5.15</v>
      </c>
      <c r="AR803" s="57" t="n">
        <f aca="false">ROUNDUP(MAX(J803/IF(BZ803&gt;0,BZ803,MAX(0.1,N(Cockpit!$I$6))),CC803)/BS803,0)*BS803</f>
        <v>103</v>
      </c>
      <c r="AS803" s="58" t="n">
        <f aca="false">IF(AP803&gt;0,J803/AP803,-1)</f>
        <v>0</v>
      </c>
      <c r="AT803" s="58" t="n">
        <f aca="false">IF(AND(OR(BY803="L1",BY803="L23"),AP803&gt;0),SUMIFS($AP$7:$AP$1843,$BY$7:$BY$1843,BY803,$AS$7:$AS$1843,"&gt;"&amp;AS803)+SUMIFS($AP$7:$AP$1843,$BY$7:$BY$1843,BY803,$AS$7:$AS$1843,AS803,$BQ$7:$BQ$1843,"&lt;="&amp;BQ803),"")</f>
        <v>118.422815107598</v>
      </c>
      <c r="AU803" s="65" t="n">
        <f aca="false">IF(AT803="",0,MAX(0,MIN(1,(IF(BY803="L1",Parameter!$E$5,Parameter!$E$6+Parameter!$E$7)-(AT803-AP803))/AP803)))</f>
        <v>0</v>
      </c>
      <c r="AV803" s="57" t="n">
        <f aca="false">IF(LEFT(Cockpit!$O$5,1)="A",H803,IF(CA803=1,CB803,IF(LEFT(Cockpit!$O$5,1)="B",AZ803,MAX(AZ803,H803))))</f>
        <v>103</v>
      </c>
      <c r="AW803" s="57" t="n">
        <f aca="false">IF(BT803=1,0,ROUNDUP(AV803/BS803,0))</f>
        <v>1</v>
      </c>
      <c r="AX803" s="59" t="n">
        <f aca="false">IF(CH803&gt;0,CH803*MAX(1,AV803/X803),IF(BT803=1,IF(AV803&lt;=0,0,BW803*MAX(1,IF(H803&gt;0,AV803/H803,1))),IF(R803&gt;0,AW803/R803,0))/MAX(0.1,N(Parameter!$M$21)))</f>
        <v>0.00241545893719807</v>
      </c>
      <c r="AY803" s="57" t="n">
        <f aca="false">AV803*G803</f>
        <v>5.15</v>
      </c>
      <c r="AZ803" s="57" t="n">
        <f aca="false">ROUNDUP(MAX(J803/IF(BZ803&gt;0,BZ803,MAX(0.1,N(Cockpit!$O$6))),CC803)/BS803,0)*BS803</f>
        <v>103</v>
      </c>
      <c r="BA803" s="58" t="n">
        <f aca="false">IF(AX803&gt;0,J803/AX803,-1)</f>
        <v>0</v>
      </c>
      <c r="BB803" s="58" t="n">
        <f aca="false">IF(AND(OR(BY803="L1",BY803="L23"),AX803&gt;0),SUMIFS($AX$7:$AX$1843,$BY$7:$BY$1843,BY803,$BA$7:$BA$1843,"&gt;"&amp;BA803)+SUMIFS($AX$7:$AX$1843,$BY$7:$BY$1843,BY803,$BA$7:$BA$1843,BA803,$BQ$7:$BQ$1843,"&lt;="&amp;BQ803),"")</f>
        <v>109.252651937435</v>
      </c>
      <c r="BC803" s="65" t="n">
        <f aca="false">IF(BB803="",0,MAX(0,MIN(1,(IF(BY803="L1",Parameter!$E$5,Parameter!$E$6+Parameter!$E$7)-(BB803-AX803))/AX803)))</f>
        <v>0</v>
      </c>
      <c r="BD803" s="55" t="str">
        <f aca="false">IF(AH803&lt;=0,"",IF(BY803="Aussen","Aussenlager",IF(BY803="-","Nicht im Lift",IF(AM803&gt;=1,"Lift",IF(AM803&lt;=0,"Aussenlager","teilweise")))))</f>
        <v/>
      </c>
      <c r="BE803" s="55" t="str">
        <f aca="false">IF(AP803&lt;=0,"",IF(BY803="Aussen","Aussenlager",IF(BY803="-","Nicht im Lift",IF(AU803&gt;=1,"Lift",IF(AU803&lt;=0,"Aussenlager","teilweise")))))</f>
        <v>Aussenlager</v>
      </c>
      <c r="BF803" s="55" t="str">
        <f aca="false">IF(AX803&lt;=0,"",IF(BY803="Aussen","Aussenlager",IF(BY803="-","Nicht im Lift",IF(BC803&gt;=1,"Lift",IF(BC803&lt;=0,"Aussenlager","teilweise")))))</f>
        <v>Aussenlager</v>
      </c>
      <c r="BG803" s="55" t="str">
        <f aca="false">IF(A803="","",IF(BP803=1,"Neu; ","")&amp;IF(AND(BP803=0,BK803&lt;0),"negativer Bestand (Export "&amp;BK803&amp;"); ","")&amp;IF(J803&lt;=0,"Kein Verbrauch; ","")&amp;IF(CH803&gt;0,"Lift "&amp;W803&amp;" lt. Liftbericht (Fach "&amp;X803&amp;" Stk); ",IF(BU803=1,"Gebinde geschätzt ("&amp;T803&amp;"); ",IF(BT803=1,"Lose – Tablare geschätzt; ","")))&amp;IF(H803&gt;AR803,"Überbestand "&amp;ROUND(H803-AR803,0)&amp;" Stk / CHF "&amp;ROUND((H803-AR803)*G803,0)&amp;"; ","")&amp;IF(AND(CA803=1,CB803&lt;CC803),"MAX &lt; MB+LG; ","")&amp;IF(AND(CG803&gt;0,CF803*10&gt;CG803),"zu hoch für Tablar; ","")&amp;IF(AND(BP803=0,OR(CA803=1,AA803&lt;&gt;"",U803&lt;&gt;"",V803&lt;&gt;"",AB803&lt;&gt;"")),"manuell übersteuert; ","")&amp;IF(AND(BT803=0,R803=0),"Gebinde unbekannt / Stellmass fehlt; ","")&amp;IF(AND(BT803=0,N(V803)&lt;=0,N(Q803)&lt;=0),"Menge pro Gebinde fehlt (Ist = 1 Gebinde); ","")&amp;BO803)</f>
        <v>negativer Bestand (Export -103); Kein Verbrauch; Neu</v>
      </c>
      <c r="BH803" s="55"/>
      <c r="BI803" s="55"/>
      <c r="BJ803" s="62"/>
      <c r="BK803" s="57" t="n">
        <v>-103</v>
      </c>
      <c r="BL803" s="57" t="n">
        <v>103</v>
      </c>
      <c r="BM803" s="56" t="n">
        <v>-5.15</v>
      </c>
      <c r="BN803" s="57" t="n">
        <v>0</v>
      </c>
      <c r="BO803" s="55" t="s">
        <v>626</v>
      </c>
      <c r="BP803" s="60" t="n">
        <v>0</v>
      </c>
      <c r="BQ803" s="60" t="n">
        <v>803</v>
      </c>
      <c r="BR803" s="55" t="str">
        <f aca="false">IF(U803&lt;&gt;"",UPPER(TRIM(U803)),IF(BU803=1,UPPER(VLOOKUP(T803,Parameter!$I$27:$K$29,2,0)),IF(P803="","LOSE",P803)))</f>
        <v>S21</v>
      </c>
      <c r="BS803" s="57" t="n">
        <f aca="false">IF(BR803="LOSE",1,IF(N(V803)&gt;0,V803,IF(BU803=1,MAX(1,N(VLOOKUP(T803,Parameter!$I$27:$K$29,3,0)),H803,N(N803)),IF(N(Q803)&gt;0,Q803,MAX(1,H803)))))</f>
        <v>103</v>
      </c>
      <c r="BT803" s="60" t="n">
        <f aca="false">IF(BR803="LOSE",1,0)</f>
        <v>0</v>
      </c>
      <c r="BU803" s="60" t="n">
        <f aca="false">IF(AND(U803="",OR(P803="",P803="LOSE"),T803&lt;&gt;"",N(S803)&lt;=0,ISNUMBER(MATCH(T803,Parameter!$I$27:$I$29,0))),1,0)</f>
        <v>0</v>
      </c>
      <c r="BV803" s="55" t="str">
        <f aca="false">IF(AND(Parameter!$B$19="Ja",E803&lt;&gt;"",ISNUMBER(MATCH(E803,Parameter!$I$35:$I$52,0))),VLOOKUP(E803,Parameter!$I$35:$J$52,2,0),IFERROR(VLOOKUP(D803,Parameter!$A$35:$C$64,2,0),"Nein"))</f>
        <v>2+3</v>
      </c>
      <c r="BW803" s="59" t="n">
        <f aca="false">IF(BT803=0,0,IF(N(S803)&gt;0,S803,IFERROR(VLOOKUP(D803,Parameter!$A$35:$C$64,3,0)+0,0)))</f>
        <v>0</v>
      </c>
      <c r="BX803" s="55" t="n">
        <f aca="false">IF(AA803&lt;&gt;"",AA803,Z803)</f>
        <v>3</v>
      </c>
      <c r="BY803" s="55" t="str">
        <f aca="false">IF(BX803=1,"L1",IF(OR(BX803=2,BX803=3),"L23",IF(BX803="Aussen","Aussen","-")))</f>
        <v>L23</v>
      </c>
      <c r="BZ803" s="66" t="n">
        <f aca="false">IF(N(AB803)&gt;0,AB803,0)</f>
        <v>0</v>
      </c>
      <c r="CA803" s="60" t="n">
        <f aca="false">IF(ISNUMBER(AE803),1,0)</f>
        <v>0</v>
      </c>
      <c r="CB803" s="57" t="n">
        <f aca="false">N(AE803)</f>
        <v>0</v>
      </c>
      <c r="CC803" s="57" t="n">
        <f aca="false">N(M803)+N(N803)</f>
        <v>1</v>
      </c>
      <c r="CD803" s="57" t="n">
        <f aca="false">ROUNDUP(H803/BS803,0)</f>
        <v>0</v>
      </c>
      <c r="CE803" s="57" t="n">
        <f aca="false">ROUNDUP(CB803/BS803,0)</f>
        <v>0</v>
      </c>
      <c r="CF803" s="60" t="n">
        <f aca="false">IF(BT803=1,0,IFERROR(VLOOKUP(BR803,'Gebinde-Kategorie'!$A$5:$M$45,5,0)+0,0))</f>
        <v>8</v>
      </c>
      <c r="CG803" s="60" t="n">
        <f aca="false">IFERROR(IF(OR(BX803=1,BX803=2,BX803=3),N(INDEX(Parameter!$I$5:$I$7,BX803)),0),0)</f>
        <v>0</v>
      </c>
      <c r="CH803" s="59" t="n">
        <f aca="false">IF(AND(Parameter!$B$21="Ja",ISNUMBER(W803),N(X803)&gt;0),IFERROR(N(INDEX(Parameter!$L$5:$L$7,W803))*INDEX(Parameter!$E$5:$E$7,W803)*X803/SUMIFS($X$7:$X$1843,$W$7:$W$1843,W803),0),0)</f>
        <v>0</v>
      </c>
    </row>
    <row r="804" customFormat="false" ht="15" hidden="false" customHeight="false" outlineLevel="0" collapsed="false">
      <c r="A804" s="55" t="s">
        <v>1561</v>
      </c>
      <c r="B804" s="55" t="s">
        <v>405</v>
      </c>
      <c r="C804" s="55" t="s">
        <v>164</v>
      </c>
      <c r="D804" s="55" t="s">
        <v>184</v>
      </c>
      <c r="E804" s="55" t="s">
        <v>185</v>
      </c>
      <c r="F804" s="55" t="s">
        <v>218</v>
      </c>
      <c r="G804" s="56" t="n">
        <v>0.04</v>
      </c>
      <c r="H804" s="57" t="n">
        <f aca="false">MAX(0,IF(AND(Parameter!$B$21="Ja",ISNUMBER(Y804)),Y804,IF(Parameter!$B$20="Jahresanfang 2025 + Export",BL804+BK804,BK804)))</f>
        <v>382</v>
      </c>
      <c r="I804" s="57" t="n">
        <f aca="false">H804*G804</f>
        <v>15.28</v>
      </c>
      <c r="J804" s="57" t="n">
        <f aca="false">BN804*Parameter!$B$18</f>
        <v>112</v>
      </c>
      <c r="K804" s="58" t="n">
        <v>454.5</v>
      </c>
      <c r="L804" s="59" t="n">
        <v>0.246424642464246</v>
      </c>
      <c r="M804" s="57" t="n">
        <v>6</v>
      </c>
      <c r="N804" s="57" t="n">
        <v>110</v>
      </c>
      <c r="O804" s="60" t="n">
        <v>21</v>
      </c>
      <c r="P804" s="55" t="s">
        <v>426</v>
      </c>
      <c r="Q804" s="57" t="n">
        <v>589</v>
      </c>
      <c r="R804" s="60" t="n">
        <f aca="false">IF(BT804=1,0,IFERROR(VLOOKUP(BR804,'Gebinde-Kategorie'!$A$5:$M$45,13,0)+0,0))</f>
        <v>198</v>
      </c>
      <c r="S804" s="61"/>
      <c r="T804" s="62"/>
      <c r="U804" s="62"/>
      <c r="V804" s="62"/>
      <c r="W804" s="55"/>
      <c r="X804" s="57"/>
      <c r="Y804" s="57"/>
      <c r="Z804" s="55" t="n">
        <f aca="false">IF(A804="","",IF(AND(Parameter!$B$21="Ja",ISNUMBER(W804)),W804,IF(BV804="2+3",IF(ISNUMBER(SEARCH("grosser Artikel",BO804)),2,IFERROR(VLOOKUP(BR804,Parameter!$F$35:$G$64,2,0),2)),IF(OR(BV804="Nein",BV804=""),"-",BV804))))</f>
        <v>3</v>
      </c>
      <c r="AA804" s="62"/>
      <c r="AB804" s="63"/>
      <c r="AC804" s="57" t="n">
        <f aca="false">AR804</f>
        <v>589</v>
      </c>
      <c r="AD804" s="57" t="n">
        <f aca="false">MAX(AR804,H804)</f>
        <v>589</v>
      </c>
      <c r="AE804" s="64"/>
      <c r="AF804" s="57" t="n">
        <f aca="false">IF(LEFT(Cockpit!$C$5,1)="A",H804,IF(CA804=1,CB804,IF(LEFT(Cockpit!$C$5,1)="B",AJ804,MAX(AJ804,H804))))</f>
        <v>382</v>
      </c>
      <c r="AG804" s="57" t="n">
        <f aca="false">IF(BT804=1,0,ROUNDUP(AF804/BS804,0))</f>
        <v>1</v>
      </c>
      <c r="AH804" s="59" t="n">
        <f aca="false">IF(CH804&gt;0,CH804*MAX(1,AF804/X804),IF(BT804=1,IF(AF804&lt;=0,0,BW804*MAX(1,IF(H804&gt;0,AF804/H804,1))),IF(R804&gt;0,AG804/R804,0))/MAX(0.1,N(Parameter!$M$21)))</f>
        <v>0.00505050505050505</v>
      </c>
      <c r="AI804" s="57" t="n">
        <f aca="false">AF804*G804</f>
        <v>15.28</v>
      </c>
      <c r="AJ804" s="57" t="n">
        <f aca="false">ROUNDUP(MAX(J804/IF(BZ804&gt;0,BZ804,MAX(0.1,N(Cockpit!$C$6))),CC804)/BS804,0)*BS804</f>
        <v>589</v>
      </c>
      <c r="AK804" s="58" t="n">
        <f aca="false">IF(AH804&gt;0,J804/AH804,-1)</f>
        <v>22176</v>
      </c>
      <c r="AL804" s="58" t="n">
        <f aca="false">IF(AND(OR(BY804="L1",BY804="L23"),AH804&gt;0),SUMIFS($AH$7:$AH$1843,$BY$7:$BY$1843,BY804,$AK$7:$AK$1843,"&gt;"&amp;AK804)+SUMIFS($AH$7:$AH$1843,$BY$7:$BY$1843,BY804,$AK$7:$AK$1843,AK804,$BQ$7:$BQ$1843,"&lt;="&amp;BQ804),"")</f>
        <v>3.4868838890578</v>
      </c>
      <c r="AM804" s="65" t="n">
        <f aca="false">IF(AL804="",0,MAX(0,MIN(1,(IF(BY804="L1",Parameter!$E$5,Parameter!$E$6+Parameter!$E$7)-(AL804-AH804))/AH804)))</f>
        <v>1</v>
      </c>
      <c r="AN804" s="57" t="n">
        <f aca="false">IF(LEFT(Cockpit!$I$5,1)="A",H804,IF(CA804=1,CB804,IF(LEFT(Cockpit!$I$5,1)="B",AR804,MAX(AR804,H804))))</f>
        <v>589</v>
      </c>
      <c r="AO804" s="57" t="n">
        <f aca="false">IF(BT804=1,0,ROUNDUP(AN804/BS804,0))</f>
        <v>1</v>
      </c>
      <c r="AP804" s="59" t="n">
        <f aca="false">IF(CH804&gt;0,CH804*MAX(1,AN804/X804),IF(BT804=1,IF(AN804&lt;=0,0,BW804*MAX(1,IF(H804&gt;0,AN804/H804,1))),IF(R804&gt;0,AO804/R804,0))/MAX(0.1,N(Parameter!$M$21)))</f>
        <v>0.00505050505050505</v>
      </c>
      <c r="AQ804" s="57" t="n">
        <f aca="false">AN804*G804</f>
        <v>23.56</v>
      </c>
      <c r="AR804" s="57" t="n">
        <f aca="false">ROUNDUP(MAX(J804/IF(BZ804&gt;0,BZ804,MAX(0.1,N(Cockpit!$I$6))),CC804)/BS804,0)*BS804</f>
        <v>589</v>
      </c>
      <c r="AS804" s="58" t="n">
        <f aca="false">IF(AP804&gt;0,J804/AP804,-1)</f>
        <v>22176</v>
      </c>
      <c r="AT804" s="58" t="n">
        <f aca="false">IF(AND(OR(BY804="L1",BY804="L23"),AP804&gt;0),SUMIFS($AP$7:$AP$1843,$BY$7:$BY$1843,BY804,$AS$7:$AS$1843,"&gt;"&amp;AS804)+SUMIFS($AP$7:$AP$1843,$BY$7:$BY$1843,BY804,$AS$7:$AS$1843,AS804,$BQ$7:$BQ$1843,"&lt;="&amp;BQ804),"")</f>
        <v>3.98752575926489</v>
      </c>
      <c r="AU804" s="65" t="n">
        <f aca="false">IF(AT804="",0,MAX(0,MIN(1,(IF(BY804="L1",Parameter!$E$5,Parameter!$E$6+Parameter!$E$7)-(AT804-AP804))/AP804)))</f>
        <v>1</v>
      </c>
      <c r="AV804" s="57" t="n">
        <f aca="false">IF(LEFT(Cockpit!$O$5,1)="A",H804,IF(CA804=1,CB804,IF(LEFT(Cockpit!$O$5,1)="B",AZ804,MAX(AZ804,H804))))</f>
        <v>589</v>
      </c>
      <c r="AW804" s="57" t="n">
        <f aca="false">IF(BT804=1,0,ROUNDUP(AV804/BS804,0))</f>
        <v>1</v>
      </c>
      <c r="AX804" s="59" t="n">
        <f aca="false">IF(CH804&gt;0,CH804*MAX(1,AV804/X804),IF(BT804=1,IF(AV804&lt;=0,0,BW804*MAX(1,IF(H804&gt;0,AV804/H804,1))),IF(R804&gt;0,AW804/R804,0))/MAX(0.1,N(Parameter!$M$21)))</f>
        <v>0.00505050505050505</v>
      </c>
      <c r="AY804" s="57" t="n">
        <f aca="false">AV804*G804</f>
        <v>23.56</v>
      </c>
      <c r="AZ804" s="57" t="n">
        <f aca="false">ROUNDUP(MAX(J804/IF(BZ804&gt;0,BZ804,MAX(0.1,N(Cockpit!$O$6))),CC804)/BS804,0)*BS804</f>
        <v>589</v>
      </c>
      <c r="BA804" s="58" t="n">
        <f aca="false">IF(AX804&gt;0,J804/AX804,-1)</f>
        <v>22176</v>
      </c>
      <c r="BB804" s="58" t="n">
        <f aca="false">IF(AND(OR(BY804="L1",BY804="L23"),AX804&gt;0),SUMIFS($AX$7:$AX$1843,$BY$7:$BY$1843,BY804,$BA$7:$BA$1843,"&gt;"&amp;BA804)+SUMIFS($AX$7:$AX$1843,$BY$7:$BY$1843,BY804,$BA$7:$BA$1843,BA804,$BQ$7:$BQ$1843,"&lt;="&amp;BQ804),"")</f>
        <v>3.64020641194554</v>
      </c>
      <c r="BC804" s="65" t="n">
        <f aca="false">IF(BB804="",0,MAX(0,MIN(1,(IF(BY804="L1",Parameter!$E$5,Parameter!$E$6+Parameter!$E$7)-(BB804-AX804))/AX804)))</f>
        <v>1</v>
      </c>
      <c r="BD804" s="55" t="str">
        <f aca="false">IF(AH804&lt;=0,"",IF(BY804="Aussen","Aussenlager",IF(BY804="-","Nicht im Lift",IF(AM804&gt;=1,"Lift",IF(AM804&lt;=0,"Aussenlager","teilweise")))))</f>
        <v>Lift</v>
      </c>
      <c r="BE804" s="55" t="str">
        <f aca="false">IF(AP804&lt;=0,"",IF(BY804="Aussen","Aussenlager",IF(BY804="-","Nicht im Lift",IF(AU804&gt;=1,"Lift",IF(AU804&lt;=0,"Aussenlager","teilweise")))))</f>
        <v>Lift</v>
      </c>
      <c r="BF804" s="55" t="str">
        <f aca="false">IF(AX804&lt;=0,"",IF(BY804="Aussen","Aussenlager",IF(BY804="-","Nicht im Lift",IF(BC804&gt;=1,"Lift",IF(BC804&lt;=0,"Aussenlager","teilweise")))))</f>
        <v>Lift</v>
      </c>
      <c r="BG804" s="55" t="str">
        <f aca="false">IF(A804="","",IF(BP804=1,"Neu; ","")&amp;IF(AND(BP804=0,BK804&lt;0),"negativer Bestand (Export "&amp;BK804&amp;"); ","")&amp;IF(J804&lt;=0,"Kein Verbrauch; ","")&amp;IF(CH804&gt;0,"Lift "&amp;W804&amp;" lt. Liftbericht (Fach "&amp;X804&amp;" Stk); ",IF(BU804=1,"Gebinde geschätzt ("&amp;T804&amp;"); ",IF(BT804=1,"Lose – Tablare geschätzt; ","")))&amp;IF(H804&gt;AR804,"Überbestand "&amp;ROUND(H804-AR804,0)&amp;" Stk / CHF "&amp;ROUND((H804-AR804)*G804,0)&amp;"; ","")&amp;IF(AND(CA804=1,CB804&lt;CC804),"MAX &lt; MB+LG; ","")&amp;IF(AND(CG804&gt;0,CF804*10&gt;CG804),"zu hoch für Tablar; ","")&amp;IF(AND(BP804=0,OR(CA804=1,AA804&lt;&gt;"",U804&lt;&gt;"",V804&lt;&gt;"",AB804&lt;&gt;"")),"manuell übersteuert; ","")&amp;IF(AND(BT804=0,R804=0),"Gebinde unbekannt / Stellmass fehlt; ","")&amp;IF(AND(BT804=0,N(V804)&lt;=0,N(Q804)&lt;=0),"Menge pro Gebinde fehlt (Ist = 1 Gebinde); ","")&amp;BO804)</f>
        <v>negativer Bestand (Export -135); Überbestand</v>
      </c>
      <c r="BH804" s="55"/>
      <c r="BI804" s="55"/>
      <c r="BJ804" s="62"/>
      <c r="BK804" s="57" t="n">
        <v>-135</v>
      </c>
      <c r="BL804" s="57" t="n">
        <v>517</v>
      </c>
      <c r="BM804" s="56" t="n">
        <v>-5.4</v>
      </c>
      <c r="BN804" s="57" t="n">
        <v>112</v>
      </c>
      <c r="BO804" s="55" t="s">
        <v>392</v>
      </c>
      <c r="BP804" s="60" t="n">
        <v>0</v>
      </c>
      <c r="BQ804" s="60" t="n">
        <v>804</v>
      </c>
      <c r="BR804" s="55" t="str">
        <f aca="false">IF(U804&lt;&gt;"",UPPER(TRIM(U804)),IF(BU804=1,UPPER(VLOOKUP(T804,Parameter!$I$27:$K$29,2,0)),IF(P804="","LOSE",P804)))</f>
        <v>S22</v>
      </c>
      <c r="BS804" s="57" t="n">
        <f aca="false">IF(BR804="LOSE",1,IF(N(V804)&gt;0,V804,IF(BU804=1,MAX(1,N(VLOOKUP(T804,Parameter!$I$27:$K$29,3,0)),H804,N(N804)),IF(N(Q804)&gt;0,Q804,MAX(1,H804)))))</f>
        <v>589</v>
      </c>
      <c r="BT804" s="60" t="n">
        <f aca="false">IF(BR804="LOSE",1,0)</f>
        <v>0</v>
      </c>
      <c r="BU804" s="60" t="n">
        <f aca="false">IF(AND(U804="",OR(P804="",P804="LOSE"),T804&lt;&gt;"",N(S804)&lt;=0,ISNUMBER(MATCH(T804,Parameter!$I$27:$I$29,0))),1,0)</f>
        <v>0</v>
      </c>
      <c r="BV804" s="55" t="str">
        <f aca="false">IF(AND(Parameter!$B$19="Ja",E804&lt;&gt;"",ISNUMBER(MATCH(E804,Parameter!$I$35:$I$52,0))),VLOOKUP(E804,Parameter!$I$35:$J$52,2,0),IFERROR(VLOOKUP(D804,Parameter!$A$35:$C$64,2,0),"Nein"))</f>
        <v>2+3</v>
      </c>
      <c r="BW804" s="59" t="n">
        <f aca="false">IF(BT804=0,0,IF(N(S804)&gt;0,S804,IFERROR(VLOOKUP(D804,Parameter!$A$35:$C$64,3,0)+0,0)))</f>
        <v>0</v>
      </c>
      <c r="BX804" s="55" t="n">
        <f aca="false">IF(AA804&lt;&gt;"",AA804,Z804)</f>
        <v>3</v>
      </c>
      <c r="BY804" s="55" t="str">
        <f aca="false">IF(BX804=1,"L1",IF(OR(BX804=2,BX804=3),"L23",IF(BX804="Aussen","Aussen","-")))</f>
        <v>L23</v>
      </c>
      <c r="BZ804" s="66" t="n">
        <f aca="false">IF(N(AB804)&gt;0,AB804,0)</f>
        <v>0</v>
      </c>
      <c r="CA804" s="60" t="n">
        <f aca="false">IF(ISNUMBER(AE804),1,0)</f>
        <v>0</v>
      </c>
      <c r="CB804" s="57" t="n">
        <f aca="false">N(AE804)</f>
        <v>0</v>
      </c>
      <c r="CC804" s="57" t="n">
        <f aca="false">N(M804)+N(N804)</f>
        <v>116</v>
      </c>
      <c r="CD804" s="57" t="n">
        <f aca="false">ROUNDUP(H804/BS804,0)</f>
        <v>1</v>
      </c>
      <c r="CE804" s="57" t="n">
        <f aca="false">ROUNDUP(CB804/BS804,0)</f>
        <v>0</v>
      </c>
      <c r="CF804" s="60" t="n">
        <f aca="false">IF(BT804=1,0,IFERROR(VLOOKUP(BR804,'Gebinde-Kategorie'!$A$5:$M$45,5,0)+0,0))</f>
        <v>8</v>
      </c>
      <c r="CG804" s="60" t="n">
        <f aca="false">IFERROR(IF(OR(BX804=1,BX804=2,BX804=3),N(INDEX(Parameter!$I$5:$I$7,BX804)),0),0)</f>
        <v>0</v>
      </c>
      <c r="CH804" s="59" t="n">
        <f aca="false">IF(AND(Parameter!$B$21="Ja",ISNUMBER(W804),N(X804)&gt;0),IFERROR(N(INDEX(Parameter!$L$5:$L$7,W804))*INDEX(Parameter!$E$5:$E$7,W804)*X804/SUMIFS($X$7:$X$1843,$W$7:$W$1843,W804),0),0)</f>
        <v>0</v>
      </c>
    </row>
    <row r="805" customFormat="false" ht="15" hidden="false" customHeight="false" outlineLevel="0" collapsed="false">
      <c r="A805" s="55" t="s">
        <v>1562</v>
      </c>
      <c r="B805" s="55" t="s">
        <v>1233</v>
      </c>
      <c r="C805" s="55" t="s">
        <v>164</v>
      </c>
      <c r="D805" s="55" t="s">
        <v>184</v>
      </c>
      <c r="E805" s="55"/>
      <c r="F805" s="55" t="s">
        <v>218</v>
      </c>
      <c r="G805" s="56" t="n">
        <v>5.8</v>
      </c>
      <c r="H805" s="57" t="n">
        <f aca="false">MAX(0,IF(AND(Parameter!$B$21="Ja",ISNUMBER(Y805)),Y805,IF(Parameter!$B$20="Jahresanfang 2025 + Export",BL805+BK805,BK805)))</f>
        <v>3</v>
      </c>
      <c r="I805" s="57" t="n">
        <f aca="false">H805*G805</f>
        <v>17.4</v>
      </c>
      <c r="J805" s="57" t="n">
        <f aca="false">BN805*Parameter!$B$18</f>
        <v>0</v>
      </c>
      <c r="K805" s="58" t="n">
        <v>4</v>
      </c>
      <c r="L805" s="59" t="n">
        <v>0</v>
      </c>
      <c r="M805" s="57" t="n">
        <v>0</v>
      </c>
      <c r="N805" s="57" t="n">
        <v>1</v>
      </c>
      <c r="O805" s="60" t="n">
        <v>14</v>
      </c>
      <c r="P805" s="55" t="s">
        <v>426</v>
      </c>
      <c r="Q805" s="57" t="n">
        <v>2</v>
      </c>
      <c r="R805" s="60" t="n">
        <f aca="false">IF(BT805=1,0,IFERROR(VLOOKUP(BR805,'Gebinde-Kategorie'!$A$5:$M$45,13,0)+0,0))</f>
        <v>198</v>
      </c>
      <c r="S805" s="61"/>
      <c r="T805" s="62"/>
      <c r="U805" s="62"/>
      <c r="V805" s="62"/>
      <c r="W805" s="55"/>
      <c r="X805" s="57"/>
      <c r="Y805" s="57"/>
      <c r="Z805" s="55" t="n">
        <f aca="false">IF(A805="","",IF(AND(Parameter!$B$21="Ja",ISNUMBER(W805)),W805,IF(BV805="2+3",IF(ISNUMBER(SEARCH("grosser Artikel",BO805)),2,IFERROR(VLOOKUP(BR805,Parameter!$F$35:$G$64,2,0),2)),IF(OR(BV805="Nein",BV805=""),"-",BV805))))</f>
        <v>3</v>
      </c>
      <c r="AA805" s="62"/>
      <c r="AB805" s="63"/>
      <c r="AC805" s="57" t="n">
        <f aca="false">AR805</f>
        <v>2</v>
      </c>
      <c r="AD805" s="57" t="n">
        <f aca="false">MAX(AR805,H805)</f>
        <v>3</v>
      </c>
      <c r="AE805" s="64"/>
      <c r="AF805" s="57" t="n">
        <f aca="false">IF(LEFT(Cockpit!$C$5,1)="A",H805,IF(CA805=1,CB805,IF(LEFT(Cockpit!$C$5,1)="B",AJ805,MAX(AJ805,H805))))</f>
        <v>3</v>
      </c>
      <c r="AG805" s="57" t="n">
        <f aca="false">IF(BT805=1,0,ROUNDUP(AF805/BS805,0))</f>
        <v>2</v>
      </c>
      <c r="AH805" s="59" t="n">
        <f aca="false">IF(CH805&gt;0,CH805*MAX(1,AF805/X805),IF(BT805=1,IF(AF805&lt;=0,0,BW805*MAX(1,IF(H805&gt;0,AF805/H805,1))),IF(R805&gt;0,AG805/R805,0))/MAX(0.1,N(Parameter!$M$21)))</f>
        <v>0.0101010101010101</v>
      </c>
      <c r="AI805" s="57" t="n">
        <f aca="false">AF805*G805</f>
        <v>17.4</v>
      </c>
      <c r="AJ805" s="57" t="n">
        <f aca="false">ROUNDUP(MAX(J805/IF(BZ805&gt;0,BZ805,MAX(0.1,N(Cockpit!$C$6))),CC805)/BS805,0)*BS805</f>
        <v>2</v>
      </c>
      <c r="AK805" s="58" t="n">
        <f aca="false">IF(AH805&gt;0,J805/AH805,-1)</f>
        <v>0</v>
      </c>
      <c r="AL805" s="58" t="n">
        <f aca="false">IF(AND(OR(BY805="L1",BY805="L23"),AH805&gt;0),SUMIFS($AH$7:$AH$1843,$BY$7:$BY$1843,BY805,$AK$7:$AK$1843,"&gt;"&amp;AK805)+SUMIFS($AH$7:$AH$1843,$BY$7:$BY$1843,BY805,$AK$7:$AK$1843,AK805,$BQ$7:$BQ$1843,"&lt;="&amp;BQ805),"")</f>
        <v>77.5616533225229</v>
      </c>
      <c r="AM805" s="65" t="n">
        <f aca="false">IF(AL805="",0,MAX(0,MIN(1,(IF(BY805="L1",Parameter!$E$5,Parameter!$E$6+Parameter!$E$7)-(AL805-AH805))/AH805)))</f>
        <v>1</v>
      </c>
      <c r="AN805" s="57" t="n">
        <f aca="false">IF(LEFT(Cockpit!$I$5,1)="A",H805,IF(CA805=1,CB805,IF(LEFT(Cockpit!$I$5,1)="B",AR805,MAX(AR805,H805))))</f>
        <v>3</v>
      </c>
      <c r="AO805" s="57" t="n">
        <f aca="false">IF(BT805=1,0,ROUNDUP(AN805/BS805,0))</f>
        <v>2</v>
      </c>
      <c r="AP805" s="59" t="n">
        <f aca="false">IF(CH805&gt;0,CH805*MAX(1,AN805/X805),IF(BT805=1,IF(AN805&lt;=0,0,BW805*MAX(1,IF(H805&gt;0,AN805/H805,1))),IF(R805&gt;0,AO805/R805,0))/MAX(0.1,N(Parameter!$M$21)))</f>
        <v>0.0101010101010101</v>
      </c>
      <c r="AQ805" s="57" t="n">
        <f aca="false">AN805*G805</f>
        <v>17.4</v>
      </c>
      <c r="AR805" s="57" t="n">
        <f aca="false">ROUNDUP(MAX(J805/IF(BZ805&gt;0,BZ805,MAX(0.1,N(Cockpit!$I$6))),CC805)/BS805,0)*BS805</f>
        <v>2</v>
      </c>
      <c r="AS805" s="58" t="n">
        <f aca="false">IF(AP805&gt;0,J805/AP805,-1)</f>
        <v>0</v>
      </c>
      <c r="AT805" s="58" t="n">
        <f aca="false">IF(AND(OR(BY805="L1",BY805="L23"),AP805&gt;0),SUMIFS($AP$7:$AP$1843,$BY$7:$BY$1843,BY805,$AS$7:$AS$1843,"&gt;"&amp;AS805)+SUMIFS($AP$7:$AP$1843,$BY$7:$BY$1843,BY805,$AS$7:$AS$1843,AS805,$BQ$7:$BQ$1843,"&lt;="&amp;BQ805),"")</f>
        <v>118.432916117699</v>
      </c>
      <c r="AU805" s="65" t="n">
        <f aca="false">IF(AT805="",0,MAX(0,MIN(1,(IF(BY805="L1",Parameter!$E$5,Parameter!$E$6+Parameter!$E$7)-(AT805-AP805))/AP805)))</f>
        <v>0</v>
      </c>
      <c r="AV805" s="57" t="n">
        <f aca="false">IF(LEFT(Cockpit!$O$5,1)="A",H805,IF(CA805=1,CB805,IF(LEFT(Cockpit!$O$5,1)="B",AZ805,MAX(AZ805,H805))))</f>
        <v>3</v>
      </c>
      <c r="AW805" s="57" t="n">
        <f aca="false">IF(BT805=1,0,ROUNDUP(AV805/BS805,0))</f>
        <v>2</v>
      </c>
      <c r="AX805" s="59" t="n">
        <f aca="false">IF(CH805&gt;0,CH805*MAX(1,AV805/X805),IF(BT805=1,IF(AV805&lt;=0,0,BW805*MAX(1,IF(H805&gt;0,AV805/H805,1))),IF(R805&gt;0,AW805/R805,0))/MAX(0.1,N(Parameter!$M$21)))</f>
        <v>0.0101010101010101</v>
      </c>
      <c r="AY805" s="57" t="n">
        <f aca="false">AV805*G805</f>
        <v>17.4</v>
      </c>
      <c r="AZ805" s="57" t="n">
        <f aca="false">ROUNDUP(MAX(J805/IF(BZ805&gt;0,BZ805,MAX(0.1,N(Cockpit!$O$6))),CC805)/BS805,0)*BS805</f>
        <v>2</v>
      </c>
      <c r="BA805" s="58" t="n">
        <f aca="false">IF(AX805&gt;0,J805/AX805,-1)</f>
        <v>0</v>
      </c>
      <c r="BB805" s="58" t="n">
        <f aca="false">IF(AND(OR(BY805="L1",BY805="L23"),AX805&gt;0),SUMIFS($AX$7:$AX$1843,$BY$7:$BY$1843,BY805,$BA$7:$BA$1843,"&gt;"&amp;BA805)+SUMIFS($AX$7:$AX$1843,$BY$7:$BY$1843,BY805,$BA$7:$BA$1843,BA805,$BQ$7:$BQ$1843,"&lt;="&amp;BQ805),"")</f>
        <v>109.262752947536</v>
      </c>
      <c r="BC805" s="65" t="n">
        <f aca="false">IF(BB805="",0,MAX(0,MIN(1,(IF(BY805="L1",Parameter!$E$5,Parameter!$E$6+Parameter!$E$7)-(BB805-AX805))/AX805)))</f>
        <v>0</v>
      </c>
      <c r="BD805" s="55" t="str">
        <f aca="false">IF(AH805&lt;=0,"",IF(BY805="Aussen","Aussenlager",IF(BY805="-","Nicht im Lift",IF(AM805&gt;=1,"Lift",IF(AM805&lt;=0,"Aussenlager","teilweise")))))</f>
        <v>Lift</v>
      </c>
      <c r="BE805" s="55" t="str">
        <f aca="false">IF(AP805&lt;=0,"",IF(BY805="Aussen","Aussenlager",IF(BY805="-","Nicht im Lift",IF(AU805&gt;=1,"Lift",IF(AU805&lt;=0,"Aussenlager","teilweise")))))</f>
        <v>Aussenlager</v>
      </c>
      <c r="BF805" s="55" t="str">
        <f aca="false">IF(AX805&lt;=0,"",IF(BY805="Aussen","Aussenlager",IF(BY805="-","Nicht im Lift",IF(BC805&gt;=1,"Lift",IF(BC805&lt;=0,"Aussenlager","teilweise")))))</f>
        <v>Aussenlager</v>
      </c>
      <c r="BG805" s="55" t="str">
        <f aca="false">IF(A805="","",IF(BP805=1,"Neu; ","")&amp;IF(AND(BP805=0,BK805&lt;0),"negativer Bestand (Export "&amp;BK805&amp;"); ","")&amp;IF(J805&lt;=0,"Kein Verbrauch; ","")&amp;IF(CH805&gt;0,"Lift "&amp;W805&amp;" lt. Liftbericht (Fach "&amp;X805&amp;" Stk); ",IF(BU805=1,"Gebinde geschätzt ("&amp;T805&amp;"); ",IF(BT805=1,"Lose – Tablare geschätzt; ","")))&amp;IF(H805&gt;AR805,"Überbestand "&amp;ROUND(H805-AR805,0)&amp;" Stk / CHF "&amp;ROUND((H805-AR805)*G805,0)&amp;"; ","")&amp;IF(AND(CA805=1,CB805&lt;CC805),"MAX &lt; MB+LG; ","")&amp;IF(AND(CG805&gt;0,CF805*10&gt;CG805),"zu hoch für Tablar; ","")&amp;IF(AND(BP805=0,OR(CA805=1,AA805&lt;&gt;"",U805&lt;&gt;"",V805&lt;&gt;"",AB805&lt;&gt;"")),"manuell übersteuert; ","")&amp;IF(AND(BT805=0,R805=0),"Gebinde unbekannt / Stellmass fehlt; ","")&amp;IF(AND(BT805=0,N(V805)&lt;=0,N(Q805)&lt;=0),"Menge pro Gebinde fehlt (Ist = 1 Gebinde); ","")&amp;BO805)</f>
        <v>negativer Bestand (Export -1); Kein Verbrauch; Überbestand 1 Stk / CHF 6; </v>
      </c>
      <c r="BH805" s="55"/>
      <c r="BI805" s="55"/>
      <c r="BJ805" s="62"/>
      <c r="BK805" s="57" t="n">
        <v>-1</v>
      </c>
      <c r="BL805" s="57" t="n">
        <v>4</v>
      </c>
      <c r="BM805" s="56" t="n">
        <v>-5.44000000000001</v>
      </c>
      <c r="BN805" s="57" t="n">
        <v>0</v>
      </c>
      <c r="BO805" s="55"/>
      <c r="BP805" s="60" t="n">
        <v>0</v>
      </c>
      <c r="BQ805" s="60" t="n">
        <v>805</v>
      </c>
      <c r="BR805" s="55" t="str">
        <f aca="false">IF(U805&lt;&gt;"",UPPER(TRIM(U805)),IF(BU805=1,UPPER(VLOOKUP(T805,Parameter!$I$27:$K$29,2,0)),IF(P805="","LOSE",P805)))</f>
        <v>S22</v>
      </c>
      <c r="BS805" s="57" t="n">
        <f aca="false">IF(BR805="LOSE",1,IF(N(V805)&gt;0,V805,IF(BU805=1,MAX(1,N(VLOOKUP(T805,Parameter!$I$27:$K$29,3,0)),H805,N(N805)),IF(N(Q805)&gt;0,Q805,MAX(1,H805)))))</f>
        <v>2</v>
      </c>
      <c r="BT805" s="60" t="n">
        <f aca="false">IF(BR805="LOSE",1,0)</f>
        <v>0</v>
      </c>
      <c r="BU805" s="60" t="n">
        <f aca="false">IF(AND(U805="",OR(P805="",P805="LOSE"),T805&lt;&gt;"",N(S805)&lt;=0,ISNUMBER(MATCH(T805,Parameter!$I$27:$I$29,0))),1,0)</f>
        <v>0</v>
      </c>
      <c r="BV805" s="55" t="str">
        <f aca="false">IF(AND(Parameter!$B$19="Ja",E805&lt;&gt;"",ISNUMBER(MATCH(E805,Parameter!$I$35:$I$52,0))),VLOOKUP(E805,Parameter!$I$35:$J$52,2,0),IFERROR(VLOOKUP(D805,Parameter!$A$35:$C$64,2,0),"Nein"))</f>
        <v>2+3</v>
      </c>
      <c r="BW805" s="59" t="n">
        <f aca="false">IF(BT805=0,0,IF(N(S805)&gt;0,S805,IFERROR(VLOOKUP(D805,Parameter!$A$35:$C$64,3,0)+0,0)))</f>
        <v>0</v>
      </c>
      <c r="BX805" s="55" t="n">
        <f aca="false">IF(AA805&lt;&gt;"",AA805,Z805)</f>
        <v>3</v>
      </c>
      <c r="BY805" s="55" t="str">
        <f aca="false">IF(BX805=1,"L1",IF(OR(BX805=2,BX805=3),"L23",IF(BX805="Aussen","Aussen","-")))</f>
        <v>L23</v>
      </c>
      <c r="BZ805" s="66" t="n">
        <f aca="false">IF(N(AB805)&gt;0,AB805,0)</f>
        <v>0</v>
      </c>
      <c r="CA805" s="60" t="n">
        <f aca="false">IF(ISNUMBER(AE805),1,0)</f>
        <v>0</v>
      </c>
      <c r="CB805" s="57" t="n">
        <f aca="false">N(AE805)</f>
        <v>0</v>
      </c>
      <c r="CC805" s="57" t="n">
        <f aca="false">N(M805)+N(N805)</f>
        <v>1</v>
      </c>
      <c r="CD805" s="57" t="n">
        <f aca="false">ROUNDUP(H805/BS805,0)</f>
        <v>2</v>
      </c>
      <c r="CE805" s="57" t="n">
        <f aca="false">ROUNDUP(CB805/BS805,0)</f>
        <v>0</v>
      </c>
      <c r="CF805" s="60" t="n">
        <f aca="false">IF(BT805=1,0,IFERROR(VLOOKUP(BR805,'Gebinde-Kategorie'!$A$5:$M$45,5,0)+0,0))</f>
        <v>8</v>
      </c>
      <c r="CG805" s="60" t="n">
        <f aca="false">IFERROR(IF(OR(BX805=1,BX805=2,BX805=3),N(INDEX(Parameter!$I$5:$I$7,BX805)),0),0)</f>
        <v>0</v>
      </c>
      <c r="CH805" s="59" t="n">
        <f aca="false">IF(AND(Parameter!$B$21="Ja",ISNUMBER(W805),N(X805)&gt;0),IFERROR(N(INDEX(Parameter!$L$5:$L$7,W805))*INDEX(Parameter!$E$5:$E$7,W805)*X805/SUMIFS($X$7:$X$1843,$W$7:$W$1843,W805),0),0)</f>
        <v>0</v>
      </c>
    </row>
    <row r="806" customFormat="false" ht="15" hidden="false" customHeight="false" outlineLevel="0" collapsed="false">
      <c r="A806" s="55" t="s">
        <v>1563</v>
      </c>
      <c r="B806" s="55" t="s">
        <v>468</v>
      </c>
      <c r="C806" s="55" t="s">
        <v>164</v>
      </c>
      <c r="D806" s="55" t="s">
        <v>184</v>
      </c>
      <c r="E806" s="55" t="s">
        <v>185</v>
      </c>
      <c r="F806" s="55" t="s">
        <v>218</v>
      </c>
      <c r="G806" s="56" t="n">
        <v>0.1</v>
      </c>
      <c r="H806" s="57" t="n">
        <f aca="false">MAX(0,IF(AND(Parameter!$B$21="Ja",ISNUMBER(Y806)),Y806,IF(Parameter!$B$20="Jahresanfang 2025 + Export",BL806+BK806,BK806)))</f>
        <v>225</v>
      </c>
      <c r="I806" s="57" t="n">
        <f aca="false">H806*G806</f>
        <v>22.5</v>
      </c>
      <c r="J806" s="57" t="n">
        <f aca="false">BN806*Parameter!$B$18</f>
        <v>78</v>
      </c>
      <c r="K806" s="58" t="n">
        <v>242</v>
      </c>
      <c r="L806" s="59" t="n">
        <v>0.322314049586777</v>
      </c>
      <c r="M806" s="57" t="n">
        <v>3</v>
      </c>
      <c r="N806" s="57" t="n">
        <v>80</v>
      </c>
      <c r="O806" s="60" t="n">
        <v>14</v>
      </c>
      <c r="P806" s="55" t="s">
        <v>401</v>
      </c>
      <c r="Q806" s="57" t="n">
        <v>432</v>
      </c>
      <c r="R806" s="60" t="n">
        <f aca="false">IF(BT806=1,0,IFERROR(VLOOKUP(BR806,'Gebinde-Kategorie'!$A$5:$M$45,13,0)+0,0))</f>
        <v>414</v>
      </c>
      <c r="S806" s="61"/>
      <c r="T806" s="62"/>
      <c r="U806" s="62"/>
      <c r="V806" s="62"/>
      <c r="W806" s="55"/>
      <c r="X806" s="57"/>
      <c r="Y806" s="57"/>
      <c r="Z806" s="55" t="n">
        <f aca="false">IF(A806="","",IF(AND(Parameter!$B$21="Ja",ISNUMBER(W806)),W806,IF(BV806="2+3",IF(ISNUMBER(SEARCH("grosser Artikel",BO806)),2,IFERROR(VLOOKUP(BR806,Parameter!$F$35:$G$64,2,0),2)),IF(OR(BV806="Nein",BV806=""),"-",BV806))))</f>
        <v>3</v>
      </c>
      <c r="AA806" s="62"/>
      <c r="AB806" s="63"/>
      <c r="AC806" s="57" t="n">
        <f aca="false">AR806</f>
        <v>432</v>
      </c>
      <c r="AD806" s="57" t="n">
        <f aca="false">MAX(AR806,H806)</f>
        <v>432</v>
      </c>
      <c r="AE806" s="64"/>
      <c r="AF806" s="57" t="n">
        <f aca="false">IF(LEFT(Cockpit!$C$5,1)="A",H806,IF(CA806=1,CB806,IF(LEFT(Cockpit!$C$5,1)="B",AJ806,MAX(AJ806,H806))))</f>
        <v>225</v>
      </c>
      <c r="AG806" s="57" t="n">
        <f aca="false">IF(BT806=1,0,ROUNDUP(AF806/BS806,0))</f>
        <v>1</v>
      </c>
      <c r="AH806" s="59" t="n">
        <f aca="false">IF(CH806&gt;0,CH806*MAX(1,AF806/X806),IF(BT806=1,IF(AF806&lt;=0,0,BW806*MAX(1,IF(H806&gt;0,AF806/H806,1))),IF(R806&gt;0,AG806/R806,0))/MAX(0.1,N(Parameter!$M$21)))</f>
        <v>0.00241545893719807</v>
      </c>
      <c r="AI806" s="57" t="n">
        <f aca="false">AF806*G806</f>
        <v>22.5</v>
      </c>
      <c r="AJ806" s="57" t="n">
        <f aca="false">ROUNDUP(MAX(J806/IF(BZ806&gt;0,BZ806,MAX(0.1,N(Cockpit!$C$6))),CC806)/BS806,0)*BS806</f>
        <v>432</v>
      </c>
      <c r="AK806" s="58" t="n">
        <f aca="false">IF(AH806&gt;0,J806/AH806,-1)</f>
        <v>32292</v>
      </c>
      <c r="AL806" s="58" t="n">
        <f aca="false">IF(AND(OR(BY806="L1",BY806="L23"),AH806&gt;0),SUMIFS($AH$7:$AH$1843,$BY$7:$BY$1843,BY806,$AK$7:$AK$1843,"&gt;"&amp;AK806)+SUMIFS($AH$7:$AH$1843,$BY$7:$BY$1843,BY806,$AK$7:$AK$1843,AK806,$BQ$7:$BQ$1843,"&lt;="&amp;BQ806),"")</f>
        <v>2.22441809398331</v>
      </c>
      <c r="AM806" s="65" t="n">
        <f aca="false">IF(AL806="",0,MAX(0,MIN(1,(IF(BY806="L1",Parameter!$E$5,Parameter!$E$6+Parameter!$E$7)-(AL806-AH806))/AH806)))</f>
        <v>1</v>
      </c>
      <c r="AN806" s="57" t="n">
        <f aca="false">IF(LEFT(Cockpit!$I$5,1)="A",H806,IF(CA806=1,CB806,IF(LEFT(Cockpit!$I$5,1)="B",AR806,MAX(AR806,H806))))</f>
        <v>432</v>
      </c>
      <c r="AO806" s="57" t="n">
        <f aca="false">IF(BT806=1,0,ROUNDUP(AN806/BS806,0))</f>
        <v>1</v>
      </c>
      <c r="AP806" s="59" t="n">
        <f aca="false">IF(CH806&gt;0,CH806*MAX(1,AN806/X806),IF(BT806=1,IF(AN806&lt;=0,0,BW806*MAX(1,IF(H806&gt;0,AN806/H806,1))),IF(R806&gt;0,AO806/R806,0))/MAX(0.1,N(Parameter!$M$21)))</f>
        <v>0.00241545893719807</v>
      </c>
      <c r="AQ806" s="57" t="n">
        <f aca="false">AN806*G806</f>
        <v>43.2</v>
      </c>
      <c r="AR806" s="57" t="n">
        <f aca="false">ROUNDUP(MAX(J806/IF(BZ806&gt;0,BZ806,MAX(0.1,N(Cockpit!$I$6))),CC806)/BS806,0)*BS806</f>
        <v>432</v>
      </c>
      <c r="AS806" s="58" t="n">
        <f aca="false">IF(AP806&gt;0,J806/AP806,-1)</f>
        <v>32292</v>
      </c>
      <c r="AT806" s="58" t="n">
        <f aca="false">IF(AND(OR(BY806="L1",BY806="L23"),AP806&gt;0),SUMIFS($AP$7:$AP$1843,$BY$7:$BY$1843,BY806,$AS$7:$AS$1843,"&gt;"&amp;AS806)+SUMIFS($AP$7:$AP$1843,$BY$7:$BY$1843,BY806,$AS$7:$AS$1843,AS806,$BQ$7:$BQ$1843,"&lt;="&amp;BQ806),"")</f>
        <v>2.80958413567109</v>
      </c>
      <c r="AU806" s="65" t="n">
        <f aca="false">IF(AT806="",0,MAX(0,MIN(1,(IF(BY806="L1",Parameter!$E$5,Parameter!$E$6+Parameter!$E$7)-(AT806-AP806))/AP806)))</f>
        <v>1</v>
      </c>
      <c r="AV806" s="57" t="n">
        <f aca="false">IF(LEFT(Cockpit!$O$5,1)="A",H806,IF(CA806=1,CB806,IF(LEFT(Cockpit!$O$5,1)="B",AZ806,MAX(AZ806,H806))))</f>
        <v>432</v>
      </c>
      <c r="AW806" s="57" t="n">
        <f aca="false">IF(BT806=1,0,ROUNDUP(AV806/BS806,0))</f>
        <v>1</v>
      </c>
      <c r="AX806" s="59" t="n">
        <f aca="false">IF(CH806&gt;0,CH806*MAX(1,AV806/X806),IF(BT806=1,IF(AV806&lt;=0,0,BW806*MAX(1,IF(H806&gt;0,AV806/H806,1))),IF(R806&gt;0,AW806/R806,0))/MAX(0.1,N(Parameter!$M$21)))</f>
        <v>0.00241545893719807</v>
      </c>
      <c r="AY806" s="57" t="n">
        <f aca="false">AV806*G806</f>
        <v>43.2</v>
      </c>
      <c r="AZ806" s="57" t="n">
        <f aca="false">ROUNDUP(MAX(J806/IF(BZ806&gt;0,BZ806,MAX(0.1,N(Cockpit!$O$6))),CC806)/BS806,0)*BS806</f>
        <v>432</v>
      </c>
      <c r="BA806" s="58" t="n">
        <f aca="false">IF(AX806&gt;0,J806/AX806,-1)</f>
        <v>32292</v>
      </c>
      <c r="BB806" s="58" t="n">
        <f aca="false">IF(AND(OR(BY806="L1",BY806="L23"),AX806&gt;0),SUMIFS($AX$7:$AX$1843,$BY$7:$BY$1843,BY806,$BA$7:$BA$1843,"&gt;"&amp;BA806)+SUMIFS($AX$7:$AX$1843,$BY$7:$BY$1843,BY806,$BA$7:$BA$1843,BA806,$BQ$7:$BQ$1843,"&lt;="&amp;BQ806),"")</f>
        <v>2.57764940373636</v>
      </c>
      <c r="BC806" s="65" t="n">
        <f aca="false">IF(BB806="",0,MAX(0,MIN(1,(IF(BY806="L1",Parameter!$E$5,Parameter!$E$6+Parameter!$E$7)-(BB806-AX806))/AX806)))</f>
        <v>1</v>
      </c>
      <c r="BD806" s="55" t="str">
        <f aca="false">IF(AH806&lt;=0,"",IF(BY806="Aussen","Aussenlager",IF(BY806="-","Nicht im Lift",IF(AM806&gt;=1,"Lift",IF(AM806&lt;=0,"Aussenlager","teilweise")))))</f>
        <v>Lift</v>
      </c>
      <c r="BE806" s="55" t="str">
        <f aca="false">IF(AP806&lt;=0,"",IF(BY806="Aussen","Aussenlager",IF(BY806="-","Nicht im Lift",IF(AU806&gt;=1,"Lift",IF(AU806&lt;=0,"Aussenlager","teilweise")))))</f>
        <v>Lift</v>
      </c>
      <c r="BF806" s="55" t="str">
        <f aca="false">IF(AX806&lt;=0,"",IF(BY806="Aussen","Aussenlager",IF(BY806="-","Nicht im Lift",IF(BC806&gt;=1,"Lift",IF(BC806&lt;=0,"Aussenlager","teilweise")))))</f>
        <v>Lift</v>
      </c>
      <c r="BG806" s="55" t="str">
        <f aca="false">IF(A806="","",IF(BP806=1,"Neu; ","")&amp;IF(AND(BP806=0,BK806&lt;0),"negativer Bestand (Export "&amp;BK806&amp;"); ","")&amp;IF(J806&lt;=0,"Kein Verbrauch; ","")&amp;IF(CH806&gt;0,"Lift "&amp;W806&amp;" lt. Liftbericht (Fach "&amp;X806&amp;" Stk); ",IF(BU806=1,"Gebinde geschätzt ("&amp;T806&amp;"); ",IF(BT806=1,"Lose – Tablare geschätzt; ","")))&amp;IF(H806&gt;AR806,"Überbestand "&amp;ROUND(H806-AR806,0)&amp;" Stk / CHF "&amp;ROUND((H806-AR806)*G806,0)&amp;"; ","")&amp;IF(AND(CA806=1,CB806&lt;CC806),"MAX &lt; MB+LG; ","")&amp;IF(AND(CG806&gt;0,CF806*10&gt;CG806),"zu hoch für Tablar; ","")&amp;IF(AND(BP806=0,OR(CA806=1,AA806&lt;&gt;"",U806&lt;&gt;"",V806&lt;&gt;"",AB806&lt;&gt;"")),"manuell übersteuert; ","")&amp;IF(AND(BT806=0,R806=0),"Gebinde unbekannt / Stellmass fehlt; ","")&amp;IF(AND(BT806=0,N(V806)&lt;=0,N(Q806)&lt;=0),"Menge pro Gebinde fehlt (Ist = 1 Gebinde); ","")&amp;BO806)</f>
        <v>negativer Bestand (Export -55); </v>
      </c>
      <c r="BH806" s="55"/>
      <c r="BI806" s="55"/>
      <c r="BJ806" s="62"/>
      <c r="BK806" s="57" t="n">
        <v>-55</v>
      </c>
      <c r="BL806" s="57" t="n">
        <v>280</v>
      </c>
      <c r="BM806" s="56" t="n">
        <v>-5.5</v>
      </c>
      <c r="BN806" s="57" t="n">
        <v>78</v>
      </c>
      <c r="BO806" s="55"/>
      <c r="BP806" s="60" t="n">
        <v>0</v>
      </c>
      <c r="BQ806" s="60" t="n">
        <v>806</v>
      </c>
      <c r="BR806" s="55" t="str">
        <f aca="false">IF(U806&lt;&gt;"",UPPER(TRIM(U806)),IF(BU806=1,UPPER(VLOOKUP(T806,Parameter!$I$27:$K$29,2,0)),IF(P806="","LOSE",P806)))</f>
        <v>S21</v>
      </c>
      <c r="BS806" s="57" t="n">
        <f aca="false">IF(BR806="LOSE",1,IF(N(V806)&gt;0,V806,IF(BU806=1,MAX(1,N(VLOOKUP(T806,Parameter!$I$27:$K$29,3,0)),H806,N(N806)),IF(N(Q806)&gt;0,Q806,MAX(1,H806)))))</f>
        <v>432</v>
      </c>
      <c r="BT806" s="60" t="n">
        <f aca="false">IF(BR806="LOSE",1,0)</f>
        <v>0</v>
      </c>
      <c r="BU806" s="60" t="n">
        <f aca="false">IF(AND(U806="",OR(P806="",P806="LOSE"),T806&lt;&gt;"",N(S806)&lt;=0,ISNUMBER(MATCH(T806,Parameter!$I$27:$I$29,0))),1,0)</f>
        <v>0</v>
      </c>
      <c r="BV806" s="55" t="str">
        <f aca="false">IF(AND(Parameter!$B$19="Ja",E806&lt;&gt;"",ISNUMBER(MATCH(E806,Parameter!$I$35:$I$52,0))),VLOOKUP(E806,Parameter!$I$35:$J$52,2,0),IFERROR(VLOOKUP(D806,Parameter!$A$35:$C$64,2,0),"Nein"))</f>
        <v>2+3</v>
      </c>
      <c r="BW806" s="59" t="n">
        <f aca="false">IF(BT806=0,0,IF(N(S806)&gt;0,S806,IFERROR(VLOOKUP(D806,Parameter!$A$35:$C$64,3,0)+0,0)))</f>
        <v>0</v>
      </c>
      <c r="BX806" s="55" t="n">
        <f aca="false">IF(AA806&lt;&gt;"",AA806,Z806)</f>
        <v>3</v>
      </c>
      <c r="BY806" s="55" t="str">
        <f aca="false">IF(BX806=1,"L1",IF(OR(BX806=2,BX806=3),"L23",IF(BX806="Aussen","Aussen","-")))</f>
        <v>L23</v>
      </c>
      <c r="BZ806" s="66" t="n">
        <f aca="false">IF(N(AB806)&gt;0,AB806,0)</f>
        <v>0</v>
      </c>
      <c r="CA806" s="60" t="n">
        <f aca="false">IF(ISNUMBER(AE806),1,0)</f>
        <v>0</v>
      </c>
      <c r="CB806" s="57" t="n">
        <f aca="false">N(AE806)</f>
        <v>0</v>
      </c>
      <c r="CC806" s="57" t="n">
        <f aca="false">N(M806)+N(N806)</f>
        <v>83</v>
      </c>
      <c r="CD806" s="57" t="n">
        <f aca="false">ROUNDUP(H806/BS806,0)</f>
        <v>1</v>
      </c>
      <c r="CE806" s="57" t="n">
        <f aca="false">ROUNDUP(CB806/BS806,0)</f>
        <v>0</v>
      </c>
      <c r="CF806" s="60" t="n">
        <f aca="false">IF(BT806=1,0,IFERROR(VLOOKUP(BR806,'Gebinde-Kategorie'!$A$5:$M$45,5,0)+0,0))</f>
        <v>8</v>
      </c>
      <c r="CG806" s="60" t="n">
        <f aca="false">IFERROR(IF(OR(BX806=1,BX806=2,BX806=3),N(INDEX(Parameter!$I$5:$I$7,BX806)),0),0)</f>
        <v>0</v>
      </c>
      <c r="CH806" s="59" t="n">
        <f aca="false">IF(AND(Parameter!$B$21="Ja",ISNUMBER(W806),N(X806)&gt;0),IFERROR(N(INDEX(Parameter!$L$5:$L$7,W806))*INDEX(Parameter!$E$5:$E$7,W806)*X806/SUMIFS($X$7:$X$1843,$W$7:$W$1843,W806),0),0)</f>
        <v>0</v>
      </c>
    </row>
    <row r="807" customFormat="false" ht="15" hidden="false" customHeight="false" outlineLevel="0" collapsed="false">
      <c r="A807" s="55" t="s">
        <v>1564</v>
      </c>
      <c r="B807" s="55" t="s">
        <v>1565</v>
      </c>
      <c r="C807" s="55" t="s">
        <v>164</v>
      </c>
      <c r="D807" s="55" t="s">
        <v>184</v>
      </c>
      <c r="E807" s="55" t="s">
        <v>185</v>
      </c>
      <c r="F807" s="55" t="s">
        <v>218</v>
      </c>
      <c r="G807" s="56" t="n">
        <v>5.7</v>
      </c>
      <c r="H807" s="57" t="n">
        <f aca="false">MAX(0,IF(AND(Parameter!$B$21="Ja",ISNUMBER(Y807)),Y807,IF(Parameter!$B$20="Jahresanfang 2025 + Export",BL807+BK807,BK807)))</f>
        <v>4</v>
      </c>
      <c r="I807" s="57" t="n">
        <f aca="false">H807*G807</f>
        <v>22.8</v>
      </c>
      <c r="J807" s="57" t="n">
        <f aca="false">BN807*Parameter!$B$18</f>
        <v>1</v>
      </c>
      <c r="K807" s="58" t="n">
        <v>4.5</v>
      </c>
      <c r="L807" s="59" t="n">
        <v>0.222222222222222</v>
      </c>
      <c r="M807" s="57" t="n">
        <v>0</v>
      </c>
      <c r="N807" s="57" t="n">
        <v>1</v>
      </c>
      <c r="O807" s="60" t="n">
        <v>14</v>
      </c>
      <c r="P807" s="55" t="s">
        <v>421</v>
      </c>
      <c r="Q807" s="57" t="n">
        <v>7</v>
      </c>
      <c r="R807" s="60" t="n">
        <f aca="false">IF(BT807=1,0,IFERROR(VLOOKUP(BR807,'Gebinde-Kategorie'!$A$5:$M$45,13,0)+0,0))</f>
        <v>132</v>
      </c>
      <c r="S807" s="61"/>
      <c r="T807" s="62"/>
      <c r="U807" s="62"/>
      <c r="V807" s="62"/>
      <c r="W807" s="55"/>
      <c r="X807" s="57"/>
      <c r="Y807" s="57"/>
      <c r="Z807" s="55" t="n">
        <f aca="false">IF(A807="","",IF(AND(Parameter!$B$21="Ja",ISNUMBER(W807)),W807,IF(BV807="2+3",IF(ISNUMBER(SEARCH("grosser Artikel",BO807)),2,IFERROR(VLOOKUP(BR807,Parameter!$F$35:$G$64,2,0),2)),IF(OR(BV807="Nein",BV807=""),"-",BV807))))</f>
        <v>3</v>
      </c>
      <c r="AA807" s="62"/>
      <c r="AB807" s="63"/>
      <c r="AC807" s="57" t="n">
        <f aca="false">AR807</f>
        <v>7</v>
      </c>
      <c r="AD807" s="57" t="n">
        <f aca="false">MAX(AR807,H807)</f>
        <v>7</v>
      </c>
      <c r="AE807" s="64"/>
      <c r="AF807" s="57" t="n">
        <f aca="false">IF(LEFT(Cockpit!$C$5,1)="A",H807,IF(CA807=1,CB807,IF(LEFT(Cockpit!$C$5,1)="B",AJ807,MAX(AJ807,H807))))</f>
        <v>4</v>
      </c>
      <c r="AG807" s="57" t="n">
        <f aca="false">IF(BT807=1,0,ROUNDUP(AF807/BS807,0))</f>
        <v>1</v>
      </c>
      <c r="AH807" s="59" t="n">
        <f aca="false">IF(CH807&gt;0,CH807*MAX(1,AF807/X807),IF(BT807=1,IF(AF807&lt;=0,0,BW807*MAX(1,IF(H807&gt;0,AF807/H807,1))),IF(R807&gt;0,AG807/R807,0))/MAX(0.1,N(Parameter!$M$21)))</f>
        <v>0.00757575757575758</v>
      </c>
      <c r="AI807" s="57" t="n">
        <f aca="false">AF807*G807</f>
        <v>22.8</v>
      </c>
      <c r="AJ807" s="57" t="n">
        <f aca="false">ROUNDUP(MAX(J807/IF(BZ807&gt;0,BZ807,MAX(0.1,N(Cockpit!$C$6))),CC807)/BS807,0)*BS807</f>
        <v>7</v>
      </c>
      <c r="AK807" s="58" t="n">
        <f aca="false">IF(AH807&gt;0,J807/AH807,-1)</f>
        <v>132</v>
      </c>
      <c r="AL807" s="58" t="n">
        <f aca="false">IF(AND(OR(BY807="L1",BY807="L23"),AH807&gt;0),SUMIFS($AH$7:$AH$1843,$BY$7:$BY$1843,BY807,$AK$7:$AK$1843,"&gt;"&amp;AK807)+SUMIFS($AH$7:$AH$1843,$BY$7:$BY$1843,BY807,$AK$7:$AK$1843,AK807,$BQ$7:$BQ$1843,"&lt;="&amp;BQ807),"")</f>
        <v>36.2055082598561</v>
      </c>
      <c r="AM807" s="65" t="n">
        <f aca="false">IF(AL807="",0,MAX(0,MIN(1,(IF(BY807="L1",Parameter!$E$5,Parameter!$E$6+Parameter!$E$7)-(AL807-AH807))/AH807)))</f>
        <v>1</v>
      </c>
      <c r="AN807" s="57" t="n">
        <f aca="false">IF(LEFT(Cockpit!$I$5,1)="A",H807,IF(CA807=1,CB807,IF(LEFT(Cockpit!$I$5,1)="B",AR807,MAX(AR807,H807))))</f>
        <v>7</v>
      </c>
      <c r="AO807" s="57" t="n">
        <f aca="false">IF(BT807=1,0,ROUNDUP(AN807/BS807,0))</f>
        <v>1</v>
      </c>
      <c r="AP807" s="59" t="n">
        <f aca="false">IF(CH807&gt;0,CH807*MAX(1,AN807/X807),IF(BT807=1,IF(AN807&lt;=0,0,BW807*MAX(1,IF(H807&gt;0,AN807/H807,1))),IF(R807&gt;0,AO807/R807,0))/MAX(0.1,N(Parameter!$M$21)))</f>
        <v>0.00757575757575758</v>
      </c>
      <c r="AQ807" s="57" t="n">
        <f aca="false">AN807*G807</f>
        <v>39.9</v>
      </c>
      <c r="AR807" s="57" t="n">
        <f aca="false">ROUNDUP(MAX(J807/IF(BZ807&gt;0,BZ807,MAX(0.1,N(Cockpit!$I$6))),CC807)/BS807,0)*BS807</f>
        <v>7</v>
      </c>
      <c r="AS807" s="58" t="n">
        <f aca="false">IF(AP807&gt;0,J807/AP807,-1)</f>
        <v>132</v>
      </c>
      <c r="AT807" s="58" t="n">
        <f aca="false">IF(AND(OR(BY807="L1",BY807="L23"),AP807&gt;0),SUMIFS($AP$7:$AP$1843,$BY$7:$BY$1843,BY807,$AS$7:$AS$1843,"&gt;"&amp;AS807)+SUMIFS($AP$7:$AP$1843,$BY$7:$BY$1843,BY807,$AS$7:$AS$1843,AS807,$BQ$7:$BQ$1843,"&lt;="&amp;BQ807),"")</f>
        <v>51.9379075031249</v>
      </c>
      <c r="AU807" s="65" t="n">
        <f aca="false">IF(AT807="",0,MAX(0,MIN(1,(IF(BY807="L1",Parameter!$E$5,Parameter!$E$6+Parameter!$E$7)-(AT807-AP807))/AP807)))</f>
        <v>1</v>
      </c>
      <c r="AV807" s="57" t="n">
        <f aca="false">IF(LEFT(Cockpit!$O$5,1)="A",H807,IF(CA807=1,CB807,IF(LEFT(Cockpit!$O$5,1)="B",AZ807,MAX(AZ807,H807))))</f>
        <v>7</v>
      </c>
      <c r="AW807" s="57" t="n">
        <f aca="false">IF(BT807=1,0,ROUNDUP(AV807/BS807,0))</f>
        <v>1</v>
      </c>
      <c r="AX807" s="59" t="n">
        <f aca="false">IF(CH807&gt;0,CH807*MAX(1,AV807/X807),IF(BT807=1,IF(AV807&lt;=0,0,BW807*MAX(1,IF(H807&gt;0,AV807/H807,1))),IF(R807&gt;0,AW807/R807,0))/MAX(0.1,N(Parameter!$M$21)))</f>
        <v>0.00757575757575758</v>
      </c>
      <c r="AY807" s="57" t="n">
        <f aca="false">AV807*G807</f>
        <v>39.9</v>
      </c>
      <c r="AZ807" s="57" t="n">
        <f aca="false">ROUNDUP(MAX(J807/IF(BZ807&gt;0,BZ807,MAX(0.1,N(Cockpit!$O$6))),CC807)/BS807,0)*BS807</f>
        <v>7</v>
      </c>
      <c r="BA807" s="58" t="n">
        <f aca="false">IF(AX807&gt;0,J807/AX807,-1)</f>
        <v>132</v>
      </c>
      <c r="BB807" s="58" t="n">
        <f aca="false">IF(AND(OR(BY807="L1",BY807="L23"),AX807&gt;0),SUMIFS($AX$7:$AX$1843,$BY$7:$BY$1843,BY807,$BA$7:$BA$1843,"&gt;"&amp;BA807)+SUMIFS($AX$7:$AX$1843,$BY$7:$BY$1843,BY807,$BA$7:$BA$1843,BA807,$BQ$7:$BQ$1843,"&lt;="&amp;BQ807),"")</f>
        <v>48.5177443329617</v>
      </c>
      <c r="BC807" s="65" t="n">
        <f aca="false">IF(BB807="",0,MAX(0,MIN(1,(IF(BY807="L1",Parameter!$E$5,Parameter!$E$6+Parameter!$E$7)-(BB807-AX807))/AX807)))</f>
        <v>1</v>
      </c>
      <c r="BD807" s="55" t="str">
        <f aca="false">IF(AH807&lt;=0,"",IF(BY807="Aussen","Aussenlager",IF(BY807="-","Nicht im Lift",IF(AM807&gt;=1,"Lift",IF(AM807&lt;=0,"Aussenlager","teilweise")))))</f>
        <v>Lift</v>
      </c>
      <c r="BE807" s="55" t="str">
        <f aca="false">IF(AP807&lt;=0,"",IF(BY807="Aussen","Aussenlager",IF(BY807="-","Nicht im Lift",IF(AU807&gt;=1,"Lift",IF(AU807&lt;=0,"Aussenlager","teilweise")))))</f>
        <v>Lift</v>
      </c>
      <c r="BF807" s="55" t="str">
        <f aca="false">IF(AX807&lt;=0,"",IF(BY807="Aussen","Aussenlager",IF(BY807="-","Nicht im Lift",IF(BC807&gt;=1,"Lift",IF(BC807&lt;=0,"Aussenlager","teilweise")))))</f>
        <v>Lift</v>
      </c>
      <c r="BG807" s="55" t="str">
        <f aca="false">IF(A807="","",IF(BP807=1,"Neu; ","")&amp;IF(AND(BP807=0,BK807&lt;0),"negativer Bestand (Export "&amp;BK807&amp;"); ","")&amp;IF(J807&lt;=0,"Kein Verbrauch; ","")&amp;IF(CH807&gt;0,"Lift "&amp;W807&amp;" lt. Liftbericht (Fach "&amp;X807&amp;" Stk); ",IF(BU807=1,"Gebinde geschätzt ("&amp;T807&amp;"); ",IF(BT807=1,"Lose – Tablare geschätzt; ","")))&amp;IF(H807&gt;AR807,"Überbestand "&amp;ROUND(H807-AR807,0)&amp;" Stk / CHF "&amp;ROUND((H807-AR807)*G807,0)&amp;"; ","")&amp;IF(AND(CA807=1,CB807&lt;CC807),"MAX &lt; MB+LG; ","")&amp;IF(AND(CG807&gt;0,CF807*10&gt;CG807),"zu hoch für Tablar; ","")&amp;IF(AND(BP807=0,OR(CA807=1,AA807&lt;&gt;"",U807&lt;&gt;"",V807&lt;&gt;"",AB807&lt;&gt;"")),"manuell übersteuert; ","")&amp;IF(AND(BT807=0,R807=0),"Gebinde unbekannt / Stellmass fehlt; ","")&amp;IF(AND(BT807=0,N(V807)&lt;=0,N(Q807)&lt;=0),"Menge pro Gebinde fehlt (Ist = 1 Gebinde); ","")&amp;BO807)</f>
        <v>negativer Bestand (Export -1); Verb.Lager</v>
      </c>
      <c r="BH807" s="55"/>
      <c r="BI807" s="55"/>
      <c r="BJ807" s="62"/>
      <c r="BK807" s="57" t="n">
        <v>-1</v>
      </c>
      <c r="BL807" s="57" t="n">
        <v>5</v>
      </c>
      <c r="BM807" s="56" t="n">
        <v>-5.7</v>
      </c>
      <c r="BN807" s="57" t="n">
        <v>1</v>
      </c>
      <c r="BO807" s="55" t="s">
        <v>1030</v>
      </c>
      <c r="BP807" s="60" t="n">
        <v>0</v>
      </c>
      <c r="BQ807" s="60" t="n">
        <v>807</v>
      </c>
      <c r="BR807" s="55" t="str">
        <f aca="false">IF(U807&lt;&gt;"",UPPER(TRIM(U807)),IF(BU807=1,UPPER(VLOOKUP(T807,Parameter!$I$27:$K$29,2,0)),IF(P807="","LOSE",P807)))</f>
        <v>S32</v>
      </c>
      <c r="BS807" s="57" t="n">
        <f aca="false">IF(BR807="LOSE",1,IF(N(V807)&gt;0,V807,IF(BU807=1,MAX(1,N(VLOOKUP(T807,Parameter!$I$27:$K$29,3,0)),H807,N(N807)),IF(N(Q807)&gt;0,Q807,MAX(1,H807)))))</f>
        <v>7</v>
      </c>
      <c r="BT807" s="60" t="n">
        <f aca="false">IF(BR807="LOSE",1,0)</f>
        <v>0</v>
      </c>
      <c r="BU807" s="60" t="n">
        <f aca="false">IF(AND(U807="",OR(P807="",P807="LOSE"),T807&lt;&gt;"",N(S807)&lt;=0,ISNUMBER(MATCH(T807,Parameter!$I$27:$I$29,0))),1,0)</f>
        <v>0</v>
      </c>
      <c r="BV807" s="55" t="str">
        <f aca="false">IF(AND(Parameter!$B$19="Ja",E807&lt;&gt;"",ISNUMBER(MATCH(E807,Parameter!$I$35:$I$52,0))),VLOOKUP(E807,Parameter!$I$35:$J$52,2,0),IFERROR(VLOOKUP(D807,Parameter!$A$35:$C$64,2,0),"Nein"))</f>
        <v>2+3</v>
      </c>
      <c r="BW807" s="59" t="n">
        <f aca="false">IF(BT807=0,0,IF(N(S807)&gt;0,S807,IFERROR(VLOOKUP(D807,Parameter!$A$35:$C$64,3,0)+0,0)))</f>
        <v>0</v>
      </c>
      <c r="BX807" s="55" t="n">
        <f aca="false">IF(AA807&lt;&gt;"",AA807,Z807)</f>
        <v>3</v>
      </c>
      <c r="BY807" s="55" t="str">
        <f aca="false">IF(BX807=1,"L1",IF(OR(BX807=2,BX807=3),"L23",IF(BX807="Aussen","Aussen","-")))</f>
        <v>L23</v>
      </c>
      <c r="BZ807" s="66" t="n">
        <f aca="false">IF(N(AB807)&gt;0,AB807,0)</f>
        <v>0</v>
      </c>
      <c r="CA807" s="60" t="n">
        <f aca="false">IF(ISNUMBER(AE807),1,0)</f>
        <v>0</v>
      </c>
      <c r="CB807" s="57" t="n">
        <f aca="false">N(AE807)</f>
        <v>0</v>
      </c>
      <c r="CC807" s="57" t="n">
        <f aca="false">N(M807)+N(N807)</f>
        <v>1</v>
      </c>
      <c r="CD807" s="57" t="n">
        <f aca="false">ROUNDUP(H807/BS807,0)</f>
        <v>1</v>
      </c>
      <c r="CE807" s="57" t="n">
        <f aca="false">ROUNDUP(CB807/BS807,0)</f>
        <v>0</v>
      </c>
      <c r="CF807" s="60" t="n">
        <f aca="false">IF(BT807=1,0,IFERROR(VLOOKUP(BR807,'Gebinde-Kategorie'!$A$5:$M$45,5,0)+0,0))</f>
        <v>8</v>
      </c>
      <c r="CG807" s="60" t="n">
        <f aca="false">IFERROR(IF(OR(BX807=1,BX807=2,BX807=3),N(INDEX(Parameter!$I$5:$I$7,BX807)),0),0)</f>
        <v>0</v>
      </c>
      <c r="CH807" s="59" t="n">
        <f aca="false">IF(AND(Parameter!$B$21="Ja",ISNUMBER(W807),N(X807)&gt;0),IFERROR(N(INDEX(Parameter!$L$5:$L$7,W807))*INDEX(Parameter!$E$5:$E$7,W807)*X807/SUMIFS($X$7:$X$1843,$W$7:$W$1843,W807),0),0)</f>
        <v>0</v>
      </c>
    </row>
    <row r="808" customFormat="false" ht="15" hidden="false" customHeight="false" outlineLevel="0" collapsed="false">
      <c r="A808" s="55" t="s">
        <v>1566</v>
      </c>
      <c r="B808" s="55" t="s">
        <v>1567</v>
      </c>
      <c r="C808" s="55" t="s">
        <v>164</v>
      </c>
      <c r="D808" s="55" t="s">
        <v>184</v>
      </c>
      <c r="E808" s="55"/>
      <c r="F808" s="55" t="s">
        <v>218</v>
      </c>
      <c r="G808" s="56" t="n">
        <v>0.24</v>
      </c>
      <c r="H808" s="57" t="n">
        <f aca="false">MAX(0,IF(AND(Parameter!$B$21="Ja",ISNUMBER(Y808)),Y808,IF(Parameter!$B$20="Jahresanfang 2025 + Export",BL808+BK808,BK808)))</f>
        <v>0</v>
      </c>
      <c r="I808" s="57" t="n">
        <f aca="false">H808*G808</f>
        <v>0</v>
      </c>
      <c r="J808" s="57" t="n">
        <f aca="false">BN808*Parameter!$B$18</f>
        <v>4</v>
      </c>
      <c r="K808" s="58" t="n">
        <v>19.5</v>
      </c>
      <c r="L808" s="59" t="n">
        <v>0.205128205128205</v>
      </c>
      <c r="M808" s="57" t="n">
        <v>0</v>
      </c>
      <c r="N808" s="57" t="n">
        <v>1300</v>
      </c>
      <c r="O808" s="60" t="n">
        <v>14</v>
      </c>
      <c r="P808" s="55" t="s">
        <v>168</v>
      </c>
      <c r="Q808" s="57"/>
      <c r="R808" s="60" t="n">
        <f aca="false">IF(BT808=1,0,IFERROR(VLOOKUP(BR808,'Gebinde-Kategorie'!$A$5:$M$45,13,0)+0,0))</f>
        <v>12</v>
      </c>
      <c r="S808" s="61"/>
      <c r="T808" s="62" t="s">
        <v>179</v>
      </c>
      <c r="U808" s="62"/>
      <c r="V808" s="62"/>
      <c r="W808" s="55"/>
      <c r="X808" s="57"/>
      <c r="Y808" s="57"/>
      <c r="Z808" s="55" t="n">
        <f aca="false">IF(A808="","",IF(AND(Parameter!$B$21="Ja",ISNUMBER(W808)),W808,IF(BV808="2+3",IF(ISNUMBER(SEARCH("grosser Artikel",BO808)),2,IFERROR(VLOOKUP(BR808,Parameter!$F$35:$G$64,2,0),2)),IF(OR(BV808="Nein",BV808=""),"-",BV808))))</f>
        <v>2</v>
      </c>
      <c r="AA808" s="62"/>
      <c r="AB808" s="63"/>
      <c r="AC808" s="57" t="n">
        <f aca="false">AR808</f>
        <v>1300</v>
      </c>
      <c r="AD808" s="57" t="n">
        <f aca="false">MAX(AR808,H808)</f>
        <v>1300</v>
      </c>
      <c r="AE808" s="64"/>
      <c r="AF808" s="57" t="n">
        <f aca="false">IF(LEFT(Cockpit!$C$5,1)="A",H808,IF(CA808=1,CB808,IF(LEFT(Cockpit!$C$5,1)="B",AJ808,MAX(AJ808,H808))))</f>
        <v>0</v>
      </c>
      <c r="AG808" s="57" t="n">
        <f aca="false">IF(BT808=1,0,ROUNDUP(AF808/BS808,0))</f>
        <v>0</v>
      </c>
      <c r="AH808" s="59" t="n">
        <f aca="false">IF(CH808&gt;0,CH808*MAX(1,AF808/X808),IF(BT808=1,IF(AF808&lt;=0,0,BW808*MAX(1,IF(H808&gt;0,AF808/H808,1))),IF(R808&gt;0,AG808/R808,0))/MAX(0.1,N(Parameter!$M$21)))</f>
        <v>0</v>
      </c>
      <c r="AI808" s="57" t="n">
        <f aca="false">AF808*G808</f>
        <v>0</v>
      </c>
      <c r="AJ808" s="57" t="n">
        <f aca="false">ROUNDUP(MAX(J808/IF(BZ808&gt;0,BZ808,MAX(0.1,N(Cockpit!$C$6))),CC808)/BS808,0)*BS808</f>
        <v>1300</v>
      </c>
      <c r="AK808" s="58" t="n">
        <f aca="false">IF(AH808&gt;0,J808/AH808,-1)</f>
        <v>-1</v>
      </c>
      <c r="AL808" s="58" t="str">
        <f aca="false">IF(AND(OR(BY808="L1",BY808="L23"),AH808&gt;0),SUMIFS($AH$7:$AH$1843,$BY$7:$BY$1843,BY808,$AK$7:$AK$1843,"&gt;"&amp;AK808)+SUMIFS($AH$7:$AH$1843,$BY$7:$BY$1843,BY808,$AK$7:$AK$1843,AK808,$BQ$7:$BQ$1843,"&lt;="&amp;BQ808),"")</f>
        <v/>
      </c>
      <c r="AM808" s="65" t="n">
        <f aca="false">IF(AL808="",0,MAX(0,MIN(1,(IF(BY808="L1",Parameter!$E$5,Parameter!$E$6+Parameter!$E$7)-(AL808-AH808))/AH808)))</f>
        <v>0</v>
      </c>
      <c r="AN808" s="57" t="n">
        <f aca="false">IF(LEFT(Cockpit!$I$5,1)="A",H808,IF(CA808=1,CB808,IF(LEFT(Cockpit!$I$5,1)="B",AR808,MAX(AR808,H808))))</f>
        <v>1300</v>
      </c>
      <c r="AO808" s="57" t="n">
        <f aca="false">IF(BT808=1,0,ROUNDUP(AN808/BS808,0))</f>
        <v>1</v>
      </c>
      <c r="AP808" s="59" t="n">
        <f aca="false">IF(CH808&gt;0,CH808*MAX(1,AN808/X808),IF(BT808=1,IF(AN808&lt;=0,0,BW808*MAX(1,IF(H808&gt;0,AN808/H808,1))),IF(R808&gt;0,AO808/R808,0))/MAX(0.1,N(Parameter!$M$21)))</f>
        <v>0.0833333333333333</v>
      </c>
      <c r="AQ808" s="57" t="n">
        <f aca="false">AN808*G808</f>
        <v>312</v>
      </c>
      <c r="AR808" s="57" t="n">
        <f aca="false">ROUNDUP(MAX(J808/IF(BZ808&gt;0,BZ808,MAX(0.1,N(Cockpit!$I$6))),CC808)/BS808,0)*BS808</f>
        <v>1300</v>
      </c>
      <c r="AS808" s="58" t="n">
        <f aca="false">IF(AP808&gt;0,J808/AP808,-1)</f>
        <v>48</v>
      </c>
      <c r="AT808" s="58" t="n">
        <f aca="false">IF(AND(OR(BY808="L1",BY808="L23"),AP808&gt;0),SUMIFS($AP$7:$AP$1843,$BY$7:$BY$1843,BY808,$AS$7:$AS$1843,"&gt;"&amp;AS808)+SUMIFS($AP$7:$AP$1843,$BY$7:$BY$1843,BY808,$AS$7:$AS$1843,AS808,$BQ$7:$BQ$1843,"&lt;="&amp;BQ808),"")</f>
        <v>68.3450559102733</v>
      </c>
      <c r="AU808" s="65" t="n">
        <f aca="false">IF(AT808="",0,MAX(0,MIN(1,(IF(BY808="L1",Parameter!$E$5,Parameter!$E$6+Parameter!$E$7)-(AT808-AP808))/AP808)))</f>
        <v>1</v>
      </c>
      <c r="AV808" s="57" t="n">
        <f aca="false">IF(LEFT(Cockpit!$O$5,1)="A",H808,IF(CA808=1,CB808,IF(LEFT(Cockpit!$O$5,1)="B",AZ808,MAX(AZ808,H808))))</f>
        <v>1300</v>
      </c>
      <c r="AW808" s="57" t="n">
        <f aca="false">IF(BT808=1,0,ROUNDUP(AV808/BS808,0))</f>
        <v>1</v>
      </c>
      <c r="AX808" s="59" t="n">
        <f aca="false">IF(CH808&gt;0,CH808*MAX(1,AV808/X808),IF(BT808=1,IF(AV808&lt;=0,0,BW808*MAX(1,IF(H808&gt;0,AV808/H808,1))),IF(R808&gt;0,AW808/R808,0))/MAX(0.1,N(Parameter!$M$21)))</f>
        <v>0.0833333333333333</v>
      </c>
      <c r="AY808" s="57" t="n">
        <f aca="false">AV808*G808</f>
        <v>312</v>
      </c>
      <c r="AZ808" s="57" t="n">
        <f aca="false">ROUNDUP(MAX(J808/IF(BZ808&gt;0,BZ808,MAX(0.1,N(Cockpit!$O$6))),CC808)/BS808,0)*BS808</f>
        <v>1300</v>
      </c>
      <c r="BA808" s="58" t="n">
        <f aca="false">IF(AX808&gt;0,J808/AX808,-1)</f>
        <v>48</v>
      </c>
      <c r="BB808" s="58" t="n">
        <f aca="false">IF(AND(OR(BY808="L1",BY808="L23"),AX808&gt;0),SUMIFS($AX$7:$AX$1843,$BY$7:$BY$1843,BY808,$BA$7:$BA$1843,"&gt;"&amp;BA808)+SUMIFS($AX$7:$AX$1843,$BY$7:$BY$1843,BY808,$BA$7:$BA$1843,BA808,$BQ$7:$BQ$1843,"&lt;="&amp;BQ808),"")</f>
        <v>62.8415594067768</v>
      </c>
      <c r="BC808" s="65" t="n">
        <f aca="false">IF(BB808="",0,MAX(0,MIN(1,(IF(BY808="L1",Parameter!$E$5,Parameter!$E$6+Parameter!$E$7)-(BB808-AX808))/AX808)))</f>
        <v>1</v>
      </c>
      <c r="BD808" s="55" t="str">
        <f aca="false">IF(AH808&lt;=0,"",IF(BY808="Aussen","Aussenlager",IF(BY808="-","Nicht im Lift",IF(AM808&gt;=1,"Lift",IF(AM808&lt;=0,"Aussenlager","teilweise")))))</f>
        <v/>
      </c>
      <c r="BE808" s="55" t="str">
        <f aca="false">IF(AP808&lt;=0,"",IF(BY808="Aussen","Aussenlager",IF(BY808="-","Nicht im Lift",IF(AU808&gt;=1,"Lift",IF(AU808&lt;=0,"Aussenlager","teilweise")))))</f>
        <v>Lift</v>
      </c>
      <c r="BF808" s="55" t="str">
        <f aca="false">IF(AX808&lt;=0,"",IF(BY808="Aussen","Aussenlager",IF(BY808="-","Nicht im Lift",IF(BC808&gt;=1,"Lift",IF(BC808&lt;=0,"Aussenlager","teilweise")))))</f>
        <v>Lift</v>
      </c>
      <c r="BG808" s="55" t="str">
        <f aca="false">IF(A808="","",IF(BP808=1,"Neu; ","")&amp;IF(AND(BP808=0,BK808&lt;0),"negativer Bestand (Export "&amp;BK808&amp;"); ","")&amp;IF(J808&lt;=0,"Kein Verbrauch; ","")&amp;IF(CH808&gt;0,"Lift "&amp;W808&amp;" lt. Liftbericht (Fach "&amp;X808&amp;" Stk); ",IF(BU808=1,"Gebinde geschätzt ("&amp;T808&amp;"); ",IF(BT808=1,"Lose – Tablare geschätzt; ","")))&amp;IF(H808&gt;AR808,"Überbestand "&amp;ROUND(H808-AR808,0)&amp;" Stk / CHF "&amp;ROUND((H808-AR808)*G808,0)&amp;"; ","")&amp;IF(AND(CA808=1,CB808&lt;CC808),"MAX &lt; MB+LG; ","")&amp;IF(AND(CG808&gt;0,CF808*10&gt;CG808),"zu hoch für Tablar; ","")&amp;IF(AND(BP808=0,OR(CA808=1,AA808&lt;&gt;"",U808&lt;&gt;"",V808&lt;&gt;"",AB808&lt;&gt;"")),"manuell übersteuert; ","")&amp;IF(AND(BT808=0,R808=0),"Gebinde unbekannt / Stellmass fehlt; ","")&amp;IF(AND(BT808=0,N(V808)&lt;=0,N(Q808)&lt;=0),"Menge pro Gebinde fehlt (Ist = 1 Gebinde); ","")&amp;BO808)</f>
        <v>negativer Bestand (Export -24); Gebinde geschätzt (Mittel); Menge pro Gebinde fehlt (Ist = 1 Gebinde); </v>
      </c>
      <c r="BH808" s="55"/>
      <c r="BI808" s="55"/>
      <c r="BJ808" s="62"/>
      <c r="BK808" s="57" t="n">
        <v>-24</v>
      </c>
      <c r="BL808" s="57" t="n">
        <v>24</v>
      </c>
      <c r="BM808" s="56" t="n">
        <v>-5.76</v>
      </c>
      <c r="BN808" s="57" t="n">
        <v>4</v>
      </c>
      <c r="BO808" s="55"/>
      <c r="BP808" s="60" t="n">
        <v>0</v>
      </c>
      <c r="BQ808" s="60" t="n">
        <v>808</v>
      </c>
      <c r="BR808" s="55" t="str">
        <f aca="false">IF(U808&lt;&gt;"",UPPER(TRIM(U808)),IF(BU808=1,UPPER(VLOOKUP(T808,Parameter!$I$27:$K$29,2,0)),IF(P808="","LOSE",P808)))</f>
        <v>S61</v>
      </c>
      <c r="BS808" s="57" t="n">
        <f aca="false">IF(BR808="LOSE",1,IF(N(V808)&gt;0,V808,IF(BU808=1,MAX(1,N(VLOOKUP(T808,Parameter!$I$27:$K$29,3,0)),H808,N(N808)),IF(N(Q808)&gt;0,Q808,MAX(1,H808)))))</f>
        <v>1300</v>
      </c>
      <c r="BT808" s="60" t="n">
        <f aca="false">IF(BR808="LOSE",1,0)</f>
        <v>0</v>
      </c>
      <c r="BU808" s="60" t="n">
        <f aca="false">IF(AND(U808="",OR(P808="",P808="LOSE"),T808&lt;&gt;"",N(S808)&lt;=0,ISNUMBER(MATCH(T808,Parameter!$I$27:$I$29,0))),1,0)</f>
        <v>1</v>
      </c>
      <c r="BV808" s="55" t="str">
        <f aca="false">IF(AND(Parameter!$B$19="Ja",E808&lt;&gt;"",ISNUMBER(MATCH(E808,Parameter!$I$35:$I$52,0))),VLOOKUP(E808,Parameter!$I$35:$J$52,2,0),IFERROR(VLOOKUP(D808,Parameter!$A$35:$C$64,2,0),"Nein"))</f>
        <v>2+3</v>
      </c>
      <c r="BW808" s="59" t="n">
        <f aca="false">IF(BT808=0,0,IF(N(S808)&gt;0,S808,IFERROR(VLOOKUP(D808,Parameter!$A$35:$C$64,3,0)+0,0)))</f>
        <v>0</v>
      </c>
      <c r="BX808" s="55" t="n">
        <f aca="false">IF(AA808&lt;&gt;"",AA808,Z808)</f>
        <v>2</v>
      </c>
      <c r="BY808" s="55" t="str">
        <f aca="false">IF(BX808=1,"L1",IF(OR(BX808=2,BX808=3),"L23",IF(BX808="Aussen","Aussen","-")))</f>
        <v>L23</v>
      </c>
      <c r="BZ808" s="66" t="n">
        <f aca="false">IF(N(AB808)&gt;0,AB808,0)</f>
        <v>0</v>
      </c>
      <c r="CA808" s="60" t="n">
        <f aca="false">IF(ISNUMBER(AE808),1,0)</f>
        <v>0</v>
      </c>
      <c r="CB808" s="57" t="n">
        <f aca="false">N(AE808)</f>
        <v>0</v>
      </c>
      <c r="CC808" s="57" t="n">
        <f aca="false">N(M808)+N(N808)</f>
        <v>1300</v>
      </c>
      <c r="CD808" s="57" t="n">
        <f aca="false">ROUNDUP(H808/BS808,0)</f>
        <v>0</v>
      </c>
      <c r="CE808" s="57" t="n">
        <f aca="false">ROUNDUP(CB808/BS808,0)</f>
        <v>0</v>
      </c>
      <c r="CF808" s="60" t="n">
        <f aca="false">IF(BT808=1,0,IFERROR(VLOOKUP(BR808,'Gebinde-Kategorie'!$A$5:$M$45,5,0)+0,0))</f>
        <v>11</v>
      </c>
      <c r="CG808" s="60" t="n">
        <f aca="false">IFERROR(IF(OR(BX808=1,BX808=2,BX808=3),N(INDEX(Parameter!$I$5:$I$7,BX808)),0),0)</f>
        <v>0</v>
      </c>
      <c r="CH808" s="59" t="n">
        <f aca="false">IF(AND(Parameter!$B$21="Ja",ISNUMBER(W808),N(X808)&gt;0),IFERROR(N(INDEX(Parameter!$L$5:$L$7,W808))*INDEX(Parameter!$E$5:$E$7,W808)*X808/SUMIFS($X$7:$X$1843,$W$7:$W$1843,W808),0),0)</f>
        <v>0</v>
      </c>
    </row>
    <row r="809" customFormat="false" ht="15" hidden="false" customHeight="false" outlineLevel="0" collapsed="false">
      <c r="A809" s="55" t="s">
        <v>1568</v>
      </c>
      <c r="B809" s="55" t="s">
        <v>405</v>
      </c>
      <c r="C809" s="55" t="s">
        <v>456</v>
      </c>
      <c r="D809" s="55" t="s">
        <v>184</v>
      </c>
      <c r="E809" s="55"/>
      <c r="F809" s="55" t="s">
        <v>218</v>
      </c>
      <c r="G809" s="56" t="n">
        <v>0.03</v>
      </c>
      <c r="H809" s="57" t="n">
        <f aca="false">MAX(0,IF(AND(Parameter!$B$21="Ja",ISNUMBER(Y809)),Y809,IF(Parameter!$B$20="Jahresanfang 2025 + Export",BL809+BK809,BK809)))</f>
        <v>196</v>
      </c>
      <c r="I809" s="57" t="n">
        <f aca="false">H809*G809</f>
        <v>5.88</v>
      </c>
      <c r="J809" s="57" t="n">
        <f aca="false">BN809*Parameter!$B$18</f>
        <v>196</v>
      </c>
      <c r="K809" s="58" t="n">
        <v>196</v>
      </c>
      <c r="L809" s="59" t="n">
        <v>1</v>
      </c>
      <c r="M809" s="57" t="n">
        <v>7</v>
      </c>
      <c r="N809" s="57" t="n">
        <v>195</v>
      </c>
      <c r="O809" s="60" t="n">
        <v>14</v>
      </c>
      <c r="P809" s="55" t="s">
        <v>168</v>
      </c>
      <c r="Q809" s="57"/>
      <c r="R809" s="60" t="n">
        <f aca="false">IF(BT809=1,0,IFERROR(VLOOKUP(BR809,'Gebinde-Kategorie'!$A$5:$M$45,13,0)+0,0))</f>
        <v>26</v>
      </c>
      <c r="S809" s="61"/>
      <c r="T809" s="62" t="s">
        <v>275</v>
      </c>
      <c r="U809" s="62"/>
      <c r="V809" s="62"/>
      <c r="W809" s="55"/>
      <c r="X809" s="57"/>
      <c r="Y809" s="57"/>
      <c r="Z809" s="55" t="n">
        <f aca="false">IF(A809="","",IF(AND(Parameter!$B$21="Ja",ISNUMBER(W809)),W809,IF(BV809="2+3",IF(ISNUMBER(SEARCH("grosser Artikel",BO809)),2,IFERROR(VLOOKUP(BR809,Parameter!$F$35:$G$64,2,0),2)),IF(OR(BV809="Nein",BV809=""),"-",BV809))))</f>
        <v>3</v>
      </c>
      <c r="AA809" s="62"/>
      <c r="AB809" s="63"/>
      <c r="AC809" s="57" t="n">
        <f aca="false">AR809</f>
        <v>392</v>
      </c>
      <c r="AD809" s="57" t="n">
        <f aca="false">MAX(AR809,H809)</f>
        <v>392</v>
      </c>
      <c r="AE809" s="64"/>
      <c r="AF809" s="57" t="n">
        <f aca="false">IF(LEFT(Cockpit!$C$5,1)="A",H809,IF(CA809=1,CB809,IF(LEFT(Cockpit!$C$5,1)="B",AJ809,MAX(AJ809,H809))))</f>
        <v>196</v>
      </c>
      <c r="AG809" s="57" t="n">
        <f aca="false">IF(BT809=1,0,ROUNDUP(AF809/BS809,0))</f>
        <v>1</v>
      </c>
      <c r="AH809" s="59" t="n">
        <f aca="false">IF(CH809&gt;0,CH809*MAX(1,AF809/X809),IF(BT809=1,IF(AF809&lt;=0,0,BW809*MAX(1,IF(H809&gt;0,AF809/H809,1))),IF(R809&gt;0,AG809/R809,0))/MAX(0.1,N(Parameter!$M$21)))</f>
        <v>0.0384615384615385</v>
      </c>
      <c r="AI809" s="57" t="n">
        <f aca="false">AF809*G809</f>
        <v>5.88</v>
      </c>
      <c r="AJ809" s="57" t="n">
        <f aca="false">ROUNDUP(MAX(J809/IF(BZ809&gt;0,BZ809,MAX(0.1,N(Cockpit!$C$6))),CC809)/BS809,0)*BS809</f>
        <v>392</v>
      </c>
      <c r="AK809" s="58" t="n">
        <f aca="false">IF(AH809&gt;0,J809/AH809,-1)</f>
        <v>5096</v>
      </c>
      <c r="AL809" s="58" t="n">
        <f aca="false">IF(AND(OR(BY809="L1",BY809="L23"),AH809&gt;0),SUMIFS($AH$7:$AH$1843,$BY$7:$BY$1843,BY809,$AK$7:$AK$1843,"&gt;"&amp;AK809)+SUMIFS($AH$7:$AH$1843,$BY$7:$BY$1843,BY809,$AK$7:$AK$1843,AK809,$BQ$7:$BQ$1843,"&lt;="&amp;BQ809),"")</f>
        <v>7.05271781358738</v>
      </c>
      <c r="AM809" s="65" t="n">
        <f aca="false">IF(AL809="",0,MAX(0,MIN(1,(IF(BY809="L1",Parameter!$E$5,Parameter!$E$6+Parameter!$E$7)-(AL809-AH809))/AH809)))</f>
        <v>1</v>
      </c>
      <c r="AN809" s="57" t="n">
        <f aca="false">IF(LEFT(Cockpit!$I$5,1)="A",H809,IF(CA809=1,CB809,IF(LEFT(Cockpit!$I$5,1)="B",AR809,MAX(AR809,H809))))</f>
        <v>392</v>
      </c>
      <c r="AO809" s="57" t="n">
        <f aca="false">IF(BT809=1,0,ROUNDUP(AN809/BS809,0))</f>
        <v>2</v>
      </c>
      <c r="AP809" s="59" t="n">
        <f aca="false">IF(CH809&gt;0,CH809*MAX(1,AN809/X809),IF(BT809=1,IF(AN809&lt;=0,0,BW809*MAX(1,IF(H809&gt;0,AN809/H809,1))),IF(R809&gt;0,AO809/R809,0))/MAX(0.1,N(Parameter!$M$21)))</f>
        <v>0.0769230769230769</v>
      </c>
      <c r="AQ809" s="57" t="n">
        <f aca="false">AN809*G809</f>
        <v>11.76</v>
      </c>
      <c r="AR809" s="57" t="n">
        <f aca="false">ROUNDUP(MAX(J809/IF(BZ809&gt;0,BZ809,MAX(0.1,N(Cockpit!$I$6))),CC809)/BS809,0)*BS809</f>
        <v>392</v>
      </c>
      <c r="AS809" s="58" t="n">
        <f aca="false">IF(AP809&gt;0,J809/AP809,-1)</f>
        <v>2548</v>
      </c>
      <c r="AT809" s="58" t="n">
        <f aca="false">IF(AND(OR(BY809="L1",BY809="L23"),AP809&gt;0),SUMIFS($AP$7:$AP$1843,$BY$7:$BY$1843,BY809,$AS$7:$AS$1843,"&gt;"&amp;AS809)+SUMIFS($AP$7:$AP$1843,$BY$7:$BY$1843,BY809,$AS$7:$AS$1843,AS809,$BQ$7:$BQ$1843,"&lt;="&amp;BQ809),"")</f>
        <v>16.5282085064694</v>
      </c>
      <c r="AU809" s="65" t="n">
        <f aca="false">IF(AT809="",0,MAX(0,MIN(1,(IF(BY809="L1",Parameter!$E$5,Parameter!$E$6+Parameter!$E$7)-(AT809-AP809))/AP809)))</f>
        <v>1</v>
      </c>
      <c r="AV809" s="57" t="n">
        <f aca="false">IF(LEFT(Cockpit!$O$5,1)="A",H809,IF(CA809=1,CB809,IF(LEFT(Cockpit!$O$5,1)="B",AZ809,MAX(AZ809,H809))))</f>
        <v>392</v>
      </c>
      <c r="AW809" s="57" t="n">
        <f aca="false">IF(BT809=1,0,ROUNDUP(AV809/BS809,0))</f>
        <v>2</v>
      </c>
      <c r="AX809" s="59" t="n">
        <f aca="false">IF(CH809&gt;0,CH809*MAX(1,AV809/X809),IF(BT809=1,IF(AV809&lt;=0,0,BW809*MAX(1,IF(H809&gt;0,AV809/H809,1))),IF(R809&gt;0,AW809/R809,0))/MAX(0.1,N(Parameter!$M$21)))</f>
        <v>0.0769230769230769</v>
      </c>
      <c r="AY809" s="57" t="n">
        <f aca="false">AV809*G809</f>
        <v>11.76</v>
      </c>
      <c r="AZ809" s="57" t="n">
        <f aca="false">ROUNDUP(MAX(J809/IF(BZ809&gt;0,BZ809,MAX(0.1,N(Cockpit!$O$6))),CC809)/BS809,0)*BS809</f>
        <v>392</v>
      </c>
      <c r="BA809" s="58" t="n">
        <f aca="false">IF(AX809&gt;0,J809/AX809,-1)</f>
        <v>2548</v>
      </c>
      <c r="BB809" s="58" t="n">
        <f aca="false">IF(AND(OR(BY809="L1",BY809="L23"),AX809&gt;0),SUMIFS($AX$7:$AX$1843,$BY$7:$BY$1843,BY809,$BA$7:$BA$1843,"&gt;"&amp;BA809)+SUMIFS($AX$7:$AX$1843,$BY$7:$BY$1843,BY809,$BA$7:$BA$1843,BA809,$BQ$7:$BQ$1843,"&lt;="&amp;BQ809),"")</f>
        <v>15.101635079896</v>
      </c>
      <c r="BC809" s="65" t="n">
        <f aca="false">IF(BB809="",0,MAX(0,MIN(1,(IF(BY809="L1",Parameter!$E$5,Parameter!$E$6+Parameter!$E$7)-(BB809-AX809))/AX809)))</f>
        <v>1</v>
      </c>
      <c r="BD809" s="55" t="str">
        <f aca="false">IF(AH809&lt;=0,"",IF(BY809="Aussen","Aussenlager",IF(BY809="-","Nicht im Lift",IF(AM809&gt;=1,"Lift",IF(AM809&lt;=0,"Aussenlager","teilweise")))))</f>
        <v>Lift</v>
      </c>
      <c r="BE809" s="55" t="str">
        <f aca="false">IF(AP809&lt;=0,"",IF(BY809="Aussen","Aussenlager",IF(BY809="-","Nicht im Lift",IF(AU809&gt;=1,"Lift",IF(AU809&lt;=0,"Aussenlager","teilweise")))))</f>
        <v>Lift</v>
      </c>
      <c r="BF809" s="55" t="str">
        <f aca="false">IF(AX809&lt;=0,"",IF(BY809="Aussen","Aussenlager",IF(BY809="-","Nicht im Lift",IF(BC809&gt;=1,"Lift",IF(BC809&lt;=0,"Aussenlager","teilweise")))))</f>
        <v>Lift</v>
      </c>
      <c r="BG809" s="55" t="str">
        <f aca="false">IF(A809="","",IF(BP809=1,"Neu; ","")&amp;IF(AND(BP809=0,BK809&lt;0),"negativer Bestand (Export "&amp;BK809&amp;"); ","")&amp;IF(J809&lt;=0,"Kein Verbrauch; ","")&amp;IF(CH809&gt;0,"Lift "&amp;W809&amp;" lt. Liftbericht (Fach "&amp;X809&amp;" Stk); ",IF(BU809=1,"Gebinde geschätzt ("&amp;T809&amp;"); ",IF(BT809=1,"Lose – Tablare geschätzt; ","")))&amp;IF(H809&gt;AR809,"Überbestand "&amp;ROUND(H809-AR809,0)&amp;" Stk / CHF "&amp;ROUND((H809-AR809)*G809,0)&amp;"; ","")&amp;IF(AND(CA809=1,CB809&lt;CC809),"MAX &lt; MB+LG; ","")&amp;IF(AND(CG809&gt;0,CF809*10&gt;CG809),"zu hoch für Tablar; ","")&amp;IF(AND(BP809=0,OR(CA809=1,AA809&lt;&gt;"",U809&lt;&gt;"",V809&lt;&gt;"",AB809&lt;&gt;"")),"manuell übersteuert; ","")&amp;IF(AND(BT809=0,R809=0),"Gebinde unbekannt / Stellmass fehlt; ","")&amp;IF(AND(BT809=0,N(V809)&lt;=0,N(Q809)&lt;=0),"Menge pro Gebinde fehlt (Ist = 1 Gebinde); ","")&amp;BO809)</f>
        <v>negativer Bestand (Export -196); Gebinde geschätzt (Klein); Menge pro Gebinde fehlt (Ist = 1 Gebinde); </v>
      </c>
      <c r="BH809" s="55"/>
      <c r="BI809" s="55"/>
      <c r="BJ809" s="62"/>
      <c r="BK809" s="57" t="n">
        <v>-196</v>
      </c>
      <c r="BL809" s="57" t="n">
        <v>392</v>
      </c>
      <c r="BM809" s="56" t="n">
        <v>-5.88</v>
      </c>
      <c r="BN809" s="57" t="n">
        <v>196</v>
      </c>
      <c r="BO809" s="55"/>
      <c r="BP809" s="60" t="n">
        <v>0</v>
      </c>
      <c r="BQ809" s="60" t="n">
        <v>809</v>
      </c>
      <c r="BR809" s="55" t="str">
        <f aca="false">IF(U809&lt;&gt;"",UPPER(TRIM(U809)),IF(BU809=1,UPPER(VLOOKUP(T809,Parameter!$I$27:$K$29,2,0)),IF(P809="","LOSE",P809)))</f>
        <v>S51</v>
      </c>
      <c r="BS809" s="57" t="n">
        <f aca="false">IF(BR809="LOSE",1,IF(N(V809)&gt;0,V809,IF(BU809=1,MAX(1,N(VLOOKUP(T809,Parameter!$I$27:$K$29,3,0)),H809,N(N809)),IF(N(Q809)&gt;0,Q809,MAX(1,H809)))))</f>
        <v>196</v>
      </c>
      <c r="BT809" s="60" t="n">
        <f aca="false">IF(BR809="LOSE",1,0)</f>
        <v>0</v>
      </c>
      <c r="BU809" s="60" t="n">
        <f aca="false">IF(AND(U809="",OR(P809="",P809="LOSE"),T809&lt;&gt;"",N(S809)&lt;=0,ISNUMBER(MATCH(T809,Parameter!$I$27:$I$29,0))),1,0)</f>
        <v>1</v>
      </c>
      <c r="BV809" s="55" t="str">
        <f aca="false">IF(AND(Parameter!$B$19="Ja",E809&lt;&gt;"",ISNUMBER(MATCH(E809,Parameter!$I$35:$I$52,0))),VLOOKUP(E809,Parameter!$I$35:$J$52,2,0),IFERROR(VLOOKUP(D809,Parameter!$A$35:$C$64,2,0),"Nein"))</f>
        <v>2+3</v>
      </c>
      <c r="BW809" s="59" t="n">
        <f aca="false">IF(BT809=0,0,IF(N(S809)&gt;0,S809,IFERROR(VLOOKUP(D809,Parameter!$A$35:$C$64,3,0)+0,0)))</f>
        <v>0</v>
      </c>
      <c r="BX809" s="55" t="n">
        <f aca="false">IF(AA809&lt;&gt;"",AA809,Z809)</f>
        <v>3</v>
      </c>
      <c r="BY809" s="55" t="str">
        <f aca="false">IF(BX809=1,"L1",IF(OR(BX809=2,BX809=3),"L23",IF(BX809="Aussen","Aussen","-")))</f>
        <v>L23</v>
      </c>
      <c r="BZ809" s="66" t="n">
        <f aca="false">IF(N(AB809)&gt;0,AB809,0)</f>
        <v>0</v>
      </c>
      <c r="CA809" s="60" t="n">
        <f aca="false">IF(ISNUMBER(AE809),1,0)</f>
        <v>0</v>
      </c>
      <c r="CB809" s="57" t="n">
        <f aca="false">N(AE809)</f>
        <v>0</v>
      </c>
      <c r="CC809" s="57" t="n">
        <f aca="false">N(M809)+N(N809)</f>
        <v>202</v>
      </c>
      <c r="CD809" s="57" t="n">
        <f aca="false">ROUNDUP(H809/BS809,0)</f>
        <v>1</v>
      </c>
      <c r="CE809" s="57" t="n">
        <f aca="false">ROUNDUP(CB809/BS809,0)</f>
        <v>0</v>
      </c>
      <c r="CF809" s="60" t="n">
        <f aca="false">IF(BT809=1,0,IFERROR(VLOOKUP(BR809,'Gebinde-Kategorie'!$A$5:$M$45,5,0)+0,0))</f>
        <v>11</v>
      </c>
      <c r="CG809" s="60" t="n">
        <f aca="false">IFERROR(IF(OR(BX809=1,BX809=2,BX809=3),N(INDEX(Parameter!$I$5:$I$7,BX809)),0),0)</f>
        <v>0</v>
      </c>
      <c r="CH809" s="59" t="n">
        <f aca="false">IF(AND(Parameter!$B$21="Ja",ISNUMBER(W809),N(X809)&gt;0),IFERROR(N(INDEX(Parameter!$L$5:$L$7,W809))*INDEX(Parameter!$E$5:$E$7,W809)*X809/SUMIFS($X$7:$X$1843,$W$7:$W$1843,W809),0),0)</f>
        <v>0</v>
      </c>
    </row>
    <row r="810" customFormat="false" ht="15" hidden="false" customHeight="false" outlineLevel="0" collapsed="false">
      <c r="A810" s="55" t="s">
        <v>1569</v>
      </c>
      <c r="B810" s="55" t="s">
        <v>1238</v>
      </c>
      <c r="C810" s="55" t="s">
        <v>164</v>
      </c>
      <c r="D810" s="55" t="s">
        <v>184</v>
      </c>
      <c r="E810" s="55" t="s">
        <v>185</v>
      </c>
      <c r="F810" s="55" t="s">
        <v>218</v>
      </c>
      <c r="G810" s="56" t="n">
        <v>0.06</v>
      </c>
      <c r="H810" s="57" t="n">
        <f aca="false">MAX(0,IF(AND(Parameter!$B$21="Ja",ISNUMBER(Y810)),Y810,IF(Parameter!$B$20="Jahresanfang 2025 + Export",BL810+BK810,BK810)))</f>
        <v>2697</v>
      </c>
      <c r="I810" s="57" t="n">
        <f aca="false">H810*G810</f>
        <v>161.82</v>
      </c>
      <c r="J810" s="57" t="n">
        <f aca="false">BN810*Parameter!$B$18</f>
        <v>3700</v>
      </c>
      <c r="K810" s="58" t="n">
        <v>600</v>
      </c>
      <c r="L810" s="59" t="n">
        <v>6.16666666666667</v>
      </c>
      <c r="M810" s="57" t="n">
        <v>1</v>
      </c>
      <c r="N810" s="57" t="n">
        <v>3700</v>
      </c>
      <c r="O810" s="60" t="n">
        <v>14</v>
      </c>
      <c r="P810" s="55" t="s">
        <v>302</v>
      </c>
      <c r="Q810" s="57" t="n">
        <v>855</v>
      </c>
      <c r="R810" s="60" t="n">
        <f aca="false">IF(BT810=1,0,IFERROR(VLOOKUP(BR810,'Gebinde-Kategorie'!$A$5:$M$45,13,0)+0,0))</f>
        <v>26</v>
      </c>
      <c r="S810" s="61"/>
      <c r="T810" s="62"/>
      <c r="U810" s="62"/>
      <c r="V810" s="62"/>
      <c r="W810" s="55"/>
      <c r="X810" s="57"/>
      <c r="Y810" s="57"/>
      <c r="Z810" s="55" t="n">
        <f aca="false">IF(A810="","",IF(AND(Parameter!$B$21="Ja",ISNUMBER(W810)),W810,IF(BV810="2+3",IF(ISNUMBER(SEARCH("grosser Artikel",BO810)),2,IFERROR(VLOOKUP(BR810,Parameter!$F$35:$G$64,2,0),2)),IF(OR(BV810="Nein",BV810=""),"-",BV810))))</f>
        <v>3</v>
      </c>
      <c r="AA810" s="62"/>
      <c r="AB810" s="63"/>
      <c r="AC810" s="57" t="n">
        <f aca="false">AR810</f>
        <v>4275</v>
      </c>
      <c r="AD810" s="57" t="n">
        <f aca="false">MAX(AR810,H810)</f>
        <v>4275</v>
      </c>
      <c r="AE810" s="64"/>
      <c r="AF810" s="57" t="n">
        <f aca="false">IF(LEFT(Cockpit!$C$5,1)="A",H810,IF(CA810=1,CB810,IF(LEFT(Cockpit!$C$5,1)="B",AJ810,MAX(AJ810,H810))))</f>
        <v>2697</v>
      </c>
      <c r="AG810" s="57" t="n">
        <f aca="false">IF(BT810=1,0,ROUNDUP(AF810/BS810,0))</f>
        <v>4</v>
      </c>
      <c r="AH810" s="59" t="n">
        <f aca="false">IF(CH810&gt;0,CH810*MAX(1,AF810/X810),IF(BT810=1,IF(AF810&lt;=0,0,BW810*MAX(1,IF(H810&gt;0,AF810/H810,1))),IF(R810&gt;0,AG810/R810,0))/MAX(0.1,N(Parameter!$M$21)))</f>
        <v>0.153846153846154</v>
      </c>
      <c r="AI810" s="57" t="n">
        <f aca="false">AF810*G810</f>
        <v>161.82</v>
      </c>
      <c r="AJ810" s="57" t="n">
        <f aca="false">ROUNDUP(MAX(J810/IF(BZ810&gt;0,BZ810,MAX(0.1,N(Cockpit!$C$6))),CC810)/BS810,0)*BS810</f>
        <v>4275</v>
      </c>
      <c r="AK810" s="58" t="n">
        <f aca="false">IF(AH810&gt;0,J810/AH810,-1)</f>
        <v>24050</v>
      </c>
      <c r="AL810" s="58" t="n">
        <f aca="false">IF(AND(OR(BY810="L1",BY810="L23"),AH810&gt;0),SUMIFS($AH$7:$AH$1843,$BY$7:$BY$1843,BY810,$AK$7:$AK$1843,"&gt;"&amp;AK810)+SUMIFS($AH$7:$AH$1843,$BY$7:$BY$1843,BY810,$AK$7:$AK$1843,AK810,$BQ$7:$BQ$1843,"&lt;="&amp;BQ810),"")</f>
        <v>3.17006182223574</v>
      </c>
      <c r="AM810" s="65" t="n">
        <f aca="false">IF(AL810="",0,MAX(0,MIN(1,(IF(BY810="L1",Parameter!$E$5,Parameter!$E$6+Parameter!$E$7)-(AL810-AH810))/AH810)))</f>
        <v>1</v>
      </c>
      <c r="AN810" s="57" t="n">
        <f aca="false">IF(LEFT(Cockpit!$I$5,1)="A",H810,IF(CA810=1,CB810,IF(LEFT(Cockpit!$I$5,1)="B",AR810,MAX(AR810,H810))))</f>
        <v>4275</v>
      </c>
      <c r="AO810" s="57" t="n">
        <f aca="false">IF(BT810=1,0,ROUNDUP(AN810/BS810,0))</f>
        <v>5</v>
      </c>
      <c r="AP810" s="59" t="n">
        <f aca="false">IF(CH810&gt;0,CH810*MAX(1,AN810/X810),IF(BT810=1,IF(AN810&lt;=0,0,BW810*MAX(1,IF(H810&gt;0,AN810/H810,1))),IF(R810&gt;0,AO810/R810,0))/MAX(0.1,N(Parameter!$M$21)))</f>
        <v>0.192307692307692</v>
      </c>
      <c r="AQ810" s="57" t="n">
        <f aca="false">AN810*G810</f>
        <v>256.5</v>
      </c>
      <c r="AR810" s="57" t="n">
        <f aca="false">ROUNDUP(MAX(J810/IF(BZ810&gt;0,BZ810,MAX(0.1,N(Cockpit!$I$6))),CC810)/BS810,0)*BS810</f>
        <v>4275</v>
      </c>
      <c r="AS810" s="58" t="n">
        <f aca="false">IF(AP810&gt;0,J810/AP810,-1)</f>
        <v>19240</v>
      </c>
      <c r="AT810" s="58" t="n">
        <f aca="false">IF(AND(OR(BY810="L1",BY810="L23"),AP810&gt;0),SUMIFS($AP$7:$AP$1843,$BY$7:$BY$1843,BY810,$AS$7:$AS$1843,"&gt;"&amp;AS810)+SUMIFS($AP$7:$AP$1843,$BY$7:$BY$1843,BY810,$AS$7:$AS$1843,AS810,$BQ$7:$BQ$1843,"&lt;="&amp;BQ810),"")</f>
        <v>4.45615013006317</v>
      </c>
      <c r="AU810" s="65" t="n">
        <f aca="false">IF(AT810="",0,MAX(0,MIN(1,(IF(BY810="L1",Parameter!$E$5,Parameter!$E$6+Parameter!$E$7)-(AT810-AP810))/AP810)))</f>
        <v>1</v>
      </c>
      <c r="AV810" s="57" t="n">
        <f aca="false">IF(LEFT(Cockpit!$O$5,1)="A",H810,IF(CA810=1,CB810,IF(LEFT(Cockpit!$O$5,1)="B",AZ810,MAX(AZ810,H810))))</f>
        <v>4275</v>
      </c>
      <c r="AW810" s="57" t="n">
        <f aca="false">IF(BT810=1,0,ROUNDUP(AV810/BS810,0))</f>
        <v>5</v>
      </c>
      <c r="AX810" s="59" t="n">
        <f aca="false">IF(CH810&gt;0,CH810*MAX(1,AV810/X810),IF(BT810=1,IF(AV810&lt;=0,0,BW810*MAX(1,IF(H810&gt;0,AV810/H810,1))),IF(R810&gt;0,AW810/R810,0))/MAX(0.1,N(Parameter!$M$21)))</f>
        <v>0.192307692307692</v>
      </c>
      <c r="AY810" s="57" t="n">
        <f aca="false">AV810*G810</f>
        <v>256.5</v>
      </c>
      <c r="AZ810" s="57" t="n">
        <f aca="false">ROUNDUP(MAX(J810/IF(BZ810&gt;0,BZ810,MAX(0.1,N(Cockpit!$O$6))),CC810)/BS810,0)*BS810</f>
        <v>4275</v>
      </c>
      <c r="BA810" s="58" t="n">
        <f aca="false">IF(AX810&gt;0,J810/AX810,-1)</f>
        <v>19240</v>
      </c>
      <c r="BB810" s="58" t="n">
        <f aca="false">IF(AND(OR(BY810="L1",BY810="L23"),AX810&gt;0),SUMIFS($AX$7:$AX$1843,$BY$7:$BY$1843,BY810,$BA$7:$BA$1843,"&gt;"&amp;BA810)+SUMIFS($AX$7:$AX$1843,$BY$7:$BY$1843,BY810,$BA$7:$BA$1843,BA810,$BQ$7:$BQ$1843,"&lt;="&amp;BQ810),"")</f>
        <v>4.09367926759231</v>
      </c>
      <c r="BC810" s="65" t="n">
        <f aca="false">IF(BB810="",0,MAX(0,MIN(1,(IF(BY810="L1",Parameter!$E$5,Parameter!$E$6+Parameter!$E$7)-(BB810-AX810))/AX810)))</f>
        <v>1</v>
      </c>
      <c r="BD810" s="55" t="str">
        <f aca="false">IF(AH810&lt;=0,"",IF(BY810="Aussen","Aussenlager",IF(BY810="-","Nicht im Lift",IF(AM810&gt;=1,"Lift",IF(AM810&lt;=0,"Aussenlager","teilweise")))))</f>
        <v>Lift</v>
      </c>
      <c r="BE810" s="55" t="str">
        <f aca="false">IF(AP810&lt;=0,"",IF(BY810="Aussen","Aussenlager",IF(BY810="-","Nicht im Lift",IF(AU810&gt;=1,"Lift",IF(AU810&lt;=0,"Aussenlager","teilweise")))))</f>
        <v>Lift</v>
      </c>
      <c r="BF810" s="55" t="str">
        <f aca="false">IF(AX810&lt;=0,"",IF(BY810="Aussen","Aussenlager",IF(BY810="-","Nicht im Lift",IF(BC810&gt;=1,"Lift",IF(BC810&lt;=0,"Aussenlager","teilweise")))))</f>
        <v>Lift</v>
      </c>
      <c r="BG810" s="55" t="str">
        <f aca="false">IF(A810="","",IF(BP810=1,"Neu; ","")&amp;IF(AND(BP810=0,BK810&lt;0),"negativer Bestand (Export "&amp;BK810&amp;"); ","")&amp;IF(J810&lt;=0,"Kein Verbrauch; ","")&amp;IF(CH810&gt;0,"Lift "&amp;W810&amp;" lt. Liftbericht (Fach "&amp;X810&amp;" Stk); ",IF(BU810=1,"Gebinde geschätzt ("&amp;T810&amp;"); ",IF(BT810=1,"Lose – Tablare geschätzt; ","")))&amp;IF(H810&gt;AR810,"Überbestand "&amp;ROUND(H810-AR810,0)&amp;" Stk / CHF "&amp;ROUND((H810-AR810)*G810,0)&amp;"; ","")&amp;IF(AND(CA810=1,CB810&lt;CC810),"MAX &lt; MB+LG; ","")&amp;IF(AND(CG810&gt;0,CF810*10&gt;CG810),"zu hoch für Tablar; ","")&amp;IF(AND(BP810=0,OR(CA810=1,AA810&lt;&gt;"",U810&lt;&gt;"",V810&lt;&gt;"",AB810&lt;&gt;"")),"manuell übersteuert; ","")&amp;IF(AND(BT810=0,R810=0),"Gebinde unbekannt / Stellmass fehlt; ","")&amp;IF(AND(BT810=0,N(V810)&lt;=0,N(Q810)&lt;=0),"Menge pro Gebinde fehlt (Ist = 1 Gebinde); ","")&amp;BO810)</f>
        <v/>
      </c>
      <c r="BH810" s="55"/>
      <c r="BI810" s="55"/>
      <c r="BJ810" s="62"/>
      <c r="BK810" s="57" t="n">
        <v>2097</v>
      </c>
      <c r="BL810" s="57" t="n">
        <v>600</v>
      </c>
      <c r="BM810" s="56" t="n">
        <v>-6.18000000000004</v>
      </c>
      <c r="BN810" s="57" t="n">
        <v>3700</v>
      </c>
      <c r="BO810" s="55"/>
      <c r="BP810" s="60" t="n">
        <v>0</v>
      </c>
      <c r="BQ810" s="60" t="n">
        <v>810</v>
      </c>
      <c r="BR810" s="55" t="str">
        <f aca="false">IF(U810&lt;&gt;"",UPPER(TRIM(U810)),IF(BU810=1,UPPER(VLOOKUP(T810,Parameter!$I$27:$K$29,2,0)),IF(P810="","LOSE",P810)))</f>
        <v>S51</v>
      </c>
      <c r="BS810" s="57" t="n">
        <f aca="false">IF(BR810="LOSE",1,IF(N(V810)&gt;0,V810,IF(BU810=1,MAX(1,N(VLOOKUP(T810,Parameter!$I$27:$K$29,3,0)),H810,N(N810)),IF(N(Q810)&gt;0,Q810,MAX(1,H810)))))</f>
        <v>855</v>
      </c>
      <c r="BT810" s="60" t="n">
        <f aca="false">IF(BR810="LOSE",1,0)</f>
        <v>0</v>
      </c>
      <c r="BU810" s="60" t="n">
        <f aca="false">IF(AND(U810="",OR(P810="",P810="LOSE"),T810&lt;&gt;"",N(S810)&lt;=0,ISNUMBER(MATCH(T810,Parameter!$I$27:$I$29,0))),1,0)</f>
        <v>0</v>
      </c>
      <c r="BV810" s="55" t="str">
        <f aca="false">IF(AND(Parameter!$B$19="Ja",E810&lt;&gt;"",ISNUMBER(MATCH(E810,Parameter!$I$35:$I$52,0))),VLOOKUP(E810,Parameter!$I$35:$J$52,2,0),IFERROR(VLOOKUP(D810,Parameter!$A$35:$C$64,2,0),"Nein"))</f>
        <v>2+3</v>
      </c>
      <c r="BW810" s="59" t="n">
        <f aca="false">IF(BT810=0,0,IF(N(S810)&gt;0,S810,IFERROR(VLOOKUP(D810,Parameter!$A$35:$C$64,3,0)+0,0)))</f>
        <v>0</v>
      </c>
      <c r="BX810" s="55" t="n">
        <f aca="false">IF(AA810&lt;&gt;"",AA810,Z810)</f>
        <v>3</v>
      </c>
      <c r="BY810" s="55" t="str">
        <f aca="false">IF(BX810=1,"L1",IF(OR(BX810=2,BX810=3),"L23",IF(BX810="Aussen","Aussen","-")))</f>
        <v>L23</v>
      </c>
      <c r="BZ810" s="66" t="n">
        <f aca="false">IF(N(AB810)&gt;0,AB810,0)</f>
        <v>0</v>
      </c>
      <c r="CA810" s="60" t="n">
        <f aca="false">IF(ISNUMBER(AE810),1,0)</f>
        <v>0</v>
      </c>
      <c r="CB810" s="57" t="n">
        <f aca="false">N(AE810)</f>
        <v>0</v>
      </c>
      <c r="CC810" s="57" t="n">
        <f aca="false">N(M810)+N(N810)</f>
        <v>3701</v>
      </c>
      <c r="CD810" s="57" t="n">
        <f aca="false">ROUNDUP(H810/BS810,0)</f>
        <v>4</v>
      </c>
      <c r="CE810" s="57" t="n">
        <f aca="false">ROUNDUP(CB810/BS810,0)</f>
        <v>0</v>
      </c>
      <c r="CF810" s="60" t="n">
        <f aca="false">IF(BT810=1,0,IFERROR(VLOOKUP(BR810,'Gebinde-Kategorie'!$A$5:$M$45,5,0)+0,0))</f>
        <v>11</v>
      </c>
      <c r="CG810" s="60" t="n">
        <f aca="false">IFERROR(IF(OR(BX810=1,BX810=2,BX810=3),N(INDEX(Parameter!$I$5:$I$7,BX810)),0),0)</f>
        <v>0</v>
      </c>
      <c r="CH810" s="59" t="n">
        <f aca="false">IF(AND(Parameter!$B$21="Ja",ISNUMBER(W810),N(X810)&gt;0),IFERROR(N(INDEX(Parameter!$L$5:$L$7,W810))*INDEX(Parameter!$E$5:$E$7,W810)*X810/SUMIFS($X$7:$X$1843,$W$7:$W$1843,W810),0),0)</f>
        <v>0</v>
      </c>
    </row>
    <row r="811" customFormat="false" ht="15" hidden="false" customHeight="false" outlineLevel="0" collapsed="false">
      <c r="A811" s="55" t="s">
        <v>1570</v>
      </c>
      <c r="B811" s="55" t="s">
        <v>1571</v>
      </c>
      <c r="C811" s="55" t="s">
        <v>164</v>
      </c>
      <c r="D811" s="55" t="s">
        <v>184</v>
      </c>
      <c r="E811" s="55" t="s">
        <v>185</v>
      </c>
      <c r="F811" s="55" t="s">
        <v>218</v>
      </c>
      <c r="G811" s="56" t="n">
        <v>3.36</v>
      </c>
      <c r="H811" s="57" t="n">
        <f aca="false">MAX(0,IF(AND(Parameter!$B$21="Ja",ISNUMBER(Y811)),Y811,IF(Parameter!$B$20="Jahresanfang 2025 + Export",BL811+BK811,BK811)))</f>
        <v>39</v>
      </c>
      <c r="I811" s="57" t="n">
        <f aca="false">H811*G811</f>
        <v>131.04</v>
      </c>
      <c r="J811" s="57" t="n">
        <f aca="false">BN811*Parameter!$B$18</f>
        <v>0</v>
      </c>
      <c r="K811" s="58" t="n">
        <v>42.5</v>
      </c>
      <c r="L811" s="59" t="n">
        <v>0</v>
      </c>
      <c r="M811" s="57" t="n">
        <v>0</v>
      </c>
      <c r="N811" s="57" t="n">
        <v>1</v>
      </c>
      <c r="O811" s="60" t="n">
        <v>28</v>
      </c>
      <c r="P811" s="55" t="s">
        <v>421</v>
      </c>
      <c r="Q811" s="57" t="n">
        <v>17</v>
      </c>
      <c r="R811" s="60" t="n">
        <f aca="false">IF(BT811=1,0,IFERROR(VLOOKUP(BR811,'Gebinde-Kategorie'!$A$5:$M$45,13,0)+0,0))</f>
        <v>132</v>
      </c>
      <c r="S811" s="61"/>
      <c r="T811" s="62"/>
      <c r="U811" s="62"/>
      <c r="V811" s="62"/>
      <c r="W811" s="55"/>
      <c r="X811" s="57"/>
      <c r="Y811" s="57"/>
      <c r="Z811" s="55" t="n">
        <f aca="false">IF(A811="","",IF(AND(Parameter!$B$21="Ja",ISNUMBER(W811)),W811,IF(BV811="2+3",IF(ISNUMBER(SEARCH("grosser Artikel",BO811)),2,IFERROR(VLOOKUP(BR811,Parameter!$F$35:$G$64,2,0),2)),IF(OR(BV811="Nein",BV811=""),"-",BV811))))</f>
        <v>3</v>
      </c>
      <c r="AA811" s="62"/>
      <c r="AB811" s="63"/>
      <c r="AC811" s="57" t="n">
        <f aca="false">AR811</f>
        <v>17</v>
      </c>
      <c r="AD811" s="57" t="n">
        <f aca="false">MAX(AR811,H811)</f>
        <v>39</v>
      </c>
      <c r="AE811" s="64"/>
      <c r="AF811" s="57" t="n">
        <f aca="false">IF(LEFT(Cockpit!$C$5,1)="A",H811,IF(CA811=1,CB811,IF(LEFT(Cockpit!$C$5,1)="B",AJ811,MAX(AJ811,H811))))</f>
        <v>39</v>
      </c>
      <c r="AG811" s="57" t="n">
        <f aca="false">IF(BT811=1,0,ROUNDUP(AF811/BS811,0))</f>
        <v>3</v>
      </c>
      <c r="AH811" s="59" t="n">
        <f aca="false">IF(CH811&gt;0,CH811*MAX(1,AF811/X811),IF(BT811=1,IF(AF811&lt;=0,0,BW811*MAX(1,IF(H811&gt;0,AF811/H811,1))),IF(R811&gt;0,AG811/R811,0))/MAX(0.1,N(Parameter!$M$21)))</f>
        <v>0.0227272727272727</v>
      </c>
      <c r="AI811" s="57" t="n">
        <f aca="false">AF811*G811</f>
        <v>131.04</v>
      </c>
      <c r="AJ811" s="57" t="n">
        <f aca="false">ROUNDUP(MAX(J811/IF(BZ811&gt;0,BZ811,MAX(0.1,N(Cockpit!$C$6))),CC811)/BS811,0)*BS811</f>
        <v>17</v>
      </c>
      <c r="AK811" s="58" t="n">
        <f aca="false">IF(AH811&gt;0,J811/AH811,-1)</f>
        <v>0</v>
      </c>
      <c r="AL811" s="58" t="n">
        <f aca="false">IF(AND(OR(BY811="L1",BY811="L23"),AH811&gt;0),SUMIFS($AH$7:$AH$1843,$BY$7:$BY$1843,BY811,$AK$7:$AK$1843,"&gt;"&amp;AK811)+SUMIFS($AH$7:$AH$1843,$BY$7:$BY$1843,BY811,$AK$7:$AK$1843,AK811,$BQ$7:$BQ$1843,"&lt;="&amp;BQ811),"")</f>
        <v>77.5843805952502</v>
      </c>
      <c r="AM811" s="65" t="n">
        <f aca="false">IF(AL811="",0,MAX(0,MIN(1,(IF(BY811="L1",Parameter!$E$5,Parameter!$E$6+Parameter!$E$7)-(AL811-AH811))/AH811)))</f>
        <v>1</v>
      </c>
      <c r="AN811" s="57" t="n">
        <f aca="false">IF(LEFT(Cockpit!$I$5,1)="A",H811,IF(CA811=1,CB811,IF(LEFT(Cockpit!$I$5,1)="B",AR811,MAX(AR811,H811))))</f>
        <v>39</v>
      </c>
      <c r="AO811" s="57" t="n">
        <f aca="false">IF(BT811=1,0,ROUNDUP(AN811/BS811,0))</f>
        <v>3</v>
      </c>
      <c r="AP811" s="59" t="n">
        <f aca="false">IF(CH811&gt;0,CH811*MAX(1,AN811/X811),IF(BT811=1,IF(AN811&lt;=0,0,BW811*MAX(1,IF(H811&gt;0,AN811/H811,1))),IF(R811&gt;0,AO811/R811,0))/MAX(0.1,N(Parameter!$M$21)))</f>
        <v>0.0227272727272727</v>
      </c>
      <c r="AQ811" s="57" t="n">
        <f aca="false">AN811*G811</f>
        <v>131.04</v>
      </c>
      <c r="AR811" s="57" t="n">
        <f aca="false">ROUNDUP(MAX(J811/IF(BZ811&gt;0,BZ811,MAX(0.1,N(Cockpit!$I$6))),CC811)/BS811,0)*BS811</f>
        <v>17</v>
      </c>
      <c r="AS811" s="58" t="n">
        <f aca="false">IF(AP811&gt;0,J811/AP811,-1)</f>
        <v>0</v>
      </c>
      <c r="AT811" s="58" t="n">
        <f aca="false">IF(AND(OR(BY811="L1",BY811="L23"),AP811&gt;0),SUMIFS($AP$7:$AP$1843,$BY$7:$BY$1843,BY811,$AS$7:$AS$1843,"&gt;"&amp;AS811)+SUMIFS($AP$7:$AP$1843,$BY$7:$BY$1843,BY811,$AS$7:$AS$1843,AS811,$BQ$7:$BQ$1843,"&lt;="&amp;BQ811),"")</f>
        <v>118.455643390426</v>
      </c>
      <c r="AU811" s="65" t="n">
        <f aca="false">IF(AT811="",0,MAX(0,MIN(1,(IF(BY811="L1",Parameter!$E$5,Parameter!$E$6+Parameter!$E$7)-(AT811-AP811))/AP811)))</f>
        <v>0</v>
      </c>
      <c r="AV811" s="57" t="n">
        <f aca="false">IF(LEFT(Cockpit!$O$5,1)="A",H811,IF(CA811=1,CB811,IF(LEFT(Cockpit!$O$5,1)="B",AZ811,MAX(AZ811,H811))))</f>
        <v>39</v>
      </c>
      <c r="AW811" s="57" t="n">
        <f aca="false">IF(BT811=1,0,ROUNDUP(AV811/BS811,0))</f>
        <v>3</v>
      </c>
      <c r="AX811" s="59" t="n">
        <f aca="false">IF(CH811&gt;0,CH811*MAX(1,AV811/X811),IF(BT811=1,IF(AV811&lt;=0,0,BW811*MAX(1,IF(H811&gt;0,AV811/H811,1))),IF(R811&gt;0,AW811/R811,0))/MAX(0.1,N(Parameter!$M$21)))</f>
        <v>0.0227272727272727</v>
      </c>
      <c r="AY811" s="57" t="n">
        <f aca="false">AV811*G811</f>
        <v>131.04</v>
      </c>
      <c r="AZ811" s="57" t="n">
        <f aca="false">ROUNDUP(MAX(J811/IF(BZ811&gt;0,BZ811,MAX(0.1,N(Cockpit!$O$6))),CC811)/BS811,0)*BS811</f>
        <v>17</v>
      </c>
      <c r="BA811" s="58" t="n">
        <f aca="false">IF(AX811&gt;0,J811/AX811,-1)</f>
        <v>0</v>
      </c>
      <c r="BB811" s="58" t="n">
        <f aca="false">IF(AND(OR(BY811="L1",BY811="L23"),AX811&gt;0),SUMIFS($AX$7:$AX$1843,$BY$7:$BY$1843,BY811,$BA$7:$BA$1843,"&gt;"&amp;BA811)+SUMIFS($AX$7:$AX$1843,$BY$7:$BY$1843,BY811,$BA$7:$BA$1843,BA811,$BQ$7:$BQ$1843,"&lt;="&amp;BQ811),"")</f>
        <v>109.285480220263</v>
      </c>
      <c r="BC811" s="65" t="n">
        <f aca="false">IF(BB811="",0,MAX(0,MIN(1,(IF(BY811="L1",Parameter!$E$5,Parameter!$E$6+Parameter!$E$7)-(BB811-AX811))/AX811)))</f>
        <v>0</v>
      </c>
      <c r="BD811" s="55" t="str">
        <f aca="false">IF(AH811&lt;=0,"",IF(BY811="Aussen","Aussenlager",IF(BY811="-","Nicht im Lift",IF(AM811&gt;=1,"Lift",IF(AM811&lt;=0,"Aussenlager","teilweise")))))</f>
        <v>Lift</v>
      </c>
      <c r="BE811" s="55" t="str">
        <f aca="false">IF(AP811&lt;=0,"",IF(BY811="Aussen","Aussenlager",IF(BY811="-","Nicht im Lift",IF(AU811&gt;=1,"Lift",IF(AU811&lt;=0,"Aussenlager","teilweise")))))</f>
        <v>Aussenlager</v>
      </c>
      <c r="BF811" s="55" t="str">
        <f aca="false">IF(AX811&lt;=0,"",IF(BY811="Aussen","Aussenlager",IF(BY811="-","Nicht im Lift",IF(BC811&gt;=1,"Lift",IF(BC811&lt;=0,"Aussenlager","teilweise")))))</f>
        <v>Aussenlager</v>
      </c>
      <c r="BG811" s="55" t="str">
        <f aca="false">IF(A811="","",IF(BP811=1,"Neu; ","")&amp;IF(AND(BP811=0,BK811&lt;0),"negativer Bestand (Export "&amp;BK811&amp;"); ","")&amp;IF(J811&lt;=0,"Kein Verbrauch; ","")&amp;IF(CH811&gt;0,"Lift "&amp;W811&amp;" lt. Liftbericht (Fach "&amp;X811&amp;" Stk); ",IF(BU811=1,"Gebinde geschätzt ("&amp;T811&amp;"); ",IF(BT811=1,"Lose – Tablare geschätzt; ","")))&amp;IF(H811&gt;AR811,"Überbestand "&amp;ROUND(H811-AR811,0)&amp;" Stk / CHF "&amp;ROUND((H811-AR811)*G811,0)&amp;"; ","")&amp;IF(AND(CA811=1,CB811&lt;CC811),"MAX &lt; MB+LG; ","")&amp;IF(AND(CG811&gt;0,CF811*10&gt;CG811),"zu hoch für Tablar; ","")&amp;IF(AND(BP811=0,OR(CA811=1,AA811&lt;&gt;"",U811&lt;&gt;"",V811&lt;&gt;"",AB811&lt;&gt;"")),"manuell übersteuert; ","")&amp;IF(AND(BT811=0,R811=0),"Gebinde unbekannt / Stellmass fehlt; ","")&amp;IF(AND(BT811=0,N(V811)&lt;=0,N(Q811)&lt;=0),"Menge pro Gebinde fehlt (Ist = 1 Gebinde); ","")&amp;BO811)</f>
        <v>negativer Bestand (Export -2); Kein Verbrauch; Überbestand 22 Stk / CHF 74; </v>
      </c>
      <c r="BH811" s="55"/>
      <c r="BI811" s="55"/>
      <c r="BJ811" s="62"/>
      <c r="BK811" s="57" t="n">
        <v>-2</v>
      </c>
      <c r="BL811" s="57" t="n">
        <v>41</v>
      </c>
      <c r="BM811" s="56" t="n">
        <v>-6.72</v>
      </c>
      <c r="BN811" s="57" t="n">
        <v>0</v>
      </c>
      <c r="BO811" s="55"/>
      <c r="BP811" s="60" t="n">
        <v>0</v>
      </c>
      <c r="BQ811" s="60" t="n">
        <v>811</v>
      </c>
      <c r="BR811" s="55" t="str">
        <f aca="false">IF(U811&lt;&gt;"",UPPER(TRIM(U811)),IF(BU811=1,UPPER(VLOOKUP(T811,Parameter!$I$27:$K$29,2,0)),IF(P811="","LOSE",P811)))</f>
        <v>S32</v>
      </c>
      <c r="BS811" s="57" t="n">
        <f aca="false">IF(BR811="LOSE",1,IF(N(V811)&gt;0,V811,IF(BU811=1,MAX(1,N(VLOOKUP(T811,Parameter!$I$27:$K$29,3,0)),H811,N(N811)),IF(N(Q811)&gt;0,Q811,MAX(1,H811)))))</f>
        <v>17</v>
      </c>
      <c r="BT811" s="60" t="n">
        <f aca="false">IF(BR811="LOSE",1,0)</f>
        <v>0</v>
      </c>
      <c r="BU811" s="60" t="n">
        <f aca="false">IF(AND(U811="",OR(P811="",P811="LOSE"),T811&lt;&gt;"",N(S811)&lt;=0,ISNUMBER(MATCH(T811,Parameter!$I$27:$I$29,0))),1,0)</f>
        <v>0</v>
      </c>
      <c r="BV811" s="55" t="str">
        <f aca="false">IF(AND(Parameter!$B$19="Ja",E811&lt;&gt;"",ISNUMBER(MATCH(E811,Parameter!$I$35:$I$52,0))),VLOOKUP(E811,Parameter!$I$35:$J$52,2,0),IFERROR(VLOOKUP(D811,Parameter!$A$35:$C$64,2,0),"Nein"))</f>
        <v>2+3</v>
      </c>
      <c r="BW811" s="59" t="n">
        <f aca="false">IF(BT811=0,0,IF(N(S811)&gt;0,S811,IFERROR(VLOOKUP(D811,Parameter!$A$35:$C$64,3,0)+0,0)))</f>
        <v>0</v>
      </c>
      <c r="BX811" s="55" t="n">
        <f aca="false">IF(AA811&lt;&gt;"",AA811,Z811)</f>
        <v>3</v>
      </c>
      <c r="BY811" s="55" t="str">
        <f aca="false">IF(BX811=1,"L1",IF(OR(BX811=2,BX811=3),"L23",IF(BX811="Aussen","Aussen","-")))</f>
        <v>L23</v>
      </c>
      <c r="BZ811" s="66" t="n">
        <f aca="false">IF(N(AB811)&gt;0,AB811,0)</f>
        <v>0</v>
      </c>
      <c r="CA811" s="60" t="n">
        <f aca="false">IF(ISNUMBER(AE811),1,0)</f>
        <v>0</v>
      </c>
      <c r="CB811" s="57" t="n">
        <f aca="false">N(AE811)</f>
        <v>0</v>
      </c>
      <c r="CC811" s="57" t="n">
        <f aca="false">N(M811)+N(N811)</f>
        <v>1</v>
      </c>
      <c r="CD811" s="57" t="n">
        <f aca="false">ROUNDUP(H811/BS811,0)</f>
        <v>3</v>
      </c>
      <c r="CE811" s="57" t="n">
        <f aca="false">ROUNDUP(CB811/BS811,0)</f>
        <v>0</v>
      </c>
      <c r="CF811" s="60" t="n">
        <f aca="false">IF(BT811=1,0,IFERROR(VLOOKUP(BR811,'Gebinde-Kategorie'!$A$5:$M$45,5,0)+0,0))</f>
        <v>8</v>
      </c>
      <c r="CG811" s="60" t="n">
        <f aca="false">IFERROR(IF(OR(BX811=1,BX811=2,BX811=3),N(INDEX(Parameter!$I$5:$I$7,BX811)),0),0)</f>
        <v>0</v>
      </c>
      <c r="CH811" s="59" t="n">
        <f aca="false">IF(AND(Parameter!$B$21="Ja",ISNUMBER(W811),N(X811)&gt;0),IFERROR(N(INDEX(Parameter!$L$5:$L$7,W811))*INDEX(Parameter!$E$5:$E$7,W811)*X811/SUMIFS($X$7:$X$1843,$W$7:$W$1843,W811),0),0)</f>
        <v>0</v>
      </c>
    </row>
    <row r="812" customFormat="false" ht="15" hidden="false" customHeight="false" outlineLevel="0" collapsed="false">
      <c r="A812" s="55" t="s">
        <v>1572</v>
      </c>
      <c r="B812" s="55" t="s">
        <v>1573</v>
      </c>
      <c r="C812" s="55" t="s">
        <v>164</v>
      </c>
      <c r="D812" s="55" t="s">
        <v>184</v>
      </c>
      <c r="E812" s="55"/>
      <c r="F812" s="55" t="s">
        <v>218</v>
      </c>
      <c r="G812" s="56" t="n">
        <v>6.75</v>
      </c>
      <c r="H812" s="57" t="n">
        <f aca="false">MAX(0,IF(AND(Parameter!$B$21="Ja",ISNUMBER(Y812)),Y812,IF(Parameter!$B$20="Jahresanfang 2025 + Export",BL812+BK812,BK812)))</f>
        <v>4</v>
      </c>
      <c r="I812" s="57" t="n">
        <f aca="false">H812*G812</f>
        <v>27</v>
      </c>
      <c r="J812" s="57" t="n">
        <f aca="false">BN812*Parameter!$B$18</f>
        <v>0</v>
      </c>
      <c r="K812" s="58" t="n">
        <v>5</v>
      </c>
      <c r="L812" s="59" t="n">
        <v>0</v>
      </c>
      <c r="M812" s="57" t="n">
        <v>0</v>
      </c>
      <c r="N812" s="57" t="n">
        <v>1</v>
      </c>
      <c r="O812" s="60" t="n">
        <v>42</v>
      </c>
      <c r="P812" s="55" t="s">
        <v>426</v>
      </c>
      <c r="Q812" s="57" t="n">
        <v>5</v>
      </c>
      <c r="R812" s="60" t="n">
        <f aca="false">IF(BT812=1,0,IFERROR(VLOOKUP(BR812,'Gebinde-Kategorie'!$A$5:$M$45,13,0)+0,0))</f>
        <v>198</v>
      </c>
      <c r="S812" s="61"/>
      <c r="T812" s="62"/>
      <c r="U812" s="62"/>
      <c r="V812" s="62"/>
      <c r="W812" s="55"/>
      <c r="X812" s="57"/>
      <c r="Y812" s="57"/>
      <c r="Z812" s="55" t="n">
        <f aca="false">IF(A812="","",IF(AND(Parameter!$B$21="Ja",ISNUMBER(W812)),W812,IF(BV812="2+3",IF(ISNUMBER(SEARCH("grosser Artikel",BO812)),2,IFERROR(VLOOKUP(BR812,Parameter!$F$35:$G$64,2,0),2)),IF(OR(BV812="Nein",BV812=""),"-",BV812))))</f>
        <v>3</v>
      </c>
      <c r="AA812" s="62"/>
      <c r="AB812" s="63"/>
      <c r="AC812" s="57" t="n">
        <f aca="false">AR812</f>
        <v>5</v>
      </c>
      <c r="AD812" s="57" t="n">
        <f aca="false">MAX(AR812,H812)</f>
        <v>5</v>
      </c>
      <c r="AE812" s="64"/>
      <c r="AF812" s="57" t="n">
        <f aca="false">IF(LEFT(Cockpit!$C$5,1)="A",H812,IF(CA812=1,CB812,IF(LEFT(Cockpit!$C$5,1)="B",AJ812,MAX(AJ812,H812))))</f>
        <v>4</v>
      </c>
      <c r="AG812" s="57" t="n">
        <f aca="false">IF(BT812=1,0,ROUNDUP(AF812/BS812,0))</f>
        <v>1</v>
      </c>
      <c r="AH812" s="59" t="n">
        <f aca="false">IF(CH812&gt;0,CH812*MAX(1,AF812/X812),IF(BT812=1,IF(AF812&lt;=0,0,BW812*MAX(1,IF(H812&gt;0,AF812/H812,1))),IF(R812&gt;0,AG812/R812,0))/MAX(0.1,N(Parameter!$M$21)))</f>
        <v>0.00505050505050505</v>
      </c>
      <c r="AI812" s="57" t="n">
        <f aca="false">AF812*G812</f>
        <v>27</v>
      </c>
      <c r="AJ812" s="57" t="n">
        <f aca="false">ROUNDUP(MAX(J812/IF(BZ812&gt;0,BZ812,MAX(0.1,N(Cockpit!$C$6))),CC812)/BS812,0)*BS812</f>
        <v>5</v>
      </c>
      <c r="AK812" s="58" t="n">
        <f aca="false">IF(AH812&gt;0,J812/AH812,-1)</f>
        <v>0</v>
      </c>
      <c r="AL812" s="58" t="n">
        <f aca="false">IF(AND(OR(BY812="L1",BY812="L23"),AH812&gt;0),SUMIFS($AH$7:$AH$1843,$BY$7:$BY$1843,BY812,$AK$7:$AK$1843,"&gt;"&amp;AK812)+SUMIFS($AH$7:$AH$1843,$BY$7:$BY$1843,BY812,$AK$7:$AK$1843,AK812,$BQ$7:$BQ$1843,"&lt;="&amp;BQ812),"")</f>
        <v>77.5894311003007</v>
      </c>
      <c r="AM812" s="65" t="n">
        <f aca="false">IF(AL812="",0,MAX(0,MIN(1,(IF(BY812="L1",Parameter!$E$5,Parameter!$E$6+Parameter!$E$7)-(AL812-AH812))/AH812)))</f>
        <v>1</v>
      </c>
      <c r="AN812" s="57" t="n">
        <f aca="false">IF(LEFT(Cockpit!$I$5,1)="A",H812,IF(CA812=1,CB812,IF(LEFT(Cockpit!$I$5,1)="B",AR812,MAX(AR812,H812))))</f>
        <v>5</v>
      </c>
      <c r="AO812" s="57" t="n">
        <f aca="false">IF(BT812=1,0,ROUNDUP(AN812/BS812,0))</f>
        <v>1</v>
      </c>
      <c r="AP812" s="59" t="n">
        <f aca="false">IF(CH812&gt;0,CH812*MAX(1,AN812/X812),IF(BT812=1,IF(AN812&lt;=0,0,BW812*MAX(1,IF(H812&gt;0,AN812/H812,1))),IF(R812&gt;0,AO812/R812,0))/MAX(0.1,N(Parameter!$M$21)))</f>
        <v>0.00505050505050505</v>
      </c>
      <c r="AQ812" s="57" t="n">
        <f aca="false">AN812*G812</f>
        <v>33.75</v>
      </c>
      <c r="AR812" s="57" t="n">
        <f aca="false">ROUNDUP(MAX(J812/IF(BZ812&gt;0,BZ812,MAX(0.1,N(Cockpit!$I$6))),CC812)/BS812,0)*BS812</f>
        <v>5</v>
      </c>
      <c r="AS812" s="58" t="n">
        <f aca="false">IF(AP812&gt;0,J812/AP812,-1)</f>
        <v>0</v>
      </c>
      <c r="AT812" s="58" t="n">
        <f aca="false">IF(AND(OR(BY812="L1",BY812="L23"),AP812&gt;0),SUMIFS($AP$7:$AP$1843,$BY$7:$BY$1843,BY812,$AS$7:$AS$1843,"&gt;"&amp;AS812)+SUMIFS($AP$7:$AP$1843,$BY$7:$BY$1843,BY812,$AS$7:$AS$1843,AS812,$BQ$7:$BQ$1843,"&lt;="&amp;BQ812),"")</f>
        <v>118.460693895477</v>
      </c>
      <c r="AU812" s="65" t="n">
        <f aca="false">IF(AT812="",0,MAX(0,MIN(1,(IF(BY812="L1",Parameter!$E$5,Parameter!$E$6+Parameter!$E$7)-(AT812-AP812))/AP812)))</f>
        <v>0</v>
      </c>
      <c r="AV812" s="57" t="n">
        <f aca="false">IF(LEFT(Cockpit!$O$5,1)="A",H812,IF(CA812=1,CB812,IF(LEFT(Cockpit!$O$5,1)="B",AZ812,MAX(AZ812,H812))))</f>
        <v>5</v>
      </c>
      <c r="AW812" s="57" t="n">
        <f aca="false">IF(BT812=1,0,ROUNDUP(AV812/BS812,0))</f>
        <v>1</v>
      </c>
      <c r="AX812" s="59" t="n">
        <f aca="false">IF(CH812&gt;0,CH812*MAX(1,AV812/X812),IF(BT812=1,IF(AV812&lt;=0,0,BW812*MAX(1,IF(H812&gt;0,AV812/H812,1))),IF(R812&gt;0,AW812/R812,0))/MAX(0.1,N(Parameter!$M$21)))</f>
        <v>0.00505050505050505</v>
      </c>
      <c r="AY812" s="57" t="n">
        <f aca="false">AV812*G812</f>
        <v>33.75</v>
      </c>
      <c r="AZ812" s="57" t="n">
        <f aca="false">ROUNDUP(MAX(J812/IF(BZ812&gt;0,BZ812,MAX(0.1,N(Cockpit!$O$6))),CC812)/BS812,0)*BS812</f>
        <v>5</v>
      </c>
      <c r="BA812" s="58" t="n">
        <f aca="false">IF(AX812&gt;0,J812/AX812,-1)</f>
        <v>0</v>
      </c>
      <c r="BB812" s="58" t="n">
        <f aca="false">IF(AND(OR(BY812="L1",BY812="L23"),AX812&gt;0),SUMIFS($AX$7:$AX$1843,$BY$7:$BY$1843,BY812,$BA$7:$BA$1843,"&gt;"&amp;BA812)+SUMIFS($AX$7:$AX$1843,$BY$7:$BY$1843,BY812,$BA$7:$BA$1843,BA812,$BQ$7:$BQ$1843,"&lt;="&amp;BQ812),"")</f>
        <v>109.290530725313</v>
      </c>
      <c r="BC812" s="65" t="n">
        <f aca="false">IF(BB812="",0,MAX(0,MIN(1,(IF(BY812="L1",Parameter!$E$5,Parameter!$E$6+Parameter!$E$7)-(BB812-AX812))/AX812)))</f>
        <v>0</v>
      </c>
      <c r="BD812" s="55" t="str">
        <f aca="false">IF(AH812&lt;=0,"",IF(BY812="Aussen","Aussenlager",IF(BY812="-","Nicht im Lift",IF(AM812&gt;=1,"Lift",IF(AM812&lt;=0,"Aussenlager","teilweise")))))</f>
        <v>Lift</v>
      </c>
      <c r="BE812" s="55" t="str">
        <f aca="false">IF(AP812&lt;=0,"",IF(BY812="Aussen","Aussenlager",IF(BY812="-","Nicht im Lift",IF(AU812&gt;=1,"Lift",IF(AU812&lt;=0,"Aussenlager","teilweise")))))</f>
        <v>Aussenlager</v>
      </c>
      <c r="BF812" s="55" t="str">
        <f aca="false">IF(AX812&lt;=0,"",IF(BY812="Aussen","Aussenlager",IF(BY812="-","Nicht im Lift",IF(BC812&gt;=1,"Lift",IF(BC812&lt;=0,"Aussenlager","teilweise")))))</f>
        <v>Aussenlager</v>
      </c>
      <c r="BG812" s="55" t="str">
        <f aca="false">IF(A812="","",IF(BP812=1,"Neu; ","")&amp;IF(AND(BP812=0,BK812&lt;0),"negativer Bestand (Export "&amp;BK812&amp;"); ","")&amp;IF(J812&lt;=0,"Kein Verbrauch; ","")&amp;IF(CH812&gt;0,"Lift "&amp;W812&amp;" lt. Liftbericht (Fach "&amp;X812&amp;" Stk); ",IF(BU812=1,"Gebinde geschätzt ("&amp;T812&amp;"); ",IF(BT812=1,"Lose – Tablare geschätzt; ","")))&amp;IF(H812&gt;AR812,"Überbestand "&amp;ROUND(H812-AR812,0)&amp;" Stk / CHF "&amp;ROUND((H812-AR812)*G812,0)&amp;"; ","")&amp;IF(AND(CA812=1,CB812&lt;CC812),"MAX &lt; MB+LG; ","")&amp;IF(AND(CG812&gt;0,CF812*10&gt;CG812),"zu hoch für Tablar; ","")&amp;IF(AND(BP812=0,OR(CA812=1,AA812&lt;&gt;"",U812&lt;&gt;"",V812&lt;&gt;"",AB812&lt;&gt;"")),"manuell übersteuert; ","")&amp;IF(AND(BT812=0,R812=0),"Gebinde unbekannt / Stellmass fehlt; ","")&amp;IF(AND(BT812=0,N(V812)&lt;=0,N(Q812)&lt;=0),"Menge pro Gebinde fehlt (Ist = 1 Gebinde); ","")&amp;BO812)</f>
        <v>negativer Bestand (Export -1); Kein Verbrauch; </v>
      </c>
      <c r="BH812" s="55"/>
      <c r="BI812" s="55"/>
      <c r="BJ812" s="62"/>
      <c r="BK812" s="57" t="n">
        <v>-1</v>
      </c>
      <c r="BL812" s="57" t="n">
        <v>5</v>
      </c>
      <c r="BM812" s="56" t="n">
        <v>-6.75</v>
      </c>
      <c r="BN812" s="57" t="n">
        <v>0</v>
      </c>
      <c r="BO812" s="55"/>
      <c r="BP812" s="60" t="n">
        <v>0</v>
      </c>
      <c r="BQ812" s="60" t="n">
        <v>812</v>
      </c>
      <c r="BR812" s="55" t="str">
        <f aca="false">IF(U812&lt;&gt;"",UPPER(TRIM(U812)),IF(BU812=1,UPPER(VLOOKUP(T812,Parameter!$I$27:$K$29,2,0)),IF(P812="","LOSE",P812)))</f>
        <v>S22</v>
      </c>
      <c r="BS812" s="57" t="n">
        <f aca="false">IF(BR812="LOSE",1,IF(N(V812)&gt;0,V812,IF(BU812=1,MAX(1,N(VLOOKUP(T812,Parameter!$I$27:$K$29,3,0)),H812,N(N812)),IF(N(Q812)&gt;0,Q812,MAX(1,H812)))))</f>
        <v>5</v>
      </c>
      <c r="BT812" s="60" t="n">
        <f aca="false">IF(BR812="LOSE",1,0)</f>
        <v>0</v>
      </c>
      <c r="BU812" s="60" t="n">
        <f aca="false">IF(AND(U812="",OR(P812="",P812="LOSE"),T812&lt;&gt;"",N(S812)&lt;=0,ISNUMBER(MATCH(T812,Parameter!$I$27:$I$29,0))),1,0)</f>
        <v>0</v>
      </c>
      <c r="BV812" s="55" t="str">
        <f aca="false">IF(AND(Parameter!$B$19="Ja",E812&lt;&gt;"",ISNUMBER(MATCH(E812,Parameter!$I$35:$I$52,0))),VLOOKUP(E812,Parameter!$I$35:$J$52,2,0),IFERROR(VLOOKUP(D812,Parameter!$A$35:$C$64,2,0),"Nein"))</f>
        <v>2+3</v>
      </c>
      <c r="BW812" s="59" t="n">
        <f aca="false">IF(BT812=0,0,IF(N(S812)&gt;0,S812,IFERROR(VLOOKUP(D812,Parameter!$A$35:$C$64,3,0)+0,0)))</f>
        <v>0</v>
      </c>
      <c r="BX812" s="55" t="n">
        <f aca="false">IF(AA812&lt;&gt;"",AA812,Z812)</f>
        <v>3</v>
      </c>
      <c r="BY812" s="55" t="str">
        <f aca="false">IF(BX812=1,"L1",IF(OR(BX812=2,BX812=3),"L23",IF(BX812="Aussen","Aussen","-")))</f>
        <v>L23</v>
      </c>
      <c r="BZ812" s="66" t="n">
        <f aca="false">IF(N(AB812)&gt;0,AB812,0)</f>
        <v>0</v>
      </c>
      <c r="CA812" s="60" t="n">
        <f aca="false">IF(ISNUMBER(AE812),1,0)</f>
        <v>0</v>
      </c>
      <c r="CB812" s="57" t="n">
        <f aca="false">N(AE812)</f>
        <v>0</v>
      </c>
      <c r="CC812" s="57" t="n">
        <f aca="false">N(M812)+N(N812)</f>
        <v>1</v>
      </c>
      <c r="CD812" s="57" t="n">
        <f aca="false">ROUNDUP(H812/BS812,0)</f>
        <v>1</v>
      </c>
      <c r="CE812" s="57" t="n">
        <f aca="false">ROUNDUP(CB812/BS812,0)</f>
        <v>0</v>
      </c>
      <c r="CF812" s="60" t="n">
        <f aca="false">IF(BT812=1,0,IFERROR(VLOOKUP(BR812,'Gebinde-Kategorie'!$A$5:$M$45,5,0)+0,0))</f>
        <v>8</v>
      </c>
      <c r="CG812" s="60" t="n">
        <f aca="false">IFERROR(IF(OR(BX812=1,BX812=2,BX812=3),N(INDEX(Parameter!$I$5:$I$7,BX812)),0),0)</f>
        <v>0</v>
      </c>
      <c r="CH812" s="59" t="n">
        <f aca="false">IF(AND(Parameter!$B$21="Ja",ISNUMBER(W812),N(X812)&gt;0),IFERROR(N(INDEX(Parameter!$L$5:$L$7,W812))*INDEX(Parameter!$E$5:$E$7,W812)*X812/SUMIFS($X$7:$X$1843,$W$7:$W$1843,W812),0),0)</f>
        <v>0</v>
      </c>
    </row>
    <row r="813" customFormat="false" ht="15" hidden="false" customHeight="false" outlineLevel="0" collapsed="false">
      <c r="A813" s="55" t="s">
        <v>1574</v>
      </c>
      <c r="B813" s="55" t="s">
        <v>1022</v>
      </c>
      <c r="C813" s="55" t="s">
        <v>164</v>
      </c>
      <c r="D813" s="55" t="s">
        <v>184</v>
      </c>
      <c r="E813" s="55" t="s">
        <v>185</v>
      </c>
      <c r="F813" s="55" t="s">
        <v>218</v>
      </c>
      <c r="G813" s="56" t="n">
        <v>0.14</v>
      </c>
      <c r="H813" s="57" t="n">
        <f aca="false">MAX(0,IF(AND(Parameter!$B$21="Ja",ISNUMBER(Y813)),Y813,IF(Parameter!$B$20="Jahresanfang 2025 + Export",BL813+BK813,BK813)))</f>
        <v>303</v>
      </c>
      <c r="I813" s="57" t="n">
        <f aca="false">H813*G813</f>
        <v>42.42</v>
      </c>
      <c r="J813" s="57" t="n">
        <f aca="false">BN813*Parameter!$B$18</f>
        <v>38</v>
      </c>
      <c r="K813" s="58" t="n">
        <v>335</v>
      </c>
      <c r="L813" s="59" t="n">
        <v>0.113432835820896</v>
      </c>
      <c r="M813" s="57" t="n">
        <v>2</v>
      </c>
      <c r="N813" s="57" t="n">
        <v>40</v>
      </c>
      <c r="O813" s="60" t="n">
        <v>21</v>
      </c>
      <c r="P813" s="55" t="s">
        <v>476</v>
      </c>
      <c r="Q813" s="57" t="n">
        <v>454</v>
      </c>
      <c r="R813" s="60" t="n">
        <f aca="false">IF(BT813=1,0,IFERROR(VLOOKUP(BR813,'Gebinde-Kategorie'!$A$5:$M$45,13,0)+0,0))</f>
        <v>66</v>
      </c>
      <c r="S813" s="61"/>
      <c r="T813" s="62"/>
      <c r="U813" s="62"/>
      <c r="V813" s="62"/>
      <c r="W813" s="55"/>
      <c r="X813" s="57"/>
      <c r="Y813" s="57"/>
      <c r="Z813" s="55" t="n">
        <f aca="false">IF(A813="","",IF(AND(Parameter!$B$21="Ja",ISNUMBER(W813)),W813,IF(BV813="2+3",IF(ISNUMBER(SEARCH("grosser Artikel",BO813)),2,IFERROR(VLOOKUP(BR813,Parameter!$F$35:$G$64,2,0),2)),IF(OR(BV813="Nein",BV813=""),"-",BV813))))</f>
        <v>3</v>
      </c>
      <c r="AA813" s="62"/>
      <c r="AB813" s="63"/>
      <c r="AC813" s="57" t="n">
        <f aca="false">AR813</f>
        <v>454</v>
      </c>
      <c r="AD813" s="57" t="n">
        <f aca="false">MAX(AR813,H813)</f>
        <v>454</v>
      </c>
      <c r="AE813" s="64"/>
      <c r="AF813" s="57" t="n">
        <f aca="false">IF(LEFT(Cockpit!$C$5,1)="A",H813,IF(CA813=1,CB813,IF(LEFT(Cockpit!$C$5,1)="B",AJ813,MAX(AJ813,H813))))</f>
        <v>303</v>
      </c>
      <c r="AG813" s="57" t="n">
        <f aca="false">IF(BT813=1,0,ROUNDUP(AF813/BS813,0))</f>
        <v>1</v>
      </c>
      <c r="AH813" s="59" t="n">
        <f aca="false">IF(CH813&gt;0,CH813*MAX(1,AF813/X813),IF(BT813=1,IF(AF813&lt;=0,0,BW813*MAX(1,IF(H813&gt;0,AF813/H813,1))),IF(R813&gt;0,AG813/R813,0))/MAX(0.1,N(Parameter!$M$21)))</f>
        <v>0.0151515151515152</v>
      </c>
      <c r="AI813" s="57" t="n">
        <f aca="false">AF813*G813</f>
        <v>42.42</v>
      </c>
      <c r="AJ813" s="57" t="n">
        <f aca="false">ROUNDUP(MAX(J813/IF(BZ813&gt;0,BZ813,MAX(0.1,N(Cockpit!$C$6))),CC813)/BS813,0)*BS813</f>
        <v>454</v>
      </c>
      <c r="AK813" s="58" t="n">
        <f aca="false">IF(AH813&gt;0,J813/AH813,-1)</f>
        <v>2508</v>
      </c>
      <c r="AL813" s="58" t="n">
        <f aca="false">IF(AND(OR(BY813="L1",BY813="L23"),AH813&gt;0),SUMIFS($AH$7:$AH$1843,$BY$7:$BY$1843,BY813,$AK$7:$AK$1843,"&gt;"&amp;AK813)+SUMIFS($AH$7:$AH$1843,$BY$7:$BY$1843,BY813,$AK$7:$AK$1843,AK813,$BQ$7:$BQ$1843,"&lt;="&amp;BQ813),"")</f>
        <v>11.526418026418</v>
      </c>
      <c r="AM813" s="65" t="n">
        <f aca="false">IF(AL813="",0,MAX(0,MIN(1,(IF(BY813="L1",Parameter!$E$5,Parameter!$E$6+Parameter!$E$7)-(AL813-AH813))/AH813)))</f>
        <v>1</v>
      </c>
      <c r="AN813" s="57" t="n">
        <f aca="false">IF(LEFT(Cockpit!$I$5,1)="A",H813,IF(CA813=1,CB813,IF(LEFT(Cockpit!$I$5,1)="B",AR813,MAX(AR813,H813))))</f>
        <v>454</v>
      </c>
      <c r="AO813" s="57" t="n">
        <f aca="false">IF(BT813=1,0,ROUNDUP(AN813/BS813,0))</f>
        <v>1</v>
      </c>
      <c r="AP813" s="59" t="n">
        <f aca="false">IF(CH813&gt;0,CH813*MAX(1,AN813/X813),IF(BT813=1,IF(AN813&lt;=0,0,BW813*MAX(1,IF(H813&gt;0,AN813/H813,1))),IF(R813&gt;0,AO813/R813,0))/MAX(0.1,N(Parameter!$M$21)))</f>
        <v>0.0151515151515152</v>
      </c>
      <c r="AQ813" s="57" t="n">
        <f aca="false">AN813*G813</f>
        <v>63.56</v>
      </c>
      <c r="AR813" s="57" t="n">
        <f aca="false">ROUNDUP(MAX(J813/IF(BZ813&gt;0,BZ813,MAX(0.1,N(Cockpit!$I$6))),CC813)/BS813,0)*BS813</f>
        <v>454</v>
      </c>
      <c r="AS813" s="58" t="n">
        <f aca="false">IF(AP813&gt;0,J813/AP813,-1)</f>
        <v>2508</v>
      </c>
      <c r="AT813" s="58" t="n">
        <f aca="false">IF(AND(OR(BY813="L1",BY813="L23"),AP813&gt;0),SUMIFS($AP$7:$AP$1843,$BY$7:$BY$1843,BY813,$AS$7:$AS$1843,"&gt;"&amp;AS813)+SUMIFS($AP$7:$AP$1843,$BY$7:$BY$1843,BY813,$AS$7:$AS$1843,AS813,$BQ$7:$BQ$1843,"&lt;="&amp;BQ813),"")</f>
        <v>16.8510523293132</v>
      </c>
      <c r="AU813" s="65" t="n">
        <f aca="false">IF(AT813="",0,MAX(0,MIN(1,(IF(BY813="L1",Parameter!$E$5,Parameter!$E$6+Parameter!$E$7)-(AT813-AP813))/AP813)))</f>
        <v>1</v>
      </c>
      <c r="AV813" s="57" t="n">
        <f aca="false">IF(LEFT(Cockpit!$O$5,1)="A",H813,IF(CA813=1,CB813,IF(LEFT(Cockpit!$O$5,1)="B",AZ813,MAX(AZ813,H813))))</f>
        <v>454</v>
      </c>
      <c r="AW813" s="57" t="n">
        <f aca="false">IF(BT813=1,0,ROUNDUP(AV813/BS813,0))</f>
        <v>1</v>
      </c>
      <c r="AX813" s="59" t="n">
        <f aca="false">IF(CH813&gt;0,CH813*MAX(1,AV813/X813),IF(BT813=1,IF(AV813&lt;=0,0,BW813*MAX(1,IF(H813&gt;0,AV813/H813,1))),IF(R813&gt;0,AW813/R813,0))/MAX(0.1,N(Parameter!$M$21)))</f>
        <v>0.0151515151515152</v>
      </c>
      <c r="AY813" s="57" t="n">
        <f aca="false">AV813*G813</f>
        <v>63.56</v>
      </c>
      <c r="AZ813" s="57" t="n">
        <f aca="false">ROUNDUP(MAX(J813/IF(BZ813&gt;0,BZ813,MAX(0.1,N(Cockpit!$O$6))),CC813)/BS813,0)*BS813</f>
        <v>454</v>
      </c>
      <c r="BA813" s="58" t="n">
        <f aca="false">IF(AX813&gt;0,J813/AX813,-1)</f>
        <v>2508</v>
      </c>
      <c r="BB813" s="58" t="n">
        <f aca="false">IF(AND(OR(BY813="L1",BY813="L23"),AX813&gt;0),SUMIFS($AX$7:$AX$1843,$BY$7:$BY$1843,BY813,$BA$7:$BA$1843,"&gt;"&amp;BA813)+SUMIFS($AX$7:$AX$1843,$BY$7:$BY$1843,BY813,$BA$7:$BA$1843,BA813,$BQ$7:$BQ$1843,"&lt;="&amp;BQ813),"")</f>
        <v>15.4244789027398</v>
      </c>
      <c r="BC813" s="65" t="n">
        <f aca="false">IF(BB813="",0,MAX(0,MIN(1,(IF(BY813="L1",Parameter!$E$5,Parameter!$E$6+Parameter!$E$7)-(BB813-AX813))/AX813)))</f>
        <v>1</v>
      </c>
      <c r="BD813" s="55" t="str">
        <f aca="false">IF(AH813&lt;=0,"",IF(BY813="Aussen","Aussenlager",IF(BY813="-","Nicht im Lift",IF(AM813&gt;=1,"Lift",IF(AM813&lt;=0,"Aussenlager","teilweise")))))</f>
        <v>Lift</v>
      </c>
      <c r="BE813" s="55" t="str">
        <f aca="false">IF(AP813&lt;=0,"",IF(BY813="Aussen","Aussenlager",IF(BY813="-","Nicht im Lift",IF(AU813&gt;=1,"Lift",IF(AU813&lt;=0,"Aussenlager","teilweise")))))</f>
        <v>Lift</v>
      </c>
      <c r="BF813" s="55" t="str">
        <f aca="false">IF(AX813&lt;=0,"",IF(BY813="Aussen","Aussenlager",IF(BY813="-","Nicht im Lift",IF(BC813&gt;=1,"Lift",IF(BC813&lt;=0,"Aussenlager","teilweise")))))</f>
        <v>Lift</v>
      </c>
      <c r="BG813" s="55" t="str">
        <f aca="false">IF(A813="","",IF(BP813=1,"Neu; ","")&amp;IF(AND(BP813=0,BK813&lt;0),"negativer Bestand (Export "&amp;BK813&amp;"); ","")&amp;IF(J813&lt;=0,"Kein Verbrauch; ","")&amp;IF(CH813&gt;0,"Lift "&amp;W813&amp;" lt. Liftbericht (Fach "&amp;X813&amp;" Stk); ",IF(BU813=1,"Gebinde geschätzt ("&amp;T813&amp;"); ",IF(BT813=1,"Lose – Tablare geschätzt; ","")))&amp;IF(H813&gt;AR813,"Überbestand "&amp;ROUND(H813-AR813,0)&amp;" Stk / CHF "&amp;ROUND((H813-AR813)*G813,0)&amp;"; ","")&amp;IF(AND(CA813=1,CB813&lt;CC813),"MAX &lt; MB+LG; ","")&amp;IF(AND(CG813&gt;0,CF813*10&gt;CG813),"zu hoch für Tablar; ","")&amp;IF(AND(BP813=0,OR(CA813=1,AA813&lt;&gt;"",U813&lt;&gt;"",V813&lt;&gt;"",AB813&lt;&gt;"")),"manuell übersteuert; ","")&amp;IF(AND(BT813=0,R813=0),"Gebinde unbekannt / Stellmass fehlt; ","")&amp;IF(AND(BT813=0,N(V813)&lt;=0,N(Q813)&lt;=0),"Menge pro Gebinde fehlt (Ist = 1 Gebinde); ","")&amp;BO813)</f>
        <v>negativer Bestand (Export -51); Überbestand</v>
      </c>
      <c r="BH813" s="55"/>
      <c r="BI813" s="55"/>
      <c r="BJ813" s="62"/>
      <c r="BK813" s="57" t="n">
        <v>-51</v>
      </c>
      <c r="BL813" s="57" t="n">
        <v>354</v>
      </c>
      <c r="BM813" s="56" t="n">
        <v>-7.14</v>
      </c>
      <c r="BN813" s="57" t="n">
        <v>38</v>
      </c>
      <c r="BO813" s="55" t="s">
        <v>392</v>
      </c>
      <c r="BP813" s="60" t="n">
        <v>0</v>
      </c>
      <c r="BQ813" s="60" t="n">
        <v>813</v>
      </c>
      <c r="BR813" s="55" t="str">
        <f aca="false">IF(U813&lt;&gt;"",UPPER(TRIM(U813)),IF(BU813=1,UPPER(VLOOKUP(T813,Parameter!$I$27:$K$29,2,0)),IF(P813="","LOSE",P813)))</f>
        <v>S33</v>
      </c>
      <c r="BS813" s="57" t="n">
        <f aca="false">IF(BR813="LOSE",1,IF(N(V813)&gt;0,V813,IF(BU813=1,MAX(1,N(VLOOKUP(T813,Parameter!$I$27:$K$29,3,0)),H813,N(N813)),IF(N(Q813)&gt;0,Q813,MAX(1,H813)))))</f>
        <v>454</v>
      </c>
      <c r="BT813" s="60" t="n">
        <f aca="false">IF(BR813="LOSE",1,0)</f>
        <v>0</v>
      </c>
      <c r="BU813" s="60" t="n">
        <f aca="false">IF(AND(U813="",OR(P813="",P813="LOSE"),T813&lt;&gt;"",N(S813)&lt;=0,ISNUMBER(MATCH(T813,Parameter!$I$27:$I$29,0))),1,0)</f>
        <v>0</v>
      </c>
      <c r="BV813" s="55" t="str">
        <f aca="false">IF(AND(Parameter!$B$19="Ja",E813&lt;&gt;"",ISNUMBER(MATCH(E813,Parameter!$I$35:$I$52,0))),VLOOKUP(E813,Parameter!$I$35:$J$52,2,0),IFERROR(VLOOKUP(D813,Parameter!$A$35:$C$64,2,0),"Nein"))</f>
        <v>2+3</v>
      </c>
      <c r="BW813" s="59" t="n">
        <f aca="false">IF(BT813=0,0,IF(N(S813)&gt;0,S813,IFERROR(VLOOKUP(D813,Parameter!$A$35:$C$64,3,0)+0,0)))</f>
        <v>0</v>
      </c>
      <c r="BX813" s="55" t="n">
        <f aca="false">IF(AA813&lt;&gt;"",AA813,Z813)</f>
        <v>3</v>
      </c>
      <c r="BY813" s="55" t="str">
        <f aca="false">IF(BX813=1,"L1",IF(OR(BX813=2,BX813=3),"L23",IF(BX813="Aussen","Aussen","-")))</f>
        <v>L23</v>
      </c>
      <c r="BZ813" s="66" t="n">
        <f aca="false">IF(N(AB813)&gt;0,AB813,0)</f>
        <v>0</v>
      </c>
      <c r="CA813" s="60" t="n">
        <f aca="false">IF(ISNUMBER(AE813),1,0)</f>
        <v>0</v>
      </c>
      <c r="CB813" s="57" t="n">
        <f aca="false">N(AE813)</f>
        <v>0</v>
      </c>
      <c r="CC813" s="57" t="n">
        <f aca="false">N(M813)+N(N813)</f>
        <v>42</v>
      </c>
      <c r="CD813" s="57" t="n">
        <f aca="false">ROUNDUP(H813/BS813,0)</f>
        <v>1</v>
      </c>
      <c r="CE813" s="57" t="n">
        <f aca="false">ROUNDUP(CB813/BS813,0)</f>
        <v>0</v>
      </c>
      <c r="CF813" s="60" t="n">
        <f aca="false">IF(BT813=1,0,IFERROR(VLOOKUP(BR813,'Gebinde-Kategorie'!$A$5:$M$45,5,0)+0,0))</f>
        <v>8</v>
      </c>
      <c r="CG813" s="60" t="n">
        <f aca="false">IFERROR(IF(OR(BX813=1,BX813=2,BX813=3),N(INDEX(Parameter!$I$5:$I$7,BX813)),0),0)</f>
        <v>0</v>
      </c>
      <c r="CH813" s="59" t="n">
        <f aca="false">IF(AND(Parameter!$B$21="Ja",ISNUMBER(W813),N(X813)&gt;0),IFERROR(N(INDEX(Parameter!$L$5:$L$7,W813))*INDEX(Parameter!$E$5:$E$7,W813)*X813/SUMIFS($X$7:$X$1843,$W$7:$W$1843,W813),0),0)</f>
        <v>0</v>
      </c>
    </row>
    <row r="814" customFormat="false" ht="15" hidden="false" customHeight="false" outlineLevel="0" collapsed="false">
      <c r="A814" s="55" t="s">
        <v>1575</v>
      </c>
      <c r="B814" s="55" t="s">
        <v>724</v>
      </c>
      <c r="C814" s="55" t="s">
        <v>164</v>
      </c>
      <c r="D814" s="55" t="s">
        <v>184</v>
      </c>
      <c r="E814" s="55" t="s">
        <v>185</v>
      </c>
      <c r="F814" s="55" t="s">
        <v>218</v>
      </c>
      <c r="G814" s="56" t="n">
        <v>10.42</v>
      </c>
      <c r="H814" s="57" t="n">
        <f aca="false">MAX(0,IF(AND(Parameter!$B$21="Ja",ISNUMBER(Y814)),Y814,IF(Parameter!$B$20="Jahresanfang 2025 + Export",BL814+BK814,BK814)))</f>
        <v>8</v>
      </c>
      <c r="I814" s="57" t="n">
        <f aca="false">H814*G814</f>
        <v>83.36</v>
      </c>
      <c r="J814" s="57" t="n">
        <f aca="false">BN814*Parameter!$B$18</f>
        <v>8</v>
      </c>
      <c r="K814" s="58" t="n">
        <v>8.5</v>
      </c>
      <c r="L814" s="59" t="n">
        <v>0.941176470588235</v>
      </c>
      <c r="M814" s="57" t="n">
        <v>0</v>
      </c>
      <c r="N814" s="57" t="n">
        <v>10</v>
      </c>
      <c r="O814" s="60" t="n">
        <v>14</v>
      </c>
      <c r="P814" s="55" t="s">
        <v>426</v>
      </c>
      <c r="Q814" s="57" t="n">
        <v>15</v>
      </c>
      <c r="R814" s="60" t="n">
        <f aca="false">IF(BT814=1,0,IFERROR(VLOOKUP(BR814,'Gebinde-Kategorie'!$A$5:$M$45,13,0)+0,0))</f>
        <v>198</v>
      </c>
      <c r="S814" s="61"/>
      <c r="T814" s="62"/>
      <c r="U814" s="62"/>
      <c r="V814" s="62"/>
      <c r="W814" s="55"/>
      <c r="X814" s="57"/>
      <c r="Y814" s="57"/>
      <c r="Z814" s="55" t="n">
        <f aca="false">IF(A814="","",IF(AND(Parameter!$B$21="Ja",ISNUMBER(W814)),W814,IF(BV814="2+3",IF(ISNUMBER(SEARCH("grosser Artikel",BO814)),2,IFERROR(VLOOKUP(BR814,Parameter!$F$35:$G$64,2,0),2)),IF(OR(BV814="Nein",BV814=""),"-",BV814))))</f>
        <v>3</v>
      </c>
      <c r="AA814" s="62"/>
      <c r="AB814" s="63"/>
      <c r="AC814" s="57" t="n">
        <f aca="false">AR814</f>
        <v>15</v>
      </c>
      <c r="AD814" s="57" t="n">
        <f aca="false">MAX(AR814,H814)</f>
        <v>15</v>
      </c>
      <c r="AE814" s="64"/>
      <c r="AF814" s="57" t="n">
        <f aca="false">IF(LEFT(Cockpit!$C$5,1)="A",H814,IF(CA814=1,CB814,IF(LEFT(Cockpit!$C$5,1)="B",AJ814,MAX(AJ814,H814))))</f>
        <v>8</v>
      </c>
      <c r="AG814" s="57" t="n">
        <f aca="false">IF(BT814=1,0,ROUNDUP(AF814/BS814,0))</f>
        <v>1</v>
      </c>
      <c r="AH814" s="59" t="n">
        <f aca="false">IF(CH814&gt;0,CH814*MAX(1,AF814/X814),IF(BT814=1,IF(AF814&lt;=0,0,BW814*MAX(1,IF(H814&gt;0,AF814/H814,1))),IF(R814&gt;0,AG814/R814,0))/MAX(0.1,N(Parameter!$M$21)))</f>
        <v>0.00505050505050505</v>
      </c>
      <c r="AI814" s="57" t="n">
        <f aca="false">AF814*G814</f>
        <v>83.36</v>
      </c>
      <c r="AJ814" s="57" t="n">
        <f aca="false">ROUNDUP(MAX(J814/IF(BZ814&gt;0,BZ814,MAX(0.1,N(Cockpit!$C$6))),CC814)/BS814,0)*BS814</f>
        <v>15</v>
      </c>
      <c r="AK814" s="58" t="n">
        <f aca="false">IF(AH814&gt;0,J814/AH814,-1)</f>
        <v>1584</v>
      </c>
      <c r="AL814" s="58" t="n">
        <f aca="false">IF(AND(OR(BY814="L1",BY814="L23"),AH814&gt;0),SUMIFS($AH$7:$AH$1843,$BY$7:$BY$1843,BY814,$AK$7:$AK$1843,"&gt;"&amp;AK814)+SUMIFS($AH$7:$AH$1843,$BY$7:$BY$1843,BY814,$AK$7:$AK$1843,AK814,$BQ$7:$BQ$1843,"&lt;="&amp;BQ814),"")</f>
        <v>15.5640603357995</v>
      </c>
      <c r="AM814" s="65" t="n">
        <f aca="false">IF(AL814="",0,MAX(0,MIN(1,(IF(BY814="L1",Parameter!$E$5,Parameter!$E$6+Parameter!$E$7)-(AL814-AH814))/AH814)))</f>
        <v>1</v>
      </c>
      <c r="AN814" s="57" t="n">
        <f aca="false">IF(LEFT(Cockpit!$I$5,1)="A",H814,IF(CA814=1,CB814,IF(LEFT(Cockpit!$I$5,1)="B",AR814,MAX(AR814,H814))))</f>
        <v>15</v>
      </c>
      <c r="AO814" s="57" t="n">
        <f aca="false">IF(BT814=1,0,ROUNDUP(AN814/BS814,0))</f>
        <v>1</v>
      </c>
      <c r="AP814" s="59" t="n">
        <f aca="false">IF(CH814&gt;0,CH814*MAX(1,AN814/X814),IF(BT814=1,IF(AN814&lt;=0,0,BW814*MAX(1,IF(H814&gt;0,AN814/H814,1))),IF(R814&gt;0,AO814/R814,0))/MAX(0.1,N(Parameter!$M$21)))</f>
        <v>0.00505050505050505</v>
      </c>
      <c r="AQ814" s="57" t="n">
        <f aca="false">AN814*G814</f>
        <v>156.3</v>
      </c>
      <c r="AR814" s="57" t="n">
        <f aca="false">ROUNDUP(MAX(J814/IF(BZ814&gt;0,BZ814,MAX(0.1,N(Cockpit!$I$6))),CC814)/BS814,0)*BS814</f>
        <v>15</v>
      </c>
      <c r="AS814" s="58" t="n">
        <f aca="false">IF(AP814&gt;0,J814/AP814,-1)</f>
        <v>1584</v>
      </c>
      <c r="AT814" s="58" t="n">
        <f aca="false">IF(AND(OR(BY814="L1",BY814="L23"),AP814&gt;0),SUMIFS($AP$7:$AP$1843,$BY$7:$BY$1843,BY814,$AS$7:$AS$1843,"&gt;"&amp;AS814)+SUMIFS($AP$7:$AP$1843,$BY$7:$BY$1843,BY814,$AS$7:$AS$1843,AS814,$BQ$7:$BQ$1843,"&lt;="&amp;BQ814),"")</f>
        <v>20.3403770142901</v>
      </c>
      <c r="AU814" s="65" t="n">
        <f aca="false">IF(AT814="",0,MAX(0,MIN(1,(IF(BY814="L1",Parameter!$E$5,Parameter!$E$6+Parameter!$E$7)-(AT814-AP814))/AP814)))</f>
        <v>1</v>
      </c>
      <c r="AV814" s="57" t="n">
        <f aca="false">IF(LEFT(Cockpit!$O$5,1)="A",H814,IF(CA814=1,CB814,IF(LEFT(Cockpit!$O$5,1)="B",AZ814,MAX(AZ814,H814))))</f>
        <v>15</v>
      </c>
      <c r="AW814" s="57" t="n">
        <f aca="false">IF(BT814=1,0,ROUNDUP(AV814/BS814,0))</f>
        <v>1</v>
      </c>
      <c r="AX814" s="59" t="n">
        <f aca="false">IF(CH814&gt;0,CH814*MAX(1,AV814/X814),IF(BT814=1,IF(AV814&lt;=0,0,BW814*MAX(1,IF(H814&gt;0,AV814/H814,1))),IF(R814&gt;0,AW814/R814,0))/MAX(0.1,N(Parameter!$M$21)))</f>
        <v>0.00505050505050505</v>
      </c>
      <c r="AY814" s="57" t="n">
        <f aca="false">AV814*G814</f>
        <v>156.3</v>
      </c>
      <c r="AZ814" s="57" t="n">
        <f aca="false">ROUNDUP(MAX(J814/IF(BZ814&gt;0,BZ814,MAX(0.1,N(Cockpit!$O$6))),CC814)/BS814,0)*BS814</f>
        <v>15</v>
      </c>
      <c r="BA814" s="58" t="n">
        <f aca="false">IF(AX814&gt;0,J814/AX814,-1)</f>
        <v>1584</v>
      </c>
      <c r="BB814" s="58" t="n">
        <f aca="false">IF(AND(OR(BY814="L1",BY814="L23"),AX814&gt;0),SUMIFS($AX$7:$AX$1843,$BY$7:$BY$1843,BY814,$BA$7:$BA$1843,"&gt;"&amp;BA814)+SUMIFS($AX$7:$AX$1843,$BY$7:$BY$1843,BY814,$BA$7:$BA$1843,BA814,$BQ$7:$BQ$1843,"&lt;="&amp;BQ814),"")</f>
        <v>19.2022651261782</v>
      </c>
      <c r="BC814" s="65" t="n">
        <f aca="false">IF(BB814="",0,MAX(0,MIN(1,(IF(BY814="L1",Parameter!$E$5,Parameter!$E$6+Parameter!$E$7)-(BB814-AX814))/AX814)))</f>
        <v>1</v>
      </c>
      <c r="BD814" s="55" t="str">
        <f aca="false">IF(AH814&lt;=0,"",IF(BY814="Aussen","Aussenlager",IF(BY814="-","Nicht im Lift",IF(AM814&gt;=1,"Lift",IF(AM814&lt;=0,"Aussenlager","teilweise")))))</f>
        <v>Lift</v>
      </c>
      <c r="BE814" s="55" t="str">
        <f aca="false">IF(AP814&lt;=0,"",IF(BY814="Aussen","Aussenlager",IF(BY814="-","Nicht im Lift",IF(AU814&gt;=1,"Lift",IF(AU814&lt;=0,"Aussenlager","teilweise")))))</f>
        <v>Lift</v>
      </c>
      <c r="BF814" s="55" t="str">
        <f aca="false">IF(AX814&lt;=0,"",IF(BY814="Aussen","Aussenlager",IF(BY814="-","Nicht im Lift",IF(BC814&gt;=1,"Lift",IF(BC814&lt;=0,"Aussenlager","teilweise")))))</f>
        <v>Lift</v>
      </c>
      <c r="BG814" s="55" t="str">
        <f aca="false">IF(A814="","",IF(BP814=1,"Neu; ","")&amp;IF(AND(BP814=0,BK814&lt;0),"negativer Bestand (Export "&amp;BK814&amp;"); ","")&amp;IF(J814&lt;=0,"Kein Verbrauch; ","")&amp;IF(CH814&gt;0,"Lift "&amp;W814&amp;" lt. Liftbericht (Fach "&amp;X814&amp;" Stk); ",IF(BU814=1,"Gebinde geschätzt ("&amp;T814&amp;"); ",IF(BT814=1,"Lose – Tablare geschätzt; ","")))&amp;IF(H814&gt;AR814,"Überbestand "&amp;ROUND(H814-AR814,0)&amp;" Stk / CHF "&amp;ROUND((H814-AR814)*G814,0)&amp;"; ","")&amp;IF(AND(CA814=1,CB814&lt;CC814),"MAX &lt; MB+LG; ","")&amp;IF(AND(CG814&gt;0,CF814*10&gt;CG814),"zu hoch für Tablar; ","")&amp;IF(AND(BP814=0,OR(CA814=1,AA814&lt;&gt;"",U814&lt;&gt;"",V814&lt;&gt;"",AB814&lt;&gt;"")),"manuell übersteuert; ","")&amp;IF(AND(BT814=0,R814=0),"Gebinde unbekannt / Stellmass fehlt; ","")&amp;IF(AND(BT814=0,N(V814)&lt;=0,N(Q814)&lt;=0),"Menge pro Gebinde fehlt (Ist = 1 Gebinde); ","")&amp;BO814)</f>
        <v/>
      </c>
      <c r="BH814" s="55"/>
      <c r="BI814" s="55"/>
      <c r="BJ814" s="62"/>
      <c r="BK814" s="57" t="n">
        <v>0</v>
      </c>
      <c r="BL814" s="57" t="n">
        <v>8</v>
      </c>
      <c r="BM814" s="56" t="n">
        <v>-7.36000000000002</v>
      </c>
      <c r="BN814" s="57" t="n">
        <v>8</v>
      </c>
      <c r="BO814" s="55"/>
      <c r="BP814" s="60" t="n">
        <v>0</v>
      </c>
      <c r="BQ814" s="60" t="n">
        <v>814</v>
      </c>
      <c r="BR814" s="55" t="str">
        <f aca="false">IF(U814&lt;&gt;"",UPPER(TRIM(U814)),IF(BU814=1,UPPER(VLOOKUP(T814,Parameter!$I$27:$K$29,2,0)),IF(P814="","LOSE",P814)))</f>
        <v>S22</v>
      </c>
      <c r="BS814" s="57" t="n">
        <f aca="false">IF(BR814="LOSE",1,IF(N(V814)&gt;0,V814,IF(BU814=1,MAX(1,N(VLOOKUP(T814,Parameter!$I$27:$K$29,3,0)),H814,N(N814)),IF(N(Q814)&gt;0,Q814,MAX(1,H814)))))</f>
        <v>15</v>
      </c>
      <c r="BT814" s="60" t="n">
        <f aca="false">IF(BR814="LOSE",1,0)</f>
        <v>0</v>
      </c>
      <c r="BU814" s="60" t="n">
        <f aca="false">IF(AND(U814="",OR(P814="",P814="LOSE"),T814&lt;&gt;"",N(S814)&lt;=0,ISNUMBER(MATCH(T814,Parameter!$I$27:$I$29,0))),1,0)</f>
        <v>0</v>
      </c>
      <c r="BV814" s="55" t="str">
        <f aca="false">IF(AND(Parameter!$B$19="Ja",E814&lt;&gt;"",ISNUMBER(MATCH(E814,Parameter!$I$35:$I$52,0))),VLOOKUP(E814,Parameter!$I$35:$J$52,2,0),IFERROR(VLOOKUP(D814,Parameter!$A$35:$C$64,2,0),"Nein"))</f>
        <v>2+3</v>
      </c>
      <c r="BW814" s="59" t="n">
        <f aca="false">IF(BT814=0,0,IF(N(S814)&gt;0,S814,IFERROR(VLOOKUP(D814,Parameter!$A$35:$C$64,3,0)+0,0)))</f>
        <v>0</v>
      </c>
      <c r="BX814" s="55" t="n">
        <f aca="false">IF(AA814&lt;&gt;"",AA814,Z814)</f>
        <v>3</v>
      </c>
      <c r="BY814" s="55" t="str">
        <f aca="false">IF(BX814=1,"L1",IF(OR(BX814=2,BX814=3),"L23",IF(BX814="Aussen","Aussen","-")))</f>
        <v>L23</v>
      </c>
      <c r="BZ814" s="66" t="n">
        <f aca="false">IF(N(AB814)&gt;0,AB814,0)</f>
        <v>0</v>
      </c>
      <c r="CA814" s="60" t="n">
        <f aca="false">IF(ISNUMBER(AE814),1,0)</f>
        <v>0</v>
      </c>
      <c r="CB814" s="57" t="n">
        <f aca="false">N(AE814)</f>
        <v>0</v>
      </c>
      <c r="CC814" s="57" t="n">
        <f aca="false">N(M814)+N(N814)</f>
        <v>10</v>
      </c>
      <c r="CD814" s="57" t="n">
        <f aca="false">ROUNDUP(H814/BS814,0)</f>
        <v>1</v>
      </c>
      <c r="CE814" s="57" t="n">
        <f aca="false">ROUNDUP(CB814/BS814,0)</f>
        <v>0</v>
      </c>
      <c r="CF814" s="60" t="n">
        <f aca="false">IF(BT814=1,0,IFERROR(VLOOKUP(BR814,'Gebinde-Kategorie'!$A$5:$M$45,5,0)+0,0))</f>
        <v>8</v>
      </c>
      <c r="CG814" s="60" t="n">
        <f aca="false">IFERROR(IF(OR(BX814=1,BX814=2,BX814=3),N(INDEX(Parameter!$I$5:$I$7,BX814)),0),0)</f>
        <v>0</v>
      </c>
      <c r="CH814" s="59" t="n">
        <f aca="false">IF(AND(Parameter!$B$21="Ja",ISNUMBER(W814),N(X814)&gt;0),IFERROR(N(INDEX(Parameter!$L$5:$L$7,W814))*INDEX(Parameter!$E$5:$E$7,W814)*X814/SUMIFS($X$7:$X$1843,$W$7:$W$1843,W814),0),0)</f>
        <v>0</v>
      </c>
    </row>
    <row r="815" customFormat="false" ht="15" hidden="false" customHeight="false" outlineLevel="0" collapsed="false">
      <c r="A815" s="55" t="s">
        <v>1576</v>
      </c>
      <c r="B815" s="55" t="s">
        <v>1266</v>
      </c>
      <c r="C815" s="55" t="s">
        <v>164</v>
      </c>
      <c r="D815" s="55" t="s">
        <v>184</v>
      </c>
      <c r="E815" s="55" t="s">
        <v>185</v>
      </c>
      <c r="F815" s="55" t="s">
        <v>218</v>
      </c>
      <c r="G815" s="56" t="n">
        <v>0.04</v>
      </c>
      <c r="H815" s="57" t="n">
        <f aca="false">MAX(0,IF(AND(Parameter!$B$21="Ja",ISNUMBER(Y815)),Y815,IF(Parameter!$B$20="Jahresanfang 2025 + Export",BL815+BK815,BK815)))</f>
        <v>687</v>
      </c>
      <c r="I815" s="57" t="n">
        <f aca="false">H815*G815</f>
        <v>27.48</v>
      </c>
      <c r="J815" s="57" t="n">
        <f aca="false">BN815*Parameter!$B$18</f>
        <v>263</v>
      </c>
      <c r="K815" s="58" t="n">
        <v>852</v>
      </c>
      <c r="L815" s="59" t="n">
        <v>0.30868544600939</v>
      </c>
      <c r="M815" s="57" t="n">
        <v>15</v>
      </c>
      <c r="N815" s="57" t="n">
        <v>265</v>
      </c>
      <c r="O815" s="60" t="n">
        <v>21</v>
      </c>
      <c r="P815" s="55" t="s">
        <v>476</v>
      </c>
      <c r="Q815" s="57" t="n">
        <v>1885</v>
      </c>
      <c r="R815" s="60" t="n">
        <f aca="false">IF(BT815=1,0,IFERROR(VLOOKUP(BR815,'Gebinde-Kategorie'!$A$5:$M$45,13,0)+0,0))</f>
        <v>66</v>
      </c>
      <c r="S815" s="61"/>
      <c r="T815" s="62"/>
      <c r="U815" s="62"/>
      <c r="V815" s="62"/>
      <c r="W815" s="55"/>
      <c r="X815" s="57"/>
      <c r="Y815" s="57"/>
      <c r="Z815" s="55" t="n">
        <f aca="false">IF(A815="","",IF(AND(Parameter!$B$21="Ja",ISNUMBER(W815)),W815,IF(BV815="2+3",IF(ISNUMBER(SEARCH("grosser Artikel",BO815)),2,IFERROR(VLOOKUP(BR815,Parameter!$F$35:$G$64,2,0),2)),IF(OR(BV815="Nein",BV815=""),"-",BV815))))</f>
        <v>3</v>
      </c>
      <c r="AA815" s="62"/>
      <c r="AB815" s="63"/>
      <c r="AC815" s="57" t="n">
        <f aca="false">AR815</f>
        <v>1885</v>
      </c>
      <c r="AD815" s="57" t="n">
        <f aca="false">MAX(AR815,H815)</f>
        <v>1885</v>
      </c>
      <c r="AE815" s="64"/>
      <c r="AF815" s="57" t="n">
        <f aca="false">IF(LEFT(Cockpit!$C$5,1)="A",H815,IF(CA815=1,CB815,IF(LEFT(Cockpit!$C$5,1)="B",AJ815,MAX(AJ815,H815))))</f>
        <v>687</v>
      </c>
      <c r="AG815" s="57" t="n">
        <f aca="false">IF(BT815=1,0,ROUNDUP(AF815/BS815,0))</f>
        <v>1</v>
      </c>
      <c r="AH815" s="59" t="n">
        <f aca="false">IF(CH815&gt;0,CH815*MAX(1,AF815/X815),IF(BT815=1,IF(AF815&lt;=0,0,BW815*MAX(1,IF(H815&gt;0,AF815/H815,1))),IF(R815&gt;0,AG815/R815,0))/MAX(0.1,N(Parameter!$M$21)))</f>
        <v>0.0151515151515152</v>
      </c>
      <c r="AI815" s="57" t="n">
        <f aca="false">AF815*G815</f>
        <v>27.48</v>
      </c>
      <c r="AJ815" s="57" t="n">
        <f aca="false">ROUNDUP(MAX(J815/IF(BZ815&gt;0,BZ815,MAX(0.1,N(Cockpit!$C$6))),CC815)/BS815,0)*BS815</f>
        <v>1885</v>
      </c>
      <c r="AK815" s="58" t="n">
        <f aca="false">IF(AH815&gt;0,J815/AH815,-1)</f>
        <v>17358</v>
      </c>
      <c r="AL815" s="58" t="n">
        <f aca="false">IF(AND(OR(BY815="L1",BY815="L23"),AH815&gt;0),SUMIFS($AH$7:$AH$1843,$BY$7:$BY$1843,BY815,$AK$7:$AK$1843,"&gt;"&amp;AK815)+SUMIFS($AH$7:$AH$1843,$BY$7:$BY$1843,BY815,$AK$7:$AK$1843,AK815,$BQ$7:$BQ$1843,"&lt;="&amp;BQ815),"")</f>
        <v>3.91034931252323</v>
      </c>
      <c r="AM815" s="65" t="n">
        <f aca="false">IF(AL815="",0,MAX(0,MIN(1,(IF(BY815="L1",Parameter!$E$5,Parameter!$E$6+Parameter!$E$7)-(AL815-AH815))/AH815)))</f>
        <v>1</v>
      </c>
      <c r="AN815" s="57" t="n">
        <f aca="false">IF(LEFT(Cockpit!$I$5,1)="A",H815,IF(CA815=1,CB815,IF(LEFT(Cockpit!$I$5,1)="B",AR815,MAX(AR815,H815))))</f>
        <v>1885</v>
      </c>
      <c r="AO815" s="57" t="n">
        <f aca="false">IF(BT815=1,0,ROUNDUP(AN815/BS815,0))</f>
        <v>1</v>
      </c>
      <c r="AP815" s="59" t="n">
        <f aca="false">IF(CH815&gt;0,CH815*MAX(1,AN815/X815),IF(BT815=1,IF(AN815&lt;=0,0,BW815*MAX(1,IF(H815&gt;0,AN815/H815,1))),IF(R815&gt;0,AO815/R815,0))/MAX(0.1,N(Parameter!$M$21)))</f>
        <v>0.0151515151515152</v>
      </c>
      <c r="AQ815" s="57" t="n">
        <f aca="false">AN815*G815</f>
        <v>75.4</v>
      </c>
      <c r="AR815" s="57" t="n">
        <f aca="false">ROUNDUP(MAX(J815/IF(BZ815&gt;0,BZ815,MAX(0.1,N(Cockpit!$I$6))),CC815)/BS815,0)*BS815</f>
        <v>1885</v>
      </c>
      <c r="AS815" s="58" t="n">
        <f aca="false">IF(AP815&gt;0,J815/AP815,-1)</f>
        <v>17358</v>
      </c>
      <c r="AT815" s="58" t="n">
        <f aca="false">IF(AND(OR(BY815="L1",BY815="L23"),AP815&gt;0),SUMIFS($AP$7:$AP$1843,$BY$7:$BY$1843,BY815,$AS$7:$AS$1843,"&gt;"&amp;AS815)+SUMIFS($AP$7:$AP$1843,$BY$7:$BY$1843,BY815,$AS$7:$AS$1843,AS815,$BQ$7:$BQ$1843,"&lt;="&amp;BQ815),"")</f>
        <v>4.59620452011756</v>
      </c>
      <c r="AU815" s="65" t="n">
        <f aca="false">IF(AT815="",0,MAX(0,MIN(1,(IF(BY815="L1",Parameter!$E$5,Parameter!$E$6+Parameter!$E$7)-(AT815-AP815))/AP815)))</f>
        <v>1</v>
      </c>
      <c r="AV815" s="57" t="n">
        <f aca="false">IF(LEFT(Cockpit!$O$5,1)="A",H815,IF(CA815=1,CB815,IF(LEFT(Cockpit!$O$5,1)="B",AZ815,MAX(AZ815,H815))))</f>
        <v>1885</v>
      </c>
      <c r="AW815" s="57" t="n">
        <f aca="false">IF(BT815=1,0,ROUNDUP(AV815/BS815,0))</f>
        <v>1</v>
      </c>
      <c r="AX815" s="59" t="n">
        <f aca="false">IF(CH815&gt;0,CH815*MAX(1,AV815/X815),IF(BT815=1,IF(AV815&lt;=0,0,BW815*MAX(1,IF(H815&gt;0,AV815/H815,1))),IF(R815&gt;0,AW815/R815,0))/MAX(0.1,N(Parameter!$M$21)))</f>
        <v>0.0151515151515152</v>
      </c>
      <c r="AY815" s="57" t="n">
        <f aca="false">AV815*G815</f>
        <v>75.4</v>
      </c>
      <c r="AZ815" s="57" t="n">
        <f aca="false">ROUNDUP(MAX(J815/IF(BZ815&gt;0,BZ815,MAX(0.1,N(Cockpit!$O$6))),CC815)/BS815,0)*BS815</f>
        <v>1885</v>
      </c>
      <c r="BA815" s="58" t="n">
        <f aca="false">IF(AX815&gt;0,J815/AX815,-1)</f>
        <v>17358</v>
      </c>
      <c r="BB815" s="58" t="n">
        <f aca="false">IF(AND(OR(BY815="L1",BY815="L23"),AX815&gt;0),SUMIFS($AX$7:$AX$1843,$BY$7:$BY$1843,BY815,$BA$7:$BA$1843,"&gt;"&amp;BA815)+SUMIFS($AX$7:$AX$1843,$BY$7:$BY$1843,BY815,$BA$7:$BA$1843,BA815,$BQ$7:$BQ$1843,"&lt;="&amp;BQ815),"")</f>
        <v>4.27219519610824</v>
      </c>
      <c r="BC815" s="65" t="n">
        <f aca="false">IF(BB815="",0,MAX(0,MIN(1,(IF(BY815="L1",Parameter!$E$5,Parameter!$E$6+Parameter!$E$7)-(BB815-AX815))/AX815)))</f>
        <v>1</v>
      </c>
      <c r="BD815" s="55" t="str">
        <f aca="false">IF(AH815&lt;=0,"",IF(BY815="Aussen","Aussenlager",IF(BY815="-","Nicht im Lift",IF(AM815&gt;=1,"Lift",IF(AM815&lt;=0,"Aussenlager","teilweise")))))</f>
        <v>Lift</v>
      </c>
      <c r="BE815" s="55" t="str">
        <f aca="false">IF(AP815&lt;=0,"",IF(BY815="Aussen","Aussenlager",IF(BY815="-","Nicht im Lift",IF(AU815&gt;=1,"Lift",IF(AU815&lt;=0,"Aussenlager","teilweise")))))</f>
        <v>Lift</v>
      </c>
      <c r="BF815" s="55" t="str">
        <f aca="false">IF(AX815&lt;=0,"",IF(BY815="Aussen","Aussenlager",IF(BY815="-","Nicht im Lift",IF(BC815&gt;=1,"Lift",IF(BC815&lt;=0,"Aussenlager","teilweise")))))</f>
        <v>Lift</v>
      </c>
      <c r="BG815" s="55" t="str">
        <f aca="false">IF(A815="","",IF(BP815=1,"Neu; ","")&amp;IF(AND(BP815=0,BK815&lt;0),"negativer Bestand (Export "&amp;BK815&amp;"); ","")&amp;IF(J815&lt;=0,"Kein Verbrauch; ","")&amp;IF(CH815&gt;0,"Lift "&amp;W815&amp;" lt. Liftbericht (Fach "&amp;X815&amp;" Stk); ",IF(BU815=1,"Gebinde geschätzt ("&amp;T815&amp;"); ",IF(BT815=1,"Lose – Tablare geschätzt; ","")))&amp;IF(H815&gt;AR815,"Überbestand "&amp;ROUND(H815-AR815,0)&amp;" Stk / CHF "&amp;ROUND((H815-AR815)*G815,0)&amp;"; ","")&amp;IF(AND(CA815=1,CB815&lt;CC815),"MAX &lt; MB+LG; ","")&amp;IF(AND(CG815&gt;0,CF815*10&gt;CG815),"zu hoch für Tablar; ","")&amp;IF(AND(BP815=0,OR(CA815=1,AA815&lt;&gt;"",U815&lt;&gt;"",V815&lt;&gt;"",AB815&lt;&gt;"")),"manuell übersteuert; ","")&amp;IF(AND(BT815=0,R815=0),"Gebinde unbekannt / Stellmass fehlt; ","")&amp;IF(AND(BT815=0,N(V815)&lt;=0,N(Q815)&lt;=0),"Menge pro Gebinde fehlt (Ist = 1 Gebinde); ","")&amp;BO815)</f>
        <v>negativer Bestand (Export -190); Überbestand</v>
      </c>
      <c r="BH815" s="55"/>
      <c r="BI815" s="55"/>
      <c r="BJ815" s="62"/>
      <c r="BK815" s="57" t="n">
        <v>-190</v>
      </c>
      <c r="BL815" s="57" t="n">
        <v>877</v>
      </c>
      <c r="BM815" s="56" t="n">
        <v>-7.6</v>
      </c>
      <c r="BN815" s="57" t="n">
        <v>263</v>
      </c>
      <c r="BO815" s="55" t="s">
        <v>392</v>
      </c>
      <c r="BP815" s="60" t="n">
        <v>0</v>
      </c>
      <c r="BQ815" s="60" t="n">
        <v>815</v>
      </c>
      <c r="BR815" s="55" t="str">
        <f aca="false">IF(U815&lt;&gt;"",UPPER(TRIM(U815)),IF(BU815=1,UPPER(VLOOKUP(T815,Parameter!$I$27:$K$29,2,0)),IF(P815="","LOSE",P815)))</f>
        <v>S33</v>
      </c>
      <c r="BS815" s="57" t="n">
        <f aca="false">IF(BR815="LOSE",1,IF(N(V815)&gt;0,V815,IF(BU815=1,MAX(1,N(VLOOKUP(T815,Parameter!$I$27:$K$29,3,0)),H815,N(N815)),IF(N(Q815)&gt;0,Q815,MAX(1,H815)))))</f>
        <v>1885</v>
      </c>
      <c r="BT815" s="60" t="n">
        <f aca="false">IF(BR815="LOSE",1,0)</f>
        <v>0</v>
      </c>
      <c r="BU815" s="60" t="n">
        <f aca="false">IF(AND(U815="",OR(P815="",P815="LOSE"),T815&lt;&gt;"",N(S815)&lt;=0,ISNUMBER(MATCH(T815,Parameter!$I$27:$I$29,0))),1,0)</f>
        <v>0</v>
      </c>
      <c r="BV815" s="55" t="str">
        <f aca="false">IF(AND(Parameter!$B$19="Ja",E815&lt;&gt;"",ISNUMBER(MATCH(E815,Parameter!$I$35:$I$52,0))),VLOOKUP(E815,Parameter!$I$35:$J$52,2,0),IFERROR(VLOOKUP(D815,Parameter!$A$35:$C$64,2,0),"Nein"))</f>
        <v>2+3</v>
      </c>
      <c r="BW815" s="59" t="n">
        <f aca="false">IF(BT815=0,0,IF(N(S815)&gt;0,S815,IFERROR(VLOOKUP(D815,Parameter!$A$35:$C$64,3,0)+0,0)))</f>
        <v>0</v>
      </c>
      <c r="BX815" s="55" t="n">
        <f aca="false">IF(AA815&lt;&gt;"",AA815,Z815)</f>
        <v>3</v>
      </c>
      <c r="BY815" s="55" t="str">
        <f aca="false">IF(BX815=1,"L1",IF(OR(BX815=2,BX815=3),"L23",IF(BX815="Aussen","Aussen","-")))</f>
        <v>L23</v>
      </c>
      <c r="BZ815" s="66" t="n">
        <f aca="false">IF(N(AB815)&gt;0,AB815,0)</f>
        <v>0</v>
      </c>
      <c r="CA815" s="60" t="n">
        <f aca="false">IF(ISNUMBER(AE815),1,0)</f>
        <v>0</v>
      </c>
      <c r="CB815" s="57" t="n">
        <f aca="false">N(AE815)</f>
        <v>0</v>
      </c>
      <c r="CC815" s="57" t="n">
        <f aca="false">N(M815)+N(N815)</f>
        <v>280</v>
      </c>
      <c r="CD815" s="57" t="n">
        <f aca="false">ROUNDUP(H815/BS815,0)</f>
        <v>1</v>
      </c>
      <c r="CE815" s="57" t="n">
        <f aca="false">ROUNDUP(CB815/BS815,0)</f>
        <v>0</v>
      </c>
      <c r="CF815" s="60" t="n">
        <f aca="false">IF(BT815=1,0,IFERROR(VLOOKUP(BR815,'Gebinde-Kategorie'!$A$5:$M$45,5,0)+0,0))</f>
        <v>8</v>
      </c>
      <c r="CG815" s="60" t="n">
        <f aca="false">IFERROR(IF(OR(BX815=1,BX815=2,BX815=3),N(INDEX(Parameter!$I$5:$I$7,BX815)),0),0)</f>
        <v>0</v>
      </c>
      <c r="CH815" s="59" t="n">
        <f aca="false">IF(AND(Parameter!$B$21="Ja",ISNUMBER(W815),N(X815)&gt;0),IFERROR(N(INDEX(Parameter!$L$5:$L$7,W815))*INDEX(Parameter!$E$5:$E$7,W815)*X815/SUMIFS($X$7:$X$1843,$W$7:$W$1843,W815),0),0)</f>
        <v>0</v>
      </c>
    </row>
    <row r="816" customFormat="false" ht="15" hidden="false" customHeight="false" outlineLevel="0" collapsed="false">
      <c r="A816" s="55" t="s">
        <v>1577</v>
      </c>
      <c r="B816" s="55" t="s">
        <v>1578</v>
      </c>
      <c r="C816" s="55" t="s">
        <v>164</v>
      </c>
      <c r="D816" s="55" t="s">
        <v>184</v>
      </c>
      <c r="E816" s="55" t="s">
        <v>185</v>
      </c>
      <c r="F816" s="55" t="s">
        <v>218</v>
      </c>
      <c r="G816" s="56" t="n">
        <v>8.05</v>
      </c>
      <c r="H816" s="57" t="n">
        <f aca="false">MAX(0,IF(AND(Parameter!$B$21="Ja",ISNUMBER(Y816)),Y816,IF(Parameter!$B$20="Jahresanfang 2025 + Export",BL816+BK816,BK816)))</f>
        <v>45</v>
      </c>
      <c r="I816" s="57" t="n">
        <f aca="false">H816*G816</f>
        <v>362.25</v>
      </c>
      <c r="J816" s="57" t="n">
        <f aca="false">BN816*Parameter!$B$18</f>
        <v>0</v>
      </c>
      <c r="K816" s="58" t="n">
        <v>46</v>
      </c>
      <c r="L816" s="59" t="n">
        <v>0</v>
      </c>
      <c r="M816" s="57" t="n">
        <v>0</v>
      </c>
      <c r="N816" s="57" t="n">
        <v>1</v>
      </c>
      <c r="O816" s="60" t="n">
        <v>35</v>
      </c>
      <c r="P816" s="55" t="s">
        <v>233</v>
      </c>
      <c r="Q816" s="57" t="n">
        <v>46</v>
      </c>
      <c r="R816" s="60" t="n">
        <f aca="false">IF(BT816=1,0,IFERROR(VLOOKUP(BR816,'Gebinde-Kategorie'!$A$5:$M$45,13,0)+0,0))</f>
        <v>26</v>
      </c>
      <c r="S816" s="61"/>
      <c r="T816" s="62"/>
      <c r="U816" s="62"/>
      <c r="V816" s="62"/>
      <c r="W816" s="55"/>
      <c r="X816" s="57"/>
      <c r="Y816" s="57"/>
      <c r="Z816" s="55" t="n">
        <f aca="false">IF(A816="","",IF(AND(Parameter!$B$21="Ja",ISNUMBER(W816)),W816,IF(BV816="2+3",IF(ISNUMBER(SEARCH("grosser Artikel",BO816)),2,IFERROR(VLOOKUP(BR816,Parameter!$F$35:$G$64,2,0),2)),IF(OR(BV816="Nein",BV816=""),"-",BV816))))</f>
        <v>3</v>
      </c>
      <c r="AA816" s="62"/>
      <c r="AB816" s="63"/>
      <c r="AC816" s="57" t="n">
        <f aca="false">AR816</f>
        <v>46</v>
      </c>
      <c r="AD816" s="57" t="n">
        <f aca="false">MAX(AR816,H816)</f>
        <v>46</v>
      </c>
      <c r="AE816" s="64"/>
      <c r="AF816" s="57" t="n">
        <f aca="false">IF(LEFT(Cockpit!$C$5,1)="A",H816,IF(CA816=1,CB816,IF(LEFT(Cockpit!$C$5,1)="B",AJ816,MAX(AJ816,H816))))</f>
        <v>45</v>
      </c>
      <c r="AG816" s="57" t="n">
        <f aca="false">IF(BT816=1,0,ROUNDUP(AF816/BS816,0))</f>
        <v>1</v>
      </c>
      <c r="AH816" s="59" t="n">
        <f aca="false">IF(CH816&gt;0,CH816*MAX(1,AF816/X816),IF(BT816=1,IF(AF816&lt;=0,0,BW816*MAX(1,IF(H816&gt;0,AF816/H816,1))),IF(R816&gt;0,AG816/R816,0))/MAX(0.1,N(Parameter!$M$21)))</f>
        <v>0.0384615384615385</v>
      </c>
      <c r="AI816" s="57" t="n">
        <f aca="false">AF816*G816</f>
        <v>362.25</v>
      </c>
      <c r="AJ816" s="57" t="n">
        <f aca="false">ROUNDUP(MAX(J816/IF(BZ816&gt;0,BZ816,MAX(0.1,N(Cockpit!$C$6))),CC816)/BS816,0)*BS816</f>
        <v>46</v>
      </c>
      <c r="AK816" s="58" t="n">
        <f aca="false">IF(AH816&gt;0,J816/AH816,-1)</f>
        <v>0</v>
      </c>
      <c r="AL816" s="58" t="n">
        <f aca="false">IF(AND(OR(BY816="L1",BY816="L23"),AH816&gt;0),SUMIFS($AH$7:$AH$1843,$BY$7:$BY$1843,BY816,$AK$7:$AK$1843,"&gt;"&amp;AK816)+SUMIFS($AH$7:$AH$1843,$BY$7:$BY$1843,BY816,$AK$7:$AK$1843,AK816,$BQ$7:$BQ$1843,"&lt;="&amp;BQ816),"")</f>
        <v>77.6278926387622</v>
      </c>
      <c r="AM816" s="65" t="n">
        <f aca="false">IF(AL816="",0,MAX(0,MIN(1,(IF(BY816="L1",Parameter!$E$5,Parameter!$E$6+Parameter!$E$7)-(AL816-AH816))/AH816)))</f>
        <v>1</v>
      </c>
      <c r="AN816" s="57" t="n">
        <f aca="false">IF(LEFT(Cockpit!$I$5,1)="A",H816,IF(CA816=1,CB816,IF(LEFT(Cockpit!$I$5,1)="B",AR816,MAX(AR816,H816))))</f>
        <v>46</v>
      </c>
      <c r="AO816" s="57" t="n">
        <f aca="false">IF(BT816=1,0,ROUNDUP(AN816/BS816,0))</f>
        <v>1</v>
      </c>
      <c r="AP816" s="59" t="n">
        <f aca="false">IF(CH816&gt;0,CH816*MAX(1,AN816/X816),IF(BT816=1,IF(AN816&lt;=0,0,BW816*MAX(1,IF(H816&gt;0,AN816/H816,1))),IF(R816&gt;0,AO816/R816,0))/MAX(0.1,N(Parameter!$M$21)))</f>
        <v>0.0384615384615385</v>
      </c>
      <c r="AQ816" s="57" t="n">
        <f aca="false">AN816*G816</f>
        <v>370.3</v>
      </c>
      <c r="AR816" s="57" t="n">
        <f aca="false">ROUNDUP(MAX(J816/IF(BZ816&gt;0,BZ816,MAX(0.1,N(Cockpit!$I$6))),CC816)/BS816,0)*BS816</f>
        <v>46</v>
      </c>
      <c r="AS816" s="58" t="n">
        <f aca="false">IF(AP816&gt;0,J816/AP816,-1)</f>
        <v>0</v>
      </c>
      <c r="AT816" s="58" t="n">
        <f aca="false">IF(AND(OR(BY816="L1",BY816="L23"),AP816&gt;0),SUMIFS($AP$7:$AP$1843,$BY$7:$BY$1843,BY816,$AS$7:$AS$1843,"&gt;"&amp;AS816)+SUMIFS($AP$7:$AP$1843,$BY$7:$BY$1843,BY816,$AS$7:$AS$1843,AS816,$BQ$7:$BQ$1843,"&lt;="&amp;BQ816),"")</f>
        <v>118.499155433938</v>
      </c>
      <c r="AU816" s="65" t="n">
        <f aca="false">IF(AT816="",0,MAX(0,MIN(1,(IF(BY816="L1",Parameter!$E$5,Parameter!$E$6+Parameter!$E$7)-(AT816-AP816))/AP816)))</f>
        <v>0</v>
      </c>
      <c r="AV816" s="57" t="n">
        <f aca="false">IF(LEFT(Cockpit!$O$5,1)="A",H816,IF(CA816=1,CB816,IF(LEFT(Cockpit!$O$5,1)="B",AZ816,MAX(AZ816,H816))))</f>
        <v>46</v>
      </c>
      <c r="AW816" s="57" t="n">
        <f aca="false">IF(BT816=1,0,ROUNDUP(AV816/BS816,0))</f>
        <v>1</v>
      </c>
      <c r="AX816" s="59" t="n">
        <f aca="false">IF(CH816&gt;0,CH816*MAX(1,AV816/X816),IF(BT816=1,IF(AV816&lt;=0,0,BW816*MAX(1,IF(H816&gt;0,AV816/H816,1))),IF(R816&gt;0,AW816/R816,0))/MAX(0.1,N(Parameter!$M$21)))</f>
        <v>0.0384615384615385</v>
      </c>
      <c r="AY816" s="57" t="n">
        <f aca="false">AV816*G816</f>
        <v>370.3</v>
      </c>
      <c r="AZ816" s="57" t="n">
        <f aca="false">ROUNDUP(MAX(J816/IF(BZ816&gt;0,BZ816,MAX(0.1,N(Cockpit!$O$6))),CC816)/BS816,0)*BS816</f>
        <v>46</v>
      </c>
      <c r="BA816" s="58" t="n">
        <f aca="false">IF(AX816&gt;0,J816/AX816,-1)</f>
        <v>0</v>
      </c>
      <c r="BB816" s="58" t="n">
        <f aca="false">IF(AND(OR(BY816="L1",BY816="L23"),AX816&gt;0),SUMIFS($AX$7:$AX$1843,$BY$7:$BY$1843,BY816,$BA$7:$BA$1843,"&gt;"&amp;BA816)+SUMIFS($AX$7:$AX$1843,$BY$7:$BY$1843,BY816,$BA$7:$BA$1843,BA816,$BQ$7:$BQ$1843,"&lt;="&amp;BQ816),"")</f>
        <v>109.328992263775</v>
      </c>
      <c r="BC816" s="65" t="n">
        <f aca="false">IF(BB816="",0,MAX(0,MIN(1,(IF(BY816="L1",Parameter!$E$5,Parameter!$E$6+Parameter!$E$7)-(BB816-AX816))/AX816)))</f>
        <v>0</v>
      </c>
      <c r="BD816" s="55" t="str">
        <f aca="false">IF(AH816&lt;=0,"",IF(BY816="Aussen","Aussenlager",IF(BY816="-","Nicht im Lift",IF(AM816&gt;=1,"Lift",IF(AM816&lt;=0,"Aussenlager","teilweise")))))</f>
        <v>Lift</v>
      </c>
      <c r="BE816" s="55" t="str">
        <f aca="false">IF(AP816&lt;=0,"",IF(BY816="Aussen","Aussenlager",IF(BY816="-","Nicht im Lift",IF(AU816&gt;=1,"Lift",IF(AU816&lt;=0,"Aussenlager","teilweise")))))</f>
        <v>Aussenlager</v>
      </c>
      <c r="BF816" s="55" t="str">
        <f aca="false">IF(AX816&lt;=0,"",IF(BY816="Aussen","Aussenlager",IF(BY816="-","Nicht im Lift",IF(BC816&gt;=1,"Lift",IF(BC816&lt;=0,"Aussenlager","teilweise")))))</f>
        <v>Aussenlager</v>
      </c>
      <c r="BG816" s="55" t="str">
        <f aca="false">IF(A816="","",IF(BP816=1,"Neu; ","")&amp;IF(AND(BP816=0,BK816&lt;0),"negativer Bestand (Export "&amp;BK816&amp;"); ","")&amp;IF(J816&lt;=0,"Kein Verbrauch; ","")&amp;IF(CH816&gt;0,"Lift "&amp;W816&amp;" lt. Liftbericht (Fach "&amp;X816&amp;" Stk); ",IF(BU816=1,"Gebinde geschätzt ("&amp;T816&amp;"); ",IF(BT816=1,"Lose – Tablare geschätzt; ","")))&amp;IF(H816&gt;AR816,"Überbestand "&amp;ROUND(H816-AR816,0)&amp;" Stk / CHF "&amp;ROUND((H816-AR816)*G816,0)&amp;"; ","")&amp;IF(AND(CA816=1,CB816&lt;CC816),"MAX &lt; MB+LG; ","")&amp;IF(AND(CG816&gt;0,CF816*10&gt;CG816),"zu hoch für Tablar; ","")&amp;IF(AND(BP816=0,OR(CA816=1,AA816&lt;&gt;"",U816&lt;&gt;"",V816&lt;&gt;"",AB816&lt;&gt;"")),"manuell übersteuert; ","")&amp;IF(AND(BT816=0,R816=0),"Gebinde unbekannt / Stellmass fehlt; ","")&amp;IF(AND(BT816=0,N(V816)&lt;=0,N(Q816)&lt;=0),"Menge pro Gebinde fehlt (Ist = 1 Gebinde); ","")&amp;BO816)</f>
        <v>negativer Bestand (Export -1); Kein Verbrauch; </v>
      </c>
      <c r="BH816" s="55"/>
      <c r="BI816" s="55"/>
      <c r="BJ816" s="62"/>
      <c r="BK816" s="57" t="n">
        <v>-1</v>
      </c>
      <c r="BL816" s="57" t="n">
        <v>46</v>
      </c>
      <c r="BM816" s="56" t="n">
        <v>-8.05</v>
      </c>
      <c r="BN816" s="57" t="n">
        <v>0</v>
      </c>
      <c r="BO816" s="55"/>
      <c r="BP816" s="60" t="n">
        <v>0</v>
      </c>
      <c r="BQ816" s="60" t="n">
        <v>816</v>
      </c>
      <c r="BR816" s="55" t="str">
        <f aca="false">IF(U816&lt;&gt;"",UPPER(TRIM(U816)),IF(BU816=1,UPPER(VLOOKUP(T816,Parameter!$I$27:$K$29,2,0)),IF(P816="","LOSE",P816)))</f>
        <v>S52</v>
      </c>
      <c r="BS816" s="57" t="n">
        <f aca="false">IF(BR816="LOSE",1,IF(N(V816)&gt;0,V816,IF(BU816=1,MAX(1,N(VLOOKUP(T816,Parameter!$I$27:$K$29,3,0)),H816,N(N816)),IF(N(Q816)&gt;0,Q816,MAX(1,H816)))))</f>
        <v>46</v>
      </c>
      <c r="BT816" s="60" t="n">
        <f aca="false">IF(BR816="LOSE",1,0)</f>
        <v>0</v>
      </c>
      <c r="BU816" s="60" t="n">
        <f aca="false">IF(AND(U816="",OR(P816="",P816="LOSE"),T816&lt;&gt;"",N(S816)&lt;=0,ISNUMBER(MATCH(T816,Parameter!$I$27:$I$29,0))),1,0)</f>
        <v>0</v>
      </c>
      <c r="BV816" s="55" t="str">
        <f aca="false">IF(AND(Parameter!$B$19="Ja",E816&lt;&gt;"",ISNUMBER(MATCH(E816,Parameter!$I$35:$I$52,0))),VLOOKUP(E816,Parameter!$I$35:$J$52,2,0),IFERROR(VLOOKUP(D816,Parameter!$A$35:$C$64,2,0),"Nein"))</f>
        <v>2+3</v>
      </c>
      <c r="BW816" s="59" t="n">
        <f aca="false">IF(BT816=0,0,IF(N(S816)&gt;0,S816,IFERROR(VLOOKUP(D816,Parameter!$A$35:$C$64,3,0)+0,0)))</f>
        <v>0</v>
      </c>
      <c r="BX816" s="55" t="n">
        <f aca="false">IF(AA816&lt;&gt;"",AA816,Z816)</f>
        <v>3</v>
      </c>
      <c r="BY816" s="55" t="str">
        <f aca="false">IF(BX816=1,"L1",IF(OR(BX816=2,BX816=3),"L23",IF(BX816="Aussen","Aussen","-")))</f>
        <v>L23</v>
      </c>
      <c r="BZ816" s="66" t="n">
        <f aca="false">IF(N(AB816)&gt;0,AB816,0)</f>
        <v>0</v>
      </c>
      <c r="CA816" s="60" t="n">
        <f aca="false">IF(ISNUMBER(AE816),1,0)</f>
        <v>0</v>
      </c>
      <c r="CB816" s="57" t="n">
        <f aca="false">N(AE816)</f>
        <v>0</v>
      </c>
      <c r="CC816" s="57" t="n">
        <f aca="false">N(M816)+N(N816)</f>
        <v>1</v>
      </c>
      <c r="CD816" s="57" t="n">
        <f aca="false">ROUNDUP(H816/BS816,0)</f>
        <v>1</v>
      </c>
      <c r="CE816" s="57" t="n">
        <f aca="false">ROUNDUP(CB816/BS816,0)</f>
        <v>0</v>
      </c>
      <c r="CF816" s="60" t="n">
        <f aca="false">IF(BT816=1,0,IFERROR(VLOOKUP(BR816,'Gebinde-Kategorie'!$A$5:$M$45,5,0)+0,0))</f>
        <v>21</v>
      </c>
      <c r="CG816" s="60" t="n">
        <f aca="false">IFERROR(IF(OR(BX816=1,BX816=2,BX816=3),N(INDEX(Parameter!$I$5:$I$7,BX816)),0),0)</f>
        <v>0</v>
      </c>
      <c r="CH816" s="59" t="n">
        <f aca="false">IF(AND(Parameter!$B$21="Ja",ISNUMBER(W816),N(X816)&gt;0),IFERROR(N(INDEX(Parameter!$L$5:$L$7,W816))*INDEX(Parameter!$E$5:$E$7,W816)*X816/SUMIFS($X$7:$X$1843,$W$7:$W$1843,W816),0),0)</f>
        <v>0</v>
      </c>
    </row>
    <row r="817" customFormat="false" ht="15" hidden="false" customHeight="false" outlineLevel="0" collapsed="false">
      <c r="A817" s="55" t="s">
        <v>1579</v>
      </c>
      <c r="B817" s="55" t="s">
        <v>1036</v>
      </c>
      <c r="C817" s="55" t="s">
        <v>164</v>
      </c>
      <c r="D817" s="55" t="s">
        <v>184</v>
      </c>
      <c r="E817" s="55" t="s">
        <v>185</v>
      </c>
      <c r="F817" s="55" t="s">
        <v>218</v>
      </c>
      <c r="G817" s="56" t="n">
        <v>0.04</v>
      </c>
      <c r="H817" s="57" t="n">
        <f aca="false">MAX(0,IF(AND(Parameter!$B$21="Ja",ISNUMBER(Y817)),Y817,IF(Parameter!$B$20="Jahresanfang 2025 + Export",BL817+BK817,BK817)))</f>
        <v>200</v>
      </c>
      <c r="I817" s="57" t="n">
        <f aca="false">H817*G817</f>
        <v>8</v>
      </c>
      <c r="J817" s="57" t="n">
        <f aca="false">BN817*Parameter!$B$18</f>
        <v>200</v>
      </c>
      <c r="K817" s="58" t="n">
        <v>421</v>
      </c>
      <c r="L817" s="59" t="n">
        <v>0.475059382422803</v>
      </c>
      <c r="M817" s="57" t="n">
        <v>7</v>
      </c>
      <c r="N817" s="57" t="n">
        <v>200</v>
      </c>
      <c r="O817" s="60" t="n">
        <v>14</v>
      </c>
      <c r="P817" s="55" t="s">
        <v>186</v>
      </c>
      <c r="Q817" s="57" t="n">
        <v>2000</v>
      </c>
      <c r="R817" s="60" t="n">
        <f aca="false">IF(BT817=1,0,IFERROR(VLOOKUP(BR817,'Gebinde-Kategorie'!$A$5:$M$45,13,0)+0,0))</f>
        <v>12</v>
      </c>
      <c r="S817" s="61"/>
      <c r="T817" s="62"/>
      <c r="U817" s="62"/>
      <c r="V817" s="62"/>
      <c r="W817" s="55"/>
      <c r="X817" s="57"/>
      <c r="Y817" s="57"/>
      <c r="Z817" s="55" t="n">
        <f aca="false">IF(A817="","",IF(AND(Parameter!$B$21="Ja",ISNUMBER(W817)),W817,IF(BV817="2+3",IF(ISNUMBER(SEARCH("grosser Artikel",BO817)),2,IFERROR(VLOOKUP(BR817,Parameter!$F$35:$G$64,2,0),2)),IF(OR(BV817="Nein",BV817=""),"-",BV817))))</f>
        <v>2</v>
      </c>
      <c r="AA817" s="62"/>
      <c r="AB817" s="63"/>
      <c r="AC817" s="57" t="n">
        <f aca="false">AR817</f>
        <v>2000</v>
      </c>
      <c r="AD817" s="57" t="n">
        <f aca="false">MAX(AR817,H817)</f>
        <v>2000</v>
      </c>
      <c r="AE817" s="64"/>
      <c r="AF817" s="57" t="n">
        <f aca="false">IF(LEFT(Cockpit!$C$5,1)="A",H817,IF(CA817=1,CB817,IF(LEFT(Cockpit!$C$5,1)="B",AJ817,MAX(AJ817,H817))))</f>
        <v>200</v>
      </c>
      <c r="AG817" s="57" t="n">
        <f aca="false">IF(BT817=1,0,ROUNDUP(AF817/BS817,0))</f>
        <v>1</v>
      </c>
      <c r="AH817" s="59" t="n">
        <f aca="false">IF(CH817&gt;0,CH817*MAX(1,AF817/X817),IF(BT817=1,IF(AF817&lt;=0,0,BW817*MAX(1,IF(H817&gt;0,AF817/H817,1))),IF(R817&gt;0,AG817/R817,0))/MAX(0.1,N(Parameter!$M$21)))</f>
        <v>0.0833333333333333</v>
      </c>
      <c r="AI817" s="57" t="n">
        <f aca="false">AF817*G817</f>
        <v>8</v>
      </c>
      <c r="AJ817" s="57" t="n">
        <f aca="false">ROUNDUP(MAX(J817/IF(BZ817&gt;0,BZ817,MAX(0.1,N(Cockpit!$C$6))),CC817)/BS817,0)*BS817</f>
        <v>2000</v>
      </c>
      <c r="AK817" s="58" t="n">
        <f aca="false">IF(AH817&gt;0,J817/AH817,-1)</f>
        <v>2400</v>
      </c>
      <c r="AL817" s="58" t="n">
        <f aca="false">IF(AND(OR(BY817="L1",BY817="L23"),AH817&gt;0),SUMIFS($AH$7:$AH$1843,$BY$7:$BY$1843,BY817,$AK$7:$AK$1843,"&gt;"&amp;AK817)+SUMIFS($AH$7:$AH$1843,$BY$7:$BY$1843,BY817,$AK$7:$AK$1843,AK817,$BQ$7:$BQ$1843,"&lt;="&amp;BQ817),"")</f>
        <v>11.7659285159285</v>
      </c>
      <c r="AM817" s="65" t="n">
        <f aca="false">IF(AL817="",0,MAX(0,MIN(1,(IF(BY817="L1",Parameter!$E$5,Parameter!$E$6+Parameter!$E$7)-(AL817-AH817))/AH817)))</f>
        <v>1</v>
      </c>
      <c r="AN817" s="57" t="n">
        <f aca="false">IF(LEFT(Cockpit!$I$5,1)="A",H817,IF(CA817=1,CB817,IF(LEFT(Cockpit!$I$5,1)="B",AR817,MAX(AR817,H817))))</f>
        <v>2000</v>
      </c>
      <c r="AO817" s="57" t="n">
        <f aca="false">IF(BT817=1,0,ROUNDUP(AN817/BS817,0))</f>
        <v>1</v>
      </c>
      <c r="AP817" s="59" t="n">
        <f aca="false">IF(CH817&gt;0,CH817*MAX(1,AN817/X817),IF(BT817=1,IF(AN817&lt;=0,0,BW817*MAX(1,IF(H817&gt;0,AN817/H817,1))),IF(R817&gt;0,AO817/R817,0))/MAX(0.1,N(Parameter!$M$21)))</f>
        <v>0.0833333333333333</v>
      </c>
      <c r="AQ817" s="57" t="n">
        <f aca="false">AN817*G817</f>
        <v>80</v>
      </c>
      <c r="AR817" s="57" t="n">
        <f aca="false">ROUNDUP(MAX(J817/IF(BZ817&gt;0,BZ817,MAX(0.1,N(Cockpit!$I$6))),CC817)/BS817,0)*BS817</f>
        <v>2000</v>
      </c>
      <c r="AS817" s="58" t="n">
        <f aca="false">IF(AP817&gt;0,J817/AP817,-1)</f>
        <v>2400</v>
      </c>
      <c r="AT817" s="58" t="n">
        <f aca="false">IF(AND(OR(BY817="L1",BY817="L23"),AP817&gt;0),SUMIFS($AP$7:$AP$1843,$BY$7:$BY$1843,BY817,$AS$7:$AS$1843,"&gt;"&amp;AS817)+SUMIFS($AP$7:$AP$1843,$BY$7:$BY$1843,BY817,$AS$7:$AS$1843,AS817,$BQ$7:$BQ$1843,"&lt;="&amp;BQ817),"")</f>
        <v>17.4367166649775</v>
      </c>
      <c r="AU817" s="65" t="n">
        <f aca="false">IF(AT817="",0,MAX(0,MIN(1,(IF(BY817="L1",Parameter!$E$5,Parameter!$E$6+Parameter!$E$7)-(AT817-AP817))/AP817)))</f>
        <v>1</v>
      </c>
      <c r="AV817" s="57" t="n">
        <f aca="false">IF(LEFT(Cockpit!$O$5,1)="A",H817,IF(CA817=1,CB817,IF(LEFT(Cockpit!$O$5,1)="B",AZ817,MAX(AZ817,H817))))</f>
        <v>2000</v>
      </c>
      <c r="AW817" s="57" t="n">
        <f aca="false">IF(BT817=1,0,ROUNDUP(AV817/BS817,0))</f>
        <v>1</v>
      </c>
      <c r="AX817" s="59" t="n">
        <f aca="false">IF(CH817&gt;0,CH817*MAX(1,AV817/X817),IF(BT817=1,IF(AV817&lt;=0,0,BW817*MAX(1,IF(H817&gt;0,AV817/H817,1))),IF(R817&gt;0,AW817/R817,0))/MAX(0.1,N(Parameter!$M$21)))</f>
        <v>0.0833333333333333</v>
      </c>
      <c r="AY817" s="57" t="n">
        <f aca="false">AV817*G817</f>
        <v>80</v>
      </c>
      <c r="AZ817" s="57" t="n">
        <f aca="false">ROUNDUP(MAX(J817/IF(BZ817&gt;0,BZ817,MAX(0.1,N(Cockpit!$O$6))),CC817)/BS817,0)*BS817</f>
        <v>2000</v>
      </c>
      <c r="BA817" s="58" t="n">
        <f aca="false">IF(AX817&gt;0,J817/AX817,-1)</f>
        <v>2400</v>
      </c>
      <c r="BB817" s="58" t="n">
        <f aca="false">IF(AND(OR(BY817="L1",BY817="L23"),AX817&gt;0),SUMIFS($AX$7:$AX$1843,$BY$7:$BY$1843,BY817,$BA$7:$BA$1843,"&gt;"&amp;BA817)+SUMIFS($AX$7:$AX$1843,$BY$7:$BY$1843,BY817,$BA$7:$BA$1843,BA817,$BQ$7:$BQ$1843,"&lt;="&amp;BQ817),"")</f>
        <v>16.0101432384041</v>
      </c>
      <c r="BC817" s="65" t="n">
        <f aca="false">IF(BB817="",0,MAX(0,MIN(1,(IF(BY817="L1",Parameter!$E$5,Parameter!$E$6+Parameter!$E$7)-(BB817-AX817))/AX817)))</f>
        <v>1</v>
      </c>
      <c r="BD817" s="55" t="str">
        <f aca="false">IF(AH817&lt;=0,"",IF(BY817="Aussen","Aussenlager",IF(BY817="-","Nicht im Lift",IF(AM817&gt;=1,"Lift",IF(AM817&lt;=0,"Aussenlager","teilweise")))))</f>
        <v>Lift</v>
      </c>
      <c r="BE817" s="55" t="str">
        <f aca="false">IF(AP817&lt;=0,"",IF(BY817="Aussen","Aussenlager",IF(BY817="-","Nicht im Lift",IF(AU817&gt;=1,"Lift",IF(AU817&lt;=0,"Aussenlager","teilweise")))))</f>
        <v>Lift</v>
      </c>
      <c r="BF817" s="55" t="str">
        <f aca="false">IF(AX817&lt;=0,"",IF(BY817="Aussen","Aussenlager",IF(BY817="-","Nicht im Lift",IF(BC817&gt;=1,"Lift",IF(BC817&lt;=0,"Aussenlager","teilweise")))))</f>
        <v>Lift</v>
      </c>
      <c r="BG817" s="55" t="str">
        <f aca="false">IF(A817="","",IF(BP817=1,"Neu; ","")&amp;IF(AND(BP817=0,BK817&lt;0),"negativer Bestand (Export "&amp;BK817&amp;"); ","")&amp;IF(J817&lt;=0,"Kein Verbrauch; ","")&amp;IF(CH817&gt;0,"Lift "&amp;W817&amp;" lt. Liftbericht (Fach "&amp;X817&amp;" Stk); ",IF(BU817=1,"Gebinde geschätzt ("&amp;T817&amp;"); ",IF(BT817=1,"Lose – Tablare geschätzt; ","")))&amp;IF(H817&gt;AR817,"Überbestand "&amp;ROUND(H817-AR817,0)&amp;" Stk / CHF "&amp;ROUND((H817-AR817)*G817,0)&amp;"; ","")&amp;IF(AND(CA817=1,CB817&lt;CC817),"MAX &lt; MB+LG; ","")&amp;IF(AND(CG817&gt;0,CF817*10&gt;CG817),"zu hoch für Tablar; ","")&amp;IF(AND(BP817=0,OR(CA817=1,AA817&lt;&gt;"",U817&lt;&gt;"",V817&lt;&gt;"",AB817&lt;&gt;"")),"manuell übersteuert; ","")&amp;IF(AND(BT817=0,R817=0),"Gebinde unbekannt / Stellmass fehlt; ","")&amp;IF(AND(BT817=0,N(V817)&lt;=0,N(Q817)&lt;=0),"Menge pro Gebinde fehlt (Ist = 1 Gebinde); ","")&amp;BO817)</f>
        <v>negativer Bestand (Export -340); Verb.Lager</v>
      </c>
      <c r="BH817" s="55"/>
      <c r="BI817" s="55"/>
      <c r="BJ817" s="62"/>
      <c r="BK817" s="57" t="n">
        <v>-340</v>
      </c>
      <c r="BL817" s="57" t="n">
        <v>540</v>
      </c>
      <c r="BM817" s="56" t="n">
        <v>-8.2</v>
      </c>
      <c r="BN817" s="57" t="n">
        <v>200</v>
      </c>
      <c r="BO817" s="55" t="s">
        <v>1030</v>
      </c>
      <c r="BP817" s="60" t="n">
        <v>0</v>
      </c>
      <c r="BQ817" s="60" t="n">
        <v>817</v>
      </c>
      <c r="BR817" s="55" t="str">
        <f aca="false">IF(U817&lt;&gt;"",UPPER(TRIM(U817)),IF(BU817=1,UPPER(VLOOKUP(T817,Parameter!$I$27:$K$29,2,0)),IF(P817="","LOSE",P817)))</f>
        <v>S61</v>
      </c>
      <c r="BS817" s="57" t="n">
        <f aca="false">IF(BR817="LOSE",1,IF(N(V817)&gt;0,V817,IF(BU817=1,MAX(1,N(VLOOKUP(T817,Parameter!$I$27:$K$29,3,0)),H817,N(N817)),IF(N(Q817)&gt;0,Q817,MAX(1,H817)))))</f>
        <v>2000</v>
      </c>
      <c r="BT817" s="60" t="n">
        <f aca="false">IF(BR817="LOSE",1,0)</f>
        <v>0</v>
      </c>
      <c r="BU817" s="60" t="n">
        <f aca="false">IF(AND(U817="",OR(P817="",P817="LOSE"),T817&lt;&gt;"",N(S817)&lt;=0,ISNUMBER(MATCH(T817,Parameter!$I$27:$I$29,0))),1,0)</f>
        <v>0</v>
      </c>
      <c r="BV817" s="55" t="str">
        <f aca="false">IF(AND(Parameter!$B$19="Ja",E817&lt;&gt;"",ISNUMBER(MATCH(E817,Parameter!$I$35:$I$52,0))),VLOOKUP(E817,Parameter!$I$35:$J$52,2,0),IFERROR(VLOOKUP(D817,Parameter!$A$35:$C$64,2,0),"Nein"))</f>
        <v>2+3</v>
      </c>
      <c r="BW817" s="59" t="n">
        <f aca="false">IF(BT817=0,0,IF(N(S817)&gt;0,S817,IFERROR(VLOOKUP(D817,Parameter!$A$35:$C$64,3,0)+0,0)))</f>
        <v>0</v>
      </c>
      <c r="BX817" s="55" t="n">
        <f aca="false">IF(AA817&lt;&gt;"",AA817,Z817)</f>
        <v>2</v>
      </c>
      <c r="BY817" s="55" t="str">
        <f aca="false">IF(BX817=1,"L1",IF(OR(BX817=2,BX817=3),"L23",IF(BX817="Aussen","Aussen","-")))</f>
        <v>L23</v>
      </c>
      <c r="BZ817" s="66" t="n">
        <f aca="false">IF(N(AB817)&gt;0,AB817,0)</f>
        <v>0</v>
      </c>
      <c r="CA817" s="60" t="n">
        <f aca="false">IF(ISNUMBER(AE817),1,0)</f>
        <v>0</v>
      </c>
      <c r="CB817" s="57" t="n">
        <f aca="false">N(AE817)</f>
        <v>0</v>
      </c>
      <c r="CC817" s="57" t="n">
        <f aca="false">N(M817)+N(N817)</f>
        <v>207</v>
      </c>
      <c r="CD817" s="57" t="n">
        <f aca="false">ROUNDUP(H817/BS817,0)</f>
        <v>1</v>
      </c>
      <c r="CE817" s="57" t="n">
        <f aca="false">ROUNDUP(CB817/BS817,0)</f>
        <v>0</v>
      </c>
      <c r="CF817" s="60" t="n">
        <f aca="false">IF(BT817=1,0,IFERROR(VLOOKUP(BR817,'Gebinde-Kategorie'!$A$5:$M$45,5,0)+0,0))</f>
        <v>11</v>
      </c>
      <c r="CG817" s="60" t="n">
        <f aca="false">IFERROR(IF(OR(BX817=1,BX817=2,BX817=3),N(INDEX(Parameter!$I$5:$I$7,BX817)),0),0)</f>
        <v>0</v>
      </c>
      <c r="CH817" s="59" t="n">
        <f aca="false">IF(AND(Parameter!$B$21="Ja",ISNUMBER(W817),N(X817)&gt;0),IFERROR(N(INDEX(Parameter!$L$5:$L$7,W817))*INDEX(Parameter!$E$5:$E$7,W817)*X817/SUMIFS($X$7:$X$1843,$W$7:$W$1843,W817),0),0)</f>
        <v>0</v>
      </c>
    </row>
    <row r="818" customFormat="false" ht="15" hidden="false" customHeight="false" outlineLevel="0" collapsed="false">
      <c r="A818" s="55" t="s">
        <v>1580</v>
      </c>
      <c r="B818" s="55" t="s">
        <v>1136</v>
      </c>
      <c r="C818" s="55" t="s">
        <v>164</v>
      </c>
      <c r="D818" s="55" t="s">
        <v>184</v>
      </c>
      <c r="E818" s="55" t="s">
        <v>185</v>
      </c>
      <c r="F818" s="55" t="s">
        <v>218</v>
      </c>
      <c r="G818" s="56" t="n">
        <v>5.22</v>
      </c>
      <c r="H818" s="57" t="n">
        <f aca="false">MAX(0,IF(AND(Parameter!$B$21="Ja",ISNUMBER(Y818)),Y818,IF(Parameter!$B$20="Jahresanfang 2025 + Export",BL818+BK818,BK818)))</f>
        <v>2</v>
      </c>
      <c r="I818" s="57" t="n">
        <f aca="false">H818*G818</f>
        <v>10.44</v>
      </c>
      <c r="J818" s="57" t="n">
        <f aca="false">BN818*Parameter!$B$18</f>
        <v>3</v>
      </c>
      <c r="K818" s="58" t="n">
        <v>2.5</v>
      </c>
      <c r="L818" s="59" t="n">
        <v>1.2</v>
      </c>
      <c r="M818" s="57" t="n">
        <v>0</v>
      </c>
      <c r="N818" s="57" t="n">
        <v>5</v>
      </c>
      <c r="O818" s="60" t="n">
        <v>14</v>
      </c>
      <c r="P818" s="55" t="s">
        <v>421</v>
      </c>
      <c r="Q818" s="57" t="n">
        <v>1</v>
      </c>
      <c r="R818" s="60" t="n">
        <f aca="false">IF(BT818=1,0,IFERROR(VLOOKUP(BR818,'Gebinde-Kategorie'!$A$5:$M$45,13,0)+0,0))</f>
        <v>132</v>
      </c>
      <c r="S818" s="61"/>
      <c r="T818" s="62"/>
      <c r="U818" s="62"/>
      <c r="V818" s="62"/>
      <c r="W818" s="55"/>
      <c r="X818" s="57"/>
      <c r="Y818" s="57"/>
      <c r="Z818" s="55" t="n">
        <f aca="false">IF(A818="","",IF(AND(Parameter!$B$21="Ja",ISNUMBER(W818)),W818,IF(BV818="2+3",IF(ISNUMBER(SEARCH("grosser Artikel",BO818)),2,IFERROR(VLOOKUP(BR818,Parameter!$F$35:$G$64,2,0),2)),IF(OR(BV818="Nein",BV818=""),"-",BV818))))</f>
        <v>3</v>
      </c>
      <c r="AA818" s="62"/>
      <c r="AB818" s="63"/>
      <c r="AC818" s="57" t="n">
        <f aca="false">AR818</f>
        <v>5</v>
      </c>
      <c r="AD818" s="57" t="n">
        <f aca="false">MAX(AR818,H818)</f>
        <v>5</v>
      </c>
      <c r="AE818" s="64"/>
      <c r="AF818" s="57" t="n">
        <f aca="false">IF(LEFT(Cockpit!$C$5,1)="A",H818,IF(CA818=1,CB818,IF(LEFT(Cockpit!$C$5,1)="B",AJ818,MAX(AJ818,H818))))</f>
        <v>2</v>
      </c>
      <c r="AG818" s="57" t="n">
        <f aca="false">IF(BT818=1,0,ROUNDUP(AF818/BS818,0))</f>
        <v>2</v>
      </c>
      <c r="AH818" s="59" t="n">
        <f aca="false">IF(CH818&gt;0,CH818*MAX(1,AF818/X818),IF(BT818=1,IF(AF818&lt;=0,0,BW818*MAX(1,IF(H818&gt;0,AF818/H818,1))),IF(R818&gt;0,AG818/R818,0))/MAX(0.1,N(Parameter!$M$21)))</f>
        <v>0.0151515151515152</v>
      </c>
      <c r="AI818" s="57" t="n">
        <f aca="false">AF818*G818</f>
        <v>10.44</v>
      </c>
      <c r="AJ818" s="57" t="n">
        <f aca="false">ROUNDUP(MAX(J818/IF(BZ818&gt;0,BZ818,MAX(0.1,N(Cockpit!$C$6))),CC818)/BS818,0)*BS818</f>
        <v>5</v>
      </c>
      <c r="AK818" s="58" t="n">
        <f aca="false">IF(AH818&gt;0,J818/AH818,-1)</f>
        <v>198</v>
      </c>
      <c r="AL818" s="58" t="n">
        <f aca="false">IF(AND(OR(BY818="L1",BY818="L23"),AH818&gt;0),SUMIFS($AH$7:$AH$1843,$BY$7:$BY$1843,BY818,$AK$7:$AK$1843,"&gt;"&amp;AK818)+SUMIFS($AH$7:$AH$1843,$BY$7:$BY$1843,BY818,$AK$7:$AK$1843,AK818,$BQ$7:$BQ$1843,"&lt;="&amp;BQ818),"")</f>
        <v>32.5112580656059</v>
      </c>
      <c r="AM818" s="65" t="n">
        <f aca="false">IF(AL818="",0,MAX(0,MIN(1,(IF(BY818="L1",Parameter!$E$5,Parameter!$E$6+Parameter!$E$7)-(AL818-AH818))/AH818)))</f>
        <v>1</v>
      </c>
      <c r="AN818" s="57" t="n">
        <f aca="false">IF(LEFT(Cockpit!$I$5,1)="A",H818,IF(CA818=1,CB818,IF(LEFT(Cockpit!$I$5,1)="B",AR818,MAX(AR818,H818))))</f>
        <v>5</v>
      </c>
      <c r="AO818" s="57" t="n">
        <f aca="false">IF(BT818=1,0,ROUNDUP(AN818/BS818,0))</f>
        <v>5</v>
      </c>
      <c r="AP818" s="59" t="n">
        <f aca="false">IF(CH818&gt;0,CH818*MAX(1,AN818/X818),IF(BT818=1,IF(AN818&lt;=0,0,BW818*MAX(1,IF(H818&gt;0,AN818/H818,1))),IF(R818&gt;0,AO818/R818,0))/MAX(0.1,N(Parameter!$M$21)))</f>
        <v>0.0378787878787879</v>
      </c>
      <c r="AQ818" s="57" t="n">
        <f aca="false">AN818*G818</f>
        <v>26.1</v>
      </c>
      <c r="AR818" s="57" t="n">
        <f aca="false">ROUNDUP(MAX(J818/IF(BZ818&gt;0,BZ818,MAX(0.1,N(Cockpit!$I$6))),CC818)/BS818,0)*BS818</f>
        <v>5</v>
      </c>
      <c r="AS818" s="58" t="n">
        <f aca="false">IF(AP818&gt;0,J818/AP818,-1)</f>
        <v>79.2</v>
      </c>
      <c r="AT818" s="58" t="n">
        <f aca="false">IF(AND(OR(BY818="L1",BY818="L23"),AP818&gt;0),SUMIFS($AP$7:$AP$1843,$BY$7:$BY$1843,BY818,$AS$7:$AS$1843,"&gt;"&amp;AS818)+SUMIFS($AP$7:$AP$1843,$BY$7:$BY$1843,BY818,$AS$7:$AS$1843,AS818,$BQ$7:$BQ$1843,"&lt;="&amp;BQ818),"")</f>
        <v>63.3986689638864</v>
      </c>
      <c r="AU818" s="65" t="n">
        <f aca="false">IF(AT818="",0,MAX(0,MIN(1,(IF(BY818="L1",Parameter!$E$5,Parameter!$E$6+Parameter!$E$7)-(AT818-AP818))/AP818)))</f>
        <v>1</v>
      </c>
      <c r="AV818" s="57" t="n">
        <f aca="false">IF(LEFT(Cockpit!$O$5,1)="A",H818,IF(CA818=1,CB818,IF(LEFT(Cockpit!$O$5,1)="B",AZ818,MAX(AZ818,H818))))</f>
        <v>5</v>
      </c>
      <c r="AW818" s="57" t="n">
        <f aca="false">IF(BT818=1,0,ROUNDUP(AV818/BS818,0))</f>
        <v>5</v>
      </c>
      <c r="AX818" s="59" t="n">
        <f aca="false">IF(CH818&gt;0,CH818*MAX(1,AV818/X818),IF(BT818=1,IF(AV818&lt;=0,0,BW818*MAX(1,IF(H818&gt;0,AV818/H818,1))),IF(R818&gt;0,AW818/R818,0))/MAX(0.1,N(Parameter!$M$21)))</f>
        <v>0.0378787878787879</v>
      </c>
      <c r="AY818" s="57" t="n">
        <f aca="false">AV818*G818</f>
        <v>26.1</v>
      </c>
      <c r="AZ818" s="57" t="n">
        <f aca="false">ROUNDUP(MAX(J818/IF(BZ818&gt;0,BZ818,MAX(0.1,N(Cockpit!$O$6))),CC818)/BS818,0)*BS818</f>
        <v>5</v>
      </c>
      <c r="BA818" s="58" t="n">
        <f aca="false">IF(AX818&gt;0,J818/AX818,-1)</f>
        <v>79.2</v>
      </c>
      <c r="BB818" s="58" t="n">
        <f aca="false">IF(AND(OR(BY818="L1",BY818="L23"),AX818&gt;0),SUMIFS($AX$7:$AX$1843,$BY$7:$BY$1843,BY818,$BA$7:$BA$1843,"&gt;"&amp;BA818)+SUMIFS($AX$7:$AX$1843,$BY$7:$BY$1843,BY818,$BA$7:$BA$1843,BA818,$BQ$7:$BQ$1843,"&lt;="&amp;BQ818),"")</f>
        <v>57.8951724603899</v>
      </c>
      <c r="BC818" s="65" t="n">
        <f aca="false">IF(BB818="",0,MAX(0,MIN(1,(IF(BY818="L1",Parameter!$E$5,Parameter!$E$6+Parameter!$E$7)-(BB818-AX818))/AX818)))</f>
        <v>1</v>
      </c>
      <c r="BD818" s="55" t="str">
        <f aca="false">IF(AH818&lt;=0,"",IF(BY818="Aussen","Aussenlager",IF(BY818="-","Nicht im Lift",IF(AM818&gt;=1,"Lift",IF(AM818&lt;=0,"Aussenlager","teilweise")))))</f>
        <v>Lift</v>
      </c>
      <c r="BE818" s="55" t="str">
        <f aca="false">IF(AP818&lt;=0,"",IF(BY818="Aussen","Aussenlager",IF(BY818="-","Nicht im Lift",IF(AU818&gt;=1,"Lift",IF(AU818&lt;=0,"Aussenlager","teilweise")))))</f>
        <v>Lift</v>
      </c>
      <c r="BF818" s="55" t="str">
        <f aca="false">IF(AX818&lt;=0,"",IF(BY818="Aussen","Aussenlager",IF(BY818="-","Nicht im Lift",IF(BC818&gt;=1,"Lift",IF(BC818&lt;=0,"Aussenlager","teilweise")))))</f>
        <v>Lift</v>
      </c>
      <c r="BG818" s="55" t="str">
        <f aca="false">IF(A818="","",IF(BP818=1,"Neu; ","")&amp;IF(AND(BP818=0,BK818&lt;0),"negativer Bestand (Export "&amp;BK818&amp;"); ","")&amp;IF(J818&lt;=0,"Kein Verbrauch; ","")&amp;IF(CH818&gt;0,"Lift "&amp;W818&amp;" lt. Liftbericht (Fach "&amp;X818&amp;" Stk); ",IF(BU818=1,"Gebinde geschätzt ("&amp;T818&amp;"); ",IF(BT818=1,"Lose – Tablare geschätzt; ","")))&amp;IF(H818&gt;AR818,"Überbestand "&amp;ROUND(H818-AR818,0)&amp;" Stk / CHF "&amp;ROUND((H818-AR818)*G818,0)&amp;"; ","")&amp;IF(AND(CA818=1,CB818&lt;CC818),"MAX &lt; MB+LG; ","")&amp;IF(AND(CG818&gt;0,CF818*10&gt;CG818),"zu hoch für Tablar; ","")&amp;IF(AND(BP818=0,OR(CA818=1,AA818&lt;&gt;"",U818&lt;&gt;"",V818&lt;&gt;"",AB818&lt;&gt;"")),"manuell übersteuert; ","")&amp;IF(AND(BT818=0,R818=0),"Gebinde unbekannt / Stellmass fehlt; ","")&amp;IF(AND(BT818=0,N(V818)&lt;=0,N(Q818)&lt;=0),"Menge pro Gebinde fehlt (Ist = 1 Gebinde); ","")&amp;BO818)</f>
        <v/>
      </c>
      <c r="BH818" s="55"/>
      <c r="BI818" s="55"/>
      <c r="BJ818" s="62"/>
      <c r="BK818" s="57" t="n">
        <v>0</v>
      </c>
      <c r="BL818" s="57" t="n">
        <v>2</v>
      </c>
      <c r="BM818" s="56" t="n">
        <v>-8.38</v>
      </c>
      <c r="BN818" s="57" t="n">
        <v>3</v>
      </c>
      <c r="BO818" s="55"/>
      <c r="BP818" s="60" t="n">
        <v>0</v>
      </c>
      <c r="BQ818" s="60" t="n">
        <v>818</v>
      </c>
      <c r="BR818" s="55" t="str">
        <f aca="false">IF(U818&lt;&gt;"",UPPER(TRIM(U818)),IF(BU818=1,UPPER(VLOOKUP(T818,Parameter!$I$27:$K$29,2,0)),IF(P818="","LOSE",P818)))</f>
        <v>S32</v>
      </c>
      <c r="BS818" s="57" t="n">
        <f aca="false">IF(BR818="LOSE",1,IF(N(V818)&gt;0,V818,IF(BU818=1,MAX(1,N(VLOOKUP(T818,Parameter!$I$27:$K$29,3,0)),H818,N(N818)),IF(N(Q818)&gt;0,Q818,MAX(1,H818)))))</f>
        <v>1</v>
      </c>
      <c r="BT818" s="60" t="n">
        <f aca="false">IF(BR818="LOSE",1,0)</f>
        <v>0</v>
      </c>
      <c r="BU818" s="60" t="n">
        <f aca="false">IF(AND(U818="",OR(P818="",P818="LOSE"),T818&lt;&gt;"",N(S818)&lt;=0,ISNUMBER(MATCH(T818,Parameter!$I$27:$I$29,0))),1,0)</f>
        <v>0</v>
      </c>
      <c r="BV818" s="55" t="str">
        <f aca="false">IF(AND(Parameter!$B$19="Ja",E818&lt;&gt;"",ISNUMBER(MATCH(E818,Parameter!$I$35:$I$52,0))),VLOOKUP(E818,Parameter!$I$35:$J$52,2,0),IFERROR(VLOOKUP(D818,Parameter!$A$35:$C$64,2,0),"Nein"))</f>
        <v>2+3</v>
      </c>
      <c r="BW818" s="59" t="n">
        <f aca="false">IF(BT818=0,0,IF(N(S818)&gt;0,S818,IFERROR(VLOOKUP(D818,Parameter!$A$35:$C$64,3,0)+0,0)))</f>
        <v>0</v>
      </c>
      <c r="BX818" s="55" t="n">
        <f aca="false">IF(AA818&lt;&gt;"",AA818,Z818)</f>
        <v>3</v>
      </c>
      <c r="BY818" s="55" t="str">
        <f aca="false">IF(BX818=1,"L1",IF(OR(BX818=2,BX818=3),"L23",IF(BX818="Aussen","Aussen","-")))</f>
        <v>L23</v>
      </c>
      <c r="BZ818" s="66" t="n">
        <f aca="false">IF(N(AB818)&gt;0,AB818,0)</f>
        <v>0</v>
      </c>
      <c r="CA818" s="60" t="n">
        <f aca="false">IF(ISNUMBER(AE818),1,0)</f>
        <v>0</v>
      </c>
      <c r="CB818" s="57" t="n">
        <f aca="false">N(AE818)</f>
        <v>0</v>
      </c>
      <c r="CC818" s="57" t="n">
        <f aca="false">N(M818)+N(N818)</f>
        <v>5</v>
      </c>
      <c r="CD818" s="57" t="n">
        <f aca="false">ROUNDUP(H818/BS818,0)</f>
        <v>2</v>
      </c>
      <c r="CE818" s="57" t="n">
        <f aca="false">ROUNDUP(CB818/BS818,0)</f>
        <v>0</v>
      </c>
      <c r="CF818" s="60" t="n">
        <f aca="false">IF(BT818=1,0,IFERROR(VLOOKUP(BR818,'Gebinde-Kategorie'!$A$5:$M$45,5,0)+0,0))</f>
        <v>8</v>
      </c>
      <c r="CG818" s="60" t="n">
        <f aca="false">IFERROR(IF(OR(BX818=1,BX818=2,BX818=3),N(INDEX(Parameter!$I$5:$I$7,BX818)),0),0)</f>
        <v>0</v>
      </c>
      <c r="CH818" s="59" t="n">
        <f aca="false">IF(AND(Parameter!$B$21="Ja",ISNUMBER(W818),N(X818)&gt;0),IFERROR(N(INDEX(Parameter!$L$5:$L$7,W818))*INDEX(Parameter!$E$5:$E$7,W818)*X818/SUMIFS($X$7:$X$1843,$W$7:$W$1843,W818),0),0)</f>
        <v>0</v>
      </c>
    </row>
    <row r="819" customFormat="false" ht="15" hidden="false" customHeight="false" outlineLevel="0" collapsed="false">
      <c r="A819" s="55" t="s">
        <v>1581</v>
      </c>
      <c r="B819" s="55" t="s">
        <v>468</v>
      </c>
      <c r="C819" s="55" t="s">
        <v>164</v>
      </c>
      <c r="D819" s="55" t="s">
        <v>184</v>
      </c>
      <c r="E819" s="55" t="s">
        <v>185</v>
      </c>
      <c r="F819" s="55" t="s">
        <v>218</v>
      </c>
      <c r="G819" s="56" t="n">
        <v>0.19</v>
      </c>
      <c r="H819" s="57" t="n">
        <f aca="false">MAX(0,IF(AND(Parameter!$B$21="Ja",ISNUMBER(Y819)),Y819,IF(Parameter!$B$20="Jahresanfang 2025 + Export",BL819+BK819,BK819)))</f>
        <v>75</v>
      </c>
      <c r="I819" s="57" t="n">
        <f aca="false">H819*G819</f>
        <v>14.25</v>
      </c>
      <c r="J819" s="57" t="n">
        <f aca="false">BN819*Parameter!$B$18</f>
        <v>310</v>
      </c>
      <c r="K819" s="58" t="n">
        <v>166</v>
      </c>
      <c r="L819" s="59" t="n">
        <v>1.86746987951807</v>
      </c>
      <c r="M819" s="57" t="n">
        <v>12</v>
      </c>
      <c r="N819" s="57" t="n">
        <v>310</v>
      </c>
      <c r="O819" s="60" t="n">
        <v>14</v>
      </c>
      <c r="P819" s="55" t="s">
        <v>426</v>
      </c>
      <c r="Q819" s="57" t="n">
        <v>195</v>
      </c>
      <c r="R819" s="60" t="n">
        <f aca="false">IF(BT819=1,0,IFERROR(VLOOKUP(BR819,'Gebinde-Kategorie'!$A$5:$M$45,13,0)+0,0))</f>
        <v>198</v>
      </c>
      <c r="S819" s="61"/>
      <c r="T819" s="62"/>
      <c r="U819" s="62"/>
      <c r="V819" s="62"/>
      <c r="W819" s="55"/>
      <c r="X819" s="57"/>
      <c r="Y819" s="57"/>
      <c r="Z819" s="55" t="n">
        <f aca="false">IF(A819="","",IF(AND(Parameter!$B$21="Ja",ISNUMBER(W819)),W819,IF(BV819="2+3",IF(ISNUMBER(SEARCH("grosser Artikel",BO819)),2,IFERROR(VLOOKUP(BR819,Parameter!$F$35:$G$64,2,0),2)),IF(OR(BV819="Nein",BV819=""),"-",BV819))))</f>
        <v>3</v>
      </c>
      <c r="AA819" s="62"/>
      <c r="AB819" s="63"/>
      <c r="AC819" s="57" t="n">
        <f aca="false">AR819</f>
        <v>390</v>
      </c>
      <c r="AD819" s="57" t="n">
        <f aca="false">MAX(AR819,H819)</f>
        <v>390</v>
      </c>
      <c r="AE819" s="64"/>
      <c r="AF819" s="57" t="n">
        <f aca="false">IF(LEFT(Cockpit!$C$5,1)="A",H819,IF(CA819=1,CB819,IF(LEFT(Cockpit!$C$5,1)="B",AJ819,MAX(AJ819,H819))))</f>
        <v>75</v>
      </c>
      <c r="AG819" s="57" t="n">
        <f aca="false">IF(BT819=1,0,ROUNDUP(AF819/BS819,0))</f>
        <v>1</v>
      </c>
      <c r="AH819" s="59" t="n">
        <f aca="false">IF(CH819&gt;0,CH819*MAX(1,AF819/X819),IF(BT819=1,IF(AF819&lt;=0,0,BW819*MAX(1,IF(H819&gt;0,AF819/H819,1))),IF(R819&gt;0,AG819/R819,0))/MAX(0.1,N(Parameter!$M$21)))</f>
        <v>0.00505050505050505</v>
      </c>
      <c r="AI819" s="57" t="n">
        <f aca="false">AF819*G819</f>
        <v>14.25</v>
      </c>
      <c r="AJ819" s="57" t="n">
        <f aca="false">ROUNDUP(MAX(J819/IF(BZ819&gt;0,BZ819,MAX(0.1,N(Cockpit!$C$6))),CC819)/BS819,0)*BS819</f>
        <v>390</v>
      </c>
      <c r="AK819" s="58" t="n">
        <f aca="false">IF(AH819&gt;0,J819/AH819,-1)</f>
        <v>61380</v>
      </c>
      <c r="AL819" s="58" t="n">
        <f aca="false">IF(AND(OR(BY819="L1",BY819="L23"),AH819&gt;0),SUMIFS($AH$7:$AH$1843,$BY$7:$BY$1843,BY819,$AK$7:$AK$1843,"&gt;"&amp;AK819)+SUMIFS($AH$7:$AH$1843,$BY$7:$BY$1843,BY819,$AK$7:$AK$1843,AK819,$BQ$7:$BQ$1843,"&lt;="&amp;BQ819),"")</f>
        <v>0.979924664707274</v>
      </c>
      <c r="AM819" s="65" t="n">
        <f aca="false">IF(AL819="",0,MAX(0,MIN(1,(IF(BY819="L1",Parameter!$E$5,Parameter!$E$6+Parameter!$E$7)-(AL819-AH819))/AH819)))</f>
        <v>1</v>
      </c>
      <c r="AN819" s="57" t="n">
        <f aca="false">IF(LEFT(Cockpit!$I$5,1)="A",H819,IF(CA819=1,CB819,IF(LEFT(Cockpit!$I$5,1)="B",AR819,MAX(AR819,H819))))</f>
        <v>390</v>
      </c>
      <c r="AO819" s="57" t="n">
        <f aca="false">IF(BT819=1,0,ROUNDUP(AN819/BS819,0))</f>
        <v>2</v>
      </c>
      <c r="AP819" s="59" t="n">
        <f aca="false">IF(CH819&gt;0,CH819*MAX(1,AN819/X819),IF(BT819=1,IF(AN819&lt;=0,0,BW819*MAX(1,IF(H819&gt;0,AN819/H819,1))),IF(R819&gt;0,AO819/R819,0))/MAX(0.1,N(Parameter!$M$21)))</f>
        <v>0.0101010101010101</v>
      </c>
      <c r="AQ819" s="57" t="n">
        <f aca="false">AN819*G819</f>
        <v>74.1</v>
      </c>
      <c r="AR819" s="57" t="n">
        <f aca="false">ROUNDUP(MAX(J819/IF(BZ819&gt;0,BZ819,MAX(0.1,N(Cockpit!$I$6))),CC819)/BS819,0)*BS819</f>
        <v>390</v>
      </c>
      <c r="AS819" s="58" t="n">
        <f aca="false">IF(AP819&gt;0,J819/AP819,-1)</f>
        <v>30690</v>
      </c>
      <c r="AT819" s="58" t="n">
        <f aca="false">IF(AND(OR(BY819="L1",BY819="L23"),AP819&gt;0),SUMIFS($AP$7:$AP$1843,$BY$7:$BY$1843,BY819,$AS$7:$AS$1843,"&gt;"&amp;AS819)+SUMIFS($AP$7:$AP$1843,$BY$7:$BY$1843,BY819,$AS$7:$AS$1843,AS819,$BQ$7:$BQ$1843,"&lt;="&amp;BQ819),"")</f>
        <v>2.89757947366643</v>
      </c>
      <c r="AU819" s="65" t="n">
        <f aca="false">IF(AT819="",0,MAX(0,MIN(1,(IF(BY819="L1",Parameter!$E$5,Parameter!$E$6+Parameter!$E$7)-(AT819-AP819))/AP819)))</f>
        <v>1</v>
      </c>
      <c r="AV819" s="57" t="n">
        <f aca="false">IF(LEFT(Cockpit!$O$5,1)="A",H819,IF(CA819=1,CB819,IF(LEFT(Cockpit!$O$5,1)="B",AZ819,MAX(AZ819,H819))))</f>
        <v>390</v>
      </c>
      <c r="AW819" s="57" t="n">
        <f aca="false">IF(BT819=1,0,ROUNDUP(AV819/BS819,0))</f>
        <v>2</v>
      </c>
      <c r="AX819" s="59" t="n">
        <f aca="false">IF(CH819&gt;0,CH819*MAX(1,AV819/X819),IF(BT819=1,IF(AV819&lt;=0,0,BW819*MAX(1,IF(H819&gt;0,AV819/H819,1))),IF(R819&gt;0,AW819/R819,0))/MAX(0.1,N(Parameter!$M$21)))</f>
        <v>0.0101010101010101</v>
      </c>
      <c r="AY819" s="57" t="n">
        <f aca="false">AV819*G819</f>
        <v>74.1</v>
      </c>
      <c r="AZ819" s="57" t="n">
        <f aca="false">ROUNDUP(MAX(J819/IF(BZ819&gt;0,BZ819,MAX(0.1,N(Cockpit!$O$6))),CC819)/BS819,0)*BS819</f>
        <v>390</v>
      </c>
      <c r="BA819" s="58" t="n">
        <f aca="false">IF(AX819&gt;0,J819/AX819,-1)</f>
        <v>30690</v>
      </c>
      <c r="BB819" s="58" t="n">
        <f aca="false">IF(AND(OR(BY819="L1",BY819="L23"),AX819&gt;0),SUMIFS($AX$7:$AX$1843,$BY$7:$BY$1843,BY819,$BA$7:$BA$1843,"&gt;"&amp;BA819)+SUMIFS($AX$7:$AX$1843,$BY$7:$BY$1843,BY819,$BA$7:$BA$1843,BA819,$BQ$7:$BQ$1843,"&lt;="&amp;BQ819),"")</f>
        <v>2.6656447417317</v>
      </c>
      <c r="BC819" s="65" t="n">
        <f aca="false">IF(BB819="",0,MAX(0,MIN(1,(IF(BY819="L1",Parameter!$E$5,Parameter!$E$6+Parameter!$E$7)-(BB819-AX819))/AX819)))</f>
        <v>1</v>
      </c>
      <c r="BD819" s="55" t="str">
        <f aca="false">IF(AH819&lt;=0,"",IF(BY819="Aussen","Aussenlager",IF(BY819="-","Nicht im Lift",IF(AM819&gt;=1,"Lift",IF(AM819&lt;=0,"Aussenlager","teilweise")))))</f>
        <v>Lift</v>
      </c>
      <c r="BE819" s="55" t="str">
        <f aca="false">IF(AP819&lt;=0,"",IF(BY819="Aussen","Aussenlager",IF(BY819="-","Nicht im Lift",IF(AU819&gt;=1,"Lift",IF(AU819&lt;=0,"Aussenlager","teilweise")))))</f>
        <v>Lift</v>
      </c>
      <c r="BF819" s="55" t="str">
        <f aca="false">IF(AX819&lt;=0,"",IF(BY819="Aussen","Aussenlager",IF(BY819="-","Nicht im Lift",IF(BC819&gt;=1,"Lift",IF(BC819&lt;=0,"Aussenlager","teilweise")))))</f>
        <v>Lift</v>
      </c>
      <c r="BG819" s="55" t="str">
        <f aca="false">IF(A819="","",IF(BP819=1,"Neu; ","")&amp;IF(AND(BP819=0,BK819&lt;0),"negativer Bestand (Export "&amp;BK819&amp;"); ","")&amp;IF(J819&lt;=0,"Kein Verbrauch; ","")&amp;IF(CH819&gt;0,"Lift "&amp;W819&amp;" lt. Liftbericht (Fach "&amp;X819&amp;" Stk); ",IF(BU819=1,"Gebinde geschätzt ("&amp;T819&amp;"); ",IF(BT819=1,"Lose – Tablare geschätzt; ","")))&amp;IF(H819&gt;AR819,"Überbestand "&amp;ROUND(H819-AR819,0)&amp;" Stk / CHF "&amp;ROUND((H819-AR819)*G819,0)&amp;"; ","")&amp;IF(AND(CA819=1,CB819&lt;CC819),"MAX &lt; MB+LG; ","")&amp;IF(AND(CG819&gt;0,CF819*10&gt;CG819),"zu hoch für Tablar; ","")&amp;IF(AND(BP819=0,OR(CA819=1,AA819&lt;&gt;"",U819&lt;&gt;"",V819&lt;&gt;"",AB819&lt;&gt;"")),"manuell übersteuert; ","")&amp;IF(AND(BT819=0,R819=0),"Gebinde unbekannt / Stellmass fehlt; ","")&amp;IF(AND(BT819=0,N(V819)&lt;=0,N(Q819)&lt;=0),"Menge pro Gebinde fehlt (Ist = 1 Gebinde); ","")&amp;BO819)</f>
        <v>negativer Bestand (Export -47); </v>
      </c>
      <c r="BH819" s="55"/>
      <c r="BI819" s="55"/>
      <c r="BJ819" s="62"/>
      <c r="BK819" s="57" t="n">
        <v>-47</v>
      </c>
      <c r="BL819" s="57" t="n">
        <v>122</v>
      </c>
      <c r="BM819" s="56" t="n">
        <v>-8.93000000000001</v>
      </c>
      <c r="BN819" s="57" t="n">
        <v>310</v>
      </c>
      <c r="BO819" s="55"/>
      <c r="BP819" s="60" t="n">
        <v>0</v>
      </c>
      <c r="BQ819" s="60" t="n">
        <v>819</v>
      </c>
      <c r="BR819" s="55" t="str">
        <f aca="false">IF(U819&lt;&gt;"",UPPER(TRIM(U819)),IF(BU819=1,UPPER(VLOOKUP(T819,Parameter!$I$27:$K$29,2,0)),IF(P819="","LOSE",P819)))</f>
        <v>S22</v>
      </c>
      <c r="BS819" s="57" t="n">
        <f aca="false">IF(BR819="LOSE",1,IF(N(V819)&gt;0,V819,IF(BU819=1,MAX(1,N(VLOOKUP(T819,Parameter!$I$27:$K$29,3,0)),H819,N(N819)),IF(N(Q819)&gt;0,Q819,MAX(1,H819)))))</f>
        <v>195</v>
      </c>
      <c r="BT819" s="60" t="n">
        <f aca="false">IF(BR819="LOSE",1,0)</f>
        <v>0</v>
      </c>
      <c r="BU819" s="60" t="n">
        <f aca="false">IF(AND(U819="",OR(P819="",P819="LOSE"),T819&lt;&gt;"",N(S819)&lt;=0,ISNUMBER(MATCH(T819,Parameter!$I$27:$I$29,0))),1,0)</f>
        <v>0</v>
      </c>
      <c r="BV819" s="55" t="str">
        <f aca="false">IF(AND(Parameter!$B$19="Ja",E819&lt;&gt;"",ISNUMBER(MATCH(E819,Parameter!$I$35:$I$52,0))),VLOOKUP(E819,Parameter!$I$35:$J$52,2,0),IFERROR(VLOOKUP(D819,Parameter!$A$35:$C$64,2,0),"Nein"))</f>
        <v>2+3</v>
      </c>
      <c r="BW819" s="59" t="n">
        <f aca="false">IF(BT819=0,0,IF(N(S819)&gt;0,S819,IFERROR(VLOOKUP(D819,Parameter!$A$35:$C$64,3,0)+0,0)))</f>
        <v>0</v>
      </c>
      <c r="BX819" s="55" t="n">
        <f aca="false">IF(AA819&lt;&gt;"",AA819,Z819)</f>
        <v>3</v>
      </c>
      <c r="BY819" s="55" t="str">
        <f aca="false">IF(BX819=1,"L1",IF(OR(BX819=2,BX819=3),"L23",IF(BX819="Aussen","Aussen","-")))</f>
        <v>L23</v>
      </c>
      <c r="BZ819" s="66" t="n">
        <f aca="false">IF(N(AB819)&gt;0,AB819,0)</f>
        <v>0</v>
      </c>
      <c r="CA819" s="60" t="n">
        <f aca="false">IF(ISNUMBER(AE819),1,0)</f>
        <v>0</v>
      </c>
      <c r="CB819" s="57" t="n">
        <f aca="false">N(AE819)</f>
        <v>0</v>
      </c>
      <c r="CC819" s="57" t="n">
        <f aca="false">N(M819)+N(N819)</f>
        <v>322</v>
      </c>
      <c r="CD819" s="57" t="n">
        <f aca="false">ROUNDUP(H819/BS819,0)</f>
        <v>1</v>
      </c>
      <c r="CE819" s="57" t="n">
        <f aca="false">ROUNDUP(CB819/BS819,0)</f>
        <v>0</v>
      </c>
      <c r="CF819" s="60" t="n">
        <f aca="false">IF(BT819=1,0,IFERROR(VLOOKUP(BR819,'Gebinde-Kategorie'!$A$5:$M$45,5,0)+0,0))</f>
        <v>8</v>
      </c>
      <c r="CG819" s="60" t="n">
        <f aca="false">IFERROR(IF(OR(BX819=1,BX819=2,BX819=3),N(INDEX(Parameter!$I$5:$I$7,BX819)),0),0)</f>
        <v>0</v>
      </c>
      <c r="CH819" s="59" t="n">
        <f aca="false">IF(AND(Parameter!$B$21="Ja",ISNUMBER(W819),N(X819)&gt;0),IFERROR(N(INDEX(Parameter!$L$5:$L$7,W819))*INDEX(Parameter!$E$5:$E$7,W819)*X819/SUMIFS($X$7:$X$1843,$W$7:$W$1843,W819),0),0)</f>
        <v>0</v>
      </c>
    </row>
    <row r="820" customFormat="false" ht="15" hidden="false" customHeight="false" outlineLevel="0" collapsed="false">
      <c r="A820" s="55" t="s">
        <v>1582</v>
      </c>
      <c r="B820" s="55" t="s">
        <v>1583</v>
      </c>
      <c r="C820" s="55" t="s">
        <v>164</v>
      </c>
      <c r="D820" s="55" t="s">
        <v>184</v>
      </c>
      <c r="E820" s="55" t="s">
        <v>185</v>
      </c>
      <c r="F820" s="55" t="s">
        <v>218</v>
      </c>
      <c r="G820" s="56" t="n">
        <v>9.4</v>
      </c>
      <c r="H820" s="57" t="n">
        <f aca="false">MAX(0,IF(AND(Parameter!$B$21="Ja",ISNUMBER(Y820)),Y820,IF(Parameter!$B$20="Jahresanfang 2025 + Export",BL820+BK820,BK820)))</f>
        <v>10</v>
      </c>
      <c r="I820" s="57" t="n">
        <f aca="false">H820*G820</f>
        <v>94</v>
      </c>
      <c r="J820" s="57" t="n">
        <f aca="false">BN820*Parameter!$B$18</f>
        <v>0</v>
      </c>
      <c r="K820" s="58" t="n">
        <v>10.5</v>
      </c>
      <c r="L820" s="59" t="n">
        <v>0</v>
      </c>
      <c r="M820" s="57" t="n">
        <v>0</v>
      </c>
      <c r="N820" s="57" t="n">
        <v>1</v>
      </c>
      <c r="O820" s="60" t="n">
        <v>14</v>
      </c>
      <c r="P820" s="55" t="s">
        <v>426</v>
      </c>
      <c r="Q820" s="57" t="n">
        <v>15</v>
      </c>
      <c r="R820" s="60" t="n">
        <f aca="false">IF(BT820=1,0,IFERROR(VLOOKUP(BR820,'Gebinde-Kategorie'!$A$5:$M$45,13,0)+0,0))</f>
        <v>198</v>
      </c>
      <c r="S820" s="61"/>
      <c r="T820" s="62"/>
      <c r="U820" s="62"/>
      <c r="V820" s="62"/>
      <c r="W820" s="55"/>
      <c r="X820" s="57"/>
      <c r="Y820" s="57"/>
      <c r="Z820" s="55" t="n">
        <f aca="false">IF(A820="","",IF(AND(Parameter!$B$21="Ja",ISNUMBER(W820)),W820,IF(BV820="2+3",IF(ISNUMBER(SEARCH("grosser Artikel",BO820)),2,IFERROR(VLOOKUP(BR820,Parameter!$F$35:$G$64,2,0),2)),IF(OR(BV820="Nein",BV820=""),"-",BV820))))</f>
        <v>3</v>
      </c>
      <c r="AA820" s="62"/>
      <c r="AB820" s="63"/>
      <c r="AC820" s="57" t="n">
        <f aca="false">AR820</f>
        <v>15</v>
      </c>
      <c r="AD820" s="57" t="n">
        <f aca="false">MAX(AR820,H820)</f>
        <v>15</v>
      </c>
      <c r="AE820" s="64"/>
      <c r="AF820" s="57" t="n">
        <f aca="false">IF(LEFT(Cockpit!$C$5,1)="A",H820,IF(CA820=1,CB820,IF(LEFT(Cockpit!$C$5,1)="B",AJ820,MAX(AJ820,H820))))</f>
        <v>10</v>
      </c>
      <c r="AG820" s="57" t="n">
        <f aca="false">IF(BT820=1,0,ROUNDUP(AF820/BS820,0))</f>
        <v>1</v>
      </c>
      <c r="AH820" s="59" t="n">
        <f aca="false">IF(CH820&gt;0,CH820*MAX(1,AF820/X820),IF(BT820=1,IF(AF820&lt;=0,0,BW820*MAX(1,IF(H820&gt;0,AF820/H820,1))),IF(R820&gt;0,AG820/R820,0))/MAX(0.1,N(Parameter!$M$21)))</f>
        <v>0.00505050505050505</v>
      </c>
      <c r="AI820" s="57" t="n">
        <f aca="false">AF820*G820</f>
        <v>94</v>
      </c>
      <c r="AJ820" s="57" t="n">
        <f aca="false">ROUNDUP(MAX(J820/IF(BZ820&gt;0,BZ820,MAX(0.1,N(Cockpit!$C$6))),CC820)/BS820,0)*BS820</f>
        <v>15</v>
      </c>
      <c r="AK820" s="58" t="n">
        <f aca="false">IF(AH820&gt;0,J820/AH820,-1)</f>
        <v>0</v>
      </c>
      <c r="AL820" s="58" t="n">
        <f aca="false">IF(AND(OR(BY820="L1",BY820="L23"),AH820&gt;0),SUMIFS($AH$7:$AH$1843,$BY$7:$BY$1843,BY820,$AK$7:$AK$1843,"&gt;"&amp;AK820)+SUMIFS($AH$7:$AH$1843,$BY$7:$BY$1843,BY820,$AK$7:$AK$1843,AK820,$BQ$7:$BQ$1843,"&lt;="&amp;BQ820),"")</f>
        <v>77.6329431438127</v>
      </c>
      <c r="AM820" s="65" t="n">
        <f aca="false">IF(AL820="",0,MAX(0,MIN(1,(IF(BY820="L1",Parameter!$E$5,Parameter!$E$6+Parameter!$E$7)-(AL820-AH820))/AH820)))</f>
        <v>1</v>
      </c>
      <c r="AN820" s="57" t="n">
        <f aca="false">IF(LEFT(Cockpit!$I$5,1)="A",H820,IF(CA820=1,CB820,IF(LEFT(Cockpit!$I$5,1)="B",AR820,MAX(AR820,H820))))</f>
        <v>15</v>
      </c>
      <c r="AO820" s="57" t="n">
        <f aca="false">IF(BT820=1,0,ROUNDUP(AN820/BS820,0))</f>
        <v>1</v>
      </c>
      <c r="AP820" s="59" t="n">
        <f aca="false">IF(CH820&gt;0,CH820*MAX(1,AN820/X820),IF(BT820=1,IF(AN820&lt;=0,0,BW820*MAX(1,IF(H820&gt;0,AN820/H820,1))),IF(R820&gt;0,AO820/R820,0))/MAX(0.1,N(Parameter!$M$21)))</f>
        <v>0.00505050505050505</v>
      </c>
      <c r="AQ820" s="57" t="n">
        <f aca="false">AN820*G820</f>
        <v>141</v>
      </c>
      <c r="AR820" s="57" t="n">
        <f aca="false">ROUNDUP(MAX(J820/IF(BZ820&gt;0,BZ820,MAX(0.1,N(Cockpit!$I$6))),CC820)/BS820,0)*BS820</f>
        <v>15</v>
      </c>
      <c r="AS820" s="58" t="n">
        <f aca="false">IF(AP820&gt;0,J820/AP820,-1)</f>
        <v>0</v>
      </c>
      <c r="AT820" s="58" t="n">
        <f aca="false">IF(AND(OR(BY820="L1",BY820="L23"),AP820&gt;0),SUMIFS($AP$7:$AP$1843,$BY$7:$BY$1843,BY820,$AS$7:$AS$1843,"&gt;"&amp;AS820)+SUMIFS($AP$7:$AP$1843,$BY$7:$BY$1843,BY820,$AS$7:$AS$1843,AS820,$BQ$7:$BQ$1843,"&lt;="&amp;BQ820),"")</f>
        <v>118.504205938989</v>
      </c>
      <c r="AU820" s="65" t="n">
        <f aca="false">IF(AT820="",0,MAX(0,MIN(1,(IF(BY820="L1",Parameter!$E$5,Parameter!$E$6+Parameter!$E$7)-(AT820-AP820))/AP820)))</f>
        <v>0</v>
      </c>
      <c r="AV820" s="57" t="n">
        <f aca="false">IF(LEFT(Cockpit!$O$5,1)="A",H820,IF(CA820=1,CB820,IF(LEFT(Cockpit!$O$5,1)="B",AZ820,MAX(AZ820,H820))))</f>
        <v>15</v>
      </c>
      <c r="AW820" s="57" t="n">
        <f aca="false">IF(BT820=1,0,ROUNDUP(AV820/BS820,0))</f>
        <v>1</v>
      </c>
      <c r="AX820" s="59" t="n">
        <f aca="false">IF(CH820&gt;0,CH820*MAX(1,AV820/X820),IF(BT820=1,IF(AV820&lt;=0,0,BW820*MAX(1,IF(H820&gt;0,AV820/H820,1))),IF(R820&gt;0,AW820/R820,0))/MAX(0.1,N(Parameter!$M$21)))</f>
        <v>0.00505050505050505</v>
      </c>
      <c r="AY820" s="57" t="n">
        <f aca="false">AV820*G820</f>
        <v>141</v>
      </c>
      <c r="AZ820" s="57" t="n">
        <f aca="false">ROUNDUP(MAX(J820/IF(BZ820&gt;0,BZ820,MAX(0.1,N(Cockpit!$O$6))),CC820)/BS820,0)*BS820</f>
        <v>15</v>
      </c>
      <c r="BA820" s="58" t="n">
        <f aca="false">IF(AX820&gt;0,J820/AX820,-1)</f>
        <v>0</v>
      </c>
      <c r="BB820" s="58" t="n">
        <f aca="false">IF(AND(OR(BY820="L1",BY820="L23"),AX820&gt;0),SUMIFS($AX$7:$AX$1843,$BY$7:$BY$1843,BY820,$BA$7:$BA$1843,"&gt;"&amp;BA820)+SUMIFS($AX$7:$AX$1843,$BY$7:$BY$1843,BY820,$BA$7:$BA$1843,BA820,$BQ$7:$BQ$1843,"&lt;="&amp;BQ820),"")</f>
        <v>109.334042768825</v>
      </c>
      <c r="BC820" s="65" t="n">
        <f aca="false">IF(BB820="",0,MAX(0,MIN(1,(IF(BY820="L1",Parameter!$E$5,Parameter!$E$6+Parameter!$E$7)-(BB820-AX820))/AX820)))</f>
        <v>0</v>
      </c>
      <c r="BD820" s="55" t="str">
        <f aca="false">IF(AH820&lt;=0,"",IF(BY820="Aussen","Aussenlager",IF(BY820="-","Nicht im Lift",IF(AM820&gt;=1,"Lift",IF(AM820&lt;=0,"Aussenlager","teilweise")))))</f>
        <v>Lift</v>
      </c>
      <c r="BE820" s="55" t="str">
        <f aca="false">IF(AP820&lt;=0,"",IF(BY820="Aussen","Aussenlager",IF(BY820="-","Nicht im Lift",IF(AU820&gt;=1,"Lift",IF(AU820&lt;=0,"Aussenlager","teilweise")))))</f>
        <v>Aussenlager</v>
      </c>
      <c r="BF820" s="55" t="str">
        <f aca="false">IF(AX820&lt;=0,"",IF(BY820="Aussen","Aussenlager",IF(BY820="-","Nicht im Lift",IF(BC820&gt;=1,"Lift",IF(BC820&lt;=0,"Aussenlager","teilweise")))))</f>
        <v>Aussenlager</v>
      </c>
      <c r="BG820" s="55" t="str">
        <f aca="false">IF(A820="","",IF(BP820=1,"Neu; ","")&amp;IF(AND(BP820=0,BK820&lt;0),"negativer Bestand (Export "&amp;BK820&amp;"); ","")&amp;IF(J820&lt;=0,"Kein Verbrauch; ","")&amp;IF(CH820&gt;0,"Lift "&amp;W820&amp;" lt. Liftbericht (Fach "&amp;X820&amp;" Stk); ",IF(BU820=1,"Gebinde geschätzt ("&amp;T820&amp;"); ",IF(BT820=1,"Lose – Tablare geschätzt; ","")))&amp;IF(H820&gt;AR820,"Überbestand "&amp;ROUND(H820-AR820,0)&amp;" Stk / CHF "&amp;ROUND((H820-AR820)*G820,0)&amp;"; ","")&amp;IF(AND(CA820=1,CB820&lt;CC820),"MAX &lt; MB+LG; ","")&amp;IF(AND(CG820&gt;0,CF820*10&gt;CG820),"zu hoch für Tablar; ","")&amp;IF(AND(BP820=0,OR(CA820=1,AA820&lt;&gt;"",U820&lt;&gt;"",V820&lt;&gt;"",AB820&lt;&gt;"")),"manuell übersteuert; ","")&amp;IF(AND(BT820=0,R820=0),"Gebinde unbekannt / Stellmass fehlt; ","")&amp;IF(AND(BT820=0,N(V820)&lt;=0,N(Q820)&lt;=0),"Menge pro Gebinde fehlt (Ist = 1 Gebinde); ","")&amp;BO820)</f>
        <v>negativer Bestand (Export -1); Kein Verbrauch; Neu</v>
      </c>
      <c r="BH820" s="55"/>
      <c r="BI820" s="55"/>
      <c r="BJ820" s="62"/>
      <c r="BK820" s="57" t="n">
        <v>-1</v>
      </c>
      <c r="BL820" s="57" t="n">
        <v>11</v>
      </c>
      <c r="BM820" s="56" t="n">
        <v>-9.4</v>
      </c>
      <c r="BN820" s="57" t="n">
        <v>0</v>
      </c>
      <c r="BO820" s="55" t="s">
        <v>626</v>
      </c>
      <c r="BP820" s="60" t="n">
        <v>0</v>
      </c>
      <c r="BQ820" s="60" t="n">
        <v>820</v>
      </c>
      <c r="BR820" s="55" t="str">
        <f aca="false">IF(U820&lt;&gt;"",UPPER(TRIM(U820)),IF(BU820=1,UPPER(VLOOKUP(T820,Parameter!$I$27:$K$29,2,0)),IF(P820="","LOSE",P820)))</f>
        <v>S22</v>
      </c>
      <c r="BS820" s="57" t="n">
        <f aca="false">IF(BR820="LOSE",1,IF(N(V820)&gt;0,V820,IF(BU820=1,MAX(1,N(VLOOKUP(T820,Parameter!$I$27:$K$29,3,0)),H820,N(N820)),IF(N(Q820)&gt;0,Q820,MAX(1,H820)))))</f>
        <v>15</v>
      </c>
      <c r="BT820" s="60" t="n">
        <f aca="false">IF(BR820="LOSE",1,0)</f>
        <v>0</v>
      </c>
      <c r="BU820" s="60" t="n">
        <f aca="false">IF(AND(U820="",OR(P820="",P820="LOSE"),T820&lt;&gt;"",N(S820)&lt;=0,ISNUMBER(MATCH(T820,Parameter!$I$27:$I$29,0))),1,0)</f>
        <v>0</v>
      </c>
      <c r="BV820" s="55" t="str">
        <f aca="false">IF(AND(Parameter!$B$19="Ja",E820&lt;&gt;"",ISNUMBER(MATCH(E820,Parameter!$I$35:$I$52,0))),VLOOKUP(E820,Parameter!$I$35:$J$52,2,0),IFERROR(VLOOKUP(D820,Parameter!$A$35:$C$64,2,0),"Nein"))</f>
        <v>2+3</v>
      </c>
      <c r="BW820" s="59" t="n">
        <f aca="false">IF(BT820=0,0,IF(N(S820)&gt;0,S820,IFERROR(VLOOKUP(D820,Parameter!$A$35:$C$64,3,0)+0,0)))</f>
        <v>0</v>
      </c>
      <c r="BX820" s="55" t="n">
        <f aca="false">IF(AA820&lt;&gt;"",AA820,Z820)</f>
        <v>3</v>
      </c>
      <c r="BY820" s="55" t="str">
        <f aca="false">IF(BX820=1,"L1",IF(OR(BX820=2,BX820=3),"L23",IF(BX820="Aussen","Aussen","-")))</f>
        <v>L23</v>
      </c>
      <c r="BZ820" s="66" t="n">
        <f aca="false">IF(N(AB820)&gt;0,AB820,0)</f>
        <v>0</v>
      </c>
      <c r="CA820" s="60" t="n">
        <f aca="false">IF(ISNUMBER(AE820),1,0)</f>
        <v>0</v>
      </c>
      <c r="CB820" s="57" t="n">
        <f aca="false">N(AE820)</f>
        <v>0</v>
      </c>
      <c r="CC820" s="57" t="n">
        <f aca="false">N(M820)+N(N820)</f>
        <v>1</v>
      </c>
      <c r="CD820" s="57" t="n">
        <f aca="false">ROUNDUP(H820/BS820,0)</f>
        <v>1</v>
      </c>
      <c r="CE820" s="57" t="n">
        <f aca="false">ROUNDUP(CB820/BS820,0)</f>
        <v>0</v>
      </c>
      <c r="CF820" s="60" t="n">
        <f aca="false">IF(BT820=1,0,IFERROR(VLOOKUP(BR820,'Gebinde-Kategorie'!$A$5:$M$45,5,0)+0,0))</f>
        <v>8</v>
      </c>
      <c r="CG820" s="60" t="n">
        <f aca="false">IFERROR(IF(OR(BX820=1,BX820=2,BX820=3),N(INDEX(Parameter!$I$5:$I$7,BX820)),0),0)</f>
        <v>0</v>
      </c>
      <c r="CH820" s="59" t="n">
        <f aca="false">IF(AND(Parameter!$B$21="Ja",ISNUMBER(W820),N(X820)&gt;0),IFERROR(N(INDEX(Parameter!$L$5:$L$7,W820))*INDEX(Parameter!$E$5:$E$7,W820)*X820/SUMIFS($X$7:$X$1843,$W$7:$W$1843,W820),0),0)</f>
        <v>0</v>
      </c>
    </row>
    <row r="821" customFormat="false" ht="15" hidden="false" customHeight="false" outlineLevel="0" collapsed="false">
      <c r="A821" s="55" t="s">
        <v>1584</v>
      </c>
      <c r="B821" s="55" t="s">
        <v>407</v>
      </c>
      <c r="C821" s="55" t="s">
        <v>164</v>
      </c>
      <c r="D821" s="55" t="s">
        <v>184</v>
      </c>
      <c r="E821" s="55" t="s">
        <v>185</v>
      </c>
      <c r="F821" s="55" t="s">
        <v>218</v>
      </c>
      <c r="G821" s="56" t="n">
        <v>0.02</v>
      </c>
      <c r="H821" s="57" t="n">
        <f aca="false">MAX(0,IF(AND(Parameter!$B$21="Ja",ISNUMBER(Y821)),Y821,IF(Parameter!$B$20="Jahresanfang 2025 + Export",BL821+BK821,BK821)))</f>
        <v>216</v>
      </c>
      <c r="I821" s="57" t="n">
        <f aca="false">H821*G821</f>
        <v>4.32</v>
      </c>
      <c r="J821" s="57" t="n">
        <f aca="false">BN821*Parameter!$B$18</f>
        <v>684</v>
      </c>
      <c r="K821" s="58" t="n">
        <v>535.5</v>
      </c>
      <c r="L821" s="59" t="n">
        <v>1.27731092436975</v>
      </c>
      <c r="M821" s="57" t="n">
        <v>39</v>
      </c>
      <c r="N821" s="57" t="n">
        <v>1000</v>
      </c>
      <c r="O821" s="60" t="n">
        <v>21</v>
      </c>
      <c r="P821" s="55" t="s">
        <v>401</v>
      </c>
      <c r="Q821" s="57" t="n">
        <v>218</v>
      </c>
      <c r="R821" s="60" t="n">
        <f aca="false">IF(BT821=1,0,IFERROR(VLOOKUP(BR821,'Gebinde-Kategorie'!$A$5:$M$45,13,0)+0,0))</f>
        <v>414</v>
      </c>
      <c r="S821" s="61"/>
      <c r="T821" s="62"/>
      <c r="U821" s="62"/>
      <c r="V821" s="62"/>
      <c r="W821" s="55"/>
      <c r="X821" s="57"/>
      <c r="Y821" s="57"/>
      <c r="Z821" s="55" t="n">
        <f aca="false">IF(A821="","",IF(AND(Parameter!$B$21="Ja",ISNUMBER(W821)),W821,IF(BV821="2+3",IF(ISNUMBER(SEARCH("grosser Artikel",BO821)),2,IFERROR(VLOOKUP(BR821,Parameter!$F$35:$G$64,2,0),2)),IF(OR(BV821="Nein",BV821=""),"-",BV821))))</f>
        <v>3</v>
      </c>
      <c r="AA821" s="62"/>
      <c r="AB821" s="63"/>
      <c r="AC821" s="57" t="n">
        <f aca="false">AR821</f>
        <v>1090</v>
      </c>
      <c r="AD821" s="57" t="n">
        <f aca="false">MAX(AR821,H821)</f>
        <v>1090</v>
      </c>
      <c r="AE821" s="64"/>
      <c r="AF821" s="57" t="n">
        <f aca="false">IF(LEFT(Cockpit!$C$5,1)="A",H821,IF(CA821=1,CB821,IF(LEFT(Cockpit!$C$5,1)="B",AJ821,MAX(AJ821,H821))))</f>
        <v>216</v>
      </c>
      <c r="AG821" s="57" t="n">
        <f aca="false">IF(BT821=1,0,ROUNDUP(AF821/BS821,0))</f>
        <v>1</v>
      </c>
      <c r="AH821" s="59" t="n">
        <f aca="false">IF(CH821&gt;0,CH821*MAX(1,AF821/X821),IF(BT821=1,IF(AF821&lt;=0,0,BW821*MAX(1,IF(H821&gt;0,AF821/H821,1))),IF(R821&gt;0,AG821/R821,0))/MAX(0.1,N(Parameter!$M$21)))</f>
        <v>0.00241545893719807</v>
      </c>
      <c r="AI821" s="57" t="n">
        <f aca="false">AF821*G821</f>
        <v>4.32</v>
      </c>
      <c r="AJ821" s="57" t="n">
        <f aca="false">ROUNDUP(MAX(J821/IF(BZ821&gt;0,BZ821,MAX(0.1,N(Cockpit!$C$6))),CC821)/BS821,0)*BS821</f>
        <v>1090</v>
      </c>
      <c r="AK821" s="58" t="n">
        <f aca="false">IF(AH821&gt;0,J821/AH821,-1)</f>
        <v>283176</v>
      </c>
      <c r="AL821" s="58" t="n">
        <f aca="false">IF(AND(OR(BY821="L1",BY821="L23"),AH821&gt;0),SUMIFS($AH$7:$AH$1843,$BY$7:$BY$1843,BY821,$AK$7:$AK$1843,"&gt;"&amp;AK821)+SUMIFS($AH$7:$AH$1843,$BY$7:$BY$1843,BY821,$AK$7:$AK$1843,AK821,$BQ$7:$BQ$1843,"&lt;="&amp;BQ821),"")</f>
        <v>0.0367977433194825</v>
      </c>
      <c r="AM821" s="65" t="n">
        <f aca="false">IF(AL821="",0,MAX(0,MIN(1,(IF(BY821="L1",Parameter!$E$5,Parameter!$E$6+Parameter!$E$7)-(AL821-AH821))/AH821)))</f>
        <v>1</v>
      </c>
      <c r="AN821" s="57" t="n">
        <f aca="false">IF(LEFT(Cockpit!$I$5,1)="A",H821,IF(CA821=1,CB821,IF(LEFT(Cockpit!$I$5,1)="B",AR821,MAX(AR821,H821))))</f>
        <v>1090</v>
      </c>
      <c r="AO821" s="57" t="n">
        <f aca="false">IF(BT821=1,0,ROUNDUP(AN821/BS821,0))</f>
        <v>5</v>
      </c>
      <c r="AP821" s="59" t="n">
        <f aca="false">IF(CH821&gt;0,CH821*MAX(1,AN821/X821),IF(BT821=1,IF(AN821&lt;=0,0,BW821*MAX(1,IF(H821&gt;0,AN821/H821,1))),IF(R821&gt;0,AO821/R821,0))/MAX(0.1,N(Parameter!$M$21)))</f>
        <v>0.0120772946859903</v>
      </c>
      <c r="AQ821" s="57" t="n">
        <f aca="false">AN821*G821</f>
        <v>21.8</v>
      </c>
      <c r="AR821" s="57" t="n">
        <f aca="false">ROUNDUP(MAX(J821/IF(BZ821&gt;0,BZ821,MAX(0.1,N(Cockpit!$I$6))),CC821)/BS821,0)*BS821</f>
        <v>1090</v>
      </c>
      <c r="AS821" s="58" t="n">
        <f aca="false">IF(AP821&gt;0,J821/AP821,-1)</f>
        <v>56635.2</v>
      </c>
      <c r="AT821" s="58" t="n">
        <f aca="false">IF(AND(OR(BY821="L1",BY821="L23"),AP821&gt;0),SUMIFS($AP$7:$AP$1843,$BY$7:$BY$1843,BY821,$AS$7:$AS$1843,"&gt;"&amp;AS821)+SUMIFS($AP$7:$AP$1843,$BY$7:$BY$1843,BY821,$AS$7:$AS$1843,AS821,$BQ$7:$BQ$1843,"&lt;="&amp;BQ821),"")</f>
        <v>0.724299854734637</v>
      </c>
      <c r="AU821" s="65" t="n">
        <f aca="false">IF(AT821="",0,MAX(0,MIN(1,(IF(BY821="L1",Parameter!$E$5,Parameter!$E$6+Parameter!$E$7)-(AT821-AP821))/AP821)))</f>
        <v>1</v>
      </c>
      <c r="AV821" s="57" t="n">
        <f aca="false">IF(LEFT(Cockpit!$O$5,1)="A",H821,IF(CA821=1,CB821,IF(LEFT(Cockpit!$O$5,1)="B",AZ821,MAX(AZ821,H821))))</f>
        <v>1090</v>
      </c>
      <c r="AW821" s="57" t="n">
        <f aca="false">IF(BT821=1,0,ROUNDUP(AV821/BS821,0))</f>
        <v>5</v>
      </c>
      <c r="AX821" s="59" t="n">
        <f aca="false">IF(CH821&gt;0,CH821*MAX(1,AV821/X821),IF(BT821=1,IF(AV821&lt;=0,0,BW821*MAX(1,IF(H821&gt;0,AV821/H821,1))),IF(R821&gt;0,AW821/R821,0))/MAX(0.1,N(Parameter!$M$21)))</f>
        <v>0.0120772946859903</v>
      </c>
      <c r="AY821" s="57" t="n">
        <f aca="false">AV821*G821</f>
        <v>21.8</v>
      </c>
      <c r="AZ821" s="57" t="n">
        <f aca="false">ROUNDUP(MAX(J821/IF(BZ821&gt;0,BZ821,MAX(0.1,N(Cockpit!$O$6))),CC821)/BS821,0)*BS821</f>
        <v>1090</v>
      </c>
      <c r="BA821" s="58" t="n">
        <f aca="false">IF(AX821&gt;0,J821/AX821,-1)</f>
        <v>56635.2</v>
      </c>
      <c r="BB821" s="58" t="n">
        <f aca="false">IF(AND(OR(BY821="L1",BY821="L23"),AX821&gt;0),SUMIFS($AX$7:$AX$1843,$BY$7:$BY$1843,BY821,$BA$7:$BA$1843,"&gt;"&amp;BA821)+SUMIFS($AX$7:$AX$1843,$BY$7:$BY$1843,BY821,$BA$7:$BA$1843,BA821,$BQ$7:$BQ$1843,"&lt;="&amp;BQ821),"")</f>
        <v>0.874066754501537</v>
      </c>
      <c r="BC821" s="65" t="n">
        <f aca="false">IF(BB821="",0,MAX(0,MIN(1,(IF(BY821="L1",Parameter!$E$5,Parameter!$E$6+Parameter!$E$7)-(BB821-AX821))/AX821)))</f>
        <v>1</v>
      </c>
      <c r="BD821" s="55" t="str">
        <f aca="false">IF(AH821&lt;=0,"",IF(BY821="Aussen","Aussenlager",IF(BY821="-","Nicht im Lift",IF(AM821&gt;=1,"Lift",IF(AM821&lt;=0,"Aussenlager","teilweise")))))</f>
        <v>Lift</v>
      </c>
      <c r="BE821" s="55" t="str">
        <f aca="false">IF(AP821&lt;=0,"",IF(BY821="Aussen","Aussenlager",IF(BY821="-","Nicht im Lift",IF(AU821&gt;=1,"Lift",IF(AU821&lt;=0,"Aussenlager","teilweise")))))</f>
        <v>Lift</v>
      </c>
      <c r="BF821" s="55" t="str">
        <f aca="false">IF(AX821&lt;=0,"",IF(BY821="Aussen","Aussenlager",IF(BY821="-","Nicht im Lift",IF(BC821&gt;=1,"Lift",IF(BC821&lt;=0,"Aussenlager","teilweise")))))</f>
        <v>Lift</v>
      </c>
      <c r="BG821" s="55" t="str">
        <f aca="false">IF(A821="","",IF(BP821=1,"Neu; ","")&amp;IF(AND(BP821=0,BK821&lt;0),"negativer Bestand (Export "&amp;BK821&amp;"); ","")&amp;IF(J821&lt;=0,"Kein Verbrauch; ","")&amp;IF(CH821&gt;0,"Lift "&amp;W821&amp;" lt. Liftbericht (Fach "&amp;X821&amp;" Stk); ",IF(BU821=1,"Gebinde geschätzt ("&amp;T821&amp;"); ",IF(BT821=1,"Lose – Tablare geschätzt; ","")))&amp;IF(H821&gt;AR821,"Überbestand "&amp;ROUND(H821-AR821,0)&amp;" Stk / CHF "&amp;ROUND((H821-AR821)*G821,0)&amp;"; ","")&amp;IF(AND(CA821=1,CB821&lt;CC821),"MAX &lt; MB+LG; ","")&amp;IF(AND(CG821&gt;0,CF821*10&gt;CG821),"zu hoch für Tablar; ","")&amp;IF(AND(BP821=0,OR(CA821=1,AA821&lt;&gt;"",U821&lt;&gt;"",V821&lt;&gt;"",AB821&lt;&gt;"")),"manuell übersteuert; ","")&amp;IF(AND(BT821=0,R821=0),"Gebinde unbekannt / Stellmass fehlt; ","")&amp;IF(AND(BT821=0,N(V821)&lt;=0,N(Q821)&lt;=0),"Menge pro Gebinde fehlt (Ist = 1 Gebinde); ","")&amp;BO821)</f>
        <v>negativer Bestand (Export -272); </v>
      </c>
      <c r="BH821" s="55"/>
      <c r="BI821" s="55"/>
      <c r="BJ821" s="62"/>
      <c r="BK821" s="57" t="n">
        <v>-272</v>
      </c>
      <c r="BL821" s="57" t="n">
        <v>488</v>
      </c>
      <c r="BM821" s="56" t="n">
        <v>-9.70999999999995</v>
      </c>
      <c r="BN821" s="57" t="n">
        <v>684</v>
      </c>
      <c r="BO821" s="55"/>
      <c r="BP821" s="60" t="n">
        <v>0</v>
      </c>
      <c r="BQ821" s="60" t="n">
        <v>821</v>
      </c>
      <c r="BR821" s="55" t="str">
        <f aca="false">IF(U821&lt;&gt;"",UPPER(TRIM(U821)),IF(BU821=1,UPPER(VLOOKUP(T821,Parameter!$I$27:$K$29,2,0)),IF(P821="","LOSE",P821)))</f>
        <v>S21</v>
      </c>
      <c r="BS821" s="57" t="n">
        <f aca="false">IF(BR821="LOSE",1,IF(N(V821)&gt;0,V821,IF(BU821=1,MAX(1,N(VLOOKUP(T821,Parameter!$I$27:$K$29,3,0)),H821,N(N821)),IF(N(Q821)&gt;0,Q821,MAX(1,H821)))))</f>
        <v>218</v>
      </c>
      <c r="BT821" s="60" t="n">
        <f aca="false">IF(BR821="LOSE",1,0)</f>
        <v>0</v>
      </c>
      <c r="BU821" s="60" t="n">
        <f aca="false">IF(AND(U821="",OR(P821="",P821="LOSE"),T821&lt;&gt;"",N(S821)&lt;=0,ISNUMBER(MATCH(T821,Parameter!$I$27:$I$29,0))),1,0)</f>
        <v>0</v>
      </c>
      <c r="BV821" s="55" t="str">
        <f aca="false">IF(AND(Parameter!$B$19="Ja",E821&lt;&gt;"",ISNUMBER(MATCH(E821,Parameter!$I$35:$I$52,0))),VLOOKUP(E821,Parameter!$I$35:$J$52,2,0),IFERROR(VLOOKUP(D821,Parameter!$A$35:$C$64,2,0),"Nein"))</f>
        <v>2+3</v>
      </c>
      <c r="BW821" s="59" t="n">
        <f aca="false">IF(BT821=0,0,IF(N(S821)&gt;0,S821,IFERROR(VLOOKUP(D821,Parameter!$A$35:$C$64,3,0)+0,0)))</f>
        <v>0</v>
      </c>
      <c r="BX821" s="55" t="n">
        <f aca="false">IF(AA821&lt;&gt;"",AA821,Z821)</f>
        <v>3</v>
      </c>
      <c r="BY821" s="55" t="str">
        <f aca="false">IF(BX821=1,"L1",IF(OR(BX821=2,BX821=3),"L23",IF(BX821="Aussen","Aussen","-")))</f>
        <v>L23</v>
      </c>
      <c r="BZ821" s="66" t="n">
        <f aca="false">IF(N(AB821)&gt;0,AB821,0)</f>
        <v>0</v>
      </c>
      <c r="CA821" s="60" t="n">
        <f aca="false">IF(ISNUMBER(AE821),1,0)</f>
        <v>0</v>
      </c>
      <c r="CB821" s="57" t="n">
        <f aca="false">N(AE821)</f>
        <v>0</v>
      </c>
      <c r="CC821" s="57" t="n">
        <f aca="false">N(M821)+N(N821)</f>
        <v>1039</v>
      </c>
      <c r="CD821" s="57" t="n">
        <f aca="false">ROUNDUP(H821/BS821,0)</f>
        <v>1</v>
      </c>
      <c r="CE821" s="57" t="n">
        <f aca="false">ROUNDUP(CB821/BS821,0)</f>
        <v>0</v>
      </c>
      <c r="CF821" s="60" t="n">
        <f aca="false">IF(BT821=1,0,IFERROR(VLOOKUP(BR821,'Gebinde-Kategorie'!$A$5:$M$45,5,0)+0,0))</f>
        <v>8</v>
      </c>
      <c r="CG821" s="60" t="n">
        <f aca="false">IFERROR(IF(OR(BX821=1,BX821=2,BX821=3),N(INDEX(Parameter!$I$5:$I$7,BX821)),0),0)</f>
        <v>0</v>
      </c>
      <c r="CH821" s="59" t="n">
        <f aca="false">IF(AND(Parameter!$B$21="Ja",ISNUMBER(W821),N(X821)&gt;0),IFERROR(N(INDEX(Parameter!$L$5:$L$7,W821))*INDEX(Parameter!$E$5:$E$7,W821)*X821/SUMIFS($X$7:$X$1843,$W$7:$W$1843,W821),0),0)</f>
        <v>0</v>
      </c>
    </row>
    <row r="822" customFormat="false" ht="15" hidden="false" customHeight="false" outlineLevel="0" collapsed="false">
      <c r="A822" s="55" t="s">
        <v>1585</v>
      </c>
      <c r="B822" s="55" t="s">
        <v>1586</v>
      </c>
      <c r="C822" s="55" t="s">
        <v>164</v>
      </c>
      <c r="D822" s="55" t="s">
        <v>184</v>
      </c>
      <c r="E822" s="55" t="s">
        <v>185</v>
      </c>
      <c r="F822" s="55" t="s">
        <v>218</v>
      </c>
      <c r="G822" s="56" t="n">
        <v>0.82</v>
      </c>
      <c r="H822" s="57" t="n">
        <f aca="false">MAX(0,IF(AND(Parameter!$B$21="Ja",ISNUMBER(Y822)),Y822,IF(Parameter!$B$20="Jahresanfang 2025 + Export",BL822+BK822,BK822)))</f>
        <v>0</v>
      </c>
      <c r="I822" s="57" t="n">
        <f aca="false">H822*G822</f>
        <v>0</v>
      </c>
      <c r="J822" s="57" t="n">
        <f aca="false">BN822*Parameter!$B$18</f>
        <v>0</v>
      </c>
      <c r="K822" s="58" t="n">
        <v>21</v>
      </c>
      <c r="L822" s="59" t="n">
        <v>0</v>
      </c>
      <c r="M822" s="57" t="n">
        <v>0</v>
      </c>
      <c r="N822" s="57" t="n">
        <v>1</v>
      </c>
      <c r="O822" s="60" t="n">
        <v>21</v>
      </c>
      <c r="P822" s="55" t="s">
        <v>476</v>
      </c>
      <c r="Q822" s="57" t="n">
        <v>54</v>
      </c>
      <c r="R822" s="60" t="n">
        <f aca="false">IF(BT822=1,0,IFERROR(VLOOKUP(BR822,'Gebinde-Kategorie'!$A$5:$M$45,13,0)+0,0))</f>
        <v>66</v>
      </c>
      <c r="S822" s="61"/>
      <c r="T822" s="62"/>
      <c r="U822" s="62"/>
      <c r="V822" s="62"/>
      <c r="W822" s="55"/>
      <c r="X822" s="57"/>
      <c r="Y822" s="57"/>
      <c r="Z822" s="55" t="n">
        <f aca="false">IF(A822="","",IF(AND(Parameter!$B$21="Ja",ISNUMBER(W822)),W822,IF(BV822="2+3",IF(ISNUMBER(SEARCH("grosser Artikel",BO822)),2,IFERROR(VLOOKUP(BR822,Parameter!$F$35:$G$64,2,0),2)),IF(OR(BV822="Nein",BV822=""),"-",BV822))))</f>
        <v>3</v>
      </c>
      <c r="AA822" s="62"/>
      <c r="AB822" s="63"/>
      <c r="AC822" s="57" t="n">
        <f aca="false">AR822</f>
        <v>54</v>
      </c>
      <c r="AD822" s="57" t="n">
        <f aca="false">MAX(AR822,H822)</f>
        <v>54</v>
      </c>
      <c r="AE822" s="64"/>
      <c r="AF822" s="57" t="n">
        <f aca="false">IF(LEFT(Cockpit!$C$5,1)="A",H822,IF(CA822=1,CB822,IF(LEFT(Cockpit!$C$5,1)="B",AJ822,MAX(AJ822,H822))))</f>
        <v>0</v>
      </c>
      <c r="AG822" s="57" t="n">
        <f aca="false">IF(BT822=1,0,ROUNDUP(AF822/BS822,0))</f>
        <v>0</v>
      </c>
      <c r="AH822" s="59" t="n">
        <f aca="false">IF(CH822&gt;0,CH822*MAX(1,AF822/X822),IF(BT822=1,IF(AF822&lt;=0,0,BW822*MAX(1,IF(H822&gt;0,AF822/H822,1))),IF(R822&gt;0,AG822/R822,0))/MAX(0.1,N(Parameter!$M$21)))</f>
        <v>0</v>
      </c>
      <c r="AI822" s="57" t="n">
        <f aca="false">AF822*G822</f>
        <v>0</v>
      </c>
      <c r="AJ822" s="57" t="n">
        <f aca="false">ROUNDUP(MAX(J822/IF(BZ822&gt;0,BZ822,MAX(0.1,N(Cockpit!$C$6))),CC822)/BS822,0)*BS822</f>
        <v>54</v>
      </c>
      <c r="AK822" s="58" t="n">
        <f aca="false">IF(AH822&gt;0,J822/AH822,-1)</f>
        <v>-1</v>
      </c>
      <c r="AL822" s="58" t="str">
        <f aca="false">IF(AND(OR(BY822="L1",BY822="L23"),AH822&gt;0),SUMIFS($AH$7:$AH$1843,$BY$7:$BY$1843,BY822,$AK$7:$AK$1843,"&gt;"&amp;AK822)+SUMIFS($AH$7:$AH$1843,$BY$7:$BY$1843,BY822,$AK$7:$AK$1843,AK822,$BQ$7:$BQ$1843,"&lt;="&amp;BQ822),"")</f>
        <v/>
      </c>
      <c r="AM822" s="65" t="n">
        <f aca="false">IF(AL822="",0,MAX(0,MIN(1,(IF(BY822="L1",Parameter!$E$5,Parameter!$E$6+Parameter!$E$7)-(AL822-AH822))/AH822)))</f>
        <v>0</v>
      </c>
      <c r="AN822" s="57" t="n">
        <f aca="false">IF(LEFT(Cockpit!$I$5,1)="A",H822,IF(CA822=1,CB822,IF(LEFT(Cockpit!$I$5,1)="B",AR822,MAX(AR822,H822))))</f>
        <v>54</v>
      </c>
      <c r="AO822" s="57" t="n">
        <f aca="false">IF(BT822=1,0,ROUNDUP(AN822/BS822,0))</f>
        <v>1</v>
      </c>
      <c r="AP822" s="59" t="n">
        <f aca="false">IF(CH822&gt;0,CH822*MAX(1,AN822/X822),IF(BT822=1,IF(AN822&lt;=0,0,BW822*MAX(1,IF(H822&gt;0,AN822/H822,1))),IF(R822&gt;0,AO822/R822,0))/MAX(0.1,N(Parameter!$M$21)))</f>
        <v>0.0151515151515152</v>
      </c>
      <c r="AQ822" s="57" t="n">
        <f aca="false">AN822*G822</f>
        <v>44.28</v>
      </c>
      <c r="AR822" s="57" t="n">
        <f aca="false">ROUNDUP(MAX(J822/IF(BZ822&gt;0,BZ822,MAX(0.1,N(Cockpit!$I$6))),CC822)/BS822,0)*BS822</f>
        <v>54</v>
      </c>
      <c r="AS822" s="58" t="n">
        <f aca="false">IF(AP822&gt;0,J822/AP822,-1)</f>
        <v>0</v>
      </c>
      <c r="AT822" s="58" t="n">
        <f aca="false">IF(AND(OR(BY822="L1",BY822="L23"),AP822&gt;0),SUMIFS($AP$7:$AP$1843,$BY$7:$BY$1843,BY822,$AS$7:$AS$1843,"&gt;"&amp;AS822)+SUMIFS($AP$7:$AP$1843,$BY$7:$BY$1843,BY822,$AS$7:$AS$1843,AS822,$BQ$7:$BQ$1843,"&lt;="&amp;BQ822),"")</f>
        <v>118.51935745414</v>
      </c>
      <c r="AU822" s="65" t="n">
        <f aca="false">IF(AT822="",0,MAX(0,MIN(1,(IF(BY822="L1",Parameter!$E$5,Parameter!$E$6+Parameter!$E$7)-(AT822-AP822))/AP822)))</f>
        <v>0</v>
      </c>
      <c r="AV822" s="57" t="n">
        <f aca="false">IF(LEFT(Cockpit!$O$5,1)="A",H822,IF(CA822=1,CB822,IF(LEFT(Cockpit!$O$5,1)="B",AZ822,MAX(AZ822,H822))))</f>
        <v>54</v>
      </c>
      <c r="AW822" s="57" t="n">
        <f aca="false">IF(BT822=1,0,ROUNDUP(AV822/BS822,0))</f>
        <v>1</v>
      </c>
      <c r="AX822" s="59" t="n">
        <f aca="false">IF(CH822&gt;0,CH822*MAX(1,AV822/X822),IF(BT822=1,IF(AV822&lt;=0,0,BW822*MAX(1,IF(H822&gt;0,AV822/H822,1))),IF(R822&gt;0,AW822/R822,0))/MAX(0.1,N(Parameter!$M$21)))</f>
        <v>0.0151515151515152</v>
      </c>
      <c r="AY822" s="57" t="n">
        <f aca="false">AV822*G822</f>
        <v>44.28</v>
      </c>
      <c r="AZ822" s="57" t="n">
        <f aca="false">ROUNDUP(MAX(J822/IF(BZ822&gt;0,BZ822,MAX(0.1,N(Cockpit!$O$6))),CC822)/BS822,0)*BS822</f>
        <v>54</v>
      </c>
      <c r="BA822" s="58" t="n">
        <f aca="false">IF(AX822&gt;0,J822/AX822,-1)</f>
        <v>0</v>
      </c>
      <c r="BB822" s="58" t="n">
        <f aca="false">IF(AND(OR(BY822="L1",BY822="L23"),AX822&gt;0),SUMIFS($AX$7:$AX$1843,$BY$7:$BY$1843,BY822,$BA$7:$BA$1843,"&gt;"&amp;BA822)+SUMIFS($AX$7:$AX$1843,$BY$7:$BY$1843,BY822,$BA$7:$BA$1843,BA822,$BQ$7:$BQ$1843,"&lt;="&amp;BQ822),"")</f>
        <v>109.349194283977</v>
      </c>
      <c r="BC822" s="65" t="n">
        <f aca="false">IF(BB822="",0,MAX(0,MIN(1,(IF(BY822="L1",Parameter!$E$5,Parameter!$E$6+Parameter!$E$7)-(BB822-AX822))/AX822)))</f>
        <v>0</v>
      </c>
      <c r="BD822" s="55" t="str">
        <f aca="false">IF(AH822&lt;=0,"",IF(BY822="Aussen","Aussenlager",IF(BY822="-","Nicht im Lift",IF(AM822&gt;=1,"Lift",IF(AM822&lt;=0,"Aussenlager","teilweise")))))</f>
        <v/>
      </c>
      <c r="BE822" s="55" t="str">
        <f aca="false">IF(AP822&lt;=0,"",IF(BY822="Aussen","Aussenlager",IF(BY822="-","Nicht im Lift",IF(AU822&gt;=1,"Lift",IF(AU822&lt;=0,"Aussenlager","teilweise")))))</f>
        <v>Aussenlager</v>
      </c>
      <c r="BF822" s="55" t="str">
        <f aca="false">IF(AX822&lt;=0,"",IF(BY822="Aussen","Aussenlager",IF(BY822="-","Nicht im Lift",IF(BC822&gt;=1,"Lift",IF(BC822&lt;=0,"Aussenlager","teilweise")))))</f>
        <v>Aussenlager</v>
      </c>
      <c r="BG822" s="55" t="str">
        <f aca="false">IF(A822="","",IF(BP822=1,"Neu; ","")&amp;IF(AND(BP822=0,BK822&lt;0),"negativer Bestand (Export "&amp;BK822&amp;"); ","")&amp;IF(J822&lt;=0,"Kein Verbrauch; ","")&amp;IF(CH822&gt;0,"Lift "&amp;W822&amp;" lt. Liftbericht (Fach "&amp;X822&amp;" Stk); ",IF(BU822=1,"Gebinde geschätzt ("&amp;T822&amp;"); ",IF(BT822=1,"Lose – Tablare geschätzt; ","")))&amp;IF(H822&gt;AR822,"Überbestand "&amp;ROUND(H822-AR822,0)&amp;" Stk / CHF "&amp;ROUND((H822-AR822)*G822,0)&amp;"; ","")&amp;IF(AND(CA822=1,CB822&lt;CC822),"MAX &lt; MB+LG; ","")&amp;IF(AND(CG822&gt;0,CF822*10&gt;CG822),"zu hoch für Tablar; ","")&amp;IF(AND(BP822=0,OR(CA822=1,AA822&lt;&gt;"",U822&lt;&gt;"",V822&lt;&gt;"",AB822&lt;&gt;"")),"manuell übersteuert; ","")&amp;IF(AND(BT822=0,R822=0),"Gebinde unbekannt / Stellmass fehlt; ","")&amp;IF(AND(BT822=0,N(V822)&lt;=0,N(Q822)&lt;=0),"Menge pro Gebinde fehlt (Ist = 1 Gebinde); ","")&amp;BO822)</f>
        <v>negativer Bestand (Export -12); Kein Verbrauch; Überbestand</v>
      </c>
      <c r="BH822" s="55"/>
      <c r="BI822" s="55"/>
      <c r="BJ822" s="62"/>
      <c r="BK822" s="57" t="n">
        <v>-12</v>
      </c>
      <c r="BL822" s="57" t="n">
        <v>12</v>
      </c>
      <c r="BM822" s="56" t="n">
        <v>-9.84</v>
      </c>
      <c r="BN822" s="57" t="n">
        <v>0</v>
      </c>
      <c r="BO822" s="55" t="s">
        <v>392</v>
      </c>
      <c r="BP822" s="60" t="n">
        <v>0</v>
      </c>
      <c r="BQ822" s="60" t="n">
        <v>822</v>
      </c>
      <c r="BR822" s="55" t="str">
        <f aca="false">IF(U822&lt;&gt;"",UPPER(TRIM(U822)),IF(BU822=1,UPPER(VLOOKUP(T822,Parameter!$I$27:$K$29,2,0)),IF(P822="","LOSE",P822)))</f>
        <v>S33</v>
      </c>
      <c r="BS822" s="57" t="n">
        <f aca="false">IF(BR822="LOSE",1,IF(N(V822)&gt;0,V822,IF(BU822=1,MAX(1,N(VLOOKUP(T822,Parameter!$I$27:$K$29,3,0)),H822,N(N822)),IF(N(Q822)&gt;0,Q822,MAX(1,H822)))))</f>
        <v>54</v>
      </c>
      <c r="BT822" s="60" t="n">
        <f aca="false">IF(BR822="LOSE",1,0)</f>
        <v>0</v>
      </c>
      <c r="BU822" s="60" t="n">
        <f aca="false">IF(AND(U822="",OR(P822="",P822="LOSE"),T822&lt;&gt;"",N(S822)&lt;=0,ISNUMBER(MATCH(T822,Parameter!$I$27:$I$29,0))),1,0)</f>
        <v>0</v>
      </c>
      <c r="BV822" s="55" t="str">
        <f aca="false">IF(AND(Parameter!$B$19="Ja",E822&lt;&gt;"",ISNUMBER(MATCH(E822,Parameter!$I$35:$I$52,0))),VLOOKUP(E822,Parameter!$I$35:$J$52,2,0),IFERROR(VLOOKUP(D822,Parameter!$A$35:$C$64,2,0),"Nein"))</f>
        <v>2+3</v>
      </c>
      <c r="BW822" s="59" t="n">
        <f aca="false">IF(BT822=0,0,IF(N(S822)&gt;0,S822,IFERROR(VLOOKUP(D822,Parameter!$A$35:$C$64,3,0)+0,0)))</f>
        <v>0</v>
      </c>
      <c r="BX822" s="55" t="n">
        <f aca="false">IF(AA822&lt;&gt;"",AA822,Z822)</f>
        <v>3</v>
      </c>
      <c r="BY822" s="55" t="str">
        <f aca="false">IF(BX822=1,"L1",IF(OR(BX822=2,BX822=3),"L23",IF(BX822="Aussen","Aussen","-")))</f>
        <v>L23</v>
      </c>
      <c r="BZ822" s="66" t="n">
        <f aca="false">IF(N(AB822)&gt;0,AB822,0)</f>
        <v>0</v>
      </c>
      <c r="CA822" s="60" t="n">
        <f aca="false">IF(ISNUMBER(AE822),1,0)</f>
        <v>0</v>
      </c>
      <c r="CB822" s="57" t="n">
        <f aca="false">N(AE822)</f>
        <v>0</v>
      </c>
      <c r="CC822" s="57" t="n">
        <f aca="false">N(M822)+N(N822)</f>
        <v>1</v>
      </c>
      <c r="CD822" s="57" t="n">
        <f aca="false">ROUNDUP(H822/BS822,0)</f>
        <v>0</v>
      </c>
      <c r="CE822" s="57" t="n">
        <f aca="false">ROUNDUP(CB822/BS822,0)</f>
        <v>0</v>
      </c>
      <c r="CF822" s="60" t="n">
        <f aca="false">IF(BT822=1,0,IFERROR(VLOOKUP(BR822,'Gebinde-Kategorie'!$A$5:$M$45,5,0)+0,0))</f>
        <v>8</v>
      </c>
      <c r="CG822" s="60" t="n">
        <f aca="false">IFERROR(IF(OR(BX822=1,BX822=2,BX822=3),N(INDEX(Parameter!$I$5:$I$7,BX822)),0),0)</f>
        <v>0</v>
      </c>
      <c r="CH822" s="59" t="n">
        <f aca="false">IF(AND(Parameter!$B$21="Ja",ISNUMBER(W822),N(X822)&gt;0),IFERROR(N(INDEX(Parameter!$L$5:$L$7,W822))*INDEX(Parameter!$E$5:$E$7,W822)*X822/SUMIFS($X$7:$X$1843,$W$7:$W$1843,W822),0),0)</f>
        <v>0</v>
      </c>
    </row>
    <row r="823" customFormat="false" ht="15" hidden="false" customHeight="false" outlineLevel="0" collapsed="false">
      <c r="A823" s="55" t="s">
        <v>1587</v>
      </c>
      <c r="B823" s="55" t="s">
        <v>598</v>
      </c>
      <c r="C823" s="55" t="s">
        <v>164</v>
      </c>
      <c r="D823" s="55" t="s">
        <v>184</v>
      </c>
      <c r="E823" s="55" t="s">
        <v>185</v>
      </c>
      <c r="F823" s="55" t="s">
        <v>218</v>
      </c>
      <c r="G823" s="56" t="n">
        <v>10.17</v>
      </c>
      <c r="H823" s="57" t="n">
        <f aca="false">MAX(0,IF(AND(Parameter!$B$21="Ja",ISNUMBER(Y823)),Y823,IF(Parameter!$B$20="Jahresanfang 2025 + Export",BL823+BK823,BK823)))</f>
        <v>36</v>
      </c>
      <c r="I823" s="57" t="n">
        <f aca="false">H823*G823</f>
        <v>366.12</v>
      </c>
      <c r="J823" s="57" t="n">
        <f aca="false">BN823*Parameter!$B$18</f>
        <v>0</v>
      </c>
      <c r="K823" s="58" t="n">
        <v>36.5</v>
      </c>
      <c r="L823" s="59" t="n">
        <v>0</v>
      </c>
      <c r="M823" s="57" t="n">
        <v>0</v>
      </c>
      <c r="N823" s="57" t="n">
        <v>1</v>
      </c>
      <c r="O823" s="60" t="n">
        <v>21</v>
      </c>
      <c r="P823" s="55" t="s">
        <v>476</v>
      </c>
      <c r="Q823" s="57" t="n">
        <v>75</v>
      </c>
      <c r="R823" s="60" t="n">
        <f aca="false">IF(BT823=1,0,IFERROR(VLOOKUP(BR823,'Gebinde-Kategorie'!$A$5:$M$45,13,0)+0,0))</f>
        <v>66</v>
      </c>
      <c r="S823" s="61"/>
      <c r="T823" s="62"/>
      <c r="U823" s="62"/>
      <c r="V823" s="62"/>
      <c r="W823" s="55"/>
      <c r="X823" s="57"/>
      <c r="Y823" s="57"/>
      <c r="Z823" s="55" t="n">
        <f aca="false">IF(A823="","",IF(AND(Parameter!$B$21="Ja",ISNUMBER(W823)),W823,IF(BV823="2+3",IF(ISNUMBER(SEARCH("grosser Artikel",BO823)),2,IFERROR(VLOOKUP(BR823,Parameter!$F$35:$G$64,2,0),2)),IF(OR(BV823="Nein",BV823=""),"-",BV823))))</f>
        <v>3</v>
      </c>
      <c r="AA823" s="62"/>
      <c r="AB823" s="63"/>
      <c r="AC823" s="57" t="n">
        <f aca="false">AR823</f>
        <v>75</v>
      </c>
      <c r="AD823" s="57" t="n">
        <f aca="false">MAX(AR823,H823)</f>
        <v>75</v>
      </c>
      <c r="AE823" s="64"/>
      <c r="AF823" s="57" t="n">
        <f aca="false">IF(LEFT(Cockpit!$C$5,1)="A",H823,IF(CA823=1,CB823,IF(LEFT(Cockpit!$C$5,1)="B",AJ823,MAX(AJ823,H823))))</f>
        <v>36</v>
      </c>
      <c r="AG823" s="57" t="n">
        <f aca="false">IF(BT823=1,0,ROUNDUP(AF823/BS823,0))</f>
        <v>1</v>
      </c>
      <c r="AH823" s="59" t="n">
        <f aca="false">IF(CH823&gt;0,CH823*MAX(1,AF823/X823),IF(BT823=1,IF(AF823&lt;=0,0,BW823*MAX(1,IF(H823&gt;0,AF823/H823,1))),IF(R823&gt;0,AG823/R823,0))/MAX(0.1,N(Parameter!$M$21)))</f>
        <v>0.0151515151515152</v>
      </c>
      <c r="AI823" s="57" t="n">
        <f aca="false">AF823*G823</f>
        <v>366.12</v>
      </c>
      <c r="AJ823" s="57" t="n">
        <f aca="false">ROUNDUP(MAX(J823/IF(BZ823&gt;0,BZ823,MAX(0.1,N(Cockpit!$C$6))),CC823)/BS823,0)*BS823</f>
        <v>75</v>
      </c>
      <c r="AK823" s="58" t="n">
        <f aca="false">IF(AH823&gt;0,J823/AH823,-1)</f>
        <v>0</v>
      </c>
      <c r="AL823" s="58" t="n">
        <f aca="false">IF(AND(OR(BY823="L1",BY823="L23"),AH823&gt;0),SUMIFS($AH$7:$AH$1843,$BY$7:$BY$1843,BY823,$AK$7:$AK$1843,"&gt;"&amp;AK823)+SUMIFS($AH$7:$AH$1843,$BY$7:$BY$1843,BY823,$AK$7:$AK$1843,AK823,$BQ$7:$BQ$1843,"&lt;="&amp;BQ823),"")</f>
        <v>77.6480946589642</v>
      </c>
      <c r="AM823" s="65" t="n">
        <f aca="false">IF(AL823="",0,MAX(0,MIN(1,(IF(BY823="L1",Parameter!$E$5,Parameter!$E$6+Parameter!$E$7)-(AL823-AH823))/AH823)))</f>
        <v>1</v>
      </c>
      <c r="AN823" s="57" t="n">
        <f aca="false">IF(LEFT(Cockpit!$I$5,1)="A",H823,IF(CA823=1,CB823,IF(LEFT(Cockpit!$I$5,1)="B",AR823,MAX(AR823,H823))))</f>
        <v>75</v>
      </c>
      <c r="AO823" s="57" t="n">
        <f aca="false">IF(BT823=1,0,ROUNDUP(AN823/BS823,0))</f>
        <v>1</v>
      </c>
      <c r="AP823" s="59" t="n">
        <f aca="false">IF(CH823&gt;0,CH823*MAX(1,AN823/X823),IF(BT823=1,IF(AN823&lt;=0,0,BW823*MAX(1,IF(H823&gt;0,AN823/H823,1))),IF(R823&gt;0,AO823/R823,0))/MAX(0.1,N(Parameter!$M$21)))</f>
        <v>0.0151515151515152</v>
      </c>
      <c r="AQ823" s="57" t="n">
        <f aca="false">AN823*G823</f>
        <v>762.75</v>
      </c>
      <c r="AR823" s="57" t="n">
        <f aca="false">ROUNDUP(MAX(J823/IF(BZ823&gt;0,BZ823,MAX(0.1,N(Cockpit!$I$6))),CC823)/BS823,0)*BS823</f>
        <v>75</v>
      </c>
      <c r="AS823" s="58" t="n">
        <f aca="false">IF(AP823&gt;0,J823/AP823,-1)</f>
        <v>0</v>
      </c>
      <c r="AT823" s="58" t="n">
        <f aca="false">IF(AND(OR(BY823="L1",BY823="L23"),AP823&gt;0),SUMIFS($AP$7:$AP$1843,$BY$7:$BY$1843,BY823,$AS$7:$AS$1843,"&gt;"&amp;AS823)+SUMIFS($AP$7:$AP$1843,$BY$7:$BY$1843,BY823,$AS$7:$AS$1843,AS823,$BQ$7:$BQ$1843,"&lt;="&amp;BQ823),"")</f>
        <v>118.534508969292</v>
      </c>
      <c r="AU823" s="65" t="n">
        <f aca="false">IF(AT823="",0,MAX(0,MIN(1,(IF(BY823="L1",Parameter!$E$5,Parameter!$E$6+Parameter!$E$7)-(AT823-AP823))/AP823)))</f>
        <v>0</v>
      </c>
      <c r="AV823" s="57" t="n">
        <f aca="false">IF(LEFT(Cockpit!$O$5,1)="A",H823,IF(CA823=1,CB823,IF(LEFT(Cockpit!$O$5,1)="B",AZ823,MAX(AZ823,H823))))</f>
        <v>75</v>
      </c>
      <c r="AW823" s="57" t="n">
        <f aca="false">IF(BT823=1,0,ROUNDUP(AV823/BS823,0))</f>
        <v>1</v>
      </c>
      <c r="AX823" s="59" t="n">
        <f aca="false">IF(CH823&gt;0,CH823*MAX(1,AV823/X823),IF(BT823=1,IF(AV823&lt;=0,0,BW823*MAX(1,IF(H823&gt;0,AV823/H823,1))),IF(R823&gt;0,AW823/R823,0))/MAX(0.1,N(Parameter!$M$21)))</f>
        <v>0.0151515151515152</v>
      </c>
      <c r="AY823" s="57" t="n">
        <f aca="false">AV823*G823</f>
        <v>762.75</v>
      </c>
      <c r="AZ823" s="57" t="n">
        <f aca="false">ROUNDUP(MAX(J823/IF(BZ823&gt;0,BZ823,MAX(0.1,N(Cockpit!$O$6))),CC823)/BS823,0)*BS823</f>
        <v>75</v>
      </c>
      <c r="BA823" s="58" t="n">
        <f aca="false">IF(AX823&gt;0,J823/AX823,-1)</f>
        <v>0</v>
      </c>
      <c r="BB823" s="58" t="n">
        <f aca="false">IF(AND(OR(BY823="L1",BY823="L23"),AX823&gt;0),SUMIFS($AX$7:$AX$1843,$BY$7:$BY$1843,BY823,$BA$7:$BA$1843,"&gt;"&amp;BA823)+SUMIFS($AX$7:$AX$1843,$BY$7:$BY$1843,BY823,$BA$7:$BA$1843,BA823,$BQ$7:$BQ$1843,"&lt;="&amp;BQ823),"")</f>
        <v>109.364345799128</v>
      </c>
      <c r="BC823" s="65" t="n">
        <f aca="false">IF(BB823="",0,MAX(0,MIN(1,(IF(BY823="L1",Parameter!$E$5,Parameter!$E$6+Parameter!$E$7)-(BB823-AX823))/AX823)))</f>
        <v>0</v>
      </c>
      <c r="BD823" s="55" t="str">
        <f aca="false">IF(AH823&lt;=0,"",IF(BY823="Aussen","Aussenlager",IF(BY823="-","Nicht im Lift",IF(AM823&gt;=1,"Lift",IF(AM823&lt;=0,"Aussenlager","teilweise")))))</f>
        <v>Lift</v>
      </c>
      <c r="BE823" s="55" t="str">
        <f aca="false">IF(AP823&lt;=0,"",IF(BY823="Aussen","Aussenlager",IF(BY823="-","Nicht im Lift",IF(AU823&gt;=1,"Lift",IF(AU823&lt;=0,"Aussenlager","teilweise")))))</f>
        <v>Aussenlager</v>
      </c>
      <c r="BF823" s="55" t="str">
        <f aca="false">IF(AX823&lt;=0,"",IF(BY823="Aussen","Aussenlager",IF(BY823="-","Nicht im Lift",IF(BC823&gt;=1,"Lift",IF(BC823&lt;=0,"Aussenlager","teilweise")))))</f>
        <v>Aussenlager</v>
      </c>
      <c r="BG823" s="55" t="str">
        <f aca="false">IF(A823="","",IF(BP823=1,"Neu; ","")&amp;IF(AND(BP823=0,BK823&lt;0),"negativer Bestand (Export "&amp;BK823&amp;"); ","")&amp;IF(J823&lt;=0,"Kein Verbrauch; ","")&amp;IF(CH823&gt;0,"Lift "&amp;W823&amp;" lt. Liftbericht (Fach "&amp;X823&amp;" Stk); ",IF(BU823=1,"Gebinde geschätzt ("&amp;T823&amp;"); ",IF(BT823=1,"Lose – Tablare geschätzt; ","")))&amp;IF(H823&gt;AR823,"Überbestand "&amp;ROUND(H823-AR823,0)&amp;" Stk / CHF "&amp;ROUND((H823-AR823)*G823,0)&amp;"; ","")&amp;IF(AND(CA823=1,CB823&lt;CC823),"MAX &lt; MB+LG; ","")&amp;IF(AND(CG823&gt;0,CF823*10&gt;CG823),"zu hoch für Tablar; ","")&amp;IF(AND(BP823=0,OR(CA823=1,AA823&lt;&gt;"",U823&lt;&gt;"",V823&lt;&gt;"",AB823&lt;&gt;"")),"manuell übersteuert; ","")&amp;IF(AND(BT823=0,R823=0),"Gebinde unbekannt / Stellmass fehlt; ","")&amp;IF(AND(BT823=0,N(V823)&lt;=0,N(Q823)&lt;=0),"Menge pro Gebinde fehlt (Ist = 1 Gebinde); ","")&amp;BO823)</f>
        <v>negativer Bestand (Export -1); Kein Verbrauch; </v>
      </c>
      <c r="BH823" s="55"/>
      <c r="BI823" s="55"/>
      <c r="BJ823" s="62"/>
      <c r="BK823" s="57" t="n">
        <v>-1</v>
      </c>
      <c r="BL823" s="57" t="n">
        <v>37</v>
      </c>
      <c r="BM823" s="56" t="n">
        <v>-10.17</v>
      </c>
      <c r="BN823" s="57" t="n">
        <v>0</v>
      </c>
      <c r="BO823" s="55"/>
      <c r="BP823" s="60" t="n">
        <v>0</v>
      </c>
      <c r="BQ823" s="60" t="n">
        <v>823</v>
      </c>
      <c r="BR823" s="55" t="str">
        <f aca="false">IF(U823&lt;&gt;"",UPPER(TRIM(U823)),IF(BU823=1,UPPER(VLOOKUP(T823,Parameter!$I$27:$K$29,2,0)),IF(P823="","LOSE",P823)))</f>
        <v>S33</v>
      </c>
      <c r="BS823" s="57" t="n">
        <f aca="false">IF(BR823="LOSE",1,IF(N(V823)&gt;0,V823,IF(BU823=1,MAX(1,N(VLOOKUP(T823,Parameter!$I$27:$K$29,3,0)),H823,N(N823)),IF(N(Q823)&gt;0,Q823,MAX(1,H823)))))</f>
        <v>75</v>
      </c>
      <c r="BT823" s="60" t="n">
        <f aca="false">IF(BR823="LOSE",1,0)</f>
        <v>0</v>
      </c>
      <c r="BU823" s="60" t="n">
        <f aca="false">IF(AND(U823="",OR(P823="",P823="LOSE"),T823&lt;&gt;"",N(S823)&lt;=0,ISNUMBER(MATCH(T823,Parameter!$I$27:$I$29,0))),1,0)</f>
        <v>0</v>
      </c>
      <c r="BV823" s="55" t="str">
        <f aca="false">IF(AND(Parameter!$B$19="Ja",E823&lt;&gt;"",ISNUMBER(MATCH(E823,Parameter!$I$35:$I$52,0))),VLOOKUP(E823,Parameter!$I$35:$J$52,2,0),IFERROR(VLOOKUP(D823,Parameter!$A$35:$C$64,2,0),"Nein"))</f>
        <v>2+3</v>
      </c>
      <c r="BW823" s="59" t="n">
        <f aca="false">IF(BT823=0,0,IF(N(S823)&gt;0,S823,IFERROR(VLOOKUP(D823,Parameter!$A$35:$C$64,3,0)+0,0)))</f>
        <v>0</v>
      </c>
      <c r="BX823" s="55" t="n">
        <f aca="false">IF(AA823&lt;&gt;"",AA823,Z823)</f>
        <v>3</v>
      </c>
      <c r="BY823" s="55" t="str">
        <f aca="false">IF(BX823=1,"L1",IF(OR(BX823=2,BX823=3),"L23",IF(BX823="Aussen","Aussen","-")))</f>
        <v>L23</v>
      </c>
      <c r="BZ823" s="66" t="n">
        <f aca="false">IF(N(AB823)&gt;0,AB823,0)</f>
        <v>0</v>
      </c>
      <c r="CA823" s="60" t="n">
        <f aca="false">IF(ISNUMBER(AE823),1,0)</f>
        <v>0</v>
      </c>
      <c r="CB823" s="57" t="n">
        <f aca="false">N(AE823)</f>
        <v>0</v>
      </c>
      <c r="CC823" s="57" t="n">
        <f aca="false">N(M823)+N(N823)</f>
        <v>1</v>
      </c>
      <c r="CD823" s="57" t="n">
        <f aca="false">ROUNDUP(H823/BS823,0)</f>
        <v>1</v>
      </c>
      <c r="CE823" s="57" t="n">
        <f aca="false">ROUNDUP(CB823/BS823,0)</f>
        <v>0</v>
      </c>
      <c r="CF823" s="60" t="n">
        <f aca="false">IF(BT823=1,0,IFERROR(VLOOKUP(BR823,'Gebinde-Kategorie'!$A$5:$M$45,5,0)+0,0))</f>
        <v>8</v>
      </c>
      <c r="CG823" s="60" t="n">
        <f aca="false">IFERROR(IF(OR(BX823=1,BX823=2,BX823=3),N(INDEX(Parameter!$I$5:$I$7,BX823)),0),0)</f>
        <v>0</v>
      </c>
      <c r="CH823" s="59" t="n">
        <f aca="false">IF(AND(Parameter!$B$21="Ja",ISNUMBER(W823),N(X823)&gt;0),IFERROR(N(INDEX(Parameter!$L$5:$L$7,W823))*INDEX(Parameter!$E$5:$E$7,W823)*X823/SUMIFS($X$7:$X$1843,$W$7:$W$1843,W823),0),0)</f>
        <v>0</v>
      </c>
    </row>
    <row r="824" customFormat="false" ht="15" hidden="false" customHeight="false" outlineLevel="0" collapsed="false">
      <c r="A824" s="55" t="s">
        <v>1588</v>
      </c>
      <c r="B824" s="55" t="s">
        <v>403</v>
      </c>
      <c r="C824" s="55" t="s">
        <v>164</v>
      </c>
      <c r="D824" s="55" t="s">
        <v>184</v>
      </c>
      <c r="E824" s="55" t="s">
        <v>185</v>
      </c>
      <c r="F824" s="55" t="s">
        <v>218</v>
      </c>
      <c r="G824" s="56" t="n">
        <v>0.37</v>
      </c>
      <c r="H824" s="57" t="n">
        <f aca="false">MAX(0,IF(AND(Parameter!$B$21="Ja",ISNUMBER(Y824)),Y824,IF(Parameter!$B$20="Jahresanfang 2025 + Export",BL824+BK824,BK824)))</f>
        <v>397</v>
      </c>
      <c r="I824" s="57" t="n">
        <f aca="false">H824*G824</f>
        <v>146.89</v>
      </c>
      <c r="J824" s="57" t="n">
        <f aca="false">BN824*Parameter!$B$18</f>
        <v>23</v>
      </c>
      <c r="K824" s="58" t="n">
        <v>423.5</v>
      </c>
      <c r="L824" s="59" t="n">
        <v>0.0543093270365998</v>
      </c>
      <c r="M824" s="57" t="n">
        <v>1</v>
      </c>
      <c r="N824" s="57" t="n">
        <v>25</v>
      </c>
      <c r="O824" s="60" t="n">
        <v>21</v>
      </c>
      <c r="P824" s="55" t="s">
        <v>226</v>
      </c>
      <c r="Q824" s="57" t="n">
        <v>439</v>
      </c>
      <c r="R824" s="60" t="n">
        <f aca="false">IF(BT824=1,0,IFERROR(VLOOKUP(BR824,'Gebinde-Kategorie'!$A$5:$M$45,13,0)+0,0))</f>
        <v>12</v>
      </c>
      <c r="S824" s="61"/>
      <c r="T824" s="62"/>
      <c r="U824" s="62"/>
      <c r="V824" s="62"/>
      <c r="W824" s="55"/>
      <c r="X824" s="57"/>
      <c r="Y824" s="57"/>
      <c r="Z824" s="55" t="n">
        <f aca="false">IF(A824="","",IF(AND(Parameter!$B$21="Ja",ISNUMBER(W824)),W824,IF(BV824="2+3",IF(ISNUMBER(SEARCH("grosser Artikel",BO824)),2,IFERROR(VLOOKUP(BR824,Parameter!$F$35:$G$64,2,0),2)),IF(OR(BV824="Nein",BV824=""),"-",BV824))))</f>
        <v>2</v>
      </c>
      <c r="AA824" s="62"/>
      <c r="AB824" s="63"/>
      <c r="AC824" s="57" t="n">
        <f aca="false">AR824</f>
        <v>439</v>
      </c>
      <c r="AD824" s="57" t="n">
        <f aca="false">MAX(AR824,H824)</f>
        <v>439</v>
      </c>
      <c r="AE824" s="64"/>
      <c r="AF824" s="57" t="n">
        <f aca="false">IF(LEFT(Cockpit!$C$5,1)="A",H824,IF(CA824=1,CB824,IF(LEFT(Cockpit!$C$5,1)="B",AJ824,MAX(AJ824,H824))))</f>
        <v>397</v>
      </c>
      <c r="AG824" s="57" t="n">
        <f aca="false">IF(BT824=1,0,ROUNDUP(AF824/BS824,0))</f>
        <v>1</v>
      </c>
      <c r="AH824" s="59" t="n">
        <f aca="false">IF(CH824&gt;0,CH824*MAX(1,AF824/X824),IF(BT824=1,IF(AF824&lt;=0,0,BW824*MAX(1,IF(H824&gt;0,AF824/H824,1))),IF(R824&gt;0,AG824/R824,0))/MAX(0.1,N(Parameter!$M$21)))</f>
        <v>0.0833333333333333</v>
      </c>
      <c r="AI824" s="57" t="n">
        <f aca="false">AF824*G824</f>
        <v>146.89</v>
      </c>
      <c r="AJ824" s="57" t="n">
        <f aca="false">ROUNDUP(MAX(J824/IF(BZ824&gt;0,BZ824,MAX(0.1,N(Cockpit!$C$6))),CC824)/BS824,0)*BS824</f>
        <v>439</v>
      </c>
      <c r="AK824" s="58" t="n">
        <f aca="false">IF(AH824&gt;0,J824/AH824,-1)</f>
        <v>276</v>
      </c>
      <c r="AL824" s="58" t="n">
        <f aca="false">IF(AND(OR(BY824="L1",BY824="L23"),AH824&gt;0),SUMIFS($AH$7:$AH$1843,$BY$7:$BY$1843,BY824,$AK$7:$AK$1843,"&gt;"&amp;AK824)+SUMIFS($AH$7:$AH$1843,$BY$7:$BY$1843,BY824,$AK$7:$AK$1843,AK824,$BQ$7:$BQ$1843,"&lt;="&amp;BQ824),"")</f>
        <v>28.8310952332692</v>
      </c>
      <c r="AM824" s="65" t="n">
        <f aca="false">IF(AL824="",0,MAX(0,MIN(1,(IF(BY824="L1",Parameter!$E$5,Parameter!$E$6+Parameter!$E$7)-(AL824-AH824))/AH824)))</f>
        <v>1</v>
      </c>
      <c r="AN824" s="57" t="n">
        <f aca="false">IF(LEFT(Cockpit!$I$5,1)="A",H824,IF(CA824=1,CB824,IF(LEFT(Cockpit!$I$5,1)="B",AR824,MAX(AR824,H824))))</f>
        <v>439</v>
      </c>
      <c r="AO824" s="57" t="n">
        <f aca="false">IF(BT824=1,0,ROUNDUP(AN824/BS824,0))</f>
        <v>1</v>
      </c>
      <c r="AP824" s="59" t="n">
        <f aca="false">IF(CH824&gt;0,CH824*MAX(1,AN824/X824),IF(BT824=1,IF(AN824&lt;=0,0,BW824*MAX(1,IF(H824&gt;0,AN824/H824,1))),IF(R824&gt;0,AO824/R824,0))/MAX(0.1,N(Parameter!$M$21)))</f>
        <v>0.0833333333333333</v>
      </c>
      <c r="AQ824" s="57" t="n">
        <f aca="false">AN824*G824</f>
        <v>162.43</v>
      </c>
      <c r="AR824" s="57" t="n">
        <f aca="false">ROUNDUP(MAX(J824/IF(BZ824&gt;0,BZ824,MAX(0.1,N(Cockpit!$I$6))),CC824)/BS824,0)*BS824</f>
        <v>439</v>
      </c>
      <c r="AS824" s="58" t="n">
        <f aca="false">IF(AP824&gt;0,J824/AP824,-1)</f>
        <v>276</v>
      </c>
      <c r="AT824" s="58" t="n">
        <f aca="false">IF(AND(OR(BY824="L1",BY824="L23"),AP824&gt;0),SUMIFS($AP$7:$AP$1843,$BY$7:$BY$1843,BY824,$AS$7:$AS$1843,"&gt;"&amp;AS824)+SUMIFS($AP$7:$AP$1843,$BY$7:$BY$1843,BY824,$AS$7:$AS$1843,AS824,$BQ$7:$BQ$1843,"&lt;="&amp;BQ824),"")</f>
        <v>41.9073173203608</v>
      </c>
      <c r="AU824" s="65" t="n">
        <f aca="false">IF(AT824="",0,MAX(0,MIN(1,(IF(BY824="L1",Parameter!$E$5,Parameter!$E$6+Parameter!$E$7)-(AT824-AP824))/AP824)))</f>
        <v>1</v>
      </c>
      <c r="AV824" s="57" t="n">
        <f aca="false">IF(LEFT(Cockpit!$O$5,1)="A",H824,IF(CA824=1,CB824,IF(LEFT(Cockpit!$O$5,1)="B",AZ824,MAX(AZ824,H824))))</f>
        <v>439</v>
      </c>
      <c r="AW824" s="57" t="n">
        <f aca="false">IF(BT824=1,0,ROUNDUP(AV824/BS824,0))</f>
        <v>1</v>
      </c>
      <c r="AX824" s="59" t="n">
        <f aca="false">IF(CH824&gt;0,CH824*MAX(1,AV824/X824),IF(BT824=1,IF(AV824&lt;=0,0,BW824*MAX(1,IF(H824&gt;0,AV824/H824,1))),IF(R824&gt;0,AW824/R824,0))/MAX(0.1,N(Parameter!$M$21)))</f>
        <v>0.0833333333333333</v>
      </c>
      <c r="AY824" s="57" t="n">
        <f aca="false">AV824*G824</f>
        <v>162.43</v>
      </c>
      <c r="AZ824" s="57" t="n">
        <f aca="false">ROUNDUP(MAX(J824/IF(BZ824&gt;0,BZ824,MAX(0.1,N(Cockpit!$O$6))),CC824)/BS824,0)*BS824</f>
        <v>439</v>
      </c>
      <c r="BA824" s="58" t="n">
        <f aca="false">IF(AX824&gt;0,J824/AX824,-1)</f>
        <v>276</v>
      </c>
      <c r="BB824" s="58" t="n">
        <f aca="false">IF(AND(OR(BY824="L1",BY824="L23"),AX824&gt;0),SUMIFS($AX$7:$AX$1843,$BY$7:$BY$1843,BY824,$BA$7:$BA$1843,"&gt;"&amp;BA824)+SUMIFS($AX$7:$AX$1843,$BY$7:$BY$1843,BY824,$BA$7:$BA$1843,BA824,$BQ$7:$BQ$1843,"&lt;="&amp;BQ824),"")</f>
        <v>38.2371541501976</v>
      </c>
      <c r="BC824" s="65" t="n">
        <f aca="false">IF(BB824="",0,MAX(0,MIN(1,(IF(BY824="L1",Parameter!$E$5,Parameter!$E$6+Parameter!$E$7)-(BB824-AX824))/AX824)))</f>
        <v>1</v>
      </c>
      <c r="BD824" s="55" t="str">
        <f aca="false">IF(AH824&lt;=0,"",IF(BY824="Aussen","Aussenlager",IF(BY824="-","Nicht im Lift",IF(AM824&gt;=1,"Lift",IF(AM824&lt;=0,"Aussenlager","teilweise")))))</f>
        <v>Lift</v>
      </c>
      <c r="BE824" s="55" t="str">
        <f aca="false">IF(AP824&lt;=0,"",IF(BY824="Aussen","Aussenlager",IF(BY824="-","Nicht im Lift",IF(AU824&gt;=1,"Lift",IF(AU824&lt;=0,"Aussenlager","teilweise")))))</f>
        <v>Lift</v>
      </c>
      <c r="BF824" s="55" t="str">
        <f aca="false">IF(AX824&lt;=0,"",IF(BY824="Aussen","Aussenlager",IF(BY824="-","Nicht im Lift",IF(BC824&gt;=1,"Lift",IF(BC824&lt;=0,"Aussenlager","teilweise")))))</f>
        <v>Lift</v>
      </c>
      <c r="BG824" s="55" t="str">
        <f aca="false">IF(A824="","",IF(BP824=1,"Neu; ","")&amp;IF(AND(BP824=0,BK824&lt;0),"negativer Bestand (Export "&amp;BK824&amp;"); ","")&amp;IF(J824&lt;=0,"Kein Verbrauch; ","")&amp;IF(CH824&gt;0,"Lift "&amp;W824&amp;" lt. Liftbericht (Fach "&amp;X824&amp;" Stk); ",IF(BU824=1,"Gebinde geschätzt ("&amp;T824&amp;"); ",IF(BT824=1,"Lose – Tablare geschätzt; ","")))&amp;IF(H824&gt;AR824,"Überbestand "&amp;ROUND(H824-AR824,0)&amp;" Stk / CHF "&amp;ROUND((H824-AR824)*G824,0)&amp;"; ","")&amp;IF(AND(CA824=1,CB824&lt;CC824),"MAX &lt; MB+LG; ","")&amp;IF(AND(CG824&gt;0,CF824*10&gt;CG824),"zu hoch für Tablar; ","")&amp;IF(AND(BP824=0,OR(CA824=1,AA824&lt;&gt;"",U824&lt;&gt;"",V824&lt;&gt;"",AB824&lt;&gt;"")),"manuell übersteuert; ","")&amp;IF(AND(BT824=0,R824=0),"Gebinde unbekannt / Stellmass fehlt; ","")&amp;IF(AND(BT824=0,N(V824)&lt;=0,N(Q824)&lt;=0),"Menge pro Gebinde fehlt (Ist = 1 Gebinde); ","")&amp;BO824)</f>
        <v>negativer Bestand (Export -28); Überbestand</v>
      </c>
      <c r="BH824" s="55"/>
      <c r="BI824" s="55"/>
      <c r="BJ824" s="62"/>
      <c r="BK824" s="57" t="n">
        <v>-28</v>
      </c>
      <c r="BL824" s="57" t="n">
        <v>425</v>
      </c>
      <c r="BM824" s="56" t="n">
        <v>-10.36</v>
      </c>
      <c r="BN824" s="57" t="n">
        <v>23</v>
      </c>
      <c r="BO824" s="55" t="s">
        <v>392</v>
      </c>
      <c r="BP824" s="60" t="n">
        <v>0</v>
      </c>
      <c r="BQ824" s="60" t="n">
        <v>824</v>
      </c>
      <c r="BR824" s="55" t="str">
        <f aca="false">IF(U824&lt;&gt;"",UPPER(TRIM(U824)),IF(BU824=1,UPPER(VLOOKUP(T824,Parameter!$I$27:$K$29,2,0)),IF(P824="","LOSE",P824)))</f>
        <v>S63</v>
      </c>
      <c r="BS824" s="57" t="n">
        <f aca="false">IF(BR824="LOSE",1,IF(N(V824)&gt;0,V824,IF(BU824=1,MAX(1,N(VLOOKUP(T824,Parameter!$I$27:$K$29,3,0)),H824,N(N824)),IF(N(Q824)&gt;0,Q824,MAX(1,H824)))))</f>
        <v>439</v>
      </c>
      <c r="BT824" s="60" t="n">
        <f aca="false">IF(BR824="LOSE",1,0)</f>
        <v>0</v>
      </c>
      <c r="BU824" s="60" t="n">
        <f aca="false">IF(AND(U824="",OR(P824="",P824="LOSE"),T824&lt;&gt;"",N(S824)&lt;=0,ISNUMBER(MATCH(T824,Parameter!$I$27:$I$29,0))),1,0)</f>
        <v>0</v>
      </c>
      <c r="BV824" s="55" t="str">
        <f aca="false">IF(AND(Parameter!$B$19="Ja",E824&lt;&gt;"",ISNUMBER(MATCH(E824,Parameter!$I$35:$I$52,0))),VLOOKUP(E824,Parameter!$I$35:$J$52,2,0),IFERROR(VLOOKUP(D824,Parameter!$A$35:$C$64,2,0),"Nein"))</f>
        <v>2+3</v>
      </c>
      <c r="BW824" s="59" t="n">
        <f aca="false">IF(BT824=0,0,IF(N(S824)&gt;0,S824,IFERROR(VLOOKUP(D824,Parameter!$A$35:$C$64,3,0)+0,0)))</f>
        <v>0</v>
      </c>
      <c r="BX824" s="55" t="n">
        <f aca="false">IF(AA824&lt;&gt;"",AA824,Z824)</f>
        <v>2</v>
      </c>
      <c r="BY824" s="55" t="str">
        <f aca="false">IF(BX824=1,"L1",IF(OR(BX824=2,BX824=3),"L23",IF(BX824="Aussen","Aussen","-")))</f>
        <v>L23</v>
      </c>
      <c r="BZ824" s="66" t="n">
        <f aca="false">IF(N(AB824)&gt;0,AB824,0)</f>
        <v>0</v>
      </c>
      <c r="CA824" s="60" t="n">
        <f aca="false">IF(ISNUMBER(AE824),1,0)</f>
        <v>0</v>
      </c>
      <c r="CB824" s="57" t="n">
        <f aca="false">N(AE824)</f>
        <v>0</v>
      </c>
      <c r="CC824" s="57" t="n">
        <f aca="false">N(M824)+N(N824)</f>
        <v>26</v>
      </c>
      <c r="CD824" s="57" t="n">
        <f aca="false">ROUNDUP(H824/BS824,0)</f>
        <v>1</v>
      </c>
      <c r="CE824" s="57" t="n">
        <f aca="false">ROUNDUP(CB824/BS824,0)</f>
        <v>0</v>
      </c>
      <c r="CF824" s="60" t="n">
        <f aca="false">IF(BT824=1,0,IFERROR(VLOOKUP(BR824,'Gebinde-Kategorie'!$A$5:$M$45,5,0)+0,0))</f>
        <v>31</v>
      </c>
      <c r="CG824" s="60" t="n">
        <f aca="false">IFERROR(IF(OR(BX824=1,BX824=2,BX824=3),N(INDEX(Parameter!$I$5:$I$7,BX824)),0),0)</f>
        <v>0</v>
      </c>
      <c r="CH824" s="59" t="n">
        <f aca="false">IF(AND(Parameter!$B$21="Ja",ISNUMBER(W824),N(X824)&gt;0),IFERROR(N(INDEX(Parameter!$L$5:$L$7,W824))*INDEX(Parameter!$E$5:$E$7,W824)*X824/SUMIFS($X$7:$X$1843,$W$7:$W$1843,W824),0),0)</f>
        <v>0</v>
      </c>
    </row>
    <row r="825" customFormat="false" ht="15" hidden="false" customHeight="false" outlineLevel="0" collapsed="false">
      <c r="A825" s="55" t="s">
        <v>1589</v>
      </c>
      <c r="B825" s="55" t="s">
        <v>1590</v>
      </c>
      <c r="C825" s="55" t="s">
        <v>164</v>
      </c>
      <c r="D825" s="55" t="s">
        <v>184</v>
      </c>
      <c r="E825" s="55" t="s">
        <v>185</v>
      </c>
      <c r="F825" s="55" t="s">
        <v>218</v>
      </c>
      <c r="G825" s="56" t="n">
        <v>1.23</v>
      </c>
      <c r="H825" s="57" t="n">
        <f aca="false">MAX(0,IF(AND(Parameter!$B$21="Ja",ISNUMBER(Y825)),Y825,IF(Parameter!$B$20="Jahresanfang 2025 + Export",BL825+BK825,BK825)))</f>
        <v>80</v>
      </c>
      <c r="I825" s="57" t="n">
        <f aca="false">H825*G825</f>
        <v>98.4</v>
      </c>
      <c r="J825" s="57" t="n">
        <f aca="false">BN825*Parameter!$B$18</f>
        <v>55</v>
      </c>
      <c r="K825" s="58" t="n">
        <v>117.5</v>
      </c>
      <c r="L825" s="59" t="n">
        <v>0.468085106382979</v>
      </c>
      <c r="M825" s="57" t="n">
        <v>3</v>
      </c>
      <c r="N825" s="57" t="n">
        <v>50</v>
      </c>
      <c r="O825" s="60" t="n">
        <v>21</v>
      </c>
      <c r="P825" s="55" t="s">
        <v>421</v>
      </c>
      <c r="Q825" s="57" t="n">
        <v>97</v>
      </c>
      <c r="R825" s="60" t="n">
        <f aca="false">IF(BT825=1,0,IFERROR(VLOOKUP(BR825,'Gebinde-Kategorie'!$A$5:$M$45,13,0)+0,0))</f>
        <v>132</v>
      </c>
      <c r="S825" s="61"/>
      <c r="T825" s="62"/>
      <c r="U825" s="62"/>
      <c r="V825" s="62"/>
      <c r="W825" s="55"/>
      <c r="X825" s="57"/>
      <c r="Y825" s="57"/>
      <c r="Z825" s="55" t="n">
        <f aca="false">IF(A825="","",IF(AND(Parameter!$B$21="Ja",ISNUMBER(W825)),W825,IF(BV825="2+3",IF(ISNUMBER(SEARCH("grosser Artikel",BO825)),2,IFERROR(VLOOKUP(BR825,Parameter!$F$35:$G$64,2,0),2)),IF(OR(BV825="Nein",BV825=""),"-",BV825))))</f>
        <v>3</v>
      </c>
      <c r="AA825" s="62"/>
      <c r="AB825" s="63"/>
      <c r="AC825" s="57" t="n">
        <f aca="false">AR825</f>
        <v>97</v>
      </c>
      <c r="AD825" s="57" t="n">
        <f aca="false">MAX(AR825,H825)</f>
        <v>97</v>
      </c>
      <c r="AE825" s="64"/>
      <c r="AF825" s="57" t="n">
        <f aca="false">IF(LEFT(Cockpit!$C$5,1)="A",H825,IF(CA825=1,CB825,IF(LEFT(Cockpit!$C$5,1)="B",AJ825,MAX(AJ825,H825))))</f>
        <v>80</v>
      </c>
      <c r="AG825" s="57" t="n">
        <f aca="false">IF(BT825=1,0,ROUNDUP(AF825/BS825,0))</f>
        <v>1</v>
      </c>
      <c r="AH825" s="59" t="n">
        <f aca="false">IF(CH825&gt;0,CH825*MAX(1,AF825/X825),IF(BT825=1,IF(AF825&lt;=0,0,BW825*MAX(1,IF(H825&gt;0,AF825/H825,1))),IF(R825&gt;0,AG825/R825,0))/MAX(0.1,N(Parameter!$M$21)))</f>
        <v>0.00757575757575758</v>
      </c>
      <c r="AI825" s="57" t="n">
        <f aca="false">AF825*G825</f>
        <v>98.4</v>
      </c>
      <c r="AJ825" s="57" t="n">
        <f aca="false">ROUNDUP(MAX(J825/IF(BZ825&gt;0,BZ825,MAX(0.1,N(Cockpit!$C$6))),CC825)/BS825,0)*BS825</f>
        <v>97</v>
      </c>
      <c r="AK825" s="58" t="n">
        <f aca="false">IF(AH825&gt;0,J825/AH825,-1)</f>
        <v>7260</v>
      </c>
      <c r="AL825" s="58" t="n">
        <f aca="false">IF(AND(OR(BY825="L1",BY825="L23"),AH825&gt;0),SUMIFS($AH$7:$AH$1843,$BY$7:$BY$1843,BY825,$AK$7:$AK$1843,"&gt;"&amp;AK825)+SUMIFS($AH$7:$AH$1843,$BY$7:$BY$1843,BY825,$AK$7:$AK$1843,AK825,$BQ$7:$BQ$1843,"&lt;="&amp;BQ825),"")</f>
        <v>5.93105807236242</v>
      </c>
      <c r="AM825" s="65" t="n">
        <f aca="false">IF(AL825="",0,MAX(0,MIN(1,(IF(BY825="L1",Parameter!$E$5,Parameter!$E$6+Parameter!$E$7)-(AL825-AH825))/AH825)))</f>
        <v>1</v>
      </c>
      <c r="AN825" s="57" t="n">
        <f aca="false">IF(LEFT(Cockpit!$I$5,1)="A",H825,IF(CA825=1,CB825,IF(LEFT(Cockpit!$I$5,1)="B",AR825,MAX(AR825,H825))))</f>
        <v>97</v>
      </c>
      <c r="AO825" s="57" t="n">
        <f aca="false">IF(BT825=1,0,ROUNDUP(AN825/BS825,0))</f>
        <v>1</v>
      </c>
      <c r="AP825" s="59" t="n">
        <f aca="false">IF(CH825&gt;0,CH825*MAX(1,AN825/X825),IF(BT825=1,IF(AN825&lt;=0,0,BW825*MAX(1,IF(H825&gt;0,AN825/H825,1))),IF(R825&gt;0,AO825/R825,0))/MAX(0.1,N(Parameter!$M$21)))</f>
        <v>0.00757575757575758</v>
      </c>
      <c r="AQ825" s="57" t="n">
        <f aca="false">AN825*G825</f>
        <v>119.31</v>
      </c>
      <c r="AR825" s="57" t="n">
        <f aca="false">ROUNDUP(MAX(J825/IF(BZ825&gt;0,BZ825,MAX(0.1,N(Cockpit!$I$6))),CC825)/BS825,0)*BS825</f>
        <v>97</v>
      </c>
      <c r="AS825" s="58" t="n">
        <f aca="false">IF(AP825&gt;0,J825/AP825,-1)</f>
        <v>7260</v>
      </c>
      <c r="AT825" s="58" t="n">
        <f aca="false">IF(AND(OR(BY825="L1",BY825="L23"),AP825&gt;0),SUMIFS($AP$7:$AP$1843,$BY$7:$BY$1843,BY825,$AS$7:$AS$1843,"&gt;"&amp;AS825)+SUMIFS($AP$7:$AP$1843,$BY$7:$BY$1843,BY825,$AS$7:$AS$1843,AS825,$BQ$7:$BQ$1843,"&lt;="&amp;BQ825),"")</f>
        <v>9.09515725820074</v>
      </c>
      <c r="AU825" s="65" t="n">
        <f aca="false">IF(AT825="",0,MAX(0,MIN(1,(IF(BY825="L1",Parameter!$E$5,Parameter!$E$6+Parameter!$E$7)-(AT825-AP825))/AP825)))</f>
        <v>1</v>
      </c>
      <c r="AV825" s="57" t="n">
        <f aca="false">IF(LEFT(Cockpit!$O$5,1)="A",H825,IF(CA825=1,CB825,IF(LEFT(Cockpit!$O$5,1)="B",AZ825,MAX(AZ825,H825))))</f>
        <v>97</v>
      </c>
      <c r="AW825" s="57" t="n">
        <f aca="false">IF(BT825=1,0,ROUNDUP(AV825/BS825,0))</f>
        <v>1</v>
      </c>
      <c r="AX825" s="59" t="n">
        <f aca="false">IF(CH825&gt;0,CH825*MAX(1,AV825/X825),IF(BT825=1,IF(AV825&lt;=0,0,BW825*MAX(1,IF(H825&gt;0,AV825/H825,1))),IF(R825&gt;0,AW825/R825,0))/MAX(0.1,N(Parameter!$M$21)))</f>
        <v>0.00757575757575758</v>
      </c>
      <c r="AY825" s="57" t="n">
        <f aca="false">AV825*G825</f>
        <v>119.31</v>
      </c>
      <c r="AZ825" s="57" t="n">
        <f aca="false">ROUNDUP(MAX(J825/IF(BZ825&gt;0,BZ825,MAX(0.1,N(Cockpit!$O$6))),CC825)/BS825,0)*BS825</f>
        <v>97</v>
      </c>
      <c r="BA825" s="58" t="n">
        <f aca="false">IF(AX825&gt;0,J825/AX825,-1)</f>
        <v>7260</v>
      </c>
      <c r="BB825" s="58" t="n">
        <f aca="false">IF(AND(OR(BY825="L1",BY825="L23"),AX825&gt;0),SUMIFS($AX$7:$AX$1843,$BY$7:$BY$1843,BY825,$BA$7:$BA$1843,"&gt;"&amp;BA825)+SUMIFS($AX$7:$AX$1843,$BY$7:$BY$1843,BY825,$BA$7:$BA$1843,BA825,$BQ$7:$BQ$1843,"&lt;="&amp;BQ825),"")</f>
        <v>8.82884024188372</v>
      </c>
      <c r="BC825" s="65" t="n">
        <f aca="false">IF(BB825="",0,MAX(0,MIN(1,(IF(BY825="L1",Parameter!$E$5,Parameter!$E$6+Parameter!$E$7)-(BB825-AX825))/AX825)))</f>
        <v>1</v>
      </c>
      <c r="BD825" s="55" t="str">
        <f aca="false">IF(AH825&lt;=0,"",IF(BY825="Aussen","Aussenlager",IF(BY825="-","Nicht im Lift",IF(AM825&gt;=1,"Lift",IF(AM825&lt;=0,"Aussenlager","teilweise")))))</f>
        <v>Lift</v>
      </c>
      <c r="BE825" s="55" t="str">
        <f aca="false">IF(AP825&lt;=0,"",IF(BY825="Aussen","Aussenlager",IF(BY825="-","Nicht im Lift",IF(AU825&gt;=1,"Lift",IF(AU825&lt;=0,"Aussenlager","teilweise")))))</f>
        <v>Lift</v>
      </c>
      <c r="BF825" s="55" t="str">
        <f aca="false">IF(AX825&lt;=0,"",IF(BY825="Aussen","Aussenlager",IF(BY825="-","Nicht im Lift",IF(BC825&gt;=1,"Lift",IF(BC825&lt;=0,"Aussenlager","teilweise")))))</f>
        <v>Lift</v>
      </c>
      <c r="BG825" s="55" t="str">
        <f aca="false">IF(A825="","",IF(BP825=1,"Neu; ","")&amp;IF(AND(BP825=0,BK825&lt;0),"negativer Bestand (Export "&amp;BK825&amp;"); ","")&amp;IF(J825&lt;=0,"Kein Verbrauch; ","")&amp;IF(CH825&gt;0,"Lift "&amp;W825&amp;" lt. Liftbericht (Fach "&amp;X825&amp;" Stk); ",IF(BU825=1,"Gebinde geschätzt ("&amp;T825&amp;"); ",IF(BT825=1,"Lose – Tablare geschätzt; ","")))&amp;IF(H825&gt;AR825,"Überbestand "&amp;ROUND(H825-AR825,0)&amp;" Stk / CHF "&amp;ROUND((H825-AR825)*G825,0)&amp;"; ","")&amp;IF(AND(CA825=1,CB825&lt;CC825),"MAX &lt; MB+LG; ","")&amp;IF(AND(CG825&gt;0,CF825*10&gt;CG825),"zu hoch für Tablar; ","")&amp;IF(AND(BP825=0,OR(CA825=1,AA825&lt;&gt;"",U825&lt;&gt;"",V825&lt;&gt;"",AB825&lt;&gt;"")),"manuell übersteuert; ","")&amp;IF(AND(BT825=0,R825=0),"Gebinde unbekannt / Stellmass fehlt; ","")&amp;IF(AND(BT825=0,N(V825)&lt;=0,N(Q825)&lt;=0),"Menge pro Gebinde fehlt (Ist = 1 Gebinde); ","")&amp;BO825)</f>
        <v>negativer Bestand (Export -5); Neu</v>
      </c>
      <c r="BH825" s="55"/>
      <c r="BI825" s="55"/>
      <c r="BJ825" s="62"/>
      <c r="BK825" s="57" t="n">
        <v>-5</v>
      </c>
      <c r="BL825" s="57" t="n">
        <v>85</v>
      </c>
      <c r="BM825" s="56" t="n">
        <v>-10.4000000000001</v>
      </c>
      <c r="BN825" s="57" t="n">
        <v>55</v>
      </c>
      <c r="BO825" s="55" t="s">
        <v>626</v>
      </c>
      <c r="BP825" s="60" t="n">
        <v>0</v>
      </c>
      <c r="BQ825" s="60" t="n">
        <v>825</v>
      </c>
      <c r="BR825" s="55" t="str">
        <f aca="false">IF(U825&lt;&gt;"",UPPER(TRIM(U825)),IF(BU825=1,UPPER(VLOOKUP(T825,Parameter!$I$27:$K$29,2,0)),IF(P825="","LOSE",P825)))</f>
        <v>S32</v>
      </c>
      <c r="BS825" s="57" t="n">
        <f aca="false">IF(BR825="LOSE",1,IF(N(V825)&gt;0,V825,IF(BU825=1,MAX(1,N(VLOOKUP(T825,Parameter!$I$27:$K$29,3,0)),H825,N(N825)),IF(N(Q825)&gt;0,Q825,MAX(1,H825)))))</f>
        <v>97</v>
      </c>
      <c r="BT825" s="60" t="n">
        <f aca="false">IF(BR825="LOSE",1,0)</f>
        <v>0</v>
      </c>
      <c r="BU825" s="60" t="n">
        <f aca="false">IF(AND(U825="",OR(P825="",P825="LOSE"),T825&lt;&gt;"",N(S825)&lt;=0,ISNUMBER(MATCH(T825,Parameter!$I$27:$I$29,0))),1,0)</f>
        <v>0</v>
      </c>
      <c r="BV825" s="55" t="str">
        <f aca="false">IF(AND(Parameter!$B$19="Ja",E825&lt;&gt;"",ISNUMBER(MATCH(E825,Parameter!$I$35:$I$52,0))),VLOOKUP(E825,Parameter!$I$35:$J$52,2,0),IFERROR(VLOOKUP(D825,Parameter!$A$35:$C$64,2,0),"Nein"))</f>
        <v>2+3</v>
      </c>
      <c r="BW825" s="59" t="n">
        <f aca="false">IF(BT825=0,0,IF(N(S825)&gt;0,S825,IFERROR(VLOOKUP(D825,Parameter!$A$35:$C$64,3,0)+0,0)))</f>
        <v>0</v>
      </c>
      <c r="BX825" s="55" t="n">
        <f aca="false">IF(AA825&lt;&gt;"",AA825,Z825)</f>
        <v>3</v>
      </c>
      <c r="BY825" s="55" t="str">
        <f aca="false">IF(BX825=1,"L1",IF(OR(BX825=2,BX825=3),"L23",IF(BX825="Aussen","Aussen","-")))</f>
        <v>L23</v>
      </c>
      <c r="BZ825" s="66" t="n">
        <f aca="false">IF(N(AB825)&gt;0,AB825,0)</f>
        <v>0</v>
      </c>
      <c r="CA825" s="60" t="n">
        <f aca="false">IF(ISNUMBER(AE825),1,0)</f>
        <v>0</v>
      </c>
      <c r="CB825" s="57" t="n">
        <f aca="false">N(AE825)</f>
        <v>0</v>
      </c>
      <c r="CC825" s="57" t="n">
        <f aca="false">N(M825)+N(N825)</f>
        <v>53</v>
      </c>
      <c r="CD825" s="57" t="n">
        <f aca="false">ROUNDUP(H825/BS825,0)</f>
        <v>1</v>
      </c>
      <c r="CE825" s="57" t="n">
        <f aca="false">ROUNDUP(CB825/BS825,0)</f>
        <v>0</v>
      </c>
      <c r="CF825" s="60" t="n">
        <f aca="false">IF(BT825=1,0,IFERROR(VLOOKUP(BR825,'Gebinde-Kategorie'!$A$5:$M$45,5,0)+0,0))</f>
        <v>8</v>
      </c>
      <c r="CG825" s="60" t="n">
        <f aca="false">IFERROR(IF(OR(BX825=1,BX825=2,BX825=3),N(INDEX(Parameter!$I$5:$I$7,BX825)),0),0)</f>
        <v>0</v>
      </c>
      <c r="CH825" s="59" t="n">
        <f aca="false">IF(AND(Parameter!$B$21="Ja",ISNUMBER(W825),N(X825)&gt;0),IFERROR(N(INDEX(Parameter!$L$5:$L$7,W825))*INDEX(Parameter!$E$5:$E$7,W825)*X825/SUMIFS($X$7:$X$1843,$W$7:$W$1843,W825),0),0)</f>
        <v>0</v>
      </c>
    </row>
    <row r="826" customFormat="false" ht="15" hidden="false" customHeight="false" outlineLevel="0" collapsed="false">
      <c r="A826" s="55" t="s">
        <v>1591</v>
      </c>
      <c r="B826" s="55" t="s">
        <v>1592</v>
      </c>
      <c r="C826" s="55" t="s">
        <v>164</v>
      </c>
      <c r="D826" s="55" t="s">
        <v>184</v>
      </c>
      <c r="E826" s="55"/>
      <c r="F826" s="55" t="s">
        <v>218</v>
      </c>
      <c r="G826" s="56" t="n">
        <v>10.43</v>
      </c>
      <c r="H826" s="57" t="n">
        <f aca="false">MAX(0,IF(AND(Parameter!$B$21="Ja",ISNUMBER(Y826)),Y826,IF(Parameter!$B$20="Jahresanfang 2025 + Export",BL826+BK826,BK826)))</f>
        <v>0</v>
      </c>
      <c r="I826" s="57" t="n">
        <f aca="false">H826*G826</f>
        <v>0</v>
      </c>
      <c r="J826" s="57" t="n">
        <f aca="false">BN826*Parameter!$B$18</f>
        <v>1</v>
      </c>
      <c r="K826" s="58" t="n">
        <v>0.5</v>
      </c>
      <c r="L826" s="59" t="n">
        <v>2</v>
      </c>
      <c r="M826" s="57" t="n">
        <v>0</v>
      </c>
      <c r="N826" s="57" t="n">
        <v>1</v>
      </c>
      <c r="O826" s="60" t="n">
        <v>21</v>
      </c>
      <c r="P826" s="55" t="s">
        <v>401</v>
      </c>
      <c r="Q826" s="57" t="n">
        <v>100</v>
      </c>
      <c r="R826" s="60" t="n">
        <f aca="false">IF(BT826=1,0,IFERROR(VLOOKUP(BR826,'Gebinde-Kategorie'!$A$5:$M$45,13,0)+0,0))</f>
        <v>414</v>
      </c>
      <c r="S826" s="61"/>
      <c r="T826" s="62"/>
      <c r="U826" s="62"/>
      <c r="V826" s="62"/>
      <c r="W826" s="55"/>
      <c r="X826" s="57"/>
      <c r="Y826" s="57"/>
      <c r="Z826" s="55" t="n">
        <f aca="false">IF(A826="","",IF(AND(Parameter!$B$21="Ja",ISNUMBER(W826)),W826,IF(BV826="2+3",IF(ISNUMBER(SEARCH("grosser Artikel",BO826)),2,IFERROR(VLOOKUP(BR826,Parameter!$F$35:$G$64,2,0),2)),IF(OR(BV826="Nein",BV826=""),"-",BV826))))</f>
        <v>3</v>
      </c>
      <c r="AA826" s="62"/>
      <c r="AB826" s="63"/>
      <c r="AC826" s="57" t="n">
        <f aca="false">AR826</f>
        <v>100</v>
      </c>
      <c r="AD826" s="57" t="n">
        <f aca="false">MAX(AR826,H826)</f>
        <v>100</v>
      </c>
      <c r="AE826" s="64"/>
      <c r="AF826" s="57" t="n">
        <f aca="false">IF(LEFT(Cockpit!$C$5,1)="A",H826,IF(CA826=1,CB826,IF(LEFT(Cockpit!$C$5,1)="B",AJ826,MAX(AJ826,H826))))</f>
        <v>0</v>
      </c>
      <c r="AG826" s="57" t="n">
        <f aca="false">IF(BT826=1,0,ROUNDUP(AF826/BS826,0))</f>
        <v>0</v>
      </c>
      <c r="AH826" s="59" t="n">
        <f aca="false">IF(CH826&gt;0,CH826*MAX(1,AF826/X826),IF(BT826=1,IF(AF826&lt;=0,0,BW826*MAX(1,IF(H826&gt;0,AF826/H826,1))),IF(R826&gt;0,AG826/R826,0))/MAX(0.1,N(Parameter!$M$21)))</f>
        <v>0</v>
      </c>
      <c r="AI826" s="57" t="n">
        <f aca="false">AF826*G826</f>
        <v>0</v>
      </c>
      <c r="AJ826" s="57" t="n">
        <f aca="false">ROUNDUP(MAX(J826/IF(BZ826&gt;0,BZ826,MAX(0.1,N(Cockpit!$C$6))),CC826)/BS826,0)*BS826</f>
        <v>100</v>
      </c>
      <c r="AK826" s="58" t="n">
        <f aca="false">IF(AH826&gt;0,J826/AH826,-1)</f>
        <v>-1</v>
      </c>
      <c r="AL826" s="58" t="str">
        <f aca="false">IF(AND(OR(BY826="L1",BY826="L23"),AH826&gt;0),SUMIFS($AH$7:$AH$1843,$BY$7:$BY$1843,BY826,$AK$7:$AK$1843,"&gt;"&amp;AK826)+SUMIFS($AH$7:$AH$1843,$BY$7:$BY$1843,BY826,$AK$7:$AK$1843,AK826,$BQ$7:$BQ$1843,"&lt;="&amp;BQ826),"")</f>
        <v/>
      </c>
      <c r="AM826" s="65" t="n">
        <f aca="false">IF(AL826="",0,MAX(0,MIN(1,(IF(BY826="L1",Parameter!$E$5,Parameter!$E$6+Parameter!$E$7)-(AL826-AH826))/AH826)))</f>
        <v>0</v>
      </c>
      <c r="AN826" s="57" t="n">
        <f aca="false">IF(LEFT(Cockpit!$I$5,1)="A",H826,IF(CA826=1,CB826,IF(LEFT(Cockpit!$I$5,1)="B",AR826,MAX(AR826,H826))))</f>
        <v>100</v>
      </c>
      <c r="AO826" s="57" t="n">
        <f aca="false">IF(BT826=1,0,ROUNDUP(AN826/BS826,0))</f>
        <v>1</v>
      </c>
      <c r="AP826" s="59" t="n">
        <f aca="false">IF(CH826&gt;0,CH826*MAX(1,AN826/X826),IF(BT826=1,IF(AN826&lt;=0,0,BW826*MAX(1,IF(H826&gt;0,AN826/H826,1))),IF(R826&gt;0,AO826/R826,0))/MAX(0.1,N(Parameter!$M$21)))</f>
        <v>0.00241545893719807</v>
      </c>
      <c r="AQ826" s="57" t="n">
        <f aca="false">AN826*G826</f>
        <v>1043</v>
      </c>
      <c r="AR826" s="57" t="n">
        <f aca="false">ROUNDUP(MAX(J826/IF(BZ826&gt;0,BZ826,MAX(0.1,N(Cockpit!$I$6))),CC826)/BS826,0)*BS826</f>
        <v>100</v>
      </c>
      <c r="AS826" s="58" t="n">
        <f aca="false">IF(AP826&gt;0,J826/AP826,-1)</f>
        <v>414</v>
      </c>
      <c r="AT826" s="58" t="n">
        <f aca="false">IF(AND(OR(BY826="L1",BY826="L23"),AP826&gt;0),SUMIFS($AP$7:$AP$1843,$BY$7:$BY$1843,BY826,$AS$7:$AS$1843,"&gt;"&amp;AS826)+SUMIFS($AP$7:$AP$1843,$BY$7:$BY$1843,BY826,$AS$7:$AS$1843,AS826,$BQ$7:$BQ$1843,"&lt;="&amp;BQ826),"")</f>
        <v>35.0133188067971</v>
      </c>
      <c r="AU826" s="65" t="n">
        <f aca="false">IF(AT826="",0,MAX(0,MIN(1,(IF(BY826="L1",Parameter!$E$5,Parameter!$E$6+Parameter!$E$7)-(AT826-AP826))/AP826)))</f>
        <v>1</v>
      </c>
      <c r="AV826" s="57" t="n">
        <f aca="false">IF(LEFT(Cockpit!$O$5,1)="A",H826,IF(CA826=1,CB826,IF(LEFT(Cockpit!$O$5,1)="B",AZ826,MAX(AZ826,H826))))</f>
        <v>100</v>
      </c>
      <c r="AW826" s="57" t="n">
        <f aca="false">IF(BT826=1,0,ROUNDUP(AV826/BS826,0))</f>
        <v>1</v>
      </c>
      <c r="AX826" s="59" t="n">
        <f aca="false">IF(CH826&gt;0,CH826*MAX(1,AV826/X826),IF(BT826=1,IF(AV826&lt;=0,0,BW826*MAX(1,IF(H826&gt;0,AV826/H826,1))),IF(R826&gt;0,AW826/R826,0))/MAX(0.1,N(Parameter!$M$21)))</f>
        <v>0.00241545893719807</v>
      </c>
      <c r="AY826" s="57" t="n">
        <f aca="false">AV826*G826</f>
        <v>1043</v>
      </c>
      <c r="AZ826" s="57" t="n">
        <f aca="false">ROUNDUP(MAX(J826/IF(BZ826&gt;0,BZ826,MAX(0.1,N(Cockpit!$O$6))),CC826)/BS826,0)*BS826</f>
        <v>100</v>
      </c>
      <c r="BA826" s="58" t="n">
        <f aca="false">IF(AX826&gt;0,J826/AX826,-1)</f>
        <v>414</v>
      </c>
      <c r="BB826" s="58" t="n">
        <f aca="false">IF(AND(OR(BY826="L1",BY826="L23"),AX826&gt;0),SUMIFS($AX$7:$AX$1843,$BY$7:$BY$1843,BY826,$BA$7:$BA$1843,"&gt;"&amp;BA826)+SUMIFS($AX$7:$AX$1843,$BY$7:$BY$1843,BY826,$BA$7:$BA$1843,BA826,$BQ$7:$BQ$1843,"&lt;="&amp;BQ826),"")</f>
        <v>34.2598223033006</v>
      </c>
      <c r="BC826" s="65" t="n">
        <f aca="false">IF(BB826="",0,MAX(0,MIN(1,(IF(BY826="L1",Parameter!$E$5,Parameter!$E$6+Parameter!$E$7)-(BB826-AX826))/AX826)))</f>
        <v>1</v>
      </c>
      <c r="BD826" s="55" t="str">
        <f aca="false">IF(AH826&lt;=0,"",IF(BY826="Aussen","Aussenlager",IF(BY826="-","Nicht im Lift",IF(AM826&gt;=1,"Lift",IF(AM826&lt;=0,"Aussenlager","teilweise")))))</f>
        <v/>
      </c>
      <c r="BE826" s="55" t="str">
        <f aca="false">IF(AP826&lt;=0,"",IF(BY826="Aussen","Aussenlager",IF(BY826="-","Nicht im Lift",IF(AU826&gt;=1,"Lift",IF(AU826&lt;=0,"Aussenlager","teilweise")))))</f>
        <v>Lift</v>
      </c>
      <c r="BF826" s="55" t="str">
        <f aca="false">IF(AX826&lt;=0,"",IF(BY826="Aussen","Aussenlager",IF(BY826="-","Nicht im Lift",IF(BC826&gt;=1,"Lift",IF(BC826&lt;=0,"Aussenlager","teilweise")))))</f>
        <v>Lift</v>
      </c>
      <c r="BG826" s="55" t="str">
        <f aca="false">IF(A826="","",IF(BP826=1,"Neu; ","")&amp;IF(AND(BP826=0,BK826&lt;0),"negativer Bestand (Export "&amp;BK826&amp;"); ","")&amp;IF(J826&lt;=0,"Kein Verbrauch; ","")&amp;IF(CH826&gt;0,"Lift "&amp;W826&amp;" lt. Liftbericht (Fach "&amp;X826&amp;" Stk); ",IF(BU826=1,"Gebinde geschätzt ("&amp;T826&amp;"); ",IF(BT826=1,"Lose – Tablare geschätzt; ","")))&amp;IF(H826&gt;AR826,"Überbestand "&amp;ROUND(H826-AR826,0)&amp;" Stk / CHF "&amp;ROUND((H826-AR826)*G826,0)&amp;"; ","")&amp;IF(AND(CA826=1,CB826&lt;CC826),"MAX &lt; MB+LG; ","")&amp;IF(AND(CG826&gt;0,CF826*10&gt;CG826),"zu hoch für Tablar; ","")&amp;IF(AND(BP826=0,OR(CA826=1,AA826&lt;&gt;"",U826&lt;&gt;"",V826&lt;&gt;"",AB826&lt;&gt;"")),"manuell übersteuert; ","")&amp;IF(AND(BT826=0,R826=0),"Gebinde unbekannt / Stellmass fehlt; ","")&amp;IF(AND(BT826=0,N(V826)&lt;=0,N(Q826)&lt;=0),"Menge pro Gebinde fehlt (Ist = 1 Gebinde); ","")&amp;BO826)</f>
        <v>negativer Bestand (Export -1); </v>
      </c>
      <c r="BH826" s="55"/>
      <c r="BI826" s="55"/>
      <c r="BJ826" s="62"/>
      <c r="BK826" s="57" t="n">
        <v>-1</v>
      </c>
      <c r="BL826" s="57" t="n">
        <v>1</v>
      </c>
      <c r="BM826" s="56" t="n">
        <v>-10.43</v>
      </c>
      <c r="BN826" s="57" t="n">
        <v>1</v>
      </c>
      <c r="BO826" s="55"/>
      <c r="BP826" s="60" t="n">
        <v>0</v>
      </c>
      <c r="BQ826" s="60" t="n">
        <v>826</v>
      </c>
      <c r="BR826" s="55" t="str">
        <f aca="false">IF(U826&lt;&gt;"",UPPER(TRIM(U826)),IF(BU826=1,UPPER(VLOOKUP(T826,Parameter!$I$27:$K$29,2,0)),IF(P826="","LOSE",P826)))</f>
        <v>S21</v>
      </c>
      <c r="BS826" s="57" t="n">
        <f aca="false">IF(BR826="LOSE",1,IF(N(V826)&gt;0,V826,IF(BU826=1,MAX(1,N(VLOOKUP(T826,Parameter!$I$27:$K$29,3,0)),H826,N(N826)),IF(N(Q826)&gt;0,Q826,MAX(1,H826)))))</f>
        <v>100</v>
      </c>
      <c r="BT826" s="60" t="n">
        <f aca="false">IF(BR826="LOSE",1,0)</f>
        <v>0</v>
      </c>
      <c r="BU826" s="60" t="n">
        <f aca="false">IF(AND(U826="",OR(P826="",P826="LOSE"),T826&lt;&gt;"",N(S826)&lt;=0,ISNUMBER(MATCH(T826,Parameter!$I$27:$I$29,0))),1,0)</f>
        <v>0</v>
      </c>
      <c r="BV826" s="55" t="str">
        <f aca="false">IF(AND(Parameter!$B$19="Ja",E826&lt;&gt;"",ISNUMBER(MATCH(E826,Parameter!$I$35:$I$52,0))),VLOOKUP(E826,Parameter!$I$35:$J$52,2,0),IFERROR(VLOOKUP(D826,Parameter!$A$35:$C$64,2,0),"Nein"))</f>
        <v>2+3</v>
      </c>
      <c r="BW826" s="59" t="n">
        <f aca="false">IF(BT826=0,0,IF(N(S826)&gt;0,S826,IFERROR(VLOOKUP(D826,Parameter!$A$35:$C$64,3,0)+0,0)))</f>
        <v>0</v>
      </c>
      <c r="BX826" s="55" t="n">
        <f aca="false">IF(AA826&lt;&gt;"",AA826,Z826)</f>
        <v>3</v>
      </c>
      <c r="BY826" s="55" t="str">
        <f aca="false">IF(BX826=1,"L1",IF(OR(BX826=2,BX826=3),"L23",IF(BX826="Aussen","Aussen","-")))</f>
        <v>L23</v>
      </c>
      <c r="BZ826" s="66" t="n">
        <f aca="false">IF(N(AB826)&gt;0,AB826,0)</f>
        <v>0</v>
      </c>
      <c r="CA826" s="60" t="n">
        <f aca="false">IF(ISNUMBER(AE826),1,0)</f>
        <v>0</v>
      </c>
      <c r="CB826" s="57" t="n">
        <f aca="false">N(AE826)</f>
        <v>0</v>
      </c>
      <c r="CC826" s="57" t="n">
        <f aca="false">N(M826)+N(N826)</f>
        <v>1</v>
      </c>
      <c r="CD826" s="57" t="n">
        <f aca="false">ROUNDUP(H826/BS826,0)</f>
        <v>0</v>
      </c>
      <c r="CE826" s="57" t="n">
        <f aca="false">ROUNDUP(CB826/BS826,0)</f>
        <v>0</v>
      </c>
      <c r="CF826" s="60" t="n">
        <f aca="false">IF(BT826=1,0,IFERROR(VLOOKUP(BR826,'Gebinde-Kategorie'!$A$5:$M$45,5,0)+0,0))</f>
        <v>8</v>
      </c>
      <c r="CG826" s="60" t="n">
        <f aca="false">IFERROR(IF(OR(BX826=1,BX826=2,BX826=3),N(INDEX(Parameter!$I$5:$I$7,BX826)),0),0)</f>
        <v>0</v>
      </c>
      <c r="CH826" s="59" t="n">
        <f aca="false">IF(AND(Parameter!$B$21="Ja",ISNUMBER(W826),N(X826)&gt;0),IFERROR(N(INDEX(Parameter!$L$5:$L$7,W826))*INDEX(Parameter!$E$5:$E$7,W826)*X826/SUMIFS($X$7:$X$1843,$W$7:$W$1843,W826),0),0)</f>
        <v>0</v>
      </c>
    </row>
    <row r="827" customFormat="false" ht="15" hidden="false" customHeight="false" outlineLevel="0" collapsed="false">
      <c r="A827" s="55" t="s">
        <v>1593</v>
      </c>
      <c r="B827" s="55" t="s">
        <v>1594</v>
      </c>
      <c r="C827" s="55" t="s">
        <v>164</v>
      </c>
      <c r="D827" s="55" t="s">
        <v>184</v>
      </c>
      <c r="E827" s="55" t="s">
        <v>185</v>
      </c>
      <c r="F827" s="55" t="s">
        <v>218</v>
      </c>
      <c r="G827" s="56" t="n">
        <v>0.88</v>
      </c>
      <c r="H827" s="57" t="n">
        <f aca="false">MAX(0,IF(AND(Parameter!$B$21="Ja",ISNUMBER(Y827)),Y827,IF(Parameter!$B$20="Jahresanfang 2025 + Export",BL827+BK827,BK827)))</f>
        <v>69</v>
      </c>
      <c r="I827" s="57" t="n">
        <f aca="false">H827*G827</f>
        <v>60.72</v>
      </c>
      <c r="J827" s="57" t="n">
        <f aca="false">BN827*Parameter!$B$18</f>
        <v>3</v>
      </c>
      <c r="K827" s="58" t="n">
        <v>79.5</v>
      </c>
      <c r="L827" s="59" t="n">
        <v>0.0377358490566038</v>
      </c>
      <c r="M827" s="57" t="n">
        <v>0</v>
      </c>
      <c r="N827" s="57" t="n">
        <v>5</v>
      </c>
      <c r="O827" s="60" t="n">
        <v>21</v>
      </c>
      <c r="P827" s="55" t="s">
        <v>426</v>
      </c>
      <c r="Q827" s="57" t="n">
        <v>84</v>
      </c>
      <c r="R827" s="60" t="n">
        <f aca="false">IF(BT827=1,0,IFERROR(VLOOKUP(BR827,'Gebinde-Kategorie'!$A$5:$M$45,13,0)+0,0))</f>
        <v>198</v>
      </c>
      <c r="S827" s="61"/>
      <c r="T827" s="62"/>
      <c r="U827" s="62"/>
      <c r="V827" s="62"/>
      <c r="W827" s="55"/>
      <c r="X827" s="57"/>
      <c r="Y827" s="57"/>
      <c r="Z827" s="55" t="n">
        <f aca="false">IF(A827="","",IF(AND(Parameter!$B$21="Ja",ISNUMBER(W827)),W827,IF(BV827="2+3",IF(ISNUMBER(SEARCH("grosser Artikel",BO827)),2,IFERROR(VLOOKUP(BR827,Parameter!$F$35:$G$64,2,0),2)),IF(OR(BV827="Nein",BV827=""),"-",BV827))))</f>
        <v>3</v>
      </c>
      <c r="AA827" s="62"/>
      <c r="AB827" s="63"/>
      <c r="AC827" s="57" t="n">
        <f aca="false">AR827</f>
        <v>84</v>
      </c>
      <c r="AD827" s="57" t="n">
        <f aca="false">MAX(AR827,H827)</f>
        <v>84</v>
      </c>
      <c r="AE827" s="64"/>
      <c r="AF827" s="57" t="n">
        <f aca="false">IF(LEFT(Cockpit!$C$5,1)="A",H827,IF(CA827=1,CB827,IF(LEFT(Cockpit!$C$5,1)="B",AJ827,MAX(AJ827,H827))))</f>
        <v>69</v>
      </c>
      <c r="AG827" s="57" t="n">
        <f aca="false">IF(BT827=1,0,ROUNDUP(AF827/BS827,0))</f>
        <v>1</v>
      </c>
      <c r="AH827" s="59" t="n">
        <f aca="false">IF(CH827&gt;0,CH827*MAX(1,AF827/X827),IF(BT827=1,IF(AF827&lt;=0,0,BW827*MAX(1,IF(H827&gt;0,AF827/H827,1))),IF(R827&gt;0,AG827/R827,0))/MAX(0.1,N(Parameter!$M$21)))</f>
        <v>0.00505050505050505</v>
      </c>
      <c r="AI827" s="57" t="n">
        <f aca="false">AF827*G827</f>
        <v>60.72</v>
      </c>
      <c r="AJ827" s="57" t="n">
        <f aca="false">ROUNDUP(MAX(J827/IF(BZ827&gt;0,BZ827,MAX(0.1,N(Cockpit!$C$6))),CC827)/BS827,0)*BS827</f>
        <v>84</v>
      </c>
      <c r="AK827" s="58" t="n">
        <f aca="false">IF(AH827&gt;0,J827/AH827,-1)</f>
        <v>594</v>
      </c>
      <c r="AL827" s="58" t="n">
        <f aca="false">IF(AND(OR(BY827="L1",BY827="L23"),AH827&gt;0),SUMIFS($AH$7:$AH$1843,$BY$7:$BY$1843,BY827,$AK$7:$AK$1843,"&gt;"&amp;AK827)+SUMIFS($AH$7:$AH$1843,$BY$7:$BY$1843,BY827,$AK$7:$AK$1843,AK827,$BQ$7:$BQ$1843,"&lt;="&amp;BQ827),"")</f>
        <v>23.236013986014</v>
      </c>
      <c r="AM827" s="65" t="n">
        <f aca="false">IF(AL827="",0,MAX(0,MIN(1,(IF(BY827="L1",Parameter!$E$5,Parameter!$E$6+Parameter!$E$7)-(AL827-AH827))/AH827)))</f>
        <v>1</v>
      </c>
      <c r="AN827" s="57" t="n">
        <f aca="false">IF(LEFT(Cockpit!$I$5,1)="A",H827,IF(CA827=1,CB827,IF(LEFT(Cockpit!$I$5,1)="B",AR827,MAX(AR827,H827))))</f>
        <v>84</v>
      </c>
      <c r="AO827" s="57" t="n">
        <f aca="false">IF(BT827=1,0,ROUNDUP(AN827/BS827,0))</f>
        <v>1</v>
      </c>
      <c r="AP827" s="59" t="n">
        <f aca="false">IF(CH827&gt;0,CH827*MAX(1,AN827/X827),IF(BT827=1,IF(AN827&lt;=0,0,BW827*MAX(1,IF(H827&gt;0,AN827/H827,1))),IF(R827&gt;0,AO827/R827,0))/MAX(0.1,N(Parameter!$M$21)))</f>
        <v>0.00505050505050505</v>
      </c>
      <c r="AQ827" s="57" t="n">
        <f aca="false">AN827*G827</f>
        <v>73.92</v>
      </c>
      <c r="AR827" s="57" t="n">
        <f aca="false">ROUNDUP(MAX(J827/IF(BZ827&gt;0,BZ827,MAX(0.1,N(Cockpit!$I$6))),CC827)/BS827,0)*BS827</f>
        <v>84</v>
      </c>
      <c r="AS827" s="58" t="n">
        <f aca="false">IF(AP827&gt;0,J827/AP827,-1)</f>
        <v>594</v>
      </c>
      <c r="AT827" s="58" t="n">
        <f aca="false">IF(AND(OR(BY827="L1",BY827="L23"),AP827&gt;0),SUMIFS($AP$7:$AP$1843,$BY$7:$BY$1843,BY827,$AS$7:$AS$1843,"&gt;"&amp;AS827)+SUMIFS($AP$7:$AP$1843,$BY$7:$BY$1843,BY827,$AS$7:$AS$1843,AS827,$BQ$7:$BQ$1843,"&lt;="&amp;BQ827),"")</f>
        <v>31.0297118340597</v>
      </c>
      <c r="AU827" s="65" t="n">
        <f aca="false">IF(AT827="",0,MAX(0,MIN(1,(IF(BY827="L1",Parameter!$E$5,Parameter!$E$6+Parameter!$E$7)-(AT827-AP827))/AP827)))</f>
        <v>1</v>
      </c>
      <c r="AV827" s="57" t="n">
        <f aca="false">IF(LEFT(Cockpit!$O$5,1)="A",H827,IF(CA827=1,CB827,IF(LEFT(Cockpit!$O$5,1)="B",AZ827,MAX(AZ827,H827))))</f>
        <v>84</v>
      </c>
      <c r="AW827" s="57" t="n">
        <f aca="false">IF(BT827=1,0,ROUNDUP(AV827/BS827,0))</f>
        <v>1</v>
      </c>
      <c r="AX827" s="59" t="n">
        <f aca="false">IF(CH827&gt;0,CH827*MAX(1,AV827/X827),IF(BT827=1,IF(AV827&lt;=0,0,BW827*MAX(1,IF(H827&gt;0,AV827/H827,1))),IF(R827&gt;0,AW827/R827,0))/MAX(0.1,N(Parameter!$M$21)))</f>
        <v>0.00505050505050505</v>
      </c>
      <c r="AY827" s="57" t="n">
        <f aca="false">AV827*G827</f>
        <v>73.92</v>
      </c>
      <c r="AZ827" s="57" t="n">
        <f aca="false">ROUNDUP(MAX(J827/IF(BZ827&gt;0,BZ827,MAX(0.1,N(Cockpit!$O$6))),CC827)/BS827,0)*BS827</f>
        <v>84</v>
      </c>
      <c r="BA827" s="58" t="n">
        <f aca="false">IF(AX827&gt;0,J827/AX827,-1)</f>
        <v>594</v>
      </c>
      <c r="BB827" s="58" t="n">
        <f aca="false">IF(AND(OR(BY827="L1",BY827="L23"),AX827&gt;0),SUMIFS($AX$7:$AX$1843,$BY$7:$BY$1843,BY827,$BA$7:$BA$1843,"&gt;"&amp;BA827)+SUMIFS($AX$7:$AX$1843,$BY$7:$BY$1843,BY827,$BA$7:$BA$1843,BA827,$BQ$7:$BQ$1843,"&lt;="&amp;BQ827),"")</f>
        <v>29.4300614844093</v>
      </c>
      <c r="BC827" s="65" t="n">
        <f aca="false">IF(BB827="",0,MAX(0,MIN(1,(IF(BY827="L1",Parameter!$E$5,Parameter!$E$6+Parameter!$E$7)-(BB827-AX827))/AX827)))</f>
        <v>1</v>
      </c>
      <c r="BD827" s="55" t="str">
        <f aca="false">IF(AH827&lt;=0,"",IF(BY827="Aussen","Aussenlager",IF(BY827="-","Nicht im Lift",IF(AM827&gt;=1,"Lift",IF(AM827&lt;=0,"Aussenlager","teilweise")))))</f>
        <v>Lift</v>
      </c>
      <c r="BE827" s="55" t="str">
        <f aca="false">IF(AP827&lt;=0,"",IF(BY827="Aussen","Aussenlager",IF(BY827="-","Nicht im Lift",IF(AU827&gt;=1,"Lift",IF(AU827&lt;=0,"Aussenlager","teilweise")))))</f>
        <v>Lift</v>
      </c>
      <c r="BF827" s="55" t="str">
        <f aca="false">IF(AX827&lt;=0,"",IF(BY827="Aussen","Aussenlager",IF(BY827="-","Nicht im Lift",IF(BC827&gt;=1,"Lift",IF(BC827&lt;=0,"Aussenlager","teilweise")))))</f>
        <v>Lift</v>
      </c>
      <c r="BG827" s="55" t="str">
        <f aca="false">IF(A827="","",IF(BP827=1,"Neu; ","")&amp;IF(AND(BP827=0,BK827&lt;0),"negativer Bestand (Export "&amp;BK827&amp;"); ","")&amp;IF(J827&lt;=0,"Kein Verbrauch; ","")&amp;IF(CH827&gt;0,"Lift "&amp;W827&amp;" lt. Liftbericht (Fach "&amp;X827&amp;" Stk); ",IF(BU827=1,"Gebinde geschätzt ("&amp;T827&amp;"); ",IF(BT827=1,"Lose – Tablare geschätzt; ","")))&amp;IF(H827&gt;AR827,"Überbestand "&amp;ROUND(H827-AR827,0)&amp;" Stk / CHF "&amp;ROUND((H827-AR827)*G827,0)&amp;"; ","")&amp;IF(AND(CA827=1,CB827&lt;CC827),"MAX &lt; MB+LG; ","")&amp;IF(AND(CG827&gt;0,CF827*10&gt;CG827),"zu hoch für Tablar; ","")&amp;IF(AND(BP827=0,OR(CA827=1,AA827&lt;&gt;"",U827&lt;&gt;"",V827&lt;&gt;"",AB827&lt;&gt;"")),"manuell übersteuert; ","")&amp;IF(AND(BT827=0,R827=0),"Gebinde unbekannt / Stellmass fehlt; ","")&amp;IF(AND(BT827=0,N(V827)&lt;=0,N(Q827)&lt;=0),"Menge pro Gebinde fehlt (Ist = 1 Gebinde); ","")&amp;BO827)</f>
        <v>negativer Bestand (Export -12); Überbestand</v>
      </c>
      <c r="BH827" s="55"/>
      <c r="BI827" s="55"/>
      <c r="BJ827" s="62"/>
      <c r="BK827" s="57" t="n">
        <v>-12</v>
      </c>
      <c r="BL827" s="57" t="n">
        <v>81</v>
      </c>
      <c r="BM827" s="56" t="n">
        <v>-10.56</v>
      </c>
      <c r="BN827" s="57" t="n">
        <v>3</v>
      </c>
      <c r="BO827" s="55" t="s">
        <v>392</v>
      </c>
      <c r="BP827" s="60" t="n">
        <v>0</v>
      </c>
      <c r="BQ827" s="60" t="n">
        <v>827</v>
      </c>
      <c r="BR827" s="55" t="str">
        <f aca="false">IF(U827&lt;&gt;"",UPPER(TRIM(U827)),IF(BU827=1,UPPER(VLOOKUP(T827,Parameter!$I$27:$K$29,2,0)),IF(P827="","LOSE",P827)))</f>
        <v>S22</v>
      </c>
      <c r="BS827" s="57" t="n">
        <f aca="false">IF(BR827="LOSE",1,IF(N(V827)&gt;0,V827,IF(BU827=1,MAX(1,N(VLOOKUP(T827,Parameter!$I$27:$K$29,3,0)),H827,N(N827)),IF(N(Q827)&gt;0,Q827,MAX(1,H827)))))</f>
        <v>84</v>
      </c>
      <c r="BT827" s="60" t="n">
        <f aca="false">IF(BR827="LOSE",1,0)</f>
        <v>0</v>
      </c>
      <c r="BU827" s="60" t="n">
        <f aca="false">IF(AND(U827="",OR(P827="",P827="LOSE"),T827&lt;&gt;"",N(S827)&lt;=0,ISNUMBER(MATCH(T827,Parameter!$I$27:$I$29,0))),1,0)</f>
        <v>0</v>
      </c>
      <c r="BV827" s="55" t="str">
        <f aca="false">IF(AND(Parameter!$B$19="Ja",E827&lt;&gt;"",ISNUMBER(MATCH(E827,Parameter!$I$35:$I$52,0))),VLOOKUP(E827,Parameter!$I$35:$J$52,2,0),IFERROR(VLOOKUP(D827,Parameter!$A$35:$C$64,2,0),"Nein"))</f>
        <v>2+3</v>
      </c>
      <c r="BW827" s="59" t="n">
        <f aca="false">IF(BT827=0,0,IF(N(S827)&gt;0,S827,IFERROR(VLOOKUP(D827,Parameter!$A$35:$C$64,3,0)+0,0)))</f>
        <v>0</v>
      </c>
      <c r="BX827" s="55" t="n">
        <f aca="false">IF(AA827&lt;&gt;"",AA827,Z827)</f>
        <v>3</v>
      </c>
      <c r="BY827" s="55" t="str">
        <f aca="false">IF(BX827=1,"L1",IF(OR(BX827=2,BX827=3),"L23",IF(BX827="Aussen","Aussen","-")))</f>
        <v>L23</v>
      </c>
      <c r="BZ827" s="66" t="n">
        <f aca="false">IF(N(AB827)&gt;0,AB827,0)</f>
        <v>0</v>
      </c>
      <c r="CA827" s="60" t="n">
        <f aca="false">IF(ISNUMBER(AE827),1,0)</f>
        <v>0</v>
      </c>
      <c r="CB827" s="57" t="n">
        <f aca="false">N(AE827)</f>
        <v>0</v>
      </c>
      <c r="CC827" s="57" t="n">
        <f aca="false">N(M827)+N(N827)</f>
        <v>5</v>
      </c>
      <c r="CD827" s="57" t="n">
        <f aca="false">ROUNDUP(H827/BS827,0)</f>
        <v>1</v>
      </c>
      <c r="CE827" s="57" t="n">
        <f aca="false">ROUNDUP(CB827/BS827,0)</f>
        <v>0</v>
      </c>
      <c r="CF827" s="60" t="n">
        <f aca="false">IF(BT827=1,0,IFERROR(VLOOKUP(BR827,'Gebinde-Kategorie'!$A$5:$M$45,5,0)+0,0))</f>
        <v>8</v>
      </c>
      <c r="CG827" s="60" t="n">
        <f aca="false">IFERROR(IF(OR(BX827=1,BX827=2,BX827=3),N(INDEX(Parameter!$I$5:$I$7,BX827)),0),0)</f>
        <v>0</v>
      </c>
      <c r="CH827" s="59" t="n">
        <f aca="false">IF(AND(Parameter!$B$21="Ja",ISNUMBER(W827),N(X827)&gt;0),IFERROR(N(INDEX(Parameter!$L$5:$L$7,W827))*INDEX(Parameter!$E$5:$E$7,W827)*X827/SUMIFS($X$7:$X$1843,$W$7:$W$1843,W827),0),0)</f>
        <v>0</v>
      </c>
    </row>
    <row r="828" customFormat="false" ht="15" hidden="false" customHeight="false" outlineLevel="0" collapsed="false">
      <c r="A828" s="55" t="s">
        <v>1595</v>
      </c>
      <c r="B828" s="55" t="s">
        <v>468</v>
      </c>
      <c r="C828" s="55" t="s">
        <v>164</v>
      </c>
      <c r="D828" s="55" t="s">
        <v>184</v>
      </c>
      <c r="E828" s="55" t="s">
        <v>185</v>
      </c>
      <c r="F828" s="55" t="s">
        <v>218</v>
      </c>
      <c r="G828" s="56" t="n">
        <v>0.14</v>
      </c>
      <c r="H828" s="57" t="n">
        <f aca="false">MAX(0,IF(AND(Parameter!$B$21="Ja",ISNUMBER(Y828)),Y828,IF(Parameter!$B$20="Jahresanfang 2025 + Export",BL828+BK828,BK828)))</f>
        <v>118</v>
      </c>
      <c r="I828" s="57" t="n">
        <f aca="false">H828*G828</f>
        <v>16.52</v>
      </c>
      <c r="J828" s="57" t="n">
        <f aca="false">BN828*Parameter!$B$18</f>
        <v>177</v>
      </c>
      <c r="K828" s="58" t="n">
        <v>224.5</v>
      </c>
      <c r="L828" s="59" t="n">
        <v>0.788418708240535</v>
      </c>
      <c r="M828" s="57" t="n">
        <v>6</v>
      </c>
      <c r="N828" s="57" t="n">
        <v>175</v>
      </c>
      <c r="O828" s="60" t="n">
        <v>14</v>
      </c>
      <c r="P828" s="55" t="s">
        <v>426</v>
      </c>
      <c r="Q828" s="57" t="n">
        <v>360</v>
      </c>
      <c r="R828" s="60" t="n">
        <f aca="false">IF(BT828=1,0,IFERROR(VLOOKUP(BR828,'Gebinde-Kategorie'!$A$5:$M$45,13,0)+0,0))</f>
        <v>198</v>
      </c>
      <c r="S828" s="61"/>
      <c r="T828" s="62"/>
      <c r="U828" s="62"/>
      <c r="V828" s="62"/>
      <c r="W828" s="55"/>
      <c r="X828" s="57"/>
      <c r="Y828" s="57"/>
      <c r="Z828" s="55" t="n">
        <f aca="false">IF(A828="","",IF(AND(Parameter!$B$21="Ja",ISNUMBER(W828)),W828,IF(BV828="2+3",IF(ISNUMBER(SEARCH("grosser Artikel",BO828)),2,IFERROR(VLOOKUP(BR828,Parameter!$F$35:$G$64,2,0),2)),IF(OR(BV828="Nein",BV828=""),"-",BV828))))</f>
        <v>3</v>
      </c>
      <c r="AA828" s="62"/>
      <c r="AB828" s="63"/>
      <c r="AC828" s="57" t="n">
        <f aca="false">AR828</f>
        <v>360</v>
      </c>
      <c r="AD828" s="57" t="n">
        <f aca="false">MAX(AR828,H828)</f>
        <v>360</v>
      </c>
      <c r="AE828" s="64"/>
      <c r="AF828" s="57" t="n">
        <f aca="false">IF(LEFT(Cockpit!$C$5,1)="A",H828,IF(CA828=1,CB828,IF(LEFT(Cockpit!$C$5,1)="B",AJ828,MAX(AJ828,H828))))</f>
        <v>118</v>
      </c>
      <c r="AG828" s="57" t="n">
        <f aca="false">IF(BT828=1,0,ROUNDUP(AF828/BS828,0))</f>
        <v>1</v>
      </c>
      <c r="AH828" s="59" t="n">
        <f aca="false">IF(CH828&gt;0,CH828*MAX(1,AF828/X828),IF(BT828=1,IF(AF828&lt;=0,0,BW828*MAX(1,IF(H828&gt;0,AF828/H828,1))),IF(R828&gt;0,AG828/R828,0))/MAX(0.1,N(Parameter!$M$21)))</f>
        <v>0.00505050505050505</v>
      </c>
      <c r="AI828" s="57" t="n">
        <f aca="false">AF828*G828</f>
        <v>16.52</v>
      </c>
      <c r="AJ828" s="57" t="n">
        <f aca="false">ROUNDUP(MAX(J828/IF(BZ828&gt;0,BZ828,MAX(0.1,N(Cockpit!$C$6))),CC828)/BS828,0)*BS828</f>
        <v>360</v>
      </c>
      <c r="AK828" s="58" t="n">
        <f aca="false">IF(AH828&gt;0,J828/AH828,-1)</f>
        <v>35046</v>
      </c>
      <c r="AL828" s="58" t="n">
        <f aca="false">IF(AND(OR(BY828="L1",BY828="L23"),AH828&gt;0),SUMIFS($AH$7:$AH$1843,$BY$7:$BY$1843,BY828,$AK$7:$AK$1843,"&gt;"&amp;AK828)+SUMIFS($AH$7:$AH$1843,$BY$7:$BY$1843,BY828,$AK$7:$AK$1843,AK828,$BQ$7:$BQ$1843,"&lt;="&amp;BQ828),"")</f>
        <v>2.12235228539576</v>
      </c>
      <c r="AM828" s="65" t="n">
        <f aca="false">IF(AL828="",0,MAX(0,MIN(1,(IF(BY828="L1",Parameter!$E$5,Parameter!$E$6+Parameter!$E$7)-(AL828-AH828))/AH828)))</f>
        <v>1</v>
      </c>
      <c r="AN828" s="57" t="n">
        <f aca="false">IF(LEFT(Cockpit!$I$5,1)="A",H828,IF(CA828=1,CB828,IF(LEFT(Cockpit!$I$5,1)="B",AR828,MAX(AR828,H828))))</f>
        <v>360</v>
      </c>
      <c r="AO828" s="57" t="n">
        <f aca="false">IF(BT828=1,0,ROUNDUP(AN828/BS828,0))</f>
        <v>1</v>
      </c>
      <c r="AP828" s="59" t="n">
        <f aca="false">IF(CH828&gt;0,CH828*MAX(1,AN828/X828),IF(BT828=1,IF(AN828&lt;=0,0,BW828*MAX(1,IF(H828&gt;0,AN828/H828,1))),IF(R828&gt;0,AO828/R828,0))/MAX(0.1,N(Parameter!$M$21)))</f>
        <v>0.00505050505050505</v>
      </c>
      <c r="AQ828" s="57" t="n">
        <f aca="false">AN828*G828</f>
        <v>50.4</v>
      </c>
      <c r="AR828" s="57" t="n">
        <f aca="false">ROUNDUP(MAX(J828/IF(BZ828&gt;0,BZ828,MAX(0.1,N(Cockpit!$I$6))),CC828)/BS828,0)*BS828</f>
        <v>360</v>
      </c>
      <c r="AS828" s="58" t="n">
        <f aca="false">IF(AP828&gt;0,J828/AP828,-1)</f>
        <v>35046</v>
      </c>
      <c r="AT828" s="58" t="n">
        <f aca="false">IF(AND(OR(BY828="L1",BY828="L23"),AP828&gt;0),SUMIFS($AP$7:$AP$1843,$BY$7:$BY$1843,BY828,$AS$7:$AS$1843,"&gt;"&amp;AS828)+SUMIFS($AP$7:$AP$1843,$BY$7:$BY$1843,BY828,$AS$7:$AS$1843,AS828,$BQ$7:$BQ$1843,"&lt;="&amp;BQ828),"")</f>
        <v>2.68479105435627</v>
      </c>
      <c r="AU828" s="65" t="n">
        <f aca="false">IF(AT828="",0,MAX(0,MIN(1,(IF(BY828="L1",Parameter!$E$5,Parameter!$E$6+Parameter!$E$7)-(AT828-AP828))/AP828)))</f>
        <v>1</v>
      </c>
      <c r="AV828" s="57" t="n">
        <f aca="false">IF(LEFT(Cockpit!$O$5,1)="A",H828,IF(CA828=1,CB828,IF(LEFT(Cockpit!$O$5,1)="B",AZ828,MAX(AZ828,H828))))</f>
        <v>360</v>
      </c>
      <c r="AW828" s="57" t="n">
        <f aca="false">IF(BT828=1,0,ROUNDUP(AV828/BS828,0))</f>
        <v>1</v>
      </c>
      <c r="AX828" s="59" t="n">
        <f aca="false">IF(CH828&gt;0,CH828*MAX(1,AV828/X828),IF(BT828=1,IF(AV828&lt;=0,0,BW828*MAX(1,IF(H828&gt;0,AV828/H828,1))),IF(R828&gt;0,AW828/R828,0))/MAX(0.1,N(Parameter!$M$21)))</f>
        <v>0.00505050505050505</v>
      </c>
      <c r="AY828" s="57" t="n">
        <f aca="false">AV828*G828</f>
        <v>50.4</v>
      </c>
      <c r="AZ828" s="57" t="n">
        <f aca="false">ROUNDUP(MAX(J828/IF(BZ828&gt;0,BZ828,MAX(0.1,N(Cockpit!$O$6))),CC828)/BS828,0)*BS828</f>
        <v>360</v>
      </c>
      <c r="BA828" s="58" t="n">
        <f aca="false">IF(AX828&gt;0,J828/AX828,-1)</f>
        <v>35046</v>
      </c>
      <c r="BB828" s="58" t="n">
        <f aca="false">IF(AND(OR(BY828="L1",BY828="L23"),AX828&gt;0),SUMIFS($AX$7:$AX$1843,$BY$7:$BY$1843,BY828,$BA$7:$BA$1843,"&gt;"&amp;BA828)+SUMIFS($AX$7:$AX$1843,$BY$7:$BY$1843,BY828,$BA$7:$BA$1843,BA828,$BQ$7:$BQ$1843,"&lt;="&amp;BQ828),"")</f>
        <v>2.45285632242154</v>
      </c>
      <c r="BC828" s="65" t="n">
        <f aca="false">IF(BB828="",0,MAX(0,MIN(1,(IF(BY828="L1",Parameter!$E$5,Parameter!$E$6+Parameter!$E$7)-(BB828-AX828))/AX828)))</f>
        <v>1</v>
      </c>
      <c r="BD828" s="55" t="str">
        <f aca="false">IF(AH828&lt;=0,"",IF(BY828="Aussen","Aussenlager",IF(BY828="-","Nicht im Lift",IF(AM828&gt;=1,"Lift",IF(AM828&lt;=0,"Aussenlager","teilweise")))))</f>
        <v>Lift</v>
      </c>
      <c r="BE828" s="55" t="str">
        <f aca="false">IF(AP828&lt;=0,"",IF(BY828="Aussen","Aussenlager",IF(BY828="-","Nicht im Lift",IF(AU828&gt;=1,"Lift",IF(AU828&lt;=0,"Aussenlager","teilweise")))))</f>
        <v>Lift</v>
      </c>
      <c r="BF828" s="55" t="str">
        <f aca="false">IF(AX828&lt;=0,"",IF(BY828="Aussen","Aussenlager",IF(BY828="-","Nicht im Lift",IF(BC828&gt;=1,"Lift",IF(BC828&lt;=0,"Aussenlager","teilweise")))))</f>
        <v>Lift</v>
      </c>
      <c r="BG828" s="55" t="str">
        <f aca="false">IF(A828="","",IF(BP828=1,"Neu; ","")&amp;IF(AND(BP828=0,BK828&lt;0),"negativer Bestand (Export "&amp;BK828&amp;"); ","")&amp;IF(J828&lt;=0,"Kein Verbrauch; ","")&amp;IF(CH828&gt;0,"Lift "&amp;W828&amp;" lt. Liftbericht (Fach "&amp;X828&amp;" Stk); ",IF(BU828=1,"Gebinde geschätzt ("&amp;T828&amp;"); ",IF(BT828=1,"Lose – Tablare geschätzt; ","")))&amp;IF(H828&gt;AR828,"Überbestand "&amp;ROUND(H828-AR828,0)&amp;" Stk / CHF "&amp;ROUND((H828-AR828)*G828,0)&amp;"; ","")&amp;IF(AND(CA828=1,CB828&lt;CC828),"MAX &lt; MB+LG; ","")&amp;IF(AND(CG828&gt;0,CF828*10&gt;CG828),"zu hoch für Tablar; ","")&amp;IF(AND(BP828=0,OR(CA828=1,AA828&lt;&gt;"",U828&lt;&gt;"",V828&lt;&gt;"",AB828&lt;&gt;"")),"manuell übersteuert; ","")&amp;IF(AND(BT828=0,R828=0),"Gebinde unbekannt / Stellmass fehlt; ","")&amp;IF(AND(BT828=0,N(V828)&lt;=0,N(Q828)&lt;=0),"Menge pro Gebinde fehlt (Ist = 1 Gebinde); ","")&amp;BO828)</f>
        <v>negativer Bestand (Export -76); </v>
      </c>
      <c r="BH828" s="55"/>
      <c r="BI828" s="55"/>
      <c r="BJ828" s="62"/>
      <c r="BK828" s="57" t="n">
        <v>-76</v>
      </c>
      <c r="BL828" s="57" t="n">
        <v>194</v>
      </c>
      <c r="BM828" s="56" t="n">
        <v>-10.64</v>
      </c>
      <c r="BN828" s="57" t="n">
        <v>177</v>
      </c>
      <c r="BO828" s="55"/>
      <c r="BP828" s="60" t="n">
        <v>0</v>
      </c>
      <c r="BQ828" s="60" t="n">
        <v>828</v>
      </c>
      <c r="BR828" s="55" t="str">
        <f aca="false">IF(U828&lt;&gt;"",UPPER(TRIM(U828)),IF(BU828=1,UPPER(VLOOKUP(T828,Parameter!$I$27:$K$29,2,0)),IF(P828="","LOSE",P828)))</f>
        <v>S22</v>
      </c>
      <c r="BS828" s="57" t="n">
        <f aca="false">IF(BR828="LOSE",1,IF(N(V828)&gt;0,V828,IF(BU828=1,MAX(1,N(VLOOKUP(T828,Parameter!$I$27:$K$29,3,0)),H828,N(N828)),IF(N(Q828)&gt;0,Q828,MAX(1,H828)))))</f>
        <v>360</v>
      </c>
      <c r="BT828" s="60" t="n">
        <f aca="false">IF(BR828="LOSE",1,0)</f>
        <v>0</v>
      </c>
      <c r="BU828" s="60" t="n">
        <f aca="false">IF(AND(U828="",OR(P828="",P828="LOSE"),T828&lt;&gt;"",N(S828)&lt;=0,ISNUMBER(MATCH(T828,Parameter!$I$27:$I$29,0))),1,0)</f>
        <v>0</v>
      </c>
      <c r="BV828" s="55" t="str">
        <f aca="false">IF(AND(Parameter!$B$19="Ja",E828&lt;&gt;"",ISNUMBER(MATCH(E828,Parameter!$I$35:$I$52,0))),VLOOKUP(E828,Parameter!$I$35:$J$52,2,0),IFERROR(VLOOKUP(D828,Parameter!$A$35:$C$64,2,0),"Nein"))</f>
        <v>2+3</v>
      </c>
      <c r="BW828" s="59" t="n">
        <f aca="false">IF(BT828=0,0,IF(N(S828)&gt;0,S828,IFERROR(VLOOKUP(D828,Parameter!$A$35:$C$64,3,0)+0,0)))</f>
        <v>0</v>
      </c>
      <c r="BX828" s="55" t="n">
        <f aca="false">IF(AA828&lt;&gt;"",AA828,Z828)</f>
        <v>3</v>
      </c>
      <c r="BY828" s="55" t="str">
        <f aca="false">IF(BX828=1,"L1",IF(OR(BX828=2,BX828=3),"L23",IF(BX828="Aussen","Aussen","-")))</f>
        <v>L23</v>
      </c>
      <c r="BZ828" s="66" t="n">
        <f aca="false">IF(N(AB828)&gt;0,AB828,0)</f>
        <v>0</v>
      </c>
      <c r="CA828" s="60" t="n">
        <f aca="false">IF(ISNUMBER(AE828),1,0)</f>
        <v>0</v>
      </c>
      <c r="CB828" s="57" t="n">
        <f aca="false">N(AE828)</f>
        <v>0</v>
      </c>
      <c r="CC828" s="57" t="n">
        <f aca="false">N(M828)+N(N828)</f>
        <v>181</v>
      </c>
      <c r="CD828" s="57" t="n">
        <f aca="false">ROUNDUP(H828/BS828,0)</f>
        <v>1</v>
      </c>
      <c r="CE828" s="57" t="n">
        <f aca="false">ROUNDUP(CB828/BS828,0)</f>
        <v>0</v>
      </c>
      <c r="CF828" s="60" t="n">
        <f aca="false">IF(BT828=1,0,IFERROR(VLOOKUP(BR828,'Gebinde-Kategorie'!$A$5:$M$45,5,0)+0,0))</f>
        <v>8</v>
      </c>
      <c r="CG828" s="60" t="n">
        <f aca="false">IFERROR(IF(OR(BX828=1,BX828=2,BX828=3),N(INDEX(Parameter!$I$5:$I$7,BX828)),0),0)</f>
        <v>0</v>
      </c>
      <c r="CH828" s="59" t="n">
        <f aca="false">IF(AND(Parameter!$B$21="Ja",ISNUMBER(W828),N(X828)&gt;0),IFERROR(N(INDEX(Parameter!$L$5:$L$7,W828))*INDEX(Parameter!$E$5:$E$7,W828)*X828/SUMIFS($X$7:$X$1843,$W$7:$W$1843,W828),0),0)</f>
        <v>0</v>
      </c>
    </row>
    <row r="829" customFormat="false" ht="15" hidden="false" customHeight="false" outlineLevel="0" collapsed="false">
      <c r="A829" s="55" t="s">
        <v>1596</v>
      </c>
      <c r="B829" s="55" t="s">
        <v>405</v>
      </c>
      <c r="C829" s="55" t="s">
        <v>164</v>
      </c>
      <c r="D829" s="55" t="s">
        <v>184</v>
      </c>
      <c r="E829" s="55" t="s">
        <v>185</v>
      </c>
      <c r="F829" s="55" t="s">
        <v>218</v>
      </c>
      <c r="G829" s="56" t="n">
        <v>0.14</v>
      </c>
      <c r="H829" s="57" t="n">
        <f aca="false">MAX(0,IF(AND(Parameter!$B$21="Ja",ISNUMBER(Y829)),Y829,IF(Parameter!$B$20="Jahresanfang 2025 + Export",BL829+BK829,BK829)))</f>
        <v>250</v>
      </c>
      <c r="I829" s="57" t="n">
        <f aca="false">H829*G829</f>
        <v>35</v>
      </c>
      <c r="J829" s="57" t="n">
        <f aca="false">BN829*Parameter!$B$18</f>
        <v>40</v>
      </c>
      <c r="K829" s="58" t="n">
        <v>296.5</v>
      </c>
      <c r="L829" s="59" t="n">
        <v>0.134907251264756</v>
      </c>
      <c r="M829" s="57" t="n">
        <v>1</v>
      </c>
      <c r="N829" s="57" t="n">
        <v>40</v>
      </c>
      <c r="O829" s="60" t="n">
        <v>14</v>
      </c>
      <c r="P829" s="55" t="s">
        <v>421</v>
      </c>
      <c r="Q829" s="57" t="n">
        <v>411</v>
      </c>
      <c r="R829" s="60" t="n">
        <f aca="false">IF(BT829=1,0,IFERROR(VLOOKUP(BR829,'Gebinde-Kategorie'!$A$5:$M$45,13,0)+0,0))</f>
        <v>132</v>
      </c>
      <c r="S829" s="61"/>
      <c r="T829" s="62"/>
      <c r="U829" s="62"/>
      <c r="V829" s="62"/>
      <c r="W829" s="55"/>
      <c r="X829" s="57"/>
      <c r="Y829" s="57"/>
      <c r="Z829" s="55" t="n">
        <f aca="false">IF(A829="","",IF(AND(Parameter!$B$21="Ja",ISNUMBER(W829)),W829,IF(BV829="2+3",IF(ISNUMBER(SEARCH("grosser Artikel",BO829)),2,IFERROR(VLOOKUP(BR829,Parameter!$F$35:$G$64,2,0),2)),IF(OR(BV829="Nein",BV829=""),"-",BV829))))</f>
        <v>3</v>
      </c>
      <c r="AA829" s="62"/>
      <c r="AB829" s="63"/>
      <c r="AC829" s="57" t="n">
        <f aca="false">AR829</f>
        <v>411</v>
      </c>
      <c r="AD829" s="57" t="n">
        <f aca="false">MAX(AR829,H829)</f>
        <v>411</v>
      </c>
      <c r="AE829" s="64"/>
      <c r="AF829" s="57" t="n">
        <f aca="false">IF(LEFT(Cockpit!$C$5,1)="A",H829,IF(CA829=1,CB829,IF(LEFT(Cockpit!$C$5,1)="B",AJ829,MAX(AJ829,H829))))</f>
        <v>250</v>
      </c>
      <c r="AG829" s="57" t="n">
        <f aca="false">IF(BT829=1,0,ROUNDUP(AF829/BS829,0))</f>
        <v>1</v>
      </c>
      <c r="AH829" s="59" t="n">
        <f aca="false">IF(CH829&gt;0,CH829*MAX(1,AF829/X829),IF(BT829=1,IF(AF829&lt;=0,0,BW829*MAX(1,IF(H829&gt;0,AF829/H829,1))),IF(R829&gt;0,AG829/R829,0))/MAX(0.1,N(Parameter!$M$21)))</f>
        <v>0.00757575757575758</v>
      </c>
      <c r="AI829" s="57" t="n">
        <f aca="false">AF829*G829</f>
        <v>35</v>
      </c>
      <c r="AJ829" s="57" t="n">
        <f aca="false">ROUNDUP(MAX(J829/IF(BZ829&gt;0,BZ829,MAX(0.1,N(Cockpit!$C$6))),CC829)/BS829,0)*BS829</f>
        <v>411</v>
      </c>
      <c r="AK829" s="58" t="n">
        <f aca="false">IF(AH829&gt;0,J829/AH829,-1)</f>
        <v>5280</v>
      </c>
      <c r="AL829" s="58" t="n">
        <f aca="false">IF(AND(OR(BY829="L1",BY829="L23"),AH829&gt;0),SUMIFS($AH$7:$AH$1843,$BY$7:$BY$1843,BY829,$AK$7:$AK$1843,"&gt;"&amp;AK829)+SUMIFS($AH$7:$AH$1843,$BY$7:$BY$1843,BY829,$AK$7:$AK$1843,AK829,$BQ$7:$BQ$1843,"&lt;="&amp;BQ829),"")</f>
        <v>6.89887165974123</v>
      </c>
      <c r="AM829" s="65" t="n">
        <f aca="false">IF(AL829="",0,MAX(0,MIN(1,(IF(BY829="L1",Parameter!$E$5,Parameter!$E$6+Parameter!$E$7)-(AL829-AH829))/AH829)))</f>
        <v>1</v>
      </c>
      <c r="AN829" s="57" t="n">
        <f aca="false">IF(LEFT(Cockpit!$I$5,1)="A",H829,IF(CA829=1,CB829,IF(LEFT(Cockpit!$I$5,1)="B",AR829,MAX(AR829,H829))))</f>
        <v>411</v>
      </c>
      <c r="AO829" s="57" t="n">
        <f aca="false">IF(BT829=1,0,ROUNDUP(AN829/BS829,0))</f>
        <v>1</v>
      </c>
      <c r="AP829" s="59" t="n">
        <f aca="false">IF(CH829&gt;0,CH829*MAX(1,AN829/X829),IF(BT829=1,IF(AN829&lt;=0,0,BW829*MAX(1,IF(H829&gt;0,AN829/H829,1))),IF(R829&gt;0,AO829/R829,0))/MAX(0.1,N(Parameter!$M$21)))</f>
        <v>0.00757575757575758</v>
      </c>
      <c r="AQ829" s="57" t="n">
        <f aca="false">AN829*G829</f>
        <v>57.54</v>
      </c>
      <c r="AR829" s="57" t="n">
        <f aca="false">ROUNDUP(MAX(J829/IF(BZ829&gt;0,BZ829,MAX(0.1,N(Cockpit!$I$6))),CC829)/BS829,0)*BS829</f>
        <v>411</v>
      </c>
      <c r="AS829" s="58" t="n">
        <f aca="false">IF(AP829&gt;0,J829/AP829,-1)</f>
        <v>5280</v>
      </c>
      <c r="AT829" s="58" t="n">
        <f aca="false">IF(AND(OR(BY829="L1",BY829="L23"),AP829&gt;0),SUMIFS($AP$7:$AP$1843,$BY$7:$BY$1843,BY829,$AS$7:$AS$1843,"&gt;"&amp;AS829)+SUMIFS($AP$7:$AP$1843,$BY$7:$BY$1843,BY829,$AS$7:$AS$1843,AS829,$BQ$7:$BQ$1843,"&lt;="&amp;BQ829),"")</f>
        <v>11.7130164521469</v>
      </c>
      <c r="AU829" s="65" t="n">
        <f aca="false">IF(AT829="",0,MAX(0,MIN(1,(IF(BY829="L1",Parameter!$E$5,Parameter!$E$6+Parameter!$E$7)-(AT829-AP829))/AP829)))</f>
        <v>1</v>
      </c>
      <c r="AV829" s="57" t="n">
        <f aca="false">IF(LEFT(Cockpit!$O$5,1)="A",H829,IF(CA829=1,CB829,IF(LEFT(Cockpit!$O$5,1)="B",AZ829,MAX(AZ829,H829))))</f>
        <v>411</v>
      </c>
      <c r="AW829" s="57" t="n">
        <f aca="false">IF(BT829=1,0,ROUNDUP(AV829/BS829,0))</f>
        <v>1</v>
      </c>
      <c r="AX829" s="59" t="n">
        <f aca="false">IF(CH829&gt;0,CH829*MAX(1,AV829/X829),IF(BT829=1,IF(AV829&lt;=0,0,BW829*MAX(1,IF(H829&gt;0,AV829/H829,1))),IF(R829&gt;0,AW829/R829,0))/MAX(0.1,N(Parameter!$M$21)))</f>
        <v>0.00757575757575758</v>
      </c>
      <c r="AY829" s="57" t="n">
        <f aca="false">AV829*G829</f>
        <v>57.54</v>
      </c>
      <c r="AZ829" s="57" t="n">
        <f aca="false">ROUNDUP(MAX(J829/IF(BZ829&gt;0,BZ829,MAX(0.1,N(Cockpit!$O$6))),CC829)/BS829,0)*BS829</f>
        <v>411</v>
      </c>
      <c r="BA829" s="58" t="n">
        <f aca="false">IF(AX829&gt;0,J829/AX829,-1)</f>
        <v>5280</v>
      </c>
      <c r="BB829" s="58" t="n">
        <f aca="false">IF(AND(OR(BY829="L1",BY829="L23"),AX829&gt;0),SUMIFS($AX$7:$AX$1843,$BY$7:$BY$1843,BY829,$BA$7:$BA$1843,"&gt;"&amp;BA829)+SUMIFS($AX$7:$AX$1843,$BY$7:$BY$1843,BY829,$BA$7:$BA$1843,BA829,$BQ$7:$BQ$1843,"&lt;="&amp;BQ829),"")</f>
        <v>10.4338789230094</v>
      </c>
      <c r="BC829" s="65" t="n">
        <f aca="false">IF(BB829="",0,MAX(0,MIN(1,(IF(BY829="L1",Parameter!$E$5,Parameter!$E$6+Parameter!$E$7)-(BB829-AX829))/AX829)))</f>
        <v>1</v>
      </c>
      <c r="BD829" s="55" t="str">
        <f aca="false">IF(AH829&lt;=0,"",IF(BY829="Aussen","Aussenlager",IF(BY829="-","Nicht im Lift",IF(AM829&gt;=1,"Lift",IF(AM829&lt;=0,"Aussenlager","teilweise")))))</f>
        <v>Lift</v>
      </c>
      <c r="BE829" s="55" t="str">
        <f aca="false">IF(AP829&lt;=0,"",IF(BY829="Aussen","Aussenlager",IF(BY829="-","Nicht im Lift",IF(AU829&gt;=1,"Lift",IF(AU829&lt;=0,"Aussenlager","teilweise")))))</f>
        <v>Lift</v>
      </c>
      <c r="BF829" s="55" t="str">
        <f aca="false">IF(AX829&lt;=0,"",IF(BY829="Aussen","Aussenlager",IF(BY829="-","Nicht im Lift",IF(BC829&gt;=1,"Lift",IF(BC829&lt;=0,"Aussenlager","teilweise")))))</f>
        <v>Lift</v>
      </c>
      <c r="BG829" s="55" t="str">
        <f aca="false">IF(A829="","",IF(BP829=1,"Neu; ","")&amp;IF(AND(BP829=0,BK829&lt;0),"negativer Bestand (Export "&amp;BK829&amp;"); ","")&amp;IF(J829&lt;=0,"Kein Verbrauch; ","")&amp;IF(CH829&gt;0,"Lift "&amp;W829&amp;" lt. Liftbericht (Fach "&amp;X829&amp;" Stk); ",IF(BU829=1,"Gebinde geschätzt ("&amp;T829&amp;"); ",IF(BT829=1,"Lose – Tablare geschätzt; ","")))&amp;IF(H829&gt;AR829,"Überbestand "&amp;ROUND(H829-AR829,0)&amp;" Stk / CHF "&amp;ROUND((H829-AR829)*G829,0)&amp;"; ","")&amp;IF(AND(CA829=1,CB829&lt;CC829),"MAX &lt; MB+LG; ","")&amp;IF(AND(CG829&gt;0,CF829*10&gt;CG829),"zu hoch für Tablar; ","")&amp;IF(AND(BP829=0,OR(CA829=1,AA829&lt;&gt;"",U829&lt;&gt;"",V829&lt;&gt;"",AB829&lt;&gt;"")),"manuell übersteuert; ","")&amp;IF(AND(BT829=0,R829=0),"Gebinde unbekannt / Stellmass fehlt; ","")&amp;IF(AND(BT829=0,N(V829)&lt;=0,N(Q829)&lt;=0),"Menge pro Gebinde fehlt (Ist = 1 Gebinde); ","")&amp;BO829)</f>
        <v>negativer Bestand (Export -76); </v>
      </c>
      <c r="BH829" s="55"/>
      <c r="BI829" s="55"/>
      <c r="BJ829" s="62"/>
      <c r="BK829" s="57" t="n">
        <v>-76</v>
      </c>
      <c r="BL829" s="57" t="n">
        <v>326</v>
      </c>
      <c r="BM829" s="56" t="n">
        <v>-10.64</v>
      </c>
      <c r="BN829" s="57" t="n">
        <v>40</v>
      </c>
      <c r="BO829" s="55"/>
      <c r="BP829" s="60" t="n">
        <v>0</v>
      </c>
      <c r="BQ829" s="60" t="n">
        <v>829</v>
      </c>
      <c r="BR829" s="55" t="str">
        <f aca="false">IF(U829&lt;&gt;"",UPPER(TRIM(U829)),IF(BU829=1,UPPER(VLOOKUP(T829,Parameter!$I$27:$K$29,2,0)),IF(P829="","LOSE",P829)))</f>
        <v>S32</v>
      </c>
      <c r="BS829" s="57" t="n">
        <f aca="false">IF(BR829="LOSE",1,IF(N(V829)&gt;0,V829,IF(BU829=1,MAX(1,N(VLOOKUP(T829,Parameter!$I$27:$K$29,3,0)),H829,N(N829)),IF(N(Q829)&gt;0,Q829,MAX(1,H829)))))</f>
        <v>411</v>
      </c>
      <c r="BT829" s="60" t="n">
        <f aca="false">IF(BR829="LOSE",1,0)</f>
        <v>0</v>
      </c>
      <c r="BU829" s="60" t="n">
        <f aca="false">IF(AND(U829="",OR(P829="",P829="LOSE"),T829&lt;&gt;"",N(S829)&lt;=0,ISNUMBER(MATCH(T829,Parameter!$I$27:$I$29,0))),1,0)</f>
        <v>0</v>
      </c>
      <c r="BV829" s="55" t="str">
        <f aca="false">IF(AND(Parameter!$B$19="Ja",E829&lt;&gt;"",ISNUMBER(MATCH(E829,Parameter!$I$35:$I$52,0))),VLOOKUP(E829,Parameter!$I$35:$J$52,2,0),IFERROR(VLOOKUP(D829,Parameter!$A$35:$C$64,2,0),"Nein"))</f>
        <v>2+3</v>
      </c>
      <c r="BW829" s="59" t="n">
        <f aca="false">IF(BT829=0,0,IF(N(S829)&gt;0,S829,IFERROR(VLOOKUP(D829,Parameter!$A$35:$C$64,3,0)+0,0)))</f>
        <v>0</v>
      </c>
      <c r="BX829" s="55" t="n">
        <f aca="false">IF(AA829&lt;&gt;"",AA829,Z829)</f>
        <v>3</v>
      </c>
      <c r="BY829" s="55" t="str">
        <f aca="false">IF(BX829=1,"L1",IF(OR(BX829=2,BX829=3),"L23",IF(BX829="Aussen","Aussen","-")))</f>
        <v>L23</v>
      </c>
      <c r="BZ829" s="66" t="n">
        <f aca="false">IF(N(AB829)&gt;0,AB829,0)</f>
        <v>0</v>
      </c>
      <c r="CA829" s="60" t="n">
        <f aca="false">IF(ISNUMBER(AE829),1,0)</f>
        <v>0</v>
      </c>
      <c r="CB829" s="57" t="n">
        <f aca="false">N(AE829)</f>
        <v>0</v>
      </c>
      <c r="CC829" s="57" t="n">
        <f aca="false">N(M829)+N(N829)</f>
        <v>41</v>
      </c>
      <c r="CD829" s="57" t="n">
        <f aca="false">ROUNDUP(H829/BS829,0)</f>
        <v>1</v>
      </c>
      <c r="CE829" s="57" t="n">
        <f aca="false">ROUNDUP(CB829/BS829,0)</f>
        <v>0</v>
      </c>
      <c r="CF829" s="60" t="n">
        <f aca="false">IF(BT829=1,0,IFERROR(VLOOKUP(BR829,'Gebinde-Kategorie'!$A$5:$M$45,5,0)+0,0))</f>
        <v>8</v>
      </c>
      <c r="CG829" s="60" t="n">
        <f aca="false">IFERROR(IF(OR(BX829=1,BX829=2,BX829=3),N(INDEX(Parameter!$I$5:$I$7,BX829)),0),0)</f>
        <v>0</v>
      </c>
      <c r="CH829" s="59" t="n">
        <f aca="false">IF(AND(Parameter!$B$21="Ja",ISNUMBER(W829),N(X829)&gt;0),IFERROR(N(INDEX(Parameter!$L$5:$L$7,W829))*INDEX(Parameter!$E$5:$E$7,W829)*X829/SUMIFS($X$7:$X$1843,$W$7:$W$1843,W829),0),0)</f>
        <v>0</v>
      </c>
    </row>
    <row r="830" customFormat="false" ht="15" hidden="false" customHeight="false" outlineLevel="0" collapsed="false">
      <c r="A830" s="55" t="s">
        <v>1597</v>
      </c>
      <c r="B830" s="55" t="s">
        <v>1598</v>
      </c>
      <c r="C830" s="55" t="s">
        <v>164</v>
      </c>
      <c r="D830" s="55" t="s">
        <v>184</v>
      </c>
      <c r="E830" s="55" t="s">
        <v>185</v>
      </c>
      <c r="F830" s="55" t="s">
        <v>218</v>
      </c>
      <c r="G830" s="56" t="n">
        <v>0.28</v>
      </c>
      <c r="H830" s="57" t="n">
        <f aca="false">MAX(0,IF(AND(Parameter!$B$21="Ja",ISNUMBER(Y830)),Y830,IF(Parameter!$B$20="Jahresanfang 2025 + Export",BL830+BK830,BK830)))</f>
        <v>25</v>
      </c>
      <c r="I830" s="57" t="n">
        <f aca="false">H830*G830</f>
        <v>7</v>
      </c>
      <c r="J830" s="57" t="n">
        <f aca="false">BN830*Parameter!$B$18</f>
        <v>128</v>
      </c>
      <c r="K830" s="58" t="n">
        <v>44.5</v>
      </c>
      <c r="L830" s="59" t="n">
        <v>2.87640449438202</v>
      </c>
      <c r="M830" s="57" t="n">
        <v>7</v>
      </c>
      <c r="N830" s="57" t="n">
        <v>200</v>
      </c>
      <c r="O830" s="60" t="n">
        <v>2</v>
      </c>
      <c r="P830" s="55" t="s">
        <v>421</v>
      </c>
      <c r="Q830" s="57" t="n">
        <v>135</v>
      </c>
      <c r="R830" s="60" t="n">
        <f aca="false">IF(BT830=1,0,IFERROR(VLOOKUP(BR830,'Gebinde-Kategorie'!$A$5:$M$45,13,0)+0,0))</f>
        <v>132</v>
      </c>
      <c r="S830" s="61"/>
      <c r="T830" s="62"/>
      <c r="U830" s="62"/>
      <c r="V830" s="62"/>
      <c r="W830" s="55"/>
      <c r="X830" s="57"/>
      <c r="Y830" s="57"/>
      <c r="Z830" s="55" t="n">
        <f aca="false">IF(A830="","",IF(AND(Parameter!$B$21="Ja",ISNUMBER(W830)),W830,IF(BV830="2+3",IF(ISNUMBER(SEARCH("grosser Artikel",BO830)),2,IFERROR(VLOOKUP(BR830,Parameter!$F$35:$G$64,2,0),2)),IF(OR(BV830="Nein",BV830=""),"-",BV830))))</f>
        <v>3</v>
      </c>
      <c r="AA830" s="62"/>
      <c r="AB830" s="63"/>
      <c r="AC830" s="57" t="n">
        <f aca="false">AR830</f>
        <v>270</v>
      </c>
      <c r="AD830" s="57" t="n">
        <f aca="false">MAX(AR830,H830)</f>
        <v>270</v>
      </c>
      <c r="AE830" s="64"/>
      <c r="AF830" s="57" t="n">
        <f aca="false">IF(LEFT(Cockpit!$C$5,1)="A",H830,IF(CA830=1,CB830,IF(LEFT(Cockpit!$C$5,1)="B",AJ830,MAX(AJ830,H830))))</f>
        <v>25</v>
      </c>
      <c r="AG830" s="57" t="n">
        <f aca="false">IF(BT830=1,0,ROUNDUP(AF830/BS830,0))</f>
        <v>1</v>
      </c>
      <c r="AH830" s="59" t="n">
        <f aca="false">IF(CH830&gt;0,CH830*MAX(1,AF830/X830),IF(BT830=1,IF(AF830&lt;=0,0,BW830*MAX(1,IF(H830&gt;0,AF830/H830,1))),IF(R830&gt;0,AG830/R830,0))/MAX(0.1,N(Parameter!$M$21)))</f>
        <v>0.00757575757575758</v>
      </c>
      <c r="AI830" s="57" t="n">
        <f aca="false">AF830*G830</f>
        <v>7</v>
      </c>
      <c r="AJ830" s="57" t="n">
        <f aca="false">ROUNDUP(MAX(J830/IF(BZ830&gt;0,BZ830,MAX(0.1,N(Cockpit!$C$6))),CC830)/BS830,0)*BS830</f>
        <v>270</v>
      </c>
      <c r="AK830" s="58" t="n">
        <f aca="false">IF(AH830&gt;0,J830/AH830,-1)</f>
        <v>16896</v>
      </c>
      <c r="AL830" s="58" t="n">
        <f aca="false">IF(AND(OR(BY830="L1",BY830="L23"),AH830&gt;0),SUMIFS($AH$7:$AH$1843,$BY$7:$BY$1843,BY830,$AK$7:$AK$1843,"&gt;"&amp;AK830)+SUMIFS($AH$7:$AH$1843,$BY$7:$BY$1843,BY830,$AK$7:$AK$1843,AK830,$BQ$7:$BQ$1843,"&lt;="&amp;BQ830),"")</f>
        <v>3.94822810040201</v>
      </c>
      <c r="AM830" s="65" t="n">
        <f aca="false">IF(AL830="",0,MAX(0,MIN(1,(IF(BY830="L1",Parameter!$E$5,Parameter!$E$6+Parameter!$E$7)-(AL830-AH830))/AH830)))</f>
        <v>1</v>
      </c>
      <c r="AN830" s="57" t="n">
        <f aca="false">IF(LEFT(Cockpit!$I$5,1)="A",H830,IF(CA830=1,CB830,IF(LEFT(Cockpit!$I$5,1)="B",AR830,MAX(AR830,H830))))</f>
        <v>270</v>
      </c>
      <c r="AO830" s="57" t="n">
        <f aca="false">IF(BT830=1,0,ROUNDUP(AN830/BS830,0))</f>
        <v>2</v>
      </c>
      <c r="AP830" s="59" t="n">
        <f aca="false">IF(CH830&gt;0,CH830*MAX(1,AN830/X830),IF(BT830=1,IF(AN830&lt;=0,0,BW830*MAX(1,IF(H830&gt;0,AN830/H830,1))),IF(R830&gt;0,AO830/R830,0))/MAX(0.1,N(Parameter!$M$21)))</f>
        <v>0.0151515151515152</v>
      </c>
      <c r="AQ830" s="57" t="n">
        <f aca="false">AN830*G830</f>
        <v>75.6</v>
      </c>
      <c r="AR830" s="57" t="n">
        <f aca="false">ROUNDUP(MAX(J830/IF(BZ830&gt;0,BZ830,MAX(0.1,N(Cockpit!$I$6))),CC830)/BS830,0)*BS830</f>
        <v>270</v>
      </c>
      <c r="AS830" s="58" t="n">
        <f aca="false">IF(AP830&gt;0,J830/AP830,-1)</f>
        <v>8448</v>
      </c>
      <c r="AT830" s="58" t="n">
        <f aca="false">IF(AND(OR(BY830="L1",BY830="L23"),AP830&gt;0),SUMIFS($AP$7:$AP$1843,$BY$7:$BY$1843,BY830,$AS$7:$AS$1843,"&gt;"&amp;AS830)+SUMIFS($AP$7:$AP$1843,$BY$7:$BY$1843,BY830,$AS$7:$AS$1843,AS830,$BQ$7:$BQ$1843,"&lt;="&amp;BQ830),"")</f>
        <v>8.97069355765008</v>
      </c>
      <c r="AU830" s="65" t="n">
        <f aca="false">IF(AT830="",0,MAX(0,MIN(1,(IF(BY830="L1",Parameter!$E$5,Parameter!$E$6+Parameter!$E$7)-(AT830-AP830))/AP830)))</f>
        <v>1</v>
      </c>
      <c r="AV830" s="57" t="n">
        <f aca="false">IF(LEFT(Cockpit!$O$5,1)="A",H830,IF(CA830=1,CB830,IF(LEFT(Cockpit!$O$5,1)="B",AZ830,MAX(AZ830,H830))))</f>
        <v>270</v>
      </c>
      <c r="AW830" s="57" t="n">
        <f aca="false">IF(BT830=1,0,ROUNDUP(AV830/BS830,0))</f>
        <v>2</v>
      </c>
      <c r="AX830" s="59" t="n">
        <f aca="false">IF(CH830&gt;0,CH830*MAX(1,AV830/X830),IF(BT830=1,IF(AV830&lt;=0,0,BW830*MAX(1,IF(H830&gt;0,AV830/H830,1))),IF(R830&gt;0,AW830/R830,0))/MAX(0.1,N(Parameter!$M$21)))</f>
        <v>0.0151515151515152</v>
      </c>
      <c r="AY830" s="57" t="n">
        <f aca="false">AV830*G830</f>
        <v>75.6</v>
      </c>
      <c r="AZ830" s="57" t="n">
        <f aca="false">ROUNDUP(MAX(J830/IF(BZ830&gt;0,BZ830,MAX(0.1,N(Cockpit!$O$6))),CC830)/BS830,0)*BS830</f>
        <v>270</v>
      </c>
      <c r="BA830" s="58" t="n">
        <f aca="false">IF(AX830&gt;0,J830/AX830,-1)</f>
        <v>8448</v>
      </c>
      <c r="BB830" s="58" t="n">
        <f aca="false">IF(AND(OR(BY830="L1",BY830="L23"),AX830&gt;0),SUMIFS($AX$7:$AX$1843,$BY$7:$BY$1843,BY830,$BA$7:$BA$1843,"&gt;"&amp;BA830)+SUMIFS($AX$7:$AX$1843,$BY$7:$BY$1843,BY830,$BA$7:$BA$1843,BA830,$BQ$7:$BQ$1843,"&lt;="&amp;BQ830),"")</f>
        <v>8.70437654133306</v>
      </c>
      <c r="BC830" s="65" t="n">
        <f aca="false">IF(BB830="",0,MAX(0,MIN(1,(IF(BY830="L1",Parameter!$E$5,Parameter!$E$6+Parameter!$E$7)-(BB830-AX830))/AX830)))</f>
        <v>1</v>
      </c>
      <c r="BD830" s="55" t="str">
        <f aca="false">IF(AH830&lt;=0,"",IF(BY830="Aussen","Aussenlager",IF(BY830="-","Nicht im Lift",IF(AM830&gt;=1,"Lift",IF(AM830&lt;=0,"Aussenlager","teilweise")))))</f>
        <v>Lift</v>
      </c>
      <c r="BE830" s="55" t="str">
        <f aca="false">IF(AP830&lt;=0,"",IF(BY830="Aussen","Aussenlager",IF(BY830="-","Nicht im Lift",IF(AU830&gt;=1,"Lift",IF(AU830&lt;=0,"Aussenlager","teilweise")))))</f>
        <v>Lift</v>
      </c>
      <c r="BF830" s="55" t="str">
        <f aca="false">IF(AX830&lt;=0,"",IF(BY830="Aussen","Aussenlager",IF(BY830="-","Nicht im Lift",IF(BC830&gt;=1,"Lift",IF(BC830&lt;=0,"Aussenlager","teilweise")))))</f>
        <v>Lift</v>
      </c>
      <c r="BG830" s="55" t="str">
        <f aca="false">IF(A830="","",IF(BP830=1,"Neu; ","")&amp;IF(AND(BP830=0,BK830&lt;0),"negativer Bestand (Export "&amp;BK830&amp;"); ","")&amp;IF(J830&lt;=0,"Kein Verbrauch; ","")&amp;IF(CH830&gt;0,"Lift "&amp;W830&amp;" lt. Liftbericht (Fach "&amp;X830&amp;" Stk); ",IF(BU830=1,"Gebinde geschätzt ("&amp;T830&amp;"); ",IF(BT830=1,"Lose – Tablare geschätzt; ","")))&amp;IF(H830&gt;AR830,"Überbestand "&amp;ROUND(H830-AR830,0)&amp;" Stk / CHF "&amp;ROUND((H830-AR830)*G830,0)&amp;"; ","")&amp;IF(AND(CA830=1,CB830&lt;CC830),"MAX &lt; MB+LG; ","")&amp;IF(AND(CG830&gt;0,CF830*10&gt;CG830),"zu hoch für Tablar; ","")&amp;IF(AND(BP830=0,OR(CA830=1,AA830&lt;&gt;"",U830&lt;&gt;"",V830&lt;&gt;"",AB830&lt;&gt;"")),"manuell übersteuert; ","")&amp;IF(AND(BT830=0,R830=0),"Gebinde unbekannt / Stellmass fehlt; ","")&amp;IF(AND(BT830=0,N(V830)&lt;=0,N(Q830)&lt;=0),"Menge pro Gebinde fehlt (Ist = 1 Gebinde); ","")&amp;BO830)</f>
        <v>negativer Bestand (Export -39); </v>
      </c>
      <c r="BH830" s="55"/>
      <c r="BI830" s="55"/>
      <c r="BJ830" s="62"/>
      <c r="BK830" s="57" t="n">
        <v>-39</v>
      </c>
      <c r="BL830" s="57" t="n">
        <v>64</v>
      </c>
      <c r="BM830" s="56" t="n">
        <v>-10.92</v>
      </c>
      <c r="BN830" s="57" t="n">
        <v>128</v>
      </c>
      <c r="BO830" s="55"/>
      <c r="BP830" s="60" t="n">
        <v>0</v>
      </c>
      <c r="BQ830" s="60" t="n">
        <v>830</v>
      </c>
      <c r="BR830" s="55" t="str">
        <f aca="false">IF(U830&lt;&gt;"",UPPER(TRIM(U830)),IF(BU830=1,UPPER(VLOOKUP(T830,Parameter!$I$27:$K$29,2,0)),IF(P830="","LOSE",P830)))</f>
        <v>S32</v>
      </c>
      <c r="BS830" s="57" t="n">
        <f aca="false">IF(BR830="LOSE",1,IF(N(V830)&gt;0,V830,IF(BU830=1,MAX(1,N(VLOOKUP(T830,Parameter!$I$27:$K$29,3,0)),H830,N(N830)),IF(N(Q830)&gt;0,Q830,MAX(1,H830)))))</f>
        <v>135</v>
      </c>
      <c r="BT830" s="60" t="n">
        <f aca="false">IF(BR830="LOSE",1,0)</f>
        <v>0</v>
      </c>
      <c r="BU830" s="60" t="n">
        <f aca="false">IF(AND(U830="",OR(P830="",P830="LOSE"),T830&lt;&gt;"",N(S830)&lt;=0,ISNUMBER(MATCH(T830,Parameter!$I$27:$I$29,0))),1,0)</f>
        <v>0</v>
      </c>
      <c r="BV830" s="55" t="str">
        <f aca="false">IF(AND(Parameter!$B$19="Ja",E830&lt;&gt;"",ISNUMBER(MATCH(E830,Parameter!$I$35:$I$52,0))),VLOOKUP(E830,Parameter!$I$35:$J$52,2,0),IFERROR(VLOOKUP(D830,Parameter!$A$35:$C$64,2,0),"Nein"))</f>
        <v>2+3</v>
      </c>
      <c r="BW830" s="59" t="n">
        <f aca="false">IF(BT830=0,0,IF(N(S830)&gt;0,S830,IFERROR(VLOOKUP(D830,Parameter!$A$35:$C$64,3,0)+0,0)))</f>
        <v>0</v>
      </c>
      <c r="BX830" s="55" t="n">
        <f aca="false">IF(AA830&lt;&gt;"",AA830,Z830)</f>
        <v>3</v>
      </c>
      <c r="BY830" s="55" t="str">
        <f aca="false">IF(BX830=1,"L1",IF(OR(BX830=2,BX830=3),"L23",IF(BX830="Aussen","Aussen","-")))</f>
        <v>L23</v>
      </c>
      <c r="BZ830" s="66" t="n">
        <f aca="false">IF(N(AB830)&gt;0,AB830,0)</f>
        <v>0</v>
      </c>
      <c r="CA830" s="60" t="n">
        <f aca="false">IF(ISNUMBER(AE830),1,0)</f>
        <v>0</v>
      </c>
      <c r="CB830" s="57" t="n">
        <f aca="false">N(AE830)</f>
        <v>0</v>
      </c>
      <c r="CC830" s="57" t="n">
        <f aca="false">N(M830)+N(N830)</f>
        <v>207</v>
      </c>
      <c r="CD830" s="57" t="n">
        <f aca="false">ROUNDUP(H830/BS830,0)</f>
        <v>1</v>
      </c>
      <c r="CE830" s="57" t="n">
        <f aca="false">ROUNDUP(CB830/BS830,0)</f>
        <v>0</v>
      </c>
      <c r="CF830" s="60" t="n">
        <f aca="false">IF(BT830=1,0,IFERROR(VLOOKUP(BR830,'Gebinde-Kategorie'!$A$5:$M$45,5,0)+0,0))</f>
        <v>8</v>
      </c>
      <c r="CG830" s="60" t="n">
        <f aca="false">IFERROR(IF(OR(BX830=1,BX830=2,BX830=3),N(INDEX(Parameter!$I$5:$I$7,BX830)),0),0)</f>
        <v>0</v>
      </c>
      <c r="CH830" s="59" t="n">
        <f aca="false">IF(AND(Parameter!$B$21="Ja",ISNUMBER(W830),N(X830)&gt;0),IFERROR(N(INDEX(Parameter!$L$5:$L$7,W830))*INDEX(Parameter!$E$5:$E$7,W830)*X830/SUMIFS($X$7:$X$1843,$W$7:$W$1843,W830),0),0)</f>
        <v>0</v>
      </c>
    </row>
    <row r="831" customFormat="false" ht="15" hidden="false" customHeight="false" outlineLevel="0" collapsed="false">
      <c r="A831" s="55" t="s">
        <v>1599</v>
      </c>
      <c r="B831" s="55" t="s">
        <v>374</v>
      </c>
      <c r="C831" s="55" t="s">
        <v>164</v>
      </c>
      <c r="D831" s="55" t="s">
        <v>184</v>
      </c>
      <c r="E831" s="55"/>
      <c r="F831" s="55" t="s">
        <v>218</v>
      </c>
      <c r="G831" s="56" t="n">
        <v>1.1</v>
      </c>
      <c r="H831" s="57" t="n">
        <f aca="false">MAX(0,IF(AND(Parameter!$B$21="Ja",ISNUMBER(Y831)),Y831,IF(Parameter!$B$20="Jahresanfang 2025 + Export",BL831+BK831,BK831)))</f>
        <v>0</v>
      </c>
      <c r="I831" s="57" t="n">
        <f aca="false">H831*G831</f>
        <v>0</v>
      </c>
      <c r="J831" s="57" t="n">
        <f aca="false">BN831*Parameter!$B$18</f>
        <v>0</v>
      </c>
      <c r="K831" s="58" t="n">
        <v>5</v>
      </c>
      <c r="L831" s="59" t="n">
        <v>0</v>
      </c>
      <c r="M831" s="57" t="n">
        <v>0</v>
      </c>
      <c r="N831" s="57" t="n">
        <v>1</v>
      </c>
      <c r="O831" s="60" t="n">
        <v>28</v>
      </c>
      <c r="P831" s="55" t="s">
        <v>168</v>
      </c>
      <c r="Q831" s="57"/>
      <c r="R831" s="60" t="n">
        <f aca="false">IF(BT831=1,0,IFERROR(VLOOKUP(BR831,'Gebinde-Kategorie'!$A$5:$M$45,13,0)+0,0))</f>
        <v>26</v>
      </c>
      <c r="S831" s="61"/>
      <c r="T831" s="62" t="s">
        <v>275</v>
      </c>
      <c r="U831" s="62"/>
      <c r="V831" s="62"/>
      <c r="W831" s="55"/>
      <c r="X831" s="57"/>
      <c r="Y831" s="57"/>
      <c r="Z831" s="55" t="n">
        <f aca="false">IF(A831="","",IF(AND(Parameter!$B$21="Ja",ISNUMBER(W831)),W831,IF(BV831="2+3",IF(ISNUMBER(SEARCH("grosser Artikel",BO831)),2,IFERROR(VLOOKUP(BR831,Parameter!$F$35:$G$64,2,0),2)),IF(OR(BV831="Nein",BV831=""),"-",BV831))))</f>
        <v>3</v>
      </c>
      <c r="AA831" s="62"/>
      <c r="AB831" s="63"/>
      <c r="AC831" s="57" t="n">
        <f aca="false">AR831</f>
        <v>20</v>
      </c>
      <c r="AD831" s="57" t="n">
        <f aca="false">MAX(AR831,H831)</f>
        <v>20</v>
      </c>
      <c r="AE831" s="64"/>
      <c r="AF831" s="57" t="n">
        <f aca="false">IF(LEFT(Cockpit!$C$5,1)="A",H831,IF(CA831=1,CB831,IF(LEFT(Cockpit!$C$5,1)="B",AJ831,MAX(AJ831,H831))))</f>
        <v>0</v>
      </c>
      <c r="AG831" s="57" t="n">
        <f aca="false">IF(BT831=1,0,ROUNDUP(AF831/BS831,0))</f>
        <v>0</v>
      </c>
      <c r="AH831" s="59" t="n">
        <f aca="false">IF(CH831&gt;0,CH831*MAX(1,AF831/X831),IF(BT831=1,IF(AF831&lt;=0,0,BW831*MAX(1,IF(H831&gt;0,AF831/H831,1))),IF(R831&gt;0,AG831/R831,0))/MAX(0.1,N(Parameter!$M$21)))</f>
        <v>0</v>
      </c>
      <c r="AI831" s="57" t="n">
        <f aca="false">AF831*G831</f>
        <v>0</v>
      </c>
      <c r="AJ831" s="57" t="n">
        <f aca="false">ROUNDUP(MAX(J831/IF(BZ831&gt;0,BZ831,MAX(0.1,N(Cockpit!$C$6))),CC831)/BS831,0)*BS831</f>
        <v>20</v>
      </c>
      <c r="AK831" s="58" t="n">
        <f aca="false">IF(AH831&gt;0,J831/AH831,-1)</f>
        <v>-1</v>
      </c>
      <c r="AL831" s="58" t="str">
        <f aca="false">IF(AND(OR(BY831="L1",BY831="L23"),AH831&gt;0),SUMIFS($AH$7:$AH$1843,$BY$7:$BY$1843,BY831,$AK$7:$AK$1843,"&gt;"&amp;AK831)+SUMIFS($AH$7:$AH$1843,$BY$7:$BY$1843,BY831,$AK$7:$AK$1843,AK831,$BQ$7:$BQ$1843,"&lt;="&amp;BQ831),"")</f>
        <v/>
      </c>
      <c r="AM831" s="65" t="n">
        <f aca="false">IF(AL831="",0,MAX(0,MIN(1,(IF(BY831="L1",Parameter!$E$5,Parameter!$E$6+Parameter!$E$7)-(AL831-AH831))/AH831)))</f>
        <v>0</v>
      </c>
      <c r="AN831" s="57" t="n">
        <f aca="false">IF(LEFT(Cockpit!$I$5,1)="A",H831,IF(CA831=1,CB831,IF(LEFT(Cockpit!$I$5,1)="B",AR831,MAX(AR831,H831))))</f>
        <v>20</v>
      </c>
      <c r="AO831" s="57" t="n">
        <f aca="false">IF(BT831=1,0,ROUNDUP(AN831/BS831,0))</f>
        <v>1</v>
      </c>
      <c r="AP831" s="59" t="n">
        <f aca="false">IF(CH831&gt;0,CH831*MAX(1,AN831/X831),IF(BT831=1,IF(AN831&lt;=0,0,BW831*MAX(1,IF(H831&gt;0,AN831/H831,1))),IF(R831&gt;0,AO831/R831,0))/MAX(0.1,N(Parameter!$M$21)))</f>
        <v>0.0384615384615385</v>
      </c>
      <c r="AQ831" s="57" t="n">
        <f aca="false">AN831*G831</f>
        <v>22</v>
      </c>
      <c r="AR831" s="57" t="n">
        <f aca="false">ROUNDUP(MAX(J831/IF(BZ831&gt;0,BZ831,MAX(0.1,N(Cockpit!$I$6))),CC831)/BS831,0)*BS831</f>
        <v>20</v>
      </c>
      <c r="AS831" s="58" t="n">
        <f aca="false">IF(AP831&gt;0,J831/AP831,-1)</f>
        <v>0</v>
      </c>
      <c r="AT831" s="58" t="n">
        <f aca="false">IF(AND(OR(BY831="L1",BY831="L23"),AP831&gt;0),SUMIFS($AP$7:$AP$1843,$BY$7:$BY$1843,BY831,$AS$7:$AS$1843,"&gt;"&amp;AS831)+SUMIFS($AP$7:$AP$1843,$BY$7:$BY$1843,BY831,$AS$7:$AS$1843,AS831,$BQ$7:$BQ$1843,"&lt;="&amp;BQ831),"")</f>
        <v>118.572970507753</v>
      </c>
      <c r="AU831" s="65" t="n">
        <f aca="false">IF(AT831="",0,MAX(0,MIN(1,(IF(BY831="L1",Parameter!$E$5,Parameter!$E$6+Parameter!$E$7)-(AT831-AP831))/AP831)))</f>
        <v>0</v>
      </c>
      <c r="AV831" s="57" t="n">
        <f aca="false">IF(LEFT(Cockpit!$O$5,1)="A",H831,IF(CA831=1,CB831,IF(LEFT(Cockpit!$O$5,1)="B",AZ831,MAX(AZ831,H831))))</f>
        <v>20</v>
      </c>
      <c r="AW831" s="57" t="n">
        <f aca="false">IF(BT831=1,0,ROUNDUP(AV831/BS831,0))</f>
        <v>1</v>
      </c>
      <c r="AX831" s="59" t="n">
        <f aca="false">IF(CH831&gt;0,CH831*MAX(1,AV831/X831),IF(BT831=1,IF(AV831&lt;=0,0,BW831*MAX(1,IF(H831&gt;0,AV831/H831,1))),IF(R831&gt;0,AW831/R831,0))/MAX(0.1,N(Parameter!$M$21)))</f>
        <v>0.0384615384615385</v>
      </c>
      <c r="AY831" s="57" t="n">
        <f aca="false">AV831*G831</f>
        <v>22</v>
      </c>
      <c r="AZ831" s="57" t="n">
        <f aca="false">ROUNDUP(MAX(J831/IF(BZ831&gt;0,BZ831,MAX(0.1,N(Cockpit!$O$6))),CC831)/BS831,0)*BS831</f>
        <v>20</v>
      </c>
      <c r="BA831" s="58" t="n">
        <f aca="false">IF(AX831&gt;0,J831/AX831,-1)</f>
        <v>0</v>
      </c>
      <c r="BB831" s="58" t="n">
        <f aca="false">IF(AND(OR(BY831="L1",BY831="L23"),AX831&gt;0),SUMIFS($AX$7:$AX$1843,$BY$7:$BY$1843,BY831,$BA$7:$BA$1843,"&gt;"&amp;BA831)+SUMIFS($AX$7:$AX$1843,$BY$7:$BY$1843,BY831,$BA$7:$BA$1843,BA831,$BQ$7:$BQ$1843,"&lt;="&amp;BQ831),"")</f>
        <v>109.40280733759</v>
      </c>
      <c r="BC831" s="65" t="n">
        <f aca="false">IF(BB831="",0,MAX(0,MIN(1,(IF(BY831="L1",Parameter!$E$5,Parameter!$E$6+Parameter!$E$7)-(BB831-AX831))/AX831)))</f>
        <v>0</v>
      </c>
      <c r="BD831" s="55" t="str">
        <f aca="false">IF(AH831&lt;=0,"",IF(BY831="Aussen","Aussenlager",IF(BY831="-","Nicht im Lift",IF(AM831&gt;=1,"Lift",IF(AM831&lt;=0,"Aussenlager","teilweise")))))</f>
        <v/>
      </c>
      <c r="BE831" s="55" t="str">
        <f aca="false">IF(AP831&lt;=0,"",IF(BY831="Aussen","Aussenlager",IF(BY831="-","Nicht im Lift",IF(AU831&gt;=1,"Lift",IF(AU831&lt;=0,"Aussenlager","teilweise")))))</f>
        <v>Aussenlager</v>
      </c>
      <c r="BF831" s="55" t="str">
        <f aca="false">IF(AX831&lt;=0,"",IF(BY831="Aussen","Aussenlager",IF(BY831="-","Nicht im Lift",IF(BC831&gt;=1,"Lift",IF(BC831&lt;=0,"Aussenlager","teilweise")))))</f>
        <v>Aussenlager</v>
      </c>
      <c r="BG831" s="55" t="str">
        <f aca="false">IF(A831="","",IF(BP831=1,"Neu; ","")&amp;IF(AND(BP831=0,BK831&lt;0),"negativer Bestand (Export "&amp;BK831&amp;"); ","")&amp;IF(J831&lt;=0,"Kein Verbrauch; ","")&amp;IF(CH831&gt;0,"Lift "&amp;W831&amp;" lt. Liftbericht (Fach "&amp;X831&amp;" Stk); ",IF(BU831=1,"Gebinde geschätzt ("&amp;T831&amp;"); ",IF(BT831=1,"Lose – Tablare geschätzt; ","")))&amp;IF(H831&gt;AR831,"Überbestand "&amp;ROUND(H831-AR831,0)&amp;" Stk / CHF "&amp;ROUND((H831-AR831)*G831,0)&amp;"; ","")&amp;IF(AND(CA831=1,CB831&lt;CC831),"MAX &lt; MB+LG; ","")&amp;IF(AND(CG831&gt;0,CF831*10&gt;CG831),"zu hoch für Tablar; ","")&amp;IF(AND(BP831=0,OR(CA831=1,AA831&lt;&gt;"",U831&lt;&gt;"",V831&lt;&gt;"",AB831&lt;&gt;"")),"manuell übersteuert; ","")&amp;IF(AND(BT831=0,R831=0),"Gebinde unbekannt / Stellmass fehlt; ","")&amp;IF(AND(BT831=0,N(V831)&lt;=0,N(Q831)&lt;=0),"Menge pro Gebinde fehlt (Ist = 1 Gebinde); ","")&amp;BO831)</f>
        <v>negativer Bestand (Export -10); Kein Verbrauch; Gebinde geschätzt (Klein); Menge pro Gebinde fehlt (Ist = 1 Gebinde); </v>
      </c>
      <c r="BH831" s="55"/>
      <c r="BI831" s="55"/>
      <c r="BJ831" s="62"/>
      <c r="BK831" s="57" t="n">
        <v>-10</v>
      </c>
      <c r="BL831" s="57" t="n">
        <v>10</v>
      </c>
      <c r="BM831" s="56" t="n">
        <v>-11</v>
      </c>
      <c r="BN831" s="57" t="n">
        <v>0</v>
      </c>
      <c r="BO831" s="55"/>
      <c r="BP831" s="60" t="n">
        <v>0</v>
      </c>
      <c r="BQ831" s="60" t="n">
        <v>831</v>
      </c>
      <c r="BR831" s="55" t="str">
        <f aca="false">IF(U831&lt;&gt;"",UPPER(TRIM(U831)),IF(BU831=1,UPPER(VLOOKUP(T831,Parameter!$I$27:$K$29,2,0)),IF(P831="","LOSE",P831)))</f>
        <v>S51</v>
      </c>
      <c r="BS831" s="57" t="n">
        <f aca="false">IF(BR831="LOSE",1,IF(N(V831)&gt;0,V831,IF(BU831=1,MAX(1,N(VLOOKUP(T831,Parameter!$I$27:$K$29,3,0)),H831,N(N831)),IF(N(Q831)&gt;0,Q831,MAX(1,H831)))))</f>
        <v>20</v>
      </c>
      <c r="BT831" s="60" t="n">
        <f aca="false">IF(BR831="LOSE",1,0)</f>
        <v>0</v>
      </c>
      <c r="BU831" s="60" t="n">
        <f aca="false">IF(AND(U831="",OR(P831="",P831="LOSE"),T831&lt;&gt;"",N(S831)&lt;=0,ISNUMBER(MATCH(T831,Parameter!$I$27:$I$29,0))),1,0)</f>
        <v>1</v>
      </c>
      <c r="BV831" s="55" t="str">
        <f aca="false">IF(AND(Parameter!$B$19="Ja",E831&lt;&gt;"",ISNUMBER(MATCH(E831,Parameter!$I$35:$I$52,0))),VLOOKUP(E831,Parameter!$I$35:$J$52,2,0),IFERROR(VLOOKUP(D831,Parameter!$A$35:$C$64,2,0),"Nein"))</f>
        <v>2+3</v>
      </c>
      <c r="BW831" s="59" t="n">
        <f aca="false">IF(BT831=0,0,IF(N(S831)&gt;0,S831,IFERROR(VLOOKUP(D831,Parameter!$A$35:$C$64,3,0)+0,0)))</f>
        <v>0</v>
      </c>
      <c r="BX831" s="55" t="n">
        <f aca="false">IF(AA831&lt;&gt;"",AA831,Z831)</f>
        <v>3</v>
      </c>
      <c r="BY831" s="55" t="str">
        <f aca="false">IF(BX831=1,"L1",IF(OR(BX831=2,BX831=3),"L23",IF(BX831="Aussen","Aussen","-")))</f>
        <v>L23</v>
      </c>
      <c r="BZ831" s="66" t="n">
        <f aca="false">IF(N(AB831)&gt;0,AB831,0)</f>
        <v>0</v>
      </c>
      <c r="CA831" s="60" t="n">
        <f aca="false">IF(ISNUMBER(AE831),1,0)</f>
        <v>0</v>
      </c>
      <c r="CB831" s="57" t="n">
        <f aca="false">N(AE831)</f>
        <v>0</v>
      </c>
      <c r="CC831" s="57" t="n">
        <f aca="false">N(M831)+N(N831)</f>
        <v>1</v>
      </c>
      <c r="CD831" s="57" t="n">
        <f aca="false">ROUNDUP(H831/BS831,0)</f>
        <v>0</v>
      </c>
      <c r="CE831" s="57" t="n">
        <f aca="false">ROUNDUP(CB831/BS831,0)</f>
        <v>0</v>
      </c>
      <c r="CF831" s="60" t="n">
        <f aca="false">IF(BT831=1,0,IFERROR(VLOOKUP(BR831,'Gebinde-Kategorie'!$A$5:$M$45,5,0)+0,0))</f>
        <v>11</v>
      </c>
      <c r="CG831" s="60" t="n">
        <f aca="false">IFERROR(IF(OR(BX831=1,BX831=2,BX831=3),N(INDEX(Parameter!$I$5:$I$7,BX831)),0),0)</f>
        <v>0</v>
      </c>
      <c r="CH831" s="59" t="n">
        <f aca="false">IF(AND(Parameter!$B$21="Ja",ISNUMBER(W831),N(X831)&gt;0),IFERROR(N(INDEX(Parameter!$L$5:$L$7,W831))*INDEX(Parameter!$E$5:$E$7,W831)*X831/SUMIFS($X$7:$X$1843,$W$7:$W$1843,W831),0),0)</f>
        <v>0</v>
      </c>
    </row>
    <row r="832" customFormat="false" ht="15" hidden="false" customHeight="false" outlineLevel="0" collapsed="false">
      <c r="A832" s="55" t="s">
        <v>1600</v>
      </c>
      <c r="B832" s="55" t="s">
        <v>1601</v>
      </c>
      <c r="C832" s="55" t="s">
        <v>164</v>
      </c>
      <c r="D832" s="55" t="s">
        <v>184</v>
      </c>
      <c r="E832" s="55" t="s">
        <v>185</v>
      </c>
      <c r="F832" s="55" t="s">
        <v>218</v>
      </c>
      <c r="G832" s="56" t="n">
        <v>1.13</v>
      </c>
      <c r="H832" s="57" t="n">
        <f aca="false">MAX(0,IF(AND(Parameter!$B$21="Ja",ISNUMBER(Y832)),Y832,IF(Parameter!$B$20="Jahresanfang 2025 + Export",BL832+BK832,BK832)))</f>
        <v>10</v>
      </c>
      <c r="I832" s="57" t="n">
        <f aca="false">H832*G832</f>
        <v>11.3</v>
      </c>
      <c r="J832" s="57" t="n">
        <f aca="false">BN832*Parameter!$B$18</f>
        <v>7</v>
      </c>
      <c r="K832" s="58" t="n">
        <v>17.5</v>
      </c>
      <c r="L832" s="59" t="n">
        <v>0.4</v>
      </c>
      <c r="M832" s="57" t="n">
        <v>0</v>
      </c>
      <c r="N832" s="57" t="n">
        <v>10</v>
      </c>
      <c r="O832" s="60" t="n">
        <v>14</v>
      </c>
      <c r="P832" s="55" t="s">
        <v>426</v>
      </c>
      <c r="Q832" s="57" t="n">
        <v>20</v>
      </c>
      <c r="R832" s="60" t="n">
        <f aca="false">IF(BT832=1,0,IFERROR(VLOOKUP(BR832,'Gebinde-Kategorie'!$A$5:$M$45,13,0)+0,0))</f>
        <v>198</v>
      </c>
      <c r="S832" s="61"/>
      <c r="T832" s="62"/>
      <c r="U832" s="62"/>
      <c r="V832" s="62"/>
      <c r="W832" s="55"/>
      <c r="X832" s="57"/>
      <c r="Y832" s="57"/>
      <c r="Z832" s="55" t="n">
        <f aca="false">IF(A832="","",IF(AND(Parameter!$B$21="Ja",ISNUMBER(W832)),W832,IF(BV832="2+3",IF(ISNUMBER(SEARCH("grosser Artikel",BO832)),2,IFERROR(VLOOKUP(BR832,Parameter!$F$35:$G$64,2,0),2)),IF(OR(BV832="Nein",BV832=""),"-",BV832))))</f>
        <v>3</v>
      </c>
      <c r="AA832" s="62"/>
      <c r="AB832" s="63"/>
      <c r="AC832" s="57" t="n">
        <f aca="false">AR832</f>
        <v>20</v>
      </c>
      <c r="AD832" s="57" t="n">
        <f aca="false">MAX(AR832,H832)</f>
        <v>20</v>
      </c>
      <c r="AE832" s="64"/>
      <c r="AF832" s="57" t="n">
        <f aca="false">IF(LEFT(Cockpit!$C$5,1)="A",H832,IF(CA832=1,CB832,IF(LEFT(Cockpit!$C$5,1)="B",AJ832,MAX(AJ832,H832))))</f>
        <v>10</v>
      </c>
      <c r="AG832" s="57" t="n">
        <f aca="false">IF(BT832=1,0,ROUNDUP(AF832/BS832,0))</f>
        <v>1</v>
      </c>
      <c r="AH832" s="59" t="n">
        <f aca="false">IF(CH832&gt;0,CH832*MAX(1,AF832/X832),IF(BT832=1,IF(AF832&lt;=0,0,BW832*MAX(1,IF(H832&gt;0,AF832/H832,1))),IF(R832&gt;0,AG832/R832,0))/MAX(0.1,N(Parameter!$M$21)))</f>
        <v>0.00505050505050505</v>
      </c>
      <c r="AI832" s="57" t="n">
        <f aca="false">AF832*G832</f>
        <v>11.3</v>
      </c>
      <c r="AJ832" s="57" t="n">
        <f aca="false">ROUNDUP(MAX(J832/IF(BZ832&gt;0,BZ832,MAX(0.1,N(Cockpit!$C$6))),CC832)/BS832,0)*BS832</f>
        <v>20</v>
      </c>
      <c r="AK832" s="58" t="n">
        <f aca="false">IF(AH832&gt;0,J832/AH832,-1)</f>
        <v>1386</v>
      </c>
      <c r="AL832" s="58" t="n">
        <f aca="false">IF(AND(OR(BY832="L1",BY832="L23"),AH832&gt;0),SUMIFS($AH$7:$AH$1843,$BY$7:$BY$1843,BY832,$AK$7:$AK$1843,"&gt;"&amp;AK832)+SUMIFS($AH$7:$AH$1843,$BY$7:$BY$1843,BY832,$AK$7:$AK$1843,AK832,$BQ$7:$BQ$1843,"&lt;="&amp;BQ832),"")</f>
        <v>16.099413871153</v>
      </c>
      <c r="AM832" s="65" t="n">
        <f aca="false">IF(AL832="",0,MAX(0,MIN(1,(IF(BY832="L1",Parameter!$E$5,Parameter!$E$6+Parameter!$E$7)-(AL832-AH832))/AH832)))</f>
        <v>1</v>
      </c>
      <c r="AN832" s="57" t="n">
        <f aca="false">IF(LEFT(Cockpit!$I$5,1)="A",H832,IF(CA832=1,CB832,IF(LEFT(Cockpit!$I$5,1)="B",AR832,MAX(AR832,H832))))</f>
        <v>20</v>
      </c>
      <c r="AO832" s="57" t="n">
        <f aca="false">IF(BT832=1,0,ROUNDUP(AN832/BS832,0))</f>
        <v>1</v>
      </c>
      <c r="AP832" s="59" t="n">
        <f aca="false">IF(CH832&gt;0,CH832*MAX(1,AN832/X832),IF(BT832=1,IF(AN832&lt;=0,0,BW832*MAX(1,IF(H832&gt;0,AN832/H832,1))),IF(R832&gt;0,AO832/R832,0))/MAX(0.1,N(Parameter!$M$21)))</f>
        <v>0.00505050505050505</v>
      </c>
      <c r="AQ832" s="57" t="n">
        <f aca="false">AN832*G832</f>
        <v>22.6</v>
      </c>
      <c r="AR832" s="57" t="n">
        <f aca="false">ROUNDUP(MAX(J832/IF(BZ832&gt;0,BZ832,MAX(0.1,N(Cockpit!$I$6))),CC832)/BS832,0)*BS832</f>
        <v>20</v>
      </c>
      <c r="AS832" s="58" t="n">
        <f aca="false">IF(AP832&gt;0,J832/AP832,-1)</f>
        <v>1386</v>
      </c>
      <c r="AT832" s="58" t="n">
        <f aca="false">IF(AND(OR(BY832="L1",BY832="L23"),AP832&gt;0),SUMIFS($AP$7:$AP$1843,$BY$7:$BY$1843,BY832,$AS$7:$AS$1843,"&gt;"&amp;AS832)+SUMIFS($AP$7:$AP$1843,$BY$7:$BY$1843,BY832,$AS$7:$AS$1843,AS832,$BQ$7:$BQ$1843,"&lt;="&amp;BQ832),"")</f>
        <v>21.2063443802574</v>
      </c>
      <c r="AU832" s="65" t="n">
        <f aca="false">IF(AT832="",0,MAX(0,MIN(1,(IF(BY832="L1",Parameter!$E$5,Parameter!$E$6+Parameter!$E$7)-(AT832-AP832))/AP832)))</f>
        <v>1</v>
      </c>
      <c r="AV832" s="57" t="n">
        <f aca="false">IF(LEFT(Cockpit!$O$5,1)="A",H832,IF(CA832=1,CB832,IF(LEFT(Cockpit!$O$5,1)="B",AZ832,MAX(AZ832,H832))))</f>
        <v>20</v>
      </c>
      <c r="AW832" s="57" t="n">
        <f aca="false">IF(BT832=1,0,ROUNDUP(AV832/BS832,0))</f>
        <v>1</v>
      </c>
      <c r="AX832" s="59" t="n">
        <f aca="false">IF(CH832&gt;0,CH832*MAX(1,AV832/X832),IF(BT832=1,IF(AV832&lt;=0,0,BW832*MAX(1,IF(H832&gt;0,AV832/H832,1))),IF(R832&gt;0,AW832/R832,0))/MAX(0.1,N(Parameter!$M$21)))</f>
        <v>0.00505050505050505</v>
      </c>
      <c r="AY832" s="57" t="n">
        <f aca="false">AV832*G832</f>
        <v>22.6</v>
      </c>
      <c r="AZ832" s="57" t="n">
        <f aca="false">ROUNDUP(MAX(J832/IF(BZ832&gt;0,BZ832,MAX(0.1,N(Cockpit!$O$6))),CC832)/BS832,0)*BS832</f>
        <v>20</v>
      </c>
      <c r="BA832" s="58" t="n">
        <f aca="false">IF(AX832&gt;0,J832/AX832,-1)</f>
        <v>1386</v>
      </c>
      <c r="BB832" s="58" t="n">
        <f aca="false">IF(AND(OR(BY832="L1",BY832="L23"),AX832&gt;0),SUMIFS($AX$7:$AX$1843,$BY$7:$BY$1843,BY832,$BA$7:$BA$1843,"&gt;"&amp;BA832)+SUMIFS($AX$7:$AX$1843,$BY$7:$BY$1843,BY832,$BA$7:$BA$1843,BA832,$BQ$7:$BQ$1843,"&lt;="&amp;BQ832),"")</f>
        <v>19.9015658254789</v>
      </c>
      <c r="BC832" s="65" t="n">
        <f aca="false">IF(BB832="",0,MAX(0,MIN(1,(IF(BY832="L1",Parameter!$E$5,Parameter!$E$6+Parameter!$E$7)-(BB832-AX832))/AX832)))</f>
        <v>1</v>
      </c>
      <c r="BD832" s="55" t="str">
        <f aca="false">IF(AH832&lt;=0,"",IF(BY832="Aussen","Aussenlager",IF(BY832="-","Nicht im Lift",IF(AM832&gt;=1,"Lift",IF(AM832&lt;=0,"Aussenlager","teilweise")))))</f>
        <v>Lift</v>
      </c>
      <c r="BE832" s="55" t="str">
        <f aca="false">IF(AP832&lt;=0,"",IF(BY832="Aussen","Aussenlager",IF(BY832="-","Nicht im Lift",IF(AU832&gt;=1,"Lift",IF(AU832&lt;=0,"Aussenlager","teilweise")))))</f>
        <v>Lift</v>
      </c>
      <c r="BF832" s="55" t="str">
        <f aca="false">IF(AX832&lt;=0,"",IF(BY832="Aussen","Aussenlager",IF(BY832="-","Nicht im Lift",IF(BC832&gt;=1,"Lift",IF(BC832&lt;=0,"Aussenlager","teilweise")))))</f>
        <v>Lift</v>
      </c>
      <c r="BG832" s="55" t="str">
        <f aca="false">IF(A832="","",IF(BP832=1,"Neu; ","")&amp;IF(AND(BP832=0,BK832&lt;0),"negativer Bestand (Export "&amp;BK832&amp;"); ","")&amp;IF(J832&lt;=0,"Kein Verbrauch; ","")&amp;IF(CH832&gt;0,"Lift "&amp;W832&amp;" lt. Liftbericht (Fach "&amp;X832&amp;" Stk); ",IF(BU832=1,"Gebinde geschätzt ("&amp;T832&amp;"); ",IF(BT832=1,"Lose – Tablare geschätzt; ","")))&amp;IF(H832&gt;AR832,"Überbestand "&amp;ROUND(H832-AR832,0)&amp;" Stk / CHF "&amp;ROUND((H832-AR832)*G832,0)&amp;"; ","")&amp;IF(AND(CA832=1,CB832&lt;CC832),"MAX &lt; MB+LG; ","")&amp;IF(AND(CG832&gt;0,CF832*10&gt;CG832),"zu hoch für Tablar; ","")&amp;IF(AND(BP832=0,OR(CA832=1,AA832&lt;&gt;"",U832&lt;&gt;"",V832&lt;&gt;"",AB832&lt;&gt;"")),"manuell übersteuert; ","")&amp;IF(AND(BT832=0,R832=0),"Gebinde unbekannt / Stellmass fehlt; ","")&amp;IF(AND(BT832=0,N(V832)&lt;=0,N(Q832)&lt;=0),"Menge pro Gebinde fehlt (Ist = 1 Gebinde); ","")&amp;BO832)</f>
        <v>negativer Bestand (Export -10); </v>
      </c>
      <c r="BH832" s="55"/>
      <c r="BI832" s="55"/>
      <c r="BJ832" s="62"/>
      <c r="BK832" s="57" t="n">
        <v>-10</v>
      </c>
      <c r="BL832" s="57" t="n">
        <v>20</v>
      </c>
      <c r="BM832" s="56" t="n">
        <v>-11.1</v>
      </c>
      <c r="BN832" s="57" t="n">
        <v>7</v>
      </c>
      <c r="BO832" s="55"/>
      <c r="BP832" s="60" t="n">
        <v>0</v>
      </c>
      <c r="BQ832" s="60" t="n">
        <v>832</v>
      </c>
      <c r="BR832" s="55" t="str">
        <f aca="false">IF(U832&lt;&gt;"",UPPER(TRIM(U832)),IF(BU832=1,UPPER(VLOOKUP(T832,Parameter!$I$27:$K$29,2,0)),IF(P832="","LOSE",P832)))</f>
        <v>S22</v>
      </c>
      <c r="BS832" s="57" t="n">
        <f aca="false">IF(BR832="LOSE",1,IF(N(V832)&gt;0,V832,IF(BU832=1,MAX(1,N(VLOOKUP(T832,Parameter!$I$27:$K$29,3,0)),H832,N(N832)),IF(N(Q832)&gt;0,Q832,MAX(1,H832)))))</f>
        <v>20</v>
      </c>
      <c r="BT832" s="60" t="n">
        <f aca="false">IF(BR832="LOSE",1,0)</f>
        <v>0</v>
      </c>
      <c r="BU832" s="60" t="n">
        <f aca="false">IF(AND(U832="",OR(P832="",P832="LOSE"),T832&lt;&gt;"",N(S832)&lt;=0,ISNUMBER(MATCH(T832,Parameter!$I$27:$I$29,0))),1,0)</f>
        <v>0</v>
      </c>
      <c r="BV832" s="55" t="str">
        <f aca="false">IF(AND(Parameter!$B$19="Ja",E832&lt;&gt;"",ISNUMBER(MATCH(E832,Parameter!$I$35:$I$52,0))),VLOOKUP(E832,Parameter!$I$35:$J$52,2,0),IFERROR(VLOOKUP(D832,Parameter!$A$35:$C$64,2,0),"Nein"))</f>
        <v>2+3</v>
      </c>
      <c r="BW832" s="59" t="n">
        <f aca="false">IF(BT832=0,0,IF(N(S832)&gt;0,S832,IFERROR(VLOOKUP(D832,Parameter!$A$35:$C$64,3,0)+0,0)))</f>
        <v>0</v>
      </c>
      <c r="BX832" s="55" t="n">
        <f aca="false">IF(AA832&lt;&gt;"",AA832,Z832)</f>
        <v>3</v>
      </c>
      <c r="BY832" s="55" t="str">
        <f aca="false">IF(BX832=1,"L1",IF(OR(BX832=2,BX832=3),"L23",IF(BX832="Aussen","Aussen","-")))</f>
        <v>L23</v>
      </c>
      <c r="BZ832" s="66" t="n">
        <f aca="false">IF(N(AB832)&gt;0,AB832,0)</f>
        <v>0</v>
      </c>
      <c r="CA832" s="60" t="n">
        <f aca="false">IF(ISNUMBER(AE832),1,0)</f>
        <v>0</v>
      </c>
      <c r="CB832" s="57" t="n">
        <f aca="false">N(AE832)</f>
        <v>0</v>
      </c>
      <c r="CC832" s="57" t="n">
        <f aca="false">N(M832)+N(N832)</f>
        <v>10</v>
      </c>
      <c r="CD832" s="57" t="n">
        <f aca="false">ROUNDUP(H832/BS832,0)</f>
        <v>1</v>
      </c>
      <c r="CE832" s="57" t="n">
        <f aca="false">ROUNDUP(CB832/BS832,0)</f>
        <v>0</v>
      </c>
      <c r="CF832" s="60" t="n">
        <f aca="false">IF(BT832=1,0,IFERROR(VLOOKUP(BR832,'Gebinde-Kategorie'!$A$5:$M$45,5,0)+0,0))</f>
        <v>8</v>
      </c>
      <c r="CG832" s="60" t="n">
        <f aca="false">IFERROR(IF(OR(BX832=1,BX832=2,BX832=3),N(INDEX(Parameter!$I$5:$I$7,BX832)),0),0)</f>
        <v>0</v>
      </c>
      <c r="CH832" s="59" t="n">
        <f aca="false">IF(AND(Parameter!$B$21="Ja",ISNUMBER(W832),N(X832)&gt;0),IFERROR(N(INDEX(Parameter!$L$5:$L$7,W832))*INDEX(Parameter!$E$5:$E$7,W832)*X832/SUMIFS($X$7:$X$1843,$W$7:$W$1843,W832),0),0)</f>
        <v>0</v>
      </c>
    </row>
    <row r="833" customFormat="false" ht="15" hidden="false" customHeight="false" outlineLevel="0" collapsed="false">
      <c r="A833" s="55" t="s">
        <v>1602</v>
      </c>
      <c r="B833" s="55" t="s">
        <v>1136</v>
      </c>
      <c r="C833" s="55" t="s">
        <v>164</v>
      </c>
      <c r="D833" s="55" t="s">
        <v>184</v>
      </c>
      <c r="E833" s="55"/>
      <c r="F833" s="55" t="s">
        <v>218</v>
      </c>
      <c r="G833" s="56" t="n">
        <v>3.91</v>
      </c>
      <c r="H833" s="57" t="n">
        <f aca="false">MAX(0,IF(AND(Parameter!$B$21="Ja",ISNUMBER(Y833)),Y833,IF(Parameter!$B$20="Jahresanfang 2025 + Export",BL833+BK833,BK833)))</f>
        <v>2</v>
      </c>
      <c r="I833" s="57" t="n">
        <f aca="false">H833*G833</f>
        <v>7.82</v>
      </c>
      <c r="J833" s="57" t="n">
        <f aca="false">BN833*Parameter!$B$18</f>
        <v>5</v>
      </c>
      <c r="K833" s="58" t="n">
        <v>14</v>
      </c>
      <c r="L833" s="59" t="n">
        <v>0.357142857142857</v>
      </c>
      <c r="M833" s="57" t="n">
        <v>0</v>
      </c>
      <c r="N833" s="57" t="n">
        <v>5</v>
      </c>
      <c r="O833" s="60" t="n">
        <v>14</v>
      </c>
      <c r="P833" s="55" t="s">
        <v>168</v>
      </c>
      <c r="Q833" s="57"/>
      <c r="R833" s="60" t="n">
        <f aca="false">IF(BT833=1,0,IFERROR(VLOOKUP(BR833,'Gebinde-Kategorie'!$A$5:$M$45,13,0)+0,0))</f>
        <v>26</v>
      </c>
      <c r="S833" s="61"/>
      <c r="T833" s="62" t="s">
        <v>275</v>
      </c>
      <c r="U833" s="62"/>
      <c r="V833" s="62"/>
      <c r="W833" s="55"/>
      <c r="X833" s="57"/>
      <c r="Y833" s="57"/>
      <c r="Z833" s="55" t="n">
        <f aca="false">IF(A833="","",IF(AND(Parameter!$B$21="Ja",ISNUMBER(W833)),W833,IF(BV833="2+3",IF(ISNUMBER(SEARCH("grosser Artikel",BO833)),2,IFERROR(VLOOKUP(BR833,Parameter!$F$35:$G$64,2,0),2)),IF(OR(BV833="Nein",BV833=""),"-",BV833))))</f>
        <v>3</v>
      </c>
      <c r="AA833" s="62"/>
      <c r="AB833" s="63"/>
      <c r="AC833" s="57" t="n">
        <f aca="false">AR833</f>
        <v>20</v>
      </c>
      <c r="AD833" s="57" t="n">
        <f aca="false">MAX(AR833,H833)</f>
        <v>20</v>
      </c>
      <c r="AE833" s="64"/>
      <c r="AF833" s="57" t="n">
        <f aca="false">IF(LEFT(Cockpit!$C$5,1)="A",H833,IF(CA833=1,CB833,IF(LEFT(Cockpit!$C$5,1)="B",AJ833,MAX(AJ833,H833))))</f>
        <v>2</v>
      </c>
      <c r="AG833" s="57" t="n">
        <f aca="false">IF(BT833=1,0,ROUNDUP(AF833/BS833,0))</f>
        <v>1</v>
      </c>
      <c r="AH833" s="59" t="n">
        <f aca="false">IF(CH833&gt;0,CH833*MAX(1,AF833/X833),IF(BT833=1,IF(AF833&lt;=0,0,BW833*MAX(1,IF(H833&gt;0,AF833/H833,1))),IF(R833&gt;0,AG833/R833,0))/MAX(0.1,N(Parameter!$M$21)))</f>
        <v>0.0384615384615385</v>
      </c>
      <c r="AI833" s="57" t="n">
        <f aca="false">AF833*G833</f>
        <v>7.82</v>
      </c>
      <c r="AJ833" s="57" t="n">
        <f aca="false">ROUNDUP(MAX(J833/IF(BZ833&gt;0,BZ833,MAX(0.1,N(Cockpit!$C$6))),CC833)/BS833,0)*BS833</f>
        <v>20</v>
      </c>
      <c r="AK833" s="58" t="n">
        <f aca="false">IF(AH833&gt;0,J833/AH833,-1)</f>
        <v>130</v>
      </c>
      <c r="AL833" s="58" t="n">
        <f aca="false">IF(AND(OR(BY833="L1",BY833="L23"),AH833&gt;0),SUMIFS($AH$7:$AH$1843,$BY$7:$BY$1843,BY833,$AK$7:$AK$1843,"&gt;"&amp;AK833)+SUMIFS($AH$7:$AH$1843,$BY$7:$BY$1843,BY833,$AK$7:$AK$1843,AK833,$BQ$7:$BQ$1843,"&lt;="&amp;BQ833),"")</f>
        <v>36.3803334346813</v>
      </c>
      <c r="AM833" s="65" t="n">
        <f aca="false">IF(AL833="",0,MAX(0,MIN(1,(IF(BY833="L1",Parameter!$E$5,Parameter!$E$6+Parameter!$E$7)-(AL833-AH833))/AH833)))</f>
        <v>1</v>
      </c>
      <c r="AN833" s="57" t="n">
        <f aca="false">IF(LEFT(Cockpit!$I$5,1)="A",H833,IF(CA833=1,CB833,IF(LEFT(Cockpit!$I$5,1)="B",AR833,MAX(AR833,H833))))</f>
        <v>20</v>
      </c>
      <c r="AO833" s="57" t="n">
        <f aca="false">IF(BT833=1,0,ROUNDUP(AN833/BS833,0))</f>
        <v>1</v>
      </c>
      <c r="AP833" s="59" t="n">
        <f aca="false">IF(CH833&gt;0,CH833*MAX(1,AN833/X833),IF(BT833=1,IF(AN833&lt;=0,0,BW833*MAX(1,IF(H833&gt;0,AN833/H833,1))),IF(R833&gt;0,AO833/R833,0))/MAX(0.1,N(Parameter!$M$21)))</f>
        <v>0.0384615384615385</v>
      </c>
      <c r="AQ833" s="57" t="n">
        <f aca="false">AN833*G833</f>
        <v>78.2</v>
      </c>
      <c r="AR833" s="57" t="n">
        <f aca="false">ROUNDUP(MAX(J833/IF(BZ833&gt;0,BZ833,MAX(0.1,N(Cockpit!$I$6))),CC833)/BS833,0)*BS833</f>
        <v>20</v>
      </c>
      <c r="AS833" s="58" t="n">
        <f aca="false">IF(AP833&gt;0,J833/AP833,-1)</f>
        <v>130</v>
      </c>
      <c r="AT833" s="58" t="n">
        <f aca="false">IF(AND(OR(BY833="L1",BY833="L23"),AP833&gt;0),SUMIFS($AP$7:$AP$1843,$BY$7:$BY$1843,BY833,$AS$7:$AS$1843,"&gt;"&amp;AS833)+SUMIFS($AP$7:$AP$1843,$BY$7:$BY$1843,BY833,$AS$7:$AS$1843,AS833,$BQ$7:$BQ$1843,"&lt;="&amp;BQ833),"")</f>
        <v>52.6511942164116</v>
      </c>
      <c r="AU833" s="65" t="n">
        <f aca="false">IF(AT833="",0,MAX(0,MIN(1,(IF(BY833="L1",Parameter!$E$5,Parameter!$E$6+Parameter!$E$7)-(AT833-AP833))/AP833)))</f>
        <v>1</v>
      </c>
      <c r="AV833" s="57" t="n">
        <f aca="false">IF(LEFT(Cockpit!$O$5,1)="A",H833,IF(CA833=1,CB833,IF(LEFT(Cockpit!$O$5,1)="B",AZ833,MAX(AZ833,H833))))</f>
        <v>20</v>
      </c>
      <c r="AW833" s="57" t="n">
        <f aca="false">IF(BT833=1,0,ROUNDUP(AV833/BS833,0))</f>
        <v>1</v>
      </c>
      <c r="AX833" s="59" t="n">
        <f aca="false">IF(CH833&gt;0,CH833*MAX(1,AV833/X833),IF(BT833=1,IF(AV833&lt;=0,0,BW833*MAX(1,IF(H833&gt;0,AV833/H833,1))),IF(R833&gt;0,AW833/R833,0))/MAX(0.1,N(Parameter!$M$21)))</f>
        <v>0.0384615384615385</v>
      </c>
      <c r="AY833" s="57" t="n">
        <f aca="false">AV833*G833</f>
        <v>78.2</v>
      </c>
      <c r="AZ833" s="57" t="n">
        <f aca="false">ROUNDUP(MAX(J833/IF(BZ833&gt;0,BZ833,MAX(0.1,N(Cockpit!$O$6))),CC833)/BS833,0)*BS833</f>
        <v>20</v>
      </c>
      <c r="BA833" s="58" t="n">
        <f aca="false">IF(AX833&gt;0,J833/AX833,-1)</f>
        <v>130</v>
      </c>
      <c r="BB833" s="58" t="n">
        <f aca="false">IF(AND(OR(BY833="L1",BY833="L23"),AX833&gt;0),SUMIFS($AX$7:$AX$1843,$BY$7:$BY$1843,BY833,$BA$7:$BA$1843,"&gt;"&amp;BA833)+SUMIFS($AX$7:$AX$1843,$BY$7:$BY$1843,BY833,$BA$7:$BA$1843,BA833,$BQ$7:$BQ$1843,"&lt;="&amp;BQ833),"")</f>
        <v>49.2310310462484</v>
      </c>
      <c r="BC833" s="65" t="n">
        <f aca="false">IF(BB833="",0,MAX(0,MIN(1,(IF(BY833="L1",Parameter!$E$5,Parameter!$E$6+Parameter!$E$7)-(BB833-AX833))/AX833)))</f>
        <v>1</v>
      </c>
      <c r="BD833" s="55" t="str">
        <f aca="false">IF(AH833&lt;=0,"",IF(BY833="Aussen","Aussenlager",IF(BY833="-","Nicht im Lift",IF(AM833&gt;=1,"Lift",IF(AM833&lt;=0,"Aussenlager","teilweise")))))</f>
        <v>Lift</v>
      </c>
      <c r="BE833" s="55" t="str">
        <f aca="false">IF(AP833&lt;=0,"",IF(BY833="Aussen","Aussenlager",IF(BY833="-","Nicht im Lift",IF(AU833&gt;=1,"Lift",IF(AU833&lt;=0,"Aussenlager","teilweise")))))</f>
        <v>Lift</v>
      </c>
      <c r="BF833" s="55" t="str">
        <f aca="false">IF(AX833&lt;=0,"",IF(BY833="Aussen","Aussenlager",IF(BY833="-","Nicht im Lift",IF(BC833&gt;=1,"Lift",IF(BC833&lt;=0,"Aussenlager","teilweise")))))</f>
        <v>Lift</v>
      </c>
      <c r="BG833" s="55" t="str">
        <f aca="false">IF(A833="","",IF(BP833=1,"Neu; ","")&amp;IF(AND(BP833=0,BK833&lt;0),"negativer Bestand (Export "&amp;BK833&amp;"); ","")&amp;IF(J833&lt;=0,"Kein Verbrauch; ","")&amp;IF(CH833&gt;0,"Lift "&amp;W833&amp;" lt. Liftbericht (Fach "&amp;X833&amp;" Stk); ",IF(BU833=1,"Gebinde geschätzt ("&amp;T833&amp;"); ",IF(BT833=1,"Lose – Tablare geschätzt; ","")))&amp;IF(H833&gt;AR833,"Überbestand "&amp;ROUND(H833-AR833,0)&amp;" Stk / CHF "&amp;ROUND((H833-AR833)*G833,0)&amp;"; ","")&amp;IF(AND(CA833=1,CB833&lt;CC833),"MAX &lt; MB+LG; ","")&amp;IF(AND(CG833&gt;0,CF833*10&gt;CG833),"zu hoch für Tablar; ","")&amp;IF(AND(BP833=0,OR(CA833=1,AA833&lt;&gt;"",U833&lt;&gt;"",V833&lt;&gt;"",AB833&lt;&gt;"")),"manuell übersteuert; ","")&amp;IF(AND(BT833=0,R833=0),"Gebinde unbekannt / Stellmass fehlt; ","")&amp;IF(AND(BT833=0,N(V833)&lt;=0,N(Q833)&lt;=0),"Menge pro Gebinde fehlt (Ist = 1 Gebinde); ","")&amp;BO833)</f>
        <v>Gebinde geschätzt (Klein); Menge pro Gebinde fehlt (Ist = 1 Gebinde); </v>
      </c>
      <c r="BH833" s="55"/>
      <c r="BI833" s="55"/>
      <c r="BJ833" s="62"/>
      <c r="BK833" s="57" t="n">
        <v>0</v>
      </c>
      <c r="BL833" s="57" t="n">
        <v>2</v>
      </c>
      <c r="BM833" s="56" t="n">
        <v>-11.26</v>
      </c>
      <c r="BN833" s="57" t="n">
        <v>5</v>
      </c>
      <c r="BO833" s="55"/>
      <c r="BP833" s="60" t="n">
        <v>0</v>
      </c>
      <c r="BQ833" s="60" t="n">
        <v>833</v>
      </c>
      <c r="BR833" s="55" t="str">
        <f aca="false">IF(U833&lt;&gt;"",UPPER(TRIM(U833)),IF(BU833=1,UPPER(VLOOKUP(T833,Parameter!$I$27:$K$29,2,0)),IF(P833="","LOSE",P833)))</f>
        <v>S51</v>
      </c>
      <c r="BS833" s="57" t="n">
        <f aca="false">IF(BR833="LOSE",1,IF(N(V833)&gt;0,V833,IF(BU833=1,MAX(1,N(VLOOKUP(T833,Parameter!$I$27:$K$29,3,0)),H833,N(N833)),IF(N(Q833)&gt;0,Q833,MAX(1,H833)))))</f>
        <v>20</v>
      </c>
      <c r="BT833" s="60" t="n">
        <f aca="false">IF(BR833="LOSE",1,0)</f>
        <v>0</v>
      </c>
      <c r="BU833" s="60" t="n">
        <f aca="false">IF(AND(U833="",OR(P833="",P833="LOSE"),T833&lt;&gt;"",N(S833)&lt;=0,ISNUMBER(MATCH(T833,Parameter!$I$27:$I$29,0))),1,0)</f>
        <v>1</v>
      </c>
      <c r="BV833" s="55" t="str">
        <f aca="false">IF(AND(Parameter!$B$19="Ja",E833&lt;&gt;"",ISNUMBER(MATCH(E833,Parameter!$I$35:$I$52,0))),VLOOKUP(E833,Parameter!$I$35:$J$52,2,0),IFERROR(VLOOKUP(D833,Parameter!$A$35:$C$64,2,0),"Nein"))</f>
        <v>2+3</v>
      </c>
      <c r="BW833" s="59" t="n">
        <f aca="false">IF(BT833=0,0,IF(N(S833)&gt;0,S833,IFERROR(VLOOKUP(D833,Parameter!$A$35:$C$64,3,0)+0,0)))</f>
        <v>0</v>
      </c>
      <c r="BX833" s="55" t="n">
        <f aca="false">IF(AA833&lt;&gt;"",AA833,Z833)</f>
        <v>3</v>
      </c>
      <c r="BY833" s="55" t="str">
        <f aca="false">IF(BX833=1,"L1",IF(OR(BX833=2,BX833=3),"L23",IF(BX833="Aussen","Aussen","-")))</f>
        <v>L23</v>
      </c>
      <c r="BZ833" s="66" t="n">
        <f aca="false">IF(N(AB833)&gt;0,AB833,0)</f>
        <v>0</v>
      </c>
      <c r="CA833" s="60" t="n">
        <f aca="false">IF(ISNUMBER(AE833),1,0)</f>
        <v>0</v>
      </c>
      <c r="CB833" s="57" t="n">
        <f aca="false">N(AE833)</f>
        <v>0</v>
      </c>
      <c r="CC833" s="57" t="n">
        <f aca="false">N(M833)+N(N833)</f>
        <v>5</v>
      </c>
      <c r="CD833" s="57" t="n">
        <f aca="false">ROUNDUP(H833/BS833,0)</f>
        <v>1</v>
      </c>
      <c r="CE833" s="57" t="n">
        <f aca="false">ROUNDUP(CB833/BS833,0)</f>
        <v>0</v>
      </c>
      <c r="CF833" s="60" t="n">
        <f aca="false">IF(BT833=1,0,IFERROR(VLOOKUP(BR833,'Gebinde-Kategorie'!$A$5:$M$45,5,0)+0,0))</f>
        <v>11</v>
      </c>
      <c r="CG833" s="60" t="n">
        <f aca="false">IFERROR(IF(OR(BX833=1,BX833=2,BX833=3),N(INDEX(Parameter!$I$5:$I$7,BX833)),0),0)</f>
        <v>0</v>
      </c>
      <c r="CH833" s="59" t="n">
        <f aca="false">IF(AND(Parameter!$B$21="Ja",ISNUMBER(W833),N(X833)&gt;0),IFERROR(N(INDEX(Parameter!$L$5:$L$7,W833))*INDEX(Parameter!$E$5:$E$7,W833)*X833/SUMIFS($X$7:$X$1843,$W$7:$W$1843,W833),0),0)</f>
        <v>0</v>
      </c>
    </row>
    <row r="834" customFormat="false" ht="15" hidden="false" customHeight="false" outlineLevel="0" collapsed="false">
      <c r="A834" s="55" t="s">
        <v>1603</v>
      </c>
      <c r="B834" s="55" t="s">
        <v>724</v>
      </c>
      <c r="C834" s="55" t="s">
        <v>164</v>
      </c>
      <c r="D834" s="55" t="s">
        <v>184</v>
      </c>
      <c r="E834" s="55" t="s">
        <v>185</v>
      </c>
      <c r="F834" s="55" t="s">
        <v>218</v>
      </c>
      <c r="G834" s="56" t="n">
        <v>11.59</v>
      </c>
      <c r="H834" s="57" t="n">
        <f aca="false">MAX(0,IF(AND(Parameter!$B$21="Ja",ISNUMBER(Y834)),Y834,IF(Parameter!$B$20="Jahresanfang 2025 + Export",BL834+BK834,BK834)))</f>
        <v>10</v>
      </c>
      <c r="I834" s="57" t="n">
        <f aca="false">H834*G834</f>
        <v>115.9</v>
      </c>
      <c r="J834" s="57" t="n">
        <f aca="false">BN834*Parameter!$B$18</f>
        <v>0</v>
      </c>
      <c r="K834" s="58" t="n">
        <v>10.5</v>
      </c>
      <c r="L834" s="59" t="n">
        <v>0</v>
      </c>
      <c r="M834" s="57" t="n">
        <v>0</v>
      </c>
      <c r="N834" s="57" t="n">
        <v>1</v>
      </c>
      <c r="O834" s="60" t="n">
        <v>14</v>
      </c>
      <c r="P834" s="55" t="s">
        <v>401</v>
      </c>
      <c r="Q834" s="57" t="n">
        <v>11</v>
      </c>
      <c r="R834" s="60" t="n">
        <f aca="false">IF(BT834=1,0,IFERROR(VLOOKUP(BR834,'Gebinde-Kategorie'!$A$5:$M$45,13,0)+0,0))</f>
        <v>414</v>
      </c>
      <c r="S834" s="61"/>
      <c r="T834" s="62"/>
      <c r="U834" s="62"/>
      <c r="V834" s="62"/>
      <c r="W834" s="55"/>
      <c r="X834" s="57"/>
      <c r="Y834" s="57"/>
      <c r="Z834" s="55" t="n">
        <f aca="false">IF(A834="","",IF(AND(Parameter!$B$21="Ja",ISNUMBER(W834)),W834,IF(BV834="2+3",IF(ISNUMBER(SEARCH("grosser Artikel",BO834)),2,IFERROR(VLOOKUP(BR834,Parameter!$F$35:$G$64,2,0),2)),IF(OR(BV834="Nein",BV834=""),"-",BV834))))</f>
        <v>3</v>
      </c>
      <c r="AA834" s="62"/>
      <c r="AB834" s="63"/>
      <c r="AC834" s="57" t="n">
        <f aca="false">AR834</f>
        <v>11</v>
      </c>
      <c r="AD834" s="57" t="n">
        <f aca="false">MAX(AR834,H834)</f>
        <v>11</v>
      </c>
      <c r="AE834" s="64"/>
      <c r="AF834" s="57" t="n">
        <f aca="false">IF(LEFT(Cockpit!$C$5,1)="A",H834,IF(CA834=1,CB834,IF(LEFT(Cockpit!$C$5,1)="B",AJ834,MAX(AJ834,H834))))</f>
        <v>10</v>
      </c>
      <c r="AG834" s="57" t="n">
        <f aca="false">IF(BT834=1,0,ROUNDUP(AF834/BS834,0))</f>
        <v>1</v>
      </c>
      <c r="AH834" s="59" t="n">
        <f aca="false">IF(CH834&gt;0,CH834*MAX(1,AF834/X834),IF(BT834=1,IF(AF834&lt;=0,0,BW834*MAX(1,IF(H834&gt;0,AF834/H834,1))),IF(R834&gt;0,AG834/R834,0))/MAX(0.1,N(Parameter!$M$21)))</f>
        <v>0.00241545893719807</v>
      </c>
      <c r="AI834" s="57" t="n">
        <f aca="false">AF834*G834</f>
        <v>115.9</v>
      </c>
      <c r="AJ834" s="57" t="n">
        <f aca="false">ROUNDUP(MAX(J834/IF(BZ834&gt;0,BZ834,MAX(0.1,N(Cockpit!$C$6))),CC834)/BS834,0)*BS834</f>
        <v>11</v>
      </c>
      <c r="AK834" s="58" t="n">
        <f aca="false">IF(AH834&gt;0,J834/AH834,-1)</f>
        <v>0</v>
      </c>
      <c r="AL834" s="58" t="n">
        <f aca="false">IF(AND(OR(BY834="L1",BY834="L23"),AH834&gt;0),SUMIFS($AH$7:$AH$1843,$BY$7:$BY$1843,BY834,$AK$7:$AK$1843,"&gt;"&amp;AK834)+SUMIFS($AH$7:$AH$1843,$BY$7:$BY$1843,BY834,$AK$7:$AK$1843,AK834,$BQ$7:$BQ$1843,"&lt;="&amp;BQ834),"")</f>
        <v>77.6505101179014</v>
      </c>
      <c r="AM834" s="65" t="n">
        <f aca="false">IF(AL834="",0,MAX(0,MIN(1,(IF(BY834="L1",Parameter!$E$5,Parameter!$E$6+Parameter!$E$7)-(AL834-AH834))/AH834)))</f>
        <v>1</v>
      </c>
      <c r="AN834" s="57" t="n">
        <f aca="false">IF(LEFT(Cockpit!$I$5,1)="A",H834,IF(CA834=1,CB834,IF(LEFT(Cockpit!$I$5,1)="B",AR834,MAX(AR834,H834))))</f>
        <v>11</v>
      </c>
      <c r="AO834" s="57" t="n">
        <f aca="false">IF(BT834=1,0,ROUNDUP(AN834/BS834,0))</f>
        <v>1</v>
      </c>
      <c r="AP834" s="59" t="n">
        <f aca="false">IF(CH834&gt;0,CH834*MAX(1,AN834/X834),IF(BT834=1,IF(AN834&lt;=0,0,BW834*MAX(1,IF(H834&gt;0,AN834/H834,1))),IF(R834&gt;0,AO834/R834,0))/MAX(0.1,N(Parameter!$M$21)))</f>
        <v>0.00241545893719807</v>
      </c>
      <c r="AQ834" s="57" t="n">
        <f aca="false">AN834*G834</f>
        <v>127.49</v>
      </c>
      <c r="AR834" s="57" t="n">
        <f aca="false">ROUNDUP(MAX(J834/IF(BZ834&gt;0,BZ834,MAX(0.1,N(Cockpit!$I$6))),CC834)/BS834,0)*BS834</f>
        <v>11</v>
      </c>
      <c r="AS834" s="58" t="n">
        <f aca="false">IF(AP834&gt;0,J834/AP834,-1)</f>
        <v>0</v>
      </c>
      <c r="AT834" s="58" t="n">
        <f aca="false">IF(AND(OR(BY834="L1",BY834="L23"),AP834&gt;0),SUMIFS($AP$7:$AP$1843,$BY$7:$BY$1843,BY834,$AS$7:$AS$1843,"&gt;"&amp;AS834)+SUMIFS($AP$7:$AP$1843,$BY$7:$BY$1843,BY834,$AS$7:$AS$1843,AS834,$BQ$7:$BQ$1843,"&lt;="&amp;BQ834),"")</f>
        <v>118.57538596669</v>
      </c>
      <c r="AU834" s="65" t="n">
        <f aca="false">IF(AT834="",0,MAX(0,MIN(1,(IF(BY834="L1",Parameter!$E$5,Parameter!$E$6+Parameter!$E$7)-(AT834-AP834))/AP834)))</f>
        <v>0</v>
      </c>
      <c r="AV834" s="57" t="n">
        <f aca="false">IF(LEFT(Cockpit!$O$5,1)="A",H834,IF(CA834=1,CB834,IF(LEFT(Cockpit!$O$5,1)="B",AZ834,MAX(AZ834,H834))))</f>
        <v>11</v>
      </c>
      <c r="AW834" s="57" t="n">
        <f aca="false">IF(BT834=1,0,ROUNDUP(AV834/BS834,0))</f>
        <v>1</v>
      </c>
      <c r="AX834" s="59" t="n">
        <f aca="false">IF(CH834&gt;0,CH834*MAX(1,AV834/X834),IF(BT834=1,IF(AV834&lt;=0,0,BW834*MAX(1,IF(H834&gt;0,AV834/H834,1))),IF(R834&gt;0,AW834/R834,0))/MAX(0.1,N(Parameter!$M$21)))</f>
        <v>0.00241545893719807</v>
      </c>
      <c r="AY834" s="57" t="n">
        <f aca="false">AV834*G834</f>
        <v>127.49</v>
      </c>
      <c r="AZ834" s="57" t="n">
        <f aca="false">ROUNDUP(MAX(J834/IF(BZ834&gt;0,BZ834,MAX(0.1,N(Cockpit!$O$6))),CC834)/BS834,0)*BS834</f>
        <v>11</v>
      </c>
      <c r="BA834" s="58" t="n">
        <f aca="false">IF(AX834&gt;0,J834/AX834,-1)</f>
        <v>0</v>
      </c>
      <c r="BB834" s="58" t="n">
        <f aca="false">IF(AND(OR(BY834="L1",BY834="L23"),AX834&gt;0),SUMIFS($AX$7:$AX$1843,$BY$7:$BY$1843,BY834,$BA$7:$BA$1843,"&gt;"&amp;BA834)+SUMIFS($AX$7:$AX$1843,$BY$7:$BY$1843,BY834,$BA$7:$BA$1843,BA834,$BQ$7:$BQ$1843,"&lt;="&amp;BQ834),"")</f>
        <v>109.405222796527</v>
      </c>
      <c r="BC834" s="65" t="n">
        <f aca="false">IF(BB834="",0,MAX(0,MIN(1,(IF(BY834="L1",Parameter!$E$5,Parameter!$E$6+Parameter!$E$7)-(BB834-AX834))/AX834)))</f>
        <v>0</v>
      </c>
      <c r="BD834" s="55" t="str">
        <f aca="false">IF(AH834&lt;=0,"",IF(BY834="Aussen","Aussenlager",IF(BY834="-","Nicht im Lift",IF(AM834&gt;=1,"Lift",IF(AM834&lt;=0,"Aussenlager","teilweise")))))</f>
        <v>Lift</v>
      </c>
      <c r="BE834" s="55" t="str">
        <f aca="false">IF(AP834&lt;=0,"",IF(BY834="Aussen","Aussenlager",IF(BY834="-","Nicht im Lift",IF(AU834&gt;=1,"Lift",IF(AU834&lt;=0,"Aussenlager","teilweise")))))</f>
        <v>Aussenlager</v>
      </c>
      <c r="BF834" s="55" t="str">
        <f aca="false">IF(AX834&lt;=0,"",IF(BY834="Aussen","Aussenlager",IF(BY834="-","Nicht im Lift",IF(BC834&gt;=1,"Lift",IF(BC834&lt;=0,"Aussenlager","teilweise")))))</f>
        <v>Aussenlager</v>
      </c>
      <c r="BG834" s="55" t="str">
        <f aca="false">IF(A834="","",IF(BP834=1,"Neu; ","")&amp;IF(AND(BP834=0,BK834&lt;0),"negativer Bestand (Export "&amp;BK834&amp;"); ","")&amp;IF(J834&lt;=0,"Kein Verbrauch; ","")&amp;IF(CH834&gt;0,"Lift "&amp;W834&amp;" lt. Liftbericht (Fach "&amp;X834&amp;" Stk); ",IF(BU834=1,"Gebinde geschätzt ("&amp;T834&amp;"); ",IF(BT834=1,"Lose – Tablare geschätzt; ","")))&amp;IF(H834&gt;AR834,"Überbestand "&amp;ROUND(H834-AR834,0)&amp;" Stk / CHF "&amp;ROUND((H834-AR834)*G834,0)&amp;"; ","")&amp;IF(AND(CA834=1,CB834&lt;CC834),"MAX &lt; MB+LG; ","")&amp;IF(AND(CG834&gt;0,CF834*10&gt;CG834),"zu hoch für Tablar; ","")&amp;IF(AND(BP834=0,OR(CA834=1,AA834&lt;&gt;"",U834&lt;&gt;"",V834&lt;&gt;"",AB834&lt;&gt;"")),"manuell übersteuert; ","")&amp;IF(AND(BT834=0,R834=0),"Gebinde unbekannt / Stellmass fehlt; ","")&amp;IF(AND(BT834=0,N(V834)&lt;=0,N(Q834)&lt;=0),"Menge pro Gebinde fehlt (Ist = 1 Gebinde); ","")&amp;BO834)</f>
        <v>negativer Bestand (Export -1); Kein Verbrauch; Neu</v>
      </c>
      <c r="BH834" s="55"/>
      <c r="BI834" s="55"/>
      <c r="BJ834" s="62"/>
      <c r="BK834" s="57" t="n">
        <v>-1</v>
      </c>
      <c r="BL834" s="57" t="n">
        <v>11</v>
      </c>
      <c r="BM834" s="56" t="n">
        <v>-11.59</v>
      </c>
      <c r="BN834" s="57" t="n">
        <v>0</v>
      </c>
      <c r="BO834" s="55" t="s">
        <v>626</v>
      </c>
      <c r="BP834" s="60" t="n">
        <v>0</v>
      </c>
      <c r="BQ834" s="60" t="n">
        <v>834</v>
      </c>
      <c r="BR834" s="55" t="str">
        <f aca="false">IF(U834&lt;&gt;"",UPPER(TRIM(U834)),IF(BU834=1,UPPER(VLOOKUP(T834,Parameter!$I$27:$K$29,2,0)),IF(P834="","LOSE",P834)))</f>
        <v>S21</v>
      </c>
      <c r="BS834" s="57" t="n">
        <f aca="false">IF(BR834="LOSE",1,IF(N(V834)&gt;0,V834,IF(BU834=1,MAX(1,N(VLOOKUP(T834,Parameter!$I$27:$K$29,3,0)),H834,N(N834)),IF(N(Q834)&gt;0,Q834,MAX(1,H834)))))</f>
        <v>11</v>
      </c>
      <c r="BT834" s="60" t="n">
        <f aca="false">IF(BR834="LOSE",1,0)</f>
        <v>0</v>
      </c>
      <c r="BU834" s="60" t="n">
        <f aca="false">IF(AND(U834="",OR(P834="",P834="LOSE"),T834&lt;&gt;"",N(S834)&lt;=0,ISNUMBER(MATCH(T834,Parameter!$I$27:$I$29,0))),1,0)</f>
        <v>0</v>
      </c>
      <c r="BV834" s="55" t="str">
        <f aca="false">IF(AND(Parameter!$B$19="Ja",E834&lt;&gt;"",ISNUMBER(MATCH(E834,Parameter!$I$35:$I$52,0))),VLOOKUP(E834,Parameter!$I$35:$J$52,2,0),IFERROR(VLOOKUP(D834,Parameter!$A$35:$C$64,2,0),"Nein"))</f>
        <v>2+3</v>
      </c>
      <c r="BW834" s="59" t="n">
        <f aca="false">IF(BT834=0,0,IF(N(S834)&gt;0,S834,IFERROR(VLOOKUP(D834,Parameter!$A$35:$C$64,3,0)+0,0)))</f>
        <v>0</v>
      </c>
      <c r="BX834" s="55" t="n">
        <f aca="false">IF(AA834&lt;&gt;"",AA834,Z834)</f>
        <v>3</v>
      </c>
      <c r="BY834" s="55" t="str">
        <f aca="false">IF(BX834=1,"L1",IF(OR(BX834=2,BX834=3),"L23",IF(BX834="Aussen","Aussen","-")))</f>
        <v>L23</v>
      </c>
      <c r="BZ834" s="66" t="n">
        <f aca="false">IF(N(AB834)&gt;0,AB834,0)</f>
        <v>0</v>
      </c>
      <c r="CA834" s="60" t="n">
        <f aca="false">IF(ISNUMBER(AE834),1,0)</f>
        <v>0</v>
      </c>
      <c r="CB834" s="57" t="n">
        <f aca="false">N(AE834)</f>
        <v>0</v>
      </c>
      <c r="CC834" s="57" t="n">
        <f aca="false">N(M834)+N(N834)</f>
        <v>1</v>
      </c>
      <c r="CD834" s="57" t="n">
        <f aca="false">ROUNDUP(H834/BS834,0)</f>
        <v>1</v>
      </c>
      <c r="CE834" s="57" t="n">
        <f aca="false">ROUNDUP(CB834/BS834,0)</f>
        <v>0</v>
      </c>
      <c r="CF834" s="60" t="n">
        <f aca="false">IF(BT834=1,0,IFERROR(VLOOKUP(BR834,'Gebinde-Kategorie'!$A$5:$M$45,5,0)+0,0))</f>
        <v>8</v>
      </c>
      <c r="CG834" s="60" t="n">
        <f aca="false">IFERROR(IF(OR(BX834=1,BX834=2,BX834=3),N(INDEX(Parameter!$I$5:$I$7,BX834)),0),0)</f>
        <v>0</v>
      </c>
      <c r="CH834" s="59" t="n">
        <f aca="false">IF(AND(Parameter!$B$21="Ja",ISNUMBER(W834),N(X834)&gt;0),IFERROR(N(INDEX(Parameter!$L$5:$L$7,W834))*INDEX(Parameter!$E$5:$E$7,W834)*X834/SUMIFS($X$7:$X$1843,$W$7:$W$1843,W834),0),0)</f>
        <v>0</v>
      </c>
    </row>
    <row r="835" customFormat="false" ht="15" hidden="false" customHeight="false" outlineLevel="0" collapsed="false">
      <c r="A835" s="55" t="s">
        <v>1604</v>
      </c>
      <c r="B835" s="55" t="s">
        <v>1605</v>
      </c>
      <c r="C835" s="55" t="s">
        <v>164</v>
      </c>
      <c r="D835" s="55" t="s">
        <v>184</v>
      </c>
      <c r="E835" s="55" t="s">
        <v>185</v>
      </c>
      <c r="F835" s="55" t="s">
        <v>218</v>
      </c>
      <c r="G835" s="56" t="n">
        <v>0.91</v>
      </c>
      <c r="H835" s="57" t="n">
        <f aca="false">MAX(0,IF(AND(Parameter!$B$21="Ja",ISNUMBER(Y835)),Y835,IF(Parameter!$B$20="Jahresanfang 2025 + Export",BL835+BK835,BK835)))</f>
        <v>26</v>
      </c>
      <c r="I835" s="57" t="n">
        <f aca="false">H835*G835</f>
        <v>23.66</v>
      </c>
      <c r="J835" s="57" t="n">
        <f aca="false">BN835*Parameter!$B$18</f>
        <v>10</v>
      </c>
      <c r="K835" s="58" t="n">
        <v>34</v>
      </c>
      <c r="L835" s="59" t="n">
        <v>0.294117647058824</v>
      </c>
      <c r="M835" s="57" t="n">
        <v>0</v>
      </c>
      <c r="N835" s="57" t="n">
        <v>10</v>
      </c>
      <c r="O835" s="60" t="n">
        <v>21</v>
      </c>
      <c r="P835" s="55" t="s">
        <v>476</v>
      </c>
      <c r="Q835" s="57" t="n">
        <v>65</v>
      </c>
      <c r="R835" s="60" t="n">
        <f aca="false">IF(BT835=1,0,IFERROR(VLOOKUP(BR835,'Gebinde-Kategorie'!$A$5:$M$45,13,0)+0,0))</f>
        <v>66</v>
      </c>
      <c r="S835" s="61"/>
      <c r="T835" s="62"/>
      <c r="U835" s="62"/>
      <c r="V835" s="62"/>
      <c r="W835" s="55"/>
      <c r="X835" s="57"/>
      <c r="Y835" s="57"/>
      <c r="Z835" s="55" t="n">
        <f aca="false">IF(A835="","",IF(AND(Parameter!$B$21="Ja",ISNUMBER(W835)),W835,IF(BV835="2+3",IF(ISNUMBER(SEARCH("grosser Artikel",BO835)),2,IFERROR(VLOOKUP(BR835,Parameter!$F$35:$G$64,2,0),2)),IF(OR(BV835="Nein",BV835=""),"-",BV835))))</f>
        <v>3</v>
      </c>
      <c r="AA835" s="62"/>
      <c r="AB835" s="63"/>
      <c r="AC835" s="57" t="n">
        <f aca="false">AR835</f>
        <v>65</v>
      </c>
      <c r="AD835" s="57" t="n">
        <f aca="false">MAX(AR835,H835)</f>
        <v>65</v>
      </c>
      <c r="AE835" s="64"/>
      <c r="AF835" s="57" t="n">
        <f aca="false">IF(LEFT(Cockpit!$C$5,1)="A",H835,IF(CA835=1,CB835,IF(LEFT(Cockpit!$C$5,1)="B",AJ835,MAX(AJ835,H835))))</f>
        <v>26</v>
      </c>
      <c r="AG835" s="57" t="n">
        <f aca="false">IF(BT835=1,0,ROUNDUP(AF835/BS835,0))</f>
        <v>1</v>
      </c>
      <c r="AH835" s="59" t="n">
        <f aca="false">IF(CH835&gt;0,CH835*MAX(1,AF835/X835),IF(BT835=1,IF(AF835&lt;=0,0,BW835*MAX(1,IF(H835&gt;0,AF835/H835,1))),IF(R835&gt;0,AG835/R835,0))/MAX(0.1,N(Parameter!$M$21)))</f>
        <v>0.0151515151515152</v>
      </c>
      <c r="AI835" s="57" t="n">
        <f aca="false">AF835*G835</f>
        <v>23.66</v>
      </c>
      <c r="AJ835" s="57" t="n">
        <f aca="false">ROUNDUP(MAX(J835/IF(BZ835&gt;0,BZ835,MAX(0.1,N(Cockpit!$C$6))),CC835)/BS835,0)*BS835</f>
        <v>65</v>
      </c>
      <c r="AK835" s="58" t="n">
        <f aca="false">IF(AH835&gt;0,J835/AH835,-1)</f>
        <v>660</v>
      </c>
      <c r="AL835" s="58" t="n">
        <f aca="false">IF(AND(OR(BY835="L1",BY835="L23"),AH835&gt;0),SUMIFS($AH$7:$AH$1843,$BY$7:$BY$1843,BY835,$AK$7:$AK$1843,"&gt;"&amp;AK835)+SUMIFS($AH$7:$AH$1843,$BY$7:$BY$1843,BY835,$AK$7:$AK$1843,AK835,$BQ$7:$BQ$1843,"&lt;="&amp;BQ835),"")</f>
        <v>22.3434343434343</v>
      </c>
      <c r="AM835" s="65" t="n">
        <f aca="false">IF(AL835="",0,MAX(0,MIN(1,(IF(BY835="L1",Parameter!$E$5,Parameter!$E$6+Parameter!$E$7)-(AL835-AH835))/AH835)))</f>
        <v>1</v>
      </c>
      <c r="AN835" s="57" t="n">
        <f aca="false">IF(LEFT(Cockpit!$I$5,1)="A",H835,IF(CA835=1,CB835,IF(LEFT(Cockpit!$I$5,1)="B",AR835,MAX(AR835,H835))))</f>
        <v>65</v>
      </c>
      <c r="AO835" s="57" t="n">
        <f aca="false">IF(BT835=1,0,ROUNDUP(AN835/BS835,0))</f>
        <v>1</v>
      </c>
      <c r="AP835" s="59" t="n">
        <f aca="false">IF(CH835&gt;0,CH835*MAX(1,AN835/X835),IF(BT835=1,IF(AN835&lt;=0,0,BW835*MAX(1,IF(H835&gt;0,AN835/H835,1))),IF(R835&gt;0,AO835/R835,0))/MAX(0.1,N(Parameter!$M$21)))</f>
        <v>0.0151515151515152</v>
      </c>
      <c r="AQ835" s="57" t="n">
        <f aca="false">AN835*G835</f>
        <v>59.15</v>
      </c>
      <c r="AR835" s="57" t="n">
        <f aca="false">ROUNDUP(MAX(J835/IF(BZ835&gt;0,BZ835,MAX(0.1,N(Cockpit!$I$6))),CC835)/BS835,0)*BS835</f>
        <v>65</v>
      </c>
      <c r="AS835" s="58" t="n">
        <f aca="false">IF(AP835&gt;0,J835/AP835,-1)</f>
        <v>660</v>
      </c>
      <c r="AT835" s="58" t="n">
        <f aca="false">IF(AND(OR(BY835="L1",BY835="L23"),AP835&gt;0),SUMIFS($AP$7:$AP$1843,$BY$7:$BY$1843,BY835,$AS$7:$AS$1843,"&gt;"&amp;AS835)+SUMIFS($AP$7:$AP$1843,$BY$7:$BY$1843,BY835,$AS$7:$AS$1843,AS835,$BQ$7:$BQ$1843,"&lt;="&amp;BQ835),"")</f>
        <v>29.9792067835546</v>
      </c>
      <c r="AU835" s="65" t="n">
        <f aca="false">IF(AT835="",0,MAX(0,MIN(1,(IF(BY835="L1",Parameter!$E$5,Parameter!$E$6+Parameter!$E$7)-(AT835-AP835))/AP835)))</f>
        <v>1</v>
      </c>
      <c r="AV835" s="57" t="n">
        <f aca="false">IF(LEFT(Cockpit!$O$5,1)="A",H835,IF(CA835=1,CB835,IF(LEFT(Cockpit!$O$5,1)="B",AZ835,MAX(AZ835,H835))))</f>
        <v>65</v>
      </c>
      <c r="AW835" s="57" t="n">
        <f aca="false">IF(BT835=1,0,ROUNDUP(AV835/BS835,0))</f>
        <v>1</v>
      </c>
      <c r="AX835" s="59" t="n">
        <f aca="false">IF(CH835&gt;0,CH835*MAX(1,AV835/X835),IF(BT835=1,IF(AV835&lt;=0,0,BW835*MAX(1,IF(H835&gt;0,AV835/H835,1))),IF(R835&gt;0,AW835/R835,0))/MAX(0.1,N(Parameter!$M$21)))</f>
        <v>0.0151515151515152</v>
      </c>
      <c r="AY835" s="57" t="n">
        <f aca="false">AV835*G835</f>
        <v>59.15</v>
      </c>
      <c r="AZ835" s="57" t="n">
        <f aca="false">ROUNDUP(MAX(J835/IF(BZ835&gt;0,BZ835,MAX(0.1,N(Cockpit!$O$6))),CC835)/BS835,0)*BS835</f>
        <v>65</v>
      </c>
      <c r="BA835" s="58" t="n">
        <f aca="false">IF(AX835&gt;0,J835/AX835,-1)</f>
        <v>660</v>
      </c>
      <c r="BB835" s="58" t="n">
        <f aca="false">IF(AND(OR(BY835="L1",BY835="L23"),AX835&gt;0),SUMIFS($AX$7:$AX$1843,$BY$7:$BY$1843,BY835,$BA$7:$BA$1843,"&gt;"&amp;BA835)+SUMIFS($AX$7:$AX$1843,$BY$7:$BY$1843,BY835,$BA$7:$BA$1843,BA835,$BQ$7:$BQ$1843,"&lt;="&amp;BQ835),"")</f>
        <v>28.6808384851863</v>
      </c>
      <c r="BC835" s="65" t="n">
        <f aca="false">IF(BB835="",0,MAX(0,MIN(1,(IF(BY835="L1",Parameter!$E$5,Parameter!$E$6+Parameter!$E$7)-(BB835-AX835))/AX835)))</f>
        <v>1</v>
      </c>
      <c r="BD835" s="55" t="str">
        <f aca="false">IF(AH835&lt;=0,"",IF(BY835="Aussen","Aussenlager",IF(BY835="-","Nicht im Lift",IF(AM835&gt;=1,"Lift",IF(AM835&lt;=0,"Aussenlager","teilweise")))))</f>
        <v>Lift</v>
      </c>
      <c r="BE835" s="55" t="str">
        <f aca="false">IF(AP835&lt;=0,"",IF(BY835="Aussen","Aussenlager",IF(BY835="-","Nicht im Lift",IF(AU835&gt;=1,"Lift",IF(AU835&lt;=0,"Aussenlager","teilweise")))))</f>
        <v>Lift</v>
      </c>
      <c r="BF835" s="55" t="str">
        <f aca="false">IF(AX835&lt;=0,"",IF(BY835="Aussen","Aussenlager",IF(BY835="-","Nicht im Lift",IF(BC835&gt;=1,"Lift",IF(BC835&lt;=0,"Aussenlager","teilweise")))))</f>
        <v>Lift</v>
      </c>
      <c r="BG835" s="55" t="str">
        <f aca="false">IF(A835="","",IF(BP835=1,"Neu; ","")&amp;IF(AND(BP835=0,BK835&lt;0),"negativer Bestand (Export "&amp;BK835&amp;"); ","")&amp;IF(J835&lt;=0,"Kein Verbrauch; ","")&amp;IF(CH835&gt;0,"Lift "&amp;W835&amp;" lt. Liftbericht (Fach "&amp;X835&amp;" Stk); ",IF(BU835=1,"Gebinde geschätzt ("&amp;T835&amp;"); ",IF(BT835=1,"Lose – Tablare geschätzt; ","")))&amp;IF(H835&gt;AR835,"Überbestand "&amp;ROUND(H835-AR835,0)&amp;" Stk / CHF "&amp;ROUND((H835-AR835)*G835,0)&amp;"; ","")&amp;IF(AND(CA835=1,CB835&lt;CC835),"MAX &lt; MB+LG; ","")&amp;IF(AND(CG835&gt;0,CF835*10&gt;CG835),"zu hoch für Tablar; ","")&amp;IF(AND(BP835=0,OR(CA835=1,AA835&lt;&gt;"",U835&lt;&gt;"",V835&lt;&gt;"",AB835&lt;&gt;"")),"manuell übersteuert; ","")&amp;IF(AND(BT835=0,R835=0),"Gebinde unbekannt / Stellmass fehlt; ","")&amp;IF(AND(BT835=0,N(V835)&lt;=0,N(Q835)&lt;=0),"Menge pro Gebinde fehlt (Ist = 1 Gebinde); ","")&amp;BO835)</f>
        <v>negativer Bestand (Export -13); Überbestand</v>
      </c>
      <c r="BH835" s="55"/>
      <c r="BI835" s="55"/>
      <c r="BJ835" s="62"/>
      <c r="BK835" s="57" t="n">
        <v>-13</v>
      </c>
      <c r="BL835" s="57" t="n">
        <v>39</v>
      </c>
      <c r="BM835" s="56" t="n">
        <v>-11.83</v>
      </c>
      <c r="BN835" s="57" t="n">
        <v>10</v>
      </c>
      <c r="BO835" s="55" t="s">
        <v>392</v>
      </c>
      <c r="BP835" s="60" t="n">
        <v>0</v>
      </c>
      <c r="BQ835" s="60" t="n">
        <v>835</v>
      </c>
      <c r="BR835" s="55" t="str">
        <f aca="false">IF(U835&lt;&gt;"",UPPER(TRIM(U835)),IF(BU835=1,UPPER(VLOOKUP(T835,Parameter!$I$27:$K$29,2,0)),IF(P835="","LOSE",P835)))</f>
        <v>S33</v>
      </c>
      <c r="BS835" s="57" t="n">
        <f aca="false">IF(BR835="LOSE",1,IF(N(V835)&gt;0,V835,IF(BU835=1,MAX(1,N(VLOOKUP(T835,Parameter!$I$27:$K$29,3,0)),H835,N(N835)),IF(N(Q835)&gt;0,Q835,MAX(1,H835)))))</f>
        <v>65</v>
      </c>
      <c r="BT835" s="60" t="n">
        <f aca="false">IF(BR835="LOSE",1,0)</f>
        <v>0</v>
      </c>
      <c r="BU835" s="60" t="n">
        <f aca="false">IF(AND(U835="",OR(P835="",P835="LOSE"),T835&lt;&gt;"",N(S835)&lt;=0,ISNUMBER(MATCH(T835,Parameter!$I$27:$I$29,0))),1,0)</f>
        <v>0</v>
      </c>
      <c r="BV835" s="55" t="str">
        <f aca="false">IF(AND(Parameter!$B$19="Ja",E835&lt;&gt;"",ISNUMBER(MATCH(E835,Parameter!$I$35:$I$52,0))),VLOOKUP(E835,Parameter!$I$35:$J$52,2,0),IFERROR(VLOOKUP(D835,Parameter!$A$35:$C$64,2,0),"Nein"))</f>
        <v>2+3</v>
      </c>
      <c r="BW835" s="59" t="n">
        <f aca="false">IF(BT835=0,0,IF(N(S835)&gt;0,S835,IFERROR(VLOOKUP(D835,Parameter!$A$35:$C$64,3,0)+0,0)))</f>
        <v>0</v>
      </c>
      <c r="BX835" s="55" t="n">
        <f aca="false">IF(AA835&lt;&gt;"",AA835,Z835)</f>
        <v>3</v>
      </c>
      <c r="BY835" s="55" t="str">
        <f aca="false">IF(BX835=1,"L1",IF(OR(BX835=2,BX835=3),"L23",IF(BX835="Aussen","Aussen","-")))</f>
        <v>L23</v>
      </c>
      <c r="BZ835" s="66" t="n">
        <f aca="false">IF(N(AB835)&gt;0,AB835,0)</f>
        <v>0</v>
      </c>
      <c r="CA835" s="60" t="n">
        <f aca="false">IF(ISNUMBER(AE835),1,0)</f>
        <v>0</v>
      </c>
      <c r="CB835" s="57" t="n">
        <f aca="false">N(AE835)</f>
        <v>0</v>
      </c>
      <c r="CC835" s="57" t="n">
        <f aca="false">N(M835)+N(N835)</f>
        <v>10</v>
      </c>
      <c r="CD835" s="57" t="n">
        <f aca="false">ROUNDUP(H835/BS835,0)</f>
        <v>1</v>
      </c>
      <c r="CE835" s="57" t="n">
        <f aca="false">ROUNDUP(CB835/BS835,0)</f>
        <v>0</v>
      </c>
      <c r="CF835" s="60" t="n">
        <f aca="false">IF(BT835=1,0,IFERROR(VLOOKUP(BR835,'Gebinde-Kategorie'!$A$5:$M$45,5,0)+0,0))</f>
        <v>8</v>
      </c>
      <c r="CG835" s="60" t="n">
        <f aca="false">IFERROR(IF(OR(BX835=1,BX835=2,BX835=3),N(INDEX(Parameter!$I$5:$I$7,BX835)),0),0)</f>
        <v>0</v>
      </c>
      <c r="CH835" s="59" t="n">
        <f aca="false">IF(AND(Parameter!$B$21="Ja",ISNUMBER(W835),N(X835)&gt;0),IFERROR(N(INDEX(Parameter!$L$5:$L$7,W835))*INDEX(Parameter!$E$5:$E$7,W835)*X835/SUMIFS($X$7:$X$1843,$W$7:$W$1843,W835),0),0)</f>
        <v>0</v>
      </c>
    </row>
    <row r="836" customFormat="false" ht="15" hidden="false" customHeight="false" outlineLevel="0" collapsed="false">
      <c r="A836" s="55" t="s">
        <v>1606</v>
      </c>
      <c r="B836" s="55" t="s">
        <v>405</v>
      </c>
      <c r="C836" s="55" t="s">
        <v>164</v>
      </c>
      <c r="D836" s="55" t="s">
        <v>173</v>
      </c>
      <c r="E836" s="55" t="s">
        <v>185</v>
      </c>
      <c r="F836" s="55" t="s">
        <v>218</v>
      </c>
      <c r="G836" s="56" t="n">
        <v>2.27</v>
      </c>
      <c r="H836" s="57" t="n">
        <f aca="false">MAX(0,IF(AND(Parameter!$B$21="Ja",ISNUMBER(Y836)),Y836,IF(Parameter!$B$20="Jahresanfang 2025 + Export",BL836+BK836,BK836)))</f>
        <v>1430</v>
      </c>
      <c r="I836" s="57" t="n">
        <f aca="false">H836*G836</f>
        <v>3246.1</v>
      </c>
      <c r="J836" s="57" t="n">
        <f aca="false">BN836*Parameter!$B$18</f>
        <v>2274</v>
      </c>
      <c r="K836" s="58" t="n">
        <v>1423.5</v>
      </c>
      <c r="L836" s="59" t="n">
        <v>1.59747102212856</v>
      </c>
      <c r="M836" s="57" t="n">
        <v>140</v>
      </c>
      <c r="N836" s="57" t="n">
        <v>500</v>
      </c>
      <c r="O836" s="60" t="n">
        <v>21</v>
      </c>
      <c r="P836" s="55" t="s">
        <v>226</v>
      </c>
      <c r="Q836" s="57" t="n">
        <v>200</v>
      </c>
      <c r="R836" s="60" t="n">
        <f aca="false">IF(BT836=1,0,IFERROR(VLOOKUP(BR836,'Gebinde-Kategorie'!$A$5:$M$45,13,0)+0,0))</f>
        <v>12</v>
      </c>
      <c r="S836" s="61"/>
      <c r="T836" s="62"/>
      <c r="U836" s="62"/>
      <c r="V836" s="62"/>
      <c r="W836" s="55"/>
      <c r="X836" s="57"/>
      <c r="Y836" s="57"/>
      <c r="Z836" s="55" t="n">
        <f aca="false">IF(A836="","",IF(AND(Parameter!$B$21="Ja",ISNUMBER(W836)),W836,IF(BV836="2+3",IF(ISNUMBER(SEARCH("grosser Artikel",BO836)),2,IFERROR(VLOOKUP(BR836,Parameter!$F$35:$G$64,2,0),2)),IF(OR(BV836="Nein",BV836=""),"-",BV836))))</f>
        <v>2</v>
      </c>
      <c r="AA836" s="62"/>
      <c r="AB836" s="63"/>
      <c r="AC836" s="57" t="n">
        <f aca="false">AR836</f>
        <v>1200</v>
      </c>
      <c r="AD836" s="57" t="n">
        <f aca="false">MAX(AR836,H836)</f>
        <v>1430</v>
      </c>
      <c r="AE836" s="64"/>
      <c r="AF836" s="57" t="n">
        <f aca="false">IF(LEFT(Cockpit!$C$5,1)="A",H836,IF(CA836=1,CB836,IF(LEFT(Cockpit!$C$5,1)="B",AJ836,MAX(AJ836,H836))))</f>
        <v>1430</v>
      </c>
      <c r="AG836" s="57" t="n">
        <f aca="false">IF(BT836=1,0,ROUNDUP(AF836/BS836,0))</f>
        <v>8</v>
      </c>
      <c r="AH836" s="59" t="n">
        <f aca="false">IF(CH836&gt;0,CH836*MAX(1,AF836/X836),IF(BT836=1,IF(AF836&lt;=0,0,BW836*MAX(1,IF(H836&gt;0,AF836/H836,1))),IF(R836&gt;0,AG836/R836,0))/MAX(0.1,N(Parameter!$M$21)))</f>
        <v>0.666666666666667</v>
      </c>
      <c r="AI836" s="57" t="n">
        <f aca="false">AF836*G836</f>
        <v>3246.1</v>
      </c>
      <c r="AJ836" s="57" t="n">
        <f aca="false">ROUNDUP(MAX(J836/IF(BZ836&gt;0,BZ836,MAX(0.1,N(Cockpit!$C$6))),CC836)/BS836,0)*BS836</f>
        <v>1200</v>
      </c>
      <c r="AK836" s="58" t="n">
        <f aca="false">IF(AH836&gt;0,J836/AH836,-1)</f>
        <v>3411</v>
      </c>
      <c r="AL836" s="58" t="n">
        <f aca="false">IF(AND(OR(BY836="L1",BY836="L23"),AH836&gt;0),SUMIFS($AH$7:$AH$1843,$BY$7:$BY$1843,BY836,$AK$7:$AK$1843,"&gt;"&amp;AK836)+SUMIFS($AH$7:$AH$1843,$BY$7:$BY$1843,BY836,$AK$7:$AK$1843,AK836,$BQ$7:$BQ$1843,"&lt;="&amp;BQ836),"")</f>
        <v>9.90883753927232</v>
      </c>
      <c r="AM836" s="65" t="n">
        <f aca="false">IF(AL836="",0,MAX(0,MIN(1,(IF(BY836="L1",Parameter!$E$5,Parameter!$E$6+Parameter!$E$7)-(AL836-AH836))/AH836)))</f>
        <v>1</v>
      </c>
      <c r="AN836" s="57" t="n">
        <f aca="false">IF(LEFT(Cockpit!$I$5,1)="A",H836,IF(CA836=1,CB836,IF(LEFT(Cockpit!$I$5,1)="B",AR836,MAX(AR836,H836))))</f>
        <v>1430</v>
      </c>
      <c r="AO836" s="57" t="n">
        <f aca="false">IF(BT836=1,0,ROUNDUP(AN836/BS836,0))</f>
        <v>8</v>
      </c>
      <c r="AP836" s="59" t="n">
        <f aca="false">IF(CH836&gt;0,CH836*MAX(1,AN836/X836),IF(BT836=1,IF(AN836&lt;=0,0,BW836*MAX(1,IF(H836&gt;0,AN836/H836,1))),IF(R836&gt;0,AO836/R836,0))/MAX(0.1,N(Parameter!$M$21)))</f>
        <v>0.666666666666667</v>
      </c>
      <c r="AQ836" s="57" t="n">
        <f aca="false">AN836*G836</f>
        <v>3246.1</v>
      </c>
      <c r="AR836" s="57" t="n">
        <f aca="false">ROUNDUP(MAX(J836/IF(BZ836&gt;0,BZ836,MAX(0.1,N(Cockpit!$I$6))),CC836)/BS836,0)*BS836</f>
        <v>1200</v>
      </c>
      <c r="AS836" s="58" t="n">
        <f aca="false">IF(AP836&gt;0,J836/AP836,-1)</f>
        <v>3411</v>
      </c>
      <c r="AT836" s="58" t="n">
        <f aca="false">IF(AND(OR(BY836="L1",BY836="L23"),AP836&gt;0),SUMIFS($AP$7:$AP$1843,$BY$7:$BY$1843,BY836,$AS$7:$AS$1843,"&gt;"&amp;AS836)+SUMIFS($AP$7:$AP$1843,$BY$7:$BY$1843,BY836,$AS$7:$AS$1843,AS836,$BQ$7:$BQ$1843,"&lt;="&amp;BQ836),"")</f>
        <v>14.8521587108544</v>
      </c>
      <c r="AU836" s="65" t="n">
        <f aca="false">IF(AT836="",0,MAX(0,MIN(1,(IF(BY836="L1",Parameter!$E$5,Parameter!$E$6+Parameter!$E$7)-(AT836-AP836))/AP836)))</f>
        <v>1</v>
      </c>
      <c r="AV836" s="57" t="n">
        <f aca="false">IF(LEFT(Cockpit!$O$5,1)="A",H836,IF(CA836=1,CB836,IF(LEFT(Cockpit!$O$5,1)="B",AZ836,MAX(AZ836,H836))))</f>
        <v>1430</v>
      </c>
      <c r="AW836" s="57" t="n">
        <f aca="false">IF(BT836=1,0,ROUNDUP(AV836/BS836,0))</f>
        <v>8</v>
      </c>
      <c r="AX836" s="59" t="n">
        <f aca="false">IF(CH836&gt;0,CH836*MAX(1,AV836/X836),IF(BT836=1,IF(AV836&lt;=0,0,BW836*MAX(1,IF(H836&gt;0,AV836/H836,1))),IF(R836&gt;0,AW836/R836,0))/MAX(0.1,N(Parameter!$M$21)))</f>
        <v>0.666666666666667</v>
      </c>
      <c r="AY836" s="57" t="n">
        <f aca="false">AV836*G836</f>
        <v>3246.1</v>
      </c>
      <c r="AZ836" s="57" t="n">
        <f aca="false">ROUNDUP(MAX(J836/IF(BZ836&gt;0,BZ836,MAX(0.1,N(Cockpit!$O$6))),CC836)/BS836,0)*BS836</f>
        <v>800</v>
      </c>
      <c r="BA836" s="58" t="n">
        <f aca="false">IF(AX836&gt;0,J836/AX836,-1)</f>
        <v>3411</v>
      </c>
      <c r="BB836" s="58" t="n">
        <f aca="false">IF(AND(OR(BY836="L1",BY836="L23"),AX836&gt;0),SUMIFS($AX$7:$AX$1843,$BY$7:$BY$1843,BY836,$BA$7:$BA$1843,"&gt;"&amp;BA836)+SUMIFS($AX$7:$AX$1843,$BY$7:$BY$1843,BY836,$BA$7:$BA$1843,BA836,$BQ$7:$BQ$1843,"&lt;="&amp;BQ836),"")</f>
        <v>13.4191750278707</v>
      </c>
      <c r="BC836" s="65" t="n">
        <f aca="false">IF(BB836="",0,MAX(0,MIN(1,(IF(BY836="L1",Parameter!$E$5,Parameter!$E$6+Parameter!$E$7)-(BB836-AX836))/AX836)))</f>
        <v>1</v>
      </c>
      <c r="BD836" s="55" t="str">
        <f aca="false">IF(AH836&lt;=0,"",IF(BY836="Aussen","Aussenlager",IF(BY836="-","Nicht im Lift",IF(AM836&gt;=1,"Lift",IF(AM836&lt;=0,"Aussenlager","teilweise")))))</f>
        <v>Lift</v>
      </c>
      <c r="BE836" s="55" t="str">
        <f aca="false">IF(AP836&lt;=0,"",IF(BY836="Aussen","Aussenlager",IF(BY836="-","Nicht im Lift",IF(AU836&gt;=1,"Lift",IF(AU836&lt;=0,"Aussenlager","teilweise")))))</f>
        <v>Lift</v>
      </c>
      <c r="BF836" s="55" t="str">
        <f aca="false">IF(AX836&lt;=0,"",IF(BY836="Aussen","Aussenlager",IF(BY836="-","Nicht im Lift",IF(BC836&gt;=1,"Lift",IF(BC836&lt;=0,"Aussenlager","teilweise")))))</f>
        <v>Lift</v>
      </c>
      <c r="BG836" s="55" t="str">
        <f aca="false">IF(A836="","",IF(BP836=1,"Neu; ","")&amp;IF(AND(BP836=0,BK836&lt;0),"negativer Bestand (Export "&amp;BK836&amp;"); ","")&amp;IF(J836&lt;=0,"Kein Verbrauch; ","")&amp;IF(CH836&gt;0,"Lift "&amp;W836&amp;" lt. Liftbericht (Fach "&amp;X836&amp;" Stk); ",IF(BU836=1,"Gebinde geschätzt ("&amp;T836&amp;"); ",IF(BT836=1,"Lose – Tablare geschätzt; ","")))&amp;IF(H836&gt;AR836,"Überbestand "&amp;ROUND(H836-AR836,0)&amp;" Stk / CHF "&amp;ROUND((H836-AR836)*G836,0)&amp;"; ","")&amp;IF(AND(CA836=1,CB836&lt;CC836),"MAX &lt; MB+LG; ","")&amp;IF(AND(CG836&gt;0,CF836*10&gt;CG836),"zu hoch für Tablar; ","")&amp;IF(AND(BP836=0,OR(CA836=1,AA836&lt;&gt;"",U836&lt;&gt;"",V836&lt;&gt;"",AB836&lt;&gt;"")),"manuell übersteuert; ","")&amp;IF(AND(BT836=0,R836=0),"Gebinde unbekannt / Stellmass fehlt; ","")&amp;IF(AND(BT836=0,N(V836)&lt;=0,N(Q836)&lt;=0),"Menge pro Gebinde fehlt (Ist = 1 Gebinde); ","")&amp;BO836)</f>
        <v>negativer Bestand (Export -63); Überbestand 230 Stk / CHF 522; grosse  Artikelmenge</v>
      </c>
      <c r="BH836" s="55"/>
      <c r="BI836" s="55"/>
      <c r="BJ836" s="62"/>
      <c r="BK836" s="57" t="n">
        <v>-63</v>
      </c>
      <c r="BL836" s="57" t="n">
        <v>1493</v>
      </c>
      <c r="BM836" s="56" t="n">
        <v>-11.8799999999993</v>
      </c>
      <c r="BN836" s="57" t="n">
        <v>2274</v>
      </c>
      <c r="BO836" s="55" t="s">
        <v>1607</v>
      </c>
      <c r="BP836" s="60" t="n">
        <v>0</v>
      </c>
      <c r="BQ836" s="60" t="n">
        <v>836</v>
      </c>
      <c r="BR836" s="55" t="str">
        <f aca="false">IF(U836&lt;&gt;"",UPPER(TRIM(U836)),IF(BU836=1,UPPER(VLOOKUP(T836,Parameter!$I$27:$K$29,2,0)),IF(P836="","LOSE",P836)))</f>
        <v>S63</v>
      </c>
      <c r="BS836" s="57" t="n">
        <f aca="false">IF(BR836="LOSE",1,IF(N(V836)&gt;0,V836,IF(BU836=1,MAX(1,N(VLOOKUP(T836,Parameter!$I$27:$K$29,3,0)),H836,N(N836)),IF(N(Q836)&gt;0,Q836,MAX(1,H836)))))</f>
        <v>200</v>
      </c>
      <c r="BT836" s="60" t="n">
        <f aca="false">IF(BR836="LOSE",1,0)</f>
        <v>0</v>
      </c>
      <c r="BU836" s="60" t="n">
        <f aca="false">IF(AND(U836="",OR(P836="",P836="LOSE"),T836&lt;&gt;"",N(S836)&lt;=0,ISNUMBER(MATCH(T836,Parameter!$I$27:$I$29,0))),1,0)</f>
        <v>0</v>
      </c>
      <c r="BV836" s="55" t="str">
        <f aca="false">IF(AND(Parameter!$B$19="Ja",E836&lt;&gt;"",ISNUMBER(MATCH(E836,Parameter!$I$35:$I$52,0))),VLOOKUP(E836,Parameter!$I$35:$J$52,2,0),IFERROR(VLOOKUP(D836,Parameter!$A$35:$C$64,2,0),"Nein"))</f>
        <v>2+3</v>
      </c>
      <c r="BW836" s="59" t="n">
        <f aca="false">IF(BT836=0,0,IF(N(S836)&gt;0,S836,IFERROR(VLOOKUP(D836,Parameter!$A$35:$C$64,3,0)+0,0)))</f>
        <v>0</v>
      </c>
      <c r="BX836" s="55" t="n">
        <f aca="false">IF(AA836&lt;&gt;"",AA836,Z836)</f>
        <v>2</v>
      </c>
      <c r="BY836" s="55" t="str">
        <f aca="false">IF(BX836=1,"L1",IF(OR(BX836=2,BX836=3),"L23",IF(BX836="Aussen","Aussen","-")))</f>
        <v>L23</v>
      </c>
      <c r="BZ836" s="66" t="n">
        <f aca="false">IF(N(AB836)&gt;0,AB836,0)</f>
        <v>0</v>
      </c>
      <c r="CA836" s="60" t="n">
        <f aca="false">IF(ISNUMBER(AE836),1,0)</f>
        <v>0</v>
      </c>
      <c r="CB836" s="57" t="n">
        <f aca="false">N(AE836)</f>
        <v>0</v>
      </c>
      <c r="CC836" s="57" t="n">
        <f aca="false">N(M836)+N(N836)</f>
        <v>640</v>
      </c>
      <c r="CD836" s="57" t="n">
        <f aca="false">ROUNDUP(H836/BS836,0)</f>
        <v>8</v>
      </c>
      <c r="CE836" s="57" t="n">
        <f aca="false">ROUNDUP(CB836/BS836,0)</f>
        <v>0</v>
      </c>
      <c r="CF836" s="60" t="n">
        <f aca="false">IF(BT836=1,0,IFERROR(VLOOKUP(BR836,'Gebinde-Kategorie'!$A$5:$M$45,5,0)+0,0))</f>
        <v>31</v>
      </c>
      <c r="CG836" s="60" t="n">
        <f aca="false">IFERROR(IF(OR(BX836=1,BX836=2,BX836=3),N(INDEX(Parameter!$I$5:$I$7,BX836)),0),0)</f>
        <v>0</v>
      </c>
      <c r="CH836" s="59" t="n">
        <f aca="false">IF(AND(Parameter!$B$21="Ja",ISNUMBER(W836),N(X836)&gt;0),IFERROR(N(INDEX(Parameter!$L$5:$L$7,W836))*INDEX(Parameter!$E$5:$E$7,W836)*X836/SUMIFS($X$7:$X$1843,$W$7:$W$1843,W836),0),0)</f>
        <v>0</v>
      </c>
    </row>
    <row r="837" customFormat="false" ht="15" hidden="false" customHeight="false" outlineLevel="0" collapsed="false">
      <c r="A837" s="55" t="s">
        <v>1608</v>
      </c>
      <c r="B837" s="55" t="s">
        <v>532</v>
      </c>
      <c r="C837" s="55" t="s">
        <v>167</v>
      </c>
      <c r="D837" s="55" t="s">
        <v>184</v>
      </c>
      <c r="E837" s="55" t="s">
        <v>185</v>
      </c>
      <c r="F837" s="55" t="s">
        <v>218</v>
      </c>
      <c r="G837" s="56" t="n">
        <v>12.09</v>
      </c>
      <c r="H837" s="57" t="n">
        <f aca="false">MAX(0,IF(AND(Parameter!$B$21="Ja",ISNUMBER(Y837)),Y837,IF(Parameter!$B$20="Jahresanfang 2025 + Export",BL837+BK837,BK837)))</f>
        <v>153</v>
      </c>
      <c r="I837" s="57" t="n">
        <f aca="false">H837*G837</f>
        <v>1849.77</v>
      </c>
      <c r="J837" s="57" t="n">
        <f aca="false">BN837*Parameter!$B$18</f>
        <v>0</v>
      </c>
      <c r="K837" s="58" t="n">
        <v>153.5</v>
      </c>
      <c r="L837" s="59" t="n">
        <v>0</v>
      </c>
      <c r="M837" s="57" t="n">
        <v>0</v>
      </c>
      <c r="N837" s="57" t="n">
        <v>1</v>
      </c>
      <c r="O837" s="60" t="n">
        <v>35</v>
      </c>
      <c r="P837" s="55" t="s">
        <v>293</v>
      </c>
      <c r="Q837" s="57" t="n">
        <v>169</v>
      </c>
      <c r="R837" s="60" t="n">
        <f aca="false">IF(BT837=1,0,IFERROR(VLOOKUP(BR837,'Gebinde-Kategorie'!$A$5:$M$45,13,0)+0,0))</f>
        <v>12</v>
      </c>
      <c r="S837" s="61"/>
      <c r="T837" s="62"/>
      <c r="U837" s="62"/>
      <c r="V837" s="62"/>
      <c r="W837" s="55"/>
      <c r="X837" s="57"/>
      <c r="Y837" s="57"/>
      <c r="Z837" s="55" t="n">
        <f aca="false">IF(A837="","",IF(AND(Parameter!$B$21="Ja",ISNUMBER(W837)),W837,IF(BV837="2+3",IF(ISNUMBER(SEARCH("grosser Artikel",BO837)),2,IFERROR(VLOOKUP(BR837,Parameter!$F$35:$G$64,2,0),2)),IF(OR(BV837="Nein",BV837=""),"-",BV837))))</f>
        <v>2</v>
      </c>
      <c r="AA837" s="62"/>
      <c r="AB837" s="63"/>
      <c r="AC837" s="57" t="n">
        <f aca="false">AR837</f>
        <v>169</v>
      </c>
      <c r="AD837" s="57" t="n">
        <f aca="false">MAX(AR837,H837)</f>
        <v>169</v>
      </c>
      <c r="AE837" s="64"/>
      <c r="AF837" s="57" t="n">
        <f aca="false">IF(LEFT(Cockpit!$C$5,1)="A",H837,IF(CA837=1,CB837,IF(LEFT(Cockpit!$C$5,1)="B",AJ837,MAX(AJ837,H837))))</f>
        <v>153</v>
      </c>
      <c r="AG837" s="57" t="n">
        <f aca="false">IF(BT837=1,0,ROUNDUP(AF837/BS837,0))</f>
        <v>1</v>
      </c>
      <c r="AH837" s="59" t="n">
        <f aca="false">IF(CH837&gt;0,CH837*MAX(1,AF837/X837),IF(BT837=1,IF(AF837&lt;=0,0,BW837*MAX(1,IF(H837&gt;0,AF837/H837,1))),IF(R837&gt;0,AG837/R837,0))/MAX(0.1,N(Parameter!$M$21)))</f>
        <v>0.0833333333333333</v>
      </c>
      <c r="AI837" s="57" t="n">
        <f aca="false">AF837*G837</f>
        <v>1849.77</v>
      </c>
      <c r="AJ837" s="57" t="n">
        <f aca="false">ROUNDUP(MAX(J837/IF(BZ837&gt;0,BZ837,MAX(0.1,N(Cockpit!$C$6))),CC837)/BS837,0)*BS837</f>
        <v>169</v>
      </c>
      <c r="AK837" s="58" t="n">
        <f aca="false">IF(AH837&gt;0,J837/AH837,-1)</f>
        <v>0</v>
      </c>
      <c r="AL837" s="58" t="n">
        <f aca="false">IF(AND(OR(BY837="L1",BY837="L23"),AH837&gt;0),SUMIFS($AH$7:$AH$1843,$BY$7:$BY$1843,BY837,$AK$7:$AK$1843,"&gt;"&amp;AK837)+SUMIFS($AH$7:$AH$1843,$BY$7:$BY$1843,BY837,$AK$7:$AK$1843,AK837,$BQ$7:$BQ$1843,"&lt;="&amp;BQ837),"")</f>
        <v>77.7338434512348</v>
      </c>
      <c r="AM837" s="65" t="n">
        <f aca="false">IF(AL837="",0,MAX(0,MIN(1,(IF(BY837="L1",Parameter!$E$5,Parameter!$E$6+Parameter!$E$7)-(AL837-AH837))/AH837)))</f>
        <v>1</v>
      </c>
      <c r="AN837" s="57" t="n">
        <f aca="false">IF(LEFT(Cockpit!$I$5,1)="A",H837,IF(CA837=1,CB837,IF(LEFT(Cockpit!$I$5,1)="B",AR837,MAX(AR837,H837))))</f>
        <v>169</v>
      </c>
      <c r="AO837" s="57" t="n">
        <f aca="false">IF(BT837=1,0,ROUNDUP(AN837/BS837,0))</f>
        <v>1</v>
      </c>
      <c r="AP837" s="59" t="n">
        <f aca="false">IF(CH837&gt;0,CH837*MAX(1,AN837/X837),IF(BT837=1,IF(AN837&lt;=0,0,BW837*MAX(1,IF(H837&gt;0,AN837/H837,1))),IF(R837&gt;0,AO837/R837,0))/MAX(0.1,N(Parameter!$M$21)))</f>
        <v>0.0833333333333333</v>
      </c>
      <c r="AQ837" s="57" t="n">
        <f aca="false">AN837*G837</f>
        <v>2043.21</v>
      </c>
      <c r="AR837" s="57" t="n">
        <f aca="false">ROUNDUP(MAX(J837/IF(BZ837&gt;0,BZ837,MAX(0.1,N(Cockpit!$I$6))),CC837)/BS837,0)*BS837</f>
        <v>169</v>
      </c>
      <c r="AS837" s="58" t="n">
        <f aca="false">IF(AP837&gt;0,J837/AP837,-1)</f>
        <v>0</v>
      </c>
      <c r="AT837" s="58" t="n">
        <f aca="false">IF(AND(OR(BY837="L1",BY837="L23"),AP837&gt;0),SUMIFS($AP$7:$AP$1843,$BY$7:$BY$1843,BY837,$AS$7:$AS$1843,"&gt;"&amp;AS837)+SUMIFS($AP$7:$AP$1843,$BY$7:$BY$1843,BY837,$AS$7:$AS$1843,AS837,$BQ$7:$BQ$1843,"&lt;="&amp;BQ837),"")</f>
        <v>118.658719300024</v>
      </c>
      <c r="AU837" s="65" t="n">
        <f aca="false">IF(AT837="",0,MAX(0,MIN(1,(IF(BY837="L1",Parameter!$E$5,Parameter!$E$6+Parameter!$E$7)-(AT837-AP837))/AP837)))</f>
        <v>0</v>
      </c>
      <c r="AV837" s="57" t="n">
        <f aca="false">IF(LEFT(Cockpit!$O$5,1)="A",H837,IF(CA837=1,CB837,IF(LEFT(Cockpit!$O$5,1)="B",AZ837,MAX(AZ837,H837))))</f>
        <v>169</v>
      </c>
      <c r="AW837" s="57" t="n">
        <f aca="false">IF(BT837=1,0,ROUNDUP(AV837/BS837,0))</f>
        <v>1</v>
      </c>
      <c r="AX837" s="59" t="n">
        <f aca="false">IF(CH837&gt;0,CH837*MAX(1,AV837/X837),IF(BT837=1,IF(AV837&lt;=0,0,BW837*MAX(1,IF(H837&gt;0,AV837/H837,1))),IF(R837&gt;0,AW837/R837,0))/MAX(0.1,N(Parameter!$M$21)))</f>
        <v>0.0833333333333333</v>
      </c>
      <c r="AY837" s="57" t="n">
        <f aca="false">AV837*G837</f>
        <v>2043.21</v>
      </c>
      <c r="AZ837" s="57" t="n">
        <f aca="false">ROUNDUP(MAX(J837/IF(BZ837&gt;0,BZ837,MAX(0.1,N(Cockpit!$O$6))),CC837)/BS837,0)*BS837</f>
        <v>169</v>
      </c>
      <c r="BA837" s="58" t="n">
        <f aca="false">IF(AX837&gt;0,J837/AX837,-1)</f>
        <v>0</v>
      </c>
      <c r="BB837" s="58" t="n">
        <f aca="false">IF(AND(OR(BY837="L1",BY837="L23"),AX837&gt;0),SUMIFS($AX$7:$AX$1843,$BY$7:$BY$1843,BY837,$BA$7:$BA$1843,"&gt;"&amp;BA837)+SUMIFS($AX$7:$AX$1843,$BY$7:$BY$1843,BY837,$BA$7:$BA$1843,BA837,$BQ$7:$BQ$1843,"&lt;="&amp;BQ837),"")</f>
        <v>109.48855612986</v>
      </c>
      <c r="BC837" s="65" t="n">
        <f aca="false">IF(BB837="",0,MAX(0,MIN(1,(IF(BY837="L1",Parameter!$E$5,Parameter!$E$6+Parameter!$E$7)-(BB837-AX837))/AX837)))</f>
        <v>0</v>
      </c>
      <c r="BD837" s="55" t="str">
        <f aca="false">IF(AH837&lt;=0,"",IF(BY837="Aussen","Aussenlager",IF(BY837="-","Nicht im Lift",IF(AM837&gt;=1,"Lift",IF(AM837&lt;=0,"Aussenlager","teilweise")))))</f>
        <v>Lift</v>
      </c>
      <c r="BE837" s="55" t="str">
        <f aca="false">IF(AP837&lt;=0,"",IF(BY837="Aussen","Aussenlager",IF(BY837="-","Nicht im Lift",IF(AU837&gt;=1,"Lift",IF(AU837&lt;=0,"Aussenlager","teilweise")))))</f>
        <v>Aussenlager</v>
      </c>
      <c r="BF837" s="55" t="str">
        <f aca="false">IF(AX837&lt;=0,"",IF(BY837="Aussen","Aussenlager",IF(BY837="-","Nicht im Lift",IF(BC837&gt;=1,"Lift",IF(BC837&lt;=0,"Aussenlager","teilweise")))))</f>
        <v>Aussenlager</v>
      </c>
      <c r="BG837" s="55" t="str">
        <f aca="false">IF(A837="","",IF(BP837=1,"Neu; ","")&amp;IF(AND(BP837=0,BK837&lt;0),"negativer Bestand (Export "&amp;BK837&amp;"); ","")&amp;IF(J837&lt;=0,"Kein Verbrauch; ","")&amp;IF(CH837&gt;0,"Lift "&amp;W837&amp;" lt. Liftbericht (Fach "&amp;X837&amp;" Stk); ",IF(BU837=1,"Gebinde geschätzt ("&amp;T837&amp;"); ",IF(BT837=1,"Lose – Tablare geschätzt; ","")))&amp;IF(H837&gt;AR837,"Überbestand "&amp;ROUND(H837-AR837,0)&amp;" Stk / CHF "&amp;ROUND((H837-AR837)*G837,0)&amp;"; ","")&amp;IF(AND(CA837=1,CB837&lt;CC837),"MAX &lt; MB+LG; ","")&amp;IF(AND(CG837&gt;0,CF837*10&gt;CG837),"zu hoch für Tablar; ","")&amp;IF(AND(BP837=0,OR(CA837=1,AA837&lt;&gt;"",U837&lt;&gt;"",V837&lt;&gt;"",AB837&lt;&gt;"")),"manuell übersteuert; ","")&amp;IF(AND(BT837=0,R837=0),"Gebinde unbekannt / Stellmass fehlt; ","")&amp;IF(AND(BT837=0,N(V837)&lt;=0,N(Q837)&lt;=0),"Menge pro Gebinde fehlt (Ist = 1 Gebinde); ","")&amp;BO837)</f>
        <v>negativer Bestand (Export -1); Kein Verbrauch; </v>
      </c>
      <c r="BH837" s="55"/>
      <c r="BI837" s="55"/>
      <c r="BJ837" s="62"/>
      <c r="BK837" s="57" t="n">
        <v>-1</v>
      </c>
      <c r="BL837" s="57" t="n">
        <v>154</v>
      </c>
      <c r="BM837" s="56" t="n">
        <v>-12.09</v>
      </c>
      <c r="BN837" s="57" t="n">
        <v>0</v>
      </c>
      <c r="BO837" s="55"/>
      <c r="BP837" s="60" t="n">
        <v>0</v>
      </c>
      <c r="BQ837" s="60" t="n">
        <v>837</v>
      </c>
      <c r="BR837" s="55" t="str">
        <f aca="false">IF(U837&lt;&gt;"",UPPER(TRIM(U837)),IF(BU837=1,UPPER(VLOOKUP(T837,Parameter!$I$27:$K$29,2,0)),IF(P837="","LOSE",P837)))</f>
        <v>S62</v>
      </c>
      <c r="BS837" s="57" t="n">
        <f aca="false">IF(BR837="LOSE",1,IF(N(V837)&gt;0,V837,IF(BU837=1,MAX(1,N(VLOOKUP(T837,Parameter!$I$27:$K$29,3,0)),H837,N(N837)),IF(N(Q837)&gt;0,Q837,MAX(1,H837)))))</f>
        <v>169</v>
      </c>
      <c r="BT837" s="60" t="n">
        <f aca="false">IF(BR837="LOSE",1,0)</f>
        <v>0</v>
      </c>
      <c r="BU837" s="60" t="n">
        <f aca="false">IF(AND(U837="",OR(P837="",P837="LOSE"),T837&lt;&gt;"",N(S837)&lt;=0,ISNUMBER(MATCH(T837,Parameter!$I$27:$I$29,0))),1,0)</f>
        <v>0</v>
      </c>
      <c r="BV837" s="55" t="str">
        <f aca="false">IF(AND(Parameter!$B$19="Ja",E837&lt;&gt;"",ISNUMBER(MATCH(E837,Parameter!$I$35:$I$52,0))),VLOOKUP(E837,Parameter!$I$35:$J$52,2,0),IFERROR(VLOOKUP(D837,Parameter!$A$35:$C$64,2,0),"Nein"))</f>
        <v>2+3</v>
      </c>
      <c r="BW837" s="59" t="n">
        <f aca="false">IF(BT837=0,0,IF(N(S837)&gt;0,S837,IFERROR(VLOOKUP(D837,Parameter!$A$35:$C$64,3,0)+0,0)))</f>
        <v>0</v>
      </c>
      <c r="BX837" s="55" t="n">
        <f aca="false">IF(AA837&lt;&gt;"",AA837,Z837)</f>
        <v>2</v>
      </c>
      <c r="BY837" s="55" t="str">
        <f aca="false">IF(BX837=1,"L1",IF(OR(BX837=2,BX837=3),"L23",IF(BX837="Aussen","Aussen","-")))</f>
        <v>L23</v>
      </c>
      <c r="BZ837" s="66" t="n">
        <f aca="false">IF(N(AB837)&gt;0,AB837,0)</f>
        <v>0</v>
      </c>
      <c r="CA837" s="60" t="n">
        <f aca="false">IF(ISNUMBER(AE837),1,0)</f>
        <v>0</v>
      </c>
      <c r="CB837" s="57" t="n">
        <f aca="false">N(AE837)</f>
        <v>0</v>
      </c>
      <c r="CC837" s="57" t="n">
        <f aca="false">N(M837)+N(N837)</f>
        <v>1</v>
      </c>
      <c r="CD837" s="57" t="n">
        <f aca="false">ROUNDUP(H837/BS837,0)</f>
        <v>1</v>
      </c>
      <c r="CE837" s="57" t="n">
        <f aca="false">ROUNDUP(CB837/BS837,0)</f>
        <v>0</v>
      </c>
      <c r="CF837" s="60" t="n">
        <f aca="false">IF(BT837=1,0,IFERROR(VLOOKUP(BR837,'Gebinde-Kategorie'!$A$5:$M$45,5,0)+0,0))</f>
        <v>21</v>
      </c>
      <c r="CG837" s="60" t="n">
        <f aca="false">IFERROR(IF(OR(BX837=1,BX837=2,BX837=3),N(INDEX(Parameter!$I$5:$I$7,BX837)),0),0)</f>
        <v>0</v>
      </c>
      <c r="CH837" s="59" t="n">
        <f aca="false">IF(AND(Parameter!$B$21="Ja",ISNUMBER(W837),N(X837)&gt;0),IFERROR(N(INDEX(Parameter!$L$5:$L$7,W837))*INDEX(Parameter!$E$5:$E$7,W837)*X837/SUMIFS($X$7:$X$1843,$W$7:$W$1843,W837),0),0)</f>
        <v>0</v>
      </c>
    </row>
    <row r="838" customFormat="false" ht="15" hidden="false" customHeight="false" outlineLevel="0" collapsed="false">
      <c r="A838" s="55" t="s">
        <v>1609</v>
      </c>
      <c r="B838" s="55" t="s">
        <v>489</v>
      </c>
      <c r="C838" s="55" t="s">
        <v>164</v>
      </c>
      <c r="D838" s="55" t="s">
        <v>184</v>
      </c>
      <c r="E838" s="55" t="s">
        <v>185</v>
      </c>
      <c r="F838" s="55" t="s">
        <v>218</v>
      </c>
      <c r="G838" s="56" t="n">
        <v>1.53</v>
      </c>
      <c r="H838" s="57" t="n">
        <f aca="false">MAX(0,IF(AND(Parameter!$B$21="Ja",ISNUMBER(Y838)),Y838,IF(Parameter!$B$20="Jahresanfang 2025 + Export",BL838+BK838,BK838)))</f>
        <v>214</v>
      </c>
      <c r="I838" s="57" t="n">
        <f aca="false">H838*G838</f>
        <v>327.42</v>
      </c>
      <c r="J838" s="57" t="n">
        <f aca="false">BN838*Parameter!$B$18</f>
        <v>264</v>
      </c>
      <c r="K838" s="58" t="n">
        <v>191.5</v>
      </c>
      <c r="L838" s="59" t="n">
        <v>1.37859007832898</v>
      </c>
      <c r="M838" s="57" t="n">
        <v>10</v>
      </c>
      <c r="N838" s="57" t="n">
        <v>200</v>
      </c>
      <c r="O838" s="60" t="n">
        <v>14</v>
      </c>
      <c r="P838" s="55" t="s">
        <v>421</v>
      </c>
      <c r="Q838" s="57" t="n">
        <v>513</v>
      </c>
      <c r="R838" s="60" t="n">
        <f aca="false">IF(BT838=1,0,IFERROR(VLOOKUP(BR838,'Gebinde-Kategorie'!$A$5:$M$45,13,0)+0,0))</f>
        <v>132</v>
      </c>
      <c r="S838" s="61"/>
      <c r="T838" s="62"/>
      <c r="U838" s="62"/>
      <c r="V838" s="62"/>
      <c r="W838" s="55"/>
      <c r="X838" s="57"/>
      <c r="Y838" s="57"/>
      <c r="Z838" s="55" t="n">
        <f aca="false">IF(A838="","",IF(AND(Parameter!$B$21="Ja",ISNUMBER(W838)),W838,IF(BV838="2+3",IF(ISNUMBER(SEARCH("grosser Artikel",BO838)),2,IFERROR(VLOOKUP(BR838,Parameter!$F$35:$G$64,2,0),2)),IF(OR(BV838="Nein",BV838=""),"-",BV838))))</f>
        <v>3</v>
      </c>
      <c r="AA838" s="62"/>
      <c r="AB838" s="63"/>
      <c r="AC838" s="57" t="n">
        <f aca="false">AR838</f>
        <v>513</v>
      </c>
      <c r="AD838" s="57" t="n">
        <f aca="false">MAX(AR838,H838)</f>
        <v>513</v>
      </c>
      <c r="AE838" s="64"/>
      <c r="AF838" s="57" t="n">
        <f aca="false">IF(LEFT(Cockpit!$C$5,1)="A",H838,IF(CA838=1,CB838,IF(LEFT(Cockpit!$C$5,1)="B",AJ838,MAX(AJ838,H838))))</f>
        <v>214</v>
      </c>
      <c r="AG838" s="57" t="n">
        <f aca="false">IF(BT838=1,0,ROUNDUP(AF838/BS838,0))</f>
        <v>1</v>
      </c>
      <c r="AH838" s="59" t="n">
        <f aca="false">IF(CH838&gt;0,CH838*MAX(1,AF838/X838),IF(BT838=1,IF(AF838&lt;=0,0,BW838*MAX(1,IF(H838&gt;0,AF838/H838,1))),IF(R838&gt;0,AG838/R838,0))/MAX(0.1,N(Parameter!$M$21)))</f>
        <v>0.00757575757575758</v>
      </c>
      <c r="AI838" s="57" t="n">
        <f aca="false">AF838*G838</f>
        <v>327.42</v>
      </c>
      <c r="AJ838" s="57" t="n">
        <f aca="false">ROUNDUP(MAX(J838/IF(BZ838&gt;0,BZ838,MAX(0.1,N(Cockpit!$C$6))),CC838)/BS838,0)*BS838</f>
        <v>513</v>
      </c>
      <c r="AK838" s="58" t="n">
        <f aca="false">IF(AH838&gt;0,J838/AH838,-1)</f>
        <v>34848</v>
      </c>
      <c r="AL838" s="58" t="n">
        <f aca="false">IF(AND(OR(BY838="L1",BY838="L23"),AH838&gt;0),SUMIFS($AH$7:$AH$1843,$BY$7:$BY$1843,BY838,$AK$7:$AK$1843,"&gt;"&amp;AK838)+SUMIFS($AH$7:$AH$1843,$BY$7:$BY$1843,BY838,$AK$7:$AK$1843,AK838,$BQ$7:$BQ$1843,"&lt;="&amp;BQ838),"")</f>
        <v>2.14507955812304</v>
      </c>
      <c r="AM838" s="65" t="n">
        <f aca="false">IF(AL838="",0,MAX(0,MIN(1,(IF(BY838="L1",Parameter!$E$5,Parameter!$E$6+Parameter!$E$7)-(AL838-AH838))/AH838)))</f>
        <v>1</v>
      </c>
      <c r="AN838" s="57" t="n">
        <f aca="false">IF(LEFT(Cockpit!$I$5,1)="A",H838,IF(CA838=1,CB838,IF(LEFT(Cockpit!$I$5,1)="B",AR838,MAX(AR838,H838))))</f>
        <v>513</v>
      </c>
      <c r="AO838" s="57" t="n">
        <f aca="false">IF(BT838=1,0,ROUNDUP(AN838/BS838,0))</f>
        <v>1</v>
      </c>
      <c r="AP838" s="59" t="n">
        <f aca="false">IF(CH838&gt;0,CH838*MAX(1,AN838/X838),IF(BT838=1,IF(AN838&lt;=0,0,BW838*MAX(1,IF(H838&gt;0,AN838/H838,1))),IF(R838&gt;0,AO838/R838,0))/MAX(0.1,N(Parameter!$M$21)))</f>
        <v>0.00757575757575758</v>
      </c>
      <c r="AQ838" s="57" t="n">
        <f aca="false">AN838*G838</f>
        <v>784.89</v>
      </c>
      <c r="AR838" s="57" t="n">
        <f aca="false">ROUNDUP(MAX(J838/IF(BZ838&gt;0,BZ838,MAX(0.1,N(Cockpit!$I$6))),CC838)/BS838,0)*BS838</f>
        <v>513</v>
      </c>
      <c r="AS838" s="58" t="n">
        <f aca="false">IF(AP838&gt;0,J838/AP838,-1)</f>
        <v>34848</v>
      </c>
      <c r="AT838" s="58" t="n">
        <f aca="false">IF(AND(OR(BY838="L1",BY838="L23"),AP838&gt;0),SUMIFS($AP$7:$AP$1843,$BY$7:$BY$1843,BY838,$AS$7:$AS$1843,"&gt;"&amp;AS838)+SUMIFS($AP$7:$AP$1843,$BY$7:$BY$1843,BY838,$AS$7:$AS$1843,AS838,$BQ$7:$BQ$1843,"&lt;="&amp;BQ838),"")</f>
        <v>2.70751832708354</v>
      </c>
      <c r="AU838" s="65" t="n">
        <f aca="false">IF(AT838="",0,MAX(0,MIN(1,(IF(BY838="L1",Parameter!$E$5,Parameter!$E$6+Parameter!$E$7)-(AT838-AP838))/AP838)))</f>
        <v>1</v>
      </c>
      <c r="AV838" s="57" t="n">
        <f aca="false">IF(LEFT(Cockpit!$O$5,1)="A",H838,IF(CA838=1,CB838,IF(LEFT(Cockpit!$O$5,1)="B",AZ838,MAX(AZ838,H838))))</f>
        <v>513</v>
      </c>
      <c r="AW838" s="57" t="n">
        <f aca="false">IF(BT838=1,0,ROUNDUP(AV838/BS838,0))</f>
        <v>1</v>
      </c>
      <c r="AX838" s="59" t="n">
        <f aca="false">IF(CH838&gt;0,CH838*MAX(1,AV838/X838),IF(BT838=1,IF(AV838&lt;=0,0,BW838*MAX(1,IF(H838&gt;0,AV838/H838,1))),IF(R838&gt;0,AW838/R838,0))/MAX(0.1,N(Parameter!$M$21)))</f>
        <v>0.00757575757575758</v>
      </c>
      <c r="AY838" s="57" t="n">
        <f aca="false">AV838*G838</f>
        <v>784.89</v>
      </c>
      <c r="AZ838" s="57" t="n">
        <f aca="false">ROUNDUP(MAX(J838/IF(BZ838&gt;0,BZ838,MAX(0.1,N(Cockpit!$O$6))),CC838)/BS838,0)*BS838</f>
        <v>513</v>
      </c>
      <c r="BA838" s="58" t="n">
        <f aca="false">IF(AX838&gt;0,J838/AX838,-1)</f>
        <v>34848</v>
      </c>
      <c r="BB838" s="58" t="n">
        <f aca="false">IF(AND(OR(BY838="L1",BY838="L23"),AX838&gt;0),SUMIFS($AX$7:$AX$1843,$BY$7:$BY$1843,BY838,$BA$7:$BA$1843,"&gt;"&amp;BA838)+SUMIFS($AX$7:$AX$1843,$BY$7:$BY$1843,BY838,$BA$7:$BA$1843,BA838,$BQ$7:$BQ$1843,"&lt;="&amp;BQ838),"")</f>
        <v>2.47558359514881</v>
      </c>
      <c r="BC838" s="65" t="n">
        <f aca="false">IF(BB838="",0,MAX(0,MIN(1,(IF(BY838="L1",Parameter!$E$5,Parameter!$E$6+Parameter!$E$7)-(BB838-AX838))/AX838)))</f>
        <v>1</v>
      </c>
      <c r="BD838" s="55" t="str">
        <f aca="false">IF(AH838&lt;=0,"",IF(BY838="Aussen","Aussenlager",IF(BY838="-","Nicht im Lift",IF(AM838&gt;=1,"Lift",IF(AM838&lt;=0,"Aussenlager","teilweise")))))</f>
        <v>Lift</v>
      </c>
      <c r="BE838" s="55" t="str">
        <f aca="false">IF(AP838&lt;=0,"",IF(BY838="Aussen","Aussenlager",IF(BY838="-","Nicht im Lift",IF(AU838&gt;=1,"Lift",IF(AU838&lt;=0,"Aussenlager","teilweise")))))</f>
        <v>Lift</v>
      </c>
      <c r="BF838" s="55" t="str">
        <f aca="false">IF(AX838&lt;=0,"",IF(BY838="Aussen","Aussenlager",IF(BY838="-","Nicht im Lift",IF(BC838&gt;=1,"Lift",IF(BC838&lt;=0,"Aussenlager","teilweise")))))</f>
        <v>Lift</v>
      </c>
      <c r="BG838" s="55" t="str">
        <f aca="false">IF(A838="","",IF(BP838=1,"Neu; ","")&amp;IF(AND(BP838=0,BK838&lt;0),"negativer Bestand (Export "&amp;BK838&amp;"); ","")&amp;IF(J838&lt;=0,"Kein Verbrauch; ","")&amp;IF(CH838&gt;0,"Lift "&amp;W838&amp;" lt. Liftbericht (Fach "&amp;X838&amp;" Stk); ",IF(BU838=1,"Gebinde geschätzt ("&amp;T838&amp;"); ",IF(BT838=1,"Lose – Tablare geschätzt; ","")))&amp;IF(H838&gt;AR838,"Überbestand "&amp;ROUND(H838-AR838,0)&amp;" Stk / CHF "&amp;ROUND((H838-AR838)*G838,0)&amp;"; ","")&amp;IF(AND(CA838=1,CB838&lt;CC838),"MAX &lt; MB+LG; ","")&amp;IF(AND(CG838&gt;0,CF838*10&gt;CG838),"zu hoch für Tablar; ","")&amp;IF(AND(BP838=0,OR(CA838=1,AA838&lt;&gt;"",U838&lt;&gt;"",V838&lt;&gt;"",AB838&lt;&gt;"")),"manuell übersteuert; ","")&amp;IF(AND(BT838=0,R838=0),"Gebinde unbekannt / Stellmass fehlt; ","")&amp;IF(AND(BT838=0,N(V838)&lt;=0,N(Q838)&lt;=0),"Menge pro Gebinde fehlt (Ist = 1 Gebinde); ","")&amp;BO838)</f>
        <v>negativer Bestand (Export -8); </v>
      </c>
      <c r="BH838" s="55"/>
      <c r="BI838" s="55"/>
      <c r="BJ838" s="62"/>
      <c r="BK838" s="57" t="n">
        <v>-8</v>
      </c>
      <c r="BL838" s="57" t="n">
        <v>222</v>
      </c>
      <c r="BM838" s="56" t="n">
        <v>-12.1599999999998</v>
      </c>
      <c r="BN838" s="57" t="n">
        <v>264</v>
      </c>
      <c r="BO838" s="55"/>
      <c r="BP838" s="60" t="n">
        <v>0</v>
      </c>
      <c r="BQ838" s="60" t="n">
        <v>838</v>
      </c>
      <c r="BR838" s="55" t="str">
        <f aca="false">IF(U838&lt;&gt;"",UPPER(TRIM(U838)),IF(BU838=1,UPPER(VLOOKUP(T838,Parameter!$I$27:$K$29,2,0)),IF(P838="","LOSE",P838)))</f>
        <v>S32</v>
      </c>
      <c r="BS838" s="57" t="n">
        <f aca="false">IF(BR838="LOSE",1,IF(N(V838)&gt;0,V838,IF(BU838=1,MAX(1,N(VLOOKUP(T838,Parameter!$I$27:$K$29,3,0)),H838,N(N838)),IF(N(Q838)&gt;0,Q838,MAX(1,H838)))))</f>
        <v>513</v>
      </c>
      <c r="BT838" s="60" t="n">
        <f aca="false">IF(BR838="LOSE",1,0)</f>
        <v>0</v>
      </c>
      <c r="BU838" s="60" t="n">
        <f aca="false">IF(AND(U838="",OR(P838="",P838="LOSE"),T838&lt;&gt;"",N(S838)&lt;=0,ISNUMBER(MATCH(T838,Parameter!$I$27:$I$29,0))),1,0)</f>
        <v>0</v>
      </c>
      <c r="BV838" s="55" t="str">
        <f aca="false">IF(AND(Parameter!$B$19="Ja",E838&lt;&gt;"",ISNUMBER(MATCH(E838,Parameter!$I$35:$I$52,0))),VLOOKUP(E838,Parameter!$I$35:$J$52,2,0),IFERROR(VLOOKUP(D838,Parameter!$A$35:$C$64,2,0),"Nein"))</f>
        <v>2+3</v>
      </c>
      <c r="BW838" s="59" t="n">
        <f aca="false">IF(BT838=0,0,IF(N(S838)&gt;0,S838,IFERROR(VLOOKUP(D838,Parameter!$A$35:$C$64,3,0)+0,0)))</f>
        <v>0</v>
      </c>
      <c r="BX838" s="55" t="n">
        <f aca="false">IF(AA838&lt;&gt;"",AA838,Z838)</f>
        <v>3</v>
      </c>
      <c r="BY838" s="55" t="str">
        <f aca="false">IF(BX838=1,"L1",IF(OR(BX838=2,BX838=3),"L23",IF(BX838="Aussen","Aussen","-")))</f>
        <v>L23</v>
      </c>
      <c r="BZ838" s="66" t="n">
        <f aca="false">IF(N(AB838)&gt;0,AB838,0)</f>
        <v>0</v>
      </c>
      <c r="CA838" s="60" t="n">
        <f aca="false">IF(ISNUMBER(AE838),1,0)</f>
        <v>0</v>
      </c>
      <c r="CB838" s="57" t="n">
        <f aca="false">N(AE838)</f>
        <v>0</v>
      </c>
      <c r="CC838" s="57" t="n">
        <f aca="false">N(M838)+N(N838)</f>
        <v>210</v>
      </c>
      <c r="CD838" s="57" t="n">
        <f aca="false">ROUNDUP(H838/BS838,0)</f>
        <v>1</v>
      </c>
      <c r="CE838" s="57" t="n">
        <f aca="false">ROUNDUP(CB838/BS838,0)</f>
        <v>0</v>
      </c>
      <c r="CF838" s="60" t="n">
        <f aca="false">IF(BT838=1,0,IFERROR(VLOOKUP(BR838,'Gebinde-Kategorie'!$A$5:$M$45,5,0)+0,0))</f>
        <v>8</v>
      </c>
      <c r="CG838" s="60" t="n">
        <f aca="false">IFERROR(IF(OR(BX838=1,BX838=2,BX838=3),N(INDEX(Parameter!$I$5:$I$7,BX838)),0),0)</f>
        <v>0</v>
      </c>
      <c r="CH838" s="59" t="n">
        <f aca="false">IF(AND(Parameter!$B$21="Ja",ISNUMBER(W838),N(X838)&gt;0),IFERROR(N(INDEX(Parameter!$L$5:$L$7,W838))*INDEX(Parameter!$E$5:$E$7,W838)*X838/SUMIFS($X$7:$X$1843,$W$7:$W$1843,W838),0),0)</f>
        <v>0</v>
      </c>
    </row>
    <row r="839" customFormat="false" ht="15" hidden="false" customHeight="false" outlineLevel="0" collapsed="false">
      <c r="A839" s="55" t="s">
        <v>1610</v>
      </c>
      <c r="B839" s="55" t="s">
        <v>998</v>
      </c>
      <c r="C839" s="55" t="s">
        <v>164</v>
      </c>
      <c r="D839" s="55" t="s">
        <v>184</v>
      </c>
      <c r="E839" s="55" t="s">
        <v>185</v>
      </c>
      <c r="F839" s="55" t="s">
        <v>218</v>
      </c>
      <c r="G839" s="56" t="n">
        <v>15.42</v>
      </c>
      <c r="H839" s="57" t="n">
        <f aca="false">MAX(0,IF(AND(Parameter!$B$21="Ja",ISNUMBER(Y839)),Y839,IF(Parameter!$B$20="Jahresanfang 2025 + Export",BL839+BK839,BK839)))</f>
        <v>44</v>
      </c>
      <c r="I839" s="57" t="n">
        <f aca="false">H839*G839</f>
        <v>678.48</v>
      </c>
      <c r="J839" s="57" t="n">
        <f aca="false">BN839*Parameter!$B$18</f>
        <v>30</v>
      </c>
      <c r="K839" s="58" t="n">
        <v>30.5</v>
      </c>
      <c r="L839" s="59" t="n">
        <v>0.983606557377049</v>
      </c>
      <c r="M839" s="57" t="n">
        <v>2</v>
      </c>
      <c r="N839" s="57" t="n">
        <v>30</v>
      </c>
      <c r="O839" s="60" t="n">
        <v>35</v>
      </c>
      <c r="P839" s="55" t="s">
        <v>293</v>
      </c>
      <c r="Q839" s="57" t="n">
        <v>11</v>
      </c>
      <c r="R839" s="60" t="n">
        <f aca="false">IF(BT839=1,0,IFERROR(VLOOKUP(BR839,'Gebinde-Kategorie'!$A$5:$M$45,13,0)+0,0))</f>
        <v>12</v>
      </c>
      <c r="S839" s="61"/>
      <c r="T839" s="62"/>
      <c r="U839" s="62"/>
      <c r="V839" s="62"/>
      <c r="W839" s="55"/>
      <c r="X839" s="57"/>
      <c r="Y839" s="57"/>
      <c r="Z839" s="55" t="n">
        <f aca="false">IF(A839="","",IF(AND(Parameter!$B$21="Ja",ISNUMBER(W839)),W839,IF(BV839="2+3",IF(ISNUMBER(SEARCH("grosser Artikel",BO839)),2,IFERROR(VLOOKUP(BR839,Parameter!$F$35:$G$64,2,0),2)),IF(OR(BV839="Nein",BV839=""),"-",BV839))))</f>
        <v>2</v>
      </c>
      <c r="AA839" s="62"/>
      <c r="AB839" s="63"/>
      <c r="AC839" s="57" t="n">
        <f aca="false">AR839</f>
        <v>33</v>
      </c>
      <c r="AD839" s="57" t="n">
        <f aca="false">MAX(AR839,H839)</f>
        <v>44</v>
      </c>
      <c r="AE839" s="64"/>
      <c r="AF839" s="57" t="n">
        <f aca="false">IF(LEFT(Cockpit!$C$5,1)="A",H839,IF(CA839=1,CB839,IF(LEFT(Cockpit!$C$5,1)="B",AJ839,MAX(AJ839,H839))))</f>
        <v>44</v>
      </c>
      <c r="AG839" s="57" t="n">
        <f aca="false">IF(BT839=1,0,ROUNDUP(AF839/BS839,0))</f>
        <v>4</v>
      </c>
      <c r="AH839" s="59" t="n">
        <f aca="false">IF(CH839&gt;0,CH839*MAX(1,AF839/X839),IF(BT839=1,IF(AF839&lt;=0,0,BW839*MAX(1,IF(H839&gt;0,AF839/H839,1))),IF(R839&gt;0,AG839/R839,0))/MAX(0.1,N(Parameter!$M$21)))</f>
        <v>0.333333333333333</v>
      </c>
      <c r="AI839" s="57" t="n">
        <f aca="false">AF839*G839</f>
        <v>678.48</v>
      </c>
      <c r="AJ839" s="57" t="n">
        <f aca="false">ROUNDUP(MAX(J839/IF(BZ839&gt;0,BZ839,MAX(0.1,N(Cockpit!$C$6))),CC839)/BS839,0)*BS839</f>
        <v>33</v>
      </c>
      <c r="AK839" s="58" t="n">
        <f aca="false">IF(AH839&gt;0,J839/AH839,-1)</f>
        <v>90</v>
      </c>
      <c r="AL839" s="58" t="n">
        <f aca="false">IF(AND(OR(BY839="L1",BY839="L23"),AH839&gt;0),SUMIFS($AH$7:$AH$1843,$BY$7:$BY$1843,BY839,$AK$7:$AK$1843,"&gt;"&amp;AK839)+SUMIFS($AH$7:$AH$1843,$BY$7:$BY$1843,BY839,$AK$7:$AK$1843,AK839,$BQ$7:$BQ$1843,"&lt;="&amp;BQ839),"")</f>
        <v>40.4582277625756</v>
      </c>
      <c r="AM839" s="65" t="n">
        <f aca="false">IF(AL839="",0,MAX(0,MIN(1,(IF(BY839="L1",Parameter!$E$5,Parameter!$E$6+Parameter!$E$7)-(AL839-AH839))/AH839)))</f>
        <v>1</v>
      </c>
      <c r="AN839" s="57" t="n">
        <f aca="false">IF(LEFT(Cockpit!$I$5,1)="A",H839,IF(CA839=1,CB839,IF(LEFT(Cockpit!$I$5,1)="B",AR839,MAX(AR839,H839))))</f>
        <v>44</v>
      </c>
      <c r="AO839" s="57" t="n">
        <f aca="false">IF(BT839=1,0,ROUNDUP(AN839/BS839,0))</f>
        <v>4</v>
      </c>
      <c r="AP839" s="59" t="n">
        <f aca="false">IF(CH839&gt;0,CH839*MAX(1,AN839/X839),IF(BT839=1,IF(AN839&lt;=0,0,BW839*MAX(1,IF(H839&gt;0,AN839/H839,1))),IF(R839&gt;0,AO839/R839,0))/MAX(0.1,N(Parameter!$M$21)))</f>
        <v>0.333333333333333</v>
      </c>
      <c r="AQ839" s="57" t="n">
        <f aca="false">AN839*G839</f>
        <v>678.48</v>
      </c>
      <c r="AR839" s="57" t="n">
        <f aca="false">ROUNDUP(MAX(J839/IF(BZ839&gt;0,BZ839,MAX(0.1,N(Cockpit!$I$6))),CC839)/BS839,0)*BS839</f>
        <v>33</v>
      </c>
      <c r="AS839" s="58" t="n">
        <f aca="false">IF(AP839&gt;0,J839/AP839,-1)</f>
        <v>90</v>
      </c>
      <c r="AT839" s="58" t="n">
        <f aca="false">IF(AND(OR(BY839="L1",BY839="L23"),AP839&gt;0),SUMIFS($AP$7:$AP$1843,$BY$7:$BY$1843,BY839,$AS$7:$AS$1843,"&gt;"&amp;AS839)+SUMIFS($AP$7:$AP$1843,$BY$7:$BY$1843,BY839,$AS$7:$AS$1843,AS839,$BQ$7:$BQ$1843,"&lt;="&amp;BQ839),"")</f>
        <v>61.4342167494341</v>
      </c>
      <c r="AU839" s="65" t="n">
        <f aca="false">IF(AT839="",0,MAX(0,MIN(1,(IF(BY839="L1",Parameter!$E$5,Parameter!$E$6+Parameter!$E$7)-(AT839-AP839))/AP839)))</f>
        <v>1</v>
      </c>
      <c r="AV839" s="57" t="n">
        <f aca="false">IF(LEFT(Cockpit!$O$5,1)="A",H839,IF(CA839=1,CB839,IF(LEFT(Cockpit!$O$5,1)="B",AZ839,MAX(AZ839,H839))))</f>
        <v>44</v>
      </c>
      <c r="AW839" s="57" t="n">
        <f aca="false">IF(BT839=1,0,ROUNDUP(AV839/BS839,0))</f>
        <v>4</v>
      </c>
      <c r="AX839" s="59" t="n">
        <f aca="false">IF(CH839&gt;0,CH839*MAX(1,AV839/X839),IF(BT839=1,IF(AV839&lt;=0,0,BW839*MAX(1,IF(H839&gt;0,AV839/H839,1))),IF(R839&gt;0,AW839/R839,0))/MAX(0.1,N(Parameter!$M$21)))</f>
        <v>0.333333333333333</v>
      </c>
      <c r="AY839" s="57" t="n">
        <f aca="false">AV839*G839</f>
        <v>678.48</v>
      </c>
      <c r="AZ839" s="57" t="n">
        <f aca="false">ROUNDUP(MAX(J839/IF(BZ839&gt;0,BZ839,MAX(0.1,N(Cockpit!$O$6))),CC839)/BS839,0)*BS839</f>
        <v>33</v>
      </c>
      <c r="BA839" s="58" t="n">
        <f aca="false">IF(AX839&gt;0,J839/AX839,-1)</f>
        <v>90</v>
      </c>
      <c r="BB839" s="58" t="n">
        <f aca="false">IF(AND(OR(BY839="L1",BY839="L23"),AX839&gt;0),SUMIFS($AX$7:$AX$1843,$BY$7:$BY$1843,BY839,$BA$7:$BA$1843,"&gt;"&amp;BA839)+SUMIFS($AX$7:$AX$1843,$BY$7:$BY$1843,BY839,$BA$7:$BA$1843,BA839,$BQ$7:$BQ$1843,"&lt;="&amp;BQ839),"")</f>
        <v>56.514053579271</v>
      </c>
      <c r="BC839" s="65" t="n">
        <f aca="false">IF(BB839="",0,MAX(0,MIN(1,(IF(BY839="L1",Parameter!$E$5,Parameter!$E$6+Parameter!$E$7)-(BB839-AX839))/AX839)))</f>
        <v>1</v>
      </c>
      <c r="BD839" s="55" t="str">
        <f aca="false">IF(AH839&lt;=0,"",IF(BY839="Aussen","Aussenlager",IF(BY839="-","Nicht im Lift",IF(AM839&gt;=1,"Lift",IF(AM839&lt;=0,"Aussenlager","teilweise")))))</f>
        <v>Lift</v>
      </c>
      <c r="BE839" s="55" t="str">
        <f aca="false">IF(AP839&lt;=0,"",IF(BY839="Aussen","Aussenlager",IF(BY839="-","Nicht im Lift",IF(AU839&gt;=1,"Lift",IF(AU839&lt;=0,"Aussenlager","teilweise")))))</f>
        <v>Lift</v>
      </c>
      <c r="BF839" s="55" t="str">
        <f aca="false">IF(AX839&lt;=0,"",IF(BY839="Aussen","Aussenlager",IF(BY839="-","Nicht im Lift",IF(BC839&gt;=1,"Lift",IF(BC839&lt;=0,"Aussenlager","teilweise")))))</f>
        <v>Lift</v>
      </c>
      <c r="BG839" s="55" t="str">
        <f aca="false">IF(A839="","",IF(BP839=1,"Neu; ","")&amp;IF(AND(BP839=0,BK839&lt;0),"negativer Bestand (Export "&amp;BK839&amp;"); ","")&amp;IF(J839&lt;=0,"Kein Verbrauch; ","")&amp;IF(CH839&gt;0,"Lift "&amp;W839&amp;" lt. Liftbericht (Fach "&amp;X839&amp;" Stk); ",IF(BU839=1,"Gebinde geschätzt ("&amp;T839&amp;"); ",IF(BT839=1,"Lose – Tablare geschätzt; ","")))&amp;IF(H839&gt;AR839,"Überbestand "&amp;ROUND(H839-AR839,0)&amp;" Stk / CHF "&amp;ROUND((H839-AR839)*G839,0)&amp;"; ","")&amp;IF(AND(CA839=1,CB839&lt;CC839),"MAX &lt; MB+LG; ","")&amp;IF(AND(CG839&gt;0,CF839*10&gt;CG839),"zu hoch für Tablar; ","")&amp;IF(AND(BP839=0,OR(CA839=1,AA839&lt;&gt;"",U839&lt;&gt;"",V839&lt;&gt;"",AB839&lt;&gt;"")),"manuell übersteuert; ","")&amp;IF(AND(BT839=0,R839=0),"Gebinde unbekannt / Stellmass fehlt; ","")&amp;IF(AND(BT839=0,N(V839)&lt;=0,N(Q839)&lt;=0),"Menge pro Gebinde fehlt (Ist = 1 Gebinde); ","")&amp;BO839)</f>
        <v>negativer Bestand (Export -2); Überbestand 11 Stk / CHF 170; </v>
      </c>
      <c r="BH839" s="55"/>
      <c r="BI839" s="55"/>
      <c r="BJ839" s="62"/>
      <c r="BK839" s="57" t="n">
        <v>-2</v>
      </c>
      <c r="BL839" s="57" t="n">
        <v>46</v>
      </c>
      <c r="BM839" s="56" t="n">
        <v>-12.8999999999999</v>
      </c>
      <c r="BN839" s="57" t="n">
        <v>30</v>
      </c>
      <c r="BO839" s="55"/>
      <c r="BP839" s="60" t="n">
        <v>0</v>
      </c>
      <c r="BQ839" s="60" t="n">
        <v>839</v>
      </c>
      <c r="BR839" s="55" t="str">
        <f aca="false">IF(U839&lt;&gt;"",UPPER(TRIM(U839)),IF(BU839=1,UPPER(VLOOKUP(T839,Parameter!$I$27:$K$29,2,0)),IF(P839="","LOSE",P839)))</f>
        <v>S62</v>
      </c>
      <c r="BS839" s="57" t="n">
        <f aca="false">IF(BR839="LOSE",1,IF(N(V839)&gt;0,V839,IF(BU839=1,MAX(1,N(VLOOKUP(T839,Parameter!$I$27:$K$29,3,0)),H839,N(N839)),IF(N(Q839)&gt;0,Q839,MAX(1,H839)))))</f>
        <v>11</v>
      </c>
      <c r="BT839" s="60" t="n">
        <f aca="false">IF(BR839="LOSE",1,0)</f>
        <v>0</v>
      </c>
      <c r="BU839" s="60" t="n">
        <f aca="false">IF(AND(U839="",OR(P839="",P839="LOSE"),T839&lt;&gt;"",N(S839)&lt;=0,ISNUMBER(MATCH(T839,Parameter!$I$27:$I$29,0))),1,0)</f>
        <v>0</v>
      </c>
      <c r="BV839" s="55" t="str">
        <f aca="false">IF(AND(Parameter!$B$19="Ja",E839&lt;&gt;"",ISNUMBER(MATCH(E839,Parameter!$I$35:$I$52,0))),VLOOKUP(E839,Parameter!$I$35:$J$52,2,0),IFERROR(VLOOKUP(D839,Parameter!$A$35:$C$64,2,0),"Nein"))</f>
        <v>2+3</v>
      </c>
      <c r="BW839" s="59" t="n">
        <f aca="false">IF(BT839=0,0,IF(N(S839)&gt;0,S839,IFERROR(VLOOKUP(D839,Parameter!$A$35:$C$64,3,0)+0,0)))</f>
        <v>0</v>
      </c>
      <c r="BX839" s="55" t="n">
        <f aca="false">IF(AA839&lt;&gt;"",AA839,Z839)</f>
        <v>2</v>
      </c>
      <c r="BY839" s="55" t="str">
        <f aca="false">IF(BX839=1,"L1",IF(OR(BX839=2,BX839=3),"L23",IF(BX839="Aussen","Aussen","-")))</f>
        <v>L23</v>
      </c>
      <c r="BZ839" s="66" t="n">
        <f aca="false">IF(N(AB839)&gt;0,AB839,0)</f>
        <v>0</v>
      </c>
      <c r="CA839" s="60" t="n">
        <f aca="false">IF(ISNUMBER(AE839),1,0)</f>
        <v>0</v>
      </c>
      <c r="CB839" s="57" t="n">
        <f aca="false">N(AE839)</f>
        <v>0</v>
      </c>
      <c r="CC839" s="57" t="n">
        <f aca="false">N(M839)+N(N839)</f>
        <v>32</v>
      </c>
      <c r="CD839" s="57" t="n">
        <f aca="false">ROUNDUP(H839/BS839,0)</f>
        <v>4</v>
      </c>
      <c r="CE839" s="57" t="n">
        <f aca="false">ROUNDUP(CB839/BS839,0)</f>
        <v>0</v>
      </c>
      <c r="CF839" s="60" t="n">
        <f aca="false">IF(BT839=1,0,IFERROR(VLOOKUP(BR839,'Gebinde-Kategorie'!$A$5:$M$45,5,0)+0,0))</f>
        <v>21</v>
      </c>
      <c r="CG839" s="60" t="n">
        <f aca="false">IFERROR(IF(OR(BX839=1,BX839=2,BX839=3),N(INDEX(Parameter!$I$5:$I$7,BX839)),0),0)</f>
        <v>0</v>
      </c>
      <c r="CH839" s="59" t="n">
        <f aca="false">IF(AND(Parameter!$B$21="Ja",ISNUMBER(W839),N(X839)&gt;0),IFERROR(N(INDEX(Parameter!$L$5:$L$7,W839))*INDEX(Parameter!$E$5:$E$7,W839)*X839/SUMIFS($X$7:$X$1843,$W$7:$W$1843,W839),0),0)</f>
        <v>0</v>
      </c>
    </row>
    <row r="840" customFormat="false" ht="15" hidden="false" customHeight="false" outlineLevel="0" collapsed="false">
      <c r="A840" s="55" t="s">
        <v>1611</v>
      </c>
      <c r="B840" s="55" t="s">
        <v>1266</v>
      </c>
      <c r="C840" s="55" t="s">
        <v>164</v>
      </c>
      <c r="D840" s="55" t="s">
        <v>184</v>
      </c>
      <c r="E840" s="55" t="s">
        <v>185</v>
      </c>
      <c r="F840" s="55" t="s">
        <v>218</v>
      </c>
      <c r="G840" s="56" t="n">
        <v>0.06</v>
      </c>
      <c r="H840" s="57" t="n">
        <f aca="false">MAX(0,IF(AND(Parameter!$B$21="Ja",ISNUMBER(Y840)),Y840,IF(Parameter!$B$20="Jahresanfang 2025 + Export",BL840+BK840,BK840)))</f>
        <v>433</v>
      </c>
      <c r="I840" s="57" t="n">
        <f aca="false">H840*G840</f>
        <v>25.98</v>
      </c>
      <c r="J840" s="57" t="n">
        <f aca="false">BN840*Parameter!$B$18</f>
        <v>94</v>
      </c>
      <c r="K840" s="58" t="n">
        <v>590</v>
      </c>
      <c r="L840" s="59" t="n">
        <v>0.159322033898305</v>
      </c>
      <c r="M840" s="57" t="n">
        <v>5</v>
      </c>
      <c r="N840" s="57" t="n">
        <v>95</v>
      </c>
      <c r="O840" s="60" t="n">
        <v>21</v>
      </c>
      <c r="P840" s="55" t="s">
        <v>476</v>
      </c>
      <c r="Q840" s="57" t="n">
        <v>1050</v>
      </c>
      <c r="R840" s="60" t="n">
        <f aca="false">IF(BT840=1,0,IFERROR(VLOOKUP(BR840,'Gebinde-Kategorie'!$A$5:$M$45,13,0)+0,0))</f>
        <v>66</v>
      </c>
      <c r="S840" s="61"/>
      <c r="T840" s="62"/>
      <c r="U840" s="62"/>
      <c r="V840" s="62"/>
      <c r="W840" s="55"/>
      <c r="X840" s="57"/>
      <c r="Y840" s="57"/>
      <c r="Z840" s="55" t="n">
        <f aca="false">IF(A840="","",IF(AND(Parameter!$B$21="Ja",ISNUMBER(W840)),W840,IF(BV840="2+3",IF(ISNUMBER(SEARCH("grosser Artikel",BO840)),2,IFERROR(VLOOKUP(BR840,Parameter!$F$35:$G$64,2,0),2)),IF(OR(BV840="Nein",BV840=""),"-",BV840))))</f>
        <v>3</v>
      </c>
      <c r="AA840" s="62"/>
      <c r="AB840" s="63"/>
      <c r="AC840" s="57" t="n">
        <f aca="false">AR840</f>
        <v>1050</v>
      </c>
      <c r="AD840" s="57" t="n">
        <f aca="false">MAX(AR840,H840)</f>
        <v>1050</v>
      </c>
      <c r="AE840" s="64"/>
      <c r="AF840" s="57" t="n">
        <f aca="false">IF(LEFT(Cockpit!$C$5,1)="A",H840,IF(CA840=1,CB840,IF(LEFT(Cockpit!$C$5,1)="B",AJ840,MAX(AJ840,H840))))</f>
        <v>433</v>
      </c>
      <c r="AG840" s="57" t="n">
        <f aca="false">IF(BT840=1,0,ROUNDUP(AF840/BS840,0))</f>
        <v>1</v>
      </c>
      <c r="AH840" s="59" t="n">
        <f aca="false">IF(CH840&gt;0,CH840*MAX(1,AF840/X840),IF(BT840=1,IF(AF840&lt;=0,0,BW840*MAX(1,IF(H840&gt;0,AF840/H840,1))),IF(R840&gt;0,AG840/R840,0))/MAX(0.1,N(Parameter!$M$21)))</f>
        <v>0.0151515151515152</v>
      </c>
      <c r="AI840" s="57" t="n">
        <f aca="false">AF840*G840</f>
        <v>25.98</v>
      </c>
      <c r="AJ840" s="57" t="n">
        <f aca="false">ROUNDUP(MAX(J840/IF(BZ840&gt;0,BZ840,MAX(0.1,N(Cockpit!$C$6))),CC840)/BS840,0)*BS840</f>
        <v>1050</v>
      </c>
      <c r="AK840" s="58" t="n">
        <f aca="false">IF(AH840&gt;0,J840/AH840,-1)</f>
        <v>6204</v>
      </c>
      <c r="AL840" s="58" t="n">
        <f aca="false">IF(AND(OR(BY840="L1",BY840="L23"),AH840&gt;0),SUMIFS($AH$7:$AH$1843,$BY$7:$BY$1843,BY840,$AK$7:$AK$1843,"&gt;"&amp;AK840)+SUMIFS($AH$7:$AH$1843,$BY$7:$BY$1843,BY840,$AK$7:$AK$1843,AK840,$BQ$7:$BQ$1843,"&lt;="&amp;BQ840),"")</f>
        <v>6.47321036451471</v>
      </c>
      <c r="AM840" s="65" t="n">
        <f aca="false">IF(AL840="",0,MAX(0,MIN(1,(IF(BY840="L1",Parameter!$E$5,Parameter!$E$6+Parameter!$E$7)-(AL840-AH840))/AH840)))</f>
        <v>1</v>
      </c>
      <c r="AN840" s="57" t="n">
        <f aca="false">IF(LEFT(Cockpit!$I$5,1)="A",H840,IF(CA840=1,CB840,IF(LEFT(Cockpit!$I$5,1)="B",AR840,MAX(AR840,H840))))</f>
        <v>1050</v>
      </c>
      <c r="AO840" s="57" t="n">
        <f aca="false">IF(BT840=1,0,ROUNDUP(AN840/BS840,0))</f>
        <v>1</v>
      </c>
      <c r="AP840" s="59" t="n">
        <f aca="false">IF(CH840&gt;0,CH840*MAX(1,AN840/X840),IF(BT840=1,IF(AN840&lt;=0,0,BW840*MAX(1,IF(H840&gt;0,AN840/H840,1))),IF(R840&gt;0,AO840/R840,0))/MAX(0.1,N(Parameter!$M$21)))</f>
        <v>0.0151515151515152</v>
      </c>
      <c r="AQ840" s="57" t="n">
        <f aca="false">AN840*G840</f>
        <v>63</v>
      </c>
      <c r="AR840" s="57" t="n">
        <f aca="false">ROUNDUP(MAX(J840/IF(BZ840&gt;0,BZ840,MAX(0.1,N(Cockpit!$I$6))),CC840)/BS840,0)*BS840</f>
        <v>1050</v>
      </c>
      <c r="AS840" s="58" t="n">
        <f aca="false">IF(AP840&gt;0,J840/AP840,-1)</f>
        <v>6204</v>
      </c>
      <c r="AT840" s="58" t="n">
        <f aca="false">IF(AND(OR(BY840="L1",BY840="L23"),AP840&gt;0),SUMIFS($AP$7:$AP$1843,$BY$7:$BY$1843,BY840,$AS$7:$AS$1843,"&gt;"&amp;AS840)+SUMIFS($AP$7:$AP$1843,$BY$7:$BY$1843,BY840,$AS$7:$AS$1843,AS840,$BQ$7:$BQ$1843,"&lt;="&amp;BQ840),"")</f>
        <v>11.1265159960812</v>
      </c>
      <c r="AU840" s="65" t="n">
        <f aca="false">IF(AT840="",0,MAX(0,MIN(1,(IF(BY840="L1",Parameter!$E$5,Parameter!$E$6+Parameter!$E$7)-(AT840-AP840))/AP840)))</f>
        <v>1</v>
      </c>
      <c r="AV840" s="57" t="n">
        <f aca="false">IF(LEFT(Cockpit!$O$5,1)="A",H840,IF(CA840=1,CB840,IF(LEFT(Cockpit!$O$5,1)="B",AZ840,MAX(AZ840,H840))))</f>
        <v>1050</v>
      </c>
      <c r="AW840" s="57" t="n">
        <f aca="false">IF(BT840=1,0,ROUNDUP(AV840/BS840,0))</f>
        <v>1</v>
      </c>
      <c r="AX840" s="59" t="n">
        <f aca="false">IF(CH840&gt;0,CH840*MAX(1,AV840/X840),IF(BT840=1,IF(AV840&lt;=0,0,BW840*MAX(1,IF(H840&gt;0,AV840/H840,1))),IF(R840&gt;0,AW840/R840,0))/MAX(0.1,N(Parameter!$M$21)))</f>
        <v>0.0151515151515152</v>
      </c>
      <c r="AY840" s="57" t="n">
        <f aca="false">AV840*G840</f>
        <v>63</v>
      </c>
      <c r="AZ840" s="57" t="n">
        <f aca="false">ROUNDUP(MAX(J840/IF(BZ840&gt;0,BZ840,MAX(0.1,N(Cockpit!$O$6))),CC840)/BS840,0)*BS840</f>
        <v>1050</v>
      </c>
      <c r="BA840" s="58" t="n">
        <f aca="false">IF(AX840&gt;0,J840/AX840,-1)</f>
        <v>6204</v>
      </c>
      <c r="BB840" s="58" t="n">
        <f aca="false">IF(AND(OR(BY840="L1",BY840="L23"),AX840&gt;0),SUMIFS($AX$7:$AX$1843,$BY$7:$BY$1843,BY840,$BA$7:$BA$1843,"&gt;"&amp;BA840)+SUMIFS($AX$7:$AX$1843,$BY$7:$BY$1843,BY840,$BA$7:$BA$1843,BA840,$BQ$7:$BQ$1843,"&lt;="&amp;BQ840),"")</f>
        <v>9.80891692848215</v>
      </c>
      <c r="BC840" s="65" t="n">
        <f aca="false">IF(BB840="",0,MAX(0,MIN(1,(IF(BY840="L1",Parameter!$E$5,Parameter!$E$6+Parameter!$E$7)-(BB840-AX840))/AX840)))</f>
        <v>1</v>
      </c>
      <c r="BD840" s="55" t="str">
        <f aca="false">IF(AH840&lt;=0,"",IF(BY840="Aussen","Aussenlager",IF(BY840="-","Nicht im Lift",IF(AM840&gt;=1,"Lift",IF(AM840&lt;=0,"Aussenlager","teilweise")))))</f>
        <v>Lift</v>
      </c>
      <c r="BE840" s="55" t="str">
        <f aca="false">IF(AP840&lt;=0,"",IF(BY840="Aussen","Aussenlager",IF(BY840="-","Nicht im Lift",IF(AU840&gt;=1,"Lift",IF(AU840&lt;=0,"Aussenlager","teilweise")))))</f>
        <v>Lift</v>
      </c>
      <c r="BF840" s="55" t="str">
        <f aca="false">IF(AX840&lt;=0,"",IF(BY840="Aussen","Aussenlager",IF(BY840="-","Nicht im Lift",IF(BC840&gt;=1,"Lift",IF(BC840&lt;=0,"Aussenlager","teilweise")))))</f>
        <v>Lift</v>
      </c>
      <c r="BG840" s="55" t="str">
        <f aca="false">IF(A840="","",IF(BP840=1,"Neu; ","")&amp;IF(AND(BP840=0,BK840&lt;0),"negativer Bestand (Export "&amp;BK840&amp;"); ","")&amp;IF(J840&lt;=0,"Kein Verbrauch; ","")&amp;IF(CH840&gt;0,"Lift "&amp;W840&amp;" lt. Liftbericht (Fach "&amp;X840&amp;" Stk); ",IF(BU840=1,"Gebinde geschätzt ("&amp;T840&amp;"); ",IF(BT840=1,"Lose – Tablare geschätzt; ","")))&amp;IF(H840&gt;AR840,"Überbestand "&amp;ROUND(H840-AR840,0)&amp;" Stk / CHF "&amp;ROUND((H840-AR840)*G840,0)&amp;"; ","")&amp;IF(AND(CA840=1,CB840&lt;CC840),"MAX &lt; MB+LG; ","")&amp;IF(AND(CG840&gt;0,CF840*10&gt;CG840),"zu hoch für Tablar; ","")&amp;IF(AND(BP840=0,OR(CA840=1,AA840&lt;&gt;"",U840&lt;&gt;"",V840&lt;&gt;"",AB840&lt;&gt;"")),"manuell übersteuert; ","")&amp;IF(AND(BT840=0,R840=0),"Gebinde unbekannt / Stellmass fehlt; ","")&amp;IF(AND(BT840=0,N(V840)&lt;=0,N(Q840)&lt;=0),"Menge pro Gebinde fehlt (Ist = 1 Gebinde); ","")&amp;BO840)</f>
        <v>negativer Bestand (Export -219); Neu</v>
      </c>
      <c r="BH840" s="55"/>
      <c r="BI840" s="55"/>
      <c r="BJ840" s="62"/>
      <c r="BK840" s="57" t="n">
        <v>-219</v>
      </c>
      <c r="BL840" s="57" t="n">
        <v>652</v>
      </c>
      <c r="BM840" s="56" t="n">
        <v>-13.14</v>
      </c>
      <c r="BN840" s="57" t="n">
        <v>94</v>
      </c>
      <c r="BO840" s="55" t="s">
        <v>626</v>
      </c>
      <c r="BP840" s="60" t="n">
        <v>0</v>
      </c>
      <c r="BQ840" s="60" t="n">
        <v>840</v>
      </c>
      <c r="BR840" s="55" t="str">
        <f aca="false">IF(U840&lt;&gt;"",UPPER(TRIM(U840)),IF(BU840=1,UPPER(VLOOKUP(T840,Parameter!$I$27:$K$29,2,0)),IF(P840="","LOSE",P840)))</f>
        <v>S33</v>
      </c>
      <c r="BS840" s="57" t="n">
        <f aca="false">IF(BR840="LOSE",1,IF(N(V840)&gt;0,V840,IF(BU840=1,MAX(1,N(VLOOKUP(T840,Parameter!$I$27:$K$29,3,0)),H840,N(N840)),IF(N(Q840)&gt;0,Q840,MAX(1,H840)))))</f>
        <v>1050</v>
      </c>
      <c r="BT840" s="60" t="n">
        <f aca="false">IF(BR840="LOSE",1,0)</f>
        <v>0</v>
      </c>
      <c r="BU840" s="60" t="n">
        <f aca="false">IF(AND(U840="",OR(P840="",P840="LOSE"),T840&lt;&gt;"",N(S840)&lt;=0,ISNUMBER(MATCH(T840,Parameter!$I$27:$I$29,0))),1,0)</f>
        <v>0</v>
      </c>
      <c r="BV840" s="55" t="str">
        <f aca="false">IF(AND(Parameter!$B$19="Ja",E840&lt;&gt;"",ISNUMBER(MATCH(E840,Parameter!$I$35:$I$52,0))),VLOOKUP(E840,Parameter!$I$35:$J$52,2,0),IFERROR(VLOOKUP(D840,Parameter!$A$35:$C$64,2,0),"Nein"))</f>
        <v>2+3</v>
      </c>
      <c r="BW840" s="59" t="n">
        <f aca="false">IF(BT840=0,0,IF(N(S840)&gt;0,S840,IFERROR(VLOOKUP(D840,Parameter!$A$35:$C$64,3,0)+0,0)))</f>
        <v>0</v>
      </c>
      <c r="BX840" s="55" t="n">
        <f aca="false">IF(AA840&lt;&gt;"",AA840,Z840)</f>
        <v>3</v>
      </c>
      <c r="BY840" s="55" t="str">
        <f aca="false">IF(BX840=1,"L1",IF(OR(BX840=2,BX840=3),"L23",IF(BX840="Aussen","Aussen","-")))</f>
        <v>L23</v>
      </c>
      <c r="BZ840" s="66" t="n">
        <f aca="false">IF(N(AB840)&gt;0,AB840,0)</f>
        <v>0</v>
      </c>
      <c r="CA840" s="60" t="n">
        <f aca="false">IF(ISNUMBER(AE840),1,0)</f>
        <v>0</v>
      </c>
      <c r="CB840" s="57" t="n">
        <f aca="false">N(AE840)</f>
        <v>0</v>
      </c>
      <c r="CC840" s="57" t="n">
        <f aca="false">N(M840)+N(N840)</f>
        <v>100</v>
      </c>
      <c r="CD840" s="57" t="n">
        <f aca="false">ROUNDUP(H840/BS840,0)</f>
        <v>1</v>
      </c>
      <c r="CE840" s="57" t="n">
        <f aca="false">ROUNDUP(CB840/BS840,0)</f>
        <v>0</v>
      </c>
      <c r="CF840" s="60" t="n">
        <f aca="false">IF(BT840=1,0,IFERROR(VLOOKUP(BR840,'Gebinde-Kategorie'!$A$5:$M$45,5,0)+0,0))</f>
        <v>8</v>
      </c>
      <c r="CG840" s="60" t="n">
        <f aca="false">IFERROR(IF(OR(BX840=1,BX840=2,BX840=3),N(INDEX(Parameter!$I$5:$I$7,BX840)),0),0)</f>
        <v>0</v>
      </c>
      <c r="CH840" s="59" t="n">
        <f aca="false">IF(AND(Parameter!$B$21="Ja",ISNUMBER(W840),N(X840)&gt;0),IFERROR(N(INDEX(Parameter!$L$5:$L$7,W840))*INDEX(Parameter!$E$5:$E$7,W840)*X840/SUMIFS($X$7:$X$1843,$W$7:$W$1843,W840),0),0)</f>
        <v>0</v>
      </c>
    </row>
    <row r="841" customFormat="false" ht="15" hidden="false" customHeight="false" outlineLevel="0" collapsed="false">
      <c r="A841" s="55" t="s">
        <v>1612</v>
      </c>
      <c r="B841" s="55" t="s">
        <v>1495</v>
      </c>
      <c r="C841" s="55" t="s">
        <v>164</v>
      </c>
      <c r="D841" s="55" t="s">
        <v>184</v>
      </c>
      <c r="E841" s="55" t="s">
        <v>166</v>
      </c>
      <c r="F841" s="55" t="s">
        <v>218</v>
      </c>
      <c r="G841" s="56" t="n">
        <v>0.02</v>
      </c>
      <c r="H841" s="57" t="n">
        <f aca="false">MAX(0,IF(AND(Parameter!$B$21="Ja",ISNUMBER(Y841)),Y841,IF(Parameter!$B$20="Jahresanfang 2025 + Export",BL841+BK841,BK841)))</f>
        <v>61</v>
      </c>
      <c r="I841" s="57" t="n">
        <f aca="false">H841*G841</f>
        <v>1.22</v>
      </c>
      <c r="J841" s="57" t="n">
        <f aca="false">BN841*Parameter!$B$18</f>
        <v>301</v>
      </c>
      <c r="K841" s="58" t="n">
        <v>837</v>
      </c>
      <c r="L841" s="59" t="n">
        <v>0.359617682198327</v>
      </c>
      <c r="M841" s="57" t="n">
        <v>17</v>
      </c>
      <c r="N841" s="57" t="n">
        <v>300</v>
      </c>
      <c r="O841" s="60" t="n">
        <v>21</v>
      </c>
      <c r="P841" s="55" t="s">
        <v>401</v>
      </c>
      <c r="Q841" s="57" t="n">
        <v>1000</v>
      </c>
      <c r="R841" s="60" t="n">
        <f aca="false">IF(BT841=1,0,IFERROR(VLOOKUP(BR841,'Gebinde-Kategorie'!$A$5:$M$45,13,0)+0,0))</f>
        <v>414</v>
      </c>
      <c r="S841" s="61"/>
      <c r="T841" s="62"/>
      <c r="U841" s="62"/>
      <c r="V841" s="62"/>
      <c r="W841" s="55"/>
      <c r="X841" s="57"/>
      <c r="Y841" s="57"/>
      <c r="Z841" s="55" t="n">
        <f aca="false">IF(A841="","",IF(AND(Parameter!$B$21="Ja",ISNUMBER(W841)),W841,IF(BV841="2+3",IF(ISNUMBER(SEARCH("grosser Artikel",BO841)),2,IFERROR(VLOOKUP(BR841,Parameter!$F$35:$G$64,2,0),2)),IF(OR(BV841="Nein",BV841=""),"-",BV841))))</f>
        <v>1</v>
      </c>
      <c r="AA841" s="62"/>
      <c r="AB841" s="63"/>
      <c r="AC841" s="57" t="n">
        <f aca="false">AR841</f>
        <v>1000</v>
      </c>
      <c r="AD841" s="57" t="n">
        <f aca="false">MAX(AR841,H841)</f>
        <v>1000</v>
      </c>
      <c r="AE841" s="64"/>
      <c r="AF841" s="57" t="n">
        <f aca="false">IF(LEFT(Cockpit!$C$5,1)="A",H841,IF(CA841=1,CB841,IF(LEFT(Cockpit!$C$5,1)="B",AJ841,MAX(AJ841,H841))))</f>
        <v>61</v>
      </c>
      <c r="AG841" s="57" t="n">
        <f aca="false">IF(BT841=1,0,ROUNDUP(AF841/BS841,0))</f>
        <v>1</v>
      </c>
      <c r="AH841" s="59" t="n">
        <f aca="false">IF(CH841&gt;0,CH841*MAX(1,AF841/X841),IF(BT841=1,IF(AF841&lt;=0,0,BW841*MAX(1,IF(H841&gt;0,AF841/H841,1))),IF(R841&gt;0,AG841/R841,0))/MAX(0.1,N(Parameter!$M$21)))</f>
        <v>0.00241545893719807</v>
      </c>
      <c r="AI841" s="57" t="n">
        <f aca="false">AF841*G841</f>
        <v>1.22</v>
      </c>
      <c r="AJ841" s="57" t="n">
        <f aca="false">ROUNDUP(MAX(J841/IF(BZ841&gt;0,BZ841,MAX(0.1,N(Cockpit!$C$6))),CC841)/BS841,0)*BS841</f>
        <v>1000</v>
      </c>
      <c r="AK841" s="58" t="n">
        <f aca="false">IF(AH841&gt;0,J841/AH841,-1)</f>
        <v>124614</v>
      </c>
      <c r="AL841" s="58" t="n">
        <f aca="false">IF(AND(OR(BY841="L1",BY841="L23"),AH841&gt;0),SUMIFS($AH$7:$AH$1843,$BY$7:$BY$1843,BY841,$AK$7:$AK$1843,"&gt;"&amp;AK841)+SUMIFS($AH$7:$AH$1843,$BY$7:$BY$1843,BY841,$AK$7:$AK$1843,AK841,$BQ$7:$BQ$1843,"&lt;="&amp;BQ841),"")</f>
        <v>0.00241545893719807</v>
      </c>
      <c r="AM841" s="65" t="n">
        <f aca="false">IF(AL841="",0,MAX(0,MIN(1,(IF(BY841="L1",Parameter!$E$5,Parameter!$E$6+Parameter!$E$7)-(AL841-AH841))/AH841)))</f>
        <v>1</v>
      </c>
      <c r="AN841" s="57" t="n">
        <f aca="false">IF(LEFT(Cockpit!$I$5,1)="A",H841,IF(CA841=1,CB841,IF(LEFT(Cockpit!$I$5,1)="B",AR841,MAX(AR841,H841))))</f>
        <v>1000</v>
      </c>
      <c r="AO841" s="57" t="n">
        <f aca="false">IF(BT841=1,0,ROUNDUP(AN841/BS841,0))</f>
        <v>1</v>
      </c>
      <c r="AP841" s="59" t="n">
        <f aca="false">IF(CH841&gt;0,CH841*MAX(1,AN841/X841),IF(BT841=1,IF(AN841&lt;=0,0,BW841*MAX(1,IF(H841&gt;0,AN841/H841,1))),IF(R841&gt;0,AO841/R841,0))/MAX(0.1,N(Parameter!$M$21)))</f>
        <v>0.00241545893719807</v>
      </c>
      <c r="AQ841" s="57" t="n">
        <f aca="false">AN841*G841</f>
        <v>20</v>
      </c>
      <c r="AR841" s="57" t="n">
        <f aca="false">ROUNDUP(MAX(J841/IF(BZ841&gt;0,BZ841,MAX(0.1,N(Cockpit!$I$6))),CC841)/BS841,0)*BS841</f>
        <v>1000</v>
      </c>
      <c r="AS841" s="58" t="n">
        <f aca="false">IF(AP841&gt;0,J841/AP841,-1)</f>
        <v>124614</v>
      </c>
      <c r="AT841" s="58" t="n">
        <f aca="false">IF(AND(OR(BY841="L1",BY841="L23"),AP841&gt;0),SUMIFS($AP$7:$AP$1843,$BY$7:$BY$1843,BY841,$AS$7:$AS$1843,"&gt;"&amp;AS841)+SUMIFS($AP$7:$AP$1843,$BY$7:$BY$1843,BY841,$AS$7:$AS$1843,AS841,$BQ$7:$BQ$1843,"&lt;="&amp;BQ841),"")</f>
        <v>0.00241545893719807</v>
      </c>
      <c r="AU841" s="65" t="n">
        <f aca="false">IF(AT841="",0,MAX(0,MIN(1,(IF(BY841="L1",Parameter!$E$5,Parameter!$E$6+Parameter!$E$7)-(AT841-AP841))/AP841)))</f>
        <v>1</v>
      </c>
      <c r="AV841" s="57" t="n">
        <f aca="false">IF(LEFT(Cockpit!$O$5,1)="A",H841,IF(CA841=1,CB841,IF(LEFT(Cockpit!$O$5,1)="B",AZ841,MAX(AZ841,H841))))</f>
        <v>1000</v>
      </c>
      <c r="AW841" s="57" t="n">
        <f aca="false">IF(BT841=1,0,ROUNDUP(AV841/BS841,0))</f>
        <v>1</v>
      </c>
      <c r="AX841" s="59" t="n">
        <f aca="false">IF(CH841&gt;0,CH841*MAX(1,AV841/X841),IF(BT841=1,IF(AV841&lt;=0,0,BW841*MAX(1,IF(H841&gt;0,AV841/H841,1))),IF(R841&gt;0,AW841/R841,0))/MAX(0.1,N(Parameter!$M$21)))</f>
        <v>0.00241545893719807</v>
      </c>
      <c r="AY841" s="57" t="n">
        <f aca="false">AV841*G841</f>
        <v>20</v>
      </c>
      <c r="AZ841" s="57" t="n">
        <f aca="false">ROUNDUP(MAX(J841/IF(BZ841&gt;0,BZ841,MAX(0.1,N(Cockpit!$O$6))),CC841)/BS841,0)*BS841</f>
        <v>1000</v>
      </c>
      <c r="BA841" s="58" t="n">
        <f aca="false">IF(AX841&gt;0,J841/AX841,-1)</f>
        <v>124614</v>
      </c>
      <c r="BB841" s="58" t="n">
        <f aca="false">IF(AND(OR(BY841="L1",BY841="L23"),AX841&gt;0),SUMIFS($AX$7:$AX$1843,$BY$7:$BY$1843,BY841,$BA$7:$BA$1843,"&gt;"&amp;BA841)+SUMIFS($AX$7:$AX$1843,$BY$7:$BY$1843,BY841,$BA$7:$BA$1843,BA841,$BQ$7:$BQ$1843,"&lt;="&amp;BQ841),"")</f>
        <v>0.00241545893719807</v>
      </c>
      <c r="BC841" s="65" t="n">
        <f aca="false">IF(BB841="",0,MAX(0,MIN(1,(IF(BY841="L1",Parameter!$E$5,Parameter!$E$6+Parameter!$E$7)-(BB841-AX841))/AX841)))</f>
        <v>1</v>
      </c>
      <c r="BD841" s="55" t="str">
        <f aca="false">IF(AH841&lt;=0,"",IF(BY841="Aussen","Aussenlager",IF(BY841="-","Nicht im Lift",IF(AM841&gt;=1,"Lift",IF(AM841&lt;=0,"Aussenlager","teilweise")))))</f>
        <v>Lift</v>
      </c>
      <c r="BE841" s="55" t="str">
        <f aca="false">IF(AP841&lt;=0,"",IF(BY841="Aussen","Aussenlager",IF(BY841="-","Nicht im Lift",IF(AU841&gt;=1,"Lift",IF(AU841&lt;=0,"Aussenlager","teilweise")))))</f>
        <v>Lift</v>
      </c>
      <c r="BF841" s="55" t="str">
        <f aca="false">IF(AX841&lt;=0,"",IF(BY841="Aussen","Aussenlager",IF(BY841="-","Nicht im Lift",IF(BC841&gt;=1,"Lift",IF(BC841&lt;=0,"Aussenlager","teilweise")))))</f>
        <v>Lift</v>
      </c>
      <c r="BG841" s="55" t="str">
        <f aca="false">IF(A841="","",IF(BP841=1,"Neu; ","")&amp;IF(AND(BP841=0,BK841&lt;0),"negativer Bestand (Export "&amp;BK841&amp;"); ","")&amp;IF(J841&lt;=0,"Kein Verbrauch; ","")&amp;IF(CH841&gt;0,"Lift "&amp;W841&amp;" lt. Liftbericht (Fach "&amp;X841&amp;" Stk); ",IF(BU841=1,"Gebinde geschätzt ("&amp;T841&amp;"); ",IF(BT841=1,"Lose – Tablare geschätzt; ","")))&amp;IF(H841&gt;AR841,"Überbestand "&amp;ROUND(H841-AR841,0)&amp;" Stk / CHF "&amp;ROUND((H841-AR841)*G841,0)&amp;"; ","")&amp;IF(AND(CA841=1,CB841&lt;CC841),"MAX &lt; MB+LG; ","")&amp;IF(AND(CG841&gt;0,CF841*10&gt;CG841),"zu hoch für Tablar; ","")&amp;IF(AND(BP841=0,OR(CA841=1,AA841&lt;&gt;"",U841&lt;&gt;"",V841&lt;&gt;"",AB841&lt;&gt;"")),"manuell übersteuert; ","")&amp;IF(AND(BT841=0,R841=0),"Gebinde unbekannt / Stellmass fehlt; ","")&amp;IF(AND(BT841=0,N(V841)&lt;=0,N(Q841)&lt;=0),"Menge pro Gebinde fehlt (Ist = 1 Gebinde); ","")&amp;BO841)</f>
        <v>negativer Bestand (Export -1393); </v>
      </c>
      <c r="BH841" s="55"/>
      <c r="BI841" s="55"/>
      <c r="BJ841" s="62"/>
      <c r="BK841" s="57" t="n">
        <v>-1393</v>
      </c>
      <c r="BL841" s="57" t="n">
        <v>1454</v>
      </c>
      <c r="BM841" s="56" t="n">
        <v>-13.32</v>
      </c>
      <c r="BN841" s="57" t="n">
        <v>301</v>
      </c>
      <c r="BO841" s="55"/>
      <c r="BP841" s="60" t="n">
        <v>0</v>
      </c>
      <c r="BQ841" s="60" t="n">
        <v>841</v>
      </c>
      <c r="BR841" s="55" t="str">
        <f aca="false">IF(U841&lt;&gt;"",UPPER(TRIM(U841)),IF(BU841=1,UPPER(VLOOKUP(T841,Parameter!$I$27:$K$29,2,0)),IF(P841="","LOSE",P841)))</f>
        <v>S21</v>
      </c>
      <c r="BS841" s="57" t="n">
        <f aca="false">IF(BR841="LOSE",1,IF(N(V841)&gt;0,V841,IF(BU841=1,MAX(1,N(VLOOKUP(T841,Parameter!$I$27:$K$29,3,0)),H841,N(N841)),IF(N(Q841)&gt;0,Q841,MAX(1,H841)))))</f>
        <v>1000</v>
      </c>
      <c r="BT841" s="60" t="n">
        <f aca="false">IF(BR841="LOSE",1,0)</f>
        <v>0</v>
      </c>
      <c r="BU841" s="60" t="n">
        <f aca="false">IF(AND(U841="",OR(P841="",P841="LOSE"),T841&lt;&gt;"",N(S841)&lt;=0,ISNUMBER(MATCH(T841,Parameter!$I$27:$I$29,0))),1,0)</f>
        <v>0</v>
      </c>
      <c r="BV841" s="55" t="n">
        <f aca="false">IF(AND(Parameter!$B$19="Ja",E841&lt;&gt;"",ISNUMBER(MATCH(E841,Parameter!$I$35:$I$52,0))),VLOOKUP(E841,Parameter!$I$35:$J$52,2,0),IFERROR(VLOOKUP(D841,Parameter!$A$35:$C$64,2,0),"Nein"))</f>
        <v>1</v>
      </c>
      <c r="BW841" s="59" t="n">
        <f aca="false">IF(BT841=0,0,IF(N(S841)&gt;0,S841,IFERROR(VLOOKUP(D841,Parameter!$A$35:$C$64,3,0)+0,0)))</f>
        <v>0</v>
      </c>
      <c r="BX841" s="55" t="n">
        <f aca="false">IF(AA841&lt;&gt;"",AA841,Z841)</f>
        <v>1</v>
      </c>
      <c r="BY841" s="55" t="str">
        <f aca="false">IF(BX841=1,"L1",IF(OR(BX841=2,BX841=3),"L23",IF(BX841="Aussen","Aussen","-")))</f>
        <v>L1</v>
      </c>
      <c r="BZ841" s="66" t="n">
        <f aca="false">IF(N(AB841)&gt;0,AB841,0)</f>
        <v>0</v>
      </c>
      <c r="CA841" s="60" t="n">
        <f aca="false">IF(ISNUMBER(AE841),1,0)</f>
        <v>0</v>
      </c>
      <c r="CB841" s="57" t="n">
        <f aca="false">N(AE841)</f>
        <v>0</v>
      </c>
      <c r="CC841" s="57" t="n">
        <f aca="false">N(M841)+N(N841)</f>
        <v>317</v>
      </c>
      <c r="CD841" s="57" t="n">
        <f aca="false">ROUNDUP(H841/BS841,0)</f>
        <v>1</v>
      </c>
      <c r="CE841" s="57" t="n">
        <f aca="false">ROUNDUP(CB841/BS841,0)</f>
        <v>0</v>
      </c>
      <c r="CF841" s="60" t="n">
        <f aca="false">IF(BT841=1,0,IFERROR(VLOOKUP(BR841,'Gebinde-Kategorie'!$A$5:$M$45,5,0)+0,0))</f>
        <v>8</v>
      </c>
      <c r="CG841" s="60" t="n">
        <f aca="false">IFERROR(IF(OR(BX841=1,BX841=2,BX841=3),N(INDEX(Parameter!$I$5:$I$7,BX841)),0),0)</f>
        <v>0</v>
      </c>
      <c r="CH841" s="59" t="n">
        <f aca="false">IF(AND(Parameter!$B$21="Ja",ISNUMBER(W841),N(X841)&gt;0),IFERROR(N(INDEX(Parameter!$L$5:$L$7,W841))*INDEX(Parameter!$E$5:$E$7,W841)*X841/SUMIFS($X$7:$X$1843,$W$7:$W$1843,W841),0),0)</f>
        <v>0</v>
      </c>
    </row>
    <row r="842" customFormat="false" ht="15" hidden="false" customHeight="false" outlineLevel="0" collapsed="false">
      <c r="A842" s="55" t="s">
        <v>1613</v>
      </c>
      <c r="B842" s="55" t="s">
        <v>407</v>
      </c>
      <c r="C842" s="55" t="s">
        <v>164</v>
      </c>
      <c r="D842" s="55" t="s">
        <v>184</v>
      </c>
      <c r="E842" s="55" t="s">
        <v>185</v>
      </c>
      <c r="F842" s="55" t="s">
        <v>218</v>
      </c>
      <c r="G842" s="56" t="n">
        <v>0.02</v>
      </c>
      <c r="H842" s="57" t="n">
        <f aca="false">MAX(0,IF(AND(Parameter!$B$21="Ja",ISNUMBER(Y842)),Y842,IF(Parameter!$B$20="Jahresanfang 2025 + Export",BL842+BK842,BK842)))</f>
        <v>1497</v>
      </c>
      <c r="I842" s="57" t="n">
        <f aca="false">H842*G842</f>
        <v>29.94</v>
      </c>
      <c r="J842" s="57" t="n">
        <f aca="false">BN842*Parameter!$B$18</f>
        <v>7159</v>
      </c>
      <c r="K842" s="58" t="n">
        <v>2330.5</v>
      </c>
      <c r="L842" s="59" t="n">
        <v>3.07187298862905</v>
      </c>
      <c r="M842" s="57" t="n">
        <v>417</v>
      </c>
      <c r="N842" s="57" t="n">
        <v>2000</v>
      </c>
      <c r="O842" s="60" t="n">
        <v>21</v>
      </c>
      <c r="P842" s="55" t="s">
        <v>328</v>
      </c>
      <c r="Q842" s="57" t="n">
        <v>3706</v>
      </c>
      <c r="R842" s="60" t="n">
        <f aca="false">IF(BT842=1,0,IFERROR(VLOOKUP(BR842,'Gebinde-Kategorie'!$A$5:$M$45,13,0)+0,0))</f>
        <v>52</v>
      </c>
      <c r="S842" s="61"/>
      <c r="T842" s="62"/>
      <c r="U842" s="62"/>
      <c r="V842" s="62"/>
      <c r="W842" s="55"/>
      <c r="X842" s="57"/>
      <c r="Y842" s="57"/>
      <c r="Z842" s="55" t="n">
        <f aca="false">IF(A842="","",IF(AND(Parameter!$B$21="Ja",ISNUMBER(W842)),W842,IF(BV842="2+3",IF(ISNUMBER(SEARCH("grosser Artikel",BO842)),2,IFERROR(VLOOKUP(BR842,Parameter!$F$35:$G$64,2,0),2)),IF(OR(BV842="Nein",BV842=""),"-",BV842))))</f>
        <v>3</v>
      </c>
      <c r="AA842" s="62"/>
      <c r="AB842" s="63"/>
      <c r="AC842" s="57" t="n">
        <f aca="false">AR842</f>
        <v>3706</v>
      </c>
      <c r="AD842" s="57" t="n">
        <f aca="false">MAX(AR842,H842)</f>
        <v>3706</v>
      </c>
      <c r="AE842" s="64"/>
      <c r="AF842" s="57" t="n">
        <f aca="false">IF(LEFT(Cockpit!$C$5,1)="A",H842,IF(CA842=1,CB842,IF(LEFT(Cockpit!$C$5,1)="B",AJ842,MAX(AJ842,H842))))</f>
        <v>1497</v>
      </c>
      <c r="AG842" s="57" t="n">
        <f aca="false">IF(BT842=1,0,ROUNDUP(AF842/BS842,0))</f>
        <v>1</v>
      </c>
      <c r="AH842" s="59" t="n">
        <f aca="false">IF(CH842&gt;0,CH842*MAX(1,AF842/X842),IF(BT842=1,IF(AF842&lt;=0,0,BW842*MAX(1,IF(H842&gt;0,AF842/H842,1))),IF(R842&gt;0,AG842/R842,0))/MAX(0.1,N(Parameter!$M$21)))</f>
        <v>0.0192307692307692</v>
      </c>
      <c r="AI842" s="57" t="n">
        <f aca="false">AF842*G842</f>
        <v>29.94</v>
      </c>
      <c r="AJ842" s="57" t="n">
        <f aca="false">ROUNDUP(MAX(J842/IF(BZ842&gt;0,BZ842,MAX(0.1,N(Cockpit!$C$6))),CC842)/BS842,0)*BS842</f>
        <v>3706</v>
      </c>
      <c r="AK842" s="58" t="n">
        <f aca="false">IF(AH842&gt;0,J842/AH842,-1)</f>
        <v>372268</v>
      </c>
      <c r="AL842" s="58" t="n">
        <f aca="false">IF(AND(OR(BY842="L1",BY842="L23"),AH842&gt;0),SUMIFS($AH$7:$AH$1843,$BY$7:$BY$1843,BY842,$AK$7:$AK$1843,"&gt;"&amp;AK842)+SUMIFS($AH$7:$AH$1843,$BY$7:$BY$1843,BY842,$AK$7:$AK$1843,AK842,$BQ$7:$BQ$1843,"&lt;="&amp;BQ842),"")</f>
        <v>0.0343822843822844</v>
      </c>
      <c r="AM842" s="65" t="n">
        <f aca="false">IF(AL842="",0,MAX(0,MIN(1,(IF(BY842="L1",Parameter!$E$5,Parameter!$E$6+Parameter!$E$7)-(AL842-AH842))/AH842)))</f>
        <v>1</v>
      </c>
      <c r="AN842" s="57" t="n">
        <f aca="false">IF(LEFT(Cockpit!$I$5,1)="A",H842,IF(CA842=1,CB842,IF(LEFT(Cockpit!$I$5,1)="B",AR842,MAX(AR842,H842))))</f>
        <v>3706</v>
      </c>
      <c r="AO842" s="57" t="n">
        <f aca="false">IF(BT842=1,0,ROUNDUP(AN842/BS842,0))</f>
        <v>1</v>
      </c>
      <c r="AP842" s="59" t="n">
        <f aca="false">IF(CH842&gt;0,CH842*MAX(1,AN842/X842),IF(BT842=1,IF(AN842&lt;=0,0,BW842*MAX(1,IF(H842&gt;0,AN842/H842,1))),IF(R842&gt;0,AO842/R842,0))/MAX(0.1,N(Parameter!$M$21)))</f>
        <v>0.0192307692307692</v>
      </c>
      <c r="AQ842" s="57" t="n">
        <f aca="false">AN842*G842</f>
        <v>74.12</v>
      </c>
      <c r="AR842" s="57" t="n">
        <f aca="false">ROUNDUP(MAX(J842/IF(BZ842&gt;0,BZ842,MAX(0.1,N(Cockpit!$I$6))),CC842)/BS842,0)*BS842</f>
        <v>3706</v>
      </c>
      <c r="AS842" s="58" t="n">
        <f aca="false">IF(AP842&gt;0,J842/AP842,-1)</f>
        <v>372268</v>
      </c>
      <c r="AT842" s="58" t="n">
        <f aca="false">IF(AND(OR(BY842="L1",BY842="L23"),AP842&gt;0),SUMIFS($AP$7:$AP$1843,$BY$7:$BY$1843,BY842,$AS$7:$AS$1843,"&gt;"&amp;AS842)+SUMIFS($AP$7:$AP$1843,$BY$7:$BY$1843,BY842,$AS$7:$AS$1843,AS842,$BQ$7:$BQ$1843,"&lt;="&amp;BQ842),"")</f>
        <v>0.0343822843822844</v>
      </c>
      <c r="AU842" s="65" t="n">
        <f aca="false">IF(AT842="",0,MAX(0,MIN(1,(IF(BY842="L1",Parameter!$E$5,Parameter!$E$6+Parameter!$E$7)-(AT842-AP842))/AP842)))</f>
        <v>1</v>
      </c>
      <c r="AV842" s="57" t="n">
        <f aca="false">IF(LEFT(Cockpit!$O$5,1)="A",H842,IF(CA842=1,CB842,IF(LEFT(Cockpit!$O$5,1)="B",AZ842,MAX(AZ842,H842))))</f>
        <v>3706</v>
      </c>
      <c r="AW842" s="57" t="n">
        <f aca="false">IF(BT842=1,0,ROUNDUP(AV842/BS842,0))</f>
        <v>1</v>
      </c>
      <c r="AX842" s="59" t="n">
        <f aca="false">IF(CH842&gt;0,CH842*MAX(1,AV842/X842),IF(BT842=1,IF(AV842&lt;=0,0,BW842*MAX(1,IF(H842&gt;0,AV842/H842,1))),IF(R842&gt;0,AW842/R842,0))/MAX(0.1,N(Parameter!$M$21)))</f>
        <v>0.0192307692307692</v>
      </c>
      <c r="AY842" s="57" t="n">
        <f aca="false">AV842*G842</f>
        <v>74.12</v>
      </c>
      <c r="AZ842" s="57" t="n">
        <f aca="false">ROUNDUP(MAX(J842/IF(BZ842&gt;0,BZ842,MAX(0.1,N(Cockpit!$O$6))),CC842)/BS842,0)*BS842</f>
        <v>3706</v>
      </c>
      <c r="BA842" s="58" t="n">
        <f aca="false">IF(AX842&gt;0,J842/AX842,-1)</f>
        <v>372268</v>
      </c>
      <c r="BB842" s="58" t="n">
        <f aca="false">IF(AND(OR(BY842="L1",BY842="L23"),AX842&gt;0),SUMIFS($AX$7:$AX$1843,$BY$7:$BY$1843,BY842,$BA$7:$BA$1843,"&gt;"&amp;BA842)+SUMIFS($AX$7:$AX$1843,$BY$7:$BY$1843,BY842,$BA$7:$BA$1843,BA842,$BQ$7:$BQ$1843,"&lt;="&amp;BQ842),"")</f>
        <v>0.0343822843822844</v>
      </c>
      <c r="BC842" s="65" t="n">
        <f aca="false">IF(BB842="",0,MAX(0,MIN(1,(IF(BY842="L1",Parameter!$E$5,Parameter!$E$6+Parameter!$E$7)-(BB842-AX842))/AX842)))</f>
        <v>1</v>
      </c>
      <c r="BD842" s="55" t="str">
        <f aca="false">IF(AH842&lt;=0,"",IF(BY842="Aussen","Aussenlager",IF(BY842="-","Nicht im Lift",IF(AM842&gt;=1,"Lift",IF(AM842&lt;=0,"Aussenlager","teilweise")))))</f>
        <v>Lift</v>
      </c>
      <c r="BE842" s="55" t="str">
        <f aca="false">IF(AP842&lt;=0,"",IF(BY842="Aussen","Aussenlager",IF(BY842="-","Nicht im Lift",IF(AU842&gt;=1,"Lift",IF(AU842&lt;=0,"Aussenlager","teilweise")))))</f>
        <v>Lift</v>
      </c>
      <c r="BF842" s="55" t="str">
        <f aca="false">IF(AX842&lt;=0,"",IF(BY842="Aussen","Aussenlager",IF(BY842="-","Nicht im Lift",IF(BC842&gt;=1,"Lift",IF(BC842&lt;=0,"Aussenlager","teilweise")))))</f>
        <v>Lift</v>
      </c>
      <c r="BG842" s="55" t="str">
        <f aca="false">IF(A842="","",IF(BP842=1,"Neu; ","")&amp;IF(AND(BP842=0,BK842&lt;0),"negativer Bestand (Export "&amp;BK842&amp;"); ","")&amp;IF(J842&lt;=0,"Kein Verbrauch; ","")&amp;IF(CH842&gt;0,"Lift "&amp;W842&amp;" lt. Liftbericht (Fach "&amp;X842&amp;" Stk); ",IF(BU842=1,"Gebinde geschätzt ("&amp;T842&amp;"); ",IF(BT842=1,"Lose – Tablare geschätzt; ","")))&amp;IF(H842&gt;AR842,"Überbestand "&amp;ROUND(H842-AR842,0)&amp;" Stk / CHF "&amp;ROUND((H842-AR842)*G842,0)&amp;"; ","")&amp;IF(AND(CA842=1,CB842&lt;CC842),"MAX &lt; MB+LG; ","")&amp;IF(AND(CG842&gt;0,CF842*10&gt;CG842),"zu hoch für Tablar; ","")&amp;IF(AND(BP842=0,OR(CA842=1,AA842&lt;&gt;"",U842&lt;&gt;"",V842&lt;&gt;"",AB842&lt;&gt;"")),"manuell übersteuert; ","")&amp;IF(AND(BT842=0,R842=0),"Gebinde unbekannt / Stellmass fehlt; ","")&amp;IF(AND(BT842=0,N(V842)&lt;=0,N(Q842)&lt;=0),"Menge pro Gebinde fehlt (Ist = 1 Gebinde); ","")&amp;BO842)</f>
        <v>negativer Bestand (Export -703); </v>
      </c>
      <c r="BH842" s="55"/>
      <c r="BI842" s="55"/>
      <c r="BJ842" s="62"/>
      <c r="BK842" s="57" t="n">
        <v>-703</v>
      </c>
      <c r="BL842" s="57" t="n">
        <v>2200</v>
      </c>
      <c r="BM842" s="56" t="n">
        <v>-14.0599999999999</v>
      </c>
      <c r="BN842" s="57" t="n">
        <v>7159</v>
      </c>
      <c r="BO842" s="55"/>
      <c r="BP842" s="60" t="n">
        <v>0</v>
      </c>
      <c r="BQ842" s="60" t="n">
        <v>842</v>
      </c>
      <c r="BR842" s="55" t="str">
        <f aca="false">IF(U842&lt;&gt;"",UPPER(TRIM(U842)),IF(BU842=1,UPPER(VLOOKUP(T842,Parameter!$I$27:$K$29,2,0)),IF(P842="","LOSE",P842)))</f>
        <v>S41</v>
      </c>
      <c r="BS842" s="57" t="n">
        <f aca="false">IF(BR842="LOSE",1,IF(N(V842)&gt;0,V842,IF(BU842=1,MAX(1,N(VLOOKUP(T842,Parameter!$I$27:$K$29,3,0)),H842,N(N842)),IF(N(Q842)&gt;0,Q842,MAX(1,H842)))))</f>
        <v>3706</v>
      </c>
      <c r="BT842" s="60" t="n">
        <f aca="false">IF(BR842="LOSE",1,0)</f>
        <v>0</v>
      </c>
      <c r="BU842" s="60" t="n">
        <f aca="false">IF(AND(U842="",OR(P842="",P842="LOSE"),T842&lt;&gt;"",N(S842)&lt;=0,ISNUMBER(MATCH(T842,Parameter!$I$27:$I$29,0))),1,0)</f>
        <v>0</v>
      </c>
      <c r="BV842" s="55" t="str">
        <f aca="false">IF(AND(Parameter!$B$19="Ja",E842&lt;&gt;"",ISNUMBER(MATCH(E842,Parameter!$I$35:$I$52,0))),VLOOKUP(E842,Parameter!$I$35:$J$52,2,0),IFERROR(VLOOKUP(D842,Parameter!$A$35:$C$64,2,0),"Nein"))</f>
        <v>2+3</v>
      </c>
      <c r="BW842" s="59" t="n">
        <f aca="false">IF(BT842=0,0,IF(N(S842)&gt;0,S842,IFERROR(VLOOKUP(D842,Parameter!$A$35:$C$64,3,0)+0,0)))</f>
        <v>0</v>
      </c>
      <c r="BX842" s="55" t="n">
        <f aca="false">IF(AA842&lt;&gt;"",AA842,Z842)</f>
        <v>3</v>
      </c>
      <c r="BY842" s="55" t="str">
        <f aca="false">IF(BX842=1,"L1",IF(OR(BX842=2,BX842=3),"L23",IF(BX842="Aussen","Aussen","-")))</f>
        <v>L23</v>
      </c>
      <c r="BZ842" s="66" t="n">
        <f aca="false">IF(N(AB842)&gt;0,AB842,0)</f>
        <v>0</v>
      </c>
      <c r="CA842" s="60" t="n">
        <f aca="false">IF(ISNUMBER(AE842),1,0)</f>
        <v>0</v>
      </c>
      <c r="CB842" s="57" t="n">
        <f aca="false">N(AE842)</f>
        <v>0</v>
      </c>
      <c r="CC842" s="57" t="n">
        <f aca="false">N(M842)+N(N842)</f>
        <v>2417</v>
      </c>
      <c r="CD842" s="57" t="n">
        <f aca="false">ROUNDUP(H842/BS842,0)</f>
        <v>1</v>
      </c>
      <c r="CE842" s="57" t="n">
        <f aca="false">ROUNDUP(CB842/BS842,0)</f>
        <v>0</v>
      </c>
      <c r="CF842" s="60" t="n">
        <f aca="false">IF(BT842=1,0,IFERROR(VLOOKUP(BR842,'Gebinde-Kategorie'!$A$5:$M$45,5,0)+0,0))</f>
        <v>11</v>
      </c>
      <c r="CG842" s="60" t="n">
        <f aca="false">IFERROR(IF(OR(BX842=1,BX842=2,BX842=3),N(INDEX(Parameter!$I$5:$I$7,BX842)),0),0)</f>
        <v>0</v>
      </c>
      <c r="CH842" s="59" t="n">
        <f aca="false">IF(AND(Parameter!$B$21="Ja",ISNUMBER(W842),N(X842)&gt;0),IFERROR(N(INDEX(Parameter!$L$5:$L$7,W842))*INDEX(Parameter!$E$5:$E$7,W842)*X842/SUMIFS($X$7:$X$1843,$W$7:$W$1843,W842),0),0)</f>
        <v>0</v>
      </c>
    </row>
    <row r="843" customFormat="false" ht="15" hidden="false" customHeight="false" outlineLevel="0" collapsed="false">
      <c r="A843" s="55" t="s">
        <v>1614</v>
      </c>
      <c r="B843" s="55" t="s">
        <v>468</v>
      </c>
      <c r="C843" s="55" t="s">
        <v>164</v>
      </c>
      <c r="D843" s="55" t="s">
        <v>184</v>
      </c>
      <c r="E843" s="55" t="s">
        <v>185</v>
      </c>
      <c r="F843" s="55" t="s">
        <v>218</v>
      </c>
      <c r="G843" s="56" t="n">
        <v>0.11</v>
      </c>
      <c r="H843" s="57" t="n">
        <f aca="false">MAX(0,IF(AND(Parameter!$B$21="Ja",ISNUMBER(Y843)),Y843,IF(Parameter!$B$20="Jahresanfang 2025 + Export",BL843+BK843,BK843)))</f>
        <v>21</v>
      </c>
      <c r="I843" s="57" t="n">
        <f aca="false">H843*G843</f>
        <v>2.31</v>
      </c>
      <c r="J843" s="57" t="n">
        <f aca="false">BN843*Parameter!$B$18</f>
        <v>93</v>
      </c>
      <c r="K843" s="58" t="n">
        <v>108</v>
      </c>
      <c r="L843" s="59" t="n">
        <v>0.861111111111111</v>
      </c>
      <c r="M843" s="57" t="n">
        <v>4</v>
      </c>
      <c r="N843" s="57" t="n">
        <v>95</v>
      </c>
      <c r="O843" s="60" t="n">
        <v>14</v>
      </c>
      <c r="P843" s="55" t="s">
        <v>426</v>
      </c>
      <c r="Q843" s="57" t="n">
        <v>131</v>
      </c>
      <c r="R843" s="60" t="n">
        <f aca="false">IF(BT843=1,0,IFERROR(VLOOKUP(BR843,'Gebinde-Kategorie'!$A$5:$M$45,13,0)+0,0))</f>
        <v>198</v>
      </c>
      <c r="S843" s="61"/>
      <c r="T843" s="62"/>
      <c r="U843" s="62"/>
      <c r="V843" s="62"/>
      <c r="W843" s="55"/>
      <c r="X843" s="57"/>
      <c r="Y843" s="57"/>
      <c r="Z843" s="55" t="n">
        <f aca="false">IF(A843="","",IF(AND(Parameter!$B$21="Ja",ISNUMBER(W843)),W843,IF(BV843="2+3",IF(ISNUMBER(SEARCH("grosser Artikel",BO843)),2,IFERROR(VLOOKUP(BR843,Parameter!$F$35:$G$64,2,0),2)),IF(OR(BV843="Nein",BV843=""),"-",BV843))))</f>
        <v>3</v>
      </c>
      <c r="AA843" s="62"/>
      <c r="AB843" s="63"/>
      <c r="AC843" s="57" t="n">
        <f aca="false">AR843</f>
        <v>131</v>
      </c>
      <c r="AD843" s="57" t="n">
        <f aca="false">MAX(AR843,H843)</f>
        <v>131</v>
      </c>
      <c r="AE843" s="64"/>
      <c r="AF843" s="57" t="n">
        <f aca="false">IF(LEFT(Cockpit!$C$5,1)="A",H843,IF(CA843=1,CB843,IF(LEFT(Cockpit!$C$5,1)="B",AJ843,MAX(AJ843,H843))))</f>
        <v>21</v>
      </c>
      <c r="AG843" s="57" t="n">
        <f aca="false">IF(BT843=1,0,ROUNDUP(AF843/BS843,0))</f>
        <v>1</v>
      </c>
      <c r="AH843" s="59" t="n">
        <f aca="false">IF(CH843&gt;0,CH843*MAX(1,AF843/X843),IF(BT843=1,IF(AF843&lt;=0,0,BW843*MAX(1,IF(H843&gt;0,AF843/H843,1))),IF(R843&gt;0,AG843/R843,0))/MAX(0.1,N(Parameter!$M$21)))</f>
        <v>0.00505050505050505</v>
      </c>
      <c r="AI843" s="57" t="n">
        <f aca="false">AF843*G843</f>
        <v>2.31</v>
      </c>
      <c r="AJ843" s="57" t="n">
        <f aca="false">ROUNDUP(MAX(J843/IF(BZ843&gt;0,BZ843,MAX(0.1,N(Cockpit!$C$6))),CC843)/BS843,0)*BS843</f>
        <v>131</v>
      </c>
      <c r="AK843" s="58" t="n">
        <f aca="false">IF(AH843&gt;0,J843/AH843,-1)</f>
        <v>18414</v>
      </c>
      <c r="AL843" s="58" t="n">
        <f aca="false">IF(AND(OR(BY843="L1",BY843="L23"),AH843&gt;0),SUMIFS($AH$7:$AH$1843,$BY$7:$BY$1843,BY843,$AK$7:$AK$1843,"&gt;"&amp;AK843)+SUMIFS($AH$7:$AH$1843,$BY$7:$BY$1843,BY843,$AK$7:$AK$1843,AK843,$BQ$7:$BQ$1843,"&lt;="&amp;BQ843),"")</f>
        <v>3.71862437079828</v>
      </c>
      <c r="AM843" s="65" t="n">
        <f aca="false">IF(AL843="",0,MAX(0,MIN(1,(IF(BY843="L1",Parameter!$E$5,Parameter!$E$6+Parameter!$E$7)-(AL843-AH843))/AH843)))</f>
        <v>1</v>
      </c>
      <c r="AN843" s="57" t="n">
        <f aca="false">IF(LEFT(Cockpit!$I$5,1)="A",H843,IF(CA843=1,CB843,IF(LEFT(Cockpit!$I$5,1)="B",AR843,MAX(AR843,H843))))</f>
        <v>131</v>
      </c>
      <c r="AO843" s="57" t="n">
        <f aca="false">IF(BT843=1,0,ROUNDUP(AN843/BS843,0))</f>
        <v>1</v>
      </c>
      <c r="AP843" s="59" t="n">
        <f aca="false">IF(CH843&gt;0,CH843*MAX(1,AN843/X843),IF(BT843=1,IF(AN843&lt;=0,0,BW843*MAX(1,IF(H843&gt;0,AN843/H843,1))),IF(R843&gt;0,AO843/R843,0))/MAX(0.1,N(Parameter!$M$21)))</f>
        <v>0.00505050505050505</v>
      </c>
      <c r="AQ843" s="57" t="n">
        <f aca="false">AN843*G843</f>
        <v>14.41</v>
      </c>
      <c r="AR843" s="57" t="n">
        <f aca="false">ROUNDUP(MAX(J843/IF(BZ843&gt;0,BZ843,MAX(0.1,N(Cockpit!$I$6))),CC843)/BS843,0)*BS843</f>
        <v>131</v>
      </c>
      <c r="AS843" s="58" t="n">
        <f aca="false">IF(AP843&gt;0,J843/AP843,-1)</f>
        <v>18414</v>
      </c>
      <c r="AT843" s="58" t="n">
        <f aca="false">IF(AND(OR(BY843="L1",BY843="L23"),AP843&gt;0),SUMIFS($AP$7:$AP$1843,$BY$7:$BY$1843,BY843,$AS$7:$AS$1843,"&gt;"&amp;AS843)+SUMIFS($AP$7:$AP$1843,$BY$7:$BY$1843,BY843,$AS$7:$AS$1843,AS843,$BQ$7:$BQ$1843,"&lt;="&amp;BQ843),"")</f>
        <v>4.46877639268944</v>
      </c>
      <c r="AU843" s="65" t="n">
        <f aca="false">IF(AT843="",0,MAX(0,MIN(1,(IF(BY843="L1",Parameter!$E$5,Parameter!$E$6+Parameter!$E$7)-(AT843-AP843))/AP843)))</f>
        <v>1</v>
      </c>
      <c r="AV843" s="57" t="n">
        <f aca="false">IF(LEFT(Cockpit!$O$5,1)="A",H843,IF(CA843=1,CB843,IF(LEFT(Cockpit!$O$5,1)="B",AZ843,MAX(AZ843,H843))))</f>
        <v>131</v>
      </c>
      <c r="AW843" s="57" t="n">
        <f aca="false">IF(BT843=1,0,ROUNDUP(AV843/BS843,0))</f>
        <v>1</v>
      </c>
      <c r="AX843" s="59" t="n">
        <f aca="false">IF(CH843&gt;0,CH843*MAX(1,AV843/X843),IF(BT843=1,IF(AV843&lt;=0,0,BW843*MAX(1,IF(H843&gt;0,AV843/H843,1))),IF(R843&gt;0,AW843/R843,0))/MAX(0.1,N(Parameter!$M$21)))</f>
        <v>0.00505050505050505</v>
      </c>
      <c r="AY843" s="57" t="n">
        <f aca="false">AV843*G843</f>
        <v>14.41</v>
      </c>
      <c r="AZ843" s="57" t="n">
        <f aca="false">ROUNDUP(MAX(J843/IF(BZ843&gt;0,BZ843,MAX(0.1,N(Cockpit!$O$6))),CC843)/BS843,0)*BS843</f>
        <v>131</v>
      </c>
      <c r="BA843" s="58" t="n">
        <f aca="false">IF(AX843&gt;0,J843/AX843,-1)</f>
        <v>18414</v>
      </c>
      <c r="BB843" s="58" t="n">
        <f aca="false">IF(AND(OR(BY843="L1",BY843="L23"),AX843&gt;0),SUMIFS($AX$7:$AX$1843,$BY$7:$BY$1843,BY843,$BA$7:$BA$1843,"&gt;"&amp;BA843)+SUMIFS($AX$7:$AX$1843,$BY$7:$BY$1843,BY843,$BA$7:$BA$1843,BA843,$BQ$7:$BQ$1843,"&lt;="&amp;BQ843),"")</f>
        <v>4.10630553021857</v>
      </c>
      <c r="BC843" s="65" t="n">
        <f aca="false">IF(BB843="",0,MAX(0,MIN(1,(IF(BY843="L1",Parameter!$E$5,Parameter!$E$6+Parameter!$E$7)-(BB843-AX843))/AX843)))</f>
        <v>1</v>
      </c>
      <c r="BD843" s="55" t="str">
        <f aca="false">IF(AH843&lt;=0,"",IF(BY843="Aussen","Aussenlager",IF(BY843="-","Nicht im Lift",IF(AM843&gt;=1,"Lift",IF(AM843&lt;=0,"Aussenlager","teilweise")))))</f>
        <v>Lift</v>
      </c>
      <c r="BE843" s="55" t="str">
        <f aca="false">IF(AP843&lt;=0,"",IF(BY843="Aussen","Aussenlager",IF(BY843="-","Nicht im Lift",IF(AU843&gt;=1,"Lift",IF(AU843&lt;=0,"Aussenlager","teilweise")))))</f>
        <v>Lift</v>
      </c>
      <c r="BF843" s="55" t="str">
        <f aca="false">IF(AX843&lt;=0,"",IF(BY843="Aussen","Aussenlager",IF(BY843="-","Nicht im Lift",IF(BC843&gt;=1,"Lift",IF(BC843&lt;=0,"Aussenlager","teilweise")))))</f>
        <v>Lift</v>
      </c>
      <c r="BG843" s="55" t="str">
        <f aca="false">IF(A843="","",IF(BP843=1,"Neu; ","")&amp;IF(AND(BP843=0,BK843&lt;0),"negativer Bestand (Export "&amp;BK843&amp;"); ","")&amp;IF(J843&lt;=0,"Kein Verbrauch; ","")&amp;IF(CH843&gt;0,"Lift "&amp;W843&amp;" lt. Liftbericht (Fach "&amp;X843&amp;" Stk); ",IF(BU843=1,"Gebinde geschätzt ("&amp;T843&amp;"); ",IF(BT843=1,"Lose – Tablare geschätzt; ","")))&amp;IF(H843&gt;AR843,"Überbestand "&amp;ROUND(H843-AR843,0)&amp;" Stk / CHF "&amp;ROUND((H843-AR843)*G843,0)&amp;"; ","")&amp;IF(AND(CA843=1,CB843&lt;CC843),"MAX &lt; MB+LG; ","")&amp;IF(AND(CG843&gt;0,CF843*10&gt;CG843),"zu hoch für Tablar; ","")&amp;IF(AND(BP843=0,OR(CA843=1,AA843&lt;&gt;"",U843&lt;&gt;"",V843&lt;&gt;"",AB843&lt;&gt;"")),"manuell übersteuert; ","")&amp;IF(AND(BT843=0,R843=0),"Gebinde unbekannt / Stellmass fehlt; ","")&amp;IF(AND(BT843=0,N(V843)&lt;=0,N(Q843)&lt;=0),"Menge pro Gebinde fehlt (Ist = 1 Gebinde); ","")&amp;BO843)</f>
        <v>negativer Bestand (Export -134); Neu</v>
      </c>
      <c r="BH843" s="55"/>
      <c r="BI843" s="55"/>
      <c r="BJ843" s="62"/>
      <c r="BK843" s="57" t="n">
        <v>-134</v>
      </c>
      <c r="BL843" s="57" t="n">
        <v>155</v>
      </c>
      <c r="BM843" s="56" t="n">
        <v>-14.74</v>
      </c>
      <c r="BN843" s="57" t="n">
        <v>93</v>
      </c>
      <c r="BO843" s="55" t="s">
        <v>626</v>
      </c>
      <c r="BP843" s="60" t="n">
        <v>0</v>
      </c>
      <c r="BQ843" s="60" t="n">
        <v>843</v>
      </c>
      <c r="BR843" s="55" t="str">
        <f aca="false">IF(U843&lt;&gt;"",UPPER(TRIM(U843)),IF(BU843=1,UPPER(VLOOKUP(T843,Parameter!$I$27:$K$29,2,0)),IF(P843="","LOSE",P843)))</f>
        <v>S22</v>
      </c>
      <c r="BS843" s="57" t="n">
        <f aca="false">IF(BR843="LOSE",1,IF(N(V843)&gt;0,V843,IF(BU843=1,MAX(1,N(VLOOKUP(T843,Parameter!$I$27:$K$29,3,0)),H843,N(N843)),IF(N(Q843)&gt;0,Q843,MAX(1,H843)))))</f>
        <v>131</v>
      </c>
      <c r="BT843" s="60" t="n">
        <f aca="false">IF(BR843="LOSE",1,0)</f>
        <v>0</v>
      </c>
      <c r="BU843" s="60" t="n">
        <f aca="false">IF(AND(U843="",OR(P843="",P843="LOSE"),T843&lt;&gt;"",N(S843)&lt;=0,ISNUMBER(MATCH(T843,Parameter!$I$27:$I$29,0))),1,0)</f>
        <v>0</v>
      </c>
      <c r="BV843" s="55" t="str">
        <f aca="false">IF(AND(Parameter!$B$19="Ja",E843&lt;&gt;"",ISNUMBER(MATCH(E843,Parameter!$I$35:$I$52,0))),VLOOKUP(E843,Parameter!$I$35:$J$52,2,0),IFERROR(VLOOKUP(D843,Parameter!$A$35:$C$64,2,0),"Nein"))</f>
        <v>2+3</v>
      </c>
      <c r="BW843" s="59" t="n">
        <f aca="false">IF(BT843=0,0,IF(N(S843)&gt;0,S843,IFERROR(VLOOKUP(D843,Parameter!$A$35:$C$64,3,0)+0,0)))</f>
        <v>0</v>
      </c>
      <c r="BX843" s="55" t="n">
        <f aca="false">IF(AA843&lt;&gt;"",AA843,Z843)</f>
        <v>3</v>
      </c>
      <c r="BY843" s="55" t="str">
        <f aca="false">IF(BX843=1,"L1",IF(OR(BX843=2,BX843=3),"L23",IF(BX843="Aussen","Aussen","-")))</f>
        <v>L23</v>
      </c>
      <c r="BZ843" s="66" t="n">
        <f aca="false">IF(N(AB843)&gt;0,AB843,0)</f>
        <v>0</v>
      </c>
      <c r="CA843" s="60" t="n">
        <f aca="false">IF(ISNUMBER(AE843),1,0)</f>
        <v>0</v>
      </c>
      <c r="CB843" s="57" t="n">
        <f aca="false">N(AE843)</f>
        <v>0</v>
      </c>
      <c r="CC843" s="57" t="n">
        <f aca="false">N(M843)+N(N843)</f>
        <v>99</v>
      </c>
      <c r="CD843" s="57" t="n">
        <f aca="false">ROUNDUP(H843/BS843,0)</f>
        <v>1</v>
      </c>
      <c r="CE843" s="57" t="n">
        <f aca="false">ROUNDUP(CB843/BS843,0)</f>
        <v>0</v>
      </c>
      <c r="CF843" s="60" t="n">
        <f aca="false">IF(BT843=1,0,IFERROR(VLOOKUP(BR843,'Gebinde-Kategorie'!$A$5:$M$45,5,0)+0,0))</f>
        <v>8</v>
      </c>
      <c r="CG843" s="60" t="n">
        <f aca="false">IFERROR(IF(OR(BX843=1,BX843=2,BX843=3),N(INDEX(Parameter!$I$5:$I$7,BX843)),0),0)</f>
        <v>0</v>
      </c>
      <c r="CH843" s="59" t="n">
        <f aca="false">IF(AND(Parameter!$B$21="Ja",ISNUMBER(W843),N(X843)&gt;0),IFERROR(N(INDEX(Parameter!$L$5:$L$7,W843))*INDEX(Parameter!$E$5:$E$7,W843)*X843/SUMIFS($X$7:$X$1843,$W$7:$W$1843,W843),0),0)</f>
        <v>0</v>
      </c>
    </row>
    <row r="844" customFormat="false" ht="15" hidden="false" customHeight="false" outlineLevel="0" collapsed="false">
      <c r="A844" s="55" t="s">
        <v>1615</v>
      </c>
      <c r="B844" s="55" t="s">
        <v>1279</v>
      </c>
      <c r="C844" s="55" t="s">
        <v>164</v>
      </c>
      <c r="D844" s="55" t="s">
        <v>184</v>
      </c>
      <c r="E844" s="55"/>
      <c r="F844" s="55" t="s">
        <v>218</v>
      </c>
      <c r="G844" s="56" t="n">
        <v>2.97</v>
      </c>
      <c r="H844" s="57" t="n">
        <f aca="false">MAX(0,IF(AND(Parameter!$B$21="Ja",ISNUMBER(Y844)),Y844,IF(Parameter!$B$20="Jahresanfang 2025 + Export",BL844+BK844,BK844)))</f>
        <v>7</v>
      </c>
      <c r="I844" s="57" t="n">
        <f aca="false">H844*G844</f>
        <v>20.79</v>
      </c>
      <c r="J844" s="57" t="n">
        <f aca="false">BN844*Parameter!$B$18</f>
        <v>0</v>
      </c>
      <c r="K844" s="58" t="n">
        <v>12</v>
      </c>
      <c r="L844" s="59" t="n">
        <v>0</v>
      </c>
      <c r="M844" s="57" t="n">
        <v>0</v>
      </c>
      <c r="N844" s="57" t="n">
        <v>1</v>
      </c>
      <c r="O844" s="60" t="n">
        <v>14</v>
      </c>
      <c r="P844" s="55" t="s">
        <v>401</v>
      </c>
      <c r="Q844" s="57" t="n">
        <v>7</v>
      </c>
      <c r="R844" s="60" t="n">
        <f aca="false">IF(BT844=1,0,IFERROR(VLOOKUP(BR844,'Gebinde-Kategorie'!$A$5:$M$45,13,0)+0,0))</f>
        <v>414</v>
      </c>
      <c r="S844" s="61"/>
      <c r="T844" s="62"/>
      <c r="U844" s="62"/>
      <c r="V844" s="62"/>
      <c r="W844" s="55"/>
      <c r="X844" s="57"/>
      <c r="Y844" s="57"/>
      <c r="Z844" s="55" t="n">
        <f aca="false">IF(A844="","",IF(AND(Parameter!$B$21="Ja",ISNUMBER(W844)),W844,IF(BV844="2+3",IF(ISNUMBER(SEARCH("grosser Artikel",BO844)),2,IFERROR(VLOOKUP(BR844,Parameter!$F$35:$G$64,2,0),2)),IF(OR(BV844="Nein",BV844=""),"-",BV844))))</f>
        <v>3</v>
      </c>
      <c r="AA844" s="62"/>
      <c r="AB844" s="63"/>
      <c r="AC844" s="57" t="n">
        <f aca="false">AR844</f>
        <v>7</v>
      </c>
      <c r="AD844" s="57" t="n">
        <f aca="false">MAX(AR844,H844)</f>
        <v>7</v>
      </c>
      <c r="AE844" s="64"/>
      <c r="AF844" s="57" t="n">
        <f aca="false">IF(LEFT(Cockpit!$C$5,1)="A",H844,IF(CA844=1,CB844,IF(LEFT(Cockpit!$C$5,1)="B",AJ844,MAX(AJ844,H844))))</f>
        <v>7</v>
      </c>
      <c r="AG844" s="57" t="n">
        <f aca="false">IF(BT844=1,0,ROUNDUP(AF844/BS844,0))</f>
        <v>1</v>
      </c>
      <c r="AH844" s="59" t="n">
        <f aca="false">IF(CH844&gt;0,CH844*MAX(1,AF844/X844),IF(BT844=1,IF(AF844&lt;=0,0,BW844*MAX(1,IF(H844&gt;0,AF844/H844,1))),IF(R844&gt;0,AG844/R844,0))/MAX(0.1,N(Parameter!$M$21)))</f>
        <v>0.00241545893719807</v>
      </c>
      <c r="AI844" s="57" t="n">
        <f aca="false">AF844*G844</f>
        <v>20.79</v>
      </c>
      <c r="AJ844" s="57" t="n">
        <f aca="false">ROUNDUP(MAX(J844/IF(BZ844&gt;0,BZ844,MAX(0.1,N(Cockpit!$C$6))),CC844)/BS844,0)*BS844</f>
        <v>7</v>
      </c>
      <c r="AK844" s="58" t="n">
        <f aca="false">IF(AH844&gt;0,J844/AH844,-1)</f>
        <v>0</v>
      </c>
      <c r="AL844" s="58" t="n">
        <f aca="false">IF(AND(OR(BY844="L1",BY844="L23"),AH844&gt;0),SUMIFS($AH$7:$AH$1843,$BY$7:$BY$1843,BY844,$AK$7:$AK$1843,"&gt;"&amp;AK844)+SUMIFS($AH$7:$AH$1843,$BY$7:$BY$1843,BY844,$AK$7:$AK$1843,AK844,$BQ$7:$BQ$1843,"&lt;="&amp;BQ844),"")</f>
        <v>77.736258910172</v>
      </c>
      <c r="AM844" s="65" t="n">
        <f aca="false">IF(AL844="",0,MAX(0,MIN(1,(IF(BY844="L1",Parameter!$E$5,Parameter!$E$6+Parameter!$E$7)-(AL844-AH844))/AH844)))</f>
        <v>1</v>
      </c>
      <c r="AN844" s="57" t="n">
        <f aca="false">IF(LEFT(Cockpit!$I$5,1)="A",H844,IF(CA844=1,CB844,IF(LEFT(Cockpit!$I$5,1)="B",AR844,MAX(AR844,H844))))</f>
        <v>7</v>
      </c>
      <c r="AO844" s="57" t="n">
        <f aca="false">IF(BT844=1,0,ROUNDUP(AN844/BS844,0))</f>
        <v>1</v>
      </c>
      <c r="AP844" s="59" t="n">
        <f aca="false">IF(CH844&gt;0,CH844*MAX(1,AN844/X844),IF(BT844=1,IF(AN844&lt;=0,0,BW844*MAX(1,IF(H844&gt;0,AN844/H844,1))),IF(R844&gt;0,AO844/R844,0))/MAX(0.1,N(Parameter!$M$21)))</f>
        <v>0.00241545893719807</v>
      </c>
      <c r="AQ844" s="57" t="n">
        <f aca="false">AN844*G844</f>
        <v>20.79</v>
      </c>
      <c r="AR844" s="57" t="n">
        <f aca="false">ROUNDUP(MAX(J844/IF(BZ844&gt;0,BZ844,MAX(0.1,N(Cockpit!$I$6))),CC844)/BS844,0)*BS844</f>
        <v>7</v>
      </c>
      <c r="AS844" s="58" t="n">
        <f aca="false">IF(AP844&gt;0,J844/AP844,-1)</f>
        <v>0</v>
      </c>
      <c r="AT844" s="58" t="n">
        <f aca="false">IF(AND(OR(BY844="L1",BY844="L23"),AP844&gt;0),SUMIFS($AP$7:$AP$1843,$BY$7:$BY$1843,BY844,$AS$7:$AS$1843,"&gt;"&amp;AS844)+SUMIFS($AP$7:$AP$1843,$BY$7:$BY$1843,BY844,$AS$7:$AS$1843,AS844,$BQ$7:$BQ$1843,"&lt;="&amp;BQ844),"")</f>
        <v>118.661134758961</v>
      </c>
      <c r="AU844" s="65" t="n">
        <f aca="false">IF(AT844="",0,MAX(0,MIN(1,(IF(BY844="L1",Parameter!$E$5,Parameter!$E$6+Parameter!$E$7)-(AT844-AP844))/AP844)))</f>
        <v>0</v>
      </c>
      <c r="AV844" s="57" t="n">
        <f aca="false">IF(LEFT(Cockpit!$O$5,1)="A",H844,IF(CA844=1,CB844,IF(LEFT(Cockpit!$O$5,1)="B",AZ844,MAX(AZ844,H844))))</f>
        <v>7</v>
      </c>
      <c r="AW844" s="57" t="n">
        <f aca="false">IF(BT844=1,0,ROUNDUP(AV844/BS844,0))</f>
        <v>1</v>
      </c>
      <c r="AX844" s="59" t="n">
        <f aca="false">IF(CH844&gt;0,CH844*MAX(1,AV844/X844),IF(BT844=1,IF(AV844&lt;=0,0,BW844*MAX(1,IF(H844&gt;0,AV844/H844,1))),IF(R844&gt;0,AW844/R844,0))/MAX(0.1,N(Parameter!$M$21)))</f>
        <v>0.00241545893719807</v>
      </c>
      <c r="AY844" s="57" t="n">
        <f aca="false">AV844*G844</f>
        <v>20.79</v>
      </c>
      <c r="AZ844" s="57" t="n">
        <f aca="false">ROUNDUP(MAX(J844/IF(BZ844&gt;0,BZ844,MAX(0.1,N(Cockpit!$O$6))),CC844)/BS844,0)*BS844</f>
        <v>7</v>
      </c>
      <c r="BA844" s="58" t="n">
        <f aca="false">IF(AX844&gt;0,J844/AX844,-1)</f>
        <v>0</v>
      </c>
      <c r="BB844" s="58" t="n">
        <f aca="false">IF(AND(OR(BY844="L1",BY844="L23"),AX844&gt;0),SUMIFS($AX$7:$AX$1843,$BY$7:$BY$1843,BY844,$BA$7:$BA$1843,"&gt;"&amp;BA844)+SUMIFS($AX$7:$AX$1843,$BY$7:$BY$1843,BY844,$BA$7:$BA$1843,BA844,$BQ$7:$BQ$1843,"&lt;="&amp;BQ844),"")</f>
        <v>109.490971588798</v>
      </c>
      <c r="BC844" s="65" t="n">
        <f aca="false">IF(BB844="",0,MAX(0,MIN(1,(IF(BY844="L1",Parameter!$E$5,Parameter!$E$6+Parameter!$E$7)-(BB844-AX844))/AX844)))</f>
        <v>0</v>
      </c>
      <c r="BD844" s="55" t="str">
        <f aca="false">IF(AH844&lt;=0,"",IF(BY844="Aussen","Aussenlager",IF(BY844="-","Nicht im Lift",IF(AM844&gt;=1,"Lift",IF(AM844&lt;=0,"Aussenlager","teilweise")))))</f>
        <v>Lift</v>
      </c>
      <c r="BE844" s="55" t="str">
        <f aca="false">IF(AP844&lt;=0,"",IF(BY844="Aussen","Aussenlager",IF(BY844="-","Nicht im Lift",IF(AU844&gt;=1,"Lift",IF(AU844&lt;=0,"Aussenlager","teilweise")))))</f>
        <v>Aussenlager</v>
      </c>
      <c r="BF844" s="55" t="str">
        <f aca="false">IF(AX844&lt;=0,"",IF(BY844="Aussen","Aussenlager",IF(BY844="-","Nicht im Lift",IF(BC844&gt;=1,"Lift",IF(BC844&lt;=0,"Aussenlager","teilweise")))))</f>
        <v>Aussenlager</v>
      </c>
      <c r="BG844" s="55" t="str">
        <f aca="false">IF(A844="","",IF(BP844=1,"Neu; ","")&amp;IF(AND(BP844=0,BK844&lt;0),"negativer Bestand (Export "&amp;BK844&amp;"); ","")&amp;IF(J844&lt;=0,"Kein Verbrauch; ","")&amp;IF(CH844&gt;0,"Lift "&amp;W844&amp;" lt. Liftbericht (Fach "&amp;X844&amp;" Stk); ",IF(BU844=1,"Gebinde geschätzt ("&amp;T844&amp;"); ",IF(BT844=1,"Lose – Tablare geschätzt; ","")))&amp;IF(H844&gt;AR844,"Überbestand "&amp;ROUND(H844-AR844,0)&amp;" Stk / CHF "&amp;ROUND((H844-AR844)*G844,0)&amp;"; ","")&amp;IF(AND(CA844=1,CB844&lt;CC844),"MAX &lt; MB+LG; ","")&amp;IF(AND(CG844&gt;0,CF844*10&gt;CG844),"zu hoch für Tablar; ","")&amp;IF(AND(BP844=0,OR(CA844=1,AA844&lt;&gt;"",U844&lt;&gt;"",V844&lt;&gt;"",AB844&lt;&gt;"")),"manuell übersteuert; ","")&amp;IF(AND(BT844=0,R844=0),"Gebinde unbekannt / Stellmass fehlt; ","")&amp;IF(AND(BT844=0,N(V844)&lt;=0,N(Q844)&lt;=0),"Menge pro Gebinde fehlt (Ist = 1 Gebinde); ","")&amp;BO844)</f>
        <v>negativer Bestand (Export -5); Kein Verbrauch; </v>
      </c>
      <c r="BH844" s="55"/>
      <c r="BI844" s="55"/>
      <c r="BJ844" s="62"/>
      <c r="BK844" s="57" t="n">
        <v>-5</v>
      </c>
      <c r="BL844" s="57" t="n">
        <v>12</v>
      </c>
      <c r="BM844" s="56" t="n">
        <v>-14.85</v>
      </c>
      <c r="BN844" s="57" t="n">
        <v>0</v>
      </c>
      <c r="BO844" s="55"/>
      <c r="BP844" s="60" t="n">
        <v>0</v>
      </c>
      <c r="BQ844" s="60" t="n">
        <v>844</v>
      </c>
      <c r="BR844" s="55" t="str">
        <f aca="false">IF(U844&lt;&gt;"",UPPER(TRIM(U844)),IF(BU844=1,UPPER(VLOOKUP(T844,Parameter!$I$27:$K$29,2,0)),IF(P844="","LOSE",P844)))</f>
        <v>S21</v>
      </c>
      <c r="BS844" s="57" t="n">
        <f aca="false">IF(BR844="LOSE",1,IF(N(V844)&gt;0,V844,IF(BU844=1,MAX(1,N(VLOOKUP(T844,Parameter!$I$27:$K$29,3,0)),H844,N(N844)),IF(N(Q844)&gt;0,Q844,MAX(1,H844)))))</f>
        <v>7</v>
      </c>
      <c r="BT844" s="60" t="n">
        <f aca="false">IF(BR844="LOSE",1,0)</f>
        <v>0</v>
      </c>
      <c r="BU844" s="60" t="n">
        <f aca="false">IF(AND(U844="",OR(P844="",P844="LOSE"),T844&lt;&gt;"",N(S844)&lt;=0,ISNUMBER(MATCH(T844,Parameter!$I$27:$I$29,0))),1,0)</f>
        <v>0</v>
      </c>
      <c r="BV844" s="55" t="str">
        <f aca="false">IF(AND(Parameter!$B$19="Ja",E844&lt;&gt;"",ISNUMBER(MATCH(E844,Parameter!$I$35:$I$52,0))),VLOOKUP(E844,Parameter!$I$35:$J$52,2,0),IFERROR(VLOOKUP(D844,Parameter!$A$35:$C$64,2,0),"Nein"))</f>
        <v>2+3</v>
      </c>
      <c r="BW844" s="59" t="n">
        <f aca="false">IF(BT844=0,0,IF(N(S844)&gt;0,S844,IFERROR(VLOOKUP(D844,Parameter!$A$35:$C$64,3,0)+0,0)))</f>
        <v>0</v>
      </c>
      <c r="BX844" s="55" t="n">
        <f aca="false">IF(AA844&lt;&gt;"",AA844,Z844)</f>
        <v>3</v>
      </c>
      <c r="BY844" s="55" t="str">
        <f aca="false">IF(BX844=1,"L1",IF(OR(BX844=2,BX844=3),"L23",IF(BX844="Aussen","Aussen","-")))</f>
        <v>L23</v>
      </c>
      <c r="BZ844" s="66" t="n">
        <f aca="false">IF(N(AB844)&gt;0,AB844,0)</f>
        <v>0</v>
      </c>
      <c r="CA844" s="60" t="n">
        <f aca="false">IF(ISNUMBER(AE844),1,0)</f>
        <v>0</v>
      </c>
      <c r="CB844" s="57" t="n">
        <f aca="false">N(AE844)</f>
        <v>0</v>
      </c>
      <c r="CC844" s="57" t="n">
        <f aca="false">N(M844)+N(N844)</f>
        <v>1</v>
      </c>
      <c r="CD844" s="57" t="n">
        <f aca="false">ROUNDUP(H844/BS844,0)</f>
        <v>1</v>
      </c>
      <c r="CE844" s="57" t="n">
        <f aca="false">ROUNDUP(CB844/BS844,0)</f>
        <v>0</v>
      </c>
      <c r="CF844" s="60" t="n">
        <f aca="false">IF(BT844=1,0,IFERROR(VLOOKUP(BR844,'Gebinde-Kategorie'!$A$5:$M$45,5,0)+0,0))</f>
        <v>8</v>
      </c>
      <c r="CG844" s="60" t="n">
        <f aca="false">IFERROR(IF(OR(BX844=1,BX844=2,BX844=3),N(INDEX(Parameter!$I$5:$I$7,BX844)),0),0)</f>
        <v>0</v>
      </c>
      <c r="CH844" s="59" t="n">
        <f aca="false">IF(AND(Parameter!$B$21="Ja",ISNUMBER(W844),N(X844)&gt;0),IFERROR(N(INDEX(Parameter!$L$5:$L$7,W844))*INDEX(Parameter!$E$5:$E$7,W844)*X844/SUMIFS($X$7:$X$1843,$W$7:$W$1843,W844),0),0)</f>
        <v>0</v>
      </c>
    </row>
    <row r="845" customFormat="false" ht="15" hidden="false" customHeight="false" outlineLevel="0" collapsed="false">
      <c r="A845" s="55" t="s">
        <v>1616</v>
      </c>
      <c r="B845" s="55" t="s">
        <v>405</v>
      </c>
      <c r="C845" s="55" t="s">
        <v>164</v>
      </c>
      <c r="D845" s="55" t="s">
        <v>184</v>
      </c>
      <c r="E845" s="55" t="s">
        <v>185</v>
      </c>
      <c r="F845" s="55" t="s">
        <v>218</v>
      </c>
      <c r="G845" s="56" t="n">
        <v>0.11</v>
      </c>
      <c r="H845" s="57" t="n">
        <f aca="false">MAX(0,IF(AND(Parameter!$B$21="Ja",ISNUMBER(Y845)),Y845,IF(Parameter!$B$20="Jahresanfang 2025 + Export",BL845+BK845,BK845)))</f>
        <v>643</v>
      </c>
      <c r="I845" s="57" t="n">
        <f aca="false">H845*G845</f>
        <v>70.73</v>
      </c>
      <c r="J845" s="57" t="n">
        <f aca="false">BN845*Parameter!$B$18</f>
        <v>8</v>
      </c>
      <c r="K845" s="58" t="n">
        <v>732</v>
      </c>
      <c r="L845" s="59" t="n">
        <v>0.0109289617486339</v>
      </c>
      <c r="M845" s="57" t="n">
        <v>0</v>
      </c>
      <c r="N845" s="57" t="n">
        <v>10</v>
      </c>
      <c r="O845" s="60" t="n">
        <v>21</v>
      </c>
      <c r="P845" s="55" t="s">
        <v>328</v>
      </c>
      <c r="Q845" s="57" t="n">
        <v>823</v>
      </c>
      <c r="R845" s="60" t="n">
        <f aca="false">IF(BT845=1,0,IFERROR(VLOOKUP(BR845,'Gebinde-Kategorie'!$A$5:$M$45,13,0)+0,0))</f>
        <v>52</v>
      </c>
      <c r="S845" s="61"/>
      <c r="T845" s="62"/>
      <c r="U845" s="62"/>
      <c r="V845" s="62"/>
      <c r="W845" s="55"/>
      <c r="X845" s="57"/>
      <c r="Y845" s="57"/>
      <c r="Z845" s="55" t="n">
        <f aca="false">IF(A845="","",IF(AND(Parameter!$B$21="Ja",ISNUMBER(W845)),W845,IF(BV845="2+3",IF(ISNUMBER(SEARCH("grosser Artikel",BO845)),2,IFERROR(VLOOKUP(BR845,Parameter!$F$35:$G$64,2,0),2)),IF(OR(BV845="Nein",BV845=""),"-",BV845))))</f>
        <v>3</v>
      </c>
      <c r="AA845" s="62"/>
      <c r="AB845" s="63"/>
      <c r="AC845" s="57" t="n">
        <f aca="false">AR845</f>
        <v>823</v>
      </c>
      <c r="AD845" s="57" t="n">
        <f aca="false">MAX(AR845,H845)</f>
        <v>823</v>
      </c>
      <c r="AE845" s="64"/>
      <c r="AF845" s="57" t="n">
        <f aca="false">IF(LEFT(Cockpit!$C$5,1)="A",H845,IF(CA845=1,CB845,IF(LEFT(Cockpit!$C$5,1)="B",AJ845,MAX(AJ845,H845))))</f>
        <v>643</v>
      </c>
      <c r="AG845" s="57" t="n">
        <f aca="false">IF(BT845=1,0,ROUNDUP(AF845/BS845,0))</f>
        <v>1</v>
      </c>
      <c r="AH845" s="59" t="n">
        <f aca="false">IF(CH845&gt;0,CH845*MAX(1,AF845/X845),IF(BT845=1,IF(AF845&lt;=0,0,BW845*MAX(1,IF(H845&gt;0,AF845/H845,1))),IF(R845&gt;0,AG845/R845,0))/MAX(0.1,N(Parameter!$M$21)))</f>
        <v>0.0192307692307692</v>
      </c>
      <c r="AI845" s="57" t="n">
        <f aca="false">AF845*G845</f>
        <v>70.73</v>
      </c>
      <c r="AJ845" s="57" t="n">
        <f aca="false">ROUNDUP(MAX(J845/IF(BZ845&gt;0,BZ845,MAX(0.1,N(Cockpit!$C$6))),CC845)/BS845,0)*BS845</f>
        <v>823</v>
      </c>
      <c r="AK845" s="58" t="n">
        <f aca="false">IF(AH845&gt;0,J845/AH845,-1)</f>
        <v>416</v>
      </c>
      <c r="AL845" s="58" t="n">
        <f aca="false">IF(AND(OR(BY845="L1",BY845="L23"),AH845&gt;0),SUMIFS($AH$7:$AH$1843,$BY$7:$BY$1843,BY845,$AK$7:$AK$1843,"&gt;"&amp;AK845)+SUMIFS($AH$7:$AH$1843,$BY$7:$BY$1843,BY845,$AK$7:$AK$1843,AK845,$BQ$7:$BQ$1843,"&lt;="&amp;BQ845),"")</f>
        <v>25.3729603729604</v>
      </c>
      <c r="AM845" s="65" t="n">
        <f aca="false">IF(AL845="",0,MAX(0,MIN(1,(IF(BY845="L1",Parameter!$E$5,Parameter!$E$6+Parameter!$E$7)-(AL845-AH845))/AH845)))</f>
        <v>1</v>
      </c>
      <c r="AN845" s="57" t="n">
        <f aca="false">IF(LEFT(Cockpit!$I$5,1)="A",H845,IF(CA845=1,CB845,IF(LEFT(Cockpit!$I$5,1)="B",AR845,MAX(AR845,H845))))</f>
        <v>823</v>
      </c>
      <c r="AO845" s="57" t="n">
        <f aca="false">IF(BT845=1,0,ROUNDUP(AN845/BS845,0))</f>
        <v>1</v>
      </c>
      <c r="AP845" s="59" t="n">
        <f aca="false">IF(CH845&gt;0,CH845*MAX(1,AN845/X845),IF(BT845=1,IF(AN845&lt;=0,0,BW845*MAX(1,IF(H845&gt;0,AN845/H845,1))),IF(R845&gt;0,AO845/R845,0))/MAX(0.1,N(Parameter!$M$21)))</f>
        <v>0.0192307692307692</v>
      </c>
      <c r="AQ845" s="57" t="n">
        <f aca="false">AN845*G845</f>
        <v>90.53</v>
      </c>
      <c r="AR845" s="57" t="n">
        <f aca="false">ROUNDUP(MAX(J845/IF(BZ845&gt;0,BZ845,MAX(0.1,N(Cockpit!$I$6))),CC845)/BS845,0)*BS845</f>
        <v>823</v>
      </c>
      <c r="AS845" s="58" t="n">
        <f aca="false">IF(AP845&gt;0,J845/AP845,-1)</f>
        <v>416</v>
      </c>
      <c r="AT845" s="58" t="n">
        <f aca="false">IF(AND(OR(BY845="L1",BY845="L23"),AP845&gt;0),SUMIFS($AP$7:$AP$1843,$BY$7:$BY$1843,BY845,$AS$7:$AS$1843,"&gt;"&amp;AS845)+SUMIFS($AP$7:$AP$1843,$BY$7:$BY$1843,BY845,$AS$7:$AS$1843,AS845,$BQ$7:$BQ$1843,"&lt;="&amp;BQ845),"")</f>
        <v>34.7936978480457</v>
      </c>
      <c r="AU845" s="65" t="n">
        <f aca="false">IF(AT845="",0,MAX(0,MIN(1,(IF(BY845="L1",Parameter!$E$5,Parameter!$E$6+Parameter!$E$7)-(AT845-AP845))/AP845)))</f>
        <v>1</v>
      </c>
      <c r="AV845" s="57" t="n">
        <f aca="false">IF(LEFT(Cockpit!$O$5,1)="A",H845,IF(CA845=1,CB845,IF(LEFT(Cockpit!$O$5,1)="B",AZ845,MAX(AZ845,H845))))</f>
        <v>823</v>
      </c>
      <c r="AW845" s="57" t="n">
        <f aca="false">IF(BT845=1,0,ROUNDUP(AV845/BS845,0))</f>
        <v>1</v>
      </c>
      <c r="AX845" s="59" t="n">
        <f aca="false">IF(CH845&gt;0,CH845*MAX(1,AV845/X845),IF(BT845=1,IF(AV845&lt;=0,0,BW845*MAX(1,IF(H845&gt;0,AV845/H845,1))),IF(R845&gt;0,AW845/R845,0))/MAX(0.1,N(Parameter!$M$21)))</f>
        <v>0.0192307692307692</v>
      </c>
      <c r="AY845" s="57" t="n">
        <f aca="false">AV845*G845</f>
        <v>90.53</v>
      </c>
      <c r="AZ845" s="57" t="n">
        <f aca="false">ROUNDUP(MAX(J845/IF(BZ845&gt;0,BZ845,MAX(0.1,N(Cockpit!$O$6))),CC845)/BS845,0)*BS845</f>
        <v>823</v>
      </c>
      <c r="BA845" s="58" t="n">
        <f aca="false">IF(AX845&gt;0,J845/AX845,-1)</f>
        <v>416</v>
      </c>
      <c r="BB845" s="58" t="n">
        <f aca="false">IF(AND(OR(BY845="L1",BY845="L23"),AX845&gt;0),SUMIFS($AX$7:$AX$1843,$BY$7:$BY$1843,BY845,$BA$7:$BA$1843,"&gt;"&amp;BA845)+SUMIFS($AX$7:$AX$1843,$BY$7:$BY$1843,BY845,$BA$7:$BA$1843,BA845,$BQ$7:$BQ$1843,"&lt;="&amp;BQ845),"")</f>
        <v>34.2068680112158</v>
      </c>
      <c r="BC845" s="65" t="n">
        <f aca="false">IF(BB845="",0,MAX(0,MIN(1,(IF(BY845="L1",Parameter!$E$5,Parameter!$E$6+Parameter!$E$7)-(BB845-AX845))/AX845)))</f>
        <v>1</v>
      </c>
      <c r="BD845" s="55" t="str">
        <f aca="false">IF(AH845&lt;=0,"",IF(BY845="Aussen","Aussenlager",IF(BY845="-","Nicht im Lift",IF(AM845&gt;=1,"Lift",IF(AM845&lt;=0,"Aussenlager","teilweise")))))</f>
        <v>Lift</v>
      </c>
      <c r="BE845" s="55" t="str">
        <f aca="false">IF(AP845&lt;=0,"",IF(BY845="Aussen","Aussenlager",IF(BY845="-","Nicht im Lift",IF(AU845&gt;=1,"Lift",IF(AU845&lt;=0,"Aussenlager","teilweise")))))</f>
        <v>Lift</v>
      </c>
      <c r="BF845" s="55" t="str">
        <f aca="false">IF(AX845&lt;=0,"",IF(BY845="Aussen","Aussenlager",IF(BY845="-","Nicht im Lift",IF(BC845&gt;=1,"Lift",IF(BC845&lt;=0,"Aussenlager","teilweise")))))</f>
        <v>Lift</v>
      </c>
      <c r="BG845" s="55" t="str">
        <f aca="false">IF(A845="","",IF(BP845=1,"Neu; ","")&amp;IF(AND(BP845=0,BK845&lt;0),"negativer Bestand (Export "&amp;BK845&amp;"); ","")&amp;IF(J845&lt;=0,"Kein Verbrauch; ","")&amp;IF(CH845&gt;0,"Lift "&amp;W845&amp;" lt. Liftbericht (Fach "&amp;X845&amp;" Stk); ",IF(BU845=1,"Gebinde geschätzt ("&amp;T845&amp;"); ",IF(BT845=1,"Lose – Tablare geschätzt; ","")))&amp;IF(H845&gt;AR845,"Überbestand "&amp;ROUND(H845-AR845,0)&amp;" Stk / CHF "&amp;ROUND((H845-AR845)*G845,0)&amp;"; ","")&amp;IF(AND(CA845=1,CB845&lt;CC845),"MAX &lt; MB+LG; ","")&amp;IF(AND(CG845&gt;0,CF845*10&gt;CG845),"zu hoch für Tablar; ","")&amp;IF(AND(BP845=0,OR(CA845=1,AA845&lt;&gt;"",U845&lt;&gt;"",V845&lt;&gt;"",AB845&lt;&gt;"")),"manuell übersteuert; ","")&amp;IF(AND(BT845=0,R845=0),"Gebinde unbekannt / Stellmass fehlt; ","")&amp;IF(AND(BT845=0,N(V845)&lt;=0,N(Q845)&lt;=0),"Menge pro Gebinde fehlt (Ist = 1 Gebinde); ","")&amp;BO845)</f>
        <v>negativer Bestand (Export -137); Überbestand</v>
      </c>
      <c r="BH845" s="55"/>
      <c r="BI845" s="55"/>
      <c r="BJ845" s="62"/>
      <c r="BK845" s="57" t="n">
        <v>-137</v>
      </c>
      <c r="BL845" s="57" t="n">
        <v>780</v>
      </c>
      <c r="BM845" s="56" t="n">
        <v>-15.07</v>
      </c>
      <c r="BN845" s="57" t="n">
        <v>8</v>
      </c>
      <c r="BO845" s="55" t="s">
        <v>392</v>
      </c>
      <c r="BP845" s="60" t="n">
        <v>0</v>
      </c>
      <c r="BQ845" s="60" t="n">
        <v>845</v>
      </c>
      <c r="BR845" s="55" t="str">
        <f aca="false">IF(U845&lt;&gt;"",UPPER(TRIM(U845)),IF(BU845=1,UPPER(VLOOKUP(T845,Parameter!$I$27:$K$29,2,0)),IF(P845="","LOSE",P845)))</f>
        <v>S41</v>
      </c>
      <c r="BS845" s="57" t="n">
        <f aca="false">IF(BR845="LOSE",1,IF(N(V845)&gt;0,V845,IF(BU845=1,MAX(1,N(VLOOKUP(T845,Parameter!$I$27:$K$29,3,0)),H845,N(N845)),IF(N(Q845)&gt;0,Q845,MAX(1,H845)))))</f>
        <v>823</v>
      </c>
      <c r="BT845" s="60" t="n">
        <f aca="false">IF(BR845="LOSE",1,0)</f>
        <v>0</v>
      </c>
      <c r="BU845" s="60" t="n">
        <f aca="false">IF(AND(U845="",OR(P845="",P845="LOSE"),T845&lt;&gt;"",N(S845)&lt;=0,ISNUMBER(MATCH(T845,Parameter!$I$27:$I$29,0))),1,0)</f>
        <v>0</v>
      </c>
      <c r="BV845" s="55" t="str">
        <f aca="false">IF(AND(Parameter!$B$19="Ja",E845&lt;&gt;"",ISNUMBER(MATCH(E845,Parameter!$I$35:$I$52,0))),VLOOKUP(E845,Parameter!$I$35:$J$52,2,0),IFERROR(VLOOKUP(D845,Parameter!$A$35:$C$64,2,0),"Nein"))</f>
        <v>2+3</v>
      </c>
      <c r="BW845" s="59" t="n">
        <f aca="false">IF(BT845=0,0,IF(N(S845)&gt;0,S845,IFERROR(VLOOKUP(D845,Parameter!$A$35:$C$64,3,0)+0,0)))</f>
        <v>0</v>
      </c>
      <c r="BX845" s="55" t="n">
        <f aca="false">IF(AA845&lt;&gt;"",AA845,Z845)</f>
        <v>3</v>
      </c>
      <c r="BY845" s="55" t="str">
        <f aca="false">IF(BX845=1,"L1",IF(OR(BX845=2,BX845=3),"L23",IF(BX845="Aussen","Aussen","-")))</f>
        <v>L23</v>
      </c>
      <c r="BZ845" s="66" t="n">
        <f aca="false">IF(N(AB845)&gt;0,AB845,0)</f>
        <v>0</v>
      </c>
      <c r="CA845" s="60" t="n">
        <f aca="false">IF(ISNUMBER(AE845),1,0)</f>
        <v>0</v>
      </c>
      <c r="CB845" s="57" t="n">
        <f aca="false">N(AE845)</f>
        <v>0</v>
      </c>
      <c r="CC845" s="57" t="n">
        <f aca="false">N(M845)+N(N845)</f>
        <v>10</v>
      </c>
      <c r="CD845" s="57" t="n">
        <f aca="false">ROUNDUP(H845/BS845,0)</f>
        <v>1</v>
      </c>
      <c r="CE845" s="57" t="n">
        <f aca="false">ROUNDUP(CB845/BS845,0)</f>
        <v>0</v>
      </c>
      <c r="CF845" s="60" t="n">
        <f aca="false">IF(BT845=1,0,IFERROR(VLOOKUP(BR845,'Gebinde-Kategorie'!$A$5:$M$45,5,0)+0,0))</f>
        <v>11</v>
      </c>
      <c r="CG845" s="60" t="n">
        <f aca="false">IFERROR(IF(OR(BX845=1,BX845=2,BX845=3),N(INDEX(Parameter!$I$5:$I$7,BX845)),0),0)</f>
        <v>0</v>
      </c>
      <c r="CH845" s="59" t="n">
        <f aca="false">IF(AND(Parameter!$B$21="Ja",ISNUMBER(W845),N(X845)&gt;0),IFERROR(N(INDEX(Parameter!$L$5:$L$7,W845))*INDEX(Parameter!$E$5:$E$7,W845)*X845/SUMIFS($X$7:$X$1843,$W$7:$W$1843,W845),0),0)</f>
        <v>0</v>
      </c>
    </row>
    <row r="846" customFormat="false" ht="15" hidden="false" customHeight="false" outlineLevel="0" collapsed="false">
      <c r="A846" s="55" t="s">
        <v>1617</v>
      </c>
      <c r="B846" s="55" t="s">
        <v>1618</v>
      </c>
      <c r="C846" s="55" t="s">
        <v>164</v>
      </c>
      <c r="D846" s="55" t="s">
        <v>184</v>
      </c>
      <c r="E846" s="55" t="s">
        <v>185</v>
      </c>
      <c r="F846" s="55" t="s">
        <v>218</v>
      </c>
      <c r="G846" s="56" t="n">
        <v>3.14</v>
      </c>
      <c r="H846" s="57" t="n">
        <f aca="false">MAX(0,IF(AND(Parameter!$B$21="Ja",ISNUMBER(Y846)),Y846,IF(Parameter!$B$20="Jahresanfang 2025 + Export",BL846+BK846,BK846)))</f>
        <v>43</v>
      </c>
      <c r="I846" s="57" t="n">
        <f aca="false">H846*G846</f>
        <v>135.02</v>
      </c>
      <c r="J846" s="57" t="n">
        <f aca="false">BN846*Parameter!$B$18</f>
        <v>60</v>
      </c>
      <c r="K846" s="58" t="n">
        <v>91</v>
      </c>
      <c r="L846" s="59" t="n">
        <v>0.659340659340659</v>
      </c>
      <c r="M846" s="57" t="n">
        <v>4</v>
      </c>
      <c r="N846" s="57" t="n">
        <v>60</v>
      </c>
      <c r="O846" s="60" t="n">
        <v>28</v>
      </c>
      <c r="P846" s="55" t="s">
        <v>421</v>
      </c>
      <c r="Q846" s="57" t="n">
        <v>25</v>
      </c>
      <c r="R846" s="60" t="n">
        <f aca="false">IF(BT846=1,0,IFERROR(VLOOKUP(BR846,'Gebinde-Kategorie'!$A$5:$M$45,13,0)+0,0))</f>
        <v>132</v>
      </c>
      <c r="S846" s="61"/>
      <c r="T846" s="62"/>
      <c r="U846" s="62"/>
      <c r="V846" s="62"/>
      <c r="W846" s="55"/>
      <c r="X846" s="57"/>
      <c r="Y846" s="57"/>
      <c r="Z846" s="55" t="n">
        <f aca="false">IF(A846="","",IF(AND(Parameter!$B$21="Ja",ISNUMBER(W846)),W846,IF(BV846="2+3",IF(ISNUMBER(SEARCH("grosser Artikel",BO846)),2,IFERROR(VLOOKUP(BR846,Parameter!$F$35:$G$64,2,0),2)),IF(OR(BV846="Nein",BV846=""),"-",BV846))))</f>
        <v>3</v>
      </c>
      <c r="AA846" s="62"/>
      <c r="AB846" s="63"/>
      <c r="AC846" s="57" t="n">
        <f aca="false">AR846</f>
        <v>75</v>
      </c>
      <c r="AD846" s="57" t="n">
        <f aca="false">MAX(AR846,H846)</f>
        <v>75</v>
      </c>
      <c r="AE846" s="64"/>
      <c r="AF846" s="57" t="n">
        <f aca="false">IF(LEFT(Cockpit!$C$5,1)="A",H846,IF(CA846=1,CB846,IF(LEFT(Cockpit!$C$5,1)="B",AJ846,MAX(AJ846,H846))))</f>
        <v>43</v>
      </c>
      <c r="AG846" s="57" t="n">
        <f aca="false">IF(BT846=1,0,ROUNDUP(AF846/BS846,0))</f>
        <v>2</v>
      </c>
      <c r="AH846" s="59" t="n">
        <f aca="false">IF(CH846&gt;0,CH846*MAX(1,AF846/X846),IF(BT846=1,IF(AF846&lt;=0,0,BW846*MAX(1,IF(H846&gt;0,AF846/H846,1))),IF(R846&gt;0,AG846/R846,0))/MAX(0.1,N(Parameter!$M$21)))</f>
        <v>0.0151515151515152</v>
      </c>
      <c r="AI846" s="57" t="n">
        <f aca="false">AF846*G846</f>
        <v>135.02</v>
      </c>
      <c r="AJ846" s="57" t="n">
        <f aca="false">ROUNDUP(MAX(J846/IF(BZ846&gt;0,BZ846,MAX(0.1,N(Cockpit!$C$6))),CC846)/BS846,0)*BS846</f>
        <v>75</v>
      </c>
      <c r="AK846" s="58" t="n">
        <f aca="false">IF(AH846&gt;0,J846/AH846,-1)</f>
        <v>3960</v>
      </c>
      <c r="AL846" s="58" t="n">
        <f aca="false">IF(AND(OR(BY846="L1",BY846="L23"),AH846&gt;0),SUMIFS($AH$7:$AH$1843,$BY$7:$BY$1843,BY846,$AK$7:$AK$1843,"&gt;"&amp;AK846)+SUMIFS($AH$7:$AH$1843,$BY$7:$BY$1843,BY846,$AK$7:$AK$1843,AK846,$BQ$7:$BQ$1843,"&lt;="&amp;BQ846),"")</f>
        <v>9.02336069727374</v>
      </c>
      <c r="AM846" s="65" t="n">
        <f aca="false">IF(AL846="",0,MAX(0,MIN(1,(IF(BY846="L1",Parameter!$E$5,Parameter!$E$6+Parameter!$E$7)-(AL846-AH846))/AH846)))</f>
        <v>1</v>
      </c>
      <c r="AN846" s="57" t="n">
        <f aca="false">IF(LEFT(Cockpit!$I$5,1)="A",H846,IF(CA846=1,CB846,IF(LEFT(Cockpit!$I$5,1)="B",AR846,MAX(AR846,H846))))</f>
        <v>75</v>
      </c>
      <c r="AO846" s="57" t="n">
        <f aca="false">IF(BT846=1,0,ROUNDUP(AN846/BS846,0))</f>
        <v>3</v>
      </c>
      <c r="AP846" s="59" t="n">
        <f aca="false">IF(CH846&gt;0,CH846*MAX(1,AN846/X846),IF(BT846=1,IF(AN846&lt;=0,0,BW846*MAX(1,IF(H846&gt;0,AN846/H846,1))),IF(R846&gt;0,AO846/R846,0))/MAX(0.1,N(Parameter!$M$21)))</f>
        <v>0.0227272727272727</v>
      </c>
      <c r="AQ846" s="57" t="n">
        <f aca="false">AN846*G846</f>
        <v>235.5</v>
      </c>
      <c r="AR846" s="57" t="n">
        <f aca="false">ROUNDUP(MAX(J846/IF(BZ846&gt;0,BZ846,MAX(0.1,N(Cockpit!$I$6))),CC846)/BS846,0)*BS846</f>
        <v>75</v>
      </c>
      <c r="AS846" s="58" t="n">
        <f aca="false">IF(AP846&gt;0,J846/AP846,-1)</f>
        <v>2640</v>
      </c>
      <c r="AT846" s="58" t="n">
        <f aca="false">IF(AND(OR(BY846="L1",BY846="L23"),AP846&gt;0),SUMIFS($AP$7:$AP$1843,$BY$7:$BY$1843,BY846,$AS$7:$AS$1843,"&gt;"&amp;AS846)+SUMIFS($AP$7:$AP$1843,$BY$7:$BY$1843,BY846,$AS$7:$AS$1843,AS846,$BQ$7:$BQ$1843,"&lt;="&amp;BQ846),"")</f>
        <v>16.2129404412013</v>
      </c>
      <c r="AU846" s="65" t="n">
        <f aca="false">IF(AT846="",0,MAX(0,MIN(1,(IF(BY846="L1",Parameter!$E$5,Parameter!$E$6+Parameter!$E$7)-(AT846-AP846))/AP846)))</f>
        <v>1</v>
      </c>
      <c r="AV846" s="57" t="n">
        <f aca="false">IF(LEFT(Cockpit!$O$5,1)="A",H846,IF(CA846=1,CB846,IF(LEFT(Cockpit!$O$5,1)="B",AZ846,MAX(AZ846,H846))))</f>
        <v>75</v>
      </c>
      <c r="AW846" s="57" t="n">
        <f aca="false">IF(BT846=1,0,ROUNDUP(AV846/BS846,0))</f>
        <v>3</v>
      </c>
      <c r="AX846" s="59" t="n">
        <f aca="false">IF(CH846&gt;0,CH846*MAX(1,AV846/X846),IF(BT846=1,IF(AV846&lt;=0,0,BW846*MAX(1,IF(H846&gt;0,AV846/H846,1))),IF(R846&gt;0,AW846/R846,0))/MAX(0.1,N(Parameter!$M$21)))</f>
        <v>0.0227272727272727</v>
      </c>
      <c r="AY846" s="57" t="n">
        <f aca="false">AV846*G846</f>
        <v>235.5</v>
      </c>
      <c r="AZ846" s="57" t="n">
        <f aca="false">ROUNDUP(MAX(J846/IF(BZ846&gt;0,BZ846,MAX(0.1,N(Cockpit!$O$6))),CC846)/BS846,0)*BS846</f>
        <v>75</v>
      </c>
      <c r="BA846" s="58" t="n">
        <f aca="false">IF(AX846&gt;0,J846/AX846,-1)</f>
        <v>2640</v>
      </c>
      <c r="BB846" s="58" t="n">
        <f aca="false">IF(AND(OR(BY846="L1",BY846="L23"),AX846&gt;0),SUMIFS($AX$7:$AX$1843,$BY$7:$BY$1843,BY846,$BA$7:$BA$1843,"&gt;"&amp;BA846)+SUMIFS($AX$7:$AX$1843,$BY$7:$BY$1843,BY846,$BA$7:$BA$1843,BA846,$BQ$7:$BQ$1843,"&lt;="&amp;BQ846),"")</f>
        <v>14.7863670146279</v>
      </c>
      <c r="BC846" s="65" t="n">
        <f aca="false">IF(BB846="",0,MAX(0,MIN(1,(IF(BY846="L1",Parameter!$E$5,Parameter!$E$6+Parameter!$E$7)-(BB846-AX846))/AX846)))</f>
        <v>1</v>
      </c>
      <c r="BD846" s="55" t="str">
        <f aca="false">IF(AH846&lt;=0,"",IF(BY846="Aussen","Aussenlager",IF(BY846="-","Nicht im Lift",IF(AM846&gt;=1,"Lift",IF(AM846&lt;=0,"Aussenlager","teilweise")))))</f>
        <v>Lift</v>
      </c>
      <c r="BE846" s="55" t="str">
        <f aca="false">IF(AP846&lt;=0,"",IF(BY846="Aussen","Aussenlager",IF(BY846="-","Nicht im Lift",IF(AU846&gt;=1,"Lift",IF(AU846&lt;=0,"Aussenlager","teilweise")))))</f>
        <v>Lift</v>
      </c>
      <c r="BF846" s="55" t="str">
        <f aca="false">IF(AX846&lt;=0,"",IF(BY846="Aussen","Aussenlager",IF(BY846="-","Nicht im Lift",IF(BC846&gt;=1,"Lift",IF(BC846&lt;=0,"Aussenlager","teilweise")))))</f>
        <v>Lift</v>
      </c>
      <c r="BG846" s="55" t="str">
        <f aca="false">IF(A846="","",IF(BP846=1,"Neu; ","")&amp;IF(AND(BP846=0,BK846&lt;0),"negativer Bestand (Export "&amp;BK846&amp;"); ","")&amp;IF(J846&lt;=0,"Kein Verbrauch; ","")&amp;IF(CH846&gt;0,"Lift "&amp;W846&amp;" lt. Liftbericht (Fach "&amp;X846&amp;" Stk); ",IF(BU846=1,"Gebinde geschätzt ("&amp;T846&amp;"); ",IF(BT846=1,"Lose – Tablare geschätzt; ","")))&amp;IF(H846&gt;AR846,"Überbestand "&amp;ROUND(H846-AR846,0)&amp;" Stk / CHF "&amp;ROUND((H846-AR846)*G846,0)&amp;"; ","")&amp;IF(AND(CA846=1,CB846&lt;CC846),"MAX &lt; MB+LG; ","")&amp;IF(AND(CG846&gt;0,CF846*10&gt;CG846),"zu hoch für Tablar; ","")&amp;IF(AND(BP846=0,OR(CA846=1,AA846&lt;&gt;"",U846&lt;&gt;"",V846&lt;&gt;"",AB846&lt;&gt;"")),"manuell übersteuert; ","")&amp;IF(AND(BT846=0,R846=0),"Gebinde unbekannt / Stellmass fehlt; ","")&amp;IF(AND(BT846=0,N(V846)&lt;=0,N(Q846)&lt;=0),"Menge pro Gebinde fehlt (Ist = 1 Gebinde); ","")&amp;BO846)</f>
        <v>negativer Bestand (Export -29); </v>
      </c>
      <c r="BH846" s="55"/>
      <c r="BI846" s="55"/>
      <c r="BJ846" s="62"/>
      <c r="BK846" s="57" t="n">
        <v>-29</v>
      </c>
      <c r="BL846" s="57" t="n">
        <v>72</v>
      </c>
      <c r="BM846" s="56" t="n">
        <v>-15.4599999999997</v>
      </c>
      <c r="BN846" s="57" t="n">
        <v>60</v>
      </c>
      <c r="BO846" s="55"/>
      <c r="BP846" s="60" t="n">
        <v>0</v>
      </c>
      <c r="BQ846" s="60" t="n">
        <v>846</v>
      </c>
      <c r="BR846" s="55" t="str">
        <f aca="false">IF(U846&lt;&gt;"",UPPER(TRIM(U846)),IF(BU846=1,UPPER(VLOOKUP(T846,Parameter!$I$27:$K$29,2,0)),IF(P846="","LOSE",P846)))</f>
        <v>S32</v>
      </c>
      <c r="BS846" s="57" t="n">
        <f aca="false">IF(BR846="LOSE",1,IF(N(V846)&gt;0,V846,IF(BU846=1,MAX(1,N(VLOOKUP(T846,Parameter!$I$27:$K$29,3,0)),H846,N(N846)),IF(N(Q846)&gt;0,Q846,MAX(1,H846)))))</f>
        <v>25</v>
      </c>
      <c r="BT846" s="60" t="n">
        <f aca="false">IF(BR846="LOSE",1,0)</f>
        <v>0</v>
      </c>
      <c r="BU846" s="60" t="n">
        <f aca="false">IF(AND(U846="",OR(P846="",P846="LOSE"),T846&lt;&gt;"",N(S846)&lt;=0,ISNUMBER(MATCH(T846,Parameter!$I$27:$I$29,0))),1,0)</f>
        <v>0</v>
      </c>
      <c r="BV846" s="55" t="str">
        <f aca="false">IF(AND(Parameter!$B$19="Ja",E846&lt;&gt;"",ISNUMBER(MATCH(E846,Parameter!$I$35:$I$52,0))),VLOOKUP(E846,Parameter!$I$35:$J$52,2,0),IFERROR(VLOOKUP(D846,Parameter!$A$35:$C$64,2,0),"Nein"))</f>
        <v>2+3</v>
      </c>
      <c r="BW846" s="59" t="n">
        <f aca="false">IF(BT846=0,0,IF(N(S846)&gt;0,S846,IFERROR(VLOOKUP(D846,Parameter!$A$35:$C$64,3,0)+0,0)))</f>
        <v>0</v>
      </c>
      <c r="BX846" s="55" t="n">
        <f aca="false">IF(AA846&lt;&gt;"",AA846,Z846)</f>
        <v>3</v>
      </c>
      <c r="BY846" s="55" t="str">
        <f aca="false">IF(BX846=1,"L1",IF(OR(BX846=2,BX846=3),"L23",IF(BX846="Aussen","Aussen","-")))</f>
        <v>L23</v>
      </c>
      <c r="BZ846" s="66" t="n">
        <f aca="false">IF(N(AB846)&gt;0,AB846,0)</f>
        <v>0</v>
      </c>
      <c r="CA846" s="60" t="n">
        <f aca="false">IF(ISNUMBER(AE846),1,0)</f>
        <v>0</v>
      </c>
      <c r="CB846" s="57" t="n">
        <f aca="false">N(AE846)</f>
        <v>0</v>
      </c>
      <c r="CC846" s="57" t="n">
        <f aca="false">N(M846)+N(N846)</f>
        <v>64</v>
      </c>
      <c r="CD846" s="57" t="n">
        <f aca="false">ROUNDUP(H846/BS846,0)</f>
        <v>2</v>
      </c>
      <c r="CE846" s="57" t="n">
        <f aca="false">ROUNDUP(CB846/BS846,0)</f>
        <v>0</v>
      </c>
      <c r="CF846" s="60" t="n">
        <f aca="false">IF(BT846=1,0,IFERROR(VLOOKUP(BR846,'Gebinde-Kategorie'!$A$5:$M$45,5,0)+0,0))</f>
        <v>8</v>
      </c>
      <c r="CG846" s="60" t="n">
        <f aca="false">IFERROR(IF(OR(BX846=1,BX846=2,BX846=3),N(INDEX(Parameter!$I$5:$I$7,BX846)),0),0)</f>
        <v>0</v>
      </c>
      <c r="CH846" s="59" t="n">
        <f aca="false">IF(AND(Parameter!$B$21="Ja",ISNUMBER(W846),N(X846)&gt;0),IFERROR(N(INDEX(Parameter!$L$5:$L$7,W846))*INDEX(Parameter!$E$5:$E$7,W846)*X846/SUMIFS($X$7:$X$1843,$W$7:$W$1843,W846),0),0)</f>
        <v>0</v>
      </c>
    </row>
    <row r="847" customFormat="false" ht="15" hidden="false" customHeight="false" outlineLevel="0" collapsed="false">
      <c r="A847" s="55" t="s">
        <v>1619</v>
      </c>
      <c r="B847" s="55" t="s">
        <v>1290</v>
      </c>
      <c r="C847" s="55" t="s">
        <v>164</v>
      </c>
      <c r="D847" s="55" t="s">
        <v>184</v>
      </c>
      <c r="E847" s="55" t="s">
        <v>185</v>
      </c>
      <c r="F847" s="55" t="s">
        <v>218</v>
      </c>
      <c r="G847" s="56" t="n">
        <v>0.85</v>
      </c>
      <c r="H847" s="57" t="n">
        <f aca="false">MAX(0,IF(AND(Parameter!$B$21="Ja",ISNUMBER(Y847)),Y847,IF(Parameter!$B$20="Jahresanfang 2025 + Export",BL847+BK847,BK847)))</f>
        <v>9</v>
      </c>
      <c r="I847" s="57" t="n">
        <f aca="false">H847*G847</f>
        <v>7.65</v>
      </c>
      <c r="J847" s="57" t="n">
        <f aca="false">BN847*Parameter!$B$18</f>
        <v>29</v>
      </c>
      <c r="K847" s="58" t="n">
        <v>30.5</v>
      </c>
      <c r="L847" s="59" t="n">
        <v>0.950819672131148</v>
      </c>
      <c r="M847" s="57" t="n">
        <v>1</v>
      </c>
      <c r="N847" s="57" t="n">
        <v>30</v>
      </c>
      <c r="O847" s="60" t="n">
        <v>21</v>
      </c>
      <c r="P847" s="55" t="s">
        <v>226</v>
      </c>
      <c r="Q847" s="57" t="n">
        <v>65</v>
      </c>
      <c r="R847" s="60" t="n">
        <f aca="false">IF(BT847=1,0,IFERROR(VLOOKUP(BR847,'Gebinde-Kategorie'!$A$5:$M$45,13,0)+0,0))</f>
        <v>12</v>
      </c>
      <c r="S847" s="61"/>
      <c r="T847" s="62"/>
      <c r="U847" s="62"/>
      <c r="V847" s="62"/>
      <c r="W847" s="55"/>
      <c r="X847" s="57"/>
      <c r="Y847" s="57"/>
      <c r="Z847" s="55" t="n">
        <f aca="false">IF(A847="","",IF(AND(Parameter!$B$21="Ja",ISNUMBER(W847)),W847,IF(BV847="2+3",IF(ISNUMBER(SEARCH("grosser Artikel",BO847)),2,IFERROR(VLOOKUP(BR847,Parameter!$F$35:$G$64,2,0),2)),IF(OR(BV847="Nein",BV847=""),"-",BV847))))</f>
        <v>2</v>
      </c>
      <c r="AA847" s="62"/>
      <c r="AB847" s="63"/>
      <c r="AC847" s="57" t="n">
        <f aca="false">AR847</f>
        <v>65</v>
      </c>
      <c r="AD847" s="57" t="n">
        <f aca="false">MAX(AR847,H847)</f>
        <v>65</v>
      </c>
      <c r="AE847" s="64"/>
      <c r="AF847" s="57" t="n">
        <f aca="false">IF(LEFT(Cockpit!$C$5,1)="A",H847,IF(CA847=1,CB847,IF(LEFT(Cockpit!$C$5,1)="B",AJ847,MAX(AJ847,H847))))</f>
        <v>9</v>
      </c>
      <c r="AG847" s="57" t="n">
        <f aca="false">IF(BT847=1,0,ROUNDUP(AF847/BS847,0))</f>
        <v>1</v>
      </c>
      <c r="AH847" s="59" t="n">
        <f aca="false">IF(CH847&gt;0,CH847*MAX(1,AF847/X847),IF(BT847=1,IF(AF847&lt;=0,0,BW847*MAX(1,IF(H847&gt;0,AF847/H847,1))),IF(R847&gt;0,AG847/R847,0))/MAX(0.1,N(Parameter!$M$21)))</f>
        <v>0.0833333333333333</v>
      </c>
      <c r="AI847" s="57" t="n">
        <f aca="false">AF847*G847</f>
        <v>7.65</v>
      </c>
      <c r="AJ847" s="57" t="n">
        <f aca="false">ROUNDUP(MAX(J847/IF(BZ847&gt;0,BZ847,MAX(0.1,N(Cockpit!$C$6))),CC847)/BS847,0)*BS847</f>
        <v>65</v>
      </c>
      <c r="AK847" s="58" t="n">
        <f aca="false">IF(AH847&gt;0,J847/AH847,-1)</f>
        <v>348</v>
      </c>
      <c r="AL847" s="58" t="n">
        <f aca="false">IF(AND(OR(BY847="L1",BY847="L23"),AH847&gt;0),SUMIFS($AH$7:$AH$1843,$BY$7:$BY$1843,BY847,$AK$7:$AK$1843,"&gt;"&amp;AK847)+SUMIFS($AH$7:$AH$1843,$BY$7:$BY$1843,BY847,$AK$7:$AK$1843,AK847,$BQ$7:$BQ$1843,"&lt;="&amp;BQ847),"")</f>
        <v>27.3351744873484</v>
      </c>
      <c r="AM847" s="65" t="n">
        <f aca="false">IF(AL847="",0,MAX(0,MIN(1,(IF(BY847="L1",Parameter!$E$5,Parameter!$E$6+Parameter!$E$7)-(AL847-AH847))/AH847)))</f>
        <v>1</v>
      </c>
      <c r="AN847" s="57" t="n">
        <f aca="false">IF(LEFT(Cockpit!$I$5,1)="A",H847,IF(CA847=1,CB847,IF(LEFT(Cockpit!$I$5,1)="B",AR847,MAX(AR847,H847))))</f>
        <v>65</v>
      </c>
      <c r="AO847" s="57" t="n">
        <f aca="false">IF(BT847=1,0,ROUNDUP(AN847/BS847,0))</f>
        <v>1</v>
      </c>
      <c r="AP847" s="59" t="n">
        <f aca="false">IF(CH847&gt;0,CH847*MAX(1,AN847/X847),IF(BT847=1,IF(AN847&lt;=0,0,BW847*MAX(1,IF(H847&gt;0,AN847/H847,1))),IF(R847&gt;0,AO847/R847,0))/MAX(0.1,N(Parameter!$M$21)))</f>
        <v>0.0833333333333333</v>
      </c>
      <c r="AQ847" s="57" t="n">
        <f aca="false">AN847*G847</f>
        <v>55.25</v>
      </c>
      <c r="AR847" s="57" t="n">
        <f aca="false">ROUNDUP(MAX(J847/IF(BZ847&gt;0,BZ847,MAX(0.1,N(Cockpit!$I$6))),CC847)/BS847,0)*BS847</f>
        <v>65</v>
      </c>
      <c r="AS847" s="58" t="n">
        <f aca="false">IF(AP847&gt;0,J847/AP847,-1)</f>
        <v>348</v>
      </c>
      <c r="AT847" s="58" t="n">
        <f aca="false">IF(AND(OR(BY847="L1",BY847="L23"),AP847&gt;0),SUMIFS($AP$7:$AP$1843,$BY$7:$BY$1843,BY847,$AS$7:$AS$1843,"&gt;"&amp;AS847)+SUMIFS($AP$7:$AP$1843,$BY$7:$BY$1843,BY847,$AS$7:$AS$1843,AS847,$BQ$7:$BQ$1843,"&lt;="&amp;BQ847),"")</f>
        <v>37.2208371338806</v>
      </c>
      <c r="AU847" s="65" t="n">
        <f aca="false">IF(AT847="",0,MAX(0,MIN(1,(IF(BY847="L1",Parameter!$E$5,Parameter!$E$6+Parameter!$E$7)-(AT847-AP847))/AP847)))</f>
        <v>1</v>
      </c>
      <c r="AV847" s="57" t="n">
        <f aca="false">IF(LEFT(Cockpit!$O$5,1)="A",H847,IF(CA847=1,CB847,IF(LEFT(Cockpit!$O$5,1)="B",AZ847,MAX(AZ847,H847))))</f>
        <v>65</v>
      </c>
      <c r="AW847" s="57" t="n">
        <f aca="false">IF(BT847=1,0,ROUNDUP(AV847/BS847,0))</f>
        <v>1</v>
      </c>
      <c r="AX847" s="59" t="n">
        <f aca="false">IF(CH847&gt;0,CH847*MAX(1,AV847/X847),IF(BT847=1,IF(AV847&lt;=0,0,BW847*MAX(1,IF(H847&gt;0,AV847/H847,1))),IF(R847&gt;0,AW847/R847,0))/MAX(0.1,N(Parameter!$M$21)))</f>
        <v>0.0833333333333333</v>
      </c>
      <c r="AY847" s="57" t="n">
        <f aca="false">AV847*G847</f>
        <v>55.25</v>
      </c>
      <c r="AZ847" s="57" t="n">
        <f aca="false">ROUNDUP(MAX(J847/IF(BZ847&gt;0,BZ847,MAX(0.1,N(Cockpit!$O$6))),CC847)/BS847,0)*BS847</f>
        <v>65</v>
      </c>
      <c r="BA847" s="58" t="n">
        <f aca="false">IF(AX847&gt;0,J847/AX847,-1)</f>
        <v>348</v>
      </c>
      <c r="BB847" s="58" t="n">
        <f aca="false">IF(AND(OR(BY847="L1",BY847="L23"),AX847&gt;0),SUMIFS($AX$7:$AX$1843,$BY$7:$BY$1843,BY847,$BA$7:$BA$1843,"&gt;"&amp;BA847)+SUMIFS($AX$7:$AX$1843,$BY$7:$BY$1843,BY847,$BA$7:$BA$1843,BA847,$BQ$7:$BQ$1843,"&lt;="&amp;BQ847),"")</f>
        <v>36.0506739637174</v>
      </c>
      <c r="BC847" s="65" t="n">
        <f aca="false">IF(BB847="",0,MAX(0,MIN(1,(IF(BY847="L1",Parameter!$E$5,Parameter!$E$6+Parameter!$E$7)-(BB847-AX847))/AX847)))</f>
        <v>1</v>
      </c>
      <c r="BD847" s="55" t="str">
        <f aca="false">IF(AH847&lt;=0,"",IF(BY847="Aussen","Aussenlager",IF(BY847="-","Nicht im Lift",IF(AM847&gt;=1,"Lift",IF(AM847&lt;=0,"Aussenlager","teilweise")))))</f>
        <v>Lift</v>
      </c>
      <c r="BE847" s="55" t="str">
        <f aca="false">IF(AP847&lt;=0,"",IF(BY847="Aussen","Aussenlager",IF(BY847="-","Nicht im Lift",IF(AU847&gt;=1,"Lift",IF(AU847&lt;=0,"Aussenlager","teilweise")))))</f>
        <v>Lift</v>
      </c>
      <c r="BF847" s="55" t="str">
        <f aca="false">IF(AX847&lt;=0,"",IF(BY847="Aussen","Aussenlager",IF(BY847="-","Nicht im Lift",IF(BC847&gt;=1,"Lift",IF(BC847&lt;=0,"Aussenlager","teilweise")))))</f>
        <v>Lift</v>
      </c>
      <c r="BG847" s="55" t="str">
        <f aca="false">IF(A847="","",IF(BP847=1,"Neu; ","")&amp;IF(AND(BP847=0,BK847&lt;0),"negativer Bestand (Export "&amp;BK847&amp;"); ","")&amp;IF(J847&lt;=0,"Kein Verbrauch; ","")&amp;IF(CH847&gt;0,"Lift "&amp;W847&amp;" lt. Liftbericht (Fach "&amp;X847&amp;" Stk); ",IF(BU847=1,"Gebinde geschätzt ("&amp;T847&amp;"); ",IF(BT847=1,"Lose – Tablare geschätzt; ","")))&amp;IF(H847&gt;AR847,"Überbestand "&amp;ROUND(H847-AR847,0)&amp;" Stk / CHF "&amp;ROUND((H847-AR847)*G847,0)&amp;"; ","")&amp;IF(AND(CA847=1,CB847&lt;CC847),"MAX &lt; MB+LG; ","")&amp;IF(AND(CG847&gt;0,CF847*10&gt;CG847),"zu hoch für Tablar; ","")&amp;IF(AND(BP847=0,OR(CA847=1,AA847&lt;&gt;"",U847&lt;&gt;"",V847&lt;&gt;"",AB847&lt;&gt;"")),"manuell übersteuert; ","")&amp;IF(AND(BT847=0,R847=0),"Gebinde unbekannt / Stellmass fehlt; ","")&amp;IF(AND(BT847=0,N(V847)&lt;=0,N(Q847)&lt;=0),"Menge pro Gebinde fehlt (Ist = 1 Gebinde); ","")&amp;BO847)</f>
        <v>negativer Bestand (Export -22); </v>
      </c>
      <c r="BH847" s="55"/>
      <c r="BI847" s="55"/>
      <c r="BJ847" s="62"/>
      <c r="BK847" s="57" t="n">
        <v>-22</v>
      </c>
      <c r="BL847" s="57" t="n">
        <v>31</v>
      </c>
      <c r="BM847" s="56" t="n">
        <v>-15.91</v>
      </c>
      <c r="BN847" s="57" t="n">
        <v>29</v>
      </c>
      <c r="BO847" s="55"/>
      <c r="BP847" s="60" t="n">
        <v>0</v>
      </c>
      <c r="BQ847" s="60" t="n">
        <v>847</v>
      </c>
      <c r="BR847" s="55" t="str">
        <f aca="false">IF(U847&lt;&gt;"",UPPER(TRIM(U847)),IF(BU847=1,UPPER(VLOOKUP(T847,Parameter!$I$27:$K$29,2,0)),IF(P847="","LOSE",P847)))</f>
        <v>S63</v>
      </c>
      <c r="BS847" s="57" t="n">
        <f aca="false">IF(BR847="LOSE",1,IF(N(V847)&gt;0,V847,IF(BU847=1,MAX(1,N(VLOOKUP(T847,Parameter!$I$27:$K$29,3,0)),H847,N(N847)),IF(N(Q847)&gt;0,Q847,MAX(1,H847)))))</f>
        <v>65</v>
      </c>
      <c r="BT847" s="60" t="n">
        <f aca="false">IF(BR847="LOSE",1,0)</f>
        <v>0</v>
      </c>
      <c r="BU847" s="60" t="n">
        <f aca="false">IF(AND(U847="",OR(P847="",P847="LOSE"),T847&lt;&gt;"",N(S847)&lt;=0,ISNUMBER(MATCH(T847,Parameter!$I$27:$I$29,0))),1,0)</f>
        <v>0</v>
      </c>
      <c r="BV847" s="55" t="str">
        <f aca="false">IF(AND(Parameter!$B$19="Ja",E847&lt;&gt;"",ISNUMBER(MATCH(E847,Parameter!$I$35:$I$52,0))),VLOOKUP(E847,Parameter!$I$35:$J$52,2,0),IFERROR(VLOOKUP(D847,Parameter!$A$35:$C$64,2,0),"Nein"))</f>
        <v>2+3</v>
      </c>
      <c r="BW847" s="59" t="n">
        <f aca="false">IF(BT847=0,0,IF(N(S847)&gt;0,S847,IFERROR(VLOOKUP(D847,Parameter!$A$35:$C$64,3,0)+0,0)))</f>
        <v>0</v>
      </c>
      <c r="BX847" s="55" t="n">
        <f aca="false">IF(AA847&lt;&gt;"",AA847,Z847)</f>
        <v>2</v>
      </c>
      <c r="BY847" s="55" t="str">
        <f aca="false">IF(BX847=1,"L1",IF(OR(BX847=2,BX847=3),"L23",IF(BX847="Aussen","Aussen","-")))</f>
        <v>L23</v>
      </c>
      <c r="BZ847" s="66" t="n">
        <f aca="false">IF(N(AB847)&gt;0,AB847,0)</f>
        <v>0</v>
      </c>
      <c r="CA847" s="60" t="n">
        <f aca="false">IF(ISNUMBER(AE847),1,0)</f>
        <v>0</v>
      </c>
      <c r="CB847" s="57" t="n">
        <f aca="false">N(AE847)</f>
        <v>0</v>
      </c>
      <c r="CC847" s="57" t="n">
        <f aca="false">N(M847)+N(N847)</f>
        <v>31</v>
      </c>
      <c r="CD847" s="57" t="n">
        <f aca="false">ROUNDUP(H847/BS847,0)</f>
        <v>1</v>
      </c>
      <c r="CE847" s="57" t="n">
        <f aca="false">ROUNDUP(CB847/BS847,0)</f>
        <v>0</v>
      </c>
      <c r="CF847" s="60" t="n">
        <f aca="false">IF(BT847=1,0,IFERROR(VLOOKUP(BR847,'Gebinde-Kategorie'!$A$5:$M$45,5,0)+0,0))</f>
        <v>31</v>
      </c>
      <c r="CG847" s="60" t="n">
        <f aca="false">IFERROR(IF(OR(BX847=1,BX847=2,BX847=3),N(INDEX(Parameter!$I$5:$I$7,BX847)),0),0)</f>
        <v>0</v>
      </c>
      <c r="CH847" s="59" t="n">
        <f aca="false">IF(AND(Parameter!$B$21="Ja",ISNUMBER(W847),N(X847)&gt;0),IFERROR(N(INDEX(Parameter!$L$5:$L$7,W847))*INDEX(Parameter!$E$5:$E$7,W847)*X847/SUMIFS($X$7:$X$1843,$W$7:$W$1843,W847),0),0)</f>
        <v>0</v>
      </c>
    </row>
    <row r="848" customFormat="false" ht="15" hidden="false" customHeight="false" outlineLevel="0" collapsed="false">
      <c r="A848" s="55" t="s">
        <v>1620</v>
      </c>
      <c r="B848" s="55" t="s">
        <v>405</v>
      </c>
      <c r="C848" s="55" t="s">
        <v>164</v>
      </c>
      <c r="D848" s="55" t="s">
        <v>184</v>
      </c>
      <c r="E848" s="55" t="s">
        <v>185</v>
      </c>
      <c r="F848" s="55" t="s">
        <v>218</v>
      </c>
      <c r="G848" s="56" t="n">
        <v>0.37</v>
      </c>
      <c r="H848" s="57" t="n">
        <f aca="false">MAX(0,IF(AND(Parameter!$B$21="Ja",ISNUMBER(Y848)),Y848,IF(Parameter!$B$20="Jahresanfang 2025 + Export",BL848+BK848,BK848)))</f>
        <v>737</v>
      </c>
      <c r="I848" s="57" t="n">
        <f aca="false">H848*G848</f>
        <v>272.69</v>
      </c>
      <c r="J848" s="57" t="n">
        <f aca="false">BN848*Parameter!$B$18</f>
        <v>48</v>
      </c>
      <c r="K848" s="58" t="n">
        <v>758.5</v>
      </c>
      <c r="L848" s="59" t="n">
        <v>0.0632827949901121</v>
      </c>
      <c r="M848" s="57" t="n">
        <v>1</v>
      </c>
      <c r="N848" s="57" t="n">
        <v>50</v>
      </c>
      <c r="O848" s="60" t="n">
        <v>14</v>
      </c>
      <c r="P848" s="55" t="s">
        <v>226</v>
      </c>
      <c r="Q848" s="57" t="n">
        <v>601</v>
      </c>
      <c r="R848" s="60" t="n">
        <f aca="false">IF(BT848=1,0,IFERROR(VLOOKUP(BR848,'Gebinde-Kategorie'!$A$5:$M$45,13,0)+0,0))</f>
        <v>12</v>
      </c>
      <c r="S848" s="61"/>
      <c r="T848" s="62"/>
      <c r="U848" s="62"/>
      <c r="V848" s="62"/>
      <c r="W848" s="55"/>
      <c r="X848" s="57"/>
      <c r="Y848" s="57"/>
      <c r="Z848" s="55" t="n">
        <f aca="false">IF(A848="","",IF(AND(Parameter!$B$21="Ja",ISNUMBER(W848)),W848,IF(BV848="2+3",IF(ISNUMBER(SEARCH("grosser Artikel",BO848)),2,IFERROR(VLOOKUP(BR848,Parameter!$F$35:$G$64,2,0),2)),IF(OR(BV848="Nein",BV848=""),"-",BV848))))</f>
        <v>2</v>
      </c>
      <c r="AA848" s="62"/>
      <c r="AB848" s="63"/>
      <c r="AC848" s="57" t="n">
        <f aca="false">AR848</f>
        <v>601</v>
      </c>
      <c r="AD848" s="57" t="n">
        <f aca="false">MAX(AR848,H848)</f>
        <v>737</v>
      </c>
      <c r="AE848" s="64"/>
      <c r="AF848" s="57" t="n">
        <f aca="false">IF(LEFT(Cockpit!$C$5,1)="A",H848,IF(CA848=1,CB848,IF(LEFT(Cockpit!$C$5,1)="B",AJ848,MAX(AJ848,H848))))</f>
        <v>737</v>
      </c>
      <c r="AG848" s="57" t="n">
        <f aca="false">IF(BT848=1,0,ROUNDUP(AF848/BS848,0))</f>
        <v>2</v>
      </c>
      <c r="AH848" s="59" t="n">
        <f aca="false">IF(CH848&gt;0,CH848*MAX(1,AF848/X848),IF(BT848=1,IF(AF848&lt;=0,0,BW848*MAX(1,IF(H848&gt;0,AF848/H848,1))),IF(R848&gt;0,AG848/R848,0))/MAX(0.1,N(Parameter!$M$21)))</f>
        <v>0.166666666666667</v>
      </c>
      <c r="AI848" s="57" t="n">
        <f aca="false">AF848*G848</f>
        <v>272.69</v>
      </c>
      <c r="AJ848" s="57" t="n">
        <f aca="false">ROUNDUP(MAX(J848/IF(BZ848&gt;0,BZ848,MAX(0.1,N(Cockpit!$C$6))),CC848)/BS848,0)*BS848</f>
        <v>601</v>
      </c>
      <c r="AK848" s="58" t="n">
        <f aca="false">IF(AH848&gt;0,J848/AH848,-1)</f>
        <v>288</v>
      </c>
      <c r="AL848" s="58" t="n">
        <f aca="false">IF(AND(OR(BY848="L1",BY848="L23"),AH848&gt;0),SUMIFS($AH$7:$AH$1843,$BY$7:$BY$1843,BY848,$AK$7:$AK$1843,"&gt;"&amp;AK848)+SUMIFS($AH$7:$AH$1843,$BY$7:$BY$1843,BY848,$AK$7:$AK$1843,AK848,$BQ$7:$BQ$1843,"&lt;="&amp;BQ848),"")</f>
        <v>28.6259670281409</v>
      </c>
      <c r="AM848" s="65" t="n">
        <f aca="false">IF(AL848="",0,MAX(0,MIN(1,(IF(BY848="L1",Parameter!$E$5,Parameter!$E$6+Parameter!$E$7)-(AL848-AH848))/AH848)))</f>
        <v>1</v>
      </c>
      <c r="AN848" s="57" t="n">
        <f aca="false">IF(LEFT(Cockpit!$I$5,1)="A",H848,IF(CA848=1,CB848,IF(LEFT(Cockpit!$I$5,1)="B",AR848,MAX(AR848,H848))))</f>
        <v>737</v>
      </c>
      <c r="AO848" s="57" t="n">
        <f aca="false">IF(BT848=1,0,ROUNDUP(AN848/BS848,0))</f>
        <v>2</v>
      </c>
      <c r="AP848" s="59" t="n">
        <f aca="false">IF(CH848&gt;0,CH848*MAX(1,AN848/X848),IF(BT848=1,IF(AN848&lt;=0,0,BW848*MAX(1,IF(H848&gt;0,AN848/H848,1))),IF(R848&gt;0,AO848/R848,0))/MAX(0.1,N(Parameter!$M$21)))</f>
        <v>0.166666666666667</v>
      </c>
      <c r="AQ848" s="57" t="n">
        <f aca="false">AN848*G848</f>
        <v>272.69</v>
      </c>
      <c r="AR848" s="57" t="n">
        <f aca="false">ROUNDUP(MAX(J848/IF(BZ848&gt;0,BZ848,MAX(0.1,N(Cockpit!$I$6))),CC848)/BS848,0)*BS848</f>
        <v>601</v>
      </c>
      <c r="AS848" s="58" t="n">
        <f aca="false">IF(AP848&gt;0,J848/AP848,-1)</f>
        <v>288</v>
      </c>
      <c r="AT848" s="58" t="n">
        <f aca="false">IF(AND(OR(BY848="L1",BY848="L23"),AP848&gt;0),SUMIFS($AP$7:$AP$1843,$BY$7:$BY$1843,BY848,$AS$7:$AS$1843,"&gt;"&amp;AS848)+SUMIFS($AP$7:$AP$1843,$BY$7:$BY$1843,BY848,$AS$7:$AS$1843,AS848,$BQ$7:$BQ$1843,"&lt;="&amp;BQ848),"")</f>
        <v>41.5932147562582</v>
      </c>
      <c r="AU848" s="65" t="n">
        <f aca="false">IF(AT848="",0,MAX(0,MIN(1,(IF(BY848="L1",Parameter!$E$5,Parameter!$E$6+Parameter!$E$7)-(AT848-AP848))/AP848)))</f>
        <v>1</v>
      </c>
      <c r="AV848" s="57" t="n">
        <f aca="false">IF(LEFT(Cockpit!$O$5,1)="A",H848,IF(CA848=1,CB848,IF(LEFT(Cockpit!$O$5,1)="B",AZ848,MAX(AZ848,H848))))</f>
        <v>737</v>
      </c>
      <c r="AW848" s="57" t="n">
        <f aca="false">IF(BT848=1,0,ROUNDUP(AV848/BS848,0))</f>
        <v>2</v>
      </c>
      <c r="AX848" s="59" t="n">
        <f aca="false">IF(CH848&gt;0,CH848*MAX(1,AV848/X848),IF(BT848=1,IF(AV848&lt;=0,0,BW848*MAX(1,IF(H848&gt;0,AV848/H848,1))),IF(R848&gt;0,AW848/R848,0))/MAX(0.1,N(Parameter!$M$21)))</f>
        <v>0.166666666666667</v>
      </c>
      <c r="AY848" s="57" t="n">
        <f aca="false">AV848*G848</f>
        <v>272.69</v>
      </c>
      <c r="AZ848" s="57" t="n">
        <f aca="false">ROUNDUP(MAX(J848/IF(BZ848&gt;0,BZ848,MAX(0.1,N(Cockpit!$O$6))),CC848)/BS848,0)*BS848</f>
        <v>601</v>
      </c>
      <c r="BA848" s="58" t="n">
        <f aca="false">IF(AX848&gt;0,J848/AX848,-1)</f>
        <v>288</v>
      </c>
      <c r="BB848" s="58" t="n">
        <f aca="false">IF(AND(OR(BY848="L1",BY848="L23"),AX848&gt;0),SUMIFS($AX$7:$AX$1843,$BY$7:$BY$1843,BY848,$BA$7:$BA$1843,"&gt;"&amp;BA848)+SUMIFS($AX$7:$AX$1843,$BY$7:$BY$1843,BY848,$BA$7:$BA$1843,BA848,$BQ$7:$BQ$1843,"&lt;="&amp;BQ848),"")</f>
        <v>37.9230515860951</v>
      </c>
      <c r="BC848" s="65" t="n">
        <f aca="false">IF(BB848="",0,MAX(0,MIN(1,(IF(BY848="L1",Parameter!$E$5,Parameter!$E$6+Parameter!$E$7)-(BB848-AX848))/AX848)))</f>
        <v>1</v>
      </c>
      <c r="BD848" s="55" t="str">
        <f aca="false">IF(AH848&lt;=0,"",IF(BY848="Aussen","Aussenlager",IF(BY848="-","Nicht im Lift",IF(AM848&gt;=1,"Lift",IF(AM848&lt;=0,"Aussenlager","teilweise")))))</f>
        <v>Lift</v>
      </c>
      <c r="BE848" s="55" t="str">
        <f aca="false">IF(AP848&lt;=0,"",IF(BY848="Aussen","Aussenlager",IF(BY848="-","Nicht im Lift",IF(AU848&gt;=1,"Lift",IF(AU848&lt;=0,"Aussenlager","teilweise")))))</f>
        <v>Lift</v>
      </c>
      <c r="BF848" s="55" t="str">
        <f aca="false">IF(AX848&lt;=0,"",IF(BY848="Aussen","Aussenlager",IF(BY848="-","Nicht im Lift",IF(BC848&gt;=1,"Lift",IF(BC848&lt;=0,"Aussenlager","teilweise")))))</f>
        <v>Lift</v>
      </c>
      <c r="BG848" s="55" t="str">
        <f aca="false">IF(A848="","",IF(BP848=1,"Neu; ","")&amp;IF(AND(BP848=0,BK848&lt;0),"negativer Bestand (Export "&amp;BK848&amp;"); ","")&amp;IF(J848&lt;=0,"Kein Verbrauch; ","")&amp;IF(CH848&gt;0,"Lift "&amp;W848&amp;" lt. Liftbericht (Fach "&amp;X848&amp;" Stk); ",IF(BU848=1,"Gebinde geschätzt ("&amp;T848&amp;"); ",IF(BT848=1,"Lose – Tablare geschätzt; ","")))&amp;IF(H848&gt;AR848,"Überbestand "&amp;ROUND(H848-AR848,0)&amp;" Stk / CHF "&amp;ROUND((H848-AR848)*G848,0)&amp;"; ","")&amp;IF(AND(CA848=1,CB848&lt;CC848),"MAX &lt; MB+LG; ","")&amp;IF(AND(CG848&gt;0,CF848*10&gt;CG848),"zu hoch für Tablar; ","")&amp;IF(AND(BP848=0,OR(CA848=1,AA848&lt;&gt;"",U848&lt;&gt;"",V848&lt;&gt;"",AB848&lt;&gt;"")),"manuell übersteuert; ","")&amp;IF(AND(BT848=0,R848=0),"Gebinde unbekannt / Stellmass fehlt; ","")&amp;IF(AND(BT848=0,N(V848)&lt;=0,N(Q848)&lt;=0),"Menge pro Gebinde fehlt (Ist = 1 Gebinde); ","")&amp;BO848)</f>
        <v>negativer Bestand (Export -43); Überbestand 136 Stk / CHF 50; Überbestand</v>
      </c>
      <c r="BH848" s="55"/>
      <c r="BI848" s="55"/>
      <c r="BJ848" s="62"/>
      <c r="BK848" s="57" t="n">
        <v>-43</v>
      </c>
      <c r="BL848" s="57" t="n">
        <v>780</v>
      </c>
      <c r="BM848" s="56" t="n">
        <v>-15.91</v>
      </c>
      <c r="BN848" s="57" t="n">
        <v>48</v>
      </c>
      <c r="BO848" s="55" t="s">
        <v>392</v>
      </c>
      <c r="BP848" s="60" t="n">
        <v>0</v>
      </c>
      <c r="BQ848" s="60" t="n">
        <v>848</v>
      </c>
      <c r="BR848" s="55" t="str">
        <f aca="false">IF(U848&lt;&gt;"",UPPER(TRIM(U848)),IF(BU848=1,UPPER(VLOOKUP(T848,Parameter!$I$27:$K$29,2,0)),IF(P848="","LOSE",P848)))</f>
        <v>S63</v>
      </c>
      <c r="BS848" s="57" t="n">
        <f aca="false">IF(BR848="LOSE",1,IF(N(V848)&gt;0,V848,IF(BU848=1,MAX(1,N(VLOOKUP(T848,Parameter!$I$27:$K$29,3,0)),H848,N(N848)),IF(N(Q848)&gt;0,Q848,MAX(1,H848)))))</f>
        <v>601</v>
      </c>
      <c r="BT848" s="60" t="n">
        <f aca="false">IF(BR848="LOSE",1,0)</f>
        <v>0</v>
      </c>
      <c r="BU848" s="60" t="n">
        <f aca="false">IF(AND(U848="",OR(P848="",P848="LOSE"),T848&lt;&gt;"",N(S848)&lt;=0,ISNUMBER(MATCH(T848,Parameter!$I$27:$I$29,0))),1,0)</f>
        <v>0</v>
      </c>
      <c r="BV848" s="55" t="str">
        <f aca="false">IF(AND(Parameter!$B$19="Ja",E848&lt;&gt;"",ISNUMBER(MATCH(E848,Parameter!$I$35:$I$52,0))),VLOOKUP(E848,Parameter!$I$35:$J$52,2,0),IFERROR(VLOOKUP(D848,Parameter!$A$35:$C$64,2,0),"Nein"))</f>
        <v>2+3</v>
      </c>
      <c r="BW848" s="59" t="n">
        <f aca="false">IF(BT848=0,0,IF(N(S848)&gt;0,S848,IFERROR(VLOOKUP(D848,Parameter!$A$35:$C$64,3,0)+0,0)))</f>
        <v>0</v>
      </c>
      <c r="BX848" s="55" t="n">
        <f aca="false">IF(AA848&lt;&gt;"",AA848,Z848)</f>
        <v>2</v>
      </c>
      <c r="BY848" s="55" t="str">
        <f aca="false">IF(BX848=1,"L1",IF(OR(BX848=2,BX848=3),"L23",IF(BX848="Aussen","Aussen","-")))</f>
        <v>L23</v>
      </c>
      <c r="BZ848" s="66" t="n">
        <f aca="false">IF(N(AB848)&gt;0,AB848,0)</f>
        <v>0</v>
      </c>
      <c r="CA848" s="60" t="n">
        <f aca="false">IF(ISNUMBER(AE848),1,0)</f>
        <v>0</v>
      </c>
      <c r="CB848" s="57" t="n">
        <f aca="false">N(AE848)</f>
        <v>0</v>
      </c>
      <c r="CC848" s="57" t="n">
        <f aca="false">N(M848)+N(N848)</f>
        <v>51</v>
      </c>
      <c r="CD848" s="57" t="n">
        <f aca="false">ROUNDUP(H848/BS848,0)</f>
        <v>2</v>
      </c>
      <c r="CE848" s="57" t="n">
        <f aca="false">ROUNDUP(CB848/BS848,0)</f>
        <v>0</v>
      </c>
      <c r="CF848" s="60" t="n">
        <f aca="false">IF(BT848=1,0,IFERROR(VLOOKUP(BR848,'Gebinde-Kategorie'!$A$5:$M$45,5,0)+0,0))</f>
        <v>31</v>
      </c>
      <c r="CG848" s="60" t="n">
        <f aca="false">IFERROR(IF(OR(BX848=1,BX848=2,BX848=3),N(INDEX(Parameter!$I$5:$I$7,BX848)),0),0)</f>
        <v>0</v>
      </c>
      <c r="CH848" s="59" t="n">
        <f aca="false">IF(AND(Parameter!$B$21="Ja",ISNUMBER(W848),N(X848)&gt;0),IFERROR(N(INDEX(Parameter!$L$5:$L$7,W848))*INDEX(Parameter!$E$5:$E$7,W848)*X848/SUMIFS($X$7:$X$1843,$W$7:$W$1843,W848),0),0)</f>
        <v>0</v>
      </c>
    </row>
    <row r="849" customFormat="false" ht="15" hidden="false" customHeight="false" outlineLevel="0" collapsed="false">
      <c r="A849" s="55" t="s">
        <v>1621</v>
      </c>
      <c r="B849" s="55" t="s">
        <v>374</v>
      </c>
      <c r="C849" s="55" t="s">
        <v>164</v>
      </c>
      <c r="D849" s="55" t="s">
        <v>184</v>
      </c>
      <c r="E849" s="55" t="s">
        <v>185</v>
      </c>
      <c r="F849" s="55" t="s">
        <v>218</v>
      </c>
      <c r="G849" s="56" t="n">
        <v>2.55</v>
      </c>
      <c r="H849" s="57" t="n">
        <f aca="false">MAX(0,IF(AND(Parameter!$B$21="Ja",ISNUMBER(Y849)),Y849,IF(Parameter!$B$20="Jahresanfang 2025 + Export",BL849+BK849,BK849)))</f>
        <v>29</v>
      </c>
      <c r="I849" s="57" t="n">
        <f aca="false">H849*G849</f>
        <v>73.95</v>
      </c>
      <c r="J849" s="57" t="n">
        <f aca="false">BN849*Parameter!$B$18</f>
        <v>54</v>
      </c>
      <c r="K849" s="58" t="n">
        <v>58.5</v>
      </c>
      <c r="L849" s="59" t="n">
        <v>0.923076923076923</v>
      </c>
      <c r="M849" s="57" t="n">
        <v>2</v>
      </c>
      <c r="N849" s="57" t="n">
        <v>55</v>
      </c>
      <c r="O849" s="60" t="n">
        <v>14</v>
      </c>
      <c r="P849" s="55" t="s">
        <v>421</v>
      </c>
      <c r="Q849" s="57" t="n">
        <v>46</v>
      </c>
      <c r="R849" s="60" t="n">
        <f aca="false">IF(BT849=1,0,IFERROR(VLOOKUP(BR849,'Gebinde-Kategorie'!$A$5:$M$45,13,0)+0,0))</f>
        <v>132</v>
      </c>
      <c r="S849" s="61"/>
      <c r="T849" s="62"/>
      <c r="U849" s="62"/>
      <c r="V849" s="62"/>
      <c r="W849" s="55"/>
      <c r="X849" s="57"/>
      <c r="Y849" s="57"/>
      <c r="Z849" s="55" t="n">
        <f aca="false">IF(A849="","",IF(AND(Parameter!$B$21="Ja",ISNUMBER(W849)),W849,IF(BV849="2+3",IF(ISNUMBER(SEARCH("grosser Artikel",BO849)),2,IFERROR(VLOOKUP(BR849,Parameter!$F$35:$G$64,2,0),2)),IF(OR(BV849="Nein",BV849=""),"-",BV849))))</f>
        <v>3</v>
      </c>
      <c r="AA849" s="62"/>
      <c r="AB849" s="63"/>
      <c r="AC849" s="57" t="n">
        <f aca="false">AR849</f>
        <v>92</v>
      </c>
      <c r="AD849" s="57" t="n">
        <f aca="false">MAX(AR849,H849)</f>
        <v>92</v>
      </c>
      <c r="AE849" s="64"/>
      <c r="AF849" s="57" t="n">
        <f aca="false">IF(LEFT(Cockpit!$C$5,1)="A",H849,IF(CA849=1,CB849,IF(LEFT(Cockpit!$C$5,1)="B",AJ849,MAX(AJ849,H849))))</f>
        <v>29</v>
      </c>
      <c r="AG849" s="57" t="n">
        <f aca="false">IF(BT849=1,0,ROUNDUP(AF849/BS849,0))</f>
        <v>1</v>
      </c>
      <c r="AH849" s="59" t="n">
        <f aca="false">IF(CH849&gt;0,CH849*MAX(1,AF849/X849),IF(BT849=1,IF(AF849&lt;=0,0,BW849*MAX(1,IF(H849&gt;0,AF849/H849,1))),IF(R849&gt;0,AG849/R849,0))/MAX(0.1,N(Parameter!$M$21)))</f>
        <v>0.00757575757575758</v>
      </c>
      <c r="AI849" s="57" t="n">
        <f aca="false">AF849*G849</f>
        <v>73.95</v>
      </c>
      <c r="AJ849" s="57" t="n">
        <f aca="false">ROUNDUP(MAX(J849/IF(BZ849&gt;0,BZ849,MAX(0.1,N(Cockpit!$C$6))),CC849)/BS849,0)*BS849</f>
        <v>92</v>
      </c>
      <c r="AK849" s="58" t="n">
        <f aca="false">IF(AH849&gt;0,J849/AH849,-1)</f>
        <v>7128</v>
      </c>
      <c r="AL849" s="58" t="n">
        <f aca="false">IF(AND(OR(BY849="L1",BY849="L23"),AH849&gt;0),SUMIFS($AH$7:$AH$1843,$BY$7:$BY$1843,BY849,$AK$7:$AK$1843,"&gt;"&amp;AK849)+SUMIFS($AH$7:$AH$1843,$BY$7:$BY$1843,BY849,$AK$7:$AK$1843,AK849,$BQ$7:$BQ$1843,"&lt;="&amp;BQ849),"")</f>
        <v>5.93863382993818</v>
      </c>
      <c r="AM849" s="65" t="n">
        <f aca="false">IF(AL849="",0,MAX(0,MIN(1,(IF(BY849="L1",Parameter!$E$5,Parameter!$E$6+Parameter!$E$7)-(AL849-AH849))/AH849)))</f>
        <v>1</v>
      </c>
      <c r="AN849" s="57" t="n">
        <f aca="false">IF(LEFT(Cockpit!$I$5,1)="A",H849,IF(CA849=1,CB849,IF(LEFT(Cockpit!$I$5,1)="B",AR849,MAX(AR849,H849))))</f>
        <v>92</v>
      </c>
      <c r="AO849" s="57" t="n">
        <f aca="false">IF(BT849=1,0,ROUNDUP(AN849/BS849,0))</f>
        <v>2</v>
      </c>
      <c r="AP849" s="59" t="n">
        <f aca="false">IF(CH849&gt;0,CH849*MAX(1,AN849/X849),IF(BT849=1,IF(AN849&lt;=0,0,BW849*MAX(1,IF(H849&gt;0,AN849/H849,1))),IF(R849&gt;0,AO849/R849,0))/MAX(0.1,N(Parameter!$M$21)))</f>
        <v>0.0151515151515152</v>
      </c>
      <c r="AQ849" s="57" t="n">
        <f aca="false">AN849*G849</f>
        <v>234.6</v>
      </c>
      <c r="AR849" s="57" t="n">
        <f aca="false">ROUNDUP(MAX(J849/IF(BZ849&gt;0,BZ849,MAX(0.1,N(Cockpit!$I$6))),CC849)/BS849,0)*BS849</f>
        <v>92</v>
      </c>
      <c r="AS849" s="58" t="n">
        <f aca="false">IF(AP849&gt;0,J849/AP849,-1)</f>
        <v>3564</v>
      </c>
      <c r="AT849" s="58" t="n">
        <f aca="false">IF(AND(OR(BY849="L1",BY849="L23"),AP849&gt;0),SUMIFS($AP$7:$AP$1843,$BY$7:$BY$1843,BY849,$AS$7:$AS$1843,"&gt;"&amp;AS849)+SUMIFS($AP$7:$AP$1843,$BY$7:$BY$1843,BY849,$AS$7:$AS$1843,AS849,$BQ$7:$BQ$1843,"&lt;="&amp;BQ849),"")</f>
        <v>14.1097344684301</v>
      </c>
      <c r="AU849" s="65" t="n">
        <f aca="false">IF(AT849="",0,MAX(0,MIN(1,(IF(BY849="L1",Parameter!$E$5,Parameter!$E$6+Parameter!$E$7)-(AT849-AP849))/AP849)))</f>
        <v>1</v>
      </c>
      <c r="AV849" s="57" t="n">
        <f aca="false">IF(LEFT(Cockpit!$O$5,1)="A",H849,IF(CA849=1,CB849,IF(LEFT(Cockpit!$O$5,1)="B",AZ849,MAX(AZ849,H849))))</f>
        <v>92</v>
      </c>
      <c r="AW849" s="57" t="n">
        <f aca="false">IF(BT849=1,0,ROUNDUP(AV849/BS849,0))</f>
        <v>2</v>
      </c>
      <c r="AX849" s="59" t="n">
        <f aca="false">IF(CH849&gt;0,CH849*MAX(1,AV849/X849),IF(BT849=1,IF(AV849&lt;=0,0,BW849*MAX(1,IF(H849&gt;0,AV849/H849,1))),IF(R849&gt;0,AW849/R849,0))/MAX(0.1,N(Parameter!$M$21)))</f>
        <v>0.0151515151515152</v>
      </c>
      <c r="AY849" s="57" t="n">
        <f aca="false">AV849*G849</f>
        <v>234.6</v>
      </c>
      <c r="AZ849" s="57" t="n">
        <f aca="false">ROUNDUP(MAX(J849/IF(BZ849&gt;0,BZ849,MAX(0.1,N(Cockpit!$O$6))),CC849)/BS849,0)*BS849</f>
        <v>92</v>
      </c>
      <c r="BA849" s="58" t="n">
        <f aca="false">IF(AX849&gt;0,J849/AX849,-1)</f>
        <v>3564</v>
      </c>
      <c r="BB849" s="58" t="n">
        <f aca="false">IF(AND(OR(BY849="L1",BY849="L23"),AX849&gt;0),SUMIFS($AX$7:$AX$1843,$BY$7:$BY$1843,BY849,$BA$7:$BA$1843,"&gt;"&amp;BA849)+SUMIFS($AX$7:$AX$1843,$BY$7:$BY$1843,BY849,$BA$7:$BA$1843,BA849,$BQ$7:$BQ$1843,"&lt;="&amp;BQ849),"")</f>
        <v>12.6767507854464</v>
      </c>
      <c r="BC849" s="65" t="n">
        <f aca="false">IF(BB849="",0,MAX(0,MIN(1,(IF(BY849="L1",Parameter!$E$5,Parameter!$E$6+Parameter!$E$7)-(BB849-AX849))/AX849)))</f>
        <v>1</v>
      </c>
      <c r="BD849" s="55" t="str">
        <f aca="false">IF(AH849&lt;=0,"",IF(BY849="Aussen","Aussenlager",IF(BY849="-","Nicht im Lift",IF(AM849&gt;=1,"Lift",IF(AM849&lt;=0,"Aussenlager","teilweise")))))</f>
        <v>Lift</v>
      </c>
      <c r="BE849" s="55" t="str">
        <f aca="false">IF(AP849&lt;=0,"",IF(BY849="Aussen","Aussenlager",IF(BY849="-","Nicht im Lift",IF(AU849&gt;=1,"Lift",IF(AU849&lt;=0,"Aussenlager","teilweise")))))</f>
        <v>Lift</v>
      </c>
      <c r="BF849" s="55" t="str">
        <f aca="false">IF(AX849&lt;=0,"",IF(BY849="Aussen","Aussenlager",IF(BY849="-","Nicht im Lift",IF(BC849&gt;=1,"Lift",IF(BC849&lt;=0,"Aussenlager","teilweise")))))</f>
        <v>Lift</v>
      </c>
      <c r="BG849" s="55" t="str">
        <f aca="false">IF(A849="","",IF(BP849=1,"Neu; ","")&amp;IF(AND(BP849=0,BK849&lt;0),"negativer Bestand (Export "&amp;BK849&amp;"); ","")&amp;IF(J849&lt;=0,"Kein Verbrauch; ","")&amp;IF(CH849&gt;0,"Lift "&amp;W849&amp;" lt. Liftbericht (Fach "&amp;X849&amp;" Stk); ",IF(BU849=1,"Gebinde geschätzt ("&amp;T849&amp;"); ",IF(BT849=1,"Lose – Tablare geschätzt; ","")))&amp;IF(H849&gt;AR849,"Überbestand "&amp;ROUND(H849-AR849,0)&amp;" Stk / CHF "&amp;ROUND((H849-AR849)*G849,0)&amp;"; ","")&amp;IF(AND(CA849=1,CB849&lt;CC849),"MAX &lt; MB+LG; ","")&amp;IF(AND(CG849&gt;0,CF849*10&gt;CG849),"zu hoch für Tablar; ","")&amp;IF(AND(BP849=0,OR(CA849=1,AA849&lt;&gt;"",U849&lt;&gt;"",V849&lt;&gt;"",AB849&lt;&gt;"")),"manuell übersteuert; ","")&amp;IF(AND(BT849=0,R849=0),"Gebinde unbekannt / Stellmass fehlt; ","")&amp;IF(AND(BT849=0,N(V849)&lt;=0,N(Q849)&lt;=0),"Menge pro Gebinde fehlt (Ist = 1 Gebinde); ","")&amp;BO849)</f>
        <v/>
      </c>
      <c r="BH849" s="55"/>
      <c r="BI849" s="55"/>
      <c r="BJ849" s="62"/>
      <c r="BK849" s="57" t="n">
        <v>0</v>
      </c>
      <c r="BL849" s="57" t="n">
        <v>29</v>
      </c>
      <c r="BM849" s="56" t="n">
        <v>-15.9500000000002</v>
      </c>
      <c r="BN849" s="57" t="n">
        <v>54</v>
      </c>
      <c r="BO849" s="55"/>
      <c r="BP849" s="60" t="n">
        <v>0</v>
      </c>
      <c r="BQ849" s="60" t="n">
        <v>849</v>
      </c>
      <c r="BR849" s="55" t="str">
        <f aca="false">IF(U849&lt;&gt;"",UPPER(TRIM(U849)),IF(BU849=1,UPPER(VLOOKUP(T849,Parameter!$I$27:$K$29,2,0)),IF(P849="","LOSE",P849)))</f>
        <v>S32</v>
      </c>
      <c r="BS849" s="57" t="n">
        <f aca="false">IF(BR849="LOSE",1,IF(N(V849)&gt;0,V849,IF(BU849=1,MAX(1,N(VLOOKUP(T849,Parameter!$I$27:$K$29,3,0)),H849,N(N849)),IF(N(Q849)&gt;0,Q849,MAX(1,H849)))))</f>
        <v>46</v>
      </c>
      <c r="BT849" s="60" t="n">
        <f aca="false">IF(BR849="LOSE",1,0)</f>
        <v>0</v>
      </c>
      <c r="BU849" s="60" t="n">
        <f aca="false">IF(AND(U849="",OR(P849="",P849="LOSE"),T849&lt;&gt;"",N(S849)&lt;=0,ISNUMBER(MATCH(T849,Parameter!$I$27:$I$29,0))),1,0)</f>
        <v>0</v>
      </c>
      <c r="BV849" s="55" t="str">
        <f aca="false">IF(AND(Parameter!$B$19="Ja",E849&lt;&gt;"",ISNUMBER(MATCH(E849,Parameter!$I$35:$I$52,0))),VLOOKUP(E849,Parameter!$I$35:$J$52,2,0),IFERROR(VLOOKUP(D849,Parameter!$A$35:$C$64,2,0),"Nein"))</f>
        <v>2+3</v>
      </c>
      <c r="BW849" s="59" t="n">
        <f aca="false">IF(BT849=0,0,IF(N(S849)&gt;0,S849,IFERROR(VLOOKUP(D849,Parameter!$A$35:$C$64,3,0)+0,0)))</f>
        <v>0</v>
      </c>
      <c r="BX849" s="55" t="n">
        <f aca="false">IF(AA849&lt;&gt;"",AA849,Z849)</f>
        <v>3</v>
      </c>
      <c r="BY849" s="55" t="str">
        <f aca="false">IF(BX849=1,"L1",IF(OR(BX849=2,BX849=3),"L23",IF(BX849="Aussen","Aussen","-")))</f>
        <v>L23</v>
      </c>
      <c r="BZ849" s="66" t="n">
        <f aca="false">IF(N(AB849)&gt;0,AB849,0)</f>
        <v>0</v>
      </c>
      <c r="CA849" s="60" t="n">
        <f aca="false">IF(ISNUMBER(AE849),1,0)</f>
        <v>0</v>
      </c>
      <c r="CB849" s="57" t="n">
        <f aca="false">N(AE849)</f>
        <v>0</v>
      </c>
      <c r="CC849" s="57" t="n">
        <f aca="false">N(M849)+N(N849)</f>
        <v>57</v>
      </c>
      <c r="CD849" s="57" t="n">
        <f aca="false">ROUNDUP(H849/BS849,0)</f>
        <v>1</v>
      </c>
      <c r="CE849" s="57" t="n">
        <f aca="false">ROUNDUP(CB849/BS849,0)</f>
        <v>0</v>
      </c>
      <c r="CF849" s="60" t="n">
        <f aca="false">IF(BT849=1,0,IFERROR(VLOOKUP(BR849,'Gebinde-Kategorie'!$A$5:$M$45,5,0)+0,0))</f>
        <v>8</v>
      </c>
      <c r="CG849" s="60" t="n">
        <f aca="false">IFERROR(IF(OR(BX849=1,BX849=2,BX849=3),N(INDEX(Parameter!$I$5:$I$7,BX849)),0),0)</f>
        <v>0</v>
      </c>
      <c r="CH849" s="59" t="n">
        <f aca="false">IF(AND(Parameter!$B$21="Ja",ISNUMBER(W849),N(X849)&gt;0),IFERROR(N(INDEX(Parameter!$L$5:$L$7,W849))*INDEX(Parameter!$E$5:$E$7,W849)*X849/SUMIFS($X$7:$X$1843,$W$7:$W$1843,W849),0),0)</f>
        <v>0</v>
      </c>
    </row>
    <row r="850" customFormat="false" ht="15" hidden="false" customHeight="false" outlineLevel="0" collapsed="false">
      <c r="A850" s="55" t="s">
        <v>1622</v>
      </c>
      <c r="B850" s="55" t="s">
        <v>405</v>
      </c>
      <c r="C850" s="55" t="s">
        <v>164</v>
      </c>
      <c r="D850" s="55" t="s">
        <v>184</v>
      </c>
      <c r="E850" s="55" t="s">
        <v>185</v>
      </c>
      <c r="F850" s="55" t="s">
        <v>218</v>
      </c>
      <c r="G850" s="56" t="n">
        <v>0.64</v>
      </c>
      <c r="H850" s="57" t="n">
        <f aca="false">MAX(0,IF(AND(Parameter!$B$21="Ja",ISNUMBER(Y850)),Y850,IF(Parameter!$B$20="Jahresanfang 2025 + Export",BL850+BK850,BK850)))</f>
        <v>83</v>
      </c>
      <c r="I850" s="57" t="n">
        <f aca="false">H850*G850</f>
        <v>53.12</v>
      </c>
      <c r="J850" s="57" t="n">
        <f aca="false">BN850*Parameter!$B$18</f>
        <v>254</v>
      </c>
      <c r="K850" s="58" t="n">
        <v>86.5</v>
      </c>
      <c r="L850" s="59" t="n">
        <v>2.9364161849711</v>
      </c>
      <c r="M850" s="57" t="n">
        <v>14</v>
      </c>
      <c r="N850" s="57" t="n">
        <v>255</v>
      </c>
      <c r="O850" s="60" t="n">
        <v>21</v>
      </c>
      <c r="P850" s="55" t="s">
        <v>302</v>
      </c>
      <c r="Q850" s="57" t="n">
        <v>126</v>
      </c>
      <c r="R850" s="60" t="n">
        <f aca="false">IF(BT850=1,0,IFERROR(VLOOKUP(BR850,'Gebinde-Kategorie'!$A$5:$M$45,13,0)+0,0))</f>
        <v>26</v>
      </c>
      <c r="S850" s="61"/>
      <c r="T850" s="62"/>
      <c r="U850" s="62"/>
      <c r="V850" s="62"/>
      <c r="W850" s="55"/>
      <c r="X850" s="57"/>
      <c r="Y850" s="57"/>
      <c r="Z850" s="55" t="n">
        <f aca="false">IF(A850="","",IF(AND(Parameter!$B$21="Ja",ISNUMBER(W850)),W850,IF(BV850="2+3",IF(ISNUMBER(SEARCH("grosser Artikel",BO850)),2,IFERROR(VLOOKUP(BR850,Parameter!$F$35:$G$64,2,0),2)),IF(OR(BV850="Nein",BV850=""),"-",BV850))))</f>
        <v>3</v>
      </c>
      <c r="AA850" s="62"/>
      <c r="AB850" s="63"/>
      <c r="AC850" s="57" t="n">
        <f aca="false">AR850</f>
        <v>378</v>
      </c>
      <c r="AD850" s="57" t="n">
        <f aca="false">MAX(AR850,H850)</f>
        <v>378</v>
      </c>
      <c r="AE850" s="64"/>
      <c r="AF850" s="57" t="n">
        <f aca="false">IF(LEFT(Cockpit!$C$5,1)="A",H850,IF(CA850=1,CB850,IF(LEFT(Cockpit!$C$5,1)="B",AJ850,MAX(AJ850,H850))))</f>
        <v>83</v>
      </c>
      <c r="AG850" s="57" t="n">
        <f aca="false">IF(BT850=1,0,ROUNDUP(AF850/BS850,0))</f>
        <v>1</v>
      </c>
      <c r="AH850" s="59" t="n">
        <f aca="false">IF(CH850&gt;0,CH850*MAX(1,AF850/X850),IF(BT850=1,IF(AF850&lt;=0,0,BW850*MAX(1,IF(H850&gt;0,AF850/H850,1))),IF(R850&gt;0,AG850/R850,0))/MAX(0.1,N(Parameter!$M$21)))</f>
        <v>0.0384615384615385</v>
      </c>
      <c r="AI850" s="57" t="n">
        <f aca="false">AF850*G850</f>
        <v>53.12</v>
      </c>
      <c r="AJ850" s="57" t="n">
        <f aca="false">ROUNDUP(MAX(J850/IF(BZ850&gt;0,BZ850,MAX(0.1,N(Cockpit!$C$6))),CC850)/BS850,0)*BS850</f>
        <v>378</v>
      </c>
      <c r="AK850" s="58" t="n">
        <f aca="false">IF(AH850&gt;0,J850/AH850,-1)</f>
        <v>6604</v>
      </c>
      <c r="AL850" s="58" t="n">
        <f aca="false">IF(AND(OR(BY850="L1",BY850="L23"),AH850&gt;0),SUMIFS($AH$7:$AH$1843,$BY$7:$BY$1843,BY850,$AK$7:$AK$1843,"&gt;"&amp;AK850)+SUMIFS($AH$7:$AH$1843,$BY$7:$BY$1843,BY850,$AK$7:$AK$1843,AK850,$BQ$7:$BQ$1843,"&lt;="&amp;BQ850),"")</f>
        <v>6.41260430390865</v>
      </c>
      <c r="AM850" s="65" t="n">
        <f aca="false">IF(AL850="",0,MAX(0,MIN(1,(IF(BY850="L1",Parameter!$E$5,Parameter!$E$6+Parameter!$E$7)-(AL850-AH850))/AH850)))</f>
        <v>1</v>
      </c>
      <c r="AN850" s="57" t="n">
        <f aca="false">IF(LEFT(Cockpit!$I$5,1)="A",H850,IF(CA850=1,CB850,IF(LEFT(Cockpit!$I$5,1)="B",AR850,MAX(AR850,H850))))</f>
        <v>378</v>
      </c>
      <c r="AO850" s="57" t="n">
        <f aca="false">IF(BT850=1,0,ROUNDUP(AN850/BS850,0))</f>
        <v>3</v>
      </c>
      <c r="AP850" s="59" t="n">
        <f aca="false">IF(CH850&gt;0,CH850*MAX(1,AN850/X850),IF(BT850=1,IF(AN850&lt;=0,0,BW850*MAX(1,IF(H850&gt;0,AN850/H850,1))),IF(R850&gt;0,AO850/R850,0))/MAX(0.1,N(Parameter!$M$21)))</f>
        <v>0.115384615384615</v>
      </c>
      <c r="AQ850" s="57" t="n">
        <f aca="false">AN850*G850</f>
        <v>241.92</v>
      </c>
      <c r="AR850" s="57" t="n">
        <f aca="false">ROUNDUP(MAX(J850/IF(BZ850&gt;0,BZ850,MAX(0.1,N(Cockpit!$I$6))),CC850)/BS850,0)*BS850</f>
        <v>378</v>
      </c>
      <c r="AS850" s="58" t="n">
        <f aca="false">IF(AP850&gt;0,J850/AP850,-1)</f>
        <v>2201.33333333333</v>
      </c>
      <c r="AT850" s="58" t="n">
        <f aca="false">IF(AND(OR(BY850="L1",BY850="L23"),AP850&gt;0),SUMIFS($AP$7:$AP$1843,$BY$7:$BY$1843,BY850,$AS$7:$AS$1843,"&gt;"&amp;AS850)+SUMIFS($AP$7:$AP$1843,$BY$7:$BY$1843,BY850,$AS$7:$AS$1843,AS850,$BQ$7:$BQ$1843,"&lt;="&amp;BQ850),"")</f>
        <v>18.1274450187494</v>
      </c>
      <c r="AU850" s="65" t="n">
        <f aca="false">IF(AT850="",0,MAX(0,MIN(1,(IF(BY850="L1",Parameter!$E$5,Parameter!$E$6+Parameter!$E$7)-(AT850-AP850))/AP850)))</f>
        <v>1</v>
      </c>
      <c r="AV850" s="57" t="n">
        <f aca="false">IF(LEFT(Cockpit!$O$5,1)="A",H850,IF(CA850=1,CB850,IF(LEFT(Cockpit!$O$5,1)="B",AZ850,MAX(AZ850,H850))))</f>
        <v>378</v>
      </c>
      <c r="AW850" s="57" t="n">
        <f aca="false">IF(BT850=1,0,ROUNDUP(AV850/BS850,0))</f>
        <v>3</v>
      </c>
      <c r="AX850" s="59" t="n">
        <f aca="false">IF(CH850&gt;0,CH850*MAX(1,AV850/X850),IF(BT850=1,IF(AV850&lt;=0,0,BW850*MAX(1,IF(H850&gt;0,AV850/H850,1))),IF(R850&gt;0,AW850/R850,0))/MAX(0.1,N(Parameter!$M$21)))</f>
        <v>0.115384615384615</v>
      </c>
      <c r="AY850" s="57" t="n">
        <f aca="false">AV850*G850</f>
        <v>241.92</v>
      </c>
      <c r="AZ850" s="57" t="n">
        <f aca="false">ROUNDUP(MAX(J850/IF(BZ850&gt;0,BZ850,MAX(0.1,N(Cockpit!$O$6))),CC850)/BS850,0)*BS850</f>
        <v>378</v>
      </c>
      <c r="BA850" s="58" t="n">
        <f aca="false">IF(AX850&gt;0,J850/AX850,-1)</f>
        <v>2201.33333333333</v>
      </c>
      <c r="BB850" s="58" t="n">
        <f aca="false">IF(AND(OR(BY850="L1",BY850="L23"),AX850&gt;0),SUMIFS($AX$7:$AX$1843,$BY$7:$BY$1843,BY850,$BA$7:$BA$1843,"&gt;"&amp;BA850)+SUMIFS($AX$7:$AX$1843,$BY$7:$BY$1843,BY850,$BA$7:$BA$1843,BA850,$BQ$7:$BQ$1843,"&lt;="&amp;BQ850),"")</f>
        <v>16.7008715921759</v>
      </c>
      <c r="BC850" s="65" t="n">
        <f aca="false">IF(BB850="",0,MAX(0,MIN(1,(IF(BY850="L1",Parameter!$E$5,Parameter!$E$6+Parameter!$E$7)-(BB850-AX850))/AX850)))</f>
        <v>1</v>
      </c>
      <c r="BD850" s="55" t="str">
        <f aca="false">IF(AH850&lt;=0,"",IF(BY850="Aussen","Aussenlager",IF(BY850="-","Nicht im Lift",IF(AM850&gt;=1,"Lift",IF(AM850&lt;=0,"Aussenlager","teilweise")))))</f>
        <v>Lift</v>
      </c>
      <c r="BE850" s="55" t="str">
        <f aca="false">IF(AP850&lt;=0,"",IF(BY850="Aussen","Aussenlager",IF(BY850="-","Nicht im Lift",IF(AU850&gt;=1,"Lift",IF(AU850&lt;=0,"Aussenlager","teilweise")))))</f>
        <v>Lift</v>
      </c>
      <c r="BF850" s="55" t="str">
        <f aca="false">IF(AX850&lt;=0,"",IF(BY850="Aussen","Aussenlager",IF(BY850="-","Nicht im Lift",IF(BC850&gt;=1,"Lift",IF(BC850&lt;=0,"Aussenlager","teilweise")))))</f>
        <v>Lift</v>
      </c>
      <c r="BG850" s="55" t="str">
        <f aca="false">IF(A850="","",IF(BP850=1,"Neu; ","")&amp;IF(AND(BP850=0,BK850&lt;0),"negativer Bestand (Export "&amp;BK850&amp;"); ","")&amp;IF(J850&lt;=0,"Kein Verbrauch; ","")&amp;IF(CH850&gt;0,"Lift "&amp;W850&amp;" lt. Liftbericht (Fach "&amp;X850&amp;" Stk); ",IF(BU850=1,"Gebinde geschätzt ("&amp;T850&amp;"); ",IF(BT850=1,"Lose – Tablare geschätzt; ","")))&amp;IF(H850&gt;AR850,"Überbestand "&amp;ROUND(H850-AR850,0)&amp;" Stk / CHF "&amp;ROUND((H850-AR850)*G850,0)&amp;"; ","")&amp;IF(AND(CA850=1,CB850&lt;CC850),"MAX &lt; MB+LG; ","")&amp;IF(AND(CG850&gt;0,CF850*10&gt;CG850),"zu hoch für Tablar; ","")&amp;IF(AND(BP850=0,OR(CA850=1,AA850&lt;&gt;"",U850&lt;&gt;"",V850&lt;&gt;"",AB850&lt;&gt;"")),"manuell übersteuert; ","")&amp;IF(AND(BT850=0,R850=0),"Gebinde unbekannt / Stellmass fehlt; ","")&amp;IF(AND(BT850=0,N(V850)&lt;=0,N(Q850)&lt;=0),"Menge pro Gebinde fehlt (Ist = 1 Gebinde); ","")&amp;BO850)</f>
        <v>negativer Bestand (Export -37); </v>
      </c>
      <c r="BH850" s="55"/>
      <c r="BI850" s="55"/>
      <c r="BJ850" s="62"/>
      <c r="BK850" s="57" t="n">
        <v>-37</v>
      </c>
      <c r="BL850" s="57" t="n">
        <v>120</v>
      </c>
      <c r="BM850" s="56" t="n">
        <v>-16.48</v>
      </c>
      <c r="BN850" s="57" t="n">
        <v>254</v>
      </c>
      <c r="BO850" s="55"/>
      <c r="BP850" s="60" t="n">
        <v>0</v>
      </c>
      <c r="BQ850" s="60" t="n">
        <v>850</v>
      </c>
      <c r="BR850" s="55" t="str">
        <f aca="false">IF(U850&lt;&gt;"",UPPER(TRIM(U850)),IF(BU850=1,UPPER(VLOOKUP(T850,Parameter!$I$27:$K$29,2,0)),IF(P850="","LOSE",P850)))</f>
        <v>S51</v>
      </c>
      <c r="BS850" s="57" t="n">
        <f aca="false">IF(BR850="LOSE",1,IF(N(V850)&gt;0,V850,IF(BU850=1,MAX(1,N(VLOOKUP(T850,Parameter!$I$27:$K$29,3,0)),H850,N(N850)),IF(N(Q850)&gt;0,Q850,MAX(1,H850)))))</f>
        <v>126</v>
      </c>
      <c r="BT850" s="60" t="n">
        <f aca="false">IF(BR850="LOSE",1,0)</f>
        <v>0</v>
      </c>
      <c r="BU850" s="60" t="n">
        <f aca="false">IF(AND(U850="",OR(P850="",P850="LOSE"),T850&lt;&gt;"",N(S850)&lt;=0,ISNUMBER(MATCH(T850,Parameter!$I$27:$I$29,0))),1,0)</f>
        <v>0</v>
      </c>
      <c r="BV850" s="55" t="str">
        <f aca="false">IF(AND(Parameter!$B$19="Ja",E850&lt;&gt;"",ISNUMBER(MATCH(E850,Parameter!$I$35:$I$52,0))),VLOOKUP(E850,Parameter!$I$35:$J$52,2,0),IFERROR(VLOOKUP(D850,Parameter!$A$35:$C$64,2,0),"Nein"))</f>
        <v>2+3</v>
      </c>
      <c r="BW850" s="59" t="n">
        <f aca="false">IF(BT850=0,0,IF(N(S850)&gt;0,S850,IFERROR(VLOOKUP(D850,Parameter!$A$35:$C$64,3,0)+0,0)))</f>
        <v>0</v>
      </c>
      <c r="BX850" s="55" t="n">
        <f aca="false">IF(AA850&lt;&gt;"",AA850,Z850)</f>
        <v>3</v>
      </c>
      <c r="BY850" s="55" t="str">
        <f aca="false">IF(BX850=1,"L1",IF(OR(BX850=2,BX850=3),"L23",IF(BX850="Aussen","Aussen","-")))</f>
        <v>L23</v>
      </c>
      <c r="BZ850" s="66" t="n">
        <f aca="false">IF(N(AB850)&gt;0,AB850,0)</f>
        <v>0</v>
      </c>
      <c r="CA850" s="60" t="n">
        <f aca="false">IF(ISNUMBER(AE850),1,0)</f>
        <v>0</v>
      </c>
      <c r="CB850" s="57" t="n">
        <f aca="false">N(AE850)</f>
        <v>0</v>
      </c>
      <c r="CC850" s="57" t="n">
        <f aca="false">N(M850)+N(N850)</f>
        <v>269</v>
      </c>
      <c r="CD850" s="57" t="n">
        <f aca="false">ROUNDUP(H850/BS850,0)</f>
        <v>1</v>
      </c>
      <c r="CE850" s="57" t="n">
        <f aca="false">ROUNDUP(CB850/BS850,0)</f>
        <v>0</v>
      </c>
      <c r="CF850" s="60" t="n">
        <f aca="false">IF(BT850=1,0,IFERROR(VLOOKUP(BR850,'Gebinde-Kategorie'!$A$5:$M$45,5,0)+0,0))</f>
        <v>11</v>
      </c>
      <c r="CG850" s="60" t="n">
        <f aca="false">IFERROR(IF(OR(BX850=1,BX850=2,BX850=3),N(INDEX(Parameter!$I$5:$I$7,BX850)),0),0)</f>
        <v>0</v>
      </c>
      <c r="CH850" s="59" t="n">
        <f aca="false">IF(AND(Parameter!$B$21="Ja",ISNUMBER(W850),N(X850)&gt;0),IFERROR(N(INDEX(Parameter!$L$5:$L$7,W850))*INDEX(Parameter!$E$5:$E$7,W850)*X850/SUMIFS($X$7:$X$1843,$W$7:$W$1843,W850),0),0)</f>
        <v>0</v>
      </c>
    </row>
    <row r="851" customFormat="false" ht="15" hidden="false" customHeight="false" outlineLevel="0" collapsed="false">
      <c r="A851" s="55" t="s">
        <v>1623</v>
      </c>
      <c r="B851" s="55" t="s">
        <v>1624</v>
      </c>
      <c r="C851" s="55" t="s">
        <v>164</v>
      </c>
      <c r="D851" s="55" t="s">
        <v>184</v>
      </c>
      <c r="E851" s="55" t="s">
        <v>185</v>
      </c>
      <c r="F851" s="55" t="s">
        <v>218</v>
      </c>
      <c r="G851" s="56" t="n">
        <v>0.03</v>
      </c>
      <c r="H851" s="57" t="n">
        <f aca="false">MAX(0,IF(AND(Parameter!$B$21="Ja",ISNUMBER(Y851)),Y851,IF(Parameter!$B$20="Jahresanfang 2025 + Export",BL851+BK851,BK851)))</f>
        <v>350</v>
      </c>
      <c r="I851" s="57" t="n">
        <f aca="false">H851*G851</f>
        <v>10.5</v>
      </c>
      <c r="J851" s="57" t="n">
        <f aca="false">BN851*Parameter!$B$18</f>
        <v>150</v>
      </c>
      <c r="K851" s="58" t="n">
        <v>800</v>
      </c>
      <c r="L851" s="59" t="n">
        <v>0.1875</v>
      </c>
      <c r="M851" s="57" t="n">
        <v>5</v>
      </c>
      <c r="N851" s="57" t="n">
        <v>150</v>
      </c>
      <c r="O851" s="60" t="n">
        <v>14</v>
      </c>
      <c r="P851" s="55" t="s">
        <v>401</v>
      </c>
      <c r="Q851" s="57" t="n">
        <v>500</v>
      </c>
      <c r="R851" s="60" t="n">
        <f aca="false">IF(BT851=1,0,IFERROR(VLOOKUP(BR851,'Gebinde-Kategorie'!$A$5:$M$45,13,0)+0,0))</f>
        <v>414</v>
      </c>
      <c r="S851" s="61"/>
      <c r="T851" s="62"/>
      <c r="U851" s="62"/>
      <c r="V851" s="62"/>
      <c r="W851" s="55"/>
      <c r="X851" s="57"/>
      <c r="Y851" s="57"/>
      <c r="Z851" s="55" t="n">
        <f aca="false">IF(A851="","",IF(AND(Parameter!$B$21="Ja",ISNUMBER(W851)),W851,IF(BV851="2+3",IF(ISNUMBER(SEARCH("grosser Artikel",BO851)),2,IFERROR(VLOOKUP(BR851,Parameter!$F$35:$G$64,2,0),2)),IF(OR(BV851="Nein",BV851=""),"-",BV851))))</f>
        <v>3</v>
      </c>
      <c r="AA851" s="62"/>
      <c r="AB851" s="63"/>
      <c r="AC851" s="57" t="n">
        <f aca="false">AR851</f>
        <v>500</v>
      </c>
      <c r="AD851" s="57" t="n">
        <f aca="false">MAX(AR851,H851)</f>
        <v>500</v>
      </c>
      <c r="AE851" s="64"/>
      <c r="AF851" s="57" t="n">
        <f aca="false">IF(LEFT(Cockpit!$C$5,1)="A",H851,IF(CA851=1,CB851,IF(LEFT(Cockpit!$C$5,1)="B",AJ851,MAX(AJ851,H851))))</f>
        <v>350</v>
      </c>
      <c r="AG851" s="57" t="n">
        <f aca="false">IF(BT851=1,0,ROUNDUP(AF851/BS851,0))</f>
        <v>1</v>
      </c>
      <c r="AH851" s="59" t="n">
        <f aca="false">IF(CH851&gt;0,CH851*MAX(1,AF851/X851),IF(BT851=1,IF(AF851&lt;=0,0,BW851*MAX(1,IF(H851&gt;0,AF851/H851,1))),IF(R851&gt;0,AG851/R851,0))/MAX(0.1,N(Parameter!$M$21)))</f>
        <v>0.00241545893719807</v>
      </c>
      <c r="AI851" s="57" t="n">
        <f aca="false">AF851*G851</f>
        <v>10.5</v>
      </c>
      <c r="AJ851" s="57" t="n">
        <f aca="false">ROUNDUP(MAX(J851/IF(BZ851&gt;0,BZ851,MAX(0.1,N(Cockpit!$C$6))),CC851)/BS851,0)*BS851</f>
        <v>500</v>
      </c>
      <c r="AK851" s="58" t="n">
        <f aca="false">IF(AH851&gt;0,J851/AH851,-1)</f>
        <v>62100</v>
      </c>
      <c r="AL851" s="58" t="n">
        <f aca="false">IF(AND(OR(BY851="L1",BY851="L23"),AH851&gt;0),SUMIFS($AH$7:$AH$1843,$BY$7:$BY$1843,BY851,$AK$7:$AK$1843,"&gt;"&amp;AK851)+SUMIFS($AH$7:$AH$1843,$BY$7:$BY$1843,BY851,$AK$7:$AK$1843,AK851,$BQ$7:$BQ$1843,"&lt;="&amp;BQ851),"")</f>
        <v>0.974874159656768</v>
      </c>
      <c r="AM851" s="65" t="n">
        <f aca="false">IF(AL851="",0,MAX(0,MIN(1,(IF(BY851="L1",Parameter!$E$5,Parameter!$E$6+Parameter!$E$7)-(AL851-AH851))/AH851)))</f>
        <v>1</v>
      </c>
      <c r="AN851" s="57" t="n">
        <f aca="false">IF(LEFT(Cockpit!$I$5,1)="A",H851,IF(CA851=1,CB851,IF(LEFT(Cockpit!$I$5,1)="B",AR851,MAX(AR851,H851))))</f>
        <v>500</v>
      </c>
      <c r="AO851" s="57" t="n">
        <f aca="false">IF(BT851=1,0,ROUNDUP(AN851/BS851,0))</f>
        <v>1</v>
      </c>
      <c r="AP851" s="59" t="n">
        <f aca="false">IF(CH851&gt;0,CH851*MAX(1,AN851/X851),IF(BT851=1,IF(AN851&lt;=0,0,BW851*MAX(1,IF(H851&gt;0,AN851/H851,1))),IF(R851&gt;0,AO851/R851,0))/MAX(0.1,N(Parameter!$M$21)))</f>
        <v>0.00241545893719807</v>
      </c>
      <c r="AQ851" s="57" t="n">
        <f aca="false">AN851*G851</f>
        <v>15</v>
      </c>
      <c r="AR851" s="57" t="n">
        <f aca="false">ROUNDUP(MAX(J851/IF(BZ851&gt;0,BZ851,MAX(0.1,N(Cockpit!$I$6))),CC851)/BS851,0)*BS851</f>
        <v>500</v>
      </c>
      <c r="AS851" s="58" t="n">
        <f aca="false">IF(AP851&gt;0,J851/AP851,-1)</f>
        <v>62100</v>
      </c>
      <c r="AT851" s="58" t="n">
        <f aca="false">IF(AND(OR(BY851="L1",BY851="L23"),AP851&gt;0),SUMIFS($AP$7:$AP$1843,$BY$7:$BY$1843,BY851,$AS$7:$AS$1843,"&gt;"&amp;AS851)+SUMIFS($AP$7:$AP$1843,$BY$7:$BY$1843,BY851,$AS$7:$AS$1843,AS851,$BQ$7:$BQ$1843,"&lt;="&amp;BQ851),"")</f>
        <v>0.632884024188372</v>
      </c>
      <c r="AU851" s="65" t="n">
        <f aca="false">IF(AT851="",0,MAX(0,MIN(1,(IF(BY851="L1",Parameter!$E$5,Parameter!$E$6+Parameter!$E$7)-(AT851-AP851))/AP851)))</f>
        <v>1</v>
      </c>
      <c r="AV851" s="57" t="n">
        <f aca="false">IF(LEFT(Cockpit!$O$5,1)="A",H851,IF(CA851=1,CB851,IF(LEFT(Cockpit!$O$5,1)="B",AZ851,MAX(AZ851,H851))))</f>
        <v>500</v>
      </c>
      <c r="AW851" s="57" t="n">
        <f aca="false">IF(BT851=1,0,ROUNDUP(AV851/BS851,0))</f>
        <v>1</v>
      </c>
      <c r="AX851" s="59" t="n">
        <f aca="false">IF(CH851&gt;0,CH851*MAX(1,AV851/X851),IF(BT851=1,IF(AV851&lt;=0,0,BW851*MAX(1,IF(H851&gt;0,AV851/H851,1))),IF(R851&gt;0,AW851/R851,0))/MAX(0.1,N(Parameter!$M$21)))</f>
        <v>0.00241545893719807</v>
      </c>
      <c r="AY851" s="57" t="n">
        <f aca="false">AV851*G851</f>
        <v>15</v>
      </c>
      <c r="AZ851" s="57" t="n">
        <f aca="false">ROUNDUP(MAX(J851/IF(BZ851&gt;0,BZ851,MAX(0.1,N(Cockpit!$O$6))),CC851)/BS851,0)*BS851</f>
        <v>500</v>
      </c>
      <c r="BA851" s="58" t="n">
        <f aca="false">IF(AX851&gt;0,J851/AX851,-1)</f>
        <v>62100</v>
      </c>
      <c r="BB851" s="58" t="n">
        <f aca="false">IF(AND(OR(BY851="L1",BY851="L23"),AX851&gt;0),SUMIFS($AX$7:$AX$1843,$BY$7:$BY$1843,BY851,$BA$7:$BA$1843,"&gt;"&amp;BA851)+SUMIFS($AX$7:$AX$1843,$BY$7:$BY$1843,BY851,$BA$7:$BA$1843,BA851,$BQ$7:$BQ$1843,"&lt;="&amp;BQ851),"")</f>
        <v>0.763420154724503</v>
      </c>
      <c r="BC851" s="65" t="n">
        <f aca="false">IF(BB851="",0,MAX(0,MIN(1,(IF(BY851="L1",Parameter!$E$5,Parameter!$E$6+Parameter!$E$7)-(BB851-AX851))/AX851)))</f>
        <v>1</v>
      </c>
      <c r="BD851" s="55" t="str">
        <f aca="false">IF(AH851&lt;=0,"",IF(BY851="Aussen","Aussenlager",IF(BY851="-","Nicht im Lift",IF(AM851&gt;=1,"Lift",IF(AM851&lt;=0,"Aussenlager","teilweise")))))</f>
        <v>Lift</v>
      </c>
      <c r="BE851" s="55" t="str">
        <f aca="false">IF(AP851&lt;=0,"",IF(BY851="Aussen","Aussenlager",IF(BY851="-","Nicht im Lift",IF(AU851&gt;=1,"Lift",IF(AU851&lt;=0,"Aussenlager","teilweise")))))</f>
        <v>Lift</v>
      </c>
      <c r="BF851" s="55" t="str">
        <f aca="false">IF(AX851&lt;=0,"",IF(BY851="Aussen","Aussenlager",IF(BY851="-","Nicht im Lift",IF(BC851&gt;=1,"Lift",IF(BC851&lt;=0,"Aussenlager","teilweise")))))</f>
        <v>Lift</v>
      </c>
      <c r="BG851" s="55" t="str">
        <f aca="false">IF(A851="","",IF(BP851=1,"Neu; ","")&amp;IF(AND(BP851=0,BK851&lt;0),"negativer Bestand (Export "&amp;BK851&amp;"); ","")&amp;IF(J851&lt;=0,"Kein Verbrauch; ","")&amp;IF(CH851&gt;0,"Lift "&amp;W851&amp;" lt. Liftbericht (Fach "&amp;X851&amp;" Stk); ",IF(BU851=1,"Gebinde geschätzt ("&amp;T851&amp;"); ",IF(BT851=1,"Lose – Tablare geschätzt; ","")))&amp;IF(H851&gt;AR851,"Überbestand "&amp;ROUND(H851-AR851,0)&amp;" Stk / CHF "&amp;ROUND((H851-AR851)*G851,0)&amp;"; ","")&amp;IF(AND(CA851=1,CB851&lt;CC851),"MAX &lt; MB+LG; ","")&amp;IF(AND(CG851&gt;0,CF851*10&gt;CG851),"zu hoch für Tablar; ","")&amp;IF(AND(BP851=0,OR(CA851=1,AA851&lt;&gt;"",U851&lt;&gt;"",V851&lt;&gt;"",AB851&lt;&gt;"")),"manuell übersteuert; ","")&amp;IF(AND(BT851=0,R851=0),"Gebinde unbekannt / Stellmass fehlt; ","")&amp;IF(AND(BT851=0,N(V851)&lt;=0,N(Q851)&lt;=0),"Menge pro Gebinde fehlt (Ist = 1 Gebinde); ","")&amp;BO851)</f>
        <v>negativer Bestand (Export -550); </v>
      </c>
      <c r="BH851" s="55"/>
      <c r="BI851" s="55"/>
      <c r="BJ851" s="62"/>
      <c r="BK851" s="57" t="n">
        <v>-550</v>
      </c>
      <c r="BL851" s="57" t="n">
        <v>900</v>
      </c>
      <c r="BM851" s="56" t="n">
        <v>-16.5</v>
      </c>
      <c r="BN851" s="57" t="n">
        <v>150</v>
      </c>
      <c r="BO851" s="55"/>
      <c r="BP851" s="60" t="n">
        <v>0</v>
      </c>
      <c r="BQ851" s="60" t="n">
        <v>851</v>
      </c>
      <c r="BR851" s="55" t="str">
        <f aca="false">IF(U851&lt;&gt;"",UPPER(TRIM(U851)),IF(BU851=1,UPPER(VLOOKUP(T851,Parameter!$I$27:$K$29,2,0)),IF(P851="","LOSE",P851)))</f>
        <v>S21</v>
      </c>
      <c r="BS851" s="57" t="n">
        <f aca="false">IF(BR851="LOSE",1,IF(N(V851)&gt;0,V851,IF(BU851=1,MAX(1,N(VLOOKUP(T851,Parameter!$I$27:$K$29,3,0)),H851,N(N851)),IF(N(Q851)&gt;0,Q851,MAX(1,H851)))))</f>
        <v>500</v>
      </c>
      <c r="BT851" s="60" t="n">
        <f aca="false">IF(BR851="LOSE",1,0)</f>
        <v>0</v>
      </c>
      <c r="BU851" s="60" t="n">
        <f aca="false">IF(AND(U851="",OR(P851="",P851="LOSE"),T851&lt;&gt;"",N(S851)&lt;=0,ISNUMBER(MATCH(T851,Parameter!$I$27:$I$29,0))),1,0)</f>
        <v>0</v>
      </c>
      <c r="BV851" s="55" t="str">
        <f aca="false">IF(AND(Parameter!$B$19="Ja",E851&lt;&gt;"",ISNUMBER(MATCH(E851,Parameter!$I$35:$I$52,0))),VLOOKUP(E851,Parameter!$I$35:$J$52,2,0),IFERROR(VLOOKUP(D851,Parameter!$A$35:$C$64,2,0),"Nein"))</f>
        <v>2+3</v>
      </c>
      <c r="BW851" s="59" t="n">
        <f aca="false">IF(BT851=0,0,IF(N(S851)&gt;0,S851,IFERROR(VLOOKUP(D851,Parameter!$A$35:$C$64,3,0)+0,0)))</f>
        <v>0</v>
      </c>
      <c r="BX851" s="55" t="n">
        <f aca="false">IF(AA851&lt;&gt;"",AA851,Z851)</f>
        <v>3</v>
      </c>
      <c r="BY851" s="55" t="str">
        <f aca="false">IF(BX851=1,"L1",IF(OR(BX851=2,BX851=3),"L23",IF(BX851="Aussen","Aussen","-")))</f>
        <v>L23</v>
      </c>
      <c r="BZ851" s="66" t="n">
        <f aca="false">IF(N(AB851)&gt;0,AB851,0)</f>
        <v>0</v>
      </c>
      <c r="CA851" s="60" t="n">
        <f aca="false">IF(ISNUMBER(AE851),1,0)</f>
        <v>0</v>
      </c>
      <c r="CB851" s="57" t="n">
        <f aca="false">N(AE851)</f>
        <v>0</v>
      </c>
      <c r="CC851" s="57" t="n">
        <f aca="false">N(M851)+N(N851)</f>
        <v>155</v>
      </c>
      <c r="CD851" s="57" t="n">
        <f aca="false">ROUNDUP(H851/BS851,0)</f>
        <v>1</v>
      </c>
      <c r="CE851" s="57" t="n">
        <f aca="false">ROUNDUP(CB851/BS851,0)</f>
        <v>0</v>
      </c>
      <c r="CF851" s="60" t="n">
        <f aca="false">IF(BT851=1,0,IFERROR(VLOOKUP(BR851,'Gebinde-Kategorie'!$A$5:$M$45,5,0)+0,0))</f>
        <v>8</v>
      </c>
      <c r="CG851" s="60" t="n">
        <f aca="false">IFERROR(IF(OR(BX851=1,BX851=2,BX851=3),N(INDEX(Parameter!$I$5:$I$7,BX851)),0),0)</f>
        <v>0</v>
      </c>
      <c r="CH851" s="59" t="n">
        <f aca="false">IF(AND(Parameter!$B$21="Ja",ISNUMBER(W851),N(X851)&gt;0),IFERROR(N(INDEX(Parameter!$L$5:$L$7,W851))*INDEX(Parameter!$E$5:$E$7,W851)*X851/SUMIFS($X$7:$X$1843,$W$7:$W$1843,W851),0),0)</f>
        <v>0</v>
      </c>
    </row>
    <row r="852" customFormat="false" ht="15" hidden="false" customHeight="false" outlineLevel="0" collapsed="false">
      <c r="A852" s="55" t="s">
        <v>1625</v>
      </c>
      <c r="B852" s="55" t="s">
        <v>1626</v>
      </c>
      <c r="C852" s="55" t="s">
        <v>164</v>
      </c>
      <c r="D852" s="55" t="s">
        <v>184</v>
      </c>
      <c r="E852" s="55" t="s">
        <v>185</v>
      </c>
      <c r="F852" s="55" t="s">
        <v>218</v>
      </c>
      <c r="G852" s="56" t="n">
        <v>8.46</v>
      </c>
      <c r="H852" s="57" t="n">
        <f aca="false">MAX(0,IF(AND(Parameter!$B$21="Ja",ISNUMBER(Y852)),Y852,IF(Parameter!$B$20="Jahresanfang 2025 + Export",BL852+BK852,BK852)))</f>
        <v>25</v>
      </c>
      <c r="I852" s="57" t="n">
        <f aca="false">H852*G852</f>
        <v>211.5</v>
      </c>
      <c r="J852" s="57" t="n">
        <f aca="false">BN852*Parameter!$B$18</f>
        <v>4</v>
      </c>
      <c r="K852" s="58" t="n">
        <v>25.5</v>
      </c>
      <c r="L852" s="59" t="n">
        <v>0.156862745098039</v>
      </c>
      <c r="M852" s="57" t="n">
        <v>0</v>
      </c>
      <c r="N852" s="57" t="n">
        <v>5</v>
      </c>
      <c r="O852" s="60" t="n">
        <v>14</v>
      </c>
      <c r="P852" s="55" t="s">
        <v>328</v>
      </c>
      <c r="Q852" s="57" t="n">
        <v>28</v>
      </c>
      <c r="R852" s="60" t="n">
        <f aca="false">IF(BT852=1,0,IFERROR(VLOOKUP(BR852,'Gebinde-Kategorie'!$A$5:$M$45,13,0)+0,0))</f>
        <v>52</v>
      </c>
      <c r="S852" s="61"/>
      <c r="T852" s="62"/>
      <c r="U852" s="62"/>
      <c r="V852" s="62"/>
      <c r="W852" s="55"/>
      <c r="X852" s="57"/>
      <c r="Y852" s="57"/>
      <c r="Z852" s="55" t="n">
        <f aca="false">IF(A852="","",IF(AND(Parameter!$B$21="Ja",ISNUMBER(W852)),W852,IF(BV852="2+3",IF(ISNUMBER(SEARCH("grosser Artikel",BO852)),2,IFERROR(VLOOKUP(BR852,Parameter!$F$35:$G$64,2,0),2)),IF(OR(BV852="Nein",BV852=""),"-",BV852))))</f>
        <v>3</v>
      </c>
      <c r="AA852" s="62"/>
      <c r="AB852" s="63"/>
      <c r="AC852" s="57" t="n">
        <f aca="false">AR852</f>
        <v>28</v>
      </c>
      <c r="AD852" s="57" t="n">
        <f aca="false">MAX(AR852,H852)</f>
        <v>28</v>
      </c>
      <c r="AE852" s="64"/>
      <c r="AF852" s="57" t="n">
        <f aca="false">IF(LEFT(Cockpit!$C$5,1)="A",H852,IF(CA852=1,CB852,IF(LEFT(Cockpit!$C$5,1)="B",AJ852,MAX(AJ852,H852))))</f>
        <v>25</v>
      </c>
      <c r="AG852" s="57" t="n">
        <f aca="false">IF(BT852=1,0,ROUNDUP(AF852/BS852,0))</f>
        <v>1</v>
      </c>
      <c r="AH852" s="59" t="n">
        <f aca="false">IF(CH852&gt;0,CH852*MAX(1,AF852/X852),IF(BT852=1,IF(AF852&lt;=0,0,BW852*MAX(1,IF(H852&gt;0,AF852/H852,1))),IF(R852&gt;0,AG852/R852,0))/MAX(0.1,N(Parameter!$M$21)))</f>
        <v>0.0192307692307692</v>
      </c>
      <c r="AI852" s="57" t="n">
        <f aca="false">AF852*G852</f>
        <v>211.5</v>
      </c>
      <c r="AJ852" s="57" t="n">
        <f aca="false">ROUNDUP(MAX(J852/IF(BZ852&gt;0,BZ852,MAX(0.1,N(Cockpit!$C$6))),CC852)/BS852,0)*BS852</f>
        <v>28</v>
      </c>
      <c r="AK852" s="58" t="n">
        <f aca="false">IF(AH852&gt;0,J852/AH852,-1)</f>
        <v>208</v>
      </c>
      <c r="AL852" s="58" t="n">
        <f aca="false">IF(AND(OR(BY852="L1",BY852="L23"),AH852&gt;0),SUMIFS($AH$7:$AH$1843,$BY$7:$BY$1843,BY852,$AK$7:$AK$1843,"&gt;"&amp;AK852)+SUMIFS($AH$7:$AH$1843,$BY$7:$BY$1843,BY852,$AK$7:$AK$1843,AK852,$BQ$7:$BQ$1843,"&lt;="&amp;BQ852),"")</f>
        <v>31.8415847437587</v>
      </c>
      <c r="AM852" s="65" t="n">
        <f aca="false">IF(AL852="",0,MAX(0,MIN(1,(IF(BY852="L1",Parameter!$E$5,Parameter!$E$6+Parameter!$E$7)-(AL852-AH852))/AH852)))</f>
        <v>1</v>
      </c>
      <c r="AN852" s="57" t="n">
        <f aca="false">IF(LEFT(Cockpit!$I$5,1)="A",H852,IF(CA852=1,CB852,IF(LEFT(Cockpit!$I$5,1)="B",AR852,MAX(AR852,H852))))</f>
        <v>28</v>
      </c>
      <c r="AO852" s="57" t="n">
        <f aca="false">IF(BT852=1,0,ROUNDUP(AN852/BS852,0))</f>
        <v>1</v>
      </c>
      <c r="AP852" s="59" t="n">
        <f aca="false">IF(CH852&gt;0,CH852*MAX(1,AN852/X852),IF(BT852=1,IF(AN852&lt;=0,0,BW852*MAX(1,IF(H852&gt;0,AN852/H852,1))),IF(R852&gt;0,AO852/R852,0))/MAX(0.1,N(Parameter!$M$21)))</f>
        <v>0.0192307692307692</v>
      </c>
      <c r="AQ852" s="57" t="n">
        <f aca="false">AN852*G852</f>
        <v>236.88</v>
      </c>
      <c r="AR852" s="57" t="n">
        <f aca="false">ROUNDUP(MAX(J852/IF(BZ852&gt;0,BZ852,MAX(0.1,N(Cockpit!$I$6))),CC852)/BS852,0)*BS852</f>
        <v>28</v>
      </c>
      <c r="AS852" s="58" t="n">
        <f aca="false">IF(AP852&gt;0,J852/AP852,-1)</f>
        <v>208</v>
      </c>
      <c r="AT852" s="58" t="n">
        <f aca="false">IF(AND(OR(BY852="L1",BY852="L23"),AP852&gt;0),SUMIFS($AP$7:$AP$1843,$BY$7:$BY$1843,BY852,$AS$7:$AS$1843,"&gt;"&amp;AS852)+SUMIFS($AP$7:$AP$1843,$BY$7:$BY$1843,BY852,$AS$7:$AS$1843,AS852,$BQ$7:$BQ$1843,"&lt;="&amp;BQ852),"")</f>
        <v>45.9737508867944</v>
      </c>
      <c r="AU852" s="65" t="n">
        <f aca="false">IF(AT852="",0,MAX(0,MIN(1,(IF(BY852="L1",Parameter!$E$5,Parameter!$E$6+Parameter!$E$7)-(AT852-AP852))/AP852)))</f>
        <v>1</v>
      </c>
      <c r="AV852" s="57" t="n">
        <f aca="false">IF(LEFT(Cockpit!$O$5,1)="A",H852,IF(CA852=1,CB852,IF(LEFT(Cockpit!$O$5,1)="B",AZ852,MAX(AZ852,H852))))</f>
        <v>28</v>
      </c>
      <c r="AW852" s="57" t="n">
        <f aca="false">IF(BT852=1,0,ROUNDUP(AV852/BS852,0))</f>
        <v>1</v>
      </c>
      <c r="AX852" s="59" t="n">
        <f aca="false">IF(CH852&gt;0,CH852*MAX(1,AV852/X852),IF(BT852=1,IF(AV852&lt;=0,0,BW852*MAX(1,IF(H852&gt;0,AV852/H852,1))),IF(R852&gt;0,AW852/R852,0))/MAX(0.1,N(Parameter!$M$21)))</f>
        <v>0.0192307692307692</v>
      </c>
      <c r="AY852" s="57" t="n">
        <f aca="false">AV852*G852</f>
        <v>236.88</v>
      </c>
      <c r="AZ852" s="57" t="n">
        <f aca="false">ROUNDUP(MAX(J852/IF(BZ852&gt;0,BZ852,MAX(0.1,N(Cockpit!$O$6))),CC852)/BS852,0)*BS852</f>
        <v>28</v>
      </c>
      <c r="BA852" s="58" t="n">
        <f aca="false">IF(AX852&gt;0,J852/AX852,-1)</f>
        <v>208</v>
      </c>
      <c r="BB852" s="58" t="n">
        <f aca="false">IF(AND(OR(BY852="L1",BY852="L23"),AX852&gt;0),SUMIFS($AX$7:$AX$1843,$BY$7:$BY$1843,BY852,$BA$7:$BA$1843,"&gt;"&amp;BA852)+SUMIFS($AX$7:$AX$1843,$BY$7:$BY$1843,BY852,$BA$7:$BA$1843,BA852,$BQ$7:$BQ$1843,"&lt;="&amp;BQ852),"")</f>
        <v>42.5535877166312</v>
      </c>
      <c r="BC852" s="65" t="n">
        <f aca="false">IF(BB852="",0,MAX(0,MIN(1,(IF(BY852="L1",Parameter!$E$5,Parameter!$E$6+Parameter!$E$7)-(BB852-AX852))/AX852)))</f>
        <v>1</v>
      </c>
      <c r="BD852" s="55" t="str">
        <f aca="false">IF(AH852&lt;=0,"",IF(BY852="Aussen","Aussenlager",IF(BY852="-","Nicht im Lift",IF(AM852&gt;=1,"Lift",IF(AM852&lt;=0,"Aussenlager","teilweise")))))</f>
        <v>Lift</v>
      </c>
      <c r="BE852" s="55" t="str">
        <f aca="false">IF(AP852&lt;=0,"",IF(BY852="Aussen","Aussenlager",IF(BY852="-","Nicht im Lift",IF(AU852&gt;=1,"Lift",IF(AU852&lt;=0,"Aussenlager","teilweise")))))</f>
        <v>Lift</v>
      </c>
      <c r="BF852" s="55" t="str">
        <f aca="false">IF(AX852&lt;=0,"",IF(BY852="Aussen","Aussenlager",IF(BY852="-","Nicht im Lift",IF(BC852&gt;=1,"Lift",IF(BC852&lt;=0,"Aussenlager","teilweise")))))</f>
        <v>Lift</v>
      </c>
      <c r="BG852" s="55" t="str">
        <f aca="false">IF(A852="","",IF(BP852=1,"Neu; ","")&amp;IF(AND(BP852=0,BK852&lt;0),"negativer Bestand (Export "&amp;BK852&amp;"); ","")&amp;IF(J852&lt;=0,"Kein Verbrauch; ","")&amp;IF(CH852&gt;0,"Lift "&amp;W852&amp;" lt. Liftbericht (Fach "&amp;X852&amp;" Stk); ",IF(BU852=1,"Gebinde geschätzt ("&amp;T852&amp;"); ",IF(BT852=1,"Lose – Tablare geschätzt; ","")))&amp;IF(H852&gt;AR852,"Überbestand "&amp;ROUND(H852-AR852,0)&amp;" Stk / CHF "&amp;ROUND((H852-AR852)*G852,0)&amp;"; ","")&amp;IF(AND(CA852=1,CB852&lt;CC852),"MAX &lt; MB+LG; ","")&amp;IF(AND(CG852&gt;0,CF852*10&gt;CG852),"zu hoch für Tablar; ","")&amp;IF(AND(BP852=0,OR(CA852=1,AA852&lt;&gt;"",U852&lt;&gt;"",V852&lt;&gt;"",AB852&lt;&gt;"")),"manuell übersteuert; ","")&amp;IF(AND(BT852=0,R852=0),"Gebinde unbekannt / Stellmass fehlt; ","")&amp;IF(AND(BT852=0,N(V852)&lt;=0,N(Q852)&lt;=0),"Menge pro Gebinde fehlt (Ist = 1 Gebinde); ","")&amp;BO852)</f>
        <v>negativer Bestand (Export -2); </v>
      </c>
      <c r="BH852" s="55"/>
      <c r="BI852" s="55"/>
      <c r="BJ852" s="62"/>
      <c r="BK852" s="57" t="n">
        <v>-2</v>
      </c>
      <c r="BL852" s="57" t="n">
        <v>27</v>
      </c>
      <c r="BM852" s="56" t="n">
        <v>-16.92</v>
      </c>
      <c r="BN852" s="57" t="n">
        <v>4</v>
      </c>
      <c r="BO852" s="55"/>
      <c r="BP852" s="60" t="n">
        <v>0</v>
      </c>
      <c r="BQ852" s="60" t="n">
        <v>852</v>
      </c>
      <c r="BR852" s="55" t="str">
        <f aca="false">IF(U852&lt;&gt;"",UPPER(TRIM(U852)),IF(BU852=1,UPPER(VLOOKUP(T852,Parameter!$I$27:$K$29,2,0)),IF(P852="","LOSE",P852)))</f>
        <v>S41</v>
      </c>
      <c r="BS852" s="57" t="n">
        <f aca="false">IF(BR852="LOSE",1,IF(N(V852)&gt;0,V852,IF(BU852=1,MAX(1,N(VLOOKUP(T852,Parameter!$I$27:$K$29,3,0)),H852,N(N852)),IF(N(Q852)&gt;0,Q852,MAX(1,H852)))))</f>
        <v>28</v>
      </c>
      <c r="BT852" s="60" t="n">
        <f aca="false">IF(BR852="LOSE",1,0)</f>
        <v>0</v>
      </c>
      <c r="BU852" s="60" t="n">
        <f aca="false">IF(AND(U852="",OR(P852="",P852="LOSE"),T852&lt;&gt;"",N(S852)&lt;=0,ISNUMBER(MATCH(T852,Parameter!$I$27:$I$29,0))),1,0)</f>
        <v>0</v>
      </c>
      <c r="BV852" s="55" t="str">
        <f aca="false">IF(AND(Parameter!$B$19="Ja",E852&lt;&gt;"",ISNUMBER(MATCH(E852,Parameter!$I$35:$I$52,0))),VLOOKUP(E852,Parameter!$I$35:$J$52,2,0),IFERROR(VLOOKUP(D852,Parameter!$A$35:$C$64,2,0),"Nein"))</f>
        <v>2+3</v>
      </c>
      <c r="BW852" s="59" t="n">
        <f aca="false">IF(BT852=0,0,IF(N(S852)&gt;0,S852,IFERROR(VLOOKUP(D852,Parameter!$A$35:$C$64,3,0)+0,0)))</f>
        <v>0</v>
      </c>
      <c r="BX852" s="55" t="n">
        <f aca="false">IF(AA852&lt;&gt;"",AA852,Z852)</f>
        <v>3</v>
      </c>
      <c r="BY852" s="55" t="str">
        <f aca="false">IF(BX852=1,"L1",IF(OR(BX852=2,BX852=3),"L23",IF(BX852="Aussen","Aussen","-")))</f>
        <v>L23</v>
      </c>
      <c r="BZ852" s="66" t="n">
        <f aca="false">IF(N(AB852)&gt;0,AB852,0)</f>
        <v>0</v>
      </c>
      <c r="CA852" s="60" t="n">
        <f aca="false">IF(ISNUMBER(AE852),1,0)</f>
        <v>0</v>
      </c>
      <c r="CB852" s="57" t="n">
        <f aca="false">N(AE852)</f>
        <v>0</v>
      </c>
      <c r="CC852" s="57" t="n">
        <f aca="false">N(M852)+N(N852)</f>
        <v>5</v>
      </c>
      <c r="CD852" s="57" t="n">
        <f aca="false">ROUNDUP(H852/BS852,0)</f>
        <v>1</v>
      </c>
      <c r="CE852" s="57" t="n">
        <f aca="false">ROUNDUP(CB852/BS852,0)</f>
        <v>0</v>
      </c>
      <c r="CF852" s="60" t="n">
        <f aca="false">IF(BT852=1,0,IFERROR(VLOOKUP(BR852,'Gebinde-Kategorie'!$A$5:$M$45,5,0)+0,0))</f>
        <v>11</v>
      </c>
      <c r="CG852" s="60" t="n">
        <f aca="false">IFERROR(IF(OR(BX852=1,BX852=2,BX852=3),N(INDEX(Parameter!$I$5:$I$7,BX852)),0),0)</f>
        <v>0</v>
      </c>
      <c r="CH852" s="59" t="n">
        <f aca="false">IF(AND(Parameter!$B$21="Ja",ISNUMBER(W852),N(X852)&gt;0),IFERROR(N(INDEX(Parameter!$L$5:$L$7,W852))*INDEX(Parameter!$E$5:$E$7,W852)*X852/SUMIFS($X$7:$X$1843,$W$7:$W$1843,W852),0),0)</f>
        <v>0</v>
      </c>
    </row>
    <row r="853" customFormat="false" ht="15" hidden="false" customHeight="false" outlineLevel="0" collapsed="false">
      <c r="A853" s="55" t="s">
        <v>1627</v>
      </c>
      <c r="B853" s="55" t="s">
        <v>1266</v>
      </c>
      <c r="C853" s="55" t="s">
        <v>164</v>
      </c>
      <c r="D853" s="55" t="s">
        <v>184</v>
      </c>
      <c r="E853" s="55"/>
      <c r="F853" s="55" t="s">
        <v>218</v>
      </c>
      <c r="G853" s="56" t="n">
        <v>0.07</v>
      </c>
      <c r="H853" s="57" t="n">
        <f aca="false">MAX(0,IF(AND(Parameter!$B$21="Ja",ISNUMBER(Y853)),Y853,IF(Parameter!$B$20="Jahresanfang 2025 + Export",BL853+BK853,BK853)))</f>
        <v>287</v>
      </c>
      <c r="I853" s="57" t="n">
        <f aca="false">H853*G853</f>
        <v>20.09</v>
      </c>
      <c r="J853" s="57" t="n">
        <f aca="false">BN853*Parameter!$B$18</f>
        <v>124</v>
      </c>
      <c r="K853" s="58" t="n">
        <v>461</v>
      </c>
      <c r="L853" s="59" t="n">
        <v>0.268980477223427</v>
      </c>
      <c r="M853" s="57" t="n">
        <v>7</v>
      </c>
      <c r="N853" s="57" t="n">
        <v>125</v>
      </c>
      <c r="O853" s="60" t="n">
        <v>21</v>
      </c>
      <c r="P853" s="55" t="s">
        <v>426</v>
      </c>
      <c r="Q853" s="57" t="n">
        <v>300</v>
      </c>
      <c r="R853" s="60" t="n">
        <f aca="false">IF(BT853=1,0,IFERROR(VLOOKUP(BR853,'Gebinde-Kategorie'!$A$5:$M$45,13,0)+0,0))</f>
        <v>198</v>
      </c>
      <c r="S853" s="61"/>
      <c r="T853" s="62"/>
      <c r="U853" s="62"/>
      <c r="V853" s="62"/>
      <c r="W853" s="55"/>
      <c r="X853" s="57"/>
      <c r="Y853" s="57"/>
      <c r="Z853" s="55" t="n">
        <f aca="false">IF(A853="","",IF(AND(Parameter!$B$21="Ja",ISNUMBER(W853)),W853,IF(BV853="2+3",IF(ISNUMBER(SEARCH("grosser Artikel",BO853)),2,IFERROR(VLOOKUP(BR853,Parameter!$F$35:$G$64,2,0),2)),IF(OR(BV853="Nein",BV853=""),"-",BV853))))</f>
        <v>3</v>
      </c>
      <c r="AA853" s="62"/>
      <c r="AB853" s="63"/>
      <c r="AC853" s="57" t="n">
        <f aca="false">AR853</f>
        <v>300</v>
      </c>
      <c r="AD853" s="57" t="n">
        <f aca="false">MAX(AR853,H853)</f>
        <v>300</v>
      </c>
      <c r="AE853" s="64"/>
      <c r="AF853" s="57" t="n">
        <f aca="false">IF(LEFT(Cockpit!$C$5,1)="A",H853,IF(CA853=1,CB853,IF(LEFT(Cockpit!$C$5,1)="B",AJ853,MAX(AJ853,H853))))</f>
        <v>287</v>
      </c>
      <c r="AG853" s="57" t="n">
        <f aca="false">IF(BT853=1,0,ROUNDUP(AF853/BS853,0))</f>
        <v>1</v>
      </c>
      <c r="AH853" s="59" t="n">
        <f aca="false">IF(CH853&gt;0,CH853*MAX(1,AF853/X853),IF(BT853=1,IF(AF853&lt;=0,0,BW853*MAX(1,IF(H853&gt;0,AF853/H853,1))),IF(R853&gt;0,AG853/R853,0))/MAX(0.1,N(Parameter!$M$21)))</f>
        <v>0.00505050505050505</v>
      </c>
      <c r="AI853" s="57" t="n">
        <f aca="false">AF853*G853</f>
        <v>20.09</v>
      </c>
      <c r="AJ853" s="57" t="n">
        <f aca="false">ROUNDUP(MAX(J853/IF(BZ853&gt;0,BZ853,MAX(0.1,N(Cockpit!$C$6))),CC853)/BS853,0)*BS853</f>
        <v>300</v>
      </c>
      <c r="AK853" s="58" t="n">
        <f aca="false">IF(AH853&gt;0,J853/AH853,-1)</f>
        <v>24552</v>
      </c>
      <c r="AL853" s="58" t="n">
        <f aca="false">IF(AND(OR(BY853="L1",BY853="L23"),AH853&gt;0),SUMIFS($AH$7:$AH$1843,$BY$7:$BY$1843,BY853,$AK$7:$AK$1843,"&gt;"&amp;AK853)+SUMIFS($AH$7:$AH$1843,$BY$7:$BY$1843,BY853,$AK$7:$AK$1843,AK853,$BQ$7:$BQ$1843,"&lt;="&amp;BQ853),"")</f>
        <v>2.9392925914665</v>
      </c>
      <c r="AM853" s="65" t="n">
        <f aca="false">IF(AL853="",0,MAX(0,MIN(1,(IF(BY853="L1",Parameter!$E$5,Parameter!$E$6+Parameter!$E$7)-(AL853-AH853))/AH853)))</f>
        <v>1</v>
      </c>
      <c r="AN853" s="57" t="n">
        <f aca="false">IF(LEFT(Cockpit!$I$5,1)="A",H853,IF(CA853=1,CB853,IF(LEFT(Cockpit!$I$5,1)="B",AR853,MAX(AR853,H853))))</f>
        <v>300</v>
      </c>
      <c r="AO853" s="57" t="n">
        <f aca="false">IF(BT853=1,0,ROUNDUP(AN853/BS853,0))</f>
        <v>1</v>
      </c>
      <c r="AP853" s="59" t="n">
        <f aca="false">IF(CH853&gt;0,CH853*MAX(1,AN853/X853),IF(BT853=1,IF(AN853&lt;=0,0,BW853*MAX(1,IF(H853&gt;0,AN853/H853,1))),IF(R853&gt;0,AO853/R853,0))/MAX(0.1,N(Parameter!$M$21)))</f>
        <v>0.00505050505050505</v>
      </c>
      <c r="AQ853" s="57" t="n">
        <f aca="false">AN853*G853</f>
        <v>21</v>
      </c>
      <c r="AR853" s="57" t="n">
        <f aca="false">ROUNDUP(MAX(J853/IF(BZ853&gt;0,BZ853,MAX(0.1,N(Cockpit!$I$6))),CC853)/BS853,0)*BS853</f>
        <v>300</v>
      </c>
      <c r="AS853" s="58" t="n">
        <f aca="false">IF(AP853&gt;0,J853/AP853,-1)</f>
        <v>24552</v>
      </c>
      <c r="AT853" s="58" t="n">
        <f aca="false">IF(AND(OR(BY853="L1",BY853="L23"),AP853&gt;0),SUMIFS($AP$7:$AP$1843,$BY$7:$BY$1843,BY853,$AS$7:$AS$1843,"&gt;"&amp;AS853)+SUMIFS($AP$7:$AP$1843,$BY$7:$BY$1843,BY853,$AS$7:$AS$1843,AS853,$BQ$7:$BQ$1843,"&lt;="&amp;BQ853),"")</f>
        <v>3.73189250363163</v>
      </c>
      <c r="AU853" s="65" t="n">
        <f aca="false">IF(AT853="",0,MAX(0,MIN(1,(IF(BY853="L1",Parameter!$E$5,Parameter!$E$6+Parameter!$E$7)-(AT853-AP853))/AP853)))</f>
        <v>1</v>
      </c>
      <c r="AV853" s="57" t="n">
        <f aca="false">IF(LEFT(Cockpit!$O$5,1)="A",H853,IF(CA853=1,CB853,IF(LEFT(Cockpit!$O$5,1)="B",AZ853,MAX(AZ853,H853))))</f>
        <v>300</v>
      </c>
      <c r="AW853" s="57" t="n">
        <f aca="false">IF(BT853=1,0,ROUNDUP(AV853/BS853,0))</f>
        <v>1</v>
      </c>
      <c r="AX853" s="59" t="n">
        <f aca="false">IF(CH853&gt;0,CH853*MAX(1,AV853/X853),IF(BT853=1,IF(AV853&lt;=0,0,BW853*MAX(1,IF(H853&gt;0,AV853/H853,1))),IF(R853&gt;0,AW853/R853,0))/MAX(0.1,N(Parameter!$M$21)))</f>
        <v>0.00505050505050505</v>
      </c>
      <c r="AY853" s="57" t="n">
        <f aca="false">AV853*G853</f>
        <v>21</v>
      </c>
      <c r="AZ853" s="57" t="n">
        <f aca="false">ROUNDUP(MAX(J853/IF(BZ853&gt;0,BZ853,MAX(0.1,N(Cockpit!$O$6))),CC853)/BS853,0)*BS853</f>
        <v>300</v>
      </c>
      <c r="BA853" s="58" t="n">
        <f aca="false">IF(AX853&gt;0,J853/AX853,-1)</f>
        <v>24552</v>
      </c>
      <c r="BB853" s="58" t="n">
        <f aca="false">IF(AND(OR(BY853="L1",BY853="L23"),AX853&gt;0),SUMIFS($AX$7:$AX$1843,$BY$7:$BY$1843,BY853,$BA$7:$BA$1843,"&gt;"&amp;BA853)+SUMIFS($AX$7:$AX$1843,$BY$7:$BY$1843,BY853,$BA$7:$BA$1843,BA853,$BQ$7:$BQ$1843,"&lt;="&amp;BQ853),"")</f>
        <v>3.38457315631229</v>
      </c>
      <c r="BC853" s="65" t="n">
        <f aca="false">IF(BB853="",0,MAX(0,MIN(1,(IF(BY853="L1",Parameter!$E$5,Parameter!$E$6+Parameter!$E$7)-(BB853-AX853))/AX853)))</f>
        <v>1</v>
      </c>
      <c r="BD853" s="55" t="str">
        <f aca="false">IF(AH853&lt;=0,"",IF(BY853="Aussen","Aussenlager",IF(BY853="-","Nicht im Lift",IF(AM853&gt;=1,"Lift",IF(AM853&lt;=0,"Aussenlager","teilweise")))))</f>
        <v>Lift</v>
      </c>
      <c r="BE853" s="55" t="str">
        <f aca="false">IF(AP853&lt;=0,"",IF(BY853="Aussen","Aussenlager",IF(BY853="-","Nicht im Lift",IF(AU853&gt;=1,"Lift",IF(AU853&lt;=0,"Aussenlager","teilweise")))))</f>
        <v>Lift</v>
      </c>
      <c r="BF853" s="55" t="str">
        <f aca="false">IF(AX853&lt;=0,"",IF(BY853="Aussen","Aussenlager",IF(BY853="-","Nicht im Lift",IF(BC853&gt;=1,"Lift",IF(BC853&lt;=0,"Aussenlager","teilweise")))))</f>
        <v>Lift</v>
      </c>
      <c r="BG853" s="55" t="str">
        <f aca="false">IF(A853="","",IF(BP853=1,"Neu; ","")&amp;IF(AND(BP853=0,BK853&lt;0),"negativer Bestand (Export "&amp;BK853&amp;"); ","")&amp;IF(J853&lt;=0,"Kein Verbrauch; ","")&amp;IF(CH853&gt;0,"Lift "&amp;W853&amp;" lt. Liftbericht (Fach "&amp;X853&amp;" Stk); ",IF(BU853=1,"Gebinde geschätzt ("&amp;T853&amp;"); ",IF(BT853=1,"Lose – Tablare geschätzt; ","")))&amp;IF(H853&gt;AR853,"Überbestand "&amp;ROUND(H853-AR853,0)&amp;" Stk / CHF "&amp;ROUND((H853-AR853)*G853,0)&amp;"; ","")&amp;IF(AND(CA853=1,CB853&lt;CC853),"MAX &lt; MB+LG; ","")&amp;IF(AND(CG853&gt;0,CF853*10&gt;CG853),"zu hoch für Tablar; ","")&amp;IF(AND(BP853=0,OR(CA853=1,AA853&lt;&gt;"",U853&lt;&gt;"",V853&lt;&gt;"",AB853&lt;&gt;"")),"manuell übersteuert; ","")&amp;IF(AND(BT853=0,R853=0),"Gebinde unbekannt / Stellmass fehlt; ","")&amp;IF(AND(BT853=0,N(V853)&lt;=0,N(Q853)&lt;=0),"Menge pro Gebinde fehlt (Ist = 1 Gebinde); ","")&amp;BO853)</f>
        <v>negativer Bestand (Export -252); </v>
      </c>
      <c r="BH853" s="55"/>
      <c r="BI853" s="55"/>
      <c r="BJ853" s="62"/>
      <c r="BK853" s="57" t="n">
        <v>-252</v>
      </c>
      <c r="BL853" s="57" t="n">
        <v>539</v>
      </c>
      <c r="BM853" s="56" t="n">
        <v>-17.64</v>
      </c>
      <c r="BN853" s="57" t="n">
        <v>124</v>
      </c>
      <c r="BO853" s="55"/>
      <c r="BP853" s="60" t="n">
        <v>0</v>
      </c>
      <c r="BQ853" s="60" t="n">
        <v>853</v>
      </c>
      <c r="BR853" s="55" t="str">
        <f aca="false">IF(U853&lt;&gt;"",UPPER(TRIM(U853)),IF(BU853=1,UPPER(VLOOKUP(T853,Parameter!$I$27:$K$29,2,0)),IF(P853="","LOSE",P853)))</f>
        <v>S22</v>
      </c>
      <c r="BS853" s="57" t="n">
        <f aca="false">IF(BR853="LOSE",1,IF(N(V853)&gt;0,V853,IF(BU853=1,MAX(1,N(VLOOKUP(T853,Parameter!$I$27:$K$29,3,0)),H853,N(N853)),IF(N(Q853)&gt;0,Q853,MAX(1,H853)))))</f>
        <v>300</v>
      </c>
      <c r="BT853" s="60" t="n">
        <f aca="false">IF(BR853="LOSE",1,0)</f>
        <v>0</v>
      </c>
      <c r="BU853" s="60" t="n">
        <f aca="false">IF(AND(U853="",OR(P853="",P853="LOSE"),T853&lt;&gt;"",N(S853)&lt;=0,ISNUMBER(MATCH(T853,Parameter!$I$27:$I$29,0))),1,0)</f>
        <v>0</v>
      </c>
      <c r="BV853" s="55" t="str">
        <f aca="false">IF(AND(Parameter!$B$19="Ja",E853&lt;&gt;"",ISNUMBER(MATCH(E853,Parameter!$I$35:$I$52,0))),VLOOKUP(E853,Parameter!$I$35:$J$52,2,0),IFERROR(VLOOKUP(D853,Parameter!$A$35:$C$64,2,0),"Nein"))</f>
        <v>2+3</v>
      </c>
      <c r="BW853" s="59" t="n">
        <f aca="false">IF(BT853=0,0,IF(N(S853)&gt;0,S853,IFERROR(VLOOKUP(D853,Parameter!$A$35:$C$64,3,0)+0,0)))</f>
        <v>0</v>
      </c>
      <c r="BX853" s="55" t="n">
        <f aca="false">IF(AA853&lt;&gt;"",AA853,Z853)</f>
        <v>3</v>
      </c>
      <c r="BY853" s="55" t="str">
        <f aca="false">IF(BX853=1,"L1",IF(OR(BX853=2,BX853=3),"L23",IF(BX853="Aussen","Aussen","-")))</f>
        <v>L23</v>
      </c>
      <c r="BZ853" s="66" t="n">
        <f aca="false">IF(N(AB853)&gt;0,AB853,0)</f>
        <v>0</v>
      </c>
      <c r="CA853" s="60" t="n">
        <f aca="false">IF(ISNUMBER(AE853),1,0)</f>
        <v>0</v>
      </c>
      <c r="CB853" s="57" t="n">
        <f aca="false">N(AE853)</f>
        <v>0</v>
      </c>
      <c r="CC853" s="57" t="n">
        <f aca="false">N(M853)+N(N853)</f>
        <v>132</v>
      </c>
      <c r="CD853" s="57" t="n">
        <f aca="false">ROUNDUP(H853/BS853,0)</f>
        <v>1</v>
      </c>
      <c r="CE853" s="57" t="n">
        <f aca="false">ROUNDUP(CB853/BS853,0)</f>
        <v>0</v>
      </c>
      <c r="CF853" s="60" t="n">
        <f aca="false">IF(BT853=1,0,IFERROR(VLOOKUP(BR853,'Gebinde-Kategorie'!$A$5:$M$45,5,0)+0,0))</f>
        <v>8</v>
      </c>
      <c r="CG853" s="60" t="n">
        <f aca="false">IFERROR(IF(OR(BX853=1,BX853=2,BX853=3),N(INDEX(Parameter!$I$5:$I$7,BX853)),0),0)</f>
        <v>0</v>
      </c>
      <c r="CH853" s="59" t="n">
        <f aca="false">IF(AND(Parameter!$B$21="Ja",ISNUMBER(W853),N(X853)&gt;0),IFERROR(N(INDEX(Parameter!$L$5:$L$7,W853))*INDEX(Parameter!$E$5:$E$7,W853)*X853/SUMIFS($X$7:$X$1843,$W$7:$W$1843,W853),0),0)</f>
        <v>0</v>
      </c>
    </row>
    <row r="854" customFormat="false" ht="15" hidden="false" customHeight="false" outlineLevel="0" collapsed="false">
      <c r="A854" s="55" t="s">
        <v>1628</v>
      </c>
      <c r="B854" s="55" t="s">
        <v>403</v>
      </c>
      <c r="C854" s="55" t="s">
        <v>164</v>
      </c>
      <c r="D854" s="55" t="s">
        <v>184</v>
      </c>
      <c r="E854" s="55" t="s">
        <v>185</v>
      </c>
      <c r="F854" s="55" t="s">
        <v>218</v>
      </c>
      <c r="G854" s="56" t="n">
        <v>0.34</v>
      </c>
      <c r="H854" s="57" t="n">
        <f aca="false">MAX(0,IF(AND(Parameter!$B$21="Ja",ISNUMBER(Y854)),Y854,IF(Parameter!$B$20="Jahresanfang 2025 + Export",BL854+BK854,BK854)))</f>
        <v>50</v>
      </c>
      <c r="I854" s="57" t="n">
        <f aca="false">H854*G854</f>
        <v>17</v>
      </c>
      <c r="J854" s="57" t="n">
        <f aca="false">BN854*Parameter!$B$18</f>
        <v>400</v>
      </c>
      <c r="K854" s="58" t="n">
        <v>178</v>
      </c>
      <c r="L854" s="59" t="n">
        <v>2.24719101123596</v>
      </c>
      <c r="M854" s="57" t="n">
        <v>23</v>
      </c>
      <c r="N854" s="57" t="n">
        <v>400</v>
      </c>
      <c r="O854" s="60" t="n">
        <v>21</v>
      </c>
      <c r="P854" s="55" t="s">
        <v>226</v>
      </c>
      <c r="Q854" s="57" t="n">
        <v>555</v>
      </c>
      <c r="R854" s="60" t="n">
        <f aca="false">IF(BT854=1,0,IFERROR(VLOOKUP(BR854,'Gebinde-Kategorie'!$A$5:$M$45,13,0)+0,0))</f>
        <v>12</v>
      </c>
      <c r="S854" s="61"/>
      <c r="T854" s="62"/>
      <c r="U854" s="62"/>
      <c r="V854" s="62"/>
      <c r="W854" s="55"/>
      <c r="X854" s="57"/>
      <c r="Y854" s="57"/>
      <c r="Z854" s="55" t="n">
        <f aca="false">IF(A854="","",IF(AND(Parameter!$B$21="Ja",ISNUMBER(W854)),W854,IF(BV854="2+3",IF(ISNUMBER(SEARCH("grosser Artikel",BO854)),2,IFERROR(VLOOKUP(BR854,Parameter!$F$35:$G$64,2,0),2)),IF(OR(BV854="Nein",BV854=""),"-",BV854))))</f>
        <v>2</v>
      </c>
      <c r="AA854" s="62"/>
      <c r="AB854" s="63"/>
      <c r="AC854" s="57" t="n">
        <f aca="false">AR854</f>
        <v>555</v>
      </c>
      <c r="AD854" s="57" t="n">
        <f aca="false">MAX(AR854,H854)</f>
        <v>555</v>
      </c>
      <c r="AE854" s="64"/>
      <c r="AF854" s="57" t="n">
        <f aca="false">IF(LEFT(Cockpit!$C$5,1)="A",H854,IF(CA854=1,CB854,IF(LEFT(Cockpit!$C$5,1)="B",AJ854,MAX(AJ854,H854))))</f>
        <v>50</v>
      </c>
      <c r="AG854" s="57" t="n">
        <f aca="false">IF(BT854=1,0,ROUNDUP(AF854/BS854,0))</f>
        <v>1</v>
      </c>
      <c r="AH854" s="59" t="n">
        <f aca="false">IF(CH854&gt;0,CH854*MAX(1,AF854/X854),IF(BT854=1,IF(AF854&lt;=0,0,BW854*MAX(1,IF(H854&gt;0,AF854/H854,1))),IF(R854&gt;0,AG854/R854,0))/MAX(0.1,N(Parameter!$M$21)))</f>
        <v>0.0833333333333333</v>
      </c>
      <c r="AI854" s="57" t="n">
        <f aca="false">AF854*G854</f>
        <v>17</v>
      </c>
      <c r="AJ854" s="57" t="n">
        <f aca="false">ROUNDUP(MAX(J854/IF(BZ854&gt;0,BZ854,MAX(0.1,N(Cockpit!$C$6))),CC854)/BS854,0)*BS854</f>
        <v>555</v>
      </c>
      <c r="AK854" s="58" t="n">
        <f aca="false">IF(AH854&gt;0,J854/AH854,-1)</f>
        <v>4800</v>
      </c>
      <c r="AL854" s="58" t="n">
        <f aca="false">IF(AND(OR(BY854="L1",BY854="L23"),AH854&gt;0),SUMIFS($AH$7:$AH$1843,$BY$7:$BY$1843,BY854,$AK$7:$AK$1843,"&gt;"&amp;AK854)+SUMIFS($AH$7:$AH$1843,$BY$7:$BY$1843,BY854,$AK$7:$AK$1843,AK854,$BQ$7:$BQ$1843,"&lt;="&amp;BQ854),"")</f>
        <v>7.68675044762001</v>
      </c>
      <c r="AM854" s="65" t="n">
        <f aca="false">IF(AL854="",0,MAX(0,MIN(1,(IF(BY854="L1",Parameter!$E$5,Parameter!$E$6+Parameter!$E$7)-(AL854-AH854))/AH854)))</f>
        <v>1</v>
      </c>
      <c r="AN854" s="57" t="n">
        <f aca="false">IF(LEFT(Cockpit!$I$5,1)="A",H854,IF(CA854=1,CB854,IF(LEFT(Cockpit!$I$5,1)="B",AR854,MAX(AR854,H854))))</f>
        <v>555</v>
      </c>
      <c r="AO854" s="57" t="n">
        <f aca="false">IF(BT854=1,0,ROUNDUP(AN854/BS854,0))</f>
        <v>1</v>
      </c>
      <c r="AP854" s="59" t="n">
        <f aca="false">IF(CH854&gt;0,CH854*MAX(1,AN854/X854),IF(BT854=1,IF(AN854&lt;=0,0,BW854*MAX(1,IF(H854&gt;0,AN854/H854,1))),IF(R854&gt;0,AO854/R854,0))/MAX(0.1,N(Parameter!$M$21)))</f>
        <v>0.0833333333333333</v>
      </c>
      <c r="AQ854" s="57" t="n">
        <f aca="false">AN854*G854</f>
        <v>188.7</v>
      </c>
      <c r="AR854" s="57" t="n">
        <f aca="false">ROUNDUP(MAX(J854/IF(BZ854&gt;0,BZ854,MAX(0.1,N(Cockpit!$I$6))),CC854)/BS854,0)*BS854</f>
        <v>555</v>
      </c>
      <c r="AS854" s="58" t="n">
        <f aca="false">IF(AP854&gt;0,J854/AP854,-1)</f>
        <v>4800</v>
      </c>
      <c r="AT854" s="58" t="n">
        <f aca="false">IF(AND(OR(BY854="L1",BY854="L23"),AP854&gt;0),SUMIFS($AP$7:$AP$1843,$BY$7:$BY$1843,BY854,$AS$7:$AS$1843,"&gt;"&amp;AS854)+SUMIFS($AP$7:$AP$1843,$BY$7:$BY$1843,BY854,$AS$7:$AS$1843,AS854,$BQ$7:$BQ$1843,"&lt;="&amp;BQ854),"")</f>
        <v>12.1716411607716</v>
      </c>
      <c r="AU854" s="65" t="n">
        <f aca="false">IF(AT854="",0,MAX(0,MIN(1,(IF(BY854="L1",Parameter!$E$5,Parameter!$E$6+Parameter!$E$7)-(AT854-AP854))/AP854)))</f>
        <v>1</v>
      </c>
      <c r="AV854" s="57" t="n">
        <f aca="false">IF(LEFT(Cockpit!$O$5,1)="A",H854,IF(CA854=1,CB854,IF(LEFT(Cockpit!$O$5,1)="B",AZ854,MAX(AZ854,H854))))</f>
        <v>555</v>
      </c>
      <c r="AW854" s="57" t="n">
        <f aca="false">IF(BT854=1,0,ROUNDUP(AV854/BS854,0))</f>
        <v>1</v>
      </c>
      <c r="AX854" s="59" t="n">
        <f aca="false">IF(CH854&gt;0,CH854*MAX(1,AV854/X854),IF(BT854=1,IF(AV854&lt;=0,0,BW854*MAX(1,IF(H854&gt;0,AV854/H854,1))),IF(R854&gt;0,AW854/R854,0))/MAX(0.1,N(Parameter!$M$21)))</f>
        <v>0.0833333333333333</v>
      </c>
      <c r="AY854" s="57" t="n">
        <f aca="false">AV854*G854</f>
        <v>188.7</v>
      </c>
      <c r="AZ854" s="57" t="n">
        <f aca="false">ROUNDUP(MAX(J854/IF(BZ854&gt;0,BZ854,MAX(0.1,N(Cockpit!$O$6))),CC854)/BS854,0)*BS854</f>
        <v>555</v>
      </c>
      <c r="BA854" s="58" t="n">
        <f aca="false">IF(AX854&gt;0,J854/AX854,-1)</f>
        <v>4800</v>
      </c>
      <c r="BB854" s="58" t="n">
        <f aca="false">IF(AND(OR(BY854="L1",BY854="L23"),AX854&gt;0),SUMIFS($AX$7:$AX$1843,$BY$7:$BY$1843,BY854,$BA$7:$BA$1843,"&gt;"&amp;BA854)+SUMIFS($AX$7:$AX$1843,$BY$7:$BY$1843,BY854,$BA$7:$BA$1843,BA854,$BQ$7:$BQ$1843,"&lt;="&amp;BQ854),"")</f>
        <v>10.8925036316341</v>
      </c>
      <c r="BC854" s="65" t="n">
        <f aca="false">IF(BB854="",0,MAX(0,MIN(1,(IF(BY854="L1",Parameter!$E$5,Parameter!$E$6+Parameter!$E$7)-(BB854-AX854))/AX854)))</f>
        <v>1</v>
      </c>
      <c r="BD854" s="55" t="str">
        <f aca="false">IF(AH854&lt;=0,"",IF(BY854="Aussen","Aussenlager",IF(BY854="-","Nicht im Lift",IF(AM854&gt;=1,"Lift",IF(AM854&lt;=0,"Aussenlager","teilweise")))))</f>
        <v>Lift</v>
      </c>
      <c r="BE854" s="55" t="str">
        <f aca="false">IF(AP854&lt;=0,"",IF(BY854="Aussen","Aussenlager",IF(BY854="-","Nicht im Lift",IF(AU854&gt;=1,"Lift",IF(AU854&lt;=0,"Aussenlager","teilweise")))))</f>
        <v>Lift</v>
      </c>
      <c r="BF854" s="55" t="str">
        <f aca="false">IF(AX854&lt;=0,"",IF(BY854="Aussen","Aussenlager",IF(BY854="-","Nicht im Lift",IF(BC854&gt;=1,"Lift",IF(BC854&lt;=0,"Aussenlager","teilweise")))))</f>
        <v>Lift</v>
      </c>
      <c r="BG854" s="55" t="str">
        <f aca="false">IF(A854="","",IF(BP854=1,"Neu; ","")&amp;IF(AND(BP854=0,BK854&lt;0),"negativer Bestand (Export "&amp;BK854&amp;"); ","")&amp;IF(J854&lt;=0,"Kein Verbrauch; ","")&amp;IF(CH854&gt;0,"Lift "&amp;W854&amp;" lt. Liftbericht (Fach "&amp;X854&amp;" Stk); ",IF(BU854=1,"Gebinde geschätzt ("&amp;T854&amp;"); ",IF(BT854=1,"Lose – Tablare geschätzt; ","")))&amp;IF(H854&gt;AR854,"Überbestand "&amp;ROUND(H854-AR854,0)&amp;" Stk / CHF "&amp;ROUND((H854-AR854)*G854,0)&amp;"; ","")&amp;IF(AND(CA854=1,CB854&lt;CC854),"MAX &lt; MB+LG; ","")&amp;IF(AND(CG854&gt;0,CF854*10&gt;CG854),"zu hoch für Tablar; ","")&amp;IF(AND(BP854=0,OR(CA854=1,AA854&lt;&gt;"",U854&lt;&gt;"",V854&lt;&gt;"",AB854&lt;&gt;"")),"manuell übersteuert; ","")&amp;IF(AND(BT854=0,R854=0),"Gebinde unbekannt / Stellmass fehlt; ","")&amp;IF(AND(BT854=0,N(V854)&lt;=0,N(Q854)&lt;=0),"Menge pro Gebinde fehlt (Ist = 1 Gebinde); ","")&amp;BO854)</f>
        <v>negativer Bestand (Export -56); </v>
      </c>
      <c r="BH854" s="55"/>
      <c r="BI854" s="55"/>
      <c r="BJ854" s="62"/>
      <c r="BK854" s="57" t="n">
        <v>-56</v>
      </c>
      <c r="BL854" s="57" t="n">
        <v>106</v>
      </c>
      <c r="BM854" s="56" t="n">
        <v>-17.98</v>
      </c>
      <c r="BN854" s="57" t="n">
        <v>400</v>
      </c>
      <c r="BO854" s="55"/>
      <c r="BP854" s="60" t="n">
        <v>0</v>
      </c>
      <c r="BQ854" s="60" t="n">
        <v>854</v>
      </c>
      <c r="BR854" s="55" t="str">
        <f aca="false">IF(U854&lt;&gt;"",UPPER(TRIM(U854)),IF(BU854=1,UPPER(VLOOKUP(T854,Parameter!$I$27:$K$29,2,0)),IF(P854="","LOSE",P854)))</f>
        <v>S63</v>
      </c>
      <c r="BS854" s="57" t="n">
        <f aca="false">IF(BR854="LOSE",1,IF(N(V854)&gt;0,V854,IF(BU854=1,MAX(1,N(VLOOKUP(T854,Parameter!$I$27:$K$29,3,0)),H854,N(N854)),IF(N(Q854)&gt;0,Q854,MAX(1,H854)))))</f>
        <v>555</v>
      </c>
      <c r="BT854" s="60" t="n">
        <f aca="false">IF(BR854="LOSE",1,0)</f>
        <v>0</v>
      </c>
      <c r="BU854" s="60" t="n">
        <f aca="false">IF(AND(U854="",OR(P854="",P854="LOSE"),T854&lt;&gt;"",N(S854)&lt;=0,ISNUMBER(MATCH(T854,Parameter!$I$27:$I$29,0))),1,0)</f>
        <v>0</v>
      </c>
      <c r="BV854" s="55" t="str">
        <f aca="false">IF(AND(Parameter!$B$19="Ja",E854&lt;&gt;"",ISNUMBER(MATCH(E854,Parameter!$I$35:$I$52,0))),VLOOKUP(E854,Parameter!$I$35:$J$52,2,0),IFERROR(VLOOKUP(D854,Parameter!$A$35:$C$64,2,0),"Nein"))</f>
        <v>2+3</v>
      </c>
      <c r="BW854" s="59" t="n">
        <f aca="false">IF(BT854=0,0,IF(N(S854)&gt;0,S854,IFERROR(VLOOKUP(D854,Parameter!$A$35:$C$64,3,0)+0,0)))</f>
        <v>0</v>
      </c>
      <c r="BX854" s="55" t="n">
        <f aca="false">IF(AA854&lt;&gt;"",AA854,Z854)</f>
        <v>2</v>
      </c>
      <c r="BY854" s="55" t="str">
        <f aca="false">IF(BX854=1,"L1",IF(OR(BX854=2,BX854=3),"L23",IF(BX854="Aussen","Aussen","-")))</f>
        <v>L23</v>
      </c>
      <c r="BZ854" s="66" t="n">
        <f aca="false">IF(N(AB854)&gt;0,AB854,0)</f>
        <v>0</v>
      </c>
      <c r="CA854" s="60" t="n">
        <f aca="false">IF(ISNUMBER(AE854),1,0)</f>
        <v>0</v>
      </c>
      <c r="CB854" s="57" t="n">
        <f aca="false">N(AE854)</f>
        <v>0</v>
      </c>
      <c r="CC854" s="57" t="n">
        <f aca="false">N(M854)+N(N854)</f>
        <v>423</v>
      </c>
      <c r="CD854" s="57" t="n">
        <f aca="false">ROUNDUP(H854/BS854,0)</f>
        <v>1</v>
      </c>
      <c r="CE854" s="57" t="n">
        <f aca="false">ROUNDUP(CB854/BS854,0)</f>
        <v>0</v>
      </c>
      <c r="CF854" s="60" t="n">
        <f aca="false">IF(BT854=1,0,IFERROR(VLOOKUP(BR854,'Gebinde-Kategorie'!$A$5:$M$45,5,0)+0,0))</f>
        <v>31</v>
      </c>
      <c r="CG854" s="60" t="n">
        <f aca="false">IFERROR(IF(OR(BX854=1,BX854=2,BX854=3),N(INDEX(Parameter!$I$5:$I$7,BX854)),0),0)</f>
        <v>0</v>
      </c>
      <c r="CH854" s="59" t="n">
        <f aca="false">IF(AND(Parameter!$B$21="Ja",ISNUMBER(W854),N(X854)&gt;0),IFERROR(N(INDEX(Parameter!$L$5:$L$7,W854))*INDEX(Parameter!$E$5:$E$7,W854)*X854/SUMIFS($X$7:$X$1843,$W$7:$W$1843,W854),0),0)</f>
        <v>0</v>
      </c>
    </row>
    <row r="855" customFormat="false" ht="15" hidden="false" customHeight="false" outlineLevel="0" collapsed="false">
      <c r="A855" s="55" t="s">
        <v>1629</v>
      </c>
      <c r="B855" s="55" t="s">
        <v>1630</v>
      </c>
      <c r="C855" s="55" t="s">
        <v>164</v>
      </c>
      <c r="D855" s="55" t="s">
        <v>184</v>
      </c>
      <c r="E855" s="55" t="s">
        <v>185</v>
      </c>
      <c r="F855" s="55" t="s">
        <v>218</v>
      </c>
      <c r="G855" s="56" t="n">
        <v>0.77</v>
      </c>
      <c r="H855" s="57" t="n">
        <f aca="false">MAX(0,IF(AND(Parameter!$B$21="Ja",ISNUMBER(Y855)),Y855,IF(Parameter!$B$20="Jahresanfang 2025 + Export",BL855+BK855,BK855)))</f>
        <v>5</v>
      </c>
      <c r="I855" s="57" t="n">
        <f aca="false">H855*G855</f>
        <v>3.85</v>
      </c>
      <c r="J855" s="57" t="n">
        <f aca="false">BN855*Parameter!$B$18</f>
        <v>2</v>
      </c>
      <c r="K855" s="58" t="n">
        <v>16</v>
      </c>
      <c r="L855" s="59" t="n">
        <v>0.125</v>
      </c>
      <c r="M855" s="57" t="n">
        <v>0</v>
      </c>
      <c r="N855" s="57" t="n">
        <v>1</v>
      </c>
      <c r="O855" s="60" t="n">
        <v>14</v>
      </c>
      <c r="P855" s="55" t="s">
        <v>168</v>
      </c>
      <c r="Q855" s="57"/>
      <c r="R855" s="60" t="n">
        <f aca="false">IF(BT855=1,0,IFERROR(VLOOKUP(BR855,'Gebinde-Kategorie'!$A$5:$M$45,13,0)+0,0))</f>
        <v>26</v>
      </c>
      <c r="S855" s="61"/>
      <c r="T855" s="62" t="s">
        <v>275</v>
      </c>
      <c r="U855" s="62"/>
      <c r="V855" s="62"/>
      <c r="W855" s="55"/>
      <c r="X855" s="57"/>
      <c r="Y855" s="57"/>
      <c r="Z855" s="55" t="n">
        <f aca="false">IF(A855="","",IF(AND(Parameter!$B$21="Ja",ISNUMBER(W855)),W855,IF(BV855="2+3",IF(ISNUMBER(SEARCH("grosser Artikel",BO855)),2,IFERROR(VLOOKUP(BR855,Parameter!$F$35:$G$64,2,0),2)),IF(OR(BV855="Nein",BV855=""),"-",BV855))))</f>
        <v>3</v>
      </c>
      <c r="AA855" s="62"/>
      <c r="AB855" s="63"/>
      <c r="AC855" s="57" t="n">
        <f aca="false">AR855</f>
        <v>20</v>
      </c>
      <c r="AD855" s="57" t="n">
        <f aca="false">MAX(AR855,H855)</f>
        <v>20</v>
      </c>
      <c r="AE855" s="64"/>
      <c r="AF855" s="57" t="n">
        <f aca="false">IF(LEFT(Cockpit!$C$5,1)="A",H855,IF(CA855=1,CB855,IF(LEFT(Cockpit!$C$5,1)="B",AJ855,MAX(AJ855,H855))))</f>
        <v>5</v>
      </c>
      <c r="AG855" s="57" t="n">
        <f aca="false">IF(BT855=1,0,ROUNDUP(AF855/BS855,0))</f>
        <v>1</v>
      </c>
      <c r="AH855" s="59" t="n">
        <f aca="false">IF(CH855&gt;0,CH855*MAX(1,AF855/X855),IF(BT855=1,IF(AF855&lt;=0,0,BW855*MAX(1,IF(H855&gt;0,AF855/H855,1))),IF(R855&gt;0,AG855/R855,0))/MAX(0.1,N(Parameter!$M$21)))</f>
        <v>0.0384615384615385</v>
      </c>
      <c r="AI855" s="57" t="n">
        <f aca="false">AF855*G855</f>
        <v>3.85</v>
      </c>
      <c r="AJ855" s="57" t="n">
        <f aca="false">ROUNDUP(MAX(J855/IF(BZ855&gt;0,BZ855,MAX(0.1,N(Cockpit!$C$6))),CC855)/BS855,0)*BS855</f>
        <v>20</v>
      </c>
      <c r="AK855" s="58" t="n">
        <f aca="false">IF(AH855&gt;0,J855/AH855,-1)</f>
        <v>52</v>
      </c>
      <c r="AL855" s="58" t="n">
        <f aca="false">IF(AND(OR(BY855="L1",BY855="L23"),AH855&gt;0),SUMIFS($AH$7:$AH$1843,$BY$7:$BY$1843,BY855,$AK$7:$AK$1843,"&gt;"&amp;AK855)+SUMIFS($AH$7:$AH$1843,$BY$7:$BY$1843,BY855,$AK$7:$AK$1843,AK855,$BQ$7:$BQ$1843,"&lt;="&amp;BQ855),"")</f>
        <v>44.4722137765616</v>
      </c>
      <c r="AM855" s="65" t="n">
        <f aca="false">IF(AL855="",0,MAX(0,MIN(1,(IF(BY855="L1",Parameter!$E$5,Parameter!$E$6+Parameter!$E$7)-(AL855-AH855))/AH855)))</f>
        <v>1</v>
      </c>
      <c r="AN855" s="57" t="n">
        <f aca="false">IF(LEFT(Cockpit!$I$5,1)="A",H855,IF(CA855=1,CB855,IF(LEFT(Cockpit!$I$5,1)="B",AR855,MAX(AR855,H855))))</f>
        <v>20</v>
      </c>
      <c r="AO855" s="57" t="n">
        <f aca="false">IF(BT855=1,0,ROUNDUP(AN855/BS855,0))</f>
        <v>1</v>
      </c>
      <c r="AP855" s="59" t="n">
        <f aca="false">IF(CH855&gt;0,CH855*MAX(1,AN855/X855),IF(BT855=1,IF(AN855&lt;=0,0,BW855*MAX(1,IF(H855&gt;0,AN855/H855,1))),IF(R855&gt;0,AO855/R855,0))/MAX(0.1,N(Parameter!$M$21)))</f>
        <v>0.0384615384615385</v>
      </c>
      <c r="AQ855" s="57" t="n">
        <f aca="false">AN855*G855</f>
        <v>15.4</v>
      </c>
      <c r="AR855" s="57" t="n">
        <f aca="false">ROUNDUP(MAX(J855/IF(BZ855&gt;0,BZ855,MAX(0.1,N(Cockpit!$I$6))),CC855)/BS855,0)*BS855</f>
        <v>20</v>
      </c>
      <c r="AS855" s="58" t="n">
        <f aca="false">IF(AP855&gt;0,J855/AP855,-1)</f>
        <v>52</v>
      </c>
      <c r="AT855" s="58" t="n">
        <f aca="false">IF(AND(OR(BY855="L1",BY855="L23"),AP855&gt;0),SUMIFS($AP$7:$AP$1843,$BY$7:$BY$1843,BY855,$AS$7:$AS$1843,"&gt;"&amp;AS855)+SUMIFS($AP$7:$AP$1843,$BY$7:$BY$1843,BY855,$AS$7:$AS$1843,AS855,$BQ$7:$BQ$1843,"&lt;="&amp;BQ855),"")</f>
        <v>67.4155687307861</v>
      </c>
      <c r="AU855" s="65" t="n">
        <f aca="false">IF(AT855="",0,MAX(0,MIN(1,(IF(BY855="L1",Parameter!$E$5,Parameter!$E$6+Parameter!$E$7)-(AT855-AP855))/AP855)))</f>
        <v>1</v>
      </c>
      <c r="AV855" s="57" t="n">
        <f aca="false">IF(LEFT(Cockpit!$O$5,1)="A",H855,IF(CA855=1,CB855,IF(LEFT(Cockpit!$O$5,1)="B",AZ855,MAX(AZ855,H855))))</f>
        <v>20</v>
      </c>
      <c r="AW855" s="57" t="n">
        <f aca="false">IF(BT855=1,0,ROUNDUP(AV855/BS855,0))</f>
        <v>1</v>
      </c>
      <c r="AX855" s="59" t="n">
        <f aca="false">IF(CH855&gt;0,CH855*MAX(1,AV855/X855),IF(BT855=1,IF(AV855&lt;=0,0,BW855*MAX(1,IF(H855&gt;0,AV855/H855,1))),IF(R855&gt;0,AW855/R855,0))/MAX(0.1,N(Parameter!$M$21)))</f>
        <v>0.0384615384615385</v>
      </c>
      <c r="AY855" s="57" t="n">
        <f aca="false">AV855*G855</f>
        <v>15.4</v>
      </c>
      <c r="AZ855" s="57" t="n">
        <f aca="false">ROUNDUP(MAX(J855/IF(BZ855&gt;0,BZ855,MAX(0.1,N(Cockpit!$O$6))),CC855)/BS855,0)*BS855</f>
        <v>20</v>
      </c>
      <c r="BA855" s="58" t="n">
        <f aca="false">IF(AX855&gt;0,J855/AX855,-1)</f>
        <v>52</v>
      </c>
      <c r="BB855" s="58" t="n">
        <f aca="false">IF(AND(OR(BY855="L1",BY855="L23"),AX855&gt;0),SUMIFS($AX$7:$AX$1843,$BY$7:$BY$1843,BY855,$BA$7:$BA$1843,"&gt;"&amp;BA855)+SUMIFS($AX$7:$AX$1843,$BY$7:$BY$1843,BY855,$BA$7:$BA$1843,BA855,$BQ$7:$BQ$1843,"&lt;="&amp;BQ855),"")</f>
        <v>61.9120722272896</v>
      </c>
      <c r="BC855" s="65" t="n">
        <f aca="false">IF(BB855="",0,MAX(0,MIN(1,(IF(BY855="L1",Parameter!$E$5,Parameter!$E$6+Parameter!$E$7)-(BB855-AX855))/AX855)))</f>
        <v>1</v>
      </c>
      <c r="BD855" s="55" t="str">
        <f aca="false">IF(AH855&lt;=0,"",IF(BY855="Aussen","Aussenlager",IF(BY855="-","Nicht im Lift",IF(AM855&gt;=1,"Lift",IF(AM855&lt;=0,"Aussenlager","teilweise")))))</f>
        <v>Lift</v>
      </c>
      <c r="BE855" s="55" t="str">
        <f aca="false">IF(AP855&lt;=0,"",IF(BY855="Aussen","Aussenlager",IF(BY855="-","Nicht im Lift",IF(AU855&gt;=1,"Lift",IF(AU855&lt;=0,"Aussenlager","teilweise")))))</f>
        <v>Lift</v>
      </c>
      <c r="BF855" s="55" t="str">
        <f aca="false">IF(AX855&lt;=0,"",IF(BY855="Aussen","Aussenlager",IF(BY855="-","Nicht im Lift",IF(BC855&gt;=1,"Lift",IF(BC855&lt;=0,"Aussenlager","teilweise")))))</f>
        <v>Lift</v>
      </c>
      <c r="BG855" s="55" t="str">
        <f aca="false">IF(A855="","",IF(BP855=1,"Neu; ","")&amp;IF(AND(BP855=0,BK855&lt;0),"negativer Bestand (Export "&amp;BK855&amp;"); ","")&amp;IF(J855&lt;=0,"Kein Verbrauch; ","")&amp;IF(CH855&gt;0,"Lift "&amp;W855&amp;" lt. Liftbericht (Fach "&amp;X855&amp;" Stk); ",IF(BU855=1,"Gebinde geschätzt ("&amp;T855&amp;"); ",IF(BT855=1,"Lose – Tablare geschätzt; ","")))&amp;IF(H855&gt;AR855,"Überbestand "&amp;ROUND(H855-AR855,0)&amp;" Stk / CHF "&amp;ROUND((H855-AR855)*G855,0)&amp;"; ","")&amp;IF(AND(CA855=1,CB855&lt;CC855),"MAX &lt; MB+LG; ","")&amp;IF(AND(CG855&gt;0,CF855*10&gt;CG855),"zu hoch für Tablar; ","")&amp;IF(AND(BP855=0,OR(CA855=1,AA855&lt;&gt;"",U855&lt;&gt;"",V855&lt;&gt;"",AB855&lt;&gt;"")),"manuell übersteuert; ","")&amp;IF(AND(BT855=0,R855=0),"Gebinde unbekannt / Stellmass fehlt; ","")&amp;IF(AND(BT855=0,N(V855)&lt;=0,N(Q855)&lt;=0),"Menge pro Gebinde fehlt (Ist = 1 Gebinde); ","")&amp;BO855)</f>
        <v>negativer Bestand (Export -24); Gebinde geschätzt (Klein); Menge pro Gebinde fehlt (Ist = 1 Gebinde); Überbestand; nicht im KTL vorhanden</v>
      </c>
      <c r="BH855" s="55"/>
      <c r="BI855" s="55"/>
      <c r="BJ855" s="62"/>
      <c r="BK855" s="57" t="n">
        <v>-24</v>
      </c>
      <c r="BL855" s="57" t="n">
        <v>29</v>
      </c>
      <c r="BM855" s="56" t="n">
        <v>-18.48</v>
      </c>
      <c r="BN855" s="57" t="n">
        <v>2</v>
      </c>
      <c r="BO855" s="55" t="s">
        <v>1631</v>
      </c>
      <c r="BP855" s="60" t="n">
        <v>0</v>
      </c>
      <c r="BQ855" s="60" t="n">
        <v>855</v>
      </c>
      <c r="BR855" s="55" t="str">
        <f aca="false">IF(U855&lt;&gt;"",UPPER(TRIM(U855)),IF(BU855=1,UPPER(VLOOKUP(T855,Parameter!$I$27:$K$29,2,0)),IF(P855="","LOSE",P855)))</f>
        <v>S51</v>
      </c>
      <c r="BS855" s="57" t="n">
        <f aca="false">IF(BR855="LOSE",1,IF(N(V855)&gt;0,V855,IF(BU855=1,MAX(1,N(VLOOKUP(T855,Parameter!$I$27:$K$29,3,0)),H855,N(N855)),IF(N(Q855)&gt;0,Q855,MAX(1,H855)))))</f>
        <v>20</v>
      </c>
      <c r="BT855" s="60" t="n">
        <f aca="false">IF(BR855="LOSE",1,0)</f>
        <v>0</v>
      </c>
      <c r="BU855" s="60" t="n">
        <f aca="false">IF(AND(U855="",OR(P855="",P855="LOSE"),T855&lt;&gt;"",N(S855)&lt;=0,ISNUMBER(MATCH(T855,Parameter!$I$27:$I$29,0))),1,0)</f>
        <v>1</v>
      </c>
      <c r="BV855" s="55" t="str">
        <f aca="false">IF(AND(Parameter!$B$19="Ja",E855&lt;&gt;"",ISNUMBER(MATCH(E855,Parameter!$I$35:$I$52,0))),VLOOKUP(E855,Parameter!$I$35:$J$52,2,0),IFERROR(VLOOKUP(D855,Parameter!$A$35:$C$64,2,0),"Nein"))</f>
        <v>2+3</v>
      </c>
      <c r="BW855" s="59" t="n">
        <f aca="false">IF(BT855=0,0,IF(N(S855)&gt;0,S855,IFERROR(VLOOKUP(D855,Parameter!$A$35:$C$64,3,0)+0,0)))</f>
        <v>0</v>
      </c>
      <c r="BX855" s="55" t="n">
        <f aca="false">IF(AA855&lt;&gt;"",AA855,Z855)</f>
        <v>3</v>
      </c>
      <c r="BY855" s="55" t="str">
        <f aca="false">IF(BX855=1,"L1",IF(OR(BX855=2,BX855=3),"L23",IF(BX855="Aussen","Aussen","-")))</f>
        <v>L23</v>
      </c>
      <c r="BZ855" s="66" t="n">
        <f aca="false">IF(N(AB855)&gt;0,AB855,0)</f>
        <v>0</v>
      </c>
      <c r="CA855" s="60" t="n">
        <f aca="false">IF(ISNUMBER(AE855),1,0)</f>
        <v>0</v>
      </c>
      <c r="CB855" s="57" t="n">
        <f aca="false">N(AE855)</f>
        <v>0</v>
      </c>
      <c r="CC855" s="57" t="n">
        <f aca="false">N(M855)+N(N855)</f>
        <v>1</v>
      </c>
      <c r="CD855" s="57" t="n">
        <f aca="false">ROUNDUP(H855/BS855,0)</f>
        <v>1</v>
      </c>
      <c r="CE855" s="57" t="n">
        <f aca="false">ROUNDUP(CB855/BS855,0)</f>
        <v>0</v>
      </c>
      <c r="CF855" s="60" t="n">
        <f aca="false">IF(BT855=1,0,IFERROR(VLOOKUP(BR855,'Gebinde-Kategorie'!$A$5:$M$45,5,0)+0,0))</f>
        <v>11</v>
      </c>
      <c r="CG855" s="60" t="n">
        <f aca="false">IFERROR(IF(OR(BX855=1,BX855=2,BX855=3),N(INDEX(Parameter!$I$5:$I$7,BX855)),0),0)</f>
        <v>0</v>
      </c>
      <c r="CH855" s="59" t="n">
        <f aca="false">IF(AND(Parameter!$B$21="Ja",ISNUMBER(W855),N(X855)&gt;0),IFERROR(N(INDEX(Parameter!$L$5:$L$7,W855))*INDEX(Parameter!$E$5:$E$7,W855)*X855/SUMIFS($X$7:$X$1843,$W$7:$W$1843,W855),0),0)</f>
        <v>0</v>
      </c>
    </row>
    <row r="856" customFormat="false" ht="15" hidden="false" customHeight="false" outlineLevel="0" collapsed="false">
      <c r="A856" s="55" t="s">
        <v>1632</v>
      </c>
      <c r="B856" s="55" t="s">
        <v>1290</v>
      </c>
      <c r="C856" s="55" t="s">
        <v>164</v>
      </c>
      <c r="D856" s="55" t="s">
        <v>184</v>
      </c>
      <c r="E856" s="55" t="s">
        <v>185</v>
      </c>
      <c r="F856" s="55" t="s">
        <v>218</v>
      </c>
      <c r="G856" s="56" t="n">
        <v>0.72</v>
      </c>
      <c r="H856" s="57" t="n">
        <f aca="false">MAX(0,IF(AND(Parameter!$B$21="Ja",ISNUMBER(Y856)),Y856,IF(Parameter!$B$20="Jahresanfang 2025 + Export",BL856+BK856,BK856)))</f>
        <v>464</v>
      </c>
      <c r="I856" s="57" t="n">
        <f aca="false">H856*G856</f>
        <v>334.08</v>
      </c>
      <c r="J856" s="57" t="n">
        <f aca="false">BN856*Parameter!$B$18</f>
        <v>60</v>
      </c>
      <c r="K856" s="58" t="n">
        <v>519.5</v>
      </c>
      <c r="L856" s="59" t="n">
        <v>0.115495668912416</v>
      </c>
      <c r="M856" s="57" t="n">
        <v>2</v>
      </c>
      <c r="N856" s="57" t="n">
        <v>60</v>
      </c>
      <c r="O856" s="60" t="n">
        <v>14</v>
      </c>
      <c r="P856" s="55" t="s">
        <v>233</v>
      </c>
      <c r="Q856" s="57" t="n">
        <v>831</v>
      </c>
      <c r="R856" s="60" t="n">
        <f aca="false">IF(BT856=1,0,IFERROR(VLOOKUP(BR856,'Gebinde-Kategorie'!$A$5:$M$45,13,0)+0,0))</f>
        <v>26</v>
      </c>
      <c r="S856" s="61"/>
      <c r="T856" s="62"/>
      <c r="U856" s="62"/>
      <c r="V856" s="62"/>
      <c r="W856" s="55"/>
      <c r="X856" s="57"/>
      <c r="Y856" s="57"/>
      <c r="Z856" s="55" t="n">
        <f aca="false">IF(A856="","",IF(AND(Parameter!$B$21="Ja",ISNUMBER(W856)),W856,IF(BV856="2+3",IF(ISNUMBER(SEARCH("grosser Artikel",BO856)),2,IFERROR(VLOOKUP(BR856,Parameter!$F$35:$G$64,2,0),2)),IF(OR(BV856="Nein",BV856=""),"-",BV856))))</f>
        <v>3</v>
      </c>
      <c r="AA856" s="62"/>
      <c r="AB856" s="63"/>
      <c r="AC856" s="57" t="n">
        <f aca="false">AR856</f>
        <v>831</v>
      </c>
      <c r="AD856" s="57" t="n">
        <f aca="false">MAX(AR856,H856)</f>
        <v>831</v>
      </c>
      <c r="AE856" s="64"/>
      <c r="AF856" s="57" t="n">
        <f aca="false">IF(LEFT(Cockpit!$C$5,1)="A",H856,IF(CA856=1,CB856,IF(LEFT(Cockpit!$C$5,1)="B",AJ856,MAX(AJ856,H856))))</f>
        <v>464</v>
      </c>
      <c r="AG856" s="57" t="n">
        <f aca="false">IF(BT856=1,0,ROUNDUP(AF856/BS856,0))</f>
        <v>1</v>
      </c>
      <c r="AH856" s="59" t="n">
        <f aca="false">IF(CH856&gt;0,CH856*MAX(1,AF856/X856),IF(BT856=1,IF(AF856&lt;=0,0,BW856*MAX(1,IF(H856&gt;0,AF856/H856,1))),IF(R856&gt;0,AG856/R856,0))/MAX(0.1,N(Parameter!$M$21)))</f>
        <v>0.0384615384615385</v>
      </c>
      <c r="AI856" s="57" t="n">
        <f aca="false">AF856*G856</f>
        <v>334.08</v>
      </c>
      <c r="AJ856" s="57" t="n">
        <f aca="false">ROUNDUP(MAX(J856/IF(BZ856&gt;0,BZ856,MAX(0.1,N(Cockpit!$C$6))),CC856)/BS856,0)*BS856</f>
        <v>831</v>
      </c>
      <c r="AK856" s="58" t="n">
        <f aca="false">IF(AH856&gt;0,J856/AH856,-1)</f>
        <v>1560</v>
      </c>
      <c r="AL856" s="58" t="n">
        <f aca="false">IF(AND(OR(BY856="L1",BY856="L23"),AH856&gt;0),SUMIFS($AH$7:$AH$1843,$BY$7:$BY$1843,BY856,$AK$7:$AK$1843,"&gt;"&amp;AK856)+SUMIFS($AH$7:$AH$1843,$BY$7:$BY$1843,BY856,$AK$7:$AK$1843,AK856,$BQ$7:$BQ$1843,"&lt;="&amp;BQ856),"")</f>
        <v>15.6485591702983</v>
      </c>
      <c r="AM856" s="65" t="n">
        <f aca="false">IF(AL856="",0,MAX(0,MIN(1,(IF(BY856="L1",Parameter!$E$5,Parameter!$E$6+Parameter!$E$7)-(AL856-AH856))/AH856)))</f>
        <v>1</v>
      </c>
      <c r="AN856" s="57" t="n">
        <f aca="false">IF(LEFT(Cockpit!$I$5,1)="A",H856,IF(CA856=1,CB856,IF(LEFT(Cockpit!$I$5,1)="B",AR856,MAX(AR856,H856))))</f>
        <v>831</v>
      </c>
      <c r="AO856" s="57" t="n">
        <f aca="false">IF(BT856=1,0,ROUNDUP(AN856/BS856,0))</f>
        <v>1</v>
      </c>
      <c r="AP856" s="59" t="n">
        <f aca="false">IF(CH856&gt;0,CH856*MAX(1,AN856/X856),IF(BT856=1,IF(AN856&lt;=0,0,BW856*MAX(1,IF(H856&gt;0,AN856/H856,1))),IF(R856&gt;0,AO856/R856,0))/MAX(0.1,N(Parameter!$M$21)))</f>
        <v>0.0384615384615385</v>
      </c>
      <c r="AQ856" s="57" t="n">
        <f aca="false">AN856*G856</f>
        <v>598.32</v>
      </c>
      <c r="AR856" s="57" t="n">
        <f aca="false">ROUNDUP(MAX(J856/IF(BZ856&gt;0,BZ856,MAX(0.1,N(Cockpit!$I$6))),CC856)/BS856,0)*BS856</f>
        <v>831</v>
      </c>
      <c r="AS856" s="58" t="n">
        <f aca="false">IF(AP856&gt;0,J856/AP856,-1)</f>
        <v>1560</v>
      </c>
      <c r="AT856" s="58" t="n">
        <f aca="false">IF(AND(OR(BY856="L1",BY856="L23"),AP856&gt;0),SUMIFS($AP$7:$AP$1843,$BY$7:$BY$1843,BY856,$AS$7:$AS$1843,"&gt;"&amp;AS856)+SUMIFS($AP$7:$AP$1843,$BY$7:$BY$1843,BY856,$AS$7:$AS$1843,AS856,$BQ$7:$BQ$1843,"&lt;="&amp;BQ856),"")</f>
        <v>20.4248758487889</v>
      </c>
      <c r="AU856" s="65" t="n">
        <f aca="false">IF(AT856="",0,MAX(0,MIN(1,(IF(BY856="L1",Parameter!$E$5,Parameter!$E$6+Parameter!$E$7)-(AT856-AP856))/AP856)))</f>
        <v>1</v>
      </c>
      <c r="AV856" s="57" t="n">
        <f aca="false">IF(LEFT(Cockpit!$O$5,1)="A",H856,IF(CA856=1,CB856,IF(LEFT(Cockpit!$O$5,1)="B",AZ856,MAX(AZ856,H856))))</f>
        <v>831</v>
      </c>
      <c r="AW856" s="57" t="n">
        <f aca="false">IF(BT856=1,0,ROUNDUP(AV856/BS856,0))</f>
        <v>1</v>
      </c>
      <c r="AX856" s="59" t="n">
        <f aca="false">IF(CH856&gt;0,CH856*MAX(1,AV856/X856),IF(BT856=1,IF(AV856&lt;=0,0,BW856*MAX(1,IF(H856&gt;0,AV856/H856,1))),IF(R856&gt;0,AW856/R856,0))/MAX(0.1,N(Parameter!$M$21)))</f>
        <v>0.0384615384615385</v>
      </c>
      <c r="AY856" s="57" t="n">
        <f aca="false">AV856*G856</f>
        <v>598.32</v>
      </c>
      <c r="AZ856" s="57" t="n">
        <f aca="false">ROUNDUP(MAX(J856/IF(BZ856&gt;0,BZ856,MAX(0.1,N(Cockpit!$O$6))),CC856)/BS856,0)*BS856</f>
        <v>831</v>
      </c>
      <c r="BA856" s="58" t="n">
        <f aca="false">IF(AX856&gt;0,J856/AX856,-1)</f>
        <v>1560</v>
      </c>
      <c r="BB856" s="58" t="n">
        <f aca="false">IF(AND(OR(BY856="L1",BY856="L23"),AX856&gt;0),SUMIFS($AX$7:$AX$1843,$BY$7:$BY$1843,BY856,$BA$7:$BA$1843,"&gt;"&amp;BA856)+SUMIFS($AX$7:$AX$1843,$BY$7:$BY$1843,BY856,$BA$7:$BA$1843,BA856,$BQ$7:$BQ$1843,"&lt;="&amp;BQ856),"")</f>
        <v>19.286763960677</v>
      </c>
      <c r="BC856" s="65" t="n">
        <f aca="false">IF(BB856="",0,MAX(0,MIN(1,(IF(BY856="L1",Parameter!$E$5,Parameter!$E$6+Parameter!$E$7)-(BB856-AX856))/AX856)))</f>
        <v>1</v>
      </c>
      <c r="BD856" s="55" t="str">
        <f aca="false">IF(AH856&lt;=0,"",IF(BY856="Aussen","Aussenlager",IF(BY856="-","Nicht im Lift",IF(AM856&gt;=1,"Lift",IF(AM856&lt;=0,"Aussenlager","teilweise")))))</f>
        <v>Lift</v>
      </c>
      <c r="BE856" s="55" t="str">
        <f aca="false">IF(AP856&lt;=0,"",IF(BY856="Aussen","Aussenlager",IF(BY856="-","Nicht im Lift",IF(AU856&gt;=1,"Lift",IF(AU856&lt;=0,"Aussenlager","teilweise")))))</f>
        <v>Lift</v>
      </c>
      <c r="BF856" s="55" t="str">
        <f aca="false">IF(AX856&lt;=0,"",IF(BY856="Aussen","Aussenlager",IF(BY856="-","Nicht im Lift",IF(BC856&gt;=1,"Lift",IF(BC856&lt;=0,"Aussenlager","teilweise")))))</f>
        <v>Lift</v>
      </c>
      <c r="BG856" s="55" t="str">
        <f aca="false">IF(A856="","",IF(BP856=1,"Neu; ","")&amp;IF(AND(BP856=0,BK856&lt;0),"negativer Bestand (Export "&amp;BK856&amp;"); ","")&amp;IF(J856&lt;=0,"Kein Verbrauch; ","")&amp;IF(CH856&gt;0,"Lift "&amp;W856&amp;" lt. Liftbericht (Fach "&amp;X856&amp;" Stk); ",IF(BU856=1,"Gebinde geschätzt ("&amp;T856&amp;"); ",IF(BT856=1,"Lose – Tablare geschätzt; ","")))&amp;IF(H856&gt;AR856,"Überbestand "&amp;ROUND(H856-AR856,0)&amp;" Stk / CHF "&amp;ROUND((H856-AR856)*G856,0)&amp;"; ","")&amp;IF(AND(CA856=1,CB856&lt;CC856),"MAX &lt; MB+LG; ","")&amp;IF(AND(CG856&gt;0,CF856*10&gt;CG856),"zu hoch für Tablar; ","")&amp;IF(AND(BP856=0,OR(CA856=1,AA856&lt;&gt;"",U856&lt;&gt;"",V856&lt;&gt;"",AB856&lt;&gt;"")),"manuell übersteuert; ","")&amp;IF(AND(BT856=0,R856=0),"Gebinde unbekannt / Stellmass fehlt; ","")&amp;IF(AND(BT856=0,N(V856)&lt;=0,N(Q856)&lt;=0),"Menge pro Gebinde fehlt (Ist = 1 Gebinde); ","")&amp;BO856)</f>
        <v>negativer Bestand (Export -26); Überbestand</v>
      </c>
      <c r="BH856" s="55"/>
      <c r="BI856" s="55"/>
      <c r="BJ856" s="62"/>
      <c r="BK856" s="57" t="n">
        <v>-26</v>
      </c>
      <c r="BL856" s="57" t="n">
        <v>490</v>
      </c>
      <c r="BM856" s="56" t="n">
        <v>-18.7199999999999</v>
      </c>
      <c r="BN856" s="57" t="n">
        <v>60</v>
      </c>
      <c r="BO856" s="55" t="s">
        <v>392</v>
      </c>
      <c r="BP856" s="60" t="n">
        <v>0</v>
      </c>
      <c r="BQ856" s="60" t="n">
        <v>856</v>
      </c>
      <c r="BR856" s="55" t="str">
        <f aca="false">IF(U856&lt;&gt;"",UPPER(TRIM(U856)),IF(BU856=1,UPPER(VLOOKUP(T856,Parameter!$I$27:$K$29,2,0)),IF(P856="","LOSE",P856)))</f>
        <v>S52</v>
      </c>
      <c r="BS856" s="57" t="n">
        <f aca="false">IF(BR856="LOSE",1,IF(N(V856)&gt;0,V856,IF(BU856=1,MAX(1,N(VLOOKUP(T856,Parameter!$I$27:$K$29,3,0)),H856,N(N856)),IF(N(Q856)&gt;0,Q856,MAX(1,H856)))))</f>
        <v>831</v>
      </c>
      <c r="BT856" s="60" t="n">
        <f aca="false">IF(BR856="LOSE",1,0)</f>
        <v>0</v>
      </c>
      <c r="BU856" s="60" t="n">
        <f aca="false">IF(AND(U856="",OR(P856="",P856="LOSE"),T856&lt;&gt;"",N(S856)&lt;=0,ISNUMBER(MATCH(T856,Parameter!$I$27:$I$29,0))),1,0)</f>
        <v>0</v>
      </c>
      <c r="BV856" s="55" t="str">
        <f aca="false">IF(AND(Parameter!$B$19="Ja",E856&lt;&gt;"",ISNUMBER(MATCH(E856,Parameter!$I$35:$I$52,0))),VLOOKUP(E856,Parameter!$I$35:$J$52,2,0),IFERROR(VLOOKUP(D856,Parameter!$A$35:$C$64,2,0),"Nein"))</f>
        <v>2+3</v>
      </c>
      <c r="BW856" s="59" t="n">
        <f aca="false">IF(BT856=0,0,IF(N(S856)&gt;0,S856,IFERROR(VLOOKUP(D856,Parameter!$A$35:$C$64,3,0)+0,0)))</f>
        <v>0</v>
      </c>
      <c r="BX856" s="55" t="n">
        <f aca="false">IF(AA856&lt;&gt;"",AA856,Z856)</f>
        <v>3</v>
      </c>
      <c r="BY856" s="55" t="str">
        <f aca="false">IF(BX856=1,"L1",IF(OR(BX856=2,BX856=3),"L23",IF(BX856="Aussen","Aussen","-")))</f>
        <v>L23</v>
      </c>
      <c r="BZ856" s="66" t="n">
        <f aca="false">IF(N(AB856)&gt;0,AB856,0)</f>
        <v>0</v>
      </c>
      <c r="CA856" s="60" t="n">
        <f aca="false">IF(ISNUMBER(AE856),1,0)</f>
        <v>0</v>
      </c>
      <c r="CB856" s="57" t="n">
        <f aca="false">N(AE856)</f>
        <v>0</v>
      </c>
      <c r="CC856" s="57" t="n">
        <f aca="false">N(M856)+N(N856)</f>
        <v>62</v>
      </c>
      <c r="CD856" s="57" t="n">
        <f aca="false">ROUNDUP(H856/BS856,0)</f>
        <v>1</v>
      </c>
      <c r="CE856" s="57" t="n">
        <f aca="false">ROUNDUP(CB856/BS856,0)</f>
        <v>0</v>
      </c>
      <c r="CF856" s="60" t="n">
        <f aca="false">IF(BT856=1,0,IFERROR(VLOOKUP(BR856,'Gebinde-Kategorie'!$A$5:$M$45,5,0)+0,0))</f>
        <v>21</v>
      </c>
      <c r="CG856" s="60" t="n">
        <f aca="false">IFERROR(IF(OR(BX856=1,BX856=2,BX856=3),N(INDEX(Parameter!$I$5:$I$7,BX856)),0),0)</f>
        <v>0</v>
      </c>
      <c r="CH856" s="59" t="n">
        <f aca="false">IF(AND(Parameter!$B$21="Ja",ISNUMBER(W856),N(X856)&gt;0),IFERROR(N(INDEX(Parameter!$L$5:$L$7,W856))*INDEX(Parameter!$E$5:$E$7,W856)*X856/SUMIFS($X$7:$X$1843,$W$7:$W$1843,W856),0),0)</f>
        <v>0</v>
      </c>
    </row>
    <row r="857" customFormat="false" ht="15" hidden="false" customHeight="false" outlineLevel="0" collapsed="false">
      <c r="A857" s="55" t="s">
        <v>1633</v>
      </c>
      <c r="B857" s="55" t="s">
        <v>1634</v>
      </c>
      <c r="C857" s="55" t="s">
        <v>164</v>
      </c>
      <c r="D857" s="55" t="s">
        <v>173</v>
      </c>
      <c r="E857" s="55"/>
      <c r="F857" s="55" t="s">
        <v>218</v>
      </c>
      <c r="G857" s="56" t="n">
        <v>13.44</v>
      </c>
      <c r="H857" s="57" t="n">
        <f aca="false">MAX(0,IF(AND(Parameter!$B$21="Ja",ISNUMBER(Y857)),Y857,IF(Parameter!$B$20="Jahresanfang 2025 + Export",BL857+BK857,BK857)))</f>
        <v>42</v>
      </c>
      <c r="I857" s="57" t="n">
        <f aca="false">H857*G857</f>
        <v>564.48</v>
      </c>
      <c r="J857" s="57" t="n">
        <f aca="false">BN857*Parameter!$B$18</f>
        <v>146</v>
      </c>
      <c r="K857" s="58" t="n">
        <v>47</v>
      </c>
      <c r="L857" s="59" t="n">
        <v>3.1063829787234</v>
      </c>
      <c r="M857" s="57" t="n">
        <v>5</v>
      </c>
      <c r="N857" s="57" t="n">
        <v>25</v>
      </c>
      <c r="O857" s="60" t="n">
        <v>14</v>
      </c>
      <c r="P857" s="55" t="s">
        <v>174</v>
      </c>
      <c r="Q857" s="57" t="n">
        <v>80</v>
      </c>
      <c r="R857" s="60" t="n">
        <f aca="false">IF(BT857=1,0,IFERROR(VLOOKUP(BR857,'Gebinde-Kategorie'!$A$5:$M$45,13,0)+0,0))</f>
        <v>6</v>
      </c>
      <c r="S857" s="61"/>
      <c r="T857" s="62"/>
      <c r="U857" s="62"/>
      <c r="V857" s="62"/>
      <c r="W857" s="55"/>
      <c r="X857" s="57"/>
      <c r="Y857" s="57"/>
      <c r="Z857" s="55" t="n">
        <f aca="false">IF(A857="","",IF(AND(Parameter!$B$21="Ja",ISNUMBER(W857)),W857,IF(BV857="2+3",IF(ISNUMBER(SEARCH("grosser Artikel",BO857)),2,IFERROR(VLOOKUP(BR857,Parameter!$F$35:$G$64,2,0),2)),IF(OR(BV857="Nein",BV857=""),"-",BV857))))</f>
        <v>2</v>
      </c>
      <c r="AA857" s="62"/>
      <c r="AB857" s="63"/>
      <c r="AC857" s="57" t="n">
        <f aca="false">AR857</f>
        <v>80</v>
      </c>
      <c r="AD857" s="57" t="n">
        <f aca="false">MAX(AR857,H857)</f>
        <v>80</v>
      </c>
      <c r="AE857" s="64"/>
      <c r="AF857" s="57" t="n">
        <f aca="false">IF(LEFT(Cockpit!$C$5,1)="A",H857,IF(CA857=1,CB857,IF(LEFT(Cockpit!$C$5,1)="B",AJ857,MAX(AJ857,H857))))</f>
        <v>42</v>
      </c>
      <c r="AG857" s="57" t="n">
        <f aca="false">IF(BT857=1,0,ROUNDUP(AF857/BS857,0))</f>
        <v>1</v>
      </c>
      <c r="AH857" s="59" t="n">
        <f aca="false">IF(CH857&gt;0,CH857*MAX(1,AF857/X857),IF(BT857=1,IF(AF857&lt;=0,0,BW857*MAX(1,IF(H857&gt;0,AF857/H857,1))),IF(R857&gt;0,AG857/R857,0))/MAX(0.1,N(Parameter!$M$21)))</f>
        <v>0.166666666666667</v>
      </c>
      <c r="AI857" s="57" t="n">
        <f aca="false">AF857*G857</f>
        <v>564.48</v>
      </c>
      <c r="AJ857" s="57" t="n">
        <f aca="false">ROUNDUP(MAX(J857/IF(BZ857&gt;0,BZ857,MAX(0.1,N(Cockpit!$C$6))),CC857)/BS857,0)*BS857</f>
        <v>80</v>
      </c>
      <c r="AK857" s="58" t="n">
        <f aca="false">IF(AH857&gt;0,J857/AH857,-1)</f>
        <v>876</v>
      </c>
      <c r="AL857" s="58" t="n">
        <f aca="false">IF(AND(OR(BY857="L1",BY857="L23"),AH857&gt;0),SUMIFS($AH$7:$AH$1843,$BY$7:$BY$1843,BY857,$AK$7:$AK$1843,"&gt;"&amp;AK857)+SUMIFS($AH$7:$AH$1843,$BY$7:$BY$1843,BY857,$AK$7:$AK$1843,AK857,$BQ$7:$BQ$1843,"&lt;="&amp;BQ857),"")</f>
        <v>20.1354092767136</v>
      </c>
      <c r="AM857" s="65" t="n">
        <f aca="false">IF(AL857="",0,MAX(0,MIN(1,(IF(BY857="L1",Parameter!$E$5,Parameter!$E$6+Parameter!$E$7)-(AL857-AH857))/AH857)))</f>
        <v>1</v>
      </c>
      <c r="AN857" s="57" t="n">
        <f aca="false">IF(LEFT(Cockpit!$I$5,1)="A",H857,IF(CA857=1,CB857,IF(LEFT(Cockpit!$I$5,1)="B",AR857,MAX(AR857,H857))))</f>
        <v>80</v>
      </c>
      <c r="AO857" s="57" t="n">
        <f aca="false">IF(BT857=1,0,ROUNDUP(AN857/BS857,0))</f>
        <v>1</v>
      </c>
      <c r="AP857" s="59" t="n">
        <f aca="false">IF(CH857&gt;0,CH857*MAX(1,AN857/X857),IF(BT857=1,IF(AN857&lt;=0,0,BW857*MAX(1,IF(H857&gt;0,AN857/H857,1))),IF(R857&gt;0,AO857/R857,0))/MAX(0.1,N(Parameter!$M$21)))</f>
        <v>0.166666666666667</v>
      </c>
      <c r="AQ857" s="57" t="n">
        <f aca="false">AN857*G857</f>
        <v>1075.2</v>
      </c>
      <c r="AR857" s="57" t="n">
        <f aca="false">ROUNDUP(MAX(J857/IF(BZ857&gt;0,BZ857,MAX(0.1,N(Cockpit!$I$6))),CC857)/BS857,0)*BS857</f>
        <v>80</v>
      </c>
      <c r="AS857" s="58" t="n">
        <f aca="false">IF(AP857&gt;0,J857/AP857,-1)</f>
        <v>876</v>
      </c>
      <c r="AT857" s="58" t="n">
        <f aca="false">IF(AND(OR(BY857="L1",BY857="L23"),AP857&gt;0),SUMIFS($AP$7:$AP$1843,$BY$7:$BY$1843,BY857,$AS$7:$AS$1843,"&gt;"&amp;AS857)+SUMIFS($AP$7:$AP$1843,$BY$7:$BY$1843,BY857,$AS$7:$AS$1843,AS857,$BQ$7:$BQ$1843,"&lt;="&amp;BQ857),"")</f>
        <v>25.1593696158914</v>
      </c>
      <c r="AU857" s="65" t="n">
        <f aca="false">IF(AT857="",0,MAX(0,MIN(1,(IF(BY857="L1",Parameter!$E$5,Parameter!$E$6+Parameter!$E$7)-(AT857-AP857))/AP857)))</f>
        <v>1</v>
      </c>
      <c r="AV857" s="57" t="n">
        <f aca="false">IF(LEFT(Cockpit!$O$5,1)="A",H857,IF(CA857=1,CB857,IF(LEFT(Cockpit!$O$5,1)="B",AZ857,MAX(AZ857,H857))))</f>
        <v>80</v>
      </c>
      <c r="AW857" s="57" t="n">
        <f aca="false">IF(BT857=1,0,ROUNDUP(AV857/BS857,0))</f>
        <v>1</v>
      </c>
      <c r="AX857" s="59" t="n">
        <f aca="false">IF(CH857&gt;0,CH857*MAX(1,AV857/X857),IF(BT857=1,IF(AV857&lt;=0,0,BW857*MAX(1,IF(H857&gt;0,AV857/H857,1))),IF(R857&gt;0,AW857/R857,0))/MAX(0.1,N(Parameter!$M$21)))</f>
        <v>0.166666666666667</v>
      </c>
      <c r="AY857" s="57" t="n">
        <f aca="false">AV857*G857</f>
        <v>1075.2</v>
      </c>
      <c r="AZ857" s="57" t="n">
        <f aca="false">ROUNDUP(MAX(J857/IF(BZ857&gt;0,BZ857,MAX(0.1,N(Cockpit!$O$6))),CC857)/BS857,0)*BS857</f>
        <v>80</v>
      </c>
      <c r="BA857" s="58" t="n">
        <f aca="false">IF(AX857&gt;0,J857/AX857,-1)</f>
        <v>876</v>
      </c>
      <c r="BB857" s="58" t="n">
        <f aca="false">IF(AND(OR(BY857="L1",BY857="L23"),AX857&gt;0),SUMIFS($AX$7:$AX$1843,$BY$7:$BY$1843,BY857,$BA$7:$BA$1843,"&gt;"&amp;BA857)+SUMIFS($AX$7:$AX$1843,$BY$7:$BY$1843,BY857,$BA$7:$BA$1843,BA857,$BQ$7:$BQ$1843,"&lt;="&amp;BQ857),"")</f>
        <v>25.2776679841897</v>
      </c>
      <c r="BC857" s="65" t="n">
        <f aca="false">IF(BB857="",0,MAX(0,MIN(1,(IF(BY857="L1",Parameter!$E$5,Parameter!$E$6+Parameter!$E$7)-(BB857-AX857))/AX857)))</f>
        <v>1</v>
      </c>
      <c r="BD857" s="55" t="str">
        <f aca="false">IF(AH857&lt;=0,"",IF(BY857="Aussen","Aussenlager",IF(BY857="-","Nicht im Lift",IF(AM857&gt;=1,"Lift",IF(AM857&lt;=0,"Aussenlager","teilweise")))))</f>
        <v>Lift</v>
      </c>
      <c r="BE857" s="55" t="str">
        <f aca="false">IF(AP857&lt;=0,"",IF(BY857="Aussen","Aussenlager",IF(BY857="-","Nicht im Lift",IF(AU857&gt;=1,"Lift",IF(AU857&lt;=0,"Aussenlager","teilweise")))))</f>
        <v>Lift</v>
      </c>
      <c r="BF857" s="55" t="str">
        <f aca="false">IF(AX857&lt;=0,"",IF(BY857="Aussen","Aussenlager",IF(BY857="-","Nicht im Lift",IF(BC857&gt;=1,"Lift",IF(BC857&lt;=0,"Aussenlager","teilweise")))))</f>
        <v>Lift</v>
      </c>
      <c r="BG857" s="55" t="str">
        <f aca="false">IF(A857="","",IF(BP857=1,"Neu; ","")&amp;IF(AND(BP857=0,BK857&lt;0),"negativer Bestand (Export "&amp;BK857&amp;"); ","")&amp;IF(J857&lt;=0,"Kein Verbrauch; ","")&amp;IF(CH857&gt;0,"Lift "&amp;W857&amp;" lt. Liftbericht (Fach "&amp;X857&amp;" Stk); ",IF(BU857=1,"Gebinde geschätzt ("&amp;T857&amp;"); ",IF(BT857=1,"Lose – Tablare geschätzt; ","")))&amp;IF(H857&gt;AR857,"Überbestand "&amp;ROUND(H857-AR857,0)&amp;" Stk / CHF "&amp;ROUND((H857-AR857)*G857,0)&amp;"; ","")&amp;IF(AND(CA857=1,CB857&lt;CC857),"MAX &lt; MB+LG; ","")&amp;IF(AND(CG857&gt;0,CF857*10&gt;CG857),"zu hoch für Tablar; ","")&amp;IF(AND(BP857=0,OR(CA857=1,AA857&lt;&gt;"",U857&lt;&gt;"",V857&lt;&gt;"",AB857&lt;&gt;"")),"manuell übersteuert; ","")&amp;IF(AND(BT857=0,R857=0),"Gebinde unbekannt / Stellmass fehlt; ","")&amp;IF(AND(BT857=0,N(V857)&lt;=0,N(Q857)&lt;=0),"Menge pro Gebinde fehlt (Ist = 1 Gebinde); ","")&amp;BO857)</f>
        <v>negativer Bestand (Export -2); </v>
      </c>
      <c r="BH857" s="55"/>
      <c r="BI857" s="55"/>
      <c r="BJ857" s="62"/>
      <c r="BK857" s="57" t="n">
        <v>-2</v>
      </c>
      <c r="BL857" s="57" t="n">
        <v>44</v>
      </c>
      <c r="BM857" s="56" t="n">
        <v>-18.96</v>
      </c>
      <c r="BN857" s="57" t="n">
        <v>146</v>
      </c>
      <c r="BO857" s="55"/>
      <c r="BP857" s="60" t="n">
        <v>0</v>
      </c>
      <c r="BQ857" s="60" t="n">
        <v>857</v>
      </c>
      <c r="BR857" s="55" t="str">
        <f aca="false">IF(U857&lt;&gt;"",UPPER(TRIM(U857)),IF(BU857=1,UPPER(VLOOKUP(T857,Parameter!$I$27:$K$29,2,0)),IF(P857="","LOSE",P857)))</f>
        <v>S71</v>
      </c>
      <c r="BS857" s="57" t="n">
        <f aca="false">IF(BR857="LOSE",1,IF(N(V857)&gt;0,V857,IF(BU857=1,MAX(1,N(VLOOKUP(T857,Parameter!$I$27:$K$29,3,0)),H857,N(N857)),IF(N(Q857)&gt;0,Q857,MAX(1,H857)))))</f>
        <v>80</v>
      </c>
      <c r="BT857" s="60" t="n">
        <f aca="false">IF(BR857="LOSE",1,0)</f>
        <v>0</v>
      </c>
      <c r="BU857" s="60" t="n">
        <f aca="false">IF(AND(U857="",OR(P857="",P857="LOSE"),T857&lt;&gt;"",N(S857)&lt;=0,ISNUMBER(MATCH(T857,Parameter!$I$27:$I$29,0))),1,0)</f>
        <v>0</v>
      </c>
      <c r="BV857" s="55" t="str">
        <f aca="false">IF(AND(Parameter!$B$19="Ja",E857&lt;&gt;"",ISNUMBER(MATCH(E857,Parameter!$I$35:$I$52,0))),VLOOKUP(E857,Parameter!$I$35:$J$52,2,0),IFERROR(VLOOKUP(D857,Parameter!$A$35:$C$64,2,0),"Nein"))</f>
        <v>2+3</v>
      </c>
      <c r="BW857" s="59" t="n">
        <f aca="false">IF(BT857=0,0,IF(N(S857)&gt;0,S857,IFERROR(VLOOKUP(D857,Parameter!$A$35:$C$64,3,0)+0,0)))</f>
        <v>0</v>
      </c>
      <c r="BX857" s="55" t="n">
        <f aca="false">IF(AA857&lt;&gt;"",AA857,Z857)</f>
        <v>2</v>
      </c>
      <c r="BY857" s="55" t="str">
        <f aca="false">IF(BX857=1,"L1",IF(OR(BX857=2,BX857=3),"L23",IF(BX857="Aussen","Aussen","-")))</f>
        <v>L23</v>
      </c>
      <c r="BZ857" s="66" t="n">
        <f aca="false">IF(N(AB857)&gt;0,AB857,0)</f>
        <v>0</v>
      </c>
      <c r="CA857" s="60" t="n">
        <f aca="false">IF(ISNUMBER(AE857),1,0)</f>
        <v>0</v>
      </c>
      <c r="CB857" s="57" t="n">
        <f aca="false">N(AE857)</f>
        <v>0</v>
      </c>
      <c r="CC857" s="57" t="n">
        <f aca="false">N(M857)+N(N857)</f>
        <v>30</v>
      </c>
      <c r="CD857" s="57" t="n">
        <f aca="false">ROUNDUP(H857/BS857,0)</f>
        <v>1</v>
      </c>
      <c r="CE857" s="57" t="n">
        <f aca="false">ROUNDUP(CB857/BS857,0)</f>
        <v>0</v>
      </c>
      <c r="CF857" s="60" t="n">
        <f aca="false">IF(BT857=1,0,IFERROR(VLOOKUP(BR857,'Gebinde-Kategorie'!$A$5:$M$45,5,0)+0,0))</f>
        <v>20</v>
      </c>
      <c r="CG857" s="60" t="n">
        <f aca="false">IFERROR(IF(OR(BX857=1,BX857=2,BX857=3),N(INDEX(Parameter!$I$5:$I$7,BX857)),0),0)</f>
        <v>0</v>
      </c>
      <c r="CH857" s="59" t="n">
        <f aca="false">IF(AND(Parameter!$B$21="Ja",ISNUMBER(W857),N(X857)&gt;0),IFERROR(N(INDEX(Parameter!$L$5:$L$7,W857))*INDEX(Parameter!$E$5:$E$7,W857)*X857/SUMIFS($X$7:$X$1843,$W$7:$W$1843,W857),0),0)</f>
        <v>0</v>
      </c>
    </row>
    <row r="858" customFormat="false" ht="15" hidden="false" customHeight="false" outlineLevel="0" collapsed="false">
      <c r="A858" s="55" t="s">
        <v>1635</v>
      </c>
      <c r="B858" s="55" t="s">
        <v>1636</v>
      </c>
      <c r="C858" s="55" t="s">
        <v>164</v>
      </c>
      <c r="D858" s="55" t="s">
        <v>184</v>
      </c>
      <c r="E858" s="55" t="s">
        <v>185</v>
      </c>
      <c r="F858" s="55" t="s">
        <v>218</v>
      </c>
      <c r="G858" s="56" t="n">
        <v>19.39</v>
      </c>
      <c r="H858" s="57" t="n">
        <f aca="false">MAX(0,IF(AND(Parameter!$B$21="Ja",ISNUMBER(Y858)),Y858,IF(Parameter!$B$20="Jahresanfang 2025 + Export",BL858+BK858,BK858)))</f>
        <v>17</v>
      </c>
      <c r="I858" s="57" t="n">
        <f aca="false">H858*G858</f>
        <v>329.63</v>
      </c>
      <c r="J858" s="57" t="n">
        <f aca="false">BN858*Parameter!$B$18</f>
        <v>2</v>
      </c>
      <c r="K858" s="58" t="n">
        <v>17</v>
      </c>
      <c r="L858" s="59" t="n">
        <v>0.117647058823529</v>
      </c>
      <c r="M858" s="57" t="n">
        <v>0</v>
      </c>
      <c r="N858" s="57" t="n">
        <v>1</v>
      </c>
      <c r="O858" s="60" t="n">
        <v>21</v>
      </c>
      <c r="P858" s="55" t="s">
        <v>421</v>
      </c>
      <c r="Q858" s="57" t="n">
        <v>23</v>
      </c>
      <c r="R858" s="60" t="n">
        <f aca="false">IF(BT858=1,0,IFERROR(VLOOKUP(BR858,'Gebinde-Kategorie'!$A$5:$M$45,13,0)+0,0))</f>
        <v>132</v>
      </c>
      <c r="S858" s="61"/>
      <c r="T858" s="62"/>
      <c r="U858" s="62"/>
      <c r="V858" s="62"/>
      <c r="W858" s="55"/>
      <c r="X858" s="57"/>
      <c r="Y858" s="57"/>
      <c r="Z858" s="55" t="n">
        <f aca="false">IF(A858="","",IF(AND(Parameter!$B$21="Ja",ISNUMBER(W858)),W858,IF(BV858="2+3",IF(ISNUMBER(SEARCH("grosser Artikel",BO858)),2,IFERROR(VLOOKUP(BR858,Parameter!$F$35:$G$64,2,0),2)),IF(OR(BV858="Nein",BV858=""),"-",BV858))))</f>
        <v>3</v>
      </c>
      <c r="AA858" s="62"/>
      <c r="AB858" s="63"/>
      <c r="AC858" s="57" t="n">
        <f aca="false">AR858</f>
        <v>23</v>
      </c>
      <c r="AD858" s="57" t="n">
        <f aca="false">MAX(AR858,H858)</f>
        <v>23</v>
      </c>
      <c r="AE858" s="64"/>
      <c r="AF858" s="57" t="n">
        <f aca="false">IF(LEFT(Cockpit!$C$5,1)="A",H858,IF(CA858=1,CB858,IF(LEFT(Cockpit!$C$5,1)="B",AJ858,MAX(AJ858,H858))))</f>
        <v>17</v>
      </c>
      <c r="AG858" s="57" t="n">
        <f aca="false">IF(BT858=1,0,ROUNDUP(AF858/BS858,0))</f>
        <v>1</v>
      </c>
      <c r="AH858" s="59" t="n">
        <f aca="false">IF(CH858&gt;0,CH858*MAX(1,AF858/X858),IF(BT858=1,IF(AF858&lt;=0,0,BW858*MAX(1,IF(H858&gt;0,AF858/H858,1))),IF(R858&gt;0,AG858/R858,0))/MAX(0.1,N(Parameter!$M$21)))</f>
        <v>0.00757575757575758</v>
      </c>
      <c r="AI858" s="57" t="n">
        <f aca="false">AF858*G858</f>
        <v>329.63</v>
      </c>
      <c r="AJ858" s="57" t="n">
        <f aca="false">ROUNDUP(MAX(J858/IF(BZ858&gt;0,BZ858,MAX(0.1,N(Cockpit!$C$6))),CC858)/BS858,0)*BS858</f>
        <v>23</v>
      </c>
      <c r="AK858" s="58" t="n">
        <f aca="false">IF(AH858&gt;0,J858/AH858,-1)</f>
        <v>264</v>
      </c>
      <c r="AL858" s="58" t="n">
        <f aca="false">IF(AND(OR(BY858="L1",BY858="L23"),AH858&gt;0),SUMIFS($AH$7:$AH$1843,$BY$7:$BY$1843,BY858,$AK$7:$AK$1843,"&gt;"&amp;AK858)+SUMIFS($AH$7:$AH$1843,$BY$7:$BY$1843,BY858,$AK$7:$AK$1843,AK858,$BQ$7:$BQ$1843,"&lt;="&amp;BQ858),"")</f>
        <v>29.1189740211479</v>
      </c>
      <c r="AM858" s="65" t="n">
        <f aca="false">IF(AL858="",0,MAX(0,MIN(1,(IF(BY858="L1",Parameter!$E$5,Parameter!$E$6+Parameter!$E$7)-(AL858-AH858))/AH858)))</f>
        <v>1</v>
      </c>
      <c r="AN858" s="57" t="n">
        <f aca="false">IF(LEFT(Cockpit!$I$5,1)="A",H858,IF(CA858=1,CB858,IF(LEFT(Cockpit!$I$5,1)="B",AR858,MAX(AR858,H858))))</f>
        <v>23</v>
      </c>
      <c r="AO858" s="57" t="n">
        <f aca="false">IF(BT858=1,0,ROUNDUP(AN858/BS858,0))</f>
        <v>1</v>
      </c>
      <c r="AP858" s="59" t="n">
        <f aca="false">IF(CH858&gt;0,CH858*MAX(1,AN858/X858),IF(BT858=1,IF(AN858&lt;=0,0,BW858*MAX(1,IF(H858&gt;0,AN858/H858,1))),IF(R858&gt;0,AO858/R858,0))/MAX(0.1,N(Parameter!$M$21)))</f>
        <v>0.00757575757575758</v>
      </c>
      <c r="AQ858" s="57" t="n">
        <f aca="false">AN858*G858</f>
        <v>445.97</v>
      </c>
      <c r="AR858" s="57" t="n">
        <f aca="false">ROUNDUP(MAX(J858/IF(BZ858&gt;0,BZ858,MAX(0.1,N(Cockpit!$I$6))),CC858)/BS858,0)*BS858</f>
        <v>23</v>
      </c>
      <c r="AS858" s="58" t="n">
        <f aca="false">IF(AP858&gt;0,J858/AP858,-1)</f>
        <v>264</v>
      </c>
      <c r="AT858" s="58" t="n">
        <f aca="false">IF(AND(OR(BY858="L1",BY858="L23"),AP858&gt;0),SUMIFS($AP$7:$AP$1843,$BY$7:$BY$1843,BY858,$AS$7:$AS$1843,"&gt;"&amp;AS858)+SUMIFS($AP$7:$AP$1843,$BY$7:$BY$1843,BY858,$AS$7:$AS$1843,AS858,$BQ$7:$BQ$1843,"&lt;="&amp;BQ858),"")</f>
        <v>42.2977602108037</v>
      </c>
      <c r="AU858" s="65" t="n">
        <f aca="false">IF(AT858="",0,MAX(0,MIN(1,(IF(BY858="L1",Parameter!$E$5,Parameter!$E$6+Parameter!$E$7)-(AT858-AP858))/AP858)))</f>
        <v>1</v>
      </c>
      <c r="AV858" s="57" t="n">
        <f aca="false">IF(LEFT(Cockpit!$O$5,1)="A",H858,IF(CA858=1,CB858,IF(LEFT(Cockpit!$O$5,1)="B",AZ858,MAX(AZ858,H858))))</f>
        <v>23</v>
      </c>
      <c r="AW858" s="57" t="n">
        <f aca="false">IF(BT858=1,0,ROUNDUP(AV858/BS858,0))</f>
        <v>1</v>
      </c>
      <c r="AX858" s="59" t="n">
        <f aca="false">IF(CH858&gt;0,CH858*MAX(1,AV858/X858),IF(BT858=1,IF(AV858&lt;=0,0,BW858*MAX(1,IF(H858&gt;0,AV858/H858,1))),IF(R858&gt;0,AW858/R858,0))/MAX(0.1,N(Parameter!$M$21)))</f>
        <v>0.00757575757575758</v>
      </c>
      <c r="AY858" s="57" t="n">
        <f aca="false">AV858*G858</f>
        <v>445.97</v>
      </c>
      <c r="AZ858" s="57" t="n">
        <f aca="false">ROUNDUP(MAX(J858/IF(BZ858&gt;0,BZ858,MAX(0.1,N(Cockpit!$O$6))),CC858)/BS858,0)*BS858</f>
        <v>23</v>
      </c>
      <c r="BA858" s="58" t="n">
        <f aca="false">IF(AX858&gt;0,J858/AX858,-1)</f>
        <v>264</v>
      </c>
      <c r="BB858" s="58" t="n">
        <f aca="false">IF(AND(OR(BY858="L1",BY858="L23"),AX858&gt;0),SUMIFS($AX$7:$AX$1843,$BY$7:$BY$1843,BY858,$BA$7:$BA$1843,"&gt;"&amp;BA858)+SUMIFS($AX$7:$AX$1843,$BY$7:$BY$1843,BY858,$BA$7:$BA$1843,BA858,$BQ$7:$BQ$1843,"&lt;="&amp;BQ858),"")</f>
        <v>38.6275970406405</v>
      </c>
      <c r="BC858" s="65" t="n">
        <f aca="false">IF(BB858="",0,MAX(0,MIN(1,(IF(BY858="L1",Parameter!$E$5,Parameter!$E$6+Parameter!$E$7)-(BB858-AX858))/AX858)))</f>
        <v>1</v>
      </c>
      <c r="BD858" s="55" t="str">
        <f aca="false">IF(AH858&lt;=0,"",IF(BY858="Aussen","Aussenlager",IF(BY858="-","Nicht im Lift",IF(AM858&gt;=1,"Lift",IF(AM858&lt;=0,"Aussenlager","teilweise")))))</f>
        <v>Lift</v>
      </c>
      <c r="BE858" s="55" t="str">
        <f aca="false">IF(AP858&lt;=0,"",IF(BY858="Aussen","Aussenlager",IF(BY858="-","Nicht im Lift",IF(AU858&gt;=1,"Lift",IF(AU858&lt;=0,"Aussenlager","teilweise")))))</f>
        <v>Lift</v>
      </c>
      <c r="BF858" s="55" t="str">
        <f aca="false">IF(AX858&lt;=0,"",IF(BY858="Aussen","Aussenlager",IF(BY858="-","Nicht im Lift",IF(BC858&gt;=1,"Lift",IF(BC858&lt;=0,"Aussenlager","teilweise")))))</f>
        <v>Lift</v>
      </c>
      <c r="BG858" s="55" t="str">
        <f aca="false">IF(A858="","",IF(BP858=1,"Neu; ","")&amp;IF(AND(BP858=0,BK858&lt;0),"negativer Bestand (Export "&amp;BK858&amp;"); ","")&amp;IF(J858&lt;=0,"Kein Verbrauch; ","")&amp;IF(CH858&gt;0,"Lift "&amp;W858&amp;" lt. Liftbericht (Fach "&amp;X858&amp;" Stk); ",IF(BU858=1,"Gebinde geschätzt ("&amp;T858&amp;"); ",IF(BT858=1,"Lose – Tablare geschätzt; ","")))&amp;IF(H858&gt;AR858,"Überbestand "&amp;ROUND(H858-AR858,0)&amp;" Stk / CHF "&amp;ROUND((H858-AR858)*G858,0)&amp;"; ","")&amp;IF(AND(CA858=1,CB858&lt;CC858),"MAX &lt; MB+LG; ","")&amp;IF(AND(CG858&gt;0,CF858*10&gt;CG858),"zu hoch für Tablar; ","")&amp;IF(AND(BP858=0,OR(CA858=1,AA858&lt;&gt;"",U858&lt;&gt;"",V858&lt;&gt;"",AB858&lt;&gt;"")),"manuell übersteuert; ","")&amp;IF(AND(BT858=0,R858=0),"Gebinde unbekannt / Stellmass fehlt; ","")&amp;IF(AND(BT858=0,N(V858)&lt;=0,N(Q858)&lt;=0),"Menge pro Gebinde fehlt (Ist = 1 Gebinde); ","")&amp;BO858)</f>
        <v>negativer Bestand (Export -1); </v>
      </c>
      <c r="BH858" s="55"/>
      <c r="BI858" s="55"/>
      <c r="BJ858" s="62"/>
      <c r="BK858" s="57" t="n">
        <v>-1</v>
      </c>
      <c r="BL858" s="57" t="n">
        <v>18</v>
      </c>
      <c r="BM858" s="56" t="n">
        <v>-19.39</v>
      </c>
      <c r="BN858" s="57" t="n">
        <v>2</v>
      </c>
      <c r="BO858" s="55"/>
      <c r="BP858" s="60" t="n">
        <v>0</v>
      </c>
      <c r="BQ858" s="60" t="n">
        <v>858</v>
      </c>
      <c r="BR858" s="55" t="str">
        <f aca="false">IF(U858&lt;&gt;"",UPPER(TRIM(U858)),IF(BU858=1,UPPER(VLOOKUP(T858,Parameter!$I$27:$K$29,2,0)),IF(P858="","LOSE",P858)))</f>
        <v>S32</v>
      </c>
      <c r="BS858" s="57" t="n">
        <f aca="false">IF(BR858="LOSE",1,IF(N(V858)&gt;0,V858,IF(BU858=1,MAX(1,N(VLOOKUP(T858,Parameter!$I$27:$K$29,3,0)),H858,N(N858)),IF(N(Q858)&gt;0,Q858,MAX(1,H858)))))</f>
        <v>23</v>
      </c>
      <c r="BT858" s="60" t="n">
        <f aca="false">IF(BR858="LOSE",1,0)</f>
        <v>0</v>
      </c>
      <c r="BU858" s="60" t="n">
        <f aca="false">IF(AND(U858="",OR(P858="",P858="LOSE"),T858&lt;&gt;"",N(S858)&lt;=0,ISNUMBER(MATCH(T858,Parameter!$I$27:$I$29,0))),1,0)</f>
        <v>0</v>
      </c>
      <c r="BV858" s="55" t="str">
        <f aca="false">IF(AND(Parameter!$B$19="Ja",E858&lt;&gt;"",ISNUMBER(MATCH(E858,Parameter!$I$35:$I$52,0))),VLOOKUP(E858,Parameter!$I$35:$J$52,2,0),IFERROR(VLOOKUP(D858,Parameter!$A$35:$C$64,2,0),"Nein"))</f>
        <v>2+3</v>
      </c>
      <c r="BW858" s="59" t="n">
        <f aca="false">IF(BT858=0,0,IF(N(S858)&gt;0,S858,IFERROR(VLOOKUP(D858,Parameter!$A$35:$C$64,3,0)+0,0)))</f>
        <v>0</v>
      </c>
      <c r="BX858" s="55" t="n">
        <f aca="false">IF(AA858&lt;&gt;"",AA858,Z858)</f>
        <v>3</v>
      </c>
      <c r="BY858" s="55" t="str">
        <f aca="false">IF(BX858=1,"L1",IF(OR(BX858=2,BX858=3),"L23",IF(BX858="Aussen","Aussen","-")))</f>
        <v>L23</v>
      </c>
      <c r="BZ858" s="66" t="n">
        <f aca="false">IF(N(AB858)&gt;0,AB858,0)</f>
        <v>0</v>
      </c>
      <c r="CA858" s="60" t="n">
        <f aca="false">IF(ISNUMBER(AE858),1,0)</f>
        <v>0</v>
      </c>
      <c r="CB858" s="57" t="n">
        <f aca="false">N(AE858)</f>
        <v>0</v>
      </c>
      <c r="CC858" s="57" t="n">
        <f aca="false">N(M858)+N(N858)</f>
        <v>1</v>
      </c>
      <c r="CD858" s="57" t="n">
        <f aca="false">ROUNDUP(H858/BS858,0)</f>
        <v>1</v>
      </c>
      <c r="CE858" s="57" t="n">
        <f aca="false">ROUNDUP(CB858/BS858,0)</f>
        <v>0</v>
      </c>
      <c r="CF858" s="60" t="n">
        <f aca="false">IF(BT858=1,0,IFERROR(VLOOKUP(BR858,'Gebinde-Kategorie'!$A$5:$M$45,5,0)+0,0))</f>
        <v>8</v>
      </c>
      <c r="CG858" s="60" t="n">
        <f aca="false">IFERROR(IF(OR(BX858=1,BX858=2,BX858=3),N(INDEX(Parameter!$I$5:$I$7,BX858)),0),0)</f>
        <v>0</v>
      </c>
      <c r="CH858" s="59" t="n">
        <f aca="false">IF(AND(Parameter!$B$21="Ja",ISNUMBER(W858),N(X858)&gt;0),IFERROR(N(INDEX(Parameter!$L$5:$L$7,W858))*INDEX(Parameter!$E$5:$E$7,W858)*X858/SUMIFS($X$7:$X$1843,$W$7:$W$1843,W858),0),0)</f>
        <v>0</v>
      </c>
    </row>
    <row r="859" customFormat="false" ht="15" hidden="false" customHeight="false" outlineLevel="0" collapsed="false">
      <c r="A859" s="55" t="s">
        <v>1637</v>
      </c>
      <c r="B859" s="55" t="s">
        <v>1638</v>
      </c>
      <c r="C859" s="55" t="s">
        <v>164</v>
      </c>
      <c r="D859" s="55" t="s">
        <v>184</v>
      </c>
      <c r="E859" s="55" t="s">
        <v>185</v>
      </c>
      <c r="F859" s="55" t="s">
        <v>218</v>
      </c>
      <c r="G859" s="56" t="n">
        <v>0.2</v>
      </c>
      <c r="H859" s="57" t="n">
        <f aca="false">MAX(0,IF(AND(Parameter!$B$21="Ja",ISNUMBER(Y859)),Y859,IF(Parameter!$B$20="Jahresanfang 2025 + Export",BL859+BK859,BK859)))</f>
        <v>109</v>
      </c>
      <c r="I859" s="57" t="n">
        <f aca="false">H859*G859</f>
        <v>21.8</v>
      </c>
      <c r="J859" s="57" t="n">
        <f aca="false">BN859*Parameter!$B$18</f>
        <v>163</v>
      </c>
      <c r="K859" s="58" t="n">
        <v>291.5</v>
      </c>
      <c r="L859" s="59" t="n">
        <v>0.55917667238422</v>
      </c>
      <c r="M859" s="57" t="n">
        <v>9</v>
      </c>
      <c r="N859" s="57" t="n">
        <v>250</v>
      </c>
      <c r="O859" s="60" t="n">
        <v>21</v>
      </c>
      <c r="P859" s="55" t="s">
        <v>476</v>
      </c>
      <c r="Q859" s="57" t="n">
        <v>125</v>
      </c>
      <c r="R859" s="60" t="n">
        <f aca="false">IF(BT859=1,0,IFERROR(VLOOKUP(BR859,'Gebinde-Kategorie'!$A$5:$M$45,13,0)+0,0))</f>
        <v>66</v>
      </c>
      <c r="S859" s="61"/>
      <c r="T859" s="62"/>
      <c r="U859" s="62"/>
      <c r="V859" s="62"/>
      <c r="W859" s="55"/>
      <c r="X859" s="57"/>
      <c r="Y859" s="57"/>
      <c r="Z859" s="55" t="n">
        <f aca="false">IF(A859="","",IF(AND(Parameter!$B$21="Ja",ISNUMBER(W859)),W859,IF(BV859="2+3",IF(ISNUMBER(SEARCH("grosser Artikel",BO859)),2,IFERROR(VLOOKUP(BR859,Parameter!$F$35:$G$64,2,0),2)),IF(OR(BV859="Nein",BV859=""),"-",BV859))))</f>
        <v>3</v>
      </c>
      <c r="AA859" s="62"/>
      <c r="AB859" s="63"/>
      <c r="AC859" s="57" t="n">
        <f aca="false">AR859</f>
        <v>375</v>
      </c>
      <c r="AD859" s="57" t="n">
        <f aca="false">MAX(AR859,H859)</f>
        <v>375</v>
      </c>
      <c r="AE859" s="64"/>
      <c r="AF859" s="57" t="n">
        <f aca="false">IF(LEFT(Cockpit!$C$5,1)="A",H859,IF(CA859=1,CB859,IF(LEFT(Cockpit!$C$5,1)="B",AJ859,MAX(AJ859,H859))))</f>
        <v>109</v>
      </c>
      <c r="AG859" s="57" t="n">
        <f aca="false">IF(BT859=1,0,ROUNDUP(AF859/BS859,0))</f>
        <v>1</v>
      </c>
      <c r="AH859" s="59" t="n">
        <f aca="false">IF(CH859&gt;0,CH859*MAX(1,AF859/X859),IF(BT859=1,IF(AF859&lt;=0,0,BW859*MAX(1,IF(H859&gt;0,AF859/H859,1))),IF(R859&gt;0,AG859/R859,0))/MAX(0.1,N(Parameter!$M$21)))</f>
        <v>0.0151515151515152</v>
      </c>
      <c r="AI859" s="57" t="n">
        <f aca="false">AF859*G859</f>
        <v>21.8</v>
      </c>
      <c r="AJ859" s="57" t="n">
        <f aca="false">ROUNDUP(MAX(J859/IF(BZ859&gt;0,BZ859,MAX(0.1,N(Cockpit!$C$6))),CC859)/BS859,0)*BS859</f>
        <v>375</v>
      </c>
      <c r="AK859" s="58" t="n">
        <f aca="false">IF(AH859&gt;0,J859/AH859,-1)</f>
        <v>10758</v>
      </c>
      <c r="AL859" s="58" t="n">
        <f aca="false">IF(AND(OR(BY859="L1",BY859="L23"),AH859&gt;0),SUMIFS($AH$7:$AH$1843,$BY$7:$BY$1843,BY859,$AK$7:$AK$1843,"&gt;"&amp;AK859)+SUMIFS($AH$7:$AH$1843,$BY$7:$BY$1843,BY859,$AK$7:$AK$1843,AK859,$BQ$7:$BQ$1843,"&lt;="&amp;BQ859),"")</f>
        <v>5.16995202864768</v>
      </c>
      <c r="AM859" s="65" t="n">
        <f aca="false">IF(AL859="",0,MAX(0,MIN(1,(IF(BY859="L1",Parameter!$E$5,Parameter!$E$6+Parameter!$E$7)-(AL859-AH859))/AH859)))</f>
        <v>1</v>
      </c>
      <c r="AN859" s="57" t="n">
        <f aca="false">IF(LEFT(Cockpit!$I$5,1)="A",H859,IF(CA859=1,CB859,IF(LEFT(Cockpit!$I$5,1)="B",AR859,MAX(AR859,H859))))</f>
        <v>375</v>
      </c>
      <c r="AO859" s="57" t="n">
        <f aca="false">IF(BT859=1,0,ROUNDUP(AN859/BS859,0))</f>
        <v>3</v>
      </c>
      <c r="AP859" s="59" t="n">
        <f aca="false">IF(CH859&gt;0,CH859*MAX(1,AN859/X859),IF(BT859=1,IF(AN859&lt;=0,0,BW859*MAX(1,IF(H859&gt;0,AN859/H859,1))),IF(R859&gt;0,AO859/R859,0))/MAX(0.1,N(Parameter!$M$21)))</f>
        <v>0.0454545454545455</v>
      </c>
      <c r="AQ859" s="57" t="n">
        <f aca="false">AN859*G859</f>
        <v>75</v>
      </c>
      <c r="AR859" s="57" t="n">
        <f aca="false">ROUNDUP(MAX(J859/IF(BZ859&gt;0,BZ859,MAX(0.1,N(Cockpit!$I$6))),CC859)/BS859,0)*BS859</f>
        <v>375</v>
      </c>
      <c r="AS859" s="58" t="n">
        <f aca="false">IF(AP859&gt;0,J859/AP859,-1)</f>
        <v>3586</v>
      </c>
      <c r="AT859" s="58" t="n">
        <f aca="false">IF(AND(OR(BY859="L1",BY859="L23"),AP859&gt;0),SUMIFS($AP$7:$AP$1843,$BY$7:$BY$1843,BY859,$AS$7:$AS$1843,"&gt;"&amp;AS859)+SUMIFS($AP$7:$AP$1843,$BY$7:$BY$1843,BY859,$AS$7:$AS$1843,AS859,$BQ$7:$BQ$1843,"&lt;="&amp;BQ859),"")</f>
        <v>14.0945829532786</v>
      </c>
      <c r="AU859" s="65" t="n">
        <f aca="false">IF(AT859="",0,MAX(0,MIN(1,(IF(BY859="L1",Parameter!$E$5,Parameter!$E$6+Parameter!$E$7)-(AT859-AP859))/AP859)))</f>
        <v>1</v>
      </c>
      <c r="AV859" s="57" t="n">
        <f aca="false">IF(LEFT(Cockpit!$O$5,1)="A",H859,IF(CA859=1,CB859,IF(LEFT(Cockpit!$O$5,1)="B",AZ859,MAX(AZ859,H859))))</f>
        <v>375</v>
      </c>
      <c r="AW859" s="57" t="n">
        <f aca="false">IF(BT859=1,0,ROUNDUP(AV859/BS859,0))</f>
        <v>3</v>
      </c>
      <c r="AX859" s="59" t="n">
        <f aca="false">IF(CH859&gt;0,CH859*MAX(1,AV859/X859),IF(BT859=1,IF(AV859&lt;=0,0,BW859*MAX(1,IF(H859&gt;0,AV859/H859,1))),IF(R859&gt;0,AW859/R859,0))/MAX(0.1,N(Parameter!$M$21)))</f>
        <v>0.0454545454545455</v>
      </c>
      <c r="AY859" s="57" t="n">
        <f aca="false">AV859*G859</f>
        <v>75</v>
      </c>
      <c r="AZ859" s="57" t="n">
        <f aca="false">ROUNDUP(MAX(J859/IF(BZ859&gt;0,BZ859,MAX(0.1,N(Cockpit!$O$6))),CC859)/BS859,0)*BS859</f>
        <v>375</v>
      </c>
      <c r="BA859" s="58" t="n">
        <f aca="false">IF(AX859&gt;0,J859/AX859,-1)</f>
        <v>3586</v>
      </c>
      <c r="BB859" s="58" t="n">
        <f aca="false">IF(AND(OR(BY859="L1",BY859="L23"),AX859&gt;0),SUMIFS($AX$7:$AX$1843,$BY$7:$BY$1843,BY859,$BA$7:$BA$1843,"&gt;"&amp;BA859)+SUMIFS($AX$7:$AX$1843,$BY$7:$BY$1843,BY859,$BA$7:$BA$1843,BA859,$BQ$7:$BQ$1843,"&lt;="&amp;BQ859),"")</f>
        <v>12.6615992702949</v>
      </c>
      <c r="BC859" s="65" t="n">
        <f aca="false">IF(BB859="",0,MAX(0,MIN(1,(IF(BY859="L1",Parameter!$E$5,Parameter!$E$6+Parameter!$E$7)-(BB859-AX859))/AX859)))</f>
        <v>1</v>
      </c>
      <c r="BD859" s="55" t="str">
        <f aca="false">IF(AH859&lt;=0,"",IF(BY859="Aussen","Aussenlager",IF(BY859="-","Nicht im Lift",IF(AM859&gt;=1,"Lift",IF(AM859&lt;=0,"Aussenlager","teilweise")))))</f>
        <v>Lift</v>
      </c>
      <c r="BE859" s="55" t="str">
        <f aca="false">IF(AP859&lt;=0,"",IF(BY859="Aussen","Aussenlager",IF(BY859="-","Nicht im Lift",IF(AU859&gt;=1,"Lift",IF(AU859&lt;=0,"Aussenlager","teilweise")))))</f>
        <v>Lift</v>
      </c>
      <c r="BF859" s="55" t="str">
        <f aca="false">IF(AX859&lt;=0,"",IF(BY859="Aussen","Aussenlager",IF(BY859="-","Nicht im Lift",IF(BC859&gt;=1,"Lift",IF(BC859&lt;=0,"Aussenlager","teilweise")))))</f>
        <v>Lift</v>
      </c>
      <c r="BG859" s="55" t="str">
        <f aca="false">IF(A859="","",IF(BP859=1,"Neu; ","")&amp;IF(AND(BP859=0,BK859&lt;0),"negativer Bestand (Export "&amp;BK859&amp;"); ","")&amp;IF(J859&lt;=0,"Kein Verbrauch; ","")&amp;IF(CH859&gt;0,"Lift "&amp;W859&amp;" lt. Liftbericht (Fach "&amp;X859&amp;" Stk); ",IF(BU859=1,"Gebinde geschätzt ("&amp;T859&amp;"); ",IF(BT859=1,"Lose – Tablare geschätzt; ","")))&amp;IF(H859&gt;AR859,"Überbestand "&amp;ROUND(H859-AR859,0)&amp;" Stk / CHF "&amp;ROUND((H859-AR859)*G859,0)&amp;"; ","")&amp;IF(AND(CA859=1,CB859&lt;CC859),"MAX &lt; MB+LG; ","")&amp;IF(AND(CG859&gt;0,CF859*10&gt;CG859),"zu hoch für Tablar; ","")&amp;IF(AND(BP859=0,OR(CA859=1,AA859&lt;&gt;"",U859&lt;&gt;"",V859&lt;&gt;"",AB859&lt;&gt;"")),"manuell übersteuert; ","")&amp;IF(AND(BT859=0,R859=0),"Gebinde unbekannt / Stellmass fehlt; ","")&amp;IF(AND(BT859=0,N(V859)&lt;=0,N(Q859)&lt;=0),"Menge pro Gebinde fehlt (Ist = 1 Gebinde); ","")&amp;BO859)</f>
        <v>negativer Bestand (Export -223); </v>
      </c>
      <c r="BH859" s="55"/>
      <c r="BI859" s="55"/>
      <c r="BJ859" s="62"/>
      <c r="BK859" s="57" t="n">
        <v>-223</v>
      </c>
      <c r="BL859" s="57" t="n">
        <v>332</v>
      </c>
      <c r="BM859" s="56" t="n">
        <v>-19.88</v>
      </c>
      <c r="BN859" s="57" t="n">
        <v>163</v>
      </c>
      <c r="BO859" s="55"/>
      <c r="BP859" s="60" t="n">
        <v>0</v>
      </c>
      <c r="BQ859" s="60" t="n">
        <v>859</v>
      </c>
      <c r="BR859" s="55" t="str">
        <f aca="false">IF(U859&lt;&gt;"",UPPER(TRIM(U859)),IF(BU859=1,UPPER(VLOOKUP(T859,Parameter!$I$27:$K$29,2,0)),IF(P859="","LOSE",P859)))</f>
        <v>S33</v>
      </c>
      <c r="BS859" s="57" t="n">
        <f aca="false">IF(BR859="LOSE",1,IF(N(V859)&gt;0,V859,IF(BU859=1,MAX(1,N(VLOOKUP(T859,Parameter!$I$27:$K$29,3,0)),H859,N(N859)),IF(N(Q859)&gt;0,Q859,MAX(1,H859)))))</f>
        <v>125</v>
      </c>
      <c r="BT859" s="60" t="n">
        <f aca="false">IF(BR859="LOSE",1,0)</f>
        <v>0</v>
      </c>
      <c r="BU859" s="60" t="n">
        <f aca="false">IF(AND(U859="",OR(P859="",P859="LOSE"),T859&lt;&gt;"",N(S859)&lt;=0,ISNUMBER(MATCH(T859,Parameter!$I$27:$I$29,0))),1,0)</f>
        <v>0</v>
      </c>
      <c r="BV859" s="55" t="str">
        <f aca="false">IF(AND(Parameter!$B$19="Ja",E859&lt;&gt;"",ISNUMBER(MATCH(E859,Parameter!$I$35:$I$52,0))),VLOOKUP(E859,Parameter!$I$35:$J$52,2,0),IFERROR(VLOOKUP(D859,Parameter!$A$35:$C$64,2,0),"Nein"))</f>
        <v>2+3</v>
      </c>
      <c r="BW859" s="59" t="n">
        <f aca="false">IF(BT859=0,0,IF(N(S859)&gt;0,S859,IFERROR(VLOOKUP(D859,Parameter!$A$35:$C$64,3,0)+0,0)))</f>
        <v>0</v>
      </c>
      <c r="BX859" s="55" t="n">
        <f aca="false">IF(AA859&lt;&gt;"",AA859,Z859)</f>
        <v>3</v>
      </c>
      <c r="BY859" s="55" t="str">
        <f aca="false">IF(BX859=1,"L1",IF(OR(BX859=2,BX859=3),"L23",IF(BX859="Aussen","Aussen","-")))</f>
        <v>L23</v>
      </c>
      <c r="BZ859" s="66" t="n">
        <f aca="false">IF(N(AB859)&gt;0,AB859,0)</f>
        <v>0</v>
      </c>
      <c r="CA859" s="60" t="n">
        <f aca="false">IF(ISNUMBER(AE859),1,0)</f>
        <v>0</v>
      </c>
      <c r="CB859" s="57" t="n">
        <f aca="false">N(AE859)</f>
        <v>0</v>
      </c>
      <c r="CC859" s="57" t="n">
        <f aca="false">N(M859)+N(N859)</f>
        <v>259</v>
      </c>
      <c r="CD859" s="57" t="n">
        <f aca="false">ROUNDUP(H859/BS859,0)</f>
        <v>1</v>
      </c>
      <c r="CE859" s="57" t="n">
        <f aca="false">ROUNDUP(CB859/BS859,0)</f>
        <v>0</v>
      </c>
      <c r="CF859" s="60" t="n">
        <f aca="false">IF(BT859=1,0,IFERROR(VLOOKUP(BR859,'Gebinde-Kategorie'!$A$5:$M$45,5,0)+0,0))</f>
        <v>8</v>
      </c>
      <c r="CG859" s="60" t="n">
        <f aca="false">IFERROR(IF(OR(BX859=1,BX859=2,BX859=3),N(INDEX(Parameter!$I$5:$I$7,BX859)),0),0)</f>
        <v>0</v>
      </c>
      <c r="CH859" s="59" t="n">
        <f aca="false">IF(AND(Parameter!$B$21="Ja",ISNUMBER(W859),N(X859)&gt;0),IFERROR(N(INDEX(Parameter!$L$5:$L$7,W859))*INDEX(Parameter!$E$5:$E$7,W859)*X859/SUMIFS($X$7:$X$1843,$W$7:$W$1843,W859),0),0)</f>
        <v>0</v>
      </c>
    </row>
    <row r="860" customFormat="false" ht="15" hidden="false" customHeight="false" outlineLevel="0" collapsed="false">
      <c r="A860" s="55" t="s">
        <v>1639</v>
      </c>
      <c r="B860" s="55" t="s">
        <v>1640</v>
      </c>
      <c r="C860" s="55" t="s">
        <v>456</v>
      </c>
      <c r="D860" s="55" t="s">
        <v>184</v>
      </c>
      <c r="E860" s="55"/>
      <c r="F860" s="55" t="s">
        <v>218</v>
      </c>
      <c r="G860" s="56" t="n">
        <v>1.25</v>
      </c>
      <c r="H860" s="57" t="n">
        <f aca="false">MAX(0,IF(AND(Parameter!$B$21="Ja",ISNUMBER(Y860)),Y860,IF(Parameter!$B$20="Jahresanfang 2025 + Export",BL860+BK860,BK860)))</f>
        <v>16</v>
      </c>
      <c r="I860" s="57" t="n">
        <f aca="false">H860*G860</f>
        <v>20</v>
      </c>
      <c r="J860" s="57" t="n">
        <f aca="false">BN860*Parameter!$B$18</f>
        <v>16</v>
      </c>
      <c r="K860" s="58" t="n">
        <v>16</v>
      </c>
      <c r="L860" s="59" t="n">
        <v>1</v>
      </c>
      <c r="M860" s="57" t="n">
        <v>0</v>
      </c>
      <c r="N860" s="57" t="n">
        <v>15</v>
      </c>
      <c r="O860" s="60" t="n">
        <v>21</v>
      </c>
      <c r="P860" s="55" t="s">
        <v>168</v>
      </c>
      <c r="Q860" s="57"/>
      <c r="R860" s="60" t="n">
        <f aca="false">IF(BT860=1,0,IFERROR(VLOOKUP(BR860,'Gebinde-Kategorie'!$A$5:$M$45,13,0)+0,0))</f>
        <v>3</v>
      </c>
      <c r="S860" s="61"/>
      <c r="T860" s="62" t="s">
        <v>189</v>
      </c>
      <c r="U860" s="62"/>
      <c r="V860" s="62"/>
      <c r="W860" s="55"/>
      <c r="X860" s="57"/>
      <c r="Y860" s="57"/>
      <c r="Z860" s="55" t="n">
        <f aca="false">IF(A860="","",IF(AND(Parameter!$B$21="Ja",ISNUMBER(W860)),W860,IF(BV860="2+3",IF(ISNUMBER(SEARCH("grosser Artikel",BO860)),2,IFERROR(VLOOKUP(BR860,Parameter!$F$35:$G$64,2,0),2)),IF(OR(BV860="Nein",BV860=""),"-",BV860))))</f>
        <v>2</v>
      </c>
      <c r="AA860" s="62"/>
      <c r="AB860" s="63"/>
      <c r="AC860" s="57" t="n">
        <f aca="false">AR860</f>
        <v>16</v>
      </c>
      <c r="AD860" s="57" t="n">
        <f aca="false">MAX(AR860,H860)</f>
        <v>16</v>
      </c>
      <c r="AE860" s="64"/>
      <c r="AF860" s="57" t="n">
        <f aca="false">IF(LEFT(Cockpit!$C$5,1)="A",H860,IF(CA860=1,CB860,IF(LEFT(Cockpit!$C$5,1)="B",AJ860,MAX(AJ860,H860))))</f>
        <v>16</v>
      </c>
      <c r="AG860" s="57" t="n">
        <f aca="false">IF(BT860=1,0,ROUNDUP(AF860/BS860,0))</f>
        <v>1</v>
      </c>
      <c r="AH860" s="59" t="n">
        <f aca="false">IF(CH860&gt;0,CH860*MAX(1,AF860/X860),IF(BT860=1,IF(AF860&lt;=0,0,BW860*MAX(1,IF(H860&gt;0,AF860/H860,1))),IF(R860&gt;0,AG860/R860,0))/MAX(0.1,N(Parameter!$M$21)))</f>
        <v>0.333333333333333</v>
      </c>
      <c r="AI860" s="57" t="n">
        <f aca="false">AF860*G860</f>
        <v>20</v>
      </c>
      <c r="AJ860" s="57" t="n">
        <f aca="false">ROUNDUP(MAX(J860/IF(BZ860&gt;0,BZ860,MAX(0.1,N(Cockpit!$C$6))),CC860)/BS860,0)*BS860</f>
        <v>16</v>
      </c>
      <c r="AK860" s="58" t="n">
        <f aca="false">IF(AH860&gt;0,J860/AH860,-1)</f>
        <v>48</v>
      </c>
      <c r="AL860" s="58" t="n">
        <f aca="false">IF(AND(OR(BY860="L1",BY860="L23"),AH860&gt;0),SUMIFS($AH$7:$AH$1843,$BY$7:$BY$1843,BY860,$AK$7:$AK$1843,"&gt;"&amp;AK860)+SUMIFS($AH$7:$AH$1843,$BY$7:$BY$1843,BY860,$AK$7:$AK$1843,AK860,$BQ$7:$BQ$1843,"&lt;="&amp;BQ860),"")</f>
        <v>45.5683676227155</v>
      </c>
      <c r="AM860" s="65" t="n">
        <f aca="false">IF(AL860="",0,MAX(0,MIN(1,(IF(BY860="L1",Parameter!$E$5,Parameter!$E$6+Parameter!$E$7)-(AL860-AH860))/AH860)))</f>
        <v>1</v>
      </c>
      <c r="AN860" s="57" t="n">
        <f aca="false">IF(LEFT(Cockpit!$I$5,1)="A",H860,IF(CA860=1,CB860,IF(LEFT(Cockpit!$I$5,1)="B",AR860,MAX(AR860,H860))))</f>
        <v>16</v>
      </c>
      <c r="AO860" s="57" t="n">
        <f aca="false">IF(BT860=1,0,ROUNDUP(AN860/BS860,0))</f>
        <v>1</v>
      </c>
      <c r="AP860" s="59" t="n">
        <f aca="false">IF(CH860&gt;0,CH860*MAX(1,AN860/X860),IF(BT860=1,IF(AN860&lt;=0,0,BW860*MAX(1,IF(H860&gt;0,AN860/H860,1))),IF(R860&gt;0,AO860/R860,0))/MAX(0.1,N(Parameter!$M$21)))</f>
        <v>0.333333333333333</v>
      </c>
      <c r="AQ860" s="57" t="n">
        <f aca="false">AN860*G860</f>
        <v>20</v>
      </c>
      <c r="AR860" s="57" t="n">
        <f aca="false">ROUNDUP(MAX(J860/IF(BZ860&gt;0,BZ860,MAX(0.1,N(Cockpit!$I$6))),CC860)/BS860,0)*BS860</f>
        <v>16</v>
      </c>
      <c r="AS860" s="58" t="n">
        <f aca="false">IF(AP860&gt;0,J860/AP860,-1)</f>
        <v>48</v>
      </c>
      <c r="AT860" s="58" t="n">
        <f aca="false">IF(AND(OR(BY860="L1",BY860="L23"),AP860&gt;0),SUMIFS($AP$7:$AP$1843,$BY$7:$BY$1843,BY860,$AS$7:$AS$1843,"&gt;"&amp;AS860)+SUMIFS($AP$7:$AP$1843,$BY$7:$BY$1843,BY860,$AS$7:$AS$1843,AS860,$BQ$7:$BQ$1843,"&lt;="&amp;BQ860),"")</f>
        <v>68.6783892436067</v>
      </c>
      <c r="AU860" s="65" t="n">
        <f aca="false">IF(AT860="",0,MAX(0,MIN(1,(IF(BY860="L1",Parameter!$E$5,Parameter!$E$6+Parameter!$E$7)-(AT860-AP860))/AP860)))</f>
        <v>1</v>
      </c>
      <c r="AV860" s="57" t="n">
        <f aca="false">IF(LEFT(Cockpit!$O$5,1)="A",H860,IF(CA860=1,CB860,IF(LEFT(Cockpit!$O$5,1)="B",AZ860,MAX(AZ860,H860))))</f>
        <v>16</v>
      </c>
      <c r="AW860" s="57" t="n">
        <f aca="false">IF(BT860=1,0,ROUNDUP(AV860/BS860,0))</f>
        <v>1</v>
      </c>
      <c r="AX860" s="59" t="n">
        <f aca="false">IF(CH860&gt;0,CH860*MAX(1,AV860/X860),IF(BT860=1,IF(AV860&lt;=0,0,BW860*MAX(1,IF(H860&gt;0,AV860/H860,1))),IF(R860&gt;0,AW860/R860,0))/MAX(0.1,N(Parameter!$M$21)))</f>
        <v>0.333333333333333</v>
      </c>
      <c r="AY860" s="57" t="n">
        <f aca="false">AV860*G860</f>
        <v>20</v>
      </c>
      <c r="AZ860" s="57" t="n">
        <f aca="false">ROUNDUP(MAX(J860/IF(BZ860&gt;0,BZ860,MAX(0.1,N(Cockpit!$O$6))),CC860)/BS860,0)*BS860</f>
        <v>16</v>
      </c>
      <c r="BA860" s="58" t="n">
        <f aca="false">IF(AX860&gt;0,J860/AX860,-1)</f>
        <v>48</v>
      </c>
      <c r="BB860" s="58" t="n">
        <f aca="false">IF(AND(OR(BY860="L1",BY860="L23"),AX860&gt;0),SUMIFS($AX$7:$AX$1843,$BY$7:$BY$1843,BY860,$BA$7:$BA$1843,"&gt;"&amp;BA860)+SUMIFS($AX$7:$AX$1843,$BY$7:$BY$1843,BY860,$BA$7:$BA$1843,BA860,$BQ$7:$BQ$1843,"&lt;="&amp;BQ860),"")</f>
        <v>63.1748927401101</v>
      </c>
      <c r="BC860" s="65" t="n">
        <f aca="false">IF(BB860="",0,MAX(0,MIN(1,(IF(BY860="L1",Parameter!$E$5,Parameter!$E$6+Parameter!$E$7)-(BB860-AX860))/AX860)))</f>
        <v>1</v>
      </c>
      <c r="BD860" s="55" t="str">
        <f aca="false">IF(AH860&lt;=0,"",IF(BY860="Aussen","Aussenlager",IF(BY860="-","Nicht im Lift",IF(AM860&gt;=1,"Lift",IF(AM860&lt;=0,"Aussenlager","teilweise")))))</f>
        <v>Lift</v>
      </c>
      <c r="BE860" s="55" t="str">
        <f aca="false">IF(AP860&lt;=0,"",IF(BY860="Aussen","Aussenlager",IF(BY860="-","Nicht im Lift",IF(AU860&gt;=1,"Lift",IF(AU860&lt;=0,"Aussenlager","teilweise")))))</f>
        <v>Lift</v>
      </c>
      <c r="BF860" s="55" t="str">
        <f aca="false">IF(AX860&lt;=0,"",IF(BY860="Aussen","Aussenlager",IF(BY860="-","Nicht im Lift",IF(BC860&gt;=1,"Lift",IF(BC860&lt;=0,"Aussenlager","teilweise")))))</f>
        <v>Lift</v>
      </c>
      <c r="BG860" s="55" t="str">
        <f aca="false">IF(A860="","",IF(BP860=1,"Neu; ","")&amp;IF(AND(BP860=0,BK860&lt;0),"negativer Bestand (Export "&amp;BK860&amp;"); ","")&amp;IF(J860&lt;=0,"Kein Verbrauch; ","")&amp;IF(CH860&gt;0,"Lift "&amp;W860&amp;" lt. Liftbericht (Fach "&amp;X860&amp;" Stk); ",IF(BU860=1,"Gebinde geschätzt ("&amp;T860&amp;"); ",IF(BT860=1,"Lose – Tablare geschätzt; ","")))&amp;IF(H860&gt;AR860,"Überbestand "&amp;ROUND(H860-AR860,0)&amp;" Stk / CHF "&amp;ROUND((H860-AR860)*G860,0)&amp;"; ","")&amp;IF(AND(CA860=1,CB860&lt;CC860),"MAX &lt; MB+LG; ","")&amp;IF(AND(CG860&gt;0,CF860*10&gt;CG860),"zu hoch für Tablar; ","")&amp;IF(AND(BP860=0,OR(CA860=1,AA860&lt;&gt;"",U860&lt;&gt;"",V860&lt;&gt;"",AB860&lt;&gt;"")),"manuell übersteuert; ","")&amp;IF(AND(BT860=0,R860=0),"Gebinde unbekannt / Stellmass fehlt; ","")&amp;IF(AND(BT860=0,N(V860)&lt;=0,N(Q860)&lt;=0),"Menge pro Gebinde fehlt (Ist = 1 Gebinde); ","")&amp;BO860)</f>
        <v>negativer Bestand (Export -16); Gebinde geschätzt (Gross); Menge pro Gebinde fehlt (Ist = 1 Gebinde); </v>
      </c>
      <c r="BH860" s="55"/>
      <c r="BI860" s="55"/>
      <c r="BJ860" s="62"/>
      <c r="BK860" s="57" t="n">
        <v>-16</v>
      </c>
      <c r="BL860" s="57" t="n">
        <v>32</v>
      </c>
      <c r="BM860" s="56" t="n">
        <v>-20</v>
      </c>
      <c r="BN860" s="57" t="n">
        <v>16</v>
      </c>
      <c r="BO860" s="55"/>
      <c r="BP860" s="60" t="n">
        <v>0</v>
      </c>
      <c r="BQ860" s="60" t="n">
        <v>860</v>
      </c>
      <c r="BR860" s="55" t="str">
        <f aca="false">IF(U860&lt;&gt;"",UPPER(TRIM(U860)),IF(BU860=1,UPPER(VLOOKUP(T860,Parameter!$I$27:$K$29,2,0)),IF(P860="","LOSE",P860)))</f>
        <v>S81</v>
      </c>
      <c r="BS860" s="57" t="n">
        <f aca="false">IF(BR860="LOSE",1,IF(N(V860)&gt;0,V860,IF(BU860=1,MAX(1,N(VLOOKUP(T860,Parameter!$I$27:$K$29,3,0)),H860,N(N860)),IF(N(Q860)&gt;0,Q860,MAX(1,H860)))))</f>
        <v>16</v>
      </c>
      <c r="BT860" s="60" t="n">
        <f aca="false">IF(BR860="LOSE",1,0)</f>
        <v>0</v>
      </c>
      <c r="BU860" s="60" t="n">
        <f aca="false">IF(AND(U860="",OR(P860="",P860="LOSE"),T860&lt;&gt;"",N(S860)&lt;=0,ISNUMBER(MATCH(T860,Parameter!$I$27:$I$29,0))),1,0)</f>
        <v>1</v>
      </c>
      <c r="BV860" s="55" t="str">
        <f aca="false">IF(AND(Parameter!$B$19="Ja",E860&lt;&gt;"",ISNUMBER(MATCH(E860,Parameter!$I$35:$I$52,0))),VLOOKUP(E860,Parameter!$I$35:$J$52,2,0),IFERROR(VLOOKUP(D860,Parameter!$A$35:$C$64,2,0),"Nein"))</f>
        <v>2+3</v>
      </c>
      <c r="BW860" s="59" t="n">
        <f aca="false">IF(BT860=0,0,IF(N(S860)&gt;0,S860,IFERROR(VLOOKUP(D860,Parameter!$A$35:$C$64,3,0)+0,0)))</f>
        <v>0</v>
      </c>
      <c r="BX860" s="55" t="n">
        <f aca="false">IF(AA860&lt;&gt;"",AA860,Z860)</f>
        <v>2</v>
      </c>
      <c r="BY860" s="55" t="str">
        <f aca="false">IF(BX860=1,"L1",IF(OR(BX860=2,BX860=3),"L23",IF(BX860="Aussen","Aussen","-")))</f>
        <v>L23</v>
      </c>
      <c r="BZ860" s="66" t="n">
        <f aca="false">IF(N(AB860)&gt;0,AB860,0)</f>
        <v>0</v>
      </c>
      <c r="CA860" s="60" t="n">
        <f aca="false">IF(ISNUMBER(AE860),1,0)</f>
        <v>0</v>
      </c>
      <c r="CB860" s="57" t="n">
        <f aca="false">N(AE860)</f>
        <v>0</v>
      </c>
      <c r="CC860" s="57" t="n">
        <f aca="false">N(M860)+N(N860)</f>
        <v>15</v>
      </c>
      <c r="CD860" s="57" t="n">
        <f aca="false">ROUNDUP(H860/BS860,0)</f>
        <v>1</v>
      </c>
      <c r="CE860" s="57" t="n">
        <f aca="false">ROUNDUP(CB860/BS860,0)</f>
        <v>0</v>
      </c>
      <c r="CF860" s="60" t="n">
        <f aca="false">IF(BT860=1,0,IFERROR(VLOOKUP(BR860,'Gebinde-Kategorie'!$A$5:$M$45,5,0)+0,0))</f>
        <v>20</v>
      </c>
      <c r="CG860" s="60" t="n">
        <f aca="false">IFERROR(IF(OR(BX860=1,BX860=2,BX860=3),N(INDEX(Parameter!$I$5:$I$7,BX860)),0),0)</f>
        <v>0</v>
      </c>
      <c r="CH860" s="59" t="n">
        <f aca="false">IF(AND(Parameter!$B$21="Ja",ISNUMBER(W860),N(X860)&gt;0),IFERROR(N(INDEX(Parameter!$L$5:$L$7,W860))*INDEX(Parameter!$E$5:$E$7,W860)*X860/SUMIFS($X$7:$X$1843,$W$7:$W$1843,W860),0),0)</f>
        <v>0</v>
      </c>
    </row>
    <row r="861" customFormat="false" ht="15" hidden="false" customHeight="false" outlineLevel="0" collapsed="false">
      <c r="A861" s="55" t="s">
        <v>1641</v>
      </c>
      <c r="B861" s="55" t="s">
        <v>1092</v>
      </c>
      <c r="C861" s="55" t="s">
        <v>164</v>
      </c>
      <c r="D861" s="55" t="s">
        <v>184</v>
      </c>
      <c r="E861" s="55" t="s">
        <v>185</v>
      </c>
      <c r="F861" s="55" t="s">
        <v>218</v>
      </c>
      <c r="G861" s="56" t="n">
        <v>4.13</v>
      </c>
      <c r="H861" s="57" t="n">
        <f aca="false">MAX(0,IF(AND(Parameter!$B$21="Ja",ISNUMBER(Y861)),Y861,IF(Parameter!$B$20="Jahresanfang 2025 + Export",BL861+BK861,BK861)))</f>
        <v>6</v>
      </c>
      <c r="I861" s="57" t="n">
        <f aca="false">H861*G861</f>
        <v>24.78</v>
      </c>
      <c r="J861" s="57" t="n">
        <f aca="false">BN861*Parameter!$B$18</f>
        <v>10</v>
      </c>
      <c r="K861" s="58" t="n">
        <v>10.5</v>
      </c>
      <c r="L861" s="59" t="n">
        <v>0.952380952380952</v>
      </c>
      <c r="M861" s="57" t="n">
        <v>0</v>
      </c>
      <c r="N861" s="57" t="n">
        <v>10</v>
      </c>
      <c r="O861" s="60" t="n">
        <v>14</v>
      </c>
      <c r="P861" s="55" t="s">
        <v>421</v>
      </c>
      <c r="Q861" s="57" t="n">
        <v>20</v>
      </c>
      <c r="R861" s="60" t="n">
        <f aca="false">IF(BT861=1,0,IFERROR(VLOOKUP(BR861,'Gebinde-Kategorie'!$A$5:$M$45,13,0)+0,0))</f>
        <v>132</v>
      </c>
      <c r="S861" s="61"/>
      <c r="T861" s="62"/>
      <c r="U861" s="62"/>
      <c r="V861" s="62"/>
      <c r="W861" s="55"/>
      <c r="X861" s="57"/>
      <c r="Y861" s="57"/>
      <c r="Z861" s="55" t="n">
        <f aca="false">IF(A861="","",IF(AND(Parameter!$B$21="Ja",ISNUMBER(W861)),W861,IF(BV861="2+3",IF(ISNUMBER(SEARCH("grosser Artikel",BO861)),2,IFERROR(VLOOKUP(BR861,Parameter!$F$35:$G$64,2,0),2)),IF(OR(BV861="Nein",BV861=""),"-",BV861))))</f>
        <v>3</v>
      </c>
      <c r="AA861" s="62"/>
      <c r="AB861" s="63"/>
      <c r="AC861" s="57" t="n">
        <f aca="false">AR861</f>
        <v>20</v>
      </c>
      <c r="AD861" s="57" t="n">
        <f aca="false">MAX(AR861,H861)</f>
        <v>20</v>
      </c>
      <c r="AE861" s="64"/>
      <c r="AF861" s="57" t="n">
        <f aca="false">IF(LEFT(Cockpit!$C$5,1)="A",H861,IF(CA861=1,CB861,IF(LEFT(Cockpit!$C$5,1)="B",AJ861,MAX(AJ861,H861))))</f>
        <v>6</v>
      </c>
      <c r="AG861" s="57" t="n">
        <f aca="false">IF(BT861=1,0,ROUNDUP(AF861/BS861,0))</f>
        <v>1</v>
      </c>
      <c r="AH861" s="59" t="n">
        <f aca="false">IF(CH861&gt;0,CH861*MAX(1,AF861/X861),IF(BT861=1,IF(AF861&lt;=0,0,BW861*MAX(1,IF(H861&gt;0,AF861/H861,1))),IF(R861&gt;0,AG861/R861,0))/MAX(0.1,N(Parameter!$M$21)))</f>
        <v>0.00757575757575758</v>
      </c>
      <c r="AI861" s="57" t="n">
        <f aca="false">AF861*G861</f>
        <v>24.78</v>
      </c>
      <c r="AJ861" s="57" t="n">
        <f aca="false">ROUNDUP(MAX(J861/IF(BZ861&gt;0,BZ861,MAX(0.1,N(Cockpit!$C$6))),CC861)/BS861,0)*BS861</f>
        <v>20</v>
      </c>
      <c r="AK861" s="58" t="n">
        <f aca="false">IF(AH861&gt;0,J861/AH861,-1)</f>
        <v>1320</v>
      </c>
      <c r="AL861" s="58" t="n">
        <f aca="false">IF(AND(OR(BY861="L1",BY861="L23"),AH861&gt;0),SUMIFS($AH$7:$AH$1843,$BY$7:$BY$1843,BY861,$AK$7:$AK$1843,"&gt;"&amp;AK861)+SUMIFS($AH$7:$AH$1843,$BY$7:$BY$1843,BY861,$AK$7:$AK$1843,AK861,$BQ$7:$BQ$1843,"&lt;="&amp;BQ861),"")</f>
        <v>16.3371761089152</v>
      </c>
      <c r="AM861" s="65" t="n">
        <f aca="false">IF(AL861="",0,MAX(0,MIN(1,(IF(BY861="L1",Parameter!$E$5,Parameter!$E$6+Parameter!$E$7)-(AL861-AH861))/AH861)))</f>
        <v>1</v>
      </c>
      <c r="AN861" s="57" t="n">
        <f aca="false">IF(LEFT(Cockpit!$I$5,1)="A",H861,IF(CA861=1,CB861,IF(LEFT(Cockpit!$I$5,1)="B",AR861,MAX(AR861,H861))))</f>
        <v>20</v>
      </c>
      <c r="AO861" s="57" t="n">
        <f aca="false">IF(BT861=1,0,ROUNDUP(AN861/BS861,0))</f>
        <v>1</v>
      </c>
      <c r="AP861" s="59" t="n">
        <f aca="false">IF(CH861&gt;0,CH861*MAX(1,AN861/X861),IF(BT861=1,IF(AN861&lt;=0,0,BW861*MAX(1,IF(H861&gt;0,AN861/H861,1))),IF(R861&gt;0,AO861/R861,0))/MAX(0.1,N(Parameter!$M$21)))</f>
        <v>0.00757575757575758</v>
      </c>
      <c r="AQ861" s="57" t="n">
        <f aca="false">AN861*G861</f>
        <v>82.6</v>
      </c>
      <c r="AR861" s="57" t="n">
        <f aca="false">ROUNDUP(MAX(J861/IF(BZ861&gt;0,BZ861,MAX(0.1,N(Cockpit!$I$6))),CC861)/BS861,0)*BS861</f>
        <v>20</v>
      </c>
      <c r="AS861" s="58" t="n">
        <f aca="false">IF(AP861&gt;0,J861/AP861,-1)</f>
        <v>1320</v>
      </c>
      <c r="AT861" s="58" t="n">
        <f aca="false">IF(AND(OR(BY861="L1",BY861="L23"),AP861&gt;0),SUMIFS($AP$7:$AP$1843,$BY$7:$BY$1843,BY861,$AS$7:$AS$1843,"&gt;"&amp;AS861)+SUMIFS($AP$7:$AP$1843,$BY$7:$BY$1843,BY861,$AS$7:$AS$1843,AS861,$BQ$7:$BQ$1843,"&lt;="&amp;BQ861),"")</f>
        <v>21.8159014898145</v>
      </c>
      <c r="AU861" s="65" t="n">
        <f aca="false">IF(AT861="",0,MAX(0,MIN(1,(IF(BY861="L1",Parameter!$E$5,Parameter!$E$6+Parameter!$E$7)-(AT861-AP861))/AP861)))</f>
        <v>1</v>
      </c>
      <c r="AV861" s="57" t="n">
        <f aca="false">IF(LEFT(Cockpit!$O$5,1)="A",H861,IF(CA861=1,CB861,IF(LEFT(Cockpit!$O$5,1)="B",AZ861,MAX(AZ861,H861))))</f>
        <v>20</v>
      </c>
      <c r="AW861" s="57" t="n">
        <f aca="false">IF(BT861=1,0,ROUNDUP(AV861/BS861,0))</f>
        <v>1</v>
      </c>
      <c r="AX861" s="59" t="n">
        <f aca="false">IF(CH861&gt;0,CH861*MAX(1,AV861/X861),IF(BT861=1,IF(AV861&lt;=0,0,BW861*MAX(1,IF(H861&gt;0,AV861/H861,1))),IF(R861&gt;0,AW861/R861,0))/MAX(0.1,N(Parameter!$M$21)))</f>
        <v>0.00757575757575758</v>
      </c>
      <c r="AY861" s="57" t="n">
        <f aca="false">AV861*G861</f>
        <v>82.6</v>
      </c>
      <c r="AZ861" s="57" t="n">
        <f aca="false">ROUNDUP(MAX(J861/IF(BZ861&gt;0,BZ861,MAX(0.1,N(Cockpit!$O$6))),CC861)/BS861,0)*BS861</f>
        <v>20</v>
      </c>
      <c r="BA861" s="58" t="n">
        <f aca="false">IF(AX861&gt;0,J861/AX861,-1)</f>
        <v>1320</v>
      </c>
      <c r="BB861" s="58" t="n">
        <f aca="false">IF(AND(OR(BY861="L1",BY861="L23"),AX861&gt;0),SUMIFS($AX$7:$AX$1843,$BY$7:$BY$1843,BY861,$BA$7:$BA$1843,"&gt;"&amp;BA861)+SUMIFS($AX$7:$AX$1843,$BY$7:$BY$1843,BY861,$BA$7:$BA$1843,BA861,$BQ$7:$BQ$1843,"&lt;="&amp;BQ861),"")</f>
        <v>20.511122935036</v>
      </c>
      <c r="BC861" s="65" t="n">
        <f aca="false">IF(BB861="",0,MAX(0,MIN(1,(IF(BY861="L1",Parameter!$E$5,Parameter!$E$6+Parameter!$E$7)-(BB861-AX861))/AX861)))</f>
        <v>1</v>
      </c>
      <c r="BD861" s="55" t="str">
        <f aca="false">IF(AH861&lt;=0,"",IF(BY861="Aussen","Aussenlager",IF(BY861="-","Nicht im Lift",IF(AM861&gt;=1,"Lift",IF(AM861&lt;=0,"Aussenlager","teilweise")))))</f>
        <v>Lift</v>
      </c>
      <c r="BE861" s="55" t="str">
        <f aca="false">IF(AP861&lt;=0,"",IF(BY861="Aussen","Aussenlager",IF(BY861="-","Nicht im Lift",IF(AU861&gt;=1,"Lift",IF(AU861&lt;=0,"Aussenlager","teilweise")))))</f>
        <v>Lift</v>
      </c>
      <c r="BF861" s="55" t="str">
        <f aca="false">IF(AX861&lt;=0,"",IF(BY861="Aussen","Aussenlager",IF(BY861="-","Nicht im Lift",IF(BC861&gt;=1,"Lift",IF(BC861&lt;=0,"Aussenlager","teilweise")))))</f>
        <v>Lift</v>
      </c>
      <c r="BG861" s="55" t="str">
        <f aca="false">IF(A861="","",IF(BP861=1,"Neu; ","")&amp;IF(AND(BP861=0,BK861&lt;0),"negativer Bestand (Export "&amp;BK861&amp;"); ","")&amp;IF(J861&lt;=0,"Kein Verbrauch; ","")&amp;IF(CH861&gt;0,"Lift "&amp;W861&amp;" lt. Liftbericht (Fach "&amp;X861&amp;" Stk); ",IF(BU861=1,"Gebinde geschätzt ("&amp;T861&amp;"); ",IF(BT861=1,"Lose – Tablare geschätzt; ","")))&amp;IF(H861&gt;AR861,"Überbestand "&amp;ROUND(H861-AR861,0)&amp;" Stk / CHF "&amp;ROUND((H861-AR861)*G861,0)&amp;"; ","")&amp;IF(AND(CA861=1,CB861&lt;CC861),"MAX &lt; MB+LG; ","")&amp;IF(AND(CG861&gt;0,CF861*10&gt;CG861),"zu hoch für Tablar; ","")&amp;IF(AND(BP861=0,OR(CA861=1,AA861&lt;&gt;"",U861&lt;&gt;"",V861&lt;&gt;"",AB861&lt;&gt;"")),"manuell übersteuert; ","")&amp;IF(AND(BT861=0,R861=0),"Gebinde unbekannt / Stellmass fehlt; ","")&amp;IF(AND(BT861=0,N(V861)&lt;=0,N(Q861)&lt;=0),"Menge pro Gebinde fehlt (Ist = 1 Gebinde); ","")&amp;BO861)</f>
        <v>negativer Bestand (Export -5); </v>
      </c>
      <c r="BH861" s="55"/>
      <c r="BI861" s="55"/>
      <c r="BJ861" s="62"/>
      <c r="BK861" s="57" t="n">
        <v>-5</v>
      </c>
      <c r="BL861" s="57" t="n">
        <v>11</v>
      </c>
      <c r="BM861" s="56" t="n">
        <v>-20.43</v>
      </c>
      <c r="BN861" s="57" t="n">
        <v>10</v>
      </c>
      <c r="BO861" s="55"/>
      <c r="BP861" s="60" t="n">
        <v>0</v>
      </c>
      <c r="BQ861" s="60" t="n">
        <v>861</v>
      </c>
      <c r="BR861" s="55" t="str">
        <f aca="false">IF(U861&lt;&gt;"",UPPER(TRIM(U861)),IF(BU861=1,UPPER(VLOOKUP(T861,Parameter!$I$27:$K$29,2,0)),IF(P861="","LOSE",P861)))</f>
        <v>S32</v>
      </c>
      <c r="BS861" s="57" t="n">
        <f aca="false">IF(BR861="LOSE",1,IF(N(V861)&gt;0,V861,IF(BU861=1,MAX(1,N(VLOOKUP(T861,Parameter!$I$27:$K$29,3,0)),H861,N(N861)),IF(N(Q861)&gt;0,Q861,MAX(1,H861)))))</f>
        <v>20</v>
      </c>
      <c r="BT861" s="60" t="n">
        <f aca="false">IF(BR861="LOSE",1,0)</f>
        <v>0</v>
      </c>
      <c r="BU861" s="60" t="n">
        <f aca="false">IF(AND(U861="",OR(P861="",P861="LOSE"),T861&lt;&gt;"",N(S861)&lt;=0,ISNUMBER(MATCH(T861,Parameter!$I$27:$I$29,0))),1,0)</f>
        <v>0</v>
      </c>
      <c r="BV861" s="55" t="str">
        <f aca="false">IF(AND(Parameter!$B$19="Ja",E861&lt;&gt;"",ISNUMBER(MATCH(E861,Parameter!$I$35:$I$52,0))),VLOOKUP(E861,Parameter!$I$35:$J$52,2,0),IFERROR(VLOOKUP(D861,Parameter!$A$35:$C$64,2,0),"Nein"))</f>
        <v>2+3</v>
      </c>
      <c r="BW861" s="59" t="n">
        <f aca="false">IF(BT861=0,0,IF(N(S861)&gt;0,S861,IFERROR(VLOOKUP(D861,Parameter!$A$35:$C$64,3,0)+0,0)))</f>
        <v>0</v>
      </c>
      <c r="BX861" s="55" t="n">
        <f aca="false">IF(AA861&lt;&gt;"",AA861,Z861)</f>
        <v>3</v>
      </c>
      <c r="BY861" s="55" t="str">
        <f aca="false">IF(BX861=1,"L1",IF(OR(BX861=2,BX861=3),"L23",IF(BX861="Aussen","Aussen","-")))</f>
        <v>L23</v>
      </c>
      <c r="BZ861" s="66" t="n">
        <f aca="false">IF(N(AB861)&gt;0,AB861,0)</f>
        <v>0</v>
      </c>
      <c r="CA861" s="60" t="n">
        <f aca="false">IF(ISNUMBER(AE861),1,0)</f>
        <v>0</v>
      </c>
      <c r="CB861" s="57" t="n">
        <f aca="false">N(AE861)</f>
        <v>0</v>
      </c>
      <c r="CC861" s="57" t="n">
        <f aca="false">N(M861)+N(N861)</f>
        <v>10</v>
      </c>
      <c r="CD861" s="57" t="n">
        <f aca="false">ROUNDUP(H861/BS861,0)</f>
        <v>1</v>
      </c>
      <c r="CE861" s="57" t="n">
        <f aca="false">ROUNDUP(CB861/BS861,0)</f>
        <v>0</v>
      </c>
      <c r="CF861" s="60" t="n">
        <f aca="false">IF(BT861=1,0,IFERROR(VLOOKUP(BR861,'Gebinde-Kategorie'!$A$5:$M$45,5,0)+0,0))</f>
        <v>8</v>
      </c>
      <c r="CG861" s="60" t="n">
        <f aca="false">IFERROR(IF(OR(BX861=1,BX861=2,BX861=3),N(INDEX(Parameter!$I$5:$I$7,BX861)),0),0)</f>
        <v>0</v>
      </c>
      <c r="CH861" s="59" t="n">
        <f aca="false">IF(AND(Parameter!$B$21="Ja",ISNUMBER(W861),N(X861)&gt;0),IFERROR(N(INDEX(Parameter!$L$5:$L$7,W861))*INDEX(Parameter!$E$5:$E$7,W861)*X861/SUMIFS($X$7:$X$1843,$W$7:$W$1843,W861),0),0)</f>
        <v>0</v>
      </c>
    </row>
    <row r="862" customFormat="false" ht="15" hidden="false" customHeight="false" outlineLevel="0" collapsed="false">
      <c r="A862" s="55" t="s">
        <v>1642</v>
      </c>
      <c r="B862" s="55" t="s">
        <v>1643</v>
      </c>
      <c r="C862" s="55" t="s">
        <v>164</v>
      </c>
      <c r="D862" s="55" t="s">
        <v>184</v>
      </c>
      <c r="E862" s="55" t="s">
        <v>185</v>
      </c>
      <c r="F862" s="55" t="s">
        <v>218</v>
      </c>
      <c r="G862" s="56" t="n">
        <v>20.5</v>
      </c>
      <c r="H862" s="57" t="n">
        <f aca="false">MAX(0,IF(AND(Parameter!$B$21="Ja",ISNUMBER(Y862)),Y862,IF(Parameter!$B$20="Jahresanfang 2025 + Export",BL862+BK862,BK862)))</f>
        <v>12</v>
      </c>
      <c r="I862" s="57" t="n">
        <f aca="false">H862*G862</f>
        <v>246</v>
      </c>
      <c r="J862" s="57" t="n">
        <f aca="false">BN862*Parameter!$B$18</f>
        <v>1</v>
      </c>
      <c r="K862" s="58" t="n">
        <v>12.5</v>
      </c>
      <c r="L862" s="59" t="n">
        <v>0.08</v>
      </c>
      <c r="M862" s="57" t="n">
        <v>0</v>
      </c>
      <c r="N862" s="57" t="n">
        <v>1</v>
      </c>
      <c r="O862" s="60" t="n">
        <v>42</v>
      </c>
      <c r="P862" s="55" t="s">
        <v>476</v>
      </c>
      <c r="Q862" s="57" t="n">
        <v>22</v>
      </c>
      <c r="R862" s="60" t="n">
        <f aca="false">IF(BT862=1,0,IFERROR(VLOOKUP(BR862,'Gebinde-Kategorie'!$A$5:$M$45,13,0)+0,0))</f>
        <v>66</v>
      </c>
      <c r="S862" s="61"/>
      <c r="T862" s="62"/>
      <c r="U862" s="62"/>
      <c r="V862" s="62"/>
      <c r="W862" s="55"/>
      <c r="X862" s="57"/>
      <c r="Y862" s="57"/>
      <c r="Z862" s="55" t="n">
        <f aca="false">IF(A862="","",IF(AND(Parameter!$B$21="Ja",ISNUMBER(W862)),W862,IF(BV862="2+3",IF(ISNUMBER(SEARCH("grosser Artikel",BO862)),2,IFERROR(VLOOKUP(BR862,Parameter!$F$35:$G$64,2,0),2)),IF(OR(BV862="Nein",BV862=""),"-",BV862))))</f>
        <v>3</v>
      </c>
      <c r="AA862" s="62"/>
      <c r="AB862" s="63"/>
      <c r="AC862" s="57" t="n">
        <f aca="false">AR862</f>
        <v>22</v>
      </c>
      <c r="AD862" s="57" t="n">
        <f aca="false">MAX(AR862,H862)</f>
        <v>22</v>
      </c>
      <c r="AE862" s="64"/>
      <c r="AF862" s="57" t="n">
        <f aca="false">IF(LEFT(Cockpit!$C$5,1)="A",H862,IF(CA862=1,CB862,IF(LEFT(Cockpit!$C$5,1)="B",AJ862,MAX(AJ862,H862))))</f>
        <v>12</v>
      </c>
      <c r="AG862" s="57" t="n">
        <f aca="false">IF(BT862=1,0,ROUNDUP(AF862/BS862,0))</f>
        <v>1</v>
      </c>
      <c r="AH862" s="59" t="n">
        <f aca="false">IF(CH862&gt;0,CH862*MAX(1,AF862/X862),IF(BT862=1,IF(AF862&lt;=0,0,BW862*MAX(1,IF(H862&gt;0,AF862/H862,1))),IF(R862&gt;0,AG862/R862,0))/MAX(0.1,N(Parameter!$M$21)))</f>
        <v>0.0151515151515152</v>
      </c>
      <c r="AI862" s="57" t="n">
        <f aca="false">AF862*G862</f>
        <v>246</v>
      </c>
      <c r="AJ862" s="57" t="n">
        <f aca="false">ROUNDUP(MAX(J862/IF(BZ862&gt;0,BZ862,MAX(0.1,N(Cockpit!$C$6))),CC862)/BS862,0)*BS862</f>
        <v>22</v>
      </c>
      <c r="AK862" s="58" t="n">
        <f aca="false">IF(AH862&gt;0,J862/AH862,-1)</f>
        <v>66</v>
      </c>
      <c r="AL862" s="58" t="n">
        <f aca="false">IF(AND(OR(BY862="L1",BY862="L23"),AH862&gt;0),SUMIFS($AH$7:$AH$1843,$BY$7:$BY$1843,BY862,$AK$7:$AK$1843,"&gt;"&amp;AK862)+SUMIFS($AH$7:$AH$1843,$BY$7:$BY$1843,BY862,$AK$7:$AK$1843,AK862,$BQ$7:$BQ$1843,"&lt;="&amp;BQ862),"")</f>
        <v>42.7175517718996</v>
      </c>
      <c r="AM862" s="65" t="n">
        <f aca="false">IF(AL862="",0,MAX(0,MIN(1,(IF(BY862="L1",Parameter!$E$5,Parameter!$E$6+Parameter!$E$7)-(AL862-AH862))/AH862)))</f>
        <v>1</v>
      </c>
      <c r="AN862" s="57" t="n">
        <f aca="false">IF(LEFT(Cockpit!$I$5,1)="A",H862,IF(CA862=1,CB862,IF(LEFT(Cockpit!$I$5,1)="B",AR862,MAX(AR862,H862))))</f>
        <v>22</v>
      </c>
      <c r="AO862" s="57" t="n">
        <f aca="false">IF(BT862=1,0,ROUNDUP(AN862/BS862,0))</f>
        <v>1</v>
      </c>
      <c r="AP862" s="59" t="n">
        <f aca="false">IF(CH862&gt;0,CH862*MAX(1,AN862/X862),IF(BT862=1,IF(AN862&lt;=0,0,BW862*MAX(1,IF(H862&gt;0,AN862/H862,1))),IF(R862&gt;0,AO862/R862,0))/MAX(0.1,N(Parameter!$M$21)))</f>
        <v>0.0151515151515152</v>
      </c>
      <c r="AQ862" s="57" t="n">
        <f aca="false">AN862*G862</f>
        <v>451</v>
      </c>
      <c r="AR862" s="57" t="n">
        <f aca="false">ROUNDUP(MAX(J862/IF(BZ862&gt;0,BZ862,MAX(0.1,N(Cockpit!$I$6))),CC862)/BS862,0)*BS862</f>
        <v>22</v>
      </c>
      <c r="AS862" s="58" t="n">
        <f aca="false">IF(AP862&gt;0,J862/AP862,-1)</f>
        <v>66</v>
      </c>
      <c r="AT862" s="58" t="n">
        <f aca="false">IF(AND(OR(BY862="L1",BY862="L23"),AP862&gt;0),SUMIFS($AP$7:$AP$1843,$BY$7:$BY$1843,BY862,$AS$7:$AS$1843,"&gt;"&amp;AS862)+SUMIFS($AP$7:$AP$1843,$BY$7:$BY$1843,BY862,$AS$7:$AS$1843,AS862,$BQ$7:$BQ$1843,"&lt;="&amp;BQ862),"")</f>
        <v>64.9237272389446</v>
      </c>
      <c r="AU862" s="65" t="n">
        <f aca="false">IF(AT862="",0,MAX(0,MIN(1,(IF(BY862="L1",Parameter!$E$5,Parameter!$E$6+Parameter!$E$7)-(AT862-AP862))/AP862)))</f>
        <v>1</v>
      </c>
      <c r="AV862" s="57" t="n">
        <f aca="false">IF(LEFT(Cockpit!$O$5,1)="A",H862,IF(CA862=1,CB862,IF(LEFT(Cockpit!$O$5,1)="B",AZ862,MAX(AZ862,H862))))</f>
        <v>22</v>
      </c>
      <c r="AW862" s="57" t="n">
        <f aca="false">IF(BT862=1,0,ROUNDUP(AV862/BS862,0))</f>
        <v>1</v>
      </c>
      <c r="AX862" s="59" t="n">
        <f aca="false">IF(CH862&gt;0,CH862*MAX(1,AV862/X862),IF(BT862=1,IF(AV862&lt;=0,0,BW862*MAX(1,IF(H862&gt;0,AV862/H862,1))),IF(R862&gt;0,AW862/R862,0))/MAX(0.1,N(Parameter!$M$21)))</f>
        <v>0.0151515151515152</v>
      </c>
      <c r="AY862" s="57" t="n">
        <f aca="false">AV862*G862</f>
        <v>451</v>
      </c>
      <c r="AZ862" s="57" t="n">
        <f aca="false">ROUNDUP(MAX(J862/IF(BZ862&gt;0,BZ862,MAX(0.1,N(Cockpit!$O$6))),CC862)/BS862,0)*BS862</f>
        <v>22</v>
      </c>
      <c r="BA862" s="58" t="n">
        <f aca="false">IF(AX862&gt;0,J862/AX862,-1)</f>
        <v>66</v>
      </c>
      <c r="BB862" s="58" t="n">
        <f aca="false">IF(AND(OR(BY862="L1",BY862="L23"),AX862&gt;0),SUMIFS($AX$7:$AX$1843,$BY$7:$BY$1843,BY862,$BA$7:$BA$1843,"&gt;"&amp;BA862)+SUMIFS($AX$7:$AX$1843,$BY$7:$BY$1843,BY862,$BA$7:$BA$1843,BA862,$BQ$7:$BQ$1843,"&lt;="&amp;BQ862),"")</f>
        <v>59.4202307354481</v>
      </c>
      <c r="BC862" s="65" t="n">
        <f aca="false">IF(BB862="",0,MAX(0,MIN(1,(IF(BY862="L1",Parameter!$E$5,Parameter!$E$6+Parameter!$E$7)-(BB862-AX862))/AX862)))</f>
        <v>1</v>
      </c>
      <c r="BD862" s="55" t="str">
        <f aca="false">IF(AH862&lt;=0,"",IF(BY862="Aussen","Aussenlager",IF(BY862="-","Nicht im Lift",IF(AM862&gt;=1,"Lift",IF(AM862&lt;=0,"Aussenlager","teilweise")))))</f>
        <v>Lift</v>
      </c>
      <c r="BE862" s="55" t="str">
        <f aca="false">IF(AP862&lt;=0,"",IF(BY862="Aussen","Aussenlager",IF(BY862="-","Nicht im Lift",IF(AU862&gt;=1,"Lift",IF(AU862&lt;=0,"Aussenlager","teilweise")))))</f>
        <v>Lift</v>
      </c>
      <c r="BF862" s="55" t="str">
        <f aca="false">IF(AX862&lt;=0,"",IF(BY862="Aussen","Aussenlager",IF(BY862="-","Nicht im Lift",IF(BC862&gt;=1,"Lift",IF(BC862&lt;=0,"Aussenlager","teilweise")))))</f>
        <v>Lift</v>
      </c>
      <c r="BG862" s="55" t="str">
        <f aca="false">IF(A862="","",IF(BP862=1,"Neu; ","")&amp;IF(AND(BP862=0,BK862&lt;0),"negativer Bestand (Export "&amp;BK862&amp;"); ","")&amp;IF(J862&lt;=0,"Kein Verbrauch; ","")&amp;IF(CH862&gt;0,"Lift "&amp;W862&amp;" lt. Liftbericht (Fach "&amp;X862&amp;" Stk); ",IF(BU862=1,"Gebinde geschätzt ("&amp;T862&amp;"); ",IF(BT862=1,"Lose – Tablare geschätzt; ","")))&amp;IF(H862&gt;AR862,"Überbestand "&amp;ROUND(H862-AR862,0)&amp;" Stk / CHF "&amp;ROUND((H862-AR862)*G862,0)&amp;"; ","")&amp;IF(AND(CA862=1,CB862&lt;CC862),"MAX &lt; MB+LG; ","")&amp;IF(AND(CG862&gt;0,CF862*10&gt;CG862),"zu hoch für Tablar; ","")&amp;IF(AND(BP862=0,OR(CA862=1,AA862&lt;&gt;"",U862&lt;&gt;"",V862&lt;&gt;"",AB862&lt;&gt;"")),"manuell übersteuert; ","")&amp;IF(AND(BT862=0,R862=0),"Gebinde unbekannt / Stellmass fehlt; ","")&amp;IF(AND(BT862=0,N(V862)&lt;=0,N(Q862)&lt;=0),"Menge pro Gebinde fehlt (Ist = 1 Gebinde); ","")&amp;BO862)</f>
        <v>negativer Bestand (Export -1); </v>
      </c>
      <c r="BH862" s="55"/>
      <c r="BI862" s="55"/>
      <c r="BJ862" s="62"/>
      <c r="BK862" s="57" t="n">
        <v>-1</v>
      </c>
      <c r="BL862" s="57" t="n">
        <v>13</v>
      </c>
      <c r="BM862" s="56" t="n">
        <v>-20.5</v>
      </c>
      <c r="BN862" s="57" t="n">
        <v>1</v>
      </c>
      <c r="BO862" s="55"/>
      <c r="BP862" s="60" t="n">
        <v>0</v>
      </c>
      <c r="BQ862" s="60" t="n">
        <v>862</v>
      </c>
      <c r="BR862" s="55" t="str">
        <f aca="false">IF(U862&lt;&gt;"",UPPER(TRIM(U862)),IF(BU862=1,UPPER(VLOOKUP(T862,Parameter!$I$27:$K$29,2,0)),IF(P862="","LOSE",P862)))</f>
        <v>S33</v>
      </c>
      <c r="BS862" s="57" t="n">
        <f aca="false">IF(BR862="LOSE",1,IF(N(V862)&gt;0,V862,IF(BU862=1,MAX(1,N(VLOOKUP(T862,Parameter!$I$27:$K$29,3,0)),H862,N(N862)),IF(N(Q862)&gt;0,Q862,MAX(1,H862)))))</f>
        <v>22</v>
      </c>
      <c r="BT862" s="60" t="n">
        <f aca="false">IF(BR862="LOSE",1,0)</f>
        <v>0</v>
      </c>
      <c r="BU862" s="60" t="n">
        <f aca="false">IF(AND(U862="",OR(P862="",P862="LOSE"),T862&lt;&gt;"",N(S862)&lt;=0,ISNUMBER(MATCH(T862,Parameter!$I$27:$I$29,0))),1,0)</f>
        <v>0</v>
      </c>
      <c r="BV862" s="55" t="str">
        <f aca="false">IF(AND(Parameter!$B$19="Ja",E862&lt;&gt;"",ISNUMBER(MATCH(E862,Parameter!$I$35:$I$52,0))),VLOOKUP(E862,Parameter!$I$35:$J$52,2,0),IFERROR(VLOOKUP(D862,Parameter!$A$35:$C$64,2,0),"Nein"))</f>
        <v>2+3</v>
      </c>
      <c r="BW862" s="59" t="n">
        <f aca="false">IF(BT862=0,0,IF(N(S862)&gt;0,S862,IFERROR(VLOOKUP(D862,Parameter!$A$35:$C$64,3,0)+0,0)))</f>
        <v>0</v>
      </c>
      <c r="BX862" s="55" t="n">
        <f aca="false">IF(AA862&lt;&gt;"",AA862,Z862)</f>
        <v>3</v>
      </c>
      <c r="BY862" s="55" t="str">
        <f aca="false">IF(BX862=1,"L1",IF(OR(BX862=2,BX862=3),"L23",IF(BX862="Aussen","Aussen","-")))</f>
        <v>L23</v>
      </c>
      <c r="BZ862" s="66" t="n">
        <f aca="false">IF(N(AB862)&gt;0,AB862,0)</f>
        <v>0</v>
      </c>
      <c r="CA862" s="60" t="n">
        <f aca="false">IF(ISNUMBER(AE862),1,0)</f>
        <v>0</v>
      </c>
      <c r="CB862" s="57" t="n">
        <f aca="false">N(AE862)</f>
        <v>0</v>
      </c>
      <c r="CC862" s="57" t="n">
        <f aca="false">N(M862)+N(N862)</f>
        <v>1</v>
      </c>
      <c r="CD862" s="57" t="n">
        <f aca="false">ROUNDUP(H862/BS862,0)</f>
        <v>1</v>
      </c>
      <c r="CE862" s="57" t="n">
        <f aca="false">ROUNDUP(CB862/BS862,0)</f>
        <v>0</v>
      </c>
      <c r="CF862" s="60" t="n">
        <f aca="false">IF(BT862=1,0,IFERROR(VLOOKUP(BR862,'Gebinde-Kategorie'!$A$5:$M$45,5,0)+0,0))</f>
        <v>8</v>
      </c>
      <c r="CG862" s="60" t="n">
        <f aca="false">IFERROR(IF(OR(BX862=1,BX862=2,BX862=3),N(INDEX(Parameter!$I$5:$I$7,BX862)),0),0)</f>
        <v>0</v>
      </c>
      <c r="CH862" s="59" t="n">
        <f aca="false">IF(AND(Parameter!$B$21="Ja",ISNUMBER(W862),N(X862)&gt;0),IFERROR(N(INDEX(Parameter!$L$5:$L$7,W862))*INDEX(Parameter!$E$5:$E$7,W862)*X862/SUMIFS($X$7:$X$1843,$W$7:$W$1843,W862),0),0)</f>
        <v>0</v>
      </c>
    </row>
    <row r="863" customFormat="false" ht="15" hidden="false" customHeight="false" outlineLevel="0" collapsed="false">
      <c r="A863" s="55" t="s">
        <v>1644</v>
      </c>
      <c r="B863" s="55" t="s">
        <v>407</v>
      </c>
      <c r="C863" s="55" t="s">
        <v>164</v>
      </c>
      <c r="D863" s="55" t="s">
        <v>184</v>
      </c>
      <c r="E863" s="55" t="s">
        <v>185</v>
      </c>
      <c r="F863" s="55" t="s">
        <v>218</v>
      </c>
      <c r="G863" s="56" t="n">
        <v>0.24</v>
      </c>
      <c r="H863" s="57" t="n">
        <f aca="false">MAX(0,IF(AND(Parameter!$B$21="Ja",ISNUMBER(Y863)),Y863,IF(Parameter!$B$20="Jahresanfang 2025 + Export",BL863+BK863,BK863)))</f>
        <v>1798</v>
      </c>
      <c r="I863" s="57" t="n">
        <f aca="false">H863*G863</f>
        <v>431.52</v>
      </c>
      <c r="J863" s="57" t="n">
        <f aca="false">BN863*Parameter!$B$18</f>
        <v>7214</v>
      </c>
      <c r="K863" s="58" t="n">
        <v>2296</v>
      </c>
      <c r="L863" s="59" t="n">
        <v>3.14198606271777</v>
      </c>
      <c r="M863" s="57" t="n">
        <v>281</v>
      </c>
      <c r="N863" s="57" t="n">
        <v>2000</v>
      </c>
      <c r="O863" s="60" t="n">
        <v>14</v>
      </c>
      <c r="P863" s="55" t="s">
        <v>302</v>
      </c>
      <c r="Q863" s="57" t="n">
        <v>1444</v>
      </c>
      <c r="R863" s="60" t="n">
        <f aca="false">IF(BT863=1,0,IFERROR(VLOOKUP(BR863,'Gebinde-Kategorie'!$A$5:$M$45,13,0)+0,0))</f>
        <v>26</v>
      </c>
      <c r="S863" s="61"/>
      <c r="T863" s="62"/>
      <c r="U863" s="62"/>
      <c r="V863" s="62"/>
      <c r="W863" s="55"/>
      <c r="X863" s="57"/>
      <c r="Y863" s="57"/>
      <c r="Z863" s="55" t="n">
        <f aca="false">IF(A863="","",IF(AND(Parameter!$B$21="Ja",ISNUMBER(W863)),W863,IF(BV863="2+3",IF(ISNUMBER(SEARCH("grosser Artikel",BO863)),2,IFERROR(VLOOKUP(BR863,Parameter!$F$35:$G$64,2,0),2)),IF(OR(BV863="Nein",BV863=""),"-",BV863))))</f>
        <v>3</v>
      </c>
      <c r="AA863" s="62"/>
      <c r="AB863" s="63"/>
      <c r="AC863" s="57" t="n">
        <f aca="false">AR863</f>
        <v>4332</v>
      </c>
      <c r="AD863" s="57" t="n">
        <f aca="false">MAX(AR863,H863)</f>
        <v>4332</v>
      </c>
      <c r="AE863" s="64"/>
      <c r="AF863" s="57" t="n">
        <f aca="false">IF(LEFT(Cockpit!$C$5,1)="A",H863,IF(CA863=1,CB863,IF(LEFT(Cockpit!$C$5,1)="B",AJ863,MAX(AJ863,H863))))</f>
        <v>1798</v>
      </c>
      <c r="AG863" s="57" t="n">
        <f aca="false">IF(BT863=1,0,ROUNDUP(AF863/BS863,0))</f>
        <v>2</v>
      </c>
      <c r="AH863" s="59" t="n">
        <f aca="false">IF(CH863&gt;0,CH863*MAX(1,AF863/X863),IF(BT863=1,IF(AF863&lt;=0,0,BW863*MAX(1,IF(H863&gt;0,AF863/H863,1))),IF(R863&gt;0,AG863/R863,0))/MAX(0.1,N(Parameter!$M$21)))</f>
        <v>0.0769230769230769</v>
      </c>
      <c r="AI863" s="57" t="n">
        <f aca="false">AF863*G863</f>
        <v>431.52</v>
      </c>
      <c r="AJ863" s="57" t="n">
        <f aca="false">ROUNDUP(MAX(J863/IF(BZ863&gt;0,BZ863,MAX(0.1,N(Cockpit!$C$6))),CC863)/BS863,0)*BS863</f>
        <v>4332</v>
      </c>
      <c r="AK863" s="58" t="n">
        <f aca="false">IF(AH863&gt;0,J863/AH863,-1)</f>
        <v>93782</v>
      </c>
      <c r="AL863" s="58" t="n">
        <f aca="false">IF(AND(OR(BY863="L1",BY863="L23"),AH863&gt;0),SUMIFS($AH$7:$AH$1843,$BY$7:$BY$1843,BY863,$AK$7:$AK$1843,"&gt;"&amp;AK863)+SUMIFS($AH$7:$AH$1843,$BY$7:$BY$1843,BY863,$AK$7:$AK$1843,AK863,$BQ$7:$BQ$1843,"&lt;="&amp;BQ863),"")</f>
        <v>0.808063916759569</v>
      </c>
      <c r="AM863" s="65" t="n">
        <f aca="false">IF(AL863="",0,MAX(0,MIN(1,(IF(BY863="L1",Parameter!$E$5,Parameter!$E$6+Parameter!$E$7)-(AL863-AH863))/AH863)))</f>
        <v>1</v>
      </c>
      <c r="AN863" s="57" t="n">
        <f aca="false">IF(LEFT(Cockpit!$I$5,1)="A",H863,IF(CA863=1,CB863,IF(LEFT(Cockpit!$I$5,1)="B",AR863,MAX(AR863,H863))))</f>
        <v>4332</v>
      </c>
      <c r="AO863" s="57" t="n">
        <f aca="false">IF(BT863=1,0,ROUNDUP(AN863/BS863,0))</f>
        <v>3</v>
      </c>
      <c r="AP863" s="59" t="n">
        <f aca="false">IF(CH863&gt;0,CH863*MAX(1,AN863/X863),IF(BT863=1,IF(AN863&lt;=0,0,BW863*MAX(1,IF(H863&gt;0,AN863/H863,1))),IF(R863&gt;0,AO863/R863,0))/MAX(0.1,N(Parameter!$M$21)))</f>
        <v>0.115384615384615</v>
      </c>
      <c r="AQ863" s="57" t="n">
        <f aca="false">AN863*G863</f>
        <v>1039.68</v>
      </c>
      <c r="AR863" s="57" t="n">
        <f aca="false">ROUNDUP(MAX(J863/IF(BZ863&gt;0,BZ863,MAX(0.1,N(Cockpit!$I$6))),CC863)/BS863,0)*BS863</f>
        <v>4332</v>
      </c>
      <c r="AS863" s="58" t="n">
        <f aca="false">IF(AP863&gt;0,J863/AP863,-1)</f>
        <v>62521.3333333333</v>
      </c>
      <c r="AT863" s="58" t="n">
        <f aca="false">IF(AND(OR(BY863="L1",BY863="L23"),AP863&gt;0),SUMIFS($AP$7:$AP$1843,$BY$7:$BY$1843,BY863,$AS$7:$AS$1843,"&gt;"&amp;AS863)+SUMIFS($AP$7:$AP$1843,$BY$7:$BY$1843,BY863,$AS$7:$AS$1843,AS863,$BQ$7:$BQ$1843,"&lt;="&amp;BQ863),"")</f>
        <v>0.630468565251174</v>
      </c>
      <c r="AU863" s="65" t="n">
        <f aca="false">IF(AT863="",0,MAX(0,MIN(1,(IF(BY863="L1",Parameter!$E$5,Parameter!$E$6+Parameter!$E$7)-(AT863-AP863))/AP863)))</f>
        <v>1</v>
      </c>
      <c r="AV863" s="57" t="n">
        <f aca="false">IF(LEFT(Cockpit!$O$5,1)="A",H863,IF(CA863=1,CB863,IF(LEFT(Cockpit!$O$5,1)="B",AZ863,MAX(AZ863,H863))))</f>
        <v>2888</v>
      </c>
      <c r="AW863" s="57" t="n">
        <f aca="false">IF(BT863=1,0,ROUNDUP(AV863/BS863,0))</f>
        <v>2</v>
      </c>
      <c r="AX863" s="59" t="n">
        <f aca="false">IF(CH863&gt;0,CH863*MAX(1,AV863/X863),IF(BT863=1,IF(AV863&lt;=0,0,BW863*MAX(1,IF(H863&gt;0,AV863/H863,1))),IF(R863&gt;0,AW863/R863,0))/MAX(0.1,N(Parameter!$M$21)))</f>
        <v>0.0769230769230769</v>
      </c>
      <c r="AY863" s="57" t="n">
        <f aca="false">AV863*G863</f>
        <v>693.12</v>
      </c>
      <c r="AZ863" s="57" t="n">
        <f aca="false">ROUNDUP(MAX(J863/IF(BZ863&gt;0,BZ863,MAX(0.1,N(Cockpit!$O$6))),CC863)/BS863,0)*BS863</f>
        <v>2888</v>
      </c>
      <c r="BA863" s="58" t="n">
        <f aca="false">IF(AX863&gt;0,J863/AX863,-1)</f>
        <v>93782</v>
      </c>
      <c r="BB863" s="58" t="n">
        <f aca="false">IF(AND(OR(BY863="L1",BY863="L23"),AX863&gt;0),SUMIFS($AX$7:$AX$1843,$BY$7:$BY$1843,BY863,$BA$7:$BA$1843,"&gt;"&amp;BA863)+SUMIFS($AX$7:$AX$1843,$BY$7:$BY$1843,BY863,$BA$7:$BA$1843,BA863,$BQ$7:$BQ$1843,"&lt;="&amp;BQ863),"")</f>
        <v>0.366499442586399</v>
      </c>
      <c r="BC863" s="65" t="n">
        <f aca="false">IF(BB863="",0,MAX(0,MIN(1,(IF(BY863="L1",Parameter!$E$5,Parameter!$E$6+Parameter!$E$7)-(BB863-AX863))/AX863)))</f>
        <v>1</v>
      </c>
      <c r="BD863" s="55" t="str">
        <f aca="false">IF(AH863&lt;=0,"",IF(BY863="Aussen","Aussenlager",IF(BY863="-","Nicht im Lift",IF(AM863&gt;=1,"Lift",IF(AM863&lt;=0,"Aussenlager","teilweise")))))</f>
        <v>Lift</v>
      </c>
      <c r="BE863" s="55" t="str">
        <f aca="false">IF(AP863&lt;=0,"",IF(BY863="Aussen","Aussenlager",IF(BY863="-","Nicht im Lift",IF(AU863&gt;=1,"Lift",IF(AU863&lt;=0,"Aussenlager","teilweise")))))</f>
        <v>Lift</v>
      </c>
      <c r="BF863" s="55" t="str">
        <f aca="false">IF(AX863&lt;=0,"",IF(BY863="Aussen","Aussenlager",IF(BY863="-","Nicht im Lift",IF(BC863&gt;=1,"Lift",IF(BC863&lt;=0,"Aussenlager","teilweise")))))</f>
        <v>Lift</v>
      </c>
      <c r="BG863" s="55" t="str">
        <f aca="false">IF(A863="","",IF(BP863=1,"Neu; ","")&amp;IF(AND(BP863=0,BK863&lt;0),"negativer Bestand (Export "&amp;BK863&amp;"); ","")&amp;IF(J863&lt;=0,"Kein Verbrauch; ","")&amp;IF(CH863&gt;0,"Lift "&amp;W863&amp;" lt. Liftbericht (Fach "&amp;X863&amp;" Stk); ",IF(BU863=1,"Gebinde geschätzt ("&amp;T863&amp;"); ",IF(BT863=1,"Lose – Tablare geschätzt; ","")))&amp;IF(H863&gt;AR863,"Überbestand "&amp;ROUND(H863-AR863,0)&amp;" Stk / CHF "&amp;ROUND((H863-AR863)*G863,0)&amp;"; ","")&amp;IF(AND(CA863=1,CB863&lt;CC863),"MAX &lt; MB+LG; ","")&amp;IF(AND(CG863&gt;0,CF863*10&gt;CG863),"zu hoch für Tablar; ","")&amp;IF(AND(BP863=0,OR(CA863=1,AA863&lt;&gt;"",U863&lt;&gt;"",V863&lt;&gt;"",AB863&lt;&gt;"")),"manuell übersteuert; ","")&amp;IF(AND(BT863=0,R863=0),"Gebinde unbekannt / Stellmass fehlt; ","")&amp;IF(AND(BT863=0,N(V863)&lt;=0,N(Q863)&lt;=0),"Menge pro Gebinde fehlt (Ist = 1 Gebinde); ","")&amp;BO863)</f>
        <v>negativer Bestand (Export -164); </v>
      </c>
      <c r="BH863" s="55"/>
      <c r="BI863" s="55"/>
      <c r="BJ863" s="62"/>
      <c r="BK863" s="57" t="n">
        <v>-164</v>
      </c>
      <c r="BL863" s="57" t="n">
        <v>1962</v>
      </c>
      <c r="BM863" s="56" t="n">
        <v>-20.9600000000002</v>
      </c>
      <c r="BN863" s="57" t="n">
        <v>7214</v>
      </c>
      <c r="BO863" s="55"/>
      <c r="BP863" s="60" t="n">
        <v>0</v>
      </c>
      <c r="BQ863" s="60" t="n">
        <v>863</v>
      </c>
      <c r="BR863" s="55" t="str">
        <f aca="false">IF(U863&lt;&gt;"",UPPER(TRIM(U863)),IF(BU863=1,UPPER(VLOOKUP(T863,Parameter!$I$27:$K$29,2,0)),IF(P863="","LOSE",P863)))</f>
        <v>S51</v>
      </c>
      <c r="BS863" s="57" t="n">
        <f aca="false">IF(BR863="LOSE",1,IF(N(V863)&gt;0,V863,IF(BU863=1,MAX(1,N(VLOOKUP(T863,Parameter!$I$27:$K$29,3,0)),H863,N(N863)),IF(N(Q863)&gt;0,Q863,MAX(1,H863)))))</f>
        <v>1444</v>
      </c>
      <c r="BT863" s="60" t="n">
        <f aca="false">IF(BR863="LOSE",1,0)</f>
        <v>0</v>
      </c>
      <c r="BU863" s="60" t="n">
        <f aca="false">IF(AND(U863="",OR(P863="",P863="LOSE"),T863&lt;&gt;"",N(S863)&lt;=0,ISNUMBER(MATCH(T863,Parameter!$I$27:$I$29,0))),1,0)</f>
        <v>0</v>
      </c>
      <c r="BV863" s="55" t="str">
        <f aca="false">IF(AND(Parameter!$B$19="Ja",E863&lt;&gt;"",ISNUMBER(MATCH(E863,Parameter!$I$35:$I$52,0))),VLOOKUP(E863,Parameter!$I$35:$J$52,2,0),IFERROR(VLOOKUP(D863,Parameter!$A$35:$C$64,2,0),"Nein"))</f>
        <v>2+3</v>
      </c>
      <c r="BW863" s="59" t="n">
        <f aca="false">IF(BT863=0,0,IF(N(S863)&gt;0,S863,IFERROR(VLOOKUP(D863,Parameter!$A$35:$C$64,3,0)+0,0)))</f>
        <v>0</v>
      </c>
      <c r="BX863" s="55" t="n">
        <f aca="false">IF(AA863&lt;&gt;"",AA863,Z863)</f>
        <v>3</v>
      </c>
      <c r="BY863" s="55" t="str">
        <f aca="false">IF(BX863=1,"L1",IF(OR(BX863=2,BX863=3),"L23",IF(BX863="Aussen","Aussen","-")))</f>
        <v>L23</v>
      </c>
      <c r="BZ863" s="66" t="n">
        <f aca="false">IF(N(AB863)&gt;0,AB863,0)</f>
        <v>0</v>
      </c>
      <c r="CA863" s="60" t="n">
        <f aca="false">IF(ISNUMBER(AE863),1,0)</f>
        <v>0</v>
      </c>
      <c r="CB863" s="57" t="n">
        <f aca="false">N(AE863)</f>
        <v>0</v>
      </c>
      <c r="CC863" s="57" t="n">
        <f aca="false">N(M863)+N(N863)</f>
        <v>2281</v>
      </c>
      <c r="CD863" s="57" t="n">
        <f aca="false">ROUNDUP(H863/BS863,0)</f>
        <v>2</v>
      </c>
      <c r="CE863" s="57" t="n">
        <f aca="false">ROUNDUP(CB863/BS863,0)</f>
        <v>0</v>
      </c>
      <c r="CF863" s="60" t="n">
        <f aca="false">IF(BT863=1,0,IFERROR(VLOOKUP(BR863,'Gebinde-Kategorie'!$A$5:$M$45,5,0)+0,0))</f>
        <v>11</v>
      </c>
      <c r="CG863" s="60" t="n">
        <f aca="false">IFERROR(IF(OR(BX863=1,BX863=2,BX863=3),N(INDEX(Parameter!$I$5:$I$7,BX863)),0),0)</f>
        <v>0</v>
      </c>
      <c r="CH863" s="59" t="n">
        <f aca="false">IF(AND(Parameter!$B$21="Ja",ISNUMBER(W863),N(X863)&gt;0),IFERROR(N(INDEX(Parameter!$L$5:$L$7,W863))*INDEX(Parameter!$E$5:$E$7,W863)*X863/SUMIFS($X$7:$X$1843,$W$7:$W$1843,W863),0),0)</f>
        <v>0</v>
      </c>
    </row>
    <row r="864" customFormat="false" ht="15" hidden="false" customHeight="false" outlineLevel="0" collapsed="false">
      <c r="A864" s="55" t="s">
        <v>1645</v>
      </c>
      <c r="B864" s="55" t="s">
        <v>1165</v>
      </c>
      <c r="C864" s="55" t="s">
        <v>164</v>
      </c>
      <c r="D864" s="55" t="s">
        <v>184</v>
      </c>
      <c r="E864" s="55" t="s">
        <v>185</v>
      </c>
      <c r="F864" s="55" t="s">
        <v>218</v>
      </c>
      <c r="G864" s="56" t="n">
        <v>9.37</v>
      </c>
      <c r="H864" s="57" t="n">
        <f aca="false">MAX(0,IF(AND(Parameter!$B$21="Ja",ISNUMBER(Y864)),Y864,IF(Parameter!$B$20="Jahresanfang 2025 + Export",BL864+BK864,BK864)))</f>
        <v>3</v>
      </c>
      <c r="I864" s="57" t="n">
        <f aca="false">H864*G864</f>
        <v>28.11</v>
      </c>
      <c r="J864" s="57" t="n">
        <f aca="false">BN864*Parameter!$B$18</f>
        <v>8</v>
      </c>
      <c r="K864" s="58" t="n">
        <v>3.5</v>
      </c>
      <c r="L864" s="59" t="n">
        <v>2.28571428571429</v>
      </c>
      <c r="M864" s="57" t="n">
        <v>0</v>
      </c>
      <c r="N864" s="57" t="n">
        <v>10</v>
      </c>
      <c r="O864" s="60" t="n">
        <v>18</v>
      </c>
      <c r="P864" s="55" t="s">
        <v>421</v>
      </c>
      <c r="Q864" s="57" t="n">
        <v>16</v>
      </c>
      <c r="R864" s="60" t="n">
        <f aca="false">IF(BT864=1,0,IFERROR(VLOOKUP(BR864,'Gebinde-Kategorie'!$A$5:$M$45,13,0)+0,0))</f>
        <v>132</v>
      </c>
      <c r="S864" s="61"/>
      <c r="T864" s="62"/>
      <c r="U864" s="62"/>
      <c r="V864" s="62"/>
      <c r="W864" s="55"/>
      <c r="X864" s="57"/>
      <c r="Y864" s="57"/>
      <c r="Z864" s="55" t="n">
        <f aca="false">IF(A864="","",IF(AND(Parameter!$B$21="Ja",ISNUMBER(W864)),W864,IF(BV864="2+3",IF(ISNUMBER(SEARCH("grosser Artikel",BO864)),2,IFERROR(VLOOKUP(BR864,Parameter!$F$35:$G$64,2,0),2)),IF(OR(BV864="Nein",BV864=""),"-",BV864))))</f>
        <v>3</v>
      </c>
      <c r="AA864" s="62"/>
      <c r="AB864" s="63"/>
      <c r="AC864" s="57" t="n">
        <f aca="false">AR864</f>
        <v>16</v>
      </c>
      <c r="AD864" s="57" t="n">
        <f aca="false">MAX(AR864,H864)</f>
        <v>16</v>
      </c>
      <c r="AE864" s="64"/>
      <c r="AF864" s="57" t="n">
        <f aca="false">IF(LEFT(Cockpit!$C$5,1)="A",H864,IF(CA864=1,CB864,IF(LEFT(Cockpit!$C$5,1)="B",AJ864,MAX(AJ864,H864))))</f>
        <v>3</v>
      </c>
      <c r="AG864" s="57" t="n">
        <f aca="false">IF(BT864=1,0,ROUNDUP(AF864/BS864,0))</f>
        <v>1</v>
      </c>
      <c r="AH864" s="59" t="n">
        <f aca="false">IF(CH864&gt;0,CH864*MAX(1,AF864/X864),IF(BT864=1,IF(AF864&lt;=0,0,BW864*MAX(1,IF(H864&gt;0,AF864/H864,1))),IF(R864&gt;0,AG864/R864,0))/MAX(0.1,N(Parameter!$M$21)))</f>
        <v>0.00757575757575758</v>
      </c>
      <c r="AI864" s="57" t="n">
        <f aca="false">AF864*G864</f>
        <v>28.11</v>
      </c>
      <c r="AJ864" s="57" t="n">
        <f aca="false">ROUNDUP(MAX(J864/IF(BZ864&gt;0,BZ864,MAX(0.1,N(Cockpit!$C$6))),CC864)/BS864,0)*BS864</f>
        <v>16</v>
      </c>
      <c r="AK864" s="58" t="n">
        <f aca="false">IF(AH864&gt;0,J864/AH864,-1)</f>
        <v>1056</v>
      </c>
      <c r="AL864" s="58" t="n">
        <f aca="false">IF(AND(OR(BY864="L1",BY864="L23"),AH864&gt;0),SUMIFS($AH$7:$AH$1843,$BY$7:$BY$1843,BY864,$AK$7:$AK$1843,"&gt;"&amp;AK864)+SUMIFS($AH$7:$AH$1843,$BY$7:$BY$1843,BY864,$AK$7:$AK$1843,AK864,$BQ$7:$BQ$1843,"&lt;="&amp;BQ864),"")</f>
        <v>17.2399158812202</v>
      </c>
      <c r="AM864" s="65" t="n">
        <f aca="false">IF(AL864="",0,MAX(0,MIN(1,(IF(BY864="L1",Parameter!$E$5,Parameter!$E$6+Parameter!$E$7)-(AL864-AH864))/AH864)))</f>
        <v>1</v>
      </c>
      <c r="AN864" s="57" t="n">
        <f aca="false">IF(LEFT(Cockpit!$I$5,1)="A",H864,IF(CA864=1,CB864,IF(LEFT(Cockpit!$I$5,1)="B",AR864,MAX(AR864,H864))))</f>
        <v>16</v>
      </c>
      <c r="AO864" s="57" t="n">
        <f aca="false">IF(BT864=1,0,ROUNDUP(AN864/BS864,0))</f>
        <v>1</v>
      </c>
      <c r="AP864" s="59" t="n">
        <f aca="false">IF(CH864&gt;0,CH864*MAX(1,AN864/X864),IF(BT864=1,IF(AN864&lt;=0,0,BW864*MAX(1,IF(H864&gt;0,AN864/H864,1))),IF(R864&gt;0,AO864/R864,0))/MAX(0.1,N(Parameter!$M$21)))</f>
        <v>0.00757575757575758</v>
      </c>
      <c r="AQ864" s="57" t="n">
        <f aca="false">AN864*G864</f>
        <v>149.92</v>
      </c>
      <c r="AR864" s="57" t="n">
        <f aca="false">ROUNDUP(MAX(J864/IF(BZ864&gt;0,BZ864,MAX(0.1,N(Cockpit!$I$6))),CC864)/BS864,0)*BS864</f>
        <v>16</v>
      </c>
      <c r="AS864" s="58" t="n">
        <f aca="false">IF(AP864&gt;0,J864/AP864,-1)</f>
        <v>1056</v>
      </c>
      <c r="AT864" s="58" t="n">
        <f aca="false">IF(AND(OR(BY864="L1",BY864="L23"),AP864&gt;0),SUMIFS($AP$7:$AP$1843,$BY$7:$BY$1843,BY864,$AS$7:$AS$1843,"&gt;"&amp;AS864)+SUMIFS($AP$7:$AP$1843,$BY$7:$BY$1843,BY864,$AS$7:$AS$1843,AS864,$BQ$7:$BQ$1843,"&lt;="&amp;BQ864),"")</f>
        <v>23.4412519847302</v>
      </c>
      <c r="AU864" s="65" t="n">
        <f aca="false">IF(AT864="",0,MAX(0,MIN(1,(IF(BY864="L1",Parameter!$E$5,Parameter!$E$6+Parameter!$E$7)-(AT864-AP864))/AP864)))</f>
        <v>1</v>
      </c>
      <c r="AV864" s="57" t="n">
        <f aca="false">IF(LEFT(Cockpit!$O$5,1)="A",H864,IF(CA864=1,CB864,IF(LEFT(Cockpit!$O$5,1)="B",AZ864,MAX(AZ864,H864))))</f>
        <v>16</v>
      </c>
      <c r="AW864" s="57" t="n">
        <f aca="false">IF(BT864=1,0,ROUNDUP(AV864/BS864,0))</f>
        <v>1</v>
      </c>
      <c r="AX864" s="59" t="n">
        <f aca="false">IF(CH864&gt;0,CH864*MAX(1,AV864/X864),IF(BT864=1,IF(AV864&lt;=0,0,BW864*MAX(1,IF(H864&gt;0,AV864/H864,1))),IF(R864&gt;0,AW864/R864,0))/MAX(0.1,N(Parameter!$M$21)))</f>
        <v>0.00757575757575758</v>
      </c>
      <c r="AY864" s="57" t="n">
        <f aca="false">AV864*G864</f>
        <v>149.92</v>
      </c>
      <c r="AZ864" s="57" t="n">
        <f aca="false">ROUNDUP(MAX(J864/IF(BZ864&gt;0,BZ864,MAX(0.1,N(Cockpit!$O$6))),CC864)/BS864,0)*BS864</f>
        <v>16</v>
      </c>
      <c r="BA864" s="58" t="n">
        <f aca="false">IF(AX864&gt;0,J864/AX864,-1)</f>
        <v>1056</v>
      </c>
      <c r="BB864" s="58" t="n">
        <f aca="false">IF(AND(OR(BY864="L1",BY864="L23"),AX864&gt;0),SUMIFS($AX$7:$AX$1843,$BY$7:$BY$1843,BY864,$BA$7:$BA$1843,"&gt;"&amp;BA864)+SUMIFS($AX$7:$AX$1843,$BY$7:$BY$1843,BY864,$BA$7:$BA$1843,BA864,$BQ$7:$BQ$1843,"&lt;="&amp;BQ864),"")</f>
        <v>22.6364734299517</v>
      </c>
      <c r="BC864" s="65" t="n">
        <f aca="false">IF(BB864="",0,MAX(0,MIN(1,(IF(BY864="L1",Parameter!$E$5,Parameter!$E$6+Parameter!$E$7)-(BB864-AX864))/AX864)))</f>
        <v>1</v>
      </c>
      <c r="BD864" s="55" t="str">
        <f aca="false">IF(AH864&lt;=0,"",IF(BY864="Aussen","Aussenlager",IF(BY864="-","Nicht im Lift",IF(AM864&gt;=1,"Lift",IF(AM864&lt;=0,"Aussenlager","teilweise")))))</f>
        <v>Lift</v>
      </c>
      <c r="BE864" s="55" t="str">
        <f aca="false">IF(AP864&lt;=0,"",IF(BY864="Aussen","Aussenlager",IF(BY864="-","Nicht im Lift",IF(AU864&gt;=1,"Lift",IF(AU864&lt;=0,"Aussenlager","teilweise")))))</f>
        <v>Lift</v>
      </c>
      <c r="BF864" s="55" t="str">
        <f aca="false">IF(AX864&lt;=0,"",IF(BY864="Aussen","Aussenlager",IF(BY864="-","Nicht im Lift",IF(BC864&gt;=1,"Lift",IF(BC864&lt;=0,"Aussenlager","teilweise")))))</f>
        <v>Lift</v>
      </c>
      <c r="BG864" s="55" t="str">
        <f aca="false">IF(A864="","",IF(BP864=1,"Neu; ","")&amp;IF(AND(BP864=0,BK864&lt;0),"negativer Bestand (Export "&amp;BK864&amp;"); ","")&amp;IF(J864&lt;=0,"Kein Verbrauch; ","")&amp;IF(CH864&gt;0,"Lift "&amp;W864&amp;" lt. Liftbericht (Fach "&amp;X864&amp;" Stk); ",IF(BU864=1,"Gebinde geschätzt ("&amp;T864&amp;"); ",IF(BT864=1,"Lose – Tablare geschätzt; ","")))&amp;IF(H864&gt;AR864,"Überbestand "&amp;ROUND(H864-AR864,0)&amp;" Stk / CHF "&amp;ROUND((H864-AR864)*G864,0)&amp;"; ","")&amp;IF(AND(CA864=1,CB864&lt;CC864),"MAX &lt; MB+LG; ","")&amp;IF(AND(CG864&gt;0,CF864*10&gt;CG864),"zu hoch für Tablar; ","")&amp;IF(AND(BP864=0,OR(CA864=1,AA864&lt;&gt;"",U864&lt;&gt;"",V864&lt;&gt;"",AB864&lt;&gt;"")),"manuell übersteuert; ","")&amp;IF(AND(BT864=0,R864=0),"Gebinde unbekannt / Stellmass fehlt; ","")&amp;IF(AND(BT864=0,N(V864)&lt;=0,N(Q864)&lt;=0),"Menge pro Gebinde fehlt (Ist = 1 Gebinde); ","")&amp;BO864)</f>
        <v>negativer Bestand (Export -2); </v>
      </c>
      <c r="BH864" s="55"/>
      <c r="BI864" s="55"/>
      <c r="BJ864" s="62"/>
      <c r="BK864" s="57" t="n">
        <v>-2</v>
      </c>
      <c r="BL864" s="57" t="n">
        <v>5</v>
      </c>
      <c r="BM864" s="56" t="n">
        <v>-21.04</v>
      </c>
      <c r="BN864" s="57" t="n">
        <v>8</v>
      </c>
      <c r="BO864" s="55"/>
      <c r="BP864" s="60" t="n">
        <v>0</v>
      </c>
      <c r="BQ864" s="60" t="n">
        <v>864</v>
      </c>
      <c r="BR864" s="55" t="str">
        <f aca="false">IF(U864&lt;&gt;"",UPPER(TRIM(U864)),IF(BU864=1,UPPER(VLOOKUP(T864,Parameter!$I$27:$K$29,2,0)),IF(P864="","LOSE",P864)))</f>
        <v>S32</v>
      </c>
      <c r="BS864" s="57" t="n">
        <f aca="false">IF(BR864="LOSE",1,IF(N(V864)&gt;0,V864,IF(BU864=1,MAX(1,N(VLOOKUP(T864,Parameter!$I$27:$K$29,3,0)),H864,N(N864)),IF(N(Q864)&gt;0,Q864,MAX(1,H864)))))</f>
        <v>16</v>
      </c>
      <c r="BT864" s="60" t="n">
        <f aca="false">IF(BR864="LOSE",1,0)</f>
        <v>0</v>
      </c>
      <c r="BU864" s="60" t="n">
        <f aca="false">IF(AND(U864="",OR(P864="",P864="LOSE"),T864&lt;&gt;"",N(S864)&lt;=0,ISNUMBER(MATCH(T864,Parameter!$I$27:$I$29,0))),1,0)</f>
        <v>0</v>
      </c>
      <c r="BV864" s="55" t="str">
        <f aca="false">IF(AND(Parameter!$B$19="Ja",E864&lt;&gt;"",ISNUMBER(MATCH(E864,Parameter!$I$35:$I$52,0))),VLOOKUP(E864,Parameter!$I$35:$J$52,2,0),IFERROR(VLOOKUP(D864,Parameter!$A$35:$C$64,2,0),"Nein"))</f>
        <v>2+3</v>
      </c>
      <c r="BW864" s="59" t="n">
        <f aca="false">IF(BT864=0,0,IF(N(S864)&gt;0,S864,IFERROR(VLOOKUP(D864,Parameter!$A$35:$C$64,3,0)+0,0)))</f>
        <v>0</v>
      </c>
      <c r="BX864" s="55" t="n">
        <f aca="false">IF(AA864&lt;&gt;"",AA864,Z864)</f>
        <v>3</v>
      </c>
      <c r="BY864" s="55" t="str">
        <f aca="false">IF(BX864=1,"L1",IF(OR(BX864=2,BX864=3),"L23",IF(BX864="Aussen","Aussen","-")))</f>
        <v>L23</v>
      </c>
      <c r="BZ864" s="66" t="n">
        <f aca="false">IF(N(AB864)&gt;0,AB864,0)</f>
        <v>0</v>
      </c>
      <c r="CA864" s="60" t="n">
        <f aca="false">IF(ISNUMBER(AE864),1,0)</f>
        <v>0</v>
      </c>
      <c r="CB864" s="57" t="n">
        <f aca="false">N(AE864)</f>
        <v>0</v>
      </c>
      <c r="CC864" s="57" t="n">
        <f aca="false">N(M864)+N(N864)</f>
        <v>10</v>
      </c>
      <c r="CD864" s="57" t="n">
        <f aca="false">ROUNDUP(H864/BS864,0)</f>
        <v>1</v>
      </c>
      <c r="CE864" s="57" t="n">
        <f aca="false">ROUNDUP(CB864/BS864,0)</f>
        <v>0</v>
      </c>
      <c r="CF864" s="60" t="n">
        <f aca="false">IF(BT864=1,0,IFERROR(VLOOKUP(BR864,'Gebinde-Kategorie'!$A$5:$M$45,5,0)+0,0))</f>
        <v>8</v>
      </c>
      <c r="CG864" s="60" t="n">
        <f aca="false">IFERROR(IF(OR(BX864=1,BX864=2,BX864=3),N(INDEX(Parameter!$I$5:$I$7,BX864)),0),0)</f>
        <v>0</v>
      </c>
      <c r="CH864" s="59" t="n">
        <f aca="false">IF(AND(Parameter!$B$21="Ja",ISNUMBER(W864),N(X864)&gt;0),IFERROR(N(INDEX(Parameter!$L$5:$L$7,W864))*INDEX(Parameter!$E$5:$E$7,W864)*X864/SUMIFS($X$7:$X$1843,$W$7:$W$1843,W864),0),0)</f>
        <v>0</v>
      </c>
    </row>
    <row r="865" customFormat="false" ht="15" hidden="false" customHeight="false" outlineLevel="0" collapsed="false">
      <c r="A865" s="55" t="s">
        <v>1646</v>
      </c>
      <c r="B865" s="55" t="s">
        <v>405</v>
      </c>
      <c r="C865" s="55" t="s">
        <v>164</v>
      </c>
      <c r="D865" s="55" t="s">
        <v>184</v>
      </c>
      <c r="E865" s="55" t="s">
        <v>185</v>
      </c>
      <c r="F865" s="55" t="s">
        <v>218</v>
      </c>
      <c r="G865" s="56" t="n">
        <v>0.88</v>
      </c>
      <c r="H865" s="57" t="n">
        <f aca="false">MAX(0,IF(AND(Parameter!$B$21="Ja",ISNUMBER(Y865)),Y865,IF(Parameter!$B$20="Jahresanfang 2025 + Export",BL865+BK865,BK865)))</f>
        <v>79</v>
      </c>
      <c r="I865" s="57" t="n">
        <f aca="false">H865*G865</f>
        <v>69.52</v>
      </c>
      <c r="J865" s="57" t="n">
        <f aca="false">BN865*Parameter!$B$18</f>
        <v>24</v>
      </c>
      <c r="K865" s="58" t="n">
        <v>91</v>
      </c>
      <c r="L865" s="59" t="n">
        <v>0.263736263736264</v>
      </c>
      <c r="M865" s="57" t="n">
        <v>0</v>
      </c>
      <c r="N865" s="57" t="n">
        <v>25</v>
      </c>
      <c r="O865" s="60" t="n">
        <v>14</v>
      </c>
      <c r="P865" s="55" t="s">
        <v>302</v>
      </c>
      <c r="Q865" s="57" t="n">
        <v>177</v>
      </c>
      <c r="R865" s="60" t="n">
        <f aca="false">IF(BT865=1,0,IFERROR(VLOOKUP(BR865,'Gebinde-Kategorie'!$A$5:$M$45,13,0)+0,0))</f>
        <v>26</v>
      </c>
      <c r="S865" s="61"/>
      <c r="T865" s="62"/>
      <c r="U865" s="62"/>
      <c r="V865" s="62"/>
      <c r="W865" s="55"/>
      <c r="X865" s="57"/>
      <c r="Y865" s="57"/>
      <c r="Z865" s="55" t="n">
        <f aca="false">IF(A865="","",IF(AND(Parameter!$B$21="Ja",ISNUMBER(W865)),W865,IF(BV865="2+3",IF(ISNUMBER(SEARCH("grosser Artikel",BO865)),2,IFERROR(VLOOKUP(BR865,Parameter!$F$35:$G$64,2,0),2)),IF(OR(BV865="Nein",BV865=""),"-",BV865))))</f>
        <v>3</v>
      </c>
      <c r="AA865" s="62"/>
      <c r="AB865" s="63"/>
      <c r="AC865" s="57" t="n">
        <f aca="false">AR865</f>
        <v>177</v>
      </c>
      <c r="AD865" s="57" t="n">
        <f aca="false">MAX(AR865,H865)</f>
        <v>177</v>
      </c>
      <c r="AE865" s="64"/>
      <c r="AF865" s="57" t="n">
        <f aca="false">IF(LEFT(Cockpit!$C$5,1)="A",H865,IF(CA865=1,CB865,IF(LEFT(Cockpit!$C$5,1)="B",AJ865,MAX(AJ865,H865))))</f>
        <v>79</v>
      </c>
      <c r="AG865" s="57" t="n">
        <f aca="false">IF(BT865=1,0,ROUNDUP(AF865/BS865,0))</f>
        <v>1</v>
      </c>
      <c r="AH865" s="59" t="n">
        <f aca="false">IF(CH865&gt;0,CH865*MAX(1,AF865/X865),IF(BT865=1,IF(AF865&lt;=0,0,BW865*MAX(1,IF(H865&gt;0,AF865/H865,1))),IF(R865&gt;0,AG865/R865,0))/MAX(0.1,N(Parameter!$M$21)))</f>
        <v>0.0384615384615385</v>
      </c>
      <c r="AI865" s="57" t="n">
        <f aca="false">AF865*G865</f>
        <v>69.52</v>
      </c>
      <c r="AJ865" s="57" t="n">
        <f aca="false">ROUNDUP(MAX(J865/IF(BZ865&gt;0,BZ865,MAX(0.1,N(Cockpit!$C$6))),CC865)/BS865,0)*BS865</f>
        <v>177</v>
      </c>
      <c r="AK865" s="58" t="n">
        <f aca="false">IF(AH865&gt;0,J865/AH865,-1)</f>
        <v>624</v>
      </c>
      <c r="AL865" s="58" t="n">
        <f aca="false">IF(AND(OR(BY865="L1",BY865="L23"),AH865&gt;0),SUMIFS($AH$7:$AH$1843,$BY$7:$BY$1843,BY865,$AK$7:$AK$1843,"&gt;"&amp;AK865)+SUMIFS($AH$7:$AH$1843,$BY$7:$BY$1843,BY865,$AK$7:$AK$1843,AK865,$BQ$7:$BQ$1843,"&lt;="&amp;BQ865),"")</f>
        <v>22.9617327117327</v>
      </c>
      <c r="AM865" s="65" t="n">
        <f aca="false">IF(AL865="",0,MAX(0,MIN(1,(IF(BY865="L1",Parameter!$E$5,Parameter!$E$6+Parameter!$E$7)-(AL865-AH865))/AH865)))</f>
        <v>1</v>
      </c>
      <c r="AN865" s="57" t="n">
        <f aca="false">IF(LEFT(Cockpit!$I$5,1)="A",H865,IF(CA865=1,CB865,IF(LEFT(Cockpit!$I$5,1)="B",AR865,MAX(AR865,H865))))</f>
        <v>177</v>
      </c>
      <c r="AO865" s="57" t="n">
        <f aca="false">IF(BT865=1,0,ROUNDUP(AN865/BS865,0))</f>
        <v>1</v>
      </c>
      <c r="AP865" s="59" t="n">
        <f aca="false">IF(CH865&gt;0,CH865*MAX(1,AN865/X865),IF(BT865=1,IF(AN865&lt;=0,0,BW865*MAX(1,IF(H865&gt;0,AN865/H865,1))),IF(R865&gt;0,AO865/R865,0))/MAX(0.1,N(Parameter!$M$21)))</f>
        <v>0.0384615384615385</v>
      </c>
      <c r="AQ865" s="57" t="n">
        <f aca="false">AN865*G865</f>
        <v>155.76</v>
      </c>
      <c r="AR865" s="57" t="n">
        <f aca="false">ROUNDUP(MAX(J865/IF(BZ865&gt;0,BZ865,MAX(0.1,N(Cockpit!$I$6))),CC865)/BS865,0)*BS865</f>
        <v>177</v>
      </c>
      <c r="AS865" s="58" t="n">
        <f aca="false">IF(AP865&gt;0,J865/AP865,-1)</f>
        <v>624</v>
      </c>
      <c r="AT865" s="58" t="n">
        <f aca="false">IF(AND(OR(BY865="L1",BY865="L23"),AP865&gt;0),SUMIFS($AP$7:$AP$1843,$BY$7:$BY$1843,BY865,$AS$7:$AS$1843,"&gt;"&amp;AS865)+SUMIFS($AP$7:$AP$1843,$BY$7:$BY$1843,BY865,$AS$7:$AS$1843,AS865,$BQ$7:$BQ$1843,"&lt;="&amp;BQ865),"")</f>
        <v>30.370815175163</v>
      </c>
      <c r="AU865" s="65" t="n">
        <f aca="false">IF(AT865="",0,MAX(0,MIN(1,(IF(BY865="L1",Parameter!$E$5,Parameter!$E$6+Parameter!$E$7)-(AT865-AP865))/AP865)))</f>
        <v>1</v>
      </c>
      <c r="AV865" s="57" t="n">
        <f aca="false">IF(LEFT(Cockpit!$O$5,1)="A",H865,IF(CA865=1,CB865,IF(LEFT(Cockpit!$O$5,1)="B",AZ865,MAX(AZ865,H865))))</f>
        <v>177</v>
      </c>
      <c r="AW865" s="57" t="n">
        <f aca="false">IF(BT865=1,0,ROUNDUP(AV865/BS865,0))</f>
        <v>1</v>
      </c>
      <c r="AX865" s="59" t="n">
        <f aca="false">IF(CH865&gt;0,CH865*MAX(1,AV865/X865),IF(BT865=1,IF(AV865&lt;=0,0,BW865*MAX(1,IF(H865&gt;0,AV865/H865,1))),IF(R865&gt;0,AW865/R865,0))/MAX(0.1,N(Parameter!$M$21)))</f>
        <v>0.0384615384615385</v>
      </c>
      <c r="AY865" s="57" t="n">
        <f aca="false">AV865*G865</f>
        <v>155.76</v>
      </c>
      <c r="AZ865" s="57" t="n">
        <f aca="false">ROUNDUP(MAX(J865/IF(BZ865&gt;0,BZ865,MAX(0.1,N(Cockpit!$O$6))),CC865)/BS865,0)*BS865</f>
        <v>177</v>
      </c>
      <c r="BA865" s="58" t="n">
        <f aca="false">IF(AX865&gt;0,J865/AX865,-1)</f>
        <v>624</v>
      </c>
      <c r="BB865" s="58" t="n">
        <f aca="false">IF(AND(OR(BY865="L1",BY865="L23"),AX865&gt;0),SUMIFS($AX$7:$AX$1843,$BY$7:$BY$1843,BY865,$BA$7:$BA$1843,"&gt;"&amp;BA865)+SUMIFS($AX$7:$AX$1843,$BY$7:$BY$1843,BY865,$BA$7:$BA$1843,BA865,$BQ$7:$BQ$1843,"&lt;="&amp;BQ865),"")</f>
        <v>29.0724468767947</v>
      </c>
      <c r="BC865" s="65" t="n">
        <f aca="false">IF(BB865="",0,MAX(0,MIN(1,(IF(BY865="L1",Parameter!$E$5,Parameter!$E$6+Parameter!$E$7)-(BB865-AX865))/AX865)))</f>
        <v>1</v>
      </c>
      <c r="BD865" s="55" t="str">
        <f aca="false">IF(AH865&lt;=0,"",IF(BY865="Aussen","Aussenlager",IF(BY865="-","Nicht im Lift",IF(AM865&gt;=1,"Lift",IF(AM865&lt;=0,"Aussenlager","teilweise")))))</f>
        <v>Lift</v>
      </c>
      <c r="BE865" s="55" t="str">
        <f aca="false">IF(AP865&lt;=0,"",IF(BY865="Aussen","Aussenlager",IF(BY865="-","Nicht im Lift",IF(AU865&gt;=1,"Lift",IF(AU865&lt;=0,"Aussenlager","teilweise")))))</f>
        <v>Lift</v>
      </c>
      <c r="BF865" s="55" t="str">
        <f aca="false">IF(AX865&lt;=0,"",IF(BY865="Aussen","Aussenlager",IF(BY865="-","Nicht im Lift",IF(BC865&gt;=1,"Lift",IF(BC865&lt;=0,"Aussenlager","teilweise")))))</f>
        <v>Lift</v>
      </c>
      <c r="BG865" s="55" t="str">
        <f aca="false">IF(A865="","",IF(BP865=1,"Neu; ","")&amp;IF(AND(BP865=0,BK865&lt;0),"negativer Bestand (Export "&amp;BK865&amp;"); ","")&amp;IF(J865&lt;=0,"Kein Verbrauch; ","")&amp;IF(CH865&gt;0,"Lift "&amp;W865&amp;" lt. Liftbericht (Fach "&amp;X865&amp;" Stk); ",IF(BU865=1,"Gebinde geschätzt ("&amp;T865&amp;"); ",IF(BT865=1,"Lose – Tablare geschätzt; ","")))&amp;IF(H865&gt;AR865,"Überbestand "&amp;ROUND(H865-AR865,0)&amp;" Stk / CHF "&amp;ROUND((H865-AR865)*G865,0)&amp;"; ","")&amp;IF(AND(CA865=1,CB865&lt;CC865),"MAX &lt; MB+LG; ","")&amp;IF(AND(CG865&gt;0,CF865*10&gt;CG865),"zu hoch für Tablar; ","")&amp;IF(AND(BP865=0,OR(CA865=1,AA865&lt;&gt;"",U865&lt;&gt;"",V865&lt;&gt;"",AB865&lt;&gt;"")),"manuell übersteuert; ","")&amp;IF(AND(BT865=0,R865=0),"Gebinde unbekannt / Stellmass fehlt; ","")&amp;IF(AND(BT865=0,N(V865)&lt;=0,N(Q865)&lt;=0),"Menge pro Gebinde fehlt (Ist = 1 Gebinde); ","")&amp;BO865)</f>
        <v>negativer Bestand (Export -24); Neu</v>
      </c>
      <c r="BH865" s="55"/>
      <c r="BI865" s="55"/>
      <c r="BJ865" s="62"/>
      <c r="BK865" s="57" t="n">
        <v>-24</v>
      </c>
      <c r="BL865" s="57" t="n">
        <v>103</v>
      </c>
      <c r="BM865" s="56" t="n">
        <v>-21.12</v>
      </c>
      <c r="BN865" s="57" t="n">
        <v>24</v>
      </c>
      <c r="BO865" s="55" t="s">
        <v>626</v>
      </c>
      <c r="BP865" s="60" t="n">
        <v>0</v>
      </c>
      <c r="BQ865" s="60" t="n">
        <v>865</v>
      </c>
      <c r="BR865" s="55" t="str">
        <f aca="false">IF(U865&lt;&gt;"",UPPER(TRIM(U865)),IF(BU865=1,UPPER(VLOOKUP(T865,Parameter!$I$27:$K$29,2,0)),IF(P865="","LOSE",P865)))</f>
        <v>S51</v>
      </c>
      <c r="BS865" s="57" t="n">
        <f aca="false">IF(BR865="LOSE",1,IF(N(V865)&gt;0,V865,IF(BU865=1,MAX(1,N(VLOOKUP(T865,Parameter!$I$27:$K$29,3,0)),H865,N(N865)),IF(N(Q865)&gt;0,Q865,MAX(1,H865)))))</f>
        <v>177</v>
      </c>
      <c r="BT865" s="60" t="n">
        <f aca="false">IF(BR865="LOSE",1,0)</f>
        <v>0</v>
      </c>
      <c r="BU865" s="60" t="n">
        <f aca="false">IF(AND(U865="",OR(P865="",P865="LOSE"),T865&lt;&gt;"",N(S865)&lt;=0,ISNUMBER(MATCH(T865,Parameter!$I$27:$I$29,0))),1,0)</f>
        <v>0</v>
      </c>
      <c r="BV865" s="55" t="str">
        <f aca="false">IF(AND(Parameter!$B$19="Ja",E865&lt;&gt;"",ISNUMBER(MATCH(E865,Parameter!$I$35:$I$52,0))),VLOOKUP(E865,Parameter!$I$35:$J$52,2,0),IFERROR(VLOOKUP(D865,Parameter!$A$35:$C$64,2,0),"Nein"))</f>
        <v>2+3</v>
      </c>
      <c r="BW865" s="59" t="n">
        <f aca="false">IF(BT865=0,0,IF(N(S865)&gt;0,S865,IFERROR(VLOOKUP(D865,Parameter!$A$35:$C$64,3,0)+0,0)))</f>
        <v>0</v>
      </c>
      <c r="BX865" s="55" t="n">
        <f aca="false">IF(AA865&lt;&gt;"",AA865,Z865)</f>
        <v>3</v>
      </c>
      <c r="BY865" s="55" t="str">
        <f aca="false">IF(BX865=1,"L1",IF(OR(BX865=2,BX865=3),"L23",IF(BX865="Aussen","Aussen","-")))</f>
        <v>L23</v>
      </c>
      <c r="BZ865" s="66" t="n">
        <f aca="false">IF(N(AB865)&gt;0,AB865,0)</f>
        <v>0</v>
      </c>
      <c r="CA865" s="60" t="n">
        <f aca="false">IF(ISNUMBER(AE865),1,0)</f>
        <v>0</v>
      </c>
      <c r="CB865" s="57" t="n">
        <f aca="false">N(AE865)</f>
        <v>0</v>
      </c>
      <c r="CC865" s="57" t="n">
        <f aca="false">N(M865)+N(N865)</f>
        <v>25</v>
      </c>
      <c r="CD865" s="57" t="n">
        <f aca="false">ROUNDUP(H865/BS865,0)</f>
        <v>1</v>
      </c>
      <c r="CE865" s="57" t="n">
        <f aca="false">ROUNDUP(CB865/BS865,0)</f>
        <v>0</v>
      </c>
      <c r="CF865" s="60" t="n">
        <f aca="false">IF(BT865=1,0,IFERROR(VLOOKUP(BR865,'Gebinde-Kategorie'!$A$5:$M$45,5,0)+0,0))</f>
        <v>11</v>
      </c>
      <c r="CG865" s="60" t="n">
        <f aca="false">IFERROR(IF(OR(BX865=1,BX865=2,BX865=3),N(INDEX(Parameter!$I$5:$I$7,BX865)),0),0)</f>
        <v>0</v>
      </c>
      <c r="CH865" s="59" t="n">
        <f aca="false">IF(AND(Parameter!$B$21="Ja",ISNUMBER(W865),N(X865)&gt;0),IFERROR(N(INDEX(Parameter!$L$5:$L$7,W865))*INDEX(Parameter!$E$5:$E$7,W865)*X865/SUMIFS($X$7:$X$1843,$W$7:$W$1843,W865),0),0)</f>
        <v>0</v>
      </c>
    </row>
    <row r="866" customFormat="false" ht="15" hidden="false" customHeight="false" outlineLevel="0" collapsed="false">
      <c r="A866" s="55" t="s">
        <v>1647</v>
      </c>
      <c r="B866" s="55" t="s">
        <v>405</v>
      </c>
      <c r="C866" s="55" t="s">
        <v>456</v>
      </c>
      <c r="D866" s="55" t="s">
        <v>184</v>
      </c>
      <c r="E866" s="55"/>
      <c r="F866" s="55" t="s">
        <v>218</v>
      </c>
      <c r="G866" s="56" t="n">
        <v>0.11</v>
      </c>
      <c r="H866" s="57" t="n">
        <f aca="false">MAX(0,IF(AND(Parameter!$B$21="Ja",ISNUMBER(Y866)),Y866,IF(Parameter!$B$20="Jahresanfang 2025 + Export",BL866+BK866,BK866)))</f>
        <v>196</v>
      </c>
      <c r="I866" s="57" t="n">
        <f aca="false">H866*G866</f>
        <v>21.56</v>
      </c>
      <c r="J866" s="57" t="n">
        <f aca="false">BN866*Parameter!$B$18</f>
        <v>196</v>
      </c>
      <c r="K866" s="58" t="n">
        <v>196</v>
      </c>
      <c r="L866" s="59" t="n">
        <v>1</v>
      </c>
      <c r="M866" s="57" t="n">
        <v>7</v>
      </c>
      <c r="N866" s="57" t="n">
        <v>195</v>
      </c>
      <c r="O866" s="60" t="n">
        <v>14</v>
      </c>
      <c r="P866" s="55" t="s">
        <v>168</v>
      </c>
      <c r="Q866" s="57"/>
      <c r="R866" s="60" t="n">
        <f aca="false">IF(BT866=1,0,IFERROR(VLOOKUP(BR866,'Gebinde-Kategorie'!$A$5:$M$45,13,0)+0,0))</f>
        <v>26</v>
      </c>
      <c r="S866" s="61"/>
      <c r="T866" s="62" t="s">
        <v>275</v>
      </c>
      <c r="U866" s="62"/>
      <c r="V866" s="62"/>
      <c r="W866" s="55"/>
      <c r="X866" s="57"/>
      <c r="Y866" s="57"/>
      <c r="Z866" s="55" t="n">
        <f aca="false">IF(A866="","",IF(AND(Parameter!$B$21="Ja",ISNUMBER(W866)),W866,IF(BV866="2+3",IF(ISNUMBER(SEARCH("grosser Artikel",BO866)),2,IFERROR(VLOOKUP(BR866,Parameter!$F$35:$G$64,2,0),2)),IF(OR(BV866="Nein",BV866=""),"-",BV866))))</f>
        <v>3</v>
      </c>
      <c r="AA866" s="62"/>
      <c r="AB866" s="63"/>
      <c r="AC866" s="57" t="n">
        <f aca="false">AR866</f>
        <v>392</v>
      </c>
      <c r="AD866" s="57" t="n">
        <f aca="false">MAX(AR866,H866)</f>
        <v>392</v>
      </c>
      <c r="AE866" s="64"/>
      <c r="AF866" s="57" t="n">
        <f aca="false">IF(LEFT(Cockpit!$C$5,1)="A",H866,IF(CA866=1,CB866,IF(LEFT(Cockpit!$C$5,1)="B",AJ866,MAX(AJ866,H866))))</f>
        <v>196</v>
      </c>
      <c r="AG866" s="57" t="n">
        <f aca="false">IF(BT866=1,0,ROUNDUP(AF866/BS866,0))</f>
        <v>1</v>
      </c>
      <c r="AH866" s="59" t="n">
        <f aca="false">IF(CH866&gt;0,CH866*MAX(1,AF866/X866),IF(BT866=1,IF(AF866&lt;=0,0,BW866*MAX(1,IF(H866&gt;0,AF866/H866,1))),IF(R866&gt;0,AG866/R866,0))/MAX(0.1,N(Parameter!$M$21)))</f>
        <v>0.0384615384615385</v>
      </c>
      <c r="AI866" s="57" t="n">
        <f aca="false">AF866*G866</f>
        <v>21.56</v>
      </c>
      <c r="AJ866" s="57" t="n">
        <f aca="false">ROUNDUP(MAX(J866/IF(BZ866&gt;0,BZ866,MAX(0.1,N(Cockpit!$C$6))),CC866)/BS866,0)*BS866</f>
        <v>392</v>
      </c>
      <c r="AK866" s="58" t="n">
        <f aca="false">IF(AH866&gt;0,J866/AH866,-1)</f>
        <v>5096</v>
      </c>
      <c r="AL866" s="58" t="n">
        <f aca="false">IF(AND(OR(BY866="L1",BY866="L23"),AH866&gt;0),SUMIFS($AH$7:$AH$1843,$BY$7:$BY$1843,BY866,$AK$7:$AK$1843,"&gt;"&amp;AK866)+SUMIFS($AH$7:$AH$1843,$BY$7:$BY$1843,BY866,$AK$7:$AK$1843,AK866,$BQ$7:$BQ$1843,"&lt;="&amp;BQ866),"")</f>
        <v>7.09117935204892</v>
      </c>
      <c r="AM866" s="65" t="n">
        <f aca="false">IF(AL866="",0,MAX(0,MIN(1,(IF(BY866="L1",Parameter!$E$5,Parameter!$E$6+Parameter!$E$7)-(AL866-AH866))/AH866)))</f>
        <v>1</v>
      </c>
      <c r="AN866" s="57" t="n">
        <f aca="false">IF(LEFT(Cockpit!$I$5,1)="A",H866,IF(CA866=1,CB866,IF(LEFT(Cockpit!$I$5,1)="B",AR866,MAX(AR866,H866))))</f>
        <v>392</v>
      </c>
      <c r="AO866" s="57" t="n">
        <f aca="false">IF(BT866=1,0,ROUNDUP(AN866/BS866,0))</f>
        <v>2</v>
      </c>
      <c r="AP866" s="59" t="n">
        <f aca="false">IF(CH866&gt;0,CH866*MAX(1,AN866/X866),IF(BT866=1,IF(AN866&lt;=0,0,BW866*MAX(1,IF(H866&gt;0,AN866/H866,1))),IF(R866&gt;0,AO866/R866,0))/MAX(0.1,N(Parameter!$M$21)))</f>
        <v>0.0769230769230769</v>
      </c>
      <c r="AQ866" s="57" t="n">
        <f aca="false">AN866*G866</f>
        <v>43.12</v>
      </c>
      <c r="AR866" s="57" t="n">
        <f aca="false">ROUNDUP(MAX(J866/IF(BZ866&gt;0,BZ866,MAX(0.1,N(Cockpit!$I$6))),CC866)/BS866,0)*BS866</f>
        <v>392</v>
      </c>
      <c r="AS866" s="58" t="n">
        <f aca="false">IF(AP866&gt;0,J866/AP866,-1)</f>
        <v>2548</v>
      </c>
      <c r="AT866" s="58" t="n">
        <f aca="false">IF(AND(OR(BY866="L1",BY866="L23"),AP866&gt;0),SUMIFS($AP$7:$AP$1843,$BY$7:$BY$1843,BY866,$AS$7:$AS$1843,"&gt;"&amp;AS866)+SUMIFS($AP$7:$AP$1843,$BY$7:$BY$1843,BY866,$AS$7:$AS$1843,AS866,$BQ$7:$BQ$1843,"&lt;="&amp;BQ866),"")</f>
        <v>16.6051315833925</v>
      </c>
      <c r="AU866" s="65" t="n">
        <f aca="false">IF(AT866="",0,MAX(0,MIN(1,(IF(BY866="L1",Parameter!$E$5,Parameter!$E$6+Parameter!$E$7)-(AT866-AP866))/AP866)))</f>
        <v>1</v>
      </c>
      <c r="AV866" s="57" t="n">
        <f aca="false">IF(LEFT(Cockpit!$O$5,1)="A",H866,IF(CA866=1,CB866,IF(LEFT(Cockpit!$O$5,1)="B",AZ866,MAX(AZ866,H866))))</f>
        <v>392</v>
      </c>
      <c r="AW866" s="57" t="n">
        <f aca="false">IF(BT866=1,0,ROUNDUP(AV866/BS866,0))</f>
        <v>2</v>
      </c>
      <c r="AX866" s="59" t="n">
        <f aca="false">IF(CH866&gt;0,CH866*MAX(1,AV866/X866),IF(BT866=1,IF(AV866&lt;=0,0,BW866*MAX(1,IF(H866&gt;0,AV866/H866,1))),IF(R866&gt;0,AW866/R866,0))/MAX(0.1,N(Parameter!$M$21)))</f>
        <v>0.0769230769230769</v>
      </c>
      <c r="AY866" s="57" t="n">
        <f aca="false">AV866*G866</f>
        <v>43.12</v>
      </c>
      <c r="AZ866" s="57" t="n">
        <f aca="false">ROUNDUP(MAX(J866/IF(BZ866&gt;0,BZ866,MAX(0.1,N(Cockpit!$O$6))),CC866)/BS866,0)*BS866</f>
        <v>392</v>
      </c>
      <c r="BA866" s="58" t="n">
        <f aca="false">IF(AX866&gt;0,J866/AX866,-1)</f>
        <v>2548</v>
      </c>
      <c r="BB866" s="58" t="n">
        <f aca="false">IF(AND(OR(BY866="L1",BY866="L23"),AX866&gt;0),SUMIFS($AX$7:$AX$1843,$BY$7:$BY$1843,BY866,$BA$7:$BA$1843,"&gt;"&amp;BA866)+SUMIFS($AX$7:$AX$1843,$BY$7:$BY$1843,BY866,$BA$7:$BA$1843,BA866,$BQ$7:$BQ$1843,"&lt;="&amp;BQ866),"")</f>
        <v>15.178558156819</v>
      </c>
      <c r="BC866" s="65" t="n">
        <f aca="false">IF(BB866="",0,MAX(0,MIN(1,(IF(BY866="L1",Parameter!$E$5,Parameter!$E$6+Parameter!$E$7)-(BB866-AX866))/AX866)))</f>
        <v>1</v>
      </c>
      <c r="BD866" s="55" t="str">
        <f aca="false">IF(AH866&lt;=0,"",IF(BY866="Aussen","Aussenlager",IF(BY866="-","Nicht im Lift",IF(AM866&gt;=1,"Lift",IF(AM866&lt;=0,"Aussenlager","teilweise")))))</f>
        <v>Lift</v>
      </c>
      <c r="BE866" s="55" t="str">
        <f aca="false">IF(AP866&lt;=0,"",IF(BY866="Aussen","Aussenlager",IF(BY866="-","Nicht im Lift",IF(AU866&gt;=1,"Lift",IF(AU866&lt;=0,"Aussenlager","teilweise")))))</f>
        <v>Lift</v>
      </c>
      <c r="BF866" s="55" t="str">
        <f aca="false">IF(AX866&lt;=0,"",IF(BY866="Aussen","Aussenlager",IF(BY866="-","Nicht im Lift",IF(BC866&gt;=1,"Lift",IF(BC866&lt;=0,"Aussenlager","teilweise")))))</f>
        <v>Lift</v>
      </c>
      <c r="BG866" s="55" t="str">
        <f aca="false">IF(A866="","",IF(BP866=1,"Neu; ","")&amp;IF(AND(BP866=0,BK866&lt;0),"negativer Bestand (Export "&amp;BK866&amp;"); ","")&amp;IF(J866&lt;=0,"Kein Verbrauch; ","")&amp;IF(CH866&gt;0,"Lift "&amp;W866&amp;" lt. Liftbericht (Fach "&amp;X866&amp;" Stk); ",IF(BU866=1,"Gebinde geschätzt ("&amp;T866&amp;"); ",IF(BT866=1,"Lose – Tablare geschätzt; ","")))&amp;IF(H866&gt;AR866,"Überbestand "&amp;ROUND(H866-AR866,0)&amp;" Stk / CHF "&amp;ROUND((H866-AR866)*G866,0)&amp;"; ","")&amp;IF(AND(CA866=1,CB866&lt;CC866),"MAX &lt; MB+LG; ","")&amp;IF(AND(CG866&gt;0,CF866*10&gt;CG866),"zu hoch für Tablar; ","")&amp;IF(AND(BP866=0,OR(CA866=1,AA866&lt;&gt;"",U866&lt;&gt;"",V866&lt;&gt;"",AB866&lt;&gt;"")),"manuell übersteuert; ","")&amp;IF(AND(BT866=0,R866=0),"Gebinde unbekannt / Stellmass fehlt; ","")&amp;IF(AND(BT866=0,N(V866)&lt;=0,N(Q866)&lt;=0),"Menge pro Gebinde fehlt (Ist = 1 Gebinde); ","")&amp;BO866)</f>
        <v>negativer Bestand (Export -196); Gebinde geschätzt (Klein); Menge pro Gebinde fehlt (Ist = 1 Gebinde); </v>
      </c>
      <c r="BH866" s="55"/>
      <c r="BI866" s="55"/>
      <c r="BJ866" s="62"/>
      <c r="BK866" s="57" t="n">
        <v>-196</v>
      </c>
      <c r="BL866" s="57" t="n">
        <v>392</v>
      </c>
      <c r="BM866" s="56" t="n">
        <v>-21.56</v>
      </c>
      <c r="BN866" s="57" t="n">
        <v>196</v>
      </c>
      <c r="BO866" s="55"/>
      <c r="BP866" s="60" t="n">
        <v>0</v>
      </c>
      <c r="BQ866" s="60" t="n">
        <v>866</v>
      </c>
      <c r="BR866" s="55" t="str">
        <f aca="false">IF(U866&lt;&gt;"",UPPER(TRIM(U866)),IF(BU866=1,UPPER(VLOOKUP(T866,Parameter!$I$27:$K$29,2,0)),IF(P866="","LOSE",P866)))</f>
        <v>S51</v>
      </c>
      <c r="BS866" s="57" t="n">
        <f aca="false">IF(BR866="LOSE",1,IF(N(V866)&gt;0,V866,IF(BU866=1,MAX(1,N(VLOOKUP(T866,Parameter!$I$27:$K$29,3,0)),H866,N(N866)),IF(N(Q866)&gt;0,Q866,MAX(1,H866)))))</f>
        <v>196</v>
      </c>
      <c r="BT866" s="60" t="n">
        <f aca="false">IF(BR866="LOSE",1,0)</f>
        <v>0</v>
      </c>
      <c r="BU866" s="60" t="n">
        <f aca="false">IF(AND(U866="",OR(P866="",P866="LOSE"),T866&lt;&gt;"",N(S866)&lt;=0,ISNUMBER(MATCH(T866,Parameter!$I$27:$I$29,0))),1,0)</f>
        <v>1</v>
      </c>
      <c r="BV866" s="55" t="str">
        <f aca="false">IF(AND(Parameter!$B$19="Ja",E866&lt;&gt;"",ISNUMBER(MATCH(E866,Parameter!$I$35:$I$52,0))),VLOOKUP(E866,Parameter!$I$35:$J$52,2,0),IFERROR(VLOOKUP(D866,Parameter!$A$35:$C$64,2,0),"Nein"))</f>
        <v>2+3</v>
      </c>
      <c r="BW866" s="59" t="n">
        <f aca="false">IF(BT866=0,0,IF(N(S866)&gt;0,S866,IFERROR(VLOOKUP(D866,Parameter!$A$35:$C$64,3,0)+0,0)))</f>
        <v>0</v>
      </c>
      <c r="BX866" s="55" t="n">
        <f aca="false">IF(AA866&lt;&gt;"",AA866,Z866)</f>
        <v>3</v>
      </c>
      <c r="BY866" s="55" t="str">
        <f aca="false">IF(BX866=1,"L1",IF(OR(BX866=2,BX866=3),"L23",IF(BX866="Aussen","Aussen","-")))</f>
        <v>L23</v>
      </c>
      <c r="BZ866" s="66" t="n">
        <f aca="false">IF(N(AB866)&gt;0,AB866,0)</f>
        <v>0</v>
      </c>
      <c r="CA866" s="60" t="n">
        <f aca="false">IF(ISNUMBER(AE866),1,0)</f>
        <v>0</v>
      </c>
      <c r="CB866" s="57" t="n">
        <f aca="false">N(AE866)</f>
        <v>0</v>
      </c>
      <c r="CC866" s="57" t="n">
        <f aca="false">N(M866)+N(N866)</f>
        <v>202</v>
      </c>
      <c r="CD866" s="57" t="n">
        <f aca="false">ROUNDUP(H866/BS866,0)</f>
        <v>1</v>
      </c>
      <c r="CE866" s="57" t="n">
        <f aca="false">ROUNDUP(CB866/BS866,0)</f>
        <v>0</v>
      </c>
      <c r="CF866" s="60" t="n">
        <f aca="false">IF(BT866=1,0,IFERROR(VLOOKUP(BR866,'Gebinde-Kategorie'!$A$5:$M$45,5,0)+0,0))</f>
        <v>11</v>
      </c>
      <c r="CG866" s="60" t="n">
        <f aca="false">IFERROR(IF(OR(BX866=1,BX866=2,BX866=3),N(INDEX(Parameter!$I$5:$I$7,BX866)),0),0)</f>
        <v>0</v>
      </c>
      <c r="CH866" s="59" t="n">
        <f aca="false">IF(AND(Parameter!$B$21="Ja",ISNUMBER(W866),N(X866)&gt;0),IFERROR(N(INDEX(Parameter!$L$5:$L$7,W866))*INDEX(Parameter!$E$5:$E$7,W866)*X866/SUMIFS($X$7:$X$1843,$W$7:$W$1843,W866),0),0)</f>
        <v>0</v>
      </c>
    </row>
    <row r="867" customFormat="false" ht="15" hidden="false" customHeight="false" outlineLevel="0" collapsed="false">
      <c r="A867" s="55" t="s">
        <v>1648</v>
      </c>
      <c r="B867" s="55" t="s">
        <v>1099</v>
      </c>
      <c r="C867" s="55" t="s">
        <v>164</v>
      </c>
      <c r="D867" s="55" t="s">
        <v>184</v>
      </c>
      <c r="E867" s="55"/>
      <c r="F867" s="55" t="s">
        <v>218</v>
      </c>
      <c r="G867" s="56" t="n">
        <v>10.9</v>
      </c>
      <c r="H867" s="57" t="n">
        <f aca="false">MAX(0,IF(AND(Parameter!$B$21="Ja",ISNUMBER(Y867)),Y867,IF(Parameter!$B$20="Jahresanfang 2025 + Export",BL867+BK867,BK867)))</f>
        <v>54</v>
      </c>
      <c r="I867" s="57" t="n">
        <f aca="false">H867*G867</f>
        <v>588.6</v>
      </c>
      <c r="J867" s="57" t="n">
        <f aca="false">BN867*Parameter!$B$18</f>
        <v>1</v>
      </c>
      <c r="K867" s="58" t="n">
        <v>55</v>
      </c>
      <c r="L867" s="59" t="n">
        <v>0.0181818181818182</v>
      </c>
      <c r="M867" s="57" t="n">
        <v>0</v>
      </c>
      <c r="N867" s="57" t="n">
        <v>1</v>
      </c>
      <c r="O867" s="60" t="n">
        <v>70</v>
      </c>
      <c r="P867" s="55" t="s">
        <v>302</v>
      </c>
      <c r="Q867" s="57" t="n">
        <v>54</v>
      </c>
      <c r="R867" s="60" t="n">
        <f aca="false">IF(BT867=1,0,IFERROR(VLOOKUP(BR867,'Gebinde-Kategorie'!$A$5:$M$45,13,0)+0,0))</f>
        <v>26</v>
      </c>
      <c r="S867" s="61"/>
      <c r="T867" s="62"/>
      <c r="U867" s="62"/>
      <c r="V867" s="62"/>
      <c r="W867" s="55"/>
      <c r="X867" s="57"/>
      <c r="Y867" s="57"/>
      <c r="Z867" s="55" t="n">
        <f aca="false">IF(A867="","",IF(AND(Parameter!$B$21="Ja",ISNUMBER(W867)),W867,IF(BV867="2+3",IF(ISNUMBER(SEARCH("grosser Artikel",BO867)),2,IFERROR(VLOOKUP(BR867,Parameter!$F$35:$G$64,2,0),2)),IF(OR(BV867="Nein",BV867=""),"-",BV867))))</f>
        <v>3</v>
      </c>
      <c r="AA867" s="62"/>
      <c r="AB867" s="63"/>
      <c r="AC867" s="57" t="n">
        <f aca="false">AR867</f>
        <v>54</v>
      </c>
      <c r="AD867" s="57" t="n">
        <f aca="false">MAX(AR867,H867)</f>
        <v>54</v>
      </c>
      <c r="AE867" s="64"/>
      <c r="AF867" s="57" t="n">
        <f aca="false">IF(LEFT(Cockpit!$C$5,1)="A",H867,IF(CA867=1,CB867,IF(LEFT(Cockpit!$C$5,1)="B",AJ867,MAX(AJ867,H867))))</f>
        <v>54</v>
      </c>
      <c r="AG867" s="57" t="n">
        <f aca="false">IF(BT867=1,0,ROUNDUP(AF867/BS867,0))</f>
        <v>1</v>
      </c>
      <c r="AH867" s="59" t="n">
        <f aca="false">IF(CH867&gt;0,CH867*MAX(1,AF867/X867),IF(BT867=1,IF(AF867&lt;=0,0,BW867*MAX(1,IF(H867&gt;0,AF867/H867,1))),IF(R867&gt;0,AG867/R867,0))/MAX(0.1,N(Parameter!$M$21)))</f>
        <v>0.0384615384615385</v>
      </c>
      <c r="AI867" s="57" t="n">
        <f aca="false">AF867*G867</f>
        <v>588.6</v>
      </c>
      <c r="AJ867" s="57" t="n">
        <f aca="false">ROUNDUP(MAX(J867/IF(BZ867&gt;0,BZ867,MAX(0.1,N(Cockpit!$C$6))),CC867)/BS867,0)*BS867</f>
        <v>54</v>
      </c>
      <c r="AK867" s="58" t="n">
        <f aca="false">IF(AH867&gt;0,J867/AH867,-1)</f>
        <v>26</v>
      </c>
      <c r="AL867" s="58" t="n">
        <f aca="false">IF(AND(OR(BY867="L1",BY867="L23"),AH867&gt;0),SUMIFS($AH$7:$AH$1843,$BY$7:$BY$1843,BY867,$AK$7:$AK$1843,"&gt;"&amp;AK867)+SUMIFS($AH$7:$AH$1843,$BY$7:$BY$1843,BY867,$AK$7:$AK$1843,AK867,$BQ$7:$BQ$1843,"&lt;="&amp;BQ867),"")</f>
        <v>48.5753606297085</v>
      </c>
      <c r="AM867" s="65" t="n">
        <f aca="false">IF(AL867="",0,MAX(0,MIN(1,(IF(BY867="L1",Parameter!$E$5,Parameter!$E$6+Parameter!$E$7)-(AL867-AH867))/AH867)))</f>
        <v>1</v>
      </c>
      <c r="AN867" s="57" t="n">
        <f aca="false">IF(LEFT(Cockpit!$I$5,1)="A",H867,IF(CA867=1,CB867,IF(LEFT(Cockpit!$I$5,1)="B",AR867,MAX(AR867,H867))))</f>
        <v>54</v>
      </c>
      <c r="AO867" s="57" t="n">
        <f aca="false">IF(BT867=1,0,ROUNDUP(AN867/BS867,0))</f>
        <v>1</v>
      </c>
      <c r="AP867" s="59" t="n">
        <f aca="false">IF(CH867&gt;0,CH867*MAX(1,AN867/X867),IF(BT867=1,IF(AN867&lt;=0,0,BW867*MAX(1,IF(H867&gt;0,AN867/H867,1))),IF(R867&gt;0,AO867/R867,0))/MAX(0.1,N(Parameter!$M$21)))</f>
        <v>0.0384615384615385</v>
      </c>
      <c r="AQ867" s="57" t="n">
        <f aca="false">AN867*G867</f>
        <v>588.6</v>
      </c>
      <c r="AR867" s="57" t="n">
        <f aca="false">ROUNDUP(MAX(J867/IF(BZ867&gt;0,BZ867,MAX(0.1,N(Cockpit!$I$6))),CC867)/BS867,0)*BS867</f>
        <v>54</v>
      </c>
      <c r="AS867" s="58" t="n">
        <f aca="false">IF(AP867&gt;0,J867/AP867,-1)</f>
        <v>26</v>
      </c>
      <c r="AT867" s="58" t="n">
        <f aca="false">IF(AND(OR(BY867="L1",BY867="L23"),AP867&gt;0),SUMIFS($AP$7:$AP$1843,$BY$7:$BY$1843,BY867,$AS$7:$AS$1843,"&gt;"&amp;AS867)+SUMIFS($AP$7:$AP$1843,$BY$7:$BY$1843,BY867,$AS$7:$AS$1843,AS867,$BQ$7:$BQ$1843,"&lt;="&amp;BQ867),"")</f>
        <v>73.7494848147022</v>
      </c>
      <c r="AU867" s="65" t="n">
        <f aca="false">IF(AT867="",0,MAX(0,MIN(1,(IF(BY867="L1",Parameter!$E$5,Parameter!$E$6+Parameter!$E$7)-(AT867-AP867))/AP867)))</f>
        <v>1</v>
      </c>
      <c r="AV867" s="57" t="n">
        <f aca="false">IF(LEFT(Cockpit!$O$5,1)="A",H867,IF(CA867=1,CB867,IF(LEFT(Cockpit!$O$5,1)="B",AZ867,MAX(AZ867,H867))))</f>
        <v>54</v>
      </c>
      <c r="AW867" s="57" t="n">
        <f aca="false">IF(BT867=1,0,ROUNDUP(AV867/BS867,0))</f>
        <v>1</v>
      </c>
      <c r="AX867" s="59" t="n">
        <f aca="false">IF(CH867&gt;0,CH867*MAX(1,AV867/X867),IF(BT867=1,IF(AV867&lt;=0,0,BW867*MAX(1,IF(H867&gt;0,AV867/H867,1))),IF(R867&gt;0,AW867/R867,0))/MAX(0.1,N(Parameter!$M$21)))</f>
        <v>0.0384615384615385</v>
      </c>
      <c r="AY867" s="57" t="n">
        <f aca="false">AV867*G867</f>
        <v>588.6</v>
      </c>
      <c r="AZ867" s="57" t="n">
        <f aca="false">ROUNDUP(MAX(J867/IF(BZ867&gt;0,BZ867,MAX(0.1,N(Cockpit!$O$6))),CC867)/BS867,0)*BS867</f>
        <v>54</v>
      </c>
      <c r="BA867" s="58" t="n">
        <f aca="false">IF(AX867&gt;0,J867/AX867,-1)</f>
        <v>26</v>
      </c>
      <c r="BB867" s="58" t="n">
        <f aca="false">IF(AND(OR(BY867="L1",BY867="L23"),AX867&gt;0),SUMIFS($AX$7:$AX$1843,$BY$7:$BY$1843,BY867,$BA$7:$BA$1843,"&gt;"&amp;BA867)+SUMIFS($AX$7:$AX$1843,$BY$7:$BY$1843,BY867,$BA$7:$BA$1843,BA867,$BQ$7:$BQ$1843,"&lt;="&amp;BQ867),"")</f>
        <v>69.2459883112057</v>
      </c>
      <c r="BC867" s="65" t="n">
        <f aca="false">IF(BB867="",0,MAX(0,MIN(1,(IF(BY867="L1",Parameter!$E$5,Parameter!$E$6+Parameter!$E$7)-(BB867-AX867))/AX867)))</f>
        <v>1</v>
      </c>
      <c r="BD867" s="55" t="str">
        <f aca="false">IF(AH867&lt;=0,"",IF(BY867="Aussen","Aussenlager",IF(BY867="-","Nicht im Lift",IF(AM867&gt;=1,"Lift",IF(AM867&lt;=0,"Aussenlager","teilweise")))))</f>
        <v>Lift</v>
      </c>
      <c r="BE867" s="55" t="str">
        <f aca="false">IF(AP867&lt;=0,"",IF(BY867="Aussen","Aussenlager",IF(BY867="-","Nicht im Lift",IF(AU867&gt;=1,"Lift",IF(AU867&lt;=0,"Aussenlager","teilweise")))))</f>
        <v>Lift</v>
      </c>
      <c r="BF867" s="55" t="str">
        <f aca="false">IF(AX867&lt;=0,"",IF(BY867="Aussen","Aussenlager",IF(BY867="-","Nicht im Lift",IF(BC867&gt;=1,"Lift",IF(BC867&lt;=0,"Aussenlager","teilweise")))))</f>
        <v>Lift</v>
      </c>
      <c r="BG867" s="55" t="str">
        <f aca="false">IF(A867="","",IF(BP867=1,"Neu; ","")&amp;IF(AND(BP867=0,BK867&lt;0),"negativer Bestand (Export "&amp;BK867&amp;"); ","")&amp;IF(J867&lt;=0,"Kein Verbrauch; ","")&amp;IF(CH867&gt;0,"Lift "&amp;W867&amp;" lt. Liftbericht (Fach "&amp;X867&amp;" Stk); ",IF(BU867=1,"Gebinde geschätzt ("&amp;T867&amp;"); ",IF(BT867=1,"Lose – Tablare geschätzt; ","")))&amp;IF(H867&gt;AR867,"Überbestand "&amp;ROUND(H867-AR867,0)&amp;" Stk / CHF "&amp;ROUND((H867-AR867)*G867,0)&amp;"; ","")&amp;IF(AND(CA867=1,CB867&lt;CC867),"MAX &lt; MB+LG; ","")&amp;IF(AND(CG867&gt;0,CF867*10&gt;CG867),"zu hoch für Tablar; ","")&amp;IF(AND(BP867=0,OR(CA867=1,AA867&lt;&gt;"",U867&lt;&gt;"",V867&lt;&gt;"",AB867&lt;&gt;"")),"manuell übersteuert; ","")&amp;IF(AND(BT867=0,R867=0),"Gebinde unbekannt / Stellmass fehlt; ","")&amp;IF(AND(BT867=0,N(V867)&lt;=0,N(Q867)&lt;=0),"Menge pro Gebinde fehlt (Ist = 1 Gebinde); ","")&amp;BO867)</f>
        <v>negativer Bestand (Export -2); i.o</v>
      </c>
      <c r="BH867" s="55"/>
      <c r="BI867" s="55"/>
      <c r="BJ867" s="62"/>
      <c r="BK867" s="57" t="n">
        <v>-2</v>
      </c>
      <c r="BL867" s="57" t="n">
        <v>56</v>
      </c>
      <c r="BM867" s="56" t="n">
        <v>-21.8</v>
      </c>
      <c r="BN867" s="57" t="n">
        <v>1</v>
      </c>
      <c r="BO867" s="55" t="s">
        <v>536</v>
      </c>
      <c r="BP867" s="60" t="n">
        <v>0</v>
      </c>
      <c r="BQ867" s="60" t="n">
        <v>867</v>
      </c>
      <c r="BR867" s="55" t="str">
        <f aca="false">IF(U867&lt;&gt;"",UPPER(TRIM(U867)),IF(BU867=1,UPPER(VLOOKUP(T867,Parameter!$I$27:$K$29,2,0)),IF(P867="","LOSE",P867)))</f>
        <v>S51</v>
      </c>
      <c r="BS867" s="57" t="n">
        <f aca="false">IF(BR867="LOSE",1,IF(N(V867)&gt;0,V867,IF(BU867=1,MAX(1,N(VLOOKUP(T867,Parameter!$I$27:$K$29,3,0)),H867,N(N867)),IF(N(Q867)&gt;0,Q867,MAX(1,H867)))))</f>
        <v>54</v>
      </c>
      <c r="BT867" s="60" t="n">
        <f aca="false">IF(BR867="LOSE",1,0)</f>
        <v>0</v>
      </c>
      <c r="BU867" s="60" t="n">
        <f aca="false">IF(AND(U867="",OR(P867="",P867="LOSE"),T867&lt;&gt;"",N(S867)&lt;=0,ISNUMBER(MATCH(T867,Parameter!$I$27:$I$29,0))),1,0)</f>
        <v>0</v>
      </c>
      <c r="BV867" s="55" t="str">
        <f aca="false">IF(AND(Parameter!$B$19="Ja",E867&lt;&gt;"",ISNUMBER(MATCH(E867,Parameter!$I$35:$I$52,0))),VLOOKUP(E867,Parameter!$I$35:$J$52,2,0),IFERROR(VLOOKUP(D867,Parameter!$A$35:$C$64,2,0),"Nein"))</f>
        <v>2+3</v>
      </c>
      <c r="BW867" s="59" t="n">
        <f aca="false">IF(BT867=0,0,IF(N(S867)&gt;0,S867,IFERROR(VLOOKUP(D867,Parameter!$A$35:$C$64,3,0)+0,0)))</f>
        <v>0</v>
      </c>
      <c r="BX867" s="55" t="n">
        <f aca="false">IF(AA867&lt;&gt;"",AA867,Z867)</f>
        <v>3</v>
      </c>
      <c r="BY867" s="55" t="str">
        <f aca="false">IF(BX867=1,"L1",IF(OR(BX867=2,BX867=3),"L23",IF(BX867="Aussen","Aussen","-")))</f>
        <v>L23</v>
      </c>
      <c r="BZ867" s="66" t="n">
        <f aca="false">IF(N(AB867)&gt;0,AB867,0)</f>
        <v>0</v>
      </c>
      <c r="CA867" s="60" t="n">
        <f aca="false">IF(ISNUMBER(AE867),1,0)</f>
        <v>0</v>
      </c>
      <c r="CB867" s="57" t="n">
        <f aca="false">N(AE867)</f>
        <v>0</v>
      </c>
      <c r="CC867" s="57" t="n">
        <f aca="false">N(M867)+N(N867)</f>
        <v>1</v>
      </c>
      <c r="CD867" s="57" t="n">
        <f aca="false">ROUNDUP(H867/BS867,0)</f>
        <v>1</v>
      </c>
      <c r="CE867" s="57" t="n">
        <f aca="false">ROUNDUP(CB867/BS867,0)</f>
        <v>0</v>
      </c>
      <c r="CF867" s="60" t="n">
        <f aca="false">IF(BT867=1,0,IFERROR(VLOOKUP(BR867,'Gebinde-Kategorie'!$A$5:$M$45,5,0)+0,0))</f>
        <v>11</v>
      </c>
      <c r="CG867" s="60" t="n">
        <f aca="false">IFERROR(IF(OR(BX867=1,BX867=2,BX867=3),N(INDEX(Parameter!$I$5:$I$7,BX867)),0),0)</f>
        <v>0</v>
      </c>
      <c r="CH867" s="59" t="n">
        <f aca="false">IF(AND(Parameter!$B$21="Ja",ISNUMBER(W867),N(X867)&gt;0),IFERROR(N(INDEX(Parameter!$L$5:$L$7,W867))*INDEX(Parameter!$E$5:$E$7,W867)*X867/SUMIFS($X$7:$X$1843,$W$7:$W$1843,W867),0),0)</f>
        <v>0</v>
      </c>
    </row>
    <row r="868" customFormat="false" ht="15" hidden="false" customHeight="false" outlineLevel="0" collapsed="false">
      <c r="A868" s="55" t="s">
        <v>1649</v>
      </c>
      <c r="B868" s="55" t="s">
        <v>1650</v>
      </c>
      <c r="C868" s="55" t="s">
        <v>164</v>
      </c>
      <c r="D868" s="55" t="s">
        <v>184</v>
      </c>
      <c r="E868" s="55" t="s">
        <v>185</v>
      </c>
      <c r="F868" s="55" t="s">
        <v>218</v>
      </c>
      <c r="G868" s="56" t="n">
        <v>39.04</v>
      </c>
      <c r="H868" s="57" t="n">
        <f aca="false">MAX(0,IF(AND(Parameter!$B$21="Ja",ISNUMBER(Y868)),Y868,IF(Parameter!$B$20="Jahresanfang 2025 + Export",BL868+BK868,BK868)))</f>
        <v>2</v>
      </c>
      <c r="I868" s="57" t="n">
        <f aca="false">H868*G868</f>
        <v>78.08</v>
      </c>
      <c r="J868" s="57" t="n">
        <f aca="false">BN868*Parameter!$B$18</f>
        <v>6</v>
      </c>
      <c r="K868" s="58" t="n">
        <v>5</v>
      </c>
      <c r="L868" s="59" t="n">
        <v>1.2</v>
      </c>
      <c r="M868" s="57" t="n">
        <v>0</v>
      </c>
      <c r="N868" s="57" t="n">
        <v>5</v>
      </c>
      <c r="O868" s="60" t="n">
        <v>21</v>
      </c>
      <c r="P868" s="55" t="s">
        <v>476</v>
      </c>
      <c r="Q868" s="57" t="n">
        <v>10</v>
      </c>
      <c r="R868" s="60" t="n">
        <f aca="false">IF(BT868=1,0,IFERROR(VLOOKUP(BR868,'Gebinde-Kategorie'!$A$5:$M$45,13,0)+0,0))</f>
        <v>66</v>
      </c>
      <c r="S868" s="61"/>
      <c r="T868" s="62"/>
      <c r="U868" s="62"/>
      <c r="V868" s="62"/>
      <c r="W868" s="55"/>
      <c r="X868" s="57"/>
      <c r="Y868" s="57"/>
      <c r="Z868" s="55" t="n">
        <f aca="false">IF(A868="","",IF(AND(Parameter!$B$21="Ja",ISNUMBER(W868)),W868,IF(BV868="2+3",IF(ISNUMBER(SEARCH("grosser Artikel",BO868)),2,IFERROR(VLOOKUP(BR868,Parameter!$F$35:$G$64,2,0),2)),IF(OR(BV868="Nein",BV868=""),"-",BV868))))</f>
        <v>3</v>
      </c>
      <c r="AA868" s="62"/>
      <c r="AB868" s="63"/>
      <c r="AC868" s="57" t="n">
        <f aca="false">AR868</f>
        <v>10</v>
      </c>
      <c r="AD868" s="57" t="n">
        <f aca="false">MAX(AR868,H868)</f>
        <v>10</v>
      </c>
      <c r="AE868" s="64"/>
      <c r="AF868" s="57" t="n">
        <f aca="false">IF(LEFT(Cockpit!$C$5,1)="A",H868,IF(CA868=1,CB868,IF(LEFT(Cockpit!$C$5,1)="B",AJ868,MAX(AJ868,H868))))</f>
        <v>2</v>
      </c>
      <c r="AG868" s="57" t="n">
        <f aca="false">IF(BT868=1,0,ROUNDUP(AF868/BS868,0))</f>
        <v>1</v>
      </c>
      <c r="AH868" s="59" t="n">
        <f aca="false">IF(CH868&gt;0,CH868*MAX(1,AF868/X868),IF(BT868=1,IF(AF868&lt;=0,0,BW868*MAX(1,IF(H868&gt;0,AF868/H868,1))),IF(R868&gt;0,AG868/R868,0))/MAX(0.1,N(Parameter!$M$21)))</f>
        <v>0.0151515151515152</v>
      </c>
      <c r="AI868" s="57" t="n">
        <f aca="false">AF868*G868</f>
        <v>78.08</v>
      </c>
      <c r="AJ868" s="57" t="n">
        <f aca="false">ROUNDUP(MAX(J868/IF(BZ868&gt;0,BZ868,MAX(0.1,N(Cockpit!$C$6))),CC868)/BS868,0)*BS868</f>
        <v>10</v>
      </c>
      <c r="AK868" s="58" t="n">
        <f aca="false">IF(AH868&gt;0,J868/AH868,-1)</f>
        <v>396</v>
      </c>
      <c r="AL868" s="58" t="n">
        <f aca="false">IF(AND(OR(BY868="L1",BY868="L23"),AH868&gt;0),SUMIFS($AH$7:$AH$1843,$BY$7:$BY$1843,BY868,$AK$7:$AK$1843,"&gt;"&amp;AK868)+SUMIFS($AH$7:$AH$1843,$BY$7:$BY$1843,BY868,$AK$7:$AK$1843,AK868,$BQ$7:$BQ$1843,"&lt;="&amp;BQ868),"")</f>
        <v>25.9354075875815</v>
      </c>
      <c r="AM868" s="65" t="n">
        <f aca="false">IF(AL868="",0,MAX(0,MIN(1,(IF(BY868="L1",Parameter!$E$5,Parameter!$E$6+Parameter!$E$7)-(AL868-AH868))/AH868)))</f>
        <v>1</v>
      </c>
      <c r="AN868" s="57" t="n">
        <f aca="false">IF(LEFT(Cockpit!$I$5,1)="A",H868,IF(CA868=1,CB868,IF(LEFT(Cockpit!$I$5,1)="B",AR868,MAX(AR868,H868))))</f>
        <v>10</v>
      </c>
      <c r="AO868" s="57" t="n">
        <f aca="false">IF(BT868=1,0,ROUNDUP(AN868/BS868,0))</f>
        <v>1</v>
      </c>
      <c r="AP868" s="59" t="n">
        <f aca="false">IF(CH868&gt;0,CH868*MAX(1,AN868/X868),IF(BT868=1,IF(AN868&lt;=0,0,BW868*MAX(1,IF(H868&gt;0,AN868/H868,1))),IF(R868&gt;0,AO868/R868,0))/MAX(0.1,N(Parameter!$M$21)))</f>
        <v>0.0151515151515152</v>
      </c>
      <c r="AQ868" s="57" t="n">
        <f aca="false">AN868*G868</f>
        <v>390.4</v>
      </c>
      <c r="AR868" s="57" t="n">
        <f aca="false">ROUNDUP(MAX(J868/IF(BZ868&gt;0,BZ868,MAX(0.1,N(Cockpit!$I$6))),CC868)/BS868,0)*BS868</f>
        <v>10</v>
      </c>
      <c r="AS868" s="58" t="n">
        <f aca="false">IF(AP868&gt;0,J868/AP868,-1)</f>
        <v>396</v>
      </c>
      <c r="AT868" s="58" t="n">
        <f aca="false">IF(AND(OR(BY868="L1",BY868="L23"),AP868&gt;0),SUMIFS($AP$7:$AP$1843,$BY$7:$BY$1843,BY868,$AS$7:$AS$1843,"&gt;"&amp;AS868)+SUMIFS($AP$7:$AP$1843,$BY$7:$BY$1843,BY868,$AS$7:$AS$1843,AS868,$BQ$7:$BQ$1843,"&lt;="&amp;BQ868),"")</f>
        <v>35.3737120367555</v>
      </c>
      <c r="AU868" s="65" t="n">
        <f aca="false">IF(AT868="",0,MAX(0,MIN(1,(IF(BY868="L1",Parameter!$E$5,Parameter!$E$6+Parameter!$E$7)-(AT868-AP868))/AP868)))</f>
        <v>1</v>
      </c>
      <c r="AV868" s="57" t="n">
        <f aca="false">IF(LEFT(Cockpit!$O$5,1)="A",H868,IF(CA868=1,CB868,IF(LEFT(Cockpit!$O$5,1)="B",AZ868,MAX(AZ868,H868))))</f>
        <v>10</v>
      </c>
      <c r="AW868" s="57" t="n">
        <f aca="false">IF(BT868=1,0,ROUNDUP(AV868/BS868,0))</f>
        <v>1</v>
      </c>
      <c r="AX868" s="59" t="n">
        <f aca="false">IF(CH868&gt;0,CH868*MAX(1,AV868/X868),IF(BT868=1,IF(AV868&lt;=0,0,BW868*MAX(1,IF(H868&gt;0,AV868/H868,1))),IF(R868&gt;0,AW868/R868,0))/MAX(0.1,N(Parameter!$M$21)))</f>
        <v>0.0151515151515152</v>
      </c>
      <c r="AY868" s="57" t="n">
        <f aca="false">AV868*G868</f>
        <v>390.4</v>
      </c>
      <c r="AZ868" s="57" t="n">
        <f aca="false">ROUNDUP(MAX(J868/IF(BZ868&gt;0,BZ868,MAX(0.1,N(Cockpit!$O$6))),CC868)/BS868,0)*BS868</f>
        <v>10</v>
      </c>
      <c r="BA868" s="58" t="n">
        <f aca="false">IF(AX868&gt;0,J868/AX868,-1)</f>
        <v>396</v>
      </c>
      <c r="BB868" s="58" t="n">
        <f aca="false">IF(AND(OR(BY868="L1",BY868="L23"),AX868&gt;0),SUMIFS($AX$7:$AX$1843,$BY$7:$BY$1843,BY868,$BA$7:$BA$1843,"&gt;"&amp;BA868)+SUMIFS($AX$7:$AX$1843,$BY$7:$BY$1843,BY868,$BA$7:$BA$1843,BA868,$BQ$7:$BQ$1843,"&lt;="&amp;BQ868),"")</f>
        <v>34.620215533259</v>
      </c>
      <c r="BC868" s="65" t="n">
        <f aca="false">IF(BB868="",0,MAX(0,MIN(1,(IF(BY868="L1",Parameter!$E$5,Parameter!$E$6+Parameter!$E$7)-(BB868-AX868))/AX868)))</f>
        <v>1</v>
      </c>
      <c r="BD868" s="55" t="str">
        <f aca="false">IF(AH868&lt;=0,"",IF(BY868="Aussen","Aussenlager",IF(BY868="-","Nicht im Lift",IF(AM868&gt;=1,"Lift",IF(AM868&lt;=0,"Aussenlager","teilweise")))))</f>
        <v>Lift</v>
      </c>
      <c r="BE868" s="55" t="str">
        <f aca="false">IF(AP868&lt;=0,"",IF(BY868="Aussen","Aussenlager",IF(BY868="-","Nicht im Lift",IF(AU868&gt;=1,"Lift",IF(AU868&lt;=0,"Aussenlager","teilweise")))))</f>
        <v>Lift</v>
      </c>
      <c r="BF868" s="55" t="str">
        <f aca="false">IF(AX868&lt;=0,"",IF(BY868="Aussen","Aussenlager",IF(BY868="-","Nicht im Lift",IF(BC868&gt;=1,"Lift",IF(BC868&lt;=0,"Aussenlager","teilweise")))))</f>
        <v>Lift</v>
      </c>
      <c r="BG868" s="55" t="str">
        <f aca="false">IF(A868="","",IF(BP868=1,"Neu; ","")&amp;IF(AND(BP868=0,BK868&lt;0),"negativer Bestand (Export "&amp;BK868&amp;"); ","")&amp;IF(J868&lt;=0,"Kein Verbrauch; ","")&amp;IF(CH868&gt;0,"Lift "&amp;W868&amp;" lt. Liftbericht (Fach "&amp;X868&amp;" Stk); ",IF(BU868=1,"Gebinde geschätzt ("&amp;T868&amp;"); ",IF(BT868=1,"Lose – Tablare geschätzt; ","")))&amp;IF(H868&gt;AR868,"Überbestand "&amp;ROUND(H868-AR868,0)&amp;" Stk / CHF "&amp;ROUND((H868-AR868)*G868,0)&amp;"; ","")&amp;IF(AND(CA868=1,CB868&lt;CC868),"MAX &lt; MB+LG; ","")&amp;IF(AND(CG868&gt;0,CF868*10&gt;CG868),"zu hoch für Tablar; ","")&amp;IF(AND(BP868=0,OR(CA868=1,AA868&lt;&gt;"",U868&lt;&gt;"",V868&lt;&gt;"",AB868&lt;&gt;"")),"manuell übersteuert; ","")&amp;IF(AND(BT868=0,R868=0),"Gebinde unbekannt / Stellmass fehlt; ","")&amp;IF(AND(BT868=0,N(V868)&lt;=0,N(Q868)&lt;=0),"Menge pro Gebinde fehlt (Ist = 1 Gebinde); ","")&amp;BO868)</f>
        <v>negativer Bestand (Export -1); </v>
      </c>
      <c r="BH868" s="55"/>
      <c r="BI868" s="55"/>
      <c r="BJ868" s="62"/>
      <c r="BK868" s="57" t="n">
        <v>-1</v>
      </c>
      <c r="BL868" s="57" t="n">
        <v>3</v>
      </c>
      <c r="BM868" s="56" t="n">
        <v>-21.88</v>
      </c>
      <c r="BN868" s="57" t="n">
        <v>6</v>
      </c>
      <c r="BO868" s="55"/>
      <c r="BP868" s="60" t="n">
        <v>0</v>
      </c>
      <c r="BQ868" s="60" t="n">
        <v>868</v>
      </c>
      <c r="BR868" s="55" t="str">
        <f aca="false">IF(U868&lt;&gt;"",UPPER(TRIM(U868)),IF(BU868=1,UPPER(VLOOKUP(T868,Parameter!$I$27:$K$29,2,0)),IF(P868="","LOSE",P868)))</f>
        <v>S33</v>
      </c>
      <c r="BS868" s="57" t="n">
        <f aca="false">IF(BR868="LOSE",1,IF(N(V868)&gt;0,V868,IF(BU868=1,MAX(1,N(VLOOKUP(T868,Parameter!$I$27:$K$29,3,0)),H868,N(N868)),IF(N(Q868)&gt;0,Q868,MAX(1,H868)))))</f>
        <v>10</v>
      </c>
      <c r="BT868" s="60" t="n">
        <f aca="false">IF(BR868="LOSE",1,0)</f>
        <v>0</v>
      </c>
      <c r="BU868" s="60" t="n">
        <f aca="false">IF(AND(U868="",OR(P868="",P868="LOSE"),T868&lt;&gt;"",N(S868)&lt;=0,ISNUMBER(MATCH(T868,Parameter!$I$27:$I$29,0))),1,0)</f>
        <v>0</v>
      </c>
      <c r="BV868" s="55" t="str">
        <f aca="false">IF(AND(Parameter!$B$19="Ja",E868&lt;&gt;"",ISNUMBER(MATCH(E868,Parameter!$I$35:$I$52,0))),VLOOKUP(E868,Parameter!$I$35:$J$52,2,0),IFERROR(VLOOKUP(D868,Parameter!$A$35:$C$64,2,0),"Nein"))</f>
        <v>2+3</v>
      </c>
      <c r="BW868" s="59" t="n">
        <f aca="false">IF(BT868=0,0,IF(N(S868)&gt;0,S868,IFERROR(VLOOKUP(D868,Parameter!$A$35:$C$64,3,0)+0,0)))</f>
        <v>0</v>
      </c>
      <c r="BX868" s="55" t="n">
        <f aca="false">IF(AA868&lt;&gt;"",AA868,Z868)</f>
        <v>3</v>
      </c>
      <c r="BY868" s="55" t="str">
        <f aca="false">IF(BX868=1,"L1",IF(OR(BX868=2,BX868=3),"L23",IF(BX868="Aussen","Aussen","-")))</f>
        <v>L23</v>
      </c>
      <c r="BZ868" s="66" t="n">
        <f aca="false">IF(N(AB868)&gt;0,AB868,0)</f>
        <v>0</v>
      </c>
      <c r="CA868" s="60" t="n">
        <f aca="false">IF(ISNUMBER(AE868),1,0)</f>
        <v>0</v>
      </c>
      <c r="CB868" s="57" t="n">
        <f aca="false">N(AE868)</f>
        <v>0</v>
      </c>
      <c r="CC868" s="57" t="n">
        <f aca="false">N(M868)+N(N868)</f>
        <v>5</v>
      </c>
      <c r="CD868" s="57" t="n">
        <f aca="false">ROUNDUP(H868/BS868,0)</f>
        <v>1</v>
      </c>
      <c r="CE868" s="57" t="n">
        <f aca="false">ROUNDUP(CB868/BS868,0)</f>
        <v>0</v>
      </c>
      <c r="CF868" s="60" t="n">
        <f aca="false">IF(BT868=1,0,IFERROR(VLOOKUP(BR868,'Gebinde-Kategorie'!$A$5:$M$45,5,0)+0,0))</f>
        <v>8</v>
      </c>
      <c r="CG868" s="60" t="n">
        <f aca="false">IFERROR(IF(OR(BX868=1,BX868=2,BX868=3),N(INDEX(Parameter!$I$5:$I$7,BX868)),0),0)</f>
        <v>0</v>
      </c>
      <c r="CH868" s="59" t="n">
        <f aca="false">IF(AND(Parameter!$B$21="Ja",ISNUMBER(W868),N(X868)&gt;0),IFERROR(N(INDEX(Parameter!$L$5:$L$7,W868))*INDEX(Parameter!$E$5:$E$7,W868)*X868/SUMIFS($X$7:$X$1843,$W$7:$W$1843,W868),0),0)</f>
        <v>0</v>
      </c>
    </row>
    <row r="869" customFormat="false" ht="15" hidden="false" customHeight="false" outlineLevel="0" collapsed="false">
      <c r="A869" s="55" t="s">
        <v>1651</v>
      </c>
      <c r="B869" s="55" t="s">
        <v>589</v>
      </c>
      <c r="C869" s="55" t="s">
        <v>164</v>
      </c>
      <c r="D869" s="55" t="s">
        <v>184</v>
      </c>
      <c r="E869" s="55"/>
      <c r="F869" s="55" t="s">
        <v>218</v>
      </c>
      <c r="G869" s="56" t="n">
        <v>2.2</v>
      </c>
      <c r="H869" s="57" t="n">
        <f aca="false">MAX(0,IF(AND(Parameter!$B$21="Ja",ISNUMBER(Y869)),Y869,IF(Parameter!$B$20="Jahresanfang 2025 + Export",BL869+BK869,BK869)))</f>
        <v>12</v>
      </c>
      <c r="I869" s="57" t="n">
        <f aca="false">H869*G869</f>
        <v>26.4</v>
      </c>
      <c r="J869" s="57" t="n">
        <f aca="false">BN869*Parameter!$B$18</f>
        <v>1</v>
      </c>
      <c r="K869" s="58" t="n">
        <v>21.5</v>
      </c>
      <c r="L869" s="59" t="n">
        <v>0.0465116279069767</v>
      </c>
      <c r="M869" s="57" t="n">
        <v>0</v>
      </c>
      <c r="N869" s="57" t="n">
        <v>1</v>
      </c>
      <c r="O869" s="60" t="n">
        <v>14</v>
      </c>
      <c r="P869" s="55" t="s">
        <v>401</v>
      </c>
      <c r="Q869" s="57" t="n">
        <v>22</v>
      </c>
      <c r="R869" s="60" t="n">
        <f aca="false">IF(BT869=1,0,IFERROR(VLOOKUP(BR869,'Gebinde-Kategorie'!$A$5:$M$45,13,0)+0,0))</f>
        <v>414</v>
      </c>
      <c r="S869" s="61"/>
      <c r="T869" s="62"/>
      <c r="U869" s="62"/>
      <c r="V869" s="62"/>
      <c r="W869" s="55"/>
      <c r="X869" s="57"/>
      <c r="Y869" s="57"/>
      <c r="Z869" s="55" t="n">
        <f aca="false">IF(A869="","",IF(AND(Parameter!$B$21="Ja",ISNUMBER(W869)),W869,IF(BV869="2+3",IF(ISNUMBER(SEARCH("grosser Artikel",BO869)),2,IFERROR(VLOOKUP(BR869,Parameter!$F$35:$G$64,2,0),2)),IF(OR(BV869="Nein",BV869=""),"-",BV869))))</f>
        <v>3</v>
      </c>
      <c r="AA869" s="62"/>
      <c r="AB869" s="63"/>
      <c r="AC869" s="57" t="n">
        <f aca="false">AR869</f>
        <v>22</v>
      </c>
      <c r="AD869" s="57" t="n">
        <f aca="false">MAX(AR869,H869)</f>
        <v>22</v>
      </c>
      <c r="AE869" s="64"/>
      <c r="AF869" s="57" t="n">
        <f aca="false">IF(LEFT(Cockpit!$C$5,1)="A",H869,IF(CA869=1,CB869,IF(LEFT(Cockpit!$C$5,1)="B",AJ869,MAX(AJ869,H869))))</f>
        <v>12</v>
      </c>
      <c r="AG869" s="57" t="n">
        <f aca="false">IF(BT869=1,0,ROUNDUP(AF869/BS869,0))</f>
        <v>1</v>
      </c>
      <c r="AH869" s="59" t="n">
        <f aca="false">IF(CH869&gt;0,CH869*MAX(1,AF869/X869),IF(BT869=1,IF(AF869&lt;=0,0,BW869*MAX(1,IF(H869&gt;0,AF869/H869,1))),IF(R869&gt;0,AG869/R869,0))/MAX(0.1,N(Parameter!$M$21)))</f>
        <v>0.00241545893719807</v>
      </c>
      <c r="AI869" s="57" t="n">
        <f aca="false">AF869*G869</f>
        <v>26.4</v>
      </c>
      <c r="AJ869" s="57" t="n">
        <f aca="false">ROUNDUP(MAX(J869/IF(BZ869&gt;0,BZ869,MAX(0.1,N(Cockpit!$C$6))),CC869)/BS869,0)*BS869</f>
        <v>22</v>
      </c>
      <c r="AK869" s="58" t="n">
        <f aca="false">IF(AH869&gt;0,J869/AH869,-1)</f>
        <v>414</v>
      </c>
      <c r="AL869" s="58" t="n">
        <f aca="false">IF(AND(OR(BY869="L1",BY869="L23"),AH869&gt;0),SUMIFS($AH$7:$AH$1843,$BY$7:$BY$1843,BY869,$AK$7:$AK$1843,"&gt;"&amp;AK869)+SUMIFS($AH$7:$AH$1843,$BY$7:$BY$1843,BY869,$AK$7:$AK$1843,AK869,$BQ$7:$BQ$1843,"&lt;="&amp;BQ869),"")</f>
        <v>25.4259146650451</v>
      </c>
      <c r="AM869" s="65" t="n">
        <f aca="false">IF(AL869="",0,MAX(0,MIN(1,(IF(BY869="L1",Parameter!$E$5,Parameter!$E$6+Parameter!$E$7)-(AL869-AH869))/AH869)))</f>
        <v>1</v>
      </c>
      <c r="AN869" s="57" t="n">
        <f aca="false">IF(LEFT(Cockpit!$I$5,1)="A",H869,IF(CA869=1,CB869,IF(LEFT(Cockpit!$I$5,1)="B",AR869,MAX(AR869,H869))))</f>
        <v>22</v>
      </c>
      <c r="AO869" s="57" t="n">
        <f aca="false">IF(BT869=1,0,ROUNDUP(AN869/BS869,0))</f>
        <v>1</v>
      </c>
      <c r="AP869" s="59" t="n">
        <f aca="false">IF(CH869&gt;0,CH869*MAX(1,AN869/X869),IF(BT869=1,IF(AN869&lt;=0,0,BW869*MAX(1,IF(H869&gt;0,AN869/H869,1))),IF(R869&gt;0,AO869/R869,0))/MAX(0.1,N(Parameter!$M$21)))</f>
        <v>0.00241545893719807</v>
      </c>
      <c r="AQ869" s="57" t="n">
        <f aca="false">AN869*G869</f>
        <v>48.4</v>
      </c>
      <c r="AR869" s="57" t="n">
        <f aca="false">ROUNDUP(MAX(J869/IF(BZ869&gt;0,BZ869,MAX(0.1,N(Cockpit!$I$6))),CC869)/BS869,0)*BS869</f>
        <v>22</v>
      </c>
      <c r="AS869" s="58" t="n">
        <f aca="false">IF(AP869&gt;0,J869/AP869,-1)</f>
        <v>414</v>
      </c>
      <c r="AT869" s="58" t="n">
        <f aca="false">IF(AND(OR(BY869="L1",BY869="L23"),AP869&gt;0),SUMIFS($AP$7:$AP$1843,$BY$7:$BY$1843,BY869,$AS$7:$AS$1843,"&gt;"&amp;AS869)+SUMIFS($AP$7:$AP$1843,$BY$7:$BY$1843,BY869,$AS$7:$AS$1843,AS869,$BQ$7:$BQ$1843,"&lt;="&amp;BQ869),"")</f>
        <v>35.0157342657343</v>
      </c>
      <c r="AU869" s="65" t="n">
        <f aca="false">IF(AT869="",0,MAX(0,MIN(1,(IF(BY869="L1",Parameter!$E$5,Parameter!$E$6+Parameter!$E$7)-(AT869-AP869))/AP869)))</f>
        <v>1</v>
      </c>
      <c r="AV869" s="57" t="n">
        <f aca="false">IF(LEFT(Cockpit!$O$5,1)="A",H869,IF(CA869=1,CB869,IF(LEFT(Cockpit!$O$5,1)="B",AZ869,MAX(AZ869,H869))))</f>
        <v>22</v>
      </c>
      <c r="AW869" s="57" t="n">
        <f aca="false">IF(BT869=1,0,ROUNDUP(AV869/BS869,0))</f>
        <v>1</v>
      </c>
      <c r="AX869" s="59" t="n">
        <f aca="false">IF(CH869&gt;0,CH869*MAX(1,AV869/X869),IF(BT869=1,IF(AV869&lt;=0,0,BW869*MAX(1,IF(H869&gt;0,AV869/H869,1))),IF(R869&gt;0,AW869/R869,0))/MAX(0.1,N(Parameter!$M$21)))</f>
        <v>0.00241545893719807</v>
      </c>
      <c r="AY869" s="57" t="n">
        <f aca="false">AV869*G869</f>
        <v>48.4</v>
      </c>
      <c r="AZ869" s="57" t="n">
        <f aca="false">ROUNDUP(MAX(J869/IF(BZ869&gt;0,BZ869,MAX(0.1,N(Cockpit!$O$6))),CC869)/BS869,0)*BS869</f>
        <v>22</v>
      </c>
      <c r="BA869" s="58" t="n">
        <f aca="false">IF(AX869&gt;0,J869/AX869,-1)</f>
        <v>414</v>
      </c>
      <c r="BB869" s="58" t="n">
        <f aca="false">IF(AND(OR(BY869="L1",BY869="L23"),AX869&gt;0),SUMIFS($AX$7:$AX$1843,$BY$7:$BY$1843,BY869,$BA$7:$BA$1843,"&gt;"&amp;BA869)+SUMIFS($AX$7:$AX$1843,$BY$7:$BY$1843,BY869,$BA$7:$BA$1843,BA869,$BQ$7:$BQ$1843,"&lt;="&amp;BQ869),"")</f>
        <v>34.2622377622378</v>
      </c>
      <c r="BC869" s="65" t="n">
        <f aca="false">IF(BB869="",0,MAX(0,MIN(1,(IF(BY869="L1",Parameter!$E$5,Parameter!$E$6+Parameter!$E$7)-(BB869-AX869))/AX869)))</f>
        <v>1</v>
      </c>
      <c r="BD869" s="55" t="str">
        <f aca="false">IF(AH869&lt;=0,"",IF(BY869="Aussen","Aussenlager",IF(BY869="-","Nicht im Lift",IF(AM869&gt;=1,"Lift",IF(AM869&lt;=0,"Aussenlager","teilweise")))))</f>
        <v>Lift</v>
      </c>
      <c r="BE869" s="55" t="str">
        <f aca="false">IF(AP869&lt;=0,"",IF(BY869="Aussen","Aussenlager",IF(BY869="-","Nicht im Lift",IF(AU869&gt;=1,"Lift",IF(AU869&lt;=0,"Aussenlager","teilweise")))))</f>
        <v>Lift</v>
      </c>
      <c r="BF869" s="55" t="str">
        <f aca="false">IF(AX869&lt;=0,"",IF(BY869="Aussen","Aussenlager",IF(BY869="-","Nicht im Lift",IF(BC869&gt;=1,"Lift",IF(BC869&lt;=0,"Aussenlager","teilweise")))))</f>
        <v>Lift</v>
      </c>
      <c r="BG869" s="55" t="str">
        <f aca="false">IF(A869="","",IF(BP869=1,"Neu; ","")&amp;IF(AND(BP869=0,BK869&lt;0),"negativer Bestand (Export "&amp;BK869&amp;"); ","")&amp;IF(J869&lt;=0,"Kein Verbrauch; ","")&amp;IF(CH869&gt;0,"Lift "&amp;W869&amp;" lt. Liftbericht (Fach "&amp;X869&amp;" Stk); ",IF(BU869=1,"Gebinde geschätzt ("&amp;T869&amp;"); ",IF(BT869=1,"Lose – Tablare geschätzt; ","")))&amp;IF(H869&gt;AR869,"Überbestand "&amp;ROUND(H869-AR869,0)&amp;" Stk / CHF "&amp;ROUND((H869-AR869)*G869,0)&amp;"; ","")&amp;IF(AND(CA869=1,CB869&lt;CC869),"MAX &lt; MB+LG; ","")&amp;IF(AND(CG869&gt;0,CF869*10&gt;CG869),"zu hoch für Tablar; ","")&amp;IF(AND(BP869=0,OR(CA869=1,AA869&lt;&gt;"",U869&lt;&gt;"",V869&lt;&gt;"",AB869&lt;&gt;"")),"manuell übersteuert; ","")&amp;IF(AND(BT869=0,R869=0),"Gebinde unbekannt / Stellmass fehlt; ","")&amp;IF(AND(BT869=0,N(V869)&lt;=0,N(Q869)&lt;=0),"Menge pro Gebinde fehlt (Ist = 1 Gebinde); ","")&amp;BO869)</f>
        <v>negativer Bestand (Export -10); </v>
      </c>
      <c r="BH869" s="55"/>
      <c r="BI869" s="55"/>
      <c r="BJ869" s="62"/>
      <c r="BK869" s="57" t="n">
        <v>-10</v>
      </c>
      <c r="BL869" s="57" t="n">
        <v>22</v>
      </c>
      <c r="BM869" s="56" t="n">
        <v>-22</v>
      </c>
      <c r="BN869" s="57" t="n">
        <v>1</v>
      </c>
      <c r="BO869" s="55"/>
      <c r="BP869" s="60" t="n">
        <v>0</v>
      </c>
      <c r="BQ869" s="60" t="n">
        <v>869</v>
      </c>
      <c r="BR869" s="55" t="str">
        <f aca="false">IF(U869&lt;&gt;"",UPPER(TRIM(U869)),IF(BU869=1,UPPER(VLOOKUP(T869,Parameter!$I$27:$K$29,2,0)),IF(P869="","LOSE",P869)))</f>
        <v>S21</v>
      </c>
      <c r="BS869" s="57" t="n">
        <f aca="false">IF(BR869="LOSE",1,IF(N(V869)&gt;0,V869,IF(BU869=1,MAX(1,N(VLOOKUP(T869,Parameter!$I$27:$K$29,3,0)),H869,N(N869)),IF(N(Q869)&gt;0,Q869,MAX(1,H869)))))</f>
        <v>22</v>
      </c>
      <c r="BT869" s="60" t="n">
        <f aca="false">IF(BR869="LOSE",1,0)</f>
        <v>0</v>
      </c>
      <c r="BU869" s="60" t="n">
        <f aca="false">IF(AND(U869="",OR(P869="",P869="LOSE"),T869&lt;&gt;"",N(S869)&lt;=0,ISNUMBER(MATCH(T869,Parameter!$I$27:$I$29,0))),1,0)</f>
        <v>0</v>
      </c>
      <c r="BV869" s="55" t="str">
        <f aca="false">IF(AND(Parameter!$B$19="Ja",E869&lt;&gt;"",ISNUMBER(MATCH(E869,Parameter!$I$35:$I$52,0))),VLOOKUP(E869,Parameter!$I$35:$J$52,2,0),IFERROR(VLOOKUP(D869,Parameter!$A$35:$C$64,2,0),"Nein"))</f>
        <v>2+3</v>
      </c>
      <c r="BW869" s="59" t="n">
        <f aca="false">IF(BT869=0,0,IF(N(S869)&gt;0,S869,IFERROR(VLOOKUP(D869,Parameter!$A$35:$C$64,3,0)+0,0)))</f>
        <v>0</v>
      </c>
      <c r="BX869" s="55" t="n">
        <f aca="false">IF(AA869&lt;&gt;"",AA869,Z869)</f>
        <v>3</v>
      </c>
      <c r="BY869" s="55" t="str">
        <f aca="false">IF(BX869=1,"L1",IF(OR(BX869=2,BX869=3),"L23",IF(BX869="Aussen","Aussen","-")))</f>
        <v>L23</v>
      </c>
      <c r="BZ869" s="66" t="n">
        <f aca="false">IF(N(AB869)&gt;0,AB869,0)</f>
        <v>0</v>
      </c>
      <c r="CA869" s="60" t="n">
        <f aca="false">IF(ISNUMBER(AE869),1,0)</f>
        <v>0</v>
      </c>
      <c r="CB869" s="57" t="n">
        <f aca="false">N(AE869)</f>
        <v>0</v>
      </c>
      <c r="CC869" s="57" t="n">
        <f aca="false">N(M869)+N(N869)</f>
        <v>1</v>
      </c>
      <c r="CD869" s="57" t="n">
        <f aca="false">ROUNDUP(H869/BS869,0)</f>
        <v>1</v>
      </c>
      <c r="CE869" s="57" t="n">
        <f aca="false">ROUNDUP(CB869/BS869,0)</f>
        <v>0</v>
      </c>
      <c r="CF869" s="60" t="n">
        <f aca="false">IF(BT869=1,0,IFERROR(VLOOKUP(BR869,'Gebinde-Kategorie'!$A$5:$M$45,5,0)+0,0))</f>
        <v>8</v>
      </c>
      <c r="CG869" s="60" t="n">
        <f aca="false">IFERROR(IF(OR(BX869=1,BX869=2,BX869=3),N(INDEX(Parameter!$I$5:$I$7,BX869)),0),0)</f>
        <v>0</v>
      </c>
      <c r="CH869" s="59" t="n">
        <f aca="false">IF(AND(Parameter!$B$21="Ja",ISNUMBER(W869),N(X869)&gt;0),IFERROR(N(INDEX(Parameter!$L$5:$L$7,W869))*INDEX(Parameter!$E$5:$E$7,W869)*X869/SUMIFS($X$7:$X$1843,$W$7:$W$1843,W869),0),0)</f>
        <v>0</v>
      </c>
    </row>
    <row r="870" customFormat="false" ht="15" hidden="false" customHeight="false" outlineLevel="0" collapsed="false">
      <c r="A870" s="55" t="s">
        <v>1652</v>
      </c>
      <c r="B870" s="55" t="s">
        <v>1034</v>
      </c>
      <c r="C870" s="55" t="s">
        <v>164</v>
      </c>
      <c r="D870" s="55" t="s">
        <v>184</v>
      </c>
      <c r="E870" s="55"/>
      <c r="F870" s="55" t="s">
        <v>218</v>
      </c>
      <c r="G870" s="56" t="n">
        <v>7.13</v>
      </c>
      <c r="H870" s="57" t="n">
        <f aca="false">MAX(0,IF(AND(Parameter!$B$21="Ja",ISNUMBER(Y870)),Y870,IF(Parameter!$B$20="Jahresanfang 2025 + Export",BL870+BK870,BK870)))</f>
        <v>1</v>
      </c>
      <c r="I870" s="57" t="n">
        <f aca="false">H870*G870</f>
        <v>7.13</v>
      </c>
      <c r="J870" s="57" t="n">
        <f aca="false">BN870*Parameter!$B$18</f>
        <v>3</v>
      </c>
      <c r="K870" s="58" t="n">
        <v>3</v>
      </c>
      <c r="L870" s="59" t="n">
        <v>1</v>
      </c>
      <c r="M870" s="57" t="n">
        <v>0</v>
      </c>
      <c r="N870" s="57" t="n">
        <v>5</v>
      </c>
      <c r="O870" s="60" t="n">
        <v>28</v>
      </c>
      <c r="P870" s="55" t="s">
        <v>168</v>
      </c>
      <c r="Q870" s="57"/>
      <c r="R870" s="60" t="n">
        <f aca="false">IF(BT870=1,0,IFERROR(VLOOKUP(BR870,'Gebinde-Kategorie'!$A$5:$M$45,13,0)+0,0))</f>
        <v>26</v>
      </c>
      <c r="S870" s="61"/>
      <c r="T870" s="62" t="s">
        <v>275</v>
      </c>
      <c r="U870" s="62"/>
      <c r="V870" s="62"/>
      <c r="W870" s="55"/>
      <c r="X870" s="57"/>
      <c r="Y870" s="57"/>
      <c r="Z870" s="55" t="n">
        <f aca="false">IF(A870="","",IF(AND(Parameter!$B$21="Ja",ISNUMBER(W870)),W870,IF(BV870="2+3",IF(ISNUMBER(SEARCH("grosser Artikel",BO870)),2,IFERROR(VLOOKUP(BR870,Parameter!$F$35:$G$64,2,0),2)),IF(OR(BV870="Nein",BV870=""),"-",BV870))))</f>
        <v>3</v>
      </c>
      <c r="AA870" s="62"/>
      <c r="AB870" s="63"/>
      <c r="AC870" s="57" t="n">
        <f aca="false">AR870</f>
        <v>20</v>
      </c>
      <c r="AD870" s="57" t="n">
        <f aca="false">MAX(AR870,H870)</f>
        <v>20</v>
      </c>
      <c r="AE870" s="64"/>
      <c r="AF870" s="57" t="n">
        <f aca="false">IF(LEFT(Cockpit!$C$5,1)="A",H870,IF(CA870=1,CB870,IF(LEFT(Cockpit!$C$5,1)="B",AJ870,MAX(AJ870,H870))))</f>
        <v>1</v>
      </c>
      <c r="AG870" s="57" t="n">
        <f aca="false">IF(BT870=1,0,ROUNDUP(AF870/BS870,0))</f>
        <v>1</v>
      </c>
      <c r="AH870" s="59" t="n">
        <f aca="false">IF(CH870&gt;0,CH870*MAX(1,AF870/X870),IF(BT870=1,IF(AF870&lt;=0,0,BW870*MAX(1,IF(H870&gt;0,AF870/H870,1))),IF(R870&gt;0,AG870/R870,0))/MAX(0.1,N(Parameter!$M$21)))</f>
        <v>0.0384615384615385</v>
      </c>
      <c r="AI870" s="57" t="n">
        <f aca="false">AF870*G870</f>
        <v>7.13</v>
      </c>
      <c r="AJ870" s="57" t="n">
        <f aca="false">ROUNDUP(MAX(J870/IF(BZ870&gt;0,BZ870,MAX(0.1,N(Cockpit!$C$6))),CC870)/BS870,0)*BS870</f>
        <v>20</v>
      </c>
      <c r="AK870" s="58" t="n">
        <f aca="false">IF(AH870&gt;0,J870/AH870,-1)</f>
        <v>78</v>
      </c>
      <c r="AL870" s="58" t="n">
        <f aca="false">IF(AND(OR(BY870="L1",BY870="L23"),AH870&gt;0),SUMIFS($AH$7:$AH$1843,$BY$7:$BY$1843,BY870,$AK$7:$AK$1843,"&gt;"&amp;AK870)+SUMIFS($AH$7:$AH$1843,$BY$7:$BY$1843,BY870,$AK$7:$AK$1843,AK870,$BQ$7:$BQ$1843,"&lt;="&amp;BQ870),"")</f>
        <v>41.4360832404311</v>
      </c>
      <c r="AM870" s="65" t="n">
        <f aca="false">IF(AL870="",0,MAX(0,MIN(1,(IF(BY870="L1",Parameter!$E$5,Parameter!$E$6+Parameter!$E$7)-(AL870-AH870))/AH870)))</f>
        <v>1</v>
      </c>
      <c r="AN870" s="57" t="n">
        <f aca="false">IF(LEFT(Cockpit!$I$5,1)="A",H870,IF(CA870=1,CB870,IF(LEFT(Cockpit!$I$5,1)="B",AR870,MAX(AR870,H870))))</f>
        <v>20</v>
      </c>
      <c r="AO870" s="57" t="n">
        <f aca="false">IF(BT870=1,0,ROUNDUP(AN870/BS870,0))</f>
        <v>1</v>
      </c>
      <c r="AP870" s="59" t="n">
        <f aca="false">IF(CH870&gt;0,CH870*MAX(1,AN870/X870),IF(BT870=1,IF(AN870&lt;=0,0,BW870*MAX(1,IF(H870&gt;0,AN870/H870,1))),IF(R870&gt;0,AO870/R870,0))/MAX(0.1,N(Parameter!$M$21)))</f>
        <v>0.0384615384615385</v>
      </c>
      <c r="AQ870" s="57" t="n">
        <f aca="false">AN870*G870</f>
        <v>142.6</v>
      </c>
      <c r="AR870" s="57" t="n">
        <f aca="false">ROUNDUP(MAX(J870/IF(BZ870&gt;0,BZ870,MAX(0.1,N(Cockpit!$I$6))),CC870)/BS870,0)*BS870</f>
        <v>20</v>
      </c>
      <c r="AS870" s="58" t="n">
        <f aca="false">IF(AP870&gt;0,J870/AP870,-1)</f>
        <v>78</v>
      </c>
      <c r="AT870" s="58" t="n">
        <f aca="false">IF(AND(OR(BY870="L1",BY870="L23"),AP870&gt;0),SUMIFS($AP$7:$AP$1843,$BY$7:$BY$1843,BY870,$AS$7:$AS$1843,"&gt;"&amp;AS870)+SUMIFS($AP$7:$AP$1843,$BY$7:$BY$1843,BY870,$AS$7:$AS$1843,AS870,$BQ$7:$BQ$1843,"&lt;="&amp;BQ870),"")</f>
        <v>63.4755920408094</v>
      </c>
      <c r="AU870" s="65" t="n">
        <f aca="false">IF(AT870="",0,MAX(0,MIN(1,(IF(BY870="L1",Parameter!$E$5,Parameter!$E$6+Parameter!$E$7)-(AT870-AP870))/AP870)))</f>
        <v>1</v>
      </c>
      <c r="AV870" s="57" t="n">
        <f aca="false">IF(LEFT(Cockpit!$O$5,1)="A",H870,IF(CA870=1,CB870,IF(LEFT(Cockpit!$O$5,1)="B",AZ870,MAX(AZ870,H870))))</f>
        <v>20</v>
      </c>
      <c r="AW870" s="57" t="n">
        <f aca="false">IF(BT870=1,0,ROUNDUP(AV870/BS870,0))</f>
        <v>1</v>
      </c>
      <c r="AX870" s="59" t="n">
        <f aca="false">IF(CH870&gt;0,CH870*MAX(1,AV870/X870),IF(BT870=1,IF(AV870&lt;=0,0,BW870*MAX(1,IF(H870&gt;0,AV870/H870,1))),IF(R870&gt;0,AW870/R870,0))/MAX(0.1,N(Parameter!$M$21)))</f>
        <v>0.0384615384615385</v>
      </c>
      <c r="AY870" s="57" t="n">
        <f aca="false">AV870*G870</f>
        <v>142.6</v>
      </c>
      <c r="AZ870" s="57" t="n">
        <f aca="false">ROUNDUP(MAX(J870/IF(BZ870&gt;0,BZ870,MAX(0.1,N(Cockpit!$O$6))),CC870)/BS870,0)*BS870</f>
        <v>20</v>
      </c>
      <c r="BA870" s="58" t="n">
        <f aca="false">IF(AX870&gt;0,J870/AX870,-1)</f>
        <v>78</v>
      </c>
      <c r="BB870" s="58" t="n">
        <f aca="false">IF(AND(OR(BY870="L1",BY870="L23"),AX870&gt;0),SUMIFS($AX$7:$AX$1843,$BY$7:$BY$1843,BY870,$BA$7:$BA$1843,"&gt;"&amp;BA870)+SUMIFS($AX$7:$AX$1843,$BY$7:$BY$1843,BY870,$BA$7:$BA$1843,BA870,$BQ$7:$BQ$1843,"&lt;="&amp;BQ870),"")</f>
        <v>57.9720955373129</v>
      </c>
      <c r="BC870" s="65" t="n">
        <f aca="false">IF(BB870="",0,MAX(0,MIN(1,(IF(BY870="L1",Parameter!$E$5,Parameter!$E$6+Parameter!$E$7)-(BB870-AX870))/AX870)))</f>
        <v>1</v>
      </c>
      <c r="BD870" s="55" t="str">
        <f aca="false">IF(AH870&lt;=0,"",IF(BY870="Aussen","Aussenlager",IF(BY870="-","Nicht im Lift",IF(AM870&gt;=1,"Lift",IF(AM870&lt;=0,"Aussenlager","teilweise")))))</f>
        <v>Lift</v>
      </c>
      <c r="BE870" s="55" t="str">
        <f aca="false">IF(AP870&lt;=0,"",IF(BY870="Aussen","Aussenlager",IF(BY870="-","Nicht im Lift",IF(AU870&gt;=1,"Lift",IF(AU870&lt;=0,"Aussenlager","teilweise")))))</f>
        <v>Lift</v>
      </c>
      <c r="BF870" s="55" t="str">
        <f aca="false">IF(AX870&lt;=0,"",IF(BY870="Aussen","Aussenlager",IF(BY870="-","Nicht im Lift",IF(BC870&gt;=1,"Lift",IF(BC870&lt;=0,"Aussenlager","teilweise")))))</f>
        <v>Lift</v>
      </c>
      <c r="BG870" s="55" t="str">
        <f aca="false">IF(A870="","",IF(BP870=1,"Neu; ","")&amp;IF(AND(BP870=0,BK870&lt;0),"negativer Bestand (Export "&amp;BK870&amp;"); ","")&amp;IF(J870&lt;=0,"Kein Verbrauch; ","")&amp;IF(CH870&gt;0,"Lift "&amp;W870&amp;" lt. Liftbericht (Fach "&amp;X870&amp;" Stk); ",IF(BU870=1,"Gebinde geschätzt ("&amp;T870&amp;"); ",IF(BT870=1,"Lose – Tablare geschätzt; ","")))&amp;IF(H870&gt;AR870,"Überbestand "&amp;ROUND(H870-AR870,0)&amp;" Stk / CHF "&amp;ROUND((H870-AR870)*G870,0)&amp;"; ","")&amp;IF(AND(CA870=1,CB870&lt;CC870),"MAX &lt; MB+LG; ","")&amp;IF(AND(CG870&gt;0,CF870*10&gt;CG870),"zu hoch für Tablar; ","")&amp;IF(AND(BP870=0,OR(CA870=1,AA870&lt;&gt;"",U870&lt;&gt;"",V870&lt;&gt;"",AB870&lt;&gt;"")),"manuell übersteuert; ","")&amp;IF(AND(BT870=0,R870=0),"Gebinde unbekannt / Stellmass fehlt; ","")&amp;IF(AND(BT870=0,N(V870)&lt;=0,N(Q870)&lt;=0),"Menge pro Gebinde fehlt (Ist = 1 Gebinde); ","")&amp;BO870)</f>
        <v>negativer Bestand (Export -2); Gebinde geschätzt (Klein); Menge pro Gebinde fehlt (Ist = 1 Gebinde); </v>
      </c>
      <c r="BH870" s="55"/>
      <c r="BI870" s="55"/>
      <c r="BJ870" s="62"/>
      <c r="BK870" s="57" t="n">
        <v>-2</v>
      </c>
      <c r="BL870" s="57" t="n">
        <v>3</v>
      </c>
      <c r="BM870" s="56" t="n">
        <v>-22.45</v>
      </c>
      <c r="BN870" s="57" t="n">
        <v>3</v>
      </c>
      <c r="BO870" s="55"/>
      <c r="BP870" s="60" t="n">
        <v>0</v>
      </c>
      <c r="BQ870" s="60" t="n">
        <v>870</v>
      </c>
      <c r="BR870" s="55" t="str">
        <f aca="false">IF(U870&lt;&gt;"",UPPER(TRIM(U870)),IF(BU870=1,UPPER(VLOOKUP(T870,Parameter!$I$27:$K$29,2,0)),IF(P870="","LOSE",P870)))</f>
        <v>S51</v>
      </c>
      <c r="BS870" s="57" t="n">
        <f aca="false">IF(BR870="LOSE",1,IF(N(V870)&gt;0,V870,IF(BU870=1,MAX(1,N(VLOOKUP(T870,Parameter!$I$27:$K$29,3,0)),H870,N(N870)),IF(N(Q870)&gt;0,Q870,MAX(1,H870)))))</f>
        <v>20</v>
      </c>
      <c r="BT870" s="60" t="n">
        <f aca="false">IF(BR870="LOSE",1,0)</f>
        <v>0</v>
      </c>
      <c r="BU870" s="60" t="n">
        <f aca="false">IF(AND(U870="",OR(P870="",P870="LOSE"),T870&lt;&gt;"",N(S870)&lt;=0,ISNUMBER(MATCH(T870,Parameter!$I$27:$I$29,0))),1,0)</f>
        <v>1</v>
      </c>
      <c r="BV870" s="55" t="str">
        <f aca="false">IF(AND(Parameter!$B$19="Ja",E870&lt;&gt;"",ISNUMBER(MATCH(E870,Parameter!$I$35:$I$52,0))),VLOOKUP(E870,Parameter!$I$35:$J$52,2,0),IFERROR(VLOOKUP(D870,Parameter!$A$35:$C$64,2,0),"Nein"))</f>
        <v>2+3</v>
      </c>
      <c r="BW870" s="59" t="n">
        <f aca="false">IF(BT870=0,0,IF(N(S870)&gt;0,S870,IFERROR(VLOOKUP(D870,Parameter!$A$35:$C$64,3,0)+0,0)))</f>
        <v>0</v>
      </c>
      <c r="BX870" s="55" t="n">
        <f aca="false">IF(AA870&lt;&gt;"",AA870,Z870)</f>
        <v>3</v>
      </c>
      <c r="BY870" s="55" t="str">
        <f aca="false">IF(BX870=1,"L1",IF(OR(BX870=2,BX870=3),"L23",IF(BX870="Aussen","Aussen","-")))</f>
        <v>L23</v>
      </c>
      <c r="BZ870" s="66" t="n">
        <f aca="false">IF(N(AB870)&gt;0,AB870,0)</f>
        <v>0</v>
      </c>
      <c r="CA870" s="60" t="n">
        <f aca="false">IF(ISNUMBER(AE870),1,0)</f>
        <v>0</v>
      </c>
      <c r="CB870" s="57" t="n">
        <f aca="false">N(AE870)</f>
        <v>0</v>
      </c>
      <c r="CC870" s="57" t="n">
        <f aca="false">N(M870)+N(N870)</f>
        <v>5</v>
      </c>
      <c r="CD870" s="57" t="n">
        <f aca="false">ROUNDUP(H870/BS870,0)</f>
        <v>1</v>
      </c>
      <c r="CE870" s="57" t="n">
        <f aca="false">ROUNDUP(CB870/BS870,0)</f>
        <v>0</v>
      </c>
      <c r="CF870" s="60" t="n">
        <f aca="false">IF(BT870=1,0,IFERROR(VLOOKUP(BR870,'Gebinde-Kategorie'!$A$5:$M$45,5,0)+0,0))</f>
        <v>11</v>
      </c>
      <c r="CG870" s="60" t="n">
        <f aca="false">IFERROR(IF(OR(BX870=1,BX870=2,BX870=3),N(INDEX(Parameter!$I$5:$I$7,BX870)),0),0)</f>
        <v>0</v>
      </c>
      <c r="CH870" s="59" t="n">
        <f aca="false">IF(AND(Parameter!$B$21="Ja",ISNUMBER(W870),N(X870)&gt;0),IFERROR(N(INDEX(Parameter!$L$5:$L$7,W870))*INDEX(Parameter!$E$5:$E$7,W870)*X870/SUMIFS($X$7:$X$1843,$W$7:$W$1843,W870),0),0)</f>
        <v>0</v>
      </c>
    </row>
    <row r="871" customFormat="false" ht="15" hidden="false" customHeight="false" outlineLevel="0" collapsed="false">
      <c r="A871" s="55" t="s">
        <v>1653</v>
      </c>
      <c r="B871" s="55" t="s">
        <v>1654</v>
      </c>
      <c r="C871" s="55" t="s">
        <v>164</v>
      </c>
      <c r="D871" s="55" t="s">
        <v>184</v>
      </c>
      <c r="E871" s="55" t="s">
        <v>185</v>
      </c>
      <c r="F871" s="55" t="s">
        <v>218</v>
      </c>
      <c r="G871" s="56" t="n">
        <v>5.66</v>
      </c>
      <c r="H871" s="57" t="n">
        <f aca="false">MAX(0,IF(AND(Parameter!$B$21="Ja",ISNUMBER(Y871)),Y871,IF(Parameter!$B$20="Jahresanfang 2025 + Export",BL871+BK871,BK871)))</f>
        <v>0</v>
      </c>
      <c r="I871" s="57" t="n">
        <f aca="false">H871*G871</f>
        <v>0</v>
      </c>
      <c r="J871" s="57" t="n">
        <f aca="false">BN871*Parameter!$B$18</f>
        <v>2</v>
      </c>
      <c r="K871" s="58" t="n">
        <v>3</v>
      </c>
      <c r="L871" s="59" t="n">
        <v>0.666666666666667</v>
      </c>
      <c r="M871" s="57" t="n">
        <v>0</v>
      </c>
      <c r="N871" s="57" t="n">
        <v>1</v>
      </c>
      <c r="O871" s="60" t="n">
        <v>28</v>
      </c>
      <c r="P871" s="55" t="s">
        <v>426</v>
      </c>
      <c r="Q871" s="57" t="n">
        <v>5</v>
      </c>
      <c r="R871" s="60" t="n">
        <f aca="false">IF(BT871=1,0,IFERROR(VLOOKUP(BR871,'Gebinde-Kategorie'!$A$5:$M$45,13,0)+0,0))</f>
        <v>198</v>
      </c>
      <c r="S871" s="61"/>
      <c r="T871" s="62"/>
      <c r="U871" s="62"/>
      <c r="V871" s="62"/>
      <c r="W871" s="55"/>
      <c r="X871" s="57"/>
      <c r="Y871" s="57"/>
      <c r="Z871" s="55" t="n">
        <f aca="false">IF(A871="","",IF(AND(Parameter!$B$21="Ja",ISNUMBER(W871)),W871,IF(BV871="2+3",IF(ISNUMBER(SEARCH("grosser Artikel",BO871)),2,IFERROR(VLOOKUP(BR871,Parameter!$F$35:$G$64,2,0),2)),IF(OR(BV871="Nein",BV871=""),"-",BV871))))</f>
        <v>3</v>
      </c>
      <c r="AA871" s="62"/>
      <c r="AB871" s="63"/>
      <c r="AC871" s="57" t="n">
        <f aca="false">AR871</f>
        <v>5</v>
      </c>
      <c r="AD871" s="57" t="n">
        <f aca="false">MAX(AR871,H871)</f>
        <v>5</v>
      </c>
      <c r="AE871" s="64"/>
      <c r="AF871" s="57" t="n">
        <f aca="false">IF(LEFT(Cockpit!$C$5,1)="A",H871,IF(CA871=1,CB871,IF(LEFT(Cockpit!$C$5,1)="B",AJ871,MAX(AJ871,H871))))</f>
        <v>0</v>
      </c>
      <c r="AG871" s="57" t="n">
        <f aca="false">IF(BT871=1,0,ROUNDUP(AF871/BS871,0))</f>
        <v>0</v>
      </c>
      <c r="AH871" s="59" t="n">
        <f aca="false">IF(CH871&gt;0,CH871*MAX(1,AF871/X871),IF(BT871=1,IF(AF871&lt;=0,0,BW871*MAX(1,IF(H871&gt;0,AF871/H871,1))),IF(R871&gt;0,AG871/R871,0))/MAX(0.1,N(Parameter!$M$21)))</f>
        <v>0</v>
      </c>
      <c r="AI871" s="57" t="n">
        <f aca="false">AF871*G871</f>
        <v>0</v>
      </c>
      <c r="AJ871" s="57" t="n">
        <f aca="false">ROUNDUP(MAX(J871/IF(BZ871&gt;0,BZ871,MAX(0.1,N(Cockpit!$C$6))),CC871)/BS871,0)*BS871</f>
        <v>5</v>
      </c>
      <c r="AK871" s="58" t="n">
        <f aca="false">IF(AH871&gt;0,J871/AH871,-1)</f>
        <v>-1</v>
      </c>
      <c r="AL871" s="58" t="str">
        <f aca="false">IF(AND(OR(BY871="L1",BY871="L23"),AH871&gt;0),SUMIFS($AH$7:$AH$1843,$BY$7:$BY$1843,BY871,$AK$7:$AK$1843,"&gt;"&amp;AK871)+SUMIFS($AH$7:$AH$1843,$BY$7:$BY$1843,BY871,$AK$7:$AK$1843,AK871,$BQ$7:$BQ$1843,"&lt;="&amp;BQ871),"")</f>
        <v/>
      </c>
      <c r="AM871" s="65" t="n">
        <f aca="false">IF(AL871="",0,MAX(0,MIN(1,(IF(BY871="L1",Parameter!$E$5,Parameter!$E$6+Parameter!$E$7)-(AL871-AH871))/AH871)))</f>
        <v>0</v>
      </c>
      <c r="AN871" s="57" t="n">
        <f aca="false">IF(LEFT(Cockpit!$I$5,1)="A",H871,IF(CA871=1,CB871,IF(LEFT(Cockpit!$I$5,1)="B",AR871,MAX(AR871,H871))))</f>
        <v>5</v>
      </c>
      <c r="AO871" s="57" t="n">
        <f aca="false">IF(BT871=1,0,ROUNDUP(AN871/BS871,0))</f>
        <v>1</v>
      </c>
      <c r="AP871" s="59" t="n">
        <f aca="false">IF(CH871&gt;0,CH871*MAX(1,AN871/X871),IF(BT871=1,IF(AN871&lt;=0,0,BW871*MAX(1,IF(H871&gt;0,AN871/H871,1))),IF(R871&gt;0,AO871/R871,0))/MAX(0.1,N(Parameter!$M$21)))</f>
        <v>0.00505050505050505</v>
      </c>
      <c r="AQ871" s="57" t="n">
        <f aca="false">AN871*G871</f>
        <v>28.3</v>
      </c>
      <c r="AR871" s="57" t="n">
        <f aca="false">ROUNDUP(MAX(J871/IF(BZ871&gt;0,BZ871,MAX(0.1,N(Cockpit!$I$6))),CC871)/BS871,0)*BS871</f>
        <v>5</v>
      </c>
      <c r="AS871" s="58" t="n">
        <f aca="false">IF(AP871&gt;0,J871/AP871,-1)</f>
        <v>396</v>
      </c>
      <c r="AT871" s="58" t="n">
        <f aca="false">IF(AND(OR(BY871="L1",BY871="L23"),AP871&gt;0),SUMIFS($AP$7:$AP$1843,$BY$7:$BY$1843,BY871,$AS$7:$AS$1843,"&gt;"&amp;AS871)+SUMIFS($AP$7:$AP$1843,$BY$7:$BY$1843,BY871,$AS$7:$AS$1843,AS871,$BQ$7:$BQ$1843,"&lt;="&amp;BQ871),"")</f>
        <v>35.378762541806</v>
      </c>
      <c r="AU871" s="65" t="n">
        <f aca="false">IF(AT871="",0,MAX(0,MIN(1,(IF(BY871="L1",Parameter!$E$5,Parameter!$E$6+Parameter!$E$7)-(AT871-AP871))/AP871)))</f>
        <v>1</v>
      </c>
      <c r="AV871" s="57" t="n">
        <f aca="false">IF(LEFT(Cockpit!$O$5,1)="A",H871,IF(CA871=1,CB871,IF(LEFT(Cockpit!$O$5,1)="B",AZ871,MAX(AZ871,H871))))</f>
        <v>5</v>
      </c>
      <c r="AW871" s="57" t="n">
        <f aca="false">IF(BT871=1,0,ROUNDUP(AV871/BS871,0))</f>
        <v>1</v>
      </c>
      <c r="AX871" s="59" t="n">
        <f aca="false">IF(CH871&gt;0,CH871*MAX(1,AV871/X871),IF(BT871=1,IF(AV871&lt;=0,0,BW871*MAX(1,IF(H871&gt;0,AV871/H871,1))),IF(R871&gt;0,AW871/R871,0))/MAX(0.1,N(Parameter!$M$21)))</f>
        <v>0.00505050505050505</v>
      </c>
      <c r="AY871" s="57" t="n">
        <f aca="false">AV871*G871</f>
        <v>28.3</v>
      </c>
      <c r="AZ871" s="57" t="n">
        <f aca="false">ROUNDUP(MAX(J871/IF(BZ871&gt;0,BZ871,MAX(0.1,N(Cockpit!$O$6))),CC871)/BS871,0)*BS871</f>
        <v>5</v>
      </c>
      <c r="BA871" s="58" t="n">
        <f aca="false">IF(AX871&gt;0,J871/AX871,-1)</f>
        <v>396</v>
      </c>
      <c r="BB871" s="58" t="n">
        <f aca="false">IF(AND(OR(BY871="L1",BY871="L23"),AX871&gt;0),SUMIFS($AX$7:$AX$1843,$BY$7:$BY$1843,BY871,$BA$7:$BA$1843,"&gt;"&amp;BA871)+SUMIFS($AX$7:$AX$1843,$BY$7:$BY$1843,BY871,$BA$7:$BA$1843,BA871,$BQ$7:$BQ$1843,"&lt;="&amp;BQ871),"")</f>
        <v>34.6252660383095</v>
      </c>
      <c r="BC871" s="65" t="n">
        <f aca="false">IF(BB871="",0,MAX(0,MIN(1,(IF(BY871="L1",Parameter!$E$5,Parameter!$E$6+Parameter!$E$7)-(BB871-AX871))/AX871)))</f>
        <v>1</v>
      </c>
      <c r="BD871" s="55" t="str">
        <f aca="false">IF(AH871&lt;=0,"",IF(BY871="Aussen","Aussenlager",IF(BY871="-","Nicht im Lift",IF(AM871&gt;=1,"Lift",IF(AM871&lt;=0,"Aussenlager","teilweise")))))</f>
        <v/>
      </c>
      <c r="BE871" s="55" t="str">
        <f aca="false">IF(AP871&lt;=0,"",IF(BY871="Aussen","Aussenlager",IF(BY871="-","Nicht im Lift",IF(AU871&gt;=1,"Lift",IF(AU871&lt;=0,"Aussenlager","teilweise")))))</f>
        <v>Lift</v>
      </c>
      <c r="BF871" s="55" t="str">
        <f aca="false">IF(AX871&lt;=0,"",IF(BY871="Aussen","Aussenlager",IF(BY871="-","Nicht im Lift",IF(BC871&gt;=1,"Lift",IF(BC871&lt;=0,"Aussenlager","teilweise")))))</f>
        <v>Lift</v>
      </c>
      <c r="BG871" s="55" t="str">
        <f aca="false">IF(A871="","",IF(BP871=1,"Neu; ","")&amp;IF(AND(BP871=0,BK871&lt;0),"negativer Bestand (Export "&amp;BK871&amp;"); ","")&amp;IF(J871&lt;=0,"Kein Verbrauch; ","")&amp;IF(CH871&gt;0,"Lift "&amp;W871&amp;" lt. Liftbericht (Fach "&amp;X871&amp;" Stk); ",IF(BU871=1,"Gebinde geschätzt ("&amp;T871&amp;"); ",IF(BT871=1,"Lose – Tablare geschätzt; ","")))&amp;IF(H871&gt;AR871,"Überbestand "&amp;ROUND(H871-AR871,0)&amp;" Stk / CHF "&amp;ROUND((H871-AR871)*G871,0)&amp;"; ","")&amp;IF(AND(CA871=1,CB871&lt;CC871),"MAX &lt; MB+LG; ","")&amp;IF(AND(CG871&gt;0,CF871*10&gt;CG871),"zu hoch für Tablar; ","")&amp;IF(AND(BP871=0,OR(CA871=1,AA871&lt;&gt;"",U871&lt;&gt;"",V871&lt;&gt;"",AB871&lt;&gt;"")),"manuell übersteuert; ","")&amp;IF(AND(BT871=0,R871=0),"Gebinde unbekannt / Stellmass fehlt; ","")&amp;IF(AND(BT871=0,N(V871)&lt;=0,N(Q871)&lt;=0),"Menge pro Gebinde fehlt (Ist = 1 Gebinde); ","")&amp;BO871)</f>
        <v>negativer Bestand (Export -4); </v>
      </c>
      <c r="BH871" s="55"/>
      <c r="BI871" s="55"/>
      <c r="BJ871" s="62"/>
      <c r="BK871" s="57" t="n">
        <v>-4</v>
      </c>
      <c r="BL871" s="57" t="n">
        <v>4</v>
      </c>
      <c r="BM871" s="56" t="n">
        <v>-23.48</v>
      </c>
      <c r="BN871" s="57" t="n">
        <v>2</v>
      </c>
      <c r="BO871" s="55"/>
      <c r="BP871" s="60" t="n">
        <v>0</v>
      </c>
      <c r="BQ871" s="60" t="n">
        <v>871</v>
      </c>
      <c r="BR871" s="55" t="str">
        <f aca="false">IF(U871&lt;&gt;"",UPPER(TRIM(U871)),IF(BU871=1,UPPER(VLOOKUP(T871,Parameter!$I$27:$K$29,2,0)),IF(P871="","LOSE",P871)))</f>
        <v>S22</v>
      </c>
      <c r="BS871" s="57" t="n">
        <f aca="false">IF(BR871="LOSE",1,IF(N(V871)&gt;0,V871,IF(BU871=1,MAX(1,N(VLOOKUP(T871,Parameter!$I$27:$K$29,3,0)),H871,N(N871)),IF(N(Q871)&gt;0,Q871,MAX(1,H871)))))</f>
        <v>5</v>
      </c>
      <c r="BT871" s="60" t="n">
        <f aca="false">IF(BR871="LOSE",1,0)</f>
        <v>0</v>
      </c>
      <c r="BU871" s="60" t="n">
        <f aca="false">IF(AND(U871="",OR(P871="",P871="LOSE"),T871&lt;&gt;"",N(S871)&lt;=0,ISNUMBER(MATCH(T871,Parameter!$I$27:$I$29,0))),1,0)</f>
        <v>0</v>
      </c>
      <c r="BV871" s="55" t="str">
        <f aca="false">IF(AND(Parameter!$B$19="Ja",E871&lt;&gt;"",ISNUMBER(MATCH(E871,Parameter!$I$35:$I$52,0))),VLOOKUP(E871,Parameter!$I$35:$J$52,2,0),IFERROR(VLOOKUP(D871,Parameter!$A$35:$C$64,2,0),"Nein"))</f>
        <v>2+3</v>
      </c>
      <c r="BW871" s="59" t="n">
        <f aca="false">IF(BT871=0,0,IF(N(S871)&gt;0,S871,IFERROR(VLOOKUP(D871,Parameter!$A$35:$C$64,3,0)+0,0)))</f>
        <v>0</v>
      </c>
      <c r="BX871" s="55" t="n">
        <f aca="false">IF(AA871&lt;&gt;"",AA871,Z871)</f>
        <v>3</v>
      </c>
      <c r="BY871" s="55" t="str">
        <f aca="false">IF(BX871=1,"L1",IF(OR(BX871=2,BX871=3),"L23",IF(BX871="Aussen","Aussen","-")))</f>
        <v>L23</v>
      </c>
      <c r="BZ871" s="66" t="n">
        <f aca="false">IF(N(AB871)&gt;0,AB871,0)</f>
        <v>0</v>
      </c>
      <c r="CA871" s="60" t="n">
        <f aca="false">IF(ISNUMBER(AE871),1,0)</f>
        <v>0</v>
      </c>
      <c r="CB871" s="57" t="n">
        <f aca="false">N(AE871)</f>
        <v>0</v>
      </c>
      <c r="CC871" s="57" t="n">
        <f aca="false">N(M871)+N(N871)</f>
        <v>1</v>
      </c>
      <c r="CD871" s="57" t="n">
        <f aca="false">ROUNDUP(H871/BS871,0)</f>
        <v>0</v>
      </c>
      <c r="CE871" s="57" t="n">
        <f aca="false">ROUNDUP(CB871/BS871,0)</f>
        <v>0</v>
      </c>
      <c r="CF871" s="60" t="n">
        <f aca="false">IF(BT871=1,0,IFERROR(VLOOKUP(BR871,'Gebinde-Kategorie'!$A$5:$M$45,5,0)+0,0))</f>
        <v>8</v>
      </c>
      <c r="CG871" s="60" t="n">
        <f aca="false">IFERROR(IF(OR(BX871=1,BX871=2,BX871=3),N(INDEX(Parameter!$I$5:$I$7,BX871)),0),0)</f>
        <v>0</v>
      </c>
      <c r="CH871" s="59" t="n">
        <f aca="false">IF(AND(Parameter!$B$21="Ja",ISNUMBER(W871),N(X871)&gt;0),IFERROR(N(INDEX(Parameter!$L$5:$L$7,W871))*INDEX(Parameter!$E$5:$E$7,W871)*X871/SUMIFS($X$7:$X$1843,$W$7:$W$1843,W871),0),0)</f>
        <v>0</v>
      </c>
    </row>
    <row r="872" customFormat="false" ht="15" hidden="false" customHeight="false" outlineLevel="0" collapsed="false">
      <c r="A872" s="55" t="s">
        <v>1655</v>
      </c>
      <c r="B872" s="55" t="s">
        <v>688</v>
      </c>
      <c r="C872" s="55" t="s">
        <v>164</v>
      </c>
      <c r="D872" s="55" t="s">
        <v>184</v>
      </c>
      <c r="E872" s="55" t="s">
        <v>185</v>
      </c>
      <c r="F872" s="55" t="s">
        <v>218</v>
      </c>
      <c r="G872" s="56" t="n">
        <v>36.4</v>
      </c>
      <c r="H872" s="57" t="n">
        <f aca="false">MAX(0,IF(AND(Parameter!$B$21="Ja",ISNUMBER(Y872)),Y872,IF(Parameter!$B$20="Jahresanfang 2025 + Export",BL872+BK872,BK872)))</f>
        <v>40</v>
      </c>
      <c r="I872" s="57" t="n">
        <f aca="false">H872*G872</f>
        <v>1456</v>
      </c>
      <c r="J872" s="57" t="n">
        <f aca="false">BN872*Parameter!$B$18</f>
        <v>72</v>
      </c>
      <c r="K872" s="58" t="n">
        <v>20.5</v>
      </c>
      <c r="L872" s="59" t="n">
        <v>3.51219512195122</v>
      </c>
      <c r="M872" s="57" t="n">
        <v>10</v>
      </c>
      <c r="N872" s="57" t="n">
        <v>70</v>
      </c>
      <c r="O872" s="60" t="n">
        <v>50</v>
      </c>
      <c r="P872" s="55" t="s">
        <v>293</v>
      </c>
      <c r="Q872" s="57" t="n">
        <v>45</v>
      </c>
      <c r="R872" s="60" t="n">
        <f aca="false">IF(BT872=1,0,IFERROR(VLOOKUP(BR872,'Gebinde-Kategorie'!$A$5:$M$45,13,0)+0,0))</f>
        <v>12</v>
      </c>
      <c r="S872" s="61"/>
      <c r="T872" s="62"/>
      <c r="U872" s="62"/>
      <c r="V872" s="62"/>
      <c r="W872" s="55"/>
      <c r="X872" s="57"/>
      <c r="Y872" s="57"/>
      <c r="Z872" s="55" t="n">
        <f aca="false">IF(A872="","",IF(AND(Parameter!$B$21="Ja",ISNUMBER(W872)),W872,IF(BV872="2+3",IF(ISNUMBER(SEARCH("grosser Artikel",BO872)),2,IFERROR(VLOOKUP(BR872,Parameter!$F$35:$G$64,2,0),2)),IF(OR(BV872="Nein",BV872=""),"-",BV872))))</f>
        <v>2</v>
      </c>
      <c r="AA872" s="62"/>
      <c r="AB872" s="63"/>
      <c r="AC872" s="57" t="n">
        <f aca="false">AR872</f>
        <v>90</v>
      </c>
      <c r="AD872" s="57" t="n">
        <f aca="false">MAX(AR872,H872)</f>
        <v>90</v>
      </c>
      <c r="AE872" s="64"/>
      <c r="AF872" s="57" t="n">
        <f aca="false">IF(LEFT(Cockpit!$C$5,1)="A",H872,IF(CA872=1,CB872,IF(LEFT(Cockpit!$C$5,1)="B",AJ872,MAX(AJ872,H872))))</f>
        <v>40</v>
      </c>
      <c r="AG872" s="57" t="n">
        <f aca="false">IF(BT872=1,0,ROUNDUP(AF872/BS872,0))</f>
        <v>1</v>
      </c>
      <c r="AH872" s="59" t="n">
        <f aca="false">IF(CH872&gt;0,CH872*MAX(1,AF872/X872),IF(BT872=1,IF(AF872&lt;=0,0,BW872*MAX(1,IF(H872&gt;0,AF872/H872,1))),IF(R872&gt;0,AG872/R872,0))/MAX(0.1,N(Parameter!$M$21)))</f>
        <v>0.0833333333333333</v>
      </c>
      <c r="AI872" s="57" t="n">
        <f aca="false">AF872*G872</f>
        <v>1456</v>
      </c>
      <c r="AJ872" s="57" t="n">
        <f aca="false">ROUNDUP(MAX(J872/IF(BZ872&gt;0,BZ872,MAX(0.1,N(Cockpit!$C$6))),CC872)/BS872,0)*BS872</f>
        <v>90</v>
      </c>
      <c r="AK872" s="58" t="n">
        <f aca="false">IF(AH872&gt;0,J872/AH872,-1)</f>
        <v>864</v>
      </c>
      <c r="AL872" s="58" t="n">
        <f aca="false">IF(AND(OR(BY872="L1",BY872="L23"),AH872&gt;0),SUMIFS($AH$7:$AH$1843,$BY$7:$BY$1843,BY872,$AK$7:$AK$1843,"&gt;"&amp;AK872)+SUMIFS($AH$7:$AH$1843,$BY$7:$BY$1843,BY872,$AK$7:$AK$1843,AK872,$BQ$7:$BQ$1843,"&lt;="&amp;BQ872),"")</f>
        <v>20.218742610047</v>
      </c>
      <c r="AM872" s="65" t="n">
        <f aca="false">IF(AL872="",0,MAX(0,MIN(1,(IF(BY872="L1",Parameter!$E$5,Parameter!$E$6+Parameter!$E$7)-(AL872-AH872))/AH872)))</f>
        <v>1</v>
      </c>
      <c r="AN872" s="57" t="n">
        <f aca="false">IF(LEFT(Cockpit!$I$5,1)="A",H872,IF(CA872=1,CB872,IF(LEFT(Cockpit!$I$5,1)="B",AR872,MAX(AR872,H872))))</f>
        <v>90</v>
      </c>
      <c r="AO872" s="57" t="n">
        <f aca="false">IF(BT872=1,0,ROUNDUP(AN872/BS872,0))</f>
        <v>2</v>
      </c>
      <c r="AP872" s="59" t="n">
        <f aca="false">IF(CH872&gt;0,CH872*MAX(1,AN872/X872),IF(BT872=1,IF(AN872&lt;=0,0,BW872*MAX(1,IF(H872&gt;0,AN872/H872,1))),IF(R872&gt;0,AO872/R872,0))/MAX(0.1,N(Parameter!$M$21)))</f>
        <v>0.166666666666667</v>
      </c>
      <c r="AQ872" s="57" t="n">
        <f aca="false">AN872*G872</f>
        <v>3276</v>
      </c>
      <c r="AR872" s="57" t="n">
        <f aca="false">ROUNDUP(MAX(J872/IF(BZ872&gt;0,BZ872,MAX(0.1,N(Cockpit!$I$6))),CC872)/BS872,0)*BS872</f>
        <v>90</v>
      </c>
      <c r="AS872" s="58" t="n">
        <f aca="false">IF(AP872&gt;0,J872/AP872,-1)</f>
        <v>432</v>
      </c>
      <c r="AT872" s="58" t="n">
        <f aca="false">IF(AND(OR(BY872="L1",BY872="L23"),AP872&gt;0),SUMIFS($AP$7:$AP$1843,$BY$7:$BY$1843,BY872,$AS$7:$AS$1843,"&gt;"&amp;AS872)+SUMIFS($AP$7:$AP$1843,$BY$7:$BY$1843,BY872,$AS$7:$AS$1843,AS872,$BQ$7:$BQ$1843,"&lt;="&amp;BQ872),"")</f>
        <v>34.6719029762508</v>
      </c>
      <c r="AU872" s="65" t="n">
        <f aca="false">IF(AT872="",0,MAX(0,MIN(1,(IF(BY872="L1",Parameter!$E$5,Parameter!$E$6+Parameter!$E$7)-(AT872-AP872))/AP872)))</f>
        <v>1</v>
      </c>
      <c r="AV872" s="57" t="n">
        <f aca="false">IF(LEFT(Cockpit!$O$5,1)="A",H872,IF(CA872=1,CB872,IF(LEFT(Cockpit!$O$5,1)="B",AZ872,MAX(AZ872,H872))))</f>
        <v>90</v>
      </c>
      <c r="AW872" s="57" t="n">
        <f aca="false">IF(BT872=1,0,ROUNDUP(AV872/BS872,0))</f>
        <v>2</v>
      </c>
      <c r="AX872" s="59" t="n">
        <f aca="false">IF(CH872&gt;0,CH872*MAX(1,AV872/X872),IF(BT872=1,IF(AV872&lt;=0,0,BW872*MAX(1,IF(H872&gt;0,AV872/H872,1))),IF(R872&gt;0,AW872/R872,0))/MAX(0.1,N(Parameter!$M$21)))</f>
        <v>0.166666666666667</v>
      </c>
      <c r="AY872" s="57" t="n">
        <f aca="false">AV872*G872</f>
        <v>3276</v>
      </c>
      <c r="AZ872" s="57" t="n">
        <f aca="false">ROUNDUP(MAX(J872/IF(BZ872&gt;0,BZ872,MAX(0.1,N(Cockpit!$O$6))),CC872)/BS872,0)*BS872</f>
        <v>90</v>
      </c>
      <c r="BA872" s="58" t="n">
        <f aca="false">IF(AX872&gt;0,J872/AX872,-1)</f>
        <v>432</v>
      </c>
      <c r="BB872" s="58" t="n">
        <f aca="false">IF(AND(OR(BY872="L1",BY872="L23"),AX872&gt;0),SUMIFS($AX$7:$AX$1843,$BY$7:$BY$1843,BY872,$BA$7:$BA$1843,"&gt;"&amp;BA872)+SUMIFS($AX$7:$AX$1843,$BY$7:$BY$1843,BY872,$BA$7:$BA$1843,BA872,$BQ$7:$BQ$1843,"&lt;="&amp;BQ872),"")</f>
        <v>33.7517398060876</v>
      </c>
      <c r="BC872" s="65" t="n">
        <f aca="false">IF(BB872="",0,MAX(0,MIN(1,(IF(BY872="L1",Parameter!$E$5,Parameter!$E$6+Parameter!$E$7)-(BB872-AX872))/AX872)))</f>
        <v>1</v>
      </c>
      <c r="BD872" s="55" t="str">
        <f aca="false">IF(AH872&lt;=0,"",IF(BY872="Aussen","Aussenlager",IF(BY872="-","Nicht im Lift",IF(AM872&gt;=1,"Lift",IF(AM872&lt;=0,"Aussenlager","teilweise")))))</f>
        <v>Lift</v>
      </c>
      <c r="BE872" s="55" t="str">
        <f aca="false">IF(AP872&lt;=0,"",IF(BY872="Aussen","Aussenlager",IF(BY872="-","Nicht im Lift",IF(AU872&gt;=1,"Lift",IF(AU872&lt;=0,"Aussenlager","teilweise")))))</f>
        <v>Lift</v>
      </c>
      <c r="BF872" s="55" t="str">
        <f aca="false">IF(AX872&lt;=0,"",IF(BY872="Aussen","Aussenlager",IF(BY872="-","Nicht im Lift",IF(BC872&gt;=1,"Lift",IF(BC872&lt;=0,"Aussenlager","teilweise")))))</f>
        <v>Lift</v>
      </c>
      <c r="BG872" s="55" t="str">
        <f aca="false">IF(A872="","",IF(BP872=1,"Neu; ","")&amp;IF(AND(BP872=0,BK872&lt;0),"negativer Bestand (Export "&amp;BK872&amp;"); ","")&amp;IF(J872&lt;=0,"Kein Verbrauch; ","")&amp;IF(CH872&gt;0,"Lift "&amp;W872&amp;" lt. Liftbericht (Fach "&amp;X872&amp;" Stk); ",IF(BU872=1,"Gebinde geschätzt ("&amp;T872&amp;"); ",IF(BT872=1,"Lose – Tablare geschätzt; ","")))&amp;IF(H872&gt;AR872,"Überbestand "&amp;ROUND(H872-AR872,0)&amp;" Stk / CHF "&amp;ROUND((H872-AR872)*G872,0)&amp;"; ","")&amp;IF(AND(CA872=1,CB872&lt;CC872),"MAX &lt; MB+LG; ","")&amp;IF(AND(CG872&gt;0,CF872*10&gt;CG872),"zu hoch für Tablar; ","")&amp;IF(AND(BP872=0,OR(CA872=1,AA872&lt;&gt;"",U872&lt;&gt;"",V872&lt;&gt;"",AB872&lt;&gt;"")),"manuell übersteuert; ","")&amp;IF(AND(BT872=0,R872=0),"Gebinde unbekannt / Stellmass fehlt; ","")&amp;IF(AND(BT872=0,N(V872)&lt;=0,N(Q872)&lt;=0),"Menge pro Gebinde fehlt (Ist = 1 Gebinde); ","")&amp;BO872)</f>
        <v/>
      </c>
      <c r="BH872" s="55"/>
      <c r="BI872" s="55"/>
      <c r="BJ872" s="62"/>
      <c r="BK872" s="57" t="n">
        <v>14</v>
      </c>
      <c r="BL872" s="57" t="n">
        <v>26</v>
      </c>
      <c r="BM872" s="56" t="n">
        <v>-23.9200000000017</v>
      </c>
      <c r="BN872" s="57" t="n">
        <v>72</v>
      </c>
      <c r="BO872" s="55"/>
      <c r="BP872" s="60" t="n">
        <v>0</v>
      </c>
      <c r="BQ872" s="60" t="n">
        <v>872</v>
      </c>
      <c r="BR872" s="55" t="str">
        <f aca="false">IF(U872&lt;&gt;"",UPPER(TRIM(U872)),IF(BU872=1,UPPER(VLOOKUP(T872,Parameter!$I$27:$K$29,2,0)),IF(P872="","LOSE",P872)))</f>
        <v>S62</v>
      </c>
      <c r="BS872" s="57" t="n">
        <f aca="false">IF(BR872="LOSE",1,IF(N(V872)&gt;0,V872,IF(BU872=1,MAX(1,N(VLOOKUP(T872,Parameter!$I$27:$K$29,3,0)),H872,N(N872)),IF(N(Q872)&gt;0,Q872,MAX(1,H872)))))</f>
        <v>45</v>
      </c>
      <c r="BT872" s="60" t="n">
        <f aca="false">IF(BR872="LOSE",1,0)</f>
        <v>0</v>
      </c>
      <c r="BU872" s="60" t="n">
        <f aca="false">IF(AND(U872="",OR(P872="",P872="LOSE"),T872&lt;&gt;"",N(S872)&lt;=0,ISNUMBER(MATCH(T872,Parameter!$I$27:$I$29,0))),1,0)</f>
        <v>0</v>
      </c>
      <c r="BV872" s="55" t="str">
        <f aca="false">IF(AND(Parameter!$B$19="Ja",E872&lt;&gt;"",ISNUMBER(MATCH(E872,Parameter!$I$35:$I$52,0))),VLOOKUP(E872,Parameter!$I$35:$J$52,2,0),IFERROR(VLOOKUP(D872,Parameter!$A$35:$C$64,2,0),"Nein"))</f>
        <v>2+3</v>
      </c>
      <c r="BW872" s="59" t="n">
        <f aca="false">IF(BT872=0,0,IF(N(S872)&gt;0,S872,IFERROR(VLOOKUP(D872,Parameter!$A$35:$C$64,3,0)+0,0)))</f>
        <v>0</v>
      </c>
      <c r="BX872" s="55" t="n">
        <f aca="false">IF(AA872&lt;&gt;"",AA872,Z872)</f>
        <v>2</v>
      </c>
      <c r="BY872" s="55" t="str">
        <f aca="false">IF(BX872=1,"L1",IF(OR(BX872=2,BX872=3),"L23",IF(BX872="Aussen","Aussen","-")))</f>
        <v>L23</v>
      </c>
      <c r="BZ872" s="66" t="n">
        <f aca="false">IF(N(AB872)&gt;0,AB872,0)</f>
        <v>0</v>
      </c>
      <c r="CA872" s="60" t="n">
        <f aca="false">IF(ISNUMBER(AE872),1,0)</f>
        <v>0</v>
      </c>
      <c r="CB872" s="57" t="n">
        <f aca="false">N(AE872)</f>
        <v>0</v>
      </c>
      <c r="CC872" s="57" t="n">
        <f aca="false">N(M872)+N(N872)</f>
        <v>80</v>
      </c>
      <c r="CD872" s="57" t="n">
        <f aca="false">ROUNDUP(H872/BS872,0)</f>
        <v>1</v>
      </c>
      <c r="CE872" s="57" t="n">
        <f aca="false">ROUNDUP(CB872/BS872,0)</f>
        <v>0</v>
      </c>
      <c r="CF872" s="60" t="n">
        <f aca="false">IF(BT872=1,0,IFERROR(VLOOKUP(BR872,'Gebinde-Kategorie'!$A$5:$M$45,5,0)+0,0))</f>
        <v>21</v>
      </c>
      <c r="CG872" s="60" t="n">
        <f aca="false">IFERROR(IF(OR(BX872=1,BX872=2,BX872=3),N(INDEX(Parameter!$I$5:$I$7,BX872)),0),0)</f>
        <v>0</v>
      </c>
      <c r="CH872" s="59" t="n">
        <f aca="false">IF(AND(Parameter!$B$21="Ja",ISNUMBER(W872),N(X872)&gt;0),IFERROR(N(INDEX(Parameter!$L$5:$L$7,W872))*INDEX(Parameter!$E$5:$E$7,W872)*X872/SUMIFS($X$7:$X$1843,$W$7:$W$1843,W872),0),0)</f>
        <v>0</v>
      </c>
    </row>
    <row r="873" customFormat="false" ht="15" hidden="false" customHeight="false" outlineLevel="0" collapsed="false">
      <c r="A873" s="55" t="s">
        <v>1656</v>
      </c>
      <c r="B873" s="55" t="s">
        <v>1578</v>
      </c>
      <c r="C873" s="55" t="s">
        <v>164</v>
      </c>
      <c r="D873" s="55" t="s">
        <v>184</v>
      </c>
      <c r="E873" s="55"/>
      <c r="F873" s="55" t="s">
        <v>218</v>
      </c>
      <c r="G873" s="56" t="n">
        <v>4.8</v>
      </c>
      <c r="H873" s="57" t="n">
        <f aca="false">MAX(0,IF(AND(Parameter!$B$21="Ja",ISNUMBER(Y873)),Y873,IF(Parameter!$B$20="Jahresanfang 2025 + Export",BL873+BK873,BK873)))</f>
        <v>27</v>
      </c>
      <c r="I873" s="57" t="n">
        <f aca="false">H873*G873</f>
        <v>129.6</v>
      </c>
      <c r="J873" s="57" t="n">
        <f aca="false">BN873*Parameter!$B$18</f>
        <v>1</v>
      </c>
      <c r="K873" s="58" t="n">
        <v>30</v>
      </c>
      <c r="L873" s="59" t="n">
        <v>0.0333333333333333</v>
      </c>
      <c r="M873" s="57" t="n">
        <v>0</v>
      </c>
      <c r="N873" s="57" t="n">
        <v>1</v>
      </c>
      <c r="O873" s="60" t="n">
        <v>28</v>
      </c>
      <c r="P873" s="55" t="s">
        <v>168</v>
      </c>
      <c r="Q873" s="57"/>
      <c r="R873" s="60" t="n">
        <f aca="false">IF(BT873=1,0,IFERROR(VLOOKUP(BR873,'Gebinde-Kategorie'!$A$5:$M$45,13,0)+0,0))</f>
        <v>12</v>
      </c>
      <c r="S873" s="61"/>
      <c r="T873" s="62" t="s">
        <v>179</v>
      </c>
      <c r="U873" s="62"/>
      <c r="V873" s="62"/>
      <c r="W873" s="55"/>
      <c r="X873" s="57"/>
      <c r="Y873" s="57"/>
      <c r="Z873" s="55" t="n">
        <f aca="false">IF(A873="","",IF(AND(Parameter!$B$21="Ja",ISNUMBER(W873)),W873,IF(BV873="2+3",IF(ISNUMBER(SEARCH("grosser Artikel",BO873)),2,IFERROR(VLOOKUP(BR873,Parameter!$F$35:$G$64,2,0),2)),IF(OR(BV873="Nein",BV873=""),"-",BV873))))</f>
        <v>2</v>
      </c>
      <c r="AA873" s="62"/>
      <c r="AB873" s="63"/>
      <c r="AC873" s="57" t="n">
        <f aca="false">AR873</f>
        <v>27</v>
      </c>
      <c r="AD873" s="57" t="n">
        <f aca="false">MAX(AR873,H873)</f>
        <v>27</v>
      </c>
      <c r="AE873" s="64"/>
      <c r="AF873" s="57" t="n">
        <f aca="false">IF(LEFT(Cockpit!$C$5,1)="A",H873,IF(CA873=1,CB873,IF(LEFT(Cockpit!$C$5,1)="B",AJ873,MAX(AJ873,H873))))</f>
        <v>27</v>
      </c>
      <c r="AG873" s="57" t="n">
        <f aca="false">IF(BT873=1,0,ROUNDUP(AF873/BS873,0))</f>
        <v>1</v>
      </c>
      <c r="AH873" s="59" t="n">
        <f aca="false">IF(CH873&gt;0,CH873*MAX(1,AF873/X873),IF(BT873=1,IF(AF873&lt;=0,0,BW873*MAX(1,IF(H873&gt;0,AF873/H873,1))),IF(R873&gt;0,AG873/R873,0))/MAX(0.1,N(Parameter!$M$21)))</f>
        <v>0.0833333333333333</v>
      </c>
      <c r="AI873" s="57" t="n">
        <f aca="false">AF873*G873</f>
        <v>129.6</v>
      </c>
      <c r="AJ873" s="57" t="n">
        <f aca="false">ROUNDUP(MAX(J873/IF(BZ873&gt;0,BZ873,MAX(0.1,N(Cockpit!$C$6))),CC873)/BS873,0)*BS873</f>
        <v>27</v>
      </c>
      <c r="AK873" s="58" t="n">
        <f aca="false">IF(AH873&gt;0,J873/AH873,-1)</f>
        <v>12</v>
      </c>
      <c r="AL873" s="58" t="n">
        <f aca="false">IF(AND(OR(BY873="L1",BY873="L23"),AH873&gt;0),SUMIFS($AH$7:$AH$1843,$BY$7:$BY$1843,BY873,$AK$7:$AK$1843,"&gt;"&amp;AK873)+SUMIFS($AH$7:$AH$1843,$BY$7:$BY$1843,BY873,$AK$7:$AK$1843,AK873,$BQ$7:$BQ$1843,"&lt;="&amp;BQ873),"")</f>
        <v>54.5240785784264</v>
      </c>
      <c r="AM873" s="65" t="n">
        <f aca="false">IF(AL873="",0,MAX(0,MIN(1,(IF(BY873="L1",Parameter!$E$5,Parameter!$E$6+Parameter!$E$7)-(AL873-AH873))/AH873)))</f>
        <v>1</v>
      </c>
      <c r="AN873" s="57" t="n">
        <f aca="false">IF(LEFT(Cockpit!$I$5,1)="A",H873,IF(CA873=1,CB873,IF(LEFT(Cockpit!$I$5,1)="B",AR873,MAX(AR873,H873))))</f>
        <v>27</v>
      </c>
      <c r="AO873" s="57" t="n">
        <f aca="false">IF(BT873=1,0,ROUNDUP(AN873/BS873,0))</f>
        <v>1</v>
      </c>
      <c r="AP873" s="59" t="n">
        <f aca="false">IF(CH873&gt;0,CH873*MAX(1,AN873/X873),IF(BT873=1,IF(AN873&lt;=0,0,BW873*MAX(1,IF(H873&gt;0,AN873/H873,1))),IF(R873&gt;0,AO873/R873,0))/MAX(0.1,N(Parameter!$M$21)))</f>
        <v>0.0833333333333333</v>
      </c>
      <c r="AQ873" s="57" t="n">
        <f aca="false">AN873*G873</f>
        <v>129.6</v>
      </c>
      <c r="AR873" s="57" t="n">
        <f aca="false">ROUNDUP(MAX(J873/IF(BZ873&gt;0,BZ873,MAX(0.1,N(Cockpit!$I$6))),CC873)/BS873,0)*BS873</f>
        <v>27</v>
      </c>
      <c r="AS873" s="58" t="n">
        <f aca="false">IF(AP873&gt;0,J873/AP873,-1)</f>
        <v>12</v>
      </c>
      <c r="AT873" s="58" t="n">
        <f aca="false">IF(AND(OR(BY873="L1",BY873="L23"),AP873&gt;0),SUMIFS($AP$7:$AP$1843,$BY$7:$BY$1843,BY873,$AS$7:$AS$1843,"&gt;"&amp;AS873)+SUMIFS($AP$7:$AP$1843,$BY$7:$BY$1843,BY873,$AS$7:$AS$1843,AS873,$BQ$7:$BQ$1843,"&lt;="&amp;BQ873),"")</f>
        <v>87.7815360967535</v>
      </c>
      <c r="AU873" s="65" t="n">
        <f aca="false">IF(AT873="",0,MAX(0,MIN(1,(IF(BY873="L1",Parameter!$E$5,Parameter!$E$6+Parameter!$E$7)-(AT873-AP873))/AP873)))</f>
        <v>1</v>
      </c>
      <c r="AV873" s="57" t="n">
        <f aca="false">IF(LEFT(Cockpit!$O$5,1)="A",H873,IF(CA873=1,CB873,IF(LEFT(Cockpit!$O$5,1)="B",AZ873,MAX(AZ873,H873))))</f>
        <v>27</v>
      </c>
      <c r="AW873" s="57" t="n">
        <f aca="false">IF(BT873=1,0,ROUNDUP(AV873/BS873,0))</f>
        <v>1</v>
      </c>
      <c r="AX873" s="59" t="n">
        <f aca="false">IF(CH873&gt;0,CH873*MAX(1,AV873/X873),IF(BT873=1,IF(AV873&lt;=0,0,BW873*MAX(1,IF(H873&gt;0,AV873/H873,1))),IF(R873&gt;0,AW873/R873,0))/MAX(0.1,N(Parameter!$M$21)))</f>
        <v>0.0833333333333333</v>
      </c>
      <c r="AY873" s="57" t="n">
        <f aca="false">AV873*G873</f>
        <v>129.6</v>
      </c>
      <c r="AZ873" s="57" t="n">
        <f aca="false">ROUNDUP(MAX(J873/IF(BZ873&gt;0,BZ873,MAX(0.1,N(Cockpit!$O$6))),CC873)/BS873,0)*BS873</f>
        <v>27</v>
      </c>
      <c r="BA873" s="58" t="n">
        <f aca="false">IF(AX873&gt;0,J873/AX873,-1)</f>
        <v>12</v>
      </c>
      <c r="BB873" s="58" t="n">
        <f aca="false">IF(AND(OR(BY873="L1",BY873="L23"),AX873&gt;0),SUMIFS($AX$7:$AX$1843,$BY$7:$BY$1843,BY873,$BA$7:$BA$1843,"&gt;"&amp;BA873)+SUMIFS($AX$7:$AX$1843,$BY$7:$BY$1843,BY873,$BA$7:$BA$1843,BA873,$BQ$7:$BQ$1843,"&lt;="&amp;BQ873),"")</f>
        <v>81.278039593257</v>
      </c>
      <c r="BC873" s="65" t="n">
        <f aca="false">IF(BB873="",0,MAX(0,MIN(1,(IF(BY873="L1",Parameter!$E$5,Parameter!$E$6+Parameter!$E$7)-(BB873-AX873))/AX873)))</f>
        <v>1</v>
      </c>
      <c r="BD873" s="55" t="str">
        <f aca="false">IF(AH873&lt;=0,"",IF(BY873="Aussen","Aussenlager",IF(BY873="-","Nicht im Lift",IF(AM873&gt;=1,"Lift",IF(AM873&lt;=0,"Aussenlager","teilweise")))))</f>
        <v>Lift</v>
      </c>
      <c r="BE873" s="55" t="str">
        <f aca="false">IF(AP873&lt;=0,"",IF(BY873="Aussen","Aussenlager",IF(BY873="-","Nicht im Lift",IF(AU873&gt;=1,"Lift",IF(AU873&lt;=0,"Aussenlager","teilweise")))))</f>
        <v>Lift</v>
      </c>
      <c r="BF873" s="55" t="str">
        <f aca="false">IF(AX873&lt;=0,"",IF(BY873="Aussen","Aussenlager",IF(BY873="-","Nicht im Lift",IF(BC873&gt;=1,"Lift",IF(BC873&lt;=0,"Aussenlager","teilweise")))))</f>
        <v>Lift</v>
      </c>
      <c r="BG873" s="55" t="str">
        <f aca="false">IF(A873="","",IF(BP873=1,"Neu; ","")&amp;IF(AND(BP873=0,BK873&lt;0),"negativer Bestand (Export "&amp;BK873&amp;"); ","")&amp;IF(J873&lt;=0,"Kein Verbrauch; ","")&amp;IF(CH873&gt;0,"Lift "&amp;W873&amp;" lt. Liftbericht (Fach "&amp;X873&amp;" Stk); ",IF(BU873=1,"Gebinde geschätzt ("&amp;T873&amp;"); ",IF(BT873=1,"Lose – Tablare geschätzt; ","")))&amp;IF(H873&gt;AR873,"Überbestand "&amp;ROUND(H873-AR873,0)&amp;" Stk / CHF "&amp;ROUND((H873-AR873)*G873,0)&amp;"; ","")&amp;IF(AND(CA873=1,CB873&lt;CC873),"MAX &lt; MB+LG; ","")&amp;IF(AND(CG873&gt;0,CF873*10&gt;CG873),"zu hoch für Tablar; ","")&amp;IF(AND(BP873=0,OR(CA873=1,AA873&lt;&gt;"",U873&lt;&gt;"",V873&lt;&gt;"",AB873&lt;&gt;"")),"manuell übersteuert; ","")&amp;IF(AND(BT873=0,R873=0),"Gebinde unbekannt / Stellmass fehlt; ","")&amp;IF(AND(BT873=0,N(V873)&lt;=0,N(Q873)&lt;=0),"Menge pro Gebinde fehlt (Ist = 1 Gebinde); ","")&amp;BO873)</f>
        <v>negativer Bestand (Export -5); Gebinde geschätzt (Mittel); Menge pro Gebinde fehlt (Ist = 1 Gebinde); </v>
      </c>
      <c r="BH873" s="55"/>
      <c r="BI873" s="55"/>
      <c r="BJ873" s="62"/>
      <c r="BK873" s="57" t="n">
        <v>-5</v>
      </c>
      <c r="BL873" s="57" t="n">
        <v>32</v>
      </c>
      <c r="BM873" s="56" t="n">
        <v>-24</v>
      </c>
      <c r="BN873" s="57" t="n">
        <v>1</v>
      </c>
      <c r="BO873" s="55"/>
      <c r="BP873" s="60" t="n">
        <v>0</v>
      </c>
      <c r="BQ873" s="60" t="n">
        <v>873</v>
      </c>
      <c r="BR873" s="55" t="str">
        <f aca="false">IF(U873&lt;&gt;"",UPPER(TRIM(U873)),IF(BU873=1,UPPER(VLOOKUP(T873,Parameter!$I$27:$K$29,2,0)),IF(P873="","LOSE",P873)))</f>
        <v>S61</v>
      </c>
      <c r="BS873" s="57" t="n">
        <f aca="false">IF(BR873="LOSE",1,IF(N(V873)&gt;0,V873,IF(BU873=1,MAX(1,N(VLOOKUP(T873,Parameter!$I$27:$K$29,3,0)),H873,N(N873)),IF(N(Q873)&gt;0,Q873,MAX(1,H873)))))</f>
        <v>27</v>
      </c>
      <c r="BT873" s="60" t="n">
        <f aca="false">IF(BR873="LOSE",1,0)</f>
        <v>0</v>
      </c>
      <c r="BU873" s="60" t="n">
        <f aca="false">IF(AND(U873="",OR(P873="",P873="LOSE"),T873&lt;&gt;"",N(S873)&lt;=0,ISNUMBER(MATCH(T873,Parameter!$I$27:$I$29,0))),1,0)</f>
        <v>1</v>
      </c>
      <c r="BV873" s="55" t="str">
        <f aca="false">IF(AND(Parameter!$B$19="Ja",E873&lt;&gt;"",ISNUMBER(MATCH(E873,Parameter!$I$35:$I$52,0))),VLOOKUP(E873,Parameter!$I$35:$J$52,2,0),IFERROR(VLOOKUP(D873,Parameter!$A$35:$C$64,2,0),"Nein"))</f>
        <v>2+3</v>
      </c>
      <c r="BW873" s="59" t="n">
        <f aca="false">IF(BT873=0,0,IF(N(S873)&gt;0,S873,IFERROR(VLOOKUP(D873,Parameter!$A$35:$C$64,3,0)+0,0)))</f>
        <v>0</v>
      </c>
      <c r="BX873" s="55" t="n">
        <f aca="false">IF(AA873&lt;&gt;"",AA873,Z873)</f>
        <v>2</v>
      </c>
      <c r="BY873" s="55" t="str">
        <f aca="false">IF(BX873=1,"L1",IF(OR(BX873=2,BX873=3),"L23",IF(BX873="Aussen","Aussen","-")))</f>
        <v>L23</v>
      </c>
      <c r="BZ873" s="66" t="n">
        <f aca="false">IF(N(AB873)&gt;0,AB873,0)</f>
        <v>0</v>
      </c>
      <c r="CA873" s="60" t="n">
        <f aca="false">IF(ISNUMBER(AE873),1,0)</f>
        <v>0</v>
      </c>
      <c r="CB873" s="57" t="n">
        <f aca="false">N(AE873)</f>
        <v>0</v>
      </c>
      <c r="CC873" s="57" t="n">
        <f aca="false">N(M873)+N(N873)</f>
        <v>1</v>
      </c>
      <c r="CD873" s="57" t="n">
        <f aca="false">ROUNDUP(H873/BS873,0)</f>
        <v>1</v>
      </c>
      <c r="CE873" s="57" t="n">
        <f aca="false">ROUNDUP(CB873/BS873,0)</f>
        <v>0</v>
      </c>
      <c r="CF873" s="60" t="n">
        <f aca="false">IF(BT873=1,0,IFERROR(VLOOKUP(BR873,'Gebinde-Kategorie'!$A$5:$M$45,5,0)+0,0))</f>
        <v>11</v>
      </c>
      <c r="CG873" s="60" t="n">
        <f aca="false">IFERROR(IF(OR(BX873=1,BX873=2,BX873=3),N(INDEX(Parameter!$I$5:$I$7,BX873)),0),0)</f>
        <v>0</v>
      </c>
      <c r="CH873" s="59" t="n">
        <f aca="false">IF(AND(Parameter!$B$21="Ja",ISNUMBER(W873),N(X873)&gt;0),IFERROR(N(INDEX(Parameter!$L$5:$L$7,W873))*INDEX(Parameter!$E$5:$E$7,W873)*X873/SUMIFS($X$7:$X$1843,$W$7:$W$1843,W873),0),0)</f>
        <v>0</v>
      </c>
    </row>
    <row r="874" customFormat="false" ht="15" hidden="false" customHeight="false" outlineLevel="0" collapsed="false">
      <c r="A874" s="55" t="s">
        <v>1657</v>
      </c>
      <c r="B874" s="55" t="s">
        <v>861</v>
      </c>
      <c r="C874" s="55" t="s">
        <v>164</v>
      </c>
      <c r="D874" s="55" t="s">
        <v>184</v>
      </c>
      <c r="E874" s="55"/>
      <c r="F874" s="55" t="s">
        <v>218</v>
      </c>
      <c r="G874" s="56" t="n">
        <v>24.36</v>
      </c>
      <c r="H874" s="57" t="n">
        <f aca="false">MAX(0,IF(AND(Parameter!$B$21="Ja",ISNUMBER(Y874)),Y874,IF(Parameter!$B$20="Jahresanfang 2025 + Export",BL874+BK874,BK874)))</f>
        <v>2</v>
      </c>
      <c r="I874" s="57" t="n">
        <f aca="false">H874*G874</f>
        <v>48.72</v>
      </c>
      <c r="J874" s="57" t="n">
        <f aca="false">BN874*Parameter!$B$18</f>
        <v>1</v>
      </c>
      <c r="K874" s="58" t="n">
        <v>2.5</v>
      </c>
      <c r="L874" s="59" t="n">
        <v>0.4</v>
      </c>
      <c r="M874" s="57" t="n">
        <v>0</v>
      </c>
      <c r="N874" s="57" t="n">
        <v>1</v>
      </c>
      <c r="O874" s="60" t="n">
        <v>28</v>
      </c>
      <c r="P874" s="55" t="s">
        <v>401</v>
      </c>
      <c r="Q874" s="57" t="n">
        <v>5</v>
      </c>
      <c r="R874" s="60" t="n">
        <f aca="false">IF(BT874=1,0,IFERROR(VLOOKUP(BR874,'Gebinde-Kategorie'!$A$5:$M$45,13,0)+0,0))</f>
        <v>414</v>
      </c>
      <c r="S874" s="61"/>
      <c r="T874" s="62"/>
      <c r="U874" s="62"/>
      <c r="V874" s="62"/>
      <c r="W874" s="55"/>
      <c r="X874" s="57"/>
      <c r="Y874" s="57"/>
      <c r="Z874" s="55" t="n">
        <f aca="false">IF(A874="","",IF(AND(Parameter!$B$21="Ja",ISNUMBER(W874)),W874,IF(BV874="2+3",IF(ISNUMBER(SEARCH("grosser Artikel",BO874)),2,IFERROR(VLOOKUP(BR874,Parameter!$F$35:$G$64,2,0),2)),IF(OR(BV874="Nein",BV874=""),"-",BV874))))</f>
        <v>3</v>
      </c>
      <c r="AA874" s="62"/>
      <c r="AB874" s="63"/>
      <c r="AC874" s="57" t="n">
        <f aca="false">AR874</f>
        <v>5</v>
      </c>
      <c r="AD874" s="57" t="n">
        <f aca="false">MAX(AR874,H874)</f>
        <v>5</v>
      </c>
      <c r="AE874" s="64"/>
      <c r="AF874" s="57" t="n">
        <f aca="false">IF(LEFT(Cockpit!$C$5,1)="A",H874,IF(CA874=1,CB874,IF(LEFT(Cockpit!$C$5,1)="B",AJ874,MAX(AJ874,H874))))</f>
        <v>2</v>
      </c>
      <c r="AG874" s="57" t="n">
        <f aca="false">IF(BT874=1,0,ROUNDUP(AF874/BS874,0))</f>
        <v>1</v>
      </c>
      <c r="AH874" s="59" t="n">
        <f aca="false">IF(CH874&gt;0,CH874*MAX(1,AF874/X874),IF(BT874=1,IF(AF874&lt;=0,0,BW874*MAX(1,IF(H874&gt;0,AF874/H874,1))),IF(R874&gt;0,AG874/R874,0))/MAX(0.1,N(Parameter!$M$21)))</f>
        <v>0.00241545893719807</v>
      </c>
      <c r="AI874" s="57" t="n">
        <f aca="false">AF874*G874</f>
        <v>48.72</v>
      </c>
      <c r="AJ874" s="57" t="n">
        <f aca="false">ROUNDUP(MAX(J874/IF(BZ874&gt;0,BZ874,MAX(0.1,N(Cockpit!$C$6))),CC874)/BS874,0)*BS874</f>
        <v>5</v>
      </c>
      <c r="AK874" s="58" t="n">
        <f aca="false">IF(AH874&gt;0,J874/AH874,-1)</f>
        <v>414</v>
      </c>
      <c r="AL874" s="58" t="n">
        <f aca="false">IF(AND(OR(BY874="L1",BY874="L23"),AH874&gt;0),SUMIFS($AH$7:$AH$1843,$BY$7:$BY$1843,BY874,$AK$7:$AK$1843,"&gt;"&amp;AK874)+SUMIFS($AH$7:$AH$1843,$BY$7:$BY$1843,BY874,$AK$7:$AK$1843,AK874,$BQ$7:$BQ$1843,"&lt;="&amp;BQ874),"")</f>
        <v>25.4283301239823</v>
      </c>
      <c r="AM874" s="65" t="n">
        <f aca="false">IF(AL874="",0,MAX(0,MIN(1,(IF(BY874="L1",Parameter!$E$5,Parameter!$E$6+Parameter!$E$7)-(AL874-AH874))/AH874)))</f>
        <v>1</v>
      </c>
      <c r="AN874" s="57" t="n">
        <f aca="false">IF(LEFT(Cockpit!$I$5,1)="A",H874,IF(CA874=1,CB874,IF(LEFT(Cockpit!$I$5,1)="B",AR874,MAX(AR874,H874))))</f>
        <v>5</v>
      </c>
      <c r="AO874" s="57" t="n">
        <f aca="false">IF(BT874=1,0,ROUNDUP(AN874/BS874,0))</f>
        <v>1</v>
      </c>
      <c r="AP874" s="59" t="n">
        <f aca="false">IF(CH874&gt;0,CH874*MAX(1,AN874/X874),IF(BT874=1,IF(AN874&lt;=0,0,BW874*MAX(1,IF(H874&gt;0,AN874/H874,1))),IF(R874&gt;0,AO874/R874,0))/MAX(0.1,N(Parameter!$M$21)))</f>
        <v>0.00241545893719807</v>
      </c>
      <c r="AQ874" s="57" t="n">
        <f aca="false">AN874*G874</f>
        <v>121.8</v>
      </c>
      <c r="AR874" s="57" t="n">
        <f aca="false">ROUNDUP(MAX(J874/IF(BZ874&gt;0,BZ874,MAX(0.1,N(Cockpit!$I$6))),CC874)/BS874,0)*BS874</f>
        <v>5</v>
      </c>
      <c r="AS874" s="58" t="n">
        <f aca="false">IF(AP874&gt;0,J874/AP874,-1)</f>
        <v>414</v>
      </c>
      <c r="AT874" s="58" t="n">
        <f aca="false">IF(AND(OR(BY874="L1",BY874="L23"),AP874&gt;0),SUMIFS($AP$7:$AP$1843,$BY$7:$BY$1843,BY874,$AS$7:$AS$1843,"&gt;"&amp;AS874)+SUMIFS($AP$7:$AP$1843,$BY$7:$BY$1843,BY874,$AS$7:$AS$1843,AS874,$BQ$7:$BQ$1843,"&lt;="&amp;BQ874),"")</f>
        <v>35.0181497246715</v>
      </c>
      <c r="AU874" s="65" t="n">
        <f aca="false">IF(AT874="",0,MAX(0,MIN(1,(IF(BY874="L1",Parameter!$E$5,Parameter!$E$6+Parameter!$E$7)-(AT874-AP874))/AP874)))</f>
        <v>1</v>
      </c>
      <c r="AV874" s="57" t="n">
        <f aca="false">IF(LEFT(Cockpit!$O$5,1)="A",H874,IF(CA874=1,CB874,IF(LEFT(Cockpit!$O$5,1)="B",AZ874,MAX(AZ874,H874))))</f>
        <v>5</v>
      </c>
      <c r="AW874" s="57" t="n">
        <f aca="false">IF(BT874=1,0,ROUNDUP(AV874/BS874,0))</f>
        <v>1</v>
      </c>
      <c r="AX874" s="59" t="n">
        <f aca="false">IF(CH874&gt;0,CH874*MAX(1,AV874/X874),IF(BT874=1,IF(AV874&lt;=0,0,BW874*MAX(1,IF(H874&gt;0,AV874/H874,1))),IF(R874&gt;0,AW874/R874,0))/MAX(0.1,N(Parameter!$M$21)))</f>
        <v>0.00241545893719807</v>
      </c>
      <c r="AY874" s="57" t="n">
        <f aca="false">AV874*G874</f>
        <v>121.8</v>
      </c>
      <c r="AZ874" s="57" t="n">
        <f aca="false">ROUNDUP(MAX(J874/IF(BZ874&gt;0,BZ874,MAX(0.1,N(Cockpit!$O$6))),CC874)/BS874,0)*BS874</f>
        <v>5</v>
      </c>
      <c r="BA874" s="58" t="n">
        <f aca="false">IF(AX874&gt;0,J874/AX874,-1)</f>
        <v>414</v>
      </c>
      <c r="BB874" s="58" t="n">
        <f aca="false">IF(AND(OR(BY874="L1",BY874="L23"),AX874&gt;0),SUMIFS($AX$7:$AX$1843,$BY$7:$BY$1843,BY874,$BA$7:$BA$1843,"&gt;"&amp;BA874)+SUMIFS($AX$7:$AX$1843,$BY$7:$BY$1843,BY874,$BA$7:$BA$1843,BA874,$BQ$7:$BQ$1843,"&lt;="&amp;BQ874),"")</f>
        <v>34.264653221175</v>
      </c>
      <c r="BC874" s="65" t="n">
        <f aca="false">IF(BB874="",0,MAX(0,MIN(1,(IF(BY874="L1",Parameter!$E$5,Parameter!$E$6+Parameter!$E$7)-(BB874-AX874))/AX874)))</f>
        <v>1</v>
      </c>
      <c r="BD874" s="55" t="str">
        <f aca="false">IF(AH874&lt;=0,"",IF(BY874="Aussen","Aussenlager",IF(BY874="-","Nicht im Lift",IF(AM874&gt;=1,"Lift",IF(AM874&lt;=0,"Aussenlager","teilweise")))))</f>
        <v>Lift</v>
      </c>
      <c r="BE874" s="55" t="str">
        <f aca="false">IF(AP874&lt;=0,"",IF(BY874="Aussen","Aussenlager",IF(BY874="-","Nicht im Lift",IF(AU874&gt;=1,"Lift",IF(AU874&lt;=0,"Aussenlager","teilweise")))))</f>
        <v>Lift</v>
      </c>
      <c r="BF874" s="55" t="str">
        <f aca="false">IF(AX874&lt;=0,"",IF(BY874="Aussen","Aussenlager",IF(BY874="-","Nicht im Lift",IF(BC874&gt;=1,"Lift",IF(BC874&lt;=0,"Aussenlager","teilweise")))))</f>
        <v>Lift</v>
      </c>
      <c r="BG874" s="55" t="str">
        <f aca="false">IF(A874="","",IF(BP874=1,"Neu; ","")&amp;IF(AND(BP874=0,BK874&lt;0),"negativer Bestand (Export "&amp;BK874&amp;"); ","")&amp;IF(J874&lt;=0,"Kein Verbrauch; ","")&amp;IF(CH874&gt;0,"Lift "&amp;W874&amp;" lt. Liftbericht (Fach "&amp;X874&amp;" Stk); ",IF(BU874=1,"Gebinde geschätzt ("&amp;T874&amp;"); ",IF(BT874=1,"Lose – Tablare geschätzt; ","")))&amp;IF(H874&gt;AR874,"Überbestand "&amp;ROUND(H874-AR874,0)&amp;" Stk / CHF "&amp;ROUND((H874-AR874)*G874,0)&amp;"; ","")&amp;IF(AND(CA874=1,CB874&lt;CC874),"MAX &lt; MB+LG; ","")&amp;IF(AND(CG874&gt;0,CF874*10&gt;CG874),"zu hoch für Tablar; ","")&amp;IF(AND(BP874=0,OR(CA874=1,AA874&lt;&gt;"",U874&lt;&gt;"",V874&lt;&gt;"",AB874&lt;&gt;"")),"manuell übersteuert; ","")&amp;IF(AND(BT874=0,R874=0),"Gebinde unbekannt / Stellmass fehlt; ","")&amp;IF(AND(BT874=0,N(V874)&lt;=0,N(Q874)&lt;=0),"Menge pro Gebinde fehlt (Ist = 1 Gebinde); ","")&amp;BO874)</f>
        <v>negativer Bestand (Export -1); </v>
      </c>
      <c r="BH874" s="55"/>
      <c r="BI874" s="55"/>
      <c r="BJ874" s="62"/>
      <c r="BK874" s="57" t="n">
        <v>-1</v>
      </c>
      <c r="BL874" s="57" t="n">
        <v>3</v>
      </c>
      <c r="BM874" s="56" t="n">
        <v>-24.36</v>
      </c>
      <c r="BN874" s="57" t="n">
        <v>1</v>
      </c>
      <c r="BO874" s="55"/>
      <c r="BP874" s="60" t="n">
        <v>0</v>
      </c>
      <c r="BQ874" s="60" t="n">
        <v>874</v>
      </c>
      <c r="BR874" s="55" t="str">
        <f aca="false">IF(U874&lt;&gt;"",UPPER(TRIM(U874)),IF(BU874=1,UPPER(VLOOKUP(T874,Parameter!$I$27:$K$29,2,0)),IF(P874="","LOSE",P874)))</f>
        <v>S21</v>
      </c>
      <c r="BS874" s="57" t="n">
        <f aca="false">IF(BR874="LOSE",1,IF(N(V874)&gt;0,V874,IF(BU874=1,MAX(1,N(VLOOKUP(T874,Parameter!$I$27:$K$29,3,0)),H874,N(N874)),IF(N(Q874)&gt;0,Q874,MAX(1,H874)))))</f>
        <v>5</v>
      </c>
      <c r="BT874" s="60" t="n">
        <f aca="false">IF(BR874="LOSE",1,0)</f>
        <v>0</v>
      </c>
      <c r="BU874" s="60" t="n">
        <f aca="false">IF(AND(U874="",OR(P874="",P874="LOSE"),T874&lt;&gt;"",N(S874)&lt;=0,ISNUMBER(MATCH(T874,Parameter!$I$27:$I$29,0))),1,0)</f>
        <v>0</v>
      </c>
      <c r="BV874" s="55" t="str">
        <f aca="false">IF(AND(Parameter!$B$19="Ja",E874&lt;&gt;"",ISNUMBER(MATCH(E874,Parameter!$I$35:$I$52,0))),VLOOKUP(E874,Parameter!$I$35:$J$52,2,0),IFERROR(VLOOKUP(D874,Parameter!$A$35:$C$64,2,0),"Nein"))</f>
        <v>2+3</v>
      </c>
      <c r="BW874" s="59" t="n">
        <f aca="false">IF(BT874=0,0,IF(N(S874)&gt;0,S874,IFERROR(VLOOKUP(D874,Parameter!$A$35:$C$64,3,0)+0,0)))</f>
        <v>0</v>
      </c>
      <c r="BX874" s="55" t="n">
        <f aca="false">IF(AA874&lt;&gt;"",AA874,Z874)</f>
        <v>3</v>
      </c>
      <c r="BY874" s="55" t="str">
        <f aca="false">IF(BX874=1,"L1",IF(OR(BX874=2,BX874=3),"L23",IF(BX874="Aussen","Aussen","-")))</f>
        <v>L23</v>
      </c>
      <c r="BZ874" s="66" t="n">
        <f aca="false">IF(N(AB874)&gt;0,AB874,0)</f>
        <v>0</v>
      </c>
      <c r="CA874" s="60" t="n">
        <f aca="false">IF(ISNUMBER(AE874),1,0)</f>
        <v>0</v>
      </c>
      <c r="CB874" s="57" t="n">
        <f aca="false">N(AE874)</f>
        <v>0</v>
      </c>
      <c r="CC874" s="57" t="n">
        <f aca="false">N(M874)+N(N874)</f>
        <v>1</v>
      </c>
      <c r="CD874" s="57" t="n">
        <f aca="false">ROUNDUP(H874/BS874,0)</f>
        <v>1</v>
      </c>
      <c r="CE874" s="57" t="n">
        <f aca="false">ROUNDUP(CB874/BS874,0)</f>
        <v>0</v>
      </c>
      <c r="CF874" s="60" t="n">
        <f aca="false">IF(BT874=1,0,IFERROR(VLOOKUP(BR874,'Gebinde-Kategorie'!$A$5:$M$45,5,0)+0,0))</f>
        <v>8</v>
      </c>
      <c r="CG874" s="60" t="n">
        <f aca="false">IFERROR(IF(OR(BX874=1,BX874=2,BX874=3),N(INDEX(Parameter!$I$5:$I$7,BX874)),0),0)</f>
        <v>0</v>
      </c>
      <c r="CH874" s="59" t="n">
        <f aca="false">IF(AND(Parameter!$B$21="Ja",ISNUMBER(W874),N(X874)&gt;0),IFERROR(N(INDEX(Parameter!$L$5:$L$7,W874))*INDEX(Parameter!$E$5:$E$7,W874)*X874/SUMIFS($X$7:$X$1843,$W$7:$W$1843,W874),0),0)</f>
        <v>0</v>
      </c>
    </row>
    <row r="875" customFormat="false" ht="15" hidden="false" customHeight="false" outlineLevel="0" collapsed="false">
      <c r="A875" s="55" t="s">
        <v>1658</v>
      </c>
      <c r="B875" s="55" t="s">
        <v>1659</v>
      </c>
      <c r="C875" s="55" t="s">
        <v>164</v>
      </c>
      <c r="D875" s="55" t="s">
        <v>184</v>
      </c>
      <c r="E875" s="55"/>
      <c r="F875" s="55" t="s">
        <v>218</v>
      </c>
      <c r="G875" s="56" t="n">
        <v>24.52</v>
      </c>
      <c r="H875" s="57" t="n">
        <f aca="false">MAX(0,IF(AND(Parameter!$B$21="Ja",ISNUMBER(Y875)),Y875,IF(Parameter!$B$20="Jahresanfang 2025 + Export",BL875+BK875,BK875)))</f>
        <v>14</v>
      </c>
      <c r="I875" s="57" t="n">
        <f aca="false">H875*G875</f>
        <v>343.28</v>
      </c>
      <c r="J875" s="57" t="n">
        <f aca="false">BN875*Parameter!$B$18</f>
        <v>0</v>
      </c>
      <c r="K875" s="58" t="n">
        <v>15</v>
      </c>
      <c r="L875" s="59" t="n">
        <v>0</v>
      </c>
      <c r="M875" s="57" t="n">
        <v>0</v>
      </c>
      <c r="N875" s="57" t="n">
        <v>1</v>
      </c>
      <c r="O875" s="60" t="n">
        <v>35</v>
      </c>
      <c r="P875" s="55" t="s">
        <v>421</v>
      </c>
      <c r="Q875" s="57" t="n">
        <v>15</v>
      </c>
      <c r="R875" s="60" t="n">
        <f aca="false">IF(BT875=1,0,IFERROR(VLOOKUP(BR875,'Gebinde-Kategorie'!$A$5:$M$45,13,0)+0,0))</f>
        <v>132</v>
      </c>
      <c r="S875" s="61"/>
      <c r="T875" s="62"/>
      <c r="U875" s="62"/>
      <c r="V875" s="62"/>
      <c r="W875" s="55"/>
      <c r="X875" s="57"/>
      <c r="Y875" s="57"/>
      <c r="Z875" s="55" t="n">
        <f aca="false">IF(A875="","",IF(AND(Parameter!$B$21="Ja",ISNUMBER(W875)),W875,IF(BV875="2+3",IF(ISNUMBER(SEARCH("grosser Artikel",BO875)),2,IFERROR(VLOOKUP(BR875,Parameter!$F$35:$G$64,2,0),2)),IF(OR(BV875="Nein",BV875=""),"-",BV875))))</f>
        <v>3</v>
      </c>
      <c r="AA875" s="62"/>
      <c r="AB875" s="63"/>
      <c r="AC875" s="57" t="n">
        <f aca="false">AR875</f>
        <v>15</v>
      </c>
      <c r="AD875" s="57" t="n">
        <f aca="false">MAX(AR875,H875)</f>
        <v>15</v>
      </c>
      <c r="AE875" s="64"/>
      <c r="AF875" s="57" t="n">
        <f aca="false">IF(LEFT(Cockpit!$C$5,1)="A",H875,IF(CA875=1,CB875,IF(LEFT(Cockpit!$C$5,1)="B",AJ875,MAX(AJ875,H875))))</f>
        <v>14</v>
      </c>
      <c r="AG875" s="57" t="n">
        <f aca="false">IF(BT875=1,0,ROUNDUP(AF875/BS875,0))</f>
        <v>1</v>
      </c>
      <c r="AH875" s="59" t="n">
        <f aca="false">IF(CH875&gt;0,CH875*MAX(1,AF875/X875),IF(BT875=1,IF(AF875&lt;=0,0,BW875*MAX(1,IF(H875&gt;0,AF875/H875,1))),IF(R875&gt;0,AG875/R875,0))/MAX(0.1,N(Parameter!$M$21)))</f>
        <v>0.00757575757575758</v>
      </c>
      <c r="AI875" s="57" t="n">
        <f aca="false">AF875*G875</f>
        <v>343.28</v>
      </c>
      <c r="AJ875" s="57" t="n">
        <f aca="false">ROUNDUP(MAX(J875/IF(BZ875&gt;0,BZ875,MAX(0.1,N(Cockpit!$C$6))),CC875)/BS875,0)*BS875</f>
        <v>15</v>
      </c>
      <c r="AK875" s="58" t="n">
        <f aca="false">IF(AH875&gt;0,J875/AH875,-1)</f>
        <v>0</v>
      </c>
      <c r="AL875" s="58" t="n">
        <f aca="false">IF(AND(OR(BY875="L1",BY875="L23"),AH875&gt;0),SUMIFS($AH$7:$AH$1843,$BY$7:$BY$1843,BY875,$AK$7:$AK$1843,"&gt;"&amp;AK875)+SUMIFS($AH$7:$AH$1843,$BY$7:$BY$1843,BY875,$AK$7:$AK$1843,AK875,$BQ$7:$BQ$1843,"&lt;="&amp;BQ875),"")</f>
        <v>77.7438346677477</v>
      </c>
      <c r="AM875" s="65" t="n">
        <f aca="false">IF(AL875="",0,MAX(0,MIN(1,(IF(BY875="L1",Parameter!$E$5,Parameter!$E$6+Parameter!$E$7)-(AL875-AH875))/AH875)))</f>
        <v>1</v>
      </c>
      <c r="AN875" s="57" t="n">
        <f aca="false">IF(LEFT(Cockpit!$I$5,1)="A",H875,IF(CA875=1,CB875,IF(LEFT(Cockpit!$I$5,1)="B",AR875,MAX(AR875,H875))))</f>
        <v>15</v>
      </c>
      <c r="AO875" s="57" t="n">
        <f aca="false">IF(BT875=1,0,ROUNDUP(AN875/BS875,0))</f>
        <v>1</v>
      </c>
      <c r="AP875" s="59" t="n">
        <f aca="false">IF(CH875&gt;0,CH875*MAX(1,AN875/X875),IF(BT875=1,IF(AN875&lt;=0,0,BW875*MAX(1,IF(H875&gt;0,AN875/H875,1))),IF(R875&gt;0,AO875/R875,0))/MAX(0.1,N(Parameter!$M$21)))</f>
        <v>0.00757575757575758</v>
      </c>
      <c r="AQ875" s="57" t="n">
        <f aca="false">AN875*G875</f>
        <v>367.8</v>
      </c>
      <c r="AR875" s="57" t="n">
        <f aca="false">ROUNDUP(MAX(J875/IF(BZ875&gt;0,BZ875,MAX(0.1,N(Cockpit!$I$6))),CC875)/BS875,0)*BS875</f>
        <v>15</v>
      </c>
      <c r="AS875" s="58" t="n">
        <f aca="false">IF(AP875&gt;0,J875/AP875,-1)</f>
        <v>0</v>
      </c>
      <c r="AT875" s="58" t="n">
        <f aca="false">IF(AND(OR(BY875="L1",BY875="L23"),AP875&gt;0),SUMIFS($AP$7:$AP$1843,$BY$7:$BY$1843,BY875,$AS$7:$AS$1843,"&gt;"&amp;AS875)+SUMIFS($AP$7:$AP$1843,$BY$7:$BY$1843,BY875,$AS$7:$AS$1843,AS875,$BQ$7:$BQ$1843,"&lt;="&amp;BQ875),"")</f>
        <v>118.668710516537</v>
      </c>
      <c r="AU875" s="65" t="n">
        <f aca="false">IF(AT875="",0,MAX(0,MIN(1,(IF(BY875="L1",Parameter!$E$5,Parameter!$E$6+Parameter!$E$7)-(AT875-AP875))/AP875)))</f>
        <v>0</v>
      </c>
      <c r="AV875" s="57" t="n">
        <f aca="false">IF(LEFT(Cockpit!$O$5,1)="A",H875,IF(CA875=1,CB875,IF(LEFT(Cockpit!$O$5,1)="B",AZ875,MAX(AZ875,H875))))</f>
        <v>15</v>
      </c>
      <c r="AW875" s="57" t="n">
        <f aca="false">IF(BT875=1,0,ROUNDUP(AV875/BS875,0))</f>
        <v>1</v>
      </c>
      <c r="AX875" s="59" t="n">
        <f aca="false">IF(CH875&gt;0,CH875*MAX(1,AV875/X875),IF(BT875=1,IF(AV875&lt;=0,0,BW875*MAX(1,IF(H875&gt;0,AV875/H875,1))),IF(R875&gt;0,AW875/R875,0))/MAX(0.1,N(Parameter!$M$21)))</f>
        <v>0.00757575757575758</v>
      </c>
      <c r="AY875" s="57" t="n">
        <f aca="false">AV875*G875</f>
        <v>367.8</v>
      </c>
      <c r="AZ875" s="57" t="n">
        <f aca="false">ROUNDUP(MAX(J875/IF(BZ875&gt;0,BZ875,MAX(0.1,N(Cockpit!$O$6))),CC875)/BS875,0)*BS875</f>
        <v>15</v>
      </c>
      <c r="BA875" s="58" t="n">
        <f aca="false">IF(AX875&gt;0,J875/AX875,-1)</f>
        <v>0</v>
      </c>
      <c r="BB875" s="58" t="n">
        <f aca="false">IF(AND(OR(BY875="L1",BY875="L23"),AX875&gt;0),SUMIFS($AX$7:$AX$1843,$BY$7:$BY$1843,BY875,$BA$7:$BA$1843,"&gt;"&amp;BA875)+SUMIFS($AX$7:$AX$1843,$BY$7:$BY$1843,BY875,$BA$7:$BA$1843,BA875,$BQ$7:$BQ$1843,"&lt;="&amp;BQ875),"")</f>
        <v>109.498547346373</v>
      </c>
      <c r="BC875" s="65" t="n">
        <f aca="false">IF(BB875="",0,MAX(0,MIN(1,(IF(BY875="L1",Parameter!$E$5,Parameter!$E$6+Parameter!$E$7)-(BB875-AX875))/AX875)))</f>
        <v>0</v>
      </c>
      <c r="BD875" s="55" t="str">
        <f aca="false">IF(AH875&lt;=0,"",IF(BY875="Aussen","Aussenlager",IF(BY875="-","Nicht im Lift",IF(AM875&gt;=1,"Lift",IF(AM875&lt;=0,"Aussenlager","teilweise")))))</f>
        <v>Lift</v>
      </c>
      <c r="BE875" s="55" t="str">
        <f aca="false">IF(AP875&lt;=0,"",IF(BY875="Aussen","Aussenlager",IF(BY875="-","Nicht im Lift",IF(AU875&gt;=1,"Lift",IF(AU875&lt;=0,"Aussenlager","teilweise")))))</f>
        <v>Aussenlager</v>
      </c>
      <c r="BF875" s="55" t="str">
        <f aca="false">IF(AX875&lt;=0,"",IF(BY875="Aussen","Aussenlager",IF(BY875="-","Nicht im Lift",IF(BC875&gt;=1,"Lift",IF(BC875&lt;=0,"Aussenlager","teilweise")))))</f>
        <v>Aussenlager</v>
      </c>
      <c r="BG875" s="55" t="str">
        <f aca="false">IF(A875="","",IF(BP875=1,"Neu; ","")&amp;IF(AND(BP875=0,BK875&lt;0),"negativer Bestand (Export "&amp;BK875&amp;"); ","")&amp;IF(J875&lt;=0,"Kein Verbrauch; ","")&amp;IF(CH875&gt;0,"Lift "&amp;W875&amp;" lt. Liftbericht (Fach "&amp;X875&amp;" Stk); ",IF(BU875=1,"Gebinde geschätzt ("&amp;T875&amp;"); ",IF(BT875=1,"Lose – Tablare geschätzt; ","")))&amp;IF(H875&gt;AR875,"Überbestand "&amp;ROUND(H875-AR875,0)&amp;" Stk / CHF "&amp;ROUND((H875-AR875)*G875,0)&amp;"; ","")&amp;IF(AND(CA875=1,CB875&lt;CC875),"MAX &lt; MB+LG; ","")&amp;IF(AND(CG875&gt;0,CF875*10&gt;CG875),"zu hoch für Tablar; ","")&amp;IF(AND(BP875=0,OR(CA875=1,AA875&lt;&gt;"",U875&lt;&gt;"",V875&lt;&gt;"",AB875&lt;&gt;"")),"manuell übersteuert; ","")&amp;IF(AND(BT875=0,R875=0),"Gebinde unbekannt / Stellmass fehlt; ","")&amp;IF(AND(BT875=0,N(V875)&lt;=0,N(Q875)&lt;=0),"Menge pro Gebinde fehlt (Ist = 1 Gebinde); ","")&amp;BO875)</f>
        <v>negativer Bestand (Export -1); Kein Verbrauch; </v>
      </c>
      <c r="BH875" s="55"/>
      <c r="BI875" s="55"/>
      <c r="BJ875" s="62"/>
      <c r="BK875" s="57" t="n">
        <v>-1</v>
      </c>
      <c r="BL875" s="57" t="n">
        <v>15</v>
      </c>
      <c r="BM875" s="56" t="n">
        <v>-24.52</v>
      </c>
      <c r="BN875" s="57" t="n">
        <v>0</v>
      </c>
      <c r="BO875" s="55"/>
      <c r="BP875" s="60" t="n">
        <v>0</v>
      </c>
      <c r="BQ875" s="60" t="n">
        <v>875</v>
      </c>
      <c r="BR875" s="55" t="str">
        <f aca="false">IF(U875&lt;&gt;"",UPPER(TRIM(U875)),IF(BU875=1,UPPER(VLOOKUP(T875,Parameter!$I$27:$K$29,2,0)),IF(P875="","LOSE",P875)))</f>
        <v>S32</v>
      </c>
      <c r="BS875" s="57" t="n">
        <f aca="false">IF(BR875="LOSE",1,IF(N(V875)&gt;0,V875,IF(BU875=1,MAX(1,N(VLOOKUP(T875,Parameter!$I$27:$K$29,3,0)),H875,N(N875)),IF(N(Q875)&gt;0,Q875,MAX(1,H875)))))</f>
        <v>15</v>
      </c>
      <c r="BT875" s="60" t="n">
        <f aca="false">IF(BR875="LOSE",1,0)</f>
        <v>0</v>
      </c>
      <c r="BU875" s="60" t="n">
        <f aca="false">IF(AND(U875="",OR(P875="",P875="LOSE"),T875&lt;&gt;"",N(S875)&lt;=0,ISNUMBER(MATCH(T875,Parameter!$I$27:$I$29,0))),1,0)</f>
        <v>0</v>
      </c>
      <c r="BV875" s="55" t="str">
        <f aca="false">IF(AND(Parameter!$B$19="Ja",E875&lt;&gt;"",ISNUMBER(MATCH(E875,Parameter!$I$35:$I$52,0))),VLOOKUP(E875,Parameter!$I$35:$J$52,2,0),IFERROR(VLOOKUP(D875,Parameter!$A$35:$C$64,2,0),"Nein"))</f>
        <v>2+3</v>
      </c>
      <c r="BW875" s="59" t="n">
        <f aca="false">IF(BT875=0,0,IF(N(S875)&gt;0,S875,IFERROR(VLOOKUP(D875,Parameter!$A$35:$C$64,3,0)+0,0)))</f>
        <v>0</v>
      </c>
      <c r="BX875" s="55" t="n">
        <f aca="false">IF(AA875&lt;&gt;"",AA875,Z875)</f>
        <v>3</v>
      </c>
      <c r="BY875" s="55" t="str">
        <f aca="false">IF(BX875=1,"L1",IF(OR(BX875=2,BX875=3),"L23",IF(BX875="Aussen","Aussen","-")))</f>
        <v>L23</v>
      </c>
      <c r="BZ875" s="66" t="n">
        <f aca="false">IF(N(AB875)&gt;0,AB875,0)</f>
        <v>0</v>
      </c>
      <c r="CA875" s="60" t="n">
        <f aca="false">IF(ISNUMBER(AE875),1,0)</f>
        <v>0</v>
      </c>
      <c r="CB875" s="57" t="n">
        <f aca="false">N(AE875)</f>
        <v>0</v>
      </c>
      <c r="CC875" s="57" t="n">
        <f aca="false">N(M875)+N(N875)</f>
        <v>1</v>
      </c>
      <c r="CD875" s="57" t="n">
        <f aca="false">ROUNDUP(H875/BS875,0)</f>
        <v>1</v>
      </c>
      <c r="CE875" s="57" t="n">
        <f aca="false">ROUNDUP(CB875/BS875,0)</f>
        <v>0</v>
      </c>
      <c r="CF875" s="60" t="n">
        <f aca="false">IF(BT875=1,0,IFERROR(VLOOKUP(BR875,'Gebinde-Kategorie'!$A$5:$M$45,5,0)+0,0))</f>
        <v>8</v>
      </c>
      <c r="CG875" s="60" t="n">
        <f aca="false">IFERROR(IF(OR(BX875=1,BX875=2,BX875=3),N(INDEX(Parameter!$I$5:$I$7,BX875)),0),0)</f>
        <v>0</v>
      </c>
      <c r="CH875" s="59" t="n">
        <f aca="false">IF(AND(Parameter!$B$21="Ja",ISNUMBER(W875),N(X875)&gt;0),IFERROR(N(INDEX(Parameter!$L$5:$L$7,W875))*INDEX(Parameter!$E$5:$E$7,W875)*X875/SUMIFS($X$7:$X$1843,$W$7:$W$1843,W875),0),0)</f>
        <v>0</v>
      </c>
    </row>
    <row r="876" customFormat="false" ht="15" hidden="false" customHeight="false" outlineLevel="0" collapsed="false">
      <c r="A876" s="55" t="s">
        <v>1660</v>
      </c>
      <c r="B876" s="55" t="s">
        <v>1165</v>
      </c>
      <c r="C876" s="55" t="s">
        <v>164</v>
      </c>
      <c r="D876" s="55" t="s">
        <v>184</v>
      </c>
      <c r="E876" s="55" t="s">
        <v>185</v>
      </c>
      <c r="F876" s="55" t="s">
        <v>218</v>
      </c>
      <c r="G876" s="56" t="n">
        <v>9.35</v>
      </c>
      <c r="H876" s="57" t="n">
        <f aca="false">MAX(0,IF(AND(Parameter!$B$21="Ja",ISNUMBER(Y876)),Y876,IF(Parameter!$B$20="Jahresanfang 2025 + Export",BL876+BK876,BK876)))</f>
        <v>3</v>
      </c>
      <c r="I876" s="57" t="n">
        <f aca="false">H876*G876</f>
        <v>28.05</v>
      </c>
      <c r="J876" s="57" t="n">
        <f aca="false">BN876*Parameter!$B$18</f>
        <v>6</v>
      </c>
      <c r="K876" s="58" t="n">
        <v>4.5</v>
      </c>
      <c r="L876" s="59" t="n">
        <v>1.33333333333333</v>
      </c>
      <c r="M876" s="57" t="n">
        <v>0</v>
      </c>
      <c r="N876" s="57" t="n">
        <v>5</v>
      </c>
      <c r="O876" s="60" t="n">
        <v>18</v>
      </c>
      <c r="P876" s="55" t="s">
        <v>421</v>
      </c>
      <c r="Q876" s="57" t="n">
        <v>8</v>
      </c>
      <c r="R876" s="60" t="n">
        <f aca="false">IF(BT876=1,0,IFERROR(VLOOKUP(BR876,'Gebinde-Kategorie'!$A$5:$M$45,13,0)+0,0))</f>
        <v>132</v>
      </c>
      <c r="S876" s="61"/>
      <c r="T876" s="62"/>
      <c r="U876" s="62"/>
      <c r="V876" s="62"/>
      <c r="W876" s="55"/>
      <c r="X876" s="57"/>
      <c r="Y876" s="57"/>
      <c r="Z876" s="55" t="n">
        <f aca="false">IF(A876="","",IF(AND(Parameter!$B$21="Ja",ISNUMBER(W876)),W876,IF(BV876="2+3",IF(ISNUMBER(SEARCH("grosser Artikel",BO876)),2,IFERROR(VLOOKUP(BR876,Parameter!$F$35:$G$64,2,0),2)),IF(OR(BV876="Nein",BV876=""),"-",BV876))))</f>
        <v>3</v>
      </c>
      <c r="AA876" s="62"/>
      <c r="AB876" s="63"/>
      <c r="AC876" s="57" t="n">
        <f aca="false">AR876</f>
        <v>8</v>
      </c>
      <c r="AD876" s="57" t="n">
        <f aca="false">MAX(AR876,H876)</f>
        <v>8</v>
      </c>
      <c r="AE876" s="64"/>
      <c r="AF876" s="57" t="n">
        <f aca="false">IF(LEFT(Cockpit!$C$5,1)="A",H876,IF(CA876=1,CB876,IF(LEFT(Cockpit!$C$5,1)="B",AJ876,MAX(AJ876,H876))))</f>
        <v>3</v>
      </c>
      <c r="AG876" s="57" t="n">
        <f aca="false">IF(BT876=1,0,ROUNDUP(AF876/BS876,0))</f>
        <v>1</v>
      </c>
      <c r="AH876" s="59" t="n">
        <f aca="false">IF(CH876&gt;0,CH876*MAX(1,AF876/X876),IF(BT876=1,IF(AF876&lt;=0,0,BW876*MAX(1,IF(H876&gt;0,AF876/H876,1))),IF(R876&gt;0,AG876/R876,0))/MAX(0.1,N(Parameter!$M$21)))</f>
        <v>0.00757575757575758</v>
      </c>
      <c r="AI876" s="57" t="n">
        <f aca="false">AF876*G876</f>
        <v>28.05</v>
      </c>
      <c r="AJ876" s="57" t="n">
        <f aca="false">ROUNDUP(MAX(J876/IF(BZ876&gt;0,BZ876,MAX(0.1,N(Cockpit!$C$6))),CC876)/BS876,0)*BS876</f>
        <v>8</v>
      </c>
      <c r="AK876" s="58" t="n">
        <f aca="false">IF(AH876&gt;0,J876/AH876,-1)</f>
        <v>792</v>
      </c>
      <c r="AL876" s="58" t="n">
        <f aca="false">IF(AND(OR(BY876="L1",BY876="L23"),AH876&gt;0),SUMIFS($AH$7:$AH$1843,$BY$7:$BY$1843,BY876,$AK$7:$AK$1843,"&gt;"&amp;AK876)+SUMIFS($AH$7:$AH$1843,$BY$7:$BY$1843,BY876,$AK$7:$AK$1843,AK876,$BQ$7:$BQ$1843,"&lt;="&amp;BQ876),"")</f>
        <v>20.8280885780886</v>
      </c>
      <c r="AM876" s="65" t="n">
        <f aca="false">IF(AL876="",0,MAX(0,MIN(1,(IF(BY876="L1",Parameter!$E$5,Parameter!$E$6+Parameter!$E$7)-(AL876-AH876))/AH876)))</f>
        <v>1</v>
      </c>
      <c r="AN876" s="57" t="n">
        <f aca="false">IF(LEFT(Cockpit!$I$5,1)="A",H876,IF(CA876=1,CB876,IF(LEFT(Cockpit!$I$5,1)="B",AR876,MAX(AR876,H876))))</f>
        <v>8</v>
      </c>
      <c r="AO876" s="57" t="n">
        <f aca="false">IF(BT876=1,0,ROUNDUP(AN876/BS876,0))</f>
        <v>1</v>
      </c>
      <c r="AP876" s="59" t="n">
        <f aca="false">IF(CH876&gt;0,CH876*MAX(1,AN876/X876),IF(BT876=1,IF(AN876&lt;=0,0,BW876*MAX(1,IF(H876&gt;0,AN876/H876,1))),IF(R876&gt;0,AO876/R876,0))/MAX(0.1,N(Parameter!$M$21)))</f>
        <v>0.00757575757575758</v>
      </c>
      <c r="AQ876" s="57" t="n">
        <f aca="false">AN876*G876</f>
        <v>74.8</v>
      </c>
      <c r="AR876" s="57" t="n">
        <f aca="false">ROUNDUP(MAX(J876/IF(BZ876&gt;0,BZ876,MAX(0.1,N(Cockpit!$I$6))),CC876)/BS876,0)*BS876</f>
        <v>8</v>
      </c>
      <c r="AS876" s="58" t="n">
        <f aca="false">IF(AP876&gt;0,J876/AP876,-1)</f>
        <v>792</v>
      </c>
      <c r="AT876" s="58" t="n">
        <f aca="false">IF(AND(OR(BY876="L1",BY876="L23"),AP876&gt;0),SUMIFS($AP$7:$AP$1843,$BY$7:$BY$1843,BY876,$AS$7:$AS$1843,"&gt;"&amp;AS876)+SUMIFS($AP$7:$AP$1843,$BY$7:$BY$1843,BY876,$AS$7:$AS$1843,AS876,$BQ$7:$BQ$1843,"&lt;="&amp;BQ876),"")</f>
        <v>26.5728353771832</v>
      </c>
      <c r="AU876" s="65" t="n">
        <f aca="false">IF(AT876="",0,MAX(0,MIN(1,(IF(BY876="L1",Parameter!$E$5,Parameter!$E$6+Parameter!$E$7)-(AT876-AP876))/AP876)))</f>
        <v>1</v>
      </c>
      <c r="AV876" s="57" t="n">
        <f aca="false">IF(LEFT(Cockpit!$O$5,1)="A",H876,IF(CA876=1,CB876,IF(LEFT(Cockpit!$O$5,1)="B",AZ876,MAX(AZ876,H876))))</f>
        <v>8</v>
      </c>
      <c r="AW876" s="57" t="n">
        <f aca="false">IF(BT876=1,0,ROUNDUP(AV876/BS876,0))</f>
        <v>1</v>
      </c>
      <c r="AX876" s="59" t="n">
        <f aca="false">IF(CH876&gt;0,CH876*MAX(1,AV876/X876),IF(BT876=1,IF(AV876&lt;=0,0,BW876*MAX(1,IF(H876&gt;0,AV876/H876,1))),IF(R876&gt;0,AW876/R876,0))/MAX(0.1,N(Parameter!$M$21)))</f>
        <v>0.00757575757575758</v>
      </c>
      <c r="AY876" s="57" t="n">
        <f aca="false">AV876*G876</f>
        <v>74.8</v>
      </c>
      <c r="AZ876" s="57" t="n">
        <f aca="false">ROUNDUP(MAX(J876/IF(BZ876&gt;0,BZ876,MAX(0.1,N(Cockpit!$O$6))),CC876)/BS876,0)*BS876</f>
        <v>8</v>
      </c>
      <c r="BA876" s="58" t="n">
        <f aca="false">IF(AX876&gt;0,J876/AX876,-1)</f>
        <v>792</v>
      </c>
      <c r="BB876" s="58" t="n">
        <f aca="false">IF(AND(OR(BY876="L1",BY876="L23"),AX876&gt;0),SUMIFS($AX$7:$AX$1843,$BY$7:$BY$1843,BY876,$BA$7:$BA$1843,"&gt;"&amp;BA876)+SUMIFS($AX$7:$AX$1843,$BY$7:$BY$1843,BY876,$BA$7:$BA$1843,BA876,$BQ$7:$BQ$1843,"&lt;="&amp;BQ876),"")</f>
        <v>26.0244670788149</v>
      </c>
      <c r="BC876" s="65" t="n">
        <f aca="false">IF(BB876="",0,MAX(0,MIN(1,(IF(BY876="L1",Parameter!$E$5,Parameter!$E$6+Parameter!$E$7)-(BB876-AX876))/AX876)))</f>
        <v>1</v>
      </c>
      <c r="BD876" s="55" t="str">
        <f aca="false">IF(AH876&lt;=0,"",IF(BY876="Aussen","Aussenlager",IF(BY876="-","Nicht im Lift",IF(AM876&gt;=1,"Lift",IF(AM876&lt;=0,"Aussenlager","teilweise")))))</f>
        <v>Lift</v>
      </c>
      <c r="BE876" s="55" t="str">
        <f aca="false">IF(AP876&lt;=0,"",IF(BY876="Aussen","Aussenlager",IF(BY876="-","Nicht im Lift",IF(AU876&gt;=1,"Lift",IF(AU876&lt;=0,"Aussenlager","teilweise")))))</f>
        <v>Lift</v>
      </c>
      <c r="BF876" s="55" t="str">
        <f aca="false">IF(AX876&lt;=0,"",IF(BY876="Aussen","Aussenlager",IF(BY876="-","Nicht im Lift",IF(BC876&gt;=1,"Lift",IF(BC876&lt;=0,"Aussenlager","teilweise")))))</f>
        <v>Lift</v>
      </c>
      <c r="BG876" s="55" t="str">
        <f aca="false">IF(A876="","",IF(BP876=1,"Neu; ","")&amp;IF(AND(BP876=0,BK876&lt;0),"negativer Bestand (Export "&amp;BK876&amp;"); ","")&amp;IF(J876&lt;=0,"Kein Verbrauch; ","")&amp;IF(CH876&gt;0,"Lift "&amp;W876&amp;" lt. Liftbericht (Fach "&amp;X876&amp;" Stk); ",IF(BU876=1,"Gebinde geschätzt ("&amp;T876&amp;"); ",IF(BT876=1,"Lose – Tablare geschätzt; ","")))&amp;IF(H876&gt;AR876,"Überbestand "&amp;ROUND(H876-AR876,0)&amp;" Stk / CHF "&amp;ROUND((H876-AR876)*G876,0)&amp;"; ","")&amp;IF(AND(CA876=1,CB876&lt;CC876),"MAX &lt; MB+LG; ","")&amp;IF(AND(CG876&gt;0,CF876*10&gt;CG876),"zu hoch für Tablar; ","")&amp;IF(AND(BP876=0,OR(CA876=1,AA876&lt;&gt;"",U876&lt;&gt;"",V876&lt;&gt;"",AB876&lt;&gt;"")),"manuell übersteuert; ","")&amp;IF(AND(BT876=0,R876=0),"Gebinde unbekannt / Stellmass fehlt; ","")&amp;IF(AND(BT876=0,N(V876)&lt;=0,N(Q876)&lt;=0),"Menge pro Gebinde fehlt (Ist = 1 Gebinde); ","")&amp;BO876)</f>
        <v>negativer Bestand (Export -3); </v>
      </c>
      <c r="BH876" s="55"/>
      <c r="BI876" s="55"/>
      <c r="BJ876" s="62"/>
      <c r="BK876" s="57" t="n">
        <v>-3</v>
      </c>
      <c r="BL876" s="57" t="n">
        <v>6</v>
      </c>
      <c r="BM876" s="56" t="n">
        <v>-24.63</v>
      </c>
      <c r="BN876" s="57" t="n">
        <v>6</v>
      </c>
      <c r="BO876" s="55"/>
      <c r="BP876" s="60" t="n">
        <v>0</v>
      </c>
      <c r="BQ876" s="60" t="n">
        <v>876</v>
      </c>
      <c r="BR876" s="55" t="str">
        <f aca="false">IF(U876&lt;&gt;"",UPPER(TRIM(U876)),IF(BU876=1,UPPER(VLOOKUP(T876,Parameter!$I$27:$K$29,2,0)),IF(P876="","LOSE",P876)))</f>
        <v>S32</v>
      </c>
      <c r="BS876" s="57" t="n">
        <f aca="false">IF(BR876="LOSE",1,IF(N(V876)&gt;0,V876,IF(BU876=1,MAX(1,N(VLOOKUP(T876,Parameter!$I$27:$K$29,3,0)),H876,N(N876)),IF(N(Q876)&gt;0,Q876,MAX(1,H876)))))</f>
        <v>8</v>
      </c>
      <c r="BT876" s="60" t="n">
        <f aca="false">IF(BR876="LOSE",1,0)</f>
        <v>0</v>
      </c>
      <c r="BU876" s="60" t="n">
        <f aca="false">IF(AND(U876="",OR(P876="",P876="LOSE"),T876&lt;&gt;"",N(S876)&lt;=0,ISNUMBER(MATCH(T876,Parameter!$I$27:$I$29,0))),1,0)</f>
        <v>0</v>
      </c>
      <c r="BV876" s="55" t="str">
        <f aca="false">IF(AND(Parameter!$B$19="Ja",E876&lt;&gt;"",ISNUMBER(MATCH(E876,Parameter!$I$35:$I$52,0))),VLOOKUP(E876,Parameter!$I$35:$J$52,2,0),IFERROR(VLOOKUP(D876,Parameter!$A$35:$C$64,2,0),"Nein"))</f>
        <v>2+3</v>
      </c>
      <c r="BW876" s="59" t="n">
        <f aca="false">IF(BT876=0,0,IF(N(S876)&gt;0,S876,IFERROR(VLOOKUP(D876,Parameter!$A$35:$C$64,3,0)+0,0)))</f>
        <v>0</v>
      </c>
      <c r="BX876" s="55" t="n">
        <f aca="false">IF(AA876&lt;&gt;"",AA876,Z876)</f>
        <v>3</v>
      </c>
      <c r="BY876" s="55" t="str">
        <f aca="false">IF(BX876=1,"L1",IF(OR(BX876=2,BX876=3),"L23",IF(BX876="Aussen","Aussen","-")))</f>
        <v>L23</v>
      </c>
      <c r="BZ876" s="66" t="n">
        <f aca="false">IF(N(AB876)&gt;0,AB876,0)</f>
        <v>0</v>
      </c>
      <c r="CA876" s="60" t="n">
        <f aca="false">IF(ISNUMBER(AE876),1,0)</f>
        <v>0</v>
      </c>
      <c r="CB876" s="57" t="n">
        <f aca="false">N(AE876)</f>
        <v>0</v>
      </c>
      <c r="CC876" s="57" t="n">
        <f aca="false">N(M876)+N(N876)</f>
        <v>5</v>
      </c>
      <c r="CD876" s="57" t="n">
        <f aca="false">ROUNDUP(H876/BS876,0)</f>
        <v>1</v>
      </c>
      <c r="CE876" s="57" t="n">
        <f aca="false">ROUNDUP(CB876/BS876,0)</f>
        <v>0</v>
      </c>
      <c r="CF876" s="60" t="n">
        <f aca="false">IF(BT876=1,0,IFERROR(VLOOKUP(BR876,'Gebinde-Kategorie'!$A$5:$M$45,5,0)+0,0))</f>
        <v>8</v>
      </c>
      <c r="CG876" s="60" t="n">
        <f aca="false">IFERROR(IF(OR(BX876=1,BX876=2,BX876=3),N(INDEX(Parameter!$I$5:$I$7,BX876)),0),0)</f>
        <v>0</v>
      </c>
      <c r="CH876" s="59" t="n">
        <f aca="false">IF(AND(Parameter!$B$21="Ja",ISNUMBER(W876),N(X876)&gt;0),IFERROR(N(INDEX(Parameter!$L$5:$L$7,W876))*INDEX(Parameter!$E$5:$E$7,W876)*X876/SUMIFS($X$7:$X$1843,$W$7:$W$1843,W876),0),0)</f>
        <v>0</v>
      </c>
    </row>
    <row r="877" customFormat="false" ht="15" hidden="false" customHeight="false" outlineLevel="0" collapsed="false">
      <c r="A877" s="55" t="s">
        <v>1661</v>
      </c>
      <c r="B877" s="55" t="s">
        <v>1022</v>
      </c>
      <c r="C877" s="55" t="s">
        <v>164</v>
      </c>
      <c r="D877" s="55" t="s">
        <v>184</v>
      </c>
      <c r="E877" s="55" t="s">
        <v>185</v>
      </c>
      <c r="F877" s="55" t="s">
        <v>218</v>
      </c>
      <c r="G877" s="56" t="n">
        <v>0.56</v>
      </c>
      <c r="H877" s="57" t="n">
        <f aca="false">MAX(0,IF(AND(Parameter!$B$21="Ja",ISNUMBER(Y877)),Y877,IF(Parameter!$B$20="Jahresanfang 2025 + Export",BL877+BK877,BK877)))</f>
        <v>437</v>
      </c>
      <c r="I877" s="57" t="n">
        <f aca="false">H877*G877</f>
        <v>244.72</v>
      </c>
      <c r="J877" s="57" t="n">
        <f aca="false">BN877*Parameter!$B$18</f>
        <v>28</v>
      </c>
      <c r="K877" s="58" t="n">
        <v>466</v>
      </c>
      <c r="L877" s="59" t="n">
        <v>0.0600858369098712</v>
      </c>
      <c r="M877" s="57" t="n">
        <v>1</v>
      </c>
      <c r="N877" s="57" t="n">
        <v>30</v>
      </c>
      <c r="O877" s="60" t="n">
        <v>21</v>
      </c>
      <c r="P877" s="55" t="s">
        <v>302</v>
      </c>
      <c r="Q877" s="57" t="n">
        <v>471</v>
      </c>
      <c r="R877" s="60" t="n">
        <f aca="false">IF(BT877=1,0,IFERROR(VLOOKUP(BR877,'Gebinde-Kategorie'!$A$5:$M$45,13,0)+0,0))</f>
        <v>26</v>
      </c>
      <c r="S877" s="61"/>
      <c r="T877" s="62"/>
      <c r="U877" s="62"/>
      <c r="V877" s="62"/>
      <c r="W877" s="55"/>
      <c r="X877" s="57"/>
      <c r="Y877" s="57"/>
      <c r="Z877" s="55" t="n">
        <f aca="false">IF(A877="","",IF(AND(Parameter!$B$21="Ja",ISNUMBER(W877)),W877,IF(BV877="2+3",IF(ISNUMBER(SEARCH("grosser Artikel",BO877)),2,IFERROR(VLOOKUP(BR877,Parameter!$F$35:$G$64,2,0),2)),IF(OR(BV877="Nein",BV877=""),"-",BV877))))</f>
        <v>3</v>
      </c>
      <c r="AA877" s="62"/>
      <c r="AB877" s="63"/>
      <c r="AC877" s="57" t="n">
        <f aca="false">AR877</f>
        <v>471</v>
      </c>
      <c r="AD877" s="57" t="n">
        <f aca="false">MAX(AR877,H877)</f>
        <v>471</v>
      </c>
      <c r="AE877" s="64"/>
      <c r="AF877" s="57" t="n">
        <f aca="false">IF(LEFT(Cockpit!$C$5,1)="A",H877,IF(CA877=1,CB877,IF(LEFT(Cockpit!$C$5,1)="B",AJ877,MAX(AJ877,H877))))</f>
        <v>437</v>
      </c>
      <c r="AG877" s="57" t="n">
        <f aca="false">IF(BT877=1,0,ROUNDUP(AF877/BS877,0))</f>
        <v>1</v>
      </c>
      <c r="AH877" s="59" t="n">
        <f aca="false">IF(CH877&gt;0,CH877*MAX(1,AF877/X877),IF(BT877=1,IF(AF877&lt;=0,0,BW877*MAX(1,IF(H877&gt;0,AF877/H877,1))),IF(R877&gt;0,AG877/R877,0))/MAX(0.1,N(Parameter!$M$21)))</f>
        <v>0.0384615384615385</v>
      </c>
      <c r="AI877" s="57" t="n">
        <f aca="false">AF877*G877</f>
        <v>244.72</v>
      </c>
      <c r="AJ877" s="57" t="n">
        <f aca="false">ROUNDUP(MAX(J877/IF(BZ877&gt;0,BZ877,MAX(0.1,N(Cockpit!$C$6))),CC877)/BS877,0)*BS877</f>
        <v>471</v>
      </c>
      <c r="AK877" s="58" t="n">
        <f aca="false">IF(AH877&gt;0,J877/AH877,-1)</f>
        <v>728</v>
      </c>
      <c r="AL877" s="58" t="n">
        <f aca="false">IF(AND(OR(BY877="L1",BY877="L23"),AH877&gt;0),SUMIFS($AH$7:$AH$1843,$BY$7:$BY$1843,BY877,$AK$7:$AK$1843,"&gt;"&amp;AK877)+SUMIFS($AH$7:$AH$1843,$BY$7:$BY$1843,BY877,$AK$7:$AK$1843,AK877,$BQ$7:$BQ$1843,"&lt;="&amp;BQ877),"")</f>
        <v>21.5083527583528</v>
      </c>
      <c r="AM877" s="65" t="n">
        <f aca="false">IF(AL877="",0,MAX(0,MIN(1,(IF(BY877="L1",Parameter!$E$5,Parameter!$E$6+Parameter!$E$7)-(AL877-AH877))/AH877)))</f>
        <v>1</v>
      </c>
      <c r="AN877" s="57" t="n">
        <f aca="false">IF(LEFT(Cockpit!$I$5,1)="A",H877,IF(CA877=1,CB877,IF(LEFT(Cockpit!$I$5,1)="B",AR877,MAX(AR877,H877))))</f>
        <v>471</v>
      </c>
      <c r="AO877" s="57" t="n">
        <f aca="false">IF(BT877=1,0,ROUNDUP(AN877/BS877,0))</f>
        <v>1</v>
      </c>
      <c r="AP877" s="59" t="n">
        <f aca="false">IF(CH877&gt;0,CH877*MAX(1,AN877/X877),IF(BT877=1,IF(AN877&lt;=0,0,BW877*MAX(1,IF(H877&gt;0,AN877/H877,1))),IF(R877&gt;0,AO877/R877,0))/MAX(0.1,N(Parameter!$M$21)))</f>
        <v>0.0384615384615385</v>
      </c>
      <c r="AQ877" s="57" t="n">
        <f aca="false">AN877*G877</f>
        <v>263.76</v>
      </c>
      <c r="AR877" s="57" t="n">
        <f aca="false">ROUNDUP(MAX(J877/IF(BZ877&gt;0,BZ877,MAX(0.1,N(Cockpit!$I$6))),CC877)/BS877,0)*BS877</f>
        <v>471</v>
      </c>
      <c r="AS877" s="58" t="n">
        <f aca="false">IF(AP877&gt;0,J877/AP877,-1)</f>
        <v>728</v>
      </c>
      <c r="AT877" s="58" t="n">
        <f aca="false">IF(AND(OR(BY877="L1",BY877="L23"),AP877&gt;0),SUMIFS($AP$7:$AP$1843,$BY$7:$BY$1843,BY877,$AS$7:$AS$1843,"&gt;"&amp;AS877)+SUMIFS($AP$7:$AP$1843,$BY$7:$BY$1843,BY877,$AS$7:$AS$1843,AS877,$BQ$7:$BQ$1843,"&lt;="&amp;BQ877),"")</f>
        <v>27.81720212155</v>
      </c>
      <c r="AU877" s="65" t="n">
        <f aca="false">IF(AT877="",0,MAX(0,MIN(1,(IF(BY877="L1",Parameter!$E$5,Parameter!$E$6+Parameter!$E$7)-(AT877-AP877))/AP877)))</f>
        <v>1</v>
      </c>
      <c r="AV877" s="57" t="n">
        <f aca="false">IF(LEFT(Cockpit!$O$5,1)="A",H877,IF(CA877=1,CB877,IF(LEFT(Cockpit!$O$5,1)="B",AZ877,MAX(AZ877,H877))))</f>
        <v>471</v>
      </c>
      <c r="AW877" s="57" t="n">
        <f aca="false">IF(BT877=1,0,ROUNDUP(AV877/BS877,0))</f>
        <v>1</v>
      </c>
      <c r="AX877" s="59" t="n">
        <f aca="false">IF(CH877&gt;0,CH877*MAX(1,AV877/X877),IF(BT877=1,IF(AV877&lt;=0,0,BW877*MAX(1,IF(H877&gt;0,AV877/H877,1))),IF(R877&gt;0,AW877/R877,0))/MAX(0.1,N(Parameter!$M$21)))</f>
        <v>0.0384615384615385</v>
      </c>
      <c r="AY877" s="57" t="n">
        <f aca="false">AV877*G877</f>
        <v>263.76</v>
      </c>
      <c r="AZ877" s="57" t="n">
        <f aca="false">ROUNDUP(MAX(J877/IF(BZ877&gt;0,BZ877,MAX(0.1,N(Cockpit!$O$6))),CC877)/BS877,0)*BS877</f>
        <v>471</v>
      </c>
      <c r="BA877" s="58" t="n">
        <f aca="false">IF(AX877&gt;0,J877/AX877,-1)</f>
        <v>728</v>
      </c>
      <c r="BB877" s="58" t="n">
        <f aca="false">IF(AND(OR(BY877="L1",BY877="L23"),AX877&gt;0),SUMIFS($AX$7:$AX$1843,$BY$7:$BY$1843,BY877,$BA$7:$BA$1843,"&gt;"&amp;BA877)+SUMIFS($AX$7:$AX$1843,$BY$7:$BY$1843,BY877,$BA$7:$BA$1843,BA877,$BQ$7:$BQ$1843,"&lt;="&amp;BQ877),"")</f>
        <v>27.602167156515</v>
      </c>
      <c r="BC877" s="65" t="n">
        <f aca="false">IF(BB877="",0,MAX(0,MIN(1,(IF(BY877="L1",Parameter!$E$5,Parameter!$E$6+Parameter!$E$7)-(BB877-AX877))/AX877)))</f>
        <v>1</v>
      </c>
      <c r="BD877" s="55" t="str">
        <f aca="false">IF(AH877&lt;=0,"",IF(BY877="Aussen","Aussenlager",IF(BY877="-","Nicht im Lift",IF(AM877&gt;=1,"Lift",IF(AM877&lt;=0,"Aussenlager","teilweise")))))</f>
        <v>Lift</v>
      </c>
      <c r="BE877" s="55" t="str">
        <f aca="false">IF(AP877&lt;=0,"",IF(BY877="Aussen","Aussenlager",IF(BY877="-","Nicht im Lift",IF(AU877&gt;=1,"Lift",IF(AU877&lt;=0,"Aussenlager","teilweise")))))</f>
        <v>Lift</v>
      </c>
      <c r="BF877" s="55" t="str">
        <f aca="false">IF(AX877&lt;=0,"",IF(BY877="Aussen","Aussenlager",IF(BY877="-","Nicht im Lift",IF(BC877&gt;=1,"Lift",IF(BC877&lt;=0,"Aussenlager","teilweise")))))</f>
        <v>Lift</v>
      </c>
      <c r="BG877" s="55" t="str">
        <f aca="false">IF(A877="","",IF(BP877=1,"Neu; ","")&amp;IF(AND(BP877=0,BK877&lt;0),"negativer Bestand (Export "&amp;BK877&amp;"); ","")&amp;IF(J877&lt;=0,"Kein Verbrauch; ","")&amp;IF(CH877&gt;0,"Lift "&amp;W877&amp;" lt. Liftbericht (Fach "&amp;X877&amp;" Stk); ",IF(BU877=1,"Gebinde geschätzt ("&amp;T877&amp;"); ",IF(BT877=1,"Lose – Tablare geschätzt; ","")))&amp;IF(H877&gt;AR877,"Überbestand "&amp;ROUND(H877-AR877,0)&amp;" Stk / CHF "&amp;ROUND((H877-AR877)*G877,0)&amp;"; ","")&amp;IF(AND(CA877=1,CB877&lt;CC877),"MAX &lt; MB+LG; ","")&amp;IF(AND(CG877&gt;0,CF877*10&gt;CG877),"zu hoch für Tablar; ","")&amp;IF(AND(BP877=0,OR(CA877=1,AA877&lt;&gt;"",U877&lt;&gt;"",V877&lt;&gt;"",AB877&lt;&gt;"")),"manuell übersteuert; ","")&amp;IF(AND(BT877=0,R877=0),"Gebinde unbekannt / Stellmass fehlt; ","")&amp;IF(AND(BT877=0,N(V877)&lt;=0,N(Q877)&lt;=0),"Menge pro Gebinde fehlt (Ist = 1 Gebinde); ","")&amp;BO877)</f>
        <v>negativer Bestand (Export -44); Überbestand</v>
      </c>
      <c r="BH877" s="55"/>
      <c r="BI877" s="55"/>
      <c r="BJ877" s="62"/>
      <c r="BK877" s="57" t="n">
        <v>-44</v>
      </c>
      <c r="BL877" s="57" t="n">
        <v>481</v>
      </c>
      <c r="BM877" s="56" t="n">
        <v>-24.64</v>
      </c>
      <c r="BN877" s="57" t="n">
        <v>28</v>
      </c>
      <c r="BO877" s="55" t="s">
        <v>392</v>
      </c>
      <c r="BP877" s="60" t="n">
        <v>0</v>
      </c>
      <c r="BQ877" s="60" t="n">
        <v>877</v>
      </c>
      <c r="BR877" s="55" t="str">
        <f aca="false">IF(U877&lt;&gt;"",UPPER(TRIM(U877)),IF(BU877=1,UPPER(VLOOKUP(T877,Parameter!$I$27:$K$29,2,0)),IF(P877="","LOSE",P877)))</f>
        <v>S51</v>
      </c>
      <c r="BS877" s="57" t="n">
        <f aca="false">IF(BR877="LOSE",1,IF(N(V877)&gt;0,V877,IF(BU877=1,MAX(1,N(VLOOKUP(T877,Parameter!$I$27:$K$29,3,0)),H877,N(N877)),IF(N(Q877)&gt;0,Q877,MAX(1,H877)))))</f>
        <v>471</v>
      </c>
      <c r="BT877" s="60" t="n">
        <f aca="false">IF(BR877="LOSE",1,0)</f>
        <v>0</v>
      </c>
      <c r="BU877" s="60" t="n">
        <f aca="false">IF(AND(U877="",OR(P877="",P877="LOSE"),T877&lt;&gt;"",N(S877)&lt;=0,ISNUMBER(MATCH(T877,Parameter!$I$27:$I$29,0))),1,0)</f>
        <v>0</v>
      </c>
      <c r="BV877" s="55" t="str">
        <f aca="false">IF(AND(Parameter!$B$19="Ja",E877&lt;&gt;"",ISNUMBER(MATCH(E877,Parameter!$I$35:$I$52,0))),VLOOKUP(E877,Parameter!$I$35:$J$52,2,0),IFERROR(VLOOKUP(D877,Parameter!$A$35:$C$64,2,0),"Nein"))</f>
        <v>2+3</v>
      </c>
      <c r="BW877" s="59" t="n">
        <f aca="false">IF(BT877=0,0,IF(N(S877)&gt;0,S877,IFERROR(VLOOKUP(D877,Parameter!$A$35:$C$64,3,0)+0,0)))</f>
        <v>0</v>
      </c>
      <c r="BX877" s="55" t="n">
        <f aca="false">IF(AA877&lt;&gt;"",AA877,Z877)</f>
        <v>3</v>
      </c>
      <c r="BY877" s="55" t="str">
        <f aca="false">IF(BX877=1,"L1",IF(OR(BX877=2,BX877=3),"L23",IF(BX877="Aussen","Aussen","-")))</f>
        <v>L23</v>
      </c>
      <c r="BZ877" s="66" t="n">
        <f aca="false">IF(N(AB877)&gt;0,AB877,0)</f>
        <v>0</v>
      </c>
      <c r="CA877" s="60" t="n">
        <f aca="false">IF(ISNUMBER(AE877),1,0)</f>
        <v>0</v>
      </c>
      <c r="CB877" s="57" t="n">
        <f aca="false">N(AE877)</f>
        <v>0</v>
      </c>
      <c r="CC877" s="57" t="n">
        <f aca="false">N(M877)+N(N877)</f>
        <v>31</v>
      </c>
      <c r="CD877" s="57" t="n">
        <f aca="false">ROUNDUP(H877/BS877,0)</f>
        <v>1</v>
      </c>
      <c r="CE877" s="57" t="n">
        <f aca="false">ROUNDUP(CB877/BS877,0)</f>
        <v>0</v>
      </c>
      <c r="CF877" s="60" t="n">
        <f aca="false">IF(BT877=1,0,IFERROR(VLOOKUP(BR877,'Gebinde-Kategorie'!$A$5:$M$45,5,0)+0,0))</f>
        <v>11</v>
      </c>
      <c r="CG877" s="60" t="n">
        <f aca="false">IFERROR(IF(OR(BX877=1,BX877=2,BX877=3),N(INDEX(Parameter!$I$5:$I$7,BX877)),0),0)</f>
        <v>0</v>
      </c>
      <c r="CH877" s="59" t="n">
        <f aca="false">IF(AND(Parameter!$B$21="Ja",ISNUMBER(W877),N(X877)&gt;0),IFERROR(N(INDEX(Parameter!$L$5:$L$7,W877))*INDEX(Parameter!$E$5:$E$7,W877)*X877/SUMIFS($X$7:$X$1843,$W$7:$W$1843,W877),0),0)</f>
        <v>0</v>
      </c>
    </row>
    <row r="878" customFormat="false" ht="15" hidden="false" customHeight="false" outlineLevel="0" collapsed="false">
      <c r="A878" s="55" t="s">
        <v>1662</v>
      </c>
      <c r="B878" s="55" t="s">
        <v>1211</v>
      </c>
      <c r="C878" s="55" t="s">
        <v>164</v>
      </c>
      <c r="D878" s="55" t="s">
        <v>184</v>
      </c>
      <c r="E878" s="55" t="s">
        <v>185</v>
      </c>
      <c r="F878" s="55" t="s">
        <v>218</v>
      </c>
      <c r="G878" s="56" t="n">
        <v>0.85</v>
      </c>
      <c r="H878" s="57" t="n">
        <f aca="false">MAX(0,IF(AND(Parameter!$B$21="Ja",ISNUMBER(Y878)),Y878,IF(Parameter!$B$20="Jahresanfang 2025 + Export",BL878+BK878,BK878)))</f>
        <v>15</v>
      </c>
      <c r="I878" s="57" t="n">
        <f aca="false">H878*G878</f>
        <v>12.75</v>
      </c>
      <c r="J878" s="57" t="n">
        <f aca="false">BN878*Parameter!$B$18</f>
        <v>0</v>
      </c>
      <c r="K878" s="58" t="n">
        <v>32.5</v>
      </c>
      <c r="L878" s="59" t="n">
        <v>0</v>
      </c>
      <c r="M878" s="57" t="n">
        <v>0</v>
      </c>
      <c r="N878" s="57" t="n">
        <v>1</v>
      </c>
      <c r="O878" s="60" t="n">
        <v>42</v>
      </c>
      <c r="P878" s="55" t="s">
        <v>328</v>
      </c>
      <c r="Q878" s="57" t="n">
        <v>50</v>
      </c>
      <c r="R878" s="60" t="n">
        <f aca="false">IF(BT878=1,0,IFERROR(VLOOKUP(BR878,'Gebinde-Kategorie'!$A$5:$M$45,13,0)+0,0))</f>
        <v>52</v>
      </c>
      <c r="S878" s="61"/>
      <c r="T878" s="62"/>
      <c r="U878" s="62"/>
      <c r="V878" s="62"/>
      <c r="W878" s="55"/>
      <c r="X878" s="57"/>
      <c r="Y878" s="57"/>
      <c r="Z878" s="55" t="n">
        <f aca="false">IF(A878="","",IF(AND(Parameter!$B$21="Ja",ISNUMBER(W878)),W878,IF(BV878="2+3",IF(ISNUMBER(SEARCH("grosser Artikel",BO878)),2,IFERROR(VLOOKUP(BR878,Parameter!$F$35:$G$64,2,0),2)),IF(OR(BV878="Nein",BV878=""),"-",BV878))))</f>
        <v>3</v>
      </c>
      <c r="AA878" s="62"/>
      <c r="AB878" s="63"/>
      <c r="AC878" s="57" t="n">
        <f aca="false">AR878</f>
        <v>50</v>
      </c>
      <c r="AD878" s="57" t="n">
        <f aca="false">MAX(AR878,H878)</f>
        <v>50</v>
      </c>
      <c r="AE878" s="64"/>
      <c r="AF878" s="57" t="n">
        <f aca="false">IF(LEFT(Cockpit!$C$5,1)="A",H878,IF(CA878=1,CB878,IF(LEFT(Cockpit!$C$5,1)="B",AJ878,MAX(AJ878,H878))))</f>
        <v>15</v>
      </c>
      <c r="AG878" s="57" t="n">
        <f aca="false">IF(BT878=1,0,ROUNDUP(AF878/BS878,0))</f>
        <v>1</v>
      </c>
      <c r="AH878" s="59" t="n">
        <f aca="false">IF(CH878&gt;0,CH878*MAX(1,AF878/X878),IF(BT878=1,IF(AF878&lt;=0,0,BW878*MAX(1,IF(H878&gt;0,AF878/H878,1))),IF(R878&gt;0,AG878/R878,0))/MAX(0.1,N(Parameter!$M$21)))</f>
        <v>0.0192307692307692</v>
      </c>
      <c r="AI878" s="57" t="n">
        <f aca="false">AF878*G878</f>
        <v>12.75</v>
      </c>
      <c r="AJ878" s="57" t="n">
        <f aca="false">ROUNDUP(MAX(J878/IF(BZ878&gt;0,BZ878,MAX(0.1,N(Cockpit!$C$6))),CC878)/BS878,0)*BS878</f>
        <v>50</v>
      </c>
      <c r="AK878" s="58" t="n">
        <f aca="false">IF(AH878&gt;0,J878/AH878,-1)</f>
        <v>0</v>
      </c>
      <c r="AL878" s="58" t="n">
        <f aca="false">IF(AND(OR(BY878="L1",BY878="L23"),AH878&gt;0),SUMIFS($AH$7:$AH$1843,$BY$7:$BY$1843,BY878,$AK$7:$AK$1843,"&gt;"&amp;AK878)+SUMIFS($AH$7:$AH$1843,$BY$7:$BY$1843,BY878,$AK$7:$AK$1843,AK878,$BQ$7:$BQ$1843,"&lt;="&amp;BQ878),"")</f>
        <v>77.7630654369785</v>
      </c>
      <c r="AM878" s="65" t="n">
        <f aca="false">IF(AL878="",0,MAX(0,MIN(1,(IF(BY878="L1",Parameter!$E$5,Parameter!$E$6+Parameter!$E$7)-(AL878-AH878))/AH878)))</f>
        <v>1</v>
      </c>
      <c r="AN878" s="57" t="n">
        <f aca="false">IF(LEFT(Cockpit!$I$5,1)="A",H878,IF(CA878=1,CB878,IF(LEFT(Cockpit!$I$5,1)="B",AR878,MAX(AR878,H878))))</f>
        <v>50</v>
      </c>
      <c r="AO878" s="57" t="n">
        <f aca="false">IF(BT878=1,0,ROUNDUP(AN878/BS878,0))</f>
        <v>1</v>
      </c>
      <c r="AP878" s="59" t="n">
        <f aca="false">IF(CH878&gt;0,CH878*MAX(1,AN878/X878),IF(BT878=1,IF(AN878&lt;=0,0,BW878*MAX(1,IF(H878&gt;0,AN878/H878,1))),IF(R878&gt;0,AO878/R878,0))/MAX(0.1,N(Parameter!$M$21)))</f>
        <v>0.0192307692307692</v>
      </c>
      <c r="AQ878" s="57" t="n">
        <f aca="false">AN878*G878</f>
        <v>42.5</v>
      </c>
      <c r="AR878" s="57" t="n">
        <f aca="false">ROUNDUP(MAX(J878/IF(BZ878&gt;0,BZ878,MAX(0.1,N(Cockpit!$I$6))),CC878)/BS878,0)*BS878</f>
        <v>50</v>
      </c>
      <c r="AS878" s="58" t="n">
        <f aca="false">IF(AP878&gt;0,J878/AP878,-1)</f>
        <v>0</v>
      </c>
      <c r="AT878" s="58" t="n">
        <f aca="false">IF(AND(OR(BY878="L1",BY878="L23"),AP878&gt;0),SUMIFS($AP$7:$AP$1843,$BY$7:$BY$1843,BY878,$AS$7:$AS$1843,"&gt;"&amp;AS878)+SUMIFS($AP$7:$AP$1843,$BY$7:$BY$1843,BY878,$AS$7:$AS$1843,AS878,$BQ$7:$BQ$1843,"&lt;="&amp;BQ878),"")</f>
        <v>118.687941285767</v>
      </c>
      <c r="AU878" s="65" t="n">
        <f aca="false">IF(AT878="",0,MAX(0,MIN(1,(IF(BY878="L1",Parameter!$E$5,Parameter!$E$6+Parameter!$E$7)-(AT878-AP878))/AP878)))</f>
        <v>0</v>
      </c>
      <c r="AV878" s="57" t="n">
        <f aca="false">IF(LEFT(Cockpit!$O$5,1)="A",H878,IF(CA878=1,CB878,IF(LEFT(Cockpit!$O$5,1)="B",AZ878,MAX(AZ878,H878))))</f>
        <v>50</v>
      </c>
      <c r="AW878" s="57" t="n">
        <f aca="false">IF(BT878=1,0,ROUNDUP(AV878/BS878,0))</f>
        <v>1</v>
      </c>
      <c r="AX878" s="59" t="n">
        <f aca="false">IF(CH878&gt;0,CH878*MAX(1,AV878/X878),IF(BT878=1,IF(AV878&lt;=0,0,BW878*MAX(1,IF(H878&gt;0,AV878/H878,1))),IF(R878&gt;0,AW878/R878,0))/MAX(0.1,N(Parameter!$M$21)))</f>
        <v>0.0192307692307692</v>
      </c>
      <c r="AY878" s="57" t="n">
        <f aca="false">AV878*G878</f>
        <v>42.5</v>
      </c>
      <c r="AZ878" s="57" t="n">
        <f aca="false">ROUNDUP(MAX(J878/IF(BZ878&gt;0,BZ878,MAX(0.1,N(Cockpit!$O$6))),CC878)/BS878,0)*BS878</f>
        <v>50</v>
      </c>
      <c r="BA878" s="58" t="n">
        <f aca="false">IF(AX878&gt;0,J878/AX878,-1)</f>
        <v>0</v>
      </c>
      <c r="BB878" s="58" t="n">
        <f aca="false">IF(AND(OR(BY878="L1",BY878="L23"),AX878&gt;0),SUMIFS($AX$7:$AX$1843,$BY$7:$BY$1843,BY878,$BA$7:$BA$1843,"&gt;"&amp;BA878)+SUMIFS($AX$7:$AX$1843,$BY$7:$BY$1843,BY878,$BA$7:$BA$1843,BA878,$BQ$7:$BQ$1843,"&lt;="&amp;BQ878),"")</f>
        <v>109.517778115604</v>
      </c>
      <c r="BC878" s="65" t="n">
        <f aca="false">IF(BB878="",0,MAX(0,MIN(1,(IF(BY878="L1",Parameter!$E$5,Parameter!$E$6+Parameter!$E$7)-(BB878-AX878))/AX878)))</f>
        <v>0</v>
      </c>
      <c r="BD878" s="55" t="str">
        <f aca="false">IF(AH878&lt;=0,"",IF(BY878="Aussen","Aussenlager",IF(BY878="-","Nicht im Lift",IF(AM878&gt;=1,"Lift",IF(AM878&lt;=0,"Aussenlager","teilweise")))))</f>
        <v>Lift</v>
      </c>
      <c r="BE878" s="55" t="str">
        <f aca="false">IF(AP878&lt;=0,"",IF(BY878="Aussen","Aussenlager",IF(BY878="-","Nicht im Lift",IF(AU878&gt;=1,"Lift",IF(AU878&lt;=0,"Aussenlager","teilweise")))))</f>
        <v>Aussenlager</v>
      </c>
      <c r="BF878" s="55" t="str">
        <f aca="false">IF(AX878&lt;=0,"",IF(BY878="Aussen","Aussenlager",IF(BY878="-","Nicht im Lift",IF(BC878&gt;=1,"Lift",IF(BC878&lt;=0,"Aussenlager","teilweise")))))</f>
        <v>Aussenlager</v>
      </c>
      <c r="BG878" s="55" t="str">
        <f aca="false">IF(A878="","",IF(BP878=1,"Neu; ","")&amp;IF(AND(BP878=0,BK878&lt;0),"negativer Bestand (Export "&amp;BK878&amp;"); ","")&amp;IF(J878&lt;=0,"Kein Verbrauch; ","")&amp;IF(CH878&gt;0,"Lift "&amp;W878&amp;" lt. Liftbericht (Fach "&amp;X878&amp;" Stk); ",IF(BU878=1,"Gebinde geschätzt ("&amp;T878&amp;"); ",IF(BT878=1,"Lose – Tablare geschätzt; ","")))&amp;IF(H878&gt;AR878,"Überbestand "&amp;ROUND(H878-AR878,0)&amp;" Stk / CHF "&amp;ROUND((H878-AR878)*G878,0)&amp;"; ","")&amp;IF(AND(CA878=1,CB878&lt;CC878),"MAX &lt; MB+LG; ","")&amp;IF(AND(CG878&gt;0,CF878*10&gt;CG878),"zu hoch für Tablar; ","")&amp;IF(AND(BP878=0,OR(CA878=1,AA878&lt;&gt;"",U878&lt;&gt;"",V878&lt;&gt;"",AB878&lt;&gt;"")),"manuell übersteuert; ","")&amp;IF(AND(BT878=0,R878=0),"Gebinde unbekannt / Stellmass fehlt; ","")&amp;IF(AND(BT878=0,N(V878)&lt;=0,N(Q878)&lt;=0),"Menge pro Gebinde fehlt (Ist = 1 Gebinde); ","")&amp;BO878)</f>
        <v>negativer Bestand (Export -35); Kein Verbrauch; Überbestand</v>
      </c>
      <c r="BH878" s="55"/>
      <c r="BI878" s="55"/>
      <c r="BJ878" s="62"/>
      <c r="BK878" s="57" t="n">
        <v>-35</v>
      </c>
      <c r="BL878" s="57" t="n">
        <v>50</v>
      </c>
      <c r="BM878" s="56" t="n">
        <v>-24.75</v>
      </c>
      <c r="BN878" s="57" t="n">
        <v>0</v>
      </c>
      <c r="BO878" s="55" t="s">
        <v>392</v>
      </c>
      <c r="BP878" s="60" t="n">
        <v>0</v>
      </c>
      <c r="BQ878" s="60" t="n">
        <v>878</v>
      </c>
      <c r="BR878" s="55" t="str">
        <f aca="false">IF(U878&lt;&gt;"",UPPER(TRIM(U878)),IF(BU878=1,UPPER(VLOOKUP(T878,Parameter!$I$27:$K$29,2,0)),IF(P878="","LOSE",P878)))</f>
        <v>S41</v>
      </c>
      <c r="BS878" s="57" t="n">
        <f aca="false">IF(BR878="LOSE",1,IF(N(V878)&gt;0,V878,IF(BU878=1,MAX(1,N(VLOOKUP(T878,Parameter!$I$27:$K$29,3,0)),H878,N(N878)),IF(N(Q878)&gt;0,Q878,MAX(1,H878)))))</f>
        <v>50</v>
      </c>
      <c r="BT878" s="60" t="n">
        <f aca="false">IF(BR878="LOSE",1,0)</f>
        <v>0</v>
      </c>
      <c r="BU878" s="60" t="n">
        <f aca="false">IF(AND(U878="",OR(P878="",P878="LOSE"),T878&lt;&gt;"",N(S878)&lt;=0,ISNUMBER(MATCH(T878,Parameter!$I$27:$I$29,0))),1,0)</f>
        <v>0</v>
      </c>
      <c r="BV878" s="55" t="str">
        <f aca="false">IF(AND(Parameter!$B$19="Ja",E878&lt;&gt;"",ISNUMBER(MATCH(E878,Parameter!$I$35:$I$52,0))),VLOOKUP(E878,Parameter!$I$35:$J$52,2,0),IFERROR(VLOOKUP(D878,Parameter!$A$35:$C$64,2,0),"Nein"))</f>
        <v>2+3</v>
      </c>
      <c r="BW878" s="59" t="n">
        <f aca="false">IF(BT878=0,0,IF(N(S878)&gt;0,S878,IFERROR(VLOOKUP(D878,Parameter!$A$35:$C$64,3,0)+0,0)))</f>
        <v>0</v>
      </c>
      <c r="BX878" s="55" t="n">
        <f aca="false">IF(AA878&lt;&gt;"",AA878,Z878)</f>
        <v>3</v>
      </c>
      <c r="BY878" s="55" t="str">
        <f aca="false">IF(BX878=1,"L1",IF(OR(BX878=2,BX878=3),"L23",IF(BX878="Aussen","Aussen","-")))</f>
        <v>L23</v>
      </c>
      <c r="BZ878" s="66" t="n">
        <f aca="false">IF(N(AB878)&gt;0,AB878,0)</f>
        <v>0</v>
      </c>
      <c r="CA878" s="60" t="n">
        <f aca="false">IF(ISNUMBER(AE878),1,0)</f>
        <v>0</v>
      </c>
      <c r="CB878" s="57" t="n">
        <f aca="false">N(AE878)</f>
        <v>0</v>
      </c>
      <c r="CC878" s="57" t="n">
        <f aca="false">N(M878)+N(N878)</f>
        <v>1</v>
      </c>
      <c r="CD878" s="57" t="n">
        <f aca="false">ROUNDUP(H878/BS878,0)</f>
        <v>1</v>
      </c>
      <c r="CE878" s="57" t="n">
        <f aca="false">ROUNDUP(CB878/BS878,0)</f>
        <v>0</v>
      </c>
      <c r="CF878" s="60" t="n">
        <f aca="false">IF(BT878=1,0,IFERROR(VLOOKUP(BR878,'Gebinde-Kategorie'!$A$5:$M$45,5,0)+0,0))</f>
        <v>11</v>
      </c>
      <c r="CG878" s="60" t="n">
        <f aca="false">IFERROR(IF(OR(BX878=1,BX878=2,BX878=3),N(INDEX(Parameter!$I$5:$I$7,BX878)),0),0)</f>
        <v>0</v>
      </c>
      <c r="CH878" s="59" t="n">
        <f aca="false">IF(AND(Parameter!$B$21="Ja",ISNUMBER(W878),N(X878)&gt;0),IFERROR(N(INDEX(Parameter!$L$5:$L$7,W878))*INDEX(Parameter!$E$5:$E$7,W878)*X878/SUMIFS($X$7:$X$1843,$W$7:$W$1843,W878),0),0)</f>
        <v>0</v>
      </c>
    </row>
    <row r="879" customFormat="false" ht="15" hidden="false" customHeight="false" outlineLevel="0" collapsed="false">
      <c r="A879" s="55" t="s">
        <v>1663</v>
      </c>
      <c r="B879" s="55" t="s">
        <v>405</v>
      </c>
      <c r="C879" s="55" t="s">
        <v>164</v>
      </c>
      <c r="D879" s="55" t="s">
        <v>184</v>
      </c>
      <c r="E879" s="55" t="s">
        <v>185</v>
      </c>
      <c r="F879" s="55" t="s">
        <v>218</v>
      </c>
      <c r="G879" s="56" t="n">
        <v>0.04</v>
      </c>
      <c r="H879" s="57" t="n">
        <f aca="false">MAX(0,IF(AND(Parameter!$B$21="Ja",ISNUMBER(Y879)),Y879,IF(Parameter!$B$20="Jahresanfang 2025 + Export",BL879+BK879,BK879)))</f>
        <v>419</v>
      </c>
      <c r="I879" s="57" t="n">
        <f aca="false">H879*G879</f>
        <v>16.76</v>
      </c>
      <c r="J879" s="57" t="n">
        <f aca="false">BN879*Parameter!$B$18</f>
        <v>356</v>
      </c>
      <c r="K879" s="58" t="n">
        <v>638.5</v>
      </c>
      <c r="L879" s="59" t="n">
        <v>0.557556773688332</v>
      </c>
      <c r="M879" s="57" t="n">
        <v>20</v>
      </c>
      <c r="N879" s="57" t="n">
        <v>355</v>
      </c>
      <c r="O879" s="60" t="n">
        <v>21</v>
      </c>
      <c r="P879" s="55" t="s">
        <v>421</v>
      </c>
      <c r="Q879" s="57" t="n">
        <v>1419</v>
      </c>
      <c r="R879" s="60" t="n">
        <f aca="false">IF(BT879=1,0,IFERROR(VLOOKUP(BR879,'Gebinde-Kategorie'!$A$5:$M$45,13,0)+0,0))</f>
        <v>132</v>
      </c>
      <c r="S879" s="61"/>
      <c r="T879" s="62"/>
      <c r="U879" s="62"/>
      <c r="V879" s="62"/>
      <c r="W879" s="55"/>
      <c r="X879" s="57"/>
      <c r="Y879" s="57"/>
      <c r="Z879" s="55" t="n">
        <f aca="false">IF(A879="","",IF(AND(Parameter!$B$21="Ja",ISNUMBER(W879)),W879,IF(BV879="2+3",IF(ISNUMBER(SEARCH("grosser Artikel",BO879)),2,IFERROR(VLOOKUP(BR879,Parameter!$F$35:$G$64,2,0),2)),IF(OR(BV879="Nein",BV879=""),"-",BV879))))</f>
        <v>3</v>
      </c>
      <c r="AA879" s="62"/>
      <c r="AB879" s="63"/>
      <c r="AC879" s="57" t="n">
        <f aca="false">AR879</f>
        <v>1419</v>
      </c>
      <c r="AD879" s="57" t="n">
        <f aca="false">MAX(AR879,H879)</f>
        <v>1419</v>
      </c>
      <c r="AE879" s="64"/>
      <c r="AF879" s="57" t="n">
        <f aca="false">IF(LEFT(Cockpit!$C$5,1)="A",H879,IF(CA879=1,CB879,IF(LEFT(Cockpit!$C$5,1)="B",AJ879,MAX(AJ879,H879))))</f>
        <v>419</v>
      </c>
      <c r="AG879" s="57" t="n">
        <f aca="false">IF(BT879=1,0,ROUNDUP(AF879/BS879,0))</f>
        <v>1</v>
      </c>
      <c r="AH879" s="59" t="n">
        <f aca="false">IF(CH879&gt;0,CH879*MAX(1,AF879/X879),IF(BT879=1,IF(AF879&lt;=0,0,BW879*MAX(1,IF(H879&gt;0,AF879/H879,1))),IF(R879&gt;0,AG879/R879,0))/MAX(0.1,N(Parameter!$M$21)))</f>
        <v>0.00757575757575758</v>
      </c>
      <c r="AI879" s="57" t="n">
        <f aca="false">AF879*G879</f>
        <v>16.76</v>
      </c>
      <c r="AJ879" s="57" t="n">
        <f aca="false">ROUNDUP(MAX(J879/IF(BZ879&gt;0,BZ879,MAX(0.1,N(Cockpit!$C$6))),CC879)/BS879,0)*BS879</f>
        <v>1419</v>
      </c>
      <c r="AK879" s="58" t="n">
        <f aca="false">IF(AH879&gt;0,J879/AH879,-1)</f>
        <v>46992</v>
      </c>
      <c r="AL879" s="58" t="n">
        <f aca="false">IF(AND(OR(BY879="L1",BY879="L23"),AH879&gt;0),SUMIFS($AH$7:$AH$1843,$BY$7:$BY$1843,BY879,$AK$7:$AK$1843,"&gt;"&amp;AK879)+SUMIFS($AH$7:$AH$1843,$BY$7:$BY$1843,BY879,$AK$7:$AK$1843,AK879,$BQ$7:$BQ$1843,"&lt;="&amp;BQ879),"")</f>
        <v>1.49086179520962</v>
      </c>
      <c r="AM879" s="65" t="n">
        <f aca="false">IF(AL879="",0,MAX(0,MIN(1,(IF(BY879="L1",Parameter!$E$5,Parameter!$E$6+Parameter!$E$7)-(AL879-AH879))/AH879)))</f>
        <v>1</v>
      </c>
      <c r="AN879" s="57" t="n">
        <f aca="false">IF(LEFT(Cockpit!$I$5,1)="A",H879,IF(CA879=1,CB879,IF(LEFT(Cockpit!$I$5,1)="B",AR879,MAX(AR879,H879))))</f>
        <v>1419</v>
      </c>
      <c r="AO879" s="57" t="n">
        <f aca="false">IF(BT879=1,0,ROUNDUP(AN879/BS879,0))</f>
        <v>1</v>
      </c>
      <c r="AP879" s="59" t="n">
        <f aca="false">IF(CH879&gt;0,CH879*MAX(1,AN879/X879),IF(BT879=1,IF(AN879&lt;=0,0,BW879*MAX(1,IF(H879&gt;0,AN879/H879,1))),IF(R879&gt;0,AO879/R879,0))/MAX(0.1,N(Parameter!$M$21)))</f>
        <v>0.00757575757575758</v>
      </c>
      <c r="AQ879" s="57" t="n">
        <f aca="false">AN879*G879</f>
        <v>56.76</v>
      </c>
      <c r="AR879" s="57" t="n">
        <f aca="false">ROUNDUP(MAX(J879/IF(BZ879&gt;0,BZ879,MAX(0.1,N(Cockpit!$I$6))),CC879)/BS879,0)*BS879</f>
        <v>1419</v>
      </c>
      <c r="AS879" s="58" t="n">
        <f aca="false">IF(AP879&gt;0,J879/AP879,-1)</f>
        <v>46992</v>
      </c>
      <c r="AT879" s="58" t="n">
        <f aca="false">IF(AND(OR(BY879="L1",BY879="L23"),AP879&gt;0),SUMIFS($AP$7:$AP$1843,$BY$7:$BY$1843,BY879,$AS$7:$AS$1843,"&gt;"&amp;AS879)+SUMIFS($AP$7:$AP$1843,$BY$7:$BY$1843,BY879,$AS$7:$AS$1843,AS879,$BQ$7:$BQ$1843,"&lt;="&amp;BQ879),"")</f>
        <v>1.56490490186142</v>
      </c>
      <c r="AU879" s="65" t="n">
        <f aca="false">IF(AT879="",0,MAX(0,MIN(1,(IF(BY879="L1",Parameter!$E$5,Parameter!$E$6+Parameter!$E$7)-(AT879-AP879))/AP879)))</f>
        <v>1</v>
      </c>
      <c r="AV879" s="57" t="n">
        <f aca="false">IF(LEFT(Cockpit!$O$5,1)="A",H879,IF(CA879=1,CB879,IF(LEFT(Cockpit!$O$5,1)="B",AZ879,MAX(AZ879,H879))))</f>
        <v>1419</v>
      </c>
      <c r="AW879" s="57" t="n">
        <f aca="false">IF(BT879=1,0,ROUNDUP(AV879/BS879,0))</f>
        <v>1</v>
      </c>
      <c r="AX879" s="59" t="n">
        <f aca="false">IF(CH879&gt;0,CH879*MAX(1,AV879/X879),IF(BT879=1,IF(AV879&lt;=0,0,BW879*MAX(1,IF(H879&gt;0,AV879/H879,1))),IF(R879&gt;0,AW879/R879,0))/MAX(0.1,N(Parameter!$M$21)))</f>
        <v>0.00757575757575758</v>
      </c>
      <c r="AY879" s="57" t="n">
        <f aca="false">AV879*G879</f>
        <v>56.76</v>
      </c>
      <c r="AZ879" s="57" t="n">
        <f aca="false">ROUNDUP(MAX(J879/IF(BZ879&gt;0,BZ879,MAX(0.1,N(Cockpit!$O$6))),CC879)/BS879,0)*BS879</f>
        <v>1419</v>
      </c>
      <c r="BA879" s="58" t="n">
        <f aca="false">IF(AX879&gt;0,J879/AX879,-1)</f>
        <v>46992</v>
      </c>
      <c r="BB879" s="58" t="n">
        <f aca="false">IF(AND(OR(BY879="L1",BY879="L23"),AX879&gt;0),SUMIFS($AX$7:$AX$1843,$BY$7:$BY$1843,BY879,$BA$7:$BA$1843,"&gt;"&amp;BA879)+SUMIFS($AX$7:$AX$1843,$BY$7:$BY$1843,BY879,$BA$7:$BA$1843,BA879,$BQ$7:$BQ$1843,"&lt;="&amp;BQ879),"")</f>
        <v>1.85569744265396</v>
      </c>
      <c r="BC879" s="65" t="n">
        <f aca="false">IF(BB879="",0,MAX(0,MIN(1,(IF(BY879="L1",Parameter!$E$5,Parameter!$E$6+Parameter!$E$7)-(BB879-AX879))/AX879)))</f>
        <v>1</v>
      </c>
      <c r="BD879" s="55" t="str">
        <f aca="false">IF(AH879&lt;=0,"",IF(BY879="Aussen","Aussenlager",IF(BY879="-","Nicht im Lift",IF(AM879&gt;=1,"Lift",IF(AM879&lt;=0,"Aussenlager","teilweise")))))</f>
        <v>Lift</v>
      </c>
      <c r="BE879" s="55" t="str">
        <f aca="false">IF(AP879&lt;=0,"",IF(BY879="Aussen","Aussenlager",IF(BY879="-","Nicht im Lift",IF(AU879&gt;=1,"Lift",IF(AU879&lt;=0,"Aussenlager","teilweise")))))</f>
        <v>Lift</v>
      </c>
      <c r="BF879" s="55" t="str">
        <f aca="false">IF(AX879&lt;=0,"",IF(BY879="Aussen","Aussenlager",IF(BY879="-","Nicht im Lift",IF(BC879&gt;=1,"Lift",IF(BC879&lt;=0,"Aussenlager","teilweise")))))</f>
        <v>Lift</v>
      </c>
      <c r="BG879" s="55" t="str">
        <f aca="false">IF(A879="","",IF(BP879=1,"Neu; ","")&amp;IF(AND(BP879=0,BK879&lt;0),"negativer Bestand (Export "&amp;BK879&amp;"); ","")&amp;IF(J879&lt;=0,"Kein Verbrauch; ","")&amp;IF(CH879&gt;0,"Lift "&amp;W879&amp;" lt. Liftbericht (Fach "&amp;X879&amp;" Stk); ",IF(BU879=1,"Gebinde geschätzt ("&amp;T879&amp;"); ",IF(BT879=1,"Lose – Tablare geschätzt; ","")))&amp;IF(H879&gt;AR879,"Überbestand "&amp;ROUND(H879-AR879,0)&amp;" Stk / CHF "&amp;ROUND((H879-AR879)*G879,0)&amp;"; ","")&amp;IF(AND(CA879=1,CB879&lt;CC879),"MAX &lt; MB+LG; ","")&amp;IF(AND(CG879&gt;0,CF879*10&gt;CG879),"zu hoch für Tablar; ","")&amp;IF(AND(BP879=0,OR(CA879=1,AA879&lt;&gt;"",U879&lt;&gt;"",V879&lt;&gt;"",AB879&lt;&gt;"")),"manuell übersteuert; ","")&amp;IF(AND(BT879=0,R879=0),"Gebinde unbekannt / Stellmass fehlt; ","")&amp;IF(AND(BT879=0,N(V879)&lt;=0,N(Q879)&lt;=0),"Menge pro Gebinde fehlt (Ist = 1 Gebinde); ","")&amp;BO879)</f>
        <v>negativer Bestand (Export -657); </v>
      </c>
      <c r="BH879" s="55"/>
      <c r="BI879" s="55"/>
      <c r="BJ879" s="62"/>
      <c r="BK879" s="57" t="n">
        <v>-657</v>
      </c>
      <c r="BL879" s="57" t="n">
        <v>1076</v>
      </c>
      <c r="BM879" s="56" t="n">
        <v>-26.28</v>
      </c>
      <c r="BN879" s="57" t="n">
        <v>356</v>
      </c>
      <c r="BO879" s="55"/>
      <c r="BP879" s="60" t="n">
        <v>0</v>
      </c>
      <c r="BQ879" s="60" t="n">
        <v>879</v>
      </c>
      <c r="BR879" s="55" t="str">
        <f aca="false">IF(U879&lt;&gt;"",UPPER(TRIM(U879)),IF(BU879=1,UPPER(VLOOKUP(T879,Parameter!$I$27:$K$29,2,0)),IF(P879="","LOSE",P879)))</f>
        <v>S32</v>
      </c>
      <c r="BS879" s="57" t="n">
        <f aca="false">IF(BR879="LOSE",1,IF(N(V879)&gt;0,V879,IF(BU879=1,MAX(1,N(VLOOKUP(T879,Parameter!$I$27:$K$29,3,0)),H879,N(N879)),IF(N(Q879)&gt;0,Q879,MAX(1,H879)))))</f>
        <v>1419</v>
      </c>
      <c r="BT879" s="60" t="n">
        <f aca="false">IF(BR879="LOSE",1,0)</f>
        <v>0</v>
      </c>
      <c r="BU879" s="60" t="n">
        <f aca="false">IF(AND(U879="",OR(P879="",P879="LOSE"),T879&lt;&gt;"",N(S879)&lt;=0,ISNUMBER(MATCH(T879,Parameter!$I$27:$I$29,0))),1,0)</f>
        <v>0</v>
      </c>
      <c r="BV879" s="55" t="str">
        <f aca="false">IF(AND(Parameter!$B$19="Ja",E879&lt;&gt;"",ISNUMBER(MATCH(E879,Parameter!$I$35:$I$52,0))),VLOOKUP(E879,Parameter!$I$35:$J$52,2,0),IFERROR(VLOOKUP(D879,Parameter!$A$35:$C$64,2,0),"Nein"))</f>
        <v>2+3</v>
      </c>
      <c r="BW879" s="59" t="n">
        <f aca="false">IF(BT879=0,0,IF(N(S879)&gt;0,S879,IFERROR(VLOOKUP(D879,Parameter!$A$35:$C$64,3,0)+0,0)))</f>
        <v>0</v>
      </c>
      <c r="BX879" s="55" t="n">
        <f aca="false">IF(AA879&lt;&gt;"",AA879,Z879)</f>
        <v>3</v>
      </c>
      <c r="BY879" s="55" t="str">
        <f aca="false">IF(BX879=1,"L1",IF(OR(BX879=2,BX879=3),"L23",IF(BX879="Aussen","Aussen","-")))</f>
        <v>L23</v>
      </c>
      <c r="BZ879" s="66" t="n">
        <f aca="false">IF(N(AB879)&gt;0,AB879,0)</f>
        <v>0</v>
      </c>
      <c r="CA879" s="60" t="n">
        <f aca="false">IF(ISNUMBER(AE879),1,0)</f>
        <v>0</v>
      </c>
      <c r="CB879" s="57" t="n">
        <f aca="false">N(AE879)</f>
        <v>0</v>
      </c>
      <c r="CC879" s="57" t="n">
        <f aca="false">N(M879)+N(N879)</f>
        <v>375</v>
      </c>
      <c r="CD879" s="57" t="n">
        <f aca="false">ROUNDUP(H879/BS879,0)</f>
        <v>1</v>
      </c>
      <c r="CE879" s="57" t="n">
        <f aca="false">ROUNDUP(CB879/BS879,0)</f>
        <v>0</v>
      </c>
      <c r="CF879" s="60" t="n">
        <f aca="false">IF(BT879=1,0,IFERROR(VLOOKUP(BR879,'Gebinde-Kategorie'!$A$5:$M$45,5,0)+0,0))</f>
        <v>8</v>
      </c>
      <c r="CG879" s="60" t="n">
        <f aca="false">IFERROR(IF(OR(BX879=1,BX879=2,BX879=3),N(INDEX(Parameter!$I$5:$I$7,BX879)),0),0)</f>
        <v>0</v>
      </c>
      <c r="CH879" s="59" t="n">
        <f aca="false">IF(AND(Parameter!$B$21="Ja",ISNUMBER(W879),N(X879)&gt;0),IFERROR(N(INDEX(Parameter!$L$5:$L$7,W879))*INDEX(Parameter!$E$5:$E$7,W879)*X879/SUMIFS($X$7:$X$1843,$W$7:$W$1843,W879),0),0)</f>
        <v>0</v>
      </c>
    </row>
    <row r="880" customFormat="false" ht="15" hidden="false" customHeight="false" outlineLevel="0" collapsed="false">
      <c r="A880" s="55" t="s">
        <v>1664</v>
      </c>
      <c r="B880" s="55" t="s">
        <v>1665</v>
      </c>
      <c r="C880" s="55" t="s">
        <v>164</v>
      </c>
      <c r="D880" s="55" t="s">
        <v>184</v>
      </c>
      <c r="E880" s="55" t="s">
        <v>185</v>
      </c>
      <c r="F880" s="55" t="s">
        <v>218</v>
      </c>
      <c r="G880" s="56" t="n">
        <v>3.68</v>
      </c>
      <c r="H880" s="57" t="n">
        <f aca="false">MAX(0,IF(AND(Parameter!$B$21="Ja",ISNUMBER(Y880)),Y880,IF(Parameter!$B$20="Jahresanfang 2025 + Export",BL880+BK880,BK880)))</f>
        <v>29</v>
      </c>
      <c r="I880" s="57" t="n">
        <f aca="false">H880*G880</f>
        <v>106.72</v>
      </c>
      <c r="J880" s="57" t="n">
        <f aca="false">BN880*Parameter!$B$18</f>
        <v>74</v>
      </c>
      <c r="K880" s="58" t="n">
        <v>50</v>
      </c>
      <c r="L880" s="59" t="n">
        <v>1.48</v>
      </c>
      <c r="M880" s="57" t="n">
        <v>4</v>
      </c>
      <c r="N880" s="57" t="n">
        <v>50</v>
      </c>
      <c r="O880" s="60" t="n">
        <v>30</v>
      </c>
      <c r="P880" s="55" t="s">
        <v>302</v>
      </c>
      <c r="Q880" s="57" t="n">
        <v>30</v>
      </c>
      <c r="R880" s="60" t="n">
        <f aca="false">IF(BT880=1,0,IFERROR(VLOOKUP(BR880,'Gebinde-Kategorie'!$A$5:$M$45,13,0)+0,0))</f>
        <v>26</v>
      </c>
      <c r="S880" s="61"/>
      <c r="T880" s="62"/>
      <c r="U880" s="62"/>
      <c r="V880" s="62"/>
      <c r="W880" s="55"/>
      <c r="X880" s="57"/>
      <c r="Y880" s="57"/>
      <c r="Z880" s="55" t="n">
        <f aca="false">IF(A880="","",IF(AND(Parameter!$B$21="Ja",ISNUMBER(W880)),W880,IF(BV880="2+3",IF(ISNUMBER(SEARCH("grosser Artikel",BO880)),2,IFERROR(VLOOKUP(BR880,Parameter!$F$35:$G$64,2,0),2)),IF(OR(BV880="Nein",BV880=""),"-",BV880))))</f>
        <v>3</v>
      </c>
      <c r="AA880" s="62"/>
      <c r="AB880" s="63"/>
      <c r="AC880" s="57" t="n">
        <f aca="false">AR880</f>
        <v>60</v>
      </c>
      <c r="AD880" s="57" t="n">
        <f aca="false">MAX(AR880,H880)</f>
        <v>60</v>
      </c>
      <c r="AE880" s="64"/>
      <c r="AF880" s="57" t="n">
        <f aca="false">IF(LEFT(Cockpit!$C$5,1)="A",H880,IF(CA880=1,CB880,IF(LEFT(Cockpit!$C$5,1)="B",AJ880,MAX(AJ880,H880))))</f>
        <v>29</v>
      </c>
      <c r="AG880" s="57" t="n">
        <f aca="false">IF(BT880=1,0,ROUNDUP(AF880/BS880,0))</f>
        <v>1</v>
      </c>
      <c r="AH880" s="59" t="n">
        <f aca="false">IF(CH880&gt;0,CH880*MAX(1,AF880/X880),IF(BT880=1,IF(AF880&lt;=0,0,BW880*MAX(1,IF(H880&gt;0,AF880/H880,1))),IF(R880&gt;0,AG880/R880,0))/MAX(0.1,N(Parameter!$M$21)))</f>
        <v>0.0384615384615385</v>
      </c>
      <c r="AI880" s="57" t="n">
        <f aca="false">AF880*G880</f>
        <v>106.72</v>
      </c>
      <c r="AJ880" s="57" t="n">
        <f aca="false">ROUNDUP(MAX(J880/IF(BZ880&gt;0,BZ880,MAX(0.1,N(Cockpit!$C$6))),CC880)/BS880,0)*BS880</f>
        <v>60</v>
      </c>
      <c r="AK880" s="58" t="n">
        <f aca="false">IF(AH880&gt;0,J880/AH880,-1)</f>
        <v>1924</v>
      </c>
      <c r="AL880" s="58" t="n">
        <f aca="false">IF(AND(OR(BY880="L1",BY880="L23"),AH880&gt;0),SUMIFS($AH$7:$AH$1843,$BY$7:$BY$1843,BY880,$AK$7:$AK$1843,"&gt;"&amp;AK880)+SUMIFS($AH$7:$AH$1843,$BY$7:$BY$1843,BY880,$AK$7:$AK$1843,AK880,$BQ$7:$BQ$1843,"&lt;="&amp;BQ880),"")</f>
        <v>13.6498006824094</v>
      </c>
      <c r="AM880" s="65" t="n">
        <f aca="false">IF(AL880="",0,MAX(0,MIN(1,(IF(BY880="L1",Parameter!$E$5,Parameter!$E$6+Parameter!$E$7)-(AL880-AH880))/AH880)))</f>
        <v>1</v>
      </c>
      <c r="AN880" s="57" t="n">
        <f aca="false">IF(LEFT(Cockpit!$I$5,1)="A",H880,IF(CA880=1,CB880,IF(LEFT(Cockpit!$I$5,1)="B",AR880,MAX(AR880,H880))))</f>
        <v>60</v>
      </c>
      <c r="AO880" s="57" t="n">
        <f aca="false">IF(BT880=1,0,ROUNDUP(AN880/BS880,0))</f>
        <v>2</v>
      </c>
      <c r="AP880" s="59" t="n">
        <f aca="false">IF(CH880&gt;0,CH880*MAX(1,AN880/X880),IF(BT880=1,IF(AN880&lt;=0,0,BW880*MAX(1,IF(H880&gt;0,AN880/H880,1))),IF(R880&gt;0,AO880/R880,0))/MAX(0.1,N(Parameter!$M$21)))</f>
        <v>0.0769230769230769</v>
      </c>
      <c r="AQ880" s="57" t="n">
        <f aca="false">AN880*G880</f>
        <v>220.8</v>
      </c>
      <c r="AR880" s="57" t="n">
        <f aca="false">ROUNDUP(MAX(J880/IF(BZ880&gt;0,BZ880,MAX(0.1,N(Cockpit!$I$6))),CC880)/BS880,0)*BS880</f>
        <v>60</v>
      </c>
      <c r="AS880" s="58" t="n">
        <f aca="false">IF(AP880&gt;0,J880/AP880,-1)</f>
        <v>962</v>
      </c>
      <c r="AT880" s="58" t="n">
        <f aca="false">IF(AND(OR(BY880="L1",BY880="L23"),AP880&gt;0),SUMIFS($AP$7:$AP$1843,$BY$7:$BY$1843,BY880,$AS$7:$AS$1843,"&gt;"&amp;AS880)+SUMIFS($AP$7:$AP$1843,$BY$7:$BY$1843,BY880,$AS$7:$AS$1843,AS880,$BQ$7:$BQ$1843,"&lt;="&amp;BQ880),"")</f>
        <v>24.048064254586</v>
      </c>
      <c r="AU880" s="65" t="n">
        <f aca="false">IF(AT880="",0,MAX(0,MIN(1,(IF(BY880="L1",Parameter!$E$5,Parameter!$E$6+Parameter!$E$7)-(AT880-AP880))/AP880)))</f>
        <v>1</v>
      </c>
      <c r="AV880" s="57" t="n">
        <f aca="false">IF(LEFT(Cockpit!$O$5,1)="A",H880,IF(CA880=1,CB880,IF(LEFT(Cockpit!$O$5,1)="B",AZ880,MAX(AZ880,H880))))</f>
        <v>60</v>
      </c>
      <c r="AW880" s="57" t="n">
        <f aca="false">IF(BT880=1,0,ROUNDUP(AV880/BS880,0))</f>
        <v>2</v>
      </c>
      <c r="AX880" s="59" t="n">
        <f aca="false">IF(CH880&gt;0,CH880*MAX(1,AV880/X880),IF(BT880=1,IF(AV880&lt;=0,0,BW880*MAX(1,IF(H880&gt;0,AV880/H880,1))),IF(R880&gt;0,AW880/R880,0))/MAX(0.1,N(Parameter!$M$21)))</f>
        <v>0.0769230769230769</v>
      </c>
      <c r="AY880" s="57" t="n">
        <f aca="false">AV880*G880</f>
        <v>220.8</v>
      </c>
      <c r="AZ880" s="57" t="n">
        <f aca="false">ROUNDUP(MAX(J880/IF(BZ880&gt;0,BZ880,MAX(0.1,N(Cockpit!$O$6))),CC880)/BS880,0)*BS880</f>
        <v>60</v>
      </c>
      <c r="BA880" s="58" t="n">
        <f aca="false">IF(AX880&gt;0,J880/AX880,-1)</f>
        <v>962</v>
      </c>
      <c r="BB880" s="58" t="n">
        <f aca="false">IF(AND(OR(BY880="L1",BY880="L23"),AX880&gt;0),SUMIFS($AX$7:$AX$1843,$BY$7:$BY$1843,BY880,$BA$7:$BA$1843,"&gt;"&amp;BA880)+SUMIFS($AX$7:$AX$1843,$BY$7:$BY$1843,BY880,$BA$7:$BA$1843,BA880,$BQ$7:$BQ$1843,"&lt;="&amp;BQ880),"")</f>
        <v>23.333029289551</v>
      </c>
      <c r="BC880" s="65" t="n">
        <f aca="false">IF(BB880="",0,MAX(0,MIN(1,(IF(BY880="L1",Parameter!$E$5,Parameter!$E$6+Parameter!$E$7)-(BB880-AX880))/AX880)))</f>
        <v>1</v>
      </c>
      <c r="BD880" s="55" t="str">
        <f aca="false">IF(AH880&lt;=0,"",IF(BY880="Aussen","Aussenlager",IF(BY880="-","Nicht im Lift",IF(AM880&gt;=1,"Lift",IF(AM880&lt;=0,"Aussenlager","teilweise")))))</f>
        <v>Lift</v>
      </c>
      <c r="BE880" s="55" t="str">
        <f aca="false">IF(AP880&lt;=0,"",IF(BY880="Aussen","Aussenlager",IF(BY880="-","Nicht im Lift",IF(AU880&gt;=1,"Lift",IF(AU880&lt;=0,"Aussenlager","teilweise")))))</f>
        <v>Lift</v>
      </c>
      <c r="BF880" s="55" t="str">
        <f aca="false">IF(AX880&lt;=0,"",IF(BY880="Aussen","Aussenlager",IF(BY880="-","Nicht im Lift",IF(BC880&gt;=1,"Lift",IF(BC880&lt;=0,"Aussenlager","teilweise")))))</f>
        <v>Lift</v>
      </c>
      <c r="BG880" s="55" t="str">
        <f aca="false">IF(A880="","",IF(BP880=1,"Neu; ","")&amp;IF(AND(BP880=0,BK880&lt;0),"negativer Bestand (Export "&amp;BK880&amp;"); ","")&amp;IF(J880&lt;=0,"Kein Verbrauch; ","")&amp;IF(CH880&gt;0,"Lift "&amp;W880&amp;" lt. Liftbericht (Fach "&amp;X880&amp;" Stk); ",IF(BU880=1,"Gebinde geschätzt ("&amp;T880&amp;"); ",IF(BT880=1,"Lose – Tablare geschätzt; ","")))&amp;IF(H880&gt;AR880,"Überbestand "&amp;ROUND(H880-AR880,0)&amp;" Stk / CHF "&amp;ROUND((H880-AR880)*G880,0)&amp;"; ","")&amp;IF(AND(CA880=1,CB880&lt;CC880),"MAX &lt; MB+LG; ","")&amp;IF(AND(CG880&gt;0,CF880*10&gt;CG880),"zu hoch für Tablar; ","")&amp;IF(AND(BP880=0,OR(CA880=1,AA880&lt;&gt;"",U880&lt;&gt;"",V880&lt;&gt;"",AB880&lt;&gt;"")),"manuell übersteuert; ","")&amp;IF(AND(BT880=0,R880=0),"Gebinde unbekannt / Stellmass fehlt; ","")&amp;IF(AND(BT880=0,N(V880)&lt;=0,N(Q880)&lt;=0),"Menge pro Gebinde fehlt (Ist = 1 Gebinde); ","")&amp;BO880)</f>
        <v>negativer Bestand (Export -8); </v>
      </c>
      <c r="BH880" s="55"/>
      <c r="BI880" s="55"/>
      <c r="BJ880" s="62"/>
      <c r="BK880" s="57" t="n">
        <v>-8</v>
      </c>
      <c r="BL880" s="57" t="n">
        <v>37</v>
      </c>
      <c r="BM880" s="56" t="n">
        <v>-26.85</v>
      </c>
      <c r="BN880" s="57" t="n">
        <v>74</v>
      </c>
      <c r="BO880" s="55"/>
      <c r="BP880" s="60" t="n">
        <v>0</v>
      </c>
      <c r="BQ880" s="60" t="n">
        <v>880</v>
      </c>
      <c r="BR880" s="55" t="str">
        <f aca="false">IF(U880&lt;&gt;"",UPPER(TRIM(U880)),IF(BU880=1,UPPER(VLOOKUP(T880,Parameter!$I$27:$K$29,2,0)),IF(P880="","LOSE",P880)))</f>
        <v>S51</v>
      </c>
      <c r="BS880" s="57" t="n">
        <f aca="false">IF(BR880="LOSE",1,IF(N(V880)&gt;0,V880,IF(BU880=1,MAX(1,N(VLOOKUP(T880,Parameter!$I$27:$K$29,3,0)),H880,N(N880)),IF(N(Q880)&gt;0,Q880,MAX(1,H880)))))</f>
        <v>30</v>
      </c>
      <c r="BT880" s="60" t="n">
        <f aca="false">IF(BR880="LOSE",1,0)</f>
        <v>0</v>
      </c>
      <c r="BU880" s="60" t="n">
        <f aca="false">IF(AND(U880="",OR(P880="",P880="LOSE"),T880&lt;&gt;"",N(S880)&lt;=0,ISNUMBER(MATCH(T880,Parameter!$I$27:$I$29,0))),1,0)</f>
        <v>0</v>
      </c>
      <c r="BV880" s="55" t="str">
        <f aca="false">IF(AND(Parameter!$B$19="Ja",E880&lt;&gt;"",ISNUMBER(MATCH(E880,Parameter!$I$35:$I$52,0))),VLOOKUP(E880,Parameter!$I$35:$J$52,2,0),IFERROR(VLOOKUP(D880,Parameter!$A$35:$C$64,2,0),"Nein"))</f>
        <v>2+3</v>
      </c>
      <c r="BW880" s="59" t="n">
        <f aca="false">IF(BT880=0,0,IF(N(S880)&gt;0,S880,IFERROR(VLOOKUP(D880,Parameter!$A$35:$C$64,3,0)+0,0)))</f>
        <v>0</v>
      </c>
      <c r="BX880" s="55" t="n">
        <f aca="false">IF(AA880&lt;&gt;"",AA880,Z880)</f>
        <v>3</v>
      </c>
      <c r="BY880" s="55" t="str">
        <f aca="false">IF(BX880=1,"L1",IF(OR(BX880=2,BX880=3),"L23",IF(BX880="Aussen","Aussen","-")))</f>
        <v>L23</v>
      </c>
      <c r="BZ880" s="66" t="n">
        <f aca="false">IF(N(AB880)&gt;0,AB880,0)</f>
        <v>0</v>
      </c>
      <c r="CA880" s="60" t="n">
        <f aca="false">IF(ISNUMBER(AE880),1,0)</f>
        <v>0</v>
      </c>
      <c r="CB880" s="57" t="n">
        <f aca="false">N(AE880)</f>
        <v>0</v>
      </c>
      <c r="CC880" s="57" t="n">
        <f aca="false">N(M880)+N(N880)</f>
        <v>54</v>
      </c>
      <c r="CD880" s="57" t="n">
        <f aca="false">ROUNDUP(H880/BS880,0)</f>
        <v>1</v>
      </c>
      <c r="CE880" s="57" t="n">
        <f aca="false">ROUNDUP(CB880/BS880,0)</f>
        <v>0</v>
      </c>
      <c r="CF880" s="60" t="n">
        <f aca="false">IF(BT880=1,0,IFERROR(VLOOKUP(BR880,'Gebinde-Kategorie'!$A$5:$M$45,5,0)+0,0))</f>
        <v>11</v>
      </c>
      <c r="CG880" s="60" t="n">
        <f aca="false">IFERROR(IF(OR(BX880=1,BX880=2,BX880=3),N(INDEX(Parameter!$I$5:$I$7,BX880)),0),0)</f>
        <v>0</v>
      </c>
      <c r="CH880" s="59" t="n">
        <f aca="false">IF(AND(Parameter!$B$21="Ja",ISNUMBER(W880),N(X880)&gt;0),IFERROR(N(INDEX(Parameter!$L$5:$L$7,W880))*INDEX(Parameter!$E$5:$E$7,W880)*X880/SUMIFS($X$7:$X$1843,$W$7:$W$1843,W880),0),0)</f>
        <v>0</v>
      </c>
    </row>
    <row r="881" customFormat="false" ht="15" hidden="false" customHeight="false" outlineLevel="0" collapsed="false">
      <c r="A881" s="55" t="s">
        <v>1666</v>
      </c>
      <c r="B881" s="55" t="s">
        <v>1667</v>
      </c>
      <c r="C881" s="55" t="s">
        <v>164</v>
      </c>
      <c r="D881" s="55" t="s">
        <v>184</v>
      </c>
      <c r="E881" s="55" t="s">
        <v>185</v>
      </c>
      <c r="F881" s="55" t="s">
        <v>218</v>
      </c>
      <c r="G881" s="56" t="n">
        <v>0.18</v>
      </c>
      <c r="H881" s="57" t="n">
        <f aca="false">MAX(0,IF(AND(Parameter!$B$21="Ja",ISNUMBER(Y881)),Y881,IF(Parameter!$B$20="Jahresanfang 2025 + Export",BL881+BK881,BK881)))</f>
        <v>949</v>
      </c>
      <c r="I881" s="57" t="n">
        <f aca="false">H881*G881</f>
        <v>170.82</v>
      </c>
      <c r="J881" s="57" t="n">
        <f aca="false">BN881*Parameter!$B$18</f>
        <v>300</v>
      </c>
      <c r="K881" s="58" t="n">
        <v>675</v>
      </c>
      <c r="L881" s="59" t="n">
        <v>0.444444444444444</v>
      </c>
      <c r="M881" s="57" t="n">
        <v>17</v>
      </c>
      <c r="N881" s="57" t="n">
        <v>1000</v>
      </c>
      <c r="O881" s="60" t="n">
        <v>21</v>
      </c>
      <c r="P881" s="55" t="s">
        <v>186</v>
      </c>
      <c r="Q881" s="57" t="n">
        <v>850</v>
      </c>
      <c r="R881" s="60" t="n">
        <f aca="false">IF(BT881=1,0,IFERROR(VLOOKUP(BR881,'Gebinde-Kategorie'!$A$5:$M$45,13,0)+0,0))</f>
        <v>12</v>
      </c>
      <c r="S881" s="61"/>
      <c r="T881" s="62"/>
      <c r="U881" s="62"/>
      <c r="V881" s="62"/>
      <c r="W881" s="55"/>
      <c r="X881" s="57"/>
      <c r="Y881" s="57"/>
      <c r="Z881" s="55" t="n">
        <f aca="false">IF(A881="","",IF(AND(Parameter!$B$21="Ja",ISNUMBER(W881)),W881,IF(BV881="2+3",IF(ISNUMBER(SEARCH("grosser Artikel",BO881)),2,IFERROR(VLOOKUP(BR881,Parameter!$F$35:$G$64,2,0),2)),IF(OR(BV881="Nein",BV881=""),"-",BV881))))</f>
        <v>2</v>
      </c>
      <c r="AA881" s="62"/>
      <c r="AB881" s="63"/>
      <c r="AC881" s="57" t="n">
        <f aca="false">AR881</f>
        <v>1700</v>
      </c>
      <c r="AD881" s="57" t="n">
        <f aca="false">MAX(AR881,H881)</f>
        <v>1700</v>
      </c>
      <c r="AE881" s="64"/>
      <c r="AF881" s="57" t="n">
        <f aca="false">IF(LEFT(Cockpit!$C$5,1)="A",H881,IF(CA881=1,CB881,IF(LEFT(Cockpit!$C$5,1)="B",AJ881,MAX(AJ881,H881))))</f>
        <v>949</v>
      </c>
      <c r="AG881" s="57" t="n">
        <f aca="false">IF(BT881=1,0,ROUNDUP(AF881/BS881,0))</f>
        <v>2</v>
      </c>
      <c r="AH881" s="59" t="n">
        <f aca="false">IF(CH881&gt;0,CH881*MAX(1,AF881/X881),IF(BT881=1,IF(AF881&lt;=0,0,BW881*MAX(1,IF(H881&gt;0,AF881/H881,1))),IF(R881&gt;0,AG881/R881,0))/MAX(0.1,N(Parameter!$M$21)))</f>
        <v>0.166666666666667</v>
      </c>
      <c r="AI881" s="57" t="n">
        <f aca="false">AF881*G881</f>
        <v>170.82</v>
      </c>
      <c r="AJ881" s="57" t="n">
        <f aca="false">ROUNDUP(MAX(J881/IF(BZ881&gt;0,BZ881,MAX(0.1,N(Cockpit!$C$6))),CC881)/BS881,0)*BS881</f>
        <v>1700</v>
      </c>
      <c r="AK881" s="58" t="n">
        <f aca="false">IF(AH881&gt;0,J881/AH881,-1)</f>
        <v>1800</v>
      </c>
      <c r="AL881" s="58" t="n">
        <f aca="false">IF(AND(OR(BY881="L1",BY881="L23"),AH881&gt;0),SUMIFS($AH$7:$AH$1843,$BY$7:$BY$1843,BY881,$AK$7:$AK$1843,"&gt;"&amp;AK881)+SUMIFS($AH$7:$AH$1843,$BY$7:$BY$1843,BY881,$AK$7:$AK$1843,AK881,$BQ$7:$BQ$1843,"&lt;="&amp;BQ881),"")</f>
        <v>14.4390392216479</v>
      </c>
      <c r="AM881" s="65" t="n">
        <f aca="false">IF(AL881="",0,MAX(0,MIN(1,(IF(BY881="L1",Parameter!$E$5,Parameter!$E$6+Parameter!$E$7)-(AL881-AH881))/AH881)))</f>
        <v>1</v>
      </c>
      <c r="AN881" s="57" t="n">
        <f aca="false">IF(LEFT(Cockpit!$I$5,1)="A",H881,IF(CA881=1,CB881,IF(LEFT(Cockpit!$I$5,1)="B",AR881,MAX(AR881,H881))))</f>
        <v>1700</v>
      </c>
      <c r="AO881" s="57" t="n">
        <f aca="false">IF(BT881=1,0,ROUNDUP(AN881/BS881,0))</f>
        <v>2</v>
      </c>
      <c r="AP881" s="59" t="n">
        <f aca="false">IF(CH881&gt;0,CH881*MAX(1,AN881/X881),IF(BT881=1,IF(AN881&lt;=0,0,BW881*MAX(1,IF(H881&gt;0,AN881/H881,1))),IF(R881&gt;0,AO881/R881,0))/MAX(0.1,N(Parameter!$M$21)))</f>
        <v>0.166666666666667</v>
      </c>
      <c r="AQ881" s="57" t="n">
        <f aca="false">AN881*G881</f>
        <v>306</v>
      </c>
      <c r="AR881" s="57" t="n">
        <f aca="false">ROUNDUP(MAX(J881/IF(BZ881&gt;0,BZ881,MAX(0.1,N(Cockpit!$I$6))),CC881)/BS881,0)*BS881</f>
        <v>1700</v>
      </c>
      <c r="AS881" s="58" t="n">
        <f aca="false">IF(AP881&gt;0,J881/AP881,-1)</f>
        <v>1800</v>
      </c>
      <c r="AT881" s="58" t="n">
        <f aca="false">IF(AND(OR(BY881="L1",BY881="L23"),AP881&gt;0),SUMIFS($AP$7:$AP$1843,$BY$7:$BY$1843,BY881,$AS$7:$AS$1843,"&gt;"&amp;AS881)+SUMIFS($AP$7:$AP$1843,$BY$7:$BY$1843,BY881,$AS$7:$AS$1843,AS881,$BQ$7:$BQ$1843,"&lt;="&amp;BQ881),"")</f>
        <v>19.5098983142461</v>
      </c>
      <c r="AU881" s="65" t="n">
        <f aca="false">IF(AT881="",0,MAX(0,MIN(1,(IF(BY881="L1",Parameter!$E$5,Parameter!$E$6+Parameter!$E$7)-(AT881-AP881))/AP881)))</f>
        <v>1</v>
      </c>
      <c r="AV881" s="57" t="n">
        <f aca="false">IF(LEFT(Cockpit!$O$5,1)="A",H881,IF(CA881=1,CB881,IF(LEFT(Cockpit!$O$5,1)="B",AZ881,MAX(AZ881,H881))))</f>
        <v>1700</v>
      </c>
      <c r="AW881" s="57" t="n">
        <f aca="false">IF(BT881=1,0,ROUNDUP(AV881/BS881,0))</f>
        <v>2</v>
      </c>
      <c r="AX881" s="59" t="n">
        <f aca="false">IF(CH881&gt;0,CH881*MAX(1,AV881/X881),IF(BT881=1,IF(AV881&lt;=0,0,BW881*MAX(1,IF(H881&gt;0,AV881/H881,1))),IF(R881&gt;0,AW881/R881,0))/MAX(0.1,N(Parameter!$M$21)))</f>
        <v>0.166666666666667</v>
      </c>
      <c r="AY881" s="57" t="n">
        <f aca="false">AV881*G881</f>
        <v>306</v>
      </c>
      <c r="AZ881" s="57" t="n">
        <f aca="false">ROUNDUP(MAX(J881/IF(BZ881&gt;0,BZ881,MAX(0.1,N(Cockpit!$O$6))),CC881)/BS881,0)*BS881</f>
        <v>1700</v>
      </c>
      <c r="BA881" s="58" t="n">
        <f aca="false">IF(AX881&gt;0,J881/AX881,-1)</f>
        <v>1800</v>
      </c>
      <c r="BB881" s="58" t="n">
        <f aca="false">IF(AND(OR(BY881="L1",BY881="L23"),AX881&gt;0),SUMIFS($AX$7:$AX$1843,$BY$7:$BY$1843,BY881,$BA$7:$BA$1843,"&gt;"&amp;BA881)+SUMIFS($AX$7:$AX$1843,$BY$7:$BY$1843,BY881,$BA$7:$BA$1843,BA881,$BQ$7:$BQ$1843,"&lt;="&amp;BQ881),"")</f>
        <v>18.3717864261343</v>
      </c>
      <c r="BC881" s="65" t="n">
        <f aca="false">IF(BB881="",0,MAX(0,MIN(1,(IF(BY881="L1",Parameter!$E$5,Parameter!$E$6+Parameter!$E$7)-(BB881-AX881))/AX881)))</f>
        <v>1</v>
      </c>
      <c r="BD881" s="55" t="str">
        <f aca="false">IF(AH881&lt;=0,"",IF(BY881="Aussen","Aussenlager",IF(BY881="-","Nicht im Lift",IF(AM881&gt;=1,"Lift",IF(AM881&lt;=0,"Aussenlager","teilweise")))))</f>
        <v>Lift</v>
      </c>
      <c r="BE881" s="55" t="str">
        <f aca="false">IF(AP881&lt;=0,"",IF(BY881="Aussen","Aussenlager",IF(BY881="-","Nicht im Lift",IF(AU881&gt;=1,"Lift",IF(AU881&lt;=0,"Aussenlager","teilweise")))))</f>
        <v>Lift</v>
      </c>
      <c r="BF881" s="55" t="str">
        <f aca="false">IF(AX881&lt;=0,"",IF(BY881="Aussen","Aussenlager",IF(BY881="-","Nicht im Lift",IF(BC881&gt;=1,"Lift",IF(BC881&lt;=0,"Aussenlager","teilweise")))))</f>
        <v>Lift</v>
      </c>
      <c r="BG881" s="55" t="str">
        <f aca="false">IF(A881="","",IF(BP881=1,"Neu; ","")&amp;IF(AND(BP881=0,BK881&lt;0),"negativer Bestand (Export "&amp;BK881&amp;"); ","")&amp;IF(J881&lt;=0,"Kein Verbrauch; ","")&amp;IF(CH881&gt;0,"Lift "&amp;W881&amp;" lt. Liftbericht (Fach "&amp;X881&amp;" Stk); ",IF(BU881=1,"Gebinde geschätzt ("&amp;T881&amp;"); ",IF(BT881=1,"Lose – Tablare geschätzt; ","")))&amp;IF(H881&gt;AR881,"Überbestand "&amp;ROUND(H881-AR881,0)&amp;" Stk / CHF "&amp;ROUND((H881-AR881)*G881,0)&amp;"; ","")&amp;IF(AND(CA881=1,CB881&lt;CC881),"MAX &lt; MB+LG; ","")&amp;IF(AND(CG881&gt;0,CF881*10&gt;CG881),"zu hoch für Tablar; ","")&amp;IF(AND(BP881=0,OR(CA881=1,AA881&lt;&gt;"",U881&lt;&gt;"",V881&lt;&gt;"",AB881&lt;&gt;"")),"manuell übersteuert; ","")&amp;IF(AND(BT881=0,R881=0),"Gebinde unbekannt / Stellmass fehlt; ","")&amp;IF(AND(BT881=0,N(V881)&lt;=0,N(Q881)&lt;=0),"Menge pro Gebinde fehlt (Ist = 1 Gebinde); ","")&amp;BO881)</f>
        <v>negativer Bestand (Export -151); </v>
      </c>
      <c r="BH881" s="55"/>
      <c r="BI881" s="55"/>
      <c r="BJ881" s="62"/>
      <c r="BK881" s="57" t="n">
        <v>-151</v>
      </c>
      <c r="BL881" s="57" t="n">
        <v>1100</v>
      </c>
      <c r="BM881" s="56" t="n">
        <v>-27.18</v>
      </c>
      <c r="BN881" s="57" t="n">
        <v>300</v>
      </c>
      <c r="BO881" s="55"/>
      <c r="BP881" s="60" t="n">
        <v>0</v>
      </c>
      <c r="BQ881" s="60" t="n">
        <v>881</v>
      </c>
      <c r="BR881" s="55" t="str">
        <f aca="false">IF(U881&lt;&gt;"",UPPER(TRIM(U881)),IF(BU881=1,UPPER(VLOOKUP(T881,Parameter!$I$27:$K$29,2,0)),IF(P881="","LOSE",P881)))</f>
        <v>S61</v>
      </c>
      <c r="BS881" s="57" t="n">
        <f aca="false">IF(BR881="LOSE",1,IF(N(V881)&gt;0,V881,IF(BU881=1,MAX(1,N(VLOOKUP(T881,Parameter!$I$27:$K$29,3,0)),H881,N(N881)),IF(N(Q881)&gt;0,Q881,MAX(1,H881)))))</f>
        <v>850</v>
      </c>
      <c r="BT881" s="60" t="n">
        <f aca="false">IF(BR881="LOSE",1,0)</f>
        <v>0</v>
      </c>
      <c r="BU881" s="60" t="n">
        <f aca="false">IF(AND(U881="",OR(P881="",P881="LOSE"),T881&lt;&gt;"",N(S881)&lt;=0,ISNUMBER(MATCH(T881,Parameter!$I$27:$I$29,0))),1,0)</f>
        <v>0</v>
      </c>
      <c r="BV881" s="55" t="str">
        <f aca="false">IF(AND(Parameter!$B$19="Ja",E881&lt;&gt;"",ISNUMBER(MATCH(E881,Parameter!$I$35:$I$52,0))),VLOOKUP(E881,Parameter!$I$35:$J$52,2,0),IFERROR(VLOOKUP(D881,Parameter!$A$35:$C$64,2,0),"Nein"))</f>
        <v>2+3</v>
      </c>
      <c r="BW881" s="59" t="n">
        <f aca="false">IF(BT881=0,0,IF(N(S881)&gt;0,S881,IFERROR(VLOOKUP(D881,Parameter!$A$35:$C$64,3,0)+0,0)))</f>
        <v>0</v>
      </c>
      <c r="BX881" s="55" t="n">
        <f aca="false">IF(AA881&lt;&gt;"",AA881,Z881)</f>
        <v>2</v>
      </c>
      <c r="BY881" s="55" t="str">
        <f aca="false">IF(BX881=1,"L1",IF(OR(BX881=2,BX881=3),"L23",IF(BX881="Aussen","Aussen","-")))</f>
        <v>L23</v>
      </c>
      <c r="BZ881" s="66" t="n">
        <f aca="false">IF(N(AB881)&gt;0,AB881,0)</f>
        <v>0</v>
      </c>
      <c r="CA881" s="60" t="n">
        <f aca="false">IF(ISNUMBER(AE881),1,0)</f>
        <v>0</v>
      </c>
      <c r="CB881" s="57" t="n">
        <f aca="false">N(AE881)</f>
        <v>0</v>
      </c>
      <c r="CC881" s="57" t="n">
        <f aca="false">N(M881)+N(N881)</f>
        <v>1017</v>
      </c>
      <c r="CD881" s="57" t="n">
        <f aca="false">ROUNDUP(H881/BS881,0)</f>
        <v>2</v>
      </c>
      <c r="CE881" s="57" t="n">
        <f aca="false">ROUNDUP(CB881/BS881,0)</f>
        <v>0</v>
      </c>
      <c r="CF881" s="60" t="n">
        <f aca="false">IF(BT881=1,0,IFERROR(VLOOKUP(BR881,'Gebinde-Kategorie'!$A$5:$M$45,5,0)+0,0))</f>
        <v>11</v>
      </c>
      <c r="CG881" s="60" t="n">
        <f aca="false">IFERROR(IF(OR(BX881=1,BX881=2,BX881=3),N(INDEX(Parameter!$I$5:$I$7,BX881)),0),0)</f>
        <v>0</v>
      </c>
      <c r="CH881" s="59" t="n">
        <f aca="false">IF(AND(Parameter!$B$21="Ja",ISNUMBER(W881),N(X881)&gt;0),IFERROR(N(INDEX(Parameter!$L$5:$L$7,W881))*INDEX(Parameter!$E$5:$E$7,W881)*X881/SUMIFS($X$7:$X$1843,$W$7:$W$1843,W881),0),0)</f>
        <v>0</v>
      </c>
    </row>
    <row r="882" customFormat="false" ht="15" hidden="false" customHeight="false" outlineLevel="0" collapsed="false">
      <c r="A882" s="55" t="s">
        <v>1668</v>
      </c>
      <c r="B882" s="55" t="s">
        <v>489</v>
      </c>
      <c r="C882" s="55" t="s">
        <v>164</v>
      </c>
      <c r="D882" s="55" t="s">
        <v>184</v>
      </c>
      <c r="E882" s="55" t="s">
        <v>185</v>
      </c>
      <c r="F882" s="55" t="s">
        <v>218</v>
      </c>
      <c r="G882" s="56" t="n">
        <v>1.78</v>
      </c>
      <c r="H882" s="57" t="n">
        <f aca="false">MAX(0,IF(AND(Parameter!$B$21="Ja",ISNUMBER(Y882)),Y882,IF(Parameter!$B$20="Jahresanfang 2025 + Export",BL882+BK882,BK882)))</f>
        <v>104</v>
      </c>
      <c r="I882" s="57" t="n">
        <f aca="false">H882*G882</f>
        <v>185.12</v>
      </c>
      <c r="J882" s="57" t="n">
        <f aca="false">BN882*Parameter!$B$18</f>
        <v>187</v>
      </c>
      <c r="K882" s="58" t="n">
        <v>180</v>
      </c>
      <c r="L882" s="59" t="n">
        <v>1.03888888888889</v>
      </c>
      <c r="M882" s="57" t="n">
        <v>7</v>
      </c>
      <c r="N882" s="57" t="n">
        <v>185</v>
      </c>
      <c r="O882" s="60" t="n">
        <v>14</v>
      </c>
      <c r="P882" s="55" t="s">
        <v>426</v>
      </c>
      <c r="Q882" s="57" t="n">
        <v>547</v>
      </c>
      <c r="R882" s="60" t="n">
        <f aca="false">IF(BT882=1,0,IFERROR(VLOOKUP(BR882,'Gebinde-Kategorie'!$A$5:$M$45,13,0)+0,0))</f>
        <v>198</v>
      </c>
      <c r="S882" s="61"/>
      <c r="T882" s="62"/>
      <c r="U882" s="62"/>
      <c r="V882" s="62"/>
      <c r="W882" s="55"/>
      <c r="X882" s="57"/>
      <c r="Y882" s="57"/>
      <c r="Z882" s="55" t="n">
        <f aca="false">IF(A882="","",IF(AND(Parameter!$B$21="Ja",ISNUMBER(W882)),W882,IF(BV882="2+3",IF(ISNUMBER(SEARCH("grosser Artikel",BO882)),2,IFERROR(VLOOKUP(BR882,Parameter!$F$35:$G$64,2,0),2)),IF(OR(BV882="Nein",BV882=""),"-",BV882))))</f>
        <v>3</v>
      </c>
      <c r="AA882" s="62"/>
      <c r="AB882" s="63"/>
      <c r="AC882" s="57" t="n">
        <f aca="false">AR882</f>
        <v>547</v>
      </c>
      <c r="AD882" s="57" t="n">
        <f aca="false">MAX(AR882,H882)</f>
        <v>547</v>
      </c>
      <c r="AE882" s="64"/>
      <c r="AF882" s="57" t="n">
        <f aca="false">IF(LEFT(Cockpit!$C$5,1)="A",H882,IF(CA882=1,CB882,IF(LEFT(Cockpit!$C$5,1)="B",AJ882,MAX(AJ882,H882))))</f>
        <v>104</v>
      </c>
      <c r="AG882" s="57" t="n">
        <f aca="false">IF(BT882=1,0,ROUNDUP(AF882/BS882,0))</f>
        <v>1</v>
      </c>
      <c r="AH882" s="59" t="n">
        <f aca="false">IF(CH882&gt;0,CH882*MAX(1,AF882/X882),IF(BT882=1,IF(AF882&lt;=0,0,BW882*MAX(1,IF(H882&gt;0,AF882/H882,1))),IF(R882&gt;0,AG882/R882,0))/MAX(0.1,N(Parameter!$M$21)))</f>
        <v>0.00505050505050505</v>
      </c>
      <c r="AI882" s="57" t="n">
        <f aca="false">AF882*G882</f>
        <v>185.12</v>
      </c>
      <c r="AJ882" s="57" t="n">
        <f aca="false">ROUNDUP(MAX(J882/IF(BZ882&gt;0,BZ882,MAX(0.1,N(Cockpit!$C$6))),CC882)/BS882,0)*BS882</f>
        <v>547</v>
      </c>
      <c r="AK882" s="58" t="n">
        <f aca="false">IF(AH882&gt;0,J882/AH882,-1)</f>
        <v>37026</v>
      </c>
      <c r="AL882" s="58" t="n">
        <f aca="false">IF(AND(OR(BY882="L1",BY882="L23"),AH882&gt;0),SUMIFS($AH$7:$AH$1843,$BY$7:$BY$1843,BY882,$AK$7:$AK$1843,"&gt;"&amp;AK882)+SUMIFS($AH$7:$AH$1843,$BY$7:$BY$1843,BY882,$AK$7:$AK$1843,AK882,$BQ$7:$BQ$1843,"&lt;="&amp;BQ882),"")</f>
        <v>2.09457450761799</v>
      </c>
      <c r="AM882" s="65" t="n">
        <f aca="false">IF(AL882="",0,MAX(0,MIN(1,(IF(BY882="L1",Parameter!$E$5,Parameter!$E$6+Parameter!$E$7)-(AL882-AH882))/AH882)))</f>
        <v>1</v>
      </c>
      <c r="AN882" s="57" t="n">
        <f aca="false">IF(LEFT(Cockpit!$I$5,1)="A",H882,IF(CA882=1,CB882,IF(LEFT(Cockpit!$I$5,1)="B",AR882,MAX(AR882,H882))))</f>
        <v>547</v>
      </c>
      <c r="AO882" s="57" t="n">
        <f aca="false">IF(BT882=1,0,ROUNDUP(AN882/BS882,0))</f>
        <v>1</v>
      </c>
      <c r="AP882" s="59" t="n">
        <f aca="false">IF(CH882&gt;0,CH882*MAX(1,AN882/X882),IF(BT882=1,IF(AN882&lt;=0,0,BW882*MAX(1,IF(H882&gt;0,AN882/H882,1))),IF(R882&gt;0,AO882/R882,0))/MAX(0.1,N(Parameter!$M$21)))</f>
        <v>0.00505050505050505</v>
      </c>
      <c r="AQ882" s="57" t="n">
        <f aca="false">AN882*G882</f>
        <v>973.66</v>
      </c>
      <c r="AR882" s="57" t="n">
        <f aca="false">ROUNDUP(MAX(J882/IF(BZ882&gt;0,BZ882,MAX(0.1,N(Cockpit!$I$6))),CC882)/BS882,0)*BS882</f>
        <v>547</v>
      </c>
      <c r="AS882" s="58" t="n">
        <f aca="false">IF(AP882&gt;0,J882/AP882,-1)</f>
        <v>37026</v>
      </c>
      <c r="AT882" s="58" t="n">
        <f aca="false">IF(AND(OR(BY882="L1",BY882="L23"),AP882&gt;0),SUMIFS($AP$7:$AP$1843,$BY$7:$BY$1843,BY882,$AS$7:$AS$1843,"&gt;"&amp;AS882)+SUMIFS($AP$7:$AP$1843,$BY$7:$BY$1843,BY882,$AS$7:$AS$1843,AS882,$BQ$7:$BQ$1843,"&lt;="&amp;BQ882),"")</f>
        <v>2.0598881794534</v>
      </c>
      <c r="AU882" s="65" t="n">
        <f aca="false">IF(AT882="",0,MAX(0,MIN(1,(IF(BY882="L1",Parameter!$E$5,Parameter!$E$6+Parameter!$E$7)-(AT882-AP882))/AP882)))</f>
        <v>1</v>
      </c>
      <c r="AV882" s="57" t="n">
        <f aca="false">IF(LEFT(Cockpit!$O$5,1)="A",H882,IF(CA882=1,CB882,IF(LEFT(Cockpit!$O$5,1)="B",AZ882,MAX(AZ882,H882))))</f>
        <v>547</v>
      </c>
      <c r="AW882" s="57" t="n">
        <f aca="false">IF(BT882=1,0,ROUNDUP(AV882/BS882,0))</f>
        <v>1</v>
      </c>
      <c r="AX882" s="59" t="n">
        <f aca="false">IF(CH882&gt;0,CH882*MAX(1,AV882/X882),IF(BT882=1,IF(AV882&lt;=0,0,BW882*MAX(1,IF(H882&gt;0,AV882/H882,1))),IF(R882&gt;0,AW882/R882,0))/MAX(0.1,N(Parameter!$M$21)))</f>
        <v>0.00505050505050505</v>
      </c>
      <c r="AY882" s="57" t="n">
        <f aca="false">AV882*G882</f>
        <v>973.66</v>
      </c>
      <c r="AZ882" s="57" t="n">
        <f aca="false">ROUNDUP(MAX(J882/IF(BZ882&gt;0,BZ882,MAX(0.1,N(Cockpit!$O$6))),CC882)/BS882,0)*BS882</f>
        <v>547</v>
      </c>
      <c r="BA882" s="58" t="n">
        <f aca="false">IF(AX882&gt;0,J882/AX882,-1)</f>
        <v>37026</v>
      </c>
      <c r="BB882" s="58" t="n">
        <f aca="false">IF(AND(OR(BY882="L1",BY882="L23"),AX882&gt;0),SUMIFS($AX$7:$AX$1843,$BY$7:$BY$1843,BY882,$BA$7:$BA$1843,"&gt;"&amp;BA882)+SUMIFS($AX$7:$AX$1843,$BY$7:$BY$1843,BY882,$BA$7:$BA$1843,BA882,$BQ$7:$BQ$1843,"&lt;="&amp;BQ882),"")</f>
        <v>2.32795344751867</v>
      </c>
      <c r="BC882" s="65" t="n">
        <f aca="false">IF(BB882="",0,MAX(0,MIN(1,(IF(BY882="L1",Parameter!$E$5,Parameter!$E$6+Parameter!$E$7)-(BB882-AX882))/AX882)))</f>
        <v>1</v>
      </c>
      <c r="BD882" s="55" t="str">
        <f aca="false">IF(AH882&lt;=0,"",IF(BY882="Aussen","Aussenlager",IF(BY882="-","Nicht im Lift",IF(AM882&gt;=1,"Lift",IF(AM882&lt;=0,"Aussenlager","teilweise")))))</f>
        <v>Lift</v>
      </c>
      <c r="BE882" s="55" t="str">
        <f aca="false">IF(AP882&lt;=0,"",IF(BY882="Aussen","Aussenlager",IF(BY882="-","Nicht im Lift",IF(AU882&gt;=1,"Lift",IF(AU882&lt;=0,"Aussenlager","teilweise")))))</f>
        <v>Lift</v>
      </c>
      <c r="BF882" s="55" t="str">
        <f aca="false">IF(AX882&lt;=0,"",IF(BY882="Aussen","Aussenlager",IF(BY882="-","Nicht im Lift",IF(BC882&gt;=1,"Lift",IF(BC882&lt;=0,"Aussenlager","teilweise")))))</f>
        <v>Lift</v>
      </c>
      <c r="BG882" s="55" t="str">
        <f aca="false">IF(A882="","",IF(BP882=1,"Neu; ","")&amp;IF(AND(BP882=0,BK882&lt;0),"negativer Bestand (Export "&amp;BK882&amp;"); ","")&amp;IF(J882&lt;=0,"Kein Verbrauch; ","")&amp;IF(CH882&gt;0,"Lift "&amp;W882&amp;" lt. Liftbericht (Fach "&amp;X882&amp;" Stk); ",IF(BU882=1,"Gebinde geschätzt ("&amp;T882&amp;"); ",IF(BT882=1,"Lose – Tablare geschätzt; ","")))&amp;IF(H882&gt;AR882,"Überbestand "&amp;ROUND(H882-AR882,0)&amp;" Stk / CHF "&amp;ROUND((H882-AR882)*G882,0)&amp;"; ","")&amp;IF(AND(CA882=1,CB882&lt;CC882),"MAX &lt; MB+LG; ","")&amp;IF(AND(CG882&gt;0,CF882*10&gt;CG882),"zu hoch für Tablar; ","")&amp;IF(AND(BP882=0,OR(CA882=1,AA882&lt;&gt;"",U882&lt;&gt;"",V882&lt;&gt;"",AB882&lt;&gt;"")),"manuell übersteuert; ","")&amp;IF(AND(BT882=0,R882=0),"Gebinde unbekannt / Stellmass fehlt; ","")&amp;IF(AND(BT882=0,N(V882)&lt;=0,N(Q882)&lt;=0),"Menge pro Gebinde fehlt (Ist = 1 Gebinde); ","")&amp;BO882)</f>
        <v>negativer Bestand (Export -14); </v>
      </c>
      <c r="BH882" s="55"/>
      <c r="BI882" s="55"/>
      <c r="BJ882" s="62"/>
      <c r="BK882" s="57" t="n">
        <v>-14</v>
      </c>
      <c r="BL882" s="57" t="n">
        <v>118</v>
      </c>
      <c r="BM882" s="56" t="n">
        <v>-27.1800000000001</v>
      </c>
      <c r="BN882" s="57" t="n">
        <v>187</v>
      </c>
      <c r="BO882" s="55"/>
      <c r="BP882" s="60" t="n">
        <v>0</v>
      </c>
      <c r="BQ882" s="60" t="n">
        <v>882</v>
      </c>
      <c r="BR882" s="55" t="str">
        <f aca="false">IF(U882&lt;&gt;"",UPPER(TRIM(U882)),IF(BU882=1,UPPER(VLOOKUP(T882,Parameter!$I$27:$K$29,2,0)),IF(P882="","LOSE",P882)))</f>
        <v>S22</v>
      </c>
      <c r="BS882" s="57" t="n">
        <f aca="false">IF(BR882="LOSE",1,IF(N(V882)&gt;0,V882,IF(BU882=1,MAX(1,N(VLOOKUP(T882,Parameter!$I$27:$K$29,3,0)),H882,N(N882)),IF(N(Q882)&gt;0,Q882,MAX(1,H882)))))</f>
        <v>547</v>
      </c>
      <c r="BT882" s="60" t="n">
        <f aca="false">IF(BR882="LOSE",1,0)</f>
        <v>0</v>
      </c>
      <c r="BU882" s="60" t="n">
        <f aca="false">IF(AND(U882="",OR(P882="",P882="LOSE"),T882&lt;&gt;"",N(S882)&lt;=0,ISNUMBER(MATCH(T882,Parameter!$I$27:$I$29,0))),1,0)</f>
        <v>0</v>
      </c>
      <c r="BV882" s="55" t="str">
        <f aca="false">IF(AND(Parameter!$B$19="Ja",E882&lt;&gt;"",ISNUMBER(MATCH(E882,Parameter!$I$35:$I$52,0))),VLOOKUP(E882,Parameter!$I$35:$J$52,2,0),IFERROR(VLOOKUP(D882,Parameter!$A$35:$C$64,2,0),"Nein"))</f>
        <v>2+3</v>
      </c>
      <c r="BW882" s="59" t="n">
        <f aca="false">IF(BT882=0,0,IF(N(S882)&gt;0,S882,IFERROR(VLOOKUP(D882,Parameter!$A$35:$C$64,3,0)+0,0)))</f>
        <v>0</v>
      </c>
      <c r="BX882" s="55" t="n">
        <f aca="false">IF(AA882&lt;&gt;"",AA882,Z882)</f>
        <v>3</v>
      </c>
      <c r="BY882" s="55" t="str">
        <f aca="false">IF(BX882=1,"L1",IF(OR(BX882=2,BX882=3),"L23",IF(BX882="Aussen","Aussen","-")))</f>
        <v>L23</v>
      </c>
      <c r="BZ882" s="66" t="n">
        <f aca="false">IF(N(AB882)&gt;0,AB882,0)</f>
        <v>0</v>
      </c>
      <c r="CA882" s="60" t="n">
        <f aca="false">IF(ISNUMBER(AE882),1,0)</f>
        <v>0</v>
      </c>
      <c r="CB882" s="57" t="n">
        <f aca="false">N(AE882)</f>
        <v>0</v>
      </c>
      <c r="CC882" s="57" t="n">
        <f aca="false">N(M882)+N(N882)</f>
        <v>192</v>
      </c>
      <c r="CD882" s="57" t="n">
        <f aca="false">ROUNDUP(H882/BS882,0)</f>
        <v>1</v>
      </c>
      <c r="CE882" s="57" t="n">
        <f aca="false">ROUNDUP(CB882/BS882,0)</f>
        <v>0</v>
      </c>
      <c r="CF882" s="60" t="n">
        <f aca="false">IF(BT882=1,0,IFERROR(VLOOKUP(BR882,'Gebinde-Kategorie'!$A$5:$M$45,5,0)+0,0))</f>
        <v>8</v>
      </c>
      <c r="CG882" s="60" t="n">
        <f aca="false">IFERROR(IF(OR(BX882=1,BX882=2,BX882=3),N(INDEX(Parameter!$I$5:$I$7,BX882)),0),0)</f>
        <v>0</v>
      </c>
      <c r="CH882" s="59" t="n">
        <f aca="false">IF(AND(Parameter!$B$21="Ja",ISNUMBER(W882),N(X882)&gt;0),IFERROR(N(INDEX(Parameter!$L$5:$L$7,W882))*INDEX(Parameter!$E$5:$E$7,W882)*X882/SUMIFS($X$7:$X$1843,$W$7:$W$1843,W882),0),0)</f>
        <v>0</v>
      </c>
    </row>
    <row r="883" customFormat="false" ht="15" hidden="false" customHeight="false" outlineLevel="0" collapsed="false">
      <c r="A883" s="55" t="s">
        <v>1669</v>
      </c>
      <c r="B883" s="55" t="s">
        <v>1670</v>
      </c>
      <c r="C883" s="55" t="s">
        <v>164</v>
      </c>
      <c r="D883" s="55" t="s">
        <v>184</v>
      </c>
      <c r="E883" s="55" t="s">
        <v>185</v>
      </c>
      <c r="F883" s="55" t="s">
        <v>218</v>
      </c>
      <c r="G883" s="56" t="n">
        <v>27.73</v>
      </c>
      <c r="H883" s="57" t="n">
        <f aca="false">MAX(0,IF(AND(Parameter!$B$21="Ja",ISNUMBER(Y883)),Y883,IF(Parameter!$B$20="Jahresanfang 2025 + Export",BL883+BK883,BK883)))</f>
        <v>27</v>
      </c>
      <c r="I883" s="57" t="n">
        <f aca="false">H883*G883</f>
        <v>748.71</v>
      </c>
      <c r="J883" s="57" t="n">
        <f aca="false">BN883*Parameter!$B$18</f>
        <v>1</v>
      </c>
      <c r="K883" s="58" t="n">
        <v>27.5</v>
      </c>
      <c r="L883" s="59" t="n">
        <v>0.0363636363636364</v>
      </c>
      <c r="M883" s="57" t="n">
        <v>0</v>
      </c>
      <c r="N883" s="57" t="n">
        <v>1</v>
      </c>
      <c r="O883" s="60" t="n">
        <v>21</v>
      </c>
      <c r="P883" s="55" t="s">
        <v>421</v>
      </c>
      <c r="Q883" s="57" t="n">
        <v>36</v>
      </c>
      <c r="R883" s="60" t="n">
        <f aca="false">IF(BT883=1,0,IFERROR(VLOOKUP(BR883,'Gebinde-Kategorie'!$A$5:$M$45,13,0)+0,0))</f>
        <v>132</v>
      </c>
      <c r="S883" s="61"/>
      <c r="T883" s="62"/>
      <c r="U883" s="62"/>
      <c r="V883" s="62"/>
      <c r="W883" s="55"/>
      <c r="X883" s="57"/>
      <c r="Y883" s="57"/>
      <c r="Z883" s="55" t="n">
        <f aca="false">IF(A883="","",IF(AND(Parameter!$B$21="Ja",ISNUMBER(W883)),W883,IF(BV883="2+3",IF(ISNUMBER(SEARCH("grosser Artikel",BO883)),2,IFERROR(VLOOKUP(BR883,Parameter!$F$35:$G$64,2,0),2)),IF(OR(BV883="Nein",BV883=""),"-",BV883))))</f>
        <v>3</v>
      </c>
      <c r="AA883" s="62"/>
      <c r="AB883" s="63"/>
      <c r="AC883" s="57" t="n">
        <f aca="false">AR883</f>
        <v>36</v>
      </c>
      <c r="AD883" s="57" t="n">
        <f aca="false">MAX(AR883,H883)</f>
        <v>36</v>
      </c>
      <c r="AE883" s="64"/>
      <c r="AF883" s="57" t="n">
        <f aca="false">IF(LEFT(Cockpit!$C$5,1)="A",H883,IF(CA883=1,CB883,IF(LEFT(Cockpit!$C$5,1)="B",AJ883,MAX(AJ883,H883))))</f>
        <v>27</v>
      </c>
      <c r="AG883" s="57" t="n">
        <f aca="false">IF(BT883=1,0,ROUNDUP(AF883/BS883,0))</f>
        <v>1</v>
      </c>
      <c r="AH883" s="59" t="n">
        <f aca="false">IF(CH883&gt;0,CH883*MAX(1,AF883/X883),IF(BT883=1,IF(AF883&lt;=0,0,BW883*MAX(1,IF(H883&gt;0,AF883/H883,1))),IF(R883&gt;0,AG883/R883,0))/MAX(0.1,N(Parameter!$M$21)))</f>
        <v>0.00757575757575758</v>
      </c>
      <c r="AI883" s="57" t="n">
        <f aca="false">AF883*G883</f>
        <v>748.71</v>
      </c>
      <c r="AJ883" s="57" t="n">
        <f aca="false">ROUNDUP(MAX(J883/IF(BZ883&gt;0,BZ883,MAX(0.1,N(Cockpit!$C$6))),CC883)/BS883,0)*BS883</f>
        <v>36</v>
      </c>
      <c r="AK883" s="58" t="n">
        <f aca="false">IF(AH883&gt;0,J883/AH883,-1)</f>
        <v>132</v>
      </c>
      <c r="AL883" s="58" t="n">
        <f aca="false">IF(AND(OR(BY883="L1",BY883="L23"),AH883&gt;0),SUMIFS($AH$7:$AH$1843,$BY$7:$BY$1843,BY883,$AK$7:$AK$1843,"&gt;"&amp;AK883)+SUMIFS($AH$7:$AH$1843,$BY$7:$BY$1843,BY883,$AK$7:$AK$1843,AK883,$BQ$7:$BQ$1843,"&lt;="&amp;BQ883),"")</f>
        <v>36.2130840174319</v>
      </c>
      <c r="AM883" s="65" t="n">
        <f aca="false">IF(AL883="",0,MAX(0,MIN(1,(IF(BY883="L1",Parameter!$E$5,Parameter!$E$6+Parameter!$E$7)-(AL883-AH883))/AH883)))</f>
        <v>1</v>
      </c>
      <c r="AN883" s="57" t="n">
        <f aca="false">IF(LEFT(Cockpit!$I$5,1)="A",H883,IF(CA883=1,CB883,IF(LEFT(Cockpit!$I$5,1)="B",AR883,MAX(AR883,H883))))</f>
        <v>36</v>
      </c>
      <c r="AO883" s="57" t="n">
        <f aca="false">IF(BT883=1,0,ROUNDUP(AN883/BS883,0))</f>
        <v>1</v>
      </c>
      <c r="AP883" s="59" t="n">
        <f aca="false">IF(CH883&gt;0,CH883*MAX(1,AN883/X883),IF(BT883=1,IF(AN883&lt;=0,0,BW883*MAX(1,IF(H883&gt;0,AN883/H883,1))),IF(R883&gt;0,AO883/R883,0))/MAX(0.1,N(Parameter!$M$21)))</f>
        <v>0.00757575757575758</v>
      </c>
      <c r="AQ883" s="57" t="n">
        <f aca="false">AN883*G883</f>
        <v>998.28</v>
      </c>
      <c r="AR883" s="57" t="n">
        <f aca="false">ROUNDUP(MAX(J883/IF(BZ883&gt;0,BZ883,MAX(0.1,N(Cockpit!$I$6))),CC883)/BS883,0)*BS883</f>
        <v>36</v>
      </c>
      <c r="AS883" s="58" t="n">
        <f aca="false">IF(AP883&gt;0,J883/AP883,-1)</f>
        <v>132</v>
      </c>
      <c r="AT883" s="58" t="n">
        <f aca="false">IF(AND(OR(BY883="L1",BY883="L23"),AP883&gt;0),SUMIFS($AP$7:$AP$1843,$BY$7:$BY$1843,BY883,$AS$7:$AS$1843,"&gt;"&amp;AS883)+SUMIFS($AP$7:$AP$1843,$BY$7:$BY$1843,BY883,$AS$7:$AS$1843,AS883,$BQ$7:$BQ$1843,"&lt;="&amp;BQ883),"")</f>
        <v>51.9454832607007</v>
      </c>
      <c r="AU883" s="65" t="n">
        <f aca="false">IF(AT883="",0,MAX(0,MIN(1,(IF(BY883="L1",Parameter!$E$5,Parameter!$E$6+Parameter!$E$7)-(AT883-AP883))/AP883)))</f>
        <v>1</v>
      </c>
      <c r="AV883" s="57" t="n">
        <f aca="false">IF(LEFT(Cockpit!$O$5,1)="A",H883,IF(CA883=1,CB883,IF(LEFT(Cockpit!$O$5,1)="B",AZ883,MAX(AZ883,H883))))</f>
        <v>36</v>
      </c>
      <c r="AW883" s="57" t="n">
        <f aca="false">IF(BT883=1,0,ROUNDUP(AV883/BS883,0))</f>
        <v>1</v>
      </c>
      <c r="AX883" s="59" t="n">
        <f aca="false">IF(CH883&gt;0,CH883*MAX(1,AV883/X883),IF(BT883=1,IF(AV883&lt;=0,0,BW883*MAX(1,IF(H883&gt;0,AV883/H883,1))),IF(R883&gt;0,AW883/R883,0))/MAX(0.1,N(Parameter!$M$21)))</f>
        <v>0.00757575757575758</v>
      </c>
      <c r="AY883" s="57" t="n">
        <f aca="false">AV883*G883</f>
        <v>998.28</v>
      </c>
      <c r="AZ883" s="57" t="n">
        <f aca="false">ROUNDUP(MAX(J883/IF(BZ883&gt;0,BZ883,MAX(0.1,N(Cockpit!$O$6))),CC883)/BS883,0)*BS883</f>
        <v>36</v>
      </c>
      <c r="BA883" s="58" t="n">
        <f aca="false">IF(AX883&gt;0,J883/AX883,-1)</f>
        <v>132</v>
      </c>
      <c r="BB883" s="58" t="n">
        <f aca="false">IF(AND(OR(BY883="L1",BY883="L23"),AX883&gt;0),SUMIFS($AX$7:$AX$1843,$BY$7:$BY$1843,BY883,$BA$7:$BA$1843,"&gt;"&amp;BA883)+SUMIFS($AX$7:$AX$1843,$BY$7:$BY$1843,BY883,$BA$7:$BA$1843,BA883,$BQ$7:$BQ$1843,"&lt;="&amp;BQ883),"")</f>
        <v>48.5253200905375</v>
      </c>
      <c r="BC883" s="65" t="n">
        <f aca="false">IF(BB883="",0,MAX(0,MIN(1,(IF(BY883="L1",Parameter!$E$5,Parameter!$E$6+Parameter!$E$7)-(BB883-AX883))/AX883)))</f>
        <v>1</v>
      </c>
      <c r="BD883" s="55" t="str">
        <f aca="false">IF(AH883&lt;=0,"",IF(BY883="Aussen","Aussenlager",IF(BY883="-","Nicht im Lift",IF(AM883&gt;=1,"Lift",IF(AM883&lt;=0,"Aussenlager","teilweise")))))</f>
        <v>Lift</v>
      </c>
      <c r="BE883" s="55" t="str">
        <f aca="false">IF(AP883&lt;=0,"",IF(BY883="Aussen","Aussenlager",IF(BY883="-","Nicht im Lift",IF(AU883&gt;=1,"Lift",IF(AU883&lt;=0,"Aussenlager","teilweise")))))</f>
        <v>Lift</v>
      </c>
      <c r="BF883" s="55" t="str">
        <f aca="false">IF(AX883&lt;=0,"",IF(BY883="Aussen","Aussenlager",IF(BY883="-","Nicht im Lift",IF(BC883&gt;=1,"Lift",IF(BC883&lt;=0,"Aussenlager","teilweise")))))</f>
        <v>Lift</v>
      </c>
      <c r="BG883" s="55" t="str">
        <f aca="false">IF(A883="","",IF(BP883=1,"Neu; ","")&amp;IF(AND(BP883=0,BK883&lt;0),"negativer Bestand (Export "&amp;BK883&amp;"); ","")&amp;IF(J883&lt;=0,"Kein Verbrauch; ","")&amp;IF(CH883&gt;0,"Lift "&amp;W883&amp;" lt. Liftbericht (Fach "&amp;X883&amp;" Stk); ",IF(BU883=1,"Gebinde geschätzt ("&amp;T883&amp;"); ",IF(BT883=1,"Lose – Tablare geschätzt; ","")))&amp;IF(H883&gt;AR883,"Überbestand "&amp;ROUND(H883-AR883,0)&amp;" Stk / CHF "&amp;ROUND((H883-AR883)*G883,0)&amp;"; ","")&amp;IF(AND(CA883=1,CB883&lt;CC883),"MAX &lt; MB+LG; ","")&amp;IF(AND(CG883&gt;0,CF883*10&gt;CG883),"zu hoch für Tablar; ","")&amp;IF(AND(BP883=0,OR(CA883=1,AA883&lt;&gt;"",U883&lt;&gt;"",V883&lt;&gt;"",AB883&lt;&gt;"")),"manuell übersteuert; ","")&amp;IF(AND(BT883=0,R883=0),"Gebinde unbekannt / Stellmass fehlt; ","")&amp;IF(AND(BT883=0,N(V883)&lt;=0,N(Q883)&lt;=0),"Menge pro Gebinde fehlt (Ist = 1 Gebinde); ","")&amp;BO883)</f>
        <v>negativer Bestand (Export -1); Neu</v>
      </c>
      <c r="BH883" s="55"/>
      <c r="BI883" s="55"/>
      <c r="BJ883" s="62"/>
      <c r="BK883" s="57" t="n">
        <v>-1</v>
      </c>
      <c r="BL883" s="57" t="n">
        <v>28</v>
      </c>
      <c r="BM883" s="56" t="n">
        <v>-27.73</v>
      </c>
      <c r="BN883" s="57" t="n">
        <v>1</v>
      </c>
      <c r="BO883" s="55" t="s">
        <v>626</v>
      </c>
      <c r="BP883" s="60" t="n">
        <v>0</v>
      </c>
      <c r="BQ883" s="60" t="n">
        <v>883</v>
      </c>
      <c r="BR883" s="55" t="str">
        <f aca="false">IF(U883&lt;&gt;"",UPPER(TRIM(U883)),IF(BU883=1,UPPER(VLOOKUP(T883,Parameter!$I$27:$K$29,2,0)),IF(P883="","LOSE",P883)))</f>
        <v>S32</v>
      </c>
      <c r="BS883" s="57" t="n">
        <f aca="false">IF(BR883="LOSE",1,IF(N(V883)&gt;0,V883,IF(BU883=1,MAX(1,N(VLOOKUP(T883,Parameter!$I$27:$K$29,3,0)),H883,N(N883)),IF(N(Q883)&gt;0,Q883,MAX(1,H883)))))</f>
        <v>36</v>
      </c>
      <c r="BT883" s="60" t="n">
        <f aca="false">IF(BR883="LOSE",1,0)</f>
        <v>0</v>
      </c>
      <c r="BU883" s="60" t="n">
        <f aca="false">IF(AND(U883="",OR(P883="",P883="LOSE"),T883&lt;&gt;"",N(S883)&lt;=0,ISNUMBER(MATCH(T883,Parameter!$I$27:$I$29,0))),1,0)</f>
        <v>0</v>
      </c>
      <c r="BV883" s="55" t="str">
        <f aca="false">IF(AND(Parameter!$B$19="Ja",E883&lt;&gt;"",ISNUMBER(MATCH(E883,Parameter!$I$35:$I$52,0))),VLOOKUP(E883,Parameter!$I$35:$J$52,2,0),IFERROR(VLOOKUP(D883,Parameter!$A$35:$C$64,2,0),"Nein"))</f>
        <v>2+3</v>
      </c>
      <c r="BW883" s="59" t="n">
        <f aca="false">IF(BT883=0,0,IF(N(S883)&gt;0,S883,IFERROR(VLOOKUP(D883,Parameter!$A$35:$C$64,3,0)+0,0)))</f>
        <v>0</v>
      </c>
      <c r="BX883" s="55" t="n">
        <f aca="false">IF(AA883&lt;&gt;"",AA883,Z883)</f>
        <v>3</v>
      </c>
      <c r="BY883" s="55" t="str">
        <f aca="false">IF(BX883=1,"L1",IF(OR(BX883=2,BX883=3),"L23",IF(BX883="Aussen","Aussen","-")))</f>
        <v>L23</v>
      </c>
      <c r="BZ883" s="66" t="n">
        <f aca="false">IF(N(AB883)&gt;0,AB883,0)</f>
        <v>0</v>
      </c>
      <c r="CA883" s="60" t="n">
        <f aca="false">IF(ISNUMBER(AE883),1,0)</f>
        <v>0</v>
      </c>
      <c r="CB883" s="57" t="n">
        <f aca="false">N(AE883)</f>
        <v>0</v>
      </c>
      <c r="CC883" s="57" t="n">
        <f aca="false">N(M883)+N(N883)</f>
        <v>1</v>
      </c>
      <c r="CD883" s="57" t="n">
        <f aca="false">ROUNDUP(H883/BS883,0)</f>
        <v>1</v>
      </c>
      <c r="CE883" s="57" t="n">
        <f aca="false">ROUNDUP(CB883/BS883,0)</f>
        <v>0</v>
      </c>
      <c r="CF883" s="60" t="n">
        <f aca="false">IF(BT883=1,0,IFERROR(VLOOKUP(BR883,'Gebinde-Kategorie'!$A$5:$M$45,5,0)+0,0))</f>
        <v>8</v>
      </c>
      <c r="CG883" s="60" t="n">
        <f aca="false">IFERROR(IF(OR(BX883=1,BX883=2,BX883=3),N(INDEX(Parameter!$I$5:$I$7,BX883)),0),0)</f>
        <v>0</v>
      </c>
      <c r="CH883" s="59" t="n">
        <f aca="false">IF(AND(Parameter!$B$21="Ja",ISNUMBER(W883),N(X883)&gt;0),IFERROR(N(INDEX(Parameter!$L$5:$L$7,W883))*INDEX(Parameter!$E$5:$E$7,W883)*X883/SUMIFS($X$7:$X$1843,$W$7:$W$1843,W883),0),0)</f>
        <v>0</v>
      </c>
    </row>
    <row r="884" customFormat="false" ht="15" hidden="false" customHeight="false" outlineLevel="0" collapsed="false">
      <c r="A884" s="55" t="s">
        <v>1671</v>
      </c>
      <c r="B884" s="55" t="s">
        <v>892</v>
      </c>
      <c r="C884" s="55" t="s">
        <v>164</v>
      </c>
      <c r="D884" s="55" t="s">
        <v>184</v>
      </c>
      <c r="E884" s="55" t="s">
        <v>185</v>
      </c>
      <c r="F884" s="55" t="s">
        <v>218</v>
      </c>
      <c r="G884" s="56" t="n">
        <v>3.77</v>
      </c>
      <c r="H884" s="57" t="n">
        <f aca="false">MAX(0,IF(AND(Parameter!$B$21="Ja",ISNUMBER(Y884)),Y884,IF(Parameter!$B$20="Jahresanfang 2025 + Export",BL884+BK884,BK884)))</f>
        <v>4</v>
      </c>
      <c r="I884" s="57" t="n">
        <f aca="false">H884*G884</f>
        <v>15.08</v>
      </c>
      <c r="J884" s="57" t="n">
        <f aca="false">BN884*Parameter!$B$18</f>
        <v>23</v>
      </c>
      <c r="K884" s="58" t="n">
        <v>10.5</v>
      </c>
      <c r="L884" s="59" t="n">
        <v>2.19047619047619</v>
      </c>
      <c r="M884" s="57" t="n">
        <v>0</v>
      </c>
      <c r="N884" s="57" t="n">
        <v>25</v>
      </c>
      <c r="O884" s="60" t="n">
        <v>14</v>
      </c>
      <c r="P884" s="55" t="s">
        <v>421</v>
      </c>
      <c r="Q884" s="57" t="n">
        <v>37</v>
      </c>
      <c r="R884" s="60" t="n">
        <f aca="false">IF(BT884=1,0,IFERROR(VLOOKUP(BR884,'Gebinde-Kategorie'!$A$5:$M$45,13,0)+0,0))</f>
        <v>132</v>
      </c>
      <c r="S884" s="61"/>
      <c r="T884" s="62"/>
      <c r="U884" s="62"/>
      <c r="V884" s="62"/>
      <c r="W884" s="55"/>
      <c r="X884" s="57"/>
      <c r="Y884" s="57"/>
      <c r="Z884" s="55" t="n">
        <f aca="false">IF(A884="","",IF(AND(Parameter!$B$21="Ja",ISNUMBER(W884)),W884,IF(BV884="2+3",IF(ISNUMBER(SEARCH("grosser Artikel",BO884)),2,IFERROR(VLOOKUP(BR884,Parameter!$F$35:$G$64,2,0),2)),IF(OR(BV884="Nein",BV884=""),"-",BV884))))</f>
        <v>3</v>
      </c>
      <c r="AA884" s="62"/>
      <c r="AB884" s="63"/>
      <c r="AC884" s="57" t="n">
        <f aca="false">AR884</f>
        <v>37</v>
      </c>
      <c r="AD884" s="57" t="n">
        <f aca="false">MAX(AR884,H884)</f>
        <v>37</v>
      </c>
      <c r="AE884" s="64"/>
      <c r="AF884" s="57" t="n">
        <f aca="false">IF(LEFT(Cockpit!$C$5,1)="A",H884,IF(CA884=1,CB884,IF(LEFT(Cockpit!$C$5,1)="B",AJ884,MAX(AJ884,H884))))</f>
        <v>4</v>
      </c>
      <c r="AG884" s="57" t="n">
        <f aca="false">IF(BT884=1,0,ROUNDUP(AF884/BS884,0))</f>
        <v>1</v>
      </c>
      <c r="AH884" s="59" t="n">
        <f aca="false">IF(CH884&gt;0,CH884*MAX(1,AF884/X884),IF(BT884=1,IF(AF884&lt;=0,0,BW884*MAX(1,IF(H884&gt;0,AF884/H884,1))),IF(R884&gt;0,AG884/R884,0))/MAX(0.1,N(Parameter!$M$21)))</f>
        <v>0.00757575757575758</v>
      </c>
      <c r="AI884" s="57" t="n">
        <f aca="false">AF884*G884</f>
        <v>15.08</v>
      </c>
      <c r="AJ884" s="57" t="n">
        <f aca="false">ROUNDUP(MAX(J884/IF(BZ884&gt;0,BZ884,MAX(0.1,N(Cockpit!$C$6))),CC884)/BS884,0)*BS884</f>
        <v>37</v>
      </c>
      <c r="AK884" s="58" t="n">
        <f aca="false">IF(AH884&gt;0,J884/AH884,-1)</f>
        <v>3036</v>
      </c>
      <c r="AL884" s="58" t="n">
        <f aca="false">IF(AND(OR(BY884="L1",BY884="L23"),AH884&gt;0),SUMIFS($AH$7:$AH$1843,$BY$7:$BY$1843,BY884,$AK$7:$AK$1843,"&gt;"&amp;AK884)+SUMIFS($AH$7:$AH$1843,$BY$7:$BY$1843,BY884,$AK$7:$AK$1843,AK884,$BQ$7:$BQ$1843,"&lt;="&amp;BQ884),"")</f>
        <v>10.5660704030269</v>
      </c>
      <c r="AM884" s="65" t="n">
        <f aca="false">IF(AL884="",0,MAX(0,MIN(1,(IF(BY884="L1",Parameter!$E$5,Parameter!$E$6+Parameter!$E$7)-(AL884-AH884))/AH884)))</f>
        <v>1</v>
      </c>
      <c r="AN884" s="57" t="n">
        <f aca="false">IF(LEFT(Cockpit!$I$5,1)="A",H884,IF(CA884=1,CB884,IF(LEFT(Cockpit!$I$5,1)="B",AR884,MAX(AR884,H884))))</f>
        <v>37</v>
      </c>
      <c r="AO884" s="57" t="n">
        <f aca="false">IF(BT884=1,0,ROUNDUP(AN884/BS884,0))</f>
        <v>1</v>
      </c>
      <c r="AP884" s="59" t="n">
        <f aca="false">IF(CH884&gt;0,CH884*MAX(1,AN884/X884),IF(BT884=1,IF(AN884&lt;=0,0,BW884*MAX(1,IF(H884&gt;0,AN884/H884,1))),IF(R884&gt;0,AO884/R884,0))/MAX(0.1,N(Parameter!$M$21)))</f>
        <v>0.00757575757575758</v>
      </c>
      <c r="AQ884" s="57" t="n">
        <f aca="false">AN884*G884</f>
        <v>139.49</v>
      </c>
      <c r="AR884" s="57" t="n">
        <f aca="false">ROUNDUP(MAX(J884/IF(BZ884&gt;0,BZ884,MAX(0.1,N(Cockpit!$I$6))),CC884)/BS884,0)*BS884</f>
        <v>37</v>
      </c>
      <c r="AS884" s="58" t="n">
        <f aca="false">IF(AP884&gt;0,J884/AP884,-1)</f>
        <v>3036</v>
      </c>
      <c r="AT884" s="58" t="n">
        <f aca="false">IF(AND(OR(BY884="L1",BY884="L23"),AP884&gt;0),SUMIFS($AP$7:$AP$1843,$BY$7:$BY$1843,BY884,$AS$7:$AS$1843,"&gt;"&amp;AS884)+SUMIFS($AP$7:$AP$1843,$BY$7:$BY$1843,BY884,$AS$7:$AS$1843,AS884,$BQ$7:$BQ$1843,"&lt;="&amp;BQ884),"")</f>
        <v>15.4831677983852</v>
      </c>
      <c r="AU884" s="65" t="n">
        <f aca="false">IF(AT884="",0,MAX(0,MIN(1,(IF(BY884="L1",Parameter!$E$5,Parameter!$E$6+Parameter!$E$7)-(AT884-AP884))/AP884)))</f>
        <v>1</v>
      </c>
      <c r="AV884" s="57" t="n">
        <f aca="false">IF(LEFT(Cockpit!$O$5,1)="A",H884,IF(CA884=1,CB884,IF(LEFT(Cockpit!$O$5,1)="B",AZ884,MAX(AZ884,H884))))</f>
        <v>37</v>
      </c>
      <c r="AW884" s="57" t="n">
        <f aca="false">IF(BT884=1,0,ROUNDUP(AV884/BS884,0))</f>
        <v>1</v>
      </c>
      <c r="AX884" s="59" t="n">
        <f aca="false">IF(CH884&gt;0,CH884*MAX(1,AV884/X884),IF(BT884=1,IF(AV884&lt;=0,0,BW884*MAX(1,IF(H884&gt;0,AV884/H884,1))),IF(R884&gt;0,AW884/R884,0))/MAX(0.1,N(Parameter!$M$21)))</f>
        <v>0.00757575757575758</v>
      </c>
      <c r="AY884" s="57" t="n">
        <f aca="false">AV884*G884</f>
        <v>139.49</v>
      </c>
      <c r="AZ884" s="57" t="n">
        <f aca="false">ROUNDUP(MAX(J884/IF(BZ884&gt;0,BZ884,MAX(0.1,N(Cockpit!$O$6))),CC884)/BS884,0)*BS884</f>
        <v>37</v>
      </c>
      <c r="BA884" s="58" t="n">
        <f aca="false">IF(AX884&gt;0,J884/AX884,-1)</f>
        <v>3036</v>
      </c>
      <c r="BB884" s="58" t="n">
        <f aca="false">IF(AND(OR(BY884="L1",BY884="L23"),AX884&gt;0),SUMIFS($AX$7:$AX$1843,$BY$7:$BY$1843,BY884,$BA$7:$BA$1843,"&gt;"&amp;BA884)+SUMIFS($AX$7:$AX$1843,$BY$7:$BY$1843,BY884,$BA$7:$BA$1843,BA884,$BQ$7:$BQ$1843,"&lt;="&amp;BQ884),"")</f>
        <v>14.0501841154015</v>
      </c>
      <c r="BC884" s="65" t="n">
        <f aca="false">IF(BB884="",0,MAX(0,MIN(1,(IF(BY884="L1",Parameter!$E$5,Parameter!$E$6+Parameter!$E$7)-(BB884-AX884))/AX884)))</f>
        <v>1</v>
      </c>
      <c r="BD884" s="55" t="str">
        <f aca="false">IF(AH884&lt;=0,"",IF(BY884="Aussen","Aussenlager",IF(BY884="-","Nicht im Lift",IF(AM884&gt;=1,"Lift",IF(AM884&lt;=0,"Aussenlager","teilweise")))))</f>
        <v>Lift</v>
      </c>
      <c r="BE884" s="55" t="str">
        <f aca="false">IF(AP884&lt;=0,"",IF(BY884="Aussen","Aussenlager",IF(BY884="-","Nicht im Lift",IF(AU884&gt;=1,"Lift",IF(AU884&lt;=0,"Aussenlager","teilweise")))))</f>
        <v>Lift</v>
      </c>
      <c r="BF884" s="55" t="str">
        <f aca="false">IF(AX884&lt;=0,"",IF(BY884="Aussen","Aussenlager",IF(BY884="-","Nicht im Lift",IF(BC884&gt;=1,"Lift",IF(BC884&lt;=0,"Aussenlager","teilweise")))))</f>
        <v>Lift</v>
      </c>
      <c r="BG884" s="55" t="str">
        <f aca="false">IF(A884="","",IF(BP884=1,"Neu; ","")&amp;IF(AND(BP884=0,BK884&lt;0),"negativer Bestand (Export "&amp;BK884&amp;"); ","")&amp;IF(J884&lt;=0,"Kein Verbrauch; ","")&amp;IF(CH884&gt;0,"Lift "&amp;W884&amp;" lt. Liftbericht (Fach "&amp;X884&amp;" Stk); ",IF(BU884=1,"Gebinde geschätzt ("&amp;T884&amp;"); ",IF(BT884=1,"Lose – Tablare geschätzt; ","")))&amp;IF(H884&gt;AR884,"Überbestand "&amp;ROUND(H884-AR884,0)&amp;" Stk / CHF "&amp;ROUND((H884-AR884)*G884,0)&amp;"; ","")&amp;IF(AND(CA884=1,CB884&lt;CC884),"MAX &lt; MB+LG; ","")&amp;IF(AND(CG884&gt;0,CF884*10&gt;CG884),"zu hoch für Tablar; ","")&amp;IF(AND(BP884=0,OR(CA884=1,AA884&lt;&gt;"",U884&lt;&gt;"",V884&lt;&gt;"",AB884&lt;&gt;"")),"manuell übersteuert; ","")&amp;IF(AND(BT884=0,R884=0),"Gebinde unbekannt / Stellmass fehlt; ","")&amp;IF(AND(BT884=0,N(V884)&lt;=0,N(Q884)&lt;=0),"Menge pro Gebinde fehlt (Ist = 1 Gebinde); ","")&amp;BO884)</f>
        <v>negativer Bestand (Export -8); </v>
      </c>
      <c r="BH884" s="55"/>
      <c r="BI884" s="55"/>
      <c r="BJ884" s="62"/>
      <c r="BK884" s="57" t="n">
        <v>-8</v>
      </c>
      <c r="BL884" s="57" t="n">
        <v>12</v>
      </c>
      <c r="BM884" s="56" t="n">
        <v>-28.12</v>
      </c>
      <c r="BN884" s="57" t="n">
        <v>23</v>
      </c>
      <c r="BO884" s="55"/>
      <c r="BP884" s="60" t="n">
        <v>0</v>
      </c>
      <c r="BQ884" s="60" t="n">
        <v>884</v>
      </c>
      <c r="BR884" s="55" t="str">
        <f aca="false">IF(U884&lt;&gt;"",UPPER(TRIM(U884)),IF(BU884=1,UPPER(VLOOKUP(T884,Parameter!$I$27:$K$29,2,0)),IF(P884="","LOSE",P884)))</f>
        <v>S32</v>
      </c>
      <c r="BS884" s="57" t="n">
        <f aca="false">IF(BR884="LOSE",1,IF(N(V884)&gt;0,V884,IF(BU884=1,MAX(1,N(VLOOKUP(T884,Parameter!$I$27:$K$29,3,0)),H884,N(N884)),IF(N(Q884)&gt;0,Q884,MAX(1,H884)))))</f>
        <v>37</v>
      </c>
      <c r="BT884" s="60" t="n">
        <f aca="false">IF(BR884="LOSE",1,0)</f>
        <v>0</v>
      </c>
      <c r="BU884" s="60" t="n">
        <f aca="false">IF(AND(U884="",OR(P884="",P884="LOSE"),T884&lt;&gt;"",N(S884)&lt;=0,ISNUMBER(MATCH(T884,Parameter!$I$27:$I$29,0))),1,0)</f>
        <v>0</v>
      </c>
      <c r="BV884" s="55" t="str">
        <f aca="false">IF(AND(Parameter!$B$19="Ja",E884&lt;&gt;"",ISNUMBER(MATCH(E884,Parameter!$I$35:$I$52,0))),VLOOKUP(E884,Parameter!$I$35:$J$52,2,0),IFERROR(VLOOKUP(D884,Parameter!$A$35:$C$64,2,0),"Nein"))</f>
        <v>2+3</v>
      </c>
      <c r="BW884" s="59" t="n">
        <f aca="false">IF(BT884=0,0,IF(N(S884)&gt;0,S884,IFERROR(VLOOKUP(D884,Parameter!$A$35:$C$64,3,0)+0,0)))</f>
        <v>0</v>
      </c>
      <c r="BX884" s="55" t="n">
        <f aca="false">IF(AA884&lt;&gt;"",AA884,Z884)</f>
        <v>3</v>
      </c>
      <c r="BY884" s="55" t="str">
        <f aca="false">IF(BX884=1,"L1",IF(OR(BX884=2,BX884=3),"L23",IF(BX884="Aussen","Aussen","-")))</f>
        <v>L23</v>
      </c>
      <c r="BZ884" s="66" t="n">
        <f aca="false">IF(N(AB884)&gt;0,AB884,0)</f>
        <v>0</v>
      </c>
      <c r="CA884" s="60" t="n">
        <f aca="false">IF(ISNUMBER(AE884),1,0)</f>
        <v>0</v>
      </c>
      <c r="CB884" s="57" t="n">
        <f aca="false">N(AE884)</f>
        <v>0</v>
      </c>
      <c r="CC884" s="57" t="n">
        <f aca="false">N(M884)+N(N884)</f>
        <v>25</v>
      </c>
      <c r="CD884" s="57" t="n">
        <f aca="false">ROUNDUP(H884/BS884,0)</f>
        <v>1</v>
      </c>
      <c r="CE884" s="57" t="n">
        <f aca="false">ROUNDUP(CB884/BS884,0)</f>
        <v>0</v>
      </c>
      <c r="CF884" s="60" t="n">
        <f aca="false">IF(BT884=1,0,IFERROR(VLOOKUP(BR884,'Gebinde-Kategorie'!$A$5:$M$45,5,0)+0,0))</f>
        <v>8</v>
      </c>
      <c r="CG884" s="60" t="n">
        <f aca="false">IFERROR(IF(OR(BX884=1,BX884=2,BX884=3),N(INDEX(Parameter!$I$5:$I$7,BX884)),0),0)</f>
        <v>0</v>
      </c>
      <c r="CH884" s="59" t="n">
        <f aca="false">IF(AND(Parameter!$B$21="Ja",ISNUMBER(W884),N(X884)&gt;0),IFERROR(N(INDEX(Parameter!$L$5:$L$7,W884))*INDEX(Parameter!$E$5:$E$7,W884)*X884/SUMIFS($X$7:$X$1843,$W$7:$W$1843,W884),0),0)</f>
        <v>0</v>
      </c>
    </row>
    <row r="885" customFormat="false" ht="15" hidden="false" customHeight="false" outlineLevel="0" collapsed="false">
      <c r="A885" s="55" t="s">
        <v>1672</v>
      </c>
      <c r="B885" s="55" t="s">
        <v>1288</v>
      </c>
      <c r="C885" s="55" t="s">
        <v>164</v>
      </c>
      <c r="D885" s="55" t="s">
        <v>184</v>
      </c>
      <c r="E885" s="55" t="s">
        <v>185</v>
      </c>
      <c r="F885" s="55" t="s">
        <v>218</v>
      </c>
      <c r="G885" s="56" t="n">
        <v>7.34</v>
      </c>
      <c r="H885" s="57" t="n">
        <f aca="false">MAX(0,IF(AND(Parameter!$B$21="Ja",ISNUMBER(Y885)),Y885,IF(Parameter!$B$20="Jahresanfang 2025 + Export",BL885+BK885,BK885)))</f>
        <v>3</v>
      </c>
      <c r="I885" s="57" t="n">
        <f aca="false">H885*G885</f>
        <v>22.02</v>
      </c>
      <c r="J885" s="57" t="n">
        <f aca="false">BN885*Parameter!$B$18</f>
        <v>6</v>
      </c>
      <c r="K885" s="58" t="n">
        <v>6.5</v>
      </c>
      <c r="L885" s="59" t="n">
        <v>0.923076923076923</v>
      </c>
      <c r="M885" s="57" t="n">
        <v>0</v>
      </c>
      <c r="N885" s="57" t="n">
        <v>5</v>
      </c>
      <c r="O885" s="60" t="n">
        <v>14</v>
      </c>
      <c r="P885" s="55" t="s">
        <v>476</v>
      </c>
      <c r="Q885" s="57" t="n">
        <v>5</v>
      </c>
      <c r="R885" s="60" t="n">
        <f aca="false">IF(BT885=1,0,IFERROR(VLOOKUP(BR885,'Gebinde-Kategorie'!$A$5:$M$45,13,0)+0,0))</f>
        <v>66</v>
      </c>
      <c r="S885" s="61"/>
      <c r="T885" s="62"/>
      <c r="U885" s="62"/>
      <c r="V885" s="62"/>
      <c r="W885" s="55"/>
      <c r="X885" s="57"/>
      <c r="Y885" s="57"/>
      <c r="Z885" s="55" t="n">
        <f aca="false">IF(A885="","",IF(AND(Parameter!$B$21="Ja",ISNUMBER(W885)),W885,IF(BV885="2+3",IF(ISNUMBER(SEARCH("grosser Artikel",BO885)),2,IFERROR(VLOOKUP(BR885,Parameter!$F$35:$G$64,2,0),2)),IF(OR(BV885="Nein",BV885=""),"-",BV885))))</f>
        <v>3</v>
      </c>
      <c r="AA885" s="62"/>
      <c r="AB885" s="63"/>
      <c r="AC885" s="57" t="n">
        <f aca="false">AR885</f>
        <v>5</v>
      </c>
      <c r="AD885" s="57" t="n">
        <f aca="false">MAX(AR885,H885)</f>
        <v>5</v>
      </c>
      <c r="AE885" s="64"/>
      <c r="AF885" s="57" t="n">
        <f aca="false">IF(LEFT(Cockpit!$C$5,1)="A",H885,IF(CA885=1,CB885,IF(LEFT(Cockpit!$C$5,1)="B",AJ885,MAX(AJ885,H885))))</f>
        <v>3</v>
      </c>
      <c r="AG885" s="57" t="n">
        <f aca="false">IF(BT885=1,0,ROUNDUP(AF885/BS885,0))</f>
        <v>1</v>
      </c>
      <c r="AH885" s="59" t="n">
        <f aca="false">IF(CH885&gt;0,CH885*MAX(1,AF885/X885),IF(BT885=1,IF(AF885&lt;=0,0,BW885*MAX(1,IF(H885&gt;0,AF885/H885,1))),IF(R885&gt;0,AG885/R885,0))/MAX(0.1,N(Parameter!$M$21)))</f>
        <v>0.0151515151515152</v>
      </c>
      <c r="AI885" s="57" t="n">
        <f aca="false">AF885*G885</f>
        <v>22.02</v>
      </c>
      <c r="AJ885" s="57" t="n">
        <f aca="false">ROUNDUP(MAX(J885/IF(BZ885&gt;0,BZ885,MAX(0.1,N(Cockpit!$C$6))),CC885)/BS885,0)*BS885</f>
        <v>5</v>
      </c>
      <c r="AK885" s="58" t="n">
        <f aca="false">IF(AH885&gt;0,J885/AH885,-1)</f>
        <v>396</v>
      </c>
      <c r="AL885" s="58" t="n">
        <f aca="false">IF(AND(OR(BY885="L1",BY885="L23"),AH885&gt;0),SUMIFS($AH$7:$AH$1843,$BY$7:$BY$1843,BY885,$AK$7:$AK$1843,"&gt;"&amp;AK885)+SUMIFS($AH$7:$AH$1843,$BY$7:$BY$1843,BY885,$AK$7:$AK$1843,AK885,$BQ$7:$BQ$1843,"&lt;="&amp;BQ885),"")</f>
        <v>25.950559102733</v>
      </c>
      <c r="AM885" s="65" t="n">
        <f aca="false">IF(AL885="",0,MAX(0,MIN(1,(IF(BY885="L1",Parameter!$E$5,Parameter!$E$6+Parameter!$E$7)-(AL885-AH885))/AH885)))</f>
        <v>1</v>
      </c>
      <c r="AN885" s="57" t="n">
        <f aca="false">IF(LEFT(Cockpit!$I$5,1)="A",H885,IF(CA885=1,CB885,IF(LEFT(Cockpit!$I$5,1)="B",AR885,MAX(AR885,H885))))</f>
        <v>5</v>
      </c>
      <c r="AO885" s="57" t="n">
        <f aca="false">IF(BT885=1,0,ROUNDUP(AN885/BS885,0))</f>
        <v>1</v>
      </c>
      <c r="AP885" s="59" t="n">
        <f aca="false">IF(CH885&gt;0,CH885*MAX(1,AN885/X885),IF(BT885=1,IF(AN885&lt;=0,0,BW885*MAX(1,IF(H885&gt;0,AN885/H885,1))),IF(R885&gt;0,AO885/R885,0))/MAX(0.1,N(Parameter!$M$21)))</f>
        <v>0.0151515151515152</v>
      </c>
      <c r="AQ885" s="57" t="n">
        <f aca="false">AN885*G885</f>
        <v>36.7</v>
      </c>
      <c r="AR885" s="57" t="n">
        <f aca="false">ROUNDUP(MAX(J885/IF(BZ885&gt;0,BZ885,MAX(0.1,N(Cockpit!$I$6))),CC885)/BS885,0)*BS885</f>
        <v>5</v>
      </c>
      <c r="AS885" s="58" t="n">
        <f aca="false">IF(AP885&gt;0,J885/AP885,-1)</f>
        <v>396</v>
      </c>
      <c r="AT885" s="58" t="n">
        <f aca="false">IF(AND(OR(BY885="L1",BY885="L23"),AP885&gt;0),SUMIFS($AP$7:$AP$1843,$BY$7:$BY$1843,BY885,$AS$7:$AS$1843,"&gt;"&amp;AS885)+SUMIFS($AP$7:$AP$1843,$BY$7:$BY$1843,BY885,$AS$7:$AS$1843,AS885,$BQ$7:$BQ$1843,"&lt;="&amp;BQ885),"")</f>
        <v>35.3939140569575</v>
      </c>
      <c r="AU885" s="65" t="n">
        <f aca="false">IF(AT885="",0,MAX(0,MIN(1,(IF(BY885="L1",Parameter!$E$5,Parameter!$E$6+Parameter!$E$7)-(AT885-AP885))/AP885)))</f>
        <v>1</v>
      </c>
      <c r="AV885" s="57" t="n">
        <f aca="false">IF(LEFT(Cockpit!$O$5,1)="A",H885,IF(CA885=1,CB885,IF(LEFT(Cockpit!$O$5,1)="B",AZ885,MAX(AZ885,H885))))</f>
        <v>5</v>
      </c>
      <c r="AW885" s="57" t="n">
        <f aca="false">IF(BT885=1,0,ROUNDUP(AV885/BS885,0))</f>
        <v>1</v>
      </c>
      <c r="AX885" s="59" t="n">
        <f aca="false">IF(CH885&gt;0,CH885*MAX(1,AV885/X885),IF(BT885=1,IF(AV885&lt;=0,0,BW885*MAX(1,IF(H885&gt;0,AV885/H885,1))),IF(R885&gt;0,AW885/R885,0))/MAX(0.1,N(Parameter!$M$21)))</f>
        <v>0.0151515151515152</v>
      </c>
      <c r="AY885" s="57" t="n">
        <f aca="false">AV885*G885</f>
        <v>36.7</v>
      </c>
      <c r="AZ885" s="57" t="n">
        <f aca="false">ROUNDUP(MAX(J885/IF(BZ885&gt;0,BZ885,MAX(0.1,N(Cockpit!$O$6))),CC885)/BS885,0)*BS885</f>
        <v>5</v>
      </c>
      <c r="BA885" s="58" t="n">
        <f aca="false">IF(AX885&gt;0,J885/AX885,-1)</f>
        <v>396</v>
      </c>
      <c r="BB885" s="58" t="n">
        <f aca="false">IF(AND(OR(BY885="L1",BY885="L23"),AX885&gt;0),SUMIFS($AX$7:$AX$1843,$BY$7:$BY$1843,BY885,$BA$7:$BA$1843,"&gt;"&amp;BA885)+SUMIFS($AX$7:$AX$1843,$BY$7:$BY$1843,BY885,$BA$7:$BA$1843,BA885,$BQ$7:$BQ$1843,"&lt;="&amp;BQ885),"")</f>
        <v>34.640417553461</v>
      </c>
      <c r="BC885" s="65" t="n">
        <f aca="false">IF(BB885="",0,MAX(0,MIN(1,(IF(BY885="L1",Parameter!$E$5,Parameter!$E$6+Parameter!$E$7)-(BB885-AX885))/AX885)))</f>
        <v>1</v>
      </c>
      <c r="BD885" s="55" t="str">
        <f aca="false">IF(AH885&lt;=0,"",IF(BY885="Aussen","Aussenlager",IF(BY885="-","Nicht im Lift",IF(AM885&gt;=1,"Lift",IF(AM885&lt;=0,"Aussenlager","teilweise")))))</f>
        <v>Lift</v>
      </c>
      <c r="BE885" s="55" t="str">
        <f aca="false">IF(AP885&lt;=0,"",IF(BY885="Aussen","Aussenlager",IF(BY885="-","Nicht im Lift",IF(AU885&gt;=1,"Lift",IF(AU885&lt;=0,"Aussenlager","teilweise")))))</f>
        <v>Lift</v>
      </c>
      <c r="BF885" s="55" t="str">
        <f aca="false">IF(AX885&lt;=0,"",IF(BY885="Aussen","Aussenlager",IF(BY885="-","Nicht im Lift",IF(BC885&gt;=1,"Lift",IF(BC885&lt;=0,"Aussenlager","teilweise")))))</f>
        <v>Lift</v>
      </c>
      <c r="BG885" s="55" t="str">
        <f aca="false">IF(A885="","",IF(BP885=1,"Neu; ","")&amp;IF(AND(BP885=0,BK885&lt;0),"negativer Bestand (Export "&amp;BK885&amp;"); ","")&amp;IF(J885&lt;=0,"Kein Verbrauch; ","")&amp;IF(CH885&gt;0,"Lift "&amp;W885&amp;" lt. Liftbericht (Fach "&amp;X885&amp;" Stk); ",IF(BU885=1,"Gebinde geschätzt ("&amp;T885&amp;"); ",IF(BT885=1,"Lose – Tablare geschätzt; ","")))&amp;IF(H885&gt;AR885,"Überbestand "&amp;ROUND(H885-AR885,0)&amp;" Stk / CHF "&amp;ROUND((H885-AR885)*G885,0)&amp;"; ","")&amp;IF(AND(CA885=1,CB885&lt;CC885),"MAX &lt; MB+LG; ","")&amp;IF(AND(CG885&gt;0,CF885*10&gt;CG885),"zu hoch für Tablar; ","")&amp;IF(AND(BP885=0,OR(CA885=1,AA885&lt;&gt;"",U885&lt;&gt;"",V885&lt;&gt;"",AB885&lt;&gt;"")),"manuell übersteuert; ","")&amp;IF(AND(BT885=0,R885=0),"Gebinde unbekannt / Stellmass fehlt; ","")&amp;IF(AND(BT885=0,N(V885)&lt;=0,N(Q885)&lt;=0),"Menge pro Gebinde fehlt (Ist = 1 Gebinde); ","")&amp;BO885)</f>
        <v>negativer Bestand (Export -4); </v>
      </c>
      <c r="BH885" s="55"/>
      <c r="BI885" s="55"/>
      <c r="BJ885" s="62"/>
      <c r="BK885" s="57" t="n">
        <v>-4</v>
      </c>
      <c r="BL885" s="57" t="n">
        <v>7</v>
      </c>
      <c r="BM885" s="56" t="n">
        <v>-28.17</v>
      </c>
      <c r="BN885" s="57" t="n">
        <v>6</v>
      </c>
      <c r="BO885" s="55"/>
      <c r="BP885" s="60" t="n">
        <v>0</v>
      </c>
      <c r="BQ885" s="60" t="n">
        <v>885</v>
      </c>
      <c r="BR885" s="55" t="str">
        <f aca="false">IF(U885&lt;&gt;"",UPPER(TRIM(U885)),IF(BU885=1,UPPER(VLOOKUP(T885,Parameter!$I$27:$K$29,2,0)),IF(P885="","LOSE",P885)))</f>
        <v>S33</v>
      </c>
      <c r="BS885" s="57" t="n">
        <f aca="false">IF(BR885="LOSE",1,IF(N(V885)&gt;0,V885,IF(BU885=1,MAX(1,N(VLOOKUP(T885,Parameter!$I$27:$K$29,3,0)),H885,N(N885)),IF(N(Q885)&gt;0,Q885,MAX(1,H885)))))</f>
        <v>5</v>
      </c>
      <c r="BT885" s="60" t="n">
        <f aca="false">IF(BR885="LOSE",1,0)</f>
        <v>0</v>
      </c>
      <c r="BU885" s="60" t="n">
        <f aca="false">IF(AND(U885="",OR(P885="",P885="LOSE"),T885&lt;&gt;"",N(S885)&lt;=0,ISNUMBER(MATCH(T885,Parameter!$I$27:$I$29,0))),1,0)</f>
        <v>0</v>
      </c>
      <c r="BV885" s="55" t="str">
        <f aca="false">IF(AND(Parameter!$B$19="Ja",E885&lt;&gt;"",ISNUMBER(MATCH(E885,Parameter!$I$35:$I$52,0))),VLOOKUP(E885,Parameter!$I$35:$J$52,2,0),IFERROR(VLOOKUP(D885,Parameter!$A$35:$C$64,2,0),"Nein"))</f>
        <v>2+3</v>
      </c>
      <c r="BW885" s="59" t="n">
        <f aca="false">IF(BT885=0,0,IF(N(S885)&gt;0,S885,IFERROR(VLOOKUP(D885,Parameter!$A$35:$C$64,3,0)+0,0)))</f>
        <v>0</v>
      </c>
      <c r="BX885" s="55" t="n">
        <f aca="false">IF(AA885&lt;&gt;"",AA885,Z885)</f>
        <v>3</v>
      </c>
      <c r="BY885" s="55" t="str">
        <f aca="false">IF(BX885=1,"L1",IF(OR(BX885=2,BX885=3),"L23",IF(BX885="Aussen","Aussen","-")))</f>
        <v>L23</v>
      </c>
      <c r="BZ885" s="66" t="n">
        <f aca="false">IF(N(AB885)&gt;0,AB885,0)</f>
        <v>0</v>
      </c>
      <c r="CA885" s="60" t="n">
        <f aca="false">IF(ISNUMBER(AE885),1,0)</f>
        <v>0</v>
      </c>
      <c r="CB885" s="57" t="n">
        <f aca="false">N(AE885)</f>
        <v>0</v>
      </c>
      <c r="CC885" s="57" t="n">
        <f aca="false">N(M885)+N(N885)</f>
        <v>5</v>
      </c>
      <c r="CD885" s="57" t="n">
        <f aca="false">ROUNDUP(H885/BS885,0)</f>
        <v>1</v>
      </c>
      <c r="CE885" s="57" t="n">
        <f aca="false">ROUNDUP(CB885/BS885,0)</f>
        <v>0</v>
      </c>
      <c r="CF885" s="60" t="n">
        <f aca="false">IF(BT885=1,0,IFERROR(VLOOKUP(BR885,'Gebinde-Kategorie'!$A$5:$M$45,5,0)+0,0))</f>
        <v>8</v>
      </c>
      <c r="CG885" s="60" t="n">
        <f aca="false">IFERROR(IF(OR(BX885=1,BX885=2,BX885=3),N(INDEX(Parameter!$I$5:$I$7,BX885)),0),0)</f>
        <v>0</v>
      </c>
      <c r="CH885" s="59" t="n">
        <f aca="false">IF(AND(Parameter!$B$21="Ja",ISNUMBER(W885),N(X885)&gt;0),IFERROR(N(INDEX(Parameter!$L$5:$L$7,W885))*INDEX(Parameter!$E$5:$E$7,W885)*X885/SUMIFS($X$7:$X$1843,$W$7:$W$1843,W885),0),0)</f>
        <v>0</v>
      </c>
    </row>
    <row r="886" customFormat="false" ht="15" hidden="false" customHeight="false" outlineLevel="0" collapsed="false">
      <c r="A886" s="55" t="s">
        <v>1673</v>
      </c>
      <c r="B886" s="55" t="s">
        <v>892</v>
      </c>
      <c r="C886" s="55" t="s">
        <v>164</v>
      </c>
      <c r="D886" s="55" t="s">
        <v>184</v>
      </c>
      <c r="E886" s="55" t="s">
        <v>185</v>
      </c>
      <c r="F886" s="55" t="s">
        <v>218</v>
      </c>
      <c r="G886" s="56" t="n">
        <v>11.11</v>
      </c>
      <c r="H886" s="57" t="n">
        <f aca="false">MAX(0,IF(AND(Parameter!$B$21="Ja",ISNUMBER(Y886)),Y886,IF(Parameter!$B$20="Jahresanfang 2025 + Export",BL886+BK886,BK886)))</f>
        <v>7</v>
      </c>
      <c r="I886" s="57" t="n">
        <f aca="false">H886*G886</f>
        <v>77.77</v>
      </c>
      <c r="J886" s="57" t="n">
        <f aca="false">BN886*Parameter!$B$18</f>
        <v>18</v>
      </c>
      <c r="K886" s="58" t="n">
        <v>11</v>
      </c>
      <c r="L886" s="59" t="n">
        <v>1.63636363636364</v>
      </c>
      <c r="M886" s="57" t="n">
        <v>0</v>
      </c>
      <c r="N886" s="57" t="n">
        <v>20</v>
      </c>
      <c r="O886" s="60" t="n">
        <v>14</v>
      </c>
      <c r="P886" s="55" t="s">
        <v>426</v>
      </c>
      <c r="Q886" s="57" t="n">
        <v>8</v>
      </c>
      <c r="R886" s="60" t="n">
        <f aca="false">IF(BT886=1,0,IFERROR(VLOOKUP(BR886,'Gebinde-Kategorie'!$A$5:$M$45,13,0)+0,0))</f>
        <v>198</v>
      </c>
      <c r="S886" s="61"/>
      <c r="T886" s="62"/>
      <c r="U886" s="62"/>
      <c r="V886" s="62"/>
      <c r="W886" s="55"/>
      <c r="X886" s="57"/>
      <c r="Y886" s="57"/>
      <c r="Z886" s="55" t="n">
        <f aca="false">IF(A886="","",IF(AND(Parameter!$B$21="Ja",ISNUMBER(W886)),W886,IF(BV886="2+3",IF(ISNUMBER(SEARCH("grosser Artikel",BO886)),2,IFERROR(VLOOKUP(BR886,Parameter!$F$35:$G$64,2,0),2)),IF(OR(BV886="Nein",BV886=""),"-",BV886))))</f>
        <v>3</v>
      </c>
      <c r="AA886" s="62"/>
      <c r="AB886" s="63"/>
      <c r="AC886" s="57" t="n">
        <f aca="false">AR886</f>
        <v>24</v>
      </c>
      <c r="AD886" s="57" t="n">
        <f aca="false">MAX(AR886,H886)</f>
        <v>24</v>
      </c>
      <c r="AE886" s="64"/>
      <c r="AF886" s="57" t="n">
        <f aca="false">IF(LEFT(Cockpit!$C$5,1)="A",H886,IF(CA886=1,CB886,IF(LEFT(Cockpit!$C$5,1)="B",AJ886,MAX(AJ886,H886))))</f>
        <v>7</v>
      </c>
      <c r="AG886" s="57" t="n">
        <f aca="false">IF(BT886=1,0,ROUNDUP(AF886/BS886,0))</f>
        <v>1</v>
      </c>
      <c r="AH886" s="59" t="n">
        <f aca="false">IF(CH886&gt;0,CH886*MAX(1,AF886/X886),IF(BT886=1,IF(AF886&lt;=0,0,BW886*MAX(1,IF(H886&gt;0,AF886/H886,1))),IF(R886&gt;0,AG886/R886,0))/MAX(0.1,N(Parameter!$M$21)))</f>
        <v>0.00505050505050505</v>
      </c>
      <c r="AI886" s="57" t="n">
        <f aca="false">AF886*G886</f>
        <v>77.77</v>
      </c>
      <c r="AJ886" s="57" t="n">
        <f aca="false">ROUNDUP(MAX(J886/IF(BZ886&gt;0,BZ886,MAX(0.1,N(Cockpit!$C$6))),CC886)/BS886,0)*BS886</f>
        <v>24</v>
      </c>
      <c r="AK886" s="58" t="n">
        <f aca="false">IF(AH886&gt;0,J886/AH886,-1)</f>
        <v>3564</v>
      </c>
      <c r="AL886" s="58" t="n">
        <f aca="false">IF(AND(OR(BY886="L1",BY886="L23"),AH886&gt;0),SUMIFS($AH$7:$AH$1843,$BY$7:$BY$1843,BY886,$AK$7:$AK$1843,"&gt;"&amp;AK886)+SUMIFS($AH$7:$AH$1843,$BY$7:$BY$1843,BY886,$AK$7:$AK$1843,AK886,$BQ$7:$BQ$1843,"&lt;="&amp;BQ886),"")</f>
        <v>9.24217087260566</v>
      </c>
      <c r="AM886" s="65" t="n">
        <f aca="false">IF(AL886="",0,MAX(0,MIN(1,(IF(BY886="L1",Parameter!$E$5,Parameter!$E$6+Parameter!$E$7)-(AL886-AH886))/AH886)))</f>
        <v>1</v>
      </c>
      <c r="AN886" s="57" t="n">
        <f aca="false">IF(LEFT(Cockpit!$I$5,1)="A",H886,IF(CA886=1,CB886,IF(LEFT(Cockpit!$I$5,1)="B",AR886,MAX(AR886,H886))))</f>
        <v>24</v>
      </c>
      <c r="AO886" s="57" t="n">
        <f aca="false">IF(BT886=1,0,ROUNDUP(AN886/BS886,0))</f>
        <v>3</v>
      </c>
      <c r="AP886" s="59" t="n">
        <f aca="false">IF(CH886&gt;0,CH886*MAX(1,AN886/X886),IF(BT886=1,IF(AN886&lt;=0,0,BW886*MAX(1,IF(H886&gt;0,AN886/H886,1))),IF(R886&gt;0,AO886/R886,0))/MAX(0.1,N(Parameter!$M$21)))</f>
        <v>0.0151515151515152</v>
      </c>
      <c r="AQ886" s="57" t="n">
        <f aca="false">AN886*G886</f>
        <v>266.64</v>
      </c>
      <c r="AR886" s="57" t="n">
        <f aca="false">ROUNDUP(MAX(J886/IF(BZ886&gt;0,BZ886,MAX(0.1,N(Cockpit!$I$6))),CC886)/BS886,0)*BS886</f>
        <v>24</v>
      </c>
      <c r="AS886" s="58" t="n">
        <f aca="false">IF(AP886&gt;0,J886/AP886,-1)</f>
        <v>1188</v>
      </c>
      <c r="AT886" s="58" t="n">
        <f aca="false">IF(AND(OR(BY886="L1",BY886="L23"),AP886&gt;0),SUMIFS($AP$7:$AP$1843,$BY$7:$BY$1843,BY886,$AS$7:$AS$1843,"&gt;"&amp;AS886)+SUMIFS($AP$7:$AP$1843,$BY$7:$BY$1843,BY886,$AS$7:$AS$1843,AS886,$BQ$7:$BQ$1843,"&lt;="&amp;BQ886),"")</f>
        <v>22.3043055977839</v>
      </c>
      <c r="AU886" s="65" t="n">
        <f aca="false">IF(AT886="",0,MAX(0,MIN(1,(IF(BY886="L1",Parameter!$E$5,Parameter!$E$6+Parameter!$E$7)-(AT886-AP886))/AP886)))</f>
        <v>1</v>
      </c>
      <c r="AV886" s="57" t="n">
        <f aca="false">IF(LEFT(Cockpit!$O$5,1)="A",H886,IF(CA886=1,CB886,IF(LEFT(Cockpit!$O$5,1)="B",AZ886,MAX(AZ886,H886))))</f>
        <v>24</v>
      </c>
      <c r="AW886" s="57" t="n">
        <f aca="false">IF(BT886=1,0,ROUNDUP(AV886/BS886,0))</f>
        <v>3</v>
      </c>
      <c r="AX886" s="59" t="n">
        <f aca="false">IF(CH886&gt;0,CH886*MAX(1,AV886/X886),IF(BT886=1,IF(AV886&lt;=0,0,BW886*MAX(1,IF(H886&gt;0,AV886/H886,1))),IF(R886&gt;0,AW886/R886,0))/MAX(0.1,N(Parameter!$M$21)))</f>
        <v>0.0151515151515152</v>
      </c>
      <c r="AY886" s="57" t="n">
        <f aca="false">AV886*G886</f>
        <v>266.64</v>
      </c>
      <c r="AZ886" s="57" t="n">
        <f aca="false">ROUNDUP(MAX(J886/IF(BZ886&gt;0,BZ886,MAX(0.1,N(Cockpit!$O$6))),CC886)/BS886,0)*BS886</f>
        <v>24</v>
      </c>
      <c r="BA886" s="58" t="n">
        <f aca="false">IF(AX886&gt;0,J886/AX886,-1)</f>
        <v>1188</v>
      </c>
      <c r="BB886" s="58" t="n">
        <f aca="false">IF(AND(OR(BY886="L1",BY886="L23"),AX886&gt;0),SUMIFS($AX$7:$AX$1843,$BY$7:$BY$1843,BY886,$BA$7:$BA$1843,"&gt;"&amp;BA886)+SUMIFS($AX$7:$AX$1843,$BY$7:$BY$1843,BY886,$BA$7:$BA$1843,BA886,$BQ$7:$BQ$1843,"&lt;="&amp;BQ886),"")</f>
        <v>21.2495270430053</v>
      </c>
      <c r="BC886" s="65" t="n">
        <f aca="false">IF(BB886="",0,MAX(0,MIN(1,(IF(BY886="L1",Parameter!$E$5,Parameter!$E$6+Parameter!$E$7)-(BB886-AX886))/AX886)))</f>
        <v>1</v>
      </c>
      <c r="BD886" s="55" t="str">
        <f aca="false">IF(AH886&lt;=0,"",IF(BY886="Aussen","Aussenlager",IF(BY886="-","Nicht im Lift",IF(AM886&gt;=1,"Lift",IF(AM886&lt;=0,"Aussenlager","teilweise")))))</f>
        <v>Lift</v>
      </c>
      <c r="BE886" s="55" t="str">
        <f aca="false">IF(AP886&lt;=0,"",IF(BY886="Aussen","Aussenlager",IF(BY886="-","Nicht im Lift",IF(AU886&gt;=1,"Lift",IF(AU886&lt;=0,"Aussenlager","teilweise")))))</f>
        <v>Lift</v>
      </c>
      <c r="BF886" s="55" t="str">
        <f aca="false">IF(AX886&lt;=0,"",IF(BY886="Aussen","Aussenlager",IF(BY886="-","Nicht im Lift",IF(BC886&gt;=1,"Lift",IF(BC886&lt;=0,"Aussenlager","teilweise")))))</f>
        <v>Lift</v>
      </c>
      <c r="BG886" s="55" t="str">
        <f aca="false">IF(A886="","",IF(BP886=1,"Neu; ","")&amp;IF(AND(BP886=0,BK886&lt;0),"negativer Bestand (Export "&amp;BK886&amp;"); ","")&amp;IF(J886&lt;=0,"Kein Verbrauch; ","")&amp;IF(CH886&gt;0,"Lift "&amp;W886&amp;" lt. Liftbericht (Fach "&amp;X886&amp;" Stk); ",IF(BU886=1,"Gebinde geschätzt ("&amp;T886&amp;"); ",IF(BT886=1,"Lose – Tablare geschätzt; ","")))&amp;IF(H886&gt;AR886,"Überbestand "&amp;ROUND(H886-AR886,0)&amp;" Stk / CHF "&amp;ROUND((H886-AR886)*G886,0)&amp;"; ","")&amp;IF(AND(CA886=1,CB886&lt;CC886),"MAX &lt; MB+LG; ","")&amp;IF(AND(CG886&gt;0,CF886*10&gt;CG886),"zu hoch für Tablar; ","")&amp;IF(AND(BP886=0,OR(CA886=1,AA886&lt;&gt;"",U886&lt;&gt;"",V886&lt;&gt;"",AB886&lt;&gt;"")),"manuell übersteuert; ","")&amp;IF(AND(BT886=0,R886=0),"Gebinde unbekannt / Stellmass fehlt; ","")&amp;IF(AND(BT886=0,N(V886)&lt;=0,N(Q886)&lt;=0),"Menge pro Gebinde fehlt (Ist = 1 Gebinde); ","")&amp;BO886)</f>
        <v>negativer Bestand (Export -3); </v>
      </c>
      <c r="BH886" s="55"/>
      <c r="BI886" s="55"/>
      <c r="BJ886" s="62"/>
      <c r="BK886" s="57" t="n">
        <v>-3</v>
      </c>
      <c r="BL886" s="57" t="n">
        <v>10</v>
      </c>
      <c r="BM886" s="56" t="n">
        <v>-28.33</v>
      </c>
      <c r="BN886" s="57" t="n">
        <v>18</v>
      </c>
      <c r="BO886" s="55"/>
      <c r="BP886" s="60" t="n">
        <v>0</v>
      </c>
      <c r="BQ886" s="60" t="n">
        <v>886</v>
      </c>
      <c r="BR886" s="55" t="str">
        <f aca="false">IF(U886&lt;&gt;"",UPPER(TRIM(U886)),IF(BU886=1,UPPER(VLOOKUP(T886,Parameter!$I$27:$K$29,2,0)),IF(P886="","LOSE",P886)))</f>
        <v>S22</v>
      </c>
      <c r="BS886" s="57" t="n">
        <f aca="false">IF(BR886="LOSE",1,IF(N(V886)&gt;0,V886,IF(BU886=1,MAX(1,N(VLOOKUP(T886,Parameter!$I$27:$K$29,3,0)),H886,N(N886)),IF(N(Q886)&gt;0,Q886,MAX(1,H886)))))</f>
        <v>8</v>
      </c>
      <c r="BT886" s="60" t="n">
        <f aca="false">IF(BR886="LOSE",1,0)</f>
        <v>0</v>
      </c>
      <c r="BU886" s="60" t="n">
        <f aca="false">IF(AND(U886="",OR(P886="",P886="LOSE"),T886&lt;&gt;"",N(S886)&lt;=0,ISNUMBER(MATCH(T886,Parameter!$I$27:$I$29,0))),1,0)</f>
        <v>0</v>
      </c>
      <c r="BV886" s="55" t="str">
        <f aca="false">IF(AND(Parameter!$B$19="Ja",E886&lt;&gt;"",ISNUMBER(MATCH(E886,Parameter!$I$35:$I$52,0))),VLOOKUP(E886,Parameter!$I$35:$J$52,2,0),IFERROR(VLOOKUP(D886,Parameter!$A$35:$C$64,2,0),"Nein"))</f>
        <v>2+3</v>
      </c>
      <c r="BW886" s="59" t="n">
        <f aca="false">IF(BT886=0,0,IF(N(S886)&gt;0,S886,IFERROR(VLOOKUP(D886,Parameter!$A$35:$C$64,3,0)+0,0)))</f>
        <v>0</v>
      </c>
      <c r="BX886" s="55" t="n">
        <f aca="false">IF(AA886&lt;&gt;"",AA886,Z886)</f>
        <v>3</v>
      </c>
      <c r="BY886" s="55" t="str">
        <f aca="false">IF(BX886=1,"L1",IF(OR(BX886=2,BX886=3),"L23",IF(BX886="Aussen","Aussen","-")))</f>
        <v>L23</v>
      </c>
      <c r="BZ886" s="66" t="n">
        <f aca="false">IF(N(AB886)&gt;0,AB886,0)</f>
        <v>0</v>
      </c>
      <c r="CA886" s="60" t="n">
        <f aca="false">IF(ISNUMBER(AE886),1,0)</f>
        <v>0</v>
      </c>
      <c r="CB886" s="57" t="n">
        <f aca="false">N(AE886)</f>
        <v>0</v>
      </c>
      <c r="CC886" s="57" t="n">
        <f aca="false">N(M886)+N(N886)</f>
        <v>20</v>
      </c>
      <c r="CD886" s="57" t="n">
        <f aca="false">ROUNDUP(H886/BS886,0)</f>
        <v>1</v>
      </c>
      <c r="CE886" s="57" t="n">
        <f aca="false">ROUNDUP(CB886/BS886,0)</f>
        <v>0</v>
      </c>
      <c r="CF886" s="60" t="n">
        <f aca="false">IF(BT886=1,0,IFERROR(VLOOKUP(BR886,'Gebinde-Kategorie'!$A$5:$M$45,5,0)+0,0))</f>
        <v>8</v>
      </c>
      <c r="CG886" s="60" t="n">
        <f aca="false">IFERROR(IF(OR(BX886=1,BX886=2,BX886=3),N(INDEX(Parameter!$I$5:$I$7,BX886)),0),0)</f>
        <v>0</v>
      </c>
      <c r="CH886" s="59" t="n">
        <f aca="false">IF(AND(Parameter!$B$21="Ja",ISNUMBER(W886),N(X886)&gt;0),IFERROR(N(INDEX(Parameter!$L$5:$L$7,W886))*INDEX(Parameter!$E$5:$E$7,W886)*X886/SUMIFS($X$7:$X$1843,$W$7:$W$1843,W886),0),0)</f>
        <v>0</v>
      </c>
    </row>
    <row r="887" customFormat="false" ht="15" hidden="false" customHeight="false" outlineLevel="0" collapsed="false">
      <c r="A887" s="55" t="s">
        <v>1674</v>
      </c>
      <c r="B887" s="55" t="s">
        <v>1675</v>
      </c>
      <c r="C887" s="55" t="s">
        <v>164</v>
      </c>
      <c r="D887" s="55" t="s">
        <v>184</v>
      </c>
      <c r="E887" s="55"/>
      <c r="F887" s="55" t="s">
        <v>218</v>
      </c>
      <c r="G887" s="56" t="n">
        <v>5.69</v>
      </c>
      <c r="H887" s="57" t="n">
        <f aca="false">MAX(0,IF(AND(Parameter!$B$21="Ja",ISNUMBER(Y887)),Y887,IF(Parameter!$B$20="Jahresanfang 2025 + Export",BL887+BK887,BK887)))</f>
        <v>10</v>
      </c>
      <c r="I887" s="57" t="n">
        <f aca="false">H887*G887</f>
        <v>56.9</v>
      </c>
      <c r="J887" s="57" t="n">
        <f aca="false">BN887*Parameter!$B$18</f>
        <v>3</v>
      </c>
      <c r="K887" s="58" t="n">
        <v>12.5</v>
      </c>
      <c r="L887" s="59" t="n">
        <v>0.24</v>
      </c>
      <c r="M887" s="57" t="n">
        <v>0</v>
      </c>
      <c r="N887" s="57" t="n">
        <v>5</v>
      </c>
      <c r="O887" s="60" t="n">
        <v>28</v>
      </c>
      <c r="P887" s="55" t="s">
        <v>401</v>
      </c>
      <c r="Q887" s="57" t="n">
        <v>50</v>
      </c>
      <c r="R887" s="60" t="n">
        <f aca="false">IF(BT887=1,0,IFERROR(VLOOKUP(BR887,'Gebinde-Kategorie'!$A$5:$M$45,13,0)+0,0))</f>
        <v>414</v>
      </c>
      <c r="S887" s="61"/>
      <c r="T887" s="62"/>
      <c r="U887" s="62"/>
      <c r="V887" s="62"/>
      <c r="W887" s="55"/>
      <c r="X887" s="57"/>
      <c r="Y887" s="57"/>
      <c r="Z887" s="55" t="n">
        <f aca="false">IF(A887="","",IF(AND(Parameter!$B$21="Ja",ISNUMBER(W887)),W887,IF(BV887="2+3",IF(ISNUMBER(SEARCH("grosser Artikel",BO887)),2,IFERROR(VLOOKUP(BR887,Parameter!$F$35:$G$64,2,0),2)),IF(OR(BV887="Nein",BV887=""),"-",BV887))))</f>
        <v>3</v>
      </c>
      <c r="AA887" s="62"/>
      <c r="AB887" s="63"/>
      <c r="AC887" s="57" t="n">
        <f aca="false">AR887</f>
        <v>50</v>
      </c>
      <c r="AD887" s="57" t="n">
        <f aca="false">MAX(AR887,H887)</f>
        <v>50</v>
      </c>
      <c r="AE887" s="64"/>
      <c r="AF887" s="57" t="n">
        <f aca="false">IF(LEFT(Cockpit!$C$5,1)="A",H887,IF(CA887=1,CB887,IF(LEFT(Cockpit!$C$5,1)="B",AJ887,MAX(AJ887,H887))))</f>
        <v>10</v>
      </c>
      <c r="AG887" s="57" t="n">
        <f aca="false">IF(BT887=1,0,ROUNDUP(AF887/BS887,0))</f>
        <v>1</v>
      </c>
      <c r="AH887" s="59" t="n">
        <f aca="false">IF(CH887&gt;0,CH887*MAX(1,AF887/X887),IF(BT887=1,IF(AF887&lt;=0,0,BW887*MAX(1,IF(H887&gt;0,AF887/H887,1))),IF(R887&gt;0,AG887/R887,0))/MAX(0.1,N(Parameter!$M$21)))</f>
        <v>0.00241545893719807</v>
      </c>
      <c r="AI887" s="57" t="n">
        <f aca="false">AF887*G887</f>
        <v>56.9</v>
      </c>
      <c r="AJ887" s="57" t="n">
        <f aca="false">ROUNDUP(MAX(J887/IF(BZ887&gt;0,BZ887,MAX(0.1,N(Cockpit!$C$6))),CC887)/BS887,0)*BS887</f>
        <v>50</v>
      </c>
      <c r="AK887" s="58" t="n">
        <f aca="false">IF(AH887&gt;0,J887/AH887,-1)</f>
        <v>1242</v>
      </c>
      <c r="AL887" s="58" t="n">
        <f aca="false">IF(AND(OR(BY887="L1",BY887="L23"),AH887&gt;0),SUMIFS($AH$7:$AH$1843,$BY$7:$BY$1843,BY887,$AK$7:$AK$1843,"&gt;"&amp;AK887)+SUMIFS($AH$7:$AH$1843,$BY$7:$BY$1843,BY887,$AK$7:$AK$1843,AK887,$BQ$7:$BQ$1843,"&lt;="&amp;BQ887),"")</f>
        <v>16.5470507753116</v>
      </c>
      <c r="AM887" s="65" t="n">
        <f aca="false">IF(AL887="",0,MAX(0,MIN(1,(IF(BY887="L1",Parameter!$E$5,Parameter!$E$6+Parameter!$E$7)-(AL887-AH887))/AH887)))</f>
        <v>1</v>
      </c>
      <c r="AN887" s="57" t="n">
        <f aca="false">IF(LEFT(Cockpit!$I$5,1)="A",H887,IF(CA887=1,CB887,IF(LEFT(Cockpit!$I$5,1)="B",AR887,MAX(AR887,H887))))</f>
        <v>50</v>
      </c>
      <c r="AO887" s="57" t="n">
        <f aca="false">IF(BT887=1,0,ROUNDUP(AN887/BS887,0))</f>
        <v>1</v>
      </c>
      <c r="AP887" s="59" t="n">
        <f aca="false">IF(CH887&gt;0,CH887*MAX(1,AN887/X887),IF(BT887=1,IF(AN887&lt;=0,0,BW887*MAX(1,IF(H887&gt;0,AN887/H887,1))),IF(R887&gt;0,AO887/R887,0))/MAX(0.1,N(Parameter!$M$21)))</f>
        <v>0.00241545893719807</v>
      </c>
      <c r="AQ887" s="57" t="n">
        <f aca="false">AN887*G887</f>
        <v>284.5</v>
      </c>
      <c r="AR887" s="57" t="n">
        <f aca="false">ROUNDUP(MAX(J887/IF(BZ887&gt;0,BZ887,MAX(0.1,N(Cockpit!$I$6))),CC887)/BS887,0)*BS887</f>
        <v>50</v>
      </c>
      <c r="AS887" s="58" t="n">
        <f aca="false">IF(AP887&gt;0,J887/AP887,-1)</f>
        <v>1242</v>
      </c>
      <c r="AT887" s="58" t="n">
        <f aca="false">IF(AND(OR(BY887="L1",BY887="L23"),AP887&gt;0),SUMIFS($AP$7:$AP$1843,$BY$7:$BY$1843,BY887,$AS$7:$AS$1843,"&gt;"&amp;AS887)+SUMIFS($AP$7:$AP$1843,$BY$7:$BY$1843,BY887,$AS$7:$AS$1843,AS887,$BQ$7:$BQ$1843,"&lt;="&amp;BQ887),"")</f>
        <v>22.2332353636701</v>
      </c>
      <c r="AU887" s="65" t="n">
        <f aca="false">IF(AT887="",0,MAX(0,MIN(1,(IF(BY887="L1",Parameter!$E$5,Parameter!$E$6+Parameter!$E$7)-(AT887-AP887))/AP887)))</f>
        <v>1</v>
      </c>
      <c r="AV887" s="57" t="n">
        <f aca="false">IF(LEFT(Cockpit!$O$5,1)="A",H887,IF(CA887=1,CB887,IF(LEFT(Cockpit!$O$5,1)="B",AZ887,MAX(AZ887,H887))))</f>
        <v>50</v>
      </c>
      <c r="AW887" s="57" t="n">
        <f aca="false">IF(BT887=1,0,ROUNDUP(AV887/BS887,0))</f>
        <v>1</v>
      </c>
      <c r="AX887" s="59" t="n">
        <f aca="false">IF(CH887&gt;0,CH887*MAX(1,AV887/X887),IF(BT887=1,IF(AV887&lt;=0,0,BW887*MAX(1,IF(H887&gt;0,AV887/H887,1))),IF(R887&gt;0,AW887/R887,0))/MAX(0.1,N(Parameter!$M$21)))</f>
        <v>0.00241545893719807</v>
      </c>
      <c r="AY887" s="57" t="n">
        <f aca="false">AV887*G887</f>
        <v>284.5</v>
      </c>
      <c r="AZ887" s="57" t="n">
        <f aca="false">ROUNDUP(MAX(J887/IF(BZ887&gt;0,BZ887,MAX(0.1,N(Cockpit!$O$6))),CC887)/BS887,0)*BS887</f>
        <v>50</v>
      </c>
      <c r="BA887" s="58" t="n">
        <f aca="false">IF(AX887&gt;0,J887/AX887,-1)</f>
        <v>1242</v>
      </c>
      <c r="BB887" s="58" t="n">
        <f aca="false">IF(AND(OR(BY887="L1",BY887="L23"),AX887&gt;0),SUMIFS($AX$7:$AX$1843,$BY$7:$BY$1843,BY887,$BA$7:$BA$1843,"&gt;"&amp;BA887)+SUMIFS($AX$7:$AX$1843,$BY$7:$BY$1843,BY887,$BA$7:$BA$1843,BA887,$BQ$7:$BQ$1843,"&lt;="&amp;BQ887),"")</f>
        <v>20.9284568088916</v>
      </c>
      <c r="BC887" s="65" t="n">
        <f aca="false">IF(BB887="",0,MAX(0,MIN(1,(IF(BY887="L1",Parameter!$E$5,Parameter!$E$6+Parameter!$E$7)-(BB887-AX887))/AX887)))</f>
        <v>1</v>
      </c>
      <c r="BD887" s="55" t="str">
        <f aca="false">IF(AH887&lt;=0,"",IF(BY887="Aussen","Aussenlager",IF(BY887="-","Nicht im Lift",IF(AM887&gt;=1,"Lift",IF(AM887&lt;=0,"Aussenlager","teilweise")))))</f>
        <v>Lift</v>
      </c>
      <c r="BE887" s="55" t="str">
        <f aca="false">IF(AP887&lt;=0,"",IF(BY887="Aussen","Aussenlager",IF(BY887="-","Nicht im Lift",IF(AU887&gt;=1,"Lift",IF(AU887&lt;=0,"Aussenlager","teilweise")))))</f>
        <v>Lift</v>
      </c>
      <c r="BF887" s="55" t="str">
        <f aca="false">IF(AX887&lt;=0,"",IF(BY887="Aussen","Aussenlager",IF(BY887="-","Nicht im Lift",IF(BC887&gt;=1,"Lift",IF(BC887&lt;=0,"Aussenlager","teilweise")))))</f>
        <v>Lift</v>
      </c>
      <c r="BG887" s="55" t="str">
        <f aca="false">IF(A887="","",IF(BP887=1,"Neu; ","")&amp;IF(AND(BP887=0,BK887&lt;0),"negativer Bestand (Export "&amp;BK887&amp;"); ","")&amp;IF(J887&lt;=0,"Kein Verbrauch; ","")&amp;IF(CH887&gt;0,"Lift "&amp;W887&amp;" lt. Liftbericht (Fach "&amp;X887&amp;" Stk); ",IF(BU887=1,"Gebinde geschätzt ("&amp;T887&amp;"); ",IF(BT887=1,"Lose – Tablare geschätzt; ","")))&amp;IF(H887&gt;AR887,"Überbestand "&amp;ROUND(H887-AR887,0)&amp;" Stk / CHF "&amp;ROUND((H887-AR887)*G887,0)&amp;"; ","")&amp;IF(AND(CA887=1,CB887&lt;CC887),"MAX &lt; MB+LG; ","")&amp;IF(AND(CG887&gt;0,CF887*10&gt;CG887),"zu hoch für Tablar; ","")&amp;IF(AND(BP887=0,OR(CA887=1,AA887&lt;&gt;"",U887&lt;&gt;"",V887&lt;&gt;"",AB887&lt;&gt;"")),"manuell übersteuert; ","")&amp;IF(AND(BT887=0,R887=0),"Gebinde unbekannt / Stellmass fehlt; ","")&amp;IF(AND(BT887=0,N(V887)&lt;=0,N(Q887)&lt;=0),"Menge pro Gebinde fehlt (Ist = 1 Gebinde); ","")&amp;BO887)</f>
        <v>negativer Bestand (Export -5); </v>
      </c>
      <c r="BH887" s="55"/>
      <c r="BI887" s="55"/>
      <c r="BJ887" s="62"/>
      <c r="BK887" s="57" t="n">
        <v>-5</v>
      </c>
      <c r="BL887" s="57" t="n">
        <v>15</v>
      </c>
      <c r="BM887" s="56" t="n">
        <v>-28.45</v>
      </c>
      <c r="BN887" s="57" t="n">
        <v>3</v>
      </c>
      <c r="BO887" s="55"/>
      <c r="BP887" s="60" t="n">
        <v>0</v>
      </c>
      <c r="BQ887" s="60" t="n">
        <v>887</v>
      </c>
      <c r="BR887" s="55" t="str">
        <f aca="false">IF(U887&lt;&gt;"",UPPER(TRIM(U887)),IF(BU887=1,UPPER(VLOOKUP(T887,Parameter!$I$27:$K$29,2,0)),IF(P887="","LOSE",P887)))</f>
        <v>S21</v>
      </c>
      <c r="BS887" s="57" t="n">
        <f aca="false">IF(BR887="LOSE",1,IF(N(V887)&gt;0,V887,IF(BU887=1,MAX(1,N(VLOOKUP(T887,Parameter!$I$27:$K$29,3,0)),H887,N(N887)),IF(N(Q887)&gt;0,Q887,MAX(1,H887)))))</f>
        <v>50</v>
      </c>
      <c r="BT887" s="60" t="n">
        <f aca="false">IF(BR887="LOSE",1,0)</f>
        <v>0</v>
      </c>
      <c r="BU887" s="60" t="n">
        <f aca="false">IF(AND(U887="",OR(P887="",P887="LOSE"),T887&lt;&gt;"",N(S887)&lt;=0,ISNUMBER(MATCH(T887,Parameter!$I$27:$I$29,0))),1,0)</f>
        <v>0</v>
      </c>
      <c r="BV887" s="55" t="str">
        <f aca="false">IF(AND(Parameter!$B$19="Ja",E887&lt;&gt;"",ISNUMBER(MATCH(E887,Parameter!$I$35:$I$52,0))),VLOOKUP(E887,Parameter!$I$35:$J$52,2,0),IFERROR(VLOOKUP(D887,Parameter!$A$35:$C$64,2,0),"Nein"))</f>
        <v>2+3</v>
      </c>
      <c r="BW887" s="59" t="n">
        <f aca="false">IF(BT887=0,0,IF(N(S887)&gt;0,S887,IFERROR(VLOOKUP(D887,Parameter!$A$35:$C$64,3,0)+0,0)))</f>
        <v>0</v>
      </c>
      <c r="BX887" s="55" t="n">
        <f aca="false">IF(AA887&lt;&gt;"",AA887,Z887)</f>
        <v>3</v>
      </c>
      <c r="BY887" s="55" t="str">
        <f aca="false">IF(BX887=1,"L1",IF(OR(BX887=2,BX887=3),"L23",IF(BX887="Aussen","Aussen","-")))</f>
        <v>L23</v>
      </c>
      <c r="BZ887" s="66" t="n">
        <f aca="false">IF(N(AB887)&gt;0,AB887,0)</f>
        <v>0</v>
      </c>
      <c r="CA887" s="60" t="n">
        <f aca="false">IF(ISNUMBER(AE887),1,0)</f>
        <v>0</v>
      </c>
      <c r="CB887" s="57" t="n">
        <f aca="false">N(AE887)</f>
        <v>0</v>
      </c>
      <c r="CC887" s="57" t="n">
        <f aca="false">N(M887)+N(N887)</f>
        <v>5</v>
      </c>
      <c r="CD887" s="57" t="n">
        <f aca="false">ROUNDUP(H887/BS887,0)</f>
        <v>1</v>
      </c>
      <c r="CE887" s="57" t="n">
        <f aca="false">ROUNDUP(CB887/BS887,0)</f>
        <v>0</v>
      </c>
      <c r="CF887" s="60" t="n">
        <f aca="false">IF(BT887=1,0,IFERROR(VLOOKUP(BR887,'Gebinde-Kategorie'!$A$5:$M$45,5,0)+0,0))</f>
        <v>8</v>
      </c>
      <c r="CG887" s="60" t="n">
        <f aca="false">IFERROR(IF(OR(BX887=1,BX887=2,BX887=3),N(INDEX(Parameter!$I$5:$I$7,BX887)),0),0)</f>
        <v>0</v>
      </c>
      <c r="CH887" s="59" t="n">
        <f aca="false">IF(AND(Parameter!$B$21="Ja",ISNUMBER(W887),N(X887)&gt;0),IFERROR(N(INDEX(Parameter!$L$5:$L$7,W887))*INDEX(Parameter!$E$5:$E$7,W887)*X887/SUMIFS($X$7:$X$1843,$W$7:$W$1843,W887),0),0)</f>
        <v>0</v>
      </c>
    </row>
    <row r="888" customFormat="false" ht="15" hidden="false" customHeight="false" outlineLevel="0" collapsed="false">
      <c r="A888" s="55" t="s">
        <v>1676</v>
      </c>
      <c r="B888" s="55" t="s">
        <v>1677</v>
      </c>
      <c r="C888" s="55" t="s">
        <v>164</v>
      </c>
      <c r="D888" s="55" t="s">
        <v>184</v>
      </c>
      <c r="E888" s="55"/>
      <c r="F888" s="55" t="s">
        <v>218</v>
      </c>
      <c r="G888" s="56" t="n">
        <v>14.44</v>
      </c>
      <c r="H888" s="57" t="n">
        <f aca="false">MAX(0,IF(AND(Parameter!$B$21="Ja",ISNUMBER(Y888)),Y888,IF(Parameter!$B$20="Jahresanfang 2025 + Export",BL888+BK888,BK888)))</f>
        <v>0</v>
      </c>
      <c r="I888" s="57" t="n">
        <f aca="false">H888*G888</f>
        <v>0</v>
      </c>
      <c r="J888" s="57" t="n">
        <f aca="false">BN888*Parameter!$B$18</f>
        <v>0</v>
      </c>
      <c r="K888" s="58" t="n">
        <v>2</v>
      </c>
      <c r="L888" s="59" t="n">
        <v>0</v>
      </c>
      <c r="M888" s="57" t="n">
        <v>0</v>
      </c>
      <c r="N888" s="57" t="n">
        <v>1</v>
      </c>
      <c r="O888" s="60" t="n">
        <v>14</v>
      </c>
      <c r="P888" s="55" t="s">
        <v>168</v>
      </c>
      <c r="Q888" s="57"/>
      <c r="R888" s="60" t="n">
        <f aca="false">IF(BT888=1,0,IFERROR(VLOOKUP(BR888,'Gebinde-Kategorie'!$A$5:$M$45,13,0)+0,0))</f>
        <v>26</v>
      </c>
      <c r="S888" s="61"/>
      <c r="T888" s="62" t="s">
        <v>275</v>
      </c>
      <c r="U888" s="62"/>
      <c r="V888" s="62"/>
      <c r="W888" s="55"/>
      <c r="X888" s="57"/>
      <c r="Y888" s="57"/>
      <c r="Z888" s="55" t="n">
        <f aca="false">IF(A888="","",IF(AND(Parameter!$B$21="Ja",ISNUMBER(W888)),W888,IF(BV888="2+3",IF(ISNUMBER(SEARCH("grosser Artikel",BO888)),2,IFERROR(VLOOKUP(BR888,Parameter!$F$35:$G$64,2,0),2)),IF(OR(BV888="Nein",BV888=""),"-",BV888))))</f>
        <v>3</v>
      </c>
      <c r="AA888" s="62"/>
      <c r="AB888" s="63"/>
      <c r="AC888" s="57" t="n">
        <f aca="false">AR888</f>
        <v>20</v>
      </c>
      <c r="AD888" s="57" t="n">
        <f aca="false">MAX(AR888,H888)</f>
        <v>20</v>
      </c>
      <c r="AE888" s="64"/>
      <c r="AF888" s="57" t="n">
        <f aca="false">IF(LEFT(Cockpit!$C$5,1)="A",H888,IF(CA888=1,CB888,IF(LEFT(Cockpit!$C$5,1)="B",AJ888,MAX(AJ888,H888))))</f>
        <v>0</v>
      </c>
      <c r="AG888" s="57" t="n">
        <f aca="false">IF(BT888=1,0,ROUNDUP(AF888/BS888,0))</f>
        <v>0</v>
      </c>
      <c r="AH888" s="59" t="n">
        <f aca="false">IF(CH888&gt;0,CH888*MAX(1,AF888/X888),IF(BT888=1,IF(AF888&lt;=0,0,BW888*MAX(1,IF(H888&gt;0,AF888/H888,1))),IF(R888&gt;0,AG888/R888,0))/MAX(0.1,N(Parameter!$M$21)))</f>
        <v>0</v>
      </c>
      <c r="AI888" s="57" t="n">
        <f aca="false">AF888*G888</f>
        <v>0</v>
      </c>
      <c r="AJ888" s="57" t="n">
        <f aca="false">ROUNDUP(MAX(J888/IF(BZ888&gt;0,BZ888,MAX(0.1,N(Cockpit!$C$6))),CC888)/BS888,0)*BS888</f>
        <v>20</v>
      </c>
      <c r="AK888" s="58" t="n">
        <f aca="false">IF(AH888&gt;0,J888/AH888,-1)</f>
        <v>-1</v>
      </c>
      <c r="AL888" s="58" t="str">
        <f aca="false">IF(AND(OR(BY888="L1",BY888="L23"),AH888&gt;0),SUMIFS($AH$7:$AH$1843,$BY$7:$BY$1843,BY888,$AK$7:$AK$1843,"&gt;"&amp;AK888)+SUMIFS($AH$7:$AH$1843,$BY$7:$BY$1843,BY888,$AK$7:$AK$1843,AK888,$BQ$7:$BQ$1843,"&lt;="&amp;BQ888),"")</f>
        <v/>
      </c>
      <c r="AM888" s="65" t="n">
        <f aca="false">IF(AL888="",0,MAX(0,MIN(1,(IF(BY888="L1",Parameter!$E$5,Parameter!$E$6+Parameter!$E$7)-(AL888-AH888))/AH888)))</f>
        <v>0</v>
      </c>
      <c r="AN888" s="57" t="n">
        <f aca="false">IF(LEFT(Cockpit!$I$5,1)="A",H888,IF(CA888=1,CB888,IF(LEFT(Cockpit!$I$5,1)="B",AR888,MAX(AR888,H888))))</f>
        <v>20</v>
      </c>
      <c r="AO888" s="57" t="n">
        <f aca="false">IF(BT888=1,0,ROUNDUP(AN888/BS888,0))</f>
        <v>1</v>
      </c>
      <c r="AP888" s="59" t="n">
        <f aca="false">IF(CH888&gt;0,CH888*MAX(1,AN888/X888),IF(BT888=1,IF(AN888&lt;=0,0,BW888*MAX(1,IF(H888&gt;0,AN888/H888,1))),IF(R888&gt;0,AO888/R888,0))/MAX(0.1,N(Parameter!$M$21)))</f>
        <v>0.0384615384615385</v>
      </c>
      <c r="AQ888" s="57" t="n">
        <f aca="false">AN888*G888</f>
        <v>288.8</v>
      </c>
      <c r="AR888" s="57" t="n">
        <f aca="false">ROUNDUP(MAX(J888/IF(BZ888&gt;0,BZ888,MAX(0.1,N(Cockpit!$I$6))),CC888)/BS888,0)*BS888</f>
        <v>20</v>
      </c>
      <c r="AS888" s="58" t="n">
        <f aca="false">IF(AP888&gt;0,J888/AP888,-1)</f>
        <v>0</v>
      </c>
      <c r="AT888" s="58" t="n">
        <f aca="false">IF(AND(OR(BY888="L1",BY888="L23"),AP888&gt;0),SUMIFS($AP$7:$AP$1843,$BY$7:$BY$1843,BY888,$AS$7:$AS$1843,"&gt;"&amp;AS888)+SUMIFS($AP$7:$AP$1843,$BY$7:$BY$1843,BY888,$AS$7:$AS$1843,AS888,$BQ$7:$BQ$1843,"&lt;="&amp;BQ888),"")</f>
        <v>118.726402824229</v>
      </c>
      <c r="AU888" s="65" t="n">
        <f aca="false">IF(AT888="",0,MAX(0,MIN(1,(IF(BY888="L1",Parameter!$E$5,Parameter!$E$6+Parameter!$E$7)-(AT888-AP888))/AP888)))</f>
        <v>0</v>
      </c>
      <c r="AV888" s="57" t="n">
        <f aca="false">IF(LEFT(Cockpit!$O$5,1)="A",H888,IF(CA888=1,CB888,IF(LEFT(Cockpit!$O$5,1)="B",AZ888,MAX(AZ888,H888))))</f>
        <v>20</v>
      </c>
      <c r="AW888" s="57" t="n">
        <f aca="false">IF(BT888=1,0,ROUNDUP(AV888/BS888,0))</f>
        <v>1</v>
      </c>
      <c r="AX888" s="59" t="n">
        <f aca="false">IF(CH888&gt;0,CH888*MAX(1,AV888/X888),IF(BT888=1,IF(AV888&lt;=0,0,BW888*MAX(1,IF(H888&gt;0,AV888/H888,1))),IF(R888&gt;0,AW888/R888,0))/MAX(0.1,N(Parameter!$M$21)))</f>
        <v>0.0384615384615385</v>
      </c>
      <c r="AY888" s="57" t="n">
        <f aca="false">AV888*G888</f>
        <v>288.8</v>
      </c>
      <c r="AZ888" s="57" t="n">
        <f aca="false">ROUNDUP(MAX(J888/IF(BZ888&gt;0,BZ888,MAX(0.1,N(Cockpit!$O$6))),CC888)/BS888,0)*BS888</f>
        <v>20</v>
      </c>
      <c r="BA888" s="58" t="n">
        <f aca="false">IF(AX888&gt;0,J888/AX888,-1)</f>
        <v>0</v>
      </c>
      <c r="BB888" s="58" t="n">
        <f aca="false">IF(AND(OR(BY888="L1",BY888="L23"),AX888&gt;0),SUMIFS($AX$7:$AX$1843,$BY$7:$BY$1843,BY888,$BA$7:$BA$1843,"&gt;"&amp;BA888)+SUMIFS($AX$7:$AX$1843,$BY$7:$BY$1843,BY888,$BA$7:$BA$1843,BA888,$BQ$7:$BQ$1843,"&lt;="&amp;BQ888),"")</f>
        <v>109.556239654066</v>
      </c>
      <c r="BC888" s="65" t="n">
        <f aca="false">IF(BB888="",0,MAX(0,MIN(1,(IF(BY888="L1",Parameter!$E$5,Parameter!$E$6+Parameter!$E$7)-(BB888-AX888))/AX888)))</f>
        <v>0</v>
      </c>
      <c r="BD888" s="55" t="str">
        <f aca="false">IF(AH888&lt;=0,"",IF(BY888="Aussen","Aussenlager",IF(BY888="-","Nicht im Lift",IF(AM888&gt;=1,"Lift",IF(AM888&lt;=0,"Aussenlager","teilweise")))))</f>
        <v/>
      </c>
      <c r="BE888" s="55" t="str">
        <f aca="false">IF(AP888&lt;=0,"",IF(BY888="Aussen","Aussenlager",IF(BY888="-","Nicht im Lift",IF(AU888&gt;=1,"Lift",IF(AU888&lt;=0,"Aussenlager","teilweise")))))</f>
        <v>Aussenlager</v>
      </c>
      <c r="BF888" s="55" t="str">
        <f aca="false">IF(AX888&lt;=0,"",IF(BY888="Aussen","Aussenlager",IF(BY888="-","Nicht im Lift",IF(BC888&gt;=1,"Lift",IF(BC888&lt;=0,"Aussenlager","teilweise")))))</f>
        <v>Aussenlager</v>
      </c>
      <c r="BG888" s="55" t="str">
        <f aca="false">IF(A888="","",IF(BP888=1,"Neu; ","")&amp;IF(AND(BP888=0,BK888&lt;0),"negativer Bestand (Export "&amp;BK888&amp;"); ","")&amp;IF(J888&lt;=0,"Kein Verbrauch; ","")&amp;IF(CH888&gt;0,"Lift "&amp;W888&amp;" lt. Liftbericht (Fach "&amp;X888&amp;" Stk); ",IF(BU888=1,"Gebinde geschätzt ("&amp;T888&amp;"); ",IF(BT888=1,"Lose – Tablare geschätzt; ","")))&amp;IF(H888&gt;AR888,"Überbestand "&amp;ROUND(H888-AR888,0)&amp;" Stk / CHF "&amp;ROUND((H888-AR888)*G888,0)&amp;"; ","")&amp;IF(AND(CA888=1,CB888&lt;CC888),"MAX &lt; MB+LG; ","")&amp;IF(AND(CG888&gt;0,CF888*10&gt;CG888),"zu hoch für Tablar; ","")&amp;IF(AND(BP888=0,OR(CA888=1,AA888&lt;&gt;"",U888&lt;&gt;"",V888&lt;&gt;"",AB888&lt;&gt;"")),"manuell übersteuert; ","")&amp;IF(AND(BT888=0,R888=0),"Gebinde unbekannt / Stellmass fehlt; ","")&amp;IF(AND(BT888=0,N(V888)&lt;=0,N(Q888)&lt;=0),"Menge pro Gebinde fehlt (Ist = 1 Gebinde); ","")&amp;BO888)</f>
        <v>negativer Bestand (Export -2); Kein Verbrauch; Gebinde geschätzt (Klein); Menge pro Gebinde fehlt (Ist = 1 Gebinde); </v>
      </c>
      <c r="BH888" s="55"/>
      <c r="BI888" s="55"/>
      <c r="BJ888" s="62"/>
      <c r="BK888" s="57" t="n">
        <v>-2</v>
      </c>
      <c r="BL888" s="57" t="n">
        <v>2</v>
      </c>
      <c r="BM888" s="56" t="n">
        <v>-28.88</v>
      </c>
      <c r="BN888" s="57" t="n">
        <v>0</v>
      </c>
      <c r="BO888" s="55"/>
      <c r="BP888" s="60" t="n">
        <v>0</v>
      </c>
      <c r="BQ888" s="60" t="n">
        <v>888</v>
      </c>
      <c r="BR888" s="55" t="str">
        <f aca="false">IF(U888&lt;&gt;"",UPPER(TRIM(U888)),IF(BU888=1,UPPER(VLOOKUP(T888,Parameter!$I$27:$K$29,2,0)),IF(P888="","LOSE",P888)))</f>
        <v>S51</v>
      </c>
      <c r="BS888" s="57" t="n">
        <f aca="false">IF(BR888="LOSE",1,IF(N(V888)&gt;0,V888,IF(BU888=1,MAX(1,N(VLOOKUP(T888,Parameter!$I$27:$K$29,3,0)),H888,N(N888)),IF(N(Q888)&gt;0,Q888,MAX(1,H888)))))</f>
        <v>20</v>
      </c>
      <c r="BT888" s="60" t="n">
        <f aca="false">IF(BR888="LOSE",1,0)</f>
        <v>0</v>
      </c>
      <c r="BU888" s="60" t="n">
        <f aca="false">IF(AND(U888="",OR(P888="",P888="LOSE"),T888&lt;&gt;"",N(S888)&lt;=0,ISNUMBER(MATCH(T888,Parameter!$I$27:$I$29,0))),1,0)</f>
        <v>1</v>
      </c>
      <c r="BV888" s="55" t="str">
        <f aca="false">IF(AND(Parameter!$B$19="Ja",E888&lt;&gt;"",ISNUMBER(MATCH(E888,Parameter!$I$35:$I$52,0))),VLOOKUP(E888,Parameter!$I$35:$J$52,2,0),IFERROR(VLOOKUP(D888,Parameter!$A$35:$C$64,2,0),"Nein"))</f>
        <v>2+3</v>
      </c>
      <c r="BW888" s="59" t="n">
        <f aca="false">IF(BT888=0,0,IF(N(S888)&gt;0,S888,IFERROR(VLOOKUP(D888,Parameter!$A$35:$C$64,3,0)+0,0)))</f>
        <v>0</v>
      </c>
      <c r="BX888" s="55" t="n">
        <f aca="false">IF(AA888&lt;&gt;"",AA888,Z888)</f>
        <v>3</v>
      </c>
      <c r="BY888" s="55" t="str">
        <f aca="false">IF(BX888=1,"L1",IF(OR(BX888=2,BX888=3),"L23",IF(BX888="Aussen","Aussen","-")))</f>
        <v>L23</v>
      </c>
      <c r="BZ888" s="66" t="n">
        <f aca="false">IF(N(AB888)&gt;0,AB888,0)</f>
        <v>0</v>
      </c>
      <c r="CA888" s="60" t="n">
        <f aca="false">IF(ISNUMBER(AE888),1,0)</f>
        <v>0</v>
      </c>
      <c r="CB888" s="57" t="n">
        <f aca="false">N(AE888)</f>
        <v>0</v>
      </c>
      <c r="CC888" s="57" t="n">
        <f aca="false">N(M888)+N(N888)</f>
        <v>1</v>
      </c>
      <c r="CD888" s="57" t="n">
        <f aca="false">ROUNDUP(H888/BS888,0)</f>
        <v>0</v>
      </c>
      <c r="CE888" s="57" t="n">
        <f aca="false">ROUNDUP(CB888/BS888,0)</f>
        <v>0</v>
      </c>
      <c r="CF888" s="60" t="n">
        <f aca="false">IF(BT888=1,0,IFERROR(VLOOKUP(BR888,'Gebinde-Kategorie'!$A$5:$M$45,5,0)+0,0))</f>
        <v>11</v>
      </c>
      <c r="CG888" s="60" t="n">
        <f aca="false">IFERROR(IF(OR(BX888=1,BX888=2,BX888=3),N(INDEX(Parameter!$I$5:$I$7,BX888)),0),0)</f>
        <v>0</v>
      </c>
      <c r="CH888" s="59" t="n">
        <f aca="false">IF(AND(Parameter!$B$21="Ja",ISNUMBER(W888),N(X888)&gt;0),IFERROR(N(INDEX(Parameter!$L$5:$L$7,W888))*INDEX(Parameter!$E$5:$E$7,W888)*X888/SUMIFS($X$7:$X$1843,$W$7:$W$1843,W888),0),0)</f>
        <v>0</v>
      </c>
    </row>
    <row r="889" customFormat="false" ht="15" hidden="false" customHeight="false" outlineLevel="0" collapsed="false">
      <c r="A889" s="55" t="s">
        <v>1678</v>
      </c>
      <c r="B889" s="55" t="s">
        <v>1679</v>
      </c>
      <c r="C889" s="55" t="s">
        <v>164</v>
      </c>
      <c r="D889" s="55" t="s">
        <v>184</v>
      </c>
      <c r="E889" s="55" t="s">
        <v>185</v>
      </c>
      <c r="F889" s="55" t="s">
        <v>218</v>
      </c>
      <c r="G889" s="56" t="n">
        <v>14.5</v>
      </c>
      <c r="H889" s="57" t="n">
        <f aca="false">MAX(0,IF(AND(Parameter!$B$21="Ja",ISNUMBER(Y889)),Y889,IF(Parameter!$B$20="Jahresanfang 2025 + Export",BL889+BK889,BK889)))</f>
        <v>53</v>
      </c>
      <c r="I889" s="57" t="n">
        <f aca="false">H889*G889</f>
        <v>768.5</v>
      </c>
      <c r="J889" s="57" t="n">
        <f aca="false">BN889*Parameter!$B$18</f>
        <v>0</v>
      </c>
      <c r="K889" s="58" t="n">
        <v>54</v>
      </c>
      <c r="L889" s="59" t="n">
        <v>0</v>
      </c>
      <c r="M889" s="57" t="n">
        <v>0</v>
      </c>
      <c r="N889" s="57" t="n">
        <v>1</v>
      </c>
      <c r="O889" s="60" t="n">
        <v>28</v>
      </c>
      <c r="P889" s="55" t="s">
        <v>426</v>
      </c>
      <c r="Q889" s="57" t="n">
        <v>22</v>
      </c>
      <c r="R889" s="60" t="n">
        <f aca="false">IF(BT889=1,0,IFERROR(VLOOKUP(BR889,'Gebinde-Kategorie'!$A$5:$M$45,13,0)+0,0))</f>
        <v>198</v>
      </c>
      <c r="S889" s="61"/>
      <c r="T889" s="62"/>
      <c r="U889" s="62"/>
      <c r="V889" s="62"/>
      <c r="W889" s="55"/>
      <c r="X889" s="57"/>
      <c r="Y889" s="57"/>
      <c r="Z889" s="55" t="n">
        <f aca="false">IF(A889="","",IF(AND(Parameter!$B$21="Ja",ISNUMBER(W889)),W889,IF(BV889="2+3",IF(ISNUMBER(SEARCH("grosser Artikel",BO889)),2,IFERROR(VLOOKUP(BR889,Parameter!$F$35:$G$64,2,0),2)),IF(OR(BV889="Nein",BV889=""),"-",BV889))))</f>
        <v>3</v>
      </c>
      <c r="AA889" s="62"/>
      <c r="AB889" s="63"/>
      <c r="AC889" s="57" t="n">
        <f aca="false">AR889</f>
        <v>22</v>
      </c>
      <c r="AD889" s="57" t="n">
        <f aca="false">MAX(AR889,H889)</f>
        <v>53</v>
      </c>
      <c r="AE889" s="64"/>
      <c r="AF889" s="57" t="n">
        <f aca="false">IF(LEFT(Cockpit!$C$5,1)="A",H889,IF(CA889=1,CB889,IF(LEFT(Cockpit!$C$5,1)="B",AJ889,MAX(AJ889,H889))))</f>
        <v>53</v>
      </c>
      <c r="AG889" s="57" t="n">
        <f aca="false">IF(BT889=1,0,ROUNDUP(AF889/BS889,0))</f>
        <v>3</v>
      </c>
      <c r="AH889" s="59" t="n">
        <f aca="false">IF(CH889&gt;0,CH889*MAX(1,AF889/X889),IF(BT889=1,IF(AF889&lt;=0,0,BW889*MAX(1,IF(H889&gt;0,AF889/H889,1))),IF(R889&gt;0,AG889/R889,0))/MAX(0.1,N(Parameter!$M$21)))</f>
        <v>0.0151515151515152</v>
      </c>
      <c r="AI889" s="57" t="n">
        <f aca="false">AF889*G889</f>
        <v>768.5</v>
      </c>
      <c r="AJ889" s="57" t="n">
        <f aca="false">ROUNDUP(MAX(J889/IF(BZ889&gt;0,BZ889,MAX(0.1,N(Cockpit!$C$6))),CC889)/BS889,0)*BS889</f>
        <v>22</v>
      </c>
      <c r="AK889" s="58" t="n">
        <f aca="false">IF(AH889&gt;0,J889/AH889,-1)</f>
        <v>0</v>
      </c>
      <c r="AL889" s="58" t="n">
        <f aca="false">IF(AND(OR(BY889="L1",BY889="L23"),AH889&gt;0),SUMIFS($AH$7:$AH$1843,$BY$7:$BY$1843,BY889,$AK$7:$AK$1843,"&gt;"&amp;AK889)+SUMIFS($AH$7:$AH$1843,$BY$7:$BY$1843,BY889,$AK$7:$AK$1843,AK889,$BQ$7:$BQ$1843,"&lt;="&amp;BQ889),"")</f>
        <v>77.77821695213</v>
      </c>
      <c r="AM889" s="65" t="n">
        <f aca="false">IF(AL889="",0,MAX(0,MIN(1,(IF(BY889="L1",Parameter!$E$5,Parameter!$E$6+Parameter!$E$7)-(AL889-AH889))/AH889)))</f>
        <v>1</v>
      </c>
      <c r="AN889" s="57" t="n">
        <f aca="false">IF(LEFT(Cockpit!$I$5,1)="A",H889,IF(CA889=1,CB889,IF(LEFT(Cockpit!$I$5,1)="B",AR889,MAX(AR889,H889))))</f>
        <v>53</v>
      </c>
      <c r="AO889" s="57" t="n">
        <f aca="false">IF(BT889=1,0,ROUNDUP(AN889/BS889,0))</f>
        <v>3</v>
      </c>
      <c r="AP889" s="59" t="n">
        <f aca="false">IF(CH889&gt;0,CH889*MAX(1,AN889/X889),IF(BT889=1,IF(AN889&lt;=0,0,BW889*MAX(1,IF(H889&gt;0,AN889/H889,1))),IF(R889&gt;0,AO889/R889,0))/MAX(0.1,N(Parameter!$M$21)))</f>
        <v>0.0151515151515152</v>
      </c>
      <c r="AQ889" s="57" t="n">
        <f aca="false">AN889*G889</f>
        <v>768.5</v>
      </c>
      <c r="AR889" s="57" t="n">
        <f aca="false">ROUNDUP(MAX(J889/IF(BZ889&gt;0,BZ889,MAX(0.1,N(Cockpit!$I$6))),CC889)/BS889,0)*BS889</f>
        <v>22</v>
      </c>
      <c r="AS889" s="58" t="n">
        <f aca="false">IF(AP889&gt;0,J889/AP889,-1)</f>
        <v>0</v>
      </c>
      <c r="AT889" s="58" t="n">
        <f aca="false">IF(AND(OR(BY889="L1",BY889="L23"),AP889&gt;0),SUMIFS($AP$7:$AP$1843,$BY$7:$BY$1843,BY889,$AS$7:$AS$1843,"&gt;"&amp;AS889)+SUMIFS($AP$7:$AP$1843,$BY$7:$BY$1843,BY889,$AS$7:$AS$1843,AS889,$BQ$7:$BQ$1843,"&lt;="&amp;BQ889),"")</f>
        <v>118.74155433938</v>
      </c>
      <c r="AU889" s="65" t="n">
        <f aca="false">IF(AT889="",0,MAX(0,MIN(1,(IF(BY889="L1",Parameter!$E$5,Parameter!$E$6+Parameter!$E$7)-(AT889-AP889))/AP889)))</f>
        <v>0</v>
      </c>
      <c r="AV889" s="57" t="n">
        <f aca="false">IF(LEFT(Cockpit!$O$5,1)="A",H889,IF(CA889=1,CB889,IF(LEFT(Cockpit!$O$5,1)="B",AZ889,MAX(AZ889,H889))))</f>
        <v>53</v>
      </c>
      <c r="AW889" s="57" t="n">
        <f aca="false">IF(BT889=1,0,ROUNDUP(AV889/BS889,0))</f>
        <v>3</v>
      </c>
      <c r="AX889" s="59" t="n">
        <f aca="false">IF(CH889&gt;0,CH889*MAX(1,AV889/X889),IF(BT889=1,IF(AV889&lt;=0,0,BW889*MAX(1,IF(H889&gt;0,AV889/H889,1))),IF(R889&gt;0,AW889/R889,0))/MAX(0.1,N(Parameter!$M$21)))</f>
        <v>0.0151515151515152</v>
      </c>
      <c r="AY889" s="57" t="n">
        <f aca="false">AV889*G889</f>
        <v>768.5</v>
      </c>
      <c r="AZ889" s="57" t="n">
        <f aca="false">ROUNDUP(MAX(J889/IF(BZ889&gt;0,BZ889,MAX(0.1,N(Cockpit!$O$6))),CC889)/BS889,0)*BS889</f>
        <v>22</v>
      </c>
      <c r="BA889" s="58" t="n">
        <f aca="false">IF(AX889&gt;0,J889/AX889,-1)</f>
        <v>0</v>
      </c>
      <c r="BB889" s="58" t="n">
        <f aca="false">IF(AND(OR(BY889="L1",BY889="L23"),AX889&gt;0),SUMIFS($AX$7:$AX$1843,$BY$7:$BY$1843,BY889,$BA$7:$BA$1843,"&gt;"&amp;BA889)+SUMIFS($AX$7:$AX$1843,$BY$7:$BY$1843,BY889,$BA$7:$BA$1843,BA889,$BQ$7:$BQ$1843,"&lt;="&amp;BQ889),"")</f>
        <v>109.571391169217</v>
      </c>
      <c r="BC889" s="65" t="n">
        <f aca="false">IF(BB889="",0,MAX(0,MIN(1,(IF(BY889="L1",Parameter!$E$5,Parameter!$E$6+Parameter!$E$7)-(BB889-AX889))/AX889)))</f>
        <v>0</v>
      </c>
      <c r="BD889" s="55" t="str">
        <f aca="false">IF(AH889&lt;=0,"",IF(BY889="Aussen","Aussenlager",IF(BY889="-","Nicht im Lift",IF(AM889&gt;=1,"Lift",IF(AM889&lt;=0,"Aussenlager","teilweise")))))</f>
        <v>Lift</v>
      </c>
      <c r="BE889" s="55" t="str">
        <f aca="false">IF(AP889&lt;=0,"",IF(BY889="Aussen","Aussenlager",IF(BY889="-","Nicht im Lift",IF(AU889&gt;=1,"Lift",IF(AU889&lt;=0,"Aussenlager","teilweise")))))</f>
        <v>Aussenlager</v>
      </c>
      <c r="BF889" s="55" t="str">
        <f aca="false">IF(AX889&lt;=0,"",IF(BY889="Aussen","Aussenlager",IF(BY889="-","Nicht im Lift",IF(BC889&gt;=1,"Lift",IF(BC889&lt;=0,"Aussenlager","teilweise")))))</f>
        <v>Aussenlager</v>
      </c>
      <c r="BG889" s="55" t="str">
        <f aca="false">IF(A889="","",IF(BP889=1,"Neu; ","")&amp;IF(AND(BP889=0,BK889&lt;0),"negativer Bestand (Export "&amp;BK889&amp;"); ","")&amp;IF(J889&lt;=0,"Kein Verbrauch; ","")&amp;IF(CH889&gt;0,"Lift "&amp;W889&amp;" lt. Liftbericht (Fach "&amp;X889&amp;" Stk); ",IF(BU889=1,"Gebinde geschätzt ("&amp;T889&amp;"); ",IF(BT889=1,"Lose – Tablare geschätzt; ","")))&amp;IF(H889&gt;AR889,"Überbestand "&amp;ROUND(H889-AR889,0)&amp;" Stk / CHF "&amp;ROUND((H889-AR889)*G889,0)&amp;"; ","")&amp;IF(AND(CA889=1,CB889&lt;CC889),"MAX &lt; MB+LG; ","")&amp;IF(AND(CG889&gt;0,CF889*10&gt;CG889),"zu hoch für Tablar; ","")&amp;IF(AND(BP889=0,OR(CA889=1,AA889&lt;&gt;"",U889&lt;&gt;"",V889&lt;&gt;"",AB889&lt;&gt;"")),"manuell übersteuert; ","")&amp;IF(AND(BT889=0,R889=0),"Gebinde unbekannt / Stellmass fehlt; ","")&amp;IF(AND(BT889=0,N(V889)&lt;=0,N(Q889)&lt;=0),"Menge pro Gebinde fehlt (Ist = 1 Gebinde); ","")&amp;BO889)</f>
        <v>negativer Bestand (Export -2); Kein Verbrauch; Überbestand 31 Stk / CHF 450; </v>
      </c>
      <c r="BH889" s="55"/>
      <c r="BI889" s="55"/>
      <c r="BJ889" s="62"/>
      <c r="BK889" s="57" t="n">
        <v>-2</v>
      </c>
      <c r="BL889" s="57" t="n">
        <v>55</v>
      </c>
      <c r="BM889" s="56" t="n">
        <v>-29</v>
      </c>
      <c r="BN889" s="57" t="n">
        <v>0</v>
      </c>
      <c r="BO889" s="55"/>
      <c r="BP889" s="60" t="n">
        <v>0</v>
      </c>
      <c r="BQ889" s="60" t="n">
        <v>889</v>
      </c>
      <c r="BR889" s="55" t="str">
        <f aca="false">IF(U889&lt;&gt;"",UPPER(TRIM(U889)),IF(BU889=1,UPPER(VLOOKUP(T889,Parameter!$I$27:$K$29,2,0)),IF(P889="","LOSE",P889)))</f>
        <v>S22</v>
      </c>
      <c r="BS889" s="57" t="n">
        <f aca="false">IF(BR889="LOSE",1,IF(N(V889)&gt;0,V889,IF(BU889=1,MAX(1,N(VLOOKUP(T889,Parameter!$I$27:$K$29,3,0)),H889,N(N889)),IF(N(Q889)&gt;0,Q889,MAX(1,H889)))))</f>
        <v>22</v>
      </c>
      <c r="BT889" s="60" t="n">
        <f aca="false">IF(BR889="LOSE",1,0)</f>
        <v>0</v>
      </c>
      <c r="BU889" s="60" t="n">
        <f aca="false">IF(AND(U889="",OR(P889="",P889="LOSE"),T889&lt;&gt;"",N(S889)&lt;=0,ISNUMBER(MATCH(T889,Parameter!$I$27:$I$29,0))),1,0)</f>
        <v>0</v>
      </c>
      <c r="BV889" s="55" t="str">
        <f aca="false">IF(AND(Parameter!$B$19="Ja",E889&lt;&gt;"",ISNUMBER(MATCH(E889,Parameter!$I$35:$I$52,0))),VLOOKUP(E889,Parameter!$I$35:$J$52,2,0),IFERROR(VLOOKUP(D889,Parameter!$A$35:$C$64,2,0),"Nein"))</f>
        <v>2+3</v>
      </c>
      <c r="BW889" s="59" t="n">
        <f aca="false">IF(BT889=0,0,IF(N(S889)&gt;0,S889,IFERROR(VLOOKUP(D889,Parameter!$A$35:$C$64,3,0)+0,0)))</f>
        <v>0</v>
      </c>
      <c r="BX889" s="55" t="n">
        <f aca="false">IF(AA889&lt;&gt;"",AA889,Z889)</f>
        <v>3</v>
      </c>
      <c r="BY889" s="55" t="str">
        <f aca="false">IF(BX889=1,"L1",IF(OR(BX889=2,BX889=3),"L23",IF(BX889="Aussen","Aussen","-")))</f>
        <v>L23</v>
      </c>
      <c r="BZ889" s="66" t="n">
        <f aca="false">IF(N(AB889)&gt;0,AB889,0)</f>
        <v>0</v>
      </c>
      <c r="CA889" s="60" t="n">
        <f aca="false">IF(ISNUMBER(AE889),1,0)</f>
        <v>0</v>
      </c>
      <c r="CB889" s="57" t="n">
        <f aca="false">N(AE889)</f>
        <v>0</v>
      </c>
      <c r="CC889" s="57" t="n">
        <f aca="false">N(M889)+N(N889)</f>
        <v>1</v>
      </c>
      <c r="CD889" s="57" t="n">
        <f aca="false">ROUNDUP(H889/BS889,0)</f>
        <v>3</v>
      </c>
      <c r="CE889" s="57" t="n">
        <f aca="false">ROUNDUP(CB889/BS889,0)</f>
        <v>0</v>
      </c>
      <c r="CF889" s="60" t="n">
        <f aca="false">IF(BT889=1,0,IFERROR(VLOOKUP(BR889,'Gebinde-Kategorie'!$A$5:$M$45,5,0)+0,0))</f>
        <v>8</v>
      </c>
      <c r="CG889" s="60" t="n">
        <f aca="false">IFERROR(IF(OR(BX889=1,BX889=2,BX889=3),N(INDEX(Parameter!$I$5:$I$7,BX889)),0),0)</f>
        <v>0</v>
      </c>
      <c r="CH889" s="59" t="n">
        <f aca="false">IF(AND(Parameter!$B$21="Ja",ISNUMBER(W889),N(X889)&gt;0),IFERROR(N(INDEX(Parameter!$L$5:$L$7,W889))*INDEX(Parameter!$E$5:$E$7,W889)*X889/SUMIFS($X$7:$X$1843,$W$7:$W$1843,W889),0),0)</f>
        <v>0</v>
      </c>
    </row>
    <row r="890" customFormat="false" ht="15" hidden="false" customHeight="false" outlineLevel="0" collapsed="false">
      <c r="A890" s="55" t="s">
        <v>1680</v>
      </c>
      <c r="B890" s="55" t="s">
        <v>1681</v>
      </c>
      <c r="C890" s="55" t="s">
        <v>164</v>
      </c>
      <c r="D890" s="55" t="s">
        <v>184</v>
      </c>
      <c r="E890" s="55"/>
      <c r="F890" s="55" t="s">
        <v>218</v>
      </c>
      <c r="G890" s="56" t="n">
        <v>14.71</v>
      </c>
      <c r="H890" s="57" t="n">
        <f aca="false">MAX(0,IF(AND(Parameter!$B$21="Ja",ISNUMBER(Y890)),Y890,IF(Parameter!$B$20="Jahresanfang 2025 + Export",BL890+BK890,BK890)))</f>
        <v>4</v>
      </c>
      <c r="I890" s="57" t="n">
        <f aca="false">H890*G890</f>
        <v>58.84</v>
      </c>
      <c r="J890" s="57" t="n">
        <f aca="false">BN890*Parameter!$B$18</f>
        <v>0</v>
      </c>
      <c r="K890" s="58" t="n">
        <v>5</v>
      </c>
      <c r="L890" s="59" t="n">
        <v>0</v>
      </c>
      <c r="M890" s="57" t="n">
        <v>0</v>
      </c>
      <c r="N890" s="57" t="n">
        <v>1</v>
      </c>
      <c r="O890" s="60" t="n">
        <v>14</v>
      </c>
      <c r="P890" s="55" t="s">
        <v>401</v>
      </c>
      <c r="Q890" s="57" t="n">
        <v>5</v>
      </c>
      <c r="R890" s="60" t="n">
        <f aca="false">IF(BT890=1,0,IFERROR(VLOOKUP(BR890,'Gebinde-Kategorie'!$A$5:$M$45,13,0)+0,0))</f>
        <v>414</v>
      </c>
      <c r="S890" s="61"/>
      <c r="T890" s="62"/>
      <c r="U890" s="62"/>
      <c r="V890" s="62"/>
      <c r="W890" s="55"/>
      <c r="X890" s="57"/>
      <c r="Y890" s="57"/>
      <c r="Z890" s="55" t="n">
        <f aca="false">IF(A890="","",IF(AND(Parameter!$B$21="Ja",ISNUMBER(W890)),W890,IF(BV890="2+3",IF(ISNUMBER(SEARCH("grosser Artikel",BO890)),2,IFERROR(VLOOKUP(BR890,Parameter!$F$35:$G$64,2,0),2)),IF(OR(BV890="Nein",BV890=""),"-",BV890))))</f>
        <v>3</v>
      </c>
      <c r="AA890" s="62"/>
      <c r="AB890" s="63"/>
      <c r="AC890" s="57" t="n">
        <f aca="false">AR890</f>
        <v>5</v>
      </c>
      <c r="AD890" s="57" t="n">
        <f aca="false">MAX(AR890,H890)</f>
        <v>5</v>
      </c>
      <c r="AE890" s="64"/>
      <c r="AF890" s="57" t="n">
        <f aca="false">IF(LEFT(Cockpit!$C$5,1)="A",H890,IF(CA890=1,CB890,IF(LEFT(Cockpit!$C$5,1)="B",AJ890,MAX(AJ890,H890))))</f>
        <v>4</v>
      </c>
      <c r="AG890" s="57" t="n">
        <f aca="false">IF(BT890=1,0,ROUNDUP(AF890/BS890,0))</f>
        <v>1</v>
      </c>
      <c r="AH890" s="59" t="n">
        <f aca="false">IF(CH890&gt;0,CH890*MAX(1,AF890/X890),IF(BT890=1,IF(AF890&lt;=0,0,BW890*MAX(1,IF(H890&gt;0,AF890/H890,1))),IF(R890&gt;0,AG890/R890,0))/MAX(0.1,N(Parameter!$M$21)))</f>
        <v>0.00241545893719807</v>
      </c>
      <c r="AI890" s="57" t="n">
        <f aca="false">AF890*G890</f>
        <v>58.84</v>
      </c>
      <c r="AJ890" s="57" t="n">
        <f aca="false">ROUNDUP(MAX(J890/IF(BZ890&gt;0,BZ890,MAX(0.1,N(Cockpit!$C$6))),CC890)/BS890,0)*BS890</f>
        <v>5</v>
      </c>
      <c r="AK890" s="58" t="n">
        <f aca="false">IF(AH890&gt;0,J890/AH890,-1)</f>
        <v>0</v>
      </c>
      <c r="AL890" s="58" t="n">
        <f aca="false">IF(AND(OR(BY890="L1",BY890="L23"),AH890&gt;0),SUMIFS($AH$7:$AH$1843,$BY$7:$BY$1843,BY890,$AK$7:$AK$1843,"&gt;"&amp;AK890)+SUMIFS($AH$7:$AH$1843,$BY$7:$BY$1843,BY890,$AK$7:$AK$1843,AK890,$BQ$7:$BQ$1843,"&lt;="&amp;BQ890),"")</f>
        <v>77.7806324110672</v>
      </c>
      <c r="AM890" s="65" t="n">
        <f aca="false">IF(AL890="",0,MAX(0,MIN(1,(IF(BY890="L1",Parameter!$E$5,Parameter!$E$6+Parameter!$E$7)-(AL890-AH890))/AH890)))</f>
        <v>1</v>
      </c>
      <c r="AN890" s="57" t="n">
        <f aca="false">IF(LEFT(Cockpit!$I$5,1)="A",H890,IF(CA890=1,CB890,IF(LEFT(Cockpit!$I$5,1)="B",AR890,MAX(AR890,H890))))</f>
        <v>5</v>
      </c>
      <c r="AO890" s="57" t="n">
        <f aca="false">IF(BT890=1,0,ROUNDUP(AN890/BS890,0))</f>
        <v>1</v>
      </c>
      <c r="AP890" s="59" t="n">
        <f aca="false">IF(CH890&gt;0,CH890*MAX(1,AN890/X890),IF(BT890=1,IF(AN890&lt;=0,0,BW890*MAX(1,IF(H890&gt;0,AN890/H890,1))),IF(R890&gt;0,AO890/R890,0))/MAX(0.1,N(Parameter!$M$21)))</f>
        <v>0.00241545893719807</v>
      </c>
      <c r="AQ890" s="57" t="n">
        <f aca="false">AN890*G890</f>
        <v>73.55</v>
      </c>
      <c r="AR890" s="57" t="n">
        <f aca="false">ROUNDUP(MAX(J890/IF(BZ890&gt;0,BZ890,MAX(0.1,N(Cockpit!$I$6))),CC890)/BS890,0)*BS890</f>
        <v>5</v>
      </c>
      <c r="AS890" s="58" t="n">
        <f aca="false">IF(AP890&gt;0,J890/AP890,-1)</f>
        <v>0</v>
      </c>
      <c r="AT890" s="58" t="n">
        <f aca="false">IF(AND(OR(BY890="L1",BY890="L23"),AP890&gt;0),SUMIFS($AP$7:$AP$1843,$BY$7:$BY$1843,BY890,$AS$7:$AS$1843,"&gt;"&amp;AS890)+SUMIFS($AP$7:$AP$1843,$BY$7:$BY$1843,BY890,$AS$7:$AS$1843,AS890,$BQ$7:$BQ$1843,"&lt;="&amp;BQ890),"")</f>
        <v>118.743969798318</v>
      </c>
      <c r="AU890" s="65" t="n">
        <f aca="false">IF(AT890="",0,MAX(0,MIN(1,(IF(BY890="L1",Parameter!$E$5,Parameter!$E$6+Parameter!$E$7)-(AT890-AP890))/AP890)))</f>
        <v>0</v>
      </c>
      <c r="AV890" s="57" t="n">
        <f aca="false">IF(LEFT(Cockpit!$O$5,1)="A",H890,IF(CA890=1,CB890,IF(LEFT(Cockpit!$O$5,1)="B",AZ890,MAX(AZ890,H890))))</f>
        <v>5</v>
      </c>
      <c r="AW890" s="57" t="n">
        <f aca="false">IF(BT890=1,0,ROUNDUP(AV890/BS890,0))</f>
        <v>1</v>
      </c>
      <c r="AX890" s="59" t="n">
        <f aca="false">IF(CH890&gt;0,CH890*MAX(1,AV890/X890),IF(BT890=1,IF(AV890&lt;=0,0,BW890*MAX(1,IF(H890&gt;0,AV890/H890,1))),IF(R890&gt;0,AW890/R890,0))/MAX(0.1,N(Parameter!$M$21)))</f>
        <v>0.00241545893719807</v>
      </c>
      <c r="AY890" s="57" t="n">
        <f aca="false">AV890*G890</f>
        <v>73.55</v>
      </c>
      <c r="AZ890" s="57" t="n">
        <f aca="false">ROUNDUP(MAX(J890/IF(BZ890&gt;0,BZ890,MAX(0.1,N(Cockpit!$O$6))),CC890)/BS890,0)*BS890</f>
        <v>5</v>
      </c>
      <c r="BA890" s="58" t="n">
        <f aca="false">IF(AX890&gt;0,J890/AX890,-1)</f>
        <v>0</v>
      </c>
      <c r="BB890" s="58" t="n">
        <f aca="false">IF(AND(OR(BY890="L1",BY890="L23"),AX890&gt;0),SUMIFS($AX$7:$AX$1843,$BY$7:$BY$1843,BY890,$BA$7:$BA$1843,"&gt;"&amp;BA890)+SUMIFS($AX$7:$AX$1843,$BY$7:$BY$1843,BY890,$BA$7:$BA$1843,BA890,$BQ$7:$BQ$1843,"&lt;="&amp;BQ890),"")</f>
        <v>109.573806628154</v>
      </c>
      <c r="BC890" s="65" t="n">
        <f aca="false">IF(BB890="",0,MAX(0,MIN(1,(IF(BY890="L1",Parameter!$E$5,Parameter!$E$6+Parameter!$E$7)-(BB890-AX890))/AX890)))</f>
        <v>0</v>
      </c>
      <c r="BD890" s="55" t="str">
        <f aca="false">IF(AH890&lt;=0,"",IF(BY890="Aussen","Aussenlager",IF(BY890="-","Nicht im Lift",IF(AM890&gt;=1,"Lift",IF(AM890&lt;=0,"Aussenlager","teilweise")))))</f>
        <v>Lift</v>
      </c>
      <c r="BE890" s="55" t="str">
        <f aca="false">IF(AP890&lt;=0,"",IF(BY890="Aussen","Aussenlager",IF(BY890="-","Nicht im Lift",IF(AU890&gt;=1,"Lift",IF(AU890&lt;=0,"Aussenlager","teilweise")))))</f>
        <v>Aussenlager</v>
      </c>
      <c r="BF890" s="55" t="str">
        <f aca="false">IF(AX890&lt;=0,"",IF(BY890="Aussen","Aussenlager",IF(BY890="-","Nicht im Lift",IF(BC890&gt;=1,"Lift",IF(BC890&lt;=0,"Aussenlager","teilweise")))))</f>
        <v>Aussenlager</v>
      </c>
      <c r="BG890" s="55" t="str">
        <f aca="false">IF(A890="","",IF(BP890=1,"Neu; ","")&amp;IF(AND(BP890=0,BK890&lt;0),"negativer Bestand (Export "&amp;BK890&amp;"); ","")&amp;IF(J890&lt;=0,"Kein Verbrauch; ","")&amp;IF(CH890&gt;0,"Lift "&amp;W890&amp;" lt. Liftbericht (Fach "&amp;X890&amp;" Stk); ",IF(BU890=1,"Gebinde geschätzt ("&amp;T890&amp;"); ",IF(BT890=1,"Lose – Tablare geschätzt; ","")))&amp;IF(H890&gt;AR890,"Überbestand "&amp;ROUND(H890-AR890,0)&amp;" Stk / CHF "&amp;ROUND((H890-AR890)*G890,0)&amp;"; ","")&amp;IF(AND(CA890=1,CB890&lt;CC890),"MAX &lt; MB+LG; ","")&amp;IF(AND(CG890&gt;0,CF890*10&gt;CG890),"zu hoch für Tablar; ","")&amp;IF(AND(BP890=0,OR(CA890=1,AA890&lt;&gt;"",U890&lt;&gt;"",V890&lt;&gt;"",AB890&lt;&gt;"")),"manuell übersteuert; ","")&amp;IF(AND(BT890=0,R890=0),"Gebinde unbekannt / Stellmass fehlt; ","")&amp;IF(AND(BT890=0,N(V890)&lt;=0,N(Q890)&lt;=0),"Menge pro Gebinde fehlt (Ist = 1 Gebinde); ","")&amp;BO890)</f>
        <v>negativer Bestand (Export -2); Kein Verbrauch; </v>
      </c>
      <c r="BH890" s="55"/>
      <c r="BI890" s="55"/>
      <c r="BJ890" s="62"/>
      <c r="BK890" s="57" t="n">
        <v>-2</v>
      </c>
      <c r="BL890" s="57" t="n">
        <v>6</v>
      </c>
      <c r="BM890" s="56" t="n">
        <v>-29.42</v>
      </c>
      <c r="BN890" s="57" t="n">
        <v>0</v>
      </c>
      <c r="BO890" s="55"/>
      <c r="BP890" s="60" t="n">
        <v>0</v>
      </c>
      <c r="BQ890" s="60" t="n">
        <v>890</v>
      </c>
      <c r="BR890" s="55" t="str">
        <f aca="false">IF(U890&lt;&gt;"",UPPER(TRIM(U890)),IF(BU890=1,UPPER(VLOOKUP(T890,Parameter!$I$27:$K$29,2,0)),IF(P890="","LOSE",P890)))</f>
        <v>S21</v>
      </c>
      <c r="BS890" s="57" t="n">
        <f aca="false">IF(BR890="LOSE",1,IF(N(V890)&gt;0,V890,IF(BU890=1,MAX(1,N(VLOOKUP(T890,Parameter!$I$27:$K$29,3,0)),H890,N(N890)),IF(N(Q890)&gt;0,Q890,MAX(1,H890)))))</f>
        <v>5</v>
      </c>
      <c r="BT890" s="60" t="n">
        <f aca="false">IF(BR890="LOSE",1,0)</f>
        <v>0</v>
      </c>
      <c r="BU890" s="60" t="n">
        <f aca="false">IF(AND(U890="",OR(P890="",P890="LOSE"),T890&lt;&gt;"",N(S890)&lt;=0,ISNUMBER(MATCH(T890,Parameter!$I$27:$I$29,0))),1,0)</f>
        <v>0</v>
      </c>
      <c r="BV890" s="55" t="str">
        <f aca="false">IF(AND(Parameter!$B$19="Ja",E890&lt;&gt;"",ISNUMBER(MATCH(E890,Parameter!$I$35:$I$52,0))),VLOOKUP(E890,Parameter!$I$35:$J$52,2,0),IFERROR(VLOOKUP(D890,Parameter!$A$35:$C$64,2,0),"Nein"))</f>
        <v>2+3</v>
      </c>
      <c r="BW890" s="59" t="n">
        <f aca="false">IF(BT890=0,0,IF(N(S890)&gt;0,S890,IFERROR(VLOOKUP(D890,Parameter!$A$35:$C$64,3,0)+0,0)))</f>
        <v>0</v>
      </c>
      <c r="BX890" s="55" t="n">
        <f aca="false">IF(AA890&lt;&gt;"",AA890,Z890)</f>
        <v>3</v>
      </c>
      <c r="BY890" s="55" t="str">
        <f aca="false">IF(BX890=1,"L1",IF(OR(BX890=2,BX890=3),"L23",IF(BX890="Aussen","Aussen","-")))</f>
        <v>L23</v>
      </c>
      <c r="BZ890" s="66" t="n">
        <f aca="false">IF(N(AB890)&gt;0,AB890,0)</f>
        <v>0</v>
      </c>
      <c r="CA890" s="60" t="n">
        <f aca="false">IF(ISNUMBER(AE890),1,0)</f>
        <v>0</v>
      </c>
      <c r="CB890" s="57" t="n">
        <f aca="false">N(AE890)</f>
        <v>0</v>
      </c>
      <c r="CC890" s="57" t="n">
        <f aca="false">N(M890)+N(N890)</f>
        <v>1</v>
      </c>
      <c r="CD890" s="57" t="n">
        <f aca="false">ROUNDUP(H890/BS890,0)</f>
        <v>1</v>
      </c>
      <c r="CE890" s="57" t="n">
        <f aca="false">ROUNDUP(CB890/BS890,0)</f>
        <v>0</v>
      </c>
      <c r="CF890" s="60" t="n">
        <f aca="false">IF(BT890=1,0,IFERROR(VLOOKUP(BR890,'Gebinde-Kategorie'!$A$5:$M$45,5,0)+0,0))</f>
        <v>8</v>
      </c>
      <c r="CG890" s="60" t="n">
        <f aca="false">IFERROR(IF(OR(BX890=1,BX890=2,BX890=3),N(INDEX(Parameter!$I$5:$I$7,BX890)),0),0)</f>
        <v>0</v>
      </c>
      <c r="CH890" s="59" t="n">
        <f aca="false">IF(AND(Parameter!$B$21="Ja",ISNUMBER(W890),N(X890)&gt;0),IFERROR(N(INDEX(Parameter!$L$5:$L$7,W890))*INDEX(Parameter!$E$5:$E$7,W890)*X890/SUMIFS($X$7:$X$1843,$W$7:$W$1843,W890),0),0)</f>
        <v>0</v>
      </c>
    </row>
    <row r="891" customFormat="false" ht="15" hidden="false" customHeight="false" outlineLevel="0" collapsed="false">
      <c r="A891" s="55" t="s">
        <v>1682</v>
      </c>
      <c r="B891" s="55" t="s">
        <v>947</v>
      </c>
      <c r="C891" s="55" t="s">
        <v>164</v>
      </c>
      <c r="D891" s="55" t="s">
        <v>184</v>
      </c>
      <c r="E891" s="55" t="s">
        <v>185</v>
      </c>
      <c r="F891" s="55" t="s">
        <v>218</v>
      </c>
      <c r="G891" s="56" t="n">
        <v>2.79</v>
      </c>
      <c r="H891" s="57" t="n">
        <f aca="false">MAX(0,IF(AND(Parameter!$B$21="Ja",ISNUMBER(Y891)),Y891,IF(Parameter!$B$20="Jahresanfang 2025 + Export",BL891+BK891,BK891)))</f>
        <v>50</v>
      </c>
      <c r="I891" s="57" t="n">
        <f aca="false">H891*G891</f>
        <v>139.5</v>
      </c>
      <c r="J891" s="57" t="n">
        <f aca="false">BN891*Parameter!$B$18</f>
        <v>0</v>
      </c>
      <c r="K891" s="58" t="n">
        <v>60.5</v>
      </c>
      <c r="L891" s="59" t="n">
        <v>0</v>
      </c>
      <c r="M891" s="57" t="n">
        <v>0</v>
      </c>
      <c r="N891" s="57" t="n">
        <v>1</v>
      </c>
      <c r="O891" s="60" t="n">
        <v>14</v>
      </c>
      <c r="P891" s="55" t="s">
        <v>168</v>
      </c>
      <c r="Q891" s="57"/>
      <c r="R891" s="60" t="n">
        <f aca="false">IF(BT891=1,0,IFERROR(VLOOKUP(BR891,'Gebinde-Kategorie'!$A$5:$M$45,13,0)+0,0))</f>
        <v>26</v>
      </c>
      <c r="S891" s="61"/>
      <c r="T891" s="62" t="s">
        <v>275</v>
      </c>
      <c r="U891" s="62"/>
      <c r="V891" s="62"/>
      <c r="W891" s="55"/>
      <c r="X891" s="57"/>
      <c r="Y891" s="57"/>
      <c r="Z891" s="55" t="n">
        <f aca="false">IF(A891="","",IF(AND(Parameter!$B$21="Ja",ISNUMBER(W891)),W891,IF(BV891="2+3",IF(ISNUMBER(SEARCH("grosser Artikel",BO891)),2,IFERROR(VLOOKUP(BR891,Parameter!$F$35:$G$64,2,0),2)),IF(OR(BV891="Nein",BV891=""),"-",BV891))))</f>
        <v>3</v>
      </c>
      <c r="AA891" s="62"/>
      <c r="AB891" s="63"/>
      <c r="AC891" s="57" t="n">
        <f aca="false">AR891</f>
        <v>50</v>
      </c>
      <c r="AD891" s="57" t="n">
        <f aca="false">MAX(AR891,H891)</f>
        <v>50</v>
      </c>
      <c r="AE891" s="64"/>
      <c r="AF891" s="57" t="n">
        <f aca="false">IF(LEFT(Cockpit!$C$5,1)="A",H891,IF(CA891=1,CB891,IF(LEFT(Cockpit!$C$5,1)="B",AJ891,MAX(AJ891,H891))))</f>
        <v>50</v>
      </c>
      <c r="AG891" s="57" t="n">
        <f aca="false">IF(BT891=1,0,ROUNDUP(AF891/BS891,0))</f>
        <v>1</v>
      </c>
      <c r="AH891" s="59" t="n">
        <f aca="false">IF(CH891&gt;0,CH891*MAX(1,AF891/X891),IF(BT891=1,IF(AF891&lt;=0,0,BW891*MAX(1,IF(H891&gt;0,AF891/H891,1))),IF(R891&gt;0,AG891/R891,0))/MAX(0.1,N(Parameter!$M$21)))</f>
        <v>0.0384615384615385</v>
      </c>
      <c r="AI891" s="57" t="n">
        <f aca="false">AF891*G891</f>
        <v>139.5</v>
      </c>
      <c r="AJ891" s="57" t="n">
        <f aca="false">ROUNDUP(MAX(J891/IF(BZ891&gt;0,BZ891,MAX(0.1,N(Cockpit!$C$6))),CC891)/BS891,0)*BS891</f>
        <v>50</v>
      </c>
      <c r="AK891" s="58" t="n">
        <f aca="false">IF(AH891&gt;0,J891/AH891,-1)</f>
        <v>0</v>
      </c>
      <c r="AL891" s="58" t="n">
        <f aca="false">IF(AND(OR(BY891="L1",BY891="L23"),AH891&gt;0),SUMIFS($AH$7:$AH$1843,$BY$7:$BY$1843,BY891,$AK$7:$AK$1843,"&gt;"&amp;AK891)+SUMIFS($AH$7:$AH$1843,$BY$7:$BY$1843,BY891,$AK$7:$AK$1843,AK891,$BQ$7:$BQ$1843,"&lt;="&amp;BQ891),"")</f>
        <v>77.8190939495287</v>
      </c>
      <c r="AM891" s="65" t="n">
        <f aca="false">IF(AL891="",0,MAX(0,MIN(1,(IF(BY891="L1",Parameter!$E$5,Parameter!$E$6+Parameter!$E$7)-(AL891-AH891))/AH891)))</f>
        <v>1</v>
      </c>
      <c r="AN891" s="57" t="n">
        <f aca="false">IF(LEFT(Cockpit!$I$5,1)="A",H891,IF(CA891=1,CB891,IF(LEFT(Cockpit!$I$5,1)="B",AR891,MAX(AR891,H891))))</f>
        <v>50</v>
      </c>
      <c r="AO891" s="57" t="n">
        <f aca="false">IF(BT891=1,0,ROUNDUP(AN891/BS891,0))</f>
        <v>1</v>
      </c>
      <c r="AP891" s="59" t="n">
        <f aca="false">IF(CH891&gt;0,CH891*MAX(1,AN891/X891),IF(BT891=1,IF(AN891&lt;=0,0,BW891*MAX(1,IF(H891&gt;0,AN891/H891,1))),IF(R891&gt;0,AO891/R891,0))/MAX(0.1,N(Parameter!$M$21)))</f>
        <v>0.0384615384615385</v>
      </c>
      <c r="AQ891" s="57" t="n">
        <f aca="false">AN891*G891</f>
        <v>139.5</v>
      </c>
      <c r="AR891" s="57" t="n">
        <f aca="false">ROUNDUP(MAX(J891/IF(BZ891&gt;0,BZ891,MAX(0.1,N(Cockpit!$I$6))),CC891)/BS891,0)*BS891</f>
        <v>50</v>
      </c>
      <c r="AS891" s="58" t="n">
        <f aca="false">IF(AP891&gt;0,J891/AP891,-1)</f>
        <v>0</v>
      </c>
      <c r="AT891" s="58" t="n">
        <f aca="false">IF(AND(OR(BY891="L1",BY891="L23"),AP891&gt;0),SUMIFS($AP$7:$AP$1843,$BY$7:$BY$1843,BY891,$AS$7:$AS$1843,"&gt;"&amp;AS891)+SUMIFS($AP$7:$AP$1843,$BY$7:$BY$1843,BY891,$AS$7:$AS$1843,AS891,$BQ$7:$BQ$1843,"&lt;="&amp;BQ891),"")</f>
        <v>118.782431336779</v>
      </c>
      <c r="AU891" s="65" t="n">
        <f aca="false">IF(AT891="",0,MAX(0,MIN(1,(IF(BY891="L1",Parameter!$E$5,Parameter!$E$6+Parameter!$E$7)-(AT891-AP891))/AP891)))</f>
        <v>0</v>
      </c>
      <c r="AV891" s="57" t="n">
        <f aca="false">IF(LEFT(Cockpit!$O$5,1)="A",H891,IF(CA891=1,CB891,IF(LEFT(Cockpit!$O$5,1)="B",AZ891,MAX(AZ891,H891))))</f>
        <v>50</v>
      </c>
      <c r="AW891" s="57" t="n">
        <f aca="false">IF(BT891=1,0,ROUNDUP(AV891/BS891,0))</f>
        <v>1</v>
      </c>
      <c r="AX891" s="59" t="n">
        <f aca="false">IF(CH891&gt;0,CH891*MAX(1,AV891/X891),IF(BT891=1,IF(AV891&lt;=0,0,BW891*MAX(1,IF(H891&gt;0,AV891/H891,1))),IF(R891&gt;0,AW891/R891,0))/MAX(0.1,N(Parameter!$M$21)))</f>
        <v>0.0384615384615385</v>
      </c>
      <c r="AY891" s="57" t="n">
        <f aca="false">AV891*G891</f>
        <v>139.5</v>
      </c>
      <c r="AZ891" s="57" t="n">
        <f aca="false">ROUNDUP(MAX(J891/IF(BZ891&gt;0,BZ891,MAX(0.1,N(Cockpit!$O$6))),CC891)/BS891,0)*BS891</f>
        <v>50</v>
      </c>
      <c r="BA891" s="58" t="n">
        <f aca="false">IF(AX891&gt;0,J891/AX891,-1)</f>
        <v>0</v>
      </c>
      <c r="BB891" s="58" t="n">
        <f aca="false">IF(AND(OR(BY891="L1",BY891="L23"),AX891&gt;0),SUMIFS($AX$7:$AX$1843,$BY$7:$BY$1843,BY891,$BA$7:$BA$1843,"&gt;"&amp;BA891)+SUMIFS($AX$7:$AX$1843,$BY$7:$BY$1843,BY891,$BA$7:$BA$1843,BA891,$BQ$7:$BQ$1843,"&lt;="&amp;BQ891),"")</f>
        <v>109.612268166616</v>
      </c>
      <c r="BC891" s="65" t="n">
        <f aca="false">IF(BB891="",0,MAX(0,MIN(1,(IF(BY891="L1",Parameter!$E$5,Parameter!$E$6+Parameter!$E$7)-(BB891-AX891))/AX891)))</f>
        <v>0</v>
      </c>
      <c r="BD891" s="55" t="str">
        <f aca="false">IF(AH891&lt;=0,"",IF(BY891="Aussen","Aussenlager",IF(BY891="-","Nicht im Lift",IF(AM891&gt;=1,"Lift",IF(AM891&lt;=0,"Aussenlager","teilweise")))))</f>
        <v>Lift</v>
      </c>
      <c r="BE891" s="55" t="str">
        <f aca="false">IF(AP891&lt;=0,"",IF(BY891="Aussen","Aussenlager",IF(BY891="-","Nicht im Lift",IF(AU891&gt;=1,"Lift",IF(AU891&lt;=0,"Aussenlager","teilweise")))))</f>
        <v>Aussenlager</v>
      </c>
      <c r="BF891" s="55" t="str">
        <f aca="false">IF(AX891&lt;=0,"",IF(BY891="Aussen","Aussenlager",IF(BY891="-","Nicht im Lift",IF(BC891&gt;=1,"Lift",IF(BC891&lt;=0,"Aussenlager","teilweise")))))</f>
        <v>Aussenlager</v>
      </c>
      <c r="BG891" s="55" t="str">
        <f aca="false">IF(A891="","",IF(BP891=1,"Neu; ","")&amp;IF(AND(BP891=0,BK891&lt;0),"negativer Bestand (Export "&amp;BK891&amp;"); ","")&amp;IF(J891&lt;=0,"Kein Verbrauch; ","")&amp;IF(CH891&gt;0,"Lift "&amp;W891&amp;" lt. Liftbericht (Fach "&amp;X891&amp;" Stk); ",IF(BU891=1,"Gebinde geschätzt ("&amp;T891&amp;"); ",IF(BT891=1,"Lose – Tablare geschätzt; ","")))&amp;IF(H891&gt;AR891,"Überbestand "&amp;ROUND(H891-AR891,0)&amp;" Stk / CHF "&amp;ROUND((H891-AR891)*G891,0)&amp;"; ","")&amp;IF(AND(CA891=1,CB891&lt;CC891),"MAX &lt; MB+LG; ","")&amp;IF(AND(CG891&gt;0,CF891*10&gt;CG891),"zu hoch für Tablar; ","")&amp;IF(AND(BP891=0,OR(CA891=1,AA891&lt;&gt;"",U891&lt;&gt;"",V891&lt;&gt;"",AB891&lt;&gt;"")),"manuell übersteuert; ","")&amp;IF(AND(BT891=0,R891=0),"Gebinde unbekannt / Stellmass fehlt; ","")&amp;IF(AND(BT891=0,N(V891)&lt;=0,N(Q891)&lt;=0),"Menge pro Gebinde fehlt (Ist = 1 Gebinde); ","")&amp;BO891)</f>
        <v>negativer Bestand (Export -21); Kein Verbrauch; Gebinde geschätzt (Klein); Menge pro Gebinde fehlt (Ist = 1 Gebinde); Überbestand; nicht im KTL vorhanden</v>
      </c>
      <c r="BH891" s="55"/>
      <c r="BI891" s="55"/>
      <c r="BJ891" s="62"/>
      <c r="BK891" s="57" t="n">
        <v>-21</v>
      </c>
      <c r="BL891" s="57" t="n">
        <v>71</v>
      </c>
      <c r="BM891" s="56" t="n">
        <v>-29.48</v>
      </c>
      <c r="BN891" s="57" t="n">
        <v>0</v>
      </c>
      <c r="BO891" s="55" t="s">
        <v>1631</v>
      </c>
      <c r="BP891" s="60" t="n">
        <v>0</v>
      </c>
      <c r="BQ891" s="60" t="n">
        <v>891</v>
      </c>
      <c r="BR891" s="55" t="str">
        <f aca="false">IF(U891&lt;&gt;"",UPPER(TRIM(U891)),IF(BU891=1,UPPER(VLOOKUP(T891,Parameter!$I$27:$K$29,2,0)),IF(P891="","LOSE",P891)))</f>
        <v>S51</v>
      </c>
      <c r="BS891" s="57" t="n">
        <f aca="false">IF(BR891="LOSE",1,IF(N(V891)&gt;0,V891,IF(BU891=1,MAX(1,N(VLOOKUP(T891,Parameter!$I$27:$K$29,3,0)),H891,N(N891)),IF(N(Q891)&gt;0,Q891,MAX(1,H891)))))</f>
        <v>50</v>
      </c>
      <c r="BT891" s="60" t="n">
        <f aca="false">IF(BR891="LOSE",1,0)</f>
        <v>0</v>
      </c>
      <c r="BU891" s="60" t="n">
        <f aca="false">IF(AND(U891="",OR(P891="",P891="LOSE"),T891&lt;&gt;"",N(S891)&lt;=0,ISNUMBER(MATCH(T891,Parameter!$I$27:$I$29,0))),1,0)</f>
        <v>1</v>
      </c>
      <c r="BV891" s="55" t="str">
        <f aca="false">IF(AND(Parameter!$B$19="Ja",E891&lt;&gt;"",ISNUMBER(MATCH(E891,Parameter!$I$35:$I$52,0))),VLOOKUP(E891,Parameter!$I$35:$J$52,2,0),IFERROR(VLOOKUP(D891,Parameter!$A$35:$C$64,2,0),"Nein"))</f>
        <v>2+3</v>
      </c>
      <c r="BW891" s="59" t="n">
        <f aca="false">IF(BT891=0,0,IF(N(S891)&gt;0,S891,IFERROR(VLOOKUP(D891,Parameter!$A$35:$C$64,3,0)+0,0)))</f>
        <v>0</v>
      </c>
      <c r="BX891" s="55" t="n">
        <f aca="false">IF(AA891&lt;&gt;"",AA891,Z891)</f>
        <v>3</v>
      </c>
      <c r="BY891" s="55" t="str">
        <f aca="false">IF(BX891=1,"L1",IF(OR(BX891=2,BX891=3),"L23",IF(BX891="Aussen","Aussen","-")))</f>
        <v>L23</v>
      </c>
      <c r="BZ891" s="66" t="n">
        <f aca="false">IF(N(AB891)&gt;0,AB891,0)</f>
        <v>0</v>
      </c>
      <c r="CA891" s="60" t="n">
        <f aca="false">IF(ISNUMBER(AE891),1,0)</f>
        <v>0</v>
      </c>
      <c r="CB891" s="57" t="n">
        <f aca="false">N(AE891)</f>
        <v>0</v>
      </c>
      <c r="CC891" s="57" t="n">
        <f aca="false">N(M891)+N(N891)</f>
        <v>1</v>
      </c>
      <c r="CD891" s="57" t="n">
        <f aca="false">ROUNDUP(H891/BS891,0)</f>
        <v>1</v>
      </c>
      <c r="CE891" s="57" t="n">
        <f aca="false">ROUNDUP(CB891/BS891,0)</f>
        <v>0</v>
      </c>
      <c r="CF891" s="60" t="n">
        <f aca="false">IF(BT891=1,0,IFERROR(VLOOKUP(BR891,'Gebinde-Kategorie'!$A$5:$M$45,5,0)+0,0))</f>
        <v>11</v>
      </c>
      <c r="CG891" s="60" t="n">
        <f aca="false">IFERROR(IF(OR(BX891=1,BX891=2,BX891=3),N(INDEX(Parameter!$I$5:$I$7,BX891)),0),0)</f>
        <v>0</v>
      </c>
      <c r="CH891" s="59" t="n">
        <f aca="false">IF(AND(Parameter!$B$21="Ja",ISNUMBER(W891),N(X891)&gt;0),IFERROR(N(INDEX(Parameter!$L$5:$L$7,W891))*INDEX(Parameter!$E$5:$E$7,W891)*X891/SUMIFS($X$7:$X$1843,$W$7:$W$1843,W891),0),0)</f>
        <v>0</v>
      </c>
    </row>
    <row r="892" customFormat="false" ht="15" hidden="false" customHeight="false" outlineLevel="0" collapsed="false">
      <c r="A892" s="55" t="s">
        <v>1683</v>
      </c>
      <c r="B892" s="55" t="s">
        <v>1684</v>
      </c>
      <c r="C892" s="55" t="s">
        <v>164</v>
      </c>
      <c r="D892" s="55" t="s">
        <v>184</v>
      </c>
      <c r="E892" s="55"/>
      <c r="F892" s="55" t="s">
        <v>218</v>
      </c>
      <c r="G892" s="56" t="n">
        <v>30.21</v>
      </c>
      <c r="H892" s="57" t="n">
        <f aca="false">MAX(0,IF(AND(Parameter!$B$21="Ja",ISNUMBER(Y892)),Y892,IF(Parameter!$B$20="Jahresanfang 2025 + Export",BL892+BK892,BK892)))</f>
        <v>0</v>
      </c>
      <c r="I892" s="57" t="n">
        <f aca="false">H892*G892</f>
        <v>0</v>
      </c>
      <c r="J892" s="57" t="n">
        <f aca="false">BN892*Parameter!$B$18</f>
        <v>0</v>
      </c>
      <c r="K892" s="58" t="n">
        <v>0.5</v>
      </c>
      <c r="L892" s="59" t="n">
        <v>0</v>
      </c>
      <c r="M892" s="57" t="n">
        <v>0</v>
      </c>
      <c r="N892" s="57" t="n">
        <v>1</v>
      </c>
      <c r="O892" s="60" t="n">
        <v>28</v>
      </c>
      <c r="P892" s="55" t="s">
        <v>168</v>
      </c>
      <c r="Q892" s="57"/>
      <c r="R892" s="60" t="n">
        <f aca="false">IF(BT892=1,0,IFERROR(VLOOKUP(BR892,'Gebinde-Kategorie'!$A$5:$M$45,13,0)+0,0))</f>
        <v>26</v>
      </c>
      <c r="S892" s="61"/>
      <c r="T892" s="62" t="s">
        <v>275</v>
      </c>
      <c r="U892" s="62"/>
      <c r="V892" s="62"/>
      <c r="W892" s="55"/>
      <c r="X892" s="57"/>
      <c r="Y892" s="57"/>
      <c r="Z892" s="55" t="n">
        <f aca="false">IF(A892="","",IF(AND(Parameter!$B$21="Ja",ISNUMBER(W892)),W892,IF(BV892="2+3",IF(ISNUMBER(SEARCH("grosser Artikel",BO892)),2,IFERROR(VLOOKUP(BR892,Parameter!$F$35:$G$64,2,0),2)),IF(OR(BV892="Nein",BV892=""),"-",BV892))))</f>
        <v>3</v>
      </c>
      <c r="AA892" s="62"/>
      <c r="AB892" s="63"/>
      <c r="AC892" s="57" t="n">
        <f aca="false">AR892</f>
        <v>20</v>
      </c>
      <c r="AD892" s="57" t="n">
        <f aca="false">MAX(AR892,H892)</f>
        <v>20</v>
      </c>
      <c r="AE892" s="64"/>
      <c r="AF892" s="57" t="n">
        <f aca="false">IF(LEFT(Cockpit!$C$5,1)="A",H892,IF(CA892=1,CB892,IF(LEFT(Cockpit!$C$5,1)="B",AJ892,MAX(AJ892,H892))))</f>
        <v>0</v>
      </c>
      <c r="AG892" s="57" t="n">
        <f aca="false">IF(BT892=1,0,ROUNDUP(AF892/BS892,0))</f>
        <v>0</v>
      </c>
      <c r="AH892" s="59" t="n">
        <f aca="false">IF(CH892&gt;0,CH892*MAX(1,AF892/X892),IF(BT892=1,IF(AF892&lt;=0,0,BW892*MAX(1,IF(H892&gt;0,AF892/H892,1))),IF(R892&gt;0,AG892/R892,0))/MAX(0.1,N(Parameter!$M$21)))</f>
        <v>0</v>
      </c>
      <c r="AI892" s="57" t="n">
        <f aca="false">AF892*G892</f>
        <v>0</v>
      </c>
      <c r="AJ892" s="57" t="n">
        <f aca="false">ROUNDUP(MAX(J892/IF(BZ892&gt;0,BZ892,MAX(0.1,N(Cockpit!$C$6))),CC892)/BS892,0)*BS892</f>
        <v>20</v>
      </c>
      <c r="AK892" s="58" t="n">
        <f aca="false">IF(AH892&gt;0,J892/AH892,-1)</f>
        <v>-1</v>
      </c>
      <c r="AL892" s="58" t="str">
        <f aca="false">IF(AND(OR(BY892="L1",BY892="L23"),AH892&gt;0),SUMIFS($AH$7:$AH$1843,$BY$7:$BY$1843,BY892,$AK$7:$AK$1843,"&gt;"&amp;AK892)+SUMIFS($AH$7:$AH$1843,$BY$7:$BY$1843,BY892,$AK$7:$AK$1843,AK892,$BQ$7:$BQ$1843,"&lt;="&amp;BQ892),"")</f>
        <v/>
      </c>
      <c r="AM892" s="65" t="n">
        <f aca="false">IF(AL892="",0,MAX(0,MIN(1,(IF(BY892="L1",Parameter!$E$5,Parameter!$E$6+Parameter!$E$7)-(AL892-AH892))/AH892)))</f>
        <v>0</v>
      </c>
      <c r="AN892" s="57" t="n">
        <f aca="false">IF(LEFT(Cockpit!$I$5,1)="A",H892,IF(CA892=1,CB892,IF(LEFT(Cockpit!$I$5,1)="B",AR892,MAX(AR892,H892))))</f>
        <v>20</v>
      </c>
      <c r="AO892" s="57" t="n">
        <f aca="false">IF(BT892=1,0,ROUNDUP(AN892/BS892,0))</f>
        <v>1</v>
      </c>
      <c r="AP892" s="59" t="n">
        <f aca="false">IF(CH892&gt;0,CH892*MAX(1,AN892/X892),IF(BT892=1,IF(AN892&lt;=0,0,BW892*MAX(1,IF(H892&gt;0,AN892/H892,1))),IF(R892&gt;0,AO892/R892,0))/MAX(0.1,N(Parameter!$M$21)))</f>
        <v>0.0384615384615385</v>
      </c>
      <c r="AQ892" s="57" t="n">
        <f aca="false">AN892*G892</f>
        <v>604.2</v>
      </c>
      <c r="AR892" s="57" t="n">
        <f aca="false">ROUNDUP(MAX(J892/IF(BZ892&gt;0,BZ892,MAX(0.1,N(Cockpit!$I$6))),CC892)/BS892,0)*BS892</f>
        <v>20</v>
      </c>
      <c r="AS892" s="58" t="n">
        <f aca="false">IF(AP892&gt;0,J892/AP892,-1)</f>
        <v>0</v>
      </c>
      <c r="AT892" s="58" t="n">
        <f aca="false">IF(AND(OR(BY892="L1",BY892="L23"),AP892&gt;0),SUMIFS($AP$7:$AP$1843,$BY$7:$BY$1843,BY892,$AS$7:$AS$1843,"&gt;"&amp;AS892)+SUMIFS($AP$7:$AP$1843,$BY$7:$BY$1843,BY892,$AS$7:$AS$1843,AS892,$BQ$7:$BQ$1843,"&lt;="&amp;BQ892),"")</f>
        <v>118.820892875241</v>
      </c>
      <c r="AU892" s="65" t="n">
        <f aca="false">IF(AT892="",0,MAX(0,MIN(1,(IF(BY892="L1",Parameter!$E$5,Parameter!$E$6+Parameter!$E$7)-(AT892-AP892))/AP892)))</f>
        <v>0</v>
      </c>
      <c r="AV892" s="57" t="n">
        <f aca="false">IF(LEFT(Cockpit!$O$5,1)="A",H892,IF(CA892=1,CB892,IF(LEFT(Cockpit!$O$5,1)="B",AZ892,MAX(AZ892,H892))))</f>
        <v>20</v>
      </c>
      <c r="AW892" s="57" t="n">
        <f aca="false">IF(BT892=1,0,ROUNDUP(AV892/BS892,0))</f>
        <v>1</v>
      </c>
      <c r="AX892" s="59" t="n">
        <f aca="false">IF(CH892&gt;0,CH892*MAX(1,AV892/X892),IF(BT892=1,IF(AV892&lt;=0,0,BW892*MAX(1,IF(H892&gt;0,AV892/H892,1))),IF(R892&gt;0,AW892/R892,0))/MAX(0.1,N(Parameter!$M$21)))</f>
        <v>0.0384615384615385</v>
      </c>
      <c r="AY892" s="57" t="n">
        <f aca="false">AV892*G892</f>
        <v>604.2</v>
      </c>
      <c r="AZ892" s="57" t="n">
        <f aca="false">ROUNDUP(MAX(J892/IF(BZ892&gt;0,BZ892,MAX(0.1,N(Cockpit!$O$6))),CC892)/BS892,0)*BS892</f>
        <v>20</v>
      </c>
      <c r="BA892" s="58" t="n">
        <f aca="false">IF(AX892&gt;0,J892/AX892,-1)</f>
        <v>0</v>
      </c>
      <c r="BB892" s="58" t="n">
        <f aca="false">IF(AND(OR(BY892="L1",BY892="L23"),AX892&gt;0),SUMIFS($AX$7:$AX$1843,$BY$7:$BY$1843,BY892,$BA$7:$BA$1843,"&gt;"&amp;BA892)+SUMIFS($AX$7:$AX$1843,$BY$7:$BY$1843,BY892,$BA$7:$BA$1843,BA892,$BQ$7:$BQ$1843,"&lt;="&amp;BQ892),"")</f>
        <v>109.650729705078</v>
      </c>
      <c r="BC892" s="65" t="n">
        <f aca="false">IF(BB892="",0,MAX(0,MIN(1,(IF(BY892="L1",Parameter!$E$5,Parameter!$E$6+Parameter!$E$7)-(BB892-AX892))/AX892)))</f>
        <v>0</v>
      </c>
      <c r="BD892" s="55" t="str">
        <f aca="false">IF(AH892&lt;=0,"",IF(BY892="Aussen","Aussenlager",IF(BY892="-","Nicht im Lift",IF(AM892&gt;=1,"Lift",IF(AM892&lt;=0,"Aussenlager","teilweise")))))</f>
        <v/>
      </c>
      <c r="BE892" s="55" t="str">
        <f aca="false">IF(AP892&lt;=0,"",IF(BY892="Aussen","Aussenlager",IF(BY892="-","Nicht im Lift",IF(AU892&gt;=1,"Lift",IF(AU892&lt;=0,"Aussenlager","teilweise")))))</f>
        <v>Aussenlager</v>
      </c>
      <c r="BF892" s="55" t="str">
        <f aca="false">IF(AX892&lt;=0,"",IF(BY892="Aussen","Aussenlager",IF(BY892="-","Nicht im Lift",IF(BC892&gt;=1,"Lift",IF(BC892&lt;=0,"Aussenlager","teilweise")))))</f>
        <v>Aussenlager</v>
      </c>
      <c r="BG892" s="55" t="str">
        <f aca="false">IF(A892="","",IF(BP892=1,"Neu; ","")&amp;IF(AND(BP892=0,BK892&lt;0),"negativer Bestand (Export "&amp;BK892&amp;"); ","")&amp;IF(J892&lt;=0,"Kein Verbrauch; ","")&amp;IF(CH892&gt;0,"Lift "&amp;W892&amp;" lt. Liftbericht (Fach "&amp;X892&amp;" Stk); ",IF(BU892=1,"Gebinde geschätzt ("&amp;T892&amp;"); ",IF(BT892=1,"Lose – Tablare geschätzt; ","")))&amp;IF(H892&gt;AR892,"Überbestand "&amp;ROUND(H892-AR892,0)&amp;" Stk / CHF "&amp;ROUND((H892-AR892)*G892,0)&amp;"; ","")&amp;IF(AND(CA892=1,CB892&lt;CC892),"MAX &lt; MB+LG; ","")&amp;IF(AND(CG892&gt;0,CF892*10&gt;CG892),"zu hoch für Tablar; ","")&amp;IF(AND(BP892=0,OR(CA892=1,AA892&lt;&gt;"",U892&lt;&gt;"",V892&lt;&gt;"",AB892&lt;&gt;"")),"manuell übersteuert; ","")&amp;IF(AND(BT892=0,R892=0),"Gebinde unbekannt / Stellmass fehlt; ","")&amp;IF(AND(BT892=0,N(V892)&lt;=0,N(Q892)&lt;=0),"Menge pro Gebinde fehlt (Ist = 1 Gebinde); ","")&amp;BO892)</f>
        <v>negativer Bestand (Export -1); Kein Verbrauch; Gebinde geschätzt (Klein); Menge pro Gebinde fehlt (Ist = 1 Gebinde); </v>
      </c>
      <c r="BH892" s="55"/>
      <c r="BI892" s="55"/>
      <c r="BJ892" s="62"/>
      <c r="BK892" s="57" t="n">
        <v>-1</v>
      </c>
      <c r="BL892" s="57" t="n">
        <v>1</v>
      </c>
      <c r="BM892" s="56" t="n">
        <v>-30.21</v>
      </c>
      <c r="BN892" s="57" t="n">
        <v>0</v>
      </c>
      <c r="BO892" s="55"/>
      <c r="BP892" s="60" t="n">
        <v>0</v>
      </c>
      <c r="BQ892" s="60" t="n">
        <v>892</v>
      </c>
      <c r="BR892" s="55" t="str">
        <f aca="false">IF(U892&lt;&gt;"",UPPER(TRIM(U892)),IF(BU892=1,UPPER(VLOOKUP(T892,Parameter!$I$27:$K$29,2,0)),IF(P892="","LOSE",P892)))</f>
        <v>S51</v>
      </c>
      <c r="BS892" s="57" t="n">
        <f aca="false">IF(BR892="LOSE",1,IF(N(V892)&gt;0,V892,IF(BU892=1,MAX(1,N(VLOOKUP(T892,Parameter!$I$27:$K$29,3,0)),H892,N(N892)),IF(N(Q892)&gt;0,Q892,MAX(1,H892)))))</f>
        <v>20</v>
      </c>
      <c r="BT892" s="60" t="n">
        <f aca="false">IF(BR892="LOSE",1,0)</f>
        <v>0</v>
      </c>
      <c r="BU892" s="60" t="n">
        <f aca="false">IF(AND(U892="",OR(P892="",P892="LOSE"),T892&lt;&gt;"",N(S892)&lt;=0,ISNUMBER(MATCH(T892,Parameter!$I$27:$I$29,0))),1,0)</f>
        <v>1</v>
      </c>
      <c r="BV892" s="55" t="str">
        <f aca="false">IF(AND(Parameter!$B$19="Ja",E892&lt;&gt;"",ISNUMBER(MATCH(E892,Parameter!$I$35:$I$52,0))),VLOOKUP(E892,Parameter!$I$35:$J$52,2,0),IFERROR(VLOOKUP(D892,Parameter!$A$35:$C$64,2,0),"Nein"))</f>
        <v>2+3</v>
      </c>
      <c r="BW892" s="59" t="n">
        <f aca="false">IF(BT892=0,0,IF(N(S892)&gt;0,S892,IFERROR(VLOOKUP(D892,Parameter!$A$35:$C$64,3,0)+0,0)))</f>
        <v>0</v>
      </c>
      <c r="BX892" s="55" t="n">
        <f aca="false">IF(AA892&lt;&gt;"",AA892,Z892)</f>
        <v>3</v>
      </c>
      <c r="BY892" s="55" t="str">
        <f aca="false">IF(BX892=1,"L1",IF(OR(BX892=2,BX892=3),"L23",IF(BX892="Aussen","Aussen","-")))</f>
        <v>L23</v>
      </c>
      <c r="BZ892" s="66" t="n">
        <f aca="false">IF(N(AB892)&gt;0,AB892,0)</f>
        <v>0</v>
      </c>
      <c r="CA892" s="60" t="n">
        <f aca="false">IF(ISNUMBER(AE892),1,0)</f>
        <v>0</v>
      </c>
      <c r="CB892" s="57" t="n">
        <f aca="false">N(AE892)</f>
        <v>0</v>
      </c>
      <c r="CC892" s="57" t="n">
        <f aca="false">N(M892)+N(N892)</f>
        <v>1</v>
      </c>
      <c r="CD892" s="57" t="n">
        <f aca="false">ROUNDUP(H892/BS892,0)</f>
        <v>0</v>
      </c>
      <c r="CE892" s="57" t="n">
        <f aca="false">ROUNDUP(CB892/BS892,0)</f>
        <v>0</v>
      </c>
      <c r="CF892" s="60" t="n">
        <f aca="false">IF(BT892=1,0,IFERROR(VLOOKUP(BR892,'Gebinde-Kategorie'!$A$5:$M$45,5,0)+0,0))</f>
        <v>11</v>
      </c>
      <c r="CG892" s="60" t="n">
        <f aca="false">IFERROR(IF(OR(BX892=1,BX892=2,BX892=3),N(INDEX(Parameter!$I$5:$I$7,BX892)),0),0)</f>
        <v>0</v>
      </c>
      <c r="CH892" s="59" t="n">
        <f aca="false">IF(AND(Parameter!$B$21="Ja",ISNUMBER(W892),N(X892)&gt;0),IFERROR(N(INDEX(Parameter!$L$5:$L$7,W892))*INDEX(Parameter!$E$5:$E$7,W892)*X892/SUMIFS($X$7:$X$1843,$W$7:$W$1843,W892),0),0)</f>
        <v>0</v>
      </c>
    </row>
    <row r="893" customFormat="false" ht="15" hidden="false" customHeight="false" outlineLevel="0" collapsed="false">
      <c r="A893" s="55" t="s">
        <v>1685</v>
      </c>
      <c r="B893" s="55" t="s">
        <v>589</v>
      </c>
      <c r="C893" s="55" t="s">
        <v>164</v>
      </c>
      <c r="D893" s="55" t="s">
        <v>184</v>
      </c>
      <c r="E893" s="55" t="s">
        <v>185</v>
      </c>
      <c r="F893" s="55" t="s">
        <v>218</v>
      </c>
      <c r="G893" s="56" t="n">
        <v>2.2</v>
      </c>
      <c r="H893" s="57" t="n">
        <f aca="false">MAX(0,IF(AND(Parameter!$B$21="Ja",ISNUMBER(Y893)),Y893,IF(Parameter!$B$20="Jahresanfang 2025 + Export",BL893+BK893,BK893)))</f>
        <v>34</v>
      </c>
      <c r="I893" s="57" t="n">
        <f aca="false">H893*G893</f>
        <v>74.8</v>
      </c>
      <c r="J893" s="57" t="n">
        <f aca="false">BN893*Parameter!$B$18</f>
        <v>11</v>
      </c>
      <c r="K893" s="58" t="n">
        <v>41</v>
      </c>
      <c r="L893" s="59" t="n">
        <v>0.268292682926829</v>
      </c>
      <c r="M893" s="57" t="n">
        <v>0</v>
      </c>
      <c r="N893" s="57" t="n">
        <v>10</v>
      </c>
      <c r="O893" s="60" t="n">
        <v>21</v>
      </c>
      <c r="P893" s="55" t="s">
        <v>426</v>
      </c>
      <c r="Q893" s="57" t="n">
        <v>21</v>
      </c>
      <c r="R893" s="60" t="n">
        <f aca="false">IF(BT893=1,0,IFERROR(VLOOKUP(BR893,'Gebinde-Kategorie'!$A$5:$M$45,13,0)+0,0))</f>
        <v>198</v>
      </c>
      <c r="S893" s="61"/>
      <c r="T893" s="62"/>
      <c r="U893" s="62"/>
      <c r="V893" s="62"/>
      <c r="W893" s="55"/>
      <c r="X893" s="57"/>
      <c r="Y893" s="57"/>
      <c r="Z893" s="55" t="n">
        <f aca="false">IF(A893="","",IF(AND(Parameter!$B$21="Ja",ISNUMBER(W893)),W893,IF(BV893="2+3",IF(ISNUMBER(SEARCH("grosser Artikel",BO893)),2,IFERROR(VLOOKUP(BR893,Parameter!$F$35:$G$64,2,0),2)),IF(OR(BV893="Nein",BV893=""),"-",BV893))))</f>
        <v>3</v>
      </c>
      <c r="AA893" s="62"/>
      <c r="AB893" s="63"/>
      <c r="AC893" s="57" t="n">
        <f aca="false">AR893</f>
        <v>21</v>
      </c>
      <c r="AD893" s="57" t="n">
        <f aca="false">MAX(AR893,H893)</f>
        <v>34</v>
      </c>
      <c r="AE893" s="64"/>
      <c r="AF893" s="57" t="n">
        <f aca="false">IF(LEFT(Cockpit!$C$5,1)="A",H893,IF(CA893=1,CB893,IF(LEFT(Cockpit!$C$5,1)="B",AJ893,MAX(AJ893,H893))))</f>
        <v>34</v>
      </c>
      <c r="AG893" s="57" t="n">
        <f aca="false">IF(BT893=1,0,ROUNDUP(AF893/BS893,0))</f>
        <v>2</v>
      </c>
      <c r="AH893" s="59" t="n">
        <f aca="false">IF(CH893&gt;0,CH893*MAX(1,AF893/X893),IF(BT893=1,IF(AF893&lt;=0,0,BW893*MAX(1,IF(H893&gt;0,AF893/H893,1))),IF(R893&gt;0,AG893/R893,0))/MAX(0.1,N(Parameter!$M$21)))</f>
        <v>0.0101010101010101</v>
      </c>
      <c r="AI893" s="57" t="n">
        <f aca="false">AF893*G893</f>
        <v>74.8</v>
      </c>
      <c r="AJ893" s="57" t="n">
        <f aca="false">ROUNDUP(MAX(J893/IF(BZ893&gt;0,BZ893,MAX(0.1,N(Cockpit!$C$6))),CC893)/BS893,0)*BS893</f>
        <v>21</v>
      </c>
      <c r="AK893" s="58" t="n">
        <f aca="false">IF(AH893&gt;0,J893/AH893,-1)</f>
        <v>1089</v>
      </c>
      <c r="AL893" s="58" t="n">
        <f aca="false">IF(AND(OR(BY893="L1",BY893="L23"),AH893&gt;0),SUMIFS($AH$7:$AH$1843,$BY$7:$BY$1843,BY893,$AK$7:$AK$1843,"&gt;"&amp;AK893)+SUMIFS($AH$7:$AH$1843,$BY$7:$BY$1843,BY893,$AK$7:$AK$1843,AK893,$BQ$7:$BQ$1843,"&lt;="&amp;BQ893),"")</f>
        <v>17.1944613357657</v>
      </c>
      <c r="AM893" s="65" t="n">
        <f aca="false">IF(AL893="",0,MAX(0,MIN(1,(IF(BY893="L1",Parameter!$E$5,Parameter!$E$6+Parameter!$E$7)-(AL893-AH893))/AH893)))</f>
        <v>1</v>
      </c>
      <c r="AN893" s="57" t="n">
        <f aca="false">IF(LEFT(Cockpit!$I$5,1)="A",H893,IF(CA893=1,CB893,IF(LEFT(Cockpit!$I$5,1)="B",AR893,MAX(AR893,H893))))</f>
        <v>34</v>
      </c>
      <c r="AO893" s="57" t="n">
        <f aca="false">IF(BT893=1,0,ROUNDUP(AN893/BS893,0))</f>
        <v>2</v>
      </c>
      <c r="AP893" s="59" t="n">
        <f aca="false">IF(CH893&gt;0,CH893*MAX(1,AN893/X893),IF(BT893=1,IF(AN893&lt;=0,0,BW893*MAX(1,IF(H893&gt;0,AN893/H893,1))),IF(R893&gt;0,AO893/R893,0))/MAX(0.1,N(Parameter!$M$21)))</f>
        <v>0.0101010101010101</v>
      </c>
      <c r="AQ893" s="57" t="n">
        <f aca="false">AN893*G893</f>
        <v>74.8</v>
      </c>
      <c r="AR893" s="57" t="n">
        <f aca="false">ROUNDUP(MAX(J893/IF(BZ893&gt;0,BZ893,MAX(0.1,N(Cockpit!$I$6))),CC893)/BS893,0)*BS893</f>
        <v>21</v>
      </c>
      <c r="AS893" s="58" t="n">
        <f aca="false">IF(AP893&gt;0,J893/AP893,-1)</f>
        <v>1089</v>
      </c>
      <c r="AT893" s="58" t="n">
        <f aca="false">IF(AND(OR(BY893="L1",BY893="L23"),AP893&gt;0),SUMIFS($AP$7:$AP$1843,$BY$7:$BY$1843,BY893,$AS$7:$AS$1843,"&gt;"&amp;AS893)+SUMIFS($AP$7:$AP$1843,$BY$7:$BY$1843,BY893,$AS$7:$AS$1843,AS893,$BQ$7:$BQ$1843,"&lt;="&amp;BQ893),"")</f>
        <v>23.3957974392757</v>
      </c>
      <c r="AU893" s="65" t="n">
        <f aca="false">IF(AT893="",0,MAX(0,MIN(1,(IF(BY893="L1",Parameter!$E$5,Parameter!$E$6+Parameter!$E$7)-(AT893-AP893))/AP893)))</f>
        <v>1</v>
      </c>
      <c r="AV893" s="57" t="n">
        <f aca="false">IF(LEFT(Cockpit!$O$5,1)="A",H893,IF(CA893=1,CB893,IF(LEFT(Cockpit!$O$5,1)="B",AZ893,MAX(AZ893,H893))))</f>
        <v>34</v>
      </c>
      <c r="AW893" s="57" t="n">
        <f aca="false">IF(BT893=1,0,ROUNDUP(AV893/BS893,0))</f>
        <v>2</v>
      </c>
      <c r="AX893" s="59" t="n">
        <f aca="false">IF(CH893&gt;0,CH893*MAX(1,AV893/X893),IF(BT893=1,IF(AV893&lt;=0,0,BW893*MAX(1,IF(H893&gt;0,AV893/H893,1))),IF(R893&gt;0,AW893/R893,0))/MAX(0.1,N(Parameter!$M$21)))</f>
        <v>0.0101010101010101</v>
      </c>
      <c r="AY893" s="57" t="n">
        <f aca="false">AV893*G893</f>
        <v>74.8</v>
      </c>
      <c r="AZ893" s="57" t="n">
        <f aca="false">ROUNDUP(MAX(J893/IF(BZ893&gt;0,BZ893,MAX(0.1,N(Cockpit!$O$6))),CC893)/BS893,0)*BS893</f>
        <v>21</v>
      </c>
      <c r="BA893" s="58" t="n">
        <f aca="false">IF(AX893&gt;0,J893/AX893,-1)</f>
        <v>1089</v>
      </c>
      <c r="BB893" s="58" t="n">
        <f aca="false">IF(AND(OR(BY893="L1",BY893="L23"),AX893&gt;0),SUMIFS($AX$7:$AX$1843,$BY$7:$BY$1843,BY893,$BA$7:$BA$1843,"&gt;"&amp;BA893)+SUMIFS($AX$7:$AX$1843,$BY$7:$BY$1843,BY893,$BA$7:$BA$1843,BA893,$BQ$7:$BQ$1843,"&lt;="&amp;BQ893),"")</f>
        <v>22.5910188844971</v>
      </c>
      <c r="BC893" s="65" t="n">
        <f aca="false">IF(BB893="",0,MAX(0,MIN(1,(IF(BY893="L1",Parameter!$E$5,Parameter!$E$6+Parameter!$E$7)-(BB893-AX893))/AX893)))</f>
        <v>1</v>
      </c>
      <c r="BD893" s="55" t="str">
        <f aca="false">IF(AH893&lt;=0,"",IF(BY893="Aussen","Aussenlager",IF(BY893="-","Nicht im Lift",IF(AM893&gt;=1,"Lift",IF(AM893&lt;=0,"Aussenlager","teilweise")))))</f>
        <v>Lift</v>
      </c>
      <c r="BE893" s="55" t="str">
        <f aca="false">IF(AP893&lt;=0,"",IF(BY893="Aussen","Aussenlager",IF(BY893="-","Nicht im Lift",IF(AU893&gt;=1,"Lift",IF(AU893&lt;=0,"Aussenlager","teilweise")))))</f>
        <v>Lift</v>
      </c>
      <c r="BF893" s="55" t="str">
        <f aca="false">IF(AX893&lt;=0,"",IF(BY893="Aussen","Aussenlager",IF(BY893="-","Nicht im Lift",IF(BC893&gt;=1,"Lift",IF(BC893&lt;=0,"Aussenlager","teilweise")))))</f>
        <v>Lift</v>
      </c>
      <c r="BG893" s="55" t="str">
        <f aca="false">IF(A893="","",IF(BP893=1,"Neu; ","")&amp;IF(AND(BP893=0,BK893&lt;0),"negativer Bestand (Export "&amp;BK893&amp;"); ","")&amp;IF(J893&lt;=0,"Kein Verbrauch; ","")&amp;IF(CH893&gt;0,"Lift "&amp;W893&amp;" lt. Liftbericht (Fach "&amp;X893&amp;" Stk); ",IF(BU893=1,"Gebinde geschätzt ("&amp;T893&amp;"); ",IF(BT893=1,"Lose – Tablare geschätzt; ","")))&amp;IF(H893&gt;AR893,"Überbestand "&amp;ROUND(H893-AR893,0)&amp;" Stk / CHF "&amp;ROUND((H893-AR893)*G893,0)&amp;"; ","")&amp;IF(AND(CA893=1,CB893&lt;CC893),"MAX &lt; MB+LG; ","")&amp;IF(AND(CG893&gt;0,CF893*10&gt;CG893),"zu hoch für Tablar; ","")&amp;IF(AND(BP893=0,OR(CA893=1,AA893&lt;&gt;"",U893&lt;&gt;"",V893&lt;&gt;"",AB893&lt;&gt;"")),"manuell übersteuert; ","")&amp;IF(AND(BT893=0,R893=0),"Gebinde unbekannt / Stellmass fehlt; ","")&amp;IF(AND(BT893=0,N(V893)&lt;=0,N(Q893)&lt;=0),"Menge pro Gebinde fehlt (Ist = 1 Gebinde); ","")&amp;BO893)</f>
        <v>negativer Bestand (Export -14); Überbestand 13 Stk / CHF 29; </v>
      </c>
      <c r="BH893" s="55"/>
      <c r="BI893" s="55"/>
      <c r="BJ893" s="62"/>
      <c r="BK893" s="57" t="n">
        <v>-14</v>
      </c>
      <c r="BL893" s="57" t="n">
        <v>48</v>
      </c>
      <c r="BM893" s="56" t="n">
        <v>-30.8</v>
      </c>
      <c r="BN893" s="57" t="n">
        <v>11</v>
      </c>
      <c r="BO893" s="55"/>
      <c r="BP893" s="60" t="n">
        <v>0</v>
      </c>
      <c r="BQ893" s="60" t="n">
        <v>893</v>
      </c>
      <c r="BR893" s="55" t="str">
        <f aca="false">IF(U893&lt;&gt;"",UPPER(TRIM(U893)),IF(BU893=1,UPPER(VLOOKUP(T893,Parameter!$I$27:$K$29,2,0)),IF(P893="","LOSE",P893)))</f>
        <v>S22</v>
      </c>
      <c r="BS893" s="57" t="n">
        <f aca="false">IF(BR893="LOSE",1,IF(N(V893)&gt;0,V893,IF(BU893=1,MAX(1,N(VLOOKUP(T893,Parameter!$I$27:$K$29,3,0)),H893,N(N893)),IF(N(Q893)&gt;0,Q893,MAX(1,H893)))))</f>
        <v>21</v>
      </c>
      <c r="BT893" s="60" t="n">
        <f aca="false">IF(BR893="LOSE",1,0)</f>
        <v>0</v>
      </c>
      <c r="BU893" s="60" t="n">
        <f aca="false">IF(AND(U893="",OR(P893="",P893="LOSE"),T893&lt;&gt;"",N(S893)&lt;=0,ISNUMBER(MATCH(T893,Parameter!$I$27:$I$29,0))),1,0)</f>
        <v>0</v>
      </c>
      <c r="BV893" s="55" t="str">
        <f aca="false">IF(AND(Parameter!$B$19="Ja",E893&lt;&gt;"",ISNUMBER(MATCH(E893,Parameter!$I$35:$I$52,0))),VLOOKUP(E893,Parameter!$I$35:$J$52,2,0),IFERROR(VLOOKUP(D893,Parameter!$A$35:$C$64,2,0),"Nein"))</f>
        <v>2+3</v>
      </c>
      <c r="BW893" s="59" t="n">
        <f aca="false">IF(BT893=0,0,IF(N(S893)&gt;0,S893,IFERROR(VLOOKUP(D893,Parameter!$A$35:$C$64,3,0)+0,0)))</f>
        <v>0</v>
      </c>
      <c r="BX893" s="55" t="n">
        <f aca="false">IF(AA893&lt;&gt;"",AA893,Z893)</f>
        <v>3</v>
      </c>
      <c r="BY893" s="55" t="str">
        <f aca="false">IF(BX893=1,"L1",IF(OR(BX893=2,BX893=3),"L23",IF(BX893="Aussen","Aussen","-")))</f>
        <v>L23</v>
      </c>
      <c r="BZ893" s="66" t="n">
        <f aca="false">IF(N(AB893)&gt;0,AB893,0)</f>
        <v>0</v>
      </c>
      <c r="CA893" s="60" t="n">
        <f aca="false">IF(ISNUMBER(AE893),1,0)</f>
        <v>0</v>
      </c>
      <c r="CB893" s="57" t="n">
        <f aca="false">N(AE893)</f>
        <v>0</v>
      </c>
      <c r="CC893" s="57" t="n">
        <f aca="false">N(M893)+N(N893)</f>
        <v>10</v>
      </c>
      <c r="CD893" s="57" t="n">
        <f aca="false">ROUNDUP(H893/BS893,0)</f>
        <v>2</v>
      </c>
      <c r="CE893" s="57" t="n">
        <f aca="false">ROUNDUP(CB893/BS893,0)</f>
        <v>0</v>
      </c>
      <c r="CF893" s="60" t="n">
        <f aca="false">IF(BT893=1,0,IFERROR(VLOOKUP(BR893,'Gebinde-Kategorie'!$A$5:$M$45,5,0)+0,0))</f>
        <v>8</v>
      </c>
      <c r="CG893" s="60" t="n">
        <f aca="false">IFERROR(IF(OR(BX893=1,BX893=2,BX893=3),N(INDEX(Parameter!$I$5:$I$7,BX893)),0),0)</f>
        <v>0</v>
      </c>
      <c r="CH893" s="59" t="n">
        <f aca="false">IF(AND(Parameter!$B$21="Ja",ISNUMBER(W893),N(X893)&gt;0),IFERROR(N(INDEX(Parameter!$L$5:$L$7,W893))*INDEX(Parameter!$E$5:$E$7,W893)*X893/SUMIFS($X$7:$X$1843,$W$7:$W$1843,W893),0),0)</f>
        <v>0</v>
      </c>
    </row>
    <row r="894" customFormat="false" ht="15" hidden="false" customHeight="false" outlineLevel="0" collapsed="false">
      <c r="A894" s="55" t="s">
        <v>1686</v>
      </c>
      <c r="B894" s="55" t="s">
        <v>1687</v>
      </c>
      <c r="C894" s="55" t="s">
        <v>164</v>
      </c>
      <c r="D894" s="55" t="s">
        <v>184</v>
      </c>
      <c r="E894" s="55"/>
      <c r="F894" s="55" t="s">
        <v>218</v>
      </c>
      <c r="G894" s="56" t="n">
        <v>0.24</v>
      </c>
      <c r="H894" s="57" t="n">
        <f aca="false">MAX(0,IF(AND(Parameter!$B$21="Ja",ISNUMBER(Y894)),Y894,IF(Parameter!$B$20="Jahresanfang 2025 + Export",BL894+BK894,BK894)))</f>
        <v>771</v>
      </c>
      <c r="I894" s="57" t="n">
        <f aca="false">H894*G894</f>
        <v>185.04</v>
      </c>
      <c r="J894" s="57" t="n">
        <f aca="false">BN894*Parameter!$B$18</f>
        <v>0</v>
      </c>
      <c r="K894" s="58" t="n">
        <v>900</v>
      </c>
      <c r="L894" s="59" t="n">
        <v>0</v>
      </c>
      <c r="M894" s="57" t="n">
        <v>1</v>
      </c>
      <c r="N894" s="57" t="n">
        <v>1</v>
      </c>
      <c r="O894" s="60" t="n">
        <v>21</v>
      </c>
      <c r="P894" s="55" t="s">
        <v>302</v>
      </c>
      <c r="Q894" s="57" t="n">
        <v>400</v>
      </c>
      <c r="R894" s="60" t="n">
        <f aca="false">IF(BT894=1,0,IFERROR(VLOOKUP(BR894,'Gebinde-Kategorie'!$A$5:$M$45,13,0)+0,0))</f>
        <v>26</v>
      </c>
      <c r="S894" s="61"/>
      <c r="T894" s="62"/>
      <c r="U894" s="62"/>
      <c r="V894" s="62"/>
      <c r="W894" s="55"/>
      <c r="X894" s="57"/>
      <c r="Y894" s="57"/>
      <c r="Z894" s="55" t="n">
        <f aca="false">IF(A894="","",IF(AND(Parameter!$B$21="Ja",ISNUMBER(W894)),W894,IF(BV894="2+3",IF(ISNUMBER(SEARCH("grosser Artikel",BO894)),2,IFERROR(VLOOKUP(BR894,Parameter!$F$35:$G$64,2,0),2)),IF(OR(BV894="Nein",BV894=""),"-",BV894))))</f>
        <v>3</v>
      </c>
      <c r="AA894" s="62"/>
      <c r="AB894" s="63"/>
      <c r="AC894" s="57" t="n">
        <f aca="false">AR894</f>
        <v>400</v>
      </c>
      <c r="AD894" s="57" t="n">
        <f aca="false">MAX(AR894,H894)</f>
        <v>771</v>
      </c>
      <c r="AE894" s="64"/>
      <c r="AF894" s="57" t="n">
        <f aca="false">IF(LEFT(Cockpit!$C$5,1)="A",H894,IF(CA894=1,CB894,IF(LEFT(Cockpit!$C$5,1)="B",AJ894,MAX(AJ894,H894))))</f>
        <v>771</v>
      </c>
      <c r="AG894" s="57" t="n">
        <f aca="false">IF(BT894=1,0,ROUNDUP(AF894/BS894,0))</f>
        <v>2</v>
      </c>
      <c r="AH894" s="59" t="n">
        <f aca="false">IF(CH894&gt;0,CH894*MAX(1,AF894/X894),IF(BT894=1,IF(AF894&lt;=0,0,BW894*MAX(1,IF(H894&gt;0,AF894/H894,1))),IF(R894&gt;0,AG894/R894,0))/MAX(0.1,N(Parameter!$M$21)))</f>
        <v>0.0769230769230769</v>
      </c>
      <c r="AI894" s="57" t="n">
        <f aca="false">AF894*G894</f>
        <v>185.04</v>
      </c>
      <c r="AJ894" s="57" t="n">
        <f aca="false">ROUNDUP(MAX(J894/IF(BZ894&gt;0,BZ894,MAX(0.1,N(Cockpit!$C$6))),CC894)/BS894,0)*BS894</f>
        <v>400</v>
      </c>
      <c r="AK894" s="58" t="n">
        <f aca="false">IF(AH894&gt;0,J894/AH894,-1)</f>
        <v>0</v>
      </c>
      <c r="AL894" s="58" t="n">
        <f aca="false">IF(AND(OR(BY894="L1",BY894="L23"),AH894&gt;0),SUMIFS($AH$7:$AH$1843,$BY$7:$BY$1843,BY894,$AK$7:$AK$1843,"&gt;"&amp;AK894)+SUMIFS($AH$7:$AH$1843,$BY$7:$BY$1843,BY894,$AK$7:$AK$1843,AK894,$BQ$7:$BQ$1843,"&lt;="&amp;BQ894),"")</f>
        <v>77.8960170264518</v>
      </c>
      <c r="AM894" s="65" t="n">
        <f aca="false">IF(AL894="",0,MAX(0,MIN(1,(IF(BY894="L1",Parameter!$E$5,Parameter!$E$6+Parameter!$E$7)-(AL894-AH894))/AH894)))</f>
        <v>1</v>
      </c>
      <c r="AN894" s="57" t="n">
        <f aca="false">IF(LEFT(Cockpit!$I$5,1)="A",H894,IF(CA894=1,CB894,IF(LEFT(Cockpit!$I$5,1)="B",AR894,MAX(AR894,H894))))</f>
        <v>771</v>
      </c>
      <c r="AO894" s="57" t="n">
        <f aca="false">IF(BT894=1,0,ROUNDUP(AN894/BS894,0))</f>
        <v>2</v>
      </c>
      <c r="AP894" s="59" t="n">
        <f aca="false">IF(CH894&gt;0,CH894*MAX(1,AN894/X894),IF(BT894=1,IF(AN894&lt;=0,0,BW894*MAX(1,IF(H894&gt;0,AN894/H894,1))),IF(R894&gt;0,AO894/R894,0))/MAX(0.1,N(Parameter!$M$21)))</f>
        <v>0.0769230769230769</v>
      </c>
      <c r="AQ894" s="57" t="n">
        <f aca="false">AN894*G894</f>
        <v>185.04</v>
      </c>
      <c r="AR894" s="57" t="n">
        <f aca="false">ROUNDUP(MAX(J894/IF(BZ894&gt;0,BZ894,MAX(0.1,N(Cockpit!$I$6))),CC894)/BS894,0)*BS894</f>
        <v>400</v>
      </c>
      <c r="AS894" s="58" t="n">
        <f aca="false">IF(AP894&gt;0,J894/AP894,-1)</f>
        <v>0</v>
      </c>
      <c r="AT894" s="58" t="n">
        <f aca="false">IF(AND(OR(BY894="L1",BY894="L23"),AP894&gt;0),SUMIFS($AP$7:$AP$1843,$BY$7:$BY$1843,BY894,$AS$7:$AS$1843,"&gt;"&amp;AS894)+SUMIFS($AP$7:$AP$1843,$BY$7:$BY$1843,BY894,$AS$7:$AS$1843,AS894,$BQ$7:$BQ$1843,"&lt;="&amp;BQ894),"")</f>
        <v>118.897815952164</v>
      </c>
      <c r="AU894" s="65" t="n">
        <f aca="false">IF(AT894="",0,MAX(0,MIN(1,(IF(BY894="L1",Parameter!$E$5,Parameter!$E$6+Parameter!$E$7)-(AT894-AP894))/AP894)))</f>
        <v>0</v>
      </c>
      <c r="AV894" s="57" t="n">
        <f aca="false">IF(LEFT(Cockpit!$O$5,1)="A",H894,IF(CA894=1,CB894,IF(LEFT(Cockpit!$O$5,1)="B",AZ894,MAX(AZ894,H894))))</f>
        <v>771</v>
      </c>
      <c r="AW894" s="57" t="n">
        <f aca="false">IF(BT894=1,0,ROUNDUP(AV894/BS894,0))</f>
        <v>2</v>
      </c>
      <c r="AX894" s="59" t="n">
        <f aca="false">IF(CH894&gt;0,CH894*MAX(1,AV894/X894),IF(BT894=1,IF(AV894&lt;=0,0,BW894*MAX(1,IF(H894&gt;0,AV894/H894,1))),IF(R894&gt;0,AW894/R894,0))/MAX(0.1,N(Parameter!$M$21)))</f>
        <v>0.0769230769230769</v>
      </c>
      <c r="AY894" s="57" t="n">
        <f aca="false">AV894*G894</f>
        <v>185.04</v>
      </c>
      <c r="AZ894" s="57" t="n">
        <f aca="false">ROUNDUP(MAX(J894/IF(BZ894&gt;0,BZ894,MAX(0.1,N(Cockpit!$O$6))),CC894)/BS894,0)*BS894</f>
        <v>400</v>
      </c>
      <c r="BA894" s="58" t="n">
        <f aca="false">IF(AX894&gt;0,J894/AX894,-1)</f>
        <v>0</v>
      </c>
      <c r="BB894" s="58" t="n">
        <f aca="false">IF(AND(OR(BY894="L1",BY894="L23"),AX894&gt;0),SUMIFS($AX$7:$AX$1843,$BY$7:$BY$1843,BY894,$BA$7:$BA$1843,"&gt;"&amp;BA894)+SUMIFS($AX$7:$AX$1843,$BY$7:$BY$1843,BY894,$BA$7:$BA$1843,BA894,$BQ$7:$BQ$1843,"&lt;="&amp;BQ894),"")</f>
        <v>109.727652782001</v>
      </c>
      <c r="BC894" s="65" t="n">
        <f aca="false">IF(BB894="",0,MAX(0,MIN(1,(IF(BY894="L1",Parameter!$E$5,Parameter!$E$6+Parameter!$E$7)-(BB894-AX894))/AX894)))</f>
        <v>0</v>
      </c>
      <c r="BD894" s="55" t="str">
        <f aca="false">IF(AH894&lt;=0,"",IF(BY894="Aussen","Aussenlager",IF(BY894="-","Nicht im Lift",IF(AM894&gt;=1,"Lift",IF(AM894&lt;=0,"Aussenlager","teilweise")))))</f>
        <v>Lift</v>
      </c>
      <c r="BE894" s="55" t="str">
        <f aca="false">IF(AP894&lt;=0,"",IF(BY894="Aussen","Aussenlager",IF(BY894="-","Nicht im Lift",IF(AU894&gt;=1,"Lift",IF(AU894&lt;=0,"Aussenlager","teilweise")))))</f>
        <v>Aussenlager</v>
      </c>
      <c r="BF894" s="55" t="str">
        <f aca="false">IF(AX894&lt;=0,"",IF(BY894="Aussen","Aussenlager",IF(BY894="-","Nicht im Lift",IF(BC894&gt;=1,"Lift",IF(BC894&lt;=0,"Aussenlager","teilweise")))))</f>
        <v>Aussenlager</v>
      </c>
      <c r="BG894" s="55" t="str">
        <f aca="false">IF(A894="","",IF(BP894=1,"Neu; ","")&amp;IF(AND(BP894=0,BK894&lt;0),"negativer Bestand (Export "&amp;BK894&amp;"); ","")&amp;IF(J894&lt;=0,"Kein Verbrauch; ","")&amp;IF(CH894&gt;0,"Lift "&amp;W894&amp;" lt. Liftbericht (Fach "&amp;X894&amp;" Stk); ",IF(BU894=1,"Gebinde geschätzt ("&amp;T894&amp;"); ",IF(BT894=1,"Lose – Tablare geschätzt; ","")))&amp;IF(H894&gt;AR894,"Überbestand "&amp;ROUND(H894-AR894,0)&amp;" Stk / CHF "&amp;ROUND((H894-AR894)*G894,0)&amp;"; ","")&amp;IF(AND(CA894=1,CB894&lt;CC894),"MAX &lt; MB+LG; ","")&amp;IF(AND(CG894&gt;0,CF894*10&gt;CG894),"zu hoch für Tablar; ","")&amp;IF(AND(BP894=0,OR(CA894=1,AA894&lt;&gt;"",U894&lt;&gt;"",V894&lt;&gt;"",AB894&lt;&gt;"")),"manuell übersteuert; ","")&amp;IF(AND(BT894=0,R894=0),"Gebinde unbekannt / Stellmass fehlt; ","")&amp;IF(AND(BT894=0,N(V894)&lt;=0,N(Q894)&lt;=0),"Menge pro Gebinde fehlt (Ist = 1 Gebinde); ","")&amp;BO894)</f>
        <v>negativer Bestand (Export -129); Kein Verbrauch; Überbestand 371 Stk / CHF 89; Handlager</v>
      </c>
      <c r="BH894" s="55"/>
      <c r="BI894" s="55"/>
      <c r="BJ894" s="62"/>
      <c r="BK894" s="57" t="n">
        <v>-129</v>
      </c>
      <c r="BL894" s="57" t="n">
        <v>900</v>
      </c>
      <c r="BM894" s="56" t="n">
        <v>-30.96</v>
      </c>
      <c r="BN894" s="57" t="n">
        <v>0</v>
      </c>
      <c r="BO894" s="55" t="s">
        <v>895</v>
      </c>
      <c r="BP894" s="60" t="n">
        <v>0</v>
      </c>
      <c r="BQ894" s="60" t="n">
        <v>894</v>
      </c>
      <c r="BR894" s="55" t="str">
        <f aca="false">IF(U894&lt;&gt;"",UPPER(TRIM(U894)),IF(BU894=1,UPPER(VLOOKUP(T894,Parameter!$I$27:$K$29,2,0)),IF(P894="","LOSE",P894)))</f>
        <v>S51</v>
      </c>
      <c r="BS894" s="57" t="n">
        <f aca="false">IF(BR894="LOSE",1,IF(N(V894)&gt;0,V894,IF(BU894=1,MAX(1,N(VLOOKUP(T894,Parameter!$I$27:$K$29,3,0)),H894,N(N894)),IF(N(Q894)&gt;0,Q894,MAX(1,H894)))))</f>
        <v>400</v>
      </c>
      <c r="BT894" s="60" t="n">
        <f aca="false">IF(BR894="LOSE",1,0)</f>
        <v>0</v>
      </c>
      <c r="BU894" s="60" t="n">
        <f aca="false">IF(AND(U894="",OR(P894="",P894="LOSE"),T894&lt;&gt;"",N(S894)&lt;=0,ISNUMBER(MATCH(T894,Parameter!$I$27:$I$29,0))),1,0)</f>
        <v>0</v>
      </c>
      <c r="BV894" s="55" t="str">
        <f aca="false">IF(AND(Parameter!$B$19="Ja",E894&lt;&gt;"",ISNUMBER(MATCH(E894,Parameter!$I$35:$I$52,0))),VLOOKUP(E894,Parameter!$I$35:$J$52,2,0),IFERROR(VLOOKUP(D894,Parameter!$A$35:$C$64,2,0),"Nein"))</f>
        <v>2+3</v>
      </c>
      <c r="BW894" s="59" t="n">
        <f aca="false">IF(BT894=0,0,IF(N(S894)&gt;0,S894,IFERROR(VLOOKUP(D894,Parameter!$A$35:$C$64,3,0)+0,0)))</f>
        <v>0</v>
      </c>
      <c r="BX894" s="55" t="n">
        <f aca="false">IF(AA894&lt;&gt;"",AA894,Z894)</f>
        <v>3</v>
      </c>
      <c r="BY894" s="55" t="str">
        <f aca="false">IF(BX894=1,"L1",IF(OR(BX894=2,BX894=3),"L23",IF(BX894="Aussen","Aussen","-")))</f>
        <v>L23</v>
      </c>
      <c r="BZ894" s="66" t="n">
        <f aca="false">IF(N(AB894)&gt;0,AB894,0)</f>
        <v>0</v>
      </c>
      <c r="CA894" s="60" t="n">
        <f aca="false">IF(ISNUMBER(AE894),1,0)</f>
        <v>0</v>
      </c>
      <c r="CB894" s="57" t="n">
        <f aca="false">N(AE894)</f>
        <v>0</v>
      </c>
      <c r="CC894" s="57" t="n">
        <f aca="false">N(M894)+N(N894)</f>
        <v>2</v>
      </c>
      <c r="CD894" s="57" t="n">
        <f aca="false">ROUNDUP(H894/BS894,0)</f>
        <v>2</v>
      </c>
      <c r="CE894" s="57" t="n">
        <f aca="false">ROUNDUP(CB894/BS894,0)</f>
        <v>0</v>
      </c>
      <c r="CF894" s="60" t="n">
        <f aca="false">IF(BT894=1,0,IFERROR(VLOOKUP(BR894,'Gebinde-Kategorie'!$A$5:$M$45,5,0)+0,0))</f>
        <v>11</v>
      </c>
      <c r="CG894" s="60" t="n">
        <f aca="false">IFERROR(IF(OR(BX894=1,BX894=2,BX894=3),N(INDEX(Parameter!$I$5:$I$7,BX894)),0),0)</f>
        <v>0</v>
      </c>
      <c r="CH894" s="59" t="n">
        <f aca="false">IF(AND(Parameter!$B$21="Ja",ISNUMBER(W894),N(X894)&gt;0),IFERROR(N(INDEX(Parameter!$L$5:$L$7,W894))*INDEX(Parameter!$E$5:$E$7,W894)*X894/SUMIFS($X$7:$X$1843,$W$7:$W$1843,W894),0),0)</f>
        <v>0</v>
      </c>
    </row>
    <row r="895" customFormat="false" ht="15" hidden="false" customHeight="false" outlineLevel="0" collapsed="false">
      <c r="A895" s="55" t="s">
        <v>1688</v>
      </c>
      <c r="B895" s="55" t="s">
        <v>468</v>
      </c>
      <c r="C895" s="55" t="s">
        <v>164</v>
      </c>
      <c r="D895" s="55" t="s">
        <v>184</v>
      </c>
      <c r="E895" s="55" t="s">
        <v>185</v>
      </c>
      <c r="F895" s="55" t="s">
        <v>218</v>
      </c>
      <c r="G895" s="56" t="n">
        <v>0.11</v>
      </c>
      <c r="H895" s="57" t="n">
        <f aca="false">MAX(0,IF(AND(Parameter!$B$21="Ja",ISNUMBER(Y895)),Y895,IF(Parameter!$B$20="Jahresanfang 2025 + Export",BL895+BK895,BK895)))</f>
        <v>203</v>
      </c>
      <c r="I895" s="57" t="n">
        <f aca="false">H895*G895</f>
        <v>22.33</v>
      </c>
      <c r="J895" s="57" t="n">
        <f aca="false">BN895*Parameter!$B$18</f>
        <v>524</v>
      </c>
      <c r="K895" s="58" t="n">
        <v>485.5</v>
      </c>
      <c r="L895" s="59" t="n">
        <v>1.07929969104017</v>
      </c>
      <c r="M895" s="57" t="n">
        <v>20</v>
      </c>
      <c r="N895" s="57" t="n">
        <v>525</v>
      </c>
      <c r="O895" s="60" t="n">
        <v>14</v>
      </c>
      <c r="P895" s="55" t="s">
        <v>421</v>
      </c>
      <c r="Q895" s="57" t="n">
        <v>831</v>
      </c>
      <c r="R895" s="60" t="n">
        <f aca="false">IF(BT895=1,0,IFERROR(VLOOKUP(BR895,'Gebinde-Kategorie'!$A$5:$M$45,13,0)+0,0))</f>
        <v>132</v>
      </c>
      <c r="S895" s="61"/>
      <c r="T895" s="62"/>
      <c r="U895" s="62"/>
      <c r="V895" s="62"/>
      <c r="W895" s="55"/>
      <c r="X895" s="57"/>
      <c r="Y895" s="57"/>
      <c r="Z895" s="55" t="n">
        <f aca="false">IF(A895="","",IF(AND(Parameter!$B$21="Ja",ISNUMBER(W895)),W895,IF(BV895="2+3",IF(ISNUMBER(SEARCH("grosser Artikel",BO895)),2,IFERROR(VLOOKUP(BR895,Parameter!$F$35:$G$64,2,0),2)),IF(OR(BV895="Nein",BV895=""),"-",BV895))))</f>
        <v>3</v>
      </c>
      <c r="AA895" s="62"/>
      <c r="AB895" s="63"/>
      <c r="AC895" s="57" t="n">
        <f aca="false">AR895</f>
        <v>831</v>
      </c>
      <c r="AD895" s="57" t="n">
        <f aca="false">MAX(AR895,H895)</f>
        <v>831</v>
      </c>
      <c r="AE895" s="64"/>
      <c r="AF895" s="57" t="n">
        <f aca="false">IF(LEFT(Cockpit!$C$5,1)="A",H895,IF(CA895=1,CB895,IF(LEFT(Cockpit!$C$5,1)="B",AJ895,MAX(AJ895,H895))))</f>
        <v>203</v>
      </c>
      <c r="AG895" s="57" t="n">
        <f aca="false">IF(BT895=1,0,ROUNDUP(AF895/BS895,0))</f>
        <v>1</v>
      </c>
      <c r="AH895" s="59" t="n">
        <f aca="false">IF(CH895&gt;0,CH895*MAX(1,AF895/X895),IF(BT895=1,IF(AF895&lt;=0,0,BW895*MAX(1,IF(H895&gt;0,AF895/H895,1))),IF(R895&gt;0,AG895/R895,0))/MAX(0.1,N(Parameter!$M$21)))</f>
        <v>0.00757575757575758</v>
      </c>
      <c r="AI895" s="57" t="n">
        <f aca="false">AF895*G895</f>
        <v>22.33</v>
      </c>
      <c r="AJ895" s="57" t="n">
        <f aca="false">ROUNDUP(MAX(J895/IF(BZ895&gt;0,BZ895,MAX(0.1,N(Cockpit!$C$6))),CC895)/BS895,0)*BS895</f>
        <v>831</v>
      </c>
      <c r="AK895" s="58" t="n">
        <f aca="false">IF(AH895&gt;0,J895/AH895,-1)</f>
        <v>69168</v>
      </c>
      <c r="AL895" s="58" t="n">
        <f aca="false">IF(AND(OR(BY895="L1",BY895="L23"),AH895&gt;0),SUMIFS($AH$7:$AH$1843,$BY$7:$BY$1843,BY895,$AK$7:$AK$1843,"&gt;"&amp;AK895)+SUMIFS($AH$7:$AH$1843,$BY$7:$BY$1843,BY895,$AK$7:$AK$1843,AK895,$BQ$7:$BQ$1843,"&lt;="&amp;BQ895),"")</f>
        <v>0.922173237390629</v>
      </c>
      <c r="AM895" s="65" t="n">
        <f aca="false">IF(AL895="",0,MAX(0,MIN(1,(IF(BY895="L1",Parameter!$E$5,Parameter!$E$6+Parameter!$E$7)-(AL895-AH895))/AH895)))</f>
        <v>1</v>
      </c>
      <c r="AN895" s="57" t="n">
        <f aca="false">IF(LEFT(Cockpit!$I$5,1)="A",H895,IF(CA895=1,CB895,IF(LEFT(Cockpit!$I$5,1)="B",AR895,MAX(AR895,H895))))</f>
        <v>831</v>
      </c>
      <c r="AO895" s="57" t="n">
        <f aca="false">IF(BT895=1,0,ROUNDUP(AN895/BS895,0))</f>
        <v>1</v>
      </c>
      <c r="AP895" s="59" t="n">
        <f aca="false">IF(CH895&gt;0,CH895*MAX(1,AN895/X895),IF(BT895=1,IF(AN895&lt;=0,0,BW895*MAX(1,IF(H895&gt;0,AN895/H895,1))),IF(R895&gt;0,AO895/R895,0))/MAX(0.1,N(Parameter!$M$21)))</f>
        <v>0.00757575757575758</v>
      </c>
      <c r="AQ895" s="57" t="n">
        <f aca="false">AN895*G895</f>
        <v>91.41</v>
      </c>
      <c r="AR895" s="57" t="n">
        <f aca="false">ROUNDUP(MAX(J895/IF(BZ895&gt;0,BZ895,MAX(0.1,N(Cockpit!$I$6))),CC895)/BS895,0)*BS895</f>
        <v>831</v>
      </c>
      <c r="AS895" s="58" t="n">
        <f aca="false">IF(AP895&gt;0,J895/AP895,-1)</f>
        <v>69168</v>
      </c>
      <c r="AT895" s="58" t="n">
        <f aca="false">IF(AND(OR(BY895="L1",BY895="L23"),AP895&gt;0),SUMIFS($AP$7:$AP$1843,$BY$7:$BY$1843,BY895,$AS$7:$AS$1843,"&gt;"&amp;AS895)+SUMIFS($AP$7:$AP$1843,$BY$7:$BY$1843,BY895,$AS$7:$AS$1843,AS895,$BQ$7:$BQ$1843,"&lt;="&amp;BQ895),"")</f>
        <v>0.459967568663221</v>
      </c>
      <c r="AU895" s="65" t="n">
        <f aca="false">IF(AT895="",0,MAX(0,MIN(1,(IF(BY895="L1",Parameter!$E$5,Parameter!$E$6+Parameter!$E$7)-(AT895-AP895))/AP895)))</f>
        <v>1</v>
      </c>
      <c r="AV895" s="57" t="n">
        <f aca="false">IF(LEFT(Cockpit!$O$5,1)="A",H895,IF(CA895=1,CB895,IF(LEFT(Cockpit!$O$5,1)="B",AZ895,MAX(AZ895,H895))))</f>
        <v>831</v>
      </c>
      <c r="AW895" s="57" t="n">
        <f aca="false">IF(BT895=1,0,ROUNDUP(AV895/BS895,0))</f>
        <v>1</v>
      </c>
      <c r="AX895" s="59" t="n">
        <f aca="false">IF(CH895&gt;0,CH895*MAX(1,AV895/X895),IF(BT895=1,IF(AV895&lt;=0,0,BW895*MAX(1,IF(H895&gt;0,AV895/H895,1))),IF(R895&gt;0,AW895/R895,0))/MAX(0.1,N(Parameter!$M$21)))</f>
        <v>0.00757575757575758</v>
      </c>
      <c r="AY895" s="57" t="n">
        <f aca="false">AV895*G895</f>
        <v>91.41</v>
      </c>
      <c r="AZ895" s="57" t="n">
        <f aca="false">ROUNDUP(MAX(J895/IF(BZ895&gt;0,BZ895,MAX(0.1,N(Cockpit!$O$6))),CC895)/BS895,0)*BS895</f>
        <v>831</v>
      </c>
      <c r="BA895" s="58" t="n">
        <f aca="false">IF(AX895&gt;0,J895/AX895,-1)</f>
        <v>69168</v>
      </c>
      <c r="BB895" s="58" t="n">
        <f aca="false">IF(AND(OR(BY895="L1",BY895="L23"),AX895&gt;0),SUMIFS($AX$7:$AX$1843,$BY$7:$BY$1843,BY895,$BA$7:$BA$1843,"&gt;"&amp;BA895)+SUMIFS($AX$7:$AX$1843,$BY$7:$BY$1843,BY895,$BA$7:$BA$1843,BA895,$BQ$7:$BQ$1843,"&lt;="&amp;BQ895),"")</f>
        <v>0.705888314583967</v>
      </c>
      <c r="BC895" s="65" t="n">
        <f aca="false">IF(BB895="",0,MAX(0,MIN(1,(IF(BY895="L1",Parameter!$E$5,Parameter!$E$6+Parameter!$E$7)-(BB895-AX895))/AX895)))</f>
        <v>1</v>
      </c>
      <c r="BD895" s="55" t="str">
        <f aca="false">IF(AH895&lt;=0,"",IF(BY895="Aussen","Aussenlager",IF(BY895="-","Nicht im Lift",IF(AM895&gt;=1,"Lift",IF(AM895&lt;=0,"Aussenlager","teilweise")))))</f>
        <v>Lift</v>
      </c>
      <c r="BE895" s="55" t="str">
        <f aca="false">IF(AP895&lt;=0,"",IF(BY895="Aussen","Aussenlager",IF(BY895="-","Nicht im Lift",IF(AU895&gt;=1,"Lift",IF(AU895&lt;=0,"Aussenlager","teilweise")))))</f>
        <v>Lift</v>
      </c>
      <c r="BF895" s="55" t="str">
        <f aca="false">IF(AX895&lt;=0,"",IF(BY895="Aussen","Aussenlager",IF(BY895="-","Nicht im Lift",IF(BC895&gt;=1,"Lift",IF(BC895&lt;=0,"Aussenlager","teilweise")))))</f>
        <v>Lift</v>
      </c>
      <c r="BG895" s="55" t="str">
        <f aca="false">IF(A895="","",IF(BP895=1,"Neu; ","")&amp;IF(AND(BP895=0,BK895&lt;0),"negativer Bestand (Export "&amp;BK895&amp;"); ","")&amp;IF(J895&lt;=0,"Kein Verbrauch; ","")&amp;IF(CH895&gt;0,"Lift "&amp;W895&amp;" lt. Liftbericht (Fach "&amp;X895&amp;" Stk); ",IF(BU895=1,"Gebinde geschätzt ("&amp;T895&amp;"); ",IF(BT895=1,"Lose – Tablare geschätzt; ","")))&amp;IF(H895&gt;AR895,"Überbestand "&amp;ROUND(H895-AR895,0)&amp;" Stk / CHF "&amp;ROUND((H895-AR895)*G895,0)&amp;"; ","")&amp;IF(AND(CA895=1,CB895&lt;CC895),"MAX &lt; MB+LG; ","")&amp;IF(AND(CG895&gt;0,CF895*10&gt;CG895),"zu hoch für Tablar; ","")&amp;IF(AND(BP895=0,OR(CA895=1,AA895&lt;&gt;"",U895&lt;&gt;"",V895&lt;&gt;"",AB895&lt;&gt;"")),"manuell übersteuert; ","")&amp;IF(AND(BT895=0,R895=0),"Gebinde unbekannt / Stellmass fehlt; ","")&amp;IF(AND(BT895=0,N(V895)&lt;=0,N(Q895)&lt;=0),"Menge pro Gebinde fehlt (Ist = 1 Gebinde); ","")&amp;BO895)</f>
        <v>negativer Bestand (Export -282); </v>
      </c>
      <c r="BH895" s="55"/>
      <c r="BI895" s="55"/>
      <c r="BJ895" s="62"/>
      <c r="BK895" s="57" t="n">
        <v>-282</v>
      </c>
      <c r="BL895" s="57" t="n">
        <v>485</v>
      </c>
      <c r="BM895" s="56" t="n">
        <v>-31.0200000000001</v>
      </c>
      <c r="BN895" s="57" t="n">
        <v>524</v>
      </c>
      <c r="BO895" s="55"/>
      <c r="BP895" s="60" t="n">
        <v>0</v>
      </c>
      <c r="BQ895" s="60" t="n">
        <v>895</v>
      </c>
      <c r="BR895" s="55" t="str">
        <f aca="false">IF(U895&lt;&gt;"",UPPER(TRIM(U895)),IF(BU895=1,UPPER(VLOOKUP(T895,Parameter!$I$27:$K$29,2,0)),IF(P895="","LOSE",P895)))</f>
        <v>S32</v>
      </c>
      <c r="BS895" s="57" t="n">
        <f aca="false">IF(BR895="LOSE",1,IF(N(V895)&gt;0,V895,IF(BU895=1,MAX(1,N(VLOOKUP(T895,Parameter!$I$27:$K$29,3,0)),H895,N(N895)),IF(N(Q895)&gt;0,Q895,MAX(1,H895)))))</f>
        <v>831</v>
      </c>
      <c r="BT895" s="60" t="n">
        <f aca="false">IF(BR895="LOSE",1,0)</f>
        <v>0</v>
      </c>
      <c r="BU895" s="60" t="n">
        <f aca="false">IF(AND(U895="",OR(P895="",P895="LOSE"),T895&lt;&gt;"",N(S895)&lt;=0,ISNUMBER(MATCH(T895,Parameter!$I$27:$I$29,0))),1,0)</f>
        <v>0</v>
      </c>
      <c r="BV895" s="55" t="str">
        <f aca="false">IF(AND(Parameter!$B$19="Ja",E895&lt;&gt;"",ISNUMBER(MATCH(E895,Parameter!$I$35:$I$52,0))),VLOOKUP(E895,Parameter!$I$35:$J$52,2,0),IFERROR(VLOOKUP(D895,Parameter!$A$35:$C$64,2,0),"Nein"))</f>
        <v>2+3</v>
      </c>
      <c r="BW895" s="59" t="n">
        <f aca="false">IF(BT895=0,0,IF(N(S895)&gt;0,S895,IFERROR(VLOOKUP(D895,Parameter!$A$35:$C$64,3,0)+0,0)))</f>
        <v>0</v>
      </c>
      <c r="BX895" s="55" t="n">
        <f aca="false">IF(AA895&lt;&gt;"",AA895,Z895)</f>
        <v>3</v>
      </c>
      <c r="BY895" s="55" t="str">
        <f aca="false">IF(BX895=1,"L1",IF(OR(BX895=2,BX895=3),"L23",IF(BX895="Aussen","Aussen","-")))</f>
        <v>L23</v>
      </c>
      <c r="BZ895" s="66" t="n">
        <f aca="false">IF(N(AB895)&gt;0,AB895,0)</f>
        <v>0</v>
      </c>
      <c r="CA895" s="60" t="n">
        <f aca="false">IF(ISNUMBER(AE895),1,0)</f>
        <v>0</v>
      </c>
      <c r="CB895" s="57" t="n">
        <f aca="false">N(AE895)</f>
        <v>0</v>
      </c>
      <c r="CC895" s="57" t="n">
        <f aca="false">N(M895)+N(N895)</f>
        <v>545</v>
      </c>
      <c r="CD895" s="57" t="n">
        <f aca="false">ROUNDUP(H895/BS895,0)</f>
        <v>1</v>
      </c>
      <c r="CE895" s="57" t="n">
        <f aca="false">ROUNDUP(CB895/BS895,0)</f>
        <v>0</v>
      </c>
      <c r="CF895" s="60" t="n">
        <f aca="false">IF(BT895=1,0,IFERROR(VLOOKUP(BR895,'Gebinde-Kategorie'!$A$5:$M$45,5,0)+0,0))</f>
        <v>8</v>
      </c>
      <c r="CG895" s="60" t="n">
        <f aca="false">IFERROR(IF(OR(BX895=1,BX895=2,BX895=3),N(INDEX(Parameter!$I$5:$I$7,BX895)),0),0)</f>
        <v>0</v>
      </c>
      <c r="CH895" s="59" t="n">
        <f aca="false">IF(AND(Parameter!$B$21="Ja",ISNUMBER(W895),N(X895)&gt;0),IFERROR(N(INDEX(Parameter!$L$5:$L$7,W895))*INDEX(Parameter!$E$5:$E$7,W895)*X895/SUMIFS($X$7:$X$1843,$W$7:$W$1843,W895),0),0)</f>
        <v>0</v>
      </c>
    </row>
    <row r="896" customFormat="false" ht="15" hidden="false" customHeight="false" outlineLevel="0" collapsed="false">
      <c r="A896" s="55" t="s">
        <v>1689</v>
      </c>
      <c r="B896" s="55" t="s">
        <v>724</v>
      </c>
      <c r="C896" s="55" t="s">
        <v>164</v>
      </c>
      <c r="D896" s="55" t="s">
        <v>184</v>
      </c>
      <c r="E896" s="55" t="s">
        <v>185</v>
      </c>
      <c r="F896" s="55" t="s">
        <v>218</v>
      </c>
      <c r="G896" s="56" t="n">
        <v>13.68</v>
      </c>
      <c r="H896" s="57" t="n">
        <f aca="false">MAX(0,IF(AND(Parameter!$B$21="Ja",ISNUMBER(Y896)),Y896,IF(Parameter!$B$20="Jahresanfang 2025 + Export",BL896+BK896,BK896)))</f>
        <v>6</v>
      </c>
      <c r="I896" s="57" t="n">
        <f aca="false">H896*G896</f>
        <v>82.08</v>
      </c>
      <c r="J896" s="57" t="n">
        <f aca="false">BN896*Parameter!$B$18</f>
        <v>9</v>
      </c>
      <c r="K896" s="58" t="n">
        <v>7</v>
      </c>
      <c r="L896" s="59" t="n">
        <v>1.28571428571429</v>
      </c>
      <c r="M896" s="57" t="n">
        <v>0</v>
      </c>
      <c r="N896" s="57" t="n">
        <v>10</v>
      </c>
      <c r="O896" s="60" t="n">
        <v>19</v>
      </c>
      <c r="P896" s="55" t="s">
        <v>421</v>
      </c>
      <c r="Q896" s="57" t="n">
        <v>18</v>
      </c>
      <c r="R896" s="60" t="n">
        <f aca="false">IF(BT896=1,0,IFERROR(VLOOKUP(BR896,'Gebinde-Kategorie'!$A$5:$M$45,13,0)+0,0))</f>
        <v>132</v>
      </c>
      <c r="S896" s="61"/>
      <c r="T896" s="62"/>
      <c r="U896" s="62"/>
      <c r="V896" s="62"/>
      <c r="W896" s="55"/>
      <c r="X896" s="57"/>
      <c r="Y896" s="57"/>
      <c r="Z896" s="55" t="n">
        <f aca="false">IF(A896="","",IF(AND(Parameter!$B$21="Ja",ISNUMBER(W896)),W896,IF(BV896="2+3",IF(ISNUMBER(SEARCH("grosser Artikel",BO896)),2,IFERROR(VLOOKUP(BR896,Parameter!$F$35:$G$64,2,0),2)),IF(OR(BV896="Nein",BV896=""),"-",BV896))))</f>
        <v>3</v>
      </c>
      <c r="AA896" s="62"/>
      <c r="AB896" s="63"/>
      <c r="AC896" s="57" t="n">
        <f aca="false">AR896</f>
        <v>18</v>
      </c>
      <c r="AD896" s="57" t="n">
        <f aca="false">MAX(AR896,H896)</f>
        <v>18</v>
      </c>
      <c r="AE896" s="64"/>
      <c r="AF896" s="57" t="n">
        <f aca="false">IF(LEFT(Cockpit!$C$5,1)="A",H896,IF(CA896=1,CB896,IF(LEFT(Cockpit!$C$5,1)="B",AJ896,MAX(AJ896,H896))))</f>
        <v>6</v>
      </c>
      <c r="AG896" s="57" t="n">
        <f aca="false">IF(BT896=1,0,ROUNDUP(AF896/BS896,0))</f>
        <v>1</v>
      </c>
      <c r="AH896" s="59" t="n">
        <f aca="false">IF(CH896&gt;0,CH896*MAX(1,AF896/X896),IF(BT896=1,IF(AF896&lt;=0,0,BW896*MAX(1,IF(H896&gt;0,AF896/H896,1))),IF(R896&gt;0,AG896/R896,0))/MAX(0.1,N(Parameter!$M$21)))</f>
        <v>0.00757575757575758</v>
      </c>
      <c r="AI896" s="57" t="n">
        <f aca="false">AF896*G896</f>
        <v>82.08</v>
      </c>
      <c r="AJ896" s="57" t="n">
        <f aca="false">ROUNDUP(MAX(J896/IF(BZ896&gt;0,BZ896,MAX(0.1,N(Cockpit!$C$6))),CC896)/BS896,0)*BS896</f>
        <v>18</v>
      </c>
      <c r="AK896" s="58" t="n">
        <f aca="false">IF(AH896&gt;0,J896/AH896,-1)</f>
        <v>1188</v>
      </c>
      <c r="AL896" s="58" t="n">
        <f aca="false">IF(AND(OR(BY896="L1",BY896="L23"),AH896&gt;0),SUMIFS($AH$7:$AH$1843,$BY$7:$BY$1843,BY896,$AK$7:$AK$1843,"&gt;"&amp;AK896)+SUMIFS($AH$7:$AH$1843,$BY$7:$BY$1843,BY896,$AK$7:$AK$1843,AK896,$BQ$7:$BQ$1843,"&lt;="&amp;BQ896),"")</f>
        <v>16.6874683287727</v>
      </c>
      <c r="AM896" s="65" t="n">
        <f aca="false">IF(AL896="",0,MAX(0,MIN(1,(IF(BY896="L1",Parameter!$E$5,Parameter!$E$6+Parameter!$E$7)-(AL896-AH896))/AH896)))</f>
        <v>1</v>
      </c>
      <c r="AN896" s="57" t="n">
        <f aca="false">IF(LEFT(Cockpit!$I$5,1)="A",H896,IF(CA896=1,CB896,IF(LEFT(Cockpit!$I$5,1)="B",AR896,MAX(AR896,H896))))</f>
        <v>18</v>
      </c>
      <c r="AO896" s="57" t="n">
        <f aca="false">IF(BT896=1,0,ROUNDUP(AN896/BS896,0))</f>
        <v>1</v>
      </c>
      <c r="AP896" s="59" t="n">
        <f aca="false">IF(CH896&gt;0,CH896*MAX(1,AN896/X896),IF(BT896=1,IF(AN896&lt;=0,0,BW896*MAX(1,IF(H896&gt;0,AN896/H896,1))),IF(R896&gt;0,AO896/R896,0))/MAX(0.1,N(Parameter!$M$21)))</f>
        <v>0.00757575757575758</v>
      </c>
      <c r="AQ896" s="57" t="n">
        <f aca="false">AN896*G896</f>
        <v>246.24</v>
      </c>
      <c r="AR896" s="57" t="n">
        <f aca="false">ROUNDUP(MAX(J896/IF(BZ896&gt;0,BZ896,MAX(0.1,N(Cockpit!$I$6))),CC896)/BS896,0)*BS896</f>
        <v>18</v>
      </c>
      <c r="AS896" s="58" t="n">
        <f aca="false">IF(AP896&gt;0,J896/AP896,-1)</f>
        <v>1188</v>
      </c>
      <c r="AT896" s="58" t="n">
        <f aca="false">IF(AND(OR(BY896="L1",BY896="L23"),AP896&gt;0),SUMIFS($AP$7:$AP$1843,$BY$7:$BY$1843,BY896,$AS$7:$AS$1843,"&gt;"&amp;AS896)+SUMIFS($AP$7:$AP$1843,$BY$7:$BY$1843,BY896,$AS$7:$AS$1843,AS896,$BQ$7:$BQ$1843,"&lt;="&amp;BQ896),"")</f>
        <v>22.3118813553596</v>
      </c>
      <c r="AU896" s="65" t="n">
        <f aca="false">IF(AT896="",0,MAX(0,MIN(1,(IF(BY896="L1",Parameter!$E$5,Parameter!$E$6+Parameter!$E$7)-(AT896-AP896))/AP896)))</f>
        <v>1</v>
      </c>
      <c r="AV896" s="57" t="n">
        <f aca="false">IF(LEFT(Cockpit!$O$5,1)="A",H896,IF(CA896=1,CB896,IF(LEFT(Cockpit!$O$5,1)="B",AZ896,MAX(AZ896,H896))))</f>
        <v>18</v>
      </c>
      <c r="AW896" s="57" t="n">
        <f aca="false">IF(BT896=1,0,ROUNDUP(AV896/BS896,0))</f>
        <v>1</v>
      </c>
      <c r="AX896" s="59" t="n">
        <f aca="false">IF(CH896&gt;0,CH896*MAX(1,AV896/X896),IF(BT896=1,IF(AV896&lt;=0,0,BW896*MAX(1,IF(H896&gt;0,AV896/H896,1))),IF(R896&gt;0,AW896/R896,0))/MAX(0.1,N(Parameter!$M$21)))</f>
        <v>0.00757575757575758</v>
      </c>
      <c r="AY896" s="57" t="n">
        <f aca="false">AV896*G896</f>
        <v>246.24</v>
      </c>
      <c r="AZ896" s="57" t="n">
        <f aca="false">ROUNDUP(MAX(J896/IF(BZ896&gt;0,BZ896,MAX(0.1,N(Cockpit!$O$6))),CC896)/BS896,0)*BS896</f>
        <v>18</v>
      </c>
      <c r="BA896" s="58" t="n">
        <f aca="false">IF(AX896&gt;0,J896/AX896,-1)</f>
        <v>1188</v>
      </c>
      <c r="BB896" s="58" t="n">
        <f aca="false">IF(AND(OR(BY896="L1",BY896="L23"),AX896&gt;0),SUMIFS($AX$7:$AX$1843,$BY$7:$BY$1843,BY896,$BA$7:$BA$1843,"&gt;"&amp;BA896)+SUMIFS($AX$7:$AX$1843,$BY$7:$BY$1843,BY896,$BA$7:$BA$1843,BA896,$BQ$7:$BQ$1843,"&lt;="&amp;BQ896),"")</f>
        <v>21.2571028005811</v>
      </c>
      <c r="BC896" s="65" t="n">
        <f aca="false">IF(BB896="",0,MAX(0,MIN(1,(IF(BY896="L1",Parameter!$E$5,Parameter!$E$6+Parameter!$E$7)-(BB896-AX896))/AX896)))</f>
        <v>1</v>
      </c>
      <c r="BD896" s="55" t="str">
        <f aca="false">IF(AH896&lt;=0,"",IF(BY896="Aussen","Aussenlager",IF(BY896="-","Nicht im Lift",IF(AM896&gt;=1,"Lift",IF(AM896&lt;=0,"Aussenlager","teilweise")))))</f>
        <v>Lift</v>
      </c>
      <c r="BE896" s="55" t="str">
        <f aca="false">IF(AP896&lt;=0,"",IF(BY896="Aussen","Aussenlager",IF(BY896="-","Nicht im Lift",IF(AU896&gt;=1,"Lift",IF(AU896&lt;=0,"Aussenlager","teilweise")))))</f>
        <v>Lift</v>
      </c>
      <c r="BF896" s="55" t="str">
        <f aca="false">IF(AX896&lt;=0,"",IF(BY896="Aussen","Aussenlager",IF(BY896="-","Nicht im Lift",IF(BC896&gt;=1,"Lift",IF(BC896&lt;=0,"Aussenlager","teilweise")))))</f>
        <v>Lift</v>
      </c>
      <c r="BG896" s="55" t="str">
        <f aca="false">IF(A896="","",IF(BP896=1,"Neu; ","")&amp;IF(AND(BP896=0,BK896&lt;0),"negativer Bestand (Export "&amp;BK896&amp;"); ","")&amp;IF(J896&lt;=0,"Kein Verbrauch; ","")&amp;IF(CH896&gt;0,"Lift "&amp;W896&amp;" lt. Liftbericht (Fach "&amp;X896&amp;" Stk); ",IF(BU896=1,"Gebinde geschätzt ("&amp;T896&amp;"); ",IF(BT896=1,"Lose – Tablare geschätzt; ","")))&amp;IF(H896&gt;AR896,"Überbestand "&amp;ROUND(H896-AR896,0)&amp;" Stk / CHF "&amp;ROUND((H896-AR896)*G896,0)&amp;"; ","")&amp;IF(AND(CA896=1,CB896&lt;CC896),"MAX &lt; MB+LG; ","")&amp;IF(AND(CG896&gt;0,CF896*10&gt;CG896),"zu hoch für Tablar; ","")&amp;IF(AND(BP896=0,OR(CA896=1,AA896&lt;&gt;"",U896&lt;&gt;"",V896&lt;&gt;"",AB896&lt;&gt;"")),"manuell übersteuert; ","")&amp;IF(AND(BT896=0,R896=0),"Gebinde unbekannt / Stellmass fehlt; ","")&amp;IF(AND(BT896=0,N(V896)&lt;=0,N(Q896)&lt;=0),"Menge pro Gebinde fehlt (Ist = 1 Gebinde); ","")&amp;BO896)</f>
        <v>negativer Bestand (Export -1); </v>
      </c>
      <c r="BH896" s="55"/>
      <c r="BI896" s="55"/>
      <c r="BJ896" s="62"/>
      <c r="BK896" s="57" t="n">
        <v>-1</v>
      </c>
      <c r="BL896" s="57" t="n">
        <v>7</v>
      </c>
      <c r="BM896" s="56" t="n">
        <v>-31.74</v>
      </c>
      <c r="BN896" s="57" t="n">
        <v>9</v>
      </c>
      <c r="BO896" s="55"/>
      <c r="BP896" s="60" t="n">
        <v>0</v>
      </c>
      <c r="BQ896" s="60" t="n">
        <v>896</v>
      </c>
      <c r="BR896" s="55" t="str">
        <f aca="false">IF(U896&lt;&gt;"",UPPER(TRIM(U896)),IF(BU896=1,UPPER(VLOOKUP(T896,Parameter!$I$27:$K$29,2,0)),IF(P896="","LOSE",P896)))</f>
        <v>S32</v>
      </c>
      <c r="BS896" s="57" t="n">
        <f aca="false">IF(BR896="LOSE",1,IF(N(V896)&gt;0,V896,IF(BU896=1,MAX(1,N(VLOOKUP(T896,Parameter!$I$27:$K$29,3,0)),H896,N(N896)),IF(N(Q896)&gt;0,Q896,MAX(1,H896)))))</f>
        <v>18</v>
      </c>
      <c r="BT896" s="60" t="n">
        <f aca="false">IF(BR896="LOSE",1,0)</f>
        <v>0</v>
      </c>
      <c r="BU896" s="60" t="n">
        <f aca="false">IF(AND(U896="",OR(P896="",P896="LOSE"),T896&lt;&gt;"",N(S896)&lt;=0,ISNUMBER(MATCH(T896,Parameter!$I$27:$I$29,0))),1,0)</f>
        <v>0</v>
      </c>
      <c r="BV896" s="55" t="str">
        <f aca="false">IF(AND(Parameter!$B$19="Ja",E896&lt;&gt;"",ISNUMBER(MATCH(E896,Parameter!$I$35:$I$52,0))),VLOOKUP(E896,Parameter!$I$35:$J$52,2,0),IFERROR(VLOOKUP(D896,Parameter!$A$35:$C$64,2,0),"Nein"))</f>
        <v>2+3</v>
      </c>
      <c r="BW896" s="59" t="n">
        <f aca="false">IF(BT896=0,0,IF(N(S896)&gt;0,S896,IFERROR(VLOOKUP(D896,Parameter!$A$35:$C$64,3,0)+0,0)))</f>
        <v>0</v>
      </c>
      <c r="BX896" s="55" t="n">
        <f aca="false">IF(AA896&lt;&gt;"",AA896,Z896)</f>
        <v>3</v>
      </c>
      <c r="BY896" s="55" t="str">
        <f aca="false">IF(BX896=1,"L1",IF(OR(BX896=2,BX896=3),"L23",IF(BX896="Aussen","Aussen","-")))</f>
        <v>L23</v>
      </c>
      <c r="BZ896" s="66" t="n">
        <f aca="false">IF(N(AB896)&gt;0,AB896,0)</f>
        <v>0</v>
      </c>
      <c r="CA896" s="60" t="n">
        <f aca="false">IF(ISNUMBER(AE896),1,0)</f>
        <v>0</v>
      </c>
      <c r="CB896" s="57" t="n">
        <f aca="false">N(AE896)</f>
        <v>0</v>
      </c>
      <c r="CC896" s="57" t="n">
        <f aca="false">N(M896)+N(N896)</f>
        <v>10</v>
      </c>
      <c r="CD896" s="57" t="n">
        <f aca="false">ROUNDUP(H896/BS896,0)</f>
        <v>1</v>
      </c>
      <c r="CE896" s="57" t="n">
        <f aca="false">ROUNDUP(CB896/BS896,0)</f>
        <v>0</v>
      </c>
      <c r="CF896" s="60" t="n">
        <f aca="false">IF(BT896=1,0,IFERROR(VLOOKUP(BR896,'Gebinde-Kategorie'!$A$5:$M$45,5,0)+0,0))</f>
        <v>8</v>
      </c>
      <c r="CG896" s="60" t="n">
        <f aca="false">IFERROR(IF(OR(BX896=1,BX896=2,BX896=3),N(INDEX(Parameter!$I$5:$I$7,BX896)),0),0)</f>
        <v>0</v>
      </c>
      <c r="CH896" s="59" t="n">
        <f aca="false">IF(AND(Parameter!$B$21="Ja",ISNUMBER(W896),N(X896)&gt;0),IFERROR(N(INDEX(Parameter!$L$5:$L$7,W896))*INDEX(Parameter!$E$5:$E$7,W896)*X896/SUMIFS($X$7:$X$1843,$W$7:$W$1843,W896),0),0)</f>
        <v>0</v>
      </c>
    </row>
    <row r="897" customFormat="false" ht="15" hidden="false" customHeight="false" outlineLevel="0" collapsed="false">
      <c r="A897" s="55" t="s">
        <v>1690</v>
      </c>
      <c r="B897" s="55" t="s">
        <v>1675</v>
      </c>
      <c r="C897" s="55" t="s">
        <v>164</v>
      </c>
      <c r="D897" s="55" t="s">
        <v>184</v>
      </c>
      <c r="E897" s="55"/>
      <c r="F897" s="55" t="s">
        <v>218</v>
      </c>
      <c r="G897" s="56" t="n">
        <v>0.71</v>
      </c>
      <c r="H897" s="57" t="n">
        <f aca="false">MAX(0,IF(AND(Parameter!$B$21="Ja",ISNUMBER(Y897)),Y897,IF(Parameter!$B$20="Jahresanfang 2025 + Export",BL897+BK897,BK897)))</f>
        <v>116</v>
      </c>
      <c r="I897" s="57" t="n">
        <f aca="false">H897*G897</f>
        <v>82.36</v>
      </c>
      <c r="J897" s="57" t="n">
        <f aca="false">BN897*Parameter!$B$18</f>
        <v>9</v>
      </c>
      <c r="K897" s="58" t="n">
        <v>156.5</v>
      </c>
      <c r="L897" s="59" t="n">
        <v>0.0575079872204473</v>
      </c>
      <c r="M897" s="57" t="n">
        <v>0</v>
      </c>
      <c r="N897" s="57" t="n">
        <v>10</v>
      </c>
      <c r="O897" s="60" t="n">
        <v>14</v>
      </c>
      <c r="P897" s="55" t="s">
        <v>401</v>
      </c>
      <c r="Q897" s="57" t="n">
        <v>150</v>
      </c>
      <c r="R897" s="60" t="n">
        <f aca="false">IF(BT897=1,0,IFERROR(VLOOKUP(BR897,'Gebinde-Kategorie'!$A$5:$M$45,13,0)+0,0))</f>
        <v>414</v>
      </c>
      <c r="S897" s="61"/>
      <c r="T897" s="62"/>
      <c r="U897" s="62"/>
      <c r="V897" s="62"/>
      <c r="W897" s="55"/>
      <c r="X897" s="57"/>
      <c r="Y897" s="57"/>
      <c r="Z897" s="55" t="n">
        <f aca="false">IF(A897="","",IF(AND(Parameter!$B$21="Ja",ISNUMBER(W897)),W897,IF(BV897="2+3",IF(ISNUMBER(SEARCH("grosser Artikel",BO897)),2,IFERROR(VLOOKUP(BR897,Parameter!$F$35:$G$64,2,0),2)),IF(OR(BV897="Nein",BV897=""),"-",BV897))))</f>
        <v>3</v>
      </c>
      <c r="AA897" s="62"/>
      <c r="AB897" s="63"/>
      <c r="AC897" s="57" t="n">
        <f aca="false">AR897</f>
        <v>150</v>
      </c>
      <c r="AD897" s="57" t="n">
        <f aca="false">MAX(AR897,H897)</f>
        <v>150</v>
      </c>
      <c r="AE897" s="64"/>
      <c r="AF897" s="57" t="n">
        <f aca="false">IF(LEFT(Cockpit!$C$5,1)="A",H897,IF(CA897=1,CB897,IF(LEFT(Cockpit!$C$5,1)="B",AJ897,MAX(AJ897,H897))))</f>
        <v>116</v>
      </c>
      <c r="AG897" s="57" t="n">
        <f aca="false">IF(BT897=1,0,ROUNDUP(AF897/BS897,0))</f>
        <v>1</v>
      </c>
      <c r="AH897" s="59" t="n">
        <f aca="false">IF(CH897&gt;0,CH897*MAX(1,AF897/X897),IF(BT897=1,IF(AF897&lt;=0,0,BW897*MAX(1,IF(H897&gt;0,AF897/H897,1))),IF(R897&gt;0,AG897/R897,0))/MAX(0.1,N(Parameter!$M$21)))</f>
        <v>0.00241545893719807</v>
      </c>
      <c r="AI897" s="57" t="n">
        <f aca="false">AF897*G897</f>
        <v>82.36</v>
      </c>
      <c r="AJ897" s="57" t="n">
        <f aca="false">ROUNDUP(MAX(J897/IF(BZ897&gt;0,BZ897,MAX(0.1,N(Cockpit!$C$6))),CC897)/BS897,0)*BS897</f>
        <v>150</v>
      </c>
      <c r="AK897" s="58" t="n">
        <f aca="false">IF(AH897&gt;0,J897/AH897,-1)</f>
        <v>3726</v>
      </c>
      <c r="AL897" s="58" t="n">
        <f aca="false">IF(AND(OR(BY897="L1",BY897="L23"),AH897&gt;0),SUMIFS($AH$7:$AH$1843,$BY$7:$BY$1843,BY897,$AK$7:$AK$1843,"&gt;"&amp;AK897)+SUMIFS($AH$7:$AH$1843,$BY$7:$BY$1843,BY897,$AK$7:$AK$1843,AK897,$BQ$7:$BQ$1843,"&lt;="&amp;BQ897),"")</f>
        <v>9.06928819972298</v>
      </c>
      <c r="AM897" s="65" t="n">
        <f aca="false">IF(AL897="",0,MAX(0,MIN(1,(IF(BY897="L1",Parameter!$E$5,Parameter!$E$6+Parameter!$E$7)-(AL897-AH897))/AH897)))</f>
        <v>1</v>
      </c>
      <c r="AN897" s="57" t="n">
        <f aca="false">IF(LEFT(Cockpit!$I$5,1)="A",H897,IF(CA897=1,CB897,IF(LEFT(Cockpit!$I$5,1)="B",AR897,MAX(AR897,H897))))</f>
        <v>150</v>
      </c>
      <c r="AO897" s="57" t="n">
        <f aca="false">IF(BT897=1,0,ROUNDUP(AN897/BS897,0))</f>
        <v>1</v>
      </c>
      <c r="AP897" s="59" t="n">
        <f aca="false">IF(CH897&gt;0,CH897*MAX(1,AN897/X897),IF(BT897=1,IF(AN897&lt;=0,0,BW897*MAX(1,IF(H897&gt;0,AN897/H897,1))),IF(R897&gt;0,AO897/R897,0))/MAX(0.1,N(Parameter!$M$21)))</f>
        <v>0.00241545893719807</v>
      </c>
      <c r="AQ897" s="57" t="n">
        <f aca="false">AN897*G897</f>
        <v>106.5</v>
      </c>
      <c r="AR897" s="57" t="n">
        <f aca="false">ROUNDUP(MAX(J897/IF(BZ897&gt;0,BZ897,MAX(0.1,N(Cockpit!$I$6))),CC897)/BS897,0)*BS897</f>
        <v>150</v>
      </c>
      <c r="AS897" s="58" t="n">
        <f aca="false">IF(AP897&gt;0,J897/AP897,-1)</f>
        <v>3726</v>
      </c>
      <c r="AT897" s="58" t="n">
        <f aca="false">IF(AND(OR(BY897="L1",BY897="L23"),AP897&gt;0),SUMIFS($AP$7:$AP$1843,$BY$7:$BY$1843,BY897,$AS$7:$AS$1843,"&gt;"&amp;AS897)+SUMIFS($AP$7:$AP$1843,$BY$7:$BY$1843,BY897,$AS$7:$AS$1843,AS897,$BQ$7:$BQ$1843,"&lt;="&amp;BQ897),"")</f>
        <v>13.8812962399919</v>
      </c>
      <c r="AU897" s="65" t="n">
        <f aca="false">IF(AT897="",0,MAX(0,MIN(1,(IF(BY897="L1",Parameter!$E$5,Parameter!$E$6+Parameter!$E$7)-(AT897-AP897))/AP897)))</f>
        <v>1</v>
      </c>
      <c r="AV897" s="57" t="n">
        <f aca="false">IF(LEFT(Cockpit!$O$5,1)="A",H897,IF(CA897=1,CB897,IF(LEFT(Cockpit!$O$5,1)="B",AZ897,MAX(AZ897,H897))))</f>
        <v>150</v>
      </c>
      <c r="AW897" s="57" t="n">
        <f aca="false">IF(BT897=1,0,ROUNDUP(AV897/BS897,0))</f>
        <v>1</v>
      </c>
      <c r="AX897" s="59" t="n">
        <f aca="false">IF(CH897&gt;0,CH897*MAX(1,AV897/X897),IF(BT897=1,IF(AV897&lt;=0,0,BW897*MAX(1,IF(H897&gt;0,AV897/H897,1))),IF(R897&gt;0,AW897/R897,0))/MAX(0.1,N(Parameter!$M$21)))</f>
        <v>0.00241545893719807</v>
      </c>
      <c r="AY897" s="57" t="n">
        <f aca="false">AV897*G897</f>
        <v>106.5</v>
      </c>
      <c r="AZ897" s="57" t="n">
        <f aca="false">ROUNDUP(MAX(J897/IF(BZ897&gt;0,BZ897,MAX(0.1,N(Cockpit!$O$6))),CC897)/BS897,0)*BS897</f>
        <v>150</v>
      </c>
      <c r="BA897" s="58" t="n">
        <f aca="false">IF(AX897&gt;0,J897/AX897,-1)</f>
        <v>3726</v>
      </c>
      <c r="BB897" s="58" t="n">
        <f aca="false">IF(AND(OR(BY897="L1",BY897="L23"),AX897&gt;0),SUMIFS($AX$7:$AX$1843,$BY$7:$BY$1843,BY897,$BA$7:$BA$1843,"&gt;"&amp;BA897)+SUMIFS($AX$7:$AX$1843,$BY$7:$BY$1843,BY897,$BA$7:$BA$1843,BA897,$BQ$7:$BQ$1843,"&lt;="&amp;BQ897),"")</f>
        <v>12.4483125570082</v>
      </c>
      <c r="BC897" s="65" t="n">
        <f aca="false">IF(BB897="",0,MAX(0,MIN(1,(IF(BY897="L1",Parameter!$E$5,Parameter!$E$6+Parameter!$E$7)-(BB897-AX897))/AX897)))</f>
        <v>1</v>
      </c>
      <c r="BD897" s="55" t="str">
        <f aca="false">IF(AH897&lt;=0,"",IF(BY897="Aussen","Aussenlager",IF(BY897="-","Nicht im Lift",IF(AM897&gt;=1,"Lift",IF(AM897&lt;=0,"Aussenlager","teilweise")))))</f>
        <v>Lift</v>
      </c>
      <c r="BE897" s="55" t="str">
        <f aca="false">IF(AP897&lt;=0,"",IF(BY897="Aussen","Aussenlager",IF(BY897="-","Nicht im Lift",IF(AU897&gt;=1,"Lift",IF(AU897&lt;=0,"Aussenlager","teilweise")))))</f>
        <v>Lift</v>
      </c>
      <c r="BF897" s="55" t="str">
        <f aca="false">IF(AX897&lt;=0,"",IF(BY897="Aussen","Aussenlager",IF(BY897="-","Nicht im Lift",IF(BC897&gt;=1,"Lift",IF(BC897&lt;=0,"Aussenlager","teilweise")))))</f>
        <v>Lift</v>
      </c>
      <c r="BG897" s="55" t="str">
        <f aca="false">IF(A897="","",IF(BP897=1,"Neu; ","")&amp;IF(AND(BP897=0,BK897&lt;0),"negativer Bestand (Export "&amp;BK897&amp;"); ","")&amp;IF(J897&lt;=0,"Kein Verbrauch; ","")&amp;IF(CH897&gt;0,"Lift "&amp;W897&amp;" lt. Liftbericht (Fach "&amp;X897&amp;" Stk); ",IF(BU897=1,"Gebinde geschätzt ("&amp;T897&amp;"); ",IF(BT897=1,"Lose – Tablare geschätzt; ","")))&amp;IF(H897&gt;AR897,"Überbestand "&amp;ROUND(H897-AR897,0)&amp;" Stk / CHF "&amp;ROUND((H897-AR897)*G897,0)&amp;"; ","")&amp;IF(AND(CA897=1,CB897&lt;CC897),"MAX &lt; MB+LG; ","")&amp;IF(AND(CG897&gt;0,CF897*10&gt;CG897),"zu hoch für Tablar; ","")&amp;IF(AND(BP897=0,OR(CA897=1,AA897&lt;&gt;"",U897&lt;&gt;"",V897&lt;&gt;"",AB897&lt;&gt;"")),"manuell übersteuert; ","")&amp;IF(AND(BT897=0,R897=0),"Gebinde unbekannt / Stellmass fehlt; ","")&amp;IF(AND(BT897=0,N(V897)&lt;=0,N(Q897)&lt;=0),"Menge pro Gebinde fehlt (Ist = 1 Gebinde); ","")&amp;BO897)</f>
        <v>negativer Bestand (Export -45); </v>
      </c>
      <c r="BH897" s="55"/>
      <c r="BI897" s="55"/>
      <c r="BJ897" s="62"/>
      <c r="BK897" s="57" t="n">
        <v>-45</v>
      </c>
      <c r="BL897" s="57" t="n">
        <v>161</v>
      </c>
      <c r="BM897" s="56" t="n">
        <v>-31.95</v>
      </c>
      <c r="BN897" s="57" t="n">
        <v>9</v>
      </c>
      <c r="BO897" s="55"/>
      <c r="BP897" s="60" t="n">
        <v>0</v>
      </c>
      <c r="BQ897" s="60" t="n">
        <v>897</v>
      </c>
      <c r="BR897" s="55" t="str">
        <f aca="false">IF(U897&lt;&gt;"",UPPER(TRIM(U897)),IF(BU897=1,UPPER(VLOOKUP(T897,Parameter!$I$27:$K$29,2,0)),IF(P897="","LOSE",P897)))</f>
        <v>S21</v>
      </c>
      <c r="BS897" s="57" t="n">
        <f aca="false">IF(BR897="LOSE",1,IF(N(V897)&gt;0,V897,IF(BU897=1,MAX(1,N(VLOOKUP(T897,Parameter!$I$27:$K$29,3,0)),H897,N(N897)),IF(N(Q897)&gt;0,Q897,MAX(1,H897)))))</f>
        <v>150</v>
      </c>
      <c r="BT897" s="60" t="n">
        <f aca="false">IF(BR897="LOSE",1,0)</f>
        <v>0</v>
      </c>
      <c r="BU897" s="60" t="n">
        <f aca="false">IF(AND(U897="",OR(P897="",P897="LOSE"),T897&lt;&gt;"",N(S897)&lt;=0,ISNUMBER(MATCH(T897,Parameter!$I$27:$I$29,0))),1,0)</f>
        <v>0</v>
      </c>
      <c r="BV897" s="55" t="str">
        <f aca="false">IF(AND(Parameter!$B$19="Ja",E897&lt;&gt;"",ISNUMBER(MATCH(E897,Parameter!$I$35:$I$52,0))),VLOOKUP(E897,Parameter!$I$35:$J$52,2,0),IFERROR(VLOOKUP(D897,Parameter!$A$35:$C$64,2,0),"Nein"))</f>
        <v>2+3</v>
      </c>
      <c r="BW897" s="59" t="n">
        <f aca="false">IF(BT897=0,0,IF(N(S897)&gt;0,S897,IFERROR(VLOOKUP(D897,Parameter!$A$35:$C$64,3,0)+0,0)))</f>
        <v>0</v>
      </c>
      <c r="BX897" s="55" t="n">
        <f aca="false">IF(AA897&lt;&gt;"",AA897,Z897)</f>
        <v>3</v>
      </c>
      <c r="BY897" s="55" t="str">
        <f aca="false">IF(BX897=1,"L1",IF(OR(BX897=2,BX897=3),"L23",IF(BX897="Aussen","Aussen","-")))</f>
        <v>L23</v>
      </c>
      <c r="BZ897" s="66" t="n">
        <f aca="false">IF(N(AB897)&gt;0,AB897,0)</f>
        <v>0</v>
      </c>
      <c r="CA897" s="60" t="n">
        <f aca="false">IF(ISNUMBER(AE897),1,0)</f>
        <v>0</v>
      </c>
      <c r="CB897" s="57" t="n">
        <f aca="false">N(AE897)</f>
        <v>0</v>
      </c>
      <c r="CC897" s="57" t="n">
        <f aca="false">N(M897)+N(N897)</f>
        <v>10</v>
      </c>
      <c r="CD897" s="57" t="n">
        <f aca="false">ROUNDUP(H897/BS897,0)</f>
        <v>1</v>
      </c>
      <c r="CE897" s="57" t="n">
        <f aca="false">ROUNDUP(CB897/BS897,0)</f>
        <v>0</v>
      </c>
      <c r="CF897" s="60" t="n">
        <f aca="false">IF(BT897=1,0,IFERROR(VLOOKUP(BR897,'Gebinde-Kategorie'!$A$5:$M$45,5,0)+0,0))</f>
        <v>8</v>
      </c>
      <c r="CG897" s="60" t="n">
        <f aca="false">IFERROR(IF(OR(BX897=1,BX897=2,BX897=3),N(INDEX(Parameter!$I$5:$I$7,BX897)),0),0)</f>
        <v>0</v>
      </c>
      <c r="CH897" s="59" t="n">
        <f aca="false">IF(AND(Parameter!$B$21="Ja",ISNUMBER(W897),N(X897)&gt;0),IFERROR(N(INDEX(Parameter!$L$5:$L$7,W897))*INDEX(Parameter!$E$5:$E$7,W897)*X897/SUMIFS($X$7:$X$1843,$W$7:$W$1843,W897),0),0)</f>
        <v>0</v>
      </c>
    </row>
    <row r="898" customFormat="false" ht="15" hidden="false" customHeight="false" outlineLevel="0" collapsed="false">
      <c r="A898" s="55" t="s">
        <v>1691</v>
      </c>
      <c r="B898" s="55" t="s">
        <v>1092</v>
      </c>
      <c r="C898" s="55" t="s">
        <v>164</v>
      </c>
      <c r="D898" s="55" t="s">
        <v>184</v>
      </c>
      <c r="E898" s="55" t="s">
        <v>185</v>
      </c>
      <c r="F898" s="55" t="s">
        <v>218</v>
      </c>
      <c r="G898" s="56" t="n">
        <v>6.47</v>
      </c>
      <c r="H898" s="57" t="n">
        <f aca="false">MAX(0,IF(AND(Parameter!$B$21="Ja",ISNUMBER(Y898)),Y898,IF(Parameter!$B$20="Jahresanfang 2025 + Export",BL898+BK898,BK898)))</f>
        <v>6</v>
      </c>
      <c r="I898" s="57" t="n">
        <f aca="false">H898*G898</f>
        <v>38.82</v>
      </c>
      <c r="J898" s="57" t="n">
        <f aca="false">BN898*Parameter!$B$18</f>
        <v>6</v>
      </c>
      <c r="K898" s="58" t="n">
        <v>10.5</v>
      </c>
      <c r="L898" s="59" t="n">
        <v>0.571428571428571</v>
      </c>
      <c r="M898" s="57" t="n">
        <v>0</v>
      </c>
      <c r="N898" s="57" t="n">
        <v>5</v>
      </c>
      <c r="O898" s="60" t="n">
        <v>14</v>
      </c>
      <c r="P898" s="55" t="s">
        <v>476</v>
      </c>
      <c r="Q898" s="57" t="n">
        <v>5</v>
      </c>
      <c r="R898" s="60" t="n">
        <f aca="false">IF(BT898=1,0,IFERROR(VLOOKUP(BR898,'Gebinde-Kategorie'!$A$5:$M$45,13,0)+0,0))</f>
        <v>66</v>
      </c>
      <c r="S898" s="61"/>
      <c r="T898" s="62"/>
      <c r="U898" s="62"/>
      <c r="V898" s="62"/>
      <c r="W898" s="55"/>
      <c r="X898" s="57"/>
      <c r="Y898" s="57"/>
      <c r="Z898" s="55" t="n">
        <f aca="false">IF(A898="","",IF(AND(Parameter!$B$21="Ja",ISNUMBER(W898)),W898,IF(BV898="2+3",IF(ISNUMBER(SEARCH("grosser Artikel",BO898)),2,IFERROR(VLOOKUP(BR898,Parameter!$F$35:$G$64,2,0),2)),IF(OR(BV898="Nein",BV898=""),"-",BV898))))</f>
        <v>3</v>
      </c>
      <c r="AA898" s="62"/>
      <c r="AB898" s="63"/>
      <c r="AC898" s="57" t="n">
        <f aca="false">AR898</f>
        <v>5</v>
      </c>
      <c r="AD898" s="57" t="n">
        <f aca="false">MAX(AR898,H898)</f>
        <v>6</v>
      </c>
      <c r="AE898" s="64"/>
      <c r="AF898" s="57" t="n">
        <f aca="false">IF(LEFT(Cockpit!$C$5,1)="A",H898,IF(CA898=1,CB898,IF(LEFT(Cockpit!$C$5,1)="B",AJ898,MAX(AJ898,H898))))</f>
        <v>6</v>
      </c>
      <c r="AG898" s="57" t="n">
        <f aca="false">IF(BT898=1,0,ROUNDUP(AF898/BS898,0))</f>
        <v>2</v>
      </c>
      <c r="AH898" s="59" t="n">
        <f aca="false">IF(CH898&gt;0,CH898*MAX(1,AF898/X898),IF(BT898=1,IF(AF898&lt;=0,0,BW898*MAX(1,IF(H898&gt;0,AF898/H898,1))),IF(R898&gt;0,AG898/R898,0))/MAX(0.1,N(Parameter!$M$21)))</f>
        <v>0.0303030303030303</v>
      </c>
      <c r="AI898" s="57" t="n">
        <f aca="false">AF898*G898</f>
        <v>38.82</v>
      </c>
      <c r="AJ898" s="57" t="n">
        <f aca="false">ROUNDUP(MAX(J898/IF(BZ898&gt;0,BZ898,MAX(0.1,N(Cockpit!$C$6))),CC898)/BS898,0)*BS898</f>
        <v>5</v>
      </c>
      <c r="AK898" s="58" t="n">
        <f aca="false">IF(AH898&gt;0,J898/AH898,-1)</f>
        <v>198</v>
      </c>
      <c r="AL898" s="58" t="n">
        <f aca="false">IF(AND(OR(BY898="L1",BY898="L23"),AH898&gt;0),SUMIFS($AH$7:$AH$1843,$BY$7:$BY$1843,BY898,$AK$7:$AK$1843,"&gt;"&amp;AK898)+SUMIFS($AH$7:$AH$1843,$BY$7:$BY$1843,BY898,$AK$7:$AK$1843,AK898,$BQ$7:$BQ$1843,"&lt;="&amp;BQ898),"")</f>
        <v>32.5415610959089</v>
      </c>
      <c r="AM898" s="65" t="n">
        <f aca="false">IF(AL898="",0,MAX(0,MIN(1,(IF(BY898="L1",Parameter!$E$5,Parameter!$E$6+Parameter!$E$7)-(AL898-AH898))/AH898)))</f>
        <v>1</v>
      </c>
      <c r="AN898" s="57" t="n">
        <f aca="false">IF(LEFT(Cockpit!$I$5,1)="A",H898,IF(CA898=1,CB898,IF(LEFT(Cockpit!$I$5,1)="B",AR898,MAX(AR898,H898))))</f>
        <v>6</v>
      </c>
      <c r="AO898" s="57" t="n">
        <f aca="false">IF(BT898=1,0,ROUNDUP(AN898/BS898,0))</f>
        <v>2</v>
      </c>
      <c r="AP898" s="59" t="n">
        <f aca="false">IF(CH898&gt;0,CH898*MAX(1,AN898/X898),IF(BT898=1,IF(AN898&lt;=0,0,BW898*MAX(1,IF(H898&gt;0,AN898/H898,1))),IF(R898&gt;0,AO898/R898,0))/MAX(0.1,N(Parameter!$M$21)))</f>
        <v>0.0303030303030303</v>
      </c>
      <c r="AQ898" s="57" t="n">
        <f aca="false">AN898*G898</f>
        <v>38.82</v>
      </c>
      <c r="AR898" s="57" t="n">
        <f aca="false">ROUNDUP(MAX(J898/IF(BZ898&gt;0,BZ898,MAX(0.1,N(Cockpit!$I$6))),CC898)/BS898,0)*BS898</f>
        <v>5</v>
      </c>
      <c r="AS898" s="58" t="n">
        <f aca="false">IF(AP898&gt;0,J898/AP898,-1)</f>
        <v>198</v>
      </c>
      <c r="AT898" s="58" t="n">
        <f aca="false">IF(AND(OR(BY898="L1",BY898="L23"),AP898&gt;0),SUMIFS($AP$7:$AP$1843,$BY$7:$BY$1843,BY898,$AS$7:$AS$1843,"&gt;"&amp;AS898)+SUMIFS($AP$7:$AP$1843,$BY$7:$BY$1843,BY898,$AS$7:$AS$1843,AS898,$BQ$7:$BQ$1843,"&lt;="&amp;BQ898),"")</f>
        <v>47.3252423904598</v>
      </c>
      <c r="AU898" s="65" t="n">
        <f aca="false">IF(AT898="",0,MAX(0,MIN(1,(IF(BY898="L1",Parameter!$E$5,Parameter!$E$6+Parameter!$E$7)-(AT898-AP898))/AP898)))</f>
        <v>1</v>
      </c>
      <c r="AV898" s="57" t="n">
        <f aca="false">IF(LEFT(Cockpit!$O$5,1)="A",H898,IF(CA898=1,CB898,IF(LEFT(Cockpit!$O$5,1)="B",AZ898,MAX(AZ898,H898))))</f>
        <v>6</v>
      </c>
      <c r="AW898" s="57" t="n">
        <f aca="false">IF(BT898=1,0,ROUNDUP(AV898/BS898,0))</f>
        <v>2</v>
      </c>
      <c r="AX898" s="59" t="n">
        <f aca="false">IF(CH898&gt;0,CH898*MAX(1,AV898/X898),IF(BT898=1,IF(AV898&lt;=0,0,BW898*MAX(1,IF(H898&gt;0,AV898/H898,1))),IF(R898&gt;0,AW898/R898,0))/MAX(0.1,N(Parameter!$M$21)))</f>
        <v>0.0303030303030303</v>
      </c>
      <c r="AY898" s="57" t="n">
        <f aca="false">AV898*G898</f>
        <v>38.82</v>
      </c>
      <c r="AZ898" s="57" t="n">
        <f aca="false">ROUNDUP(MAX(J898/IF(BZ898&gt;0,BZ898,MAX(0.1,N(Cockpit!$O$6))),CC898)/BS898,0)*BS898</f>
        <v>5</v>
      </c>
      <c r="BA898" s="58" t="n">
        <f aca="false">IF(AX898&gt;0,J898/AX898,-1)</f>
        <v>198</v>
      </c>
      <c r="BB898" s="58" t="n">
        <f aca="false">IF(AND(OR(BY898="L1",BY898="L23"),AX898&gt;0),SUMIFS($AX$7:$AX$1843,$BY$7:$BY$1843,BY898,$BA$7:$BA$1843,"&gt;"&amp;BA898)+SUMIFS($AX$7:$AX$1843,$BY$7:$BY$1843,BY898,$BA$7:$BA$1843,BA898,$BQ$7:$BQ$1843,"&lt;="&amp;BQ898),"")</f>
        <v>42.9050792202966</v>
      </c>
      <c r="BC898" s="65" t="n">
        <f aca="false">IF(BB898="",0,MAX(0,MIN(1,(IF(BY898="L1",Parameter!$E$5,Parameter!$E$6+Parameter!$E$7)-(BB898-AX898))/AX898)))</f>
        <v>1</v>
      </c>
      <c r="BD898" s="55" t="str">
        <f aca="false">IF(AH898&lt;=0,"",IF(BY898="Aussen","Aussenlager",IF(BY898="-","Nicht im Lift",IF(AM898&gt;=1,"Lift",IF(AM898&lt;=0,"Aussenlager","teilweise")))))</f>
        <v>Lift</v>
      </c>
      <c r="BE898" s="55" t="str">
        <f aca="false">IF(AP898&lt;=0,"",IF(BY898="Aussen","Aussenlager",IF(BY898="-","Nicht im Lift",IF(AU898&gt;=1,"Lift",IF(AU898&lt;=0,"Aussenlager","teilweise")))))</f>
        <v>Lift</v>
      </c>
      <c r="BF898" s="55" t="str">
        <f aca="false">IF(AX898&lt;=0,"",IF(BY898="Aussen","Aussenlager",IF(BY898="-","Nicht im Lift",IF(BC898&gt;=1,"Lift",IF(BC898&lt;=0,"Aussenlager","teilweise")))))</f>
        <v>Lift</v>
      </c>
      <c r="BG898" s="55" t="str">
        <f aca="false">IF(A898="","",IF(BP898=1,"Neu; ","")&amp;IF(AND(BP898=0,BK898&lt;0),"negativer Bestand (Export "&amp;BK898&amp;"); ","")&amp;IF(J898&lt;=0,"Kein Verbrauch; ","")&amp;IF(CH898&gt;0,"Lift "&amp;W898&amp;" lt. Liftbericht (Fach "&amp;X898&amp;" Stk); ",IF(BU898=1,"Gebinde geschätzt ("&amp;T898&amp;"); ",IF(BT898=1,"Lose – Tablare geschätzt; ","")))&amp;IF(H898&gt;AR898,"Überbestand "&amp;ROUND(H898-AR898,0)&amp;" Stk / CHF "&amp;ROUND((H898-AR898)*G898,0)&amp;"; ","")&amp;IF(AND(CA898=1,CB898&lt;CC898),"MAX &lt; MB+LG; ","")&amp;IF(AND(CG898&gt;0,CF898*10&gt;CG898),"zu hoch für Tablar; ","")&amp;IF(AND(BP898=0,OR(CA898=1,AA898&lt;&gt;"",U898&lt;&gt;"",V898&lt;&gt;"",AB898&lt;&gt;"")),"manuell übersteuert; ","")&amp;IF(AND(BT898=0,R898=0),"Gebinde unbekannt / Stellmass fehlt; ","")&amp;IF(AND(BT898=0,N(V898)&lt;=0,N(Q898)&lt;=0),"Menge pro Gebinde fehlt (Ist = 1 Gebinde); ","")&amp;BO898)</f>
        <v>negativer Bestand (Export -5); Überbestand 1 Stk / CHF 6; </v>
      </c>
      <c r="BH898" s="55"/>
      <c r="BI898" s="55"/>
      <c r="BJ898" s="62"/>
      <c r="BK898" s="57" t="n">
        <v>-5</v>
      </c>
      <c r="BL898" s="57" t="n">
        <v>11</v>
      </c>
      <c r="BM898" s="56" t="n">
        <v>-32.46</v>
      </c>
      <c r="BN898" s="57" t="n">
        <v>6</v>
      </c>
      <c r="BO898" s="55"/>
      <c r="BP898" s="60" t="n">
        <v>0</v>
      </c>
      <c r="BQ898" s="60" t="n">
        <v>898</v>
      </c>
      <c r="BR898" s="55" t="str">
        <f aca="false">IF(U898&lt;&gt;"",UPPER(TRIM(U898)),IF(BU898=1,UPPER(VLOOKUP(T898,Parameter!$I$27:$K$29,2,0)),IF(P898="","LOSE",P898)))</f>
        <v>S33</v>
      </c>
      <c r="BS898" s="57" t="n">
        <f aca="false">IF(BR898="LOSE",1,IF(N(V898)&gt;0,V898,IF(BU898=1,MAX(1,N(VLOOKUP(T898,Parameter!$I$27:$K$29,3,0)),H898,N(N898)),IF(N(Q898)&gt;0,Q898,MAX(1,H898)))))</f>
        <v>5</v>
      </c>
      <c r="BT898" s="60" t="n">
        <f aca="false">IF(BR898="LOSE",1,0)</f>
        <v>0</v>
      </c>
      <c r="BU898" s="60" t="n">
        <f aca="false">IF(AND(U898="",OR(P898="",P898="LOSE"),T898&lt;&gt;"",N(S898)&lt;=0,ISNUMBER(MATCH(T898,Parameter!$I$27:$I$29,0))),1,0)</f>
        <v>0</v>
      </c>
      <c r="BV898" s="55" t="str">
        <f aca="false">IF(AND(Parameter!$B$19="Ja",E898&lt;&gt;"",ISNUMBER(MATCH(E898,Parameter!$I$35:$I$52,0))),VLOOKUP(E898,Parameter!$I$35:$J$52,2,0),IFERROR(VLOOKUP(D898,Parameter!$A$35:$C$64,2,0),"Nein"))</f>
        <v>2+3</v>
      </c>
      <c r="BW898" s="59" t="n">
        <f aca="false">IF(BT898=0,0,IF(N(S898)&gt;0,S898,IFERROR(VLOOKUP(D898,Parameter!$A$35:$C$64,3,0)+0,0)))</f>
        <v>0</v>
      </c>
      <c r="BX898" s="55" t="n">
        <f aca="false">IF(AA898&lt;&gt;"",AA898,Z898)</f>
        <v>3</v>
      </c>
      <c r="BY898" s="55" t="str">
        <f aca="false">IF(BX898=1,"L1",IF(OR(BX898=2,BX898=3),"L23",IF(BX898="Aussen","Aussen","-")))</f>
        <v>L23</v>
      </c>
      <c r="BZ898" s="66" t="n">
        <f aca="false">IF(N(AB898)&gt;0,AB898,0)</f>
        <v>0</v>
      </c>
      <c r="CA898" s="60" t="n">
        <f aca="false">IF(ISNUMBER(AE898),1,0)</f>
        <v>0</v>
      </c>
      <c r="CB898" s="57" t="n">
        <f aca="false">N(AE898)</f>
        <v>0</v>
      </c>
      <c r="CC898" s="57" t="n">
        <f aca="false">N(M898)+N(N898)</f>
        <v>5</v>
      </c>
      <c r="CD898" s="57" t="n">
        <f aca="false">ROUNDUP(H898/BS898,0)</f>
        <v>2</v>
      </c>
      <c r="CE898" s="57" t="n">
        <f aca="false">ROUNDUP(CB898/BS898,0)</f>
        <v>0</v>
      </c>
      <c r="CF898" s="60" t="n">
        <f aca="false">IF(BT898=1,0,IFERROR(VLOOKUP(BR898,'Gebinde-Kategorie'!$A$5:$M$45,5,0)+0,0))</f>
        <v>8</v>
      </c>
      <c r="CG898" s="60" t="n">
        <f aca="false">IFERROR(IF(OR(BX898=1,BX898=2,BX898=3),N(INDEX(Parameter!$I$5:$I$7,BX898)),0),0)</f>
        <v>0</v>
      </c>
      <c r="CH898" s="59" t="n">
        <f aca="false">IF(AND(Parameter!$B$21="Ja",ISNUMBER(W898),N(X898)&gt;0),IFERROR(N(INDEX(Parameter!$L$5:$L$7,W898))*INDEX(Parameter!$E$5:$E$7,W898)*X898/SUMIFS($X$7:$X$1843,$W$7:$W$1843,W898),0),0)</f>
        <v>0</v>
      </c>
    </row>
    <row r="899" customFormat="false" ht="15" hidden="false" customHeight="false" outlineLevel="0" collapsed="false">
      <c r="A899" s="55" t="s">
        <v>1692</v>
      </c>
      <c r="B899" s="55" t="s">
        <v>963</v>
      </c>
      <c r="C899" s="55" t="s">
        <v>164</v>
      </c>
      <c r="D899" s="55" t="s">
        <v>184</v>
      </c>
      <c r="E899" s="55"/>
      <c r="F899" s="55" t="s">
        <v>218</v>
      </c>
      <c r="G899" s="56" t="n">
        <v>0.93</v>
      </c>
      <c r="H899" s="57" t="n">
        <f aca="false">MAX(0,IF(AND(Parameter!$B$21="Ja",ISNUMBER(Y899)),Y899,IF(Parameter!$B$20="Jahresanfang 2025 + Export",BL899+BK899,BK899)))</f>
        <v>45</v>
      </c>
      <c r="I899" s="57" t="n">
        <f aca="false">H899*G899</f>
        <v>41.85</v>
      </c>
      <c r="J899" s="57" t="n">
        <f aca="false">BN899*Parameter!$B$18</f>
        <v>0</v>
      </c>
      <c r="K899" s="58" t="n">
        <v>63.5</v>
      </c>
      <c r="L899" s="59" t="n">
        <v>0</v>
      </c>
      <c r="M899" s="57" t="n">
        <v>0</v>
      </c>
      <c r="N899" s="57" t="n">
        <v>1</v>
      </c>
      <c r="O899" s="60" t="n">
        <v>21</v>
      </c>
      <c r="P899" s="55" t="s">
        <v>426</v>
      </c>
      <c r="Q899" s="57" t="n">
        <v>50</v>
      </c>
      <c r="R899" s="60" t="n">
        <f aca="false">IF(BT899=1,0,IFERROR(VLOOKUP(BR899,'Gebinde-Kategorie'!$A$5:$M$45,13,0)+0,0))</f>
        <v>198</v>
      </c>
      <c r="S899" s="61"/>
      <c r="T899" s="62"/>
      <c r="U899" s="62"/>
      <c r="V899" s="62"/>
      <c r="W899" s="55"/>
      <c r="X899" s="57"/>
      <c r="Y899" s="57"/>
      <c r="Z899" s="55" t="n">
        <f aca="false">IF(A899="","",IF(AND(Parameter!$B$21="Ja",ISNUMBER(W899)),W899,IF(BV899="2+3",IF(ISNUMBER(SEARCH("grosser Artikel",BO899)),2,IFERROR(VLOOKUP(BR899,Parameter!$F$35:$G$64,2,0),2)),IF(OR(BV899="Nein",BV899=""),"-",BV899))))</f>
        <v>3</v>
      </c>
      <c r="AA899" s="62"/>
      <c r="AB899" s="63"/>
      <c r="AC899" s="57" t="n">
        <f aca="false">AR899</f>
        <v>50</v>
      </c>
      <c r="AD899" s="57" t="n">
        <f aca="false">MAX(AR899,H899)</f>
        <v>50</v>
      </c>
      <c r="AE899" s="64"/>
      <c r="AF899" s="57" t="n">
        <f aca="false">IF(LEFT(Cockpit!$C$5,1)="A",H899,IF(CA899=1,CB899,IF(LEFT(Cockpit!$C$5,1)="B",AJ899,MAX(AJ899,H899))))</f>
        <v>45</v>
      </c>
      <c r="AG899" s="57" t="n">
        <f aca="false">IF(BT899=1,0,ROUNDUP(AF899/BS899,0))</f>
        <v>1</v>
      </c>
      <c r="AH899" s="59" t="n">
        <f aca="false">IF(CH899&gt;0,CH899*MAX(1,AF899/X899),IF(BT899=1,IF(AF899&lt;=0,0,BW899*MAX(1,IF(H899&gt;0,AF899/H899,1))),IF(R899&gt;0,AG899/R899,0))/MAX(0.1,N(Parameter!$M$21)))</f>
        <v>0.00505050505050505</v>
      </c>
      <c r="AI899" s="57" t="n">
        <f aca="false">AF899*G899</f>
        <v>41.85</v>
      </c>
      <c r="AJ899" s="57" t="n">
        <f aca="false">ROUNDUP(MAX(J899/IF(BZ899&gt;0,BZ899,MAX(0.1,N(Cockpit!$C$6))),CC899)/BS899,0)*BS899</f>
        <v>50</v>
      </c>
      <c r="AK899" s="58" t="n">
        <f aca="false">IF(AH899&gt;0,J899/AH899,-1)</f>
        <v>0</v>
      </c>
      <c r="AL899" s="58" t="n">
        <f aca="false">IF(AND(OR(BY899="L1",BY899="L23"),AH899&gt;0),SUMIFS($AH$7:$AH$1843,$BY$7:$BY$1843,BY899,$AK$7:$AK$1843,"&gt;"&amp;AK899)+SUMIFS($AH$7:$AH$1843,$BY$7:$BY$1843,BY899,$AK$7:$AK$1843,AK899,$BQ$7:$BQ$1843,"&lt;="&amp;BQ899),"")</f>
        <v>77.9010675315023</v>
      </c>
      <c r="AM899" s="65" t="n">
        <f aca="false">IF(AL899="",0,MAX(0,MIN(1,(IF(BY899="L1",Parameter!$E$5,Parameter!$E$6+Parameter!$E$7)-(AL899-AH899))/AH899)))</f>
        <v>1</v>
      </c>
      <c r="AN899" s="57" t="n">
        <f aca="false">IF(LEFT(Cockpit!$I$5,1)="A",H899,IF(CA899=1,CB899,IF(LEFT(Cockpit!$I$5,1)="B",AR899,MAX(AR899,H899))))</f>
        <v>50</v>
      </c>
      <c r="AO899" s="57" t="n">
        <f aca="false">IF(BT899=1,0,ROUNDUP(AN899/BS899,0))</f>
        <v>1</v>
      </c>
      <c r="AP899" s="59" t="n">
        <f aca="false">IF(CH899&gt;0,CH899*MAX(1,AN899/X899),IF(BT899=1,IF(AN899&lt;=0,0,BW899*MAX(1,IF(H899&gt;0,AN899/H899,1))),IF(R899&gt;0,AO899/R899,0))/MAX(0.1,N(Parameter!$M$21)))</f>
        <v>0.00505050505050505</v>
      </c>
      <c r="AQ899" s="57" t="n">
        <f aca="false">AN899*G899</f>
        <v>46.5</v>
      </c>
      <c r="AR899" s="57" t="n">
        <f aca="false">ROUNDUP(MAX(J899/IF(BZ899&gt;0,BZ899,MAX(0.1,N(Cockpit!$I$6))),CC899)/BS899,0)*BS899</f>
        <v>50</v>
      </c>
      <c r="AS899" s="58" t="n">
        <f aca="false">IF(AP899&gt;0,J899/AP899,-1)</f>
        <v>0</v>
      </c>
      <c r="AT899" s="58" t="n">
        <f aca="false">IF(AND(OR(BY899="L1",BY899="L23"),AP899&gt;0),SUMIFS($AP$7:$AP$1843,$BY$7:$BY$1843,BY899,$AS$7:$AS$1843,"&gt;"&amp;AS899)+SUMIFS($AP$7:$AP$1843,$BY$7:$BY$1843,BY899,$AS$7:$AS$1843,AS899,$BQ$7:$BQ$1843,"&lt;="&amp;BQ899),"")</f>
        <v>118.902866457214</v>
      </c>
      <c r="AU899" s="65" t="n">
        <f aca="false">IF(AT899="",0,MAX(0,MIN(1,(IF(BY899="L1",Parameter!$E$5,Parameter!$E$6+Parameter!$E$7)-(AT899-AP899))/AP899)))</f>
        <v>0</v>
      </c>
      <c r="AV899" s="57" t="n">
        <f aca="false">IF(LEFT(Cockpit!$O$5,1)="A",H899,IF(CA899=1,CB899,IF(LEFT(Cockpit!$O$5,1)="B",AZ899,MAX(AZ899,H899))))</f>
        <v>50</v>
      </c>
      <c r="AW899" s="57" t="n">
        <f aca="false">IF(BT899=1,0,ROUNDUP(AV899/BS899,0))</f>
        <v>1</v>
      </c>
      <c r="AX899" s="59" t="n">
        <f aca="false">IF(CH899&gt;0,CH899*MAX(1,AV899/X899),IF(BT899=1,IF(AV899&lt;=0,0,BW899*MAX(1,IF(H899&gt;0,AV899/H899,1))),IF(R899&gt;0,AW899/R899,0))/MAX(0.1,N(Parameter!$M$21)))</f>
        <v>0.00505050505050505</v>
      </c>
      <c r="AY899" s="57" t="n">
        <f aca="false">AV899*G899</f>
        <v>46.5</v>
      </c>
      <c r="AZ899" s="57" t="n">
        <f aca="false">ROUNDUP(MAX(J899/IF(BZ899&gt;0,BZ899,MAX(0.1,N(Cockpit!$O$6))),CC899)/BS899,0)*BS899</f>
        <v>50</v>
      </c>
      <c r="BA899" s="58" t="n">
        <f aca="false">IF(AX899&gt;0,J899/AX899,-1)</f>
        <v>0</v>
      </c>
      <c r="BB899" s="58" t="n">
        <f aca="false">IF(AND(OR(BY899="L1",BY899="L23"),AX899&gt;0),SUMIFS($AX$7:$AX$1843,$BY$7:$BY$1843,BY899,$BA$7:$BA$1843,"&gt;"&amp;BA899)+SUMIFS($AX$7:$AX$1843,$BY$7:$BY$1843,BY899,$BA$7:$BA$1843,BA899,$BQ$7:$BQ$1843,"&lt;="&amp;BQ899),"")</f>
        <v>109.732703287051</v>
      </c>
      <c r="BC899" s="65" t="n">
        <f aca="false">IF(BB899="",0,MAX(0,MIN(1,(IF(BY899="L1",Parameter!$E$5,Parameter!$E$6+Parameter!$E$7)-(BB899-AX899))/AX899)))</f>
        <v>0</v>
      </c>
      <c r="BD899" s="55" t="str">
        <f aca="false">IF(AH899&lt;=0,"",IF(BY899="Aussen","Aussenlager",IF(BY899="-","Nicht im Lift",IF(AM899&gt;=1,"Lift",IF(AM899&lt;=0,"Aussenlager","teilweise")))))</f>
        <v>Lift</v>
      </c>
      <c r="BE899" s="55" t="str">
        <f aca="false">IF(AP899&lt;=0,"",IF(BY899="Aussen","Aussenlager",IF(BY899="-","Nicht im Lift",IF(AU899&gt;=1,"Lift",IF(AU899&lt;=0,"Aussenlager","teilweise")))))</f>
        <v>Aussenlager</v>
      </c>
      <c r="BF899" s="55" t="str">
        <f aca="false">IF(AX899&lt;=0,"",IF(BY899="Aussen","Aussenlager",IF(BY899="-","Nicht im Lift",IF(BC899&gt;=1,"Lift",IF(BC899&lt;=0,"Aussenlager","teilweise")))))</f>
        <v>Aussenlager</v>
      </c>
      <c r="BG899" s="55" t="str">
        <f aca="false">IF(A899="","",IF(BP899=1,"Neu; ","")&amp;IF(AND(BP899=0,BK899&lt;0),"negativer Bestand (Export "&amp;BK899&amp;"); ","")&amp;IF(J899&lt;=0,"Kein Verbrauch; ","")&amp;IF(CH899&gt;0,"Lift "&amp;W899&amp;" lt. Liftbericht (Fach "&amp;X899&amp;" Stk); ",IF(BU899=1,"Gebinde geschätzt ("&amp;T899&amp;"); ",IF(BT899=1,"Lose – Tablare geschätzt; ","")))&amp;IF(H899&gt;AR899,"Überbestand "&amp;ROUND(H899-AR899,0)&amp;" Stk / CHF "&amp;ROUND((H899-AR899)*G899,0)&amp;"; ","")&amp;IF(AND(CA899=1,CB899&lt;CC899),"MAX &lt; MB+LG; ","")&amp;IF(AND(CG899&gt;0,CF899*10&gt;CG899),"zu hoch für Tablar; ","")&amp;IF(AND(BP899=0,OR(CA899=1,AA899&lt;&gt;"",U899&lt;&gt;"",V899&lt;&gt;"",AB899&lt;&gt;"")),"manuell übersteuert; ","")&amp;IF(AND(BT899=0,R899=0),"Gebinde unbekannt / Stellmass fehlt; ","")&amp;IF(AND(BT899=0,N(V899)&lt;=0,N(Q899)&lt;=0),"Menge pro Gebinde fehlt (Ist = 1 Gebinde); ","")&amp;BO899)</f>
        <v>negativer Bestand (Export -35); Kein Verbrauch; Twin</v>
      </c>
      <c r="BH899" s="55"/>
      <c r="BI899" s="55"/>
      <c r="BJ899" s="62"/>
      <c r="BK899" s="57" t="n">
        <v>-35</v>
      </c>
      <c r="BL899" s="57" t="n">
        <v>80</v>
      </c>
      <c r="BM899" s="56" t="n">
        <v>-32.55</v>
      </c>
      <c r="BN899" s="57" t="n">
        <v>0</v>
      </c>
      <c r="BO899" s="55" t="s">
        <v>214</v>
      </c>
      <c r="BP899" s="60" t="n">
        <v>0</v>
      </c>
      <c r="BQ899" s="60" t="n">
        <v>899</v>
      </c>
      <c r="BR899" s="55" t="str">
        <f aca="false">IF(U899&lt;&gt;"",UPPER(TRIM(U899)),IF(BU899=1,UPPER(VLOOKUP(T899,Parameter!$I$27:$K$29,2,0)),IF(P899="","LOSE",P899)))</f>
        <v>S22</v>
      </c>
      <c r="BS899" s="57" t="n">
        <f aca="false">IF(BR899="LOSE",1,IF(N(V899)&gt;0,V899,IF(BU899=1,MAX(1,N(VLOOKUP(T899,Parameter!$I$27:$K$29,3,0)),H899,N(N899)),IF(N(Q899)&gt;0,Q899,MAX(1,H899)))))</f>
        <v>50</v>
      </c>
      <c r="BT899" s="60" t="n">
        <f aca="false">IF(BR899="LOSE",1,0)</f>
        <v>0</v>
      </c>
      <c r="BU899" s="60" t="n">
        <f aca="false">IF(AND(U899="",OR(P899="",P899="LOSE"),T899&lt;&gt;"",N(S899)&lt;=0,ISNUMBER(MATCH(T899,Parameter!$I$27:$I$29,0))),1,0)</f>
        <v>0</v>
      </c>
      <c r="BV899" s="55" t="str">
        <f aca="false">IF(AND(Parameter!$B$19="Ja",E899&lt;&gt;"",ISNUMBER(MATCH(E899,Parameter!$I$35:$I$52,0))),VLOOKUP(E899,Parameter!$I$35:$J$52,2,0),IFERROR(VLOOKUP(D899,Parameter!$A$35:$C$64,2,0),"Nein"))</f>
        <v>2+3</v>
      </c>
      <c r="BW899" s="59" t="n">
        <f aca="false">IF(BT899=0,0,IF(N(S899)&gt;0,S899,IFERROR(VLOOKUP(D899,Parameter!$A$35:$C$64,3,0)+0,0)))</f>
        <v>0</v>
      </c>
      <c r="BX899" s="55" t="n">
        <f aca="false">IF(AA899&lt;&gt;"",AA899,Z899)</f>
        <v>3</v>
      </c>
      <c r="BY899" s="55" t="str">
        <f aca="false">IF(BX899=1,"L1",IF(OR(BX899=2,BX899=3),"L23",IF(BX899="Aussen","Aussen","-")))</f>
        <v>L23</v>
      </c>
      <c r="BZ899" s="66" t="n">
        <f aca="false">IF(N(AB899)&gt;0,AB899,0)</f>
        <v>0</v>
      </c>
      <c r="CA899" s="60" t="n">
        <f aca="false">IF(ISNUMBER(AE899),1,0)</f>
        <v>0</v>
      </c>
      <c r="CB899" s="57" t="n">
        <f aca="false">N(AE899)</f>
        <v>0</v>
      </c>
      <c r="CC899" s="57" t="n">
        <f aca="false">N(M899)+N(N899)</f>
        <v>1</v>
      </c>
      <c r="CD899" s="57" t="n">
        <f aca="false">ROUNDUP(H899/BS899,0)</f>
        <v>1</v>
      </c>
      <c r="CE899" s="57" t="n">
        <f aca="false">ROUNDUP(CB899/BS899,0)</f>
        <v>0</v>
      </c>
      <c r="CF899" s="60" t="n">
        <f aca="false">IF(BT899=1,0,IFERROR(VLOOKUP(BR899,'Gebinde-Kategorie'!$A$5:$M$45,5,0)+0,0))</f>
        <v>8</v>
      </c>
      <c r="CG899" s="60" t="n">
        <f aca="false">IFERROR(IF(OR(BX899=1,BX899=2,BX899=3),N(INDEX(Parameter!$I$5:$I$7,BX899)),0),0)</f>
        <v>0</v>
      </c>
      <c r="CH899" s="59" t="n">
        <f aca="false">IF(AND(Parameter!$B$21="Ja",ISNUMBER(W899),N(X899)&gt;0),IFERROR(N(INDEX(Parameter!$L$5:$L$7,W899))*INDEX(Parameter!$E$5:$E$7,W899)*X899/SUMIFS($X$7:$X$1843,$W$7:$W$1843,W899),0),0)</f>
        <v>0</v>
      </c>
    </row>
    <row r="900" customFormat="false" ht="15" hidden="false" customHeight="false" outlineLevel="0" collapsed="false">
      <c r="A900" s="55" t="s">
        <v>1693</v>
      </c>
      <c r="B900" s="55" t="s">
        <v>1694</v>
      </c>
      <c r="C900" s="55" t="s">
        <v>164</v>
      </c>
      <c r="D900" s="55" t="s">
        <v>184</v>
      </c>
      <c r="E900" s="55"/>
      <c r="F900" s="55" t="s">
        <v>218</v>
      </c>
      <c r="G900" s="56" t="n">
        <v>11.39</v>
      </c>
      <c r="H900" s="57" t="n">
        <f aca="false">MAX(0,IF(AND(Parameter!$B$21="Ja",ISNUMBER(Y900)),Y900,IF(Parameter!$B$20="Jahresanfang 2025 + Export",BL900+BK900,BK900)))</f>
        <v>0</v>
      </c>
      <c r="I900" s="57" t="n">
        <f aca="false">H900*G900</f>
        <v>0</v>
      </c>
      <c r="J900" s="57" t="n">
        <f aca="false">BN900*Parameter!$B$18</f>
        <v>0</v>
      </c>
      <c r="K900" s="58" t="n">
        <v>1.5</v>
      </c>
      <c r="L900" s="59" t="n">
        <v>0</v>
      </c>
      <c r="M900" s="57" t="n">
        <v>0</v>
      </c>
      <c r="N900" s="57" t="n">
        <v>1</v>
      </c>
      <c r="O900" s="60" t="n">
        <v>28</v>
      </c>
      <c r="P900" s="55" t="s">
        <v>168</v>
      </c>
      <c r="Q900" s="57"/>
      <c r="R900" s="60" t="n">
        <f aca="false">IF(BT900=1,0,IFERROR(VLOOKUP(BR900,'Gebinde-Kategorie'!$A$5:$M$45,13,0)+0,0))</f>
        <v>26</v>
      </c>
      <c r="S900" s="61"/>
      <c r="T900" s="62" t="s">
        <v>275</v>
      </c>
      <c r="U900" s="62"/>
      <c r="V900" s="62"/>
      <c r="W900" s="55"/>
      <c r="X900" s="57"/>
      <c r="Y900" s="57"/>
      <c r="Z900" s="55" t="n">
        <f aca="false">IF(A900="","",IF(AND(Parameter!$B$21="Ja",ISNUMBER(W900)),W900,IF(BV900="2+3",IF(ISNUMBER(SEARCH("grosser Artikel",BO900)),2,IFERROR(VLOOKUP(BR900,Parameter!$F$35:$G$64,2,0),2)),IF(OR(BV900="Nein",BV900=""),"-",BV900))))</f>
        <v>3</v>
      </c>
      <c r="AA900" s="62"/>
      <c r="AB900" s="63"/>
      <c r="AC900" s="57" t="n">
        <f aca="false">AR900</f>
        <v>20</v>
      </c>
      <c r="AD900" s="57" t="n">
        <f aca="false">MAX(AR900,H900)</f>
        <v>20</v>
      </c>
      <c r="AE900" s="64"/>
      <c r="AF900" s="57" t="n">
        <f aca="false">IF(LEFT(Cockpit!$C$5,1)="A",H900,IF(CA900=1,CB900,IF(LEFT(Cockpit!$C$5,1)="B",AJ900,MAX(AJ900,H900))))</f>
        <v>0</v>
      </c>
      <c r="AG900" s="57" t="n">
        <f aca="false">IF(BT900=1,0,ROUNDUP(AF900/BS900,0))</f>
        <v>0</v>
      </c>
      <c r="AH900" s="59" t="n">
        <f aca="false">IF(CH900&gt;0,CH900*MAX(1,AF900/X900),IF(BT900=1,IF(AF900&lt;=0,0,BW900*MAX(1,IF(H900&gt;0,AF900/H900,1))),IF(R900&gt;0,AG900/R900,0))/MAX(0.1,N(Parameter!$M$21)))</f>
        <v>0</v>
      </c>
      <c r="AI900" s="57" t="n">
        <f aca="false">AF900*G900</f>
        <v>0</v>
      </c>
      <c r="AJ900" s="57" t="n">
        <f aca="false">ROUNDUP(MAX(J900/IF(BZ900&gt;0,BZ900,MAX(0.1,N(Cockpit!$C$6))),CC900)/BS900,0)*BS900</f>
        <v>20</v>
      </c>
      <c r="AK900" s="58" t="n">
        <f aca="false">IF(AH900&gt;0,J900/AH900,-1)</f>
        <v>-1</v>
      </c>
      <c r="AL900" s="58" t="str">
        <f aca="false">IF(AND(OR(BY900="L1",BY900="L23"),AH900&gt;0),SUMIFS($AH$7:$AH$1843,$BY$7:$BY$1843,BY900,$AK$7:$AK$1843,"&gt;"&amp;AK900)+SUMIFS($AH$7:$AH$1843,$BY$7:$BY$1843,BY900,$AK$7:$AK$1843,AK900,$BQ$7:$BQ$1843,"&lt;="&amp;BQ900),"")</f>
        <v/>
      </c>
      <c r="AM900" s="65" t="n">
        <f aca="false">IF(AL900="",0,MAX(0,MIN(1,(IF(BY900="L1",Parameter!$E$5,Parameter!$E$6+Parameter!$E$7)-(AL900-AH900))/AH900)))</f>
        <v>0</v>
      </c>
      <c r="AN900" s="57" t="n">
        <f aca="false">IF(LEFT(Cockpit!$I$5,1)="A",H900,IF(CA900=1,CB900,IF(LEFT(Cockpit!$I$5,1)="B",AR900,MAX(AR900,H900))))</f>
        <v>20</v>
      </c>
      <c r="AO900" s="57" t="n">
        <f aca="false">IF(BT900=1,0,ROUNDUP(AN900/BS900,0))</f>
        <v>1</v>
      </c>
      <c r="AP900" s="59" t="n">
        <f aca="false">IF(CH900&gt;0,CH900*MAX(1,AN900/X900),IF(BT900=1,IF(AN900&lt;=0,0,BW900*MAX(1,IF(H900&gt;0,AN900/H900,1))),IF(R900&gt;0,AO900/R900,0))/MAX(0.1,N(Parameter!$M$21)))</f>
        <v>0.0384615384615385</v>
      </c>
      <c r="AQ900" s="57" t="n">
        <f aca="false">AN900*G900</f>
        <v>227.8</v>
      </c>
      <c r="AR900" s="57" t="n">
        <f aca="false">ROUNDUP(MAX(J900/IF(BZ900&gt;0,BZ900,MAX(0.1,N(Cockpit!$I$6))),CC900)/BS900,0)*BS900</f>
        <v>20</v>
      </c>
      <c r="AS900" s="58" t="n">
        <f aca="false">IF(AP900&gt;0,J900/AP900,-1)</f>
        <v>0</v>
      </c>
      <c r="AT900" s="58" t="n">
        <f aca="false">IF(AND(OR(BY900="L1",BY900="L23"),AP900&gt;0),SUMIFS($AP$7:$AP$1843,$BY$7:$BY$1843,BY900,$AS$7:$AS$1843,"&gt;"&amp;AS900)+SUMIFS($AP$7:$AP$1843,$BY$7:$BY$1843,BY900,$AS$7:$AS$1843,AS900,$BQ$7:$BQ$1843,"&lt;="&amp;BQ900),"")</f>
        <v>118.941327995676</v>
      </c>
      <c r="AU900" s="65" t="n">
        <f aca="false">IF(AT900="",0,MAX(0,MIN(1,(IF(BY900="L1",Parameter!$E$5,Parameter!$E$6+Parameter!$E$7)-(AT900-AP900))/AP900)))</f>
        <v>0</v>
      </c>
      <c r="AV900" s="57" t="n">
        <f aca="false">IF(LEFT(Cockpit!$O$5,1)="A",H900,IF(CA900=1,CB900,IF(LEFT(Cockpit!$O$5,1)="B",AZ900,MAX(AZ900,H900))))</f>
        <v>20</v>
      </c>
      <c r="AW900" s="57" t="n">
        <f aca="false">IF(BT900=1,0,ROUNDUP(AV900/BS900,0))</f>
        <v>1</v>
      </c>
      <c r="AX900" s="59" t="n">
        <f aca="false">IF(CH900&gt;0,CH900*MAX(1,AV900/X900),IF(BT900=1,IF(AV900&lt;=0,0,BW900*MAX(1,IF(H900&gt;0,AV900/H900,1))),IF(R900&gt;0,AW900/R900,0))/MAX(0.1,N(Parameter!$M$21)))</f>
        <v>0.0384615384615385</v>
      </c>
      <c r="AY900" s="57" t="n">
        <f aca="false">AV900*G900</f>
        <v>227.8</v>
      </c>
      <c r="AZ900" s="57" t="n">
        <f aca="false">ROUNDUP(MAX(J900/IF(BZ900&gt;0,BZ900,MAX(0.1,N(Cockpit!$O$6))),CC900)/BS900,0)*BS900</f>
        <v>20</v>
      </c>
      <c r="BA900" s="58" t="n">
        <f aca="false">IF(AX900&gt;0,J900/AX900,-1)</f>
        <v>0</v>
      </c>
      <c r="BB900" s="58" t="n">
        <f aca="false">IF(AND(OR(BY900="L1",BY900="L23"),AX900&gt;0),SUMIFS($AX$7:$AX$1843,$BY$7:$BY$1843,BY900,$BA$7:$BA$1843,"&gt;"&amp;BA900)+SUMIFS($AX$7:$AX$1843,$BY$7:$BY$1843,BY900,$BA$7:$BA$1843,BA900,$BQ$7:$BQ$1843,"&lt;="&amp;BQ900),"")</f>
        <v>109.771164825513</v>
      </c>
      <c r="BC900" s="65" t="n">
        <f aca="false">IF(BB900="",0,MAX(0,MIN(1,(IF(BY900="L1",Parameter!$E$5,Parameter!$E$6+Parameter!$E$7)-(BB900-AX900))/AX900)))</f>
        <v>0</v>
      </c>
      <c r="BD900" s="55" t="str">
        <f aca="false">IF(AH900&lt;=0,"",IF(BY900="Aussen","Aussenlager",IF(BY900="-","Nicht im Lift",IF(AM900&gt;=1,"Lift",IF(AM900&lt;=0,"Aussenlager","teilweise")))))</f>
        <v/>
      </c>
      <c r="BE900" s="55" t="str">
        <f aca="false">IF(AP900&lt;=0,"",IF(BY900="Aussen","Aussenlager",IF(BY900="-","Nicht im Lift",IF(AU900&gt;=1,"Lift",IF(AU900&lt;=0,"Aussenlager","teilweise")))))</f>
        <v>Aussenlager</v>
      </c>
      <c r="BF900" s="55" t="str">
        <f aca="false">IF(AX900&lt;=0,"",IF(BY900="Aussen","Aussenlager",IF(BY900="-","Nicht im Lift",IF(BC900&gt;=1,"Lift",IF(BC900&lt;=0,"Aussenlager","teilweise")))))</f>
        <v>Aussenlager</v>
      </c>
      <c r="BG900" s="55" t="str">
        <f aca="false">IF(A900="","",IF(BP900=1,"Neu; ","")&amp;IF(AND(BP900=0,BK900&lt;0),"negativer Bestand (Export "&amp;BK900&amp;"); ","")&amp;IF(J900&lt;=0,"Kein Verbrauch; ","")&amp;IF(CH900&gt;0,"Lift "&amp;W900&amp;" lt. Liftbericht (Fach "&amp;X900&amp;" Stk); ",IF(BU900=1,"Gebinde geschätzt ("&amp;T900&amp;"); ",IF(BT900=1,"Lose – Tablare geschätzt; ","")))&amp;IF(H900&gt;AR900,"Überbestand "&amp;ROUND(H900-AR900,0)&amp;" Stk / CHF "&amp;ROUND((H900-AR900)*G900,0)&amp;"; ","")&amp;IF(AND(CA900=1,CB900&lt;CC900),"MAX &lt; MB+LG; ","")&amp;IF(AND(CG900&gt;0,CF900*10&gt;CG900),"zu hoch für Tablar; ","")&amp;IF(AND(BP900=0,OR(CA900=1,AA900&lt;&gt;"",U900&lt;&gt;"",V900&lt;&gt;"",AB900&lt;&gt;"")),"manuell übersteuert; ","")&amp;IF(AND(BT900=0,R900=0),"Gebinde unbekannt / Stellmass fehlt; ","")&amp;IF(AND(BT900=0,N(V900)&lt;=0,N(Q900)&lt;=0),"Menge pro Gebinde fehlt (Ist = 1 Gebinde); ","")&amp;BO900)</f>
        <v>negativer Bestand (Export -3); Kein Verbrauch; Gebinde geschätzt (Klein); Menge pro Gebinde fehlt (Ist = 1 Gebinde); </v>
      </c>
      <c r="BH900" s="55"/>
      <c r="BI900" s="55"/>
      <c r="BJ900" s="62"/>
      <c r="BK900" s="57" t="n">
        <v>-3</v>
      </c>
      <c r="BL900" s="57" t="n">
        <v>3</v>
      </c>
      <c r="BM900" s="56" t="n">
        <v>-34.17</v>
      </c>
      <c r="BN900" s="57" t="n">
        <v>0</v>
      </c>
      <c r="BO900" s="55"/>
      <c r="BP900" s="60" t="n">
        <v>0</v>
      </c>
      <c r="BQ900" s="60" t="n">
        <v>900</v>
      </c>
      <c r="BR900" s="55" t="str">
        <f aca="false">IF(U900&lt;&gt;"",UPPER(TRIM(U900)),IF(BU900=1,UPPER(VLOOKUP(T900,Parameter!$I$27:$K$29,2,0)),IF(P900="","LOSE",P900)))</f>
        <v>S51</v>
      </c>
      <c r="BS900" s="57" t="n">
        <f aca="false">IF(BR900="LOSE",1,IF(N(V900)&gt;0,V900,IF(BU900=1,MAX(1,N(VLOOKUP(T900,Parameter!$I$27:$K$29,3,0)),H900,N(N900)),IF(N(Q900)&gt;0,Q900,MAX(1,H900)))))</f>
        <v>20</v>
      </c>
      <c r="BT900" s="60" t="n">
        <f aca="false">IF(BR900="LOSE",1,0)</f>
        <v>0</v>
      </c>
      <c r="BU900" s="60" t="n">
        <f aca="false">IF(AND(U900="",OR(P900="",P900="LOSE"),T900&lt;&gt;"",N(S900)&lt;=0,ISNUMBER(MATCH(T900,Parameter!$I$27:$I$29,0))),1,0)</f>
        <v>1</v>
      </c>
      <c r="BV900" s="55" t="str">
        <f aca="false">IF(AND(Parameter!$B$19="Ja",E900&lt;&gt;"",ISNUMBER(MATCH(E900,Parameter!$I$35:$I$52,0))),VLOOKUP(E900,Parameter!$I$35:$J$52,2,0),IFERROR(VLOOKUP(D900,Parameter!$A$35:$C$64,2,0),"Nein"))</f>
        <v>2+3</v>
      </c>
      <c r="BW900" s="59" t="n">
        <f aca="false">IF(BT900=0,0,IF(N(S900)&gt;0,S900,IFERROR(VLOOKUP(D900,Parameter!$A$35:$C$64,3,0)+0,0)))</f>
        <v>0</v>
      </c>
      <c r="BX900" s="55" t="n">
        <f aca="false">IF(AA900&lt;&gt;"",AA900,Z900)</f>
        <v>3</v>
      </c>
      <c r="BY900" s="55" t="str">
        <f aca="false">IF(BX900=1,"L1",IF(OR(BX900=2,BX900=3),"L23",IF(BX900="Aussen","Aussen","-")))</f>
        <v>L23</v>
      </c>
      <c r="BZ900" s="66" t="n">
        <f aca="false">IF(N(AB900)&gt;0,AB900,0)</f>
        <v>0</v>
      </c>
      <c r="CA900" s="60" t="n">
        <f aca="false">IF(ISNUMBER(AE900),1,0)</f>
        <v>0</v>
      </c>
      <c r="CB900" s="57" t="n">
        <f aca="false">N(AE900)</f>
        <v>0</v>
      </c>
      <c r="CC900" s="57" t="n">
        <f aca="false">N(M900)+N(N900)</f>
        <v>1</v>
      </c>
      <c r="CD900" s="57" t="n">
        <f aca="false">ROUNDUP(H900/BS900,0)</f>
        <v>0</v>
      </c>
      <c r="CE900" s="57" t="n">
        <f aca="false">ROUNDUP(CB900/BS900,0)</f>
        <v>0</v>
      </c>
      <c r="CF900" s="60" t="n">
        <f aca="false">IF(BT900=1,0,IFERROR(VLOOKUP(BR900,'Gebinde-Kategorie'!$A$5:$M$45,5,0)+0,0))</f>
        <v>11</v>
      </c>
      <c r="CG900" s="60" t="n">
        <f aca="false">IFERROR(IF(OR(BX900=1,BX900=2,BX900=3),N(INDEX(Parameter!$I$5:$I$7,BX900)),0),0)</f>
        <v>0</v>
      </c>
      <c r="CH900" s="59" t="n">
        <f aca="false">IF(AND(Parameter!$B$21="Ja",ISNUMBER(W900),N(X900)&gt;0),IFERROR(N(INDEX(Parameter!$L$5:$L$7,W900))*INDEX(Parameter!$E$5:$E$7,W900)*X900/SUMIFS($X$7:$X$1843,$W$7:$W$1843,W900),0),0)</f>
        <v>0</v>
      </c>
    </row>
    <row r="901" customFormat="false" ht="15" hidden="false" customHeight="false" outlineLevel="0" collapsed="false">
      <c r="A901" s="55" t="s">
        <v>1695</v>
      </c>
      <c r="B901" s="55" t="s">
        <v>1694</v>
      </c>
      <c r="C901" s="55" t="s">
        <v>164</v>
      </c>
      <c r="D901" s="55" t="s">
        <v>184</v>
      </c>
      <c r="E901" s="55"/>
      <c r="F901" s="55" t="s">
        <v>218</v>
      </c>
      <c r="G901" s="56" t="n">
        <v>11.39</v>
      </c>
      <c r="H901" s="57" t="n">
        <f aca="false">MAX(0,IF(AND(Parameter!$B$21="Ja",ISNUMBER(Y901)),Y901,IF(Parameter!$B$20="Jahresanfang 2025 + Export",BL901+BK901,BK901)))</f>
        <v>0</v>
      </c>
      <c r="I901" s="57" t="n">
        <f aca="false">H901*G901</f>
        <v>0</v>
      </c>
      <c r="J901" s="57" t="n">
        <f aca="false">BN901*Parameter!$B$18</f>
        <v>0</v>
      </c>
      <c r="K901" s="58" t="n">
        <v>1.5</v>
      </c>
      <c r="L901" s="59" t="n">
        <v>0</v>
      </c>
      <c r="M901" s="57" t="n">
        <v>0</v>
      </c>
      <c r="N901" s="57" t="n">
        <v>1</v>
      </c>
      <c r="O901" s="60" t="n">
        <v>28</v>
      </c>
      <c r="P901" s="55" t="s">
        <v>168</v>
      </c>
      <c r="Q901" s="57"/>
      <c r="R901" s="60" t="n">
        <f aca="false">IF(BT901=1,0,IFERROR(VLOOKUP(BR901,'Gebinde-Kategorie'!$A$5:$M$45,13,0)+0,0))</f>
        <v>26</v>
      </c>
      <c r="S901" s="61"/>
      <c r="T901" s="62" t="s">
        <v>275</v>
      </c>
      <c r="U901" s="62"/>
      <c r="V901" s="62"/>
      <c r="W901" s="55"/>
      <c r="X901" s="57"/>
      <c r="Y901" s="57"/>
      <c r="Z901" s="55" t="n">
        <f aca="false">IF(A901="","",IF(AND(Parameter!$B$21="Ja",ISNUMBER(W901)),W901,IF(BV901="2+3",IF(ISNUMBER(SEARCH("grosser Artikel",BO901)),2,IFERROR(VLOOKUP(BR901,Parameter!$F$35:$G$64,2,0),2)),IF(OR(BV901="Nein",BV901=""),"-",BV901))))</f>
        <v>3</v>
      </c>
      <c r="AA901" s="62"/>
      <c r="AB901" s="63"/>
      <c r="AC901" s="57" t="n">
        <f aca="false">AR901</f>
        <v>20</v>
      </c>
      <c r="AD901" s="57" t="n">
        <f aca="false">MAX(AR901,H901)</f>
        <v>20</v>
      </c>
      <c r="AE901" s="64"/>
      <c r="AF901" s="57" t="n">
        <f aca="false">IF(LEFT(Cockpit!$C$5,1)="A",H901,IF(CA901=1,CB901,IF(LEFT(Cockpit!$C$5,1)="B",AJ901,MAX(AJ901,H901))))</f>
        <v>0</v>
      </c>
      <c r="AG901" s="57" t="n">
        <f aca="false">IF(BT901=1,0,ROUNDUP(AF901/BS901,0))</f>
        <v>0</v>
      </c>
      <c r="AH901" s="59" t="n">
        <f aca="false">IF(CH901&gt;0,CH901*MAX(1,AF901/X901),IF(BT901=1,IF(AF901&lt;=0,0,BW901*MAX(1,IF(H901&gt;0,AF901/H901,1))),IF(R901&gt;0,AG901/R901,0))/MAX(0.1,N(Parameter!$M$21)))</f>
        <v>0</v>
      </c>
      <c r="AI901" s="57" t="n">
        <f aca="false">AF901*G901</f>
        <v>0</v>
      </c>
      <c r="AJ901" s="57" t="n">
        <f aca="false">ROUNDUP(MAX(J901/IF(BZ901&gt;0,BZ901,MAX(0.1,N(Cockpit!$C$6))),CC901)/BS901,0)*BS901</f>
        <v>20</v>
      </c>
      <c r="AK901" s="58" t="n">
        <f aca="false">IF(AH901&gt;0,J901/AH901,-1)</f>
        <v>-1</v>
      </c>
      <c r="AL901" s="58" t="str">
        <f aca="false">IF(AND(OR(BY901="L1",BY901="L23"),AH901&gt;0),SUMIFS($AH$7:$AH$1843,$BY$7:$BY$1843,BY901,$AK$7:$AK$1843,"&gt;"&amp;AK901)+SUMIFS($AH$7:$AH$1843,$BY$7:$BY$1843,BY901,$AK$7:$AK$1843,AK901,$BQ$7:$BQ$1843,"&lt;="&amp;BQ901),"")</f>
        <v/>
      </c>
      <c r="AM901" s="65" t="n">
        <f aca="false">IF(AL901="",0,MAX(0,MIN(1,(IF(BY901="L1",Parameter!$E$5,Parameter!$E$6+Parameter!$E$7)-(AL901-AH901))/AH901)))</f>
        <v>0</v>
      </c>
      <c r="AN901" s="57" t="n">
        <f aca="false">IF(LEFT(Cockpit!$I$5,1)="A",H901,IF(CA901=1,CB901,IF(LEFT(Cockpit!$I$5,1)="B",AR901,MAX(AR901,H901))))</f>
        <v>20</v>
      </c>
      <c r="AO901" s="57" t="n">
        <f aca="false">IF(BT901=1,0,ROUNDUP(AN901/BS901,0))</f>
        <v>1</v>
      </c>
      <c r="AP901" s="59" t="n">
        <f aca="false">IF(CH901&gt;0,CH901*MAX(1,AN901/X901),IF(BT901=1,IF(AN901&lt;=0,0,BW901*MAX(1,IF(H901&gt;0,AN901/H901,1))),IF(R901&gt;0,AO901/R901,0))/MAX(0.1,N(Parameter!$M$21)))</f>
        <v>0.0384615384615385</v>
      </c>
      <c r="AQ901" s="57" t="n">
        <f aca="false">AN901*G901</f>
        <v>227.8</v>
      </c>
      <c r="AR901" s="57" t="n">
        <f aca="false">ROUNDUP(MAX(J901/IF(BZ901&gt;0,BZ901,MAX(0.1,N(Cockpit!$I$6))),CC901)/BS901,0)*BS901</f>
        <v>20</v>
      </c>
      <c r="AS901" s="58" t="n">
        <f aca="false">IF(AP901&gt;0,J901/AP901,-1)</f>
        <v>0</v>
      </c>
      <c r="AT901" s="58" t="n">
        <f aca="false">IF(AND(OR(BY901="L1",BY901="L23"),AP901&gt;0),SUMIFS($AP$7:$AP$1843,$BY$7:$BY$1843,BY901,$AS$7:$AS$1843,"&gt;"&amp;AS901)+SUMIFS($AP$7:$AP$1843,$BY$7:$BY$1843,BY901,$AS$7:$AS$1843,AS901,$BQ$7:$BQ$1843,"&lt;="&amp;BQ901),"")</f>
        <v>118.979789534137</v>
      </c>
      <c r="AU901" s="65" t="n">
        <f aca="false">IF(AT901="",0,MAX(0,MIN(1,(IF(BY901="L1",Parameter!$E$5,Parameter!$E$6+Parameter!$E$7)-(AT901-AP901))/AP901)))</f>
        <v>0</v>
      </c>
      <c r="AV901" s="57" t="n">
        <f aca="false">IF(LEFT(Cockpit!$O$5,1)="A",H901,IF(CA901=1,CB901,IF(LEFT(Cockpit!$O$5,1)="B",AZ901,MAX(AZ901,H901))))</f>
        <v>20</v>
      </c>
      <c r="AW901" s="57" t="n">
        <f aca="false">IF(BT901=1,0,ROUNDUP(AV901/BS901,0))</f>
        <v>1</v>
      </c>
      <c r="AX901" s="59" t="n">
        <f aca="false">IF(CH901&gt;0,CH901*MAX(1,AV901/X901),IF(BT901=1,IF(AV901&lt;=0,0,BW901*MAX(1,IF(H901&gt;0,AV901/H901,1))),IF(R901&gt;0,AW901/R901,0))/MAX(0.1,N(Parameter!$M$21)))</f>
        <v>0.0384615384615385</v>
      </c>
      <c r="AY901" s="57" t="n">
        <f aca="false">AV901*G901</f>
        <v>227.8</v>
      </c>
      <c r="AZ901" s="57" t="n">
        <f aca="false">ROUNDUP(MAX(J901/IF(BZ901&gt;0,BZ901,MAX(0.1,N(Cockpit!$O$6))),CC901)/BS901,0)*BS901</f>
        <v>20</v>
      </c>
      <c r="BA901" s="58" t="n">
        <f aca="false">IF(AX901&gt;0,J901/AX901,-1)</f>
        <v>0</v>
      </c>
      <c r="BB901" s="58" t="n">
        <f aca="false">IF(AND(OR(BY901="L1",BY901="L23"),AX901&gt;0),SUMIFS($AX$7:$AX$1843,$BY$7:$BY$1843,BY901,$BA$7:$BA$1843,"&gt;"&amp;BA901)+SUMIFS($AX$7:$AX$1843,$BY$7:$BY$1843,BY901,$BA$7:$BA$1843,BA901,$BQ$7:$BQ$1843,"&lt;="&amp;BQ901),"")</f>
        <v>109.809626363974</v>
      </c>
      <c r="BC901" s="65" t="n">
        <f aca="false">IF(BB901="",0,MAX(0,MIN(1,(IF(BY901="L1",Parameter!$E$5,Parameter!$E$6+Parameter!$E$7)-(BB901-AX901))/AX901)))</f>
        <v>0</v>
      </c>
      <c r="BD901" s="55" t="str">
        <f aca="false">IF(AH901&lt;=0,"",IF(BY901="Aussen","Aussenlager",IF(BY901="-","Nicht im Lift",IF(AM901&gt;=1,"Lift",IF(AM901&lt;=0,"Aussenlager","teilweise")))))</f>
        <v/>
      </c>
      <c r="BE901" s="55" t="str">
        <f aca="false">IF(AP901&lt;=0,"",IF(BY901="Aussen","Aussenlager",IF(BY901="-","Nicht im Lift",IF(AU901&gt;=1,"Lift",IF(AU901&lt;=0,"Aussenlager","teilweise")))))</f>
        <v>Aussenlager</v>
      </c>
      <c r="BF901" s="55" t="str">
        <f aca="false">IF(AX901&lt;=0,"",IF(BY901="Aussen","Aussenlager",IF(BY901="-","Nicht im Lift",IF(BC901&gt;=1,"Lift",IF(BC901&lt;=0,"Aussenlager","teilweise")))))</f>
        <v>Aussenlager</v>
      </c>
      <c r="BG901" s="55" t="str">
        <f aca="false">IF(A901="","",IF(BP901=1,"Neu; ","")&amp;IF(AND(BP901=0,BK901&lt;0),"negativer Bestand (Export "&amp;BK901&amp;"); ","")&amp;IF(J901&lt;=0,"Kein Verbrauch; ","")&amp;IF(CH901&gt;0,"Lift "&amp;W901&amp;" lt. Liftbericht (Fach "&amp;X901&amp;" Stk); ",IF(BU901=1,"Gebinde geschätzt ("&amp;T901&amp;"); ",IF(BT901=1,"Lose – Tablare geschätzt; ","")))&amp;IF(H901&gt;AR901,"Überbestand "&amp;ROUND(H901-AR901,0)&amp;" Stk / CHF "&amp;ROUND((H901-AR901)*G901,0)&amp;"; ","")&amp;IF(AND(CA901=1,CB901&lt;CC901),"MAX &lt; MB+LG; ","")&amp;IF(AND(CG901&gt;0,CF901*10&gt;CG901),"zu hoch für Tablar; ","")&amp;IF(AND(BP901=0,OR(CA901=1,AA901&lt;&gt;"",U901&lt;&gt;"",V901&lt;&gt;"",AB901&lt;&gt;"")),"manuell übersteuert; ","")&amp;IF(AND(BT901=0,R901=0),"Gebinde unbekannt / Stellmass fehlt; ","")&amp;IF(AND(BT901=0,N(V901)&lt;=0,N(Q901)&lt;=0),"Menge pro Gebinde fehlt (Ist = 1 Gebinde); ","")&amp;BO901)</f>
        <v>negativer Bestand (Export -3); Kein Verbrauch; Gebinde geschätzt (Klein); Menge pro Gebinde fehlt (Ist = 1 Gebinde); </v>
      </c>
      <c r="BH901" s="55"/>
      <c r="BI901" s="55"/>
      <c r="BJ901" s="62"/>
      <c r="BK901" s="57" t="n">
        <v>-3</v>
      </c>
      <c r="BL901" s="57" t="n">
        <v>3</v>
      </c>
      <c r="BM901" s="56" t="n">
        <v>-34.17</v>
      </c>
      <c r="BN901" s="57" t="n">
        <v>0</v>
      </c>
      <c r="BO901" s="55"/>
      <c r="BP901" s="60" t="n">
        <v>0</v>
      </c>
      <c r="BQ901" s="60" t="n">
        <v>901</v>
      </c>
      <c r="BR901" s="55" t="str">
        <f aca="false">IF(U901&lt;&gt;"",UPPER(TRIM(U901)),IF(BU901=1,UPPER(VLOOKUP(T901,Parameter!$I$27:$K$29,2,0)),IF(P901="","LOSE",P901)))</f>
        <v>S51</v>
      </c>
      <c r="BS901" s="57" t="n">
        <f aca="false">IF(BR901="LOSE",1,IF(N(V901)&gt;0,V901,IF(BU901=1,MAX(1,N(VLOOKUP(T901,Parameter!$I$27:$K$29,3,0)),H901,N(N901)),IF(N(Q901)&gt;0,Q901,MAX(1,H901)))))</f>
        <v>20</v>
      </c>
      <c r="BT901" s="60" t="n">
        <f aca="false">IF(BR901="LOSE",1,0)</f>
        <v>0</v>
      </c>
      <c r="BU901" s="60" t="n">
        <f aca="false">IF(AND(U901="",OR(P901="",P901="LOSE"),T901&lt;&gt;"",N(S901)&lt;=0,ISNUMBER(MATCH(T901,Parameter!$I$27:$I$29,0))),1,0)</f>
        <v>1</v>
      </c>
      <c r="BV901" s="55" t="str">
        <f aca="false">IF(AND(Parameter!$B$19="Ja",E901&lt;&gt;"",ISNUMBER(MATCH(E901,Parameter!$I$35:$I$52,0))),VLOOKUP(E901,Parameter!$I$35:$J$52,2,0),IFERROR(VLOOKUP(D901,Parameter!$A$35:$C$64,2,0),"Nein"))</f>
        <v>2+3</v>
      </c>
      <c r="BW901" s="59" t="n">
        <f aca="false">IF(BT901=0,0,IF(N(S901)&gt;0,S901,IFERROR(VLOOKUP(D901,Parameter!$A$35:$C$64,3,0)+0,0)))</f>
        <v>0</v>
      </c>
      <c r="BX901" s="55" t="n">
        <f aca="false">IF(AA901&lt;&gt;"",AA901,Z901)</f>
        <v>3</v>
      </c>
      <c r="BY901" s="55" t="str">
        <f aca="false">IF(BX901=1,"L1",IF(OR(BX901=2,BX901=3),"L23",IF(BX901="Aussen","Aussen","-")))</f>
        <v>L23</v>
      </c>
      <c r="BZ901" s="66" t="n">
        <f aca="false">IF(N(AB901)&gt;0,AB901,0)</f>
        <v>0</v>
      </c>
      <c r="CA901" s="60" t="n">
        <f aca="false">IF(ISNUMBER(AE901),1,0)</f>
        <v>0</v>
      </c>
      <c r="CB901" s="57" t="n">
        <f aca="false">N(AE901)</f>
        <v>0</v>
      </c>
      <c r="CC901" s="57" t="n">
        <f aca="false">N(M901)+N(N901)</f>
        <v>1</v>
      </c>
      <c r="CD901" s="57" t="n">
        <f aca="false">ROUNDUP(H901/BS901,0)</f>
        <v>0</v>
      </c>
      <c r="CE901" s="57" t="n">
        <f aca="false">ROUNDUP(CB901/BS901,0)</f>
        <v>0</v>
      </c>
      <c r="CF901" s="60" t="n">
        <f aca="false">IF(BT901=1,0,IFERROR(VLOOKUP(BR901,'Gebinde-Kategorie'!$A$5:$M$45,5,0)+0,0))</f>
        <v>11</v>
      </c>
      <c r="CG901" s="60" t="n">
        <f aca="false">IFERROR(IF(OR(BX901=1,BX901=2,BX901=3),N(INDEX(Parameter!$I$5:$I$7,BX901)),0),0)</f>
        <v>0</v>
      </c>
      <c r="CH901" s="59" t="n">
        <f aca="false">IF(AND(Parameter!$B$21="Ja",ISNUMBER(W901),N(X901)&gt;0),IFERROR(N(INDEX(Parameter!$L$5:$L$7,W901))*INDEX(Parameter!$E$5:$E$7,W901)*X901/SUMIFS($X$7:$X$1843,$W$7:$W$1843,W901),0),0)</f>
        <v>0</v>
      </c>
    </row>
    <row r="902" customFormat="false" ht="15" hidden="false" customHeight="false" outlineLevel="0" collapsed="false">
      <c r="A902" s="55" t="s">
        <v>1696</v>
      </c>
      <c r="B902" s="55" t="s">
        <v>1009</v>
      </c>
      <c r="C902" s="55" t="s">
        <v>164</v>
      </c>
      <c r="D902" s="55" t="s">
        <v>184</v>
      </c>
      <c r="E902" s="55"/>
      <c r="F902" s="55" t="s">
        <v>218</v>
      </c>
      <c r="G902" s="56" t="n">
        <v>4.31</v>
      </c>
      <c r="H902" s="57" t="n">
        <f aca="false">MAX(0,IF(AND(Parameter!$B$21="Ja",ISNUMBER(Y902)),Y902,IF(Parameter!$B$20="Jahresanfang 2025 + Export",BL902+BK902,BK902)))</f>
        <v>4</v>
      </c>
      <c r="I902" s="57" t="n">
        <f aca="false">H902*G902</f>
        <v>17.24</v>
      </c>
      <c r="J902" s="57" t="n">
        <f aca="false">BN902*Parameter!$B$18</f>
        <v>1</v>
      </c>
      <c r="K902" s="58" t="n">
        <v>11</v>
      </c>
      <c r="L902" s="59" t="n">
        <v>0.0909090909090909</v>
      </c>
      <c r="M902" s="57" t="n">
        <v>0</v>
      </c>
      <c r="N902" s="57" t="n">
        <v>1</v>
      </c>
      <c r="O902" s="60" t="n">
        <v>70</v>
      </c>
      <c r="P902" s="55" t="s">
        <v>401</v>
      </c>
      <c r="Q902" s="57" t="n">
        <v>5</v>
      </c>
      <c r="R902" s="60" t="n">
        <f aca="false">IF(BT902=1,0,IFERROR(VLOOKUP(BR902,'Gebinde-Kategorie'!$A$5:$M$45,13,0)+0,0))</f>
        <v>414</v>
      </c>
      <c r="S902" s="61"/>
      <c r="T902" s="62"/>
      <c r="U902" s="62"/>
      <c r="V902" s="62"/>
      <c r="W902" s="55"/>
      <c r="X902" s="57"/>
      <c r="Y902" s="57"/>
      <c r="Z902" s="55" t="n">
        <f aca="false">IF(A902="","",IF(AND(Parameter!$B$21="Ja",ISNUMBER(W902)),W902,IF(BV902="2+3",IF(ISNUMBER(SEARCH("grosser Artikel",BO902)),2,IFERROR(VLOOKUP(BR902,Parameter!$F$35:$G$64,2,0),2)),IF(OR(BV902="Nein",BV902=""),"-",BV902))))</f>
        <v>3</v>
      </c>
      <c r="AA902" s="62"/>
      <c r="AB902" s="63"/>
      <c r="AC902" s="57" t="n">
        <f aca="false">AR902</f>
        <v>5</v>
      </c>
      <c r="AD902" s="57" t="n">
        <f aca="false">MAX(AR902,H902)</f>
        <v>5</v>
      </c>
      <c r="AE902" s="64"/>
      <c r="AF902" s="57" t="n">
        <f aca="false">IF(LEFT(Cockpit!$C$5,1)="A",H902,IF(CA902=1,CB902,IF(LEFT(Cockpit!$C$5,1)="B",AJ902,MAX(AJ902,H902))))</f>
        <v>4</v>
      </c>
      <c r="AG902" s="57" t="n">
        <f aca="false">IF(BT902=1,0,ROUNDUP(AF902/BS902,0))</f>
        <v>1</v>
      </c>
      <c r="AH902" s="59" t="n">
        <f aca="false">IF(CH902&gt;0,CH902*MAX(1,AF902/X902),IF(BT902=1,IF(AF902&lt;=0,0,BW902*MAX(1,IF(H902&gt;0,AF902/H902,1))),IF(R902&gt;0,AG902/R902,0))/MAX(0.1,N(Parameter!$M$21)))</f>
        <v>0.00241545893719807</v>
      </c>
      <c r="AI902" s="57" t="n">
        <f aca="false">AF902*G902</f>
        <v>17.24</v>
      </c>
      <c r="AJ902" s="57" t="n">
        <f aca="false">ROUNDUP(MAX(J902/IF(BZ902&gt;0,BZ902,MAX(0.1,N(Cockpit!$C$6))),CC902)/BS902,0)*BS902</f>
        <v>5</v>
      </c>
      <c r="AK902" s="58" t="n">
        <f aca="false">IF(AH902&gt;0,J902/AH902,-1)</f>
        <v>414</v>
      </c>
      <c r="AL902" s="58" t="n">
        <f aca="false">IF(AND(OR(BY902="L1",BY902="L23"),AH902&gt;0),SUMIFS($AH$7:$AH$1843,$BY$7:$BY$1843,BY902,$AK$7:$AK$1843,"&gt;"&amp;AK902)+SUMIFS($AH$7:$AH$1843,$BY$7:$BY$1843,BY902,$AK$7:$AK$1843,AK902,$BQ$7:$BQ$1843,"&lt;="&amp;BQ902),"")</f>
        <v>25.4307455829195</v>
      </c>
      <c r="AM902" s="65" t="n">
        <f aca="false">IF(AL902="",0,MAX(0,MIN(1,(IF(BY902="L1",Parameter!$E$5,Parameter!$E$6+Parameter!$E$7)-(AL902-AH902))/AH902)))</f>
        <v>1</v>
      </c>
      <c r="AN902" s="57" t="n">
        <f aca="false">IF(LEFT(Cockpit!$I$5,1)="A",H902,IF(CA902=1,CB902,IF(LEFT(Cockpit!$I$5,1)="B",AR902,MAX(AR902,H902))))</f>
        <v>5</v>
      </c>
      <c r="AO902" s="57" t="n">
        <f aca="false">IF(BT902=1,0,ROUNDUP(AN902/BS902,0))</f>
        <v>1</v>
      </c>
      <c r="AP902" s="59" t="n">
        <f aca="false">IF(CH902&gt;0,CH902*MAX(1,AN902/X902),IF(BT902=1,IF(AN902&lt;=0,0,BW902*MAX(1,IF(H902&gt;0,AN902/H902,1))),IF(R902&gt;0,AO902/R902,0))/MAX(0.1,N(Parameter!$M$21)))</f>
        <v>0.00241545893719807</v>
      </c>
      <c r="AQ902" s="57" t="n">
        <f aca="false">AN902*G902</f>
        <v>21.55</v>
      </c>
      <c r="AR902" s="57" t="n">
        <f aca="false">ROUNDUP(MAX(J902/IF(BZ902&gt;0,BZ902,MAX(0.1,N(Cockpit!$I$6))),CC902)/BS902,0)*BS902</f>
        <v>5</v>
      </c>
      <c r="AS902" s="58" t="n">
        <f aca="false">IF(AP902&gt;0,J902/AP902,-1)</f>
        <v>414</v>
      </c>
      <c r="AT902" s="58" t="n">
        <f aca="false">IF(AND(OR(BY902="L1",BY902="L23"),AP902&gt;0),SUMIFS($AP$7:$AP$1843,$BY$7:$BY$1843,BY902,$AS$7:$AS$1843,"&gt;"&amp;AS902)+SUMIFS($AP$7:$AP$1843,$BY$7:$BY$1843,BY902,$AS$7:$AS$1843,AS902,$BQ$7:$BQ$1843,"&lt;="&amp;BQ902),"")</f>
        <v>35.0205651836087</v>
      </c>
      <c r="AU902" s="65" t="n">
        <f aca="false">IF(AT902="",0,MAX(0,MIN(1,(IF(BY902="L1",Parameter!$E$5,Parameter!$E$6+Parameter!$E$7)-(AT902-AP902))/AP902)))</f>
        <v>1</v>
      </c>
      <c r="AV902" s="57" t="n">
        <f aca="false">IF(LEFT(Cockpit!$O$5,1)="A",H902,IF(CA902=1,CB902,IF(LEFT(Cockpit!$O$5,1)="B",AZ902,MAX(AZ902,H902))))</f>
        <v>5</v>
      </c>
      <c r="AW902" s="57" t="n">
        <f aca="false">IF(BT902=1,0,ROUNDUP(AV902/BS902,0))</f>
        <v>1</v>
      </c>
      <c r="AX902" s="59" t="n">
        <f aca="false">IF(CH902&gt;0,CH902*MAX(1,AV902/X902),IF(BT902=1,IF(AV902&lt;=0,0,BW902*MAX(1,IF(H902&gt;0,AV902/H902,1))),IF(R902&gt;0,AW902/R902,0))/MAX(0.1,N(Parameter!$M$21)))</f>
        <v>0.00241545893719807</v>
      </c>
      <c r="AY902" s="57" t="n">
        <f aca="false">AV902*G902</f>
        <v>21.55</v>
      </c>
      <c r="AZ902" s="57" t="n">
        <f aca="false">ROUNDUP(MAX(J902/IF(BZ902&gt;0,BZ902,MAX(0.1,N(Cockpit!$O$6))),CC902)/BS902,0)*BS902</f>
        <v>5</v>
      </c>
      <c r="BA902" s="58" t="n">
        <f aca="false">IF(AX902&gt;0,J902/AX902,-1)</f>
        <v>414</v>
      </c>
      <c r="BB902" s="58" t="n">
        <f aca="false">IF(AND(OR(BY902="L1",BY902="L23"),AX902&gt;0),SUMIFS($AX$7:$AX$1843,$BY$7:$BY$1843,BY902,$BA$7:$BA$1843,"&gt;"&amp;BA902)+SUMIFS($AX$7:$AX$1843,$BY$7:$BY$1843,BY902,$BA$7:$BA$1843,BA902,$BQ$7:$BQ$1843,"&lt;="&amp;BQ902),"")</f>
        <v>34.2670686801122</v>
      </c>
      <c r="BC902" s="65" t="n">
        <f aca="false">IF(BB902="",0,MAX(0,MIN(1,(IF(BY902="L1",Parameter!$E$5,Parameter!$E$6+Parameter!$E$7)-(BB902-AX902))/AX902)))</f>
        <v>1</v>
      </c>
      <c r="BD902" s="55" t="str">
        <f aca="false">IF(AH902&lt;=0,"",IF(BY902="Aussen","Aussenlager",IF(BY902="-","Nicht im Lift",IF(AM902&gt;=1,"Lift",IF(AM902&lt;=0,"Aussenlager","teilweise")))))</f>
        <v>Lift</v>
      </c>
      <c r="BE902" s="55" t="str">
        <f aca="false">IF(AP902&lt;=0,"",IF(BY902="Aussen","Aussenlager",IF(BY902="-","Nicht im Lift",IF(AU902&gt;=1,"Lift",IF(AU902&lt;=0,"Aussenlager","teilweise")))))</f>
        <v>Lift</v>
      </c>
      <c r="BF902" s="55" t="str">
        <f aca="false">IF(AX902&lt;=0,"",IF(BY902="Aussen","Aussenlager",IF(BY902="-","Nicht im Lift",IF(BC902&gt;=1,"Lift",IF(BC902&lt;=0,"Aussenlager","teilweise")))))</f>
        <v>Lift</v>
      </c>
      <c r="BG902" s="55" t="str">
        <f aca="false">IF(A902="","",IF(BP902=1,"Neu; ","")&amp;IF(AND(BP902=0,BK902&lt;0),"negativer Bestand (Export "&amp;BK902&amp;"); ","")&amp;IF(J902&lt;=0,"Kein Verbrauch; ","")&amp;IF(CH902&gt;0,"Lift "&amp;W902&amp;" lt. Liftbericht (Fach "&amp;X902&amp;" Stk); ",IF(BU902=1,"Gebinde geschätzt ("&amp;T902&amp;"); ",IF(BT902=1,"Lose – Tablare geschätzt; ","")))&amp;IF(H902&gt;AR902,"Überbestand "&amp;ROUND(H902-AR902,0)&amp;" Stk / CHF "&amp;ROUND((H902-AR902)*G902,0)&amp;"; ","")&amp;IF(AND(CA902=1,CB902&lt;CC902),"MAX &lt; MB+LG; ","")&amp;IF(AND(CG902&gt;0,CF902*10&gt;CG902),"zu hoch für Tablar; ","")&amp;IF(AND(BP902=0,OR(CA902=1,AA902&lt;&gt;"",U902&lt;&gt;"",V902&lt;&gt;"",AB902&lt;&gt;"")),"manuell übersteuert; ","")&amp;IF(AND(BT902=0,R902=0),"Gebinde unbekannt / Stellmass fehlt; ","")&amp;IF(AND(BT902=0,N(V902)&lt;=0,N(Q902)&lt;=0),"Menge pro Gebinde fehlt (Ist = 1 Gebinde); ","")&amp;BO902)</f>
        <v>negativer Bestand (Export -8); </v>
      </c>
      <c r="BH902" s="55"/>
      <c r="BI902" s="55"/>
      <c r="BJ902" s="62"/>
      <c r="BK902" s="57" t="n">
        <v>-8</v>
      </c>
      <c r="BL902" s="57" t="n">
        <v>12</v>
      </c>
      <c r="BM902" s="56" t="n">
        <v>-34.48</v>
      </c>
      <c r="BN902" s="57" t="n">
        <v>1</v>
      </c>
      <c r="BO902" s="55"/>
      <c r="BP902" s="60" t="n">
        <v>0</v>
      </c>
      <c r="BQ902" s="60" t="n">
        <v>902</v>
      </c>
      <c r="BR902" s="55" t="str">
        <f aca="false">IF(U902&lt;&gt;"",UPPER(TRIM(U902)),IF(BU902=1,UPPER(VLOOKUP(T902,Parameter!$I$27:$K$29,2,0)),IF(P902="","LOSE",P902)))</f>
        <v>S21</v>
      </c>
      <c r="BS902" s="57" t="n">
        <f aca="false">IF(BR902="LOSE",1,IF(N(V902)&gt;0,V902,IF(BU902=1,MAX(1,N(VLOOKUP(T902,Parameter!$I$27:$K$29,3,0)),H902,N(N902)),IF(N(Q902)&gt;0,Q902,MAX(1,H902)))))</f>
        <v>5</v>
      </c>
      <c r="BT902" s="60" t="n">
        <f aca="false">IF(BR902="LOSE",1,0)</f>
        <v>0</v>
      </c>
      <c r="BU902" s="60" t="n">
        <f aca="false">IF(AND(U902="",OR(P902="",P902="LOSE"),T902&lt;&gt;"",N(S902)&lt;=0,ISNUMBER(MATCH(T902,Parameter!$I$27:$I$29,0))),1,0)</f>
        <v>0</v>
      </c>
      <c r="BV902" s="55" t="str">
        <f aca="false">IF(AND(Parameter!$B$19="Ja",E902&lt;&gt;"",ISNUMBER(MATCH(E902,Parameter!$I$35:$I$52,0))),VLOOKUP(E902,Parameter!$I$35:$J$52,2,0),IFERROR(VLOOKUP(D902,Parameter!$A$35:$C$64,2,0),"Nein"))</f>
        <v>2+3</v>
      </c>
      <c r="BW902" s="59" t="n">
        <f aca="false">IF(BT902=0,0,IF(N(S902)&gt;0,S902,IFERROR(VLOOKUP(D902,Parameter!$A$35:$C$64,3,0)+0,0)))</f>
        <v>0</v>
      </c>
      <c r="BX902" s="55" t="n">
        <f aca="false">IF(AA902&lt;&gt;"",AA902,Z902)</f>
        <v>3</v>
      </c>
      <c r="BY902" s="55" t="str">
        <f aca="false">IF(BX902=1,"L1",IF(OR(BX902=2,BX902=3),"L23",IF(BX902="Aussen","Aussen","-")))</f>
        <v>L23</v>
      </c>
      <c r="BZ902" s="66" t="n">
        <f aca="false">IF(N(AB902)&gt;0,AB902,0)</f>
        <v>0</v>
      </c>
      <c r="CA902" s="60" t="n">
        <f aca="false">IF(ISNUMBER(AE902),1,0)</f>
        <v>0</v>
      </c>
      <c r="CB902" s="57" t="n">
        <f aca="false">N(AE902)</f>
        <v>0</v>
      </c>
      <c r="CC902" s="57" t="n">
        <f aca="false">N(M902)+N(N902)</f>
        <v>1</v>
      </c>
      <c r="CD902" s="57" t="n">
        <f aca="false">ROUNDUP(H902/BS902,0)</f>
        <v>1</v>
      </c>
      <c r="CE902" s="57" t="n">
        <f aca="false">ROUNDUP(CB902/BS902,0)</f>
        <v>0</v>
      </c>
      <c r="CF902" s="60" t="n">
        <f aca="false">IF(BT902=1,0,IFERROR(VLOOKUP(BR902,'Gebinde-Kategorie'!$A$5:$M$45,5,0)+0,0))</f>
        <v>8</v>
      </c>
      <c r="CG902" s="60" t="n">
        <f aca="false">IFERROR(IF(OR(BX902=1,BX902=2,BX902=3),N(INDEX(Parameter!$I$5:$I$7,BX902)),0),0)</f>
        <v>0</v>
      </c>
      <c r="CH902" s="59" t="n">
        <f aca="false">IF(AND(Parameter!$B$21="Ja",ISNUMBER(W902),N(X902)&gt;0),IFERROR(N(INDEX(Parameter!$L$5:$L$7,W902))*INDEX(Parameter!$E$5:$E$7,W902)*X902/SUMIFS($X$7:$X$1843,$W$7:$W$1843,W902),0),0)</f>
        <v>0</v>
      </c>
    </row>
    <row r="903" customFormat="false" ht="15" hidden="false" customHeight="false" outlineLevel="0" collapsed="false">
      <c r="A903" s="55" t="s">
        <v>1697</v>
      </c>
      <c r="B903" s="55" t="s">
        <v>1165</v>
      </c>
      <c r="C903" s="55" t="s">
        <v>164</v>
      </c>
      <c r="D903" s="55" t="s">
        <v>184</v>
      </c>
      <c r="E903" s="55" t="s">
        <v>185</v>
      </c>
      <c r="F903" s="55" t="s">
        <v>218</v>
      </c>
      <c r="G903" s="56" t="n">
        <v>12.71</v>
      </c>
      <c r="H903" s="57" t="n">
        <f aca="false">MAX(0,IF(AND(Parameter!$B$21="Ja",ISNUMBER(Y903)),Y903,IF(Parameter!$B$20="Jahresanfang 2025 + Export",BL903+BK903,BK903)))</f>
        <v>6</v>
      </c>
      <c r="I903" s="57" t="n">
        <f aca="false">H903*G903</f>
        <v>76.26</v>
      </c>
      <c r="J903" s="57" t="n">
        <f aca="false">BN903*Parameter!$B$18</f>
        <v>8</v>
      </c>
      <c r="K903" s="58" t="n">
        <v>6.5</v>
      </c>
      <c r="L903" s="59" t="n">
        <v>1.23076923076923</v>
      </c>
      <c r="M903" s="57" t="n">
        <v>0</v>
      </c>
      <c r="N903" s="57" t="n">
        <v>10</v>
      </c>
      <c r="O903" s="60" t="n">
        <v>18</v>
      </c>
      <c r="P903" s="55" t="s">
        <v>476</v>
      </c>
      <c r="Q903" s="57" t="n">
        <v>17</v>
      </c>
      <c r="R903" s="60" t="n">
        <f aca="false">IF(BT903=1,0,IFERROR(VLOOKUP(BR903,'Gebinde-Kategorie'!$A$5:$M$45,13,0)+0,0))</f>
        <v>66</v>
      </c>
      <c r="S903" s="61"/>
      <c r="T903" s="62"/>
      <c r="U903" s="62"/>
      <c r="V903" s="62"/>
      <c r="W903" s="55"/>
      <c r="X903" s="57"/>
      <c r="Y903" s="57"/>
      <c r="Z903" s="55" t="n">
        <f aca="false">IF(A903="","",IF(AND(Parameter!$B$21="Ja",ISNUMBER(W903)),W903,IF(BV903="2+3",IF(ISNUMBER(SEARCH("grosser Artikel",BO903)),2,IFERROR(VLOOKUP(BR903,Parameter!$F$35:$G$64,2,0),2)),IF(OR(BV903="Nein",BV903=""),"-",BV903))))</f>
        <v>3</v>
      </c>
      <c r="AA903" s="62"/>
      <c r="AB903" s="63"/>
      <c r="AC903" s="57" t="n">
        <f aca="false">AR903</f>
        <v>17</v>
      </c>
      <c r="AD903" s="57" t="n">
        <f aca="false">MAX(AR903,H903)</f>
        <v>17</v>
      </c>
      <c r="AE903" s="64"/>
      <c r="AF903" s="57" t="n">
        <f aca="false">IF(LEFT(Cockpit!$C$5,1)="A",H903,IF(CA903=1,CB903,IF(LEFT(Cockpit!$C$5,1)="B",AJ903,MAX(AJ903,H903))))</f>
        <v>6</v>
      </c>
      <c r="AG903" s="57" t="n">
        <f aca="false">IF(BT903=1,0,ROUNDUP(AF903/BS903,0))</f>
        <v>1</v>
      </c>
      <c r="AH903" s="59" t="n">
        <f aca="false">IF(CH903&gt;0,CH903*MAX(1,AF903/X903),IF(BT903=1,IF(AF903&lt;=0,0,BW903*MAX(1,IF(H903&gt;0,AF903/H903,1))),IF(R903&gt;0,AG903/R903,0))/MAX(0.1,N(Parameter!$M$21)))</f>
        <v>0.0151515151515152</v>
      </c>
      <c r="AI903" s="57" t="n">
        <f aca="false">AF903*G903</f>
        <v>76.26</v>
      </c>
      <c r="AJ903" s="57" t="n">
        <f aca="false">ROUNDUP(MAX(J903/IF(BZ903&gt;0,BZ903,MAX(0.1,N(Cockpit!$C$6))),CC903)/BS903,0)*BS903</f>
        <v>17</v>
      </c>
      <c r="AK903" s="58" t="n">
        <f aca="false">IF(AH903&gt;0,J903/AH903,-1)</f>
        <v>528</v>
      </c>
      <c r="AL903" s="58" t="n">
        <f aca="false">IF(AND(OR(BY903="L1",BY903="L23"),AH903&gt;0),SUMIFS($AH$7:$AH$1843,$BY$7:$BY$1843,BY903,$AK$7:$AK$1843,"&gt;"&amp;AK903)+SUMIFS($AH$7:$AH$1843,$BY$7:$BY$1843,BY903,$AK$7:$AK$1843,AK903,$BQ$7:$BQ$1843,"&lt;="&amp;BQ903),"")</f>
        <v>23.7389277389277</v>
      </c>
      <c r="AM903" s="65" t="n">
        <f aca="false">IF(AL903="",0,MAX(0,MIN(1,(IF(BY903="L1",Parameter!$E$5,Parameter!$E$6+Parameter!$E$7)-(AL903-AH903))/AH903)))</f>
        <v>1</v>
      </c>
      <c r="AN903" s="57" t="n">
        <f aca="false">IF(LEFT(Cockpit!$I$5,1)="A",H903,IF(CA903=1,CB903,IF(LEFT(Cockpit!$I$5,1)="B",AR903,MAX(AR903,H903))))</f>
        <v>17</v>
      </c>
      <c r="AO903" s="57" t="n">
        <f aca="false">IF(BT903=1,0,ROUNDUP(AN903/BS903,0))</f>
        <v>1</v>
      </c>
      <c r="AP903" s="59" t="n">
        <f aca="false">IF(CH903&gt;0,CH903*MAX(1,AN903/X903),IF(BT903=1,IF(AN903&lt;=0,0,BW903*MAX(1,IF(H903&gt;0,AN903/H903,1))),IF(R903&gt;0,AO903/R903,0))/MAX(0.1,N(Parameter!$M$21)))</f>
        <v>0.0151515151515152</v>
      </c>
      <c r="AQ903" s="57" t="n">
        <f aca="false">AN903*G903</f>
        <v>216.07</v>
      </c>
      <c r="AR903" s="57" t="n">
        <f aca="false">ROUNDUP(MAX(J903/IF(BZ903&gt;0,BZ903,MAX(0.1,N(Cockpit!$I$6))),CC903)/BS903,0)*BS903</f>
        <v>17</v>
      </c>
      <c r="AS903" s="58" t="n">
        <f aca="false">IF(AP903&gt;0,J903/AP903,-1)</f>
        <v>528</v>
      </c>
      <c r="AT903" s="58" t="n">
        <f aca="false">IF(AND(OR(BY903="L1",BY903="L23"),AP903&gt;0),SUMIFS($AP$7:$AP$1843,$BY$7:$BY$1843,BY903,$AS$7:$AS$1843,"&gt;"&amp;AS903)+SUMIFS($AP$7:$AP$1843,$BY$7:$BY$1843,BY903,$AS$7:$AS$1843,AS903,$BQ$7:$BQ$1843,"&lt;="&amp;BQ903),"")</f>
        <v>32.4877537921016</v>
      </c>
      <c r="AU903" s="65" t="n">
        <f aca="false">IF(AT903="",0,MAX(0,MIN(1,(IF(BY903="L1",Parameter!$E$5,Parameter!$E$6+Parameter!$E$7)-(AT903-AP903))/AP903)))</f>
        <v>1</v>
      </c>
      <c r="AV903" s="57" t="n">
        <f aca="false">IF(LEFT(Cockpit!$O$5,1)="A",H903,IF(CA903=1,CB903,IF(LEFT(Cockpit!$O$5,1)="B",AZ903,MAX(AZ903,H903))))</f>
        <v>17</v>
      </c>
      <c r="AW903" s="57" t="n">
        <f aca="false">IF(BT903=1,0,ROUNDUP(AV903/BS903,0))</f>
        <v>1</v>
      </c>
      <c r="AX903" s="59" t="n">
        <f aca="false">IF(CH903&gt;0,CH903*MAX(1,AV903/X903),IF(BT903=1,IF(AV903&lt;=0,0,BW903*MAX(1,IF(H903&gt;0,AV903/H903,1))),IF(R903&gt;0,AW903/R903,0))/MAX(0.1,N(Parameter!$M$21)))</f>
        <v>0.0151515151515152</v>
      </c>
      <c r="AY903" s="57" t="n">
        <f aca="false">AV903*G903</f>
        <v>216.07</v>
      </c>
      <c r="AZ903" s="57" t="n">
        <f aca="false">ROUNDUP(MAX(J903/IF(BZ903&gt;0,BZ903,MAX(0.1,N(Cockpit!$O$6))),CC903)/BS903,0)*BS903</f>
        <v>17</v>
      </c>
      <c r="BA903" s="58" t="n">
        <f aca="false">IF(AX903&gt;0,J903/AX903,-1)</f>
        <v>528</v>
      </c>
      <c r="BB903" s="58" t="n">
        <f aca="false">IF(AND(OR(BY903="L1",BY903="L23"),AX903&gt;0),SUMIFS($AX$7:$AX$1843,$BY$7:$BY$1843,BY903,$BA$7:$BA$1843,"&gt;"&amp;BA903)+SUMIFS($AX$7:$AX$1843,$BY$7:$BY$1843,BY903,$BA$7:$BA$1843,BA903,$BQ$7:$BQ$1843,"&lt;="&amp;BQ903),"")</f>
        <v>30.0547701091179</v>
      </c>
      <c r="BC903" s="65" t="n">
        <f aca="false">IF(BB903="",0,MAX(0,MIN(1,(IF(BY903="L1",Parameter!$E$5,Parameter!$E$6+Parameter!$E$7)-(BB903-AX903))/AX903)))</f>
        <v>1</v>
      </c>
      <c r="BD903" s="55" t="str">
        <f aca="false">IF(AH903&lt;=0,"",IF(BY903="Aussen","Aussenlager",IF(BY903="-","Nicht im Lift",IF(AM903&gt;=1,"Lift",IF(AM903&lt;=0,"Aussenlager","teilweise")))))</f>
        <v>Lift</v>
      </c>
      <c r="BE903" s="55" t="str">
        <f aca="false">IF(AP903&lt;=0,"",IF(BY903="Aussen","Aussenlager",IF(BY903="-","Nicht im Lift",IF(AU903&gt;=1,"Lift",IF(AU903&lt;=0,"Aussenlager","teilweise")))))</f>
        <v>Lift</v>
      </c>
      <c r="BF903" s="55" t="str">
        <f aca="false">IF(AX903&lt;=0,"",IF(BY903="Aussen","Aussenlager",IF(BY903="-","Nicht im Lift",IF(BC903&gt;=1,"Lift",IF(BC903&lt;=0,"Aussenlager","teilweise")))))</f>
        <v>Lift</v>
      </c>
      <c r="BG903" s="55" t="str">
        <f aca="false">IF(A903="","",IF(BP903=1,"Neu; ","")&amp;IF(AND(BP903=0,BK903&lt;0),"negativer Bestand (Export "&amp;BK903&amp;"); ","")&amp;IF(J903&lt;=0,"Kein Verbrauch; ","")&amp;IF(CH903&gt;0,"Lift "&amp;W903&amp;" lt. Liftbericht (Fach "&amp;X903&amp;" Stk); ",IF(BU903=1,"Gebinde geschätzt ("&amp;T903&amp;"); ",IF(BT903=1,"Lose – Tablare geschätzt; ","")))&amp;IF(H903&gt;AR903,"Überbestand "&amp;ROUND(H903-AR903,0)&amp;" Stk / CHF "&amp;ROUND((H903-AR903)*G903,0)&amp;"; ","")&amp;IF(AND(CA903=1,CB903&lt;CC903),"MAX &lt; MB+LG; ","")&amp;IF(AND(CG903&gt;0,CF903*10&gt;CG903),"zu hoch für Tablar; ","")&amp;IF(AND(BP903=0,OR(CA903=1,AA903&lt;&gt;"",U903&lt;&gt;"",V903&lt;&gt;"",AB903&lt;&gt;"")),"manuell übersteuert; ","")&amp;IF(AND(BT903=0,R903=0),"Gebinde unbekannt / Stellmass fehlt; ","")&amp;IF(AND(BT903=0,N(V903)&lt;=0,N(Q903)&lt;=0),"Menge pro Gebinde fehlt (Ist = 1 Gebinde); ","")&amp;BO903)</f>
        <v>negativer Bestand (Export -2); </v>
      </c>
      <c r="BH903" s="55"/>
      <c r="BI903" s="55"/>
      <c r="BJ903" s="62"/>
      <c r="BK903" s="57" t="n">
        <v>-2</v>
      </c>
      <c r="BL903" s="57" t="n">
        <v>8</v>
      </c>
      <c r="BM903" s="56" t="n">
        <v>-35.5</v>
      </c>
      <c r="BN903" s="57" t="n">
        <v>8</v>
      </c>
      <c r="BO903" s="55"/>
      <c r="BP903" s="60" t="n">
        <v>0</v>
      </c>
      <c r="BQ903" s="60" t="n">
        <v>903</v>
      </c>
      <c r="BR903" s="55" t="str">
        <f aca="false">IF(U903&lt;&gt;"",UPPER(TRIM(U903)),IF(BU903=1,UPPER(VLOOKUP(T903,Parameter!$I$27:$K$29,2,0)),IF(P903="","LOSE",P903)))</f>
        <v>S33</v>
      </c>
      <c r="BS903" s="57" t="n">
        <f aca="false">IF(BR903="LOSE",1,IF(N(V903)&gt;0,V903,IF(BU903=1,MAX(1,N(VLOOKUP(T903,Parameter!$I$27:$K$29,3,0)),H903,N(N903)),IF(N(Q903)&gt;0,Q903,MAX(1,H903)))))</f>
        <v>17</v>
      </c>
      <c r="BT903" s="60" t="n">
        <f aca="false">IF(BR903="LOSE",1,0)</f>
        <v>0</v>
      </c>
      <c r="BU903" s="60" t="n">
        <f aca="false">IF(AND(U903="",OR(P903="",P903="LOSE"),T903&lt;&gt;"",N(S903)&lt;=0,ISNUMBER(MATCH(T903,Parameter!$I$27:$I$29,0))),1,0)</f>
        <v>0</v>
      </c>
      <c r="BV903" s="55" t="str">
        <f aca="false">IF(AND(Parameter!$B$19="Ja",E903&lt;&gt;"",ISNUMBER(MATCH(E903,Parameter!$I$35:$I$52,0))),VLOOKUP(E903,Parameter!$I$35:$J$52,2,0),IFERROR(VLOOKUP(D903,Parameter!$A$35:$C$64,2,0),"Nein"))</f>
        <v>2+3</v>
      </c>
      <c r="BW903" s="59" t="n">
        <f aca="false">IF(BT903=0,0,IF(N(S903)&gt;0,S903,IFERROR(VLOOKUP(D903,Parameter!$A$35:$C$64,3,0)+0,0)))</f>
        <v>0</v>
      </c>
      <c r="BX903" s="55" t="n">
        <f aca="false">IF(AA903&lt;&gt;"",AA903,Z903)</f>
        <v>3</v>
      </c>
      <c r="BY903" s="55" t="str">
        <f aca="false">IF(BX903=1,"L1",IF(OR(BX903=2,BX903=3),"L23",IF(BX903="Aussen","Aussen","-")))</f>
        <v>L23</v>
      </c>
      <c r="BZ903" s="66" t="n">
        <f aca="false">IF(N(AB903)&gt;0,AB903,0)</f>
        <v>0</v>
      </c>
      <c r="CA903" s="60" t="n">
        <f aca="false">IF(ISNUMBER(AE903),1,0)</f>
        <v>0</v>
      </c>
      <c r="CB903" s="57" t="n">
        <f aca="false">N(AE903)</f>
        <v>0</v>
      </c>
      <c r="CC903" s="57" t="n">
        <f aca="false">N(M903)+N(N903)</f>
        <v>10</v>
      </c>
      <c r="CD903" s="57" t="n">
        <f aca="false">ROUNDUP(H903/BS903,0)</f>
        <v>1</v>
      </c>
      <c r="CE903" s="57" t="n">
        <f aca="false">ROUNDUP(CB903/BS903,0)</f>
        <v>0</v>
      </c>
      <c r="CF903" s="60" t="n">
        <f aca="false">IF(BT903=1,0,IFERROR(VLOOKUP(BR903,'Gebinde-Kategorie'!$A$5:$M$45,5,0)+0,0))</f>
        <v>8</v>
      </c>
      <c r="CG903" s="60" t="n">
        <f aca="false">IFERROR(IF(OR(BX903=1,BX903=2,BX903=3),N(INDEX(Parameter!$I$5:$I$7,BX903)),0),0)</f>
        <v>0</v>
      </c>
      <c r="CH903" s="59" t="n">
        <f aca="false">IF(AND(Parameter!$B$21="Ja",ISNUMBER(W903),N(X903)&gt;0),IFERROR(N(INDEX(Parameter!$L$5:$L$7,W903))*INDEX(Parameter!$E$5:$E$7,W903)*X903/SUMIFS($X$7:$X$1843,$W$7:$W$1843,W903),0),0)</f>
        <v>0</v>
      </c>
    </row>
    <row r="904" customFormat="false" ht="15" hidden="false" customHeight="false" outlineLevel="0" collapsed="false">
      <c r="A904" s="55" t="s">
        <v>1698</v>
      </c>
      <c r="B904" s="55" t="s">
        <v>654</v>
      </c>
      <c r="C904" s="55" t="s">
        <v>164</v>
      </c>
      <c r="D904" s="55" t="s">
        <v>184</v>
      </c>
      <c r="E904" s="55" t="s">
        <v>185</v>
      </c>
      <c r="F904" s="55" t="s">
        <v>218</v>
      </c>
      <c r="G904" s="56" t="n">
        <v>0.06</v>
      </c>
      <c r="H904" s="57" t="n">
        <f aca="false">MAX(0,IF(AND(Parameter!$B$21="Ja",ISNUMBER(Y904)),Y904,IF(Parameter!$B$20="Jahresanfang 2025 + Export",BL904+BK904,BK904)))</f>
        <v>593</v>
      </c>
      <c r="I904" s="57" t="n">
        <f aca="false">H904*G904</f>
        <v>35.58</v>
      </c>
      <c r="J904" s="57" t="n">
        <f aca="false">BN904*Parameter!$B$18</f>
        <v>392</v>
      </c>
      <c r="K904" s="58" t="n">
        <v>993</v>
      </c>
      <c r="L904" s="59" t="n">
        <v>0.394763343403827</v>
      </c>
      <c r="M904" s="57" t="n">
        <v>22</v>
      </c>
      <c r="N904" s="57" t="n">
        <v>400</v>
      </c>
      <c r="O904" s="60" t="n">
        <v>21</v>
      </c>
      <c r="P904" s="55" t="s">
        <v>302</v>
      </c>
      <c r="Q904" s="57" t="n">
        <v>756</v>
      </c>
      <c r="R904" s="60" t="n">
        <f aca="false">IF(BT904=1,0,IFERROR(VLOOKUP(BR904,'Gebinde-Kategorie'!$A$5:$M$45,13,0)+0,0))</f>
        <v>26</v>
      </c>
      <c r="S904" s="61"/>
      <c r="T904" s="62"/>
      <c r="U904" s="62"/>
      <c r="V904" s="62"/>
      <c r="W904" s="55"/>
      <c r="X904" s="57"/>
      <c r="Y904" s="57"/>
      <c r="Z904" s="55" t="n">
        <f aca="false">IF(A904="","",IF(AND(Parameter!$B$21="Ja",ISNUMBER(W904)),W904,IF(BV904="2+3",IF(ISNUMBER(SEARCH("grosser Artikel",BO904)),2,IFERROR(VLOOKUP(BR904,Parameter!$F$35:$G$64,2,0),2)),IF(OR(BV904="Nein",BV904=""),"-",BV904))))</f>
        <v>3</v>
      </c>
      <c r="AA904" s="62"/>
      <c r="AB904" s="63"/>
      <c r="AC904" s="57" t="n">
        <f aca="false">AR904</f>
        <v>756</v>
      </c>
      <c r="AD904" s="57" t="n">
        <f aca="false">MAX(AR904,H904)</f>
        <v>756</v>
      </c>
      <c r="AE904" s="64"/>
      <c r="AF904" s="57" t="n">
        <f aca="false">IF(LEFT(Cockpit!$C$5,1)="A",H904,IF(CA904=1,CB904,IF(LEFT(Cockpit!$C$5,1)="B",AJ904,MAX(AJ904,H904))))</f>
        <v>593</v>
      </c>
      <c r="AG904" s="57" t="n">
        <f aca="false">IF(BT904=1,0,ROUNDUP(AF904/BS904,0))</f>
        <v>1</v>
      </c>
      <c r="AH904" s="59" t="n">
        <f aca="false">IF(CH904&gt;0,CH904*MAX(1,AF904/X904),IF(BT904=1,IF(AF904&lt;=0,0,BW904*MAX(1,IF(H904&gt;0,AF904/H904,1))),IF(R904&gt;0,AG904/R904,0))/MAX(0.1,N(Parameter!$M$21)))</f>
        <v>0.0384615384615385</v>
      </c>
      <c r="AI904" s="57" t="n">
        <f aca="false">AF904*G904</f>
        <v>35.58</v>
      </c>
      <c r="AJ904" s="57" t="n">
        <f aca="false">ROUNDUP(MAX(J904/IF(BZ904&gt;0,BZ904,MAX(0.1,N(Cockpit!$C$6))),CC904)/BS904,0)*BS904</f>
        <v>756</v>
      </c>
      <c r="AK904" s="58" t="n">
        <f aca="false">IF(AH904&gt;0,J904/AH904,-1)</f>
        <v>10192</v>
      </c>
      <c r="AL904" s="58" t="n">
        <f aca="false">IF(AND(OR(BY904="L1",BY904="L23"),AH904&gt;0),SUMIFS($AH$7:$AH$1843,$BY$7:$BY$1843,BY904,$AK$7:$AK$1843,"&gt;"&amp;AK904)+SUMIFS($AH$7:$AH$1843,$BY$7:$BY$1843,BY904,$AK$7:$AK$1843,AK904,$BQ$7:$BQ$1843,"&lt;="&amp;BQ904),"")</f>
        <v>5.26036282558022</v>
      </c>
      <c r="AM904" s="65" t="n">
        <f aca="false">IF(AL904="",0,MAX(0,MIN(1,(IF(BY904="L1",Parameter!$E$5,Parameter!$E$6+Parameter!$E$7)-(AL904-AH904))/AH904)))</f>
        <v>1</v>
      </c>
      <c r="AN904" s="57" t="n">
        <f aca="false">IF(LEFT(Cockpit!$I$5,1)="A",H904,IF(CA904=1,CB904,IF(LEFT(Cockpit!$I$5,1)="B",AR904,MAX(AR904,H904))))</f>
        <v>756</v>
      </c>
      <c r="AO904" s="57" t="n">
        <f aca="false">IF(BT904=1,0,ROUNDUP(AN904/BS904,0))</f>
        <v>1</v>
      </c>
      <c r="AP904" s="59" t="n">
        <f aca="false">IF(CH904&gt;0,CH904*MAX(1,AN904/X904),IF(BT904=1,IF(AN904&lt;=0,0,BW904*MAX(1,IF(H904&gt;0,AN904/H904,1))),IF(R904&gt;0,AO904/R904,0))/MAX(0.1,N(Parameter!$M$21)))</f>
        <v>0.0384615384615385</v>
      </c>
      <c r="AQ904" s="57" t="n">
        <f aca="false">AN904*G904</f>
        <v>45.36</v>
      </c>
      <c r="AR904" s="57" t="n">
        <f aca="false">ROUNDUP(MAX(J904/IF(BZ904&gt;0,BZ904,MAX(0.1,N(Cockpit!$I$6))),CC904)/BS904,0)*BS904</f>
        <v>756</v>
      </c>
      <c r="AS904" s="58" t="n">
        <f aca="false">IF(AP904&gt;0,J904/AP904,-1)</f>
        <v>10192</v>
      </c>
      <c r="AT904" s="58" t="n">
        <f aca="false">IF(AND(OR(BY904="L1",BY904="L23"),AP904&gt;0),SUMIFS($AP$7:$AP$1843,$BY$7:$BY$1843,BY904,$AS$7:$AS$1843,"&gt;"&amp;AS904)+SUMIFS($AP$7:$AP$1843,$BY$7:$BY$1843,BY904,$AS$7:$AS$1843,AS904,$BQ$7:$BQ$1843,"&lt;="&amp;BQ904),"")</f>
        <v>8.12084895780548</v>
      </c>
      <c r="AU904" s="65" t="n">
        <f aca="false">IF(AT904="",0,MAX(0,MIN(1,(IF(BY904="L1",Parameter!$E$5,Parameter!$E$6+Parameter!$E$7)-(AT904-AP904))/AP904)))</f>
        <v>1</v>
      </c>
      <c r="AV904" s="57" t="n">
        <f aca="false">IF(LEFT(Cockpit!$O$5,1)="A",H904,IF(CA904=1,CB904,IF(LEFT(Cockpit!$O$5,1)="B",AZ904,MAX(AZ904,H904))))</f>
        <v>756</v>
      </c>
      <c r="AW904" s="57" t="n">
        <f aca="false">IF(BT904=1,0,ROUNDUP(AV904/BS904,0))</f>
        <v>1</v>
      </c>
      <c r="AX904" s="59" t="n">
        <f aca="false">IF(CH904&gt;0,CH904*MAX(1,AV904/X904),IF(BT904=1,IF(AV904&lt;=0,0,BW904*MAX(1,IF(H904&gt;0,AV904/H904,1))),IF(R904&gt;0,AW904/R904,0))/MAX(0.1,N(Parameter!$M$21)))</f>
        <v>0.0384615384615385</v>
      </c>
      <c r="AY904" s="57" t="n">
        <f aca="false">AV904*G904</f>
        <v>45.36</v>
      </c>
      <c r="AZ904" s="57" t="n">
        <f aca="false">ROUNDUP(MAX(J904/IF(BZ904&gt;0,BZ904,MAX(0.1,N(Cockpit!$O$6))),CC904)/BS904,0)*BS904</f>
        <v>756</v>
      </c>
      <c r="BA904" s="58" t="n">
        <f aca="false">IF(AX904&gt;0,J904/AX904,-1)</f>
        <v>10192</v>
      </c>
      <c r="BB904" s="58" t="n">
        <f aca="false">IF(AND(OR(BY904="L1",BY904="L23"),AX904&gt;0),SUMIFS($AX$7:$AX$1843,$BY$7:$BY$1843,BY904,$BA$7:$BA$1843,"&gt;"&amp;BA904)+SUMIFS($AX$7:$AX$1843,$BY$7:$BY$1843,BY904,$BA$7:$BA$1843,BA904,$BQ$7:$BQ$1843,"&lt;="&amp;BQ904),"")</f>
        <v>7.5404293773859</v>
      </c>
      <c r="BC904" s="65" t="n">
        <f aca="false">IF(BB904="",0,MAX(0,MIN(1,(IF(BY904="L1",Parameter!$E$5,Parameter!$E$6+Parameter!$E$7)-(BB904-AX904))/AX904)))</f>
        <v>1</v>
      </c>
      <c r="BD904" s="55" t="str">
        <f aca="false">IF(AH904&lt;=0,"",IF(BY904="Aussen","Aussenlager",IF(BY904="-","Nicht im Lift",IF(AM904&gt;=1,"Lift",IF(AM904&lt;=0,"Aussenlager","teilweise")))))</f>
        <v>Lift</v>
      </c>
      <c r="BE904" s="55" t="str">
        <f aca="false">IF(AP904&lt;=0,"",IF(BY904="Aussen","Aussenlager",IF(BY904="-","Nicht im Lift",IF(AU904&gt;=1,"Lift",IF(AU904&lt;=0,"Aussenlager","teilweise")))))</f>
        <v>Lift</v>
      </c>
      <c r="BF904" s="55" t="str">
        <f aca="false">IF(AX904&lt;=0,"",IF(BY904="Aussen","Aussenlager",IF(BY904="-","Nicht im Lift",IF(BC904&gt;=1,"Lift",IF(BC904&lt;=0,"Aussenlager","teilweise")))))</f>
        <v>Lift</v>
      </c>
      <c r="BG904" s="55" t="str">
        <f aca="false">IF(A904="","",IF(BP904=1,"Neu; ","")&amp;IF(AND(BP904=0,BK904&lt;0),"negativer Bestand (Export "&amp;BK904&amp;"); ","")&amp;IF(J904&lt;=0,"Kein Verbrauch; ","")&amp;IF(CH904&gt;0,"Lift "&amp;W904&amp;" lt. Liftbericht (Fach "&amp;X904&amp;" Stk); ",IF(BU904=1,"Gebinde geschätzt ("&amp;T904&amp;"); ",IF(BT904=1,"Lose – Tablare geschätzt; ","")))&amp;IF(H904&gt;AR904,"Überbestand "&amp;ROUND(H904-AR904,0)&amp;" Stk / CHF "&amp;ROUND((H904-AR904)*G904,0)&amp;"; ","")&amp;IF(AND(CA904=1,CB904&lt;CC904),"MAX &lt; MB+LG; ","")&amp;IF(AND(CG904&gt;0,CF904*10&gt;CG904),"zu hoch für Tablar; ","")&amp;IF(AND(BP904=0,OR(CA904=1,AA904&lt;&gt;"",U904&lt;&gt;"",V904&lt;&gt;"",AB904&lt;&gt;"")),"manuell übersteuert; ","")&amp;IF(AND(BT904=0,R904=0),"Gebinde unbekannt / Stellmass fehlt; ","")&amp;IF(AND(BT904=0,N(V904)&lt;=0,N(Q904)&lt;=0),"Menge pro Gebinde fehlt (Ist = 1 Gebinde); ","")&amp;BO904)</f>
        <v>negativer Bestand (Export -600); </v>
      </c>
      <c r="BH904" s="55"/>
      <c r="BI904" s="55"/>
      <c r="BJ904" s="62"/>
      <c r="BK904" s="57" t="n">
        <v>-600</v>
      </c>
      <c r="BL904" s="57" t="n">
        <v>1193</v>
      </c>
      <c r="BM904" s="56" t="n">
        <v>-36</v>
      </c>
      <c r="BN904" s="57" t="n">
        <v>392</v>
      </c>
      <c r="BO904" s="55"/>
      <c r="BP904" s="60" t="n">
        <v>0</v>
      </c>
      <c r="BQ904" s="60" t="n">
        <v>904</v>
      </c>
      <c r="BR904" s="55" t="str">
        <f aca="false">IF(U904&lt;&gt;"",UPPER(TRIM(U904)),IF(BU904=1,UPPER(VLOOKUP(T904,Parameter!$I$27:$K$29,2,0)),IF(P904="","LOSE",P904)))</f>
        <v>S51</v>
      </c>
      <c r="BS904" s="57" t="n">
        <f aca="false">IF(BR904="LOSE",1,IF(N(V904)&gt;0,V904,IF(BU904=1,MAX(1,N(VLOOKUP(T904,Parameter!$I$27:$K$29,3,0)),H904,N(N904)),IF(N(Q904)&gt;0,Q904,MAX(1,H904)))))</f>
        <v>756</v>
      </c>
      <c r="BT904" s="60" t="n">
        <f aca="false">IF(BR904="LOSE",1,0)</f>
        <v>0</v>
      </c>
      <c r="BU904" s="60" t="n">
        <f aca="false">IF(AND(U904="",OR(P904="",P904="LOSE"),T904&lt;&gt;"",N(S904)&lt;=0,ISNUMBER(MATCH(T904,Parameter!$I$27:$I$29,0))),1,0)</f>
        <v>0</v>
      </c>
      <c r="BV904" s="55" t="str">
        <f aca="false">IF(AND(Parameter!$B$19="Ja",E904&lt;&gt;"",ISNUMBER(MATCH(E904,Parameter!$I$35:$I$52,0))),VLOOKUP(E904,Parameter!$I$35:$J$52,2,0),IFERROR(VLOOKUP(D904,Parameter!$A$35:$C$64,2,0),"Nein"))</f>
        <v>2+3</v>
      </c>
      <c r="BW904" s="59" t="n">
        <f aca="false">IF(BT904=0,0,IF(N(S904)&gt;0,S904,IFERROR(VLOOKUP(D904,Parameter!$A$35:$C$64,3,0)+0,0)))</f>
        <v>0</v>
      </c>
      <c r="BX904" s="55" t="n">
        <f aca="false">IF(AA904&lt;&gt;"",AA904,Z904)</f>
        <v>3</v>
      </c>
      <c r="BY904" s="55" t="str">
        <f aca="false">IF(BX904=1,"L1",IF(OR(BX904=2,BX904=3),"L23",IF(BX904="Aussen","Aussen","-")))</f>
        <v>L23</v>
      </c>
      <c r="BZ904" s="66" t="n">
        <f aca="false">IF(N(AB904)&gt;0,AB904,0)</f>
        <v>0</v>
      </c>
      <c r="CA904" s="60" t="n">
        <f aca="false">IF(ISNUMBER(AE904),1,0)</f>
        <v>0</v>
      </c>
      <c r="CB904" s="57" t="n">
        <f aca="false">N(AE904)</f>
        <v>0</v>
      </c>
      <c r="CC904" s="57" t="n">
        <f aca="false">N(M904)+N(N904)</f>
        <v>422</v>
      </c>
      <c r="CD904" s="57" t="n">
        <f aca="false">ROUNDUP(H904/BS904,0)</f>
        <v>1</v>
      </c>
      <c r="CE904" s="57" t="n">
        <f aca="false">ROUNDUP(CB904/BS904,0)</f>
        <v>0</v>
      </c>
      <c r="CF904" s="60" t="n">
        <f aca="false">IF(BT904=1,0,IFERROR(VLOOKUP(BR904,'Gebinde-Kategorie'!$A$5:$M$45,5,0)+0,0))</f>
        <v>11</v>
      </c>
      <c r="CG904" s="60" t="n">
        <f aca="false">IFERROR(IF(OR(BX904=1,BX904=2,BX904=3),N(INDEX(Parameter!$I$5:$I$7,BX904)),0),0)</f>
        <v>0</v>
      </c>
      <c r="CH904" s="59" t="n">
        <f aca="false">IF(AND(Parameter!$B$21="Ja",ISNUMBER(W904),N(X904)&gt;0),IFERROR(N(INDEX(Parameter!$L$5:$L$7,W904))*INDEX(Parameter!$E$5:$E$7,W904)*X904/SUMIFS($X$7:$X$1843,$W$7:$W$1843,W904),0),0)</f>
        <v>0</v>
      </c>
    </row>
    <row r="905" customFormat="false" ht="15" hidden="false" customHeight="false" outlineLevel="0" collapsed="false">
      <c r="A905" s="55" t="s">
        <v>1699</v>
      </c>
      <c r="B905" s="55" t="s">
        <v>1700</v>
      </c>
      <c r="C905" s="55" t="s">
        <v>164</v>
      </c>
      <c r="D905" s="55" t="s">
        <v>184</v>
      </c>
      <c r="E905" s="55" t="s">
        <v>185</v>
      </c>
      <c r="F905" s="55" t="s">
        <v>218</v>
      </c>
      <c r="G905" s="56" t="n">
        <v>0.04</v>
      </c>
      <c r="H905" s="57" t="n">
        <f aca="false">MAX(0,IF(AND(Parameter!$B$21="Ja",ISNUMBER(Y905)),Y905,IF(Parameter!$B$20="Jahresanfang 2025 + Export",BL905+BK905,BK905)))</f>
        <v>263</v>
      </c>
      <c r="I905" s="57" t="n">
        <f aca="false">H905*G905</f>
        <v>10.52</v>
      </c>
      <c r="J905" s="57" t="n">
        <f aca="false">BN905*Parameter!$B$18</f>
        <v>600</v>
      </c>
      <c r="K905" s="58" t="n">
        <v>1164</v>
      </c>
      <c r="L905" s="59" t="n">
        <v>0.515463917525773</v>
      </c>
      <c r="M905" s="57" t="n">
        <v>46</v>
      </c>
      <c r="N905" s="57" t="n">
        <v>600</v>
      </c>
      <c r="O905" s="60" t="n">
        <v>28</v>
      </c>
      <c r="P905" s="55" t="s">
        <v>401</v>
      </c>
      <c r="Q905" s="57" t="n">
        <v>2242</v>
      </c>
      <c r="R905" s="60" t="n">
        <f aca="false">IF(BT905=1,0,IFERROR(VLOOKUP(BR905,'Gebinde-Kategorie'!$A$5:$M$45,13,0)+0,0))</f>
        <v>414</v>
      </c>
      <c r="S905" s="61"/>
      <c r="T905" s="62"/>
      <c r="U905" s="62"/>
      <c r="V905" s="62"/>
      <c r="W905" s="55"/>
      <c r="X905" s="57"/>
      <c r="Y905" s="57"/>
      <c r="Z905" s="55" t="n">
        <f aca="false">IF(A905="","",IF(AND(Parameter!$B$21="Ja",ISNUMBER(W905)),W905,IF(BV905="2+3",IF(ISNUMBER(SEARCH("grosser Artikel",BO905)),2,IFERROR(VLOOKUP(BR905,Parameter!$F$35:$G$64,2,0),2)),IF(OR(BV905="Nein",BV905=""),"-",BV905))))</f>
        <v>3</v>
      </c>
      <c r="AA905" s="62"/>
      <c r="AB905" s="63"/>
      <c r="AC905" s="57" t="n">
        <f aca="false">AR905</f>
        <v>2242</v>
      </c>
      <c r="AD905" s="57" t="n">
        <f aca="false">MAX(AR905,H905)</f>
        <v>2242</v>
      </c>
      <c r="AE905" s="64"/>
      <c r="AF905" s="57" t="n">
        <f aca="false">IF(LEFT(Cockpit!$C$5,1)="A",H905,IF(CA905=1,CB905,IF(LEFT(Cockpit!$C$5,1)="B",AJ905,MAX(AJ905,H905))))</f>
        <v>263</v>
      </c>
      <c r="AG905" s="57" t="n">
        <f aca="false">IF(BT905=1,0,ROUNDUP(AF905/BS905,0))</f>
        <v>1</v>
      </c>
      <c r="AH905" s="59" t="n">
        <f aca="false">IF(CH905&gt;0,CH905*MAX(1,AF905/X905),IF(BT905=1,IF(AF905&lt;=0,0,BW905*MAX(1,IF(H905&gt;0,AF905/H905,1))),IF(R905&gt;0,AG905/R905,0))/MAX(0.1,N(Parameter!$M$21)))</f>
        <v>0.00241545893719807</v>
      </c>
      <c r="AI905" s="57" t="n">
        <f aca="false">AF905*G905</f>
        <v>10.52</v>
      </c>
      <c r="AJ905" s="57" t="n">
        <f aca="false">ROUNDUP(MAX(J905/IF(BZ905&gt;0,BZ905,MAX(0.1,N(Cockpit!$C$6))),CC905)/BS905,0)*BS905</f>
        <v>2242</v>
      </c>
      <c r="AK905" s="58" t="n">
        <f aca="false">IF(AH905&gt;0,J905/AH905,-1)</f>
        <v>248400</v>
      </c>
      <c r="AL905" s="58" t="n">
        <f aca="false">IF(AND(OR(BY905="L1",BY905="L23"),AH905&gt;0),SUMIFS($AH$7:$AH$1843,$BY$7:$BY$1843,BY905,$AK$7:$AK$1843,"&gt;"&amp;AK905)+SUMIFS($AH$7:$AH$1843,$BY$7:$BY$1843,BY905,$AK$7:$AK$1843,AK905,$BQ$7:$BQ$1843,"&lt;="&amp;BQ905),"")</f>
        <v>0.077674740718219</v>
      </c>
      <c r="AM905" s="65" t="n">
        <f aca="false">IF(AL905="",0,MAX(0,MIN(1,(IF(BY905="L1",Parameter!$E$5,Parameter!$E$6+Parameter!$E$7)-(AL905-AH905))/AH905)))</f>
        <v>1</v>
      </c>
      <c r="AN905" s="57" t="n">
        <f aca="false">IF(LEFT(Cockpit!$I$5,1)="A",H905,IF(CA905=1,CB905,IF(LEFT(Cockpit!$I$5,1)="B",AR905,MAX(AR905,H905))))</f>
        <v>2242</v>
      </c>
      <c r="AO905" s="57" t="n">
        <f aca="false">IF(BT905=1,0,ROUNDUP(AN905/BS905,0))</f>
        <v>1</v>
      </c>
      <c r="AP905" s="59" t="n">
        <f aca="false">IF(CH905&gt;0,CH905*MAX(1,AN905/X905),IF(BT905=1,IF(AN905&lt;=0,0,BW905*MAX(1,IF(H905&gt;0,AN905/H905,1))),IF(R905&gt;0,AO905/R905,0))/MAX(0.1,N(Parameter!$M$21)))</f>
        <v>0.00241545893719807</v>
      </c>
      <c r="AQ905" s="57" t="n">
        <f aca="false">AN905*G905</f>
        <v>89.68</v>
      </c>
      <c r="AR905" s="57" t="n">
        <f aca="false">ROUNDUP(MAX(J905/IF(BZ905&gt;0,BZ905,MAX(0.1,N(Cockpit!$I$6))),CC905)/BS905,0)*BS905</f>
        <v>2242</v>
      </c>
      <c r="AS905" s="58" t="n">
        <f aca="false">IF(AP905&gt;0,J905/AP905,-1)</f>
        <v>248400</v>
      </c>
      <c r="AT905" s="58" t="n">
        <f aca="false">IF(AND(OR(BY905="L1",BY905="L23"),AP905&gt;0),SUMIFS($AP$7:$AP$1843,$BY$7:$BY$1843,BY905,$AS$7:$AS$1843,"&gt;"&amp;AS905)+SUMIFS($AP$7:$AP$1843,$BY$7:$BY$1843,BY905,$AS$7:$AS$1843,AS905,$BQ$7:$BQ$1843,"&lt;="&amp;BQ905),"")</f>
        <v>0.0367977433194825</v>
      </c>
      <c r="AU905" s="65" t="n">
        <f aca="false">IF(AT905="",0,MAX(0,MIN(1,(IF(BY905="L1",Parameter!$E$5,Parameter!$E$6+Parameter!$E$7)-(AT905-AP905))/AP905)))</f>
        <v>1</v>
      </c>
      <c r="AV905" s="57" t="n">
        <f aca="false">IF(LEFT(Cockpit!$O$5,1)="A",H905,IF(CA905=1,CB905,IF(LEFT(Cockpit!$O$5,1)="B",AZ905,MAX(AZ905,H905))))</f>
        <v>2242</v>
      </c>
      <c r="AW905" s="57" t="n">
        <f aca="false">IF(BT905=1,0,ROUNDUP(AV905/BS905,0))</f>
        <v>1</v>
      </c>
      <c r="AX905" s="59" t="n">
        <f aca="false">IF(CH905&gt;0,CH905*MAX(1,AV905/X905),IF(BT905=1,IF(AV905&lt;=0,0,BW905*MAX(1,IF(H905&gt;0,AV905/H905,1))),IF(R905&gt;0,AW905/R905,0))/MAX(0.1,N(Parameter!$M$21)))</f>
        <v>0.00241545893719807</v>
      </c>
      <c r="AY905" s="57" t="n">
        <f aca="false">AV905*G905</f>
        <v>89.68</v>
      </c>
      <c r="AZ905" s="57" t="n">
        <f aca="false">ROUNDUP(MAX(J905/IF(BZ905&gt;0,BZ905,MAX(0.1,N(Cockpit!$O$6))),CC905)/BS905,0)*BS905</f>
        <v>2242</v>
      </c>
      <c r="BA905" s="58" t="n">
        <f aca="false">IF(AX905&gt;0,J905/AX905,-1)</f>
        <v>248400</v>
      </c>
      <c r="BB905" s="58" t="n">
        <f aca="false">IF(AND(OR(BY905="L1",BY905="L23"),AX905&gt;0),SUMIFS($AX$7:$AX$1843,$BY$7:$BY$1843,BY905,$BA$7:$BA$1843,"&gt;"&amp;BA905)+SUMIFS($AX$7:$AX$1843,$BY$7:$BY$1843,BY905,$BA$7:$BA$1843,BA905,$BQ$7:$BQ$1843,"&lt;="&amp;BQ905),"")</f>
        <v>0.0367977433194825</v>
      </c>
      <c r="BC905" s="65" t="n">
        <f aca="false">IF(BB905="",0,MAX(0,MIN(1,(IF(BY905="L1",Parameter!$E$5,Parameter!$E$6+Parameter!$E$7)-(BB905-AX905))/AX905)))</f>
        <v>1</v>
      </c>
      <c r="BD905" s="55" t="str">
        <f aca="false">IF(AH905&lt;=0,"",IF(BY905="Aussen","Aussenlager",IF(BY905="-","Nicht im Lift",IF(AM905&gt;=1,"Lift",IF(AM905&lt;=0,"Aussenlager","teilweise")))))</f>
        <v>Lift</v>
      </c>
      <c r="BE905" s="55" t="str">
        <f aca="false">IF(AP905&lt;=0,"",IF(BY905="Aussen","Aussenlager",IF(BY905="-","Nicht im Lift",IF(AU905&gt;=1,"Lift",IF(AU905&lt;=0,"Aussenlager","teilweise")))))</f>
        <v>Lift</v>
      </c>
      <c r="BF905" s="55" t="str">
        <f aca="false">IF(AX905&lt;=0,"",IF(BY905="Aussen","Aussenlager",IF(BY905="-","Nicht im Lift",IF(BC905&gt;=1,"Lift",IF(BC905&lt;=0,"Aussenlager","teilweise")))))</f>
        <v>Lift</v>
      </c>
      <c r="BG905" s="55" t="str">
        <f aca="false">IF(A905="","",IF(BP905=1,"Neu; ","")&amp;IF(AND(BP905=0,BK905&lt;0),"negativer Bestand (Export "&amp;BK905&amp;"); ","")&amp;IF(J905&lt;=0,"Kein Verbrauch; ","")&amp;IF(CH905&gt;0,"Lift "&amp;W905&amp;" lt. Liftbericht (Fach "&amp;X905&amp;" Stk); ",IF(BU905=1,"Gebinde geschätzt ("&amp;T905&amp;"); ",IF(BT905=1,"Lose – Tablare geschätzt; ","")))&amp;IF(H905&gt;AR905,"Überbestand "&amp;ROUND(H905-AR905,0)&amp;" Stk / CHF "&amp;ROUND((H905-AR905)*G905,0)&amp;"; ","")&amp;IF(AND(CA905=1,CB905&lt;CC905),"MAX &lt; MB+LG; ","")&amp;IF(AND(CG905&gt;0,CF905*10&gt;CG905),"zu hoch für Tablar; ","")&amp;IF(AND(BP905=0,OR(CA905=1,AA905&lt;&gt;"",U905&lt;&gt;"",V905&lt;&gt;"",AB905&lt;&gt;"")),"manuell übersteuert; ","")&amp;IF(AND(BT905=0,R905=0),"Gebinde unbekannt / Stellmass fehlt; ","")&amp;IF(AND(BT905=0,N(V905)&lt;=0,N(Q905)&lt;=0),"Menge pro Gebinde fehlt (Ist = 1 Gebinde); ","")&amp;BO905)</f>
        <v>negativer Bestand (Export -1257); Handlager</v>
      </c>
      <c r="BH905" s="55"/>
      <c r="BI905" s="55"/>
      <c r="BJ905" s="62"/>
      <c r="BK905" s="57" t="n">
        <v>-1257</v>
      </c>
      <c r="BL905" s="57" t="n">
        <v>1520</v>
      </c>
      <c r="BM905" s="56" t="n">
        <v>-36.28</v>
      </c>
      <c r="BN905" s="57" t="n">
        <v>600</v>
      </c>
      <c r="BO905" s="55" t="s">
        <v>895</v>
      </c>
      <c r="BP905" s="60" t="n">
        <v>0</v>
      </c>
      <c r="BQ905" s="60" t="n">
        <v>905</v>
      </c>
      <c r="BR905" s="55" t="str">
        <f aca="false">IF(U905&lt;&gt;"",UPPER(TRIM(U905)),IF(BU905=1,UPPER(VLOOKUP(T905,Parameter!$I$27:$K$29,2,0)),IF(P905="","LOSE",P905)))</f>
        <v>S21</v>
      </c>
      <c r="BS905" s="57" t="n">
        <f aca="false">IF(BR905="LOSE",1,IF(N(V905)&gt;0,V905,IF(BU905=1,MAX(1,N(VLOOKUP(T905,Parameter!$I$27:$K$29,3,0)),H905,N(N905)),IF(N(Q905)&gt;0,Q905,MAX(1,H905)))))</f>
        <v>2242</v>
      </c>
      <c r="BT905" s="60" t="n">
        <f aca="false">IF(BR905="LOSE",1,0)</f>
        <v>0</v>
      </c>
      <c r="BU905" s="60" t="n">
        <f aca="false">IF(AND(U905="",OR(P905="",P905="LOSE"),T905&lt;&gt;"",N(S905)&lt;=0,ISNUMBER(MATCH(T905,Parameter!$I$27:$I$29,0))),1,0)</f>
        <v>0</v>
      </c>
      <c r="BV905" s="55" t="str">
        <f aca="false">IF(AND(Parameter!$B$19="Ja",E905&lt;&gt;"",ISNUMBER(MATCH(E905,Parameter!$I$35:$I$52,0))),VLOOKUP(E905,Parameter!$I$35:$J$52,2,0),IFERROR(VLOOKUP(D905,Parameter!$A$35:$C$64,2,0),"Nein"))</f>
        <v>2+3</v>
      </c>
      <c r="BW905" s="59" t="n">
        <f aca="false">IF(BT905=0,0,IF(N(S905)&gt;0,S905,IFERROR(VLOOKUP(D905,Parameter!$A$35:$C$64,3,0)+0,0)))</f>
        <v>0</v>
      </c>
      <c r="BX905" s="55" t="n">
        <f aca="false">IF(AA905&lt;&gt;"",AA905,Z905)</f>
        <v>3</v>
      </c>
      <c r="BY905" s="55" t="str">
        <f aca="false">IF(BX905=1,"L1",IF(OR(BX905=2,BX905=3),"L23",IF(BX905="Aussen","Aussen","-")))</f>
        <v>L23</v>
      </c>
      <c r="BZ905" s="66" t="n">
        <f aca="false">IF(N(AB905)&gt;0,AB905,0)</f>
        <v>0</v>
      </c>
      <c r="CA905" s="60" t="n">
        <f aca="false">IF(ISNUMBER(AE905),1,0)</f>
        <v>0</v>
      </c>
      <c r="CB905" s="57" t="n">
        <f aca="false">N(AE905)</f>
        <v>0</v>
      </c>
      <c r="CC905" s="57" t="n">
        <f aca="false">N(M905)+N(N905)</f>
        <v>646</v>
      </c>
      <c r="CD905" s="57" t="n">
        <f aca="false">ROUNDUP(H905/BS905,0)</f>
        <v>1</v>
      </c>
      <c r="CE905" s="57" t="n">
        <f aca="false">ROUNDUP(CB905/BS905,0)</f>
        <v>0</v>
      </c>
      <c r="CF905" s="60" t="n">
        <f aca="false">IF(BT905=1,0,IFERROR(VLOOKUP(BR905,'Gebinde-Kategorie'!$A$5:$M$45,5,0)+0,0))</f>
        <v>8</v>
      </c>
      <c r="CG905" s="60" t="n">
        <f aca="false">IFERROR(IF(OR(BX905=1,BX905=2,BX905=3),N(INDEX(Parameter!$I$5:$I$7,BX905)),0),0)</f>
        <v>0</v>
      </c>
      <c r="CH905" s="59" t="n">
        <f aca="false">IF(AND(Parameter!$B$21="Ja",ISNUMBER(W905),N(X905)&gt;0),IFERROR(N(INDEX(Parameter!$L$5:$L$7,W905))*INDEX(Parameter!$E$5:$E$7,W905)*X905/SUMIFS($X$7:$X$1843,$W$7:$W$1843,W905),0),0)</f>
        <v>0</v>
      </c>
    </row>
    <row r="906" customFormat="false" ht="15" hidden="false" customHeight="false" outlineLevel="0" collapsed="false">
      <c r="A906" s="55" t="s">
        <v>1701</v>
      </c>
      <c r="B906" s="55" t="s">
        <v>405</v>
      </c>
      <c r="C906" s="55" t="s">
        <v>164</v>
      </c>
      <c r="D906" s="55" t="s">
        <v>184</v>
      </c>
      <c r="E906" s="55" t="s">
        <v>185</v>
      </c>
      <c r="F906" s="55" t="s">
        <v>218</v>
      </c>
      <c r="G906" s="56" t="n">
        <v>0.16</v>
      </c>
      <c r="H906" s="57" t="n">
        <f aca="false">MAX(0,IF(AND(Parameter!$B$21="Ja",ISNUMBER(Y906)),Y906,IF(Parameter!$B$20="Jahresanfang 2025 + Export",BL906+BK906,BK906)))</f>
        <v>135</v>
      </c>
      <c r="I906" s="57" t="n">
        <f aca="false">H906*G906</f>
        <v>21.6</v>
      </c>
      <c r="J906" s="57" t="n">
        <f aca="false">BN906*Parameter!$B$18</f>
        <v>288</v>
      </c>
      <c r="K906" s="58" t="n">
        <v>298</v>
      </c>
      <c r="L906" s="59" t="n">
        <v>0.966442953020134</v>
      </c>
      <c r="M906" s="57" t="n">
        <v>22</v>
      </c>
      <c r="N906" s="57" t="n">
        <v>300</v>
      </c>
      <c r="O906" s="60" t="n">
        <v>28</v>
      </c>
      <c r="P906" s="55" t="s">
        <v>233</v>
      </c>
      <c r="Q906" s="57" t="n">
        <v>224</v>
      </c>
      <c r="R906" s="60" t="n">
        <f aca="false">IF(BT906=1,0,IFERROR(VLOOKUP(BR906,'Gebinde-Kategorie'!$A$5:$M$45,13,0)+0,0))</f>
        <v>26</v>
      </c>
      <c r="S906" s="61"/>
      <c r="T906" s="62"/>
      <c r="U906" s="62"/>
      <c r="V906" s="62"/>
      <c r="W906" s="55"/>
      <c r="X906" s="57"/>
      <c r="Y906" s="57"/>
      <c r="Z906" s="55" t="n">
        <f aca="false">IF(A906="","",IF(AND(Parameter!$B$21="Ja",ISNUMBER(W906)),W906,IF(BV906="2+3",IF(ISNUMBER(SEARCH("grosser Artikel",BO906)),2,IFERROR(VLOOKUP(BR906,Parameter!$F$35:$G$64,2,0),2)),IF(OR(BV906="Nein",BV906=""),"-",BV906))))</f>
        <v>3</v>
      </c>
      <c r="AA906" s="62"/>
      <c r="AB906" s="63"/>
      <c r="AC906" s="57" t="n">
        <f aca="false">AR906</f>
        <v>448</v>
      </c>
      <c r="AD906" s="57" t="n">
        <f aca="false">MAX(AR906,H906)</f>
        <v>448</v>
      </c>
      <c r="AE906" s="64"/>
      <c r="AF906" s="57" t="n">
        <f aca="false">IF(LEFT(Cockpit!$C$5,1)="A",H906,IF(CA906=1,CB906,IF(LEFT(Cockpit!$C$5,1)="B",AJ906,MAX(AJ906,H906))))</f>
        <v>135</v>
      </c>
      <c r="AG906" s="57" t="n">
        <f aca="false">IF(BT906=1,0,ROUNDUP(AF906/BS906,0))</f>
        <v>1</v>
      </c>
      <c r="AH906" s="59" t="n">
        <f aca="false">IF(CH906&gt;0,CH906*MAX(1,AF906/X906),IF(BT906=1,IF(AF906&lt;=0,0,BW906*MAX(1,IF(H906&gt;0,AF906/H906,1))),IF(R906&gt;0,AG906/R906,0))/MAX(0.1,N(Parameter!$M$21)))</f>
        <v>0.0384615384615385</v>
      </c>
      <c r="AI906" s="57" t="n">
        <f aca="false">AF906*G906</f>
        <v>21.6</v>
      </c>
      <c r="AJ906" s="57" t="n">
        <f aca="false">ROUNDUP(MAX(J906/IF(BZ906&gt;0,BZ906,MAX(0.1,N(Cockpit!$C$6))),CC906)/BS906,0)*BS906</f>
        <v>448</v>
      </c>
      <c r="AK906" s="58" t="n">
        <f aca="false">IF(AH906&gt;0,J906/AH906,-1)</f>
        <v>7488</v>
      </c>
      <c r="AL906" s="58" t="n">
        <f aca="false">IF(AND(OR(BY906="L1",BY906="L23"),AH906&gt;0),SUMIFS($AH$7:$AH$1843,$BY$7:$BY$1843,BY906,$AK$7:$AK$1843,"&gt;"&amp;AK906)+SUMIFS($AH$7:$AH$1843,$BY$7:$BY$1843,BY906,$AK$7:$AK$1843,AK906,$BQ$7:$BQ$1843,"&lt;="&amp;BQ906),"")</f>
        <v>5.86745380223641</v>
      </c>
      <c r="AM906" s="65" t="n">
        <f aca="false">IF(AL906="",0,MAX(0,MIN(1,(IF(BY906="L1",Parameter!$E$5,Parameter!$E$6+Parameter!$E$7)-(AL906-AH906))/AH906)))</f>
        <v>1</v>
      </c>
      <c r="AN906" s="57" t="n">
        <f aca="false">IF(LEFT(Cockpit!$I$5,1)="A",H906,IF(CA906=1,CB906,IF(LEFT(Cockpit!$I$5,1)="B",AR906,MAX(AR906,H906))))</f>
        <v>448</v>
      </c>
      <c r="AO906" s="57" t="n">
        <f aca="false">IF(BT906=1,0,ROUNDUP(AN906/BS906,0))</f>
        <v>2</v>
      </c>
      <c r="AP906" s="59" t="n">
        <f aca="false">IF(CH906&gt;0,CH906*MAX(1,AN906/X906),IF(BT906=1,IF(AN906&lt;=0,0,BW906*MAX(1,IF(H906&gt;0,AN906/H906,1))),IF(R906&gt;0,AO906/R906,0))/MAX(0.1,N(Parameter!$M$21)))</f>
        <v>0.0769230769230769</v>
      </c>
      <c r="AQ906" s="57" t="n">
        <f aca="false">AN906*G906</f>
        <v>71.68</v>
      </c>
      <c r="AR906" s="57" t="n">
        <f aca="false">ROUNDUP(MAX(J906/IF(BZ906&gt;0,BZ906,MAX(0.1,N(Cockpit!$I$6))),CC906)/BS906,0)*BS906</f>
        <v>448</v>
      </c>
      <c r="AS906" s="58" t="n">
        <f aca="false">IF(AP906&gt;0,J906/AP906,-1)</f>
        <v>3744</v>
      </c>
      <c r="AT906" s="58" t="n">
        <f aca="false">IF(AND(OR(BY906="L1",BY906="L23"),AP906&gt;0),SUMIFS($AP$7:$AP$1843,$BY$7:$BY$1843,BY906,$AS$7:$AS$1843,"&gt;"&amp;AS906)+SUMIFS($AP$7:$AP$1843,$BY$7:$BY$1843,BY906,$AS$7:$AS$1843,AS906,$BQ$7:$BQ$1843,"&lt;="&amp;BQ906),"")</f>
        <v>13.8788807810547</v>
      </c>
      <c r="AU906" s="65" t="n">
        <f aca="false">IF(AT906="",0,MAX(0,MIN(1,(IF(BY906="L1",Parameter!$E$5,Parameter!$E$6+Parameter!$E$7)-(AT906-AP906))/AP906)))</f>
        <v>1</v>
      </c>
      <c r="AV906" s="57" t="n">
        <f aca="false">IF(LEFT(Cockpit!$O$5,1)="A",H906,IF(CA906=1,CB906,IF(LEFT(Cockpit!$O$5,1)="B",AZ906,MAX(AZ906,H906))))</f>
        <v>448</v>
      </c>
      <c r="AW906" s="57" t="n">
        <f aca="false">IF(BT906=1,0,ROUNDUP(AV906/BS906,0))</f>
        <v>2</v>
      </c>
      <c r="AX906" s="59" t="n">
        <f aca="false">IF(CH906&gt;0,CH906*MAX(1,AV906/X906),IF(BT906=1,IF(AV906&lt;=0,0,BW906*MAX(1,IF(H906&gt;0,AV906/H906,1))),IF(R906&gt;0,AW906/R906,0))/MAX(0.1,N(Parameter!$M$21)))</f>
        <v>0.0769230769230769</v>
      </c>
      <c r="AY906" s="57" t="n">
        <f aca="false">AV906*G906</f>
        <v>71.68</v>
      </c>
      <c r="AZ906" s="57" t="n">
        <f aca="false">ROUNDUP(MAX(J906/IF(BZ906&gt;0,BZ906,MAX(0.1,N(Cockpit!$O$6))),CC906)/BS906,0)*BS906</f>
        <v>448</v>
      </c>
      <c r="BA906" s="58" t="n">
        <f aca="false">IF(AX906&gt;0,J906/AX906,-1)</f>
        <v>3744</v>
      </c>
      <c r="BB906" s="58" t="n">
        <f aca="false">IF(AND(OR(BY906="L1",BY906="L23"),AX906&gt;0),SUMIFS($AX$7:$AX$1843,$BY$7:$BY$1843,BY906,$BA$7:$BA$1843,"&gt;"&amp;BA906)+SUMIFS($AX$7:$AX$1843,$BY$7:$BY$1843,BY906,$BA$7:$BA$1843,BA906,$BQ$7:$BQ$1843,"&lt;="&amp;BQ906),"")</f>
        <v>12.445897098071</v>
      </c>
      <c r="BC906" s="65" t="n">
        <f aca="false">IF(BB906="",0,MAX(0,MIN(1,(IF(BY906="L1",Parameter!$E$5,Parameter!$E$6+Parameter!$E$7)-(BB906-AX906))/AX906)))</f>
        <v>1</v>
      </c>
      <c r="BD906" s="55" t="str">
        <f aca="false">IF(AH906&lt;=0,"",IF(BY906="Aussen","Aussenlager",IF(BY906="-","Nicht im Lift",IF(AM906&gt;=1,"Lift",IF(AM906&lt;=0,"Aussenlager","teilweise")))))</f>
        <v>Lift</v>
      </c>
      <c r="BE906" s="55" t="str">
        <f aca="false">IF(AP906&lt;=0,"",IF(BY906="Aussen","Aussenlager",IF(BY906="-","Nicht im Lift",IF(AU906&gt;=1,"Lift",IF(AU906&lt;=0,"Aussenlager","teilweise")))))</f>
        <v>Lift</v>
      </c>
      <c r="BF906" s="55" t="str">
        <f aca="false">IF(AX906&lt;=0,"",IF(BY906="Aussen","Aussenlager",IF(BY906="-","Nicht im Lift",IF(BC906&gt;=1,"Lift",IF(BC906&lt;=0,"Aussenlager","teilweise")))))</f>
        <v>Lift</v>
      </c>
      <c r="BG906" s="55" t="str">
        <f aca="false">IF(A906="","",IF(BP906=1,"Neu; ","")&amp;IF(AND(BP906=0,BK906&lt;0),"negativer Bestand (Export "&amp;BK906&amp;"); ","")&amp;IF(J906&lt;=0,"Kein Verbrauch; ","")&amp;IF(CH906&gt;0,"Lift "&amp;W906&amp;" lt. Liftbericht (Fach "&amp;X906&amp;" Stk); ",IF(BU906=1,"Gebinde geschätzt ("&amp;T906&amp;"); ",IF(BT906=1,"Lose – Tablare geschätzt; ","")))&amp;IF(H906&gt;AR906,"Überbestand "&amp;ROUND(H906-AR906,0)&amp;" Stk / CHF "&amp;ROUND((H906-AR906)*G906,0)&amp;"; ","")&amp;IF(AND(CA906=1,CB906&lt;CC906),"MAX &lt; MB+LG; ","")&amp;IF(AND(CG906&gt;0,CF906*10&gt;CG906),"zu hoch für Tablar; ","")&amp;IF(AND(BP906=0,OR(CA906=1,AA906&lt;&gt;"",U906&lt;&gt;"",V906&lt;&gt;"",AB906&lt;&gt;"")),"manuell übersteuert; ","")&amp;IF(AND(BT906=0,R906=0),"Gebinde unbekannt / Stellmass fehlt; ","")&amp;IF(AND(BT906=0,N(V906)&lt;=0,N(Q906)&lt;=0),"Menge pro Gebinde fehlt (Ist = 1 Gebinde); ","")&amp;BO906)</f>
        <v>negativer Bestand (Export -206); </v>
      </c>
      <c r="BH906" s="55"/>
      <c r="BI906" s="55"/>
      <c r="BJ906" s="62"/>
      <c r="BK906" s="57" t="n">
        <v>-206</v>
      </c>
      <c r="BL906" s="57" t="n">
        <v>341</v>
      </c>
      <c r="BM906" s="56" t="n">
        <v>-36.37</v>
      </c>
      <c r="BN906" s="57" t="n">
        <v>288</v>
      </c>
      <c r="BO906" s="55"/>
      <c r="BP906" s="60" t="n">
        <v>0</v>
      </c>
      <c r="BQ906" s="60" t="n">
        <v>906</v>
      </c>
      <c r="BR906" s="55" t="str">
        <f aca="false">IF(U906&lt;&gt;"",UPPER(TRIM(U906)),IF(BU906=1,UPPER(VLOOKUP(T906,Parameter!$I$27:$K$29,2,0)),IF(P906="","LOSE",P906)))</f>
        <v>S52</v>
      </c>
      <c r="BS906" s="57" t="n">
        <f aca="false">IF(BR906="LOSE",1,IF(N(V906)&gt;0,V906,IF(BU906=1,MAX(1,N(VLOOKUP(T906,Parameter!$I$27:$K$29,3,0)),H906,N(N906)),IF(N(Q906)&gt;0,Q906,MAX(1,H906)))))</f>
        <v>224</v>
      </c>
      <c r="BT906" s="60" t="n">
        <f aca="false">IF(BR906="LOSE",1,0)</f>
        <v>0</v>
      </c>
      <c r="BU906" s="60" t="n">
        <f aca="false">IF(AND(U906="",OR(P906="",P906="LOSE"),T906&lt;&gt;"",N(S906)&lt;=0,ISNUMBER(MATCH(T906,Parameter!$I$27:$I$29,0))),1,0)</f>
        <v>0</v>
      </c>
      <c r="BV906" s="55" t="str">
        <f aca="false">IF(AND(Parameter!$B$19="Ja",E906&lt;&gt;"",ISNUMBER(MATCH(E906,Parameter!$I$35:$I$52,0))),VLOOKUP(E906,Parameter!$I$35:$J$52,2,0),IFERROR(VLOOKUP(D906,Parameter!$A$35:$C$64,2,0),"Nein"))</f>
        <v>2+3</v>
      </c>
      <c r="BW906" s="59" t="n">
        <f aca="false">IF(BT906=0,0,IF(N(S906)&gt;0,S906,IFERROR(VLOOKUP(D906,Parameter!$A$35:$C$64,3,0)+0,0)))</f>
        <v>0</v>
      </c>
      <c r="BX906" s="55" t="n">
        <f aca="false">IF(AA906&lt;&gt;"",AA906,Z906)</f>
        <v>3</v>
      </c>
      <c r="BY906" s="55" t="str">
        <f aca="false">IF(BX906=1,"L1",IF(OR(BX906=2,BX906=3),"L23",IF(BX906="Aussen","Aussen","-")))</f>
        <v>L23</v>
      </c>
      <c r="BZ906" s="66" t="n">
        <f aca="false">IF(N(AB906)&gt;0,AB906,0)</f>
        <v>0</v>
      </c>
      <c r="CA906" s="60" t="n">
        <f aca="false">IF(ISNUMBER(AE906),1,0)</f>
        <v>0</v>
      </c>
      <c r="CB906" s="57" t="n">
        <f aca="false">N(AE906)</f>
        <v>0</v>
      </c>
      <c r="CC906" s="57" t="n">
        <f aca="false">N(M906)+N(N906)</f>
        <v>322</v>
      </c>
      <c r="CD906" s="57" t="n">
        <f aca="false">ROUNDUP(H906/BS906,0)</f>
        <v>1</v>
      </c>
      <c r="CE906" s="57" t="n">
        <f aca="false">ROUNDUP(CB906/BS906,0)</f>
        <v>0</v>
      </c>
      <c r="CF906" s="60" t="n">
        <f aca="false">IF(BT906=1,0,IFERROR(VLOOKUP(BR906,'Gebinde-Kategorie'!$A$5:$M$45,5,0)+0,0))</f>
        <v>21</v>
      </c>
      <c r="CG906" s="60" t="n">
        <f aca="false">IFERROR(IF(OR(BX906=1,BX906=2,BX906=3),N(INDEX(Parameter!$I$5:$I$7,BX906)),0),0)</f>
        <v>0</v>
      </c>
      <c r="CH906" s="59" t="n">
        <f aca="false">IF(AND(Parameter!$B$21="Ja",ISNUMBER(W906),N(X906)&gt;0),IFERROR(N(INDEX(Parameter!$L$5:$L$7,W906))*INDEX(Parameter!$E$5:$E$7,W906)*X906/SUMIFS($X$7:$X$1843,$W$7:$W$1843,W906),0),0)</f>
        <v>0</v>
      </c>
    </row>
    <row r="907" customFormat="false" ht="15" hidden="false" customHeight="false" outlineLevel="0" collapsed="false">
      <c r="A907" s="55" t="s">
        <v>1702</v>
      </c>
      <c r="B907" s="55" t="s">
        <v>1684</v>
      </c>
      <c r="C907" s="55" t="s">
        <v>164</v>
      </c>
      <c r="D907" s="55" t="s">
        <v>184</v>
      </c>
      <c r="E907" s="55"/>
      <c r="F907" s="55" t="s">
        <v>218</v>
      </c>
      <c r="G907" s="56" t="n">
        <v>0.37</v>
      </c>
      <c r="H907" s="57" t="n">
        <f aca="false">MAX(0,IF(AND(Parameter!$B$21="Ja",ISNUMBER(Y907)),Y907,IF(Parameter!$B$20="Jahresanfang 2025 + Export",BL907+BK907,BK907)))</f>
        <v>0</v>
      </c>
      <c r="I907" s="57" t="n">
        <f aca="false">H907*G907</f>
        <v>0</v>
      </c>
      <c r="J907" s="57" t="n">
        <f aca="false">BN907*Parameter!$B$18</f>
        <v>0</v>
      </c>
      <c r="K907" s="58" t="n">
        <v>50</v>
      </c>
      <c r="L907" s="59" t="n">
        <v>0</v>
      </c>
      <c r="M907" s="57" t="n">
        <v>0</v>
      </c>
      <c r="N907" s="57" t="n">
        <v>1</v>
      </c>
      <c r="O907" s="60" t="n">
        <v>28</v>
      </c>
      <c r="P907" s="55" t="s">
        <v>168</v>
      </c>
      <c r="Q907" s="57"/>
      <c r="R907" s="60" t="n">
        <f aca="false">IF(BT907=1,0,IFERROR(VLOOKUP(BR907,'Gebinde-Kategorie'!$A$5:$M$45,13,0)+0,0))</f>
        <v>26</v>
      </c>
      <c r="S907" s="61"/>
      <c r="T907" s="62" t="s">
        <v>275</v>
      </c>
      <c r="U907" s="62"/>
      <c r="V907" s="62"/>
      <c r="W907" s="55"/>
      <c r="X907" s="57"/>
      <c r="Y907" s="57"/>
      <c r="Z907" s="55" t="n">
        <f aca="false">IF(A907="","",IF(AND(Parameter!$B$21="Ja",ISNUMBER(W907)),W907,IF(BV907="2+3",IF(ISNUMBER(SEARCH("grosser Artikel",BO907)),2,IFERROR(VLOOKUP(BR907,Parameter!$F$35:$G$64,2,0),2)),IF(OR(BV907="Nein",BV907=""),"-",BV907))))</f>
        <v>3</v>
      </c>
      <c r="AA907" s="62"/>
      <c r="AB907" s="63"/>
      <c r="AC907" s="57" t="n">
        <f aca="false">AR907</f>
        <v>20</v>
      </c>
      <c r="AD907" s="57" t="n">
        <f aca="false">MAX(AR907,H907)</f>
        <v>20</v>
      </c>
      <c r="AE907" s="64"/>
      <c r="AF907" s="57" t="n">
        <f aca="false">IF(LEFT(Cockpit!$C$5,1)="A",H907,IF(CA907=1,CB907,IF(LEFT(Cockpit!$C$5,1)="B",AJ907,MAX(AJ907,H907))))</f>
        <v>0</v>
      </c>
      <c r="AG907" s="57" t="n">
        <f aca="false">IF(BT907=1,0,ROUNDUP(AF907/BS907,0))</f>
        <v>0</v>
      </c>
      <c r="AH907" s="59" t="n">
        <f aca="false">IF(CH907&gt;0,CH907*MAX(1,AF907/X907),IF(BT907=1,IF(AF907&lt;=0,0,BW907*MAX(1,IF(H907&gt;0,AF907/H907,1))),IF(R907&gt;0,AG907/R907,0))/MAX(0.1,N(Parameter!$M$21)))</f>
        <v>0</v>
      </c>
      <c r="AI907" s="57" t="n">
        <f aca="false">AF907*G907</f>
        <v>0</v>
      </c>
      <c r="AJ907" s="57" t="n">
        <f aca="false">ROUNDUP(MAX(J907/IF(BZ907&gt;0,BZ907,MAX(0.1,N(Cockpit!$C$6))),CC907)/BS907,0)*BS907</f>
        <v>20</v>
      </c>
      <c r="AK907" s="58" t="n">
        <f aca="false">IF(AH907&gt;0,J907/AH907,-1)</f>
        <v>-1</v>
      </c>
      <c r="AL907" s="58" t="str">
        <f aca="false">IF(AND(OR(BY907="L1",BY907="L23"),AH907&gt;0),SUMIFS($AH$7:$AH$1843,$BY$7:$BY$1843,BY907,$AK$7:$AK$1843,"&gt;"&amp;AK907)+SUMIFS($AH$7:$AH$1843,$BY$7:$BY$1843,BY907,$AK$7:$AK$1843,AK907,$BQ$7:$BQ$1843,"&lt;="&amp;BQ907),"")</f>
        <v/>
      </c>
      <c r="AM907" s="65" t="n">
        <f aca="false">IF(AL907="",0,MAX(0,MIN(1,(IF(BY907="L1",Parameter!$E$5,Parameter!$E$6+Parameter!$E$7)-(AL907-AH907))/AH907)))</f>
        <v>0</v>
      </c>
      <c r="AN907" s="57" t="n">
        <f aca="false">IF(LEFT(Cockpit!$I$5,1)="A",H907,IF(CA907=1,CB907,IF(LEFT(Cockpit!$I$5,1)="B",AR907,MAX(AR907,H907))))</f>
        <v>20</v>
      </c>
      <c r="AO907" s="57" t="n">
        <f aca="false">IF(BT907=1,0,ROUNDUP(AN907/BS907,0))</f>
        <v>1</v>
      </c>
      <c r="AP907" s="59" t="n">
        <f aca="false">IF(CH907&gt;0,CH907*MAX(1,AN907/X907),IF(BT907=1,IF(AN907&lt;=0,0,BW907*MAX(1,IF(H907&gt;0,AN907/H907,1))),IF(R907&gt;0,AO907/R907,0))/MAX(0.1,N(Parameter!$M$21)))</f>
        <v>0.0384615384615385</v>
      </c>
      <c r="AQ907" s="57" t="n">
        <f aca="false">AN907*G907</f>
        <v>7.4</v>
      </c>
      <c r="AR907" s="57" t="n">
        <f aca="false">ROUNDUP(MAX(J907/IF(BZ907&gt;0,BZ907,MAX(0.1,N(Cockpit!$I$6))),CC907)/BS907,0)*BS907</f>
        <v>20</v>
      </c>
      <c r="AS907" s="58" t="n">
        <f aca="false">IF(AP907&gt;0,J907/AP907,-1)</f>
        <v>0</v>
      </c>
      <c r="AT907" s="58" t="n">
        <f aca="false">IF(AND(OR(BY907="L1",BY907="L23"),AP907&gt;0),SUMIFS($AP$7:$AP$1843,$BY$7:$BY$1843,BY907,$AS$7:$AS$1843,"&gt;"&amp;AS907)+SUMIFS($AP$7:$AP$1843,$BY$7:$BY$1843,BY907,$AS$7:$AS$1843,AS907,$BQ$7:$BQ$1843,"&lt;="&amp;BQ907),"")</f>
        <v>119.018251072599</v>
      </c>
      <c r="AU907" s="65" t="n">
        <f aca="false">IF(AT907="",0,MAX(0,MIN(1,(IF(BY907="L1",Parameter!$E$5,Parameter!$E$6+Parameter!$E$7)-(AT907-AP907))/AP907)))</f>
        <v>0</v>
      </c>
      <c r="AV907" s="57" t="n">
        <f aca="false">IF(LEFT(Cockpit!$O$5,1)="A",H907,IF(CA907=1,CB907,IF(LEFT(Cockpit!$O$5,1)="B",AZ907,MAX(AZ907,H907))))</f>
        <v>20</v>
      </c>
      <c r="AW907" s="57" t="n">
        <f aca="false">IF(BT907=1,0,ROUNDUP(AV907/BS907,0))</f>
        <v>1</v>
      </c>
      <c r="AX907" s="59" t="n">
        <f aca="false">IF(CH907&gt;0,CH907*MAX(1,AV907/X907),IF(BT907=1,IF(AV907&lt;=0,0,BW907*MAX(1,IF(H907&gt;0,AV907/H907,1))),IF(R907&gt;0,AW907/R907,0))/MAX(0.1,N(Parameter!$M$21)))</f>
        <v>0.0384615384615385</v>
      </c>
      <c r="AY907" s="57" t="n">
        <f aca="false">AV907*G907</f>
        <v>7.4</v>
      </c>
      <c r="AZ907" s="57" t="n">
        <f aca="false">ROUNDUP(MAX(J907/IF(BZ907&gt;0,BZ907,MAX(0.1,N(Cockpit!$O$6))),CC907)/BS907,0)*BS907</f>
        <v>20</v>
      </c>
      <c r="BA907" s="58" t="n">
        <f aca="false">IF(AX907&gt;0,J907/AX907,-1)</f>
        <v>0</v>
      </c>
      <c r="BB907" s="58" t="n">
        <f aca="false">IF(AND(OR(BY907="L1",BY907="L23"),AX907&gt;0),SUMIFS($AX$7:$AX$1843,$BY$7:$BY$1843,BY907,$BA$7:$BA$1843,"&gt;"&amp;BA907)+SUMIFS($AX$7:$AX$1843,$BY$7:$BY$1843,BY907,$BA$7:$BA$1843,BA907,$BQ$7:$BQ$1843,"&lt;="&amp;BQ907),"")</f>
        <v>109.848087902436</v>
      </c>
      <c r="BC907" s="65" t="n">
        <f aca="false">IF(BB907="",0,MAX(0,MIN(1,(IF(BY907="L1",Parameter!$E$5,Parameter!$E$6+Parameter!$E$7)-(BB907-AX907))/AX907)))</f>
        <v>0</v>
      </c>
      <c r="BD907" s="55" t="str">
        <f aca="false">IF(AH907&lt;=0,"",IF(BY907="Aussen","Aussenlager",IF(BY907="-","Nicht im Lift",IF(AM907&gt;=1,"Lift",IF(AM907&lt;=0,"Aussenlager","teilweise")))))</f>
        <v/>
      </c>
      <c r="BE907" s="55" t="str">
        <f aca="false">IF(AP907&lt;=0,"",IF(BY907="Aussen","Aussenlager",IF(BY907="-","Nicht im Lift",IF(AU907&gt;=1,"Lift",IF(AU907&lt;=0,"Aussenlager","teilweise")))))</f>
        <v>Aussenlager</v>
      </c>
      <c r="BF907" s="55" t="str">
        <f aca="false">IF(AX907&lt;=0,"",IF(BY907="Aussen","Aussenlager",IF(BY907="-","Nicht im Lift",IF(BC907&gt;=1,"Lift",IF(BC907&lt;=0,"Aussenlager","teilweise")))))</f>
        <v>Aussenlager</v>
      </c>
      <c r="BG907" s="55" t="str">
        <f aca="false">IF(A907="","",IF(BP907=1,"Neu; ","")&amp;IF(AND(BP907=0,BK907&lt;0),"negativer Bestand (Export "&amp;BK907&amp;"); ","")&amp;IF(J907&lt;=0,"Kein Verbrauch; ","")&amp;IF(CH907&gt;0,"Lift "&amp;W907&amp;" lt. Liftbericht (Fach "&amp;X907&amp;" Stk); ",IF(BU907=1,"Gebinde geschätzt ("&amp;T907&amp;"); ",IF(BT907=1,"Lose – Tablare geschätzt; ","")))&amp;IF(H907&gt;AR907,"Überbestand "&amp;ROUND(H907-AR907,0)&amp;" Stk / CHF "&amp;ROUND((H907-AR907)*G907,0)&amp;"; ","")&amp;IF(AND(CA907=1,CB907&lt;CC907),"MAX &lt; MB+LG; ","")&amp;IF(AND(CG907&gt;0,CF907*10&gt;CG907),"zu hoch für Tablar; ","")&amp;IF(AND(BP907=0,OR(CA907=1,AA907&lt;&gt;"",U907&lt;&gt;"",V907&lt;&gt;"",AB907&lt;&gt;"")),"manuell übersteuert; ","")&amp;IF(AND(BT907=0,R907=0),"Gebinde unbekannt / Stellmass fehlt; ","")&amp;IF(AND(BT907=0,N(V907)&lt;=0,N(Q907)&lt;=0),"Menge pro Gebinde fehlt (Ist = 1 Gebinde); ","")&amp;BO907)</f>
        <v>negativer Bestand (Export -100); Kein Verbrauch; Gebinde geschätzt (Klein); Menge pro Gebinde fehlt (Ist = 1 Gebinde); </v>
      </c>
      <c r="BH907" s="55"/>
      <c r="BI907" s="55"/>
      <c r="BJ907" s="62"/>
      <c r="BK907" s="57" t="n">
        <v>-100</v>
      </c>
      <c r="BL907" s="57" t="n">
        <v>100</v>
      </c>
      <c r="BM907" s="56" t="n">
        <v>-37</v>
      </c>
      <c r="BN907" s="57" t="n">
        <v>0</v>
      </c>
      <c r="BO907" s="55"/>
      <c r="BP907" s="60" t="n">
        <v>0</v>
      </c>
      <c r="BQ907" s="60" t="n">
        <v>907</v>
      </c>
      <c r="BR907" s="55" t="str">
        <f aca="false">IF(U907&lt;&gt;"",UPPER(TRIM(U907)),IF(BU907=1,UPPER(VLOOKUP(T907,Parameter!$I$27:$K$29,2,0)),IF(P907="","LOSE",P907)))</f>
        <v>S51</v>
      </c>
      <c r="BS907" s="57" t="n">
        <f aca="false">IF(BR907="LOSE",1,IF(N(V907)&gt;0,V907,IF(BU907=1,MAX(1,N(VLOOKUP(T907,Parameter!$I$27:$K$29,3,0)),H907,N(N907)),IF(N(Q907)&gt;0,Q907,MAX(1,H907)))))</f>
        <v>20</v>
      </c>
      <c r="BT907" s="60" t="n">
        <f aca="false">IF(BR907="LOSE",1,0)</f>
        <v>0</v>
      </c>
      <c r="BU907" s="60" t="n">
        <f aca="false">IF(AND(U907="",OR(P907="",P907="LOSE"),T907&lt;&gt;"",N(S907)&lt;=0,ISNUMBER(MATCH(T907,Parameter!$I$27:$I$29,0))),1,0)</f>
        <v>1</v>
      </c>
      <c r="BV907" s="55" t="str">
        <f aca="false">IF(AND(Parameter!$B$19="Ja",E907&lt;&gt;"",ISNUMBER(MATCH(E907,Parameter!$I$35:$I$52,0))),VLOOKUP(E907,Parameter!$I$35:$J$52,2,0),IFERROR(VLOOKUP(D907,Parameter!$A$35:$C$64,2,0),"Nein"))</f>
        <v>2+3</v>
      </c>
      <c r="BW907" s="59" t="n">
        <f aca="false">IF(BT907=0,0,IF(N(S907)&gt;0,S907,IFERROR(VLOOKUP(D907,Parameter!$A$35:$C$64,3,0)+0,0)))</f>
        <v>0</v>
      </c>
      <c r="BX907" s="55" t="n">
        <f aca="false">IF(AA907&lt;&gt;"",AA907,Z907)</f>
        <v>3</v>
      </c>
      <c r="BY907" s="55" t="str">
        <f aca="false">IF(BX907=1,"L1",IF(OR(BX907=2,BX907=3),"L23",IF(BX907="Aussen","Aussen","-")))</f>
        <v>L23</v>
      </c>
      <c r="BZ907" s="66" t="n">
        <f aca="false">IF(N(AB907)&gt;0,AB907,0)</f>
        <v>0</v>
      </c>
      <c r="CA907" s="60" t="n">
        <f aca="false">IF(ISNUMBER(AE907),1,0)</f>
        <v>0</v>
      </c>
      <c r="CB907" s="57" t="n">
        <f aca="false">N(AE907)</f>
        <v>0</v>
      </c>
      <c r="CC907" s="57" t="n">
        <f aca="false">N(M907)+N(N907)</f>
        <v>1</v>
      </c>
      <c r="CD907" s="57" t="n">
        <f aca="false">ROUNDUP(H907/BS907,0)</f>
        <v>0</v>
      </c>
      <c r="CE907" s="57" t="n">
        <f aca="false">ROUNDUP(CB907/BS907,0)</f>
        <v>0</v>
      </c>
      <c r="CF907" s="60" t="n">
        <f aca="false">IF(BT907=1,0,IFERROR(VLOOKUP(BR907,'Gebinde-Kategorie'!$A$5:$M$45,5,0)+0,0))</f>
        <v>11</v>
      </c>
      <c r="CG907" s="60" t="n">
        <f aca="false">IFERROR(IF(OR(BX907=1,BX907=2,BX907=3),N(INDEX(Parameter!$I$5:$I$7,BX907)),0),0)</f>
        <v>0</v>
      </c>
      <c r="CH907" s="59" t="n">
        <f aca="false">IF(AND(Parameter!$B$21="Ja",ISNUMBER(W907),N(X907)&gt;0),IFERROR(N(INDEX(Parameter!$L$5:$L$7,W907))*INDEX(Parameter!$E$5:$E$7,W907)*X907/SUMIFS($X$7:$X$1843,$W$7:$W$1843,W907),0),0)</f>
        <v>0</v>
      </c>
    </row>
    <row r="908" customFormat="false" ht="15" hidden="false" customHeight="false" outlineLevel="0" collapsed="false">
      <c r="A908" s="55" t="s">
        <v>1703</v>
      </c>
      <c r="B908" s="55" t="s">
        <v>1704</v>
      </c>
      <c r="C908" s="55" t="s">
        <v>164</v>
      </c>
      <c r="D908" s="55" t="s">
        <v>184</v>
      </c>
      <c r="E908" s="55"/>
      <c r="F908" s="55" t="s">
        <v>218</v>
      </c>
      <c r="G908" s="56" t="n">
        <v>12.37</v>
      </c>
      <c r="H908" s="57" t="n">
        <f aca="false">MAX(0,IF(AND(Parameter!$B$21="Ja",ISNUMBER(Y908)),Y908,IF(Parameter!$B$20="Jahresanfang 2025 + Export",BL908+BK908,BK908)))</f>
        <v>28</v>
      </c>
      <c r="I908" s="57" t="n">
        <f aca="false">H908*G908</f>
        <v>346.36</v>
      </c>
      <c r="J908" s="57" t="n">
        <f aca="false">BN908*Parameter!$B$18</f>
        <v>1</v>
      </c>
      <c r="K908" s="58" t="n">
        <v>30</v>
      </c>
      <c r="L908" s="59" t="n">
        <v>0.0333333333333333</v>
      </c>
      <c r="M908" s="57" t="n">
        <v>0</v>
      </c>
      <c r="N908" s="57" t="n">
        <v>1</v>
      </c>
      <c r="O908" s="60" t="n">
        <v>28</v>
      </c>
      <c r="P908" s="55" t="s">
        <v>426</v>
      </c>
      <c r="Q908" s="57" t="n">
        <v>20</v>
      </c>
      <c r="R908" s="60" t="n">
        <f aca="false">IF(BT908=1,0,IFERROR(VLOOKUP(BR908,'Gebinde-Kategorie'!$A$5:$M$45,13,0)+0,0))</f>
        <v>198</v>
      </c>
      <c r="S908" s="61"/>
      <c r="T908" s="62"/>
      <c r="U908" s="62"/>
      <c r="V908" s="62"/>
      <c r="W908" s="55"/>
      <c r="X908" s="57"/>
      <c r="Y908" s="57"/>
      <c r="Z908" s="55" t="n">
        <f aca="false">IF(A908="","",IF(AND(Parameter!$B$21="Ja",ISNUMBER(W908)),W908,IF(BV908="2+3",IF(ISNUMBER(SEARCH("grosser Artikel",BO908)),2,IFERROR(VLOOKUP(BR908,Parameter!$F$35:$G$64,2,0),2)),IF(OR(BV908="Nein",BV908=""),"-",BV908))))</f>
        <v>3</v>
      </c>
      <c r="AA908" s="62"/>
      <c r="AB908" s="63"/>
      <c r="AC908" s="57" t="n">
        <f aca="false">AR908</f>
        <v>20</v>
      </c>
      <c r="AD908" s="57" t="n">
        <f aca="false">MAX(AR908,H908)</f>
        <v>28</v>
      </c>
      <c r="AE908" s="64"/>
      <c r="AF908" s="57" t="n">
        <f aca="false">IF(LEFT(Cockpit!$C$5,1)="A",H908,IF(CA908=1,CB908,IF(LEFT(Cockpit!$C$5,1)="B",AJ908,MAX(AJ908,H908))))</f>
        <v>28</v>
      </c>
      <c r="AG908" s="57" t="n">
        <f aca="false">IF(BT908=1,0,ROUNDUP(AF908/BS908,0))</f>
        <v>2</v>
      </c>
      <c r="AH908" s="59" t="n">
        <f aca="false">IF(CH908&gt;0,CH908*MAX(1,AF908/X908),IF(BT908=1,IF(AF908&lt;=0,0,BW908*MAX(1,IF(H908&gt;0,AF908/H908,1))),IF(R908&gt;0,AG908/R908,0))/MAX(0.1,N(Parameter!$M$21)))</f>
        <v>0.0101010101010101</v>
      </c>
      <c r="AI908" s="57" t="n">
        <f aca="false">AF908*G908</f>
        <v>346.36</v>
      </c>
      <c r="AJ908" s="57" t="n">
        <f aca="false">ROUNDUP(MAX(J908/IF(BZ908&gt;0,BZ908,MAX(0.1,N(Cockpit!$C$6))),CC908)/BS908,0)*BS908</f>
        <v>20</v>
      </c>
      <c r="AK908" s="58" t="n">
        <f aca="false">IF(AH908&gt;0,J908/AH908,-1)</f>
        <v>99</v>
      </c>
      <c r="AL908" s="58" t="n">
        <f aca="false">IF(AND(OR(BY908="L1",BY908="L23"),AH908&gt;0),SUMIFS($AH$7:$AH$1843,$BY$7:$BY$1843,BY908,$AK$7:$AK$1843,"&gt;"&amp;AK908)+SUMIFS($AH$7:$AH$1843,$BY$7:$BY$1843,BY908,$AK$7:$AK$1843,AK908,$BQ$7:$BQ$1843,"&lt;="&amp;BQ908),"")</f>
        <v>38.8813046856525</v>
      </c>
      <c r="AM908" s="65" t="n">
        <f aca="false">IF(AL908="",0,MAX(0,MIN(1,(IF(BY908="L1",Parameter!$E$5,Parameter!$E$6+Parameter!$E$7)-(AL908-AH908))/AH908)))</f>
        <v>1</v>
      </c>
      <c r="AN908" s="57" t="n">
        <f aca="false">IF(LEFT(Cockpit!$I$5,1)="A",H908,IF(CA908=1,CB908,IF(LEFT(Cockpit!$I$5,1)="B",AR908,MAX(AR908,H908))))</f>
        <v>28</v>
      </c>
      <c r="AO908" s="57" t="n">
        <f aca="false">IF(BT908=1,0,ROUNDUP(AN908/BS908,0))</f>
        <v>2</v>
      </c>
      <c r="AP908" s="59" t="n">
        <f aca="false">IF(CH908&gt;0,CH908*MAX(1,AN908/X908),IF(BT908=1,IF(AN908&lt;=0,0,BW908*MAX(1,IF(H908&gt;0,AN908/H908,1))),IF(R908&gt;0,AO908/R908,0))/MAX(0.1,N(Parameter!$M$21)))</f>
        <v>0.0101010101010101</v>
      </c>
      <c r="AQ908" s="57" t="n">
        <f aca="false">AN908*G908</f>
        <v>346.36</v>
      </c>
      <c r="AR908" s="57" t="n">
        <f aca="false">ROUNDUP(MAX(J908/IF(BZ908&gt;0,BZ908,MAX(0.1,N(Cockpit!$I$6))),CC908)/BS908,0)*BS908</f>
        <v>20</v>
      </c>
      <c r="AS908" s="58" t="n">
        <f aca="false">IF(AP908&gt;0,J908/AP908,-1)</f>
        <v>99</v>
      </c>
      <c r="AT908" s="58" t="n">
        <f aca="false">IF(AND(OR(BY908="L1",BY908="L23"),AP908&gt;0),SUMIFS($AP$7:$AP$1843,$BY$7:$BY$1843,BY908,$AS$7:$AS$1843,"&gt;"&amp;AS908)+SUMIFS($AP$7:$AP$1843,$BY$7:$BY$1843,BY908,$AS$7:$AS$1843,AS908,$BQ$7:$BQ$1843,"&lt;="&amp;BQ908),"")</f>
        <v>56.9406270058444</v>
      </c>
      <c r="AU908" s="65" t="n">
        <f aca="false">IF(AT908="",0,MAX(0,MIN(1,(IF(BY908="L1",Parameter!$E$5,Parameter!$E$6+Parameter!$E$7)-(AT908-AP908))/AP908)))</f>
        <v>1</v>
      </c>
      <c r="AV908" s="57" t="n">
        <f aca="false">IF(LEFT(Cockpit!$O$5,1)="A",H908,IF(CA908=1,CB908,IF(LEFT(Cockpit!$O$5,1)="B",AZ908,MAX(AZ908,H908))))</f>
        <v>28</v>
      </c>
      <c r="AW908" s="57" t="n">
        <f aca="false">IF(BT908=1,0,ROUNDUP(AV908/BS908,0))</f>
        <v>2</v>
      </c>
      <c r="AX908" s="59" t="n">
        <f aca="false">IF(CH908&gt;0,CH908*MAX(1,AV908/X908),IF(BT908=1,IF(AV908&lt;=0,0,BW908*MAX(1,IF(H908&gt;0,AV908/H908,1))),IF(R908&gt;0,AW908/R908,0))/MAX(0.1,N(Parameter!$M$21)))</f>
        <v>0.0101010101010101</v>
      </c>
      <c r="AY908" s="57" t="n">
        <f aca="false">AV908*G908</f>
        <v>346.36</v>
      </c>
      <c r="AZ908" s="57" t="n">
        <f aca="false">ROUNDUP(MAX(J908/IF(BZ908&gt;0,BZ908,MAX(0.1,N(Cockpit!$O$6))),CC908)/BS908,0)*BS908</f>
        <v>20</v>
      </c>
      <c r="BA908" s="58" t="n">
        <f aca="false">IF(AX908&gt;0,J908/AX908,-1)</f>
        <v>99</v>
      </c>
      <c r="BB908" s="58" t="n">
        <f aca="false">IF(AND(OR(BY908="L1",BY908="L23"),AX908&gt;0),SUMIFS($AX$7:$AX$1843,$BY$7:$BY$1843,BY908,$BA$7:$BA$1843,"&gt;"&amp;BA908)+SUMIFS($AX$7:$AX$1843,$BY$7:$BY$1843,BY908,$BA$7:$BA$1843,BA908,$BQ$7:$BQ$1843,"&lt;="&amp;BQ908),"")</f>
        <v>54.7704638356812</v>
      </c>
      <c r="BC908" s="65" t="n">
        <f aca="false">IF(BB908="",0,MAX(0,MIN(1,(IF(BY908="L1",Parameter!$E$5,Parameter!$E$6+Parameter!$E$7)-(BB908-AX908))/AX908)))</f>
        <v>1</v>
      </c>
      <c r="BD908" s="55" t="str">
        <f aca="false">IF(AH908&lt;=0,"",IF(BY908="Aussen","Aussenlager",IF(BY908="-","Nicht im Lift",IF(AM908&gt;=1,"Lift",IF(AM908&lt;=0,"Aussenlager","teilweise")))))</f>
        <v>Lift</v>
      </c>
      <c r="BE908" s="55" t="str">
        <f aca="false">IF(AP908&lt;=0,"",IF(BY908="Aussen","Aussenlager",IF(BY908="-","Nicht im Lift",IF(AU908&gt;=1,"Lift",IF(AU908&lt;=0,"Aussenlager","teilweise")))))</f>
        <v>Lift</v>
      </c>
      <c r="BF908" s="55" t="str">
        <f aca="false">IF(AX908&lt;=0,"",IF(BY908="Aussen","Aussenlager",IF(BY908="-","Nicht im Lift",IF(BC908&gt;=1,"Lift",IF(BC908&lt;=0,"Aussenlager","teilweise")))))</f>
        <v>Lift</v>
      </c>
      <c r="BG908" s="55" t="str">
        <f aca="false">IF(A908="","",IF(BP908=1,"Neu; ","")&amp;IF(AND(BP908=0,BK908&lt;0),"negativer Bestand (Export "&amp;BK908&amp;"); ","")&amp;IF(J908&lt;=0,"Kein Verbrauch; ","")&amp;IF(CH908&gt;0,"Lift "&amp;W908&amp;" lt. Liftbericht (Fach "&amp;X908&amp;" Stk); ",IF(BU908=1,"Gebinde geschätzt ("&amp;T908&amp;"); ",IF(BT908=1,"Lose – Tablare geschätzt; ","")))&amp;IF(H908&gt;AR908,"Überbestand "&amp;ROUND(H908-AR908,0)&amp;" Stk / CHF "&amp;ROUND((H908-AR908)*G908,0)&amp;"; ","")&amp;IF(AND(CA908=1,CB908&lt;CC908),"MAX &lt; MB+LG; ","")&amp;IF(AND(CG908&gt;0,CF908*10&gt;CG908),"zu hoch für Tablar; ","")&amp;IF(AND(BP908=0,OR(CA908=1,AA908&lt;&gt;"",U908&lt;&gt;"",V908&lt;&gt;"",AB908&lt;&gt;"")),"manuell übersteuert; ","")&amp;IF(AND(BT908=0,R908=0),"Gebinde unbekannt / Stellmass fehlt; ","")&amp;IF(AND(BT908=0,N(V908)&lt;=0,N(Q908)&lt;=0),"Menge pro Gebinde fehlt (Ist = 1 Gebinde); ","")&amp;BO908)</f>
        <v>negativer Bestand (Export -3); Überbestand 8 Stk / CHF 99; </v>
      </c>
      <c r="BH908" s="55"/>
      <c r="BI908" s="55"/>
      <c r="BJ908" s="62"/>
      <c r="BK908" s="57" t="n">
        <v>-3</v>
      </c>
      <c r="BL908" s="57" t="n">
        <v>31</v>
      </c>
      <c r="BM908" s="56" t="n">
        <v>-37.11</v>
      </c>
      <c r="BN908" s="57" t="n">
        <v>1</v>
      </c>
      <c r="BO908" s="55"/>
      <c r="BP908" s="60" t="n">
        <v>0</v>
      </c>
      <c r="BQ908" s="60" t="n">
        <v>908</v>
      </c>
      <c r="BR908" s="55" t="str">
        <f aca="false">IF(U908&lt;&gt;"",UPPER(TRIM(U908)),IF(BU908=1,UPPER(VLOOKUP(T908,Parameter!$I$27:$K$29,2,0)),IF(P908="","LOSE",P908)))</f>
        <v>S22</v>
      </c>
      <c r="BS908" s="57" t="n">
        <f aca="false">IF(BR908="LOSE",1,IF(N(V908)&gt;0,V908,IF(BU908=1,MAX(1,N(VLOOKUP(T908,Parameter!$I$27:$K$29,3,0)),H908,N(N908)),IF(N(Q908)&gt;0,Q908,MAX(1,H908)))))</f>
        <v>20</v>
      </c>
      <c r="BT908" s="60" t="n">
        <f aca="false">IF(BR908="LOSE",1,0)</f>
        <v>0</v>
      </c>
      <c r="BU908" s="60" t="n">
        <f aca="false">IF(AND(U908="",OR(P908="",P908="LOSE"),T908&lt;&gt;"",N(S908)&lt;=0,ISNUMBER(MATCH(T908,Parameter!$I$27:$I$29,0))),1,0)</f>
        <v>0</v>
      </c>
      <c r="BV908" s="55" t="str">
        <f aca="false">IF(AND(Parameter!$B$19="Ja",E908&lt;&gt;"",ISNUMBER(MATCH(E908,Parameter!$I$35:$I$52,0))),VLOOKUP(E908,Parameter!$I$35:$J$52,2,0),IFERROR(VLOOKUP(D908,Parameter!$A$35:$C$64,2,0),"Nein"))</f>
        <v>2+3</v>
      </c>
      <c r="BW908" s="59" t="n">
        <f aca="false">IF(BT908=0,0,IF(N(S908)&gt;0,S908,IFERROR(VLOOKUP(D908,Parameter!$A$35:$C$64,3,0)+0,0)))</f>
        <v>0</v>
      </c>
      <c r="BX908" s="55" t="n">
        <f aca="false">IF(AA908&lt;&gt;"",AA908,Z908)</f>
        <v>3</v>
      </c>
      <c r="BY908" s="55" t="str">
        <f aca="false">IF(BX908=1,"L1",IF(OR(BX908=2,BX908=3),"L23",IF(BX908="Aussen","Aussen","-")))</f>
        <v>L23</v>
      </c>
      <c r="BZ908" s="66" t="n">
        <f aca="false">IF(N(AB908)&gt;0,AB908,0)</f>
        <v>0</v>
      </c>
      <c r="CA908" s="60" t="n">
        <f aca="false">IF(ISNUMBER(AE908),1,0)</f>
        <v>0</v>
      </c>
      <c r="CB908" s="57" t="n">
        <f aca="false">N(AE908)</f>
        <v>0</v>
      </c>
      <c r="CC908" s="57" t="n">
        <f aca="false">N(M908)+N(N908)</f>
        <v>1</v>
      </c>
      <c r="CD908" s="57" t="n">
        <f aca="false">ROUNDUP(H908/BS908,0)</f>
        <v>2</v>
      </c>
      <c r="CE908" s="57" t="n">
        <f aca="false">ROUNDUP(CB908/BS908,0)</f>
        <v>0</v>
      </c>
      <c r="CF908" s="60" t="n">
        <f aca="false">IF(BT908=1,0,IFERROR(VLOOKUP(BR908,'Gebinde-Kategorie'!$A$5:$M$45,5,0)+0,0))</f>
        <v>8</v>
      </c>
      <c r="CG908" s="60" t="n">
        <f aca="false">IFERROR(IF(OR(BX908=1,BX908=2,BX908=3),N(INDEX(Parameter!$I$5:$I$7,BX908)),0),0)</f>
        <v>0</v>
      </c>
      <c r="CH908" s="59" t="n">
        <f aca="false">IF(AND(Parameter!$B$21="Ja",ISNUMBER(W908),N(X908)&gt;0),IFERROR(N(INDEX(Parameter!$L$5:$L$7,W908))*INDEX(Parameter!$E$5:$E$7,W908)*X908/SUMIFS($X$7:$X$1843,$W$7:$W$1843,W908),0),0)</f>
        <v>0</v>
      </c>
    </row>
    <row r="909" customFormat="false" ht="15" hidden="false" customHeight="false" outlineLevel="0" collapsed="false">
      <c r="A909" s="55" t="s">
        <v>1705</v>
      </c>
      <c r="B909" s="55" t="s">
        <v>1034</v>
      </c>
      <c r="C909" s="55" t="s">
        <v>164</v>
      </c>
      <c r="D909" s="55" t="s">
        <v>184</v>
      </c>
      <c r="E909" s="55" t="s">
        <v>185</v>
      </c>
      <c r="F909" s="55" t="s">
        <v>218</v>
      </c>
      <c r="G909" s="56" t="n">
        <v>7.19</v>
      </c>
      <c r="H909" s="57" t="n">
        <f aca="false">MAX(0,IF(AND(Parameter!$B$21="Ja",ISNUMBER(Y909)),Y909,IF(Parameter!$B$20="Jahresanfang 2025 + Export",BL909+BK909,BK909)))</f>
        <v>9</v>
      </c>
      <c r="I909" s="57" t="n">
        <f aca="false">H909*G909</f>
        <v>64.71</v>
      </c>
      <c r="J909" s="57" t="n">
        <f aca="false">BN909*Parameter!$B$18</f>
        <v>22</v>
      </c>
      <c r="K909" s="58" t="n">
        <v>12.5</v>
      </c>
      <c r="L909" s="59" t="n">
        <v>1.76</v>
      </c>
      <c r="M909" s="57" t="n">
        <v>0</v>
      </c>
      <c r="N909" s="57" t="n">
        <v>20</v>
      </c>
      <c r="O909" s="60" t="n">
        <v>14</v>
      </c>
      <c r="P909" s="55" t="s">
        <v>421</v>
      </c>
      <c r="Q909" s="57" t="n">
        <v>22</v>
      </c>
      <c r="R909" s="60" t="n">
        <f aca="false">IF(BT909=1,0,IFERROR(VLOOKUP(BR909,'Gebinde-Kategorie'!$A$5:$M$45,13,0)+0,0))</f>
        <v>132</v>
      </c>
      <c r="S909" s="61"/>
      <c r="T909" s="62"/>
      <c r="U909" s="62"/>
      <c r="V909" s="62"/>
      <c r="W909" s="55"/>
      <c r="X909" s="57"/>
      <c r="Y909" s="57"/>
      <c r="Z909" s="55" t="n">
        <f aca="false">IF(A909="","",IF(AND(Parameter!$B$21="Ja",ISNUMBER(W909)),W909,IF(BV909="2+3",IF(ISNUMBER(SEARCH("grosser Artikel",BO909)),2,IFERROR(VLOOKUP(BR909,Parameter!$F$35:$G$64,2,0),2)),IF(OR(BV909="Nein",BV909=""),"-",BV909))))</f>
        <v>3</v>
      </c>
      <c r="AA909" s="62"/>
      <c r="AB909" s="63"/>
      <c r="AC909" s="57" t="n">
        <f aca="false">AR909</f>
        <v>22</v>
      </c>
      <c r="AD909" s="57" t="n">
        <f aca="false">MAX(AR909,H909)</f>
        <v>22</v>
      </c>
      <c r="AE909" s="64"/>
      <c r="AF909" s="57" t="n">
        <f aca="false">IF(LEFT(Cockpit!$C$5,1)="A",H909,IF(CA909=1,CB909,IF(LEFT(Cockpit!$C$5,1)="B",AJ909,MAX(AJ909,H909))))</f>
        <v>9</v>
      </c>
      <c r="AG909" s="57" t="n">
        <f aca="false">IF(BT909=1,0,ROUNDUP(AF909/BS909,0))</f>
        <v>1</v>
      </c>
      <c r="AH909" s="59" t="n">
        <f aca="false">IF(CH909&gt;0,CH909*MAX(1,AF909/X909),IF(BT909=1,IF(AF909&lt;=0,0,BW909*MAX(1,IF(H909&gt;0,AF909/H909,1))),IF(R909&gt;0,AG909/R909,0))/MAX(0.1,N(Parameter!$M$21)))</f>
        <v>0.00757575757575758</v>
      </c>
      <c r="AI909" s="57" t="n">
        <f aca="false">AF909*G909</f>
        <v>64.71</v>
      </c>
      <c r="AJ909" s="57" t="n">
        <f aca="false">ROUNDUP(MAX(J909/IF(BZ909&gt;0,BZ909,MAX(0.1,N(Cockpit!$C$6))),CC909)/BS909,0)*BS909</f>
        <v>22</v>
      </c>
      <c r="AK909" s="58" t="n">
        <f aca="false">IF(AH909&gt;0,J909/AH909,-1)</f>
        <v>2904</v>
      </c>
      <c r="AL909" s="58" t="n">
        <f aca="false">IF(AND(OR(BY909="L1",BY909="L23"),AH909&gt;0),SUMIFS($AH$7:$AH$1843,$BY$7:$BY$1843,BY909,$AK$7:$AK$1843,"&gt;"&amp;AK909)+SUMIFS($AH$7:$AH$1843,$BY$7:$BY$1843,BY909,$AK$7:$AK$1843,AK909,$BQ$7:$BQ$1843,"&lt;="&amp;BQ909),"")</f>
        <v>10.8117968987534</v>
      </c>
      <c r="AM909" s="65" t="n">
        <f aca="false">IF(AL909="",0,MAX(0,MIN(1,(IF(BY909="L1",Parameter!$E$5,Parameter!$E$6+Parameter!$E$7)-(AL909-AH909))/AH909)))</f>
        <v>1</v>
      </c>
      <c r="AN909" s="57" t="n">
        <f aca="false">IF(LEFT(Cockpit!$I$5,1)="A",H909,IF(CA909=1,CB909,IF(LEFT(Cockpit!$I$5,1)="B",AR909,MAX(AR909,H909))))</f>
        <v>22</v>
      </c>
      <c r="AO909" s="57" t="n">
        <f aca="false">IF(BT909=1,0,ROUNDUP(AN909/BS909,0))</f>
        <v>1</v>
      </c>
      <c r="AP909" s="59" t="n">
        <f aca="false">IF(CH909&gt;0,CH909*MAX(1,AN909/X909),IF(BT909=1,IF(AN909&lt;=0,0,BW909*MAX(1,IF(H909&gt;0,AN909/H909,1))),IF(R909&gt;0,AO909/R909,0))/MAX(0.1,N(Parameter!$M$21)))</f>
        <v>0.00757575757575758</v>
      </c>
      <c r="AQ909" s="57" t="n">
        <f aca="false">AN909*G909</f>
        <v>158.18</v>
      </c>
      <c r="AR909" s="57" t="n">
        <f aca="false">ROUNDUP(MAX(J909/IF(BZ909&gt;0,BZ909,MAX(0.1,N(Cockpit!$I$6))),CC909)/BS909,0)*BS909</f>
        <v>22</v>
      </c>
      <c r="AS909" s="58" t="n">
        <f aca="false">IF(AP909&gt;0,J909/AP909,-1)</f>
        <v>2904</v>
      </c>
      <c r="AT909" s="58" t="n">
        <f aca="false">IF(AND(OR(BY909="L1",BY909="L23"),AP909&gt;0),SUMIFS($AP$7:$AP$1843,$BY$7:$BY$1843,BY909,$AS$7:$AS$1843,"&gt;"&amp;AS909)+SUMIFS($AP$7:$AP$1843,$BY$7:$BY$1843,BY909,$AS$7:$AS$1843,AS909,$BQ$7:$BQ$1843,"&lt;="&amp;BQ909),"")</f>
        <v>15.6632377284551</v>
      </c>
      <c r="AU909" s="65" t="n">
        <f aca="false">IF(AT909="",0,MAX(0,MIN(1,(IF(BY909="L1",Parameter!$E$5,Parameter!$E$6+Parameter!$E$7)-(AT909-AP909))/AP909)))</f>
        <v>1</v>
      </c>
      <c r="AV909" s="57" t="n">
        <f aca="false">IF(LEFT(Cockpit!$O$5,1)="A",H909,IF(CA909=1,CB909,IF(LEFT(Cockpit!$O$5,1)="B",AZ909,MAX(AZ909,H909))))</f>
        <v>22</v>
      </c>
      <c r="AW909" s="57" t="n">
        <f aca="false">IF(BT909=1,0,ROUNDUP(AV909/BS909,0))</f>
        <v>1</v>
      </c>
      <c r="AX909" s="59" t="n">
        <f aca="false">IF(CH909&gt;0,CH909*MAX(1,AV909/X909),IF(BT909=1,IF(AV909&lt;=0,0,BW909*MAX(1,IF(H909&gt;0,AV909/H909,1))),IF(R909&gt;0,AW909/R909,0))/MAX(0.1,N(Parameter!$M$21)))</f>
        <v>0.00757575757575758</v>
      </c>
      <c r="AY909" s="57" t="n">
        <f aca="false">AV909*G909</f>
        <v>158.18</v>
      </c>
      <c r="AZ909" s="57" t="n">
        <f aca="false">ROUNDUP(MAX(J909/IF(BZ909&gt;0,BZ909,MAX(0.1,N(Cockpit!$O$6))),CC909)/BS909,0)*BS909</f>
        <v>22</v>
      </c>
      <c r="BA909" s="58" t="n">
        <f aca="false">IF(AX909&gt;0,J909/AX909,-1)</f>
        <v>2904</v>
      </c>
      <c r="BB909" s="58" t="n">
        <f aca="false">IF(AND(OR(BY909="L1",BY909="L23"),AX909&gt;0),SUMIFS($AX$7:$AX$1843,$BY$7:$BY$1843,BY909,$BA$7:$BA$1843,"&gt;"&amp;BA909)+SUMIFS($AX$7:$AX$1843,$BY$7:$BY$1843,BY909,$BA$7:$BA$1843,BA909,$BQ$7:$BQ$1843,"&lt;="&amp;BQ909),"")</f>
        <v>14.1533309685484</v>
      </c>
      <c r="BC909" s="65" t="n">
        <f aca="false">IF(BB909="",0,MAX(0,MIN(1,(IF(BY909="L1",Parameter!$E$5,Parameter!$E$6+Parameter!$E$7)-(BB909-AX909))/AX909)))</f>
        <v>1</v>
      </c>
      <c r="BD909" s="55" t="str">
        <f aca="false">IF(AH909&lt;=0,"",IF(BY909="Aussen","Aussenlager",IF(BY909="-","Nicht im Lift",IF(AM909&gt;=1,"Lift",IF(AM909&lt;=0,"Aussenlager","teilweise")))))</f>
        <v>Lift</v>
      </c>
      <c r="BE909" s="55" t="str">
        <f aca="false">IF(AP909&lt;=0,"",IF(BY909="Aussen","Aussenlager",IF(BY909="-","Nicht im Lift",IF(AU909&gt;=1,"Lift",IF(AU909&lt;=0,"Aussenlager","teilweise")))))</f>
        <v>Lift</v>
      </c>
      <c r="BF909" s="55" t="str">
        <f aca="false">IF(AX909&lt;=0,"",IF(BY909="Aussen","Aussenlager",IF(BY909="-","Nicht im Lift",IF(BC909&gt;=1,"Lift",IF(BC909&lt;=0,"Aussenlager","teilweise")))))</f>
        <v>Lift</v>
      </c>
      <c r="BG909" s="55" t="str">
        <f aca="false">IF(A909="","",IF(BP909=1,"Neu; ","")&amp;IF(AND(BP909=0,BK909&lt;0),"negativer Bestand (Export "&amp;BK909&amp;"); ","")&amp;IF(J909&lt;=0,"Kein Verbrauch; ","")&amp;IF(CH909&gt;0,"Lift "&amp;W909&amp;" lt. Liftbericht (Fach "&amp;X909&amp;" Stk); ",IF(BU909=1,"Gebinde geschätzt ("&amp;T909&amp;"); ",IF(BT909=1,"Lose – Tablare geschätzt; ","")))&amp;IF(H909&gt;AR909,"Überbestand "&amp;ROUND(H909-AR909,0)&amp;" Stk / CHF "&amp;ROUND((H909-AR909)*G909,0)&amp;"; ","")&amp;IF(AND(CA909=1,CB909&lt;CC909),"MAX &lt; MB+LG; ","")&amp;IF(AND(CG909&gt;0,CF909*10&gt;CG909),"zu hoch für Tablar; ","")&amp;IF(AND(BP909=0,OR(CA909=1,AA909&lt;&gt;"",U909&lt;&gt;"",V909&lt;&gt;"",AB909&lt;&gt;"")),"manuell übersteuert; ","")&amp;IF(AND(BT909=0,R909=0),"Gebinde unbekannt / Stellmass fehlt; ","")&amp;IF(AND(BT909=0,N(V909)&lt;=0,N(Q909)&lt;=0),"Menge pro Gebinde fehlt (Ist = 1 Gebinde); ","")&amp;BO909)</f>
        <v>negativer Bestand (Export -5); </v>
      </c>
      <c r="BH909" s="55"/>
      <c r="BI909" s="55"/>
      <c r="BJ909" s="62"/>
      <c r="BK909" s="57" t="n">
        <v>-5</v>
      </c>
      <c r="BL909" s="57" t="n">
        <v>14</v>
      </c>
      <c r="BM909" s="56" t="n">
        <v>-37.35</v>
      </c>
      <c r="BN909" s="57" t="n">
        <v>22</v>
      </c>
      <c r="BO909" s="55"/>
      <c r="BP909" s="60" t="n">
        <v>0</v>
      </c>
      <c r="BQ909" s="60" t="n">
        <v>909</v>
      </c>
      <c r="BR909" s="55" t="str">
        <f aca="false">IF(U909&lt;&gt;"",UPPER(TRIM(U909)),IF(BU909=1,UPPER(VLOOKUP(T909,Parameter!$I$27:$K$29,2,0)),IF(P909="","LOSE",P909)))</f>
        <v>S32</v>
      </c>
      <c r="BS909" s="57" t="n">
        <f aca="false">IF(BR909="LOSE",1,IF(N(V909)&gt;0,V909,IF(BU909=1,MAX(1,N(VLOOKUP(T909,Parameter!$I$27:$K$29,3,0)),H909,N(N909)),IF(N(Q909)&gt;0,Q909,MAX(1,H909)))))</f>
        <v>22</v>
      </c>
      <c r="BT909" s="60" t="n">
        <f aca="false">IF(BR909="LOSE",1,0)</f>
        <v>0</v>
      </c>
      <c r="BU909" s="60" t="n">
        <f aca="false">IF(AND(U909="",OR(P909="",P909="LOSE"),T909&lt;&gt;"",N(S909)&lt;=0,ISNUMBER(MATCH(T909,Parameter!$I$27:$I$29,0))),1,0)</f>
        <v>0</v>
      </c>
      <c r="BV909" s="55" t="str">
        <f aca="false">IF(AND(Parameter!$B$19="Ja",E909&lt;&gt;"",ISNUMBER(MATCH(E909,Parameter!$I$35:$I$52,0))),VLOOKUP(E909,Parameter!$I$35:$J$52,2,0),IFERROR(VLOOKUP(D909,Parameter!$A$35:$C$64,2,0),"Nein"))</f>
        <v>2+3</v>
      </c>
      <c r="BW909" s="59" t="n">
        <f aca="false">IF(BT909=0,0,IF(N(S909)&gt;0,S909,IFERROR(VLOOKUP(D909,Parameter!$A$35:$C$64,3,0)+0,0)))</f>
        <v>0</v>
      </c>
      <c r="BX909" s="55" t="n">
        <f aca="false">IF(AA909&lt;&gt;"",AA909,Z909)</f>
        <v>3</v>
      </c>
      <c r="BY909" s="55" t="str">
        <f aca="false">IF(BX909=1,"L1",IF(OR(BX909=2,BX909=3),"L23",IF(BX909="Aussen","Aussen","-")))</f>
        <v>L23</v>
      </c>
      <c r="BZ909" s="66" t="n">
        <f aca="false">IF(N(AB909)&gt;0,AB909,0)</f>
        <v>0</v>
      </c>
      <c r="CA909" s="60" t="n">
        <f aca="false">IF(ISNUMBER(AE909),1,0)</f>
        <v>0</v>
      </c>
      <c r="CB909" s="57" t="n">
        <f aca="false">N(AE909)</f>
        <v>0</v>
      </c>
      <c r="CC909" s="57" t="n">
        <f aca="false">N(M909)+N(N909)</f>
        <v>20</v>
      </c>
      <c r="CD909" s="57" t="n">
        <f aca="false">ROUNDUP(H909/BS909,0)</f>
        <v>1</v>
      </c>
      <c r="CE909" s="57" t="n">
        <f aca="false">ROUNDUP(CB909/BS909,0)</f>
        <v>0</v>
      </c>
      <c r="CF909" s="60" t="n">
        <f aca="false">IF(BT909=1,0,IFERROR(VLOOKUP(BR909,'Gebinde-Kategorie'!$A$5:$M$45,5,0)+0,0))</f>
        <v>8</v>
      </c>
      <c r="CG909" s="60" t="n">
        <f aca="false">IFERROR(IF(OR(BX909=1,BX909=2,BX909=3),N(INDEX(Parameter!$I$5:$I$7,BX909)),0),0)</f>
        <v>0</v>
      </c>
      <c r="CH909" s="59" t="n">
        <f aca="false">IF(AND(Parameter!$B$21="Ja",ISNUMBER(W909),N(X909)&gt;0),IFERROR(N(INDEX(Parameter!$L$5:$L$7,W909))*INDEX(Parameter!$E$5:$E$7,W909)*X909/SUMIFS($X$7:$X$1843,$W$7:$W$1843,W909),0),0)</f>
        <v>0</v>
      </c>
    </row>
    <row r="910" customFormat="false" ht="15" hidden="false" customHeight="false" outlineLevel="0" collapsed="false">
      <c r="A910" s="55" t="s">
        <v>1706</v>
      </c>
      <c r="B910" s="55" t="s">
        <v>1051</v>
      </c>
      <c r="C910" s="55" t="s">
        <v>164</v>
      </c>
      <c r="D910" s="55" t="s">
        <v>184</v>
      </c>
      <c r="E910" s="55"/>
      <c r="F910" s="55" t="s">
        <v>218</v>
      </c>
      <c r="G910" s="56" t="n">
        <v>37.68</v>
      </c>
      <c r="H910" s="57" t="n">
        <f aca="false">MAX(0,IF(AND(Parameter!$B$21="Ja",ISNUMBER(Y910)),Y910,IF(Parameter!$B$20="Jahresanfang 2025 + Export",BL910+BK910,BK910)))</f>
        <v>19</v>
      </c>
      <c r="I910" s="57" t="n">
        <f aca="false">H910*G910</f>
        <v>715.92</v>
      </c>
      <c r="J910" s="57" t="n">
        <f aca="false">BN910*Parameter!$B$18</f>
        <v>0</v>
      </c>
      <c r="K910" s="58" t="n">
        <v>19.5</v>
      </c>
      <c r="L910" s="59" t="n">
        <v>0</v>
      </c>
      <c r="M910" s="57" t="n">
        <v>0</v>
      </c>
      <c r="N910" s="57" t="n">
        <v>1</v>
      </c>
      <c r="O910" s="60" t="n">
        <v>70</v>
      </c>
      <c r="P910" s="55" t="s">
        <v>168</v>
      </c>
      <c r="Q910" s="57"/>
      <c r="R910" s="60" t="n">
        <f aca="false">IF(BT910=1,0,IFERROR(VLOOKUP(BR910,'Gebinde-Kategorie'!$A$5:$M$45,13,0)+0,0))</f>
        <v>12</v>
      </c>
      <c r="S910" s="61"/>
      <c r="T910" s="62" t="s">
        <v>179</v>
      </c>
      <c r="U910" s="62"/>
      <c r="V910" s="62"/>
      <c r="W910" s="55"/>
      <c r="X910" s="57"/>
      <c r="Y910" s="57"/>
      <c r="Z910" s="55" t="n">
        <f aca="false">IF(A910="","",IF(AND(Parameter!$B$21="Ja",ISNUMBER(W910)),W910,IF(BV910="2+3",IF(ISNUMBER(SEARCH("grosser Artikel",BO910)),2,IFERROR(VLOOKUP(BR910,Parameter!$F$35:$G$64,2,0),2)),IF(OR(BV910="Nein",BV910=""),"-",BV910))))</f>
        <v>2</v>
      </c>
      <c r="AA910" s="62"/>
      <c r="AB910" s="63"/>
      <c r="AC910" s="57" t="n">
        <f aca="false">AR910</f>
        <v>19</v>
      </c>
      <c r="AD910" s="57" t="n">
        <f aca="false">MAX(AR910,H910)</f>
        <v>19</v>
      </c>
      <c r="AE910" s="64"/>
      <c r="AF910" s="57" t="n">
        <f aca="false">IF(LEFT(Cockpit!$C$5,1)="A",H910,IF(CA910=1,CB910,IF(LEFT(Cockpit!$C$5,1)="B",AJ910,MAX(AJ910,H910))))</f>
        <v>19</v>
      </c>
      <c r="AG910" s="57" t="n">
        <f aca="false">IF(BT910=1,0,ROUNDUP(AF910/BS910,0))</f>
        <v>1</v>
      </c>
      <c r="AH910" s="59" t="n">
        <f aca="false">IF(CH910&gt;0,CH910*MAX(1,AF910/X910),IF(BT910=1,IF(AF910&lt;=0,0,BW910*MAX(1,IF(H910&gt;0,AF910/H910,1))),IF(R910&gt;0,AG910/R910,0))/MAX(0.1,N(Parameter!$M$21)))</f>
        <v>0.0833333333333333</v>
      </c>
      <c r="AI910" s="57" t="n">
        <f aca="false">AF910*G910</f>
        <v>715.92</v>
      </c>
      <c r="AJ910" s="57" t="n">
        <f aca="false">ROUNDUP(MAX(J910/IF(BZ910&gt;0,BZ910,MAX(0.1,N(Cockpit!$C$6))),CC910)/BS910,0)*BS910</f>
        <v>19</v>
      </c>
      <c r="AK910" s="58" t="n">
        <f aca="false">IF(AH910&gt;0,J910/AH910,-1)</f>
        <v>0</v>
      </c>
      <c r="AL910" s="58" t="n">
        <f aca="false">IF(AND(OR(BY910="L1",BY910="L23"),AH910&gt;0),SUMIFS($AH$7:$AH$1843,$BY$7:$BY$1843,BY910,$AK$7:$AK$1843,"&gt;"&amp;AK910)+SUMIFS($AH$7:$AH$1843,$BY$7:$BY$1843,BY910,$AK$7:$AK$1843,AK910,$BQ$7:$BQ$1843,"&lt;="&amp;BQ910),"")</f>
        <v>77.9844008648357</v>
      </c>
      <c r="AM910" s="65" t="n">
        <f aca="false">IF(AL910="",0,MAX(0,MIN(1,(IF(BY910="L1",Parameter!$E$5,Parameter!$E$6+Parameter!$E$7)-(AL910-AH910))/AH910)))</f>
        <v>1</v>
      </c>
      <c r="AN910" s="57" t="n">
        <f aca="false">IF(LEFT(Cockpit!$I$5,1)="A",H910,IF(CA910=1,CB910,IF(LEFT(Cockpit!$I$5,1)="B",AR910,MAX(AR910,H910))))</f>
        <v>19</v>
      </c>
      <c r="AO910" s="57" t="n">
        <f aca="false">IF(BT910=1,0,ROUNDUP(AN910/BS910,0))</f>
        <v>1</v>
      </c>
      <c r="AP910" s="59" t="n">
        <f aca="false">IF(CH910&gt;0,CH910*MAX(1,AN910/X910),IF(BT910=1,IF(AN910&lt;=0,0,BW910*MAX(1,IF(H910&gt;0,AN910/H910,1))),IF(R910&gt;0,AO910/R910,0))/MAX(0.1,N(Parameter!$M$21)))</f>
        <v>0.0833333333333333</v>
      </c>
      <c r="AQ910" s="57" t="n">
        <f aca="false">AN910*G910</f>
        <v>715.92</v>
      </c>
      <c r="AR910" s="57" t="n">
        <f aca="false">ROUNDUP(MAX(J910/IF(BZ910&gt;0,BZ910,MAX(0.1,N(Cockpit!$I$6))),CC910)/BS910,0)*BS910</f>
        <v>19</v>
      </c>
      <c r="AS910" s="58" t="n">
        <f aca="false">IF(AP910&gt;0,J910/AP910,-1)</f>
        <v>0</v>
      </c>
      <c r="AT910" s="58" t="n">
        <f aca="false">IF(AND(OR(BY910="L1",BY910="L23"),AP910&gt;0),SUMIFS($AP$7:$AP$1843,$BY$7:$BY$1843,BY910,$AS$7:$AS$1843,"&gt;"&amp;AS910)+SUMIFS($AP$7:$AP$1843,$BY$7:$BY$1843,BY910,$AS$7:$AS$1843,AS910,$BQ$7:$BQ$1843,"&lt;="&amp;BQ910),"")</f>
        <v>119.101584405932</v>
      </c>
      <c r="AU910" s="65" t="n">
        <f aca="false">IF(AT910="",0,MAX(0,MIN(1,(IF(BY910="L1",Parameter!$E$5,Parameter!$E$6+Parameter!$E$7)-(AT910-AP910))/AP910)))</f>
        <v>0</v>
      </c>
      <c r="AV910" s="57" t="n">
        <f aca="false">IF(LEFT(Cockpit!$O$5,1)="A",H910,IF(CA910=1,CB910,IF(LEFT(Cockpit!$O$5,1)="B",AZ910,MAX(AZ910,H910))))</f>
        <v>19</v>
      </c>
      <c r="AW910" s="57" t="n">
        <f aca="false">IF(BT910=1,0,ROUNDUP(AV910/BS910,0))</f>
        <v>1</v>
      </c>
      <c r="AX910" s="59" t="n">
        <f aca="false">IF(CH910&gt;0,CH910*MAX(1,AV910/X910),IF(BT910=1,IF(AV910&lt;=0,0,BW910*MAX(1,IF(H910&gt;0,AV910/H910,1))),IF(R910&gt;0,AW910/R910,0))/MAX(0.1,N(Parameter!$M$21)))</f>
        <v>0.0833333333333333</v>
      </c>
      <c r="AY910" s="57" t="n">
        <f aca="false">AV910*G910</f>
        <v>715.92</v>
      </c>
      <c r="AZ910" s="57" t="n">
        <f aca="false">ROUNDUP(MAX(J910/IF(BZ910&gt;0,BZ910,MAX(0.1,N(Cockpit!$O$6))),CC910)/BS910,0)*BS910</f>
        <v>19</v>
      </c>
      <c r="BA910" s="58" t="n">
        <f aca="false">IF(AX910&gt;0,J910/AX910,-1)</f>
        <v>0</v>
      </c>
      <c r="BB910" s="58" t="n">
        <f aca="false">IF(AND(OR(BY910="L1",BY910="L23"),AX910&gt;0),SUMIFS($AX$7:$AX$1843,$BY$7:$BY$1843,BY910,$BA$7:$BA$1843,"&gt;"&amp;BA910)+SUMIFS($AX$7:$AX$1843,$BY$7:$BY$1843,BY910,$BA$7:$BA$1843,BA910,$BQ$7:$BQ$1843,"&lt;="&amp;BQ910),"")</f>
        <v>109.931421235769</v>
      </c>
      <c r="BC910" s="65" t="n">
        <f aca="false">IF(BB910="",0,MAX(0,MIN(1,(IF(BY910="L1",Parameter!$E$5,Parameter!$E$6+Parameter!$E$7)-(BB910-AX910))/AX910)))</f>
        <v>0</v>
      </c>
      <c r="BD910" s="55" t="str">
        <f aca="false">IF(AH910&lt;=0,"",IF(BY910="Aussen","Aussenlager",IF(BY910="-","Nicht im Lift",IF(AM910&gt;=1,"Lift",IF(AM910&lt;=0,"Aussenlager","teilweise")))))</f>
        <v>Lift</v>
      </c>
      <c r="BE910" s="55" t="str">
        <f aca="false">IF(AP910&lt;=0,"",IF(BY910="Aussen","Aussenlager",IF(BY910="-","Nicht im Lift",IF(AU910&gt;=1,"Lift",IF(AU910&lt;=0,"Aussenlager","teilweise")))))</f>
        <v>Aussenlager</v>
      </c>
      <c r="BF910" s="55" t="str">
        <f aca="false">IF(AX910&lt;=0,"",IF(BY910="Aussen","Aussenlager",IF(BY910="-","Nicht im Lift",IF(BC910&gt;=1,"Lift",IF(BC910&lt;=0,"Aussenlager","teilweise")))))</f>
        <v>Aussenlager</v>
      </c>
      <c r="BG910" s="55" t="str">
        <f aca="false">IF(A910="","",IF(BP910=1,"Neu; ","")&amp;IF(AND(BP910=0,BK910&lt;0),"negativer Bestand (Export "&amp;BK910&amp;"); ","")&amp;IF(J910&lt;=0,"Kein Verbrauch; ","")&amp;IF(CH910&gt;0,"Lift "&amp;W910&amp;" lt. Liftbericht (Fach "&amp;X910&amp;" Stk); ",IF(BU910=1,"Gebinde geschätzt ("&amp;T910&amp;"); ",IF(BT910=1,"Lose – Tablare geschätzt; ","")))&amp;IF(H910&gt;AR910,"Überbestand "&amp;ROUND(H910-AR910,0)&amp;" Stk / CHF "&amp;ROUND((H910-AR910)*G910,0)&amp;"; ","")&amp;IF(AND(CA910=1,CB910&lt;CC910),"MAX &lt; MB+LG; ","")&amp;IF(AND(CG910&gt;0,CF910*10&gt;CG910),"zu hoch für Tablar; ","")&amp;IF(AND(BP910=0,OR(CA910=1,AA910&lt;&gt;"",U910&lt;&gt;"",V910&lt;&gt;"",AB910&lt;&gt;"")),"manuell übersteuert; ","")&amp;IF(AND(BT910=0,R910=0),"Gebinde unbekannt / Stellmass fehlt; ","")&amp;IF(AND(BT910=0,N(V910)&lt;=0,N(Q910)&lt;=0),"Menge pro Gebinde fehlt (Ist = 1 Gebinde); ","")&amp;BO910)</f>
        <v>negativer Bestand (Export -1); Kein Verbrauch; Gebinde geschätzt (Mittel); Menge pro Gebinde fehlt (Ist = 1 Gebinde); </v>
      </c>
      <c r="BH910" s="55"/>
      <c r="BI910" s="55"/>
      <c r="BJ910" s="62"/>
      <c r="BK910" s="57" t="n">
        <v>-1</v>
      </c>
      <c r="BL910" s="57" t="n">
        <v>20</v>
      </c>
      <c r="BM910" s="56" t="n">
        <v>-37.68</v>
      </c>
      <c r="BN910" s="57" t="n">
        <v>0</v>
      </c>
      <c r="BO910" s="55"/>
      <c r="BP910" s="60" t="n">
        <v>0</v>
      </c>
      <c r="BQ910" s="60" t="n">
        <v>910</v>
      </c>
      <c r="BR910" s="55" t="str">
        <f aca="false">IF(U910&lt;&gt;"",UPPER(TRIM(U910)),IF(BU910=1,UPPER(VLOOKUP(T910,Parameter!$I$27:$K$29,2,0)),IF(P910="","LOSE",P910)))</f>
        <v>S61</v>
      </c>
      <c r="BS910" s="57" t="n">
        <f aca="false">IF(BR910="LOSE",1,IF(N(V910)&gt;0,V910,IF(BU910=1,MAX(1,N(VLOOKUP(T910,Parameter!$I$27:$K$29,3,0)),H910,N(N910)),IF(N(Q910)&gt;0,Q910,MAX(1,H910)))))</f>
        <v>19</v>
      </c>
      <c r="BT910" s="60" t="n">
        <f aca="false">IF(BR910="LOSE",1,0)</f>
        <v>0</v>
      </c>
      <c r="BU910" s="60" t="n">
        <f aca="false">IF(AND(U910="",OR(P910="",P910="LOSE"),T910&lt;&gt;"",N(S910)&lt;=0,ISNUMBER(MATCH(T910,Parameter!$I$27:$I$29,0))),1,0)</f>
        <v>1</v>
      </c>
      <c r="BV910" s="55" t="str">
        <f aca="false">IF(AND(Parameter!$B$19="Ja",E910&lt;&gt;"",ISNUMBER(MATCH(E910,Parameter!$I$35:$I$52,0))),VLOOKUP(E910,Parameter!$I$35:$J$52,2,0),IFERROR(VLOOKUP(D910,Parameter!$A$35:$C$64,2,0),"Nein"))</f>
        <v>2+3</v>
      </c>
      <c r="BW910" s="59" t="n">
        <f aca="false">IF(BT910=0,0,IF(N(S910)&gt;0,S910,IFERROR(VLOOKUP(D910,Parameter!$A$35:$C$64,3,0)+0,0)))</f>
        <v>0</v>
      </c>
      <c r="BX910" s="55" t="n">
        <f aca="false">IF(AA910&lt;&gt;"",AA910,Z910)</f>
        <v>2</v>
      </c>
      <c r="BY910" s="55" t="str">
        <f aca="false">IF(BX910=1,"L1",IF(OR(BX910=2,BX910=3),"L23",IF(BX910="Aussen","Aussen","-")))</f>
        <v>L23</v>
      </c>
      <c r="BZ910" s="66" t="n">
        <f aca="false">IF(N(AB910)&gt;0,AB910,0)</f>
        <v>0</v>
      </c>
      <c r="CA910" s="60" t="n">
        <f aca="false">IF(ISNUMBER(AE910),1,0)</f>
        <v>0</v>
      </c>
      <c r="CB910" s="57" t="n">
        <f aca="false">N(AE910)</f>
        <v>0</v>
      </c>
      <c r="CC910" s="57" t="n">
        <f aca="false">N(M910)+N(N910)</f>
        <v>1</v>
      </c>
      <c r="CD910" s="57" t="n">
        <f aca="false">ROUNDUP(H910/BS910,0)</f>
        <v>1</v>
      </c>
      <c r="CE910" s="57" t="n">
        <f aca="false">ROUNDUP(CB910/BS910,0)</f>
        <v>0</v>
      </c>
      <c r="CF910" s="60" t="n">
        <f aca="false">IF(BT910=1,0,IFERROR(VLOOKUP(BR910,'Gebinde-Kategorie'!$A$5:$M$45,5,0)+0,0))</f>
        <v>11</v>
      </c>
      <c r="CG910" s="60" t="n">
        <f aca="false">IFERROR(IF(OR(BX910=1,BX910=2,BX910=3),N(INDEX(Parameter!$I$5:$I$7,BX910)),0),0)</f>
        <v>0</v>
      </c>
      <c r="CH910" s="59" t="n">
        <f aca="false">IF(AND(Parameter!$B$21="Ja",ISNUMBER(W910),N(X910)&gt;0),IFERROR(N(INDEX(Parameter!$L$5:$L$7,W910))*INDEX(Parameter!$E$5:$E$7,W910)*X910/SUMIFS($X$7:$X$1843,$W$7:$W$1843,W910),0),0)</f>
        <v>0</v>
      </c>
    </row>
    <row r="911" customFormat="false" ht="15" hidden="false" customHeight="false" outlineLevel="0" collapsed="false">
      <c r="A911" s="55" t="s">
        <v>1707</v>
      </c>
      <c r="B911" s="55" t="s">
        <v>1708</v>
      </c>
      <c r="C911" s="55" t="s">
        <v>164</v>
      </c>
      <c r="D911" s="55" t="s">
        <v>184</v>
      </c>
      <c r="E911" s="55" t="s">
        <v>185</v>
      </c>
      <c r="F911" s="55" t="s">
        <v>218</v>
      </c>
      <c r="G911" s="56" t="n">
        <v>38.53</v>
      </c>
      <c r="H911" s="57" t="n">
        <f aca="false">MAX(0,IF(AND(Parameter!$B$21="Ja",ISNUMBER(Y911)),Y911,IF(Parameter!$B$20="Jahresanfang 2025 + Export",BL911+BK911,BK911)))</f>
        <v>7</v>
      </c>
      <c r="I911" s="57" t="n">
        <f aca="false">H911*G911</f>
        <v>269.71</v>
      </c>
      <c r="J911" s="57" t="n">
        <f aca="false">BN911*Parameter!$B$18</f>
        <v>0</v>
      </c>
      <c r="K911" s="58" t="n">
        <v>8</v>
      </c>
      <c r="L911" s="59" t="n">
        <v>0</v>
      </c>
      <c r="M911" s="57" t="n">
        <v>0</v>
      </c>
      <c r="N911" s="57" t="n">
        <v>1</v>
      </c>
      <c r="O911" s="60" t="n">
        <v>70</v>
      </c>
      <c r="P911" s="55" t="s">
        <v>476</v>
      </c>
      <c r="Q911" s="57" t="n">
        <v>16</v>
      </c>
      <c r="R911" s="60" t="n">
        <f aca="false">IF(BT911=1,0,IFERROR(VLOOKUP(BR911,'Gebinde-Kategorie'!$A$5:$M$45,13,0)+0,0))</f>
        <v>66</v>
      </c>
      <c r="S911" s="61"/>
      <c r="T911" s="62"/>
      <c r="U911" s="62"/>
      <c r="V911" s="62"/>
      <c r="W911" s="55"/>
      <c r="X911" s="57"/>
      <c r="Y911" s="57"/>
      <c r="Z911" s="55" t="n">
        <f aca="false">IF(A911="","",IF(AND(Parameter!$B$21="Ja",ISNUMBER(W911)),W911,IF(BV911="2+3",IF(ISNUMBER(SEARCH("grosser Artikel",BO911)),2,IFERROR(VLOOKUP(BR911,Parameter!$F$35:$G$64,2,0),2)),IF(OR(BV911="Nein",BV911=""),"-",BV911))))</f>
        <v>3</v>
      </c>
      <c r="AA911" s="62"/>
      <c r="AB911" s="63"/>
      <c r="AC911" s="57" t="n">
        <f aca="false">AR911</f>
        <v>16</v>
      </c>
      <c r="AD911" s="57" t="n">
        <f aca="false">MAX(AR911,H911)</f>
        <v>16</v>
      </c>
      <c r="AE911" s="64"/>
      <c r="AF911" s="57" t="n">
        <f aca="false">IF(LEFT(Cockpit!$C$5,1)="A",H911,IF(CA911=1,CB911,IF(LEFT(Cockpit!$C$5,1)="B",AJ911,MAX(AJ911,H911))))</f>
        <v>7</v>
      </c>
      <c r="AG911" s="57" t="n">
        <f aca="false">IF(BT911=1,0,ROUNDUP(AF911/BS911,0))</f>
        <v>1</v>
      </c>
      <c r="AH911" s="59" t="n">
        <f aca="false">IF(CH911&gt;0,CH911*MAX(1,AF911/X911),IF(BT911=1,IF(AF911&lt;=0,0,BW911*MAX(1,IF(H911&gt;0,AF911/H911,1))),IF(R911&gt;0,AG911/R911,0))/MAX(0.1,N(Parameter!$M$21)))</f>
        <v>0.0151515151515152</v>
      </c>
      <c r="AI911" s="57" t="n">
        <f aca="false">AF911*G911</f>
        <v>269.71</v>
      </c>
      <c r="AJ911" s="57" t="n">
        <f aca="false">ROUNDUP(MAX(J911/IF(BZ911&gt;0,BZ911,MAX(0.1,N(Cockpit!$C$6))),CC911)/BS911,0)*BS911</f>
        <v>16</v>
      </c>
      <c r="AK911" s="58" t="n">
        <f aca="false">IF(AH911&gt;0,J911/AH911,-1)</f>
        <v>0</v>
      </c>
      <c r="AL911" s="58" t="n">
        <f aca="false">IF(AND(OR(BY911="L1",BY911="L23"),AH911&gt;0),SUMIFS($AH$7:$AH$1843,$BY$7:$BY$1843,BY911,$AK$7:$AK$1843,"&gt;"&amp;AK911)+SUMIFS($AH$7:$AH$1843,$BY$7:$BY$1843,BY911,$AK$7:$AK$1843,AK911,$BQ$7:$BQ$1843,"&lt;="&amp;BQ911),"")</f>
        <v>77.9995523799872</v>
      </c>
      <c r="AM911" s="65" t="n">
        <f aca="false">IF(AL911="",0,MAX(0,MIN(1,(IF(BY911="L1",Parameter!$E$5,Parameter!$E$6+Parameter!$E$7)-(AL911-AH911))/AH911)))</f>
        <v>1</v>
      </c>
      <c r="AN911" s="57" t="n">
        <f aca="false">IF(LEFT(Cockpit!$I$5,1)="A",H911,IF(CA911=1,CB911,IF(LEFT(Cockpit!$I$5,1)="B",AR911,MAX(AR911,H911))))</f>
        <v>16</v>
      </c>
      <c r="AO911" s="57" t="n">
        <f aca="false">IF(BT911=1,0,ROUNDUP(AN911/BS911,0))</f>
        <v>1</v>
      </c>
      <c r="AP911" s="59" t="n">
        <f aca="false">IF(CH911&gt;0,CH911*MAX(1,AN911/X911),IF(BT911=1,IF(AN911&lt;=0,0,BW911*MAX(1,IF(H911&gt;0,AN911/H911,1))),IF(R911&gt;0,AO911/R911,0))/MAX(0.1,N(Parameter!$M$21)))</f>
        <v>0.0151515151515152</v>
      </c>
      <c r="AQ911" s="57" t="n">
        <f aca="false">AN911*G911</f>
        <v>616.48</v>
      </c>
      <c r="AR911" s="57" t="n">
        <f aca="false">ROUNDUP(MAX(J911/IF(BZ911&gt;0,BZ911,MAX(0.1,N(Cockpit!$I$6))),CC911)/BS911,0)*BS911</f>
        <v>16</v>
      </c>
      <c r="AS911" s="58" t="n">
        <f aca="false">IF(AP911&gt;0,J911/AP911,-1)</f>
        <v>0</v>
      </c>
      <c r="AT911" s="58" t="n">
        <f aca="false">IF(AND(OR(BY911="L1",BY911="L23"),AP911&gt;0),SUMIFS($AP$7:$AP$1843,$BY$7:$BY$1843,BY911,$AS$7:$AS$1843,"&gt;"&amp;AS911)+SUMIFS($AP$7:$AP$1843,$BY$7:$BY$1843,BY911,$AS$7:$AS$1843,AS911,$BQ$7:$BQ$1843,"&lt;="&amp;BQ911),"")</f>
        <v>119.116735921084</v>
      </c>
      <c r="AU911" s="65" t="n">
        <f aca="false">IF(AT911="",0,MAX(0,MIN(1,(IF(BY911="L1",Parameter!$E$5,Parameter!$E$6+Parameter!$E$7)-(AT911-AP911))/AP911)))</f>
        <v>0</v>
      </c>
      <c r="AV911" s="57" t="n">
        <f aca="false">IF(LEFT(Cockpit!$O$5,1)="A",H911,IF(CA911=1,CB911,IF(LEFT(Cockpit!$O$5,1)="B",AZ911,MAX(AZ911,H911))))</f>
        <v>16</v>
      </c>
      <c r="AW911" s="57" t="n">
        <f aca="false">IF(BT911=1,0,ROUNDUP(AV911/BS911,0))</f>
        <v>1</v>
      </c>
      <c r="AX911" s="59" t="n">
        <f aca="false">IF(CH911&gt;0,CH911*MAX(1,AV911/X911),IF(BT911=1,IF(AV911&lt;=0,0,BW911*MAX(1,IF(H911&gt;0,AV911/H911,1))),IF(R911&gt;0,AW911/R911,0))/MAX(0.1,N(Parameter!$M$21)))</f>
        <v>0.0151515151515152</v>
      </c>
      <c r="AY911" s="57" t="n">
        <f aca="false">AV911*G911</f>
        <v>616.48</v>
      </c>
      <c r="AZ911" s="57" t="n">
        <f aca="false">ROUNDUP(MAX(J911/IF(BZ911&gt;0,BZ911,MAX(0.1,N(Cockpit!$O$6))),CC911)/BS911,0)*BS911</f>
        <v>16</v>
      </c>
      <c r="BA911" s="58" t="n">
        <f aca="false">IF(AX911&gt;0,J911/AX911,-1)</f>
        <v>0</v>
      </c>
      <c r="BB911" s="58" t="n">
        <f aca="false">IF(AND(OR(BY911="L1",BY911="L23"),AX911&gt;0),SUMIFS($AX$7:$AX$1843,$BY$7:$BY$1843,BY911,$BA$7:$BA$1843,"&gt;"&amp;BA911)+SUMIFS($AX$7:$AX$1843,$BY$7:$BY$1843,BY911,$BA$7:$BA$1843,BA911,$BQ$7:$BQ$1843,"&lt;="&amp;BQ911),"")</f>
        <v>109.946572750921</v>
      </c>
      <c r="BC911" s="65" t="n">
        <f aca="false">IF(BB911="",0,MAX(0,MIN(1,(IF(BY911="L1",Parameter!$E$5,Parameter!$E$6+Parameter!$E$7)-(BB911-AX911))/AX911)))</f>
        <v>0</v>
      </c>
      <c r="BD911" s="55" t="str">
        <f aca="false">IF(AH911&lt;=0,"",IF(BY911="Aussen","Aussenlager",IF(BY911="-","Nicht im Lift",IF(AM911&gt;=1,"Lift",IF(AM911&lt;=0,"Aussenlager","teilweise")))))</f>
        <v>Lift</v>
      </c>
      <c r="BE911" s="55" t="str">
        <f aca="false">IF(AP911&lt;=0,"",IF(BY911="Aussen","Aussenlager",IF(BY911="-","Nicht im Lift",IF(AU911&gt;=1,"Lift",IF(AU911&lt;=0,"Aussenlager","teilweise")))))</f>
        <v>Aussenlager</v>
      </c>
      <c r="BF911" s="55" t="str">
        <f aca="false">IF(AX911&lt;=0,"",IF(BY911="Aussen","Aussenlager",IF(BY911="-","Nicht im Lift",IF(BC911&gt;=1,"Lift",IF(BC911&lt;=0,"Aussenlager","teilweise")))))</f>
        <v>Aussenlager</v>
      </c>
      <c r="BG911" s="55" t="str">
        <f aca="false">IF(A911="","",IF(BP911=1,"Neu; ","")&amp;IF(AND(BP911=0,BK911&lt;0),"negativer Bestand (Export "&amp;BK911&amp;"); ","")&amp;IF(J911&lt;=0,"Kein Verbrauch; ","")&amp;IF(CH911&gt;0,"Lift "&amp;W911&amp;" lt. Liftbericht (Fach "&amp;X911&amp;" Stk); ",IF(BU911=1,"Gebinde geschätzt ("&amp;T911&amp;"); ",IF(BT911=1,"Lose – Tablare geschätzt; ","")))&amp;IF(H911&gt;AR911,"Überbestand "&amp;ROUND(H911-AR911,0)&amp;" Stk / CHF "&amp;ROUND((H911-AR911)*G911,0)&amp;"; ","")&amp;IF(AND(CA911=1,CB911&lt;CC911),"MAX &lt; MB+LG; ","")&amp;IF(AND(CG911&gt;0,CF911*10&gt;CG911),"zu hoch für Tablar; ","")&amp;IF(AND(BP911=0,OR(CA911=1,AA911&lt;&gt;"",U911&lt;&gt;"",V911&lt;&gt;"",AB911&lt;&gt;"")),"manuell übersteuert; ","")&amp;IF(AND(BT911=0,R911=0),"Gebinde unbekannt / Stellmass fehlt; ","")&amp;IF(AND(BT911=0,N(V911)&lt;=0,N(Q911)&lt;=0),"Menge pro Gebinde fehlt (Ist = 1 Gebinde); ","")&amp;BO911)</f>
        <v>negativer Bestand (Export -1); Kein Verbrauch; </v>
      </c>
      <c r="BH911" s="55"/>
      <c r="BI911" s="55"/>
      <c r="BJ911" s="62"/>
      <c r="BK911" s="57" t="n">
        <v>-1</v>
      </c>
      <c r="BL911" s="57" t="n">
        <v>8</v>
      </c>
      <c r="BM911" s="56" t="n">
        <v>-38.53</v>
      </c>
      <c r="BN911" s="57" t="n">
        <v>0</v>
      </c>
      <c r="BO911" s="55"/>
      <c r="BP911" s="60" t="n">
        <v>0</v>
      </c>
      <c r="BQ911" s="60" t="n">
        <v>911</v>
      </c>
      <c r="BR911" s="55" t="str">
        <f aca="false">IF(U911&lt;&gt;"",UPPER(TRIM(U911)),IF(BU911=1,UPPER(VLOOKUP(T911,Parameter!$I$27:$K$29,2,0)),IF(P911="","LOSE",P911)))</f>
        <v>S33</v>
      </c>
      <c r="BS911" s="57" t="n">
        <f aca="false">IF(BR911="LOSE",1,IF(N(V911)&gt;0,V911,IF(BU911=1,MAX(1,N(VLOOKUP(T911,Parameter!$I$27:$K$29,3,0)),H911,N(N911)),IF(N(Q911)&gt;0,Q911,MAX(1,H911)))))</f>
        <v>16</v>
      </c>
      <c r="BT911" s="60" t="n">
        <f aca="false">IF(BR911="LOSE",1,0)</f>
        <v>0</v>
      </c>
      <c r="BU911" s="60" t="n">
        <f aca="false">IF(AND(U911="",OR(P911="",P911="LOSE"),T911&lt;&gt;"",N(S911)&lt;=0,ISNUMBER(MATCH(T911,Parameter!$I$27:$I$29,0))),1,0)</f>
        <v>0</v>
      </c>
      <c r="BV911" s="55" t="str">
        <f aca="false">IF(AND(Parameter!$B$19="Ja",E911&lt;&gt;"",ISNUMBER(MATCH(E911,Parameter!$I$35:$I$52,0))),VLOOKUP(E911,Parameter!$I$35:$J$52,2,0),IFERROR(VLOOKUP(D911,Parameter!$A$35:$C$64,2,0),"Nein"))</f>
        <v>2+3</v>
      </c>
      <c r="BW911" s="59" t="n">
        <f aca="false">IF(BT911=0,0,IF(N(S911)&gt;0,S911,IFERROR(VLOOKUP(D911,Parameter!$A$35:$C$64,3,0)+0,0)))</f>
        <v>0</v>
      </c>
      <c r="BX911" s="55" t="n">
        <f aca="false">IF(AA911&lt;&gt;"",AA911,Z911)</f>
        <v>3</v>
      </c>
      <c r="BY911" s="55" t="str">
        <f aca="false">IF(BX911=1,"L1",IF(OR(BX911=2,BX911=3),"L23",IF(BX911="Aussen","Aussen","-")))</f>
        <v>L23</v>
      </c>
      <c r="BZ911" s="66" t="n">
        <f aca="false">IF(N(AB911)&gt;0,AB911,0)</f>
        <v>0</v>
      </c>
      <c r="CA911" s="60" t="n">
        <f aca="false">IF(ISNUMBER(AE911),1,0)</f>
        <v>0</v>
      </c>
      <c r="CB911" s="57" t="n">
        <f aca="false">N(AE911)</f>
        <v>0</v>
      </c>
      <c r="CC911" s="57" t="n">
        <f aca="false">N(M911)+N(N911)</f>
        <v>1</v>
      </c>
      <c r="CD911" s="57" t="n">
        <f aca="false">ROUNDUP(H911/BS911,0)</f>
        <v>1</v>
      </c>
      <c r="CE911" s="57" t="n">
        <f aca="false">ROUNDUP(CB911/BS911,0)</f>
        <v>0</v>
      </c>
      <c r="CF911" s="60" t="n">
        <f aca="false">IF(BT911=1,0,IFERROR(VLOOKUP(BR911,'Gebinde-Kategorie'!$A$5:$M$45,5,0)+0,0))</f>
        <v>8</v>
      </c>
      <c r="CG911" s="60" t="n">
        <f aca="false">IFERROR(IF(OR(BX911=1,BX911=2,BX911=3),N(INDEX(Parameter!$I$5:$I$7,BX911)),0),0)</f>
        <v>0</v>
      </c>
      <c r="CH911" s="59" t="n">
        <f aca="false">IF(AND(Parameter!$B$21="Ja",ISNUMBER(W911),N(X911)&gt;0),IFERROR(N(INDEX(Parameter!$L$5:$L$7,W911))*INDEX(Parameter!$E$5:$E$7,W911)*X911/SUMIFS($X$7:$X$1843,$W$7:$W$1843,W911),0),0)</f>
        <v>0</v>
      </c>
    </row>
    <row r="912" customFormat="false" ht="15" hidden="false" customHeight="false" outlineLevel="0" collapsed="false">
      <c r="A912" s="55" t="s">
        <v>1709</v>
      </c>
      <c r="B912" s="55" t="s">
        <v>405</v>
      </c>
      <c r="C912" s="55" t="s">
        <v>164</v>
      </c>
      <c r="D912" s="55" t="s">
        <v>184</v>
      </c>
      <c r="E912" s="55"/>
      <c r="F912" s="55" t="s">
        <v>218</v>
      </c>
      <c r="G912" s="56" t="n">
        <v>0.31</v>
      </c>
      <c r="H912" s="57" t="n">
        <f aca="false">MAX(0,IF(AND(Parameter!$B$21="Ja",ISNUMBER(Y912)),Y912,IF(Parameter!$B$20="Jahresanfang 2025 + Export",BL912+BK912,BK912)))</f>
        <v>14</v>
      </c>
      <c r="I912" s="57" t="n">
        <f aca="false">H912*G912</f>
        <v>4.34</v>
      </c>
      <c r="J912" s="57" t="n">
        <f aca="false">BN912*Parameter!$B$18</f>
        <v>136</v>
      </c>
      <c r="K912" s="58" t="n">
        <v>122.5</v>
      </c>
      <c r="L912" s="59" t="n">
        <v>1.11020408163265</v>
      </c>
      <c r="M912" s="57" t="n">
        <v>5</v>
      </c>
      <c r="N912" s="57" t="n">
        <v>200</v>
      </c>
      <c r="O912" s="60" t="n">
        <v>14</v>
      </c>
      <c r="P912" s="55" t="s">
        <v>421</v>
      </c>
      <c r="Q912" s="57" t="n">
        <v>70</v>
      </c>
      <c r="R912" s="60" t="n">
        <f aca="false">IF(BT912=1,0,IFERROR(VLOOKUP(BR912,'Gebinde-Kategorie'!$A$5:$M$45,13,0)+0,0))</f>
        <v>132</v>
      </c>
      <c r="S912" s="61"/>
      <c r="T912" s="62"/>
      <c r="U912" s="62"/>
      <c r="V912" s="62"/>
      <c r="W912" s="55"/>
      <c r="X912" s="57"/>
      <c r="Y912" s="57"/>
      <c r="Z912" s="55" t="n">
        <f aca="false">IF(A912="","",IF(AND(Parameter!$B$21="Ja",ISNUMBER(W912)),W912,IF(BV912="2+3",IF(ISNUMBER(SEARCH("grosser Artikel",BO912)),2,IFERROR(VLOOKUP(BR912,Parameter!$F$35:$G$64,2,0),2)),IF(OR(BV912="Nein",BV912=""),"-",BV912))))</f>
        <v>3</v>
      </c>
      <c r="AA912" s="62"/>
      <c r="AB912" s="63"/>
      <c r="AC912" s="57" t="n">
        <f aca="false">AR912</f>
        <v>210</v>
      </c>
      <c r="AD912" s="57" t="n">
        <f aca="false">MAX(AR912,H912)</f>
        <v>210</v>
      </c>
      <c r="AE912" s="64"/>
      <c r="AF912" s="57" t="n">
        <f aca="false">IF(LEFT(Cockpit!$C$5,1)="A",H912,IF(CA912=1,CB912,IF(LEFT(Cockpit!$C$5,1)="B",AJ912,MAX(AJ912,H912))))</f>
        <v>14</v>
      </c>
      <c r="AG912" s="57" t="n">
        <f aca="false">IF(BT912=1,0,ROUNDUP(AF912/BS912,0))</f>
        <v>1</v>
      </c>
      <c r="AH912" s="59" t="n">
        <f aca="false">IF(CH912&gt;0,CH912*MAX(1,AF912/X912),IF(BT912=1,IF(AF912&lt;=0,0,BW912*MAX(1,IF(H912&gt;0,AF912/H912,1))),IF(R912&gt;0,AG912/R912,0))/MAX(0.1,N(Parameter!$M$21)))</f>
        <v>0.00757575757575758</v>
      </c>
      <c r="AI912" s="57" t="n">
        <f aca="false">AF912*G912</f>
        <v>4.34</v>
      </c>
      <c r="AJ912" s="57" t="n">
        <f aca="false">ROUNDUP(MAX(J912/IF(BZ912&gt;0,BZ912,MAX(0.1,N(Cockpit!$C$6))),CC912)/BS912,0)*BS912</f>
        <v>210</v>
      </c>
      <c r="AK912" s="58" t="n">
        <f aca="false">IF(AH912&gt;0,J912/AH912,-1)</f>
        <v>17952</v>
      </c>
      <c r="AL912" s="58" t="n">
        <f aca="false">IF(AND(OR(BY912="L1",BY912="L23"),AH912&gt;0),SUMIFS($AH$7:$AH$1843,$BY$7:$BY$1843,BY912,$AK$7:$AK$1843,"&gt;"&amp;AK912)+SUMIFS($AH$7:$AH$1843,$BY$7:$BY$1843,BY912,$AK$7:$AK$1843,AK912,$BQ$7:$BQ$1843,"&lt;="&amp;BQ912),"")</f>
        <v>3.76466166683558</v>
      </c>
      <c r="AM912" s="65" t="n">
        <f aca="false">IF(AL912="",0,MAX(0,MIN(1,(IF(BY912="L1",Parameter!$E$5,Parameter!$E$6+Parameter!$E$7)-(AL912-AH912))/AH912)))</f>
        <v>1</v>
      </c>
      <c r="AN912" s="57" t="n">
        <f aca="false">IF(LEFT(Cockpit!$I$5,1)="A",H912,IF(CA912=1,CB912,IF(LEFT(Cockpit!$I$5,1)="B",AR912,MAX(AR912,H912))))</f>
        <v>210</v>
      </c>
      <c r="AO912" s="57" t="n">
        <f aca="false">IF(BT912=1,0,ROUNDUP(AN912/BS912,0))</f>
        <v>3</v>
      </c>
      <c r="AP912" s="59" t="n">
        <f aca="false">IF(CH912&gt;0,CH912*MAX(1,AN912/X912),IF(BT912=1,IF(AN912&lt;=0,0,BW912*MAX(1,IF(H912&gt;0,AN912/H912,1))),IF(R912&gt;0,AO912/R912,0))/MAX(0.1,N(Parameter!$M$21)))</f>
        <v>0.0227272727272727</v>
      </c>
      <c r="AQ912" s="57" t="n">
        <f aca="false">AN912*G912</f>
        <v>65.1</v>
      </c>
      <c r="AR912" s="57" t="n">
        <f aca="false">ROUNDUP(MAX(J912/IF(BZ912&gt;0,BZ912,MAX(0.1,N(Cockpit!$I$6))),CC912)/BS912,0)*BS912</f>
        <v>210</v>
      </c>
      <c r="AS912" s="58" t="n">
        <f aca="false">IF(AP912&gt;0,J912/AP912,-1)</f>
        <v>5984</v>
      </c>
      <c r="AT912" s="58" t="n">
        <f aca="false">IF(AND(OR(BY912="L1",BY912="L23"),AP912&gt;0),SUMIFS($AP$7:$AP$1843,$BY$7:$BY$1843,BY912,$AS$7:$AS$1843,"&gt;"&amp;AS912)+SUMIFS($AP$7:$AP$1843,$BY$7:$BY$1843,BY912,$AS$7:$AS$1843,AS912,$BQ$7:$BQ$1843,"&lt;="&amp;BQ912),"")</f>
        <v>11.3415509611162</v>
      </c>
      <c r="AU912" s="65" t="n">
        <f aca="false">IF(AT912="",0,MAX(0,MIN(1,(IF(BY912="L1",Parameter!$E$5,Parameter!$E$6+Parameter!$E$7)-(AT912-AP912))/AP912)))</f>
        <v>1</v>
      </c>
      <c r="AV912" s="57" t="n">
        <f aca="false">IF(LEFT(Cockpit!$O$5,1)="A",H912,IF(CA912=1,CB912,IF(LEFT(Cockpit!$O$5,1)="B",AZ912,MAX(AZ912,H912))))</f>
        <v>210</v>
      </c>
      <c r="AW912" s="57" t="n">
        <f aca="false">IF(BT912=1,0,ROUNDUP(AV912/BS912,0))</f>
        <v>3</v>
      </c>
      <c r="AX912" s="59" t="n">
        <f aca="false">IF(CH912&gt;0,CH912*MAX(1,AV912/X912),IF(BT912=1,IF(AV912&lt;=0,0,BW912*MAX(1,IF(H912&gt;0,AV912/H912,1))),IF(R912&gt;0,AW912/R912,0))/MAX(0.1,N(Parameter!$M$21)))</f>
        <v>0.0227272727272727</v>
      </c>
      <c r="AY912" s="57" t="n">
        <f aca="false">AV912*G912</f>
        <v>65.1</v>
      </c>
      <c r="AZ912" s="57" t="n">
        <f aca="false">ROUNDUP(MAX(J912/IF(BZ912&gt;0,BZ912,MAX(0.1,N(Cockpit!$O$6))),CC912)/BS912,0)*BS912</f>
        <v>210</v>
      </c>
      <c r="BA912" s="58" t="n">
        <f aca="false">IF(AX912&gt;0,J912/AX912,-1)</f>
        <v>5984</v>
      </c>
      <c r="BB912" s="58" t="n">
        <f aca="false">IF(AND(OR(BY912="L1",BY912="L23"),AX912&gt;0),SUMIFS($AX$7:$AX$1843,$BY$7:$BY$1843,BY912,$BA$7:$BA$1843,"&gt;"&amp;BA912)+SUMIFS($AX$7:$AX$1843,$BY$7:$BY$1843,BY912,$BA$7:$BA$1843,BA912,$BQ$7:$BQ$1843,"&lt;="&amp;BQ912),"")</f>
        <v>10.0239518935171</v>
      </c>
      <c r="BC912" s="65" t="n">
        <f aca="false">IF(BB912="",0,MAX(0,MIN(1,(IF(BY912="L1",Parameter!$E$5,Parameter!$E$6+Parameter!$E$7)-(BB912-AX912))/AX912)))</f>
        <v>1</v>
      </c>
      <c r="BD912" s="55" t="str">
        <f aca="false">IF(AH912&lt;=0,"",IF(BY912="Aussen","Aussenlager",IF(BY912="-","Nicht im Lift",IF(AM912&gt;=1,"Lift",IF(AM912&lt;=0,"Aussenlager","teilweise")))))</f>
        <v>Lift</v>
      </c>
      <c r="BE912" s="55" t="str">
        <f aca="false">IF(AP912&lt;=0,"",IF(BY912="Aussen","Aussenlager",IF(BY912="-","Nicht im Lift",IF(AU912&gt;=1,"Lift",IF(AU912&lt;=0,"Aussenlager","teilweise")))))</f>
        <v>Lift</v>
      </c>
      <c r="BF912" s="55" t="str">
        <f aca="false">IF(AX912&lt;=0,"",IF(BY912="Aussen","Aussenlager",IF(BY912="-","Nicht im Lift",IF(BC912&gt;=1,"Lift",IF(BC912&lt;=0,"Aussenlager","teilweise")))))</f>
        <v>Lift</v>
      </c>
      <c r="BG912" s="55" t="str">
        <f aca="false">IF(A912="","",IF(BP912=1,"Neu; ","")&amp;IF(AND(BP912=0,BK912&lt;0),"negativer Bestand (Export "&amp;BK912&amp;"); ","")&amp;IF(J912&lt;=0,"Kein Verbrauch; ","")&amp;IF(CH912&gt;0,"Lift "&amp;W912&amp;" lt. Liftbericht (Fach "&amp;X912&amp;" Stk); ",IF(BU912=1,"Gebinde geschätzt ("&amp;T912&amp;"); ",IF(BT912=1,"Lose – Tablare geschätzt; ","")))&amp;IF(H912&gt;AR912,"Überbestand "&amp;ROUND(H912-AR912,0)&amp;" Stk / CHF "&amp;ROUND((H912-AR912)*G912,0)&amp;"; ","")&amp;IF(AND(CA912=1,CB912&lt;CC912),"MAX &lt; MB+LG; ","")&amp;IF(AND(CG912&gt;0,CF912*10&gt;CG912),"zu hoch für Tablar; ","")&amp;IF(AND(BP912=0,OR(CA912=1,AA912&lt;&gt;"",U912&lt;&gt;"",V912&lt;&gt;"",AB912&lt;&gt;"")),"manuell übersteuert; ","")&amp;IF(AND(BT912=0,R912=0),"Gebinde unbekannt / Stellmass fehlt; ","")&amp;IF(AND(BT912=0,N(V912)&lt;=0,N(Q912)&lt;=0),"Menge pro Gebinde fehlt (Ist = 1 Gebinde); ","")&amp;BO912)</f>
        <v>negativer Bestand (Export -129); </v>
      </c>
      <c r="BH912" s="55"/>
      <c r="BI912" s="55"/>
      <c r="BJ912" s="62"/>
      <c r="BK912" s="57" t="n">
        <v>-129</v>
      </c>
      <c r="BL912" s="57" t="n">
        <v>143</v>
      </c>
      <c r="BM912" s="56" t="n">
        <v>-38.56</v>
      </c>
      <c r="BN912" s="57" t="n">
        <v>136</v>
      </c>
      <c r="BO912" s="55"/>
      <c r="BP912" s="60" t="n">
        <v>0</v>
      </c>
      <c r="BQ912" s="60" t="n">
        <v>912</v>
      </c>
      <c r="BR912" s="55" t="str">
        <f aca="false">IF(U912&lt;&gt;"",UPPER(TRIM(U912)),IF(BU912=1,UPPER(VLOOKUP(T912,Parameter!$I$27:$K$29,2,0)),IF(P912="","LOSE",P912)))</f>
        <v>S32</v>
      </c>
      <c r="BS912" s="57" t="n">
        <f aca="false">IF(BR912="LOSE",1,IF(N(V912)&gt;0,V912,IF(BU912=1,MAX(1,N(VLOOKUP(T912,Parameter!$I$27:$K$29,3,0)),H912,N(N912)),IF(N(Q912)&gt;0,Q912,MAX(1,H912)))))</f>
        <v>70</v>
      </c>
      <c r="BT912" s="60" t="n">
        <f aca="false">IF(BR912="LOSE",1,0)</f>
        <v>0</v>
      </c>
      <c r="BU912" s="60" t="n">
        <f aca="false">IF(AND(U912="",OR(P912="",P912="LOSE"),T912&lt;&gt;"",N(S912)&lt;=0,ISNUMBER(MATCH(T912,Parameter!$I$27:$I$29,0))),1,0)</f>
        <v>0</v>
      </c>
      <c r="BV912" s="55" t="str">
        <f aca="false">IF(AND(Parameter!$B$19="Ja",E912&lt;&gt;"",ISNUMBER(MATCH(E912,Parameter!$I$35:$I$52,0))),VLOOKUP(E912,Parameter!$I$35:$J$52,2,0),IFERROR(VLOOKUP(D912,Parameter!$A$35:$C$64,2,0),"Nein"))</f>
        <v>2+3</v>
      </c>
      <c r="BW912" s="59" t="n">
        <f aca="false">IF(BT912=0,0,IF(N(S912)&gt;0,S912,IFERROR(VLOOKUP(D912,Parameter!$A$35:$C$64,3,0)+0,0)))</f>
        <v>0</v>
      </c>
      <c r="BX912" s="55" t="n">
        <f aca="false">IF(AA912&lt;&gt;"",AA912,Z912)</f>
        <v>3</v>
      </c>
      <c r="BY912" s="55" t="str">
        <f aca="false">IF(BX912=1,"L1",IF(OR(BX912=2,BX912=3),"L23",IF(BX912="Aussen","Aussen","-")))</f>
        <v>L23</v>
      </c>
      <c r="BZ912" s="66" t="n">
        <f aca="false">IF(N(AB912)&gt;0,AB912,0)</f>
        <v>0</v>
      </c>
      <c r="CA912" s="60" t="n">
        <f aca="false">IF(ISNUMBER(AE912),1,0)</f>
        <v>0</v>
      </c>
      <c r="CB912" s="57" t="n">
        <f aca="false">N(AE912)</f>
        <v>0</v>
      </c>
      <c r="CC912" s="57" t="n">
        <f aca="false">N(M912)+N(N912)</f>
        <v>205</v>
      </c>
      <c r="CD912" s="57" t="n">
        <f aca="false">ROUNDUP(H912/BS912,0)</f>
        <v>1</v>
      </c>
      <c r="CE912" s="57" t="n">
        <f aca="false">ROUNDUP(CB912/BS912,0)</f>
        <v>0</v>
      </c>
      <c r="CF912" s="60" t="n">
        <f aca="false">IF(BT912=1,0,IFERROR(VLOOKUP(BR912,'Gebinde-Kategorie'!$A$5:$M$45,5,0)+0,0))</f>
        <v>8</v>
      </c>
      <c r="CG912" s="60" t="n">
        <f aca="false">IFERROR(IF(OR(BX912=1,BX912=2,BX912=3),N(INDEX(Parameter!$I$5:$I$7,BX912)),0),0)</f>
        <v>0</v>
      </c>
      <c r="CH912" s="59" t="n">
        <f aca="false">IF(AND(Parameter!$B$21="Ja",ISNUMBER(W912),N(X912)&gt;0),IFERROR(N(INDEX(Parameter!$L$5:$L$7,W912))*INDEX(Parameter!$E$5:$E$7,W912)*X912/SUMIFS($X$7:$X$1843,$W$7:$W$1843,W912),0),0)</f>
        <v>0</v>
      </c>
    </row>
    <row r="913" customFormat="false" ht="15" hidden="false" customHeight="false" outlineLevel="0" collapsed="false">
      <c r="A913" s="55" t="s">
        <v>1710</v>
      </c>
      <c r="B913" s="55" t="s">
        <v>949</v>
      </c>
      <c r="C913" s="55" t="s">
        <v>164</v>
      </c>
      <c r="D913" s="55" t="s">
        <v>184</v>
      </c>
      <c r="E913" s="55" t="s">
        <v>185</v>
      </c>
      <c r="F913" s="55" t="s">
        <v>218</v>
      </c>
      <c r="G913" s="56" t="n">
        <v>0.17</v>
      </c>
      <c r="H913" s="57" t="n">
        <f aca="false">MAX(0,IF(AND(Parameter!$B$21="Ja",ISNUMBER(Y913)),Y913,IF(Parameter!$B$20="Jahresanfang 2025 + Export",BL913+BK913,BK913)))</f>
        <v>646</v>
      </c>
      <c r="I913" s="57" t="n">
        <f aca="false">H913*G913</f>
        <v>109.82</v>
      </c>
      <c r="J913" s="57" t="n">
        <f aca="false">BN913*Parameter!$B$18</f>
        <v>124</v>
      </c>
      <c r="K913" s="58" t="n">
        <v>812.5</v>
      </c>
      <c r="L913" s="59" t="n">
        <v>0.152615384615385</v>
      </c>
      <c r="M913" s="57" t="n">
        <v>7</v>
      </c>
      <c r="N913" s="57" t="n">
        <v>125</v>
      </c>
      <c r="O913" s="60" t="n">
        <v>21</v>
      </c>
      <c r="P913" s="55" t="s">
        <v>476</v>
      </c>
      <c r="Q913" s="57" t="n">
        <v>909</v>
      </c>
      <c r="R913" s="60" t="n">
        <f aca="false">IF(BT913=1,0,IFERROR(VLOOKUP(BR913,'Gebinde-Kategorie'!$A$5:$M$45,13,0)+0,0))</f>
        <v>66</v>
      </c>
      <c r="S913" s="61"/>
      <c r="T913" s="62"/>
      <c r="U913" s="62"/>
      <c r="V913" s="62"/>
      <c r="W913" s="55"/>
      <c r="X913" s="57"/>
      <c r="Y913" s="57"/>
      <c r="Z913" s="55" t="n">
        <f aca="false">IF(A913="","",IF(AND(Parameter!$B$21="Ja",ISNUMBER(W913)),W913,IF(BV913="2+3",IF(ISNUMBER(SEARCH("grosser Artikel",BO913)),2,IFERROR(VLOOKUP(BR913,Parameter!$F$35:$G$64,2,0),2)),IF(OR(BV913="Nein",BV913=""),"-",BV913))))</f>
        <v>3</v>
      </c>
      <c r="AA913" s="62"/>
      <c r="AB913" s="63"/>
      <c r="AC913" s="57" t="n">
        <f aca="false">AR913</f>
        <v>909</v>
      </c>
      <c r="AD913" s="57" t="n">
        <f aca="false">MAX(AR913,H913)</f>
        <v>909</v>
      </c>
      <c r="AE913" s="64"/>
      <c r="AF913" s="57" t="n">
        <f aca="false">IF(LEFT(Cockpit!$C$5,1)="A",H913,IF(CA913=1,CB913,IF(LEFT(Cockpit!$C$5,1)="B",AJ913,MAX(AJ913,H913))))</f>
        <v>646</v>
      </c>
      <c r="AG913" s="57" t="n">
        <f aca="false">IF(BT913=1,0,ROUNDUP(AF913/BS913,0))</f>
        <v>1</v>
      </c>
      <c r="AH913" s="59" t="n">
        <f aca="false">IF(CH913&gt;0,CH913*MAX(1,AF913/X913),IF(BT913=1,IF(AF913&lt;=0,0,BW913*MAX(1,IF(H913&gt;0,AF913/H913,1))),IF(R913&gt;0,AG913/R913,0))/MAX(0.1,N(Parameter!$M$21)))</f>
        <v>0.0151515151515152</v>
      </c>
      <c r="AI913" s="57" t="n">
        <f aca="false">AF913*G913</f>
        <v>109.82</v>
      </c>
      <c r="AJ913" s="57" t="n">
        <f aca="false">ROUNDUP(MAX(J913/IF(BZ913&gt;0,BZ913,MAX(0.1,N(Cockpit!$C$6))),CC913)/BS913,0)*BS913</f>
        <v>909</v>
      </c>
      <c r="AK913" s="58" t="n">
        <f aca="false">IF(AH913&gt;0,J913/AH913,-1)</f>
        <v>8184</v>
      </c>
      <c r="AL913" s="58" t="n">
        <f aca="false">IF(AND(OR(BY913="L1",BY913="L23"),AH913&gt;0),SUMIFS($AH$7:$AH$1843,$BY$7:$BY$1843,BY913,$AK$7:$AK$1843,"&gt;"&amp;AK913)+SUMIFS($AH$7:$AH$1843,$BY$7:$BY$1843,BY913,$AK$7:$AK$1843,AK913,$BQ$7:$BQ$1843,"&lt;="&amp;BQ913),"")</f>
        <v>5.82899226377487</v>
      </c>
      <c r="AM913" s="65" t="n">
        <f aca="false">IF(AL913="",0,MAX(0,MIN(1,(IF(BY913="L1",Parameter!$E$5,Parameter!$E$6+Parameter!$E$7)-(AL913-AH913))/AH913)))</f>
        <v>1</v>
      </c>
      <c r="AN913" s="57" t="n">
        <f aca="false">IF(LEFT(Cockpit!$I$5,1)="A",H913,IF(CA913=1,CB913,IF(LEFT(Cockpit!$I$5,1)="B",AR913,MAX(AR913,H913))))</f>
        <v>909</v>
      </c>
      <c r="AO913" s="57" t="n">
        <f aca="false">IF(BT913=1,0,ROUNDUP(AN913/BS913,0))</f>
        <v>1</v>
      </c>
      <c r="AP913" s="59" t="n">
        <f aca="false">IF(CH913&gt;0,CH913*MAX(1,AN913/X913),IF(BT913=1,IF(AN913&lt;=0,0,BW913*MAX(1,IF(H913&gt;0,AN913/H913,1))),IF(R913&gt;0,AO913/R913,0))/MAX(0.1,N(Parameter!$M$21)))</f>
        <v>0.0151515151515152</v>
      </c>
      <c r="AQ913" s="57" t="n">
        <f aca="false">AN913*G913</f>
        <v>154.53</v>
      </c>
      <c r="AR913" s="57" t="n">
        <f aca="false">ROUNDUP(MAX(J913/IF(BZ913&gt;0,BZ913,MAX(0.1,N(Cockpit!$I$6))),CC913)/BS913,0)*BS913</f>
        <v>909</v>
      </c>
      <c r="AS913" s="58" t="n">
        <f aca="false">IF(AP913&gt;0,J913/AP913,-1)</f>
        <v>8184</v>
      </c>
      <c r="AT913" s="58" t="n">
        <f aca="false">IF(AND(OR(BY913="L1",BY913="L23"),AP913&gt;0),SUMIFS($AP$7:$AP$1843,$BY$7:$BY$1843,BY913,$AS$7:$AS$1843,"&gt;"&amp;AS913)+SUMIFS($AP$7:$AP$1843,$BY$7:$BY$1843,BY913,$AS$7:$AS$1843,AS913,$BQ$7:$BQ$1843,"&lt;="&amp;BQ913),"")</f>
        <v>9.03155298807473</v>
      </c>
      <c r="AU913" s="65" t="n">
        <f aca="false">IF(AT913="",0,MAX(0,MIN(1,(IF(BY913="L1",Parameter!$E$5,Parameter!$E$6+Parameter!$E$7)-(AT913-AP913))/AP913)))</f>
        <v>1</v>
      </c>
      <c r="AV913" s="57" t="n">
        <f aca="false">IF(LEFT(Cockpit!$O$5,1)="A",H913,IF(CA913=1,CB913,IF(LEFT(Cockpit!$O$5,1)="B",AZ913,MAX(AZ913,H913))))</f>
        <v>909</v>
      </c>
      <c r="AW913" s="57" t="n">
        <f aca="false">IF(BT913=1,0,ROUNDUP(AV913/BS913,0))</f>
        <v>1</v>
      </c>
      <c r="AX913" s="59" t="n">
        <f aca="false">IF(CH913&gt;0,CH913*MAX(1,AV913/X913),IF(BT913=1,IF(AV913&lt;=0,0,BW913*MAX(1,IF(H913&gt;0,AV913/H913,1))),IF(R913&gt;0,AW913/R913,0))/MAX(0.1,N(Parameter!$M$21)))</f>
        <v>0.0151515151515152</v>
      </c>
      <c r="AY913" s="57" t="n">
        <f aca="false">AV913*G913</f>
        <v>154.53</v>
      </c>
      <c r="AZ913" s="57" t="n">
        <f aca="false">ROUNDUP(MAX(J913/IF(BZ913&gt;0,BZ913,MAX(0.1,N(Cockpit!$O$6))),CC913)/BS913,0)*BS913</f>
        <v>909</v>
      </c>
      <c r="BA913" s="58" t="n">
        <f aca="false">IF(AX913&gt;0,J913/AX913,-1)</f>
        <v>8184</v>
      </c>
      <c r="BB913" s="58" t="n">
        <f aca="false">IF(AND(OR(BY913="L1",BY913="L23"),AX913&gt;0),SUMIFS($AX$7:$AX$1843,$BY$7:$BY$1843,BY913,$BA$7:$BA$1843,"&gt;"&amp;BA913)+SUMIFS($AX$7:$AX$1843,$BY$7:$BY$1843,BY913,$BA$7:$BA$1843,BA913,$BQ$7:$BQ$1843,"&lt;="&amp;BQ913),"")</f>
        <v>8.76523597175771</v>
      </c>
      <c r="BC913" s="65" t="n">
        <f aca="false">IF(BB913="",0,MAX(0,MIN(1,(IF(BY913="L1",Parameter!$E$5,Parameter!$E$6+Parameter!$E$7)-(BB913-AX913))/AX913)))</f>
        <v>1</v>
      </c>
      <c r="BD913" s="55" t="str">
        <f aca="false">IF(AH913&lt;=0,"",IF(BY913="Aussen","Aussenlager",IF(BY913="-","Nicht im Lift",IF(AM913&gt;=1,"Lift",IF(AM913&lt;=0,"Aussenlager","teilweise")))))</f>
        <v>Lift</v>
      </c>
      <c r="BE913" s="55" t="str">
        <f aca="false">IF(AP913&lt;=0,"",IF(BY913="Aussen","Aussenlager",IF(BY913="-","Nicht im Lift",IF(AU913&gt;=1,"Lift",IF(AU913&lt;=0,"Aussenlager","teilweise")))))</f>
        <v>Lift</v>
      </c>
      <c r="BF913" s="55" t="str">
        <f aca="false">IF(AX913&lt;=0,"",IF(BY913="Aussen","Aussenlager",IF(BY913="-","Nicht im Lift",IF(BC913&gt;=1,"Lift",IF(BC913&lt;=0,"Aussenlager","teilweise")))))</f>
        <v>Lift</v>
      </c>
      <c r="BG913" s="55" t="str">
        <f aca="false">IF(A913="","",IF(BP913=1,"Neu; ","")&amp;IF(AND(BP913=0,BK913&lt;0),"negativer Bestand (Export "&amp;BK913&amp;"); ","")&amp;IF(J913&lt;=0,"Kein Verbrauch; ","")&amp;IF(CH913&gt;0,"Lift "&amp;W913&amp;" lt. Liftbericht (Fach "&amp;X913&amp;" Stk); ",IF(BU913=1,"Gebinde geschätzt ("&amp;T913&amp;"); ",IF(BT913=1,"Lose – Tablare geschätzt; ","")))&amp;IF(H913&gt;AR913,"Überbestand "&amp;ROUND(H913-AR913,0)&amp;" Stk / CHF "&amp;ROUND((H913-AR913)*G913,0)&amp;"; ","")&amp;IF(AND(CA913=1,CB913&lt;CC913),"MAX &lt; MB+LG; ","")&amp;IF(AND(CG913&gt;0,CF913*10&gt;CG913),"zu hoch für Tablar; ","")&amp;IF(AND(BP913=0,OR(CA913=1,AA913&lt;&gt;"",U913&lt;&gt;"",V913&lt;&gt;"",AB913&lt;&gt;"")),"manuell übersteuert; ","")&amp;IF(AND(BT913=0,R913=0),"Gebinde unbekannt / Stellmass fehlt; ","")&amp;IF(AND(BT913=0,N(V913)&lt;=0,N(Q913)&lt;=0),"Menge pro Gebinde fehlt (Ist = 1 Gebinde); ","")&amp;BO913)</f>
        <v>negativer Bestand (Export -227); Überbestand</v>
      </c>
      <c r="BH913" s="55"/>
      <c r="BI913" s="55"/>
      <c r="BJ913" s="62"/>
      <c r="BK913" s="57" t="n">
        <v>-227</v>
      </c>
      <c r="BL913" s="57" t="n">
        <v>873</v>
      </c>
      <c r="BM913" s="56" t="n">
        <v>-38.59</v>
      </c>
      <c r="BN913" s="57" t="n">
        <v>124</v>
      </c>
      <c r="BO913" s="55" t="s">
        <v>392</v>
      </c>
      <c r="BP913" s="60" t="n">
        <v>0</v>
      </c>
      <c r="BQ913" s="60" t="n">
        <v>913</v>
      </c>
      <c r="BR913" s="55" t="str">
        <f aca="false">IF(U913&lt;&gt;"",UPPER(TRIM(U913)),IF(BU913=1,UPPER(VLOOKUP(T913,Parameter!$I$27:$K$29,2,0)),IF(P913="","LOSE",P913)))</f>
        <v>S33</v>
      </c>
      <c r="BS913" s="57" t="n">
        <f aca="false">IF(BR913="LOSE",1,IF(N(V913)&gt;0,V913,IF(BU913=1,MAX(1,N(VLOOKUP(T913,Parameter!$I$27:$K$29,3,0)),H913,N(N913)),IF(N(Q913)&gt;0,Q913,MAX(1,H913)))))</f>
        <v>909</v>
      </c>
      <c r="BT913" s="60" t="n">
        <f aca="false">IF(BR913="LOSE",1,0)</f>
        <v>0</v>
      </c>
      <c r="BU913" s="60" t="n">
        <f aca="false">IF(AND(U913="",OR(P913="",P913="LOSE"),T913&lt;&gt;"",N(S913)&lt;=0,ISNUMBER(MATCH(T913,Parameter!$I$27:$I$29,0))),1,0)</f>
        <v>0</v>
      </c>
      <c r="BV913" s="55" t="str">
        <f aca="false">IF(AND(Parameter!$B$19="Ja",E913&lt;&gt;"",ISNUMBER(MATCH(E913,Parameter!$I$35:$I$52,0))),VLOOKUP(E913,Parameter!$I$35:$J$52,2,0),IFERROR(VLOOKUP(D913,Parameter!$A$35:$C$64,2,0),"Nein"))</f>
        <v>2+3</v>
      </c>
      <c r="BW913" s="59" t="n">
        <f aca="false">IF(BT913=0,0,IF(N(S913)&gt;0,S913,IFERROR(VLOOKUP(D913,Parameter!$A$35:$C$64,3,0)+0,0)))</f>
        <v>0</v>
      </c>
      <c r="BX913" s="55" t="n">
        <f aca="false">IF(AA913&lt;&gt;"",AA913,Z913)</f>
        <v>3</v>
      </c>
      <c r="BY913" s="55" t="str">
        <f aca="false">IF(BX913=1,"L1",IF(OR(BX913=2,BX913=3),"L23",IF(BX913="Aussen","Aussen","-")))</f>
        <v>L23</v>
      </c>
      <c r="BZ913" s="66" t="n">
        <f aca="false">IF(N(AB913)&gt;0,AB913,0)</f>
        <v>0</v>
      </c>
      <c r="CA913" s="60" t="n">
        <f aca="false">IF(ISNUMBER(AE913),1,0)</f>
        <v>0</v>
      </c>
      <c r="CB913" s="57" t="n">
        <f aca="false">N(AE913)</f>
        <v>0</v>
      </c>
      <c r="CC913" s="57" t="n">
        <f aca="false">N(M913)+N(N913)</f>
        <v>132</v>
      </c>
      <c r="CD913" s="57" t="n">
        <f aca="false">ROUNDUP(H913/BS913,0)</f>
        <v>1</v>
      </c>
      <c r="CE913" s="57" t="n">
        <f aca="false">ROUNDUP(CB913/BS913,0)</f>
        <v>0</v>
      </c>
      <c r="CF913" s="60" t="n">
        <f aca="false">IF(BT913=1,0,IFERROR(VLOOKUP(BR913,'Gebinde-Kategorie'!$A$5:$M$45,5,0)+0,0))</f>
        <v>8</v>
      </c>
      <c r="CG913" s="60" t="n">
        <f aca="false">IFERROR(IF(OR(BX913=1,BX913=2,BX913=3),N(INDEX(Parameter!$I$5:$I$7,BX913)),0),0)</f>
        <v>0</v>
      </c>
      <c r="CH913" s="59" t="n">
        <f aca="false">IF(AND(Parameter!$B$21="Ja",ISNUMBER(W913),N(X913)&gt;0),IFERROR(N(INDEX(Parameter!$L$5:$L$7,W913))*INDEX(Parameter!$E$5:$E$7,W913)*X913/SUMIFS($X$7:$X$1843,$W$7:$W$1843,W913),0),0)</f>
        <v>0</v>
      </c>
    </row>
    <row r="914" customFormat="false" ht="15" hidden="false" customHeight="false" outlineLevel="0" collapsed="false">
      <c r="A914" s="55" t="s">
        <v>1711</v>
      </c>
      <c r="B914" s="55" t="s">
        <v>1712</v>
      </c>
      <c r="C914" s="55" t="s">
        <v>456</v>
      </c>
      <c r="D914" s="55" t="s">
        <v>184</v>
      </c>
      <c r="E914" s="55"/>
      <c r="F914" s="55" t="s">
        <v>218</v>
      </c>
      <c r="G914" s="56" t="n">
        <v>0.76</v>
      </c>
      <c r="H914" s="57" t="n">
        <f aca="false">MAX(0,IF(AND(Parameter!$B$21="Ja",ISNUMBER(Y914)),Y914,IF(Parameter!$B$20="Jahresanfang 2025 + Export",BL914+BK914,BK914)))</f>
        <v>0</v>
      </c>
      <c r="I914" s="57" t="n">
        <f aca="false">H914*G914</f>
        <v>0</v>
      </c>
      <c r="J914" s="57" t="n">
        <f aca="false">BN914*Parameter!$B$18</f>
        <v>0</v>
      </c>
      <c r="K914" s="58" t="n">
        <v>40.5</v>
      </c>
      <c r="L914" s="59" t="n">
        <v>0</v>
      </c>
      <c r="M914" s="57" t="n">
        <v>0</v>
      </c>
      <c r="N914" s="57" t="n">
        <v>1</v>
      </c>
      <c r="O914" s="60" t="n">
        <v>21</v>
      </c>
      <c r="P914" s="55" t="s">
        <v>168</v>
      </c>
      <c r="Q914" s="57"/>
      <c r="R914" s="60" t="n">
        <f aca="false">IF(BT914=1,0,IFERROR(VLOOKUP(BR914,'Gebinde-Kategorie'!$A$5:$M$45,13,0)+0,0))</f>
        <v>26</v>
      </c>
      <c r="S914" s="61"/>
      <c r="T914" s="62" t="s">
        <v>275</v>
      </c>
      <c r="U914" s="62"/>
      <c r="V914" s="62"/>
      <c r="W914" s="55"/>
      <c r="X914" s="57"/>
      <c r="Y914" s="57"/>
      <c r="Z914" s="55" t="n">
        <f aca="false">IF(A914="","",IF(AND(Parameter!$B$21="Ja",ISNUMBER(W914)),W914,IF(BV914="2+3",IF(ISNUMBER(SEARCH("grosser Artikel",BO914)),2,IFERROR(VLOOKUP(BR914,Parameter!$F$35:$G$64,2,0),2)),IF(OR(BV914="Nein",BV914=""),"-",BV914))))</f>
        <v>3</v>
      </c>
      <c r="AA914" s="62"/>
      <c r="AB914" s="63"/>
      <c r="AC914" s="57" t="n">
        <f aca="false">AR914</f>
        <v>20</v>
      </c>
      <c r="AD914" s="57" t="n">
        <f aca="false">MAX(AR914,H914)</f>
        <v>20</v>
      </c>
      <c r="AE914" s="64"/>
      <c r="AF914" s="57" t="n">
        <f aca="false">IF(LEFT(Cockpit!$C$5,1)="A",H914,IF(CA914=1,CB914,IF(LEFT(Cockpit!$C$5,1)="B",AJ914,MAX(AJ914,H914))))</f>
        <v>0</v>
      </c>
      <c r="AG914" s="57" t="n">
        <f aca="false">IF(BT914=1,0,ROUNDUP(AF914/BS914,0))</f>
        <v>0</v>
      </c>
      <c r="AH914" s="59" t="n">
        <f aca="false">IF(CH914&gt;0,CH914*MAX(1,AF914/X914),IF(BT914=1,IF(AF914&lt;=0,0,BW914*MAX(1,IF(H914&gt;0,AF914/H914,1))),IF(R914&gt;0,AG914/R914,0))/MAX(0.1,N(Parameter!$M$21)))</f>
        <v>0</v>
      </c>
      <c r="AI914" s="57" t="n">
        <f aca="false">AF914*G914</f>
        <v>0</v>
      </c>
      <c r="AJ914" s="57" t="n">
        <f aca="false">ROUNDUP(MAX(J914/IF(BZ914&gt;0,BZ914,MAX(0.1,N(Cockpit!$C$6))),CC914)/BS914,0)*BS914</f>
        <v>20</v>
      </c>
      <c r="AK914" s="58" t="n">
        <f aca="false">IF(AH914&gt;0,J914/AH914,-1)</f>
        <v>-1</v>
      </c>
      <c r="AL914" s="58" t="str">
        <f aca="false">IF(AND(OR(BY914="L1",BY914="L23"),AH914&gt;0),SUMIFS($AH$7:$AH$1843,$BY$7:$BY$1843,BY914,$AK$7:$AK$1843,"&gt;"&amp;AK914)+SUMIFS($AH$7:$AH$1843,$BY$7:$BY$1843,BY914,$AK$7:$AK$1843,AK914,$BQ$7:$BQ$1843,"&lt;="&amp;BQ914),"")</f>
        <v/>
      </c>
      <c r="AM914" s="65" t="n">
        <f aca="false">IF(AL914="",0,MAX(0,MIN(1,(IF(BY914="L1",Parameter!$E$5,Parameter!$E$6+Parameter!$E$7)-(AL914-AH914))/AH914)))</f>
        <v>0</v>
      </c>
      <c r="AN914" s="57" t="n">
        <f aca="false">IF(LEFT(Cockpit!$I$5,1)="A",H914,IF(CA914=1,CB914,IF(LEFT(Cockpit!$I$5,1)="B",AR914,MAX(AR914,H914))))</f>
        <v>20</v>
      </c>
      <c r="AO914" s="57" t="n">
        <f aca="false">IF(BT914=1,0,ROUNDUP(AN914/BS914,0))</f>
        <v>1</v>
      </c>
      <c r="AP914" s="59" t="n">
        <f aca="false">IF(CH914&gt;0,CH914*MAX(1,AN914/X914),IF(BT914=1,IF(AN914&lt;=0,0,BW914*MAX(1,IF(H914&gt;0,AN914/H914,1))),IF(R914&gt;0,AO914/R914,0))/MAX(0.1,N(Parameter!$M$21)))</f>
        <v>0.0384615384615385</v>
      </c>
      <c r="AQ914" s="57" t="n">
        <f aca="false">AN914*G914</f>
        <v>15.2</v>
      </c>
      <c r="AR914" s="57" t="n">
        <f aca="false">ROUNDUP(MAX(J914/IF(BZ914&gt;0,BZ914,MAX(0.1,N(Cockpit!$I$6))),CC914)/BS914,0)*BS914</f>
        <v>20</v>
      </c>
      <c r="AS914" s="58" t="n">
        <f aca="false">IF(AP914&gt;0,J914/AP914,-1)</f>
        <v>0</v>
      </c>
      <c r="AT914" s="58" t="n">
        <f aca="false">IF(AND(OR(BY914="L1",BY914="L23"),AP914&gt;0),SUMIFS($AP$7:$AP$1843,$BY$7:$BY$1843,BY914,$AS$7:$AS$1843,"&gt;"&amp;AS914)+SUMIFS($AP$7:$AP$1843,$BY$7:$BY$1843,BY914,$AS$7:$AS$1843,AS914,$BQ$7:$BQ$1843,"&lt;="&amp;BQ914),"")</f>
        <v>119.155197459545</v>
      </c>
      <c r="AU914" s="65" t="n">
        <f aca="false">IF(AT914="",0,MAX(0,MIN(1,(IF(BY914="L1",Parameter!$E$5,Parameter!$E$6+Parameter!$E$7)-(AT914-AP914))/AP914)))</f>
        <v>0</v>
      </c>
      <c r="AV914" s="57" t="n">
        <f aca="false">IF(LEFT(Cockpit!$O$5,1)="A",H914,IF(CA914=1,CB914,IF(LEFT(Cockpit!$O$5,1)="B",AZ914,MAX(AZ914,H914))))</f>
        <v>20</v>
      </c>
      <c r="AW914" s="57" t="n">
        <f aca="false">IF(BT914=1,0,ROUNDUP(AV914/BS914,0))</f>
        <v>1</v>
      </c>
      <c r="AX914" s="59" t="n">
        <f aca="false">IF(CH914&gt;0,CH914*MAX(1,AV914/X914),IF(BT914=1,IF(AV914&lt;=0,0,BW914*MAX(1,IF(H914&gt;0,AV914/H914,1))),IF(R914&gt;0,AW914/R914,0))/MAX(0.1,N(Parameter!$M$21)))</f>
        <v>0.0384615384615385</v>
      </c>
      <c r="AY914" s="57" t="n">
        <f aca="false">AV914*G914</f>
        <v>15.2</v>
      </c>
      <c r="AZ914" s="57" t="n">
        <f aca="false">ROUNDUP(MAX(J914/IF(BZ914&gt;0,BZ914,MAX(0.1,N(Cockpit!$O$6))),CC914)/BS914,0)*BS914</f>
        <v>20</v>
      </c>
      <c r="BA914" s="58" t="n">
        <f aca="false">IF(AX914&gt;0,J914/AX914,-1)</f>
        <v>0</v>
      </c>
      <c r="BB914" s="58" t="n">
        <f aca="false">IF(AND(OR(BY914="L1",BY914="L23"),AX914&gt;0),SUMIFS($AX$7:$AX$1843,$BY$7:$BY$1843,BY914,$BA$7:$BA$1843,"&gt;"&amp;BA914)+SUMIFS($AX$7:$AX$1843,$BY$7:$BY$1843,BY914,$BA$7:$BA$1843,BA914,$BQ$7:$BQ$1843,"&lt;="&amp;BQ914),"")</f>
        <v>109.985034289382</v>
      </c>
      <c r="BC914" s="65" t="n">
        <f aca="false">IF(BB914="",0,MAX(0,MIN(1,(IF(BY914="L1",Parameter!$E$5,Parameter!$E$6+Parameter!$E$7)-(BB914-AX914))/AX914)))</f>
        <v>0</v>
      </c>
      <c r="BD914" s="55" t="str">
        <f aca="false">IF(AH914&lt;=0,"",IF(BY914="Aussen","Aussenlager",IF(BY914="-","Nicht im Lift",IF(AM914&gt;=1,"Lift",IF(AM914&lt;=0,"Aussenlager","teilweise")))))</f>
        <v/>
      </c>
      <c r="BE914" s="55" t="str">
        <f aca="false">IF(AP914&lt;=0,"",IF(BY914="Aussen","Aussenlager",IF(BY914="-","Nicht im Lift",IF(AU914&gt;=1,"Lift",IF(AU914&lt;=0,"Aussenlager","teilweise")))))</f>
        <v>Aussenlager</v>
      </c>
      <c r="BF914" s="55" t="str">
        <f aca="false">IF(AX914&lt;=0,"",IF(BY914="Aussen","Aussenlager",IF(BY914="-","Nicht im Lift",IF(BC914&gt;=1,"Lift",IF(BC914&lt;=0,"Aussenlager","teilweise")))))</f>
        <v>Aussenlager</v>
      </c>
      <c r="BG914" s="55" t="str">
        <f aca="false">IF(A914="","",IF(BP914=1,"Neu; ","")&amp;IF(AND(BP914=0,BK914&lt;0),"negativer Bestand (Export "&amp;BK914&amp;"); ","")&amp;IF(J914&lt;=0,"Kein Verbrauch; ","")&amp;IF(CH914&gt;0,"Lift "&amp;W914&amp;" lt. Liftbericht (Fach "&amp;X914&amp;" Stk); ",IF(BU914=1,"Gebinde geschätzt ("&amp;T914&amp;"); ",IF(BT914=1,"Lose – Tablare geschätzt; ","")))&amp;IF(H914&gt;AR914,"Überbestand "&amp;ROUND(H914-AR914,0)&amp;" Stk / CHF "&amp;ROUND((H914-AR914)*G914,0)&amp;"; ","")&amp;IF(AND(CA914=1,CB914&lt;CC914),"MAX &lt; MB+LG; ","")&amp;IF(AND(CG914&gt;0,CF914*10&gt;CG914),"zu hoch für Tablar; ","")&amp;IF(AND(BP914=0,OR(CA914=1,AA914&lt;&gt;"",U914&lt;&gt;"",V914&lt;&gt;"",AB914&lt;&gt;"")),"manuell übersteuert; ","")&amp;IF(AND(BT914=0,R914=0),"Gebinde unbekannt / Stellmass fehlt; ","")&amp;IF(AND(BT914=0,N(V914)&lt;=0,N(Q914)&lt;=0),"Menge pro Gebinde fehlt (Ist = 1 Gebinde); ","")&amp;BO914)</f>
        <v>negativer Bestand (Export -51); Kein Verbrauch; Gebinde geschätzt (Klein); Menge pro Gebinde fehlt (Ist = 1 Gebinde); </v>
      </c>
      <c r="BH914" s="55"/>
      <c r="BI914" s="55"/>
      <c r="BJ914" s="62"/>
      <c r="BK914" s="57" t="n">
        <v>-51</v>
      </c>
      <c r="BL914" s="57" t="n">
        <v>51</v>
      </c>
      <c r="BM914" s="56" t="n">
        <v>-38.76</v>
      </c>
      <c r="BN914" s="57" t="n">
        <v>0</v>
      </c>
      <c r="BO914" s="55"/>
      <c r="BP914" s="60" t="n">
        <v>0</v>
      </c>
      <c r="BQ914" s="60" t="n">
        <v>914</v>
      </c>
      <c r="BR914" s="55" t="str">
        <f aca="false">IF(U914&lt;&gt;"",UPPER(TRIM(U914)),IF(BU914=1,UPPER(VLOOKUP(T914,Parameter!$I$27:$K$29,2,0)),IF(P914="","LOSE",P914)))</f>
        <v>S51</v>
      </c>
      <c r="BS914" s="57" t="n">
        <f aca="false">IF(BR914="LOSE",1,IF(N(V914)&gt;0,V914,IF(BU914=1,MAX(1,N(VLOOKUP(T914,Parameter!$I$27:$K$29,3,0)),H914,N(N914)),IF(N(Q914)&gt;0,Q914,MAX(1,H914)))))</f>
        <v>20</v>
      </c>
      <c r="BT914" s="60" t="n">
        <f aca="false">IF(BR914="LOSE",1,0)</f>
        <v>0</v>
      </c>
      <c r="BU914" s="60" t="n">
        <f aca="false">IF(AND(U914="",OR(P914="",P914="LOSE"),T914&lt;&gt;"",N(S914)&lt;=0,ISNUMBER(MATCH(T914,Parameter!$I$27:$I$29,0))),1,0)</f>
        <v>1</v>
      </c>
      <c r="BV914" s="55" t="str">
        <f aca="false">IF(AND(Parameter!$B$19="Ja",E914&lt;&gt;"",ISNUMBER(MATCH(E914,Parameter!$I$35:$I$52,0))),VLOOKUP(E914,Parameter!$I$35:$J$52,2,0),IFERROR(VLOOKUP(D914,Parameter!$A$35:$C$64,2,0),"Nein"))</f>
        <v>2+3</v>
      </c>
      <c r="BW914" s="59" t="n">
        <f aca="false">IF(BT914=0,0,IF(N(S914)&gt;0,S914,IFERROR(VLOOKUP(D914,Parameter!$A$35:$C$64,3,0)+0,0)))</f>
        <v>0</v>
      </c>
      <c r="BX914" s="55" t="n">
        <f aca="false">IF(AA914&lt;&gt;"",AA914,Z914)</f>
        <v>3</v>
      </c>
      <c r="BY914" s="55" t="str">
        <f aca="false">IF(BX914=1,"L1",IF(OR(BX914=2,BX914=3),"L23",IF(BX914="Aussen","Aussen","-")))</f>
        <v>L23</v>
      </c>
      <c r="BZ914" s="66" t="n">
        <f aca="false">IF(N(AB914)&gt;0,AB914,0)</f>
        <v>0</v>
      </c>
      <c r="CA914" s="60" t="n">
        <f aca="false">IF(ISNUMBER(AE914),1,0)</f>
        <v>0</v>
      </c>
      <c r="CB914" s="57" t="n">
        <f aca="false">N(AE914)</f>
        <v>0</v>
      </c>
      <c r="CC914" s="57" t="n">
        <f aca="false">N(M914)+N(N914)</f>
        <v>1</v>
      </c>
      <c r="CD914" s="57" t="n">
        <f aca="false">ROUNDUP(H914/BS914,0)</f>
        <v>0</v>
      </c>
      <c r="CE914" s="57" t="n">
        <f aca="false">ROUNDUP(CB914/BS914,0)</f>
        <v>0</v>
      </c>
      <c r="CF914" s="60" t="n">
        <f aca="false">IF(BT914=1,0,IFERROR(VLOOKUP(BR914,'Gebinde-Kategorie'!$A$5:$M$45,5,0)+0,0))</f>
        <v>11</v>
      </c>
      <c r="CG914" s="60" t="n">
        <f aca="false">IFERROR(IF(OR(BX914=1,BX914=2,BX914=3),N(INDEX(Parameter!$I$5:$I$7,BX914)),0),0)</f>
        <v>0</v>
      </c>
      <c r="CH914" s="59" t="n">
        <f aca="false">IF(AND(Parameter!$B$21="Ja",ISNUMBER(W914),N(X914)&gt;0),IFERROR(N(INDEX(Parameter!$L$5:$L$7,W914))*INDEX(Parameter!$E$5:$E$7,W914)*X914/SUMIFS($X$7:$X$1843,$W$7:$W$1843,W914),0),0)</f>
        <v>0</v>
      </c>
    </row>
    <row r="915" customFormat="false" ht="15" hidden="false" customHeight="false" outlineLevel="0" collapsed="false">
      <c r="A915" s="55" t="s">
        <v>1713</v>
      </c>
      <c r="B915" s="55" t="s">
        <v>1714</v>
      </c>
      <c r="C915" s="55" t="s">
        <v>164</v>
      </c>
      <c r="D915" s="55" t="s">
        <v>173</v>
      </c>
      <c r="E915" s="55"/>
      <c r="F915" s="55" t="s">
        <v>218</v>
      </c>
      <c r="G915" s="56" t="n">
        <v>2.09</v>
      </c>
      <c r="H915" s="57" t="n">
        <f aca="false">MAX(0,IF(AND(Parameter!$B$21="Ja",ISNUMBER(Y915)),Y915,IF(Parameter!$B$20="Jahresanfang 2025 + Export",BL915+BK915,BK915)))</f>
        <v>100</v>
      </c>
      <c r="I915" s="57" t="n">
        <f aca="false">H915*G915</f>
        <v>209</v>
      </c>
      <c r="J915" s="57" t="n">
        <f aca="false">BN915*Parameter!$B$18</f>
        <v>160</v>
      </c>
      <c r="K915" s="58" t="n">
        <v>100</v>
      </c>
      <c r="L915" s="59" t="n">
        <v>1.6</v>
      </c>
      <c r="M915" s="57" t="n">
        <v>25</v>
      </c>
      <c r="N915" s="57" t="n">
        <v>100</v>
      </c>
      <c r="O915" s="60" t="n">
        <v>28</v>
      </c>
      <c r="P915" s="55" t="s">
        <v>168</v>
      </c>
      <c r="Q915" s="57"/>
      <c r="R915" s="60" t="n">
        <f aca="false">IF(BT915=1,0,IFERROR(VLOOKUP(BR915,'Gebinde-Kategorie'!$A$5:$M$45,13,0)+0,0))</f>
        <v>3</v>
      </c>
      <c r="S915" s="61"/>
      <c r="T915" s="62" t="s">
        <v>189</v>
      </c>
      <c r="U915" s="62"/>
      <c r="V915" s="62"/>
      <c r="W915" s="55"/>
      <c r="X915" s="57"/>
      <c r="Y915" s="57"/>
      <c r="Z915" s="55" t="n">
        <f aca="false">IF(A915="","",IF(AND(Parameter!$B$21="Ja",ISNUMBER(W915)),W915,IF(BV915="2+3",IF(ISNUMBER(SEARCH("grosser Artikel",BO915)),2,IFERROR(VLOOKUP(BR915,Parameter!$F$35:$G$64,2,0),2)),IF(OR(BV915="Nein",BV915=""),"-",BV915))))</f>
        <v>2</v>
      </c>
      <c r="AA915" s="62"/>
      <c r="AB915" s="63"/>
      <c r="AC915" s="57" t="n">
        <f aca="false">AR915</f>
        <v>200</v>
      </c>
      <c r="AD915" s="57" t="n">
        <f aca="false">MAX(AR915,H915)</f>
        <v>200</v>
      </c>
      <c r="AE915" s="64"/>
      <c r="AF915" s="57" t="n">
        <f aca="false">IF(LEFT(Cockpit!$C$5,1)="A",H915,IF(CA915=1,CB915,IF(LEFT(Cockpit!$C$5,1)="B",AJ915,MAX(AJ915,H915))))</f>
        <v>100</v>
      </c>
      <c r="AG915" s="57" t="n">
        <f aca="false">IF(BT915=1,0,ROUNDUP(AF915/BS915,0))</f>
        <v>1</v>
      </c>
      <c r="AH915" s="59" t="n">
        <f aca="false">IF(CH915&gt;0,CH915*MAX(1,AF915/X915),IF(BT915=1,IF(AF915&lt;=0,0,BW915*MAX(1,IF(H915&gt;0,AF915/H915,1))),IF(R915&gt;0,AG915/R915,0))/MAX(0.1,N(Parameter!$M$21)))</f>
        <v>0.333333333333333</v>
      </c>
      <c r="AI915" s="57" t="n">
        <f aca="false">AF915*G915</f>
        <v>209</v>
      </c>
      <c r="AJ915" s="57" t="n">
        <f aca="false">ROUNDUP(MAX(J915/IF(BZ915&gt;0,BZ915,MAX(0.1,N(Cockpit!$C$6))),CC915)/BS915,0)*BS915</f>
        <v>200</v>
      </c>
      <c r="AK915" s="58" t="n">
        <f aca="false">IF(AH915&gt;0,J915/AH915,-1)</f>
        <v>480</v>
      </c>
      <c r="AL915" s="58" t="n">
        <f aca="false">IF(AND(OR(BY915="L1",BY915="L23"),AH915&gt;0),SUMIFS($AH$7:$AH$1843,$BY$7:$BY$1843,BY915,$AK$7:$AK$1843,"&gt;"&amp;AK915)+SUMIFS($AH$7:$AH$1843,$BY$7:$BY$1843,BY915,$AK$7:$AK$1843,AK915,$BQ$7:$BQ$1843,"&lt;="&amp;BQ915),"")</f>
        <v>24.4918414918415</v>
      </c>
      <c r="AM915" s="65" t="n">
        <f aca="false">IF(AL915="",0,MAX(0,MIN(1,(IF(BY915="L1",Parameter!$E$5,Parameter!$E$6+Parameter!$E$7)-(AL915-AH915))/AH915)))</f>
        <v>1</v>
      </c>
      <c r="AN915" s="57" t="n">
        <f aca="false">IF(LEFT(Cockpit!$I$5,1)="A",H915,IF(CA915=1,CB915,IF(LEFT(Cockpit!$I$5,1)="B",AR915,MAX(AR915,H915))))</f>
        <v>200</v>
      </c>
      <c r="AO915" s="57" t="n">
        <f aca="false">IF(BT915=1,0,ROUNDUP(AN915/BS915,0))</f>
        <v>2</v>
      </c>
      <c r="AP915" s="59" t="n">
        <f aca="false">IF(CH915&gt;0,CH915*MAX(1,AN915/X915),IF(BT915=1,IF(AN915&lt;=0,0,BW915*MAX(1,IF(H915&gt;0,AN915/H915,1))),IF(R915&gt;0,AO915/R915,0))/MAX(0.1,N(Parameter!$M$21)))</f>
        <v>0.666666666666667</v>
      </c>
      <c r="AQ915" s="57" t="n">
        <f aca="false">AN915*G915</f>
        <v>418</v>
      </c>
      <c r="AR915" s="57" t="n">
        <f aca="false">ROUNDUP(MAX(J915/IF(BZ915&gt;0,BZ915,MAX(0.1,N(Cockpit!$I$6))),CC915)/BS915,0)*BS915</f>
        <v>200</v>
      </c>
      <c r="AS915" s="58" t="n">
        <f aca="false">IF(AP915&gt;0,J915/AP915,-1)</f>
        <v>240</v>
      </c>
      <c r="AT915" s="58" t="n">
        <f aca="false">IF(AND(OR(BY915="L1",BY915="L23"),AP915&gt;0),SUMIFS($AP$7:$AP$1843,$BY$7:$BY$1843,BY915,$AS$7:$AS$1843,"&gt;"&amp;AS915)+SUMIFS($AP$7:$AP$1843,$BY$7:$BY$1843,BY915,$AS$7:$AS$1843,AS915,$BQ$7:$BQ$1843,"&lt;="&amp;BQ915),"")</f>
        <v>43.628762541806</v>
      </c>
      <c r="AU915" s="65" t="n">
        <f aca="false">IF(AT915="",0,MAX(0,MIN(1,(IF(BY915="L1",Parameter!$E$5,Parameter!$E$6+Parameter!$E$7)-(AT915-AP915))/AP915)))</f>
        <v>1</v>
      </c>
      <c r="AV915" s="57" t="n">
        <f aca="false">IF(LEFT(Cockpit!$O$5,1)="A",H915,IF(CA915=1,CB915,IF(LEFT(Cockpit!$O$5,1)="B",AZ915,MAX(AZ915,H915))))</f>
        <v>200</v>
      </c>
      <c r="AW915" s="57" t="n">
        <f aca="false">IF(BT915=1,0,ROUNDUP(AV915/BS915,0))</f>
        <v>2</v>
      </c>
      <c r="AX915" s="59" t="n">
        <f aca="false">IF(CH915&gt;0,CH915*MAX(1,AV915/X915),IF(BT915=1,IF(AV915&lt;=0,0,BW915*MAX(1,IF(H915&gt;0,AV915/H915,1))),IF(R915&gt;0,AW915/R915,0))/MAX(0.1,N(Parameter!$M$21)))</f>
        <v>0.666666666666667</v>
      </c>
      <c r="AY915" s="57" t="n">
        <f aca="false">AV915*G915</f>
        <v>418</v>
      </c>
      <c r="AZ915" s="57" t="n">
        <f aca="false">ROUNDUP(MAX(J915/IF(BZ915&gt;0,BZ915,MAX(0.1,N(Cockpit!$O$6))),CC915)/BS915,0)*BS915</f>
        <v>200</v>
      </c>
      <c r="BA915" s="58" t="n">
        <f aca="false">IF(AX915&gt;0,J915/AX915,-1)</f>
        <v>240</v>
      </c>
      <c r="BB915" s="58" t="n">
        <f aca="false">IF(AND(OR(BY915="L1",BY915="L23"),AX915&gt;0),SUMIFS($AX$7:$AX$1843,$BY$7:$BY$1843,BY915,$BA$7:$BA$1843,"&gt;"&amp;BA915)+SUMIFS($AX$7:$AX$1843,$BY$7:$BY$1843,BY915,$BA$7:$BA$1843,BA915,$BQ$7:$BQ$1843,"&lt;="&amp;BQ915),"")</f>
        <v>40.8752660383095</v>
      </c>
      <c r="BC915" s="65" t="n">
        <f aca="false">IF(BB915="",0,MAX(0,MIN(1,(IF(BY915="L1",Parameter!$E$5,Parameter!$E$6+Parameter!$E$7)-(BB915-AX915))/AX915)))</f>
        <v>1</v>
      </c>
      <c r="BD915" s="55" t="str">
        <f aca="false">IF(AH915&lt;=0,"",IF(BY915="Aussen","Aussenlager",IF(BY915="-","Nicht im Lift",IF(AM915&gt;=1,"Lift",IF(AM915&lt;=0,"Aussenlager","teilweise")))))</f>
        <v>Lift</v>
      </c>
      <c r="BE915" s="55" t="str">
        <f aca="false">IF(AP915&lt;=0,"",IF(BY915="Aussen","Aussenlager",IF(BY915="-","Nicht im Lift",IF(AU915&gt;=1,"Lift",IF(AU915&lt;=0,"Aussenlager","teilweise")))))</f>
        <v>Lift</v>
      </c>
      <c r="BF915" s="55" t="str">
        <f aca="false">IF(AX915&lt;=0,"",IF(BY915="Aussen","Aussenlager",IF(BY915="-","Nicht im Lift",IF(BC915&gt;=1,"Lift",IF(BC915&lt;=0,"Aussenlager","teilweise")))))</f>
        <v>Lift</v>
      </c>
      <c r="BG915" s="55" t="str">
        <f aca="false">IF(A915="","",IF(BP915=1,"Neu; ","")&amp;IF(AND(BP915=0,BK915&lt;0),"negativer Bestand (Export "&amp;BK915&amp;"); ","")&amp;IF(J915&lt;=0,"Kein Verbrauch; ","")&amp;IF(CH915&gt;0,"Lift "&amp;W915&amp;" lt. Liftbericht (Fach "&amp;X915&amp;" Stk); ",IF(BU915=1,"Gebinde geschätzt ("&amp;T915&amp;"); ",IF(BT915=1,"Lose – Tablare geschätzt; ","")))&amp;IF(H915&gt;AR915,"Überbestand "&amp;ROUND(H915-AR915,0)&amp;" Stk / CHF "&amp;ROUND((H915-AR915)*G915,0)&amp;"; ","")&amp;IF(AND(CA915=1,CB915&lt;CC915),"MAX &lt; MB+LG; ","")&amp;IF(AND(CG915&gt;0,CF915*10&gt;CG915),"zu hoch für Tablar; ","")&amp;IF(AND(BP915=0,OR(CA915=1,AA915&lt;&gt;"",U915&lt;&gt;"",V915&lt;&gt;"",AB915&lt;&gt;"")),"manuell übersteuert; ","")&amp;IF(AND(BT915=0,R915=0),"Gebinde unbekannt / Stellmass fehlt; ","")&amp;IF(AND(BT915=0,N(V915)&lt;=0,N(Q915)&lt;=0),"Menge pro Gebinde fehlt (Ist = 1 Gebinde); ","")&amp;BO915)</f>
        <v>Gebinde geschätzt (Gross); Menge pro Gebinde fehlt (Ist = 1 Gebinde); </v>
      </c>
      <c r="BH915" s="55"/>
      <c r="BI915" s="55"/>
      <c r="BJ915" s="62"/>
      <c r="BK915" s="57" t="n">
        <v>0</v>
      </c>
      <c r="BL915" s="57" t="n">
        <v>100</v>
      </c>
      <c r="BM915" s="56" t="n">
        <v>-40</v>
      </c>
      <c r="BN915" s="57" t="n">
        <v>160</v>
      </c>
      <c r="BO915" s="55"/>
      <c r="BP915" s="60" t="n">
        <v>0</v>
      </c>
      <c r="BQ915" s="60" t="n">
        <v>915</v>
      </c>
      <c r="BR915" s="55" t="str">
        <f aca="false">IF(U915&lt;&gt;"",UPPER(TRIM(U915)),IF(BU915=1,UPPER(VLOOKUP(T915,Parameter!$I$27:$K$29,2,0)),IF(P915="","LOSE",P915)))</f>
        <v>S81</v>
      </c>
      <c r="BS915" s="57" t="n">
        <f aca="false">IF(BR915="LOSE",1,IF(N(V915)&gt;0,V915,IF(BU915=1,MAX(1,N(VLOOKUP(T915,Parameter!$I$27:$K$29,3,0)),H915,N(N915)),IF(N(Q915)&gt;0,Q915,MAX(1,H915)))))</f>
        <v>100</v>
      </c>
      <c r="BT915" s="60" t="n">
        <f aca="false">IF(BR915="LOSE",1,0)</f>
        <v>0</v>
      </c>
      <c r="BU915" s="60" t="n">
        <f aca="false">IF(AND(U915="",OR(P915="",P915="LOSE"),T915&lt;&gt;"",N(S915)&lt;=0,ISNUMBER(MATCH(T915,Parameter!$I$27:$I$29,0))),1,0)</f>
        <v>1</v>
      </c>
      <c r="BV915" s="55" t="str">
        <f aca="false">IF(AND(Parameter!$B$19="Ja",E915&lt;&gt;"",ISNUMBER(MATCH(E915,Parameter!$I$35:$I$52,0))),VLOOKUP(E915,Parameter!$I$35:$J$52,2,0),IFERROR(VLOOKUP(D915,Parameter!$A$35:$C$64,2,0),"Nein"))</f>
        <v>2+3</v>
      </c>
      <c r="BW915" s="59" t="n">
        <f aca="false">IF(BT915=0,0,IF(N(S915)&gt;0,S915,IFERROR(VLOOKUP(D915,Parameter!$A$35:$C$64,3,0)+0,0)))</f>
        <v>0</v>
      </c>
      <c r="BX915" s="55" t="n">
        <f aca="false">IF(AA915&lt;&gt;"",AA915,Z915)</f>
        <v>2</v>
      </c>
      <c r="BY915" s="55" t="str">
        <f aca="false">IF(BX915=1,"L1",IF(OR(BX915=2,BX915=3),"L23",IF(BX915="Aussen","Aussen","-")))</f>
        <v>L23</v>
      </c>
      <c r="BZ915" s="66" t="n">
        <f aca="false">IF(N(AB915)&gt;0,AB915,0)</f>
        <v>0</v>
      </c>
      <c r="CA915" s="60" t="n">
        <f aca="false">IF(ISNUMBER(AE915),1,0)</f>
        <v>0</v>
      </c>
      <c r="CB915" s="57" t="n">
        <f aca="false">N(AE915)</f>
        <v>0</v>
      </c>
      <c r="CC915" s="57" t="n">
        <f aca="false">N(M915)+N(N915)</f>
        <v>125</v>
      </c>
      <c r="CD915" s="57" t="n">
        <f aca="false">ROUNDUP(H915/BS915,0)</f>
        <v>1</v>
      </c>
      <c r="CE915" s="57" t="n">
        <f aca="false">ROUNDUP(CB915/BS915,0)</f>
        <v>0</v>
      </c>
      <c r="CF915" s="60" t="n">
        <f aca="false">IF(BT915=1,0,IFERROR(VLOOKUP(BR915,'Gebinde-Kategorie'!$A$5:$M$45,5,0)+0,0))</f>
        <v>20</v>
      </c>
      <c r="CG915" s="60" t="n">
        <f aca="false">IFERROR(IF(OR(BX915=1,BX915=2,BX915=3),N(INDEX(Parameter!$I$5:$I$7,BX915)),0),0)</f>
        <v>0</v>
      </c>
      <c r="CH915" s="59" t="n">
        <f aca="false">IF(AND(Parameter!$B$21="Ja",ISNUMBER(W915),N(X915)&gt;0),IFERROR(N(INDEX(Parameter!$L$5:$L$7,W915))*INDEX(Parameter!$E$5:$E$7,W915)*X915/SUMIFS($X$7:$X$1843,$W$7:$W$1843,W915),0),0)</f>
        <v>0</v>
      </c>
    </row>
    <row r="916" customFormat="false" ht="15" hidden="false" customHeight="false" outlineLevel="0" collapsed="false">
      <c r="A916" s="55" t="s">
        <v>1715</v>
      </c>
      <c r="B916" s="55" t="s">
        <v>1716</v>
      </c>
      <c r="C916" s="55" t="s">
        <v>164</v>
      </c>
      <c r="D916" s="55" t="s">
        <v>184</v>
      </c>
      <c r="E916" s="55" t="s">
        <v>185</v>
      </c>
      <c r="F916" s="55" t="s">
        <v>218</v>
      </c>
      <c r="G916" s="56" t="n">
        <v>14.19</v>
      </c>
      <c r="H916" s="57" t="n">
        <f aca="false">MAX(0,IF(AND(Parameter!$B$21="Ja",ISNUMBER(Y916)),Y916,IF(Parameter!$B$20="Jahresanfang 2025 + Export",BL916+BK916,BK916)))</f>
        <v>32.3</v>
      </c>
      <c r="I916" s="57" t="n">
        <f aca="false">H916*G916</f>
        <v>458.337</v>
      </c>
      <c r="J916" s="57" t="n">
        <f aca="false">BN916*Parameter!$B$18</f>
        <v>0.3</v>
      </c>
      <c r="K916" s="58" t="n">
        <v>44.9</v>
      </c>
      <c r="L916" s="59" t="n">
        <v>0.0066815144766147</v>
      </c>
      <c r="M916" s="57" t="n">
        <v>0</v>
      </c>
      <c r="N916" s="57" t="n">
        <v>1</v>
      </c>
      <c r="O916" s="60" t="n">
        <v>21</v>
      </c>
      <c r="P916" s="55" t="s">
        <v>302</v>
      </c>
      <c r="Q916" s="57" t="n">
        <v>35</v>
      </c>
      <c r="R916" s="60" t="n">
        <f aca="false">IF(BT916=1,0,IFERROR(VLOOKUP(BR916,'Gebinde-Kategorie'!$A$5:$M$45,13,0)+0,0))</f>
        <v>26</v>
      </c>
      <c r="S916" s="61"/>
      <c r="T916" s="62"/>
      <c r="U916" s="62"/>
      <c r="V916" s="62"/>
      <c r="W916" s="55"/>
      <c r="X916" s="57"/>
      <c r="Y916" s="57"/>
      <c r="Z916" s="55" t="n">
        <f aca="false">IF(A916="","",IF(AND(Parameter!$B$21="Ja",ISNUMBER(W916)),W916,IF(BV916="2+3",IF(ISNUMBER(SEARCH("grosser Artikel",BO916)),2,IFERROR(VLOOKUP(BR916,Parameter!$F$35:$G$64,2,0),2)),IF(OR(BV916="Nein",BV916=""),"-",BV916))))</f>
        <v>3</v>
      </c>
      <c r="AA916" s="62"/>
      <c r="AB916" s="63"/>
      <c r="AC916" s="57" t="n">
        <f aca="false">AR916</f>
        <v>35</v>
      </c>
      <c r="AD916" s="57" t="n">
        <f aca="false">MAX(AR916,H916)</f>
        <v>35</v>
      </c>
      <c r="AE916" s="64"/>
      <c r="AF916" s="57" t="n">
        <f aca="false">IF(LEFT(Cockpit!$C$5,1)="A",H916,IF(CA916=1,CB916,IF(LEFT(Cockpit!$C$5,1)="B",AJ916,MAX(AJ916,H916))))</f>
        <v>32.3</v>
      </c>
      <c r="AG916" s="57" t="n">
        <f aca="false">IF(BT916=1,0,ROUNDUP(AF916/BS916,0))</f>
        <v>1</v>
      </c>
      <c r="AH916" s="59" t="n">
        <f aca="false">IF(CH916&gt;0,CH916*MAX(1,AF916/X916),IF(BT916=1,IF(AF916&lt;=0,0,BW916*MAX(1,IF(H916&gt;0,AF916/H916,1))),IF(R916&gt;0,AG916/R916,0))/MAX(0.1,N(Parameter!$M$21)))</f>
        <v>0.0384615384615385</v>
      </c>
      <c r="AI916" s="57" t="n">
        <f aca="false">AF916*G916</f>
        <v>458.337</v>
      </c>
      <c r="AJ916" s="57" t="n">
        <f aca="false">ROUNDUP(MAX(J916/IF(BZ916&gt;0,BZ916,MAX(0.1,N(Cockpit!$C$6))),CC916)/BS916,0)*BS916</f>
        <v>35</v>
      </c>
      <c r="AK916" s="58" t="n">
        <f aca="false">IF(AH916&gt;0,J916/AH916,-1)</f>
        <v>7.8</v>
      </c>
      <c r="AL916" s="58" t="n">
        <f aca="false">IF(AND(OR(BY916="L1",BY916="L23"),AH916&gt;0),SUMIFS($AH$7:$AH$1843,$BY$7:$BY$1843,BY916,$AK$7:$AK$1843,"&gt;"&amp;AK916)+SUMIFS($AH$7:$AH$1843,$BY$7:$BY$1843,BY916,$AK$7:$AK$1843,AK916,$BQ$7:$BQ$1843,"&lt;="&amp;BQ916),"")</f>
        <v>55.4792067835546</v>
      </c>
      <c r="AM916" s="65" t="n">
        <f aca="false">IF(AL916="",0,MAX(0,MIN(1,(IF(BY916="L1",Parameter!$E$5,Parameter!$E$6+Parameter!$E$7)-(AL916-AH916))/AH916)))</f>
        <v>1</v>
      </c>
      <c r="AN916" s="57" t="n">
        <f aca="false">IF(LEFT(Cockpit!$I$5,1)="A",H916,IF(CA916=1,CB916,IF(LEFT(Cockpit!$I$5,1)="B",AR916,MAX(AR916,H916))))</f>
        <v>35</v>
      </c>
      <c r="AO916" s="57" t="n">
        <f aca="false">IF(BT916=1,0,ROUNDUP(AN916/BS916,0))</f>
        <v>1</v>
      </c>
      <c r="AP916" s="59" t="n">
        <f aca="false">IF(CH916&gt;0,CH916*MAX(1,AN916/X916),IF(BT916=1,IF(AN916&lt;=0,0,BW916*MAX(1,IF(H916&gt;0,AN916/H916,1))),IF(R916&gt;0,AO916/R916,0))/MAX(0.1,N(Parameter!$M$21)))</f>
        <v>0.0384615384615385</v>
      </c>
      <c r="AQ916" s="57" t="n">
        <f aca="false">AN916*G916</f>
        <v>496.65</v>
      </c>
      <c r="AR916" s="57" t="n">
        <f aca="false">ROUNDUP(MAX(J916/IF(BZ916&gt;0,BZ916,MAX(0.1,N(Cockpit!$I$6))),CC916)/BS916,0)*BS916</f>
        <v>35</v>
      </c>
      <c r="AS916" s="58" t="n">
        <f aca="false">IF(AP916&gt;0,J916/AP916,-1)</f>
        <v>7.8</v>
      </c>
      <c r="AT916" s="58" t="n">
        <f aca="false">IF(AND(OR(BY916="L1",BY916="L23"),AP916&gt;0),SUMIFS($AP$7:$AP$1843,$BY$7:$BY$1843,BY916,$AS$7:$AS$1843,"&gt;"&amp;AS916)+SUMIFS($AP$7:$AP$1843,$BY$7:$BY$1843,BY916,$AS$7:$AS$1843,AS916,$BQ$7:$BQ$1843,"&lt;="&amp;BQ916),"")</f>
        <v>92.4033309685484</v>
      </c>
      <c r="AU916" s="65" t="n">
        <f aca="false">IF(AT916="",0,MAX(0,MIN(1,(IF(BY916="L1",Parameter!$E$5,Parameter!$E$6+Parameter!$E$7)-(AT916-AP916))/AP916)))</f>
        <v>1</v>
      </c>
      <c r="AV916" s="57" t="n">
        <f aca="false">IF(LEFT(Cockpit!$O$5,1)="A",H916,IF(CA916=1,CB916,IF(LEFT(Cockpit!$O$5,1)="B",AZ916,MAX(AZ916,H916))))</f>
        <v>35</v>
      </c>
      <c r="AW916" s="57" t="n">
        <f aca="false">IF(BT916=1,0,ROUNDUP(AV916/BS916,0))</f>
        <v>1</v>
      </c>
      <c r="AX916" s="59" t="n">
        <f aca="false">IF(CH916&gt;0,CH916*MAX(1,AV916/X916),IF(BT916=1,IF(AV916&lt;=0,0,BW916*MAX(1,IF(H916&gt;0,AV916/H916,1))),IF(R916&gt;0,AW916/R916,0))/MAX(0.1,N(Parameter!$M$21)))</f>
        <v>0.0384615384615385</v>
      </c>
      <c r="AY916" s="57" t="n">
        <f aca="false">AV916*G916</f>
        <v>496.65</v>
      </c>
      <c r="AZ916" s="57" t="n">
        <f aca="false">ROUNDUP(MAX(J916/IF(BZ916&gt;0,BZ916,MAX(0.1,N(Cockpit!$O$6))),CC916)/BS916,0)*BS916</f>
        <v>35</v>
      </c>
      <c r="BA916" s="58" t="n">
        <f aca="false">IF(AX916&gt;0,J916/AX916,-1)</f>
        <v>7.8</v>
      </c>
      <c r="BB916" s="58" t="n">
        <f aca="false">IF(AND(OR(BY916="L1",BY916="L23"),AX916&gt;0),SUMIFS($AX$7:$AX$1843,$BY$7:$BY$1843,BY916,$BA$7:$BA$1843,"&gt;"&amp;BA916)+SUMIFS($AX$7:$AX$1843,$BY$7:$BY$1843,BY916,$BA$7:$BA$1843,BA916,$BQ$7:$BQ$1843,"&lt;="&amp;BQ916),"")</f>
        <v>83.2331677983852</v>
      </c>
      <c r="BC916" s="65" t="n">
        <f aca="false">IF(BB916="",0,MAX(0,MIN(1,(IF(BY916="L1",Parameter!$E$5,Parameter!$E$6+Parameter!$E$7)-(BB916-AX916))/AX916)))</f>
        <v>1</v>
      </c>
      <c r="BD916" s="55" t="str">
        <f aca="false">IF(AH916&lt;=0,"",IF(BY916="Aussen","Aussenlager",IF(BY916="-","Nicht im Lift",IF(AM916&gt;=1,"Lift",IF(AM916&lt;=0,"Aussenlager","teilweise")))))</f>
        <v>Lift</v>
      </c>
      <c r="BE916" s="55" t="str">
        <f aca="false">IF(AP916&lt;=0,"",IF(BY916="Aussen","Aussenlager",IF(BY916="-","Nicht im Lift",IF(AU916&gt;=1,"Lift",IF(AU916&lt;=0,"Aussenlager","teilweise")))))</f>
        <v>Lift</v>
      </c>
      <c r="BF916" s="55" t="str">
        <f aca="false">IF(AX916&lt;=0,"",IF(BY916="Aussen","Aussenlager",IF(BY916="-","Nicht im Lift",IF(BC916&gt;=1,"Lift",IF(BC916&lt;=0,"Aussenlager","teilweise")))))</f>
        <v>Lift</v>
      </c>
      <c r="BG916" s="55" t="str">
        <f aca="false">IF(A916="","",IF(BP916=1,"Neu; ","")&amp;IF(AND(BP916=0,BK916&lt;0),"negativer Bestand (Export "&amp;BK916&amp;"); ","")&amp;IF(J916&lt;=0,"Kein Verbrauch; ","")&amp;IF(CH916&gt;0,"Lift "&amp;W916&amp;" lt. Liftbericht (Fach "&amp;X916&amp;" Stk); ",IF(BU916=1,"Gebinde geschätzt ("&amp;T916&amp;"); ",IF(BT916=1,"Lose – Tablare geschätzt; ","")))&amp;IF(H916&gt;AR916,"Überbestand "&amp;ROUND(H916-AR916,0)&amp;" Stk / CHF "&amp;ROUND((H916-AR916)*G916,0)&amp;"; ","")&amp;IF(AND(CA916=1,CB916&lt;CC916),"MAX &lt; MB+LG; ","")&amp;IF(AND(CG916&gt;0,CF916*10&gt;CG916),"zu hoch für Tablar; ","")&amp;IF(AND(BP916=0,OR(CA916=1,AA916&lt;&gt;"",U916&lt;&gt;"",V916&lt;&gt;"",AB916&lt;&gt;"")),"manuell übersteuert; ","")&amp;IF(AND(BT916=0,R916=0),"Gebinde unbekannt / Stellmass fehlt; ","")&amp;IF(AND(BT916=0,N(V916)&lt;=0,N(Q916)&lt;=0),"Menge pro Gebinde fehlt (Ist = 1 Gebinde); ","")&amp;BO916)</f>
        <v>negativer Bestand (Export -2.9); </v>
      </c>
      <c r="BH916" s="55"/>
      <c r="BI916" s="55"/>
      <c r="BJ916" s="62"/>
      <c r="BK916" s="57" t="n">
        <v>-2.9</v>
      </c>
      <c r="BL916" s="57" t="n">
        <v>35.2</v>
      </c>
      <c r="BM916" s="56" t="n">
        <v>-41.15</v>
      </c>
      <c r="BN916" s="57" t="n">
        <v>0.3</v>
      </c>
      <c r="BO916" s="55"/>
      <c r="BP916" s="60" t="n">
        <v>0</v>
      </c>
      <c r="BQ916" s="60" t="n">
        <v>916</v>
      </c>
      <c r="BR916" s="55" t="str">
        <f aca="false">IF(U916&lt;&gt;"",UPPER(TRIM(U916)),IF(BU916=1,UPPER(VLOOKUP(T916,Parameter!$I$27:$K$29,2,0)),IF(P916="","LOSE",P916)))</f>
        <v>S51</v>
      </c>
      <c r="BS916" s="57" t="n">
        <f aca="false">IF(BR916="LOSE",1,IF(N(V916)&gt;0,V916,IF(BU916=1,MAX(1,N(VLOOKUP(T916,Parameter!$I$27:$K$29,3,0)),H916,N(N916)),IF(N(Q916)&gt;0,Q916,MAX(1,H916)))))</f>
        <v>35</v>
      </c>
      <c r="BT916" s="60" t="n">
        <f aca="false">IF(BR916="LOSE",1,0)</f>
        <v>0</v>
      </c>
      <c r="BU916" s="60" t="n">
        <f aca="false">IF(AND(U916="",OR(P916="",P916="LOSE"),T916&lt;&gt;"",N(S916)&lt;=0,ISNUMBER(MATCH(T916,Parameter!$I$27:$I$29,0))),1,0)</f>
        <v>0</v>
      </c>
      <c r="BV916" s="55" t="str">
        <f aca="false">IF(AND(Parameter!$B$19="Ja",E916&lt;&gt;"",ISNUMBER(MATCH(E916,Parameter!$I$35:$I$52,0))),VLOOKUP(E916,Parameter!$I$35:$J$52,2,0),IFERROR(VLOOKUP(D916,Parameter!$A$35:$C$64,2,0),"Nein"))</f>
        <v>2+3</v>
      </c>
      <c r="BW916" s="59" t="n">
        <f aca="false">IF(BT916=0,0,IF(N(S916)&gt;0,S916,IFERROR(VLOOKUP(D916,Parameter!$A$35:$C$64,3,0)+0,0)))</f>
        <v>0</v>
      </c>
      <c r="BX916" s="55" t="n">
        <f aca="false">IF(AA916&lt;&gt;"",AA916,Z916)</f>
        <v>3</v>
      </c>
      <c r="BY916" s="55" t="str">
        <f aca="false">IF(BX916=1,"L1",IF(OR(BX916=2,BX916=3),"L23",IF(BX916="Aussen","Aussen","-")))</f>
        <v>L23</v>
      </c>
      <c r="BZ916" s="66" t="n">
        <f aca="false">IF(N(AB916)&gt;0,AB916,0)</f>
        <v>0</v>
      </c>
      <c r="CA916" s="60" t="n">
        <f aca="false">IF(ISNUMBER(AE916),1,0)</f>
        <v>0</v>
      </c>
      <c r="CB916" s="57" t="n">
        <f aca="false">N(AE916)</f>
        <v>0</v>
      </c>
      <c r="CC916" s="57" t="n">
        <f aca="false">N(M916)+N(N916)</f>
        <v>1</v>
      </c>
      <c r="CD916" s="57" t="n">
        <f aca="false">ROUNDUP(H916/BS916,0)</f>
        <v>1</v>
      </c>
      <c r="CE916" s="57" t="n">
        <f aca="false">ROUNDUP(CB916/BS916,0)</f>
        <v>0</v>
      </c>
      <c r="CF916" s="60" t="n">
        <f aca="false">IF(BT916=1,0,IFERROR(VLOOKUP(BR916,'Gebinde-Kategorie'!$A$5:$M$45,5,0)+0,0))</f>
        <v>11</v>
      </c>
      <c r="CG916" s="60" t="n">
        <f aca="false">IFERROR(IF(OR(BX916=1,BX916=2,BX916=3),N(INDEX(Parameter!$I$5:$I$7,BX916)),0),0)</f>
        <v>0</v>
      </c>
      <c r="CH916" s="59" t="n">
        <f aca="false">IF(AND(Parameter!$B$21="Ja",ISNUMBER(W916),N(X916)&gt;0),IFERROR(N(INDEX(Parameter!$L$5:$L$7,W916))*INDEX(Parameter!$E$5:$E$7,W916)*X916/SUMIFS($X$7:$X$1843,$W$7:$W$1843,W916),0),0)</f>
        <v>0</v>
      </c>
    </row>
    <row r="917" customFormat="false" ht="15" hidden="false" customHeight="false" outlineLevel="0" collapsed="false">
      <c r="A917" s="55" t="s">
        <v>1717</v>
      </c>
      <c r="B917" s="55" t="s">
        <v>1290</v>
      </c>
      <c r="C917" s="55" t="s">
        <v>164</v>
      </c>
      <c r="D917" s="55" t="s">
        <v>184</v>
      </c>
      <c r="E917" s="55" t="s">
        <v>185</v>
      </c>
      <c r="F917" s="55" t="s">
        <v>218</v>
      </c>
      <c r="G917" s="56" t="n">
        <v>1.1</v>
      </c>
      <c r="H917" s="57" t="n">
        <f aca="false">MAX(0,IF(AND(Parameter!$B$21="Ja",ISNUMBER(Y917)),Y917,IF(Parameter!$B$20="Jahresanfang 2025 + Export",BL917+BK917,BK917)))</f>
        <v>87</v>
      </c>
      <c r="I917" s="57" t="n">
        <f aca="false">H917*G917</f>
        <v>95.7</v>
      </c>
      <c r="J917" s="57" t="n">
        <f aca="false">BN917*Parameter!$B$18</f>
        <v>27</v>
      </c>
      <c r="K917" s="58" t="n">
        <v>116.5</v>
      </c>
      <c r="L917" s="59" t="n">
        <v>0.231759656652361</v>
      </c>
      <c r="M917" s="57" t="n">
        <v>1</v>
      </c>
      <c r="N917" s="57" t="n">
        <v>25</v>
      </c>
      <c r="O917" s="60" t="n">
        <v>21</v>
      </c>
      <c r="P917" s="55" t="s">
        <v>226</v>
      </c>
      <c r="Q917" s="57" t="n">
        <v>179</v>
      </c>
      <c r="R917" s="60" t="n">
        <f aca="false">IF(BT917=1,0,IFERROR(VLOOKUP(BR917,'Gebinde-Kategorie'!$A$5:$M$45,13,0)+0,0))</f>
        <v>12</v>
      </c>
      <c r="S917" s="61"/>
      <c r="T917" s="62"/>
      <c r="U917" s="62"/>
      <c r="V917" s="62"/>
      <c r="W917" s="55"/>
      <c r="X917" s="57"/>
      <c r="Y917" s="57"/>
      <c r="Z917" s="55" t="n">
        <f aca="false">IF(A917="","",IF(AND(Parameter!$B$21="Ja",ISNUMBER(W917)),W917,IF(BV917="2+3",IF(ISNUMBER(SEARCH("grosser Artikel",BO917)),2,IFERROR(VLOOKUP(BR917,Parameter!$F$35:$G$64,2,0),2)),IF(OR(BV917="Nein",BV917=""),"-",BV917))))</f>
        <v>2</v>
      </c>
      <c r="AA917" s="62"/>
      <c r="AB917" s="63"/>
      <c r="AC917" s="57" t="n">
        <f aca="false">AR917</f>
        <v>179</v>
      </c>
      <c r="AD917" s="57" t="n">
        <f aca="false">MAX(AR917,H917)</f>
        <v>179</v>
      </c>
      <c r="AE917" s="64"/>
      <c r="AF917" s="57" t="n">
        <f aca="false">IF(LEFT(Cockpit!$C$5,1)="A",H917,IF(CA917=1,CB917,IF(LEFT(Cockpit!$C$5,1)="B",AJ917,MAX(AJ917,H917))))</f>
        <v>87</v>
      </c>
      <c r="AG917" s="57" t="n">
        <f aca="false">IF(BT917=1,0,ROUNDUP(AF917/BS917,0))</f>
        <v>1</v>
      </c>
      <c r="AH917" s="59" t="n">
        <f aca="false">IF(CH917&gt;0,CH917*MAX(1,AF917/X917),IF(BT917=1,IF(AF917&lt;=0,0,BW917*MAX(1,IF(H917&gt;0,AF917/H917,1))),IF(R917&gt;0,AG917/R917,0))/MAX(0.1,N(Parameter!$M$21)))</f>
        <v>0.0833333333333333</v>
      </c>
      <c r="AI917" s="57" t="n">
        <f aca="false">AF917*G917</f>
        <v>95.7</v>
      </c>
      <c r="AJ917" s="57" t="n">
        <f aca="false">ROUNDUP(MAX(J917/IF(BZ917&gt;0,BZ917,MAX(0.1,N(Cockpit!$C$6))),CC917)/BS917,0)*BS917</f>
        <v>179</v>
      </c>
      <c r="AK917" s="58" t="n">
        <f aca="false">IF(AH917&gt;0,J917/AH917,-1)</f>
        <v>324</v>
      </c>
      <c r="AL917" s="58" t="n">
        <f aca="false">IF(AND(OR(BY917="L1",BY917="L23"),AH917&gt;0),SUMIFS($AH$7:$AH$1843,$BY$7:$BY$1843,BY917,$AK$7:$AK$1843,"&gt;"&amp;AK917)+SUMIFS($AH$7:$AH$1843,$BY$7:$BY$1843,BY917,$AK$7:$AK$1843,AK917,$BQ$7:$BQ$1843,"&lt;="&amp;BQ917),"")</f>
        <v>27.9208388230127</v>
      </c>
      <c r="AM917" s="65" t="n">
        <f aca="false">IF(AL917="",0,MAX(0,MIN(1,(IF(BY917="L1",Parameter!$E$5,Parameter!$E$6+Parameter!$E$7)-(AL917-AH917))/AH917)))</f>
        <v>1</v>
      </c>
      <c r="AN917" s="57" t="n">
        <f aca="false">IF(LEFT(Cockpit!$I$5,1)="A",H917,IF(CA917=1,CB917,IF(LEFT(Cockpit!$I$5,1)="B",AR917,MAX(AR917,H917))))</f>
        <v>179</v>
      </c>
      <c r="AO917" s="57" t="n">
        <f aca="false">IF(BT917=1,0,ROUNDUP(AN917/BS917,0))</f>
        <v>1</v>
      </c>
      <c r="AP917" s="59" t="n">
        <f aca="false">IF(CH917&gt;0,CH917*MAX(1,AN917/X917),IF(BT917=1,IF(AN917&lt;=0,0,BW917*MAX(1,IF(H917&gt;0,AN917/H917,1))),IF(R917&gt;0,AO917/R917,0))/MAX(0.1,N(Parameter!$M$21)))</f>
        <v>0.0833333333333333</v>
      </c>
      <c r="AQ917" s="57" t="n">
        <f aca="false">AN917*G917</f>
        <v>196.9</v>
      </c>
      <c r="AR917" s="57" t="n">
        <f aca="false">ROUNDUP(MAX(J917/IF(BZ917&gt;0,BZ917,MAX(0.1,N(Cockpit!$I$6))),CC917)/BS917,0)*BS917</f>
        <v>179</v>
      </c>
      <c r="AS917" s="58" t="n">
        <f aca="false">IF(AP917&gt;0,J917/AP917,-1)</f>
        <v>324</v>
      </c>
      <c r="AT917" s="58" t="n">
        <f aca="false">IF(AND(OR(BY917="L1",BY917="L23"),AP917&gt;0),SUMIFS($AP$7:$AP$1843,$BY$7:$BY$1843,BY917,$AS$7:$AS$1843,"&gt;"&amp;AS917)+SUMIFS($AP$7:$AP$1843,$BY$7:$BY$1843,BY917,$AS$7:$AS$1843,AS917,$BQ$7:$BQ$1843,"&lt;="&amp;BQ917),"")</f>
        <v>40.1444968075403</v>
      </c>
      <c r="AU917" s="65" t="n">
        <f aca="false">IF(AT917="",0,MAX(0,MIN(1,(IF(BY917="L1",Parameter!$E$5,Parameter!$E$6+Parameter!$E$7)-(AT917-AP917))/AP917)))</f>
        <v>1</v>
      </c>
      <c r="AV917" s="57" t="n">
        <f aca="false">IF(LEFT(Cockpit!$O$5,1)="A",H917,IF(CA917=1,CB917,IF(LEFT(Cockpit!$O$5,1)="B",AZ917,MAX(AZ917,H917))))</f>
        <v>179</v>
      </c>
      <c r="AW917" s="57" t="n">
        <f aca="false">IF(BT917=1,0,ROUNDUP(AV917/BS917,0))</f>
        <v>1</v>
      </c>
      <c r="AX917" s="59" t="n">
        <f aca="false">IF(CH917&gt;0,CH917*MAX(1,AV917/X917),IF(BT917=1,IF(AV917&lt;=0,0,BW917*MAX(1,IF(H917&gt;0,AV917/H917,1))),IF(R917&gt;0,AW917/R917,0))/MAX(0.1,N(Parameter!$M$21)))</f>
        <v>0.0833333333333333</v>
      </c>
      <c r="AY917" s="57" t="n">
        <f aca="false">AV917*G917</f>
        <v>196.9</v>
      </c>
      <c r="AZ917" s="57" t="n">
        <f aca="false">ROUNDUP(MAX(J917/IF(BZ917&gt;0,BZ917,MAX(0.1,N(Cockpit!$O$6))),CC917)/BS917,0)*BS917</f>
        <v>179</v>
      </c>
      <c r="BA917" s="58" t="n">
        <f aca="false">IF(AX917&gt;0,J917/AX917,-1)</f>
        <v>324</v>
      </c>
      <c r="BB917" s="58" t="n">
        <f aca="false">IF(AND(OR(BY917="L1",BY917="L23"),AX917&gt;0),SUMIFS($AX$7:$AX$1843,$BY$7:$BY$1843,BY917,$BA$7:$BA$1843,"&gt;"&amp;BA917)+SUMIFS($AX$7:$AX$1843,$BY$7:$BY$1843,BY917,$BA$7:$BA$1843,BA917,$BQ$7:$BQ$1843,"&lt;="&amp;BQ917),"")</f>
        <v>36.4743336373771</v>
      </c>
      <c r="BC917" s="65" t="n">
        <f aca="false">IF(BB917="",0,MAX(0,MIN(1,(IF(BY917="L1",Parameter!$E$5,Parameter!$E$6+Parameter!$E$7)-(BB917-AX917))/AX917)))</f>
        <v>1</v>
      </c>
      <c r="BD917" s="55" t="str">
        <f aca="false">IF(AH917&lt;=0,"",IF(BY917="Aussen","Aussenlager",IF(BY917="-","Nicht im Lift",IF(AM917&gt;=1,"Lift",IF(AM917&lt;=0,"Aussenlager","teilweise")))))</f>
        <v>Lift</v>
      </c>
      <c r="BE917" s="55" t="str">
        <f aca="false">IF(AP917&lt;=0,"",IF(BY917="Aussen","Aussenlager",IF(BY917="-","Nicht im Lift",IF(AU917&gt;=1,"Lift",IF(AU917&lt;=0,"Aussenlager","teilweise")))))</f>
        <v>Lift</v>
      </c>
      <c r="BF917" s="55" t="str">
        <f aca="false">IF(AX917&lt;=0,"",IF(BY917="Aussen","Aussenlager",IF(BY917="-","Nicht im Lift",IF(BC917&gt;=1,"Lift",IF(BC917&lt;=0,"Aussenlager","teilweise")))))</f>
        <v>Lift</v>
      </c>
      <c r="BG917" s="55" t="str">
        <f aca="false">IF(A917="","",IF(BP917=1,"Neu; ","")&amp;IF(AND(BP917=0,BK917&lt;0),"negativer Bestand (Export "&amp;BK917&amp;"); ","")&amp;IF(J917&lt;=0,"Kein Verbrauch; ","")&amp;IF(CH917&gt;0,"Lift "&amp;W917&amp;" lt. Liftbericht (Fach "&amp;X917&amp;" Stk); ",IF(BU917=1,"Gebinde geschätzt ("&amp;T917&amp;"); ",IF(BT917=1,"Lose – Tablare geschätzt; ","")))&amp;IF(H917&gt;AR917,"Überbestand "&amp;ROUND(H917-AR917,0)&amp;" Stk / CHF "&amp;ROUND((H917-AR917)*G917,0)&amp;"; ","")&amp;IF(AND(CA917=1,CB917&lt;CC917),"MAX &lt; MB+LG; ","")&amp;IF(AND(CG917&gt;0,CF917*10&gt;CG917),"zu hoch für Tablar; ","")&amp;IF(AND(BP917=0,OR(CA917=1,AA917&lt;&gt;"",U917&lt;&gt;"",V917&lt;&gt;"",AB917&lt;&gt;"")),"manuell übersteuert; ","")&amp;IF(AND(BT917=0,R917=0),"Gebinde unbekannt / Stellmass fehlt; ","")&amp;IF(AND(BT917=0,N(V917)&lt;=0,N(Q917)&lt;=0),"Menge pro Gebinde fehlt (Ist = 1 Gebinde); ","")&amp;BO917)</f>
        <v>negativer Bestand (Export -38); Neu</v>
      </c>
      <c r="BH917" s="55"/>
      <c r="BI917" s="55"/>
      <c r="BJ917" s="62"/>
      <c r="BK917" s="57" t="n">
        <v>-38</v>
      </c>
      <c r="BL917" s="57" t="n">
        <v>125</v>
      </c>
      <c r="BM917" s="56" t="n">
        <v>-41.8</v>
      </c>
      <c r="BN917" s="57" t="n">
        <v>27</v>
      </c>
      <c r="BO917" s="55" t="s">
        <v>626</v>
      </c>
      <c r="BP917" s="60" t="n">
        <v>0</v>
      </c>
      <c r="BQ917" s="60" t="n">
        <v>917</v>
      </c>
      <c r="BR917" s="55" t="str">
        <f aca="false">IF(U917&lt;&gt;"",UPPER(TRIM(U917)),IF(BU917=1,UPPER(VLOOKUP(T917,Parameter!$I$27:$K$29,2,0)),IF(P917="","LOSE",P917)))</f>
        <v>S63</v>
      </c>
      <c r="BS917" s="57" t="n">
        <f aca="false">IF(BR917="LOSE",1,IF(N(V917)&gt;0,V917,IF(BU917=1,MAX(1,N(VLOOKUP(T917,Parameter!$I$27:$K$29,3,0)),H917,N(N917)),IF(N(Q917)&gt;0,Q917,MAX(1,H917)))))</f>
        <v>179</v>
      </c>
      <c r="BT917" s="60" t="n">
        <f aca="false">IF(BR917="LOSE",1,0)</f>
        <v>0</v>
      </c>
      <c r="BU917" s="60" t="n">
        <f aca="false">IF(AND(U917="",OR(P917="",P917="LOSE"),T917&lt;&gt;"",N(S917)&lt;=0,ISNUMBER(MATCH(T917,Parameter!$I$27:$I$29,0))),1,0)</f>
        <v>0</v>
      </c>
      <c r="BV917" s="55" t="str">
        <f aca="false">IF(AND(Parameter!$B$19="Ja",E917&lt;&gt;"",ISNUMBER(MATCH(E917,Parameter!$I$35:$I$52,0))),VLOOKUP(E917,Parameter!$I$35:$J$52,2,0),IFERROR(VLOOKUP(D917,Parameter!$A$35:$C$64,2,0),"Nein"))</f>
        <v>2+3</v>
      </c>
      <c r="BW917" s="59" t="n">
        <f aca="false">IF(BT917=0,0,IF(N(S917)&gt;0,S917,IFERROR(VLOOKUP(D917,Parameter!$A$35:$C$64,3,0)+0,0)))</f>
        <v>0</v>
      </c>
      <c r="BX917" s="55" t="n">
        <f aca="false">IF(AA917&lt;&gt;"",AA917,Z917)</f>
        <v>2</v>
      </c>
      <c r="BY917" s="55" t="str">
        <f aca="false">IF(BX917=1,"L1",IF(OR(BX917=2,BX917=3),"L23",IF(BX917="Aussen","Aussen","-")))</f>
        <v>L23</v>
      </c>
      <c r="BZ917" s="66" t="n">
        <f aca="false">IF(N(AB917)&gt;0,AB917,0)</f>
        <v>0</v>
      </c>
      <c r="CA917" s="60" t="n">
        <f aca="false">IF(ISNUMBER(AE917),1,0)</f>
        <v>0</v>
      </c>
      <c r="CB917" s="57" t="n">
        <f aca="false">N(AE917)</f>
        <v>0</v>
      </c>
      <c r="CC917" s="57" t="n">
        <f aca="false">N(M917)+N(N917)</f>
        <v>26</v>
      </c>
      <c r="CD917" s="57" t="n">
        <f aca="false">ROUNDUP(H917/BS917,0)</f>
        <v>1</v>
      </c>
      <c r="CE917" s="57" t="n">
        <f aca="false">ROUNDUP(CB917/BS917,0)</f>
        <v>0</v>
      </c>
      <c r="CF917" s="60" t="n">
        <f aca="false">IF(BT917=1,0,IFERROR(VLOOKUP(BR917,'Gebinde-Kategorie'!$A$5:$M$45,5,0)+0,0))</f>
        <v>31</v>
      </c>
      <c r="CG917" s="60" t="n">
        <f aca="false">IFERROR(IF(OR(BX917=1,BX917=2,BX917=3),N(INDEX(Parameter!$I$5:$I$7,BX917)),0),0)</f>
        <v>0</v>
      </c>
      <c r="CH917" s="59" t="n">
        <f aca="false">IF(AND(Parameter!$B$21="Ja",ISNUMBER(W917),N(X917)&gt;0),IFERROR(N(INDEX(Parameter!$L$5:$L$7,W917))*INDEX(Parameter!$E$5:$E$7,W917)*X917/SUMIFS($X$7:$X$1843,$W$7:$W$1843,W917),0),0)</f>
        <v>0</v>
      </c>
    </row>
    <row r="918" customFormat="false" ht="15" hidden="false" customHeight="false" outlineLevel="0" collapsed="false">
      <c r="A918" s="55" t="s">
        <v>1718</v>
      </c>
      <c r="B918" s="55" t="s">
        <v>1719</v>
      </c>
      <c r="C918" s="55" t="s">
        <v>164</v>
      </c>
      <c r="D918" s="55" t="s">
        <v>173</v>
      </c>
      <c r="E918" s="55"/>
      <c r="F918" s="55" t="s">
        <v>218</v>
      </c>
      <c r="G918" s="56" t="n">
        <v>1.05</v>
      </c>
      <c r="H918" s="57" t="n">
        <f aca="false">MAX(0,IF(AND(Parameter!$B$21="Ja",ISNUMBER(Y918)),Y918,IF(Parameter!$B$20="Jahresanfang 2025 + Export",BL918+BK918,BK918)))</f>
        <v>5</v>
      </c>
      <c r="I918" s="57" t="n">
        <f aca="false">H918*G918</f>
        <v>5.25</v>
      </c>
      <c r="J918" s="57" t="n">
        <f aca="false">BN918*Parameter!$B$18</f>
        <v>0</v>
      </c>
      <c r="K918" s="58" t="n">
        <v>25.5</v>
      </c>
      <c r="L918" s="59" t="n">
        <v>0</v>
      </c>
      <c r="M918" s="57" t="n">
        <v>0</v>
      </c>
      <c r="N918" s="57" t="n">
        <v>1</v>
      </c>
      <c r="O918" s="60" t="n">
        <v>35</v>
      </c>
      <c r="P918" s="55" t="s">
        <v>168</v>
      </c>
      <c r="Q918" s="57"/>
      <c r="R918" s="60" t="n">
        <f aca="false">IF(BT918=1,0,IFERROR(VLOOKUP(BR918,'Gebinde-Kategorie'!$A$5:$M$45,13,0)+0,0))</f>
        <v>26</v>
      </c>
      <c r="S918" s="61"/>
      <c r="T918" s="62" t="s">
        <v>275</v>
      </c>
      <c r="U918" s="62"/>
      <c r="V918" s="62"/>
      <c r="W918" s="55"/>
      <c r="X918" s="57"/>
      <c r="Y918" s="57"/>
      <c r="Z918" s="55" t="n">
        <f aca="false">IF(A918="","",IF(AND(Parameter!$B$21="Ja",ISNUMBER(W918)),W918,IF(BV918="2+3",IF(ISNUMBER(SEARCH("grosser Artikel",BO918)),2,IFERROR(VLOOKUP(BR918,Parameter!$F$35:$G$64,2,0),2)),IF(OR(BV918="Nein",BV918=""),"-",BV918))))</f>
        <v>3</v>
      </c>
      <c r="AA918" s="62"/>
      <c r="AB918" s="63"/>
      <c r="AC918" s="57" t="n">
        <f aca="false">AR918</f>
        <v>20</v>
      </c>
      <c r="AD918" s="57" t="n">
        <f aca="false">MAX(AR918,H918)</f>
        <v>20</v>
      </c>
      <c r="AE918" s="64"/>
      <c r="AF918" s="57" t="n">
        <f aca="false">IF(LEFT(Cockpit!$C$5,1)="A",H918,IF(CA918=1,CB918,IF(LEFT(Cockpit!$C$5,1)="B",AJ918,MAX(AJ918,H918))))</f>
        <v>5</v>
      </c>
      <c r="AG918" s="57" t="n">
        <f aca="false">IF(BT918=1,0,ROUNDUP(AF918/BS918,0))</f>
        <v>1</v>
      </c>
      <c r="AH918" s="59" t="n">
        <f aca="false">IF(CH918&gt;0,CH918*MAX(1,AF918/X918),IF(BT918=1,IF(AF918&lt;=0,0,BW918*MAX(1,IF(H918&gt;0,AF918/H918,1))),IF(R918&gt;0,AG918/R918,0))/MAX(0.1,N(Parameter!$M$21)))</f>
        <v>0.0384615384615385</v>
      </c>
      <c r="AI918" s="57" t="n">
        <f aca="false">AF918*G918</f>
        <v>5.25</v>
      </c>
      <c r="AJ918" s="57" t="n">
        <f aca="false">ROUNDUP(MAX(J918/IF(BZ918&gt;0,BZ918,MAX(0.1,N(Cockpit!$C$6))),CC918)/BS918,0)*BS918</f>
        <v>20</v>
      </c>
      <c r="AK918" s="58" t="n">
        <f aca="false">IF(AH918&gt;0,J918/AH918,-1)</f>
        <v>0</v>
      </c>
      <c r="AL918" s="58" t="n">
        <f aca="false">IF(AND(OR(BY918="L1",BY918="L23"),AH918&gt;0),SUMIFS($AH$7:$AH$1843,$BY$7:$BY$1843,BY918,$AK$7:$AK$1843,"&gt;"&amp;AK918)+SUMIFS($AH$7:$AH$1843,$BY$7:$BY$1843,BY918,$AK$7:$AK$1843,AK918,$BQ$7:$BQ$1843,"&lt;="&amp;BQ918),"")</f>
        <v>78.0380139184487</v>
      </c>
      <c r="AM918" s="65" t="n">
        <f aca="false">IF(AL918="",0,MAX(0,MIN(1,(IF(BY918="L1",Parameter!$E$5,Parameter!$E$6+Parameter!$E$7)-(AL918-AH918))/AH918)))</f>
        <v>1</v>
      </c>
      <c r="AN918" s="57" t="n">
        <f aca="false">IF(LEFT(Cockpit!$I$5,1)="A",H918,IF(CA918=1,CB918,IF(LEFT(Cockpit!$I$5,1)="B",AR918,MAX(AR918,H918))))</f>
        <v>20</v>
      </c>
      <c r="AO918" s="57" t="n">
        <f aca="false">IF(BT918=1,0,ROUNDUP(AN918/BS918,0))</f>
        <v>1</v>
      </c>
      <c r="AP918" s="59" t="n">
        <f aca="false">IF(CH918&gt;0,CH918*MAX(1,AN918/X918),IF(BT918=1,IF(AN918&lt;=0,0,BW918*MAX(1,IF(H918&gt;0,AN918/H918,1))),IF(R918&gt;0,AO918/R918,0))/MAX(0.1,N(Parameter!$M$21)))</f>
        <v>0.0384615384615385</v>
      </c>
      <c r="AQ918" s="57" t="n">
        <f aca="false">AN918*G918</f>
        <v>21</v>
      </c>
      <c r="AR918" s="57" t="n">
        <f aca="false">ROUNDUP(MAX(J918/IF(BZ918&gt;0,BZ918,MAX(0.1,N(Cockpit!$I$6))),CC918)/BS918,0)*BS918</f>
        <v>20</v>
      </c>
      <c r="AS918" s="58" t="n">
        <f aca="false">IF(AP918&gt;0,J918/AP918,-1)</f>
        <v>0</v>
      </c>
      <c r="AT918" s="58" t="n">
        <f aca="false">IF(AND(OR(BY918="L1",BY918="L23"),AP918&gt;0),SUMIFS($AP$7:$AP$1843,$BY$7:$BY$1843,BY918,$AS$7:$AS$1843,"&gt;"&amp;AS918)+SUMIFS($AP$7:$AP$1843,$BY$7:$BY$1843,BY918,$AS$7:$AS$1843,AS918,$BQ$7:$BQ$1843,"&lt;="&amp;BQ918),"")</f>
        <v>119.193658998007</v>
      </c>
      <c r="AU918" s="65" t="n">
        <f aca="false">IF(AT918="",0,MAX(0,MIN(1,(IF(BY918="L1",Parameter!$E$5,Parameter!$E$6+Parameter!$E$7)-(AT918-AP918))/AP918)))</f>
        <v>0</v>
      </c>
      <c r="AV918" s="57" t="n">
        <f aca="false">IF(LEFT(Cockpit!$O$5,1)="A",H918,IF(CA918=1,CB918,IF(LEFT(Cockpit!$O$5,1)="B",AZ918,MAX(AZ918,H918))))</f>
        <v>20</v>
      </c>
      <c r="AW918" s="57" t="n">
        <f aca="false">IF(BT918=1,0,ROUNDUP(AV918/BS918,0))</f>
        <v>1</v>
      </c>
      <c r="AX918" s="59" t="n">
        <f aca="false">IF(CH918&gt;0,CH918*MAX(1,AV918/X918),IF(BT918=1,IF(AV918&lt;=0,0,BW918*MAX(1,IF(H918&gt;0,AV918/H918,1))),IF(R918&gt;0,AW918/R918,0))/MAX(0.1,N(Parameter!$M$21)))</f>
        <v>0.0384615384615385</v>
      </c>
      <c r="AY918" s="57" t="n">
        <f aca="false">AV918*G918</f>
        <v>21</v>
      </c>
      <c r="AZ918" s="57" t="n">
        <f aca="false">ROUNDUP(MAX(J918/IF(BZ918&gt;0,BZ918,MAX(0.1,N(Cockpit!$O$6))),CC918)/BS918,0)*BS918</f>
        <v>20</v>
      </c>
      <c r="BA918" s="58" t="n">
        <f aca="false">IF(AX918&gt;0,J918/AX918,-1)</f>
        <v>0</v>
      </c>
      <c r="BB918" s="58" t="n">
        <f aca="false">IF(AND(OR(BY918="L1",BY918="L23"),AX918&gt;0),SUMIFS($AX$7:$AX$1843,$BY$7:$BY$1843,BY918,$BA$7:$BA$1843,"&gt;"&amp;BA918)+SUMIFS($AX$7:$AX$1843,$BY$7:$BY$1843,BY918,$BA$7:$BA$1843,BA918,$BQ$7:$BQ$1843,"&lt;="&amp;BQ918),"")</f>
        <v>110.023495827844</v>
      </c>
      <c r="BC918" s="65" t="n">
        <f aca="false">IF(BB918="",0,MAX(0,MIN(1,(IF(BY918="L1",Parameter!$E$5,Parameter!$E$6+Parameter!$E$7)-(BB918-AX918))/AX918)))</f>
        <v>0</v>
      </c>
      <c r="BD918" s="55" t="str">
        <f aca="false">IF(AH918&lt;=0,"",IF(BY918="Aussen","Aussenlager",IF(BY918="-","Nicht im Lift",IF(AM918&gt;=1,"Lift",IF(AM918&lt;=0,"Aussenlager","teilweise")))))</f>
        <v>Lift</v>
      </c>
      <c r="BE918" s="55" t="str">
        <f aca="false">IF(AP918&lt;=0,"",IF(BY918="Aussen","Aussenlager",IF(BY918="-","Nicht im Lift",IF(AU918&gt;=1,"Lift",IF(AU918&lt;=0,"Aussenlager","teilweise")))))</f>
        <v>Aussenlager</v>
      </c>
      <c r="BF918" s="55" t="str">
        <f aca="false">IF(AX918&lt;=0,"",IF(BY918="Aussen","Aussenlager",IF(BY918="-","Nicht im Lift",IF(BC918&gt;=1,"Lift",IF(BC918&lt;=0,"Aussenlager","teilweise")))))</f>
        <v>Aussenlager</v>
      </c>
      <c r="BG918" s="55" t="str">
        <f aca="false">IF(A918="","",IF(BP918=1,"Neu; ","")&amp;IF(AND(BP918=0,BK918&lt;0),"negativer Bestand (Export "&amp;BK918&amp;"); ","")&amp;IF(J918&lt;=0,"Kein Verbrauch; ","")&amp;IF(CH918&gt;0,"Lift "&amp;W918&amp;" lt. Liftbericht (Fach "&amp;X918&amp;" Stk); ",IF(BU918=1,"Gebinde geschätzt ("&amp;T918&amp;"); ",IF(BT918=1,"Lose – Tablare geschätzt; ","")))&amp;IF(H918&gt;AR918,"Überbestand "&amp;ROUND(H918-AR918,0)&amp;" Stk / CHF "&amp;ROUND((H918-AR918)*G918,0)&amp;"; ","")&amp;IF(AND(CA918=1,CB918&lt;CC918),"MAX &lt; MB+LG; ","")&amp;IF(AND(CG918&gt;0,CF918*10&gt;CG918),"zu hoch für Tablar; ","")&amp;IF(AND(BP918=0,OR(CA918=1,AA918&lt;&gt;"",U918&lt;&gt;"",V918&lt;&gt;"",AB918&lt;&gt;"")),"manuell übersteuert; ","")&amp;IF(AND(BT918=0,R918=0),"Gebinde unbekannt / Stellmass fehlt; ","")&amp;IF(AND(BT918=0,N(V918)&lt;=0,N(Q918)&lt;=0),"Menge pro Gebinde fehlt (Ist = 1 Gebinde); ","")&amp;BO918)</f>
        <v>negativer Bestand (Export -41); Kein Verbrauch; Gebinde geschätzt (Klein); Menge pro Gebinde fehlt (Ist = 1 Gebinde); Neuer Art.</v>
      </c>
      <c r="BH918" s="55"/>
      <c r="BI918" s="55"/>
      <c r="BJ918" s="62"/>
      <c r="BK918" s="57" t="n">
        <v>-41</v>
      </c>
      <c r="BL918" s="57" t="n">
        <v>46</v>
      </c>
      <c r="BM918" s="56" t="n">
        <v>-43.05</v>
      </c>
      <c r="BN918" s="57" t="n">
        <v>0</v>
      </c>
      <c r="BO918" s="55" t="s">
        <v>512</v>
      </c>
      <c r="BP918" s="60" t="n">
        <v>0</v>
      </c>
      <c r="BQ918" s="60" t="n">
        <v>918</v>
      </c>
      <c r="BR918" s="55" t="str">
        <f aca="false">IF(U918&lt;&gt;"",UPPER(TRIM(U918)),IF(BU918=1,UPPER(VLOOKUP(T918,Parameter!$I$27:$K$29,2,0)),IF(P918="","LOSE",P918)))</f>
        <v>S51</v>
      </c>
      <c r="BS918" s="57" t="n">
        <f aca="false">IF(BR918="LOSE",1,IF(N(V918)&gt;0,V918,IF(BU918=1,MAX(1,N(VLOOKUP(T918,Parameter!$I$27:$K$29,3,0)),H918,N(N918)),IF(N(Q918)&gt;0,Q918,MAX(1,H918)))))</f>
        <v>20</v>
      </c>
      <c r="BT918" s="60" t="n">
        <f aca="false">IF(BR918="LOSE",1,0)</f>
        <v>0</v>
      </c>
      <c r="BU918" s="60" t="n">
        <f aca="false">IF(AND(U918="",OR(P918="",P918="LOSE"),T918&lt;&gt;"",N(S918)&lt;=0,ISNUMBER(MATCH(T918,Parameter!$I$27:$I$29,0))),1,0)</f>
        <v>1</v>
      </c>
      <c r="BV918" s="55" t="str">
        <f aca="false">IF(AND(Parameter!$B$19="Ja",E918&lt;&gt;"",ISNUMBER(MATCH(E918,Parameter!$I$35:$I$52,0))),VLOOKUP(E918,Parameter!$I$35:$J$52,2,0),IFERROR(VLOOKUP(D918,Parameter!$A$35:$C$64,2,0),"Nein"))</f>
        <v>2+3</v>
      </c>
      <c r="BW918" s="59" t="n">
        <f aca="false">IF(BT918=0,0,IF(N(S918)&gt;0,S918,IFERROR(VLOOKUP(D918,Parameter!$A$35:$C$64,3,0)+0,0)))</f>
        <v>0</v>
      </c>
      <c r="BX918" s="55" t="n">
        <f aca="false">IF(AA918&lt;&gt;"",AA918,Z918)</f>
        <v>3</v>
      </c>
      <c r="BY918" s="55" t="str">
        <f aca="false">IF(BX918=1,"L1",IF(OR(BX918=2,BX918=3),"L23",IF(BX918="Aussen","Aussen","-")))</f>
        <v>L23</v>
      </c>
      <c r="BZ918" s="66" t="n">
        <f aca="false">IF(N(AB918)&gt;0,AB918,0)</f>
        <v>0</v>
      </c>
      <c r="CA918" s="60" t="n">
        <f aca="false">IF(ISNUMBER(AE918),1,0)</f>
        <v>0</v>
      </c>
      <c r="CB918" s="57" t="n">
        <f aca="false">N(AE918)</f>
        <v>0</v>
      </c>
      <c r="CC918" s="57" t="n">
        <f aca="false">N(M918)+N(N918)</f>
        <v>1</v>
      </c>
      <c r="CD918" s="57" t="n">
        <f aca="false">ROUNDUP(H918/BS918,0)</f>
        <v>1</v>
      </c>
      <c r="CE918" s="57" t="n">
        <f aca="false">ROUNDUP(CB918/BS918,0)</f>
        <v>0</v>
      </c>
      <c r="CF918" s="60" t="n">
        <f aca="false">IF(BT918=1,0,IFERROR(VLOOKUP(BR918,'Gebinde-Kategorie'!$A$5:$M$45,5,0)+0,0))</f>
        <v>11</v>
      </c>
      <c r="CG918" s="60" t="n">
        <f aca="false">IFERROR(IF(OR(BX918=1,BX918=2,BX918=3),N(INDEX(Parameter!$I$5:$I$7,BX918)),0),0)</f>
        <v>0</v>
      </c>
      <c r="CH918" s="59" t="n">
        <f aca="false">IF(AND(Parameter!$B$21="Ja",ISNUMBER(W918),N(X918)&gt;0),IFERROR(N(INDEX(Parameter!$L$5:$L$7,W918))*INDEX(Parameter!$E$5:$E$7,W918)*X918/SUMIFS($X$7:$X$1843,$W$7:$W$1843,W918),0),0)</f>
        <v>0</v>
      </c>
    </row>
    <row r="919" customFormat="false" ht="15" hidden="false" customHeight="false" outlineLevel="0" collapsed="false">
      <c r="A919" s="55" t="s">
        <v>1720</v>
      </c>
      <c r="B919" s="55" t="s">
        <v>1677</v>
      </c>
      <c r="C919" s="55" t="s">
        <v>164</v>
      </c>
      <c r="D919" s="55" t="s">
        <v>184</v>
      </c>
      <c r="E919" s="55"/>
      <c r="F919" s="55" t="s">
        <v>218</v>
      </c>
      <c r="G919" s="56" t="n">
        <v>14.44</v>
      </c>
      <c r="H919" s="57" t="n">
        <f aca="false">MAX(0,IF(AND(Parameter!$B$21="Ja",ISNUMBER(Y919)),Y919,IF(Parameter!$B$20="Jahresanfang 2025 + Export",BL919+BK919,BK919)))</f>
        <v>0</v>
      </c>
      <c r="I919" s="57" t="n">
        <f aca="false">H919*G919</f>
        <v>0</v>
      </c>
      <c r="J919" s="57" t="n">
        <f aca="false">BN919*Parameter!$B$18</f>
        <v>0</v>
      </c>
      <c r="K919" s="58" t="n">
        <v>2.5</v>
      </c>
      <c r="L919" s="59" t="n">
        <v>0</v>
      </c>
      <c r="M919" s="57" t="n">
        <v>0</v>
      </c>
      <c r="N919" s="57" t="n">
        <v>1</v>
      </c>
      <c r="O919" s="60" t="n">
        <v>14</v>
      </c>
      <c r="P919" s="55" t="s">
        <v>168</v>
      </c>
      <c r="Q919" s="57"/>
      <c r="R919" s="60" t="n">
        <f aca="false">IF(BT919=1,0,IFERROR(VLOOKUP(BR919,'Gebinde-Kategorie'!$A$5:$M$45,13,0)+0,0))</f>
        <v>26</v>
      </c>
      <c r="S919" s="61"/>
      <c r="T919" s="62" t="s">
        <v>275</v>
      </c>
      <c r="U919" s="62"/>
      <c r="V919" s="62"/>
      <c r="W919" s="55"/>
      <c r="X919" s="57"/>
      <c r="Y919" s="57"/>
      <c r="Z919" s="55" t="n">
        <f aca="false">IF(A919="","",IF(AND(Parameter!$B$21="Ja",ISNUMBER(W919)),W919,IF(BV919="2+3",IF(ISNUMBER(SEARCH("grosser Artikel",BO919)),2,IFERROR(VLOOKUP(BR919,Parameter!$F$35:$G$64,2,0),2)),IF(OR(BV919="Nein",BV919=""),"-",BV919))))</f>
        <v>3</v>
      </c>
      <c r="AA919" s="62"/>
      <c r="AB919" s="63"/>
      <c r="AC919" s="57" t="n">
        <f aca="false">AR919</f>
        <v>20</v>
      </c>
      <c r="AD919" s="57" t="n">
        <f aca="false">MAX(AR919,H919)</f>
        <v>20</v>
      </c>
      <c r="AE919" s="64"/>
      <c r="AF919" s="57" t="n">
        <f aca="false">IF(LEFT(Cockpit!$C$5,1)="A",H919,IF(CA919=1,CB919,IF(LEFT(Cockpit!$C$5,1)="B",AJ919,MAX(AJ919,H919))))</f>
        <v>0</v>
      </c>
      <c r="AG919" s="57" t="n">
        <f aca="false">IF(BT919=1,0,ROUNDUP(AF919/BS919,0))</f>
        <v>0</v>
      </c>
      <c r="AH919" s="59" t="n">
        <f aca="false">IF(CH919&gt;0,CH919*MAX(1,AF919/X919),IF(BT919=1,IF(AF919&lt;=0,0,BW919*MAX(1,IF(H919&gt;0,AF919/H919,1))),IF(R919&gt;0,AG919/R919,0))/MAX(0.1,N(Parameter!$M$21)))</f>
        <v>0</v>
      </c>
      <c r="AI919" s="57" t="n">
        <f aca="false">AF919*G919</f>
        <v>0</v>
      </c>
      <c r="AJ919" s="57" t="n">
        <f aca="false">ROUNDUP(MAX(J919/IF(BZ919&gt;0,BZ919,MAX(0.1,N(Cockpit!$C$6))),CC919)/BS919,0)*BS919</f>
        <v>20</v>
      </c>
      <c r="AK919" s="58" t="n">
        <f aca="false">IF(AH919&gt;0,J919/AH919,-1)</f>
        <v>-1</v>
      </c>
      <c r="AL919" s="58" t="str">
        <f aca="false">IF(AND(OR(BY919="L1",BY919="L23"),AH919&gt;0),SUMIFS($AH$7:$AH$1843,$BY$7:$BY$1843,BY919,$AK$7:$AK$1843,"&gt;"&amp;AK919)+SUMIFS($AH$7:$AH$1843,$BY$7:$BY$1843,BY919,$AK$7:$AK$1843,AK919,$BQ$7:$BQ$1843,"&lt;="&amp;BQ919),"")</f>
        <v/>
      </c>
      <c r="AM919" s="65" t="n">
        <f aca="false">IF(AL919="",0,MAX(0,MIN(1,(IF(BY919="L1",Parameter!$E$5,Parameter!$E$6+Parameter!$E$7)-(AL919-AH919))/AH919)))</f>
        <v>0</v>
      </c>
      <c r="AN919" s="57" t="n">
        <f aca="false">IF(LEFT(Cockpit!$I$5,1)="A",H919,IF(CA919=1,CB919,IF(LEFT(Cockpit!$I$5,1)="B",AR919,MAX(AR919,H919))))</f>
        <v>20</v>
      </c>
      <c r="AO919" s="57" t="n">
        <f aca="false">IF(BT919=1,0,ROUNDUP(AN919/BS919,0))</f>
        <v>1</v>
      </c>
      <c r="AP919" s="59" t="n">
        <f aca="false">IF(CH919&gt;0,CH919*MAX(1,AN919/X919),IF(BT919=1,IF(AN919&lt;=0,0,BW919*MAX(1,IF(H919&gt;0,AN919/H919,1))),IF(R919&gt;0,AO919/R919,0))/MAX(0.1,N(Parameter!$M$21)))</f>
        <v>0.0384615384615385</v>
      </c>
      <c r="AQ919" s="57" t="n">
        <f aca="false">AN919*G919</f>
        <v>288.8</v>
      </c>
      <c r="AR919" s="57" t="n">
        <f aca="false">ROUNDUP(MAX(J919/IF(BZ919&gt;0,BZ919,MAX(0.1,N(Cockpit!$I$6))),CC919)/BS919,0)*BS919</f>
        <v>20</v>
      </c>
      <c r="AS919" s="58" t="n">
        <f aca="false">IF(AP919&gt;0,J919/AP919,-1)</f>
        <v>0</v>
      </c>
      <c r="AT919" s="58" t="n">
        <f aca="false">IF(AND(OR(BY919="L1",BY919="L23"),AP919&gt;0),SUMIFS($AP$7:$AP$1843,$BY$7:$BY$1843,BY919,$AS$7:$AS$1843,"&gt;"&amp;AS919)+SUMIFS($AP$7:$AP$1843,$BY$7:$BY$1843,BY919,$AS$7:$AS$1843,AS919,$BQ$7:$BQ$1843,"&lt;="&amp;BQ919),"")</f>
        <v>119.232120536468</v>
      </c>
      <c r="AU919" s="65" t="n">
        <f aca="false">IF(AT919="",0,MAX(0,MIN(1,(IF(BY919="L1",Parameter!$E$5,Parameter!$E$6+Parameter!$E$7)-(AT919-AP919))/AP919)))</f>
        <v>0</v>
      </c>
      <c r="AV919" s="57" t="n">
        <f aca="false">IF(LEFT(Cockpit!$O$5,1)="A",H919,IF(CA919=1,CB919,IF(LEFT(Cockpit!$O$5,1)="B",AZ919,MAX(AZ919,H919))))</f>
        <v>20</v>
      </c>
      <c r="AW919" s="57" t="n">
        <f aca="false">IF(BT919=1,0,ROUNDUP(AV919/BS919,0))</f>
        <v>1</v>
      </c>
      <c r="AX919" s="59" t="n">
        <f aca="false">IF(CH919&gt;0,CH919*MAX(1,AV919/X919),IF(BT919=1,IF(AV919&lt;=0,0,BW919*MAX(1,IF(H919&gt;0,AV919/H919,1))),IF(R919&gt;0,AW919/R919,0))/MAX(0.1,N(Parameter!$M$21)))</f>
        <v>0.0384615384615385</v>
      </c>
      <c r="AY919" s="57" t="n">
        <f aca="false">AV919*G919</f>
        <v>288.8</v>
      </c>
      <c r="AZ919" s="57" t="n">
        <f aca="false">ROUNDUP(MAX(J919/IF(BZ919&gt;0,BZ919,MAX(0.1,N(Cockpit!$O$6))),CC919)/BS919,0)*BS919</f>
        <v>20</v>
      </c>
      <c r="BA919" s="58" t="n">
        <f aca="false">IF(AX919&gt;0,J919/AX919,-1)</f>
        <v>0</v>
      </c>
      <c r="BB919" s="58" t="n">
        <f aca="false">IF(AND(OR(BY919="L1",BY919="L23"),AX919&gt;0),SUMIFS($AX$7:$AX$1843,$BY$7:$BY$1843,BY919,$BA$7:$BA$1843,"&gt;"&amp;BA919)+SUMIFS($AX$7:$AX$1843,$BY$7:$BY$1843,BY919,$BA$7:$BA$1843,BA919,$BQ$7:$BQ$1843,"&lt;="&amp;BQ919),"")</f>
        <v>110.061957366305</v>
      </c>
      <c r="BC919" s="65" t="n">
        <f aca="false">IF(BB919="",0,MAX(0,MIN(1,(IF(BY919="L1",Parameter!$E$5,Parameter!$E$6+Parameter!$E$7)-(BB919-AX919))/AX919)))</f>
        <v>0</v>
      </c>
      <c r="BD919" s="55" t="str">
        <f aca="false">IF(AH919&lt;=0,"",IF(BY919="Aussen","Aussenlager",IF(BY919="-","Nicht im Lift",IF(AM919&gt;=1,"Lift",IF(AM919&lt;=0,"Aussenlager","teilweise")))))</f>
        <v/>
      </c>
      <c r="BE919" s="55" t="str">
        <f aca="false">IF(AP919&lt;=0,"",IF(BY919="Aussen","Aussenlager",IF(BY919="-","Nicht im Lift",IF(AU919&gt;=1,"Lift",IF(AU919&lt;=0,"Aussenlager","teilweise")))))</f>
        <v>Aussenlager</v>
      </c>
      <c r="BF919" s="55" t="str">
        <f aca="false">IF(AX919&lt;=0,"",IF(BY919="Aussen","Aussenlager",IF(BY919="-","Nicht im Lift",IF(BC919&gt;=1,"Lift",IF(BC919&lt;=0,"Aussenlager","teilweise")))))</f>
        <v>Aussenlager</v>
      </c>
      <c r="BG919" s="55" t="str">
        <f aca="false">IF(A919="","",IF(BP919=1,"Neu; ","")&amp;IF(AND(BP919=0,BK919&lt;0),"negativer Bestand (Export "&amp;BK919&amp;"); ","")&amp;IF(J919&lt;=0,"Kein Verbrauch; ","")&amp;IF(CH919&gt;0,"Lift "&amp;W919&amp;" lt. Liftbericht (Fach "&amp;X919&amp;" Stk); ",IF(BU919=1,"Gebinde geschätzt ("&amp;T919&amp;"); ",IF(BT919=1,"Lose – Tablare geschätzt; ","")))&amp;IF(H919&gt;AR919,"Überbestand "&amp;ROUND(H919-AR919,0)&amp;" Stk / CHF "&amp;ROUND((H919-AR919)*G919,0)&amp;"; ","")&amp;IF(AND(CA919=1,CB919&lt;CC919),"MAX &lt; MB+LG; ","")&amp;IF(AND(CG919&gt;0,CF919*10&gt;CG919),"zu hoch für Tablar; ","")&amp;IF(AND(BP919=0,OR(CA919=1,AA919&lt;&gt;"",U919&lt;&gt;"",V919&lt;&gt;"",AB919&lt;&gt;"")),"manuell übersteuert; ","")&amp;IF(AND(BT919=0,R919=0),"Gebinde unbekannt / Stellmass fehlt; ","")&amp;IF(AND(BT919=0,N(V919)&lt;=0,N(Q919)&lt;=0),"Menge pro Gebinde fehlt (Ist = 1 Gebinde); ","")&amp;BO919)</f>
        <v>negativer Bestand (Export -3); Kein Verbrauch; Gebinde geschätzt (Klein); Menge pro Gebinde fehlt (Ist = 1 Gebinde); </v>
      </c>
      <c r="BH919" s="55"/>
      <c r="BI919" s="55"/>
      <c r="BJ919" s="62"/>
      <c r="BK919" s="57" t="n">
        <v>-3</v>
      </c>
      <c r="BL919" s="57" t="n">
        <v>3</v>
      </c>
      <c r="BM919" s="56" t="n">
        <v>-43.32</v>
      </c>
      <c r="BN919" s="57" t="n">
        <v>0</v>
      </c>
      <c r="BO919" s="55"/>
      <c r="BP919" s="60" t="n">
        <v>0</v>
      </c>
      <c r="BQ919" s="60" t="n">
        <v>919</v>
      </c>
      <c r="BR919" s="55" t="str">
        <f aca="false">IF(U919&lt;&gt;"",UPPER(TRIM(U919)),IF(BU919=1,UPPER(VLOOKUP(T919,Parameter!$I$27:$K$29,2,0)),IF(P919="","LOSE",P919)))</f>
        <v>S51</v>
      </c>
      <c r="BS919" s="57" t="n">
        <f aca="false">IF(BR919="LOSE",1,IF(N(V919)&gt;0,V919,IF(BU919=1,MAX(1,N(VLOOKUP(T919,Parameter!$I$27:$K$29,3,0)),H919,N(N919)),IF(N(Q919)&gt;0,Q919,MAX(1,H919)))))</f>
        <v>20</v>
      </c>
      <c r="BT919" s="60" t="n">
        <f aca="false">IF(BR919="LOSE",1,0)</f>
        <v>0</v>
      </c>
      <c r="BU919" s="60" t="n">
        <f aca="false">IF(AND(U919="",OR(P919="",P919="LOSE"),T919&lt;&gt;"",N(S919)&lt;=0,ISNUMBER(MATCH(T919,Parameter!$I$27:$I$29,0))),1,0)</f>
        <v>1</v>
      </c>
      <c r="BV919" s="55" t="str">
        <f aca="false">IF(AND(Parameter!$B$19="Ja",E919&lt;&gt;"",ISNUMBER(MATCH(E919,Parameter!$I$35:$I$52,0))),VLOOKUP(E919,Parameter!$I$35:$J$52,2,0),IFERROR(VLOOKUP(D919,Parameter!$A$35:$C$64,2,0),"Nein"))</f>
        <v>2+3</v>
      </c>
      <c r="BW919" s="59" t="n">
        <f aca="false">IF(BT919=0,0,IF(N(S919)&gt;0,S919,IFERROR(VLOOKUP(D919,Parameter!$A$35:$C$64,3,0)+0,0)))</f>
        <v>0</v>
      </c>
      <c r="BX919" s="55" t="n">
        <f aca="false">IF(AA919&lt;&gt;"",AA919,Z919)</f>
        <v>3</v>
      </c>
      <c r="BY919" s="55" t="str">
        <f aca="false">IF(BX919=1,"L1",IF(OR(BX919=2,BX919=3),"L23",IF(BX919="Aussen","Aussen","-")))</f>
        <v>L23</v>
      </c>
      <c r="BZ919" s="66" t="n">
        <f aca="false">IF(N(AB919)&gt;0,AB919,0)</f>
        <v>0</v>
      </c>
      <c r="CA919" s="60" t="n">
        <f aca="false">IF(ISNUMBER(AE919),1,0)</f>
        <v>0</v>
      </c>
      <c r="CB919" s="57" t="n">
        <f aca="false">N(AE919)</f>
        <v>0</v>
      </c>
      <c r="CC919" s="57" t="n">
        <f aca="false">N(M919)+N(N919)</f>
        <v>1</v>
      </c>
      <c r="CD919" s="57" t="n">
        <f aca="false">ROUNDUP(H919/BS919,0)</f>
        <v>0</v>
      </c>
      <c r="CE919" s="57" t="n">
        <f aca="false">ROUNDUP(CB919/BS919,0)</f>
        <v>0</v>
      </c>
      <c r="CF919" s="60" t="n">
        <f aca="false">IF(BT919=1,0,IFERROR(VLOOKUP(BR919,'Gebinde-Kategorie'!$A$5:$M$45,5,0)+0,0))</f>
        <v>11</v>
      </c>
      <c r="CG919" s="60" t="n">
        <f aca="false">IFERROR(IF(OR(BX919=1,BX919=2,BX919=3),N(INDEX(Parameter!$I$5:$I$7,BX919)),0),0)</f>
        <v>0</v>
      </c>
      <c r="CH919" s="59" t="n">
        <f aca="false">IF(AND(Parameter!$B$21="Ja",ISNUMBER(W919),N(X919)&gt;0),IFERROR(N(INDEX(Parameter!$L$5:$L$7,W919))*INDEX(Parameter!$E$5:$E$7,W919)*X919/SUMIFS($X$7:$X$1843,$W$7:$W$1843,W919),0),0)</f>
        <v>0</v>
      </c>
    </row>
    <row r="920" customFormat="false" ht="15" hidden="false" customHeight="false" outlineLevel="0" collapsed="false">
      <c r="A920" s="55" t="s">
        <v>1721</v>
      </c>
      <c r="B920" s="55" t="s">
        <v>405</v>
      </c>
      <c r="C920" s="55" t="s">
        <v>164</v>
      </c>
      <c r="D920" s="55" t="s">
        <v>184</v>
      </c>
      <c r="E920" s="55" t="s">
        <v>185</v>
      </c>
      <c r="F920" s="55" t="s">
        <v>218</v>
      </c>
      <c r="G920" s="56" t="n">
        <v>0.02</v>
      </c>
      <c r="H920" s="57" t="n">
        <f aca="false">MAX(0,IF(AND(Parameter!$B$21="Ja",ISNUMBER(Y920)),Y920,IF(Parameter!$B$20="Jahresanfang 2025 + Export",BL920+BK920,BK920)))</f>
        <v>695</v>
      </c>
      <c r="I920" s="57" t="n">
        <f aca="false">H920*G920</f>
        <v>13.9</v>
      </c>
      <c r="J920" s="57" t="n">
        <f aca="false">BN920*Parameter!$B$18</f>
        <v>5412</v>
      </c>
      <c r="K920" s="58" t="n">
        <v>3182.5</v>
      </c>
      <c r="L920" s="59" t="n">
        <v>1.70054988216811</v>
      </c>
      <c r="M920" s="57" t="n">
        <v>315</v>
      </c>
      <c r="N920" s="57" t="n">
        <v>2000</v>
      </c>
      <c r="O920" s="60" t="n">
        <v>21</v>
      </c>
      <c r="P920" s="55" t="s">
        <v>302</v>
      </c>
      <c r="Q920" s="57" t="n">
        <v>2951</v>
      </c>
      <c r="R920" s="60" t="n">
        <f aca="false">IF(BT920=1,0,IFERROR(VLOOKUP(BR920,'Gebinde-Kategorie'!$A$5:$M$45,13,0)+0,0))</f>
        <v>26</v>
      </c>
      <c r="S920" s="61"/>
      <c r="T920" s="62"/>
      <c r="U920" s="62"/>
      <c r="V920" s="62"/>
      <c r="W920" s="55"/>
      <c r="X920" s="57"/>
      <c r="Y920" s="57"/>
      <c r="Z920" s="55" t="n">
        <f aca="false">IF(A920="","",IF(AND(Parameter!$B$21="Ja",ISNUMBER(W920)),W920,IF(BV920="2+3",IF(ISNUMBER(SEARCH("grosser Artikel",BO920)),2,IFERROR(VLOOKUP(BR920,Parameter!$F$35:$G$64,2,0),2)),IF(OR(BV920="Nein",BV920=""),"-",BV920))))</f>
        <v>3</v>
      </c>
      <c r="AA920" s="62"/>
      <c r="AB920" s="63"/>
      <c r="AC920" s="57" t="n">
        <f aca="false">AR920</f>
        <v>2951</v>
      </c>
      <c r="AD920" s="57" t="n">
        <f aca="false">MAX(AR920,H920)</f>
        <v>2951</v>
      </c>
      <c r="AE920" s="64"/>
      <c r="AF920" s="57" t="n">
        <f aca="false">IF(LEFT(Cockpit!$C$5,1)="A",H920,IF(CA920=1,CB920,IF(LEFT(Cockpit!$C$5,1)="B",AJ920,MAX(AJ920,H920))))</f>
        <v>695</v>
      </c>
      <c r="AG920" s="57" t="n">
        <f aca="false">IF(BT920=1,0,ROUNDUP(AF920/BS920,0))</f>
        <v>1</v>
      </c>
      <c r="AH920" s="59" t="n">
        <f aca="false">IF(CH920&gt;0,CH920*MAX(1,AF920/X920),IF(BT920=1,IF(AF920&lt;=0,0,BW920*MAX(1,IF(H920&gt;0,AF920/H920,1))),IF(R920&gt;0,AG920/R920,0))/MAX(0.1,N(Parameter!$M$21)))</f>
        <v>0.0384615384615385</v>
      </c>
      <c r="AI920" s="57" t="n">
        <f aca="false">AF920*G920</f>
        <v>13.9</v>
      </c>
      <c r="AJ920" s="57" t="n">
        <f aca="false">ROUNDUP(MAX(J920/IF(BZ920&gt;0,BZ920,MAX(0.1,N(Cockpit!$C$6))),CC920)/BS920,0)*BS920</f>
        <v>2951</v>
      </c>
      <c r="AK920" s="58" t="n">
        <f aca="false">IF(AH920&gt;0,J920/AH920,-1)</f>
        <v>140712</v>
      </c>
      <c r="AL920" s="58" t="n">
        <f aca="false">IF(AND(OR(BY920="L1",BY920="L23"),AH920&gt;0),SUMIFS($AH$7:$AH$1843,$BY$7:$BY$1843,BY920,$AK$7:$AK$1843,"&gt;"&amp;AK920)+SUMIFS($AH$7:$AH$1843,$BY$7:$BY$1843,BY920,$AK$7:$AK$1843,AK920,$BQ$7:$BQ$1843,"&lt;="&amp;BQ920),"")</f>
        <v>0.272313435356914</v>
      </c>
      <c r="AM920" s="65" t="n">
        <f aca="false">IF(AL920="",0,MAX(0,MIN(1,(IF(BY920="L1",Parameter!$E$5,Parameter!$E$6+Parameter!$E$7)-(AL920-AH920))/AH920)))</f>
        <v>1</v>
      </c>
      <c r="AN920" s="57" t="n">
        <f aca="false">IF(LEFT(Cockpit!$I$5,1)="A",H920,IF(CA920=1,CB920,IF(LEFT(Cockpit!$I$5,1)="B",AR920,MAX(AR920,H920))))</f>
        <v>2951</v>
      </c>
      <c r="AO920" s="57" t="n">
        <f aca="false">IF(BT920=1,0,ROUNDUP(AN920/BS920,0))</f>
        <v>1</v>
      </c>
      <c r="AP920" s="59" t="n">
        <f aca="false">IF(CH920&gt;0,CH920*MAX(1,AN920/X920),IF(BT920=1,IF(AN920&lt;=0,0,BW920*MAX(1,IF(H920&gt;0,AN920/H920,1))),IF(R920&gt;0,AO920/R920,0))/MAX(0.1,N(Parameter!$M$21)))</f>
        <v>0.0384615384615385</v>
      </c>
      <c r="AQ920" s="57" t="n">
        <f aca="false">AN920*G920</f>
        <v>59.02</v>
      </c>
      <c r="AR920" s="57" t="n">
        <f aca="false">ROUNDUP(MAX(J920/IF(BZ920&gt;0,BZ920,MAX(0.1,N(Cockpit!$I$6))),CC920)/BS920,0)*BS920</f>
        <v>2951</v>
      </c>
      <c r="AS920" s="58" t="n">
        <f aca="false">IF(AP920&gt;0,J920/AP920,-1)</f>
        <v>140712</v>
      </c>
      <c r="AT920" s="58" t="n">
        <f aca="false">IF(AND(OR(BY920="L1",BY920="L23"),AP920&gt;0),SUMIFS($AP$7:$AP$1843,$BY$7:$BY$1843,BY920,$AS$7:$AS$1843,"&gt;"&amp;AS920)+SUMIFS($AP$7:$AP$1843,$BY$7:$BY$1843,BY920,$AS$7:$AS$1843,AS920,$BQ$7:$BQ$1843,"&lt;="&amp;BQ920),"")</f>
        <v>0.173744130265869</v>
      </c>
      <c r="AU920" s="65" t="n">
        <f aca="false">IF(AT920="",0,MAX(0,MIN(1,(IF(BY920="L1",Parameter!$E$5,Parameter!$E$6+Parameter!$E$7)-(AT920-AP920))/AP920)))</f>
        <v>1</v>
      </c>
      <c r="AV920" s="57" t="n">
        <f aca="false">IF(LEFT(Cockpit!$O$5,1)="A",H920,IF(CA920=1,CB920,IF(LEFT(Cockpit!$O$5,1)="B",AZ920,MAX(AZ920,H920))))</f>
        <v>2951</v>
      </c>
      <c r="AW920" s="57" t="n">
        <f aca="false">IF(BT920=1,0,ROUNDUP(AV920/BS920,0))</f>
        <v>1</v>
      </c>
      <c r="AX920" s="59" t="n">
        <f aca="false">IF(CH920&gt;0,CH920*MAX(1,AV920/X920),IF(BT920=1,IF(AV920&lt;=0,0,BW920*MAX(1,IF(H920&gt;0,AV920/H920,1))),IF(R920&gt;0,AW920/R920,0))/MAX(0.1,N(Parameter!$M$21)))</f>
        <v>0.0384615384615385</v>
      </c>
      <c r="AY920" s="57" t="n">
        <f aca="false">AV920*G920</f>
        <v>59.02</v>
      </c>
      <c r="AZ920" s="57" t="n">
        <f aca="false">ROUNDUP(MAX(J920/IF(BZ920&gt;0,BZ920,MAX(0.1,N(Cockpit!$O$6))),CC920)/BS920,0)*BS920</f>
        <v>2951</v>
      </c>
      <c r="BA920" s="58" t="n">
        <f aca="false">IF(AX920&gt;0,J920/AX920,-1)</f>
        <v>140712</v>
      </c>
      <c r="BB920" s="58" t="n">
        <f aca="false">IF(AND(OR(BY920="L1",BY920="L23"),AX920&gt;0),SUMIFS($AX$7:$AX$1843,$BY$7:$BY$1843,BY920,$BA$7:$BA$1843,"&gt;"&amp;BA920)+SUMIFS($AX$7:$AX$1843,$BY$7:$BY$1843,BY920,$BA$7:$BA$1843,BA920,$BQ$7:$BQ$1843,"&lt;="&amp;BQ920),"")</f>
        <v>0.173744130265869</v>
      </c>
      <c r="BC920" s="65" t="n">
        <f aca="false">IF(BB920="",0,MAX(0,MIN(1,(IF(BY920="L1",Parameter!$E$5,Parameter!$E$6+Parameter!$E$7)-(BB920-AX920))/AX920)))</f>
        <v>1</v>
      </c>
      <c r="BD920" s="55" t="str">
        <f aca="false">IF(AH920&lt;=0,"",IF(BY920="Aussen","Aussenlager",IF(BY920="-","Nicht im Lift",IF(AM920&gt;=1,"Lift",IF(AM920&lt;=0,"Aussenlager","teilweise")))))</f>
        <v>Lift</v>
      </c>
      <c r="BE920" s="55" t="str">
        <f aca="false">IF(AP920&lt;=0,"",IF(BY920="Aussen","Aussenlager",IF(BY920="-","Nicht im Lift",IF(AU920&gt;=1,"Lift",IF(AU920&lt;=0,"Aussenlager","teilweise")))))</f>
        <v>Lift</v>
      </c>
      <c r="BF920" s="55" t="str">
        <f aca="false">IF(AX920&lt;=0,"",IF(BY920="Aussen","Aussenlager",IF(BY920="-","Nicht im Lift",IF(BC920&gt;=1,"Lift",IF(BC920&lt;=0,"Aussenlager","teilweise")))))</f>
        <v>Lift</v>
      </c>
      <c r="BG920" s="55" t="str">
        <f aca="false">IF(A920="","",IF(BP920=1,"Neu; ","")&amp;IF(AND(BP920=0,BK920&lt;0),"negativer Bestand (Export "&amp;BK920&amp;"); ","")&amp;IF(J920&lt;=0,"Kein Verbrauch; ","")&amp;IF(CH920&gt;0,"Lift "&amp;W920&amp;" lt. Liftbericht (Fach "&amp;X920&amp;" Stk); ",IF(BU920=1,"Gebinde geschätzt ("&amp;T920&amp;"); ",IF(BT920=1,"Lose – Tablare geschätzt; ","")))&amp;IF(H920&gt;AR920,"Überbestand "&amp;ROUND(H920-AR920,0)&amp;" Stk / CHF "&amp;ROUND((H920-AR920)*G920,0)&amp;"; ","")&amp;IF(AND(CA920=1,CB920&lt;CC920),"MAX &lt; MB+LG; ","")&amp;IF(AND(CG920&gt;0,CF920*10&gt;CG920),"zu hoch für Tablar; ","")&amp;IF(AND(BP920=0,OR(CA920=1,AA920&lt;&gt;"",U920&lt;&gt;"",V920&lt;&gt;"",AB920&lt;&gt;"")),"manuell übersteuert; ","")&amp;IF(AND(BT920=0,R920=0),"Gebinde unbekannt / Stellmass fehlt; ","")&amp;IF(AND(BT920=0,N(V920)&lt;=0,N(Q920)&lt;=0),"Menge pro Gebinde fehlt (Ist = 1 Gebinde); ","")&amp;BO920)</f>
        <v>negativer Bestand (Export -2198); </v>
      </c>
      <c r="BH920" s="55"/>
      <c r="BI920" s="55"/>
      <c r="BJ920" s="62"/>
      <c r="BK920" s="57" t="n">
        <v>-2198</v>
      </c>
      <c r="BL920" s="57" t="n">
        <v>2893</v>
      </c>
      <c r="BM920" s="56" t="n">
        <v>-43.96</v>
      </c>
      <c r="BN920" s="57" t="n">
        <v>5412</v>
      </c>
      <c r="BO920" s="55"/>
      <c r="BP920" s="60" t="n">
        <v>0</v>
      </c>
      <c r="BQ920" s="60" t="n">
        <v>920</v>
      </c>
      <c r="BR920" s="55" t="str">
        <f aca="false">IF(U920&lt;&gt;"",UPPER(TRIM(U920)),IF(BU920=1,UPPER(VLOOKUP(T920,Parameter!$I$27:$K$29,2,0)),IF(P920="","LOSE",P920)))</f>
        <v>S51</v>
      </c>
      <c r="BS920" s="57" t="n">
        <f aca="false">IF(BR920="LOSE",1,IF(N(V920)&gt;0,V920,IF(BU920=1,MAX(1,N(VLOOKUP(T920,Parameter!$I$27:$K$29,3,0)),H920,N(N920)),IF(N(Q920)&gt;0,Q920,MAX(1,H920)))))</f>
        <v>2951</v>
      </c>
      <c r="BT920" s="60" t="n">
        <f aca="false">IF(BR920="LOSE",1,0)</f>
        <v>0</v>
      </c>
      <c r="BU920" s="60" t="n">
        <f aca="false">IF(AND(U920="",OR(P920="",P920="LOSE"),T920&lt;&gt;"",N(S920)&lt;=0,ISNUMBER(MATCH(T920,Parameter!$I$27:$I$29,0))),1,0)</f>
        <v>0</v>
      </c>
      <c r="BV920" s="55" t="str">
        <f aca="false">IF(AND(Parameter!$B$19="Ja",E920&lt;&gt;"",ISNUMBER(MATCH(E920,Parameter!$I$35:$I$52,0))),VLOOKUP(E920,Parameter!$I$35:$J$52,2,0),IFERROR(VLOOKUP(D920,Parameter!$A$35:$C$64,2,0),"Nein"))</f>
        <v>2+3</v>
      </c>
      <c r="BW920" s="59" t="n">
        <f aca="false">IF(BT920=0,0,IF(N(S920)&gt;0,S920,IFERROR(VLOOKUP(D920,Parameter!$A$35:$C$64,3,0)+0,0)))</f>
        <v>0</v>
      </c>
      <c r="BX920" s="55" t="n">
        <f aca="false">IF(AA920&lt;&gt;"",AA920,Z920)</f>
        <v>3</v>
      </c>
      <c r="BY920" s="55" t="str">
        <f aca="false">IF(BX920=1,"L1",IF(OR(BX920=2,BX920=3),"L23",IF(BX920="Aussen","Aussen","-")))</f>
        <v>L23</v>
      </c>
      <c r="BZ920" s="66" t="n">
        <f aca="false">IF(N(AB920)&gt;0,AB920,0)</f>
        <v>0</v>
      </c>
      <c r="CA920" s="60" t="n">
        <f aca="false">IF(ISNUMBER(AE920),1,0)</f>
        <v>0</v>
      </c>
      <c r="CB920" s="57" t="n">
        <f aca="false">N(AE920)</f>
        <v>0</v>
      </c>
      <c r="CC920" s="57" t="n">
        <f aca="false">N(M920)+N(N920)</f>
        <v>2315</v>
      </c>
      <c r="CD920" s="57" t="n">
        <f aca="false">ROUNDUP(H920/BS920,0)</f>
        <v>1</v>
      </c>
      <c r="CE920" s="57" t="n">
        <f aca="false">ROUNDUP(CB920/BS920,0)</f>
        <v>0</v>
      </c>
      <c r="CF920" s="60" t="n">
        <f aca="false">IF(BT920=1,0,IFERROR(VLOOKUP(BR920,'Gebinde-Kategorie'!$A$5:$M$45,5,0)+0,0))</f>
        <v>11</v>
      </c>
      <c r="CG920" s="60" t="n">
        <f aca="false">IFERROR(IF(OR(BX920=1,BX920=2,BX920=3),N(INDEX(Parameter!$I$5:$I$7,BX920)),0),0)</f>
        <v>0</v>
      </c>
      <c r="CH920" s="59" t="n">
        <f aca="false">IF(AND(Parameter!$B$21="Ja",ISNUMBER(W920),N(X920)&gt;0),IFERROR(N(INDEX(Parameter!$L$5:$L$7,W920))*INDEX(Parameter!$E$5:$E$7,W920)*X920/SUMIFS($X$7:$X$1843,$W$7:$W$1843,W920),0),0)</f>
        <v>0</v>
      </c>
    </row>
    <row r="921" customFormat="false" ht="15" hidden="false" customHeight="false" outlineLevel="0" collapsed="false">
      <c r="A921" s="55" t="s">
        <v>1722</v>
      </c>
      <c r="B921" s="55" t="s">
        <v>724</v>
      </c>
      <c r="C921" s="55" t="s">
        <v>164</v>
      </c>
      <c r="D921" s="55" t="s">
        <v>184</v>
      </c>
      <c r="E921" s="55" t="s">
        <v>185</v>
      </c>
      <c r="F921" s="55" t="s">
        <v>218</v>
      </c>
      <c r="G921" s="56" t="n">
        <v>39.78</v>
      </c>
      <c r="H921" s="57" t="n">
        <f aca="false">MAX(0,IF(AND(Parameter!$B$21="Ja",ISNUMBER(Y921)),Y921,IF(Parameter!$B$20="Jahresanfang 2025 + Export",BL921+BK921,BK921)))</f>
        <v>10</v>
      </c>
      <c r="I921" s="57" t="n">
        <f aca="false">H921*G921</f>
        <v>397.8</v>
      </c>
      <c r="J921" s="57" t="n">
        <f aca="false">BN921*Parameter!$B$18</f>
        <v>4</v>
      </c>
      <c r="K921" s="58" t="n">
        <v>8</v>
      </c>
      <c r="L921" s="59" t="n">
        <v>0.5</v>
      </c>
      <c r="M921" s="57" t="n">
        <v>0</v>
      </c>
      <c r="N921" s="57" t="n">
        <v>5</v>
      </c>
      <c r="O921" s="60" t="n">
        <v>17</v>
      </c>
      <c r="P921" s="55" t="s">
        <v>421</v>
      </c>
      <c r="Q921" s="57" t="n">
        <v>13</v>
      </c>
      <c r="R921" s="60" t="n">
        <f aca="false">IF(BT921=1,0,IFERROR(VLOOKUP(BR921,'Gebinde-Kategorie'!$A$5:$M$45,13,0)+0,0))</f>
        <v>132</v>
      </c>
      <c r="S921" s="61"/>
      <c r="T921" s="62"/>
      <c r="U921" s="62"/>
      <c r="V921" s="62"/>
      <c r="W921" s="55"/>
      <c r="X921" s="57"/>
      <c r="Y921" s="57"/>
      <c r="Z921" s="55" t="n">
        <f aca="false">IF(A921="","",IF(AND(Parameter!$B$21="Ja",ISNUMBER(W921)),W921,IF(BV921="2+3",IF(ISNUMBER(SEARCH("grosser Artikel",BO921)),2,IFERROR(VLOOKUP(BR921,Parameter!$F$35:$G$64,2,0),2)),IF(OR(BV921="Nein",BV921=""),"-",BV921))))</f>
        <v>3</v>
      </c>
      <c r="AA921" s="62"/>
      <c r="AB921" s="63"/>
      <c r="AC921" s="57" t="n">
        <f aca="false">AR921</f>
        <v>13</v>
      </c>
      <c r="AD921" s="57" t="n">
        <f aca="false">MAX(AR921,H921)</f>
        <v>13</v>
      </c>
      <c r="AE921" s="64"/>
      <c r="AF921" s="57" t="n">
        <f aca="false">IF(LEFT(Cockpit!$C$5,1)="A",H921,IF(CA921=1,CB921,IF(LEFT(Cockpit!$C$5,1)="B",AJ921,MAX(AJ921,H921))))</f>
        <v>10</v>
      </c>
      <c r="AG921" s="57" t="n">
        <f aca="false">IF(BT921=1,0,ROUNDUP(AF921/BS921,0))</f>
        <v>1</v>
      </c>
      <c r="AH921" s="59" t="n">
        <f aca="false">IF(CH921&gt;0,CH921*MAX(1,AF921/X921),IF(BT921=1,IF(AF921&lt;=0,0,BW921*MAX(1,IF(H921&gt;0,AF921/H921,1))),IF(R921&gt;0,AG921/R921,0))/MAX(0.1,N(Parameter!$M$21)))</f>
        <v>0.00757575757575758</v>
      </c>
      <c r="AI921" s="57" t="n">
        <f aca="false">AF921*G921</f>
        <v>397.8</v>
      </c>
      <c r="AJ921" s="57" t="n">
        <f aca="false">ROUNDUP(MAX(J921/IF(BZ921&gt;0,BZ921,MAX(0.1,N(Cockpit!$C$6))),CC921)/BS921,0)*BS921</f>
        <v>13</v>
      </c>
      <c r="AK921" s="58" t="n">
        <f aca="false">IF(AH921&gt;0,J921/AH921,-1)</f>
        <v>528</v>
      </c>
      <c r="AL921" s="58" t="n">
        <f aca="false">IF(AND(OR(BY921="L1",BY921="L23"),AH921&gt;0),SUMIFS($AH$7:$AH$1843,$BY$7:$BY$1843,BY921,$AK$7:$AK$1843,"&gt;"&amp;AK921)+SUMIFS($AH$7:$AH$1843,$BY$7:$BY$1843,BY921,$AK$7:$AK$1843,AK921,$BQ$7:$BQ$1843,"&lt;="&amp;BQ921),"")</f>
        <v>23.7465034965035</v>
      </c>
      <c r="AM921" s="65" t="n">
        <f aca="false">IF(AL921="",0,MAX(0,MIN(1,(IF(BY921="L1",Parameter!$E$5,Parameter!$E$6+Parameter!$E$7)-(AL921-AH921))/AH921)))</f>
        <v>1</v>
      </c>
      <c r="AN921" s="57" t="n">
        <f aca="false">IF(LEFT(Cockpit!$I$5,1)="A",H921,IF(CA921=1,CB921,IF(LEFT(Cockpit!$I$5,1)="B",AR921,MAX(AR921,H921))))</f>
        <v>13</v>
      </c>
      <c r="AO921" s="57" t="n">
        <f aca="false">IF(BT921=1,0,ROUNDUP(AN921/BS921,0))</f>
        <v>1</v>
      </c>
      <c r="AP921" s="59" t="n">
        <f aca="false">IF(CH921&gt;0,CH921*MAX(1,AN921/X921),IF(BT921=1,IF(AN921&lt;=0,0,BW921*MAX(1,IF(H921&gt;0,AN921/H921,1))),IF(R921&gt;0,AO921/R921,0))/MAX(0.1,N(Parameter!$M$21)))</f>
        <v>0.00757575757575758</v>
      </c>
      <c r="AQ921" s="57" t="n">
        <f aca="false">AN921*G921</f>
        <v>517.14</v>
      </c>
      <c r="AR921" s="57" t="n">
        <f aca="false">ROUNDUP(MAX(J921/IF(BZ921&gt;0,BZ921,MAX(0.1,N(Cockpit!$I$6))),CC921)/BS921,0)*BS921</f>
        <v>13</v>
      </c>
      <c r="AS921" s="58" t="n">
        <f aca="false">IF(AP921&gt;0,J921/AP921,-1)</f>
        <v>528</v>
      </c>
      <c r="AT921" s="58" t="n">
        <f aca="false">IF(AND(OR(BY921="L1",BY921="L23"),AP921&gt;0),SUMIFS($AP$7:$AP$1843,$BY$7:$BY$1843,BY921,$AS$7:$AS$1843,"&gt;"&amp;AS921)+SUMIFS($AP$7:$AP$1843,$BY$7:$BY$1843,BY921,$AS$7:$AS$1843,AS921,$BQ$7:$BQ$1843,"&lt;="&amp;BQ921),"")</f>
        <v>32.4953295496774</v>
      </c>
      <c r="AU921" s="65" t="n">
        <f aca="false">IF(AT921="",0,MAX(0,MIN(1,(IF(BY921="L1",Parameter!$E$5,Parameter!$E$6+Parameter!$E$7)-(AT921-AP921))/AP921)))</f>
        <v>1</v>
      </c>
      <c r="AV921" s="57" t="n">
        <f aca="false">IF(LEFT(Cockpit!$O$5,1)="A",H921,IF(CA921=1,CB921,IF(LEFT(Cockpit!$O$5,1)="B",AZ921,MAX(AZ921,H921))))</f>
        <v>13</v>
      </c>
      <c r="AW921" s="57" t="n">
        <f aca="false">IF(BT921=1,0,ROUNDUP(AV921/BS921,0))</f>
        <v>1</v>
      </c>
      <c r="AX921" s="59" t="n">
        <f aca="false">IF(CH921&gt;0,CH921*MAX(1,AV921/X921),IF(BT921=1,IF(AV921&lt;=0,0,BW921*MAX(1,IF(H921&gt;0,AV921/H921,1))),IF(R921&gt;0,AW921/R921,0))/MAX(0.1,N(Parameter!$M$21)))</f>
        <v>0.00757575757575758</v>
      </c>
      <c r="AY921" s="57" t="n">
        <f aca="false">AV921*G921</f>
        <v>517.14</v>
      </c>
      <c r="AZ921" s="57" t="n">
        <f aca="false">ROUNDUP(MAX(J921/IF(BZ921&gt;0,BZ921,MAX(0.1,N(Cockpit!$O$6))),CC921)/BS921,0)*BS921</f>
        <v>13</v>
      </c>
      <c r="BA921" s="58" t="n">
        <f aca="false">IF(AX921&gt;0,J921/AX921,-1)</f>
        <v>528</v>
      </c>
      <c r="BB921" s="58" t="n">
        <f aca="false">IF(AND(OR(BY921="L1",BY921="L23"),AX921&gt;0),SUMIFS($AX$7:$AX$1843,$BY$7:$BY$1843,BY921,$BA$7:$BA$1843,"&gt;"&amp;BA921)+SUMIFS($AX$7:$AX$1843,$BY$7:$BY$1843,BY921,$BA$7:$BA$1843,BA921,$BQ$7:$BQ$1843,"&lt;="&amp;BQ921),"")</f>
        <v>30.0623458666937</v>
      </c>
      <c r="BC921" s="65" t="n">
        <f aca="false">IF(BB921="",0,MAX(0,MIN(1,(IF(BY921="L1",Parameter!$E$5,Parameter!$E$6+Parameter!$E$7)-(BB921-AX921))/AX921)))</f>
        <v>1</v>
      </c>
      <c r="BD921" s="55" t="str">
        <f aca="false">IF(AH921&lt;=0,"",IF(BY921="Aussen","Aussenlager",IF(BY921="-","Nicht im Lift",IF(AM921&gt;=1,"Lift",IF(AM921&lt;=0,"Aussenlager","teilweise")))))</f>
        <v>Lift</v>
      </c>
      <c r="BE921" s="55" t="str">
        <f aca="false">IF(AP921&lt;=0,"",IF(BY921="Aussen","Aussenlager",IF(BY921="-","Nicht im Lift",IF(AU921&gt;=1,"Lift",IF(AU921&lt;=0,"Aussenlager","teilweise")))))</f>
        <v>Lift</v>
      </c>
      <c r="BF921" s="55" t="str">
        <f aca="false">IF(AX921&lt;=0,"",IF(BY921="Aussen","Aussenlager",IF(BY921="-","Nicht im Lift",IF(BC921&gt;=1,"Lift",IF(BC921&lt;=0,"Aussenlager","teilweise")))))</f>
        <v>Lift</v>
      </c>
      <c r="BG921" s="55" t="str">
        <f aca="false">IF(A921="","",IF(BP921=1,"Neu; ","")&amp;IF(AND(BP921=0,BK921&lt;0),"negativer Bestand (Export "&amp;BK921&amp;"); ","")&amp;IF(J921&lt;=0,"Kein Verbrauch; ","")&amp;IF(CH921&gt;0,"Lift "&amp;W921&amp;" lt. Liftbericht (Fach "&amp;X921&amp;" Stk); ",IF(BU921=1,"Gebinde geschätzt ("&amp;T921&amp;"); ",IF(BT921=1,"Lose – Tablare geschätzt; ","")))&amp;IF(H921&gt;AR921,"Überbestand "&amp;ROUND(H921-AR921,0)&amp;" Stk / CHF "&amp;ROUND((H921-AR921)*G921,0)&amp;"; ","")&amp;IF(AND(CA921=1,CB921&lt;CC921),"MAX &lt; MB+LG; ","")&amp;IF(AND(CG921&gt;0,CF921*10&gt;CG921),"zu hoch für Tablar; ","")&amp;IF(AND(BP921=0,OR(CA921=1,AA921&lt;&gt;"",U921&lt;&gt;"",V921&lt;&gt;"",AB921&lt;&gt;"")),"manuell übersteuert; ","")&amp;IF(AND(BT921=0,R921=0),"Gebinde unbekannt / Stellmass fehlt; ","")&amp;IF(AND(BT921=0,N(V921)&lt;=0,N(Q921)&lt;=0),"Menge pro Gebinde fehlt (Ist = 1 Gebinde); ","")&amp;BO921)</f>
        <v/>
      </c>
      <c r="BH921" s="55"/>
      <c r="BI921" s="55"/>
      <c r="BJ921" s="62"/>
      <c r="BK921" s="57" t="n">
        <v>0</v>
      </c>
      <c r="BL921" s="57" t="n">
        <v>10</v>
      </c>
      <c r="BM921" s="56" t="n">
        <v>-44.0000000000001</v>
      </c>
      <c r="BN921" s="57" t="n">
        <v>4</v>
      </c>
      <c r="BO921" s="55"/>
      <c r="BP921" s="60" t="n">
        <v>0</v>
      </c>
      <c r="BQ921" s="60" t="n">
        <v>921</v>
      </c>
      <c r="BR921" s="55" t="str">
        <f aca="false">IF(U921&lt;&gt;"",UPPER(TRIM(U921)),IF(BU921=1,UPPER(VLOOKUP(T921,Parameter!$I$27:$K$29,2,0)),IF(P921="","LOSE",P921)))</f>
        <v>S32</v>
      </c>
      <c r="BS921" s="57" t="n">
        <f aca="false">IF(BR921="LOSE",1,IF(N(V921)&gt;0,V921,IF(BU921=1,MAX(1,N(VLOOKUP(T921,Parameter!$I$27:$K$29,3,0)),H921,N(N921)),IF(N(Q921)&gt;0,Q921,MAX(1,H921)))))</f>
        <v>13</v>
      </c>
      <c r="BT921" s="60" t="n">
        <f aca="false">IF(BR921="LOSE",1,0)</f>
        <v>0</v>
      </c>
      <c r="BU921" s="60" t="n">
        <f aca="false">IF(AND(U921="",OR(P921="",P921="LOSE"),T921&lt;&gt;"",N(S921)&lt;=0,ISNUMBER(MATCH(T921,Parameter!$I$27:$I$29,0))),1,0)</f>
        <v>0</v>
      </c>
      <c r="BV921" s="55" t="str">
        <f aca="false">IF(AND(Parameter!$B$19="Ja",E921&lt;&gt;"",ISNUMBER(MATCH(E921,Parameter!$I$35:$I$52,0))),VLOOKUP(E921,Parameter!$I$35:$J$52,2,0),IFERROR(VLOOKUP(D921,Parameter!$A$35:$C$64,2,0),"Nein"))</f>
        <v>2+3</v>
      </c>
      <c r="BW921" s="59" t="n">
        <f aca="false">IF(BT921=0,0,IF(N(S921)&gt;0,S921,IFERROR(VLOOKUP(D921,Parameter!$A$35:$C$64,3,0)+0,0)))</f>
        <v>0</v>
      </c>
      <c r="BX921" s="55" t="n">
        <f aca="false">IF(AA921&lt;&gt;"",AA921,Z921)</f>
        <v>3</v>
      </c>
      <c r="BY921" s="55" t="str">
        <f aca="false">IF(BX921=1,"L1",IF(OR(BX921=2,BX921=3),"L23",IF(BX921="Aussen","Aussen","-")))</f>
        <v>L23</v>
      </c>
      <c r="BZ921" s="66" t="n">
        <f aca="false">IF(N(AB921)&gt;0,AB921,0)</f>
        <v>0</v>
      </c>
      <c r="CA921" s="60" t="n">
        <f aca="false">IF(ISNUMBER(AE921),1,0)</f>
        <v>0</v>
      </c>
      <c r="CB921" s="57" t="n">
        <f aca="false">N(AE921)</f>
        <v>0</v>
      </c>
      <c r="CC921" s="57" t="n">
        <f aca="false">N(M921)+N(N921)</f>
        <v>5</v>
      </c>
      <c r="CD921" s="57" t="n">
        <f aca="false">ROUNDUP(H921/BS921,0)</f>
        <v>1</v>
      </c>
      <c r="CE921" s="57" t="n">
        <f aca="false">ROUNDUP(CB921/BS921,0)</f>
        <v>0</v>
      </c>
      <c r="CF921" s="60" t="n">
        <f aca="false">IF(BT921=1,0,IFERROR(VLOOKUP(BR921,'Gebinde-Kategorie'!$A$5:$M$45,5,0)+0,0))</f>
        <v>8</v>
      </c>
      <c r="CG921" s="60" t="n">
        <f aca="false">IFERROR(IF(OR(BX921=1,BX921=2,BX921=3),N(INDEX(Parameter!$I$5:$I$7,BX921)),0),0)</f>
        <v>0</v>
      </c>
      <c r="CH921" s="59" t="n">
        <f aca="false">IF(AND(Parameter!$B$21="Ja",ISNUMBER(W921),N(X921)&gt;0),IFERROR(N(INDEX(Parameter!$L$5:$L$7,W921))*INDEX(Parameter!$E$5:$E$7,W921)*X921/SUMIFS($X$7:$X$1843,$W$7:$W$1843,W921),0),0)</f>
        <v>0</v>
      </c>
    </row>
    <row r="922" customFormat="false" ht="15" hidden="false" customHeight="false" outlineLevel="0" collapsed="false">
      <c r="A922" s="55" t="s">
        <v>1723</v>
      </c>
      <c r="B922" s="55" t="s">
        <v>1554</v>
      </c>
      <c r="C922" s="55" t="s">
        <v>164</v>
      </c>
      <c r="D922" s="55" t="s">
        <v>173</v>
      </c>
      <c r="E922" s="55" t="s">
        <v>465</v>
      </c>
      <c r="F922" s="55" t="s">
        <v>218</v>
      </c>
      <c r="G922" s="56" t="n">
        <v>0.75</v>
      </c>
      <c r="H922" s="57" t="n">
        <f aca="false">MAX(0,IF(AND(Parameter!$B$21="Ja",ISNUMBER(Y922)),Y922,IF(Parameter!$B$20="Jahresanfang 2025 + Export",BL922+BK922,BK922)))</f>
        <v>71</v>
      </c>
      <c r="I922" s="57" t="n">
        <f aca="false">H922*G922</f>
        <v>53.25</v>
      </c>
      <c r="J922" s="57" t="n">
        <f aca="false">BN922*Parameter!$B$18</f>
        <v>463</v>
      </c>
      <c r="K922" s="58" t="n">
        <v>115.5</v>
      </c>
      <c r="L922" s="59" t="n">
        <v>4.00865800865801</v>
      </c>
      <c r="M922" s="57" t="n">
        <v>27</v>
      </c>
      <c r="N922" s="57" t="n">
        <v>100</v>
      </c>
      <c r="O922" s="60" t="n">
        <v>21</v>
      </c>
      <c r="P922" s="55" t="s">
        <v>168</v>
      </c>
      <c r="Q922" s="57"/>
      <c r="R922" s="60" t="n">
        <f aca="false">IF(BT922=1,0,IFERROR(VLOOKUP(BR922,'Gebinde-Kategorie'!$A$5:$M$45,13,0)+0,0))</f>
        <v>3</v>
      </c>
      <c r="S922" s="61"/>
      <c r="T922" s="62" t="s">
        <v>189</v>
      </c>
      <c r="U922" s="62"/>
      <c r="V922" s="62"/>
      <c r="W922" s="55"/>
      <c r="X922" s="57"/>
      <c r="Y922" s="57"/>
      <c r="Z922" s="55" t="str">
        <f aca="false">IF(A922="","",IF(AND(Parameter!$B$21="Ja",ISNUMBER(W922)),W922,IF(BV922="2+3",IF(ISNUMBER(SEARCH("grosser Artikel",BO922)),2,IFERROR(VLOOKUP(BR922,Parameter!$F$35:$G$64,2,0),2)),IF(OR(BV922="Nein",BV922=""),"-",BV922))))</f>
        <v>-</v>
      </c>
      <c r="AA922" s="62"/>
      <c r="AB922" s="63"/>
      <c r="AC922" s="57" t="n">
        <f aca="false">AR922</f>
        <v>300</v>
      </c>
      <c r="AD922" s="57" t="n">
        <f aca="false">MAX(AR922,H922)</f>
        <v>300</v>
      </c>
      <c r="AE922" s="64"/>
      <c r="AF922" s="57" t="n">
        <f aca="false">IF(LEFT(Cockpit!$C$5,1)="A",H922,IF(CA922=1,CB922,IF(LEFT(Cockpit!$C$5,1)="B",AJ922,MAX(AJ922,H922))))</f>
        <v>71</v>
      </c>
      <c r="AG922" s="57" t="n">
        <f aca="false">IF(BT922=1,0,ROUNDUP(AF922/BS922,0))</f>
        <v>1</v>
      </c>
      <c r="AH922" s="59" t="n">
        <f aca="false">IF(CH922&gt;0,CH922*MAX(1,AF922/X922),IF(BT922=1,IF(AF922&lt;=0,0,BW922*MAX(1,IF(H922&gt;0,AF922/H922,1))),IF(R922&gt;0,AG922/R922,0))/MAX(0.1,N(Parameter!$M$21)))</f>
        <v>0.333333333333333</v>
      </c>
      <c r="AI922" s="57" t="n">
        <f aca="false">AF922*G922</f>
        <v>53.25</v>
      </c>
      <c r="AJ922" s="57" t="n">
        <f aca="false">ROUNDUP(MAX(J922/IF(BZ922&gt;0,BZ922,MAX(0.1,N(Cockpit!$C$6))),CC922)/BS922,0)*BS922</f>
        <v>300</v>
      </c>
      <c r="AK922" s="58" t="n">
        <f aca="false">IF(AH922&gt;0,J922/AH922,-1)</f>
        <v>1389</v>
      </c>
      <c r="AL922" s="58" t="str">
        <f aca="false">IF(AND(OR(BY922="L1",BY922="L23"),AH922&gt;0),SUMIFS($AH$7:$AH$1843,$BY$7:$BY$1843,BY922,$AK$7:$AK$1843,"&gt;"&amp;AK922)+SUMIFS($AH$7:$AH$1843,$BY$7:$BY$1843,BY922,$AK$7:$AK$1843,AK922,$BQ$7:$BQ$1843,"&lt;="&amp;BQ922),"")</f>
        <v/>
      </c>
      <c r="AM922" s="65" t="n">
        <f aca="false">IF(AL922="",0,MAX(0,MIN(1,(IF(BY922="L1",Parameter!$E$5,Parameter!$E$6+Parameter!$E$7)-(AL922-AH922))/AH922)))</f>
        <v>0</v>
      </c>
      <c r="AN922" s="57" t="n">
        <f aca="false">IF(LEFT(Cockpit!$I$5,1)="A",H922,IF(CA922=1,CB922,IF(LEFT(Cockpit!$I$5,1)="B",AR922,MAX(AR922,H922))))</f>
        <v>300</v>
      </c>
      <c r="AO922" s="57" t="n">
        <f aca="false">IF(BT922=1,0,ROUNDUP(AN922/BS922,0))</f>
        <v>3</v>
      </c>
      <c r="AP922" s="59" t="n">
        <f aca="false">IF(CH922&gt;0,CH922*MAX(1,AN922/X922),IF(BT922=1,IF(AN922&lt;=0,0,BW922*MAX(1,IF(H922&gt;0,AN922/H922,1))),IF(R922&gt;0,AO922/R922,0))/MAX(0.1,N(Parameter!$M$21)))</f>
        <v>1</v>
      </c>
      <c r="AQ922" s="57" t="n">
        <f aca="false">AN922*G922</f>
        <v>225</v>
      </c>
      <c r="AR922" s="57" t="n">
        <f aca="false">ROUNDUP(MAX(J922/IF(BZ922&gt;0,BZ922,MAX(0.1,N(Cockpit!$I$6))),CC922)/BS922,0)*BS922</f>
        <v>300</v>
      </c>
      <c r="AS922" s="58" t="n">
        <f aca="false">IF(AP922&gt;0,J922/AP922,-1)</f>
        <v>463</v>
      </c>
      <c r="AT922" s="58" t="str">
        <f aca="false">IF(AND(OR(BY922="L1",BY922="L23"),AP922&gt;0),SUMIFS($AP$7:$AP$1843,$BY$7:$BY$1843,BY922,$AS$7:$AS$1843,"&gt;"&amp;AS922)+SUMIFS($AP$7:$AP$1843,$BY$7:$BY$1843,BY922,$AS$7:$AS$1843,AS922,$BQ$7:$BQ$1843,"&lt;="&amp;BQ922),"")</f>
        <v/>
      </c>
      <c r="AU922" s="65" t="n">
        <f aca="false">IF(AT922="",0,MAX(0,MIN(1,(IF(BY922="L1",Parameter!$E$5,Parameter!$E$6+Parameter!$E$7)-(AT922-AP922))/AP922)))</f>
        <v>0</v>
      </c>
      <c r="AV922" s="57" t="n">
        <f aca="false">IF(LEFT(Cockpit!$O$5,1)="A",H922,IF(CA922=1,CB922,IF(LEFT(Cockpit!$O$5,1)="B",AZ922,MAX(AZ922,H922))))</f>
        <v>200</v>
      </c>
      <c r="AW922" s="57" t="n">
        <f aca="false">IF(BT922=1,0,ROUNDUP(AV922/BS922,0))</f>
        <v>2</v>
      </c>
      <c r="AX922" s="59" t="n">
        <f aca="false">IF(CH922&gt;0,CH922*MAX(1,AV922/X922),IF(BT922=1,IF(AV922&lt;=0,0,BW922*MAX(1,IF(H922&gt;0,AV922/H922,1))),IF(R922&gt;0,AW922/R922,0))/MAX(0.1,N(Parameter!$M$21)))</f>
        <v>0.666666666666667</v>
      </c>
      <c r="AY922" s="57" t="n">
        <f aca="false">AV922*G922</f>
        <v>150</v>
      </c>
      <c r="AZ922" s="57" t="n">
        <f aca="false">ROUNDUP(MAX(J922/IF(BZ922&gt;0,BZ922,MAX(0.1,N(Cockpit!$O$6))),CC922)/BS922,0)*BS922</f>
        <v>200</v>
      </c>
      <c r="BA922" s="58" t="n">
        <f aca="false">IF(AX922&gt;0,J922/AX922,-1)</f>
        <v>694.5</v>
      </c>
      <c r="BB922" s="58" t="str">
        <f aca="false">IF(AND(OR(BY922="L1",BY922="L23"),AX922&gt;0),SUMIFS($AX$7:$AX$1843,$BY$7:$BY$1843,BY922,$BA$7:$BA$1843,"&gt;"&amp;BA922)+SUMIFS($AX$7:$AX$1843,$BY$7:$BY$1843,BY922,$BA$7:$BA$1843,BA922,$BQ$7:$BQ$1843,"&lt;="&amp;BQ922),"")</f>
        <v/>
      </c>
      <c r="BC922" s="65" t="n">
        <f aca="false">IF(BB922="",0,MAX(0,MIN(1,(IF(BY922="L1",Parameter!$E$5,Parameter!$E$6+Parameter!$E$7)-(BB922-AX922))/AX922)))</f>
        <v>0</v>
      </c>
      <c r="BD922" s="55" t="str">
        <f aca="false">IF(AH922&lt;=0,"",IF(BY922="Aussen","Aussenlager",IF(BY922="-","Nicht im Lift",IF(AM922&gt;=1,"Lift",IF(AM922&lt;=0,"Aussenlager","teilweise")))))</f>
        <v>Nicht im Lift</v>
      </c>
      <c r="BE922" s="55" t="str">
        <f aca="false">IF(AP922&lt;=0,"",IF(BY922="Aussen","Aussenlager",IF(BY922="-","Nicht im Lift",IF(AU922&gt;=1,"Lift",IF(AU922&lt;=0,"Aussenlager","teilweise")))))</f>
        <v>Nicht im Lift</v>
      </c>
      <c r="BF922" s="55" t="str">
        <f aca="false">IF(AX922&lt;=0,"",IF(BY922="Aussen","Aussenlager",IF(BY922="-","Nicht im Lift",IF(BC922&gt;=1,"Lift",IF(BC922&lt;=0,"Aussenlager","teilweise")))))</f>
        <v>Nicht im Lift</v>
      </c>
      <c r="BG922" s="55" t="str">
        <f aca="false">IF(A922="","",IF(BP922=1,"Neu; ","")&amp;IF(AND(BP922=0,BK922&lt;0),"negativer Bestand (Export "&amp;BK922&amp;"); ","")&amp;IF(J922&lt;=0,"Kein Verbrauch; ","")&amp;IF(CH922&gt;0,"Lift "&amp;W922&amp;" lt. Liftbericht (Fach "&amp;X922&amp;" Stk); ",IF(BU922=1,"Gebinde geschätzt ("&amp;T922&amp;"); ",IF(BT922=1,"Lose – Tablare geschätzt; ","")))&amp;IF(H922&gt;AR922,"Überbestand "&amp;ROUND(H922-AR922,0)&amp;" Stk / CHF "&amp;ROUND((H922-AR922)*G922,0)&amp;"; ","")&amp;IF(AND(CA922=1,CB922&lt;CC922),"MAX &lt; MB+LG; ","")&amp;IF(AND(CG922&gt;0,CF922*10&gt;CG922),"zu hoch für Tablar; ","")&amp;IF(AND(BP922=0,OR(CA922=1,AA922&lt;&gt;"",U922&lt;&gt;"",V922&lt;&gt;"",AB922&lt;&gt;"")),"manuell übersteuert; ","")&amp;IF(AND(BT922=0,R922=0),"Gebinde unbekannt / Stellmass fehlt; ","")&amp;IF(AND(BT922=0,N(V922)&lt;=0,N(Q922)&lt;=0),"Menge pro Gebinde fehlt (Ist = 1 Gebinde); ","")&amp;BO922)</f>
        <v>negativer Bestand (Export -86); Gebinde geschätzt (Gross); Menge pro Gebinde fehlt (Ist = 1 Gebinde); </v>
      </c>
      <c r="BH922" s="55"/>
      <c r="BI922" s="55"/>
      <c r="BJ922" s="62"/>
      <c r="BK922" s="57" t="n">
        <v>-86</v>
      </c>
      <c r="BL922" s="57" t="n">
        <v>157</v>
      </c>
      <c r="BM922" s="56" t="n">
        <v>-44.09</v>
      </c>
      <c r="BN922" s="57" t="n">
        <v>463</v>
      </c>
      <c r="BO922" s="55"/>
      <c r="BP922" s="60" t="n">
        <v>0</v>
      </c>
      <c r="BQ922" s="60" t="n">
        <v>922</v>
      </c>
      <c r="BR922" s="55" t="str">
        <f aca="false">IF(U922&lt;&gt;"",UPPER(TRIM(U922)),IF(BU922=1,UPPER(VLOOKUP(T922,Parameter!$I$27:$K$29,2,0)),IF(P922="","LOSE",P922)))</f>
        <v>S81</v>
      </c>
      <c r="BS922" s="57" t="n">
        <f aca="false">IF(BR922="LOSE",1,IF(N(V922)&gt;0,V922,IF(BU922=1,MAX(1,N(VLOOKUP(T922,Parameter!$I$27:$K$29,3,0)),H922,N(N922)),IF(N(Q922)&gt;0,Q922,MAX(1,H922)))))</f>
        <v>100</v>
      </c>
      <c r="BT922" s="60" t="n">
        <f aca="false">IF(BR922="LOSE",1,0)</f>
        <v>0</v>
      </c>
      <c r="BU922" s="60" t="n">
        <f aca="false">IF(AND(U922="",OR(P922="",P922="LOSE"),T922&lt;&gt;"",N(S922)&lt;=0,ISNUMBER(MATCH(T922,Parameter!$I$27:$I$29,0))),1,0)</f>
        <v>1</v>
      </c>
      <c r="BV922" s="55" t="str">
        <f aca="false">IF(AND(Parameter!$B$19="Ja",E922&lt;&gt;"",ISNUMBER(MATCH(E922,Parameter!$I$35:$I$52,0))),VLOOKUP(E922,Parameter!$I$35:$J$52,2,0),IFERROR(VLOOKUP(D922,Parameter!$A$35:$C$64,2,0),"Nein"))</f>
        <v>Nein</v>
      </c>
      <c r="BW922" s="59" t="n">
        <f aca="false">IF(BT922=0,0,IF(N(S922)&gt;0,S922,IFERROR(VLOOKUP(D922,Parameter!$A$35:$C$64,3,0)+0,0)))</f>
        <v>0</v>
      </c>
      <c r="BX922" s="55" t="str">
        <f aca="false">IF(AA922&lt;&gt;"",AA922,Z922)</f>
        <v>-</v>
      </c>
      <c r="BY922" s="55" t="str">
        <f aca="false">IF(BX922=1,"L1",IF(OR(BX922=2,BX922=3),"L23",IF(BX922="Aussen","Aussen","-")))</f>
        <v>-</v>
      </c>
      <c r="BZ922" s="66" t="n">
        <f aca="false">IF(N(AB922)&gt;0,AB922,0)</f>
        <v>0</v>
      </c>
      <c r="CA922" s="60" t="n">
        <f aca="false">IF(ISNUMBER(AE922),1,0)</f>
        <v>0</v>
      </c>
      <c r="CB922" s="57" t="n">
        <f aca="false">N(AE922)</f>
        <v>0</v>
      </c>
      <c r="CC922" s="57" t="n">
        <f aca="false">N(M922)+N(N922)</f>
        <v>127</v>
      </c>
      <c r="CD922" s="57" t="n">
        <f aca="false">ROUNDUP(H922/BS922,0)</f>
        <v>1</v>
      </c>
      <c r="CE922" s="57" t="n">
        <f aca="false">ROUNDUP(CB922/BS922,0)</f>
        <v>0</v>
      </c>
      <c r="CF922" s="60" t="n">
        <f aca="false">IF(BT922=1,0,IFERROR(VLOOKUP(BR922,'Gebinde-Kategorie'!$A$5:$M$45,5,0)+0,0))</f>
        <v>20</v>
      </c>
      <c r="CG922" s="60" t="n">
        <f aca="false">IFERROR(IF(OR(BX922=1,BX922=2,BX922=3),N(INDEX(Parameter!$I$5:$I$7,BX922)),0),0)</f>
        <v>0</v>
      </c>
      <c r="CH922" s="59" t="n">
        <f aca="false">IF(AND(Parameter!$B$21="Ja",ISNUMBER(W922),N(X922)&gt;0),IFERROR(N(INDEX(Parameter!$L$5:$L$7,W922))*INDEX(Parameter!$E$5:$E$7,W922)*X922/SUMIFS($X$7:$X$1843,$W$7:$W$1843,W922),0),0)</f>
        <v>0</v>
      </c>
    </row>
    <row r="923" customFormat="false" ht="15" hidden="false" customHeight="false" outlineLevel="0" collapsed="false">
      <c r="A923" s="55" t="s">
        <v>1724</v>
      </c>
      <c r="B923" s="55" t="s">
        <v>1725</v>
      </c>
      <c r="C923" s="55" t="s">
        <v>164</v>
      </c>
      <c r="D923" s="55" t="s">
        <v>173</v>
      </c>
      <c r="E923" s="55" t="s">
        <v>185</v>
      </c>
      <c r="F923" s="55" t="s">
        <v>218</v>
      </c>
      <c r="G923" s="56" t="n">
        <v>2.29</v>
      </c>
      <c r="H923" s="57" t="n">
        <f aca="false">MAX(0,IF(AND(Parameter!$B$21="Ja",ISNUMBER(Y923)),Y923,IF(Parameter!$B$20="Jahresanfang 2025 + Export",BL923+BK923,BK923)))</f>
        <v>870</v>
      </c>
      <c r="I923" s="57" t="n">
        <f aca="false">H923*G923</f>
        <v>1992.3</v>
      </c>
      <c r="J923" s="57" t="n">
        <f aca="false">BN923*Parameter!$B$18</f>
        <v>20</v>
      </c>
      <c r="K923" s="58" t="n">
        <v>880</v>
      </c>
      <c r="L923" s="59" t="n">
        <v>0.0227272727272727</v>
      </c>
      <c r="M923" s="57" t="n">
        <v>1</v>
      </c>
      <c r="N923" s="57" t="n">
        <v>20</v>
      </c>
      <c r="O923" s="60" t="n">
        <v>21</v>
      </c>
      <c r="P923" s="55" t="s">
        <v>168</v>
      </c>
      <c r="Q923" s="57"/>
      <c r="R923" s="60" t="n">
        <f aca="false">IF(BT923=1,0,IFERROR(VLOOKUP(BR923,'Gebinde-Kategorie'!$A$5:$M$45,13,0)+0,0))</f>
        <v>12</v>
      </c>
      <c r="S923" s="61"/>
      <c r="T923" s="62" t="s">
        <v>179</v>
      </c>
      <c r="U923" s="62"/>
      <c r="V923" s="62"/>
      <c r="W923" s="55"/>
      <c r="X923" s="57"/>
      <c r="Y923" s="57"/>
      <c r="Z923" s="55" t="n">
        <f aca="false">IF(A923="","",IF(AND(Parameter!$B$21="Ja",ISNUMBER(W923)),W923,IF(BV923="2+3",IF(ISNUMBER(SEARCH("grosser Artikel",BO923)),2,IFERROR(VLOOKUP(BR923,Parameter!$F$35:$G$64,2,0),2)),IF(OR(BV923="Nein",BV923=""),"-",BV923))))</f>
        <v>2</v>
      </c>
      <c r="AA923" s="62"/>
      <c r="AB923" s="63"/>
      <c r="AC923" s="57" t="n">
        <f aca="false">AR923</f>
        <v>870</v>
      </c>
      <c r="AD923" s="57" t="n">
        <f aca="false">MAX(AR923,H923)</f>
        <v>870</v>
      </c>
      <c r="AE923" s="64"/>
      <c r="AF923" s="57" t="n">
        <f aca="false">IF(LEFT(Cockpit!$C$5,1)="A",H923,IF(CA923=1,CB923,IF(LEFT(Cockpit!$C$5,1)="B",AJ923,MAX(AJ923,H923))))</f>
        <v>870</v>
      </c>
      <c r="AG923" s="57" t="n">
        <f aca="false">IF(BT923=1,0,ROUNDUP(AF923/BS923,0))</f>
        <v>1</v>
      </c>
      <c r="AH923" s="59" t="n">
        <f aca="false">IF(CH923&gt;0,CH923*MAX(1,AF923/X923),IF(BT923=1,IF(AF923&lt;=0,0,BW923*MAX(1,IF(H923&gt;0,AF923/H923,1))),IF(R923&gt;0,AG923/R923,0))/MAX(0.1,N(Parameter!$M$21)))</f>
        <v>0.0833333333333333</v>
      </c>
      <c r="AI923" s="57" t="n">
        <f aca="false">AF923*G923</f>
        <v>1992.3</v>
      </c>
      <c r="AJ923" s="57" t="n">
        <f aca="false">ROUNDUP(MAX(J923/IF(BZ923&gt;0,BZ923,MAX(0.1,N(Cockpit!$C$6))),CC923)/BS923,0)*BS923</f>
        <v>870</v>
      </c>
      <c r="AK923" s="58" t="n">
        <f aca="false">IF(AH923&gt;0,J923/AH923,-1)</f>
        <v>240</v>
      </c>
      <c r="AL923" s="58" t="n">
        <f aca="false">IF(AND(OR(BY923="L1",BY923="L23"),AH923&gt;0),SUMIFS($AH$7:$AH$1843,$BY$7:$BY$1843,BY923,$AK$7:$AK$1843,"&gt;"&amp;AK923)+SUMIFS($AH$7:$AH$1843,$BY$7:$BY$1843,BY923,$AK$7:$AK$1843,AK923,$BQ$7:$BQ$1843,"&lt;="&amp;BQ923),"")</f>
        <v>30.0671092192831</v>
      </c>
      <c r="AM923" s="65" t="n">
        <f aca="false">IF(AL923="",0,MAX(0,MIN(1,(IF(BY923="L1",Parameter!$E$5,Parameter!$E$6+Parameter!$E$7)-(AL923-AH923))/AH923)))</f>
        <v>1</v>
      </c>
      <c r="AN923" s="57" t="n">
        <f aca="false">IF(LEFT(Cockpit!$I$5,1)="A",H923,IF(CA923=1,CB923,IF(LEFT(Cockpit!$I$5,1)="B",AR923,MAX(AR923,H923))))</f>
        <v>870</v>
      </c>
      <c r="AO923" s="57" t="n">
        <f aca="false">IF(BT923=1,0,ROUNDUP(AN923/BS923,0))</f>
        <v>1</v>
      </c>
      <c r="AP923" s="59" t="n">
        <f aca="false">IF(CH923&gt;0,CH923*MAX(1,AN923/X923),IF(BT923=1,IF(AN923&lt;=0,0,BW923*MAX(1,IF(H923&gt;0,AN923/H923,1))),IF(R923&gt;0,AO923/R923,0))/MAX(0.1,N(Parameter!$M$21)))</f>
        <v>0.0833333333333333</v>
      </c>
      <c r="AQ923" s="57" t="n">
        <f aca="false">AN923*G923</f>
        <v>1992.3</v>
      </c>
      <c r="AR923" s="57" t="n">
        <f aca="false">ROUNDUP(MAX(J923/IF(BZ923&gt;0,BZ923,MAX(0.1,N(Cockpit!$I$6))),CC923)/BS923,0)*BS923</f>
        <v>870</v>
      </c>
      <c r="AS923" s="58" t="n">
        <f aca="false">IF(AP923&gt;0,J923/AP923,-1)</f>
        <v>240</v>
      </c>
      <c r="AT923" s="58" t="n">
        <f aca="false">IF(AND(OR(BY923="L1",BY923="L23"),AP923&gt;0),SUMIFS($AP$7:$AP$1843,$BY$7:$BY$1843,BY923,$AS$7:$AS$1843,"&gt;"&amp;AS923)+SUMIFS($AP$7:$AP$1843,$BY$7:$BY$1843,BY923,$AS$7:$AS$1843,AS923,$BQ$7:$BQ$1843,"&lt;="&amp;BQ923),"")</f>
        <v>43.7120958751394</v>
      </c>
      <c r="AU923" s="65" t="n">
        <f aca="false">IF(AT923="",0,MAX(0,MIN(1,(IF(BY923="L1",Parameter!$E$5,Parameter!$E$6+Parameter!$E$7)-(AT923-AP923))/AP923)))</f>
        <v>1</v>
      </c>
      <c r="AV923" s="57" t="n">
        <f aca="false">IF(LEFT(Cockpit!$O$5,1)="A",H923,IF(CA923=1,CB923,IF(LEFT(Cockpit!$O$5,1)="B",AZ923,MAX(AZ923,H923))))</f>
        <v>870</v>
      </c>
      <c r="AW923" s="57" t="n">
        <f aca="false">IF(BT923=1,0,ROUNDUP(AV923/BS923,0))</f>
        <v>1</v>
      </c>
      <c r="AX923" s="59" t="n">
        <f aca="false">IF(CH923&gt;0,CH923*MAX(1,AV923/X923),IF(BT923=1,IF(AV923&lt;=0,0,BW923*MAX(1,IF(H923&gt;0,AV923/H923,1))),IF(R923&gt;0,AW923/R923,0))/MAX(0.1,N(Parameter!$M$21)))</f>
        <v>0.0833333333333333</v>
      </c>
      <c r="AY923" s="57" t="n">
        <f aca="false">AV923*G923</f>
        <v>1992.3</v>
      </c>
      <c r="AZ923" s="57" t="n">
        <f aca="false">ROUNDUP(MAX(J923/IF(BZ923&gt;0,BZ923,MAX(0.1,N(Cockpit!$O$6))),CC923)/BS923,0)*BS923</f>
        <v>870</v>
      </c>
      <c r="BA923" s="58" t="n">
        <f aca="false">IF(AX923&gt;0,J923/AX923,-1)</f>
        <v>240</v>
      </c>
      <c r="BB923" s="58" t="n">
        <f aca="false">IF(AND(OR(BY923="L1",BY923="L23"),AX923&gt;0),SUMIFS($AX$7:$AX$1843,$BY$7:$BY$1843,BY923,$BA$7:$BA$1843,"&gt;"&amp;BA923)+SUMIFS($AX$7:$AX$1843,$BY$7:$BY$1843,BY923,$BA$7:$BA$1843,BA923,$BQ$7:$BQ$1843,"&lt;="&amp;BQ923),"")</f>
        <v>40.9585993716429</v>
      </c>
      <c r="BC923" s="65" t="n">
        <f aca="false">IF(BB923="",0,MAX(0,MIN(1,(IF(BY923="L1",Parameter!$E$5,Parameter!$E$6+Parameter!$E$7)-(BB923-AX923))/AX923)))</f>
        <v>1</v>
      </c>
      <c r="BD923" s="55" t="str">
        <f aca="false">IF(AH923&lt;=0,"",IF(BY923="Aussen","Aussenlager",IF(BY923="-","Nicht im Lift",IF(AM923&gt;=1,"Lift",IF(AM923&lt;=0,"Aussenlager","teilweise")))))</f>
        <v>Lift</v>
      </c>
      <c r="BE923" s="55" t="str">
        <f aca="false">IF(AP923&lt;=0,"",IF(BY923="Aussen","Aussenlager",IF(BY923="-","Nicht im Lift",IF(AU923&gt;=1,"Lift",IF(AU923&lt;=0,"Aussenlager","teilweise")))))</f>
        <v>Lift</v>
      </c>
      <c r="BF923" s="55" t="str">
        <f aca="false">IF(AX923&lt;=0,"",IF(BY923="Aussen","Aussenlager",IF(BY923="-","Nicht im Lift",IF(BC923&gt;=1,"Lift",IF(BC923&lt;=0,"Aussenlager","teilweise")))))</f>
        <v>Lift</v>
      </c>
      <c r="BG923" s="55" t="str">
        <f aca="false">IF(A923="","",IF(BP923=1,"Neu; ","")&amp;IF(AND(BP923=0,BK923&lt;0),"negativer Bestand (Export "&amp;BK923&amp;"); ","")&amp;IF(J923&lt;=0,"Kein Verbrauch; ","")&amp;IF(CH923&gt;0,"Lift "&amp;W923&amp;" lt. Liftbericht (Fach "&amp;X923&amp;" Stk); ",IF(BU923=1,"Gebinde geschätzt ("&amp;T923&amp;"); ",IF(BT923=1,"Lose – Tablare geschätzt; ","")))&amp;IF(H923&gt;AR923,"Überbestand "&amp;ROUND(H923-AR923,0)&amp;" Stk / CHF "&amp;ROUND((H923-AR923)*G923,0)&amp;"; ","")&amp;IF(AND(CA923=1,CB923&lt;CC923),"MAX &lt; MB+LG; ","")&amp;IF(AND(CG923&gt;0,CF923*10&gt;CG923),"zu hoch für Tablar; ","")&amp;IF(AND(BP923=0,OR(CA923=1,AA923&lt;&gt;"",U923&lt;&gt;"",V923&lt;&gt;"",AB923&lt;&gt;"")),"manuell übersteuert; ","")&amp;IF(AND(BT923=0,R923=0),"Gebinde unbekannt / Stellmass fehlt; ","")&amp;IF(AND(BT923=0,N(V923)&lt;=0,N(Q923)&lt;=0),"Menge pro Gebinde fehlt (Ist = 1 Gebinde); ","")&amp;BO923)</f>
        <v>negativer Bestand (Export -20); Gebinde geschätzt (Mittel); Menge pro Gebinde fehlt (Ist = 1 Gebinde); Überbestand; grosser Artikel &amp; nicht im KTL</v>
      </c>
      <c r="BH923" s="55"/>
      <c r="BI923" s="55"/>
      <c r="BJ923" s="62"/>
      <c r="BK923" s="57" t="n">
        <v>-20</v>
      </c>
      <c r="BL923" s="57" t="n">
        <v>890</v>
      </c>
      <c r="BM923" s="56" t="n">
        <v>-45.8</v>
      </c>
      <c r="BN923" s="57" t="n">
        <v>20</v>
      </c>
      <c r="BO923" s="55" t="s">
        <v>359</v>
      </c>
      <c r="BP923" s="60" t="n">
        <v>0</v>
      </c>
      <c r="BQ923" s="60" t="n">
        <v>923</v>
      </c>
      <c r="BR923" s="55" t="str">
        <f aca="false">IF(U923&lt;&gt;"",UPPER(TRIM(U923)),IF(BU923=1,UPPER(VLOOKUP(T923,Parameter!$I$27:$K$29,2,0)),IF(P923="","LOSE",P923)))</f>
        <v>S61</v>
      </c>
      <c r="BS923" s="57" t="n">
        <f aca="false">IF(BR923="LOSE",1,IF(N(V923)&gt;0,V923,IF(BU923=1,MAX(1,N(VLOOKUP(T923,Parameter!$I$27:$K$29,3,0)),H923,N(N923)),IF(N(Q923)&gt;0,Q923,MAX(1,H923)))))</f>
        <v>870</v>
      </c>
      <c r="BT923" s="60" t="n">
        <f aca="false">IF(BR923="LOSE",1,0)</f>
        <v>0</v>
      </c>
      <c r="BU923" s="60" t="n">
        <f aca="false">IF(AND(U923="",OR(P923="",P923="LOSE"),T923&lt;&gt;"",N(S923)&lt;=0,ISNUMBER(MATCH(T923,Parameter!$I$27:$I$29,0))),1,0)</f>
        <v>1</v>
      </c>
      <c r="BV923" s="55" t="str">
        <f aca="false">IF(AND(Parameter!$B$19="Ja",E923&lt;&gt;"",ISNUMBER(MATCH(E923,Parameter!$I$35:$I$52,0))),VLOOKUP(E923,Parameter!$I$35:$J$52,2,0),IFERROR(VLOOKUP(D923,Parameter!$A$35:$C$64,2,0),"Nein"))</f>
        <v>2+3</v>
      </c>
      <c r="BW923" s="59" t="n">
        <f aca="false">IF(BT923=0,0,IF(N(S923)&gt;0,S923,IFERROR(VLOOKUP(D923,Parameter!$A$35:$C$64,3,0)+0,0)))</f>
        <v>0</v>
      </c>
      <c r="BX923" s="55" t="n">
        <f aca="false">IF(AA923&lt;&gt;"",AA923,Z923)</f>
        <v>2</v>
      </c>
      <c r="BY923" s="55" t="str">
        <f aca="false">IF(BX923=1,"L1",IF(OR(BX923=2,BX923=3),"L23",IF(BX923="Aussen","Aussen","-")))</f>
        <v>L23</v>
      </c>
      <c r="BZ923" s="66" t="n">
        <f aca="false">IF(N(AB923)&gt;0,AB923,0)</f>
        <v>0</v>
      </c>
      <c r="CA923" s="60" t="n">
        <f aca="false">IF(ISNUMBER(AE923),1,0)</f>
        <v>0</v>
      </c>
      <c r="CB923" s="57" t="n">
        <f aca="false">N(AE923)</f>
        <v>0</v>
      </c>
      <c r="CC923" s="57" t="n">
        <f aca="false">N(M923)+N(N923)</f>
        <v>21</v>
      </c>
      <c r="CD923" s="57" t="n">
        <f aca="false">ROUNDUP(H923/BS923,0)</f>
        <v>1</v>
      </c>
      <c r="CE923" s="57" t="n">
        <f aca="false">ROUNDUP(CB923/BS923,0)</f>
        <v>0</v>
      </c>
      <c r="CF923" s="60" t="n">
        <f aca="false">IF(BT923=1,0,IFERROR(VLOOKUP(BR923,'Gebinde-Kategorie'!$A$5:$M$45,5,0)+0,0))</f>
        <v>11</v>
      </c>
      <c r="CG923" s="60" t="n">
        <f aca="false">IFERROR(IF(OR(BX923=1,BX923=2,BX923=3),N(INDEX(Parameter!$I$5:$I$7,BX923)),0),0)</f>
        <v>0</v>
      </c>
      <c r="CH923" s="59" t="n">
        <f aca="false">IF(AND(Parameter!$B$21="Ja",ISNUMBER(W923),N(X923)&gt;0),IFERROR(N(INDEX(Parameter!$L$5:$L$7,W923))*INDEX(Parameter!$E$5:$E$7,W923)*X923/SUMIFS($X$7:$X$1843,$W$7:$W$1843,W923),0),0)</f>
        <v>0</v>
      </c>
    </row>
    <row r="924" customFormat="false" ht="15" hidden="false" customHeight="false" outlineLevel="0" collapsed="false">
      <c r="A924" s="55" t="s">
        <v>1726</v>
      </c>
      <c r="B924" s="55" t="s">
        <v>495</v>
      </c>
      <c r="C924" s="55" t="s">
        <v>164</v>
      </c>
      <c r="D924" s="55" t="s">
        <v>184</v>
      </c>
      <c r="E924" s="55" t="s">
        <v>185</v>
      </c>
      <c r="F924" s="55" t="s">
        <v>218</v>
      </c>
      <c r="G924" s="56" t="n">
        <v>0.25</v>
      </c>
      <c r="H924" s="57" t="n">
        <f aca="false">MAX(0,IF(AND(Parameter!$B$21="Ja",ISNUMBER(Y924)),Y924,IF(Parameter!$B$20="Jahresanfang 2025 + Export",BL924+BK924,BK924)))</f>
        <v>49</v>
      </c>
      <c r="I924" s="57" t="n">
        <f aca="false">H924*G924</f>
        <v>12.25</v>
      </c>
      <c r="J924" s="57" t="n">
        <f aca="false">BN924*Parameter!$B$18</f>
        <v>310</v>
      </c>
      <c r="K924" s="58" t="n">
        <v>143</v>
      </c>
      <c r="L924" s="59" t="n">
        <v>2.16783216783217</v>
      </c>
      <c r="M924" s="57" t="n">
        <v>18</v>
      </c>
      <c r="N924" s="57" t="n">
        <v>310</v>
      </c>
      <c r="O924" s="60" t="n">
        <v>21</v>
      </c>
      <c r="P924" s="55" t="s">
        <v>401</v>
      </c>
      <c r="Q924" s="57" t="n">
        <v>185</v>
      </c>
      <c r="R924" s="60" t="n">
        <f aca="false">IF(BT924=1,0,IFERROR(VLOOKUP(BR924,'Gebinde-Kategorie'!$A$5:$M$45,13,0)+0,0))</f>
        <v>414</v>
      </c>
      <c r="S924" s="61"/>
      <c r="T924" s="62"/>
      <c r="U924" s="62"/>
      <c r="V924" s="62"/>
      <c r="W924" s="55"/>
      <c r="X924" s="57"/>
      <c r="Y924" s="57"/>
      <c r="Z924" s="55" t="n">
        <f aca="false">IF(A924="","",IF(AND(Parameter!$B$21="Ja",ISNUMBER(W924)),W924,IF(BV924="2+3",IF(ISNUMBER(SEARCH("grosser Artikel",BO924)),2,IFERROR(VLOOKUP(BR924,Parameter!$F$35:$G$64,2,0),2)),IF(OR(BV924="Nein",BV924=""),"-",BV924))))</f>
        <v>3</v>
      </c>
      <c r="AA924" s="62"/>
      <c r="AB924" s="63"/>
      <c r="AC924" s="57" t="n">
        <f aca="false">AR924</f>
        <v>370</v>
      </c>
      <c r="AD924" s="57" t="n">
        <f aca="false">MAX(AR924,H924)</f>
        <v>370</v>
      </c>
      <c r="AE924" s="64"/>
      <c r="AF924" s="57" t="n">
        <f aca="false">IF(LEFT(Cockpit!$C$5,1)="A",H924,IF(CA924=1,CB924,IF(LEFT(Cockpit!$C$5,1)="B",AJ924,MAX(AJ924,H924))))</f>
        <v>49</v>
      </c>
      <c r="AG924" s="57" t="n">
        <f aca="false">IF(BT924=1,0,ROUNDUP(AF924/BS924,0))</f>
        <v>1</v>
      </c>
      <c r="AH924" s="59" t="n">
        <f aca="false">IF(CH924&gt;0,CH924*MAX(1,AF924/X924),IF(BT924=1,IF(AF924&lt;=0,0,BW924*MAX(1,IF(H924&gt;0,AF924/H924,1))),IF(R924&gt;0,AG924/R924,0))/MAX(0.1,N(Parameter!$M$21)))</f>
        <v>0.00241545893719807</v>
      </c>
      <c r="AI924" s="57" t="n">
        <f aca="false">AF924*G924</f>
        <v>12.25</v>
      </c>
      <c r="AJ924" s="57" t="n">
        <f aca="false">ROUNDUP(MAX(J924/IF(BZ924&gt;0,BZ924,MAX(0.1,N(Cockpit!$C$6))),CC924)/BS924,0)*BS924</f>
        <v>370</v>
      </c>
      <c r="AK924" s="58" t="n">
        <f aca="false">IF(AH924&gt;0,J924/AH924,-1)</f>
        <v>128340</v>
      </c>
      <c r="AL924" s="58" t="n">
        <f aca="false">IF(AND(OR(BY924="L1",BY924="L23"),AH924&gt;0),SUMIFS($AH$7:$AH$1843,$BY$7:$BY$1843,BY924,$AK$7:$AK$1843,"&gt;"&amp;AK924)+SUMIFS($AH$7:$AH$1843,$BY$7:$BY$1843,BY924,$AK$7:$AK$1843,AK924,$BQ$7:$BQ$1843,"&lt;="&amp;BQ924),"")</f>
        <v>0.287135569744265</v>
      </c>
      <c r="AM924" s="65" t="n">
        <f aca="false">IF(AL924="",0,MAX(0,MIN(1,(IF(BY924="L1",Parameter!$E$5,Parameter!$E$6+Parameter!$E$7)-(AL924-AH924))/AH924)))</f>
        <v>1</v>
      </c>
      <c r="AN924" s="57" t="n">
        <f aca="false">IF(LEFT(Cockpit!$I$5,1)="A",H924,IF(CA924=1,CB924,IF(LEFT(Cockpit!$I$5,1)="B",AR924,MAX(AR924,H924))))</f>
        <v>370</v>
      </c>
      <c r="AO924" s="57" t="n">
        <f aca="false">IF(BT924=1,0,ROUNDUP(AN924/BS924,0))</f>
        <v>2</v>
      </c>
      <c r="AP924" s="59" t="n">
        <f aca="false">IF(CH924&gt;0,CH924*MAX(1,AN924/X924),IF(BT924=1,IF(AN924&lt;=0,0,BW924*MAX(1,IF(H924&gt;0,AN924/H924,1))),IF(R924&gt;0,AO924/R924,0))/MAX(0.1,N(Parameter!$M$21)))</f>
        <v>0.00483091787439614</v>
      </c>
      <c r="AQ924" s="57" t="n">
        <f aca="false">AN924*G924</f>
        <v>92.5</v>
      </c>
      <c r="AR924" s="57" t="n">
        <f aca="false">ROUNDUP(MAX(J924/IF(BZ924&gt;0,BZ924,MAX(0.1,N(Cockpit!$I$6))),CC924)/BS924,0)*BS924</f>
        <v>370</v>
      </c>
      <c r="AS924" s="58" t="n">
        <f aca="false">IF(AP924&gt;0,J924/AP924,-1)</f>
        <v>64170</v>
      </c>
      <c r="AT924" s="58" t="n">
        <f aca="false">IF(AND(OR(BY924="L1",BY924="L23"),AP924&gt;0),SUMIFS($AP$7:$AP$1843,$BY$7:$BY$1843,BY924,$AS$7:$AS$1843,"&gt;"&amp;AS924)+SUMIFS($AP$7:$AP$1843,$BY$7:$BY$1843,BY924,$AS$7:$AS$1843,AS924,$BQ$7:$BQ$1843,"&lt;="&amp;BQ924),"")</f>
        <v>0.464798486537617</v>
      </c>
      <c r="AU924" s="65" t="n">
        <f aca="false">IF(AT924="",0,MAX(0,MIN(1,(IF(BY924="L1",Parameter!$E$5,Parameter!$E$6+Parameter!$E$7)-(AT924-AP924))/AP924)))</f>
        <v>1</v>
      </c>
      <c r="AV924" s="57" t="n">
        <f aca="false">IF(LEFT(Cockpit!$O$5,1)="A",H924,IF(CA924=1,CB924,IF(LEFT(Cockpit!$O$5,1)="B",AZ924,MAX(AZ924,H924))))</f>
        <v>370</v>
      </c>
      <c r="AW924" s="57" t="n">
        <f aca="false">IF(BT924=1,0,ROUNDUP(AV924/BS924,0))</f>
        <v>2</v>
      </c>
      <c r="AX924" s="59" t="n">
        <f aca="false">IF(CH924&gt;0,CH924*MAX(1,AV924/X924),IF(BT924=1,IF(AV924&lt;=0,0,BW924*MAX(1,IF(H924&gt;0,AV924/H924,1))),IF(R924&gt;0,AW924/R924,0))/MAX(0.1,N(Parameter!$M$21)))</f>
        <v>0.00483091787439614</v>
      </c>
      <c r="AY924" s="57" t="n">
        <f aca="false">AV924*G924</f>
        <v>92.5</v>
      </c>
      <c r="AZ924" s="57" t="n">
        <f aca="false">ROUNDUP(MAX(J924/IF(BZ924&gt;0,BZ924,MAX(0.1,N(Cockpit!$O$6))),CC924)/BS924,0)*BS924</f>
        <v>370</v>
      </c>
      <c r="BA924" s="58" t="n">
        <f aca="false">IF(AX924&gt;0,J924/AX924,-1)</f>
        <v>64170</v>
      </c>
      <c r="BB924" s="58" t="n">
        <f aca="false">IF(AND(OR(BY924="L1",BY924="L23"),AX924&gt;0),SUMIFS($AX$7:$AX$1843,$BY$7:$BY$1843,BY924,$BA$7:$BA$1843,"&gt;"&amp;BA924)+SUMIFS($AX$7:$AX$1843,$BY$7:$BY$1843,BY924,$BA$7:$BA$1843,BA924,$BQ$7:$BQ$1843,"&lt;="&amp;BQ924),"")</f>
        <v>0.710719232458363</v>
      </c>
      <c r="BC924" s="65" t="n">
        <f aca="false">IF(BB924="",0,MAX(0,MIN(1,(IF(BY924="L1",Parameter!$E$5,Parameter!$E$6+Parameter!$E$7)-(BB924-AX924))/AX924)))</f>
        <v>1</v>
      </c>
      <c r="BD924" s="55" t="str">
        <f aca="false">IF(AH924&lt;=0,"",IF(BY924="Aussen","Aussenlager",IF(BY924="-","Nicht im Lift",IF(AM924&gt;=1,"Lift",IF(AM924&lt;=0,"Aussenlager","teilweise")))))</f>
        <v>Lift</v>
      </c>
      <c r="BE924" s="55" t="str">
        <f aca="false">IF(AP924&lt;=0,"",IF(BY924="Aussen","Aussenlager",IF(BY924="-","Nicht im Lift",IF(AU924&gt;=1,"Lift",IF(AU924&lt;=0,"Aussenlager","teilweise")))))</f>
        <v>Lift</v>
      </c>
      <c r="BF924" s="55" t="str">
        <f aca="false">IF(AX924&lt;=0,"",IF(BY924="Aussen","Aussenlager",IF(BY924="-","Nicht im Lift",IF(BC924&gt;=1,"Lift",IF(BC924&lt;=0,"Aussenlager","teilweise")))))</f>
        <v>Lift</v>
      </c>
      <c r="BG924" s="55" t="str">
        <f aca="false">IF(A924="","",IF(BP924=1,"Neu; ","")&amp;IF(AND(BP924=0,BK924&lt;0),"negativer Bestand (Export "&amp;BK924&amp;"); ","")&amp;IF(J924&lt;=0,"Kein Verbrauch; ","")&amp;IF(CH924&gt;0,"Lift "&amp;W924&amp;" lt. Liftbericht (Fach "&amp;X924&amp;" Stk); ",IF(BU924=1,"Gebinde geschätzt ("&amp;T924&amp;"); ",IF(BT924=1,"Lose – Tablare geschätzt; ","")))&amp;IF(H924&gt;AR924,"Überbestand "&amp;ROUND(H924-AR924,0)&amp;" Stk / CHF "&amp;ROUND((H924-AR924)*G924,0)&amp;"; ","")&amp;IF(AND(CA924=1,CB924&lt;CC924),"MAX &lt; MB+LG; ","")&amp;IF(AND(CG924&gt;0,CF924*10&gt;CG924),"zu hoch für Tablar; ","")&amp;IF(AND(BP924=0,OR(CA924=1,AA924&lt;&gt;"",U924&lt;&gt;"",V924&lt;&gt;"",AB924&lt;&gt;"")),"manuell übersteuert; ","")&amp;IF(AND(BT924=0,R924=0),"Gebinde unbekannt / Stellmass fehlt; ","")&amp;IF(AND(BT924=0,N(V924)&lt;=0,N(Q924)&lt;=0),"Menge pro Gebinde fehlt (Ist = 1 Gebinde); ","")&amp;BO924)</f>
        <v>negativer Bestand (Export -152); </v>
      </c>
      <c r="BH924" s="55"/>
      <c r="BI924" s="55"/>
      <c r="BJ924" s="62"/>
      <c r="BK924" s="57" t="n">
        <v>-152</v>
      </c>
      <c r="BL924" s="57" t="n">
        <v>201</v>
      </c>
      <c r="BM924" s="56" t="n">
        <v>-46.04</v>
      </c>
      <c r="BN924" s="57" t="n">
        <v>310</v>
      </c>
      <c r="BO924" s="55"/>
      <c r="BP924" s="60" t="n">
        <v>0</v>
      </c>
      <c r="BQ924" s="60" t="n">
        <v>924</v>
      </c>
      <c r="BR924" s="55" t="str">
        <f aca="false">IF(U924&lt;&gt;"",UPPER(TRIM(U924)),IF(BU924=1,UPPER(VLOOKUP(T924,Parameter!$I$27:$K$29,2,0)),IF(P924="","LOSE",P924)))</f>
        <v>S21</v>
      </c>
      <c r="BS924" s="57" t="n">
        <f aca="false">IF(BR924="LOSE",1,IF(N(V924)&gt;0,V924,IF(BU924=1,MAX(1,N(VLOOKUP(T924,Parameter!$I$27:$K$29,3,0)),H924,N(N924)),IF(N(Q924)&gt;0,Q924,MAX(1,H924)))))</f>
        <v>185</v>
      </c>
      <c r="BT924" s="60" t="n">
        <f aca="false">IF(BR924="LOSE",1,0)</f>
        <v>0</v>
      </c>
      <c r="BU924" s="60" t="n">
        <f aca="false">IF(AND(U924="",OR(P924="",P924="LOSE"),T924&lt;&gt;"",N(S924)&lt;=0,ISNUMBER(MATCH(T924,Parameter!$I$27:$I$29,0))),1,0)</f>
        <v>0</v>
      </c>
      <c r="BV924" s="55" t="str">
        <f aca="false">IF(AND(Parameter!$B$19="Ja",E924&lt;&gt;"",ISNUMBER(MATCH(E924,Parameter!$I$35:$I$52,0))),VLOOKUP(E924,Parameter!$I$35:$J$52,2,0),IFERROR(VLOOKUP(D924,Parameter!$A$35:$C$64,2,0),"Nein"))</f>
        <v>2+3</v>
      </c>
      <c r="BW924" s="59" t="n">
        <f aca="false">IF(BT924=0,0,IF(N(S924)&gt;0,S924,IFERROR(VLOOKUP(D924,Parameter!$A$35:$C$64,3,0)+0,0)))</f>
        <v>0</v>
      </c>
      <c r="BX924" s="55" t="n">
        <f aca="false">IF(AA924&lt;&gt;"",AA924,Z924)</f>
        <v>3</v>
      </c>
      <c r="BY924" s="55" t="str">
        <f aca="false">IF(BX924=1,"L1",IF(OR(BX924=2,BX924=3),"L23",IF(BX924="Aussen","Aussen","-")))</f>
        <v>L23</v>
      </c>
      <c r="BZ924" s="66" t="n">
        <f aca="false">IF(N(AB924)&gt;0,AB924,0)</f>
        <v>0</v>
      </c>
      <c r="CA924" s="60" t="n">
        <f aca="false">IF(ISNUMBER(AE924),1,0)</f>
        <v>0</v>
      </c>
      <c r="CB924" s="57" t="n">
        <f aca="false">N(AE924)</f>
        <v>0</v>
      </c>
      <c r="CC924" s="57" t="n">
        <f aca="false">N(M924)+N(N924)</f>
        <v>328</v>
      </c>
      <c r="CD924" s="57" t="n">
        <f aca="false">ROUNDUP(H924/BS924,0)</f>
        <v>1</v>
      </c>
      <c r="CE924" s="57" t="n">
        <f aca="false">ROUNDUP(CB924/BS924,0)</f>
        <v>0</v>
      </c>
      <c r="CF924" s="60" t="n">
        <f aca="false">IF(BT924=1,0,IFERROR(VLOOKUP(BR924,'Gebinde-Kategorie'!$A$5:$M$45,5,0)+0,0))</f>
        <v>8</v>
      </c>
      <c r="CG924" s="60" t="n">
        <f aca="false">IFERROR(IF(OR(BX924=1,BX924=2,BX924=3),N(INDEX(Parameter!$I$5:$I$7,BX924)),0),0)</f>
        <v>0</v>
      </c>
      <c r="CH924" s="59" t="n">
        <f aca="false">IF(AND(Parameter!$B$21="Ja",ISNUMBER(W924),N(X924)&gt;0),IFERROR(N(INDEX(Parameter!$L$5:$L$7,W924))*INDEX(Parameter!$E$5:$E$7,W924)*X924/SUMIFS($X$7:$X$1843,$W$7:$W$1843,W924),0),0)</f>
        <v>0</v>
      </c>
    </row>
    <row r="925" customFormat="false" ht="15" hidden="false" customHeight="false" outlineLevel="0" collapsed="false">
      <c r="A925" s="55" t="s">
        <v>1727</v>
      </c>
      <c r="B925" s="55" t="s">
        <v>892</v>
      </c>
      <c r="C925" s="55" t="s">
        <v>164</v>
      </c>
      <c r="D925" s="55" t="s">
        <v>184</v>
      </c>
      <c r="E925" s="55" t="s">
        <v>185</v>
      </c>
      <c r="F925" s="55" t="s">
        <v>218</v>
      </c>
      <c r="G925" s="56" t="n">
        <v>10.02</v>
      </c>
      <c r="H925" s="57" t="n">
        <f aca="false">MAX(0,IF(AND(Parameter!$B$21="Ja",ISNUMBER(Y925)),Y925,IF(Parameter!$B$20="Jahresanfang 2025 + Export",BL925+BK925,BK925)))</f>
        <v>3</v>
      </c>
      <c r="I925" s="57" t="n">
        <f aca="false">H925*G925</f>
        <v>30.06</v>
      </c>
      <c r="J925" s="57" t="n">
        <f aca="false">BN925*Parameter!$B$18</f>
        <v>11</v>
      </c>
      <c r="K925" s="58" t="n">
        <v>7.5</v>
      </c>
      <c r="L925" s="59" t="n">
        <v>1.46666666666667</v>
      </c>
      <c r="M925" s="57" t="n">
        <v>0</v>
      </c>
      <c r="N925" s="57" t="n">
        <v>10</v>
      </c>
      <c r="O925" s="60" t="n">
        <v>14</v>
      </c>
      <c r="P925" s="55" t="s">
        <v>421</v>
      </c>
      <c r="Q925" s="57" t="n">
        <v>27</v>
      </c>
      <c r="R925" s="60" t="n">
        <f aca="false">IF(BT925=1,0,IFERROR(VLOOKUP(BR925,'Gebinde-Kategorie'!$A$5:$M$45,13,0)+0,0))</f>
        <v>132</v>
      </c>
      <c r="S925" s="61"/>
      <c r="T925" s="62"/>
      <c r="U925" s="62"/>
      <c r="V925" s="62"/>
      <c r="W925" s="55"/>
      <c r="X925" s="57"/>
      <c r="Y925" s="57"/>
      <c r="Z925" s="55" t="n">
        <f aca="false">IF(A925="","",IF(AND(Parameter!$B$21="Ja",ISNUMBER(W925)),W925,IF(BV925="2+3",IF(ISNUMBER(SEARCH("grosser Artikel",BO925)),2,IFERROR(VLOOKUP(BR925,Parameter!$F$35:$G$64,2,0),2)),IF(OR(BV925="Nein",BV925=""),"-",BV925))))</f>
        <v>3</v>
      </c>
      <c r="AA925" s="62"/>
      <c r="AB925" s="63"/>
      <c r="AC925" s="57" t="n">
        <f aca="false">AR925</f>
        <v>27</v>
      </c>
      <c r="AD925" s="57" t="n">
        <f aca="false">MAX(AR925,H925)</f>
        <v>27</v>
      </c>
      <c r="AE925" s="64"/>
      <c r="AF925" s="57" t="n">
        <f aca="false">IF(LEFT(Cockpit!$C$5,1)="A",H925,IF(CA925=1,CB925,IF(LEFT(Cockpit!$C$5,1)="B",AJ925,MAX(AJ925,H925))))</f>
        <v>3</v>
      </c>
      <c r="AG925" s="57" t="n">
        <f aca="false">IF(BT925=1,0,ROUNDUP(AF925/BS925,0))</f>
        <v>1</v>
      </c>
      <c r="AH925" s="59" t="n">
        <f aca="false">IF(CH925&gt;0,CH925*MAX(1,AF925/X925),IF(BT925=1,IF(AF925&lt;=0,0,BW925*MAX(1,IF(H925&gt;0,AF925/H925,1))),IF(R925&gt;0,AG925/R925,0))/MAX(0.1,N(Parameter!$M$21)))</f>
        <v>0.00757575757575758</v>
      </c>
      <c r="AI925" s="57" t="n">
        <f aca="false">AF925*G925</f>
        <v>30.06</v>
      </c>
      <c r="AJ925" s="57" t="n">
        <f aca="false">ROUNDUP(MAX(J925/IF(BZ925&gt;0,BZ925,MAX(0.1,N(Cockpit!$C$6))),CC925)/BS925,0)*BS925</f>
        <v>27</v>
      </c>
      <c r="AK925" s="58" t="n">
        <f aca="false">IF(AH925&gt;0,J925/AH925,-1)</f>
        <v>1452</v>
      </c>
      <c r="AL925" s="58" t="n">
        <f aca="false">IF(AND(OR(BY925="L1",BY925="L23"),AH925&gt;0),SUMIFS($AH$7:$AH$1843,$BY$7:$BY$1843,BY925,$AK$7:$AK$1843,"&gt;"&amp;AK925)+SUMIFS($AH$7:$AH$1843,$BY$7:$BY$1843,BY925,$AK$7:$AK$1843,AK925,$BQ$7:$BQ$1843,"&lt;="&amp;BQ925),"")</f>
        <v>15.9789787507179</v>
      </c>
      <c r="AM925" s="65" t="n">
        <f aca="false">IF(AL925="",0,MAX(0,MIN(1,(IF(BY925="L1",Parameter!$E$5,Parameter!$E$6+Parameter!$E$7)-(AL925-AH925))/AH925)))</f>
        <v>1</v>
      </c>
      <c r="AN925" s="57" t="n">
        <f aca="false">IF(LEFT(Cockpit!$I$5,1)="A",H925,IF(CA925=1,CB925,IF(LEFT(Cockpit!$I$5,1)="B",AR925,MAX(AR925,H925))))</f>
        <v>27</v>
      </c>
      <c r="AO925" s="57" t="n">
        <f aca="false">IF(BT925=1,0,ROUNDUP(AN925/BS925,0))</f>
        <v>1</v>
      </c>
      <c r="AP925" s="59" t="n">
        <f aca="false">IF(CH925&gt;0,CH925*MAX(1,AN925/X925),IF(BT925=1,IF(AN925&lt;=0,0,BW925*MAX(1,IF(H925&gt;0,AN925/H925,1))),IF(R925&gt;0,AO925/R925,0))/MAX(0.1,N(Parameter!$M$21)))</f>
        <v>0.00757575757575758</v>
      </c>
      <c r="AQ925" s="57" t="n">
        <f aca="false">AN925*G925</f>
        <v>270.54</v>
      </c>
      <c r="AR925" s="57" t="n">
        <f aca="false">ROUNDUP(MAX(J925/IF(BZ925&gt;0,BZ925,MAX(0.1,N(Cockpit!$I$6))),CC925)/BS925,0)*BS925</f>
        <v>27</v>
      </c>
      <c r="AS925" s="58" t="n">
        <f aca="false">IF(AP925&gt;0,J925/AP925,-1)</f>
        <v>1452</v>
      </c>
      <c r="AT925" s="58" t="n">
        <f aca="false">IF(AND(OR(BY925="L1",BY925="L23"),AP925&gt;0),SUMIFS($AP$7:$AP$1843,$BY$7:$BY$1843,BY925,$AS$7:$AS$1843,"&gt;"&amp;AS925)+SUMIFS($AP$7:$AP$1843,$BY$7:$BY$1843,BY925,$AS$7:$AS$1843,AS925,$BQ$7:$BQ$1843,"&lt;="&amp;BQ925),"")</f>
        <v>20.9192425931556</v>
      </c>
      <c r="AU925" s="65" t="n">
        <f aca="false">IF(AT925="",0,MAX(0,MIN(1,(IF(BY925="L1",Parameter!$E$5,Parameter!$E$6+Parameter!$E$7)-(AT925-AP925))/AP925)))</f>
        <v>1</v>
      </c>
      <c r="AV925" s="57" t="n">
        <f aca="false">IF(LEFT(Cockpit!$O$5,1)="A",H925,IF(CA925=1,CB925,IF(LEFT(Cockpit!$O$5,1)="B",AZ925,MAX(AZ925,H925))))</f>
        <v>27</v>
      </c>
      <c r="AW925" s="57" t="n">
        <f aca="false">IF(BT925=1,0,ROUNDUP(AV925/BS925,0))</f>
        <v>1</v>
      </c>
      <c r="AX925" s="59" t="n">
        <f aca="false">IF(CH925&gt;0,CH925*MAX(1,AV925/X925),IF(BT925=1,IF(AV925&lt;=0,0,BW925*MAX(1,IF(H925&gt;0,AV925/H925,1))),IF(R925&gt;0,AW925/R925,0))/MAX(0.1,N(Parameter!$M$21)))</f>
        <v>0.00757575757575758</v>
      </c>
      <c r="AY925" s="57" t="n">
        <f aca="false">AV925*G925</f>
        <v>270.54</v>
      </c>
      <c r="AZ925" s="57" t="n">
        <f aca="false">ROUNDUP(MAX(J925/IF(BZ925&gt;0,BZ925,MAX(0.1,N(Cockpit!$O$6))),CC925)/BS925,0)*BS925</f>
        <v>27</v>
      </c>
      <c r="BA925" s="58" t="n">
        <f aca="false">IF(AX925&gt;0,J925/AX925,-1)</f>
        <v>1452</v>
      </c>
      <c r="BB925" s="58" t="n">
        <f aca="false">IF(AND(OR(BY925="L1",BY925="L23"),AX925&gt;0),SUMIFS($AX$7:$AX$1843,$BY$7:$BY$1843,BY925,$BA$7:$BA$1843,"&gt;"&amp;BA925)+SUMIFS($AX$7:$AX$1843,$BY$7:$BY$1843,BY925,$BA$7:$BA$1843,BA925,$BQ$7:$BQ$1843,"&lt;="&amp;BQ925),"")</f>
        <v>19.7811307050438</v>
      </c>
      <c r="BC925" s="65" t="n">
        <f aca="false">IF(BB925="",0,MAX(0,MIN(1,(IF(BY925="L1",Parameter!$E$5,Parameter!$E$6+Parameter!$E$7)-(BB925-AX925))/AX925)))</f>
        <v>1</v>
      </c>
      <c r="BD925" s="55" t="str">
        <f aca="false">IF(AH925&lt;=0,"",IF(BY925="Aussen","Aussenlager",IF(BY925="-","Nicht im Lift",IF(AM925&gt;=1,"Lift",IF(AM925&lt;=0,"Aussenlager","teilweise")))))</f>
        <v>Lift</v>
      </c>
      <c r="BE925" s="55" t="str">
        <f aca="false">IF(AP925&lt;=0,"",IF(BY925="Aussen","Aussenlager",IF(BY925="-","Nicht im Lift",IF(AU925&gt;=1,"Lift",IF(AU925&lt;=0,"Aussenlager","teilweise")))))</f>
        <v>Lift</v>
      </c>
      <c r="BF925" s="55" t="str">
        <f aca="false">IF(AX925&lt;=0,"",IF(BY925="Aussen","Aussenlager",IF(BY925="-","Nicht im Lift",IF(BC925&gt;=1,"Lift",IF(BC925&lt;=0,"Aussenlager","teilweise")))))</f>
        <v>Lift</v>
      </c>
      <c r="BG925" s="55" t="str">
        <f aca="false">IF(A925="","",IF(BP925=1,"Neu; ","")&amp;IF(AND(BP925=0,BK925&lt;0),"negativer Bestand (Export "&amp;BK925&amp;"); ","")&amp;IF(J925&lt;=0,"Kein Verbrauch; ","")&amp;IF(CH925&gt;0,"Lift "&amp;W925&amp;" lt. Liftbericht (Fach "&amp;X925&amp;" Stk); ",IF(BU925=1,"Gebinde geschätzt ("&amp;T925&amp;"); ",IF(BT925=1,"Lose – Tablare geschätzt; ","")))&amp;IF(H925&gt;AR925,"Überbestand "&amp;ROUND(H925-AR925,0)&amp;" Stk / CHF "&amp;ROUND((H925-AR925)*G925,0)&amp;"; ","")&amp;IF(AND(CA925=1,CB925&lt;CC925),"MAX &lt; MB+LG; ","")&amp;IF(AND(CG925&gt;0,CF925*10&gt;CG925),"zu hoch für Tablar; ","")&amp;IF(AND(BP925=0,OR(CA925=1,AA925&lt;&gt;"",U925&lt;&gt;"",V925&lt;&gt;"",AB925&lt;&gt;"")),"manuell übersteuert; ","")&amp;IF(AND(BT925=0,R925=0),"Gebinde unbekannt / Stellmass fehlt; ","")&amp;IF(AND(BT925=0,N(V925)&lt;=0,N(Q925)&lt;=0),"Menge pro Gebinde fehlt (Ist = 1 Gebinde); ","")&amp;BO925)</f>
        <v>negativer Bestand (Export -5); </v>
      </c>
      <c r="BH925" s="55"/>
      <c r="BI925" s="55"/>
      <c r="BJ925" s="62"/>
      <c r="BK925" s="57" t="n">
        <v>-5</v>
      </c>
      <c r="BL925" s="57" t="n">
        <v>8</v>
      </c>
      <c r="BM925" s="56" t="n">
        <v>-46.74</v>
      </c>
      <c r="BN925" s="57" t="n">
        <v>11</v>
      </c>
      <c r="BO925" s="55"/>
      <c r="BP925" s="60" t="n">
        <v>0</v>
      </c>
      <c r="BQ925" s="60" t="n">
        <v>925</v>
      </c>
      <c r="BR925" s="55" t="str">
        <f aca="false">IF(U925&lt;&gt;"",UPPER(TRIM(U925)),IF(BU925=1,UPPER(VLOOKUP(T925,Parameter!$I$27:$K$29,2,0)),IF(P925="","LOSE",P925)))</f>
        <v>S32</v>
      </c>
      <c r="BS925" s="57" t="n">
        <f aca="false">IF(BR925="LOSE",1,IF(N(V925)&gt;0,V925,IF(BU925=1,MAX(1,N(VLOOKUP(T925,Parameter!$I$27:$K$29,3,0)),H925,N(N925)),IF(N(Q925)&gt;0,Q925,MAX(1,H925)))))</f>
        <v>27</v>
      </c>
      <c r="BT925" s="60" t="n">
        <f aca="false">IF(BR925="LOSE",1,0)</f>
        <v>0</v>
      </c>
      <c r="BU925" s="60" t="n">
        <f aca="false">IF(AND(U925="",OR(P925="",P925="LOSE"),T925&lt;&gt;"",N(S925)&lt;=0,ISNUMBER(MATCH(T925,Parameter!$I$27:$I$29,0))),1,0)</f>
        <v>0</v>
      </c>
      <c r="BV925" s="55" t="str">
        <f aca="false">IF(AND(Parameter!$B$19="Ja",E925&lt;&gt;"",ISNUMBER(MATCH(E925,Parameter!$I$35:$I$52,0))),VLOOKUP(E925,Parameter!$I$35:$J$52,2,0),IFERROR(VLOOKUP(D925,Parameter!$A$35:$C$64,2,0),"Nein"))</f>
        <v>2+3</v>
      </c>
      <c r="BW925" s="59" t="n">
        <f aca="false">IF(BT925=0,0,IF(N(S925)&gt;0,S925,IFERROR(VLOOKUP(D925,Parameter!$A$35:$C$64,3,0)+0,0)))</f>
        <v>0</v>
      </c>
      <c r="BX925" s="55" t="n">
        <f aca="false">IF(AA925&lt;&gt;"",AA925,Z925)</f>
        <v>3</v>
      </c>
      <c r="BY925" s="55" t="str">
        <f aca="false">IF(BX925=1,"L1",IF(OR(BX925=2,BX925=3),"L23",IF(BX925="Aussen","Aussen","-")))</f>
        <v>L23</v>
      </c>
      <c r="BZ925" s="66" t="n">
        <f aca="false">IF(N(AB925)&gt;0,AB925,0)</f>
        <v>0</v>
      </c>
      <c r="CA925" s="60" t="n">
        <f aca="false">IF(ISNUMBER(AE925),1,0)</f>
        <v>0</v>
      </c>
      <c r="CB925" s="57" t="n">
        <f aca="false">N(AE925)</f>
        <v>0</v>
      </c>
      <c r="CC925" s="57" t="n">
        <f aca="false">N(M925)+N(N925)</f>
        <v>10</v>
      </c>
      <c r="CD925" s="57" t="n">
        <f aca="false">ROUNDUP(H925/BS925,0)</f>
        <v>1</v>
      </c>
      <c r="CE925" s="57" t="n">
        <f aca="false">ROUNDUP(CB925/BS925,0)</f>
        <v>0</v>
      </c>
      <c r="CF925" s="60" t="n">
        <f aca="false">IF(BT925=1,0,IFERROR(VLOOKUP(BR925,'Gebinde-Kategorie'!$A$5:$M$45,5,0)+0,0))</f>
        <v>8</v>
      </c>
      <c r="CG925" s="60" t="n">
        <f aca="false">IFERROR(IF(OR(BX925=1,BX925=2,BX925=3),N(INDEX(Parameter!$I$5:$I$7,BX925)),0),0)</f>
        <v>0</v>
      </c>
      <c r="CH925" s="59" t="n">
        <f aca="false">IF(AND(Parameter!$B$21="Ja",ISNUMBER(W925),N(X925)&gt;0),IFERROR(N(INDEX(Parameter!$L$5:$L$7,W925))*INDEX(Parameter!$E$5:$E$7,W925)*X925/SUMIFS($X$7:$X$1843,$W$7:$W$1843,W925),0),0)</f>
        <v>0</v>
      </c>
    </row>
    <row r="926" customFormat="false" ht="15" hidden="false" customHeight="false" outlineLevel="0" collapsed="false">
      <c r="A926" s="55" t="s">
        <v>1728</v>
      </c>
      <c r="B926" s="55" t="s">
        <v>1729</v>
      </c>
      <c r="C926" s="55" t="s">
        <v>164</v>
      </c>
      <c r="D926" s="55" t="s">
        <v>184</v>
      </c>
      <c r="E926" s="55"/>
      <c r="F926" s="55" t="s">
        <v>218</v>
      </c>
      <c r="G926" s="56" t="n">
        <v>9.45</v>
      </c>
      <c r="H926" s="57" t="n">
        <f aca="false">MAX(0,IF(AND(Parameter!$B$21="Ja",ISNUMBER(Y926)),Y926,IF(Parameter!$B$20="Jahresanfang 2025 + Export",BL926+BK926,BK926)))</f>
        <v>1</v>
      </c>
      <c r="I926" s="57" t="n">
        <f aca="false">H926*G926</f>
        <v>9.45</v>
      </c>
      <c r="J926" s="57" t="n">
        <f aca="false">BN926*Parameter!$B$18</f>
        <v>5</v>
      </c>
      <c r="K926" s="58" t="n">
        <v>4.5</v>
      </c>
      <c r="L926" s="59" t="n">
        <v>1.11111111111111</v>
      </c>
      <c r="M926" s="57" t="n">
        <v>0</v>
      </c>
      <c r="N926" s="57" t="n">
        <v>5</v>
      </c>
      <c r="O926" s="60" t="n">
        <v>35</v>
      </c>
      <c r="P926" s="55" t="s">
        <v>401</v>
      </c>
      <c r="Q926" s="57" t="n">
        <v>3</v>
      </c>
      <c r="R926" s="60" t="n">
        <f aca="false">IF(BT926=1,0,IFERROR(VLOOKUP(BR926,'Gebinde-Kategorie'!$A$5:$M$45,13,0)+0,0))</f>
        <v>414</v>
      </c>
      <c r="S926" s="61"/>
      <c r="T926" s="62"/>
      <c r="U926" s="62"/>
      <c r="V926" s="62"/>
      <c r="W926" s="55"/>
      <c r="X926" s="57"/>
      <c r="Y926" s="57"/>
      <c r="Z926" s="55" t="n">
        <f aca="false">IF(A926="","",IF(AND(Parameter!$B$21="Ja",ISNUMBER(W926)),W926,IF(BV926="2+3",IF(ISNUMBER(SEARCH("grosser Artikel",BO926)),2,IFERROR(VLOOKUP(BR926,Parameter!$F$35:$G$64,2,0),2)),IF(OR(BV926="Nein",BV926=""),"-",BV926))))</f>
        <v>3</v>
      </c>
      <c r="AA926" s="62"/>
      <c r="AB926" s="63"/>
      <c r="AC926" s="57" t="n">
        <f aca="false">AR926</f>
        <v>6</v>
      </c>
      <c r="AD926" s="57" t="n">
        <f aca="false">MAX(AR926,H926)</f>
        <v>6</v>
      </c>
      <c r="AE926" s="64"/>
      <c r="AF926" s="57" t="n">
        <f aca="false">IF(LEFT(Cockpit!$C$5,1)="A",H926,IF(CA926=1,CB926,IF(LEFT(Cockpit!$C$5,1)="B",AJ926,MAX(AJ926,H926))))</f>
        <v>1</v>
      </c>
      <c r="AG926" s="57" t="n">
        <f aca="false">IF(BT926=1,0,ROUNDUP(AF926/BS926,0))</f>
        <v>1</v>
      </c>
      <c r="AH926" s="59" t="n">
        <f aca="false">IF(CH926&gt;0,CH926*MAX(1,AF926/X926),IF(BT926=1,IF(AF926&lt;=0,0,BW926*MAX(1,IF(H926&gt;0,AF926/H926,1))),IF(R926&gt;0,AG926/R926,0))/MAX(0.1,N(Parameter!$M$21)))</f>
        <v>0.00241545893719807</v>
      </c>
      <c r="AI926" s="57" t="n">
        <f aca="false">AF926*G926</f>
        <v>9.45</v>
      </c>
      <c r="AJ926" s="57" t="n">
        <f aca="false">ROUNDUP(MAX(J926/IF(BZ926&gt;0,BZ926,MAX(0.1,N(Cockpit!$C$6))),CC926)/BS926,0)*BS926</f>
        <v>6</v>
      </c>
      <c r="AK926" s="58" t="n">
        <f aca="false">IF(AH926&gt;0,J926/AH926,-1)</f>
        <v>2070</v>
      </c>
      <c r="AL926" s="58" t="n">
        <f aca="false">IF(AND(OR(BY926="L1",BY926="L23"),AH926&gt;0),SUMIFS($AH$7:$AH$1843,$BY$7:$BY$1843,BY926,$AK$7:$AK$1843,"&gt;"&amp;AK926)+SUMIFS($AH$7:$AH$1843,$BY$7:$BY$1843,BY926,$AK$7:$AK$1843,AK926,$BQ$7:$BQ$1843,"&lt;="&amp;BQ926),"")</f>
        <v>12.797819330428</v>
      </c>
      <c r="AM926" s="65" t="n">
        <f aca="false">IF(AL926="",0,MAX(0,MIN(1,(IF(BY926="L1",Parameter!$E$5,Parameter!$E$6+Parameter!$E$7)-(AL926-AH926))/AH926)))</f>
        <v>1</v>
      </c>
      <c r="AN926" s="57" t="n">
        <f aca="false">IF(LEFT(Cockpit!$I$5,1)="A",H926,IF(CA926=1,CB926,IF(LEFT(Cockpit!$I$5,1)="B",AR926,MAX(AR926,H926))))</f>
        <v>6</v>
      </c>
      <c r="AO926" s="57" t="n">
        <f aca="false">IF(BT926=1,0,ROUNDUP(AN926/BS926,0))</f>
        <v>2</v>
      </c>
      <c r="AP926" s="59" t="n">
        <f aca="false">IF(CH926&gt;0,CH926*MAX(1,AN926/X926),IF(BT926=1,IF(AN926&lt;=0,0,BW926*MAX(1,IF(H926&gt;0,AN926/H926,1))),IF(R926&gt;0,AO926/R926,0))/MAX(0.1,N(Parameter!$M$21)))</f>
        <v>0.00483091787439614</v>
      </c>
      <c r="AQ926" s="57" t="n">
        <f aca="false">AN926*G926</f>
        <v>56.7</v>
      </c>
      <c r="AR926" s="57" t="n">
        <f aca="false">ROUNDUP(MAX(J926/IF(BZ926&gt;0,BZ926,MAX(0.1,N(Cockpit!$I$6))),CC926)/BS926,0)*BS926</f>
        <v>6</v>
      </c>
      <c r="AS926" s="58" t="n">
        <f aca="false">IF(AP926&gt;0,J926/AP926,-1)</f>
        <v>1035</v>
      </c>
      <c r="AT926" s="58" t="n">
        <f aca="false">IF(AND(OR(BY926="L1",BY926="L23"),AP926&gt;0),SUMIFS($AP$7:$AP$1843,$BY$7:$BY$1843,BY926,$AS$7:$AS$1843,"&gt;"&amp;AS926)+SUMIFS($AP$7:$AP$1843,$BY$7:$BY$1843,BY926,$AS$7:$AS$1843,AS926,$BQ$7:$BQ$1843,"&lt;="&amp;BQ926),"")</f>
        <v>23.5521435086653</v>
      </c>
      <c r="AU926" s="65" t="n">
        <f aca="false">IF(AT926="",0,MAX(0,MIN(1,(IF(BY926="L1",Parameter!$E$5,Parameter!$E$6+Parameter!$E$7)-(AT926-AP926))/AP926)))</f>
        <v>1</v>
      </c>
      <c r="AV926" s="57" t="n">
        <f aca="false">IF(LEFT(Cockpit!$O$5,1)="A",H926,IF(CA926=1,CB926,IF(LEFT(Cockpit!$O$5,1)="B",AZ926,MAX(AZ926,H926))))</f>
        <v>6</v>
      </c>
      <c r="AW926" s="57" t="n">
        <f aca="false">IF(BT926=1,0,ROUNDUP(AV926/BS926,0))</f>
        <v>2</v>
      </c>
      <c r="AX926" s="59" t="n">
        <f aca="false">IF(CH926&gt;0,CH926*MAX(1,AV926/X926),IF(BT926=1,IF(AV926&lt;=0,0,BW926*MAX(1,IF(H926&gt;0,AV926/H926,1))),IF(R926&gt;0,AW926/R926,0))/MAX(0.1,N(Parameter!$M$21)))</f>
        <v>0.00483091787439614</v>
      </c>
      <c r="AY926" s="57" t="n">
        <f aca="false">AV926*G926</f>
        <v>56.7</v>
      </c>
      <c r="AZ926" s="57" t="n">
        <f aca="false">ROUNDUP(MAX(J926/IF(BZ926&gt;0,BZ926,MAX(0.1,N(Cockpit!$O$6))),CC926)/BS926,0)*BS926</f>
        <v>6</v>
      </c>
      <c r="BA926" s="58" t="n">
        <f aca="false">IF(AX926&gt;0,J926/AX926,-1)</f>
        <v>1035</v>
      </c>
      <c r="BB926" s="58" t="n">
        <f aca="false">IF(AND(OR(BY926="L1",BY926="L23"),AX926&gt;0),SUMIFS($AX$7:$AX$1843,$BY$7:$BY$1843,BY926,$BA$7:$BA$1843,"&gt;"&amp;BA926)+SUMIFS($AX$7:$AX$1843,$BY$7:$BY$1843,BY926,$BA$7:$BA$1843,BA926,$BQ$7:$BQ$1843,"&lt;="&amp;BQ926),"")</f>
        <v>22.7473649538867</v>
      </c>
      <c r="BC926" s="65" t="n">
        <f aca="false">IF(BB926="",0,MAX(0,MIN(1,(IF(BY926="L1",Parameter!$E$5,Parameter!$E$6+Parameter!$E$7)-(BB926-AX926))/AX926)))</f>
        <v>1</v>
      </c>
      <c r="BD926" s="55" t="str">
        <f aca="false">IF(AH926&lt;=0,"",IF(BY926="Aussen","Aussenlager",IF(BY926="-","Nicht im Lift",IF(AM926&gt;=1,"Lift",IF(AM926&lt;=0,"Aussenlager","teilweise")))))</f>
        <v>Lift</v>
      </c>
      <c r="BE926" s="55" t="str">
        <f aca="false">IF(AP926&lt;=0,"",IF(BY926="Aussen","Aussenlager",IF(BY926="-","Nicht im Lift",IF(AU926&gt;=1,"Lift",IF(AU926&lt;=0,"Aussenlager","teilweise")))))</f>
        <v>Lift</v>
      </c>
      <c r="BF926" s="55" t="str">
        <f aca="false">IF(AX926&lt;=0,"",IF(BY926="Aussen","Aussenlager",IF(BY926="-","Nicht im Lift",IF(BC926&gt;=1,"Lift",IF(BC926&lt;=0,"Aussenlager","teilweise")))))</f>
        <v>Lift</v>
      </c>
      <c r="BG926" s="55" t="str">
        <f aca="false">IF(A926="","",IF(BP926=1,"Neu; ","")&amp;IF(AND(BP926=0,BK926&lt;0),"negativer Bestand (Export "&amp;BK926&amp;"); ","")&amp;IF(J926&lt;=0,"Kein Verbrauch; ","")&amp;IF(CH926&gt;0,"Lift "&amp;W926&amp;" lt. Liftbericht (Fach "&amp;X926&amp;" Stk); ",IF(BU926=1,"Gebinde geschätzt ("&amp;T926&amp;"); ",IF(BT926=1,"Lose – Tablare geschätzt; ","")))&amp;IF(H926&gt;AR926,"Überbestand "&amp;ROUND(H926-AR926,0)&amp;" Stk / CHF "&amp;ROUND((H926-AR926)*G926,0)&amp;"; ","")&amp;IF(AND(CA926=1,CB926&lt;CC926),"MAX &lt; MB+LG; ","")&amp;IF(AND(CG926&gt;0,CF926*10&gt;CG926),"zu hoch für Tablar; ","")&amp;IF(AND(BP926=0,OR(CA926=1,AA926&lt;&gt;"",U926&lt;&gt;"",V926&lt;&gt;"",AB926&lt;&gt;"")),"manuell übersteuert; ","")&amp;IF(AND(BT926=0,R926=0),"Gebinde unbekannt / Stellmass fehlt; ","")&amp;IF(AND(BT926=0,N(V926)&lt;=0,N(Q926)&lt;=0),"Menge pro Gebinde fehlt (Ist = 1 Gebinde); ","")&amp;BO926)</f>
        <v>negativer Bestand (Export -5); </v>
      </c>
      <c r="BH926" s="55"/>
      <c r="BI926" s="55"/>
      <c r="BJ926" s="62"/>
      <c r="BK926" s="57" t="n">
        <v>-5</v>
      </c>
      <c r="BL926" s="57" t="n">
        <v>6</v>
      </c>
      <c r="BM926" s="56" t="n">
        <v>-47.25</v>
      </c>
      <c r="BN926" s="57" t="n">
        <v>5</v>
      </c>
      <c r="BO926" s="55"/>
      <c r="BP926" s="60" t="n">
        <v>0</v>
      </c>
      <c r="BQ926" s="60" t="n">
        <v>926</v>
      </c>
      <c r="BR926" s="55" t="str">
        <f aca="false">IF(U926&lt;&gt;"",UPPER(TRIM(U926)),IF(BU926=1,UPPER(VLOOKUP(T926,Parameter!$I$27:$K$29,2,0)),IF(P926="","LOSE",P926)))</f>
        <v>S21</v>
      </c>
      <c r="BS926" s="57" t="n">
        <f aca="false">IF(BR926="LOSE",1,IF(N(V926)&gt;0,V926,IF(BU926=1,MAX(1,N(VLOOKUP(T926,Parameter!$I$27:$K$29,3,0)),H926,N(N926)),IF(N(Q926)&gt;0,Q926,MAX(1,H926)))))</f>
        <v>3</v>
      </c>
      <c r="BT926" s="60" t="n">
        <f aca="false">IF(BR926="LOSE",1,0)</f>
        <v>0</v>
      </c>
      <c r="BU926" s="60" t="n">
        <f aca="false">IF(AND(U926="",OR(P926="",P926="LOSE"),T926&lt;&gt;"",N(S926)&lt;=0,ISNUMBER(MATCH(T926,Parameter!$I$27:$I$29,0))),1,0)</f>
        <v>0</v>
      </c>
      <c r="BV926" s="55" t="str">
        <f aca="false">IF(AND(Parameter!$B$19="Ja",E926&lt;&gt;"",ISNUMBER(MATCH(E926,Parameter!$I$35:$I$52,0))),VLOOKUP(E926,Parameter!$I$35:$J$52,2,0),IFERROR(VLOOKUP(D926,Parameter!$A$35:$C$64,2,0),"Nein"))</f>
        <v>2+3</v>
      </c>
      <c r="BW926" s="59" t="n">
        <f aca="false">IF(BT926=0,0,IF(N(S926)&gt;0,S926,IFERROR(VLOOKUP(D926,Parameter!$A$35:$C$64,3,0)+0,0)))</f>
        <v>0</v>
      </c>
      <c r="BX926" s="55" t="n">
        <f aca="false">IF(AA926&lt;&gt;"",AA926,Z926)</f>
        <v>3</v>
      </c>
      <c r="BY926" s="55" t="str">
        <f aca="false">IF(BX926=1,"L1",IF(OR(BX926=2,BX926=3),"L23",IF(BX926="Aussen","Aussen","-")))</f>
        <v>L23</v>
      </c>
      <c r="BZ926" s="66" t="n">
        <f aca="false">IF(N(AB926)&gt;0,AB926,0)</f>
        <v>0</v>
      </c>
      <c r="CA926" s="60" t="n">
        <f aca="false">IF(ISNUMBER(AE926),1,0)</f>
        <v>0</v>
      </c>
      <c r="CB926" s="57" t="n">
        <f aca="false">N(AE926)</f>
        <v>0</v>
      </c>
      <c r="CC926" s="57" t="n">
        <f aca="false">N(M926)+N(N926)</f>
        <v>5</v>
      </c>
      <c r="CD926" s="57" t="n">
        <f aca="false">ROUNDUP(H926/BS926,0)</f>
        <v>1</v>
      </c>
      <c r="CE926" s="57" t="n">
        <f aca="false">ROUNDUP(CB926/BS926,0)</f>
        <v>0</v>
      </c>
      <c r="CF926" s="60" t="n">
        <f aca="false">IF(BT926=1,0,IFERROR(VLOOKUP(BR926,'Gebinde-Kategorie'!$A$5:$M$45,5,0)+0,0))</f>
        <v>8</v>
      </c>
      <c r="CG926" s="60" t="n">
        <f aca="false">IFERROR(IF(OR(BX926=1,BX926=2,BX926=3),N(INDEX(Parameter!$I$5:$I$7,BX926)),0),0)</f>
        <v>0</v>
      </c>
      <c r="CH926" s="59" t="n">
        <f aca="false">IF(AND(Parameter!$B$21="Ja",ISNUMBER(W926),N(X926)&gt;0),IFERROR(N(INDEX(Parameter!$L$5:$L$7,W926))*INDEX(Parameter!$E$5:$E$7,W926)*X926/SUMIFS($X$7:$X$1843,$W$7:$W$1843,W926),0),0)</f>
        <v>0</v>
      </c>
    </row>
    <row r="927" customFormat="false" ht="15" hidden="false" customHeight="false" outlineLevel="0" collapsed="false">
      <c r="A927" s="55" t="s">
        <v>1730</v>
      </c>
      <c r="B927" s="55" t="s">
        <v>664</v>
      </c>
      <c r="C927" s="55" t="s">
        <v>164</v>
      </c>
      <c r="D927" s="55" t="s">
        <v>184</v>
      </c>
      <c r="E927" s="55" t="s">
        <v>185</v>
      </c>
      <c r="F927" s="55" t="s">
        <v>218</v>
      </c>
      <c r="G927" s="56" t="n">
        <v>8</v>
      </c>
      <c r="H927" s="57" t="n">
        <f aca="false">MAX(0,IF(AND(Parameter!$B$21="Ja",ISNUMBER(Y927)),Y927,IF(Parameter!$B$20="Jahresanfang 2025 + Export",BL927+BK927,BK927)))</f>
        <v>6</v>
      </c>
      <c r="I927" s="57" t="n">
        <f aca="false">H927*G927</f>
        <v>48</v>
      </c>
      <c r="J927" s="57" t="n">
        <f aca="false">BN927*Parameter!$B$18</f>
        <v>11</v>
      </c>
      <c r="K927" s="58" t="n">
        <v>11</v>
      </c>
      <c r="L927" s="59" t="n">
        <v>1</v>
      </c>
      <c r="M927" s="57" t="n">
        <v>0</v>
      </c>
      <c r="N927" s="57" t="n">
        <v>10</v>
      </c>
      <c r="O927" s="60" t="n">
        <v>14</v>
      </c>
      <c r="P927" s="55" t="s">
        <v>293</v>
      </c>
      <c r="Q927" s="57" t="n">
        <v>20</v>
      </c>
      <c r="R927" s="60" t="n">
        <f aca="false">IF(BT927=1,0,IFERROR(VLOOKUP(BR927,'Gebinde-Kategorie'!$A$5:$M$45,13,0)+0,0))</f>
        <v>12</v>
      </c>
      <c r="S927" s="61"/>
      <c r="T927" s="62"/>
      <c r="U927" s="62"/>
      <c r="V927" s="62"/>
      <c r="W927" s="55"/>
      <c r="X927" s="57"/>
      <c r="Y927" s="57"/>
      <c r="Z927" s="55" t="n">
        <f aca="false">IF(A927="","",IF(AND(Parameter!$B$21="Ja",ISNUMBER(W927)),W927,IF(BV927="2+3",IF(ISNUMBER(SEARCH("grosser Artikel",BO927)),2,IFERROR(VLOOKUP(BR927,Parameter!$F$35:$G$64,2,0),2)),IF(OR(BV927="Nein",BV927=""),"-",BV927))))</f>
        <v>2</v>
      </c>
      <c r="AA927" s="62"/>
      <c r="AB927" s="63"/>
      <c r="AC927" s="57" t="n">
        <f aca="false">AR927</f>
        <v>20</v>
      </c>
      <c r="AD927" s="57" t="n">
        <f aca="false">MAX(AR927,H927)</f>
        <v>20</v>
      </c>
      <c r="AE927" s="64"/>
      <c r="AF927" s="57" t="n">
        <f aca="false">IF(LEFT(Cockpit!$C$5,1)="A",H927,IF(CA927=1,CB927,IF(LEFT(Cockpit!$C$5,1)="B",AJ927,MAX(AJ927,H927))))</f>
        <v>6</v>
      </c>
      <c r="AG927" s="57" t="n">
        <f aca="false">IF(BT927=1,0,ROUNDUP(AF927/BS927,0))</f>
        <v>1</v>
      </c>
      <c r="AH927" s="59" t="n">
        <f aca="false">IF(CH927&gt;0,CH927*MAX(1,AF927/X927),IF(BT927=1,IF(AF927&lt;=0,0,BW927*MAX(1,IF(H927&gt;0,AF927/H927,1))),IF(R927&gt;0,AG927/R927,0))/MAX(0.1,N(Parameter!$M$21)))</f>
        <v>0.0833333333333333</v>
      </c>
      <c r="AI927" s="57" t="n">
        <f aca="false">AF927*G927</f>
        <v>48</v>
      </c>
      <c r="AJ927" s="57" t="n">
        <f aca="false">ROUNDUP(MAX(J927/IF(BZ927&gt;0,BZ927,MAX(0.1,N(Cockpit!$C$6))),CC927)/BS927,0)*BS927</f>
        <v>20</v>
      </c>
      <c r="AK927" s="58" t="n">
        <f aca="false">IF(AH927&gt;0,J927/AH927,-1)</f>
        <v>132</v>
      </c>
      <c r="AL927" s="58" t="n">
        <f aca="false">IF(AND(OR(BY927="L1",BY927="L23"),AH927&gt;0),SUMIFS($AH$7:$AH$1843,$BY$7:$BY$1843,BY927,$AK$7:$AK$1843,"&gt;"&amp;AK927)+SUMIFS($AH$7:$AH$1843,$BY$7:$BY$1843,BY927,$AK$7:$AK$1843,AK927,$BQ$7:$BQ$1843,"&lt;="&amp;BQ927),"")</f>
        <v>36.2964173507652</v>
      </c>
      <c r="AM927" s="65" t="n">
        <f aca="false">IF(AL927="",0,MAX(0,MIN(1,(IF(BY927="L1",Parameter!$E$5,Parameter!$E$6+Parameter!$E$7)-(AL927-AH927))/AH927)))</f>
        <v>1</v>
      </c>
      <c r="AN927" s="57" t="n">
        <f aca="false">IF(LEFT(Cockpit!$I$5,1)="A",H927,IF(CA927=1,CB927,IF(LEFT(Cockpit!$I$5,1)="B",AR927,MAX(AR927,H927))))</f>
        <v>20</v>
      </c>
      <c r="AO927" s="57" t="n">
        <f aca="false">IF(BT927=1,0,ROUNDUP(AN927/BS927,0))</f>
        <v>1</v>
      </c>
      <c r="AP927" s="59" t="n">
        <f aca="false">IF(CH927&gt;0,CH927*MAX(1,AN927/X927),IF(BT927=1,IF(AN927&lt;=0,0,BW927*MAX(1,IF(H927&gt;0,AN927/H927,1))),IF(R927&gt;0,AO927/R927,0))/MAX(0.1,N(Parameter!$M$21)))</f>
        <v>0.0833333333333333</v>
      </c>
      <c r="AQ927" s="57" t="n">
        <f aca="false">AN927*G927</f>
        <v>160</v>
      </c>
      <c r="AR927" s="57" t="n">
        <f aca="false">ROUNDUP(MAX(J927/IF(BZ927&gt;0,BZ927,MAX(0.1,N(Cockpit!$I$6))),CC927)/BS927,0)*BS927</f>
        <v>20</v>
      </c>
      <c r="AS927" s="58" t="n">
        <f aca="false">IF(AP927&gt;0,J927/AP927,-1)</f>
        <v>132</v>
      </c>
      <c r="AT927" s="58" t="n">
        <f aca="false">IF(AND(OR(BY927="L1",BY927="L23"),AP927&gt;0),SUMIFS($AP$7:$AP$1843,$BY$7:$BY$1843,BY927,$AS$7:$AS$1843,"&gt;"&amp;AS927)+SUMIFS($AP$7:$AP$1843,$BY$7:$BY$1843,BY927,$AS$7:$AS$1843,AS927,$BQ$7:$BQ$1843,"&lt;="&amp;BQ927),"")</f>
        <v>52.028816594034</v>
      </c>
      <c r="AU927" s="65" t="n">
        <f aca="false">IF(AT927="",0,MAX(0,MIN(1,(IF(BY927="L1",Parameter!$E$5,Parameter!$E$6+Parameter!$E$7)-(AT927-AP927))/AP927)))</f>
        <v>1</v>
      </c>
      <c r="AV927" s="57" t="n">
        <f aca="false">IF(LEFT(Cockpit!$O$5,1)="A",H927,IF(CA927=1,CB927,IF(LEFT(Cockpit!$O$5,1)="B",AZ927,MAX(AZ927,H927))))</f>
        <v>20</v>
      </c>
      <c r="AW927" s="57" t="n">
        <f aca="false">IF(BT927=1,0,ROUNDUP(AV927/BS927,0))</f>
        <v>1</v>
      </c>
      <c r="AX927" s="59" t="n">
        <f aca="false">IF(CH927&gt;0,CH927*MAX(1,AV927/X927),IF(BT927=1,IF(AV927&lt;=0,0,BW927*MAX(1,IF(H927&gt;0,AV927/H927,1))),IF(R927&gt;0,AW927/R927,0))/MAX(0.1,N(Parameter!$M$21)))</f>
        <v>0.0833333333333333</v>
      </c>
      <c r="AY927" s="57" t="n">
        <f aca="false">AV927*G927</f>
        <v>160</v>
      </c>
      <c r="AZ927" s="57" t="n">
        <f aca="false">ROUNDUP(MAX(J927/IF(BZ927&gt;0,BZ927,MAX(0.1,N(Cockpit!$O$6))),CC927)/BS927,0)*BS927</f>
        <v>20</v>
      </c>
      <c r="BA927" s="58" t="n">
        <f aca="false">IF(AX927&gt;0,J927/AX927,-1)</f>
        <v>132</v>
      </c>
      <c r="BB927" s="58" t="n">
        <f aca="false">IF(AND(OR(BY927="L1",BY927="L23"),AX927&gt;0),SUMIFS($AX$7:$AX$1843,$BY$7:$BY$1843,BY927,$BA$7:$BA$1843,"&gt;"&amp;BA927)+SUMIFS($AX$7:$AX$1843,$BY$7:$BY$1843,BY927,$BA$7:$BA$1843,BA927,$BQ$7:$BQ$1843,"&lt;="&amp;BQ927),"")</f>
        <v>48.6086534238708</v>
      </c>
      <c r="BC927" s="65" t="n">
        <f aca="false">IF(BB927="",0,MAX(0,MIN(1,(IF(BY927="L1",Parameter!$E$5,Parameter!$E$6+Parameter!$E$7)-(BB927-AX927))/AX927)))</f>
        <v>1</v>
      </c>
      <c r="BD927" s="55" t="str">
        <f aca="false">IF(AH927&lt;=0,"",IF(BY927="Aussen","Aussenlager",IF(BY927="-","Nicht im Lift",IF(AM927&gt;=1,"Lift",IF(AM927&lt;=0,"Aussenlager","teilweise")))))</f>
        <v>Lift</v>
      </c>
      <c r="BE927" s="55" t="str">
        <f aca="false">IF(AP927&lt;=0,"",IF(BY927="Aussen","Aussenlager",IF(BY927="-","Nicht im Lift",IF(AU927&gt;=1,"Lift",IF(AU927&lt;=0,"Aussenlager","teilweise")))))</f>
        <v>Lift</v>
      </c>
      <c r="BF927" s="55" t="str">
        <f aca="false">IF(AX927&lt;=0,"",IF(BY927="Aussen","Aussenlager",IF(BY927="-","Nicht im Lift",IF(BC927&gt;=1,"Lift",IF(BC927&lt;=0,"Aussenlager","teilweise")))))</f>
        <v>Lift</v>
      </c>
      <c r="BG927" s="55" t="str">
        <f aca="false">IF(A927="","",IF(BP927=1,"Neu; ","")&amp;IF(AND(BP927=0,BK927&lt;0),"negativer Bestand (Export "&amp;BK927&amp;"); ","")&amp;IF(J927&lt;=0,"Kein Verbrauch; ","")&amp;IF(CH927&gt;0,"Lift "&amp;W927&amp;" lt. Liftbericht (Fach "&amp;X927&amp;" Stk); ",IF(BU927=1,"Gebinde geschätzt ("&amp;T927&amp;"); ",IF(BT927=1,"Lose – Tablare geschätzt; ","")))&amp;IF(H927&gt;AR927,"Überbestand "&amp;ROUND(H927-AR927,0)&amp;" Stk / CHF "&amp;ROUND((H927-AR927)*G927,0)&amp;"; ","")&amp;IF(AND(CA927=1,CB927&lt;CC927),"MAX &lt; MB+LG; ","")&amp;IF(AND(CG927&gt;0,CF927*10&gt;CG927),"zu hoch für Tablar; ","")&amp;IF(AND(BP927=0,OR(CA927=1,AA927&lt;&gt;"",U927&lt;&gt;"",V927&lt;&gt;"",AB927&lt;&gt;"")),"manuell übersteuert; ","")&amp;IF(AND(BT927=0,R927=0),"Gebinde unbekannt / Stellmass fehlt; ","")&amp;IF(AND(BT927=0,N(V927)&lt;=0,N(Q927)&lt;=0),"Menge pro Gebinde fehlt (Ist = 1 Gebinde); ","")&amp;BO927)</f>
        <v>negativer Bestand (Export -6); </v>
      </c>
      <c r="BH927" s="55"/>
      <c r="BI927" s="55"/>
      <c r="BJ927" s="62"/>
      <c r="BK927" s="57" t="n">
        <v>-6</v>
      </c>
      <c r="BL927" s="57" t="n">
        <v>12</v>
      </c>
      <c r="BM927" s="56" t="n">
        <v>-48</v>
      </c>
      <c r="BN927" s="57" t="n">
        <v>11</v>
      </c>
      <c r="BO927" s="55"/>
      <c r="BP927" s="60" t="n">
        <v>0</v>
      </c>
      <c r="BQ927" s="60" t="n">
        <v>927</v>
      </c>
      <c r="BR927" s="55" t="str">
        <f aca="false">IF(U927&lt;&gt;"",UPPER(TRIM(U927)),IF(BU927=1,UPPER(VLOOKUP(T927,Parameter!$I$27:$K$29,2,0)),IF(P927="","LOSE",P927)))</f>
        <v>S62</v>
      </c>
      <c r="BS927" s="57" t="n">
        <f aca="false">IF(BR927="LOSE",1,IF(N(V927)&gt;0,V927,IF(BU927=1,MAX(1,N(VLOOKUP(T927,Parameter!$I$27:$K$29,3,0)),H927,N(N927)),IF(N(Q927)&gt;0,Q927,MAX(1,H927)))))</f>
        <v>20</v>
      </c>
      <c r="BT927" s="60" t="n">
        <f aca="false">IF(BR927="LOSE",1,0)</f>
        <v>0</v>
      </c>
      <c r="BU927" s="60" t="n">
        <f aca="false">IF(AND(U927="",OR(P927="",P927="LOSE"),T927&lt;&gt;"",N(S927)&lt;=0,ISNUMBER(MATCH(T927,Parameter!$I$27:$I$29,0))),1,0)</f>
        <v>0</v>
      </c>
      <c r="BV927" s="55" t="str">
        <f aca="false">IF(AND(Parameter!$B$19="Ja",E927&lt;&gt;"",ISNUMBER(MATCH(E927,Parameter!$I$35:$I$52,0))),VLOOKUP(E927,Parameter!$I$35:$J$52,2,0),IFERROR(VLOOKUP(D927,Parameter!$A$35:$C$64,2,0),"Nein"))</f>
        <v>2+3</v>
      </c>
      <c r="BW927" s="59" t="n">
        <f aca="false">IF(BT927=0,0,IF(N(S927)&gt;0,S927,IFERROR(VLOOKUP(D927,Parameter!$A$35:$C$64,3,0)+0,0)))</f>
        <v>0</v>
      </c>
      <c r="BX927" s="55" t="n">
        <f aca="false">IF(AA927&lt;&gt;"",AA927,Z927)</f>
        <v>2</v>
      </c>
      <c r="BY927" s="55" t="str">
        <f aca="false">IF(BX927=1,"L1",IF(OR(BX927=2,BX927=3),"L23",IF(BX927="Aussen","Aussen","-")))</f>
        <v>L23</v>
      </c>
      <c r="BZ927" s="66" t="n">
        <f aca="false">IF(N(AB927)&gt;0,AB927,0)</f>
        <v>0</v>
      </c>
      <c r="CA927" s="60" t="n">
        <f aca="false">IF(ISNUMBER(AE927),1,0)</f>
        <v>0</v>
      </c>
      <c r="CB927" s="57" t="n">
        <f aca="false">N(AE927)</f>
        <v>0</v>
      </c>
      <c r="CC927" s="57" t="n">
        <f aca="false">N(M927)+N(N927)</f>
        <v>10</v>
      </c>
      <c r="CD927" s="57" t="n">
        <f aca="false">ROUNDUP(H927/BS927,0)</f>
        <v>1</v>
      </c>
      <c r="CE927" s="57" t="n">
        <f aca="false">ROUNDUP(CB927/BS927,0)</f>
        <v>0</v>
      </c>
      <c r="CF927" s="60" t="n">
        <f aca="false">IF(BT927=1,0,IFERROR(VLOOKUP(BR927,'Gebinde-Kategorie'!$A$5:$M$45,5,0)+0,0))</f>
        <v>21</v>
      </c>
      <c r="CG927" s="60" t="n">
        <f aca="false">IFERROR(IF(OR(BX927=1,BX927=2,BX927=3),N(INDEX(Parameter!$I$5:$I$7,BX927)),0),0)</f>
        <v>0</v>
      </c>
      <c r="CH927" s="59" t="n">
        <f aca="false">IF(AND(Parameter!$B$21="Ja",ISNUMBER(W927),N(X927)&gt;0),IFERROR(N(INDEX(Parameter!$L$5:$L$7,W927))*INDEX(Parameter!$E$5:$E$7,W927)*X927/SUMIFS($X$7:$X$1843,$W$7:$W$1843,W927),0),0)</f>
        <v>0</v>
      </c>
    </row>
    <row r="928" customFormat="false" ht="15" hidden="false" customHeight="false" outlineLevel="0" collapsed="false">
      <c r="A928" s="55" t="s">
        <v>1731</v>
      </c>
      <c r="B928" s="55" t="s">
        <v>717</v>
      </c>
      <c r="C928" s="55" t="s">
        <v>164</v>
      </c>
      <c r="D928" s="55" t="s">
        <v>173</v>
      </c>
      <c r="E928" s="55" t="s">
        <v>166</v>
      </c>
      <c r="F928" s="55" t="s">
        <v>218</v>
      </c>
      <c r="G928" s="56" t="n">
        <v>48.24</v>
      </c>
      <c r="H928" s="57" t="n">
        <f aca="false">MAX(0,IF(AND(Parameter!$B$21="Ja",ISNUMBER(Y928)),Y928,IF(Parameter!$B$20="Jahresanfang 2025 + Export",BL928+BK928,BK928)))</f>
        <v>2</v>
      </c>
      <c r="I928" s="57" t="n">
        <f aca="false">H928*G928</f>
        <v>96.48</v>
      </c>
      <c r="J928" s="57" t="n">
        <f aca="false">BN928*Parameter!$B$18</f>
        <v>0</v>
      </c>
      <c r="K928" s="58" t="n">
        <v>3</v>
      </c>
      <c r="L928" s="59" t="n">
        <v>0</v>
      </c>
      <c r="M928" s="57" t="n">
        <v>0</v>
      </c>
      <c r="N928" s="57" t="n">
        <v>1</v>
      </c>
      <c r="O928" s="60" t="n">
        <v>28</v>
      </c>
      <c r="P928" s="55" t="s">
        <v>302</v>
      </c>
      <c r="Q928" s="57" t="n">
        <v>20</v>
      </c>
      <c r="R928" s="60" t="n">
        <f aca="false">IF(BT928=1,0,IFERROR(VLOOKUP(BR928,'Gebinde-Kategorie'!$A$5:$M$45,13,0)+0,0))</f>
        <v>26</v>
      </c>
      <c r="S928" s="61"/>
      <c r="T928" s="62"/>
      <c r="U928" s="62"/>
      <c r="V928" s="62"/>
      <c r="W928" s="55"/>
      <c r="X928" s="57"/>
      <c r="Y928" s="57"/>
      <c r="Z928" s="55" t="n">
        <f aca="false">IF(A928="","",IF(AND(Parameter!$B$21="Ja",ISNUMBER(W928)),W928,IF(BV928="2+3",IF(ISNUMBER(SEARCH("grosser Artikel",BO928)),2,IFERROR(VLOOKUP(BR928,Parameter!$F$35:$G$64,2,0),2)),IF(OR(BV928="Nein",BV928=""),"-",BV928))))</f>
        <v>1</v>
      </c>
      <c r="AA928" s="62"/>
      <c r="AB928" s="63"/>
      <c r="AC928" s="57" t="n">
        <f aca="false">AR928</f>
        <v>20</v>
      </c>
      <c r="AD928" s="57" t="n">
        <f aca="false">MAX(AR928,H928)</f>
        <v>20</v>
      </c>
      <c r="AE928" s="64"/>
      <c r="AF928" s="57" t="n">
        <f aca="false">IF(LEFT(Cockpit!$C$5,1)="A",H928,IF(CA928=1,CB928,IF(LEFT(Cockpit!$C$5,1)="B",AJ928,MAX(AJ928,H928))))</f>
        <v>2</v>
      </c>
      <c r="AG928" s="57" t="n">
        <f aca="false">IF(BT928=1,0,ROUNDUP(AF928/BS928,0))</f>
        <v>1</v>
      </c>
      <c r="AH928" s="59" t="n">
        <f aca="false">IF(CH928&gt;0,CH928*MAX(1,AF928/X928),IF(BT928=1,IF(AF928&lt;=0,0,BW928*MAX(1,IF(H928&gt;0,AF928/H928,1))),IF(R928&gt;0,AG928/R928,0))/MAX(0.1,N(Parameter!$M$21)))</f>
        <v>0.0384615384615385</v>
      </c>
      <c r="AI928" s="57" t="n">
        <f aca="false">AF928*G928</f>
        <v>96.48</v>
      </c>
      <c r="AJ928" s="57" t="n">
        <f aca="false">ROUNDUP(MAX(J928/IF(BZ928&gt;0,BZ928,MAX(0.1,N(Cockpit!$C$6))),CC928)/BS928,0)*BS928</f>
        <v>20</v>
      </c>
      <c r="AK928" s="58" t="n">
        <f aca="false">IF(AH928&gt;0,J928/AH928,-1)</f>
        <v>0</v>
      </c>
      <c r="AL928" s="58" t="n">
        <f aca="false">IF(AND(OR(BY928="L1",BY928="L23"),AH928&gt;0),SUMIFS($AH$7:$AH$1843,$BY$7:$BY$1843,BY928,$AK$7:$AK$1843,"&gt;"&amp;AK928)+SUMIFS($AH$7:$AH$1843,$BY$7:$BY$1843,BY928,$AK$7:$AK$1843,AK928,$BQ$7:$BQ$1843,"&lt;="&amp;BQ928),"")</f>
        <v>51.5284690336275</v>
      </c>
      <c r="AM928" s="65" t="n">
        <f aca="false">IF(AL928="",0,MAX(0,MIN(1,(IF(BY928="L1",Parameter!$E$5,Parameter!$E$6+Parameter!$E$7)-(AL928-AH928))/AH928)))</f>
        <v>0</v>
      </c>
      <c r="AN928" s="57" t="n">
        <f aca="false">IF(LEFT(Cockpit!$I$5,1)="A",H928,IF(CA928=1,CB928,IF(LEFT(Cockpit!$I$5,1)="B",AR928,MAX(AR928,H928))))</f>
        <v>20</v>
      </c>
      <c r="AO928" s="57" t="n">
        <f aca="false">IF(BT928=1,0,ROUNDUP(AN928/BS928,0))</f>
        <v>1</v>
      </c>
      <c r="AP928" s="59" t="n">
        <f aca="false">IF(CH928&gt;0,CH928*MAX(1,AN928/X928),IF(BT928=1,IF(AN928&lt;=0,0,BW928*MAX(1,IF(H928&gt;0,AN928/H928,1))),IF(R928&gt;0,AO928/R928,0))/MAX(0.1,N(Parameter!$M$21)))</f>
        <v>0.0384615384615385</v>
      </c>
      <c r="AQ928" s="57" t="n">
        <f aca="false">AN928*G928</f>
        <v>964.8</v>
      </c>
      <c r="AR928" s="57" t="n">
        <f aca="false">ROUNDUP(MAX(J928/IF(BZ928&gt;0,BZ928,MAX(0.1,N(Cockpit!$I$6))),CC928)/BS928,0)*BS928</f>
        <v>20</v>
      </c>
      <c r="AS928" s="58" t="n">
        <f aca="false">IF(AP928&gt;0,J928/AP928,-1)</f>
        <v>0</v>
      </c>
      <c r="AT928" s="58" t="n">
        <f aca="false">IF(AND(OR(BY928="L1",BY928="L23"),AP928&gt;0),SUMIFS($AP$7:$AP$1843,$BY$7:$BY$1843,BY928,$AS$7:$AS$1843,"&gt;"&amp;AS928)+SUMIFS($AP$7:$AP$1843,$BY$7:$BY$1843,BY928,$AS$7:$AS$1843,AS928,$BQ$7:$BQ$1843,"&lt;="&amp;BQ928),"")</f>
        <v>67.0413619787238</v>
      </c>
      <c r="AU928" s="65" t="n">
        <f aca="false">IF(AT928="",0,MAX(0,MIN(1,(IF(BY928="L1",Parameter!$E$5,Parameter!$E$6+Parameter!$E$7)-(AT928-AP928))/AP928)))</f>
        <v>0</v>
      </c>
      <c r="AV928" s="57" t="n">
        <f aca="false">IF(LEFT(Cockpit!$O$5,1)="A",H928,IF(CA928=1,CB928,IF(LEFT(Cockpit!$O$5,1)="B",AZ928,MAX(AZ928,H928))))</f>
        <v>20</v>
      </c>
      <c r="AW928" s="57" t="n">
        <f aca="false">IF(BT928=1,0,ROUNDUP(AV928/BS928,0))</f>
        <v>1</v>
      </c>
      <c r="AX928" s="59" t="n">
        <f aca="false">IF(CH928&gt;0,CH928*MAX(1,AV928/X928),IF(BT928=1,IF(AV928&lt;=0,0,BW928*MAX(1,IF(H928&gt;0,AV928/H928,1))),IF(R928&gt;0,AW928/R928,0))/MAX(0.1,N(Parameter!$M$21)))</f>
        <v>0.0384615384615385</v>
      </c>
      <c r="AY928" s="57" t="n">
        <f aca="false">AV928*G928</f>
        <v>964.8</v>
      </c>
      <c r="AZ928" s="57" t="n">
        <f aca="false">ROUNDUP(MAX(J928/IF(BZ928&gt;0,BZ928,MAX(0.1,N(Cockpit!$O$6))),CC928)/BS928,0)*BS928</f>
        <v>20</v>
      </c>
      <c r="BA928" s="58" t="n">
        <f aca="false">IF(AX928&gt;0,J928/AX928,-1)</f>
        <v>0</v>
      </c>
      <c r="BB928" s="58" t="n">
        <f aca="false">IF(AND(OR(BY928="L1",BY928="L23"),AX928&gt;0),SUMIFS($AX$7:$AX$1843,$BY$7:$BY$1843,BY928,$BA$7:$BA$1843,"&gt;"&amp;BA928)+SUMIFS($AX$7:$AX$1843,$BY$7:$BY$1843,BY928,$BA$7:$BA$1843,BA928,$BQ$7:$BQ$1843,"&lt;="&amp;BQ928),"")</f>
        <v>60.7081735099421</v>
      </c>
      <c r="BC928" s="65" t="n">
        <f aca="false">IF(BB928="",0,MAX(0,MIN(1,(IF(BY928="L1",Parameter!$E$5,Parameter!$E$6+Parameter!$E$7)-(BB928-AX928))/AX928)))</f>
        <v>0</v>
      </c>
      <c r="BD928" s="55" t="str">
        <f aca="false">IF(AH928&lt;=0,"",IF(BY928="Aussen","Aussenlager",IF(BY928="-","Nicht im Lift",IF(AM928&gt;=1,"Lift",IF(AM928&lt;=0,"Aussenlager","teilweise")))))</f>
        <v>Aussenlager</v>
      </c>
      <c r="BE928" s="55" t="str">
        <f aca="false">IF(AP928&lt;=0,"",IF(BY928="Aussen","Aussenlager",IF(BY928="-","Nicht im Lift",IF(AU928&gt;=1,"Lift",IF(AU928&lt;=0,"Aussenlager","teilweise")))))</f>
        <v>Aussenlager</v>
      </c>
      <c r="BF928" s="55" t="str">
        <f aca="false">IF(AX928&lt;=0,"",IF(BY928="Aussen","Aussenlager",IF(BY928="-","Nicht im Lift",IF(BC928&gt;=1,"Lift",IF(BC928&lt;=0,"Aussenlager","teilweise")))))</f>
        <v>Aussenlager</v>
      </c>
      <c r="BG928" s="55" t="str">
        <f aca="false">IF(A928="","",IF(BP928=1,"Neu; ","")&amp;IF(AND(BP928=0,BK928&lt;0),"negativer Bestand (Export "&amp;BK928&amp;"); ","")&amp;IF(J928&lt;=0,"Kein Verbrauch; ","")&amp;IF(CH928&gt;0,"Lift "&amp;W928&amp;" lt. Liftbericht (Fach "&amp;X928&amp;" Stk); ",IF(BU928=1,"Gebinde geschätzt ("&amp;T928&amp;"); ",IF(BT928=1,"Lose – Tablare geschätzt; ","")))&amp;IF(H928&gt;AR928,"Überbestand "&amp;ROUND(H928-AR928,0)&amp;" Stk / CHF "&amp;ROUND((H928-AR928)*G928,0)&amp;"; ","")&amp;IF(AND(CA928=1,CB928&lt;CC928),"MAX &lt; MB+LG; ","")&amp;IF(AND(CG928&gt;0,CF928*10&gt;CG928),"zu hoch für Tablar; ","")&amp;IF(AND(BP928=0,OR(CA928=1,AA928&lt;&gt;"",U928&lt;&gt;"",V928&lt;&gt;"",AB928&lt;&gt;"")),"manuell übersteuert; ","")&amp;IF(AND(BT928=0,R928=0),"Gebinde unbekannt / Stellmass fehlt; ","")&amp;IF(AND(BT928=0,N(V928)&lt;=0,N(Q928)&lt;=0),"Menge pro Gebinde fehlt (Ist = 1 Gebinde); ","")&amp;BO928)</f>
        <v>negativer Bestand (Export -1); Kein Verbrauch; </v>
      </c>
      <c r="BH928" s="55"/>
      <c r="BI928" s="55"/>
      <c r="BJ928" s="62"/>
      <c r="BK928" s="57" t="n">
        <v>-1</v>
      </c>
      <c r="BL928" s="57" t="n">
        <v>3</v>
      </c>
      <c r="BM928" s="56" t="n">
        <v>-48.24</v>
      </c>
      <c r="BN928" s="57" t="n">
        <v>0</v>
      </c>
      <c r="BO928" s="55"/>
      <c r="BP928" s="60" t="n">
        <v>0</v>
      </c>
      <c r="BQ928" s="60" t="n">
        <v>928</v>
      </c>
      <c r="BR928" s="55" t="str">
        <f aca="false">IF(U928&lt;&gt;"",UPPER(TRIM(U928)),IF(BU928=1,UPPER(VLOOKUP(T928,Parameter!$I$27:$K$29,2,0)),IF(P928="","LOSE",P928)))</f>
        <v>S51</v>
      </c>
      <c r="BS928" s="57" t="n">
        <f aca="false">IF(BR928="LOSE",1,IF(N(V928)&gt;0,V928,IF(BU928=1,MAX(1,N(VLOOKUP(T928,Parameter!$I$27:$K$29,3,0)),H928,N(N928)),IF(N(Q928)&gt;0,Q928,MAX(1,H928)))))</f>
        <v>20</v>
      </c>
      <c r="BT928" s="60" t="n">
        <f aca="false">IF(BR928="LOSE",1,0)</f>
        <v>0</v>
      </c>
      <c r="BU928" s="60" t="n">
        <f aca="false">IF(AND(U928="",OR(P928="",P928="LOSE"),T928&lt;&gt;"",N(S928)&lt;=0,ISNUMBER(MATCH(T928,Parameter!$I$27:$I$29,0))),1,0)</f>
        <v>0</v>
      </c>
      <c r="BV928" s="55" t="n">
        <f aca="false">IF(AND(Parameter!$B$19="Ja",E928&lt;&gt;"",ISNUMBER(MATCH(E928,Parameter!$I$35:$I$52,0))),VLOOKUP(E928,Parameter!$I$35:$J$52,2,0),IFERROR(VLOOKUP(D928,Parameter!$A$35:$C$64,2,0),"Nein"))</f>
        <v>1</v>
      </c>
      <c r="BW928" s="59" t="n">
        <f aca="false">IF(BT928=0,0,IF(N(S928)&gt;0,S928,IFERROR(VLOOKUP(D928,Parameter!$A$35:$C$64,3,0)+0,0)))</f>
        <v>0</v>
      </c>
      <c r="BX928" s="55" t="n">
        <f aca="false">IF(AA928&lt;&gt;"",AA928,Z928)</f>
        <v>1</v>
      </c>
      <c r="BY928" s="55" t="str">
        <f aca="false">IF(BX928=1,"L1",IF(OR(BX928=2,BX928=3),"L23",IF(BX928="Aussen","Aussen","-")))</f>
        <v>L1</v>
      </c>
      <c r="BZ928" s="66" t="n">
        <f aca="false">IF(N(AB928)&gt;0,AB928,0)</f>
        <v>0</v>
      </c>
      <c r="CA928" s="60" t="n">
        <f aca="false">IF(ISNUMBER(AE928),1,0)</f>
        <v>0</v>
      </c>
      <c r="CB928" s="57" t="n">
        <f aca="false">N(AE928)</f>
        <v>0</v>
      </c>
      <c r="CC928" s="57" t="n">
        <f aca="false">N(M928)+N(N928)</f>
        <v>1</v>
      </c>
      <c r="CD928" s="57" t="n">
        <f aca="false">ROUNDUP(H928/BS928,0)</f>
        <v>1</v>
      </c>
      <c r="CE928" s="57" t="n">
        <f aca="false">ROUNDUP(CB928/BS928,0)</f>
        <v>0</v>
      </c>
      <c r="CF928" s="60" t="n">
        <f aca="false">IF(BT928=1,0,IFERROR(VLOOKUP(BR928,'Gebinde-Kategorie'!$A$5:$M$45,5,0)+0,0))</f>
        <v>11</v>
      </c>
      <c r="CG928" s="60" t="n">
        <f aca="false">IFERROR(IF(OR(BX928=1,BX928=2,BX928=3),N(INDEX(Parameter!$I$5:$I$7,BX928)),0),0)</f>
        <v>0</v>
      </c>
      <c r="CH928" s="59" t="n">
        <f aca="false">IF(AND(Parameter!$B$21="Ja",ISNUMBER(W928),N(X928)&gt;0),IFERROR(N(INDEX(Parameter!$L$5:$L$7,W928))*INDEX(Parameter!$E$5:$E$7,W928)*X928/SUMIFS($X$7:$X$1843,$W$7:$W$1843,W928),0),0)</f>
        <v>0</v>
      </c>
    </row>
    <row r="929" customFormat="false" ht="15" hidden="false" customHeight="false" outlineLevel="0" collapsed="false">
      <c r="A929" s="55" t="s">
        <v>1732</v>
      </c>
      <c r="B929" s="55" t="s">
        <v>1733</v>
      </c>
      <c r="C929" s="55" t="s">
        <v>164</v>
      </c>
      <c r="D929" s="55" t="s">
        <v>184</v>
      </c>
      <c r="E929" s="55" t="s">
        <v>185</v>
      </c>
      <c r="F929" s="55" t="s">
        <v>218</v>
      </c>
      <c r="G929" s="56" t="n">
        <v>14.45</v>
      </c>
      <c r="H929" s="57" t="n">
        <f aca="false">MAX(0,IF(AND(Parameter!$B$21="Ja",ISNUMBER(Y929)),Y929,IF(Parameter!$B$20="Jahresanfang 2025 + Export",BL929+BK929,BK929)))</f>
        <v>8</v>
      </c>
      <c r="I929" s="57" t="n">
        <f aca="false">H929*G929</f>
        <v>115.6</v>
      </c>
      <c r="J929" s="57" t="n">
        <f aca="false">BN929*Parameter!$B$18</f>
        <v>7</v>
      </c>
      <c r="K929" s="58" t="n">
        <v>10</v>
      </c>
      <c r="L929" s="59" t="n">
        <v>0.7</v>
      </c>
      <c r="M929" s="57" t="n">
        <v>0</v>
      </c>
      <c r="N929" s="57" t="n">
        <v>5</v>
      </c>
      <c r="O929" s="60" t="n">
        <v>22</v>
      </c>
      <c r="P929" s="55" t="s">
        <v>328</v>
      </c>
      <c r="Q929" s="57" t="n">
        <v>22</v>
      </c>
      <c r="R929" s="60" t="n">
        <f aca="false">IF(BT929=1,0,IFERROR(VLOOKUP(BR929,'Gebinde-Kategorie'!$A$5:$M$45,13,0)+0,0))</f>
        <v>52</v>
      </c>
      <c r="S929" s="61"/>
      <c r="T929" s="62"/>
      <c r="U929" s="62"/>
      <c r="V929" s="62"/>
      <c r="W929" s="55"/>
      <c r="X929" s="57"/>
      <c r="Y929" s="57"/>
      <c r="Z929" s="55" t="n">
        <f aca="false">IF(A929="","",IF(AND(Parameter!$B$21="Ja",ISNUMBER(W929)),W929,IF(BV929="2+3",IF(ISNUMBER(SEARCH("grosser Artikel",BO929)),2,IFERROR(VLOOKUP(BR929,Parameter!$F$35:$G$64,2,0),2)),IF(OR(BV929="Nein",BV929=""),"-",BV929))))</f>
        <v>3</v>
      </c>
      <c r="AA929" s="62"/>
      <c r="AB929" s="63"/>
      <c r="AC929" s="57" t="n">
        <f aca="false">AR929</f>
        <v>22</v>
      </c>
      <c r="AD929" s="57" t="n">
        <f aca="false">MAX(AR929,H929)</f>
        <v>22</v>
      </c>
      <c r="AE929" s="64"/>
      <c r="AF929" s="57" t="n">
        <f aca="false">IF(LEFT(Cockpit!$C$5,1)="A",H929,IF(CA929=1,CB929,IF(LEFT(Cockpit!$C$5,1)="B",AJ929,MAX(AJ929,H929))))</f>
        <v>8</v>
      </c>
      <c r="AG929" s="57" t="n">
        <f aca="false">IF(BT929=1,0,ROUNDUP(AF929/BS929,0))</f>
        <v>1</v>
      </c>
      <c r="AH929" s="59" t="n">
        <f aca="false">IF(CH929&gt;0,CH929*MAX(1,AF929/X929),IF(BT929=1,IF(AF929&lt;=0,0,BW929*MAX(1,IF(H929&gt;0,AF929/H929,1))),IF(R929&gt;0,AG929/R929,0))/MAX(0.1,N(Parameter!$M$21)))</f>
        <v>0.0192307692307692</v>
      </c>
      <c r="AI929" s="57" t="n">
        <f aca="false">AF929*G929</f>
        <v>115.6</v>
      </c>
      <c r="AJ929" s="57" t="n">
        <f aca="false">ROUNDUP(MAX(J929/IF(BZ929&gt;0,BZ929,MAX(0.1,N(Cockpit!$C$6))),CC929)/BS929,0)*BS929</f>
        <v>22</v>
      </c>
      <c r="AK929" s="58" t="n">
        <f aca="false">IF(AH929&gt;0,J929/AH929,-1)</f>
        <v>364</v>
      </c>
      <c r="AL929" s="58" t="n">
        <f aca="false">IF(AND(OR(BY929="L1",BY929="L23"),AH929&gt;0),SUMIFS($AH$7:$AH$1843,$BY$7:$BY$1843,BY929,$AK$7:$AK$1843,"&gt;"&amp;AK929)+SUMIFS($AH$7:$AH$1843,$BY$7:$BY$1843,BY929,$AK$7:$AK$1843,AK929,$BQ$7:$BQ$1843,"&lt;="&amp;BQ929),"")</f>
        <v>26.9313283335022</v>
      </c>
      <c r="AM929" s="65" t="n">
        <f aca="false">IF(AL929="",0,MAX(0,MIN(1,(IF(BY929="L1",Parameter!$E$5,Parameter!$E$6+Parameter!$E$7)-(AL929-AH929))/AH929)))</f>
        <v>1</v>
      </c>
      <c r="AN929" s="57" t="n">
        <f aca="false">IF(LEFT(Cockpit!$I$5,1)="A",H929,IF(CA929=1,CB929,IF(LEFT(Cockpit!$I$5,1)="B",AR929,MAX(AR929,H929))))</f>
        <v>22</v>
      </c>
      <c r="AO929" s="57" t="n">
        <f aca="false">IF(BT929=1,0,ROUNDUP(AN929/BS929,0))</f>
        <v>1</v>
      </c>
      <c r="AP929" s="59" t="n">
        <f aca="false">IF(CH929&gt;0,CH929*MAX(1,AN929/X929),IF(BT929=1,IF(AN929&lt;=0,0,BW929*MAX(1,IF(H929&gt;0,AN929/H929,1))),IF(R929&gt;0,AO929/R929,0))/MAX(0.1,N(Parameter!$M$21)))</f>
        <v>0.0192307692307692</v>
      </c>
      <c r="AQ929" s="57" t="n">
        <f aca="false">AN929*G929</f>
        <v>317.9</v>
      </c>
      <c r="AR929" s="57" t="n">
        <f aca="false">ROUNDUP(MAX(J929/IF(BZ929&gt;0,BZ929,MAX(0.1,N(Cockpit!$I$6))),CC929)/BS929,0)*BS929</f>
        <v>22</v>
      </c>
      <c r="AS929" s="58" t="n">
        <f aca="false">IF(AP929&gt;0,J929/AP929,-1)</f>
        <v>364</v>
      </c>
      <c r="AT929" s="58" t="n">
        <f aca="false">IF(AND(OR(BY929="L1",BY929="L23"),AP929&gt;0),SUMIFS($AP$7:$AP$1843,$BY$7:$BY$1843,BY929,$AS$7:$AS$1843,"&gt;"&amp;AS929)+SUMIFS($AP$7:$AP$1843,$BY$7:$BY$1843,BY929,$AS$7:$AS$1843,AS929,$BQ$7:$BQ$1843,"&lt;="&amp;BQ929),"")</f>
        <v>36.4836576467011</v>
      </c>
      <c r="AU929" s="65" t="n">
        <f aca="false">IF(AT929="",0,MAX(0,MIN(1,(IF(BY929="L1",Parameter!$E$5,Parameter!$E$6+Parameter!$E$7)-(AT929-AP929))/AP929)))</f>
        <v>1</v>
      </c>
      <c r="AV929" s="57" t="n">
        <f aca="false">IF(LEFT(Cockpit!$O$5,1)="A",H929,IF(CA929=1,CB929,IF(LEFT(Cockpit!$O$5,1)="B",AZ929,MAX(AZ929,H929))))</f>
        <v>22</v>
      </c>
      <c r="AW929" s="57" t="n">
        <f aca="false">IF(BT929=1,0,ROUNDUP(AV929/BS929,0))</f>
        <v>1</v>
      </c>
      <c r="AX929" s="59" t="n">
        <f aca="false">IF(CH929&gt;0,CH929*MAX(1,AV929/X929),IF(BT929=1,IF(AV929&lt;=0,0,BW929*MAX(1,IF(H929&gt;0,AV929/H929,1))),IF(R929&gt;0,AW929/R929,0))/MAX(0.1,N(Parameter!$M$21)))</f>
        <v>0.0192307692307692</v>
      </c>
      <c r="AY929" s="57" t="n">
        <f aca="false">AV929*G929</f>
        <v>317.9</v>
      </c>
      <c r="AZ929" s="57" t="n">
        <f aca="false">ROUNDUP(MAX(J929/IF(BZ929&gt;0,BZ929,MAX(0.1,N(Cockpit!$O$6))),CC929)/BS929,0)*BS929</f>
        <v>22</v>
      </c>
      <c r="BA929" s="58" t="n">
        <f aca="false">IF(AX929&gt;0,J929/AX929,-1)</f>
        <v>364</v>
      </c>
      <c r="BB929" s="58" t="n">
        <f aca="false">IF(AND(OR(BY929="L1",BY929="L23"),AX929&gt;0),SUMIFS($AX$7:$AX$1843,$BY$7:$BY$1843,BY929,$BA$7:$BA$1843,"&gt;"&amp;BA929)+SUMIFS($AX$7:$AX$1843,$BY$7:$BY$1843,BY929,$BA$7:$BA$1843,BA929,$BQ$7:$BQ$1843,"&lt;="&amp;BQ929),"")</f>
        <v>35.7301611432046</v>
      </c>
      <c r="BC929" s="65" t="n">
        <f aca="false">IF(BB929="",0,MAX(0,MIN(1,(IF(BY929="L1",Parameter!$E$5,Parameter!$E$6+Parameter!$E$7)-(BB929-AX929))/AX929)))</f>
        <v>1</v>
      </c>
      <c r="BD929" s="55" t="str">
        <f aca="false">IF(AH929&lt;=0,"",IF(BY929="Aussen","Aussenlager",IF(BY929="-","Nicht im Lift",IF(AM929&gt;=1,"Lift",IF(AM929&lt;=0,"Aussenlager","teilweise")))))</f>
        <v>Lift</v>
      </c>
      <c r="BE929" s="55" t="str">
        <f aca="false">IF(AP929&lt;=0,"",IF(BY929="Aussen","Aussenlager",IF(BY929="-","Nicht im Lift",IF(AU929&gt;=1,"Lift",IF(AU929&lt;=0,"Aussenlager","teilweise")))))</f>
        <v>Lift</v>
      </c>
      <c r="BF929" s="55" t="str">
        <f aca="false">IF(AX929&lt;=0,"",IF(BY929="Aussen","Aussenlager",IF(BY929="-","Nicht im Lift",IF(BC929&gt;=1,"Lift",IF(BC929&lt;=0,"Aussenlager","teilweise")))))</f>
        <v>Lift</v>
      </c>
      <c r="BG929" s="55" t="str">
        <f aca="false">IF(A929="","",IF(BP929=1,"Neu; ","")&amp;IF(AND(BP929=0,BK929&lt;0),"negativer Bestand (Export "&amp;BK929&amp;"); ","")&amp;IF(J929&lt;=0,"Kein Verbrauch; ","")&amp;IF(CH929&gt;0,"Lift "&amp;W929&amp;" lt. Liftbericht (Fach "&amp;X929&amp;" Stk); ",IF(BU929=1,"Gebinde geschätzt ("&amp;T929&amp;"); ",IF(BT929=1,"Lose – Tablare geschätzt; ","")))&amp;IF(H929&gt;AR929,"Überbestand "&amp;ROUND(H929-AR929,0)&amp;" Stk / CHF "&amp;ROUND((H929-AR929)*G929,0)&amp;"; ","")&amp;IF(AND(CA929=1,CB929&lt;CC929),"MAX &lt; MB+LG; ","")&amp;IF(AND(CG929&gt;0,CF929*10&gt;CG929),"zu hoch für Tablar; ","")&amp;IF(AND(BP929=0,OR(CA929=1,AA929&lt;&gt;"",U929&lt;&gt;"",V929&lt;&gt;"",AB929&lt;&gt;"")),"manuell übersteuert; ","")&amp;IF(AND(BT929=0,R929=0),"Gebinde unbekannt / Stellmass fehlt; ","")&amp;IF(AND(BT929=0,N(V929)&lt;=0,N(Q929)&lt;=0),"Menge pro Gebinde fehlt (Ist = 1 Gebinde); ","")&amp;BO929)</f>
        <v>negativer Bestand (Export -3); </v>
      </c>
      <c r="BH929" s="55"/>
      <c r="BI929" s="55"/>
      <c r="BJ929" s="62"/>
      <c r="BK929" s="57" t="n">
        <v>-3</v>
      </c>
      <c r="BL929" s="57" t="n">
        <v>11</v>
      </c>
      <c r="BM929" s="56" t="n">
        <v>-48.63</v>
      </c>
      <c r="BN929" s="57" t="n">
        <v>7</v>
      </c>
      <c r="BO929" s="55"/>
      <c r="BP929" s="60" t="n">
        <v>0</v>
      </c>
      <c r="BQ929" s="60" t="n">
        <v>929</v>
      </c>
      <c r="BR929" s="55" t="str">
        <f aca="false">IF(U929&lt;&gt;"",UPPER(TRIM(U929)),IF(BU929=1,UPPER(VLOOKUP(T929,Parameter!$I$27:$K$29,2,0)),IF(P929="","LOSE",P929)))</f>
        <v>S41</v>
      </c>
      <c r="BS929" s="57" t="n">
        <f aca="false">IF(BR929="LOSE",1,IF(N(V929)&gt;0,V929,IF(BU929=1,MAX(1,N(VLOOKUP(T929,Parameter!$I$27:$K$29,3,0)),H929,N(N929)),IF(N(Q929)&gt;0,Q929,MAX(1,H929)))))</f>
        <v>22</v>
      </c>
      <c r="BT929" s="60" t="n">
        <f aca="false">IF(BR929="LOSE",1,0)</f>
        <v>0</v>
      </c>
      <c r="BU929" s="60" t="n">
        <f aca="false">IF(AND(U929="",OR(P929="",P929="LOSE"),T929&lt;&gt;"",N(S929)&lt;=0,ISNUMBER(MATCH(T929,Parameter!$I$27:$I$29,0))),1,0)</f>
        <v>0</v>
      </c>
      <c r="BV929" s="55" t="str">
        <f aca="false">IF(AND(Parameter!$B$19="Ja",E929&lt;&gt;"",ISNUMBER(MATCH(E929,Parameter!$I$35:$I$52,0))),VLOOKUP(E929,Parameter!$I$35:$J$52,2,0),IFERROR(VLOOKUP(D929,Parameter!$A$35:$C$64,2,0),"Nein"))</f>
        <v>2+3</v>
      </c>
      <c r="BW929" s="59" t="n">
        <f aca="false">IF(BT929=0,0,IF(N(S929)&gt;0,S929,IFERROR(VLOOKUP(D929,Parameter!$A$35:$C$64,3,0)+0,0)))</f>
        <v>0</v>
      </c>
      <c r="BX929" s="55" t="n">
        <f aca="false">IF(AA929&lt;&gt;"",AA929,Z929)</f>
        <v>3</v>
      </c>
      <c r="BY929" s="55" t="str">
        <f aca="false">IF(BX929=1,"L1",IF(OR(BX929=2,BX929=3),"L23",IF(BX929="Aussen","Aussen","-")))</f>
        <v>L23</v>
      </c>
      <c r="BZ929" s="66" t="n">
        <f aca="false">IF(N(AB929)&gt;0,AB929,0)</f>
        <v>0</v>
      </c>
      <c r="CA929" s="60" t="n">
        <f aca="false">IF(ISNUMBER(AE929),1,0)</f>
        <v>0</v>
      </c>
      <c r="CB929" s="57" t="n">
        <f aca="false">N(AE929)</f>
        <v>0</v>
      </c>
      <c r="CC929" s="57" t="n">
        <f aca="false">N(M929)+N(N929)</f>
        <v>5</v>
      </c>
      <c r="CD929" s="57" t="n">
        <f aca="false">ROUNDUP(H929/BS929,0)</f>
        <v>1</v>
      </c>
      <c r="CE929" s="57" t="n">
        <f aca="false">ROUNDUP(CB929/BS929,0)</f>
        <v>0</v>
      </c>
      <c r="CF929" s="60" t="n">
        <f aca="false">IF(BT929=1,0,IFERROR(VLOOKUP(BR929,'Gebinde-Kategorie'!$A$5:$M$45,5,0)+0,0))</f>
        <v>11</v>
      </c>
      <c r="CG929" s="60" t="n">
        <f aca="false">IFERROR(IF(OR(BX929=1,BX929=2,BX929=3),N(INDEX(Parameter!$I$5:$I$7,BX929)),0),0)</f>
        <v>0</v>
      </c>
      <c r="CH929" s="59" t="n">
        <f aca="false">IF(AND(Parameter!$B$21="Ja",ISNUMBER(W929),N(X929)&gt;0),IFERROR(N(INDEX(Parameter!$L$5:$L$7,W929))*INDEX(Parameter!$E$5:$E$7,W929)*X929/SUMIFS($X$7:$X$1843,$W$7:$W$1843,W929),0),0)</f>
        <v>0</v>
      </c>
    </row>
    <row r="930" customFormat="false" ht="15" hidden="false" customHeight="false" outlineLevel="0" collapsed="false">
      <c r="A930" s="55" t="s">
        <v>1734</v>
      </c>
      <c r="B930" s="55" t="s">
        <v>1735</v>
      </c>
      <c r="C930" s="55" t="s">
        <v>164</v>
      </c>
      <c r="D930" s="55" t="s">
        <v>184</v>
      </c>
      <c r="E930" s="55" t="s">
        <v>185</v>
      </c>
      <c r="F930" s="55" t="s">
        <v>218</v>
      </c>
      <c r="G930" s="56" t="n">
        <v>48.79</v>
      </c>
      <c r="H930" s="57" t="n">
        <f aca="false">MAX(0,IF(AND(Parameter!$B$21="Ja",ISNUMBER(Y930)),Y930,IF(Parameter!$B$20="Jahresanfang 2025 + Export",BL930+BK930,BK930)))</f>
        <v>4</v>
      </c>
      <c r="I930" s="57" t="n">
        <f aca="false">H930*G930</f>
        <v>195.16</v>
      </c>
      <c r="J930" s="57" t="n">
        <f aca="false">BN930*Parameter!$B$18</f>
        <v>0</v>
      </c>
      <c r="K930" s="58" t="n">
        <v>5</v>
      </c>
      <c r="L930" s="59" t="n">
        <v>0</v>
      </c>
      <c r="M930" s="57" t="n">
        <v>0</v>
      </c>
      <c r="N930" s="57" t="n">
        <v>1</v>
      </c>
      <c r="O930" s="60" t="n">
        <v>42</v>
      </c>
      <c r="P930" s="55" t="s">
        <v>401</v>
      </c>
      <c r="Q930" s="57" t="n">
        <v>5</v>
      </c>
      <c r="R930" s="60" t="n">
        <f aca="false">IF(BT930=1,0,IFERROR(VLOOKUP(BR930,'Gebinde-Kategorie'!$A$5:$M$45,13,0)+0,0))</f>
        <v>414</v>
      </c>
      <c r="S930" s="61"/>
      <c r="T930" s="62"/>
      <c r="U930" s="62"/>
      <c r="V930" s="62"/>
      <c r="W930" s="55"/>
      <c r="X930" s="57"/>
      <c r="Y930" s="57"/>
      <c r="Z930" s="55" t="n">
        <f aca="false">IF(A930="","",IF(AND(Parameter!$B$21="Ja",ISNUMBER(W930)),W930,IF(BV930="2+3",IF(ISNUMBER(SEARCH("grosser Artikel",BO930)),2,IFERROR(VLOOKUP(BR930,Parameter!$F$35:$G$64,2,0),2)),IF(OR(BV930="Nein",BV930=""),"-",BV930))))</f>
        <v>3</v>
      </c>
      <c r="AA930" s="62"/>
      <c r="AB930" s="63"/>
      <c r="AC930" s="57" t="n">
        <f aca="false">AR930</f>
        <v>5</v>
      </c>
      <c r="AD930" s="57" t="n">
        <f aca="false">MAX(AR930,H930)</f>
        <v>5</v>
      </c>
      <c r="AE930" s="64"/>
      <c r="AF930" s="57" t="n">
        <f aca="false">IF(LEFT(Cockpit!$C$5,1)="A",H930,IF(CA930=1,CB930,IF(LEFT(Cockpit!$C$5,1)="B",AJ930,MAX(AJ930,H930))))</f>
        <v>4</v>
      </c>
      <c r="AG930" s="57" t="n">
        <f aca="false">IF(BT930=1,0,ROUNDUP(AF930/BS930,0))</f>
        <v>1</v>
      </c>
      <c r="AH930" s="59" t="n">
        <f aca="false">IF(CH930&gt;0,CH930*MAX(1,AF930/X930),IF(BT930=1,IF(AF930&lt;=0,0,BW930*MAX(1,IF(H930&gt;0,AF930/H930,1))),IF(R930&gt;0,AG930/R930,0))/MAX(0.1,N(Parameter!$M$21)))</f>
        <v>0.00241545893719807</v>
      </c>
      <c r="AI930" s="57" t="n">
        <f aca="false">AF930*G930</f>
        <v>195.16</v>
      </c>
      <c r="AJ930" s="57" t="n">
        <f aca="false">ROUNDUP(MAX(J930/IF(BZ930&gt;0,BZ930,MAX(0.1,N(Cockpit!$C$6))),CC930)/BS930,0)*BS930</f>
        <v>5</v>
      </c>
      <c r="AK930" s="58" t="n">
        <f aca="false">IF(AH930&gt;0,J930/AH930,-1)</f>
        <v>0</v>
      </c>
      <c r="AL930" s="58" t="n">
        <f aca="false">IF(AND(OR(BY930="L1",BY930="L23"),AH930&gt;0),SUMIFS($AH$7:$AH$1843,$BY$7:$BY$1843,BY930,$AK$7:$AK$1843,"&gt;"&amp;AK930)+SUMIFS($AH$7:$AH$1843,$BY$7:$BY$1843,BY930,$AK$7:$AK$1843,AK930,$BQ$7:$BQ$1843,"&lt;="&amp;BQ930),"")</f>
        <v>78.0404293773859</v>
      </c>
      <c r="AM930" s="65" t="n">
        <f aca="false">IF(AL930="",0,MAX(0,MIN(1,(IF(BY930="L1",Parameter!$E$5,Parameter!$E$6+Parameter!$E$7)-(AL930-AH930))/AH930)))</f>
        <v>1</v>
      </c>
      <c r="AN930" s="57" t="n">
        <f aca="false">IF(LEFT(Cockpit!$I$5,1)="A",H930,IF(CA930=1,CB930,IF(LEFT(Cockpit!$I$5,1)="B",AR930,MAX(AR930,H930))))</f>
        <v>5</v>
      </c>
      <c r="AO930" s="57" t="n">
        <f aca="false">IF(BT930=1,0,ROUNDUP(AN930/BS930,0))</f>
        <v>1</v>
      </c>
      <c r="AP930" s="59" t="n">
        <f aca="false">IF(CH930&gt;0,CH930*MAX(1,AN930/X930),IF(BT930=1,IF(AN930&lt;=0,0,BW930*MAX(1,IF(H930&gt;0,AN930/H930,1))),IF(R930&gt;0,AO930/R930,0))/MAX(0.1,N(Parameter!$M$21)))</f>
        <v>0.00241545893719807</v>
      </c>
      <c r="AQ930" s="57" t="n">
        <f aca="false">AN930*G930</f>
        <v>243.95</v>
      </c>
      <c r="AR930" s="57" t="n">
        <f aca="false">ROUNDUP(MAX(J930/IF(BZ930&gt;0,BZ930,MAX(0.1,N(Cockpit!$I$6))),CC930)/BS930,0)*BS930</f>
        <v>5</v>
      </c>
      <c r="AS930" s="58" t="n">
        <f aca="false">IF(AP930&gt;0,J930/AP930,-1)</f>
        <v>0</v>
      </c>
      <c r="AT930" s="58" t="n">
        <f aca="false">IF(AND(OR(BY930="L1",BY930="L23"),AP930&gt;0),SUMIFS($AP$7:$AP$1843,$BY$7:$BY$1843,BY930,$AS$7:$AS$1843,"&gt;"&amp;AS930)+SUMIFS($AP$7:$AP$1843,$BY$7:$BY$1843,BY930,$AS$7:$AS$1843,AS930,$BQ$7:$BQ$1843,"&lt;="&amp;BQ930),"")</f>
        <v>119.234535995406</v>
      </c>
      <c r="AU930" s="65" t="n">
        <f aca="false">IF(AT930="",0,MAX(0,MIN(1,(IF(BY930="L1",Parameter!$E$5,Parameter!$E$6+Parameter!$E$7)-(AT930-AP930))/AP930)))</f>
        <v>0</v>
      </c>
      <c r="AV930" s="57" t="n">
        <f aca="false">IF(LEFT(Cockpit!$O$5,1)="A",H930,IF(CA930=1,CB930,IF(LEFT(Cockpit!$O$5,1)="B",AZ930,MAX(AZ930,H930))))</f>
        <v>5</v>
      </c>
      <c r="AW930" s="57" t="n">
        <f aca="false">IF(BT930=1,0,ROUNDUP(AV930/BS930,0))</f>
        <v>1</v>
      </c>
      <c r="AX930" s="59" t="n">
        <f aca="false">IF(CH930&gt;0,CH930*MAX(1,AV930/X930),IF(BT930=1,IF(AV930&lt;=0,0,BW930*MAX(1,IF(H930&gt;0,AV930/H930,1))),IF(R930&gt;0,AW930/R930,0))/MAX(0.1,N(Parameter!$M$21)))</f>
        <v>0.00241545893719807</v>
      </c>
      <c r="AY930" s="57" t="n">
        <f aca="false">AV930*G930</f>
        <v>243.95</v>
      </c>
      <c r="AZ930" s="57" t="n">
        <f aca="false">ROUNDUP(MAX(J930/IF(BZ930&gt;0,BZ930,MAX(0.1,N(Cockpit!$O$6))),CC930)/BS930,0)*BS930</f>
        <v>5</v>
      </c>
      <c r="BA930" s="58" t="n">
        <f aca="false">IF(AX930&gt;0,J930/AX930,-1)</f>
        <v>0</v>
      </c>
      <c r="BB930" s="58" t="n">
        <f aca="false">IF(AND(OR(BY930="L1",BY930="L23"),AX930&gt;0),SUMIFS($AX$7:$AX$1843,$BY$7:$BY$1843,BY930,$BA$7:$BA$1843,"&gt;"&amp;BA930)+SUMIFS($AX$7:$AX$1843,$BY$7:$BY$1843,BY930,$BA$7:$BA$1843,BA930,$BQ$7:$BQ$1843,"&lt;="&amp;BQ930),"")</f>
        <v>110.064372825242</v>
      </c>
      <c r="BC930" s="65" t="n">
        <f aca="false">IF(BB930="",0,MAX(0,MIN(1,(IF(BY930="L1",Parameter!$E$5,Parameter!$E$6+Parameter!$E$7)-(BB930-AX930))/AX930)))</f>
        <v>0</v>
      </c>
      <c r="BD930" s="55" t="str">
        <f aca="false">IF(AH930&lt;=0,"",IF(BY930="Aussen","Aussenlager",IF(BY930="-","Nicht im Lift",IF(AM930&gt;=1,"Lift",IF(AM930&lt;=0,"Aussenlager","teilweise")))))</f>
        <v>Lift</v>
      </c>
      <c r="BE930" s="55" t="str">
        <f aca="false">IF(AP930&lt;=0,"",IF(BY930="Aussen","Aussenlager",IF(BY930="-","Nicht im Lift",IF(AU930&gt;=1,"Lift",IF(AU930&lt;=0,"Aussenlager","teilweise")))))</f>
        <v>Aussenlager</v>
      </c>
      <c r="BF930" s="55" t="str">
        <f aca="false">IF(AX930&lt;=0,"",IF(BY930="Aussen","Aussenlager",IF(BY930="-","Nicht im Lift",IF(BC930&gt;=1,"Lift",IF(BC930&lt;=0,"Aussenlager","teilweise")))))</f>
        <v>Aussenlager</v>
      </c>
      <c r="BG930" s="55" t="str">
        <f aca="false">IF(A930="","",IF(BP930=1,"Neu; ","")&amp;IF(AND(BP930=0,BK930&lt;0),"negativer Bestand (Export "&amp;BK930&amp;"); ","")&amp;IF(J930&lt;=0,"Kein Verbrauch; ","")&amp;IF(CH930&gt;0,"Lift "&amp;W930&amp;" lt. Liftbericht (Fach "&amp;X930&amp;" Stk); ",IF(BU930=1,"Gebinde geschätzt ("&amp;T930&amp;"); ",IF(BT930=1,"Lose – Tablare geschätzt; ","")))&amp;IF(H930&gt;AR930,"Überbestand "&amp;ROUND(H930-AR930,0)&amp;" Stk / CHF "&amp;ROUND((H930-AR930)*G930,0)&amp;"; ","")&amp;IF(AND(CA930=1,CB930&lt;CC930),"MAX &lt; MB+LG; ","")&amp;IF(AND(CG930&gt;0,CF930*10&gt;CG930),"zu hoch für Tablar; ","")&amp;IF(AND(BP930=0,OR(CA930=1,AA930&lt;&gt;"",U930&lt;&gt;"",V930&lt;&gt;"",AB930&lt;&gt;"")),"manuell übersteuert; ","")&amp;IF(AND(BT930=0,R930=0),"Gebinde unbekannt / Stellmass fehlt; ","")&amp;IF(AND(BT930=0,N(V930)&lt;=0,N(Q930)&lt;=0),"Menge pro Gebinde fehlt (Ist = 1 Gebinde); ","")&amp;BO930)</f>
        <v>negativer Bestand (Export -1); Kein Verbrauch; B&amp;R; nicht im KTL vorhanden</v>
      </c>
      <c r="BH930" s="55"/>
      <c r="BI930" s="55"/>
      <c r="BJ930" s="62"/>
      <c r="BK930" s="57" t="n">
        <v>-1</v>
      </c>
      <c r="BL930" s="57" t="n">
        <v>5</v>
      </c>
      <c r="BM930" s="56" t="n">
        <v>-48.79</v>
      </c>
      <c r="BN930" s="57" t="n">
        <v>0</v>
      </c>
      <c r="BO930" s="55" t="s">
        <v>1736</v>
      </c>
      <c r="BP930" s="60" t="n">
        <v>0</v>
      </c>
      <c r="BQ930" s="60" t="n">
        <v>930</v>
      </c>
      <c r="BR930" s="55" t="str">
        <f aca="false">IF(U930&lt;&gt;"",UPPER(TRIM(U930)),IF(BU930=1,UPPER(VLOOKUP(T930,Parameter!$I$27:$K$29,2,0)),IF(P930="","LOSE",P930)))</f>
        <v>S21</v>
      </c>
      <c r="BS930" s="57" t="n">
        <f aca="false">IF(BR930="LOSE",1,IF(N(V930)&gt;0,V930,IF(BU930=1,MAX(1,N(VLOOKUP(T930,Parameter!$I$27:$K$29,3,0)),H930,N(N930)),IF(N(Q930)&gt;0,Q930,MAX(1,H930)))))</f>
        <v>5</v>
      </c>
      <c r="BT930" s="60" t="n">
        <f aca="false">IF(BR930="LOSE",1,0)</f>
        <v>0</v>
      </c>
      <c r="BU930" s="60" t="n">
        <f aca="false">IF(AND(U930="",OR(P930="",P930="LOSE"),T930&lt;&gt;"",N(S930)&lt;=0,ISNUMBER(MATCH(T930,Parameter!$I$27:$I$29,0))),1,0)</f>
        <v>0</v>
      </c>
      <c r="BV930" s="55" t="str">
        <f aca="false">IF(AND(Parameter!$B$19="Ja",E930&lt;&gt;"",ISNUMBER(MATCH(E930,Parameter!$I$35:$I$52,0))),VLOOKUP(E930,Parameter!$I$35:$J$52,2,0),IFERROR(VLOOKUP(D930,Parameter!$A$35:$C$64,2,0),"Nein"))</f>
        <v>2+3</v>
      </c>
      <c r="BW930" s="59" t="n">
        <f aca="false">IF(BT930=0,0,IF(N(S930)&gt;0,S930,IFERROR(VLOOKUP(D930,Parameter!$A$35:$C$64,3,0)+0,0)))</f>
        <v>0</v>
      </c>
      <c r="BX930" s="55" t="n">
        <f aca="false">IF(AA930&lt;&gt;"",AA930,Z930)</f>
        <v>3</v>
      </c>
      <c r="BY930" s="55" t="str">
        <f aca="false">IF(BX930=1,"L1",IF(OR(BX930=2,BX930=3),"L23",IF(BX930="Aussen","Aussen","-")))</f>
        <v>L23</v>
      </c>
      <c r="BZ930" s="66" t="n">
        <f aca="false">IF(N(AB930)&gt;0,AB930,0)</f>
        <v>0</v>
      </c>
      <c r="CA930" s="60" t="n">
        <f aca="false">IF(ISNUMBER(AE930),1,0)</f>
        <v>0</v>
      </c>
      <c r="CB930" s="57" t="n">
        <f aca="false">N(AE930)</f>
        <v>0</v>
      </c>
      <c r="CC930" s="57" t="n">
        <f aca="false">N(M930)+N(N930)</f>
        <v>1</v>
      </c>
      <c r="CD930" s="57" t="n">
        <f aca="false">ROUNDUP(H930/BS930,0)</f>
        <v>1</v>
      </c>
      <c r="CE930" s="57" t="n">
        <f aca="false">ROUNDUP(CB930/BS930,0)</f>
        <v>0</v>
      </c>
      <c r="CF930" s="60" t="n">
        <f aca="false">IF(BT930=1,0,IFERROR(VLOOKUP(BR930,'Gebinde-Kategorie'!$A$5:$M$45,5,0)+0,0))</f>
        <v>8</v>
      </c>
      <c r="CG930" s="60" t="n">
        <f aca="false">IFERROR(IF(OR(BX930=1,BX930=2,BX930=3),N(INDEX(Parameter!$I$5:$I$7,BX930)),0),0)</f>
        <v>0</v>
      </c>
      <c r="CH930" s="59" t="n">
        <f aca="false">IF(AND(Parameter!$B$21="Ja",ISNUMBER(W930),N(X930)&gt;0),IFERROR(N(INDEX(Parameter!$L$5:$L$7,W930))*INDEX(Parameter!$E$5:$E$7,W930)*X930/SUMIFS($X$7:$X$1843,$W$7:$W$1843,W930),0),0)</f>
        <v>0</v>
      </c>
    </row>
    <row r="931" customFormat="false" ht="15" hidden="false" customHeight="false" outlineLevel="0" collapsed="false">
      <c r="A931" s="55" t="s">
        <v>1737</v>
      </c>
      <c r="B931" s="55" t="s">
        <v>1738</v>
      </c>
      <c r="C931" s="55" t="s">
        <v>164</v>
      </c>
      <c r="D931" s="55" t="s">
        <v>184</v>
      </c>
      <c r="E931" s="55" t="s">
        <v>185</v>
      </c>
      <c r="F931" s="55" t="s">
        <v>218</v>
      </c>
      <c r="G931" s="56" t="n">
        <v>1.2</v>
      </c>
      <c r="H931" s="57" t="n">
        <f aca="false">MAX(0,IF(AND(Parameter!$B$21="Ja",ISNUMBER(Y931)),Y931,IF(Parameter!$B$20="Jahresanfang 2025 + Export",BL931+BK931,BK931)))</f>
        <v>69</v>
      </c>
      <c r="I931" s="57" t="n">
        <f aca="false">H931*G931</f>
        <v>82.8</v>
      </c>
      <c r="J931" s="57" t="n">
        <f aca="false">BN931*Parameter!$B$18</f>
        <v>23</v>
      </c>
      <c r="K931" s="58" t="n">
        <v>96.5</v>
      </c>
      <c r="L931" s="59" t="n">
        <v>0.238341968911917</v>
      </c>
      <c r="M931" s="57" t="n">
        <v>0</v>
      </c>
      <c r="N931" s="57" t="n">
        <v>25</v>
      </c>
      <c r="O931" s="60" t="n">
        <v>14</v>
      </c>
      <c r="P931" s="55" t="s">
        <v>302</v>
      </c>
      <c r="Q931" s="57" t="n">
        <v>54</v>
      </c>
      <c r="R931" s="60" t="n">
        <f aca="false">IF(BT931=1,0,IFERROR(VLOOKUP(BR931,'Gebinde-Kategorie'!$A$5:$M$45,13,0)+0,0))</f>
        <v>26</v>
      </c>
      <c r="S931" s="61"/>
      <c r="T931" s="62"/>
      <c r="U931" s="62"/>
      <c r="V931" s="62"/>
      <c r="W931" s="55"/>
      <c r="X931" s="57"/>
      <c r="Y931" s="57"/>
      <c r="Z931" s="55" t="n">
        <f aca="false">IF(A931="","",IF(AND(Parameter!$B$21="Ja",ISNUMBER(W931)),W931,IF(BV931="2+3",IF(ISNUMBER(SEARCH("grosser Artikel",BO931)),2,IFERROR(VLOOKUP(BR931,Parameter!$F$35:$G$64,2,0),2)),IF(OR(BV931="Nein",BV931=""),"-",BV931))))</f>
        <v>3</v>
      </c>
      <c r="AA931" s="62"/>
      <c r="AB931" s="63"/>
      <c r="AC931" s="57" t="n">
        <f aca="false">AR931</f>
        <v>54</v>
      </c>
      <c r="AD931" s="57" t="n">
        <f aca="false">MAX(AR931,H931)</f>
        <v>69</v>
      </c>
      <c r="AE931" s="64"/>
      <c r="AF931" s="57" t="n">
        <f aca="false">IF(LEFT(Cockpit!$C$5,1)="A",H931,IF(CA931=1,CB931,IF(LEFT(Cockpit!$C$5,1)="B",AJ931,MAX(AJ931,H931))))</f>
        <v>69</v>
      </c>
      <c r="AG931" s="57" t="n">
        <f aca="false">IF(BT931=1,0,ROUNDUP(AF931/BS931,0))</f>
        <v>2</v>
      </c>
      <c r="AH931" s="59" t="n">
        <f aca="false">IF(CH931&gt;0,CH931*MAX(1,AF931/X931),IF(BT931=1,IF(AF931&lt;=0,0,BW931*MAX(1,IF(H931&gt;0,AF931/H931,1))),IF(R931&gt;0,AG931/R931,0))/MAX(0.1,N(Parameter!$M$21)))</f>
        <v>0.0769230769230769</v>
      </c>
      <c r="AI931" s="57" t="n">
        <f aca="false">AF931*G931</f>
        <v>82.8</v>
      </c>
      <c r="AJ931" s="57" t="n">
        <f aca="false">ROUNDUP(MAX(J931/IF(BZ931&gt;0,BZ931,MAX(0.1,N(Cockpit!$C$6))),CC931)/BS931,0)*BS931</f>
        <v>54</v>
      </c>
      <c r="AK931" s="58" t="n">
        <f aca="false">IF(AH931&gt;0,J931/AH931,-1)</f>
        <v>299</v>
      </c>
      <c r="AL931" s="58" t="n">
        <f aca="false">IF(AND(OR(BY931="L1",BY931="L23"),AH931&gt;0),SUMIFS($AH$7:$AH$1843,$BY$7:$BY$1843,BY931,$AK$7:$AK$1843,"&gt;"&amp;AK931)+SUMIFS($AH$7:$AH$1843,$BY$7:$BY$1843,BY931,$AK$7:$AK$1843,AK931,$BQ$7:$BQ$1843,"&lt;="&amp;BQ931),"")</f>
        <v>28.4593003614743</v>
      </c>
      <c r="AM931" s="65" t="n">
        <f aca="false">IF(AL931="",0,MAX(0,MIN(1,(IF(BY931="L1",Parameter!$E$5,Parameter!$E$6+Parameter!$E$7)-(AL931-AH931))/AH931)))</f>
        <v>1</v>
      </c>
      <c r="AN931" s="57" t="n">
        <f aca="false">IF(LEFT(Cockpit!$I$5,1)="A",H931,IF(CA931=1,CB931,IF(LEFT(Cockpit!$I$5,1)="B",AR931,MAX(AR931,H931))))</f>
        <v>69</v>
      </c>
      <c r="AO931" s="57" t="n">
        <f aca="false">IF(BT931=1,0,ROUNDUP(AN931/BS931,0))</f>
        <v>2</v>
      </c>
      <c r="AP931" s="59" t="n">
        <f aca="false">IF(CH931&gt;0,CH931*MAX(1,AN931/X931),IF(BT931=1,IF(AN931&lt;=0,0,BW931*MAX(1,IF(H931&gt;0,AN931/H931,1))),IF(R931&gt;0,AO931/R931,0))/MAX(0.1,N(Parameter!$M$21)))</f>
        <v>0.0769230769230769</v>
      </c>
      <c r="AQ931" s="57" t="n">
        <f aca="false">AN931*G931</f>
        <v>82.8</v>
      </c>
      <c r="AR931" s="57" t="n">
        <f aca="false">ROUNDUP(MAX(J931/IF(BZ931&gt;0,BZ931,MAX(0.1,N(Cockpit!$I$6))),CC931)/BS931,0)*BS931</f>
        <v>54</v>
      </c>
      <c r="AS931" s="58" t="n">
        <f aca="false">IF(AP931&gt;0,J931/AP931,-1)</f>
        <v>299</v>
      </c>
      <c r="AT931" s="58" t="n">
        <f aca="false">IF(AND(OR(BY931="L1",BY931="L23"),AP931&gt;0),SUMIFS($AP$7:$AP$1843,$BY$7:$BY$1843,BY931,$AS$7:$AS$1843,"&gt;"&amp;AS931)+SUMIFS($AP$7:$AP$1843,$BY$7:$BY$1843,BY931,$AS$7:$AS$1843,AS931,$BQ$7:$BQ$1843,"&lt;="&amp;BQ931),"")</f>
        <v>41.2598814229249</v>
      </c>
      <c r="AU931" s="65" t="n">
        <f aca="false">IF(AT931="",0,MAX(0,MIN(1,(IF(BY931="L1",Parameter!$E$5,Parameter!$E$6+Parameter!$E$7)-(AT931-AP931))/AP931)))</f>
        <v>1</v>
      </c>
      <c r="AV931" s="57" t="n">
        <f aca="false">IF(LEFT(Cockpit!$O$5,1)="A",H931,IF(CA931=1,CB931,IF(LEFT(Cockpit!$O$5,1)="B",AZ931,MAX(AZ931,H931))))</f>
        <v>69</v>
      </c>
      <c r="AW931" s="57" t="n">
        <f aca="false">IF(BT931=1,0,ROUNDUP(AV931/BS931,0))</f>
        <v>2</v>
      </c>
      <c r="AX931" s="59" t="n">
        <f aca="false">IF(CH931&gt;0,CH931*MAX(1,AV931/X931),IF(BT931=1,IF(AV931&lt;=0,0,BW931*MAX(1,IF(H931&gt;0,AV931/H931,1))),IF(R931&gt;0,AW931/R931,0))/MAX(0.1,N(Parameter!$M$21)))</f>
        <v>0.0769230769230769</v>
      </c>
      <c r="AY931" s="57" t="n">
        <f aca="false">AV931*G931</f>
        <v>82.8</v>
      </c>
      <c r="AZ931" s="57" t="n">
        <f aca="false">ROUNDUP(MAX(J931/IF(BZ931&gt;0,BZ931,MAX(0.1,N(Cockpit!$O$6))),CC931)/BS931,0)*BS931</f>
        <v>54</v>
      </c>
      <c r="BA931" s="58" t="n">
        <f aca="false">IF(AX931&gt;0,J931/AX931,-1)</f>
        <v>299</v>
      </c>
      <c r="BB931" s="58" t="n">
        <f aca="false">IF(AND(OR(BY931="L1",BY931="L23"),AX931&gt;0),SUMIFS($AX$7:$AX$1843,$BY$7:$BY$1843,BY931,$BA$7:$BA$1843,"&gt;"&amp;BA931)+SUMIFS($AX$7:$AX$1843,$BY$7:$BY$1843,BY931,$BA$7:$BA$1843,BA931,$BQ$7:$BQ$1843,"&lt;="&amp;BQ931),"")</f>
        <v>37.5897182527617</v>
      </c>
      <c r="BC931" s="65" t="n">
        <f aca="false">IF(BB931="",0,MAX(0,MIN(1,(IF(BY931="L1",Parameter!$E$5,Parameter!$E$6+Parameter!$E$7)-(BB931-AX931))/AX931)))</f>
        <v>1</v>
      </c>
      <c r="BD931" s="55" t="str">
        <f aca="false">IF(AH931&lt;=0,"",IF(BY931="Aussen","Aussenlager",IF(BY931="-","Nicht im Lift",IF(AM931&gt;=1,"Lift",IF(AM931&lt;=0,"Aussenlager","teilweise")))))</f>
        <v>Lift</v>
      </c>
      <c r="BE931" s="55" t="str">
        <f aca="false">IF(AP931&lt;=0,"",IF(BY931="Aussen","Aussenlager",IF(BY931="-","Nicht im Lift",IF(AU931&gt;=1,"Lift",IF(AU931&lt;=0,"Aussenlager","teilweise")))))</f>
        <v>Lift</v>
      </c>
      <c r="BF931" s="55" t="str">
        <f aca="false">IF(AX931&lt;=0,"",IF(BY931="Aussen","Aussenlager",IF(BY931="-","Nicht im Lift",IF(BC931&gt;=1,"Lift",IF(BC931&lt;=0,"Aussenlager","teilweise")))))</f>
        <v>Lift</v>
      </c>
      <c r="BG931" s="55" t="str">
        <f aca="false">IF(A931="","",IF(BP931=1,"Neu; ","")&amp;IF(AND(BP931=0,BK931&lt;0),"negativer Bestand (Export "&amp;BK931&amp;"); ","")&amp;IF(J931&lt;=0,"Kein Verbrauch; ","")&amp;IF(CH931&gt;0,"Lift "&amp;W931&amp;" lt. Liftbericht (Fach "&amp;X931&amp;" Stk); ",IF(BU931=1,"Gebinde geschätzt ("&amp;T931&amp;"); ",IF(BT931=1,"Lose – Tablare geschätzt; ","")))&amp;IF(H931&gt;AR931,"Überbestand "&amp;ROUND(H931-AR931,0)&amp;" Stk / CHF "&amp;ROUND((H931-AR931)*G931,0)&amp;"; ","")&amp;IF(AND(CA931=1,CB931&lt;CC931),"MAX &lt; MB+LG; ","")&amp;IF(AND(CG931&gt;0,CF931*10&gt;CG931),"zu hoch für Tablar; ","")&amp;IF(AND(BP931=0,OR(CA931=1,AA931&lt;&gt;"",U931&lt;&gt;"",V931&lt;&gt;"",AB931&lt;&gt;"")),"manuell übersteuert; ","")&amp;IF(AND(BT931=0,R931=0),"Gebinde unbekannt / Stellmass fehlt; ","")&amp;IF(AND(BT931=0,N(V931)&lt;=0,N(Q931)&lt;=0),"Menge pro Gebinde fehlt (Ist = 1 Gebinde); ","")&amp;BO931)</f>
        <v>negativer Bestand (Export -41); Überbestand 15 Stk / CHF 18; </v>
      </c>
      <c r="BH931" s="55"/>
      <c r="BI931" s="55"/>
      <c r="BJ931" s="62"/>
      <c r="BK931" s="57" t="n">
        <v>-41</v>
      </c>
      <c r="BL931" s="57" t="n">
        <v>110</v>
      </c>
      <c r="BM931" s="56" t="n">
        <v>-49.2</v>
      </c>
      <c r="BN931" s="57" t="n">
        <v>23</v>
      </c>
      <c r="BO931" s="55"/>
      <c r="BP931" s="60" t="n">
        <v>0</v>
      </c>
      <c r="BQ931" s="60" t="n">
        <v>931</v>
      </c>
      <c r="BR931" s="55" t="str">
        <f aca="false">IF(U931&lt;&gt;"",UPPER(TRIM(U931)),IF(BU931=1,UPPER(VLOOKUP(T931,Parameter!$I$27:$K$29,2,0)),IF(P931="","LOSE",P931)))</f>
        <v>S51</v>
      </c>
      <c r="BS931" s="57" t="n">
        <f aca="false">IF(BR931="LOSE",1,IF(N(V931)&gt;0,V931,IF(BU931=1,MAX(1,N(VLOOKUP(T931,Parameter!$I$27:$K$29,3,0)),H931,N(N931)),IF(N(Q931)&gt;0,Q931,MAX(1,H931)))))</f>
        <v>54</v>
      </c>
      <c r="BT931" s="60" t="n">
        <f aca="false">IF(BR931="LOSE",1,0)</f>
        <v>0</v>
      </c>
      <c r="BU931" s="60" t="n">
        <f aca="false">IF(AND(U931="",OR(P931="",P931="LOSE"),T931&lt;&gt;"",N(S931)&lt;=0,ISNUMBER(MATCH(T931,Parameter!$I$27:$I$29,0))),1,0)</f>
        <v>0</v>
      </c>
      <c r="BV931" s="55" t="str">
        <f aca="false">IF(AND(Parameter!$B$19="Ja",E931&lt;&gt;"",ISNUMBER(MATCH(E931,Parameter!$I$35:$I$52,0))),VLOOKUP(E931,Parameter!$I$35:$J$52,2,0),IFERROR(VLOOKUP(D931,Parameter!$A$35:$C$64,2,0),"Nein"))</f>
        <v>2+3</v>
      </c>
      <c r="BW931" s="59" t="n">
        <f aca="false">IF(BT931=0,0,IF(N(S931)&gt;0,S931,IFERROR(VLOOKUP(D931,Parameter!$A$35:$C$64,3,0)+0,0)))</f>
        <v>0</v>
      </c>
      <c r="BX931" s="55" t="n">
        <f aca="false">IF(AA931&lt;&gt;"",AA931,Z931)</f>
        <v>3</v>
      </c>
      <c r="BY931" s="55" t="str">
        <f aca="false">IF(BX931=1,"L1",IF(OR(BX931=2,BX931=3),"L23",IF(BX931="Aussen","Aussen","-")))</f>
        <v>L23</v>
      </c>
      <c r="BZ931" s="66" t="n">
        <f aca="false">IF(N(AB931)&gt;0,AB931,0)</f>
        <v>0</v>
      </c>
      <c r="CA931" s="60" t="n">
        <f aca="false">IF(ISNUMBER(AE931),1,0)</f>
        <v>0</v>
      </c>
      <c r="CB931" s="57" t="n">
        <f aca="false">N(AE931)</f>
        <v>0</v>
      </c>
      <c r="CC931" s="57" t="n">
        <f aca="false">N(M931)+N(N931)</f>
        <v>25</v>
      </c>
      <c r="CD931" s="57" t="n">
        <f aca="false">ROUNDUP(H931/BS931,0)</f>
        <v>2</v>
      </c>
      <c r="CE931" s="57" t="n">
        <f aca="false">ROUNDUP(CB931/BS931,0)</f>
        <v>0</v>
      </c>
      <c r="CF931" s="60" t="n">
        <f aca="false">IF(BT931=1,0,IFERROR(VLOOKUP(BR931,'Gebinde-Kategorie'!$A$5:$M$45,5,0)+0,0))</f>
        <v>11</v>
      </c>
      <c r="CG931" s="60" t="n">
        <f aca="false">IFERROR(IF(OR(BX931=1,BX931=2,BX931=3),N(INDEX(Parameter!$I$5:$I$7,BX931)),0),0)</f>
        <v>0</v>
      </c>
      <c r="CH931" s="59" t="n">
        <f aca="false">IF(AND(Parameter!$B$21="Ja",ISNUMBER(W931),N(X931)&gt;0),IFERROR(N(INDEX(Parameter!$L$5:$L$7,W931))*INDEX(Parameter!$E$5:$E$7,W931)*X931/SUMIFS($X$7:$X$1843,$W$7:$W$1843,W931),0),0)</f>
        <v>0</v>
      </c>
    </row>
    <row r="932" customFormat="false" ht="15" hidden="false" customHeight="false" outlineLevel="0" collapsed="false">
      <c r="A932" s="55" t="s">
        <v>1739</v>
      </c>
      <c r="B932" s="55" t="s">
        <v>1740</v>
      </c>
      <c r="C932" s="55" t="s">
        <v>164</v>
      </c>
      <c r="D932" s="55" t="s">
        <v>184</v>
      </c>
      <c r="E932" s="55" t="s">
        <v>185</v>
      </c>
      <c r="F932" s="55" t="s">
        <v>218</v>
      </c>
      <c r="G932" s="56" t="n">
        <v>24.9</v>
      </c>
      <c r="H932" s="57" t="n">
        <f aca="false">MAX(0,IF(AND(Parameter!$B$21="Ja",ISNUMBER(Y932)),Y932,IF(Parameter!$B$20="Jahresanfang 2025 + Export",BL932+BK932,BK932)))</f>
        <v>21</v>
      </c>
      <c r="I932" s="57" t="n">
        <f aca="false">H932*G932</f>
        <v>522.9</v>
      </c>
      <c r="J932" s="57" t="n">
        <f aca="false">BN932*Parameter!$B$18</f>
        <v>2</v>
      </c>
      <c r="K932" s="58" t="n">
        <v>22</v>
      </c>
      <c r="L932" s="59" t="n">
        <v>0.0909090909090909</v>
      </c>
      <c r="M932" s="57" t="n">
        <v>0</v>
      </c>
      <c r="N932" s="57" t="n">
        <v>1</v>
      </c>
      <c r="O932" s="60" t="n">
        <v>35</v>
      </c>
      <c r="P932" s="55" t="s">
        <v>421</v>
      </c>
      <c r="Q932" s="57" t="n">
        <v>26</v>
      </c>
      <c r="R932" s="60" t="n">
        <f aca="false">IF(BT932=1,0,IFERROR(VLOOKUP(BR932,'Gebinde-Kategorie'!$A$5:$M$45,13,0)+0,0))</f>
        <v>132</v>
      </c>
      <c r="S932" s="61"/>
      <c r="T932" s="62"/>
      <c r="U932" s="62"/>
      <c r="V932" s="62"/>
      <c r="W932" s="55"/>
      <c r="X932" s="57"/>
      <c r="Y932" s="57"/>
      <c r="Z932" s="55" t="n">
        <f aca="false">IF(A932="","",IF(AND(Parameter!$B$21="Ja",ISNUMBER(W932)),W932,IF(BV932="2+3",IF(ISNUMBER(SEARCH("grosser Artikel",BO932)),2,IFERROR(VLOOKUP(BR932,Parameter!$F$35:$G$64,2,0),2)),IF(OR(BV932="Nein",BV932=""),"-",BV932))))</f>
        <v>3</v>
      </c>
      <c r="AA932" s="62"/>
      <c r="AB932" s="63"/>
      <c r="AC932" s="57" t="n">
        <f aca="false">AR932</f>
        <v>26</v>
      </c>
      <c r="AD932" s="57" t="n">
        <f aca="false">MAX(AR932,H932)</f>
        <v>26</v>
      </c>
      <c r="AE932" s="64"/>
      <c r="AF932" s="57" t="n">
        <f aca="false">IF(LEFT(Cockpit!$C$5,1)="A",H932,IF(CA932=1,CB932,IF(LEFT(Cockpit!$C$5,1)="B",AJ932,MAX(AJ932,H932))))</f>
        <v>21</v>
      </c>
      <c r="AG932" s="57" t="n">
        <f aca="false">IF(BT932=1,0,ROUNDUP(AF932/BS932,0))</f>
        <v>1</v>
      </c>
      <c r="AH932" s="59" t="n">
        <f aca="false">IF(CH932&gt;0,CH932*MAX(1,AF932/X932),IF(BT932=1,IF(AF932&lt;=0,0,BW932*MAX(1,IF(H932&gt;0,AF932/H932,1))),IF(R932&gt;0,AG932/R932,0))/MAX(0.1,N(Parameter!$M$21)))</f>
        <v>0.00757575757575758</v>
      </c>
      <c r="AI932" s="57" t="n">
        <f aca="false">AF932*G932</f>
        <v>522.9</v>
      </c>
      <c r="AJ932" s="57" t="n">
        <f aca="false">ROUNDUP(MAX(J932/IF(BZ932&gt;0,BZ932,MAX(0.1,N(Cockpit!$C$6))),CC932)/BS932,0)*BS932</f>
        <v>26</v>
      </c>
      <c r="AK932" s="58" t="n">
        <f aca="false">IF(AH932&gt;0,J932/AH932,-1)</f>
        <v>264</v>
      </c>
      <c r="AL932" s="58" t="n">
        <f aca="false">IF(AND(OR(BY932="L1",BY932="L23"),AH932&gt;0),SUMIFS($AH$7:$AH$1843,$BY$7:$BY$1843,BY932,$AK$7:$AK$1843,"&gt;"&amp;AK932)+SUMIFS($AH$7:$AH$1843,$BY$7:$BY$1843,BY932,$AK$7:$AK$1843,AK932,$BQ$7:$BQ$1843,"&lt;="&amp;BQ932),"")</f>
        <v>29.1265497787237</v>
      </c>
      <c r="AM932" s="65" t="n">
        <f aca="false">IF(AL932="",0,MAX(0,MIN(1,(IF(BY932="L1",Parameter!$E$5,Parameter!$E$6+Parameter!$E$7)-(AL932-AH932))/AH932)))</f>
        <v>1</v>
      </c>
      <c r="AN932" s="57" t="n">
        <f aca="false">IF(LEFT(Cockpit!$I$5,1)="A",H932,IF(CA932=1,CB932,IF(LEFT(Cockpit!$I$5,1)="B",AR932,MAX(AR932,H932))))</f>
        <v>26</v>
      </c>
      <c r="AO932" s="57" t="n">
        <f aca="false">IF(BT932=1,0,ROUNDUP(AN932/BS932,0))</f>
        <v>1</v>
      </c>
      <c r="AP932" s="59" t="n">
        <f aca="false">IF(CH932&gt;0,CH932*MAX(1,AN932/X932),IF(BT932=1,IF(AN932&lt;=0,0,BW932*MAX(1,IF(H932&gt;0,AN932/H932,1))),IF(R932&gt;0,AO932/R932,0))/MAX(0.1,N(Parameter!$M$21)))</f>
        <v>0.00757575757575758</v>
      </c>
      <c r="AQ932" s="57" t="n">
        <f aca="false">AN932*G932</f>
        <v>647.4</v>
      </c>
      <c r="AR932" s="57" t="n">
        <f aca="false">ROUNDUP(MAX(J932/IF(BZ932&gt;0,BZ932,MAX(0.1,N(Cockpit!$I$6))),CC932)/BS932,0)*BS932</f>
        <v>26</v>
      </c>
      <c r="AS932" s="58" t="n">
        <f aca="false">IF(AP932&gt;0,J932/AP932,-1)</f>
        <v>264</v>
      </c>
      <c r="AT932" s="58" t="n">
        <f aca="false">IF(AND(OR(BY932="L1",BY932="L23"),AP932&gt;0),SUMIFS($AP$7:$AP$1843,$BY$7:$BY$1843,BY932,$AS$7:$AS$1843,"&gt;"&amp;AS932)+SUMIFS($AP$7:$AP$1843,$BY$7:$BY$1843,BY932,$AS$7:$AS$1843,AS932,$BQ$7:$BQ$1843,"&lt;="&amp;BQ932),"")</f>
        <v>42.3053359683794</v>
      </c>
      <c r="AU932" s="65" t="n">
        <f aca="false">IF(AT932="",0,MAX(0,MIN(1,(IF(BY932="L1",Parameter!$E$5,Parameter!$E$6+Parameter!$E$7)-(AT932-AP932))/AP932)))</f>
        <v>1</v>
      </c>
      <c r="AV932" s="57" t="n">
        <f aca="false">IF(LEFT(Cockpit!$O$5,1)="A",H932,IF(CA932=1,CB932,IF(LEFT(Cockpit!$O$5,1)="B",AZ932,MAX(AZ932,H932))))</f>
        <v>26</v>
      </c>
      <c r="AW932" s="57" t="n">
        <f aca="false">IF(BT932=1,0,ROUNDUP(AV932/BS932,0))</f>
        <v>1</v>
      </c>
      <c r="AX932" s="59" t="n">
        <f aca="false">IF(CH932&gt;0,CH932*MAX(1,AV932/X932),IF(BT932=1,IF(AV932&lt;=0,0,BW932*MAX(1,IF(H932&gt;0,AV932/H932,1))),IF(R932&gt;0,AW932/R932,0))/MAX(0.1,N(Parameter!$M$21)))</f>
        <v>0.00757575757575758</v>
      </c>
      <c r="AY932" s="57" t="n">
        <f aca="false">AV932*G932</f>
        <v>647.4</v>
      </c>
      <c r="AZ932" s="57" t="n">
        <f aca="false">ROUNDUP(MAX(J932/IF(BZ932&gt;0,BZ932,MAX(0.1,N(Cockpit!$O$6))),CC932)/BS932,0)*BS932</f>
        <v>26</v>
      </c>
      <c r="BA932" s="58" t="n">
        <f aca="false">IF(AX932&gt;0,J932/AX932,-1)</f>
        <v>264</v>
      </c>
      <c r="BB932" s="58" t="n">
        <f aca="false">IF(AND(OR(BY932="L1",BY932="L23"),AX932&gt;0),SUMIFS($AX$7:$AX$1843,$BY$7:$BY$1843,BY932,$BA$7:$BA$1843,"&gt;"&amp;BA932)+SUMIFS($AX$7:$AX$1843,$BY$7:$BY$1843,BY932,$BA$7:$BA$1843,BA932,$BQ$7:$BQ$1843,"&lt;="&amp;BQ932),"")</f>
        <v>38.6351727982163</v>
      </c>
      <c r="BC932" s="65" t="n">
        <f aca="false">IF(BB932="",0,MAX(0,MIN(1,(IF(BY932="L1",Parameter!$E$5,Parameter!$E$6+Parameter!$E$7)-(BB932-AX932))/AX932)))</f>
        <v>1</v>
      </c>
      <c r="BD932" s="55" t="str">
        <f aca="false">IF(AH932&lt;=0,"",IF(BY932="Aussen","Aussenlager",IF(BY932="-","Nicht im Lift",IF(AM932&gt;=1,"Lift",IF(AM932&lt;=0,"Aussenlager","teilweise")))))</f>
        <v>Lift</v>
      </c>
      <c r="BE932" s="55" t="str">
        <f aca="false">IF(AP932&lt;=0,"",IF(BY932="Aussen","Aussenlager",IF(BY932="-","Nicht im Lift",IF(AU932&gt;=1,"Lift",IF(AU932&lt;=0,"Aussenlager","teilweise")))))</f>
        <v>Lift</v>
      </c>
      <c r="BF932" s="55" t="str">
        <f aca="false">IF(AX932&lt;=0,"",IF(BY932="Aussen","Aussenlager",IF(BY932="-","Nicht im Lift",IF(BC932&gt;=1,"Lift",IF(BC932&lt;=0,"Aussenlager","teilweise")))))</f>
        <v>Lift</v>
      </c>
      <c r="BG932" s="55" t="str">
        <f aca="false">IF(A932="","",IF(BP932=1,"Neu; ","")&amp;IF(AND(BP932=0,BK932&lt;0),"negativer Bestand (Export "&amp;BK932&amp;"); ","")&amp;IF(J932&lt;=0,"Kein Verbrauch; ","")&amp;IF(CH932&gt;0,"Lift "&amp;W932&amp;" lt. Liftbericht (Fach "&amp;X932&amp;" Stk); ",IF(BU932=1,"Gebinde geschätzt ("&amp;T932&amp;"); ",IF(BT932=1,"Lose – Tablare geschätzt; ","")))&amp;IF(H932&gt;AR932,"Überbestand "&amp;ROUND(H932-AR932,0)&amp;" Stk / CHF "&amp;ROUND((H932-AR932)*G932,0)&amp;"; ","")&amp;IF(AND(CA932=1,CB932&lt;CC932),"MAX &lt; MB+LG; ","")&amp;IF(AND(CG932&gt;0,CF932*10&gt;CG932),"zu hoch für Tablar; ","")&amp;IF(AND(BP932=0,OR(CA932=1,AA932&lt;&gt;"",U932&lt;&gt;"",V932&lt;&gt;"",AB932&lt;&gt;"")),"manuell übersteuert; ","")&amp;IF(AND(BT932=0,R932=0),"Gebinde unbekannt / Stellmass fehlt; ","")&amp;IF(AND(BT932=0,N(V932)&lt;=0,N(Q932)&lt;=0),"Menge pro Gebinde fehlt (Ist = 1 Gebinde); ","")&amp;BO932)</f>
        <v>negativer Bestand (Export -2); twin</v>
      </c>
      <c r="BH932" s="55"/>
      <c r="BI932" s="55"/>
      <c r="BJ932" s="62"/>
      <c r="BK932" s="57" t="n">
        <v>-2</v>
      </c>
      <c r="BL932" s="57" t="n">
        <v>23</v>
      </c>
      <c r="BM932" s="56" t="n">
        <v>-49.8</v>
      </c>
      <c r="BN932" s="57" t="n">
        <v>2</v>
      </c>
      <c r="BO932" s="55" t="s">
        <v>1741</v>
      </c>
      <c r="BP932" s="60" t="n">
        <v>0</v>
      </c>
      <c r="BQ932" s="60" t="n">
        <v>932</v>
      </c>
      <c r="BR932" s="55" t="str">
        <f aca="false">IF(U932&lt;&gt;"",UPPER(TRIM(U932)),IF(BU932=1,UPPER(VLOOKUP(T932,Parameter!$I$27:$K$29,2,0)),IF(P932="","LOSE",P932)))</f>
        <v>S32</v>
      </c>
      <c r="BS932" s="57" t="n">
        <f aca="false">IF(BR932="LOSE",1,IF(N(V932)&gt;0,V932,IF(BU932=1,MAX(1,N(VLOOKUP(T932,Parameter!$I$27:$K$29,3,0)),H932,N(N932)),IF(N(Q932)&gt;0,Q932,MAX(1,H932)))))</f>
        <v>26</v>
      </c>
      <c r="BT932" s="60" t="n">
        <f aca="false">IF(BR932="LOSE",1,0)</f>
        <v>0</v>
      </c>
      <c r="BU932" s="60" t="n">
        <f aca="false">IF(AND(U932="",OR(P932="",P932="LOSE"),T932&lt;&gt;"",N(S932)&lt;=0,ISNUMBER(MATCH(T932,Parameter!$I$27:$I$29,0))),1,0)</f>
        <v>0</v>
      </c>
      <c r="BV932" s="55" t="str">
        <f aca="false">IF(AND(Parameter!$B$19="Ja",E932&lt;&gt;"",ISNUMBER(MATCH(E932,Parameter!$I$35:$I$52,0))),VLOOKUP(E932,Parameter!$I$35:$J$52,2,0),IFERROR(VLOOKUP(D932,Parameter!$A$35:$C$64,2,0),"Nein"))</f>
        <v>2+3</v>
      </c>
      <c r="BW932" s="59" t="n">
        <f aca="false">IF(BT932=0,0,IF(N(S932)&gt;0,S932,IFERROR(VLOOKUP(D932,Parameter!$A$35:$C$64,3,0)+0,0)))</f>
        <v>0</v>
      </c>
      <c r="BX932" s="55" t="n">
        <f aca="false">IF(AA932&lt;&gt;"",AA932,Z932)</f>
        <v>3</v>
      </c>
      <c r="BY932" s="55" t="str">
        <f aca="false">IF(BX932=1,"L1",IF(OR(BX932=2,BX932=3),"L23",IF(BX932="Aussen","Aussen","-")))</f>
        <v>L23</v>
      </c>
      <c r="BZ932" s="66" t="n">
        <f aca="false">IF(N(AB932)&gt;0,AB932,0)</f>
        <v>0</v>
      </c>
      <c r="CA932" s="60" t="n">
        <f aca="false">IF(ISNUMBER(AE932),1,0)</f>
        <v>0</v>
      </c>
      <c r="CB932" s="57" t="n">
        <f aca="false">N(AE932)</f>
        <v>0</v>
      </c>
      <c r="CC932" s="57" t="n">
        <f aca="false">N(M932)+N(N932)</f>
        <v>1</v>
      </c>
      <c r="CD932" s="57" t="n">
        <f aca="false">ROUNDUP(H932/BS932,0)</f>
        <v>1</v>
      </c>
      <c r="CE932" s="57" t="n">
        <f aca="false">ROUNDUP(CB932/BS932,0)</f>
        <v>0</v>
      </c>
      <c r="CF932" s="60" t="n">
        <f aca="false">IF(BT932=1,0,IFERROR(VLOOKUP(BR932,'Gebinde-Kategorie'!$A$5:$M$45,5,0)+0,0))</f>
        <v>8</v>
      </c>
      <c r="CG932" s="60" t="n">
        <f aca="false">IFERROR(IF(OR(BX932=1,BX932=2,BX932=3),N(INDEX(Parameter!$I$5:$I$7,BX932)),0),0)</f>
        <v>0</v>
      </c>
      <c r="CH932" s="59" t="n">
        <f aca="false">IF(AND(Parameter!$B$21="Ja",ISNUMBER(W932),N(X932)&gt;0),IFERROR(N(INDEX(Parameter!$L$5:$L$7,W932))*INDEX(Parameter!$E$5:$E$7,W932)*X932/SUMIFS($X$7:$X$1843,$W$7:$W$1843,W932),0),0)</f>
        <v>0</v>
      </c>
    </row>
    <row r="933" customFormat="false" ht="15" hidden="false" customHeight="false" outlineLevel="0" collapsed="false">
      <c r="A933" s="55" t="s">
        <v>1742</v>
      </c>
      <c r="B933" s="55" t="s">
        <v>1743</v>
      </c>
      <c r="C933" s="55" t="s">
        <v>164</v>
      </c>
      <c r="D933" s="55" t="s">
        <v>184</v>
      </c>
      <c r="E933" s="55"/>
      <c r="F933" s="55" t="s">
        <v>218</v>
      </c>
      <c r="G933" s="56" t="n">
        <v>10</v>
      </c>
      <c r="H933" s="57" t="n">
        <f aca="false">MAX(0,IF(AND(Parameter!$B$21="Ja",ISNUMBER(Y933)),Y933,IF(Parameter!$B$20="Jahresanfang 2025 + Export",BL933+BK933,BK933)))</f>
        <v>73</v>
      </c>
      <c r="I933" s="57" t="n">
        <f aca="false">H933*G933</f>
        <v>730</v>
      </c>
      <c r="J933" s="57" t="n">
        <f aca="false">BN933*Parameter!$B$18</f>
        <v>0</v>
      </c>
      <c r="K933" s="58" t="n">
        <v>75.5</v>
      </c>
      <c r="L933" s="59" t="n">
        <v>0</v>
      </c>
      <c r="M933" s="57" t="n">
        <v>0</v>
      </c>
      <c r="N933" s="57" t="n">
        <v>1</v>
      </c>
      <c r="O933" s="60" t="n">
        <v>21</v>
      </c>
      <c r="P933" s="55" t="s">
        <v>426</v>
      </c>
      <c r="Q933" s="57" t="n">
        <v>67</v>
      </c>
      <c r="R933" s="60" t="n">
        <f aca="false">IF(BT933=1,0,IFERROR(VLOOKUP(BR933,'Gebinde-Kategorie'!$A$5:$M$45,13,0)+0,0))</f>
        <v>198</v>
      </c>
      <c r="S933" s="61"/>
      <c r="T933" s="62"/>
      <c r="U933" s="62"/>
      <c r="V933" s="62"/>
      <c r="W933" s="55"/>
      <c r="X933" s="57"/>
      <c r="Y933" s="57"/>
      <c r="Z933" s="55" t="n">
        <f aca="false">IF(A933="","",IF(AND(Parameter!$B$21="Ja",ISNUMBER(W933)),W933,IF(BV933="2+3",IF(ISNUMBER(SEARCH("grosser Artikel",BO933)),2,IFERROR(VLOOKUP(BR933,Parameter!$F$35:$G$64,2,0),2)),IF(OR(BV933="Nein",BV933=""),"-",BV933))))</f>
        <v>3</v>
      </c>
      <c r="AA933" s="62"/>
      <c r="AB933" s="63"/>
      <c r="AC933" s="57" t="n">
        <f aca="false">AR933</f>
        <v>67</v>
      </c>
      <c r="AD933" s="57" t="n">
        <f aca="false">MAX(AR933,H933)</f>
        <v>73</v>
      </c>
      <c r="AE933" s="64"/>
      <c r="AF933" s="57" t="n">
        <f aca="false">IF(LEFT(Cockpit!$C$5,1)="A",H933,IF(CA933=1,CB933,IF(LEFT(Cockpit!$C$5,1)="B",AJ933,MAX(AJ933,H933))))</f>
        <v>73</v>
      </c>
      <c r="AG933" s="57" t="n">
        <f aca="false">IF(BT933=1,0,ROUNDUP(AF933/BS933,0))</f>
        <v>2</v>
      </c>
      <c r="AH933" s="59" t="n">
        <f aca="false">IF(CH933&gt;0,CH933*MAX(1,AF933/X933),IF(BT933=1,IF(AF933&lt;=0,0,BW933*MAX(1,IF(H933&gt;0,AF933/H933,1))),IF(R933&gt;0,AG933/R933,0))/MAX(0.1,N(Parameter!$M$21)))</f>
        <v>0.0101010101010101</v>
      </c>
      <c r="AI933" s="57" t="n">
        <f aca="false">AF933*G933</f>
        <v>730</v>
      </c>
      <c r="AJ933" s="57" t="n">
        <f aca="false">ROUNDUP(MAX(J933/IF(BZ933&gt;0,BZ933,MAX(0.1,N(Cockpit!$C$6))),CC933)/BS933,0)*BS933</f>
        <v>67</v>
      </c>
      <c r="AK933" s="58" t="n">
        <f aca="false">IF(AH933&gt;0,J933/AH933,-1)</f>
        <v>0</v>
      </c>
      <c r="AL933" s="58" t="n">
        <f aca="false">IF(AND(OR(BY933="L1",BY933="L23"),AH933&gt;0),SUMIFS($AH$7:$AH$1843,$BY$7:$BY$1843,BY933,$AK$7:$AK$1843,"&gt;"&amp;AK933)+SUMIFS($AH$7:$AH$1843,$BY$7:$BY$1843,BY933,$AK$7:$AK$1843,AK933,$BQ$7:$BQ$1843,"&lt;="&amp;BQ933),"")</f>
        <v>78.0505303874869</v>
      </c>
      <c r="AM933" s="65" t="n">
        <f aca="false">IF(AL933="",0,MAX(0,MIN(1,(IF(BY933="L1",Parameter!$E$5,Parameter!$E$6+Parameter!$E$7)-(AL933-AH933))/AH933)))</f>
        <v>1</v>
      </c>
      <c r="AN933" s="57" t="n">
        <f aca="false">IF(LEFT(Cockpit!$I$5,1)="A",H933,IF(CA933=1,CB933,IF(LEFT(Cockpit!$I$5,1)="B",AR933,MAX(AR933,H933))))</f>
        <v>73</v>
      </c>
      <c r="AO933" s="57" t="n">
        <f aca="false">IF(BT933=1,0,ROUNDUP(AN933/BS933,0))</f>
        <v>2</v>
      </c>
      <c r="AP933" s="59" t="n">
        <f aca="false">IF(CH933&gt;0,CH933*MAX(1,AN933/X933),IF(BT933=1,IF(AN933&lt;=0,0,BW933*MAX(1,IF(H933&gt;0,AN933/H933,1))),IF(R933&gt;0,AO933/R933,0))/MAX(0.1,N(Parameter!$M$21)))</f>
        <v>0.0101010101010101</v>
      </c>
      <c r="AQ933" s="57" t="n">
        <f aca="false">AN933*G933</f>
        <v>730</v>
      </c>
      <c r="AR933" s="57" t="n">
        <f aca="false">ROUNDUP(MAX(J933/IF(BZ933&gt;0,BZ933,MAX(0.1,N(Cockpit!$I$6))),CC933)/BS933,0)*BS933</f>
        <v>67</v>
      </c>
      <c r="AS933" s="58" t="n">
        <f aca="false">IF(AP933&gt;0,J933/AP933,-1)</f>
        <v>0</v>
      </c>
      <c r="AT933" s="58" t="n">
        <f aca="false">IF(AND(OR(BY933="L1",BY933="L23"),AP933&gt;0),SUMIFS($AP$7:$AP$1843,$BY$7:$BY$1843,BY933,$AS$7:$AS$1843,"&gt;"&amp;AS933)+SUMIFS($AP$7:$AP$1843,$BY$7:$BY$1843,BY933,$AS$7:$AS$1843,AS933,$BQ$7:$BQ$1843,"&lt;="&amp;BQ933),"")</f>
        <v>119.244637005507</v>
      </c>
      <c r="AU933" s="65" t="n">
        <f aca="false">IF(AT933="",0,MAX(0,MIN(1,(IF(BY933="L1",Parameter!$E$5,Parameter!$E$6+Parameter!$E$7)-(AT933-AP933))/AP933)))</f>
        <v>0</v>
      </c>
      <c r="AV933" s="57" t="n">
        <f aca="false">IF(LEFT(Cockpit!$O$5,1)="A",H933,IF(CA933=1,CB933,IF(LEFT(Cockpit!$O$5,1)="B",AZ933,MAX(AZ933,H933))))</f>
        <v>73</v>
      </c>
      <c r="AW933" s="57" t="n">
        <f aca="false">IF(BT933=1,0,ROUNDUP(AV933/BS933,0))</f>
        <v>2</v>
      </c>
      <c r="AX933" s="59" t="n">
        <f aca="false">IF(CH933&gt;0,CH933*MAX(1,AV933/X933),IF(BT933=1,IF(AV933&lt;=0,0,BW933*MAX(1,IF(H933&gt;0,AV933/H933,1))),IF(R933&gt;0,AW933/R933,0))/MAX(0.1,N(Parameter!$M$21)))</f>
        <v>0.0101010101010101</v>
      </c>
      <c r="AY933" s="57" t="n">
        <f aca="false">AV933*G933</f>
        <v>730</v>
      </c>
      <c r="AZ933" s="57" t="n">
        <f aca="false">ROUNDUP(MAX(J933/IF(BZ933&gt;0,BZ933,MAX(0.1,N(Cockpit!$O$6))),CC933)/BS933,0)*BS933</f>
        <v>67</v>
      </c>
      <c r="BA933" s="58" t="n">
        <f aca="false">IF(AX933&gt;0,J933/AX933,-1)</f>
        <v>0</v>
      </c>
      <c r="BB933" s="58" t="n">
        <f aca="false">IF(AND(OR(BY933="L1",BY933="L23"),AX933&gt;0),SUMIFS($AX$7:$AX$1843,$BY$7:$BY$1843,BY933,$BA$7:$BA$1843,"&gt;"&amp;BA933)+SUMIFS($AX$7:$AX$1843,$BY$7:$BY$1843,BY933,$BA$7:$BA$1843,BA933,$BQ$7:$BQ$1843,"&lt;="&amp;BQ933),"")</f>
        <v>110.074473835343</v>
      </c>
      <c r="BC933" s="65" t="n">
        <f aca="false">IF(BB933="",0,MAX(0,MIN(1,(IF(BY933="L1",Parameter!$E$5,Parameter!$E$6+Parameter!$E$7)-(BB933-AX933))/AX933)))</f>
        <v>0</v>
      </c>
      <c r="BD933" s="55" t="str">
        <f aca="false">IF(AH933&lt;=0,"",IF(BY933="Aussen","Aussenlager",IF(BY933="-","Nicht im Lift",IF(AM933&gt;=1,"Lift",IF(AM933&lt;=0,"Aussenlager","teilweise")))))</f>
        <v>Lift</v>
      </c>
      <c r="BE933" s="55" t="str">
        <f aca="false">IF(AP933&lt;=0,"",IF(BY933="Aussen","Aussenlager",IF(BY933="-","Nicht im Lift",IF(AU933&gt;=1,"Lift",IF(AU933&lt;=0,"Aussenlager","teilweise")))))</f>
        <v>Aussenlager</v>
      </c>
      <c r="BF933" s="55" t="str">
        <f aca="false">IF(AX933&lt;=0,"",IF(BY933="Aussen","Aussenlager",IF(BY933="-","Nicht im Lift",IF(BC933&gt;=1,"Lift",IF(BC933&lt;=0,"Aussenlager","teilweise")))))</f>
        <v>Aussenlager</v>
      </c>
      <c r="BG933" s="55" t="str">
        <f aca="false">IF(A933="","",IF(BP933=1,"Neu; ","")&amp;IF(AND(BP933=0,BK933&lt;0),"negativer Bestand (Export "&amp;BK933&amp;"); ","")&amp;IF(J933&lt;=0,"Kein Verbrauch; ","")&amp;IF(CH933&gt;0,"Lift "&amp;W933&amp;" lt. Liftbericht (Fach "&amp;X933&amp;" Stk); ",IF(BU933=1,"Gebinde geschätzt ("&amp;T933&amp;"); ",IF(BT933=1,"Lose – Tablare geschätzt; ","")))&amp;IF(H933&gt;AR933,"Überbestand "&amp;ROUND(H933-AR933,0)&amp;" Stk / CHF "&amp;ROUND((H933-AR933)*G933,0)&amp;"; ","")&amp;IF(AND(CA933=1,CB933&lt;CC933),"MAX &lt; MB+LG; ","")&amp;IF(AND(CG933&gt;0,CF933*10&gt;CG933),"zu hoch für Tablar; ","")&amp;IF(AND(BP933=0,OR(CA933=1,AA933&lt;&gt;"",U933&lt;&gt;"",V933&lt;&gt;"",AB933&lt;&gt;"")),"manuell übersteuert; ","")&amp;IF(AND(BT933=0,R933=0),"Gebinde unbekannt / Stellmass fehlt; ","")&amp;IF(AND(BT933=0,N(V933)&lt;=0,N(Q933)&lt;=0),"Menge pro Gebinde fehlt (Ist = 1 Gebinde); ","")&amp;BO933)</f>
        <v>negativer Bestand (Export -5); Kein Verbrauch; Überbestand 6 Stk / CHF 60; </v>
      </c>
      <c r="BH933" s="55"/>
      <c r="BI933" s="55"/>
      <c r="BJ933" s="62"/>
      <c r="BK933" s="57" t="n">
        <v>-5</v>
      </c>
      <c r="BL933" s="57" t="n">
        <v>78</v>
      </c>
      <c r="BM933" s="56" t="n">
        <v>-50</v>
      </c>
      <c r="BN933" s="57" t="n">
        <v>0</v>
      </c>
      <c r="BO933" s="55"/>
      <c r="BP933" s="60" t="n">
        <v>0</v>
      </c>
      <c r="BQ933" s="60" t="n">
        <v>933</v>
      </c>
      <c r="BR933" s="55" t="str">
        <f aca="false">IF(U933&lt;&gt;"",UPPER(TRIM(U933)),IF(BU933=1,UPPER(VLOOKUP(T933,Parameter!$I$27:$K$29,2,0)),IF(P933="","LOSE",P933)))</f>
        <v>S22</v>
      </c>
      <c r="BS933" s="57" t="n">
        <f aca="false">IF(BR933="LOSE",1,IF(N(V933)&gt;0,V933,IF(BU933=1,MAX(1,N(VLOOKUP(T933,Parameter!$I$27:$K$29,3,0)),H933,N(N933)),IF(N(Q933)&gt;0,Q933,MAX(1,H933)))))</f>
        <v>67</v>
      </c>
      <c r="BT933" s="60" t="n">
        <f aca="false">IF(BR933="LOSE",1,0)</f>
        <v>0</v>
      </c>
      <c r="BU933" s="60" t="n">
        <f aca="false">IF(AND(U933="",OR(P933="",P933="LOSE"),T933&lt;&gt;"",N(S933)&lt;=0,ISNUMBER(MATCH(T933,Parameter!$I$27:$I$29,0))),1,0)</f>
        <v>0</v>
      </c>
      <c r="BV933" s="55" t="str">
        <f aca="false">IF(AND(Parameter!$B$19="Ja",E933&lt;&gt;"",ISNUMBER(MATCH(E933,Parameter!$I$35:$I$52,0))),VLOOKUP(E933,Parameter!$I$35:$J$52,2,0),IFERROR(VLOOKUP(D933,Parameter!$A$35:$C$64,2,0),"Nein"))</f>
        <v>2+3</v>
      </c>
      <c r="BW933" s="59" t="n">
        <f aca="false">IF(BT933=0,0,IF(N(S933)&gt;0,S933,IFERROR(VLOOKUP(D933,Parameter!$A$35:$C$64,3,0)+0,0)))</f>
        <v>0</v>
      </c>
      <c r="BX933" s="55" t="n">
        <f aca="false">IF(AA933&lt;&gt;"",AA933,Z933)</f>
        <v>3</v>
      </c>
      <c r="BY933" s="55" t="str">
        <f aca="false">IF(BX933=1,"L1",IF(OR(BX933=2,BX933=3),"L23",IF(BX933="Aussen","Aussen","-")))</f>
        <v>L23</v>
      </c>
      <c r="BZ933" s="66" t="n">
        <f aca="false">IF(N(AB933)&gt;0,AB933,0)</f>
        <v>0</v>
      </c>
      <c r="CA933" s="60" t="n">
        <f aca="false">IF(ISNUMBER(AE933),1,0)</f>
        <v>0</v>
      </c>
      <c r="CB933" s="57" t="n">
        <f aca="false">N(AE933)</f>
        <v>0</v>
      </c>
      <c r="CC933" s="57" t="n">
        <f aca="false">N(M933)+N(N933)</f>
        <v>1</v>
      </c>
      <c r="CD933" s="57" t="n">
        <f aca="false">ROUNDUP(H933/BS933,0)</f>
        <v>2</v>
      </c>
      <c r="CE933" s="57" t="n">
        <f aca="false">ROUNDUP(CB933/BS933,0)</f>
        <v>0</v>
      </c>
      <c r="CF933" s="60" t="n">
        <f aca="false">IF(BT933=1,0,IFERROR(VLOOKUP(BR933,'Gebinde-Kategorie'!$A$5:$M$45,5,0)+0,0))</f>
        <v>8</v>
      </c>
      <c r="CG933" s="60" t="n">
        <f aca="false">IFERROR(IF(OR(BX933=1,BX933=2,BX933=3),N(INDEX(Parameter!$I$5:$I$7,BX933)),0),0)</f>
        <v>0</v>
      </c>
      <c r="CH933" s="59" t="n">
        <f aca="false">IF(AND(Parameter!$B$21="Ja",ISNUMBER(W933),N(X933)&gt;0),IFERROR(N(INDEX(Parameter!$L$5:$L$7,W933))*INDEX(Parameter!$E$5:$E$7,W933)*X933/SUMIFS($X$7:$X$1843,$W$7:$W$1843,W933),0),0)</f>
        <v>0</v>
      </c>
    </row>
    <row r="934" customFormat="false" ht="15" hidden="false" customHeight="false" outlineLevel="0" collapsed="false">
      <c r="A934" s="55" t="s">
        <v>1744</v>
      </c>
      <c r="B934" s="55" t="s">
        <v>688</v>
      </c>
      <c r="C934" s="55" t="s">
        <v>164</v>
      </c>
      <c r="D934" s="55" t="s">
        <v>184</v>
      </c>
      <c r="E934" s="55" t="s">
        <v>185</v>
      </c>
      <c r="F934" s="55" t="s">
        <v>218</v>
      </c>
      <c r="G934" s="56" t="n">
        <v>14.65</v>
      </c>
      <c r="H934" s="57" t="n">
        <f aca="false">MAX(0,IF(AND(Parameter!$B$21="Ja",ISNUMBER(Y934)),Y934,IF(Parameter!$B$20="Jahresanfang 2025 + Export",BL934+BK934,BK934)))</f>
        <v>22</v>
      </c>
      <c r="I934" s="57" t="n">
        <f aca="false">H934*G934</f>
        <v>322.3</v>
      </c>
      <c r="J934" s="57" t="n">
        <f aca="false">BN934*Parameter!$B$18</f>
        <v>29</v>
      </c>
      <c r="K934" s="58" t="n">
        <v>25.5</v>
      </c>
      <c r="L934" s="59" t="n">
        <v>1.13725490196078</v>
      </c>
      <c r="M934" s="57" t="n">
        <v>2</v>
      </c>
      <c r="N934" s="57" t="n">
        <v>30</v>
      </c>
      <c r="O934" s="60" t="n">
        <v>28</v>
      </c>
      <c r="P934" s="55" t="s">
        <v>233</v>
      </c>
      <c r="Q934" s="57" t="n">
        <v>46</v>
      </c>
      <c r="R934" s="60" t="n">
        <f aca="false">IF(BT934=1,0,IFERROR(VLOOKUP(BR934,'Gebinde-Kategorie'!$A$5:$M$45,13,0)+0,0))</f>
        <v>26</v>
      </c>
      <c r="S934" s="61"/>
      <c r="T934" s="62"/>
      <c r="U934" s="62"/>
      <c r="V934" s="62"/>
      <c r="W934" s="55"/>
      <c r="X934" s="57"/>
      <c r="Y934" s="57"/>
      <c r="Z934" s="55" t="n">
        <f aca="false">IF(A934="","",IF(AND(Parameter!$B$21="Ja",ISNUMBER(W934)),W934,IF(BV934="2+3",IF(ISNUMBER(SEARCH("grosser Artikel",BO934)),2,IFERROR(VLOOKUP(BR934,Parameter!$F$35:$G$64,2,0),2)),IF(OR(BV934="Nein",BV934=""),"-",BV934))))</f>
        <v>3</v>
      </c>
      <c r="AA934" s="62"/>
      <c r="AB934" s="63"/>
      <c r="AC934" s="57" t="n">
        <f aca="false">AR934</f>
        <v>46</v>
      </c>
      <c r="AD934" s="57" t="n">
        <f aca="false">MAX(AR934,H934)</f>
        <v>46</v>
      </c>
      <c r="AE934" s="64"/>
      <c r="AF934" s="57" t="n">
        <f aca="false">IF(LEFT(Cockpit!$C$5,1)="A",H934,IF(CA934=1,CB934,IF(LEFT(Cockpit!$C$5,1)="B",AJ934,MAX(AJ934,H934))))</f>
        <v>22</v>
      </c>
      <c r="AG934" s="57" t="n">
        <f aca="false">IF(BT934=1,0,ROUNDUP(AF934/BS934,0))</f>
        <v>1</v>
      </c>
      <c r="AH934" s="59" t="n">
        <f aca="false">IF(CH934&gt;0,CH934*MAX(1,AF934/X934),IF(BT934=1,IF(AF934&lt;=0,0,BW934*MAX(1,IF(H934&gt;0,AF934/H934,1))),IF(R934&gt;0,AG934/R934,0))/MAX(0.1,N(Parameter!$M$21)))</f>
        <v>0.0384615384615385</v>
      </c>
      <c r="AI934" s="57" t="n">
        <f aca="false">AF934*G934</f>
        <v>322.3</v>
      </c>
      <c r="AJ934" s="57" t="n">
        <f aca="false">ROUNDUP(MAX(J934/IF(BZ934&gt;0,BZ934,MAX(0.1,N(Cockpit!$C$6))),CC934)/BS934,0)*BS934</f>
        <v>46</v>
      </c>
      <c r="AK934" s="58" t="n">
        <f aca="false">IF(AH934&gt;0,J934/AH934,-1)</f>
        <v>754</v>
      </c>
      <c r="AL934" s="58" t="n">
        <f aca="false">IF(AND(OR(BY934="L1",BY934="L23"),AH934&gt;0),SUMIFS($AH$7:$AH$1843,$BY$7:$BY$1843,BY934,$AK$7:$AK$1843,"&gt;"&amp;AK934)+SUMIFS($AH$7:$AH$1843,$BY$7:$BY$1843,BY934,$AK$7:$AK$1843,AK934,$BQ$7:$BQ$1843,"&lt;="&amp;BQ934),"")</f>
        <v>21.2775835275835</v>
      </c>
      <c r="AM934" s="65" t="n">
        <f aca="false">IF(AL934="",0,MAX(0,MIN(1,(IF(BY934="L1",Parameter!$E$5,Parameter!$E$6+Parameter!$E$7)-(AL934-AH934))/AH934)))</f>
        <v>1</v>
      </c>
      <c r="AN934" s="57" t="n">
        <f aca="false">IF(LEFT(Cockpit!$I$5,1)="A",H934,IF(CA934=1,CB934,IF(LEFT(Cockpit!$I$5,1)="B",AR934,MAX(AR934,H934))))</f>
        <v>46</v>
      </c>
      <c r="AO934" s="57" t="n">
        <f aca="false">IF(BT934=1,0,ROUNDUP(AN934/BS934,0))</f>
        <v>1</v>
      </c>
      <c r="AP934" s="59" t="n">
        <f aca="false">IF(CH934&gt;0,CH934*MAX(1,AN934/X934),IF(BT934=1,IF(AN934&lt;=0,0,BW934*MAX(1,IF(H934&gt;0,AN934/H934,1))),IF(R934&gt;0,AO934/R934,0))/MAX(0.1,N(Parameter!$M$21)))</f>
        <v>0.0384615384615385</v>
      </c>
      <c r="AQ934" s="57" t="n">
        <f aca="false">AN934*G934</f>
        <v>673.9</v>
      </c>
      <c r="AR934" s="57" t="n">
        <f aca="false">ROUNDUP(MAX(J934/IF(BZ934&gt;0,BZ934,MAX(0.1,N(Cockpit!$I$6))),CC934)/BS934,0)*BS934</f>
        <v>46</v>
      </c>
      <c r="AS934" s="58" t="n">
        <f aca="false">IF(AP934&gt;0,J934/AP934,-1)</f>
        <v>754</v>
      </c>
      <c r="AT934" s="58" t="n">
        <f aca="false">IF(AND(OR(BY934="L1",BY934="L23"),AP934&gt;0),SUMIFS($AP$7:$AP$1843,$BY$7:$BY$1843,BY934,$AS$7:$AS$1843,"&gt;"&amp;AS934)+SUMIFS($AP$7:$AP$1843,$BY$7:$BY$1843,BY934,$AS$7:$AS$1843,AS934,$BQ$7:$BQ$1843,"&lt;="&amp;BQ934),"")</f>
        <v>27.1825867369346</v>
      </c>
      <c r="AU934" s="65" t="n">
        <f aca="false">IF(AT934="",0,MAX(0,MIN(1,(IF(BY934="L1",Parameter!$E$5,Parameter!$E$6+Parameter!$E$7)-(AT934-AP934))/AP934)))</f>
        <v>1</v>
      </c>
      <c r="AV934" s="57" t="n">
        <f aca="false">IF(LEFT(Cockpit!$O$5,1)="A",H934,IF(CA934=1,CB934,IF(LEFT(Cockpit!$O$5,1)="B",AZ934,MAX(AZ934,H934))))</f>
        <v>46</v>
      </c>
      <c r="AW934" s="57" t="n">
        <f aca="false">IF(BT934=1,0,ROUNDUP(AV934/BS934,0))</f>
        <v>1</v>
      </c>
      <c r="AX934" s="59" t="n">
        <f aca="false">IF(CH934&gt;0,CH934*MAX(1,AV934/X934),IF(BT934=1,IF(AV934&lt;=0,0,BW934*MAX(1,IF(H934&gt;0,AV934/H934,1))),IF(R934&gt;0,AW934/R934,0))/MAX(0.1,N(Parameter!$M$21)))</f>
        <v>0.0384615384615385</v>
      </c>
      <c r="AY934" s="57" t="n">
        <f aca="false">AV934*G934</f>
        <v>673.9</v>
      </c>
      <c r="AZ934" s="57" t="n">
        <f aca="false">ROUNDUP(MAX(J934/IF(BZ934&gt;0,BZ934,MAX(0.1,N(Cockpit!$O$6))),CC934)/BS934,0)*BS934</f>
        <v>46</v>
      </c>
      <c r="BA934" s="58" t="n">
        <f aca="false">IF(AX934&gt;0,J934/AX934,-1)</f>
        <v>754</v>
      </c>
      <c r="BB934" s="58" t="n">
        <f aca="false">IF(AND(OR(BY934="L1",BY934="L23"),AX934&gt;0),SUMIFS($AX$7:$AX$1843,$BY$7:$BY$1843,BY934,$BA$7:$BA$1843,"&gt;"&amp;BA934)+SUMIFS($AX$7:$AX$1843,$BY$7:$BY$1843,BY934,$BA$7:$BA$1843,BA934,$BQ$7:$BQ$1843,"&lt;="&amp;BQ934),"")</f>
        <v>26.6342184385663</v>
      </c>
      <c r="BC934" s="65" t="n">
        <f aca="false">IF(BB934="",0,MAX(0,MIN(1,(IF(BY934="L1",Parameter!$E$5,Parameter!$E$6+Parameter!$E$7)-(BB934-AX934))/AX934)))</f>
        <v>1</v>
      </c>
      <c r="BD934" s="55" t="str">
        <f aca="false">IF(AH934&lt;=0,"",IF(BY934="Aussen","Aussenlager",IF(BY934="-","Nicht im Lift",IF(AM934&gt;=1,"Lift",IF(AM934&lt;=0,"Aussenlager","teilweise")))))</f>
        <v>Lift</v>
      </c>
      <c r="BE934" s="55" t="str">
        <f aca="false">IF(AP934&lt;=0,"",IF(BY934="Aussen","Aussenlager",IF(BY934="-","Nicht im Lift",IF(AU934&gt;=1,"Lift",IF(AU934&lt;=0,"Aussenlager","teilweise")))))</f>
        <v>Lift</v>
      </c>
      <c r="BF934" s="55" t="str">
        <f aca="false">IF(AX934&lt;=0,"",IF(BY934="Aussen","Aussenlager",IF(BY934="-","Nicht im Lift",IF(BC934&gt;=1,"Lift",IF(BC934&lt;=0,"Aussenlager","teilweise")))))</f>
        <v>Lift</v>
      </c>
      <c r="BG934" s="55" t="str">
        <f aca="false">IF(A934="","",IF(BP934=1,"Neu; ","")&amp;IF(AND(BP934=0,BK934&lt;0),"negativer Bestand (Export "&amp;BK934&amp;"); ","")&amp;IF(J934&lt;=0,"Kein Verbrauch; ","")&amp;IF(CH934&gt;0,"Lift "&amp;W934&amp;" lt. Liftbericht (Fach "&amp;X934&amp;" Stk); ",IF(BU934=1,"Gebinde geschätzt ("&amp;T934&amp;"); ",IF(BT934=1,"Lose – Tablare geschätzt; ","")))&amp;IF(H934&gt;AR934,"Überbestand "&amp;ROUND(H934-AR934,0)&amp;" Stk / CHF "&amp;ROUND((H934-AR934)*G934,0)&amp;"; ","")&amp;IF(AND(CA934=1,CB934&lt;CC934),"MAX &lt; MB+LG; ","")&amp;IF(AND(CG934&gt;0,CF934*10&gt;CG934),"zu hoch für Tablar; ","")&amp;IF(AND(BP934=0,OR(CA934=1,AA934&lt;&gt;"",U934&lt;&gt;"",V934&lt;&gt;"",AB934&lt;&gt;"")),"manuell übersteuert; ","")&amp;IF(AND(BT934=0,R934=0),"Gebinde unbekannt / Stellmass fehlt; ","")&amp;IF(AND(BT934=0,N(V934)&lt;=0,N(Q934)&lt;=0),"Menge pro Gebinde fehlt (Ist = 1 Gebinde); ","")&amp;BO934)</f>
        <v/>
      </c>
      <c r="BH934" s="55"/>
      <c r="BI934" s="55"/>
      <c r="BJ934" s="62"/>
      <c r="BK934" s="57" t="n">
        <v>2</v>
      </c>
      <c r="BL934" s="57" t="n">
        <v>20</v>
      </c>
      <c r="BM934" s="56" t="n">
        <v>-50.7000000000002</v>
      </c>
      <c r="BN934" s="57" t="n">
        <v>29</v>
      </c>
      <c r="BO934" s="55"/>
      <c r="BP934" s="60" t="n">
        <v>0</v>
      </c>
      <c r="BQ934" s="60" t="n">
        <v>934</v>
      </c>
      <c r="BR934" s="55" t="str">
        <f aca="false">IF(U934&lt;&gt;"",UPPER(TRIM(U934)),IF(BU934=1,UPPER(VLOOKUP(T934,Parameter!$I$27:$K$29,2,0)),IF(P934="","LOSE",P934)))</f>
        <v>S52</v>
      </c>
      <c r="BS934" s="57" t="n">
        <f aca="false">IF(BR934="LOSE",1,IF(N(V934)&gt;0,V934,IF(BU934=1,MAX(1,N(VLOOKUP(T934,Parameter!$I$27:$K$29,3,0)),H934,N(N934)),IF(N(Q934)&gt;0,Q934,MAX(1,H934)))))</f>
        <v>46</v>
      </c>
      <c r="BT934" s="60" t="n">
        <f aca="false">IF(BR934="LOSE",1,0)</f>
        <v>0</v>
      </c>
      <c r="BU934" s="60" t="n">
        <f aca="false">IF(AND(U934="",OR(P934="",P934="LOSE"),T934&lt;&gt;"",N(S934)&lt;=0,ISNUMBER(MATCH(T934,Parameter!$I$27:$I$29,0))),1,0)</f>
        <v>0</v>
      </c>
      <c r="BV934" s="55" t="str">
        <f aca="false">IF(AND(Parameter!$B$19="Ja",E934&lt;&gt;"",ISNUMBER(MATCH(E934,Parameter!$I$35:$I$52,0))),VLOOKUP(E934,Parameter!$I$35:$J$52,2,0),IFERROR(VLOOKUP(D934,Parameter!$A$35:$C$64,2,0),"Nein"))</f>
        <v>2+3</v>
      </c>
      <c r="BW934" s="59" t="n">
        <f aca="false">IF(BT934=0,0,IF(N(S934)&gt;0,S934,IFERROR(VLOOKUP(D934,Parameter!$A$35:$C$64,3,0)+0,0)))</f>
        <v>0</v>
      </c>
      <c r="BX934" s="55" t="n">
        <f aca="false">IF(AA934&lt;&gt;"",AA934,Z934)</f>
        <v>3</v>
      </c>
      <c r="BY934" s="55" t="str">
        <f aca="false">IF(BX934=1,"L1",IF(OR(BX934=2,BX934=3),"L23",IF(BX934="Aussen","Aussen","-")))</f>
        <v>L23</v>
      </c>
      <c r="BZ934" s="66" t="n">
        <f aca="false">IF(N(AB934)&gt;0,AB934,0)</f>
        <v>0</v>
      </c>
      <c r="CA934" s="60" t="n">
        <f aca="false">IF(ISNUMBER(AE934),1,0)</f>
        <v>0</v>
      </c>
      <c r="CB934" s="57" t="n">
        <f aca="false">N(AE934)</f>
        <v>0</v>
      </c>
      <c r="CC934" s="57" t="n">
        <f aca="false">N(M934)+N(N934)</f>
        <v>32</v>
      </c>
      <c r="CD934" s="57" t="n">
        <f aca="false">ROUNDUP(H934/BS934,0)</f>
        <v>1</v>
      </c>
      <c r="CE934" s="57" t="n">
        <f aca="false">ROUNDUP(CB934/BS934,0)</f>
        <v>0</v>
      </c>
      <c r="CF934" s="60" t="n">
        <f aca="false">IF(BT934=1,0,IFERROR(VLOOKUP(BR934,'Gebinde-Kategorie'!$A$5:$M$45,5,0)+0,0))</f>
        <v>21</v>
      </c>
      <c r="CG934" s="60" t="n">
        <f aca="false">IFERROR(IF(OR(BX934=1,BX934=2,BX934=3),N(INDEX(Parameter!$I$5:$I$7,BX934)),0),0)</f>
        <v>0</v>
      </c>
      <c r="CH934" s="59" t="n">
        <f aca="false">IF(AND(Parameter!$B$21="Ja",ISNUMBER(W934),N(X934)&gt;0),IFERROR(N(INDEX(Parameter!$L$5:$L$7,W934))*INDEX(Parameter!$E$5:$E$7,W934)*X934/SUMIFS($X$7:$X$1843,$W$7:$W$1843,W934),0),0)</f>
        <v>0</v>
      </c>
    </row>
    <row r="935" customFormat="false" ht="15" hidden="false" customHeight="false" outlineLevel="0" collapsed="false">
      <c r="A935" s="55" t="s">
        <v>1745</v>
      </c>
      <c r="B935" s="55" t="s">
        <v>1746</v>
      </c>
      <c r="C935" s="55" t="s">
        <v>164</v>
      </c>
      <c r="D935" s="55" t="s">
        <v>184</v>
      </c>
      <c r="E935" s="55"/>
      <c r="F935" s="55" t="s">
        <v>218</v>
      </c>
      <c r="G935" s="56" t="n">
        <v>16.96</v>
      </c>
      <c r="H935" s="57" t="n">
        <f aca="false">MAX(0,IF(AND(Parameter!$B$21="Ja",ISNUMBER(Y935)),Y935,IF(Parameter!$B$20="Jahresanfang 2025 + Export",BL935+BK935,BK935)))</f>
        <v>4</v>
      </c>
      <c r="I935" s="57" t="n">
        <f aca="false">H935*G935</f>
        <v>67.84</v>
      </c>
      <c r="J935" s="57" t="n">
        <f aca="false">BN935*Parameter!$B$18</f>
        <v>3</v>
      </c>
      <c r="K935" s="58" t="n">
        <v>5.5</v>
      </c>
      <c r="L935" s="59" t="n">
        <v>0.545454545454545</v>
      </c>
      <c r="M935" s="57" t="n">
        <v>0</v>
      </c>
      <c r="N935" s="57" t="n">
        <v>5</v>
      </c>
      <c r="O935" s="60" t="n">
        <v>42</v>
      </c>
      <c r="P935" s="55" t="s">
        <v>401</v>
      </c>
      <c r="Q935" s="57" t="n">
        <v>5</v>
      </c>
      <c r="R935" s="60" t="n">
        <f aca="false">IF(BT935=1,0,IFERROR(VLOOKUP(BR935,'Gebinde-Kategorie'!$A$5:$M$45,13,0)+0,0))</f>
        <v>414</v>
      </c>
      <c r="S935" s="61"/>
      <c r="T935" s="62"/>
      <c r="U935" s="62"/>
      <c r="V935" s="62"/>
      <c r="W935" s="55"/>
      <c r="X935" s="57"/>
      <c r="Y935" s="57"/>
      <c r="Z935" s="55" t="n">
        <f aca="false">IF(A935="","",IF(AND(Parameter!$B$21="Ja",ISNUMBER(W935)),W935,IF(BV935="2+3",IF(ISNUMBER(SEARCH("grosser Artikel",BO935)),2,IFERROR(VLOOKUP(BR935,Parameter!$F$35:$G$64,2,0),2)),IF(OR(BV935="Nein",BV935=""),"-",BV935))))</f>
        <v>3</v>
      </c>
      <c r="AA935" s="62"/>
      <c r="AB935" s="63"/>
      <c r="AC935" s="57" t="n">
        <f aca="false">AR935</f>
        <v>5</v>
      </c>
      <c r="AD935" s="57" t="n">
        <f aca="false">MAX(AR935,H935)</f>
        <v>5</v>
      </c>
      <c r="AE935" s="64"/>
      <c r="AF935" s="57" t="n">
        <f aca="false">IF(LEFT(Cockpit!$C$5,1)="A",H935,IF(CA935=1,CB935,IF(LEFT(Cockpit!$C$5,1)="B",AJ935,MAX(AJ935,H935))))</f>
        <v>4</v>
      </c>
      <c r="AG935" s="57" t="n">
        <f aca="false">IF(BT935=1,0,ROUNDUP(AF935/BS935,0))</f>
        <v>1</v>
      </c>
      <c r="AH935" s="59" t="n">
        <f aca="false">IF(CH935&gt;0,CH935*MAX(1,AF935/X935),IF(BT935=1,IF(AF935&lt;=0,0,BW935*MAX(1,IF(H935&gt;0,AF935/H935,1))),IF(R935&gt;0,AG935/R935,0))/MAX(0.1,N(Parameter!$M$21)))</f>
        <v>0.00241545893719807</v>
      </c>
      <c r="AI935" s="57" t="n">
        <f aca="false">AF935*G935</f>
        <v>67.84</v>
      </c>
      <c r="AJ935" s="57" t="n">
        <f aca="false">ROUNDUP(MAX(J935/IF(BZ935&gt;0,BZ935,MAX(0.1,N(Cockpit!$C$6))),CC935)/BS935,0)*BS935</f>
        <v>5</v>
      </c>
      <c r="AK935" s="58" t="n">
        <f aca="false">IF(AH935&gt;0,J935/AH935,-1)</f>
        <v>1242</v>
      </c>
      <c r="AL935" s="58" t="n">
        <f aca="false">IF(AND(OR(BY935="L1",BY935="L23"),AH935&gt;0),SUMIFS($AH$7:$AH$1843,$BY$7:$BY$1843,BY935,$AK$7:$AK$1843,"&gt;"&amp;AK935)+SUMIFS($AH$7:$AH$1843,$BY$7:$BY$1843,BY935,$AK$7:$AK$1843,AK935,$BQ$7:$BQ$1843,"&lt;="&amp;BQ935),"")</f>
        <v>16.5494662342488</v>
      </c>
      <c r="AM935" s="65" t="n">
        <f aca="false">IF(AL935="",0,MAX(0,MIN(1,(IF(BY935="L1",Parameter!$E$5,Parameter!$E$6+Parameter!$E$7)-(AL935-AH935))/AH935)))</f>
        <v>1</v>
      </c>
      <c r="AN935" s="57" t="n">
        <f aca="false">IF(LEFT(Cockpit!$I$5,1)="A",H935,IF(CA935=1,CB935,IF(LEFT(Cockpit!$I$5,1)="B",AR935,MAX(AR935,H935))))</f>
        <v>5</v>
      </c>
      <c r="AO935" s="57" t="n">
        <f aca="false">IF(BT935=1,0,ROUNDUP(AN935/BS935,0))</f>
        <v>1</v>
      </c>
      <c r="AP935" s="59" t="n">
        <f aca="false">IF(CH935&gt;0,CH935*MAX(1,AN935/X935),IF(BT935=1,IF(AN935&lt;=0,0,BW935*MAX(1,IF(H935&gt;0,AN935/H935,1))),IF(R935&gt;0,AO935/R935,0))/MAX(0.1,N(Parameter!$M$21)))</f>
        <v>0.00241545893719807</v>
      </c>
      <c r="AQ935" s="57" t="n">
        <f aca="false">AN935*G935</f>
        <v>84.8</v>
      </c>
      <c r="AR935" s="57" t="n">
        <f aca="false">ROUNDUP(MAX(J935/IF(BZ935&gt;0,BZ935,MAX(0.1,N(Cockpit!$I$6))),CC935)/BS935,0)*BS935</f>
        <v>5</v>
      </c>
      <c r="AS935" s="58" t="n">
        <f aca="false">IF(AP935&gt;0,J935/AP935,-1)</f>
        <v>1242</v>
      </c>
      <c r="AT935" s="58" t="n">
        <f aca="false">IF(AND(OR(BY935="L1",BY935="L23"),AP935&gt;0),SUMIFS($AP$7:$AP$1843,$BY$7:$BY$1843,BY935,$AS$7:$AS$1843,"&gt;"&amp;AS935)+SUMIFS($AP$7:$AP$1843,$BY$7:$BY$1843,BY935,$AS$7:$AS$1843,AS935,$BQ$7:$BQ$1843,"&lt;="&amp;BQ935),"")</f>
        <v>22.2356508226073</v>
      </c>
      <c r="AU935" s="65" t="n">
        <f aca="false">IF(AT935="",0,MAX(0,MIN(1,(IF(BY935="L1",Parameter!$E$5,Parameter!$E$6+Parameter!$E$7)-(AT935-AP935))/AP935)))</f>
        <v>1</v>
      </c>
      <c r="AV935" s="57" t="n">
        <f aca="false">IF(LEFT(Cockpit!$O$5,1)="A",H935,IF(CA935=1,CB935,IF(LEFT(Cockpit!$O$5,1)="B",AZ935,MAX(AZ935,H935))))</f>
        <v>5</v>
      </c>
      <c r="AW935" s="57" t="n">
        <f aca="false">IF(BT935=1,0,ROUNDUP(AV935/BS935,0))</f>
        <v>1</v>
      </c>
      <c r="AX935" s="59" t="n">
        <f aca="false">IF(CH935&gt;0,CH935*MAX(1,AV935/X935),IF(BT935=1,IF(AV935&lt;=0,0,BW935*MAX(1,IF(H935&gt;0,AV935/H935,1))),IF(R935&gt;0,AW935/R935,0))/MAX(0.1,N(Parameter!$M$21)))</f>
        <v>0.00241545893719807</v>
      </c>
      <c r="AY935" s="57" t="n">
        <f aca="false">AV935*G935</f>
        <v>84.8</v>
      </c>
      <c r="AZ935" s="57" t="n">
        <f aca="false">ROUNDUP(MAX(J935/IF(BZ935&gt;0,BZ935,MAX(0.1,N(Cockpit!$O$6))),CC935)/BS935,0)*BS935</f>
        <v>5</v>
      </c>
      <c r="BA935" s="58" t="n">
        <f aca="false">IF(AX935&gt;0,J935/AX935,-1)</f>
        <v>1242</v>
      </c>
      <c r="BB935" s="58" t="n">
        <f aca="false">IF(AND(OR(BY935="L1",BY935="L23"),AX935&gt;0),SUMIFS($AX$7:$AX$1843,$BY$7:$BY$1843,BY935,$BA$7:$BA$1843,"&gt;"&amp;BA935)+SUMIFS($AX$7:$AX$1843,$BY$7:$BY$1843,BY935,$BA$7:$BA$1843,BA935,$BQ$7:$BQ$1843,"&lt;="&amp;BQ935),"")</f>
        <v>20.9308722678288</v>
      </c>
      <c r="BC935" s="65" t="n">
        <f aca="false">IF(BB935="",0,MAX(0,MIN(1,(IF(BY935="L1",Parameter!$E$5,Parameter!$E$6+Parameter!$E$7)-(BB935-AX935))/AX935)))</f>
        <v>1</v>
      </c>
      <c r="BD935" s="55" t="str">
        <f aca="false">IF(AH935&lt;=0,"",IF(BY935="Aussen","Aussenlager",IF(BY935="-","Nicht im Lift",IF(AM935&gt;=1,"Lift",IF(AM935&lt;=0,"Aussenlager","teilweise")))))</f>
        <v>Lift</v>
      </c>
      <c r="BE935" s="55" t="str">
        <f aca="false">IF(AP935&lt;=0,"",IF(BY935="Aussen","Aussenlager",IF(BY935="-","Nicht im Lift",IF(AU935&gt;=1,"Lift",IF(AU935&lt;=0,"Aussenlager","teilweise")))))</f>
        <v>Lift</v>
      </c>
      <c r="BF935" s="55" t="str">
        <f aca="false">IF(AX935&lt;=0,"",IF(BY935="Aussen","Aussenlager",IF(BY935="-","Nicht im Lift",IF(BC935&gt;=1,"Lift",IF(BC935&lt;=0,"Aussenlager","teilweise")))))</f>
        <v>Lift</v>
      </c>
      <c r="BG935" s="55" t="str">
        <f aca="false">IF(A935="","",IF(BP935=1,"Neu; ","")&amp;IF(AND(BP935=0,BK935&lt;0),"negativer Bestand (Export "&amp;BK935&amp;"); ","")&amp;IF(J935&lt;=0,"Kein Verbrauch; ","")&amp;IF(CH935&gt;0,"Lift "&amp;W935&amp;" lt. Liftbericht (Fach "&amp;X935&amp;" Stk); ",IF(BU935=1,"Gebinde geschätzt ("&amp;T935&amp;"); ",IF(BT935=1,"Lose – Tablare geschätzt; ","")))&amp;IF(H935&gt;AR935,"Überbestand "&amp;ROUND(H935-AR935,0)&amp;" Stk / CHF "&amp;ROUND((H935-AR935)*G935,0)&amp;"; ","")&amp;IF(AND(CA935=1,CB935&lt;CC935),"MAX &lt; MB+LG; ","")&amp;IF(AND(CG935&gt;0,CF935*10&gt;CG935),"zu hoch für Tablar; ","")&amp;IF(AND(BP935=0,OR(CA935=1,AA935&lt;&gt;"",U935&lt;&gt;"",V935&lt;&gt;"",AB935&lt;&gt;"")),"manuell übersteuert; ","")&amp;IF(AND(BT935=0,R935=0),"Gebinde unbekannt / Stellmass fehlt; ","")&amp;IF(AND(BT935=0,N(V935)&lt;=0,N(Q935)&lt;=0),"Menge pro Gebinde fehlt (Ist = 1 Gebinde); ","")&amp;BO935)</f>
        <v>negativer Bestand (Export -3); </v>
      </c>
      <c r="BH935" s="55"/>
      <c r="BI935" s="55"/>
      <c r="BJ935" s="62"/>
      <c r="BK935" s="57" t="n">
        <v>-3</v>
      </c>
      <c r="BL935" s="57" t="n">
        <v>7</v>
      </c>
      <c r="BM935" s="56" t="n">
        <v>-50.88</v>
      </c>
      <c r="BN935" s="57" t="n">
        <v>3</v>
      </c>
      <c r="BO935" s="55"/>
      <c r="BP935" s="60" t="n">
        <v>0</v>
      </c>
      <c r="BQ935" s="60" t="n">
        <v>935</v>
      </c>
      <c r="BR935" s="55" t="str">
        <f aca="false">IF(U935&lt;&gt;"",UPPER(TRIM(U935)),IF(BU935=1,UPPER(VLOOKUP(T935,Parameter!$I$27:$K$29,2,0)),IF(P935="","LOSE",P935)))</f>
        <v>S21</v>
      </c>
      <c r="BS935" s="57" t="n">
        <f aca="false">IF(BR935="LOSE",1,IF(N(V935)&gt;0,V935,IF(BU935=1,MAX(1,N(VLOOKUP(T935,Parameter!$I$27:$K$29,3,0)),H935,N(N935)),IF(N(Q935)&gt;0,Q935,MAX(1,H935)))))</f>
        <v>5</v>
      </c>
      <c r="BT935" s="60" t="n">
        <f aca="false">IF(BR935="LOSE",1,0)</f>
        <v>0</v>
      </c>
      <c r="BU935" s="60" t="n">
        <f aca="false">IF(AND(U935="",OR(P935="",P935="LOSE"),T935&lt;&gt;"",N(S935)&lt;=0,ISNUMBER(MATCH(T935,Parameter!$I$27:$I$29,0))),1,0)</f>
        <v>0</v>
      </c>
      <c r="BV935" s="55" t="str">
        <f aca="false">IF(AND(Parameter!$B$19="Ja",E935&lt;&gt;"",ISNUMBER(MATCH(E935,Parameter!$I$35:$I$52,0))),VLOOKUP(E935,Parameter!$I$35:$J$52,2,0),IFERROR(VLOOKUP(D935,Parameter!$A$35:$C$64,2,0),"Nein"))</f>
        <v>2+3</v>
      </c>
      <c r="BW935" s="59" t="n">
        <f aca="false">IF(BT935=0,0,IF(N(S935)&gt;0,S935,IFERROR(VLOOKUP(D935,Parameter!$A$35:$C$64,3,0)+0,0)))</f>
        <v>0</v>
      </c>
      <c r="BX935" s="55" t="n">
        <f aca="false">IF(AA935&lt;&gt;"",AA935,Z935)</f>
        <v>3</v>
      </c>
      <c r="BY935" s="55" t="str">
        <f aca="false">IF(BX935=1,"L1",IF(OR(BX935=2,BX935=3),"L23",IF(BX935="Aussen","Aussen","-")))</f>
        <v>L23</v>
      </c>
      <c r="BZ935" s="66" t="n">
        <f aca="false">IF(N(AB935)&gt;0,AB935,0)</f>
        <v>0</v>
      </c>
      <c r="CA935" s="60" t="n">
        <f aca="false">IF(ISNUMBER(AE935),1,0)</f>
        <v>0</v>
      </c>
      <c r="CB935" s="57" t="n">
        <f aca="false">N(AE935)</f>
        <v>0</v>
      </c>
      <c r="CC935" s="57" t="n">
        <f aca="false">N(M935)+N(N935)</f>
        <v>5</v>
      </c>
      <c r="CD935" s="57" t="n">
        <f aca="false">ROUNDUP(H935/BS935,0)</f>
        <v>1</v>
      </c>
      <c r="CE935" s="57" t="n">
        <f aca="false">ROUNDUP(CB935/BS935,0)</f>
        <v>0</v>
      </c>
      <c r="CF935" s="60" t="n">
        <f aca="false">IF(BT935=1,0,IFERROR(VLOOKUP(BR935,'Gebinde-Kategorie'!$A$5:$M$45,5,0)+0,0))</f>
        <v>8</v>
      </c>
      <c r="CG935" s="60" t="n">
        <f aca="false">IFERROR(IF(OR(BX935=1,BX935=2,BX935=3),N(INDEX(Parameter!$I$5:$I$7,BX935)),0),0)</f>
        <v>0</v>
      </c>
      <c r="CH935" s="59" t="n">
        <f aca="false">IF(AND(Parameter!$B$21="Ja",ISNUMBER(W935),N(X935)&gt;0),IFERROR(N(INDEX(Parameter!$L$5:$L$7,W935))*INDEX(Parameter!$E$5:$E$7,W935)*X935/SUMIFS($X$7:$X$1843,$W$7:$W$1843,W935),0),0)</f>
        <v>0</v>
      </c>
    </row>
    <row r="936" customFormat="false" ht="15" hidden="false" customHeight="false" outlineLevel="0" collapsed="false">
      <c r="A936" s="55" t="s">
        <v>1747</v>
      </c>
      <c r="B936" s="55" t="s">
        <v>1748</v>
      </c>
      <c r="C936" s="55" t="s">
        <v>164</v>
      </c>
      <c r="D936" s="55" t="s">
        <v>184</v>
      </c>
      <c r="E936" s="55"/>
      <c r="F936" s="55" t="s">
        <v>218</v>
      </c>
      <c r="G936" s="56" t="n">
        <v>35.41</v>
      </c>
      <c r="H936" s="57" t="n">
        <f aca="false">MAX(0,IF(AND(Parameter!$B$21="Ja",ISNUMBER(Y936)),Y936,IF(Parameter!$B$20="Jahresanfang 2025 + Export",BL936+BK936,BK936)))</f>
        <v>3</v>
      </c>
      <c r="I936" s="57" t="n">
        <f aca="false">H936*G936</f>
        <v>106.23</v>
      </c>
      <c r="J936" s="57" t="n">
        <f aca="false">BN936*Parameter!$B$18</f>
        <v>0</v>
      </c>
      <c r="K936" s="58" t="n">
        <v>2.5</v>
      </c>
      <c r="L936" s="59" t="n">
        <v>0</v>
      </c>
      <c r="M936" s="57" t="n">
        <v>0</v>
      </c>
      <c r="N936" s="57" t="n">
        <v>1</v>
      </c>
      <c r="O936" s="60" t="n">
        <v>14</v>
      </c>
      <c r="P936" s="55" t="s">
        <v>168</v>
      </c>
      <c r="Q936" s="57"/>
      <c r="R936" s="60" t="n">
        <f aca="false">IF(BT936=1,0,IFERROR(VLOOKUP(BR936,'Gebinde-Kategorie'!$A$5:$M$45,13,0)+0,0))</f>
        <v>26</v>
      </c>
      <c r="S936" s="61"/>
      <c r="T936" s="62" t="s">
        <v>275</v>
      </c>
      <c r="U936" s="62"/>
      <c r="V936" s="62"/>
      <c r="W936" s="55"/>
      <c r="X936" s="57"/>
      <c r="Y936" s="57"/>
      <c r="Z936" s="55" t="n">
        <f aca="false">IF(A936="","",IF(AND(Parameter!$B$21="Ja",ISNUMBER(W936)),W936,IF(BV936="2+3",IF(ISNUMBER(SEARCH("grosser Artikel",BO936)),2,IFERROR(VLOOKUP(BR936,Parameter!$F$35:$G$64,2,0),2)),IF(OR(BV936="Nein",BV936=""),"-",BV936))))</f>
        <v>3</v>
      </c>
      <c r="AA936" s="62"/>
      <c r="AB936" s="63"/>
      <c r="AC936" s="57" t="n">
        <f aca="false">AR936</f>
        <v>20</v>
      </c>
      <c r="AD936" s="57" t="n">
        <f aca="false">MAX(AR936,H936)</f>
        <v>20</v>
      </c>
      <c r="AE936" s="64"/>
      <c r="AF936" s="57" t="n">
        <f aca="false">IF(LEFT(Cockpit!$C$5,1)="A",H936,IF(CA936=1,CB936,IF(LEFT(Cockpit!$C$5,1)="B",AJ936,MAX(AJ936,H936))))</f>
        <v>3</v>
      </c>
      <c r="AG936" s="57" t="n">
        <f aca="false">IF(BT936=1,0,ROUNDUP(AF936/BS936,0))</f>
        <v>1</v>
      </c>
      <c r="AH936" s="59" t="n">
        <f aca="false">IF(CH936&gt;0,CH936*MAX(1,AF936/X936),IF(BT936=1,IF(AF936&lt;=0,0,BW936*MAX(1,IF(H936&gt;0,AF936/H936,1))),IF(R936&gt;0,AG936/R936,0))/MAX(0.1,N(Parameter!$M$21)))</f>
        <v>0.0384615384615385</v>
      </c>
      <c r="AI936" s="57" t="n">
        <f aca="false">AF936*G936</f>
        <v>106.23</v>
      </c>
      <c r="AJ936" s="57" t="n">
        <f aca="false">ROUNDUP(MAX(J936/IF(BZ936&gt;0,BZ936,MAX(0.1,N(Cockpit!$C$6))),CC936)/BS936,0)*BS936</f>
        <v>20</v>
      </c>
      <c r="AK936" s="58" t="n">
        <f aca="false">IF(AH936&gt;0,J936/AH936,-1)</f>
        <v>0</v>
      </c>
      <c r="AL936" s="58" t="n">
        <f aca="false">IF(AND(OR(BY936="L1",BY936="L23"),AH936&gt;0),SUMIFS($AH$7:$AH$1843,$BY$7:$BY$1843,BY936,$AK$7:$AK$1843,"&gt;"&amp;AK936)+SUMIFS($AH$7:$AH$1843,$BY$7:$BY$1843,BY936,$AK$7:$AK$1843,AK936,$BQ$7:$BQ$1843,"&lt;="&amp;BQ936),"")</f>
        <v>78.0889919259485</v>
      </c>
      <c r="AM936" s="65" t="n">
        <f aca="false">IF(AL936="",0,MAX(0,MIN(1,(IF(BY936="L1",Parameter!$E$5,Parameter!$E$6+Parameter!$E$7)-(AL936-AH936))/AH936)))</f>
        <v>1</v>
      </c>
      <c r="AN936" s="57" t="n">
        <f aca="false">IF(LEFT(Cockpit!$I$5,1)="A",H936,IF(CA936=1,CB936,IF(LEFT(Cockpit!$I$5,1)="B",AR936,MAX(AR936,H936))))</f>
        <v>20</v>
      </c>
      <c r="AO936" s="57" t="n">
        <f aca="false">IF(BT936=1,0,ROUNDUP(AN936/BS936,0))</f>
        <v>1</v>
      </c>
      <c r="AP936" s="59" t="n">
        <f aca="false">IF(CH936&gt;0,CH936*MAX(1,AN936/X936),IF(BT936=1,IF(AN936&lt;=0,0,BW936*MAX(1,IF(H936&gt;0,AN936/H936,1))),IF(R936&gt;0,AO936/R936,0))/MAX(0.1,N(Parameter!$M$21)))</f>
        <v>0.0384615384615385</v>
      </c>
      <c r="AQ936" s="57" t="n">
        <f aca="false">AN936*G936</f>
        <v>708.2</v>
      </c>
      <c r="AR936" s="57" t="n">
        <f aca="false">ROUNDUP(MAX(J936/IF(BZ936&gt;0,BZ936,MAX(0.1,N(Cockpit!$I$6))),CC936)/BS936,0)*BS936</f>
        <v>20</v>
      </c>
      <c r="AS936" s="58" t="n">
        <f aca="false">IF(AP936&gt;0,J936/AP936,-1)</f>
        <v>0</v>
      </c>
      <c r="AT936" s="58" t="n">
        <f aca="false">IF(AND(OR(BY936="L1",BY936="L23"),AP936&gt;0),SUMIFS($AP$7:$AP$1843,$BY$7:$BY$1843,BY936,$AS$7:$AS$1843,"&gt;"&amp;AS936)+SUMIFS($AP$7:$AP$1843,$BY$7:$BY$1843,BY936,$AS$7:$AS$1843,AS936,$BQ$7:$BQ$1843,"&lt;="&amp;BQ936),"")</f>
        <v>119.283098543968</v>
      </c>
      <c r="AU936" s="65" t="n">
        <f aca="false">IF(AT936="",0,MAX(0,MIN(1,(IF(BY936="L1",Parameter!$E$5,Parameter!$E$6+Parameter!$E$7)-(AT936-AP936))/AP936)))</f>
        <v>0</v>
      </c>
      <c r="AV936" s="57" t="n">
        <f aca="false">IF(LEFT(Cockpit!$O$5,1)="A",H936,IF(CA936=1,CB936,IF(LEFT(Cockpit!$O$5,1)="B",AZ936,MAX(AZ936,H936))))</f>
        <v>20</v>
      </c>
      <c r="AW936" s="57" t="n">
        <f aca="false">IF(BT936=1,0,ROUNDUP(AV936/BS936,0))</f>
        <v>1</v>
      </c>
      <c r="AX936" s="59" t="n">
        <f aca="false">IF(CH936&gt;0,CH936*MAX(1,AV936/X936),IF(BT936=1,IF(AV936&lt;=0,0,BW936*MAX(1,IF(H936&gt;0,AV936/H936,1))),IF(R936&gt;0,AW936/R936,0))/MAX(0.1,N(Parameter!$M$21)))</f>
        <v>0.0384615384615385</v>
      </c>
      <c r="AY936" s="57" t="n">
        <f aca="false">AV936*G936</f>
        <v>708.2</v>
      </c>
      <c r="AZ936" s="57" t="n">
        <f aca="false">ROUNDUP(MAX(J936/IF(BZ936&gt;0,BZ936,MAX(0.1,N(Cockpit!$O$6))),CC936)/BS936,0)*BS936</f>
        <v>20</v>
      </c>
      <c r="BA936" s="58" t="n">
        <f aca="false">IF(AX936&gt;0,J936/AX936,-1)</f>
        <v>0</v>
      </c>
      <c r="BB936" s="58" t="n">
        <f aca="false">IF(AND(OR(BY936="L1",BY936="L23"),AX936&gt;0),SUMIFS($AX$7:$AX$1843,$BY$7:$BY$1843,BY936,$BA$7:$BA$1843,"&gt;"&amp;BA936)+SUMIFS($AX$7:$AX$1843,$BY$7:$BY$1843,BY936,$BA$7:$BA$1843,BA936,$BQ$7:$BQ$1843,"&lt;="&amp;BQ936),"")</f>
        <v>110.112935373805</v>
      </c>
      <c r="BC936" s="65" t="n">
        <f aca="false">IF(BB936="",0,MAX(0,MIN(1,(IF(BY936="L1",Parameter!$E$5,Parameter!$E$6+Parameter!$E$7)-(BB936-AX936))/AX936)))</f>
        <v>0</v>
      </c>
      <c r="BD936" s="55" t="str">
        <f aca="false">IF(AH936&lt;=0,"",IF(BY936="Aussen","Aussenlager",IF(BY936="-","Nicht im Lift",IF(AM936&gt;=1,"Lift",IF(AM936&lt;=0,"Aussenlager","teilweise")))))</f>
        <v>Lift</v>
      </c>
      <c r="BE936" s="55" t="str">
        <f aca="false">IF(AP936&lt;=0,"",IF(BY936="Aussen","Aussenlager",IF(BY936="-","Nicht im Lift",IF(AU936&gt;=1,"Lift",IF(AU936&lt;=0,"Aussenlager","teilweise")))))</f>
        <v>Aussenlager</v>
      </c>
      <c r="BF936" s="55" t="str">
        <f aca="false">IF(AX936&lt;=0,"",IF(BY936="Aussen","Aussenlager",IF(BY936="-","Nicht im Lift",IF(BC936&gt;=1,"Lift",IF(BC936&lt;=0,"Aussenlager","teilweise")))))</f>
        <v>Aussenlager</v>
      </c>
      <c r="BG936" s="55" t="str">
        <f aca="false">IF(A936="","",IF(BP936=1,"Neu; ","")&amp;IF(AND(BP936=0,BK936&lt;0),"negativer Bestand (Export "&amp;BK936&amp;"); ","")&amp;IF(J936&lt;=0,"Kein Verbrauch; ","")&amp;IF(CH936&gt;0,"Lift "&amp;W936&amp;" lt. Liftbericht (Fach "&amp;X936&amp;" Stk); ",IF(BU936=1,"Gebinde geschätzt ("&amp;T936&amp;"); ",IF(BT936=1,"Lose – Tablare geschätzt; ","")))&amp;IF(H936&gt;AR936,"Überbestand "&amp;ROUND(H936-AR936,0)&amp;" Stk / CHF "&amp;ROUND((H936-AR936)*G936,0)&amp;"; ","")&amp;IF(AND(CA936=1,CB936&lt;CC936),"MAX &lt; MB+LG; ","")&amp;IF(AND(CG936&gt;0,CF936*10&gt;CG936),"zu hoch für Tablar; ","")&amp;IF(AND(BP936=0,OR(CA936=1,AA936&lt;&gt;"",U936&lt;&gt;"",V936&lt;&gt;"",AB936&lt;&gt;"")),"manuell übersteuert; ","")&amp;IF(AND(BT936=0,R936=0),"Gebinde unbekannt / Stellmass fehlt; ","")&amp;IF(AND(BT936=0,N(V936)&lt;=0,N(Q936)&lt;=0),"Menge pro Gebinde fehlt (Ist = 1 Gebinde); ","")&amp;BO936)</f>
        <v>Kein Verbrauch; Gebinde geschätzt (Klein); Menge pro Gebinde fehlt (Ist = 1 Gebinde); </v>
      </c>
      <c r="BH936" s="55"/>
      <c r="BI936" s="55"/>
      <c r="BJ936" s="62"/>
      <c r="BK936" s="57" t="n">
        <v>0</v>
      </c>
      <c r="BL936" s="57" t="n">
        <v>3</v>
      </c>
      <c r="BM936" s="56" t="n">
        <v>-51.54</v>
      </c>
      <c r="BN936" s="57" t="n">
        <v>0</v>
      </c>
      <c r="BO936" s="55"/>
      <c r="BP936" s="60" t="n">
        <v>0</v>
      </c>
      <c r="BQ936" s="60" t="n">
        <v>936</v>
      </c>
      <c r="BR936" s="55" t="str">
        <f aca="false">IF(U936&lt;&gt;"",UPPER(TRIM(U936)),IF(BU936=1,UPPER(VLOOKUP(T936,Parameter!$I$27:$K$29,2,0)),IF(P936="","LOSE",P936)))</f>
        <v>S51</v>
      </c>
      <c r="BS936" s="57" t="n">
        <f aca="false">IF(BR936="LOSE",1,IF(N(V936)&gt;0,V936,IF(BU936=1,MAX(1,N(VLOOKUP(T936,Parameter!$I$27:$K$29,3,0)),H936,N(N936)),IF(N(Q936)&gt;0,Q936,MAX(1,H936)))))</f>
        <v>20</v>
      </c>
      <c r="BT936" s="60" t="n">
        <f aca="false">IF(BR936="LOSE",1,0)</f>
        <v>0</v>
      </c>
      <c r="BU936" s="60" t="n">
        <f aca="false">IF(AND(U936="",OR(P936="",P936="LOSE"),T936&lt;&gt;"",N(S936)&lt;=0,ISNUMBER(MATCH(T936,Parameter!$I$27:$I$29,0))),1,0)</f>
        <v>1</v>
      </c>
      <c r="BV936" s="55" t="str">
        <f aca="false">IF(AND(Parameter!$B$19="Ja",E936&lt;&gt;"",ISNUMBER(MATCH(E936,Parameter!$I$35:$I$52,0))),VLOOKUP(E936,Parameter!$I$35:$J$52,2,0),IFERROR(VLOOKUP(D936,Parameter!$A$35:$C$64,2,0),"Nein"))</f>
        <v>2+3</v>
      </c>
      <c r="BW936" s="59" t="n">
        <f aca="false">IF(BT936=0,0,IF(N(S936)&gt;0,S936,IFERROR(VLOOKUP(D936,Parameter!$A$35:$C$64,3,0)+0,0)))</f>
        <v>0</v>
      </c>
      <c r="BX936" s="55" t="n">
        <f aca="false">IF(AA936&lt;&gt;"",AA936,Z936)</f>
        <v>3</v>
      </c>
      <c r="BY936" s="55" t="str">
        <f aca="false">IF(BX936=1,"L1",IF(OR(BX936=2,BX936=3),"L23",IF(BX936="Aussen","Aussen","-")))</f>
        <v>L23</v>
      </c>
      <c r="BZ936" s="66" t="n">
        <f aca="false">IF(N(AB936)&gt;0,AB936,0)</f>
        <v>0</v>
      </c>
      <c r="CA936" s="60" t="n">
        <f aca="false">IF(ISNUMBER(AE936),1,0)</f>
        <v>0</v>
      </c>
      <c r="CB936" s="57" t="n">
        <f aca="false">N(AE936)</f>
        <v>0</v>
      </c>
      <c r="CC936" s="57" t="n">
        <f aca="false">N(M936)+N(N936)</f>
        <v>1</v>
      </c>
      <c r="CD936" s="57" t="n">
        <f aca="false">ROUNDUP(H936/BS936,0)</f>
        <v>1</v>
      </c>
      <c r="CE936" s="57" t="n">
        <f aca="false">ROUNDUP(CB936/BS936,0)</f>
        <v>0</v>
      </c>
      <c r="CF936" s="60" t="n">
        <f aca="false">IF(BT936=1,0,IFERROR(VLOOKUP(BR936,'Gebinde-Kategorie'!$A$5:$M$45,5,0)+0,0))</f>
        <v>11</v>
      </c>
      <c r="CG936" s="60" t="n">
        <f aca="false">IFERROR(IF(OR(BX936=1,BX936=2,BX936=3),N(INDEX(Parameter!$I$5:$I$7,BX936)),0),0)</f>
        <v>0</v>
      </c>
      <c r="CH936" s="59" t="n">
        <f aca="false">IF(AND(Parameter!$B$21="Ja",ISNUMBER(W936),N(X936)&gt;0),IFERROR(N(INDEX(Parameter!$L$5:$L$7,W936))*INDEX(Parameter!$E$5:$E$7,W936)*X936/SUMIFS($X$7:$X$1843,$W$7:$W$1843,W936),0),0)</f>
        <v>0</v>
      </c>
    </row>
    <row r="937" customFormat="false" ht="15" hidden="false" customHeight="false" outlineLevel="0" collapsed="false">
      <c r="A937" s="55" t="s">
        <v>1749</v>
      </c>
      <c r="B937" s="55" t="s">
        <v>1750</v>
      </c>
      <c r="C937" s="55" t="s">
        <v>164</v>
      </c>
      <c r="D937" s="55" t="s">
        <v>184</v>
      </c>
      <c r="E937" s="55" t="s">
        <v>185</v>
      </c>
      <c r="F937" s="55" t="s">
        <v>218</v>
      </c>
      <c r="G937" s="56" t="n">
        <v>9</v>
      </c>
      <c r="H937" s="57" t="n">
        <f aca="false">MAX(0,IF(AND(Parameter!$B$21="Ja",ISNUMBER(Y937)),Y937,IF(Parameter!$B$20="Jahresanfang 2025 + Export",BL937+BK937,BK937)))</f>
        <v>3</v>
      </c>
      <c r="I937" s="57" t="n">
        <f aca="false">H937*G937</f>
        <v>27</v>
      </c>
      <c r="J937" s="57" t="n">
        <f aca="false">BN937*Parameter!$B$18</f>
        <v>0</v>
      </c>
      <c r="K937" s="58" t="n">
        <v>6.5</v>
      </c>
      <c r="L937" s="59" t="n">
        <v>0</v>
      </c>
      <c r="M937" s="57" t="n">
        <v>0</v>
      </c>
      <c r="N937" s="57" t="n">
        <v>1</v>
      </c>
      <c r="O937" s="60" t="n">
        <v>14</v>
      </c>
      <c r="P937" s="55" t="s">
        <v>168</v>
      </c>
      <c r="Q937" s="57"/>
      <c r="R937" s="60" t="n">
        <f aca="false">IF(BT937=1,0,IFERROR(VLOOKUP(BR937,'Gebinde-Kategorie'!$A$5:$M$45,13,0)+0,0))</f>
        <v>26</v>
      </c>
      <c r="S937" s="61"/>
      <c r="T937" s="62" t="s">
        <v>275</v>
      </c>
      <c r="U937" s="62"/>
      <c r="V937" s="62"/>
      <c r="W937" s="55"/>
      <c r="X937" s="57"/>
      <c r="Y937" s="57"/>
      <c r="Z937" s="55" t="n">
        <f aca="false">IF(A937="","",IF(AND(Parameter!$B$21="Ja",ISNUMBER(W937)),W937,IF(BV937="2+3",IF(ISNUMBER(SEARCH("grosser Artikel",BO937)),2,IFERROR(VLOOKUP(BR937,Parameter!$F$35:$G$64,2,0),2)),IF(OR(BV937="Nein",BV937=""),"-",BV937))))</f>
        <v>3</v>
      </c>
      <c r="AA937" s="62"/>
      <c r="AB937" s="63"/>
      <c r="AC937" s="57" t="n">
        <f aca="false">AR937</f>
        <v>20</v>
      </c>
      <c r="AD937" s="57" t="n">
        <f aca="false">MAX(AR937,H937)</f>
        <v>20</v>
      </c>
      <c r="AE937" s="64"/>
      <c r="AF937" s="57" t="n">
        <f aca="false">IF(LEFT(Cockpit!$C$5,1)="A",H937,IF(CA937=1,CB937,IF(LEFT(Cockpit!$C$5,1)="B",AJ937,MAX(AJ937,H937))))</f>
        <v>3</v>
      </c>
      <c r="AG937" s="57" t="n">
        <f aca="false">IF(BT937=1,0,ROUNDUP(AF937/BS937,0))</f>
        <v>1</v>
      </c>
      <c r="AH937" s="59" t="n">
        <f aca="false">IF(CH937&gt;0,CH937*MAX(1,AF937/X937),IF(BT937=1,IF(AF937&lt;=0,0,BW937*MAX(1,IF(H937&gt;0,AF937/H937,1))),IF(R937&gt;0,AG937/R937,0))/MAX(0.1,N(Parameter!$M$21)))</f>
        <v>0.0384615384615385</v>
      </c>
      <c r="AI937" s="57" t="n">
        <f aca="false">AF937*G937</f>
        <v>27</v>
      </c>
      <c r="AJ937" s="57" t="n">
        <f aca="false">ROUNDUP(MAX(J937/IF(BZ937&gt;0,BZ937,MAX(0.1,N(Cockpit!$C$6))),CC937)/BS937,0)*BS937</f>
        <v>20</v>
      </c>
      <c r="AK937" s="58" t="n">
        <f aca="false">IF(AH937&gt;0,J937/AH937,-1)</f>
        <v>0</v>
      </c>
      <c r="AL937" s="58" t="n">
        <f aca="false">IF(AND(OR(BY937="L1",BY937="L23"),AH937&gt;0),SUMIFS($AH$7:$AH$1843,$BY$7:$BY$1843,BY937,$AK$7:$AK$1843,"&gt;"&amp;AK937)+SUMIFS($AH$7:$AH$1843,$BY$7:$BY$1843,BY937,$AK$7:$AK$1843,AK937,$BQ$7:$BQ$1843,"&lt;="&amp;BQ937),"")</f>
        <v>78.12745346441</v>
      </c>
      <c r="AM937" s="65" t="n">
        <f aca="false">IF(AL937="",0,MAX(0,MIN(1,(IF(BY937="L1",Parameter!$E$5,Parameter!$E$6+Parameter!$E$7)-(AL937-AH937))/AH937)))</f>
        <v>1</v>
      </c>
      <c r="AN937" s="57" t="n">
        <f aca="false">IF(LEFT(Cockpit!$I$5,1)="A",H937,IF(CA937=1,CB937,IF(LEFT(Cockpit!$I$5,1)="B",AR937,MAX(AR937,H937))))</f>
        <v>20</v>
      </c>
      <c r="AO937" s="57" t="n">
        <f aca="false">IF(BT937=1,0,ROUNDUP(AN937/BS937,0))</f>
        <v>1</v>
      </c>
      <c r="AP937" s="59" t="n">
        <f aca="false">IF(CH937&gt;0,CH937*MAX(1,AN937/X937),IF(BT937=1,IF(AN937&lt;=0,0,BW937*MAX(1,IF(H937&gt;0,AN937/H937,1))),IF(R937&gt;0,AO937/R937,0))/MAX(0.1,N(Parameter!$M$21)))</f>
        <v>0.0384615384615385</v>
      </c>
      <c r="AQ937" s="57" t="n">
        <f aca="false">AN937*G937</f>
        <v>180</v>
      </c>
      <c r="AR937" s="57" t="n">
        <f aca="false">ROUNDUP(MAX(J937/IF(BZ937&gt;0,BZ937,MAX(0.1,N(Cockpit!$I$6))),CC937)/BS937,0)*BS937</f>
        <v>20</v>
      </c>
      <c r="AS937" s="58" t="n">
        <f aca="false">IF(AP937&gt;0,J937/AP937,-1)</f>
        <v>0</v>
      </c>
      <c r="AT937" s="58" t="n">
        <f aca="false">IF(AND(OR(BY937="L1",BY937="L23"),AP937&gt;0),SUMIFS($AP$7:$AP$1843,$BY$7:$BY$1843,BY937,$AS$7:$AS$1843,"&gt;"&amp;AS937)+SUMIFS($AP$7:$AP$1843,$BY$7:$BY$1843,BY937,$AS$7:$AS$1843,AS937,$BQ$7:$BQ$1843,"&lt;="&amp;BQ937),"")</f>
        <v>119.32156008243</v>
      </c>
      <c r="AU937" s="65" t="n">
        <f aca="false">IF(AT937="",0,MAX(0,MIN(1,(IF(BY937="L1",Parameter!$E$5,Parameter!$E$6+Parameter!$E$7)-(AT937-AP937))/AP937)))</f>
        <v>0</v>
      </c>
      <c r="AV937" s="57" t="n">
        <f aca="false">IF(LEFT(Cockpit!$O$5,1)="A",H937,IF(CA937=1,CB937,IF(LEFT(Cockpit!$O$5,1)="B",AZ937,MAX(AZ937,H937))))</f>
        <v>20</v>
      </c>
      <c r="AW937" s="57" t="n">
        <f aca="false">IF(BT937=1,0,ROUNDUP(AV937/BS937,0))</f>
        <v>1</v>
      </c>
      <c r="AX937" s="59" t="n">
        <f aca="false">IF(CH937&gt;0,CH937*MAX(1,AV937/X937),IF(BT937=1,IF(AV937&lt;=0,0,BW937*MAX(1,IF(H937&gt;0,AV937/H937,1))),IF(R937&gt;0,AW937/R937,0))/MAX(0.1,N(Parameter!$M$21)))</f>
        <v>0.0384615384615385</v>
      </c>
      <c r="AY937" s="57" t="n">
        <f aca="false">AV937*G937</f>
        <v>180</v>
      </c>
      <c r="AZ937" s="57" t="n">
        <f aca="false">ROUNDUP(MAX(J937/IF(BZ937&gt;0,BZ937,MAX(0.1,N(Cockpit!$O$6))),CC937)/BS937,0)*BS937</f>
        <v>20</v>
      </c>
      <c r="BA937" s="58" t="n">
        <f aca="false">IF(AX937&gt;0,J937/AX937,-1)</f>
        <v>0</v>
      </c>
      <c r="BB937" s="58" t="n">
        <f aca="false">IF(AND(OR(BY937="L1",BY937="L23"),AX937&gt;0),SUMIFS($AX$7:$AX$1843,$BY$7:$BY$1843,BY937,$BA$7:$BA$1843,"&gt;"&amp;BA937)+SUMIFS($AX$7:$AX$1843,$BY$7:$BY$1843,BY937,$BA$7:$BA$1843,BA937,$BQ$7:$BQ$1843,"&lt;="&amp;BQ937),"")</f>
        <v>110.151396912266</v>
      </c>
      <c r="BC937" s="65" t="n">
        <f aca="false">IF(BB937="",0,MAX(0,MIN(1,(IF(BY937="L1",Parameter!$E$5,Parameter!$E$6+Parameter!$E$7)-(BB937-AX937))/AX937)))</f>
        <v>0</v>
      </c>
      <c r="BD937" s="55" t="str">
        <f aca="false">IF(AH937&lt;=0,"",IF(BY937="Aussen","Aussenlager",IF(BY937="-","Nicht im Lift",IF(AM937&gt;=1,"Lift",IF(AM937&lt;=0,"Aussenlager","teilweise")))))</f>
        <v>Lift</v>
      </c>
      <c r="BE937" s="55" t="str">
        <f aca="false">IF(AP937&lt;=0,"",IF(BY937="Aussen","Aussenlager",IF(BY937="-","Nicht im Lift",IF(AU937&gt;=1,"Lift",IF(AU937&lt;=0,"Aussenlager","teilweise")))))</f>
        <v>Aussenlager</v>
      </c>
      <c r="BF937" s="55" t="str">
        <f aca="false">IF(AX937&lt;=0,"",IF(BY937="Aussen","Aussenlager",IF(BY937="-","Nicht im Lift",IF(BC937&gt;=1,"Lift",IF(BC937&lt;=0,"Aussenlager","teilweise")))))</f>
        <v>Aussenlager</v>
      </c>
      <c r="BG937" s="55" t="str">
        <f aca="false">IF(A937="","",IF(BP937=1,"Neu; ","")&amp;IF(AND(BP937=0,BK937&lt;0),"negativer Bestand (Export "&amp;BK937&amp;"); ","")&amp;IF(J937&lt;=0,"Kein Verbrauch; ","")&amp;IF(CH937&gt;0,"Lift "&amp;W937&amp;" lt. Liftbericht (Fach "&amp;X937&amp;" Stk); ",IF(BU937=1,"Gebinde geschätzt ("&amp;T937&amp;"); ",IF(BT937=1,"Lose – Tablare geschätzt; ","")))&amp;IF(H937&gt;AR937,"Überbestand "&amp;ROUND(H937-AR937,0)&amp;" Stk / CHF "&amp;ROUND((H937-AR937)*G937,0)&amp;"; ","")&amp;IF(AND(CA937=1,CB937&lt;CC937),"MAX &lt; MB+LG; ","")&amp;IF(AND(CG937&gt;0,CF937*10&gt;CG937),"zu hoch für Tablar; ","")&amp;IF(AND(BP937=0,OR(CA937=1,AA937&lt;&gt;"",U937&lt;&gt;"",V937&lt;&gt;"",AB937&lt;&gt;"")),"manuell übersteuert; ","")&amp;IF(AND(BT937=0,R937=0),"Gebinde unbekannt / Stellmass fehlt; ","")&amp;IF(AND(BT937=0,N(V937)&lt;=0,N(Q937)&lt;=0),"Menge pro Gebinde fehlt (Ist = 1 Gebinde); ","")&amp;BO937)</f>
        <v>negativer Bestand (Export -7); Kein Verbrauch; Gebinde geschätzt (Klein); Menge pro Gebinde fehlt (Ist = 1 Gebinde); Verb.Lager; nicht im KTL vorhanden</v>
      </c>
      <c r="BH937" s="55"/>
      <c r="BI937" s="55"/>
      <c r="BJ937" s="62"/>
      <c r="BK937" s="57" t="n">
        <v>-7</v>
      </c>
      <c r="BL937" s="57" t="n">
        <v>10</v>
      </c>
      <c r="BM937" s="56" t="n">
        <v>-52.5</v>
      </c>
      <c r="BN937" s="57" t="n">
        <v>0</v>
      </c>
      <c r="BO937" s="55" t="s">
        <v>1751</v>
      </c>
      <c r="BP937" s="60" t="n">
        <v>0</v>
      </c>
      <c r="BQ937" s="60" t="n">
        <v>937</v>
      </c>
      <c r="BR937" s="55" t="str">
        <f aca="false">IF(U937&lt;&gt;"",UPPER(TRIM(U937)),IF(BU937=1,UPPER(VLOOKUP(T937,Parameter!$I$27:$K$29,2,0)),IF(P937="","LOSE",P937)))</f>
        <v>S51</v>
      </c>
      <c r="BS937" s="57" t="n">
        <f aca="false">IF(BR937="LOSE",1,IF(N(V937)&gt;0,V937,IF(BU937=1,MAX(1,N(VLOOKUP(T937,Parameter!$I$27:$K$29,3,0)),H937,N(N937)),IF(N(Q937)&gt;0,Q937,MAX(1,H937)))))</f>
        <v>20</v>
      </c>
      <c r="BT937" s="60" t="n">
        <f aca="false">IF(BR937="LOSE",1,0)</f>
        <v>0</v>
      </c>
      <c r="BU937" s="60" t="n">
        <f aca="false">IF(AND(U937="",OR(P937="",P937="LOSE"),T937&lt;&gt;"",N(S937)&lt;=0,ISNUMBER(MATCH(T937,Parameter!$I$27:$I$29,0))),1,0)</f>
        <v>1</v>
      </c>
      <c r="BV937" s="55" t="str">
        <f aca="false">IF(AND(Parameter!$B$19="Ja",E937&lt;&gt;"",ISNUMBER(MATCH(E937,Parameter!$I$35:$I$52,0))),VLOOKUP(E937,Parameter!$I$35:$J$52,2,0),IFERROR(VLOOKUP(D937,Parameter!$A$35:$C$64,2,0),"Nein"))</f>
        <v>2+3</v>
      </c>
      <c r="BW937" s="59" t="n">
        <f aca="false">IF(BT937=0,0,IF(N(S937)&gt;0,S937,IFERROR(VLOOKUP(D937,Parameter!$A$35:$C$64,3,0)+0,0)))</f>
        <v>0</v>
      </c>
      <c r="BX937" s="55" t="n">
        <f aca="false">IF(AA937&lt;&gt;"",AA937,Z937)</f>
        <v>3</v>
      </c>
      <c r="BY937" s="55" t="str">
        <f aca="false">IF(BX937=1,"L1",IF(OR(BX937=2,BX937=3),"L23",IF(BX937="Aussen","Aussen","-")))</f>
        <v>L23</v>
      </c>
      <c r="BZ937" s="66" t="n">
        <f aca="false">IF(N(AB937)&gt;0,AB937,0)</f>
        <v>0</v>
      </c>
      <c r="CA937" s="60" t="n">
        <f aca="false">IF(ISNUMBER(AE937),1,0)</f>
        <v>0</v>
      </c>
      <c r="CB937" s="57" t="n">
        <f aca="false">N(AE937)</f>
        <v>0</v>
      </c>
      <c r="CC937" s="57" t="n">
        <f aca="false">N(M937)+N(N937)</f>
        <v>1</v>
      </c>
      <c r="CD937" s="57" t="n">
        <f aca="false">ROUNDUP(H937/BS937,0)</f>
        <v>1</v>
      </c>
      <c r="CE937" s="57" t="n">
        <f aca="false">ROUNDUP(CB937/BS937,0)</f>
        <v>0</v>
      </c>
      <c r="CF937" s="60" t="n">
        <f aca="false">IF(BT937=1,0,IFERROR(VLOOKUP(BR937,'Gebinde-Kategorie'!$A$5:$M$45,5,0)+0,0))</f>
        <v>11</v>
      </c>
      <c r="CG937" s="60" t="n">
        <f aca="false">IFERROR(IF(OR(BX937=1,BX937=2,BX937=3),N(INDEX(Parameter!$I$5:$I$7,BX937)),0),0)</f>
        <v>0</v>
      </c>
      <c r="CH937" s="59" t="n">
        <f aca="false">IF(AND(Parameter!$B$21="Ja",ISNUMBER(W937),N(X937)&gt;0),IFERROR(N(INDEX(Parameter!$L$5:$L$7,W937))*INDEX(Parameter!$E$5:$E$7,W937)*X937/SUMIFS($X$7:$X$1843,$W$7:$W$1843,W937),0),0)</f>
        <v>0</v>
      </c>
    </row>
    <row r="938" customFormat="false" ht="15" hidden="false" customHeight="false" outlineLevel="0" collapsed="false">
      <c r="A938" s="55" t="s">
        <v>1752</v>
      </c>
      <c r="B938" s="55" t="s">
        <v>808</v>
      </c>
      <c r="C938" s="55" t="s">
        <v>164</v>
      </c>
      <c r="D938" s="55" t="s">
        <v>184</v>
      </c>
      <c r="E938" s="55" t="s">
        <v>185</v>
      </c>
      <c r="F938" s="55" t="s">
        <v>218</v>
      </c>
      <c r="G938" s="56" t="n">
        <v>3.68</v>
      </c>
      <c r="H938" s="57" t="n">
        <f aca="false">MAX(0,IF(AND(Parameter!$B$21="Ja",ISNUMBER(Y938)),Y938,IF(Parameter!$B$20="Jahresanfang 2025 + Export",BL938+BK938,BK938)))</f>
        <v>24</v>
      </c>
      <c r="I938" s="57" t="n">
        <f aca="false">H938*G938</f>
        <v>88.32</v>
      </c>
      <c r="J938" s="57" t="n">
        <f aca="false">BN938*Parameter!$B$18</f>
        <v>65</v>
      </c>
      <c r="K938" s="58" t="n">
        <v>55.5</v>
      </c>
      <c r="L938" s="59" t="n">
        <v>1.17117117117117</v>
      </c>
      <c r="M938" s="57" t="n">
        <v>2</v>
      </c>
      <c r="N938" s="57" t="n">
        <v>65</v>
      </c>
      <c r="O938" s="60" t="n">
        <v>14</v>
      </c>
      <c r="P938" s="55" t="s">
        <v>426</v>
      </c>
      <c r="Q938" s="57" t="n">
        <v>60</v>
      </c>
      <c r="R938" s="60" t="n">
        <f aca="false">IF(BT938=1,0,IFERROR(VLOOKUP(BR938,'Gebinde-Kategorie'!$A$5:$M$45,13,0)+0,0))</f>
        <v>198</v>
      </c>
      <c r="S938" s="61"/>
      <c r="T938" s="62"/>
      <c r="U938" s="62"/>
      <c r="V938" s="62"/>
      <c r="W938" s="55"/>
      <c r="X938" s="57"/>
      <c r="Y938" s="57"/>
      <c r="Z938" s="55" t="n">
        <f aca="false">IF(A938="","",IF(AND(Parameter!$B$21="Ja",ISNUMBER(W938)),W938,IF(BV938="2+3",IF(ISNUMBER(SEARCH("grosser Artikel",BO938)),2,IFERROR(VLOOKUP(BR938,Parameter!$F$35:$G$64,2,0),2)),IF(OR(BV938="Nein",BV938=""),"-",BV938))))</f>
        <v>3</v>
      </c>
      <c r="AA938" s="62"/>
      <c r="AB938" s="63"/>
      <c r="AC938" s="57" t="n">
        <f aca="false">AR938</f>
        <v>120</v>
      </c>
      <c r="AD938" s="57" t="n">
        <f aca="false">MAX(AR938,H938)</f>
        <v>120</v>
      </c>
      <c r="AE938" s="64"/>
      <c r="AF938" s="57" t="n">
        <f aca="false">IF(LEFT(Cockpit!$C$5,1)="A",H938,IF(CA938=1,CB938,IF(LEFT(Cockpit!$C$5,1)="B",AJ938,MAX(AJ938,H938))))</f>
        <v>24</v>
      </c>
      <c r="AG938" s="57" t="n">
        <f aca="false">IF(BT938=1,0,ROUNDUP(AF938/BS938,0))</f>
        <v>1</v>
      </c>
      <c r="AH938" s="59" t="n">
        <f aca="false">IF(CH938&gt;0,CH938*MAX(1,AF938/X938),IF(BT938=1,IF(AF938&lt;=0,0,BW938*MAX(1,IF(H938&gt;0,AF938/H938,1))),IF(R938&gt;0,AG938/R938,0))/MAX(0.1,N(Parameter!$M$21)))</f>
        <v>0.00505050505050505</v>
      </c>
      <c r="AI938" s="57" t="n">
        <f aca="false">AF938*G938</f>
        <v>88.32</v>
      </c>
      <c r="AJ938" s="57" t="n">
        <f aca="false">ROUNDUP(MAX(J938/IF(BZ938&gt;0,BZ938,MAX(0.1,N(Cockpit!$C$6))),CC938)/BS938,0)*BS938</f>
        <v>120</v>
      </c>
      <c r="AK938" s="58" t="n">
        <f aca="false">IF(AH938&gt;0,J938/AH938,-1)</f>
        <v>12870</v>
      </c>
      <c r="AL938" s="58" t="n">
        <f aca="false">IF(AND(OR(BY938="L1",BY938="L23"),AH938&gt;0),SUMIFS($AH$7:$AH$1843,$BY$7:$BY$1843,BY938,$AK$7:$AK$1843,"&gt;"&amp;AK938)+SUMIFS($AH$7:$AH$1843,$BY$7:$BY$1843,BY938,$AK$7:$AK$1843,AK938,$BQ$7:$BQ$1843,"&lt;="&amp;BQ938),"")</f>
        <v>4.75309111178676</v>
      </c>
      <c r="AM938" s="65" t="n">
        <f aca="false">IF(AL938="",0,MAX(0,MIN(1,(IF(BY938="L1",Parameter!$E$5,Parameter!$E$6+Parameter!$E$7)-(AL938-AH938))/AH938)))</f>
        <v>1</v>
      </c>
      <c r="AN938" s="57" t="n">
        <f aca="false">IF(LEFT(Cockpit!$I$5,1)="A",H938,IF(CA938=1,CB938,IF(LEFT(Cockpit!$I$5,1)="B",AR938,MAX(AR938,H938))))</f>
        <v>120</v>
      </c>
      <c r="AO938" s="57" t="n">
        <f aca="false">IF(BT938=1,0,ROUNDUP(AN938/BS938,0))</f>
        <v>2</v>
      </c>
      <c r="AP938" s="59" t="n">
        <f aca="false">IF(CH938&gt;0,CH938*MAX(1,AN938/X938),IF(BT938=1,IF(AN938&lt;=0,0,BW938*MAX(1,IF(H938&gt;0,AN938/H938,1))),IF(R938&gt;0,AO938/R938,0))/MAX(0.1,N(Parameter!$M$21)))</f>
        <v>0.0101010101010101</v>
      </c>
      <c r="AQ938" s="57" t="n">
        <f aca="false">AN938*G938</f>
        <v>441.6</v>
      </c>
      <c r="AR938" s="57" t="n">
        <f aca="false">ROUNDUP(MAX(J938/IF(BZ938&gt;0,BZ938,MAX(0.1,N(Cockpit!$I$6))),CC938)/BS938,0)*BS938</f>
        <v>120</v>
      </c>
      <c r="AS938" s="58" t="n">
        <f aca="false">IF(AP938&gt;0,J938/AP938,-1)</f>
        <v>6435</v>
      </c>
      <c r="AT938" s="58" t="n">
        <f aca="false">IF(AND(OR(BY938="L1",BY938="L23"),AP938&gt;0),SUMIFS($AP$7:$AP$1843,$BY$7:$BY$1843,BY938,$AS$7:$AS$1843,"&gt;"&amp;AS938)+SUMIFS($AP$7:$AP$1843,$BY$7:$BY$1843,BY938,$AS$7:$AS$1843,AS938,$BQ$7:$BQ$1843,"&lt;="&amp;BQ938),"")</f>
        <v>10.9959798655451</v>
      </c>
      <c r="AU938" s="65" t="n">
        <f aca="false">IF(AT938="",0,MAX(0,MIN(1,(IF(BY938="L1",Parameter!$E$5,Parameter!$E$6+Parameter!$E$7)-(AT938-AP938))/AP938)))</f>
        <v>1</v>
      </c>
      <c r="AV938" s="57" t="n">
        <f aca="false">IF(LEFT(Cockpit!$O$5,1)="A",H938,IF(CA938=1,CB938,IF(LEFT(Cockpit!$O$5,1)="B",AZ938,MAX(AZ938,H938))))</f>
        <v>120</v>
      </c>
      <c r="AW938" s="57" t="n">
        <f aca="false">IF(BT938=1,0,ROUNDUP(AV938/BS938,0))</f>
        <v>2</v>
      </c>
      <c r="AX938" s="59" t="n">
        <f aca="false">IF(CH938&gt;0,CH938*MAX(1,AV938/X938),IF(BT938=1,IF(AV938&lt;=0,0,BW938*MAX(1,IF(H938&gt;0,AV938/H938,1))),IF(R938&gt;0,AW938/R938,0))/MAX(0.1,N(Parameter!$M$21)))</f>
        <v>0.0101010101010101</v>
      </c>
      <c r="AY938" s="57" t="n">
        <f aca="false">AV938*G938</f>
        <v>441.6</v>
      </c>
      <c r="AZ938" s="57" t="n">
        <f aca="false">ROUNDUP(MAX(J938/IF(BZ938&gt;0,BZ938,MAX(0.1,N(Cockpit!$O$6))),CC938)/BS938,0)*BS938</f>
        <v>120</v>
      </c>
      <c r="BA938" s="58" t="n">
        <f aca="false">IF(AX938&gt;0,J938/AX938,-1)</f>
        <v>6435</v>
      </c>
      <c r="BB938" s="58" t="n">
        <f aca="false">IF(AND(OR(BY938="L1",BY938="L23"),AX938&gt;0),SUMIFS($AX$7:$AX$1843,$BY$7:$BY$1843,BY938,$BA$7:$BA$1843,"&gt;"&amp;BA938)+SUMIFS($AX$7:$AX$1843,$BY$7:$BY$1843,BY938,$BA$7:$BA$1843,BA938,$BQ$7:$BQ$1843,"&lt;="&amp;BQ938),"")</f>
        <v>9.5629961825614</v>
      </c>
      <c r="BC938" s="65" t="n">
        <f aca="false">IF(BB938="",0,MAX(0,MIN(1,(IF(BY938="L1",Parameter!$E$5,Parameter!$E$6+Parameter!$E$7)-(BB938-AX938))/AX938)))</f>
        <v>1</v>
      </c>
      <c r="BD938" s="55" t="str">
        <f aca="false">IF(AH938&lt;=0,"",IF(BY938="Aussen","Aussenlager",IF(BY938="-","Nicht im Lift",IF(AM938&gt;=1,"Lift",IF(AM938&lt;=0,"Aussenlager","teilweise")))))</f>
        <v>Lift</v>
      </c>
      <c r="BE938" s="55" t="str">
        <f aca="false">IF(AP938&lt;=0,"",IF(BY938="Aussen","Aussenlager",IF(BY938="-","Nicht im Lift",IF(AU938&gt;=1,"Lift",IF(AU938&lt;=0,"Aussenlager","teilweise")))))</f>
        <v>Lift</v>
      </c>
      <c r="BF938" s="55" t="str">
        <f aca="false">IF(AX938&lt;=0,"",IF(BY938="Aussen","Aussenlager",IF(BY938="-","Nicht im Lift",IF(BC938&gt;=1,"Lift",IF(BC938&lt;=0,"Aussenlager","teilweise")))))</f>
        <v>Lift</v>
      </c>
      <c r="BG938" s="55" t="str">
        <f aca="false">IF(A938="","",IF(BP938=1,"Neu; ","")&amp;IF(AND(BP938=0,BK938&lt;0),"negativer Bestand (Export "&amp;BK938&amp;"); ","")&amp;IF(J938&lt;=0,"Kein Verbrauch; ","")&amp;IF(CH938&gt;0,"Lift "&amp;W938&amp;" lt. Liftbericht (Fach "&amp;X938&amp;" Stk); ",IF(BU938=1,"Gebinde geschätzt ("&amp;T938&amp;"); ",IF(BT938=1,"Lose – Tablare geschätzt; ","")))&amp;IF(H938&gt;AR938,"Überbestand "&amp;ROUND(H938-AR938,0)&amp;" Stk / CHF "&amp;ROUND((H938-AR938)*G938,0)&amp;"; ","")&amp;IF(AND(CA938=1,CB938&lt;CC938),"MAX &lt; MB+LG; ","")&amp;IF(AND(CG938&gt;0,CF938*10&gt;CG938),"zu hoch für Tablar; ","")&amp;IF(AND(BP938=0,OR(CA938=1,AA938&lt;&gt;"",U938&lt;&gt;"",V938&lt;&gt;"",AB938&lt;&gt;"")),"manuell übersteuert; ","")&amp;IF(AND(BT938=0,R938=0),"Gebinde unbekannt / Stellmass fehlt; ","")&amp;IF(AND(BT938=0,N(V938)&lt;=0,N(Q938)&lt;=0),"Menge pro Gebinde fehlt (Ist = 1 Gebinde); ","")&amp;BO938)</f>
        <v>negativer Bestand (Export -15); </v>
      </c>
      <c r="BH938" s="55"/>
      <c r="BI938" s="55"/>
      <c r="BJ938" s="62"/>
      <c r="BK938" s="57" t="n">
        <v>-15</v>
      </c>
      <c r="BL938" s="57" t="n">
        <v>39</v>
      </c>
      <c r="BM938" s="56" t="n">
        <v>-53.22</v>
      </c>
      <c r="BN938" s="57" t="n">
        <v>65</v>
      </c>
      <c r="BO938" s="55"/>
      <c r="BP938" s="60" t="n">
        <v>0</v>
      </c>
      <c r="BQ938" s="60" t="n">
        <v>938</v>
      </c>
      <c r="BR938" s="55" t="str">
        <f aca="false">IF(U938&lt;&gt;"",UPPER(TRIM(U938)),IF(BU938=1,UPPER(VLOOKUP(T938,Parameter!$I$27:$K$29,2,0)),IF(P938="","LOSE",P938)))</f>
        <v>S22</v>
      </c>
      <c r="BS938" s="57" t="n">
        <f aca="false">IF(BR938="LOSE",1,IF(N(V938)&gt;0,V938,IF(BU938=1,MAX(1,N(VLOOKUP(T938,Parameter!$I$27:$K$29,3,0)),H938,N(N938)),IF(N(Q938)&gt;0,Q938,MAX(1,H938)))))</f>
        <v>60</v>
      </c>
      <c r="BT938" s="60" t="n">
        <f aca="false">IF(BR938="LOSE",1,0)</f>
        <v>0</v>
      </c>
      <c r="BU938" s="60" t="n">
        <f aca="false">IF(AND(U938="",OR(P938="",P938="LOSE"),T938&lt;&gt;"",N(S938)&lt;=0,ISNUMBER(MATCH(T938,Parameter!$I$27:$I$29,0))),1,0)</f>
        <v>0</v>
      </c>
      <c r="BV938" s="55" t="str">
        <f aca="false">IF(AND(Parameter!$B$19="Ja",E938&lt;&gt;"",ISNUMBER(MATCH(E938,Parameter!$I$35:$I$52,0))),VLOOKUP(E938,Parameter!$I$35:$J$52,2,0),IFERROR(VLOOKUP(D938,Parameter!$A$35:$C$64,2,0),"Nein"))</f>
        <v>2+3</v>
      </c>
      <c r="BW938" s="59" t="n">
        <f aca="false">IF(BT938=0,0,IF(N(S938)&gt;0,S938,IFERROR(VLOOKUP(D938,Parameter!$A$35:$C$64,3,0)+0,0)))</f>
        <v>0</v>
      </c>
      <c r="BX938" s="55" t="n">
        <f aca="false">IF(AA938&lt;&gt;"",AA938,Z938)</f>
        <v>3</v>
      </c>
      <c r="BY938" s="55" t="str">
        <f aca="false">IF(BX938=1,"L1",IF(OR(BX938=2,BX938=3),"L23",IF(BX938="Aussen","Aussen","-")))</f>
        <v>L23</v>
      </c>
      <c r="BZ938" s="66" t="n">
        <f aca="false">IF(N(AB938)&gt;0,AB938,0)</f>
        <v>0</v>
      </c>
      <c r="CA938" s="60" t="n">
        <f aca="false">IF(ISNUMBER(AE938),1,0)</f>
        <v>0</v>
      </c>
      <c r="CB938" s="57" t="n">
        <f aca="false">N(AE938)</f>
        <v>0</v>
      </c>
      <c r="CC938" s="57" t="n">
        <f aca="false">N(M938)+N(N938)</f>
        <v>67</v>
      </c>
      <c r="CD938" s="57" t="n">
        <f aca="false">ROUNDUP(H938/BS938,0)</f>
        <v>1</v>
      </c>
      <c r="CE938" s="57" t="n">
        <f aca="false">ROUNDUP(CB938/BS938,0)</f>
        <v>0</v>
      </c>
      <c r="CF938" s="60" t="n">
        <f aca="false">IF(BT938=1,0,IFERROR(VLOOKUP(BR938,'Gebinde-Kategorie'!$A$5:$M$45,5,0)+0,0))</f>
        <v>8</v>
      </c>
      <c r="CG938" s="60" t="n">
        <f aca="false">IFERROR(IF(OR(BX938=1,BX938=2,BX938=3),N(INDEX(Parameter!$I$5:$I$7,BX938)),0),0)</f>
        <v>0</v>
      </c>
      <c r="CH938" s="59" t="n">
        <f aca="false">IF(AND(Parameter!$B$21="Ja",ISNUMBER(W938),N(X938)&gt;0),IFERROR(N(INDEX(Parameter!$L$5:$L$7,W938))*INDEX(Parameter!$E$5:$E$7,W938)*X938/SUMIFS($X$7:$X$1843,$W$7:$W$1843,W938),0),0)</f>
        <v>0</v>
      </c>
    </row>
    <row r="939" customFormat="false" ht="15" hidden="false" customHeight="false" outlineLevel="0" collapsed="false">
      <c r="A939" s="55" t="s">
        <v>1753</v>
      </c>
      <c r="B939" s="55" t="s">
        <v>589</v>
      </c>
      <c r="C939" s="55" t="s">
        <v>164</v>
      </c>
      <c r="D939" s="55" t="s">
        <v>184</v>
      </c>
      <c r="E939" s="55" t="s">
        <v>185</v>
      </c>
      <c r="F939" s="55" t="s">
        <v>218</v>
      </c>
      <c r="G939" s="56" t="n">
        <v>17.75</v>
      </c>
      <c r="H939" s="57" t="n">
        <f aca="false">MAX(0,IF(AND(Parameter!$B$21="Ja",ISNUMBER(Y939)),Y939,IF(Parameter!$B$20="Jahresanfang 2025 + Export",BL939+BK939,BK939)))</f>
        <v>48</v>
      </c>
      <c r="I939" s="57" t="n">
        <f aca="false">H939*G939</f>
        <v>852</v>
      </c>
      <c r="J939" s="57" t="n">
        <f aca="false">BN939*Parameter!$B$18</f>
        <v>15</v>
      </c>
      <c r="K939" s="58" t="n">
        <v>49.5</v>
      </c>
      <c r="L939" s="59" t="n">
        <v>0.303030303030303</v>
      </c>
      <c r="M939" s="57" t="n">
        <v>1</v>
      </c>
      <c r="N939" s="57" t="n">
        <v>15</v>
      </c>
      <c r="O939" s="60" t="n">
        <v>28</v>
      </c>
      <c r="P939" s="55" t="s">
        <v>426</v>
      </c>
      <c r="Q939" s="57" t="n">
        <v>64</v>
      </c>
      <c r="R939" s="60" t="n">
        <f aca="false">IF(BT939=1,0,IFERROR(VLOOKUP(BR939,'Gebinde-Kategorie'!$A$5:$M$45,13,0)+0,0))</f>
        <v>198</v>
      </c>
      <c r="S939" s="61"/>
      <c r="T939" s="62"/>
      <c r="U939" s="62"/>
      <c r="V939" s="62"/>
      <c r="W939" s="55"/>
      <c r="X939" s="57"/>
      <c r="Y939" s="57"/>
      <c r="Z939" s="55" t="n">
        <f aca="false">IF(A939="","",IF(AND(Parameter!$B$21="Ja",ISNUMBER(W939)),W939,IF(BV939="2+3",IF(ISNUMBER(SEARCH("grosser Artikel",BO939)),2,IFERROR(VLOOKUP(BR939,Parameter!$F$35:$G$64,2,0),2)),IF(OR(BV939="Nein",BV939=""),"-",BV939))))</f>
        <v>3</v>
      </c>
      <c r="AA939" s="62"/>
      <c r="AB939" s="63"/>
      <c r="AC939" s="57" t="n">
        <f aca="false">AR939</f>
        <v>64</v>
      </c>
      <c r="AD939" s="57" t="n">
        <f aca="false">MAX(AR939,H939)</f>
        <v>64</v>
      </c>
      <c r="AE939" s="64"/>
      <c r="AF939" s="57" t="n">
        <f aca="false">IF(LEFT(Cockpit!$C$5,1)="A",H939,IF(CA939=1,CB939,IF(LEFT(Cockpit!$C$5,1)="B",AJ939,MAX(AJ939,H939))))</f>
        <v>48</v>
      </c>
      <c r="AG939" s="57" t="n">
        <f aca="false">IF(BT939=1,0,ROUNDUP(AF939/BS939,0))</f>
        <v>1</v>
      </c>
      <c r="AH939" s="59" t="n">
        <f aca="false">IF(CH939&gt;0,CH939*MAX(1,AF939/X939),IF(BT939=1,IF(AF939&lt;=0,0,BW939*MAX(1,IF(H939&gt;0,AF939/H939,1))),IF(R939&gt;0,AG939/R939,0))/MAX(0.1,N(Parameter!$M$21)))</f>
        <v>0.00505050505050505</v>
      </c>
      <c r="AI939" s="57" t="n">
        <f aca="false">AF939*G939</f>
        <v>852</v>
      </c>
      <c r="AJ939" s="57" t="n">
        <f aca="false">ROUNDUP(MAX(J939/IF(BZ939&gt;0,BZ939,MAX(0.1,N(Cockpit!$C$6))),CC939)/BS939,0)*BS939</f>
        <v>64</v>
      </c>
      <c r="AK939" s="58" t="n">
        <f aca="false">IF(AH939&gt;0,J939/AH939,-1)</f>
        <v>2970</v>
      </c>
      <c r="AL939" s="58" t="n">
        <f aca="false">IF(AND(OR(BY939="L1",BY939="L23"),AH939&gt;0),SUMIFS($AH$7:$AH$1843,$BY$7:$BY$1843,BY939,$AK$7:$AK$1843,"&gt;"&amp;AK939)+SUMIFS($AH$7:$AH$1843,$BY$7:$BY$1843,BY939,$AK$7:$AK$1843,AK939,$BQ$7:$BQ$1843,"&lt;="&amp;BQ939),"")</f>
        <v>10.7030167899733</v>
      </c>
      <c r="AM939" s="65" t="n">
        <f aca="false">IF(AL939="",0,MAX(0,MIN(1,(IF(BY939="L1",Parameter!$E$5,Parameter!$E$6+Parameter!$E$7)-(AL939-AH939))/AH939)))</f>
        <v>1</v>
      </c>
      <c r="AN939" s="57" t="n">
        <f aca="false">IF(LEFT(Cockpit!$I$5,1)="A",H939,IF(CA939=1,CB939,IF(LEFT(Cockpit!$I$5,1)="B",AR939,MAX(AR939,H939))))</f>
        <v>64</v>
      </c>
      <c r="AO939" s="57" t="n">
        <f aca="false">IF(BT939=1,0,ROUNDUP(AN939/BS939,0))</f>
        <v>1</v>
      </c>
      <c r="AP939" s="59" t="n">
        <f aca="false">IF(CH939&gt;0,CH939*MAX(1,AN939/X939),IF(BT939=1,IF(AN939&lt;=0,0,BW939*MAX(1,IF(H939&gt;0,AN939/H939,1))),IF(R939&gt;0,AO939/R939,0))/MAX(0.1,N(Parameter!$M$21)))</f>
        <v>0.00505050505050505</v>
      </c>
      <c r="AQ939" s="57" t="n">
        <f aca="false">AN939*G939</f>
        <v>1136</v>
      </c>
      <c r="AR939" s="57" t="n">
        <f aca="false">ROUNDUP(MAX(J939/IF(BZ939&gt;0,BZ939,MAX(0.1,N(Cockpit!$I$6))),CC939)/BS939,0)*BS939</f>
        <v>64</v>
      </c>
      <c r="AS939" s="58" t="n">
        <f aca="false">IF(AP939&gt;0,J939/AP939,-1)</f>
        <v>2970</v>
      </c>
      <c r="AT939" s="58" t="n">
        <f aca="false">IF(AND(OR(BY939="L1",BY939="L23"),AP939&gt;0),SUMIFS($AP$7:$AP$1843,$BY$7:$BY$1843,BY939,$AS$7:$AS$1843,"&gt;"&amp;AS939)+SUMIFS($AP$7:$AP$1843,$BY$7:$BY$1843,BY939,$AS$7:$AS$1843,AS939,$BQ$7:$BQ$1843,"&lt;="&amp;BQ939),"")</f>
        <v>15.5595081247255</v>
      </c>
      <c r="AU939" s="65" t="n">
        <f aca="false">IF(AT939="",0,MAX(0,MIN(1,(IF(BY939="L1",Parameter!$E$5,Parameter!$E$6+Parameter!$E$7)-(AT939-AP939))/AP939)))</f>
        <v>1</v>
      </c>
      <c r="AV939" s="57" t="n">
        <f aca="false">IF(LEFT(Cockpit!$O$5,1)="A",H939,IF(CA939=1,CB939,IF(LEFT(Cockpit!$O$5,1)="B",AZ939,MAX(AZ939,H939))))</f>
        <v>64</v>
      </c>
      <c r="AW939" s="57" t="n">
        <f aca="false">IF(BT939=1,0,ROUNDUP(AV939/BS939,0))</f>
        <v>1</v>
      </c>
      <c r="AX939" s="59" t="n">
        <f aca="false">IF(CH939&gt;0,CH939*MAX(1,AV939/X939),IF(BT939=1,IF(AV939&lt;=0,0,BW939*MAX(1,IF(H939&gt;0,AV939/H939,1))),IF(R939&gt;0,AW939/R939,0))/MAX(0.1,N(Parameter!$M$21)))</f>
        <v>0.00505050505050505</v>
      </c>
      <c r="AY939" s="57" t="n">
        <f aca="false">AV939*G939</f>
        <v>1136</v>
      </c>
      <c r="AZ939" s="57" t="n">
        <f aca="false">ROUNDUP(MAX(J939/IF(BZ939&gt;0,BZ939,MAX(0.1,N(Cockpit!$O$6))),CC939)/BS939,0)*BS939</f>
        <v>64</v>
      </c>
      <c r="BA939" s="58" t="n">
        <f aca="false">IF(AX939&gt;0,J939/AX939,-1)</f>
        <v>2970</v>
      </c>
      <c r="BB939" s="58" t="n">
        <f aca="false">IF(AND(OR(BY939="L1",BY939="L23"),AX939&gt;0),SUMIFS($AX$7:$AX$1843,$BY$7:$BY$1843,BY939,$BA$7:$BA$1843,"&gt;"&amp;BA939)+SUMIFS($AX$7:$AX$1843,$BY$7:$BY$1843,BY939,$BA$7:$BA$1843,BA939,$BQ$7:$BQ$1843,"&lt;="&amp;BQ939),"")</f>
        <v>14.1265244417418</v>
      </c>
      <c r="BC939" s="65" t="n">
        <f aca="false">IF(BB939="",0,MAX(0,MIN(1,(IF(BY939="L1",Parameter!$E$5,Parameter!$E$6+Parameter!$E$7)-(BB939-AX939))/AX939)))</f>
        <v>1</v>
      </c>
      <c r="BD939" s="55" t="str">
        <f aca="false">IF(AH939&lt;=0,"",IF(BY939="Aussen","Aussenlager",IF(BY939="-","Nicht im Lift",IF(AM939&gt;=1,"Lift",IF(AM939&lt;=0,"Aussenlager","teilweise")))))</f>
        <v>Lift</v>
      </c>
      <c r="BE939" s="55" t="str">
        <f aca="false">IF(AP939&lt;=0,"",IF(BY939="Aussen","Aussenlager",IF(BY939="-","Nicht im Lift",IF(AU939&gt;=1,"Lift",IF(AU939&lt;=0,"Aussenlager","teilweise")))))</f>
        <v>Lift</v>
      </c>
      <c r="BF939" s="55" t="str">
        <f aca="false">IF(AX939&lt;=0,"",IF(BY939="Aussen","Aussenlager",IF(BY939="-","Nicht im Lift",IF(BC939&gt;=1,"Lift",IF(BC939&lt;=0,"Aussenlager","teilweise")))))</f>
        <v>Lift</v>
      </c>
      <c r="BG939" s="55" t="str">
        <f aca="false">IF(A939="","",IF(BP939=1,"Neu; ","")&amp;IF(AND(BP939=0,BK939&lt;0),"negativer Bestand (Export "&amp;BK939&amp;"); ","")&amp;IF(J939&lt;=0,"Kein Verbrauch; ","")&amp;IF(CH939&gt;0,"Lift "&amp;W939&amp;" lt. Liftbericht (Fach "&amp;X939&amp;" Stk); ",IF(BU939=1,"Gebinde geschätzt ("&amp;T939&amp;"); ",IF(BT939=1,"Lose – Tablare geschätzt; ","")))&amp;IF(H939&gt;AR939,"Überbestand "&amp;ROUND(H939-AR939,0)&amp;" Stk / CHF "&amp;ROUND((H939-AR939)*G939,0)&amp;"; ","")&amp;IF(AND(CA939=1,CB939&lt;CC939),"MAX &lt; MB+LG; ","")&amp;IF(AND(CG939&gt;0,CF939*10&gt;CG939),"zu hoch für Tablar; ","")&amp;IF(AND(BP939=0,OR(CA939=1,AA939&lt;&gt;"",U939&lt;&gt;"",V939&lt;&gt;"",AB939&lt;&gt;"")),"manuell übersteuert; ","")&amp;IF(AND(BT939=0,R939=0),"Gebinde unbekannt / Stellmass fehlt; ","")&amp;IF(AND(BT939=0,N(V939)&lt;=0,N(Q939)&lt;=0),"Menge pro Gebinde fehlt (Ist = 1 Gebinde); ","")&amp;BO939)</f>
        <v>negativer Bestand (Export -3); twin</v>
      </c>
      <c r="BH939" s="55"/>
      <c r="BI939" s="55"/>
      <c r="BJ939" s="62"/>
      <c r="BK939" s="57" t="n">
        <v>-3</v>
      </c>
      <c r="BL939" s="57" t="n">
        <v>51</v>
      </c>
      <c r="BM939" s="56" t="n">
        <v>-53.25</v>
      </c>
      <c r="BN939" s="57" t="n">
        <v>15</v>
      </c>
      <c r="BO939" s="55" t="s">
        <v>1741</v>
      </c>
      <c r="BP939" s="60" t="n">
        <v>0</v>
      </c>
      <c r="BQ939" s="60" t="n">
        <v>939</v>
      </c>
      <c r="BR939" s="55" t="str">
        <f aca="false">IF(U939&lt;&gt;"",UPPER(TRIM(U939)),IF(BU939=1,UPPER(VLOOKUP(T939,Parameter!$I$27:$K$29,2,0)),IF(P939="","LOSE",P939)))</f>
        <v>S22</v>
      </c>
      <c r="BS939" s="57" t="n">
        <f aca="false">IF(BR939="LOSE",1,IF(N(V939)&gt;0,V939,IF(BU939=1,MAX(1,N(VLOOKUP(T939,Parameter!$I$27:$K$29,3,0)),H939,N(N939)),IF(N(Q939)&gt;0,Q939,MAX(1,H939)))))</f>
        <v>64</v>
      </c>
      <c r="BT939" s="60" t="n">
        <f aca="false">IF(BR939="LOSE",1,0)</f>
        <v>0</v>
      </c>
      <c r="BU939" s="60" t="n">
        <f aca="false">IF(AND(U939="",OR(P939="",P939="LOSE"),T939&lt;&gt;"",N(S939)&lt;=0,ISNUMBER(MATCH(T939,Parameter!$I$27:$I$29,0))),1,0)</f>
        <v>0</v>
      </c>
      <c r="BV939" s="55" t="str">
        <f aca="false">IF(AND(Parameter!$B$19="Ja",E939&lt;&gt;"",ISNUMBER(MATCH(E939,Parameter!$I$35:$I$52,0))),VLOOKUP(E939,Parameter!$I$35:$J$52,2,0),IFERROR(VLOOKUP(D939,Parameter!$A$35:$C$64,2,0),"Nein"))</f>
        <v>2+3</v>
      </c>
      <c r="BW939" s="59" t="n">
        <f aca="false">IF(BT939=0,0,IF(N(S939)&gt;0,S939,IFERROR(VLOOKUP(D939,Parameter!$A$35:$C$64,3,0)+0,0)))</f>
        <v>0</v>
      </c>
      <c r="BX939" s="55" t="n">
        <f aca="false">IF(AA939&lt;&gt;"",AA939,Z939)</f>
        <v>3</v>
      </c>
      <c r="BY939" s="55" t="str">
        <f aca="false">IF(BX939=1,"L1",IF(OR(BX939=2,BX939=3),"L23",IF(BX939="Aussen","Aussen","-")))</f>
        <v>L23</v>
      </c>
      <c r="BZ939" s="66" t="n">
        <f aca="false">IF(N(AB939)&gt;0,AB939,0)</f>
        <v>0</v>
      </c>
      <c r="CA939" s="60" t="n">
        <f aca="false">IF(ISNUMBER(AE939),1,0)</f>
        <v>0</v>
      </c>
      <c r="CB939" s="57" t="n">
        <f aca="false">N(AE939)</f>
        <v>0</v>
      </c>
      <c r="CC939" s="57" t="n">
        <f aca="false">N(M939)+N(N939)</f>
        <v>16</v>
      </c>
      <c r="CD939" s="57" t="n">
        <f aca="false">ROUNDUP(H939/BS939,0)</f>
        <v>1</v>
      </c>
      <c r="CE939" s="57" t="n">
        <f aca="false">ROUNDUP(CB939/BS939,0)</f>
        <v>0</v>
      </c>
      <c r="CF939" s="60" t="n">
        <f aca="false">IF(BT939=1,0,IFERROR(VLOOKUP(BR939,'Gebinde-Kategorie'!$A$5:$M$45,5,0)+0,0))</f>
        <v>8</v>
      </c>
      <c r="CG939" s="60" t="n">
        <f aca="false">IFERROR(IF(OR(BX939=1,BX939=2,BX939=3),N(INDEX(Parameter!$I$5:$I$7,BX939)),0),0)</f>
        <v>0</v>
      </c>
      <c r="CH939" s="59" t="n">
        <f aca="false">IF(AND(Parameter!$B$21="Ja",ISNUMBER(W939),N(X939)&gt;0),IFERROR(N(INDEX(Parameter!$L$5:$L$7,W939))*INDEX(Parameter!$E$5:$E$7,W939)*X939/SUMIFS($X$7:$X$1843,$W$7:$W$1843,W939),0),0)</f>
        <v>0</v>
      </c>
    </row>
    <row r="940" customFormat="false" ht="15" hidden="false" customHeight="false" outlineLevel="0" collapsed="false">
      <c r="A940" s="55" t="s">
        <v>1754</v>
      </c>
      <c r="B940" s="55" t="s">
        <v>1755</v>
      </c>
      <c r="C940" s="55" t="s">
        <v>456</v>
      </c>
      <c r="D940" s="55" t="s">
        <v>184</v>
      </c>
      <c r="E940" s="55"/>
      <c r="F940" s="55" t="s">
        <v>218</v>
      </c>
      <c r="G940" s="56" t="n">
        <v>7.7</v>
      </c>
      <c r="H940" s="57" t="n">
        <f aca="false">MAX(0,IF(AND(Parameter!$B$21="Ja",ISNUMBER(Y940)),Y940,IF(Parameter!$B$20="Jahresanfang 2025 + Export",BL940+BK940,BK940)))</f>
        <v>7</v>
      </c>
      <c r="I940" s="57" t="n">
        <f aca="false">H940*G940</f>
        <v>53.9</v>
      </c>
      <c r="J940" s="57" t="n">
        <f aca="false">BN940*Parameter!$B$18</f>
        <v>7</v>
      </c>
      <c r="K940" s="58" t="n">
        <v>7</v>
      </c>
      <c r="L940" s="59" t="n">
        <v>1</v>
      </c>
      <c r="M940" s="57" t="n">
        <v>0</v>
      </c>
      <c r="N940" s="57" t="n">
        <v>5</v>
      </c>
      <c r="O940" s="60" t="n">
        <v>21</v>
      </c>
      <c r="P940" s="55" t="s">
        <v>168</v>
      </c>
      <c r="Q940" s="57"/>
      <c r="R940" s="60" t="n">
        <f aca="false">IF(BT940=1,0,IFERROR(VLOOKUP(BR940,'Gebinde-Kategorie'!$A$5:$M$45,13,0)+0,0))</f>
        <v>26</v>
      </c>
      <c r="S940" s="61"/>
      <c r="T940" s="62" t="s">
        <v>275</v>
      </c>
      <c r="U940" s="62"/>
      <c r="V940" s="62"/>
      <c r="W940" s="55"/>
      <c r="X940" s="57"/>
      <c r="Y940" s="57"/>
      <c r="Z940" s="55" t="n">
        <f aca="false">IF(A940="","",IF(AND(Parameter!$B$21="Ja",ISNUMBER(W940)),W940,IF(BV940="2+3",IF(ISNUMBER(SEARCH("grosser Artikel",BO940)),2,IFERROR(VLOOKUP(BR940,Parameter!$F$35:$G$64,2,0),2)),IF(OR(BV940="Nein",BV940=""),"-",BV940))))</f>
        <v>3</v>
      </c>
      <c r="AA940" s="62"/>
      <c r="AB940" s="63"/>
      <c r="AC940" s="57" t="n">
        <f aca="false">AR940</f>
        <v>20</v>
      </c>
      <c r="AD940" s="57" t="n">
        <f aca="false">MAX(AR940,H940)</f>
        <v>20</v>
      </c>
      <c r="AE940" s="64"/>
      <c r="AF940" s="57" t="n">
        <f aca="false">IF(LEFT(Cockpit!$C$5,1)="A",H940,IF(CA940=1,CB940,IF(LEFT(Cockpit!$C$5,1)="B",AJ940,MAX(AJ940,H940))))</f>
        <v>7</v>
      </c>
      <c r="AG940" s="57" t="n">
        <f aca="false">IF(BT940=1,0,ROUNDUP(AF940/BS940,0))</f>
        <v>1</v>
      </c>
      <c r="AH940" s="59" t="n">
        <f aca="false">IF(CH940&gt;0,CH940*MAX(1,AF940/X940),IF(BT940=1,IF(AF940&lt;=0,0,BW940*MAX(1,IF(H940&gt;0,AF940/H940,1))),IF(R940&gt;0,AG940/R940,0))/MAX(0.1,N(Parameter!$M$21)))</f>
        <v>0.0384615384615385</v>
      </c>
      <c r="AI940" s="57" t="n">
        <f aca="false">AF940*G940</f>
        <v>53.9</v>
      </c>
      <c r="AJ940" s="57" t="n">
        <f aca="false">ROUNDUP(MAX(J940/IF(BZ940&gt;0,BZ940,MAX(0.1,N(Cockpit!$C$6))),CC940)/BS940,0)*BS940</f>
        <v>20</v>
      </c>
      <c r="AK940" s="58" t="n">
        <f aca="false">IF(AH940&gt;0,J940/AH940,-1)</f>
        <v>182</v>
      </c>
      <c r="AL940" s="58" t="n">
        <f aca="false">IF(AND(OR(BY940="L1",BY940="L23"),AH940&gt;0),SUMIFS($AH$7:$AH$1843,$BY$7:$BY$1843,BY940,$AK$7:$AK$1843,"&gt;"&amp;AK940)+SUMIFS($AH$7:$AH$1843,$BY$7:$BY$1843,BY940,$AK$7:$AK$1843,AK940,$BQ$7:$BQ$1843,"&lt;="&amp;BQ940),"")</f>
        <v>32.8488649032127</v>
      </c>
      <c r="AM940" s="65" t="n">
        <f aca="false">IF(AL940="",0,MAX(0,MIN(1,(IF(BY940="L1",Parameter!$E$5,Parameter!$E$6+Parameter!$E$7)-(AL940-AH940))/AH940)))</f>
        <v>1</v>
      </c>
      <c r="AN940" s="57" t="n">
        <f aca="false">IF(LEFT(Cockpit!$I$5,1)="A",H940,IF(CA940=1,CB940,IF(LEFT(Cockpit!$I$5,1)="B",AR940,MAX(AR940,H940))))</f>
        <v>20</v>
      </c>
      <c r="AO940" s="57" t="n">
        <f aca="false">IF(BT940=1,0,ROUNDUP(AN940/BS940,0))</f>
        <v>1</v>
      </c>
      <c r="AP940" s="59" t="n">
        <f aca="false">IF(CH940&gt;0,CH940*MAX(1,AN940/X940),IF(BT940=1,IF(AN940&lt;=0,0,BW940*MAX(1,IF(H940&gt;0,AN940/H940,1))),IF(R940&gt;0,AO940/R940,0))/MAX(0.1,N(Parameter!$M$21)))</f>
        <v>0.0384615384615385</v>
      </c>
      <c r="AQ940" s="57" t="n">
        <f aca="false">AN940*G940</f>
        <v>154</v>
      </c>
      <c r="AR940" s="57" t="n">
        <f aca="false">ROUNDUP(MAX(J940/IF(BZ940&gt;0,BZ940,MAX(0.1,N(Cockpit!$I$6))),CC940)/BS940,0)*BS940</f>
        <v>20</v>
      </c>
      <c r="AS940" s="58" t="n">
        <f aca="false">IF(AP940&gt;0,J940/AP940,-1)</f>
        <v>182</v>
      </c>
      <c r="AT940" s="58" t="n">
        <f aca="false">IF(AND(OR(BY940="L1",BY940="L23"),AP940&gt;0),SUMIFS($AP$7:$AP$1843,$BY$7:$BY$1843,BY940,$AS$7:$AS$1843,"&gt;"&amp;AS940)+SUMIFS($AP$7:$AP$1843,$BY$7:$BY$1843,BY940,$AS$7:$AS$1843,AS940,$BQ$7:$BQ$1843,"&lt;="&amp;BQ940),"")</f>
        <v>47.7992128644303</v>
      </c>
      <c r="AU940" s="65" t="n">
        <f aca="false">IF(AT940="",0,MAX(0,MIN(1,(IF(BY940="L1",Parameter!$E$5,Parameter!$E$6+Parameter!$E$7)-(AT940-AP940))/AP940)))</f>
        <v>1</v>
      </c>
      <c r="AV940" s="57" t="n">
        <f aca="false">IF(LEFT(Cockpit!$O$5,1)="A",H940,IF(CA940=1,CB940,IF(LEFT(Cockpit!$O$5,1)="B",AZ940,MAX(AZ940,H940))))</f>
        <v>20</v>
      </c>
      <c r="AW940" s="57" t="n">
        <f aca="false">IF(BT940=1,0,ROUNDUP(AV940/BS940,0))</f>
        <v>1</v>
      </c>
      <c r="AX940" s="59" t="n">
        <f aca="false">IF(CH940&gt;0,CH940*MAX(1,AV940/X940),IF(BT940=1,IF(AV940&lt;=0,0,BW940*MAX(1,IF(H940&gt;0,AV940/H940,1))),IF(R940&gt;0,AW940/R940,0))/MAX(0.1,N(Parameter!$M$21)))</f>
        <v>0.0384615384615385</v>
      </c>
      <c r="AY940" s="57" t="n">
        <f aca="false">AV940*G940</f>
        <v>154</v>
      </c>
      <c r="AZ940" s="57" t="n">
        <f aca="false">ROUNDUP(MAX(J940/IF(BZ940&gt;0,BZ940,MAX(0.1,N(Cockpit!$O$6))),CC940)/BS940,0)*BS940</f>
        <v>20</v>
      </c>
      <c r="BA940" s="58" t="n">
        <f aca="false">IF(AX940&gt;0,J940/AX940,-1)</f>
        <v>182</v>
      </c>
      <c r="BB940" s="58" t="n">
        <f aca="false">IF(AND(OR(BY940="L1",BY940="L23"),AX940&gt;0),SUMIFS($AX$7:$AX$1843,$BY$7:$BY$1843,BY940,$BA$7:$BA$1843,"&gt;"&amp;BA940)+SUMIFS($AX$7:$AX$1843,$BY$7:$BY$1843,BY940,$BA$7:$BA$1843,BA940,$BQ$7:$BQ$1843,"&lt;="&amp;BQ940),"")</f>
        <v>43.3790496942671</v>
      </c>
      <c r="BC940" s="65" t="n">
        <f aca="false">IF(BB940="",0,MAX(0,MIN(1,(IF(BY940="L1",Parameter!$E$5,Parameter!$E$6+Parameter!$E$7)-(BB940-AX940))/AX940)))</f>
        <v>1</v>
      </c>
      <c r="BD940" s="55" t="str">
        <f aca="false">IF(AH940&lt;=0,"",IF(BY940="Aussen","Aussenlager",IF(BY940="-","Nicht im Lift",IF(AM940&gt;=1,"Lift",IF(AM940&lt;=0,"Aussenlager","teilweise")))))</f>
        <v>Lift</v>
      </c>
      <c r="BE940" s="55" t="str">
        <f aca="false">IF(AP940&lt;=0,"",IF(BY940="Aussen","Aussenlager",IF(BY940="-","Nicht im Lift",IF(AU940&gt;=1,"Lift",IF(AU940&lt;=0,"Aussenlager","teilweise")))))</f>
        <v>Lift</v>
      </c>
      <c r="BF940" s="55" t="str">
        <f aca="false">IF(AX940&lt;=0,"",IF(BY940="Aussen","Aussenlager",IF(BY940="-","Nicht im Lift",IF(BC940&gt;=1,"Lift",IF(BC940&lt;=0,"Aussenlager","teilweise")))))</f>
        <v>Lift</v>
      </c>
      <c r="BG940" s="55" t="str">
        <f aca="false">IF(A940="","",IF(BP940=1,"Neu; ","")&amp;IF(AND(BP940=0,BK940&lt;0),"negativer Bestand (Export "&amp;BK940&amp;"); ","")&amp;IF(J940&lt;=0,"Kein Verbrauch; ","")&amp;IF(CH940&gt;0,"Lift "&amp;W940&amp;" lt. Liftbericht (Fach "&amp;X940&amp;" Stk); ",IF(BU940=1,"Gebinde geschätzt ("&amp;T940&amp;"); ",IF(BT940=1,"Lose – Tablare geschätzt; ","")))&amp;IF(H940&gt;AR940,"Überbestand "&amp;ROUND(H940-AR940,0)&amp;" Stk / CHF "&amp;ROUND((H940-AR940)*G940,0)&amp;"; ","")&amp;IF(AND(CA940=1,CB940&lt;CC940),"MAX &lt; MB+LG; ","")&amp;IF(AND(CG940&gt;0,CF940*10&gt;CG940),"zu hoch für Tablar; ","")&amp;IF(AND(BP940=0,OR(CA940=1,AA940&lt;&gt;"",U940&lt;&gt;"",V940&lt;&gt;"",AB940&lt;&gt;"")),"manuell übersteuert; ","")&amp;IF(AND(BT940=0,R940=0),"Gebinde unbekannt / Stellmass fehlt; ","")&amp;IF(AND(BT940=0,N(V940)&lt;=0,N(Q940)&lt;=0),"Menge pro Gebinde fehlt (Ist = 1 Gebinde); ","")&amp;BO940)</f>
        <v>negativer Bestand (Export -7); Gebinde geschätzt (Klein); Menge pro Gebinde fehlt (Ist = 1 Gebinde); </v>
      </c>
      <c r="BH940" s="55"/>
      <c r="BI940" s="55"/>
      <c r="BJ940" s="62"/>
      <c r="BK940" s="57" t="n">
        <v>-7</v>
      </c>
      <c r="BL940" s="57" t="n">
        <v>14</v>
      </c>
      <c r="BM940" s="56" t="n">
        <v>-53.9</v>
      </c>
      <c r="BN940" s="57" t="n">
        <v>7</v>
      </c>
      <c r="BO940" s="55"/>
      <c r="BP940" s="60" t="n">
        <v>0</v>
      </c>
      <c r="BQ940" s="60" t="n">
        <v>940</v>
      </c>
      <c r="BR940" s="55" t="str">
        <f aca="false">IF(U940&lt;&gt;"",UPPER(TRIM(U940)),IF(BU940=1,UPPER(VLOOKUP(T940,Parameter!$I$27:$K$29,2,0)),IF(P940="","LOSE",P940)))</f>
        <v>S51</v>
      </c>
      <c r="BS940" s="57" t="n">
        <f aca="false">IF(BR940="LOSE",1,IF(N(V940)&gt;0,V940,IF(BU940=1,MAX(1,N(VLOOKUP(T940,Parameter!$I$27:$K$29,3,0)),H940,N(N940)),IF(N(Q940)&gt;0,Q940,MAX(1,H940)))))</f>
        <v>20</v>
      </c>
      <c r="BT940" s="60" t="n">
        <f aca="false">IF(BR940="LOSE",1,0)</f>
        <v>0</v>
      </c>
      <c r="BU940" s="60" t="n">
        <f aca="false">IF(AND(U940="",OR(P940="",P940="LOSE"),T940&lt;&gt;"",N(S940)&lt;=0,ISNUMBER(MATCH(T940,Parameter!$I$27:$I$29,0))),1,0)</f>
        <v>1</v>
      </c>
      <c r="BV940" s="55" t="str">
        <f aca="false">IF(AND(Parameter!$B$19="Ja",E940&lt;&gt;"",ISNUMBER(MATCH(E940,Parameter!$I$35:$I$52,0))),VLOOKUP(E940,Parameter!$I$35:$J$52,2,0),IFERROR(VLOOKUP(D940,Parameter!$A$35:$C$64,2,0),"Nein"))</f>
        <v>2+3</v>
      </c>
      <c r="BW940" s="59" t="n">
        <f aca="false">IF(BT940=0,0,IF(N(S940)&gt;0,S940,IFERROR(VLOOKUP(D940,Parameter!$A$35:$C$64,3,0)+0,0)))</f>
        <v>0</v>
      </c>
      <c r="BX940" s="55" t="n">
        <f aca="false">IF(AA940&lt;&gt;"",AA940,Z940)</f>
        <v>3</v>
      </c>
      <c r="BY940" s="55" t="str">
        <f aca="false">IF(BX940=1,"L1",IF(OR(BX940=2,BX940=3),"L23",IF(BX940="Aussen","Aussen","-")))</f>
        <v>L23</v>
      </c>
      <c r="BZ940" s="66" t="n">
        <f aca="false">IF(N(AB940)&gt;0,AB940,0)</f>
        <v>0</v>
      </c>
      <c r="CA940" s="60" t="n">
        <f aca="false">IF(ISNUMBER(AE940),1,0)</f>
        <v>0</v>
      </c>
      <c r="CB940" s="57" t="n">
        <f aca="false">N(AE940)</f>
        <v>0</v>
      </c>
      <c r="CC940" s="57" t="n">
        <f aca="false">N(M940)+N(N940)</f>
        <v>5</v>
      </c>
      <c r="CD940" s="57" t="n">
        <f aca="false">ROUNDUP(H940/BS940,0)</f>
        <v>1</v>
      </c>
      <c r="CE940" s="57" t="n">
        <f aca="false">ROUNDUP(CB940/BS940,0)</f>
        <v>0</v>
      </c>
      <c r="CF940" s="60" t="n">
        <f aca="false">IF(BT940=1,0,IFERROR(VLOOKUP(BR940,'Gebinde-Kategorie'!$A$5:$M$45,5,0)+0,0))</f>
        <v>11</v>
      </c>
      <c r="CG940" s="60" t="n">
        <f aca="false">IFERROR(IF(OR(BX940=1,BX940=2,BX940=3),N(INDEX(Parameter!$I$5:$I$7,BX940)),0),0)</f>
        <v>0</v>
      </c>
      <c r="CH940" s="59" t="n">
        <f aca="false">IF(AND(Parameter!$B$21="Ja",ISNUMBER(W940),N(X940)&gt;0),IFERROR(N(INDEX(Parameter!$L$5:$L$7,W940))*INDEX(Parameter!$E$5:$E$7,W940)*X940/SUMIFS($X$7:$X$1843,$W$7:$W$1843,W940),0),0)</f>
        <v>0</v>
      </c>
    </row>
    <row r="941" customFormat="false" ht="15" hidden="false" customHeight="false" outlineLevel="0" collapsed="false">
      <c r="A941" s="55" t="s">
        <v>1756</v>
      </c>
      <c r="B941" s="55" t="s">
        <v>405</v>
      </c>
      <c r="C941" s="55" t="s">
        <v>164</v>
      </c>
      <c r="D941" s="55" t="s">
        <v>184</v>
      </c>
      <c r="E941" s="55" t="s">
        <v>185</v>
      </c>
      <c r="F941" s="55" t="s">
        <v>218</v>
      </c>
      <c r="G941" s="56" t="n">
        <v>0.17</v>
      </c>
      <c r="H941" s="57" t="n">
        <f aca="false">MAX(0,IF(AND(Parameter!$B$21="Ja",ISNUMBER(Y941)),Y941,IF(Parameter!$B$20="Jahresanfang 2025 + Export",BL941+BK941,BK941)))</f>
        <v>179</v>
      </c>
      <c r="I941" s="57" t="n">
        <f aca="false">H941*G941</f>
        <v>30.43</v>
      </c>
      <c r="J941" s="57" t="n">
        <f aca="false">BN941*Parameter!$B$18</f>
        <v>1200</v>
      </c>
      <c r="K941" s="58" t="n">
        <v>458</v>
      </c>
      <c r="L941" s="59" t="n">
        <v>2.62008733624454</v>
      </c>
      <c r="M941" s="57" t="n">
        <v>70</v>
      </c>
      <c r="N941" s="57" t="n">
        <v>600</v>
      </c>
      <c r="O941" s="60" t="n">
        <v>21</v>
      </c>
      <c r="P941" s="55" t="s">
        <v>233</v>
      </c>
      <c r="Q941" s="57" t="n">
        <v>884</v>
      </c>
      <c r="R941" s="60" t="n">
        <f aca="false">IF(BT941=1,0,IFERROR(VLOOKUP(BR941,'Gebinde-Kategorie'!$A$5:$M$45,13,0)+0,0))</f>
        <v>26</v>
      </c>
      <c r="S941" s="61"/>
      <c r="T941" s="62"/>
      <c r="U941" s="62"/>
      <c r="V941" s="62"/>
      <c r="W941" s="55"/>
      <c r="X941" s="57"/>
      <c r="Y941" s="57"/>
      <c r="Z941" s="55" t="n">
        <f aca="false">IF(A941="","",IF(AND(Parameter!$B$21="Ja",ISNUMBER(W941)),W941,IF(BV941="2+3",IF(ISNUMBER(SEARCH("grosser Artikel",BO941)),2,IFERROR(VLOOKUP(BR941,Parameter!$F$35:$G$64,2,0),2)),IF(OR(BV941="Nein",BV941=""),"-",BV941))))</f>
        <v>3</v>
      </c>
      <c r="AA941" s="62"/>
      <c r="AB941" s="63"/>
      <c r="AC941" s="57" t="n">
        <f aca="false">AR941</f>
        <v>884</v>
      </c>
      <c r="AD941" s="57" t="n">
        <f aca="false">MAX(AR941,H941)</f>
        <v>884</v>
      </c>
      <c r="AE941" s="64"/>
      <c r="AF941" s="57" t="n">
        <f aca="false">IF(LEFT(Cockpit!$C$5,1)="A",H941,IF(CA941=1,CB941,IF(LEFT(Cockpit!$C$5,1)="B",AJ941,MAX(AJ941,H941))))</f>
        <v>179</v>
      </c>
      <c r="AG941" s="57" t="n">
        <f aca="false">IF(BT941=1,0,ROUNDUP(AF941/BS941,0))</f>
        <v>1</v>
      </c>
      <c r="AH941" s="59" t="n">
        <f aca="false">IF(CH941&gt;0,CH941*MAX(1,AF941/X941),IF(BT941=1,IF(AF941&lt;=0,0,BW941*MAX(1,IF(H941&gt;0,AF941/H941,1))),IF(R941&gt;0,AG941/R941,0))/MAX(0.1,N(Parameter!$M$21)))</f>
        <v>0.0384615384615385</v>
      </c>
      <c r="AI941" s="57" t="n">
        <f aca="false">AF941*G941</f>
        <v>30.43</v>
      </c>
      <c r="AJ941" s="57" t="n">
        <f aca="false">ROUNDUP(MAX(J941/IF(BZ941&gt;0,BZ941,MAX(0.1,N(Cockpit!$C$6))),CC941)/BS941,0)*BS941</f>
        <v>884</v>
      </c>
      <c r="AK941" s="58" t="n">
        <f aca="false">IF(AH941&gt;0,J941/AH941,-1)</f>
        <v>31200</v>
      </c>
      <c r="AL941" s="58" t="n">
        <f aca="false">IF(AND(OR(BY941="L1",BY941="L23"),AH941&gt;0),SUMIFS($AH$7:$AH$1843,$BY$7:$BY$1843,BY941,$AK$7:$AK$1843,"&gt;"&amp;AK941)+SUMIFS($AH$7:$AH$1843,$BY$7:$BY$1843,BY941,$AK$7:$AK$1843,AK941,$BQ$7:$BQ$1843,"&lt;="&amp;BQ941),"")</f>
        <v>2.28211040167562</v>
      </c>
      <c r="AM941" s="65" t="n">
        <f aca="false">IF(AL941="",0,MAX(0,MIN(1,(IF(BY941="L1",Parameter!$E$5,Parameter!$E$6+Parameter!$E$7)-(AL941-AH941))/AH941)))</f>
        <v>1</v>
      </c>
      <c r="AN941" s="57" t="n">
        <f aca="false">IF(LEFT(Cockpit!$I$5,1)="A",H941,IF(CA941=1,CB941,IF(LEFT(Cockpit!$I$5,1)="B",AR941,MAX(AR941,H941))))</f>
        <v>884</v>
      </c>
      <c r="AO941" s="57" t="n">
        <f aca="false">IF(BT941=1,0,ROUNDUP(AN941/BS941,0))</f>
        <v>1</v>
      </c>
      <c r="AP941" s="59" t="n">
        <f aca="false">IF(CH941&gt;0,CH941*MAX(1,AN941/X941),IF(BT941=1,IF(AN941&lt;=0,0,BW941*MAX(1,IF(H941&gt;0,AN941/H941,1))),IF(R941&gt;0,AO941/R941,0))/MAX(0.1,N(Parameter!$M$21)))</f>
        <v>0.0384615384615385</v>
      </c>
      <c r="AQ941" s="57" t="n">
        <f aca="false">AN941*G941</f>
        <v>150.28</v>
      </c>
      <c r="AR941" s="57" t="n">
        <f aca="false">ROUNDUP(MAX(J941/IF(BZ941&gt;0,BZ941,MAX(0.1,N(Cockpit!$I$6))),CC941)/BS941,0)*BS941</f>
        <v>884</v>
      </c>
      <c r="AS941" s="58" t="n">
        <f aca="false">IF(AP941&gt;0,J941/AP941,-1)</f>
        <v>31200</v>
      </c>
      <c r="AT941" s="58" t="n">
        <f aca="false">IF(AND(OR(BY941="L1",BY941="L23"),AP941&gt;0),SUMIFS($AP$7:$AP$1843,$BY$7:$BY$1843,BY941,$AS$7:$AS$1843,"&gt;"&amp;AS941)+SUMIFS($AP$7:$AP$1843,$BY$7:$BY$1843,BY941,$AS$7:$AS$1843,AS941,$BQ$7:$BQ$1843,"&lt;="&amp;BQ941),"")</f>
        <v>2.8672764433634</v>
      </c>
      <c r="AU941" s="65" t="n">
        <f aca="false">IF(AT941="",0,MAX(0,MIN(1,(IF(BY941="L1",Parameter!$E$5,Parameter!$E$6+Parameter!$E$7)-(AT941-AP941))/AP941)))</f>
        <v>1</v>
      </c>
      <c r="AV941" s="57" t="n">
        <f aca="false">IF(LEFT(Cockpit!$O$5,1)="A",H941,IF(CA941=1,CB941,IF(LEFT(Cockpit!$O$5,1)="B",AZ941,MAX(AZ941,H941))))</f>
        <v>884</v>
      </c>
      <c r="AW941" s="57" t="n">
        <f aca="false">IF(BT941=1,0,ROUNDUP(AV941/BS941,0))</f>
        <v>1</v>
      </c>
      <c r="AX941" s="59" t="n">
        <f aca="false">IF(CH941&gt;0,CH941*MAX(1,AV941/X941),IF(BT941=1,IF(AV941&lt;=0,0,BW941*MAX(1,IF(H941&gt;0,AV941/H941,1))),IF(R941&gt;0,AW941/R941,0))/MAX(0.1,N(Parameter!$M$21)))</f>
        <v>0.0384615384615385</v>
      </c>
      <c r="AY941" s="57" t="n">
        <f aca="false">AV941*G941</f>
        <v>150.28</v>
      </c>
      <c r="AZ941" s="57" t="n">
        <f aca="false">ROUNDUP(MAX(J941/IF(BZ941&gt;0,BZ941,MAX(0.1,N(Cockpit!$O$6))),CC941)/BS941,0)*BS941</f>
        <v>884</v>
      </c>
      <c r="BA941" s="58" t="n">
        <f aca="false">IF(AX941&gt;0,J941/AX941,-1)</f>
        <v>31200</v>
      </c>
      <c r="BB941" s="58" t="n">
        <f aca="false">IF(AND(OR(BY941="L1",BY941="L23"),AX941&gt;0),SUMIFS($AX$7:$AX$1843,$BY$7:$BY$1843,BY941,$BA$7:$BA$1843,"&gt;"&amp;BA941)+SUMIFS($AX$7:$AX$1843,$BY$7:$BY$1843,BY941,$BA$7:$BA$1843,BA941,$BQ$7:$BQ$1843,"&lt;="&amp;BQ941),"")</f>
        <v>2.63534171142867</v>
      </c>
      <c r="BC941" s="65" t="n">
        <f aca="false">IF(BB941="",0,MAX(0,MIN(1,(IF(BY941="L1",Parameter!$E$5,Parameter!$E$6+Parameter!$E$7)-(BB941-AX941))/AX941)))</f>
        <v>1</v>
      </c>
      <c r="BD941" s="55" t="str">
        <f aca="false">IF(AH941&lt;=0,"",IF(BY941="Aussen","Aussenlager",IF(BY941="-","Nicht im Lift",IF(AM941&gt;=1,"Lift",IF(AM941&lt;=0,"Aussenlager","teilweise")))))</f>
        <v>Lift</v>
      </c>
      <c r="BE941" s="55" t="str">
        <f aca="false">IF(AP941&lt;=0,"",IF(BY941="Aussen","Aussenlager",IF(BY941="-","Nicht im Lift",IF(AU941&gt;=1,"Lift",IF(AU941&lt;=0,"Aussenlager","teilweise")))))</f>
        <v>Lift</v>
      </c>
      <c r="BF941" s="55" t="str">
        <f aca="false">IF(AX941&lt;=0,"",IF(BY941="Aussen","Aussenlager",IF(BY941="-","Nicht im Lift",IF(BC941&gt;=1,"Lift",IF(BC941&lt;=0,"Aussenlager","teilweise")))))</f>
        <v>Lift</v>
      </c>
      <c r="BG941" s="55" t="str">
        <f aca="false">IF(A941="","",IF(BP941=1,"Neu; ","")&amp;IF(AND(BP941=0,BK941&lt;0),"negativer Bestand (Export "&amp;BK941&amp;"); ","")&amp;IF(J941&lt;=0,"Kein Verbrauch; ","")&amp;IF(CH941&gt;0,"Lift "&amp;W941&amp;" lt. Liftbericht (Fach "&amp;X941&amp;" Stk); ",IF(BU941=1,"Gebinde geschätzt ("&amp;T941&amp;"); ",IF(BT941=1,"Lose – Tablare geschätzt; ","")))&amp;IF(H941&gt;AR941,"Überbestand "&amp;ROUND(H941-AR941,0)&amp;" Stk / CHF "&amp;ROUND((H941-AR941)*G941,0)&amp;"; ","")&amp;IF(AND(CA941=1,CB941&lt;CC941),"MAX &lt; MB+LG; ","")&amp;IF(AND(CG941&gt;0,CF941*10&gt;CG941),"zu hoch für Tablar; ","")&amp;IF(AND(BP941=0,OR(CA941=1,AA941&lt;&gt;"",U941&lt;&gt;"",V941&lt;&gt;"",AB941&lt;&gt;"")),"manuell übersteuert; ","")&amp;IF(AND(BT941=0,R941=0),"Gebinde unbekannt / Stellmass fehlt; ","")&amp;IF(AND(BT941=0,N(V941)&lt;=0,N(Q941)&lt;=0),"Menge pro Gebinde fehlt (Ist = 1 Gebinde); ","")&amp;BO941)</f>
        <v>negativer Bestand (Export -292); </v>
      </c>
      <c r="BH941" s="55"/>
      <c r="BI941" s="55"/>
      <c r="BJ941" s="62"/>
      <c r="BK941" s="57" t="n">
        <v>-292</v>
      </c>
      <c r="BL941" s="57" t="n">
        <v>471</v>
      </c>
      <c r="BM941" s="56" t="n">
        <v>-54.29</v>
      </c>
      <c r="BN941" s="57" t="n">
        <v>1200</v>
      </c>
      <c r="BO941" s="55"/>
      <c r="BP941" s="60" t="n">
        <v>0</v>
      </c>
      <c r="BQ941" s="60" t="n">
        <v>941</v>
      </c>
      <c r="BR941" s="55" t="str">
        <f aca="false">IF(U941&lt;&gt;"",UPPER(TRIM(U941)),IF(BU941=1,UPPER(VLOOKUP(T941,Parameter!$I$27:$K$29,2,0)),IF(P941="","LOSE",P941)))</f>
        <v>S52</v>
      </c>
      <c r="BS941" s="57" t="n">
        <f aca="false">IF(BR941="LOSE",1,IF(N(V941)&gt;0,V941,IF(BU941=1,MAX(1,N(VLOOKUP(T941,Parameter!$I$27:$K$29,3,0)),H941,N(N941)),IF(N(Q941)&gt;0,Q941,MAX(1,H941)))))</f>
        <v>884</v>
      </c>
      <c r="BT941" s="60" t="n">
        <f aca="false">IF(BR941="LOSE",1,0)</f>
        <v>0</v>
      </c>
      <c r="BU941" s="60" t="n">
        <f aca="false">IF(AND(U941="",OR(P941="",P941="LOSE"),T941&lt;&gt;"",N(S941)&lt;=0,ISNUMBER(MATCH(T941,Parameter!$I$27:$I$29,0))),1,0)</f>
        <v>0</v>
      </c>
      <c r="BV941" s="55" t="str">
        <f aca="false">IF(AND(Parameter!$B$19="Ja",E941&lt;&gt;"",ISNUMBER(MATCH(E941,Parameter!$I$35:$I$52,0))),VLOOKUP(E941,Parameter!$I$35:$J$52,2,0),IFERROR(VLOOKUP(D941,Parameter!$A$35:$C$64,2,0),"Nein"))</f>
        <v>2+3</v>
      </c>
      <c r="BW941" s="59" t="n">
        <f aca="false">IF(BT941=0,0,IF(N(S941)&gt;0,S941,IFERROR(VLOOKUP(D941,Parameter!$A$35:$C$64,3,0)+0,0)))</f>
        <v>0</v>
      </c>
      <c r="BX941" s="55" t="n">
        <f aca="false">IF(AA941&lt;&gt;"",AA941,Z941)</f>
        <v>3</v>
      </c>
      <c r="BY941" s="55" t="str">
        <f aca="false">IF(BX941=1,"L1",IF(OR(BX941=2,BX941=3),"L23",IF(BX941="Aussen","Aussen","-")))</f>
        <v>L23</v>
      </c>
      <c r="BZ941" s="66" t="n">
        <f aca="false">IF(N(AB941)&gt;0,AB941,0)</f>
        <v>0</v>
      </c>
      <c r="CA941" s="60" t="n">
        <f aca="false">IF(ISNUMBER(AE941),1,0)</f>
        <v>0</v>
      </c>
      <c r="CB941" s="57" t="n">
        <f aca="false">N(AE941)</f>
        <v>0</v>
      </c>
      <c r="CC941" s="57" t="n">
        <f aca="false">N(M941)+N(N941)</f>
        <v>670</v>
      </c>
      <c r="CD941" s="57" t="n">
        <f aca="false">ROUNDUP(H941/BS941,0)</f>
        <v>1</v>
      </c>
      <c r="CE941" s="57" t="n">
        <f aca="false">ROUNDUP(CB941/BS941,0)</f>
        <v>0</v>
      </c>
      <c r="CF941" s="60" t="n">
        <f aca="false">IF(BT941=1,0,IFERROR(VLOOKUP(BR941,'Gebinde-Kategorie'!$A$5:$M$45,5,0)+0,0))</f>
        <v>21</v>
      </c>
      <c r="CG941" s="60" t="n">
        <f aca="false">IFERROR(IF(OR(BX941=1,BX941=2,BX941=3),N(INDEX(Parameter!$I$5:$I$7,BX941)),0),0)</f>
        <v>0</v>
      </c>
      <c r="CH941" s="59" t="n">
        <f aca="false">IF(AND(Parameter!$B$21="Ja",ISNUMBER(W941),N(X941)&gt;0),IFERROR(N(INDEX(Parameter!$L$5:$L$7,W941))*INDEX(Parameter!$E$5:$E$7,W941)*X941/SUMIFS($X$7:$X$1843,$W$7:$W$1843,W941),0),0)</f>
        <v>0</v>
      </c>
    </row>
    <row r="942" customFormat="false" ht="15" hidden="false" customHeight="false" outlineLevel="0" collapsed="false">
      <c r="A942" s="55" t="s">
        <v>1757</v>
      </c>
      <c r="B942" s="55" t="s">
        <v>1165</v>
      </c>
      <c r="C942" s="55" t="s">
        <v>164</v>
      </c>
      <c r="D942" s="55" t="s">
        <v>184</v>
      </c>
      <c r="E942" s="55" t="s">
        <v>185</v>
      </c>
      <c r="F942" s="55" t="s">
        <v>218</v>
      </c>
      <c r="G942" s="56" t="n">
        <v>18.23</v>
      </c>
      <c r="H942" s="57" t="n">
        <f aca="false">MAX(0,IF(AND(Parameter!$B$21="Ja",ISNUMBER(Y942)),Y942,IF(Parameter!$B$20="Jahresanfang 2025 + Export",BL942+BK942,BK942)))</f>
        <v>4</v>
      </c>
      <c r="I942" s="57" t="n">
        <f aca="false">H942*G942</f>
        <v>72.92</v>
      </c>
      <c r="J942" s="57" t="n">
        <f aca="false">BN942*Parameter!$B$18</f>
        <v>8</v>
      </c>
      <c r="K942" s="58" t="n">
        <v>3.5</v>
      </c>
      <c r="L942" s="59" t="n">
        <v>2.28571428571429</v>
      </c>
      <c r="M942" s="57" t="n">
        <v>0</v>
      </c>
      <c r="N942" s="57" t="n">
        <v>10</v>
      </c>
      <c r="O942" s="60" t="n">
        <v>18</v>
      </c>
      <c r="P942" s="55" t="s">
        <v>476</v>
      </c>
      <c r="Q942" s="57" t="n">
        <v>16</v>
      </c>
      <c r="R942" s="60" t="n">
        <f aca="false">IF(BT942=1,0,IFERROR(VLOOKUP(BR942,'Gebinde-Kategorie'!$A$5:$M$45,13,0)+0,0))</f>
        <v>66</v>
      </c>
      <c r="S942" s="61"/>
      <c r="T942" s="62"/>
      <c r="U942" s="62"/>
      <c r="V942" s="62"/>
      <c r="W942" s="55"/>
      <c r="X942" s="57"/>
      <c r="Y942" s="57"/>
      <c r="Z942" s="55" t="n">
        <f aca="false">IF(A942="","",IF(AND(Parameter!$B$21="Ja",ISNUMBER(W942)),W942,IF(BV942="2+3",IF(ISNUMBER(SEARCH("grosser Artikel",BO942)),2,IFERROR(VLOOKUP(BR942,Parameter!$F$35:$G$64,2,0),2)),IF(OR(BV942="Nein",BV942=""),"-",BV942))))</f>
        <v>3</v>
      </c>
      <c r="AA942" s="62"/>
      <c r="AB942" s="63"/>
      <c r="AC942" s="57" t="n">
        <f aca="false">AR942</f>
        <v>16</v>
      </c>
      <c r="AD942" s="57" t="n">
        <f aca="false">MAX(AR942,H942)</f>
        <v>16</v>
      </c>
      <c r="AE942" s="64"/>
      <c r="AF942" s="57" t="n">
        <f aca="false">IF(LEFT(Cockpit!$C$5,1)="A",H942,IF(CA942=1,CB942,IF(LEFT(Cockpit!$C$5,1)="B",AJ942,MAX(AJ942,H942))))</f>
        <v>4</v>
      </c>
      <c r="AG942" s="57" t="n">
        <f aca="false">IF(BT942=1,0,ROUNDUP(AF942/BS942,0))</f>
        <v>1</v>
      </c>
      <c r="AH942" s="59" t="n">
        <f aca="false">IF(CH942&gt;0,CH942*MAX(1,AF942/X942),IF(BT942=1,IF(AF942&lt;=0,0,BW942*MAX(1,IF(H942&gt;0,AF942/H942,1))),IF(R942&gt;0,AG942/R942,0))/MAX(0.1,N(Parameter!$M$21)))</f>
        <v>0.0151515151515152</v>
      </c>
      <c r="AI942" s="57" t="n">
        <f aca="false">AF942*G942</f>
        <v>72.92</v>
      </c>
      <c r="AJ942" s="57" t="n">
        <f aca="false">ROUNDUP(MAX(J942/IF(BZ942&gt;0,BZ942,MAX(0.1,N(Cockpit!$C$6))),CC942)/BS942,0)*BS942</f>
        <v>16</v>
      </c>
      <c r="AK942" s="58" t="n">
        <f aca="false">IF(AH942&gt;0,J942/AH942,-1)</f>
        <v>528</v>
      </c>
      <c r="AL942" s="58" t="n">
        <f aca="false">IF(AND(OR(BY942="L1",BY942="L23"),AH942&gt;0),SUMIFS($AH$7:$AH$1843,$BY$7:$BY$1843,BY942,$AK$7:$AK$1843,"&gt;"&amp;AK942)+SUMIFS($AH$7:$AH$1843,$BY$7:$BY$1843,BY942,$AK$7:$AK$1843,AK942,$BQ$7:$BQ$1843,"&lt;="&amp;BQ942),"")</f>
        <v>23.761655011655</v>
      </c>
      <c r="AM942" s="65" t="n">
        <f aca="false">IF(AL942="",0,MAX(0,MIN(1,(IF(BY942="L1",Parameter!$E$5,Parameter!$E$6+Parameter!$E$7)-(AL942-AH942))/AH942)))</f>
        <v>1</v>
      </c>
      <c r="AN942" s="57" t="n">
        <f aca="false">IF(LEFT(Cockpit!$I$5,1)="A",H942,IF(CA942=1,CB942,IF(LEFT(Cockpit!$I$5,1)="B",AR942,MAX(AR942,H942))))</f>
        <v>16</v>
      </c>
      <c r="AO942" s="57" t="n">
        <f aca="false">IF(BT942=1,0,ROUNDUP(AN942/BS942,0))</f>
        <v>1</v>
      </c>
      <c r="AP942" s="59" t="n">
        <f aca="false">IF(CH942&gt;0,CH942*MAX(1,AN942/X942),IF(BT942=1,IF(AN942&lt;=0,0,BW942*MAX(1,IF(H942&gt;0,AN942/H942,1))),IF(R942&gt;0,AO942/R942,0))/MAX(0.1,N(Parameter!$M$21)))</f>
        <v>0.0151515151515152</v>
      </c>
      <c r="AQ942" s="57" t="n">
        <f aca="false">AN942*G942</f>
        <v>291.68</v>
      </c>
      <c r="AR942" s="57" t="n">
        <f aca="false">ROUNDUP(MAX(J942/IF(BZ942&gt;0,BZ942,MAX(0.1,N(Cockpit!$I$6))),CC942)/BS942,0)*BS942</f>
        <v>16</v>
      </c>
      <c r="AS942" s="58" t="n">
        <f aca="false">IF(AP942&gt;0,J942/AP942,-1)</f>
        <v>528</v>
      </c>
      <c r="AT942" s="58" t="n">
        <f aca="false">IF(AND(OR(BY942="L1",BY942="L23"),AP942&gt;0),SUMIFS($AP$7:$AP$1843,$BY$7:$BY$1843,BY942,$AS$7:$AS$1843,"&gt;"&amp;AS942)+SUMIFS($AP$7:$AP$1843,$BY$7:$BY$1843,BY942,$AS$7:$AS$1843,AS942,$BQ$7:$BQ$1843,"&lt;="&amp;BQ942),"")</f>
        <v>32.5104810648289</v>
      </c>
      <c r="AU942" s="65" t="n">
        <f aca="false">IF(AT942="",0,MAX(0,MIN(1,(IF(BY942="L1",Parameter!$E$5,Parameter!$E$6+Parameter!$E$7)-(AT942-AP942))/AP942)))</f>
        <v>1</v>
      </c>
      <c r="AV942" s="57" t="n">
        <f aca="false">IF(LEFT(Cockpit!$O$5,1)="A",H942,IF(CA942=1,CB942,IF(LEFT(Cockpit!$O$5,1)="B",AZ942,MAX(AZ942,H942))))</f>
        <v>16</v>
      </c>
      <c r="AW942" s="57" t="n">
        <f aca="false">IF(BT942=1,0,ROUNDUP(AV942/BS942,0))</f>
        <v>1</v>
      </c>
      <c r="AX942" s="59" t="n">
        <f aca="false">IF(CH942&gt;0,CH942*MAX(1,AV942/X942),IF(BT942=1,IF(AV942&lt;=0,0,BW942*MAX(1,IF(H942&gt;0,AV942/H942,1))),IF(R942&gt;0,AW942/R942,0))/MAX(0.1,N(Parameter!$M$21)))</f>
        <v>0.0151515151515152</v>
      </c>
      <c r="AY942" s="57" t="n">
        <f aca="false">AV942*G942</f>
        <v>291.68</v>
      </c>
      <c r="AZ942" s="57" t="n">
        <f aca="false">ROUNDUP(MAX(J942/IF(BZ942&gt;0,BZ942,MAX(0.1,N(Cockpit!$O$6))),CC942)/BS942,0)*BS942</f>
        <v>16</v>
      </c>
      <c r="BA942" s="58" t="n">
        <f aca="false">IF(AX942&gt;0,J942/AX942,-1)</f>
        <v>528</v>
      </c>
      <c r="BB942" s="58" t="n">
        <f aca="false">IF(AND(OR(BY942="L1",BY942="L23"),AX942&gt;0),SUMIFS($AX$7:$AX$1843,$BY$7:$BY$1843,BY942,$BA$7:$BA$1843,"&gt;"&amp;BA942)+SUMIFS($AX$7:$AX$1843,$BY$7:$BY$1843,BY942,$BA$7:$BA$1843,BA942,$BQ$7:$BQ$1843,"&lt;="&amp;BQ942),"")</f>
        <v>30.0774973818452</v>
      </c>
      <c r="BC942" s="65" t="n">
        <f aca="false">IF(BB942="",0,MAX(0,MIN(1,(IF(BY942="L1",Parameter!$E$5,Parameter!$E$6+Parameter!$E$7)-(BB942-AX942))/AX942)))</f>
        <v>1</v>
      </c>
      <c r="BD942" s="55" t="str">
        <f aca="false">IF(AH942&lt;=0,"",IF(BY942="Aussen","Aussenlager",IF(BY942="-","Nicht im Lift",IF(AM942&gt;=1,"Lift",IF(AM942&lt;=0,"Aussenlager","teilweise")))))</f>
        <v>Lift</v>
      </c>
      <c r="BE942" s="55" t="str">
        <f aca="false">IF(AP942&lt;=0,"",IF(BY942="Aussen","Aussenlager",IF(BY942="-","Nicht im Lift",IF(AU942&gt;=1,"Lift",IF(AU942&lt;=0,"Aussenlager","teilweise")))))</f>
        <v>Lift</v>
      </c>
      <c r="BF942" s="55" t="str">
        <f aca="false">IF(AX942&lt;=0,"",IF(BY942="Aussen","Aussenlager",IF(BY942="-","Nicht im Lift",IF(BC942&gt;=1,"Lift",IF(BC942&lt;=0,"Aussenlager","teilweise")))))</f>
        <v>Lift</v>
      </c>
      <c r="BG942" s="55" t="str">
        <f aca="false">IF(A942="","",IF(BP942=1,"Neu; ","")&amp;IF(AND(BP942=0,BK942&lt;0),"negativer Bestand (Export "&amp;BK942&amp;"); ","")&amp;IF(J942&lt;=0,"Kein Verbrauch; ","")&amp;IF(CH942&gt;0,"Lift "&amp;W942&amp;" lt. Liftbericht (Fach "&amp;X942&amp;" Stk); ",IF(BU942=1,"Gebinde geschätzt ("&amp;T942&amp;"); ",IF(BT942=1,"Lose – Tablare geschätzt; ","")))&amp;IF(H942&gt;AR942,"Überbestand "&amp;ROUND(H942-AR942,0)&amp;" Stk / CHF "&amp;ROUND((H942-AR942)*G942,0)&amp;"; ","")&amp;IF(AND(CA942=1,CB942&lt;CC942),"MAX &lt; MB+LG; ","")&amp;IF(AND(CG942&gt;0,CF942*10&gt;CG942),"zu hoch für Tablar; ","")&amp;IF(AND(BP942=0,OR(CA942=1,AA942&lt;&gt;"",U942&lt;&gt;"",V942&lt;&gt;"",AB942&lt;&gt;"")),"manuell übersteuert; ","")&amp;IF(AND(BT942=0,R942=0),"Gebinde unbekannt / Stellmass fehlt; ","")&amp;IF(AND(BT942=0,N(V942)&lt;=0,N(Q942)&lt;=0),"Menge pro Gebinde fehlt (Ist = 1 Gebinde); ","")&amp;BO942)</f>
        <v>negativer Bestand (Export -1); </v>
      </c>
      <c r="BH942" s="55"/>
      <c r="BI942" s="55"/>
      <c r="BJ942" s="62"/>
      <c r="BK942" s="57" t="n">
        <v>-1</v>
      </c>
      <c r="BL942" s="57" t="n">
        <v>5</v>
      </c>
      <c r="BM942" s="56" t="n">
        <v>-54.78</v>
      </c>
      <c r="BN942" s="57" t="n">
        <v>8</v>
      </c>
      <c r="BO942" s="55"/>
      <c r="BP942" s="60" t="n">
        <v>0</v>
      </c>
      <c r="BQ942" s="60" t="n">
        <v>942</v>
      </c>
      <c r="BR942" s="55" t="str">
        <f aca="false">IF(U942&lt;&gt;"",UPPER(TRIM(U942)),IF(BU942=1,UPPER(VLOOKUP(T942,Parameter!$I$27:$K$29,2,0)),IF(P942="","LOSE",P942)))</f>
        <v>S33</v>
      </c>
      <c r="BS942" s="57" t="n">
        <f aca="false">IF(BR942="LOSE",1,IF(N(V942)&gt;0,V942,IF(BU942=1,MAX(1,N(VLOOKUP(T942,Parameter!$I$27:$K$29,3,0)),H942,N(N942)),IF(N(Q942)&gt;0,Q942,MAX(1,H942)))))</f>
        <v>16</v>
      </c>
      <c r="BT942" s="60" t="n">
        <f aca="false">IF(BR942="LOSE",1,0)</f>
        <v>0</v>
      </c>
      <c r="BU942" s="60" t="n">
        <f aca="false">IF(AND(U942="",OR(P942="",P942="LOSE"),T942&lt;&gt;"",N(S942)&lt;=0,ISNUMBER(MATCH(T942,Parameter!$I$27:$I$29,0))),1,0)</f>
        <v>0</v>
      </c>
      <c r="BV942" s="55" t="str">
        <f aca="false">IF(AND(Parameter!$B$19="Ja",E942&lt;&gt;"",ISNUMBER(MATCH(E942,Parameter!$I$35:$I$52,0))),VLOOKUP(E942,Parameter!$I$35:$J$52,2,0),IFERROR(VLOOKUP(D942,Parameter!$A$35:$C$64,2,0),"Nein"))</f>
        <v>2+3</v>
      </c>
      <c r="BW942" s="59" t="n">
        <f aca="false">IF(BT942=0,0,IF(N(S942)&gt;0,S942,IFERROR(VLOOKUP(D942,Parameter!$A$35:$C$64,3,0)+0,0)))</f>
        <v>0</v>
      </c>
      <c r="BX942" s="55" t="n">
        <f aca="false">IF(AA942&lt;&gt;"",AA942,Z942)</f>
        <v>3</v>
      </c>
      <c r="BY942" s="55" t="str">
        <f aca="false">IF(BX942=1,"L1",IF(OR(BX942=2,BX942=3),"L23",IF(BX942="Aussen","Aussen","-")))</f>
        <v>L23</v>
      </c>
      <c r="BZ942" s="66" t="n">
        <f aca="false">IF(N(AB942)&gt;0,AB942,0)</f>
        <v>0</v>
      </c>
      <c r="CA942" s="60" t="n">
        <f aca="false">IF(ISNUMBER(AE942),1,0)</f>
        <v>0</v>
      </c>
      <c r="CB942" s="57" t="n">
        <f aca="false">N(AE942)</f>
        <v>0</v>
      </c>
      <c r="CC942" s="57" t="n">
        <f aca="false">N(M942)+N(N942)</f>
        <v>10</v>
      </c>
      <c r="CD942" s="57" t="n">
        <f aca="false">ROUNDUP(H942/BS942,0)</f>
        <v>1</v>
      </c>
      <c r="CE942" s="57" t="n">
        <f aca="false">ROUNDUP(CB942/BS942,0)</f>
        <v>0</v>
      </c>
      <c r="CF942" s="60" t="n">
        <f aca="false">IF(BT942=1,0,IFERROR(VLOOKUP(BR942,'Gebinde-Kategorie'!$A$5:$M$45,5,0)+0,0))</f>
        <v>8</v>
      </c>
      <c r="CG942" s="60" t="n">
        <f aca="false">IFERROR(IF(OR(BX942=1,BX942=2,BX942=3),N(INDEX(Parameter!$I$5:$I$7,BX942)),0),0)</f>
        <v>0</v>
      </c>
      <c r="CH942" s="59" t="n">
        <f aca="false">IF(AND(Parameter!$B$21="Ja",ISNUMBER(W942),N(X942)&gt;0),IFERROR(N(INDEX(Parameter!$L$5:$L$7,W942))*INDEX(Parameter!$E$5:$E$7,W942)*X942/SUMIFS($X$7:$X$1843,$W$7:$W$1843,W942),0),0)</f>
        <v>0</v>
      </c>
    </row>
    <row r="943" customFormat="false" ht="15" hidden="false" customHeight="false" outlineLevel="0" collapsed="false">
      <c r="A943" s="55" t="s">
        <v>1758</v>
      </c>
      <c r="B943" s="55" t="s">
        <v>1759</v>
      </c>
      <c r="C943" s="55" t="s">
        <v>456</v>
      </c>
      <c r="D943" s="55" t="s">
        <v>184</v>
      </c>
      <c r="E943" s="55"/>
      <c r="F943" s="55" t="s">
        <v>218</v>
      </c>
      <c r="G943" s="56" t="n">
        <v>2.05</v>
      </c>
      <c r="H943" s="57" t="n">
        <f aca="false">MAX(0,IF(AND(Parameter!$B$21="Ja",ISNUMBER(Y943)),Y943,IF(Parameter!$B$20="Jahresanfang 2025 + Export",BL943+BK943,BK943)))</f>
        <v>27</v>
      </c>
      <c r="I943" s="57" t="n">
        <f aca="false">H943*G943</f>
        <v>55.35</v>
      </c>
      <c r="J943" s="57" t="n">
        <f aca="false">BN943*Parameter!$B$18</f>
        <v>27</v>
      </c>
      <c r="K943" s="58" t="n">
        <v>27</v>
      </c>
      <c r="L943" s="59" t="n">
        <v>1</v>
      </c>
      <c r="M943" s="57" t="n">
        <v>1</v>
      </c>
      <c r="N943" s="57" t="n">
        <v>25</v>
      </c>
      <c r="O943" s="60" t="n">
        <v>21</v>
      </c>
      <c r="P943" s="55" t="s">
        <v>168</v>
      </c>
      <c r="Q943" s="57"/>
      <c r="R943" s="60" t="n">
        <f aca="false">IF(BT943=1,0,IFERROR(VLOOKUP(BR943,'Gebinde-Kategorie'!$A$5:$M$45,13,0)+0,0))</f>
        <v>26</v>
      </c>
      <c r="S943" s="61"/>
      <c r="T943" s="62" t="s">
        <v>275</v>
      </c>
      <c r="U943" s="62"/>
      <c r="V943" s="62"/>
      <c r="W943" s="55"/>
      <c r="X943" s="57"/>
      <c r="Y943" s="57"/>
      <c r="Z943" s="55" t="n">
        <f aca="false">IF(A943="","",IF(AND(Parameter!$B$21="Ja",ISNUMBER(W943)),W943,IF(BV943="2+3",IF(ISNUMBER(SEARCH("grosser Artikel",BO943)),2,IFERROR(VLOOKUP(BR943,Parameter!$F$35:$G$64,2,0),2)),IF(OR(BV943="Nein",BV943=""),"-",BV943))))</f>
        <v>3</v>
      </c>
      <c r="AA943" s="62"/>
      <c r="AB943" s="63"/>
      <c r="AC943" s="57" t="n">
        <f aca="false">AR943</f>
        <v>27</v>
      </c>
      <c r="AD943" s="57" t="n">
        <f aca="false">MAX(AR943,H943)</f>
        <v>27</v>
      </c>
      <c r="AE943" s="64"/>
      <c r="AF943" s="57" t="n">
        <f aca="false">IF(LEFT(Cockpit!$C$5,1)="A",H943,IF(CA943=1,CB943,IF(LEFT(Cockpit!$C$5,1)="B",AJ943,MAX(AJ943,H943))))</f>
        <v>27</v>
      </c>
      <c r="AG943" s="57" t="n">
        <f aca="false">IF(BT943=1,0,ROUNDUP(AF943/BS943,0))</f>
        <v>1</v>
      </c>
      <c r="AH943" s="59" t="n">
        <f aca="false">IF(CH943&gt;0,CH943*MAX(1,AF943/X943),IF(BT943=1,IF(AF943&lt;=0,0,BW943*MAX(1,IF(H943&gt;0,AF943/H943,1))),IF(R943&gt;0,AG943/R943,0))/MAX(0.1,N(Parameter!$M$21)))</f>
        <v>0.0384615384615385</v>
      </c>
      <c r="AI943" s="57" t="n">
        <f aca="false">AF943*G943</f>
        <v>55.35</v>
      </c>
      <c r="AJ943" s="57" t="n">
        <f aca="false">ROUNDUP(MAX(J943/IF(BZ943&gt;0,BZ943,MAX(0.1,N(Cockpit!$C$6))),CC943)/BS943,0)*BS943</f>
        <v>27</v>
      </c>
      <c r="AK943" s="58" t="n">
        <f aca="false">IF(AH943&gt;0,J943/AH943,-1)</f>
        <v>702</v>
      </c>
      <c r="AL943" s="58" t="n">
        <f aca="false">IF(AND(OR(BY943="L1",BY943="L23"),AH943&gt;0),SUMIFS($AH$7:$AH$1843,$BY$7:$BY$1843,BY943,$AK$7:$AK$1843,"&gt;"&amp;AK943)+SUMIFS($AH$7:$AH$1843,$BY$7:$BY$1843,BY943,$AK$7:$AK$1843,AK943,$BQ$7:$BQ$1843,"&lt;="&amp;BQ943),"")</f>
        <v>22.2070707070707</v>
      </c>
      <c r="AM943" s="65" t="n">
        <f aca="false">IF(AL943="",0,MAX(0,MIN(1,(IF(BY943="L1",Parameter!$E$5,Parameter!$E$6+Parameter!$E$7)-(AL943-AH943))/AH943)))</f>
        <v>1</v>
      </c>
      <c r="AN943" s="57" t="n">
        <f aca="false">IF(LEFT(Cockpit!$I$5,1)="A",H943,IF(CA943=1,CB943,IF(LEFT(Cockpit!$I$5,1)="B",AR943,MAX(AR943,H943))))</f>
        <v>27</v>
      </c>
      <c r="AO943" s="57" t="n">
        <f aca="false">IF(BT943=1,0,ROUNDUP(AN943/BS943,0))</f>
        <v>1</v>
      </c>
      <c r="AP943" s="59" t="n">
        <f aca="false">IF(CH943&gt;0,CH943*MAX(1,AN943/X943),IF(BT943=1,IF(AN943&lt;=0,0,BW943*MAX(1,IF(H943&gt;0,AN943/H943,1))),IF(R943&gt;0,AO943/R943,0))/MAX(0.1,N(Parameter!$M$21)))</f>
        <v>0.0384615384615385</v>
      </c>
      <c r="AQ943" s="57" t="n">
        <f aca="false">AN943*G943</f>
        <v>55.35</v>
      </c>
      <c r="AR943" s="57" t="n">
        <f aca="false">ROUNDUP(MAX(J943/IF(BZ943&gt;0,BZ943,MAX(0.1,N(Cockpit!$I$6))),CC943)/BS943,0)*BS943</f>
        <v>27</v>
      </c>
      <c r="AS943" s="58" t="n">
        <f aca="false">IF(AP943&gt;0,J943/AP943,-1)</f>
        <v>702</v>
      </c>
      <c r="AT943" s="58" t="n">
        <f aca="false">IF(AND(OR(BY943="L1",BY943="L23"),AP943&gt;0),SUMIFS($AP$7:$AP$1843,$BY$7:$BY$1843,BY943,$AS$7:$AS$1843,"&gt;"&amp;AS943)+SUMIFS($AP$7:$AP$1843,$BY$7:$BY$1843,BY943,$AS$7:$AS$1843,AS943,$BQ$7:$BQ$1843,"&lt;="&amp;BQ943),"")</f>
        <v>28.5992534036012</v>
      </c>
      <c r="AU943" s="65" t="n">
        <f aca="false">IF(AT943="",0,MAX(0,MIN(1,(IF(BY943="L1",Parameter!$E$5,Parameter!$E$6+Parameter!$E$7)-(AT943-AP943))/AP943)))</f>
        <v>1</v>
      </c>
      <c r="AV943" s="57" t="n">
        <f aca="false">IF(LEFT(Cockpit!$O$5,1)="A",H943,IF(CA943=1,CB943,IF(LEFT(Cockpit!$O$5,1)="B",AZ943,MAX(AZ943,H943))))</f>
        <v>27</v>
      </c>
      <c r="AW943" s="57" t="n">
        <f aca="false">IF(BT943=1,0,ROUNDUP(AV943/BS943,0))</f>
        <v>1</v>
      </c>
      <c r="AX943" s="59" t="n">
        <f aca="false">IF(CH943&gt;0,CH943*MAX(1,AV943/X943),IF(BT943=1,IF(AV943&lt;=0,0,BW943*MAX(1,IF(H943&gt;0,AV943/H943,1))),IF(R943&gt;0,AW943/R943,0))/MAX(0.1,N(Parameter!$M$21)))</f>
        <v>0.0384615384615385</v>
      </c>
      <c r="AY943" s="57" t="n">
        <f aca="false">AV943*G943</f>
        <v>55.35</v>
      </c>
      <c r="AZ943" s="57" t="n">
        <f aca="false">ROUNDUP(MAX(J943/IF(BZ943&gt;0,BZ943,MAX(0.1,N(Cockpit!$O$6))),CC943)/BS943,0)*BS943</f>
        <v>27</v>
      </c>
      <c r="BA943" s="58" t="n">
        <f aca="false">IF(AX943&gt;0,J943/AX943,-1)</f>
        <v>702</v>
      </c>
      <c r="BB943" s="58" t="n">
        <f aca="false">IF(AND(OR(BY943="L1",BY943="L23"),AX943&gt;0),SUMIFS($AX$7:$AX$1843,$BY$7:$BY$1843,BY943,$BA$7:$BA$1843,"&gt;"&amp;BA943)+SUMIFS($AX$7:$AX$1843,$BY$7:$BY$1843,BY943,$BA$7:$BA$1843,BA943,$BQ$7:$BQ$1843,"&lt;="&amp;BQ943),"")</f>
        <v>27.9675517718996</v>
      </c>
      <c r="BC943" s="65" t="n">
        <f aca="false">IF(BB943="",0,MAX(0,MIN(1,(IF(BY943="L1",Parameter!$E$5,Parameter!$E$6+Parameter!$E$7)-(BB943-AX943))/AX943)))</f>
        <v>1</v>
      </c>
      <c r="BD943" s="55" t="str">
        <f aca="false">IF(AH943&lt;=0,"",IF(BY943="Aussen","Aussenlager",IF(BY943="-","Nicht im Lift",IF(AM943&gt;=1,"Lift",IF(AM943&lt;=0,"Aussenlager","teilweise")))))</f>
        <v>Lift</v>
      </c>
      <c r="BE943" s="55" t="str">
        <f aca="false">IF(AP943&lt;=0,"",IF(BY943="Aussen","Aussenlager",IF(BY943="-","Nicht im Lift",IF(AU943&gt;=1,"Lift",IF(AU943&lt;=0,"Aussenlager","teilweise")))))</f>
        <v>Lift</v>
      </c>
      <c r="BF943" s="55" t="str">
        <f aca="false">IF(AX943&lt;=0,"",IF(BY943="Aussen","Aussenlager",IF(BY943="-","Nicht im Lift",IF(BC943&gt;=1,"Lift",IF(BC943&lt;=0,"Aussenlager","teilweise")))))</f>
        <v>Lift</v>
      </c>
      <c r="BG943" s="55" t="str">
        <f aca="false">IF(A943="","",IF(BP943=1,"Neu; ","")&amp;IF(AND(BP943=0,BK943&lt;0),"negativer Bestand (Export "&amp;BK943&amp;"); ","")&amp;IF(J943&lt;=0,"Kein Verbrauch; ","")&amp;IF(CH943&gt;0,"Lift "&amp;W943&amp;" lt. Liftbericht (Fach "&amp;X943&amp;" Stk); ",IF(BU943=1,"Gebinde geschätzt ("&amp;T943&amp;"); ",IF(BT943=1,"Lose – Tablare geschätzt; ","")))&amp;IF(H943&gt;AR943,"Überbestand "&amp;ROUND(H943-AR943,0)&amp;" Stk / CHF "&amp;ROUND((H943-AR943)*G943,0)&amp;"; ","")&amp;IF(AND(CA943=1,CB943&lt;CC943),"MAX &lt; MB+LG; ","")&amp;IF(AND(CG943&gt;0,CF943*10&gt;CG943),"zu hoch für Tablar; ","")&amp;IF(AND(BP943=0,OR(CA943=1,AA943&lt;&gt;"",U943&lt;&gt;"",V943&lt;&gt;"",AB943&lt;&gt;"")),"manuell übersteuert; ","")&amp;IF(AND(BT943=0,R943=0),"Gebinde unbekannt / Stellmass fehlt; ","")&amp;IF(AND(BT943=0,N(V943)&lt;=0,N(Q943)&lt;=0),"Menge pro Gebinde fehlt (Ist = 1 Gebinde); ","")&amp;BO943)</f>
        <v>negativer Bestand (Export -27); Gebinde geschätzt (Klein); Menge pro Gebinde fehlt (Ist = 1 Gebinde); </v>
      </c>
      <c r="BH943" s="55"/>
      <c r="BI943" s="55"/>
      <c r="BJ943" s="62"/>
      <c r="BK943" s="57" t="n">
        <v>-27</v>
      </c>
      <c r="BL943" s="57" t="n">
        <v>54</v>
      </c>
      <c r="BM943" s="56" t="n">
        <v>-55.35</v>
      </c>
      <c r="BN943" s="57" t="n">
        <v>27</v>
      </c>
      <c r="BO943" s="55"/>
      <c r="BP943" s="60" t="n">
        <v>0</v>
      </c>
      <c r="BQ943" s="60" t="n">
        <v>943</v>
      </c>
      <c r="BR943" s="55" t="str">
        <f aca="false">IF(U943&lt;&gt;"",UPPER(TRIM(U943)),IF(BU943=1,UPPER(VLOOKUP(T943,Parameter!$I$27:$K$29,2,0)),IF(P943="","LOSE",P943)))</f>
        <v>S51</v>
      </c>
      <c r="BS943" s="57" t="n">
        <f aca="false">IF(BR943="LOSE",1,IF(N(V943)&gt;0,V943,IF(BU943=1,MAX(1,N(VLOOKUP(T943,Parameter!$I$27:$K$29,3,0)),H943,N(N943)),IF(N(Q943)&gt;0,Q943,MAX(1,H943)))))</f>
        <v>27</v>
      </c>
      <c r="BT943" s="60" t="n">
        <f aca="false">IF(BR943="LOSE",1,0)</f>
        <v>0</v>
      </c>
      <c r="BU943" s="60" t="n">
        <f aca="false">IF(AND(U943="",OR(P943="",P943="LOSE"),T943&lt;&gt;"",N(S943)&lt;=0,ISNUMBER(MATCH(T943,Parameter!$I$27:$I$29,0))),1,0)</f>
        <v>1</v>
      </c>
      <c r="BV943" s="55" t="str">
        <f aca="false">IF(AND(Parameter!$B$19="Ja",E943&lt;&gt;"",ISNUMBER(MATCH(E943,Parameter!$I$35:$I$52,0))),VLOOKUP(E943,Parameter!$I$35:$J$52,2,0),IFERROR(VLOOKUP(D943,Parameter!$A$35:$C$64,2,0),"Nein"))</f>
        <v>2+3</v>
      </c>
      <c r="BW943" s="59" t="n">
        <f aca="false">IF(BT943=0,0,IF(N(S943)&gt;0,S943,IFERROR(VLOOKUP(D943,Parameter!$A$35:$C$64,3,0)+0,0)))</f>
        <v>0</v>
      </c>
      <c r="BX943" s="55" t="n">
        <f aca="false">IF(AA943&lt;&gt;"",AA943,Z943)</f>
        <v>3</v>
      </c>
      <c r="BY943" s="55" t="str">
        <f aca="false">IF(BX943=1,"L1",IF(OR(BX943=2,BX943=3),"L23",IF(BX943="Aussen","Aussen","-")))</f>
        <v>L23</v>
      </c>
      <c r="BZ943" s="66" t="n">
        <f aca="false">IF(N(AB943)&gt;0,AB943,0)</f>
        <v>0</v>
      </c>
      <c r="CA943" s="60" t="n">
        <f aca="false">IF(ISNUMBER(AE943),1,0)</f>
        <v>0</v>
      </c>
      <c r="CB943" s="57" t="n">
        <f aca="false">N(AE943)</f>
        <v>0</v>
      </c>
      <c r="CC943" s="57" t="n">
        <f aca="false">N(M943)+N(N943)</f>
        <v>26</v>
      </c>
      <c r="CD943" s="57" t="n">
        <f aca="false">ROUNDUP(H943/BS943,0)</f>
        <v>1</v>
      </c>
      <c r="CE943" s="57" t="n">
        <f aca="false">ROUNDUP(CB943/BS943,0)</f>
        <v>0</v>
      </c>
      <c r="CF943" s="60" t="n">
        <f aca="false">IF(BT943=1,0,IFERROR(VLOOKUP(BR943,'Gebinde-Kategorie'!$A$5:$M$45,5,0)+0,0))</f>
        <v>11</v>
      </c>
      <c r="CG943" s="60" t="n">
        <f aca="false">IFERROR(IF(OR(BX943=1,BX943=2,BX943=3),N(INDEX(Parameter!$I$5:$I$7,BX943)),0),0)</f>
        <v>0</v>
      </c>
      <c r="CH943" s="59" t="n">
        <f aca="false">IF(AND(Parameter!$B$21="Ja",ISNUMBER(W943),N(X943)&gt;0),IFERROR(N(INDEX(Parameter!$L$5:$L$7,W943))*INDEX(Parameter!$E$5:$E$7,W943)*X943/SUMIFS($X$7:$X$1843,$W$7:$W$1843,W943),0),0)</f>
        <v>0</v>
      </c>
    </row>
    <row r="944" customFormat="false" ht="15" hidden="false" customHeight="false" outlineLevel="0" collapsed="false">
      <c r="A944" s="55" t="s">
        <v>1760</v>
      </c>
      <c r="B944" s="55" t="s">
        <v>1761</v>
      </c>
      <c r="C944" s="55" t="s">
        <v>456</v>
      </c>
      <c r="D944" s="55" t="s">
        <v>184</v>
      </c>
      <c r="E944" s="55"/>
      <c r="F944" s="55" t="s">
        <v>218</v>
      </c>
      <c r="G944" s="56" t="n">
        <v>6.15</v>
      </c>
      <c r="H944" s="57" t="n">
        <f aca="false">MAX(0,IF(AND(Parameter!$B$21="Ja",ISNUMBER(Y944)),Y944,IF(Parameter!$B$20="Jahresanfang 2025 + Export",BL944+BK944,BK944)))</f>
        <v>9</v>
      </c>
      <c r="I944" s="57" t="n">
        <f aca="false">H944*G944</f>
        <v>55.35</v>
      </c>
      <c r="J944" s="57" t="n">
        <f aca="false">BN944*Parameter!$B$18</f>
        <v>9</v>
      </c>
      <c r="K944" s="58" t="n">
        <v>9</v>
      </c>
      <c r="L944" s="59" t="n">
        <v>1</v>
      </c>
      <c r="M944" s="57" t="n">
        <v>0</v>
      </c>
      <c r="N944" s="57" t="n">
        <v>10</v>
      </c>
      <c r="O944" s="60" t="n">
        <v>21</v>
      </c>
      <c r="P944" s="55" t="s">
        <v>168</v>
      </c>
      <c r="Q944" s="57"/>
      <c r="R944" s="60" t="n">
        <f aca="false">IF(BT944=1,0,IFERROR(VLOOKUP(BR944,'Gebinde-Kategorie'!$A$5:$M$45,13,0)+0,0))</f>
        <v>26</v>
      </c>
      <c r="S944" s="61"/>
      <c r="T944" s="62" t="s">
        <v>275</v>
      </c>
      <c r="U944" s="62"/>
      <c r="V944" s="62"/>
      <c r="W944" s="55"/>
      <c r="X944" s="57"/>
      <c r="Y944" s="57"/>
      <c r="Z944" s="55" t="n">
        <f aca="false">IF(A944="","",IF(AND(Parameter!$B$21="Ja",ISNUMBER(W944)),W944,IF(BV944="2+3",IF(ISNUMBER(SEARCH("grosser Artikel",BO944)),2,IFERROR(VLOOKUP(BR944,Parameter!$F$35:$G$64,2,0),2)),IF(OR(BV944="Nein",BV944=""),"-",BV944))))</f>
        <v>3</v>
      </c>
      <c r="AA944" s="62"/>
      <c r="AB944" s="63"/>
      <c r="AC944" s="57" t="n">
        <f aca="false">AR944</f>
        <v>20</v>
      </c>
      <c r="AD944" s="57" t="n">
        <f aca="false">MAX(AR944,H944)</f>
        <v>20</v>
      </c>
      <c r="AE944" s="64"/>
      <c r="AF944" s="57" t="n">
        <f aca="false">IF(LEFT(Cockpit!$C$5,1)="A",H944,IF(CA944=1,CB944,IF(LEFT(Cockpit!$C$5,1)="B",AJ944,MAX(AJ944,H944))))</f>
        <v>9</v>
      </c>
      <c r="AG944" s="57" t="n">
        <f aca="false">IF(BT944=1,0,ROUNDUP(AF944/BS944,0))</f>
        <v>1</v>
      </c>
      <c r="AH944" s="59" t="n">
        <f aca="false">IF(CH944&gt;0,CH944*MAX(1,AF944/X944),IF(BT944=1,IF(AF944&lt;=0,0,BW944*MAX(1,IF(H944&gt;0,AF944/H944,1))),IF(R944&gt;0,AG944/R944,0))/MAX(0.1,N(Parameter!$M$21)))</f>
        <v>0.0384615384615385</v>
      </c>
      <c r="AI944" s="57" t="n">
        <f aca="false">AF944*G944</f>
        <v>55.35</v>
      </c>
      <c r="AJ944" s="57" t="n">
        <f aca="false">ROUNDUP(MAX(J944/IF(BZ944&gt;0,BZ944,MAX(0.1,N(Cockpit!$C$6))),CC944)/BS944,0)*BS944</f>
        <v>20</v>
      </c>
      <c r="AK944" s="58" t="n">
        <f aca="false">IF(AH944&gt;0,J944/AH944,-1)</f>
        <v>234</v>
      </c>
      <c r="AL944" s="58" t="n">
        <f aca="false">IF(AND(OR(BY944="L1",BY944="L23"),AH944&gt;0),SUMIFS($AH$7:$AH$1843,$BY$7:$BY$1843,BY944,$AK$7:$AK$1843,"&gt;"&amp;AK944)+SUMIFS($AH$7:$AH$1843,$BY$7:$BY$1843,BY944,$AK$7:$AK$1843,AK944,$BQ$7:$BQ$1843,"&lt;="&amp;BQ944),"")</f>
        <v>30.6312117833857</v>
      </c>
      <c r="AM944" s="65" t="n">
        <f aca="false">IF(AL944="",0,MAX(0,MIN(1,(IF(BY944="L1",Parameter!$E$5,Parameter!$E$6+Parameter!$E$7)-(AL944-AH944))/AH944)))</f>
        <v>1</v>
      </c>
      <c r="AN944" s="57" t="n">
        <f aca="false">IF(LEFT(Cockpit!$I$5,1)="A",H944,IF(CA944=1,CB944,IF(LEFT(Cockpit!$I$5,1)="B",AR944,MAX(AR944,H944))))</f>
        <v>20</v>
      </c>
      <c r="AO944" s="57" t="n">
        <f aca="false">IF(BT944=1,0,ROUNDUP(AN944/BS944,0))</f>
        <v>1</v>
      </c>
      <c r="AP944" s="59" t="n">
        <f aca="false">IF(CH944&gt;0,CH944*MAX(1,AN944/X944),IF(BT944=1,IF(AN944&lt;=0,0,BW944*MAX(1,IF(H944&gt;0,AN944/H944,1))),IF(R944&gt;0,AO944/R944,0))/MAX(0.1,N(Parameter!$M$21)))</f>
        <v>0.0384615384615385</v>
      </c>
      <c r="AQ944" s="57" t="n">
        <f aca="false">AN944*G944</f>
        <v>123</v>
      </c>
      <c r="AR944" s="57" t="n">
        <f aca="false">ROUNDUP(MAX(J944/IF(BZ944&gt;0,BZ944,MAX(0.1,N(Cockpit!$I$6))),CC944)/BS944,0)*BS944</f>
        <v>20</v>
      </c>
      <c r="AS944" s="58" t="n">
        <f aca="false">IF(AP944&gt;0,J944/AP944,-1)</f>
        <v>234</v>
      </c>
      <c r="AT944" s="58" t="n">
        <f aca="false">IF(AND(OR(BY944="L1",BY944="L23"),AP944&gt;0),SUMIFS($AP$7:$AP$1843,$BY$7:$BY$1843,BY944,$AS$7:$AS$1843,"&gt;"&amp;AS944)+SUMIFS($AP$7:$AP$1843,$BY$7:$BY$1843,BY944,$AS$7:$AS$1843,AS944,$BQ$7:$BQ$1843,"&lt;="&amp;BQ944),"")</f>
        <v>44.0261984392419</v>
      </c>
      <c r="AU944" s="65" t="n">
        <f aca="false">IF(AT944="",0,MAX(0,MIN(1,(IF(BY944="L1",Parameter!$E$5,Parameter!$E$6+Parameter!$E$7)-(AT944-AP944))/AP944)))</f>
        <v>1</v>
      </c>
      <c r="AV944" s="57" t="n">
        <f aca="false">IF(LEFT(Cockpit!$O$5,1)="A",H944,IF(CA944=1,CB944,IF(LEFT(Cockpit!$O$5,1)="B",AZ944,MAX(AZ944,H944))))</f>
        <v>20</v>
      </c>
      <c r="AW944" s="57" t="n">
        <f aca="false">IF(BT944=1,0,ROUNDUP(AV944/BS944,0))</f>
        <v>1</v>
      </c>
      <c r="AX944" s="59" t="n">
        <f aca="false">IF(CH944&gt;0,CH944*MAX(1,AV944/X944),IF(BT944=1,IF(AV944&lt;=0,0,BW944*MAX(1,IF(H944&gt;0,AV944/H944,1))),IF(R944&gt;0,AW944/R944,0))/MAX(0.1,N(Parameter!$M$21)))</f>
        <v>0.0384615384615385</v>
      </c>
      <c r="AY944" s="57" t="n">
        <f aca="false">AV944*G944</f>
        <v>123</v>
      </c>
      <c r="AZ944" s="57" t="n">
        <f aca="false">ROUNDUP(MAX(J944/IF(BZ944&gt;0,BZ944,MAX(0.1,N(Cockpit!$O$6))),CC944)/BS944,0)*BS944</f>
        <v>20</v>
      </c>
      <c r="BA944" s="58" t="n">
        <f aca="false">IF(AX944&gt;0,J944/AX944,-1)</f>
        <v>234</v>
      </c>
      <c r="BB944" s="58" t="n">
        <f aca="false">IF(AND(OR(BY944="L1",BY944="L23"),AX944&gt;0),SUMIFS($AX$7:$AX$1843,$BY$7:$BY$1843,BY944,$BA$7:$BA$1843,"&gt;"&amp;BA944)+SUMIFS($AX$7:$AX$1843,$BY$7:$BY$1843,BY944,$BA$7:$BA$1843,BA944,$BQ$7:$BQ$1843,"&lt;="&amp;BQ944),"")</f>
        <v>41.2727019357454</v>
      </c>
      <c r="BC944" s="65" t="n">
        <f aca="false">IF(BB944="",0,MAX(0,MIN(1,(IF(BY944="L1",Parameter!$E$5,Parameter!$E$6+Parameter!$E$7)-(BB944-AX944))/AX944)))</f>
        <v>1</v>
      </c>
      <c r="BD944" s="55" t="str">
        <f aca="false">IF(AH944&lt;=0,"",IF(BY944="Aussen","Aussenlager",IF(BY944="-","Nicht im Lift",IF(AM944&gt;=1,"Lift",IF(AM944&lt;=0,"Aussenlager","teilweise")))))</f>
        <v>Lift</v>
      </c>
      <c r="BE944" s="55" t="str">
        <f aca="false">IF(AP944&lt;=0,"",IF(BY944="Aussen","Aussenlager",IF(BY944="-","Nicht im Lift",IF(AU944&gt;=1,"Lift",IF(AU944&lt;=0,"Aussenlager","teilweise")))))</f>
        <v>Lift</v>
      </c>
      <c r="BF944" s="55" t="str">
        <f aca="false">IF(AX944&lt;=0,"",IF(BY944="Aussen","Aussenlager",IF(BY944="-","Nicht im Lift",IF(BC944&gt;=1,"Lift",IF(BC944&lt;=0,"Aussenlager","teilweise")))))</f>
        <v>Lift</v>
      </c>
      <c r="BG944" s="55" t="str">
        <f aca="false">IF(A944="","",IF(BP944=1,"Neu; ","")&amp;IF(AND(BP944=0,BK944&lt;0),"negativer Bestand (Export "&amp;BK944&amp;"); ","")&amp;IF(J944&lt;=0,"Kein Verbrauch; ","")&amp;IF(CH944&gt;0,"Lift "&amp;W944&amp;" lt. Liftbericht (Fach "&amp;X944&amp;" Stk); ",IF(BU944=1,"Gebinde geschätzt ("&amp;T944&amp;"); ",IF(BT944=1,"Lose – Tablare geschätzt; ","")))&amp;IF(H944&gt;AR944,"Überbestand "&amp;ROUND(H944-AR944,0)&amp;" Stk / CHF "&amp;ROUND((H944-AR944)*G944,0)&amp;"; ","")&amp;IF(AND(CA944=1,CB944&lt;CC944),"MAX &lt; MB+LG; ","")&amp;IF(AND(CG944&gt;0,CF944*10&gt;CG944),"zu hoch für Tablar; ","")&amp;IF(AND(BP944=0,OR(CA944=1,AA944&lt;&gt;"",U944&lt;&gt;"",V944&lt;&gt;"",AB944&lt;&gt;"")),"manuell übersteuert; ","")&amp;IF(AND(BT944=0,R944=0),"Gebinde unbekannt / Stellmass fehlt; ","")&amp;IF(AND(BT944=0,N(V944)&lt;=0,N(Q944)&lt;=0),"Menge pro Gebinde fehlt (Ist = 1 Gebinde); ","")&amp;BO944)</f>
        <v>negativer Bestand (Export -9); Gebinde geschätzt (Klein); Menge pro Gebinde fehlt (Ist = 1 Gebinde); </v>
      </c>
      <c r="BH944" s="55"/>
      <c r="BI944" s="55"/>
      <c r="BJ944" s="62"/>
      <c r="BK944" s="57" t="n">
        <v>-9</v>
      </c>
      <c r="BL944" s="57" t="n">
        <v>18</v>
      </c>
      <c r="BM944" s="56" t="n">
        <v>-55.35</v>
      </c>
      <c r="BN944" s="57" t="n">
        <v>9</v>
      </c>
      <c r="BO944" s="55"/>
      <c r="BP944" s="60" t="n">
        <v>0</v>
      </c>
      <c r="BQ944" s="60" t="n">
        <v>944</v>
      </c>
      <c r="BR944" s="55" t="str">
        <f aca="false">IF(U944&lt;&gt;"",UPPER(TRIM(U944)),IF(BU944=1,UPPER(VLOOKUP(T944,Parameter!$I$27:$K$29,2,0)),IF(P944="","LOSE",P944)))</f>
        <v>S51</v>
      </c>
      <c r="BS944" s="57" t="n">
        <f aca="false">IF(BR944="LOSE",1,IF(N(V944)&gt;0,V944,IF(BU944=1,MAX(1,N(VLOOKUP(T944,Parameter!$I$27:$K$29,3,0)),H944,N(N944)),IF(N(Q944)&gt;0,Q944,MAX(1,H944)))))</f>
        <v>20</v>
      </c>
      <c r="BT944" s="60" t="n">
        <f aca="false">IF(BR944="LOSE",1,0)</f>
        <v>0</v>
      </c>
      <c r="BU944" s="60" t="n">
        <f aca="false">IF(AND(U944="",OR(P944="",P944="LOSE"),T944&lt;&gt;"",N(S944)&lt;=0,ISNUMBER(MATCH(T944,Parameter!$I$27:$I$29,0))),1,0)</f>
        <v>1</v>
      </c>
      <c r="BV944" s="55" t="str">
        <f aca="false">IF(AND(Parameter!$B$19="Ja",E944&lt;&gt;"",ISNUMBER(MATCH(E944,Parameter!$I$35:$I$52,0))),VLOOKUP(E944,Parameter!$I$35:$J$52,2,0),IFERROR(VLOOKUP(D944,Parameter!$A$35:$C$64,2,0),"Nein"))</f>
        <v>2+3</v>
      </c>
      <c r="BW944" s="59" t="n">
        <f aca="false">IF(BT944=0,0,IF(N(S944)&gt;0,S944,IFERROR(VLOOKUP(D944,Parameter!$A$35:$C$64,3,0)+0,0)))</f>
        <v>0</v>
      </c>
      <c r="BX944" s="55" t="n">
        <f aca="false">IF(AA944&lt;&gt;"",AA944,Z944)</f>
        <v>3</v>
      </c>
      <c r="BY944" s="55" t="str">
        <f aca="false">IF(BX944=1,"L1",IF(OR(BX944=2,BX944=3),"L23",IF(BX944="Aussen","Aussen","-")))</f>
        <v>L23</v>
      </c>
      <c r="BZ944" s="66" t="n">
        <f aca="false">IF(N(AB944)&gt;0,AB944,0)</f>
        <v>0</v>
      </c>
      <c r="CA944" s="60" t="n">
        <f aca="false">IF(ISNUMBER(AE944),1,0)</f>
        <v>0</v>
      </c>
      <c r="CB944" s="57" t="n">
        <f aca="false">N(AE944)</f>
        <v>0</v>
      </c>
      <c r="CC944" s="57" t="n">
        <f aca="false">N(M944)+N(N944)</f>
        <v>10</v>
      </c>
      <c r="CD944" s="57" t="n">
        <f aca="false">ROUNDUP(H944/BS944,0)</f>
        <v>1</v>
      </c>
      <c r="CE944" s="57" t="n">
        <f aca="false">ROUNDUP(CB944/BS944,0)</f>
        <v>0</v>
      </c>
      <c r="CF944" s="60" t="n">
        <f aca="false">IF(BT944=1,0,IFERROR(VLOOKUP(BR944,'Gebinde-Kategorie'!$A$5:$M$45,5,0)+0,0))</f>
        <v>11</v>
      </c>
      <c r="CG944" s="60" t="n">
        <f aca="false">IFERROR(IF(OR(BX944=1,BX944=2,BX944=3),N(INDEX(Parameter!$I$5:$I$7,BX944)),0),0)</f>
        <v>0</v>
      </c>
      <c r="CH944" s="59" t="n">
        <f aca="false">IF(AND(Parameter!$B$21="Ja",ISNUMBER(W944),N(X944)&gt;0),IFERROR(N(INDEX(Parameter!$L$5:$L$7,W944))*INDEX(Parameter!$E$5:$E$7,W944)*X944/SUMIFS($X$7:$X$1843,$W$7:$W$1843,W944),0),0)</f>
        <v>0</v>
      </c>
    </row>
    <row r="945" customFormat="false" ht="15" hidden="false" customHeight="false" outlineLevel="0" collapsed="false">
      <c r="A945" s="55" t="s">
        <v>1762</v>
      </c>
      <c r="B945" s="55" t="s">
        <v>1763</v>
      </c>
      <c r="C945" s="55" t="s">
        <v>164</v>
      </c>
      <c r="D945" s="55" t="s">
        <v>184</v>
      </c>
      <c r="E945" s="55"/>
      <c r="F945" s="55" t="s">
        <v>218</v>
      </c>
      <c r="G945" s="56" t="n">
        <v>28</v>
      </c>
      <c r="H945" s="57" t="n">
        <f aca="false">MAX(0,IF(AND(Parameter!$B$21="Ja",ISNUMBER(Y945)),Y945,IF(Parameter!$B$20="Jahresanfang 2025 + Export",BL945+BK945,BK945)))</f>
        <v>0</v>
      </c>
      <c r="I945" s="57" t="n">
        <f aca="false">H945*G945</f>
        <v>0</v>
      </c>
      <c r="J945" s="57" t="n">
        <f aca="false">BN945*Parameter!$B$18</f>
        <v>0</v>
      </c>
      <c r="K945" s="58" t="n">
        <v>1</v>
      </c>
      <c r="L945" s="59" t="n">
        <v>0</v>
      </c>
      <c r="M945" s="57" t="n">
        <v>0</v>
      </c>
      <c r="N945" s="57" t="n">
        <v>1</v>
      </c>
      <c r="O945" s="60" t="n">
        <v>49</v>
      </c>
      <c r="P945" s="55" t="s">
        <v>168</v>
      </c>
      <c r="Q945" s="57"/>
      <c r="R945" s="60" t="n">
        <f aca="false">IF(BT945=1,0,IFERROR(VLOOKUP(BR945,'Gebinde-Kategorie'!$A$5:$M$45,13,0)+0,0))</f>
        <v>26</v>
      </c>
      <c r="S945" s="61"/>
      <c r="T945" s="62" t="s">
        <v>275</v>
      </c>
      <c r="U945" s="62"/>
      <c r="V945" s="62"/>
      <c r="W945" s="55"/>
      <c r="X945" s="57"/>
      <c r="Y945" s="57"/>
      <c r="Z945" s="55" t="n">
        <f aca="false">IF(A945="","",IF(AND(Parameter!$B$21="Ja",ISNUMBER(W945)),W945,IF(BV945="2+3",IF(ISNUMBER(SEARCH("grosser Artikel",BO945)),2,IFERROR(VLOOKUP(BR945,Parameter!$F$35:$G$64,2,0),2)),IF(OR(BV945="Nein",BV945=""),"-",BV945))))</f>
        <v>3</v>
      </c>
      <c r="AA945" s="62"/>
      <c r="AB945" s="63"/>
      <c r="AC945" s="57" t="n">
        <f aca="false">AR945</f>
        <v>20</v>
      </c>
      <c r="AD945" s="57" t="n">
        <f aca="false">MAX(AR945,H945)</f>
        <v>20</v>
      </c>
      <c r="AE945" s="64"/>
      <c r="AF945" s="57" t="n">
        <f aca="false">IF(LEFT(Cockpit!$C$5,1)="A",H945,IF(CA945=1,CB945,IF(LEFT(Cockpit!$C$5,1)="B",AJ945,MAX(AJ945,H945))))</f>
        <v>0</v>
      </c>
      <c r="AG945" s="57" t="n">
        <f aca="false">IF(BT945=1,0,ROUNDUP(AF945/BS945,0))</f>
        <v>0</v>
      </c>
      <c r="AH945" s="59" t="n">
        <f aca="false">IF(CH945&gt;0,CH945*MAX(1,AF945/X945),IF(BT945=1,IF(AF945&lt;=0,0,BW945*MAX(1,IF(H945&gt;0,AF945/H945,1))),IF(R945&gt;0,AG945/R945,0))/MAX(0.1,N(Parameter!$M$21)))</f>
        <v>0</v>
      </c>
      <c r="AI945" s="57" t="n">
        <f aca="false">AF945*G945</f>
        <v>0</v>
      </c>
      <c r="AJ945" s="57" t="n">
        <f aca="false">ROUNDUP(MAX(J945/IF(BZ945&gt;0,BZ945,MAX(0.1,N(Cockpit!$C$6))),CC945)/BS945,0)*BS945</f>
        <v>20</v>
      </c>
      <c r="AK945" s="58" t="n">
        <f aca="false">IF(AH945&gt;0,J945/AH945,-1)</f>
        <v>-1</v>
      </c>
      <c r="AL945" s="58" t="str">
        <f aca="false">IF(AND(OR(BY945="L1",BY945="L23"),AH945&gt;0),SUMIFS($AH$7:$AH$1843,$BY$7:$BY$1843,BY945,$AK$7:$AK$1843,"&gt;"&amp;AK945)+SUMIFS($AH$7:$AH$1843,$BY$7:$BY$1843,BY945,$AK$7:$AK$1843,AK945,$BQ$7:$BQ$1843,"&lt;="&amp;BQ945),"")</f>
        <v/>
      </c>
      <c r="AM945" s="65" t="n">
        <f aca="false">IF(AL945="",0,MAX(0,MIN(1,(IF(BY945="L1",Parameter!$E$5,Parameter!$E$6+Parameter!$E$7)-(AL945-AH945))/AH945)))</f>
        <v>0</v>
      </c>
      <c r="AN945" s="57" t="n">
        <f aca="false">IF(LEFT(Cockpit!$I$5,1)="A",H945,IF(CA945=1,CB945,IF(LEFT(Cockpit!$I$5,1)="B",AR945,MAX(AR945,H945))))</f>
        <v>20</v>
      </c>
      <c r="AO945" s="57" t="n">
        <f aca="false">IF(BT945=1,0,ROUNDUP(AN945/BS945,0))</f>
        <v>1</v>
      </c>
      <c r="AP945" s="59" t="n">
        <f aca="false">IF(CH945&gt;0,CH945*MAX(1,AN945/X945),IF(BT945=1,IF(AN945&lt;=0,0,BW945*MAX(1,IF(H945&gt;0,AN945/H945,1))),IF(R945&gt;0,AO945/R945,0))/MAX(0.1,N(Parameter!$M$21)))</f>
        <v>0.0384615384615385</v>
      </c>
      <c r="AQ945" s="57" t="n">
        <f aca="false">AN945*G945</f>
        <v>560</v>
      </c>
      <c r="AR945" s="57" t="n">
        <f aca="false">ROUNDUP(MAX(J945/IF(BZ945&gt;0,BZ945,MAX(0.1,N(Cockpit!$I$6))),CC945)/BS945,0)*BS945</f>
        <v>20</v>
      </c>
      <c r="AS945" s="58" t="n">
        <f aca="false">IF(AP945&gt;0,J945/AP945,-1)</f>
        <v>0</v>
      </c>
      <c r="AT945" s="58" t="n">
        <f aca="false">IF(AND(OR(BY945="L1",BY945="L23"),AP945&gt;0),SUMIFS($AP$7:$AP$1843,$BY$7:$BY$1843,BY945,$AS$7:$AS$1843,"&gt;"&amp;AS945)+SUMIFS($AP$7:$AP$1843,$BY$7:$BY$1843,BY945,$AS$7:$AS$1843,AS945,$BQ$7:$BQ$1843,"&lt;="&amp;BQ945),"")</f>
        <v>119.360021620891</v>
      </c>
      <c r="AU945" s="65" t="n">
        <f aca="false">IF(AT945="",0,MAX(0,MIN(1,(IF(BY945="L1",Parameter!$E$5,Parameter!$E$6+Parameter!$E$7)-(AT945-AP945))/AP945)))</f>
        <v>0</v>
      </c>
      <c r="AV945" s="57" t="n">
        <f aca="false">IF(LEFT(Cockpit!$O$5,1)="A",H945,IF(CA945=1,CB945,IF(LEFT(Cockpit!$O$5,1)="B",AZ945,MAX(AZ945,H945))))</f>
        <v>20</v>
      </c>
      <c r="AW945" s="57" t="n">
        <f aca="false">IF(BT945=1,0,ROUNDUP(AV945/BS945,0))</f>
        <v>1</v>
      </c>
      <c r="AX945" s="59" t="n">
        <f aca="false">IF(CH945&gt;0,CH945*MAX(1,AV945/X945),IF(BT945=1,IF(AV945&lt;=0,0,BW945*MAX(1,IF(H945&gt;0,AV945/H945,1))),IF(R945&gt;0,AW945/R945,0))/MAX(0.1,N(Parameter!$M$21)))</f>
        <v>0.0384615384615385</v>
      </c>
      <c r="AY945" s="57" t="n">
        <f aca="false">AV945*G945</f>
        <v>560</v>
      </c>
      <c r="AZ945" s="57" t="n">
        <f aca="false">ROUNDUP(MAX(J945/IF(BZ945&gt;0,BZ945,MAX(0.1,N(Cockpit!$O$6))),CC945)/BS945,0)*BS945</f>
        <v>20</v>
      </c>
      <c r="BA945" s="58" t="n">
        <f aca="false">IF(AX945&gt;0,J945/AX945,-1)</f>
        <v>0</v>
      </c>
      <c r="BB945" s="58" t="n">
        <f aca="false">IF(AND(OR(BY945="L1",BY945="L23"),AX945&gt;0),SUMIFS($AX$7:$AX$1843,$BY$7:$BY$1843,BY945,$BA$7:$BA$1843,"&gt;"&amp;BA945)+SUMIFS($AX$7:$AX$1843,$BY$7:$BY$1843,BY945,$BA$7:$BA$1843,BA945,$BQ$7:$BQ$1843,"&lt;="&amp;BQ945),"")</f>
        <v>110.189858450728</v>
      </c>
      <c r="BC945" s="65" t="n">
        <f aca="false">IF(BB945="",0,MAX(0,MIN(1,(IF(BY945="L1",Parameter!$E$5,Parameter!$E$6+Parameter!$E$7)-(BB945-AX945))/AX945)))</f>
        <v>0</v>
      </c>
      <c r="BD945" s="55" t="str">
        <f aca="false">IF(AH945&lt;=0,"",IF(BY945="Aussen","Aussenlager",IF(BY945="-","Nicht im Lift",IF(AM945&gt;=1,"Lift",IF(AM945&lt;=0,"Aussenlager","teilweise")))))</f>
        <v/>
      </c>
      <c r="BE945" s="55" t="str">
        <f aca="false">IF(AP945&lt;=0,"",IF(BY945="Aussen","Aussenlager",IF(BY945="-","Nicht im Lift",IF(AU945&gt;=1,"Lift",IF(AU945&lt;=0,"Aussenlager","teilweise")))))</f>
        <v>Aussenlager</v>
      </c>
      <c r="BF945" s="55" t="str">
        <f aca="false">IF(AX945&lt;=0,"",IF(BY945="Aussen","Aussenlager",IF(BY945="-","Nicht im Lift",IF(BC945&gt;=1,"Lift",IF(BC945&lt;=0,"Aussenlager","teilweise")))))</f>
        <v>Aussenlager</v>
      </c>
      <c r="BG945" s="55" t="str">
        <f aca="false">IF(A945="","",IF(BP945=1,"Neu; ","")&amp;IF(AND(BP945=0,BK945&lt;0),"negativer Bestand (Export "&amp;BK945&amp;"); ","")&amp;IF(J945&lt;=0,"Kein Verbrauch; ","")&amp;IF(CH945&gt;0,"Lift "&amp;W945&amp;" lt. Liftbericht (Fach "&amp;X945&amp;" Stk); ",IF(BU945=1,"Gebinde geschätzt ("&amp;T945&amp;"); ",IF(BT945=1,"Lose – Tablare geschätzt; ","")))&amp;IF(H945&gt;AR945,"Überbestand "&amp;ROUND(H945-AR945,0)&amp;" Stk / CHF "&amp;ROUND((H945-AR945)*G945,0)&amp;"; ","")&amp;IF(AND(CA945=1,CB945&lt;CC945),"MAX &lt; MB+LG; ","")&amp;IF(AND(CG945&gt;0,CF945*10&gt;CG945),"zu hoch für Tablar; ","")&amp;IF(AND(BP945=0,OR(CA945=1,AA945&lt;&gt;"",U945&lt;&gt;"",V945&lt;&gt;"",AB945&lt;&gt;"")),"manuell übersteuert; ","")&amp;IF(AND(BT945=0,R945=0),"Gebinde unbekannt / Stellmass fehlt; ","")&amp;IF(AND(BT945=0,N(V945)&lt;=0,N(Q945)&lt;=0),"Menge pro Gebinde fehlt (Ist = 1 Gebinde); ","")&amp;BO945)</f>
        <v>negativer Bestand (Export -2); Kein Verbrauch; Gebinde geschätzt (Klein); Menge pro Gebinde fehlt (Ist = 1 Gebinde); </v>
      </c>
      <c r="BH945" s="55"/>
      <c r="BI945" s="55"/>
      <c r="BJ945" s="62"/>
      <c r="BK945" s="57" t="n">
        <v>-2</v>
      </c>
      <c r="BL945" s="57" t="n">
        <v>2</v>
      </c>
      <c r="BM945" s="56" t="n">
        <v>-56</v>
      </c>
      <c r="BN945" s="57" t="n">
        <v>0</v>
      </c>
      <c r="BO945" s="55"/>
      <c r="BP945" s="60" t="n">
        <v>0</v>
      </c>
      <c r="BQ945" s="60" t="n">
        <v>945</v>
      </c>
      <c r="BR945" s="55" t="str">
        <f aca="false">IF(U945&lt;&gt;"",UPPER(TRIM(U945)),IF(BU945=1,UPPER(VLOOKUP(T945,Parameter!$I$27:$K$29,2,0)),IF(P945="","LOSE",P945)))</f>
        <v>S51</v>
      </c>
      <c r="BS945" s="57" t="n">
        <f aca="false">IF(BR945="LOSE",1,IF(N(V945)&gt;0,V945,IF(BU945=1,MAX(1,N(VLOOKUP(T945,Parameter!$I$27:$K$29,3,0)),H945,N(N945)),IF(N(Q945)&gt;0,Q945,MAX(1,H945)))))</f>
        <v>20</v>
      </c>
      <c r="BT945" s="60" t="n">
        <f aca="false">IF(BR945="LOSE",1,0)</f>
        <v>0</v>
      </c>
      <c r="BU945" s="60" t="n">
        <f aca="false">IF(AND(U945="",OR(P945="",P945="LOSE"),T945&lt;&gt;"",N(S945)&lt;=0,ISNUMBER(MATCH(T945,Parameter!$I$27:$I$29,0))),1,0)</f>
        <v>1</v>
      </c>
      <c r="BV945" s="55" t="str">
        <f aca="false">IF(AND(Parameter!$B$19="Ja",E945&lt;&gt;"",ISNUMBER(MATCH(E945,Parameter!$I$35:$I$52,0))),VLOOKUP(E945,Parameter!$I$35:$J$52,2,0),IFERROR(VLOOKUP(D945,Parameter!$A$35:$C$64,2,0),"Nein"))</f>
        <v>2+3</v>
      </c>
      <c r="BW945" s="59" t="n">
        <f aca="false">IF(BT945=0,0,IF(N(S945)&gt;0,S945,IFERROR(VLOOKUP(D945,Parameter!$A$35:$C$64,3,0)+0,0)))</f>
        <v>0</v>
      </c>
      <c r="BX945" s="55" t="n">
        <f aca="false">IF(AA945&lt;&gt;"",AA945,Z945)</f>
        <v>3</v>
      </c>
      <c r="BY945" s="55" t="str">
        <f aca="false">IF(BX945=1,"L1",IF(OR(BX945=2,BX945=3),"L23",IF(BX945="Aussen","Aussen","-")))</f>
        <v>L23</v>
      </c>
      <c r="BZ945" s="66" t="n">
        <f aca="false">IF(N(AB945)&gt;0,AB945,0)</f>
        <v>0</v>
      </c>
      <c r="CA945" s="60" t="n">
        <f aca="false">IF(ISNUMBER(AE945),1,0)</f>
        <v>0</v>
      </c>
      <c r="CB945" s="57" t="n">
        <f aca="false">N(AE945)</f>
        <v>0</v>
      </c>
      <c r="CC945" s="57" t="n">
        <f aca="false">N(M945)+N(N945)</f>
        <v>1</v>
      </c>
      <c r="CD945" s="57" t="n">
        <f aca="false">ROUNDUP(H945/BS945,0)</f>
        <v>0</v>
      </c>
      <c r="CE945" s="57" t="n">
        <f aca="false">ROUNDUP(CB945/BS945,0)</f>
        <v>0</v>
      </c>
      <c r="CF945" s="60" t="n">
        <f aca="false">IF(BT945=1,0,IFERROR(VLOOKUP(BR945,'Gebinde-Kategorie'!$A$5:$M$45,5,0)+0,0))</f>
        <v>11</v>
      </c>
      <c r="CG945" s="60" t="n">
        <f aca="false">IFERROR(IF(OR(BX945=1,BX945=2,BX945=3),N(INDEX(Parameter!$I$5:$I$7,BX945)),0),0)</f>
        <v>0</v>
      </c>
      <c r="CH945" s="59" t="n">
        <f aca="false">IF(AND(Parameter!$B$21="Ja",ISNUMBER(W945),N(X945)&gt;0),IFERROR(N(INDEX(Parameter!$L$5:$L$7,W945))*INDEX(Parameter!$E$5:$E$7,W945)*X945/SUMIFS($X$7:$X$1843,$W$7:$W$1843,W945),0),0)</f>
        <v>0</v>
      </c>
    </row>
    <row r="946" customFormat="false" ht="15" hidden="false" customHeight="false" outlineLevel="0" collapsed="false">
      <c r="A946" s="55" t="s">
        <v>1764</v>
      </c>
      <c r="B946" s="55" t="s">
        <v>983</v>
      </c>
      <c r="C946" s="55" t="s">
        <v>164</v>
      </c>
      <c r="D946" s="55" t="s">
        <v>184</v>
      </c>
      <c r="E946" s="55" t="s">
        <v>185</v>
      </c>
      <c r="F946" s="55" t="s">
        <v>218</v>
      </c>
      <c r="G946" s="56" t="n">
        <v>18.9</v>
      </c>
      <c r="H946" s="57" t="n">
        <f aca="false">MAX(0,IF(AND(Parameter!$B$21="Ja",ISNUMBER(Y946)),Y946,IF(Parameter!$B$20="Jahresanfang 2025 + Export",BL946+BK946,BK946)))</f>
        <v>2</v>
      </c>
      <c r="I946" s="57" t="n">
        <f aca="false">H946*G946</f>
        <v>37.8</v>
      </c>
      <c r="J946" s="57" t="n">
        <f aca="false">BN946*Parameter!$B$18</f>
        <v>8</v>
      </c>
      <c r="K946" s="58" t="n">
        <v>3.5</v>
      </c>
      <c r="L946" s="59" t="n">
        <v>2.28571428571429</v>
      </c>
      <c r="M946" s="57" t="n">
        <v>0</v>
      </c>
      <c r="N946" s="57" t="n">
        <v>10</v>
      </c>
      <c r="O946" s="60" t="n">
        <v>21</v>
      </c>
      <c r="P946" s="55" t="s">
        <v>302</v>
      </c>
      <c r="Q946" s="57" t="n">
        <v>10</v>
      </c>
      <c r="R946" s="60" t="n">
        <f aca="false">IF(BT946=1,0,IFERROR(VLOOKUP(BR946,'Gebinde-Kategorie'!$A$5:$M$45,13,0)+0,0))</f>
        <v>26</v>
      </c>
      <c r="S946" s="61"/>
      <c r="T946" s="62"/>
      <c r="U946" s="62"/>
      <c r="V946" s="62"/>
      <c r="W946" s="55"/>
      <c r="X946" s="57"/>
      <c r="Y946" s="57"/>
      <c r="Z946" s="55" t="n">
        <f aca="false">IF(A946="","",IF(AND(Parameter!$B$21="Ja",ISNUMBER(W946)),W946,IF(BV946="2+3",IF(ISNUMBER(SEARCH("grosser Artikel",BO946)),2,IFERROR(VLOOKUP(BR946,Parameter!$F$35:$G$64,2,0),2)),IF(OR(BV946="Nein",BV946=""),"-",BV946))))</f>
        <v>3</v>
      </c>
      <c r="AA946" s="62"/>
      <c r="AB946" s="63"/>
      <c r="AC946" s="57" t="n">
        <f aca="false">AR946</f>
        <v>10</v>
      </c>
      <c r="AD946" s="57" t="n">
        <f aca="false">MAX(AR946,H946)</f>
        <v>10</v>
      </c>
      <c r="AE946" s="64"/>
      <c r="AF946" s="57" t="n">
        <f aca="false">IF(LEFT(Cockpit!$C$5,1)="A",H946,IF(CA946=1,CB946,IF(LEFT(Cockpit!$C$5,1)="B",AJ946,MAX(AJ946,H946))))</f>
        <v>2</v>
      </c>
      <c r="AG946" s="57" t="n">
        <f aca="false">IF(BT946=1,0,ROUNDUP(AF946/BS946,0))</f>
        <v>1</v>
      </c>
      <c r="AH946" s="59" t="n">
        <f aca="false">IF(CH946&gt;0,CH946*MAX(1,AF946/X946),IF(BT946=1,IF(AF946&lt;=0,0,BW946*MAX(1,IF(H946&gt;0,AF946/H946,1))),IF(R946&gt;0,AG946/R946,0))/MAX(0.1,N(Parameter!$M$21)))</f>
        <v>0.0384615384615385</v>
      </c>
      <c r="AI946" s="57" t="n">
        <f aca="false">AF946*G946</f>
        <v>37.8</v>
      </c>
      <c r="AJ946" s="57" t="n">
        <f aca="false">ROUNDUP(MAX(J946/IF(BZ946&gt;0,BZ946,MAX(0.1,N(Cockpit!$C$6))),CC946)/BS946,0)*BS946</f>
        <v>10</v>
      </c>
      <c r="AK946" s="58" t="n">
        <f aca="false">IF(AH946&gt;0,J946/AH946,-1)</f>
        <v>208</v>
      </c>
      <c r="AL946" s="58" t="n">
        <f aca="false">IF(AND(OR(BY946="L1",BY946="L23"),AH946&gt;0),SUMIFS($AH$7:$AH$1843,$BY$7:$BY$1843,BY946,$AK$7:$AK$1843,"&gt;"&amp;AK946)+SUMIFS($AH$7:$AH$1843,$BY$7:$BY$1843,BY946,$AK$7:$AK$1843,AK946,$BQ$7:$BQ$1843,"&lt;="&amp;BQ946),"")</f>
        <v>31.8800462822202</v>
      </c>
      <c r="AM946" s="65" t="n">
        <f aca="false">IF(AL946="",0,MAX(0,MIN(1,(IF(BY946="L1",Parameter!$E$5,Parameter!$E$6+Parameter!$E$7)-(AL946-AH946))/AH946)))</f>
        <v>1</v>
      </c>
      <c r="AN946" s="57" t="n">
        <f aca="false">IF(LEFT(Cockpit!$I$5,1)="A",H946,IF(CA946=1,CB946,IF(LEFT(Cockpit!$I$5,1)="B",AR946,MAX(AR946,H946))))</f>
        <v>10</v>
      </c>
      <c r="AO946" s="57" t="n">
        <f aca="false">IF(BT946=1,0,ROUNDUP(AN946/BS946,0))</f>
        <v>1</v>
      </c>
      <c r="AP946" s="59" t="n">
        <f aca="false">IF(CH946&gt;0,CH946*MAX(1,AN946/X946),IF(BT946=1,IF(AN946&lt;=0,0,BW946*MAX(1,IF(H946&gt;0,AN946/H946,1))),IF(R946&gt;0,AO946/R946,0))/MAX(0.1,N(Parameter!$M$21)))</f>
        <v>0.0384615384615385</v>
      </c>
      <c r="AQ946" s="57" t="n">
        <f aca="false">AN946*G946</f>
        <v>189</v>
      </c>
      <c r="AR946" s="57" t="n">
        <f aca="false">ROUNDUP(MAX(J946/IF(BZ946&gt;0,BZ946,MAX(0.1,N(Cockpit!$I$6))),CC946)/BS946,0)*BS946</f>
        <v>10</v>
      </c>
      <c r="AS946" s="58" t="n">
        <f aca="false">IF(AP946&gt;0,J946/AP946,-1)</f>
        <v>208</v>
      </c>
      <c r="AT946" s="58" t="n">
        <f aca="false">IF(AND(OR(BY946="L1",BY946="L23"),AP946&gt;0),SUMIFS($AP$7:$AP$1843,$BY$7:$BY$1843,BY946,$AS$7:$AS$1843,"&gt;"&amp;AS946)+SUMIFS($AP$7:$AP$1843,$BY$7:$BY$1843,BY946,$AS$7:$AS$1843,AS946,$BQ$7:$BQ$1843,"&lt;="&amp;BQ946),"")</f>
        <v>46.0122124252559</v>
      </c>
      <c r="AU946" s="65" t="n">
        <f aca="false">IF(AT946="",0,MAX(0,MIN(1,(IF(BY946="L1",Parameter!$E$5,Parameter!$E$6+Parameter!$E$7)-(AT946-AP946))/AP946)))</f>
        <v>1</v>
      </c>
      <c r="AV946" s="57" t="n">
        <f aca="false">IF(LEFT(Cockpit!$O$5,1)="A",H946,IF(CA946=1,CB946,IF(LEFT(Cockpit!$O$5,1)="B",AZ946,MAX(AZ946,H946))))</f>
        <v>10</v>
      </c>
      <c r="AW946" s="57" t="n">
        <f aca="false">IF(BT946=1,0,ROUNDUP(AV946/BS946,0))</f>
        <v>1</v>
      </c>
      <c r="AX946" s="59" t="n">
        <f aca="false">IF(CH946&gt;0,CH946*MAX(1,AV946/X946),IF(BT946=1,IF(AV946&lt;=0,0,BW946*MAX(1,IF(H946&gt;0,AV946/H946,1))),IF(R946&gt;0,AW946/R946,0))/MAX(0.1,N(Parameter!$M$21)))</f>
        <v>0.0384615384615385</v>
      </c>
      <c r="AY946" s="57" t="n">
        <f aca="false">AV946*G946</f>
        <v>189</v>
      </c>
      <c r="AZ946" s="57" t="n">
        <f aca="false">ROUNDUP(MAX(J946/IF(BZ946&gt;0,BZ946,MAX(0.1,N(Cockpit!$O$6))),CC946)/BS946,0)*BS946</f>
        <v>10</v>
      </c>
      <c r="BA946" s="58" t="n">
        <f aca="false">IF(AX946&gt;0,J946/AX946,-1)</f>
        <v>208</v>
      </c>
      <c r="BB946" s="58" t="n">
        <f aca="false">IF(AND(OR(BY946="L1",BY946="L23"),AX946&gt;0),SUMIFS($AX$7:$AX$1843,$BY$7:$BY$1843,BY946,$BA$7:$BA$1843,"&gt;"&amp;BA946)+SUMIFS($AX$7:$AX$1843,$BY$7:$BY$1843,BY946,$BA$7:$BA$1843,BA946,$BQ$7:$BQ$1843,"&lt;="&amp;BQ946),"")</f>
        <v>42.5920492550927</v>
      </c>
      <c r="BC946" s="65" t="n">
        <f aca="false">IF(BB946="",0,MAX(0,MIN(1,(IF(BY946="L1",Parameter!$E$5,Parameter!$E$6+Parameter!$E$7)-(BB946-AX946))/AX946)))</f>
        <v>1</v>
      </c>
      <c r="BD946" s="55" t="str">
        <f aca="false">IF(AH946&lt;=0,"",IF(BY946="Aussen","Aussenlager",IF(BY946="-","Nicht im Lift",IF(AM946&gt;=1,"Lift",IF(AM946&lt;=0,"Aussenlager","teilweise")))))</f>
        <v>Lift</v>
      </c>
      <c r="BE946" s="55" t="str">
        <f aca="false">IF(AP946&lt;=0,"",IF(BY946="Aussen","Aussenlager",IF(BY946="-","Nicht im Lift",IF(AU946&gt;=1,"Lift",IF(AU946&lt;=0,"Aussenlager","teilweise")))))</f>
        <v>Lift</v>
      </c>
      <c r="BF946" s="55" t="str">
        <f aca="false">IF(AX946&lt;=0,"",IF(BY946="Aussen","Aussenlager",IF(BY946="-","Nicht im Lift",IF(BC946&gt;=1,"Lift",IF(BC946&lt;=0,"Aussenlager","teilweise")))))</f>
        <v>Lift</v>
      </c>
      <c r="BG946" s="55" t="str">
        <f aca="false">IF(A946="","",IF(BP946=1,"Neu; ","")&amp;IF(AND(BP946=0,BK946&lt;0),"negativer Bestand (Export "&amp;BK946&amp;"); ","")&amp;IF(J946&lt;=0,"Kein Verbrauch; ","")&amp;IF(CH946&gt;0,"Lift "&amp;W946&amp;" lt. Liftbericht (Fach "&amp;X946&amp;" Stk); ",IF(BU946=1,"Gebinde geschätzt ("&amp;T946&amp;"); ",IF(BT946=1,"Lose – Tablare geschätzt; ","")))&amp;IF(H946&gt;AR946,"Überbestand "&amp;ROUND(H946-AR946,0)&amp;" Stk / CHF "&amp;ROUND((H946-AR946)*G946,0)&amp;"; ","")&amp;IF(AND(CA946=1,CB946&lt;CC946),"MAX &lt; MB+LG; ","")&amp;IF(AND(CG946&gt;0,CF946*10&gt;CG946),"zu hoch für Tablar; ","")&amp;IF(AND(BP946=0,OR(CA946=1,AA946&lt;&gt;"",U946&lt;&gt;"",V946&lt;&gt;"",AB946&lt;&gt;"")),"manuell übersteuert; ","")&amp;IF(AND(BT946=0,R946=0),"Gebinde unbekannt / Stellmass fehlt; ","")&amp;IF(AND(BT946=0,N(V946)&lt;=0,N(Q946)&lt;=0),"Menge pro Gebinde fehlt (Ist = 1 Gebinde); ","")&amp;BO946)</f>
        <v>negativer Bestand (Export -3); </v>
      </c>
      <c r="BH946" s="55"/>
      <c r="BI946" s="55"/>
      <c r="BJ946" s="62"/>
      <c r="BK946" s="57" t="n">
        <v>-3</v>
      </c>
      <c r="BL946" s="57" t="n">
        <v>5</v>
      </c>
      <c r="BM946" s="56" t="n">
        <v>-56.7</v>
      </c>
      <c r="BN946" s="57" t="n">
        <v>8</v>
      </c>
      <c r="BO946" s="55"/>
      <c r="BP946" s="60" t="n">
        <v>0</v>
      </c>
      <c r="BQ946" s="60" t="n">
        <v>946</v>
      </c>
      <c r="BR946" s="55" t="str">
        <f aca="false">IF(U946&lt;&gt;"",UPPER(TRIM(U946)),IF(BU946=1,UPPER(VLOOKUP(T946,Parameter!$I$27:$K$29,2,0)),IF(P946="","LOSE",P946)))</f>
        <v>S51</v>
      </c>
      <c r="BS946" s="57" t="n">
        <f aca="false">IF(BR946="LOSE",1,IF(N(V946)&gt;0,V946,IF(BU946=1,MAX(1,N(VLOOKUP(T946,Parameter!$I$27:$K$29,3,0)),H946,N(N946)),IF(N(Q946)&gt;0,Q946,MAX(1,H946)))))</f>
        <v>10</v>
      </c>
      <c r="BT946" s="60" t="n">
        <f aca="false">IF(BR946="LOSE",1,0)</f>
        <v>0</v>
      </c>
      <c r="BU946" s="60" t="n">
        <f aca="false">IF(AND(U946="",OR(P946="",P946="LOSE"),T946&lt;&gt;"",N(S946)&lt;=0,ISNUMBER(MATCH(T946,Parameter!$I$27:$I$29,0))),1,0)</f>
        <v>0</v>
      </c>
      <c r="BV946" s="55" t="str">
        <f aca="false">IF(AND(Parameter!$B$19="Ja",E946&lt;&gt;"",ISNUMBER(MATCH(E946,Parameter!$I$35:$I$52,0))),VLOOKUP(E946,Parameter!$I$35:$J$52,2,0),IFERROR(VLOOKUP(D946,Parameter!$A$35:$C$64,2,0),"Nein"))</f>
        <v>2+3</v>
      </c>
      <c r="BW946" s="59" t="n">
        <f aca="false">IF(BT946=0,0,IF(N(S946)&gt;0,S946,IFERROR(VLOOKUP(D946,Parameter!$A$35:$C$64,3,0)+0,0)))</f>
        <v>0</v>
      </c>
      <c r="BX946" s="55" t="n">
        <f aca="false">IF(AA946&lt;&gt;"",AA946,Z946)</f>
        <v>3</v>
      </c>
      <c r="BY946" s="55" t="str">
        <f aca="false">IF(BX946=1,"L1",IF(OR(BX946=2,BX946=3),"L23",IF(BX946="Aussen","Aussen","-")))</f>
        <v>L23</v>
      </c>
      <c r="BZ946" s="66" t="n">
        <f aca="false">IF(N(AB946)&gt;0,AB946,0)</f>
        <v>0</v>
      </c>
      <c r="CA946" s="60" t="n">
        <f aca="false">IF(ISNUMBER(AE946),1,0)</f>
        <v>0</v>
      </c>
      <c r="CB946" s="57" t="n">
        <f aca="false">N(AE946)</f>
        <v>0</v>
      </c>
      <c r="CC946" s="57" t="n">
        <f aca="false">N(M946)+N(N946)</f>
        <v>10</v>
      </c>
      <c r="CD946" s="57" t="n">
        <f aca="false">ROUNDUP(H946/BS946,0)</f>
        <v>1</v>
      </c>
      <c r="CE946" s="57" t="n">
        <f aca="false">ROUNDUP(CB946/BS946,0)</f>
        <v>0</v>
      </c>
      <c r="CF946" s="60" t="n">
        <f aca="false">IF(BT946=1,0,IFERROR(VLOOKUP(BR946,'Gebinde-Kategorie'!$A$5:$M$45,5,0)+0,0))</f>
        <v>11</v>
      </c>
      <c r="CG946" s="60" t="n">
        <f aca="false">IFERROR(IF(OR(BX946=1,BX946=2,BX946=3),N(INDEX(Parameter!$I$5:$I$7,BX946)),0),0)</f>
        <v>0</v>
      </c>
      <c r="CH946" s="59" t="n">
        <f aca="false">IF(AND(Parameter!$B$21="Ja",ISNUMBER(W946),N(X946)&gt;0),IFERROR(N(INDEX(Parameter!$L$5:$L$7,W946))*INDEX(Parameter!$E$5:$E$7,W946)*X946/SUMIFS($X$7:$X$1843,$W$7:$W$1843,W946),0),0)</f>
        <v>0</v>
      </c>
    </row>
    <row r="947" customFormat="false" ht="15" hidden="false" customHeight="false" outlineLevel="0" collapsed="false">
      <c r="A947" s="55" t="s">
        <v>1765</v>
      </c>
      <c r="B947" s="55" t="s">
        <v>1766</v>
      </c>
      <c r="C947" s="55" t="s">
        <v>164</v>
      </c>
      <c r="D947" s="55" t="s">
        <v>184</v>
      </c>
      <c r="E947" s="55" t="s">
        <v>185</v>
      </c>
      <c r="F947" s="55" t="s">
        <v>218</v>
      </c>
      <c r="G947" s="56" t="n">
        <v>28.49</v>
      </c>
      <c r="H947" s="57" t="n">
        <f aca="false">MAX(0,IF(AND(Parameter!$B$21="Ja",ISNUMBER(Y947)),Y947,IF(Parameter!$B$20="Jahresanfang 2025 + Export",BL947+BK947,BK947)))</f>
        <v>2</v>
      </c>
      <c r="I947" s="57" t="n">
        <f aca="false">H947*G947</f>
        <v>56.98</v>
      </c>
      <c r="J947" s="57" t="n">
        <f aca="false">BN947*Parameter!$B$18</f>
        <v>0</v>
      </c>
      <c r="K947" s="58" t="n">
        <v>4</v>
      </c>
      <c r="L947" s="59" t="n">
        <v>0</v>
      </c>
      <c r="M947" s="57" t="n">
        <v>0</v>
      </c>
      <c r="N947" s="57" t="n">
        <v>1</v>
      </c>
      <c r="O947" s="60" t="n">
        <v>28</v>
      </c>
      <c r="P947" s="55" t="s">
        <v>328</v>
      </c>
      <c r="Q947" s="57" t="n">
        <v>3</v>
      </c>
      <c r="R947" s="60" t="n">
        <f aca="false">IF(BT947=1,0,IFERROR(VLOOKUP(BR947,'Gebinde-Kategorie'!$A$5:$M$45,13,0)+0,0))</f>
        <v>52</v>
      </c>
      <c r="S947" s="61"/>
      <c r="T947" s="62"/>
      <c r="U947" s="62"/>
      <c r="V947" s="62"/>
      <c r="W947" s="55"/>
      <c r="X947" s="57"/>
      <c r="Y947" s="57"/>
      <c r="Z947" s="55" t="n">
        <f aca="false">IF(A947="","",IF(AND(Parameter!$B$21="Ja",ISNUMBER(W947)),W947,IF(BV947="2+3",IF(ISNUMBER(SEARCH("grosser Artikel",BO947)),2,IFERROR(VLOOKUP(BR947,Parameter!$F$35:$G$64,2,0),2)),IF(OR(BV947="Nein",BV947=""),"-",BV947))))</f>
        <v>3</v>
      </c>
      <c r="AA947" s="62"/>
      <c r="AB947" s="63"/>
      <c r="AC947" s="57" t="n">
        <f aca="false">AR947</f>
        <v>3</v>
      </c>
      <c r="AD947" s="57" t="n">
        <f aca="false">MAX(AR947,H947)</f>
        <v>3</v>
      </c>
      <c r="AE947" s="64"/>
      <c r="AF947" s="57" t="n">
        <f aca="false">IF(LEFT(Cockpit!$C$5,1)="A",H947,IF(CA947=1,CB947,IF(LEFT(Cockpit!$C$5,1)="B",AJ947,MAX(AJ947,H947))))</f>
        <v>2</v>
      </c>
      <c r="AG947" s="57" t="n">
        <f aca="false">IF(BT947=1,0,ROUNDUP(AF947/BS947,0))</f>
        <v>1</v>
      </c>
      <c r="AH947" s="59" t="n">
        <f aca="false">IF(CH947&gt;0,CH947*MAX(1,AF947/X947),IF(BT947=1,IF(AF947&lt;=0,0,BW947*MAX(1,IF(H947&gt;0,AF947/H947,1))),IF(R947&gt;0,AG947/R947,0))/MAX(0.1,N(Parameter!$M$21)))</f>
        <v>0.0192307692307692</v>
      </c>
      <c r="AI947" s="57" t="n">
        <f aca="false">AF947*G947</f>
        <v>56.98</v>
      </c>
      <c r="AJ947" s="57" t="n">
        <f aca="false">ROUNDUP(MAX(J947/IF(BZ947&gt;0,BZ947,MAX(0.1,N(Cockpit!$C$6))),CC947)/BS947,0)*BS947</f>
        <v>3</v>
      </c>
      <c r="AK947" s="58" t="n">
        <f aca="false">IF(AH947&gt;0,J947/AH947,-1)</f>
        <v>0</v>
      </c>
      <c r="AL947" s="58" t="n">
        <f aca="false">IF(AND(OR(BY947="L1",BY947="L23"),AH947&gt;0),SUMIFS($AH$7:$AH$1843,$BY$7:$BY$1843,BY947,$AK$7:$AK$1843,"&gt;"&amp;AK947)+SUMIFS($AH$7:$AH$1843,$BY$7:$BY$1843,BY947,$AK$7:$AK$1843,AK947,$BQ$7:$BQ$1843,"&lt;="&amp;BQ947),"")</f>
        <v>78.1466842336408</v>
      </c>
      <c r="AM947" s="65" t="n">
        <f aca="false">IF(AL947="",0,MAX(0,MIN(1,(IF(BY947="L1",Parameter!$E$5,Parameter!$E$6+Parameter!$E$7)-(AL947-AH947))/AH947)))</f>
        <v>1</v>
      </c>
      <c r="AN947" s="57" t="n">
        <f aca="false">IF(LEFT(Cockpit!$I$5,1)="A",H947,IF(CA947=1,CB947,IF(LEFT(Cockpit!$I$5,1)="B",AR947,MAX(AR947,H947))))</f>
        <v>3</v>
      </c>
      <c r="AO947" s="57" t="n">
        <f aca="false">IF(BT947=1,0,ROUNDUP(AN947/BS947,0))</f>
        <v>1</v>
      </c>
      <c r="AP947" s="59" t="n">
        <f aca="false">IF(CH947&gt;0,CH947*MAX(1,AN947/X947),IF(BT947=1,IF(AN947&lt;=0,0,BW947*MAX(1,IF(H947&gt;0,AN947/H947,1))),IF(R947&gt;0,AO947/R947,0))/MAX(0.1,N(Parameter!$M$21)))</f>
        <v>0.0192307692307692</v>
      </c>
      <c r="AQ947" s="57" t="n">
        <f aca="false">AN947*G947</f>
        <v>85.47</v>
      </c>
      <c r="AR947" s="57" t="n">
        <f aca="false">ROUNDUP(MAX(J947/IF(BZ947&gt;0,BZ947,MAX(0.1,N(Cockpit!$I$6))),CC947)/BS947,0)*BS947</f>
        <v>3</v>
      </c>
      <c r="AS947" s="58" t="n">
        <f aca="false">IF(AP947&gt;0,J947/AP947,-1)</f>
        <v>0</v>
      </c>
      <c r="AT947" s="58" t="n">
        <f aca="false">IF(AND(OR(BY947="L1",BY947="L23"),AP947&gt;0),SUMIFS($AP$7:$AP$1843,$BY$7:$BY$1843,BY947,$AS$7:$AS$1843,"&gt;"&amp;AS947)+SUMIFS($AP$7:$AP$1843,$BY$7:$BY$1843,BY947,$AS$7:$AS$1843,AS947,$BQ$7:$BQ$1843,"&lt;="&amp;BQ947),"")</f>
        <v>119.379252390122</v>
      </c>
      <c r="AU947" s="65" t="n">
        <f aca="false">IF(AT947="",0,MAX(0,MIN(1,(IF(BY947="L1",Parameter!$E$5,Parameter!$E$6+Parameter!$E$7)-(AT947-AP947))/AP947)))</f>
        <v>0</v>
      </c>
      <c r="AV947" s="57" t="n">
        <f aca="false">IF(LEFT(Cockpit!$O$5,1)="A",H947,IF(CA947=1,CB947,IF(LEFT(Cockpit!$O$5,1)="B",AZ947,MAX(AZ947,H947))))</f>
        <v>3</v>
      </c>
      <c r="AW947" s="57" t="n">
        <f aca="false">IF(BT947=1,0,ROUNDUP(AV947/BS947,0))</f>
        <v>1</v>
      </c>
      <c r="AX947" s="59" t="n">
        <f aca="false">IF(CH947&gt;0,CH947*MAX(1,AV947/X947),IF(BT947=1,IF(AV947&lt;=0,0,BW947*MAX(1,IF(H947&gt;0,AV947/H947,1))),IF(R947&gt;0,AW947/R947,0))/MAX(0.1,N(Parameter!$M$21)))</f>
        <v>0.0192307692307692</v>
      </c>
      <c r="AY947" s="57" t="n">
        <f aca="false">AV947*G947</f>
        <v>85.47</v>
      </c>
      <c r="AZ947" s="57" t="n">
        <f aca="false">ROUNDUP(MAX(J947/IF(BZ947&gt;0,BZ947,MAX(0.1,N(Cockpit!$O$6))),CC947)/BS947,0)*BS947</f>
        <v>3</v>
      </c>
      <c r="BA947" s="58" t="n">
        <f aca="false">IF(AX947&gt;0,J947/AX947,-1)</f>
        <v>0</v>
      </c>
      <c r="BB947" s="58" t="n">
        <f aca="false">IF(AND(OR(BY947="L1",BY947="L23"),AX947&gt;0),SUMIFS($AX$7:$AX$1843,$BY$7:$BY$1843,BY947,$BA$7:$BA$1843,"&gt;"&amp;BA947)+SUMIFS($AX$7:$AX$1843,$BY$7:$BY$1843,BY947,$BA$7:$BA$1843,BA947,$BQ$7:$BQ$1843,"&lt;="&amp;BQ947),"")</f>
        <v>110.209089219959</v>
      </c>
      <c r="BC947" s="65" t="n">
        <f aca="false">IF(BB947="",0,MAX(0,MIN(1,(IF(BY947="L1",Parameter!$E$5,Parameter!$E$6+Parameter!$E$7)-(BB947-AX947))/AX947)))</f>
        <v>0</v>
      </c>
      <c r="BD947" s="55" t="str">
        <f aca="false">IF(AH947&lt;=0,"",IF(BY947="Aussen","Aussenlager",IF(BY947="-","Nicht im Lift",IF(AM947&gt;=1,"Lift",IF(AM947&lt;=0,"Aussenlager","teilweise")))))</f>
        <v>Lift</v>
      </c>
      <c r="BE947" s="55" t="str">
        <f aca="false">IF(AP947&lt;=0,"",IF(BY947="Aussen","Aussenlager",IF(BY947="-","Nicht im Lift",IF(AU947&gt;=1,"Lift",IF(AU947&lt;=0,"Aussenlager","teilweise")))))</f>
        <v>Aussenlager</v>
      </c>
      <c r="BF947" s="55" t="str">
        <f aca="false">IF(AX947&lt;=0,"",IF(BY947="Aussen","Aussenlager",IF(BY947="-","Nicht im Lift",IF(BC947&gt;=1,"Lift",IF(BC947&lt;=0,"Aussenlager","teilweise")))))</f>
        <v>Aussenlager</v>
      </c>
      <c r="BG947" s="55" t="str">
        <f aca="false">IF(A947="","",IF(BP947=1,"Neu; ","")&amp;IF(AND(BP947=0,BK947&lt;0),"negativer Bestand (Export "&amp;BK947&amp;"); ","")&amp;IF(J947&lt;=0,"Kein Verbrauch; ","")&amp;IF(CH947&gt;0,"Lift "&amp;W947&amp;" lt. Liftbericht (Fach "&amp;X947&amp;" Stk); ",IF(BU947=1,"Gebinde geschätzt ("&amp;T947&amp;"); ",IF(BT947=1,"Lose – Tablare geschätzt; ","")))&amp;IF(H947&gt;AR947,"Überbestand "&amp;ROUND(H947-AR947,0)&amp;" Stk / CHF "&amp;ROUND((H947-AR947)*G947,0)&amp;"; ","")&amp;IF(AND(CA947=1,CB947&lt;CC947),"MAX &lt; MB+LG; ","")&amp;IF(AND(CG947&gt;0,CF947*10&gt;CG947),"zu hoch für Tablar; ","")&amp;IF(AND(BP947=0,OR(CA947=1,AA947&lt;&gt;"",U947&lt;&gt;"",V947&lt;&gt;"",AB947&lt;&gt;"")),"manuell übersteuert; ","")&amp;IF(AND(BT947=0,R947=0),"Gebinde unbekannt / Stellmass fehlt; ","")&amp;IF(AND(BT947=0,N(V947)&lt;=0,N(Q947)&lt;=0),"Menge pro Gebinde fehlt (Ist = 1 Gebinde); ","")&amp;BO947)</f>
        <v>negativer Bestand (Export -2); Kein Verbrauch; </v>
      </c>
      <c r="BH947" s="55"/>
      <c r="BI947" s="55"/>
      <c r="BJ947" s="62"/>
      <c r="BK947" s="57" t="n">
        <v>-2</v>
      </c>
      <c r="BL947" s="57" t="n">
        <v>4</v>
      </c>
      <c r="BM947" s="56" t="n">
        <v>-56.98</v>
      </c>
      <c r="BN947" s="57" t="n">
        <v>0</v>
      </c>
      <c r="BO947" s="55"/>
      <c r="BP947" s="60" t="n">
        <v>0</v>
      </c>
      <c r="BQ947" s="60" t="n">
        <v>947</v>
      </c>
      <c r="BR947" s="55" t="str">
        <f aca="false">IF(U947&lt;&gt;"",UPPER(TRIM(U947)),IF(BU947=1,UPPER(VLOOKUP(T947,Parameter!$I$27:$K$29,2,0)),IF(P947="","LOSE",P947)))</f>
        <v>S41</v>
      </c>
      <c r="BS947" s="57" t="n">
        <f aca="false">IF(BR947="LOSE",1,IF(N(V947)&gt;0,V947,IF(BU947=1,MAX(1,N(VLOOKUP(T947,Parameter!$I$27:$K$29,3,0)),H947,N(N947)),IF(N(Q947)&gt;0,Q947,MAX(1,H947)))))</f>
        <v>3</v>
      </c>
      <c r="BT947" s="60" t="n">
        <f aca="false">IF(BR947="LOSE",1,0)</f>
        <v>0</v>
      </c>
      <c r="BU947" s="60" t="n">
        <f aca="false">IF(AND(U947="",OR(P947="",P947="LOSE"),T947&lt;&gt;"",N(S947)&lt;=0,ISNUMBER(MATCH(T947,Parameter!$I$27:$I$29,0))),1,0)</f>
        <v>0</v>
      </c>
      <c r="BV947" s="55" t="str">
        <f aca="false">IF(AND(Parameter!$B$19="Ja",E947&lt;&gt;"",ISNUMBER(MATCH(E947,Parameter!$I$35:$I$52,0))),VLOOKUP(E947,Parameter!$I$35:$J$52,2,0),IFERROR(VLOOKUP(D947,Parameter!$A$35:$C$64,2,0),"Nein"))</f>
        <v>2+3</v>
      </c>
      <c r="BW947" s="59" t="n">
        <f aca="false">IF(BT947=0,0,IF(N(S947)&gt;0,S947,IFERROR(VLOOKUP(D947,Parameter!$A$35:$C$64,3,0)+0,0)))</f>
        <v>0</v>
      </c>
      <c r="BX947" s="55" t="n">
        <f aca="false">IF(AA947&lt;&gt;"",AA947,Z947)</f>
        <v>3</v>
      </c>
      <c r="BY947" s="55" t="str">
        <f aca="false">IF(BX947=1,"L1",IF(OR(BX947=2,BX947=3),"L23",IF(BX947="Aussen","Aussen","-")))</f>
        <v>L23</v>
      </c>
      <c r="BZ947" s="66" t="n">
        <f aca="false">IF(N(AB947)&gt;0,AB947,0)</f>
        <v>0</v>
      </c>
      <c r="CA947" s="60" t="n">
        <f aca="false">IF(ISNUMBER(AE947),1,0)</f>
        <v>0</v>
      </c>
      <c r="CB947" s="57" t="n">
        <f aca="false">N(AE947)</f>
        <v>0</v>
      </c>
      <c r="CC947" s="57" t="n">
        <f aca="false">N(M947)+N(N947)</f>
        <v>1</v>
      </c>
      <c r="CD947" s="57" t="n">
        <f aca="false">ROUNDUP(H947/BS947,0)</f>
        <v>1</v>
      </c>
      <c r="CE947" s="57" t="n">
        <f aca="false">ROUNDUP(CB947/BS947,0)</f>
        <v>0</v>
      </c>
      <c r="CF947" s="60" t="n">
        <f aca="false">IF(BT947=1,0,IFERROR(VLOOKUP(BR947,'Gebinde-Kategorie'!$A$5:$M$45,5,0)+0,0))</f>
        <v>11</v>
      </c>
      <c r="CG947" s="60" t="n">
        <f aca="false">IFERROR(IF(OR(BX947=1,BX947=2,BX947=3),N(INDEX(Parameter!$I$5:$I$7,BX947)),0),0)</f>
        <v>0</v>
      </c>
      <c r="CH947" s="59" t="n">
        <f aca="false">IF(AND(Parameter!$B$21="Ja",ISNUMBER(W947),N(X947)&gt;0),IFERROR(N(INDEX(Parameter!$L$5:$L$7,W947))*INDEX(Parameter!$E$5:$E$7,W947)*X947/SUMIFS($X$7:$X$1843,$W$7:$W$1843,W947),0),0)</f>
        <v>0</v>
      </c>
    </row>
    <row r="948" customFormat="false" ht="15" hidden="false" customHeight="false" outlineLevel="0" collapsed="false">
      <c r="A948" s="55" t="s">
        <v>1767</v>
      </c>
      <c r="B948" s="55" t="s">
        <v>1768</v>
      </c>
      <c r="C948" s="55" t="s">
        <v>164</v>
      </c>
      <c r="D948" s="55" t="s">
        <v>184</v>
      </c>
      <c r="E948" s="55" t="s">
        <v>185</v>
      </c>
      <c r="F948" s="55" t="s">
        <v>218</v>
      </c>
      <c r="G948" s="56" t="n">
        <v>3.79</v>
      </c>
      <c r="H948" s="57" t="n">
        <f aca="false">MAX(0,IF(AND(Parameter!$B$21="Ja",ISNUMBER(Y948)),Y948,IF(Parameter!$B$20="Jahresanfang 2025 + Export",BL948+BK948,BK948)))</f>
        <v>22</v>
      </c>
      <c r="I948" s="57" t="n">
        <f aca="false">H948*G948</f>
        <v>83.38</v>
      </c>
      <c r="J948" s="57" t="n">
        <f aca="false">BN948*Parameter!$B$18</f>
        <v>35</v>
      </c>
      <c r="K948" s="58" t="n">
        <v>28.5</v>
      </c>
      <c r="L948" s="59" t="n">
        <v>1.2280701754386</v>
      </c>
      <c r="M948" s="57" t="n">
        <v>1</v>
      </c>
      <c r="N948" s="57" t="n">
        <v>35</v>
      </c>
      <c r="O948" s="60" t="n">
        <v>14</v>
      </c>
      <c r="P948" s="55" t="s">
        <v>233</v>
      </c>
      <c r="Q948" s="57" t="n">
        <v>48</v>
      </c>
      <c r="R948" s="60" t="n">
        <f aca="false">IF(BT948=1,0,IFERROR(VLOOKUP(BR948,'Gebinde-Kategorie'!$A$5:$M$45,13,0)+0,0))</f>
        <v>26</v>
      </c>
      <c r="S948" s="61"/>
      <c r="T948" s="62"/>
      <c r="U948" s="62"/>
      <c r="V948" s="62"/>
      <c r="W948" s="55"/>
      <c r="X948" s="57"/>
      <c r="Y948" s="57"/>
      <c r="Z948" s="55" t="n">
        <f aca="false">IF(A948="","",IF(AND(Parameter!$B$21="Ja",ISNUMBER(W948)),W948,IF(BV948="2+3",IF(ISNUMBER(SEARCH("grosser Artikel",BO948)),2,IFERROR(VLOOKUP(BR948,Parameter!$F$35:$G$64,2,0),2)),IF(OR(BV948="Nein",BV948=""),"-",BV948))))</f>
        <v>3</v>
      </c>
      <c r="AA948" s="62"/>
      <c r="AB948" s="63"/>
      <c r="AC948" s="57" t="n">
        <f aca="false">AR948</f>
        <v>48</v>
      </c>
      <c r="AD948" s="57" t="n">
        <f aca="false">MAX(AR948,H948)</f>
        <v>48</v>
      </c>
      <c r="AE948" s="64"/>
      <c r="AF948" s="57" t="n">
        <f aca="false">IF(LEFT(Cockpit!$C$5,1)="A",H948,IF(CA948=1,CB948,IF(LEFT(Cockpit!$C$5,1)="B",AJ948,MAX(AJ948,H948))))</f>
        <v>22</v>
      </c>
      <c r="AG948" s="57" t="n">
        <f aca="false">IF(BT948=1,0,ROUNDUP(AF948/BS948,0))</f>
        <v>1</v>
      </c>
      <c r="AH948" s="59" t="n">
        <f aca="false">IF(CH948&gt;0,CH948*MAX(1,AF948/X948),IF(BT948=1,IF(AF948&lt;=0,0,BW948*MAX(1,IF(H948&gt;0,AF948/H948,1))),IF(R948&gt;0,AG948/R948,0))/MAX(0.1,N(Parameter!$M$21)))</f>
        <v>0.0384615384615385</v>
      </c>
      <c r="AI948" s="57" t="n">
        <f aca="false">AF948*G948</f>
        <v>83.38</v>
      </c>
      <c r="AJ948" s="57" t="n">
        <f aca="false">ROUNDUP(MAX(J948/IF(BZ948&gt;0,BZ948,MAX(0.1,N(Cockpit!$C$6))),CC948)/BS948,0)*BS948</f>
        <v>48</v>
      </c>
      <c r="AK948" s="58" t="n">
        <f aca="false">IF(AH948&gt;0,J948/AH948,-1)</f>
        <v>910</v>
      </c>
      <c r="AL948" s="58" t="n">
        <f aca="false">IF(AND(OR(BY948="L1",BY948="L23"),AH948&gt;0),SUMIFS($AH$7:$AH$1843,$BY$7:$BY$1843,BY948,$AK$7:$AK$1843,"&gt;"&amp;AK948)+SUMIFS($AH$7:$AH$1843,$BY$7:$BY$1843,BY948,$AK$7:$AK$1843,AK948,$BQ$7:$BQ$1843,"&lt;="&amp;BQ948),"")</f>
        <v>18.9495118408162</v>
      </c>
      <c r="AM948" s="65" t="n">
        <f aca="false">IF(AL948="",0,MAX(0,MIN(1,(IF(BY948="L1",Parameter!$E$5,Parameter!$E$6+Parameter!$E$7)-(AL948-AH948))/AH948)))</f>
        <v>1</v>
      </c>
      <c r="AN948" s="57" t="n">
        <f aca="false">IF(LEFT(Cockpit!$I$5,1)="A",H948,IF(CA948=1,CB948,IF(LEFT(Cockpit!$I$5,1)="B",AR948,MAX(AR948,H948))))</f>
        <v>48</v>
      </c>
      <c r="AO948" s="57" t="n">
        <f aca="false">IF(BT948=1,0,ROUNDUP(AN948/BS948,0))</f>
        <v>1</v>
      </c>
      <c r="AP948" s="59" t="n">
        <f aca="false">IF(CH948&gt;0,CH948*MAX(1,AN948/X948),IF(BT948=1,IF(AN948&lt;=0,0,BW948*MAX(1,IF(H948&gt;0,AN948/H948,1))),IF(R948&gt;0,AO948/R948,0))/MAX(0.1,N(Parameter!$M$21)))</f>
        <v>0.0384615384615385</v>
      </c>
      <c r="AQ948" s="57" t="n">
        <f aca="false">AN948*G948</f>
        <v>181.92</v>
      </c>
      <c r="AR948" s="57" t="n">
        <f aca="false">ROUNDUP(MAX(J948/IF(BZ948&gt;0,BZ948,MAX(0.1,N(Cockpit!$I$6))),CC948)/BS948,0)*BS948</f>
        <v>48</v>
      </c>
      <c r="AS948" s="58" t="n">
        <f aca="false">IF(AP948&gt;0,J948/AP948,-1)</f>
        <v>910</v>
      </c>
      <c r="AT948" s="58" t="n">
        <f aca="false">IF(AND(OR(BY948="L1",BY948="L23"),AP948&gt;0),SUMIFS($AP$7:$AP$1843,$BY$7:$BY$1843,BY948,$AS$7:$AS$1843,"&gt;"&amp;AS948)+SUMIFS($AP$7:$AP$1843,$BY$7:$BY$1843,BY948,$AS$7:$AS$1843,AS948,$BQ$7:$BQ$1843,"&lt;="&amp;BQ948),"")</f>
        <v>24.5119337184555</v>
      </c>
      <c r="AU948" s="65" t="n">
        <f aca="false">IF(AT948="",0,MAX(0,MIN(1,(IF(BY948="L1",Parameter!$E$5,Parameter!$E$6+Parameter!$E$7)-(AT948-AP948))/AP948)))</f>
        <v>1</v>
      </c>
      <c r="AV948" s="57" t="n">
        <f aca="false">IF(LEFT(Cockpit!$O$5,1)="A",H948,IF(CA948=1,CB948,IF(LEFT(Cockpit!$O$5,1)="B",AZ948,MAX(AZ948,H948))))</f>
        <v>48</v>
      </c>
      <c r="AW948" s="57" t="n">
        <f aca="false">IF(BT948=1,0,ROUNDUP(AV948/BS948,0))</f>
        <v>1</v>
      </c>
      <c r="AX948" s="59" t="n">
        <f aca="false">IF(CH948&gt;0,CH948*MAX(1,AV948/X948),IF(BT948=1,IF(AV948&lt;=0,0,BW948*MAX(1,IF(H948&gt;0,AV948/H948,1))),IF(R948&gt;0,AW948/R948,0))/MAX(0.1,N(Parameter!$M$21)))</f>
        <v>0.0384615384615385</v>
      </c>
      <c r="AY948" s="57" t="n">
        <f aca="false">AV948*G948</f>
        <v>181.92</v>
      </c>
      <c r="AZ948" s="57" t="n">
        <f aca="false">ROUNDUP(MAX(J948/IF(BZ948&gt;0,BZ948,MAX(0.1,N(Cockpit!$O$6))),CC948)/BS948,0)*BS948</f>
        <v>48</v>
      </c>
      <c r="BA948" s="58" t="n">
        <f aca="false">IF(AX948&gt;0,J948/AX948,-1)</f>
        <v>910</v>
      </c>
      <c r="BB948" s="58" t="n">
        <f aca="false">IF(AND(OR(BY948="L1",BY948="L23"),AX948&gt;0),SUMIFS($AX$7:$AX$1843,$BY$7:$BY$1843,BY948,$BA$7:$BA$1843,"&gt;"&amp;BA948)+SUMIFS($AX$7:$AX$1843,$BY$7:$BY$1843,BY948,$BA$7:$BA$1843,BA948,$BQ$7:$BQ$1843,"&lt;="&amp;BQ948),"")</f>
        <v>24.1302320867538</v>
      </c>
      <c r="BC948" s="65" t="n">
        <f aca="false">IF(BB948="",0,MAX(0,MIN(1,(IF(BY948="L1",Parameter!$E$5,Parameter!$E$6+Parameter!$E$7)-(BB948-AX948))/AX948)))</f>
        <v>1</v>
      </c>
      <c r="BD948" s="55" t="str">
        <f aca="false">IF(AH948&lt;=0,"",IF(BY948="Aussen","Aussenlager",IF(BY948="-","Nicht im Lift",IF(AM948&gt;=1,"Lift",IF(AM948&lt;=0,"Aussenlager","teilweise")))))</f>
        <v>Lift</v>
      </c>
      <c r="BE948" s="55" t="str">
        <f aca="false">IF(AP948&lt;=0,"",IF(BY948="Aussen","Aussenlager",IF(BY948="-","Nicht im Lift",IF(AU948&gt;=1,"Lift",IF(AU948&lt;=0,"Aussenlager","teilweise")))))</f>
        <v>Lift</v>
      </c>
      <c r="BF948" s="55" t="str">
        <f aca="false">IF(AX948&lt;=0,"",IF(BY948="Aussen","Aussenlager",IF(BY948="-","Nicht im Lift",IF(BC948&gt;=1,"Lift",IF(BC948&lt;=0,"Aussenlager","teilweise")))))</f>
        <v>Lift</v>
      </c>
      <c r="BG948" s="55" t="str">
        <f aca="false">IF(A948="","",IF(BP948=1,"Neu; ","")&amp;IF(AND(BP948=0,BK948&lt;0),"negativer Bestand (Export "&amp;BK948&amp;"); ","")&amp;IF(J948&lt;=0,"Kein Verbrauch; ","")&amp;IF(CH948&gt;0,"Lift "&amp;W948&amp;" lt. Liftbericht (Fach "&amp;X948&amp;" Stk); ",IF(BU948=1,"Gebinde geschätzt ("&amp;T948&amp;"); ",IF(BT948=1,"Lose – Tablare geschätzt; ","")))&amp;IF(H948&gt;AR948,"Überbestand "&amp;ROUND(H948-AR948,0)&amp;" Stk / CHF "&amp;ROUND((H948-AR948)*G948,0)&amp;"; ","")&amp;IF(AND(CA948=1,CB948&lt;CC948),"MAX &lt; MB+LG; ","")&amp;IF(AND(CG948&gt;0,CF948*10&gt;CG948),"zu hoch für Tablar; ","")&amp;IF(AND(BP948=0,OR(CA948=1,AA948&lt;&gt;"",U948&lt;&gt;"",V948&lt;&gt;"",AB948&lt;&gt;"")),"manuell übersteuert; ","")&amp;IF(AND(BT948=0,R948=0),"Gebinde unbekannt / Stellmass fehlt; ","")&amp;IF(AND(BT948=0,N(V948)&lt;=0,N(Q948)&lt;=0),"Menge pro Gebinde fehlt (Ist = 1 Gebinde); ","")&amp;BO948)</f>
        <v>negativer Bestand (Export -14); </v>
      </c>
      <c r="BH948" s="55"/>
      <c r="BI948" s="55"/>
      <c r="BJ948" s="62"/>
      <c r="BK948" s="57" t="n">
        <v>-14</v>
      </c>
      <c r="BL948" s="57" t="n">
        <v>36</v>
      </c>
      <c r="BM948" s="56" t="n">
        <v>-58.1</v>
      </c>
      <c r="BN948" s="57" t="n">
        <v>35</v>
      </c>
      <c r="BO948" s="55"/>
      <c r="BP948" s="60" t="n">
        <v>0</v>
      </c>
      <c r="BQ948" s="60" t="n">
        <v>948</v>
      </c>
      <c r="BR948" s="55" t="str">
        <f aca="false">IF(U948&lt;&gt;"",UPPER(TRIM(U948)),IF(BU948=1,UPPER(VLOOKUP(T948,Parameter!$I$27:$K$29,2,0)),IF(P948="","LOSE",P948)))</f>
        <v>S52</v>
      </c>
      <c r="BS948" s="57" t="n">
        <f aca="false">IF(BR948="LOSE",1,IF(N(V948)&gt;0,V948,IF(BU948=1,MAX(1,N(VLOOKUP(T948,Parameter!$I$27:$K$29,3,0)),H948,N(N948)),IF(N(Q948)&gt;0,Q948,MAX(1,H948)))))</f>
        <v>48</v>
      </c>
      <c r="BT948" s="60" t="n">
        <f aca="false">IF(BR948="LOSE",1,0)</f>
        <v>0</v>
      </c>
      <c r="BU948" s="60" t="n">
        <f aca="false">IF(AND(U948="",OR(P948="",P948="LOSE"),T948&lt;&gt;"",N(S948)&lt;=0,ISNUMBER(MATCH(T948,Parameter!$I$27:$I$29,0))),1,0)</f>
        <v>0</v>
      </c>
      <c r="BV948" s="55" t="str">
        <f aca="false">IF(AND(Parameter!$B$19="Ja",E948&lt;&gt;"",ISNUMBER(MATCH(E948,Parameter!$I$35:$I$52,0))),VLOOKUP(E948,Parameter!$I$35:$J$52,2,0),IFERROR(VLOOKUP(D948,Parameter!$A$35:$C$64,2,0),"Nein"))</f>
        <v>2+3</v>
      </c>
      <c r="BW948" s="59" t="n">
        <f aca="false">IF(BT948=0,0,IF(N(S948)&gt;0,S948,IFERROR(VLOOKUP(D948,Parameter!$A$35:$C$64,3,0)+0,0)))</f>
        <v>0</v>
      </c>
      <c r="BX948" s="55" t="n">
        <f aca="false">IF(AA948&lt;&gt;"",AA948,Z948)</f>
        <v>3</v>
      </c>
      <c r="BY948" s="55" t="str">
        <f aca="false">IF(BX948=1,"L1",IF(OR(BX948=2,BX948=3),"L23",IF(BX948="Aussen","Aussen","-")))</f>
        <v>L23</v>
      </c>
      <c r="BZ948" s="66" t="n">
        <f aca="false">IF(N(AB948)&gt;0,AB948,0)</f>
        <v>0</v>
      </c>
      <c r="CA948" s="60" t="n">
        <f aca="false">IF(ISNUMBER(AE948),1,0)</f>
        <v>0</v>
      </c>
      <c r="CB948" s="57" t="n">
        <f aca="false">N(AE948)</f>
        <v>0</v>
      </c>
      <c r="CC948" s="57" t="n">
        <f aca="false">N(M948)+N(N948)</f>
        <v>36</v>
      </c>
      <c r="CD948" s="57" t="n">
        <f aca="false">ROUNDUP(H948/BS948,0)</f>
        <v>1</v>
      </c>
      <c r="CE948" s="57" t="n">
        <f aca="false">ROUNDUP(CB948/BS948,0)</f>
        <v>0</v>
      </c>
      <c r="CF948" s="60" t="n">
        <f aca="false">IF(BT948=1,0,IFERROR(VLOOKUP(BR948,'Gebinde-Kategorie'!$A$5:$M$45,5,0)+0,0))</f>
        <v>21</v>
      </c>
      <c r="CG948" s="60" t="n">
        <f aca="false">IFERROR(IF(OR(BX948=1,BX948=2,BX948=3),N(INDEX(Parameter!$I$5:$I$7,BX948)),0),0)</f>
        <v>0</v>
      </c>
      <c r="CH948" s="59" t="n">
        <f aca="false">IF(AND(Parameter!$B$21="Ja",ISNUMBER(W948),N(X948)&gt;0),IFERROR(N(INDEX(Parameter!$L$5:$L$7,W948))*INDEX(Parameter!$E$5:$E$7,W948)*X948/SUMIFS($X$7:$X$1843,$W$7:$W$1843,W948),0),0)</f>
        <v>0</v>
      </c>
    </row>
    <row r="949" customFormat="false" ht="15" hidden="false" customHeight="false" outlineLevel="0" collapsed="false">
      <c r="A949" s="55" t="s">
        <v>1769</v>
      </c>
      <c r="B949" s="55" t="s">
        <v>468</v>
      </c>
      <c r="C949" s="55" t="s">
        <v>164</v>
      </c>
      <c r="D949" s="55" t="s">
        <v>184</v>
      </c>
      <c r="E949" s="55" t="s">
        <v>185</v>
      </c>
      <c r="F949" s="55" t="s">
        <v>218</v>
      </c>
      <c r="G949" s="56" t="n">
        <v>0.84</v>
      </c>
      <c r="H949" s="57" t="n">
        <f aca="false">MAX(0,IF(AND(Parameter!$B$21="Ja",ISNUMBER(Y949)),Y949,IF(Parameter!$B$20="Jahresanfang 2025 + Export",BL949+BK949,BK949)))</f>
        <v>113</v>
      </c>
      <c r="I949" s="57" t="n">
        <f aca="false">H949*G949</f>
        <v>94.92</v>
      </c>
      <c r="J949" s="57" t="n">
        <f aca="false">BN949*Parameter!$B$18</f>
        <v>136</v>
      </c>
      <c r="K949" s="58" t="n">
        <v>196.5</v>
      </c>
      <c r="L949" s="59" t="n">
        <v>0.692111959287532</v>
      </c>
      <c r="M949" s="57" t="n">
        <v>5</v>
      </c>
      <c r="N949" s="57" t="n">
        <v>135</v>
      </c>
      <c r="O949" s="60" t="n">
        <v>14</v>
      </c>
      <c r="P949" s="55" t="s">
        <v>476</v>
      </c>
      <c r="Q949" s="57" t="n">
        <v>371</v>
      </c>
      <c r="R949" s="60" t="n">
        <f aca="false">IF(BT949=1,0,IFERROR(VLOOKUP(BR949,'Gebinde-Kategorie'!$A$5:$M$45,13,0)+0,0))</f>
        <v>66</v>
      </c>
      <c r="S949" s="61"/>
      <c r="T949" s="62"/>
      <c r="U949" s="62"/>
      <c r="V949" s="62"/>
      <c r="W949" s="55"/>
      <c r="X949" s="57"/>
      <c r="Y949" s="57"/>
      <c r="Z949" s="55" t="n">
        <f aca="false">IF(A949="","",IF(AND(Parameter!$B$21="Ja",ISNUMBER(W949)),W949,IF(BV949="2+3",IF(ISNUMBER(SEARCH("grosser Artikel",BO949)),2,IFERROR(VLOOKUP(BR949,Parameter!$F$35:$G$64,2,0),2)),IF(OR(BV949="Nein",BV949=""),"-",BV949))))</f>
        <v>3</v>
      </c>
      <c r="AA949" s="62"/>
      <c r="AB949" s="63"/>
      <c r="AC949" s="57" t="n">
        <f aca="false">AR949</f>
        <v>371</v>
      </c>
      <c r="AD949" s="57" t="n">
        <f aca="false">MAX(AR949,H949)</f>
        <v>371</v>
      </c>
      <c r="AE949" s="64"/>
      <c r="AF949" s="57" t="n">
        <f aca="false">IF(LEFT(Cockpit!$C$5,1)="A",H949,IF(CA949=1,CB949,IF(LEFT(Cockpit!$C$5,1)="B",AJ949,MAX(AJ949,H949))))</f>
        <v>113</v>
      </c>
      <c r="AG949" s="57" t="n">
        <f aca="false">IF(BT949=1,0,ROUNDUP(AF949/BS949,0))</f>
        <v>1</v>
      </c>
      <c r="AH949" s="59" t="n">
        <f aca="false">IF(CH949&gt;0,CH949*MAX(1,AF949/X949),IF(BT949=1,IF(AF949&lt;=0,0,BW949*MAX(1,IF(H949&gt;0,AF949/H949,1))),IF(R949&gt;0,AG949/R949,0))/MAX(0.1,N(Parameter!$M$21)))</f>
        <v>0.0151515151515152</v>
      </c>
      <c r="AI949" s="57" t="n">
        <f aca="false">AF949*G949</f>
        <v>94.92</v>
      </c>
      <c r="AJ949" s="57" t="n">
        <f aca="false">ROUNDUP(MAX(J949/IF(BZ949&gt;0,BZ949,MAX(0.1,N(Cockpit!$C$6))),CC949)/BS949,0)*BS949</f>
        <v>371</v>
      </c>
      <c r="AK949" s="58" t="n">
        <f aca="false">IF(AH949&gt;0,J949/AH949,-1)</f>
        <v>8976</v>
      </c>
      <c r="AL949" s="58" t="n">
        <f aca="false">IF(AND(OR(BY949="L1",BY949="L23"),AH949&gt;0),SUMIFS($AH$7:$AH$1843,$BY$7:$BY$1843,BY949,$AK$7:$AK$1843,"&gt;"&amp;AK949)+SUMIFS($AH$7:$AH$1843,$BY$7:$BY$1843,BY949,$AK$7:$AK$1843,AK949,$BQ$7:$BQ$1843,"&lt;="&amp;BQ949),"")</f>
        <v>5.71451977973717</v>
      </c>
      <c r="AM949" s="65" t="n">
        <f aca="false">IF(AL949="",0,MAX(0,MIN(1,(IF(BY949="L1",Parameter!$E$5,Parameter!$E$6+Parameter!$E$7)-(AL949-AH949))/AH949)))</f>
        <v>1</v>
      </c>
      <c r="AN949" s="57" t="n">
        <f aca="false">IF(LEFT(Cockpit!$I$5,1)="A",H949,IF(CA949=1,CB949,IF(LEFT(Cockpit!$I$5,1)="B",AR949,MAX(AR949,H949))))</f>
        <v>371</v>
      </c>
      <c r="AO949" s="57" t="n">
        <f aca="false">IF(BT949=1,0,ROUNDUP(AN949/BS949,0))</f>
        <v>1</v>
      </c>
      <c r="AP949" s="59" t="n">
        <f aca="false">IF(CH949&gt;0,CH949*MAX(1,AN949/X949),IF(BT949=1,IF(AN949&lt;=0,0,BW949*MAX(1,IF(H949&gt;0,AN949/H949,1))),IF(R949&gt;0,AO949/R949,0))/MAX(0.1,N(Parameter!$M$21)))</f>
        <v>0.0151515151515152</v>
      </c>
      <c r="AQ949" s="57" t="n">
        <f aca="false">AN949*G949</f>
        <v>311.64</v>
      </c>
      <c r="AR949" s="57" t="n">
        <f aca="false">ROUNDUP(MAX(J949/IF(BZ949&gt;0,BZ949,MAX(0.1,N(Cockpit!$I$6))),CC949)/BS949,0)*BS949</f>
        <v>371</v>
      </c>
      <c r="AS949" s="58" t="n">
        <f aca="false">IF(AP949&gt;0,J949/AP949,-1)</f>
        <v>8976</v>
      </c>
      <c r="AT949" s="58" t="n">
        <f aca="false">IF(AND(OR(BY949="L1",BY949="L23"),AP949&gt;0),SUMIFS($AP$7:$AP$1843,$BY$7:$BY$1843,BY949,$AS$7:$AS$1843,"&gt;"&amp;AS949)+SUMIFS($AP$7:$AP$1843,$BY$7:$BY$1843,BY949,$AS$7:$AS$1843,AS949,$BQ$7:$BQ$1843,"&lt;="&amp;BQ949),"")</f>
        <v>8.49924833620486</v>
      </c>
      <c r="AU949" s="65" t="n">
        <f aca="false">IF(AT949="",0,MAX(0,MIN(1,(IF(BY949="L1",Parameter!$E$5,Parameter!$E$6+Parameter!$E$7)-(AT949-AP949))/AP949)))</f>
        <v>1</v>
      </c>
      <c r="AV949" s="57" t="n">
        <f aca="false">IF(LEFT(Cockpit!$O$5,1)="A",H949,IF(CA949=1,CB949,IF(LEFT(Cockpit!$O$5,1)="B",AZ949,MAX(AZ949,H949))))</f>
        <v>371</v>
      </c>
      <c r="AW949" s="57" t="n">
        <f aca="false">IF(BT949=1,0,ROUNDUP(AV949/BS949,0))</f>
        <v>1</v>
      </c>
      <c r="AX949" s="59" t="n">
        <f aca="false">IF(CH949&gt;0,CH949*MAX(1,AV949/X949),IF(BT949=1,IF(AV949&lt;=0,0,BW949*MAX(1,IF(H949&gt;0,AV949/H949,1))),IF(R949&gt;0,AW949/R949,0))/MAX(0.1,N(Parameter!$M$21)))</f>
        <v>0.0151515151515152</v>
      </c>
      <c r="AY949" s="57" t="n">
        <f aca="false">AV949*G949</f>
        <v>311.64</v>
      </c>
      <c r="AZ949" s="57" t="n">
        <f aca="false">ROUNDUP(MAX(J949/IF(BZ949&gt;0,BZ949,MAX(0.1,N(Cockpit!$O$6))),CC949)/BS949,0)*BS949</f>
        <v>371</v>
      </c>
      <c r="BA949" s="58" t="n">
        <f aca="false">IF(AX949&gt;0,J949/AX949,-1)</f>
        <v>8976</v>
      </c>
      <c r="BB949" s="58" t="n">
        <f aca="false">IF(AND(OR(BY949="L1",BY949="L23"),AX949&gt;0),SUMIFS($AX$7:$AX$1843,$BY$7:$BY$1843,BY949,$BA$7:$BA$1843,"&gt;"&amp;BA949)+SUMIFS($AX$7:$AX$1843,$BY$7:$BY$1843,BY949,$BA$7:$BA$1843,BA949,$BQ$7:$BQ$1843,"&lt;="&amp;BQ949),"")</f>
        <v>8.30985439681092</v>
      </c>
      <c r="BC949" s="65" t="n">
        <f aca="false">IF(BB949="",0,MAX(0,MIN(1,(IF(BY949="L1",Parameter!$E$5,Parameter!$E$6+Parameter!$E$7)-(BB949-AX949))/AX949)))</f>
        <v>1</v>
      </c>
      <c r="BD949" s="55" t="str">
        <f aca="false">IF(AH949&lt;=0,"",IF(BY949="Aussen","Aussenlager",IF(BY949="-","Nicht im Lift",IF(AM949&gt;=1,"Lift",IF(AM949&lt;=0,"Aussenlager","teilweise")))))</f>
        <v>Lift</v>
      </c>
      <c r="BE949" s="55" t="str">
        <f aca="false">IF(AP949&lt;=0,"",IF(BY949="Aussen","Aussenlager",IF(BY949="-","Nicht im Lift",IF(AU949&gt;=1,"Lift",IF(AU949&lt;=0,"Aussenlager","teilweise")))))</f>
        <v>Lift</v>
      </c>
      <c r="BF949" s="55" t="str">
        <f aca="false">IF(AX949&lt;=0,"",IF(BY949="Aussen","Aussenlager",IF(BY949="-","Nicht im Lift",IF(BC949&gt;=1,"Lift",IF(BC949&lt;=0,"Aussenlager","teilweise")))))</f>
        <v>Lift</v>
      </c>
      <c r="BG949" s="55" t="str">
        <f aca="false">IF(A949="","",IF(BP949=1,"Neu; ","")&amp;IF(AND(BP949=0,BK949&lt;0),"negativer Bestand (Export "&amp;BK949&amp;"); ","")&amp;IF(J949&lt;=0,"Kein Verbrauch; ","")&amp;IF(CH949&gt;0,"Lift "&amp;W949&amp;" lt. Liftbericht (Fach "&amp;X949&amp;" Stk); ",IF(BU949=1,"Gebinde geschätzt ("&amp;T949&amp;"); ",IF(BT949=1,"Lose – Tablare geschätzt; ","")))&amp;IF(H949&gt;AR949,"Überbestand "&amp;ROUND(H949-AR949,0)&amp;" Stk / CHF "&amp;ROUND((H949-AR949)*G949,0)&amp;"; ","")&amp;IF(AND(CA949=1,CB949&lt;CC949),"MAX &lt; MB+LG; ","")&amp;IF(AND(CG949&gt;0,CF949*10&gt;CG949),"zu hoch für Tablar; ","")&amp;IF(AND(BP949=0,OR(CA949=1,AA949&lt;&gt;"",U949&lt;&gt;"",V949&lt;&gt;"",AB949&lt;&gt;"")),"manuell übersteuert; ","")&amp;IF(AND(BT949=0,R949=0),"Gebinde unbekannt / Stellmass fehlt; ","")&amp;IF(AND(BT949=0,N(V949)&lt;=0,N(Q949)&lt;=0),"Menge pro Gebinde fehlt (Ist = 1 Gebinde); ","")&amp;BO949)</f>
        <v>negativer Bestand (Export -62); </v>
      </c>
      <c r="BH949" s="55"/>
      <c r="BI949" s="55"/>
      <c r="BJ949" s="62"/>
      <c r="BK949" s="57" t="n">
        <v>-62</v>
      </c>
      <c r="BL949" s="57" t="n">
        <v>175</v>
      </c>
      <c r="BM949" s="56" t="n">
        <v>-58.7599999999999</v>
      </c>
      <c r="BN949" s="57" t="n">
        <v>136</v>
      </c>
      <c r="BO949" s="55"/>
      <c r="BP949" s="60" t="n">
        <v>0</v>
      </c>
      <c r="BQ949" s="60" t="n">
        <v>949</v>
      </c>
      <c r="BR949" s="55" t="str">
        <f aca="false">IF(U949&lt;&gt;"",UPPER(TRIM(U949)),IF(BU949=1,UPPER(VLOOKUP(T949,Parameter!$I$27:$K$29,2,0)),IF(P949="","LOSE",P949)))</f>
        <v>S33</v>
      </c>
      <c r="BS949" s="57" t="n">
        <f aca="false">IF(BR949="LOSE",1,IF(N(V949)&gt;0,V949,IF(BU949=1,MAX(1,N(VLOOKUP(T949,Parameter!$I$27:$K$29,3,0)),H949,N(N949)),IF(N(Q949)&gt;0,Q949,MAX(1,H949)))))</f>
        <v>371</v>
      </c>
      <c r="BT949" s="60" t="n">
        <f aca="false">IF(BR949="LOSE",1,0)</f>
        <v>0</v>
      </c>
      <c r="BU949" s="60" t="n">
        <f aca="false">IF(AND(U949="",OR(P949="",P949="LOSE"),T949&lt;&gt;"",N(S949)&lt;=0,ISNUMBER(MATCH(T949,Parameter!$I$27:$I$29,0))),1,0)</f>
        <v>0</v>
      </c>
      <c r="BV949" s="55" t="str">
        <f aca="false">IF(AND(Parameter!$B$19="Ja",E949&lt;&gt;"",ISNUMBER(MATCH(E949,Parameter!$I$35:$I$52,0))),VLOOKUP(E949,Parameter!$I$35:$J$52,2,0),IFERROR(VLOOKUP(D949,Parameter!$A$35:$C$64,2,0),"Nein"))</f>
        <v>2+3</v>
      </c>
      <c r="BW949" s="59" t="n">
        <f aca="false">IF(BT949=0,0,IF(N(S949)&gt;0,S949,IFERROR(VLOOKUP(D949,Parameter!$A$35:$C$64,3,0)+0,0)))</f>
        <v>0</v>
      </c>
      <c r="BX949" s="55" t="n">
        <f aca="false">IF(AA949&lt;&gt;"",AA949,Z949)</f>
        <v>3</v>
      </c>
      <c r="BY949" s="55" t="str">
        <f aca="false">IF(BX949=1,"L1",IF(OR(BX949=2,BX949=3),"L23",IF(BX949="Aussen","Aussen","-")))</f>
        <v>L23</v>
      </c>
      <c r="BZ949" s="66" t="n">
        <f aca="false">IF(N(AB949)&gt;0,AB949,0)</f>
        <v>0</v>
      </c>
      <c r="CA949" s="60" t="n">
        <f aca="false">IF(ISNUMBER(AE949),1,0)</f>
        <v>0</v>
      </c>
      <c r="CB949" s="57" t="n">
        <f aca="false">N(AE949)</f>
        <v>0</v>
      </c>
      <c r="CC949" s="57" t="n">
        <f aca="false">N(M949)+N(N949)</f>
        <v>140</v>
      </c>
      <c r="CD949" s="57" t="n">
        <f aca="false">ROUNDUP(H949/BS949,0)</f>
        <v>1</v>
      </c>
      <c r="CE949" s="57" t="n">
        <f aca="false">ROUNDUP(CB949/BS949,0)</f>
        <v>0</v>
      </c>
      <c r="CF949" s="60" t="n">
        <f aca="false">IF(BT949=1,0,IFERROR(VLOOKUP(BR949,'Gebinde-Kategorie'!$A$5:$M$45,5,0)+0,0))</f>
        <v>8</v>
      </c>
      <c r="CG949" s="60" t="n">
        <f aca="false">IFERROR(IF(OR(BX949=1,BX949=2,BX949=3),N(INDEX(Parameter!$I$5:$I$7,BX949)),0),0)</f>
        <v>0</v>
      </c>
      <c r="CH949" s="59" t="n">
        <f aca="false">IF(AND(Parameter!$B$21="Ja",ISNUMBER(W949),N(X949)&gt;0),IFERROR(N(INDEX(Parameter!$L$5:$L$7,W949))*INDEX(Parameter!$E$5:$E$7,W949)*X949/SUMIFS($X$7:$X$1843,$W$7:$W$1843,W949),0),0)</f>
        <v>0</v>
      </c>
    </row>
    <row r="950" customFormat="false" ht="15" hidden="false" customHeight="false" outlineLevel="0" collapsed="false">
      <c r="A950" s="55" t="s">
        <v>1770</v>
      </c>
      <c r="B950" s="55" t="s">
        <v>1771</v>
      </c>
      <c r="C950" s="55" t="s">
        <v>164</v>
      </c>
      <c r="D950" s="55" t="s">
        <v>184</v>
      </c>
      <c r="E950" s="55" t="s">
        <v>185</v>
      </c>
      <c r="F950" s="55" t="s">
        <v>218</v>
      </c>
      <c r="G950" s="56" t="n">
        <v>58.07</v>
      </c>
      <c r="H950" s="57" t="n">
        <f aca="false">MAX(0,IF(AND(Parameter!$B$21="Ja",ISNUMBER(Y950)),Y950,IF(Parameter!$B$20="Jahresanfang 2025 + Export",BL950+BK950,BK950)))</f>
        <v>9</v>
      </c>
      <c r="I950" s="57" t="n">
        <f aca="false">H950*G950</f>
        <v>522.63</v>
      </c>
      <c r="J950" s="57" t="n">
        <f aca="false">BN950*Parameter!$B$18</f>
        <v>7</v>
      </c>
      <c r="K950" s="58" t="n">
        <v>9</v>
      </c>
      <c r="L950" s="59" t="n">
        <v>0.777777777777778</v>
      </c>
      <c r="M950" s="57" t="n">
        <v>0</v>
      </c>
      <c r="N950" s="57" t="n">
        <v>5</v>
      </c>
      <c r="O950" s="60" t="n">
        <v>28</v>
      </c>
      <c r="P950" s="55" t="s">
        <v>233</v>
      </c>
      <c r="Q950" s="57" t="n">
        <v>21</v>
      </c>
      <c r="R950" s="60" t="n">
        <f aca="false">IF(BT950=1,0,IFERROR(VLOOKUP(BR950,'Gebinde-Kategorie'!$A$5:$M$45,13,0)+0,0))</f>
        <v>26</v>
      </c>
      <c r="S950" s="61"/>
      <c r="T950" s="62"/>
      <c r="U950" s="62"/>
      <c r="V950" s="62"/>
      <c r="W950" s="55"/>
      <c r="X950" s="57"/>
      <c r="Y950" s="57"/>
      <c r="Z950" s="55" t="n">
        <f aca="false">IF(A950="","",IF(AND(Parameter!$B$21="Ja",ISNUMBER(W950)),W950,IF(BV950="2+3",IF(ISNUMBER(SEARCH("grosser Artikel",BO950)),2,IFERROR(VLOOKUP(BR950,Parameter!$F$35:$G$64,2,0),2)),IF(OR(BV950="Nein",BV950=""),"-",BV950))))</f>
        <v>3</v>
      </c>
      <c r="AA950" s="62"/>
      <c r="AB950" s="63"/>
      <c r="AC950" s="57" t="n">
        <f aca="false">AR950</f>
        <v>21</v>
      </c>
      <c r="AD950" s="57" t="n">
        <f aca="false">MAX(AR950,H950)</f>
        <v>21</v>
      </c>
      <c r="AE950" s="64"/>
      <c r="AF950" s="57" t="n">
        <f aca="false">IF(LEFT(Cockpit!$C$5,1)="A",H950,IF(CA950=1,CB950,IF(LEFT(Cockpit!$C$5,1)="B",AJ950,MAX(AJ950,H950))))</f>
        <v>9</v>
      </c>
      <c r="AG950" s="57" t="n">
        <f aca="false">IF(BT950=1,0,ROUNDUP(AF950/BS950,0))</f>
        <v>1</v>
      </c>
      <c r="AH950" s="59" t="n">
        <f aca="false">IF(CH950&gt;0,CH950*MAX(1,AF950/X950),IF(BT950=1,IF(AF950&lt;=0,0,BW950*MAX(1,IF(H950&gt;0,AF950/H950,1))),IF(R950&gt;0,AG950/R950,0))/MAX(0.1,N(Parameter!$M$21)))</f>
        <v>0.0384615384615385</v>
      </c>
      <c r="AI950" s="57" t="n">
        <f aca="false">AF950*G950</f>
        <v>522.63</v>
      </c>
      <c r="AJ950" s="57" t="n">
        <f aca="false">ROUNDUP(MAX(J950/IF(BZ950&gt;0,BZ950,MAX(0.1,N(Cockpit!$C$6))),CC950)/BS950,0)*BS950</f>
        <v>21</v>
      </c>
      <c r="AK950" s="58" t="n">
        <f aca="false">IF(AH950&gt;0,J950/AH950,-1)</f>
        <v>182</v>
      </c>
      <c r="AL950" s="58" t="n">
        <f aca="false">IF(AND(OR(BY950="L1",BY950="L23"),AH950&gt;0),SUMIFS($AH$7:$AH$1843,$BY$7:$BY$1843,BY950,$AK$7:$AK$1843,"&gt;"&amp;AK950)+SUMIFS($AH$7:$AH$1843,$BY$7:$BY$1843,BY950,$AK$7:$AK$1843,AK950,$BQ$7:$BQ$1843,"&lt;="&amp;BQ950),"")</f>
        <v>32.8873264416743</v>
      </c>
      <c r="AM950" s="65" t="n">
        <f aca="false">IF(AL950="",0,MAX(0,MIN(1,(IF(BY950="L1",Parameter!$E$5,Parameter!$E$6+Parameter!$E$7)-(AL950-AH950))/AH950)))</f>
        <v>1</v>
      </c>
      <c r="AN950" s="57" t="n">
        <f aca="false">IF(LEFT(Cockpit!$I$5,1)="A",H950,IF(CA950=1,CB950,IF(LEFT(Cockpit!$I$5,1)="B",AR950,MAX(AR950,H950))))</f>
        <v>21</v>
      </c>
      <c r="AO950" s="57" t="n">
        <f aca="false">IF(BT950=1,0,ROUNDUP(AN950/BS950,0))</f>
        <v>1</v>
      </c>
      <c r="AP950" s="59" t="n">
        <f aca="false">IF(CH950&gt;0,CH950*MAX(1,AN950/X950),IF(BT950=1,IF(AN950&lt;=0,0,BW950*MAX(1,IF(H950&gt;0,AN950/H950,1))),IF(R950&gt;0,AO950/R950,0))/MAX(0.1,N(Parameter!$M$21)))</f>
        <v>0.0384615384615385</v>
      </c>
      <c r="AQ950" s="57" t="n">
        <f aca="false">AN950*G950</f>
        <v>1219.47</v>
      </c>
      <c r="AR950" s="57" t="n">
        <f aca="false">ROUNDUP(MAX(J950/IF(BZ950&gt;0,BZ950,MAX(0.1,N(Cockpit!$I$6))),CC950)/BS950,0)*BS950</f>
        <v>21</v>
      </c>
      <c r="AS950" s="58" t="n">
        <f aca="false">IF(AP950&gt;0,J950/AP950,-1)</f>
        <v>182</v>
      </c>
      <c r="AT950" s="58" t="n">
        <f aca="false">IF(AND(OR(BY950="L1",BY950="L23"),AP950&gt;0),SUMIFS($AP$7:$AP$1843,$BY$7:$BY$1843,BY950,$AS$7:$AS$1843,"&gt;"&amp;AS950)+SUMIFS($AP$7:$AP$1843,$BY$7:$BY$1843,BY950,$AS$7:$AS$1843,AS950,$BQ$7:$BQ$1843,"&lt;="&amp;BQ950),"")</f>
        <v>47.8376744028918</v>
      </c>
      <c r="AU950" s="65" t="n">
        <f aca="false">IF(AT950="",0,MAX(0,MIN(1,(IF(BY950="L1",Parameter!$E$5,Parameter!$E$6+Parameter!$E$7)-(AT950-AP950))/AP950)))</f>
        <v>1</v>
      </c>
      <c r="AV950" s="57" t="n">
        <f aca="false">IF(LEFT(Cockpit!$O$5,1)="A",H950,IF(CA950=1,CB950,IF(LEFT(Cockpit!$O$5,1)="B",AZ950,MAX(AZ950,H950))))</f>
        <v>21</v>
      </c>
      <c r="AW950" s="57" t="n">
        <f aca="false">IF(BT950=1,0,ROUNDUP(AV950/BS950,0))</f>
        <v>1</v>
      </c>
      <c r="AX950" s="59" t="n">
        <f aca="false">IF(CH950&gt;0,CH950*MAX(1,AV950/X950),IF(BT950=1,IF(AV950&lt;=0,0,BW950*MAX(1,IF(H950&gt;0,AV950/H950,1))),IF(R950&gt;0,AW950/R950,0))/MAX(0.1,N(Parameter!$M$21)))</f>
        <v>0.0384615384615385</v>
      </c>
      <c r="AY950" s="57" t="n">
        <f aca="false">AV950*G950</f>
        <v>1219.47</v>
      </c>
      <c r="AZ950" s="57" t="n">
        <f aca="false">ROUNDUP(MAX(J950/IF(BZ950&gt;0,BZ950,MAX(0.1,N(Cockpit!$O$6))),CC950)/BS950,0)*BS950</f>
        <v>21</v>
      </c>
      <c r="BA950" s="58" t="n">
        <f aca="false">IF(AX950&gt;0,J950/AX950,-1)</f>
        <v>182</v>
      </c>
      <c r="BB950" s="58" t="n">
        <f aca="false">IF(AND(OR(BY950="L1",BY950="L23"),AX950&gt;0),SUMIFS($AX$7:$AX$1843,$BY$7:$BY$1843,BY950,$BA$7:$BA$1843,"&gt;"&amp;BA950)+SUMIFS($AX$7:$AX$1843,$BY$7:$BY$1843,BY950,$BA$7:$BA$1843,BA950,$BQ$7:$BQ$1843,"&lt;="&amp;BQ950),"")</f>
        <v>43.4175112327286</v>
      </c>
      <c r="BC950" s="65" t="n">
        <f aca="false">IF(BB950="",0,MAX(0,MIN(1,(IF(BY950="L1",Parameter!$E$5,Parameter!$E$6+Parameter!$E$7)-(BB950-AX950))/AX950)))</f>
        <v>1</v>
      </c>
      <c r="BD950" s="55" t="str">
        <f aca="false">IF(AH950&lt;=0,"",IF(BY950="Aussen","Aussenlager",IF(BY950="-","Nicht im Lift",IF(AM950&gt;=1,"Lift",IF(AM950&lt;=0,"Aussenlager","teilweise")))))</f>
        <v>Lift</v>
      </c>
      <c r="BE950" s="55" t="str">
        <f aca="false">IF(AP950&lt;=0,"",IF(BY950="Aussen","Aussenlager",IF(BY950="-","Nicht im Lift",IF(AU950&gt;=1,"Lift",IF(AU950&lt;=0,"Aussenlager","teilweise")))))</f>
        <v>Lift</v>
      </c>
      <c r="BF950" s="55" t="str">
        <f aca="false">IF(AX950&lt;=0,"",IF(BY950="Aussen","Aussenlager",IF(BY950="-","Nicht im Lift",IF(BC950&gt;=1,"Lift",IF(BC950&lt;=0,"Aussenlager","teilweise")))))</f>
        <v>Lift</v>
      </c>
      <c r="BG950" s="55" t="str">
        <f aca="false">IF(A950="","",IF(BP950=1,"Neu; ","")&amp;IF(AND(BP950=0,BK950&lt;0),"negativer Bestand (Export "&amp;BK950&amp;"); ","")&amp;IF(J950&lt;=0,"Kein Verbrauch; ","")&amp;IF(CH950&gt;0,"Lift "&amp;W950&amp;" lt. Liftbericht (Fach "&amp;X950&amp;" Stk); ",IF(BU950=1,"Gebinde geschätzt ("&amp;T950&amp;"); ",IF(BT950=1,"Lose – Tablare geschätzt; ","")))&amp;IF(H950&gt;AR950,"Überbestand "&amp;ROUND(H950-AR950,0)&amp;" Stk / CHF "&amp;ROUND((H950-AR950)*G950,0)&amp;"; ","")&amp;IF(AND(CA950=1,CB950&lt;CC950),"MAX &lt; MB+LG; ","")&amp;IF(AND(CG950&gt;0,CF950*10&gt;CG950),"zu hoch für Tablar; ","")&amp;IF(AND(BP950=0,OR(CA950=1,AA950&lt;&gt;"",U950&lt;&gt;"",V950&lt;&gt;"",AB950&lt;&gt;"")),"manuell übersteuert; ","")&amp;IF(AND(BT950=0,R950=0),"Gebinde unbekannt / Stellmass fehlt; ","")&amp;IF(AND(BT950=0,N(V950)&lt;=0,N(Q950)&lt;=0),"Menge pro Gebinde fehlt (Ist = 1 Gebinde); ","")&amp;BO950)</f>
        <v>negativer Bestand (Export -1); </v>
      </c>
      <c r="BH950" s="55"/>
      <c r="BI950" s="55"/>
      <c r="BJ950" s="62"/>
      <c r="BK950" s="57" t="n">
        <v>-1</v>
      </c>
      <c r="BL950" s="57" t="n">
        <v>10</v>
      </c>
      <c r="BM950" s="56" t="n">
        <v>-59.4699999999999</v>
      </c>
      <c r="BN950" s="57" t="n">
        <v>7</v>
      </c>
      <c r="BO950" s="55"/>
      <c r="BP950" s="60" t="n">
        <v>0</v>
      </c>
      <c r="BQ950" s="60" t="n">
        <v>950</v>
      </c>
      <c r="BR950" s="55" t="str">
        <f aca="false">IF(U950&lt;&gt;"",UPPER(TRIM(U950)),IF(BU950=1,UPPER(VLOOKUP(T950,Parameter!$I$27:$K$29,2,0)),IF(P950="","LOSE",P950)))</f>
        <v>S52</v>
      </c>
      <c r="BS950" s="57" t="n">
        <f aca="false">IF(BR950="LOSE",1,IF(N(V950)&gt;0,V950,IF(BU950=1,MAX(1,N(VLOOKUP(T950,Parameter!$I$27:$K$29,3,0)),H950,N(N950)),IF(N(Q950)&gt;0,Q950,MAX(1,H950)))))</f>
        <v>21</v>
      </c>
      <c r="BT950" s="60" t="n">
        <f aca="false">IF(BR950="LOSE",1,0)</f>
        <v>0</v>
      </c>
      <c r="BU950" s="60" t="n">
        <f aca="false">IF(AND(U950="",OR(P950="",P950="LOSE"),T950&lt;&gt;"",N(S950)&lt;=0,ISNUMBER(MATCH(T950,Parameter!$I$27:$I$29,0))),1,0)</f>
        <v>0</v>
      </c>
      <c r="BV950" s="55" t="str">
        <f aca="false">IF(AND(Parameter!$B$19="Ja",E950&lt;&gt;"",ISNUMBER(MATCH(E950,Parameter!$I$35:$I$52,0))),VLOOKUP(E950,Parameter!$I$35:$J$52,2,0),IFERROR(VLOOKUP(D950,Parameter!$A$35:$C$64,2,0),"Nein"))</f>
        <v>2+3</v>
      </c>
      <c r="BW950" s="59" t="n">
        <f aca="false">IF(BT950=0,0,IF(N(S950)&gt;0,S950,IFERROR(VLOOKUP(D950,Parameter!$A$35:$C$64,3,0)+0,0)))</f>
        <v>0</v>
      </c>
      <c r="BX950" s="55" t="n">
        <f aca="false">IF(AA950&lt;&gt;"",AA950,Z950)</f>
        <v>3</v>
      </c>
      <c r="BY950" s="55" t="str">
        <f aca="false">IF(BX950=1,"L1",IF(OR(BX950=2,BX950=3),"L23",IF(BX950="Aussen","Aussen","-")))</f>
        <v>L23</v>
      </c>
      <c r="BZ950" s="66" t="n">
        <f aca="false">IF(N(AB950)&gt;0,AB950,0)</f>
        <v>0</v>
      </c>
      <c r="CA950" s="60" t="n">
        <f aca="false">IF(ISNUMBER(AE950),1,0)</f>
        <v>0</v>
      </c>
      <c r="CB950" s="57" t="n">
        <f aca="false">N(AE950)</f>
        <v>0</v>
      </c>
      <c r="CC950" s="57" t="n">
        <f aca="false">N(M950)+N(N950)</f>
        <v>5</v>
      </c>
      <c r="CD950" s="57" t="n">
        <f aca="false">ROUNDUP(H950/BS950,0)</f>
        <v>1</v>
      </c>
      <c r="CE950" s="57" t="n">
        <f aca="false">ROUNDUP(CB950/BS950,0)</f>
        <v>0</v>
      </c>
      <c r="CF950" s="60" t="n">
        <f aca="false">IF(BT950=1,0,IFERROR(VLOOKUP(BR950,'Gebinde-Kategorie'!$A$5:$M$45,5,0)+0,0))</f>
        <v>21</v>
      </c>
      <c r="CG950" s="60" t="n">
        <f aca="false">IFERROR(IF(OR(BX950=1,BX950=2,BX950=3),N(INDEX(Parameter!$I$5:$I$7,BX950)),0),0)</f>
        <v>0</v>
      </c>
      <c r="CH950" s="59" t="n">
        <f aca="false">IF(AND(Parameter!$B$21="Ja",ISNUMBER(W950),N(X950)&gt;0),IFERROR(N(INDEX(Parameter!$L$5:$L$7,W950))*INDEX(Parameter!$E$5:$E$7,W950)*X950/SUMIFS($X$7:$X$1843,$W$7:$W$1843,W950),0),0)</f>
        <v>0</v>
      </c>
    </row>
    <row r="951" customFormat="false" ht="15" hidden="false" customHeight="false" outlineLevel="0" collapsed="false">
      <c r="A951" s="55" t="s">
        <v>1772</v>
      </c>
      <c r="B951" s="55" t="s">
        <v>1773</v>
      </c>
      <c r="C951" s="55" t="s">
        <v>164</v>
      </c>
      <c r="D951" s="55" t="s">
        <v>184</v>
      </c>
      <c r="E951" s="55"/>
      <c r="F951" s="55" t="s">
        <v>218</v>
      </c>
      <c r="G951" s="56" t="n">
        <v>19.99</v>
      </c>
      <c r="H951" s="57" t="n">
        <f aca="false">MAX(0,IF(AND(Parameter!$B$21="Ja",ISNUMBER(Y951)),Y951,IF(Parameter!$B$20="Jahresanfang 2025 + Export",BL951+BK951,BK951)))</f>
        <v>4</v>
      </c>
      <c r="I951" s="57" t="n">
        <f aca="false">H951*G951</f>
        <v>79.96</v>
      </c>
      <c r="J951" s="57" t="n">
        <f aca="false">BN951*Parameter!$B$18</f>
        <v>1</v>
      </c>
      <c r="K951" s="58" t="n">
        <v>6</v>
      </c>
      <c r="L951" s="59" t="n">
        <v>0.166666666666667</v>
      </c>
      <c r="M951" s="57" t="n">
        <v>0</v>
      </c>
      <c r="N951" s="57" t="n">
        <v>1</v>
      </c>
      <c r="O951" s="60" t="n">
        <v>35</v>
      </c>
      <c r="P951" s="55" t="s">
        <v>426</v>
      </c>
      <c r="Q951" s="57" t="n">
        <v>5</v>
      </c>
      <c r="R951" s="60" t="n">
        <f aca="false">IF(BT951=1,0,IFERROR(VLOOKUP(BR951,'Gebinde-Kategorie'!$A$5:$M$45,13,0)+0,0))</f>
        <v>198</v>
      </c>
      <c r="S951" s="61"/>
      <c r="T951" s="62"/>
      <c r="U951" s="62"/>
      <c r="V951" s="62"/>
      <c r="W951" s="55"/>
      <c r="X951" s="57"/>
      <c r="Y951" s="57"/>
      <c r="Z951" s="55" t="n">
        <f aca="false">IF(A951="","",IF(AND(Parameter!$B$21="Ja",ISNUMBER(W951)),W951,IF(BV951="2+3",IF(ISNUMBER(SEARCH("grosser Artikel",BO951)),2,IFERROR(VLOOKUP(BR951,Parameter!$F$35:$G$64,2,0),2)),IF(OR(BV951="Nein",BV951=""),"-",BV951))))</f>
        <v>3</v>
      </c>
      <c r="AA951" s="62"/>
      <c r="AB951" s="63"/>
      <c r="AC951" s="57" t="n">
        <f aca="false">AR951</f>
        <v>5</v>
      </c>
      <c r="AD951" s="57" t="n">
        <f aca="false">MAX(AR951,H951)</f>
        <v>5</v>
      </c>
      <c r="AE951" s="64"/>
      <c r="AF951" s="57" t="n">
        <f aca="false">IF(LEFT(Cockpit!$C$5,1)="A",H951,IF(CA951=1,CB951,IF(LEFT(Cockpit!$C$5,1)="B",AJ951,MAX(AJ951,H951))))</f>
        <v>4</v>
      </c>
      <c r="AG951" s="57" t="n">
        <f aca="false">IF(BT951=1,0,ROUNDUP(AF951/BS951,0))</f>
        <v>1</v>
      </c>
      <c r="AH951" s="59" t="n">
        <f aca="false">IF(CH951&gt;0,CH951*MAX(1,AF951/X951),IF(BT951=1,IF(AF951&lt;=0,0,BW951*MAX(1,IF(H951&gt;0,AF951/H951,1))),IF(R951&gt;0,AG951/R951,0))/MAX(0.1,N(Parameter!$M$21)))</f>
        <v>0.00505050505050505</v>
      </c>
      <c r="AI951" s="57" t="n">
        <f aca="false">AF951*G951</f>
        <v>79.96</v>
      </c>
      <c r="AJ951" s="57" t="n">
        <f aca="false">ROUNDUP(MAX(J951/IF(BZ951&gt;0,BZ951,MAX(0.1,N(Cockpit!$C$6))),CC951)/BS951,0)*BS951</f>
        <v>5</v>
      </c>
      <c r="AK951" s="58" t="n">
        <f aca="false">IF(AH951&gt;0,J951/AH951,-1)</f>
        <v>198</v>
      </c>
      <c r="AL951" s="58" t="n">
        <f aca="false">IF(AND(OR(BY951="L1",BY951="L23"),AH951&gt;0),SUMIFS($AH$7:$AH$1843,$BY$7:$BY$1843,BY951,$AK$7:$AK$1843,"&gt;"&amp;AK951)+SUMIFS($AH$7:$AH$1843,$BY$7:$BY$1843,BY951,$AK$7:$AK$1843,AK951,$BQ$7:$BQ$1843,"&lt;="&amp;BQ951),"")</f>
        <v>32.5466116009594</v>
      </c>
      <c r="AM951" s="65" t="n">
        <f aca="false">IF(AL951="",0,MAX(0,MIN(1,(IF(BY951="L1",Parameter!$E$5,Parameter!$E$6+Parameter!$E$7)-(AL951-AH951))/AH951)))</f>
        <v>1</v>
      </c>
      <c r="AN951" s="57" t="n">
        <f aca="false">IF(LEFT(Cockpit!$I$5,1)="A",H951,IF(CA951=1,CB951,IF(LEFT(Cockpit!$I$5,1)="B",AR951,MAX(AR951,H951))))</f>
        <v>5</v>
      </c>
      <c r="AO951" s="57" t="n">
        <f aca="false">IF(BT951=1,0,ROUNDUP(AN951/BS951,0))</f>
        <v>1</v>
      </c>
      <c r="AP951" s="59" t="n">
        <f aca="false">IF(CH951&gt;0,CH951*MAX(1,AN951/X951),IF(BT951=1,IF(AN951&lt;=0,0,BW951*MAX(1,IF(H951&gt;0,AN951/H951,1))),IF(R951&gt;0,AO951/R951,0))/MAX(0.1,N(Parameter!$M$21)))</f>
        <v>0.00505050505050505</v>
      </c>
      <c r="AQ951" s="57" t="n">
        <f aca="false">AN951*G951</f>
        <v>99.95</v>
      </c>
      <c r="AR951" s="57" t="n">
        <f aca="false">ROUNDUP(MAX(J951/IF(BZ951&gt;0,BZ951,MAX(0.1,N(Cockpit!$I$6))),CC951)/BS951,0)*BS951</f>
        <v>5</v>
      </c>
      <c r="AS951" s="58" t="n">
        <f aca="false">IF(AP951&gt;0,J951/AP951,-1)</f>
        <v>198</v>
      </c>
      <c r="AT951" s="58" t="n">
        <f aca="false">IF(AND(OR(BY951="L1",BY951="L23"),AP951&gt;0),SUMIFS($AP$7:$AP$1843,$BY$7:$BY$1843,BY951,$AS$7:$AS$1843,"&gt;"&amp;AS951)+SUMIFS($AP$7:$AP$1843,$BY$7:$BY$1843,BY951,$AS$7:$AS$1843,AS951,$BQ$7:$BQ$1843,"&lt;="&amp;BQ951),"")</f>
        <v>47.3302928955103</v>
      </c>
      <c r="AU951" s="65" t="n">
        <f aca="false">IF(AT951="",0,MAX(0,MIN(1,(IF(BY951="L1",Parameter!$E$5,Parameter!$E$6+Parameter!$E$7)-(AT951-AP951))/AP951)))</f>
        <v>1</v>
      </c>
      <c r="AV951" s="57" t="n">
        <f aca="false">IF(LEFT(Cockpit!$O$5,1)="A",H951,IF(CA951=1,CB951,IF(LEFT(Cockpit!$O$5,1)="B",AZ951,MAX(AZ951,H951))))</f>
        <v>5</v>
      </c>
      <c r="AW951" s="57" t="n">
        <f aca="false">IF(BT951=1,0,ROUNDUP(AV951/BS951,0))</f>
        <v>1</v>
      </c>
      <c r="AX951" s="59" t="n">
        <f aca="false">IF(CH951&gt;0,CH951*MAX(1,AV951/X951),IF(BT951=1,IF(AV951&lt;=0,0,BW951*MAX(1,IF(H951&gt;0,AV951/H951,1))),IF(R951&gt;0,AW951/R951,0))/MAX(0.1,N(Parameter!$M$21)))</f>
        <v>0.00505050505050505</v>
      </c>
      <c r="AY951" s="57" t="n">
        <f aca="false">AV951*G951</f>
        <v>99.95</v>
      </c>
      <c r="AZ951" s="57" t="n">
        <f aca="false">ROUNDUP(MAX(J951/IF(BZ951&gt;0,BZ951,MAX(0.1,N(Cockpit!$O$6))),CC951)/BS951,0)*BS951</f>
        <v>5</v>
      </c>
      <c r="BA951" s="58" t="n">
        <f aca="false">IF(AX951&gt;0,J951/AX951,-1)</f>
        <v>198</v>
      </c>
      <c r="BB951" s="58" t="n">
        <f aca="false">IF(AND(OR(BY951="L1",BY951="L23"),AX951&gt;0),SUMIFS($AX$7:$AX$1843,$BY$7:$BY$1843,BY951,$BA$7:$BA$1843,"&gt;"&amp;BA951)+SUMIFS($AX$7:$AX$1843,$BY$7:$BY$1843,BY951,$BA$7:$BA$1843,BA951,$BQ$7:$BQ$1843,"&lt;="&amp;BQ951),"")</f>
        <v>42.9101297253471</v>
      </c>
      <c r="BC951" s="65" t="n">
        <f aca="false">IF(BB951="",0,MAX(0,MIN(1,(IF(BY951="L1",Parameter!$E$5,Parameter!$E$6+Parameter!$E$7)-(BB951-AX951))/AX951)))</f>
        <v>1</v>
      </c>
      <c r="BD951" s="55" t="str">
        <f aca="false">IF(AH951&lt;=0,"",IF(BY951="Aussen","Aussenlager",IF(BY951="-","Nicht im Lift",IF(AM951&gt;=1,"Lift",IF(AM951&lt;=0,"Aussenlager","teilweise")))))</f>
        <v>Lift</v>
      </c>
      <c r="BE951" s="55" t="str">
        <f aca="false">IF(AP951&lt;=0,"",IF(BY951="Aussen","Aussenlager",IF(BY951="-","Nicht im Lift",IF(AU951&gt;=1,"Lift",IF(AU951&lt;=0,"Aussenlager","teilweise")))))</f>
        <v>Lift</v>
      </c>
      <c r="BF951" s="55" t="str">
        <f aca="false">IF(AX951&lt;=0,"",IF(BY951="Aussen","Aussenlager",IF(BY951="-","Nicht im Lift",IF(BC951&gt;=1,"Lift",IF(BC951&lt;=0,"Aussenlager","teilweise")))))</f>
        <v>Lift</v>
      </c>
      <c r="BG951" s="55" t="str">
        <f aca="false">IF(A951="","",IF(BP951=1,"Neu; ","")&amp;IF(AND(BP951=0,BK951&lt;0),"negativer Bestand (Export "&amp;BK951&amp;"); ","")&amp;IF(J951&lt;=0,"Kein Verbrauch; ","")&amp;IF(CH951&gt;0,"Lift "&amp;W951&amp;" lt. Liftbericht (Fach "&amp;X951&amp;" Stk); ",IF(BU951=1,"Gebinde geschätzt ("&amp;T951&amp;"); ",IF(BT951=1,"Lose – Tablare geschätzt; ","")))&amp;IF(H951&gt;AR951,"Überbestand "&amp;ROUND(H951-AR951,0)&amp;" Stk / CHF "&amp;ROUND((H951-AR951)*G951,0)&amp;"; ","")&amp;IF(AND(CA951=1,CB951&lt;CC951),"MAX &lt; MB+LG; ","")&amp;IF(AND(CG951&gt;0,CF951*10&gt;CG951),"zu hoch für Tablar; ","")&amp;IF(AND(BP951=0,OR(CA951=1,AA951&lt;&gt;"",U951&lt;&gt;"",V951&lt;&gt;"",AB951&lt;&gt;"")),"manuell übersteuert; ","")&amp;IF(AND(BT951=0,R951=0),"Gebinde unbekannt / Stellmass fehlt; ","")&amp;IF(AND(BT951=0,N(V951)&lt;=0,N(Q951)&lt;=0),"Menge pro Gebinde fehlt (Ist = 1 Gebinde); ","")&amp;BO951)</f>
        <v>negativer Bestand (Export -3); Neuer Art.</v>
      </c>
      <c r="BH951" s="55"/>
      <c r="BI951" s="55"/>
      <c r="BJ951" s="62"/>
      <c r="BK951" s="57" t="n">
        <v>-3</v>
      </c>
      <c r="BL951" s="57" t="n">
        <v>7</v>
      </c>
      <c r="BM951" s="56" t="n">
        <v>-59.97</v>
      </c>
      <c r="BN951" s="57" t="n">
        <v>1</v>
      </c>
      <c r="BO951" s="55" t="s">
        <v>512</v>
      </c>
      <c r="BP951" s="60" t="n">
        <v>0</v>
      </c>
      <c r="BQ951" s="60" t="n">
        <v>951</v>
      </c>
      <c r="BR951" s="55" t="str">
        <f aca="false">IF(U951&lt;&gt;"",UPPER(TRIM(U951)),IF(BU951=1,UPPER(VLOOKUP(T951,Parameter!$I$27:$K$29,2,0)),IF(P951="","LOSE",P951)))</f>
        <v>S22</v>
      </c>
      <c r="BS951" s="57" t="n">
        <f aca="false">IF(BR951="LOSE",1,IF(N(V951)&gt;0,V951,IF(BU951=1,MAX(1,N(VLOOKUP(T951,Parameter!$I$27:$K$29,3,0)),H951,N(N951)),IF(N(Q951)&gt;0,Q951,MAX(1,H951)))))</f>
        <v>5</v>
      </c>
      <c r="BT951" s="60" t="n">
        <f aca="false">IF(BR951="LOSE",1,0)</f>
        <v>0</v>
      </c>
      <c r="BU951" s="60" t="n">
        <f aca="false">IF(AND(U951="",OR(P951="",P951="LOSE"),T951&lt;&gt;"",N(S951)&lt;=0,ISNUMBER(MATCH(T951,Parameter!$I$27:$I$29,0))),1,0)</f>
        <v>0</v>
      </c>
      <c r="BV951" s="55" t="str">
        <f aca="false">IF(AND(Parameter!$B$19="Ja",E951&lt;&gt;"",ISNUMBER(MATCH(E951,Parameter!$I$35:$I$52,0))),VLOOKUP(E951,Parameter!$I$35:$J$52,2,0),IFERROR(VLOOKUP(D951,Parameter!$A$35:$C$64,2,0),"Nein"))</f>
        <v>2+3</v>
      </c>
      <c r="BW951" s="59" t="n">
        <f aca="false">IF(BT951=0,0,IF(N(S951)&gt;0,S951,IFERROR(VLOOKUP(D951,Parameter!$A$35:$C$64,3,0)+0,0)))</f>
        <v>0</v>
      </c>
      <c r="BX951" s="55" t="n">
        <f aca="false">IF(AA951&lt;&gt;"",AA951,Z951)</f>
        <v>3</v>
      </c>
      <c r="BY951" s="55" t="str">
        <f aca="false">IF(BX951=1,"L1",IF(OR(BX951=2,BX951=3),"L23",IF(BX951="Aussen","Aussen","-")))</f>
        <v>L23</v>
      </c>
      <c r="BZ951" s="66" t="n">
        <f aca="false">IF(N(AB951)&gt;0,AB951,0)</f>
        <v>0</v>
      </c>
      <c r="CA951" s="60" t="n">
        <f aca="false">IF(ISNUMBER(AE951),1,0)</f>
        <v>0</v>
      </c>
      <c r="CB951" s="57" t="n">
        <f aca="false">N(AE951)</f>
        <v>0</v>
      </c>
      <c r="CC951" s="57" t="n">
        <f aca="false">N(M951)+N(N951)</f>
        <v>1</v>
      </c>
      <c r="CD951" s="57" t="n">
        <f aca="false">ROUNDUP(H951/BS951,0)</f>
        <v>1</v>
      </c>
      <c r="CE951" s="57" t="n">
        <f aca="false">ROUNDUP(CB951/BS951,0)</f>
        <v>0</v>
      </c>
      <c r="CF951" s="60" t="n">
        <f aca="false">IF(BT951=1,0,IFERROR(VLOOKUP(BR951,'Gebinde-Kategorie'!$A$5:$M$45,5,0)+0,0))</f>
        <v>8</v>
      </c>
      <c r="CG951" s="60" t="n">
        <f aca="false">IFERROR(IF(OR(BX951=1,BX951=2,BX951=3),N(INDEX(Parameter!$I$5:$I$7,BX951)),0),0)</f>
        <v>0</v>
      </c>
      <c r="CH951" s="59" t="n">
        <f aca="false">IF(AND(Parameter!$B$21="Ja",ISNUMBER(W951),N(X951)&gt;0),IFERROR(N(INDEX(Parameter!$L$5:$L$7,W951))*INDEX(Parameter!$E$5:$E$7,W951)*X951/SUMIFS($X$7:$X$1843,$W$7:$W$1843,W951),0),0)</f>
        <v>0</v>
      </c>
    </row>
    <row r="952" customFormat="false" ht="15" hidden="false" customHeight="false" outlineLevel="0" collapsed="false">
      <c r="A952" s="55" t="s">
        <v>1774</v>
      </c>
      <c r="B952" s="55" t="s">
        <v>1775</v>
      </c>
      <c r="C952" s="55" t="s">
        <v>164</v>
      </c>
      <c r="D952" s="55" t="s">
        <v>184</v>
      </c>
      <c r="E952" s="55" t="s">
        <v>185</v>
      </c>
      <c r="F952" s="55" t="s">
        <v>218</v>
      </c>
      <c r="G952" s="56" t="n">
        <v>12.28</v>
      </c>
      <c r="H952" s="57" t="n">
        <f aca="false">MAX(0,IF(AND(Parameter!$B$21="Ja",ISNUMBER(Y952)),Y952,IF(Parameter!$B$20="Jahresanfang 2025 + Export",BL952+BK952,BK952)))</f>
        <v>0</v>
      </c>
      <c r="I952" s="57" t="n">
        <f aca="false">H952*G952</f>
        <v>0</v>
      </c>
      <c r="J952" s="57" t="n">
        <f aca="false">BN952*Parameter!$B$18</f>
        <v>4</v>
      </c>
      <c r="K952" s="58" t="n">
        <v>2.5</v>
      </c>
      <c r="L952" s="59" t="n">
        <v>1.6</v>
      </c>
      <c r="M952" s="57" t="n">
        <v>0</v>
      </c>
      <c r="N952" s="57" t="n">
        <v>5</v>
      </c>
      <c r="O952" s="60" t="n">
        <v>28</v>
      </c>
      <c r="P952" s="55" t="s">
        <v>476</v>
      </c>
      <c r="Q952" s="57" t="n">
        <v>6</v>
      </c>
      <c r="R952" s="60" t="n">
        <f aca="false">IF(BT952=1,0,IFERROR(VLOOKUP(BR952,'Gebinde-Kategorie'!$A$5:$M$45,13,0)+0,0))</f>
        <v>66</v>
      </c>
      <c r="S952" s="61"/>
      <c r="T952" s="62"/>
      <c r="U952" s="62"/>
      <c r="V952" s="62"/>
      <c r="W952" s="55"/>
      <c r="X952" s="57"/>
      <c r="Y952" s="57"/>
      <c r="Z952" s="55" t="n">
        <f aca="false">IF(A952="","",IF(AND(Parameter!$B$21="Ja",ISNUMBER(W952)),W952,IF(BV952="2+3",IF(ISNUMBER(SEARCH("grosser Artikel",BO952)),2,IFERROR(VLOOKUP(BR952,Parameter!$F$35:$G$64,2,0),2)),IF(OR(BV952="Nein",BV952=""),"-",BV952))))</f>
        <v>3</v>
      </c>
      <c r="AA952" s="62"/>
      <c r="AB952" s="63"/>
      <c r="AC952" s="57" t="n">
        <f aca="false">AR952</f>
        <v>6</v>
      </c>
      <c r="AD952" s="57" t="n">
        <f aca="false">MAX(AR952,H952)</f>
        <v>6</v>
      </c>
      <c r="AE952" s="64"/>
      <c r="AF952" s="57" t="n">
        <f aca="false">IF(LEFT(Cockpit!$C$5,1)="A",H952,IF(CA952=1,CB952,IF(LEFT(Cockpit!$C$5,1)="B",AJ952,MAX(AJ952,H952))))</f>
        <v>0</v>
      </c>
      <c r="AG952" s="57" t="n">
        <f aca="false">IF(BT952=1,0,ROUNDUP(AF952/BS952,0))</f>
        <v>0</v>
      </c>
      <c r="AH952" s="59" t="n">
        <f aca="false">IF(CH952&gt;0,CH952*MAX(1,AF952/X952),IF(BT952=1,IF(AF952&lt;=0,0,BW952*MAX(1,IF(H952&gt;0,AF952/H952,1))),IF(R952&gt;0,AG952/R952,0))/MAX(0.1,N(Parameter!$M$21)))</f>
        <v>0</v>
      </c>
      <c r="AI952" s="57" t="n">
        <f aca="false">AF952*G952</f>
        <v>0</v>
      </c>
      <c r="AJ952" s="57" t="n">
        <f aca="false">ROUNDUP(MAX(J952/IF(BZ952&gt;0,BZ952,MAX(0.1,N(Cockpit!$C$6))),CC952)/BS952,0)*BS952</f>
        <v>6</v>
      </c>
      <c r="AK952" s="58" t="n">
        <f aca="false">IF(AH952&gt;0,J952/AH952,-1)</f>
        <v>-1</v>
      </c>
      <c r="AL952" s="58" t="str">
        <f aca="false">IF(AND(OR(BY952="L1",BY952="L23"),AH952&gt;0),SUMIFS($AH$7:$AH$1843,$BY$7:$BY$1843,BY952,$AK$7:$AK$1843,"&gt;"&amp;AK952)+SUMIFS($AH$7:$AH$1843,$BY$7:$BY$1843,BY952,$AK$7:$AK$1843,AK952,$BQ$7:$BQ$1843,"&lt;="&amp;BQ952),"")</f>
        <v/>
      </c>
      <c r="AM952" s="65" t="n">
        <f aca="false">IF(AL952="",0,MAX(0,MIN(1,(IF(BY952="L1",Parameter!$E$5,Parameter!$E$6+Parameter!$E$7)-(AL952-AH952))/AH952)))</f>
        <v>0</v>
      </c>
      <c r="AN952" s="57" t="n">
        <f aca="false">IF(LEFT(Cockpit!$I$5,1)="A",H952,IF(CA952=1,CB952,IF(LEFT(Cockpit!$I$5,1)="B",AR952,MAX(AR952,H952))))</f>
        <v>6</v>
      </c>
      <c r="AO952" s="57" t="n">
        <f aca="false">IF(BT952=1,0,ROUNDUP(AN952/BS952,0))</f>
        <v>1</v>
      </c>
      <c r="AP952" s="59" t="n">
        <f aca="false">IF(CH952&gt;0,CH952*MAX(1,AN952/X952),IF(BT952=1,IF(AN952&lt;=0,0,BW952*MAX(1,IF(H952&gt;0,AN952/H952,1))),IF(R952&gt;0,AO952/R952,0))/MAX(0.1,N(Parameter!$M$21)))</f>
        <v>0.0151515151515152</v>
      </c>
      <c r="AQ952" s="57" t="n">
        <f aca="false">AN952*G952</f>
        <v>73.68</v>
      </c>
      <c r="AR952" s="57" t="n">
        <f aca="false">ROUNDUP(MAX(J952/IF(BZ952&gt;0,BZ952,MAX(0.1,N(Cockpit!$I$6))),CC952)/BS952,0)*BS952</f>
        <v>6</v>
      </c>
      <c r="AS952" s="58" t="n">
        <f aca="false">IF(AP952&gt;0,J952/AP952,-1)</f>
        <v>264</v>
      </c>
      <c r="AT952" s="58" t="n">
        <f aca="false">IF(AND(OR(BY952="L1",BY952="L23"),AP952&gt;0),SUMIFS($AP$7:$AP$1843,$BY$7:$BY$1843,BY952,$AS$7:$AS$1843,"&gt;"&amp;AS952)+SUMIFS($AP$7:$AP$1843,$BY$7:$BY$1843,BY952,$AS$7:$AS$1843,AS952,$BQ$7:$BQ$1843,"&lt;="&amp;BQ952),"")</f>
        <v>42.320487483531</v>
      </c>
      <c r="AU952" s="65" t="n">
        <f aca="false">IF(AT952="",0,MAX(0,MIN(1,(IF(BY952="L1",Parameter!$E$5,Parameter!$E$6+Parameter!$E$7)-(AT952-AP952))/AP952)))</f>
        <v>1</v>
      </c>
      <c r="AV952" s="57" t="n">
        <f aca="false">IF(LEFT(Cockpit!$O$5,1)="A",H952,IF(CA952=1,CB952,IF(LEFT(Cockpit!$O$5,1)="B",AZ952,MAX(AZ952,H952))))</f>
        <v>6</v>
      </c>
      <c r="AW952" s="57" t="n">
        <f aca="false">IF(BT952=1,0,ROUNDUP(AV952/BS952,0))</f>
        <v>1</v>
      </c>
      <c r="AX952" s="59" t="n">
        <f aca="false">IF(CH952&gt;0,CH952*MAX(1,AV952/X952),IF(BT952=1,IF(AV952&lt;=0,0,BW952*MAX(1,IF(H952&gt;0,AV952/H952,1))),IF(R952&gt;0,AW952/R952,0))/MAX(0.1,N(Parameter!$M$21)))</f>
        <v>0.0151515151515152</v>
      </c>
      <c r="AY952" s="57" t="n">
        <f aca="false">AV952*G952</f>
        <v>73.68</v>
      </c>
      <c r="AZ952" s="57" t="n">
        <f aca="false">ROUNDUP(MAX(J952/IF(BZ952&gt;0,BZ952,MAX(0.1,N(Cockpit!$O$6))),CC952)/BS952,0)*BS952</f>
        <v>6</v>
      </c>
      <c r="BA952" s="58" t="n">
        <f aca="false">IF(AX952&gt;0,J952/AX952,-1)</f>
        <v>264</v>
      </c>
      <c r="BB952" s="58" t="n">
        <f aca="false">IF(AND(OR(BY952="L1",BY952="L23"),AX952&gt;0),SUMIFS($AX$7:$AX$1843,$BY$7:$BY$1843,BY952,$BA$7:$BA$1843,"&gt;"&amp;BA952)+SUMIFS($AX$7:$AX$1843,$BY$7:$BY$1843,BY952,$BA$7:$BA$1843,BA952,$BQ$7:$BQ$1843,"&lt;="&amp;BQ952),"")</f>
        <v>38.6503243133678</v>
      </c>
      <c r="BC952" s="65" t="n">
        <f aca="false">IF(BB952="",0,MAX(0,MIN(1,(IF(BY952="L1",Parameter!$E$5,Parameter!$E$6+Parameter!$E$7)-(BB952-AX952))/AX952)))</f>
        <v>1</v>
      </c>
      <c r="BD952" s="55" t="str">
        <f aca="false">IF(AH952&lt;=0,"",IF(BY952="Aussen","Aussenlager",IF(BY952="-","Nicht im Lift",IF(AM952&gt;=1,"Lift",IF(AM952&lt;=0,"Aussenlager","teilweise")))))</f>
        <v/>
      </c>
      <c r="BE952" s="55" t="str">
        <f aca="false">IF(AP952&lt;=0,"",IF(BY952="Aussen","Aussenlager",IF(BY952="-","Nicht im Lift",IF(AU952&gt;=1,"Lift",IF(AU952&lt;=0,"Aussenlager","teilweise")))))</f>
        <v>Lift</v>
      </c>
      <c r="BF952" s="55" t="str">
        <f aca="false">IF(AX952&lt;=0,"",IF(BY952="Aussen","Aussenlager",IF(BY952="-","Nicht im Lift",IF(BC952&gt;=1,"Lift",IF(BC952&lt;=0,"Aussenlager","teilweise")))))</f>
        <v>Lift</v>
      </c>
      <c r="BG952" s="55" t="str">
        <f aca="false">IF(A952="","",IF(BP952=1,"Neu; ","")&amp;IF(AND(BP952=0,BK952&lt;0),"negativer Bestand (Export "&amp;BK952&amp;"); ","")&amp;IF(J952&lt;=0,"Kein Verbrauch; ","")&amp;IF(CH952&gt;0,"Lift "&amp;W952&amp;" lt. Liftbericht (Fach "&amp;X952&amp;" Stk); ",IF(BU952=1,"Gebinde geschätzt ("&amp;T952&amp;"); ",IF(BT952=1,"Lose – Tablare geschätzt; ","")))&amp;IF(H952&gt;AR952,"Überbestand "&amp;ROUND(H952-AR952,0)&amp;" Stk / CHF "&amp;ROUND((H952-AR952)*G952,0)&amp;"; ","")&amp;IF(AND(CA952=1,CB952&lt;CC952),"MAX &lt; MB+LG; ","")&amp;IF(AND(CG952&gt;0,CF952*10&gt;CG952),"zu hoch für Tablar; ","")&amp;IF(AND(BP952=0,OR(CA952=1,AA952&lt;&gt;"",U952&lt;&gt;"",V952&lt;&gt;"",AB952&lt;&gt;"")),"manuell übersteuert; ","")&amp;IF(AND(BT952=0,R952=0),"Gebinde unbekannt / Stellmass fehlt; ","")&amp;IF(AND(BT952=0,N(V952)&lt;=0,N(Q952)&lt;=0),"Menge pro Gebinde fehlt (Ist = 1 Gebinde); ","")&amp;BO952)</f>
        <v>negativer Bestand (Export -5); Verb.Lager</v>
      </c>
      <c r="BH952" s="55"/>
      <c r="BI952" s="55"/>
      <c r="BJ952" s="62"/>
      <c r="BK952" s="57" t="n">
        <v>-5</v>
      </c>
      <c r="BL952" s="57" t="n">
        <v>5</v>
      </c>
      <c r="BM952" s="56" t="n">
        <v>-61.4</v>
      </c>
      <c r="BN952" s="57" t="n">
        <v>4</v>
      </c>
      <c r="BO952" s="55" t="s">
        <v>1030</v>
      </c>
      <c r="BP952" s="60" t="n">
        <v>0</v>
      </c>
      <c r="BQ952" s="60" t="n">
        <v>952</v>
      </c>
      <c r="BR952" s="55" t="str">
        <f aca="false">IF(U952&lt;&gt;"",UPPER(TRIM(U952)),IF(BU952=1,UPPER(VLOOKUP(T952,Parameter!$I$27:$K$29,2,0)),IF(P952="","LOSE",P952)))</f>
        <v>S33</v>
      </c>
      <c r="BS952" s="57" t="n">
        <f aca="false">IF(BR952="LOSE",1,IF(N(V952)&gt;0,V952,IF(BU952=1,MAX(1,N(VLOOKUP(T952,Parameter!$I$27:$K$29,3,0)),H952,N(N952)),IF(N(Q952)&gt;0,Q952,MAX(1,H952)))))</f>
        <v>6</v>
      </c>
      <c r="BT952" s="60" t="n">
        <f aca="false">IF(BR952="LOSE",1,0)</f>
        <v>0</v>
      </c>
      <c r="BU952" s="60" t="n">
        <f aca="false">IF(AND(U952="",OR(P952="",P952="LOSE"),T952&lt;&gt;"",N(S952)&lt;=0,ISNUMBER(MATCH(T952,Parameter!$I$27:$I$29,0))),1,0)</f>
        <v>0</v>
      </c>
      <c r="BV952" s="55" t="str">
        <f aca="false">IF(AND(Parameter!$B$19="Ja",E952&lt;&gt;"",ISNUMBER(MATCH(E952,Parameter!$I$35:$I$52,0))),VLOOKUP(E952,Parameter!$I$35:$J$52,2,0),IFERROR(VLOOKUP(D952,Parameter!$A$35:$C$64,2,0),"Nein"))</f>
        <v>2+3</v>
      </c>
      <c r="BW952" s="59" t="n">
        <f aca="false">IF(BT952=0,0,IF(N(S952)&gt;0,S952,IFERROR(VLOOKUP(D952,Parameter!$A$35:$C$64,3,0)+0,0)))</f>
        <v>0</v>
      </c>
      <c r="BX952" s="55" t="n">
        <f aca="false">IF(AA952&lt;&gt;"",AA952,Z952)</f>
        <v>3</v>
      </c>
      <c r="BY952" s="55" t="str">
        <f aca="false">IF(BX952=1,"L1",IF(OR(BX952=2,BX952=3),"L23",IF(BX952="Aussen","Aussen","-")))</f>
        <v>L23</v>
      </c>
      <c r="BZ952" s="66" t="n">
        <f aca="false">IF(N(AB952)&gt;0,AB952,0)</f>
        <v>0</v>
      </c>
      <c r="CA952" s="60" t="n">
        <f aca="false">IF(ISNUMBER(AE952),1,0)</f>
        <v>0</v>
      </c>
      <c r="CB952" s="57" t="n">
        <f aca="false">N(AE952)</f>
        <v>0</v>
      </c>
      <c r="CC952" s="57" t="n">
        <f aca="false">N(M952)+N(N952)</f>
        <v>5</v>
      </c>
      <c r="CD952" s="57" t="n">
        <f aca="false">ROUNDUP(H952/BS952,0)</f>
        <v>0</v>
      </c>
      <c r="CE952" s="57" t="n">
        <f aca="false">ROUNDUP(CB952/BS952,0)</f>
        <v>0</v>
      </c>
      <c r="CF952" s="60" t="n">
        <f aca="false">IF(BT952=1,0,IFERROR(VLOOKUP(BR952,'Gebinde-Kategorie'!$A$5:$M$45,5,0)+0,0))</f>
        <v>8</v>
      </c>
      <c r="CG952" s="60" t="n">
        <f aca="false">IFERROR(IF(OR(BX952=1,BX952=2,BX952=3),N(INDEX(Parameter!$I$5:$I$7,BX952)),0),0)</f>
        <v>0</v>
      </c>
      <c r="CH952" s="59" t="n">
        <f aca="false">IF(AND(Parameter!$B$21="Ja",ISNUMBER(W952),N(X952)&gt;0),IFERROR(N(INDEX(Parameter!$L$5:$L$7,W952))*INDEX(Parameter!$E$5:$E$7,W952)*X952/SUMIFS($X$7:$X$1843,$W$7:$W$1843,W952),0),0)</f>
        <v>0</v>
      </c>
    </row>
    <row r="953" customFormat="false" ht="15" hidden="false" customHeight="false" outlineLevel="0" collapsed="false">
      <c r="A953" s="55" t="s">
        <v>1776</v>
      </c>
      <c r="B953" s="55" t="s">
        <v>544</v>
      </c>
      <c r="C953" s="55" t="s">
        <v>164</v>
      </c>
      <c r="D953" s="55" t="s">
        <v>184</v>
      </c>
      <c r="E953" s="55"/>
      <c r="F953" s="55" t="s">
        <v>218</v>
      </c>
      <c r="G953" s="56" t="n">
        <v>15.4</v>
      </c>
      <c r="H953" s="57" t="n">
        <f aca="false">MAX(0,IF(AND(Parameter!$B$21="Ja",ISNUMBER(Y953)),Y953,IF(Parameter!$B$20="Jahresanfang 2025 + Export",BL953+BK953,BK953)))</f>
        <v>25</v>
      </c>
      <c r="I953" s="57" t="n">
        <f aca="false">H953*G953</f>
        <v>385</v>
      </c>
      <c r="J953" s="57" t="n">
        <f aca="false">BN953*Parameter!$B$18</f>
        <v>0</v>
      </c>
      <c r="K953" s="58" t="n">
        <v>27</v>
      </c>
      <c r="L953" s="59" t="n">
        <v>0</v>
      </c>
      <c r="M953" s="57" t="n">
        <v>0</v>
      </c>
      <c r="N953" s="57" t="n">
        <v>1</v>
      </c>
      <c r="O953" s="60" t="n">
        <v>28</v>
      </c>
      <c r="P953" s="55" t="s">
        <v>426</v>
      </c>
      <c r="Q953" s="57" t="n">
        <v>25</v>
      </c>
      <c r="R953" s="60" t="n">
        <f aca="false">IF(BT953=1,0,IFERROR(VLOOKUP(BR953,'Gebinde-Kategorie'!$A$5:$M$45,13,0)+0,0))</f>
        <v>198</v>
      </c>
      <c r="S953" s="61"/>
      <c r="T953" s="62"/>
      <c r="U953" s="62"/>
      <c r="V953" s="62"/>
      <c r="W953" s="55"/>
      <c r="X953" s="57"/>
      <c r="Y953" s="57"/>
      <c r="Z953" s="55" t="n">
        <f aca="false">IF(A953="","",IF(AND(Parameter!$B$21="Ja",ISNUMBER(W953)),W953,IF(BV953="2+3",IF(ISNUMBER(SEARCH("grosser Artikel",BO953)),2,IFERROR(VLOOKUP(BR953,Parameter!$F$35:$G$64,2,0),2)),IF(OR(BV953="Nein",BV953=""),"-",BV953))))</f>
        <v>3</v>
      </c>
      <c r="AA953" s="62"/>
      <c r="AB953" s="63"/>
      <c r="AC953" s="57" t="n">
        <f aca="false">AR953</f>
        <v>25</v>
      </c>
      <c r="AD953" s="57" t="n">
        <f aca="false">MAX(AR953,H953)</f>
        <v>25</v>
      </c>
      <c r="AE953" s="64"/>
      <c r="AF953" s="57" t="n">
        <f aca="false">IF(LEFT(Cockpit!$C$5,1)="A",H953,IF(CA953=1,CB953,IF(LEFT(Cockpit!$C$5,1)="B",AJ953,MAX(AJ953,H953))))</f>
        <v>25</v>
      </c>
      <c r="AG953" s="57" t="n">
        <f aca="false">IF(BT953=1,0,ROUNDUP(AF953/BS953,0))</f>
        <v>1</v>
      </c>
      <c r="AH953" s="59" t="n">
        <f aca="false">IF(CH953&gt;0,CH953*MAX(1,AF953/X953),IF(BT953=1,IF(AF953&lt;=0,0,BW953*MAX(1,IF(H953&gt;0,AF953/H953,1))),IF(R953&gt;0,AG953/R953,0))/MAX(0.1,N(Parameter!$M$21)))</f>
        <v>0.00505050505050505</v>
      </c>
      <c r="AI953" s="57" t="n">
        <f aca="false">AF953*G953</f>
        <v>385</v>
      </c>
      <c r="AJ953" s="57" t="n">
        <f aca="false">ROUNDUP(MAX(J953/IF(BZ953&gt;0,BZ953,MAX(0.1,N(Cockpit!$C$6))),CC953)/BS953,0)*BS953</f>
        <v>25</v>
      </c>
      <c r="AK953" s="58" t="n">
        <f aca="false">IF(AH953&gt;0,J953/AH953,-1)</f>
        <v>0</v>
      </c>
      <c r="AL953" s="58" t="n">
        <f aca="false">IF(AND(OR(BY953="L1",BY953="L23"),AH953&gt;0),SUMIFS($AH$7:$AH$1843,$BY$7:$BY$1843,BY953,$AK$7:$AK$1843,"&gt;"&amp;AK953)+SUMIFS($AH$7:$AH$1843,$BY$7:$BY$1843,BY953,$AK$7:$AK$1843,AK953,$BQ$7:$BQ$1843,"&lt;="&amp;BQ953),"")</f>
        <v>78.1517347386913</v>
      </c>
      <c r="AM953" s="65" t="n">
        <f aca="false">IF(AL953="",0,MAX(0,MIN(1,(IF(BY953="L1",Parameter!$E$5,Parameter!$E$6+Parameter!$E$7)-(AL953-AH953))/AH953)))</f>
        <v>1</v>
      </c>
      <c r="AN953" s="57" t="n">
        <f aca="false">IF(LEFT(Cockpit!$I$5,1)="A",H953,IF(CA953=1,CB953,IF(LEFT(Cockpit!$I$5,1)="B",AR953,MAX(AR953,H953))))</f>
        <v>25</v>
      </c>
      <c r="AO953" s="57" t="n">
        <f aca="false">IF(BT953=1,0,ROUNDUP(AN953/BS953,0))</f>
        <v>1</v>
      </c>
      <c r="AP953" s="59" t="n">
        <f aca="false">IF(CH953&gt;0,CH953*MAX(1,AN953/X953),IF(BT953=1,IF(AN953&lt;=0,0,BW953*MAX(1,IF(H953&gt;0,AN953/H953,1))),IF(R953&gt;0,AO953/R953,0))/MAX(0.1,N(Parameter!$M$21)))</f>
        <v>0.00505050505050505</v>
      </c>
      <c r="AQ953" s="57" t="n">
        <f aca="false">AN953*G953</f>
        <v>385</v>
      </c>
      <c r="AR953" s="57" t="n">
        <f aca="false">ROUNDUP(MAX(J953/IF(BZ953&gt;0,BZ953,MAX(0.1,N(Cockpit!$I$6))),CC953)/BS953,0)*BS953</f>
        <v>25</v>
      </c>
      <c r="AS953" s="58" t="n">
        <f aca="false">IF(AP953&gt;0,J953/AP953,-1)</f>
        <v>0</v>
      </c>
      <c r="AT953" s="58" t="n">
        <f aca="false">IF(AND(OR(BY953="L1",BY953="L23"),AP953&gt;0),SUMIFS($AP$7:$AP$1843,$BY$7:$BY$1843,BY953,$AS$7:$AS$1843,"&gt;"&amp;AS953)+SUMIFS($AP$7:$AP$1843,$BY$7:$BY$1843,BY953,$AS$7:$AS$1843,AS953,$BQ$7:$BQ$1843,"&lt;="&amp;BQ953),"")</f>
        <v>119.384302895172</v>
      </c>
      <c r="AU953" s="65" t="n">
        <f aca="false">IF(AT953="",0,MAX(0,MIN(1,(IF(BY953="L1",Parameter!$E$5,Parameter!$E$6+Parameter!$E$7)-(AT953-AP953))/AP953)))</f>
        <v>0</v>
      </c>
      <c r="AV953" s="57" t="n">
        <f aca="false">IF(LEFT(Cockpit!$O$5,1)="A",H953,IF(CA953=1,CB953,IF(LEFT(Cockpit!$O$5,1)="B",AZ953,MAX(AZ953,H953))))</f>
        <v>25</v>
      </c>
      <c r="AW953" s="57" t="n">
        <f aca="false">IF(BT953=1,0,ROUNDUP(AV953/BS953,0))</f>
        <v>1</v>
      </c>
      <c r="AX953" s="59" t="n">
        <f aca="false">IF(CH953&gt;0,CH953*MAX(1,AV953/X953),IF(BT953=1,IF(AV953&lt;=0,0,BW953*MAX(1,IF(H953&gt;0,AV953/H953,1))),IF(R953&gt;0,AW953/R953,0))/MAX(0.1,N(Parameter!$M$21)))</f>
        <v>0.00505050505050505</v>
      </c>
      <c r="AY953" s="57" t="n">
        <f aca="false">AV953*G953</f>
        <v>385</v>
      </c>
      <c r="AZ953" s="57" t="n">
        <f aca="false">ROUNDUP(MAX(J953/IF(BZ953&gt;0,BZ953,MAX(0.1,N(Cockpit!$O$6))),CC953)/BS953,0)*BS953</f>
        <v>25</v>
      </c>
      <c r="BA953" s="58" t="n">
        <f aca="false">IF(AX953&gt;0,J953/AX953,-1)</f>
        <v>0</v>
      </c>
      <c r="BB953" s="58" t="n">
        <f aca="false">IF(AND(OR(BY953="L1",BY953="L23"),AX953&gt;0),SUMIFS($AX$7:$AX$1843,$BY$7:$BY$1843,BY953,$BA$7:$BA$1843,"&gt;"&amp;BA953)+SUMIFS($AX$7:$AX$1843,$BY$7:$BY$1843,BY953,$BA$7:$BA$1843,BA953,$BQ$7:$BQ$1843,"&lt;="&amp;BQ953),"")</f>
        <v>110.214139725009</v>
      </c>
      <c r="BC953" s="65" t="n">
        <f aca="false">IF(BB953="",0,MAX(0,MIN(1,(IF(BY953="L1",Parameter!$E$5,Parameter!$E$6+Parameter!$E$7)-(BB953-AX953))/AX953)))</f>
        <v>0</v>
      </c>
      <c r="BD953" s="55" t="str">
        <f aca="false">IF(AH953&lt;=0,"",IF(BY953="Aussen","Aussenlager",IF(BY953="-","Nicht im Lift",IF(AM953&gt;=1,"Lift",IF(AM953&lt;=0,"Aussenlager","teilweise")))))</f>
        <v>Lift</v>
      </c>
      <c r="BE953" s="55" t="str">
        <f aca="false">IF(AP953&lt;=0,"",IF(BY953="Aussen","Aussenlager",IF(BY953="-","Nicht im Lift",IF(AU953&gt;=1,"Lift",IF(AU953&lt;=0,"Aussenlager","teilweise")))))</f>
        <v>Aussenlager</v>
      </c>
      <c r="BF953" s="55" t="str">
        <f aca="false">IF(AX953&lt;=0,"",IF(BY953="Aussen","Aussenlager",IF(BY953="-","Nicht im Lift",IF(BC953&gt;=1,"Lift",IF(BC953&lt;=0,"Aussenlager","teilweise")))))</f>
        <v>Aussenlager</v>
      </c>
      <c r="BG953" s="55" t="str">
        <f aca="false">IF(A953="","",IF(BP953=1,"Neu; ","")&amp;IF(AND(BP953=0,BK953&lt;0),"negativer Bestand (Export "&amp;BK953&amp;"); ","")&amp;IF(J953&lt;=0,"Kein Verbrauch; ","")&amp;IF(CH953&gt;0,"Lift "&amp;W953&amp;" lt. Liftbericht (Fach "&amp;X953&amp;" Stk); ",IF(BU953=1,"Gebinde geschätzt ("&amp;T953&amp;"); ",IF(BT953=1,"Lose – Tablare geschätzt; ","")))&amp;IF(H953&gt;AR953,"Überbestand "&amp;ROUND(H953-AR953,0)&amp;" Stk / CHF "&amp;ROUND((H953-AR953)*G953,0)&amp;"; ","")&amp;IF(AND(CA953=1,CB953&lt;CC953),"MAX &lt; MB+LG; ","")&amp;IF(AND(CG953&gt;0,CF953*10&gt;CG953),"zu hoch für Tablar; ","")&amp;IF(AND(BP953=0,OR(CA953=1,AA953&lt;&gt;"",U953&lt;&gt;"",V953&lt;&gt;"",AB953&lt;&gt;"")),"manuell übersteuert; ","")&amp;IF(AND(BT953=0,R953=0),"Gebinde unbekannt / Stellmass fehlt; ","")&amp;IF(AND(BT953=0,N(V953)&lt;=0,N(Q953)&lt;=0),"Menge pro Gebinde fehlt (Ist = 1 Gebinde); ","")&amp;BO953)</f>
        <v>negativer Bestand (Export -4); Kein Verbrauch; Neuer Art.</v>
      </c>
      <c r="BH953" s="55"/>
      <c r="BI953" s="55"/>
      <c r="BJ953" s="62"/>
      <c r="BK953" s="57" t="n">
        <v>-4</v>
      </c>
      <c r="BL953" s="57" t="n">
        <v>29</v>
      </c>
      <c r="BM953" s="56" t="n">
        <v>-61.6</v>
      </c>
      <c r="BN953" s="57" t="n">
        <v>0</v>
      </c>
      <c r="BO953" s="55" t="s">
        <v>512</v>
      </c>
      <c r="BP953" s="60" t="n">
        <v>0</v>
      </c>
      <c r="BQ953" s="60" t="n">
        <v>953</v>
      </c>
      <c r="BR953" s="55" t="str">
        <f aca="false">IF(U953&lt;&gt;"",UPPER(TRIM(U953)),IF(BU953=1,UPPER(VLOOKUP(T953,Parameter!$I$27:$K$29,2,0)),IF(P953="","LOSE",P953)))</f>
        <v>S22</v>
      </c>
      <c r="BS953" s="57" t="n">
        <f aca="false">IF(BR953="LOSE",1,IF(N(V953)&gt;0,V953,IF(BU953=1,MAX(1,N(VLOOKUP(T953,Parameter!$I$27:$K$29,3,0)),H953,N(N953)),IF(N(Q953)&gt;0,Q953,MAX(1,H953)))))</f>
        <v>25</v>
      </c>
      <c r="BT953" s="60" t="n">
        <f aca="false">IF(BR953="LOSE",1,0)</f>
        <v>0</v>
      </c>
      <c r="BU953" s="60" t="n">
        <f aca="false">IF(AND(U953="",OR(P953="",P953="LOSE"),T953&lt;&gt;"",N(S953)&lt;=0,ISNUMBER(MATCH(T953,Parameter!$I$27:$I$29,0))),1,0)</f>
        <v>0</v>
      </c>
      <c r="BV953" s="55" t="str">
        <f aca="false">IF(AND(Parameter!$B$19="Ja",E953&lt;&gt;"",ISNUMBER(MATCH(E953,Parameter!$I$35:$I$52,0))),VLOOKUP(E953,Parameter!$I$35:$J$52,2,0),IFERROR(VLOOKUP(D953,Parameter!$A$35:$C$64,2,0),"Nein"))</f>
        <v>2+3</v>
      </c>
      <c r="BW953" s="59" t="n">
        <f aca="false">IF(BT953=0,0,IF(N(S953)&gt;0,S953,IFERROR(VLOOKUP(D953,Parameter!$A$35:$C$64,3,0)+0,0)))</f>
        <v>0</v>
      </c>
      <c r="BX953" s="55" t="n">
        <f aca="false">IF(AA953&lt;&gt;"",AA953,Z953)</f>
        <v>3</v>
      </c>
      <c r="BY953" s="55" t="str">
        <f aca="false">IF(BX953=1,"L1",IF(OR(BX953=2,BX953=3),"L23",IF(BX953="Aussen","Aussen","-")))</f>
        <v>L23</v>
      </c>
      <c r="BZ953" s="66" t="n">
        <f aca="false">IF(N(AB953)&gt;0,AB953,0)</f>
        <v>0</v>
      </c>
      <c r="CA953" s="60" t="n">
        <f aca="false">IF(ISNUMBER(AE953),1,0)</f>
        <v>0</v>
      </c>
      <c r="CB953" s="57" t="n">
        <f aca="false">N(AE953)</f>
        <v>0</v>
      </c>
      <c r="CC953" s="57" t="n">
        <f aca="false">N(M953)+N(N953)</f>
        <v>1</v>
      </c>
      <c r="CD953" s="57" t="n">
        <f aca="false">ROUNDUP(H953/BS953,0)</f>
        <v>1</v>
      </c>
      <c r="CE953" s="57" t="n">
        <f aca="false">ROUNDUP(CB953/BS953,0)</f>
        <v>0</v>
      </c>
      <c r="CF953" s="60" t="n">
        <f aca="false">IF(BT953=1,0,IFERROR(VLOOKUP(BR953,'Gebinde-Kategorie'!$A$5:$M$45,5,0)+0,0))</f>
        <v>8</v>
      </c>
      <c r="CG953" s="60" t="n">
        <f aca="false">IFERROR(IF(OR(BX953=1,BX953=2,BX953=3),N(INDEX(Parameter!$I$5:$I$7,BX953)),0),0)</f>
        <v>0</v>
      </c>
      <c r="CH953" s="59" t="n">
        <f aca="false">IF(AND(Parameter!$B$21="Ja",ISNUMBER(W953),N(X953)&gt;0),IFERROR(N(INDEX(Parameter!$L$5:$L$7,W953))*INDEX(Parameter!$E$5:$E$7,W953)*X953/SUMIFS($X$7:$X$1843,$W$7:$W$1843,W953),0),0)</f>
        <v>0</v>
      </c>
    </row>
    <row r="954" customFormat="false" ht="15" hidden="false" customHeight="false" outlineLevel="0" collapsed="false">
      <c r="A954" s="55" t="s">
        <v>1777</v>
      </c>
      <c r="B954" s="55" t="s">
        <v>1778</v>
      </c>
      <c r="C954" s="55" t="s">
        <v>164</v>
      </c>
      <c r="D954" s="55" t="s">
        <v>184</v>
      </c>
      <c r="E954" s="55"/>
      <c r="F954" s="55" t="s">
        <v>218</v>
      </c>
      <c r="G954" s="56" t="n">
        <v>62.04</v>
      </c>
      <c r="H954" s="57" t="n">
        <f aca="false">MAX(0,IF(AND(Parameter!$B$21="Ja",ISNUMBER(Y954)),Y954,IF(Parameter!$B$20="Jahresanfang 2025 + Export",BL954+BK954,BK954)))</f>
        <v>1</v>
      </c>
      <c r="I954" s="57" t="n">
        <f aca="false">H954*G954</f>
        <v>62.04</v>
      </c>
      <c r="J954" s="57" t="n">
        <f aca="false">BN954*Parameter!$B$18</f>
        <v>1</v>
      </c>
      <c r="K954" s="58" t="n">
        <v>1.5</v>
      </c>
      <c r="L954" s="59" t="n">
        <v>0.666666666666667</v>
      </c>
      <c r="M954" s="57" t="n">
        <v>0</v>
      </c>
      <c r="N954" s="57" t="n">
        <v>1</v>
      </c>
      <c r="O954" s="60" t="n">
        <v>35</v>
      </c>
      <c r="P954" s="55" t="s">
        <v>421</v>
      </c>
      <c r="Q954" s="57" t="n">
        <v>2</v>
      </c>
      <c r="R954" s="60" t="n">
        <f aca="false">IF(BT954=1,0,IFERROR(VLOOKUP(BR954,'Gebinde-Kategorie'!$A$5:$M$45,13,0)+0,0))</f>
        <v>132</v>
      </c>
      <c r="S954" s="61"/>
      <c r="T954" s="62"/>
      <c r="U954" s="62"/>
      <c r="V954" s="62"/>
      <c r="W954" s="55"/>
      <c r="X954" s="57"/>
      <c r="Y954" s="57"/>
      <c r="Z954" s="55" t="n">
        <f aca="false">IF(A954="","",IF(AND(Parameter!$B$21="Ja",ISNUMBER(W954)),W954,IF(BV954="2+3",IF(ISNUMBER(SEARCH("grosser Artikel",BO954)),2,IFERROR(VLOOKUP(BR954,Parameter!$F$35:$G$64,2,0),2)),IF(OR(BV954="Nein",BV954=""),"-",BV954))))</f>
        <v>3</v>
      </c>
      <c r="AA954" s="62"/>
      <c r="AB954" s="63"/>
      <c r="AC954" s="57" t="n">
        <f aca="false">AR954</f>
        <v>2</v>
      </c>
      <c r="AD954" s="57" t="n">
        <f aca="false">MAX(AR954,H954)</f>
        <v>2</v>
      </c>
      <c r="AE954" s="64"/>
      <c r="AF954" s="57" t="n">
        <f aca="false">IF(LEFT(Cockpit!$C$5,1)="A",H954,IF(CA954=1,CB954,IF(LEFT(Cockpit!$C$5,1)="B",AJ954,MAX(AJ954,H954))))</f>
        <v>1</v>
      </c>
      <c r="AG954" s="57" t="n">
        <f aca="false">IF(BT954=1,0,ROUNDUP(AF954/BS954,0))</f>
        <v>1</v>
      </c>
      <c r="AH954" s="59" t="n">
        <f aca="false">IF(CH954&gt;0,CH954*MAX(1,AF954/X954),IF(BT954=1,IF(AF954&lt;=0,0,BW954*MAX(1,IF(H954&gt;0,AF954/H954,1))),IF(R954&gt;0,AG954/R954,0))/MAX(0.1,N(Parameter!$M$21)))</f>
        <v>0.00757575757575758</v>
      </c>
      <c r="AI954" s="57" t="n">
        <f aca="false">AF954*G954</f>
        <v>62.04</v>
      </c>
      <c r="AJ954" s="57" t="n">
        <f aca="false">ROUNDUP(MAX(J954/IF(BZ954&gt;0,BZ954,MAX(0.1,N(Cockpit!$C$6))),CC954)/BS954,0)*BS954</f>
        <v>2</v>
      </c>
      <c r="AK954" s="58" t="n">
        <f aca="false">IF(AH954&gt;0,J954/AH954,-1)</f>
        <v>132</v>
      </c>
      <c r="AL954" s="58" t="n">
        <f aca="false">IF(AND(OR(BY954="L1",BY954="L23"),AH954&gt;0),SUMIFS($AH$7:$AH$1843,$BY$7:$BY$1843,BY954,$AK$7:$AK$1843,"&gt;"&amp;AK954)+SUMIFS($AH$7:$AH$1843,$BY$7:$BY$1843,BY954,$AK$7:$AK$1843,AK954,$BQ$7:$BQ$1843,"&lt;="&amp;BQ954),"")</f>
        <v>36.3039931083409</v>
      </c>
      <c r="AM954" s="65" t="n">
        <f aca="false">IF(AL954="",0,MAX(0,MIN(1,(IF(BY954="L1",Parameter!$E$5,Parameter!$E$6+Parameter!$E$7)-(AL954-AH954))/AH954)))</f>
        <v>1</v>
      </c>
      <c r="AN954" s="57" t="n">
        <f aca="false">IF(LEFT(Cockpit!$I$5,1)="A",H954,IF(CA954=1,CB954,IF(LEFT(Cockpit!$I$5,1)="B",AR954,MAX(AR954,H954))))</f>
        <v>2</v>
      </c>
      <c r="AO954" s="57" t="n">
        <f aca="false">IF(BT954=1,0,ROUNDUP(AN954/BS954,0))</f>
        <v>1</v>
      </c>
      <c r="AP954" s="59" t="n">
        <f aca="false">IF(CH954&gt;0,CH954*MAX(1,AN954/X954),IF(BT954=1,IF(AN954&lt;=0,0,BW954*MAX(1,IF(H954&gt;0,AN954/H954,1))),IF(R954&gt;0,AO954/R954,0))/MAX(0.1,N(Parameter!$M$21)))</f>
        <v>0.00757575757575758</v>
      </c>
      <c r="AQ954" s="57" t="n">
        <f aca="false">AN954*G954</f>
        <v>124.08</v>
      </c>
      <c r="AR954" s="57" t="n">
        <f aca="false">ROUNDUP(MAX(J954/IF(BZ954&gt;0,BZ954,MAX(0.1,N(Cockpit!$I$6))),CC954)/BS954,0)*BS954</f>
        <v>2</v>
      </c>
      <c r="AS954" s="58" t="n">
        <f aca="false">IF(AP954&gt;0,J954/AP954,-1)</f>
        <v>132</v>
      </c>
      <c r="AT954" s="58" t="n">
        <f aca="false">IF(AND(OR(BY954="L1",BY954="L23"),AP954&gt;0),SUMIFS($AP$7:$AP$1843,$BY$7:$BY$1843,BY954,$AS$7:$AS$1843,"&gt;"&amp;AS954)+SUMIFS($AP$7:$AP$1843,$BY$7:$BY$1843,BY954,$AS$7:$AS$1843,AS954,$BQ$7:$BQ$1843,"&lt;="&amp;BQ954),"")</f>
        <v>52.0363923516097</v>
      </c>
      <c r="AU954" s="65" t="n">
        <f aca="false">IF(AT954="",0,MAX(0,MIN(1,(IF(BY954="L1",Parameter!$E$5,Parameter!$E$6+Parameter!$E$7)-(AT954-AP954))/AP954)))</f>
        <v>1</v>
      </c>
      <c r="AV954" s="57" t="n">
        <f aca="false">IF(LEFT(Cockpit!$O$5,1)="A",H954,IF(CA954=1,CB954,IF(LEFT(Cockpit!$O$5,1)="B",AZ954,MAX(AZ954,H954))))</f>
        <v>2</v>
      </c>
      <c r="AW954" s="57" t="n">
        <f aca="false">IF(BT954=1,0,ROUNDUP(AV954/BS954,0))</f>
        <v>1</v>
      </c>
      <c r="AX954" s="59" t="n">
        <f aca="false">IF(CH954&gt;0,CH954*MAX(1,AV954/X954),IF(BT954=1,IF(AV954&lt;=0,0,BW954*MAX(1,IF(H954&gt;0,AV954/H954,1))),IF(R954&gt;0,AW954/R954,0))/MAX(0.1,N(Parameter!$M$21)))</f>
        <v>0.00757575757575758</v>
      </c>
      <c r="AY954" s="57" t="n">
        <f aca="false">AV954*G954</f>
        <v>124.08</v>
      </c>
      <c r="AZ954" s="57" t="n">
        <f aca="false">ROUNDUP(MAX(J954/IF(BZ954&gt;0,BZ954,MAX(0.1,N(Cockpit!$O$6))),CC954)/BS954,0)*BS954</f>
        <v>2</v>
      </c>
      <c r="BA954" s="58" t="n">
        <f aca="false">IF(AX954&gt;0,J954/AX954,-1)</f>
        <v>132</v>
      </c>
      <c r="BB954" s="58" t="n">
        <f aca="false">IF(AND(OR(BY954="L1",BY954="L23"),AX954&gt;0),SUMIFS($AX$7:$AX$1843,$BY$7:$BY$1843,BY954,$BA$7:$BA$1843,"&gt;"&amp;BA954)+SUMIFS($AX$7:$AX$1843,$BY$7:$BY$1843,BY954,$BA$7:$BA$1843,BA954,$BQ$7:$BQ$1843,"&lt;="&amp;BQ954),"")</f>
        <v>48.6162291814466</v>
      </c>
      <c r="BC954" s="65" t="n">
        <f aca="false">IF(BB954="",0,MAX(0,MIN(1,(IF(BY954="L1",Parameter!$E$5,Parameter!$E$6+Parameter!$E$7)-(BB954-AX954))/AX954)))</f>
        <v>1</v>
      </c>
      <c r="BD954" s="55" t="str">
        <f aca="false">IF(AH954&lt;=0,"",IF(BY954="Aussen","Aussenlager",IF(BY954="-","Nicht im Lift",IF(AM954&gt;=1,"Lift",IF(AM954&lt;=0,"Aussenlager","teilweise")))))</f>
        <v>Lift</v>
      </c>
      <c r="BE954" s="55" t="str">
        <f aca="false">IF(AP954&lt;=0,"",IF(BY954="Aussen","Aussenlager",IF(BY954="-","Nicht im Lift",IF(AU954&gt;=1,"Lift",IF(AU954&lt;=0,"Aussenlager","teilweise")))))</f>
        <v>Lift</v>
      </c>
      <c r="BF954" s="55" t="str">
        <f aca="false">IF(AX954&lt;=0,"",IF(BY954="Aussen","Aussenlager",IF(BY954="-","Nicht im Lift",IF(BC954&gt;=1,"Lift",IF(BC954&lt;=0,"Aussenlager","teilweise")))))</f>
        <v>Lift</v>
      </c>
      <c r="BG954" s="55" t="str">
        <f aca="false">IF(A954="","",IF(BP954=1,"Neu; ","")&amp;IF(AND(BP954=0,BK954&lt;0),"negativer Bestand (Export "&amp;BK954&amp;"); ","")&amp;IF(J954&lt;=0,"Kein Verbrauch; ","")&amp;IF(CH954&gt;0,"Lift "&amp;W954&amp;" lt. Liftbericht (Fach "&amp;X954&amp;" Stk); ",IF(BU954=1,"Gebinde geschätzt ("&amp;T954&amp;"); ",IF(BT954=1,"Lose – Tablare geschätzt; ","")))&amp;IF(H954&gt;AR954,"Überbestand "&amp;ROUND(H954-AR954,0)&amp;" Stk / CHF "&amp;ROUND((H954-AR954)*G954,0)&amp;"; ","")&amp;IF(AND(CA954=1,CB954&lt;CC954),"MAX &lt; MB+LG; ","")&amp;IF(AND(CG954&gt;0,CF954*10&gt;CG954),"zu hoch für Tablar; ","")&amp;IF(AND(BP954=0,OR(CA954=1,AA954&lt;&gt;"",U954&lt;&gt;"",V954&lt;&gt;"",AB954&lt;&gt;"")),"manuell übersteuert; ","")&amp;IF(AND(BT954=0,R954=0),"Gebinde unbekannt / Stellmass fehlt; ","")&amp;IF(AND(BT954=0,N(V954)&lt;=0,N(Q954)&lt;=0),"Menge pro Gebinde fehlt (Ist = 1 Gebinde); ","")&amp;BO954)</f>
        <v>negativer Bestand (Export -1); </v>
      </c>
      <c r="BH954" s="55"/>
      <c r="BI954" s="55"/>
      <c r="BJ954" s="62"/>
      <c r="BK954" s="57" t="n">
        <v>-1</v>
      </c>
      <c r="BL954" s="57" t="n">
        <v>2</v>
      </c>
      <c r="BM954" s="56" t="n">
        <v>-62.04</v>
      </c>
      <c r="BN954" s="57" t="n">
        <v>1</v>
      </c>
      <c r="BO954" s="55"/>
      <c r="BP954" s="60" t="n">
        <v>0</v>
      </c>
      <c r="BQ954" s="60" t="n">
        <v>954</v>
      </c>
      <c r="BR954" s="55" t="str">
        <f aca="false">IF(U954&lt;&gt;"",UPPER(TRIM(U954)),IF(BU954=1,UPPER(VLOOKUP(T954,Parameter!$I$27:$K$29,2,0)),IF(P954="","LOSE",P954)))</f>
        <v>S32</v>
      </c>
      <c r="BS954" s="57" t="n">
        <f aca="false">IF(BR954="LOSE",1,IF(N(V954)&gt;0,V954,IF(BU954=1,MAX(1,N(VLOOKUP(T954,Parameter!$I$27:$K$29,3,0)),H954,N(N954)),IF(N(Q954)&gt;0,Q954,MAX(1,H954)))))</f>
        <v>2</v>
      </c>
      <c r="BT954" s="60" t="n">
        <f aca="false">IF(BR954="LOSE",1,0)</f>
        <v>0</v>
      </c>
      <c r="BU954" s="60" t="n">
        <f aca="false">IF(AND(U954="",OR(P954="",P954="LOSE"),T954&lt;&gt;"",N(S954)&lt;=0,ISNUMBER(MATCH(T954,Parameter!$I$27:$I$29,0))),1,0)</f>
        <v>0</v>
      </c>
      <c r="BV954" s="55" t="str">
        <f aca="false">IF(AND(Parameter!$B$19="Ja",E954&lt;&gt;"",ISNUMBER(MATCH(E954,Parameter!$I$35:$I$52,0))),VLOOKUP(E954,Parameter!$I$35:$J$52,2,0),IFERROR(VLOOKUP(D954,Parameter!$A$35:$C$64,2,0),"Nein"))</f>
        <v>2+3</v>
      </c>
      <c r="BW954" s="59" t="n">
        <f aca="false">IF(BT954=0,0,IF(N(S954)&gt;0,S954,IFERROR(VLOOKUP(D954,Parameter!$A$35:$C$64,3,0)+0,0)))</f>
        <v>0</v>
      </c>
      <c r="BX954" s="55" t="n">
        <f aca="false">IF(AA954&lt;&gt;"",AA954,Z954)</f>
        <v>3</v>
      </c>
      <c r="BY954" s="55" t="str">
        <f aca="false">IF(BX954=1,"L1",IF(OR(BX954=2,BX954=3),"L23",IF(BX954="Aussen","Aussen","-")))</f>
        <v>L23</v>
      </c>
      <c r="BZ954" s="66" t="n">
        <f aca="false">IF(N(AB954)&gt;0,AB954,0)</f>
        <v>0</v>
      </c>
      <c r="CA954" s="60" t="n">
        <f aca="false">IF(ISNUMBER(AE954),1,0)</f>
        <v>0</v>
      </c>
      <c r="CB954" s="57" t="n">
        <f aca="false">N(AE954)</f>
        <v>0</v>
      </c>
      <c r="CC954" s="57" t="n">
        <f aca="false">N(M954)+N(N954)</f>
        <v>1</v>
      </c>
      <c r="CD954" s="57" t="n">
        <f aca="false">ROUNDUP(H954/BS954,0)</f>
        <v>1</v>
      </c>
      <c r="CE954" s="57" t="n">
        <f aca="false">ROUNDUP(CB954/BS954,0)</f>
        <v>0</v>
      </c>
      <c r="CF954" s="60" t="n">
        <f aca="false">IF(BT954=1,0,IFERROR(VLOOKUP(BR954,'Gebinde-Kategorie'!$A$5:$M$45,5,0)+0,0))</f>
        <v>8</v>
      </c>
      <c r="CG954" s="60" t="n">
        <f aca="false">IFERROR(IF(OR(BX954=1,BX954=2,BX954=3),N(INDEX(Parameter!$I$5:$I$7,BX954)),0),0)</f>
        <v>0</v>
      </c>
      <c r="CH954" s="59" t="n">
        <f aca="false">IF(AND(Parameter!$B$21="Ja",ISNUMBER(W954),N(X954)&gt;0),IFERROR(N(INDEX(Parameter!$L$5:$L$7,W954))*INDEX(Parameter!$E$5:$E$7,W954)*X954/SUMIFS($X$7:$X$1843,$W$7:$W$1843,W954),0),0)</f>
        <v>0</v>
      </c>
    </row>
    <row r="955" customFormat="false" ht="15" hidden="false" customHeight="false" outlineLevel="0" collapsed="false">
      <c r="A955" s="55" t="s">
        <v>1779</v>
      </c>
      <c r="B955" s="55" t="s">
        <v>1780</v>
      </c>
      <c r="C955" s="55" t="s">
        <v>164</v>
      </c>
      <c r="D955" s="55" t="s">
        <v>184</v>
      </c>
      <c r="E955" s="55" t="s">
        <v>185</v>
      </c>
      <c r="F955" s="55" t="s">
        <v>218</v>
      </c>
      <c r="G955" s="56" t="n">
        <v>9.01</v>
      </c>
      <c r="H955" s="57" t="n">
        <f aca="false">MAX(0,IF(AND(Parameter!$B$21="Ja",ISNUMBER(Y955)),Y955,IF(Parameter!$B$20="Jahresanfang 2025 + Export",BL955+BK955,BK955)))</f>
        <v>4</v>
      </c>
      <c r="I955" s="57" t="n">
        <f aca="false">H955*G955</f>
        <v>36.04</v>
      </c>
      <c r="J955" s="57" t="n">
        <f aca="false">BN955*Parameter!$B$18</f>
        <v>9</v>
      </c>
      <c r="K955" s="58" t="n">
        <v>8.5</v>
      </c>
      <c r="L955" s="59" t="n">
        <v>1.05882352941177</v>
      </c>
      <c r="M955" s="57" t="n">
        <v>0</v>
      </c>
      <c r="N955" s="57" t="n">
        <v>10</v>
      </c>
      <c r="O955" s="60" t="n">
        <v>17</v>
      </c>
      <c r="P955" s="55" t="s">
        <v>476</v>
      </c>
      <c r="Q955" s="57" t="n">
        <v>23</v>
      </c>
      <c r="R955" s="60" t="n">
        <f aca="false">IF(BT955=1,0,IFERROR(VLOOKUP(BR955,'Gebinde-Kategorie'!$A$5:$M$45,13,0)+0,0))</f>
        <v>66</v>
      </c>
      <c r="S955" s="61"/>
      <c r="T955" s="62"/>
      <c r="U955" s="62"/>
      <c r="V955" s="62"/>
      <c r="W955" s="55"/>
      <c r="X955" s="57"/>
      <c r="Y955" s="57"/>
      <c r="Z955" s="55" t="n">
        <f aca="false">IF(A955="","",IF(AND(Parameter!$B$21="Ja",ISNUMBER(W955)),W955,IF(BV955="2+3",IF(ISNUMBER(SEARCH("grosser Artikel",BO955)),2,IFERROR(VLOOKUP(BR955,Parameter!$F$35:$G$64,2,0),2)),IF(OR(BV955="Nein",BV955=""),"-",BV955))))</f>
        <v>3</v>
      </c>
      <c r="AA955" s="62"/>
      <c r="AB955" s="63"/>
      <c r="AC955" s="57" t="n">
        <f aca="false">AR955</f>
        <v>23</v>
      </c>
      <c r="AD955" s="57" t="n">
        <f aca="false">MAX(AR955,H955)</f>
        <v>23</v>
      </c>
      <c r="AE955" s="64"/>
      <c r="AF955" s="57" t="n">
        <f aca="false">IF(LEFT(Cockpit!$C$5,1)="A",H955,IF(CA955=1,CB955,IF(LEFT(Cockpit!$C$5,1)="B",AJ955,MAX(AJ955,H955))))</f>
        <v>4</v>
      </c>
      <c r="AG955" s="57" t="n">
        <f aca="false">IF(BT955=1,0,ROUNDUP(AF955/BS955,0))</f>
        <v>1</v>
      </c>
      <c r="AH955" s="59" t="n">
        <f aca="false">IF(CH955&gt;0,CH955*MAX(1,AF955/X955),IF(BT955=1,IF(AF955&lt;=0,0,BW955*MAX(1,IF(H955&gt;0,AF955/H955,1))),IF(R955&gt;0,AG955/R955,0))/MAX(0.1,N(Parameter!$M$21)))</f>
        <v>0.0151515151515152</v>
      </c>
      <c r="AI955" s="57" t="n">
        <f aca="false">AF955*G955</f>
        <v>36.04</v>
      </c>
      <c r="AJ955" s="57" t="n">
        <f aca="false">ROUNDUP(MAX(J955/IF(BZ955&gt;0,BZ955,MAX(0.1,N(Cockpit!$C$6))),CC955)/BS955,0)*BS955</f>
        <v>23</v>
      </c>
      <c r="AK955" s="58" t="n">
        <f aca="false">IF(AH955&gt;0,J955/AH955,-1)</f>
        <v>594</v>
      </c>
      <c r="AL955" s="58" t="n">
        <f aca="false">IF(AND(OR(BY955="L1",BY955="L23"),AH955&gt;0),SUMIFS($AH$7:$AH$1843,$BY$7:$BY$1843,BY955,$AK$7:$AK$1843,"&gt;"&amp;AK955)+SUMIFS($AH$7:$AH$1843,$BY$7:$BY$1843,BY955,$AK$7:$AK$1843,AK955,$BQ$7:$BQ$1843,"&lt;="&amp;BQ955),"")</f>
        <v>23.2511655011655</v>
      </c>
      <c r="AM955" s="65" t="n">
        <f aca="false">IF(AL955="",0,MAX(0,MIN(1,(IF(BY955="L1",Parameter!$E$5,Parameter!$E$6+Parameter!$E$7)-(AL955-AH955))/AH955)))</f>
        <v>1</v>
      </c>
      <c r="AN955" s="57" t="n">
        <f aca="false">IF(LEFT(Cockpit!$I$5,1)="A",H955,IF(CA955=1,CB955,IF(LEFT(Cockpit!$I$5,1)="B",AR955,MAX(AR955,H955))))</f>
        <v>23</v>
      </c>
      <c r="AO955" s="57" t="n">
        <f aca="false">IF(BT955=1,0,ROUNDUP(AN955/BS955,0))</f>
        <v>1</v>
      </c>
      <c r="AP955" s="59" t="n">
        <f aca="false">IF(CH955&gt;0,CH955*MAX(1,AN955/X955),IF(BT955=1,IF(AN955&lt;=0,0,BW955*MAX(1,IF(H955&gt;0,AN955/H955,1))),IF(R955&gt;0,AO955/R955,0))/MAX(0.1,N(Parameter!$M$21)))</f>
        <v>0.0151515151515152</v>
      </c>
      <c r="AQ955" s="57" t="n">
        <f aca="false">AN955*G955</f>
        <v>207.23</v>
      </c>
      <c r="AR955" s="57" t="n">
        <f aca="false">ROUNDUP(MAX(J955/IF(BZ955&gt;0,BZ955,MAX(0.1,N(Cockpit!$I$6))),CC955)/BS955,0)*BS955</f>
        <v>23</v>
      </c>
      <c r="AS955" s="58" t="n">
        <f aca="false">IF(AP955&gt;0,J955/AP955,-1)</f>
        <v>594</v>
      </c>
      <c r="AT955" s="58" t="n">
        <f aca="false">IF(AND(OR(BY955="L1",BY955="L23"),AP955&gt;0),SUMIFS($AP$7:$AP$1843,$BY$7:$BY$1843,BY955,$AS$7:$AS$1843,"&gt;"&amp;AS955)+SUMIFS($AP$7:$AP$1843,$BY$7:$BY$1843,BY955,$AS$7:$AS$1843,AS955,$BQ$7:$BQ$1843,"&lt;="&amp;BQ955),"")</f>
        <v>31.0448633492112</v>
      </c>
      <c r="AU955" s="65" t="n">
        <f aca="false">IF(AT955="",0,MAX(0,MIN(1,(IF(BY955="L1",Parameter!$E$5,Parameter!$E$6+Parameter!$E$7)-(AT955-AP955))/AP955)))</f>
        <v>1</v>
      </c>
      <c r="AV955" s="57" t="n">
        <f aca="false">IF(LEFT(Cockpit!$O$5,1)="A",H955,IF(CA955=1,CB955,IF(LEFT(Cockpit!$O$5,1)="B",AZ955,MAX(AZ955,H955))))</f>
        <v>23</v>
      </c>
      <c r="AW955" s="57" t="n">
        <f aca="false">IF(BT955=1,0,ROUNDUP(AV955/BS955,0))</f>
        <v>1</v>
      </c>
      <c r="AX955" s="59" t="n">
        <f aca="false">IF(CH955&gt;0,CH955*MAX(1,AV955/X955),IF(BT955=1,IF(AV955&lt;=0,0,BW955*MAX(1,IF(H955&gt;0,AV955/H955,1))),IF(R955&gt;0,AW955/R955,0))/MAX(0.1,N(Parameter!$M$21)))</f>
        <v>0.0151515151515152</v>
      </c>
      <c r="AY955" s="57" t="n">
        <f aca="false">AV955*G955</f>
        <v>207.23</v>
      </c>
      <c r="AZ955" s="57" t="n">
        <f aca="false">ROUNDUP(MAX(J955/IF(BZ955&gt;0,BZ955,MAX(0.1,N(Cockpit!$O$6))),CC955)/BS955,0)*BS955</f>
        <v>23</v>
      </c>
      <c r="BA955" s="58" t="n">
        <f aca="false">IF(AX955&gt;0,J955/AX955,-1)</f>
        <v>594</v>
      </c>
      <c r="BB955" s="58" t="n">
        <f aca="false">IF(AND(OR(BY955="L1",BY955="L23"),AX955&gt;0),SUMIFS($AX$7:$AX$1843,$BY$7:$BY$1843,BY955,$BA$7:$BA$1843,"&gt;"&amp;BA955)+SUMIFS($AX$7:$AX$1843,$BY$7:$BY$1843,BY955,$BA$7:$BA$1843,BA955,$BQ$7:$BQ$1843,"&lt;="&amp;BQ955),"")</f>
        <v>29.4452129995608</v>
      </c>
      <c r="BC955" s="65" t="n">
        <f aca="false">IF(BB955="",0,MAX(0,MIN(1,(IF(BY955="L1",Parameter!$E$5,Parameter!$E$6+Parameter!$E$7)-(BB955-AX955))/AX955)))</f>
        <v>1</v>
      </c>
      <c r="BD955" s="55" t="str">
        <f aca="false">IF(AH955&lt;=0,"",IF(BY955="Aussen","Aussenlager",IF(BY955="-","Nicht im Lift",IF(AM955&gt;=1,"Lift",IF(AM955&lt;=0,"Aussenlager","teilweise")))))</f>
        <v>Lift</v>
      </c>
      <c r="BE955" s="55" t="str">
        <f aca="false">IF(AP955&lt;=0,"",IF(BY955="Aussen","Aussenlager",IF(BY955="-","Nicht im Lift",IF(AU955&gt;=1,"Lift",IF(AU955&lt;=0,"Aussenlager","teilweise")))))</f>
        <v>Lift</v>
      </c>
      <c r="BF955" s="55" t="str">
        <f aca="false">IF(AX955&lt;=0,"",IF(BY955="Aussen","Aussenlager",IF(BY955="-","Nicht im Lift",IF(BC955&gt;=1,"Lift",IF(BC955&lt;=0,"Aussenlager","teilweise")))))</f>
        <v>Lift</v>
      </c>
      <c r="BG955" s="55" t="str">
        <f aca="false">IF(A955="","",IF(BP955=1,"Neu; ","")&amp;IF(AND(BP955=0,BK955&lt;0),"negativer Bestand (Export "&amp;BK955&amp;"); ","")&amp;IF(J955&lt;=0,"Kein Verbrauch; ","")&amp;IF(CH955&gt;0,"Lift "&amp;W955&amp;" lt. Liftbericht (Fach "&amp;X955&amp;" Stk); ",IF(BU955=1,"Gebinde geschätzt ("&amp;T955&amp;"); ",IF(BT955=1,"Lose – Tablare geschätzt; ","")))&amp;IF(H955&gt;AR955,"Überbestand "&amp;ROUND(H955-AR955,0)&amp;" Stk / CHF "&amp;ROUND((H955-AR955)*G955,0)&amp;"; ","")&amp;IF(AND(CA955=1,CB955&lt;CC955),"MAX &lt; MB+LG; ","")&amp;IF(AND(CG955&gt;0,CF955*10&gt;CG955),"zu hoch für Tablar; ","")&amp;IF(AND(BP955=0,OR(CA955=1,AA955&lt;&gt;"",U955&lt;&gt;"",V955&lt;&gt;"",AB955&lt;&gt;"")),"manuell übersteuert; ","")&amp;IF(AND(BT955=0,R955=0),"Gebinde unbekannt / Stellmass fehlt; ","")&amp;IF(AND(BT955=0,N(V955)&lt;=0,N(Q955)&lt;=0),"Menge pro Gebinde fehlt (Ist = 1 Gebinde); ","")&amp;BO955)</f>
        <v>negativer Bestand (Export -8); </v>
      </c>
      <c r="BH955" s="55"/>
      <c r="BI955" s="55"/>
      <c r="BJ955" s="62"/>
      <c r="BK955" s="57" t="n">
        <v>-8</v>
      </c>
      <c r="BL955" s="57" t="n">
        <v>12</v>
      </c>
      <c r="BM955" s="56" t="n">
        <v>-62.6</v>
      </c>
      <c r="BN955" s="57" t="n">
        <v>9</v>
      </c>
      <c r="BO955" s="55"/>
      <c r="BP955" s="60" t="n">
        <v>0</v>
      </c>
      <c r="BQ955" s="60" t="n">
        <v>955</v>
      </c>
      <c r="BR955" s="55" t="str">
        <f aca="false">IF(U955&lt;&gt;"",UPPER(TRIM(U955)),IF(BU955=1,UPPER(VLOOKUP(T955,Parameter!$I$27:$K$29,2,0)),IF(P955="","LOSE",P955)))</f>
        <v>S33</v>
      </c>
      <c r="BS955" s="57" t="n">
        <f aca="false">IF(BR955="LOSE",1,IF(N(V955)&gt;0,V955,IF(BU955=1,MAX(1,N(VLOOKUP(T955,Parameter!$I$27:$K$29,3,0)),H955,N(N955)),IF(N(Q955)&gt;0,Q955,MAX(1,H955)))))</f>
        <v>23</v>
      </c>
      <c r="BT955" s="60" t="n">
        <f aca="false">IF(BR955="LOSE",1,0)</f>
        <v>0</v>
      </c>
      <c r="BU955" s="60" t="n">
        <f aca="false">IF(AND(U955="",OR(P955="",P955="LOSE"),T955&lt;&gt;"",N(S955)&lt;=0,ISNUMBER(MATCH(T955,Parameter!$I$27:$I$29,0))),1,0)</f>
        <v>0</v>
      </c>
      <c r="BV955" s="55" t="str">
        <f aca="false">IF(AND(Parameter!$B$19="Ja",E955&lt;&gt;"",ISNUMBER(MATCH(E955,Parameter!$I$35:$I$52,0))),VLOOKUP(E955,Parameter!$I$35:$J$52,2,0),IFERROR(VLOOKUP(D955,Parameter!$A$35:$C$64,2,0),"Nein"))</f>
        <v>2+3</v>
      </c>
      <c r="BW955" s="59" t="n">
        <f aca="false">IF(BT955=0,0,IF(N(S955)&gt;0,S955,IFERROR(VLOOKUP(D955,Parameter!$A$35:$C$64,3,0)+0,0)))</f>
        <v>0</v>
      </c>
      <c r="BX955" s="55" t="n">
        <f aca="false">IF(AA955&lt;&gt;"",AA955,Z955)</f>
        <v>3</v>
      </c>
      <c r="BY955" s="55" t="str">
        <f aca="false">IF(BX955=1,"L1",IF(OR(BX955=2,BX955=3),"L23",IF(BX955="Aussen","Aussen","-")))</f>
        <v>L23</v>
      </c>
      <c r="BZ955" s="66" t="n">
        <f aca="false">IF(N(AB955)&gt;0,AB955,0)</f>
        <v>0</v>
      </c>
      <c r="CA955" s="60" t="n">
        <f aca="false">IF(ISNUMBER(AE955),1,0)</f>
        <v>0</v>
      </c>
      <c r="CB955" s="57" t="n">
        <f aca="false">N(AE955)</f>
        <v>0</v>
      </c>
      <c r="CC955" s="57" t="n">
        <f aca="false">N(M955)+N(N955)</f>
        <v>10</v>
      </c>
      <c r="CD955" s="57" t="n">
        <f aca="false">ROUNDUP(H955/BS955,0)</f>
        <v>1</v>
      </c>
      <c r="CE955" s="57" t="n">
        <f aca="false">ROUNDUP(CB955/BS955,0)</f>
        <v>0</v>
      </c>
      <c r="CF955" s="60" t="n">
        <f aca="false">IF(BT955=1,0,IFERROR(VLOOKUP(BR955,'Gebinde-Kategorie'!$A$5:$M$45,5,0)+0,0))</f>
        <v>8</v>
      </c>
      <c r="CG955" s="60" t="n">
        <f aca="false">IFERROR(IF(OR(BX955=1,BX955=2,BX955=3),N(INDEX(Parameter!$I$5:$I$7,BX955)),0),0)</f>
        <v>0</v>
      </c>
      <c r="CH955" s="59" t="n">
        <f aca="false">IF(AND(Parameter!$B$21="Ja",ISNUMBER(W955),N(X955)&gt;0),IFERROR(N(INDEX(Parameter!$L$5:$L$7,W955))*INDEX(Parameter!$E$5:$E$7,W955)*X955/SUMIFS($X$7:$X$1843,$W$7:$W$1843,W955),0),0)</f>
        <v>0</v>
      </c>
    </row>
    <row r="956" customFormat="false" ht="15" hidden="false" customHeight="false" outlineLevel="0" collapsed="false">
      <c r="A956" s="55" t="s">
        <v>1781</v>
      </c>
      <c r="B956" s="55" t="s">
        <v>1708</v>
      </c>
      <c r="C956" s="55" t="s">
        <v>164</v>
      </c>
      <c r="D956" s="55" t="s">
        <v>184</v>
      </c>
      <c r="E956" s="55" t="s">
        <v>185</v>
      </c>
      <c r="F956" s="55" t="s">
        <v>218</v>
      </c>
      <c r="G956" s="56" t="n">
        <v>31.64</v>
      </c>
      <c r="H956" s="57" t="n">
        <f aca="false">MAX(0,IF(AND(Parameter!$B$21="Ja",ISNUMBER(Y956)),Y956,IF(Parameter!$B$20="Jahresanfang 2025 + Export",BL956+BK956,BK956)))</f>
        <v>15</v>
      </c>
      <c r="I956" s="57" t="n">
        <f aca="false">H956*G956</f>
        <v>474.6</v>
      </c>
      <c r="J956" s="57" t="n">
        <f aca="false">BN956*Parameter!$B$18</f>
        <v>1</v>
      </c>
      <c r="K956" s="58" t="n">
        <v>16</v>
      </c>
      <c r="L956" s="59" t="n">
        <v>0.0625</v>
      </c>
      <c r="M956" s="57" t="n">
        <v>0</v>
      </c>
      <c r="N956" s="57" t="n">
        <v>5</v>
      </c>
      <c r="O956" s="60" t="n">
        <v>56</v>
      </c>
      <c r="P956" s="55" t="s">
        <v>476</v>
      </c>
      <c r="Q956" s="57" t="n">
        <v>22</v>
      </c>
      <c r="R956" s="60" t="n">
        <f aca="false">IF(BT956=1,0,IFERROR(VLOOKUP(BR956,'Gebinde-Kategorie'!$A$5:$M$45,13,0)+0,0))</f>
        <v>66</v>
      </c>
      <c r="S956" s="61"/>
      <c r="T956" s="62"/>
      <c r="U956" s="62"/>
      <c r="V956" s="62"/>
      <c r="W956" s="55"/>
      <c r="X956" s="57"/>
      <c r="Y956" s="57"/>
      <c r="Z956" s="55" t="n">
        <f aca="false">IF(A956="","",IF(AND(Parameter!$B$21="Ja",ISNUMBER(W956)),W956,IF(BV956="2+3",IF(ISNUMBER(SEARCH("grosser Artikel",BO956)),2,IFERROR(VLOOKUP(BR956,Parameter!$F$35:$G$64,2,0),2)),IF(OR(BV956="Nein",BV956=""),"-",BV956))))</f>
        <v>3</v>
      </c>
      <c r="AA956" s="62"/>
      <c r="AB956" s="63"/>
      <c r="AC956" s="57" t="n">
        <f aca="false">AR956</f>
        <v>22</v>
      </c>
      <c r="AD956" s="57" t="n">
        <f aca="false">MAX(AR956,H956)</f>
        <v>22</v>
      </c>
      <c r="AE956" s="64"/>
      <c r="AF956" s="57" t="n">
        <f aca="false">IF(LEFT(Cockpit!$C$5,1)="A",H956,IF(CA956=1,CB956,IF(LEFT(Cockpit!$C$5,1)="B",AJ956,MAX(AJ956,H956))))</f>
        <v>15</v>
      </c>
      <c r="AG956" s="57" t="n">
        <f aca="false">IF(BT956=1,0,ROUNDUP(AF956/BS956,0))</f>
        <v>1</v>
      </c>
      <c r="AH956" s="59" t="n">
        <f aca="false">IF(CH956&gt;0,CH956*MAX(1,AF956/X956),IF(BT956=1,IF(AF956&lt;=0,0,BW956*MAX(1,IF(H956&gt;0,AF956/H956,1))),IF(R956&gt;0,AG956/R956,0))/MAX(0.1,N(Parameter!$M$21)))</f>
        <v>0.0151515151515152</v>
      </c>
      <c r="AI956" s="57" t="n">
        <f aca="false">AF956*G956</f>
        <v>474.6</v>
      </c>
      <c r="AJ956" s="57" t="n">
        <f aca="false">ROUNDUP(MAX(J956/IF(BZ956&gt;0,BZ956,MAX(0.1,N(Cockpit!$C$6))),CC956)/BS956,0)*BS956</f>
        <v>22</v>
      </c>
      <c r="AK956" s="58" t="n">
        <f aca="false">IF(AH956&gt;0,J956/AH956,-1)</f>
        <v>66</v>
      </c>
      <c r="AL956" s="58" t="n">
        <f aca="false">IF(AND(OR(BY956="L1",BY956="L23"),AH956&gt;0),SUMIFS($AH$7:$AH$1843,$BY$7:$BY$1843,BY956,$AK$7:$AK$1843,"&gt;"&amp;AK956)+SUMIFS($AH$7:$AH$1843,$BY$7:$BY$1843,BY956,$AK$7:$AK$1843,AK956,$BQ$7:$BQ$1843,"&lt;="&amp;BQ956),"")</f>
        <v>42.7327032870511</v>
      </c>
      <c r="AM956" s="65" t="n">
        <f aca="false">IF(AL956="",0,MAX(0,MIN(1,(IF(BY956="L1",Parameter!$E$5,Parameter!$E$6+Parameter!$E$7)-(AL956-AH956))/AH956)))</f>
        <v>1</v>
      </c>
      <c r="AN956" s="57" t="n">
        <f aca="false">IF(LEFT(Cockpit!$I$5,1)="A",H956,IF(CA956=1,CB956,IF(LEFT(Cockpit!$I$5,1)="B",AR956,MAX(AR956,H956))))</f>
        <v>22</v>
      </c>
      <c r="AO956" s="57" t="n">
        <f aca="false">IF(BT956=1,0,ROUNDUP(AN956/BS956,0))</f>
        <v>1</v>
      </c>
      <c r="AP956" s="59" t="n">
        <f aca="false">IF(CH956&gt;0,CH956*MAX(1,AN956/X956),IF(BT956=1,IF(AN956&lt;=0,0,BW956*MAX(1,IF(H956&gt;0,AN956/H956,1))),IF(R956&gt;0,AO956/R956,0))/MAX(0.1,N(Parameter!$M$21)))</f>
        <v>0.0151515151515152</v>
      </c>
      <c r="AQ956" s="57" t="n">
        <f aca="false">AN956*G956</f>
        <v>696.08</v>
      </c>
      <c r="AR956" s="57" t="n">
        <f aca="false">ROUNDUP(MAX(J956/IF(BZ956&gt;0,BZ956,MAX(0.1,N(Cockpit!$I$6))),CC956)/BS956,0)*BS956</f>
        <v>22</v>
      </c>
      <c r="AS956" s="58" t="n">
        <f aca="false">IF(AP956&gt;0,J956/AP956,-1)</f>
        <v>66</v>
      </c>
      <c r="AT956" s="58" t="n">
        <f aca="false">IF(AND(OR(BY956="L1",BY956="L23"),AP956&gt;0),SUMIFS($AP$7:$AP$1843,$BY$7:$BY$1843,BY956,$AS$7:$AS$1843,"&gt;"&amp;AS956)+SUMIFS($AP$7:$AP$1843,$BY$7:$BY$1843,BY956,$AS$7:$AS$1843,AS956,$BQ$7:$BQ$1843,"&lt;="&amp;BQ956),"")</f>
        <v>64.9388787540962</v>
      </c>
      <c r="AU956" s="65" t="n">
        <f aca="false">IF(AT956="",0,MAX(0,MIN(1,(IF(BY956="L1",Parameter!$E$5,Parameter!$E$6+Parameter!$E$7)-(AT956-AP956))/AP956)))</f>
        <v>1</v>
      </c>
      <c r="AV956" s="57" t="n">
        <f aca="false">IF(LEFT(Cockpit!$O$5,1)="A",H956,IF(CA956=1,CB956,IF(LEFT(Cockpit!$O$5,1)="B",AZ956,MAX(AZ956,H956))))</f>
        <v>22</v>
      </c>
      <c r="AW956" s="57" t="n">
        <f aca="false">IF(BT956=1,0,ROUNDUP(AV956/BS956,0))</f>
        <v>1</v>
      </c>
      <c r="AX956" s="59" t="n">
        <f aca="false">IF(CH956&gt;0,CH956*MAX(1,AV956/X956),IF(BT956=1,IF(AV956&lt;=0,0,BW956*MAX(1,IF(H956&gt;0,AV956/H956,1))),IF(R956&gt;0,AW956/R956,0))/MAX(0.1,N(Parameter!$M$21)))</f>
        <v>0.0151515151515152</v>
      </c>
      <c r="AY956" s="57" t="n">
        <f aca="false">AV956*G956</f>
        <v>696.08</v>
      </c>
      <c r="AZ956" s="57" t="n">
        <f aca="false">ROUNDUP(MAX(J956/IF(BZ956&gt;0,BZ956,MAX(0.1,N(Cockpit!$O$6))),CC956)/BS956,0)*BS956</f>
        <v>22</v>
      </c>
      <c r="BA956" s="58" t="n">
        <f aca="false">IF(AX956&gt;0,J956/AX956,-1)</f>
        <v>66</v>
      </c>
      <c r="BB956" s="58" t="n">
        <f aca="false">IF(AND(OR(BY956="L1",BY956="L23"),AX956&gt;0),SUMIFS($AX$7:$AX$1843,$BY$7:$BY$1843,BY956,$BA$7:$BA$1843,"&gt;"&amp;BA956)+SUMIFS($AX$7:$AX$1843,$BY$7:$BY$1843,BY956,$BA$7:$BA$1843,BA956,$BQ$7:$BQ$1843,"&lt;="&amp;BQ956),"")</f>
        <v>59.4353822505996</v>
      </c>
      <c r="BC956" s="65" t="n">
        <f aca="false">IF(BB956="",0,MAX(0,MIN(1,(IF(BY956="L1",Parameter!$E$5,Parameter!$E$6+Parameter!$E$7)-(BB956-AX956))/AX956)))</f>
        <v>1</v>
      </c>
      <c r="BD956" s="55" t="str">
        <f aca="false">IF(AH956&lt;=0,"",IF(BY956="Aussen","Aussenlager",IF(BY956="-","Nicht im Lift",IF(AM956&gt;=1,"Lift",IF(AM956&lt;=0,"Aussenlager","teilweise")))))</f>
        <v>Lift</v>
      </c>
      <c r="BE956" s="55" t="str">
        <f aca="false">IF(AP956&lt;=0,"",IF(BY956="Aussen","Aussenlager",IF(BY956="-","Nicht im Lift",IF(AU956&gt;=1,"Lift",IF(AU956&lt;=0,"Aussenlager","teilweise")))))</f>
        <v>Lift</v>
      </c>
      <c r="BF956" s="55" t="str">
        <f aca="false">IF(AX956&lt;=0,"",IF(BY956="Aussen","Aussenlager",IF(BY956="-","Nicht im Lift",IF(BC956&gt;=1,"Lift",IF(BC956&lt;=0,"Aussenlager","teilweise")))))</f>
        <v>Lift</v>
      </c>
      <c r="BG956" s="55" t="str">
        <f aca="false">IF(A956="","",IF(BP956=1,"Neu; ","")&amp;IF(AND(BP956=0,BK956&lt;0),"negativer Bestand (Export "&amp;BK956&amp;"); ","")&amp;IF(J956&lt;=0,"Kein Verbrauch; ","")&amp;IF(CH956&gt;0,"Lift "&amp;W956&amp;" lt. Liftbericht (Fach "&amp;X956&amp;" Stk); ",IF(BU956=1,"Gebinde geschätzt ("&amp;T956&amp;"); ",IF(BT956=1,"Lose – Tablare geschätzt; ","")))&amp;IF(H956&gt;AR956,"Überbestand "&amp;ROUND(H956-AR956,0)&amp;" Stk / CHF "&amp;ROUND((H956-AR956)*G956,0)&amp;"; ","")&amp;IF(AND(CA956=1,CB956&lt;CC956),"MAX &lt; MB+LG; ","")&amp;IF(AND(CG956&gt;0,CF956*10&gt;CG956),"zu hoch für Tablar; ","")&amp;IF(AND(BP956=0,OR(CA956=1,AA956&lt;&gt;"",U956&lt;&gt;"",V956&lt;&gt;"",AB956&lt;&gt;"")),"manuell übersteuert; ","")&amp;IF(AND(BT956=0,R956=0),"Gebinde unbekannt / Stellmass fehlt; ","")&amp;IF(AND(BT956=0,N(V956)&lt;=0,N(Q956)&lt;=0),"Menge pro Gebinde fehlt (Ist = 1 Gebinde); ","")&amp;BO956)</f>
        <v>negativer Bestand (Export -2); </v>
      </c>
      <c r="BH956" s="55"/>
      <c r="BI956" s="55"/>
      <c r="BJ956" s="62"/>
      <c r="BK956" s="57" t="n">
        <v>-2</v>
      </c>
      <c r="BL956" s="57" t="n">
        <v>17</v>
      </c>
      <c r="BM956" s="56" t="n">
        <v>-63.28</v>
      </c>
      <c r="BN956" s="57" t="n">
        <v>1</v>
      </c>
      <c r="BO956" s="55"/>
      <c r="BP956" s="60" t="n">
        <v>0</v>
      </c>
      <c r="BQ956" s="60" t="n">
        <v>956</v>
      </c>
      <c r="BR956" s="55" t="str">
        <f aca="false">IF(U956&lt;&gt;"",UPPER(TRIM(U956)),IF(BU956=1,UPPER(VLOOKUP(T956,Parameter!$I$27:$K$29,2,0)),IF(P956="","LOSE",P956)))</f>
        <v>S33</v>
      </c>
      <c r="BS956" s="57" t="n">
        <f aca="false">IF(BR956="LOSE",1,IF(N(V956)&gt;0,V956,IF(BU956=1,MAX(1,N(VLOOKUP(T956,Parameter!$I$27:$K$29,3,0)),H956,N(N956)),IF(N(Q956)&gt;0,Q956,MAX(1,H956)))))</f>
        <v>22</v>
      </c>
      <c r="BT956" s="60" t="n">
        <f aca="false">IF(BR956="LOSE",1,0)</f>
        <v>0</v>
      </c>
      <c r="BU956" s="60" t="n">
        <f aca="false">IF(AND(U956="",OR(P956="",P956="LOSE"),T956&lt;&gt;"",N(S956)&lt;=0,ISNUMBER(MATCH(T956,Parameter!$I$27:$I$29,0))),1,0)</f>
        <v>0</v>
      </c>
      <c r="BV956" s="55" t="str">
        <f aca="false">IF(AND(Parameter!$B$19="Ja",E956&lt;&gt;"",ISNUMBER(MATCH(E956,Parameter!$I$35:$I$52,0))),VLOOKUP(E956,Parameter!$I$35:$J$52,2,0),IFERROR(VLOOKUP(D956,Parameter!$A$35:$C$64,2,0),"Nein"))</f>
        <v>2+3</v>
      </c>
      <c r="BW956" s="59" t="n">
        <f aca="false">IF(BT956=0,0,IF(N(S956)&gt;0,S956,IFERROR(VLOOKUP(D956,Parameter!$A$35:$C$64,3,0)+0,0)))</f>
        <v>0</v>
      </c>
      <c r="BX956" s="55" t="n">
        <f aca="false">IF(AA956&lt;&gt;"",AA956,Z956)</f>
        <v>3</v>
      </c>
      <c r="BY956" s="55" t="str">
        <f aca="false">IF(BX956=1,"L1",IF(OR(BX956=2,BX956=3),"L23",IF(BX956="Aussen","Aussen","-")))</f>
        <v>L23</v>
      </c>
      <c r="BZ956" s="66" t="n">
        <f aca="false">IF(N(AB956)&gt;0,AB956,0)</f>
        <v>0</v>
      </c>
      <c r="CA956" s="60" t="n">
        <f aca="false">IF(ISNUMBER(AE956),1,0)</f>
        <v>0</v>
      </c>
      <c r="CB956" s="57" t="n">
        <f aca="false">N(AE956)</f>
        <v>0</v>
      </c>
      <c r="CC956" s="57" t="n">
        <f aca="false">N(M956)+N(N956)</f>
        <v>5</v>
      </c>
      <c r="CD956" s="57" t="n">
        <f aca="false">ROUNDUP(H956/BS956,0)</f>
        <v>1</v>
      </c>
      <c r="CE956" s="57" t="n">
        <f aca="false">ROUNDUP(CB956/BS956,0)</f>
        <v>0</v>
      </c>
      <c r="CF956" s="60" t="n">
        <f aca="false">IF(BT956=1,0,IFERROR(VLOOKUP(BR956,'Gebinde-Kategorie'!$A$5:$M$45,5,0)+0,0))</f>
        <v>8</v>
      </c>
      <c r="CG956" s="60" t="n">
        <f aca="false">IFERROR(IF(OR(BX956=1,BX956=2,BX956=3),N(INDEX(Parameter!$I$5:$I$7,BX956)),0),0)</f>
        <v>0</v>
      </c>
      <c r="CH956" s="59" t="n">
        <f aca="false">IF(AND(Parameter!$B$21="Ja",ISNUMBER(W956),N(X956)&gt;0),IFERROR(N(INDEX(Parameter!$L$5:$L$7,W956))*INDEX(Parameter!$E$5:$E$7,W956)*X956/SUMIFS($X$7:$X$1843,$W$7:$W$1843,W956),0),0)</f>
        <v>0</v>
      </c>
    </row>
    <row r="957" customFormat="false" ht="15" hidden="false" customHeight="false" outlineLevel="0" collapsed="false">
      <c r="A957" s="55" t="s">
        <v>1782</v>
      </c>
      <c r="B957" s="55" t="s">
        <v>1761</v>
      </c>
      <c r="C957" s="55" t="s">
        <v>164</v>
      </c>
      <c r="D957" s="55" t="s">
        <v>184</v>
      </c>
      <c r="E957" s="55" t="s">
        <v>185</v>
      </c>
      <c r="F957" s="55" t="s">
        <v>218</v>
      </c>
      <c r="G957" s="56" t="n">
        <v>21.34</v>
      </c>
      <c r="H957" s="57" t="n">
        <f aca="false">MAX(0,IF(AND(Parameter!$B$21="Ja",ISNUMBER(Y957)),Y957,IF(Parameter!$B$20="Jahresanfang 2025 + Export",BL957+BK957,BK957)))</f>
        <v>42</v>
      </c>
      <c r="I957" s="57" t="n">
        <f aca="false">H957*G957</f>
        <v>896.28</v>
      </c>
      <c r="J957" s="57" t="n">
        <f aca="false">BN957*Parameter!$B$18</f>
        <v>0</v>
      </c>
      <c r="K957" s="58" t="n">
        <v>45</v>
      </c>
      <c r="L957" s="59" t="n">
        <v>0</v>
      </c>
      <c r="M957" s="57" t="n">
        <v>0</v>
      </c>
      <c r="N957" s="57" t="n">
        <v>1</v>
      </c>
      <c r="O957" s="60" t="n">
        <v>35</v>
      </c>
      <c r="P957" s="55" t="s">
        <v>421</v>
      </c>
      <c r="Q957" s="57" t="n">
        <v>54</v>
      </c>
      <c r="R957" s="60" t="n">
        <f aca="false">IF(BT957=1,0,IFERROR(VLOOKUP(BR957,'Gebinde-Kategorie'!$A$5:$M$45,13,0)+0,0))</f>
        <v>132</v>
      </c>
      <c r="S957" s="61"/>
      <c r="T957" s="62"/>
      <c r="U957" s="62"/>
      <c r="V957" s="62"/>
      <c r="W957" s="55"/>
      <c r="X957" s="57"/>
      <c r="Y957" s="57"/>
      <c r="Z957" s="55" t="n">
        <f aca="false">IF(A957="","",IF(AND(Parameter!$B$21="Ja",ISNUMBER(W957)),W957,IF(BV957="2+3",IF(ISNUMBER(SEARCH("grosser Artikel",BO957)),2,IFERROR(VLOOKUP(BR957,Parameter!$F$35:$G$64,2,0),2)),IF(OR(BV957="Nein",BV957=""),"-",BV957))))</f>
        <v>3</v>
      </c>
      <c r="AA957" s="62"/>
      <c r="AB957" s="63"/>
      <c r="AC957" s="57" t="n">
        <f aca="false">AR957</f>
        <v>54</v>
      </c>
      <c r="AD957" s="57" t="n">
        <f aca="false">MAX(AR957,H957)</f>
        <v>54</v>
      </c>
      <c r="AE957" s="64"/>
      <c r="AF957" s="57" t="n">
        <f aca="false">IF(LEFT(Cockpit!$C$5,1)="A",H957,IF(CA957=1,CB957,IF(LEFT(Cockpit!$C$5,1)="B",AJ957,MAX(AJ957,H957))))</f>
        <v>42</v>
      </c>
      <c r="AG957" s="57" t="n">
        <f aca="false">IF(BT957=1,0,ROUNDUP(AF957/BS957,0))</f>
        <v>1</v>
      </c>
      <c r="AH957" s="59" t="n">
        <f aca="false">IF(CH957&gt;0,CH957*MAX(1,AF957/X957),IF(BT957=1,IF(AF957&lt;=0,0,BW957*MAX(1,IF(H957&gt;0,AF957/H957,1))),IF(R957&gt;0,AG957/R957,0))/MAX(0.1,N(Parameter!$M$21)))</f>
        <v>0.00757575757575758</v>
      </c>
      <c r="AI957" s="57" t="n">
        <f aca="false">AF957*G957</f>
        <v>896.28</v>
      </c>
      <c r="AJ957" s="57" t="n">
        <f aca="false">ROUNDUP(MAX(J957/IF(BZ957&gt;0,BZ957,MAX(0.1,N(Cockpit!$C$6))),CC957)/BS957,0)*BS957</f>
        <v>54</v>
      </c>
      <c r="AK957" s="58" t="n">
        <f aca="false">IF(AH957&gt;0,J957/AH957,-1)</f>
        <v>0</v>
      </c>
      <c r="AL957" s="58" t="n">
        <f aca="false">IF(AND(OR(BY957="L1",BY957="L23"),AH957&gt;0),SUMIFS($AH$7:$AH$1843,$BY$7:$BY$1843,BY957,$AK$7:$AK$1843,"&gt;"&amp;AK957)+SUMIFS($AH$7:$AH$1843,$BY$7:$BY$1843,BY957,$AK$7:$AK$1843,AK957,$BQ$7:$BQ$1843,"&lt;="&amp;BQ957),"")</f>
        <v>78.159310496267</v>
      </c>
      <c r="AM957" s="65" t="n">
        <f aca="false">IF(AL957="",0,MAX(0,MIN(1,(IF(BY957="L1",Parameter!$E$5,Parameter!$E$6+Parameter!$E$7)-(AL957-AH957))/AH957)))</f>
        <v>1</v>
      </c>
      <c r="AN957" s="57" t="n">
        <f aca="false">IF(LEFT(Cockpit!$I$5,1)="A",H957,IF(CA957=1,CB957,IF(LEFT(Cockpit!$I$5,1)="B",AR957,MAX(AR957,H957))))</f>
        <v>54</v>
      </c>
      <c r="AO957" s="57" t="n">
        <f aca="false">IF(BT957=1,0,ROUNDUP(AN957/BS957,0))</f>
        <v>1</v>
      </c>
      <c r="AP957" s="59" t="n">
        <f aca="false">IF(CH957&gt;0,CH957*MAX(1,AN957/X957),IF(BT957=1,IF(AN957&lt;=0,0,BW957*MAX(1,IF(H957&gt;0,AN957/H957,1))),IF(R957&gt;0,AO957/R957,0))/MAX(0.1,N(Parameter!$M$21)))</f>
        <v>0.00757575757575758</v>
      </c>
      <c r="AQ957" s="57" t="n">
        <f aca="false">AN957*G957</f>
        <v>1152.36</v>
      </c>
      <c r="AR957" s="57" t="n">
        <f aca="false">ROUNDUP(MAX(J957/IF(BZ957&gt;0,BZ957,MAX(0.1,N(Cockpit!$I$6))),CC957)/BS957,0)*BS957</f>
        <v>54</v>
      </c>
      <c r="AS957" s="58" t="n">
        <f aca="false">IF(AP957&gt;0,J957/AP957,-1)</f>
        <v>0</v>
      </c>
      <c r="AT957" s="58" t="n">
        <f aca="false">IF(AND(OR(BY957="L1",BY957="L23"),AP957&gt;0),SUMIFS($AP$7:$AP$1843,$BY$7:$BY$1843,BY957,$AS$7:$AS$1843,"&gt;"&amp;AS957)+SUMIFS($AP$7:$AP$1843,$BY$7:$BY$1843,BY957,$AS$7:$AS$1843,AS957,$BQ$7:$BQ$1843,"&lt;="&amp;BQ957),"")</f>
        <v>119.391878652748</v>
      </c>
      <c r="AU957" s="65" t="n">
        <f aca="false">IF(AT957="",0,MAX(0,MIN(1,(IF(BY957="L1",Parameter!$E$5,Parameter!$E$6+Parameter!$E$7)-(AT957-AP957))/AP957)))</f>
        <v>0</v>
      </c>
      <c r="AV957" s="57" t="n">
        <f aca="false">IF(LEFT(Cockpit!$O$5,1)="A",H957,IF(CA957=1,CB957,IF(LEFT(Cockpit!$O$5,1)="B",AZ957,MAX(AZ957,H957))))</f>
        <v>54</v>
      </c>
      <c r="AW957" s="57" t="n">
        <f aca="false">IF(BT957=1,0,ROUNDUP(AV957/BS957,0))</f>
        <v>1</v>
      </c>
      <c r="AX957" s="59" t="n">
        <f aca="false">IF(CH957&gt;0,CH957*MAX(1,AV957/X957),IF(BT957=1,IF(AV957&lt;=0,0,BW957*MAX(1,IF(H957&gt;0,AV957/H957,1))),IF(R957&gt;0,AW957/R957,0))/MAX(0.1,N(Parameter!$M$21)))</f>
        <v>0.00757575757575758</v>
      </c>
      <c r="AY957" s="57" t="n">
        <f aca="false">AV957*G957</f>
        <v>1152.36</v>
      </c>
      <c r="AZ957" s="57" t="n">
        <f aca="false">ROUNDUP(MAX(J957/IF(BZ957&gt;0,BZ957,MAX(0.1,N(Cockpit!$O$6))),CC957)/BS957,0)*BS957</f>
        <v>54</v>
      </c>
      <c r="BA957" s="58" t="n">
        <f aca="false">IF(AX957&gt;0,J957/AX957,-1)</f>
        <v>0</v>
      </c>
      <c r="BB957" s="58" t="n">
        <f aca="false">IF(AND(OR(BY957="L1",BY957="L23"),AX957&gt;0),SUMIFS($AX$7:$AX$1843,$BY$7:$BY$1843,BY957,$BA$7:$BA$1843,"&gt;"&amp;BA957)+SUMIFS($AX$7:$AX$1843,$BY$7:$BY$1843,BY957,$BA$7:$BA$1843,BA957,$BQ$7:$BQ$1843,"&lt;="&amp;BQ957),"")</f>
        <v>110.221715482585</v>
      </c>
      <c r="BC957" s="65" t="n">
        <f aca="false">IF(BB957="",0,MAX(0,MIN(1,(IF(BY957="L1",Parameter!$E$5,Parameter!$E$6+Parameter!$E$7)-(BB957-AX957))/AX957)))</f>
        <v>0</v>
      </c>
      <c r="BD957" s="55" t="str">
        <f aca="false">IF(AH957&lt;=0,"",IF(BY957="Aussen","Aussenlager",IF(BY957="-","Nicht im Lift",IF(AM957&gt;=1,"Lift",IF(AM957&lt;=0,"Aussenlager","teilweise")))))</f>
        <v>Lift</v>
      </c>
      <c r="BE957" s="55" t="str">
        <f aca="false">IF(AP957&lt;=0,"",IF(BY957="Aussen","Aussenlager",IF(BY957="-","Nicht im Lift",IF(AU957&gt;=1,"Lift",IF(AU957&lt;=0,"Aussenlager","teilweise")))))</f>
        <v>Aussenlager</v>
      </c>
      <c r="BF957" s="55" t="str">
        <f aca="false">IF(AX957&lt;=0,"",IF(BY957="Aussen","Aussenlager",IF(BY957="-","Nicht im Lift",IF(BC957&gt;=1,"Lift",IF(BC957&lt;=0,"Aussenlager","teilweise")))))</f>
        <v>Aussenlager</v>
      </c>
      <c r="BG957" s="55" t="str">
        <f aca="false">IF(A957="","",IF(BP957=1,"Neu; ","")&amp;IF(AND(BP957=0,BK957&lt;0),"negativer Bestand (Export "&amp;BK957&amp;"); ","")&amp;IF(J957&lt;=0,"Kein Verbrauch; ","")&amp;IF(CH957&gt;0,"Lift "&amp;W957&amp;" lt. Liftbericht (Fach "&amp;X957&amp;" Stk); ",IF(BU957=1,"Gebinde geschätzt ("&amp;T957&amp;"); ",IF(BT957=1,"Lose – Tablare geschätzt; ","")))&amp;IF(H957&gt;AR957,"Überbestand "&amp;ROUND(H957-AR957,0)&amp;" Stk / CHF "&amp;ROUND((H957-AR957)*G957,0)&amp;"; ","")&amp;IF(AND(CA957=1,CB957&lt;CC957),"MAX &lt; MB+LG; ","")&amp;IF(AND(CG957&gt;0,CF957*10&gt;CG957),"zu hoch für Tablar; ","")&amp;IF(AND(BP957=0,OR(CA957=1,AA957&lt;&gt;"",U957&lt;&gt;"",V957&lt;&gt;"",AB957&lt;&gt;"")),"manuell übersteuert; ","")&amp;IF(AND(BT957=0,R957=0),"Gebinde unbekannt / Stellmass fehlt; ","")&amp;IF(AND(BT957=0,N(V957)&lt;=0,N(Q957)&lt;=0),"Menge pro Gebinde fehlt (Ist = 1 Gebinde); ","")&amp;BO957)</f>
        <v>negativer Bestand (Export -3); Kein Verbrauch; Twin</v>
      </c>
      <c r="BH957" s="55"/>
      <c r="BI957" s="55"/>
      <c r="BJ957" s="62"/>
      <c r="BK957" s="57" t="n">
        <v>-3</v>
      </c>
      <c r="BL957" s="57" t="n">
        <v>45</v>
      </c>
      <c r="BM957" s="56" t="n">
        <v>-64.02</v>
      </c>
      <c r="BN957" s="57" t="n">
        <v>0</v>
      </c>
      <c r="BO957" s="55" t="s">
        <v>214</v>
      </c>
      <c r="BP957" s="60" t="n">
        <v>0</v>
      </c>
      <c r="BQ957" s="60" t="n">
        <v>957</v>
      </c>
      <c r="BR957" s="55" t="str">
        <f aca="false">IF(U957&lt;&gt;"",UPPER(TRIM(U957)),IF(BU957=1,UPPER(VLOOKUP(T957,Parameter!$I$27:$K$29,2,0)),IF(P957="","LOSE",P957)))</f>
        <v>S32</v>
      </c>
      <c r="BS957" s="57" t="n">
        <f aca="false">IF(BR957="LOSE",1,IF(N(V957)&gt;0,V957,IF(BU957=1,MAX(1,N(VLOOKUP(T957,Parameter!$I$27:$K$29,3,0)),H957,N(N957)),IF(N(Q957)&gt;0,Q957,MAX(1,H957)))))</f>
        <v>54</v>
      </c>
      <c r="BT957" s="60" t="n">
        <f aca="false">IF(BR957="LOSE",1,0)</f>
        <v>0</v>
      </c>
      <c r="BU957" s="60" t="n">
        <f aca="false">IF(AND(U957="",OR(P957="",P957="LOSE"),T957&lt;&gt;"",N(S957)&lt;=0,ISNUMBER(MATCH(T957,Parameter!$I$27:$I$29,0))),1,0)</f>
        <v>0</v>
      </c>
      <c r="BV957" s="55" t="str">
        <f aca="false">IF(AND(Parameter!$B$19="Ja",E957&lt;&gt;"",ISNUMBER(MATCH(E957,Parameter!$I$35:$I$52,0))),VLOOKUP(E957,Parameter!$I$35:$J$52,2,0),IFERROR(VLOOKUP(D957,Parameter!$A$35:$C$64,2,0),"Nein"))</f>
        <v>2+3</v>
      </c>
      <c r="BW957" s="59" t="n">
        <f aca="false">IF(BT957=0,0,IF(N(S957)&gt;0,S957,IFERROR(VLOOKUP(D957,Parameter!$A$35:$C$64,3,0)+0,0)))</f>
        <v>0</v>
      </c>
      <c r="BX957" s="55" t="n">
        <f aca="false">IF(AA957&lt;&gt;"",AA957,Z957)</f>
        <v>3</v>
      </c>
      <c r="BY957" s="55" t="str">
        <f aca="false">IF(BX957=1,"L1",IF(OR(BX957=2,BX957=3),"L23",IF(BX957="Aussen","Aussen","-")))</f>
        <v>L23</v>
      </c>
      <c r="BZ957" s="66" t="n">
        <f aca="false">IF(N(AB957)&gt;0,AB957,0)</f>
        <v>0</v>
      </c>
      <c r="CA957" s="60" t="n">
        <f aca="false">IF(ISNUMBER(AE957),1,0)</f>
        <v>0</v>
      </c>
      <c r="CB957" s="57" t="n">
        <f aca="false">N(AE957)</f>
        <v>0</v>
      </c>
      <c r="CC957" s="57" t="n">
        <f aca="false">N(M957)+N(N957)</f>
        <v>1</v>
      </c>
      <c r="CD957" s="57" t="n">
        <f aca="false">ROUNDUP(H957/BS957,0)</f>
        <v>1</v>
      </c>
      <c r="CE957" s="57" t="n">
        <f aca="false">ROUNDUP(CB957/BS957,0)</f>
        <v>0</v>
      </c>
      <c r="CF957" s="60" t="n">
        <f aca="false">IF(BT957=1,0,IFERROR(VLOOKUP(BR957,'Gebinde-Kategorie'!$A$5:$M$45,5,0)+0,0))</f>
        <v>8</v>
      </c>
      <c r="CG957" s="60" t="n">
        <f aca="false">IFERROR(IF(OR(BX957=1,BX957=2,BX957=3),N(INDEX(Parameter!$I$5:$I$7,BX957)),0),0)</f>
        <v>0</v>
      </c>
      <c r="CH957" s="59" t="n">
        <f aca="false">IF(AND(Parameter!$B$21="Ja",ISNUMBER(W957),N(X957)&gt;0),IFERROR(N(INDEX(Parameter!$L$5:$L$7,W957))*INDEX(Parameter!$E$5:$E$7,W957)*X957/SUMIFS($X$7:$X$1843,$W$7:$W$1843,W957),0),0)</f>
        <v>0</v>
      </c>
    </row>
    <row r="958" customFormat="false" ht="15" hidden="false" customHeight="false" outlineLevel="0" collapsed="false">
      <c r="A958" s="55" t="s">
        <v>1783</v>
      </c>
      <c r="B958" s="55" t="s">
        <v>1784</v>
      </c>
      <c r="C958" s="55" t="s">
        <v>164</v>
      </c>
      <c r="D958" s="55" t="s">
        <v>184</v>
      </c>
      <c r="E958" s="55" t="s">
        <v>185</v>
      </c>
      <c r="F958" s="55" t="s">
        <v>218</v>
      </c>
      <c r="G958" s="56" t="n">
        <v>65.36</v>
      </c>
      <c r="H958" s="57" t="n">
        <f aca="false">MAX(0,IF(AND(Parameter!$B$21="Ja",ISNUMBER(Y958)),Y958,IF(Parameter!$B$20="Jahresanfang 2025 + Export",BL958+BK958,BK958)))</f>
        <v>5</v>
      </c>
      <c r="I958" s="57" t="n">
        <f aca="false">H958*G958</f>
        <v>326.8</v>
      </c>
      <c r="J958" s="57" t="n">
        <f aca="false">BN958*Parameter!$B$18</f>
        <v>0</v>
      </c>
      <c r="K958" s="58" t="n">
        <v>5.5</v>
      </c>
      <c r="L958" s="59" t="n">
        <v>0</v>
      </c>
      <c r="M958" s="57" t="n">
        <v>0</v>
      </c>
      <c r="N958" s="57" t="n">
        <v>1</v>
      </c>
      <c r="O958" s="60" t="n">
        <v>28</v>
      </c>
      <c r="P958" s="55" t="s">
        <v>328</v>
      </c>
      <c r="Q958" s="57" t="n">
        <v>10</v>
      </c>
      <c r="R958" s="60" t="n">
        <f aca="false">IF(BT958=1,0,IFERROR(VLOOKUP(BR958,'Gebinde-Kategorie'!$A$5:$M$45,13,0)+0,0))</f>
        <v>52</v>
      </c>
      <c r="S958" s="61"/>
      <c r="T958" s="62"/>
      <c r="U958" s="62"/>
      <c r="V958" s="62"/>
      <c r="W958" s="55"/>
      <c r="X958" s="57"/>
      <c r="Y958" s="57"/>
      <c r="Z958" s="55" t="n">
        <f aca="false">IF(A958="","",IF(AND(Parameter!$B$21="Ja",ISNUMBER(W958)),W958,IF(BV958="2+3",IF(ISNUMBER(SEARCH("grosser Artikel",BO958)),2,IFERROR(VLOOKUP(BR958,Parameter!$F$35:$G$64,2,0),2)),IF(OR(BV958="Nein",BV958=""),"-",BV958))))</f>
        <v>3</v>
      </c>
      <c r="AA958" s="62"/>
      <c r="AB958" s="63"/>
      <c r="AC958" s="57" t="n">
        <f aca="false">AR958</f>
        <v>10</v>
      </c>
      <c r="AD958" s="57" t="n">
        <f aca="false">MAX(AR958,H958)</f>
        <v>10</v>
      </c>
      <c r="AE958" s="64"/>
      <c r="AF958" s="57" t="n">
        <f aca="false">IF(LEFT(Cockpit!$C$5,1)="A",H958,IF(CA958=1,CB958,IF(LEFT(Cockpit!$C$5,1)="B",AJ958,MAX(AJ958,H958))))</f>
        <v>5</v>
      </c>
      <c r="AG958" s="57" t="n">
        <f aca="false">IF(BT958=1,0,ROUNDUP(AF958/BS958,0))</f>
        <v>1</v>
      </c>
      <c r="AH958" s="59" t="n">
        <f aca="false">IF(CH958&gt;0,CH958*MAX(1,AF958/X958),IF(BT958=1,IF(AF958&lt;=0,0,BW958*MAX(1,IF(H958&gt;0,AF958/H958,1))),IF(R958&gt;0,AG958/R958,0))/MAX(0.1,N(Parameter!$M$21)))</f>
        <v>0.0192307692307692</v>
      </c>
      <c r="AI958" s="57" t="n">
        <f aca="false">AF958*G958</f>
        <v>326.8</v>
      </c>
      <c r="AJ958" s="57" t="n">
        <f aca="false">ROUNDUP(MAX(J958/IF(BZ958&gt;0,BZ958,MAX(0.1,N(Cockpit!$C$6))),CC958)/BS958,0)*BS958</f>
        <v>10</v>
      </c>
      <c r="AK958" s="58" t="n">
        <f aca="false">IF(AH958&gt;0,J958/AH958,-1)</f>
        <v>0</v>
      </c>
      <c r="AL958" s="58" t="n">
        <f aca="false">IF(AND(OR(BY958="L1",BY958="L23"),AH958&gt;0),SUMIFS($AH$7:$AH$1843,$BY$7:$BY$1843,BY958,$AK$7:$AK$1843,"&gt;"&amp;AK958)+SUMIFS($AH$7:$AH$1843,$BY$7:$BY$1843,BY958,$AK$7:$AK$1843,AK958,$BQ$7:$BQ$1843,"&lt;="&amp;BQ958),"")</f>
        <v>78.1785412654978</v>
      </c>
      <c r="AM958" s="65" t="n">
        <f aca="false">IF(AL958="",0,MAX(0,MIN(1,(IF(BY958="L1",Parameter!$E$5,Parameter!$E$6+Parameter!$E$7)-(AL958-AH958))/AH958)))</f>
        <v>1</v>
      </c>
      <c r="AN958" s="57" t="n">
        <f aca="false">IF(LEFT(Cockpit!$I$5,1)="A",H958,IF(CA958=1,CB958,IF(LEFT(Cockpit!$I$5,1)="B",AR958,MAX(AR958,H958))))</f>
        <v>10</v>
      </c>
      <c r="AO958" s="57" t="n">
        <f aca="false">IF(BT958=1,0,ROUNDUP(AN958/BS958,0))</f>
        <v>1</v>
      </c>
      <c r="AP958" s="59" t="n">
        <f aca="false">IF(CH958&gt;0,CH958*MAX(1,AN958/X958),IF(BT958=1,IF(AN958&lt;=0,0,BW958*MAX(1,IF(H958&gt;0,AN958/H958,1))),IF(R958&gt;0,AO958/R958,0))/MAX(0.1,N(Parameter!$M$21)))</f>
        <v>0.0192307692307692</v>
      </c>
      <c r="AQ958" s="57" t="n">
        <f aca="false">AN958*G958</f>
        <v>653.6</v>
      </c>
      <c r="AR958" s="57" t="n">
        <f aca="false">ROUNDUP(MAX(J958/IF(BZ958&gt;0,BZ958,MAX(0.1,N(Cockpit!$I$6))),CC958)/BS958,0)*BS958</f>
        <v>10</v>
      </c>
      <c r="AS958" s="58" t="n">
        <f aca="false">IF(AP958&gt;0,J958/AP958,-1)</f>
        <v>0</v>
      </c>
      <c r="AT958" s="58" t="n">
        <f aca="false">IF(AND(OR(BY958="L1",BY958="L23"),AP958&gt;0),SUMIFS($AP$7:$AP$1843,$BY$7:$BY$1843,BY958,$AS$7:$AS$1843,"&gt;"&amp;AS958)+SUMIFS($AP$7:$AP$1843,$BY$7:$BY$1843,BY958,$AS$7:$AS$1843,AS958,$BQ$7:$BQ$1843,"&lt;="&amp;BQ958),"")</f>
        <v>119.411109421979</v>
      </c>
      <c r="AU958" s="65" t="n">
        <f aca="false">IF(AT958="",0,MAX(0,MIN(1,(IF(BY958="L1",Parameter!$E$5,Parameter!$E$6+Parameter!$E$7)-(AT958-AP958))/AP958)))</f>
        <v>0</v>
      </c>
      <c r="AV958" s="57" t="n">
        <f aca="false">IF(LEFT(Cockpit!$O$5,1)="A",H958,IF(CA958=1,CB958,IF(LEFT(Cockpit!$O$5,1)="B",AZ958,MAX(AZ958,H958))))</f>
        <v>10</v>
      </c>
      <c r="AW958" s="57" t="n">
        <f aca="false">IF(BT958=1,0,ROUNDUP(AV958/BS958,0))</f>
        <v>1</v>
      </c>
      <c r="AX958" s="59" t="n">
        <f aca="false">IF(CH958&gt;0,CH958*MAX(1,AV958/X958),IF(BT958=1,IF(AV958&lt;=0,0,BW958*MAX(1,IF(H958&gt;0,AV958/H958,1))),IF(R958&gt;0,AW958/R958,0))/MAX(0.1,N(Parameter!$M$21)))</f>
        <v>0.0192307692307692</v>
      </c>
      <c r="AY958" s="57" t="n">
        <f aca="false">AV958*G958</f>
        <v>653.6</v>
      </c>
      <c r="AZ958" s="57" t="n">
        <f aca="false">ROUNDUP(MAX(J958/IF(BZ958&gt;0,BZ958,MAX(0.1,N(Cockpit!$O$6))),CC958)/BS958,0)*BS958</f>
        <v>10</v>
      </c>
      <c r="BA958" s="58" t="n">
        <f aca="false">IF(AX958&gt;0,J958/AX958,-1)</f>
        <v>0</v>
      </c>
      <c r="BB958" s="58" t="n">
        <f aca="false">IF(AND(OR(BY958="L1",BY958="L23"),AX958&gt;0),SUMIFS($AX$7:$AX$1843,$BY$7:$BY$1843,BY958,$BA$7:$BA$1843,"&gt;"&amp;BA958)+SUMIFS($AX$7:$AX$1843,$BY$7:$BY$1843,BY958,$BA$7:$BA$1843,BA958,$BQ$7:$BQ$1843,"&lt;="&amp;BQ958),"")</f>
        <v>110.240946251816</v>
      </c>
      <c r="BC958" s="65" t="n">
        <f aca="false">IF(BB958="",0,MAX(0,MIN(1,(IF(BY958="L1",Parameter!$E$5,Parameter!$E$6+Parameter!$E$7)-(BB958-AX958))/AX958)))</f>
        <v>0</v>
      </c>
      <c r="BD958" s="55" t="str">
        <f aca="false">IF(AH958&lt;=0,"",IF(BY958="Aussen","Aussenlager",IF(BY958="-","Nicht im Lift",IF(AM958&gt;=1,"Lift",IF(AM958&lt;=0,"Aussenlager","teilweise")))))</f>
        <v>Lift</v>
      </c>
      <c r="BE958" s="55" t="str">
        <f aca="false">IF(AP958&lt;=0,"",IF(BY958="Aussen","Aussenlager",IF(BY958="-","Nicht im Lift",IF(AU958&gt;=1,"Lift",IF(AU958&lt;=0,"Aussenlager","teilweise")))))</f>
        <v>Aussenlager</v>
      </c>
      <c r="BF958" s="55" t="str">
        <f aca="false">IF(AX958&lt;=0,"",IF(BY958="Aussen","Aussenlager",IF(BY958="-","Nicht im Lift",IF(BC958&gt;=1,"Lift",IF(BC958&lt;=0,"Aussenlager","teilweise")))))</f>
        <v>Aussenlager</v>
      </c>
      <c r="BG958" s="55" t="str">
        <f aca="false">IF(A958="","",IF(BP958=1,"Neu; ","")&amp;IF(AND(BP958=0,BK958&lt;0),"negativer Bestand (Export "&amp;BK958&amp;"); ","")&amp;IF(J958&lt;=0,"Kein Verbrauch; ","")&amp;IF(CH958&gt;0,"Lift "&amp;W958&amp;" lt. Liftbericht (Fach "&amp;X958&amp;" Stk); ",IF(BU958=1,"Gebinde geschätzt ("&amp;T958&amp;"); ",IF(BT958=1,"Lose – Tablare geschätzt; ","")))&amp;IF(H958&gt;AR958,"Überbestand "&amp;ROUND(H958-AR958,0)&amp;" Stk / CHF "&amp;ROUND((H958-AR958)*G958,0)&amp;"; ","")&amp;IF(AND(CA958=1,CB958&lt;CC958),"MAX &lt; MB+LG; ","")&amp;IF(AND(CG958&gt;0,CF958*10&gt;CG958),"zu hoch für Tablar; ","")&amp;IF(AND(BP958=0,OR(CA958=1,AA958&lt;&gt;"",U958&lt;&gt;"",V958&lt;&gt;"",AB958&lt;&gt;"")),"manuell übersteuert; ","")&amp;IF(AND(BT958=0,R958=0),"Gebinde unbekannt / Stellmass fehlt; ","")&amp;IF(AND(BT958=0,N(V958)&lt;=0,N(Q958)&lt;=0),"Menge pro Gebinde fehlt (Ist = 1 Gebinde); ","")&amp;BO958)</f>
        <v>negativer Bestand (Export -1); Kein Verbrauch; Verb.Lager</v>
      </c>
      <c r="BH958" s="55"/>
      <c r="BI958" s="55"/>
      <c r="BJ958" s="62"/>
      <c r="BK958" s="57" t="n">
        <v>-1</v>
      </c>
      <c r="BL958" s="57" t="n">
        <v>6</v>
      </c>
      <c r="BM958" s="56" t="n">
        <v>-65.36</v>
      </c>
      <c r="BN958" s="57" t="n">
        <v>0</v>
      </c>
      <c r="BO958" s="55" t="s">
        <v>1030</v>
      </c>
      <c r="BP958" s="60" t="n">
        <v>0</v>
      </c>
      <c r="BQ958" s="60" t="n">
        <v>958</v>
      </c>
      <c r="BR958" s="55" t="str">
        <f aca="false">IF(U958&lt;&gt;"",UPPER(TRIM(U958)),IF(BU958=1,UPPER(VLOOKUP(T958,Parameter!$I$27:$K$29,2,0)),IF(P958="","LOSE",P958)))</f>
        <v>S41</v>
      </c>
      <c r="BS958" s="57" t="n">
        <f aca="false">IF(BR958="LOSE",1,IF(N(V958)&gt;0,V958,IF(BU958=1,MAX(1,N(VLOOKUP(T958,Parameter!$I$27:$K$29,3,0)),H958,N(N958)),IF(N(Q958)&gt;0,Q958,MAX(1,H958)))))</f>
        <v>10</v>
      </c>
      <c r="BT958" s="60" t="n">
        <f aca="false">IF(BR958="LOSE",1,0)</f>
        <v>0</v>
      </c>
      <c r="BU958" s="60" t="n">
        <f aca="false">IF(AND(U958="",OR(P958="",P958="LOSE"),T958&lt;&gt;"",N(S958)&lt;=0,ISNUMBER(MATCH(T958,Parameter!$I$27:$I$29,0))),1,0)</f>
        <v>0</v>
      </c>
      <c r="BV958" s="55" t="str">
        <f aca="false">IF(AND(Parameter!$B$19="Ja",E958&lt;&gt;"",ISNUMBER(MATCH(E958,Parameter!$I$35:$I$52,0))),VLOOKUP(E958,Parameter!$I$35:$J$52,2,0),IFERROR(VLOOKUP(D958,Parameter!$A$35:$C$64,2,0),"Nein"))</f>
        <v>2+3</v>
      </c>
      <c r="BW958" s="59" t="n">
        <f aca="false">IF(BT958=0,0,IF(N(S958)&gt;0,S958,IFERROR(VLOOKUP(D958,Parameter!$A$35:$C$64,3,0)+0,0)))</f>
        <v>0</v>
      </c>
      <c r="BX958" s="55" t="n">
        <f aca="false">IF(AA958&lt;&gt;"",AA958,Z958)</f>
        <v>3</v>
      </c>
      <c r="BY958" s="55" t="str">
        <f aca="false">IF(BX958=1,"L1",IF(OR(BX958=2,BX958=3),"L23",IF(BX958="Aussen","Aussen","-")))</f>
        <v>L23</v>
      </c>
      <c r="BZ958" s="66" t="n">
        <f aca="false">IF(N(AB958)&gt;0,AB958,0)</f>
        <v>0</v>
      </c>
      <c r="CA958" s="60" t="n">
        <f aca="false">IF(ISNUMBER(AE958),1,0)</f>
        <v>0</v>
      </c>
      <c r="CB958" s="57" t="n">
        <f aca="false">N(AE958)</f>
        <v>0</v>
      </c>
      <c r="CC958" s="57" t="n">
        <f aca="false">N(M958)+N(N958)</f>
        <v>1</v>
      </c>
      <c r="CD958" s="57" t="n">
        <f aca="false">ROUNDUP(H958/BS958,0)</f>
        <v>1</v>
      </c>
      <c r="CE958" s="57" t="n">
        <f aca="false">ROUNDUP(CB958/BS958,0)</f>
        <v>0</v>
      </c>
      <c r="CF958" s="60" t="n">
        <f aca="false">IF(BT958=1,0,IFERROR(VLOOKUP(BR958,'Gebinde-Kategorie'!$A$5:$M$45,5,0)+0,0))</f>
        <v>11</v>
      </c>
      <c r="CG958" s="60" t="n">
        <f aca="false">IFERROR(IF(OR(BX958=1,BX958=2,BX958=3),N(INDEX(Parameter!$I$5:$I$7,BX958)),0),0)</f>
        <v>0</v>
      </c>
      <c r="CH958" s="59" t="n">
        <f aca="false">IF(AND(Parameter!$B$21="Ja",ISNUMBER(W958),N(X958)&gt;0),IFERROR(N(INDEX(Parameter!$L$5:$L$7,W958))*INDEX(Parameter!$E$5:$E$7,W958)*X958/SUMIFS($X$7:$X$1843,$W$7:$W$1843,W958),0),0)</f>
        <v>0</v>
      </c>
    </row>
    <row r="959" customFormat="false" ht="15" hidden="false" customHeight="false" outlineLevel="0" collapsed="false">
      <c r="A959" s="55" t="s">
        <v>1785</v>
      </c>
      <c r="B959" s="55" t="s">
        <v>1786</v>
      </c>
      <c r="C959" s="55" t="s">
        <v>164</v>
      </c>
      <c r="D959" s="55" t="s">
        <v>184</v>
      </c>
      <c r="E959" s="55" t="s">
        <v>185</v>
      </c>
      <c r="F959" s="55" t="s">
        <v>218</v>
      </c>
      <c r="G959" s="56" t="n">
        <v>21.84</v>
      </c>
      <c r="H959" s="57" t="n">
        <f aca="false">MAX(0,IF(AND(Parameter!$B$21="Ja",ISNUMBER(Y959)),Y959,IF(Parameter!$B$20="Jahresanfang 2025 + Export",BL959+BK959,BK959)))</f>
        <v>6</v>
      </c>
      <c r="I959" s="57" t="n">
        <f aca="false">H959*G959</f>
        <v>131.04</v>
      </c>
      <c r="J959" s="57" t="n">
        <f aca="false">BN959*Parameter!$B$18</f>
        <v>2.01</v>
      </c>
      <c r="K959" s="58" t="n">
        <v>7.5</v>
      </c>
      <c r="L959" s="59" t="n">
        <v>0.268</v>
      </c>
      <c r="M959" s="57" t="n">
        <v>0</v>
      </c>
      <c r="N959" s="57" t="n">
        <v>1</v>
      </c>
      <c r="O959" s="60" t="n">
        <v>28</v>
      </c>
      <c r="P959" s="55" t="s">
        <v>328</v>
      </c>
      <c r="Q959" s="57" t="n">
        <v>12</v>
      </c>
      <c r="R959" s="60" t="n">
        <f aca="false">IF(BT959=1,0,IFERROR(VLOOKUP(BR959,'Gebinde-Kategorie'!$A$5:$M$45,13,0)+0,0))</f>
        <v>52</v>
      </c>
      <c r="S959" s="61"/>
      <c r="T959" s="62"/>
      <c r="U959" s="62"/>
      <c r="V959" s="62"/>
      <c r="W959" s="55"/>
      <c r="X959" s="57"/>
      <c r="Y959" s="57"/>
      <c r="Z959" s="55" t="n">
        <f aca="false">IF(A959="","",IF(AND(Parameter!$B$21="Ja",ISNUMBER(W959)),W959,IF(BV959="2+3",IF(ISNUMBER(SEARCH("grosser Artikel",BO959)),2,IFERROR(VLOOKUP(BR959,Parameter!$F$35:$G$64,2,0),2)),IF(OR(BV959="Nein",BV959=""),"-",BV959))))</f>
        <v>3</v>
      </c>
      <c r="AA959" s="62"/>
      <c r="AB959" s="63"/>
      <c r="AC959" s="57" t="n">
        <f aca="false">AR959</f>
        <v>12</v>
      </c>
      <c r="AD959" s="57" t="n">
        <f aca="false">MAX(AR959,H959)</f>
        <v>12</v>
      </c>
      <c r="AE959" s="64"/>
      <c r="AF959" s="57" t="n">
        <f aca="false">IF(LEFT(Cockpit!$C$5,1)="A",H959,IF(CA959=1,CB959,IF(LEFT(Cockpit!$C$5,1)="B",AJ959,MAX(AJ959,H959))))</f>
        <v>6</v>
      </c>
      <c r="AG959" s="57" t="n">
        <f aca="false">IF(BT959=1,0,ROUNDUP(AF959/BS959,0))</f>
        <v>1</v>
      </c>
      <c r="AH959" s="59" t="n">
        <f aca="false">IF(CH959&gt;0,CH959*MAX(1,AF959/X959),IF(BT959=1,IF(AF959&lt;=0,0,BW959*MAX(1,IF(H959&gt;0,AF959/H959,1))),IF(R959&gt;0,AG959/R959,0))/MAX(0.1,N(Parameter!$M$21)))</f>
        <v>0.0192307692307692</v>
      </c>
      <c r="AI959" s="57" t="n">
        <f aca="false">AF959*G959</f>
        <v>131.04</v>
      </c>
      <c r="AJ959" s="57" t="n">
        <f aca="false">ROUNDUP(MAX(J959/IF(BZ959&gt;0,BZ959,MAX(0.1,N(Cockpit!$C$6))),CC959)/BS959,0)*BS959</f>
        <v>12</v>
      </c>
      <c r="AK959" s="58" t="n">
        <f aca="false">IF(AH959&gt;0,J959/AH959,-1)</f>
        <v>104.52</v>
      </c>
      <c r="AL959" s="58" t="n">
        <f aca="false">IF(AND(OR(BY959="L1",BY959="L23"),AH959&gt;0),SUMIFS($AH$7:$AH$1843,$BY$7:$BY$1843,BY959,$AK$7:$AK$1843,"&gt;"&amp;AK959)+SUMIFS($AH$7:$AH$1843,$BY$7:$BY$1843,BY959,$AK$7:$AK$1843,AK959,$BQ$7:$BQ$1843,"&lt;="&amp;BQ959),"")</f>
        <v>38.4764872808351</v>
      </c>
      <c r="AM959" s="65" t="n">
        <f aca="false">IF(AL959="",0,MAX(0,MIN(1,(IF(BY959="L1",Parameter!$E$5,Parameter!$E$6+Parameter!$E$7)-(AL959-AH959))/AH959)))</f>
        <v>1</v>
      </c>
      <c r="AN959" s="57" t="n">
        <f aca="false">IF(LEFT(Cockpit!$I$5,1)="A",H959,IF(CA959=1,CB959,IF(LEFT(Cockpit!$I$5,1)="B",AR959,MAX(AR959,H959))))</f>
        <v>12</v>
      </c>
      <c r="AO959" s="57" t="n">
        <f aca="false">IF(BT959=1,0,ROUNDUP(AN959/BS959,0))</f>
        <v>1</v>
      </c>
      <c r="AP959" s="59" t="n">
        <f aca="false">IF(CH959&gt;0,CH959*MAX(1,AN959/X959),IF(BT959=1,IF(AN959&lt;=0,0,BW959*MAX(1,IF(H959&gt;0,AN959/H959,1))),IF(R959&gt;0,AO959/R959,0))/MAX(0.1,N(Parameter!$M$21)))</f>
        <v>0.0192307692307692</v>
      </c>
      <c r="AQ959" s="57" t="n">
        <f aca="false">AN959*G959</f>
        <v>262.08</v>
      </c>
      <c r="AR959" s="57" t="n">
        <f aca="false">ROUNDUP(MAX(J959/IF(BZ959&gt;0,BZ959,MAX(0.1,N(Cockpit!$I$6))),CC959)/BS959,0)*BS959</f>
        <v>12</v>
      </c>
      <c r="AS959" s="58" t="n">
        <f aca="false">IF(AP959&gt;0,J959/AP959,-1)</f>
        <v>104.52</v>
      </c>
      <c r="AT959" s="58" t="n">
        <f aca="false">IF(AND(OR(BY959="L1",BY959="L23"),AP959&gt;0),SUMIFS($AP$7:$AP$1843,$BY$7:$BY$1843,BY959,$AS$7:$AS$1843,"&gt;"&amp;AS959)+SUMIFS($AP$7:$AP$1843,$BY$7:$BY$1843,BY959,$AS$7:$AS$1843,AS959,$BQ$7:$BQ$1843,"&lt;="&amp;BQ959),"")</f>
        <v>56.3306813958988</v>
      </c>
      <c r="AU959" s="65" t="n">
        <f aca="false">IF(AT959="",0,MAX(0,MIN(1,(IF(BY959="L1",Parameter!$E$5,Parameter!$E$6+Parameter!$E$7)-(AT959-AP959))/AP959)))</f>
        <v>1</v>
      </c>
      <c r="AV959" s="57" t="n">
        <f aca="false">IF(LEFT(Cockpit!$O$5,1)="A",H959,IF(CA959=1,CB959,IF(LEFT(Cockpit!$O$5,1)="B",AZ959,MAX(AZ959,H959))))</f>
        <v>12</v>
      </c>
      <c r="AW959" s="57" t="n">
        <f aca="false">IF(BT959=1,0,ROUNDUP(AV959/BS959,0))</f>
        <v>1</v>
      </c>
      <c r="AX959" s="59" t="n">
        <f aca="false">IF(CH959&gt;0,CH959*MAX(1,AV959/X959),IF(BT959=1,IF(AV959&lt;=0,0,BW959*MAX(1,IF(H959&gt;0,AV959/H959,1))),IF(R959&gt;0,AW959/R959,0))/MAX(0.1,N(Parameter!$M$21)))</f>
        <v>0.0192307692307692</v>
      </c>
      <c r="AY959" s="57" t="n">
        <f aca="false">AV959*G959</f>
        <v>262.08</v>
      </c>
      <c r="AZ959" s="57" t="n">
        <f aca="false">ROUNDUP(MAX(J959/IF(BZ959&gt;0,BZ959,MAX(0.1,N(Cockpit!$O$6))),CC959)/BS959,0)*BS959</f>
        <v>12</v>
      </c>
      <c r="BA959" s="58" t="n">
        <f aca="false">IF(AX959&gt;0,J959/AX959,-1)</f>
        <v>104.52</v>
      </c>
      <c r="BB959" s="58" t="n">
        <f aca="false">IF(AND(OR(BY959="L1",BY959="L23"),AX959&gt;0),SUMIFS($AX$7:$AX$1843,$BY$7:$BY$1843,BY959,$BA$7:$BA$1843,"&gt;"&amp;BA959)+SUMIFS($AX$7:$AX$1843,$BY$7:$BY$1843,BY959,$BA$7:$BA$1843,BA959,$BQ$7:$BQ$1843,"&lt;="&amp;BQ959),"")</f>
        <v>54.1605182257356</v>
      </c>
      <c r="BC959" s="65" t="n">
        <f aca="false">IF(BB959="",0,MAX(0,MIN(1,(IF(BY959="L1",Parameter!$E$5,Parameter!$E$6+Parameter!$E$7)-(BB959-AX959))/AX959)))</f>
        <v>1</v>
      </c>
      <c r="BD959" s="55" t="str">
        <f aca="false">IF(AH959&lt;=0,"",IF(BY959="Aussen","Aussenlager",IF(BY959="-","Nicht im Lift",IF(AM959&gt;=1,"Lift",IF(AM959&lt;=0,"Aussenlager","teilweise")))))</f>
        <v>Lift</v>
      </c>
      <c r="BE959" s="55" t="str">
        <f aca="false">IF(AP959&lt;=0,"",IF(BY959="Aussen","Aussenlager",IF(BY959="-","Nicht im Lift",IF(AU959&gt;=1,"Lift",IF(AU959&lt;=0,"Aussenlager","teilweise")))))</f>
        <v>Lift</v>
      </c>
      <c r="BF959" s="55" t="str">
        <f aca="false">IF(AX959&lt;=0,"",IF(BY959="Aussen","Aussenlager",IF(BY959="-","Nicht im Lift",IF(BC959&gt;=1,"Lift",IF(BC959&lt;=0,"Aussenlager","teilweise")))))</f>
        <v>Lift</v>
      </c>
      <c r="BG959" s="55" t="str">
        <f aca="false">IF(A959="","",IF(BP959=1,"Neu; ","")&amp;IF(AND(BP959=0,BK959&lt;0),"negativer Bestand (Export "&amp;BK959&amp;"); ","")&amp;IF(J959&lt;=0,"Kein Verbrauch; ","")&amp;IF(CH959&gt;0,"Lift "&amp;W959&amp;" lt. Liftbericht (Fach "&amp;X959&amp;" Stk); ",IF(BU959=1,"Gebinde geschätzt ("&amp;T959&amp;"); ",IF(BT959=1,"Lose – Tablare geschätzt; ","")))&amp;IF(H959&gt;AR959,"Überbestand "&amp;ROUND(H959-AR959,0)&amp;" Stk / CHF "&amp;ROUND((H959-AR959)*G959,0)&amp;"; ","")&amp;IF(AND(CA959=1,CB959&lt;CC959),"MAX &lt; MB+LG; ","")&amp;IF(AND(CG959&gt;0,CF959*10&gt;CG959),"zu hoch für Tablar; ","")&amp;IF(AND(BP959=0,OR(CA959=1,AA959&lt;&gt;"",U959&lt;&gt;"",V959&lt;&gt;"",AB959&lt;&gt;"")),"manuell übersteuert; ","")&amp;IF(AND(BT959=0,R959=0),"Gebinde unbekannt / Stellmass fehlt; ","")&amp;IF(AND(BT959=0,N(V959)&lt;=0,N(Q959)&lt;=0),"Menge pro Gebinde fehlt (Ist = 1 Gebinde); ","")&amp;BO959)</f>
        <v>negativer Bestand (Export -3); </v>
      </c>
      <c r="BH959" s="55"/>
      <c r="BI959" s="55"/>
      <c r="BJ959" s="62"/>
      <c r="BK959" s="57" t="n">
        <v>-3</v>
      </c>
      <c r="BL959" s="57" t="n">
        <v>9</v>
      </c>
      <c r="BM959" s="56" t="n">
        <v>-65.52</v>
      </c>
      <c r="BN959" s="57" t="n">
        <v>2.01</v>
      </c>
      <c r="BO959" s="55"/>
      <c r="BP959" s="60" t="n">
        <v>0</v>
      </c>
      <c r="BQ959" s="60" t="n">
        <v>959</v>
      </c>
      <c r="BR959" s="55" t="str">
        <f aca="false">IF(U959&lt;&gt;"",UPPER(TRIM(U959)),IF(BU959=1,UPPER(VLOOKUP(T959,Parameter!$I$27:$K$29,2,0)),IF(P959="","LOSE",P959)))</f>
        <v>S41</v>
      </c>
      <c r="BS959" s="57" t="n">
        <f aca="false">IF(BR959="LOSE",1,IF(N(V959)&gt;0,V959,IF(BU959=1,MAX(1,N(VLOOKUP(T959,Parameter!$I$27:$K$29,3,0)),H959,N(N959)),IF(N(Q959)&gt;0,Q959,MAX(1,H959)))))</f>
        <v>12</v>
      </c>
      <c r="BT959" s="60" t="n">
        <f aca="false">IF(BR959="LOSE",1,0)</f>
        <v>0</v>
      </c>
      <c r="BU959" s="60" t="n">
        <f aca="false">IF(AND(U959="",OR(P959="",P959="LOSE"),T959&lt;&gt;"",N(S959)&lt;=0,ISNUMBER(MATCH(T959,Parameter!$I$27:$I$29,0))),1,0)</f>
        <v>0</v>
      </c>
      <c r="BV959" s="55" t="str">
        <f aca="false">IF(AND(Parameter!$B$19="Ja",E959&lt;&gt;"",ISNUMBER(MATCH(E959,Parameter!$I$35:$I$52,0))),VLOOKUP(E959,Parameter!$I$35:$J$52,2,0),IFERROR(VLOOKUP(D959,Parameter!$A$35:$C$64,2,0),"Nein"))</f>
        <v>2+3</v>
      </c>
      <c r="BW959" s="59" t="n">
        <f aca="false">IF(BT959=0,0,IF(N(S959)&gt;0,S959,IFERROR(VLOOKUP(D959,Parameter!$A$35:$C$64,3,0)+0,0)))</f>
        <v>0</v>
      </c>
      <c r="BX959" s="55" t="n">
        <f aca="false">IF(AA959&lt;&gt;"",AA959,Z959)</f>
        <v>3</v>
      </c>
      <c r="BY959" s="55" t="str">
        <f aca="false">IF(BX959=1,"L1",IF(OR(BX959=2,BX959=3),"L23",IF(BX959="Aussen","Aussen","-")))</f>
        <v>L23</v>
      </c>
      <c r="BZ959" s="66" t="n">
        <f aca="false">IF(N(AB959)&gt;0,AB959,0)</f>
        <v>0</v>
      </c>
      <c r="CA959" s="60" t="n">
        <f aca="false">IF(ISNUMBER(AE959),1,0)</f>
        <v>0</v>
      </c>
      <c r="CB959" s="57" t="n">
        <f aca="false">N(AE959)</f>
        <v>0</v>
      </c>
      <c r="CC959" s="57" t="n">
        <f aca="false">N(M959)+N(N959)</f>
        <v>1</v>
      </c>
      <c r="CD959" s="57" t="n">
        <f aca="false">ROUNDUP(H959/BS959,0)</f>
        <v>1</v>
      </c>
      <c r="CE959" s="57" t="n">
        <f aca="false">ROUNDUP(CB959/BS959,0)</f>
        <v>0</v>
      </c>
      <c r="CF959" s="60" t="n">
        <f aca="false">IF(BT959=1,0,IFERROR(VLOOKUP(BR959,'Gebinde-Kategorie'!$A$5:$M$45,5,0)+0,0))</f>
        <v>11</v>
      </c>
      <c r="CG959" s="60" t="n">
        <f aca="false">IFERROR(IF(OR(BX959=1,BX959=2,BX959=3),N(INDEX(Parameter!$I$5:$I$7,BX959)),0),0)</f>
        <v>0</v>
      </c>
      <c r="CH959" s="59" t="n">
        <f aca="false">IF(AND(Parameter!$B$21="Ja",ISNUMBER(W959),N(X959)&gt;0),IFERROR(N(INDEX(Parameter!$L$5:$L$7,W959))*INDEX(Parameter!$E$5:$E$7,W959)*X959/SUMIFS($X$7:$X$1843,$W$7:$W$1843,W959),0),0)</f>
        <v>0</v>
      </c>
    </row>
    <row r="960" customFormat="false" ht="15" hidden="false" customHeight="false" outlineLevel="0" collapsed="false">
      <c r="A960" s="55" t="s">
        <v>1787</v>
      </c>
      <c r="B960" s="55" t="s">
        <v>965</v>
      </c>
      <c r="C960" s="55" t="s">
        <v>164</v>
      </c>
      <c r="D960" s="55" t="s">
        <v>184</v>
      </c>
      <c r="E960" s="55" t="s">
        <v>185</v>
      </c>
      <c r="F960" s="55" t="s">
        <v>218</v>
      </c>
      <c r="G960" s="56" t="n">
        <v>16.51</v>
      </c>
      <c r="H960" s="57" t="n">
        <f aca="false">MAX(0,IF(AND(Parameter!$B$21="Ja",ISNUMBER(Y960)),Y960,IF(Parameter!$B$20="Jahresanfang 2025 + Export",BL960+BK960,BK960)))</f>
        <v>8</v>
      </c>
      <c r="I960" s="57" t="n">
        <f aca="false">H960*G960</f>
        <v>132.08</v>
      </c>
      <c r="J960" s="57" t="n">
        <f aca="false">BN960*Parameter!$B$18</f>
        <v>0</v>
      </c>
      <c r="K960" s="58" t="n">
        <v>10.5</v>
      </c>
      <c r="L960" s="59" t="n">
        <v>0</v>
      </c>
      <c r="M960" s="57" t="n">
        <v>0</v>
      </c>
      <c r="N960" s="57" t="n">
        <v>1</v>
      </c>
      <c r="O960" s="60" t="n">
        <v>35</v>
      </c>
      <c r="P960" s="55" t="s">
        <v>476</v>
      </c>
      <c r="Q960" s="57" t="n">
        <v>14</v>
      </c>
      <c r="R960" s="60" t="n">
        <f aca="false">IF(BT960=1,0,IFERROR(VLOOKUP(BR960,'Gebinde-Kategorie'!$A$5:$M$45,13,0)+0,0))</f>
        <v>66</v>
      </c>
      <c r="S960" s="61"/>
      <c r="T960" s="62"/>
      <c r="U960" s="62"/>
      <c r="V960" s="62"/>
      <c r="W960" s="55"/>
      <c r="X960" s="57"/>
      <c r="Y960" s="57"/>
      <c r="Z960" s="55" t="n">
        <f aca="false">IF(A960="","",IF(AND(Parameter!$B$21="Ja",ISNUMBER(W960)),W960,IF(BV960="2+3",IF(ISNUMBER(SEARCH("grosser Artikel",BO960)),2,IFERROR(VLOOKUP(BR960,Parameter!$F$35:$G$64,2,0),2)),IF(OR(BV960="Nein",BV960=""),"-",BV960))))</f>
        <v>3</v>
      </c>
      <c r="AA960" s="62"/>
      <c r="AB960" s="63"/>
      <c r="AC960" s="57" t="n">
        <f aca="false">AR960</f>
        <v>14</v>
      </c>
      <c r="AD960" s="57" t="n">
        <f aca="false">MAX(AR960,H960)</f>
        <v>14</v>
      </c>
      <c r="AE960" s="64"/>
      <c r="AF960" s="57" t="n">
        <f aca="false">IF(LEFT(Cockpit!$C$5,1)="A",H960,IF(CA960=1,CB960,IF(LEFT(Cockpit!$C$5,1)="B",AJ960,MAX(AJ960,H960))))</f>
        <v>8</v>
      </c>
      <c r="AG960" s="57" t="n">
        <f aca="false">IF(BT960=1,0,ROUNDUP(AF960/BS960,0))</f>
        <v>1</v>
      </c>
      <c r="AH960" s="59" t="n">
        <f aca="false">IF(CH960&gt;0,CH960*MAX(1,AF960/X960),IF(BT960=1,IF(AF960&lt;=0,0,BW960*MAX(1,IF(H960&gt;0,AF960/H960,1))),IF(R960&gt;0,AG960/R960,0))/MAX(0.1,N(Parameter!$M$21)))</f>
        <v>0.0151515151515152</v>
      </c>
      <c r="AI960" s="57" t="n">
        <f aca="false">AF960*G960</f>
        <v>132.08</v>
      </c>
      <c r="AJ960" s="57" t="n">
        <f aca="false">ROUNDUP(MAX(J960/IF(BZ960&gt;0,BZ960,MAX(0.1,N(Cockpit!$C$6))),CC960)/BS960,0)*BS960</f>
        <v>14</v>
      </c>
      <c r="AK960" s="58" t="n">
        <f aca="false">IF(AH960&gt;0,J960/AH960,-1)</f>
        <v>0</v>
      </c>
      <c r="AL960" s="58" t="n">
        <f aca="false">IF(AND(OR(BY960="L1",BY960="L23"),AH960&gt;0),SUMIFS($AH$7:$AH$1843,$BY$7:$BY$1843,BY960,$AK$7:$AK$1843,"&gt;"&amp;AK960)+SUMIFS($AH$7:$AH$1843,$BY$7:$BY$1843,BY960,$AK$7:$AK$1843,AK960,$BQ$7:$BQ$1843,"&lt;="&amp;BQ960),"")</f>
        <v>78.1936927806493</v>
      </c>
      <c r="AM960" s="65" t="n">
        <f aca="false">IF(AL960="",0,MAX(0,MIN(1,(IF(BY960="L1",Parameter!$E$5,Parameter!$E$6+Parameter!$E$7)-(AL960-AH960))/AH960)))</f>
        <v>1</v>
      </c>
      <c r="AN960" s="57" t="n">
        <f aca="false">IF(LEFT(Cockpit!$I$5,1)="A",H960,IF(CA960=1,CB960,IF(LEFT(Cockpit!$I$5,1)="B",AR960,MAX(AR960,H960))))</f>
        <v>14</v>
      </c>
      <c r="AO960" s="57" t="n">
        <f aca="false">IF(BT960=1,0,ROUNDUP(AN960/BS960,0))</f>
        <v>1</v>
      </c>
      <c r="AP960" s="59" t="n">
        <f aca="false">IF(CH960&gt;0,CH960*MAX(1,AN960/X960),IF(BT960=1,IF(AN960&lt;=0,0,BW960*MAX(1,IF(H960&gt;0,AN960/H960,1))),IF(R960&gt;0,AO960/R960,0))/MAX(0.1,N(Parameter!$M$21)))</f>
        <v>0.0151515151515152</v>
      </c>
      <c r="AQ960" s="57" t="n">
        <f aca="false">AN960*G960</f>
        <v>231.14</v>
      </c>
      <c r="AR960" s="57" t="n">
        <f aca="false">ROUNDUP(MAX(J960/IF(BZ960&gt;0,BZ960,MAX(0.1,N(Cockpit!$I$6))),CC960)/BS960,0)*BS960</f>
        <v>14</v>
      </c>
      <c r="AS960" s="58" t="n">
        <f aca="false">IF(AP960&gt;0,J960/AP960,-1)</f>
        <v>0</v>
      </c>
      <c r="AT960" s="58" t="n">
        <f aca="false">IF(AND(OR(BY960="L1",BY960="L23"),AP960&gt;0),SUMIFS($AP$7:$AP$1843,$BY$7:$BY$1843,BY960,$AS$7:$AS$1843,"&gt;"&amp;AS960)+SUMIFS($AP$7:$AP$1843,$BY$7:$BY$1843,BY960,$AS$7:$AS$1843,AS960,$BQ$7:$BQ$1843,"&lt;="&amp;BQ960),"")</f>
        <v>119.426260937131</v>
      </c>
      <c r="AU960" s="65" t="n">
        <f aca="false">IF(AT960="",0,MAX(0,MIN(1,(IF(BY960="L1",Parameter!$E$5,Parameter!$E$6+Parameter!$E$7)-(AT960-AP960))/AP960)))</f>
        <v>0</v>
      </c>
      <c r="AV960" s="57" t="n">
        <f aca="false">IF(LEFT(Cockpit!$O$5,1)="A",H960,IF(CA960=1,CB960,IF(LEFT(Cockpit!$O$5,1)="B",AZ960,MAX(AZ960,H960))))</f>
        <v>14</v>
      </c>
      <c r="AW960" s="57" t="n">
        <f aca="false">IF(BT960=1,0,ROUNDUP(AV960/BS960,0))</f>
        <v>1</v>
      </c>
      <c r="AX960" s="59" t="n">
        <f aca="false">IF(CH960&gt;0,CH960*MAX(1,AV960/X960),IF(BT960=1,IF(AV960&lt;=0,0,BW960*MAX(1,IF(H960&gt;0,AV960/H960,1))),IF(R960&gt;0,AW960/R960,0))/MAX(0.1,N(Parameter!$M$21)))</f>
        <v>0.0151515151515152</v>
      </c>
      <c r="AY960" s="57" t="n">
        <f aca="false">AV960*G960</f>
        <v>231.14</v>
      </c>
      <c r="AZ960" s="57" t="n">
        <f aca="false">ROUNDUP(MAX(J960/IF(BZ960&gt;0,BZ960,MAX(0.1,N(Cockpit!$O$6))),CC960)/BS960,0)*BS960</f>
        <v>14</v>
      </c>
      <c r="BA960" s="58" t="n">
        <f aca="false">IF(AX960&gt;0,J960/AX960,-1)</f>
        <v>0</v>
      </c>
      <c r="BB960" s="58" t="n">
        <f aca="false">IF(AND(OR(BY960="L1",BY960="L23"),AX960&gt;0),SUMIFS($AX$7:$AX$1843,$BY$7:$BY$1843,BY960,$BA$7:$BA$1843,"&gt;"&amp;BA960)+SUMIFS($AX$7:$AX$1843,$BY$7:$BY$1843,BY960,$BA$7:$BA$1843,BA960,$BQ$7:$BQ$1843,"&lt;="&amp;BQ960),"")</f>
        <v>110.256097766967</v>
      </c>
      <c r="BC960" s="65" t="n">
        <f aca="false">IF(BB960="",0,MAX(0,MIN(1,(IF(BY960="L1",Parameter!$E$5,Parameter!$E$6+Parameter!$E$7)-(BB960-AX960))/AX960)))</f>
        <v>0</v>
      </c>
      <c r="BD960" s="55" t="str">
        <f aca="false">IF(AH960&lt;=0,"",IF(BY960="Aussen","Aussenlager",IF(BY960="-","Nicht im Lift",IF(AM960&gt;=1,"Lift",IF(AM960&lt;=0,"Aussenlager","teilweise")))))</f>
        <v>Lift</v>
      </c>
      <c r="BE960" s="55" t="str">
        <f aca="false">IF(AP960&lt;=0,"",IF(BY960="Aussen","Aussenlager",IF(BY960="-","Nicht im Lift",IF(AU960&gt;=1,"Lift",IF(AU960&lt;=0,"Aussenlager","teilweise")))))</f>
        <v>Aussenlager</v>
      </c>
      <c r="BF960" s="55" t="str">
        <f aca="false">IF(AX960&lt;=0,"",IF(BY960="Aussen","Aussenlager",IF(BY960="-","Nicht im Lift",IF(BC960&gt;=1,"Lift",IF(BC960&lt;=0,"Aussenlager","teilweise")))))</f>
        <v>Aussenlager</v>
      </c>
      <c r="BG960" s="55" t="str">
        <f aca="false">IF(A960="","",IF(BP960=1,"Neu; ","")&amp;IF(AND(BP960=0,BK960&lt;0),"negativer Bestand (Export "&amp;BK960&amp;"); ","")&amp;IF(J960&lt;=0,"Kein Verbrauch; ","")&amp;IF(CH960&gt;0,"Lift "&amp;W960&amp;" lt. Liftbericht (Fach "&amp;X960&amp;" Stk); ",IF(BU960=1,"Gebinde geschätzt ("&amp;T960&amp;"); ",IF(BT960=1,"Lose – Tablare geschätzt; ","")))&amp;IF(H960&gt;AR960,"Überbestand "&amp;ROUND(H960-AR960,0)&amp;" Stk / CHF "&amp;ROUND((H960-AR960)*G960,0)&amp;"; ","")&amp;IF(AND(CA960=1,CB960&lt;CC960),"MAX &lt; MB+LG; ","")&amp;IF(AND(CG960&gt;0,CF960*10&gt;CG960),"zu hoch für Tablar; ","")&amp;IF(AND(BP960=0,OR(CA960=1,AA960&lt;&gt;"",U960&lt;&gt;"",V960&lt;&gt;"",AB960&lt;&gt;"")),"manuell übersteuert; ","")&amp;IF(AND(BT960=0,R960=0),"Gebinde unbekannt / Stellmass fehlt; ","")&amp;IF(AND(BT960=0,N(V960)&lt;=0,N(Q960)&lt;=0),"Menge pro Gebinde fehlt (Ist = 1 Gebinde); ","")&amp;BO960)</f>
        <v>negativer Bestand (Export -4); Kein Verbrauch; </v>
      </c>
      <c r="BH960" s="55"/>
      <c r="BI960" s="55"/>
      <c r="BJ960" s="62"/>
      <c r="BK960" s="57" t="n">
        <v>-4</v>
      </c>
      <c r="BL960" s="57" t="n">
        <v>12</v>
      </c>
      <c r="BM960" s="56" t="n">
        <v>-66.04</v>
      </c>
      <c r="BN960" s="57" t="n">
        <v>0</v>
      </c>
      <c r="BO960" s="55"/>
      <c r="BP960" s="60" t="n">
        <v>0</v>
      </c>
      <c r="BQ960" s="60" t="n">
        <v>960</v>
      </c>
      <c r="BR960" s="55" t="str">
        <f aca="false">IF(U960&lt;&gt;"",UPPER(TRIM(U960)),IF(BU960=1,UPPER(VLOOKUP(T960,Parameter!$I$27:$K$29,2,0)),IF(P960="","LOSE",P960)))</f>
        <v>S33</v>
      </c>
      <c r="BS960" s="57" t="n">
        <f aca="false">IF(BR960="LOSE",1,IF(N(V960)&gt;0,V960,IF(BU960=1,MAX(1,N(VLOOKUP(T960,Parameter!$I$27:$K$29,3,0)),H960,N(N960)),IF(N(Q960)&gt;0,Q960,MAX(1,H960)))))</f>
        <v>14</v>
      </c>
      <c r="BT960" s="60" t="n">
        <f aca="false">IF(BR960="LOSE",1,0)</f>
        <v>0</v>
      </c>
      <c r="BU960" s="60" t="n">
        <f aca="false">IF(AND(U960="",OR(P960="",P960="LOSE"),T960&lt;&gt;"",N(S960)&lt;=0,ISNUMBER(MATCH(T960,Parameter!$I$27:$I$29,0))),1,0)</f>
        <v>0</v>
      </c>
      <c r="BV960" s="55" t="str">
        <f aca="false">IF(AND(Parameter!$B$19="Ja",E960&lt;&gt;"",ISNUMBER(MATCH(E960,Parameter!$I$35:$I$52,0))),VLOOKUP(E960,Parameter!$I$35:$J$52,2,0),IFERROR(VLOOKUP(D960,Parameter!$A$35:$C$64,2,0),"Nein"))</f>
        <v>2+3</v>
      </c>
      <c r="BW960" s="59" t="n">
        <f aca="false">IF(BT960=0,0,IF(N(S960)&gt;0,S960,IFERROR(VLOOKUP(D960,Parameter!$A$35:$C$64,3,0)+0,0)))</f>
        <v>0</v>
      </c>
      <c r="BX960" s="55" t="n">
        <f aca="false">IF(AA960&lt;&gt;"",AA960,Z960)</f>
        <v>3</v>
      </c>
      <c r="BY960" s="55" t="str">
        <f aca="false">IF(BX960=1,"L1",IF(OR(BX960=2,BX960=3),"L23",IF(BX960="Aussen","Aussen","-")))</f>
        <v>L23</v>
      </c>
      <c r="BZ960" s="66" t="n">
        <f aca="false">IF(N(AB960)&gt;0,AB960,0)</f>
        <v>0</v>
      </c>
      <c r="CA960" s="60" t="n">
        <f aca="false">IF(ISNUMBER(AE960),1,0)</f>
        <v>0</v>
      </c>
      <c r="CB960" s="57" t="n">
        <f aca="false">N(AE960)</f>
        <v>0</v>
      </c>
      <c r="CC960" s="57" t="n">
        <f aca="false">N(M960)+N(N960)</f>
        <v>1</v>
      </c>
      <c r="CD960" s="57" t="n">
        <f aca="false">ROUNDUP(H960/BS960,0)</f>
        <v>1</v>
      </c>
      <c r="CE960" s="57" t="n">
        <f aca="false">ROUNDUP(CB960/BS960,0)</f>
        <v>0</v>
      </c>
      <c r="CF960" s="60" t="n">
        <f aca="false">IF(BT960=1,0,IFERROR(VLOOKUP(BR960,'Gebinde-Kategorie'!$A$5:$M$45,5,0)+0,0))</f>
        <v>8</v>
      </c>
      <c r="CG960" s="60" t="n">
        <f aca="false">IFERROR(IF(OR(BX960=1,BX960=2,BX960=3),N(INDEX(Parameter!$I$5:$I$7,BX960)),0),0)</f>
        <v>0</v>
      </c>
      <c r="CH960" s="59" t="n">
        <f aca="false">IF(AND(Parameter!$B$21="Ja",ISNUMBER(W960),N(X960)&gt;0),IFERROR(N(INDEX(Parameter!$L$5:$L$7,W960))*INDEX(Parameter!$E$5:$E$7,W960)*X960/SUMIFS($X$7:$X$1843,$W$7:$W$1843,W960),0),0)</f>
        <v>0</v>
      </c>
    </row>
    <row r="961" customFormat="false" ht="15" hidden="false" customHeight="false" outlineLevel="0" collapsed="false">
      <c r="A961" s="55" t="s">
        <v>1788</v>
      </c>
      <c r="B961" s="55" t="s">
        <v>1789</v>
      </c>
      <c r="C961" s="55" t="s">
        <v>164</v>
      </c>
      <c r="D961" s="55" t="s">
        <v>184</v>
      </c>
      <c r="E961" s="55" t="s">
        <v>185</v>
      </c>
      <c r="F961" s="55" t="s">
        <v>218</v>
      </c>
      <c r="G961" s="56" t="n">
        <v>67.24</v>
      </c>
      <c r="H961" s="57" t="n">
        <f aca="false">MAX(0,IF(AND(Parameter!$B$21="Ja",ISNUMBER(Y961)),Y961,IF(Parameter!$B$20="Jahresanfang 2025 + Export",BL961+BK961,BK961)))</f>
        <v>3</v>
      </c>
      <c r="I961" s="57" t="n">
        <f aca="false">H961*G961</f>
        <v>201.72</v>
      </c>
      <c r="J961" s="57" t="n">
        <f aca="false">BN961*Parameter!$B$18</f>
        <v>1</v>
      </c>
      <c r="K961" s="58" t="n">
        <v>4</v>
      </c>
      <c r="L961" s="59" t="n">
        <v>0.25</v>
      </c>
      <c r="M961" s="57" t="n">
        <v>0</v>
      </c>
      <c r="N961" s="57" t="n">
        <v>1</v>
      </c>
      <c r="O961" s="60" t="n">
        <v>21</v>
      </c>
      <c r="P961" s="55" t="s">
        <v>302</v>
      </c>
      <c r="Q961" s="57" t="n">
        <v>6</v>
      </c>
      <c r="R961" s="60" t="n">
        <f aca="false">IF(BT961=1,0,IFERROR(VLOOKUP(BR961,'Gebinde-Kategorie'!$A$5:$M$45,13,0)+0,0))</f>
        <v>26</v>
      </c>
      <c r="S961" s="61"/>
      <c r="T961" s="62"/>
      <c r="U961" s="62"/>
      <c r="V961" s="62"/>
      <c r="W961" s="55"/>
      <c r="X961" s="57"/>
      <c r="Y961" s="57"/>
      <c r="Z961" s="55" t="n">
        <f aca="false">IF(A961="","",IF(AND(Parameter!$B$21="Ja",ISNUMBER(W961)),W961,IF(BV961="2+3",IF(ISNUMBER(SEARCH("grosser Artikel",BO961)),2,IFERROR(VLOOKUP(BR961,Parameter!$F$35:$G$64,2,0),2)),IF(OR(BV961="Nein",BV961=""),"-",BV961))))</f>
        <v>3</v>
      </c>
      <c r="AA961" s="62"/>
      <c r="AB961" s="63"/>
      <c r="AC961" s="57" t="n">
        <f aca="false">AR961</f>
        <v>6</v>
      </c>
      <c r="AD961" s="57" t="n">
        <f aca="false">MAX(AR961,H961)</f>
        <v>6</v>
      </c>
      <c r="AE961" s="64"/>
      <c r="AF961" s="57" t="n">
        <f aca="false">IF(LEFT(Cockpit!$C$5,1)="A",H961,IF(CA961=1,CB961,IF(LEFT(Cockpit!$C$5,1)="B",AJ961,MAX(AJ961,H961))))</f>
        <v>3</v>
      </c>
      <c r="AG961" s="57" t="n">
        <f aca="false">IF(BT961=1,0,ROUNDUP(AF961/BS961,0))</f>
        <v>1</v>
      </c>
      <c r="AH961" s="59" t="n">
        <f aca="false">IF(CH961&gt;0,CH961*MAX(1,AF961/X961),IF(BT961=1,IF(AF961&lt;=0,0,BW961*MAX(1,IF(H961&gt;0,AF961/H961,1))),IF(R961&gt;0,AG961/R961,0))/MAX(0.1,N(Parameter!$M$21)))</f>
        <v>0.0384615384615385</v>
      </c>
      <c r="AI961" s="57" t="n">
        <f aca="false">AF961*G961</f>
        <v>201.72</v>
      </c>
      <c r="AJ961" s="57" t="n">
        <f aca="false">ROUNDUP(MAX(J961/IF(BZ961&gt;0,BZ961,MAX(0.1,N(Cockpit!$C$6))),CC961)/BS961,0)*BS961</f>
        <v>6</v>
      </c>
      <c r="AK961" s="58" t="n">
        <f aca="false">IF(AH961&gt;0,J961/AH961,-1)</f>
        <v>26</v>
      </c>
      <c r="AL961" s="58" t="n">
        <f aca="false">IF(AND(OR(BY961="L1",BY961="L23"),AH961&gt;0),SUMIFS($AH$7:$AH$1843,$BY$7:$BY$1843,BY961,$AK$7:$AK$1843,"&gt;"&amp;AK961)+SUMIFS($AH$7:$AH$1843,$BY$7:$BY$1843,BY961,$AK$7:$AK$1843,AK961,$BQ$7:$BQ$1843,"&lt;="&amp;BQ961),"")</f>
        <v>48.61382216817</v>
      </c>
      <c r="AM961" s="65" t="n">
        <f aca="false">IF(AL961="",0,MAX(0,MIN(1,(IF(BY961="L1",Parameter!$E$5,Parameter!$E$6+Parameter!$E$7)-(AL961-AH961))/AH961)))</f>
        <v>1</v>
      </c>
      <c r="AN961" s="57" t="n">
        <f aca="false">IF(LEFT(Cockpit!$I$5,1)="A",H961,IF(CA961=1,CB961,IF(LEFT(Cockpit!$I$5,1)="B",AR961,MAX(AR961,H961))))</f>
        <v>6</v>
      </c>
      <c r="AO961" s="57" t="n">
        <f aca="false">IF(BT961=1,0,ROUNDUP(AN961/BS961,0))</f>
        <v>1</v>
      </c>
      <c r="AP961" s="59" t="n">
        <f aca="false">IF(CH961&gt;0,CH961*MAX(1,AN961/X961),IF(BT961=1,IF(AN961&lt;=0,0,BW961*MAX(1,IF(H961&gt;0,AN961/H961,1))),IF(R961&gt;0,AO961/R961,0))/MAX(0.1,N(Parameter!$M$21)))</f>
        <v>0.0384615384615385</v>
      </c>
      <c r="AQ961" s="57" t="n">
        <f aca="false">AN961*G961</f>
        <v>403.44</v>
      </c>
      <c r="AR961" s="57" t="n">
        <f aca="false">ROUNDUP(MAX(J961/IF(BZ961&gt;0,BZ961,MAX(0.1,N(Cockpit!$I$6))),CC961)/BS961,0)*BS961</f>
        <v>6</v>
      </c>
      <c r="AS961" s="58" t="n">
        <f aca="false">IF(AP961&gt;0,J961/AP961,-1)</f>
        <v>26</v>
      </c>
      <c r="AT961" s="58" t="n">
        <f aca="false">IF(AND(OR(BY961="L1",BY961="L23"),AP961&gt;0),SUMIFS($AP$7:$AP$1843,$BY$7:$BY$1843,BY961,$AS$7:$AS$1843,"&gt;"&amp;AS961)+SUMIFS($AP$7:$AP$1843,$BY$7:$BY$1843,BY961,$AS$7:$AS$1843,AS961,$BQ$7:$BQ$1843,"&lt;="&amp;BQ961),"")</f>
        <v>73.7879463531638</v>
      </c>
      <c r="AU961" s="65" t="n">
        <f aca="false">IF(AT961="",0,MAX(0,MIN(1,(IF(BY961="L1",Parameter!$E$5,Parameter!$E$6+Parameter!$E$7)-(AT961-AP961))/AP961)))</f>
        <v>1</v>
      </c>
      <c r="AV961" s="57" t="n">
        <f aca="false">IF(LEFT(Cockpit!$O$5,1)="A",H961,IF(CA961=1,CB961,IF(LEFT(Cockpit!$O$5,1)="B",AZ961,MAX(AZ961,H961))))</f>
        <v>6</v>
      </c>
      <c r="AW961" s="57" t="n">
        <f aca="false">IF(BT961=1,0,ROUNDUP(AV961/BS961,0))</f>
        <v>1</v>
      </c>
      <c r="AX961" s="59" t="n">
        <f aca="false">IF(CH961&gt;0,CH961*MAX(1,AV961/X961),IF(BT961=1,IF(AV961&lt;=0,0,BW961*MAX(1,IF(H961&gt;0,AV961/H961,1))),IF(R961&gt;0,AW961/R961,0))/MAX(0.1,N(Parameter!$M$21)))</f>
        <v>0.0384615384615385</v>
      </c>
      <c r="AY961" s="57" t="n">
        <f aca="false">AV961*G961</f>
        <v>403.44</v>
      </c>
      <c r="AZ961" s="57" t="n">
        <f aca="false">ROUNDUP(MAX(J961/IF(BZ961&gt;0,BZ961,MAX(0.1,N(Cockpit!$O$6))),CC961)/BS961,0)*BS961</f>
        <v>6</v>
      </c>
      <c r="BA961" s="58" t="n">
        <f aca="false">IF(AX961&gt;0,J961/AX961,-1)</f>
        <v>26</v>
      </c>
      <c r="BB961" s="58" t="n">
        <f aca="false">IF(AND(OR(BY961="L1",BY961="L23"),AX961&gt;0),SUMIFS($AX$7:$AX$1843,$BY$7:$BY$1843,BY961,$BA$7:$BA$1843,"&gt;"&amp;BA961)+SUMIFS($AX$7:$AX$1843,$BY$7:$BY$1843,BY961,$BA$7:$BA$1843,BA961,$BQ$7:$BQ$1843,"&lt;="&amp;BQ961),"")</f>
        <v>69.2844498496672</v>
      </c>
      <c r="BC961" s="65" t="n">
        <f aca="false">IF(BB961="",0,MAX(0,MIN(1,(IF(BY961="L1",Parameter!$E$5,Parameter!$E$6+Parameter!$E$7)-(BB961-AX961))/AX961)))</f>
        <v>1</v>
      </c>
      <c r="BD961" s="55" t="str">
        <f aca="false">IF(AH961&lt;=0,"",IF(BY961="Aussen","Aussenlager",IF(BY961="-","Nicht im Lift",IF(AM961&gt;=1,"Lift",IF(AM961&lt;=0,"Aussenlager","teilweise")))))</f>
        <v>Lift</v>
      </c>
      <c r="BE961" s="55" t="str">
        <f aca="false">IF(AP961&lt;=0,"",IF(BY961="Aussen","Aussenlager",IF(BY961="-","Nicht im Lift",IF(AU961&gt;=1,"Lift",IF(AU961&lt;=0,"Aussenlager","teilweise")))))</f>
        <v>Lift</v>
      </c>
      <c r="BF961" s="55" t="str">
        <f aca="false">IF(AX961&lt;=0,"",IF(BY961="Aussen","Aussenlager",IF(BY961="-","Nicht im Lift",IF(BC961&gt;=1,"Lift",IF(BC961&lt;=0,"Aussenlager","teilweise")))))</f>
        <v>Lift</v>
      </c>
      <c r="BG961" s="55" t="str">
        <f aca="false">IF(A961="","",IF(BP961=1,"Neu; ","")&amp;IF(AND(BP961=0,BK961&lt;0),"negativer Bestand (Export "&amp;BK961&amp;"); ","")&amp;IF(J961&lt;=0,"Kein Verbrauch; ","")&amp;IF(CH961&gt;0,"Lift "&amp;W961&amp;" lt. Liftbericht (Fach "&amp;X961&amp;" Stk); ",IF(BU961=1,"Gebinde geschätzt ("&amp;T961&amp;"); ",IF(BT961=1,"Lose – Tablare geschätzt; ","")))&amp;IF(H961&gt;AR961,"Überbestand "&amp;ROUND(H961-AR961,0)&amp;" Stk / CHF "&amp;ROUND((H961-AR961)*G961,0)&amp;"; ","")&amp;IF(AND(CA961=1,CB961&lt;CC961),"MAX &lt; MB+LG; ","")&amp;IF(AND(CG961&gt;0,CF961*10&gt;CG961),"zu hoch für Tablar; ","")&amp;IF(AND(BP961=0,OR(CA961=1,AA961&lt;&gt;"",U961&lt;&gt;"",V961&lt;&gt;"",AB961&lt;&gt;"")),"manuell übersteuert; ","")&amp;IF(AND(BT961=0,R961=0),"Gebinde unbekannt / Stellmass fehlt; ","")&amp;IF(AND(BT961=0,N(V961)&lt;=0,N(Q961)&lt;=0),"Menge pro Gebinde fehlt (Ist = 1 Gebinde); ","")&amp;BO961)</f>
        <v>negativer Bestand (Export -1); </v>
      </c>
      <c r="BH961" s="55"/>
      <c r="BI961" s="55"/>
      <c r="BJ961" s="62"/>
      <c r="BK961" s="57" t="n">
        <v>-1</v>
      </c>
      <c r="BL961" s="57" t="n">
        <v>4</v>
      </c>
      <c r="BM961" s="56" t="n">
        <v>-67.24</v>
      </c>
      <c r="BN961" s="57" t="n">
        <v>1</v>
      </c>
      <c r="BO961" s="55"/>
      <c r="BP961" s="60" t="n">
        <v>0</v>
      </c>
      <c r="BQ961" s="60" t="n">
        <v>961</v>
      </c>
      <c r="BR961" s="55" t="str">
        <f aca="false">IF(U961&lt;&gt;"",UPPER(TRIM(U961)),IF(BU961=1,UPPER(VLOOKUP(T961,Parameter!$I$27:$K$29,2,0)),IF(P961="","LOSE",P961)))</f>
        <v>S51</v>
      </c>
      <c r="BS961" s="57" t="n">
        <f aca="false">IF(BR961="LOSE",1,IF(N(V961)&gt;0,V961,IF(BU961=1,MAX(1,N(VLOOKUP(T961,Parameter!$I$27:$K$29,3,0)),H961,N(N961)),IF(N(Q961)&gt;0,Q961,MAX(1,H961)))))</f>
        <v>6</v>
      </c>
      <c r="BT961" s="60" t="n">
        <f aca="false">IF(BR961="LOSE",1,0)</f>
        <v>0</v>
      </c>
      <c r="BU961" s="60" t="n">
        <f aca="false">IF(AND(U961="",OR(P961="",P961="LOSE"),T961&lt;&gt;"",N(S961)&lt;=0,ISNUMBER(MATCH(T961,Parameter!$I$27:$I$29,0))),1,0)</f>
        <v>0</v>
      </c>
      <c r="BV961" s="55" t="str">
        <f aca="false">IF(AND(Parameter!$B$19="Ja",E961&lt;&gt;"",ISNUMBER(MATCH(E961,Parameter!$I$35:$I$52,0))),VLOOKUP(E961,Parameter!$I$35:$J$52,2,0),IFERROR(VLOOKUP(D961,Parameter!$A$35:$C$64,2,0),"Nein"))</f>
        <v>2+3</v>
      </c>
      <c r="BW961" s="59" t="n">
        <f aca="false">IF(BT961=0,0,IF(N(S961)&gt;0,S961,IFERROR(VLOOKUP(D961,Parameter!$A$35:$C$64,3,0)+0,0)))</f>
        <v>0</v>
      </c>
      <c r="BX961" s="55" t="n">
        <f aca="false">IF(AA961&lt;&gt;"",AA961,Z961)</f>
        <v>3</v>
      </c>
      <c r="BY961" s="55" t="str">
        <f aca="false">IF(BX961=1,"L1",IF(OR(BX961=2,BX961=3),"L23",IF(BX961="Aussen","Aussen","-")))</f>
        <v>L23</v>
      </c>
      <c r="BZ961" s="66" t="n">
        <f aca="false">IF(N(AB961)&gt;0,AB961,0)</f>
        <v>0</v>
      </c>
      <c r="CA961" s="60" t="n">
        <f aca="false">IF(ISNUMBER(AE961),1,0)</f>
        <v>0</v>
      </c>
      <c r="CB961" s="57" t="n">
        <f aca="false">N(AE961)</f>
        <v>0</v>
      </c>
      <c r="CC961" s="57" t="n">
        <f aca="false">N(M961)+N(N961)</f>
        <v>1</v>
      </c>
      <c r="CD961" s="57" t="n">
        <f aca="false">ROUNDUP(H961/BS961,0)</f>
        <v>1</v>
      </c>
      <c r="CE961" s="57" t="n">
        <f aca="false">ROUNDUP(CB961/BS961,0)</f>
        <v>0</v>
      </c>
      <c r="CF961" s="60" t="n">
        <f aca="false">IF(BT961=1,0,IFERROR(VLOOKUP(BR961,'Gebinde-Kategorie'!$A$5:$M$45,5,0)+0,0))</f>
        <v>11</v>
      </c>
      <c r="CG961" s="60" t="n">
        <f aca="false">IFERROR(IF(OR(BX961=1,BX961=2,BX961=3),N(INDEX(Parameter!$I$5:$I$7,BX961)),0),0)</f>
        <v>0</v>
      </c>
      <c r="CH961" s="59" t="n">
        <f aca="false">IF(AND(Parameter!$B$21="Ja",ISNUMBER(W961),N(X961)&gt;0),IFERROR(N(INDEX(Parameter!$L$5:$L$7,W961))*INDEX(Parameter!$E$5:$E$7,W961)*X961/SUMIFS($X$7:$X$1843,$W$7:$W$1843,W961),0),0)</f>
        <v>0</v>
      </c>
    </row>
    <row r="962" customFormat="false" ht="15" hidden="false" customHeight="false" outlineLevel="0" collapsed="false">
      <c r="A962" s="55" t="s">
        <v>1790</v>
      </c>
      <c r="B962" s="55" t="s">
        <v>1791</v>
      </c>
      <c r="C962" s="55" t="s">
        <v>164</v>
      </c>
      <c r="D962" s="55" t="s">
        <v>184</v>
      </c>
      <c r="E962" s="55" t="s">
        <v>185</v>
      </c>
      <c r="F962" s="55" t="s">
        <v>218</v>
      </c>
      <c r="G962" s="56" t="n">
        <v>68.34</v>
      </c>
      <c r="H962" s="57" t="n">
        <f aca="false">MAX(0,IF(AND(Parameter!$B$21="Ja",ISNUMBER(Y962)),Y962,IF(Parameter!$B$20="Jahresanfang 2025 + Export",BL962+BK962,BK962)))</f>
        <v>7</v>
      </c>
      <c r="I962" s="57" t="n">
        <f aca="false">H962*G962</f>
        <v>478.38</v>
      </c>
      <c r="J962" s="57" t="n">
        <f aca="false">BN962*Parameter!$B$18</f>
        <v>3</v>
      </c>
      <c r="K962" s="58" t="n">
        <v>7</v>
      </c>
      <c r="L962" s="59" t="n">
        <v>0.428571428571429</v>
      </c>
      <c r="M962" s="57" t="n">
        <v>0</v>
      </c>
      <c r="N962" s="57" t="n">
        <v>5</v>
      </c>
      <c r="O962" s="60" t="n">
        <v>14</v>
      </c>
      <c r="P962" s="55" t="s">
        <v>293</v>
      </c>
      <c r="Q962" s="57" t="n">
        <v>13</v>
      </c>
      <c r="R962" s="60" t="n">
        <f aca="false">IF(BT962=1,0,IFERROR(VLOOKUP(BR962,'Gebinde-Kategorie'!$A$5:$M$45,13,0)+0,0))</f>
        <v>12</v>
      </c>
      <c r="S962" s="61"/>
      <c r="T962" s="62"/>
      <c r="U962" s="62"/>
      <c r="V962" s="62"/>
      <c r="W962" s="55"/>
      <c r="X962" s="57"/>
      <c r="Y962" s="57"/>
      <c r="Z962" s="55" t="n">
        <f aca="false">IF(A962="","",IF(AND(Parameter!$B$21="Ja",ISNUMBER(W962)),W962,IF(BV962="2+3",IF(ISNUMBER(SEARCH("grosser Artikel",BO962)),2,IFERROR(VLOOKUP(BR962,Parameter!$F$35:$G$64,2,0),2)),IF(OR(BV962="Nein",BV962=""),"-",BV962))))</f>
        <v>2</v>
      </c>
      <c r="AA962" s="62"/>
      <c r="AB962" s="63"/>
      <c r="AC962" s="57" t="n">
        <f aca="false">AR962</f>
        <v>13</v>
      </c>
      <c r="AD962" s="57" t="n">
        <f aca="false">MAX(AR962,H962)</f>
        <v>13</v>
      </c>
      <c r="AE962" s="64"/>
      <c r="AF962" s="57" t="n">
        <f aca="false">IF(LEFT(Cockpit!$C$5,1)="A",H962,IF(CA962=1,CB962,IF(LEFT(Cockpit!$C$5,1)="B",AJ962,MAX(AJ962,H962))))</f>
        <v>7</v>
      </c>
      <c r="AG962" s="57" t="n">
        <f aca="false">IF(BT962=1,0,ROUNDUP(AF962/BS962,0))</f>
        <v>1</v>
      </c>
      <c r="AH962" s="59" t="n">
        <f aca="false">IF(CH962&gt;0,CH962*MAX(1,AF962/X962),IF(BT962=1,IF(AF962&lt;=0,0,BW962*MAX(1,IF(H962&gt;0,AF962/H962,1))),IF(R962&gt;0,AG962/R962,0))/MAX(0.1,N(Parameter!$M$21)))</f>
        <v>0.0833333333333333</v>
      </c>
      <c r="AI962" s="57" t="n">
        <f aca="false">AF962*G962</f>
        <v>478.38</v>
      </c>
      <c r="AJ962" s="57" t="n">
        <f aca="false">ROUNDUP(MAX(J962/IF(BZ962&gt;0,BZ962,MAX(0.1,N(Cockpit!$C$6))),CC962)/BS962,0)*BS962</f>
        <v>13</v>
      </c>
      <c r="AK962" s="58" t="n">
        <f aca="false">IF(AH962&gt;0,J962/AH962,-1)</f>
        <v>36</v>
      </c>
      <c r="AL962" s="58" t="n">
        <f aca="false">IF(AND(OR(BY962="L1",BY962="L23"),AH962&gt;0),SUMIFS($AH$7:$AH$1843,$BY$7:$BY$1843,BY962,$AK$7:$AK$1843,"&gt;"&amp;AK962)+SUMIFS($AH$7:$AH$1843,$BY$7:$BY$1843,BY962,$AK$7:$AK$1843,AK962,$BQ$7:$BQ$1843,"&lt;="&amp;BQ962),"")</f>
        <v>46.36382216817</v>
      </c>
      <c r="AM962" s="65" t="n">
        <f aca="false">IF(AL962="",0,MAX(0,MIN(1,(IF(BY962="L1",Parameter!$E$5,Parameter!$E$6+Parameter!$E$7)-(AL962-AH962))/AH962)))</f>
        <v>1</v>
      </c>
      <c r="AN962" s="57" t="n">
        <f aca="false">IF(LEFT(Cockpit!$I$5,1)="A",H962,IF(CA962=1,CB962,IF(LEFT(Cockpit!$I$5,1)="B",AR962,MAX(AR962,H962))))</f>
        <v>13</v>
      </c>
      <c r="AO962" s="57" t="n">
        <f aca="false">IF(BT962=1,0,ROUNDUP(AN962/BS962,0))</f>
        <v>1</v>
      </c>
      <c r="AP962" s="59" t="n">
        <f aca="false">IF(CH962&gt;0,CH962*MAX(1,AN962/X962),IF(BT962=1,IF(AN962&lt;=0,0,BW962*MAX(1,IF(H962&gt;0,AN962/H962,1))),IF(R962&gt;0,AO962/R962,0))/MAX(0.1,N(Parameter!$M$21)))</f>
        <v>0.0833333333333333</v>
      </c>
      <c r="AQ962" s="57" t="n">
        <f aca="false">AN962*G962</f>
        <v>888.42</v>
      </c>
      <c r="AR962" s="57" t="n">
        <f aca="false">ROUNDUP(MAX(J962/IF(BZ962&gt;0,BZ962,MAX(0.1,N(Cockpit!$I$6))),CC962)/BS962,0)*BS962</f>
        <v>13</v>
      </c>
      <c r="AS962" s="58" t="n">
        <f aca="false">IF(AP962&gt;0,J962/AP962,-1)</f>
        <v>36</v>
      </c>
      <c r="AT962" s="58" t="n">
        <f aca="false">IF(AND(OR(BY962="L1",BY962="L23"),AP962&gt;0),SUMIFS($AP$7:$AP$1843,$BY$7:$BY$1843,BY962,$AS$7:$AS$1843,"&gt;"&amp;AS962)+SUMIFS($AP$7:$AP$1843,$BY$7:$BY$1843,BY962,$AS$7:$AS$1843,AS962,$BQ$7:$BQ$1843,"&lt;="&amp;BQ962),"")</f>
        <v>70.794356609574</v>
      </c>
      <c r="AU962" s="65" t="n">
        <f aca="false">IF(AT962="",0,MAX(0,MIN(1,(IF(BY962="L1",Parameter!$E$5,Parameter!$E$6+Parameter!$E$7)-(AT962-AP962))/AP962)))</f>
        <v>1</v>
      </c>
      <c r="AV962" s="57" t="n">
        <f aca="false">IF(LEFT(Cockpit!$O$5,1)="A",H962,IF(CA962=1,CB962,IF(LEFT(Cockpit!$O$5,1)="B",AZ962,MAX(AZ962,H962))))</f>
        <v>13</v>
      </c>
      <c r="AW962" s="57" t="n">
        <f aca="false">IF(BT962=1,0,ROUNDUP(AV962/BS962,0))</f>
        <v>1</v>
      </c>
      <c r="AX962" s="59" t="n">
        <f aca="false">IF(CH962&gt;0,CH962*MAX(1,AV962/X962),IF(BT962=1,IF(AV962&lt;=0,0,BW962*MAX(1,IF(H962&gt;0,AV962/H962,1))),IF(R962&gt;0,AW962/R962,0))/MAX(0.1,N(Parameter!$M$21)))</f>
        <v>0.0833333333333333</v>
      </c>
      <c r="AY962" s="57" t="n">
        <f aca="false">AV962*G962</f>
        <v>888.42</v>
      </c>
      <c r="AZ962" s="57" t="n">
        <f aca="false">ROUNDUP(MAX(J962/IF(BZ962&gt;0,BZ962,MAX(0.1,N(Cockpit!$O$6))),CC962)/BS962,0)*BS962</f>
        <v>13</v>
      </c>
      <c r="BA962" s="58" t="n">
        <f aca="false">IF(AX962&gt;0,J962/AX962,-1)</f>
        <v>36</v>
      </c>
      <c r="BB962" s="58" t="n">
        <f aca="false">IF(AND(OR(BY962="L1",BY962="L23"),AX962&gt;0),SUMIFS($AX$7:$AX$1843,$BY$7:$BY$1843,BY962,$BA$7:$BA$1843,"&gt;"&amp;BA962)+SUMIFS($AX$7:$AX$1843,$BY$7:$BY$1843,BY962,$BA$7:$BA$1843,BA962,$BQ$7:$BQ$1843,"&lt;="&amp;BQ962),"")</f>
        <v>65.2908601060775</v>
      </c>
      <c r="BC962" s="65" t="n">
        <f aca="false">IF(BB962="",0,MAX(0,MIN(1,(IF(BY962="L1",Parameter!$E$5,Parameter!$E$6+Parameter!$E$7)-(BB962-AX962))/AX962)))</f>
        <v>1</v>
      </c>
      <c r="BD962" s="55" t="str">
        <f aca="false">IF(AH962&lt;=0,"",IF(BY962="Aussen","Aussenlager",IF(BY962="-","Nicht im Lift",IF(AM962&gt;=1,"Lift",IF(AM962&lt;=0,"Aussenlager","teilweise")))))</f>
        <v>Lift</v>
      </c>
      <c r="BE962" s="55" t="str">
        <f aca="false">IF(AP962&lt;=0,"",IF(BY962="Aussen","Aussenlager",IF(BY962="-","Nicht im Lift",IF(AU962&gt;=1,"Lift",IF(AU962&lt;=0,"Aussenlager","teilweise")))))</f>
        <v>Lift</v>
      </c>
      <c r="BF962" s="55" t="str">
        <f aca="false">IF(AX962&lt;=0,"",IF(BY962="Aussen","Aussenlager",IF(BY962="-","Nicht im Lift",IF(BC962&gt;=1,"Lift",IF(BC962&lt;=0,"Aussenlager","teilweise")))))</f>
        <v>Lift</v>
      </c>
      <c r="BG962" s="55" t="str">
        <f aca="false">IF(A962="","",IF(BP962=1,"Neu; ","")&amp;IF(AND(BP962=0,BK962&lt;0),"negativer Bestand (Export "&amp;BK962&amp;"); ","")&amp;IF(J962&lt;=0,"Kein Verbrauch; ","")&amp;IF(CH962&gt;0,"Lift "&amp;W962&amp;" lt. Liftbericht (Fach "&amp;X962&amp;" Stk); ",IF(BU962=1,"Gebinde geschätzt ("&amp;T962&amp;"); ",IF(BT962=1,"Lose – Tablare geschätzt; ","")))&amp;IF(H962&gt;AR962,"Überbestand "&amp;ROUND(H962-AR962,0)&amp;" Stk / CHF "&amp;ROUND((H962-AR962)*G962,0)&amp;"; ","")&amp;IF(AND(CA962=1,CB962&lt;CC962),"MAX &lt; MB+LG; ","")&amp;IF(AND(CG962&gt;0,CF962*10&gt;CG962),"zu hoch für Tablar; ","")&amp;IF(AND(BP962=0,OR(CA962=1,AA962&lt;&gt;"",U962&lt;&gt;"",V962&lt;&gt;"",AB962&lt;&gt;"")),"manuell übersteuert; ","")&amp;IF(AND(BT962=0,R962=0),"Gebinde unbekannt / Stellmass fehlt; ","")&amp;IF(AND(BT962=0,N(V962)&lt;=0,N(Q962)&lt;=0),"Menge pro Gebinde fehlt (Ist = 1 Gebinde); ","")&amp;BO962)</f>
        <v>negativer Bestand (Export -1); </v>
      </c>
      <c r="BH962" s="55"/>
      <c r="BI962" s="55"/>
      <c r="BJ962" s="62"/>
      <c r="BK962" s="57" t="n">
        <v>-1</v>
      </c>
      <c r="BL962" s="57" t="n">
        <v>8</v>
      </c>
      <c r="BM962" s="56" t="n">
        <v>-68.34</v>
      </c>
      <c r="BN962" s="57" t="n">
        <v>3</v>
      </c>
      <c r="BO962" s="55"/>
      <c r="BP962" s="60" t="n">
        <v>0</v>
      </c>
      <c r="BQ962" s="60" t="n">
        <v>962</v>
      </c>
      <c r="BR962" s="55" t="str">
        <f aca="false">IF(U962&lt;&gt;"",UPPER(TRIM(U962)),IF(BU962=1,UPPER(VLOOKUP(T962,Parameter!$I$27:$K$29,2,0)),IF(P962="","LOSE",P962)))</f>
        <v>S62</v>
      </c>
      <c r="BS962" s="57" t="n">
        <f aca="false">IF(BR962="LOSE",1,IF(N(V962)&gt;0,V962,IF(BU962=1,MAX(1,N(VLOOKUP(T962,Parameter!$I$27:$K$29,3,0)),H962,N(N962)),IF(N(Q962)&gt;0,Q962,MAX(1,H962)))))</f>
        <v>13</v>
      </c>
      <c r="BT962" s="60" t="n">
        <f aca="false">IF(BR962="LOSE",1,0)</f>
        <v>0</v>
      </c>
      <c r="BU962" s="60" t="n">
        <f aca="false">IF(AND(U962="",OR(P962="",P962="LOSE"),T962&lt;&gt;"",N(S962)&lt;=0,ISNUMBER(MATCH(T962,Parameter!$I$27:$I$29,0))),1,0)</f>
        <v>0</v>
      </c>
      <c r="BV962" s="55" t="str">
        <f aca="false">IF(AND(Parameter!$B$19="Ja",E962&lt;&gt;"",ISNUMBER(MATCH(E962,Parameter!$I$35:$I$52,0))),VLOOKUP(E962,Parameter!$I$35:$J$52,2,0),IFERROR(VLOOKUP(D962,Parameter!$A$35:$C$64,2,0),"Nein"))</f>
        <v>2+3</v>
      </c>
      <c r="BW962" s="59" t="n">
        <f aca="false">IF(BT962=0,0,IF(N(S962)&gt;0,S962,IFERROR(VLOOKUP(D962,Parameter!$A$35:$C$64,3,0)+0,0)))</f>
        <v>0</v>
      </c>
      <c r="BX962" s="55" t="n">
        <f aca="false">IF(AA962&lt;&gt;"",AA962,Z962)</f>
        <v>2</v>
      </c>
      <c r="BY962" s="55" t="str">
        <f aca="false">IF(BX962=1,"L1",IF(OR(BX962=2,BX962=3),"L23",IF(BX962="Aussen","Aussen","-")))</f>
        <v>L23</v>
      </c>
      <c r="BZ962" s="66" t="n">
        <f aca="false">IF(N(AB962)&gt;0,AB962,0)</f>
        <v>0</v>
      </c>
      <c r="CA962" s="60" t="n">
        <f aca="false">IF(ISNUMBER(AE962),1,0)</f>
        <v>0</v>
      </c>
      <c r="CB962" s="57" t="n">
        <f aca="false">N(AE962)</f>
        <v>0</v>
      </c>
      <c r="CC962" s="57" t="n">
        <f aca="false">N(M962)+N(N962)</f>
        <v>5</v>
      </c>
      <c r="CD962" s="57" t="n">
        <f aca="false">ROUNDUP(H962/BS962,0)</f>
        <v>1</v>
      </c>
      <c r="CE962" s="57" t="n">
        <f aca="false">ROUNDUP(CB962/BS962,0)</f>
        <v>0</v>
      </c>
      <c r="CF962" s="60" t="n">
        <f aca="false">IF(BT962=1,0,IFERROR(VLOOKUP(BR962,'Gebinde-Kategorie'!$A$5:$M$45,5,0)+0,0))</f>
        <v>21</v>
      </c>
      <c r="CG962" s="60" t="n">
        <f aca="false">IFERROR(IF(OR(BX962=1,BX962=2,BX962=3),N(INDEX(Parameter!$I$5:$I$7,BX962)),0),0)</f>
        <v>0</v>
      </c>
      <c r="CH962" s="59" t="n">
        <f aca="false">IF(AND(Parameter!$B$21="Ja",ISNUMBER(W962),N(X962)&gt;0),IFERROR(N(INDEX(Parameter!$L$5:$L$7,W962))*INDEX(Parameter!$E$5:$E$7,W962)*X962/SUMIFS($X$7:$X$1843,$W$7:$W$1843,W962),0),0)</f>
        <v>0</v>
      </c>
    </row>
    <row r="963" customFormat="false" ht="15" hidden="false" customHeight="false" outlineLevel="0" collapsed="false">
      <c r="A963" s="55" t="s">
        <v>1792</v>
      </c>
      <c r="B963" s="55" t="s">
        <v>489</v>
      </c>
      <c r="C963" s="55" t="s">
        <v>164</v>
      </c>
      <c r="D963" s="55" t="s">
        <v>184</v>
      </c>
      <c r="E963" s="55" t="s">
        <v>185</v>
      </c>
      <c r="F963" s="55" t="s">
        <v>218</v>
      </c>
      <c r="G963" s="56" t="n">
        <v>1.22</v>
      </c>
      <c r="H963" s="57" t="n">
        <f aca="false">MAX(0,IF(AND(Parameter!$B$21="Ja",ISNUMBER(Y963)),Y963,IF(Parameter!$B$20="Jahresanfang 2025 + Export",BL963+BK963,BK963)))</f>
        <v>187</v>
      </c>
      <c r="I963" s="57" t="n">
        <f aca="false">H963*G963</f>
        <v>228.14</v>
      </c>
      <c r="J963" s="57" t="n">
        <f aca="false">BN963*Parameter!$B$18</f>
        <v>422</v>
      </c>
      <c r="K963" s="58" t="n">
        <v>345.5</v>
      </c>
      <c r="L963" s="59" t="n">
        <v>1.22141823444284</v>
      </c>
      <c r="M963" s="57" t="n">
        <v>16</v>
      </c>
      <c r="N963" s="57" t="n">
        <v>420</v>
      </c>
      <c r="O963" s="60" t="n">
        <v>14</v>
      </c>
      <c r="P963" s="55" t="s">
        <v>302</v>
      </c>
      <c r="Q963" s="57" t="n">
        <v>621</v>
      </c>
      <c r="R963" s="60" t="n">
        <f aca="false">IF(BT963=1,0,IFERROR(VLOOKUP(BR963,'Gebinde-Kategorie'!$A$5:$M$45,13,0)+0,0))</f>
        <v>26</v>
      </c>
      <c r="S963" s="61"/>
      <c r="T963" s="62"/>
      <c r="U963" s="62"/>
      <c r="V963" s="62"/>
      <c r="W963" s="55"/>
      <c r="X963" s="57"/>
      <c r="Y963" s="57"/>
      <c r="Z963" s="55" t="n">
        <f aca="false">IF(A963="","",IF(AND(Parameter!$B$21="Ja",ISNUMBER(W963)),W963,IF(BV963="2+3",IF(ISNUMBER(SEARCH("grosser Artikel",BO963)),2,IFERROR(VLOOKUP(BR963,Parameter!$F$35:$G$64,2,0),2)),IF(OR(BV963="Nein",BV963=""),"-",BV963))))</f>
        <v>3</v>
      </c>
      <c r="AA963" s="62"/>
      <c r="AB963" s="63"/>
      <c r="AC963" s="57" t="n">
        <f aca="false">AR963</f>
        <v>621</v>
      </c>
      <c r="AD963" s="57" t="n">
        <f aca="false">MAX(AR963,H963)</f>
        <v>621</v>
      </c>
      <c r="AE963" s="64"/>
      <c r="AF963" s="57" t="n">
        <f aca="false">IF(LEFT(Cockpit!$C$5,1)="A",H963,IF(CA963=1,CB963,IF(LEFT(Cockpit!$C$5,1)="B",AJ963,MAX(AJ963,H963))))</f>
        <v>187</v>
      </c>
      <c r="AG963" s="57" t="n">
        <f aca="false">IF(BT963=1,0,ROUNDUP(AF963/BS963,0))</f>
        <v>1</v>
      </c>
      <c r="AH963" s="59" t="n">
        <f aca="false">IF(CH963&gt;0,CH963*MAX(1,AF963/X963),IF(BT963=1,IF(AF963&lt;=0,0,BW963*MAX(1,IF(H963&gt;0,AF963/H963,1))),IF(R963&gt;0,AG963/R963,0))/MAX(0.1,N(Parameter!$M$21)))</f>
        <v>0.0384615384615385</v>
      </c>
      <c r="AI963" s="57" t="n">
        <f aca="false">AF963*G963</f>
        <v>228.14</v>
      </c>
      <c r="AJ963" s="57" t="n">
        <f aca="false">ROUNDUP(MAX(J963/IF(BZ963&gt;0,BZ963,MAX(0.1,N(Cockpit!$C$6))),CC963)/BS963,0)*BS963</f>
        <v>621</v>
      </c>
      <c r="AK963" s="58" t="n">
        <f aca="false">IF(AH963&gt;0,J963/AH963,-1)</f>
        <v>10972</v>
      </c>
      <c r="AL963" s="58" t="n">
        <f aca="false">IF(AND(OR(BY963="L1",BY963="L23"),AH963&gt;0),SUMIFS($AH$7:$AH$1843,$BY$7:$BY$1843,BY963,$AK$7:$AK$1843,"&gt;"&amp;AK963)+SUMIFS($AH$7:$AH$1843,$BY$7:$BY$1843,BY963,$AK$7:$AK$1843,AK963,$BQ$7:$BQ$1843,"&lt;="&amp;BQ963),"")</f>
        <v>5.03941589811155</v>
      </c>
      <c r="AM963" s="65" t="n">
        <f aca="false">IF(AL963="",0,MAX(0,MIN(1,(IF(BY963="L1",Parameter!$E$5,Parameter!$E$6+Parameter!$E$7)-(AL963-AH963))/AH963)))</f>
        <v>1</v>
      </c>
      <c r="AN963" s="57" t="n">
        <f aca="false">IF(LEFT(Cockpit!$I$5,1)="A",H963,IF(CA963=1,CB963,IF(LEFT(Cockpit!$I$5,1)="B",AR963,MAX(AR963,H963))))</f>
        <v>621</v>
      </c>
      <c r="AO963" s="57" t="n">
        <f aca="false">IF(BT963=1,0,ROUNDUP(AN963/BS963,0))</f>
        <v>1</v>
      </c>
      <c r="AP963" s="59" t="n">
        <f aca="false">IF(CH963&gt;0,CH963*MAX(1,AN963/X963),IF(BT963=1,IF(AN963&lt;=0,0,BW963*MAX(1,IF(H963&gt;0,AN963/H963,1))),IF(R963&gt;0,AO963/R963,0))/MAX(0.1,N(Parameter!$M$21)))</f>
        <v>0.0384615384615385</v>
      </c>
      <c r="AQ963" s="57" t="n">
        <f aca="false">AN963*G963</f>
        <v>757.62</v>
      </c>
      <c r="AR963" s="57" t="n">
        <f aca="false">ROUNDUP(MAX(J963/IF(BZ963&gt;0,BZ963,MAX(0.1,N(Cockpit!$I$6))),CC963)/BS963,0)*BS963</f>
        <v>621</v>
      </c>
      <c r="AS963" s="58" t="n">
        <f aca="false">IF(AP963&gt;0,J963/AP963,-1)</f>
        <v>10972</v>
      </c>
      <c r="AT963" s="58" t="n">
        <f aca="false">IF(AND(OR(BY963="L1",BY963="L23"),AP963&gt;0),SUMIFS($AP$7:$AP$1843,$BY$7:$BY$1843,BY963,$AS$7:$AS$1843,"&gt;"&amp;AS963)+SUMIFS($AP$7:$AP$1843,$BY$7:$BY$1843,BY963,$AS$7:$AS$1843,AS963,$BQ$7:$BQ$1843,"&lt;="&amp;BQ963),"")</f>
        <v>6.11610249653728</v>
      </c>
      <c r="AU963" s="65" t="n">
        <f aca="false">IF(AT963="",0,MAX(0,MIN(1,(IF(BY963="L1",Parameter!$E$5,Parameter!$E$6+Parameter!$E$7)-(AT963-AP963))/AP963)))</f>
        <v>1</v>
      </c>
      <c r="AV963" s="57" t="n">
        <f aca="false">IF(LEFT(Cockpit!$O$5,1)="A",H963,IF(CA963=1,CB963,IF(LEFT(Cockpit!$O$5,1)="B",AZ963,MAX(AZ963,H963))))</f>
        <v>621</v>
      </c>
      <c r="AW963" s="57" t="n">
        <f aca="false">IF(BT963=1,0,ROUNDUP(AV963/BS963,0))</f>
        <v>1</v>
      </c>
      <c r="AX963" s="59" t="n">
        <f aca="false">IF(CH963&gt;0,CH963*MAX(1,AV963/X963),IF(BT963=1,IF(AV963&lt;=0,0,BW963*MAX(1,IF(H963&gt;0,AV963/H963,1))),IF(R963&gt;0,AW963/R963,0))/MAX(0.1,N(Parameter!$M$21)))</f>
        <v>0.0384615384615385</v>
      </c>
      <c r="AY963" s="57" t="n">
        <f aca="false">AV963*G963</f>
        <v>757.62</v>
      </c>
      <c r="AZ963" s="57" t="n">
        <f aca="false">ROUNDUP(MAX(J963/IF(BZ963&gt;0,BZ963,MAX(0.1,N(Cockpit!$O$6))),CC963)/BS963,0)*BS963</f>
        <v>621</v>
      </c>
      <c r="BA963" s="58" t="n">
        <f aca="false">IF(AX963&gt;0,J963/AX963,-1)</f>
        <v>10972</v>
      </c>
      <c r="BB963" s="58" t="n">
        <f aca="false">IF(AND(OR(BY963="L1",BY963="L23"),AX963&gt;0),SUMIFS($AX$7:$AX$1843,$BY$7:$BY$1843,BY963,$BA$7:$BA$1843,"&gt;"&amp;BA963)+SUMIFS($AX$7:$AX$1843,$BY$7:$BY$1843,BY963,$BA$7:$BA$1843,BA963,$BQ$7:$BQ$1843,"&lt;="&amp;BQ963),"")</f>
        <v>7.26645214688693</v>
      </c>
      <c r="BC963" s="65" t="n">
        <f aca="false">IF(BB963="",0,MAX(0,MIN(1,(IF(BY963="L1",Parameter!$E$5,Parameter!$E$6+Parameter!$E$7)-(BB963-AX963))/AX963)))</f>
        <v>1</v>
      </c>
      <c r="BD963" s="55" t="str">
        <f aca="false">IF(AH963&lt;=0,"",IF(BY963="Aussen","Aussenlager",IF(BY963="-","Nicht im Lift",IF(AM963&gt;=1,"Lift",IF(AM963&lt;=0,"Aussenlager","teilweise")))))</f>
        <v>Lift</v>
      </c>
      <c r="BE963" s="55" t="str">
        <f aca="false">IF(AP963&lt;=0,"",IF(BY963="Aussen","Aussenlager",IF(BY963="-","Nicht im Lift",IF(AU963&gt;=1,"Lift",IF(AU963&lt;=0,"Aussenlager","teilweise")))))</f>
        <v>Lift</v>
      </c>
      <c r="BF963" s="55" t="str">
        <f aca="false">IF(AX963&lt;=0,"",IF(BY963="Aussen","Aussenlager",IF(BY963="-","Nicht im Lift",IF(BC963&gt;=1,"Lift",IF(BC963&lt;=0,"Aussenlager","teilweise")))))</f>
        <v>Lift</v>
      </c>
      <c r="BG963" s="55" t="str">
        <f aca="false">IF(A963="","",IF(BP963=1,"Neu; ","")&amp;IF(AND(BP963=0,BK963&lt;0),"negativer Bestand (Export "&amp;BK963&amp;"); ","")&amp;IF(J963&lt;=0,"Kein Verbrauch; ","")&amp;IF(CH963&gt;0,"Lift "&amp;W963&amp;" lt. Liftbericht (Fach "&amp;X963&amp;" Stk); ",IF(BU963=1,"Gebinde geschätzt ("&amp;T963&amp;"); ",IF(BT963=1,"Lose – Tablare geschätzt; ","")))&amp;IF(H963&gt;AR963,"Überbestand "&amp;ROUND(H963-AR963,0)&amp;" Stk / CHF "&amp;ROUND((H963-AR963)*G963,0)&amp;"; ","")&amp;IF(AND(CA963=1,CB963&lt;CC963),"MAX &lt; MB+LG; ","")&amp;IF(AND(CG963&gt;0,CF963*10&gt;CG963),"zu hoch für Tablar; ","")&amp;IF(AND(BP963=0,OR(CA963=1,AA963&lt;&gt;"",U963&lt;&gt;"",V963&lt;&gt;"",AB963&lt;&gt;"")),"manuell übersteuert; ","")&amp;IF(AND(BT963=0,R963=0),"Gebinde unbekannt / Stellmass fehlt; ","")&amp;IF(AND(BT963=0,N(V963)&lt;=0,N(Q963)&lt;=0),"Menge pro Gebinde fehlt (Ist = 1 Gebinde); ","")&amp;BO963)</f>
        <v>negativer Bestand (Export -65); </v>
      </c>
      <c r="BH963" s="55"/>
      <c r="BI963" s="55"/>
      <c r="BJ963" s="62"/>
      <c r="BK963" s="57" t="n">
        <v>-65</v>
      </c>
      <c r="BL963" s="57" t="n">
        <v>252</v>
      </c>
      <c r="BM963" s="56" t="n">
        <v>-69.22</v>
      </c>
      <c r="BN963" s="57" t="n">
        <v>422</v>
      </c>
      <c r="BO963" s="55"/>
      <c r="BP963" s="60" t="n">
        <v>0</v>
      </c>
      <c r="BQ963" s="60" t="n">
        <v>963</v>
      </c>
      <c r="BR963" s="55" t="str">
        <f aca="false">IF(U963&lt;&gt;"",UPPER(TRIM(U963)),IF(BU963=1,UPPER(VLOOKUP(T963,Parameter!$I$27:$K$29,2,0)),IF(P963="","LOSE",P963)))</f>
        <v>S51</v>
      </c>
      <c r="BS963" s="57" t="n">
        <f aca="false">IF(BR963="LOSE",1,IF(N(V963)&gt;0,V963,IF(BU963=1,MAX(1,N(VLOOKUP(T963,Parameter!$I$27:$K$29,3,0)),H963,N(N963)),IF(N(Q963)&gt;0,Q963,MAX(1,H963)))))</f>
        <v>621</v>
      </c>
      <c r="BT963" s="60" t="n">
        <f aca="false">IF(BR963="LOSE",1,0)</f>
        <v>0</v>
      </c>
      <c r="BU963" s="60" t="n">
        <f aca="false">IF(AND(U963="",OR(P963="",P963="LOSE"),T963&lt;&gt;"",N(S963)&lt;=0,ISNUMBER(MATCH(T963,Parameter!$I$27:$I$29,0))),1,0)</f>
        <v>0</v>
      </c>
      <c r="BV963" s="55" t="str">
        <f aca="false">IF(AND(Parameter!$B$19="Ja",E963&lt;&gt;"",ISNUMBER(MATCH(E963,Parameter!$I$35:$I$52,0))),VLOOKUP(E963,Parameter!$I$35:$J$52,2,0),IFERROR(VLOOKUP(D963,Parameter!$A$35:$C$64,2,0),"Nein"))</f>
        <v>2+3</v>
      </c>
      <c r="BW963" s="59" t="n">
        <f aca="false">IF(BT963=0,0,IF(N(S963)&gt;0,S963,IFERROR(VLOOKUP(D963,Parameter!$A$35:$C$64,3,0)+0,0)))</f>
        <v>0</v>
      </c>
      <c r="BX963" s="55" t="n">
        <f aca="false">IF(AA963&lt;&gt;"",AA963,Z963)</f>
        <v>3</v>
      </c>
      <c r="BY963" s="55" t="str">
        <f aca="false">IF(BX963=1,"L1",IF(OR(BX963=2,BX963=3),"L23",IF(BX963="Aussen","Aussen","-")))</f>
        <v>L23</v>
      </c>
      <c r="BZ963" s="66" t="n">
        <f aca="false">IF(N(AB963)&gt;0,AB963,0)</f>
        <v>0</v>
      </c>
      <c r="CA963" s="60" t="n">
        <f aca="false">IF(ISNUMBER(AE963),1,0)</f>
        <v>0</v>
      </c>
      <c r="CB963" s="57" t="n">
        <f aca="false">N(AE963)</f>
        <v>0</v>
      </c>
      <c r="CC963" s="57" t="n">
        <f aca="false">N(M963)+N(N963)</f>
        <v>436</v>
      </c>
      <c r="CD963" s="57" t="n">
        <f aca="false">ROUNDUP(H963/BS963,0)</f>
        <v>1</v>
      </c>
      <c r="CE963" s="57" t="n">
        <f aca="false">ROUNDUP(CB963/BS963,0)</f>
        <v>0</v>
      </c>
      <c r="CF963" s="60" t="n">
        <f aca="false">IF(BT963=1,0,IFERROR(VLOOKUP(BR963,'Gebinde-Kategorie'!$A$5:$M$45,5,0)+0,0))</f>
        <v>11</v>
      </c>
      <c r="CG963" s="60" t="n">
        <f aca="false">IFERROR(IF(OR(BX963=1,BX963=2,BX963=3),N(INDEX(Parameter!$I$5:$I$7,BX963)),0),0)</f>
        <v>0</v>
      </c>
      <c r="CH963" s="59" t="n">
        <f aca="false">IF(AND(Parameter!$B$21="Ja",ISNUMBER(W963),N(X963)&gt;0),IFERROR(N(INDEX(Parameter!$L$5:$L$7,W963))*INDEX(Parameter!$E$5:$E$7,W963)*X963/SUMIFS($X$7:$X$1843,$W$7:$W$1843,W963),0),0)</f>
        <v>0</v>
      </c>
    </row>
    <row r="964" customFormat="false" ht="15" hidden="false" customHeight="false" outlineLevel="0" collapsed="false">
      <c r="A964" s="55" t="s">
        <v>1793</v>
      </c>
      <c r="B964" s="55" t="s">
        <v>489</v>
      </c>
      <c r="C964" s="55" t="s">
        <v>164</v>
      </c>
      <c r="D964" s="55" t="s">
        <v>184</v>
      </c>
      <c r="E964" s="55" t="s">
        <v>185</v>
      </c>
      <c r="F964" s="55" t="s">
        <v>218</v>
      </c>
      <c r="G964" s="56" t="n">
        <v>1.74</v>
      </c>
      <c r="H964" s="57" t="n">
        <f aca="false">MAX(0,IF(AND(Parameter!$B$21="Ja",ISNUMBER(Y964)),Y964,IF(Parameter!$B$20="Jahresanfang 2025 + Export",BL964+BK964,BK964)))</f>
        <v>54</v>
      </c>
      <c r="I964" s="57" t="n">
        <f aca="false">H964*G964</f>
        <v>93.96</v>
      </c>
      <c r="J964" s="57" t="n">
        <f aca="false">BN964*Parameter!$B$18</f>
        <v>272</v>
      </c>
      <c r="K964" s="58" t="n">
        <v>157</v>
      </c>
      <c r="L964" s="59" t="n">
        <v>1.73248407643312</v>
      </c>
      <c r="M964" s="57" t="n">
        <v>10</v>
      </c>
      <c r="N964" s="57" t="n">
        <v>300</v>
      </c>
      <c r="O964" s="60" t="n">
        <v>14</v>
      </c>
      <c r="P964" s="55" t="s">
        <v>476</v>
      </c>
      <c r="Q964" s="57" t="n">
        <v>486</v>
      </c>
      <c r="R964" s="60" t="n">
        <f aca="false">IF(BT964=1,0,IFERROR(VLOOKUP(BR964,'Gebinde-Kategorie'!$A$5:$M$45,13,0)+0,0))</f>
        <v>66</v>
      </c>
      <c r="S964" s="61"/>
      <c r="T964" s="62"/>
      <c r="U964" s="62"/>
      <c r="V964" s="62"/>
      <c r="W964" s="55"/>
      <c r="X964" s="57"/>
      <c r="Y964" s="57"/>
      <c r="Z964" s="55" t="n">
        <f aca="false">IF(A964="","",IF(AND(Parameter!$B$21="Ja",ISNUMBER(W964)),W964,IF(BV964="2+3",IF(ISNUMBER(SEARCH("grosser Artikel",BO964)),2,IFERROR(VLOOKUP(BR964,Parameter!$F$35:$G$64,2,0),2)),IF(OR(BV964="Nein",BV964=""),"-",BV964))))</f>
        <v>3</v>
      </c>
      <c r="AA964" s="62"/>
      <c r="AB964" s="63"/>
      <c r="AC964" s="57" t="n">
        <f aca="false">AR964</f>
        <v>486</v>
      </c>
      <c r="AD964" s="57" t="n">
        <f aca="false">MAX(AR964,H964)</f>
        <v>486</v>
      </c>
      <c r="AE964" s="64"/>
      <c r="AF964" s="57" t="n">
        <f aca="false">IF(LEFT(Cockpit!$C$5,1)="A",H964,IF(CA964=1,CB964,IF(LEFT(Cockpit!$C$5,1)="B",AJ964,MAX(AJ964,H964))))</f>
        <v>54</v>
      </c>
      <c r="AG964" s="57" t="n">
        <f aca="false">IF(BT964=1,0,ROUNDUP(AF964/BS964,0))</f>
        <v>1</v>
      </c>
      <c r="AH964" s="59" t="n">
        <f aca="false">IF(CH964&gt;0,CH964*MAX(1,AF964/X964),IF(BT964=1,IF(AF964&lt;=0,0,BW964*MAX(1,IF(H964&gt;0,AF964/H964,1))),IF(R964&gt;0,AG964/R964,0))/MAX(0.1,N(Parameter!$M$21)))</f>
        <v>0.0151515151515152</v>
      </c>
      <c r="AI964" s="57" t="n">
        <f aca="false">AF964*G964</f>
        <v>93.96</v>
      </c>
      <c r="AJ964" s="57" t="n">
        <f aca="false">ROUNDUP(MAX(J964/IF(BZ964&gt;0,BZ964,MAX(0.1,N(Cockpit!$C$6))),CC964)/BS964,0)*BS964</f>
        <v>486</v>
      </c>
      <c r="AK964" s="58" t="n">
        <f aca="false">IF(AH964&gt;0,J964/AH964,-1)</f>
        <v>17952</v>
      </c>
      <c r="AL964" s="58" t="n">
        <f aca="false">IF(AND(OR(BY964="L1",BY964="L23"),AH964&gt;0),SUMIFS($AH$7:$AH$1843,$BY$7:$BY$1843,BY964,$AK$7:$AK$1843,"&gt;"&amp;AK964)+SUMIFS($AH$7:$AH$1843,$BY$7:$BY$1843,BY964,$AK$7:$AK$1843,AK964,$BQ$7:$BQ$1843,"&lt;="&amp;BQ964),"")</f>
        <v>3.7798131819871</v>
      </c>
      <c r="AM964" s="65" t="n">
        <f aca="false">IF(AL964="",0,MAX(0,MIN(1,(IF(BY964="L1",Parameter!$E$5,Parameter!$E$6+Parameter!$E$7)-(AL964-AH964))/AH964)))</f>
        <v>1</v>
      </c>
      <c r="AN964" s="57" t="n">
        <f aca="false">IF(LEFT(Cockpit!$I$5,1)="A",H964,IF(CA964=1,CB964,IF(LEFT(Cockpit!$I$5,1)="B",AR964,MAX(AR964,H964))))</f>
        <v>486</v>
      </c>
      <c r="AO964" s="57" t="n">
        <f aca="false">IF(BT964=1,0,ROUNDUP(AN964/BS964,0))</f>
        <v>1</v>
      </c>
      <c r="AP964" s="59" t="n">
        <f aca="false">IF(CH964&gt;0,CH964*MAX(1,AN964/X964),IF(BT964=1,IF(AN964&lt;=0,0,BW964*MAX(1,IF(H964&gt;0,AN964/H964,1))),IF(R964&gt;0,AO964/R964,0))/MAX(0.1,N(Parameter!$M$21)))</f>
        <v>0.0151515151515152</v>
      </c>
      <c r="AQ964" s="57" t="n">
        <f aca="false">AN964*G964</f>
        <v>845.64</v>
      </c>
      <c r="AR964" s="57" t="n">
        <f aca="false">ROUNDUP(MAX(J964/IF(BZ964&gt;0,BZ964,MAX(0.1,N(Cockpit!$I$6))),CC964)/BS964,0)*BS964</f>
        <v>486</v>
      </c>
      <c r="AS964" s="58" t="n">
        <f aca="false">IF(AP964&gt;0,J964/AP964,-1)</f>
        <v>17952</v>
      </c>
      <c r="AT964" s="58" t="n">
        <f aca="false">IF(AND(OR(BY964="L1",BY964="L23"),AP964&gt;0),SUMIFS($AP$7:$AP$1843,$BY$7:$BY$1843,BY964,$AS$7:$AS$1843,"&gt;"&amp;AS964)+SUMIFS($AP$7:$AP$1843,$BY$7:$BY$1843,BY964,$AS$7:$AS$1843,AS964,$BQ$7:$BQ$1843,"&lt;="&amp;BQ964),"")</f>
        <v>4.48392790784095</v>
      </c>
      <c r="AU964" s="65" t="n">
        <f aca="false">IF(AT964="",0,MAX(0,MIN(1,(IF(BY964="L1",Parameter!$E$5,Parameter!$E$6+Parameter!$E$7)-(AT964-AP964))/AP964)))</f>
        <v>1</v>
      </c>
      <c r="AV964" s="57" t="n">
        <f aca="false">IF(LEFT(Cockpit!$O$5,1)="A",H964,IF(CA964=1,CB964,IF(LEFT(Cockpit!$O$5,1)="B",AZ964,MAX(AZ964,H964))))</f>
        <v>486</v>
      </c>
      <c r="AW964" s="57" t="n">
        <f aca="false">IF(BT964=1,0,ROUNDUP(AV964/BS964,0))</f>
        <v>1</v>
      </c>
      <c r="AX964" s="59" t="n">
        <f aca="false">IF(CH964&gt;0,CH964*MAX(1,AV964/X964),IF(BT964=1,IF(AV964&lt;=0,0,BW964*MAX(1,IF(H964&gt;0,AV964/H964,1))),IF(R964&gt;0,AW964/R964,0))/MAX(0.1,N(Parameter!$M$21)))</f>
        <v>0.0151515151515152</v>
      </c>
      <c r="AY964" s="57" t="n">
        <f aca="false">AV964*G964</f>
        <v>845.64</v>
      </c>
      <c r="AZ964" s="57" t="n">
        <f aca="false">ROUNDUP(MAX(J964/IF(BZ964&gt;0,BZ964,MAX(0.1,N(Cockpit!$O$6))),CC964)/BS964,0)*BS964</f>
        <v>486</v>
      </c>
      <c r="BA964" s="58" t="n">
        <f aca="false">IF(AX964&gt;0,J964/AX964,-1)</f>
        <v>17952</v>
      </c>
      <c r="BB964" s="58" t="n">
        <f aca="false">IF(AND(OR(BY964="L1",BY964="L23"),AX964&gt;0),SUMIFS($AX$7:$AX$1843,$BY$7:$BY$1843,BY964,$BA$7:$BA$1843,"&gt;"&amp;BA964)+SUMIFS($AX$7:$AX$1843,$BY$7:$BY$1843,BY964,$BA$7:$BA$1843,BA964,$BQ$7:$BQ$1843,"&lt;="&amp;BQ964),"")</f>
        <v>4.12145704537009</v>
      </c>
      <c r="BC964" s="65" t="n">
        <f aca="false">IF(BB964="",0,MAX(0,MIN(1,(IF(BY964="L1",Parameter!$E$5,Parameter!$E$6+Parameter!$E$7)-(BB964-AX964))/AX964)))</f>
        <v>1</v>
      </c>
      <c r="BD964" s="55" t="str">
        <f aca="false">IF(AH964&lt;=0,"",IF(BY964="Aussen","Aussenlager",IF(BY964="-","Nicht im Lift",IF(AM964&gt;=1,"Lift",IF(AM964&lt;=0,"Aussenlager","teilweise")))))</f>
        <v>Lift</v>
      </c>
      <c r="BE964" s="55" t="str">
        <f aca="false">IF(AP964&lt;=0,"",IF(BY964="Aussen","Aussenlager",IF(BY964="-","Nicht im Lift",IF(AU964&gt;=1,"Lift",IF(AU964&lt;=0,"Aussenlager","teilweise")))))</f>
        <v>Lift</v>
      </c>
      <c r="BF964" s="55" t="str">
        <f aca="false">IF(AX964&lt;=0,"",IF(BY964="Aussen","Aussenlager",IF(BY964="-","Nicht im Lift",IF(BC964&gt;=1,"Lift",IF(BC964&lt;=0,"Aussenlager","teilweise")))))</f>
        <v>Lift</v>
      </c>
      <c r="BG964" s="55" t="str">
        <f aca="false">IF(A964="","",IF(BP964=1,"Neu; ","")&amp;IF(AND(BP964=0,BK964&lt;0),"negativer Bestand (Export "&amp;BK964&amp;"); ","")&amp;IF(J964&lt;=0,"Kein Verbrauch; ","")&amp;IF(CH964&gt;0,"Lift "&amp;W964&amp;" lt. Liftbericht (Fach "&amp;X964&amp;" Stk); ",IF(BU964=1,"Gebinde geschätzt ("&amp;T964&amp;"); ",IF(BT964=1,"Lose – Tablare geschätzt; ","")))&amp;IF(H964&gt;AR964,"Überbestand "&amp;ROUND(H964-AR964,0)&amp;" Stk / CHF "&amp;ROUND((H964-AR964)*G964,0)&amp;"; ","")&amp;IF(AND(CA964=1,CB964&lt;CC964),"MAX &lt; MB+LG; ","")&amp;IF(AND(CG964&gt;0,CF964*10&gt;CG964),"zu hoch für Tablar; ","")&amp;IF(AND(BP964=0,OR(CA964=1,AA964&lt;&gt;"",U964&lt;&gt;"",V964&lt;&gt;"",AB964&lt;&gt;"")),"manuell übersteuert; ","")&amp;IF(AND(BT964=0,R964=0),"Gebinde unbekannt / Stellmass fehlt; ","")&amp;IF(AND(BT964=0,N(V964)&lt;=0,N(Q964)&lt;=0),"Menge pro Gebinde fehlt (Ist = 1 Gebinde); ","")&amp;BO964)</f>
        <v>negativer Bestand (Export -39); </v>
      </c>
      <c r="BH964" s="55"/>
      <c r="BI964" s="55"/>
      <c r="BJ964" s="62"/>
      <c r="BK964" s="57" t="n">
        <v>-39</v>
      </c>
      <c r="BL964" s="57" t="n">
        <v>93</v>
      </c>
      <c r="BM964" s="56" t="n">
        <v>-69.3999999999999</v>
      </c>
      <c r="BN964" s="57" t="n">
        <v>272</v>
      </c>
      <c r="BO964" s="55"/>
      <c r="BP964" s="60" t="n">
        <v>0</v>
      </c>
      <c r="BQ964" s="60" t="n">
        <v>964</v>
      </c>
      <c r="BR964" s="55" t="str">
        <f aca="false">IF(U964&lt;&gt;"",UPPER(TRIM(U964)),IF(BU964=1,UPPER(VLOOKUP(T964,Parameter!$I$27:$K$29,2,0)),IF(P964="","LOSE",P964)))</f>
        <v>S33</v>
      </c>
      <c r="BS964" s="57" t="n">
        <f aca="false">IF(BR964="LOSE",1,IF(N(V964)&gt;0,V964,IF(BU964=1,MAX(1,N(VLOOKUP(T964,Parameter!$I$27:$K$29,3,0)),H964,N(N964)),IF(N(Q964)&gt;0,Q964,MAX(1,H964)))))</f>
        <v>486</v>
      </c>
      <c r="BT964" s="60" t="n">
        <f aca="false">IF(BR964="LOSE",1,0)</f>
        <v>0</v>
      </c>
      <c r="BU964" s="60" t="n">
        <f aca="false">IF(AND(U964="",OR(P964="",P964="LOSE"),T964&lt;&gt;"",N(S964)&lt;=0,ISNUMBER(MATCH(T964,Parameter!$I$27:$I$29,0))),1,0)</f>
        <v>0</v>
      </c>
      <c r="BV964" s="55" t="str">
        <f aca="false">IF(AND(Parameter!$B$19="Ja",E964&lt;&gt;"",ISNUMBER(MATCH(E964,Parameter!$I$35:$I$52,0))),VLOOKUP(E964,Parameter!$I$35:$J$52,2,0),IFERROR(VLOOKUP(D964,Parameter!$A$35:$C$64,2,0),"Nein"))</f>
        <v>2+3</v>
      </c>
      <c r="BW964" s="59" t="n">
        <f aca="false">IF(BT964=0,0,IF(N(S964)&gt;0,S964,IFERROR(VLOOKUP(D964,Parameter!$A$35:$C$64,3,0)+0,0)))</f>
        <v>0</v>
      </c>
      <c r="BX964" s="55" t="n">
        <f aca="false">IF(AA964&lt;&gt;"",AA964,Z964)</f>
        <v>3</v>
      </c>
      <c r="BY964" s="55" t="str">
        <f aca="false">IF(BX964=1,"L1",IF(OR(BX964=2,BX964=3),"L23",IF(BX964="Aussen","Aussen","-")))</f>
        <v>L23</v>
      </c>
      <c r="BZ964" s="66" t="n">
        <f aca="false">IF(N(AB964)&gt;0,AB964,0)</f>
        <v>0</v>
      </c>
      <c r="CA964" s="60" t="n">
        <f aca="false">IF(ISNUMBER(AE964),1,0)</f>
        <v>0</v>
      </c>
      <c r="CB964" s="57" t="n">
        <f aca="false">N(AE964)</f>
        <v>0</v>
      </c>
      <c r="CC964" s="57" t="n">
        <f aca="false">N(M964)+N(N964)</f>
        <v>310</v>
      </c>
      <c r="CD964" s="57" t="n">
        <f aca="false">ROUNDUP(H964/BS964,0)</f>
        <v>1</v>
      </c>
      <c r="CE964" s="57" t="n">
        <f aca="false">ROUNDUP(CB964/BS964,0)</f>
        <v>0</v>
      </c>
      <c r="CF964" s="60" t="n">
        <f aca="false">IF(BT964=1,0,IFERROR(VLOOKUP(BR964,'Gebinde-Kategorie'!$A$5:$M$45,5,0)+0,0))</f>
        <v>8</v>
      </c>
      <c r="CG964" s="60" t="n">
        <f aca="false">IFERROR(IF(OR(BX964=1,BX964=2,BX964=3),N(INDEX(Parameter!$I$5:$I$7,BX964)),0),0)</f>
        <v>0</v>
      </c>
      <c r="CH964" s="59" t="n">
        <f aca="false">IF(AND(Parameter!$B$21="Ja",ISNUMBER(W964),N(X964)&gt;0),IFERROR(N(INDEX(Parameter!$L$5:$L$7,W964))*INDEX(Parameter!$E$5:$E$7,W964)*X964/SUMIFS($X$7:$X$1843,$W$7:$W$1843,W964),0),0)</f>
        <v>0</v>
      </c>
    </row>
    <row r="965" customFormat="false" ht="15" hidden="false" customHeight="false" outlineLevel="0" collapsed="false">
      <c r="A965" s="55" t="s">
        <v>1794</v>
      </c>
      <c r="B965" s="55" t="s">
        <v>468</v>
      </c>
      <c r="C965" s="55" t="s">
        <v>164</v>
      </c>
      <c r="D965" s="55" t="s">
        <v>184</v>
      </c>
      <c r="E965" s="55" t="s">
        <v>185</v>
      </c>
      <c r="F965" s="55" t="s">
        <v>218</v>
      </c>
      <c r="G965" s="56" t="n">
        <v>5.06</v>
      </c>
      <c r="H965" s="57" t="n">
        <f aca="false">MAX(0,IF(AND(Parameter!$B$21="Ja",ISNUMBER(Y965)),Y965,IF(Parameter!$B$20="Jahresanfang 2025 + Export",BL965+BK965,BK965)))</f>
        <v>190</v>
      </c>
      <c r="I965" s="57" t="n">
        <f aca="false">H965*G965</f>
        <v>961.4</v>
      </c>
      <c r="J965" s="57" t="n">
        <f aca="false">BN965*Parameter!$B$18</f>
        <v>264</v>
      </c>
      <c r="K965" s="58" t="n">
        <v>130</v>
      </c>
      <c r="L965" s="59" t="n">
        <v>2.03076923076923</v>
      </c>
      <c r="M965" s="57" t="n">
        <v>10</v>
      </c>
      <c r="N965" s="57" t="n">
        <v>265</v>
      </c>
      <c r="O965" s="60" t="n">
        <v>14</v>
      </c>
      <c r="P965" s="55" t="s">
        <v>476</v>
      </c>
      <c r="Q965" s="57" t="n">
        <v>61</v>
      </c>
      <c r="R965" s="60" t="n">
        <f aca="false">IF(BT965=1,0,IFERROR(VLOOKUP(BR965,'Gebinde-Kategorie'!$A$5:$M$45,13,0)+0,0))</f>
        <v>66</v>
      </c>
      <c r="S965" s="61"/>
      <c r="T965" s="62"/>
      <c r="U965" s="62"/>
      <c r="V965" s="62"/>
      <c r="W965" s="55"/>
      <c r="X965" s="57"/>
      <c r="Y965" s="57"/>
      <c r="Z965" s="55" t="n">
        <f aca="false">IF(A965="","",IF(AND(Parameter!$B$21="Ja",ISNUMBER(W965)),W965,IF(BV965="2+3",IF(ISNUMBER(SEARCH("grosser Artikel",BO965)),2,IFERROR(VLOOKUP(BR965,Parameter!$F$35:$G$64,2,0),2)),IF(OR(BV965="Nein",BV965=""),"-",BV965))))</f>
        <v>3</v>
      </c>
      <c r="AA965" s="62"/>
      <c r="AB965" s="63"/>
      <c r="AC965" s="57" t="n">
        <f aca="false">AR965</f>
        <v>305</v>
      </c>
      <c r="AD965" s="57" t="n">
        <f aca="false">MAX(AR965,H965)</f>
        <v>305</v>
      </c>
      <c r="AE965" s="64"/>
      <c r="AF965" s="57" t="n">
        <f aca="false">IF(LEFT(Cockpit!$C$5,1)="A",H965,IF(CA965=1,CB965,IF(LEFT(Cockpit!$C$5,1)="B",AJ965,MAX(AJ965,H965))))</f>
        <v>190</v>
      </c>
      <c r="AG965" s="57" t="n">
        <f aca="false">IF(BT965=1,0,ROUNDUP(AF965/BS965,0))</f>
        <v>4</v>
      </c>
      <c r="AH965" s="59" t="n">
        <f aca="false">IF(CH965&gt;0,CH965*MAX(1,AF965/X965),IF(BT965=1,IF(AF965&lt;=0,0,BW965*MAX(1,IF(H965&gt;0,AF965/H965,1))),IF(R965&gt;0,AG965/R965,0))/MAX(0.1,N(Parameter!$M$21)))</f>
        <v>0.0606060606060606</v>
      </c>
      <c r="AI965" s="57" t="n">
        <f aca="false">AF965*G965</f>
        <v>961.4</v>
      </c>
      <c r="AJ965" s="57" t="n">
        <f aca="false">ROUNDUP(MAX(J965/IF(BZ965&gt;0,BZ965,MAX(0.1,N(Cockpit!$C$6))),CC965)/BS965,0)*BS965</f>
        <v>305</v>
      </c>
      <c r="AK965" s="58" t="n">
        <f aca="false">IF(AH965&gt;0,J965/AH965,-1)</f>
        <v>4356</v>
      </c>
      <c r="AL965" s="58" t="n">
        <f aca="false">IF(AND(OR(BY965="L1",BY965="L23"),AH965&gt;0),SUMIFS($AH$7:$AH$1843,$BY$7:$BY$1843,BY965,$AK$7:$AK$1843,"&gt;"&amp;AK965)+SUMIFS($AH$7:$AH$1843,$BY$7:$BY$1843,BY965,$AK$7:$AK$1843,AK965,$BQ$7:$BQ$1843,"&lt;="&amp;BQ965),"")</f>
        <v>8.23764399851356</v>
      </c>
      <c r="AM965" s="65" t="n">
        <f aca="false">IF(AL965="",0,MAX(0,MIN(1,(IF(BY965="L1",Parameter!$E$5,Parameter!$E$6+Parameter!$E$7)-(AL965-AH965))/AH965)))</f>
        <v>1</v>
      </c>
      <c r="AN965" s="57" t="n">
        <f aca="false">IF(LEFT(Cockpit!$I$5,1)="A",H965,IF(CA965=1,CB965,IF(LEFT(Cockpit!$I$5,1)="B",AR965,MAX(AR965,H965))))</f>
        <v>305</v>
      </c>
      <c r="AO965" s="57" t="n">
        <f aca="false">IF(BT965=1,0,ROUNDUP(AN965/BS965,0))</f>
        <v>5</v>
      </c>
      <c r="AP965" s="59" t="n">
        <f aca="false">IF(CH965&gt;0,CH965*MAX(1,AN965/X965),IF(BT965=1,IF(AN965&lt;=0,0,BW965*MAX(1,IF(H965&gt;0,AN965/H965,1))),IF(R965&gt;0,AO965/R965,0))/MAX(0.1,N(Parameter!$M$21)))</f>
        <v>0.0757575757575758</v>
      </c>
      <c r="AQ965" s="57" t="n">
        <f aca="false">AN965*G965</f>
        <v>1543.3</v>
      </c>
      <c r="AR965" s="57" t="n">
        <f aca="false">ROUNDUP(MAX(J965/IF(BZ965&gt;0,BZ965,MAX(0.1,N(Cockpit!$I$6))),CC965)/BS965,0)*BS965</f>
        <v>305</v>
      </c>
      <c r="AS965" s="58" t="n">
        <f aca="false">IF(AP965&gt;0,J965/AP965,-1)</f>
        <v>3484.8</v>
      </c>
      <c r="AT965" s="58" t="n">
        <f aca="false">IF(AND(OR(BY965="L1",BY965="L23"),AP965&gt;0),SUMIFS($AP$7:$AP$1843,$BY$7:$BY$1843,BY965,$AS$7:$AS$1843,"&gt;"&amp;AS965)+SUMIFS($AP$7:$AP$1843,$BY$7:$BY$1843,BY965,$AS$7:$AS$1843,AS965,$BQ$7:$BQ$1843,"&lt;="&amp;BQ965),"")</f>
        <v>14.1854920441877</v>
      </c>
      <c r="AU965" s="65" t="n">
        <f aca="false">IF(AT965="",0,MAX(0,MIN(1,(IF(BY965="L1",Parameter!$E$5,Parameter!$E$6+Parameter!$E$7)-(AT965-AP965))/AP965)))</f>
        <v>1</v>
      </c>
      <c r="AV965" s="57" t="n">
        <f aca="false">IF(LEFT(Cockpit!$O$5,1)="A",H965,IF(CA965=1,CB965,IF(LEFT(Cockpit!$O$5,1)="B",AZ965,MAX(AZ965,H965))))</f>
        <v>305</v>
      </c>
      <c r="AW965" s="57" t="n">
        <f aca="false">IF(BT965=1,0,ROUNDUP(AV965/BS965,0))</f>
        <v>5</v>
      </c>
      <c r="AX965" s="59" t="n">
        <f aca="false">IF(CH965&gt;0,CH965*MAX(1,AV965/X965),IF(BT965=1,IF(AV965&lt;=0,0,BW965*MAX(1,IF(H965&gt;0,AV965/H965,1))),IF(R965&gt;0,AW965/R965,0))/MAX(0.1,N(Parameter!$M$21)))</f>
        <v>0.0757575757575758</v>
      </c>
      <c r="AY965" s="57" t="n">
        <f aca="false">AV965*G965</f>
        <v>1543.3</v>
      </c>
      <c r="AZ965" s="57" t="n">
        <f aca="false">ROUNDUP(MAX(J965/IF(BZ965&gt;0,BZ965,MAX(0.1,N(Cockpit!$O$6))),CC965)/BS965,0)*BS965</f>
        <v>305</v>
      </c>
      <c r="BA965" s="58" t="n">
        <f aca="false">IF(AX965&gt;0,J965/AX965,-1)</f>
        <v>3484.8</v>
      </c>
      <c r="BB965" s="58" t="n">
        <f aca="false">IF(AND(OR(BY965="L1",BY965="L23"),AX965&gt;0),SUMIFS($AX$7:$AX$1843,$BY$7:$BY$1843,BY965,$BA$7:$BA$1843,"&gt;"&amp;BA965)+SUMIFS($AX$7:$AX$1843,$BY$7:$BY$1843,BY965,$BA$7:$BA$1843,BA965,$BQ$7:$BQ$1843,"&lt;="&amp;BQ965),"")</f>
        <v>12.752508361204</v>
      </c>
      <c r="BC965" s="65" t="n">
        <f aca="false">IF(BB965="",0,MAX(0,MIN(1,(IF(BY965="L1",Parameter!$E$5,Parameter!$E$6+Parameter!$E$7)-(BB965-AX965))/AX965)))</f>
        <v>1</v>
      </c>
      <c r="BD965" s="55" t="str">
        <f aca="false">IF(AH965&lt;=0,"",IF(BY965="Aussen","Aussenlager",IF(BY965="-","Nicht im Lift",IF(AM965&gt;=1,"Lift",IF(AM965&lt;=0,"Aussenlager","teilweise")))))</f>
        <v>Lift</v>
      </c>
      <c r="BE965" s="55" t="str">
        <f aca="false">IF(AP965&lt;=0,"",IF(BY965="Aussen","Aussenlager",IF(BY965="-","Nicht im Lift",IF(AU965&gt;=1,"Lift",IF(AU965&lt;=0,"Aussenlager","teilweise")))))</f>
        <v>Lift</v>
      </c>
      <c r="BF965" s="55" t="str">
        <f aca="false">IF(AX965&lt;=0,"",IF(BY965="Aussen","Aussenlager",IF(BY965="-","Nicht im Lift",IF(BC965&gt;=1,"Lift",IF(BC965&lt;=0,"Aussenlager","teilweise")))))</f>
        <v>Lift</v>
      </c>
      <c r="BG965" s="55" t="str">
        <f aca="false">IF(A965="","",IF(BP965=1,"Neu; ","")&amp;IF(AND(BP965=0,BK965&lt;0),"negativer Bestand (Export "&amp;BK965&amp;"); ","")&amp;IF(J965&lt;=0,"Kein Verbrauch; ","")&amp;IF(CH965&gt;0,"Lift "&amp;W965&amp;" lt. Liftbericht (Fach "&amp;X965&amp;" Stk); ",IF(BU965=1,"Gebinde geschätzt ("&amp;T965&amp;"); ",IF(BT965=1,"Lose – Tablare geschätzt; ","")))&amp;IF(H965&gt;AR965,"Überbestand "&amp;ROUND(H965-AR965,0)&amp;" Stk / CHF "&amp;ROUND((H965-AR965)*G965,0)&amp;"; ","")&amp;IF(AND(CA965=1,CB965&lt;CC965),"MAX &lt; MB+LG; ","")&amp;IF(AND(CG965&gt;0,CF965*10&gt;CG965),"zu hoch für Tablar; ","")&amp;IF(AND(BP965=0,OR(CA965=1,AA965&lt;&gt;"",U965&lt;&gt;"",V965&lt;&gt;"",AB965&lt;&gt;"")),"manuell übersteuert; ","")&amp;IF(AND(BT965=0,R965=0),"Gebinde unbekannt / Stellmass fehlt; ","")&amp;IF(AND(BT965=0,N(V965)&lt;=0,N(Q965)&lt;=0),"Menge pro Gebinde fehlt (Ist = 1 Gebinde); ","")&amp;BO965)</f>
        <v/>
      </c>
      <c r="BH965" s="55"/>
      <c r="BI965" s="55"/>
      <c r="BJ965" s="62"/>
      <c r="BK965" s="57" t="n">
        <v>2</v>
      </c>
      <c r="BL965" s="57" t="n">
        <v>188</v>
      </c>
      <c r="BM965" s="56" t="n">
        <v>-69.8600000000007</v>
      </c>
      <c r="BN965" s="57" t="n">
        <v>264</v>
      </c>
      <c r="BO965" s="55"/>
      <c r="BP965" s="60" t="n">
        <v>0</v>
      </c>
      <c r="BQ965" s="60" t="n">
        <v>965</v>
      </c>
      <c r="BR965" s="55" t="str">
        <f aca="false">IF(U965&lt;&gt;"",UPPER(TRIM(U965)),IF(BU965=1,UPPER(VLOOKUP(T965,Parameter!$I$27:$K$29,2,0)),IF(P965="","LOSE",P965)))</f>
        <v>S33</v>
      </c>
      <c r="BS965" s="57" t="n">
        <f aca="false">IF(BR965="LOSE",1,IF(N(V965)&gt;0,V965,IF(BU965=1,MAX(1,N(VLOOKUP(T965,Parameter!$I$27:$K$29,3,0)),H965,N(N965)),IF(N(Q965)&gt;0,Q965,MAX(1,H965)))))</f>
        <v>61</v>
      </c>
      <c r="BT965" s="60" t="n">
        <f aca="false">IF(BR965="LOSE",1,0)</f>
        <v>0</v>
      </c>
      <c r="BU965" s="60" t="n">
        <f aca="false">IF(AND(U965="",OR(P965="",P965="LOSE"),T965&lt;&gt;"",N(S965)&lt;=0,ISNUMBER(MATCH(T965,Parameter!$I$27:$I$29,0))),1,0)</f>
        <v>0</v>
      </c>
      <c r="BV965" s="55" t="str">
        <f aca="false">IF(AND(Parameter!$B$19="Ja",E965&lt;&gt;"",ISNUMBER(MATCH(E965,Parameter!$I$35:$I$52,0))),VLOOKUP(E965,Parameter!$I$35:$J$52,2,0),IFERROR(VLOOKUP(D965,Parameter!$A$35:$C$64,2,0),"Nein"))</f>
        <v>2+3</v>
      </c>
      <c r="BW965" s="59" t="n">
        <f aca="false">IF(BT965=0,0,IF(N(S965)&gt;0,S965,IFERROR(VLOOKUP(D965,Parameter!$A$35:$C$64,3,0)+0,0)))</f>
        <v>0</v>
      </c>
      <c r="BX965" s="55" t="n">
        <f aca="false">IF(AA965&lt;&gt;"",AA965,Z965)</f>
        <v>3</v>
      </c>
      <c r="BY965" s="55" t="str">
        <f aca="false">IF(BX965=1,"L1",IF(OR(BX965=2,BX965=3),"L23",IF(BX965="Aussen","Aussen","-")))</f>
        <v>L23</v>
      </c>
      <c r="BZ965" s="66" t="n">
        <f aca="false">IF(N(AB965)&gt;0,AB965,0)</f>
        <v>0</v>
      </c>
      <c r="CA965" s="60" t="n">
        <f aca="false">IF(ISNUMBER(AE965),1,0)</f>
        <v>0</v>
      </c>
      <c r="CB965" s="57" t="n">
        <f aca="false">N(AE965)</f>
        <v>0</v>
      </c>
      <c r="CC965" s="57" t="n">
        <f aca="false">N(M965)+N(N965)</f>
        <v>275</v>
      </c>
      <c r="CD965" s="57" t="n">
        <f aca="false">ROUNDUP(H965/BS965,0)</f>
        <v>4</v>
      </c>
      <c r="CE965" s="57" t="n">
        <f aca="false">ROUNDUP(CB965/BS965,0)</f>
        <v>0</v>
      </c>
      <c r="CF965" s="60" t="n">
        <f aca="false">IF(BT965=1,0,IFERROR(VLOOKUP(BR965,'Gebinde-Kategorie'!$A$5:$M$45,5,0)+0,0))</f>
        <v>8</v>
      </c>
      <c r="CG965" s="60" t="n">
        <f aca="false">IFERROR(IF(OR(BX965=1,BX965=2,BX965=3),N(INDEX(Parameter!$I$5:$I$7,BX965)),0),0)</f>
        <v>0</v>
      </c>
      <c r="CH965" s="59" t="n">
        <f aca="false">IF(AND(Parameter!$B$21="Ja",ISNUMBER(W965),N(X965)&gt;0),IFERROR(N(INDEX(Parameter!$L$5:$L$7,W965))*INDEX(Parameter!$E$5:$E$7,W965)*X965/SUMIFS($X$7:$X$1843,$W$7:$W$1843,W965),0),0)</f>
        <v>0</v>
      </c>
    </row>
    <row r="966" customFormat="false" ht="15" hidden="false" customHeight="false" outlineLevel="0" collapsed="false">
      <c r="A966" s="55" t="s">
        <v>1795</v>
      </c>
      <c r="B966" s="55" t="s">
        <v>1796</v>
      </c>
      <c r="C966" s="55" t="s">
        <v>164</v>
      </c>
      <c r="D966" s="55" t="s">
        <v>353</v>
      </c>
      <c r="E966" s="55"/>
      <c r="F966" s="55" t="s">
        <v>218</v>
      </c>
      <c r="G966" s="56" t="n">
        <v>71.23</v>
      </c>
      <c r="H966" s="57" t="n">
        <f aca="false">MAX(0,IF(AND(Parameter!$B$21="Ja",ISNUMBER(Y966)),Y966,IF(Parameter!$B$20="Jahresanfang 2025 + Export",BL966+BK966,BK966)))</f>
        <v>0</v>
      </c>
      <c r="I966" s="57" t="n">
        <f aca="false">H966*G966</f>
        <v>0</v>
      </c>
      <c r="J966" s="57" t="n">
        <f aca="false">BN966*Parameter!$B$18</f>
        <v>0</v>
      </c>
      <c r="K966" s="58" t="n">
        <v>0.5</v>
      </c>
      <c r="L966" s="59" t="n">
        <v>0</v>
      </c>
      <c r="M966" s="57" t="n">
        <v>0</v>
      </c>
      <c r="N966" s="57" t="n">
        <v>0</v>
      </c>
      <c r="O966" s="60" t="n">
        <v>28</v>
      </c>
      <c r="P966" s="55" t="s">
        <v>168</v>
      </c>
      <c r="Q966" s="57"/>
      <c r="R966" s="60" t="n">
        <f aca="false">IF(BT966=1,0,IFERROR(VLOOKUP(BR966,'Gebinde-Kategorie'!$A$5:$M$45,13,0)+0,0))</f>
        <v>0</v>
      </c>
      <c r="S966" s="61"/>
      <c r="T966" s="62"/>
      <c r="U966" s="62"/>
      <c r="V966" s="62"/>
      <c r="W966" s="55"/>
      <c r="X966" s="57"/>
      <c r="Y966" s="57"/>
      <c r="Z966" s="55" t="str">
        <f aca="false">IF(A966="","",IF(AND(Parameter!$B$21="Ja",ISNUMBER(W966)),W966,IF(BV966="2+3",IF(ISNUMBER(SEARCH("grosser Artikel",BO966)),2,IFERROR(VLOOKUP(BR966,Parameter!$F$35:$G$64,2,0),2)),IF(OR(BV966="Nein",BV966=""),"-",BV966))))</f>
        <v>-</v>
      </c>
      <c r="AA966" s="62"/>
      <c r="AB966" s="63"/>
      <c r="AC966" s="57" t="n">
        <f aca="false">AR966</f>
        <v>0</v>
      </c>
      <c r="AD966" s="57" t="n">
        <f aca="false">MAX(AR966,H966)</f>
        <v>0</v>
      </c>
      <c r="AE966" s="64"/>
      <c r="AF966" s="57" t="n">
        <f aca="false">IF(LEFT(Cockpit!$C$5,1)="A",H966,IF(CA966=1,CB966,IF(LEFT(Cockpit!$C$5,1)="B",AJ966,MAX(AJ966,H966))))</f>
        <v>0</v>
      </c>
      <c r="AG966" s="57" t="n">
        <f aca="false">IF(BT966=1,0,ROUNDUP(AF966/BS966,0))</f>
        <v>0</v>
      </c>
      <c r="AH966" s="59" t="n">
        <f aca="false">IF(CH966&gt;0,CH966*MAX(1,AF966/X966),IF(BT966=1,IF(AF966&lt;=0,0,BW966*MAX(1,IF(H966&gt;0,AF966/H966,1))),IF(R966&gt;0,AG966/R966,0))/MAX(0.1,N(Parameter!$M$21)))</f>
        <v>0</v>
      </c>
      <c r="AI966" s="57" t="n">
        <f aca="false">AF966*G966</f>
        <v>0</v>
      </c>
      <c r="AJ966" s="57" t="n">
        <f aca="false">ROUNDUP(MAX(J966/IF(BZ966&gt;0,BZ966,MAX(0.1,N(Cockpit!$C$6))),CC966)/BS966,0)*BS966</f>
        <v>0</v>
      </c>
      <c r="AK966" s="58" t="n">
        <f aca="false">IF(AH966&gt;0,J966/AH966,-1)</f>
        <v>-1</v>
      </c>
      <c r="AL966" s="58" t="str">
        <f aca="false">IF(AND(OR(BY966="L1",BY966="L23"),AH966&gt;0),SUMIFS($AH$7:$AH$1843,$BY$7:$BY$1843,BY966,$AK$7:$AK$1843,"&gt;"&amp;AK966)+SUMIFS($AH$7:$AH$1843,$BY$7:$BY$1843,BY966,$AK$7:$AK$1843,AK966,$BQ$7:$BQ$1843,"&lt;="&amp;BQ966),"")</f>
        <v/>
      </c>
      <c r="AM966" s="65" t="n">
        <f aca="false">IF(AL966="",0,MAX(0,MIN(1,(IF(BY966="L1",Parameter!$E$5,Parameter!$E$6+Parameter!$E$7)-(AL966-AH966))/AH966)))</f>
        <v>0</v>
      </c>
      <c r="AN966" s="57" t="n">
        <f aca="false">IF(LEFT(Cockpit!$I$5,1)="A",H966,IF(CA966=1,CB966,IF(LEFT(Cockpit!$I$5,1)="B",AR966,MAX(AR966,H966))))</f>
        <v>0</v>
      </c>
      <c r="AO966" s="57" t="n">
        <f aca="false">IF(BT966=1,0,ROUNDUP(AN966/BS966,0))</f>
        <v>0</v>
      </c>
      <c r="AP966" s="59" t="n">
        <f aca="false">IF(CH966&gt;0,CH966*MAX(1,AN966/X966),IF(BT966=1,IF(AN966&lt;=0,0,BW966*MAX(1,IF(H966&gt;0,AN966/H966,1))),IF(R966&gt;0,AO966/R966,0))/MAX(0.1,N(Parameter!$M$21)))</f>
        <v>0</v>
      </c>
      <c r="AQ966" s="57" t="n">
        <f aca="false">AN966*G966</f>
        <v>0</v>
      </c>
      <c r="AR966" s="57" t="n">
        <f aca="false">ROUNDUP(MAX(J966/IF(BZ966&gt;0,BZ966,MAX(0.1,N(Cockpit!$I$6))),CC966)/BS966,0)*BS966</f>
        <v>0</v>
      </c>
      <c r="AS966" s="58" t="n">
        <f aca="false">IF(AP966&gt;0,J966/AP966,-1)</f>
        <v>-1</v>
      </c>
      <c r="AT966" s="58" t="str">
        <f aca="false">IF(AND(OR(BY966="L1",BY966="L23"),AP966&gt;0),SUMIFS($AP$7:$AP$1843,$BY$7:$BY$1843,BY966,$AS$7:$AS$1843,"&gt;"&amp;AS966)+SUMIFS($AP$7:$AP$1843,$BY$7:$BY$1843,BY966,$AS$7:$AS$1843,AS966,$BQ$7:$BQ$1843,"&lt;="&amp;BQ966),"")</f>
        <v/>
      </c>
      <c r="AU966" s="65" t="n">
        <f aca="false">IF(AT966="",0,MAX(0,MIN(1,(IF(BY966="L1",Parameter!$E$5,Parameter!$E$6+Parameter!$E$7)-(AT966-AP966))/AP966)))</f>
        <v>0</v>
      </c>
      <c r="AV966" s="57" t="n">
        <f aca="false">IF(LEFT(Cockpit!$O$5,1)="A",H966,IF(CA966=1,CB966,IF(LEFT(Cockpit!$O$5,1)="B",AZ966,MAX(AZ966,H966))))</f>
        <v>0</v>
      </c>
      <c r="AW966" s="57" t="n">
        <f aca="false">IF(BT966=1,0,ROUNDUP(AV966/BS966,0))</f>
        <v>0</v>
      </c>
      <c r="AX966" s="59" t="n">
        <f aca="false">IF(CH966&gt;0,CH966*MAX(1,AV966/X966),IF(BT966=1,IF(AV966&lt;=0,0,BW966*MAX(1,IF(H966&gt;0,AV966/H966,1))),IF(R966&gt;0,AW966/R966,0))/MAX(0.1,N(Parameter!$M$21)))</f>
        <v>0</v>
      </c>
      <c r="AY966" s="57" t="n">
        <f aca="false">AV966*G966</f>
        <v>0</v>
      </c>
      <c r="AZ966" s="57" t="n">
        <f aca="false">ROUNDUP(MAX(J966/IF(BZ966&gt;0,BZ966,MAX(0.1,N(Cockpit!$O$6))),CC966)/BS966,0)*BS966</f>
        <v>0</v>
      </c>
      <c r="BA966" s="58" t="n">
        <f aca="false">IF(AX966&gt;0,J966/AX966,-1)</f>
        <v>-1</v>
      </c>
      <c r="BB966" s="58" t="str">
        <f aca="false">IF(AND(OR(BY966="L1",BY966="L23"),AX966&gt;0),SUMIFS($AX$7:$AX$1843,$BY$7:$BY$1843,BY966,$BA$7:$BA$1843,"&gt;"&amp;BA966)+SUMIFS($AX$7:$AX$1843,$BY$7:$BY$1843,BY966,$BA$7:$BA$1843,BA966,$BQ$7:$BQ$1843,"&lt;="&amp;BQ966),"")</f>
        <v/>
      </c>
      <c r="BC966" s="65" t="n">
        <f aca="false">IF(BB966="",0,MAX(0,MIN(1,(IF(BY966="L1",Parameter!$E$5,Parameter!$E$6+Parameter!$E$7)-(BB966-AX966))/AX966)))</f>
        <v>0</v>
      </c>
      <c r="BD966" s="55" t="str">
        <f aca="false">IF(AH966&lt;=0,"",IF(BY966="Aussen","Aussenlager",IF(BY966="-","Nicht im Lift",IF(AM966&gt;=1,"Lift",IF(AM966&lt;=0,"Aussenlager","teilweise")))))</f>
        <v/>
      </c>
      <c r="BE966" s="55" t="str">
        <f aca="false">IF(AP966&lt;=0,"",IF(BY966="Aussen","Aussenlager",IF(BY966="-","Nicht im Lift",IF(AU966&gt;=1,"Lift",IF(AU966&lt;=0,"Aussenlager","teilweise")))))</f>
        <v/>
      </c>
      <c r="BF966" s="55" t="str">
        <f aca="false">IF(AX966&lt;=0,"",IF(BY966="Aussen","Aussenlager",IF(BY966="-","Nicht im Lift",IF(BC966&gt;=1,"Lift",IF(BC966&lt;=0,"Aussenlager","teilweise")))))</f>
        <v/>
      </c>
      <c r="BG966" s="55" t="str">
        <f aca="false">IF(A966="","",IF(BP966=1,"Neu; ","")&amp;IF(AND(BP966=0,BK966&lt;0),"negativer Bestand (Export "&amp;BK966&amp;"); ","")&amp;IF(J966&lt;=0,"Kein Verbrauch; ","")&amp;IF(CH966&gt;0,"Lift "&amp;W966&amp;" lt. Liftbericht (Fach "&amp;X966&amp;" Stk); ",IF(BU966=1,"Gebinde geschätzt ("&amp;T966&amp;"); ",IF(BT966=1,"Lose – Tablare geschätzt; ","")))&amp;IF(H966&gt;AR966,"Überbestand "&amp;ROUND(H966-AR966,0)&amp;" Stk / CHF "&amp;ROUND((H966-AR966)*G966,0)&amp;"; ","")&amp;IF(AND(CA966=1,CB966&lt;CC966),"MAX &lt; MB+LG; ","")&amp;IF(AND(CG966&gt;0,CF966*10&gt;CG966),"zu hoch für Tablar; ","")&amp;IF(AND(BP966=0,OR(CA966=1,AA966&lt;&gt;"",U966&lt;&gt;"",V966&lt;&gt;"",AB966&lt;&gt;"")),"manuell übersteuert; ","")&amp;IF(AND(BT966=0,R966=0),"Gebinde unbekannt / Stellmass fehlt; ","")&amp;IF(AND(BT966=0,N(V966)&lt;=0,N(Q966)&lt;=0),"Menge pro Gebinde fehlt (Ist = 1 Gebinde); ","")&amp;BO966)</f>
        <v>negativer Bestand (Export -1); Kein Verbrauch; Lose – Tablare geschätzt; </v>
      </c>
      <c r="BH966" s="55"/>
      <c r="BI966" s="55"/>
      <c r="BJ966" s="62"/>
      <c r="BK966" s="57" t="n">
        <v>-1</v>
      </c>
      <c r="BL966" s="57" t="n">
        <v>1</v>
      </c>
      <c r="BM966" s="56" t="n">
        <v>-71.23</v>
      </c>
      <c r="BN966" s="57" t="n">
        <v>0</v>
      </c>
      <c r="BO966" s="55"/>
      <c r="BP966" s="60" t="n">
        <v>0</v>
      </c>
      <c r="BQ966" s="60" t="n">
        <v>966</v>
      </c>
      <c r="BR966" s="55" t="str">
        <f aca="false">IF(U966&lt;&gt;"",UPPER(TRIM(U966)),IF(BU966=1,UPPER(VLOOKUP(T966,Parameter!$I$27:$K$29,2,0)),IF(P966="","LOSE",P966)))</f>
        <v>LOSE</v>
      </c>
      <c r="BS966" s="57" t="n">
        <f aca="false">IF(BR966="LOSE",1,IF(N(V966)&gt;0,V966,IF(BU966=1,MAX(1,N(VLOOKUP(T966,Parameter!$I$27:$K$29,3,0)),H966,N(N966)),IF(N(Q966)&gt;0,Q966,MAX(1,H966)))))</f>
        <v>1</v>
      </c>
      <c r="BT966" s="60" t="n">
        <f aca="false">IF(BR966="LOSE",1,0)</f>
        <v>1</v>
      </c>
      <c r="BU966" s="60" t="n">
        <f aca="false">IF(AND(U966="",OR(P966="",P966="LOSE"),T966&lt;&gt;"",N(S966)&lt;=0,ISNUMBER(MATCH(T966,Parameter!$I$27:$I$29,0))),1,0)</f>
        <v>0</v>
      </c>
      <c r="BV966" s="55" t="str">
        <f aca="false">IF(AND(Parameter!$B$19="Ja",E966&lt;&gt;"",ISNUMBER(MATCH(E966,Parameter!$I$35:$I$52,0))),VLOOKUP(E966,Parameter!$I$35:$J$52,2,0),IFERROR(VLOOKUP(D966,Parameter!$A$35:$C$64,2,0),"Nein"))</f>
        <v>Nein</v>
      </c>
      <c r="BW966" s="59" t="n">
        <f aca="false">IF(BT966=0,0,IF(N(S966)&gt;0,S966,IFERROR(VLOOKUP(D966,Parameter!$A$35:$C$64,3,0)+0,0)))</f>
        <v>0.15</v>
      </c>
      <c r="BX966" s="55" t="str">
        <f aca="false">IF(AA966&lt;&gt;"",AA966,Z966)</f>
        <v>-</v>
      </c>
      <c r="BY966" s="55" t="str">
        <f aca="false">IF(BX966=1,"L1",IF(OR(BX966=2,BX966=3),"L23",IF(BX966="Aussen","Aussen","-")))</f>
        <v>-</v>
      </c>
      <c r="BZ966" s="66" t="n">
        <f aca="false">IF(N(AB966)&gt;0,AB966,0)</f>
        <v>0</v>
      </c>
      <c r="CA966" s="60" t="n">
        <f aca="false">IF(ISNUMBER(AE966),1,0)</f>
        <v>0</v>
      </c>
      <c r="CB966" s="57" t="n">
        <f aca="false">N(AE966)</f>
        <v>0</v>
      </c>
      <c r="CC966" s="57" t="n">
        <f aca="false">N(M966)+N(N966)</f>
        <v>0</v>
      </c>
      <c r="CD966" s="57" t="n">
        <f aca="false">ROUNDUP(H966/BS966,0)</f>
        <v>0</v>
      </c>
      <c r="CE966" s="57" t="n">
        <f aca="false">ROUNDUP(CB966/BS966,0)</f>
        <v>0</v>
      </c>
      <c r="CF966" s="60" t="n">
        <f aca="false">IF(BT966=1,0,IFERROR(VLOOKUP(BR966,'Gebinde-Kategorie'!$A$5:$M$45,5,0)+0,0))</f>
        <v>0</v>
      </c>
      <c r="CG966" s="60" t="n">
        <f aca="false">IFERROR(IF(OR(BX966=1,BX966=2,BX966=3),N(INDEX(Parameter!$I$5:$I$7,BX966)),0),0)</f>
        <v>0</v>
      </c>
      <c r="CH966" s="59" t="n">
        <f aca="false">IF(AND(Parameter!$B$21="Ja",ISNUMBER(W966),N(X966)&gt;0),IFERROR(N(INDEX(Parameter!$L$5:$L$7,W966))*INDEX(Parameter!$E$5:$E$7,W966)*X966/SUMIFS($X$7:$X$1843,$W$7:$W$1843,W966),0),0)</f>
        <v>0</v>
      </c>
    </row>
    <row r="967" customFormat="false" ht="15" hidden="false" customHeight="false" outlineLevel="0" collapsed="false">
      <c r="A967" s="55" t="s">
        <v>1797</v>
      </c>
      <c r="B967" s="55" t="s">
        <v>1279</v>
      </c>
      <c r="C967" s="55" t="s">
        <v>164</v>
      </c>
      <c r="D967" s="55" t="s">
        <v>184</v>
      </c>
      <c r="E967" s="55" t="s">
        <v>185</v>
      </c>
      <c r="F967" s="55" t="s">
        <v>218</v>
      </c>
      <c r="G967" s="56" t="n">
        <v>2.5</v>
      </c>
      <c r="H967" s="57" t="n">
        <f aca="false">MAX(0,IF(AND(Parameter!$B$21="Ja",ISNUMBER(Y967)),Y967,IF(Parameter!$B$20="Jahresanfang 2025 + Export",BL967+BK967,BK967)))</f>
        <v>0</v>
      </c>
      <c r="I967" s="57" t="n">
        <f aca="false">H967*G967</f>
        <v>0</v>
      </c>
      <c r="J967" s="57" t="n">
        <f aca="false">BN967*Parameter!$B$18</f>
        <v>17</v>
      </c>
      <c r="K967" s="58" t="n">
        <v>26</v>
      </c>
      <c r="L967" s="59" t="n">
        <v>0.653846153846154</v>
      </c>
      <c r="M967" s="57" t="n">
        <v>0</v>
      </c>
      <c r="N967" s="57" t="n">
        <v>15</v>
      </c>
      <c r="O967" s="60" t="n">
        <v>14</v>
      </c>
      <c r="P967" s="55" t="s">
        <v>401</v>
      </c>
      <c r="Q967" s="57" t="n">
        <v>20</v>
      </c>
      <c r="R967" s="60" t="n">
        <f aca="false">IF(BT967=1,0,IFERROR(VLOOKUP(BR967,'Gebinde-Kategorie'!$A$5:$M$45,13,0)+0,0))</f>
        <v>414</v>
      </c>
      <c r="S967" s="61"/>
      <c r="T967" s="62"/>
      <c r="U967" s="62"/>
      <c r="V967" s="62"/>
      <c r="W967" s="55"/>
      <c r="X967" s="57"/>
      <c r="Y967" s="57"/>
      <c r="Z967" s="55" t="n">
        <f aca="false">IF(A967="","",IF(AND(Parameter!$B$21="Ja",ISNUMBER(W967)),W967,IF(BV967="2+3",IF(ISNUMBER(SEARCH("grosser Artikel",BO967)),2,IFERROR(VLOOKUP(BR967,Parameter!$F$35:$G$64,2,0),2)),IF(OR(BV967="Nein",BV967=""),"-",BV967))))</f>
        <v>3</v>
      </c>
      <c r="AA967" s="62"/>
      <c r="AB967" s="63"/>
      <c r="AC967" s="57" t="n">
        <f aca="false">AR967</f>
        <v>20</v>
      </c>
      <c r="AD967" s="57" t="n">
        <f aca="false">MAX(AR967,H967)</f>
        <v>20</v>
      </c>
      <c r="AE967" s="64"/>
      <c r="AF967" s="57" t="n">
        <f aca="false">IF(LEFT(Cockpit!$C$5,1)="A",H967,IF(CA967=1,CB967,IF(LEFT(Cockpit!$C$5,1)="B",AJ967,MAX(AJ967,H967))))</f>
        <v>0</v>
      </c>
      <c r="AG967" s="57" t="n">
        <f aca="false">IF(BT967=1,0,ROUNDUP(AF967/BS967,0))</f>
        <v>0</v>
      </c>
      <c r="AH967" s="59" t="n">
        <f aca="false">IF(CH967&gt;0,CH967*MAX(1,AF967/X967),IF(BT967=1,IF(AF967&lt;=0,0,BW967*MAX(1,IF(H967&gt;0,AF967/H967,1))),IF(R967&gt;0,AG967/R967,0))/MAX(0.1,N(Parameter!$M$21)))</f>
        <v>0</v>
      </c>
      <c r="AI967" s="57" t="n">
        <f aca="false">AF967*G967</f>
        <v>0</v>
      </c>
      <c r="AJ967" s="57" t="n">
        <f aca="false">ROUNDUP(MAX(J967/IF(BZ967&gt;0,BZ967,MAX(0.1,N(Cockpit!$C$6))),CC967)/BS967,0)*BS967</f>
        <v>20</v>
      </c>
      <c r="AK967" s="58" t="n">
        <f aca="false">IF(AH967&gt;0,J967/AH967,-1)</f>
        <v>-1</v>
      </c>
      <c r="AL967" s="58" t="str">
        <f aca="false">IF(AND(OR(BY967="L1",BY967="L23"),AH967&gt;0),SUMIFS($AH$7:$AH$1843,$BY$7:$BY$1843,BY967,$AK$7:$AK$1843,"&gt;"&amp;AK967)+SUMIFS($AH$7:$AH$1843,$BY$7:$BY$1843,BY967,$AK$7:$AK$1843,AK967,$BQ$7:$BQ$1843,"&lt;="&amp;BQ967),"")</f>
        <v/>
      </c>
      <c r="AM967" s="65" t="n">
        <f aca="false">IF(AL967="",0,MAX(0,MIN(1,(IF(BY967="L1",Parameter!$E$5,Parameter!$E$6+Parameter!$E$7)-(AL967-AH967))/AH967)))</f>
        <v>0</v>
      </c>
      <c r="AN967" s="57" t="n">
        <f aca="false">IF(LEFT(Cockpit!$I$5,1)="A",H967,IF(CA967=1,CB967,IF(LEFT(Cockpit!$I$5,1)="B",AR967,MAX(AR967,H967))))</f>
        <v>20</v>
      </c>
      <c r="AO967" s="57" t="n">
        <f aca="false">IF(BT967=1,0,ROUNDUP(AN967/BS967,0))</f>
        <v>1</v>
      </c>
      <c r="AP967" s="59" t="n">
        <f aca="false">IF(CH967&gt;0,CH967*MAX(1,AN967/X967),IF(BT967=1,IF(AN967&lt;=0,0,BW967*MAX(1,IF(H967&gt;0,AN967/H967,1))),IF(R967&gt;0,AO967/R967,0))/MAX(0.1,N(Parameter!$M$21)))</f>
        <v>0.00241545893719807</v>
      </c>
      <c r="AQ967" s="57" t="n">
        <f aca="false">AN967*G967</f>
        <v>50</v>
      </c>
      <c r="AR967" s="57" t="n">
        <f aca="false">ROUNDUP(MAX(J967/IF(BZ967&gt;0,BZ967,MAX(0.1,N(Cockpit!$I$6))),CC967)/BS967,0)*BS967</f>
        <v>20</v>
      </c>
      <c r="AS967" s="58" t="n">
        <f aca="false">IF(AP967&gt;0,J967/AP967,-1)</f>
        <v>7038</v>
      </c>
      <c r="AT967" s="58" t="n">
        <f aca="false">IF(AND(OR(BY967="L1",BY967="L23"),AP967&gt;0),SUMIFS($AP$7:$AP$1843,$BY$7:$BY$1843,BY967,$AS$7:$AS$1843,"&gt;"&amp;AS967)+SUMIFS($AP$7:$AP$1843,$BY$7:$BY$1843,BY967,$AS$7:$AS$1843,AS967,$BQ$7:$BQ$1843,"&lt;="&amp;BQ967),"")</f>
        <v>9.7642393838046</v>
      </c>
      <c r="AU967" s="65" t="n">
        <f aca="false">IF(AT967="",0,MAX(0,MIN(1,(IF(BY967="L1",Parameter!$E$5,Parameter!$E$6+Parameter!$E$7)-(AT967-AP967))/AP967)))</f>
        <v>1</v>
      </c>
      <c r="AV967" s="57" t="n">
        <f aca="false">IF(LEFT(Cockpit!$O$5,1)="A",H967,IF(CA967=1,CB967,IF(LEFT(Cockpit!$O$5,1)="B",AZ967,MAX(AZ967,H967))))</f>
        <v>20</v>
      </c>
      <c r="AW967" s="57" t="n">
        <f aca="false">IF(BT967=1,0,ROUNDUP(AV967/BS967,0))</f>
        <v>1</v>
      </c>
      <c r="AX967" s="59" t="n">
        <f aca="false">IF(CH967&gt;0,CH967*MAX(1,AV967/X967),IF(BT967=1,IF(AV967&lt;=0,0,BW967*MAX(1,IF(H967&gt;0,AV967/H967,1))),IF(R967&gt;0,AW967/R967,0))/MAX(0.1,N(Parameter!$M$21)))</f>
        <v>0.00241545893719807</v>
      </c>
      <c r="AY967" s="57" t="n">
        <f aca="false">AV967*G967</f>
        <v>50</v>
      </c>
      <c r="AZ967" s="57" t="n">
        <f aca="false">ROUNDUP(MAX(J967/IF(BZ967&gt;0,BZ967,MAX(0.1,N(Cockpit!$O$6))),CC967)/BS967,0)*BS967</f>
        <v>20</v>
      </c>
      <c r="BA967" s="58" t="n">
        <f aca="false">IF(AX967&gt;0,J967/AX967,-1)</f>
        <v>7038</v>
      </c>
      <c r="BB967" s="58" t="n">
        <f aca="false">IF(AND(OR(BY967="L1",BY967="L23"),AX967&gt;0),SUMIFS($AX$7:$AX$1843,$BY$7:$BY$1843,BY967,$BA$7:$BA$1843,"&gt;"&amp;BA967)+SUMIFS($AX$7:$AX$1843,$BY$7:$BY$1843,BY967,$BA$7:$BA$1843,BA967,$BQ$7:$BQ$1843,"&lt;="&amp;BQ967),"")</f>
        <v>9.16458903415425</v>
      </c>
      <c r="BC967" s="65" t="n">
        <f aca="false">IF(BB967="",0,MAX(0,MIN(1,(IF(BY967="L1",Parameter!$E$5,Parameter!$E$6+Parameter!$E$7)-(BB967-AX967))/AX967)))</f>
        <v>1</v>
      </c>
      <c r="BD967" s="55" t="str">
        <f aca="false">IF(AH967&lt;=0,"",IF(BY967="Aussen","Aussenlager",IF(BY967="-","Nicht im Lift",IF(AM967&gt;=1,"Lift",IF(AM967&lt;=0,"Aussenlager","teilweise")))))</f>
        <v/>
      </c>
      <c r="BE967" s="55" t="str">
        <f aca="false">IF(AP967&lt;=0,"",IF(BY967="Aussen","Aussenlager",IF(BY967="-","Nicht im Lift",IF(AU967&gt;=1,"Lift",IF(AU967&lt;=0,"Aussenlager","teilweise")))))</f>
        <v>Lift</v>
      </c>
      <c r="BF967" s="55" t="str">
        <f aca="false">IF(AX967&lt;=0,"",IF(BY967="Aussen","Aussenlager",IF(BY967="-","Nicht im Lift",IF(BC967&gt;=1,"Lift",IF(BC967&lt;=0,"Aussenlager","teilweise")))))</f>
        <v>Lift</v>
      </c>
      <c r="BG967" s="55" t="str">
        <f aca="false">IF(A967="","",IF(BP967=1,"Neu; ","")&amp;IF(AND(BP967=0,BK967&lt;0),"negativer Bestand (Export "&amp;BK967&amp;"); ","")&amp;IF(J967&lt;=0,"Kein Verbrauch; ","")&amp;IF(CH967&gt;0,"Lift "&amp;W967&amp;" lt. Liftbericht (Fach "&amp;X967&amp;" Stk); ",IF(BU967=1,"Gebinde geschätzt ("&amp;T967&amp;"); ",IF(BT967=1,"Lose – Tablare geschätzt; ","")))&amp;IF(H967&gt;AR967,"Überbestand "&amp;ROUND(H967-AR967,0)&amp;" Stk / CHF "&amp;ROUND((H967-AR967)*G967,0)&amp;"; ","")&amp;IF(AND(CA967=1,CB967&lt;CC967),"MAX &lt; MB+LG; ","")&amp;IF(AND(CG967&gt;0,CF967*10&gt;CG967),"zu hoch für Tablar; ","")&amp;IF(AND(BP967=0,OR(CA967=1,AA967&lt;&gt;"",U967&lt;&gt;"",V967&lt;&gt;"",AB967&lt;&gt;"")),"manuell übersteuert; ","")&amp;IF(AND(BT967=0,R967=0),"Gebinde unbekannt / Stellmass fehlt; ","")&amp;IF(AND(BT967=0,N(V967)&lt;=0,N(Q967)&lt;=0),"Menge pro Gebinde fehlt (Ist = 1 Gebinde); ","")&amp;BO967)</f>
        <v>negativer Bestand (Export -29); </v>
      </c>
      <c r="BH967" s="55"/>
      <c r="BI967" s="55"/>
      <c r="BJ967" s="62"/>
      <c r="BK967" s="57" t="n">
        <v>-29</v>
      </c>
      <c r="BL967" s="57" t="n">
        <v>29</v>
      </c>
      <c r="BM967" s="56" t="n">
        <v>-71.63</v>
      </c>
      <c r="BN967" s="57" t="n">
        <v>17</v>
      </c>
      <c r="BO967" s="55"/>
      <c r="BP967" s="60" t="n">
        <v>0</v>
      </c>
      <c r="BQ967" s="60" t="n">
        <v>967</v>
      </c>
      <c r="BR967" s="55" t="str">
        <f aca="false">IF(U967&lt;&gt;"",UPPER(TRIM(U967)),IF(BU967=1,UPPER(VLOOKUP(T967,Parameter!$I$27:$K$29,2,0)),IF(P967="","LOSE",P967)))</f>
        <v>S21</v>
      </c>
      <c r="BS967" s="57" t="n">
        <f aca="false">IF(BR967="LOSE",1,IF(N(V967)&gt;0,V967,IF(BU967=1,MAX(1,N(VLOOKUP(T967,Parameter!$I$27:$K$29,3,0)),H967,N(N967)),IF(N(Q967)&gt;0,Q967,MAX(1,H967)))))</f>
        <v>20</v>
      </c>
      <c r="BT967" s="60" t="n">
        <f aca="false">IF(BR967="LOSE",1,0)</f>
        <v>0</v>
      </c>
      <c r="BU967" s="60" t="n">
        <f aca="false">IF(AND(U967="",OR(P967="",P967="LOSE"),T967&lt;&gt;"",N(S967)&lt;=0,ISNUMBER(MATCH(T967,Parameter!$I$27:$I$29,0))),1,0)</f>
        <v>0</v>
      </c>
      <c r="BV967" s="55" t="str">
        <f aca="false">IF(AND(Parameter!$B$19="Ja",E967&lt;&gt;"",ISNUMBER(MATCH(E967,Parameter!$I$35:$I$52,0))),VLOOKUP(E967,Parameter!$I$35:$J$52,2,0),IFERROR(VLOOKUP(D967,Parameter!$A$35:$C$64,2,0),"Nein"))</f>
        <v>2+3</v>
      </c>
      <c r="BW967" s="59" t="n">
        <f aca="false">IF(BT967=0,0,IF(N(S967)&gt;0,S967,IFERROR(VLOOKUP(D967,Parameter!$A$35:$C$64,3,0)+0,0)))</f>
        <v>0</v>
      </c>
      <c r="BX967" s="55" t="n">
        <f aca="false">IF(AA967&lt;&gt;"",AA967,Z967)</f>
        <v>3</v>
      </c>
      <c r="BY967" s="55" t="str">
        <f aca="false">IF(BX967=1,"L1",IF(OR(BX967=2,BX967=3),"L23",IF(BX967="Aussen","Aussen","-")))</f>
        <v>L23</v>
      </c>
      <c r="BZ967" s="66" t="n">
        <f aca="false">IF(N(AB967)&gt;0,AB967,0)</f>
        <v>0</v>
      </c>
      <c r="CA967" s="60" t="n">
        <f aca="false">IF(ISNUMBER(AE967),1,0)</f>
        <v>0</v>
      </c>
      <c r="CB967" s="57" t="n">
        <f aca="false">N(AE967)</f>
        <v>0</v>
      </c>
      <c r="CC967" s="57" t="n">
        <f aca="false">N(M967)+N(N967)</f>
        <v>15</v>
      </c>
      <c r="CD967" s="57" t="n">
        <f aca="false">ROUNDUP(H967/BS967,0)</f>
        <v>0</v>
      </c>
      <c r="CE967" s="57" t="n">
        <f aca="false">ROUNDUP(CB967/BS967,0)</f>
        <v>0</v>
      </c>
      <c r="CF967" s="60" t="n">
        <f aca="false">IF(BT967=1,0,IFERROR(VLOOKUP(BR967,'Gebinde-Kategorie'!$A$5:$M$45,5,0)+0,0))</f>
        <v>8</v>
      </c>
      <c r="CG967" s="60" t="n">
        <f aca="false">IFERROR(IF(OR(BX967=1,BX967=2,BX967=3),N(INDEX(Parameter!$I$5:$I$7,BX967)),0),0)</f>
        <v>0</v>
      </c>
      <c r="CH967" s="59" t="n">
        <f aca="false">IF(AND(Parameter!$B$21="Ja",ISNUMBER(W967),N(X967)&gt;0),IFERROR(N(INDEX(Parameter!$L$5:$L$7,W967))*INDEX(Parameter!$E$5:$E$7,W967)*X967/SUMIFS($X$7:$X$1843,$W$7:$W$1843,W967),0),0)</f>
        <v>0</v>
      </c>
    </row>
    <row r="968" customFormat="false" ht="15" hidden="false" customHeight="false" outlineLevel="0" collapsed="false">
      <c r="A968" s="55" t="s">
        <v>1798</v>
      </c>
      <c r="B968" s="55" t="s">
        <v>1799</v>
      </c>
      <c r="C968" s="55" t="s">
        <v>164</v>
      </c>
      <c r="D968" s="55" t="s">
        <v>184</v>
      </c>
      <c r="E968" s="55" t="s">
        <v>185</v>
      </c>
      <c r="F968" s="55" t="s">
        <v>218</v>
      </c>
      <c r="G968" s="56" t="n">
        <v>72.05</v>
      </c>
      <c r="H968" s="57" t="n">
        <f aca="false">MAX(0,IF(AND(Parameter!$B$21="Ja",ISNUMBER(Y968)),Y968,IF(Parameter!$B$20="Jahresanfang 2025 + Export",BL968+BK968,BK968)))</f>
        <v>6</v>
      </c>
      <c r="I968" s="57" t="n">
        <f aca="false">H968*G968</f>
        <v>432.3</v>
      </c>
      <c r="J968" s="57" t="n">
        <f aca="false">BN968*Parameter!$B$18</f>
        <v>1</v>
      </c>
      <c r="K968" s="58" t="n">
        <v>6</v>
      </c>
      <c r="L968" s="59" t="n">
        <v>0.166666666666667</v>
      </c>
      <c r="M968" s="57" t="n">
        <v>0</v>
      </c>
      <c r="N968" s="57" t="n">
        <v>1</v>
      </c>
      <c r="O968" s="60" t="n">
        <v>14</v>
      </c>
      <c r="P968" s="55" t="s">
        <v>233</v>
      </c>
      <c r="Q968" s="57" t="n">
        <v>12</v>
      </c>
      <c r="R968" s="60" t="n">
        <f aca="false">IF(BT968=1,0,IFERROR(VLOOKUP(BR968,'Gebinde-Kategorie'!$A$5:$M$45,13,0)+0,0))</f>
        <v>26</v>
      </c>
      <c r="S968" s="61"/>
      <c r="T968" s="62"/>
      <c r="U968" s="62"/>
      <c r="V968" s="62"/>
      <c r="W968" s="55"/>
      <c r="X968" s="57"/>
      <c r="Y968" s="57"/>
      <c r="Z968" s="55" t="n">
        <f aca="false">IF(A968="","",IF(AND(Parameter!$B$21="Ja",ISNUMBER(W968)),W968,IF(BV968="2+3",IF(ISNUMBER(SEARCH("grosser Artikel",BO968)),2,IFERROR(VLOOKUP(BR968,Parameter!$F$35:$G$64,2,0),2)),IF(OR(BV968="Nein",BV968=""),"-",BV968))))</f>
        <v>3</v>
      </c>
      <c r="AA968" s="62"/>
      <c r="AB968" s="63"/>
      <c r="AC968" s="57" t="n">
        <f aca="false">AR968</f>
        <v>12</v>
      </c>
      <c r="AD968" s="57" t="n">
        <f aca="false">MAX(AR968,H968)</f>
        <v>12</v>
      </c>
      <c r="AE968" s="64"/>
      <c r="AF968" s="57" t="n">
        <f aca="false">IF(LEFT(Cockpit!$C$5,1)="A",H968,IF(CA968=1,CB968,IF(LEFT(Cockpit!$C$5,1)="B",AJ968,MAX(AJ968,H968))))</f>
        <v>6</v>
      </c>
      <c r="AG968" s="57" t="n">
        <f aca="false">IF(BT968=1,0,ROUNDUP(AF968/BS968,0))</f>
        <v>1</v>
      </c>
      <c r="AH968" s="59" t="n">
        <f aca="false">IF(CH968&gt;0,CH968*MAX(1,AF968/X968),IF(BT968=1,IF(AF968&lt;=0,0,BW968*MAX(1,IF(H968&gt;0,AF968/H968,1))),IF(R968&gt;0,AG968/R968,0))/MAX(0.1,N(Parameter!$M$21)))</f>
        <v>0.0384615384615385</v>
      </c>
      <c r="AI968" s="57" t="n">
        <f aca="false">AF968*G968</f>
        <v>432.3</v>
      </c>
      <c r="AJ968" s="57" t="n">
        <f aca="false">ROUNDUP(MAX(J968/IF(BZ968&gt;0,BZ968,MAX(0.1,N(Cockpit!$C$6))),CC968)/BS968,0)*BS968</f>
        <v>12</v>
      </c>
      <c r="AK968" s="58" t="n">
        <f aca="false">IF(AH968&gt;0,J968/AH968,-1)</f>
        <v>26</v>
      </c>
      <c r="AL968" s="58" t="n">
        <f aca="false">IF(AND(OR(BY968="L1",BY968="L23"),AH968&gt;0),SUMIFS($AH$7:$AH$1843,$BY$7:$BY$1843,BY968,$AK$7:$AK$1843,"&gt;"&amp;AK968)+SUMIFS($AH$7:$AH$1843,$BY$7:$BY$1843,BY968,$AK$7:$AK$1843,AK968,$BQ$7:$BQ$1843,"&lt;="&amp;BQ968),"")</f>
        <v>48.6522837066315</v>
      </c>
      <c r="AM968" s="65" t="n">
        <f aca="false">IF(AL968="",0,MAX(0,MIN(1,(IF(BY968="L1",Parameter!$E$5,Parameter!$E$6+Parameter!$E$7)-(AL968-AH968))/AH968)))</f>
        <v>1</v>
      </c>
      <c r="AN968" s="57" t="n">
        <f aca="false">IF(LEFT(Cockpit!$I$5,1)="A",H968,IF(CA968=1,CB968,IF(LEFT(Cockpit!$I$5,1)="B",AR968,MAX(AR968,H968))))</f>
        <v>12</v>
      </c>
      <c r="AO968" s="57" t="n">
        <f aca="false">IF(BT968=1,0,ROUNDUP(AN968/BS968,0))</f>
        <v>1</v>
      </c>
      <c r="AP968" s="59" t="n">
        <f aca="false">IF(CH968&gt;0,CH968*MAX(1,AN968/X968),IF(BT968=1,IF(AN968&lt;=0,0,BW968*MAX(1,IF(H968&gt;0,AN968/H968,1))),IF(R968&gt;0,AO968/R968,0))/MAX(0.1,N(Parameter!$M$21)))</f>
        <v>0.0384615384615385</v>
      </c>
      <c r="AQ968" s="57" t="n">
        <f aca="false">AN968*G968</f>
        <v>864.6</v>
      </c>
      <c r="AR968" s="57" t="n">
        <f aca="false">ROUNDUP(MAX(J968/IF(BZ968&gt;0,BZ968,MAX(0.1,N(Cockpit!$I$6))),CC968)/BS968,0)*BS968</f>
        <v>12</v>
      </c>
      <c r="AS968" s="58" t="n">
        <f aca="false">IF(AP968&gt;0,J968/AP968,-1)</f>
        <v>26</v>
      </c>
      <c r="AT968" s="58" t="n">
        <f aca="false">IF(AND(OR(BY968="L1",BY968="L23"),AP968&gt;0),SUMIFS($AP$7:$AP$1843,$BY$7:$BY$1843,BY968,$AS$7:$AS$1843,"&gt;"&amp;AS968)+SUMIFS($AP$7:$AP$1843,$BY$7:$BY$1843,BY968,$AS$7:$AS$1843,AS968,$BQ$7:$BQ$1843,"&lt;="&amp;BQ968),"")</f>
        <v>73.8264078916253</v>
      </c>
      <c r="AU968" s="65" t="n">
        <f aca="false">IF(AT968="",0,MAX(0,MIN(1,(IF(BY968="L1",Parameter!$E$5,Parameter!$E$6+Parameter!$E$7)-(AT968-AP968))/AP968)))</f>
        <v>1</v>
      </c>
      <c r="AV968" s="57" t="n">
        <f aca="false">IF(LEFT(Cockpit!$O$5,1)="A",H968,IF(CA968=1,CB968,IF(LEFT(Cockpit!$O$5,1)="B",AZ968,MAX(AZ968,H968))))</f>
        <v>12</v>
      </c>
      <c r="AW968" s="57" t="n">
        <f aca="false">IF(BT968=1,0,ROUNDUP(AV968/BS968,0))</f>
        <v>1</v>
      </c>
      <c r="AX968" s="59" t="n">
        <f aca="false">IF(CH968&gt;0,CH968*MAX(1,AV968/X968),IF(BT968=1,IF(AV968&lt;=0,0,BW968*MAX(1,IF(H968&gt;0,AV968/H968,1))),IF(R968&gt;0,AW968/R968,0))/MAX(0.1,N(Parameter!$M$21)))</f>
        <v>0.0384615384615385</v>
      </c>
      <c r="AY968" s="57" t="n">
        <f aca="false">AV968*G968</f>
        <v>864.6</v>
      </c>
      <c r="AZ968" s="57" t="n">
        <f aca="false">ROUNDUP(MAX(J968/IF(BZ968&gt;0,BZ968,MAX(0.1,N(Cockpit!$O$6))),CC968)/BS968,0)*BS968</f>
        <v>12</v>
      </c>
      <c r="BA968" s="58" t="n">
        <f aca="false">IF(AX968&gt;0,J968/AX968,-1)</f>
        <v>26</v>
      </c>
      <c r="BB968" s="58" t="n">
        <f aca="false">IF(AND(OR(BY968="L1",BY968="L23"),AX968&gt;0),SUMIFS($AX$7:$AX$1843,$BY$7:$BY$1843,BY968,$BA$7:$BA$1843,"&gt;"&amp;BA968)+SUMIFS($AX$7:$AX$1843,$BY$7:$BY$1843,BY968,$BA$7:$BA$1843,BA968,$BQ$7:$BQ$1843,"&lt;="&amp;BQ968),"")</f>
        <v>69.3229113881288</v>
      </c>
      <c r="BC968" s="65" t="n">
        <f aca="false">IF(BB968="",0,MAX(0,MIN(1,(IF(BY968="L1",Parameter!$E$5,Parameter!$E$6+Parameter!$E$7)-(BB968-AX968))/AX968)))</f>
        <v>1</v>
      </c>
      <c r="BD968" s="55" t="str">
        <f aca="false">IF(AH968&lt;=0,"",IF(BY968="Aussen","Aussenlager",IF(BY968="-","Nicht im Lift",IF(AM968&gt;=1,"Lift",IF(AM968&lt;=0,"Aussenlager","teilweise")))))</f>
        <v>Lift</v>
      </c>
      <c r="BE968" s="55" t="str">
        <f aca="false">IF(AP968&lt;=0,"",IF(BY968="Aussen","Aussenlager",IF(BY968="-","Nicht im Lift",IF(AU968&gt;=1,"Lift",IF(AU968&lt;=0,"Aussenlager","teilweise")))))</f>
        <v>Lift</v>
      </c>
      <c r="BF968" s="55" t="str">
        <f aca="false">IF(AX968&lt;=0,"",IF(BY968="Aussen","Aussenlager",IF(BY968="-","Nicht im Lift",IF(BC968&gt;=1,"Lift",IF(BC968&lt;=0,"Aussenlager","teilweise")))))</f>
        <v>Lift</v>
      </c>
      <c r="BG968" s="55" t="str">
        <f aca="false">IF(A968="","",IF(BP968=1,"Neu; ","")&amp;IF(AND(BP968=0,BK968&lt;0),"negativer Bestand (Export "&amp;BK968&amp;"); ","")&amp;IF(J968&lt;=0,"Kein Verbrauch; ","")&amp;IF(CH968&gt;0,"Lift "&amp;W968&amp;" lt. Liftbericht (Fach "&amp;X968&amp;" Stk); ",IF(BU968=1,"Gebinde geschätzt ("&amp;T968&amp;"); ",IF(BT968=1,"Lose – Tablare geschätzt; ","")))&amp;IF(H968&gt;AR968,"Überbestand "&amp;ROUND(H968-AR968,0)&amp;" Stk / CHF "&amp;ROUND((H968-AR968)*G968,0)&amp;"; ","")&amp;IF(AND(CA968=1,CB968&lt;CC968),"MAX &lt; MB+LG; ","")&amp;IF(AND(CG968&gt;0,CF968*10&gt;CG968),"zu hoch für Tablar; ","")&amp;IF(AND(BP968=0,OR(CA968=1,AA968&lt;&gt;"",U968&lt;&gt;"",V968&lt;&gt;"",AB968&lt;&gt;"")),"manuell übersteuert; ","")&amp;IF(AND(BT968=0,R968=0),"Gebinde unbekannt / Stellmass fehlt; ","")&amp;IF(AND(BT968=0,N(V968)&lt;=0,N(Q968)&lt;=0),"Menge pro Gebinde fehlt (Ist = 1 Gebinde); ","")&amp;BO968)</f>
        <v>negativer Bestand (Export -1); </v>
      </c>
      <c r="BH968" s="55"/>
      <c r="BI968" s="55"/>
      <c r="BJ968" s="62"/>
      <c r="BK968" s="57" t="n">
        <v>-1</v>
      </c>
      <c r="BL968" s="57" t="n">
        <v>7</v>
      </c>
      <c r="BM968" s="56" t="n">
        <v>-72.05</v>
      </c>
      <c r="BN968" s="57" t="n">
        <v>1</v>
      </c>
      <c r="BO968" s="55"/>
      <c r="BP968" s="60" t="n">
        <v>0</v>
      </c>
      <c r="BQ968" s="60" t="n">
        <v>968</v>
      </c>
      <c r="BR968" s="55" t="str">
        <f aca="false">IF(U968&lt;&gt;"",UPPER(TRIM(U968)),IF(BU968=1,UPPER(VLOOKUP(T968,Parameter!$I$27:$K$29,2,0)),IF(P968="","LOSE",P968)))</f>
        <v>S52</v>
      </c>
      <c r="BS968" s="57" t="n">
        <f aca="false">IF(BR968="LOSE",1,IF(N(V968)&gt;0,V968,IF(BU968=1,MAX(1,N(VLOOKUP(T968,Parameter!$I$27:$K$29,3,0)),H968,N(N968)),IF(N(Q968)&gt;0,Q968,MAX(1,H968)))))</f>
        <v>12</v>
      </c>
      <c r="BT968" s="60" t="n">
        <f aca="false">IF(BR968="LOSE",1,0)</f>
        <v>0</v>
      </c>
      <c r="BU968" s="60" t="n">
        <f aca="false">IF(AND(U968="",OR(P968="",P968="LOSE"),T968&lt;&gt;"",N(S968)&lt;=0,ISNUMBER(MATCH(T968,Parameter!$I$27:$I$29,0))),1,0)</f>
        <v>0</v>
      </c>
      <c r="BV968" s="55" t="str">
        <f aca="false">IF(AND(Parameter!$B$19="Ja",E968&lt;&gt;"",ISNUMBER(MATCH(E968,Parameter!$I$35:$I$52,0))),VLOOKUP(E968,Parameter!$I$35:$J$52,2,0),IFERROR(VLOOKUP(D968,Parameter!$A$35:$C$64,2,0),"Nein"))</f>
        <v>2+3</v>
      </c>
      <c r="BW968" s="59" t="n">
        <f aca="false">IF(BT968=0,0,IF(N(S968)&gt;0,S968,IFERROR(VLOOKUP(D968,Parameter!$A$35:$C$64,3,0)+0,0)))</f>
        <v>0</v>
      </c>
      <c r="BX968" s="55" t="n">
        <f aca="false">IF(AA968&lt;&gt;"",AA968,Z968)</f>
        <v>3</v>
      </c>
      <c r="BY968" s="55" t="str">
        <f aca="false">IF(BX968=1,"L1",IF(OR(BX968=2,BX968=3),"L23",IF(BX968="Aussen","Aussen","-")))</f>
        <v>L23</v>
      </c>
      <c r="BZ968" s="66" t="n">
        <f aca="false">IF(N(AB968)&gt;0,AB968,0)</f>
        <v>0</v>
      </c>
      <c r="CA968" s="60" t="n">
        <f aca="false">IF(ISNUMBER(AE968),1,0)</f>
        <v>0</v>
      </c>
      <c r="CB968" s="57" t="n">
        <f aca="false">N(AE968)</f>
        <v>0</v>
      </c>
      <c r="CC968" s="57" t="n">
        <f aca="false">N(M968)+N(N968)</f>
        <v>1</v>
      </c>
      <c r="CD968" s="57" t="n">
        <f aca="false">ROUNDUP(H968/BS968,0)</f>
        <v>1</v>
      </c>
      <c r="CE968" s="57" t="n">
        <f aca="false">ROUNDUP(CB968/BS968,0)</f>
        <v>0</v>
      </c>
      <c r="CF968" s="60" t="n">
        <f aca="false">IF(BT968=1,0,IFERROR(VLOOKUP(BR968,'Gebinde-Kategorie'!$A$5:$M$45,5,0)+0,0))</f>
        <v>21</v>
      </c>
      <c r="CG968" s="60" t="n">
        <f aca="false">IFERROR(IF(OR(BX968=1,BX968=2,BX968=3),N(INDEX(Parameter!$I$5:$I$7,BX968)),0),0)</f>
        <v>0</v>
      </c>
      <c r="CH968" s="59" t="n">
        <f aca="false">IF(AND(Parameter!$B$21="Ja",ISNUMBER(W968),N(X968)&gt;0),IFERROR(N(INDEX(Parameter!$L$5:$L$7,W968))*INDEX(Parameter!$E$5:$E$7,W968)*X968/SUMIFS($X$7:$X$1843,$W$7:$W$1843,W968),0),0)</f>
        <v>0</v>
      </c>
    </row>
    <row r="969" customFormat="false" ht="15" hidden="false" customHeight="false" outlineLevel="0" collapsed="false">
      <c r="A969" s="55" t="s">
        <v>1800</v>
      </c>
      <c r="B969" s="55" t="s">
        <v>635</v>
      </c>
      <c r="C969" s="55" t="s">
        <v>164</v>
      </c>
      <c r="D969" s="55" t="s">
        <v>173</v>
      </c>
      <c r="E969" s="55"/>
      <c r="F969" s="55" t="s">
        <v>218</v>
      </c>
      <c r="G969" s="56" t="n">
        <v>36.14</v>
      </c>
      <c r="H969" s="57" t="n">
        <f aca="false">MAX(0,IF(AND(Parameter!$B$21="Ja",ISNUMBER(Y969)),Y969,IF(Parameter!$B$20="Jahresanfang 2025 + Export",BL969+BK969,BK969)))</f>
        <v>17</v>
      </c>
      <c r="I969" s="57" t="n">
        <f aca="false">H969*G969</f>
        <v>614.38</v>
      </c>
      <c r="J969" s="57" t="n">
        <f aca="false">BN969*Parameter!$B$18</f>
        <v>2</v>
      </c>
      <c r="K969" s="58" t="n">
        <v>18</v>
      </c>
      <c r="L969" s="59" t="n">
        <v>0.111111111111111</v>
      </c>
      <c r="M969" s="57" t="n">
        <v>10</v>
      </c>
      <c r="N969" s="57" t="n">
        <v>1</v>
      </c>
      <c r="O969" s="60" t="n">
        <v>28</v>
      </c>
      <c r="P969" s="55" t="s">
        <v>168</v>
      </c>
      <c r="Q969" s="57"/>
      <c r="R969" s="60" t="n">
        <f aca="false">IF(BT969=1,0,IFERROR(VLOOKUP(BR969,'Gebinde-Kategorie'!$A$5:$M$45,13,0)+0,0))</f>
        <v>12</v>
      </c>
      <c r="S969" s="61"/>
      <c r="T969" s="62" t="s">
        <v>179</v>
      </c>
      <c r="U969" s="62"/>
      <c r="V969" s="62"/>
      <c r="W969" s="55"/>
      <c r="X969" s="57"/>
      <c r="Y969" s="57"/>
      <c r="Z969" s="55" t="n">
        <f aca="false">IF(A969="","",IF(AND(Parameter!$B$21="Ja",ISNUMBER(W969)),W969,IF(BV969="2+3",IF(ISNUMBER(SEARCH("grosser Artikel",BO969)),2,IFERROR(VLOOKUP(BR969,Parameter!$F$35:$G$64,2,0),2)),IF(OR(BV969="Nein",BV969=""),"-",BV969))))</f>
        <v>2</v>
      </c>
      <c r="AA969" s="62"/>
      <c r="AB969" s="63"/>
      <c r="AC969" s="57" t="n">
        <f aca="false">AR969</f>
        <v>17</v>
      </c>
      <c r="AD969" s="57" t="n">
        <f aca="false">MAX(AR969,H969)</f>
        <v>17</v>
      </c>
      <c r="AE969" s="64"/>
      <c r="AF969" s="57" t="n">
        <f aca="false">IF(LEFT(Cockpit!$C$5,1)="A",H969,IF(CA969=1,CB969,IF(LEFT(Cockpit!$C$5,1)="B",AJ969,MAX(AJ969,H969))))</f>
        <v>17</v>
      </c>
      <c r="AG969" s="57" t="n">
        <f aca="false">IF(BT969=1,0,ROUNDUP(AF969/BS969,0))</f>
        <v>1</v>
      </c>
      <c r="AH969" s="59" t="n">
        <f aca="false">IF(CH969&gt;0,CH969*MAX(1,AF969/X969),IF(BT969=1,IF(AF969&lt;=0,0,BW969*MAX(1,IF(H969&gt;0,AF969/H969,1))),IF(R969&gt;0,AG969/R969,0))/MAX(0.1,N(Parameter!$M$21)))</f>
        <v>0.0833333333333333</v>
      </c>
      <c r="AI969" s="57" t="n">
        <f aca="false">AF969*G969</f>
        <v>614.38</v>
      </c>
      <c r="AJ969" s="57" t="n">
        <f aca="false">ROUNDUP(MAX(J969/IF(BZ969&gt;0,BZ969,MAX(0.1,N(Cockpit!$C$6))),CC969)/BS969,0)*BS969</f>
        <v>17</v>
      </c>
      <c r="AK969" s="58" t="n">
        <f aca="false">IF(AH969&gt;0,J969/AH969,-1)</f>
        <v>24</v>
      </c>
      <c r="AL969" s="58" t="n">
        <f aca="false">IF(AND(OR(BY969="L1",BY969="L23"),AH969&gt;0),SUMIFS($AH$7:$AH$1843,$BY$7:$BY$1843,BY969,$AK$7:$AK$1843,"&gt;"&amp;AK969)+SUMIFS($AH$7:$AH$1843,$BY$7:$BY$1843,BY969,$AK$7:$AK$1843,AK969,$BQ$7:$BQ$1843,"&lt;="&amp;BQ969),"")</f>
        <v>49.6715144758623</v>
      </c>
      <c r="AM969" s="65" t="n">
        <f aca="false">IF(AL969="",0,MAX(0,MIN(1,(IF(BY969="L1",Parameter!$E$5,Parameter!$E$6+Parameter!$E$7)-(AL969-AH969))/AH969)))</f>
        <v>1</v>
      </c>
      <c r="AN969" s="57" t="n">
        <f aca="false">IF(LEFT(Cockpit!$I$5,1)="A",H969,IF(CA969=1,CB969,IF(LEFT(Cockpit!$I$5,1)="B",AR969,MAX(AR969,H969))))</f>
        <v>17</v>
      </c>
      <c r="AO969" s="57" t="n">
        <f aca="false">IF(BT969=1,0,ROUNDUP(AN969/BS969,0))</f>
        <v>1</v>
      </c>
      <c r="AP969" s="59" t="n">
        <f aca="false">IF(CH969&gt;0,CH969*MAX(1,AN969/X969),IF(BT969=1,IF(AN969&lt;=0,0,BW969*MAX(1,IF(H969&gt;0,AN969/H969,1))),IF(R969&gt;0,AO969/R969,0))/MAX(0.1,N(Parameter!$M$21)))</f>
        <v>0.0833333333333333</v>
      </c>
      <c r="AQ969" s="57" t="n">
        <f aca="false">AN969*G969</f>
        <v>614.38</v>
      </c>
      <c r="AR969" s="57" t="n">
        <f aca="false">ROUNDUP(MAX(J969/IF(BZ969&gt;0,BZ969,MAX(0.1,N(Cockpit!$I$6))),CC969)/BS969,0)*BS969</f>
        <v>17</v>
      </c>
      <c r="AS969" s="58" t="n">
        <f aca="false">IF(AP969&gt;0,J969/AP969,-1)</f>
        <v>24</v>
      </c>
      <c r="AT969" s="58" t="n">
        <f aca="false">IF(AND(OR(BY969="L1",BY969="L23"),AP969&gt;0),SUMIFS($AP$7:$AP$1843,$BY$7:$BY$1843,BY969,$AS$7:$AS$1843,"&gt;"&amp;AS969)+SUMIFS($AP$7:$AP$1843,$BY$7:$BY$1843,BY969,$AS$7:$AS$1843,AS969,$BQ$7:$BQ$1843,"&lt;="&amp;BQ969),"")</f>
        <v>74.8456386608561</v>
      </c>
      <c r="AU969" s="65" t="n">
        <f aca="false">IF(AT969="",0,MAX(0,MIN(1,(IF(BY969="L1",Parameter!$E$5,Parameter!$E$6+Parameter!$E$7)-(AT969-AP969))/AP969)))</f>
        <v>1</v>
      </c>
      <c r="AV969" s="57" t="n">
        <f aca="false">IF(LEFT(Cockpit!$O$5,1)="A",H969,IF(CA969=1,CB969,IF(LEFT(Cockpit!$O$5,1)="B",AZ969,MAX(AZ969,H969))))</f>
        <v>17</v>
      </c>
      <c r="AW969" s="57" t="n">
        <f aca="false">IF(BT969=1,0,ROUNDUP(AV969/BS969,0))</f>
        <v>1</v>
      </c>
      <c r="AX969" s="59" t="n">
        <f aca="false">IF(CH969&gt;0,CH969*MAX(1,AV969/X969),IF(BT969=1,IF(AV969&lt;=0,0,BW969*MAX(1,IF(H969&gt;0,AV969/H969,1))),IF(R969&gt;0,AW969/R969,0))/MAX(0.1,N(Parameter!$M$21)))</f>
        <v>0.0833333333333333</v>
      </c>
      <c r="AY969" s="57" t="n">
        <f aca="false">AV969*G969</f>
        <v>614.38</v>
      </c>
      <c r="AZ969" s="57" t="n">
        <f aca="false">ROUNDUP(MAX(J969/IF(BZ969&gt;0,BZ969,MAX(0.1,N(Cockpit!$O$6))),CC969)/BS969,0)*BS969</f>
        <v>17</v>
      </c>
      <c r="BA969" s="58" t="n">
        <f aca="false">IF(AX969&gt;0,J969/AX969,-1)</f>
        <v>24</v>
      </c>
      <c r="BB969" s="58" t="n">
        <f aca="false">IF(AND(OR(BY969="L1",BY969="L23"),AX969&gt;0),SUMIFS($AX$7:$AX$1843,$BY$7:$BY$1843,BY969,$BA$7:$BA$1843,"&gt;"&amp;BA969)+SUMIFS($AX$7:$AX$1843,$BY$7:$BY$1843,BY969,$BA$7:$BA$1843,BA969,$BQ$7:$BQ$1843,"&lt;="&amp;BQ969),"")</f>
        <v>70.3421421573596</v>
      </c>
      <c r="BC969" s="65" t="n">
        <f aca="false">IF(BB969="",0,MAX(0,MIN(1,(IF(BY969="L1",Parameter!$E$5,Parameter!$E$6+Parameter!$E$7)-(BB969-AX969))/AX969)))</f>
        <v>1</v>
      </c>
      <c r="BD969" s="55" t="str">
        <f aca="false">IF(AH969&lt;=0,"",IF(BY969="Aussen","Aussenlager",IF(BY969="-","Nicht im Lift",IF(AM969&gt;=1,"Lift",IF(AM969&lt;=0,"Aussenlager","teilweise")))))</f>
        <v>Lift</v>
      </c>
      <c r="BE969" s="55" t="str">
        <f aca="false">IF(AP969&lt;=0,"",IF(BY969="Aussen","Aussenlager",IF(BY969="-","Nicht im Lift",IF(AU969&gt;=1,"Lift",IF(AU969&lt;=0,"Aussenlager","teilweise")))))</f>
        <v>Lift</v>
      </c>
      <c r="BF969" s="55" t="str">
        <f aca="false">IF(AX969&lt;=0,"",IF(BY969="Aussen","Aussenlager",IF(BY969="-","Nicht im Lift",IF(BC969&gt;=1,"Lift",IF(BC969&lt;=0,"Aussenlager","teilweise")))))</f>
        <v>Lift</v>
      </c>
      <c r="BG969" s="55" t="str">
        <f aca="false">IF(A969="","",IF(BP969=1,"Neu; ","")&amp;IF(AND(BP969=0,BK969&lt;0),"negativer Bestand (Export "&amp;BK969&amp;"); ","")&amp;IF(J969&lt;=0,"Kein Verbrauch; ","")&amp;IF(CH969&gt;0,"Lift "&amp;W969&amp;" lt. Liftbericht (Fach "&amp;X969&amp;" Stk); ",IF(BU969=1,"Gebinde geschätzt ("&amp;T969&amp;"); ",IF(BT969=1,"Lose – Tablare geschätzt; ","")))&amp;IF(H969&gt;AR969,"Überbestand "&amp;ROUND(H969-AR969,0)&amp;" Stk / CHF "&amp;ROUND((H969-AR969)*G969,0)&amp;"; ","")&amp;IF(AND(CA969=1,CB969&lt;CC969),"MAX &lt; MB+LG; ","")&amp;IF(AND(CG969&gt;0,CF969*10&gt;CG969),"zu hoch für Tablar; ","")&amp;IF(AND(BP969=0,OR(CA969=1,AA969&lt;&gt;"",U969&lt;&gt;"",V969&lt;&gt;"",AB969&lt;&gt;"")),"manuell übersteuert; ","")&amp;IF(AND(BT969=0,R969=0),"Gebinde unbekannt / Stellmass fehlt; ","")&amp;IF(AND(BT969=0,N(V969)&lt;=0,N(Q969)&lt;=0),"Menge pro Gebinde fehlt (Ist = 1 Gebinde); ","")&amp;BO969)</f>
        <v>negativer Bestand (Export -2); Gebinde geschätzt (Mittel); Menge pro Gebinde fehlt (Ist = 1 Gebinde); </v>
      </c>
      <c r="BH969" s="55"/>
      <c r="BI969" s="55"/>
      <c r="BJ969" s="62"/>
      <c r="BK969" s="57" t="n">
        <v>-2</v>
      </c>
      <c r="BL969" s="57" t="n">
        <v>19</v>
      </c>
      <c r="BM969" s="56" t="n">
        <v>-72.28</v>
      </c>
      <c r="BN969" s="57" t="n">
        <v>2</v>
      </c>
      <c r="BO969" s="55"/>
      <c r="BP969" s="60" t="n">
        <v>0</v>
      </c>
      <c r="BQ969" s="60" t="n">
        <v>969</v>
      </c>
      <c r="BR969" s="55" t="str">
        <f aca="false">IF(U969&lt;&gt;"",UPPER(TRIM(U969)),IF(BU969=1,UPPER(VLOOKUP(T969,Parameter!$I$27:$K$29,2,0)),IF(P969="","LOSE",P969)))</f>
        <v>S61</v>
      </c>
      <c r="BS969" s="57" t="n">
        <f aca="false">IF(BR969="LOSE",1,IF(N(V969)&gt;0,V969,IF(BU969=1,MAX(1,N(VLOOKUP(T969,Parameter!$I$27:$K$29,3,0)),H969,N(N969)),IF(N(Q969)&gt;0,Q969,MAX(1,H969)))))</f>
        <v>17</v>
      </c>
      <c r="BT969" s="60" t="n">
        <f aca="false">IF(BR969="LOSE",1,0)</f>
        <v>0</v>
      </c>
      <c r="BU969" s="60" t="n">
        <f aca="false">IF(AND(U969="",OR(P969="",P969="LOSE"),T969&lt;&gt;"",N(S969)&lt;=0,ISNUMBER(MATCH(T969,Parameter!$I$27:$I$29,0))),1,0)</f>
        <v>1</v>
      </c>
      <c r="BV969" s="55" t="str">
        <f aca="false">IF(AND(Parameter!$B$19="Ja",E969&lt;&gt;"",ISNUMBER(MATCH(E969,Parameter!$I$35:$I$52,0))),VLOOKUP(E969,Parameter!$I$35:$J$52,2,0),IFERROR(VLOOKUP(D969,Parameter!$A$35:$C$64,2,0),"Nein"))</f>
        <v>2+3</v>
      </c>
      <c r="BW969" s="59" t="n">
        <f aca="false">IF(BT969=0,0,IF(N(S969)&gt;0,S969,IFERROR(VLOOKUP(D969,Parameter!$A$35:$C$64,3,0)+0,0)))</f>
        <v>0</v>
      </c>
      <c r="BX969" s="55" t="n">
        <f aca="false">IF(AA969&lt;&gt;"",AA969,Z969)</f>
        <v>2</v>
      </c>
      <c r="BY969" s="55" t="str">
        <f aca="false">IF(BX969=1,"L1",IF(OR(BX969=2,BX969=3),"L23",IF(BX969="Aussen","Aussen","-")))</f>
        <v>L23</v>
      </c>
      <c r="BZ969" s="66" t="n">
        <f aca="false">IF(N(AB969)&gt;0,AB969,0)</f>
        <v>0</v>
      </c>
      <c r="CA969" s="60" t="n">
        <f aca="false">IF(ISNUMBER(AE969),1,0)</f>
        <v>0</v>
      </c>
      <c r="CB969" s="57" t="n">
        <f aca="false">N(AE969)</f>
        <v>0</v>
      </c>
      <c r="CC969" s="57" t="n">
        <f aca="false">N(M969)+N(N969)</f>
        <v>11</v>
      </c>
      <c r="CD969" s="57" t="n">
        <f aca="false">ROUNDUP(H969/BS969,0)</f>
        <v>1</v>
      </c>
      <c r="CE969" s="57" t="n">
        <f aca="false">ROUNDUP(CB969/BS969,0)</f>
        <v>0</v>
      </c>
      <c r="CF969" s="60" t="n">
        <f aca="false">IF(BT969=1,0,IFERROR(VLOOKUP(BR969,'Gebinde-Kategorie'!$A$5:$M$45,5,0)+0,0))</f>
        <v>11</v>
      </c>
      <c r="CG969" s="60" t="n">
        <f aca="false">IFERROR(IF(OR(BX969=1,BX969=2,BX969=3),N(INDEX(Parameter!$I$5:$I$7,BX969)),0),0)</f>
        <v>0</v>
      </c>
      <c r="CH969" s="59" t="n">
        <f aca="false">IF(AND(Parameter!$B$21="Ja",ISNUMBER(W969),N(X969)&gt;0),IFERROR(N(INDEX(Parameter!$L$5:$L$7,W969))*INDEX(Parameter!$E$5:$E$7,W969)*X969/SUMIFS($X$7:$X$1843,$W$7:$W$1843,W969),0),0)</f>
        <v>0</v>
      </c>
    </row>
    <row r="970" customFormat="false" ht="15" hidden="false" customHeight="false" outlineLevel="0" collapsed="false">
      <c r="A970" s="55" t="s">
        <v>1801</v>
      </c>
      <c r="B970" s="55" t="s">
        <v>717</v>
      </c>
      <c r="C970" s="55" t="s">
        <v>164</v>
      </c>
      <c r="D970" s="55" t="s">
        <v>173</v>
      </c>
      <c r="E970" s="55" t="s">
        <v>166</v>
      </c>
      <c r="F970" s="55" t="s">
        <v>218</v>
      </c>
      <c r="G970" s="56" t="n">
        <v>72.28</v>
      </c>
      <c r="H970" s="57" t="n">
        <f aca="false">MAX(0,IF(AND(Parameter!$B$21="Ja",ISNUMBER(Y970)),Y970,IF(Parameter!$B$20="Jahresanfang 2025 + Export",BL970+BK970,BK970)))</f>
        <v>25</v>
      </c>
      <c r="I970" s="57" t="n">
        <f aca="false">H970*G970</f>
        <v>1807</v>
      </c>
      <c r="J970" s="57" t="n">
        <f aca="false">BN970*Parameter!$B$18</f>
        <v>0</v>
      </c>
      <c r="K970" s="58" t="n">
        <v>26</v>
      </c>
      <c r="L970" s="59" t="n">
        <v>0</v>
      </c>
      <c r="M970" s="57" t="n">
        <v>0</v>
      </c>
      <c r="N970" s="57" t="n">
        <v>1</v>
      </c>
      <c r="O970" s="60" t="n">
        <v>28</v>
      </c>
      <c r="P970" s="55" t="s">
        <v>186</v>
      </c>
      <c r="Q970" s="57" t="n">
        <v>26</v>
      </c>
      <c r="R970" s="60" t="n">
        <f aca="false">IF(BT970=1,0,IFERROR(VLOOKUP(BR970,'Gebinde-Kategorie'!$A$5:$M$45,13,0)+0,0))</f>
        <v>12</v>
      </c>
      <c r="S970" s="61"/>
      <c r="T970" s="62"/>
      <c r="U970" s="62"/>
      <c r="V970" s="62"/>
      <c r="W970" s="55"/>
      <c r="X970" s="57"/>
      <c r="Y970" s="57"/>
      <c r="Z970" s="55" t="n">
        <f aca="false">IF(A970="","",IF(AND(Parameter!$B$21="Ja",ISNUMBER(W970)),W970,IF(BV970="2+3",IF(ISNUMBER(SEARCH("grosser Artikel",BO970)),2,IFERROR(VLOOKUP(BR970,Parameter!$F$35:$G$64,2,0),2)),IF(OR(BV970="Nein",BV970=""),"-",BV970))))</f>
        <v>1</v>
      </c>
      <c r="AA970" s="62"/>
      <c r="AB970" s="63"/>
      <c r="AC970" s="57" t="n">
        <f aca="false">AR970</f>
        <v>26</v>
      </c>
      <c r="AD970" s="57" t="n">
        <f aca="false">MAX(AR970,H970)</f>
        <v>26</v>
      </c>
      <c r="AE970" s="64"/>
      <c r="AF970" s="57" t="n">
        <f aca="false">IF(LEFT(Cockpit!$C$5,1)="A",H970,IF(CA970=1,CB970,IF(LEFT(Cockpit!$C$5,1)="B",AJ970,MAX(AJ970,H970))))</f>
        <v>25</v>
      </c>
      <c r="AG970" s="57" t="n">
        <f aca="false">IF(BT970=1,0,ROUNDUP(AF970/BS970,0))</f>
        <v>1</v>
      </c>
      <c r="AH970" s="59" t="n">
        <f aca="false">IF(CH970&gt;0,CH970*MAX(1,AF970/X970),IF(BT970=1,IF(AF970&lt;=0,0,BW970*MAX(1,IF(H970&gt;0,AF970/H970,1))),IF(R970&gt;0,AG970/R970,0))/MAX(0.1,N(Parameter!$M$21)))</f>
        <v>0.0833333333333333</v>
      </c>
      <c r="AI970" s="57" t="n">
        <f aca="false">AF970*G970</f>
        <v>1807</v>
      </c>
      <c r="AJ970" s="57" t="n">
        <f aca="false">ROUNDUP(MAX(J970/IF(BZ970&gt;0,BZ970,MAX(0.1,N(Cockpit!$C$6))),CC970)/BS970,0)*BS970</f>
        <v>26</v>
      </c>
      <c r="AK970" s="58" t="n">
        <f aca="false">IF(AH970&gt;0,J970/AH970,-1)</f>
        <v>0</v>
      </c>
      <c r="AL970" s="58" t="n">
        <f aca="false">IF(AND(OR(BY970="L1",BY970="L23"),AH970&gt;0),SUMIFS($AH$7:$AH$1843,$BY$7:$BY$1843,BY970,$AK$7:$AK$1843,"&gt;"&amp;AK970)+SUMIFS($AH$7:$AH$1843,$BY$7:$BY$1843,BY970,$AK$7:$AK$1843,AK970,$BQ$7:$BQ$1843,"&lt;="&amp;BQ970),"")</f>
        <v>51.6118023669608</v>
      </c>
      <c r="AM970" s="65" t="n">
        <f aca="false">IF(AL970="",0,MAX(0,MIN(1,(IF(BY970="L1",Parameter!$E$5,Parameter!$E$6+Parameter!$E$7)-(AL970-AH970))/AH970)))</f>
        <v>0</v>
      </c>
      <c r="AN970" s="57" t="n">
        <f aca="false">IF(LEFT(Cockpit!$I$5,1)="A",H970,IF(CA970=1,CB970,IF(LEFT(Cockpit!$I$5,1)="B",AR970,MAX(AR970,H970))))</f>
        <v>26</v>
      </c>
      <c r="AO970" s="57" t="n">
        <f aca="false">IF(BT970=1,0,ROUNDUP(AN970/BS970,0))</f>
        <v>1</v>
      </c>
      <c r="AP970" s="59" t="n">
        <f aca="false">IF(CH970&gt;0,CH970*MAX(1,AN970/X970),IF(BT970=1,IF(AN970&lt;=0,0,BW970*MAX(1,IF(H970&gt;0,AN970/H970,1))),IF(R970&gt;0,AO970/R970,0))/MAX(0.1,N(Parameter!$M$21)))</f>
        <v>0.0833333333333333</v>
      </c>
      <c r="AQ970" s="57" t="n">
        <f aca="false">AN970*G970</f>
        <v>1879.28</v>
      </c>
      <c r="AR970" s="57" t="n">
        <f aca="false">ROUNDUP(MAX(J970/IF(BZ970&gt;0,BZ970,MAX(0.1,N(Cockpit!$I$6))),CC970)/BS970,0)*BS970</f>
        <v>26</v>
      </c>
      <c r="AS970" s="58" t="n">
        <f aca="false">IF(AP970&gt;0,J970/AP970,-1)</f>
        <v>0</v>
      </c>
      <c r="AT970" s="58" t="n">
        <f aca="false">IF(AND(OR(BY970="L1",BY970="L23"),AP970&gt;0),SUMIFS($AP$7:$AP$1843,$BY$7:$BY$1843,BY970,$AS$7:$AS$1843,"&gt;"&amp;AS970)+SUMIFS($AP$7:$AP$1843,$BY$7:$BY$1843,BY970,$AS$7:$AS$1843,AS970,$BQ$7:$BQ$1843,"&lt;="&amp;BQ970),"")</f>
        <v>67.1246953120571</v>
      </c>
      <c r="AU970" s="65" t="n">
        <f aca="false">IF(AT970="",0,MAX(0,MIN(1,(IF(BY970="L1",Parameter!$E$5,Parameter!$E$6+Parameter!$E$7)-(AT970-AP970))/AP970)))</f>
        <v>0</v>
      </c>
      <c r="AV970" s="57" t="n">
        <f aca="false">IF(LEFT(Cockpit!$O$5,1)="A",H970,IF(CA970=1,CB970,IF(LEFT(Cockpit!$O$5,1)="B",AZ970,MAX(AZ970,H970))))</f>
        <v>26</v>
      </c>
      <c r="AW970" s="57" t="n">
        <f aca="false">IF(BT970=1,0,ROUNDUP(AV970/BS970,0))</f>
        <v>1</v>
      </c>
      <c r="AX970" s="59" t="n">
        <f aca="false">IF(CH970&gt;0,CH970*MAX(1,AV970/X970),IF(BT970=1,IF(AV970&lt;=0,0,BW970*MAX(1,IF(H970&gt;0,AV970/H970,1))),IF(R970&gt;0,AW970/R970,0))/MAX(0.1,N(Parameter!$M$21)))</f>
        <v>0.0833333333333333</v>
      </c>
      <c r="AY970" s="57" t="n">
        <f aca="false">AV970*G970</f>
        <v>1879.28</v>
      </c>
      <c r="AZ970" s="57" t="n">
        <f aca="false">ROUNDUP(MAX(J970/IF(BZ970&gt;0,BZ970,MAX(0.1,N(Cockpit!$O$6))),CC970)/BS970,0)*BS970</f>
        <v>26</v>
      </c>
      <c r="BA970" s="58" t="n">
        <f aca="false">IF(AX970&gt;0,J970/AX970,-1)</f>
        <v>0</v>
      </c>
      <c r="BB970" s="58" t="n">
        <f aca="false">IF(AND(OR(BY970="L1",BY970="L23"),AX970&gt;0),SUMIFS($AX$7:$AX$1843,$BY$7:$BY$1843,BY970,$BA$7:$BA$1843,"&gt;"&amp;BA970)+SUMIFS($AX$7:$AX$1843,$BY$7:$BY$1843,BY970,$BA$7:$BA$1843,BA970,$BQ$7:$BQ$1843,"&lt;="&amp;BQ970),"")</f>
        <v>60.7915068432755</v>
      </c>
      <c r="BC970" s="65" t="n">
        <f aca="false">IF(BB970="",0,MAX(0,MIN(1,(IF(BY970="L1",Parameter!$E$5,Parameter!$E$6+Parameter!$E$7)-(BB970-AX970))/AX970)))</f>
        <v>0</v>
      </c>
      <c r="BD970" s="55" t="str">
        <f aca="false">IF(AH970&lt;=0,"",IF(BY970="Aussen","Aussenlager",IF(BY970="-","Nicht im Lift",IF(AM970&gt;=1,"Lift",IF(AM970&lt;=0,"Aussenlager","teilweise")))))</f>
        <v>Aussenlager</v>
      </c>
      <c r="BE970" s="55" t="str">
        <f aca="false">IF(AP970&lt;=0,"",IF(BY970="Aussen","Aussenlager",IF(BY970="-","Nicht im Lift",IF(AU970&gt;=1,"Lift",IF(AU970&lt;=0,"Aussenlager","teilweise")))))</f>
        <v>Aussenlager</v>
      </c>
      <c r="BF970" s="55" t="str">
        <f aca="false">IF(AX970&lt;=0,"",IF(BY970="Aussen","Aussenlager",IF(BY970="-","Nicht im Lift",IF(BC970&gt;=1,"Lift",IF(BC970&lt;=0,"Aussenlager","teilweise")))))</f>
        <v>Aussenlager</v>
      </c>
      <c r="BG970" s="55" t="str">
        <f aca="false">IF(A970="","",IF(BP970=1,"Neu; ","")&amp;IF(AND(BP970=0,BK970&lt;0),"negativer Bestand (Export "&amp;BK970&amp;"); ","")&amp;IF(J970&lt;=0,"Kein Verbrauch; ","")&amp;IF(CH970&gt;0,"Lift "&amp;W970&amp;" lt. Liftbericht (Fach "&amp;X970&amp;" Stk); ",IF(BU970=1,"Gebinde geschätzt ("&amp;T970&amp;"); ",IF(BT970=1,"Lose – Tablare geschätzt; ","")))&amp;IF(H970&gt;AR970,"Überbestand "&amp;ROUND(H970-AR970,0)&amp;" Stk / CHF "&amp;ROUND((H970-AR970)*G970,0)&amp;"; ","")&amp;IF(AND(CA970=1,CB970&lt;CC970),"MAX &lt; MB+LG; ","")&amp;IF(AND(CG970&gt;0,CF970*10&gt;CG970),"zu hoch für Tablar; ","")&amp;IF(AND(BP970=0,OR(CA970=1,AA970&lt;&gt;"",U970&lt;&gt;"",V970&lt;&gt;"",AB970&lt;&gt;"")),"manuell übersteuert; ","")&amp;IF(AND(BT970=0,R970=0),"Gebinde unbekannt / Stellmass fehlt; ","")&amp;IF(AND(BT970=0,N(V970)&lt;=0,N(Q970)&lt;=0),"Menge pro Gebinde fehlt (Ist = 1 Gebinde); ","")&amp;BO970)</f>
        <v>negativer Bestand (Export -1); Kein Verbrauch; </v>
      </c>
      <c r="BH970" s="55"/>
      <c r="BI970" s="55"/>
      <c r="BJ970" s="62"/>
      <c r="BK970" s="57" t="n">
        <v>-1</v>
      </c>
      <c r="BL970" s="57" t="n">
        <v>26</v>
      </c>
      <c r="BM970" s="56" t="n">
        <v>-72.28</v>
      </c>
      <c r="BN970" s="57" t="n">
        <v>0</v>
      </c>
      <c r="BO970" s="55"/>
      <c r="BP970" s="60" t="n">
        <v>0</v>
      </c>
      <c r="BQ970" s="60" t="n">
        <v>970</v>
      </c>
      <c r="BR970" s="55" t="str">
        <f aca="false">IF(U970&lt;&gt;"",UPPER(TRIM(U970)),IF(BU970=1,UPPER(VLOOKUP(T970,Parameter!$I$27:$K$29,2,0)),IF(P970="","LOSE",P970)))</f>
        <v>S61</v>
      </c>
      <c r="BS970" s="57" t="n">
        <f aca="false">IF(BR970="LOSE",1,IF(N(V970)&gt;0,V970,IF(BU970=1,MAX(1,N(VLOOKUP(T970,Parameter!$I$27:$K$29,3,0)),H970,N(N970)),IF(N(Q970)&gt;0,Q970,MAX(1,H970)))))</f>
        <v>26</v>
      </c>
      <c r="BT970" s="60" t="n">
        <f aca="false">IF(BR970="LOSE",1,0)</f>
        <v>0</v>
      </c>
      <c r="BU970" s="60" t="n">
        <f aca="false">IF(AND(U970="",OR(P970="",P970="LOSE"),T970&lt;&gt;"",N(S970)&lt;=0,ISNUMBER(MATCH(T970,Parameter!$I$27:$I$29,0))),1,0)</f>
        <v>0</v>
      </c>
      <c r="BV970" s="55" t="n">
        <f aca="false">IF(AND(Parameter!$B$19="Ja",E970&lt;&gt;"",ISNUMBER(MATCH(E970,Parameter!$I$35:$I$52,0))),VLOOKUP(E970,Parameter!$I$35:$J$52,2,0),IFERROR(VLOOKUP(D970,Parameter!$A$35:$C$64,2,0),"Nein"))</f>
        <v>1</v>
      </c>
      <c r="BW970" s="59" t="n">
        <f aca="false">IF(BT970=0,0,IF(N(S970)&gt;0,S970,IFERROR(VLOOKUP(D970,Parameter!$A$35:$C$64,3,0)+0,0)))</f>
        <v>0</v>
      </c>
      <c r="BX970" s="55" t="n">
        <f aca="false">IF(AA970&lt;&gt;"",AA970,Z970)</f>
        <v>1</v>
      </c>
      <c r="BY970" s="55" t="str">
        <f aca="false">IF(BX970=1,"L1",IF(OR(BX970=2,BX970=3),"L23",IF(BX970="Aussen","Aussen","-")))</f>
        <v>L1</v>
      </c>
      <c r="BZ970" s="66" t="n">
        <f aca="false">IF(N(AB970)&gt;0,AB970,0)</f>
        <v>0</v>
      </c>
      <c r="CA970" s="60" t="n">
        <f aca="false">IF(ISNUMBER(AE970),1,0)</f>
        <v>0</v>
      </c>
      <c r="CB970" s="57" t="n">
        <f aca="false">N(AE970)</f>
        <v>0</v>
      </c>
      <c r="CC970" s="57" t="n">
        <f aca="false">N(M970)+N(N970)</f>
        <v>1</v>
      </c>
      <c r="CD970" s="57" t="n">
        <f aca="false">ROUNDUP(H970/BS970,0)</f>
        <v>1</v>
      </c>
      <c r="CE970" s="57" t="n">
        <f aca="false">ROUNDUP(CB970/BS970,0)</f>
        <v>0</v>
      </c>
      <c r="CF970" s="60" t="n">
        <f aca="false">IF(BT970=1,0,IFERROR(VLOOKUP(BR970,'Gebinde-Kategorie'!$A$5:$M$45,5,0)+0,0))</f>
        <v>11</v>
      </c>
      <c r="CG970" s="60" t="n">
        <f aca="false">IFERROR(IF(OR(BX970=1,BX970=2,BX970=3),N(INDEX(Parameter!$I$5:$I$7,BX970)),0),0)</f>
        <v>0</v>
      </c>
      <c r="CH970" s="59" t="n">
        <f aca="false">IF(AND(Parameter!$B$21="Ja",ISNUMBER(W970),N(X970)&gt;0),IFERROR(N(INDEX(Parameter!$L$5:$L$7,W970))*INDEX(Parameter!$E$5:$E$7,W970)*X970/SUMIFS($X$7:$X$1843,$W$7:$W$1843,W970),0),0)</f>
        <v>0</v>
      </c>
    </row>
    <row r="971" customFormat="false" ht="15" hidden="false" customHeight="false" outlineLevel="0" collapsed="false">
      <c r="A971" s="55" t="s">
        <v>1802</v>
      </c>
      <c r="B971" s="55" t="s">
        <v>1803</v>
      </c>
      <c r="C971" s="55" t="s">
        <v>164</v>
      </c>
      <c r="D971" s="55" t="s">
        <v>184</v>
      </c>
      <c r="E971" s="55" t="s">
        <v>185</v>
      </c>
      <c r="F971" s="55" t="s">
        <v>218</v>
      </c>
      <c r="G971" s="56" t="n">
        <v>72.69</v>
      </c>
      <c r="H971" s="57" t="n">
        <f aca="false">MAX(0,IF(AND(Parameter!$B$21="Ja",ISNUMBER(Y971)),Y971,IF(Parameter!$B$20="Jahresanfang 2025 + Export",BL971+BK971,BK971)))</f>
        <v>9</v>
      </c>
      <c r="I971" s="57" t="n">
        <f aca="false">H971*G971</f>
        <v>654.21</v>
      </c>
      <c r="J971" s="57" t="n">
        <f aca="false">BN971*Parameter!$B$18</f>
        <v>0</v>
      </c>
      <c r="K971" s="58" t="n">
        <v>9.5</v>
      </c>
      <c r="L971" s="59" t="n">
        <v>0</v>
      </c>
      <c r="M971" s="57" t="n">
        <v>0</v>
      </c>
      <c r="N971" s="57" t="n">
        <v>1</v>
      </c>
      <c r="O971" s="60" t="n">
        <v>97</v>
      </c>
      <c r="P971" s="55" t="s">
        <v>233</v>
      </c>
      <c r="Q971" s="57" t="n">
        <v>10</v>
      </c>
      <c r="R971" s="60" t="n">
        <f aca="false">IF(BT971=1,0,IFERROR(VLOOKUP(BR971,'Gebinde-Kategorie'!$A$5:$M$45,13,0)+0,0))</f>
        <v>26</v>
      </c>
      <c r="S971" s="61"/>
      <c r="T971" s="62"/>
      <c r="U971" s="62"/>
      <c r="V971" s="62"/>
      <c r="W971" s="55"/>
      <c r="X971" s="57"/>
      <c r="Y971" s="57"/>
      <c r="Z971" s="55" t="n">
        <f aca="false">IF(A971="","",IF(AND(Parameter!$B$21="Ja",ISNUMBER(W971)),W971,IF(BV971="2+3",IF(ISNUMBER(SEARCH("grosser Artikel",BO971)),2,IFERROR(VLOOKUP(BR971,Parameter!$F$35:$G$64,2,0),2)),IF(OR(BV971="Nein",BV971=""),"-",BV971))))</f>
        <v>3</v>
      </c>
      <c r="AA971" s="62"/>
      <c r="AB971" s="63"/>
      <c r="AC971" s="57" t="n">
        <f aca="false">AR971</f>
        <v>10</v>
      </c>
      <c r="AD971" s="57" t="n">
        <f aca="false">MAX(AR971,H971)</f>
        <v>10</v>
      </c>
      <c r="AE971" s="64"/>
      <c r="AF971" s="57" t="n">
        <f aca="false">IF(LEFT(Cockpit!$C$5,1)="A",H971,IF(CA971=1,CB971,IF(LEFT(Cockpit!$C$5,1)="B",AJ971,MAX(AJ971,H971))))</f>
        <v>9</v>
      </c>
      <c r="AG971" s="57" t="n">
        <f aca="false">IF(BT971=1,0,ROUNDUP(AF971/BS971,0))</f>
        <v>1</v>
      </c>
      <c r="AH971" s="59" t="n">
        <f aca="false">IF(CH971&gt;0,CH971*MAX(1,AF971/X971),IF(BT971=1,IF(AF971&lt;=0,0,BW971*MAX(1,IF(H971&gt;0,AF971/H971,1))),IF(R971&gt;0,AG971/R971,0))/MAX(0.1,N(Parameter!$M$21)))</f>
        <v>0.0384615384615385</v>
      </c>
      <c r="AI971" s="57" t="n">
        <f aca="false">AF971*G971</f>
        <v>654.21</v>
      </c>
      <c r="AJ971" s="57" t="n">
        <f aca="false">ROUNDUP(MAX(J971/IF(BZ971&gt;0,BZ971,MAX(0.1,N(Cockpit!$C$6))),CC971)/BS971,0)*BS971</f>
        <v>10</v>
      </c>
      <c r="AK971" s="58" t="n">
        <f aca="false">IF(AH971&gt;0,J971/AH971,-1)</f>
        <v>0</v>
      </c>
      <c r="AL971" s="58" t="n">
        <f aca="false">IF(AND(OR(BY971="L1",BY971="L23"),AH971&gt;0),SUMIFS($AH$7:$AH$1843,$BY$7:$BY$1843,BY971,$AK$7:$AK$1843,"&gt;"&amp;AK971)+SUMIFS($AH$7:$AH$1843,$BY$7:$BY$1843,BY971,$AK$7:$AK$1843,AK971,$BQ$7:$BQ$1843,"&lt;="&amp;BQ971),"")</f>
        <v>78.2321543191109</v>
      </c>
      <c r="AM971" s="65" t="n">
        <f aca="false">IF(AL971="",0,MAX(0,MIN(1,(IF(BY971="L1",Parameter!$E$5,Parameter!$E$6+Parameter!$E$7)-(AL971-AH971))/AH971)))</f>
        <v>1</v>
      </c>
      <c r="AN971" s="57" t="n">
        <f aca="false">IF(LEFT(Cockpit!$I$5,1)="A",H971,IF(CA971=1,CB971,IF(LEFT(Cockpit!$I$5,1)="B",AR971,MAX(AR971,H971))))</f>
        <v>10</v>
      </c>
      <c r="AO971" s="57" t="n">
        <f aca="false">IF(BT971=1,0,ROUNDUP(AN971/BS971,0))</f>
        <v>1</v>
      </c>
      <c r="AP971" s="59" t="n">
        <f aca="false">IF(CH971&gt;0,CH971*MAX(1,AN971/X971),IF(BT971=1,IF(AN971&lt;=0,0,BW971*MAX(1,IF(H971&gt;0,AN971/H971,1))),IF(R971&gt;0,AO971/R971,0))/MAX(0.1,N(Parameter!$M$21)))</f>
        <v>0.0384615384615385</v>
      </c>
      <c r="AQ971" s="57" t="n">
        <f aca="false">AN971*G971</f>
        <v>726.9</v>
      </c>
      <c r="AR971" s="57" t="n">
        <f aca="false">ROUNDUP(MAX(J971/IF(BZ971&gt;0,BZ971,MAX(0.1,N(Cockpit!$I$6))),CC971)/BS971,0)*BS971</f>
        <v>10</v>
      </c>
      <c r="AS971" s="58" t="n">
        <f aca="false">IF(AP971&gt;0,J971/AP971,-1)</f>
        <v>0</v>
      </c>
      <c r="AT971" s="58" t="n">
        <f aca="false">IF(AND(OR(BY971="L1",BY971="L23"),AP971&gt;0),SUMIFS($AP$7:$AP$1843,$BY$7:$BY$1843,BY971,$AS$7:$AS$1843,"&gt;"&amp;AS971)+SUMIFS($AP$7:$AP$1843,$BY$7:$BY$1843,BY971,$AS$7:$AS$1843,AS971,$BQ$7:$BQ$1843,"&lt;="&amp;BQ971),"")</f>
        <v>119.464722475592</v>
      </c>
      <c r="AU971" s="65" t="n">
        <f aca="false">IF(AT971="",0,MAX(0,MIN(1,(IF(BY971="L1",Parameter!$E$5,Parameter!$E$6+Parameter!$E$7)-(AT971-AP971))/AP971)))</f>
        <v>0</v>
      </c>
      <c r="AV971" s="57" t="n">
        <f aca="false">IF(LEFT(Cockpit!$O$5,1)="A",H971,IF(CA971=1,CB971,IF(LEFT(Cockpit!$O$5,1)="B",AZ971,MAX(AZ971,H971))))</f>
        <v>10</v>
      </c>
      <c r="AW971" s="57" t="n">
        <f aca="false">IF(BT971=1,0,ROUNDUP(AV971/BS971,0))</f>
        <v>1</v>
      </c>
      <c r="AX971" s="59" t="n">
        <f aca="false">IF(CH971&gt;0,CH971*MAX(1,AV971/X971),IF(BT971=1,IF(AV971&lt;=0,0,BW971*MAX(1,IF(H971&gt;0,AV971/H971,1))),IF(R971&gt;0,AW971/R971,0))/MAX(0.1,N(Parameter!$M$21)))</f>
        <v>0.0384615384615385</v>
      </c>
      <c r="AY971" s="57" t="n">
        <f aca="false">AV971*G971</f>
        <v>726.9</v>
      </c>
      <c r="AZ971" s="57" t="n">
        <f aca="false">ROUNDUP(MAX(J971/IF(BZ971&gt;0,BZ971,MAX(0.1,N(Cockpit!$O$6))),CC971)/BS971,0)*BS971</f>
        <v>10</v>
      </c>
      <c r="BA971" s="58" t="n">
        <f aca="false">IF(AX971&gt;0,J971/AX971,-1)</f>
        <v>0</v>
      </c>
      <c r="BB971" s="58" t="n">
        <f aca="false">IF(AND(OR(BY971="L1",BY971="L23"),AX971&gt;0),SUMIFS($AX$7:$AX$1843,$BY$7:$BY$1843,BY971,$BA$7:$BA$1843,"&gt;"&amp;BA971)+SUMIFS($AX$7:$AX$1843,$BY$7:$BY$1843,BY971,$BA$7:$BA$1843,BA971,$BQ$7:$BQ$1843,"&lt;="&amp;BQ971),"")</f>
        <v>110.294559305429</v>
      </c>
      <c r="BC971" s="65" t="n">
        <f aca="false">IF(BB971="",0,MAX(0,MIN(1,(IF(BY971="L1",Parameter!$E$5,Parameter!$E$6+Parameter!$E$7)-(BB971-AX971))/AX971)))</f>
        <v>0</v>
      </c>
      <c r="BD971" s="55" t="str">
        <f aca="false">IF(AH971&lt;=0,"",IF(BY971="Aussen","Aussenlager",IF(BY971="-","Nicht im Lift",IF(AM971&gt;=1,"Lift",IF(AM971&lt;=0,"Aussenlager","teilweise")))))</f>
        <v>Lift</v>
      </c>
      <c r="BE971" s="55" t="str">
        <f aca="false">IF(AP971&lt;=0,"",IF(BY971="Aussen","Aussenlager",IF(BY971="-","Nicht im Lift",IF(AU971&gt;=1,"Lift",IF(AU971&lt;=0,"Aussenlager","teilweise")))))</f>
        <v>Aussenlager</v>
      </c>
      <c r="BF971" s="55" t="str">
        <f aca="false">IF(AX971&lt;=0,"",IF(BY971="Aussen","Aussenlager",IF(BY971="-","Nicht im Lift",IF(BC971&gt;=1,"Lift",IF(BC971&lt;=0,"Aussenlager","teilweise")))))</f>
        <v>Aussenlager</v>
      </c>
      <c r="BG971" s="55" t="str">
        <f aca="false">IF(A971="","",IF(BP971=1,"Neu; ","")&amp;IF(AND(BP971=0,BK971&lt;0),"negativer Bestand (Export "&amp;BK971&amp;"); ","")&amp;IF(J971&lt;=0,"Kein Verbrauch; ","")&amp;IF(CH971&gt;0,"Lift "&amp;W971&amp;" lt. Liftbericht (Fach "&amp;X971&amp;" Stk); ",IF(BU971=1,"Gebinde geschätzt ("&amp;T971&amp;"); ",IF(BT971=1,"Lose – Tablare geschätzt; ","")))&amp;IF(H971&gt;AR971,"Überbestand "&amp;ROUND(H971-AR971,0)&amp;" Stk / CHF "&amp;ROUND((H971-AR971)*G971,0)&amp;"; ","")&amp;IF(AND(CA971=1,CB971&lt;CC971),"MAX &lt; MB+LG; ","")&amp;IF(AND(CG971&gt;0,CF971*10&gt;CG971),"zu hoch für Tablar; ","")&amp;IF(AND(BP971=0,OR(CA971=1,AA971&lt;&gt;"",U971&lt;&gt;"",V971&lt;&gt;"",AB971&lt;&gt;"")),"manuell übersteuert; ","")&amp;IF(AND(BT971=0,R971=0),"Gebinde unbekannt / Stellmass fehlt; ","")&amp;IF(AND(BT971=0,N(V971)&lt;=0,N(Q971)&lt;=0),"Menge pro Gebinde fehlt (Ist = 1 Gebinde); ","")&amp;BO971)</f>
        <v>negativer Bestand (Export -1); Kein Verbrauch; Überbestand</v>
      </c>
      <c r="BH971" s="55"/>
      <c r="BI971" s="55"/>
      <c r="BJ971" s="62"/>
      <c r="BK971" s="57" t="n">
        <v>-1</v>
      </c>
      <c r="BL971" s="57" t="n">
        <v>10</v>
      </c>
      <c r="BM971" s="56" t="n">
        <v>-72.69</v>
      </c>
      <c r="BN971" s="57" t="n">
        <v>0</v>
      </c>
      <c r="BO971" s="55" t="s">
        <v>392</v>
      </c>
      <c r="BP971" s="60" t="n">
        <v>0</v>
      </c>
      <c r="BQ971" s="60" t="n">
        <v>971</v>
      </c>
      <c r="BR971" s="55" t="str">
        <f aca="false">IF(U971&lt;&gt;"",UPPER(TRIM(U971)),IF(BU971=1,UPPER(VLOOKUP(T971,Parameter!$I$27:$K$29,2,0)),IF(P971="","LOSE",P971)))</f>
        <v>S52</v>
      </c>
      <c r="BS971" s="57" t="n">
        <f aca="false">IF(BR971="LOSE",1,IF(N(V971)&gt;0,V971,IF(BU971=1,MAX(1,N(VLOOKUP(T971,Parameter!$I$27:$K$29,3,0)),H971,N(N971)),IF(N(Q971)&gt;0,Q971,MAX(1,H971)))))</f>
        <v>10</v>
      </c>
      <c r="BT971" s="60" t="n">
        <f aca="false">IF(BR971="LOSE",1,0)</f>
        <v>0</v>
      </c>
      <c r="BU971" s="60" t="n">
        <f aca="false">IF(AND(U971="",OR(P971="",P971="LOSE"),T971&lt;&gt;"",N(S971)&lt;=0,ISNUMBER(MATCH(T971,Parameter!$I$27:$I$29,0))),1,0)</f>
        <v>0</v>
      </c>
      <c r="BV971" s="55" t="str">
        <f aca="false">IF(AND(Parameter!$B$19="Ja",E971&lt;&gt;"",ISNUMBER(MATCH(E971,Parameter!$I$35:$I$52,0))),VLOOKUP(E971,Parameter!$I$35:$J$52,2,0),IFERROR(VLOOKUP(D971,Parameter!$A$35:$C$64,2,0),"Nein"))</f>
        <v>2+3</v>
      </c>
      <c r="BW971" s="59" t="n">
        <f aca="false">IF(BT971=0,0,IF(N(S971)&gt;0,S971,IFERROR(VLOOKUP(D971,Parameter!$A$35:$C$64,3,0)+0,0)))</f>
        <v>0</v>
      </c>
      <c r="BX971" s="55" t="n">
        <f aca="false">IF(AA971&lt;&gt;"",AA971,Z971)</f>
        <v>3</v>
      </c>
      <c r="BY971" s="55" t="str">
        <f aca="false">IF(BX971=1,"L1",IF(OR(BX971=2,BX971=3),"L23",IF(BX971="Aussen","Aussen","-")))</f>
        <v>L23</v>
      </c>
      <c r="BZ971" s="66" t="n">
        <f aca="false">IF(N(AB971)&gt;0,AB971,0)</f>
        <v>0</v>
      </c>
      <c r="CA971" s="60" t="n">
        <f aca="false">IF(ISNUMBER(AE971),1,0)</f>
        <v>0</v>
      </c>
      <c r="CB971" s="57" t="n">
        <f aca="false">N(AE971)</f>
        <v>0</v>
      </c>
      <c r="CC971" s="57" t="n">
        <f aca="false">N(M971)+N(N971)</f>
        <v>1</v>
      </c>
      <c r="CD971" s="57" t="n">
        <f aca="false">ROUNDUP(H971/BS971,0)</f>
        <v>1</v>
      </c>
      <c r="CE971" s="57" t="n">
        <f aca="false">ROUNDUP(CB971/BS971,0)</f>
        <v>0</v>
      </c>
      <c r="CF971" s="60" t="n">
        <f aca="false">IF(BT971=1,0,IFERROR(VLOOKUP(BR971,'Gebinde-Kategorie'!$A$5:$M$45,5,0)+0,0))</f>
        <v>21</v>
      </c>
      <c r="CG971" s="60" t="n">
        <f aca="false">IFERROR(IF(OR(BX971=1,BX971=2,BX971=3),N(INDEX(Parameter!$I$5:$I$7,BX971)),0),0)</f>
        <v>0</v>
      </c>
      <c r="CH971" s="59" t="n">
        <f aca="false">IF(AND(Parameter!$B$21="Ja",ISNUMBER(W971),N(X971)&gt;0),IFERROR(N(INDEX(Parameter!$L$5:$L$7,W971))*INDEX(Parameter!$E$5:$E$7,W971)*X971/SUMIFS($X$7:$X$1843,$W$7:$W$1843,W971),0),0)</f>
        <v>0</v>
      </c>
    </row>
    <row r="972" customFormat="false" ht="15" hidden="false" customHeight="false" outlineLevel="0" collapsed="false">
      <c r="A972" s="55" t="s">
        <v>1804</v>
      </c>
      <c r="B972" s="55" t="s">
        <v>489</v>
      </c>
      <c r="C972" s="55" t="s">
        <v>164</v>
      </c>
      <c r="D972" s="55" t="s">
        <v>184</v>
      </c>
      <c r="E972" s="55" t="s">
        <v>185</v>
      </c>
      <c r="F972" s="55" t="s">
        <v>218</v>
      </c>
      <c r="G972" s="56" t="n">
        <v>1.36</v>
      </c>
      <c r="H972" s="57" t="n">
        <f aca="false">MAX(0,IF(AND(Parameter!$B$21="Ja",ISNUMBER(Y972)),Y972,IF(Parameter!$B$20="Jahresanfang 2025 + Export",BL972+BK972,BK972)))</f>
        <v>371</v>
      </c>
      <c r="I972" s="57" t="n">
        <f aca="false">H972*G972</f>
        <v>504.56</v>
      </c>
      <c r="J972" s="57" t="n">
        <f aca="false">BN972*Parameter!$B$18</f>
        <v>674</v>
      </c>
      <c r="K972" s="58" t="n">
        <v>352.5</v>
      </c>
      <c r="L972" s="59" t="n">
        <v>1.91205673758865</v>
      </c>
      <c r="M972" s="57" t="n">
        <v>26</v>
      </c>
      <c r="N972" s="57" t="n">
        <v>675</v>
      </c>
      <c r="O972" s="60" t="n">
        <v>14</v>
      </c>
      <c r="P972" s="55" t="s">
        <v>302</v>
      </c>
      <c r="Q972" s="57" t="n">
        <v>1739</v>
      </c>
      <c r="R972" s="60" t="n">
        <f aca="false">IF(BT972=1,0,IFERROR(VLOOKUP(BR972,'Gebinde-Kategorie'!$A$5:$M$45,13,0)+0,0))</f>
        <v>26</v>
      </c>
      <c r="S972" s="61"/>
      <c r="T972" s="62"/>
      <c r="U972" s="62"/>
      <c r="V972" s="62"/>
      <c r="W972" s="55"/>
      <c r="X972" s="57"/>
      <c r="Y972" s="57"/>
      <c r="Z972" s="55" t="n">
        <f aca="false">IF(A972="","",IF(AND(Parameter!$B$21="Ja",ISNUMBER(W972)),W972,IF(BV972="2+3",IF(ISNUMBER(SEARCH("grosser Artikel",BO972)),2,IFERROR(VLOOKUP(BR972,Parameter!$F$35:$G$64,2,0),2)),IF(OR(BV972="Nein",BV972=""),"-",BV972))))</f>
        <v>3</v>
      </c>
      <c r="AA972" s="62"/>
      <c r="AB972" s="63"/>
      <c r="AC972" s="57" t="n">
        <f aca="false">AR972</f>
        <v>1739</v>
      </c>
      <c r="AD972" s="57" t="n">
        <f aca="false">MAX(AR972,H972)</f>
        <v>1739</v>
      </c>
      <c r="AE972" s="64"/>
      <c r="AF972" s="57" t="n">
        <f aca="false">IF(LEFT(Cockpit!$C$5,1)="A",H972,IF(CA972=1,CB972,IF(LEFT(Cockpit!$C$5,1)="B",AJ972,MAX(AJ972,H972))))</f>
        <v>371</v>
      </c>
      <c r="AG972" s="57" t="n">
        <f aca="false">IF(BT972=1,0,ROUNDUP(AF972/BS972,0))</f>
        <v>1</v>
      </c>
      <c r="AH972" s="59" t="n">
        <f aca="false">IF(CH972&gt;0,CH972*MAX(1,AF972/X972),IF(BT972=1,IF(AF972&lt;=0,0,BW972*MAX(1,IF(H972&gt;0,AF972/H972,1))),IF(R972&gt;0,AG972/R972,0))/MAX(0.1,N(Parameter!$M$21)))</f>
        <v>0.0384615384615385</v>
      </c>
      <c r="AI972" s="57" t="n">
        <f aca="false">AF972*G972</f>
        <v>504.56</v>
      </c>
      <c r="AJ972" s="57" t="n">
        <f aca="false">ROUNDUP(MAX(J972/IF(BZ972&gt;0,BZ972,MAX(0.1,N(Cockpit!$C$6))),CC972)/BS972,0)*BS972</f>
        <v>1739</v>
      </c>
      <c r="AK972" s="58" t="n">
        <f aca="false">IF(AH972&gt;0,J972/AH972,-1)</f>
        <v>17524</v>
      </c>
      <c r="AL972" s="58" t="n">
        <f aca="false">IF(AND(OR(BY972="L1",BY972="L23"),AH972&gt;0),SUMIFS($AH$7:$AH$1843,$BY$7:$BY$1843,BY972,$AK$7:$AK$1843,"&gt;"&amp;AK972)+SUMIFS($AH$7:$AH$1843,$BY$7:$BY$1843,BY972,$AK$7:$AK$1843,AK972,$BQ$7:$BQ$1843,"&lt;="&amp;BQ972),"")</f>
        <v>3.85673625891017</v>
      </c>
      <c r="AM972" s="65" t="n">
        <f aca="false">IF(AL972="",0,MAX(0,MIN(1,(IF(BY972="L1",Parameter!$E$5,Parameter!$E$6+Parameter!$E$7)-(AL972-AH972))/AH972)))</f>
        <v>1</v>
      </c>
      <c r="AN972" s="57" t="n">
        <f aca="false">IF(LEFT(Cockpit!$I$5,1)="A",H972,IF(CA972=1,CB972,IF(LEFT(Cockpit!$I$5,1)="B",AR972,MAX(AR972,H972))))</f>
        <v>1739</v>
      </c>
      <c r="AO972" s="57" t="n">
        <f aca="false">IF(BT972=1,0,ROUNDUP(AN972/BS972,0))</f>
        <v>1</v>
      </c>
      <c r="AP972" s="59" t="n">
        <f aca="false">IF(CH972&gt;0,CH972*MAX(1,AN972/X972),IF(BT972=1,IF(AN972&lt;=0,0,BW972*MAX(1,IF(H972&gt;0,AN972/H972,1))),IF(R972&gt;0,AO972/R972,0))/MAX(0.1,N(Parameter!$M$21)))</f>
        <v>0.0384615384615385</v>
      </c>
      <c r="AQ972" s="57" t="n">
        <f aca="false">AN972*G972</f>
        <v>2365.04</v>
      </c>
      <c r="AR972" s="57" t="n">
        <f aca="false">ROUNDUP(MAX(J972/IF(BZ972&gt;0,BZ972,MAX(0.1,N(Cockpit!$I$6))),CC972)/BS972,0)*BS972</f>
        <v>1739</v>
      </c>
      <c r="AS972" s="58" t="n">
        <f aca="false">IF(AP972&gt;0,J972/AP972,-1)</f>
        <v>17524</v>
      </c>
      <c r="AT972" s="58" t="n">
        <f aca="false">IF(AND(OR(BY972="L1",BY972="L23"),AP972&gt;0),SUMIFS($AP$7:$AP$1843,$BY$7:$BY$1843,BY972,$AS$7:$AS$1843,"&gt;"&amp;AS972)+SUMIFS($AP$7:$AP$1843,$BY$7:$BY$1843,BY972,$AS$7:$AS$1843,AS972,$BQ$7:$BQ$1843,"&lt;="&amp;BQ972),"")</f>
        <v>4.58105300496605</v>
      </c>
      <c r="AU972" s="65" t="n">
        <f aca="false">IF(AT972="",0,MAX(0,MIN(1,(IF(BY972="L1",Parameter!$E$5,Parameter!$E$6+Parameter!$E$7)-(AT972-AP972))/AP972)))</f>
        <v>1</v>
      </c>
      <c r="AV972" s="57" t="n">
        <f aca="false">IF(LEFT(Cockpit!$O$5,1)="A",H972,IF(CA972=1,CB972,IF(LEFT(Cockpit!$O$5,1)="B",AZ972,MAX(AZ972,H972))))</f>
        <v>1739</v>
      </c>
      <c r="AW972" s="57" t="n">
        <f aca="false">IF(BT972=1,0,ROUNDUP(AV972/BS972,0))</f>
        <v>1</v>
      </c>
      <c r="AX972" s="59" t="n">
        <f aca="false">IF(CH972&gt;0,CH972*MAX(1,AV972/X972),IF(BT972=1,IF(AV972&lt;=0,0,BW972*MAX(1,IF(H972&gt;0,AV972/H972,1))),IF(R972&gt;0,AW972/R972,0))/MAX(0.1,N(Parameter!$M$21)))</f>
        <v>0.0384615384615385</v>
      </c>
      <c r="AY972" s="57" t="n">
        <f aca="false">AV972*G972</f>
        <v>2365.04</v>
      </c>
      <c r="AZ972" s="57" t="n">
        <f aca="false">ROUNDUP(MAX(J972/IF(BZ972&gt;0,BZ972,MAX(0.1,N(Cockpit!$O$6))),CC972)/BS972,0)*BS972</f>
        <v>1739</v>
      </c>
      <c r="BA972" s="58" t="n">
        <f aca="false">IF(AX972&gt;0,J972/AX972,-1)</f>
        <v>17524</v>
      </c>
      <c r="BB972" s="58" t="n">
        <f aca="false">IF(AND(OR(BY972="L1",BY972="L23"),AX972&gt;0),SUMIFS($AX$7:$AX$1843,$BY$7:$BY$1843,BY972,$BA$7:$BA$1843,"&gt;"&amp;BA972)+SUMIFS($AX$7:$AX$1843,$BY$7:$BY$1843,BY972,$BA$7:$BA$1843,BA972,$BQ$7:$BQ$1843,"&lt;="&amp;BQ972),"")</f>
        <v>4.21858214249519</v>
      </c>
      <c r="BC972" s="65" t="n">
        <f aca="false">IF(BB972="",0,MAX(0,MIN(1,(IF(BY972="L1",Parameter!$E$5,Parameter!$E$6+Parameter!$E$7)-(BB972-AX972))/AX972)))</f>
        <v>1</v>
      </c>
      <c r="BD972" s="55" t="str">
        <f aca="false">IF(AH972&lt;=0,"",IF(BY972="Aussen","Aussenlager",IF(BY972="-","Nicht im Lift",IF(AM972&gt;=1,"Lift",IF(AM972&lt;=0,"Aussenlager","teilweise")))))</f>
        <v>Lift</v>
      </c>
      <c r="BE972" s="55" t="str">
        <f aca="false">IF(AP972&lt;=0,"",IF(BY972="Aussen","Aussenlager",IF(BY972="-","Nicht im Lift",IF(AU972&gt;=1,"Lift",IF(AU972&lt;=0,"Aussenlager","teilweise")))))</f>
        <v>Lift</v>
      </c>
      <c r="BF972" s="55" t="str">
        <f aca="false">IF(AX972&lt;=0,"",IF(BY972="Aussen","Aussenlager",IF(BY972="-","Nicht im Lift",IF(BC972&gt;=1,"Lift",IF(BC972&lt;=0,"Aussenlager","teilweise")))))</f>
        <v>Lift</v>
      </c>
      <c r="BG972" s="55" t="str">
        <f aca="false">IF(A972="","",IF(BP972=1,"Neu; ","")&amp;IF(AND(BP972=0,BK972&lt;0),"negativer Bestand (Export "&amp;BK972&amp;"); ","")&amp;IF(J972&lt;=0,"Kein Verbrauch; ","")&amp;IF(CH972&gt;0,"Lift "&amp;W972&amp;" lt. Liftbericht (Fach "&amp;X972&amp;" Stk); ",IF(BU972=1,"Gebinde geschätzt ("&amp;T972&amp;"); ",IF(BT972=1,"Lose – Tablare geschätzt; ","")))&amp;IF(H972&gt;AR972,"Überbestand "&amp;ROUND(H972-AR972,0)&amp;" Stk / CHF "&amp;ROUND((H972-AR972)*G972,0)&amp;"; ","")&amp;IF(AND(CA972=1,CB972&lt;CC972),"MAX &lt; MB+LG; ","")&amp;IF(AND(CG972&gt;0,CF972*10&gt;CG972),"zu hoch für Tablar; ","")&amp;IF(AND(BP972=0,OR(CA972=1,AA972&lt;&gt;"",U972&lt;&gt;"",V972&lt;&gt;"",AB972&lt;&gt;"")),"manuell übersteuert; ","")&amp;IF(AND(BT972=0,R972=0),"Gebinde unbekannt / Stellmass fehlt; ","")&amp;IF(AND(BT972=0,N(V972)&lt;=0,N(Q972)&lt;=0),"Menge pro Gebinde fehlt (Ist = 1 Gebinde); ","")&amp;BO972)</f>
        <v>negativer Bestand (Export -54); </v>
      </c>
      <c r="BH972" s="55"/>
      <c r="BI972" s="55"/>
      <c r="BJ972" s="62"/>
      <c r="BK972" s="57" t="n">
        <v>-54</v>
      </c>
      <c r="BL972" s="57" t="n">
        <v>425</v>
      </c>
      <c r="BM972" s="56" t="n">
        <v>-73.4399999999998</v>
      </c>
      <c r="BN972" s="57" t="n">
        <v>674</v>
      </c>
      <c r="BO972" s="55"/>
      <c r="BP972" s="60" t="n">
        <v>0</v>
      </c>
      <c r="BQ972" s="60" t="n">
        <v>972</v>
      </c>
      <c r="BR972" s="55" t="str">
        <f aca="false">IF(U972&lt;&gt;"",UPPER(TRIM(U972)),IF(BU972=1,UPPER(VLOOKUP(T972,Parameter!$I$27:$K$29,2,0)),IF(P972="","LOSE",P972)))</f>
        <v>S51</v>
      </c>
      <c r="BS972" s="57" t="n">
        <f aca="false">IF(BR972="LOSE",1,IF(N(V972)&gt;0,V972,IF(BU972=1,MAX(1,N(VLOOKUP(T972,Parameter!$I$27:$K$29,3,0)),H972,N(N972)),IF(N(Q972)&gt;0,Q972,MAX(1,H972)))))</f>
        <v>1739</v>
      </c>
      <c r="BT972" s="60" t="n">
        <f aca="false">IF(BR972="LOSE",1,0)</f>
        <v>0</v>
      </c>
      <c r="BU972" s="60" t="n">
        <f aca="false">IF(AND(U972="",OR(P972="",P972="LOSE"),T972&lt;&gt;"",N(S972)&lt;=0,ISNUMBER(MATCH(T972,Parameter!$I$27:$I$29,0))),1,0)</f>
        <v>0</v>
      </c>
      <c r="BV972" s="55" t="str">
        <f aca="false">IF(AND(Parameter!$B$19="Ja",E972&lt;&gt;"",ISNUMBER(MATCH(E972,Parameter!$I$35:$I$52,0))),VLOOKUP(E972,Parameter!$I$35:$J$52,2,0),IFERROR(VLOOKUP(D972,Parameter!$A$35:$C$64,2,0),"Nein"))</f>
        <v>2+3</v>
      </c>
      <c r="BW972" s="59" t="n">
        <f aca="false">IF(BT972=0,0,IF(N(S972)&gt;0,S972,IFERROR(VLOOKUP(D972,Parameter!$A$35:$C$64,3,0)+0,0)))</f>
        <v>0</v>
      </c>
      <c r="BX972" s="55" t="n">
        <f aca="false">IF(AA972&lt;&gt;"",AA972,Z972)</f>
        <v>3</v>
      </c>
      <c r="BY972" s="55" t="str">
        <f aca="false">IF(BX972=1,"L1",IF(OR(BX972=2,BX972=3),"L23",IF(BX972="Aussen","Aussen","-")))</f>
        <v>L23</v>
      </c>
      <c r="BZ972" s="66" t="n">
        <f aca="false">IF(N(AB972)&gt;0,AB972,0)</f>
        <v>0</v>
      </c>
      <c r="CA972" s="60" t="n">
        <f aca="false">IF(ISNUMBER(AE972),1,0)</f>
        <v>0</v>
      </c>
      <c r="CB972" s="57" t="n">
        <f aca="false">N(AE972)</f>
        <v>0</v>
      </c>
      <c r="CC972" s="57" t="n">
        <f aca="false">N(M972)+N(N972)</f>
        <v>701</v>
      </c>
      <c r="CD972" s="57" t="n">
        <f aca="false">ROUNDUP(H972/BS972,0)</f>
        <v>1</v>
      </c>
      <c r="CE972" s="57" t="n">
        <f aca="false">ROUNDUP(CB972/BS972,0)</f>
        <v>0</v>
      </c>
      <c r="CF972" s="60" t="n">
        <f aca="false">IF(BT972=1,0,IFERROR(VLOOKUP(BR972,'Gebinde-Kategorie'!$A$5:$M$45,5,0)+0,0))</f>
        <v>11</v>
      </c>
      <c r="CG972" s="60" t="n">
        <f aca="false">IFERROR(IF(OR(BX972=1,BX972=2,BX972=3),N(INDEX(Parameter!$I$5:$I$7,BX972)),0),0)</f>
        <v>0</v>
      </c>
      <c r="CH972" s="59" t="n">
        <f aca="false">IF(AND(Parameter!$B$21="Ja",ISNUMBER(W972),N(X972)&gt;0),IFERROR(N(INDEX(Parameter!$L$5:$L$7,W972))*INDEX(Parameter!$E$5:$E$7,W972)*X972/SUMIFS($X$7:$X$1843,$W$7:$W$1843,W972),0),0)</f>
        <v>0</v>
      </c>
    </row>
    <row r="973" customFormat="false" ht="15" hidden="false" customHeight="false" outlineLevel="0" collapsed="false">
      <c r="A973" s="55" t="s">
        <v>1805</v>
      </c>
      <c r="B973" s="55" t="s">
        <v>861</v>
      </c>
      <c r="C973" s="55" t="s">
        <v>164</v>
      </c>
      <c r="D973" s="55" t="s">
        <v>184</v>
      </c>
      <c r="E973" s="55" t="s">
        <v>185</v>
      </c>
      <c r="F973" s="55" t="s">
        <v>218</v>
      </c>
      <c r="G973" s="56" t="n">
        <v>9.2</v>
      </c>
      <c r="H973" s="57" t="n">
        <f aca="false">MAX(0,IF(AND(Parameter!$B$21="Ja",ISNUMBER(Y973)),Y973,IF(Parameter!$B$20="Jahresanfang 2025 + Export",BL973+BK973,BK973)))</f>
        <v>147</v>
      </c>
      <c r="I973" s="57" t="n">
        <f aca="false">H973*G973</f>
        <v>1352.4</v>
      </c>
      <c r="J973" s="57" t="n">
        <f aca="false">BN973*Parameter!$B$18</f>
        <v>6</v>
      </c>
      <c r="K973" s="58" t="n">
        <v>152.5</v>
      </c>
      <c r="L973" s="59" t="n">
        <v>0.039344262295082</v>
      </c>
      <c r="M973" s="57" t="n">
        <v>0</v>
      </c>
      <c r="N973" s="57" t="n">
        <v>5</v>
      </c>
      <c r="O973" s="60" t="n">
        <v>35</v>
      </c>
      <c r="P973" s="55" t="s">
        <v>328</v>
      </c>
      <c r="Q973" s="57" t="n">
        <v>157</v>
      </c>
      <c r="R973" s="60" t="n">
        <f aca="false">IF(BT973=1,0,IFERROR(VLOOKUP(BR973,'Gebinde-Kategorie'!$A$5:$M$45,13,0)+0,0))</f>
        <v>52</v>
      </c>
      <c r="S973" s="61"/>
      <c r="T973" s="62"/>
      <c r="U973" s="62"/>
      <c r="V973" s="62"/>
      <c r="W973" s="55"/>
      <c r="X973" s="57"/>
      <c r="Y973" s="57"/>
      <c r="Z973" s="55" t="n">
        <f aca="false">IF(A973="","",IF(AND(Parameter!$B$21="Ja",ISNUMBER(W973)),W973,IF(BV973="2+3",IF(ISNUMBER(SEARCH("grosser Artikel",BO973)),2,IFERROR(VLOOKUP(BR973,Parameter!$F$35:$G$64,2,0),2)),IF(OR(BV973="Nein",BV973=""),"-",BV973))))</f>
        <v>3</v>
      </c>
      <c r="AA973" s="62"/>
      <c r="AB973" s="63"/>
      <c r="AC973" s="57" t="n">
        <f aca="false">AR973</f>
        <v>157</v>
      </c>
      <c r="AD973" s="57" t="n">
        <f aca="false">MAX(AR973,H973)</f>
        <v>157</v>
      </c>
      <c r="AE973" s="64"/>
      <c r="AF973" s="57" t="n">
        <f aca="false">IF(LEFT(Cockpit!$C$5,1)="A",H973,IF(CA973=1,CB973,IF(LEFT(Cockpit!$C$5,1)="B",AJ973,MAX(AJ973,H973))))</f>
        <v>147</v>
      </c>
      <c r="AG973" s="57" t="n">
        <f aca="false">IF(BT973=1,0,ROUNDUP(AF973/BS973,0))</f>
        <v>1</v>
      </c>
      <c r="AH973" s="59" t="n">
        <f aca="false">IF(CH973&gt;0,CH973*MAX(1,AF973/X973),IF(BT973=1,IF(AF973&lt;=0,0,BW973*MAX(1,IF(H973&gt;0,AF973/H973,1))),IF(R973&gt;0,AG973/R973,0))/MAX(0.1,N(Parameter!$M$21)))</f>
        <v>0.0192307692307692</v>
      </c>
      <c r="AI973" s="57" t="n">
        <f aca="false">AF973*G973</f>
        <v>1352.4</v>
      </c>
      <c r="AJ973" s="57" t="n">
        <f aca="false">ROUNDUP(MAX(J973/IF(BZ973&gt;0,BZ973,MAX(0.1,N(Cockpit!$C$6))),CC973)/BS973,0)*BS973</f>
        <v>157</v>
      </c>
      <c r="AK973" s="58" t="n">
        <f aca="false">IF(AH973&gt;0,J973/AH973,-1)</f>
        <v>312</v>
      </c>
      <c r="AL973" s="58" t="n">
        <f aca="false">IF(AND(OR(BY973="L1",BY973="L23"),AH973&gt;0),SUMIFS($AH$7:$AH$1843,$BY$7:$BY$1843,BY973,$AK$7:$AK$1843,"&gt;"&amp;AK973)+SUMIFS($AH$7:$AH$1843,$BY$7:$BY$1843,BY973,$AK$7:$AK$1843,AK973,$BQ$7:$BQ$1843,"&lt;="&amp;BQ973),"")</f>
        <v>28.0554542076281</v>
      </c>
      <c r="AM973" s="65" t="n">
        <f aca="false">IF(AL973="",0,MAX(0,MIN(1,(IF(BY973="L1",Parameter!$E$5,Parameter!$E$6+Parameter!$E$7)-(AL973-AH973))/AH973)))</f>
        <v>1</v>
      </c>
      <c r="AN973" s="57" t="n">
        <f aca="false">IF(LEFT(Cockpit!$I$5,1)="A",H973,IF(CA973=1,CB973,IF(LEFT(Cockpit!$I$5,1)="B",AR973,MAX(AR973,H973))))</f>
        <v>157</v>
      </c>
      <c r="AO973" s="57" t="n">
        <f aca="false">IF(BT973=1,0,ROUNDUP(AN973/BS973,0))</f>
        <v>1</v>
      </c>
      <c r="AP973" s="59" t="n">
        <f aca="false">IF(CH973&gt;0,CH973*MAX(1,AN973/X973),IF(BT973=1,IF(AN973&lt;=0,0,BW973*MAX(1,IF(H973&gt;0,AN973/H973,1))),IF(R973&gt;0,AO973/R973,0))/MAX(0.1,N(Parameter!$M$21)))</f>
        <v>0.0192307692307692</v>
      </c>
      <c r="AQ973" s="57" t="n">
        <f aca="false">AN973*G973</f>
        <v>1444.4</v>
      </c>
      <c r="AR973" s="57" t="n">
        <f aca="false">ROUNDUP(MAX(J973/IF(BZ973&gt;0,BZ973,MAX(0.1,N(Cockpit!$I$6))),CC973)/BS973,0)*BS973</f>
        <v>157</v>
      </c>
      <c r="AS973" s="58" t="n">
        <f aca="false">IF(AP973&gt;0,J973/AP973,-1)</f>
        <v>312</v>
      </c>
      <c r="AT973" s="58" t="n">
        <f aca="false">IF(AND(OR(BY973="L1",BY973="L23"),AP973&gt;0),SUMIFS($AP$7:$AP$1843,$BY$7:$BY$1843,BY973,$AS$7:$AS$1843,"&gt;"&amp;AS973)+SUMIFS($AP$7:$AP$1843,$BY$7:$BY$1843,BY973,$AS$7:$AS$1843,AS973,$BQ$7:$BQ$1843,"&lt;="&amp;BQ973),"")</f>
        <v>40.8560352690787</v>
      </c>
      <c r="AU973" s="65" t="n">
        <f aca="false">IF(AT973="",0,MAX(0,MIN(1,(IF(BY973="L1",Parameter!$E$5,Parameter!$E$6+Parameter!$E$7)-(AT973-AP973))/AP973)))</f>
        <v>1</v>
      </c>
      <c r="AV973" s="57" t="n">
        <f aca="false">IF(LEFT(Cockpit!$O$5,1)="A",H973,IF(CA973=1,CB973,IF(LEFT(Cockpit!$O$5,1)="B",AZ973,MAX(AZ973,H973))))</f>
        <v>157</v>
      </c>
      <c r="AW973" s="57" t="n">
        <f aca="false">IF(BT973=1,0,ROUNDUP(AV973/BS973,0))</f>
        <v>1</v>
      </c>
      <c r="AX973" s="59" t="n">
        <f aca="false">IF(CH973&gt;0,CH973*MAX(1,AV973/X973),IF(BT973=1,IF(AV973&lt;=0,0,BW973*MAX(1,IF(H973&gt;0,AV973/H973,1))),IF(R973&gt;0,AW973/R973,0))/MAX(0.1,N(Parameter!$M$21)))</f>
        <v>0.0192307692307692</v>
      </c>
      <c r="AY973" s="57" t="n">
        <f aca="false">AV973*G973</f>
        <v>1444.4</v>
      </c>
      <c r="AZ973" s="57" t="n">
        <f aca="false">ROUNDUP(MAX(J973/IF(BZ973&gt;0,BZ973,MAX(0.1,N(Cockpit!$O$6))),CC973)/BS973,0)*BS973</f>
        <v>157</v>
      </c>
      <c r="BA973" s="58" t="n">
        <f aca="false">IF(AX973&gt;0,J973/AX973,-1)</f>
        <v>312</v>
      </c>
      <c r="BB973" s="58" t="n">
        <f aca="false">IF(AND(OR(BY973="L1",BY973="L23"),AX973&gt;0),SUMIFS($AX$7:$AX$1843,$BY$7:$BY$1843,BY973,$BA$7:$BA$1843,"&gt;"&amp;BA973)+SUMIFS($AX$7:$AX$1843,$BY$7:$BY$1843,BY973,$BA$7:$BA$1843,BA973,$BQ$7:$BQ$1843,"&lt;="&amp;BQ973),"")</f>
        <v>37.1858720989156</v>
      </c>
      <c r="BC973" s="65" t="n">
        <f aca="false">IF(BB973="",0,MAX(0,MIN(1,(IF(BY973="L1",Parameter!$E$5,Parameter!$E$6+Parameter!$E$7)-(BB973-AX973))/AX973)))</f>
        <v>1</v>
      </c>
      <c r="BD973" s="55" t="str">
        <f aca="false">IF(AH973&lt;=0,"",IF(BY973="Aussen","Aussenlager",IF(BY973="-","Nicht im Lift",IF(AM973&gt;=1,"Lift",IF(AM973&lt;=0,"Aussenlager","teilweise")))))</f>
        <v>Lift</v>
      </c>
      <c r="BE973" s="55" t="str">
        <f aca="false">IF(AP973&lt;=0,"",IF(BY973="Aussen","Aussenlager",IF(BY973="-","Nicht im Lift",IF(AU973&gt;=1,"Lift",IF(AU973&lt;=0,"Aussenlager","teilweise")))))</f>
        <v>Lift</v>
      </c>
      <c r="BF973" s="55" t="str">
        <f aca="false">IF(AX973&lt;=0,"",IF(BY973="Aussen","Aussenlager",IF(BY973="-","Nicht im Lift",IF(BC973&gt;=1,"Lift",IF(BC973&lt;=0,"Aussenlager","teilweise")))))</f>
        <v>Lift</v>
      </c>
      <c r="BG973" s="55" t="str">
        <f aca="false">IF(A973="","",IF(BP973=1,"Neu; ","")&amp;IF(AND(BP973=0,BK973&lt;0),"negativer Bestand (Export "&amp;BK973&amp;"); ","")&amp;IF(J973&lt;=0,"Kein Verbrauch; ","")&amp;IF(CH973&gt;0,"Lift "&amp;W973&amp;" lt. Liftbericht (Fach "&amp;X973&amp;" Stk); ",IF(BU973=1,"Gebinde geschätzt ("&amp;T973&amp;"); ",IF(BT973=1,"Lose – Tablare geschätzt; ","")))&amp;IF(H973&gt;AR973,"Überbestand "&amp;ROUND(H973-AR973,0)&amp;" Stk / CHF "&amp;ROUND((H973-AR973)*G973,0)&amp;"; ","")&amp;IF(AND(CA973=1,CB973&lt;CC973),"MAX &lt; MB+LG; ","")&amp;IF(AND(CG973&gt;0,CF973*10&gt;CG973),"zu hoch für Tablar; ","")&amp;IF(AND(BP973=0,OR(CA973=1,AA973&lt;&gt;"",U973&lt;&gt;"",V973&lt;&gt;"",AB973&lt;&gt;"")),"manuell übersteuert; ","")&amp;IF(AND(BT973=0,R973=0),"Gebinde unbekannt / Stellmass fehlt; ","")&amp;IF(AND(BT973=0,N(V973)&lt;=0,N(Q973)&lt;=0),"Menge pro Gebinde fehlt (Ist = 1 Gebinde); ","")&amp;BO973)</f>
        <v>negativer Bestand (Export -8); Überbestand</v>
      </c>
      <c r="BH973" s="55"/>
      <c r="BI973" s="55"/>
      <c r="BJ973" s="62"/>
      <c r="BK973" s="57" t="n">
        <v>-8</v>
      </c>
      <c r="BL973" s="57" t="n">
        <v>155</v>
      </c>
      <c r="BM973" s="56" t="n">
        <v>-73.6</v>
      </c>
      <c r="BN973" s="57" t="n">
        <v>6</v>
      </c>
      <c r="BO973" s="55" t="s">
        <v>392</v>
      </c>
      <c r="BP973" s="60" t="n">
        <v>0</v>
      </c>
      <c r="BQ973" s="60" t="n">
        <v>973</v>
      </c>
      <c r="BR973" s="55" t="str">
        <f aca="false">IF(U973&lt;&gt;"",UPPER(TRIM(U973)),IF(BU973=1,UPPER(VLOOKUP(T973,Parameter!$I$27:$K$29,2,0)),IF(P973="","LOSE",P973)))</f>
        <v>S41</v>
      </c>
      <c r="BS973" s="57" t="n">
        <f aca="false">IF(BR973="LOSE",1,IF(N(V973)&gt;0,V973,IF(BU973=1,MAX(1,N(VLOOKUP(T973,Parameter!$I$27:$K$29,3,0)),H973,N(N973)),IF(N(Q973)&gt;0,Q973,MAX(1,H973)))))</f>
        <v>157</v>
      </c>
      <c r="BT973" s="60" t="n">
        <f aca="false">IF(BR973="LOSE",1,0)</f>
        <v>0</v>
      </c>
      <c r="BU973" s="60" t="n">
        <f aca="false">IF(AND(U973="",OR(P973="",P973="LOSE"),T973&lt;&gt;"",N(S973)&lt;=0,ISNUMBER(MATCH(T973,Parameter!$I$27:$I$29,0))),1,0)</f>
        <v>0</v>
      </c>
      <c r="BV973" s="55" t="str">
        <f aca="false">IF(AND(Parameter!$B$19="Ja",E973&lt;&gt;"",ISNUMBER(MATCH(E973,Parameter!$I$35:$I$52,0))),VLOOKUP(E973,Parameter!$I$35:$J$52,2,0),IFERROR(VLOOKUP(D973,Parameter!$A$35:$C$64,2,0),"Nein"))</f>
        <v>2+3</v>
      </c>
      <c r="BW973" s="59" t="n">
        <f aca="false">IF(BT973=0,0,IF(N(S973)&gt;0,S973,IFERROR(VLOOKUP(D973,Parameter!$A$35:$C$64,3,0)+0,0)))</f>
        <v>0</v>
      </c>
      <c r="BX973" s="55" t="n">
        <f aca="false">IF(AA973&lt;&gt;"",AA973,Z973)</f>
        <v>3</v>
      </c>
      <c r="BY973" s="55" t="str">
        <f aca="false">IF(BX973=1,"L1",IF(OR(BX973=2,BX973=3),"L23",IF(BX973="Aussen","Aussen","-")))</f>
        <v>L23</v>
      </c>
      <c r="BZ973" s="66" t="n">
        <f aca="false">IF(N(AB973)&gt;0,AB973,0)</f>
        <v>0</v>
      </c>
      <c r="CA973" s="60" t="n">
        <f aca="false">IF(ISNUMBER(AE973),1,0)</f>
        <v>0</v>
      </c>
      <c r="CB973" s="57" t="n">
        <f aca="false">N(AE973)</f>
        <v>0</v>
      </c>
      <c r="CC973" s="57" t="n">
        <f aca="false">N(M973)+N(N973)</f>
        <v>5</v>
      </c>
      <c r="CD973" s="57" t="n">
        <f aca="false">ROUNDUP(H973/BS973,0)</f>
        <v>1</v>
      </c>
      <c r="CE973" s="57" t="n">
        <f aca="false">ROUNDUP(CB973/BS973,0)</f>
        <v>0</v>
      </c>
      <c r="CF973" s="60" t="n">
        <f aca="false">IF(BT973=1,0,IFERROR(VLOOKUP(BR973,'Gebinde-Kategorie'!$A$5:$M$45,5,0)+0,0))</f>
        <v>11</v>
      </c>
      <c r="CG973" s="60" t="n">
        <f aca="false">IFERROR(IF(OR(BX973=1,BX973=2,BX973=3),N(INDEX(Parameter!$I$5:$I$7,BX973)),0),0)</f>
        <v>0</v>
      </c>
      <c r="CH973" s="59" t="n">
        <f aca="false">IF(AND(Parameter!$B$21="Ja",ISNUMBER(W973),N(X973)&gt;0),IFERROR(N(INDEX(Parameter!$L$5:$L$7,W973))*INDEX(Parameter!$E$5:$E$7,W973)*X973/SUMIFS($X$7:$X$1843,$W$7:$W$1843,W973),0),0)</f>
        <v>0</v>
      </c>
    </row>
    <row r="974" customFormat="false" ht="15" hidden="false" customHeight="false" outlineLevel="0" collapsed="false">
      <c r="A974" s="55" t="s">
        <v>1806</v>
      </c>
      <c r="B974" s="55" t="s">
        <v>1807</v>
      </c>
      <c r="C974" s="55" t="s">
        <v>164</v>
      </c>
      <c r="D974" s="55" t="s">
        <v>184</v>
      </c>
      <c r="E974" s="55" t="s">
        <v>185</v>
      </c>
      <c r="F974" s="55" t="s">
        <v>218</v>
      </c>
      <c r="G974" s="56" t="n">
        <v>68.15</v>
      </c>
      <c r="H974" s="57" t="n">
        <f aca="false">MAX(0,IF(AND(Parameter!$B$21="Ja",ISNUMBER(Y974)),Y974,IF(Parameter!$B$20="Jahresanfang 2025 + Export",BL974+BK974,BK974)))</f>
        <v>4</v>
      </c>
      <c r="I974" s="57" t="n">
        <f aca="false">H974*G974</f>
        <v>272.6</v>
      </c>
      <c r="J974" s="57" t="n">
        <f aca="false">BN974*Parameter!$B$18</f>
        <v>5</v>
      </c>
      <c r="K974" s="58" t="n">
        <v>4.5</v>
      </c>
      <c r="L974" s="59" t="n">
        <v>1.11111111111111</v>
      </c>
      <c r="M974" s="57" t="n">
        <v>0</v>
      </c>
      <c r="N974" s="57" t="n">
        <v>5</v>
      </c>
      <c r="O974" s="60" t="n">
        <v>21</v>
      </c>
      <c r="P974" s="55" t="s">
        <v>476</v>
      </c>
      <c r="Q974" s="57" t="n">
        <v>11</v>
      </c>
      <c r="R974" s="60" t="n">
        <f aca="false">IF(BT974=1,0,IFERROR(VLOOKUP(BR974,'Gebinde-Kategorie'!$A$5:$M$45,13,0)+0,0))</f>
        <v>66</v>
      </c>
      <c r="S974" s="61"/>
      <c r="T974" s="62"/>
      <c r="U974" s="62"/>
      <c r="V974" s="62"/>
      <c r="W974" s="55"/>
      <c r="X974" s="57"/>
      <c r="Y974" s="57"/>
      <c r="Z974" s="55" t="n">
        <f aca="false">IF(A974="","",IF(AND(Parameter!$B$21="Ja",ISNUMBER(W974)),W974,IF(BV974="2+3",IF(ISNUMBER(SEARCH("grosser Artikel",BO974)),2,IFERROR(VLOOKUP(BR974,Parameter!$F$35:$G$64,2,0),2)),IF(OR(BV974="Nein",BV974=""),"-",BV974))))</f>
        <v>3</v>
      </c>
      <c r="AA974" s="62"/>
      <c r="AB974" s="63"/>
      <c r="AC974" s="57" t="n">
        <f aca="false">AR974</f>
        <v>11</v>
      </c>
      <c r="AD974" s="57" t="n">
        <f aca="false">MAX(AR974,H974)</f>
        <v>11</v>
      </c>
      <c r="AE974" s="64"/>
      <c r="AF974" s="57" t="n">
        <f aca="false">IF(LEFT(Cockpit!$C$5,1)="A",H974,IF(CA974=1,CB974,IF(LEFT(Cockpit!$C$5,1)="B",AJ974,MAX(AJ974,H974))))</f>
        <v>4</v>
      </c>
      <c r="AG974" s="57" t="n">
        <f aca="false">IF(BT974=1,0,ROUNDUP(AF974/BS974,0))</f>
        <v>1</v>
      </c>
      <c r="AH974" s="59" t="n">
        <f aca="false">IF(CH974&gt;0,CH974*MAX(1,AF974/X974),IF(BT974=1,IF(AF974&lt;=0,0,BW974*MAX(1,IF(H974&gt;0,AF974/H974,1))),IF(R974&gt;0,AG974/R974,0))/MAX(0.1,N(Parameter!$M$21)))</f>
        <v>0.0151515151515152</v>
      </c>
      <c r="AI974" s="57" t="n">
        <f aca="false">AF974*G974</f>
        <v>272.6</v>
      </c>
      <c r="AJ974" s="57" t="n">
        <f aca="false">ROUNDUP(MAX(J974/IF(BZ974&gt;0,BZ974,MAX(0.1,N(Cockpit!$C$6))),CC974)/BS974,0)*BS974</f>
        <v>11</v>
      </c>
      <c r="AK974" s="58" t="n">
        <f aca="false">IF(AH974&gt;0,J974/AH974,-1)</f>
        <v>330</v>
      </c>
      <c r="AL974" s="58" t="n">
        <f aca="false">IF(AND(OR(BY974="L1",BY974="L23"),AH974&gt;0),SUMIFS($AH$7:$AH$1843,$BY$7:$BY$1843,BY974,$AK$7:$AK$1843,"&gt;"&amp;AK974)+SUMIFS($AH$7:$AH$1843,$BY$7:$BY$1843,BY974,$AK$7:$AK$1843,AK974,$BQ$7:$BQ$1843,"&lt;="&amp;BQ974),"")</f>
        <v>27.8375054896794</v>
      </c>
      <c r="AM974" s="65" t="n">
        <f aca="false">IF(AL974="",0,MAX(0,MIN(1,(IF(BY974="L1",Parameter!$E$5,Parameter!$E$6+Parameter!$E$7)-(AL974-AH974))/AH974)))</f>
        <v>1</v>
      </c>
      <c r="AN974" s="57" t="n">
        <f aca="false">IF(LEFT(Cockpit!$I$5,1)="A",H974,IF(CA974=1,CB974,IF(LEFT(Cockpit!$I$5,1)="B",AR974,MAX(AR974,H974))))</f>
        <v>11</v>
      </c>
      <c r="AO974" s="57" t="n">
        <f aca="false">IF(BT974=1,0,ROUNDUP(AN974/BS974,0))</f>
        <v>1</v>
      </c>
      <c r="AP974" s="59" t="n">
        <f aca="false">IF(CH974&gt;0,CH974*MAX(1,AN974/X974),IF(BT974=1,IF(AN974&lt;=0,0,BW974*MAX(1,IF(H974&gt;0,AN974/H974,1))),IF(R974&gt;0,AO974/R974,0))/MAX(0.1,N(Parameter!$M$21)))</f>
        <v>0.0151515151515152</v>
      </c>
      <c r="AQ974" s="57" t="n">
        <f aca="false">AN974*G974</f>
        <v>749.65</v>
      </c>
      <c r="AR974" s="57" t="n">
        <f aca="false">ROUNDUP(MAX(J974/IF(BZ974&gt;0,BZ974,MAX(0.1,N(Cockpit!$I$6))),CC974)/BS974,0)*BS974</f>
        <v>11</v>
      </c>
      <c r="AS974" s="58" t="n">
        <f aca="false">IF(AP974&gt;0,J974/AP974,-1)</f>
        <v>330</v>
      </c>
      <c r="AT974" s="58" t="n">
        <f aca="false">IF(AND(OR(BY974="L1",BY974="L23"),AP974&gt;0),SUMIFS($AP$7:$AP$1843,$BY$7:$BY$1843,BY974,$AS$7:$AS$1843,"&gt;"&amp;AS974)+SUMIFS($AP$7:$AP$1843,$BY$7:$BY$1843,BY974,$AS$7:$AS$1843,AS974,$BQ$7:$BQ$1843,"&lt;="&amp;BQ974),"")</f>
        <v>39.9731681362116</v>
      </c>
      <c r="AU974" s="65" t="n">
        <f aca="false">IF(AT974="",0,MAX(0,MIN(1,(IF(BY974="L1",Parameter!$E$5,Parameter!$E$6+Parameter!$E$7)-(AT974-AP974))/AP974)))</f>
        <v>1</v>
      </c>
      <c r="AV974" s="57" t="n">
        <f aca="false">IF(LEFT(Cockpit!$O$5,1)="A",H974,IF(CA974=1,CB974,IF(LEFT(Cockpit!$O$5,1)="B",AZ974,MAX(AZ974,H974))))</f>
        <v>11</v>
      </c>
      <c r="AW974" s="57" t="n">
        <f aca="false">IF(BT974=1,0,ROUNDUP(AV974/BS974,0))</f>
        <v>1</v>
      </c>
      <c r="AX974" s="59" t="n">
        <f aca="false">IF(CH974&gt;0,CH974*MAX(1,AV974/X974),IF(BT974=1,IF(AV974&lt;=0,0,BW974*MAX(1,IF(H974&gt;0,AV974/H974,1))),IF(R974&gt;0,AW974/R974,0))/MAX(0.1,N(Parameter!$M$21)))</f>
        <v>0.0151515151515152</v>
      </c>
      <c r="AY974" s="57" t="n">
        <f aca="false">AV974*G974</f>
        <v>749.65</v>
      </c>
      <c r="AZ974" s="57" t="n">
        <f aca="false">ROUNDUP(MAX(J974/IF(BZ974&gt;0,BZ974,MAX(0.1,N(Cockpit!$O$6))),CC974)/BS974,0)*BS974</f>
        <v>11</v>
      </c>
      <c r="BA974" s="58" t="n">
        <f aca="false">IF(AX974&gt;0,J974/AX974,-1)</f>
        <v>330</v>
      </c>
      <c r="BB974" s="58" t="n">
        <f aca="false">IF(AND(OR(BY974="L1",BY974="L23"),AX974&gt;0),SUMIFS($AX$7:$AX$1843,$BY$7:$BY$1843,BY974,$BA$7:$BA$1843,"&gt;"&amp;BA974)+SUMIFS($AX$7:$AX$1843,$BY$7:$BY$1843,BY974,$BA$7:$BA$1843,BA974,$BQ$7:$BQ$1843,"&lt;="&amp;BQ974),"")</f>
        <v>36.3030049660485</v>
      </c>
      <c r="BC974" s="65" t="n">
        <f aca="false">IF(BB974="",0,MAX(0,MIN(1,(IF(BY974="L1",Parameter!$E$5,Parameter!$E$6+Parameter!$E$7)-(BB974-AX974))/AX974)))</f>
        <v>1</v>
      </c>
      <c r="BD974" s="55" t="str">
        <f aca="false">IF(AH974&lt;=0,"",IF(BY974="Aussen","Aussenlager",IF(BY974="-","Nicht im Lift",IF(AM974&gt;=1,"Lift",IF(AM974&lt;=0,"Aussenlager","teilweise")))))</f>
        <v>Lift</v>
      </c>
      <c r="BE974" s="55" t="str">
        <f aca="false">IF(AP974&lt;=0,"",IF(BY974="Aussen","Aussenlager",IF(BY974="-","Nicht im Lift",IF(AU974&gt;=1,"Lift",IF(AU974&lt;=0,"Aussenlager","teilweise")))))</f>
        <v>Lift</v>
      </c>
      <c r="BF974" s="55" t="str">
        <f aca="false">IF(AX974&lt;=0,"",IF(BY974="Aussen","Aussenlager",IF(BY974="-","Nicht im Lift",IF(BC974&gt;=1,"Lift",IF(BC974&lt;=0,"Aussenlager","teilweise")))))</f>
        <v>Lift</v>
      </c>
      <c r="BG974" s="55" t="str">
        <f aca="false">IF(A974="","",IF(BP974=1,"Neu; ","")&amp;IF(AND(BP974=0,BK974&lt;0),"negativer Bestand (Export "&amp;BK974&amp;"); ","")&amp;IF(J974&lt;=0,"Kein Verbrauch; ","")&amp;IF(CH974&gt;0,"Lift "&amp;W974&amp;" lt. Liftbericht (Fach "&amp;X974&amp;" Stk); ",IF(BU974=1,"Gebinde geschätzt ("&amp;T974&amp;"); ",IF(BT974=1,"Lose – Tablare geschätzt; ","")))&amp;IF(H974&gt;AR974,"Überbestand "&amp;ROUND(H974-AR974,0)&amp;" Stk / CHF "&amp;ROUND((H974-AR974)*G974,0)&amp;"; ","")&amp;IF(AND(CA974=1,CB974&lt;CC974),"MAX &lt; MB+LG; ","")&amp;IF(AND(CG974&gt;0,CF974*10&gt;CG974),"zu hoch für Tablar; ","")&amp;IF(AND(BP974=0,OR(CA974=1,AA974&lt;&gt;"",U974&lt;&gt;"",V974&lt;&gt;"",AB974&lt;&gt;"")),"manuell übersteuert; ","")&amp;IF(AND(BT974=0,R974=0),"Gebinde unbekannt / Stellmass fehlt; ","")&amp;IF(AND(BT974=0,N(V974)&lt;=0,N(Q974)&lt;=0),"Menge pro Gebinde fehlt (Ist = 1 Gebinde); ","")&amp;BO974)</f>
        <v>negativer Bestand (Export -2); </v>
      </c>
      <c r="BH974" s="55"/>
      <c r="BI974" s="55"/>
      <c r="BJ974" s="62"/>
      <c r="BK974" s="57" t="n">
        <v>-2</v>
      </c>
      <c r="BL974" s="57" t="n">
        <v>6</v>
      </c>
      <c r="BM974" s="56" t="n">
        <v>-73.66</v>
      </c>
      <c r="BN974" s="57" t="n">
        <v>5</v>
      </c>
      <c r="BO974" s="55"/>
      <c r="BP974" s="60" t="n">
        <v>0</v>
      </c>
      <c r="BQ974" s="60" t="n">
        <v>974</v>
      </c>
      <c r="BR974" s="55" t="str">
        <f aca="false">IF(U974&lt;&gt;"",UPPER(TRIM(U974)),IF(BU974=1,UPPER(VLOOKUP(T974,Parameter!$I$27:$K$29,2,0)),IF(P974="","LOSE",P974)))</f>
        <v>S33</v>
      </c>
      <c r="BS974" s="57" t="n">
        <f aca="false">IF(BR974="LOSE",1,IF(N(V974)&gt;0,V974,IF(BU974=1,MAX(1,N(VLOOKUP(T974,Parameter!$I$27:$K$29,3,0)),H974,N(N974)),IF(N(Q974)&gt;0,Q974,MAX(1,H974)))))</f>
        <v>11</v>
      </c>
      <c r="BT974" s="60" t="n">
        <f aca="false">IF(BR974="LOSE",1,0)</f>
        <v>0</v>
      </c>
      <c r="BU974" s="60" t="n">
        <f aca="false">IF(AND(U974="",OR(P974="",P974="LOSE"),T974&lt;&gt;"",N(S974)&lt;=0,ISNUMBER(MATCH(T974,Parameter!$I$27:$I$29,0))),1,0)</f>
        <v>0</v>
      </c>
      <c r="BV974" s="55" t="str">
        <f aca="false">IF(AND(Parameter!$B$19="Ja",E974&lt;&gt;"",ISNUMBER(MATCH(E974,Parameter!$I$35:$I$52,0))),VLOOKUP(E974,Parameter!$I$35:$J$52,2,0),IFERROR(VLOOKUP(D974,Parameter!$A$35:$C$64,2,0),"Nein"))</f>
        <v>2+3</v>
      </c>
      <c r="BW974" s="59" t="n">
        <f aca="false">IF(BT974=0,0,IF(N(S974)&gt;0,S974,IFERROR(VLOOKUP(D974,Parameter!$A$35:$C$64,3,0)+0,0)))</f>
        <v>0</v>
      </c>
      <c r="BX974" s="55" t="n">
        <f aca="false">IF(AA974&lt;&gt;"",AA974,Z974)</f>
        <v>3</v>
      </c>
      <c r="BY974" s="55" t="str">
        <f aca="false">IF(BX974=1,"L1",IF(OR(BX974=2,BX974=3),"L23",IF(BX974="Aussen","Aussen","-")))</f>
        <v>L23</v>
      </c>
      <c r="BZ974" s="66" t="n">
        <f aca="false">IF(N(AB974)&gt;0,AB974,0)</f>
        <v>0</v>
      </c>
      <c r="CA974" s="60" t="n">
        <f aca="false">IF(ISNUMBER(AE974),1,0)</f>
        <v>0</v>
      </c>
      <c r="CB974" s="57" t="n">
        <f aca="false">N(AE974)</f>
        <v>0</v>
      </c>
      <c r="CC974" s="57" t="n">
        <f aca="false">N(M974)+N(N974)</f>
        <v>5</v>
      </c>
      <c r="CD974" s="57" t="n">
        <f aca="false">ROUNDUP(H974/BS974,0)</f>
        <v>1</v>
      </c>
      <c r="CE974" s="57" t="n">
        <f aca="false">ROUNDUP(CB974/BS974,0)</f>
        <v>0</v>
      </c>
      <c r="CF974" s="60" t="n">
        <f aca="false">IF(BT974=1,0,IFERROR(VLOOKUP(BR974,'Gebinde-Kategorie'!$A$5:$M$45,5,0)+0,0))</f>
        <v>8</v>
      </c>
      <c r="CG974" s="60" t="n">
        <f aca="false">IFERROR(IF(OR(BX974=1,BX974=2,BX974=3),N(INDEX(Parameter!$I$5:$I$7,BX974)),0),0)</f>
        <v>0</v>
      </c>
      <c r="CH974" s="59" t="n">
        <f aca="false">IF(AND(Parameter!$B$21="Ja",ISNUMBER(W974),N(X974)&gt;0),IFERROR(N(INDEX(Parameter!$L$5:$L$7,W974))*INDEX(Parameter!$E$5:$E$7,W974)*X974/SUMIFS($X$7:$X$1843,$W$7:$W$1843,W974),0),0)</f>
        <v>0</v>
      </c>
    </row>
    <row r="975" customFormat="false" ht="15" hidden="false" customHeight="false" outlineLevel="0" collapsed="false">
      <c r="A975" s="55" t="s">
        <v>1808</v>
      </c>
      <c r="B975" s="55" t="s">
        <v>812</v>
      </c>
      <c r="C975" s="55" t="s">
        <v>164</v>
      </c>
      <c r="D975" s="55" t="s">
        <v>184</v>
      </c>
      <c r="E975" s="55" t="s">
        <v>185</v>
      </c>
      <c r="F975" s="55" t="s">
        <v>218</v>
      </c>
      <c r="G975" s="56" t="n">
        <v>0.16</v>
      </c>
      <c r="H975" s="57" t="n">
        <f aca="false">MAX(0,IF(AND(Parameter!$B$21="Ja",ISNUMBER(Y975)),Y975,IF(Parameter!$B$20="Jahresanfang 2025 + Export",BL975+BK975,BK975)))</f>
        <v>242</v>
      </c>
      <c r="I975" s="57" t="n">
        <f aca="false">H975*G975</f>
        <v>38.72</v>
      </c>
      <c r="J975" s="57" t="n">
        <f aca="false">BN975*Parameter!$B$18</f>
        <v>196</v>
      </c>
      <c r="K975" s="58" t="n">
        <v>565.5</v>
      </c>
      <c r="L975" s="59" t="n">
        <v>0.346595932802829</v>
      </c>
      <c r="M975" s="57" t="n">
        <v>11</v>
      </c>
      <c r="N975" s="57" t="n">
        <v>195</v>
      </c>
      <c r="O975" s="60" t="n">
        <v>21</v>
      </c>
      <c r="P975" s="55" t="s">
        <v>233</v>
      </c>
      <c r="Q975" s="57" t="n">
        <v>609</v>
      </c>
      <c r="R975" s="60" t="n">
        <f aca="false">IF(BT975=1,0,IFERROR(VLOOKUP(BR975,'Gebinde-Kategorie'!$A$5:$M$45,13,0)+0,0))</f>
        <v>26</v>
      </c>
      <c r="S975" s="61"/>
      <c r="T975" s="62"/>
      <c r="U975" s="62"/>
      <c r="V975" s="62"/>
      <c r="W975" s="55"/>
      <c r="X975" s="57"/>
      <c r="Y975" s="57"/>
      <c r="Z975" s="55" t="n">
        <f aca="false">IF(A975="","",IF(AND(Parameter!$B$21="Ja",ISNUMBER(W975)),W975,IF(BV975="2+3",IF(ISNUMBER(SEARCH("grosser Artikel",BO975)),2,IFERROR(VLOOKUP(BR975,Parameter!$F$35:$G$64,2,0),2)),IF(OR(BV975="Nein",BV975=""),"-",BV975))))</f>
        <v>3</v>
      </c>
      <c r="AA975" s="62"/>
      <c r="AB975" s="63"/>
      <c r="AC975" s="57" t="n">
        <f aca="false">AR975</f>
        <v>609</v>
      </c>
      <c r="AD975" s="57" t="n">
        <f aca="false">MAX(AR975,H975)</f>
        <v>609</v>
      </c>
      <c r="AE975" s="64"/>
      <c r="AF975" s="57" t="n">
        <f aca="false">IF(LEFT(Cockpit!$C$5,1)="A",H975,IF(CA975=1,CB975,IF(LEFT(Cockpit!$C$5,1)="B",AJ975,MAX(AJ975,H975))))</f>
        <v>242</v>
      </c>
      <c r="AG975" s="57" t="n">
        <f aca="false">IF(BT975=1,0,ROUNDUP(AF975/BS975,0))</f>
        <v>1</v>
      </c>
      <c r="AH975" s="59" t="n">
        <f aca="false">IF(CH975&gt;0,CH975*MAX(1,AF975/X975),IF(BT975=1,IF(AF975&lt;=0,0,BW975*MAX(1,IF(H975&gt;0,AF975/H975,1))),IF(R975&gt;0,AG975/R975,0))/MAX(0.1,N(Parameter!$M$21)))</f>
        <v>0.0384615384615385</v>
      </c>
      <c r="AI975" s="57" t="n">
        <f aca="false">AF975*G975</f>
        <v>38.72</v>
      </c>
      <c r="AJ975" s="57" t="n">
        <f aca="false">ROUNDUP(MAX(J975/IF(BZ975&gt;0,BZ975,MAX(0.1,N(Cockpit!$C$6))),CC975)/BS975,0)*BS975</f>
        <v>609</v>
      </c>
      <c r="AK975" s="58" t="n">
        <f aca="false">IF(AH975&gt;0,J975/AH975,-1)</f>
        <v>5096</v>
      </c>
      <c r="AL975" s="58" t="n">
        <f aca="false">IF(AND(OR(BY975="L1",BY975="L23"),AH975&gt;0),SUMIFS($AH$7:$AH$1843,$BY$7:$BY$1843,BY975,$AK$7:$AK$1843,"&gt;"&amp;AK975)+SUMIFS($AH$7:$AH$1843,$BY$7:$BY$1843,BY975,$AK$7:$AK$1843,AK975,$BQ$7:$BQ$1843,"&lt;="&amp;BQ975),"")</f>
        <v>7.12964089051046</v>
      </c>
      <c r="AM975" s="65" t="n">
        <f aca="false">IF(AL975="",0,MAX(0,MIN(1,(IF(BY975="L1",Parameter!$E$5,Parameter!$E$6+Parameter!$E$7)-(AL975-AH975))/AH975)))</f>
        <v>1</v>
      </c>
      <c r="AN975" s="57" t="n">
        <f aca="false">IF(LEFT(Cockpit!$I$5,1)="A",H975,IF(CA975=1,CB975,IF(LEFT(Cockpit!$I$5,1)="B",AR975,MAX(AR975,H975))))</f>
        <v>609</v>
      </c>
      <c r="AO975" s="57" t="n">
        <f aca="false">IF(BT975=1,0,ROUNDUP(AN975/BS975,0))</f>
        <v>1</v>
      </c>
      <c r="AP975" s="59" t="n">
        <f aca="false">IF(CH975&gt;0,CH975*MAX(1,AN975/X975),IF(BT975=1,IF(AN975&lt;=0,0,BW975*MAX(1,IF(H975&gt;0,AN975/H975,1))),IF(R975&gt;0,AO975/R975,0))/MAX(0.1,N(Parameter!$M$21)))</f>
        <v>0.0384615384615385</v>
      </c>
      <c r="AQ975" s="57" t="n">
        <f aca="false">AN975*G975</f>
        <v>97.44</v>
      </c>
      <c r="AR975" s="57" t="n">
        <f aca="false">ROUNDUP(MAX(J975/IF(BZ975&gt;0,BZ975,MAX(0.1,N(Cockpit!$I$6))),CC975)/BS975,0)*BS975</f>
        <v>609</v>
      </c>
      <c r="AS975" s="58" t="n">
        <f aca="false">IF(AP975&gt;0,J975/AP975,-1)</f>
        <v>5096</v>
      </c>
      <c r="AT975" s="58" t="n">
        <f aca="false">IF(AND(OR(BY975="L1",BY975="L23"),AP975&gt;0),SUMIFS($AP$7:$AP$1843,$BY$7:$BY$1843,BY975,$AS$7:$AS$1843,"&gt;"&amp;AS975)+SUMIFS($AP$7:$AP$1843,$BY$7:$BY$1843,BY975,$AS$7:$AS$1843,AS975,$BQ$7:$BQ$1843,"&lt;="&amp;BQ975),"")</f>
        <v>11.843552582683</v>
      </c>
      <c r="AU975" s="65" t="n">
        <f aca="false">IF(AT975="",0,MAX(0,MIN(1,(IF(BY975="L1",Parameter!$E$5,Parameter!$E$6+Parameter!$E$7)-(AT975-AP975))/AP975)))</f>
        <v>1</v>
      </c>
      <c r="AV975" s="57" t="n">
        <f aca="false">IF(LEFT(Cockpit!$O$5,1)="A",H975,IF(CA975=1,CB975,IF(LEFT(Cockpit!$O$5,1)="B",AZ975,MAX(AZ975,H975))))</f>
        <v>609</v>
      </c>
      <c r="AW975" s="57" t="n">
        <f aca="false">IF(BT975=1,0,ROUNDUP(AV975/BS975,0))</f>
        <v>1</v>
      </c>
      <c r="AX975" s="59" t="n">
        <f aca="false">IF(CH975&gt;0,CH975*MAX(1,AV975/X975),IF(BT975=1,IF(AV975&lt;=0,0,BW975*MAX(1,IF(H975&gt;0,AV975/H975,1))),IF(R975&gt;0,AW975/R975,0))/MAX(0.1,N(Parameter!$M$21)))</f>
        <v>0.0384615384615385</v>
      </c>
      <c r="AY975" s="57" t="n">
        <f aca="false">AV975*G975</f>
        <v>97.44</v>
      </c>
      <c r="AZ975" s="57" t="n">
        <f aca="false">ROUNDUP(MAX(J975/IF(BZ975&gt;0,BZ975,MAX(0.1,N(Cockpit!$O$6))),CC975)/BS975,0)*BS975</f>
        <v>609</v>
      </c>
      <c r="BA975" s="58" t="n">
        <f aca="false">IF(AX975&gt;0,J975/AX975,-1)</f>
        <v>5096</v>
      </c>
      <c r="BB975" s="58" t="n">
        <f aca="false">IF(AND(OR(BY975="L1",BY975="L23"),AX975&gt;0),SUMIFS($AX$7:$AX$1843,$BY$7:$BY$1843,BY975,$BA$7:$BA$1843,"&gt;"&amp;BA975)+SUMIFS($AX$7:$AX$1843,$BY$7:$BY$1843,BY975,$BA$7:$BA$1843,BA975,$BQ$7:$BQ$1843,"&lt;="&amp;BQ975),"")</f>
        <v>10.5644150535455</v>
      </c>
      <c r="BC975" s="65" t="n">
        <f aca="false">IF(BB975="",0,MAX(0,MIN(1,(IF(BY975="L1",Parameter!$E$5,Parameter!$E$6+Parameter!$E$7)-(BB975-AX975))/AX975)))</f>
        <v>1</v>
      </c>
      <c r="BD975" s="55" t="str">
        <f aca="false">IF(AH975&lt;=0,"",IF(BY975="Aussen","Aussenlager",IF(BY975="-","Nicht im Lift",IF(AM975&gt;=1,"Lift",IF(AM975&lt;=0,"Aussenlager","teilweise")))))</f>
        <v>Lift</v>
      </c>
      <c r="BE975" s="55" t="str">
        <f aca="false">IF(AP975&lt;=0,"",IF(BY975="Aussen","Aussenlager",IF(BY975="-","Nicht im Lift",IF(AU975&gt;=1,"Lift",IF(AU975&lt;=0,"Aussenlager","teilweise")))))</f>
        <v>Lift</v>
      </c>
      <c r="BF975" s="55" t="str">
        <f aca="false">IF(AX975&lt;=0,"",IF(BY975="Aussen","Aussenlager",IF(BY975="-","Nicht im Lift",IF(BC975&gt;=1,"Lift",IF(BC975&lt;=0,"Aussenlager","teilweise")))))</f>
        <v>Lift</v>
      </c>
      <c r="BG975" s="55" t="str">
        <f aca="false">IF(A975="","",IF(BP975=1,"Neu; ","")&amp;IF(AND(BP975=0,BK975&lt;0),"negativer Bestand (Export "&amp;BK975&amp;"); ","")&amp;IF(J975&lt;=0,"Kein Verbrauch; ","")&amp;IF(CH975&gt;0,"Lift "&amp;W975&amp;" lt. Liftbericht (Fach "&amp;X975&amp;" Stk); ",IF(BU975=1,"Gebinde geschätzt ("&amp;T975&amp;"); ",IF(BT975=1,"Lose – Tablare geschätzt; ","")))&amp;IF(H975&gt;AR975,"Überbestand "&amp;ROUND(H975-AR975,0)&amp;" Stk / CHF "&amp;ROUND((H975-AR975)*G975,0)&amp;"; ","")&amp;IF(AND(CA975=1,CB975&lt;CC975),"MAX &lt; MB+LG; ","")&amp;IF(AND(CG975&gt;0,CF975*10&gt;CG975),"zu hoch für Tablar; ","")&amp;IF(AND(BP975=0,OR(CA975=1,AA975&lt;&gt;"",U975&lt;&gt;"",V975&lt;&gt;"",AB975&lt;&gt;"")),"manuell übersteuert; ","")&amp;IF(AND(BT975=0,R975=0),"Gebinde unbekannt / Stellmass fehlt; ","")&amp;IF(AND(BT975=0,N(V975)&lt;=0,N(Q975)&lt;=0),"Menge pro Gebinde fehlt (Ist = 1 Gebinde); ","")&amp;BO975)</f>
        <v>negativer Bestand (Export -464); </v>
      </c>
      <c r="BH975" s="55"/>
      <c r="BI975" s="55"/>
      <c r="BJ975" s="62"/>
      <c r="BK975" s="57" t="n">
        <v>-464</v>
      </c>
      <c r="BL975" s="57" t="n">
        <v>706</v>
      </c>
      <c r="BM975" s="56" t="n">
        <v>-74.24</v>
      </c>
      <c r="BN975" s="57" t="n">
        <v>196</v>
      </c>
      <c r="BO975" s="55"/>
      <c r="BP975" s="60" t="n">
        <v>0</v>
      </c>
      <c r="BQ975" s="60" t="n">
        <v>975</v>
      </c>
      <c r="BR975" s="55" t="str">
        <f aca="false">IF(U975&lt;&gt;"",UPPER(TRIM(U975)),IF(BU975=1,UPPER(VLOOKUP(T975,Parameter!$I$27:$K$29,2,0)),IF(P975="","LOSE",P975)))</f>
        <v>S52</v>
      </c>
      <c r="BS975" s="57" t="n">
        <f aca="false">IF(BR975="LOSE",1,IF(N(V975)&gt;0,V975,IF(BU975=1,MAX(1,N(VLOOKUP(T975,Parameter!$I$27:$K$29,3,0)),H975,N(N975)),IF(N(Q975)&gt;0,Q975,MAX(1,H975)))))</f>
        <v>609</v>
      </c>
      <c r="BT975" s="60" t="n">
        <f aca="false">IF(BR975="LOSE",1,0)</f>
        <v>0</v>
      </c>
      <c r="BU975" s="60" t="n">
        <f aca="false">IF(AND(U975="",OR(P975="",P975="LOSE"),T975&lt;&gt;"",N(S975)&lt;=0,ISNUMBER(MATCH(T975,Parameter!$I$27:$I$29,0))),1,0)</f>
        <v>0</v>
      </c>
      <c r="BV975" s="55" t="str">
        <f aca="false">IF(AND(Parameter!$B$19="Ja",E975&lt;&gt;"",ISNUMBER(MATCH(E975,Parameter!$I$35:$I$52,0))),VLOOKUP(E975,Parameter!$I$35:$J$52,2,0),IFERROR(VLOOKUP(D975,Parameter!$A$35:$C$64,2,0),"Nein"))</f>
        <v>2+3</v>
      </c>
      <c r="BW975" s="59" t="n">
        <f aca="false">IF(BT975=0,0,IF(N(S975)&gt;0,S975,IFERROR(VLOOKUP(D975,Parameter!$A$35:$C$64,3,0)+0,0)))</f>
        <v>0</v>
      </c>
      <c r="BX975" s="55" t="n">
        <f aca="false">IF(AA975&lt;&gt;"",AA975,Z975)</f>
        <v>3</v>
      </c>
      <c r="BY975" s="55" t="str">
        <f aca="false">IF(BX975=1,"L1",IF(OR(BX975=2,BX975=3),"L23",IF(BX975="Aussen","Aussen","-")))</f>
        <v>L23</v>
      </c>
      <c r="BZ975" s="66" t="n">
        <f aca="false">IF(N(AB975)&gt;0,AB975,0)</f>
        <v>0</v>
      </c>
      <c r="CA975" s="60" t="n">
        <f aca="false">IF(ISNUMBER(AE975),1,0)</f>
        <v>0</v>
      </c>
      <c r="CB975" s="57" t="n">
        <f aca="false">N(AE975)</f>
        <v>0</v>
      </c>
      <c r="CC975" s="57" t="n">
        <f aca="false">N(M975)+N(N975)</f>
        <v>206</v>
      </c>
      <c r="CD975" s="57" t="n">
        <f aca="false">ROUNDUP(H975/BS975,0)</f>
        <v>1</v>
      </c>
      <c r="CE975" s="57" t="n">
        <f aca="false">ROUNDUP(CB975/BS975,0)</f>
        <v>0</v>
      </c>
      <c r="CF975" s="60" t="n">
        <f aca="false">IF(BT975=1,0,IFERROR(VLOOKUP(BR975,'Gebinde-Kategorie'!$A$5:$M$45,5,0)+0,0))</f>
        <v>21</v>
      </c>
      <c r="CG975" s="60" t="n">
        <f aca="false">IFERROR(IF(OR(BX975=1,BX975=2,BX975=3),N(INDEX(Parameter!$I$5:$I$7,BX975)),0),0)</f>
        <v>0</v>
      </c>
      <c r="CH975" s="59" t="n">
        <f aca="false">IF(AND(Parameter!$B$21="Ja",ISNUMBER(W975),N(X975)&gt;0),IFERROR(N(INDEX(Parameter!$L$5:$L$7,W975))*INDEX(Parameter!$E$5:$E$7,W975)*X975/SUMIFS($X$7:$X$1843,$W$7:$W$1843,W975),0),0)</f>
        <v>0</v>
      </c>
    </row>
    <row r="976" customFormat="false" ht="15" hidden="false" customHeight="false" outlineLevel="0" collapsed="false">
      <c r="A976" s="55" t="s">
        <v>1809</v>
      </c>
      <c r="B976" s="55" t="s">
        <v>468</v>
      </c>
      <c r="C976" s="55" t="s">
        <v>164</v>
      </c>
      <c r="D976" s="55" t="s">
        <v>184</v>
      </c>
      <c r="E976" s="55" t="s">
        <v>185</v>
      </c>
      <c r="F976" s="55" t="s">
        <v>218</v>
      </c>
      <c r="G976" s="56" t="n">
        <v>0.87</v>
      </c>
      <c r="H976" s="57" t="n">
        <f aca="false">MAX(0,IF(AND(Parameter!$B$21="Ja",ISNUMBER(Y976)),Y976,IF(Parameter!$B$20="Jahresanfang 2025 + Export",BL976+BK976,BK976)))</f>
        <v>93</v>
      </c>
      <c r="I976" s="57" t="n">
        <f aca="false">H976*G976</f>
        <v>80.91</v>
      </c>
      <c r="J976" s="57" t="n">
        <f aca="false">BN976*Parameter!$B$18</f>
        <v>145</v>
      </c>
      <c r="K976" s="58" t="n">
        <v>181</v>
      </c>
      <c r="L976" s="59" t="n">
        <v>0.801104972375691</v>
      </c>
      <c r="M976" s="57" t="n">
        <v>5</v>
      </c>
      <c r="N976" s="57" t="n">
        <v>145</v>
      </c>
      <c r="O976" s="60" t="n">
        <v>14</v>
      </c>
      <c r="P976" s="55" t="s">
        <v>302</v>
      </c>
      <c r="Q976" s="57" t="n">
        <v>165</v>
      </c>
      <c r="R976" s="60" t="n">
        <f aca="false">IF(BT976=1,0,IFERROR(VLOOKUP(BR976,'Gebinde-Kategorie'!$A$5:$M$45,13,0)+0,0))</f>
        <v>26</v>
      </c>
      <c r="S976" s="61"/>
      <c r="T976" s="62"/>
      <c r="U976" s="62"/>
      <c r="V976" s="62"/>
      <c r="W976" s="55"/>
      <c r="X976" s="57"/>
      <c r="Y976" s="57"/>
      <c r="Z976" s="55" t="n">
        <f aca="false">IF(A976="","",IF(AND(Parameter!$B$21="Ja",ISNUMBER(W976)),W976,IF(BV976="2+3",IF(ISNUMBER(SEARCH("grosser Artikel",BO976)),2,IFERROR(VLOOKUP(BR976,Parameter!$F$35:$G$64,2,0),2)),IF(OR(BV976="Nein",BV976=""),"-",BV976))))</f>
        <v>3</v>
      </c>
      <c r="AA976" s="62"/>
      <c r="AB976" s="63"/>
      <c r="AC976" s="57" t="n">
        <f aca="false">AR976</f>
        <v>165</v>
      </c>
      <c r="AD976" s="57" t="n">
        <f aca="false">MAX(AR976,H976)</f>
        <v>165</v>
      </c>
      <c r="AE976" s="64"/>
      <c r="AF976" s="57" t="n">
        <f aca="false">IF(LEFT(Cockpit!$C$5,1)="A",H976,IF(CA976=1,CB976,IF(LEFT(Cockpit!$C$5,1)="B",AJ976,MAX(AJ976,H976))))</f>
        <v>93</v>
      </c>
      <c r="AG976" s="57" t="n">
        <f aca="false">IF(BT976=1,0,ROUNDUP(AF976/BS976,0))</f>
        <v>1</v>
      </c>
      <c r="AH976" s="59" t="n">
        <f aca="false">IF(CH976&gt;0,CH976*MAX(1,AF976/X976),IF(BT976=1,IF(AF976&lt;=0,0,BW976*MAX(1,IF(H976&gt;0,AF976/H976,1))),IF(R976&gt;0,AG976/R976,0))/MAX(0.1,N(Parameter!$M$21)))</f>
        <v>0.0384615384615385</v>
      </c>
      <c r="AI976" s="57" t="n">
        <f aca="false">AF976*G976</f>
        <v>80.91</v>
      </c>
      <c r="AJ976" s="57" t="n">
        <f aca="false">ROUNDUP(MAX(J976/IF(BZ976&gt;0,BZ976,MAX(0.1,N(Cockpit!$C$6))),CC976)/BS976,0)*BS976</f>
        <v>165</v>
      </c>
      <c r="AK976" s="58" t="n">
        <f aca="false">IF(AH976&gt;0,J976/AH976,-1)</f>
        <v>3770</v>
      </c>
      <c r="AL976" s="58" t="n">
        <f aca="false">IF(AND(OR(BY976="L1",BY976="L23"),AH976&gt;0),SUMIFS($AH$7:$AH$1843,$BY$7:$BY$1843,BY976,$AK$7:$AK$1843,"&gt;"&amp;AK976)+SUMIFS($AH$7:$AH$1843,$BY$7:$BY$1843,BY976,$AK$7:$AK$1843,AK976,$BQ$7:$BQ$1843,"&lt;="&amp;BQ976),"")</f>
        <v>9.06687274078579</v>
      </c>
      <c r="AM976" s="65" t="n">
        <f aca="false">IF(AL976="",0,MAX(0,MIN(1,(IF(BY976="L1",Parameter!$E$5,Parameter!$E$6+Parameter!$E$7)-(AL976-AH976))/AH976)))</f>
        <v>1</v>
      </c>
      <c r="AN976" s="57" t="n">
        <f aca="false">IF(LEFT(Cockpit!$I$5,1)="A",H976,IF(CA976=1,CB976,IF(LEFT(Cockpit!$I$5,1)="B",AR976,MAX(AR976,H976))))</f>
        <v>165</v>
      </c>
      <c r="AO976" s="57" t="n">
        <f aca="false">IF(BT976=1,0,ROUNDUP(AN976/BS976,0))</f>
        <v>1</v>
      </c>
      <c r="AP976" s="59" t="n">
        <f aca="false">IF(CH976&gt;0,CH976*MAX(1,AN976/X976),IF(BT976=1,IF(AN976&lt;=0,0,BW976*MAX(1,IF(H976&gt;0,AN976/H976,1))),IF(R976&gt;0,AO976/R976,0))/MAX(0.1,N(Parameter!$M$21)))</f>
        <v>0.0384615384615385</v>
      </c>
      <c r="AQ976" s="57" t="n">
        <f aca="false">AN976*G976</f>
        <v>143.55</v>
      </c>
      <c r="AR976" s="57" t="n">
        <f aca="false">ROUNDUP(MAX(J976/IF(BZ976&gt;0,BZ976,MAX(0.1,N(Cockpit!$I$6))),CC976)/BS976,0)*BS976</f>
        <v>165</v>
      </c>
      <c r="AS976" s="58" t="n">
        <f aca="false">IF(AP976&gt;0,J976/AP976,-1)</f>
        <v>3770</v>
      </c>
      <c r="AT976" s="58" t="n">
        <f aca="false">IF(AND(OR(BY976="L1",BY976="L23"),AP976&gt;0),SUMIFS($AP$7:$AP$1843,$BY$7:$BY$1843,BY976,$AS$7:$AS$1843,"&gt;"&amp;AS976)+SUMIFS($AP$7:$AP$1843,$BY$7:$BY$1843,BY976,$AS$7:$AS$1843,AS976,$BQ$7:$BQ$1843,"&lt;="&amp;BQ976),"")</f>
        <v>13.8019577041316</v>
      </c>
      <c r="AU976" s="65" t="n">
        <f aca="false">IF(AT976="",0,MAX(0,MIN(1,(IF(BY976="L1",Parameter!$E$5,Parameter!$E$6+Parameter!$E$7)-(AT976-AP976))/AP976)))</f>
        <v>1</v>
      </c>
      <c r="AV976" s="57" t="n">
        <f aca="false">IF(LEFT(Cockpit!$O$5,1)="A",H976,IF(CA976=1,CB976,IF(LEFT(Cockpit!$O$5,1)="B",AZ976,MAX(AZ976,H976))))</f>
        <v>165</v>
      </c>
      <c r="AW976" s="57" t="n">
        <f aca="false">IF(BT976=1,0,ROUNDUP(AV976/BS976,0))</f>
        <v>1</v>
      </c>
      <c r="AX976" s="59" t="n">
        <f aca="false">IF(CH976&gt;0,CH976*MAX(1,AV976/X976),IF(BT976=1,IF(AV976&lt;=0,0,BW976*MAX(1,IF(H976&gt;0,AV976/H976,1))),IF(R976&gt;0,AW976/R976,0))/MAX(0.1,N(Parameter!$M$21)))</f>
        <v>0.0384615384615385</v>
      </c>
      <c r="AY976" s="57" t="n">
        <f aca="false">AV976*G976</f>
        <v>143.55</v>
      </c>
      <c r="AZ976" s="57" t="n">
        <f aca="false">ROUNDUP(MAX(J976/IF(BZ976&gt;0,BZ976,MAX(0.1,N(Cockpit!$O$6))),CC976)/BS976,0)*BS976</f>
        <v>165</v>
      </c>
      <c r="BA976" s="58" t="n">
        <f aca="false">IF(AX976&gt;0,J976/AX976,-1)</f>
        <v>3770</v>
      </c>
      <c r="BB976" s="58" t="n">
        <f aca="false">IF(AND(OR(BY976="L1",BY976="L23"),AX976&gt;0),SUMIFS($AX$7:$AX$1843,$BY$7:$BY$1843,BY976,$BA$7:$BA$1843,"&gt;"&amp;BA976)+SUMIFS($AX$7:$AX$1843,$BY$7:$BY$1843,BY976,$BA$7:$BA$1843,BA976,$BQ$7:$BQ$1843,"&lt;="&amp;BQ976),"")</f>
        <v>12.3689740211479</v>
      </c>
      <c r="BC976" s="65" t="n">
        <f aca="false">IF(BB976="",0,MAX(0,MIN(1,(IF(BY976="L1",Parameter!$E$5,Parameter!$E$6+Parameter!$E$7)-(BB976-AX976))/AX976)))</f>
        <v>1</v>
      </c>
      <c r="BD976" s="55" t="str">
        <f aca="false">IF(AH976&lt;=0,"",IF(BY976="Aussen","Aussenlager",IF(BY976="-","Nicht im Lift",IF(AM976&gt;=1,"Lift",IF(AM976&lt;=0,"Aussenlager","teilweise")))))</f>
        <v>Lift</v>
      </c>
      <c r="BE976" s="55" t="str">
        <f aca="false">IF(AP976&lt;=0,"",IF(BY976="Aussen","Aussenlager",IF(BY976="-","Nicht im Lift",IF(AU976&gt;=1,"Lift",IF(AU976&lt;=0,"Aussenlager","teilweise")))))</f>
        <v>Lift</v>
      </c>
      <c r="BF976" s="55" t="str">
        <f aca="false">IF(AX976&lt;=0,"",IF(BY976="Aussen","Aussenlager",IF(BY976="-","Nicht im Lift",IF(BC976&gt;=1,"Lift",IF(BC976&lt;=0,"Aussenlager","teilweise")))))</f>
        <v>Lift</v>
      </c>
      <c r="BG976" s="55" t="str">
        <f aca="false">IF(A976="","",IF(BP976=1,"Neu; ","")&amp;IF(AND(BP976=0,BK976&lt;0),"negativer Bestand (Export "&amp;BK976&amp;"); ","")&amp;IF(J976&lt;=0,"Kein Verbrauch; ","")&amp;IF(CH976&gt;0,"Lift "&amp;W976&amp;" lt. Liftbericht (Fach "&amp;X976&amp;" Stk); ",IF(BU976=1,"Gebinde geschätzt ("&amp;T976&amp;"); ",IF(BT976=1,"Lose – Tablare geschätzt; ","")))&amp;IF(H976&gt;AR976,"Überbestand "&amp;ROUND(H976-AR976,0)&amp;" Stk / CHF "&amp;ROUND((H976-AR976)*G976,0)&amp;"; ","")&amp;IF(AND(CA976=1,CB976&lt;CC976),"MAX &lt; MB+LG; ","")&amp;IF(AND(CG976&gt;0,CF976*10&gt;CG976),"zu hoch für Tablar; ","")&amp;IF(AND(BP976=0,OR(CA976=1,AA976&lt;&gt;"",U976&lt;&gt;"",V976&lt;&gt;"",AB976&lt;&gt;"")),"manuell übersteuert; ","")&amp;IF(AND(BT976=0,R976=0),"Gebinde unbekannt / Stellmass fehlt; ","")&amp;IF(AND(BT976=0,N(V976)&lt;=0,N(Q976)&lt;=0),"Menge pro Gebinde fehlt (Ist = 1 Gebinde); ","")&amp;BO976)</f>
        <v>negativer Bestand (Export -94); </v>
      </c>
      <c r="BH976" s="55"/>
      <c r="BI976" s="55"/>
      <c r="BJ976" s="62"/>
      <c r="BK976" s="57" t="n">
        <v>-94</v>
      </c>
      <c r="BL976" s="57" t="n">
        <v>187</v>
      </c>
      <c r="BM976" s="56" t="n">
        <v>-74.4999999999999</v>
      </c>
      <c r="BN976" s="57" t="n">
        <v>145</v>
      </c>
      <c r="BO976" s="55"/>
      <c r="BP976" s="60" t="n">
        <v>0</v>
      </c>
      <c r="BQ976" s="60" t="n">
        <v>976</v>
      </c>
      <c r="BR976" s="55" t="str">
        <f aca="false">IF(U976&lt;&gt;"",UPPER(TRIM(U976)),IF(BU976=1,UPPER(VLOOKUP(T976,Parameter!$I$27:$K$29,2,0)),IF(P976="","LOSE",P976)))</f>
        <v>S51</v>
      </c>
      <c r="BS976" s="57" t="n">
        <f aca="false">IF(BR976="LOSE",1,IF(N(V976)&gt;0,V976,IF(BU976=1,MAX(1,N(VLOOKUP(T976,Parameter!$I$27:$K$29,3,0)),H976,N(N976)),IF(N(Q976)&gt;0,Q976,MAX(1,H976)))))</f>
        <v>165</v>
      </c>
      <c r="BT976" s="60" t="n">
        <f aca="false">IF(BR976="LOSE",1,0)</f>
        <v>0</v>
      </c>
      <c r="BU976" s="60" t="n">
        <f aca="false">IF(AND(U976="",OR(P976="",P976="LOSE"),T976&lt;&gt;"",N(S976)&lt;=0,ISNUMBER(MATCH(T976,Parameter!$I$27:$I$29,0))),1,0)</f>
        <v>0</v>
      </c>
      <c r="BV976" s="55" t="str">
        <f aca="false">IF(AND(Parameter!$B$19="Ja",E976&lt;&gt;"",ISNUMBER(MATCH(E976,Parameter!$I$35:$I$52,0))),VLOOKUP(E976,Parameter!$I$35:$J$52,2,0),IFERROR(VLOOKUP(D976,Parameter!$A$35:$C$64,2,0),"Nein"))</f>
        <v>2+3</v>
      </c>
      <c r="BW976" s="59" t="n">
        <f aca="false">IF(BT976=0,0,IF(N(S976)&gt;0,S976,IFERROR(VLOOKUP(D976,Parameter!$A$35:$C$64,3,0)+0,0)))</f>
        <v>0</v>
      </c>
      <c r="BX976" s="55" t="n">
        <f aca="false">IF(AA976&lt;&gt;"",AA976,Z976)</f>
        <v>3</v>
      </c>
      <c r="BY976" s="55" t="str">
        <f aca="false">IF(BX976=1,"L1",IF(OR(BX976=2,BX976=3),"L23",IF(BX976="Aussen","Aussen","-")))</f>
        <v>L23</v>
      </c>
      <c r="BZ976" s="66" t="n">
        <f aca="false">IF(N(AB976)&gt;0,AB976,0)</f>
        <v>0</v>
      </c>
      <c r="CA976" s="60" t="n">
        <f aca="false">IF(ISNUMBER(AE976),1,0)</f>
        <v>0</v>
      </c>
      <c r="CB976" s="57" t="n">
        <f aca="false">N(AE976)</f>
        <v>0</v>
      </c>
      <c r="CC976" s="57" t="n">
        <f aca="false">N(M976)+N(N976)</f>
        <v>150</v>
      </c>
      <c r="CD976" s="57" t="n">
        <f aca="false">ROUNDUP(H976/BS976,0)</f>
        <v>1</v>
      </c>
      <c r="CE976" s="57" t="n">
        <f aca="false">ROUNDUP(CB976/BS976,0)</f>
        <v>0</v>
      </c>
      <c r="CF976" s="60" t="n">
        <f aca="false">IF(BT976=1,0,IFERROR(VLOOKUP(BR976,'Gebinde-Kategorie'!$A$5:$M$45,5,0)+0,0))</f>
        <v>11</v>
      </c>
      <c r="CG976" s="60" t="n">
        <f aca="false">IFERROR(IF(OR(BX976=1,BX976=2,BX976=3),N(INDEX(Parameter!$I$5:$I$7,BX976)),0),0)</f>
        <v>0</v>
      </c>
      <c r="CH976" s="59" t="n">
        <f aca="false">IF(AND(Parameter!$B$21="Ja",ISNUMBER(W976),N(X976)&gt;0),IFERROR(N(INDEX(Parameter!$L$5:$L$7,W976))*INDEX(Parameter!$E$5:$E$7,W976)*X976/SUMIFS($X$7:$X$1843,$W$7:$W$1843,W976),0),0)</f>
        <v>0</v>
      </c>
    </row>
    <row r="977" customFormat="false" ht="15" hidden="false" customHeight="false" outlineLevel="0" collapsed="false">
      <c r="A977" s="55" t="s">
        <v>1810</v>
      </c>
      <c r="B977" s="55" t="s">
        <v>1780</v>
      </c>
      <c r="C977" s="55" t="s">
        <v>164</v>
      </c>
      <c r="D977" s="55" t="s">
        <v>184</v>
      </c>
      <c r="E977" s="55" t="s">
        <v>185</v>
      </c>
      <c r="F977" s="55" t="s">
        <v>218</v>
      </c>
      <c r="G977" s="56" t="n">
        <v>8.33</v>
      </c>
      <c r="H977" s="57" t="n">
        <f aca="false">MAX(0,IF(AND(Parameter!$B$21="Ja",ISNUMBER(Y977)),Y977,IF(Parameter!$B$20="Jahresanfang 2025 + Export",BL977+BK977,BK977)))</f>
        <v>3</v>
      </c>
      <c r="I977" s="57" t="n">
        <f aca="false">H977*G977</f>
        <v>24.99</v>
      </c>
      <c r="J977" s="57" t="n">
        <f aca="false">BN977*Parameter!$B$18</f>
        <v>8</v>
      </c>
      <c r="K977" s="58" t="n">
        <v>8</v>
      </c>
      <c r="L977" s="59" t="n">
        <v>1</v>
      </c>
      <c r="M977" s="57" t="n">
        <v>0</v>
      </c>
      <c r="N977" s="57" t="n">
        <v>10</v>
      </c>
      <c r="O977" s="60" t="n">
        <v>17</v>
      </c>
      <c r="P977" s="55" t="s">
        <v>476</v>
      </c>
      <c r="Q977" s="57" t="n">
        <v>23</v>
      </c>
      <c r="R977" s="60" t="n">
        <f aca="false">IF(BT977=1,0,IFERROR(VLOOKUP(BR977,'Gebinde-Kategorie'!$A$5:$M$45,13,0)+0,0))</f>
        <v>66</v>
      </c>
      <c r="S977" s="61"/>
      <c r="T977" s="62"/>
      <c r="U977" s="62"/>
      <c r="V977" s="62"/>
      <c r="W977" s="55"/>
      <c r="X977" s="57"/>
      <c r="Y977" s="57"/>
      <c r="Z977" s="55" t="n">
        <f aca="false">IF(A977="","",IF(AND(Parameter!$B$21="Ja",ISNUMBER(W977)),W977,IF(BV977="2+3",IF(ISNUMBER(SEARCH("grosser Artikel",BO977)),2,IFERROR(VLOOKUP(BR977,Parameter!$F$35:$G$64,2,0),2)),IF(OR(BV977="Nein",BV977=""),"-",BV977))))</f>
        <v>3</v>
      </c>
      <c r="AA977" s="62"/>
      <c r="AB977" s="63"/>
      <c r="AC977" s="57" t="n">
        <f aca="false">AR977</f>
        <v>23</v>
      </c>
      <c r="AD977" s="57" t="n">
        <f aca="false">MAX(AR977,H977)</f>
        <v>23</v>
      </c>
      <c r="AE977" s="64"/>
      <c r="AF977" s="57" t="n">
        <f aca="false">IF(LEFT(Cockpit!$C$5,1)="A",H977,IF(CA977=1,CB977,IF(LEFT(Cockpit!$C$5,1)="B",AJ977,MAX(AJ977,H977))))</f>
        <v>3</v>
      </c>
      <c r="AG977" s="57" t="n">
        <f aca="false">IF(BT977=1,0,ROUNDUP(AF977/BS977,0))</f>
        <v>1</v>
      </c>
      <c r="AH977" s="59" t="n">
        <f aca="false">IF(CH977&gt;0,CH977*MAX(1,AF977/X977),IF(BT977=1,IF(AF977&lt;=0,0,BW977*MAX(1,IF(H977&gt;0,AF977/H977,1))),IF(R977&gt;0,AG977/R977,0))/MAX(0.1,N(Parameter!$M$21)))</f>
        <v>0.0151515151515152</v>
      </c>
      <c r="AI977" s="57" t="n">
        <f aca="false">AF977*G977</f>
        <v>24.99</v>
      </c>
      <c r="AJ977" s="57" t="n">
        <f aca="false">ROUNDUP(MAX(J977/IF(BZ977&gt;0,BZ977,MAX(0.1,N(Cockpit!$C$6))),CC977)/BS977,0)*BS977</f>
        <v>23</v>
      </c>
      <c r="AK977" s="58" t="n">
        <f aca="false">IF(AH977&gt;0,J977/AH977,-1)</f>
        <v>528</v>
      </c>
      <c r="AL977" s="58" t="n">
        <f aca="false">IF(AND(OR(BY977="L1",BY977="L23"),AH977&gt;0),SUMIFS($AH$7:$AH$1843,$BY$7:$BY$1843,BY977,$AK$7:$AK$1843,"&gt;"&amp;AK977)+SUMIFS($AH$7:$AH$1843,$BY$7:$BY$1843,BY977,$AK$7:$AK$1843,AK977,$BQ$7:$BQ$1843,"&lt;="&amp;BQ977),"")</f>
        <v>23.7768065268065</v>
      </c>
      <c r="AM977" s="65" t="n">
        <f aca="false">IF(AL977="",0,MAX(0,MIN(1,(IF(BY977="L1",Parameter!$E$5,Parameter!$E$6+Parameter!$E$7)-(AL977-AH977))/AH977)))</f>
        <v>1</v>
      </c>
      <c r="AN977" s="57" t="n">
        <f aca="false">IF(LEFT(Cockpit!$I$5,1)="A",H977,IF(CA977=1,CB977,IF(LEFT(Cockpit!$I$5,1)="B",AR977,MAX(AR977,H977))))</f>
        <v>23</v>
      </c>
      <c r="AO977" s="57" t="n">
        <f aca="false">IF(BT977=1,0,ROUNDUP(AN977/BS977,0))</f>
        <v>1</v>
      </c>
      <c r="AP977" s="59" t="n">
        <f aca="false">IF(CH977&gt;0,CH977*MAX(1,AN977/X977),IF(BT977=1,IF(AN977&lt;=0,0,BW977*MAX(1,IF(H977&gt;0,AN977/H977,1))),IF(R977&gt;0,AO977/R977,0))/MAX(0.1,N(Parameter!$M$21)))</f>
        <v>0.0151515151515152</v>
      </c>
      <c r="AQ977" s="57" t="n">
        <f aca="false">AN977*G977</f>
        <v>191.59</v>
      </c>
      <c r="AR977" s="57" t="n">
        <f aca="false">ROUNDUP(MAX(J977/IF(BZ977&gt;0,BZ977,MAX(0.1,N(Cockpit!$I$6))),CC977)/BS977,0)*BS977</f>
        <v>23</v>
      </c>
      <c r="AS977" s="58" t="n">
        <f aca="false">IF(AP977&gt;0,J977/AP977,-1)</f>
        <v>528</v>
      </c>
      <c r="AT977" s="58" t="n">
        <f aca="false">IF(AND(OR(BY977="L1",BY977="L23"),AP977&gt;0),SUMIFS($AP$7:$AP$1843,$BY$7:$BY$1843,BY977,$AS$7:$AS$1843,"&gt;"&amp;AS977)+SUMIFS($AP$7:$AP$1843,$BY$7:$BY$1843,BY977,$AS$7:$AS$1843,AS977,$BQ$7:$BQ$1843,"&lt;="&amp;BQ977),"")</f>
        <v>32.5256325799804</v>
      </c>
      <c r="AU977" s="65" t="n">
        <f aca="false">IF(AT977="",0,MAX(0,MIN(1,(IF(BY977="L1",Parameter!$E$5,Parameter!$E$6+Parameter!$E$7)-(AT977-AP977))/AP977)))</f>
        <v>1</v>
      </c>
      <c r="AV977" s="57" t="n">
        <f aca="false">IF(LEFT(Cockpit!$O$5,1)="A",H977,IF(CA977=1,CB977,IF(LEFT(Cockpit!$O$5,1)="B",AZ977,MAX(AZ977,H977))))</f>
        <v>23</v>
      </c>
      <c r="AW977" s="57" t="n">
        <f aca="false">IF(BT977=1,0,ROUNDUP(AV977/BS977,0))</f>
        <v>1</v>
      </c>
      <c r="AX977" s="59" t="n">
        <f aca="false">IF(CH977&gt;0,CH977*MAX(1,AV977/X977),IF(BT977=1,IF(AV977&lt;=0,0,BW977*MAX(1,IF(H977&gt;0,AV977/H977,1))),IF(R977&gt;0,AW977/R977,0))/MAX(0.1,N(Parameter!$M$21)))</f>
        <v>0.0151515151515152</v>
      </c>
      <c r="AY977" s="57" t="n">
        <f aca="false">AV977*G977</f>
        <v>191.59</v>
      </c>
      <c r="AZ977" s="57" t="n">
        <f aca="false">ROUNDUP(MAX(J977/IF(BZ977&gt;0,BZ977,MAX(0.1,N(Cockpit!$O$6))),CC977)/BS977,0)*BS977</f>
        <v>23</v>
      </c>
      <c r="BA977" s="58" t="n">
        <f aca="false">IF(AX977&gt;0,J977/AX977,-1)</f>
        <v>528</v>
      </c>
      <c r="BB977" s="58" t="n">
        <f aca="false">IF(AND(OR(BY977="L1",BY977="L23"),AX977&gt;0),SUMIFS($AX$7:$AX$1843,$BY$7:$BY$1843,BY977,$BA$7:$BA$1843,"&gt;"&amp;BA977)+SUMIFS($AX$7:$AX$1843,$BY$7:$BY$1843,BY977,$BA$7:$BA$1843,BA977,$BQ$7:$BQ$1843,"&lt;="&amp;BQ977),"")</f>
        <v>30.0926488969967</v>
      </c>
      <c r="BC977" s="65" t="n">
        <f aca="false">IF(BB977="",0,MAX(0,MIN(1,(IF(BY977="L1",Parameter!$E$5,Parameter!$E$6+Parameter!$E$7)-(BB977-AX977))/AX977)))</f>
        <v>1</v>
      </c>
      <c r="BD977" s="55" t="str">
        <f aca="false">IF(AH977&lt;=0,"",IF(BY977="Aussen","Aussenlager",IF(BY977="-","Nicht im Lift",IF(AM977&gt;=1,"Lift",IF(AM977&lt;=0,"Aussenlager","teilweise")))))</f>
        <v>Lift</v>
      </c>
      <c r="BE977" s="55" t="str">
        <f aca="false">IF(AP977&lt;=0,"",IF(BY977="Aussen","Aussenlager",IF(BY977="-","Nicht im Lift",IF(AU977&gt;=1,"Lift",IF(AU977&lt;=0,"Aussenlager","teilweise")))))</f>
        <v>Lift</v>
      </c>
      <c r="BF977" s="55" t="str">
        <f aca="false">IF(AX977&lt;=0,"",IF(BY977="Aussen","Aussenlager",IF(BY977="-","Nicht im Lift",IF(BC977&gt;=1,"Lift",IF(BC977&lt;=0,"Aussenlager","teilweise")))))</f>
        <v>Lift</v>
      </c>
      <c r="BG977" s="55" t="str">
        <f aca="false">IF(A977="","",IF(BP977=1,"Neu; ","")&amp;IF(AND(BP977=0,BK977&lt;0),"negativer Bestand (Export "&amp;BK977&amp;"); ","")&amp;IF(J977&lt;=0,"Kein Verbrauch; ","")&amp;IF(CH977&gt;0,"Lift "&amp;W977&amp;" lt. Liftbericht (Fach "&amp;X977&amp;" Stk); ",IF(BU977=1,"Gebinde geschätzt ("&amp;T977&amp;"); ",IF(BT977=1,"Lose – Tablare geschätzt; ","")))&amp;IF(H977&gt;AR977,"Überbestand "&amp;ROUND(H977-AR977,0)&amp;" Stk / CHF "&amp;ROUND((H977-AR977)*G977,0)&amp;"; ","")&amp;IF(AND(CA977=1,CB977&lt;CC977),"MAX &lt; MB+LG; ","")&amp;IF(AND(CG977&gt;0,CF977*10&gt;CG977),"zu hoch für Tablar; ","")&amp;IF(AND(BP977=0,OR(CA977=1,AA977&lt;&gt;"",U977&lt;&gt;"",V977&lt;&gt;"",AB977&lt;&gt;"")),"manuell übersteuert; ","")&amp;IF(AND(BT977=0,R977=0),"Gebinde unbekannt / Stellmass fehlt; ","")&amp;IF(AND(BT977=0,N(V977)&lt;=0,N(Q977)&lt;=0),"Menge pro Gebinde fehlt (Ist = 1 Gebinde); ","")&amp;BO977)</f>
        <v>negativer Bestand (Export -9); </v>
      </c>
      <c r="BH977" s="55"/>
      <c r="BI977" s="55"/>
      <c r="BJ977" s="62"/>
      <c r="BK977" s="57" t="n">
        <v>-9</v>
      </c>
      <c r="BL977" s="57" t="n">
        <v>12</v>
      </c>
      <c r="BM977" s="56" t="n">
        <v>-74.97</v>
      </c>
      <c r="BN977" s="57" t="n">
        <v>8</v>
      </c>
      <c r="BO977" s="55"/>
      <c r="BP977" s="60" t="n">
        <v>0</v>
      </c>
      <c r="BQ977" s="60" t="n">
        <v>977</v>
      </c>
      <c r="BR977" s="55" t="str">
        <f aca="false">IF(U977&lt;&gt;"",UPPER(TRIM(U977)),IF(BU977=1,UPPER(VLOOKUP(T977,Parameter!$I$27:$K$29,2,0)),IF(P977="","LOSE",P977)))</f>
        <v>S33</v>
      </c>
      <c r="BS977" s="57" t="n">
        <f aca="false">IF(BR977="LOSE",1,IF(N(V977)&gt;0,V977,IF(BU977=1,MAX(1,N(VLOOKUP(T977,Parameter!$I$27:$K$29,3,0)),H977,N(N977)),IF(N(Q977)&gt;0,Q977,MAX(1,H977)))))</f>
        <v>23</v>
      </c>
      <c r="BT977" s="60" t="n">
        <f aca="false">IF(BR977="LOSE",1,0)</f>
        <v>0</v>
      </c>
      <c r="BU977" s="60" t="n">
        <f aca="false">IF(AND(U977="",OR(P977="",P977="LOSE"),T977&lt;&gt;"",N(S977)&lt;=0,ISNUMBER(MATCH(T977,Parameter!$I$27:$I$29,0))),1,0)</f>
        <v>0</v>
      </c>
      <c r="BV977" s="55" t="str">
        <f aca="false">IF(AND(Parameter!$B$19="Ja",E977&lt;&gt;"",ISNUMBER(MATCH(E977,Parameter!$I$35:$I$52,0))),VLOOKUP(E977,Parameter!$I$35:$J$52,2,0),IFERROR(VLOOKUP(D977,Parameter!$A$35:$C$64,2,0),"Nein"))</f>
        <v>2+3</v>
      </c>
      <c r="BW977" s="59" t="n">
        <f aca="false">IF(BT977=0,0,IF(N(S977)&gt;0,S977,IFERROR(VLOOKUP(D977,Parameter!$A$35:$C$64,3,0)+0,0)))</f>
        <v>0</v>
      </c>
      <c r="BX977" s="55" t="n">
        <f aca="false">IF(AA977&lt;&gt;"",AA977,Z977)</f>
        <v>3</v>
      </c>
      <c r="BY977" s="55" t="str">
        <f aca="false">IF(BX977=1,"L1",IF(OR(BX977=2,BX977=3),"L23",IF(BX977="Aussen","Aussen","-")))</f>
        <v>L23</v>
      </c>
      <c r="BZ977" s="66" t="n">
        <f aca="false">IF(N(AB977)&gt;0,AB977,0)</f>
        <v>0</v>
      </c>
      <c r="CA977" s="60" t="n">
        <f aca="false">IF(ISNUMBER(AE977),1,0)</f>
        <v>0</v>
      </c>
      <c r="CB977" s="57" t="n">
        <f aca="false">N(AE977)</f>
        <v>0</v>
      </c>
      <c r="CC977" s="57" t="n">
        <f aca="false">N(M977)+N(N977)</f>
        <v>10</v>
      </c>
      <c r="CD977" s="57" t="n">
        <f aca="false">ROUNDUP(H977/BS977,0)</f>
        <v>1</v>
      </c>
      <c r="CE977" s="57" t="n">
        <f aca="false">ROUNDUP(CB977/BS977,0)</f>
        <v>0</v>
      </c>
      <c r="CF977" s="60" t="n">
        <f aca="false">IF(BT977=1,0,IFERROR(VLOOKUP(BR977,'Gebinde-Kategorie'!$A$5:$M$45,5,0)+0,0))</f>
        <v>8</v>
      </c>
      <c r="CG977" s="60" t="n">
        <f aca="false">IFERROR(IF(OR(BX977=1,BX977=2,BX977=3),N(INDEX(Parameter!$I$5:$I$7,BX977)),0),0)</f>
        <v>0</v>
      </c>
      <c r="CH977" s="59" t="n">
        <f aca="false">IF(AND(Parameter!$B$21="Ja",ISNUMBER(W977),N(X977)&gt;0),IFERROR(N(INDEX(Parameter!$L$5:$L$7,W977))*INDEX(Parameter!$E$5:$E$7,W977)*X977/SUMIFS($X$7:$X$1843,$W$7:$W$1843,W977),0),0)</f>
        <v>0</v>
      </c>
    </row>
    <row r="978" customFormat="false" ht="15" hidden="false" customHeight="false" outlineLevel="0" collapsed="false">
      <c r="A978" s="55" t="s">
        <v>1811</v>
      </c>
      <c r="B978" s="55" t="s">
        <v>953</v>
      </c>
      <c r="C978" s="55" t="s">
        <v>164</v>
      </c>
      <c r="D978" s="55" t="s">
        <v>184</v>
      </c>
      <c r="E978" s="55"/>
      <c r="F978" s="55" t="s">
        <v>218</v>
      </c>
      <c r="G978" s="56" t="n">
        <v>0.63</v>
      </c>
      <c r="H978" s="57" t="n">
        <f aca="false">MAX(0,IF(AND(Parameter!$B$21="Ja",ISNUMBER(Y978)),Y978,IF(Parameter!$B$20="Jahresanfang 2025 + Export",BL978+BK978,BK978)))</f>
        <v>0</v>
      </c>
      <c r="I978" s="57" t="n">
        <f aca="false">H978*G978</f>
        <v>0</v>
      </c>
      <c r="J978" s="57" t="n">
        <f aca="false">BN978*Parameter!$B$18</f>
        <v>0</v>
      </c>
      <c r="K978" s="58" t="n">
        <v>60</v>
      </c>
      <c r="L978" s="59" t="n">
        <v>0</v>
      </c>
      <c r="M978" s="57" t="n">
        <v>0</v>
      </c>
      <c r="N978" s="57" t="n">
        <v>1</v>
      </c>
      <c r="O978" s="60" t="n">
        <v>14</v>
      </c>
      <c r="P978" s="55" t="s">
        <v>168</v>
      </c>
      <c r="Q978" s="57"/>
      <c r="R978" s="60" t="n">
        <f aca="false">IF(BT978=1,0,IFERROR(VLOOKUP(BR978,'Gebinde-Kategorie'!$A$5:$M$45,13,0)+0,0))</f>
        <v>26</v>
      </c>
      <c r="S978" s="61"/>
      <c r="T978" s="62" t="s">
        <v>275</v>
      </c>
      <c r="U978" s="62"/>
      <c r="V978" s="62"/>
      <c r="W978" s="55"/>
      <c r="X978" s="57"/>
      <c r="Y978" s="57"/>
      <c r="Z978" s="55" t="n">
        <f aca="false">IF(A978="","",IF(AND(Parameter!$B$21="Ja",ISNUMBER(W978)),W978,IF(BV978="2+3",IF(ISNUMBER(SEARCH("grosser Artikel",BO978)),2,IFERROR(VLOOKUP(BR978,Parameter!$F$35:$G$64,2,0),2)),IF(OR(BV978="Nein",BV978=""),"-",BV978))))</f>
        <v>3</v>
      </c>
      <c r="AA978" s="62"/>
      <c r="AB978" s="63"/>
      <c r="AC978" s="57" t="n">
        <f aca="false">AR978</f>
        <v>20</v>
      </c>
      <c r="AD978" s="57" t="n">
        <f aca="false">MAX(AR978,H978)</f>
        <v>20</v>
      </c>
      <c r="AE978" s="64"/>
      <c r="AF978" s="57" t="n">
        <f aca="false">IF(LEFT(Cockpit!$C$5,1)="A",H978,IF(CA978=1,CB978,IF(LEFT(Cockpit!$C$5,1)="B",AJ978,MAX(AJ978,H978))))</f>
        <v>0</v>
      </c>
      <c r="AG978" s="57" t="n">
        <f aca="false">IF(BT978=1,0,ROUNDUP(AF978/BS978,0))</f>
        <v>0</v>
      </c>
      <c r="AH978" s="59" t="n">
        <f aca="false">IF(CH978&gt;0,CH978*MAX(1,AF978/X978),IF(BT978=1,IF(AF978&lt;=0,0,BW978*MAX(1,IF(H978&gt;0,AF978/H978,1))),IF(R978&gt;0,AG978/R978,0))/MAX(0.1,N(Parameter!$M$21)))</f>
        <v>0</v>
      </c>
      <c r="AI978" s="57" t="n">
        <f aca="false">AF978*G978</f>
        <v>0</v>
      </c>
      <c r="AJ978" s="57" t="n">
        <f aca="false">ROUNDUP(MAX(J978/IF(BZ978&gt;0,BZ978,MAX(0.1,N(Cockpit!$C$6))),CC978)/BS978,0)*BS978</f>
        <v>20</v>
      </c>
      <c r="AK978" s="58" t="n">
        <f aca="false">IF(AH978&gt;0,J978/AH978,-1)</f>
        <v>-1</v>
      </c>
      <c r="AL978" s="58" t="str">
        <f aca="false">IF(AND(OR(BY978="L1",BY978="L23"),AH978&gt;0),SUMIFS($AH$7:$AH$1843,$BY$7:$BY$1843,BY978,$AK$7:$AK$1843,"&gt;"&amp;AK978)+SUMIFS($AH$7:$AH$1843,$BY$7:$BY$1843,BY978,$AK$7:$AK$1843,AK978,$BQ$7:$BQ$1843,"&lt;="&amp;BQ978),"")</f>
        <v/>
      </c>
      <c r="AM978" s="65" t="n">
        <f aca="false">IF(AL978="",0,MAX(0,MIN(1,(IF(BY978="L1",Parameter!$E$5,Parameter!$E$6+Parameter!$E$7)-(AL978-AH978))/AH978)))</f>
        <v>0</v>
      </c>
      <c r="AN978" s="57" t="n">
        <f aca="false">IF(LEFT(Cockpit!$I$5,1)="A",H978,IF(CA978=1,CB978,IF(LEFT(Cockpit!$I$5,1)="B",AR978,MAX(AR978,H978))))</f>
        <v>20</v>
      </c>
      <c r="AO978" s="57" t="n">
        <f aca="false">IF(BT978=1,0,ROUNDUP(AN978/BS978,0))</f>
        <v>1</v>
      </c>
      <c r="AP978" s="59" t="n">
        <f aca="false">IF(CH978&gt;0,CH978*MAX(1,AN978/X978),IF(BT978=1,IF(AN978&lt;=0,0,BW978*MAX(1,IF(H978&gt;0,AN978/H978,1))),IF(R978&gt;0,AO978/R978,0))/MAX(0.1,N(Parameter!$M$21)))</f>
        <v>0.0384615384615385</v>
      </c>
      <c r="AQ978" s="57" t="n">
        <f aca="false">AN978*G978</f>
        <v>12.6</v>
      </c>
      <c r="AR978" s="57" t="n">
        <f aca="false">ROUNDUP(MAX(J978/IF(BZ978&gt;0,BZ978,MAX(0.1,N(Cockpit!$I$6))),CC978)/BS978,0)*BS978</f>
        <v>20</v>
      </c>
      <c r="AS978" s="58" t="n">
        <f aca="false">IF(AP978&gt;0,J978/AP978,-1)</f>
        <v>0</v>
      </c>
      <c r="AT978" s="58" t="n">
        <f aca="false">IF(AND(OR(BY978="L1",BY978="L23"),AP978&gt;0),SUMIFS($AP$7:$AP$1843,$BY$7:$BY$1843,BY978,$AS$7:$AS$1843,"&gt;"&amp;AS978)+SUMIFS($AP$7:$AP$1843,$BY$7:$BY$1843,BY978,$AS$7:$AS$1843,AS978,$BQ$7:$BQ$1843,"&lt;="&amp;BQ978),"")</f>
        <v>119.503184014054</v>
      </c>
      <c r="AU978" s="65" t="n">
        <f aca="false">IF(AT978="",0,MAX(0,MIN(1,(IF(BY978="L1",Parameter!$E$5,Parameter!$E$6+Parameter!$E$7)-(AT978-AP978))/AP978)))</f>
        <v>0</v>
      </c>
      <c r="AV978" s="57" t="n">
        <f aca="false">IF(LEFT(Cockpit!$O$5,1)="A",H978,IF(CA978=1,CB978,IF(LEFT(Cockpit!$O$5,1)="B",AZ978,MAX(AZ978,H978))))</f>
        <v>20</v>
      </c>
      <c r="AW978" s="57" t="n">
        <f aca="false">IF(BT978=1,0,ROUNDUP(AV978/BS978,0))</f>
        <v>1</v>
      </c>
      <c r="AX978" s="59" t="n">
        <f aca="false">IF(CH978&gt;0,CH978*MAX(1,AV978/X978),IF(BT978=1,IF(AV978&lt;=0,0,BW978*MAX(1,IF(H978&gt;0,AV978/H978,1))),IF(R978&gt;0,AW978/R978,0))/MAX(0.1,N(Parameter!$M$21)))</f>
        <v>0.0384615384615385</v>
      </c>
      <c r="AY978" s="57" t="n">
        <f aca="false">AV978*G978</f>
        <v>12.6</v>
      </c>
      <c r="AZ978" s="57" t="n">
        <f aca="false">ROUNDUP(MAX(J978/IF(BZ978&gt;0,BZ978,MAX(0.1,N(Cockpit!$O$6))),CC978)/BS978,0)*BS978</f>
        <v>20</v>
      </c>
      <c r="BA978" s="58" t="n">
        <f aca="false">IF(AX978&gt;0,J978/AX978,-1)</f>
        <v>0</v>
      </c>
      <c r="BB978" s="58" t="n">
        <f aca="false">IF(AND(OR(BY978="L1",BY978="L23"),AX978&gt;0),SUMIFS($AX$7:$AX$1843,$BY$7:$BY$1843,BY978,$BA$7:$BA$1843,"&gt;"&amp;BA978)+SUMIFS($AX$7:$AX$1843,$BY$7:$BY$1843,BY978,$BA$7:$BA$1843,BA978,$BQ$7:$BQ$1843,"&lt;="&amp;BQ978),"")</f>
        <v>110.33302084389</v>
      </c>
      <c r="BC978" s="65" t="n">
        <f aca="false">IF(BB978="",0,MAX(0,MIN(1,(IF(BY978="L1",Parameter!$E$5,Parameter!$E$6+Parameter!$E$7)-(BB978-AX978))/AX978)))</f>
        <v>0</v>
      </c>
      <c r="BD978" s="55" t="str">
        <f aca="false">IF(AH978&lt;=0,"",IF(BY978="Aussen","Aussenlager",IF(BY978="-","Nicht im Lift",IF(AM978&gt;=1,"Lift",IF(AM978&lt;=0,"Aussenlager","teilweise")))))</f>
        <v/>
      </c>
      <c r="BE978" s="55" t="str">
        <f aca="false">IF(AP978&lt;=0,"",IF(BY978="Aussen","Aussenlager",IF(BY978="-","Nicht im Lift",IF(AU978&gt;=1,"Lift",IF(AU978&lt;=0,"Aussenlager","teilweise")))))</f>
        <v>Aussenlager</v>
      </c>
      <c r="BF978" s="55" t="str">
        <f aca="false">IF(AX978&lt;=0,"",IF(BY978="Aussen","Aussenlager",IF(BY978="-","Nicht im Lift",IF(BC978&gt;=1,"Lift",IF(BC978&lt;=0,"Aussenlager","teilweise")))))</f>
        <v>Aussenlager</v>
      </c>
      <c r="BG978" s="55" t="str">
        <f aca="false">IF(A978="","",IF(BP978=1,"Neu; ","")&amp;IF(AND(BP978=0,BK978&lt;0),"negativer Bestand (Export "&amp;BK978&amp;"); ","")&amp;IF(J978&lt;=0,"Kein Verbrauch; ","")&amp;IF(CH978&gt;0,"Lift "&amp;W978&amp;" lt. Liftbericht (Fach "&amp;X978&amp;" Stk); ",IF(BU978=1,"Gebinde geschätzt ("&amp;T978&amp;"); ",IF(BT978=1,"Lose – Tablare geschätzt; ","")))&amp;IF(H978&gt;AR978,"Überbestand "&amp;ROUND(H978-AR978,0)&amp;" Stk / CHF "&amp;ROUND((H978-AR978)*G978,0)&amp;"; ","")&amp;IF(AND(CA978=1,CB978&lt;CC978),"MAX &lt; MB+LG; ","")&amp;IF(AND(CG978&gt;0,CF978*10&gt;CG978),"zu hoch für Tablar; ","")&amp;IF(AND(BP978=0,OR(CA978=1,AA978&lt;&gt;"",U978&lt;&gt;"",V978&lt;&gt;"",AB978&lt;&gt;"")),"manuell übersteuert; ","")&amp;IF(AND(BT978=0,R978=0),"Gebinde unbekannt / Stellmass fehlt; ","")&amp;IF(AND(BT978=0,N(V978)&lt;=0,N(Q978)&lt;=0),"Menge pro Gebinde fehlt (Ist = 1 Gebinde); ","")&amp;BO978)</f>
        <v>negativer Bestand (Export -120); Kein Verbrauch; Gebinde geschätzt (Klein); Menge pro Gebinde fehlt (Ist = 1 Gebinde); </v>
      </c>
      <c r="BH978" s="55"/>
      <c r="BI978" s="55"/>
      <c r="BJ978" s="62"/>
      <c r="BK978" s="57" t="n">
        <v>-120</v>
      </c>
      <c r="BL978" s="57" t="n">
        <v>120</v>
      </c>
      <c r="BM978" s="56" t="n">
        <v>-75.6</v>
      </c>
      <c r="BN978" s="57" t="n">
        <v>0</v>
      </c>
      <c r="BO978" s="55"/>
      <c r="BP978" s="60" t="n">
        <v>0</v>
      </c>
      <c r="BQ978" s="60" t="n">
        <v>978</v>
      </c>
      <c r="BR978" s="55" t="str">
        <f aca="false">IF(U978&lt;&gt;"",UPPER(TRIM(U978)),IF(BU978=1,UPPER(VLOOKUP(T978,Parameter!$I$27:$K$29,2,0)),IF(P978="","LOSE",P978)))</f>
        <v>S51</v>
      </c>
      <c r="BS978" s="57" t="n">
        <f aca="false">IF(BR978="LOSE",1,IF(N(V978)&gt;0,V978,IF(BU978=1,MAX(1,N(VLOOKUP(T978,Parameter!$I$27:$K$29,3,0)),H978,N(N978)),IF(N(Q978)&gt;0,Q978,MAX(1,H978)))))</f>
        <v>20</v>
      </c>
      <c r="BT978" s="60" t="n">
        <f aca="false">IF(BR978="LOSE",1,0)</f>
        <v>0</v>
      </c>
      <c r="BU978" s="60" t="n">
        <f aca="false">IF(AND(U978="",OR(P978="",P978="LOSE"),T978&lt;&gt;"",N(S978)&lt;=0,ISNUMBER(MATCH(T978,Parameter!$I$27:$I$29,0))),1,0)</f>
        <v>1</v>
      </c>
      <c r="BV978" s="55" t="str">
        <f aca="false">IF(AND(Parameter!$B$19="Ja",E978&lt;&gt;"",ISNUMBER(MATCH(E978,Parameter!$I$35:$I$52,0))),VLOOKUP(E978,Parameter!$I$35:$J$52,2,0),IFERROR(VLOOKUP(D978,Parameter!$A$35:$C$64,2,0),"Nein"))</f>
        <v>2+3</v>
      </c>
      <c r="BW978" s="59" t="n">
        <f aca="false">IF(BT978=0,0,IF(N(S978)&gt;0,S978,IFERROR(VLOOKUP(D978,Parameter!$A$35:$C$64,3,0)+0,0)))</f>
        <v>0</v>
      </c>
      <c r="BX978" s="55" t="n">
        <f aca="false">IF(AA978&lt;&gt;"",AA978,Z978)</f>
        <v>3</v>
      </c>
      <c r="BY978" s="55" t="str">
        <f aca="false">IF(BX978=1,"L1",IF(OR(BX978=2,BX978=3),"L23",IF(BX978="Aussen","Aussen","-")))</f>
        <v>L23</v>
      </c>
      <c r="BZ978" s="66" t="n">
        <f aca="false">IF(N(AB978)&gt;0,AB978,0)</f>
        <v>0</v>
      </c>
      <c r="CA978" s="60" t="n">
        <f aca="false">IF(ISNUMBER(AE978),1,0)</f>
        <v>0</v>
      </c>
      <c r="CB978" s="57" t="n">
        <f aca="false">N(AE978)</f>
        <v>0</v>
      </c>
      <c r="CC978" s="57" t="n">
        <f aca="false">N(M978)+N(N978)</f>
        <v>1</v>
      </c>
      <c r="CD978" s="57" t="n">
        <f aca="false">ROUNDUP(H978/BS978,0)</f>
        <v>0</v>
      </c>
      <c r="CE978" s="57" t="n">
        <f aca="false">ROUNDUP(CB978/BS978,0)</f>
        <v>0</v>
      </c>
      <c r="CF978" s="60" t="n">
        <f aca="false">IF(BT978=1,0,IFERROR(VLOOKUP(BR978,'Gebinde-Kategorie'!$A$5:$M$45,5,0)+0,0))</f>
        <v>11</v>
      </c>
      <c r="CG978" s="60" t="n">
        <f aca="false">IFERROR(IF(OR(BX978=1,BX978=2,BX978=3),N(INDEX(Parameter!$I$5:$I$7,BX978)),0),0)</f>
        <v>0</v>
      </c>
      <c r="CH978" s="59" t="n">
        <f aca="false">IF(AND(Parameter!$B$21="Ja",ISNUMBER(W978),N(X978)&gt;0),IFERROR(N(INDEX(Parameter!$L$5:$L$7,W978))*INDEX(Parameter!$E$5:$E$7,W978)*X978/SUMIFS($X$7:$X$1843,$W$7:$W$1843,W978),0),0)</f>
        <v>0</v>
      </c>
    </row>
    <row r="979" customFormat="false" ht="15" hidden="false" customHeight="false" outlineLevel="0" collapsed="false">
      <c r="A979" s="55" t="s">
        <v>1812</v>
      </c>
      <c r="B979" s="55" t="s">
        <v>1813</v>
      </c>
      <c r="C979" s="55" t="s">
        <v>164</v>
      </c>
      <c r="D979" s="55" t="s">
        <v>184</v>
      </c>
      <c r="E979" s="55"/>
      <c r="F979" s="55" t="s">
        <v>218</v>
      </c>
      <c r="G979" s="56" t="n">
        <v>37.82</v>
      </c>
      <c r="H979" s="57" t="n">
        <f aca="false">MAX(0,IF(AND(Parameter!$B$21="Ja",ISNUMBER(Y979)),Y979,IF(Parameter!$B$20="Jahresanfang 2025 + Export",BL979+BK979,BK979)))</f>
        <v>3</v>
      </c>
      <c r="I979" s="57" t="n">
        <f aca="false">H979*G979</f>
        <v>113.46</v>
      </c>
      <c r="J979" s="57" t="n">
        <f aca="false">BN979*Parameter!$B$18</f>
        <v>3</v>
      </c>
      <c r="K979" s="58" t="n">
        <v>3.5</v>
      </c>
      <c r="L979" s="59" t="n">
        <v>0.857142857142857</v>
      </c>
      <c r="M979" s="57" t="n">
        <v>0</v>
      </c>
      <c r="N979" s="57" t="n">
        <v>5</v>
      </c>
      <c r="O979" s="60" t="n">
        <v>70</v>
      </c>
      <c r="P979" s="55" t="s">
        <v>328</v>
      </c>
      <c r="Q979" s="57" t="n">
        <v>5</v>
      </c>
      <c r="R979" s="60" t="n">
        <f aca="false">IF(BT979=1,0,IFERROR(VLOOKUP(BR979,'Gebinde-Kategorie'!$A$5:$M$45,13,0)+0,0))</f>
        <v>52</v>
      </c>
      <c r="S979" s="61"/>
      <c r="T979" s="62"/>
      <c r="U979" s="62"/>
      <c r="V979" s="62"/>
      <c r="W979" s="55"/>
      <c r="X979" s="57"/>
      <c r="Y979" s="57"/>
      <c r="Z979" s="55" t="n">
        <f aca="false">IF(A979="","",IF(AND(Parameter!$B$21="Ja",ISNUMBER(W979)),W979,IF(BV979="2+3",IF(ISNUMBER(SEARCH("grosser Artikel",BO979)),2,IFERROR(VLOOKUP(BR979,Parameter!$F$35:$G$64,2,0),2)),IF(OR(BV979="Nein",BV979=""),"-",BV979))))</f>
        <v>3</v>
      </c>
      <c r="AA979" s="62"/>
      <c r="AB979" s="63"/>
      <c r="AC979" s="57" t="n">
        <f aca="false">AR979</f>
        <v>5</v>
      </c>
      <c r="AD979" s="57" t="n">
        <f aca="false">MAX(AR979,H979)</f>
        <v>5</v>
      </c>
      <c r="AE979" s="64"/>
      <c r="AF979" s="57" t="n">
        <f aca="false">IF(LEFT(Cockpit!$C$5,1)="A",H979,IF(CA979=1,CB979,IF(LEFT(Cockpit!$C$5,1)="B",AJ979,MAX(AJ979,H979))))</f>
        <v>3</v>
      </c>
      <c r="AG979" s="57" t="n">
        <f aca="false">IF(BT979=1,0,ROUNDUP(AF979/BS979,0))</f>
        <v>1</v>
      </c>
      <c r="AH979" s="59" t="n">
        <f aca="false">IF(CH979&gt;0,CH979*MAX(1,AF979/X979),IF(BT979=1,IF(AF979&lt;=0,0,BW979*MAX(1,IF(H979&gt;0,AF979/H979,1))),IF(R979&gt;0,AG979/R979,0))/MAX(0.1,N(Parameter!$M$21)))</f>
        <v>0.0192307692307692</v>
      </c>
      <c r="AI979" s="57" t="n">
        <f aca="false">AF979*G979</f>
        <v>113.46</v>
      </c>
      <c r="AJ979" s="57" t="n">
        <f aca="false">ROUNDUP(MAX(J979/IF(BZ979&gt;0,BZ979,MAX(0.1,N(Cockpit!$C$6))),CC979)/BS979,0)*BS979</f>
        <v>5</v>
      </c>
      <c r="AK979" s="58" t="n">
        <f aca="false">IF(AH979&gt;0,J979/AH979,-1)</f>
        <v>156</v>
      </c>
      <c r="AL979" s="58" t="n">
        <f aca="false">IF(AND(OR(BY979="L1",BY979="L23"),AH979&gt;0),SUMIFS($AH$7:$AH$1843,$BY$7:$BY$1843,BY979,$AK$7:$AK$1843,"&gt;"&amp;AK979)+SUMIFS($AH$7:$AH$1843,$BY$7:$BY$1843,BY979,$AK$7:$AK$1843,AK979,$BQ$7:$BQ$1843,"&lt;="&amp;BQ979),"")</f>
        <v>34.7387250430729</v>
      </c>
      <c r="AM979" s="65" t="n">
        <f aca="false">IF(AL979="",0,MAX(0,MIN(1,(IF(BY979="L1",Parameter!$E$5,Parameter!$E$6+Parameter!$E$7)-(AL979-AH979))/AH979)))</f>
        <v>1</v>
      </c>
      <c r="AN979" s="57" t="n">
        <f aca="false">IF(LEFT(Cockpit!$I$5,1)="A",H979,IF(CA979=1,CB979,IF(LEFT(Cockpit!$I$5,1)="B",AR979,MAX(AR979,H979))))</f>
        <v>5</v>
      </c>
      <c r="AO979" s="57" t="n">
        <f aca="false">IF(BT979=1,0,ROUNDUP(AN979/BS979,0))</f>
        <v>1</v>
      </c>
      <c r="AP979" s="59" t="n">
        <f aca="false">IF(CH979&gt;0,CH979*MAX(1,AN979/X979),IF(BT979=1,IF(AN979&lt;=0,0,BW979*MAX(1,IF(H979&gt;0,AN979/H979,1))),IF(R979&gt;0,AO979/R979,0))/MAX(0.1,N(Parameter!$M$21)))</f>
        <v>0.0192307692307692</v>
      </c>
      <c r="AQ979" s="57" t="n">
        <f aca="false">AN979*G979</f>
        <v>189.1</v>
      </c>
      <c r="AR979" s="57" t="n">
        <f aca="false">ROUNDUP(MAX(J979/IF(BZ979&gt;0,BZ979,MAX(0.1,N(Cockpit!$I$6))),CC979)/BS979,0)*BS979</f>
        <v>5</v>
      </c>
      <c r="AS979" s="58" t="n">
        <f aca="false">IF(AP979&gt;0,J979/AP979,-1)</f>
        <v>156</v>
      </c>
      <c r="AT979" s="58" t="n">
        <f aca="false">IF(AND(OR(BY979="L1",BY979="L23"),AP979&gt;0),SUMIFS($AP$7:$AP$1843,$BY$7:$BY$1843,BY979,$AS$7:$AS$1843,"&gt;"&amp;AS979)+SUMIFS($AP$7:$AP$1843,$BY$7:$BY$1843,BY979,$AS$7:$AS$1843,AS979,$BQ$7:$BQ$1843,"&lt;="&amp;BQ979),"")</f>
        <v>49.028816594034</v>
      </c>
      <c r="AU979" s="65" t="n">
        <f aca="false">IF(AT979="",0,MAX(0,MIN(1,(IF(BY979="L1",Parameter!$E$5,Parameter!$E$6+Parameter!$E$7)-(AT979-AP979))/AP979)))</f>
        <v>1</v>
      </c>
      <c r="AV979" s="57" t="n">
        <f aca="false">IF(LEFT(Cockpit!$O$5,1)="A",H979,IF(CA979=1,CB979,IF(LEFT(Cockpit!$O$5,1)="B",AZ979,MAX(AZ979,H979))))</f>
        <v>5</v>
      </c>
      <c r="AW979" s="57" t="n">
        <f aca="false">IF(BT979=1,0,ROUNDUP(AV979/BS979,0))</f>
        <v>1</v>
      </c>
      <c r="AX979" s="59" t="n">
        <f aca="false">IF(CH979&gt;0,CH979*MAX(1,AV979/X979),IF(BT979=1,IF(AV979&lt;=0,0,BW979*MAX(1,IF(H979&gt;0,AV979/H979,1))),IF(R979&gt;0,AW979/R979,0))/MAX(0.1,N(Parameter!$M$21)))</f>
        <v>0.0192307692307692</v>
      </c>
      <c r="AY979" s="57" t="n">
        <f aca="false">AV979*G979</f>
        <v>189.1</v>
      </c>
      <c r="AZ979" s="57" t="n">
        <f aca="false">ROUNDUP(MAX(J979/IF(BZ979&gt;0,BZ979,MAX(0.1,N(Cockpit!$O$6))),CC979)/BS979,0)*BS979</f>
        <v>5</v>
      </c>
      <c r="BA979" s="58" t="n">
        <f aca="false">IF(AX979&gt;0,J979/AX979,-1)</f>
        <v>156</v>
      </c>
      <c r="BB979" s="58" t="n">
        <f aca="false">IF(AND(OR(BY979="L1",BY979="L23"),AX979&gt;0),SUMIFS($AX$7:$AX$1843,$BY$7:$BY$1843,BY979,$BA$7:$BA$1843,"&gt;"&amp;BA979)+SUMIFS($AX$7:$AX$1843,$BY$7:$BY$1843,BY979,$BA$7:$BA$1843,BA979,$BQ$7:$BQ$1843,"&lt;="&amp;BQ979),"")</f>
        <v>44.6086534238708</v>
      </c>
      <c r="BC979" s="65" t="n">
        <f aca="false">IF(BB979="",0,MAX(0,MIN(1,(IF(BY979="L1",Parameter!$E$5,Parameter!$E$6+Parameter!$E$7)-(BB979-AX979))/AX979)))</f>
        <v>1</v>
      </c>
      <c r="BD979" s="55" t="str">
        <f aca="false">IF(AH979&lt;=0,"",IF(BY979="Aussen","Aussenlager",IF(BY979="-","Nicht im Lift",IF(AM979&gt;=1,"Lift",IF(AM979&lt;=0,"Aussenlager","teilweise")))))</f>
        <v>Lift</v>
      </c>
      <c r="BE979" s="55" t="str">
        <f aca="false">IF(AP979&lt;=0,"",IF(BY979="Aussen","Aussenlager",IF(BY979="-","Nicht im Lift",IF(AU979&gt;=1,"Lift",IF(AU979&lt;=0,"Aussenlager","teilweise")))))</f>
        <v>Lift</v>
      </c>
      <c r="BF979" s="55" t="str">
        <f aca="false">IF(AX979&lt;=0,"",IF(BY979="Aussen","Aussenlager",IF(BY979="-","Nicht im Lift",IF(BC979&gt;=1,"Lift",IF(BC979&lt;=0,"Aussenlager","teilweise")))))</f>
        <v>Lift</v>
      </c>
      <c r="BG979" s="55" t="str">
        <f aca="false">IF(A979="","",IF(BP979=1,"Neu; ","")&amp;IF(AND(BP979=0,BK979&lt;0),"negativer Bestand (Export "&amp;BK979&amp;"); ","")&amp;IF(J979&lt;=0,"Kein Verbrauch; ","")&amp;IF(CH979&gt;0,"Lift "&amp;W979&amp;" lt. Liftbericht (Fach "&amp;X979&amp;" Stk); ",IF(BU979=1,"Gebinde geschätzt ("&amp;T979&amp;"); ",IF(BT979=1,"Lose – Tablare geschätzt; ","")))&amp;IF(H979&gt;AR979,"Überbestand "&amp;ROUND(H979-AR979,0)&amp;" Stk / CHF "&amp;ROUND((H979-AR979)*G979,0)&amp;"; ","")&amp;IF(AND(CA979=1,CB979&lt;CC979),"MAX &lt; MB+LG; ","")&amp;IF(AND(CG979&gt;0,CF979*10&gt;CG979),"zu hoch für Tablar; ","")&amp;IF(AND(BP979=0,OR(CA979=1,AA979&lt;&gt;"",U979&lt;&gt;"",V979&lt;&gt;"",AB979&lt;&gt;"")),"manuell übersteuert; ","")&amp;IF(AND(BT979=0,R979=0),"Gebinde unbekannt / Stellmass fehlt; ","")&amp;IF(AND(BT979=0,N(V979)&lt;=0,N(Q979)&lt;=0),"Menge pro Gebinde fehlt (Ist = 1 Gebinde); ","")&amp;BO979)</f>
        <v>negativer Bestand (Export -2); Überbestand</v>
      </c>
      <c r="BH979" s="55"/>
      <c r="BI979" s="55"/>
      <c r="BJ979" s="62"/>
      <c r="BK979" s="57" t="n">
        <v>-2</v>
      </c>
      <c r="BL979" s="57" t="n">
        <v>5</v>
      </c>
      <c r="BM979" s="56" t="n">
        <v>-75.64</v>
      </c>
      <c r="BN979" s="57" t="n">
        <v>3</v>
      </c>
      <c r="BO979" s="55" t="s">
        <v>392</v>
      </c>
      <c r="BP979" s="60" t="n">
        <v>0</v>
      </c>
      <c r="BQ979" s="60" t="n">
        <v>979</v>
      </c>
      <c r="BR979" s="55" t="str">
        <f aca="false">IF(U979&lt;&gt;"",UPPER(TRIM(U979)),IF(BU979=1,UPPER(VLOOKUP(T979,Parameter!$I$27:$K$29,2,0)),IF(P979="","LOSE",P979)))</f>
        <v>S41</v>
      </c>
      <c r="BS979" s="57" t="n">
        <f aca="false">IF(BR979="LOSE",1,IF(N(V979)&gt;0,V979,IF(BU979=1,MAX(1,N(VLOOKUP(T979,Parameter!$I$27:$K$29,3,0)),H979,N(N979)),IF(N(Q979)&gt;0,Q979,MAX(1,H979)))))</f>
        <v>5</v>
      </c>
      <c r="BT979" s="60" t="n">
        <f aca="false">IF(BR979="LOSE",1,0)</f>
        <v>0</v>
      </c>
      <c r="BU979" s="60" t="n">
        <f aca="false">IF(AND(U979="",OR(P979="",P979="LOSE"),T979&lt;&gt;"",N(S979)&lt;=0,ISNUMBER(MATCH(T979,Parameter!$I$27:$I$29,0))),1,0)</f>
        <v>0</v>
      </c>
      <c r="BV979" s="55" t="str">
        <f aca="false">IF(AND(Parameter!$B$19="Ja",E979&lt;&gt;"",ISNUMBER(MATCH(E979,Parameter!$I$35:$I$52,0))),VLOOKUP(E979,Parameter!$I$35:$J$52,2,0),IFERROR(VLOOKUP(D979,Parameter!$A$35:$C$64,2,0),"Nein"))</f>
        <v>2+3</v>
      </c>
      <c r="BW979" s="59" t="n">
        <f aca="false">IF(BT979=0,0,IF(N(S979)&gt;0,S979,IFERROR(VLOOKUP(D979,Parameter!$A$35:$C$64,3,0)+0,0)))</f>
        <v>0</v>
      </c>
      <c r="BX979" s="55" t="n">
        <f aca="false">IF(AA979&lt;&gt;"",AA979,Z979)</f>
        <v>3</v>
      </c>
      <c r="BY979" s="55" t="str">
        <f aca="false">IF(BX979=1,"L1",IF(OR(BX979=2,BX979=3),"L23",IF(BX979="Aussen","Aussen","-")))</f>
        <v>L23</v>
      </c>
      <c r="BZ979" s="66" t="n">
        <f aca="false">IF(N(AB979)&gt;0,AB979,0)</f>
        <v>0</v>
      </c>
      <c r="CA979" s="60" t="n">
        <f aca="false">IF(ISNUMBER(AE979),1,0)</f>
        <v>0</v>
      </c>
      <c r="CB979" s="57" t="n">
        <f aca="false">N(AE979)</f>
        <v>0</v>
      </c>
      <c r="CC979" s="57" t="n">
        <f aca="false">N(M979)+N(N979)</f>
        <v>5</v>
      </c>
      <c r="CD979" s="57" t="n">
        <f aca="false">ROUNDUP(H979/BS979,0)</f>
        <v>1</v>
      </c>
      <c r="CE979" s="57" t="n">
        <f aca="false">ROUNDUP(CB979/BS979,0)</f>
        <v>0</v>
      </c>
      <c r="CF979" s="60" t="n">
        <f aca="false">IF(BT979=1,0,IFERROR(VLOOKUP(BR979,'Gebinde-Kategorie'!$A$5:$M$45,5,0)+0,0))</f>
        <v>11</v>
      </c>
      <c r="CG979" s="60" t="n">
        <f aca="false">IFERROR(IF(OR(BX979=1,BX979=2,BX979=3),N(INDEX(Parameter!$I$5:$I$7,BX979)),0),0)</f>
        <v>0</v>
      </c>
      <c r="CH979" s="59" t="n">
        <f aca="false">IF(AND(Parameter!$B$21="Ja",ISNUMBER(W979),N(X979)&gt;0),IFERROR(N(INDEX(Parameter!$L$5:$L$7,W979))*INDEX(Parameter!$E$5:$E$7,W979)*X979/SUMIFS($X$7:$X$1843,$W$7:$W$1843,W979),0),0)</f>
        <v>0</v>
      </c>
    </row>
    <row r="980" customFormat="false" ht="15" hidden="false" customHeight="false" outlineLevel="0" collapsed="false">
      <c r="A980" s="55" t="s">
        <v>1814</v>
      </c>
      <c r="B980" s="55" t="s">
        <v>1815</v>
      </c>
      <c r="C980" s="55" t="s">
        <v>167</v>
      </c>
      <c r="D980" s="55" t="s">
        <v>184</v>
      </c>
      <c r="E980" s="55" t="s">
        <v>185</v>
      </c>
      <c r="F980" s="55" t="s">
        <v>218</v>
      </c>
      <c r="G980" s="56" t="n">
        <v>4.45</v>
      </c>
      <c r="H980" s="57" t="n">
        <f aca="false">MAX(0,IF(AND(Parameter!$B$21="Ja",ISNUMBER(Y980)),Y980,IF(Parameter!$B$20="Jahresanfang 2025 + Export",BL980+BK980,BK980)))</f>
        <v>98</v>
      </c>
      <c r="I980" s="57" t="n">
        <f aca="false">H980*G980</f>
        <v>436.1</v>
      </c>
      <c r="J980" s="57" t="n">
        <f aca="false">BN980*Parameter!$B$18</f>
        <v>0</v>
      </c>
      <c r="K980" s="58" t="n">
        <v>110</v>
      </c>
      <c r="L980" s="59" t="n">
        <v>0</v>
      </c>
      <c r="M980" s="57" t="n">
        <v>0</v>
      </c>
      <c r="N980" s="57" t="n">
        <v>1</v>
      </c>
      <c r="O980" s="60" t="n">
        <v>14</v>
      </c>
      <c r="P980" s="55" t="s">
        <v>421</v>
      </c>
      <c r="Q980" s="57" t="n">
        <v>20</v>
      </c>
      <c r="R980" s="60" t="n">
        <f aca="false">IF(BT980=1,0,IFERROR(VLOOKUP(BR980,'Gebinde-Kategorie'!$A$5:$M$45,13,0)+0,0))</f>
        <v>132</v>
      </c>
      <c r="S980" s="61"/>
      <c r="T980" s="62"/>
      <c r="U980" s="62"/>
      <c r="V980" s="62"/>
      <c r="W980" s="55"/>
      <c r="X980" s="57"/>
      <c r="Y980" s="57"/>
      <c r="Z980" s="55" t="n">
        <f aca="false">IF(A980="","",IF(AND(Parameter!$B$21="Ja",ISNUMBER(W980)),W980,IF(BV980="2+3",IF(ISNUMBER(SEARCH("grosser Artikel",BO980)),2,IFERROR(VLOOKUP(BR980,Parameter!$F$35:$G$64,2,0),2)),IF(OR(BV980="Nein",BV980=""),"-",BV980))))</f>
        <v>3</v>
      </c>
      <c r="AA980" s="62"/>
      <c r="AB980" s="63"/>
      <c r="AC980" s="57" t="n">
        <f aca="false">AR980</f>
        <v>20</v>
      </c>
      <c r="AD980" s="57" t="n">
        <f aca="false">MAX(AR980,H980)</f>
        <v>98</v>
      </c>
      <c r="AE980" s="64"/>
      <c r="AF980" s="57" t="n">
        <f aca="false">IF(LEFT(Cockpit!$C$5,1)="A",H980,IF(CA980=1,CB980,IF(LEFT(Cockpit!$C$5,1)="B",AJ980,MAX(AJ980,H980))))</f>
        <v>98</v>
      </c>
      <c r="AG980" s="57" t="n">
        <f aca="false">IF(BT980=1,0,ROUNDUP(AF980/BS980,0))</f>
        <v>5</v>
      </c>
      <c r="AH980" s="59" t="n">
        <f aca="false">IF(CH980&gt;0,CH980*MAX(1,AF980/X980),IF(BT980=1,IF(AF980&lt;=0,0,BW980*MAX(1,IF(H980&gt;0,AF980/H980,1))),IF(R980&gt;0,AG980/R980,0))/MAX(0.1,N(Parameter!$M$21)))</f>
        <v>0.0378787878787879</v>
      </c>
      <c r="AI980" s="57" t="n">
        <f aca="false">AF980*G980</f>
        <v>436.1</v>
      </c>
      <c r="AJ980" s="57" t="n">
        <f aca="false">ROUNDUP(MAX(J980/IF(BZ980&gt;0,BZ980,MAX(0.1,N(Cockpit!$C$6))),CC980)/BS980,0)*BS980</f>
        <v>20</v>
      </c>
      <c r="AK980" s="58" t="n">
        <f aca="false">IF(AH980&gt;0,J980/AH980,-1)</f>
        <v>0</v>
      </c>
      <c r="AL980" s="58" t="n">
        <f aca="false">IF(AND(OR(BY980="L1",BY980="L23"),AH980&gt;0),SUMIFS($AH$7:$AH$1843,$BY$7:$BY$1843,BY980,$AK$7:$AK$1843,"&gt;"&amp;AK980)+SUMIFS($AH$7:$AH$1843,$BY$7:$BY$1843,BY980,$AK$7:$AK$1843,AK980,$BQ$7:$BQ$1843,"&lt;="&amp;BQ980),"")</f>
        <v>78.2700331069896</v>
      </c>
      <c r="AM980" s="65" t="n">
        <f aca="false">IF(AL980="",0,MAX(0,MIN(1,(IF(BY980="L1",Parameter!$E$5,Parameter!$E$6+Parameter!$E$7)-(AL980-AH980))/AH980)))</f>
        <v>1</v>
      </c>
      <c r="AN980" s="57" t="n">
        <f aca="false">IF(LEFT(Cockpit!$I$5,1)="A",H980,IF(CA980=1,CB980,IF(LEFT(Cockpit!$I$5,1)="B",AR980,MAX(AR980,H980))))</f>
        <v>98</v>
      </c>
      <c r="AO980" s="57" t="n">
        <f aca="false">IF(BT980=1,0,ROUNDUP(AN980/BS980,0))</f>
        <v>5</v>
      </c>
      <c r="AP980" s="59" t="n">
        <f aca="false">IF(CH980&gt;0,CH980*MAX(1,AN980/X980),IF(BT980=1,IF(AN980&lt;=0,0,BW980*MAX(1,IF(H980&gt;0,AN980/H980,1))),IF(R980&gt;0,AO980/R980,0))/MAX(0.1,N(Parameter!$M$21)))</f>
        <v>0.0378787878787879</v>
      </c>
      <c r="AQ980" s="57" t="n">
        <f aca="false">AN980*G980</f>
        <v>436.1</v>
      </c>
      <c r="AR980" s="57" t="n">
        <f aca="false">ROUNDUP(MAX(J980/IF(BZ980&gt;0,BZ980,MAX(0.1,N(Cockpit!$I$6))),CC980)/BS980,0)*BS980</f>
        <v>20</v>
      </c>
      <c r="AS980" s="58" t="n">
        <f aca="false">IF(AP980&gt;0,J980/AP980,-1)</f>
        <v>0</v>
      </c>
      <c r="AT980" s="58" t="n">
        <f aca="false">IF(AND(OR(BY980="L1",BY980="L23"),AP980&gt;0),SUMIFS($AP$7:$AP$1843,$BY$7:$BY$1843,BY980,$AS$7:$AS$1843,"&gt;"&amp;AS980)+SUMIFS($AP$7:$AP$1843,$BY$7:$BY$1843,BY980,$AS$7:$AS$1843,AS980,$BQ$7:$BQ$1843,"&lt;="&amp;BQ980),"")</f>
        <v>119.541062801932</v>
      </c>
      <c r="AU980" s="65" t="n">
        <f aca="false">IF(AT980="",0,MAX(0,MIN(1,(IF(BY980="L1",Parameter!$E$5,Parameter!$E$6+Parameter!$E$7)-(AT980-AP980))/AP980)))</f>
        <v>0</v>
      </c>
      <c r="AV980" s="57" t="n">
        <f aca="false">IF(LEFT(Cockpit!$O$5,1)="A",H980,IF(CA980=1,CB980,IF(LEFT(Cockpit!$O$5,1)="B",AZ980,MAX(AZ980,H980))))</f>
        <v>98</v>
      </c>
      <c r="AW980" s="57" t="n">
        <f aca="false">IF(BT980=1,0,ROUNDUP(AV980/BS980,0))</f>
        <v>5</v>
      </c>
      <c r="AX980" s="59" t="n">
        <f aca="false">IF(CH980&gt;0,CH980*MAX(1,AV980/X980),IF(BT980=1,IF(AV980&lt;=0,0,BW980*MAX(1,IF(H980&gt;0,AV980/H980,1))),IF(R980&gt;0,AW980/R980,0))/MAX(0.1,N(Parameter!$M$21)))</f>
        <v>0.0378787878787879</v>
      </c>
      <c r="AY980" s="57" t="n">
        <f aca="false">AV980*G980</f>
        <v>436.1</v>
      </c>
      <c r="AZ980" s="57" t="n">
        <f aca="false">ROUNDUP(MAX(J980/IF(BZ980&gt;0,BZ980,MAX(0.1,N(Cockpit!$O$6))),CC980)/BS980,0)*BS980</f>
        <v>20</v>
      </c>
      <c r="BA980" s="58" t="n">
        <f aca="false">IF(AX980&gt;0,J980/AX980,-1)</f>
        <v>0</v>
      </c>
      <c r="BB980" s="58" t="n">
        <f aca="false">IF(AND(OR(BY980="L1",BY980="L23"),AX980&gt;0),SUMIFS($AX$7:$AX$1843,$BY$7:$BY$1843,BY980,$BA$7:$BA$1843,"&gt;"&amp;BA980)+SUMIFS($AX$7:$AX$1843,$BY$7:$BY$1843,BY980,$BA$7:$BA$1843,BA980,$BQ$7:$BQ$1843,"&lt;="&amp;BQ980),"")</f>
        <v>110.370899631769</v>
      </c>
      <c r="BC980" s="65" t="n">
        <f aca="false">IF(BB980="",0,MAX(0,MIN(1,(IF(BY980="L1",Parameter!$E$5,Parameter!$E$6+Parameter!$E$7)-(BB980-AX980))/AX980)))</f>
        <v>0</v>
      </c>
      <c r="BD980" s="55" t="str">
        <f aca="false">IF(AH980&lt;=0,"",IF(BY980="Aussen","Aussenlager",IF(BY980="-","Nicht im Lift",IF(AM980&gt;=1,"Lift",IF(AM980&lt;=0,"Aussenlager","teilweise")))))</f>
        <v>Lift</v>
      </c>
      <c r="BE980" s="55" t="str">
        <f aca="false">IF(AP980&lt;=0,"",IF(BY980="Aussen","Aussenlager",IF(BY980="-","Nicht im Lift",IF(AU980&gt;=1,"Lift",IF(AU980&lt;=0,"Aussenlager","teilweise")))))</f>
        <v>Aussenlager</v>
      </c>
      <c r="BF980" s="55" t="str">
        <f aca="false">IF(AX980&lt;=0,"",IF(BY980="Aussen","Aussenlager",IF(BY980="-","Nicht im Lift",IF(BC980&gt;=1,"Lift",IF(BC980&lt;=0,"Aussenlager","teilweise")))))</f>
        <v>Aussenlager</v>
      </c>
      <c r="BG980" s="55" t="str">
        <f aca="false">IF(A980="","",IF(BP980=1,"Neu; ","")&amp;IF(AND(BP980=0,BK980&lt;0),"negativer Bestand (Export "&amp;BK980&amp;"); ","")&amp;IF(J980&lt;=0,"Kein Verbrauch; ","")&amp;IF(CH980&gt;0,"Lift "&amp;W980&amp;" lt. Liftbericht (Fach "&amp;X980&amp;" Stk); ",IF(BU980=1,"Gebinde geschätzt ("&amp;T980&amp;"); ",IF(BT980=1,"Lose – Tablare geschätzt; ","")))&amp;IF(H980&gt;AR980,"Überbestand "&amp;ROUND(H980-AR980,0)&amp;" Stk / CHF "&amp;ROUND((H980-AR980)*G980,0)&amp;"; ","")&amp;IF(AND(CA980=1,CB980&lt;CC980),"MAX &lt; MB+LG; ","")&amp;IF(AND(CG980&gt;0,CF980*10&gt;CG980),"zu hoch für Tablar; ","")&amp;IF(AND(BP980=0,OR(CA980=1,AA980&lt;&gt;"",U980&lt;&gt;"",V980&lt;&gt;"",AB980&lt;&gt;"")),"manuell übersteuert; ","")&amp;IF(AND(BT980=0,R980=0),"Gebinde unbekannt / Stellmass fehlt; ","")&amp;IF(AND(BT980=0,N(V980)&lt;=0,N(Q980)&lt;=0),"Menge pro Gebinde fehlt (Ist = 1 Gebinde); ","")&amp;BO980)</f>
        <v>negativer Bestand (Export -17); Kein Verbrauch; Überbestand 78 Stk / CHF 347; Verb.Lager</v>
      </c>
      <c r="BH980" s="55"/>
      <c r="BI980" s="55"/>
      <c r="BJ980" s="62"/>
      <c r="BK980" s="57" t="n">
        <v>-17</v>
      </c>
      <c r="BL980" s="57" t="n">
        <v>115</v>
      </c>
      <c r="BM980" s="56" t="n">
        <v>-75.65</v>
      </c>
      <c r="BN980" s="57" t="n">
        <v>0</v>
      </c>
      <c r="BO980" s="55" t="s">
        <v>1030</v>
      </c>
      <c r="BP980" s="60" t="n">
        <v>0</v>
      </c>
      <c r="BQ980" s="60" t="n">
        <v>980</v>
      </c>
      <c r="BR980" s="55" t="str">
        <f aca="false">IF(U980&lt;&gt;"",UPPER(TRIM(U980)),IF(BU980=1,UPPER(VLOOKUP(T980,Parameter!$I$27:$K$29,2,0)),IF(P980="","LOSE",P980)))</f>
        <v>S32</v>
      </c>
      <c r="BS980" s="57" t="n">
        <f aca="false">IF(BR980="LOSE",1,IF(N(V980)&gt;0,V980,IF(BU980=1,MAX(1,N(VLOOKUP(T980,Parameter!$I$27:$K$29,3,0)),H980,N(N980)),IF(N(Q980)&gt;0,Q980,MAX(1,H980)))))</f>
        <v>20</v>
      </c>
      <c r="BT980" s="60" t="n">
        <f aca="false">IF(BR980="LOSE",1,0)</f>
        <v>0</v>
      </c>
      <c r="BU980" s="60" t="n">
        <f aca="false">IF(AND(U980="",OR(P980="",P980="LOSE"),T980&lt;&gt;"",N(S980)&lt;=0,ISNUMBER(MATCH(T980,Parameter!$I$27:$I$29,0))),1,0)</f>
        <v>0</v>
      </c>
      <c r="BV980" s="55" t="str">
        <f aca="false">IF(AND(Parameter!$B$19="Ja",E980&lt;&gt;"",ISNUMBER(MATCH(E980,Parameter!$I$35:$I$52,0))),VLOOKUP(E980,Parameter!$I$35:$J$52,2,0),IFERROR(VLOOKUP(D980,Parameter!$A$35:$C$64,2,0),"Nein"))</f>
        <v>2+3</v>
      </c>
      <c r="BW980" s="59" t="n">
        <f aca="false">IF(BT980=0,0,IF(N(S980)&gt;0,S980,IFERROR(VLOOKUP(D980,Parameter!$A$35:$C$64,3,0)+0,0)))</f>
        <v>0</v>
      </c>
      <c r="BX980" s="55" t="n">
        <f aca="false">IF(AA980&lt;&gt;"",AA980,Z980)</f>
        <v>3</v>
      </c>
      <c r="BY980" s="55" t="str">
        <f aca="false">IF(BX980=1,"L1",IF(OR(BX980=2,BX980=3),"L23",IF(BX980="Aussen","Aussen","-")))</f>
        <v>L23</v>
      </c>
      <c r="BZ980" s="66" t="n">
        <f aca="false">IF(N(AB980)&gt;0,AB980,0)</f>
        <v>0</v>
      </c>
      <c r="CA980" s="60" t="n">
        <f aca="false">IF(ISNUMBER(AE980),1,0)</f>
        <v>0</v>
      </c>
      <c r="CB980" s="57" t="n">
        <f aca="false">N(AE980)</f>
        <v>0</v>
      </c>
      <c r="CC980" s="57" t="n">
        <f aca="false">N(M980)+N(N980)</f>
        <v>1</v>
      </c>
      <c r="CD980" s="57" t="n">
        <f aca="false">ROUNDUP(H980/BS980,0)</f>
        <v>5</v>
      </c>
      <c r="CE980" s="57" t="n">
        <f aca="false">ROUNDUP(CB980/BS980,0)</f>
        <v>0</v>
      </c>
      <c r="CF980" s="60" t="n">
        <f aca="false">IF(BT980=1,0,IFERROR(VLOOKUP(BR980,'Gebinde-Kategorie'!$A$5:$M$45,5,0)+0,0))</f>
        <v>8</v>
      </c>
      <c r="CG980" s="60" t="n">
        <f aca="false">IFERROR(IF(OR(BX980=1,BX980=2,BX980=3),N(INDEX(Parameter!$I$5:$I$7,BX980)),0),0)</f>
        <v>0</v>
      </c>
      <c r="CH980" s="59" t="n">
        <f aca="false">IF(AND(Parameter!$B$21="Ja",ISNUMBER(W980),N(X980)&gt;0),IFERROR(N(INDEX(Parameter!$L$5:$L$7,W980))*INDEX(Parameter!$E$5:$E$7,W980)*X980/SUMIFS($X$7:$X$1843,$W$7:$W$1843,W980),0),0)</f>
        <v>0</v>
      </c>
    </row>
    <row r="981" customFormat="false" ht="15" hidden="false" customHeight="false" outlineLevel="0" collapsed="false">
      <c r="A981" s="55" t="s">
        <v>1816</v>
      </c>
      <c r="B981" s="55" t="s">
        <v>861</v>
      </c>
      <c r="C981" s="55" t="s">
        <v>164</v>
      </c>
      <c r="D981" s="55" t="s">
        <v>184</v>
      </c>
      <c r="E981" s="55"/>
      <c r="F981" s="55" t="s">
        <v>218</v>
      </c>
      <c r="G981" s="56" t="n">
        <v>37.92</v>
      </c>
      <c r="H981" s="57" t="n">
        <f aca="false">MAX(0,IF(AND(Parameter!$B$21="Ja",ISNUMBER(Y981)),Y981,IF(Parameter!$B$20="Jahresanfang 2025 + Export",BL981+BK981,BK981)))</f>
        <v>18</v>
      </c>
      <c r="I981" s="57" t="n">
        <f aca="false">H981*G981</f>
        <v>682.56</v>
      </c>
      <c r="J981" s="57" t="n">
        <f aca="false">BN981*Parameter!$B$18</f>
        <v>4</v>
      </c>
      <c r="K981" s="58" t="n">
        <v>19</v>
      </c>
      <c r="L981" s="59" t="n">
        <v>0.210526315789474</v>
      </c>
      <c r="M981" s="57" t="n">
        <v>0</v>
      </c>
      <c r="N981" s="57" t="n">
        <v>5</v>
      </c>
      <c r="O981" s="60" t="n">
        <v>28</v>
      </c>
      <c r="P981" s="55" t="s">
        <v>426</v>
      </c>
      <c r="Q981" s="57" t="n">
        <v>20</v>
      </c>
      <c r="R981" s="60" t="n">
        <f aca="false">IF(BT981=1,0,IFERROR(VLOOKUP(BR981,'Gebinde-Kategorie'!$A$5:$M$45,13,0)+0,0))</f>
        <v>198</v>
      </c>
      <c r="S981" s="61"/>
      <c r="T981" s="62"/>
      <c r="U981" s="62"/>
      <c r="V981" s="62"/>
      <c r="W981" s="55"/>
      <c r="X981" s="57"/>
      <c r="Y981" s="57"/>
      <c r="Z981" s="55" t="n">
        <f aca="false">IF(A981="","",IF(AND(Parameter!$B$21="Ja",ISNUMBER(W981)),W981,IF(BV981="2+3",IF(ISNUMBER(SEARCH("grosser Artikel",BO981)),2,IFERROR(VLOOKUP(BR981,Parameter!$F$35:$G$64,2,0),2)),IF(OR(BV981="Nein",BV981=""),"-",BV981))))</f>
        <v>3</v>
      </c>
      <c r="AA981" s="62"/>
      <c r="AB981" s="63"/>
      <c r="AC981" s="57" t="n">
        <f aca="false">AR981</f>
        <v>20</v>
      </c>
      <c r="AD981" s="57" t="n">
        <f aca="false">MAX(AR981,H981)</f>
        <v>20</v>
      </c>
      <c r="AE981" s="64"/>
      <c r="AF981" s="57" t="n">
        <f aca="false">IF(LEFT(Cockpit!$C$5,1)="A",H981,IF(CA981=1,CB981,IF(LEFT(Cockpit!$C$5,1)="B",AJ981,MAX(AJ981,H981))))</f>
        <v>18</v>
      </c>
      <c r="AG981" s="57" t="n">
        <f aca="false">IF(BT981=1,0,ROUNDUP(AF981/BS981,0))</f>
        <v>1</v>
      </c>
      <c r="AH981" s="59" t="n">
        <f aca="false">IF(CH981&gt;0,CH981*MAX(1,AF981/X981),IF(BT981=1,IF(AF981&lt;=0,0,BW981*MAX(1,IF(H981&gt;0,AF981/H981,1))),IF(R981&gt;0,AG981/R981,0))/MAX(0.1,N(Parameter!$M$21)))</f>
        <v>0.00505050505050505</v>
      </c>
      <c r="AI981" s="57" t="n">
        <f aca="false">AF981*G981</f>
        <v>682.56</v>
      </c>
      <c r="AJ981" s="57" t="n">
        <f aca="false">ROUNDUP(MAX(J981/IF(BZ981&gt;0,BZ981,MAX(0.1,N(Cockpit!$C$6))),CC981)/BS981,0)*BS981</f>
        <v>20</v>
      </c>
      <c r="AK981" s="58" t="n">
        <f aca="false">IF(AH981&gt;0,J981/AH981,-1)</f>
        <v>792</v>
      </c>
      <c r="AL981" s="58" t="n">
        <f aca="false">IF(AND(OR(BY981="L1",BY981="L23"),AH981&gt;0),SUMIFS($AH$7:$AH$1843,$BY$7:$BY$1843,BY981,$AK$7:$AK$1843,"&gt;"&amp;AK981)+SUMIFS($AH$7:$AH$1843,$BY$7:$BY$1843,BY981,$AK$7:$AK$1843,AK981,$BQ$7:$BQ$1843,"&lt;="&amp;BQ981),"")</f>
        <v>20.8331390831391</v>
      </c>
      <c r="AM981" s="65" t="n">
        <f aca="false">IF(AL981="",0,MAX(0,MIN(1,(IF(BY981="L1",Parameter!$E$5,Parameter!$E$6+Parameter!$E$7)-(AL981-AH981))/AH981)))</f>
        <v>1</v>
      </c>
      <c r="AN981" s="57" t="n">
        <f aca="false">IF(LEFT(Cockpit!$I$5,1)="A",H981,IF(CA981=1,CB981,IF(LEFT(Cockpit!$I$5,1)="B",AR981,MAX(AR981,H981))))</f>
        <v>20</v>
      </c>
      <c r="AO981" s="57" t="n">
        <f aca="false">IF(BT981=1,0,ROUNDUP(AN981/BS981,0))</f>
        <v>1</v>
      </c>
      <c r="AP981" s="59" t="n">
        <f aca="false">IF(CH981&gt;0,CH981*MAX(1,AN981/X981),IF(BT981=1,IF(AN981&lt;=0,0,BW981*MAX(1,IF(H981&gt;0,AN981/H981,1))),IF(R981&gt;0,AO981/R981,0))/MAX(0.1,N(Parameter!$M$21)))</f>
        <v>0.00505050505050505</v>
      </c>
      <c r="AQ981" s="57" t="n">
        <f aca="false">AN981*G981</f>
        <v>758.4</v>
      </c>
      <c r="AR981" s="57" t="n">
        <f aca="false">ROUNDUP(MAX(J981/IF(BZ981&gt;0,BZ981,MAX(0.1,N(Cockpit!$I$6))),CC981)/BS981,0)*BS981</f>
        <v>20</v>
      </c>
      <c r="AS981" s="58" t="n">
        <f aca="false">IF(AP981&gt;0,J981/AP981,-1)</f>
        <v>792</v>
      </c>
      <c r="AT981" s="58" t="n">
        <f aca="false">IF(AND(OR(BY981="L1",BY981="L23"),AP981&gt;0),SUMIFS($AP$7:$AP$1843,$BY$7:$BY$1843,BY981,$AS$7:$AS$1843,"&gt;"&amp;AS981)+SUMIFS($AP$7:$AP$1843,$BY$7:$BY$1843,BY981,$AS$7:$AS$1843,AS981,$BQ$7:$BQ$1843,"&lt;="&amp;BQ981),"")</f>
        <v>26.5778858822337</v>
      </c>
      <c r="AU981" s="65" t="n">
        <f aca="false">IF(AT981="",0,MAX(0,MIN(1,(IF(BY981="L1",Parameter!$E$5,Parameter!$E$6+Parameter!$E$7)-(AT981-AP981))/AP981)))</f>
        <v>1</v>
      </c>
      <c r="AV981" s="57" t="n">
        <f aca="false">IF(LEFT(Cockpit!$O$5,1)="A",H981,IF(CA981=1,CB981,IF(LEFT(Cockpit!$O$5,1)="B",AZ981,MAX(AZ981,H981))))</f>
        <v>20</v>
      </c>
      <c r="AW981" s="57" t="n">
        <f aca="false">IF(BT981=1,0,ROUNDUP(AV981/BS981,0))</f>
        <v>1</v>
      </c>
      <c r="AX981" s="59" t="n">
        <f aca="false">IF(CH981&gt;0,CH981*MAX(1,AV981/X981),IF(BT981=1,IF(AV981&lt;=0,0,BW981*MAX(1,IF(H981&gt;0,AV981/H981,1))),IF(R981&gt;0,AW981/R981,0))/MAX(0.1,N(Parameter!$M$21)))</f>
        <v>0.00505050505050505</v>
      </c>
      <c r="AY981" s="57" t="n">
        <f aca="false">AV981*G981</f>
        <v>758.4</v>
      </c>
      <c r="AZ981" s="57" t="n">
        <f aca="false">ROUNDUP(MAX(J981/IF(BZ981&gt;0,BZ981,MAX(0.1,N(Cockpit!$O$6))),CC981)/BS981,0)*BS981</f>
        <v>20</v>
      </c>
      <c r="BA981" s="58" t="n">
        <f aca="false">IF(AX981&gt;0,J981/AX981,-1)</f>
        <v>792</v>
      </c>
      <c r="BB981" s="58" t="n">
        <f aca="false">IF(AND(OR(BY981="L1",BY981="L23"),AX981&gt;0),SUMIFS($AX$7:$AX$1843,$BY$7:$BY$1843,BY981,$BA$7:$BA$1843,"&gt;"&amp;BA981)+SUMIFS($AX$7:$AX$1843,$BY$7:$BY$1843,BY981,$BA$7:$BA$1843,BA981,$BQ$7:$BQ$1843,"&lt;="&amp;BQ981),"")</f>
        <v>26.0295175838654</v>
      </c>
      <c r="BC981" s="65" t="n">
        <f aca="false">IF(BB981="",0,MAX(0,MIN(1,(IF(BY981="L1",Parameter!$E$5,Parameter!$E$6+Parameter!$E$7)-(BB981-AX981))/AX981)))</f>
        <v>1</v>
      </c>
      <c r="BD981" s="55" t="str">
        <f aca="false">IF(AH981&lt;=0,"",IF(BY981="Aussen","Aussenlager",IF(BY981="-","Nicht im Lift",IF(AM981&gt;=1,"Lift",IF(AM981&lt;=0,"Aussenlager","teilweise")))))</f>
        <v>Lift</v>
      </c>
      <c r="BE981" s="55" t="str">
        <f aca="false">IF(AP981&lt;=0,"",IF(BY981="Aussen","Aussenlager",IF(BY981="-","Nicht im Lift",IF(AU981&gt;=1,"Lift",IF(AU981&lt;=0,"Aussenlager","teilweise")))))</f>
        <v>Lift</v>
      </c>
      <c r="BF981" s="55" t="str">
        <f aca="false">IF(AX981&lt;=0,"",IF(BY981="Aussen","Aussenlager",IF(BY981="-","Nicht im Lift",IF(BC981&gt;=1,"Lift",IF(BC981&lt;=0,"Aussenlager","teilweise")))))</f>
        <v>Lift</v>
      </c>
      <c r="BG981" s="55" t="str">
        <f aca="false">IF(A981="","",IF(BP981=1,"Neu; ","")&amp;IF(AND(BP981=0,BK981&lt;0),"negativer Bestand (Export "&amp;BK981&amp;"); ","")&amp;IF(J981&lt;=0,"Kein Verbrauch; ","")&amp;IF(CH981&gt;0,"Lift "&amp;W981&amp;" lt. Liftbericht (Fach "&amp;X981&amp;" Stk); ",IF(BU981=1,"Gebinde geschätzt ("&amp;T981&amp;"); ",IF(BT981=1,"Lose – Tablare geschätzt; ","")))&amp;IF(H981&gt;AR981,"Überbestand "&amp;ROUND(H981-AR981,0)&amp;" Stk / CHF "&amp;ROUND((H981-AR981)*G981,0)&amp;"; ","")&amp;IF(AND(CA981=1,CB981&lt;CC981),"MAX &lt; MB+LG; ","")&amp;IF(AND(CG981&gt;0,CF981*10&gt;CG981),"zu hoch für Tablar; ","")&amp;IF(AND(BP981=0,OR(CA981=1,AA981&lt;&gt;"",U981&lt;&gt;"",V981&lt;&gt;"",AB981&lt;&gt;"")),"manuell übersteuert; ","")&amp;IF(AND(BT981=0,R981=0),"Gebinde unbekannt / Stellmass fehlt; ","")&amp;IF(AND(BT981=0,N(V981)&lt;=0,N(Q981)&lt;=0),"Menge pro Gebinde fehlt (Ist = 1 Gebinde); ","")&amp;BO981)</f>
        <v>negativer Bestand (Export -2); </v>
      </c>
      <c r="BH981" s="55"/>
      <c r="BI981" s="55"/>
      <c r="BJ981" s="62"/>
      <c r="BK981" s="57" t="n">
        <v>-2</v>
      </c>
      <c r="BL981" s="57" t="n">
        <v>20</v>
      </c>
      <c r="BM981" s="56" t="n">
        <v>-75.84</v>
      </c>
      <c r="BN981" s="57" t="n">
        <v>4</v>
      </c>
      <c r="BO981" s="55"/>
      <c r="BP981" s="60" t="n">
        <v>0</v>
      </c>
      <c r="BQ981" s="60" t="n">
        <v>981</v>
      </c>
      <c r="BR981" s="55" t="str">
        <f aca="false">IF(U981&lt;&gt;"",UPPER(TRIM(U981)),IF(BU981=1,UPPER(VLOOKUP(T981,Parameter!$I$27:$K$29,2,0)),IF(P981="","LOSE",P981)))</f>
        <v>S22</v>
      </c>
      <c r="BS981" s="57" t="n">
        <f aca="false">IF(BR981="LOSE",1,IF(N(V981)&gt;0,V981,IF(BU981=1,MAX(1,N(VLOOKUP(T981,Parameter!$I$27:$K$29,3,0)),H981,N(N981)),IF(N(Q981)&gt;0,Q981,MAX(1,H981)))))</f>
        <v>20</v>
      </c>
      <c r="BT981" s="60" t="n">
        <f aca="false">IF(BR981="LOSE",1,0)</f>
        <v>0</v>
      </c>
      <c r="BU981" s="60" t="n">
        <f aca="false">IF(AND(U981="",OR(P981="",P981="LOSE"),T981&lt;&gt;"",N(S981)&lt;=0,ISNUMBER(MATCH(T981,Parameter!$I$27:$I$29,0))),1,0)</f>
        <v>0</v>
      </c>
      <c r="BV981" s="55" t="str">
        <f aca="false">IF(AND(Parameter!$B$19="Ja",E981&lt;&gt;"",ISNUMBER(MATCH(E981,Parameter!$I$35:$I$52,0))),VLOOKUP(E981,Parameter!$I$35:$J$52,2,0),IFERROR(VLOOKUP(D981,Parameter!$A$35:$C$64,2,0),"Nein"))</f>
        <v>2+3</v>
      </c>
      <c r="BW981" s="59" t="n">
        <f aca="false">IF(BT981=0,0,IF(N(S981)&gt;0,S981,IFERROR(VLOOKUP(D981,Parameter!$A$35:$C$64,3,0)+0,0)))</f>
        <v>0</v>
      </c>
      <c r="BX981" s="55" t="n">
        <f aca="false">IF(AA981&lt;&gt;"",AA981,Z981)</f>
        <v>3</v>
      </c>
      <c r="BY981" s="55" t="str">
        <f aca="false">IF(BX981=1,"L1",IF(OR(BX981=2,BX981=3),"L23",IF(BX981="Aussen","Aussen","-")))</f>
        <v>L23</v>
      </c>
      <c r="BZ981" s="66" t="n">
        <f aca="false">IF(N(AB981)&gt;0,AB981,0)</f>
        <v>0</v>
      </c>
      <c r="CA981" s="60" t="n">
        <f aca="false">IF(ISNUMBER(AE981),1,0)</f>
        <v>0</v>
      </c>
      <c r="CB981" s="57" t="n">
        <f aca="false">N(AE981)</f>
        <v>0</v>
      </c>
      <c r="CC981" s="57" t="n">
        <f aca="false">N(M981)+N(N981)</f>
        <v>5</v>
      </c>
      <c r="CD981" s="57" t="n">
        <f aca="false">ROUNDUP(H981/BS981,0)</f>
        <v>1</v>
      </c>
      <c r="CE981" s="57" t="n">
        <f aca="false">ROUNDUP(CB981/BS981,0)</f>
        <v>0</v>
      </c>
      <c r="CF981" s="60" t="n">
        <f aca="false">IF(BT981=1,0,IFERROR(VLOOKUP(BR981,'Gebinde-Kategorie'!$A$5:$M$45,5,0)+0,0))</f>
        <v>8</v>
      </c>
      <c r="CG981" s="60" t="n">
        <f aca="false">IFERROR(IF(OR(BX981=1,BX981=2,BX981=3),N(INDEX(Parameter!$I$5:$I$7,BX981)),0),0)</f>
        <v>0</v>
      </c>
      <c r="CH981" s="59" t="n">
        <f aca="false">IF(AND(Parameter!$B$21="Ja",ISNUMBER(W981),N(X981)&gt;0),IFERROR(N(INDEX(Parameter!$L$5:$L$7,W981))*INDEX(Parameter!$E$5:$E$7,W981)*X981/SUMIFS($X$7:$X$1843,$W$7:$W$1843,W981),0),0)</f>
        <v>0</v>
      </c>
    </row>
    <row r="982" customFormat="false" ht="15" hidden="false" customHeight="false" outlineLevel="0" collapsed="false">
      <c r="A982" s="55" t="s">
        <v>1817</v>
      </c>
      <c r="B982" s="55" t="s">
        <v>405</v>
      </c>
      <c r="C982" s="55" t="s">
        <v>164</v>
      </c>
      <c r="D982" s="55" t="s">
        <v>184</v>
      </c>
      <c r="E982" s="55" t="s">
        <v>185</v>
      </c>
      <c r="F982" s="55" t="s">
        <v>218</v>
      </c>
      <c r="G982" s="56" t="n">
        <v>1.54</v>
      </c>
      <c r="H982" s="57" t="n">
        <f aca="false">MAX(0,IF(AND(Parameter!$B$21="Ja",ISNUMBER(Y982)),Y982,IF(Parameter!$B$20="Jahresanfang 2025 + Export",BL982+BK982,BK982)))</f>
        <v>197</v>
      </c>
      <c r="I982" s="57" t="n">
        <f aca="false">H982*G982</f>
        <v>303.38</v>
      </c>
      <c r="J982" s="57" t="n">
        <f aca="false">BN982*Parameter!$B$18</f>
        <v>42</v>
      </c>
      <c r="K982" s="58" t="n">
        <v>225.5</v>
      </c>
      <c r="L982" s="59" t="n">
        <v>0.186252771618625</v>
      </c>
      <c r="M982" s="57" t="n">
        <v>3</v>
      </c>
      <c r="N982" s="57" t="n">
        <v>40</v>
      </c>
      <c r="O982" s="60" t="n">
        <v>28</v>
      </c>
      <c r="P982" s="55" t="s">
        <v>302</v>
      </c>
      <c r="Q982" s="57" t="n">
        <v>196</v>
      </c>
      <c r="R982" s="60" t="n">
        <f aca="false">IF(BT982=1,0,IFERROR(VLOOKUP(BR982,'Gebinde-Kategorie'!$A$5:$M$45,13,0)+0,0))</f>
        <v>26</v>
      </c>
      <c r="S982" s="61"/>
      <c r="T982" s="62"/>
      <c r="U982" s="62"/>
      <c r="V982" s="62"/>
      <c r="W982" s="55"/>
      <c r="X982" s="57"/>
      <c r="Y982" s="57"/>
      <c r="Z982" s="55" t="n">
        <f aca="false">IF(A982="","",IF(AND(Parameter!$B$21="Ja",ISNUMBER(W982)),W982,IF(BV982="2+3",IF(ISNUMBER(SEARCH("grosser Artikel",BO982)),2,IFERROR(VLOOKUP(BR982,Parameter!$F$35:$G$64,2,0),2)),IF(OR(BV982="Nein",BV982=""),"-",BV982))))</f>
        <v>3</v>
      </c>
      <c r="AA982" s="62"/>
      <c r="AB982" s="63"/>
      <c r="AC982" s="57" t="n">
        <f aca="false">AR982</f>
        <v>196</v>
      </c>
      <c r="AD982" s="57" t="n">
        <f aca="false">MAX(AR982,H982)</f>
        <v>197</v>
      </c>
      <c r="AE982" s="64"/>
      <c r="AF982" s="57" t="n">
        <f aca="false">IF(LEFT(Cockpit!$C$5,1)="A",H982,IF(CA982=1,CB982,IF(LEFT(Cockpit!$C$5,1)="B",AJ982,MAX(AJ982,H982))))</f>
        <v>197</v>
      </c>
      <c r="AG982" s="57" t="n">
        <f aca="false">IF(BT982=1,0,ROUNDUP(AF982/BS982,0))</f>
        <v>2</v>
      </c>
      <c r="AH982" s="59" t="n">
        <f aca="false">IF(CH982&gt;0,CH982*MAX(1,AF982/X982),IF(BT982=1,IF(AF982&lt;=0,0,BW982*MAX(1,IF(H982&gt;0,AF982/H982,1))),IF(R982&gt;0,AG982/R982,0))/MAX(0.1,N(Parameter!$M$21)))</f>
        <v>0.0769230769230769</v>
      </c>
      <c r="AI982" s="57" t="n">
        <f aca="false">AF982*G982</f>
        <v>303.38</v>
      </c>
      <c r="AJ982" s="57" t="n">
        <f aca="false">ROUNDUP(MAX(J982/IF(BZ982&gt;0,BZ982,MAX(0.1,N(Cockpit!$C$6))),CC982)/BS982,0)*BS982</f>
        <v>196</v>
      </c>
      <c r="AK982" s="58" t="n">
        <f aca="false">IF(AH982&gt;0,J982/AH982,-1)</f>
        <v>546</v>
      </c>
      <c r="AL982" s="58" t="n">
        <f aca="false">IF(AND(OR(BY982="L1",BY982="L23"),AH982&gt;0),SUMIFS($AH$7:$AH$1843,$BY$7:$BY$1843,BY982,$AK$7:$AK$1843,"&gt;"&amp;AK982)+SUMIFS($AH$7:$AH$1843,$BY$7:$BY$1843,BY982,$AK$7:$AK$1843,AK982,$BQ$7:$BQ$1843,"&lt;="&amp;BQ982),"")</f>
        <v>23.6550116550117</v>
      </c>
      <c r="AM982" s="65" t="n">
        <f aca="false">IF(AL982="",0,MAX(0,MIN(1,(IF(BY982="L1",Parameter!$E$5,Parameter!$E$6+Parameter!$E$7)-(AL982-AH982))/AH982)))</f>
        <v>1</v>
      </c>
      <c r="AN982" s="57" t="n">
        <f aca="false">IF(LEFT(Cockpit!$I$5,1)="A",H982,IF(CA982=1,CB982,IF(LEFT(Cockpit!$I$5,1)="B",AR982,MAX(AR982,H982))))</f>
        <v>197</v>
      </c>
      <c r="AO982" s="57" t="n">
        <f aca="false">IF(BT982=1,0,ROUNDUP(AN982/BS982,0))</f>
        <v>2</v>
      </c>
      <c r="AP982" s="59" t="n">
        <f aca="false">IF(CH982&gt;0,CH982*MAX(1,AN982/X982),IF(BT982=1,IF(AN982&lt;=0,0,BW982*MAX(1,IF(H982&gt;0,AN982/H982,1))),IF(R982&gt;0,AO982/R982,0))/MAX(0.1,N(Parameter!$M$21)))</f>
        <v>0.0769230769230769</v>
      </c>
      <c r="AQ982" s="57" t="n">
        <f aca="false">AN982*G982</f>
        <v>303.38</v>
      </c>
      <c r="AR982" s="57" t="n">
        <f aca="false">ROUNDUP(MAX(J982/IF(BZ982&gt;0,BZ982,MAX(0.1,N(Cockpit!$I$6))),CC982)/BS982,0)*BS982</f>
        <v>196</v>
      </c>
      <c r="AS982" s="58" t="n">
        <f aca="false">IF(AP982&gt;0,J982/AP982,-1)</f>
        <v>546</v>
      </c>
      <c r="AT982" s="58" t="n">
        <f aca="false">IF(AND(OR(BY982="L1",BY982="L23"),AP982&gt;0),SUMIFS($AP$7:$AP$1843,$BY$7:$BY$1843,BY982,$AS$7:$AS$1843,"&gt;"&amp;AS982)+SUMIFS($AP$7:$AP$1843,$BY$7:$BY$1843,BY982,$AS$7:$AS$1843,AS982,$BQ$7:$BQ$1843,"&lt;="&amp;BQ982),"")</f>
        <v>32.4038377081855</v>
      </c>
      <c r="AU982" s="65" t="n">
        <f aca="false">IF(AT982="",0,MAX(0,MIN(1,(IF(BY982="L1",Parameter!$E$5,Parameter!$E$6+Parameter!$E$7)-(AT982-AP982))/AP982)))</f>
        <v>1</v>
      </c>
      <c r="AV982" s="57" t="n">
        <f aca="false">IF(LEFT(Cockpit!$O$5,1)="A",H982,IF(CA982=1,CB982,IF(LEFT(Cockpit!$O$5,1)="B",AZ982,MAX(AZ982,H982))))</f>
        <v>197</v>
      </c>
      <c r="AW982" s="57" t="n">
        <f aca="false">IF(BT982=1,0,ROUNDUP(AV982/BS982,0))</f>
        <v>2</v>
      </c>
      <c r="AX982" s="59" t="n">
        <f aca="false">IF(CH982&gt;0,CH982*MAX(1,AV982/X982),IF(BT982=1,IF(AV982&lt;=0,0,BW982*MAX(1,IF(H982&gt;0,AV982/H982,1))),IF(R982&gt;0,AW982/R982,0))/MAX(0.1,N(Parameter!$M$21)))</f>
        <v>0.0769230769230769</v>
      </c>
      <c r="AY982" s="57" t="n">
        <f aca="false">AV982*G982</f>
        <v>303.38</v>
      </c>
      <c r="AZ982" s="57" t="n">
        <f aca="false">ROUNDUP(MAX(J982/IF(BZ982&gt;0,BZ982,MAX(0.1,N(Cockpit!$O$6))),CC982)/BS982,0)*BS982</f>
        <v>196</v>
      </c>
      <c r="BA982" s="58" t="n">
        <f aca="false">IF(AX982&gt;0,J982/AX982,-1)</f>
        <v>546</v>
      </c>
      <c r="BB982" s="58" t="n">
        <f aca="false">IF(AND(OR(BY982="L1",BY982="L23"),AX982&gt;0),SUMIFS($AX$7:$AX$1843,$BY$7:$BY$1843,BY982,$BA$7:$BA$1843,"&gt;"&amp;BA982)+SUMIFS($AX$7:$AX$1843,$BY$7:$BY$1843,BY982,$BA$7:$BA$1843,BA982,$BQ$7:$BQ$1843,"&lt;="&amp;BQ982),"")</f>
        <v>29.9708540252019</v>
      </c>
      <c r="BC982" s="65" t="n">
        <f aca="false">IF(BB982="",0,MAX(0,MIN(1,(IF(BY982="L1",Parameter!$E$5,Parameter!$E$6+Parameter!$E$7)-(BB982-AX982))/AX982)))</f>
        <v>1</v>
      </c>
      <c r="BD982" s="55" t="str">
        <f aca="false">IF(AH982&lt;=0,"",IF(BY982="Aussen","Aussenlager",IF(BY982="-","Nicht im Lift",IF(AM982&gt;=1,"Lift",IF(AM982&lt;=0,"Aussenlager","teilweise")))))</f>
        <v>Lift</v>
      </c>
      <c r="BE982" s="55" t="str">
        <f aca="false">IF(AP982&lt;=0,"",IF(BY982="Aussen","Aussenlager",IF(BY982="-","Nicht im Lift",IF(AU982&gt;=1,"Lift",IF(AU982&lt;=0,"Aussenlager","teilweise")))))</f>
        <v>Lift</v>
      </c>
      <c r="BF982" s="55" t="str">
        <f aca="false">IF(AX982&lt;=0,"",IF(BY982="Aussen","Aussenlager",IF(BY982="-","Nicht im Lift",IF(BC982&gt;=1,"Lift",IF(BC982&lt;=0,"Aussenlager","teilweise")))))</f>
        <v>Lift</v>
      </c>
      <c r="BG982" s="55" t="str">
        <f aca="false">IF(A982="","",IF(BP982=1,"Neu; ","")&amp;IF(AND(BP982=0,BK982&lt;0),"negativer Bestand (Export "&amp;BK982&amp;"); ","")&amp;IF(J982&lt;=0,"Kein Verbrauch; ","")&amp;IF(CH982&gt;0,"Lift "&amp;W982&amp;" lt. Liftbericht (Fach "&amp;X982&amp;" Stk); ",IF(BU982=1,"Gebinde geschätzt ("&amp;T982&amp;"); ",IF(BT982=1,"Lose – Tablare geschätzt; ","")))&amp;IF(H982&gt;AR982,"Überbestand "&amp;ROUND(H982-AR982,0)&amp;" Stk / CHF "&amp;ROUND((H982-AR982)*G982,0)&amp;"; ","")&amp;IF(AND(CA982=1,CB982&lt;CC982),"MAX &lt; MB+LG; ","")&amp;IF(AND(CG982&gt;0,CF982*10&gt;CG982),"zu hoch für Tablar; ","")&amp;IF(AND(BP982=0,OR(CA982=1,AA982&lt;&gt;"",U982&lt;&gt;"",V982&lt;&gt;"",AB982&lt;&gt;"")),"manuell übersteuert; ","")&amp;IF(AND(BT982=0,R982=0),"Gebinde unbekannt / Stellmass fehlt; ","")&amp;IF(AND(BT982=0,N(V982)&lt;=0,N(Q982)&lt;=0),"Menge pro Gebinde fehlt (Ist = 1 Gebinde); ","")&amp;BO982)</f>
        <v>negativer Bestand (Export -50); Überbestand 1 Stk / CHF 2; </v>
      </c>
      <c r="BH982" s="55"/>
      <c r="BI982" s="55"/>
      <c r="BJ982" s="62"/>
      <c r="BK982" s="57" t="n">
        <v>-50</v>
      </c>
      <c r="BL982" s="57" t="n">
        <v>247</v>
      </c>
      <c r="BM982" s="56" t="n">
        <v>-77</v>
      </c>
      <c r="BN982" s="57" t="n">
        <v>42</v>
      </c>
      <c r="BO982" s="55"/>
      <c r="BP982" s="60" t="n">
        <v>0</v>
      </c>
      <c r="BQ982" s="60" t="n">
        <v>982</v>
      </c>
      <c r="BR982" s="55" t="str">
        <f aca="false">IF(U982&lt;&gt;"",UPPER(TRIM(U982)),IF(BU982=1,UPPER(VLOOKUP(T982,Parameter!$I$27:$K$29,2,0)),IF(P982="","LOSE",P982)))</f>
        <v>S51</v>
      </c>
      <c r="BS982" s="57" t="n">
        <f aca="false">IF(BR982="LOSE",1,IF(N(V982)&gt;0,V982,IF(BU982=1,MAX(1,N(VLOOKUP(T982,Parameter!$I$27:$K$29,3,0)),H982,N(N982)),IF(N(Q982)&gt;0,Q982,MAX(1,H982)))))</f>
        <v>196</v>
      </c>
      <c r="BT982" s="60" t="n">
        <f aca="false">IF(BR982="LOSE",1,0)</f>
        <v>0</v>
      </c>
      <c r="BU982" s="60" t="n">
        <f aca="false">IF(AND(U982="",OR(P982="",P982="LOSE"),T982&lt;&gt;"",N(S982)&lt;=0,ISNUMBER(MATCH(T982,Parameter!$I$27:$I$29,0))),1,0)</f>
        <v>0</v>
      </c>
      <c r="BV982" s="55" t="str">
        <f aca="false">IF(AND(Parameter!$B$19="Ja",E982&lt;&gt;"",ISNUMBER(MATCH(E982,Parameter!$I$35:$I$52,0))),VLOOKUP(E982,Parameter!$I$35:$J$52,2,0),IFERROR(VLOOKUP(D982,Parameter!$A$35:$C$64,2,0),"Nein"))</f>
        <v>2+3</v>
      </c>
      <c r="BW982" s="59" t="n">
        <f aca="false">IF(BT982=0,0,IF(N(S982)&gt;0,S982,IFERROR(VLOOKUP(D982,Parameter!$A$35:$C$64,3,0)+0,0)))</f>
        <v>0</v>
      </c>
      <c r="BX982" s="55" t="n">
        <f aca="false">IF(AA982&lt;&gt;"",AA982,Z982)</f>
        <v>3</v>
      </c>
      <c r="BY982" s="55" t="str">
        <f aca="false">IF(BX982=1,"L1",IF(OR(BX982=2,BX982=3),"L23",IF(BX982="Aussen","Aussen","-")))</f>
        <v>L23</v>
      </c>
      <c r="BZ982" s="66" t="n">
        <f aca="false">IF(N(AB982)&gt;0,AB982,0)</f>
        <v>0</v>
      </c>
      <c r="CA982" s="60" t="n">
        <f aca="false">IF(ISNUMBER(AE982),1,0)</f>
        <v>0</v>
      </c>
      <c r="CB982" s="57" t="n">
        <f aca="false">N(AE982)</f>
        <v>0</v>
      </c>
      <c r="CC982" s="57" t="n">
        <f aca="false">N(M982)+N(N982)</f>
        <v>43</v>
      </c>
      <c r="CD982" s="57" t="n">
        <f aca="false">ROUNDUP(H982/BS982,0)</f>
        <v>2</v>
      </c>
      <c r="CE982" s="57" t="n">
        <f aca="false">ROUNDUP(CB982/BS982,0)</f>
        <v>0</v>
      </c>
      <c r="CF982" s="60" t="n">
        <f aca="false">IF(BT982=1,0,IFERROR(VLOOKUP(BR982,'Gebinde-Kategorie'!$A$5:$M$45,5,0)+0,0))</f>
        <v>11</v>
      </c>
      <c r="CG982" s="60" t="n">
        <f aca="false">IFERROR(IF(OR(BX982=1,BX982=2,BX982=3),N(INDEX(Parameter!$I$5:$I$7,BX982)),0),0)</f>
        <v>0</v>
      </c>
      <c r="CH982" s="59" t="n">
        <f aca="false">IF(AND(Parameter!$B$21="Ja",ISNUMBER(W982),N(X982)&gt;0),IFERROR(N(INDEX(Parameter!$L$5:$L$7,W982))*INDEX(Parameter!$E$5:$E$7,W982)*X982/SUMIFS($X$7:$X$1843,$W$7:$W$1843,W982),0),0)</f>
        <v>0</v>
      </c>
    </row>
    <row r="983" customFormat="false" ht="15" hidden="false" customHeight="false" outlineLevel="0" collapsed="false">
      <c r="A983" s="55" t="s">
        <v>1818</v>
      </c>
      <c r="B983" s="55" t="s">
        <v>589</v>
      </c>
      <c r="C983" s="55" t="s">
        <v>164</v>
      </c>
      <c r="D983" s="55" t="s">
        <v>184</v>
      </c>
      <c r="E983" s="55" t="s">
        <v>185</v>
      </c>
      <c r="F983" s="55" t="s">
        <v>218</v>
      </c>
      <c r="G983" s="56" t="n">
        <v>1.66</v>
      </c>
      <c r="H983" s="57" t="n">
        <f aca="false">MAX(0,IF(AND(Parameter!$B$21="Ja",ISNUMBER(Y983)),Y983,IF(Parameter!$B$20="Jahresanfang 2025 + Export",BL983+BK983,BK983)))</f>
        <v>158</v>
      </c>
      <c r="I983" s="57" t="n">
        <f aca="false">H983*G983</f>
        <v>262.28</v>
      </c>
      <c r="J983" s="57" t="n">
        <f aca="false">BN983*Parameter!$B$18</f>
        <v>310</v>
      </c>
      <c r="K983" s="58" t="n">
        <v>148</v>
      </c>
      <c r="L983" s="59" t="n">
        <v>2.0945945945946</v>
      </c>
      <c r="M983" s="57" t="n">
        <v>12</v>
      </c>
      <c r="N983" s="57" t="n">
        <v>310</v>
      </c>
      <c r="O983" s="60" t="n">
        <v>14</v>
      </c>
      <c r="P983" s="55" t="s">
        <v>401</v>
      </c>
      <c r="Q983" s="57" t="n">
        <v>74</v>
      </c>
      <c r="R983" s="60" t="n">
        <f aca="false">IF(BT983=1,0,IFERROR(VLOOKUP(BR983,'Gebinde-Kategorie'!$A$5:$M$45,13,0)+0,0))</f>
        <v>414</v>
      </c>
      <c r="S983" s="61"/>
      <c r="T983" s="62"/>
      <c r="U983" s="62"/>
      <c r="V983" s="62"/>
      <c r="W983" s="55"/>
      <c r="X983" s="57"/>
      <c r="Y983" s="57"/>
      <c r="Z983" s="55" t="n">
        <f aca="false">IF(A983="","",IF(AND(Parameter!$B$21="Ja",ISNUMBER(W983)),W983,IF(BV983="2+3",IF(ISNUMBER(SEARCH("grosser Artikel",BO983)),2,IFERROR(VLOOKUP(BR983,Parameter!$F$35:$G$64,2,0),2)),IF(OR(BV983="Nein",BV983=""),"-",BV983))))</f>
        <v>3</v>
      </c>
      <c r="AA983" s="62"/>
      <c r="AB983" s="63"/>
      <c r="AC983" s="57" t="n">
        <f aca="false">AR983</f>
        <v>370</v>
      </c>
      <c r="AD983" s="57" t="n">
        <f aca="false">MAX(AR983,H983)</f>
        <v>370</v>
      </c>
      <c r="AE983" s="64"/>
      <c r="AF983" s="57" t="n">
        <f aca="false">IF(LEFT(Cockpit!$C$5,1)="A",H983,IF(CA983=1,CB983,IF(LEFT(Cockpit!$C$5,1)="B",AJ983,MAX(AJ983,H983))))</f>
        <v>158</v>
      </c>
      <c r="AG983" s="57" t="n">
        <f aca="false">IF(BT983=1,0,ROUNDUP(AF983/BS983,0))</f>
        <v>3</v>
      </c>
      <c r="AH983" s="59" t="n">
        <f aca="false">IF(CH983&gt;0,CH983*MAX(1,AF983/X983),IF(BT983=1,IF(AF983&lt;=0,0,BW983*MAX(1,IF(H983&gt;0,AF983/H983,1))),IF(R983&gt;0,AG983/R983,0))/MAX(0.1,N(Parameter!$M$21)))</f>
        <v>0.0072463768115942</v>
      </c>
      <c r="AI983" s="57" t="n">
        <f aca="false">AF983*G983</f>
        <v>262.28</v>
      </c>
      <c r="AJ983" s="57" t="n">
        <f aca="false">ROUNDUP(MAX(J983/IF(BZ983&gt;0,BZ983,MAX(0.1,N(Cockpit!$C$6))),CC983)/BS983,0)*BS983</f>
        <v>370</v>
      </c>
      <c r="AK983" s="58" t="n">
        <f aca="false">IF(AH983&gt;0,J983/AH983,-1)</f>
        <v>42780</v>
      </c>
      <c r="AL983" s="58" t="n">
        <f aca="false">IF(AND(OR(BY983="L1",BY983="L23"),AH983&gt;0),SUMIFS($AH$7:$AH$1843,$BY$7:$BY$1843,BY983,$AK$7:$AK$1843,"&gt;"&amp;AK983)+SUMIFS($AH$7:$AH$1843,$BY$7:$BY$1843,BY983,$AK$7:$AK$1843,AK983,$BQ$7:$BQ$1843,"&lt;="&amp;BQ983),"")</f>
        <v>2.00410459106111</v>
      </c>
      <c r="AM983" s="65" t="n">
        <f aca="false">IF(AL983="",0,MAX(0,MIN(1,(IF(BY983="L1",Parameter!$E$5,Parameter!$E$6+Parameter!$E$7)-(AL983-AH983))/AH983)))</f>
        <v>1</v>
      </c>
      <c r="AN983" s="57" t="n">
        <f aca="false">IF(LEFT(Cockpit!$I$5,1)="A",H983,IF(CA983=1,CB983,IF(LEFT(Cockpit!$I$5,1)="B",AR983,MAX(AR983,H983))))</f>
        <v>370</v>
      </c>
      <c r="AO983" s="57" t="n">
        <f aca="false">IF(BT983=1,0,ROUNDUP(AN983/BS983,0))</f>
        <v>5</v>
      </c>
      <c r="AP983" s="59" t="n">
        <f aca="false">IF(CH983&gt;0,CH983*MAX(1,AN983/X983),IF(BT983=1,IF(AN983&lt;=0,0,BW983*MAX(1,IF(H983&gt;0,AN983/H983,1))),IF(R983&gt;0,AO983/R983,0))/MAX(0.1,N(Parameter!$M$21)))</f>
        <v>0.0120772946859903</v>
      </c>
      <c r="AQ983" s="57" t="n">
        <f aca="false">AN983*G983</f>
        <v>614.2</v>
      </c>
      <c r="AR983" s="57" t="n">
        <f aca="false">ROUNDUP(MAX(J983/IF(BZ983&gt;0,BZ983,MAX(0.1,N(Cockpit!$I$6))),CC983)/BS983,0)*BS983</f>
        <v>370</v>
      </c>
      <c r="AS983" s="58" t="n">
        <f aca="false">IF(AP983&gt;0,J983/AP983,-1)</f>
        <v>25668</v>
      </c>
      <c r="AT983" s="58" t="n">
        <f aca="false">IF(AND(OR(BY983="L1",BY983="L23"),AP983&gt;0),SUMIFS($AP$7:$AP$1843,$BY$7:$BY$1843,BY983,$AS$7:$AS$1843,"&gt;"&amp;AS983)+SUMIFS($AP$7:$AP$1843,$BY$7:$BY$1843,BY983,$AS$7:$AS$1843,AS983,$BQ$7:$BQ$1843,"&lt;="&amp;BQ983),"")</f>
        <v>3.64991892165805</v>
      </c>
      <c r="AU983" s="65" t="n">
        <f aca="false">IF(AT983="",0,MAX(0,MIN(1,(IF(BY983="L1",Parameter!$E$5,Parameter!$E$6+Parameter!$E$7)-(AT983-AP983))/AP983)))</f>
        <v>1</v>
      </c>
      <c r="AV983" s="57" t="n">
        <f aca="false">IF(LEFT(Cockpit!$O$5,1)="A",H983,IF(CA983=1,CB983,IF(LEFT(Cockpit!$O$5,1)="B",AZ983,MAX(AZ983,H983))))</f>
        <v>370</v>
      </c>
      <c r="AW983" s="57" t="n">
        <f aca="false">IF(BT983=1,0,ROUNDUP(AV983/BS983,0))</f>
        <v>5</v>
      </c>
      <c r="AX983" s="59" t="n">
        <f aca="false">IF(CH983&gt;0,CH983*MAX(1,AV983/X983),IF(BT983=1,IF(AV983&lt;=0,0,BW983*MAX(1,IF(H983&gt;0,AV983/H983,1))),IF(R983&gt;0,AW983/R983,0))/MAX(0.1,N(Parameter!$M$21)))</f>
        <v>0.0120772946859903</v>
      </c>
      <c r="AY983" s="57" t="n">
        <f aca="false">AV983*G983</f>
        <v>614.2</v>
      </c>
      <c r="AZ983" s="57" t="n">
        <f aca="false">ROUNDUP(MAX(J983/IF(BZ983&gt;0,BZ983,MAX(0.1,N(Cockpit!$O$6))),CC983)/BS983,0)*BS983</f>
        <v>370</v>
      </c>
      <c r="BA983" s="58" t="n">
        <f aca="false">IF(AX983&gt;0,J983/AX983,-1)</f>
        <v>25668</v>
      </c>
      <c r="BB983" s="58" t="n">
        <f aca="false">IF(AND(OR(BY983="L1",BY983="L23"),AX983&gt;0),SUMIFS($AX$7:$AX$1843,$BY$7:$BY$1843,BY983,$BA$7:$BA$1843,"&gt;"&amp;BA983)+SUMIFS($AX$7:$AX$1843,$BY$7:$BY$1843,BY983,$BA$7:$BA$1843,BA983,$BQ$7:$BQ$1843,"&lt;="&amp;BQ983),"")</f>
        <v>3.37952265126178</v>
      </c>
      <c r="BC983" s="65" t="n">
        <f aca="false">IF(BB983="",0,MAX(0,MIN(1,(IF(BY983="L1",Parameter!$E$5,Parameter!$E$6+Parameter!$E$7)-(BB983-AX983))/AX983)))</f>
        <v>1</v>
      </c>
      <c r="BD983" s="55" t="str">
        <f aca="false">IF(AH983&lt;=0,"",IF(BY983="Aussen","Aussenlager",IF(BY983="-","Nicht im Lift",IF(AM983&gt;=1,"Lift",IF(AM983&lt;=0,"Aussenlager","teilweise")))))</f>
        <v>Lift</v>
      </c>
      <c r="BE983" s="55" t="str">
        <f aca="false">IF(AP983&lt;=0,"",IF(BY983="Aussen","Aussenlager",IF(BY983="-","Nicht im Lift",IF(AU983&gt;=1,"Lift",IF(AU983&lt;=0,"Aussenlager","teilweise")))))</f>
        <v>Lift</v>
      </c>
      <c r="BF983" s="55" t="str">
        <f aca="false">IF(AX983&lt;=0,"",IF(BY983="Aussen","Aussenlager",IF(BY983="-","Nicht im Lift",IF(BC983&gt;=1,"Lift",IF(BC983&lt;=0,"Aussenlager","teilweise")))))</f>
        <v>Lift</v>
      </c>
      <c r="BG983" s="55" t="str">
        <f aca="false">IF(A983="","",IF(BP983=1,"Neu; ","")&amp;IF(AND(BP983=0,BK983&lt;0),"negativer Bestand (Export "&amp;BK983&amp;"); ","")&amp;IF(J983&lt;=0,"Kein Verbrauch; ","")&amp;IF(CH983&gt;0,"Lift "&amp;W983&amp;" lt. Liftbericht (Fach "&amp;X983&amp;" Stk); ",IF(BU983=1,"Gebinde geschätzt ("&amp;T983&amp;"); ",IF(BT983=1,"Lose – Tablare geschätzt; ","")))&amp;IF(H983&gt;AR983,"Überbestand "&amp;ROUND(H983-AR983,0)&amp;" Stk / CHF "&amp;ROUND((H983-AR983)*G983,0)&amp;"; ","")&amp;IF(AND(CA983=1,CB983&lt;CC983),"MAX &lt; MB+LG; ","")&amp;IF(AND(CG983&gt;0,CF983*10&gt;CG983),"zu hoch für Tablar; ","")&amp;IF(AND(BP983=0,OR(CA983=1,AA983&lt;&gt;"",U983&lt;&gt;"",V983&lt;&gt;"",AB983&lt;&gt;"")),"manuell übersteuert; ","")&amp;IF(AND(BT983=0,R983=0),"Gebinde unbekannt / Stellmass fehlt; ","")&amp;IF(AND(BT983=0,N(V983)&lt;=0,N(Q983)&lt;=0),"Menge pro Gebinde fehlt (Ist = 1 Gebinde); ","")&amp;BO983)</f>
        <v>negativer Bestand (Export -44); </v>
      </c>
      <c r="BH983" s="55"/>
      <c r="BI983" s="55"/>
      <c r="BJ983" s="62"/>
      <c r="BK983" s="57" t="n">
        <v>-44</v>
      </c>
      <c r="BL983" s="57" t="n">
        <v>202</v>
      </c>
      <c r="BM983" s="56" t="n">
        <v>-77.0799999999999</v>
      </c>
      <c r="BN983" s="57" t="n">
        <v>310</v>
      </c>
      <c r="BO983" s="55"/>
      <c r="BP983" s="60" t="n">
        <v>0</v>
      </c>
      <c r="BQ983" s="60" t="n">
        <v>983</v>
      </c>
      <c r="BR983" s="55" t="str">
        <f aca="false">IF(U983&lt;&gt;"",UPPER(TRIM(U983)),IF(BU983=1,UPPER(VLOOKUP(T983,Parameter!$I$27:$K$29,2,0)),IF(P983="","LOSE",P983)))</f>
        <v>S21</v>
      </c>
      <c r="BS983" s="57" t="n">
        <f aca="false">IF(BR983="LOSE",1,IF(N(V983)&gt;0,V983,IF(BU983=1,MAX(1,N(VLOOKUP(T983,Parameter!$I$27:$K$29,3,0)),H983,N(N983)),IF(N(Q983)&gt;0,Q983,MAX(1,H983)))))</f>
        <v>74</v>
      </c>
      <c r="BT983" s="60" t="n">
        <f aca="false">IF(BR983="LOSE",1,0)</f>
        <v>0</v>
      </c>
      <c r="BU983" s="60" t="n">
        <f aca="false">IF(AND(U983="",OR(P983="",P983="LOSE"),T983&lt;&gt;"",N(S983)&lt;=0,ISNUMBER(MATCH(T983,Parameter!$I$27:$I$29,0))),1,0)</f>
        <v>0</v>
      </c>
      <c r="BV983" s="55" t="str">
        <f aca="false">IF(AND(Parameter!$B$19="Ja",E983&lt;&gt;"",ISNUMBER(MATCH(E983,Parameter!$I$35:$I$52,0))),VLOOKUP(E983,Parameter!$I$35:$J$52,2,0),IFERROR(VLOOKUP(D983,Parameter!$A$35:$C$64,2,0),"Nein"))</f>
        <v>2+3</v>
      </c>
      <c r="BW983" s="59" t="n">
        <f aca="false">IF(BT983=0,0,IF(N(S983)&gt;0,S983,IFERROR(VLOOKUP(D983,Parameter!$A$35:$C$64,3,0)+0,0)))</f>
        <v>0</v>
      </c>
      <c r="BX983" s="55" t="n">
        <f aca="false">IF(AA983&lt;&gt;"",AA983,Z983)</f>
        <v>3</v>
      </c>
      <c r="BY983" s="55" t="str">
        <f aca="false">IF(BX983=1,"L1",IF(OR(BX983=2,BX983=3),"L23",IF(BX983="Aussen","Aussen","-")))</f>
        <v>L23</v>
      </c>
      <c r="BZ983" s="66" t="n">
        <f aca="false">IF(N(AB983)&gt;0,AB983,0)</f>
        <v>0</v>
      </c>
      <c r="CA983" s="60" t="n">
        <f aca="false">IF(ISNUMBER(AE983),1,0)</f>
        <v>0</v>
      </c>
      <c r="CB983" s="57" t="n">
        <f aca="false">N(AE983)</f>
        <v>0</v>
      </c>
      <c r="CC983" s="57" t="n">
        <f aca="false">N(M983)+N(N983)</f>
        <v>322</v>
      </c>
      <c r="CD983" s="57" t="n">
        <f aca="false">ROUNDUP(H983/BS983,0)</f>
        <v>3</v>
      </c>
      <c r="CE983" s="57" t="n">
        <f aca="false">ROUNDUP(CB983/BS983,0)</f>
        <v>0</v>
      </c>
      <c r="CF983" s="60" t="n">
        <f aca="false">IF(BT983=1,0,IFERROR(VLOOKUP(BR983,'Gebinde-Kategorie'!$A$5:$M$45,5,0)+0,0))</f>
        <v>8</v>
      </c>
      <c r="CG983" s="60" t="n">
        <f aca="false">IFERROR(IF(OR(BX983=1,BX983=2,BX983=3),N(INDEX(Parameter!$I$5:$I$7,BX983)),0),0)</f>
        <v>0</v>
      </c>
      <c r="CH983" s="59" t="n">
        <f aca="false">IF(AND(Parameter!$B$21="Ja",ISNUMBER(W983),N(X983)&gt;0),IFERROR(N(INDEX(Parameter!$L$5:$L$7,W983))*INDEX(Parameter!$E$5:$E$7,W983)*X983/SUMIFS($X$7:$X$1843,$W$7:$W$1843,W983),0),0)</f>
        <v>0</v>
      </c>
    </row>
    <row r="984" customFormat="false" ht="15" hidden="false" customHeight="false" outlineLevel="0" collapsed="false">
      <c r="A984" s="55" t="s">
        <v>1819</v>
      </c>
      <c r="B984" s="55" t="s">
        <v>1820</v>
      </c>
      <c r="C984" s="55" t="s">
        <v>164</v>
      </c>
      <c r="D984" s="55" t="s">
        <v>184</v>
      </c>
      <c r="E984" s="55" t="s">
        <v>185</v>
      </c>
      <c r="F984" s="55" t="s">
        <v>218</v>
      </c>
      <c r="G984" s="56" t="n">
        <v>25.86</v>
      </c>
      <c r="H984" s="57" t="n">
        <f aca="false">MAX(0,IF(AND(Parameter!$B$21="Ja",ISNUMBER(Y984)),Y984,IF(Parameter!$B$20="Jahresanfang 2025 + Export",BL984+BK984,BK984)))</f>
        <v>59</v>
      </c>
      <c r="I984" s="57" t="n">
        <f aca="false">H984*G984</f>
        <v>1525.74</v>
      </c>
      <c r="J984" s="57" t="n">
        <f aca="false">BN984*Parameter!$B$18</f>
        <v>0</v>
      </c>
      <c r="K984" s="58" t="n">
        <v>62</v>
      </c>
      <c r="L984" s="59" t="n">
        <v>0</v>
      </c>
      <c r="M984" s="57" t="n">
        <v>0</v>
      </c>
      <c r="N984" s="57" t="n">
        <v>1</v>
      </c>
      <c r="O984" s="60" t="n">
        <v>14</v>
      </c>
      <c r="P984" s="55" t="s">
        <v>421</v>
      </c>
      <c r="Q984" s="57" t="n">
        <v>78</v>
      </c>
      <c r="R984" s="60" t="n">
        <f aca="false">IF(BT984=1,0,IFERROR(VLOOKUP(BR984,'Gebinde-Kategorie'!$A$5:$M$45,13,0)+0,0))</f>
        <v>132</v>
      </c>
      <c r="S984" s="61"/>
      <c r="T984" s="62"/>
      <c r="U984" s="62"/>
      <c r="V984" s="62"/>
      <c r="W984" s="55"/>
      <c r="X984" s="57"/>
      <c r="Y984" s="57"/>
      <c r="Z984" s="55" t="n">
        <f aca="false">IF(A984="","",IF(AND(Parameter!$B$21="Ja",ISNUMBER(W984)),W984,IF(BV984="2+3",IF(ISNUMBER(SEARCH("grosser Artikel",BO984)),2,IFERROR(VLOOKUP(BR984,Parameter!$F$35:$G$64,2,0),2)),IF(OR(BV984="Nein",BV984=""),"-",BV984))))</f>
        <v>3</v>
      </c>
      <c r="AA984" s="62"/>
      <c r="AB984" s="63"/>
      <c r="AC984" s="57" t="n">
        <f aca="false">AR984</f>
        <v>78</v>
      </c>
      <c r="AD984" s="57" t="n">
        <f aca="false">MAX(AR984,H984)</f>
        <v>78</v>
      </c>
      <c r="AE984" s="64"/>
      <c r="AF984" s="57" t="n">
        <f aca="false">IF(LEFT(Cockpit!$C$5,1)="A",H984,IF(CA984=1,CB984,IF(LEFT(Cockpit!$C$5,1)="B",AJ984,MAX(AJ984,H984))))</f>
        <v>59</v>
      </c>
      <c r="AG984" s="57" t="n">
        <f aca="false">IF(BT984=1,0,ROUNDUP(AF984/BS984,0))</f>
        <v>1</v>
      </c>
      <c r="AH984" s="59" t="n">
        <f aca="false">IF(CH984&gt;0,CH984*MAX(1,AF984/X984),IF(BT984=1,IF(AF984&lt;=0,0,BW984*MAX(1,IF(H984&gt;0,AF984/H984,1))),IF(R984&gt;0,AG984/R984,0))/MAX(0.1,N(Parameter!$M$21)))</f>
        <v>0.00757575757575758</v>
      </c>
      <c r="AI984" s="57" t="n">
        <f aca="false">AF984*G984</f>
        <v>1525.74</v>
      </c>
      <c r="AJ984" s="57" t="n">
        <f aca="false">ROUNDUP(MAX(J984/IF(BZ984&gt;0,BZ984,MAX(0.1,N(Cockpit!$C$6))),CC984)/BS984,0)*BS984</f>
        <v>78</v>
      </c>
      <c r="AK984" s="58" t="n">
        <f aca="false">IF(AH984&gt;0,J984/AH984,-1)</f>
        <v>0</v>
      </c>
      <c r="AL984" s="58" t="n">
        <f aca="false">IF(AND(OR(BY984="L1",BY984="L23"),AH984&gt;0),SUMIFS($AH$7:$AH$1843,$BY$7:$BY$1843,BY984,$AK$7:$AK$1843,"&gt;"&amp;AK984)+SUMIFS($AH$7:$AH$1843,$BY$7:$BY$1843,BY984,$AK$7:$AK$1843,AK984,$BQ$7:$BQ$1843,"&lt;="&amp;BQ984),"")</f>
        <v>78.2776088645654</v>
      </c>
      <c r="AM984" s="65" t="n">
        <f aca="false">IF(AL984="",0,MAX(0,MIN(1,(IF(BY984="L1",Parameter!$E$5,Parameter!$E$6+Parameter!$E$7)-(AL984-AH984))/AH984)))</f>
        <v>1</v>
      </c>
      <c r="AN984" s="57" t="n">
        <f aca="false">IF(LEFT(Cockpit!$I$5,1)="A",H984,IF(CA984=1,CB984,IF(LEFT(Cockpit!$I$5,1)="B",AR984,MAX(AR984,H984))))</f>
        <v>78</v>
      </c>
      <c r="AO984" s="57" t="n">
        <f aca="false">IF(BT984=1,0,ROUNDUP(AN984/BS984,0))</f>
        <v>1</v>
      </c>
      <c r="AP984" s="59" t="n">
        <f aca="false">IF(CH984&gt;0,CH984*MAX(1,AN984/X984),IF(BT984=1,IF(AN984&lt;=0,0,BW984*MAX(1,IF(H984&gt;0,AN984/H984,1))),IF(R984&gt;0,AO984/R984,0))/MAX(0.1,N(Parameter!$M$21)))</f>
        <v>0.00757575757575758</v>
      </c>
      <c r="AQ984" s="57" t="n">
        <f aca="false">AN984*G984</f>
        <v>2017.08</v>
      </c>
      <c r="AR984" s="57" t="n">
        <f aca="false">ROUNDUP(MAX(J984/IF(BZ984&gt;0,BZ984,MAX(0.1,N(Cockpit!$I$6))),CC984)/BS984,0)*BS984</f>
        <v>78</v>
      </c>
      <c r="AS984" s="58" t="n">
        <f aca="false">IF(AP984&gt;0,J984/AP984,-1)</f>
        <v>0</v>
      </c>
      <c r="AT984" s="58" t="n">
        <f aca="false">IF(AND(OR(BY984="L1",BY984="L23"),AP984&gt;0),SUMIFS($AP$7:$AP$1843,$BY$7:$BY$1843,BY984,$AS$7:$AS$1843,"&gt;"&amp;AS984)+SUMIFS($AP$7:$AP$1843,$BY$7:$BY$1843,BY984,$AS$7:$AS$1843,AS984,$BQ$7:$BQ$1843,"&lt;="&amp;BQ984),"")</f>
        <v>119.548638559508</v>
      </c>
      <c r="AU984" s="65" t="n">
        <f aca="false">IF(AT984="",0,MAX(0,MIN(1,(IF(BY984="L1",Parameter!$E$5,Parameter!$E$6+Parameter!$E$7)-(AT984-AP984))/AP984)))</f>
        <v>0</v>
      </c>
      <c r="AV984" s="57" t="n">
        <f aca="false">IF(LEFT(Cockpit!$O$5,1)="A",H984,IF(CA984=1,CB984,IF(LEFT(Cockpit!$O$5,1)="B",AZ984,MAX(AZ984,H984))))</f>
        <v>78</v>
      </c>
      <c r="AW984" s="57" t="n">
        <f aca="false">IF(BT984=1,0,ROUNDUP(AV984/BS984,0))</f>
        <v>1</v>
      </c>
      <c r="AX984" s="59" t="n">
        <f aca="false">IF(CH984&gt;0,CH984*MAX(1,AV984/X984),IF(BT984=1,IF(AV984&lt;=0,0,BW984*MAX(1,IF(H984&gt;0,AV984/H984,1))),IF(R984&gt;0,AW984/R984,0))/MAX(0.1,N(Parameter!$M$21)))</f>
        <v>0.00757575757575758</v>
      </c>
      <c r="AY984" s="57" t="n">
        <f aca="false">AV984*G984</f>
        <v>2017.08</v>
      </c>
      <c r="AZ984" s="57" t="n">
        <f aca="false">ROUNDUP(MAX(J984/IF(BZ984&gt;0,BZ984,MAX(0.1,N(Cockpit!$O$6))),CC984)/BS984,0)*BS984</f>
        <v>78</v>
      </c>
      <c r="BA984" s="58" t="n">
        <f aca="false">IF(AX984&gt;0,J984/AX984,-1)</f>
        <v>0</v>
      </c>
      <c r="BB984" s="58" t="n">
        <f aca="false">IF(AND(OR(BY984="L1",BY984="L23"),AX984&gt;0),SUMIFS($AX$7:$AX$1843,$BY$7:$BY$1843,BY984,$BA$7:$BA$1843,"&gt;"&amp;BA984)+SUMIFS($AX$7:$AX$1843,$BY$7:$BY$1843,BY984,$BA$7:$BA$1843,BA984,$BQ$7:$BQ$1843,"&lt;="&amp;BQ984),"")</f>
        <v>110.378475389345</v>
      </c>
      <c r="BC984" s="65" t="n">
        <f aca="false">IF(BB984="",0,MAX(0,MIN(1,(IF(BY984="L1",Parameter!$E$5,Parameter!$E$6+Parameter!$E$7)-(BB984-AX984))/AX984)))</f>
        <v>0</v>
      </c>
      <c r="BD984" s="55" t="str">
        <f aca="false">IF(AH984&lt;=0,"",IF(BY984="Aussen","Aussenlager",IF(BY984="-","Nicht im Lift",IF(AM984&gt;=1,"Lift",IF(AM984&lt;=0,"Aussenlager","teilweise")))))</f>
        <v>Lift</v>
      </c>
      <c r="BE984" s="55" t="str">
        <f aca="false">IF(AP984&lt;=0,"",IF(BY984="Aussen","Aussenlager",IF(BY984="-","Nicht im Lift",IF(AU984&gt;=1,"Lift",IF(AU984&lt;=0,"Aussenlager","teilweise")))))</f>
        <v>Aussenlager</v>
      </c>
      <c r="BF984" s="55" t="str">
        <f aca="false">IF(AX984&lt;=0,"",IF(BY984="Aussen","Aussenlager",IF(BY984="-","Nicht im Lift",IF(BC984&gt;=1,"Lift",IF(BC984&lt;=0,"Aussenlager","teilweise")))))</f>
        <v>Aussenlager</v>
      </c>
      <c r="BG984" s="55" t="str">
        <f aca="false">IF(A984="","",IF(BP984=1,"Neu; ","")&amp;IF(AND(BP984=0,BK984&lt;0),"negativer Bestand (Export "&amp;BK984&amp;"); ","")&amp;IF(J984&lt;=0,"Kein Verbrauch; ","")&amp;IF(CH984&gt;0,"Lift "&amp;W984&amp;" lt. Liftbericht (Fach "&amp;X984&amp;" Stk); ",IF(BU984=1,"Gebinde geschätzt ("&amp;T984&amp;"); ",IF(BT984=1,"Lose – Tablare geschätzt; ","")))&amp;IF(H984&gt;AR984,"Überbestand "&amp;ROUND(H984-AR984,0)&amp;" Stk / CHF "&amp;ROUND((H984-AR984)*G984,0)&amp;"; ","")&amp;IF(AND(CA984=1,CB984&lt;CC984),"MAX &lt; MB+LG; ","")&amp;IF(AND(CG984&gt;0,CF984*10&gt;CG984),"zu hoch für Tablar; ","")&amp;IF(AND(BP984=0,OR(CA984=1,AA984&lt;&gt;"",U984&lt;&gt;"",V984&lt;&gt;"",AB984&lt;&gt;"")),"manuell übersteuert; ","")&amp;IF(AND(BT984=0,R984=0),"Gebinde unbekannt / Stellmass fehlt; ","")&amp;IF(AND(BT984=0,N(V984)&lt;=0,N(Q984)&lt;=0),"Menge pro Gebinde fehlt (Ist = 1 Gebinde); ","")&amp;BO984)</f>
        <v>negativer Bestand (Export -3); Kein Verbrauch; </v>
      </c>
      <c r="BH984" s="55"/>
      <c r="BI984" s="55"/>
      <c r="BJ984" s="62"/>
      <c r="BK984" s="57" t="n">
        <v>-3</v>
      </c>
      <c r="BL984" s="57" t="n">
        <v>62</v>
      </c>
      <c r="BM984" s="56" t="n">
        <v>-77.58</v>
      </c>
      <c r="BN984" s="57" t="n">
        <v>0</v>
      </c>
      <c r="BO984" s="55"/>
      <c r="BP984" s="60" t="n">
        <v>0</v>
      </c>
      <c r="BQ984" s="60" t="n">
        <v>984</v>
      </c>
      <c r="BR984" s="55" t="str">
        <f aca="false">IF(U984&lt;&gt;"",UPPER(TRIM(U984)),IF(BU984=1,UPPER(VLOOKUP(T984,Parameter!$I$27:$K$29,2,0)),IF(P984="","LOSE",P984)))</f>
        <v>S32</v>
      </c>
      <c r="BS984" s="57" t="n">
        <f aca="false">IF(BR984="LOSE",1,IF(N(V984)&gt;0,V984,IF(BU984=1,MAX(1,N(VLOOKUP(T984,Parameter!$I$27:$K$29,3,0)),H984,N(N984)),IF(N(Q984)&gt;0,Q984,MAX(1,H984)))))</f>
        <v>78</v>
      </c>
      <c r="BT984" s="60" t="n">
        <f aca="false">IF(BR984="LOSE",1,0)</f>
        <v>0</v>
      </c>
      <c r="BU984" s="60" t="n">
        <f aca="false">IF(AND(U984="",OR(P984="",P984="LOSE"),T984&lt;&gt;"",N(S984)&lt;=0,ISNUMBER(MATCH(T984,Parameter!$I$27:$I$29,0))),1,0)</f>
        <v>0</v>
      </c>
      <c r="BV984" s="55" t="str">
        <f aca="false">IF(AND(Parameter!$B$19="Ja",E984&lt;&gt;"",ISNUMBER(MATCH(E984,Parameter!$I$35:$I$52,0))),VLOOKUP(E984,Parameter!$I$35:$J$52,2,0),IFERROR(VLOOKUP(D984,Parameter!$A$35:$C$64,2,0),"Nein"))</f>
        <v>2+3</v>
      </c>
      <c r="BW984" s="59" t="n">
        <f aca="false">IF(BT984=0,0,IF(N(S984)&gt;0,S984,IFERROR(VLOOKUP(D984,Parameter!$A$35:$C$64,3,0)+0,0)))</f>
        <v>0</v>
      </c>
      <c r="BX984" s="55" t="n">
        <f aca="false">IF(AA984&lt;&gt;"",AA984,Z984)</f>
        <v>3</v>
      </c>
      <c r="BY984" s="55" t="str">
        <f aca="false">IF(BX984=1,"L1",IF(OR(BX984=2,BX984=3),"L23",IF(BX984="Aussen","Aussen","-")))</f>
        <v>L23</v>
      </c>
      <c r="BZ984" s="66" t="n">
        <f aca="false">IF(N(AB984)&gt;0,AB984,0)</f>
        <v>0</v>
      </c>
      <c r="CA984" s="60" t="n">
        <f aca="false">IF(ISNUMBER(AE984),1,0)</f>
        <v>0</v>
      </c>
      <c r="CB984" s="57" t="n">
        <f aca="false">N(AE984)</f>
        <v>0</v>
      </c>
      <c r="CC984" s="57" t="n">
        <f aca="false">N(M984)+N(N984)</f>
        <v>1</v>
      </c>
      <c r="CD984" s="57" t="n">
        <f aca="false">ROUNDUP(H984/BS984,0)</f>
        <v>1</v>
      </c>
      <c r="CE984" s="57" t="n">
        <f aca="false">ROUNDUP(CB984/BS984,0)</f>
        <v>0</v>
      </c>
      <c r="CF984" s="60" t="n">
        <f aca="false">IF(BT984=1,0,IFERROR(VLOOKUP(BR984,'Gebinde-Kategorie'!$A$5:$M$45,5,0)+0,0))</f>
        <v>8</v>
      </c>
      <c r="CG984" s="60" t="n">
        <f aca="false">IFERROR(IF(OR(BX984=1,BX984=2,BX984=3),N(INDEX(Parameter!$I$5:$I$7,BX984)),0),0)</f>
        <v>0</v>
      </c>
      <c r="CH984" s="59" t="n">
        <f aca="false">IF(AND(Parameter!$B$21="Ja",ISNUMBER(W984),N(X984)&gt;0),IFERROR(N(INDEX(Parameter!$L$5:$L$7,W984))*INDEX(Parameter!$E$5:$E$7,W984)*X984/SUMIFS($X$7:$X$1843,$W$7:$W$1843,W984),0),0)</f>
        <v>0</v>
      </c>
    </row>
    <row r="985" customFormat="false" ht="15" hidden="false" customHeight="false" outlineLevel="0" collapsed="false">
      <c r="A985" s="55" t="s">
        <v>1821</v>
      </c>
      <c r="B985" s="55" t="s">
        <v>1822</v>
      </c>
      <c r="C985" s="55" t="s">
        <v>456</v>
      </c>
      <c r="D985" s="55" t="s">
        <v>184</v>
      </c>
      <c r="E985" s="55"/>
      <c r="F985" s="55" t="s">
        <v>218</v>
      </c>
      <c r="G985" s="56" t="n">
        <v>2</v>
      </c>
      <c r="H985" s="57" t="n">
        <f aca="false">MAX(0,IF(AND(Parameter!$B$21="Ja",ISNUMBER(Y985)),Y985,IF(Parameter!$B$20="Jahresanfang 2025 + Export",BL985+BK985,BK985)))</f>
        <v>0</v>
      </c>
      <c r="I985" s="57" t="n">
        <f aca="false">H985*G985</f>
        <v>0</v>
      </c>
      <c r="J985" s="57" t="n">
        <f aca="false">BN985*Parameter!$B$18</f>
        <v>0</v>
      </c>
      <c r="K985" s="58" t="n">
        <v>40</v>
      </c>
      <c r="L985" s="59" t="n">
        <v>0</v>
      </c>
      <c r="M985" s="57" t="n">
        <v>0</v>
      </c>
      <c r="N985" s="57" t="n">
        <v>1</v>
      </c>
      <c r="O985" s="60" t="n">
        <v>21</v>
      </c>
      <c r="P985" s="55" t="s">
        <v>168</v>
      </c>
      <c r="Q985" s="57"/>
      <c r="R985" s="60" t="n">
        <f aca="false">IF(BT985=1,0,IFERROR(VLOOKUP(BR985,'Gebinde-Kategorie'!$A$5:$M$45,13,0)+0,0))</f>
        <v>26</v>
      </c>
      <c r="S985" s="61"/>
      <c r="T985" s="62" t="s">
        <v>275</v>
      </c>
      <c r="U985" s="62"/>
      <c r="V985" s="62"/>
      <c r="W985" s="55"/>
      <c r="X985" s="57"/>
      <c r="Y985" s="57"/>
      <c r="Z985" s="55" t="n">
        <f aca="false">IF(A985="","",IF(AND(Parameter!$B$21="Ja",ISNUMBER(W985)),W985,IF(BV985="2+3",IF(ISNUMBER(SEARCH("grosser Artikel",BO985)),2,IFERROR(VLOOKUP(BR985,Parameter!$F$35:$G$64,2,0),2)),IF(OR(BV985="Nein",BV985=""),"-",BV985))))</f>
        <v>3</v>
      </c>
      <c r="AA985" s="62"/>
      <c r="AB985" s="63"/>
      <c r="AC985" s="57" t="n">
        <f aca="false">AR985</f>
        <v>20</v>
      </c>
      <c r="AD985" s="57" t="n">
        <f aca="false">MAX(AR985,H985)</f>
        <v>20</v>
      </c>
      <c r="AE985" s="64"/>
      <c r="AF985" s="57" t="n">
        <f aca="false">IF(LEFT(Cockpit!$C$5,1)="A",H985,IF(CA985=1,CB985,IF(LEFT(Cockpit!$C$5,1)="B",AJ985,MAX(AJ985,H985))))</f>
        <v>0</v>
      </c>
      <c r="AG985" s="57" t="n">
        <f aca="false">IF(BT985=1,0,ROUNDUP(AF985/BS985,0))</f>
        <v>0</v>
      </c>
      <c r="AH985" s="59" t="n">
        <f aca="false">IF(CH985&gt;0,CH985*MAX(1,AF985/X985),IF(BT985=1,IF(AF985&lt;=0,0,BW985*MAX(1,IF(H985&gt;0,AF985/H985,1))),IF(R985&gt;0,AG985/R985,0))/MAX(0.1,N(Parameter!$M$21)))</f>
        <v>0</v>
      </c>
      <c r="AI985" s="57" t="n">
        <f aca="false">AF985*G985</f>
        <v>0</v>
      </c>
      <c r="AJ985" s="57" t="n">
        <f aca="false">ROUNDUP(MAX(J985/IF(BZ985&gt;0,BZ985,MAX(0.1,N(Cockpit!$C$6))),CC985)/BS985,0)*BS985</f>
        <v>20</v>
      </c>
      <c r="AK985" s="58" t="n">
        <f aca="false">IF(AH985&gt;0,J985/AH985,-1)</f>
        <v>-1</v>
      </c>
      <c r="AL985" s="58" t="str">
        <f aca="false">IF(AND(OR(BY985="L1",BY985="L23"),AH985&gt;0),SUMIFS($AH$7:$AH$1843,$BY$7:$BY$1843,BY985,$AK$7:$AK$1843,"&gt;"&amp;AK985)+SUMIFS($AH$7:$AH$1843,$BY$7:$BY$1843,BY985,$AK$7:$AK$1843,AK985,$BQ$7:$BQ$1843,"&lt;="&amp;BQ985),"")</f>
        <v/>
      </c>
      <c r="AM985" s="65" t="n">
        <f aca="false">IF(AL985="",0,MAX(0,MIN(1,(IF(BY985="L1",Parameter!$E$5,Parameter!$E$6+Parameter!$E$7)-(AL985-AH985))/AH985)))</f>
        <v>0</v>
      </c>
      <c r="AN985" s="57" t="n">
        <f aca="false">IF(LEFT(Cockpit!$I$5,1)="A",H985,IF(CA985=1,CB985,IF(LEFT(Cockpit!$I$5,1)="B",AR985,MAX(AR985,H985))))</f>
        <v>20</v>
      </c>
      <c r="AO985" s="57" t="n">
        <f aca="false">IF(BT985=1,0,ROUNDUP(AN985/BS985,0))</f>
        <v>1</v>
      </c>
      <c r="AP985" s="59" t="n">
        <f aca="false">IF(CH985&gt;0,CH985*MAX(1,AN985/X985),IF(BT985=1,IF(AN985&lt;=0,0,BW985*MAX(1,IF(H985&gt;0,AN985/H985,1))),IF(R985&gt;0,AO985/R985,0))/MAX(0.1,N(Parameter!$M$21)))</f>
        <v>0.0384615384615385</v>
      </c>
      <c r="AQ985" s="57" t="n">
        <f aca="false">AN985*G985</f>
        <v>40</v>
      </c>
      <c r="AR985" s="57" t="n">
        <f aca="false">ROUNDUP(MAX(J985/IF(BZ985&gt;0,BZ985,MAX(0.1,N(Cockpit!$I$6))),CC985)/BS985,0)*BS985</f>
        <v>20</v>
      </c>
      <c r="AS985" s="58" t="n">
        <f aca="false">IF(AP985&gt;0,J985/AP985,-1)</f>
        <v>0</v>
      </c>
      <c r="AT985" s="58" t="n">
        <f aca="false">IF(AND(OR(BY985="L1",BY985="L23"),AP985&gt;0),SUMIFS($AP$7:$AP$1843,$BY$7:$BY$1843,BY985,$AS$7:$AS$1843,"&gt;"&amp;AS985)+SUMIFS($AP$7:$AP$1843,$BY$7:$BY$1843,BY985,$AS$7:$AS$1843,AS985,$BQ$7:$BQ$1843,"&lt;="&amp;BQ985),"")</f>
        <v>119.58710009797</v>
      </c>
      <c r="AU985" s="65" t="n">
        <f aca="false">IF(AT985="",0,MAX(0,MIN(1,(IF(BY985="L1",Parameter!$E$5,Parameter!$E$6+Parameter!$E$7)-(AT985-AP985))/AP985)))</f>
        <v>0</v>
      </c>
      <c r="AV985" s="57" t="n">
        <f aca="false">IF(LEFT(Cockpit!$O$5,1)="A",H985,IF(CA985=1,CB985,IF(LEFT(Cockpit!$O$5,1)="B",AZ985,MAX(AZ985,H985))))</f>
        <v>20</v>
      </c>
      <c r="AW985" s="57" t="n">
        <f aca="false">IF(BT985=1,0,ROUNDUP(AV985/BS985,0))</f>
        <v>1</v>
      </c>
      <c r="AX985" s="59" t="n">
        <f aca="false">IF(CH985&gt;0,CH985*MAX(1,AV985/X985),IF(BT985=1,IF(AV985&lt;=0,0,BW985*MAX(1,IF(H985&gt;0,AV985/H985,1))),IF(R985&gt;0,AW985/R985,0))/MAX(0.1,N(Parameter!$M$21)))</f>
        <v>0.0384615384615385</v>
      </c>
      <c r="AY985" s="57" t="n">
        <f aca="false">AV985*G985</f>
        <v>40</v>
      </c>
      <c r="AZ985" s="57" t="n">
        <f aca="false">ROUNDUP(MAX(J985/IF(BZ985&gt;0,BZ985,MAX(0.1,N(Cockpit!$O$6))),CC985)/BS985,0)*BS985</f>
        <v>20</v>
      </c>
      <c r="BA985" s="58" t="n">
        <f aca="false">IF(AX985&gt;0,J985/AX985,-1)</f>
        <v>0</v>
      </c>
      <c r="BB985" s="58" t="n">
        <f aca="false">IF(AND(OR(BY985="L1",BY985="L23"),AX985&gt;0),SUMIFS($AX$7:$AX$1843,$BY$7:$BY$1843,BY985,$BA$7:$BA$1843,"&gt;"&amp;BA985)+SUMIFS($AX$7:$AX$1843,$BY$7:$BY$1843,BY985,$BA$7:$BA$1843,BA985,$BQ$7:$BQ$1843,"&lt;="&amp;BQ985),"")</f>
        <v>110.416936927806</v>
      </c>
      <c r="BC985" s="65" t="n">
        <f aca="false">IF(BB985="",0,MAX(0,MIN(1,(IF(BY985="L1",Parameter!$E$5,Parameter!$E$6+Parameter!$E$7)-(BB985-AX985))/AX985)))</f>
        <v>0</v>
      </c>
      <c r="BD985" s="55" t="str">
        <f aca="false">IF(AH985&lt;=0,"",IF(BY985="Aussen","Aussenlager",IF(BY985="-","Nicht im Lift",IF(AM985&gt;=1,"Lift",IF(AM985&lt;=0,"Aussenlager","teilweise")))))</f>
        <v/>
      </c>
      <c r="BE985" s="55" t="str">
        <f aca="false">IF(AP985&lt;=0,"",IF(BY985="Aussen","Aussenlager",IF(BY985="-","Nicht im Lift",IF(AU985&gt;=1,"Lift",IF(AU985&lt;=0,"Aussenlager","teilweise")))))</f>
        <v>Aussenlager</v>
      </c>
      <c r="BF985" s="55" t="str">
        <f aca="false">IF(AX985&lt;=0,"",IF(BY985="Aussen","Aussenlager",IF(BY985="-","Nicht im Lift",IF(BC985&gt;=1,"Lift",IF(BC985&lt;=0,"Aussenlager","teilweise")))))</f>
        <v>Aussenlager</v>
      </c>
      <c r="BG985" s="55" t="str">
        <f aca="false">IF(A985="","",IF(BP985=1,"Neu; ","")&amp;IF(AND(BP985=0,BK985&lt;0),"negativer Bestand (Export "&amp;BK985&amp;"); ","")&amp;IF(J985&lt;=0,"Kein Verbrauch; ","")&amp;IF(CH985&gt;0,"Lift "&amp;W985&amp;" lt. Liftbericht (Fach "&amp;X985&amp;" Stk); ",IF(BU985=1,"Gebinde geschätzt ("&amp;T985&amp;"); ",IF(BT985=1,"Lose – Tablare geschätzt; ","")))&amp;IF(H985&gt;AR985,"Überbestand "&amp;ROUND(H985-AR985,0)&amp;" Stk / CHF "&amp;ROUND((H985-AR985)*G985,0)&amp;"; ","")&amp;IF(AND(CA985=1,CB985&lt;CC985),"MAX &lt; MB+LG; ","")&amp;IF(AND(CG985&gt;0,CF985*10&gt;CG985),"zu hoch für Tablar; ","")&amp;IF(AND(BP985=0,OR(CA985=1,AA985&lt;&gt;"",U985&lt;&gt;"",V985&lt;&gt;"",AB985&lt;&gt;"")),"manuell übersteuert; ","")&amp;IF(AND(BT985=0,R985=0),"Gebinde unbekannt / Stellmass fehlt; ","")&amp;IF(AND(BT985=0,N(V985)&lt;=0,N(Q985)&lt;=0),"Menge pro Gebinde fehlt (Ist = 1 Gebinde); ","")&amp;BO985)</f>
        <v>negativer Bestand (Export -40); Kein Verbrauch; Gebinde geschätzt (Klein); Menge pro Gebinde fehlt (Ist = 1 Gebinde); </v>
      </c>
      <c r="BH985" s="55"/>
      <c r="BI985" s="55"/>
      <c r="BJ985" s="62"/>
      <c r="BK985" s="57" t="n">
        <v>-40</v>
      </c>
      <c r="BL985" s="57" t="n">
        <v>40</v>
      </c>
      <c r="BM985" s="56" t="n">
        <v>-80</v>
      </c>
      <c r="BN985" s="57" t="n">
        <v>0</v>
      </c>
      <c r="BO985" s="55"/>
      <c r="BP985" s="60" t="n">
        <v>0</v>
      </c>
      <c r="BQ985" s="60" t="n">
        <v>985</v>
      </c>
      <c r="BR985" s="55" t="str">
        <f aca="false">IF(U985&lt;&gt;"",UPPER(TRIM(U985)),IF(BU985=1,UPPER(VLOOKUP(T985,Parameter!$I$27:$K$29,2,0)),IF(P985="","LOSE",P985)))</f>
        <v>S51</v>
      </c>
      <c r="BS985" s="57" t="n">
        <f aca="false">IF(BR985="LOSE",1,IF(N(V985)&gt;0,V985,IF(BU985=1,MAX(1,N(VLOOKUP(T985,Parameter!$I$27:$K$29,3,0)),H985,N(N985)),IF(N(Q985)&gt;0,Q985,MAX(1,H985)))))</f>
        <v>20</v>
      </c>
      <c r="BT985" s="60" t="n">
        <f aca="false">IF(BR985="LOSE",1,0)</f>
        <v>0</v>
      </c>
      <c r="BU985" s="60" t="n">
        <f aca="false">IF(AND(U985="",OR(P985="",P985="LOSE"),T985&lt;&gt;"",N(S985)&lt;=0,ISNUMBER(MATCH(T985,Parameter!$I$27:$I$29,0))),1,0)</f>
        <v>1</v>
      </c>
      <c r="BV985" s="55" t="str">
        <f aca="false">IF(AND(Parameter!$B$19="Ja",E985&lt;&gt;"",ISNUMBER(MATCH(E985,Parameter!$I$35:$I$52,0))),VLOOKUP(E985,Parameter!$I$35:$J$52,2,0),IFERROR(VLOOKUP(D985,Parameter!$A$35:$C$64,2,0),"Nein"))</f>
        <v>2+3</v>
      </c>
      <c r="BW985" s="59" t="n">
        <f aca="false">IF(BT985=0,0,IF(N(S985)&gt;0,S985,IFERROR(VLOOKUP(D985,Parameter!$A$35:$C$64,3,0)+0,0)))</f>
        <v>0</v>
      </c>
      <c r="BX985" s="55" t="n">
        <f aca="false">IF(AA985&lt;&gt;"",AA985,Z985)</f>
        <v>3</v>
      </c>
      <c r="BY985" s="55" t="str">
        <f aca="false">IF(BX985=1,"L1",IF(OR(BX985=2,BX985=3),"L23",IF(BX985="Aussen","Aussen","-")))</f>
        <v>L23</v>
      </c>
      <c r="BZ985" s="66" t="n">
        <f aca="false">IF(N(AB985)&gt;0,AB985,0)</f>
        <v>0</v>
      </c>
      <c r="CA985" s="60" t="n">
        <f aca="false">IF(ISNUMBER(AE985),1,0)</f>
        <v>0</v>
      </c>
      <c r="CB985" s="57" t="n">
        <f aca="false">N(AE985)</f>
        <v>0</v>
      </c>
      <c r="CC985" s="57" t="n">
        <f aca="false">N(M985)+N(N985)</f>
        <v>1</v>
      </c>
      <c r="CD985" s="57" t="n">
        <f aca="false">ROUNDUP(H985/BS985,0)</f>
        <v>0</v>
      </c>
      <c r="CE985" s="57" t="n">
        <f aca="false">ROUNDUP(CB985/BS985,0)</f>
        <v>0</v>
      </c>
      <c r="CF985" s="60" t="n">
        <f aca="false">IF(BT985=1,0,IFERROR(VLOOKUP(BR985,'Gebinde-Kategorie'!$A$5:$M$45,5,0)+0,0))</f>
        <v>11</v>
      </c>
      <c r="CG985" s="60" t="n">
        <f aca="false">IFERROR(IF(OR(BX985=1,BX985=2,BX985=3),N(INDEX(Parameter!$I$5:$I$7,BX985)),0),0)</f>
        <v>0</v>
      </c>
      <c r="CH985" s="59" t="n">
        <f aca="false">IF(AND(Parameter!$B$21="Ja",ISNUMBER(W985),N(X985)&gt;0),IFERROR(N(INDEX(Parameter!$L$5:$L$7,W985))*INDEX(Parameter!$E$5:$E$7,W985)*X985/SUMIFS($X$7:$X$1843,$W$7:$W$1843,W985),0),0)</f>
        <v>0</v>
      </c>
    </row>
    <row r="986" customFormat="false" ht="15" hidden="false" customHeight="false" outlineLevel="0" collapsed="false">
      <c r="A986" s="55" t="s">
        <v>1823</v>
      </c>
      <c r="B986" s="55" t="s">
        <v>1824</v>
      </c>
      <c r="C986" s="55" t="s">
        <v>456</v>
      </c>
      <c r="D986" s="55" t="s">
        <v>184</v>
      </c>
      <c r="E986" s="55"/>
      <c r="F986" s="55" t="s">
        <v>218</v>
      </c>
      <c r="G986" s="56" t="n">
        <v>2</v>
      </c>
      <c r="H986" s="57" t="n">
        <f aca="false">MAX(0,IF(AND(Parameter!$B$21="Ja",ISNUMBER(Y986)),Y986,IF(Parameter!$B$20="Jahresanfang 2025 + Export",BL986+BK986,BK986)))</f>
        <v>0</v>
      </c>
      <c r="I986" s="57" t="n">
        <f aca="false">H986*G986</f>
        <v>0</v>
      </c>
      <c r="J986" s="57" t="n">
        <f aca="false">BN986*Parameter!$B$18</f>
        <v>0</v>
      </c>
      <c r="K986" s="58" t="n">
        <v>37.5</v>
      </c>
      <c r="L986" s="59" t="n">
        <v>0</v>
      </c>
      <c r="M986" s="57" t="n">
        <v>0</v>
      </c>
      <c r="N986" s="57" t="n">
        <v>1</v>
      </c>
      <c r="O986" s="60" t="n">
        <v>21</v>
      </c>
      <c r="P986" s="55" t="s">
        <v>168</v>
      </c>
      <c r="Q986" s="57"/>
      <c r="R986" s="60" t="n">
        <f aca="false">IF(BT986=1,0,IFERROR(VLOOKUP(BR986,'Gebinde-Kategorie'!$A$5:$M$45,13,0)+0,0))</f>
        <v>26</v>
      </c>
      <c r="S986" s="61"/>
      <c r="T986" s="62" t="s">
        <v>275</v>
      </c>
      <c r="U986" s="62"/>
      <c r="V986" s="62"/>
      <c r="W986" s="55"/>
      <c r="X986" s="57"/>
      <c r="Y986" s="57"/>
      <c r="Z986" s="55" t="n">
        <f aca="false">IF(A986="","",IF(AND(Parameter!$B$21="Ja",ISNUMBER(W986)),W986,IF(BV986="2+3",IF(ISNUMBER(SEARCH("grosser Artikel",BO986)),2,IFERROR(VLOOKUP(BR986,Parameter!$F$35:$G$64,2,0),2)),IF(OR(BV986="Nein",BV986=""),"-",BV986))))</f>
        <v>3</v>
      </c>
      <c r="AA986" s="62"/>
      <c r="AB986" s="63"/>
      <c r="AC986" s="57" t="n">
        <f aca="false">AR986</f>
        <v>20</v>
      </c>
      <c r="AD986" s="57" t="n">
        <f aca="false">MAX(AR986,H986)</f>
        <v>20</v>
      </c>
      <c r="AE986" s="64"/>
      <c r="AF986" s="57" t="n">
        <f aca="false">IF(LEFT(Cockpit!$C$5,1)="A",H986,IF(CA986=1,CB986,IF(LEFT(Cockpit!$C$5,1)="B",AJ986,MAX(AJ986,H986))))</f>
        <v>0</v>
      </c>
      <c r="AG986" s="57" t="n">
        <f aca="false">IF(BT986=1,0,ROUNDUP(AF986/BS986,0))</f>
        <v>0</v>
      </c>
      <c r="AH986" s="59" t="n">
        <f aca="false">IF(CH986&gt;0,CH986*MAX(1,AF986/X986),IF(BT986=1,IF(AF986&lt;=0,0,BW986*MAX(1,IF(H986&gt;0,AF986/H986,1))),IF(R986&gt;0,AG986/R986,0))/MAX(0.1,N(Parameter!$M$21)))</f>
        <v>0</v>
      </c>
      <c r="AI986" s="57" t="n">
        <f aca="false">AF986*G986</f>
        <v>0</v>
      </c>
      <c r="AJ986" s="57" t="n">
        <f aca="false">ROUNDUP(MAX(J986/IF(BZ986&gt;0,BZ986,MAX(0.1,N(Cockpit!$C$6))),CC986)/BS986,0)*BS986</f>
        <v>20</v>
      </c>
      <c r="AK986" s="58" t="n">
        <f aca="false">IF(AH986&gt;0,J986/AH986,-1)</f>
        <v>-1</v>
      </c>
      <c r="AL986" s="58" t="str">
        <f aca="false">IF(AND(OR(BY986="L1",BY986="L23"),AH986&gt;0),SUMIFS($AH$7:$AH$1843,$BY$7:$BY$1843,BY986,$AK$7:$AK$1843,"&gt;"&amp;AK986)+SUMIFS($AH$7:$AH$1843,$BY$7:$BY$1843,BY986,$AK$7:$AK$1843,AK986,$BQ$7:$BQ$1843,"&lt;="&amp;BQ986),"")</f>
        <v/>
      </c>
      <c r="AM986" s="65" t="n">
        <f aca="false">IF(AL986="",0,MAX(0,MIN(1,(IF(BY986="L1",Parameter!$E$5,Parameter!$E$6+Parameter!$E$7)-(AL986-AH986))/AH986)))</f>
        <v>0</v>
      </c>
      <c r="AN986" s="57" t="n">
        <f aca="false">IF(LEFT(Cockpit!$I$5,1)="A",H986,IF(CA986=1,CB986,IF(LEFT(Cockpit!$I$5,1)="B",AR986,MAX(AR986,H986))))</f>
        <v>20</v>
      </c>
      <c r="AO986" s="57" t="n">
        <f aca="false">IF(BT986=1,0,ROUNDUP(AN986/BS986,0))</f>
        <v>1</v>
      </c>
      <c r="AP986" s="59" t="n">
        <f aca="false">IF(CH986&gt;0,CH986*MAX(1,AN986/X986),IF(BT986=1,IF(AN986&lt;=0,0,BW986*MAX(1,IF(H986&gt;0,AN986/H986,1))),IF(R986&gt;0,AO986/R986,0))/MAX(0.1,N(Parameter!$M$21)))</f>
        <v>0.0384615384615385</v>
      </c>
      <c r="AQ986" s="57" t="n">
        <f aca="false">AN986*G986</f>
        <v>40</v>
      </c>
      <c r="AR986" s="57" t="n">
        <f aca="false">ROUNDUP(MAX(J986/IF(BZ986&gt;0,BZ986,MAX(0.1,N(Cockpit!$I$6))),CC986)/BS986,0)*BS986</f>
        <v>20</v>
      </c>
      <c r="AS986" s="58" t="n">
        <f aca="false">IF(AP986&gt;0,J986/AP986,-1)</f>
        <v>0</v>
      </c>
      <c r="AT986" s="58" t="n">
        <f aca="false">IF(AND(OR(BY986="L1",BY986="L23"),AP986&gt;0),SUMIFS($AP$7:$AP$1843,$BY$7:$BY$1843,BY986,$AS$7:$AS$1843,"&gt;"&amp;AS986)+SUMIFS($AP$7:$AP$1843,$BY$7:$BY$1843,BY986,$AS$7:$AS$1843,AS986,$BQ$7:$BQ$1843,"&lt;="&amp;BQ986),"")</f>
        <v>119.625561636431</v>
      </c>
      <c r="AU986" s="65" t="n">
        <f aca="false">IF(AT986="",0,MAX(0,MIN(1,(IF(BY986="L1",Parameter!$E$5,Parameter!$E$6+Parameter!$E$7)-(AT986-AP986))/AP986)))</f>
        <v>0</v>
      </c>
      <c r="AV986" s="57" t="n">
        <f aca="false">IF(LEFT(Cockpit!$O$5,1)="A",H986,IF(CA986=1,CB986,IF(LEFT(Cockpit!$O$5,1)="B",AZ986,MAX(AZ986,H986))))</f>
        <v>20</v>
      </c>
      <c r="AW986" s="57" t="n">
        <f aca="false">IF(BT986=1,0,ROUNDUP(AV986/BS986,0))</f>
        <v>1</v>
      </c>
      <c r="AX986" s="59" t="n">
        <f aca="false">IF(CH986&gt;0,CH986*MAX(1,AV986/X986),IF(BT986=1,IF(AV986&lt;=0,0,BW986*MAX(1,IF(H986&gt;0,AV986/H986,1))),IF(R986&gt;0,AW986/R986,0))/MAX(0.1,N(Parameter!$M$21)))</f>
        <v>0.0384615384615385</v>
      </c>
      <c r="AY986" s="57" t="n">
        <f aca="false">AV986*G986</f>
        <v>40</v>
      </c>
      <c r="AZ986" s="57" t="n">
        <f aca="false">ROUNDUP(MAX(J986/IF(BZ986&gt;0,BZ986,MAX(0.1,N(Cockpit!$O$6))),CC986)/BS986,0)*BS986</f>
        <v>20</v>
      </c>
      <c r="BA986" s="58" t="n">
        <f aca="false">IF(AX986&gt;0,J986/AX986,-1)</f>
        <v>0</v>
      </c>
      <c r="BB986" s="58" t="n">
        <f aca="false">IF(AND(OR(BY986="L1",BY986="L23"),AX986&gt;0),SUMIFS($AX$7:$AX$1843,$BY$7:$BY$1843,BY986,$BA$7:$BA$1843,"&gt;"&amp;BA986)+SUMIFS($AX$7:$AX$1843,$BY$7:$BY$1843,BY986,$BA$7:$BA$1843,BA986,$BQ$7:$BQ$1843,"&lt;="&amp;BQ986),"")</f>
        <v>110.455398466268</v>
      </c>
      <c r="BC986" s="65" t="n">
        <f aca="false">IF(BB986="",0,MAX(0,MIN(1,(IF(BY986="L1",Parameter!$E$5,Parameter!$E$6+Parameter!$E$7)-(BB986-AX986))/AX986)))</f>
        <v>0</v>
      </c>
      <c r="BD986" s="55" t="str">
        <f aca="false">IF(AH986&lt;=0,"",IF(BY986="Aussen","Aussenlager",IF(BY986="-","Nicht im Lift",IF(AM986&gt;=1,"Lift",IF(AM986&lt;=0,"Aussenlager","teilweise")))))</f>
        <v/>
      </c>
      <c r="BE986" s="55" t="str">
        <f aca="false">IF(AP986&lt;=0,"",IF(BY986="Aussen","Aussenlager",IF(BY986="-","Nicht im Lift",IF(AU986&gt;=1,"Lift",IF(AU986&lt;=0,"Aussenlager","teilweise")))))</f>
        <v>Aussenlager</v>
      </c>
      <c r="BF986" s="55" t="str">
        <f aca="false">IF(AX986&lt;=0,"",IF(BY986="Aussen","Aussenlager",IF(BY986="-","Nicht im Lift",IF(BC986&gt;=1,"Lift",IF(BC986&lt;=0,"Aussenlager","teilweise")))))</f>
        <v>Aussenlager</v>
      </c>
      <c r="BG986" s="55" t="str">
        <f aca="false">IF(A986="","",IF(BP986=1,"Neu; ","")&amp;IF(AND(BP986=0,BK986&lt;0),"negativer Bestand (Export "&amp;BK986&amp;"); ","")&amp;IF(J986&lt;=0,"Kein Verbrauch; ","")&amp;IF(CH986&gt;0,"Lift "&amp;W986&amp;" lt. Liftbericht (Fach "&amp;X986&amp;" Stk); ",IF(BU986=1,"Gebinde geschätzt ("&amp;T986&amp;"); ",IF(BT986=1,"Lose – Tablare geschätzt; ","")))&amp;IF(H986&gt;AR986,"Überbestand "&amp;ROUND(H986-AR986,0)&amp;" Stk / CHF "&amp;ROUND((H986-AR986)*G986,0)&amp;"; ","")&amp;IF(AND(CA986=1,CB986&lt;CC986),"MAX &lt; MB+LG; ","")&amp;IF(AND(CG986&gt;0,CF986*10&gt;CG986),"zu hoch für Tablar; ","")&amp;IF(AND(BP986=0,OR(CA986=1,AA986&lt;&gt;"",U986&lt;&gt;"",V986&lt;&gt;"",AB986&lt;&gt;"")),"manuell übersteuert; ","")&amp;IF(AND(BT986=0,R986=0),"Gebinde unbekannt / Stellmass fehlt; ","")&amp;IF(AND(BT986=0,N(V986)&lt;=0,N(Q986)&lt;=0),"Menge pro Gebinde fehlt (Ist = 1 Gebinde); ","")&amp;BO986)</f>
        <v>negativer Bestand (Export -40); Kein Verbrauch; Gebinde geschätzt (Klein); Menge pro Gebinde fehlt (Ist = 1 Gebinde); </v>
      </c>
      <c r="BH986" s="55"/>
      <c r="BI986" s="55"/>
      <c r="BJ986" s="62"/>
      <c r="BK986" s="57" t="n">
        <v>-40</v>
      </c>
      <c r="BL986" s="57" t="n">
        <v>40</v>
      </c>
      <c r="BM986" s="56" t="n">
        <v>-80</v>
      </c>
      <c r="BN986" s="57" t="n">
        <v>0</v>
      </c>
      <c r="BO986" s="55"/>
      <c r="BP986" s="60" t="n">
        <v>0</v>
      </c>
      <c r="BQ986" s="60" t="n">
        <v>986</v>
      </c>
      <c r="BR986" s="55" t="str">
        <f aca="false">IF(U986&lt;&gt;"",UPPER(TRIM(U986)),IF(BU986=1,UPPER(VLOOKUP(T986,Parameter!$I$27:$K$29,2,0)),IF(P986="","LOSE",P986)))</f>
        <v>S51</v>
      </c>
      <c r="BS986" s="57" t="n">
        <f aca="false">IF(BR986="LOSE",1,IF(N(V986)&gt;0,V986,IF(BU986=1,MAX(1,N(VLOOKUP(T986,Parameter!$I$27:$K$29,3,0)),H986,N(N986)),IF(N(Q986)&gt;0,Q986,MAX(1,H986)))))</f>
        <v>20</v>
      </c>
      <c r="BT986" s="60" t="n">
        <f aca="false">IF(BR986="LOSE",1,0)</f>
        <v>0</v>
      </c>
      <c r="BU986" s="60" t="n">
        <f aca="false">IF(AND(U986="",OR(P986="",P986="LOSE"),T986&lt;&gt;"",N(S986)&lt;=0,ISNUMBER(MATCH(T986,Parameter!$I$27:$I$29,0))),1,0)</f>
        <v>1</v>
      </c>
      <c r="BV986" s="55" t="str">
        <f aca="false">IF(AND(Parameter!$B$19="Ja",E986&lt;&gt;"",ISNUMBER(MATCH(E986,Parameter!$I$35:$I$52,0))),VLOOKUP(E986,Parameter!$I$35:$J$52,2,0),IFERROR(VLOOKUP(D986,Parameter!$A$35:$C$64,2,0),"Nein"))</f>
        <v>2+3</v>
      </c>
      <c r="BW986" s="59" t="n">
        <f aca="false">IF(BT986=0,0,IF(N(S986)&gt;0,S986,IFERROR(VLOOKUP(D986,Parameter!$A$35:$C$64,3,0)+0,0)))</f>
        <v>0</v>
      </c>
      <c r="BX986" s="55" t="n">
        <f aca="false">IF(AA986&lt;&gt;"",AA986,Z986)</f>
        <v>3</v>
      </c>
      <c r="BY986" s="55" t="str">
        <f aca="false">IF(BX986=1,"L1",IF(OR(BX986=2,BX986=3),"L23",IF(BX986="Aussen","Aussen","-")))</f>
        <v>L23</v>
      </c>
      <c r="BZ986" s="66" t="n">
        <f aca="false">IF(N(AB986)&gt;0,AB986,0)</f>
        <v>0</v>
      </c>
      <c r="CA986" s="60" t="n">
        <f aca="false">IF(ISNUMBER(AE986),1,0)</f>
        <v>0</v>
      </c>
      <c r="CB986" s="57" t="n">
        <f aca="false">N(AE986)</f>
        <v>0</v>
      </c>
      <c r="CC986" s="57" t="n">
        <f aca="false">N(M986)+N(N986)</f>
        <v>1</v>
      </c>
      <c r="CD986" s="57" t="n">
        <f aca="false">ROUNDUP(H986/BS986,0)</f>
        <v>0</v>
      </c>
      <c r="CE986" s="57" t="n">
        <f aca="false">ROUNDUP(CB986/BS986,0)</f>
        <v>0</v>
      </c>
      <c r="CF986" s="60" t="n">
        <f aca="false">IF(BT986=1,0,IFERROR(VLOOKUP(BR986,'Gebinde-Kategorie'!$A$5:$M$45,5,0)+0,0))</f>
        <v>11</v>
      </c>
      <c r="CG986" s="60" t="n">
        <f aca="false">IFERROR(IF(OR(BX986=1,BX986=2,BX986=3),N(INDEX(Parameter!$I$5:$I$7,BX986)),0),0)</f>
        <v>0</v>
      </c>
      <c r="CH986" s="59" t="n">
        <f aca="false">IF(AND(Parameter!$B$21="Ja",ISNUMBER(W986),N(X986)&gt;0),IFERROR(N(INDEX(Parameter!$L$5:$L$7,W986))*INDEX(Parameter!$E$5:$E$7,W986)*X986/SUMIFS($X$7:$X$1843,$W$7:$W$1843,W986),0),0)</f>
        <v>0</v>
      </c>
    </row>
    <row r="987" customFormat="false" ht="15" hidden="false" customHeight="false" outlineLevel="0" collapsed="false">
      <c r="A987" s="55" t="s">
        <v>1825</v>
      </c>
      <c r="B987" s="55" t="s">
        <v>1826</v>
      </c>
      <c r="C987" s="55" t="s">
        <v>164</v>
      </c>
      <c r="D987" s="55" t="s">
        <v>184</v>
      </c>
      <c r="E987" s="55" t="s">
        <v>185</v>
      </c>
      <c r="F987" s="55" t="s">
        <v>218</v>
      </c>
      <c r="G987" s="56" t="n">
        <v>80.81</v>
      </c>
      <c r="H987" s="57" t="n">
        <f aca="false">MAX(0,IF(AND(Parameter!$B$21="Ja",ISNUMBER(Y987)),Y987,IF(Parameter!$B$20="Jahresanfang 2025 + Export",BL987+BK987,BK987)))</f>
        <v>1</v>
      </c>
      <c r="I987" s="57" t="n">
        <f aca="false">H987*G987</f>
        <v>80.81</v>
      </c>
      <c r="J987" s="57" t="n">
        <f aca="false">BN987*Parameter!$B$18</f>
        <v>1</v>
      </c>
      <c r="K987" s="58" t="n">
        <v>1.5</v>
      </c>
      <c r="L987" s="59" t="n">
        <v>0.666666666666667</v>
      </c>
      <c r="M987" s="57" t="n">
        <v>0</v>
      </c>
      <c r="N987" s="57" t="n">
        <v>1</v>
      </c>
      <c r="O987" s="60" t="n">
        <v>14</v>
      </c>
      <c r="P987" s="55" t="s">
        <v>302</v>
      </c>
      <c r="Q987" s="57" t="n">
        <v>8</v>
      </c>
      <c r="R987" s="60" t="n">
        <f aca="false">IF(BT987=1,0,IFERROR(VLOOKUP(BR987,'Gebinde-Kategorie'!$A$5:$M$45,13,0)+0,0))</f>
        <v>26</v>
      </c>
      <c r="S987" s="61"/>
      <c r="T987" s="62"/>
      <c r="U987" s="62"/>
      <c r="V987" s="62"/>
      <c r="W987" s="55"/>
      <c r="X987" s="57"/>
      <c r="Y987" s="57"/>
      <c r="Z987" s="55" t="n">
        <f aca="false">IF(A987="","",IF(AND(Parameter!$B$21="Ja",ISNUMBER(W987)),W987,IF(BV987="2+3",IF(ISNUMBER(SEARCH("grosser Artikel",BO987)),2,IFERROR(VLOOKUP(BR987,Parameter!$F$35:$G$64,2,0),2)),IF(OR(BV987="Nein",BV987=""),"-",BV987))))</f>
        <v>3</v>
      </c>
      <c r="AA987" s="62"/>
      <c r="AB987" s="63"/>
      <c r="AC987" s="57" t="n">
        <f aca="false">AR987</f>
        <v>8</v>
      </c>
      <c r="AD987" s="57" t="n">
        <f aca="false">MAX(AR987,H987)</f>
        <v>8</v>
      </c>
      <c r="AE987" s="64"/>
      <c r="AF987" s="57" t="n">
        <f aca="false">IF(LEFT(Cockpit!$C$5,1)="A",H987,IF(CA987=1,CB987,IF(LEFT(Cockpit!$C$5,1)="B",AJ987,MAX(AJ987,H987))))</f>
        <v>1</v>
      </c>
      <c r="AG987" s="57" t="n">
        <f aca="false">IF(BT987=1,0,ROUNDUP(AF987/BS987,0))</f>
        <v>1</v>
      </c>
      <c r="AH987" s="59" t="n">
        <f aca="false">IF(CH987&gt;0,CH987*MAX(1,AF987/X987),IF(BT987=1,IF(AF987&lt;=0,0,BW987*MAX(1,IF(H987&gt;0,AF987/H987,1))),IF(R987&gt;0,AG987/R987,0))/MAX(0.1,N(Parameter!$M$21)))</f>
        <v>0.0384615384615385</v>
      </c>
      <c r="AI987" s="57" t="n">
        <f aca="false">AF987*G987</f>
        <v>80.81</v>
      </c>
      <c r="AJ987" s="57" t="n">
        <f aca="false">ROUNDUP(MAX(J987/IF(BZ987&gt;0,BZ987,MAX(0.1,N(Cockpit!$C$6))),CC987)/BS987,0)*BS987</f>
        <v>8</v>
      </c>
      <c r="AK987" s="58" t="n">
        <f aca="false">IF(AH987&gt;0,J987/AH987,-1)</f>
        <v>26</v>
      </c>
      <c r="AL987" s="58" t="n">
        <f aca="false">IF(AND(OR(BY987="L1",BY987="L23"),AH987&gt;0),SUMIFS($AH$7:$AH$1843,$BY$7:$BY$1843,BY987,$AK$7:$AK$1843,"&gt;"&amp;AK987)+SUMIFS($AH$7:$AH$1843,$BY$7:$BY$1843,BY987,$AK$7:$AK$1843,AK987,$BQ$7:$BQ$1843,"&lt;="&amp;BQ987),"")</f>
        <v>48.6907452450931</v>
      </c>
      <c r="AM987" s="65" t="n">
        <f aca="false">IF(AL987="",0,MAX(0,MIN(1,(IF(BY987="L1",Parameter!$E$5,Parameter!$E$6+Parameter!$E$7)-(AL987-AH987))/AH987)))</f>
        <v>1</v>
      </c>
      <c r="AN987" s="57" t="n">
        <f aca="false">IF(LEFT(Cockpit!$I$5,1)="A",H987,IF(CA987=1,CB987,IF(LEFT(Cockpit!$I$5,1)="B",AR987,MAX(AR987,H987))))</f>
        <v>8</v>
      </c>
      <c r="AO987" s="57" t="n">
        <f aca="false">IF(BT987=1,0,ROUNDUP(AN987/BS987,0))</f>
        <v>1</v>
      </c>
      <c r="AP987" s="59" t="n">
        <f aca="false">IF(CH987&gt;0,CH987*MAX(1,AN987/X987),IF(BT987=1,IF(AN987&lt;=0,0,BW987*MAX(1,IF(H987&gt;0,AN987/H987,1))),IF(R987&gt;0,AO987/R987,0))/MAX(0.1,N(Parameter!$M$21)))</f>
        <v>0.0384615384615385</v>
      </c>
      <c r="AQ987" s="57" t="n">
        <f aca="false">AN987*G987</f>
        <v>646.48</v>
      </c>
      <c r="AR987" s="57" t="n">
        <f aca="false">ROUNDUP(MAX(J987/IF(BZ987&gt;0,BZ987,MAX(0.1,N(Cockpit!$I$6))),CC987)/BS987,0)*BS987</f>
        <v>8</v>
      </c>
      <c r="AS987" s="58" t="n">
        <f aca="false">IF(AP987&gt;0,J987/AP987,-1)</f>
        <v>26</v>
      </c>
      <c r="AT987" s="58" t="n">
        <f aca="false">IF(AND(OR(BY987="L1",BY987="L23"),AP987&gt;0),SUMIFS($AP$7:$AP$1843,$BY$7:$BY$1843,BY987,$AS$7:$AS$1843,"&gt;"&amp;AS987)+SUMIFS($AP$7:$AP$1843,$BY$7:$BY$1843,BY987,$AS$7:$AS$1843,AS987,$BQ$7:$BQ$1843,"&lt;="&amp;BQ987),"")</f>
        <v>73.8648694300868</v>
      </c>
      <c r="AU987" s="65" t="n">
        <f aca="false">IF(AT987="",0,MAX(0,MIN(1,(IF(BY987="L1",Parameter!$E$5,Parameter!$E$6+Parameter!$E$7)-(AT987-AP987))/AP987)))</f>
        <v>1</v>
      </c>
      <c r="AV987" s="57" t="n">
        <f aca="false">IF(LEFT(Cockpit!$O$5,1)="A",H987,IF(CA987=1,CB987,IF(LEFT(Cockpit!$O$5,1)="B",AZ987,MAX(AZ987,H987))))</f>
        <v>8</v>
      </c>
      <c r="AW987" s="57" t="n">
        <f aca="false">IF(BT987=1,0,ROUNDUP(AV987/BS987,0))</f>
        <v>1</v>
      </c>
      <c r="AX987" s="59" t="n">
        <f aca="false">IF(CH987&gt;0,CH987*MAX(1,AV987/X987),IF(BT987=1,IF(AV987&lt;=0,0,BW987*MAX(1,IF(H987&gt;0,AV987/H987,1))),IF(R987&gt;0,AW987/R987,0))/MAX(0.1,N(Parameter!$M$21)))</f>
        <v>0.0384615384615385</v>
      </c>
      <c r="AY987" s="57" t="n">
        <f aca="false">AV987*G987</f>
        <v>646.48</v>
      </c>
      <c r="AZ987" s="57" t="n">
        <f aca="false">ROUNDUP(MAX(J987/IF(BZ987&gt;0,BZ987,MAX(0.1,N(Cockpit!$O$6))),CC987)/BS987,0)*BS987</f>
        <v>8</v>
      </c>
      <c r="BA987" s="58" t="n">
        <f aca="false">IF(AX987&gt;0,J987/AX987,-1)</f>
        <v>26</v>
      </c>
      <c r="BB987" s="58" t="n">
        <f aca="false">IF(AND(OR(BY987="L1",BY987="L23"),AX987&gt;0),SUMIFS($AX$7:$AX$1843,$BY$7:$BY$1843,BY987,$BA$7:$BA$1843,"&gt;"&amp;BA987)+SUMIFS($AX$7:$AX$1843,$BY$7:$BY$1843,BY987,$BA$7:$BA$1843,BA987,$BQ$7:$BQ$1843,"&lt;="&amp;BQ987),"")</f>
        <v>69.3613729265903</v>
      </c>
      <c r="BC987" s="65" t="n">
        <f aca="false">IF(BB987="",0,MAX(0,MIN(1,(IF(BY987="L1",Parameter!$E$5,Parameter!$E$6+Parameter!$E$7)-(BB987-AX987))/AX987)))</f>
        <v>1</v>
      </c>
      <c r="BD987" s="55" t="str">
        <f aca="false">IF(AH987&lt;=0,"",IF(BY987="Aussen","Aussenlager",IF(BY987="-","Nicht im Lift",IF(AM987&gt;=1,"Lift",IF(AM987&lt;=0,"Aussenlager","teilweise")))))</f>
        <v>Lift</v>
      </c>
      <c r="BE987" s="55" t="str">
        <f aca="false">IF(AP987&lt;=0,"",IF(BY987="Aussen","Aussenlager",IF(BY987="-","Nicht im Lift",IF(AU987&gt;=1,"Lift",IF(AU987&lt;=0,"Aussenlager","teilweise")))))</f>
        <v>Lift</v>
      </c>
      <c r="BF987" s="55" t="str">
        <f aca="false">IF(AX987&lt;=0,"",IF(BY987="Aussen","Aussenlager",IF(BY987="-","Nicht im Lift",IF(BC987&gt;=1,"Lift",IF(BC987&lt;=0,"Aussenlager","teilweise")))))</f>
        <v>Lift</v>
      </c>
      <c r="BG987" s="55" t="str">
        <f aca="false">IF(A987="","",IF(BP987=1,"Neu; ","")&amp;IF(AND(BP987=0,BK987&lt;0),"negativer Bestand (Export "&amp;BK987&amp;"); ","")&amp;IF(J987&lt;=0,"Kein Verbrauch; ","")&amp;IF(CH987&gt;0,"Lift "&amp;W987&amp;" lt. Liftbericht (Fach "&amp;X987&amp;" Stk); ",IF(BU987=1,"Gebinde geschätzt ("&amp;T987&amp;"); ",IF(BT987=1,"Lose – Tablare geschätzt; ","")))&amp;IF(H987&gt;AR987,"Überbestand "&amp;ROUND(H987-AR987,0)&amp;" Stk / CHF "&amp;ROUND((H987-AR987)*G987,0)&amp;"; ","")&amp;IF(AND(CA987=1,CB987&lt;CC987),"MAX &lt; MB+LG; ","")&amp;IF(AND(CG987&gt;0,CF987*10&gt;CG987),"zu hoch für Tablar; ","")&amp;IF(AND(BP987=0,OR(CA987=1,AA987&lt;&gt;"",U987&lt;&gt;"",V987&lt;&gt;"",AB987&lt;&gt;"")),"manuell übersteuert; ","")&amp;IF(AND(BT987=0,R987=0),"Gebinde unbekannt / Stellmass fehlt; ","")&amp;IF(AND(BT987=0,N(V987)&lt;=0,N(Q987)&lt;=0),"Menge pro Gebinde fehlt (Ist = 1 Gebinde); ","")&amp;BO987)</f>
        <v>negativer Bestand (Export -1); </v>
      </c>
      <c r="BH987" s="55"/>
      <c r="BI987" s="55"/>
      <c r="BJ987" s="62"/>
      <c r="BK987" s="57" t="n">
        <v>-1</v>
      </c>
      <c r="BL987" s="57" t="n">
        <v>2</v>
      </c>
      <c r="BM987" s="56" t="n">
        <v>-80.81</v>
      </c>
      <c r="BN987" s="57" t="n">
        <v>1</v>
      </c>
      <c r="BO987" s="55"/>
      <c r="BP987" s="60" t="n">
        <v>0</v>
      </c>
      <c r="BQ987" s="60" t="n">
        <v>987</v>
      </c>
      <c r="BR987" s="55" t="str">
        <f aca="false">IF(U987&lt;&gt;"",UPPER(TRIM(U987)),IF(BU987=1,UPPER(VLOOKUP(T987,Parameter!$I$27:$K$29,2,0)),IF(P987="","LOSE",P987)))</f>
        <v>S51</v>
      </c>
      <c r="BS987" s="57" t="n">
        <f aca="false">IF(BR987="LOSE",1,IF(N(V987)&gt;0,V987,IF(BU987=1,MAX(1,N(VLOOKUP(T987,Parameter!$I$27:$K$29,3,0)),H987,N(N987)),IF(N(Q987)&gt;0,Q987,MAX(1,H987)))))</f>
        <v>8</v>
      </c>
      <c r="BT987" s="60" t="n">
        <f aca="false">IF(BR987="LOSE",1,0)</f>
        <v>0</v>
      </c>
      <c r="BU987" s="60" t="n">
        <f aca="false">IF(AND(U987="",OR(P987="",P987="LOSE"),T987&lt;&gt;"",N(S987)&lt;=0,ISNUMBER(MATCH(T987,Parameter!$I$27:$I$29,0))),1,0)</f>
        <v>0</v>
      </c>
      <c r="BV987" s="55" t="str">
        <f aca="false">IF(AND(Parameter!$B$19="Ja",E987&lt;&gt;"",ISNUMBER(MATCH(E987,Parameter!$I$35:$I$52,0))),VLOOKUP(E987,Parameter!$I$35:$J$52,2,0),IFERROR(VLOOKUP(D987,Parameter!$A$35:$C$64,2,0),"Nein"))</f>
        <v>2+3</v>
      </c>
      <c r="BW987" s="59" t="n">
        <f aca="false">IF(BT987=0,0,IF(N(S987)&gt;0,S987,IFERROR(VLOOKUP(D987,Parameter!$A$35:$C$64,3,0)+0,0)))</f>
        <v>0</v>
      </c>
      <c r="BX987" s="55" t="n">
        <f aca="false">IF(AA987&lt;&gt;"",AA987,Z987)</f>
        <v>3</v>
      </c>
      <c r="BY987" s="55" t="str">
        <f aca="false">IF(BX987=1,"L1",IF(OR(BX987=2,BX987=3),"L23",IF(BX987="Aussen","Aussen","-")))</f>
        <v>L23</v>
      </c>
      <c r="BZ987" s="66" t="n">
        <f aca="false">IF(N(AB987)&gt;0,AB987,0)</f>
        <v>0</v>
      </c>
      <c r="CA987" s="60" t="n">
        <f aca="false">IF(ISNUMBER(AE987),1,0)</f>
        <v>0</v>
      </c>
      <c r="CB987" s="57" t="n">
        <f aca="false">N(AE987)</f>
        <v>0</v>
      </c>
      <c r="CC987" s="57" t="n">
        <f aca="false">N(M987)+N(N987)</f>
        <v>1</v>
      </c>
      <c r="CD987" s="57" t="n">
        <f aca="false">ROUNDUP(H987/BS987,0)</f>
        <v>1</v>
      </c>
      <c r="CE987" s="57" t="n">
        <f aca="false">ROUNDUP(CB987/BS987,0)</f>
        <v>0</v>
      </c>
      <c r="CF987" s="60" t="n">
        <f aca="false">IF(BT987=1,0,IFERROR(VLOOKUP(BR987,'Gebinde-Kategorie'!$A$5:$M$45,5,0)+0,0))</f>
        <v>11</v>
      </c>
      <c r="CG987" s="60" t="n">
        <f aca="false">IFERROR(IF(OR(BX987=1,BX987=2,BX987=3),N(INDEX(Parameter!$I$5:$I$7,BX987)),0),0)</f>
        <v>0</v>
      </c>
      <c r="CH987" s="59" t="n">
        <f aca="false">IF(AND(Parameter!$B$21="Ja",ISNUMBER(W987),N(X987)&gt;0),IFERROR(N(INDEX(Parameter!$L$5:$L$7,W987))*INDEX(Parameter!$E$5:$E$7,W987)*X987/SUMIFS($X$7:$X$1843,$W$7:$W$1843,W987),0),0)</f>
        <v>0</v>
      </c>
    </row>
    <row r="988" customFormat="false" ht="15" hidden="false" customHeight="false" outlineLevel="0" collapsed="false">
      <c r="A988" s="55" t="s">
        <v>1827</v>
      </c>
      <c r="B988" s="55" t="s">
        <v>1733</v>
      </c>
      <c r="C988" s="55" t="s">
        <v>164</v>
      </c>
      <c r="D988" s="55" t="s">
        <v>184</v>
      </c>
      <c r="E988" s="55" t="s">
        <v>185</v>
      </c>
      <c r="F988" s="55" t="s">
        <v>218</v>
      </c>
      <c r="G988" s="56" t="n">
        <v>40.5</v>
      </c>
      <c r="H988" s="57" t="n">
        <f aca="false">MAX(0,IF(AND(Parameter!$B$21="Ja",ISNUMBER(Y988)),Y988,IF(Parameter!$B$20="Jahresanfang 2025 + Export",BL988+BK988,BK988)))</f>
        <v>25</v>
      </c>
      <c r="I988" s="57" t="n">
        <f aca="false">H988*G988</f>
        <v>1012.5</v>
      </c>
      <c r="J988" s="57" t="n">
        <f aca="false">BN988*Parameter!$B$18</f>
        <v>4</v>
      </c>
      <c r="K988" s="58" t="n">
        <v>25.5</v>
      </c>
      <c r="L988" s="59" t="n">
        <v>0.156862745098039</v>
      </c>
      <c r="M988" s="57" t="n">
        <v>0</v>
      </c>
      <c r="N988" s="57" t="n">
        <v>5</v>
      </c>
      <c r="O988" s="60" t="n">
        <v>14</v>
      </c>
      <c r="P988" s="55" t="s">
        <v>421</v>
      </c>
      <c r="Q988" s="57" t="n">
        <v>29</v>
      </c>
      <c r="R988" s="60" t="n">
        <f aca="false">IF(BT988=1,0,IFERROR(VLOOKUP(BR988,'Gebinde-Kategorie'!$A$5:$M$45,13,0)+0,0))</f>
        <v>132</v>
      </c>
      <c r="S988" s="61"/>
      <c r="T988" s="62"/>
      <c r="U988" s="62"/>
      <c r="V988" s="62"/>
      <c r="W988" s="55"/>
      <c r="X988" s="57"/>
      <c r="Y988" s="57"/>
      <c r="Z988" s="55" t="n">
        <f aca="false">IF(A988="","",IF(AND(Parameter!$B$21="Ja",ISNUMBER(W988)),W988,IF(BV988="2+3",IF(ISNUMBER(SEARCH("grosser Artikel",BO988)),2,IFERROR(VLOOKUP(BR988,Parameter!$F$35:$G$64,2,0),2)),IF(OR(BV988="Nein",BV988=""),"-",BV988))))</f>
        <v>3</v>
      </c>
      <c r="AA988" s="62"/>
      <c r="AB988" s="63"/>
      <c r="AC988" s="57" t="n">
        <f aca="false">AR988</f>
        <v>29</v>
      </c>
      <c r="AD988" s="57" t="n">
        <f aca="false">MAX(AR988,H988)</f>
        <v>29</v>
      </c>
      <c r="AE988" s="64"/>
      <c r="AF988" s="57" t="n">
        <f aca="false">IF(LEFT(Cockpit!$C$5,1)="A",H988,IF(CA988=1,CB988,IF(LEFT(Cockpit!$C$5,1)="B",AJ988,MAX(AJ988,H988))))</f>
        <v>25</v>
      </c>
      <c r="AG988" s="57" t="n">
        <f aca="false">IF(BT988=1,0,ROUNDUP(AF988/BS988,0))</f>
        <v>1</v>
      </c>
      <c r="AH988" s="59" t="n">
        <f aca="false">IF(CH988&gt;0,CH988*MAX(1,AF988/X988),IF(BT988=1,IF(AF988&lt;=0,0,BW988*MAX(1,IF(H988&gt;0,AF988/H988,1))),IF(R988&gt;0,AG988/R988,0))/MAX(0.1,N(Parameter!$M$21)))</f>
        <v>0.00757575757575758</v>
      </c>
      <c r="AI988" s="57" t="n">
        <f aca="false">AF988*G988</f>
        <v>1012.5</v>
      </c>
      <c r="AJ988" s="57" t="n">
        <f aca="false">ROUNDUP(MAX(J988/IF(BZ988&gt;0,BZ988,MAX(0.1,N(Cockpit!$C$6))),CC988)/BS988,0)*BS988</f>
        <v>29</v>
      </c>
      <c r="AK988" s="58" t="n">
        <f aca="false">IF(AH988&gt;0,J988/AH988,-1)</f>
        <v>528</v>
      </c>
      <c r="AL988" s="58" t="n">
        <f aca="false">IF(AND(OR(BY988="L1",BY988="L23"),AH988&gt;0),SUMIFS($AH$7:$AH$1843,$BY$7:$BY$1843,BY988,$AK$7:$AK$1843,"&gt;"&amp;AK988)+SUMIFS($AH$7:$AH$1843,$BY$7:$BY$1843,BY988,$AK$7:$AK$1843,AK988,$BQ$7:$BQ$1843,"&lt;="&amp;BQ988),"")</f>
        <v>23.7843822843823</v>
      </c>
      <c r="AM988" s="65" t="n">
        <f aca="false">IF(AL988="",0,MAX(0,MIN(1,(IF(BY988="L1",Parameter!$E$5,Parameter!$E$6+Parameter!$E$7)-(AL988-AH988))/AH988)))</f>
        <v>1</v>
      </c>
      <c r="AN988" s="57" t="n">
        <f aca="false">IF(LEFT(Cockpit!$I$5,1)="A",H988,IF(CA988=1,CB988,IF(LEFT(Cockpit!$I$5,1)="B",AR988,MAX(AR988,H988))))</f>
        <v>29</v>
      </c>
      <c r="AO988" s="57" t="n">
        <f aca="false">IF(BT988=1,0,ROUNDUP(AN988/BS988,0))</f>
        <v>1</v>
      </c>
      <c r="AP988" s="59" t="n">
        <f aca="false">IF(CH988&gt;0,CH988*MAX(1,AN988/X988),IF(BT988=1,IF(AN988&lt;=0,0,BW988*MAX(1,IF(H988&gt;0,AN988/H988,1))),IF(R988&gt;0,AO988/R988,0))/MAX(0.1,N(Parameter!$M$21)))</f>
        <v>0.00757575757575758</v>
      </c>
      <c r="AQ988" s="57" t="n">
        <f aca="false">AN988*G988</f>
        <v>1174.5</v>
      </c>
      <c r="AR988" s="57" t="n">
        <f aca="false">ROUNDUP(MAX(J988/IF(BZ988&gt;0,BZ988,MAX(0.1,N(Cockpit!$I$6))),CC988)/BS988,0)*BS988</f>
        <v>29</v>
      </c>
      <c r="AS988" s="58" t="n">
        <f aca="false">IF(AP988&gt;0,J988/AP988,-1)</f>
        <v>528</v>
      </c>
      <c r="AT988" s="58" t="n">
        <f aca="false">IF(AND(OR(BY988="L1",BY988="L23"),AP988&gt;0),SUMIFS($AP$7:$AP$1843,$BY$7:$BY$1843,BY988,$AS$7:$AS$1843,"&gt;"&amp;AS988)+SUMIFS($AP$7:$AP$1843,$BY$7:$BY$1843,BY988,$AS$7:$AS$1843,AS988,$BQ$7:$BQ$1843,"&lt;="&amp;BQ988),"")</f>
        <v>32.5332083375562</v>
      </c>
      <c r="AU988" s="65" t="n">
        <f aca="false">IF(AT988="",0,MAX(0,MIN(1,(IF(BY988="L1",Parameter!$E$5,Parameter!$E$6+Parameter!$E$7)-(AT988-AP988))/AP988)))</f>
        <v>1</v>
      </c>
      <c r="AV988" s="57" t="n">
        <f aca="false">IF(LEFT(Cockpit!$O$5,1)="A",H988,IF(CA988=1,CB988,IF(LEFT(Cockpit!$O$5,1)="B",AZ988,MAX(AZ988,H988))))</f>
        <v>29</v>
      </c>
      <c r="AW988" s="57" t="n">
        <f aca="false">IF(BT988=1,0,ROUNDUP(AV988/BS988,0))</f>
        <v>1</v>
      </c>
      <c r="AX988" s="59" t="n">
        <f aca="false">IF(CH988&gt;0,CH988*MAX(1,AV988/X988),IF(BT988=1,IF(AV988&lt;=0,0,BW988*MAX(1,IF(H988&gt;0,AV988/H988,1))),IF(R988&gt;0,AW988/R988,0))/MAX(0.1,N(Parameter!$M$21)))</f>
        <v>0.00757575757575758</v>
      </c>
      <c r="AY988" s="57" t="n">
        <f aca="false">AV988*G988</f>
        <v>1174.5</v>
      </c>
      <c r="AZ988" s="57" t="n">
        <f aca="false">ROUNDUP(MAX(J988/IF(BZ988&gt;0,BZ988,MAX(0.1,N(Cockpit!$O$6))),CC988)/BS988,0)*BS988</f>
        <v>29</v>
      </c>
      <c r="BA988" s="58" t="n">
        <f aca="false">IF(AX988&gt;0,J988/AX988,-1)</f>
        <v>528</v>
      </c>
      <c r="BB988" s="58" t="n">
        <f aca="false">IF(AND(OR(BY988="L1",BY988="L23"),AX988&gt;0),SUMIFS($AX$7:$AX$1843,$BY$7:$BY$1843,BY988,$BA$7:$BA$1843,"&gt;"&amp;BA988)+SUMIFS($AX$7:$AX$1843,$BY$7:$BY$1843,BY988,$BA$7:$BA$1843,BA988,$BQ$7:$BQ$1843,"&lt;="&amp;BQ988),"")</f>
        <v>30.1002246545725</v>
      </c>
      <c r="BC988" s="65" t="n">
        <f aca="false">IF(BB988="",0,MAX(0,MIN(1,(IF(BY988="L1",Parameter!$E$5,Parameter!$E$6+Parameter!$E$7)-(BB988-AX988))/AX988)))</f>
        <v>1</v>
      </c>
      <c r="BD988" s="55" t="str">
        <f aca="false">IF(AH988&lt;=0,"",IF(BY988="Aussen","Aussenlager",IF(BY988="-","Nicht im Lift",IF(AM988&gt;=1,"Lift",IF(AM988&lt;=0,"Aussenlager","teilweise")))))</f>
        <v>Lift</v>
      </c>
      <c r="BE988" s="55" t="str">
        <f aca="false">IF(AP988&lt;=0,"",IF(BY988="Aussen","Aussenlager",IF(BY988="-","Nicht im Lift",IF(AU988&gt;=1,"Lift",IF(AU988&lt;=0,"Aussenlager","teilweise")))))</f>
        <v>Lift</v>
      </c>
      <c r="BF988" s="55" t="str">
        <f aca="false">IF(AX988&lt;=0,"",IF(BY988="Aussen","Aussenlager",IF(BY988="-","Nicht im Lift",IF(BC988&gt;=1,"Lift",IF(BC988&lt;=0,"Aussenlager","teilweise")))))</f>
        <v>Lift</v>
      </c>
      <c r="BG988" s="55" t="str">
        <f aca="false">IF(A988="","",IF(BP988=1,"Neu; ","")&amp;IF(AND(BP988=0,BK988&lt;0),"negativer Bestand (Export "&amp;BK988&amp;"); ","")&amp;IF(J988&lt;=0,"Kein Verbrauch; ","")&amp;IF(CH988&gt;0,"Lift "&amp;W988&amp;" lt. Liftbericht (Fach "&amp;X988&amp;" Stk); ",IF(BU988=1,"Gebinde geschätzt ("&amp;T988&amp;"); ",IF(BT988=1,"Lose – Tablare geschätzt; ","")))&amp;IF(H988&gt;AR988,"Überbestand "&amp;ROUND(H988-AR988,0)&amp;" Stk / CHF "&amp;ROUND((H988-AR988)*G988,0)&amp;"; ","")&amp;IF(AND(CA988=1,CB988&lt;CC988),"MAX &lt; MB+LG; ","")&amp;IF(AND(CG988&gt;0,CF988*10&gt;CG988),"zu hoch für Tablar; ","")&amp;IF(AND(BP988=0,OR(CA988=1,AA988&lt;&gt;"",U988&lt;&gt;"",V988&lt;&gt;"",AB988&lt;&gt;"")),"manuell übersteuert; ","")&amp;IF(AND(BT988=0,R988=0),"Gebinde unbekannt / Stellmass fehlt; ","")&amp;IF(AND(BT988=0,N(V988)&lt;=0,N(Q988)&lt;=0),"Menge pro Gebinde fehlt (Ist = 1 Gebinde); ","")&amp;BO988)</f>
        <v>negativer Bestand (Export -2); </v>
      </c>
      <c r="BH988" s="55"/>
      <c r="BI988" s="55"/>
      <c r="BJ988" s="62"/>
      <c r="BK988" s="57" t="n">
        <v>-2</v>
      </c>
      <c r="BL988" s="57" t="n">
        <v>27</v>
      </c>
      <c r="BM988" s="56" t="n">
        <v>-81</v>
      </c>
      <c r="BN988" s="57" t="n">
        <v>4</v>
      </c>
      <c r="BO988" s="55"/>
      <c r="BP988" s="60" t="n">
        <v>0</v>
      </c>
      <c r="BQ988" s="60" t="n">
        <v>988</v>
      </c>
      <c r="BR988" s="55" t="str">
        <f aca="false">IF(U988&lt;&gt;"",UPPER(TRIM(U988)),IF(BU988=1,UPPER(VLOOKUP(T988,Parameter!$I$27:$K$29,2,0)),IF(P988="","LOSE",P988)))</f>
        <v>S32</v>
      </c>
      <c r="BS988" s="57" t="n">
        <f aca="false">IF(BR988="LOSE",1,IF(N(V988)&gt;0,V988,IF(BU988=1,MAX(1,N(VLOOKUP(T988,Parameter!$I$27:$K$29,3,0)),H988,N(N988)),IF(N(Q988)&gt;0,Q988,MAX(1,H988)))))</f>
        <v>29</v>
      </c>
      <c r="BT988" s="60" t="n">
        <f aca="false">IF(BR988="LOSE",1,0)</f>
        <v>0</v>
      </c>
      <c r="BU988" s="60" t="n">
        <f aca="false">IF(AND(U988="",OR(P988="",P988="LOSE"),T988&lt;&gt;"",N(S988)&lt;=0,ISNUMBER(MATCH(T988,Parameter!$I$27:$I$29,0))),1,0)</f>
        <v>0</v>
      </c>
      <c r="BV988" s="55" t="str">
        <f aca="false">IF(AND(Parameter!$B$19="Ja",E988&lt;&gt;"",ISNUMBER(MATCH(E988,Parameter!$I$35:$I$52,0))),VLOOKUP(E988,Parameter!$I$35:$J$52,2,0),IFERROR(VLOOKUP(D988,Parameter!$A$35:$C$64,2,0),"Nein"))</f>
        <v>2+3</v>
      </c>
      <c r="BW988" s="59" t="n">
        <f aca="false">IF(BT988=0,0,IF(N(S988)&gt;0,S988,IFERROR(VLOOKUP(D988,Parameter!$A$35:$C$64,3,0)+0,0)))</f>
        <v>0</v>
      </c>
      <c r="BX988" s="55" t="n">
        <f aca="false">IF(AA988&lt;&gt;"",AA988,Z988)</f>
        <v>3</v>
      </c>
      <c r="BY988" s="55" t="str">
        <f aca="false">IF(BX988=1,"L1",IF(OR(BX988=2,BX988=3),"L23",IF(BX988="Aussen","Aussen","-")))</f>
        <v>L23</v>
      </c>
      <c r="BZ988" s="66" t="n">
        <f aca="false">IF(N(AB988)&gt;0,AB988,0)</f>
        <v>0</v>
      </c>
      <c r="CA988" s="60" t="n">
        <f aca="false">IF(ISNUMBER(AE988),1,0)</f>
        <v>0</v>
      </c>
      <c r="CB988" s="57" t="n">
        <f aca="false">N(AE988)</f>
        <v>0</v>
      </c>
      <c r="CC988" s="57" t="n">
        <f aca="false">N(M988)+N(N988)</f>
        <v>5</v>
      </c>
      <c r="CD988" s="57" t="n">
        <f aca="false">ROUNDUP(H988/BS988,0)</f>
        <v>1</v>
      </c>
      <c r="CE988" s="57" t="n">
        <f aca="false">ROUNDUP(CB988/BS988,0)</f>
        <v>0</v>
      </c>
      <c r="CF988" s="60" t="n">
        <f aca="false">IF(BT988=1,0,IFERROR(VLOOKUP(BR988,'Gebinde-Kategorie'!$A$5:$M$45,5,0)+0,0))</f>
        <v>8</v>
      </c>
      <c r="CG988" s="60" t="n">
        <f aca="false">IFERROR(IF(OR(BX988=1,BX988=2,BX988=3),N(INDEX(Parameter!$I$5:$I$7,BX988)),0),0)</f>
        <v>0</v>
      </c>
      <c r="CH988" s="59" t="n">
        <f aca="false">IF(AND(Parameter!$B$21="Ja",ISNUMBER(W988),N(X988)&gt;0),IFERROR(N(INDEX(Parameter!$L$5:$L$7,W988))*INDEX(Parameter!$E$5:$E$7,W988)*X988/SUMIFS($X$7:$X$1843,$W$7:$W$1843,W988),0),0)</f>
        <v>0</v>
      </c>
    </row>
    <row r="989" customFormat="false" ht="15" hidden="false" customHeight="false" outlineLevel="0" collapsed="false">
      <c r="A989" s="55" t="s">
        <v>1828</v>
      </c>
      <c r="B989" s="55" t="s">
        <v>1829</v>
      </c>
      <c r="C989" s="55" t="s">
        <v>164</v>
      </c>
      <c r="D989" s="55" t="s">
        <v>184</v>
      </c>
      <c r="E989" s="55" t="s">
        <v>185</v>
      </c>
      <c r="F989" s="55" t="s">
        <v>218</v>
      </c>
      <c r="G989" s="56" t="n">
        <v>20.42</v>
      </c>
      <c r="H989" s="57" t="n">
        <f aca="false">MAX(0,IF(AND(Parameter!$B$21="Ja",ISNUMBER(Y989)),Y989,IF(Parameter!$B$20="Jahresanfang 2025 + Export",BL989+BK989,BK989)))</f>
        <v>56</v>
      </c>
      <c r="I989" s="57" t="n">
        <f aca="false">H989*G989</f>
        <v>1143.52</v>
      </c>
      <c r="J989" s="57" t="n">
        <f aca="false">BN989*Parameter!$B$18</f>
        <v>0</v>
      </c>
      <c r="K989" s="58" t="n">
        <v>60</v>
      </c>
      <c r="L989" s="59" t="n">
        <v>0</v>
      </c>
      <c r="M989" s="57" t="n">
        <v>0</v>
      </c>
      <c r="N989" s="57" t="n">
        <v>1</v>
      </c>
      <c r="O989" s="60" t="n">
        <v>14</v>
      </c>
      <c r="P989" s="55" t="s">
        <v>476</v>
      </c>
      <c r="Q989" s="57" t="n">
        <v>88</v>
      </c>
      <c r="R989" s="60" t="n">
        <f aca="false">IF(BT989=1,0,IFERROR(VLOOKUP(BR989,'Gebinde-Kategorie'!$A$5:$M$45,13,0)+0,0))</f>
        <v>66</v>
      </c>
      <c r="S989" s="61"/>
      <c r="T989" s="62"/>
      <c r="U989" s="62"/>
      <c r="V989" s="62"/>
      <c r="W989" s="55"/>
      <c r="X989" s="57"/>
      <c r="Y989" s="57"/>
      <c r="Z989" s="55" t="n">
        <f aca="false">IF(A989="","",IF(AND(Parameter!$B$21="Ja",ISNUMBER(W989)),W989,IF(BV989="2+3",IF(ISNUMBER(SEARCH("grosser Artikel",BO989)),2,IFERROR(VLOOKUP(BR989,Parameter!$F$35:$G$64,2,0),2)),IF(OR(BV989="Nein",BV989=""),"-",BV989))))</f>
        <v>3</v>
      </c>
      <c r="AA989" s="62"/>
      <c r="AB989" s="63"/>
      <c r="AC989" s="57" t="n">
        <f aca="false">AR989</f>
        <v>88</v>
      </c>
      <c r="AD989" s="57" t="n">
        <f aca="false">MAX(AR989,H989)</f>
        <v>88</v>
      </c>
      <c r="AE989" s="64"/>
      <c r="AF989" s="57" t="n">
        <f aca="false">IF(LEFT(Cockpit!$C$5,1)="A",H989,IF(CA989=1,CB989,IF(LEFT(Cockpit!$C$5,1)="B",AJ989,MAX(AJ989,H989))))</f>
        <v>56</v>
      </c>
      <c r="AG989" s="57" t="n">
        <f aca="false">IF(BT989=1,0,ROUNDUP(AF989/BS989,0))</f>
        <v>1</v>
      </c>
      <c r="AH989" s="59" t="n">
        <f aca="false">IF(CH989&gt;0,CH989*MAX(1,AF989/X989),IF(BT989=1,IF(AF989&lt;=0,0,BW989*MAX(1,IF(H989&gt;0,AF989/H989,1))),IF(R989&gt;0,AG989/R989,0))/MAX(0.1,N(Parameter!$M$21)))</f>
        <v>0.0151515151515152</v>
      </c>
      <c r="AI989" s="57" t="n">
        <f aca="false">AF989*G989</f>
        <v>1143.52</v>
      </c>
      <c r="AJ989" s="57" t="n">
        <f aca="false">ROUNDUP(MAX(J989/IF(BZ989&gt;0,BZ989,MAX(0.1,N(Cockpit!$C$6))),CC989)/BS989,0)*BS989</f>
        <v>88</v>
      </c>
      <c r="AK989" s="58" t="n">
        <f aca="false">IF(AH989&gt;0,J989/AH989,-1)</f>
        <v>0</v>
      </c>
      <c r="AL989" s="58" t="n">
        <f aca="false">IF(AND(OR(BY989="L1",BY989="L23"),AH989&gt;0),SUMIFS($AH$7:$AH$1843,$BY$7:$BY$1843,BY989,$AK$7:$AK$1843,"&gt;"&amp;AK989)+SUMIFS($AH$7:$AH$1843,$BY$7:$BY$1843,BY989,$AK$7:$AK$1843,AK989,$BQ$7:$BQ$1843,"&lt;="&amp;BQ989),"")</f>
        <v>78.2927603797169</v>
      </c>
      <c r="AM989" s="65" t="n">
        <f aca="false">IF(AL989="",0,MAX(0,MIN(1,(IF(BY989="L1",Parameter!$E$5,Parameter!$E$6+Parameter!$E$7)-(AL989-AH989))/AH989)))</f>
        <v>1</v>
      </c>
      <c r="AN989" s="57" t="n">
        <f aca="false">IF(LEFT(Cockpit!$I$5,1)="A",H989,IF(CA989=1,CB989,IF(LEFT(Cockpit!$I$5,1)="B",AR989,MAX(AR989,H989))))</f>
        <v>88</v>
      </c>
      <c r="AO989" s="57" t="n">
        <f aca="false">IF(BT989=1,0,ROUNDUP(AN989/BS989,0))</f>
        <v>1</v>
      </c>
      <c r="AP989" s="59" t="n">
        <f aca="false">IF(CH989&gt;0,CH989*MAX(1,AN989/X989),IF(BT989=1,IF(AN989&lt;=0,0,BW989*MAX(1,IF(H989&gt;0,AN989/H989,1))),IF(R989&gt;0,AO989/R989,0))/MAX(0.1,N(Parameter!$M$21)))</f>
        <v>0.0151515151515152</v>
      </c>
      <c r="AQ989" s="57" t="n">
        <f aca="false">AN989*G989</f>
        <v>1796.96</v>
      </c>
      <c r="AR989" s="57" t="n">
        <f aca="false">ROUNDUP(MAX(J989/IF(BZ989&gt;0,BZ989,MAX(0.1,N(Cockpit!$I$6))),CC989)/BS989,0)*BS989</f>
        <v>88</v>
      </c>
      <c r="AS989" s="58" t="n">
        <f aca="false">IF(AP989&gt;0,J989/AP989,-1)</f>
        <v>0</v>
      </c>
      <c r="AT989" s="58" t="n">
        <f aca="false">IF(AND(OR(BY989="L1",BY989="L23"),AP989&gt;0),SUMIFS($AP$7:$AP$1843,$BY$7:$BY$1843,BY989,$AS$7:$AS$1843,"&gt;"&amp;AS989)+SUMIFS($AP$7:$AP$1843,$BY$7:$BY$1843,BY989,$AS$7:$AS$1843,AS989,$BQ$7:$BQ$1843,"&lt;="&amp;BQ989),"")</f>
        <v>119.640713151583</v>
      </c>
      <c r="AU989" s="65" t="n">
        <f aca="false">IF(AT989="",0,MAX(0,MIN(1,(IF(BY989="L1",Parameter!$E$5,Parameter!$E$6+Parameter!$E$7)-(AT989-AP989))/AP989)))</f>
        <v>0</v>
      </c>
      <c r="AV989" s="57" t="n">
        <f aca="false">IF(LEFT(Cockpit!$O$5,1)="A",H989,IF(CA989=1,CB989,IF(LEFT(Cockpit!$O$5,1)="B",AZ989,MAX(AZ989,H989))))</f>
        <v>88</v>
      </c>
      <c r="AW989" s="57" t="n">
        <f aca="false">IF(BT989=1,0,ROUNDUP(AV989/BS989,0))</f>
        <v>1</v>
      </c>
      <c r="AX989" s="59" t="n">
        <f aca="false">IF(CH989&gt;0,CH989*MAX(1,AV989/X989),IF(BT989=1,IF(AV989&lt;=0,0,BW989*MAX(1,IF(H989&gt;0,AV989/H989,1))),IF(R989&gt;0,AW989/R989,0))/MAX(0.1,N(Parameter!$M$21)))</f>
        <v>0.0151515151515152</v>
      </c>
      <c r="AY989" s="57" t="n">
        <f aca="false">AV989*G989</f>
        <v>1796.96</v>
      </c>
      <c r="AZ989" s="57" t="n">
        <f aca="false">ROUNDUP(MAX(J989/IF(BZ989&gt;0,BZ989,MAX(0.1,N(Cockpit!$O$6))),CC989)/BS989,0)*BS989</f>
        <v>88</v>
      </c>
      <c r="BA989" s="58" t="n">
        <f aca="false">IF(AX989&gt;0,J989/AX989,-1)</f>
        <v>0</v>
      </c>
      <c r="BB989" s="58" t="n">
        <f aca="false">IF(AND(OR(BY989="L1",BY989="L23"),AX989&gt;0),SUMIFS($AX$7:$AX$1843,$BY$7:$BY$1843,BY989,$BA$7:$BA$1843,"&gt;"&amp;BA989)+SUMIFS($AX$7:$AX$1843,$BY$7:$BY$1843,BY989,$BA$7:$BA$1843,BA989,$BQ$7:$BQ$1843,"&lt;="&amp;BQ989),"")</f>
        <v>110.47054998142</v>
      </c>
      <c r="BC989" s="65" t="n">
        <f aca="false">IF(BB989="",0,MAX(0,MIN(1,(IF(BY989="L1",Parameter!$E$5,Parameter!$E$6+Parameter!$E$7)-(BB989-AX989))/AX989)))</f>
        <v>0</v>
      </c>
      <c r="BD989" s="55" t="str">
        <f aca="false">IF(AH989&lt;=0,"",IF(BY989="Aussen","Aussenlager",IF(BY989="-","Nicht im Lift",IF(AM989&gt;=1,"Lift",IF(AM989&lt;=0,"Aussenlager","teilweise")))))</f>
        <v>Lift</v>
      </c>
      <c r="BE989" s="55" t="str">
        <f aca="false">IF(AP989&lt;=0,"",IF(BY989="Aussen","Aussenlager",IF(BY989="-","Nicht im Lift",IF(AU989&gt;=1,"Lift",IF(AU989&lt;=0,"Aussenlager","teilweise")))))</f>
        <v>Aussenlager</v>
      </c>
      <c r="BF989" s="55" t="str">
        <f aca="false">IF(AX989&lt;=0,"",IF(BY989="Aussen","Aussenlager",IF(BY989="-","Nicht im Lift",IF(BC989&gt;=1,"Lift",IF(BC989&lt;=0,"Aussenlager","teilweise")))))</f>
        <v>Aussenlager</v>
      </c>
      <c r="BG989" s="55" t="str">
        <f aca="false">IF(A989="","",IF(BP989=1,"Neu; ","")&amp;IF(AND(BP989=0,BK989&lt;0),"negativer Bestand (Export "&amp;BK989&amp;"); ","")&amp;IF(J989&lt;=0,"Kein Verbrauch; ","")&amp;IF(CH989&gt;0,"Lift "&amp;W989&amp;" lt. Liftbericht (Fach "&amp;X989&amp;" Stk); ",IF(BU989=1,"Gebinde geschätzt ("&amp;T989&amp;"); ",IF(BT989=1,"Lose – Tablare geschätzt; ","")))&amp;IF(H989&gt;AR989,"Überbestand "&amp;ROUND(H989-AR989,0)&amp;" Stk / CHF "&amp;ROUND((H989-AR989)*G989,0)&amp;"; ","")&amp;IF(AND(CA989=1,CB989&lt;CC989),"MAX &lt; MB+LG; ","")&amp;IF(AND(CG989&gt;0,CF989*10&gt;CG989),"zu hoch für Tablar; ","")&amp;IF(AND(BP989=0,OR(CA989=1,AA989&lt;&gt;"",U989&lt;&gt;"",V989&lt;&gt;"",AB989&lt;&gt;"")),"manuell übersteuert; ","")&amp;IF(AND(BT989=0,R989=0),"Gebinde unbekannt / Stellmass fehlt; ","")&amp;IF(AND(BT989=0,N(V989)&lt;=0,N(Q989)&lt;=0),"Menge pro Gebinde fehlt (Ist = 1 Gebinde); ","")&amp;BO989)</f>
        <v>negativer Bestand (Export -4); Kein Verbrauch; Überbestand</v>
      </c>
      <c r="BH989" s="55"/>
      <c r="BI989" s="55"/>
      <c r="BJ989" s="62"/>
      <c r="BK989" s="57" t="n">
        <v>-4</v>
      </c>
      <c r="BL989" s="57" t="n">
        <v>60</v>
      </c>
      <c r="BM989" s="56" t="n">
        <v>-81.68</v>
      </c>
      <c r="BN989" s="57" t="n">
        <v>0</v>
      </c>
      <c r="BO989" s="55" t="s">
        <v>392</v>
      </c>
      <c r="BP989" s="60" t="n">
        <v>0</v>
      </c>
      <c r="BQ989" s="60" t="n">
        <v>989</v>
      </c>
      <c r="BR989" s="55" t="str">
        <f aca="false">IF(U989&lt;&gt;"",UPPER(TRIM(U989)),IF(BU989=1,UPPER(VLOOKUP(T989,Parameter!$I$27:$K$29,2,0)),IF(P989="","LOSE",P989)))</f>
        <v>S33</v>
      </c>
      <c r="BS989" s="57" t="n">
        <f aca="false">IF(BR989="LOSE",1,IF(N(V989)&gt;0,V989,IF(BU989=1,MAX(1,N(VLOOKUP(T989,Parameter!$I$27:$K$29,3,0)),H989,N(N989)),IF(N(Q989)&gt;0,Q989,MAX(1,H989)))))</f>
        <v>88</v>
      </c>
      <c r="BT989" s="60" t="n">
        <f aca="false">IF(BR989="LOSE",1,0)</f>
        <v>0</v>
      </c>
      <c r="BU989" s="60" t="n">
        <f aca="false">IF(AND(U989="",OR(P989="",P989="LOSE"),T989&lt;&gt;"",N(S989)&lt;=0,ISNUMBER(MATCH(T989,Parameter!$I$27:$I$29,0))),1,0)</f>
        <v>0</v>
      </c>
      <c r="BV989" s="55" t="str">
        <f aca="false">IF(AND(Parameter!$B$19="Ja",E989&lt;&gt;"",ISNUMBER(MATCH(E989,Parameter!$I$35:$I$52,0))),VLOOKUP(E989,Parameter!$I$35:$J$52,2,0),IFERROR(VLOOKUP(D989,Parameter!$A$35:$C$64,2,0),"Nein"))</f>
        <v>2+3</v>
      </c>
      <c r="BW989" s="59" t="n">
        <f aca="false">IF(BT989=0,0,IF(N(S989)&gt;0,S989,IFERROR(VLOOKUP(D989,Parameter!$A$35:$C$64,3,0)+0,0)))</f>
        <v>0</v>
      </c>
      <c r="BX989" s="55" t="n">
        <f aca="false">IF(AA989&lt;&gt;"",AA989,Z989)</f>
        <v>3</v>
      </c>
      <c r="BY989" s="55" t="str">
        <f aca="false">IF(BX989=1,"L1",IF(OR(BX989=2,BX989=3),"L23",IF(BX989="Aussen","Aussen","-")))</f>
        <v>L23</v>
      </c>
      <c r="BZ989" s="66" t="n">
        <f aca="false">IF(N(AB989)&gt;0,AB989,0)</f>
        <v>0</v>
      </c>
      <c r="CA989" s="60" t="n">
        <f aca="false">IF(ISNUMBER(AE989),1,0)</f>
        <v>0</v>
      </c>
      <c r="CB989" s="57" t="n">
        <f aca="false">N(AE989)</f>
        <v>0</v>
      </c>
      <c r="CC989" s="57" t="n">
        <f aca="false">N(M989)+N(N989)</f>
        <v>1</v>
      </c>
      <c r="CD989" s="57" t="n">
        <f aca="false">ROUNDUP(H989/BS989,0)</f>
        <v>1</v>
      </c>
      <c r="CE989" s="57" t="n">
        <f aca="false">ROUNDUP(CB989/BS989,0)</f>
        <v>0</v>
      </c>
      <c r="CF989" s="60" t="n">
        <f aca="false">IF(BT989=1,0,IFERROR(VLOOKUP(BR989,'Gebinde-Kategorie'!$A$5:$M$45,5,0)+0,0))</f>
        <v>8</v>
      </c>
      <c r="CG989" s="60" t="n">
        <f aca="false">IFERROR(IF(OR(BX989=1,BX989=2,BX989=3),N(INDEX(Parameter!$I$5:$I$7,BX989)),0),0)</f>
        <v>0</v>
      </c>
      <c r="CH989" s="59" t="n">
        <f aca="false">IF(AND(Parameter!$B$21="Ja",ISNUMBER(W989),N(X989)&gt;0),IFERROR(N(INDEX(Parameter!$L$5:$L$7,W989))*INDEX(Parameter!$E$5:$E$7,W989)*X989/SUMIFS($X$7:$X$1843,$W$7:$W$1843,W989),0),0)</f>
        <v>0</v>
      </c>
    </row>
    <row r="990" customFormat="false" ht="15" hidden="false" customHeight="false" outlineLevel="0" collapsed="false">
      <c r="A990" s="55" t="s">
        <v>1830</v>
      </c>
      <c r="B990" s="55" t="s">
        <v>949</v>
      </c>
      <c r="C990" s="55" t="s">
        <v>164</v>
      </c>
      <c r="D990" s="55" t="s">
        <v>184</v>
      </c>
      <c r="E990" s="55" t="s">
        <v>185</v>
      </c>
      <c r="F990" s="55" t="s">
        <v>218</v>
      </c>
      <c r="G990" s="56" t="n">
        <v>0.32</v>
      </c>
      <c r="H990" s="57" t="n">
        <f aca="false">MAX(0,IF(AND(Parameter!$B$21="Ja",ISNUMBER(Y990)),Y990,IF(Parameter!$B$20="Jahresanfang 2025 + Export",BL990+BK990,BK990)))</f>
        <v>0</v>
      </c>
      <c r="I990" s="57" t="n">
        <f aca="false">H990*G990</f>
        <v>0</v>
      </c>
      <c r="J990" s="57" t="n">
        <f aca="false">BN990*Parameter!$B$18</f>
        <v>140</v>
      </c>
      <c r="K990" s="58" t="n">
        <v>691.5</v>
      </c>
      <c r="L990" s="59" t="n">
        <v>0.202458423716558</v>
      </c>
      <c r="M990" s="57" t="n">
        <v>8</v>
      </c>
      <c r="N990" s="57" t="n">
        <v>200</v>
      </c>
      <c r="O990" s="60" t="n">
        <v>21</v>
      </c>
      <c r="P990" s="55" t="s">
        <v>426</v>
      </c>
      <c r="Q990" s="57" t="n">
        <v>787</v>
      </c>
      <c r="R990" s="60" t="n">
        <f aca="false">IF(BT990=1,0,IFERROR(VLOOKUP(BR990,'Gebinde-Kategorie'!$A$5:$M$45,13,0)+0,0))</f>
        <v>198</v>
      </c>
      <c r="S990" s="61"/>
      <c r="T990" s="62"/>
      <c r="U990" s="62"/>
      <c r="V990" s="62"/>
      <c r="W990" s="55"/>
      <c r="X990" s="57"/>
      <c r="Y990" s="57"/>
      <c r="Z990" s="55" t="n">
        <f aca="false">IF(A990="","",IF(AND(Parameter!$B$21="Ja",ISNUMBER(W990)),W990,IF(BV990="2+3",IF(ISNUMBER(SEARCH("grosser Artikel",BO990)),2,IFERROR(VLOOKUP(BR990,Parameter!$F$35:$G$64,2,0),2)),IF(OR(BV990="Nein",BV990=""),"-",BV990))))</f>
        <v>3</v>
      </c>
      <c r="AA990" s="62"/>
      <c r="AB990" s="63"/>
      <c r="AC990" s="57" t="n">
        <f aca="false">AR990</f>
        <v>787</v>
      </c>
      <c r="AD990" s="57" t="n">
        <f aca="false">MAX(AR990,H990)</f>
        <v>787</v>
      </c>
      <c r="AE990" s="64"/>
      <c r="AF990" s="57" t="n">
        <f aca="false">IF(LEFT(Cockpit!$C$5,1)="A",H990,IF(CA990=1,CB990,IF(LEFT(Cockpit!$C$5,1)="B",AJ990,MAX(AJ990,H990))))</f>
        <v>0</v>
      </c>
      <c r="AG990" s="57" t="n">
        <f aca="false">IF(BT990=1,0,ROUNDUP(AF990/BS990,0))</f>
        <v>0</v>
      </c>
      <c r="AH990" s="59" t="n">
        <f aca="false">IF(CH990&gt;0,CH990*MAX(1,AF990/X990),IF(BT990=1,IF(AF990&lt;=0,0,BW990*MAX(1,IF(H990&gt;0,AF990/H990,1))),IF(R990&gt;0,AG990/R990,0))/MAX(0.1,N(Parameter!$M$21)))</f>
        <v>0</v>
      </c>
      <c r="AI990" s="57" t="n">
        <f aca="false">AF990*G990</f>
        <v>0</v>
      </c>
      <c r="AJ990" s="57" t="n">
        <f aca="false">ROUNDUP(MAX(J990/IF(BZ990&gt;0,BZ990,MAX(0.1,N(Cockpit!$C$6))),CC990)/BS990,0)*BS990</f>
        <v>787</v>
      </c>
      <c r="AK990" s="58" t="n">
        <f aca="false">IF(AH990&gt;0,J990/AH990,-1)</f>
        <v>-1</v>
      </c>
      <c r="AL990" s="58" t="str">
        <f aca="false">IF(AND(OR(BY990="L1",BY990="L23"),AH990&gt;0),SUMIFS($AH$7:$AH$1843,$BY$7:$BY$1843,BY990,$AK$7:$AK$1843,"&gt;"&amp;AK990)+SUMIFS($AH$7:$AH$1843,$BY$7:$BY$1843,BY990,$AK$7:$AK$1843,AK990,$BQ$7:$BQ$1843,"&lt;="&amp;BQ990),"")</f>
        <v/>
      </c>
      <c r="AM990" s="65" t="n">
        <f aca="false">IF(AL990="",0,MAX(0,MIN(1,(IF(BY990="L1",Parameter!$E$5,Parameter!$E$6+Parameter!$E$7)-(AL990-AH990))/AH990)))</f>
        <v>0</v>
      </c>
      <c r="AN990" s="57" t="n">
        <f aca="false">IF(LEFT(Cockpit!$I$5,1)="A",H990,IF(CA990=1,CB990,IF(LEFT(Cockpit!$I$5,1)="B",AR990,MAX(AR990,H990))))</f>
        <v>787</v>
      </c>
      <c r="AO990" s="57" t="n">
        <f aca="false">IF(BT990=1,0,ROUNDUP(AN990/BS990,0))</f>
        <v>1</v>
      </c>
      <c r="AP990" s="59" t="n">
        <f aca="false">IF(CH990&gt;0,CH990*MAX(1,AN990/X990),IF(BT990=1,IF(AN990&lt;=0,0,BW990*MAX(1,IF(H990&gt;0,AN990/H990,1))),IF(R990&gt;0,AO990/R990,0))/MAX(0.1,N(Parameter!$M$21)))</f>
        <v>0.00505050505050505</v>
      </c>
      <c r="AQ990" s="57" t="n">
        <f aca="false">AN990*G990</f>
        <v>251.84</v>
      </c>
      <c r="AR990" s="57" t="n">
        <f aca="false">ROUNDUP(MAX(J990/IF(BZ990&gt;0,BZ990,MAX(0.1,N(Cockpit!$I$6))),CC990)/BS990,0)*BS990</f>
        <v>787</v>
      </c>
      <c r="AS990" s="58" t="n">
        <f aca="false">IF(AP990&gt;0,J990/AP990,-1)</f>
        <v>27720</v>
      </c>
      <c r="AT990" s="58" t="n">
        <f aca="false">IF(AND(OR(BY990="L1",BY990="L23"),AP990&gt;0),SUMIFS($AP$7:$AP$1843,$BY$7:$BY$1843,BY990,$AS$7:$AS$1843,"&gt;"&amp;AS990)+SUMIFS($AP$7:$AP$1843,$BY$7:$BY$1843,BY990,$AS$7:$AS$1843,AS990,$BQ$7:$BQ$1843,"&lt;="&amp;BQ990),"")</f>
        <v>3.50305732914429</v>
      </c>
      <c r="AU990" s="65" t="n">
        <f aca="false">IF(AT990="",0,MAX(0,MIN(1,(IF(BY990="L1",Parameter!$E$5,Parameter!$E$6+Parameter!$E$7)-(AT990-AP990))/AP990)))</f>
        <v>1</v>
      </c>
      <c r="AV990" s="57" t="n">
        <f aca="false">IF(LEFT(Cockpit!$O$5,1)="A",H990,IF(CA990=1,CB990,IF(LEFT(Cockpit!$O$5,1)="B",AZ990,MAX(AZ990,H990))))</f>
        <v>787</v>
      </c>
      <c r="AW990" s="57" t="n">
        <f aca="false">IF(BT990=1,0,ROUNDUP(AV990/BS990,0))</f>
        <v>1</v>
      </c>
      <c r="AX990" s="59" t="n">
        <f aca="false">IF(CH990&gt;0,CH990*MAX(1,AV990/X990),IF(BT990=1,IF(AV990&lt;=0,0,BW990*MAX(1,IF(H990&gt;0,AV990/H990,1))),IF(R990&gt;0,AW990/R990,0))/MAX(0.1,N(Parameter!$M$21)))</f>
        <v>0.00505050505050505</v>
      </c>
      <c r="AY990" s="57" t="n">
        <f aca="false">AV990*G990</f>
        <v>251.84</v>
      </c>
      <c r="AZ990" s="57" t="n">
        <f aca="false">ROUNDUP(MAX(J990/IF(BZ990&gt;0,BZ990,MAX(0.1,N(Cockpit!$O$6))),CC990)/BS990,0)*BS990</f>
        <v>787</v>
      </c>
      <c r="BA990" s="58" t="n">
        <f aca="false">IF(AX990&gt;0,J990/AX990,-1)</f>
        <v>27720</v>
      </c>
      <c r="BB990" s="58" t="n">
        <f aca="false">IF(AND(OR(BY990="L1",BY990="L23"),AX990&gt;0),SUMIFS($AX$7:$AX$1843,$BY$7:$BY$1843,BY990,$BA$7:$BA$1843,"&gt;"&amp;BA990)+SUMIFS($AX$7:$AX$1843,$BY$7:$BY$1843,BY990,$BA$7:$BA$1843,BA990,$BQ$7:$BQ$1843,"&lt;="&amp;BQ990),"")</f>
        <v>3.23266105874802</v>
      </c>
      <c r="BC990" s="65" t="n">
        <f aca="false">IF(BB990="",0,MAX(0,MIN(1,(IF(BY990="L1",Parameter!$E$5,Parameter!$E$6+Parameter!$E$7)-(BB990-AX990))/AX990)))</f>
        <v>1</v>
      </c>
      <c r="BD990" s="55" t="str">
        <f aca="false">IF(AH990&lt;=0,"",IF(BY990="Aussen","Aussenlager",IF(BY990="-","Nicht im Lift",IF(AM990&gt;=1,"Lift",IF(AM990&lt;=0,"Aussenlager","teilweise")))))</f>
        <v/>
      </c>
      <c r="BE990" s="55" t="str">
        <f aca="false">IF(AP990&lt;=0,"",IF(BY990="Aussen","Aussenlager",IF(BY990="-","Nicht im Lift",IF(AU990&gt;=1,"Lift",IF(AU990&lt;=0,"Aussenlager","teilweise")))))</f>
        <v>Lift</v>
      </c>
      <c r="BF990" s="55" t="str">
        <f aca="false">IF(AX990&lt;=0,"",IF(BY990="Aussen","Aussenlager",IF(BY990="-","Nicht im Lift",IF(BC990&gt;=1,"Lift",IF(BC990&lt;=0,"Aussenlager","teilweise")))))</f>
        <v>Lift</v>
      </c>
      <c r="BG990" s="55" t="str">
        <f aca="false">IF(A990="","",IF(BP990=1,"Neu; ","")&amp;IF(AND(BP990=0,BK990&lt;0),"negativer Bestand (Export "&amp;BK990&amp;"); ","")&amp;IF(J990&lt;=0,"Kein Verbrauch; ","")&amp;IF(CH990&gt;0,"Lift "&amp;W990&amp;" lt. Liftbericht (Fach "&amp;X990&amp;" Stk); ",IF(BU990=1,"Gebinde geschätzt ("&amp;T990&amp;"); ",IF(BT990=1,"Lose – Tablare geschätzt; ","")))&amp;IF(H990&gt;AR990,"Überbestand "&amp;ROUND(H990-AR990,0)&amp;" Stk / CHF "&amp;ROUND((H990-AR990)*G990,0)&amp;"; ","")&amp;IF(AND(CA990=1,CB990&lt;CC990),"MAX &lt; MB+LG; ","")&amp;IF(AND(CG990&gt;0,CF990*10&gt;CG990),"zu hoch für Tablar; ","")&amp;IF(AND(BP990=0,OR(CA990=1,AA990&lt;&gt;"",U990&lt;&gt;"",V990&lt;&gt;"",AB990&lt;&gt;"")),"manuell übersteuert; ","")&amp;IF(AND(BT990=0,R990=0),"Gebinde unbekannt / Stellmass fehlt; ","")&amp;IF(AND(BT990=0,N(V990)&lt;=0,N(Q990)&lt;=0),"Menge pro Gebinde fehlt (Ist = 1 Gebinde); ","")&amp;BO990)</f>
        <v>negativer Bestand (Export -1036); </v>
      </c>
      <c r="BH990" s="55"/>
      <c r="BI990" s="55"/>
      <c r="BJ990" s="62"/>
      <c r="BK990" s="57" t="n">
        <v>-1036</v>
      </c>
      <c r="BL990" s="57" t="n">
        <v>1036</v>
      </c>
      <c r="BM990" s="56" t="n">
        <v>-82.88</v>
      </c>
      <c r="BN990" s="57" t="n">
        <v>140</v>
      </c>
      <c r="BO990" s="55"/>
      <c r="BP990" s="60" t="n">
        <v>0</v>
      </c>
      <c r="BQ990" s="60" t="n">
        <v>990</v>
      </c>
      <c r="BR990" s="55" t="str">
        <f aca="false">IF(U990&lt;&gt;"",UPPER(TRIM(U990)),IF(BU990=1,UPPER(VLOOKUP(T990,Parameter!$I$27:$K$29,2,0)),IF(P990="","LOSE",P990)))</f>
        <v>S22</v>
      </c>
      <c r="BS990" s="57" t="n">
        <f aca="false">IF(BR990="LOSE",1,IF(N(V990)&gt;0,V990,IF(BU990=1,MAX(1,N(VLOOKUP(T990,Parameter!$I$27:$K$29,3,0)),H990,N(N990)),IF(N(Q990)&gt;0,Q990,MAX(1,H990)))))</f>
        <v>787</v>
      </c>
      <c r="BT990" s="60" t="n">
        <f aca="false">IF(BR990="LOSE",1,0)</f>
        <v>0</v>
      </c>
      <c r="BU990" s="60" t="n">
        <f aca="false">IF(AND(U990="",OR(P990="",P990="LOSE"),T990&lt;&gt;"",N(S990)&lt;=0,ISNUMBER(MATCH(T990,Parameter!$I$27:$I$29,0))),1,0)</f>
        <v>0</v>
      </c>
      <c r="BV990" s="55" t="str">
        <f aca="false">IF(AND(Parameter!$B$19="Ja",E990&lt;&gt;"",ISNUMBER(MATCH(E990,Parameter!$I$35:$I$52,0))),VLOOKUP(E990,Parameter!$I$35:$J$52,2,0),IFERROR(VLOOKUP(D990,Parameter!$A$35:$C$64,2,0),"Nein"))</f>
        <v>2+3</v>
      </c>
      <c r="BW990" s="59" t="n">
        <f aca="false">IF(BT990=0,0,IF(N(S990)&gt;0,S990,IFERROR(VLOOKUP(D990,Parameter!$A$35:$C$64,3,0)+0,0)))</f>
        <v>0</v>
      </c>
      <c r="BX990" s="55" t="n">
        <f aca="false">IF(AA990&lt;&gt;"",AA990,Z990)</f>
        <v>3</v>
      </c>
      <c r="BY990" s="55" t="str">
        <f aca="false">IF(BX990=1,"L1",IF(OR(BX990=2,BX990=3),"L23",IF(BX990="Aussen","Aussen","-")))</f>
        <v>L23</v>
      </c>
      <c r="BZ990" s="66" t="n">
        <f aca="false">IF(N(AB990)&gt;0,AB990,0)</f>
        <v>0</v>
      </c>
      <c r="CA990" s="60" t="n">
        <f aca="false">IF(ISNUMBER(AE990),1,0)</f>
        <v>0</v>
      </c>
      <c r="CB990" s="57" t="n">
        <f aca="false">N(AE990)</f>
        <v>0</v>
      </c>
      <c r="CC990" s="57" t="n">
        <f aca="false">N(M990)+N(N990)</f>
        <v>208</v>
      </c>
      <c r="CD990" s="57" t="n">
        <f aca="false">ROUNDUP(H990/BS990,0)</f>
        <v>0</v>
      </c>
      <c r="CE990" s="57" t="n">
        <f aca="false">ROUNDUP(CB990/BS990,0)</f>
        <v>0</v>
      </c>
      <c r="CF990" s="60" t="n">
        <f aca="false">IF(BT990=1,0,IFERROR(VLOOKUP(BR990,'Gebinde-Kategorie'!$A$5:$M$45,5,0)+0,0))</f>
        <v>8</v>
      </c>
      <c r="CG990" s="60" t="n">
        <f aca="false">IFERROR(IF(OR(BX990=1,BX990=2,BX990=3),N(INDEX(Parameter!$I$5:$I$7,BX990)),0),0)</f>
        <v>0</v>
      </c>
      <c r="CH990" s="59" t="n">
        <f aca="false">IF(AND(Parameter!$B$21="Ja",ISNUMBER(W990),N(X990)&gt;0),IFERROR(N(INDEX(Parameter!$L$5:$L$7,W990))*INDEX(Parameter!$E$5:$E$7,W990)*X990/SUMIFS($X$7:$X$1843,$W$7:$W$1843,W990),0),0)</f>
        <v>0</v>
      </c>
    </row>
    <row r="991" customFormat="false" ht="15" hidden="false" customHeight="false" outlineLevel="0" collapsed="false">
      <c r="A991" s="55" t="s">
        <v>1831</v>
      </c>
      <c r="B991" s="55" t="s">
        <v>1832</v>
      </c>
      <c r="C991" s="55" t="s">
        <v>164</v>
      </c>
      <c r="D991" s="55" t="s">
        <v>184</v>
      </c>
      <c r="E991" s="55" t="s">
        <v>185</v>
      </c>
      <c r="F991" s="55" t="s">
        <v>218</v>
      </c>
      <c r="G991" s="56" t="n">
        <v>35.92</v>
      </c>
      <c r="H991" s="57" t="n">
        <f aca="false">MAX(0,IF(AND(Parameter!$B$21="Ja",ISNUMBER(Y991)),Y991,IF(Parameter!$B$20="Jahresanfang 2025 + Export",BL991+BK991,BK991)))</f>
        <v>3</v>
      </c>
      <c r="I991" s="57" t="n">
        <f aca="false">H991*G991</f>
        <v>107.76</v>
      </c>
      <c r="J991" s="57" t="n">
        <f aca="false">BN991*Parameter!$B$18</f>
        <v>5</v>
      </c>
      <c r="K991" s="58" t="n">
        <v>5</v>
      </c>
      <c r="L991" s="59" t="n">
        <v>1</v>
      </c>
      <c r="M991" s="57" t="n">
        <v>0</v>
      </c>
      <c r="N991" s="57" t="n">
        <v>5</v>
      </c>
      <c r="O991" s="60" t="n">
        <v>21</v>
      </c>
      <c r="P991" s="55" t="s">
        <v>302</v>
      </c>
      <c r="Q991" s="57" t="n">
        <v>11</v>
      </c>
      <c r="R991" s="60" t="n">
        <f aca="false">IF(BT991=1,0,IFERROR(VLOOKUP(BR991,'Gebinde-Kategorie'!$A$5:$M$45,13,0)+0,0))</f>
        <v>26</v>
      </c>
      <c r="S991" s="61"/>
      <c r="T991" s="62"/>
      <c r="U991" s="62"/>
      <c r="V991" s="62"/>
      <c r="W991" s="55"/>
      <c r="X991" s="57"/>
      <c r="Y991" s="57"/>
      <c r="Z991" s="55" t="n">
        <f aca="false">IF(A991="","",IF(AND(Parameter!$B$21="Ja",ISNUMBER(W991)),W991,IF(BV991="2+3",IF(ISNUMBER(SEARCH("grosser Artikel",BO991)),2,IFERROR(VLOOKUP(BR991,Parameter!$F$35:$G$64,2,0),2)),IF(OR(BV991="Nein",BV991=""),"-",BV991))))</f>
        <v>3</v>
      </c>
      <c r="AA991" s="62"/>
      <c r="AB991" s="63"/>
      <c r="AC991" s="57" t="n">
        <f aca="false">AR991</f>
        <v>11</v>
      </c>
      <c r="AD991" s="57" t="n">
        <f aca="false">MAX(AR991,H991)</f>
        <v>11</v>
      </c>
      <c r="AE991" s="64"/>
      <c r="AF991" s="57" t="n">
        <f aca="false">IF(LEFT(Cockpit!$C$5,1)="A",H991,IF(CA991=1,CB991,IF(LEFT(Cockpit!$C$5,1)="B",AJ991,MAX(AJ991,H991))))</f>
        <v>3</v>
      </c>
      <c r="AG991" s="57" t="n">
        <f aca="false">IF(BT991=1,0,ROUNDUP(AF991/BS991,0))</f>
        <v>1</v>
      </c>
      <c r="AH991" s="59" t="n">
        <f aca="false">IF(CH991&gt;0,CH991*MAX(1,AF991/X991),IF(BT991=1,IF(AF991&lt;=0,0,BW991*MAX(1,IF(H991&gt;0,AF991/H991,1))),IF(R991&gt;0,AG991/R991,0))/MAX(0.1,N(Parameter!$M$21)))</f>
        <v>0.0384615384615385</v>
      </c>
      <c r="AI991" s="57" t="n">
        <f aca="false">AF991*G991</f>
        <v>107.76</v>
      </c>
      <c r="AJ991" s="57" t="n">
        <f aca="false">ROUNDUP(MAX(J991/IF(BZ991&gt;0,BZ991,MAX(0.1,N(Cockpit!$C$6))),CC991)/BS991,0)*BS991</f>
        <v>11</v>
      </c>
      <c r="AK991" s="58" t="n">
        <f aca="false">IF(AH991&gt;0,J991/AH991,-1)</f>
        <v>130</v>
      </c>
      <c r="AL991" s="58" t="n">
        <f aca="false">IF(AND(OR(BY991="L1",BY991="L23"),AH991&gt;0),SUMIFS($AH$7:$AH$1843,$BY$7:$BY$1843,BY991,$AK$7:$AK$1843,"&gt;"&amp;AK991)+SUMIFS($AH$7:$AH$1843,$BY$7:$BY$1843,BY991,$AK$7:$AK$1843,AK991,$BQ$7:$BQ$1843,"&lt;="&amp;BQ991),"")</f>
        <v>36.4187949731428</v>
      </c>
      <c r="AM991" s="65" t="n">
        <f aca="false">IF(AL991="",0,MAX(0,MIN(1,(IF(BY991="L1",Parameter!$E$5,Parameter!$E$6+Parameter!$E$7)-(AL991-AH991))/AH991)))</f>
        <v>1</v>
      </c>
      <c r="AN991" s="57" t="n">
        <f aca="false">IF(LEFT(Cockpit!$I$5,1)="A",H991,IF(CA991=1,CB991,IF(LEFT(Cockpit!$I$5,1)="B",AR991,MAX(AR991,H991))))</f>
        <v>11</v>
      </c>
      <c r="AO991" s="57" t="n">
        <f aca="false">IF(BT991=1,0,ROUNDUP(AN991/BS991,0))</f>
        <v>1</v>
      </c>
      <c r="AP991" s="59" t="n">
        <f aca="false">IF(CH991&gt;0,CH991*MAX(1,AN991/X991),IF(BT991=1,IF(AN991&lt;=0,0,BW991*MAX(1,IF(H991&gt;0,AN991/H991,1))),IF(R991&gt;0,AO991/R991,0))/MAX(0.1,N(Parameter!$M$21)))</f>
        <v>0.0384615384615385</v>
      </c>
      <c r="AQ991" s="57" t="n">
        <f aca="false">AN991*G991</f>
        <v>395.12</v>
      </c>
      <c r="AR991" s="57" t="n">
        <f aca="false">ROUNDUP(MAX(J991/IF(BZ991&gt;0,BZ991,MAX(0.1,N(Cockpit!$I$6))),CC991)/BS991,0)*BS991</f>
        <v>11</v>
      </c>
      <c r="AS991" s="58" t="n">
        <f aca="false">IF(AP991&gt;0,J991/AP991,-1)</f>
        <v>130</v>
      </c>
      <c r="AT991" s="58" t="n">
        <f aca="false">IF(AND(OR(BY991="L1",BY991="L23"),AP991&gt;0),SUMIFS($AP$7:$AP$1843,$BY$7:$BY$1843,BY991,$AS$7:$AS$1843,"&gt;"&amp;AS991)+SUMIFS($AP$7:$AP$1843,$BY$7:$BY$1843,BY991,$AS$7:$AS$1843,AS991,$BQ$7:$BQ$1843,"&lt;="&amp;BQ991),"")</f>
        <v>52.6896557548731</v>
      </c>
      <c r="AU991" s="65" t="n">
        <f aca="false">IF(AT991="",0,MAX(0,MIN(1,(IF(BY991="L1",Parameter!$E$5,Parameter!$E$6+Parameter!$E$7)-(AT991-AP991))/AP991)))</f>
        <v>1</v>
      </c>
      <c r="AV991" s="57" t="n">
        <f aca="false">IF(LEFT(Cockpit!$O$5,1)="A",H991,IF(CA991=1,CB991,IF(LEFT(Cockpit!$O$5,1)="B",AZ991,MAX(AZ991,H991))))</f>
        <v>11</v>
      </c>
      <c r="AW991" s="57" t="n">
        <f aca="false">IF(BT991=1,0,ROUNDUP(AV991/BS991,0))</f>
        <v>1</v>
      </c>
      <c r="AX991" s="59" t="n">
        <f aca="false">IF(CH991&gt;0,CH991*MAX(1,AV991/X991),IF(BT991=1,IF(AV991&lt;=0,0,BW991*MAX(1,IF(H991&gt;0,AV991/H991,1))),IF(R991&gt;0,AW991/R991,0))/MAX(0.1,N(Parameter!$M$21)))</f>
        <v>0.0384615384615385</v>
      </c>
      <c r="AY991" s="57" t="n">
        <f aca="false">AV991*G991</f>
        <v>395.12</v>
      </c>
      <c r="AZ991" s="57" t="n">
        <f aca="false">ROUNDUP(MAX(J991/IF(BZ991&gt;0,BZ991,MAX(0.1,N(Cockpit!$O$6))),CC991)/BS991,0)*BS991</f>
        <v>11</v>
      </c>
      <c r="BA991" s="58" t="n">
        <f aca="false">IF(AX991&gt;0,J991/AX991,-1)</f>
        <v>130</v>
      </c>
      <c r="BB991" s="58" t="n">
        <f aca="false">IF(AND(OR(BY991="L1",BY991="L23"),AX991&gt;0),SUMIFS($AX$7:$AX$1843,$BY$7:$BY$1843,BY991,$BA$7:$BA$1843,"&gt;"&amp;BA991)+SUMIFS($AX$7:$AX$1843,$BY$7:$BY$1843,BY991,$BA$7:$BA$1843,BA991,$BQ$7:$BQ$1843,"&lt;="&amp;BQ991),"")</f>
        <v>49.26949258471</v>
      </c>
      <c r="BC991" s="65" t="n">
        <f aca="false">IF(BB991="",0,MAX(0,MIN(1,(IF(BY991="L1",Parameter!$E$5,Parameter!$E$6+Parameter!$E$7)-(BB991-AX991))/AX991)))</f>
        <v>1</v>
      </c>
      <c r="BD991" s="55" t="str">
        <f aca="false">IF(AH991&lt;=0,"",IF(BY991="Aussen","Aussenlager",IF(BY991="-","Nicht im Lift",IF(AM991&gt;=1,"Lift",IF(AM991&lt;=0,"Aussenlager","teilweise")))))</f>
        <v>Lift</v>
      </c>
      <c r="BE991" s="55" t="str">
        <f aca="false">IF(AP991&lt;=0,"",IF(BY991="Aussen","Aussenlager",IF(BY991="-","Nicht im Lift",IF(AU991&gt;=1,"Lift",IF(AU991&lt;=0,"Aussenlager","teilweise")))))</f>
        <v>Lift</v>
      </c>
      <c r="BF991" s="55" t="str">
        <f aca="false">IF(AX991&lt;=0,"",IF(BY991="Aussen","Aussenlager",IF(BY991="-","Nicht im Lift",IF(BC991&gt;=1,"Lift",IF(BC991&lt;=0,"Aussenlager","teilweise")))))</f>
        <v>Lift</v>
      </c>
      <c r="BG991" s="55" t="str">
        <f aca="false">IF(A991="","",IF(BP991=1,"Neu; ","")&amp;IF(AND(BP991=0,BK991&lt;0),"negativer Bestand (Export "&amp;BK991&amp;"); ","")&amp;IF(J991&lt;=0,"Kein Verbrauch; ","")&amp;IF(CH991&gt;0,"Lift "&amp;W991&amp;" lt. Liftbericht (Fach "&amp;X991&amp;" Stk); ",IF(BU991=1,"Gebinde geschätzt ("&amp;T991&amp;"); ",IF(BT991=1,"Lose – Tablare geschätzt; ","")))&amp;IF(H991&gt;AR991,"Überbestand "&amp;ROUND(H991-AR991,0)&amp;" Stk / CHF "&amp;ROUND((H991-AR991)*G991,0)&amp;"; ","")&amp;IF(AND(CA991=1,CB991&lt;CC991),"MAX &lt; MB+LG; ","")&amp;IF(AND(CG991&gt;0,CF991*10&gt;CG991),"zu hoch für Tablar; ","")&amp;IF(AND(BP991=0,OR(CA991=1,AA991&lt;&gt;"",U991&lt;&gt;"",V991&lt;&gt;"",AB991&lt;&gt;"")),"manuell übersteuert; ","")&amp;IF(AND(BT991=0,R991=0),"Gebinde unbekannt / Stellmass fehlt; ","")&amp;IF(AND(BT991=0,N(V991)&lt;=0,N(Q991)&lt;=0),"Menge pro Gebinde fehlt (Ist = 1 Gebinde); ","")&amp;BO991)</f>
        <v>negativer Bestand (Export -3); </v>
      </c>
      <c r="BH991" s="55"/>
      <c r="BI991" s="55"/>
      <c r="BJ991" s="62"/>
      <c r="BK991" s="57" t="n">
        <v>-3</v>
      </c>
      <c r="BL991" s="57" t="n">
        <v>6</v>
      </c>
      <c r="BM991" s="56" t="n">
        <v>-84.84</v>
      </c>
      <c r="BN991" s="57" t="n">
        <v>5</v>
      </c>
      <c r="BO991" s="55"/>
      <c r="BP991" s="60" t="n">
        <v>0</v>
      </c>
      <c r="BQ991" s="60" t="n">
        <v>991</v>
      </c>
      <c r="BR991" s="55" t="str">
        <f aca="false">IF(U991&lt;&gt;"",UPPER(TRIM(U991)),IF(BU991=1,UPPER(VLOOKUP(T991,Parameter!$I$27:$K$29,2,0)),IF(P991="","LOSE",P991)))</f>
        <v>S51</v>
      </c>
      <c r="BS991" s="57" t="n">
        <f aca="false">IF(BR991="LOSE",1,IF(N(V991)&gt;0,V991,IF(BU991=1,MAX(1,N(VLOOKUP(T991,Parameter!$I$27:$K$29,3,0)),H991,N(N991)),IF(N(Q991)&gt;0,Q991,MAX(1,H991)))))</f>
        <v>11</v>
      </c>
      <c r="BT991" s="60" t="n">
        <f aca="false">IF(BR991="LOSE",1,0)</f>
        <v>0</v>
      </c>
      <c r="BU991" s="60" t="n">
        <f aca="false">IF(AND(U991="",OR(P991="",P991="LOSE"),T991&lt;&gt;"",N(S991)&lt;=0,ISNUMBER(MATCH(T991,Parameter!$I$27:$I$29,0))),1,0)</f>
        <v>0</v>
      </c>
      <c r="BV991" s="55" t="str">
        <f aca="false">IF(AND(Parameter!$B$19="Ja",E991&lt;&gt;"",ISNUMBER(MATCH(E991,Parameter!$I$35:$I$52,0))),VLOOKUP(E991,Parameter!$I$35:$J$52,2,0),IFERROR(VLOOKUP(D991,Parameter!$A$35:$C$64,2,0),"Nein"))</f>
        <v>2+3</v>
      </c>
      <c r="BW991" s="59" t="n">
        <f aca="false">IF(BT991=0,0,IF(N(S991)&gt;0,S991,IFERROR(VLOOKUP(D991,Parameter!$A$35:$C$64,3,0)+0,0)))</f>
        <v>0</v>
      </c>
      <c r="BX991" s="55" t="n">
        <f aca="false">IF(AA991&lt;&gt;"",AA991,Z991)</f>
        <v>3</v>
      </c>
      <c r="BY991" s="55" t="str">
        <f aca="false">IF(BX991=1,"L1",IF(OR(BX991=2,BX991=3),"L23",IF(BX991="Aussen","Aussen","-")))</f>
        <v>L23</v>
      </c>
      <c r="BZ991" s="66" t="n">
        <f aca="false">IF(N(AB991)&gt;0,AB991,0)</f>
        <v>0</v>
      </c>
      <c r="CA991" s="60" t="n">
        <f aca="false">IF(ISNUMBER(AE991),1,0)</f>
        <v>0</v>
      </c>
      <c r="CB991" s="57" t="n">
        <f aca="false">N(AE991)</f>
        <v>0</v>
      </c>
      <c r="CC991" s="57" t="n">
        <f aca="false">N(M991)+N(N991)</f>
        <v>5</v>
      </c>
      <c r="CD991" s="57" t="n">
        <f aca="false">ROUNDUP(H991/BS991,0)</f>
        <v>1</v>
      </c>
      <c r="CE991" s="57" t="n">
        <f aca="false">ROUNDUP(CB991/BS991,0)</f>
        <v>0</v>
      </c>
      <c r="CF991" s="60" t="n">
        <f aca="false">IF(BT991=1,0,IFERROR(VLOOKUP(BR991,'Gebinde-Kategorie'!$A$5:$M$45,5,0)+0,0))</f>
        <v>11</v>
      </c>
      <c r="CG991" s="60" t="n">
        <f aca="false">IFERROR(IF(OR(BX991=1,BX991=2,BX991=3),N(INDEX(Parameter!$I$5:$I$7,BX991)),0),0)</f>
        <v>0</v>
      </c>
      <c r="CH991" s="59" t="n">
        <f aca="false">IF(AND(Parameter!$B$21="Ja",ISNUMBER(W991),N(X991)&gt;0),IFERROR(N(INDEX(Parameter!$L$5:$L$7,W991))*INDEX(Parameter!$E$5:$E$7,W991)*X991/SUMIFS($X$7:$X$1843,$W$7:$W$1843,W991),0),0)</f>
        <v>0</v>
      </c>
    </row>
    <row r="992" customFormat="false" ht="15" hidden="false" customHeight="false" outlineLevel="0" collapsed="false">
      <c r="A992" s="55" t="s">
        <v>1833</v>
      </c>
      <c r="B992" s="55" t="s">
        <v>1834</v>
      </c>
      <c r="C992" s="55" t="s">
        <v>164</v>
      </c>
      <c r="D992" s="55" t="s">
        <v>184</v>
      </c>
      <c r="E992" s="55" t="s">
        <v>185</v>
      </c>
      <c r="F992" s="55" t="s">
        <v>218</v>
      </c>
      <c r="G992" s="56" t="n">
        <v>43.78</v>
      </c>
      <c r="H992" s="57" t="n">
        <f aca="false">MAX(0,IF(AND(Parameter!$B$21="Ja",ISNUMBER(Y992)),Y992,IF(Parameter!$B$20="Jahresanfang 2025 + Export",BL992+BK992,BK992)))</f>
        <v>13</v>
      </c>
      <c r="I992" s="57" t="n">
        <f aca="false">H992*G992</f>
        <v>569.14</v>
      </c>
      <c r="J992" s="57" t="n">
        <f aca="false">BN992*Parameter!$B$18</f>
        <v>4</v>
      </c>
      <c r="K992" s="58" t="n">
        <v>13.5</v>
      </c>
      <c r="L992" s="59" t="n">
        <v>0.296296296296296</v>
      </c>
      <c r="M992" s="57" t="n">
        <v>0</v>
      </c>
      <c r="N992" s="57" t="n">
        <v>5</v>
      </c>
      <c r="O992" s="60" t="n">
        <v>16</v>
      </c>
      <c r="P992" s="55" t="s">
        <v>426</v>
      </c>
      <c r="Q992" s="57" t="n">
        <v>17</v>
      </c>
      <c r="R992" s="60" t="n">
        <f aca="false">IF(BT992=1,0,IFERROR(VLOOKUP(BR992,'Gebinde-Kategorie'!$A$5:$M$45,13,0)+0,0))</f>
        <v>198</v>
      </c>
      <c r="S992" s="61"/>
      <c r="T992" s="62"/>
      <c r="U992" s="62"/>
      <c r="V992" s="62"/>
      <c r="W992" s="55"/>
      <c r="X992" s="57"/>
      <c r="Y992" s="57"/>
      <c r="Z992" s="55" t="n">
        <f aca="false">IF(A992="","",IF(AND(Parameter!$B$21="Ja",ISNUMBER(W992)),W992,IF(BV992="2+3",IF(ISNUMBER(SEARCH("grosser Artikel",BO992)),2,IFERROR(VLOOKUP(BR992,Parameter!$F$35:$G$64,2,0),2)),IF(OR(BV992="Nein",BV992=""),"-",BV992))))</f>
        <v>3</v>
      </c>
      <c r="AA992" s="62"/>
      <c r="AB992" s="63"/>
      <c r="AC992" s="57" t="n">
        <f aca="false">AR992</f>
        <v>17</v>
      </c>
      <c r="AD992" s="57" t="n">
        <f aca="false">MAX(AR992,H992)</f>
        <v>17</v>
      </c>
      <c r="AE992" s="64"/>
      <c r="AF992" s="57" t="n">
        <f aca="false">IF(LEFT(Cockpit!$C$5,1)="A",H992,IF(CA992=1,CB992,IF(LEFT(Cockpit!$C$5,1)="B",AJ992,MAX(AJ992,H992))))</f>
        <v>13</v>
      </c>
      <c r="AG992" s="57" t="n">
        <f aca="false">IF(BT992=1,0,ROUNDUP(AF992/BS992,0))</f>
        <v>1</v>
      </c>
      <c r="AH992" s="59" t="n">
        <f aca="false">IF(CH992&gt;0,CH992*MAX(1,AF992/X992),IF(BT992=1,IF(AF992&lt;=0,0,BW992*MAX(1,IF(H992&gt;0,AF992/H992,1))),IF(R992&gt;0,AG992/R992,0))/MAX(0.1,N(Parameter!$M$21)))</f>
        <v>0.00505050505050505</v>
      </c>
      <c r="AI992" s="57" t="n">
        <f aca="false">AF992*G992</f>
        <v>569.14</v>
      </c>
      <c r="AJ992" s="57" t="n">
        <f aca="false">ROUNDUP(MAX(J992/IF(BZ992&gt;0,BZ992,MAX(0.1,N(Cockpit!$C$6))),CC992)/BS992,0)*BS992</f>
        <v>17</v>
      </c>
      <c r="AK992" s="58" t="n">
        <f aca="false">IF(AH992&gt;0,J992/AH992,-1)</f>
        <v>792</v>
      </c>
      <c r="AL992" s="58" t="n">
        <f aca="false">IF(AND(OR(BY992="L1",BY992="L23"),AH992&gt;0),SUMIFS($AH$7:$AH$1843,$BY$7:$BY$1843,BY992,$AK$7:$AK$1843,"&gt;"&amp;AK992)+SUMIFS($AH$7:$AH$1843,$BY$7:$BY$1843,BY992,$AK$7:$AK$1843,AK992,$BQ$7:$BQ$1843,"&lt;="&amp;BQ992),"")</f>
        <v>20.8381895881896</v>
      </c>
      <c r="AM992" s="65" t="n">
        <f aca="false">IF(AL992="",0,MAX(0,MIN(1,(IF(BY992="L1",Parameter!$E$5,Parameter!$E$6+Parameter!$E$7)-(AL992-AH992))/AH992)))</f>
        <v>1</v>
      </c>
      <c r="AN992" s="57" t="n">
        <f aca="false">IF(LEFT(Cockpit!$I$5,1)="A",H992,IF(CA992=1,CB992,IF(LEFT(Cockpit!$I$5,1)="B",AR992,MAX(AR992,H992))))</f>
        <v>17</v>
      </c>
      <c r="AO992" s="57" t="n">
        <f aca="false">IF(BT992=1,0,ROUNDUP(AN992/BS992,0))</f>
        <v>1</v>
      </c>
      <c r="AP992" s="59" t="n">
        <f aca="false">IF(CH992&gt;0,CH992*MAX(1,AN992/X992),IF(BT992=1,IF(AN992&lt;=0,0,BW992*MAX(1,IF(H992&gt;0,AN992/H992,1))),IF(R992&gt;0,AO992/R992,0))/MAX(0.1,N(Parameter!$M$21)))</f>
        <v>0.00505050505050505</v>
      </c>
      <c r="AQ992" s="57" t="n">
        <f aca="false">AN992*G992</f>
        <v>744.26</v>
      </c>
      <c r="AR992" s="57" t="n">
        <f aca="false">ROUNDUP(MAX(J992/IF(BZ992&gt;0,BZ992,MAX(0.1,N(Cockpit!$I$6))),CC992)/BS992,0)*BS992</f>
        <v>17</v>
      </c>
      <c r="AS992" s="58" t="n">
        <f aca="false">IF(AP992&gt;0,J992/AP992,-1)</f>
        <v>792</v>
      </c>
      <c r="AT992" s="58" t="n">
        <f aca="false">IF(AND(OR(BY992="L1",BY992="L23"),AP992&gt;0),SUMIFS($AP$7:$AP$1843,$BY$7:$BY$1843,BY992,$AS$7:$AS$1843,"&gt;"&amp;AS992)+SUMIFS($AP$7:$AP$1843,$BY$7:$BY$1843,BY992,$AS$7:$AS$1843,AS992,$BQ$7:$BQ$1843,"&lt;="&amp;BQ992),"")</f>
        <v>26.5829363872842</v>
      </c>
      <c r="AU992" s="65" t="n">
        <f aca="false">IF(AT992="",0,MAX(0,MIN(1,(IF(BY992="L1",Parameter!$E$5,Parameter!$E$6+Parameter!$E$7)-(AT992-AP992))/AP992)))</f>
        <v>1</v>
      </c>
      <c r="AV992" s="57" t="n">
        <f aca="false">IF(LEFT(Cockpit!$O$5,1)="A",H992,IF(CA992=1,CB992,IF(LEFT(Cockpit!$O$5,1)="B",AZ992,MAX(AZ992,H992))))</f>
        <v>17</v>
      </c>
      <c r="AW992" s="57" t="n">
        <f aca="false">IF(BT992=1,0,ROUNDUP(AV992/BS992,0))</f>
        <v>1</v>
      </c>
      <c r="AX992" s="59" t="n">
        <f aca="false">IF(CH992&gt;0,CH992*MAX(1,AV992/X992),IF(BT992=1,IF(AV992&lt;=0,0,BW992*MAX(1,IF(H992&gt;0,AV992/H992,1))),IF(R992&gt;0,AW992/R992,0))/MAX(0.1,N(Parameter!$M$21)))</f>
        <v>0.00505050505050505</v>
      </c>
      <c r="AY992" s="57" t="n">
        <f aca="false">AV992*G992</f>
        <v>744.26</v>
      </c>
      <c r="AZ992" s="57" t="n">
        <f aca="false">ROUNDUP(MAX(J992/IF(BZ992&gt;0,BZ992,MAX(0.1,N(Cockpit!$O$6))),CC992)/BS992,0)*BS992</f>
        <v>17</v>
      </c>
      <c r="BA992" s="58" t="n">
        <f aca="false">IF(AX992&gt;0,J992/AX992,-1)</f>
        <v>792</v>
      </c>
      <c r="BB992" s="58" t="n">
        <f aca="false">IF(AND(OR(BY992="L1",BY992="L23"),AX992&gt;0),SUMIFS($AX$7:$AX$1843,$BY$7:$BY$1843,BY992,$BA$7:$BA$1843,"&gt;"&amp;BA992)+SUMIFS($AX$7:$AX$1843,$BY$7:$BY$1843,BY992,$BA$7:$BA$1843,BA992,$BQ$7:$BQ$1843,"&lt;="&amp;BQ992),"")</f>
        <v>26.0345680889159</v>
      </c>
      <c r="BC992" s="65" t="n">
        <f aca="false">IF(BB992="",0,MAX(0,MIN(1,(IF(BY992="L1",Parameter!$E$5,Parameter!$E$6+Parameter!$E$7)-(BB992-AX992))/AX992)))</f>
        <v>1</v>
      </c>
      <c r="BD992" s="55" t="str">
        <f aca="false">IF(AH992&lt;=0,"",IF(BY992="Aussen","Aussenlager",IF(BY992="-","Nicht im Lift",IF(AM992&gt;=1,"Lift",IF(AM992&lt;=0,"Aussenlager","teilweise")))))</f>
        <v>Lift</v>
      </c>
      <c r="BE992" s="55" t="str">
        <f aca="false">IF(AP992&lt;=0,"",IF(BY992="Aussen","Aussenlager",IF(BY992="-","Nicht im Lift",IF(AU992&gt;=1,"Lift",IF(AU992&lt;=0,"Aussenlager","teilweise")))))</f>
        <v>Lift</v>
      </c>
      <c r="BF992" s="55" t="str">
        <f aca="false">IF(AX992&lt;=0,"",IF(BY992="Aussen","Aussenlager",IF(BY992="-","Nicht im Lift",IF(BC992&gt;=1,"Lift",IF(BC992&lt;=0,"Aussenlager","teilweise")))))</f>
        <v>Lift</v>
      </c>
      <c r="BG992" s="55" t="str">
        <f aca="false">IF(A992="","",IF(BP992=1,"Neu; ","")&amp;IF(AND(BP992=0,BK992&lt;0),"negativer Bestand (Export "&amp;BK992&amp;"); ","")&amp;IF(J992&lt;=0,"Kein Verbrauch; ","")&amp;IF(CH992&gt;0,"Lift "&amp;W992&amp;" lt. Liftbericht (Fach "&amp;X992&amp;" Stk); ",IF(BU992=1,"Gebinde geschätzt ("&amp;T992&amp;"); ",IF(BT992=1,"Lose – Tablare geschätzt; ","")))&amp;IF(H992&gt;AR992,"Überbestand "&amp;ROUND(H992-AR992,0)&amp;" Stk / CHF "&amp;ROUND((H992-AR992)*G992,0)&amp;"; ","")&amp;IF(AND(CA992=1,CB992&lt;CC992),"MAX &lt; MB+LG; ","")&amp;IF(AND(CG992&gt;0,CF992*10&gt;CG992),"zu hoch für Tablar; ","")&amp;IF(AND(BP992=0,OR(CA992=1,AA992&lt;&gt;"",U992&lt;&gt;"",V992&lt;&gt;"",AB992&lt;&gt;"")),"manuell übersteuert; ","")&amp;IF(AND(BT992=0,R992=0),"Gebinde unbekannt / Stellmass fehlt; ","")&amp;IF(AND(BT992=0,N(V992)&lt;=0,N(Q992)&lt;=0),"Menge pro Gebinde fehlt (Ist = 1 Gebinde); ","")&amp;BO992)</f>
        <v>negativer Bestand (Export -2); </v>
      </c>
      <c r="BH992" s="55"/>
      <c r="BI992" s="55"/>
      <c r="BJ992" s="62"/>
      <c r="BK992" s="57" t="n">
        <v>-2</v>
      </c>
      <c r="BL992" s="57" t="n">
        <v>15</v>
      </c>
      <c r="BM992" s="56" t="n">
        <v>-87.56</v>
      </c>
      <c r="BN992" s="57" t="n">
        <v>4</v>
      </c>
      <c r="BO992" s="55"/>
      <c r="BP992" s="60" t="n">
        <v>0</v>
      </c>
      <c r="BQ992" s="60" t="n">
        <v>992</v>
      </c>
      <c r="BR992" s="55" t="str">
        <f aca="false">IF(U992&lt;&gt;"",UPPER(TRIM(U992)),IF(BU992=1,UPPER(VLOOKUP(T992,Parameter!$I$27:$K$29,2,0)),IF(P992="","LOSE",P992)))</f>
        <v>S22</v>
      </c>
      <c r="BS992" s="57" t="n">
        <f aca="false">IF(BR992="LOSE",1,IF(N(V992)&gt;0,V992,IF(BU992=1,MAX(1,N(VLOOKUP(T992,Parameter!$I$27:$K$29,3,0)),H992,N(N992)),IF(N(Q992)&gt;0,Q992,MAX(1,H992)))))</f>
        <v>17</v>
      </c>
      <c r="BT992" s="60" t="n">
        <f aca="false">IF(BR992="LOSE",1,0)</f>
        <v>0</v>
      </c>
      <c r="BU992" s="60" t="n">
        <f aca="false">IF(AND(U992="",OR(P992="",P992="LOSE"),T992&lt;&gt;"",N(S992)&lt;=0,ISNUMBER(MATCH(T992,Parameter!$I$27:$I$29,0))),1,0)</f>
        <v>0</v>
      </c>
      <c r="BV992" s="55" t="str">
        <f aca="false">IF(AND(Parameter!$B$19="Ja",E992&lt;&gt;"",ISNUMBER(MATCH(E992,Parameter!$I$35:$I$52,0))),VLOOKUP(E992,Parameter!$I$35:$J$52,2,0),IFERROR(VLOOKUP(D992,Parameter!$A$35:$C$64,2,0),"Nein"))</f>
        <v>2+3</v>
      </c>
      <c r="BW992" s="59" t="n">
        <f aca="false">IF(BT992=0,0,IF(N(S992)&gt;0,S992,IFERROR(VLOOKUP(D992,Parameter!$A$35:$C$64,3,0)+0,0)))</f>
        <v>0</v>
      </c>
      <c r="BX992" s="55" t="n">
        <f aca="false">IF(AA992&lt;&gt;"",AA992,Z992)</f>
        <v>3</v>
      </c>
      <c r="BY992" s="55" t="str">
        <f aca="false">IF(BX992=1,"L1",IF(OR(BX992=2,BX992=3),"L23",IF(BX992="Aussen","Aussen","-")))</f>
        <v>L23</v>
      </c>
      <c r="BZ992" s="66" t="n">
        <f aca="false">IF(N(AB992)&gt;0,AB992,0)</f>
        <v>0</v>
      </c>
      <c r="CA992" s="60" t="n">
        <f aca="false">IF(ISNUMBER(AE992),1,0)</f>
        <v>0</v>
      </c>
      <c r="CB992" s="57" t="n">
        <f aca="false">N(AE992)</f>
        <v>0</v>
      </c>
      <c r="CC992" s="57" t="n">
        <f aca="false">N(M992)+N(N992)</f>
        <v>5</v>
      </c>
      <c r="CD992" s="57" t="n">
        <f aca="false">ROUNDUP(H992/BS992,0)</f>
        <v>1</v>
      </c>
      <c r="CE992" s="57" t="n">
        <f aca="false">ROUNDUP(CB992/BS992,0)</f>
        <v>0</v>
      </c>
      <c r="CF992" s="60" t="n">
        <f aca="false">IF(BT992=1,0,IFERROR(VLOOKUP(BR992,'Gebinde-Kategorie'!$A$5:$M$45,5,0)+0,0))</f>
        <v>8</v>
      </c>
      <c r="CG992" s="60" t="n">
        <f aca="false">IFERROR(IF(OR(BX992=1,BX992=2,BX992=3),N(INDEX(Parameter!$I$5:$I$7,BX992)),0),0)</f>
        <v>0</v>
      </c>
      <c r="CH992" s="59" t="n">
        <f aca="false">IF(AND(Parameter!$B$21="Ja",ISNUMBER(W992),N(X992)&gt;0),IFERROR(N(INDEX(Parameter!$L$5:$L$7,W992))*INDEX(Parameter!$E$5:$E$7,W992)*X992/SUMIFS($X$7:$X$1843,$W$7:$W$1843,W992),0),0)</f>
        <v>0</v>
      </c>
    </row>
    <row r="993" customFormat="false" ht="15" hidden="false" customHeight="false" outlineLevel="0" collapsed="false">
      <c r="A993" s="55" t="s">
        <v>1835</v>
      </c>
      <c r="B993" s="55" t="s">
        <v>724</v>
      </c>
      <c r="C993" s="55" t="s">
        <v>164</v>
      </c>
      <c r="D993" s="55" t="s">
        <v>184</v>
      </c>
      <c r="E993" s="55" t="s">
        <v>185</v>
      </c>
      <c r="F993" s="55" t="s">
        <v>218</v>
      </c>
      <c r="G993" s="56" t="n">
        <v>14.65</v>
      </c>
      <c r="H993" s="57" t="n">
        <f aca="false">MAX(0,IF(AND(Parameter!$B$21="Ja",ISNUMBER(Y993)),Y993,IF(Parameter!$B$20="Jahresanfang 2025 + Export",BL993+BK993,BK993)))</f>
        <v>5</v>
      </c>
      <c r="I993" s="57" t="n">
        <f aca="false">H993*G993</f>
        <v>73.25</v>
      </c>
      <c r="J993" s="57" t="n">
        <f aca="false">BN993*Parameter!$B$18</f>
        <v>6</v>
      </c>
      <c r="K993" s="58" t="n">
        <v>8</v>
      </c>
      <c r="L993" s="59" t="n">
        <v>0.75</v>
      </c>
      <c r="M993" s="57" t="n">
        <v>0</v>
      </c>
      <c r="N993" s="57" t="n">
        <v>5</v>
      </c>
      <c r="O993" s="60" t="n">
        <v>14</v>
      </c>
      <c r="P993" s="55" t="s">
        <v>421</v>
      </c>
      <c r="Q993" s="57" t="n">
        <v>19</v>
      </c>
      <c r="R993" s="60" t="n">
        <f aca="false">IF(BT993=1,0,IFERROR(VLOOKUP(BR993,'Gebinde-Kategorie'!$A$5:$M$45,13,0)+0,0))</f>
        <v>132</v>
      </c>
      <c r="S993" s="61"/>
      <c r="T993" s="62"/>
      <c r="U993" s="62"/>
      <c r="V993" s="62"/>
      <c r="W993" s="55"/>
      <c r="X993" s="57"/>
      <c r="Y993" s="57"/>
      <c r="Z993" s="55" t="n">
        <f aca="false">IF(A993="","",IF(AND(Parameter!$B$21="Ja",ISNUMBER(W993)),W993,IF(BV993="2+3",IF(ISNUMBER(SEARCH("grosser Artikel",BO993)),2,IFERROR(VLOOKUP(BR993,Parameter!$F$35:$G$64,2,0),2)),IF(OR(BV993="Nein",BV993=""),"-",BV993))))</f>
        <v>3</v>
      </c>
      <c r="AA993" s="62"/>
      <c r="AB993" s="63"/>
      <c r="AC993" s="57" t="n">
        <f aca="false">AR993</f>
        <v>19</v>
      </c>
      <c r="AD993" s="57" t="n">
        <f aca="false">MAX(AR993,H993)</f>
        <v>19</v>
      </c>
      <c r="AE993" s="64"/>
      <c r="AF993" s="57" t="n">
        <f aca="false">IF(LEFT(Cockpit!$C$5,1)="A",H993,IF(CA993=1,CB993,IF(LEFT(Cockpit!$C$5,1)="B",AJ993,MAX(AJ993,H993))))</f>
        <v>5</v>
      </c>
      <c r="AG993" s="57" t="n">
        <f aca="false">IF(BT993=1,0,ROUNDUP(AF993/BS993,0))</f>
        <v>1</v>
      </c>
      <c r="AH993" s="59" t="n">
        <f aca="false">IF(CH993&gt;0,CH993*MAX(1,AF993/X993),IF(BT993=1,IF(AF993&lt;=0,0,BW993*MAX(1,IF(H993&gt;0,AF993/H993,1))),IF(R993&gt;0,AG993/R993,0))/MAX(0.1,N(Parameter!$M$21)))</f>
        <v>0.00757575757575758</v>
      </c>
      <c r="AI993" s="57" t="n">
        <f aca="false">AF993*G993</f>
        <v>73.25</v>
      </c>
      <c r="AJ993" s="57" t="n">
        <f aca="false">ROUNDUP(MAX(J993/IF(BZ993&gt;0,BZ993,MAX(0.1,N(Cockpit!$C$6))),CC993)/BS993,0)*BS993</f>
        <v>19</v>
      </c>
      <c r="AK993" s="58" t="n">
        <f aca="false">IF(AH993&gt;0,J993/AH993,-1)</f>
        <v>792</v>
      </c>
      <c r="AL993" s="58" t="n">
        <f aca="false">IF(AND(OR(BY993="L1",BY993="L23"),AH993&gt;0),SUMIFS($AH$7:$AH$1843,$BY$7:$BY$1843,BY993,$AK$7:$AK$1843,"&gt;"&amp;AK993)+SUMIFS($AH$7:$AH$1843,$BY$7:$BY$1843,BY993,$AK$7:$AK$1843,AK993,$BQ$7:$BQ$1843,"&lt;="&amp;BQ993),"")</f>
        <v>20.8457653457653</v>
      </c>
      <c r="AM993" s="65" t="n">
        <f aca="false">IF(AL993="",0,MAX(0,MIN(1,(IF(BY993="L1",Parameter!$E$5,Parameter!$E$6+Parameter!$E$7)-(AL993-AH993))/AH993)))</f>
        <v>1</v>
      </c>
      <c r="AN993" s="57" t="n">
        <f aca="false">IF(LEFT(Cockpit!$I$5,1)="A",H993,IF(CA993=1,CB993,IF(LEFT(Cockpit!$I$5,1)="B",AR993,MAX(AR993,H993))))</f>
        <v>19</v>
      </c>
      <c r="AO993" s="57" t="n">
        <f aca="false">IF(BT993=1,0,ROUNDUP(AN993/BS993,0))</f>
        <v>1</v>
      </c>
      <c r="AP993" s="59" t="n">
        <f aca="false">IF(CH993&gt;0,CH993*MAX(1,AN993/X993),IF(BT993=1,IF(AN993&lt;=0,0,BW993*MAX(1,IF(H993&gt;0,AN993/H993,1))),IF(R993&gt;0,AO993/R993,0))/MAX(0.1,N(Parameter!$M$21)))</f>
        <v>0.00757575757575758</v>
      </c>
      <c r="AQ993" s="57" t="n">
        <f aca="false">AN993*G993</f>
        <v>278.35</v>
      </c>
      <c r="AR993" s="57" t="n">
        <f aca="false">ROUNDUP(MAX(J993/IF(BZ993&gt;0,BZ993,MAX(0.1,N(Cockpit!$I$6))),CC993)/BS993,0)*BS993</f>
        <v>19</v>
      </c>
      <c r="AS993" s="58" t="n">
        <f aca="false">IF(AP993&gt;0,J993/AP993,-1)</f>
        <v>792</v>
      </c>
      <c r="AT993" s="58" t="n">
        <f aca="false">IF(AND(OR(BY993="L1",BY993="L23"),AP993&gt;0),SUMIFS($AP$7:$AP$1843,$BY$7:$BY$1843,BY993,$AS$7:$AS$1843,"&gt;"&amp;AS993)+SUMIFS($AP$7:$AP$1843,$BY$7:$BY$1843,BY993,$AS$7:$AS$1843,AS993,$BQ$7:$BQ$1843,"&lt;="&amp;BQ993),"")</f>
        <v>26.59051214486</v>
      </c>
      <c r="AU993" s="65" t="n">
        <f aca="false">IF(AT993="",0,MAX(0,MIN(1,(IF(BY993="L1",Parameter!$E$5,Parameter!$E$6+Parameter!$E$7)-(AT993-AP993))/AP993)))</f>
        <v>1</v>
      </c>
      <c r="AV993" s="57" t="n">
        <f aca="false">IF(LEFT(Cockpit!$O$5,1)="A",H993,IF(CA993=1,CB993,IF(LEFT(Cockpit!$O$5,1)="B",AZ993,MAX(AZ993,H993))))</f>
        <v>19</v>
      </c>
      <c r="AW993" s="57" t="n">
        <f aca="false">IF(BT993=1,0,ROUNDUP(AV993/BS993,0))</f>
        <v>1</v>
      </c>
      <c r="AX993" s="59" t="n">
        <f aca="false">IF(CH993&gt;0,CH993*MAX(1,AV993/X993),IF(BT993=1,IF(AV993&lt;=0,0,BW993*MAX(1,IF(H993&gt;0,AV993/H993,1))),IF(R993&gt;0,AW993/R993,0))/MAX(0.1,N(Parameter!$M$21)))</f>
        <v>0.00757575757575758</v>
      </c>
      <c r="AY993" s="57" t="n">
        <f aca="false">AV993*G993</f>
        <v>278.35</v>
      </c>
      <c r="AZ993" s="57" t="n">
        <f aca="false">ROUNDUP(MAX(J993/IF(BZ993&gt;0,BZ993,MAX(0.1,N(Cockpit!$O$6))),CC993)/BS993,0)*BS993</f>
        <v>19</v>
      </c>
      <c r="BA993" s="58" t="n">
        <f aca="false">IF(AX993&gt;0,J993/AX993,-1)</f>
        <v>792</v>
      </c>
      <c r="BB993" s="58" t="n">
        <f aca="false">IF(AND(OR(BY993="L1",BY993="L23"),AX993&gt;0),SUMIFS($AX$7:$AX$1843,$BY$7:$BY$1843,BY993,$BA$7:$BA$1843,"&gt;"&amp;BA993)+SUMIFS($AX$7:$AX$1843,$BY$7:$BY$1843,BY993,$BA$7:$BA$1843,BA993,$BQ$7:$BQ$1843,"&lt;="&amp;BQ993),"")</f>
        <v>26.0421438464917</v>
      </c>
      <c r="BC993" s="65" t="n">
        <f aca="false">IF(BB993="",0,MAX(0,MIN(1,(IF(BY993="L1",Parameter!$E$5,Parameter!$E$6+Parameter!$E$7)-(BB993-AX993))/AX993)))</f>
        <v>1</v>
      </c>
      <c r="BD993" s="55" t="str">
        <f aca="false">IF(AH993&lt;=0,"",IF(BY993="Aussen","Aussenlager",IF(BY993="-","Nicht im Lift",IF(AM993&gt;=1,"Lift",IF(AM993&lt;=0,"Aussenlager","teilweise")))))</f>
        <v>Lift</v>
      </c>
      <c r="BE993" s="55" t="str">
        <f aca="false">IF(AP993&lt;=0,"",IF(BY993="Aussen","Aussenlager",IF(BY993="-","Nicht im Lift",IF(AU993&gt;=1,"Lift",IF(AU993&lt;=0,"Aussenlager","teilweise")))))</f>
        <v>Lift</v>
      </c>
      <c r="BF993" s="55" t="str">
        <f aca="false">IF(AX993&lt;=0,"",IF(BY993="Aussen","Aussenlager",IF(BY993="-","Nicht im Lift",IF(BC993&gt;=1,"Lift",IF(BC993&lt;=0,"Aussenlager","teilweise")))))</f>
        <v>Lift</v>
      </c>
      <c r="BG993" s="55" t="str">
        <f aca="false">IF(A993="","",IF(BP993=1,"Neu; ","")&amp;IF(AND(BP993=0,BK993&lt;0),"negativer Bestand (Export "&amp;BK993&amp;"); ","")&amp;IF(J993&lt;=0,"Kein Verbrauch; ","")&amp;IF(CH993&gt;0,"Lift "&amp;W993&amp;" lt. Liftbericht (Fach "&amp;X993&amp;" Stk); ",IF(BU993=1,"Gebinde geschätzt ("&amp;T993&amp;"); ",IF(BT993=1,"Lose – Tablare geschätzt; ","")))&amp;IF(H993&gt;AR993,"Überbestand "&amp;ROUND(H993-AR993,0)&amp;" Stk / CHF "&amp;ROUND((H993-AR993)*G993,0)&amp;"; ","")&amp;IF(AND(CA993=1,CB993&lt;CC993),"MAX &lt; MB+LG; ","")&amp;IF(AND(CG993&gt;0,CF993*10&gt;CG993),"zu hoch für Tablar; ","")&amp;IF(AND(BP993=0,OR(CA993=1,AA993&lt;&gt;"",U993&lt;&gt;"",V993&lt;&gt;"",AB993&lt;&gt;"")),"manuell übersteuert; ","")&amp;IF(AND(BT993=0,R993=0),"Gebinde unbekannt / Stellmass fehlt; ","")&amp;IF(AND(BT993=0,N(V993)&lt;=0,N(Q993)&lt;=0),"Menge pro Gebinde fehlt (Ist = 1 Gebinde); ","")&amp;BO993)</f>
        <v>negativer Bestand (Export -6); </v>
      </c>
      <c r="BH993" s="55"/>
      <c r="BI993" s="55"/>
      <c r="BJ993" s="62"/>
      <c r="BK993" s="57" t="n">
        <v>-6</v>
      </c>
      <c r="BL993" s="57" t="n">
        <v>11</v>
      </c>
      <c r="BM993" s="56" t="n">
        <v>-87.9</v>
      </c>
      <c r="BN993" s="57" t="n">
        <v>6</v>
      </c>
      <c r="BO993" s="55"/>
      <c r="BP993" s="60" t="n">
        <v>0</v>
      </c>
      <c r="BQ993" s="60" t="n">
        <v>993</v>
      </c>
      <c r="BR993" s="55" t="str">
        <f aca="false">IF(U993&lt;&gt;"",UPPER(TRIM(U993)),IF(BU993=1,UPPER(VLOOKUP(T993,Parameter!$I$27:$K$29,2,0)),IF(P993="","LOSE",P993)))</f>
        <v>S32</v>
      </c>
      <c r="BS993" s="57" t="n">
        <f aca="false">IF(BR993="LOSE",1,IF(N(V993)&gt;0,V993,IF(BU993=1,MAX(1,N(VLOOKUP(T993,Parameter!$I$27:$K$29,3,0)),H993,N(N993)),IF(N(Q993)&gt;0,Q993,MAX(1,H993)))))</f>
        <v>19</v>
      </c>
      <c r="BT993" s="60" t="n">
        <f aca="false">IF(BR993="LOSE",1,0)</f>
        <v>0</v>
      </c>
      <c r="BU993" s="60" t="n">
        <f aca="false">IF(AND(U993="",OR(P993="",P993="LOSE"),T993&lt;&gt;"",N(S993)&lt;=0,ISNUMBER(MATCH(T993,Parameter!$I$27:$I$29,0))),1,0)</f>
        <v>0</v>
      </c>
      <c r="BV993" s="55" t="str">
        <f aca="false">IF(AND(Parameter!$B$19="Ja",E993&lt;&gt;"",ISNUMBER(MATCH(E993,Parameter!$I$35:$I$52,0))),VLOOKUP(E993,Parameter!$I$35:$J$52,2,0),IFERROR(VLOOKUP(D993,Parameter!$A$35:$C$64,2,0),"Nein"))</f>
        <v>2+3</v>
      </c>
      <c r="BW993" s="59" t="n">
        <f aca="false">IF(BT993=0,0,IF(N(S993)&gt;0,S993,IFERROR(VLOOKUP(D993,Parameter!$A$35:$C$64,3,0)+0,0)))</f>
        <v>0</v>
      </c>
      <c r="BX993" s="55" t="n">
        <f aca="false">IF(AA993&lt;&gt;"",AA993,Z993)</f>
        <v>3</v>
      </c>
      <c r="BY993" s="55" t="str">
        <f aca="false">IF(BX993=1,"L1",IF(OR(BX993=2,BX993=3),"L23",IF(BX993="Aussen","Aussen","-")))</f>
        <v>L23</v>
      </c>
      <c r="BZ993" s="66" t="n">
        <f aca="false">IF(N(AB993)&gt;0,AB993,0)</f>
        <v>0</v>
      </c>
      <c r="CA993" s="60" t="n">
        <f aca="false">IF(ISNUMBER(AE993),1,0)</f>
        <v>0</v>
      </c>
      <c r="CB993" s="57" t="n">
        <f aca="false">N(AE993)</f>
        <v>0</v>
      </c>
      <c r="CC993" s="57" t="n">
        <f aca="false">N(M993)+N(N993)</f>
        <v>5</v>
      </c>
      <c r="CD993" s="57" t="n">
        <f aca="false">ROUNDUP(H993/BS993,0)</f>
        <v>1</v>
      </c>
      <c r="CE993" s="57" t="n">
        <f aca="false">ROUNDUP(CB993/BS993,0)</f>
        <v>0</v>
      </c>
      <c r="CF993" s="60" t="n">
        <f aca="false">IF(BT993=1,0,IFERROR(VLOOKUP(BR993,'Gebinde-Kategorie'!$A$5:$M$45,5,0)+0,0))</f>
        <v>8</v>
      </c>
      <c r="CG993" s="60" t="n">
        <f aca="false">IFERROR(IF(OR(BX993=1,BX993=2,BX993=3),N(INDEX(Parameter!$I$5:$I$7,BX993)),0),0)</f>
        <v>0</v>
      </c>
      <c r="CH993" s="59" t="n">
        <f aca="false">IF(AND(Parameter!$B$21="Ja",ISNUMBER(W993),N(X993)&gt;0),IFERROR(N(INDEX(Parameter!$L$5:$L$7,W993))*INDEX(Parameter!$E$5:$E$7,W993)*X993/SUMIFS($X$7:$X$1843,$W$7:$W$1843,W993),0),0)</f>
        <v>0</v>
      </c>
    </row>
    <row r="994" customFormat="false" ht="15" hidden="false" customHeight="false" outlineLevel="0" collapsed="false">
      <c r="A994" s="55" t="s">
        <v>1836</v>
      </c>
      <c r="B994" s="55" t="s">
        <v>1837</v>
      </c>
      <c r="C994" s="55" t="s">
        <v>164</v>
      </c>
      <c r="D994" s="55" t="s">
        <v>184</v>
      </c>
      <c r="E994" s="55" t="s">
        <v>185</v>
      </c>
      <c r="F994" s="55" t="s">
        <v>218</v>
      </c>
      <c r="G994" s="56" t="n">
        <v>3.58</v>
      </c>
      <c r="H994" s="57" t="n">
        <f aca="false">MAX(0,IF(AND(Parameter!$B$21="Ja",ISNUMBER(Y994)),Y994,IF(Parameter!$B$20="Jahresanfang 2025 + Export",BL994+BK994,BK994)))</f>
        <v>0</v>
      </c>
      <c r="I994" s="57" t="n">
        <f aca="false">H994*G994</f>
        <v>0</v>
      </c>
      <c r="J994" s="57" t="n">
        <f aca="false">BN994*Parameter!$B$18</f>
        <v>0</v>
      </c>
      <c r="K994" s="58" t="n">
        <v>45</v>
      </c>
      <c r="L994" s="59" t="n">
        <v>0</v>
      </c>
      <c r="M994" s="57" t="n">
        <v>0</v>
      </c>
      <c r="N994" s="57" t="n">
        <v>1</v>
      </c>
      <c r="O994" s="60" t="n">
        <v>21</v>
      </c>
      <c r="P994" s="55" t="s">
        <v>476</v>
      </c>
      <c r="Q994" s="57" t="n">
        <v>71</v>
      </c>
      <c r="R994" s="60" t="n">
        <f aca="false">IF(BT994=1,0,IFERROR(VLOOKUP(BR994,'Gebinde-Kategorie'!$A$5:$M$45,13,0)+0,0))</f>
        <v>66</v>
      </c>
      <c r="S994" s="61"/>
      <c r="T994" s="62"/>
      <c r="U994" s="62"/>
      <c r="V994" s="62"/>
      <c r="W994" s="55"/>
      <c r="X994" s="57"/>
      <c r="Y994" s="57"/>
      <c r="Z994" s="55" t="n">
        <f aca="false">IF(A994="","",IF(AND(Parameter!$B$21="Ja",ISNUMBER(W994)),W994,IF(BV994="2+3",IF(ISNUMBER(SEARCH("grosser Artikel",BO994)),2,IFERROR(VLOOKUP(BR994,Parameter!$F$35:$G$64,2,0),2)),IF(OR(BV994="Nein",BV994=""),"-",BV994))))</f>
        <v>3</v>
      </c>
      <c r="AA994" s="62"/>
      <c r="AB994" s="63"/>
      <c r="AC994" s="57" t="n">
        <f aca="false">AR994</f>
        <v>71</v>
      </c>
      <c r="AD994" s="57" t="n">
        <f aca="false">MAX(AR994,H994)</f>
        <v>71</v>
      </c>
      <c r="AE994" s="64"/>
      <c r="AF994" s="57" t="n">
        <f aca="false">IF(LEFT(Cockpit!$C$5,1)="A",H994,IF(CA994=1,CB994,IF(LEFT(Cockpit!$C$5,1)="B",AJ994,MAX(AJ994,H994))))</f>
        <v>0</v>
      </c>
      <c r="AG994" s="57" t="n">
        <f aca="false">IF(BT994=1,0,ROUNDUP(AF994/BS994,0))</f>
        <v>0</v>
      </c>
      <c r="AH994" s="59" t="n">
        <f aca="false">IF(CH994&gt;0,CH994*MAX(1,AF994/X994),IF(BT994=1,IF(AF994&lt;=0,0,BW994*MAX(1,IF(H994&gt;0,AF994/H994,1))),IF(R994&gt;0,AG994/R994,0))/MAX(0.1,N(Parameter!$M$21)))</f>
        <v>0</v>
      </c>
      <c r="AI994" s="57" t="n">
        <f aca="false">AF994*G994</f>
        <v>0</v>
      </c>
      <c r="AJ994" s="57" t="n">
        <f aca="false">ROUNDUP(MAX(J994/IF(BZ994&gt;0,BZ994,MAX(0.1,N(Cockpit!$C$6))),CC994)/BS994,0)*BS994</f>
        <v>71</v>
      </c>
      <c r="AK994" s="58" t="n">
        <f aca="false">IF(AH994&gt;0,J994/AH994,-1)</f>
        <v>-1</v>
      </c>
      <c r="AL994" s="58" t="str">
        <f aca="false">IF(AND(OR(BY994="L1",BY994="L23"),AH994&gt;0),SUMIFS($AH$7:$AH$1843,$BY$7:$BY$1843,BY994,$AK$7:$AK$1843,"&gt;"&amp;AK994)+SUMIFS($AH$7:$AH$1843,$BY$7:$BY$1843,BY994,$AK$7:$AK$1843,AK994,$BQ$7:$BQ$1843,"&lt;="&amp;BQ994),"")</f>
        <v/>
      </c>
      <c r="AM994" s="65" t="n">
        <f aca="false">IF(AL994="",0,MAX(0,MIN(1,(IF(BY994="L1",Parameter!$E$5,Parameter!$E$6+Parameter!$E$7)-(AL994-AH994))/AH994)))</f>
        <v>0</v>
      </c>
      <c r="AN994" s="57" t="n">
        <f aca="false">IF(LEFT(Cockpit!$I$5,1)="A",H994,IF(CA994=1,CB994,IF(LEFT(Cockpit!$I$5,1)="B",AR994,MAX(AR994,H994))))</f>
        <v>71</v>
      </c>
      <c r="AO994" s="57" t="n">
        <f aca="false">IF(BT994=1,0,ROUNDUP(AN994/BS994,0))</f>
        <v>1</v>
      </c>
      <c r="AP994" s="59" t="n">
        <f aca="false">IF(CH994&gt;0,CH994*MAX(1,AN994/X994),IF(BT994=1,IF(AN994&lt;=0,0,BW994*MAX(1,IF(H994&gt;0,AN994/H994,1))),IF(R994&gt;0,AO994/R994,0))/MAX(0.1,N(Parameter!$M$21)))</f>
        <v>0.0151515151515152</v>
      </c>
      <c r="AQ994" s="57" t="n">
        <f aca="false">AN994*G994</f>
        <v>254.18</v>
      </c>
      <c r="AR994" s="57" t="n">
        <f aca="false">ROUNDUP(MAX(J994/IF(BZ994&gt;0,BZ994,MAX(0.1,N(Cockpit!$I$6))),CC994)/BS994,0)*BS994</f>
        <v>71</v>
      </c>
      <c r="AS994" s="58" t="n">
        <f aca="false">IF(AP994&gt;0,J994/AP994,-1)</f>
        <v>0</v>
      </c>
      <c r="AT994" s="58" t="n">
        <f aca="false">IF(AND(OR(BY994="L1",BY994="L23"),AP994&gt;0),SUMIFS($AP$7:$AP$1843,$BY$7:$BY$1843,BY994,$AS$7:$AS$1843,"&gt;"&amp;AS994)+SUMIFS($AP$7:$AP$1843,$BY$7:$BY$1843,BY994,$AS$7:$AS$1843,AS994,$BQ$7:$BQ$1843,"&lt;="&amp;BQ994),"")</f>
        <v>119.655864666734</v>
      </c>
      <c r="AU994" s="65" t="n">
        <f aca="false">IF(AT994="",0,MAX(0,MIN(1,(IF(BY994="L1",Parameter!$E$5,Parameter!$E$6+Parameter!$E$7)-(AT994-AP994))/AP994)))</f>
        <v>0</v>
      </c>
      <c r="AV994" s="57" t="n">
        <f aca="false">IF(LEFT(Cockpit!$O$5,1)="A",H994,IF(CA994=1,CB994,IF(LEFT(Cockpit!$O$5,1)="B",AZ994,MAX(AZ994,H994))))</f>
        <v>71</v>
      </c>
      <c r="AW994" s="57" t="n">
        <f aca="false">IF(BT994=1,0,ROUNDUP(AV994/BS994,0))</f>
        <v>1</v>
      </c>
      <c r="AX994" s="59" t="n">
        <f aca="false">IF(CH994&gt;0,CH994*MAX(1,AV994/X994),IF(BT994=1,IF(AV994&lt;=0,0,BW994*MAX(1,IF(H994&gt;0,AV994/H994,1))),IF(R994&gt;0,AW994/R994,0))/MAX(0.1,N(Parameter!$M$21)))</f>
        <v>0.0151515151515152</v>
      </c>
      <c r="AY994" s="57" t="n">
        <f aca="false">AV994*G994</f>
        <v>254.18</v>
      </c>
      <c r="AZ994" s="57" t="n">
        <f aca="false">ROUNDUP(MAX(J994/IF(BZ994&gt;0,BZ994,MAX(0.1,N(Cockpit!$O$6))),CC994)/BS994,0)*BS994</f>
        <v>71</v>
      </c>
      <c r="BA994" s="58" t="n">
        <f aca="false">IF(AX994&gt;0,J994/AX994,-1)</f>
        <v>0</v>
      </c>
      <c r="BB994" s="58" t="n">
        <f aca="false">IF(AND(OR(BY994="L1",BY994="L23"),AX994&gt;0),SUMIFS($AX$7:$AX$1843,$BY$7:$BY$1843,BY994,$BA$7:$BA$1843,"&gt;"&amp;BA994)+SUMIFS($AX$7:$AX$1843,$BY$7:$BY$1843,BY994,$BA$7:$BA$1843,BA994,$BQ$7:$BQ$1843,"&lt;="&amp;BQ994),"")</f>
        <v>110.485701496571</v>
      </c>
      <c r="BC994" s="65" t="n">
        <f aca="false">IF(BB994="",0,MAX(0,MIN(1,(IF(BY994="L1",Parameter!$E$5,Parameter!$E$6+Parameter!$E$7)-(BB994-AX994))/AX994)))</f>
        <v>0</v>
      </c>
      <c r="BD994" s="55" t="str">
        <f aca="false">IF(AH994&lt;=0,"",IF(BY994="Aussen","Aussenlager",IF(BY994="-","Nicht im Lift",IF(AM994&gt;=1,"Lift",IF(AM994&lt;=0,"Aussenlager","teilweise")))))</f>
        <v/>
      </c>
      <c r="BE994" s="55" t="str">
        <f aca="false">IF(AP994&lt;=0,"",IF(BY994="Aussen","Aussenlager",IF(BY994="-","Nicht im Lift",IF(AU994&gt;=1,"Lift",IF(AU994&lt;=0,"Aussenlager","teilweise")))))</f>
        <v>Aussenlager</v>
      </c>
      <c r="BF994" s="55" t="str">
        <f aca="false">IF(AX994&lt;=0,"",IF(BY994="Aussen","Aussenlager",IF(BY994="-","Nicht im Lift",IF(BC994&gt;=1,"Lift",IF(BC994&lt;=0,"Aussenlager","teilweise")))))</f>
        <v>Aussenlager</v>
      </c>
      <c r="BG994" s="55" t="str">
        <f aca="false">IF(A994="","",IF(BP994=1,"Neu; ","")&amp;IF(AND(BP994=0,BK994&lt;0),"negativer Bestand (Export "&amp;BK994&amp;"); ","")&amp;IF(J994&lt;=0,"Kein Verbrauch; ","")&amp;IF(CH994&gt;0,"Lift "&amp;W994&amp;" lt. Liftbericht (Fach "&amp;X994&amp;" Stk); ",IF(BU994=1,"Gebinde geschätzt ("&amp;T994&amp;"); ",IF(BT994=1,"Lose – Tablare geschätzt; ","")))&amp;IF(H994&gt;AR994,"Überbestand "&amp;ROUND(H994-AR994,0)&amp;" Stk / CHF "&amp;ROUND((H994-AR994)*G994,0)&amp;"; ","")&amp;IF(AND(CA994=1,CB994&lt;CC994),"MAX &lt; MB+LG; ","")&amp;IF(AND(CG994&gt;0,CF994*10&gt;CG994),"zu hoch für Tablar; ","")&amp;IF(AND(BP994=0,OR(CA994=1,AA994&lt;&gt;"",U994&lt;&gt;"",V994&lt;&gt;"",AB994&lt;&gt;"")),"manuell übersteuert; ","")&amp;IF(AND(BT994=0,R994=0),"Gebinde unbekannt / Stellmass fehlt; ","")&amp;IF(AND(BT994=0,N(V994)&lt;=0,N(Q994)&lt;=0),"Menge pro Gebinde fehlt (Ist = 1 Gebinde); ","")&amp;BO994)</f>
        <v>negativer Bestand (Export -60); Kein Verbrauch; Überbestand</v>
      </c>
      <c r="BH994" s="55"/>
      <c r="BI994" s="55"/>
      <c r="BJ994" s="62"/>
      <c r="BK994" s="57" t="n">
        <v>-60</v>
      </c>
      <c r="BL994" s="57" t="n">
        <v>60</v>
      </c>
      <c r="BM994" s="56" t="n">
        <v>-88.2</v>
      </c>
      <c r="BN994" s="57" t="n">
        <v>0</v>
      </c>
      <c r="BO994" s="55" t="s">
        <v>392</v>
      </c>
      <c r="BP994" s="60" t="n">
        <v>0</v>
      </c>
      <c r="BQ994" s="60" t="n">
        <v>994</v>
      </c>
      <c r="BR994" s="55" t="str">
        <f aca="false">IF(U994&lt;&gt;"",UPPER(TRIM(U994)),IF(BU994=1,UPPER(VLOOKUP(T994,Parameter!$I$27:$K$29,2,0)),IF(P994="","LOSE",P994)))</f>
        <v>S33</v>
      </c>
      <c r="BS994" s="57" t="n">
        <f aca="false">IF(BR994="LOSE",1,IF(N(V994)&gt;0,V994,IF(BU994=1,MAX(1,N(VLOOKUP(T994,Parameter!$I$27:$K$29,3,0)),H994,N(N994)),IF(N(Q994)&gt;0,Q994,MAX(1,H994)))))</f>
        <v>71</v>
      </c>
      <c r="BT994" s="60" t="n">
        <f aca="false">IF(BR994="LOSE",1,0)</f>
        <v>0</v>
      </c>
      <c r="BU994" s="60" t="n">
        <f aca="false">IF(AND(U994="",OR(P994="",P994="LOSE"),T994&lt;&gt;"",N(S994)&lt;=0,ISNUMBER(MATCH(T994,Parameter!$I$27:$I$29,0))),1,0)</f>
        <v>0</v>
      </c>
      <c r="BV994" s="55" t="str">
        <f aca="false">IF(AND(Parameter!$B$19="Ja",E994&lt;&gt;"",ISNUMBER(MATCH(E994,Parameter!$I$35:$I$52,0))),VLOOKUP(E994,Parameter!$I$35:$J$52,2,0),IFERROR(VLOOKUP(D994,Parameter!$A$35:$C$64,2,0),"Nein"))</f>
        <v>2+3</v>
      </c>
      <c r="BW994" s="59" t="n">
        <f aca="false">IF(BT994=0,0,IF(N(S994)&gt;0,S994,IFERROR(VLOOKUP(D994,Parameter!$A$35:$C$64,3,0)+0,0)))</f>
        <v>0</v>
      </c>
      <c r="BX994" s="55" t="n">
        <f aca="false">IF(AA994&lt;&gt;"",AA994,Z994)</f>
        <v>3</v>
      </c>
      <c r="BY994" s="55" t="str">
        <f aca="false">IF(BX994=1,"L1",IF(OR(BX994=2,BX994=3),"L23",IF(BX994="Aussen","Aussen","-")))</f>
        <v>L23</v>
      </c>
      <c r="BZ994" s="66" t="n">
        <f aca="false">IF(N(AB994)&gt;0,AB994,0)</f>
        <v>0</v>
      </c>
      <c r="CA994" s="60" t="n">
        <f aca="false">IF(ISNUMBER(AE994),1,0)</f>
        <v>0</v>
      </c>
      <c r="CB994" s="57" t="n">
        <f aca="false">N(AE994)</f>
        <v>0</v>
      </c>
      <c r="CC994" s="57" t="n">
        <f aca="false">N(M994)+N(N994)</f>
        <v>1</v>
      </c>
      <c r="CD994" s="57" t="n">
        <f aca="false">ROUNDUP(H994/BS994,0)</f>
        <v>0</v>
      </c>
      <c r="CE994" s="57" t="n">
        <f aca="false">ROUNDUP(CB994/BS994,0)</f>
        <v>0</v>
      </c>
      <c r="CF994" s="60" t="n">
        <f aca="false">IF(BT994=1,0,IFERROR(VLOOKUP(BR994,'Gebinde-Kategorie'!$A$5:$M$45,5,0)+0,0))</f>
        <v>8</v>
      </c>
      <c r="CG994" s="60" t="n">
        <f aca="false">IFERROR(IF(OR(BX994=1,BX994=2,BX994=3),N(INDEX(Parameter!$I$5:$I$7,BX994)),0),0)</f>
        <v>0</v>
      </c>
      <c r="CH994" s="59" t="n">
        <f aca="false">IF(AND(Parameter!$B$21="Ja",ISNUMBER(W994),N(X994)&gt;0),IFERROR(N(INDEX(Parameter!$L$5:$L$7,W994))*INDEX(Parameter!$E$5:$E$7,W994)*X994/SUMIFS($X$7:$X$1843,$W$7:$W$1843,W994),0),0)</f>
        <v>0</v>
      </c>
    </row>
    <row r="995" customFormat="false" ht="15" hidden="false" customHeight="false" outlineLevel="0" collapsed="false">
      <c r="A995" s="55" t="s">
        <v>1838</v>
      </c>
      <c r="B995" s="55" t="s">
        <v>724</v>
      </c>
      <c r="C995" s="55" t="s">
        <v>164</v>
      </c>
      <c r="D995" s="55" t="s">
        <v>184</v>
      </c>
      <c r="E995" s="55" t="s">
        <v>185</v>
      </c>
      <c r="F995" s="55" t="s">
        <v>218</v>
      </c>
      <c r="G995" s="56" t="n">
        <v>13.01</v>
      </c>
      <c r="H995" s="57" t="n">
        <f aca="false">MAX(0,IF(AND(Parameter!$B$21="Ja",ISNUMBER(Y995)),Y995,IF(Parameter!$B$20="Jahresanfang 2025 + Export",BL995+BK995,BK995)))</f>
        <v>13</v>
      </c>
      <c r="I995" s="57" t="n">
        <f aca="false">H995*G995</f>
        <v>169.13</v>
      </c>
      <c r="J995" s="57" t="n">
        <f aca="false">BN995*Parameter!$B$18</f>
        <v>7</v>
      </c>
      <c r="K995" s="58" t="n">
        <v>16.5</v>
      </c>
      <c r="L995" s="59" t="n">
        <v>0.424242424242424</v>
      </c>
      <c r="M995" s="57" t="n">
        <v>0</v>
      </c>
      <c r="N995" s="57" t="n">
        <v>5</v>
      </c>
      <c r="O995" s="60" t="n">
        <v>18</v>
      </c>
      <c r="P995" s="55" t="s">
        <v>421</v>
      </c>
      <c r="Q995" s="57" t="n">
        <v>28</v>
      </c>
      <c r="R995" s="60" t="n">
        <f aca="false">IF(BT995=1,0,IFERROR(VLOOKUP(BR995,'Gebinde-Kategorie'!$A$5:$M$45,13,0)+0,0))</f>
        <v>132</v>
      </c>
      <c r="S995" s="61"/>
      <c r="T995" s="62"/>
      <c r="U995" s="62"/>
      <c r="V995" s="62"/>
      <c r="W995" s="55"/>
      <c r="X995" s="57"/>
      <c r="Y995" s="57"/>
      <c r="Z995" s="55" t="n">
        <f aca="false">IF(A995="","",IF(AND(Parameter!$B$21="Ja",ISNUMBER(W995)),W995,IF(BV995="2+3",IF(ISNUMBER(SEARCH("grosser Artikel",BO995)),2,IFERROR(VLOOKUP(BR995,Parameter!$F$35:$G$64,2,0),2)),IF(OR(BV995="Nein",BV995=""),"-",BV995))))</f>
        <v>3</v>
      </c>
      <c r="AA995" s="62"/>
      <c r="AB995" s="63"/>
      <c r="AC995" s="57" t="n">
        <f aca="false">AR995</f>
        <v>28</v>
      </c>
      <c r="AD995" s="57" t="n">
        <f aca="false">MAX(AR995,H995)</f>
        <v>28</v>
      </c>
      <c r="AE995" s="64"/>
      <c r="AF995" s="57" t="n">
        <f aca="false">IF(LEFT(Cockpit!$C$5,1)="A",H995,IF(CA995=1,CB995,IF(LEFT(Cockpit!$C$5,1)="B",AJ995,MAX(AJ995,H995))))</f>
        <v>13</v>
      </c>
      <c r="AG995" s="57" t="n">
        <f aca="false">IF(BT995=1,0,ROUNDUP(AF995/BS995,0))</f>
        <v>1</v>
      </c>
      <c r="AH995" s="59" t="n">
        <f aca="false">IF(CH995&gt;0,CH995*MAX(1,AF995/X995),IF(BT995=1,IF(AF995&lt;=0,0,BW995*MAX(1,IF(H995&gt;0,AF995/H995,1))),IF(R995&gt;0,AG995/R995,0))/MAX(0.1,N(Parameter!$M$21)))</f>
        <v>0.00757575757575758</v>
      </c>
      <c r="AI995" s="57" t="n">
        <f aca="false">AF995*G995</f>
        <v>169.13</v>
      </c>
      <c r="AJ995" s="57" t="n">
        <f aca="false">ROUNDUP(MAX(J995/IF(BZ995&gt;0,BZ995,MAX(0.1,N(Cockpit!$C$6))),CC995)/BS995,0)*BS995</f>
        <v>28</v>
      </c>
      <c r="AK995" s="58" t="n">
        <f aca="false">IF(AH995&gt;0,J995/AH995,-1)</f>
        <v>924</v>
      </c>
      <c r="AL995" s="58" t="n">
        <f aca="false">IF(AND(OR(BY995="L1",BY995="L23"),AH995&gt;0),SUMIFS($AH$7:$AH$1843,$BY$7:$BY$1843,BY995,$AK$7:$AK$1843,"&gt;"&amp;AK995)+SUMIFS($AH$7:$AH$1843,$BY$7:$BY$1843,BY995,$AK$7:$AK$1843,AK995,$BQ$7:$BQ$1843,"&lt;="&amp;BQ995),"")</f>
        <v>18.3650130063174</v>
      </c>
      <c r="AM995" s="65" t="n">
        <f aca="false">IF(AL995="",0,MAX(0,MIN(1,(IF(BY995="L1",Parameter!$E$5,Parameter!$E$6+Parameter!$E$7)-(AL995-AH995))/AH995)))</f>
        <v>1</v>
      </c>
      <c r="AN995" s="57" t="n">
        <f aca="false">IF(LEFT(Cockpit!$I$5,1)="A",H995,IF(CA995=1,CB995,IF(LEFT(Cockpit!$I$5,1)="B",AR995,MAX(AR995,H995))))</f>
        <v>28</v>
      </c>
      <c r="AO995" s="57" t="n">
        <f aca="false">IF(BT995=1,0,ROUNDUP(AN995/BS995,0))</f>
        <v>1</v>
      </c>
      <c r="AP995" s="59" t="n">
        <f aca="false">IF(CH995&gt;0,CH995*MAX(1,AN995/X995),IF(BT995=1,IF(AN995&lt;=0,0,BW995*MAX(1,IF(H995&gt;0,AN995/H995,1))),IF(R995&gt;0,AO995/R995,0))/MAX(0.1,N(Parameter!$M$21)))</f>
        <v>0.00757575757575758</v>
      </c>
      <c r="AQ995" s="57" t="n">
        <f aca="false">AN995*G995</f>
        <v>364.28</v>
      </c>
      <c r="AR995" s="57" t="n">
        <f aca="false">ROUNDUP(MAX(J995/IF(BZ995&gt;0,BZ995,MAX(0.1,N(Cockpit!$I$6))),CC995)/BS995,0)*BS995</f>
        <v>28</v>
      </c>
      <c r="AS995" s="58" t="n">
        <f aca="false">IF(AP995&gt;0,J995/AP995,-1)</f>
        <v>924</v>
      </c>
      <c r="AT995" s="58" t="n">
        <f aca="false">IF(AND(OR(BY995="L1",BY995="L23"),AP995&gt;0),SUMIFS($AP$7:$AP$1843,$BY$7:$BY$1843,BY995,$AS$7:$AS$1843,"&gt;"&amp;AS995)+SUMIFS($AP$7:$AP$1843,$BY$7:$BY$1843,BY995,$AS$7:$AS$1843,AS995,$BQ$7:$BQ$1843,"&lt;="&amp;BQ995),"")</f>
        <v>24.4274348839566</v>
      </c>
      <c r="AU995" s="65" t="n">
        <f aca="false">IF(AT995="",0,MAX(0,MIN(1,(IF(BY995="L1",Parameter!$E$5,Parameter!$E$6+Parameter!$E$7)-(AT995-AP995))/AP995)))</f>
        <v>1</v>
      </c>
      <c r="AV995" s="57" t="n">
        <f aca="false">IF(LEFT(Cockpit!$O$5,1)="A",H995,IF(CA995=1,CB995,IF(LEFT(Cockpit!$O$5,1)="B",AZ995,MAX(AZ995,H995))))</f>
        <v>28</v>
      </c>
      <c r="AW995" s="57" t="n">
        <f aca="false">IF(BT995=1,0,ROUNDUP(AV995/BS995,0))</f>
        <v>1</v>
      </c>
      <c r="AX995" s="59" t="n">
        <f aca="false">IF(CH995&gt;0,CH995*MAX(1,AV995/X995),IF(BT995=1,IF(AV995&lt;=0,0,BW995*MAX(1,IF(H995&gt;0,AV995/H995,1))),IF(R995&gt;0,AW995/R995,0))/MAX(0.1,N(Parameter!$M$21)))</f>
        <v>0.00757575757575758</v>
      </c>
      <c r="AY995" s="57" t="n">
        <f aca="false">AV995*G995</f>
        <v>364.28</v>
      </c>
      <c r="AZ995" s="57" t="n">
        <f aca="false">ROUNDUP(MAX(J995/IF(BZ995&gt;0,BZ995,MAX(0.1,N(Cockpit!$O$6))),CC995)/BS995,0)*BS995</f>
        <v>28</v>
      </c>
      <c r="BA995" s="58" t="n">
        <f aca="false">IF(AX995&gt;0,J995/AX995,-1)</f>
        <v>924</v>
      </c>
      <c r="BB995" s="58" t="n">
        <f aca="false">IF(AND(OR(BY995="L1",BY995="L23"),AX995&gt;0),SUMIFS($AX$7:$AX$1843,$BY$7:$BY$1843,BY995,$BA$7:$BA$1843,"&gt;"&amp;BA995)+SUMIFS($AX$7:$AX$1843,$BY$7:$BY$1843,BY995,$BA$7:$BA$1843,BA995,$BQ$7:$BQ$1843,"&lt;="&amp;BQ995),"")</f>
        <v>23.545733252255</v>
      </c>
      <c r="BC995" s="65" t="n">
        <f aca="false">IF(BB995="",0,MAX(0,MIN(1,(IF(BY995="L1",Parameter!$E$5,Parameter!$E$6+Parameter!$E$7)-(BB995-AX995))/AX995)))</f>
        <v>1</v>
      </c>
      <c r="BD995" s="55" t="str">
        <f aca="false">IF(AH995&lt;=0,"",IF(BY995="Aussen","Aussenlager",IF(BY995="-","Nicht im Lift",IF(AM995&gt;=1,"Lift",IF(AM995&lt;=0,"Aussenlager","teilweise")))))</f>
        <v>Lift</v>
      </c>
      <c r="BE995" s="55" t="str">
        <f aca="false">IF(AP995&lt;=0,"",IF(BY995="Aussen","Aussenlager",IF(BY995="-","Nicht im Lift",IF(AU995&gt;=1,"Lift",IF(AU995&lt;=0,"Aussenlager","teilweise")))))</f>
        <v>Lift</v>
      </c>
      <c r="BF995" s="55" t="str">
        <f aca="false">IF(AX995&lt;=0,"",IF(BY995="Aussen","Aussenlager",IF(BY995="-","Nicht im Lift",IF(BC995&gt;=1,"Lift",IF(BC995&lt;=0,"Aussenlager","teilweise")))))</f>
        <v>Lift</v>
      </c>
      <c r="BG995" s="55" t="str">
        <f aca="false">IF(A995="","",IF(BP995=1,"Neu; ","")&amp;IF(AND(BP995=0,BK995&lt;0),"negativer Bestand (Export "&amp;BK995&amp;"); ","")&amp;IF(J995&lt;=0,"Kein Verbrauch; ","")&amp;IF(CH995&gt;0,"Lift "&amp;W995&amp;" lt. Liftbericht (Fach "&amp;X995&amp;" Stk); ",IF(BU995=1,"Gebinde geschätzt ("&amp;T995&amp;"); ",IF(BT995=1,"Lose – Tablare geschätzt; ","")))&amp;IF(H995&gt;AR995,"Überbestand "&amp;ROUND(H995-AR995,0)&amp;" Stk / CHF "&amp;ROUND((H995-AR995)*G995,0)&amp;"; ","")&amp;IF(AND(CA995=1,CB995&lt;CC995),"MAX &lt; MB+LG; ","")&amp;IF(AND(CG995&gt;0,CF995*10&gt;CG995),"zu hoch für Tablar; ","")&amp;IF(AND(BP995=0,OR(CA995=1,AA995&lt;&gt;"",U995&lt;&gt;"",V995&lt;&gt;"",AB995&lt;&gt;"")),"manuell übersteuert; ","")&amp;IF(AND(BT995=0,R995=0),"Gebinde unbekannt / Stellmass fehlt; ","")&amp;IF(AND(BT995=0,N(V995)&lt;=0,N(Q995)&lt;=0),"Menge pro Gebinde fehlt (Ist = 1 Gebinde); ","")&amp;BO995)</f>
        <v>negativer Bestand (Export -7); </v>
      </c>
      <c r="BH995" s="55"/>
      <c r="BI995" s="55"/>
      <c r="BJ995" s="62"/>
      <c r="BK995" s="57" t="n">
        <v>-7</v>
      </c>
      <c r="BL995" s="57" t="n">
        <v>20</v>
      </c>
      <c r="BM995" s="56" t="n">
        <v>-91.07</v>
      </c>
      <c r="BN995" s="57" t="n">
        <v>7</v>
      </c>
      <c r="BO995" s="55"/>
      <c r="BP995" s="60" t="n">
        <v>0</v>
      </c>
      <c r="BQ995" s="60" t="n">
        <v>995</v>
      </c>
      <c r="BR995" s="55" t="str">
        <f aca="false">IF(U995&lt;&gt;"",UPPER(TRIM(U995)),IF(BU995=1,UPPER(VLOOKUP(T995,Parameter!$I$27:$K$29,2,0)),IF(P995="","LOSE",P995)))</f>
        <v>S32</v>
      </c>
      <c r="BS995" s="57" t="n">
        <f aca="false">IF(BR995="LOSE",1,IF(N(V995)&gt;0,V995,IF(BU995=1,MAX(1,N(VLOOKUP(T995,Parameter!$I$27:$K$29,3,0)),H995,N(N995)),IF(N(Q995)&gt;0,Q995,MAX(1,H995)))))</f>
        <v>28</v>
      </c>
      <c r="BT995" s="60" t="n">
        <f aca="false">IF(BR995="LOSE",1,0)</f>
        <v>0</v>
      </c>
      <c r="BU995" s="60" t="n">
        <f aca="false">IF(AND(U995="",OR(P995="",P995="LOSE"),T995&lt;&gt;"",N(S995)&lt;=0,ISNUMBER(MATCH(T995,Parameter!$I$27:$I$29,0))),1,0)</f>
        <v>0</v>
      </c>
      <c r="BV995" s="55" t="str">
        <f aca="false">IF(AND(Parameter!$B$19="Ja",E995&lt;&gt;"",ISNUMBER(MATCH(E995,Parameter!$I$35:$I$52,0))),VLOOKUP(E995,Parameter!$I$35:$J$52,2,0),IFERROR(VLOOKUP(D995,Parameter!$A$35:$C$64,2,0),"Nein"))</f>
        <v>2+3</v>
      </c>
      <c r="BW995" s="59" t="n">
        <f aca="false">IF(BT995=0,0,IF(N(S995)&gt;0,S995,IFERROR(VLOOKUP(D995,Parameter!$A$35:$C$64,3,0)+0,0)))</f>
        <v>0</v>
      </c>
      <c r="BX995" s="55" t="n">
        <f aca="false">IF(AA995&lt;&gt;"",AA995,Z995)</f>
        <v>3</v>
      </c>
      <c r="BY995" s="55" t="str">
        <f aca="false">IF(BX995=1,"L1",IF(OR(BX995=2,BX995=3),"L23",IF(BX995="Aussen","Aussen","-")))</f>
        <v>L23</v>
      </c>
      <c r="BZ995" s="66" t="n">
        <f aca="false">IF(N(AB995)&gt;0,AB995,0)</f>
        <v>0</v>
      </c>
      <c r="CA995" s="60" t="n">
        <f aca="false">IF(ISNUMBER(AE995),1,0)</f>
        <v>0</v>
      </c>
      <c r="CB995" s="57" t="n">
        <f aca="false">N(AE995)</f>
        <v>0</v>
      </c>
      <c r="CC995" s="57" t="n">
        <f aca="false">N(M995)+N(N995)</f>
        <v>5</v>
      </c>
      <c r="CD995" s="57" t="n">
        <f aca="false">ROUNDUP(H995/BS995,0)</f>
        <v>1</v>
      </c>
      <c r="CE995" s="57" t="n">
        <f aca="false">ROUNDUP(CB995/BS995,0)</f>
        <v>0</v>
      </c>
      <c r="CF995" s="60" t="n">
        <f aca="false">IF(BT995=1,0,IFERROR(VLOOKUP(BR995,'Gebinde-Kategorie'!$A$5:$M$45,5,0)+0,0))</f>
        <v>8</v>
      </c>
      <c r="CG995" s="60" t="n">
        <f aca="false">IFERROR(IF(OR(BX995=1,BX995=2,BX995=3),N(INDEX(Parameter!$I$5:$I$7,BX995)),0),0)</f>
        <v>0</v>
      </c>
      <c r="CH995" s="59" t="n">
        <f aca="false">IF(AND(Parameter!$B$21="Ja",ISNUMBER(W995),N(X995)&gt;0),IFERROR(N(INDEX(Parameter!$L$5:$L$7,W995))*INDEX(Parameter!$E$5:$E$7,W995)*X995/SUMIFS($X$7:$X$1843,$W$7:$W$1843,W995),0),0)</f>
        <v>0</v>
      </c>
    </row>
    <row r="996" customFormat="false" ht="15" hidden="false" customHeight="false" outlineLevel="0" collapsed="false">
      <c r="A996" s="55" t="s">
        <v>1839</v>
      </c>
      <c r="B996" s="55" t="s">
        <v>734</v>
      </c>
      <c r="C996" s="55" t="s">
        <v>164</v>
      </c>
      <c r="D996" s="55" t="s">
        <v>184</v>
      </c>
      <c r="E996" s="55"/>
      <c r="F996" s="55" t="s">
        <v>218</v>
      </c>
      <c r="G996" s="56" t="n">
        <v>42.17</v>
      </c>
      <c r="H996" s="57" t="n">
        <f aca="false">MAX(0,IF(AND(Parameter!$B$21="Ja",ISNUMBER(Y996)),Y996,IF(Parameter!$B$20="Jahresanfang 2025 + Export",BL996+BK996,BK996)))</f>
        <v>4</v>
      </c>
      <c r="I996" s="57" t="n">
        <f aca="false">H996*G996</f>
        <v>168.68</v>
      </c>
      <c r="J996" s="57" t="n">
        <f aca="false">BN996*Parameter!$B$18</f>
        <v>5</v>
      </c>
      <c r="K996" s="58" t="n">
        <v>3.5</v>
      </c>
      <c r="L996" s="59" t="n">
        <v>1.42857142857143</v>
      </c>
      <c r="M996" s="57" t="n">
        <v>0</v>
      </c>
      <c r="N996" s="57" t="n">
        <v>5</v>
      </c>
      <c r="O996" s="60" t="n">
        <v>28</v>
      </c>
      <c r="P996" s="55" t="s">
        <v>328</v>
      </c>
      <c r="Q996" s="57" t="n">
        <v>20</v>
      </c>
      <c r="R996" s="60" t="n">
        <f aca="false">IF(BT996=1,0,IFERROR(VLOOKUP(BR996,'Gebinde-Kategorie'!$A$5:$M$45,13,0)+0,0))</f>
        <v>52</v>
      </c>
      <c r="S996" s="61"/>
      <c r="T996" s="62"/>
      <c r="U996" s="62"/>
      <c r="V996" s="62"/>
      <c r="W996" s="55"/>
      <c r="X996" s="57"/>
      <c r="Y996" s="57"/>
      <c r="Z996" s="55" t="n">
        <f aca="false">IF(A996="","",IF(AND(Parameter!$B$21="Ja",ISNUMBER(W996)),W996,IF(BV996="2+3",IF(ISNUMBER(SEARCH("grosser Artikel",BO996)),2,IFERROR(VLOOKUP(BR996,Parameter!$F$35:$G$64,2,0),2)),IF(OR(BV996="Nein",BV996=""),"-",BV996))))</f>
        <v>3</v>
      </c>
      <c r="AA996" s="62"/>
      <c r="AB996" s="63"/>
      <c r="AC996" s="57" t="n">
        <f aca="false">AR996</f>
        <v>20</v>
      </c>
      <c r="AD996" s="57" t="n">
        <f aca="false">MAX(AR996,H996)</f>
        <v>20</v>
      </c>
      <c r="AE996" s="64"/>
      <c r="AF996" s="57" t="n">
        <f aca="false">IF(LEFT(Cockpit!$C$5,1)="A",H996,IF(CA996=1,CB996,IF(LEFT(Cockpit!$C$5,1)="B",AJ996,MAX(AJ996,H996))))</f>
        <v>4</v>
      </c>
      <c r="AG996" s="57" t="n">
        <f aca="false">IF(BT996=1,0,ROUNDUP(AF996/BS996,0))</f>
        <v>1</v>
      </c>
      <c r="AH996" s="59" t="n">
        <f aca="false">IF(CH996&gt;0,CH996*MAX(1,AF996/X996),IF(BT996=1,IF(AF996&lt;=0,0,BW996*MAX(1,IF(H996&gt;0,AF996/H996,1))),IF(R996&gt;0,AG996/R996,0))/MAX(0.1,N(Parameter!$M$21)))</f>
        <v>0.0192307692307692</v>
      </c>
      <c r="AI996" s="57" t="n">
        <f aca="false">AF996*G996</f>
        <v>168.68</v>
      </c>
      <c r="AJ996" s="57" t="n">
        <f aca="false">ROUNDUP(MAX(J996/IF(BZ996&gt;0,BZ996,MAX(0.1,N(Cockpit!$C$6))),CC996)/BS996,0)*BS996</f>
        <v>20</v>
      </c>
      <c r="AK996" s="58" t="n">
        <f aca="false">IF(AH996&gt;0,J996/AH996,-1)</f>
        <v>260</v>
      </c>
      <c r="AL996" s="58" t="n">
        <f aca="false">IF(AND(OR(BY996="L1",BY996="L23"),AH996&gt;0),SUMIFS($AH$7:$AH$1843,$BY$7:$BY$1843,BY996,$AK$7:$AK$1843,"&gt;"&amp;AK996)+SUMIFS($AH$7:$AH$1843,$BY$7:$BY$1843,BY996,$AK$7:$AK$1843,AK996,$BQ$7:$BQ$1843,"&lt;="&amp;BQ996),"")</f>
        <v>29.4837758859498</v>
      </c>
      <c r="AM996" s="65" t="n">
        <f aca="false">IF(AL996="",0,MAX(0,MIN(1,(IF(BY996="L1",Parameter!$E$5,Parameter!$E$6+Parameter!$E$7)-(AL996-AH996))/AH996)))</f>
        <v>1</v>
      </c>
      <c r="AN996" s="57" t="n">
        <f aca="false">IF(LEFT(Cockpit!$I$5,1)="A",H996,IF(CA996=1,CB996,IF(LEFT(Cockpit!$I$5,1)="B",AR996,MAX(AR996,H996))))</f>
        <v>20</v>
      </c>
      <c r="AO996" s="57" t="n">
        <f aca="false">IF(BT996=1,0,ROUNDUP(AN996/BS996,0))</f>
        <v>1</v>
      </c>
      <c r="AP996" s="59" t="n">
        <f aca="false">IF(CH996&gt;0,CH996*MAX(1,AN996/X996),IF(BT996=1,IF(AN996&lt;=0,0,BW996*MAX(1,IF(H996&gt;0,AN996/H996,1))),IF(R996&gt;0,AO996/R996,0))/MAX(0.1,N(Parameter!$M$21)))</f>
        <v>0.0192307692307692</v>
      </c>
      <c r="AQ996" s="57" t="n">
        <f aca="false">AN996*G996</f>
        <v>843.4</v>
      </c>
      <c r="AR996" s="57" t="n">
        <f aca="false">ROUNDUP(MAX(J996/IF(BZ996&gt;0,BZ996,MAX(0.1,N(Cockpit!$I$6))),CC996)/BS996,0)*BS996</f>
        <v>20</v>
      </c>
      <c r="AS996" s="58" t="n">
        <f aca="false">IF(AP996&gt;0,J996/AP996,-1)</f>
        <v>260</v>
      </c>
      <c r="AT996" s="58" t="n">
        <f aca="false">IF(AND(OR(BY996="L1",BY996="L23"),AP996&gt;0),SUMIFS($AP$7:$AP$1843,$BY$7:$BY$1843,BY996,$AS$7:$AS$1843,"&gt;"&amp;AS996)+SUMIFS($AP$7:$AP$1843,$BY$7:$BY$1843,BY996,$AS$7:$AS$1843,AS996,$BQ$7:$BQ$1843,"&lt;="&amp;BQ996),"")</f>
        <v>42.5005574136009</v>
      </c>
      <c r="AU996" s="65" t="n">
        <f aca="false">IF(AT996="",0,MAX(0,MIN(1,(IF(BY996="L1",Parameter!$E$5,Parameter!$E$6+Parameter!$E$7)-(AT996-AP996))/AP996)))</f>
        <v>1</v>
      </c>
      <c r="AV996" s="57" t="n">
        <f aca="false">IF(LEFT(Cockpit!$O$5,1)="A",H996,IF(CA996=1,CB996,IF(LEFT(Cockpit!$O$5,1)="B",AZ996,MAX(AZ996,H996))))</f>
        <v>20</v>
      </c>
      <c r="AW996" s="57" t="n">
        <f aca="false">IF(BT996=1,0,ROUNDUP(AV996/BS996,0))</f>
        <v>1</v>
      </c>
      <c r="AX996" s="59" t="n">
        <f aca="false">IF(CH996&gt;0,CH996*MAX(1,AV996/X996),IF(BT996=1,IF(AV996&lt;=0,0,BW996*MAX(1,IF(H996&gt;0,AV996/H996,1))),IF(R996&gt;0,AW996/R996,0))/MAX(0.1,N(Parameter!$M$21)))</f>
        <v>0.0192307692307692</v>
      </c>
      <c r="AY996" s="57" t="n">
        <f aca="false">AV996*G996</f>
        <v>843.4</v>
      </c>
      <c r="AZ996" s="57" t="n">
        <f aca="false">ROUNDUP(MAX(J996/IF(BZ996&gt;0,BZ996,MAX(0.1,N(Cockpit!$O$6))),CC996)/BS996,0)*BS996</f>
        <v>20</v>
      </c>
      <c r="BA996" s="58" t="n">
        <f aca="false">IF(AX996&gt;0,J996/AX996,-1)</f>
        <v>260</v>
      </c>
      <c r="BB996" s="58" t="n">
        <f aca="false">IF(AND(OR(BY996="L1",BY996="L23"),AX996&gt;0),SUMIFS($AX$7:$AX$1843,$BY$7:$BY$1843,BY996,$BA$7:$BA$1843,"&gt;"&amp;BA996)+SUMIFS($AX$7:$AX$1843,$BY$7:$BY$1843,BY996,$BA$7:$BA$1843,BA996,$BQ$7:$BQ$1843,"&lt;="&amp;BQ996),"")</f>
        <v>38.8303942434377</v>
      </c>
      <c r="BC996" s="65" t="n">
        <f aca="false">IF(BB996="",0,MAX(0,MIN(1,(IF(BY996="L1",Parameter!$E$5,Parameter!$E$6+Parameter!$E$7)-(BB996-AX996))/AX996)))</f>
        <v>1</v>
      </c>
      <c r="BD996" s="55" t="str">
        <f aca="false">IF(AH996&lt;=0,"",IF(BY996="Aussen","Aussenlager",IF(BY996="-","Nicht im Lift",IF(AM996&gt;=1,"Lift",IF(AM996&lt;=0,"Aussenlager","teilweise")))))</f>
        <v>Lift</v>
      </c>
      <c r="BE996" s="55" t="str">
        <f aca="false">IF(AP996&lt;=0,"",IF(BY996="Aussen","Aussenlager",IF(BY996="-","Nicht im Lift",IF(AU996&gt;=1,"Lift",IF(AU996&lt;=0,"Aussenlager","teilweise")))))</f>
        <v>Lift</v>
      </c>
      <c r="BF996" s="55" t="str">
        <f aca="false">IF(AX996&lt;=0,"",IF(BY996="Aussen","Aussenlager",IF(BY996="-","Nicht im Lift",IF(BC996&gt;=1,"Lift",IF(BC996&lt;=0,"Aussenlager","teilweise")))))</f>
        <v>Lift</v>
      </c>
      <c r="BG996" s="55" t="str">
        <f aca="false">IF(A996="","",IF(BP996=1,"Neu; ","")&amp;IF(AND(BP996=0,BK996&lt;0),"negativer Bestand (Export "&amp;BK996&amp;"); ","")&amp;IF(J996&lt;=0,"Kein Verbrauch; ","")&amp;IF(CH996&gt;0,"Lift "&amp;W996&amp;" lt. Liftbericht (Fach "&amp;X996&amp;" Stk); ",IF(BU996=1,"Gebinde geschätzt ("&amp;T996&amp;"); ",IF(BT996=1,"Lose – Tablare geschätzt; ","")))&amp;IF(H996&gt;AR996,"Überbestand "&amp;ROUND(H996-AR996,0)&amp;" Stk / CHF "&amp;ROUND((H996-AR996)*G996,0)&amp;"; ","")&amp;IF(AND(CA996=1,CB996&lt;CC996),"MAX &lt; MB+LG; ","")&amp;IF(AND(CG996&gt;0,CF996*10&gt;CG996),"zu hoch für Tablar; ","")&amp;IF(AND(BP996=0,OR(CA996=1,AA996&lt;&gt;"",U996&lt;&gt;"",V996&lt;&gt;"",AB996&lt;&gt;"")),"manuell übersteuert; ","")&amp;IF(AND(BT996=0,R996=0),"Gebinde unbekannt / Stellmass fehlt; ","")&amp;IF(AND(BT996=0,N(V996)&lt;=0,N(Q996)&lt;=0),"Menge pro Gebinde fehlt (Ist = 1 Gebinde); ","")&amp;BO996)</f>
        <v/>
      </c>
      <c r="BH996" s="55"/>
      <c r="BI996" s="55"/>
      <c r="BJ996" s="62"/>
      <c r="BK996" s="57" t="n">
        <v>0</v>
      </c>
      <c r="BL996" s="57" t="n">
        <v>4</v>
      </c>
      <c r="BM996" s="56" t="n">
        <v>-91.72</v>
      </c>
      <c r="BN996" s="57" t="n">
        <v>5</v>
      </c>
      <c r="BO996" s="55"/>
      <c r="BP996" s="60" t="n">
        <v>0</v>
      </c>
      <c r="BQ996" s="60" t="n">
        <v>996</v>
      </c>
      <c r="BR996" s="55" t="str">
        <f aca="false">IF(U996&lt;&gt;"",UPPER(TRIM(U996)),IF(BU996=1,UPPER(VLOOKUP(T996,Parameter!$I$27:$K$29,2,0)),IF(P996="","LOSE",P996)))</f>
        <v>S41</v>
      </c>
      <c r="BS996" s="57" t="n">
        <f aca="false">IF(BR996="LOSE",1,IF(N(V996)&gt;0,V996,IF(BU996=1,MAX(1,N(VLOOKUP(T996,Parameter!$I$27:$K$29,3,0)),H996,N(N996)),IF(N(Q996)&gt;0,Q996,MAX(1,H996)))))</f>
        <v>20</v>
      </c>
      <c r="BT996" s="60" t="n">
        <f aca="false">IF(BR996="LOSE",1,0)</f>
        <v>0</v>
      </c>
      <c r="BU996" s="60" t="n">
        <f aca="false">IF(AND(U996="",OR(P996="",P996="LOSE"),T996&lt;&gt;"",N(S996)&lt;=0,ISNUMBER(MATCH(T996,Parameter!$I$27:$I$29,0))),1,0)</f>
        <v>0</v>
      </c>
      <c r="BV996" s="55" t="str">
        <f aca="false">IF(AND(Parameter!$B$19="Ja",E996&lt;&gt;"",ISNUMBER(MATCH(E996,Parameter!$I$35:$I$52,0))),VLOOKUP(E996,Parameter!$I$35:$J$52,2,0),IFERROR(VLOOKUP(D996,Parameter!$A$35:$C$64,2,0),"Nein"))</f>
        <v>2+3</v>
      </c>
      <c r="BW996" s="59" t="n">
        <f aca="false">IF(BT996=0,0,IF(N(S996)&gt;0,S996,IFERROR(VLOOKUP(D996,Parameter!$A$35:$C$64,3,0)+0,0)))</f>
        <v>0</v>
      </c>
      <c r="BX996" s="55" t="n">
        <f aca="false">IF(AA996&lt;&gt;"",AA996,Z996)</f>
        <v>3</v>
      </c>
      <c r="BY996" s="55" t="str">
        <f aca="false">IF(BX996=1,"L1",IF(OR(BX996=2,BX996=3),"L23",IF(BX996="Aussen","Aussen","-")))</f>
        <v>L23</v>
      </c>
      <c r="BZ996" s="66" t="n">
        <f aca="false">IF(N(AB996)&gt;0,AB996,0)</f>
        <v>0</v>
      </c>
      <c r="CA996" s="60" t="n">
        <f aca="false">IF(ISNUMBER(AE996),1,0)</f>
        <v>0</v>
      </c>
      <c r="CB996" s="57" t="n">
        <f aca="false">N(AE996)</f>
        <v>0</v>
      </c>
      <c r="CC996" s="57" t="n">
        <f aca="false">N(M996)+N(N996)</f>
        <v>5</v>
      </c>
      <c r="CD996" s="57" t="n">
        <f aca="false">ROUNDUP(H996/BS996,0)</f>
        <v>1</v>
      </c>
      <c r="CE996" s="57" t="n">
        <f aca="false">ROUNDUP(CB996/BS996,0)</f>
        <v>0</v>
      </c>
      <c r="CF996" s="60" t="n">
        <f aca="false">IF(BT996=1,0,IFERROR(VLOOKUP(BR996,'Gebinde-Kategorie'!$A$5:$M$45,5,0)+0,0))</f>
        <v>11</v>
      </c>
      <c r="CG996" s="60" t="n">
        <f aca="false">IFERROR(IF(OR(BX996=1,BX996=2,BX996=3),N(INDEX(Parameter!$I$5:$I$7,BX996)),0),0)</f>
        <v>0</v>
      </c>
      <c r="CH996" s="59" t="n">
        <f aca="false">IF(AND(Parameter!$B$21="Ja",ISNUMBER(W996),N(X996)&gt;0),IFERROR(N(INDEX(Parameter!$L$5:$L$7,W996))*INDEX(Parameter!$E$5:$E$7,W996)*X996/SUMIFS($X$7:$X$1843,$W$7:$W$1843,W996),0),0)</f>
        <v>0</v>
      </c>
    </row>
    <row r="997" customFormat="false" ht="15" hidden="false" customHeight="false" outlineLevel="0" collapsed="false">
      <c r="A997" s="55" t="s">
        <v>1840</v>
      </c>
      <c r="B997" s="55" t="s">
        <v>1841</v>
      </c>
      <c r="C997" s="55" t="s">
        <v>164</v>
      </c>
      <c r="D997" s="55" t="s">
        <v>184</v>
      </c>
      <c r="E997" s="55" t="s">
        <v>185</v>
      </c>
      <c r="F997" s="55" t="s">
        <v>218</v>
      </c>
      <c r="G997" s="56" t="n">
        <v>2.13</v>
      </c>
      <c r="H997" s="57" t="n">
        <f aca="false">MAX(0,IF(AND(Parameter!$B$21="Ja",ISNUMBER(Y997)),Y997,IF(Parameter!$B$20="Jahresanfang 2025 + Export",BL997+BK997,BK997)))</f>
        <v>72</v>
      </c>
      <c r="I997" s="57" t="n">
        <f aca="false">H997*G997</f>
        <v>153.36</v>
      </c>
      <c r="J997" s="57" t="n">
        <f aca="false">BN997*Parameter!$B$18</f>
        <v>325</v>
      </c>
      <c r="K997" s="58" t="n">
        <v>112</v>
      </c>
      <c r="L997" s="59" t="n">
        <v>2.90178571428571</v>
      </c>
      <c r="M997" s="57" t="n">
        <v>18</v>
      </c>
      <c r="N997" s="57" t="n">
        <v>100</v>
      </c>
      <c r="O997" s="60" t="n">
        <v>2</v>
      </c>
      <c r="P997" s="55" t="s">
        <v>421</v>
      </c>
      <c r="Q997" s="57" t="n">
        <v>120</v>
      </c>
      <c r="R997" s="60" t="n">
        <f aca="false">IF(BT997=1,0,IFERROR(VLOOKUP(BR997,'Gebinde-Kategorie'!$A$5:$M$45,13,0)+0,0))</f>
        <v>132</v>
      </c>
      <c r="S997" s="61"/>
      <c r="T997" s="62"/>
      <c r="U997" s="62"/>
      <c r="V997" s="62"/>
      <c r="W997" s="55"/>
      <c r="X997" s="57"/>
      <c r="Y997" s="57"/>
      <c r="Z997" s="55" t="n">
        <f aca="false">IF(A997="","",IF(AND(Parameter!$B$21="Ja",ISNUMBER(W997)),W997,IF(BV997="2+3",IF(ISNUMBER(SEARCH("grosser Artikel",BO997)),2,IFERROR(VLOOKUP(BR997,Parameter!$F$35:$G$64,2,0),2)),IF(OR(BV997="Nein",BV997=""),"-",BV997))))</f>
        <v>3</v>
      </c>
      <c r="AA997" s="62"/>
      <c r="AB997" s="63"/>
      <c r="AC997" s="57" t="n">
        <f aca="false">AR997</f>
        <v>240</v>
      </c>
      <c r="AD997" s="57" t="n">
        <f aca="false">MAX(AR997,H997)</f>
        <v>240</v>
      </c>
      <c r="AE997" s="64"/>
      <c r="AF997" s="57" t="n">
        <f aca="false">IF(LEFT(Cockpit!$C$5,1)="A",H997,IF(CA997=1,CB997,IF(LEFT(Cockpit!$C$5,1)="B",AJ997,MAX(AJ997,H997))))</f>
        <v>72</v>
      </c>
      <c r="AG997" s="57" t="n">
        <f aca="false">IF(BT997=1,0,ROUNDUP(AF997/BS997,0))</f>
        <v>1</v>
      </c>
      <c r="AH997" s="59" t="n">
        <f aca="false">IF(CH997&gt;0,CH997*MAX(1,AF997/X997),IF(BT997=1,IF(AF997&lt;=0,0,BW997*MAX(1,IF(H997&gt;0,AF997/H997,1))),IF(R997&gt;0,AG997/R997,0))/MAX(0.1,N(Parameter!$M$21)))</f>
        <v>0.00757575757575758</v>
      </c>
      <c r="AI997" s="57" t="n">
        <f aca="false">AF997*G997</f>
        <v>153.36</v>
      </c>
      <c r="AJ997" s="57" t="n">
        <f aca="false">ROUNDUP(MAX(J997/IF(BZ997&gt;0,BZ997,MAX(0.1,N(Cockpit!$C$6))),CC997)/BS997,0)*BS997</f>
        <v>240</v>
      </c>
      <c r="AK997" s="58" t="n">
        <f aca="false">IF(AH997&gt;0,J997/AH997,-1)</f>
        <v>42900</v>
      </c>
      <c r="AL997" s="58" t="n">
        <f aca="false">IF(AND(OR(BY997="L1",BY997="L23"),AH997&gt;0),SUMIFS($AH$7:$AH$1843,$BY$7:$BY$1843,BY997,$AK$7:$AK$1843,"&gt;"&amp;AK997)+SUMIFS($AH$7:$AH$1843,$BY$7:$BY$1843,BY997,$AK$7:$AK$1843,AK997,$BQ$7:$BQ$1843,"&lt;="&amp;BQ997),"")</f>
        <v>1.99685821424952</v>
      </c>
      <c r="AM997" s="65" t="n">
        <f aca="false">IF(AL997="",0,MAX(0,MIN(1,(IF(BY997="L1",Parameter!$E$5,Parameter!$E$6+Parameter!$E$7)-(AL997-AH997))/AH997)))</f>
        <v>1</v>
      </c>
      <c r="AN997" s="57" t="n">
        <f aca="false">IF(LEFT(Cockpit!$I$5,1)="A",H997,IF(CA997=1,CB997,IF(LEFT(Cockpit!$I$5,1)="B",AR997,MAX(AR997,H997))))</f>
        <v>240</v>
      </c>
      <c r="AO997" s="57" t="n">
        <f aca="false">IF(BT997=1,0,ROUNDUP(AN997/BS997,0))</f>
        <v>2</v>
      </c>
      <c r="AP997" s="59" t="n">
        <f aca="false">IF(CH997&gt;0,CH997*MAX(1,AN997/X997),IF(BT997=1,IF(AN997&lt;=0,0,BW997*MAX(1,IF(H997&gt;0,AN997/H997,1))),IF(R997&gt;0,AO997/R997,0))/MAX(0.1,N(Parameter!$M$21)))</f>
        <v>0.0151515151515152</v>
      </c>
      <c r="AQ997" s="57" t="n">
        <f aca="false">AN997*G997</f>
        <v>511.2</v>
      </c>
      <c r="AR997" s="57" t="n">
        <f aca="false">ROUNDUP(MAX(J997/IF(BZ997&gt;0,BZ997,MAX(0.1,N(Cockpit!$I$6))),CC997)/BS997,0)*BS997</f>
        <v>240</v>
      </c>
      <c r="AS997" s="58" t="n">
        <f aca="false">IF(AP997&gt;0,J997/AP997,-1)</f>
        <v>21450</v>
      </c>
      <c r="AT997" s="58" t="n">
        <f aca="false">IF(AND(OR(BY997="L1",BY997="L23"),AP997&gt;0),SUMIFS($AP$7:$AP$1843,$BY$7:$BY$1843,BY997,$AS$7:$AS$1843,"&gt;"&amp;AS997)+SUMIFS($AP$7:$AP$1843,$BY$7:$BY$1843,BY997,$AS$7:$AS$1843,AS997,$BQ$7:$BQ$1843,"&lt;="&amp;BQ997),"")</f>
        <v>4.00267727441641</v>
      </c>
      <c r="AU997" s="65" t="n">
        <f aca="false">IF(AT997="",0,MAX(0,MIN(1,(IF(BY997="L1",Parameter!$E$5,Parameter!$E$6+Parameter!$E$7)-(AT997-AP997))/AP997)))</f>
        <v>1</v>
      </c>
      <c r="AV997" s="57" t="n">
        <f aca="false">IF(LEFT(Cockpit!$O$5,1)="A",H997,IF(CA997=1,CB997,IF(LEFT(Cockpit!$O$5,1)="B",AZ997,MAX(AZ997,H997))))</f>
        <v>120</v>
      </c>
      <c r="AW997" s="57" t="n">
        <f aca="false">IF(BT997=1,0,ROUNDUP(AV997/BS997,0))</f>
        <v>1</v>
      </c>
      <c r="AX997" s="59" t="n">
        <f aca="false">IF(CH997&gt;0,CH997*MAX(1,AV997/X997),IF(BT997=1,IF(AV997&lt;=0,0,BW997*MAX(1,IF(H997&gt;0,AV997/H997,1))),IF(R997&gt;0,AW997/R997,0))/MAX(0.1,N(Parameter!$M$21)))</f>
        <v>0.00757575757575758</v>
      </c>
      <c r="AY997" s="57" t="n">
        <f aca="false">AV997*G997</f>
        <v>255.6</v>
      </c>
      <c r="AZ997" s="57" t="n">
        <f aca="false">ROUNDUP(MAX(J997/IF(BZ997&gt;0,BZ997,MAX(0.1,N(Cockpit!$O$6))),CC997)/BS997,0)*BS997</f>
        <v>120</v>
      </c>
      <c r="BA997" s="58" t="n">
        <f aca="false">IF(AX997&gt;0,J997/AX997,-1)</f>
        <v>42900</v>
      </c>
      <c r="BB997" s="58" t="n">
        <f aca="false">IF(AND(OR(BY997="L1",BY997="L23"),AX997&gt;0),SUMIFS($AX$7:$AX$1843,$BY$7:$BY$1843,BY997,$BA$7:$BA$1843,"&gt;"&amp;BA997)+SUMIFS($AX$7:$AX$1843,$BY$7:$BY$1843,BY997,$BA$7:$BA$1843,BA997,$BQ$7:$BQ$1843,"&lt;="&amp;BQ997),"")</f>
        <v>2.23989898989899</v>
      </c>
      <c r="BC997" s="65" t="n">
        <f aca="false">IF(BB997="",0,MAX(0,MIN(1,(IF(BY997="L1",Parameter!$E$5,Parameter!$E$6+Parameter!$E$7)-(BB997-AX997))/AX997)))</f>
        <v>1</v>
      </c>
      <c r="BD997" s="55" t="str">
        <f aca="false">IF(AH997&lt;=0,"",IF(BY997="Aussen","Aussenlager",IF(BY997="-","Nicht im Lift",IF(AM997&gt;=1,"Lift",IF(AM997&lt;=0,"Aussenlager","teilweise")))))</f>
        <v>Lift</v>
      </c>
      <c r="BE997" s="55" t="str">
        <f aca="false">IF(AP997&lt;=0,"",IF(BY997="Aussen","Aussenlager",IF(BY997="-","Nicht im Lift",IF(AU997&gt;=1,"Lift",IF(AU997&lt;=0,"Aussenlager","teilweise")))))</f>
        <v>Lift</v>
      </c>
      <c r="BF997" s="55" t="str">
        <f aca="false">IF(AX997&lt;=0,"",IF(BY997="Aussen","Aussenlager",IF(BY997="-","Nicht im Lift",IF(BC997&gt;=1,"Lift",IF(BC997&lt;=0,"Aussenlager","teilweise")))))</f>
        <v>Lift</v>
      </c>
      <c r="BG997" s="55" t="str">
        <f aca="false">IF(A997="","",IF(BP997=1,"Neu; ","")&amp;IF(AND(BP997=0,BK997&lt;0),"negativer Bestand (Export "&amp;BK997&amp;"); ","")&amp;IF(J997&lt;=0,"Kein Verbrauch; ","")&amp;IF(CH997&gt;0,"Lift "&amp;W997&amp;" lt. Liftbericht (Fach "&amp;X997&amp;" Stk); ",IF(BU997=1,"Gebinde geschätzt ("&amp;T997&amp;"); ",IF(BT997=1,"Lose – Tablare geschätzt; ","")))&amp;IF(H997&gt;AR997,"Überbestand "&amp;ROUND(H997-AR997,0)&amp;" Stk / CHF "&amp;ROUND((H997-AR997)*G997,0)&amp;"; ","")&amp;IF(AND(CA997=1,CB997&lt;CC997),"MAX &lt; MB+LG; ","")&amp;IF(AND(CG997&gt;0,CF997*10&gt;CG997),"zu hoch für Tablar; ","")&amp;IF(AND(BP997=0,OR(CA997=1,AA997&lt;&gt;"",U997&lt;&gt;"",V997&lt;&gt;"",AB997&lt;&gt;"")),"manuell übersteuert; ","")&amp;IF(AND(BT997=0,R997=0),"Gebinde unbekannt / Stellmass fehlt; ","")&amp;IF(AND(BT997=0,N(V997)&lt;=0,N(Q997)&lt;=0),"Menge pro Gebinde fehlt (Ist = 1 Gebinde); ","")&amp;BO997)</f>
        <v>negativer Bestand (Export -44); </v>
      </c>
      <c r="BH997" s="55"/>
      <c r="BI997" s="55"/>
      <c r="BJ997" s="62"/>
      <c r="BK997" s="57" t="n">
        <v>-44</v>
      </c>
      <c r="BL997" s="57" t="n">
        <v>116</v>
      </c>
      <c r="BM997" s="56" t="n">
        <v>-93.7199999999999</v>
      </c>
      <c r="BN997" s="57" t="n">
        <v>325</v>
      </c>
      <c r="BO997" s="55"/>
      <c r="BP997" s="60" t="n">
        <v>0</v>
      </c>
      <c r="BQ997" s="60" t="n">
        <v>997</v>
      </c>
      <c r="BR997" s="55" t="str">
        <f aca="false">IF(U997&lt;&gt;"",UPPER(TRIM(U997)),IF(BU997=1,UPPER(VLOOKUP(T997,Parameter!$I$27:$K$29,2,0)),IF(P997="","LOSE",P997)))</f>
        <v>S32</v>
      </c>
      <c r="BS997" s="57" t="n">
        <f aca="false">IF(BR997="LOSE",1,IF(N(V997)&gt;0,V997,IF(BU997=1,MAX(1,N(VLOOKUP(T997,Parameter!$I$27:$K$29,3,0)),H997,N(N997)),IF(N(Q997)&gt;0,Q997,MAX(1,H997)))))</f>
        <v>120</v>
      </c>
      <c r="BT997" s="60" t="n">
        <f aca="false">IF(BR997="LOSE",1,0)</f>
        <v>0</v>
      </c>
      <c r="BU997" s="60" t="n">
        <f aca="false">IF(AND(U997="",OR(P997="",P997="LOSE"),T997&lt;&gt;"",N(S997)&lt;=0,ISNUMBER(MATCH(T997,Parameter!$I$27:$I$29,0))),1,0)</f>
        <v>0</v>
      </c>
      <c r="BV997" s="55" t="str">
        <f aca="false">IF(AND(Parameter!$B$19="Ja",E997&lt;&gt;"",ISNUMBER(MATCH(E997,Parameter!$I$35:$I$52,0))),VLOOKUP(E997,Parameter!$I$35:$J$52,2,0),IFERROR(VLOOKUP(D997,Parameter!$A$35:$C$64,2,0),"Nein"))</f>
        <v>2+3</v>
      </c>
      <c r="BW997" s="59" t="n">
        <f aca="false">IF(BT997=0,0,IF(N(S997)&gt;0,S997,IFERROR(VLOOKUP(D997,Parameter!$A$35:$C$64,3,0)+0,0)))</f>
        <v>0</v>
      </c>
      <c r="BX997" s="55" t="n">
        <f aca="false">IF(AA997&lt;&gt;"",AA997,Z997)</f>
        <v>3</v>
      </c>
      <c r="BY997" s="55" t="str">
        <f aca="false">IF(BX997=1,"L1",IF(OR(BX997=2,BX997=3),"L23",IF(BX997="Aussen","Aussen","-")))</f>
        <v>L23</v>
      </c>
      <c r="BZ997" s="66" t="n">
        <f aca="false">IF(N(AB997)&gt;0,AB997,0)</f>
        <v>0</v>
      </c>
      <c r="CA997" s="60" t="n">
        <f aca="false">IF(ISNUMBER(AE997),1,0)</f>
        <v>0</v>
      </c>
      <c r="CB997" s="57" t="n">
        <f aca="false">N(AE997)</f>
        <v>0</v>
      </c>
      <c r="CC997" s="57" t="n">
        <f aca="false">N(M997)+N(N997)</f>
        <v>118</v>
      </c>
      <c r="CD997" s="57" t="n">
        <f aca="false">ROUNDUP(H997/BS997,0)</f>
        <v>1</v>
      </c>
      <c r="CE997" s="57" t="n">
        <f aca="false">ROUNDUP(CB997/BS997,0)</f>
        <v>0</v>
      </c>
      <c r="CF997" s="60" t="n">
        <f aca="false">IF(BT997=1,0,IFERROR(VLOOKUP(BR997,'Gebinde-Kategorie'!$A$5:$M$45,5,0)+0,0))</f>
        <v>8</v>
      </c>
      <c r="CG997" s="60" t="n">
        <f aca="false">IFERROR(IF(OR(BX997=1,BX997=2,BX997=3),N(INDEX(Parameter!$I$5:$I$7,BX997)),0),0)</f>
        <v>0</v>
      </c>
      <c r="CH997" s="59" t="n">
        <f aca="false">IF(AND(Parameter!$B$21="Ja",ISNUMBER(W997),N(X997)&gt;0),IFERROR(N(INDEX(Parameter!$L$5:$L$7,W997))*INDEX(Parameter!$E$5:$E$7,W997)*X997/SUMIFS($X$7:$X$1843,$W$7:$W$1843,W997),0),0)</f>
        <v>0</v>
      </c>
    </row>
    <row r="998" customFormat="false" ht="15" hidden="false" customHeight="false" outlineLevel="0" collapsed="false">
      <c r="A998" s="55" t="s">
        <v>1842</v>
      </c>
      <c r="B998" s="55" t="s">
        <v>835</v>
      </c>
      <c r="C998" s="55" t="s">
        <v>164</v>
      </c>
      <c r="D998" s="55" t="s">
        <v>184</v>
      </c>
      <c r="E998" s="55" t="s">
        <v>185</v>
      </c>
      <c r="F998" s="55" t="s">
        <v>218</v>
      </c>
      <c r="G998" s="56" t="n">
        <v>8.57</v>
      </c>
      <c r="H998" s="57" t="n">
        <f aca="false">MAX(0,IF(AND(Parameter!$B$21="Ja",ISNUMBER(Y998)),Y998,IF(Parameter!$B$20="Jahresanfang 2025 + Export",BL998+BK998,BK998)))</f>
        <v>22</v>
      </c>
      <c r="I998" s="57" t="n">
        <f aca="false">H998*G998</f>
        <v>188.54</v>
      </c>
      <c r="J998" s="57" t="n">
        <f aca="false">BN998*Parameter!$B$18</f>
        <v>0</v>
      </c>
      <c r="K998" s="58" t="n">
        <v>27</v>
      </c>
      <c r="L998" s="59" t="n">
        <v>0</v>
      </c>
      <c r="M998" s="57" t="n">
        <v>0</v>
      </c>
      <c r="N998" s="57" t="n">
        <v>10</v>
      </c>
      <c r="O998" s="60" t="n">
        <v>28</v>
      </c>
      <c r="P998" s="55" t="s">
        <v>233</v>
      </c>
      <c r="Q998" s="57" t="n">
        <v>18</v>
      </c>
      <c r="R998" s="60" t="n">
        <f aca="false">IF(BT998=1,0,IFERROR(VLOOKUP(BR998,'Gebinde-Kategorie'!$A$5:$M$45,13,0)+0,0))</f>
        <v>26</v>
      </c>
      <c r="S998" s="61"/>
      <c r="T998" s="62"/>
      <c r="U998" s="62"/>
      <c r="V998" s="62"/>
      <c r="W998" s="55"/>
      <c r="X998" s="57"/>
      <c r="Y998" s="57"/>
      <c r="Z998" s="55" t="n">
        <f aca="false">IF(A998="","",IF(AND(Parameter!$B$21="Ja",ISNUMBER(W998)),W998,IF(BV998="2+3",IF(ISNUMBER(SEARCH("grosser Artikel",BO998)),2,IFERROR(VLOOKUP(BR998,Parameter!$F$35:$G$64,2,0),2)),IF(OR(BV998="Nein",BV998=""),"-",BV998))))</f>
        <v>3</v>
      </c>
      <c r="AA998" s="62"/>
      <c r="AB998" s="63"/>
      <c r="AC998" s="57" t="n">
        <f aca="false">AR998</f>
        <v>18</v>
      </c>
      <c r="AD998" s="57" t="n">
        <f aca="false">MAX(AR998,H998)</f>
        <v>22</v>
      </c>
      <c r="AE998" s="64"/>
      <c r="AF998" s="57" t="n">
        <f aca="false">IF(LEFT(Cockpit!$C$5,1)="A",H998,IF(CA998=1,CB998,IF(LEFT(Cockpit!$C$5,1)="B",AJ998,MAX(AJ998,H998))))</f>
        <v>22</v>
      </c>
      <c r="AG998" s="57" t="n">
        <f aca="false">IF(BT998=1,0,ROUNDUP(AF998/BS998,0))</f>
        <v>2</v>
      </c>
      <c r="AH998" s="59" t="n">
        <f aca="false">IF(CH998&gt;0,CH998*MAX(1,AF998/X998),IF(BT998=1,IF(AF998&lt;=0,0,BW998*MAX(1,IF(H998&gt;0,AF998/H998,1))),IF(R998&gt;0,AG998/R998,0))/MAX(0.1,N(Parameter!$M$21)))</f>
        <v>0.0769230769230769</v>
      </c>
      <c r="AI998" s="57" t="n">
        <f aca="false">AF998*G998</f>
        <v>188.54</v>
      </c>
      <c r="AJ998" s="57" t="n">
        <f aca="false">ROUNDUP(MAX(J998/IF(BZ998&gt;0,BZ998,MAX(0.1,N(Cockpit!$C$6))),CC998)/BS998,0)*BS998</f>
        <v>18</v>
      </c>
      <c r="AK998" s="58" t="n">
        <f aca="false">IF(AH998&gt;0,J998/AH998,-1)</f>
        <v>0</v>
      </c>
      <c r="AL998" s="58" t="n">
        <f aca="false">IF(AND(OR(BY998="L1",BY998="L23"),AH998&gt;0),SUMIFS($AH$7:$AH$1843,$BY$7:$BY$1843,BY998,$AK$7:$AK$1843,"&gt;"&amp;AK998)+SUMIFS($AH$7:$AH$1843,$BY$7:$BY$1843,BY998,$AK$7:$AK$1843,AK998,$BQ$7:$BQ$1843,"&lt;="&amp;BQ998),"")</f>
        <v>78.36968345664</v>
      </c>
      <c r="AM998" s="65" t="n">
        <f aca="false">IF(AL998="",0,MAX(0,MIN(1,(IF(BY998="L1",Parameter!$E$5,Parameter!$E$6+Parameter!$E$7)-(AL998-AH998))/AH998)))</f>
        <v>1</v>
      </c>
      <c r="AN998" s="57" t="n">
        <f aca="false">IF(LEFT(Cockpit!$I$5,1)="A",H998,IF(CA998=1,CB998,IF(LEFT(Cockpit!$I$5,1)="B",AR998,MAX(AR998,H998))))</f>
        <v>22</v>
      </c>
      <c r="AO998" s="57" t="n">
        <f aca="false">IF(BT998=1,0,ROUNDUP(AN998/BS998,0))</f>
        <v>2</v>
      </c>
      <c r="AP998" s="59" t="n">
        <f aca="false">IF(CH998&gt;0,CH998*MAX(1,AN998/X998),IF(BT998=1,IF(AN998&lt;=0,0,BW998*MAX(1,IF(H998&gt;0,AN998/H998,1))),IF(R998&gt;0,AO998/R998,0))/MAX(0.1,N(Parameter!$M$21)))</f>
        <v>0.0769230769230769</v>
      </c>
      <c r="AQ998" s="57" t="n">
        <f aca="false">AN998*G998</f>
        <v>188.54</v>
      </c>
      <c r="AR998" s="57" t="n">
        <f aca="false">ROUNDUP(MAX(J998/IF(BZ998&gt;0,BZ998,MAX(0.1,N(Cockpit!$I$6))),CC998)/BS998,0)*BS998</f>
        <v>18</v>
      </c>
      <c r="AS998" s="58" t="n">
        <f aca="false">IF(AP998&gt;0,J998/AP998,-1)</f>
        <v>0</v>
      </c>
      <c r="AT998" s="58" t="n">
        <f aca="false">IF(AND(OR(BY998="L1",BY998="L23"),AP998&gt;0),SUMIFS($AP$7:$AP$1843,$BY$7:$BY$1843,BY998,$AS$7:$AS$1843,"&gt;"&amp;AS998)+SUMIFS($AP$7:$AP$1843,$BY$7:$BY$1843,BY998,$AS$7:$AS$1843,AS998,$BQ$7:$BQ$1843,"&lt;="&amp;BQ998),"")</f>
        <v>119.732787743657</v>
      </c>
      <c r="AU998" s="65" t="n">
        <f aca="false">IF(AT998="",0,MAX(0,MIN(1,(IF(BY998="L1",Parameter!$E$5,Parameter!$E$6+Parameter!$E$7)-(AT998-AP998))/AP998)))</f>
        <v>0</v>
      </c>
      <c r="AV998" s="57" t="n">
        <f aca="false">IF(LEFT(Cockpit!$O$5,1)="A",H998,IF(CA998=1,CB998,IF(LEFT(Cockpit!$O$5,1)="B",AZ998,MAX(AZ998,H998))))</f>
        <v>22</v>
      </c>
      <c r="AW998" s="57" t="n">
        <f aca="false">IF(BT998=1,0,ROUNDUP(AV998/BS998,0))</f>
        <v>2</v>
      </c>
      <c r="AX998" s="59" t="n">
        <f aca="false">IF(CH998&gt;0,CH998*MAX(1,AV998/X998),IF(BT998=1,IF(AV998&lt;=0,0,BW998*MAX(1,IF(H998&gt;0,AV998/H998,1))),IF(R998&gt;0,AW998/R998,0))/MAX(0.1,N(Parameter!$M$21)))</f>
        <v>0.0769230769230769</v>
      </c>
      <c r="AY998" s="57" t="n">
        <f aca="false">AV998*G998</f>
        <v>188.54</v>
      </c>
      <c r="AZ998" s="57" t="n">
        <f aca="false">ROUNDUP(MAX(J998/IF(BZ998&gt;0,BZ998,MAX(0.1,N(Cockpit!$O$6))),CC998)/BS998,0)*BS998</f>
        <v>18</v>
      </c>
      <c r="BA998" s="58" t="n">
        <f aca="false">IF(AX998&gt;0,J998/AX998,-1)</f>
        <v>0</v>
      </c>
      <c r="BB998" s="58" t="n">
        <f aca="false">IF(AND(OR(BY998="L1",BY998="L23"),AX998&gt;0),SUMIFS($AX$7:$AX$1843,$BY$7:$BY$1843,BY998,$BA$7:$BA$1843,"&gt;"&amp;BA998)+SUMIFS($AX$7:$AX$1843,$BY$7:$BY$1843,BY998,$BA$7:$BA$1843,BA998,$BQ$7:$BQ$1843,"&lt;="&amp;BQ998),"")</f>
        <v>110.562624573494</v>
      </c>
      <c r="BC998" s="65" t="n">
        <f aca="false">IF(BB998="",0,MAX(0,MIN(1,(IF(BY998="L1",Parameter!$E$5,Parameter!$E$6+Parameter!$E$7)-(BB998-AX998))/AX998)))</f>
        <v>0</v>
      </c>
      <c r="BD998" s="55" t="str">
        <f aca="false">IF(AH998&lt;=0,"",IF(BY998="Aussen","Aussenlager",IF(BY998="-","Nicht im Lift",IF(AM998&gt;=1,"Lift",IF(AM998&lt;=0,"Aussenlager","teilweise")))))</f>
        <v>Lift</v>
      </c>
      <c r="BE998" s="55" t="str">
        <f aca="false">IF(AP998&lt;=0,"",IF(BY998="Aussen","Aussenlager",IF(BY998="-","Nicht im Lift",IF(AU998&gt;=1,"Lift",IF(AU998&lt;=0,"Aussenlager","teilweise")))))</f>
        <v>Aussenlager</v>
      </c>
      <c r="BF998" s="55" t="str">
        <f aca="false">IF(AX998&lt;=0,"",IF(BY998="Aussen","Aussenlager",IF(BY998="-","Nicht im Lift",IF(BC998&gt;=1,"Lift",IF(BC998&lt;=0,"Aussenlager","teilweise")))))</f>
        <v>Aussenlager</v>
      </c>
      <c r="BG998" s="55" t="str">
        <f aca="false">IF(A998="","",IF(BP998=1,"Neu; ","")&amp;IF(AND(BP998=0,BK998&lt;0),"negativer Bestand (Export "&amp;BK998&amp;"); ","")&amp;IF(J998&lt;=0,"Kein Verbrauch; ","")&amp;IF(CH998&gt;0,"Lift "&amp;W998&amp;" lt. Liftbericht (Fach "&amp;X998&amp;" Stk); ",IF(BU998=1,"Gebinde geschätzt ("&amp;T998&amp;"); ",IF(BT998=1,"Lose – Tablare geschätzt; ","")))&amp;IF(H998&gt;AR998,"Überbestand "&amp;ROUND(H998-AR998,0)&amp;" Stk / CHF "&amp;ROUND((H998-AR998)*G998,0)&amp;"; ","")&amp;IF(AND(CA998=1,CB998&lt;CC998),"MAX &lt; MB+LG; ","")&amp;IF(AND(CG998&gt;0,CF998*10&gt;CG998),"zu hoch für Tablar; ","")&amp;IF(AND(BP998=0,OR(CA998=1,AA998&lt;&gt;"",U998&lt;&gt;"",V998&lt;&gt;"",AB998&lt;&gt;"")),"manuell übersteuert; ","")&amp;IF(AND(BT998=0,R998=0),"Gebinde unbekannt / Stellmass fehlt; ","")&amp;IF(AND(BT998=0,N(V998)&lt;=0,N(Q998)&lt;=0),"Menge pro Gebinde fehlt (Ist = 1 Gebinde); ","")&amp;BO998)</f>
        <v>negativer Bestand (Export -11); Kein Verbrauch; Überbestand 4 Stk / CHF 34; </v>
      </c>
      <c r="BH998" s="55"/>
      <c r="BI998" s="55"/>
      <c r="BJ998" s="62"/>
      <c r="BK998" s="57" t="n">
        <v>-11</v>
      </c>
      <c r="BL998" s="57" t="n">
        <v>33</v>
      </c>
      <c r="BM998" s="56" t="n">
        <v>-94.27</v>
      </c>
      <c r="BN998" s="57" t="n">
        <v>0</v>
      </c>
      <c r="BO998" s="55"/>
      <c r="BP998" s="60" t="n">
        <v>0</v>
      </c>
      <c r="BQ998" s="60" t="n">
        <v>998</v>
      </c>
      <c r="BR998" s="55" t="str">
        <f aca="false">IF(U998&lt;&gt;"",UPPER(TRIM(U998)),IF(BU998=1,UPPER(VLOOKUP(T998,Parameter!$I$27:$K$29,2,0)),IF(P998="","LOSE",P998)))</f>
        <v>S52</v>
      </c>
      <c r="BS998" s="57" t="n">
        <f aca="false">IF(BR998="LOSE",1,IF(N(V998)&gt;0,V998,IF(BU998=1,MAX(1,N(VLOOKUP(T998,Parameter!$I$27:$K$29,3,0)),H998,N(N998)),IF(N(Q998)&gt;0,Q998,MAX(1,H998)))))</f>
        <v>18</v>
      </c>
      <c r="BT998" s="60" t="n">
        <f aca="false">IF(BR998="LOSE",1,0)</f>
        <v>0</v>
      </c>
      <c r="BU998" s="60" t="n">
        <f aca="false">IF(AND(U998="",OR(P998="",P998="LOSE"),T998&lt;&gt;"",N(S998)&lt;=0,ISNUMBER(MATCH(T998,Parameter!$I$27:$I$29,0))),1,0)</f>
        <v>0</v>
      </c>
      <c r="BV998" s="55" t="str">
        <f aca="false">IF(AND(Parameter!$B$19="Ja",E998&lt;&gt;"",ISNUMBER(MATCH(E998,Parameter!$I$35:$I$52,0))),VLOOKUP(E998,Parameter!$I$35:$J$52,2,0),IFERROR(VLOOKUP(D998,Parameter!$A$35:$C$64,2,0),"Nein"))</f>
        <v>2+3</v>
      </c>
      <c r="BW998" s="59" t="n">
        <f aca="false">IF(BT998=0,0,IF(N(S998)&gt;0,S998,IFERROR(VLOOKUP(D998,Parameter!$A$35:$C$64,3,0)+0,0)))</f>
        <v>0</v>
      </c>
      <c r="BX998" s="55" t="n">
        <f aca="false">IF(AA998&lt;&gt;"",AA998,Z998)</f>
        <v>3</v>
      </c>
      <c r="BY998" s="55" t="str">
        <f aca="false">IF(BX998=1,"L1",IF(OR(BX998=2,BX998=3),"L23",IF(BX998="Aussen","Aussen","-")))</f>
        <v>L23</v>
      </c>
      <c r="BZ998" s="66" t="n">
        <f aca="false">IF(N(AB998)&gt;0,AB998,0)</f>
        <v>0</v>
      </c>
      <c r="CA998" s="60" t="n">
        <f aca="false">IF(ISNUMBER(AE998),1,0)</f>
        <v>0</v>
      </c>
      <c r="CB998" s="57" t="n">
        <f aca="false">N(AE998)</f>
        <v>0</v>
      </c>
      <c r="CC998" s="57" t="n">
        <f aca="false">N(M998)+N(N998)</f>
        <v>10</v>
      </c>
      <c r="CD998" s="57" t="n">
        <f aca="false">ROUNDUP(H998/BS998,0)</f>
        <v>2</v>
      </c>
      <c r="CE998" s="57" t="n">
        <f aca="false">ROUNDUP(CB998/BS998,0)</f>
        <v>0</v>
      </c>
      <c r="CF998" s="60" t="n">
        <f aca="false">IF(BT998=1,0,IFERROR(VLOOKUP(BR998,'Gebinde-Kategorie'!$A$5:$M$45,5,0)+0,0))</f>
        <v>21</v>
      </c>
      <c r="CG998" s="60" t="n">
        <f aca="false">IFERROR(IF(OR(BX998=1,BX998=2,BX998=3),N(INDEX(Parameter!$I$5:$I$7,BX998)),0),0)</f>
        <v>0</v>
      </c>
      <c r="CH998" s="59" t="n">
        <f aca="false">IF(AND(Parameter!$B$21="Ja",ISNUMBER(W998),N(X998)&gt;0),IFERROR(N(INDEX(Parameter!$L$5:$L$7,W998))*INDEX(Parameter!$E$5:$E$7,W998)*X998/SUMIFS($X$7:$X$1843,$W$7:$W$1843,W998),0),0)</f>
        <v>0</v>
      </c>
    </row>
    <row r="999" customFormat="false" ht="15" hidden="false" customHeight="false" outlineLevel="0" collapsed="false">
      <c r="A999" s="55" t="s">
        <v>1843</v>
      </c>
      <c r="B999" s="55" t="s">
        <v>468</v>
      </c>
      <c r="C999" s="55" t="s">
        <v>164</v>
      </c>
      <c r="D999" s="55" t="s">
        <v>184</v>
      </c>
      <c r="E999" s="55" t="s">
        <v>185</v>
      </c>
      <c r="F999" s="55" t="s">
        <v>218</v>
      </c>
      <c r="G999" s="56" t="n">
        <v>0.44</v>
      </c>
      <c r="H999" s="57" t="n">
        <f aca="false">MAX(0,IF(AND(Parameter!$B$21="Ja",ISNUMBER(Y999)),Y999,IF(Parameter!$B$20="Jahresanfang 2025 + Export",BL999+BK999,BK999)))</f>
        <v>137</v>
      </c>
      <c r="I999" s="57" t="n">
        <f aca="false">H999*G999</f>
        <v>60.28</v>
      </c>
      <c r="J999" s="57" t="n">
        <f aca="false">BN999*Parameter!$B$18</f>
        <v>235</v>
      </c>
      <c r="K999" s="58" t="n">
        <v>343.5</v>
      </c>
      <c r="L999" s="59" t="n">
        <v>0.684133915574964</v>
      </c>
      <c r="M999" s="57" t="n">
        <v>9</v>
      </c>
      <c r="N999" s="57" t="n">
        <v>235</v>
      </c>
      <c r="O999" s="60" t="n">
        <v>14</v>
      </c>
      <c r="P999" s="55" t="s">
        <v>328</v>
      </c>
      <c r="Q999" s="57" t="n">
        <v>224</v>
      </c>
      <c r="R999" s="60" t="n">
        <f aca="false">IF(BT999=1,0,IFERROR(VLOOKUP(BR999,'Gebinde-Kategorie'!$A$5:$M$45,13,0)+0,0))</f>
        <v>52</v>
      </c>
      <c r="S999" s="61"/>
      <c r="T999" s="62"/>
      <c r="U999" s="62"/>
      <c r="V999" s="62"/>
      <c r="W999" s="55"/>
      <c r="X999" s="57"/>
      <c r="Y999" s="57"/>
      <c r="Z999" s="55" t="n">
        <f aca="false">IF(A999="","",IF(AND(Parameter!$B$21="Ja",ISNUMBER(W999)),W999,IF(BV999="2+3",IF(ISNUMBER(SEARCH("grosser Artikel",BO999)),2,IFERROR(VLOOKUP(BR999,Parameter!$F$35:$G$64,2,0),2)),IF(OR(BV999="Nein",BV999=""),"-",BV999))))</f>
        <v>3</v>
      </c>
      <c r="AA999" s="62"/>
      <c r="AB999" s="63"/>
      <c r="AC999" s="57" t="n">
        <f aca="false">AR999</f>
        <v>448</v>
      </c>
      <c r="AD999" s="57" t="n">
        <f aca="false">MAX(AR999,H999)</f>
        <v>448</v>
      </c>
      <c r="AE999" s="64"/>
      <c r="AF999" s="57" t="n">
        <f aca="false">IF(LEFT(Cockpit!$C$5,1)="A",H999,IF(CA999=1,CB999,IF(LEFT(Cockpit!$C$5,1)="B",AJ999,MAX(AJ999,H999))))</f>
        <v>137</v>
      </c>
      <c r="AG999" s="57" t="n">
        <f aca="false">IF(BT999=1,0,ROUNDUP(AF999/BS999,0))</f>
        <v>1</v>
      </c>
      <c r="AH999" s="59" t="n">
        <f aca="false">IF(CH999&gt;0,CH999*MAX(1,AF999/X999),IF(BT999=1,IF(AF999&lt;=0,0,BW999*MAX(1,IF(H999&gt;0,AF999/H999,1))),IF(R999&gt;0,AG999/R999,0))/MAX(0.1,N(Parameter!$M$21)))</f>
        <v>0.0192307692307692</v>
      </c>
      <c r="AI999" s="57" t="n">
        <f aca="false">AF999*G999</f>
        <v>60.28</v>
      </c>
      <c r="AJ999" s="57" t="n">
        <f aca="false">ROUNDUP(MAX(J999/IF(BZ999&gt;0,BZ999,MAX(0.1,N(Cockpit!$C$6))),CC999)/BS999,0)*BS999</f>
        <v>448</v>
      </c>
      <c r="AK999" s="58" t="n">
        <f aca="false">IF(AH999&gt;0,J999/AH999,-1)</f>
        <v>12220</v>
      </c>
      <c r="AL999" s="58" t="n">
        <f aca="false">IF(AND(OR(BY999="L1",BY999="L23"),AH999&gt;0),SUMIFS($AH$7:$AH$1843,$BY$7:$BY$1843,BY999,$AK$7:$AK$1843,"&gt;"&amp;AK999)+SUMIFS($AH$7:$AH$1843,$BY$7:$BY$1843,BY999,$AK$7:$AK$1843,AK999,$BQ$7:$BQ$1843,"&lt;="&amp;BQ999),"")</f>
        <v>4.88770649640215</v>
      </c>
      <c r="AM999" s="65" t="n">
        <f aca="false">IF(AL999="",0,MAX(0,MIN(1,(IF(BY999="L1",Parameter!$E$5,Parameter!$E$6+Parameter!$E$7)-(AL999-AH999))/AH999)))</f>
        <v>1</v>
      </c>
      <c r="AN999" s="57" t="n">
        <f aca="false">IF(LEFT(Cockpit!$I$5,1)="A",H999,IF(CA999=1,CB999,IF(LEFT(Cockpit!$I$5,1)="B",AR999,MAX(AR999,H999))))</f>
        <v>448</v>
      </c>
      <c r="AO999" s="57" t="n">
        <f aca="false">IF(BT999=1,0,ROUNDUP(AN999/BS999,0))</f>
        <v>2</v>
      </c>
      <c r="AP999" s="59" t="n">
        <f aca="false">IF(CH999&gt;0,CH999*MAX(1,AN999/X999),IF(BT999=1,IF(AN999&lt;=0,0,BW999*MAX(1,IF(H999&gt;0,AN999/H999,1))),IF(R999&gt;0,AO999/R999,0))/MAX(0.1,N(Parameter!$M$21)))</f>
        <v>0.0384615384615385</v>
      </c>
      <c r="AQ999" s="57" t="n">
        <f aca="false">AN999*G999</f>
        <v>197.12</v>
      </c>
      <c r="AR999" s="57" t="n">
        <f aca="false">ROUNDUP(MAX(J999/IF(BZ999&gt;0,BZ999,MAX(0.1,N(Cockpit!$I$6))),CC999)/BS999,0)*BS999</f>
        <v>448</v>
      </c>
      <c r="AS999" s="58" t="n">
        <f aca="false">IF(AP999&gt;0,J999/AP999,-1)</f>
        <v>6110</v>
      </c>
      <c r="AT999" s="58" t="n">
        <f aca="false">IF(AND(OR(BY999="L1",BY999="L23"),AP999&gt;0),SUMIFS($AP$7:$AP$1843,$BY$7:$BY$1843,BY999,$AS$7:$AS$1843,"&gt;"&amp;AS999)+SUMIFS($AP$7:$AP$1843,$BY$7:$BY$1843,BY999,$AS$7:$AS$1843,AS999,$BQ$7:$BQ$1843,"&lt;="&amp;BQ999),"")</f>
        <v>11.2803621499274</v>
      </c>
      <c r="AU999" s="65" t="n">
        <f aca="false">IF(AT999="",0,MAX(0,MIN(1,(IF(BY999="L1",Parameter!$E$5,Parameter!$E$6+Parameter!$E$7)-(AT999-AP999))/AP999)))</f>
        <v>1</v>
      </c>
      <c r="AV999" s="57" t="n">
        <f aca="false">IF(LEFT(Cockpit!$O$5,1)="A",H999,IF(CA999=1,CB999,IF(LEFT(Cockpit!$O$5,1)="B",AZ999,MAX(AZ999,H999))))</f>
        <v>448</v>
      </c>
      <c r="AW999" s="57" t="n">
        <f aca="false">IF(BT999=1,0,ROUNDUP(AV999/BS999,0))</f>
        <v>2</v>
      </c>
      <c r="AX999" s="59" t="n">
        <f aca="false">IF(CH999&gt;0,CH999*MAX(1,AV999/X999),IF(BT999=1,IF(AV999&lt;=0,0,BW999*MAX(1,IF(H999&gt;0,AV999/H999,1))),IF(R999&gt;0,AW999/R999,0))/MAX(0.1,N(Parameter!$M$21)))</f>
        <v>0.0384615384615385</v>
      </c>
      <c r="AY999" s="57" t="n">
        <f aca="false">AV999*G999</f>
        <v>197.12</v>
      </c>
      <c r="AZ999" s="57" t="n">
        <f aca="false">ROUNDUP(MAX(J999/IF(BZ999&gt;0,BZ999,MAX(0.1,N(Cockpit!$O$6))),CC999)/BS999,0)*BS999</f>
        <v>448</v>
      </c>
      <c r="BA999" s="58" t="n">
        <f aca="false">IF(AX999&gt;0,J999/AX999,-1)</f>
        <v>6110</v>
      </c>
      <c r="BB999" s="58" t="n">
        <f aca="false">IF(AND(OR(BY999="L1",BY999="L23"),AX999&gt;0),SUMIFS($AX$7:$AX$1843,$BY$7:$BY$1843,BY999,$BA$7:$BA$1843,"&gt;"&amp;BA999)+SUMIFS($AX$7:$AX$1843,$BY$7:$BY$1843,BY999,$BA$7:$BA$1843,BA999,$BQ$7:$BQ$1843,"&lt;="&amp;BQ999),"")</f>
        <v>9.9627630823283</v>
      </c>
      <c r="BC999" s="65" t="n">
        <f aca="false">IF(BB999="",0,MAX(0,MIN(1,(IF(BY999="L1",Parameter!$E$5,Parameter!$E$6+Parameter!$E$7)-(BB999-AX999))/AX999)))</f>
        <v>1</v>
      </c>
      <c r="BD999" s="55" t="str">
        <f aca="false">IF(AH999&lt;=0,"",IF(BY999="Aussen","Aussenlager",IF(BY999="-","Nicht im Lift",IF(AM999&gt;=1,"Lift",IF(AM999&lt;=0,"Aussenlager","teilweise")))))</f>
        <v>Lift</v>
      </c>
      <c r="BE999" s="55" t="str">
        <f aca="false">IF(AP999&lt;=0,"",IF(BY999="Aussen","Aussenlager",IF(BY999="-","Nicht im Lift",IF(AU999&gt;=1,"Lift",IF(AU999&lt;=0,"Aussenlager","teilweise")))))</f>
        <v>Lift</v>
      </c>
      <c r="BF999" s="55" t="str">
        <f aca="false">IF(AX999&lt;=0,"",IF(BY999="Aussen","Aussenlager",IF(BY999="-","Nicht im Lift",IF(BC999&gt;=1,"Lift",IF(BC999&lt;=0,"Aussenlager","teilweise")))))</f>
        <v>Lift</v>
      </c>
      <c r="BG999" s="55" t="str">
        <f aca="false">IF(A999="","",IF(BP999=1,"Neu; ","")&amp;IF(AND(BP999=0,BK999&lt;0),"negativer Bestand (Export "&amp;BK999&amp;"); ","")&amp;IF(J999&lt;=0,"Kein Verbrauch; ","")&amp;IF(CH999&gt;0,"Lift "&amp;W999&amp;" lt. Liftbericht (Fach "&amp;X999&amp;" Stk); ",IF(BU999=1,"Gebinde geschätzt ("&amp;T999&amp;"); ",IF(BT999=1,"Lose – Tablare geschätzt; ","")))&amp;IF(H999&gt;AR999,"Überbestand "&amp;ROUND(H999-AR999,0)&amp;" Stk / CHF "&amp;ROUND((H999-AR999)*G999,0)&amp;"; ","")&amp;IF(AND(CA999=1,CB999&lt;CC999),"MAX &lt; MB+LG; ","")&amp;IF(AND(CG999&gt;0,CF999*10&gt;CG999),"zu hoch für Tablar; ","")&amp;IF(AND(BP999=0,OR(CA999=1,AA999&lt;&gt;"",U999&lt;&gt;"",V999&lt;&gt;"",AB999&lt;&gt;"")),"manuell übersteuert; ","")&amp;IF(AND(BT999=0,R999=0),"Gebinde unbekannt / Stellmass fehlt; ","")&amp;IF(AND(BT999=0,N(V999)&lt;=0,N(Q999)&lt;=0),"Menge pro Gebinde fehlt (Ist = 1 Gebinde); ","")&amp;BO999)</f>
        <v>negativer Bestand (Export -224); </v>
      </c>
      <c r="BH999" s="55"/>
      <c r="BI999" s="55"/>
      <c r="BJ999" s="62"/>
      <c r="BK999" s="57" t="n">
        <v>-224</v>
      </c>
      <c r="BL999" s="57" t="n">
        <v>361</v>
      </c>
      <c r="BM999" s="56" t="n">
        <v>-95.0999999999999</v>
      </c>
      <c r="BN999" s="57" t="n">
        <v>235</v>
      </c>
      <c r="BO999" s="55"/>
      <c r="BP999" s="60" t="n">
        <v>0</v>
      </c>
      <c r="BQ999" s="60" t="n">
        <v>999</v>
      </c>
      <c r="BR999" s="55" t="str">
        <f aca="false">IF(U999&lt;&gt;"",UPPER(TRIM(U999)),IF(BU999=1,UPPER(VLOOKUP(T999,Parameter!$I$27:$K$29,2,0)),IF(P999="","LOSE",P999)))</f>
        <v>S41</v>
      </c>
      <c r="BS999" s="57" t="n">
        <f aca="false">IF(BR999="LOSE",1,IF(N(V999)&gt;0,V999,IF(BU999=1,MAX(1,N(VLOOKUP(T999,Parameter!$I$27:$K$29,3,0)),H999,N(N999)),IF(N(Q999)&gt;0,Q999,MAX(1,H999)))))</f>
        <v>224</v>
      </c>
      <c r="BT999" s="60" t="n">
        <f aca="false">IF(BR999="LOSE",1,0)</f>
        <v>0</v>
      </c>
      <c r="BU999" s="60" t="n">
        <f aca="false">IF(AND(U999="",OR(P999="",P999="LOSE"),T999&lt;&gt;"",N(S999)&lt;=0,ISNUMBER(MATCH(T999,Parameter!$I$27:$I$29,0))),1,0)</f>
        <v>0</v>
      </c>
      <c r="BV999" s="55" t="str">
        <f aca="false">IF(AND(Parameter!$B$19="Ja",E999&lt;&gt;"",ISNUMBER(MATCH(E999,Parameter!$I$35:$I$52,0))),VLOOKUP(E999,Parameter!$I$35:$J$52,2,0),IFERROR(VLOOKUP(D999,Parameter!$A$35:$C$64,2,0),"Nein"))</f>
        <v>2+3</v>
      </c>
      <c r="BW999" s="59" t="n">
        <f aca="false">IF(BT999=0,0,IF(N(S999)&gt;0,S999,IFERROR(VLOOKUP(D999,Parameter!$A$35:$C$64,3,0)+0,0)))</f>
        <v>0</v>
      </c>
      <c r="BX999" s="55" t="n">
        <f aca="false">IF(AA999&lt;&gt;"",AA999,Z999)</f>
        <v>3</v>
      </c>
      <c r="BY999" s="55" t="str">
        <f aca="false">IF(BX999=1,"L1",IF(OR(BX999=2,BX999=3),"L23",IF(BX999="Aussen","Aussen","-")))</f>
        <v>L23</v>
      </c>
      <c r="BZ999" s="66" t="n">
        <f aca="false">IF(N(AB999)&gt;0,AB999,0)</f>
        <v>0</v>
      </c>
      <c r="CA999" s="60" t="n">
        <f aca="false">IF(ISNUMBER(AE999),1,0)</f>
        <v>0</v>
      </c>
      <c r="CB999" s="57" t="n">
        <f aca="false">N(AE999)</f>
        <v>0</v>
      </c>
      <c r="CC999" s="57" t="n">
        <f aca="false">N(M999)+N(N999)</f>
        <v>244</v>
      </c>
      <c r="CD999" s="57" t="n">
        <f aca="false">ROUNDUP(H999/BS999,0)</f>
        <v>1</v>
      </c>
      <c r="CE999" s="57" t="n">
        <f aca="false">ROUNDUP(CB999/BS999,0)</f>
        <v>0</v>
      </c>
      <c r="CF999" s="60" t="n">
        <f aca="false">IF(BT999=1,0,IFERROR(VLOOKUP(BR999,'Gebinde-Kategorie'!$A$5:$M$45,5,0)+0,0))</f>
        <v>11</v>
      </c>
      <c r="CG999" s="60" t="n">
        <f aca="false">IFERROR(IF(OR(BX999=1,BX999=2,BX999=3),N(INDEX(Parameter!$I$5:$I$7,BX999)),0),0)</f>
        <v>0</v>
      </c>
      <c r="CH999" s="59" t="n">
        <f aca="false">IF(AND(Parameter!$B$21="Ja",ISNUMBER(W999),N(X999)&gt;0),IFERROR(N(INDEX(Parameter!$L$5:$L$7,W999))*INDEX(Parameter!$E$5:$E$7,W999)*X999/SUMIFS($X$7:$X$1843,$W$7:$W$1843,W999),0),0)</f>
        <v>0</v>
      </c>
    </row>
    <row r="1000" customFormat="false" ht="15" hidden="false" customHeight="false" outlineLevel="0" collapsed="false">
      <c r="A1000" s="55" t="s">
        <v>1844</v>
      </c>
      <c r="B1000" s="55" t="s">
        <v>1845</v>
      </c>
      <c r="C1000" s="55" t="s">
        <v>164</v>
      </c>
      <c r="D1000" s="55" t="s">
        <v>184</v>
      </c>
      <c r="E1000" s="55"/>
      <c r="F1000" s="55" t="s">
        <v>218</v>
      </c>
      <c r="G1000" s="56" t="n">
        <v>28.43</v>
      </c>
      <c r="H1000" s="57" t="n">
        <f aca="false">MAX(0,IF(AND(Parameter!$B$21="Ja",ISNUMBER(Y1000)),Y1000,IF(Parameter!$B$20="Jahresanfang 2025 + Export",BL1000+BK1000,BK1000)))</f>
        <v>5</v>
      </c>
      <c r="I1000" s="57" t="n">
        <f aca="false">H1000*G1000</f>
        <v>142.15</v>
      </c>
      <c r="J1000" s="57" t="n">
        <f aca="false">BN1000*Parameter!$B$18</f>
        <v>5</v>
      </c>
      <c r="K1000" s="58" t="n">
        <v>11.5</v>
      </c>
      <c r="L1000" s="59" t="n">
        <v>0.434782608695652</v>
      </c>
      <c r="M1000" s="57" t="n">
        <v>0</v>
      </c>
      <c r="N1000" s="57" t="n">
        <v>5</v>
      </c>
      <c r="O1000" s="60" t="n">
        <v>21</v>
      </c>
      <c r="P1000" s="55" t="s">
        <v>328</v>
      </c>
      <c r="Q1000" s="57" t="n">
        <v>5</v>
      </c>
      <c r="R1000" s="60" t="n">
        <f aca="false">IF(BT1000=1,0,IFERROR(VLOOKUP(BR1000,'Gebinde-Kategorie'!$A$5:$M$45,13,0)+0,0))</f>
        <v>52</v>
      </c>
      <c r="S1000" s="61"/>
      <c r="T1000" s="62"/>
      <c r="U1000" s="62"/>
      <c r="V1000" s="62"/>
      <c r="W1000" s="55"/>
      <c r="X1000" s="57"/>
      <c r="Y1000" s="57"/>
      <c r="Z1000" s="55" t="n">
        <f aca="false">IF(A1000="","",IF(AND(Parameter!$B$21="Ja",ISNUMBER(W1000)),W1000,IF(BV1000="2+3",IF(ISNUMBER(SEARCH("grosser Artikel",BO1000)),2,IFERROR(VLOOKUP(BR1000,Parameter!$F$35:$G$64,2,0),2)),IF(OR(BV1000="Nein",BV1000=""),"-",BV1000))))</f>
        <v>3</v>
      </c>
      <c r="AA1000" s="62"/>
      <c r="AB1000" s="63"/>
      <c r="AC1000" s="57" t="n">
        <f aca="false">AR1000</f>
        <v>5</v>
      </c>
      <c r="AD1000" s="57" t="n">
        <f aca="false">MAX(AR1000,H1000)</f>
        <v>5</v>
      </c>
      <c r="AE1000" s="64"/>
      <c r="AF1000" s="57" t="n">
        <f aca="false">IF(LEFT(Cockpit!$C$5,1)="A",H1000,IF(CA1000=1,CB1000,IF(LEFT(Cockpit!$C$5,1)="B",AJ1000,MAX(AJ1000,H1000))))</f>
        <v>5</v>
      </c>
      <c r="AG1000" s="57" t="n">
        <f aca="false">IF(BT1000=1,0,ROUNDUP(AF1000/BS1000,0))</f>
        <v>1</v>
      </c>
      <c r="AH1000" s="59" t="n">
        <f aca="false">IF(CH1000&gt;0,CH1000*MAX(1,AF1000/X1000),IF(BT1000=1,IF(AF1000&lt;=0,0,BW1000*MAX(1,IF(H1000&gt;0,AF1000/H1000,1))),IF(R1000&gt;0,AG1000/R1000,0))/MAX(0.1,N(Parameter!$M$21)))</f>
        <v>0.0192307692307692</v>
      </c>
      <c r="AI1000" s="57" t="n">
        <f aca="false">AF1000*G1000</f>
        <v>142.15</v>
      </c>
      <c r="AJ1000" s="57" t="n">
        <f aca="false">ROUNDUP(MAX(J1000/IF(BZ1000&gt;0,BZ1000,MAX(0.1,N(Cockpit!$C$6))),CC1000)/BS1000,0)*BS1000</f>
        <v>5</v>
      </c>
      <c r="AK1000" s="58" t="n">
        <f aca="false">IF(AH1000&gt;0,J1000/AH1000,-1)</f>
        <v>260</v>
      </c>
      <c r="AL1000" s="58" t="n">
        <f aca="false">IF(AND(OR(BY1000="L1",BY1000="L23"),AH1000&gt;0),SUMIFS($AH$7:$AH$1843,$BY$7:$BY$1843,BY1000,$AK$7:$AK$1843,"&gt;"&amp;AK1000)+SUMIFS($AH$7:$AH$1843,$BY$7:$BY$1843,BY1000,$AK$7:$AK$1843,AK1000,$BQ$7:$BQ$1843,"&lt;="&amp;BQ1000),"")</f>
        <v>29.5030066551806</v>
      </c>
      <c r="AM1000" s="65" t="n">
        <f aca="false">IF(AL1000="",0,MAX(0,MIN(1,(IF(BY1000="L1",Parameter!$E$5,Parameter!$E$6+Parameter!$E$7)-(AL1000-AH1000))/AH1000)))</f>
        <v>1</v>
      </c>
      <c r="AN1000" s="57" t="n">
        <f aca="false">IF(LEFT(Cockpit!$I$5,1)="A",H1000,IF(CA1000=1,CB1000,IF(LEFT(Cockpit!$I$5,1)="B",AR1000,MAX(AR1000,H1000))))</f>
        <v>5</v>
      </c>
      <c r="AO1000" s="57" t="n">
        <f aca="false">IF(BT1000=1,0,ROUNDUP(AN1000/BS1000,0))</f>
        <v>1</v>
      </c>
      <c r="AP1000" s="59" t="n">
        <f aca="false">IF(CH1000&gt;0,CH1000*MAX(1,AN1000/X1000),IF(BT1000=1,IF(AN1000&lt;=0,0,BW1000*MAX(1,IF(H1000&gt;0,AN1000/H1000,1))),IF(R1000&gt;0,AO1000/R1000,0))/MAX(0.1,N(Parameter!$M$21)))</f>
        <v>0.0192307692307692</v>
      </c>
      <c r="AQ1000" s="57" t="n">
        <f aca="false">AN1000*G1000</f>
        <v>142.15</v>
      </c>
      <c r="AR1000" s="57" t="n">
        <f aca="false">ROUNDUP(MAX(J1000/IF(BZ1000&gt;0,BZ1000,MAX(0.1,N(Cockpit!$I$6))),CC1000)/BS1000,0)*BS1000</f>
        <v>5</v>
      </c>
      <c r="AS1000" s="58" t="n">
        <f aca="false">IF(AP1000&gt;0,J1000/AP1000,-1)</f>
        <v>260</v>
      </c>
      <c r="AT1000" s="58" t="n">
        <f aca="false">IF(AND(OR(BY1000="L1",BY1000="L23"),AP1000&gt;0),SUMIFS($AP$7:$AP$1843,$BY$7:$BY$1843,BY1000,$AS$7:$AS$1843,"&gt;"&amp;AS1000)+SUMIFS($AP$7:$AP$1843,$BY$7:$BY$1843,BY1000,$AS$7:$AS$1843,AS1000,$BQ$7:$BQ$1843,"&lt;="&amp;BQ1000),"")</f>
        <v>42.5197881828317</v>
      </c>
      <c r="AU1000" s="65" t="n">
        <f aca="false">IF(AT1000="",0,MAX(0,MIN(1,(IF(BY1000="L1",Parameter!$E$5,Parameter!$E$6+Parameter!$E$7)-(AT1000-AP1000))/AP1000)))</f>
        <v>1</v>
      </c>
      <c r="AV1000" s="57" t="n">
        <f aca="false">IF(LEFT(Cockpit!$O$5,1)="A",H1000,IF(CA1000=1,CB1000,IF(LEFT(Cockpit!$O$5,1)="B",AZ1000,MAX(AZ1000,H1000))))</f>
        <v>5</v>
      </c>
      <c r="AW1000" s="57" t="n">
        <f aca="false">IF(BT1000=1,0,ROUNDUP(AV1000/BS1000,0))</f>
        <v>1</v>
      </c>
      <c r="AX1000" s="59" t="n">
        <f aca="false">IF(CH1000&gt;0,CH1000*MAX(1,AV1000/X1000),IF(BT1000=1,IF(AV1000&lt;=0,0,BW1000*MAX(1,IF(H1000&gt;0,AV1000/H1000,1))),IF(R1000&gt;0,AW1000/R1000,0))/MAX(0.1,N(Parameter!$M$21)))</f>
        <v>0.0192307692307692</v>
      </c>
      <c r="AY1000" s="57" t="n">
        <f aca="false">AV1000*G1000</f>
        <v>142.15</v>
      </c>
      <c r="AZ1000" s="57" t="n">
        <f aca="false">ROUNDUP(MAX(J1000/IF(BZ1000&gt;0,BZ1000,MAX(0.1,N(Cockpit!$O$6))),CC1000)/BS1000,0)*BS1000</f>
        <v>5</v>
      </c>
      <c r="BA1000" s="58" t="n">
        <f aca="false">IF(AX1000&gt;0,J1000/AX1000,-1)</f>
        <v>260</v>
      </c>
      <c r="BB1000" s="58" t="n">
        <f aca="false">IF(AND(OR(BY1000="L1",BY1000="L23"),AX1000&gt;0),SUMIFS($AX$7:$AX$1843,$BY$7:$BY$1843,BY1000,$BA$7:$BA$1843,"&gt;"&amp;BA1000)+SUMIFS($AX$7:$AX$1843,$BY$7:$BY$1843,BY1000,$BA$7:$BA$1843,BA1000,$BQ$7:$BQ$1843,"&lt;="&amp;BQ1000),"")</f>
        <v>38.8496250126685</v>
      </c>
      <c r="BC1000" s="65" t="n">
        <f aca="false">IF(BB1000="",0,MAX(0,MIN(1,(IF(BY1000="L1",Parameter!$E$5,Parameter!$E$6+Parameter!$E$7)-(BB1000-AX1000))/AX1000)))</f>
        <v>1</v>
      </c>
      <c r="BD1000" s="55" t="str">
        <f aca="false">IF(AH1000&lt;=0,"",IF(BY1000="Aussen","Aussenlager",IF(BY1000="-","Nicht im Lift",IF(AM1000&gt;=1,"Lift",IF(AM1000&lt;=0,"Aussenlager","teilweise")))))</f>
        <v>Lift</v>
      </c>
      <c r="BE1000" s="55" t="str">
        <f aca="false">IF(AP1000&lt;=0,"",IF(BY1000="Aussen","Aussenlager",IF(BY1000="-","Nicht im Lift",IF(AU1000&gt;=1,"Lift",IF(AU1000&lt;=0,"Aussenlager","teilweise")))))</f>
        <v>Lift</v>
      </c>
      <c r="BF1000" s="55" t="str">
        <f aca="false">IF(AX1000&lt;=0,"",IF(BY1000="Aussen","Aussenlager",IF(BY1000="-","Nicht im Lift",IF(BC1000&gt;=1,"Lift",IF(BC1000&lt;=0,"Aussenlager","teilweise")))))</f>
        <v>Lift</v>
      </c>
      <c r="BG1000" s="55" t="str">
        <f aca="false">IF(A1000="","",IF(BP1000=1,"Neu; ","")&amp;IF(AND(BP1000=0,BK1000&lt;0),"negativer Bestand (Export "&amp;BK1000&amp;"); ","")&amp;IF(J1000&lt;=0,"Kein Verbrauch; ","")&amp;IF(CH1000&gt;0,"Lift "&amp;W1000&amp;" lt. Liftbericht (Fach "&amp;X1000&amp;" Stk); ",IF(BU1000=1,"Gebinde geschätzt ("&amp;T1000&amp;"); ",IF(BT1000=1,"Lose – Tablare geschätzt; ","")))&amp;IF(H1000&gt;AR1000,"Überbestand "&amp;ROUND(H1000-AR1000,0)&amp;" Stk / CHF "&amp;ROUND((H1000-AR1000)*G1000,0)&amp;"; ","")&amp;IF(AND(CA1000=1,CB1000&lt;CC1000),"MAX &lt; MB+LG; ","")&amp;IF(AND(CG1000&gt;0,CF1000*10&gt;CG1000),"zu hoch für Tablar; ","")&amp;IF(AND(BP1000=0,OR(CA1000=1,AA1000&lt;&gt;"",U1000&lt;&gt;"",V1000&lt;&gt;"",AB1000&lt;&gt;"")),"manuell übersteuert; ","")&amp;IF(AND(BT1000=0,R1000=0),"Gebinde unbekannt / Stellmass fehlt; ","")&amp;IF(AND(BT1000=0,N(V1000)&lt;=0,N(Q1000)&lt;=0),"Menge pro Gebinde fehlt (Ist = 1 Gebinde); ","")&amp;BO1000)</f>
        <v>negativer Bestand (Export -9); </v>
      </c>
      <c r="BH1000" s="55"/>
      <c r="BI1000" s="55"/>
      <c r="BJ1000" s="62"/>
      <c r="BK1000" s="57" t="n">
        <v>-9</v>
      </c>
      <c r="BL1000" s="57" t="n">
        <v>14</v>
      </c>
      <c r="BM1000" s="56" t="n">
        <v>-95.85</v>
      </c>
      <c r="BN1000" s="57" t="n">
        <v>5</v>
      </c>
      <c r="BO1000" s="55"/>
      <c r="BP1000" s="60" t="n">
        <v>0</v>
      </c>
      <c r="BQ1000" s="60" t="n">
        <v>1000</v>
      </c>
      <c r="BR1000" s="55" t="str">
        <f aca="false">IF(U1000&lt;&gt;"",UPPER(TRIM(U1000)),IF(BU1000=1,UPPER(VLOOKUP(T1000,Parameter!$I$27:$K$29,2,0)),IF(P1000="","LOSE",P1000)))</f>
        <v>S41</v>
      </c>
      <c r="BS1000" s="57" t="n">
        <f aca="false">IF(BR1000="LOSE",1,IF(N(V1000)&gt;0,V1000,IF(BU1000=1,MAX(1,N(VLOOKUP(T1000,Parameter!$I$27:$K$29,3,0)),H1000,N(N1000)),IF(N(Q1000)&gt;0,Q1000,MAX(1,H1000)))))</f>
        <v>5</v>
      </c>
      <c r="BT1000" s="60" t="n">
        <f aca="false">IF(BR1000="LOSE",1,0)</f>
        <v>0</v>
      </c>
      <c r="BU1000" s="60" t="n">
        <f aca="false">IF(AND(U1000="",OR(P1000="",P1000="LOSE"),T1000&lt;&gt;"",N(S1000)&lt;=0,ISNUMBER(MATCH(T1000,Parameter!$I$27:$I$29,0))),1,0)</f>
        <v>0</v>
      </c>
      <c r="BV1000" s="55" t="str">
        <f aca="false">IF(AND(Parameter!$B$19="Ja",E1000&lt;&gt;"",ISNUMBER(MATCH(E1000,Parameter!$I$35:$I$52,0))),VLOOKUP(E1000,Parameter!$I$35:$J$52,2,0),IFERROR(VLOOKUP(D1000,Parameter!$A$35:$C$64,2,0),"Nein"))</f>
        <v>2+3</v>
      </c>
      <c r="BW1000" s="59" t="n">
        <f aca="false">IF(BT1000=0,0,IF(N(S1000)&gt;0,S1000,IFERROR(VLOOKUP(D1000,Parameter!$A$35:$C$64,3,0)+0,0)))</f>
        <v>0</v>
      </c>
      <c r="BX1000" s="55" t="n">
        <f aca="false">IF(AA1000&lt;&gt;"",AA1000,Z1000)</f>
        <v>3</v>
      </c>
      <c r="BY1000" s="55" t="str">
        <f aca="false">IF(BX1000=1,"L1",IF(OR(BX1000=2,BX1000=3),"L23",IF(BX1000="Aussen","Aussen","-")))</f>
        <v>L23</v>
      </c>
      <c r="BZ1000" s="66" t="n">
        <f aca="false">IF(N(AB1000)&gt;0,AB1000,0)</f>
        <v>0</v>
      </c>
      <c r="CA1000" s="60" t="n">
        <f aca="false">IF(ISNUMBER(AE1000),1,0)</f>
        <v>0</v>
      </c>
      <c r="CB1000" s="57" t="n">
        <f aca="false">N(AE1000)</f>
        <v>0</v>
      </c>
      <c r="CC1000" s="57" t="n">
        <f aca="false">N(M1000)+N(N1000)</f>
        <v>5</v>
      </c>
      <c r="CD1000" s="57" t="n">
        <f aca="false">ROUNDUP(H1000/BS1000,0)</f>
        <v>1</v>
      </c>
      <c r="CE1000" s="57" t="n">
        <f aca="false">ROUNDUP(CB1000/BS1000,0)</f>
        <v>0</v>
      </c>
      <c r="CF1000" s="60" t="n">
        <f aca="false">IF(BT1000=1,0,IFERROR(VLOOKUP(BR1000,'Gebinde-Kategorie'!$A$5:$M$45,5,0)+0,0))</f>
        <v>11</v>
      </c>
      <c r="CG1000" s="60" t="n">
        <f aca="false">IFERROR(IF(OR(BX1000=1,BX1000=2,BX1000=3),N(INDEX(Parameter!$I$5:$I$7,BX1000)),0),0)</f>
        <v>0</v>
      </c>
      <c r="CH1000" s="59" t="n">
        <f aca="false">IF(AND(Parameter!$B$21="Ja",ISNUMBER(W1000),N(X1000)&gt;0),IFERROR(N(INDEX(Parameter!$L$5:$L$7,W1000))*INDEX(Parameter!$E$5:$E$7,W1000)*X1000/SUMIFS($X$7:$X$1843,$W$7:$W$1843,W1000),0),0)</f>
        <v>0</v>
      </c>
    </row>
    <row r="1001" customFormat="false" ht="15" hidden="false" customHeight="false" outlineLevel="0" collapsed="false">
      <c r="A1001" s="55" t="s">
        <v>1846</v>
      </c>
      <c r="B1001" s="55" t="s">
        <v>892</v>
      </c>
      <c r="C1001" s="55" t="s">
        <v>164</v>
      </c>
      <c r="D1001" s="55" t="s">
        <v>184</v>
      </c>
      <c r="E1001" s="55" t="s">
        <v>185</v>
      </c>
      <c r="F1001" s="55" t="s">
        <v>218</v>
      </c>
      <c r="G1001" s="56" t="n">
        <v>12.08</v>
      </c>
      <c r="H1001" s="57" t="n">
        <f aca="false">MAX(0,IF(AND(Parameter!$B$21="Ja",ISNUMBER(Y1001)),Y1001,IF(Parameter!$B$20="Jahresanfang 2025 + Export",BL1001+BK1001,BK1001)))</f>
        <v>4</v>
      </c>
      <c r="I1001" s="57" t="n">
        <f aca="false">H1001*G1001</f>
        <v>48.32</v>
      </c>
      <c r="J1001" s="57" t="n">
        <f aca="false">BN1001*Parameter!$B$18</f>
        <v>5</v>
      </c>
      <c r="K1001" s="58" t="n">
        <v>8.5</v>
      </c>
      <c r="L1001" s="59" t="n">
        <v>0.588235294117647</v>
      </c>
      <c r="M1001" s="57" t="n">
        <v>0</v>
      </c>
      <c r="N1001" s="57" t="n">
        <v>5</v>
      </c>
      <c r="O1001" s="60" t="n">
        <v>21</v>
      </c>
      <c r="P1001" s="55" t="s">
        <v>421</v>
      </c>
      <c r="Q1001" s="57" t="n">
        <v>18</v>
      </c>
      <c r="R1001" s="60" t="n">
        <f aca="false">IF(BT1001=1,0,IFERROR(VLOOKUP(BR1001,'Gebinde-Kategorie'!$A$5:$M$45,13,0)+0,0))</f>
        <v>132</v>
      </c>
      <c r="S1001" s="61"/>
      <c r="T1001" s="62"/>
      <c r="U1001" s="62"/>
      <c r="V1001" s="62"/>
      <c r="W1001" s="55"/>
      <c r="X1001" s="57"/>
      <c r="Y1001" s="57"/>
      <c r="Z1001" s="55" t="n">
        <f aca="false">IF(A1001="","",IF(AND(Parameter!$B$21="Ja",ISNUMBER(W1001)),W1001,IF(BV1001="2+3",IF(ISNUMBER(SEARCH("grosser Artikel",BO1001)),2,IFERROR(VLOOKUP(BR1001,Parameter!$F$35:$G$64,2,0),2)),IF(OR(BV1001="Nein",BV1001=""),"-",BV1001))))</f>
        <v>3</v>
      </c>
      <c r="AA1001" s="62"/>
      <c r="AB1001" s="63"/>
      <c r="AC1001" s="57" t="n">
        <f aca="false">AR1001</f>
        <v>18</v>
      </c>
      <c r="AD1001" s="57" t="n">
        <f aca="false">MAX(AR1001,H1001)</f>
        <v>18</v>
      </c>
      <c r="AE1001" s="64"/>
      <c r="AF1001" s="57" t="n">
        <f aca="false">IF(LEFT(Cockpit!$C$5,1)="A",H1001,IF(CA1001=1,CB1001,IF(LEFT(Cockpit!$C$5,1)="B",AJ1001,MAX(AJ1001,H1001))))</f>
        <v>4</v>
      </c>
      <c r="AG1001" s="57" t="n">
        <f aca="false">IF(BT1001=1,0,ROUNDUP(AF1001/BS1001,0))</f>
        <v>1</v>
      </c>
      <c r="AH1001" s="59" t="n">
        <f aca="false">IF(CH1001&gt;0,CH1001*MAX(1,AF1001/X1001),IF(BT1001=1,IF(AF1001&lt;=0,0,BW1001*MAX(1,IF(H1001&gt;0,AF1001/H1001,1))),IF(R1001&gt;0,AG1001/R1001,0))/MAX(0.1,N(Parameter!$M$21)))</f>
        <v>0.00757575757575758</v>
      </c>
      <c r="AI1001" s="57" t="n">
        <f aca="false">AF1001*G1001</f>
        <v>48.32</v>
      </c>
      <c r="AJ1001" s="57" t="n">
        <f aca="false">ROUNDUP(MAX(J1001/IF(BZ1001&gt;0,BZ1001,MAX(0.1,N(Cockpit!$C$6))),CC1001)/BS1001,0)*BS1001</f>
        <v>18</v>
      </c>
      <c r="AK1001" s="58" t="n">
        <f aca="false">IF(AH1001&gt;0,J1001/AH1001,-1)</f>
        <v>660</v>
      </c>
      <c r="AL1001" s="58" t="n">
        <f aca="false">IF(AND(OR(BY1001="L1",BY1001="L23"),AH1001&gt;0),SUMIFS($AH$7:$AH$1843,$BY$7:$BY$1843,BY1001,$AK$7:$AK$1843,"&gt;"&amp;AK1001)+SUMIFS($AH$7:$AH$1843,$BY$7:$BY$1843,BY1001,$AK$7:$AK$1843,AK1001,$BQ$7:$BQ$1843,"&lt;="&amp;BQ1001),"")</f>
        <v>22.3510101010101</v>
      </c>
      <c r="AM1001" s="65" t="n">
        <f aca="false">IF(AL1001="",0,MAX(0,MIN(1,(IF(BY1001="L1",Parameter!$E$5,Parameter!$E$6+Parameter!$E$7)-(AL1001-AH1001))/AH1001)))</f>
        <v>1</v>
      </c>
      <c r="AN1001" s="57" t="n">
        <f aca="false">IF(LEFT(Cockpit!$I$5,1)="A",H1001,IF(CA1001=1,CB1001,IF(LEFT(Cockpit!$I$5,1)="B",AR1001,MAX(AR1001,H1001))))</f>
        <v>18</v>
      </c>
      <c r="AO1001" s="57" t="n">
        <f aca="false">IF(BT1001=1,0,ROUNDUP(AN1001/BS1001,0))</f>
        <v>1</v>
      </c>
      <c r="AP1001" s="59" t="n">
        <f aca="false">IF(CH1001&gt;0,CH1001*MAX(1,AN1001/X1001),IF(BT1001=1,IF(AN1001&lt;=0,0,BW1001*MAX(1,IF(H1001&gt;0,AN1001/H1001,1))),IF(R1001&gt;0,AO1001/R1001,0))/MAX(0.1,N(Parameter!$M$21)))</f>
        <v>0.00757575757575758</v>
      </c>
      <c r="AQ1001" s="57" t="n">
        <f aca="false">AN1001*G1001</f>
        <v>217.44</v>
      </c>
      <c r="AR1001" s="57" t="n">
        <f aca="false">ROUNDUP(MAX(J1001/IF(BZ1001&gt;0,BZ1001,MAX(0.1,N(Cockpit!$I$6))),CC1001)/BS1001,0)*BS1001</f>
        <v>18</v>
      </c>
      <c r="AS1001" s="58" t="n">
        <f aca="false">IF(AP1001&gt;0,J1001/AP1001,-1)</f>
        <v>660</v>
      </c>
      <c r="AT1001" s="58" t="n">
        <f aca="false">IF(AND(OR(BY1001="L1",BY1001="L23"),AP1001&gt;0),SUMIFS($AP$7:$AP$1843,$BY$7:$BY$1843,BY1001,$AS$7:$AS$1843,"&gt;"&amp;AS1001)+SUMIFS($AP$7:$AP$1843,$BY$7:$BY$1843,BY1001,$AS$7:$AS$1843,AS1001,$BQ$7:$BQ$1843,"&lt;="&amp;BQ1001),"")</f>
        <v>29.9867825411304</v>
      </c>
      <c r="AU1001" s="65" t="n">
        <f aca="false">IF(AT1001="",0,MAX(0,MIN(1,(IF(BY1001="L1",Parameter!$E$5,Parameter!$E$6+Parameter!$E$7)-(AT1001-AP1001))/AP1001)))</f>
        <v>1</v>
      </c>
      <c r="AV1001" s="57" t="n">
        <f aca="false">IF(LEFT(Cockpit!$O$5,1)="A",H1001,IF(CA1001=1,CB1001,IF(LEFT(Cockpit!$O$5,1)="B",AZ1001,MAX(AZ1001,H1001))))</f>
        <v>18</v>
      </c>
      <c r="AW1001" s="57" t="n">
        <f aca="false">IF(BT1001=1,0,ROUNDUP(AV1001/BS1001,0))</f>
        <v>1</v>
      </c>
      <c r="AX1001" s="59" t="n">
        <f aca="false">IF(CH1001&gt;0,CH1001*MAX(1,AV1001/X1001),IF(BT1001=1,IF(AV1001&lt;=0,0,BW1001*MAX(1,IF(H1001&gt;0,AV1001/H1001,1))),IF(R1001&gt;0,AW1001/R1001,0))/MAX(0.1,N(Parameter!$M$21)))</f>
        <v>0.00757575757575758</v>
      </c>
      <c r="AY1001" s="57" t="n">
        <f aca="false">AV1001*G1001</f>
        <v>217.44</v>
      </c>
      <c r="AZ1001" s="57" t="n">
        <f aca="false">ROUNDUP(MAX(J1001/IF(BZ1001&gt;0,BZ1001,MAX(0.1,N(Cockpit!$O$6))),CC1001)/BS1001,0)*BS1001</f>
        <v>18</v>
      </c>
      <c r="BA1001" s="58" t="n">
        <f aca="false">IF(AX1001&gt;0,J1001/AX1001,-1)</f>
        <v>660</v>
      </c>
      <c r="BB1001" s="58" t="n">
        <f aca="false">IF(AND(OR(BY1001="L1",BY1001="L23"),AX1001&gt;0),SUMIFS($AX$7:$AX$1843,$BY$7:$BY$1843,BY1001,$BA$7:$BA$1843,"&gt;"&amp;BA1001)+SUMIFS($AX$7:$AX$1843,$BY$7:$BY$1843,BY1001,$BA$7:$BA$1843,BA1001,$BQ$7:$BQ$1843,"&lt;="&amp;BQ1001),"")</f>
        <v>28.6884142427621</v>
      </c>
      <c r="BC1001" s="65" t="n">
        <f aca="false">IF(BB1001="",0,MAX(0,MIN(1,(IF(BY1001="L1",Parameter!$E$5,Parameter!$E$6+Parameter!$E$7)-(BB1001-AX1001))/AX1001)))</f>
        <v>1</v>
      </c>
      <c r="BD1001" s="55" t="str">
        <f aca="false">IF(AH1001&lt;=0,"",IF(BY1001="Aussen","Aussenlager",IF(BY1001="-","Nicht im Lift",IF(AM1001&gt;=1,"Lift",IF(AM1001&lt;=0,"Aussenlager","teilweise")))))</f>
        <v>Lift</v>
      </c>
      <c r="BE1001" s="55" t="str">
        <f aca="false">IF(AP1001&lt;=0,"",IF(BY1001="Aussen","Aussenlager",IF(BY1001="-","Nicht im Lift",IF(AU1001&gt;=1,"Lift",IF(AU1001&lt;=0,"Aussenlager","teilweise")))))</f>
        <v>Lift</v>
      </c>
      <c r="BF1001" s="55" t="str">
        <f aca="false">IF(AX1001&lt;=0,"",IF(BY1001="Aussen","Aussenlager",IF(BY1001="-","Nicht im Lift",IF(BC1001&gt;=1,"Lift",IF(BC1001&lt;=0,"Aussenlager","teilweise")))))</f>
        <v>Lift</v>
      </c>
      <c r="BG1001" s="55" t="str">
        <f aca="false">IF(A1001="","",IF(BP1001=1,"Neu; ","")&amp;IF(AND(BP1001=0,BK1001&lt;0),"negativer Bestand (Export "&amp;BK1001&amp;"); ","")&amp;IF(J1001&lt;=0,"Kein Verbrauch; ","")&amp;IF(CH1001&gt;0,"Lift "&amp;W1001&amp;" lt. Liftbericht (Fach "&amp;X1001&amp;" Stk); ",IF(BU1001=1,"Gebinde geschätzt ("&amp;T1001&amp;"); ",IF(BT1001=1,"Lose – Tablare geschätzt; ","")))&amp;IF(H1001&gt;AR1001,"Überbestand "&amp;ROUND(H1001-AR1001,0)&amp;" Stk / CHF "&amp;ROUND((H1001-AR1001)*G1001,0)&amp;"; ","")&amp;IF(AND(CA1001=1,CB1001&lt;CC1001),"MAX &lt; MB+LG; ","")&amp;IF(AND(CG1001&gt;0,CF1001*10&gt;CG1001),"zu hoch für Tablar; ","")&amp;IF(AND(BP1001=0,OR(CA1001=1,AA1001&lt;&gt;"",U1001&lt;&gt;"",V1001&lt;&gt;"",AB1001&lt;&gt;"")),"manuell übersteuert; ","")&amp;IF(AND(BT1001=0,R1001=0),"Gebinde unbekannt / Stellmass fehlt; ","")&amp;IF(AND(BT1001=0,N(V1001)&lt;=0,N(Q1001)&lt;=0),"Menge pro Gebinde fehlt (Ist = 1 Gebinde); ","")&amp;BO1001)</f>
        <v>negativer Bestand (Export -8); Neu</v>
      </c>
      <c r="BH1001" s="55"/>
      <c r="BI1001" s="55"/>
      <c r="BJ1001" s="62"/>
      <c r="BK1001" s="57" t="n">
        <v>-8</v>
      </c>
      <c r="BL1001" s="57" t="n">
        <v>12</v>
      </c>
      <c r="BM1001" s="56" t="n">
        <v>-96.64</v>
      </c>
      <c r="BN1001" s="57" t="n">
        <v>5</v>
      </c>
      <c r="BO1001" s="55" t="s">
        <v>626</v>
      </c>
      <c r="BP1001" s="60" t="n">
        <v>0</v>
      </c>
      <c r="BQ1001" s="60" t="n">
        <v>1001</v>
      </c>
      <c r="BR1001" s="55" t="str">
        <f aca="false">IF(U1001&lt;&gt;"",UPPER(TRIM(U1001)),IF(BU1001=1,UPPER(VLOOKUP(T1001,Parameter!$I$27:$K$29,2,0)),IF(P1001="","LOSE",P1001)))</f>
        <v>S32</v>
      </c>
      <c r="BS1001" s="57" t="n">
        <f aca="false">IF(BR1001="LOSE",1,IF(N(V1001)&gt;0,V1001,IF(BU1001=1,MAX(1,N(VLOOKUP(T1001,Parameter!$I$27:$K$29,3,0)),H1001,N(N1001)),IF(N(Q1001)&gt;0,Q1001,MAX(1,H1001)))))</f>
        <v>18</v>
      </c>
      <c r="BT1001" s="60" t="n">
        <f aca="false">IF(BR1001="LOSE",1,0)</f>
        <v>0</v>
      </c>
      <c r="BU1001" s="60" t="n">
        <f aca="false">IF(AND(U1001="",OR(P1001="",P1001="LOSE"),T1001&lt;&gt;"",N(S1001)&lt;=0,ISNUMBER(MATCH(T1001,Parameter!$I$27:$I$29,0))),1,0)</f>
        <v>0</v>
      </c>
      <c r="BV1001" s="55" t="str">
        <f aca="false">IF(AND(Parameter!$B$19="Ja",E1001&lt;&gt;"",ISNUMBER(MATCH(E1001,Parameter!$I$35:$I$52,0))),VLOOKUP(E1001,Parameter!$I$35:$J$52,2,0),IFERROR(VLOOKUP(D1001,Parameter!$A$35:$C$64,2,0),"Nein"))</f>
        <v>2+3</v>
      </c>
      <c r="BW1001" s="59" t="n">
        <f aca="false">IF(BT1001=0,0,IF(N(S1001)&gt;0,S1001,IFERROR(VLOOKUP(D1001,Parameter!$A$35:$C$64,3,0)+0,0)))</f>
        <v>0</v>
      </c>
      <c r="BX1001" s="55" t="n">
        <f aca="false">IF(AA1001&lt;&gt;"",AA1001,Z1001)</f>
        <v>3</v>
      </c>
      <c r="BY1001" s="55" t="str">
        <f aca="false">IF(BX1001=1,"L1",IF(OR(BX1001=2,BX1001=3),"L23",IF(BX1001="Aussen","Aussen","-")))</f>
        <v>L23</v>
      </c>
      <c r="BZ1001" s="66" t="n">
        <f aca="false">IF(N(AB1001)&gt;0,AB1001,0)</f>
        <v>0</v>
      </c>
      <c r="CA1001" s="60" t="n">
        <f aca="false">IF(ISNUMBER(AE1001),1,0)</f>
        <v>0</v>
      </c>
      <c r="CB1001" s="57" t="n">
        <f aca="false">N(AE1001)</f>
        <v>0</v>
      </c>
      <c r="CC1001" s="57" t="n">
        <f aca="false">N(M1001)+N(N1001)</f>
        <v>5</v>
      </c>
      <c r="CD1001" s="57" t="n">
        <f aca="false">ROUNDUP(H1001/BS1001,0)</f>
        <v>1</v>
      </c>
      <c r="CE1001" s="57" t="n">
        <f aca="false">ROUNDUP(CB1001/BS1001,0)</f>
        <v>0</v>
      </c>
      <c r="CF1001" s="60" t="n">
        <f aca="false">IF(BT1001=1,0,IFERROR(VLOOKUP(BR1001,'Gebinde-Kategorie'!$A$5:$M$45,5,0)+0,0))</f>
        <v>8</v>
      </c>
      <c r="CG1001" s="60" t="n">
        <f aca="false">IFERROR(IF(OR(BX1001=1,BX1001=2,BX1001=3),N(INDEX(Parameter!$I$5:$I$7,BX1001)),0),0)</f>
        <v>0</v>
      </c>
      <c r="CH1001" s="59" t="n">
        <f aca="false">IF(AND(Parameter!$B$21="Ja",ISNUMBER(W1001),N(X1001)&gt;0),IFERROR(N(INDEX(Parameter!$L$5:$L$7,W1001))*INDEX(Parameter!$E$5:$E$7,W1001)*X1001/SUMIFS($X$7:$X$1843,$W$7:$W$1843,W1001),0),0)</f>
        <v>0</v>
      </c>
    </row>
    <row r="1002" customFormat="false" ht="15" hidden="false" customHeight="false" outlineLevel="0" collapsed="false">
      <c r="A1002" s="55" t="s">
        <v>1847</v>
      </c>
      <c r="B1002" s="55" t="s">
        <v>1848</v>
      </c>
      <c r="C1002" s="55" t="s">
        <v>164</v>
      </c>
      <c r="D1002" s="55" t="s">
        <v>173</v>
      </c>
      <c r="E1002" s="55" t="s">
        <v>465</v>
      </c>
      <c r="F1002" s="55" t="s">
        <v>218</v>
      </c>
      <c r="G1002" s="56" t="n">
        <v>14.63</v>
      </c>
      <c r="H1002" s="57" t="n">
        <f aca="false">MAX(0,IF(AND(Parameter!$B$21="Ja",ISNUMBER(Y1002)),Y1002,IF(Parameter!$B$20="Jahresanfang 2025 + Export",BL1002+BK1002,BK1002)))</f>
        <v>10</v>
      </c>
      <c r="I1002" s="57" t="n">
        <f aca="false">H1002*G1002</f>
        <v>146.3</v>
      </c>
      <c r="J1002" s="57" t="n">
        <f aca="false">BN1002*Parameter!$B$18</f>
        <v>24</v>
      </c>
      <c r="K1002" s="58" t="n">
        <v>13.5</v>
      </c>
      <c r="L1002" s="59" t="n">
        <v>1.77777777777778</v>
      </c>
      <c r="M1002" s="57" t="n">
        <v>1</v>
      </c>
      <c r="N1002" s="57" t="n">
        <v>10</v>
      </c>
      <c r="O1002" s="60" t="n">
        <v>21</v>
      </c>
      <c r="P1002" s="55" t="s">
        <v>168</v>
      </c>
      <c r="Q1002" s="57"/>
      <c r="R1002" s="60" t="n">
        <f aca="false">IF(BT1002=1,0,IFERROR(VLOOKUP(BR1002,'Gebinde-Kategorie'!$A$5:$M$45,13,0)+0,0))</f>
        <v>12</v>
      </c>
      <c r="S1002" s="61"/>
      <c r="T1002" s="62" t="s">
        <v>179</v>
      </c>
      <c r="U1002" s="62"/>
      <c r="V1002" s="62"/>
      <c r="W1002" s="55"/>
      <c r="X1002" s="57"/>
      <c r="Y1002" s="57"/>
      <c r="Z1002" s="55" t="str">
        <f aca="false">IF(A1002="","",IF(AND(Parameter!$B$21="Ja",ISNUMBER(W1002)),W1002,IF(BV1002="2+3",IF(ISNUMBER(SEARCH("grosser Artikel",BO1002)),2,IFERROR(VLOOKUP(BR1002,Parameter!$F$35:$G$64,2,0),2)),IF(OR(BV1002="Nein",BV1002=""),"-",BV1002))))</f>
        <v>-</v>
      </c>
      <c r="AA1002" s="62"/>
      <c r="AB1002" s="63"/>
      <c r="AC1002" s="57" t="n">
        <f aca="false">AR1002</f>
        <v>20</v>
      </c>
      <c r="AD1002" s="57" t="n">
        <f aca="false">MAX(AR1002,H1002)</f>
        <v>20</v>
      </c>
      <c r="AE1002" s="64"/>
      <c r="AF1002" s="57" t="n">
        <f aca="false">IF(LEFT(Cockpit!$C$5,1)="A",H1002,IF(CA1002=1,CB1002,IF(LEFT(Cockpit!$C$5,1)="B",AJ1002,MAX(AJ1002,H1002))))</f>
        <v>10</v>
      </c>
      <c r="AG1002" s="57" t="n">
        <f aca="false">IF(BT1002=1,0,ROUNDUP(AF1002/BS1002,0))</f>
        <v>1</v>
      </c>
      <c r="AH1002" s="59" t="n">
        <f aca="false">IF(CH1002&gt;0,CH1002*MAX(1,AF1002/X1002),IF(BT1002=1,IF(AF1002&lt;=0,0,BW1002*MAX(1,IF(H1002&gt;0,AF1002/H1002,1))),IF(R1002&gt;0,AG1002/R1002,0))/MAX(0.1,N(Parameter!$M$21)))</f>
        <v>0.0833333333333333</v>
      </c>
      <c r="AI1002" s="57" t="n">
        <f aca="false">AF1002*G1002</f>
        <v>146.3</v>
      </c>
      <c r="AJ1002" s="57" t="n">
        <f aca="false">ROUNDUP(MAX(J1002/IF(BZ1002&gt;0,BZ1002,MAX(0.1,N(Cockpit!$C$6))),CC1002)/BS1002,0)*BS1002</f>
        <v>20</v>
      </c>
      <c r="AK1002" s="58" t="n">
        <f aca="false">IF(AH1002&gt;0,J1002/AH1002,-1)</f>
        <v>288</v>
      </c>
      <c r="AL1002" s="58" t="str">
        <f aca="false">IF(AND(OR(BY1002="L1",BY1002="L23"),AH1002&gt;0),SUMIFS($AH$7:$AH$1843,$BY$7:$BY$1843,BY1002,$AK$7:$AK$1843,"&gt;"&amp;AK1002)+SUMIFS($AH$7:$AH$1843,$BY$7:$BY$1843,BY1002,$AK$7:$AK$1843,AK1002,$BQ$7:$BQ$1843,"&lt;="&amp;BQ1002),"")</f>
        <v/>
      </c>
      <c r="AM1002" s="65" t="n">
        <f aca="false">IF(AL1002="",0,MAX(0,MIN(1,(IF(BY1002="L1",Parameter!$E$5,Parameter!$E$6+Parameter!$E$7)-(AL1002-AH1002))/AH1002)))</f>
        <v>0</v>
      </c>
      <c r="AN1002" s="57" t="n">
        <f aca="false">IF(LEFT(Cockpit!$I$5,1)="A",H1002,IF(CA1002=1,CB1002,IF(LEFT(Cockpit!$I$5,1)="B",AR1002,MAX(AR1002,H1002))))</f>
        <v>20</v>
      </c>
      <c r="AO1002" s="57" t="n">
        <f aca="false">IF(BT1002=1,0,ROUNDUP(AN1002/BS1002,0))</f>
        <v>2</v>
      </c>
      <c r="AP1002" s="59" t="n">
        <f aca="false">IF(CH1002&gt;0,CH1002*MAX(1,AN1002/X1002),IF(BT1002=1,IF(AN1002&lt;=0,0,BW1002*MAX(1,IF(H1002&gt;0,AN1002/H1002,1))),IF(R1002&gt;0,AO1002/R1002,0))/MAX(0.1,N(Parameter!$M$21)))</f>
        <v>0.166666666666667</v>
      </c>
      <c r="AQ1002" s="57" t="n">
        <f aca="false">AN1002*G1002</f>
        <v>292.6</v>
      </c>
      <c r="AR1002" s="57" t="n">
        <f aca="false">ROUNDUP(MAX(J1002/IF(BZ1002&gt;0,BZ1002,MAX(0.1,N(Cockpit!$I$6))),CC1002)/BS1002,0)*BS1002</f>
        <v>20</v>
      </c>
      <c r="AS1002" s="58" t="n">
        <f aca="false">IF(AP1002&gt;0,J1002/AP1002,-1)</f>
        <v>144</v>
      </c>
      <c r="AT1002" s="58" t="str">
        <f aca="false">IF(AND(OR(BY1002="L1",BY1002="L23"),AP1002&gt;0),SUMIFS($AP$7:$AP$1843,$BY$7:$BY$1843,BY1002,$AS$7:$AS$1843,"&gt;"&amp;AS1002)+SUMIFS($AP$7:$AP$1843,$BY$7:$BY$1843,BY1002,$AS$7:$AS$1843,AS1002,$BQ$7:$BQ$1843,"&lt;="&amp;BQ1002),"")</f>
        <v/>
      </c>
      <c r="AU1002" s="65" t="n">
        <f aca="false">IF(AT1002="",0,MAX(0,MIN(1,(IF(BY1002="L1",Parameter!$E$5,Parameter!$E$6+Parameter!$E$7)-(AT1002-AP1002))/AP1002)))</f>
        <v>0</v>
      </c>
      <c r="AV1002" s="57" t="n">
        <f aca="false">IF(LEFT(Cockpit!$O$5,1)="A",H1002,IF(CA1002=1,CB1002,IF(LEFT(Cockpit!$O$5,1)="B",AZ1002,MAX(AZ1002,H1002))))</f>
        <v>20</v>
      </c>
      <c r="AW1002" s="57" t="n">
        <f aca="false">IF(BT1002=1,0,ROUNDUP(AV1002/BS1002,0))</f>
        <v>2</v>
      </c>
      <c r="AX1002" s="59" t="n">
        <f aca="false">IF(CH1002&gt;0,CH1002*MAX(1,AV1002/X1002),IF(BT1002=1,IF(AV1002&lt;=0,0,BW1002*MAX(1,IF(H1002&gt;0,AV1002/H1002,1))),IF(R1002&gt;0,AW1002/R1002,0))/MAX(0.1,N(Parameter!$M$21)))</f>
        <v>0.166666666666667</v>
      </c>
      <c r="AY1002" s="57" t="n">
        <f aca="false">AV1002*G1002</f>
        <v>292.6</v>
      </c>
      <c r="AZ1002" s="57" t="n">
        <f aca="false">ROUNDUP(MAX(J1002/IF(BZ1002&gt;0,BZ1002,MAX(0.1,N(Cockpit!$O$6))),CC1002)/BS1002,0)*BS1002</f>
        <v>20</v>
      </c>
      <c r="BA1002" s="58" t="n">
        <f aca="false">IF(AX1002&gt;0,J1002/AX1002,-1)</f>
        <v>144</v>
      </c>
      <c r="BB1002" s="58" t="str">
        <f aca="false">IF(AND(OR(BY1002="L1",BY1002="L23"),AX1002&gt;0),SUMIFS($AX$7:$AX$1843,$BY$7:$BY$1843,BY1002,$BA$7:$BA$1843,"&gt;"&amp;BA1002)+SUMIFS($AX$7:$AX$1843,$BY$7:$BY$1843,BY1002,$BA$7:$BA$1843,BA1002,$BQ$7:$BQ$1843,"&lt;="&amp;BQ1002),"")</f>
        <v/>
      </c>
      <c r="BC1002" s="65" t="n">
        <f aca="false">IF(BB1002="",0,MAX(0,MIN(1,(IF(BY1002="L1",Parameter!$E$5,Parameter!$E$6+Parameter!$E$7)-(BB1002-AX1002))/AX1002)))</f>
        <v>0</v>
      </c>
      <c r="BD1002" s="55" t="str">
        <f aca="false">IF(AH1002&lt;=0,"",IF(BY1002="Aussen","Aussenlager",IF(BY1002="-","Nicht im Lift",IF(AM1002&gt;=1,"Lift",IF(AM1002&lt;=0,"Aussenlager","teilweise")))))</f>
        <v>Nicht im Lift</v>
      </c>
      <c r="BE1002" s="55" t="str">
        <f aca="false">IF(AP1002&lt;=0,"",IF(BY1002="Aussen","Aussenlager",IF(BY1002="-","Nicht im Lift",IF(AU1002&gt;=1,"Lift",IF(AU1002&lt;=0,"Aussenlager","teilweise")))))</f>
        <v>Nicht im Lift</v>
      </c>
      <c r="BF1002" s="55" t="str">
        <f aca="false">IF(AX1002&lt;=0,"",IF(BY1002="Aussen","Aussenlager",IF(BY1002="-","Nicht im Lift",IF(BC1002&gt;=1,"Lift",IF(BC1002&lt;=0,"Aussenlager","teilweise")))))</f>
        <v>Nicht im Lift</v>
      </c>
      <c r="BG1002" s="55" t="str">
        <f aca="false">IF(A1002="","",IF(BP1002=1,"Neu; ","")&amp;IF(AND(BP1002=0,BK1002&lt;0),"negativer Bestand (Export "&amp;BK1002&amp;"); ","")&amp;IF(J1002&lt;=0,"Kein Verbrauch; ","")&amp;IF(CH1002&gt;0,"Lift "&amp;W1002&amp;" lt. Liftbericht (Fach "&amp;X1002&amp;" Stk); ",IF(BU1002=1,"Gebinde geschätzt ("&amp;T1002&amp;"); ",IF(BT1002=1,"Lose – Tablare geschätzt; ","")))&amp;IF(H1002&gt;AR1002,"Überbestand "&amp;ROUND(H1002-AR1002,0)&amp;" Stk / CHF "&amp;ROUND((H1002-AR1002)*G1002,0)&amp;"; ","")&amp;IF(AND(CA1002=1,CB1002&lt;CC1002),"MAX &lt; MB+LG; ","")&amp;IF(AND(CG1002&gt;0,CF1002*10&gt;CG1002),"zu hoch für Tablar; ","")&amp;IF(AND(BP1002=0,OR(CA1002=1,AA1002&lt;&gt;"",U1002&lt;&gt;"",V1002&lt;&gt;"",AB1002&lt;&gt;"")),"manuell übersteuert; ","")&amp;IF(AND(BT1002=0,R1002=0),"Gebinde unbekannt / Stellmass fehlt; ","")&amp;IF(AND(BT1002=0,N(V1002)&lt;=0,N(Q1002)&lt;=0),"Menge pro Gebinde fehlt (Ist = 1 Gebinde); ","")&amp;BO1002)</f>
        <v>negativer Bestand (Export -6); Gebinde geschätzt (Mittel); Menge pro Gebinde fehlt (Ist = 1 Gebinde); </v>
      </c>
      <c r="BH1002" s="55"/>
      <c r="BI1002" s="55"/>
      <c r="BJ1002" s="62"/>
      <c r="BK1002" s="57" t="n">
        <v>-6</v>
      </c>
      <c r="BL1002" s="57" t="n">
        <v>16</v>
      </c>
      <c r="BM1002" s="56" t="n">
        <v>-98.5000000000001</v>
      </c>
      <c r="BN1002" s="57" t="n">
        <v>24</v>
      </c>
      <c r="BO1002" s="55"/>
      <c r="BP1002" s="60" t="n">
        <v>0</v>
      </c>
      <c r="BQ1002" s="60" t="n">
        <v>1002</v>
      </c>
      <c r="BR1002" s="55" t="str">
        <f aca="false">IF(U1002&lt;&gt;"",UPPER(TRIM(U1002)),IF(BU1002=1,UPPER(VLOOKUP(T1002,Parameter!$I$27:$K$29,2,0)),IF(P1002="","LOSE",P1002)))</f>
        <v>S61</v>
      </c>
      <c r="BS1002" s="57" t="n">
        <f aca="false">IF(BR1002="LOSE",1,IF(N(V1002)&gt;0,V1002,IF(BU1002=1,MAX(1,N(VLOOKUP(T1002,Parameter!$I$27:$K$29,3,0)),H1002,N(N1002)),IF(N(Q1002)&gt;0,Q1002,MAX(1,H1002)))))</f>
        <v>10</v>
      </c>
      <c r="BT1002" s="60" t="n">
        <f aca="false">IF(BR1002="LOSE",1,0)</f>
        <v>0</v>
      </c>
      <c r="BU1002" s="60" t="n">
        <f aca="false">IF(AND(U1002="",OR(P1002="",P1002="LOSE"),T1002&lt;&gt;"",N(S1002)&lt;=0,ISNUMBER(MATCH(T1002,Parameter!$I$27:$I$29,0))),1,0)</f>
        <v>1</v>
      </c>
      <c r="BV1002" s="55" t="str">
        <f aca="false">IF(AND(Parameter!$B$19="Ja",E1002&lt;&gt;"",ISNUMBER(MATCH(E1002,Parameter!$I$35:$I$52,0))),VLOOKUP(E1002,Parameter!$I$35:$J$52,2,0),IFERROR(VLOOKUP(D1002,Parameter!$A$35:$C$64,2,0),"Nein"))</f>
        <v>Nein</v>
      </c>
      <c r="BW1002" s="59" t="n">
        <f aca="false">IF(BT1002=0,0,IF(N(S1002)&gt;0,S1002,IFERROR(VLOOKUP(D1002,Parameter!$A$35:$C$64,3,0)+0,0)))</f>
        <v>0</v>
      </c>
      <c r="BX1002" s="55" t="str">
        <f aca="false">IF(AA1002&lt;&gt;"",AA1002,Z1002)</f>
        <v>-</v>
      </c>
      <c r="BY1002" s="55" t="str">
        <f aca="false">IF(BX1002=1,"L1",IF(OR(BX1002=2,BX1002=3),"L23",IF(BX1002="Aussen","Aussen","-")))</f>
        <v>-</v>
      </c>
      <c r="BZ1002" s="66" t="n">
        <f aca="false">IF(N(AB1002)&gt;0,AB1002,0)</f>
        <v>0</v>
      </c>
      <c r="CA1002" s="60" t="n">
        <f aca="false">IF(ISNUMBER(AE1002),1,0)</f>
        <v>0</v>
      </c>
      <c r="CB1002" s="57" t="n">
        <f aca="false">N(AE1002)</f>
        <v>0</v>
      </c>
      <c r="CC1002" s="57" t="n">
        <f aca="false">N(M1002)+N(N1002)</f>
        <v>11</v>
      </c>
      <c r="CD1002" s="57" t="n">
        <f aca="false">ROUNDUP(H1002/BS1002,0)</f>
        <v>1</v>
      </c>
      <c r="CE1002" s="57" t="n">
        <f aca="false">ROUNDUP(CB1002/BS1002,0)</f>
        <v>0</v>
      </c>
      <c r="CF1002" s="60" t="n">
        <f aca="false">IF(BT1002=1,0,IFERROR(VLOOKUP(BR1002,'Gebinde-Kategorie'!$A$5:$M$45,5,0)+0,0))</f>
        <v>11</v>
      </c>
      <c r="CG1002" s="60" t="n">
        <f aca="false">IFERROR(IF(OR(BX1002=1,BX1002=2,BX1002=3),N(INDEX(Parameter!$I$5:$I$7,BX1002)),0),0)</f>
        <v>0</v>
      </c>
      <c r="CH1002" s="59" t="n">
        <f aca="false">IF(AND(Parameter!$B$21="Ja",ISNUMBER(W1002),N(X1002)&gt;0),IFERROR(N(INDEX(Parameter!$L$5:$L$7,W1002))*INDEX(Parameter!$E$5:$E$7,W1002)*X1002/SUMIFS($X$7:$X$1843,$W$7:$W$1843,W1002),0),0)</f>
        <v>0</v>
      </c>
    </row>
    <row r="1003" customFormat="false" ht="15" hidden="false" customHeight="false" outlineLevel="0" collapsed="false">
      <c r="A1003" s="55" t="s">
        <v>1849</v>
      </c>
      <c r="B1003" s="55" t="s">
        <v>1850</v>
      </c>
      <c r="C1003" s="55" t="s">
        <v>164</v>
      </c>
      <c r="D1003" s="55" t="s">
        <v>173</v>
      </c>
      <c r="E1003" s="55"/>
      <c r="F1003" s="55" t="s">
        <v>218</v>
      </c>
      <c r="G1003" s="56" t="n">
        <v>99.06</v>
      </c>
      <c r="H1003" s="57" t="n">
        <f aca="false">MAX(0,IF(AND(Parameter!$B$21="Ja",ISNUMBER(Y1003)),Y1003,IF(Parameter!$B$20="Jahresanfang 2025 + Export",BL1003+BK1003,BK1003)))</f>
        <v>1</v>
      </c>
      <c r="I1003" s="57" t="n">
        <f aca="false">H1003*G1003</f>
        <v>99.06</v>
      </c>
      <c r="J1003" s="57" t="n">
        <f aca="false">BN1003*Parameter!$B$18</f>
        <v>0</v>
      </c>
      <c r="K1003" s="58" t="n">
        <v>1.5</v>
      </c>
      <c r="L1003" s="59" t="n">
        <v>0</v>
      </c>
      <c r="M1003" s="57" t="n">
        <v>0</v>
      </c>
      <c r="N1003" s="57" t="n">
        <v>1</v>
      </c>
      <c r="O1003" s="60" t="n">
        <v>28</v>
      </c>
      <c r="P1003" s="55" t="s">
        <v>168</v>
      </c>
      <c r="Q1003" s="57"/>
      <c r="R1003" s="60" t="n">
        <f aca="false">IF(BT1003=1,0,IFERROR(VLOOKUP(BR1003,'Gebinde-Kategorie'!$A$5:$M$45,13,0)+0,0))</f>
        <v>12</v>
      </c>
      <c r="S1003" s="61"/>
      <c r="T1003" s="62" t="s">
        <v>179</v>
      </c>
      <c r="U1003" s="62"/>
      <c r="V1003" s="62"/>
      <c r="W1003" s="55"/>
      <c r="X1003" s="57"/>
      <c r="Y1003" s="57"/>
      <c r="Z1003" s="55" t="n">
        <f aca="false">IF(A1003="","",IF(AND(Parameter!$B$21="Ja",ISNUMBER(W1003)),W1003,IF(BV1003="2+3",IF(ISNUMBER(SEARCH("grosser Artikel",BO1003)),2,IFERROR(VLOOKUP(BR1003,Parameter!$F$35:$G$64,2,0),2)),IF(OR(BV1003="Nein",BV1003=""),"-",BV1003))))</f>
        <v>2</v>
      </c>
      <c r="AA1003" s="62"/>
      <c r="AB1003" s="63"/>
      <c r="AC1003" s="57" t="n">
        <f aca="false">AR1003</f>
        <v>4</v>
      </c>
      <c r="AD1003" s="57" t="n">
        <f aca="false">MAX(AR1003,H1003)</f>
        <v>4</v>
      </c>
      <c r="AE1003" s="64"/>
      <c r="AF1003" s="57" t="n">
        <f aca="false">IF(LEFT(Cockpit!$C$5,1)="A",H1003,IF(CA1003=1,CB1003,IF(LEFT(Cockpit!$C$5,1)="B",AJ1003,MAX(AJ1003,H1003))))</f>
        <v>1</v>
      </c>
      <c r="AG1003" s="57" t="n">
        <f aca="false">IF(BT1003=1,0,ROUNDUP(AF1003/BS1003,0))</f>
        <v>1</v>
      </c>
      <c r="AH1003" s="59" t="n">
        <f aca="false">IF(CH1003&gt;0,CH1003*MAX(1,AF1003/X1003),IF(BT1003=1,IF(AF1003&lt;=0,0,BW1003*MAX(1,IF(H1003&gt;0,AF1003/H1003,1))),IF(R1003&gt;0,AG1003/R1003,0))/MAX(0.1,N(Parameter!$M$21)))</f>
        <v>0.0833333333333333</v>
      </c>
      <c r="AI1003" s="57" t="n">
        <f aca="false">AF1003*G1003</f>
        <v>99.06</v>
      </c>
      <c r="AJ1003" s="57" t="n">
        <f aca="false">ROUNDUP(MAX(J1003/IF(BZ1003&gt;0,BZ1003,MAX(0.1,N(Cockpit!$C$6))),CC1003)/BS1003,0)*BS1003</f>
        <v>4</v>
      </c>
      <c r="AK1003" s="58" t="n">
        <f aca="false">IF(AH1003&gt;0,J1003/AH1003,-1)</f>
        <v>0</v>
      </c>
      <c r="AL1003" s="58" t="n">
        <f aca="false">IF(AND(OR(BY1003="L1",BY1003="L23"),AH1003&gt;0),SUMIFS($AH$7:$AH$1843,$BY$7:$BY$1843,BY1003,$AK$7:$AK$1843,"&gt;"&amp;AK1003)+SUMIFS($AH$7:$AH$1843,$BY$7:$BY$1843,BY1003,$AK$7:$AK$1843,AK1003,$BQ$7:$BQ$1843,"&lt;="&amp;BQ1003),"")</f>
        <v>78.4530167899733</v>
      </c>
      <c r="AM1003" s="65" t="n">
        <f aca="false">IF(AL1003="",0,MAX(0,MIN(1,(IF(BY1003="L1",Parameter!$E$5,Parameter!$E$6+Parameter!$E$7)-(AL1003-AH1003))/AH1003)))</f>
        <v>1</v>
      </c>
      <c r="AN1003" s="57" t="n">
        <f aca="false">IF(LEFT(Cockpit!$I$5,1)="A",H1003,IF(CA1003=1,CB1003,IF(LEFT(Cockpit!$I$5,1)="B",AR1003,MAX(AR1003,H1003))))</f>
        <v>4</v>
      </c>
      <c r="AO1003" s="57" t="n">
        <f aca="false">IF(BT1003=1,0,ROUNDUP(AN1003/BS1003,0))</f>
        <v>1</v>
      </c>
      <c r="AP1003" s="59" t="n">
        <f aca="false">IF(CH1003&gt;0,CH1003*MAX(1,AN1003/X1003),IF(BT1003=1,IF(AN1003&lt;=0,0,BW1003*MAX(1,IF(H1003&gt;0,AN1003/H1003,1))),IF(R1003&gt;0,AO1003/R1003,0))/MAX(0.1,N(Parameter!$M$21)))</f>
        <v>0.0833333333333333</v>
      </c>
      <c r="AQ1003" s="57" t="n">
        <f aca="false">AN1003*G1003</f>
        <v>396.24</v>
      </c>
      <c r="AR1003" s="57" t="n">
        <f aca="false">ROUNDUP(MAX(J1003/IF(BZ1003&gt;0,BZ1003,MAX(0.1,N(Cockpit!$I$6))),CC1003)/BS1003,0)*BS1003</f>
        <v>4</v>
      </c>
      <c r="AS1003" s="58" t="n">
        <f aca="false">IF(AP1003&gt;0,J1003/AP1003,-1)</f>
        <v>0</v>
      </c>
      <c r="AT1003" s="58" t="n">
        <f aca="false">IF(AND(OR(BY1003="L1",BY1003="L23"),AP1003&gt;0),SUMIFS($AP$7:$AP$1843,$BY$7:$BY$1843,BY1003,$AS$7:$AS$1843,"&gt;"&amp;AS1003)+SUMIFS($AP$7:$AP$1843,$BY$7:$BY$1843,BY1003,$AS$7:$AS$1843,AS1003,$BQ$7:$BQ$1843,"&lt;="&amp;BQ1003),"")</f>
        <v>119.816121076991</v>
      </c>
      <c r="AU1003" s="65" t="n">
        <f aca="false">IF(AT1003="",0,MAX(0,MIN(1,(IF(BY1003="L1",Parameter!$E$5,Parameter!$E$6+Parameter!$E$7)-(AT1003-AP1003))/AP1003)))</f>
        <v>0</v>
      </c>
      <c r="AV1003" s="57" t="n">
        <f aca="false">IF(LEFT(Cockpit!$O$5,1)="A",H1003,IF(CA1003=1,CB1003,IF(LEFT(Cockpit!$O$5,1)="B",AZ1003,MAX(AZ1003,H1003))))</f>
        <v>4</v>
      </c>
      <c r="AW1003" s="57" t="n">
        <f aca="false">IF(BT1003=1,0,ROUNDUP(AV1003/BS1003,0))</f>
        <v>1</v>
      </c>
      <c r="AX1003" s="59" t="n">
        <f aca="false">IF(CH1003&gt;0,CH1003*MAX(1,AV1003/X1003),IF(BT1003=1,IF(AV1003&lt;=0,0,BW1003*MAX(1,IF(H1003&gt;0,AV1003/H1003,1))),IF(R1003&gt;0,AW1003/R1003,0))/MAX(0.1,N(Parameter!$M$21)))</f>
        <v>0.0833333333333333</v>
      </c>
      <c r="AY1003" s="57" t="n">
        <f aca="false">AV1003*G1003</f>
        <v>396.24</v>
      </c>
      <c r="AZ1003" s="57" t="n">
        <f aca="false">ROUNDUP(MAX(J1003/IF(BZ1003&gt;0,BZ1003,MAX(0.1,N(Cockpit!$O$6))),CC1003)/BS1003,0)*BS1003</f>
        <v>4</v>
      </c>
      <c r="BA1003" s="58" t="n">
        <f aca="false">IF(AX1003&gt;0,J1003/AX1003,-1)</f>
        <v>0</v>
      </c>
      <c r="BB1003" s="58" t="n">
        <f aca="false">IF(AND(OR(BY1003="L1",BY1003="L23"),AX1003&gt;0),SUMIFS($AX$7:$AX$1843,$BY$7:$BY$1843,BY1003,$BA$7:$BA$1843,"&gt;"&amp;BA1003)+SUMIFS($AX$7:$AX$1843,$BY$7:$BY$1843,BY1003,$BA$7:$BA$1843,BA1003,$BQ$7:$BQ$1843,"&lt;="&amp;BQ1003),"")</f>
        <v>110.645957906827</v>
      </c>
      <c r="BC1003" s="65" t="n">
        <f aca="false">IF(BB1003="",0,MAX(0,MIN(1,(IF(BY1003="L1",Parameter!$E$5,Parameter!$E$6+Parameter!$E$7)-(BB1003-AX1003))/AX1003)))</f>
        <v>0</v>
      </c>
      <c r="BD1003" s="55" t="str">
        <f aca="false">IF(AH1003&lt;=0,"",IF(BY1003="Aussen","Aussenlager",IF(BY1003="-","Nicht im Lift",IF(AM1003&gt;=1,"Lift",IF(AM1003&lt;=0,"Aussenlager","teilweise")))))</f>
        <v>Lift</v>
      </c>
      <c r="BE1003" s="55" t="str">
        <f aca="false">IF(AP1003&lt;=0,"",IF(BY1003="Aussen","Aussenlager",IF(BY1003="-","Nicht im Lift",IF(AU1003&gt;=1,"Lift",IF(AU1003&lt;=0,"Aussenlager","teilweise")))))</f>
        <v>Aussenlager</v>
      </c>
      <c r="BF1003" s="55" t="str">
        <f aca="false">IF(AX1003&lt;=0,"",IF(BY1003="Aussen","Aussenlager",IF(BY1003="-","Nicht im Lift",IF(BC1003&gt;=1,"Lift",IF(BC1003&lt;=0,"Aussenlager","teilweise")))))</f>
        <v>Aussenlager</v>
      </c>
      <c r="BG1003" s="55" t="str">
        <f aca="false">IF(A1003="","",IF(BP1003=1,"Neu; ","")&amp;IF(AND(BP1003=0,BK1003&lt;0),"negativer Bestand (Export "&amp;BK1003&amp;"); ","")&amp;IF(J1003&lt;=0,"Kein Verbrauch; ","")&amp;IF(CH1003&gt;0,"Lift "&amp;W1003&amp;" lt. Liftbericht (Fach "&amp;X1003&amp;" Stk); ",IF(BU1003=1,"Gebinde geschätzt ("&amp;T1003&amp;"); ",IF(BT1003=1,"Lose – Tablare geschätzt; ","")))&amp;IF(H1003&gt;AR1003,"Überbestand "&amp;ROUND(H1003-AR1003,0)&amp;" Stk / CHF "&amp;ROUND((H1003-AR1003)*G1003,0)&amp;"; ","")&amp;IF(AND(CA1003=1,CB1003&lt;CC1003),"MAX &lt; MB+LG; ","")&amp;IF(AND(CG1003&gt;0,CF1003*10&gt;CG1003),"zu hoch für Tablar; ","")&amp;IF(AND(BP1003=0,OR(CA1003=1,AA1003&lt;&gt;"",U1003&lt;&gt;"",V1003&lt;&gt;"",AB1003&lt;&gt;"")),"manuell übersteuert; ","")&amp;IF(AND(BT1003=0,R1003=0),"Gebinde unbekannt / Stellmass fehlt; ","")&amp;IF(AND(BT1003=0,N(V1003)&lt;=0,N(Q1003)&lt;=0),"Menge pro Gebinde fehlt (Ist = 1 Gebinde); ","")&amp;BO1003)</f>
        <v>negativer Bestand (Export -1); Kein Verbrauch; Gebinde geschätzt (Mittel); Menge pro Gebinde fehlt (Ist = 1 Gebinde); </v>
      </c>
      <c r="BH1003" s="55"/>
      <c r="BI1003" s="55"/>
      <c r="BJ1003" s="62"/>
      <c r="BK1003" s="57" t="n">
        <v>-1</v>
      </c>
      <c r="BL1003" s="57" t="n">
        <v>2</v>
      </c>
      <c r="BM1003" s="56" t="n">
        <v>-99.06</v>
      </c>
      <c r="BN1003" s="57" t="n">
        <v>0</v>
      </c>
      <c r="BO1003" s="55"/>
      <c r="BP1003" s="60" t="n">
        <v>0</v>
      </c>
      <c r="BQ1003" s="60" t="n">
        <v>1003</v>
      </c>
      <c r="BR1003" s="55" t="str">
        <f aca="false">IF(U1003&lt;&gt;"",UPPER(TRIM(U1003)),IF(BU1003=1,UPPER(VLOOKUP(T1003,Parameter!$I$27:$K$29,2,0)),IF(P1003="","LOSE",P1003)))</f>
        <v>S61</v>
      </c>
      <c r="BS1003" s="57" t="n">
        <f aca="false">IF(BR1003="LOSE",1,IF(N(V1003)&gt;0,V1003,IF(BU1003=1,MAX(1,N(VLOOKUP(T1003,Parameter!$I$27:$K$29,3,0)),H1003,N(N1003)),IF(N(Q1003)&gt;0,Q1003,MAX(1,H1003)))))</f>
        <v>4</v>
      </c>
      <c r="BT1003" s="60" t="n">
        <f aca="false">IF(BR1003="LOSE",1,0)</f>
        <v>0</v>
      </c>
      <c r="BU1003" s="60" t="n">
        <f aca="false">IF(AND(U1003="",OR(P1003="",P1003="LOSE"),T1003&lt;&gt;"",N(S1003)&lt;=0,ISNUMBER(MATCH(T1003,Parameter!$I$27:$I$29,0))),1,0)</f>
        <v>1</v>
      </c>
      <c r="BV1003" s="55" t="str">
        <f aca="false">IF(AND(Parameter!$B$19="Ja",E1003&lt;&gt;"",ISNUMBER(MATCH(E1003,Parameter!$I$35:$I$52,0))),VLOOKUP(E1003,Parameter!$I$35:$J$52,2,0),IFERROR(VLOOKUP(D1003,Parameter!$A$35:$C$64,2,0),"Nein"))</f>
        <v>2+3</v>
      </c>
      <c r="BW1003" s="59" t="n">
        <f aca="false">IF(BT1003=0,0,IF(N(S1003)&gt;0,S1003,IFERROR(VLOOKUP(D1003,Parameter!$A$35:$C$64,3,0)+0,0)))</f>
        <v>0</v>
      </c>
      <c r="BX1003" s="55" t="n">
        <f aca="false">IF(AA1003&lt;&gt;"",AA1003,Z1003)</f>
        <v>2</v>
      </c>
      <c r="BY1003" s="55" t="str">
        <f aca="false">IF(BX1003=1,"L1",IF(OR(BX1003=2,BX1003=3),"L23",IF(BX1003="Aussen","Aussen","-")))</f>
        <v>L23</v>
      </c>
      <c r="BZ1003" s="66" t="n">
        <f aca="false">IF(N(AB1003)&gt;0,AB1003,0)</f>
        <v>0</v>
      </c>
      <c r="CA1003" s="60" t="n">
        <f aca="false">IF(ISNUMBER(AE1003),1,0)</f>
        <v>0</v>
      </c>
      <c r="CB1003" s="57" t="n">
        <f aca="false">N(AE1003)</f>
        <v>0</v>
      </c>
      <c r="CC1003" s="57" t="n">
        <f aca="false">N(M1003)+N(N1003)</f>
        <v>1</v>
      </c>
      <c r="CD1003" s="57" t="n">
        <f aca="false">ROUNDUP(H1003/BS1003,0)</f>
        <v>1</v>
      </c>
      <c r="CE1003" s="57" t="n">
        <f aca="false">ROUNDUP(CB1003/BS1003,0)</f>
        <v>0</v>
      </c>
      <c r="CF1003" s="60" t="n">
        <f aca="false">IF(BT1003=1,0,IFERROR(VLOOKUP(BR1003,'Gebinde-Kategorie'!$A$5:$M$45,5,0)+0,0))</f>
        <v>11</v>
      </c>
      <c r="CG1003" s="60" t="n">
        <f aca="false">IFERROR(IF(OR(BX1003=1,BX1003=2,BX1003=3),N(INDEX(Parameter!$I$5:$I$7,BX1003)),0),0)</f>
        <v>0</v>
      </c>
      <c r="CH1003" s="59" t="n">
        <f aca="false">IF(AND(Parameter!$B$21="Ja",ISNUMBER(W1003),N(X1003)&gt;0),IFERROR(N(INDEX(Parameter!$L$5:$L$7,W1003))*INDEX(Parameter!$E$5:$E$7,W1003)*X1003/SUMIFS($X$7:$X$1843,$W$7:$W$1843,W1003),0),0)</f>
        <v>0</v>
      </c>
    </row>
    <row r="1004" customFormat="false" ht="15" hidden="false" customHeight="false" outlineLevel="0" collapsed="false">
      <c r="A1004" s="55" t="s">
        <v>1851</v>
      </c>
      <c r="B1004" s="55" t="s">
        <v>1852</v>
      </c>
      <c r="C1004" s="55" t="s">
        <v>456</v>
      </c>
      <c r="D1004" s="55" t="s">
        <v>173</v>
      </c>
      <c r="E1004" s="55"/>
      <c r="F1004" s="55" t="s">
        <v>218</v>
      </c>
      <c r="G1004" s="56" t="n">
        <v>12.5</v>
      </c>
      <c r="H1004" s="57" t="n">
        <f aca="false">MAX(0,IF(AND(Parameter!$B$21="Ja",ISNUMBER(Y1004)),Y1004,IF(Parameter!$B$20="Jahresanfang 2025 + Export",BL1004+BK1004,BK1004)))</f>
        <v>8</v>
      </c>
      <c r="I1004" s="57" t="n">
        <f aca="false">H1004*G1004</f>
        <v>100</v>
      </c>
      <c r="J1004" s="57" t="n">
        <f aca="false">BN1004*Parameter!$B$18</f>
        <v>8</v>
      </c>
      <c r="K1004" s="58" t="n">
        <v>8</v>
      </c>
      <c r="L1004" s="59" t="n">
        <v>1</v>
      </c>
      <c r="M1004" s="57" t="n">
        <v>0</v>
      </c>
      <c r="N1004" s="57" t="n">
        <v>10</v>
      </c>
      <c r="O1004" s="60" t="n">
        <v>28</v>
      </c>
      <c r="P1004" s="55" t="s">
        <v>168</v>
      </c>
      <c r="Q1004" s="57"/>
      <c r="R1004" s="60" t="n">
        <f aca="false">IF(BT1004=1,0,IFERROR(VLOOKUP(BR1004,'Gebinde-Kategorie'!$A$5:$M$45,13,0)+0,0))</f>
        <v>12</v>
      </c>
      <c r="S1004" s="61"/>
      <c r="T1004" s="62" t="s">
        <v>179</v>
      </c>
      <c r="U1004" s="62"/>
      <c r="V1004" s="62"/>
      <c r="W1004" s="55"/>
      <c r="X1004" s="57"/>
      <c r="Y1004" s="57"/>
      <c r="Z1004" s="55" t="n">
        <f aca="false">IF(A1004="","",IF(AND(Parameter!$B$21="Ja",ISNUMBER(W1004)),W1004,IF(BV1004="2+3",IF(ISNUMBER(SEARCH("grosser Artikel",BO1004)),2,IFERROR(VLOOKUP(BR1004,Parameter!$F$35:$G$64,2,0),2)),IF(OR(BV1004="Nein",BV1004=""),"-",BV1004))))</f>
        <v>2</v>
      </c>
      <c r="AA1004" s="62"/>
      <c r="AB1004" s="63"/>
      <c r="AC1004" s="57" t="n">
        <f aca="false">AR1004</f>
        <v>10</v>
      </c>
      <c r="AD1004" s="57" t="n">
        <f aca="false">MAX(AR1004,H1004)</f>
        <v>10</v>
      </c>
      <c r="AE1004" s="64"/>
      <c r="AF1004" s="57" t="n">
        <f aca="false">IF(LEFT(Cockpit!$C$5,1)="A",H1004,IF(CA1004=1,CB1004,IF(LEFT(Cockpit!$C$5,1)="B",AJ1004,MAX(AJ1004,H1004))))</f>
        <v>8</v>
      </c>
      <c r="AG1004" s="57" t="n">
        <f aca="false">IF(BT1004=1,0,ROUNDUP(AF1004/BS1004,0))</f>
        <v>1</v>
      </c>
      <c r="AH1004" s="59" t="n">
        <f aca="false">IF(CH1004&gt;0,CH1004*MAX(1,AF1004/X1004),IF(BT1004=1,IF(AF1004&lt;=0,0,BW1004*MAX(1,IF(H1004&gt;0,AF1004/H1004,1))),IF(R1004&gt;0,AG1004/R1004,0))/MAX(0.1,N(Parameter!$M$21)))</f>
        <v>0.0833333333333333</v>
      </c>
      <c r="AI1004" s="57" t="n">
        <f aca="false">AF1004*G1004</f>
        <v>100</v>
      </c>
      <c r="AJ1004" s="57" t="n">
        <f aca="false">ROUNDUP(MAX(J1004/IF(BZ1004&gt;0,BZ1004,MAX(0.1,N(Cockpit!$C$6))),CC1004)/BS1004,0)*BS1004</f>
        <v>10</v>
      </c>
      <c r="AK1004" s="58" t="n">
        <f aca="false">IF(AH1004&gt;0,J1004/AH1004,-1)</f>
        <v>96</v>
      </c>
      <c r="AL1004" s="58" t="n">
        <f aca="false">IF(AND(OR(BY1004="L1",BY1004="L23"),AH1004&gt;0),SUMIFS($AH$7:$AH$1843,$BY$7:$BY$1843,BY1004,$AK$7:$AK$1843,"&gt;"&amp;AK1004)+SUMIFS($AH$7:$AH$1843,$BY$7:$BY$1843,BY1004,$AK$7:$AK$1843,AK1004,$BQ$7:$BQ$1843,"&lt;="&amp;BQ1004),"")</f>
        <v>38.9646380189858</v>
      </c>
      <c r="AM1004" s="65" t="n">
        <f aca="false">IF(AL1004="",0,MAX(0,MIN(1,(IF(BY1004="L1",Parameter!$E$5,Parameter!$E$6+Parameter!$E$7)-(AL1004-AH1004))/AH1004)))</f>
        <v>1</v>
      </c>
      <c r="AN1004" s="57" t="n">
        <f aca="false">IF(LEFT(Cockpit!$I$5,1)="A",H1004,IF(CA1004=1,CB1004,IF(LEFT(Cockpit!$I$5,1)="B",AR1004,MAX(AR1004,H1004))))</f>
        <v>10</v>
      </c>
      <c r="AO1004" s="57" t="n">
        <f aca="false">IF(BT1004=1,0,ROUNDUP(AN1004/BS1004,0))</f>
        <v>1</v>
      </c>
      <c r="AP1004" s="59" t="n">
        <f aca="false">IF(CH1004&gt;0,CH1004*MAX(1,AN1004/X1004),IF(BT1004=1,IF(AN1004&lt;=0,0,BW1004*MAX(1,IF(H1004&gt;0,AN1004/H1004,1))),IF(R1004&gt;0,AO1004/R1004,0))/MAX(0.1,N(Parameter!$M$21)))</f>
        <v>0.0833333333333333</v>
      </c>
      <c r="AQ1004" s="57" t="n">
        <f aca="false">AN1004*G1004</f>
        <v>125</v>
      </c>
      <c r="AR1004" s="57" t="n">
        <f aca="false">ROUNDUP(MAX(J1004/IF(BZ1004&gt;0,BZ1004,MAX(0.1,N(Cockpit!$I$6))),CC1004)/BS1004,0)*BS1004</f>
        <v>10</v>
      </c>
      <c r="AS1004" s="58" t="n">
        <f aca="false">IF(AP1004&gt;0,J1004/AP1004,-1)</f>
        <v>96</v>
      </c>
      <c r="AT1004" s="58" t="n">
        <f aca="false">IF(AND(OR(BY1004="L1",BY1004="L23"),AP1004&gt;0),SUMIFS($AP$7:$AP$1843,$BY$7:$BY$1843,BY1004,$AS$7:$AS$1843,"&gt;"&amp;AS1004)+SUMIFS($AP$7:$AP$1843,$BY$7:$BY$1843,BY1004,$AS$7:$AS$1843,AS1004,$BQ$7:$BQ$1843,"&lt;="&amp;BQ1004),"")</f>
        <v>57.4406270058444</v>
      </c>
      <c r="AU1004" s="65" t="n">
        <f aca="false">IF(AT1004="",0,MAX(0,MIN(1,(IF(BY1004="L1",Parameter!$E$5,Parameter!$E$6+Parameter!$E$7)-(AT1004-AP1004))/AP1004)))</f>
        <v>1</v>
      </c>
      <c r="AV1004" s="57" t="n">
        <f aca="false">IF(LEFT(Cockpit!$O$5,1)="A",H1004,IF(CA1004=1,CB1004,IF(LEFT(Cockpit!$O$5,1)="B",AZ1004,MAX(AZ1004,H1004))))</f>
        <v>10</v>
      </c>
      <c r="AW1004" s="57" t="n">
        <f aca="false">IF(BT1004=1,0,ROUNDUP(AV1004/BS1004,0))</f>
        <v>1</v>
      </c>
      <c r="AX1004" s="59" t="n">
        <f aca="false">IF(CH1004&gt;0,CH1004*MAX(1,AV1004/X1004),IF(BT1004=1,IF(AV1004&lt;=0,0,BW1004*MAX(1,IF(H1004&gt;0,AV1004/H1004,1))),IF(R1004&gt;0,AW1004/R1004,0))/MAX(0.1,N(Parameter!$M$21)))</f>
        <v>0.0833333333333333</v>
      </c>
      <c r="AY1004" s="57" t="n">
        <f aca="false">AV1004*G1004</f>
        <v>125</v>
      </c>
      <c r="AZ1004" s="57" t="n">
        <f aca="false">ROUNDUP(MAX(J1004/IF(BZ1004&gt;0,BZ1004,MAX(0.1,N(Cockpit!$O$6))),CC1004)/BS1004,0)*BS1004</f>
        <v>10</v>
      </c>
      <c r="BA1004" s="58" t="n">
        <f aca="false">IF(AX1004&gt;0,J1004/AX1004,-1)</f>
        <v>96</v>
      </c>
      <c r="BB1004" s="58" t="n">
        <f aca="false">IF(AND(OR(BY1004="L1",BY1004="L23"),AX1004&gt;0),SUMIFS($AX$7:$AX$1843,$BY$7:$BY$1843,BY1004,$BA$7:$BA$1843,"&gt;"&amp;BA1004)+SUMIFS($AX$7:$AX$1843,$BY$7:$BY$1843,BY1004,$BA$7:$BA$1843,BA1004,$BQ$7:$BQ$1843,"&lt;="&amp;BQ1004),"")</f>
        <v>54.8537971690146</v>
      </c>
      <c r="BC1004" s="65" t="n">
        <f aca="false">IF(BB1004="",0,MAX(0,MIN(1,(IF(BY1004="L1",Parameter!$E$5,Parameter!$E$6+Parameter!$E$7)-(BB1004-AX1004))/AX1004)))</f>
        <v>1</v>
      </c>
      <c r="BD1004" s="55" t="str">
        <f aca="false">IF(AH1004&lt;=0,"",IF(BY1004="Aussen","Aussenlager",IF(BY1004="-","Nicht im Lift",IF(AM1004&gt;=1,"Lift",IF(AM1004&lt;=0,"Aussenlager","teilweise")))))</f>
        <v>Lift</v>
      </c>
      <c r="BE1004" s="55" t="str">
        <f aca="false">IF(AP1004&lt;=0,"",IF(BY1004="Aussen","Aussenlager",IF(BY1004="-","Nicht im Lift",IF(AU1004&gt;=1,"Lift",IF(AU1004&lt;=0,"Aussenlager","teilweise")))))</f>
        <v>Lift</v>
      </c>
      <c r="BF1004" s="55" t="str">
        <f aca="false">IF(AX1004&lt;=0,"",IF(BY1004="Aussen","Aussenlager",IF(BY1004="-","Nicht im Lift",IF(BC1004&gt;=1,"Lift",IF(BC1004&lt;=0,"Aussenlager","teilweise")))))</f>
        <v>Lift</v>
      </c>
      <c r="BG1004" s="55" t="str">
        <f aca="false">IF(A1004="","",IF(BP1004=1,"Neu; ","")&amp;IF(AND(BP1004=0,BK1004&lt;0),"negativer Bestand (Export "&amp;BK1004&amp;"); ","")&amp;IF(J1004&lt;=0,"Kein Verbrauch; ","")&amp;IF(CH1004&gt;0,"Lift "&amp;W1004&amp;" lt. Liftbericht (Fach "&amp;X1004&amp;" Stk); ",IF(BU1004=1,"Gebinde geschätzt ("&amp;T1004&amp;"); ",IF(BT1004=1,"Lose – Tablare geschätzt; ","")))&amp;IF(H1004&gt;AR1004,"Überbestand "&amp;ROUND(H1004-AR1004,0)&amp;" Stk / CHF "&amp;ROUND((H1004-AR1004)*G1004,0)&amp;"; ","")&amp;IF(AND(CA1004=1,CB1004&lt;CC1004),"MAX &lt; MB+LG; ","")&amp;IF(AND(CG1004&gt;0,CF1004*10&gt;CG1004),"zu hoch für Tablar; ","")&amp;IF(AND(BP1004=0,OR(CA1004=1,AA1004&lt;&gt;"",U1004&lt;&gt;"",V1004&lt;&gt;"",AB1004&lt;&gt;"")),"manuell übersteuert; ","")&amp;IF(AND(BT1004=0,R1004=0),"Gebinde unbekannt / Stellmass fehlt; ","")&amp;IF(AND(BT1004=0,N(V1004)&lt;=0,N(Q1004)&lt;=0),"Menge pro Gebinde fehlt (Ist = 1 Gebinde); ","")&amp;BO1004)</f>
        <v>negativer Bestand (Export -8); Gebinde geschätzt (Mittel); Menge pro Gebinde fehlt (Ist = 1 Gebinde); </v>
      </c>
      <c r="BH1004" s="55"/>
      <c r="BI1004" s="55"/>
      <c r="BJ1004" s="62"/>
      <c r="BK1004" s="57" t="n">
        <v>-8</v>
      </c>
      <c r="BL1004" s="57" t="n">
        <v>16</v>
      </c>
      <c r="BM1004" s="56" t="n">
        <v>-100</v>
      </c>
      <c r="BN1004" s="57" t="n">
        <v>8</v>
      </c>
      <c r="BO1004" s="55"/>
      <c r="BP1004" s="60" t="n">
        <v>0</v>
      </c>
      <c r="BQ1004" s="60" t="n">
        <v>1004</v>
      </c>
      <c r="BR1004" s="55" t="str">
        <f aca="false">IF(U1004&lt;&gt;"",UPPER(TRIM(U1004)),IF(BU1004=1,UPPER(VLOOKUP(T1004,Parameter!$I$27:$K$29,2,0)),IF(P1004="","LOSE",P1004)))</f>
        <v>S61</v>
      </c>
      <c r="BS1004" s="57" t="n">
        <f aca="false">IF(BR1004="LOSE",1,IF(N(V1004)&gt;0,V1004,IF(BU1004=1,MAX(1,N(VLOOKUP(T1004,Parameter!$I$27:$K$29,3,0)),H1004,N(N1004)),IF(N(Q1004)&gt;0,Q1004,MAX(1,H1004)))))</f>
        <v>10</v>
      </c>
      <c r="BT1004" s="60" t="n">
        <f aca="false">IF(BR1004="LOSE",1,0)</f>
        <v>0</v>
      </c>
      <c r="BU1004" s="60" t="n">
        <f aca="false">IF(AND(U1004="",OR(P1004="",P1004="LOSE"),T1004&lt;&gt;"",N(S1004)&lt;=0,ISNUMBER(MATCH(T1004,Parameter!$I$27:$I$29,0))),1,0)</f>
        <v>1</v>
      </c>
      <c r="BV1004" s="55" t="str">
        <f aca="false">IF(AND(Parameter!$B$19="Ja",E1004&lt;&gt;"",ISNUMBER(MATCH(E1004,Parameter!$I$35:$I$52,0))),VLOOKUP(E1004,Parameter!$I$35:$J$52,2,0),IFERROR(VLOOKUP(D1004,Parameter!$A$35:$C$64,2,0),"Nein"))</f>
        <v>2+3</v>
      </c>
      <c r="BW1004" s="59" t="n">
        <f aca="false">IF(BT1004=0,0,IF(N(S1004)&gt;0,S1004,IFERROR(VLOOKUP(D1004,Parameter!$A$35:$C$64,3,0)+0,0)))</f>
        <v>0</v>
      </c>
      <c r="BX1004" s="55" t="n">
        <f aca="false">IF(AA1004&lt;&gt;"",AA1004,Z1004)</f>
        <v>2</v>
      </c>
      <c r="BY1004" s="55" t="str">
        <f aca="false">IF(BX1004=1,"L1",IF(OR(BX1004=2,BX1004=3),"L23",IF(BX1004="Aussen","Aussen","-")))</f>
        <v>L23</v>
      </c>
      <c r="BZ1004" s="66" t="n">
        <f aca="false">IF(N(AB1004)&gt;0,AB1004,0)</f>
        <v>0</v>
      </c>
      <c r="CA1004" s="60" t="n">
        <f aca="false">IF(ISNUMBER(AE1004),1,0)</f>
        <v>0</v>
      </c>
      <c r="CB1004" s="57" t="n">
        <f aca="false">N(AE1004)</f>
        <v>0</v>
      </c>
      <c r="CC1004" s="57" t="n">
        <f aca="false">N(M1004)+N(N1004)</f>
        <v>10</v>
      </c>
      <c r="CD1004" s="57" t="n">
        <f aca="false">ROUNDUP(H1004/BS1004,0)</f>
        <v>1</v>
      </c>
      <c r="CE1004" s="57" t="n">
        <f aca="false">ROUNDUP(CB1004/BS1004,0)</f>
        <v>0</v>
      </c>
      <c r="CF1004" s="60" t="n">
        <f aca="false">IF(BT1004=1,0,IFERROR(VLOOKUP(BR1004,'Gebinde-Kategorie'!$A$5:$M$45,5,0)+0,0))</f>
        <v>11</v>
      </c>
      <c r="CG1004" s="60" t="n">
        <f aca="false">IFERROR(IF(OR(BX1004=1,BX1004=2,BX1004=3),N(INDEX(Parameter!$I$5:$I$7,BX1004)),0),0)</f>
        <v>0</v>
      </c>
      <c r="CH1004" s="59" t="n">
        <f aca="false">IF(AND(Parameter!$B$21="Ja",ISNUMBER(W1004),N(X1004)&gt;0),IFERROR(N(INDEX(Parameter!$L$5:$L$7,W1004))*INDEX(Parameter!$E$5:$E$7,W1004)*X1004/SUMIFS($X$7:$X$1843,$W$7:$W$1843,W1004),0),0)</f>
        <v>0</v>
      </c>
    </row>
    <row r="1005" customFormat="false" ht="15" hidden="false" customHeight="false" outlineLevel="0" collapsed="false">
      <c r="A1005" s="55" t="s">
        <v>1853</v>
      </c>
      <c r="B1005" s="55" t="s">
        <v>1854</v>
      </c>
      <c r="C1005" s="55" t="s">
        <v>164</v>
      </c>
      <c r="D1005" s="55" t="s">
        <v>184</v>
      </c>
      <c r="E1005" s="55" t="s">
        <v>185</v>
      </c>
      <c r="F1005" s="55" t="s">
        <v>218</v>
      </c>
      <c r="G1005" s="56" t="n">
        <v>7.57</v>
      </c>
      <c r="H1005" s="57" t="n">
        <f aca="false">MAX(0,IF(AND(Parameter!$B$21="Ja",ISNUMBER(Y1005)),Y1005,IF(Parameter!$B$20="Jahresanfang 2025 + Export",BL1005+BK1005,BK1005)))</f>
        <v>13</v>
      </c>
      <c r="I1005" s="57" t="n">
        <f aca="false">H1005*G1005</f>
        <v>98.41</v>
      </c>
      <c r="J1005" s="57" t="n">
        <f aca="false">BN1005*Parameter!$B$18</f>
        <v>53</v>
      </c>
      <c r="K1005" s="58" t="n">
        <v>26.5</v>
      </c>
      <c r="L1005" s="59" t="n">
        <v>2</v>
      </c>
      <c r="M1005" s="57" t="n">
        <v>3</v>
      </c>
      <c r="N1005" s="57" t="n">
        <v>55</v>
      </c>
      <c r="O1005" s="60" t="n">
        <v>21</v>
      </c>
      <c r="P1005" s="55" t="s">
        <v>328</v>
      </c>
      <c r="Q1005" s="57" t="n">
        <v>41</v>
      </c>
      <c r="R1005" s="60" t="n">
        <f aca="false">IF(BT1005=1,0,IFERROR(VLOOKUP(BR1005,'Gebinde-Kategorie'!$A$5:$M$45,13,0)+0,0))</f>
        <v>52</v>
      </c>
      <c r="S1005" s="61"/>
      <c r="T1005" s="62"/>
      <c r="U1005" s="62"/>
      <c r="V1005" s="62"/>
      <c r="W1005" s="55"/>
      <c r="X1005" s="57"/>
      <c r="Y1005" s="57"/>
      <c r="Z1005" s="55" t="n">
        <f aca="false">IF(A1005="","",IF(AND(Parameter!$B$21="Ja",ISNUMBER(W1005)),W1005,IF(BV1005="2+3",IF(ISNUMBER(SEARCH("grosser Artikel",BO1005)),2,IFERROR(VLOOKUP(BR1005,Parameter!$F$35:$G$64,2,0),2)),IF(OR(BV1005="Nein",BV1005=""),"-",BV1005))))</f>
        <v>3</v>
      </c>
      <c r="AA1005" s="62"/>
      <c r="AB1005" s="63"/>
      <c r="AC1005" s="57" t="n">
        <f aca="false">AR1005</f>
        <v>82</v>
      </c>
      <c r="AD1005" s="57" t="n">
        <f aca="false">MAX(AR1005,H1005)</f>
        <v>82</v>
      </c>
      <c r="AE1005" s="64"/>
      <c r="AF1005" s="57" t="n">
        <f aca="false">IF(LEFT(Cockpit!$C$5,1)="A",H1005,IF(CA1005=1,CB1005,IF(LEFT(Cockpit!$C$5,1)="B",AJ1005,MAX(AJ1005,H1005))))</f>
        <v>13</v>
      </c>
      <c r="AG1005" s="57" t="n">
        <f aca="false">IF(BT1005=1,0,ROUNDUP(AF1005/BS1005,0))</f>
        <v>1</v>
      </c>
      <c r="AH1005" s="59" t="n">
        <f aca="false">IF(CH1005&gt;0,CH1005*MAX(1,AF1005/X1005),IF(BT1005=1,IF(AF1005&lt;=0,0,BW1005*MAX(1,IF(H1005&gt;0,AF1005/H1005,1))),IF(R1005&gt;0,AG1005/R1005,0))/MAX(0.1,N(Parameter!$M$21)))</f>
        <v>0.0192307692307692</v>
      </c>
      <c r="AI1005" s="57" t="n">
        <f aca="false">AF1005*G1005</f>
        <v>98.41</v>
      </c>
      <c r="AJ1005" s="57" t="n">
        <f aca="false">ROUNDUP(MAX(J1005/IF(BZ1005&gt;0,BZ1005,MAX(0.1,N(Cockpit!$C$6))),CC1005)/BS1005,0)*BS1005</f>
        <v>82</v>
      </c>
      <c r="AK1005" s="58" t="n">
        <f aca="false">IF(AH1005&gt;0,J1005/AH1005,-1)</f>
        <v>2756</v>
      </c>
      <c r="AL1005" s="58" t="n">
        <f aca="false">IF(AND(OR(BY1005="L1",BY1005="L23"),AH1005&gt;0),SUMIFS($AH$7:$AH$1843,$BY$7:$BY$1843,BY1005,$AK$7:$AK$1843,"&gt;"&amp;AK1005)+SUMIFS($AH$7:$AH$1843,$BY$7:$BY$1843,BY1005,$AK$7:$AK$1843,AK1005,$BQ$7:$BQ$1843,"&lt;="&amp;BQ1005),"")</f>
        <v>11.1835917705483</v>
      </c>
      <c r="AM1005" s="65" t="n">
        <f aca="false">IF(AL1005="",0,MAX(0,MIN(1,(IF(BY1005="L1",Parameter!$E$5,Parameter!$E$6+Parameter!$E$7)-(AL1005-AH1005))/AH1005)))</f>
        <v>1</v>
      </c>
      <c r="AN1005" s="57" t="n">
        <f aca="false">IF(LEFT(Cockpit!$I$5,1)="A",H1005,IF(CA1005=1,CB1005,IF(LEFT(Cockpit!$I$5,1)="B",AR1005,MAX(AR1005,H1005))))</f>
        <v>82</v>
      </c>
      <c r="AO1005" s="57" t="n">
        <f aca="false">IF(BT1005=1,0,ROUNDUP(AN1005/BS1005,0))</f>
        <v>2</v>
      </c>
      <c r="AP1005" s="59" t="n">
        <f aca="false">IF(CH1005&gt;0,CH1005*MAX(1,AN1005/X1005),IF(BT1005=1,IF(AN1005&lt;=0,0,BW1005*MAX(1,IF(H1005&gt;0,AN1005/H1005,1))),IF(R1005&gt;0,AO1005/R1005,0))/MAX(0.1,N(Parameter!$M$21)))</f>
        <v>0.0384615384615385</v>
      </c>
      <c r="AQ1005" s="57" t="n">
        <f aca="false">AN1005*G1005</f>
        <v>620.74</v>
      </c>
      <c r="AR1005" s="57" t="n">
        <f aca="false">ROUNDUP(MAX(J1005/IF(BZ1005&gt;0,BZ1005,MAX(0.1,N(Cockpit!$I$6))),CC1005)/BS1005,0)*BS1005</f>
        <v>82</v>
      </c>
      <c r="AS1005" s="58" t="n">
        <f aca="false">IF(AP1005&gt;0,J1005/AP1005,-1)</f>
        <v>1378</v>
      </c>
      <c r="AT1005" s="58" t="n">
        <f aca="false">IF(AND(OR(BY1005="L1",BY1005="L23"),AP1005&gt;0),SUMIFS($AP$7:$AP$1843,$BY$7:$BY$1843,BY1005,$AS$7:$AS$1843,"&gt;"&amp;AS1005)+SUMIFS($AP$7:$AP$1843,$BY$7:$BY$1843,BY1005,$AS$7:$AS$1843,AS1005,$BQ$7:$BQ$1843,"&lt;="&amp;BQ1005),"")</f>
        <v>21.244805918719</v>
      </c>
      <c r="AU1005" s="65" t="n">
        <f aca="false">IF(AT1005="",0,MAX(0,MIN(1,(IF(BY1005="L1",Parameter!$E$5,Parameter!$E$6+Parameter!$E$7)-(AT1005-AP1005))/AP1005)))</f>
        <v>1</v>
      </c>
      <c r="AV1005" s="57" t="n">
        <f aca="false">IF(LEFT(Cockpit!$O$5,1)="A",H1005,IF(CA1005=1,CB1005,IF(LEFT(Cockpit!$O$5,1)="B",AZ1005,MAX(AZ1005,H1005))))</f>
        <v>82</v>
      </c>
      <c r="AW1005" s="57" t="n">
        <f aca="false">IF(BT1005=1,0,ROUNDUP(AV1005/BS1005,0))</f>
        <v>2</v>
      </c>
      <c r="AX1005" s="59" t="n">
        <f aca="false">IF(CH1005&gt;0,CH1005*MAX(1,AV1005/X1005),IF(BT1005=1,IF(AV1005&lt;=0,0,BW1005*MAX(1,IF(H1005&gt;0,AV1005/H1005,1))),IF(R1005&gt;0,AW1005/R1005,0))/MAX(0.1,N(Parameter!$M$21)))</f>
        <v>0.0384615384615385</v>
      </c>
      <c r="AY1005" s="57" t="n">
        <f aca="false">AV1005*G1005</f>
        <v>620.74</v>
      </c>
      <c r="AZ1005" s="57" t="n">
        <f aca="false">ROUNDUP(MAX(J1005/IF(BZ1005&gt;0,BZ1005,MAX(0.1,N(Cockpit!$O$6))),CC1005)/BS1005,0)*BS1005</f>
        <v>82</v>
      </c>
      <c r="BA1005" s="58" t="n">
        <f aca="false">IF(AX1005&gt;0,J1005/AX1005,-1)</f>
        <v>1378</v>
      </c>
      <c r="BB1005" s="58" t="n">
        <f aca="false">IF(AND(OR(BY1005="L1",BY1005="L23"),AX1005&gt;0),SUMIFS($AX$7:$AX$1843,$BY$7:$BY$1843,BY1005,$BA$7:$BA$1843,"&gt;"&amp;BA1005)+SUMIFS($AX$7:$AX$1843,$BY$7:$BY$1843,BY1005,$BA$7:$BA$1843,BA1005,$BQ$7:$BQ$1843,"&lt;="&amp;BQ1005),"")</f>
        <v>19.9400273639404</v>
      </c>
      <c r="BC1005" s="65" t="n">
        <f aca="false">IF(BB1005="",0,MAX(0,MIN(1,(IF(BY1005="L1",Parameter!$E$5,Parameter!$E$6+Parameter!$E$7)-(BB1005-AX1005))/AX1005)))</f>
        <v>1</v>
      </c>
      <c r="BD1005" s="55" t="str">
        <f aca="false">IF(AH1005&lt;=0,"",IF(BY1005="Aussen","Aussenlager",IF(BY1005="-","Nicht im Lift",IF(AM1005&gt;=1,"Lift",IF(AM1005&lt;=0,"Aussenlager","teilweise")))))</f>
        <v>Lift</v>
      </c>
      <c r="BE1005" s="55" t="str">
        <f aca="false">IF(AP1005&lt;=0,"",IF(BY1005="Aussen","Aussenlager",IF(BY1005="-","Nicht im Lift",IF(AU1005&gt;=1,"Lift",IF(AU1005&lt;=0,"Aussenlager","teilweise")))))</f>
        <v>Lift</v>
      </c>
      <c r="BF1005" s="55" t="str">
        <f aca="false">IF(AX1005&lt;=0,"",IF(BY1005="Aussen","Aussenlager",IF(BY1005="-","Nicht im Lift",IF(BC1005&gt;=1,"Lift",IF(BC1005&lt;=0,"Aussenlager","teilweise")))))</f>
        <v>Lift</v>
      </c>
      <c r="BG1005" s="55" t="str">
        <f aca="false">IF(A1005="","",IF(BP1005=1,"Neu; ","")&amp;IF(AND(BP1005=0,BK1005&lt;0),"negativer Bestand (Export "&amp;BK1005&amp;"); ","")&amp;IF(J1005&lt;=0,"Kein Verbrauch; ","")&amp;IF(CH1005&gt;0,"Lift "&amp;W1005&amp;" lt. Liftbericht (Fach "&amp;X1005&amp;" Stk); ",IF(BU1005=1,"Gebinde geschätzt ("&amp;T1005&amp;"); ",IF(BT1005=1,"Lose – Tablare geschätzt; ","")))&amp;IF(H1005&gt;AR1005,"Überbestand "&amp;ROUND(H1005-AR1005,0)&amp;" Stk / CHF "&amp;ROUND((H1005-AR1005)*G1005,0)&amp;"; ","")&amp;IF(AND(CA1005=1,CB1005&lt;CC1005),"MAX &lt; MB+LG; ","")&amp;IF(AND(CG1005&gt;0,CF1005*10&gt;CG1005),"zu hoch für Tablar; ","")&amp;IF(AND(BP1005=0,OR(CA1005=1,AA1005&lt;&gt;"",U1005&lt;&gt;"",V1005&lt;&gt;"",AB1005&lt;&gt;"")),"manuell übersteuert; ","")&amp;IF(AND(BT1005=0,R1005=0),"Gebinde unbekannt / Stellmass fehlt; ","")&amp;IF(AND(BT1005=0,N(V1005)&lt;=0,N(Q1005)&lt;=0),"Menge pro Gebinde fehlt (Ist = 1 Gebinde); ","")&amp;BO1005)</f>
        <v>negativer Bestand (Export -10); </v>
      </c>
      <c r="BH1005" s="55"/>
      <c r="BI1005" s="55"/>
      <c r="BJ1005" s="62"/>
      <c r="BK1005" s="57" t="n">
        <v>-10</v>
      </c>
      <c r="BL1005" s="57" t="n">
        <v>23</v>
      </c>
      <c r="BM1005" s="56" t="n">
        <v>-101.69</v>
      </c>
      <c r="BN1005" s="57" t="n">
        <v>53</v>
      </c>
      <c r="BO1005" s="55"/>
      <c r="BP1005" s="60" t="n">
        <v>0</v>
      </c>
      <c r="BQ1005" s="60" t="n">
        <v>1005</v>
      </c>
      <c r="BR1005" s="55" t="str">
        <f aca="false">IF(U1005&lt;&gt;"",UPPER(TRIM(U1005)),IF(BU1005=1,UPPER(VLOOKUP(T1005,Parameter!$I$27:$K$29,2,0)),IF(P1005="","LOSE",P1005)))</f>
        <v>S41</v>
      </c>
      <c r="BS1005" s="57" t="n">
        <f aca="false">IF(BR1005="LOSE",1,IF(N(V1005)&gt;0,V1005,IF(BU1005=1,MAX(1,N(VLOOKUP(T1005,Parameter!$I$27:$K$29,3,0)),H1005,N(N1005)),IF(N(Q1005)&gt;0,Q1005,MAX(1,H1005)))))</f>
        <v>41</v>
      </c>
      <c r="BT1005" s="60" t="n">
        <f aca="false">IF(BR1005="LOSE",1,0)</f>
        <v>0</v>
      </c>
      <c r="BU1005" s="60" t="n">
        <f aca="false">IF(AND(U1005="",OR(P1005="",P1005="LOSE"),T1005&lt;&gt;"",N(S1005)&lt;=0,ISNUMBER(MATCH(T1005,Parameter!$I$27:$I$29,0))),1,0)</f>
        <v>0</v>
      </c>
      <c r="BV1005" s="55" t="str">
        <f aca="false">IF(AND(Parameter!$B$19="Ja",E1005&lt;&gt;"",ISNUMBER(MATCH(E1005,Parameter!$I$35:$I$52,0))),VLOOKUP(E1005,Parameter!$I$35:$J$52,2,0),IFERROR(VLOOKUP(D1005,Parameter!$A$35:$C$64,2,0),"Nein"))</f>
        <v>2+3</v>
      </c>
      <c r="BW1005" s="59" t="n">
        <f aca="false">IF(BT1005=0,0,IF(N(S1005)&gt;0,S1005,IFERROR(VLOOKUP(D1005,Parameter!$A$35:$C$64,3,0)+0,0)))</f>
        <v>0</v>
      </c>
      <c r="BX1005" s="55" t="n">
        <f aca="false">IF(AA1005&lt;&gt;"",AA1005,Z1005)</f>
        <v>3</v>
      </c>
      <c r="BY1005" s="55" t="str">
        <f aca="false">IF(BX1005=1,"L1",IF(OR(BX1005=2,BX1005=3),"L23",IF(BX1005="Aussen","Aussen","-")))</f>
        <v>L23</v>
      </c>
      <c r="BZ1005" s="66" t="n">
        <f aca="false">IF(N(AB1005)&gt;0,AB1005,0)</f>
        <v>0</v>
      </c>
      <c r="CA1005" s="60" t="n">
        <f aca="false">IF(ISNUMBER(AE1005),1,0)</f>
        <v>0</v>
      </c>
      <c r="CB1005" s="57" t="n">
        <f aca="false">N(AE1005)</f>
        <v>0</v>
      </c>
      <c r="CC1005" s="57" t="n">
        <f aca="false">N(M1005)+N(N1005)</f>
        <v>58</v>
      </c>
      <c r="CD1005" s="57" t="n">
        <f aca="false">ROUNDUP(H1005/BS1005,0)</f>
        <v>1</v>
      </c>
      <c r="CE1005" s="57" t="n">
        <f aca="false">ROUNDUP(CB1005/BS1005,0)</f>
        <v>0</v>
      </c>
      <c r="CF1005" s="60" t="n">
        <f aca="false">IF(BT1005=1,0,IFERROR(VLOOKUP(BR1005,'Gebinde-Kategorie'!$A$5:$M$45,5,0)+0,0))</f>
        <v>11</v>
      </c>
      <c r="CG1005" s="60" t="n">
        <f aca="false">IFERROR(IF(OR(BX1005=1,BX1005=2,BX1005=3),N(INDEX(Parameter!$I$5:$I$7,BX1005)),0),0)</f>
        <v>0</v>
      </c>
      <c r="CH1005" s="59" t="n">
        <f aca="false">IF(AND(Parameter!$B$21="Ja",ISNUMBER(W1005),N(X1005)&gt;0),IFERROR(N(INDEX(Parameter!$L$5:$L$7,W1005))*INDEX(Parameter!$E$5:$E$7,W1005)*X1005/SUMIFS($X$7:$X$1843,$W$7:$W$1843,W1005),0),0)</f>
        <v>0</v>
      </c>
    </row>
    <row r="1006" customFormat="false" ht="15" hidden="false" customHeight="false" outlineLevel="0" collapsed="false">
      <c r="A1006" s="55" t="s">
        <v>1855</v>
      </c>
      <c r="B1006" s="55" t="s">
        <v>1856</v>
      </c>
      <c r="C1006" s="55" t="s">
        <v>164</v>
      </c>
      <c r="D1006" s="55" t="s">
        <v>173</v>
      </c>
      <c r="E1006" s="55"/>
      <c r="F1006" s="55" t="s">
        <v>218</v>
      </c>
      <c r="G1006" s="56" t="n">
        <v>20.83</v>
      </c>
      <c r="H1006" s="57" t="n">
        <f aca="false">MAX(0,IF(AND(Parameter!$B$21="Ja",ISNUMBER(Y1006)),Y1006,IF(Parameter!$B$20="Jahresanfang 2025 + Export",BL1006+BK1006,BK1006)))</f>
        <v>0</v>
      </c>
      <c r="I1006" s="57" t="n">
        <f aca="false">H1006*G1006</f>
        <v>0</v>
      </c>
      <c r="J1006" s="57" t="n">
        <f aca="false">BN1006*Parameter!$B$18</f>
        <v>0</v>
      </c>
      <c r="K1006" s="58" t="n">
        <v>2.5</v>
      </c>
      <c r="L1006" s="59" t="n">
        <v>0</v>
      </c>
      <c r="M1006" s="57" t="n">
        <v>0</v>
      </c>
      <c r="N1006" s="57" t="n">
        <v>1</v>
      </c>
      <c r="O1006" s="60" t="n">
        <v>42</v>
      </c>
      <c r="P1006" s="55" t="s">
        <v>168</v>
      </c>
      <c r="Q1006" s="57"/>
      <c r="R1006" s="60" t="n">
        <f aca="false">IF(BT1006=1,0,IFERROR(VLOOKUP(BR1006,'Gebinde-Kategorie'!$A$5:$M$45,13,0)+0,0))</f>
        <v>12</v>
      </c>
      <c r="S1006" s="61"/>
      <c r="T1006" s="62" t="s">
        <v>179</v>
      </c>
      <c r="U1006" s="62"/>
      <c r="V1006" s="62"/>
      <c r="W1006" s="55"/>
      <c r="X1006" s="57"/>
      <c r="Y1006" s="57"/>
      <c r="Z1006" s="55" t="n">
        <f aca="false">IF(A1006="","",IF(AND(Parameter!$B$21="Ja",ISNUMBER(W1006)),W1006,IF(BV1006="2+3",IF(ISNUMBER(SEARCH("grosser Artikel",BO1006)),2,IFERROR(VLOOKUP(BR1006,Parameter!$F$35:$G$64,2,0),2)),IF(OR(BV1006="Nein",BV1006=""),"-",BV1006))))</f>
        <v>2</v>
      </c>
      <c r="AA1006" s="62"/>
      <c r="AB1006" s="63"/>
      <c r="AC1006" s="57" t="n">
        <f aca="false">AR1006</f>
        <v>4</v>
      </c>
      <c r="AD1006" s="57" t="n">
        <f aca="false">MAX(AR1006,H1006)</f>
        <v>4</v>
      </c>
      <c r="AE1006" s="64"/>
      <c r="AF1006" s="57" t="n">
        <f aca="false">IF(LEFT(Cockpit!$C$5,1)="A",H1006,IF(CA1006=1,CB1006,IF(LEFT(Cockpit!$C$5,1)="B",AJ1006,MAX(AJ1006,H1006))))</f>
        <v>0</v>
      </c>
      <c r="AG1006" s="57" t="n">
        <f aca="false">IF(BT1006=1,0,ROUNDUP(AF1006/BS1006,0))</f>
        <v>0</v>
      </c>
      <c r="AH1006" s="59" t="n">
        <f aca="false">IF(CH1006&gt;0,CH1006*MAX(1,AF1006/X1006),IF(BT1006=1,IF(AF1006&lt;=0,0,BW1006*MAX(1,IF(H1006&gt;0,AF1006/H1006,1))),IF(R1006&gt;0,AG1006/R1006,0))/MAX(0.1,N(Parameter!$M$21)))</f>
        <v>0</v>
      </c>
      <c r="AI1006" s="57" t="n">
        <f aca="false">AF1006*G1006</f>
        <v>0</v>
      </c>
      <c r="AJ1006" s="57" t="n">
        <f aca="false">ROUNDUP(MAX(J1006/IF(BZ1006&gt;0,BZ1006,MAX(0.1,N(Cockpit!$C$6))),CC1006)/BS1006,0)*BS1006</f>
        <v>4</v>
      </c>
      <c r="AK1006" s="58" t="n">
        <f aca="false">IF(AH1006&gt;0,J1006/AH1006,-1)</f>
        <v>-1</v>
      </c>
      <c r="AL1006" s="58" t="str">
        <f aca="false">IF(AND(OR(BY1006="L1",BY1006="L23"),AH1006&gt;0),SUMIFS($AH$7:$AH$1843,$BY$7:$BY$1843,BY1006,$AK$7:$AK$1843,"&gt;"&amp;AK1006)+SUMIFS($AH$7:$AH$1843,$BY$7:$BY$1843,BY1006,$AK$7:$AK$1843,AK1006,$BQ$7:$BQ$1843,"&lt;="&amp;BQ1006),"")</f>
        <v/>
      </c>
      <c r="AM1006" s="65" t="n">
        <f aca="false">IF(AL1006="",0,MAX(0,MIN(1,(IF(BY1006="L1",Parameter!$E$5,Parameter!$E$6+Parameter!$E$7)-(AL1006-AH1006))/AH1006)))</f>
        <v>0</v>
      </c>
      <c r="AN1006" s="57" t="n">
        <f aca="false">IF(LEFT(Cockpit!$I$5,1)="A",H1006,IF(CA1006=1,CB1006,IF(LEFT(Cockpit!$I$5,1)="B",AR1006,MAX(AR1006,H1006))))</f>
        <v>4</v>
      </c>
      <c r="AO1006" s="57" t="n">
        <f aca="false">IF(BT1006=1,0,ROUNDUP(AN1006/BS1006,0))</f>
        <v>1</v>
      </c>
      <c r="AP1006" s="59" t="n">
        <f aca="false">IF(CH1006&gt;0,CH1006*MAX(1,AN1006/X1006),IF(BT1006=1,IF(AN1006&lt;=0,0,BW1006*MAX(1,IF(H1006&gt;0,AN1006/H1006,1))),IF(R1006&gt;0,AO1006/R1006,0))/MAX(0.1,N(Parameter!$M$21)))</f>
        <v>0.0833333333333333</v>
      </c>
      <c r="AQ1006" s="57" t="n">
        <f aca="false">AN1006*G1006</f>
        <v>83.32</v>
      </c>
      <c r="AR1006" s="57" t="n">
        <f aca="false">ROUNDUP(MAX(J1006/IF(BZ1006&gt;0,BZ1006,MAX(0.1,N(Cockpit!$I$6))),CC1006)/BS1006,0)*BS1006</f>
        <v>4</v>
      </c>
      <c r="AS1006" s="58" t="n">
        <f aca="false">IF(AP1006&gt;0,J1006/AP1006,-1)</f>
        <v>0</v>
      </c>
      <c r="AT1006" s="58" t="n">
        <f aca="false">IF(AND(OR(BY1006="L1",BY1006="L23"),AP1006&gt;0),SUMIFS($AP$7:$AP$1843,$BY$7:$BY$1843,BY1006,$AS$7:$AS$1843,"&gt;"&amp;AS1006)+SUMIFS($AP$7:$AP$1843,$BY$7:$BY$1843,BY1006,$AS$7:$AS$1843,AS1006,$BQ$7:$BQ$1843,"&lt;="&amp;BQ1006),"")</f>
        <v>119.899454410324</v>
      </c>
      <c r="AU1006" s="65" t="n">
        <f aca="false">IF(AT1006="",0,MAX(0,MIN(1,(IF(BY1006="L1",Parameter!$E$5,Parameter!$E$6+Parameter!$E$7)-(AT1006-AP1006))/AP1006)))</f>
        <v>0</v>
      </c>
      <c r="AV1006" s="57" t="n">
        <f aca="false">IF(LEFT(Cockpit!$O$5,1)="A",H1006,IF(CA1006=1,CB1006,IF(LEFT(Cockpit!$O$5,1)="B",AZ1006,MAX(AZ1006,H1006))))</f>
        <v>4</v>
      </c>
      <c r="AW1006" s="57" t="n">
        <f aca="false">IF(BT1006=1,0,ROUNDUP(AV1006/BS1006,0))</f>
        <v>1</v>
      </c>
      <c r="AX1006" s="59" t="n">
        <f aca="false">IF(CH1006&gt;0,CH1006*MAX(1,AV1006/X1006),IF(BT1006=1,IF(AV1006&lt;=0,0,BW1006*MAX(1,IF(H1006&gt;0,AV1006/H1006,1))),IF(R1006&gt;0,AW1006/R1006,0))/MAX(0.1,N(Parameter!$M$21)))</f>
        <v>0.0833333333333333</v>
      </c>
      <c r="AY1006" s="57" t="n">
        <f aca="false">AV1006*G1006</f>
        <v>83.32</v>
      </c>
      <c r="AZ1006" s="57" t="n">
        <f aca="false">ROUNDUP(MAX(J1006/IF(BZ1006&gt;0,BZ1006,MAX(0.1,N(Cockpit!$O$6))),CC1006)/BS1006,0)*BS1006</f>
        <v>4</v>
      </c>
      <c r="BA1006" s="58" t="n">
        <f aca="false">IF(AX1006&gt;0,J1006/AX1006,-1)</f>
        <v>0</v>
      </c>
      <c r="BB1006" s="58" t="n">
        <f aca="false">IF(AND(OR(BY1006="L1",BY1006="L23"),AX1006&gt;0),SUMIFS($AX$7:$AX$1843,$BY$7:$BY$1843,BY1006,$BA$7:$BA$1843,"&gt;"&amp;BA1006)+SUMIFS($AX$7:$AX$1843,$BY$7:$BY$1843,BY1006,$BA$7:$BA$1843,BA1006,$BQ$7:$BQ$1843,"&lt;="&amp;BQ1006),"")</f>
        <v>110.729291240161</v>
      </c>
      <c r="BC1006" s="65" t="n">
        <f aca="false">IF(BB1006="",0,MAX(0,MIN(1,(IF(BY1006="L1",Parameter!$E$5,Parameter!$E$6+Parameter!$E$7)-(BB1006-AX1006))/AX1006)))</f>
        <v>0</v>
      </c>
      <c r="BD1006" s="55" t="str">
        <f aca="false">IF(AH1006&lt;=0,"",IF(BY1006="Aussen","Aussenlager",IF(BY1006="-","Nicht im Lift",IF(AM1006&gt;=1,"Lift",IF(AM1006&lt;=0,"Aussenlager","teilweise")))))</f>
        <v/>
      </c>
      <c r="BE1006" s="55" t="str">
        <f aca="false">IF(AP1006&lt;=0,"",IF(BY1006="Aussen","Aussenlager",IF(BY1006="-","Nicht im Lift",IF(AU1006&gt;=1,"Lift",IF(AU1006&lt;=0,"Aussenlager","teilweise")))))</f>
        <v>Aussenlager</v>
      </c>
      <c r="BF1006" s="55" t="str">
        <f aca="false">IF(AX1006&lt;=0,"",IF(BY1006="Aussen","Aussenlager",IF(BY1006="-","Nicht im Lift",IF(BC1006&gt;=1,"Lift",IF(BC1006&lt;=0,"Aussenlager","teilweise")))))</f>
        <v>Aussenlager</v>
      </c>
      <c r="BG1006" s="55" t="str">
        <f aca="false">IF(A1006="","",IF(BP1006=1,"Neu; ","")&amp;IF(AND(BP1006=0,BK1006&lt;0),"negativer Bestand (Export "&amp;BK1006&amp;"); ","")&amp;IF(J1006&lt;=0,"Kein Verbrauch; ","")&amp;IF(CH1006&gt;0,"Lift "&amp;W1006&amp;" lt. Liftbericht (Fach "&amp;X1006&amp;" Stk); ",IF(BU1006=1,"Gebinde geschätzt ("&amp;T1006&amp;"); ",IF(BT1006=1,"Lose – Tablare geschätzt; ","")))&amp;IF(H1006&gt;AR1006,"Überbestand "&amp;ROUND(H1006-AR1006,0)&amp;" Stk / CHF "&amp;ROUND((H1006-AR1006)*G1006,0)&amp;"; ","")&amp;IF(AND(CA1006=1,CB1006&lt;CC1006),"MAX &lt; MB+LG; ","")&amp;IF(AND(CG1006&gt;0,CF1006*10&gt;CG1006),"zu hoch für Tablar; ","")&amp;IF(AND(BP1006=0,OR(CA1006=1,AA1006&lt;&gt;"",U1006&lt;&gt;"",V1006&lt;&gt;"",AB1006&lt;&gt;"")),"manuell übersteuert; ","")&amp;IF(AND(BT1006=0,R1006=0),"Gebinde unbekannt / Stellmass fehlt; ","")&amp;IF(AND(BT1006=0,N(V1006)&lt;=0,N(Q1006)&lt;=0),"Menge pro Gebinde fehlt (Ist = 1 Gebinde); ","")&amp;BO1006)</f>
        <v>negativer Bestand (Export -5); Kein Verbrauch; Gebinde geschätzt (Mittel); Menge pro Gebinde fehlt (Ist = 1 Gebinde); </v>
      </c>
      <c r="BH1006" s="55"/>
      <c r="BI1006" s="55"/>
      <c r="BJ1006" s="62"/>
      <c r="BK1006" s="57" t="n">
        <v>-5</v>
      </c>
      <c r="BL1006" s="57" t="n">
        <v>5</v>
      </c>
      <c r="BM1006" s="56" t="n">
        <v>-104.15</v>
      </c>
      <c r="BN1006" s="57" t="n">
        <v>0</v>
      </c>
      <c r="BO1006" s="55"/>
      <c r="BP1006" s="60" t="n">
        <v>0</v>
      </c>
      <c r="BQ1006" s="60" t="n">
        <v>1006</v>
      </c>
      <c r="BR1006" s="55" t="str">
        <f aca="false">IF(U1006&lt;&gt;"",UPPER(TRIM(U1006)),IF(BU1006=1,UPPER(VLOOKUP(T1006,Parameter!$I$27:$K$29,2,0)),IF(P1006="","LOSE",P1006)))</f>
        <v>S61</v>
      </c>
      <c r="BS1006" s="57" t="n">
        <f aca="false">IF(BR1006="LOSE",1,IF(N(V1006)&gt;0,V1006,IF(BU1006=1,MAX(1,N(VLOOKUP(T1006,Parameter!$I$27:$K$29,3,0)),H1006,N(N1006)),IF(N(Q1006)&gt;0,Q1006,MAX(1,H1006)))))</f>
        <v>4</v>
      </c>
      <c r="BT1006" s="60" t="n">
        <f aca="false">IF(BR1006="LOSE",1,0)</f>
        <v>0</v>
      </c>
      <c r="BU1006" s="60" t="n">
        <f aca="false">IF(AND(U1006="",OR(P1006="",P1006="LOSE"),T1006&lt;&gt;"",N(S1006)&lt;=0,ISNUMBER(MATCH(T1006,Parameter!$I$27:$I$29,0))),1,0)</f>
        <v>1</v>
      </c>
      <c r="BV1006" s="55" t="str">
        <f aca="false">IF(AND(Parameter!$B$19="Ja",E1006&lt;&gt;"",ISNUMBER(MATCH(E1006,Parameter!$I$35:$I$52,0))),VLOOKUP(E1006,Parameter!$I$35:$J$52,2,0),IFERROR(VLOOKUP(D1006,Parameter!$A$35:$C$64,2,0),"Nein"))</f>
        <v>2+3</v>
      </c>
      <c r="BW1006" s="59" t="n">
        <f aca="false">IF(BT1006=0,0,IF(N(S1006)&gt;0,S1006,IFERROR(VLOOKUP(D1006,Parameter!$A$35:$C$64,3,0)+0,0)))</f>
        <v>0</v>
      </c>
      <c r="BX1006" s="55" t="n">
        <f aca="false">IF(AA1006&lt;&gt;"",AA1006,Z1006)</f>
        <v>2</v>
      </c>
      <c r="BY1006" s="55" t="str">
        <f aca="false">IF(BX1006=1,"L1",IF(OR(BX1006=2,BX1006=3),"L23",IF(BX1006="Aussen","Aussen","-")))</f>
        <v>L23</v>
      </c>
      <c r="BZ1006" s="66" t="n">
        <f aca="false">IF(N(AB1006)&gt;0,AB1006,0)</f>
        <v>0</v>
      </c>
      <c r="CA1006" s="60" t="n">
        <f aca="false">IF(ISNUMBER(AE1006),1,0)</f>
        <v>0</v>
      </c>
      <c r="CB1006" s="57" t="n">
        <f aca="false">N(AE1006)</f>
        <v>0</v>
      </c>
      <c r="CC1006" s="57" t="n">
        <f aca="false">N(M1006)+N(N1006)</f>
        <v>1</v>
      </c>
      <c r="CD1006" s="57" t="n">
        <f aca="false">ROUNDUP(H1006/BS1006,0)</f>
        <v>0</v>
      </c>
      <c r="CE1006" s="57" t="n">
        <f aca="false">ROUNDUP(CB1006/BS1006,0)</f>
        <v>0</v>
      </c>
      <c r="CF1006" s="60" t="n">
        <f aca="false">IF(BT1006=1,0,IFERROR(VLOOKUP(BR1006,'Gebinde-Kategorie'!$A$5:$M$45,5,0)+0,0))</f>
        <v>11</v>
      </c>
      <c r="CG1006" s="60" t="n">
        <f aca="false">IFERROR(IF(OR(BX1006=1,BX1006=2,BX1006=3),N(INDEX(Parameter!$I$5:$I$7,BX1006)),0),0)</f>
        <v>0</v>
      </c>
      <c r="CH1006" s="59" t="n">
        <f aca="false">IF(AND(Parameter!$B$21="Ja",ISNUMBER(W1006),N(X1006)&gt;0),IFERROR(N(INDEX(Parameter!$L$5:$L$7,W1006))*INDEX(Parameter!$E$5:$E$7,W1006)*X1006/SUMIFS($X$7:$X$1843,$W$7:$W$1843,W1006),0),0)</f>
        <v>0</v>
      </c>
    </row>
    <row r="1007" customFormat="false" ht="15" hidden="false" customHeight="false" outlineLevel="0" collapsed="false">
      <c r="A1007" s="55" t="s">
        <v>1857</v>
      </c>
      <c r="B1007" s="55" t="s">
        <v>1858</v>
      </c>
      <c r="C1007" s="55" t="s">
        <v>164</v>
      </c>
      <c r="D1007" s="55" t="s">
        <v>184</v>
      </c>
      <c r="E1007" s="55" t="s">
        <v>185</v>
      </c>
      <c r="F1007" s="55" t="s">
        <v>218</v>
      </c>
      <c r="G1007" s="56" t="n">
        <v>7.39</v>
      </c>
      <c r="H1007" s="57" t="n">
        <f aca="false">MAX(0,IF(AND(Parameter!$B$21="Ja",ISNUMBER(Y1007)),Y1007,IF(Parameter!$B$20="Jahresanfang 2025 + Export",BL1007+BK1007,BK1007)))</f>
        <v>42</v>
      </c>
      <c r="I1007" s="57" t="n">
        <f aca="false">H1007*G1007</f>
        <v>310.38</v>
      </c>
      <c r="J1007" s="57" t="n">
        <f aca="false">BN1007*Parameter!$B$18</f>
        <v>103</v>
      </c>
      <c r="K1007" s="58" t="n">
        <v>102</v>
      </c>
      <c r="L1007" s="59" t="n">
        <v>1.00980392156863</v>
      </c>
      <c r="M1007" s="57" t="n">
        <v>4</v>
      </c>
      <c r="N1007" s="57" t="n">
        <v>110</v>
      </c>
      <c r="O1007" s="60" t="n">
        <v>14</v>
      </c>
      <c r="P1007" s="55" t="s">
        <v>476</v>
      </c>
      <c r="Q1007" s="57" t="n">
        <v>229</v>
      </c>
      <c r="R1007" s="60" t="n">
        <f aca="false">IF(BT1007=1,0,IFERROR(VLOOKUP(BR1007,'Gebinde-Kategorie'!$A$5:$M$45,13,0)+0,0))</f>
        <v>66</v>
      </c>
      <c r="S1007" s="61"/>
      <c r="T1007" s="62"/>
      <c r="U1007" s="62"/>
      <c r="V1007" s="62"/>
      <c r="W1007" s="55"/>
      <c r="X1007" s="57"/>
      <c r="Y1007" s="57"/>
      <c r="Z1007" s="55" t="n">
        <f aca="false">IF(A1007="","",IF(AND(Parameter!$B$21="Ja",ISNUMBER(W1007)),W1007,IF(BV1007="2+3",IF(ISNUMBER(SEARCH("grosser Artikel",BO1007)),2,IFERROR(VLOOKUP(BR1007,Parameter!$F$35:$G$64,2,0),2)),IF(OR(BV1007="Nein",BV1007=""),"-",BV1007))))</f>
        <v>3</v>
      </c>
      <c r="AA1007" s="62"/>
      <c r="AB1007" s="63"/>
      <c r="AC1007" s="57" t="n">
        <f aca="false">AR1007</f>
        <v>229</v>
      </c>
      <c r="AD1007" s="57" t="n">
        <f aca="false">MAX(AR1007,H1007)</f>
        <v>229</v>
      </c>
      <c r="AE1007" s="64"/>
      <c r="AF1007" s="57" t="n">
        <f aca="false">IF(LEFT(Cockpit!$C$5,1)="A",H1007,IF(CA1007=1,CB1007,IF(LEFT(Cockpit!$C$5,1)="B",AJ1007,MAX(AJ1007,H1007))))</f>
        <v>42</v>
      </c>
      <c r="AG1007" s="57" t="n">
        <f aca="false">IF(BT1007=1,0,ROUNDUP(AF1007/BS1007,0))</f>
        <v>1</v>
      </c>
      <c r="AH1007" s="59" t="n">
        <f aca="false">IF(CH1007&gt;0,CH1007*MAX(1,AF1007/X1007),IF(BT1007=1,IF(AF1007&lt;=0,0,BW1007*MAX(1,IF(H1007&gt;0,AF1007/H1007,1))),IF(R1007&gt;0,AG1007/R1007,0))/MAX(0.1,N(Parameter!$M$21)))</f>
        <v>0.0151515151515152</v>
      </c>
      <c r="AI1007" s="57" t="n">
        <f aca="false">AF1007*G1007</f>
        <v>310.38</v>
      </c>
      <c r="AJ1007" s="57" t="n">
        <f aca="false">ROUNDUP(MAX(J1007/IF(BZ1007&gt;0,BZ1007,MAX(0.1,N(Cockpit!$C$6))),CC1007)/BS1007,0)*BS1007</f>
        <v>229</v>
      </c>
      <c r="AK1007" s="58" t="n">
        <f aca="false">IF(AH1007&gt;0,J1007/AH1007,-1)</f>
        <v>6798</v>
      </c>
      <c r="AL1007" s="58" t="n">
        <f aca="false">IF(AND(OR(BY1007="L1",BY1007="L23"),AH1007&gt;0),SUMIFS($AH$7:$AH$1843,$BY$7:$BY$1843,BY1007,$AK$7:$AK$1843,"&gt;"&amp;AK1007)+SUMIFS($AH$7:$AH$1843,$BY$7:$BY$1843,BY1007,$AK$7:$AK$1843,AK1007,$BQ$7:$BQ$1843,"&lt;="&amp;BQ1007),"")</f>
        <v>6.33568122698558</v>
      </c>
      <c r="AM1007" s="65" t="n">
        <f aca="false">IF(AL1007="",0,MAX(0,MIN(1,(IF(BY1007="L1",Parameter!$E$5,Parameter!$E$6+Parameter!$E$7)-(AL1007-AH1007))/AH1007)))</f>
        <v>1</v>
      </c>
      <c r="AN1007" s="57" t="n">
        <f aca="false">IF(LEFT(Cockpit!$I$5,1)="A",H1007,IF(CA1007=1,CB1007,IF(LEFT(Cockpit!$I$5,1)="B",AR1007,MAX(AR1007,H1007))))</f>
        <v>229</v>
      </c>
      <c r="AO1007" s="57" t="n">
        <f aca="false">IF(BT1007=1,0,ROUNDUP(AN1007/BS1007,0))</f>
        <v>1</v>
      </c>
      <c r="AP1007" s="59" t="n">
        <f aca="false">IF(CH1007&gt;0,CH1007*MAX(1,AN1007/X1007),IF(BT1007=1,IF(AN1007&lt;=0,0,BW1007*MAX(1,IF(H1007&gt;0,AN1007/H1007,1))),IF(R1007&gt;0,AO1007/R1007,0))/MAX(0.1,N(Parameter!$M$21)))</f>
        <v>0.0151515151515152</v>
      </c>
      <c r="AQ1007" s="57" t="n">
        <f aca="false">AN1007*G1007</f>
        <v>1692.31</v>
      </c>
      <c r="AR1007" s="57" t="n">
        <f aca="false">ROUNDUP(MAX(J1007/IF(BZ1007&gt;0,BZ1007,MAX(0.1,N(Cockpit!$I$6))),CC1007)/BS1007,0)*BS1007</f>
        <v>229</v>
      </c>
      <c r="AS1007" s="58" t="n">
        <f aca="false">IF(AP1007&gt;0,J1007/AP1007,-1)</f>
        <v>6798</v>
      </c>
      <c r="AT1007" s="58" t="n">
        <f aca="false">IF(AND(OR(BY1007="L1",BY1007="L23"),AP1007&gt;0),SUMIFS($AP$7:$AP$1843,$BY$7:$BY$1843,BY1007,$AS$7:$AS$1843,"&gt;"&amp;AS1007)+SUMIFS($AP$7:$AP$1843,$BY$7:$BY$1843,BY1007,$AS$7:$AS$1843,AS1007,$BQ$7:$BQ$1843,"&lt;="&amp;BQ1007),"")</f>
        <v>9.88855950812473</v>
      </c>
      <c r="AU1007" s="65" t="n">
        <f aca="false">IF(AT1007="",0,MAX(0,MIN(1,(IF(BY1007="L1",Parameter!$E$5,Parameter!$E$6+Parameter!$E$7)-(AT1007-AP1007))/AP1007)))</f>
        <v>1</v>
      </c>
      <c r="AV1007" s="57" t="n">
        <f aca="false">IF(LEFT(Cockpit!$O$5,1)="A",H1007,IF(CA1007=1,CB1007,IF(LEFT(Cockpit!$O$5,1)="B",AZ1007,MAX(AZ1007,H1007))))</f>
        <v>229</v>
      </c>
      <c r="AW1007" s="57" t="n">
        <f aca="false">IF(BT1007=1,0,ROUNDUP(AV1007/BS1007,0))</f>
        <v>1</v>
      </c>
      <c r="AX1007" s="59" t="n">
        <f aca="false">IF(CH1007&gt;0,CH1007*MAX(1,AV1007/X1007),IF(BT1007=1,IF(AV1007&lt;=0,0,BW1007*MAX(1,IF(H1007&gt;0,AV1007/H1007,1))),IF(R1007&gt;0,AW1007/R1007,0))/MAX(0.1,N(Parameter!$M$21)))</f>
        <v>0.0151515151515152</v>
      </c>
      <c r="AY1007" s="57" t="n">
        <f aca="false">AV1007*G1007</f>
        <v>1692.31</v>
      </c>
      <c r="AZ1007" s="57" t="n">
        <f aca="false">ROUNDUP(MAX(J1007/IF(BZ1007&gt;0,BZ1007,MAX(0.1,N(Cockpit!$O$6))),CC1007)/BS1007,0)*BS1007</f>
        <v>229</v>
      </c>
      <c r="BA1007" s="58" t="n">
        <f aca="false">IF(AX1007&gt;0,J1007/AX1007,-1)</f>
        <v>6798</v>
      </c>
      <c r="BB1007" s="58" t="n">
        <f aca="false">IF(AND(OR(BY1007="L1",BY1007="L23"),AX1007&gt;0),SUMIFS($AX$7:$AX$1843,$BY$7:$BY$1843,BY1007,$BA$7:$BA$1843,"&gt;"&amp;BA1007)+SUMIFS($AX$7:$AX$1843,$BY$7:$BY$1843,BY1007,$BA$7:$BA$1843,BA1007,$BQ$7:$BQ$1843,"&lt;="&amp;BQ1007),"")</f>
        <v>9.28890915847438</v>
      </c>
      <c r="BC1007" s="65" t="n">
        <f aca="false">IF(BB1007="",0,MAX(0,MIN(1,(IF(BY1007="L1",Parameter!$E$5,Parameter!$E$6+Parameter!$E$7)-(BB1007-AX1007))/AX1007)))</f>
        <v>1</v>
      </c>
      <c r="BD1007" s="55" t="str">
        <f aca="false">IF(AH1007&lt;=0,"",IF(BY1007="Aussen","Aussenlager",IF(BY1007="-","Nicht im Lift",IF(AM1007&gt;=1,"Lift",IF(AM1007&lt;=0,"Aussenlager","teilweise")))))</f>
        <v>Lift</v>
      </c>
      <c r="BE1007" s="55" t="str">
        <f aca="false">IF(AP1007&lt;=0,"",IF(BY1007="Aussen","Aussenlager",IF(BY1007="-","Nicht im Lift",IF(AU1007&gt;=1,"Lift",IF(AU1007&lt;=0,"Aussenlager","teilweise")))))</f>
        <v>Lift</v>
      </c>
      <c r="BF1007" s="55" t="str">
        <f aca="false">IF(AX1007&lt;=0,"",IF(BY1007="Aussen","Aussenlager",IF(BY1007="-","Nicht im Lift",IF(BC1007&gt;=1,"Lift",IF(BC1007&lt;=0,"Aussenlager","teilweise")))))</f>
        <v>Lift</v>
      </c>
      <c r="BG1007" s="55" t="str">
        <f aca="false">IF(A1007="","",IF(BP1007=1,"Neu; ","")&amp;IF(AND(BP1007=0,BK1007&lt;0),"negativer Bestand (Export "&amp;BK1007&amp;"); ","")&amp;IF(J1007&lt;=0,"Kein Verbrauch; ","")&amp;IF(CH1007&gt;0,"Lift "&amp;W1007&amp;" lt. Liftbericht (Fach "&amp;X1007&amp;" Stk); ",IF(BU1007=1,"Gebinde geschätzt ("&amp;T1007&amp;"); ",IF(BT1007=1,"Lose – Tablare geschätzt; ","")))&amp;IF(H1007&gt;AR1007,"Überbestand "&amp;ROUND(H1007-AR1007,0)&amp;" Stk / CHF "&amp;ROUND((H1007-AR1007)*G1007,0)&amp;"; ","")&amp;IF(AND(CA1007=1,CB1007&lt;CC1007),"MAX &lt; MB+LG; ","")&amp;IF(AND(CG1007&gt;0,CF1007*10&gt;CG1007),"zu hoch für Tablar; ","")&amp;IF(AND(BP1007=0,OR(CA1007=1,AA1007&lt;&gt;"",U1007&lt;&gt;"",V1007&lt;&gt;"",AB1007&lt;&gt;"")),"manuell übersteuert; ","")&amp;IF(AND(BT1007=0,R1007=0),"Gebinde unbekannt / Stellmass fehlt; ","")&amp;IF(AND(BT1007=0,N(V1007)&lt;=0,N(Q1007)&lt;=0),"Menge pro Gebinde fehlt (Ist = 1 Gebinde); ","")&amp;BO1007)</f>
        <v>negativer Bestand (Export -16); </v>
      </c>
      <c r="BH1007" s="55"/>
      <c r="BI1007" s="55"/>
      <c r="BJ1007" s="62"/>
      <c r="BK1007" s="57" t="n">
        <v>-16</v>
      </c>
      <c r="BL1007" s="57" t="n">
        <v>58</v>
      </c>
      <c r="BM1007" s="56" t="n">
        <v>-105.24</v>
      </c>
      <c r="BN1007" s="57" t="n">
        <v>103</v>
      </c>
      <c r="BO1007" s="55"/>
      <c r="BP1007" s="60" t="n">
        <v>0</v>
      </c>
      <c r="BQ1007" s="60" t="n">
        <v>1007</v>
      </c>
      <c r="BR1007" s="55" t="str">
        <f aca="false">IF(U1007&lt;&gt;"",UPPER(TRIM(U1007)),IF(BU1007=1,UPPER(VLOOKUP(T1007,Parameter!$I$27:$K$29,2,0)),IF(P1007="","LOSE",P1007)))</f>
        <v>S33</v>
      </c>
      <c r="BS1007" s="57" t="n">
        <f aca="false">IF(BR1007="LOSE",1,IF(N(V1007)&gt;0,V1007,IF(BU1007=1,MAX(1,N(VLOOKUP(T1007,Parameter!$I$27:$K$29,3,0)),H1007,N(N1007)),IF(N(Q1007)&gt;0,Q1007,MAX(1,H1007)))))</f>
        <v>229</v>
      </c>
      <c r="BT1007" s="60" t="n">
        <f aca="false">IF(BR1007="LOSE",1,0)</f>
        <v>0</v>
      </c>
      <c r="BU1007" s="60" t="n">
        <f aca="false">IF(AND(U1007="",OR(P1007="",P1007="LOSE"),T1007&lt;&gt;"",N(S1007)&lt;=0,ISNUMBER(MATCH(T1007,Parameter!$I$27:$I$29,0))),1,0)</f>
        <v>0</v>
      </c>
      <c r="BV1007" s="55" t="str">
        <f aca="false">IF(AND(Parameter!$B$19="Ja",E1007&lt;&gt;"",ISNUMBER(MATCH(E1007,Parameter!$I$35:$I$52,0))),VLOOKUP(E1007,Parameter!$I$35:$J$52,2,0),IFERROR(VLOOKUP(D1007,Parameter!$A$35:$C$64,2,0),"Nein"))</f>
        <v>2+3</v>
      </c>
      <c r="BW1007" s="59" t="n">
        <f aca="false">IF(BT1007=0,0,IF(N(S1007)&gt;0,S1007,IFERROR(VLOOKUP(D1007,Parameter!$A$35:$C$64,3,0)+0,0)))</f>
        <v>0</v>
      </c>
      <c r="BX1007" s="55" t="n">
        <f aca="false">IF(AA1007&lt;&gt;"",AA1007,Z1007)</f>
        <v>3</v>
      </c>
      <c r="BY1007" s="55" t="str">
        <f aca="false">IF(BX1007=1,"L1",IF(OR(BX1007=2,BX1007=3),"L23",IF(BX1007="Aussen","Aussen","-")))</f>
        <v>L23</v>
      </c>
      <c r="BZ1007" s="66" t="n">
        <f aca="false">IF(N(AB1007)&gt;0,AB1007,0)</f>
        <v>0</v>
      </c>
      <c r="CA1007" s="60" t="n">
        <f aca="false">IF(ISNUMBER(AE1007),1,0)</f>
        <v>0</v>
      </c>
      <c r="CB1007" s="57" t="n">
        <f aca="false">N(AE1007)</f>
        <v>0</v>
      </c>
      <c r="CC1007" s="57" t="n">
        <f aca="false">N(M1007)+N(N1007)</f>
        <v>114</v>
      </c>
      <c r="CD1007" s="57" t="n">
        <f aca="false">ROUNDUP(H1007/BS1007,0)</f>
        <v>1</v>
      </c>
      <c r="CE1007" s="57" t="n">
        <f aca="false">ROUNDUP(CB1007/BS1007,0)</f>
        <v>0</v>
      </c>
      <c r="CF1007" s="60" t="n">
        <f aca="false">IF(BT1007=1,0,IFERROR(VLOOKUP(BR1007,'Gebinde-Kategorie'!$A$5:$M$45,5,0)+0,0))</f>
        <v>8</v>
      </c>
      <c r="CG1007" s="60" t="n">
        <f aca="false">IFERROR(IF(OR(BX1007=1,BX1007=2,BX1007=3),N(INDEX(Parameter!$I$5:$I$7,BX1007)),0),0)</f>
        <v>0</v>
      </c>
      <c r="CH1007" s="59" t="n">
        <f aca="false">IF(AND(Parameter!$B$21="Ja",ISNUMBER(W1007),N(X1007)&gt;0),IFERROR(N(INDEX(Parameter!$L$5:$L$7,W1007))*INDEX(Parameter!$E$5:$E$7,W1007)*X1007/SUMIFS($X$7:$X$1843,$W$7:$W$1843,W1007),0),0)</f>
        <v>0</v>
      </c>
    </row>
    <row r="1008" customFormat="false" ht="15" hidden="false" customHeight="false" outlineLevel="0" collapsed="false">
      <c r="A1008" s="55" t="s">
        <v>1859</v>
      </c>
      <c r="B1008" s="55" t="s">
        <v>1796</v>
      </c>
      <c r="C1008" s="55" t="s">
        <v>164</v>
      </c>
      <c r="D1008" s="55" t="s">
        <v>353</v>
      </c>
      <c r="E1008" s="55"/>
      <c r="F1008" s="55" t="s">
        <v>218</v>
      </c>
      <c r="G1008" s="56" t="n">
        <v>106.63</v>
      </c>
      <c r="H1008" s="57" t="n">
        <f aca="false">MAX(0,IF(AND(Parameter!$B$21="Ja",ISNUMBER(Y1008)),Y1008,IF(Parameter!$B$20="Jahresanfang 2025 + Export",BL1008+BK1008,BK1008)))</f>
        <v>0</v>
      </c>
      <c r="I1008" s="57" t="n">
        <f aca="false">H1008*G1008</f>
        <v>0</v>
      </c>
      <c r="J1008" s="57" t="n">
        <f aca="false">BN1008*Parameter!$B$18</f>
        <v>0</v>
      </c>
      <c r="K1008" s="58" t="n">
        <v>0.5</v>
      </c>
      <c r="L1008" s="59" t="n">
        <v>0</v>
      </c>
      <c r="M1008" s="57" t="n">
        <v>0</v>
      </c>
      <c r="N1008" s="57" t="n">
        <v>0</v>
      </c>
      <c r="O1008" s="60" t="n">
        <v>28</v>
      </c>
      <c r="P1008" s="55" t="s">
        <v>168</v>
      </c>
      <c r="Q1008" s="57"/>
      <c r="R1008" s="60" t="n">
        <f aca="false">IF(BT1008=1,0,IFERROR(VLOOKUP(BR1008,'Gebinde-Kategorie'!$A$5:$M$45,13,0)+0,0))</f>
        <v>0</v>
      </c>
      <c r="S1008" s="61"/>
      <c r="T1008" s="62"/>
      <c r="U1008" s="62"/>
      <c r="V1008" s="62"/>
      <c r="W1008" s="55"/>
      <c r="X1008" s="57"/>
      <c r="Y1008" s="57"/>
      <c r="Z1008" s="55" t="str">
        <f aca="false">IF(A1008="","",IF(AND(Parameter!$B$21="Ja",ISNUMBER(W1008)),W1008,IF(BV1008="2+3",IF(ISNUMBER(SEARCH("grosser Artikel",BO1008)),2,IFERROR(VLOOKUP(BR1008,Parameter!$F$35:$G$64,2,0),2)),IF(OR(BV1008="Nein",BV1008=""),"-",BV1008))))</f>
        <v>-</v>
      </c>
      <c r="AA1008" s="62"/>
      <c r="AB1008" s="63"/>
      <c r="AC1008" s="57" t="n">
        <f aca="false">AR1008</f>
        <v>0</v>
      </c>
      <c r="AD1008" s="57" t="n">
        <f aca="false">MAX(AR1008,H1008)</f>
        <v>0</v>
      </c>
      <c r="AE1008" s="64"/>
      <c r="AF1008" s="57" t="n">
        <f aca="false">IF(LEFT(Cockpit!$C$5,1)="A",H1008,IF(CA1008=1,CB1008,IF(LEFT(Cockpit!$C$5,1)="B",AJ1008,MAX(AJ1008,H1008))))</f>
        <v>0</v>
      </c>
      <c r="AG1008" s="57" t="n">
        <f aca="false">IF(BT1008=1,0,ROUNDUP(AF1008/BS1008,0))</f>
        <v>0</v>
      </c>
      <c r="AH1008" s="59" t="n">
        <f aca="false">IF(CH1008&gt;0,CH1008*MAX(1,AF1008/X1008),IF(BT1008=1,IF(AF1008&lt;=0,0,BW1008*MAX(1,IF(H1008&gt;0,AF1008/H1008,1))),IF(R1008&gt;0,AG1008/R1008,0))/MAX(0.1,N(Parameter!$M$21)))</f>
        <v>0</v>
      </c>
      <c r="AI1008" s="57" t="n">
        <f aca="false">AF1008*G1008</f>
        <v>0</v>
      </c>
      <c r="AJ1008" s="57" t="n">
        <f aca="false">ROUNDUP(MAX(J1008/IF(BZ1008&gt;0,BZ1008,MAX(0.1,N(Cockpit!$C$6))),CC1008)/BS1008,0)*BS1008</f>
        <v>0</v>
      </c>
      <c r="AK1008" s="58" t="n">
        <f aca="false">IF(AH1008&gt;0,J1008/AH1008,-1)</f>
        <v>-1</v>
      </c>
      <c r="AL1008" s="58" t="str">
        <f aca="false">IF(AND(OR(BY1008="L1",BY1008="L23"),AH1008&gt;0),SUMIFS($AH$7:$AH$1843,$BY$7:$BY$1843,BY1008,$AK$7:$AK$1843,"&gt;"&amp;AK1008)+SUMIFS($AH$7:$AH$1843,$BY$7:$BY$1843,BY1008,$AK$7:$AK$1843,AK1008,$BQ$7:$BQ$1843,"&lt;="&amp;BQ1008),"")</f>
        <v/>
      </c>
      <c r="AM1008" s="65" t="n">
        <f aca="false">IF(AL1008="",0,MAX(0,MIN(1,(IF(BY1008="L1",Parameter!$E$5,Parameter!$E$6+Parameter!$E$7)-(AL1008-AH1008))/AH1008)))</f>
        <v>0</v>
      </c>
      <c r="AN1008" s="57" t="n">
        <f aca="false">IF(LEFT(Cockpit!$I$5,1)="A",H1008,IF(CA1008=1,CB1008,IF(LEFT(Cockpit!$I$5,1)="B",AR1008,MAX(AR1008,H1008))))</f>
        <v>0</v>
      </c>
      <c r="AO1008" s="57" t="n">
        <f aca="false">IF(BT1008=1,0,ROUNDUP(AN1008/BS1008,0))</f>
        <v>0</v>
      </c>
      <c r="AP1008" s="59" t="n">
        <f aca="false">IF(CH1008&gt;0,CH1008*MAX(1,AN1008/X1008),IF(BT1008=1,IF(AN1008&lt;=0,0,BW1008*MAX(1,IF(H1008&gt;0,AN1008/H1008,1))),IF(R1008&gt;0,AO1008/R1008,0))/MAX(0.1,N(Parameter!$M$21)))</f>
        <v>0</v>
      </c>
      <c r="AQ1008" s="57" t="n">
        <f aca="false">AN1008*G1008</f>
        <v>0</v>
      </c>
      <c r="AR1008" s="57" t="n">
        <f aca="false">ROUNDUP(MAX(J1008/IF(BZ1008&gt;0,BZ1008,MAX(0.1,N(Cockpit!$I$6))),CC1008)/BS1008,0)*BS1008</f>
        <v>0</v>
      </c>
      <c r="AS1008" s="58" t="n">
        <f aca="false">IF(AP1008&gt;0,J1008/AP1008,-1)</f>
        <v>-1</v>
      </c>
      <c r="AT1008" s="58" t="str">
        <f aca="false">IF(AND(OR(BY1008="L1",BY1008="L23"),AP1008&gt;0),SUMIFS($AP$7:$AP$1843,$BY$7:$BY$1843,BY1008,$AS$7:$AS$1843,"&gt;"&amp;AS1008)+SUMIFS($AP$7:$AP$1843,$BY$7:$BY$1843,BY1008,$AS$7:$AS$1843,AS1008,$BQ$7:$BQ$1843,"&lt;="&amp;BQ1008),"")</f>
        <v/>
      </c>
      <c r="AU1008" s="65" t="n">
        <f aca="false">IF(AT1008="",0,MAX(0,MIN(1,(IF(BY1008="L1",Parameter!$E$5,Parameter!$E$6+Parameter!$E$7)-(AT1008-AP1008))/AP1008)))</f>
        <v>0</v>
      </c>
      <c r="AV1008" s="57" t="n">
        <f aca="false">IF(LEFT(Cockpit!$O$5,1)="A",H1008,IF(CA1008=1,CB1008,IF(LEFT(Cockpit!$O$5,1)="B",AZ1008,MAX(AZ1008,H1008))))</f>
        <v>0</v>
      </c>
      <c r="AW1008" s="57" t="n">
        <f aca="false">IF(BT1008=1,0,ROUNDUP(AV1008/BS1008,0))</f>
        <v>0</v>
      </c>
      <c r="AX1008" s="59" t="n">
        <f aca="false">IF(CH1008&gt;0,CH1008*MAX(1,AV1008/X1008),IF(BT1008=1,IF(AV1008&lt;=0,0,BW1008*MAX(1,IF(H1008&gt;0,AV1008/H1008,1))),IF(R1008&gt;0,AW1008/R1008,0))/MAX(0.1,N(Parameter!$M$21)))</f>
        <v>0</v>
      </c>
      <c r="AY1008" s="57" t="n">
        <f aca="false">AV1008*G1008</f>
        <v>0</v>
      </c>
      <c r="AZ1008" s="57" t="n">
        <f aca="false">ROUNDUP(MAX(J1008/IF(BZ1008&gt;0,BZ1008,MAX(0.1,N(Cockpit!$O$6))),CC1008)/BS1008,0)*BS1008</f>
        <v>0</v>
      </c>
      <c r="BA1008" s="58" t="n">
        <f aca="false">IF(AX1008&gt;0,J1008/AX1008,-1)</f>
        <v>-1</v>
      </c>
      <c r="BB1008" s="58" t="str">
        <f aca="false">IF(AND(OR(BY1008="L1",BY1008="L23"),AX1008&gt;0),SUMIFS($AX$7:$AX$1843,$BY$7:$BY$1843,BY1008,$BA$7:$BA$1843,"&gt;"&amp;BA1008)+SUMIFS($AX$7:$AX$1843,$BY$7:$BY$1843,BY1008,$BA$7:$BA$1843,BA1008,$BQ$7:$BQ$1843,"&lt;="&amp;BQ1008),"")</f>
        <v/>
      </c>
      <c r="BC1008" s="65" t="n">
        <f aca="false">IF(BB1008="",0,MAX(0,MIN(1,(IF(BY1008="L1",Parameter!$E$5,Parameter!$E$6+Parameter!$E$7)-(BB1008-AX1008))/AX1008)))</f>
        <v>0</v>
      </c>
      <c r="BD1008" s="55" t="str">
        <f aca="false">IF(AH1008&lt;=0,"",IF(BY1008="Aussen","Aussenlager",IF(BY1008="-","Nicht im Lift",IF(AM1008&gt;=1,"Lift",IF(AM1008&lt;=0,"Aussenlager","teilweise")))))</f>
        <v/>
      </c>
      <c r="BE1008" s="55" t="str">
        <f aca="false">IF(AP1008&lt;=0,"",IF(BY1008="Aussen","Aussenlager",IF(BY1008="-","Nicht im Lift",IF(AU1008&gt;=1,"Lift",IF(AU1008&lt;=0,"Aussenlager","teilweise")))))</f>
        <v/>
      </c>
      <c r="BF1008" s="55" t="str">
        <f aca="false">IF(AX1008&lt;=0,"",IF(BY1008="Aussen","Aussenlager",IF(BY1008="-","Nicht im Lift",IF(BC1008&gt;=1,"Lift",IF(BC1008&lt;=0,"Aussenlager","teilweise")))))</f>
        <v/>
      </c>
      <c r="BG1008" s="55" t="str">
        <f aca="false">IF(A1008="","",IF(BP1008=1,"Neu; ","")&amp;IF(AND(BP1008=0,BK1008&lt;0),"negativer Bestand (Export "&amp;BK1008&amp;"); ","")&amp;IF(J1008&lt;=0,"Kein Verbrauch; ","")&amp;IF(CH1008&gt;0,"Lift "&amp;W1008&amp;" lt. Liftbericht (Fach "&amp;X1008&amp;" Stk); ",IF(BU1008=1,"Gebinde geschätzt ("&amp;T1008&amp;"); ",IF(BT1008=1,"Lose – Tablare geschätzt; ","")))&amp;IF(H1008&gt;AR1008,"Überbestand "&amp;ROUND(H1008-AR1008,0)&amp;" Stk / CHF "&amp;ROUND((H1008-AR1008)*G1008,0)&amp;"; ","")&amp;IF(AND(CA1008=1,CB1008&lt;CC1008),"MAX &lt; MB+LG; ","")&amp;IF(AND(CG1008&gt;0,CF1008*10&gt;CG1008),"zu hoch für Tablar; ","")&amp;IF(AND(BP1008=0,OR(CA1008=1,AA1008&lt;&gt;"",U1008&lt;&gt;"",V1008&lt;&gt;"",AB1008&lt;&gt;"")),"manuell übersteuert; ","")&amp;IF(AND(BT1008=0,R1008=0),"Gebinde unbekannt / Stellmass fehlt; ","")&amp;IF(AND(BT1008=0,N(V1008)&lt;=0,N(Q1008)&lt;=0),"Menge pro Gebinde fehlt (Ist = 1 Gebinde); ","")&amp;BO1008)</f>
        <v>negativer Bestand (Export -1); Kein Verbrauch; Lose – Tablare geschätzt; </v>
      </c>
      <c r="BH1008" s="55"/>
      <c r="BI1008" s="55"/>
      <c r="BJ1008" s="62"/>
      <c r="BK1008" s="57" t="n">
        <v>-1</v>
      </c>
      <c r="BL1008" s="57" t="n">
        <v>1</v>
      </c>
      <c r="BM1008" s="56" t="n">
        <v>-106.63</v>
      </c>
      <c r="BN1008" s="57" t="n">
        <v>0</v>
      </c>
      <c r="BO1008" s="55"/>
      <c r="BP1008" s="60" t="n">
        <v>0</v>
      </c>
      <c r="BQ1008" s="60" t="n">
        <v>1008</v>
      </c>
      <c r="BR1008" s="55" t="str">
        <f aca="false">IF(U1008&lt;&gt;"",UPPER(TRIM(U1008)),IF(BU1008=1,UPPER(VLOOKUP(T1008,Parameter!$I$27:$K$29,2,0)),IF(P1008="","LOSE",P1008)))</f>
        <v>LOSE</v>
      </c>
      <c r="BS1008" s="57" t="n">
        <f aca="false">IF(BR1008="LOSE",1,IF(N(V1008)&gt;0,V1008,IF(BU1008=1,MAX(1,N(VLOOKUP(T1008,Parameter!$I$27:$K$29,3,0)),H1008,N(N1008)),IF(N(Q1008)&gt;0,Q1008,MAX(1,H1008)))))</f>
        <v>1</v>
      </c>
      <c r="BT1008" s="60" t="n">
        <f aca="false">IF(BR1008="LOSE",1,0)</f>
        <v>1</v>
      </c>
      <c r="BU1008" s="60" t="n">
        <f aca="false">IF(AND(U1008="",OR(P1008="",P1008="LOSE"),T1008&lt;&gt;"",N(S1008)&lt;=0,ISNUMBER(MATCH(T1008,Parameter!$I$27:$I$29,0))),1,0)</f>
        <v>0</v>
      </c>
      <c r="BV1008" s="55" t="str">
        <f aca="false">IF(AND(Parameter!$B$19="Ja",E1008&lt;&gt;"",ISNUMBER(MATCH(E1008,Parameter!$I$35:$I$52,0))),VLOOKUP(E1008,Parameter!$I$35:$J$52,2,0),IFERROR(VLOOKUP(D1008,Parameter!$A$35:$C$64,2,0),"Nein"))</f>
        <v>Nein</v>
      </c>
      <c r="BW1008" s="59" t="n">
        <f aca="false">IF(BT1008=0,0,IF(N(S1008)&gt;0,S1008,IFERROR(VLOOKUP(D1008,Parameter!$A$35:$C$64,3,0)+0,0)))</f>
        <v>0.15</v>
      </c>
      <c r="BX1008" s="55" t="str">
        <f aca="false">IF(AA1008&lt;&gt;"",AA1008,Z1008)</f>
        <v>-</v>
      </c>
      <c r="BY1008" s="55" t="str">
        <f aca="false">IF(BX1008=1,"L1",IF(OR(BX1008=2,BX1008=3),"L23",IF(BX1008="Aussen","Aussen","-")))</f>
        <v>-</v>
      </c>
      <c r="BZ1008" s="66" t="n">
        <f aca="false">IF(N(AB1008)&gt;0,AB1008,0)</f>
        <v>0</v>
      </c>
      <c r="CA1008" s="60" t="n">
        <f aca="false">IF(ISNUMBER(AE1008),1,0)</f>
        <v>0</v>
      </c>
      <c r="CB1008" s="57" t="n">
        <f aca="false">N(AE1008)</f>
        <v>0</v>
      </c>
      <c r="CC1008" s="57" t="n">
        <f aca="false">N(M1008)+N(N1008)</f>
        <v>0</v>
      </c>
      <c r="CD1008" s="57" t="n">
        <f aca="false">ROUNDUP(H1008/BS1008,0)</f>
        <v>0</v>
      </c>
      <c r="CE1008" s="57" t="n">
        <f aca="false">ROUNDUP(CB1008/BS1008,0)</f>
        <v>0</v>
      </c>
      <c r="CF1008" s="60" t="n">
        <f aca="false">IF(BT1008=1,0,IFERROR(VLOOKUP(BR1008,'Gebinde-Kategorie'!$A$5:$M$45,5,0)+0,0))</f>
        <v>0</v>
      </c>
      <c r="CG1008" s="60" t="n">
        <f aca="false">IFERROR(IF(OR(BX1008=1,BX1008=2,BX1008=3),N(INDEX(Parameter!$I$5:$I$7,BX1008)),0),0)</f>
        <v>0</v>
      </c>
      <c r="CH1008" s="59" t="n">
        <f aca="false">IF(AND(Parameter!$B$21="Ja",ISNUMBER(W1008),N(X1008)&gt;0),IFERROR(N(INDEX(Parameter!$L$5:$L$7,W1008))*INDEX(Parameter!$E$5:$E$7,W1008)*X1008/SUMIFS($X$7:$X$1843,$W$7:$W$1843,W1008),0),0)</f>
        <v>0</v>
      </c>
    </row>
    <row r="1009" customFormat="false" ht="15" hidden="false" customHeight="false" outlineLevel="0" collapsed="false">
      <c r="A1009" s="55" t="s">
        <v>1860</v>
      </c>
      <c r="B1009" s="55" t="s">
        <v>1861</v>
      </c>
      <c r="C1009" s="55" t="s">
        <v>164</v>
      </c>
      <c r="D1009" s="55" t="s">
        <v>184</v>
      </c>
      <c r="E1009" s="55"/>
      <c r="F1009" s="55" t="s">
        <v>218</v>
      </c>
      <c r="G1009" s="56" t="n">
        <v>106.76</v>
      </c>
      <c r="H1009" s="57" t="n">
        <f aca="false">MAX(0,IF(AND(Parameter!$B$21="Ja",ISNUMBER(Y1009)),Y1009,IF(Parameter!$B$20="Jahresanfang 2025 + Export",BL1009+BK1009,BK1009)))</f>
        <v>6</v>
      </c>
      <c r="I1009" s="57" t="n">
        <f aca="false">H1009*G1009</f>
        <v>640.56</v>
      </c>
      <c r="J1009" s="57" t="n">
        <f aca="false">BN1009*Parameter!$B$18</f>
        <v>0</v>
      </c>
      <c r="K1009" s="58" t="n">
        <v>7</v>
      </c>
      <c r="L1009" s="59" t="n">
        <v>0</v>
      </c>
      <c r="M1009" s="57" t="n">
        <v>0</v>
      </c>
      <c r="N1009" s="57" t="n">
        <v>1</v>
      </c>
      <c r="O1009" s="60" t="n">
        <v>35</v>
      </c>
      <c r="P1009" s="55" t="s">
        <v>168</v>
      </c>
      <c r="Q1009" s="57"/>
      <c r="R1009" s="60" t="n">
        <f aca="false">IF(BT1009=1,0,IFERROR(VLOOKUP(BR1009,'Gebinde-Kategorie'!$A$5:$M$45,13,0)+0,0))</f>
        <v>12</v>
      </c>
      <c r="S1009" s="61"/>
      <c r="T1009" s="62" t="s">
        <v>179</v>
      </c>
      <c r="U1009" s="62"/>
      <c r="V1009" s="62"/>
      <c r="W1009" s="55"/>
      <c r="X1009" s="57"/>
      <c r="Y1009" s="57"/>
      <c r="Z1009" s="55" t="n">
        <f aca="false">IF(A1009="","",IF(AND(Parameter!$B$21="Ja",ISNUMBER(W1009)),W1009,IF(BV1009="2+3",IF(ISNUMBER(SEARCH("grosser Artikel",BO1009)),2,IFERROR(VLOOKUP(BR1009,Parameter!$F$35:$G$64,2,0),2)),IF(OR(BV1009="Nein",BV1009=""),"-",BV1009))))</f>
        <v>2</v>
      </c>
      <c r="AA1009" s="62"/>
      <c r="AB1009" s="63"/>
      <c r="AC1009" s="57" t="n">
        <f aca="false">AR1009</f>
        <v>6</v>
      </c>
      <c r="AD1009" s="57" t="n">
        <f aca="false">MAX(AR1009,H1009)</f>
        <v>6</v>
      </c>
      <c r="AE1009" s="64"/>
      <c r="AF1009" s="57" t="n">
        <f aca="false">IF(LEFT(Cockpit!$C$5,1)="A",H1009,IF(CA1009=1,CB1009,IF(LEFT(Cockpit!$C$5,1)="B",AJ1009,MAX(AJ1009,H1009))))</f>
        <v>6</v>
      </c>
      <c r="AG1009" s="57" t="n">
        <f aca="false">IF(BT1009=1,0,ROUNDUP(AF1009/BS1009,0))</f>
        <v>1</v>
      </c>
      <c r="AH1009" s="59" t="n">
        <f aca="false">IF(CH1009&gt;0,CH1009*MAX(1,AF1009/X1009),IF(BT1009=1,IF(AF1009&lt;=0,0,BW1009*MAX(1,IF(H1009&gt;0,AF1009/H1009,1))),IF(R1009&gt;0,AG1009/R1009,0))/MAX(0.1,N(Parameter!$M$21)))</f>
        <v>0.0833333333333333</v>
      </c>
      <c r="AI1009" s="57" t="n">
        <f aca="false">AF1009*G1009</f>
        <v>640.56</v>
      </c>
      <c r="AJ1009" s="57" t="n">
        <f aca="false">ROUNDUP(MAX(J1009/IF(BZ1009&gt;0,BZ1009,MAX(0.1,N(Cockpit!$C$6))),CC1009)/BS1009,0)*BS1009</f>
        <v>6</v>
      </c>
      <c r="AK1009" s="58" t="n">
        <f aca="false">IF(AH1009&gt;0,J1009/AH1009,-1)</f>
        <v>0</v>
      </c>
      <c r="AL1009" s="58" t="n">
        <f aca="false">IF(AND(OR(BY1009="L1",BY1009="L23"),AH1009&gt;0),SUMIFS($AH$7:$AH$1843,$BY$7:$BY$1843,BY1009,$AK$7:$AK$1843,"&gt;"&amp;AK1009)+SUMIFS($AH$7:$AH$1843,$BY$7:$BY$1843,BY1009,$AK$7:$AK$1843,AK1009,$BQ$7:$BQ$1843,"&lt;="&amp;BQ1009),"")</f>
        <v>78.5363501233067</v>
      </c>
      <c r="AM1009" s="65" t="n">
        <f aca="false">IF(AL1009="",0,MAX(0,MIN(1,(IF(BY1009="L1",Parameter!$E$5,Parameter!$E$6+Parameter!$E$7)-(AL1009-AH1009))/AH1009)))</f>
        <v>1</v>
      </c>
      <c r="AN1009" s="57" t="n">
        <f aca="false">IF(LEFT(Cockpit!$I$5,1)="A",H1009,IF(CA1009=1,CB1009,IF(LEFT(Cockpit!$I$5,1)="B",AR1009,MAX(AR1009,H1009))))</f>
        <v>6</v>
      </c>
      <c r="AO1009" s="57" t="n">
        <f aca="false">IF(BT1009=1,0,ROUNDUP(AN1009/BS1009,0))</f>
        <v>1</v>
      </c>
      <c r="AP1009" s="59" t="n">
        <f aca="false">IF(CH1009&gt;0,CH1009*MAX(1,AN1009/X1009),IF(BT1009=1,IF(AN1009&lt;=0,0,BW1009*MAX(1,IF(H1009&gt;0,AN1009/H1009,1))),IF(R1009&gt;0,AO1009/R1009,0))/MAX(0.1,N(Parameter!$M$21)))</f>
        <v>0.0833333333333333</v>
      </c>
      <c r="AQ1009" s="57" t="n">
        <f aca="false">AN1009*G1009</f>
        <v>640.56</v>
      </c>
      <c r="AR1009" s="57" t="n">
        <f aca="false">ROUNDUP(MAX(J1009/IF(BZ1009&gt;0,BZ1009,MAX(0.1,N(Cockpit!$I$6))),CC1009)/BS1009,0)*BS1009</f>
        <v>6</v>
      </c>
      <c r="AS1009" s="58" t="n">
        <f aca="false">IF(AP1009&gt;0,J1009/AP1009,-1)</f>
        <v>0</v>
      </c>
      <c r="AT1009" s="58" t="n">
        <f aca="false">IF(AND(OR(BY1009="L1",BY1009="L23"),AP1009&gt;0),SUMIFS($AP$7:$AP$1843,$BY$7:$BY$1843,BY1009,$AS$7:$AS$1843,"&gt;"&amp;AS1009)+SUMIFS($AP$7:$AP$1843,$BY$7:$BY$1843,BY1009,$AS$7:$AS$1843,AS1009,$BQ$7:$BQ$1843,"&lt;="&amp;BQ1009),"")</f>
        <v>119.982787743657</v>
      </c>
      <c r="AU1009" s="65" t="n">
        <f aca="false">IF(AT1009="",0,MAX(0,MIN(1,(IF(BY1009="L1",Parameter!$E$5,Parameter!$E$6+Parameter!$E$7)-(AT1009-AP1009))/AP1009)))</f>
        <v>0</v>
      </c>
      <c r="AV1009" s="57" t="n">
        <f aca="false">IF(LEFT(Cockpit!$O$5,1)="A",H1009,IF(CA1009=1,CB1009,IF(LEFT(Cockpit!$O$5,1)="B",AZ1009,MAX(AZ1009,H1009))))</f>
        <v>6</v>
      </c>
      <c r="AW1009" s="57" t="n">
        <f aca="false">IF(BT1009=1,0,ROUNDUP(AV1009/BS1009,0))</f>
        <v>1</v>
      </c>
      <c r="AX1009" s="59" t="n">
        <f aca="false">IF(CH1009&gt;0,CH1009*MAX(1,AV1009/X1009),IF(BT1009=1,IF(AV1009&lt;=0,0,BW1009*MAX(1,IF(H1009&gt;0,AV1009/H1009,1))),IF(R1009&gt;0,AW1009/R1009,0))/MAX(0.1,N(Parameter!$M$21)))</f>
        <v>0.0833333333333333</v>
      </c>
      <c r="AY1009" s="57" t="n">
        <f aca="false">AV1009*G1009</f>
        <v>640.56</v>
      </c>
      <c r="AZ1009" s="57" t="n">
        <f aca="false">ROUNDUP(MAX(J1009/IF(BZ1009&gt;0,BZ1009,MAX(0.1,N(Cockpit!$O$6))),CC1009)/BS1009,0)*BS1009</f>
        <v>6</v>
      </c>
      <c r="BA1009" s="58" t="n">
        <f aca="false">IF(AX1009&gt;0,J1009/AX1009,-1)</f>
        <v>0</v>
      </c>
      <c r="BB1009" s="58" t="n">
        <f aca="false">IF(AND(OR(BY1009="L1",BY1009="L23"),AX1009&gt;0),SUMIFS($AX$7:$AX$1843,$BY$7:$BY$1843,BY1009,$BA$7:$BA$1843,"&gt;"&amp;BA1009)+SUMIFS($AX$7:$AX$1843,$BY$7:$BY$1843,BY1009,$BA$7:$BA$1843,BA1009,$BQ$7:$BQ$1843,"&lt;="&amp;BQ1009),"")</f>
        <v>110.812624573494</v>
      </c>
      <c r="BC1009" s="65" t="n">
        <f aca="false">IF(BB1009="",0,MAX(0,MIN(1,(IF(BY1009="L1",Parameter!$E$5,Parameter!$E$6+Parameter!$E$7)-(BB1009-AX1009))/AX1009)))</f>
        <v>0</v>
      </c>
      <c r="BD1009" s="55" t="str">
        <f aca="false">IF(AH1009&lt;=0,"",IF(BY1009="Aussen","Aussenlager",IF(BY1009="-","Nicht im Lift",IF(AM1009&gt;=1,"Lift",IF(AM1009&lt;=0,"Aussenlager","teilweise")))))</f>
        <v>Lift</v>
      </c>
      <c r="BE1009" s="55" t="str">
        <f aca="false">IF(AP1009&lt;=0,"",IF(BY1009="Aussen","Aussenlager",IF(BY1009="-","Nicht im Lift",IF(AU1009&gt;=1,"Lift",IF(AU1009&lt;=0,"Aussenlager","teilweise")))))</f>
        <v>Aussenlager</v>
      </c>
      <c r="BF1009" s="55" t="str">
        <f aca="false">IF(AX1009&lt;=0,"",IF(BY1009="Aussen","Aussenlager",IF(BY1009="-","Nicht im Lift",IF(BC1009&gt;=1,"Lift",IF(BC1009&lt;=0,"Aussenlager","teilweise")))))</f>
        <v>Aussenlager</v>
      </c>
      <c r="BG1009" s="55" t="str">
        <f aca="false">IF(A1009="","",IF(BP1009=1,"Neu; ","")&amp;IF(AND(BP1009=0,BK1009&lt;0),"negativer Bestand (Export "&amp;BK1009&amp;"); ","")&amp;IF(J1009&lt;=0,"Kein Verbrauch; ","")&amp;IF(CH1009&gt;0,"Lift "&amp;W1009&amp;" lt. Liftbericht (Fach "&amp;X1009&amp;" Stk); ",IF(BU1009=1,"Gebinde geschätzt ("&amp;T1009&amp;"); ",IF(BT1009=1,"Lose – Tablare geschätzt; ","")))&amp;IF(H1009&gt;AR1009,"Überbestand "&amp;ROUND(H1009-AR1009,0)&amp;" Stk / CHF "&amp;ROUND((H1009-AR1009)*G1009,0)&amp;"; ","")&amp;IF(AND(CA1009=1,CB1009&lt;CC1009),"MAX &lt; MB+LG; ","")&amp;IF(AND(CG1009&gt;0,CF1009*10&gt;CG1009),"zu hoch für Tablar; ","")&amp;IF(AND(BP1009=0,OR(CA1009=1,AA1009&lt;&gt;"",U1009&lt;&gt;"",V1009&lt;&gt;"",AB1009&lt;&gt;"")),"manuell übersteuert; ","")&amp;IF(AND(BT1009=0,R1009=0),"Gebinde unbekannt / Stellmass fehlt; ","")&amp;IF(AND(BT1009=0,N(V1009)&lt;=0,N(Q1009)&lt;=0),"Menge pro Gebinde fehlt (Ist = 1 Gebinde); ","")&amp;BO1009)</f>
        <v>negativer Bestand (Export -1); Kein Verbrauch; Gebinde geschätzt (Mittel); Menge pro Gebinde fehlt (Ist = 1 Gebinde); </v>
      </c>
      <c r="BH1009" s="55"/>
      <c r="BI1009" s="55"/>
      <c r="BJ1009" s="62"/>
      <c r="BK1009" s="57" t="n">
        <v>-1</v>
      </c>
      <c r="BL1009" s="57" t="n">
        <v>7</v>
      </c>
      <c r="BM1009" s="56" t="n">
        <v>-106.76</v>
      </c>
      <c r="BN1009" s="57" t="n">
        <v>0</v>
      </c>
      <c r="BO1009" s="55"/>
      <c r="BP1009" s="60" t="n">
        <v>0</v>
      </c>
      <c r="BQ1009" s="60" t="n">
        <v>1009</v>
      </c>
      <c r="BR1009" s="55" t="str">
        <f aca="false">IF(U1009&lt;&gt;"",UPPER(TRIM(U1009)),IF(BU1009=1,UPPER(VLOOKUP(T1009,Parameter!$I$27:$K$29,2,0)),IF(P1009="","LOSE",P1009)))</f>
        <v>S61</v>
      </c>
      <c r="BS1009" s="57" t="n">
        <f aca="false">IF(BR1009="LOSE",1,IF(N(V1009)&gt;0,V1009,IF(BU1009=1,MAX(1,N(VLOOKUP(T1009,Parameter!$I$27:$K$29,3,0)),H1009,N(N1009)),IF(N(Q1009)&gt;0,Q1009,MAX(1,H1009)))))</f>
        <v>6</v>
      </c>
      <c r="BT1009" s="60" t="n">
        <f aca="false">IF(BR1009="LOSE",1,0)</f>
        <v>0</v>
      </c>
      <c r="BU1009" s="60" t="n">
        <f aca="false">IF(AND(U1009="",OR(P1009="",P1009="LOSE"),T1009&lt;&gt;"",N(S1009)&lt;=0,ISNUMBER(MATCH(T1009,Parameter!$I$27:$I$29,0))),1,0)</f>
        <v>1</v>
      </c>
      <c r="BV1009" s="55" t="str">
        <f aca="false">IF(AND(Parameter!$B$19="Ja",E1009&lt;&gt;"",ISNUMBER(MATCH(E1009,Parameter!$I$35:$I$52,0))),VLOOKUP(E1009,Parameter!$I$35:$J$52,2,0),IFERROR(VLOOKUP(D1009,Parameter!$A$35:$C$64,2,0),"Nein"))</f>
        <v>2+3</v>
      </c>
      <c r="BW1009" s="59" t="n">
        <f aca="false">IF(BT1009=0,0,IF(N(S1009)&gt;0,S1009,IFERROR(VLOOKUP(D1009,Parameter!$A$35:$C$64,3,0)+0,0)))</f>
        <v>0</v>
      </c>
      <c r="BX1009" s="55" t="n">
        <f aca="false">IF(AA1009&lt;&gt;"",AA1009,Z1009)</f>
        <v>2</v>
      </c>
      <c r="BY1009" s="55" t="str">
        <f aca="false">IF(BX1009=1,"L1",IF(OR(BX1009=2,BX1009=3),"L23",IF(BX1009="Aussen","Aussen","-")))</f>
        <v>L23</v>
      </c>
      <c r="BZ1009" s="66" t="n">
        <f aca="false">IF(N(AB1009)&gt;0,AB1009,0)</f>
        <v>0</v>
      </c>
      <c r="CA1009" s="60" t="n">
        <f aca="false">IF(ISNUMBER(AE1009),1,0)</f>
        <v>0</v>
      </c>
      <c r="CB1009" s="57" t="n">
        <f aca="false">N(AE1009)</f>
        <v>0</v>
      </c>
      <c r="CC1009" s="57" t="n">
        <f aca="false">N(M1009)+N(N1009)</f>
        <v>1</v>
      </c>
      <c r="CD1009" s="57" t="n">
        <f aca="false">ROUNDUP(H1009/BS1009,0)</f>
        <v>1</v>
      </c>
      <c r="CE1009" s="57" t="n">
        <f aca="false">ROUNDUP(CB1009/BS1009,0)</f>
        <v>0</v>
      </c>
      <c r="CF1009" s="60" t="n">
        <f aca="false">IF(BT1009=1,0,IFERROR(VLOOKUP(BR1009,'Gebinde-Kategorie'!$A$5:$M$45,5,0)+0,0))</f>
        <v>11</v>
      </c>
      <c r="CG1009" s="60" t="n">
        <f aca="false">IFERROR(IF(OR(BX1009=1,BX1009=2,BX1009=3),N(INDEX(Parameter!$I$5:$I$7,BX1009)),0),0)</f>
        <v>0</v>
      </c>
      <c r="CH1009" s="59" t="n">
        <f aca="false">IF(AND(Parameter!$B$21="Ja",ISNUMBER(W1009),N(X1009)&gt;0),IFERROR(N(INDEX(Parameter!$L$5:$L$7,W1009))*INDEX(Parameter!$E$5:$E$7,W1009)*X1009/SUMIFS($X$7:$X$1843,$W$7:$W$1843,W1009),0),0)</f>
        <v>0</v>
      </c>
    </row>
    <row r="1010" customFormat="false" ht="15" hidden="false" customHeight="false" outlineLevel="0" collapsed="false">
      <c r="A1010" s="55" t="s">
        <v>1862</v>
      </c>
      <c r="B1010" s="55" t="s">
        <v>501</v>
      </c>
      <c r="C1010" s="55" t="s">
        <v>164</v>
      </c>
      <c r="D1010" s="55" t="s">
        <v>184</v>
      </c>
      <c r="E1010" s="55" t="s">
        <v>185</v>
      </c>
      <c r="F1010" s="55" t="s">
        <v>218</v>
      </c>
      <c r="G1010" s="56" t="n">
        <v>10.06</v>
      </c>
      <c r="H1010" s="57" t="n">
        <f aca="false">MAX(0,IF(AND(Parameter!$B$21="Ja",ISNUMBER(Y1010)),Y1010,IF(Parameter!$B$20="Jahresanfang 2025 + Export",BL1010+BK1010,BK1010)))</f>
        <v>137</v>
      </c>
      <c r="I1010" s="57" t="n">
        <f aca="false">H1010*G1010</f>
        <v>1378.22</v>
      </c>
      <c r="J1010" s="57" t="n">
        <f aca="false">BN1010*Parameter!$B$18</f>
        <v>184</v>
      </c>
      <c r="K1010" s="58" t="n">
        <v>124</v>
      </c>
      <c r="L1010" s="59" t="n">
        <v>1.48387096774194</v>
      </c>
      <c r="M1010" s="57" t="n">
        <v>11</v>
      </c>
      <c r="N1010" s="57" t="n">
        <v>190</v>
      </c>
      <c r="O1010" s="60" t="n">
        <v>21</v>
      </c>
      <c r="P1010" s="55" t="s">
        <v>233</v>
      </c>
      <c r="Q1010" s="57" t="n">
        <v>131</v>
      </c>
      <c r="R1010" s="60" t="n">
        <f aca="false">IF(BT1010=1,0,IFERROR(VLOOKUP(BR1010,'Gebinde-Kategorie'!$A$5:$M$45,13,0)+0,0))</f>
        <v>26</v>
      </c>
      <c r="S1010" s="61"/>
      <c r="T1010" s="62"/>
      <c r="U1010" s="62"/>
      <c r="V1010" s="62"/>
      <c r="W1010" s="55"/>
      <c r="X1010" s="57"/>
      <c r="Y1010" s="57"/>
      <c r="Z1010" s="55" t="n">
        <f aca="false">IF(A1010="","",IF(AND(Parameter!$B$21="Ja",ISNUMBER(W1010)),W1010,IF(BV1010="2+3",IF(ISNUMBER(SEARCH("grosser Artikel",BO1010)),2,IFERROR(VLOOKUP(BR1010,Parameter!$F$35:$G$64,2,0),2)),IF(OR(BV1010="Nein",BV1010=""),"-",BV1010))))</f>
        <v>3</v>
      </c>
      <c r="AA1010" s="62"/>
      <c r="AB1010" s="63"/>
      <c r="AC1010" s="57" t="n">
        <f aca="false">AR1010</f>
        <v>262</v>
      </c>
      <c r="AD1010" s="57" t="n">
        <f aca="false">MAX(AR1010,H1010)</f>
        <v>262</v>
      </c>
      <c r="AE1010" s="64"/>
      <c r="AF1010" s="57" t="n">
        <f aca="false">IF(LEFT(Cockpit!$C$5,1)="A",H1010,IF(CA1010=1,CB1010,IF(LEFT(Cockpit!$C$5,1)="B",AJ1010,MAX(AJ1010,H1010))))</f>
        <v>137</v>
      </c>
      <c r="AG1010" s="57" t="n">
        <f aca="false">IF(BT1010=1,0,ROUNDUP(AF1010/BS1010,0))</f>
        <v>2</v>
      </c>
      <c r="AH1010" s="59" t="n">
        <f aca="false">IF(CH1010&gt;0,CH1010*MAX(1,AF1010/X1010),IF(BT1010=1,IF(AF1010&lt;=0,0,BW1010*MAX(1,IF(H1010&gt;0,AF1010/H1010,1))),IF(R1010&gt;0,AG1010/R1010,0))/MAX(0.1,N(Parameter!$M$21)))</f>
        <v>0.0769230769230769</v>
      </c>
      <c r="AI1010" s="57" t="n">
        <f aca="false">AF1010*G1010</f>
        <v>1378.22</v>
      </c>
      <c r="AJ1010" s="57" t="n">
        <f aca="false">ROUNDUP(MAX(J1010/IF(BZ1010&gt;0,BZ1010,MAX(0.1,N(Cockpit!$C$6))),CC1010)/BS1010,0)*BS1010</f>
        <v>262</v>
      </c>
      <c r="AK1010" s="58" t="n">
        <f aca="false">IF(AH1010&gt;0,J1010/AH1010,-1)</f>
        <v>2392</v>
      </c>
      <c r="AL1010" s="58" t="n">
        <f aca="false">IF(AND(OR(BY1010="L1",BY1010="L23"),AH1010&gt;0),SUMIFS($AH$7:$AH$1843,$BY$7:$BY$1843,BY1010,$AK$7:$AK$1843,"&gt;"&amp;AK1010)+SUMIFS($AH$7:$AH$1843,$BY$7:$BY$1843,BY1010,$AK$7:$AK$1843,AK1010,$BQ$7:$BQ$1843,"&lt;="&amp;BQ1010),"")</f>
        <v>11.8428515928516</v>
      </c>
      <c r="AM1010" s="65" t="n">
        <f aca="false">IF(AL1010="",0,MAX(0,MIN(1,(IF(BY1010="L1",Parameter!$E$5,Parameter!$E$6+Parameter!$E$7)-(AL1010-AH1010))/AH1010)))</f>
        <v>1</v>
      </c>
      <c r="AN1010" s="57" t="n">
        <f aca="false">IF(LEFT(Cockpit!$I$5,1)="A",H1010,IF(CA1010=1,CB1010,IF(LEFT(Cockpit!$I$5,1)="B",AR1010,MAX(AR1010,H1010))))</f>
        <v>262</v>
      </c>
      <c r="AO1010" s="57" t="n">
        <f aca="false">IF(BT1010=1,0,ROUNDUP(AN1010/BS1010,0))</f>
        <v>2</v>
      </c>
      <c r="AP1010" s="59" t="n">
        <f aca="false">IF(CH1010&gt;0,CH1010*MAX(1,AN1010/X1010),IF(BT1010=1,IF(AN1010&lt;=0,0,BW1010*MAX(1,IF(H1010&gt;0,AN1010/H1010,1))),IF(R1010&gt;0,AO1010/R1010,0))/MAX(0.1,N(Parameter!$M$21)))</f>
        <v>0.0769230769230769</v>
      </c>
      <c r="AQ1010" s="57" t="n">
        <f aca="false">AN1010*G1010</f>
        <v>2635.72</v>
      </c>
      <c r="AR1010" s="57" t="n">
        <f aca="false">ROUNDUP(MAX(J1010/IF(BZ1010&gt;0,BZ1010,MAX(0.1,N(Cockpit!$I$6))),CC1010)/BS1010,0)*BS1010</f>
        <v>262</v>
      </c>
      <c r="AS1010" s="58" t="n">
        <f aca="false">IF(AP1010&gt;0,J1010/AP1010,-1)</f>
        <v>2392</v>
      </c>
      <c r="AT1010" s="58" t="n">
        <f aca="false">IF(AND(OR(BY1010="L1",BY1010="L23"),AP1010&gt;0),SUMIFS($AP$7:$AP$1843,$BY$7:$BY$1843,BY1010,$AS$7:$AS$1843,"&gt;"&amp;AS1010)+SUMIFS($AP$7:$AP$1843,$BY$7:$BY$1843,BY1010,$AS$7:$AS$1843,AS1010,$BQ$7:$BQ$1843,"&lt;="&amp;BQ1010),"")</f>
        <v>17.5136397419006</v>
      </c>
      <c r="AU1010" s="65" t="n">
        <f aca="false">IF(AT1010="",0,MAX(0,MIN(1,(IF(BY1010="L1",Parameter!$E$5,Parameter!$E$6+Parameter!$E$7)-(AT1010-AP1010))/AP1010)))</f>
        <v>1</v>
      </c>
      <c r="AV1010" s="57" t="n">
        <f aca="false">IF(LEFT(Cockpit!$O$5,1)="A",H1010,IF(CA1010=1,CB1010,IF(LEFT(Cockpit!$O$5,1)="B",AZ1010,MAX(AZ1010,H1010))))</f>
        <v>262</v>
      </c>
      <c r="AW1010" s="57" t="n">
        <f aca="false">IF(BT1010=1,0,ROUNDUP(AV1010/BS1010,0))</f>
        <v>2</v>
      </c>
      <c r="AX1010" s="59" t="n">
        <f aca="false">IF(CH1010&gt;0,CH1010*MAX(1,AV1010/X1010),IF(BT1010=1,IF(AV1010&lt;=0,0,BW1010*MAX(1,IF(H1010&gt;0,AV1010/H1010,1))),IF(R1010&gt;0,AW1010/R1010,0))/MAX(0.1,N(Parameter!$M$21)))</f>
        <v>0.0769230769230769</v>
      </c>
      <c r="AY1010" s="57" t="n">
        <f aca="false">AV1010*G1010</f>
        <v>2635.72</v>
      </c>
      <c r="AZ1010" s="57" t="n">
        <f aca="false">ROUNDUP(MAX(J1010/IF(BZ1010&gt;0,BZ1010,MAX(0.1,N(Cockpit!$O$6))),CC1010)/BS1010,0)*BS1010</f>
        <v>262</v>
      </c>
      <c r="BA1010" s="58" t="n">
        <f aca="false">IF(AX1010&gt;0,J1010/AX1010,-1)</f>
        <v>2392</v>
      </c>
      <c r="BB1010" s="58" t="n">
        <f aca="false">IF(AND(OR(BY1010="L1",BY1010="L23"),AX1010&gt;0),SUMIFS($AX$7:$AX$1843,$BY$7:$BY$1843,BY1010,$BA$7:$BA$1843,"&gt;"&amp;BA1010)+SUMIFS($AX$7:$AX$1843,$BY$7:$BY$1843,BY1010,$BA$7:$BA$1843,BA1010,$BQ$7:$BQ$1843,"&lt;="&amp;BQ1010),"")</f>
        <v>16.0870663153272</v>
      </c>
      <c r="BC1010" s="65" t="n">
        <f aca="false">IF(BB1010="",0,MAX(0,MIN(1,(IF(BY1010="L1",Parameter!$E$5,Parameter!$E$6+Parameter!$E$7)-(BB1010-AX1010))/AX1010)))</f>
        <v>1</v>
      </c>
      <c r="BD1010" s="55" t="str">
        <f aca="false">IF(AH1010&lt;=0,"",IF(BY1010="Aussen","Aussenlager",IF(BY1010="-","Nicht im Lift",IF(AM1010&gt;=1,"Lift",IF(AM1010&lt;=0,"Aussenlager","teilweise")))))</f>
        <v>Lift</v>
      </c>
      <c r="BE1010" s="55" t="str">
        <f aca="false">IF(AP1010&lt;=0,"",IF(BY1010="Aussen","Aussenlager",IF(BY1010="-","Nicht im Lift",IF(AU1010&gt;=1,"Lift",IF(AU1010&lt;=0,"Aussenlager","teilweise")))))</f>
        <v>Lift</v>
      </c>
      <c r="BF1010" s="55" t="str">
        <f aca="false">IF(AX1010&lt;=0,"",IF(BY1010="Aussen","Aussenlager",IF(BY1010="-","Nicht im Lift",IF(BC1010&gt;=1,"Lift",IF(BC1010&lt;=0,"Aussenlager","teilweise")))))</f>
        <v>Lift</v>
      </c>
      <c r="BG1010" s="55" t="str">
        <f aca="false">IF(A1010="","",IF(BP1010=1,"Neu; ","")&amp;IF(AND(BP1010=0,BK1010&lt;0),"negativer Bestand (Export "&amp;BK1010&amp;"); ","")&amp;IF(J1010&lt;=0,"Kein Verbrauch; ","")&amp;IF(CH1010&gt;0,"Lift "&amp;W1010&amp;" lt. Liftbericht (Fach "&amp;X1010&amp;" Stk); ",IF(BU1010=1,"Gebinde geschätzt ("&amp;T1010&amp;"); ",IF(BT1010=1,"Lose – Tablare geschätzt; ","")))&amp;IF(H1010&gt;AR1010,"Überbestand "&amp;ROUND(H1010-AR1010,0)&amp;" Stk / CHF "&amp;ROUND((H1010-AR1010)*G1010,0)&amp;"; ","")&amp;IF(AND(CA1010=1,CB1010&lt;CC1010),"MAX &lt; MB+LG; ","")&amp;IF(AND(CG1010&gt;0,CF1010*10&gt;CG1010),"zu hoch für Tablar; ","")&amp;IF(AND(BP1010=0,OR(CA1010=1,AA1010&lt;&gt;"",U1010&lt;&gt;"",V1010&lt;&gt;"",AB1010&lt;&gt;"")),"manuell übersteuert; ","")&amp;IF(AND(BT1010=0,R1010=0),"Gebinde unbekannt / Stellmass fehlt; ","")&amp;IF(AND(BT1010=0,N(V1010)&lt;=0,N(Q1010)&lt;=0),"Menge pro Gebinde fehlt (Ist = 1 Gebinde); ","")&amp;BO1010)</f>
        <v>negativer Bestand (Export -27); </v>
      </c>
      <c r="BH1010" s="55"/>
      <c r="BI1010" s="55"/>
      <c r="BJ1010" s="62"/>
      <c r="BK1010" s="57" t="n">
        <v>-27</v>
      </c>
      <c r="BL1010" s="57" t="n">
        <v>164</v>
      </c>
      <c r="BM1010" s="56" t="n">
        <v>-107.619999999999</v>
      </c>
      <c r="BN1010" s="57" t="n">
        <v>184</v>
      </c>
      <c r="BO1010" s="55"/>
      <c r="BP1010" s="60" t="n">
        <v>0</v>
      </c>
      <c r="BQ1010" s="60" t="n">
        <v>1010</v>
      </c>
      <c r="BR1010" s="55" t="str">
        <f aca="false">IF(U1010&lt;&gt;"",UPPER(TRIM(U1010)),IF(BU1010=1,UPPER(VLOOKUP(T1010,Parameter!$I$27:$K$29,2,0)),IF(P1010="","LOSE",P1010)))</f>
        <v>S52</v>
      </c>
      <c r="BS1010" s="57" t="n">
        <f aca="false">IF(BR1010="LOSE",1,IF(N(V1010)&gt;0,V1010,IF(BU1010=1,MAX(1,N(VLOOKUP(T1010,Parameter!$I$27:$K$29,3,0)),H1010,N(N1010)),IF(N(Q1010)&gt;0,Q1010,MAX(1,H1010)))))</f>
        <v>131</v>
      </c>
      <c r="BT1010" s="60" t="n">
        <f aca="false">IF(BR1010="LOSE",1,0)</f>
        <v>0</v>
      </c>
      <c r="BU1010" s="60" t="n">
        <f aca="false">IF(AND(U1010="",OR(P1010="",P1010="LOSE"),T1010&lt;&gt;"",N(S1010)&lt;=0,ISNUMBER(MATCH(T1010,Parameter!$I$27:$I$29,0))),1,0)</f>
        <v>0</v>
      </c>
      <c r="BV1010" s="55" t="str">
        <f aca="false">IF(AND(Parameter!$B$19="Ja",E1010&lt;&gt;"",ISNUMBER(MATCH(E1010,Parameter!$I$35:$I$52,0))),VLOOKUP(E1010,Parameter!$I$35:$J$52,2,0),IFERROR(VLOOKUP(D1010,Parameter!$A$35:$C$64,2,0),"Nein"))</f>
        <v>2+3</v>
      </c>
      <c r="BW1010" s="59" t="n">
        <f aca="false">IF(BT1010=0,0,IF(N(S1010)&gt;0,S1010,IFERROR(VLOOKUP(D1010,Parameter!$A$35:$C$64,3,0)+0,0)))</f>
        <v>0</v>
      </c>
      <c r="BX1010" s="55" t="n">
        <f aca="false">IF(AA1010&lt;&gt;"",AA1010,Z1010)</f>
        <v>3</v>
      </c>
      <c r="BY1010" s="55" t="str">
        <f aca="false">IF(BX1010=1,"L1",IF(OR(BX1010=2,BX1010=3),"L23",IF(BX1010="Aussen","Aussen","-")))</f>
        <v>L23</v>
      </c>
      <c r="BZ1010" s="66" t="n">
        <f aca="false">IF(N(AB1010)&gt;0,AB1010,0)</f>
        <v>0</v>
      </c>
      <c r="CA1010" s="60" t="n">
        <f aca="false">IF(ISNUMBER(AE1010),1,0)</f>
        <v>0</v>
      </c>
      <c r="CB1010" s="57" t="n">
        <f aca="false">N(AE1010)</f>
        <v>0</v>
      </c>
      <c r="CC1010" s="57" t="n">
        <f aca="false">N(M1010)+N(N1010)</f>
        <v>201</v>
      </c>
      <c r="CD1010" s="57" t="n">
        <f aca="false">ROUNDUP(H1010/BS1010,0)</f>
        <v>2</v>
      </c>
      <c r="CE1010" s="57" t="n">
        <f aca="false">ROUNDUP(CB1010/BS1010,0)</f>
        <v>0</v>
      </c>
      <c r="CF1010" s="60" t="n">
        <f aca="false">IF(BT1010=1,0,IFERROR(VLOOKUP(BR1010,'Gebinde-Kategorie'!$A$5:$M$45,5,0)+0,0))</f>
        <v>21</v>
      </c>
      <c r="CG1010" s="60" t="n">
        <f aca="false">IFERROR(IF(OR(BX1010=1,BX1010=2,BX1010=3),N(INDEX(Parameter!$I$5:$I$7,BX1010)),0),0)</f>
        <v>0</v>
      </c>
      <c r="CH1010" s="59" t="n">
        <f aca="false">IF(AND(Parameter!$B$21="Ja",ISNUMBER(W1010),N(X1010)&gt;0),IFERROR(N(INDEX(Parameter!$L$5:$L$7,W1010))*INDEX(Parameter!$E$5:$E$7,W1010)*X1010/SUMIFS($X$7:$X$1843,$W$7:$W$1843,W1010),0),0)</f>
        <v>0</v>
      </c>
    </row>
    <row r="1011" customFormat="false" ht="15" hidden="false" customHeight="false" outlineLevel="0" collapsed="false">
      <c r="A1011" s="55" t="s">
        <v>1863</v>
      </c>
      <c r="B1011" s="55" t="s">
        <v>1864</v>
      </c>
      <c r="C1011" s="55" t="s">
        <v>164</v>
      </c>
      <c r="D1011" s="55" t="s">
        <v>173</v>
      </c>
      <c r="E1011" s="55" t="s">
        <v>185</v>
      </c>
      <c r="F1011" s="55" t="s">
        <v>218</v>
      </c>
      <c r="G1011" s="56" t="n">
        <v>54.04</v>
      </c>
      <c r="H1011" s="57" t="n">
        <f aca="false">MAX(0,IF(AND(Parameter!$B$21="Ja",ISNUMBER(Y1011)),Y1011,IF(Parameter!$B$20="Jahresanfang 2025 + Export",BL1011+BK1011,BK1011)))</f>
        <v>30</v>
      </c>
      <c r="I1011" s="57" t="n">
        <f aca="false">H1011*G1011</f>
        <v>1621.2</v>
      </c>
      <c r="J1011" s="57" t="n">
        <f aca="false">BN1011*Parameter!$B$18</f>
        <v>0</v>
      </c>
      <c r="K1011" s="58" t="n">
        <v>31</v>
      </c>
      <c r="L1011" s="59" t="n">
        <v>0</v>
      </c>
      <c r="M1011" s="57" t="n">
        <v>0</v>
      </c>
      <c r="N1011" s="57" t="n">
        <v>1</v>
      </c>
      <c r="O1011" s="60" t="n">
        <v>42</v>
      </c>
      <c r="P1011" s="55" t="s">
        <v>293</v>
      </c>
      <c r="Q1011" s="57" t="n">
        <v>32</v>
      </c>
      <c r="R1011" s="60" t="n">
        <f aca="false">IF(BT1011=1,0,IFERROR(VLOOKUP(BR1011,'Gebinde-Kategorie'!$A$5:$M$45,13,0)+0,0))</f>
        <v>12</v>
      </c>
      <c r="S1011" s="61"/>
      <c r="T1011" s="62"/>
      <c r="U1011" s="62"/>
      <c r="V1011" s="62"/>
      <c r="W1011" s="55"/>
      <c r="X1011" s="57"/>
      <c r="Y1011" s="57"/>
      <c r="Z1011" s="55" t="n">
        <f aca="false">IF(A1011="","",IF(AND(Parameter!$B$21="Ja",ISNUMBER(W1011)),W1011,IF(BV1011="2+3",IF(ISNUMBER(SEARCH("grosser Artikel",BO1011)),2,IFERROR(VLOOKUP(BR1011,Parameter!$F$35:$G$64,2,0),2)),IF(OR(BV1011="Nein",BV1011=""),"-",BV1011))))</f>
        <v>2</v>
      </c>
      <c r="AA1011" s="62"/>
      <c r="AB1011" s="63"/>
      <c r="AC1011" s="57" t="n">
        <f aca="false">AR1011</f>
        <v>32</v>
      </c>
      <c r="AD1011" s="57" t="n">
        <f aca="false">MAX(AR1011,H1011)</f>
        <v>32</v>
      </c>
      <c r="AE1011" s="64"/>
      <c r="AF1011" s="57" t="n">
        <f aca="false">IF(LEFT(Cockpit!$C$5,1)="A",H1011,IF(CA1011=1,CB1011,IF(LEFT(Cockpit!$C$5,1)="B",AJ1011,MAX(AJ1011,H1011))))</f>
        <v>30</v>
      </c>
      <c r="AG1011" s="57" t="n">
        <f aca="false">IF(BT1011=1,0,ROUNDUP(AF1011/BS1011,0))</f>
        <v>1</v>
      </c>
      <c r="AH1011" s="59" t="n">
        <f aca="false">IF(CH1011&gt;0,CH1011*MAX(1,AF1011/X1011),IF(BT1011=1,IF(AF1011&lt;=0,0,BW1011*MAX(1,IF(H1011&gt;0,AF1011/H1011,1))),IF(R1011&gt;0,AG1011/R1011,0))/MAX(0.1,N(Parameter!$M$21)))</f>
        <v>0.0833333333333333</v>
      </c>
      <c r="AI1011" s="57" t="n">
        <f aca="false">AF1011*G1011</f>
        <v>1621.2</v>
      </c>
      <c r="AJ1011" s="57" t="n">
        <f aca="false">ROUNDUP(MAX(J1011/IF(BZ1011&gt;0,BZ1011,MAX(0.1,N(Cockpit!$C$6))),CC1011)/BS1011,0)*BS1011</f>
        <v>32</v>
      </c>
      <c r="AK1011" s="58" t="n">
        <f aca="false">IF(AH1011&gt;0,J1011/AH1011,-1)</f>
        <v>0</v>
      </c>
      <c r="AL1011" s="58" t="n">
        <f aca="false">IF(AND(OR(BY1011="L1",BY1011="L23"),AH1011&gt;0),SUMIFS($AH$7:$AH$1843,$BY$7:$BY$1843,BY1011,$AK$7:$AK$1843,"&gt;"&amp;AK1011)+SUMIFS($AH$7:$AH$1843,$BY$7:$BY$1843,BY1011,$AK$7:$AK$1843,AK1011,$BQ$7:$BQ$1843,"&lt;="&amp;BQ1011),"")</f>
        <v>78.61968345664</v>
      </c>
      <c r="AM1011" s="65" t="n">
        <f aca="false">IF(AL1011="",0,MAX(0,MIN(1,(IF(BY1011="L1",Parameter!$E$5,Parameter!$E$6+Parameter!$E$7)-(AL1011-AH1011))/AH1011)))</f>
        <v>1</v>
      </c>
      <c r="AN1011" s="57" t="n">
        <f aca="false">IF(LEFT(Cockpit!$I$5,1)="A",H1011,IF(CA1011=1,CB1011,IF(LEFT(Cockpit!$I$5,1)="B",AR1011,MAX(AR1011,H1011))))</f>
        <v>32</v>
      </c>
      <c r="AO1011" s="57" t="n">
        <f aca="false">IF(BT1011=1,0,ROUNDUP(AN1011/BS1011,0))</f>
        <v>1</v>
      </c>
      <c r="AP1011" s="59" t="n">
        <f aca="false">IF(CH1011&gt;0,CH1011*MAX(1,AN1011/X1011),IF(BT1011=1,IF(AN1011&lt;=0,0,BW1011*MAX(1,IF(H1011&gt;0,AN1011/H1011,1))),IF(R1011&gt;0,AO1011/R1011,0))/MAX(0.1,N(Parameter!$M$21)))</f>
        <v>0.0833333333333333</v>
      </c>
      <c r="AQ1011" s="57" t="n">
        <f aca="false">AN1011*G1011</f>
        <v>1729.28</v>
      </c>
      <c r="AR1011" s="57" t="n">
        <f aca="false">ROUNDUP(MAX(J1011/IF(BZ1011&gt;0,BZ1011,MAX(0.1,N(Cockpit!$I$6))),CC1011)/BS1011,0)*BS1011</f>
        <v>32</v>
      </c>
      <c r="AS1011" s="58" t="n">
        <f aca="false">IF(AP1011&gt;0,J1011/AP1011,-1)</f>
        <v>0</v>
      </c>
      <c r="AT1011" s="58" t="n">
        <f aca="false">IF(AND(OR(BY1011="L1",BY1011="L23"),AP1011&gt;0),SUMIFS($AP$7:$AP$1843,$BY$7:$BY$1843,BY1011,$AS$7:$AS$1843,"&gt;"&amp;AS1011)+SUMIFS($AP$7:$AP$1843,$BY$7:$BY$1843,BY1011,$AS$7:$AS$1843,AS1011,$BQ$7:$BQ$1843,"&lt;="&amp;BQ1011),"")</f>
        <v>120.066121076991</v>
      </c>
      <c r="AU1011" s="65" t="n">
        <f aca="false">IF(AT1011="",0,MAX(0,MIN(1,(IF(BY1011="L1",Parameter!$E$5,Parameter!$E$6+Parameter!$E$7)-(AT1011-AP1011))/AP1011)))</f>
        <v>0</v>
      </c>
      <c r="AV1011" s="57" t="n">
        <f aca="false">IF(LEFT(Cockpit!$O$5,1)="A",H1011,IF(CA1011=1,CB1011,IF(LEFT(Cockpit!$O$5,1)="B",AZ1011,MAX(AZ1011,H1011))))</f>
        <v>32</v>
      </c>
      <c r="AW1011" s="57" t="n">
        <f aca="false">IF(BT1011=1,0,ROUNDUP(AV1011/BS1011,0))</f>
        <v>1</v>
      </c>
      <c r="AX1011" s="59" t="n">
        <f aca="false">IF(CH1011&gt;0,CH1011*MAX(1,AV1011/X1011),IF(BT1011=1,IF(AV1011&lt;=0,0,BW1011*MAX(1,IF(H1011&gt;0,AV1011/H1011,1))),IF(R1011&gt;0,AW1011/R1011,0))/MAX(0.1,N(Parameter!$M$21)))</f>
        <v>0.0833333333333333</v>
      </c>
      <c r="AY1011" s="57" t="n">
        <f aca="false">AV1011*G1011</f>
        <v>1729.28</v>
      </c>
      <c r="AZ1011" s="57" t="n">
        <f aca="false">ROUNDUP(MAX(J1011/IF(BZ1011&gt;0,BZ1011,MAX(0.1,N(Cockpit!$O$6))),CC1011)/BS1011,0)*BS1011</f>
        <v>32</v>
      </c>
      <c r="BA1011" s="58" t="n">
        <f aca="false">IF(AX1011&gt;0,J1011/AX1011,-1)</f>
        <v>0</v>
      </c>
      <c r="BB1011" s="58" t="n">
        <f aca="false">IF(AND(OR(BY1011="L1",BY1011="L23"),AX1011&gt;0),SUMIFS($AX$7:$AX$1843,$BY$7:$BY$1843,BY1011,$BA$7:$BA$1843,"&gt;"&amp;BA1011)+SUMIFS($AX$7:$AX$1843,$BY$7:$BY$1843,BY1011,$BA$7:$BA$1843,BA1011,$BQ$7:$BQ$1843,"&lt;="&amp;BQ1011),"")</f>
        <v>110.895957906827</v>
      </c>
      <c r="BC1011" s="65" t="n">
        <f aca="false">IF(BB1011="",0,MAX(0,MIN(1,(IF(BY1011="L1",Parameter!$E$5,Parameter!$E$6+Parameter!$E$7)-(BB1011-AX1011))/AX1011)))</f>
        <v>0</v>
      </c>
      <c r="BD1011" s="55" t="str">
        <f aca="false">IF(AH1011&lt;=0,"",IF(BY1011="Aussen","Aussenlager",IF(BY1011="-","Nicht im Lift",IF(AM1011&gt;=1,"Lift",IF(AM1011&lt;=0,"Aussenlager","teilweise")))))</f>
        <v>Lift</v>
      </c>
      <c r="BE1011" s="55" t="str">
        <f aca="false">IF(AP1011&lt;=0,"",IF(BY1011="Aussen","Aussenlager",IF(BY1011="-","Nicht im Lift",IF(AU1011&gt;=1,"Lift",IF(AU1011&lt;=0,"Aussenlager","teilweise")))))</f>
        <v>Aussenlager</v>
      </c>
      <c r="BF1011" s="55" t="str">
        <f aca="false">IF(AX1011&lt;=0,"",IF(BY1011="Aussen","Aussenlager",IF(BY1011="-","Nicht im Lift",IF(BC1011&gt;=1,"Lift",IF(BC1011&lt;=0,"Aussenlager","teilweise")))))</f>
        <v>Aussenlager</v>
      </c>
      <c r="BG1011" s="55" t="str">
        <f aca="false">IF(A1011="","",IF(BP1011=1,"Neu; ","")&amp;IF(AND(BP1011=0,BK1011&lt;0),"negativer Bestand (Export "&amp;BK1011&amp;"); ","")&amp;IF(J1011&lt;=0,"Kein Verbrauch; ","")&amp;IF(CH1011&gt;0,"Lift "&amp;W1011&amp;" lt. Liftbericht (Fach "&amp;X1011&amp;" Stk); ",IF(BU1011=1,"Gebinde geschätzt ("&amp;T1011&amp;"); ",IF(BT1011=1,"Lose – Tablare geschätzt; ","")))&amp;IF(H1011&gt;AR1011,"Überbestand "&amp;ROUND(H1011-AR1011,0)&amp;" Stk / CHF "&amp;ROUND((H1011-AR1011)*G1011,0)&amp;"; ","")&amp;IF(AND(CA1011=1,CB1011&lt;CC1011),"MAX &lt; MB+LG; ","")&amp;IF(AND(CG1011&gt;0,CF1011*10&gt;CG1011),"zu hoch für Tablar; ","")&amp;IF(AND(BP1011=0,OR(CA1011=1,AA1011&lt;&gt;"",U1011&lt;&gt;"",V1011&lt;&gt;"",AB1011&lt;&gt;"")),"manuell übersteuert; ","")&amp;IF(AND(BT1011=0,R1011=0),"Gebinde unbekannt / Stellmass fehlt; ","")&amp;IF(AND(BT1011=0,N(V1011)&lt;=0,N(Q1011)&lt;=0),"Menge pro Gebinde fehlt (Ist = 1 Gebinde); ","")&amp;BO1011)</f>
        <v>negativer Bestand (Export -2); Kein Verbrauch; </v>
      </c>
      <c r="BH1011" s="55"/>
      <c r="BI1011" s="55"/>
      <c r="BJ1011" s="62"/>
      <c r="BK1011" s="57" t="n">
        <v>-2</v>
      </c>
      <c r="BL1011" s="57" t="n">
        <v>32</v>
      </c>
      <c r="BM1011" s="56" t="n">
        <v>-108.08</v>
      </c>
      <c r="BN1011" s="57" t="n">
        <v>0</v>
      </c>
      <c r="BO1011" s="55"/>
      <c r="BP1011" s="60" t="n">
        <v>0</v>
      </c>
      <c r="BQ1011" s="60" t="n">
        <v>1011</v>
      </c>
      <c r="BR1011" s="55" t="str">
        <f aca="false">IF(U1011&lt;&gt;"",UPPER(TRIM(U1011)),IF(BU1011=1,UPPER(VLOOKUP(T1011,Parameter!$I$27:$K$29,2,0)),IF(P1011="","LOSE",P1011)))</f>
        <v>S62</v>
      </c>
      <c r="BS1011" s="57" t="n">
        <f aca="false">IF(BR1011="LOSE",1,IF(N(V1011)&gt;0,V1011,IF(BU1011=1,MAX(1,N(VLOOKUP(T1011,Parameter!$I$27:$K$29,3,0)),H1011,N(N1011)),IF(N(Q1011)&gt;0,Q1011,MAX(1,H1011)))))</f>
        <v>32</v>
      </c>
      <c r="BT1011" s="60" t="n">
        <f aca="false">IF(BR1011="LOSE",1,0)</f>
        <v>0</v>
      </c>
      <c r="BU1011" s="60" t="n">
        <f aca="false">IF(AND(U1011="",OR(P1011="",P1011="LOSE"),T1011&lt;&gt;"",N(S1011)&lt;=0,ISNUMBER(MATCH(T1011,Parameter!$I$27:$I$29,0))),1,0)</f>
        <v>0</v>
      </c>
      <c r="BV1011" s="55" t="str">
        <f aca="false">IF(AND(Parameter!$B$19="Ja",E1011&lt;&gt;"",ISNUMBER(MATCH(E1011,Parameter!$I$35:$I$52,0))),VLOOKUP(E1011,Parameter!$I$35:$J$52,2,0),IFERROR(VLOOKUP(D1011,Parameter!$A$35:$C$64,2,0),"Nein"))</f>
        <v>2+3</v>
      </c>
      <c r="BW1011" s="59" t="n">
        <f aca="false">IF(BT1011=0,0,IF(N(S1011)&gt;0,S1011,IFERROR(VLOOKUP(D1011,Parameter!$A$35:$C$64,3,0)+0,0)))</f>
        <v>0</v>
      </c>
      <c r="BX1011" s="55" t="n">
        <f aca="false">IF(AA1011&lt;&gt;"",AA1011,Z1011)</f>
        <v>2</v>
      </c>
      <c r="BY1011" s="55" t="str">
        <f aca="false">IF(BX1011=1,"L1",IF(OR(BX1011=2,BX1011=3),"L23",IF(BX1011="Aussen","Aussen","-")))</f>
        <v>L23</v>
      </c>
      <c r="BZ1011" s="66" t="n">
        <f aca="false">IF(N(AB1011)&gt;0,AB1011,0)</f>
        <v>0</v>
      </c>
      <c r="CA1011" s="60" t="n">
        <f aca="false">IF(ISNUMBER(AE1011),1,0)</f>
        <v>0</v>
      </c>
      <c r="CB1011" s="57" t="n">
        <f aca="false">N(AE1011)</f>
        <v>0</v>
      </c>
      <c r="CC1011" s="57" t="n">
        <f aca="false">N(M1011)+N(N1011)</f>
        <v>1</v>
      </c>
      <c r="CD1011" s="57" t="n">
        <f aca="false">ROUNDUP(H1011/BS1011,0)</f>
        <v>1</v>
      </c>
      <c r="CE1011" s="57" t="n">
        <f aca="false">ROUNDUP(CB1011/BS1011,0)</f>
        <v>0</v>
      </c>
      <c r="CF1011" s="60" t="n">
        <f aca="false">IF(BT1011=1,0,IFERROR(VLOOKUP(BR1011,'Gebinde-Kategorie'!$A$5:$M$45,5,0)+0,0))</f>
        <v>21</v>
      </c>
      <c r="CG1011" s="60" t="n">
        <f aca="false">IFERROR(IF(OR(BX1011=1,BX1011=2,BX1011=3),N(INDEX(Parameter!$I$5:$I$7,BX1011)),0),0)</f>
        <v>0</v>
      </c>
      <c r="CH1011" s="59" t="n">
        <f aca="false">IF(AND(Parameter!$B$21="Ja",ISNUMBER(W1011),N(X1011)&gt;0),IFERROR(N(INDEX(Parameter!$L$5:$L$7,W1011))*INDEX(Parameter!$E$5:$E$7,W1011)*X1011/SUMIFS($X$7:$X$1843,$W$7:$W$1843,W1011),0),0)</f>
        <v>0</v>
      </c>
    </row>
    <row r="1012" customFormat="false" ht="15" hidden="false" customHeight="false" outlineLevel="0" collapsed="false">
      <c r="A1012" s="55" t="s">
        <v>1865</v>
      </c>
      <c r="B1012" s="55" t="s">
        <v>435</v>
      </c>
      <c r="C1012" s="55" t="s">
        <v>164</v>
      </c>
      <c r="D1012" s="55" t="s">
        <v>184</v>
      </c>
      <c r="E1012" s="55" t="s">
        <v>185</v>
      </c>
      <c r="F1012" s="55" t="s">
        <v>218</v>
      </c>
      <c r="G1012" s="56" t="n">
        <v>2.71</v>
      </c>
      <c r="H1012" s="57" t="n">
        <f aca="false">MAX(0,IF(AND(Parameter!$B$21="Ja",ISNUMBER(Y1012)),Y1012,IF(Parameter!$B$20="Jahresanfang 2025 + Export",BL1012+BK1012,BK1012)))</f>
        <v>47</v>
      </c>
      <c r="I1012" s="57" t="n">
        <f aca="false">H1012*G1012</f>
        <v>127.37</v>
      </c>
      <c r="J1012" s="57" t="n">
        <f aca="false">BN1012*Parameter!$B$18</f>
        <v>0</v>
      </c>
      <c r="K1012" s="58" t="n">
        <v>69</v>
      </c>
      <c r="L1012" s="59" t="n">
        <v>0</v>
      </c>
      <c r="M1012" s="57" t="n">
        <v>0</v>
      </c>
      <c r="N1012" s="57" t="n">
        <v>1</v>
      </c>
      <c r="O1012" s="60" t="n">
        <v>14</v>
      </c>
      <c r="P1012" s="55" t="s">
        <v>302</v>
      </c>
      <c r="Q1012" s="57" t="n">
        <v>94</v>
      </c>
      <c r="R1012" s="60" t="n">
        <f aca="false">IF(BT1012=1,0,IFERROR(VLOOKUP(BR1012,'Gebinde-Kategorie'!$A$5:$M$45,13,0)+0,0))</f>
        <v>26</v>
      </c>
      <c r="S1012" s="61"/>
      <c r="T1012" s="62"/>
      <c r="U1012" s="62"/>
      <c r="V1012" s="62"/>
      <c r="W1012" s="55"/>
      <c r="X1012" s="57"/>
      <c r="Y1012" s="57"/>
      <c r="Z1012" s="55" t="n">
        <f aca="false">IF(A1012="","",IF(AND(Parameter!$B$21="Ja",ISNUMBER(W1012)),W1012,IF(BV1012="2+3",IF(ISNUMBER(SEARCH("grosser Artikel",BO1012)),2,IFERROR(VLOOKUP(BR1012,Parameter!$F$35:$G$64,2,0),2)),IF(OR(BV1012="Nein",BV1012=""),"-",BV1012))))</f>
        <v>3</v>
      </c>
      <c r="AA1012" s="62"/>
      <c r="AB1012" s="63"/>
      <c r="AC1012" s="57" t="n">
        <f aca="false">AR1012</f>
        <v>94</v>
      </c>
      <c r="AD1012" s="57" t="n">
        <f aca="false">MAX(AR1012,H1012)</f>
        <v>94</v>
      </c>
      <c r="AE1012" s="64"/>
      <c r="AF1012" s="57" t="n">
        <f aca="false">IF(LEFT(Cockpit!$C$5,1)="A",H1012,IF(CA1012=1,CB1012,IF(LEFT(Cockpit!$C$5,1)="B",AJ1012,MAX(AJ1012,H1012))))</f>
        <v>47</v>
      </c>
      <c r="AG1012" s="57" t="n">
        <f aca="false">IF(BT1012=1,0,ROUNDUP(AF1012/BS1012,0))</f>
        <v>1</v>
      </c>
      <c r="AH1012" s="59" t="n">
        <f aca="false">IF(CH1012&gt;0,CH1012*MAX(1,AF1012/X1012),IF(BT1012=1,IF(AF1012&lt;=0,0,BW1012*MAX(1,IF(H1012&gt;0,AF1012/H1012,1))),IF(R1012&gt;0,AG1012/R1012,0))/MAX(0.1,N(Parameter!$M$21)))</f>
        <v>0.0384615384615385</v>
      </c>
      <c r="AI1012" s="57" t="n">
        <f aca="false">AF1012*G1012</f>
        <v>127.37</v>
      </c>
      <c r="AJ1012" s="57" t="n">
        <f aca="false">ROUNDUP(MAX(J1012/IF(BZ1012&gt;0,BZ1012,MAX(0.1,N(Cockpit!$C$6))),CC1012)/BS1012,0)*BS1012</f>
        <v>94</v>
      </c>
      <c r="AK1012" s="58" t="n">
        <f aca="false">IF(AH1012&gt;0,J1012/AH1012,-1)</f>
        <v>0</v>
      </c>
      <c r="AL1012" s="58" t="n">
        <f aca="false">IF(AND(OR(BY1012="L1",BY1012="L23"),AH1012&gt;0),SUMIFS($AH$7:$AH$1843,$BY$7:$BY$1843,BY1012,$AK$7:$AK$1843,"&gt;"&amp;AK1012)+SUMIFS($AH$7:$AH$1843,$BY$7:$BY$1843,BY1012,$AK$7:$AK$1843,AK1012,$BQ$7:$BQ$1843,"&lt;="&amp;BQ1012),"")</f>
        <v>78.6581449951015</v>
      </c>
      <c r="AM1012" s="65" t="n">
        <f aca="false">IF(AL1012="",0,MAX(0,MIN(1,(IF(BY1012="L1",Parameter!$E$5,Parameter!$E$6+Parameter!$E$7)-(AL1012-AH1012))/AH1012)))</f>
        <v>1</v>
      </c>
      <c r="AN1012" s="57" t="n">
        <f aca="false">IF(LEFT(Cockpit!$I$5,1)="A",H1012,IF(CA1012=1,CB1012,IF(LEFT(Cockpit!$I$5,1)="B",AR1012,MAX(AR1012,H1012))))</f>
        <v>94</v>
      </c>
      <c r="AO1012" s="57" t="n">
        <f aca="false">IF(BT1012=1,0,ROUNDUP(AN1012/BS1012,0))</f>
        <v>1</v>
      </c>
      <c r="AP1012" s="59" t="n">
        <f aca="false">IF(CH1012&gt;0,CH1012*MAX(1,AN1012/X1012),IF(BT1012=1,IF(AN1012&lt;=0,0,BW1012*MAX(1,IF(H1012&gt;0,AN1012/H1012,1))),IF(R1012&gt;0,AO1012/R1012,0))/MAX(0.1,N(Parameter!$M$21)))</f>
        <v>0.0384615384615385</v>
      </c>
      <c r="AQ1012" s="57" t="n">
        <f aca="false">AN1012*G1012</f>
        <v>254.74</v>
      </c>
      <c r="AR1012" s="57" t="n">
        <f aca="false">ROUNDUP(MAX(J1012/IF(BZ1012&gt;0,BZ1012,MAX(0.1,N(Cockpit!$I$6))),CC1012)/BS1012,0)*BS1012</f>
        <v>94</v>
      </c>
      <c r="AS1012" s="58" t="n">
        <f aca="false">IF(AP1012&gt;0,J1012/AP1012,-1)</f>
        <v>0</v>
      </c>
      <c r="AT1012" s="58" t="n">
        <f aca="false">IF(AND(OR(BY1012="L1",BY1012="L23"),AP1012&gt;0),SUMIFS($AP$7:$AP$1843,$BY$7:$BY$1843,BY1012,$AS$7:$AS$1843,"&gt;"&amp;AS1012)+SUMIFS($AP$7:$AP$1843,$BY$7:$BY$1843,BY1012,$AS$7:$AS$1843,AS1012,$BQ$7:$BQ$1843,"&lt;="&amp;BQ1012),"")</f>
        <v>120.104582615452</v>
      </c>
      <c r="AU1012" s="65" t="n">
        <f aca="false">IF(AT1012="",0,MAX(0,MIN(1,(IF(BY1012="L1",Parameter!$E$5,Parameter!$E$6+Parameter!$E$7)-(AT1012-AP1012))/AP1012)))</f>
        <v>0</v>
      </c>
      <c r="AV1012" s="57" t="n">
        <f aca="false">IF(LEFT(Cockpit!$O$5,1)="A",H1012,IF(CA1012=1,CB1012,IF(LEFT(Cockpit!$O$5,1)="B",AZ1012,MAX(AZ1012,H1012))))</f>
        <v>94</v>
      </c>
      <c r="AW1012" s="57" t="n">
        <f aca="false">IF(BT1012=1,0,ROUNDUP(AV1012/BS1012,0))</f>
        <v>1</v>
      </c>
      <c r="AX1012" s="59" t="n">
        <f aca="false">IF(CH1012&gt;0,CH1012*MAX(1,AV1012/X1012),IF(BT1012=1,IF(AV1012&lt;=0,0,BW1012*MAX(1,IF(H1012&gt;0,AV1012/H1012,1))),IF(R1012&gt;0,AW1012/R1012,0))/MAX(0.1,N(Parameter!$M$21)))</f>
        <v>0.0384615384615385</v>
      </c>
      <c r="AY1012" s="57" t="n">
        <f aca="false">AV1012*G1012</f>
        <v>254.74</v>
      </c>
      <c r="AZ1012" s="57" t="n">
        <f aca="false">ROUNDUP(MAX(J1012/IF(BZ1012&gt;0,BZ1012,MAX(0.1,N(Cockpit!$O$6))),CC1012)/BS1012,0)*BS1012</f>
        <v>94</v>
      </c>
      <c r="BA1012" s="58" t="n">
        <f aca="false">IF(AX1012&gt;0,J1012/AX1012,-1)</f>
        <v>0</v>
      </c>
      <c r="BB1012" s="58" t="n">
        <f aca="false">IF(AND(OR(BY1012="L1",BY1012="L23"),AX1012&gt;0),SUMIFS($AX$7:$AX$1843,$BY$7:$BY$1843,BY1012,$BA$7:$BA$1843,"&gt;"&amp;BA1012)+SUMIFS($AX$7:$AX$1843,$BY$7:$BY$1843,BY1012,$BA$7:$BA$1843,BA1012,$BQ$7:$BQ$1843,"&lt;="&amp;BQ1012),"")</f>
        <v>110.934419445289</v>
      </c>
      <c r="BC1012" s="65" t="n">
        <f aca="false">IF(BB1012="",0,MAX(0,MIN(1,(IF(BY1012="L1",Parameter!$E$5,Parameter!$E$6+Parameter!$E$7)-(BB1012-AX1012))/AX1012)))</f>
        <v>0</v>
      </c>
      <c r="BD1012" s="55" t="str">
        <f aca="false">IF(AH1012&lt;=0,"",IF(BY1012="Aussen","Aussenlager",IF(BY1012="-","Nicht im Lift",IF(AM1012&gt;=1,"Lift",IF(AM1012&lt;=0,"Aussenlager","teilweise")))))</f>
        <v>Lift</v>
      </c>
      <c r="BE1012" s="55" t="str">
        <f aca="false">IF(AP1012&lt;=0,"",IF(BY1012="Aussen","Aussenlager",IF(BY1012="-","Nicht im Lift",IF(AU1012&gt;=1,"Lift",IF(AU1012&lt;=0,"Aussenlager","teilweise")))))</f>
        <v>Aussenlager</v>
      </c>
      <c r="BF1012" s="55" t="str">
        <f aca="false">IF(AX1012&lt;=0,"",IF(BY1012="Aussen","Aussenlager",IF(BY1012="-","Nicht im Lift",IF(BC1012&gt;=1,"Lift",IF(BC1012&lt;=0,"Aussenlager","teilweise")))))</f>
        <v>Aussenlager</v>
      </c>
      <c r="BG1012" s="55" t="str">
        <f aca="false">IF(A1012="","",IF(BP1012=1,"Neu; ","")&amp;IF(AND(BP1012=0,BK1012&lt;0),"negativer Bestand (Export "&amp;BK1012&amp;"); ","")&amp;IF(J1012&lt;=0,"Kein Verbrauch; ","")&amp;IF(CH1012&gt;0,"Lift "&amp;W1012&amp;" lt. Liftbericht (Fach "&amp;X1012&amp;" Stk); ",IF(BU1012=1,"Gebinde geschätzt ("&amp;T1012&amp;"); ",IF(BT1012=1,"Lose – Tablare geschätzt; ","")))&amp;IF(H1012&gt;AR1012,"Überbestand "&amp;ROUND(H1012-AR1012,0)&amp;" Stk / CHF "&amp;ROUND((H1012-AR1012)*G1012,0)&amp;"; ","")&amp;IF(AND(CA1012=1,CB1012&lt;CC1012),"MAX &lt; MB+LG; ","")&amp;IF(AND(CG1012&gt;0,CF1012*10&gt;CG1012),"zu hoch für Tablar; ","")&amp;IF(AND(BP1012=0,OR(CA1012=1,AA1012&lt;&gt;"",U1012&lt;&gt;"",V1012&lt;&gt;"",AB1012&lt;&gt;"")),"manuell übersteuert; ","")&amp;IF(AND(BT1012=0,R1012=0),"Gebinde unbekannt / Stellmass fehlt; ","")&amp;IF(AND(BT1012=0,N(V1012)&lt;=0,N(Q1012)&lt;=0),"Menge pro Gebinde fehlt (Ist = 1 Gebinde); ","")&amp;BO1012)</f>
        <v>negativer Bestand (Export -41); Kein Verbrauch; Überbestand</v>
      </c>
      <c r="BH1012" s="55"/>
      <c r="BI1012" s="55"/>
      <c r="BJ1012" s="62"/>
      <c r="BK1012" s="57" t="n">
        <v>-41</v>
      </c>
      <c r="BL1012" s="57" t="n">
        <v>88</v>
      </c>
      <c r="BM1012" s="56" t="n">
        <v>-110.23</v>
      </c>
      <c r="BN1012" s="57" t="n">
        <v>0</v>
      </c>
      <c r="BO1012" s="55" t="s">
        <v>392</v>
      </c>
      <c r="BP1012" s="60" t="n">
        <v>0</v>
      </c>
      <c r="BQ1012" s="60" t="n">
        <v>1012</v>
      </c>
      <c r="BR1012" s="55" t="str">
        <f aca="false">IF(U1012&lt;&gt;"",UPPER(TRIM(U1012)),IF(BU1012=1,UPPER(VLOOKUP(T1012,Parameter!$I$27:$K$29,2,0)),IF(P1012="","LOSE",P1012)))</f>
        <v>S51</v>
      </c>
      <c r="BS1012" s="57" t="n">
        <f aca="false">IF(BR1012="LOSE",1,IF(N(V1012)&gt;0,V1012,IF(BU1012=1,MAX(1,N(VLOOKUP(T1012,Parameter!$I$27:$K$29,3,0)),H1012,N(N1012)),IF(N(Q1012)&gt;0,Q1012,MAX(1,H1012)))))</f>
        <v>94</v>
      </c>
      <c r="BT1012" s="60" t="n">
        <f aca="false">IF(BR1012="LOSE",1,0)</f>
        <v>0</v>
      </c>
      <c r="BU1012" s="60" t="n">
        <f aca="false">IF(AND(U1012="",OR(P1012="",P1012="LOSE"),T1012&lt;&gt;"",N(S1012)&lt;=0,ISNUMBER(MATCH(T1012,Parameter!$I$27:$I$29,0))),1,0)</f>
        <v>0</v>
      </c>
      <c r="BV1012" s="55" t="str">
        <f aca="false">IF(AND(Parameter!$B$19="Ja",E1012&lt;&gt;"",ISNUMBER(MATCH(E1012,Parameter!$I$35:$I$52,0))),VLOOKUP(E1012,Parameter!$I$35:$J$52,2,0),IFERROR(VLOOKUP(D1012,Parameter!$A$35:$C$64,2,0),"Nein"))</f>
        <v>2+3</v>
      </c>
      <c r="BW1012" s="59" t="n">
        <f aca="false">IF(BT1012=0,0,IF(N(S1012)&gt;0,S1012,IFERROR(VLOOKUP(D1012,Parameter!$A$35:$C$64,3,0)+0,0)))</f>
        <v>0</v>
      </c>
      <c r="BX1012" s="55" t="n">
        <f aca="false">IF(AA1012&lt;&gt;"",AA1012,Z1012)</f>
        <v>3</v>
      </c>
      <c r="BY1012" s="55" t="str">
        <f aca="false">IF(BX1012=1,"L1",IF(OR(BX1012=2,BX1012=3),"L23",IF(BX1012="Aussen","Aussen","-")))</f>
        <v>L23</v>
      </c>
      <c r="BZ1012" s="66" t="n">
        <f aca="false">IF(N(AB1012)&gt;0,AB1012,0)</f>
        <v>0</v>
      </c>
      <c r="CA1012" s="60" t="n">
        <f aca="false">IF(ISNUMBER(AE1012),1,0)</f>
        <v>0</v>
      </c>
      <c r="CB1012" s="57" t="n">
        <f aca="false">N(AE1012)</f>
        <v>0</v>
      </c>
      <c r="CC1012" s="57" t="n">
        <f aca="false">N(M1012)+N(N1012)</f>
        <v>1</v>
      </c>
      <c r="CD1012" s="57" t="n">
        <f aca="false">ROUNDUP(H1012/BS1012,0)</f>
        <v>1</v>
      </c>
      <c r="CE1012" s="57" t="n">
        <f aca="false">ROUNDUP(CB1012/BS1012,0)</f>
        <v>0</v>
      </c>
      <c r="CF1012" s="60" t="n">
        <f aca="false">IF(BT1012=1,0,IFERROR(VLOOKUP(BR1012,'Gebinde-Kategorie'!$A$5:$M$45,5,0)+0,0))</f>
        <v>11</v>
      </c>
      <c r="CG1012" s="60" t="n">
        <f aca="false">IFERROR(IF(OR(BX1012=1,BX1012=2,BX1012=3),N(INDEX(Parameter!$I$5:$I$7,BX1012)),0),0)</f>
        <v>0</v>
      </c>
      <c r="CH1012" s="59" t="n">
        <f aca="false">IF(AND(Parameter!$B$21="Ja",ISNUMBER(W1012),N(X1012)&gt;0),IFERROR(N(INDEX(Parameter!$L$5:$L$7,W1012))*INDEX(Parameter!$E$5:$E$7,W1012)*X1012/SUMIFS($X$7:$X$1843,$W$7:$W$1843,W1012),0),0)</f>
        <v>0</v>
      </c>
    </row>
    <row r="1013" customFormat="false" ht="15" hidden="false" customHeight="false" outlineLevel="0" collapsed="false">
      <c r="A1013" s="55" t="s">
        <v>1866</v>
      </c>
      <c r="B1013" s="55" t="s">
        <v>828</v>
      </c>
      <c r="C1013" s="55" t="s">
        <v>164</v>
      </c>
      <c r="D1013" s="55" t="s">
        <v>173</v>
      </c>
      <c r="E1013" s="55"/>
      <c r="F1013" s="55" t="s">
        <v>218</v>
      </c>
      <c r="G1013" s="56" t="n">
        <v>8.73</v>
      </c>
      <c r="H1013" s="57" t="n">
        <f aca="false">MAX(0,IF(AND(Parameter!$B$21="Ja",ISNUMBER(Y1013)),Y1013,IF(Parameter!$B$20="Jahresanfang 2025 + Export",BL1013+BK1013,BK1013)))</f>
        <v>10</v>
      </c>
      <c r="I1013" s="57" t="n">
        <f aca="false">H1013*G1013</f>
        <v>87.3</v>
      </c>
      <c r="J1013" s="57" t="n">
        <f aca="false">BN1013*Parameter!$B$18</f>
        <v>20</v>
      </c>
      <c r="K1013" s="58" t="n">
        <v>26</v>
      </c>
      <c r="L1013" s="59" t="n">
        <v>0.769230769230769</v>
      </c>
      <c r="M1013" s="57" t="n">
        <v>2</v>
      </c>
      <c r="N1013" s="57" t="n">
        <v>20</v>
      </c>
      <c r="O1013" s="60" t="n">
        <v>42</v>
      </c>
      <c r="P1013" s="55" t="s">
        <v>174</v>
      </c>
      <c r="Q1013" s="57" t="n">
        <v>24</v>
      </c>
      <c r="R1013" s="60" t="n">
        <f aca="false">IF(BT1013=1,0,IFERROR(VLOOKUP(BR1013,'Gebinde-Kategorie'!$A$5:$M$45,13,0)+0,0))</f>
        <v>6</v>
      </c>
      <c r="S1013" s="61"/>
      <c r="T1013" s="62"/>
      <c r="U1013" s="62"/>
      <c r="V1013" s="62"/>
      <c r="W1013" s="55"/>
      <c r="X1013" s="57"/>
      <c r="Y1013" s="57"/>
      <c r="Z1013" s="55" t="n">
        <f aca="false">IF(A1013="","",IF(AND(Parameter!$B$21="Ja",ISNUMBER(W1013)),W1013,IF(BV1013="2+3",IF(ISNUMBER(SEARCH("grosser Artikel",BO1013)),2,IFERROR(VLOOKUP(BR1013,Parameter!$F$35:$G$64,2,0),2)),IF(OR(BV1013="Nein",BV1013=""),"-",BV1013))))</f>
        <v>2</v>
      </c>
      <c r="AA1013" s="62"/>
      <c r="AB1013" s="63"/>
      <c r="AC1013" s="57" t="n">
        <f aca="false">AR1013</f>
        <v>24</v>
      </c>
      <c r="AD1013" s="57" t="n">
        <f aca="false">MAX(AR1013,H1013)</f>
        <v>24</v>
      </c>
      <c r="AE1013" s="64"/>
      <c r="AF1013" s="57" t="n">
        <f aca="false">IF(LEFT(Cockpit!$C$5,1)="A",H1013,IF(CA1013=1,CB1013,IF(LEFT(Cockpit!$C$5,1)="B",AJ1013,MAX(AJ1013,H1013))))</f>
        <v>10</v>
      </c>
      <c r="AG1013" s="57" t="n">
        <f aca="false">IF(BT1013=1,0,ROUNDUP(AF1013/BS1013,0))</f>
        <v>1</v>
      </c>
      <c r="AH1013" s="59" t="n">
        <f aca="false">IF(CH1013&gt;0,CH1013*MAX(1,AF1013/X1013),IF(BT1013=1,IF(AF1013&lt;=0,0,BW1013*MAX(1,IF(H1013&gt;0,AF1013/H1013,1))),IF(R1013&gt;0,AG1013/R1013,0))/MAX(0.1,N(Parameter!$M$21)))</f>
        <v>0.166666666666667</v>
      </c>
      <c r="AI1013" s="57" t="n">
        <f aca="false">AF1013*G1013</f>
        <v>87.3</v>
      </c>
      <c r="AJ1013" s="57" t="n">
        <f aca="false">ROUNDUP(MAX(J1013/IF(BZ1013&gt;0,BZ1013,MAX(0.1,N(Cockpit!$C$6))),CC1013)/BS1013,0)*BS1013</f>
        <v>24</v>
      </c>
      <c r="AK1013" s="58" t="n">
        <f aca="false">IF(AH1013&gt;0,J1013/AH1013,-1)</f>
        <v>120</v>
      </c>
      <c r="AL1013" s="58" t="n">
        <f aca="false">IF(AND(OR(BY1013="L1",BY1013="L23"),AH1013&gt;0),SUMIFS($AH$7:$AH$1843,$BY$7:$BY$1843,BY1013,$AK$7:$AK$1843,"&gt;"&amp;AK1013)+SUMIFS($AH$7:$AH$1843,$BY$7:$BY$1843,BY1013,$AK$7:$AK$1843,AK1013,$BQ$7:$BQ$1843,"&lt;="&amp;BQ1013),"")</f>
        <v>36.873923178271</v>
      </c>
      <c r="AM1013" s="65" t="n">
        <f aca="false">IF(AL1013="",0,MAX(0,MIN(1,(IF(BY1013="L1",Parameter!$E$5,Parameter!$E$6+Parameter!$E$7)-(AL1013-AH1013))/AH1013)))</f>
        <v>1</v>
      </c>
      <c r="AN1013" s="57" t="n">
        <f aca="false">IF(LEFT(Cockpit!$I$5,1)="A",H1013,IF(CA1013=1,CB1013,IF(LEFT(Cockpit!$I$5,1)="B",AR1013,MAX(AR1013,H1013))))</f>
        <v>24</v>
      </c>
      <c r="AO1013" s="57" t="n">
        <f aca="false">IF(BT1013=1,0,ROUNDUP(AN1013/BS1013,0))</f>
        <v>1</v>
      </c>
      <c r="AP1013" s="59" t="n">
        <f aca="false">IF(CH1013&gt;0,CH1013*MAX(1,AN1013/X1013),IF(BT1013=1,IF(AN1013&lt;=0,0,BW1013*MAX(1,IF(H1013&gt;0,AN1013/H1013,1))),IF(R1013&gt;0,AO1013/R1013,0))/MAX(0.1,N(Parameter!$M$21)))</f>
        <v>0.166666666666667</v>
      </c>
      <c r="AQ1013" s="57" t="n">
        <f aca="false">AN1013*G1013</f>
        <v>209.52</v>
      </c>
      <c r="AR1013" s="57" t="n">
        <f aca="false">ROUNDUP(MAX(J1013/IF(BZ1013&gt;0,BZ1013,MAX(0.1,N(Cockpit!$I$6))),CC1013)/BS1013,0)*BS1013</f>
        <v>24</v>
      </c>
      <c r="AS1013" s="58" t="n">
        <f aca="false">IF(AP1013&gt;0,J1013/AP1013,-1)</f>
        <v>120</v>
      </c>
      <c r="AT1013" s="58" t="n">
        <f aca="false">IF(AND(OR(BY1013="L1",BY1013="L23"),AP1013&gt;0),SUMIFS($AP$7:$AP$1843,$BY$7:$BY$1843,BY1013,$AS$7:$AS$1843,"&gt;"&amp;AS1013)+SUMIFS($AP$7:$AP$1843,$BY$7:$BY$1843,BY1013,$AS$7:$AS$1843,AS1013,$BQ$7:$BQ$1843,"&lt;="&amp;BQ1013),"")</f>
        <v>54.4781172933347</v>
      </c>
      <c r="AU1013" s="65" t="n">
        <f aca="false">IF(AT1013="",0,MAX(0,MIN(1,(IF(BY1013="L1",Parameter!$E$5,Parameter!$E$6+Parameter!$E$7)-(AT1013-AP1013))/AP1013)))</f>
        <v>1</v>
      </c>
      <c r="AV1013" s="57" t="n">
        <f aca="false">IF(LEFT(Cockpit!$O$5,1)="A",H1013,IF(CA1013=1,CB1013,IF(LEFT(Cockpit!$O$5,1)="B",AZ1013,MAX(AZ1013,H1013))))</f>
        <v>24</v>
      </c>
      <c r="AW1013" s="57" t="n">
        <f aca="false">IF(BT1013=1,0,ROUNDUP(AV1013/BS1013,0))</f>
        <v>1</v>
      </c>
      <c r="AX1013" s="59" t="n">
        <f aca="false">IF(CH1013&gt;0,CH1013*MAX(1,AV1013/X1013),IF(BT1013=1,IF(AV1013&lt;=0,0,BW1013*MAX(1,IF(H1013&gt;0,AV1013/H1013,1))),IF(R1013&gt;0,AW1013/R1013,0))/MAX(0.1,N(Parameter!$M$21)))</f>
        <v>0.166666666666667</v>
      </c>
      <c r="AY1013" s="57" t="n">
        <f aca="false">AV1013*G1013</f>
        <v>209.52</v>
      </c>
      <c r="AZ1013" s="57" t="n">
        <f aca="false">ROUNDUP(MAX(J1013/IF(BZ1013&gt;0,BZ1013,MAX(0.1,N(Cockpit!$O$6))),CC1013)/BS1013,0)*BS1013</f>
        <v>24</v>
      </c>
      <c r="BA1013" s="58" t="n">
        <f aca="false">IF(AX1013&gt;0,J1013/AX1013,-1)</f>
        <v>120</v>
      </c>
      <c r="BB1013" s="58" t="n">
        <f aca="false">IF(AND(OR(BY1013="L1",BY1013="L23"),AX1013&gt;0),SUMIFS($AX$7:$AX$1843,$BY$7:$BY$1843,BY1013,$BA$7:$BA$1843,"&gt;"&amp;BA1013)+SUMIFS($AX$7:$AX$1843,$BY$7:$BY$1843,BY1013,$BA$7:$BA$1843,BA1013,$BQ$7:$BQ$1843,"&lt;="&amp;BQ1013),"")</f>
        <v>51.8912874565049</v>
      </c>
      <c r="BC1013" s="65" t="n">
        <f aca="false">IF(BB1013="",0,MAX(0,MIN(1,(IF(BY1013="L1",Parameter!$E$5,Parameter!$E$6+Parameter!$E$7)-(BB1013-AX1013))/AX1013)))</f>
        <v>1</v>
      </c>
      <c r="BD1013" s="55" t="str">
        <f aca="false">IF(AH1013&lt;=0,"",IF(BY1013="Aussen","Aussenlager",IF(BY1013="-","Nicht im Lift",IF(AM1013&gt;=1,"Lift",IF(AM1013&lt;=0,"Aussenlager","teilweise")))))</f>
        <v>Lift</v>
      </c>
      <c r="BE1013" s="55" t="str">
        <f aca="false">IF(AP1013&lt;=0,"",IF(BY1013="Aussen","Aussenlager",IF(BY1013="-","Nicht im Lift",IF(AU1013&gt;=1,"Lift",IF(AU1013&lt;=0,"Aussenlager","teilweise")))))</f>
        <v>Lift</v>
      </c>
      <c r="BF1013" s="55" t="str">
        <f aca="false">IF(AX1013&lt;=0,"",IF(BY1013="Aussen","Aussenlager",IF(BY1013="-","Nicht im Lift",IF(BC1013&gt;=1,"Lift",IF(BC1013&lt;=0,"Aussenlager","teilweise")))))</f>
        <v>Lift</v>
      </c>
      <c r="BG1013" s="55" t="str">
        <f aca="false">IF(A1013="","",IF(BP1013=1,"Neu; ","")&amp;IF(AND(BP1013=0,BK1013&lt;0),"negativer Bestand (Export "&amp;BK1013&amp;"); ","")&amp;IF(J1013&lt;=0,"Kein Verbrauch; ","")&amp;IF(CH1013&gt;0,"Lift "&amp;W1013&amp;" lt. Liftbericht (Fach "&amp;X1013&amp;" Stk); ",IF(BU1013=1,"Gebinde geschätzt ("&amp;T1013&amp;"); ",IF(BT1013=1,"Lose – Tablare geschätzt; ","")))&amp;IF(H1013&gt;AR1013,"Überbestand "&amp;ROUND(H1013-AR1013,0)&amp;" Stk / CHF "&amp;ROUND((H1013-AR1013)*G1013,0)&amp;"; ","")&amp;IF(AND(CA1013=1,CB1013&lt;CC1013),"MAX &lt; MB+LG; ","")&amp;IF(AND(CG1013&gt;0,CF1013*10&gt;CG1013),"zu hoch für Tablar; ","")&amp;IF(AND(BP1013=0,OR(CA1013=1,AA1013&lt;&gt;"",U1013&lt;&gt;"",V1013&lt;&gt;"",AB1013&lt;&gt;"")),"manuell übersteuert; ","")&amp;IF(AND(BT1013=0,R1013=0),"Gebinde unbekannt / Stellmass fehlt; ","")&amp;IF(AND(BT1013=0,N(V1013)&lt;=0,N(Q1013)&lt;=0),"Menge pro Gebinde fehlt (Ist = 1 Gebinde); ","")&amp;BO1013)</f>
        <v>negativer Bestand (Export -6); </v>
      </c>
      <c r="BH1013" s="55"/>
      <c r="BI1013" s="55"/>
      <c r="BJ1013" s="62"/>
      <c r="BK1013" s="57" t="n">
        <v>-6</v>
      </c>
      <c r="BL1013" s="57" t="n">
        <v>16</v>
      </c>
      <c r="BM1013" s="56" t="n">
        <v>-111.58</v>
      </c>
      <c r="BN1013" s="57" t="n">
        <v>20</v>
      </c>
      <c r="BO1013" s="55"/>
      <c r="BP1013" s="60" t="n">
        <v>0</v>
      </c>
      <c r="BQ1013" s="60" t="n">
        <v>1013</v>
      </c>
      <c r="BR1013" s="55" t="str">
        <f aca="false">IF(U1013&lt;&gt;"",UPPER(TRIM(U1013)),IF(BU1013=1,UPPER(VLOOKUP(T1013,Parameter!$I$27:$K$29,2,0)),IF(P1013="","LOSE",P1013)))</f>
        <v>S71</v>
      </c>
      <c r="BS1013" s="57" t="n">
        <f aca="false">IF(BR1013="LOSE",1,IF(N(V1013)&gt;0,V1013,IF(BU1013=1,MAX(1,N(VLOOKUP(T1013,Parameter!$I$27:$K$29,3,0)),H1013,N(N1013)),IF(N(Q1013)&gt;0,Q1013,MAX(1,H1013)))))</f>
        <v>24</v>
      </c>
      <c r="BT1013" s="60" t="n">
        <f aca="false">IF(BR1013="LOSE",1,0)</f>
        <v>0</v>
      </c>
      <c r="BU1013" s="60" t="n">
        <f aca="false">IF(AND(U1013="",OR(P1013="",P1013="LOSE"),T1013&lt;&gt;"",N(S1013)&lt;=0,ISNUMBER(MATCH(T1013,Parameter!$I$27:$I$29,0))),1,0)</f>
        <v>0</v>
      </c>
      <c r="BV1013" s="55" t="str">
        <f aca="false">IF(AND(Parameter!$B$19="Ja",E1013&lt;&gt;"",ISNUMBER(MATCH(E1013,Parameter!$I$35:$I$52,0))),VLOOKUP(E1013,Parameter!$I$35:$J$52,2,0),IFERROR(VLOOKUP(D1013,Parameter!$A$35:$C$64,2,0),"Nein"))</f>
        <v>2+3</v>
      </c>
      <c r="BW1013" s="59" t="n">
        <f aca="false">IF(BT1013=0,0,IF(N(S1013)&gt;0,S1013,IFERROR(VLOOKUP(D1013,Parameter!$A$35:$C$64,3,0)+0,0)))</f>
        <v>0</v>
      </c>
      <c r="BX1013" s="55" t="n">
        <f aca="false">IF(AA1013&lt;&gt;"",AA1013,Z1013)</f>
        <v>2</v>
      </c>
      <c r="BY1013" s="55" t="str">
        <f aca="false">IF(BX1013=1,"L1",IF(OR(BX1013=2,BX1013=3),"L23",IF(BX1013="Aussen","Aussen","-")))</f>
        <v>L23</v>
      </c>
      <c r="BZ1013" s="66" t="n">
        <f aca="false">IF(N(AB1013)&gt;0,AB1013,0)</f>
        <v>0</v>
      </c>
      <c r="CA1013" s="60" t="n">
        <f aca="false">IF(ISNUMBER(AE1013),1,0)</f>
        <v>0</v>
      </c>
      <c r="CB1013" s="57" t="n">
        <f aca="false">N(AE1013)</f>
        <v>0</v>
      </c>
      <c r="CC1013" s="57" t="n">
        <f aca="false">N(M1013)+N(N1013)</f>
        <v>22</v>
      </c>
      <c r="CD1013" s="57" t="n">
        <f aca="false">ROUNDUP(H1013/BS1013,0)</f>
        <v>1</v>
      </c>
      <c r="CE1013" s="57" t="n">
        <f aca="false">ROUNDUP(CB1013/BS1013,0)</f>
        <v>0</v>
      </c>
      <c r="CF1013" s="60" t="n">
        <f aca="false">IF(BT1013=1,0,IFERROR(VLOOKUP(BR1013,'Gebinde-Kategorie'!$A$5:$M$45,5,0)+0,0))</f>
        <v>20</v>
      </c>
      <c r="CG1013" s="60" t="n">
        <f aca="false">IFERROR(IF(OR(BX1013=1,BX1013=2,BX1013=3),N(INDEX(Parameter!$I$5:$I$7,BX1013)),0),0)</f>
        <v>0</v>
      </c>
      <c r="CH1013" s="59" t="n">
        <f aca="false">IF(AND(Parameter!$B$21="Ja",ISNUMBER(W1013),N(X1013)&gt;0),IFERROR(N(INDEX(Parameter!$L$5:$L$7,W1013))*INDEX(Parameter!$E$5:$E$7,W1013)*X1013/SUMIFS($X$7:$X$1843,$W$7:$W$1843,W1013),0),0)</f>
        <v>0</v>
      </c>
    </row>
    <row r="1014" customFormat="false" ht="15" hidden="false" customHeight="false" outlineLevel="0" collapsed="false">
      <c r="A1014" s="55" t="s">
        <v>1867</v>
      </c>
      <c r="B1014" s="55" t="s">
        <v>1868</v>
      </c>
      <c r="C1014" s="55" t="s">
        <v>164</v>
      </c>
      <c r="D1014" s="55" t="s">
        <v>184</v>
      </c>
      <c r="E1014" s="55" t="s">
        <v>185</v>
      </c>
      <c r="F1014" s="55" t="s">
        <v>218</v>
      </c>
      <c r="G1014" s="56" t="n">
        <v>112.6</v>
      </c>
      <c r="H1014" s="57" t="n">
        <f aca="false">MAX(0,IF(AND(Parameter!$B$21="Ja",ISNUMBER(Y1014)),Y1014,IF(Parameter!$B$20="Jahresanfang 2025 + Export",BL1014+BK1014,BK1014)))</f>
        <v>7</v>
      </c>
      <c r="I1014" s="57" t="n">
        <f aca="false">H1014*G1014</f>
        <v>788.2</v>
      </c>
      <c r="J1014" s="57" t="n">
        <f aca="false">BN1014*Parameter!$B$18</f>
        <v>0</v>
      </c>
      <c r="K1014" s="58" t="n">
        <v>8</v>
      </c>
      <c r="L1014" s="59" t="n">
        <v>0</v>
      </c>
      <c r="M1014" s="57" t="n">
        <v>0</v>
      </c>
      <c r="N1014" s="57" t="n">
        <v>1</v>
      </c>
      <c r="O1014" s="60" t="n">
        <v>56</v>
      </c>
      <c r="P1014" s="55" t="s">
        <v>328</v>
      </c>
      <c r="Q1014" s="57" t="n">
        <v>8</v>
      </c>
      <c r="R1014" s="60" t="n">
        <f aca="false">IF(BT1014=1,0,IFERROR(VLOOKUP(BR1014,'Gebinde-Kategorie'!$A$5:$M$45,13,0)+0,0))</f>
        <v>52</v>
      </c>
      <c r="S1014" s="61"/>
      <c r="T1014" s="62"/>
      <c r="U1014" s="62"/>
      <c r="V1014" s="62"/>
      <c r="W1014" s="55"/>
      <c r="X1014" s="57"/>
      <c r="Y1014" s="57"/>
      <c r="Z1014" s="55" t="n">
        <f aca="false">IF(A1014="","",IF(AND(Parameter!$B$21="Ja",ISNUMBER(W1014)),W1014,IF(BV1014="2+3",IF(ISNUMBER(SEARCH("grosser Artikel",BO1014)),2,IFERROR(VLOOKUP(BR1014,Parameter!$F$35:$G$64,2,0),2)),IF(OR(BV1014="Nein",BV1014=""),"-",BV1014))))</f>
        <v>3</v>
      </c>
      <c r="AA1014" s="62"/>
      <c r="AB1014" s="63"/>
      <c r="AC1014" s="57" t="n">
        <f aca="false">AR1014</f>
        <v>8</v>
      </c>
      <c r="AD1014" s="57" t="n">
        <f aca="false">MAX(AR1014,H1014)</f>
        <v>8</v>
      </c>
      <c r="AE1014" s="64"/>
      <c r="AF1014" s="57" t="n">
        <f aca="false">IF(LEFT(Cockpit!$C$5,1)="A",H1014,IF(CA1014=1,CB1014,IF(LEFT(Cockpit!$C$5,1)="B",AJ1014,MAX(AJ1014,H1014))))</f>
        <v>7</v>
      </c>
      <c r="AG1014" s="57" t="n">
        <f aca="false">IF(BT1014=1,0,ROUNDUP(AF1014/BS1014,0))</f>
        <v>1</v>
      </c>
      <c r="AH1014" s="59" t="n">
        <f aca="false">IF(CH1014&gt;0,CH1014*MAX(1,AF1014/X1014),IF(BT1014=1,IF(AF1014&lt;=0,0,BW1014*MAX(1,IF(H1014&gt;0,AF1014/H1014,1))),IF(R1014&gt;0,AG1014/R1014,0))/MAX(0.1,N(Parameter!$M$21)))</f>
        <v>0.0192307692307692</v>
      </c>
      <c r="AI1014" s="57" t="n">
        <f aca="false">AF1014*G1014</f>
        <v>788.2</v>
      </c>
      <c r="AJ1014" s="57" t="n">
        <f aca="false">ROUNDUP(MAX(J1014/IF(BZ1014&gt;0,BZ1014,MAX(0.1,N(Cockpit!$C$6))),CC1014)/BS1014,0)*BS1014</f>
        <v>8</v>
      </c>
      <c r="AK1014" s="58" t="n">
        <f aca="false">IF(AH1014&gt;0,J1014/AH1014,-1)</f>
        <v>0</v>
      </c>
      <c r="AL1014" s="58" t="n">
        <f aca="false">IF(AND(OR(BY1014="L1",BY1014="L23"),AH1014&gt;0),SUMIFS($AH$7:$AH$1843,$BY$7:$BY$1843,BY1014,$AK$7:$AK$1843,"&gt;"&amp;AK1014)+SUMIFS($AH$7:$AH$1843,$BY$7:$BY$1843,BY1014,$AK$7:$AK$1843,AK1014,$BQ$7:$BQ$1843,"&lt;="&amp;BQ1014),"")</f>
        <v>78.6773757643323</v>
      </c>
      <c r="AM1014" s="65" t="n">
        <f aca="false">IF(AL1014="",0,MAX(0,MIN(1,(IF(BY1014="L1",Parameter!$E$5,Parameter!$E$6+Parameter!$E$7)-(AL1014-AH1014))/AH1014)))</f>
        <v>1</v>
      </c>
      <c r="AN1014" s="57" t="n">
        <f aca="false">IF(LEFT(Cockpit!$I$5,1)="A",H1014,IF(CA1014=1,CB1014,IF(LEFT(Cockpit!$I$5,1)="B",AR1014,MAX(AR1014,H1014))))</f>
        <v>8</v>
      </c>
      <c r="AO1014" s="57" t="n">
        <f aca="false">IF(BT1014=1,0,ROUNDUP(AN1014/BS1014,0))</f>
        <v>1</v>
      </c>
      <c r="AP1014" s="59" t="n">
        <f aca="false">IF(CH1014&gt;0,CH1014*MAX(1,AN1014/X1014),IF(BT1014=1,IF(AN1014&lt;=0,0,BW1014*MAX(1,IF(H1014&gt;0,AN1014/H1014,1))),IF(R1014&gt;0,AO1014/R1014,0))/MAX(0.1,N(Parameter!$M$21)))</f>
        <v>0.0192307692307692</v>
      </c>
      <c r="AQ1014" s="57" t="n">
        <f aca="false">AN1014*G1014</f>
        <v>900.8</v>
      </c>
      <c r="AR1014" s="57" t="n">
        <f aca="false">ROUNDUP(MAX(J1014/IF(BZ1014&gt;0,BZ1014,MAX(0.1,N(Cockpit!$I$6))),CC1014)/BS1014,0)*BS1014</f>
        <v>8</v>
      </c>
      <c r="AS1014" s="58" t="n">
        <f aca="false">IF(AP1014&gt;0,J1014/AP1014,-1)</f>
        <v>0</v>
      </c>
      <c r="AT1014" s="58" t="n">
        <f aca="false">IF(AND(OR(BY1014="L1",BY1014="L23"),AP1014&gt;0),SUMIFS($AP$7:$AP$1843,$BY$7:$BY$1843,BY1014,$AS$7:$AS$1843,"&gt;"&amp;AS1014)+SUMIFS($AP$7:$AP$1843,$BY$7:$BY$1843,BY1014,$AS$7:$AS$1843,AS1014,$BQ$7:$BQ$1843,"&lt;="&amp;BQ1014),"")</f>
        <v>120.123813384683</v>
      </c>
      <c r="AU1014" s="65" t="n">
        <f aca="false">IF(AT1014="",0,MAX(0,MIN(1,(IF(BY1014="L1",Parameter!$E$5,Parameter!$E$6+Parameter!$E$7)-(AT1014-AP1014))/AP1014)))</f>
        <v>0</v>
      </c>
      <c r="AV1014" s="57" t="n">
        <f aca="false">IF(LEFT(Cockpit!$O$5,1)="A",H1014,IF(CA1014=1,CB1014,IF(LEFT(Cockpit!$O$5,1)="B",AZ1014,MAX(AZ1014,H1014))))</f>
        <v>8</v>
      </c>
      <c r="AW1014" s="57" t="n">
        <f aca="false">IF(BT1014=1,0,ROUNDUP(AV1014/BS1014,0))</f>
        <v>1</v>
      </c>
      <c r="AX1014" s="59" t="n">
        <f aca="false">IF(CH1014&gt;0,CH1014*MAX(1,AV1014/X1014),IF(BT1014=1,IF(AV1014&lt;=0,0,BW1014*MAX(1,IF(H1014&gt;0,AV1014/H1014,1))),IF(R1014&gt;0,AW1014/R1014,0))/MAX(0.1,N(Parameter!$M$21)))</f>
        <v>0.0192307692307692</v>
      </c>
      <c r="AY1014" s="57" t="n">
        <f aca="false">AV1014*G1014</f>
        <v>900.8</v>
      </c>
      <c r="AZ1014" s="57" t="n">
        <f aca="false">ROUNDUP(MAX(J1014/IF(BZ1014&gt;0,BZ1014,MAX(0.1,N(Cockpit!$O$6))),CC1014)/BS1014,0)*BS1014</f>
        <v>8</v>
      </c>
      <c r="BA1014" s="58" t="n">
        <f aca="false">IF(AX1014&gt;0,J1014/AX1014,-1)</f>
        <v>0</v>
      </c>
      <c r="BB1014" s="58" t="n">
        <f aca="false">IF(AND(OR(BY1014="L1",BY1014="L23"),AX1014&gt;0),SUMIFS($AX$7:$AX$1843,$BY$7:$BY$1843,BY1014,$BA$7:$BA$1843,"&gt;"&amp;BA1014)+SUMIFS($AX$7:$AX$1843,$BY$7:$BY$1843,BY1014,$BA$7:$BA$1843,BA1014,$BQ$7:$BQ$1843,"&lt;="&amp;BQ1014),"")</f>
        <v>110.95365021452</v>
      </c>
      <c r="BC1014" s="65" t="n">
        <f aca="false">IF(BB1014="",0,MAX(0,MIN(1,(IF(BY1014="L1",Parameter!$E$5,Parameter!$E$6+Parameter!$E$7)-(BB1014-AX1014))/AX1014)))</f>
        <v>0</v>
      </c>
      <c r="BD1014" s="55" t="str">
        <f aca="false">IF(AH1014&lt;=0,"",IF(BY1014="Aussen","Aussenlager",IF(BY1014="-","Nicht im Lift",IF(AM1014&gt;=1,"Lift",IF(AM1014&lt;=0,"Aussenlager","teilweise")))))</f>
        <v>Lift</v>
      </c>
      <c r="BE1014" s="55" t="str">
        <f aca="false">IF(AP1014&lt;=0,"",IF(BY1014="Aussen","Aussenlager",IF(BY1014="-","Nicht im Lift",IF(AU1014&gt;=1,"Lift",IF(AU1014&lt;=0,"Aussenlager","teilweise")))))</f>
        <v>Aussenlager</v>
      </c>
      <c r="BF1014" s="55" t="str">
        <f aca="false">IF(AX1014&lt;=0,"",IF(BY1014="Aussen","Aussenlager",IF(BY1014="-","Nicht im Lift",IF(BC1014&gt;=1,"Lift",IF(BC1014&lt;=0,"Aussenlager","teilweise")))))</f>
        <v>Aussenlager</v>
      </c>
      <c r="BG1014" s="55" t="str">
        <f aca="false">IF(A1014="","",IF(BP1014=1,"Neu; ","")&amp;IF(AND(BP1014=0,BK1014&lt;0),"negativer Bestand (Export "&amp;BK1014&amp;"); ","")&amp;IF(J1014&lt;=0,"Kein Verbrauch; ","")&amp;IF(CH1014&gt;0,"Lift "&amp;W1014&amp;" lt. Liftbericht (Fach "&amp;X1014&amp;" Stk); ",IF(BU1014=1,"Gebinde geschätzt ("&amp;T1014&amp;"); ",IF(BT1014=1,"Lose – Tablare geschätzt; ","")))&amp;IF(H1014&gt;AR1014,"Überbestand "&amp;ROUND(H1014-AR1014,0)&amp;" Stk / CHF "&amp;ROUND((H1014-AR1014)*G1014,0)&amp;"; ","")&amp;IF(AND(CA1014=1,CB1014&lt;CC1014),"MAX &lt; MB+LG; ","")&amp;IF(AND(CG1014&gt;0,CF1014*10&gt;CG1014),"zu hoch für Tablar; ","")&amp;IF(AND(BP1014=0,OR(CA1014=1,AA1014&lt;&gt;"",U1014&lt;&gt;"",V1014&lt;&gt;"",AB1014&lt;&gt;"")),"manuell übersteuert; ","")&amp;IF(AND(BT1014=0,R1014=0),"Gebinde unbekannt / Stellmass fehlt; ","")&amp;IF(AND(BT1014=0,N(V1014)&lt;=0,N(Q1014)&lt;=0),"Menge pro Gebinde fehlt (Ist = 1 Gebinde); ","")&amp;BO1014)</f>
        <v>negativer Bestand (Export -1); Kein Verbrauch; Überbestand</v>
      </c>
      <c r="BH1014" s="55"/>
      <c r="BI1014" s="55"/>
      <c r="BJ1014" s="62"/>
      <c r="BK1014" s="57" t="n">
        <v>-1</v>
      </c>
      <c r="BL1014" s="57" t="n">
        <v>8</v>
      </c>
      <c r="BM1014" s="56" t="n">
        <v>-112.6</v>
      </c>
      <c r="BN1014" s="57" t="n">
        <v>0</v>
      </c>
      <c r="BO1014" s="55" t="s">
        <v>392</v>
      </c>
      <c r="BP1014" s="60" t="n">
        <v>0</v>
      </c>
      <c r="BQ1014" s="60" t="n">
        <v>1014</v>
      </c>
      <c r="BR1014" s="55" t="str">
        <f aca="false">IF(U1014&lt;&gt;"",UPPER(TRIM(U1014)),IF(BU1014=1,UPPER(VLOOKUP(T1014,Parameter!$I$27:$K$29,2,0)),IF(P1014="","LOSE",P1014)))</f>
        <v>S41</v>
      </c>
      <c r="BS1014" s="57" t="n">
        <f aca="false">IF(BR1014="LOSE",1,IF(N(V1014)&gt;0,V1014,IF(BU1014=1,MAX(1,N(VLOOKUP(T1014,Parameter!$I$27:$K$29,3,0)),H1014,N(N1014)),IF(N(Q1014)&gt;0,Q1014,MAX(1,H1014)))))</f>
        <v>8</v>
      </c>
      <c r="BT1014" s="60" t="n">
        <f aca="false">IF(BR1014="LOSE",1,0)</f>
        <v>0</v>
      </c>
      <c r="BU1014" s="60" t="n">
        <f aca="false">IF(AND(U1014="",OR(P1014="",P1014="LOSE"),T1014&lt;&gt;"",N(S1014)&lt;=0,ISNUMBER(MATCH(T1014,Parameter!$I$27:$I$29,0))),1,0)</f>
        <v>0</v>
      </c>
      <c r="BV1014" s="55" t="str">
        <f aca="false">IF(AND(Parameter!$B$19="Ja",E1014&lt;&gt;"",ISNUMBER(MATCH(E1014,Parameter!$I$35:$I$52,0))),VLOOKUP(E1014,Parameter!$I$35:$J$52,2,0),IFERROR(VLOOKUP(D1014,Parameter!$A$35:$C$64,2,0),"Nein"))</f>
        <v>2+3</v>
      </c>
      <c r="BW1014" s="59" t="n">
        <f aca="false">IF(BT1014=0,0,IF(N(S1014)&gt;0,S1014,IFERROR(VLOOKUP(D1014,Parameter!$A$35:$C$64,3,0)+0,0)))</f>
        <v>0</v>
      </c>
      <c r="BX1014" s="55" t="n">
        <f aca="false">IF(AA1014&lt;&gt;"",AA1014,Z1014)</f>
        <v>3</v>
      </c>
      <c r="BY1014" s="55" t="str">
        <f aca="false">IF(BX1014=1,"L1",IF(OR(BX1014=2,BX1014=3),"L23",IF(BX1014="Aussen","Aussen","-")))</f>
        <v>L23</v>
      </c>
      <c r="BZ1014" s="66" t="n">
        <f aca="false">IF(N(AB1014)&gt;0,AB1014,0)</f>
        <v>0</v>
      </c>
      <c r="CA1014" s="60" t="n">
        <f aca="false">IF(ISNUMBER(AE1014),1,0)</f>
        <v>0</v>
      </c>
      <c r="CB1014" s="57" t="n">
        <f aca="false">N(AE1014)</f>
        <v>0</v>
      </c>
      <c r="CC1014" s="57" t="n">
        <f aca="false">N(M1014)+N(N1014)</f>
        <v>1</v>
      </c>
      <c r="CD1014" s="57" t="n">
        <f aca="false">ROUNDUP(H1014/BS1014,0)</f>
        <v>1</v>
      </c>
      <c r="CE1014" s="57" t="n">
        <f aca="false">ROUNDUP(CB1014/BS1014,0)</f>
        <v>0</v>
      </c>
      <c r="CF1014" s="60" t="n">
        <f aca="false">IF(BT1014=1,0,IFERROR(VLOOKUP(BR1014,'Gebinde-Kategorie'!$A$5:$M$45,5,0)+0,0))</f>
        <v>11</v>
      </c>
      <c r="CG1014" s="60" t="n">
        <f aca="false">IFERROR(IF(OR(BX1014=1,BX1014=2,BX1014=3),N(INDEX(Parameter!$I$5:$I$7,BX1014)),0),0)</f>
        <v>0</v>
      </c>
      <c r="CH1014" s="59" t="n">
        <f aca="false">IF(AND(Parameter!$B$21="Ja",ISNUMBER(W1014),N(X1014)&gt;0),IFERROR(N(INDEX(Parameter!$L$5:$L$7,W1014))*INDEX(Parameter!$E$5:$E$7,W1014)*X1014/SUMIFS($X$7:$X$1843,$W$7:$W$1843,W1014),0),0)</f>
        <v>0</v>
      </c>
    </row>
    <row r="1015" customFormat="false" ht="15" hidden="false" customHeight="false" outlineLevel="0" collapsed="false">
      <c r="A1015" s="55" t="s">
        <v>1869</v>
      </c>
      <c r="B1015" s="55" t="s">
        <v>983</v>
      </c>
      <c r="C1015" s="55" t="s">
        <v>164</v>
      </c>
      <c r="D1015" s="55" t="s">
        <v>184</v>
      </c>
      <c r="E1015" s="55"/>
      <c r="F1015" s="55" t="s">
        <v>218</v>
      </c>
      <c r="G1015" s="56" t="n">
        <v>37.57</v>
      </c>
      <c r="H1015" s="57" t="n">
        <f aca="false">MAX(0,IF(AND(Parameter!$B$21="Ja",ISNUMBER(Y1015)),Y1015,IF(Parameter!$B$20="Jahresanfang 2025 + Export",BL1015+BK1015,BK1015)))</f>
        <v>9</v>
      </c>
      <c r="I1015" s="57" t="n">
        <f aca="false">H1015*G1015</f>
        <v>338.13</v>
      </c>
      <c r="J1015" s="57" t="n">
        <f aca="false">BN1015*Parameter!$B$18</f>
        <v>0</v>
      </c>
      <c r="K1015" s="58" t="n">
        <v>10.5</v>
      </c>
      <c r="L1015" s="59" t="n">
        <v>0</v>
      </c>
      <c r="M1015" s="57" t="n">
        <v>0</v>
      </c>
      <c r="N1015" s="57" t="n">
        <v>1</v>
      </c>
      <c r="O1015" s="60" t="n">
        <v>14</v>
      </c>
      <c r="P1015" s="55" t="s">
        <v>186</v>
      </c>
      <c r="Q1015" s="57" t="n">
        <v>10</v>
      </c>
      <c r="R1015" s="60" t="n">
        <f aca="false">IF(BT1015=1,0,IFERROR(VLOOKUP(BR1015,'Gebinde-Kategorie'!$A$5:$M$45,13,0)+0,0))</f>
        <v>12</v>
      </c>
      <c r="S1015" s="61"/>
      <c r="T1015" s="62"/>
      <c r="U1015" s="62"/>
      <c r="V1015" s="62"/>
      <c r="W1015" s="55"/>
      <c r="X1015" s="57"/>
      <c r="Y1015" s="57"/>
      <c r="Z1015" s="55" t="n">
        <f aca="false">IF(A1015="","",IF(AND(Parameter!$B$21="Ja",ISNUMBER(W1015)),W1015,IF(BV1015="2+3",IF(ISNUMBER(SEARCH("grosser Artikel",BO1015)),2,IFERROR(VLOOKUP(BR1015,Parameter!$F$35:$G$64,2,0),2)),IF(OR(BV1015="Nein",BV1015=""),"-",BV1015))))</f>
        <v>2</v>
      </c>
      <c r="AA1015" s="62"/>
      <c r="AB1015" s="63"/>
      <c r="AC1015" s="57" t="n">
        <f aca="false">AR1015</f>
        <v>10</v>
      </c>
      <c r="AD1015" s="57" t="n">
        <f aca="false">MAX(AR1015,H1015)</f>
        <v>10</v>
      </c>
      <c r="AE1015" s="64"/>
      <c r="AF1015" s="57" t="n">
        <f aca="false">IF(LEFT(Cockpit!$C$5,1)="A",H1015,IF(CA1015=1,CB1015,IF(LEFT(Cockpit!$C$5,1)="B",AJ1015,MAX(AJ1015,H1015))))</f>
        <v>9</v>
      </c>
      <c r="AG1015" s="57" t="n">
        <f aca="false">IF(BT1015=1,0,ROUNDUP(AF1015/BS1015,0))</f>
        <v>1</v>
      </c>
      <c r="AH1015" s="59" t="n">
        <f aca="false">IF(CH1015&gt;0,CH1015*MAX(1,AF1015/X1015),IF(BT1015=1,IF(AF1015&lt;=0,0,BW1015*MAX(1,IF(H1015&gt;0,AF1015/H1015,1))),IF(R1015&gt;0,AG1015/R1015,0))/MAX(0.1,N(Parameter!$M$21)))</f>
        <v>0.0833333333333333</v>
      </c>
      <c r="AI1015" s="57" t="n">
        <f aca="false">AF1015*G1015</f>
        <v>338.13</v>
      </c>
      <c r="AJ1015" s="57" t="n">
        <f aca="false">ROUNDUP(MAX(J1015/IF(BZ1015&gt;0,BZ1015,MAX(0.1,N(Cockpit!$C$6))),CC1015)/BS1015,0)*BS1015</f>
        <v>10</v>
      </c>
      <c r="AK1015" s="58" t="n">
        <f aca="false">IF(AH1015&gt;0,J1015/AH1015,-1)</f>
        <v>0</v>
      </c>
      <c r="AL1015" s="58" t="n">
        <f aca="false">IF(AND(OR(BY1015="L1",BY1015="L23"),AH1015&gt;0),SUMIFS($AH$7:$AH$1843,$BY$7:$BY$1843,BY1015,$AK$7:$AK$1843,"&gt;"&amp;AK1015)+SUMIFS($AH$7:$AH$1843,$BY$7:$BY$1843,BY1015,$AK$7:$AK$1843,AK1015,$BQ$7:$BQ$1843,"&lt;="&amp;BQ1015),"")</f>
        <v>78.7607090976656</v>
      </c>
      <c r="AM1015" s="65" t="n">
        <f aca="false">IF(AL1015="",0,MAX(0,MIN(1,(IF(BY1015="L1",Parameter!$E$5,Parameter!$E$6+Parameter!$E$7)-(AL1015-AH1015))/AH1015)))</f>
        <v>1</v>
      </c>
      <c r="AN1015" s="57" t="n">
        <f aca="false">IF(LEFT(Cockpit!$I$5,1)="A",H1015,IF(CA1015=1,CB1015,IF(LEFT(Cockpit!$I$5,1)="B",AR1015,MAX(AR1015,H1015))))</f>
        <v>10</v>
      </c>
      <c r="AO1015" s="57" t="n">
        <f aca="false">IF(BT1015=1,0,ROUNDUP(AN1015/BS1015,0))</f>
        <v>1</v>
      </c>
      <c r="AP1015" s="59" t="n">
        <f aca="false">IF(CH1015&gt;0,CH1015*MAX(1,AN1015/X1015),IF(BT1015=1,IF(AN1015&lt;=0,0,BW1015*MAX(1,IF(H1015&gt;0,AN1015/H1015,1))),IF(R1015&gt;0,AO1015/R1015,0))/MAX(0.1,N(Parameter!$M$21)))</f>
        <v>0.0833333333333333</v>
      </c>
      <c r="AQ1015" s="57" t="n">
        <f aca="false">AN1015*G1015</f>
        <v>375.7</v>
      </c>
      <c r="AR1015" s="57" t="n">
        <f aca="false">ROUNDUP(MAX(J1015/IF(BZ1015&gt;0,BZ1015,MAX(0.1,N(Cockpit!$I$6))),CC1015)/BS1015,0)*BS1015</f>
        <v>10</v>
      </c>
      <c r="AS1015" s="58" t="n">
        <f aca="false">IF(AP1015&gt;0,J1015/AP1015,-1)</f>
        <v>0</v>
      </c>
      <c r="AT1015" s="58" t="n">
        <f aca="false">IF(AND(OR(BY1015="L1",BY1015="L23"),AP1015&gt;0),SUMIFS($AP$7:$AP$1843,$BY$7:$BY$1843,BY1015,$AS$7:$AS$1843,"&gt;"&amp;AS1015)+SUMIFS($AP$7:$AP$1843,$BY$7:$BY$1843,BY1015,$AS$7:$AS$1843,AS1015,$BQ$7:$BQ$1843,"&lt;="&amp;BQ1015),"")</f>
        <v>120.207146718016</v>
      </c>
      <c r="AU1015" s="65" t="n">
        <f aca="false">IF(AT1015="",0,MAX(0,MIN(1,(IF(BY1015="L1",Parameter!$E$5,Parameter!$E$6+Parameter!$E$7)-(AT1015-AP1015))/AP1015)))</f>
        <v>0</v>
      </c>
      <c r="AV1015" s="57" t="n">
        <f aca="false">IF(LEFT(Cockpit!$O$5,1)="A",H1015,IF(CA1015=1,CB1015,IF(LEFT(Cockpit!$O$5,1)="B",AZ1015,MAX(AZ1015,H1015))))</f>
        <v>10</v>
      </c>
      <c r="AW1015" s="57" t="n">
        <f aca="false">IF(BT1015=1,0,ROUNDUP(AV1015/BS1015,0))</f>
        <v>1</v>
      </c>
      <c r="AX1015" s="59" t="n">
        <f aca="false">IF(CH1015&gt;0,CH1015*MAX(1,AV1015/X1015),IF(BT1015=1,IF(AV1015&lt;=0,0,BW1015*MAX(1,IF(H1015&gt;0,AV1015/H1015,1))),IF(R1015&gt;0,AW1015/R1015,0))/MAX(0.1,N(Parameter!$M$21)))</f>
        <v>0.0833333333333333</v>
      </c>
      <c r="AY1015" s="57" t="n">
        <f aca="false">AV1015*G1015</f>
        <v>375.7</v>
      </c>
      <c r="AZ1015" s="57" t="n">
        <f aca="false">ROUNDUP(MAX(J1015/IF(BZ1015&gt;0,BZ1015,MAX(0.1,N(Cockpit!$O$6))),CC1015)/BS1015,0)*BS1015</f>
        <v>10</v>
      </c>
      <c r="BA1015" s="58" t="n">
        <f aca="false">IF(AX1015&gt;0,J1015/AX1015,-1)</f>
        <v>0</v>
      </c>
      <c r="BB1015" s="58" t="n">
        <f aca="false">IF(AND(OR(BY1015="L1",BY1015="L23"),AX1015&gt;0),SUMIFS($AX$7:$AX$1843,$BY$7:$BY$1843,BY1015,$BA$7:$BA$1843,"&gt;"&amp;BA1015)+SUMIFS($AX$7:$AX$1843,$BY$7:$BY$1843,BY1015,$BA$7:$BA$1843,BA1015,$BQ$7:$BQ$1843,"&lt;="&amp;BQ1015),"")</f>
        <v>111.036983547853</v>
      </c>
      <c r="BC1015" s="65" t="n">
        <f aca="false">IF(BB1015="",0,MAX(0,MIN(1,(IF(BY1015="L1",Parameter!$E$5,Parameter!$E$6+Parameter!$E$7)-(BB1015-AX1015))/AX1015)))</f>
        <v>0</v>
      </c>
      <c r="BD1015" s="55" t="str">
        <f aca="false">IF(AH1015&lt;=0,"",IF(BY1015="Aussen","Aussenlager",IF(BY1015="-","Nicht im Lift",IF(AM1015&gt;=1,"Lift",IF(AM1015&lt;=0,"Aussenlager","teilweise")))))</f>
        <v>Lift</v>
      </c>
      <c r="BE1015" s="55" t="str">
        <f aca="false">IF(AP1015&lt;=0,"",IF(BY1015="Aussen","Aussenlager",IF(BY1015="-","Nicht im Lift",IF(AU1015&gt;=1,"Lift",IF(AU1015&lt;=0,"Aussenlager","teilweise")))))</f>
        <v>Aussenlager</v>
      </c>
      <c r="BF1015" s="55" t="str">
        <f aca="false">IF(AX1015&lt;=0,"",IF(BY1015="Aussen","Aussenlager",IF(BY1015="-","Nicht im Lift",IF(BC1015&gt;=1,"Lift",IF(BC1015&lt;=0,"Aussenlager","teilweise")))))</f>
        <v>Aussenlager</v>
      </c>
      <c r="BG1015" s="55" t="str">
        <f aca="false">IF(A1015="","",IF(BP1015=1,"Neu; ","")&amp;IF(AND(BP1015=0,BK1015&lt;0),"negativer Bestand (Export "&amp;BK1015&amp;"); ","")&amp;IF(J1015&lt;=0,"Kein Verbrauch; ","")&amp;IF(CH1015&gt;0,"Lift "&amp;W1015&amp;" lt. Liftbericht (Fach "&amp;X1015&amp;" Stk); ",IF(BU1015=1,"Gebinde geschätzt ("&amp;T1015&amp;"); ",IF(BT1015=1,"Lose – Tablare geschätzt; ","")))&amp;IF(H1015&gt;AR1015,"Überbestand "&amp;ROUND(H1015-AR1015,0)&amp;" Stk / CHF "&amp;ROUND((H1015-AR1015)*G1015,0)&amp;"; ","")&amp;IF(AND(CA1015=1,CB1015&lt;CC1015),"MAX &lt; MB+LG; ","")&amp;IF(AND(CG1015&gt;0,CF1015*10&gt;CG1015),"zu hoch für Tablar; ","")&amp;IF(AND(BP1015=0,OR(CA1015=1,AA1015&lt;&gt;"",U1015&lt;&gt;"",V1015&lt;&gt;"",AB1015&lt;&gt;"")),"manuell übersteuert; ","")&amp;IF(AND(BT1015=0,R1015=0),"Gebinde unbekannt / Stellmass fehlt; ","")&amp;IF(AND(BT1015=0,N(V1015)&lt;=0,N(Q1015)&lt;=0),"Menge pro Gebinde fehlt (Ist = 1 Gebinde); ","")&amp;BO1015)</f>
        <v>negativer Bestand (Export -3); Kein Verbrauch; </v>
      </c>
      <c r="BH1015" s="55"/>
      <c r="BI1015" s="55"/>
      <c r="BJ1015" s="62"/>
      <c r="BK1015" s="57" t="n">
        <v>-3</v>
      </c>
      <c r="BL1015" s="57" t="n">
        <v>12</v>
      </c>
      <c r="BM1015" s="56" t="n">
        <v>-112.71</v>
      </c>
      <c r="BN1015" s="57" t="n">
        <v>0</v>
      </c>
      <c r="BO1015" s="55"/>
      <c r="BP1015" s="60" t="n">
        <v>0</v>
      </c>
      <c r="BQ1015" s="60" t="n">
        <v>1015</v>
      </c>
      <c r="BR1015" s="55" t="str">
        <f aca="false">IF(U1015&lt;&gt;"",UPPER(TRIM(U1015)),IF(BU1015=1,UPPER(VLOOKUP(T1015,Parameter!$I$27:$K$29,2,0)),IF(P1015="","LOSE",P1015)))</f>
        <v>S61</v>
      </c>
      <c r="BS1015" s="57" t="n">
        <f aca="false">IF(BR1015="LOSE",1,IF(N(V1015)&gt;0,V1015,IF(BU1015=1,MAX(1,N(VLOOKUP(T1015,Parameter!$I$27:$K$29,3,0)),H1015,N(N1015)),IF(N(Q1015)&gt;0,Q1015,MAX(1,H1015)))))</f>
        <v>10</v>
      </c>
      <c r="BT1015" s="60" t="n">
        <f aca="false">IF(BR1015="LOSE",1,0)</f>
        <v>0</v>
      </c>
      <c r="BU1015" s="60" t="n">
        <f aca="false">IF(AND(U1015="",OR(P1015="",P1015="LOSE"),T1015&lt;&gt;"",N(S1015)&lt;=0,ISNUMBER(MATCH(T1015,Parameter!$I$27:$I$29,0))),1,0)</f>
        <v>0</v>
      </c>
      <c r="BV1015" s="55" t="str">
        <f aca="false">IF(AND(Parameter!$B$19="Ja",E1015&lt;&gt;"",ISNUMBER(MATCH(E1015,Parameter!$I$35:$I$52,0))),VLOOKUP(E1015,Parameter!$I$35:$J$52,2,0),IFERROR(VLOOKUP(D1015,Parameter!$A$35:$C$64,2,0),"Nein"))</f>
        <v>2+3</v>
      </c>
      <c r="BW1015" s="59" t="n">
        <f aca="false">IF(BT1015=0,0,IF(N(S1015)&gt;0,S1015,IFERROR(VLOOKUP(D1015,Parameter!$A$35:$C$64,3,0)+0,0)))</f>
        <v>0</v>
      </c>
      <c r="BX1015" s="55" t="n">
        <f aca="false">IF(AA1015&lt;&gt;"",AA1015,Z1015)</f>
        <v>2</v>
      </c>
      <c r="BY1015" s="55" t="str">
        <f aca="false">IF(BX1015=1,"L1",IF(OR(BX1015=2,BX1015=3),"L23",IF(BX1015="Aussen","Aussen","-")))</f>
        <v>L23</v>
      </c>
      <c r="BZ1015" s="66" t="n">
        <f aca="false">IF(N(AB1015)&gt;0,AB1015,0)</f>
        <v>0</v>
      </c>
      <c r="CA1015" s="60" t="n">
        <f aca="false">IF(ISNUMBER(AE1015),1,0)</f>
        <v>0</v>
      </c>
      <c r="CB1015" s="57" t="n">
        <f aca="false">N(AE1015)</f>
        <v>0</v>
      </c>
      <c r="CC1015" s="57" t="n">
        <f aca="false">N(M1015)+N(N1015)</f>
        <v>1</v>
      </c>
      <c r="CD1015" s="57" t="n">
        <f aca="false">ROUNDUP(H1015/BS1015,0)</f>
        <v>1</v>
      </c>
      <c r="CE1015" s="57" t="n">
        <f aca="false">ROUNDUP(CB1015/BS1015,0)</f>
        <v>0</v>
      </c>
      <c r="CF1015" s="60" t="n">
        <f aca="false">IF(BT1015=1,0,IFERROR(VLOOKUP(BR1015,'Gebinde-Kategorie'!$A$5:$M$45,5,0)+0,0))</f>
        <v>11</v>
      </c>
      <c r="CG1015" s="60" t="n">
        <f aca="false">IFERROR(IF(OR(BX1015=1,BX1015=2,BX1015=3),N(INDEX(Parameter!$I$5:$I$7,BX1015)),0),0)</f>
        <v>0</v>
      </c>
      <c r="CH1015" s="59" t="n">
        <f aca="false">IF(AND(Parameter!$B$21="Ja",ISNUMBER(W1015),N(X1015)&gt;0),IFERROR(N(INDEX(Parameter!$L$5:$L$7,W1015))*INDEX(Parameter!$E$5:$E$7,W1015)*X1015/SUMIFS($X$7:$X$1843,$W$7:$W$1843,W1015),0),0)</f>
        <v>0</v>
      </c>
    </row>
    <row r="1016" customFormat="false" ht="15" hidden="false" customHeight="false" outlineLevel="0" collapsed="false">
      <c r="A1016" s="55" t="s">
        <v>1870</v>
      </c>
      <c r="B1016" s="55" t="s">
        <v>1871</v>
      </c>
      <c r="C1016" s="55" t="s">
        <v>456</v>
      </c>
      <c r="D1016" s="55" t="s">
        <v>184</v>
      </c>
      <c r="E1016" s="55"/>
      <c r="F1016" s="55" t="s">
        <v>218</v>
      </c>
      <c r="G1016" s="56" t="n">
        <v>8.06</v>
      </c>
      <c r="H1016" s="57" t="n">
        <f aca="false">MAX(0,IF(AND(Parameter!$B$21="Ja",ISNUMBER(Y1016)),Y1016,IF(Parameter!$B$20="Jahresanfang 2025 + Export",BL1016+BK1016,BK1016)))</f>
        <v>14</v>
      </c>
      <c r="I1016" s="57" t="n">
        <f aca="false">H1016*G1016</f>
        <v>112.84</v>
      </c>
      <c r="J1016" s="57" t="n">
        <f aca="false">BN1016*Parameter!$B$18</f>
        <v>14</v>
      </c>
      <c r="K1016" s="58" t="n">
        <v>14</v>
      </c>
      <c r="L1016" s="59" t="n">
        <v>1</v>
      </c>
      <c r="M1016" s="57" t="n">
        <v>0</v>
      </c>
      <c r="N1016" s="57" t="n">
        <v>15</v>
      </c>
      <c r="O1016" s="60" t="n">
        <v>14</v>
      </c>
      <c r="P1016" s="55" t="s">
        <v>168</v>
      </c>
      <c r="Q1016" s="57"/>
      <c r="R1016" s="60" t="n">
        <f aca="false">IF(BT1016=1,0,IFERROR(VLOOKUP(BR1016,'Gebinde-Kategorie'!$A$5:$M$45,13,0)+0,0))</f>
        <v>26</v>
      </c>
      <c r="S1016" s="61"/>
      <c r="T1016" s="62" t="s">
        <v>275</v>
      </c>
      <c r="U1016" s="62"/>
      <c r="V1016" s="62"/>
      <c r="W1016" s="55"/>
      <c r="X1016" s="57"/>
      <c r="Y1016" s="57"/>
      <c r="Z1016" s="55" t="n">
        <f aca="false">IF(A1016="","",IF(AND(Parameter!$B$21="Ja",ISNUMBER(W1016)),W1016,IF(BV1016="2+3",IF(ISNUMBER(SEARCH("grosser Artikel",BO1016)),2,IFERROR(VLOOKUP(BR1016,Parameter!$F$35:$G$64,2,0),2)),IF(OR(BV1016="Nein",BV1016=""),"-",BV1016))))</f>
        <v>3</v>
      </c>
      <c r="AA1016" s="62"/>
      <c r="AB1016" s="63"/>
      <c r="AC1016" s="57" t="n">
        <f aca="false">AR1016</f>
        <v>20</v>
      </c>
      <c r="AD1016" s="57" t="n">
        <f aca="false">MAX(AR1016,H1016)</f>
        <v>20</v>
      </c>
      <c r="AE1016" s="64"/>
      <c r="AF1016" s="57" t="n">
        <f aca="false">IF(LEFT(Cockpit!$C$5,1)="A",H1016,IF(CA1016=1,CB1016,IF(LEFT(Cockpit!$C$5,1)="B",AJ1016,MAX(AJ1016,H1016))))</f>
        <v>14</v>
      </c>
      <c r="AG1016" s="57" t="n">
        <f aca="false">IF(BT1016=1,0,ROUNDUP(AF1016/BS1016,0))</f>
        <v>1</v>
      </c>
      <c r="AH1016" s="59" t="n">
        <f aca="false">IF(CH1016&gt;0,CH1016*MAX(1,AF1016/X1016),IF(BT1016=1,IF(AF1016&lt;=0,0,BW1016*MAX(1,IF(H1016&gt;0,AF1016/H1016,1))),IF(R1016&gt;0,AG1016/R1016,0))/MAX(0.1,N(Parameter!$M$21)))</f>
        <v>0.0384615384615385</v>
      </c>
      <c r="AI1016" s="57" t="n">
        <f aca="false">AF1016*G1016</f>
        <v>112.84</v>
      </c>
      <c r="AJ1016" s="57" t="n">
        <f aca="false">ROUNDUP(MAX(J1016/IF(BZ1016&gt;0,BZ1016,MAX(0.1,N(Cockpit!$C$6))),CC1016)/BS1016,0)*BS1016</f>
        <v>20</v>
      </c>
      <c r="AK1016" s="58" t="n">
        <f aca="false">IF(AH1016&gt;0,J1016/AH1016,-1)</f>
        <v>364</v>
      </c>
      <c r="AL1016" s="58" t="n">
        <f aca="false">IF(AND(OR(BY1016="L1",BY1016="L23"),AH1016&gt;0),SUMIFS($AH$7:$AH$1843,$BY$7:$BY$1843,BY1016,$AK$7:$AK$1843,"&gt;"&amp;AK1016)+SUMIFS($AH$7:$AH$1843,$BY$7:$BY$1843,BY1016,$AK$7:$AK$1843,AK1016,$BQ$7:$BQ$1843,"&lt;="&amp;BQ1016),"")</f>
        <v>26.9697898719638</v>
      </c>
      <c r="AM1016" s="65" t="n">
        <f aca="false">IF(AL1016="",0,MAX(0,MIN(1,(IF(BY1016="L1",Parameter!$E$5,Parameter!$E$6+Parameter!$E$7)-(AL1016-AH1016))/AH1016)))</f>
        <v>1</v>
      </c>
      <c r="AN1016" s="57" t="n">
        <f aca="false">IF(LEFT(Cockpit!$I$5,1)="A",H1016,IF(CA1016=1,CB1016,IF(LEFT(Cockpit!$I$5,1)="B",AR1016,MAX(AR1016,H1016))))</f>
        <v>20</v>
      </c>
      <c r="AO1016" s="57" t="n">
        <f aca="false">IF(BT1016=1,0,ROUNDUP(AN1016/BS1016,0))</f>
        <v>1</v>
      </c>
      <c r="AP1016" s="59" t="n">
        <f aca="false">IF(CH1016&gt;0,CH1016*MAX(1,AN1016/X1016),IF(BT1016=1,IF(AN1016&lt;=0,0,BW1016*MAX(1,IF(H1016&gt;0,AN1016/H1016,1))),IF(R1016&gt;0,AO1016/R1016,0))/MAX(0.1,N(Parameter!$M$21)))</f>
        <v>0.0384615384615385</v>
      </c>
      <c r="AQ1016" s="57" t="n">
        <f aca="false">AN1016*G1016</f>
        <v>161.2</v>
      </c>
      <c r="AR1016" s="57" t="n">
        <f aca="false">ROUNDUP(MAX(J1016/IF(BZ1016&gt;0,BZ1016,MAX(0.1,N(Cockpit!$I$6))),CC1016)/BS1016,0)*BS1016</f>
        <v>20</v>
      </c>
      <c r="AS1016" s="58" t="n">
        <f aca="false">IF(AP1016&gt;0,J1016/AP1016,-1)</f>
        <v>364</v>
      </c>
      <c r="AT1016" s="58" t="n">
        <f aca="false">IF(AND(OR(BY1016="L1",BY1016="L23"),AP1016&gt;0),SUMIFS($AP$7:$AP$1843,$BY$7:$BY$1843,BY1016,$AS$7:$AS$1843,"&gt;"&amp;AS1016)+SUMIFS($AP$7:$AP$1843,$BY$7:$BY$1843,BY1016,$AS$7:$AS$1843,AS1016,$BQ$7:$BQ$1843,"&lt;="&amp;BQ1016),"")</f>
        <v>36.5221191851627</v>
      </c>
      <c r="AU1016" s="65" t="n">
        <f aca="false">IF(AT1016="",0,MAX(0,MIN(1,(IF(BY1016="L1",Parameter!$E$5,Parameter!$E$6+Parameter!$E$7)-(AT1016-AP1016))/AP1016)))</f>
        <v>1</v>
      </c>
      <c r="AV1016" s="57" t="n">
        <f aca="false">IF(LEFT(Cockpit!$O$5,1)="A",H1016,IF(CA1016=1,CB1016,IF(LEFT(Cockpit!$O$5,1)="B",AZ1016,MAX(AZ1016,H1016))))</f>
        <v>20</v>
      </c>
      <c r="AW1016" s="57" t="n">
        <f aca="false">IF(BT1016=1,0,ROUNDUP(AV1016/BS1016,0))</f>
        <v>1</v>
      </c>
      <c r="AX1016" s="59" t="n">
        <f aca="false">IF(CH1016&gt;0,CH1016*MAX(1,AV1016/X1016),IF(BT1016=1,IF(AV1016&lt;=0,0,BW1016*MAX(1,IF(H1016&gt;0,AV1016/H1016,1))),IF(R1016&gt;0,AW1016/R1016,0))/MAX(0.1,N(Parameter!$M$21)))</f>
        <v>0.0384615384615385</v>
      </c>
      <c r="AY1016" s="57" t="n">
        <f aca="false">AV1016*G1016</f>
        <v>161.2</v>
      </c>
      <c r="AZ1016" s="57" t="n">
        <f aca="false">ROUNDUP(MAX(J1016/IF(BZ1016&gt;0,BZ1016,MAX(0.1,N(Cockpit!$O$6))),CC1016)/BS1016,0)*BS1016</f>
        <v>20</v>
      </c>
      <c r="BA1016" s="58" t="n">
        <f aca="false">IF(AX1016&gt;0,J1016/AX1016,-1)</f>
        <v>364</v>
      </c>
      <c r="BB1016" s="58" t="n">
        <f aca="false">IF(AND(OR(BY1016="L1",BY1016="L23"),AX1016&gt;0),SUMIFS($AX$7:$AX$1843,$BY$7:$BY$1843,BY1016,$BA$7:$BA$1843,"&gt;"&amp;BA1016)+SUMIFS($AX$7:$AX$1843,$BY$7:$BY$1843,BY1016,$BA$7:$BA$1843,BA1016,$BQ$7:$BQ$1843,"&lt;="&amp;BQ1016),"")</f>
        <v>35.7686226816662</v>
      </c>
      <c r="BC1016" s="65" t="n">
        <f aca="false">IF(BB1016="",0,MAX(0,MIN(1,(IF(BY1016="L1",Parameter!$E$5,Parameter!$E$6+Parameter!$E$7)-(BB1016-AX1016))/AX1016)))</f>
        <v>1</v>
      </c>
      <c r="BD1016" s="55" t="str">
        <f aca="false">IF(AH1016&lt;=0,"",IF(BY1016="Aussen","Aussenlager",IF(BY1016="-","Nicht im Lift",IF(AM1016&gt;=1,"Lift",IF(AM1016&lt;=0,"Aussenlager","teilweise")))))</f>
        <v>Lift</v>
      </c>
      <c r="BE1016" s="55" t="str">
        <f aca="false">IF(AP1016&lt;=0,"",IF(BY1016="Aussen","Aussenlager",IF(BY1016="-","Nicht im Lift",IF(AU1016&gt;=1,"Lift",IF(AU1016&lt;=0,"Aussenlager","teilweise")))))</f>
        <v>Lift</v>
      </c>
      <c r="BF1016" s="55" t="str">
        <f aca="false">IF(AX1016&lt;=0,"",IF(BY1016="Aussen","Aussenlager",IF(BY1016="-","Nicht im Lift",IF(BC1016&gt;=1,"Lift",IF(BC1016&lt;=0,"Aussenlager","teilweise")))))</f>
        <v>Lift</v>
      </c>
      <c r="BG1016" s="55" t="str">
        <f aca="false">IF(A1016="","",IF(BP1016=1,"Neu; ","")&amp;IF(AND(BP1016=0,BK1016&lt;0),"negativer Bestand (Export "&amp;BK1016&amp;"); ","")&amp;IF(J1016&lt;=0,"Kein Verbrauch; ","")&amp;IF(CH1016&gt;0,"Lift "&amp;W1016&amp;" lt. Liftbericht (Fach "&amp;X1016&amp;" Stk); ",IF(BU1016=1,"Gebinde geschätzt ("&amp;T1016&amp;"); ",IF(BT1016=1,"Lose – Tablare geschätzt; ","")))&amp;IF(H1016&gt;AR1016,"Überbestand "&amp;ROUND(H1016-AR1016,0)&amp;" Stk / CHF "&amp;ROUND((H1016-AR1016)*G1016,0)&amp;"; ","")&amp;IF(AND(CA1016=1,CB1016&lt;CC1016),"MAX &lt; MB+LG; ","")&amp;IF(AND(CG1016&gt;0,CF1016*10&gt;CG1016),"zu hoch für Tablar; ","")&amp;IF(AND(BP1016=0,OR(CA1016=1,AA1016&lt;&gt;"",U1016&lt;&gt;"",V1016&lt;&gt;"",AB1016&lt;&gt;"")),"manuell übersteuert; ","")&amp;IF(AND(BT1016=0,R1016=0),"Gebinde unbekannt / Stellmass fehlt; ","")&amp;IF(AND(BT1016=0,N(V1016)&lt;=0,N(Q1016)&lt;=0),"Menge pro Gebinde fehlt (Ist = 1 Gebinde); ","")&amp;BO1016)</f>
        <v>negativer Bestand (Export -14); Gebinde geschätzt (Klein); Menge pro Gebinde fehlt (Ist = 1 Gebinde); </v>
      </c>
      <c r="BH1016" s="55"/>
      <c r="BI1016" s="55"/>
      <c r="BJ1016" s="62"/>
      <c r="BK1016" s="57" t="n">
        <v>-14</v>
      </c>
      <c r="BL1016" s="57" t="n">
        <v>28</v>
      </c>
      <c r="BM1016" s="56" t="n">
        <v>-112.84</v>
      </c>
      <c r="BN1016" s="57" t="n">
        <v>14</v>
      </c>
      <c r="BO1016" s="55"/>
      <c r="BP1016" s="60" t="n">
        <v>0</v>
      </c>
      <c r="BQ1016" s="60" t="n">
        <v>1016</v>
      </c>
      <c r="BR1016" s="55" t="str">
        <f aca="false">IF(U1016&lt;&gt;"",UPPER(TRIM(U1016)),IF(BU1016=1,UPPER(VLOOKUP(T1016,Parameter!$I$27:$K$29,2,0)),IF(P1016="","LOSE",P1016)))</f>
        <v>S51</v>
      </c>
      <c r="BS1016" s="57" t="n">
        <f aca="false">IF(BR1016="LOSE",1,IF(N(V1016)&gt;0,V1016,IF(BU1016=1,MAX(1,N(VLOOKUP(T1016,Parameter!$I$27:$K$29,3,0)),H1016,N(N1016)),IF(N(Q1016)&gt;0,Q1016,MAX(1,H1016)))))</f>
        <v>20</v>
      </c>
      <c r="BT1016" s="60" t="n">
        <f aca="false">IF(BR1016="LOSE",1,0)</f>
        <v>0</v>
      </c>
      <c r="BU1016" s="60" t="n">
        <f aca="false">IF(AND(U1016="",OR(P1016="",P1016="LOSE"),T1016&lt;&gt;"",N(S1016)&lt;=0,ISNUMBER(MATCH(T1016,Parameter!$I$27:$I$29,0))),1,0)</f>
        <v>1</v>
      </c>
      <c r="BV1016" s="55" t="str">
        <f aca="false">IF(AND(Parameter!$B$19="Ja",E1016&lt;&gt;"",ISNUMBER(MATCH(E1016,Parameter!$I$35:$I$52,0))),VLOOKUP(E1016,Parameter!$I$35:$J$52,2,0),IFERROR(VLOOKUP(D1016,Parameter!$A$35:$C$64,2,0),"Nein"))</f>
        <v>2+3</v>
      </c>
      <c r="BW1016" s="59" t="n">
        <f aca="false">IF(BT1016=0,0,IF(N(S1016)&gt;0,S1016,IFERROR(VLOOKUP(D1016,Parameter!$A$35:$C$64,3,0)+0,0)))</f>
        <v>0</v>
      </c>
      <c r="BX1016" s="55" t="n">
        <f aca="false">IF(AA1016&lt;&gt;"",AA1016,Z1016)</f>
        <v>3</v>
      </c>
      <c r="BY1016" s="55" t="str">
        <f aca="false">IF(BX1016=1,"L1",IF(OR(BX1016=2,BX1016=3),"L23",IF(BX1016="Aussen","Aussen","-")))</f>
        <v>L23</v>
      </c>
      <c r="BZ1016" s="66" t="n">
        <f aca="false">IF(N(AB1016)&gt;0,AB1016,0)</f>
        <v>0</v>
      </c>
      <c r="CA1016" s="60" t="n">
        <f aca="false">IF(ISNUMBER(AE1016),1,0)</f>
        <v>0</v>
      </c>
      <c r="CB1016" s="57" t="n">
        <f aca="false">N(AE1016)</f>
        <v>0</v>
      </c>
      <c r="CC1016" s="57" t="n">
        <f aca="false">N(M1016)+N(N1016)</f>
        <v>15</v>
      </c>
      <c r="CD1016" s="57" t="n">
        <f aca="false">ROUNDUP(H1016/BS1016,0)</f>
        <v>1</v>
      </c>
      <c r="CE1016" s="57" t="n">
        <f aca="false">ROUNDUP(CB1016/BS1016,0)</f>
        <v>0</v>
      </c>
      <c r="CF1016" s="60" t="n">
        <f aca="false">IF(BT1016=1,0,IFERROR(VLOOKUP(BR1016,'Gebinde-Kategorie'!$A$5:$M$45,5,0)+0,0))</f>
        <v>11</v>
      </c>
      <c r="CG1016" s="60" t="n">
        <f aca="false">IFERROR(IF(OR(BX1016=1,BX1016=2,BX1016=3),N(INDEX(Parameter!$I$5:$I$7,BX1016)),0),0)</f>
        <v>0</v>
      </c>
      <c r="CH1016" s="59" t="n">
        <f aca="false">IF(AND(Parameter!$B$21="Ja",ISNUMBER(W1016),N(X1016)&gt;0),IFERROR(N(INDEX(Parameter!$L$5:$L$7,W1016))*INDEX(Parameter!$E$5:$E$7,W1016)*X1016/SUMIFS($X$7:$X$1843,$W$7:$W$1843,W1016),0),0)</f>
        <v>0</v>
      </c>
    </row>
    <row r="1017" customFormat="false" ht="15" hidden="false" customHeight="false" outlineLevel="0" collapsed="false">
      <c r="A1017" s="55" t="s">
        <v>1872</v>
      </c>
      <c r="B1017" s="55" t="s">
        <v>892</v>
      </c>
      <c r="C1017" s="55" t="s">
        <v>164</v>
      </c>
      <c r="D1017" s="55" t="s">
        <v>184</v>
      </c>
      <c r="E1017" s="55" t="s">
        <v>185</v>
      </c>
      <c r="F1017" s="55" t="s">
        <v>218</v>
      </c>
      <c r="G1017" s="56" t="n">
        <v>10.72</v>
      </c>
      <c r="H1017" s="57" t="n">
        <f aca="false">MAX(0,IF(AND(Parameter!$B$21="Ja",ISNUMBER(Y1017)),Y1017,IF(Parameter!$B$20="Jahresanfang 2025 + Export",BL1017+BK1017,BK1017)))</f>
        <v>3</v>
      </c>
      <c r="I1017" s="57" t="n">
        <f aca="false">H1017*G1017</f>
        <v>32.16</v>
      </c>
      <c r="J1017" s="57" t="n">
        <f aca="false">BN1017*Parameter!$B$18</f>
        <v>8</v>
      </c>
      <c r="K1017" s="58" t="n">
        <v>7.5</v>
      </c>
      <c r="L1017" s="59" t="n">
        <v>1.06666666666667</v>
      </c>
      <c r="M1017" s="57" t="n">
        <v>0</v>
      </c>
      <c r="N1017" s="57" t="n">
        <v>10</v>
      </c>
      <c r="O1017" s="60" t="n">
        <v>18</v>
      </c>
      <c r="P1017" s="55" t="s">
        <v>421</v>
      </c>
      <c r="Q1017" s="57" t="n">
        <v>23</v>
      </c>
      <c r="R1017" s="60" t="n">
        <f aca="false">IF(BT1017=1,0,IFERROR(VLOOKUP(BR1017,'Gebinde-Kategorie'!$A$5:$M$45,13,0)+0,0))</f>
        <v>132</v>
      </c>
      <c r="S1017" s="61"/>
      <c r="T1017" s="62"/>
      <c r="U1017" s="62"/>
      <c r="V1017" s="62"/>
      <c r="W1017" s="55"/>
      <c r="X1017" s="57"/>
      <c r="Y1017" s="57"/>
      <c r="Z1017" s="55" t="n">
        <f aca="false">IF(A1017="","",IF(AND(Parameter!$B$21="Ja",ISNUMBER(W1017)),W1017,IF(BV1017="2+3",IF(ISNUMBER(SEARCH("grosser Artikel",BO1017)),2,IFERROR(VLOOKUP(BR1017,Parameter!$F$35:$G$64,2,0),2)),IF(OR(BV1017="Nein",BV1017=""),"-",BV1017))))</f>
        <v>3</v>
      </c>
      <c r="AA1017" s="62"/>
      <c r="AB1017" s="63"/>
      <c r="AC1017" s="57" t="n">
        <f aca="false">AR1017</f>
        <v>23</v>
      </c>
      <c r="AD1017" s="57" t="n">
        <f aca="false">MAX(AR1017,H1017)</f>
        <v>23</v>
      </c>
      <c r="AE1017" s="64"/>
      <c r="AF1017" s="57" t="n">
        <f aca="false">IF(LEFT(Cockpit!$C$5,1)="A",H1017,IF(CA1017=1,CB1017,IF(LEFT(Cockpit!$C$5,1)="B",AJ1017,MAX(AJ1017,H1017))))</f>
        <v>3</v>
      </c>
      <c r="AG1017" s="57" t="n">
        <f aca="false">IF(BT1017=1,0,ROUNDUP(AF1017/BS1017,0))</f>
        <v>1</v>
      </c>
      <c r="AH1017" s="59" t="n">
        <f aca="false">IF(CH1017&gt;0,CH1017*MAX(1,AF1017/X1017),IF(BT1017=1,IF(AF1017&lt;=0,0,BW1017*MAX(1,IF(H1017&gt;0,AF1017/H1017,1))),IF(R1017&gt;0,AG1017/R1017,0))/MAX(0.1,N(Parameter!$M$21)))</f>
        <v>0.00757575757575758</v>
      </c>
      <c r="AI1017" s="57" t="n">
        <f aca="false">AF1017*G1017</f>
        <v>32.16</v>
      </c>
      <c r="AJ1017" s="57" t="n">
        <f aca="false">ROUNDUP(MAX(J1017/IF(BZ1017&gt;0,BZ1017,MAX(0.1,N(Cockpit!$C$6))),CC1017)/BS1017,0)*BS1017</f>
        <v>23</v>
      </c>
      <c r="AK1017" s="58" t="n">
        <f aca="false">IF(AH1017&gt;0,J1017/AH1017,-1)</f>
        <v>1056</v>
      </c>
      <c r="AL1017" s="58" t="n">
        <f aca="false">IF(AND(OR(BY1017="L1",BY1017="L23"),AH1017&gt;0),SUMIFS($AH$7:$AH$1843,$BY$7:$BY$1843,BY1017,$AK$7:$AK$1843,"&gt;"&amp;AK1017)+SUMIFS($AH$7:$AH$1843,$BY$7:$BY$1843,BY1017,$AK$7:$AK$1843,AK1017,$BQ$7:$BQ$1843,"&lt;="&amp;BQ1017),"")</f>
        <v>17.247491638796</v>
      </c>
      <c r="AM1017" s="65" t="n">
        <f aca="false">IF(AL1017="",0,MAX(0,MIN(1,(IF(BY1017="L1",Parameter!$E$5,Parameter!$E$6+Parameter!$E$7)-(AL1017-AH1017))/AH1017)))</f>
        <v>1</v>
      </c>
      <c r="AN1017" s="57" t="n">
        <f aca="false">IF(LEFT(Cockpit!$I$5,1)="A",H1017,IF(CA1017=1,CB1017,IF(LEFT(Cockpit!$I$5,1)="B",AR1017,MAX(AR1017,H1017))))</f>
        <v>23</v>
      </c>
      <c r="AO1017" s="57" t="n">
        <f aca="false">IF(BT1017=1,0,ROUNDUP(AN1017/BS1017,0))</f>
        <v>1</v>
      </c>
      <c r="AP1017" s="59" t="n">
        <f aca="false">IF(CH1017&gt;0,CH1017*MAX(1,AN1017/X1017),IF(BT1017=1,IF(AN1017&lt;=0,0,BW1017*MAX(1,IF(H1017&gt;0,AN1017/H1017,1))),IF(R1017&gt;0,AO1017/R1017,0))/MAX(0.1,N(Parameter!$M$21)))</f>
        <v>0.00757575757575758</v>
      </c>
      <c r="AQ1017" s="57" t="n">
        <f aca="false">AN1017*G1017</f>
        <v>246.56</v>
      </c>
      <c r="AR1017" s="57" t="n">
        <f aca="false">ROUNDUP(MAX(J1017/IF(BZ1017&gt;0,BZ1017,MAX(0.1,N(Cockpit!$I$6))),CC1017)/BS1017,0)*BS1017</f>
        <v>23</v>
      </c>
      <c r="AS1017" s="58" t="n">
        <f aca="false">IF(AP1017&gt;0,J1017/AP1017,-1)</f>
        <v>1056</v>
      </c>
      <c r="AT1017" s="58" t="n">
        <f aca="false">IF(AND(OR(BY1017="L1",BY1017="L23"),AP1017&gt;0),SUMIFS($AP$7:$AP$1843,$BY$7:$BY$1843,BY1017,$AS$7:$AS$1843,"&gt;"&amp;AS1017)+SUMIFS($AP$7:$AP$1843,$BY$7:$BY$1843,BY1017,$AS$7:$AS$1843,AS1017,$BQ$7:$BQ$1843,"&lt;="&amp;BQ1017),"")</f>
        <v>23.448827742306</v>
      </c>
      <c r="AU1017" s="65" t="n">
        <f aca="false">IF(AT1017="",0,MAX(0,MIN(1,(IF(BY1017="L1",Parameter!$E$5,Parameter!$E$6+Parameter!$E$7)-(AT1017-AP1017))/AP1017)))</f>
        <v>1</v>
      </c>
      <c r="AV1017" s="57" t="n">
        <f aca="false">IF(LEFT(Cockpit!$O$5,1)="A",H1017,IF(CA1017=1,CB1017,IF(LEFT(Cockpit!$O$5,1)="B",AZ1017,MAX(AZ1017,H1017))))</f>
        <v>23</v>
      </c>
      <c r="AW1017" s="57" t="n">
        <f aca="false">IF(BT1017=1,0,ROUNDUP(AV1017/BS1017,0))</f>
        <v>1</v>
      </c>
      <c r="AX1017" s="59" t="n">
        <f aca="false">IF(CH1017&gt;0,CH1017*MAX(1,AV1017/X1017),IF(BT1017=1,IF(AV1017&lt;=0,0,BW1017*MAX(1,IF(H1017&gt;0,AV1017/H1017,1))),IF(R1017&gt;0,AW1017/R1017,0))/MAX(0.1,N(Parameter!$M$21)))</f>
        <v>0.00757575757575758</v>
      </c>
      <c r="AY1017" s="57" t="n">
        <f aca="false">AV1017*G1017</f>
        <v>246.56</v>
      </c>
      <c r="AZ1017" s="57" t="n">
        <f aca="false">ROUNDUP(MAX(J1017/IF(BZ1017&gt;0,BZ1017,MAX(0.1,N(Cockpit!$O$6))),CC1017)/BS1017,0)*BS1017</f>
        <v>23</v>
      </c>
      <c r="BA1017" s="58" t="n">
        <f aca="false">IF(AX1017&gt;0,J1017/AX1017,-1)</f>
        <v>1056</v>
      </c>
      <c r="BB1017" s="58" t="n">
        <f aca="false">IF(AND(OR(BY1017="L1",BY1017="L23"),AX1017&gt;0),SUMIFS($AX$7:$AX$1843,$BY$7:$BY$1843,BY1017,$BA$7:$BA$1843,"&gt;"&amp;BA1017)+SUMIFS($AX$7:$AX$1843,$BY$7:$BY$1843,BY1017,$BA$7:$BA$1843,BA1017,$BQ$7:$BQ$1843,"&lt;="&amp;BQ1017),"")</f>
        <v>22.6440491875275</v>
      </c>
      <c r="BC1017" s="65" t="n">
        <f aca="false">IF(BB1017="",0,MAX(0,MIN(1,(IF(BY1017="L1",Parameter!$E$5,Parameter!$E$6+Parameter!$E$7)-(BB1017-AX1017))/AX1017)))</f>
        <v>1</v>
      </c>
      <c r="BD1017" s="55" t="str">
        <f aca="false">IF(AH1017&lt;=0,"",IF(BY1017="Aussen","Aussenlager",IF(BY1017="-","Nicht im Lift",IF(AM1017&gt;=1,"Lift",IF(AM1017&lt;=0,"Aussenlager","teilweise")))))</f>
        <v>Lift</v>
      </c>
      <c r="BE1017" s="55" t="str">
        <f aca="false">IF(AP1017&lt;=0,"",IF(BY1017="Aussen","Aussenlager",IF(BY1017="-","Nicht im Lift",IF(AU1017&gt;=1,"Lift",IF(AU1017&lt;=0,"Aussenlager","teilweise")))))</f>
        <v>Lift</v>
      </c>
      <c r="BF1017" s="55" t="str">
        <f aca="false">IF(AX1017&lt;=0,"",IF(BY1017="Aussen","Aussenlager",IF(BY1017="-","Nicht im Lift",IF(BC1017&gt;=1,"Lift",IF(BC1017&lt;=0,"Aussenlager","teilweise")))))</f>
        <v>Lift</v>
      </c>
      <c r="BG1017" s="55" t="str">
        <f aca="false">IF(A1017="","",IF(BP1017=1,"Neu; ","")&amp;IF(AND(BP1017=0,BK1017&lt;0),"negativer Bestand (Export "&amp;BK1017&amp;"); ","")&amp;IF(J1017&lt;=0,"Kein Verbrauch; ","")&amp;IF(CH1017&gt;0,"Lift "&amp;W1017&amp;" lt. Liftbericht (Fach "&amp;X1017&amp;" Stk); ",IF(BU1017=1,"Gebinde geschätzt ("&amp;T1017&amp;"); ",IF(BT1017=1,"Lose – Tablare geschätzt; ","")))&amp;IF(H1017&gt;AR1017,"Überbestand "&amp;ROUND(H1017-AR1017,0)&amp;" Stk / CHF "&amp;ROUND((H1017-AR1017)*G1017,0)&amp;"; ","")&amp;IF(AND(CA1017=1,CB1017&lt;CC1017),"MAX &lt; MB+LG; ","")&amp;IF(AND(CG1017&gt;0,CF1017*10&gt;CG1017),"zu hoch für Tablar; ","")&amp;IF(AND(BP1017=0,OR(CA1017=1,AA1017&lt;&gt;"",U1017&lt;&gt;"",V1017&lt;&gt;"",AB1017&lt;&gt;"")),"manuell übersteuert; ","")&amp;IF(AND(BT1017=0,R1017=0),"Gebinde unbekannt / Stellmass fehlt; ","")&amp;IF(AND(BT1017=0,N(V1017)&lt;=0,N(Q1017)&lt;=0),"Menge pro Gebinde fehlt (Ist = 1 Gebinde); ","")&amp;BO1017)</f>
        <v>negativer Bestand (Export -9); </v>
      </c>
      <c r="BH1017" s="55"/>
      <c r="BI1017" s="55"/>
      <c r="BJ1017" s="62"/>
      <c r="BK1017" s="57" t="n">
        <v>-9</v>
      </c>
      <c r="BL1017" s="57" t="n">
        <v>12</v>
      </c>
      <c r="BM1017" s="56" t="n">
        <v>-113.16</v>
      </c>
      <c r="BN1017" s="57" t="n">
        <v>8</v>
      </c>
      <c r="BO1017" s="55"/>
      <c r="BP1017" s="60" t="n">
        <v>0</v>
      </c>
      <c r="BQ1017" s="60" t="n">
        <v>1017</v>
      </c>
      <c r="BR1017" s="55" t="str">
        <f aca="false">IF(U1017&lt;&gt;"",UPPER(TRIM(U1017)),IF(BU1017=1,UPPER(VLOOKUP(T1017,Parameter!$I$27:$K$29,2,0)),IF(P1017="","LOSE",P1017)))</f>
        <v>S32</v>
      </c>
      <c r="BS1017" s="57" t="n">
        <f aca="false">IF(BR1017="LOSE",1,IF(N(V1017)&gt;0,V1017,IF(BU1017=1,MAX(1,N(VLOOKUP(T1017,Parameter!$I$27:$K$29,3,0)),H1017,N(N1017)),IF(N(Q1017)&gt;0,Q1017,MAX(1,H1017)))))</f>
        <v>23</v>
      </c>
      <c r="BT1017" s="60" t="n">
        <f aca="false">IF(BR1017="LOSE",1,0)</f>
        <v>0</v>
      </c>
      <c r="BU1017" s="60" t="n">
        <f aca="false">IF(AND(U1017="",OR(P1017="",P1017="LOSE"),T1017&lt;&gt;"",N(S1017)&lt;=0,ISNUMBER(MATCH(T1017,Parameter!$I$27:$I$29,0))),1,0)</f>
        <v>0</v>
      </c>
      <c r="BV1017" s="55" t="str">
        <f aca="false">IF(AND(Parameter!$B$19="Ja",E1017&lt;&gt;"",ISNUMBER(MATCH(E1017,Parameter!$I$35:$I$52,0))),VLOOKUP(E1017,Parameter!$I$35:$J$52,2,0),IFERROR(VLOOKUP(D1017,Parameter!$A$35:$C$64,2,0),"Nein"))</f>
        <v>2+3</v>
      </c>
      <c r="BW1017" s="59" t="n">
        <f aca="false">IF(BT1017=0,0,IF(N(S1017)&gt;0,S1017,IFERROR(VLOOKUP(D1017,Parameter!$A$35:$C$64,3,0)+0,0)))</f>
        <v>0</v>
      </c>
      <c r="BX1017" s="55" t="n">
        <f aca="false">IF(AA1017&lt;&gt;"",AA1017,Z1017)</f>
        <v>3</v>
      </c>
      <c r="BY1017" s="55" t="str">
        <f aca="false">IF(BX1017=1,"L1",IF(OR(BX1017=2,BX1017=3),"L23",IF(BX1017="Aussen","Aussen","-")))</f>
        <v>L23</v>
      </c>
      <c r="BZ1017" s="66" t="n">
        <f aca="false">IF(N(AB1017)&gt;0,AB1017,0)</f>
        <v>0</v>
      </c>
      <c r="CA1017" s="60" t="n">
        <f aca="false">IF(ISNUMBER(AE1017),1,0)</f>
        <v>0</v>
      </c>
      <c r="CB1017" s="57" t="n">
        <f aca="false">N(AE1017)</f>
        <v>0</v>
      </c>
      <c r="CC1017" s="57" t="n">
        <f aca="false">N(M1017)+N(N1017)</f>
        <v>10</v>
      </c>
      <c r="CD1017" s="57" t="n">
        <f aca="false">ROUNDUP(H1017/BS1017,0)</f>
        <v>1</v>
      </c>
      <c r="CE1017" s="57" t="n">
        <f aca="false">ROUNDUP(CB1017/BS1017,0)</f>
        <v>0</v>
      </c>
      <c r="CF1017" s="60" t="n">
        <f aca="false">IF(BT1017=1,0,IFERROR(VLOOKUP(BR1017,'Gebinde-Kategorie'!$A$5:$M$45,5,0)+0,0))</f>
        <v>8</v>
      </c>
      <c r="CG1017" s="60" t="n">
        <f aca="false">IFERROR(IF(OR(BX1017=1,BX1017=2,BX1017=3),N(INDEX(Parameter!$I$5:$I$7,BX1017)),0),0)</f>
        <v>0</v>
      </c>
      <c r="CH1017" s="59" t="n">
        <f aca="false">IF(AND(Parameter!$B$21="Ja",ISNUMBER(W1017),N(X1017)&gt;0),IFERROR(N(INDEX(Parameter!$L$5:$L$7,W1017))*INDEX(Parameter!$E$5:$E$7,W1017)*X1017/SUMIFS($X$7:$X$1843,$W$7:$W$1843,W1017),0),0)</f>
        <v>0</v>
      </c>
    </row>
    <row r="1018" customFormat="false" ht="15" hidden="false" customHeight="false" outlineLevel="0" collapsed="false">
      <c r="A1018" s="55" t="s">
        <v>1873</v>
      </c>
      <c r="B1018" s="55" t="s">
        <v>1874</v>
      </c>
      <c r="C1018" s="55" t="s">
        <v>456</v>
      </c>
      <c r="D1018" s="55" t="s">
        <v>173</v>
      </c>
      <c r="E1018" s="55" t="s">
        <v>1479</v>
      </c>
      <c r="F1018" s="55" t="s">
        <v>218</v>
      </c>
      <c r="G1018" s="56" t="n">
        <v>114.36</v>
      </c>
      <c r="H1018" s="57" t="n">
        <f aca="false">MAX(0,IF(AND(Parameter!$B$21="Ja",ISNUMBER(Y1018)),Y1018,IF(Parameter!$B$20="Jahresanfang 2025 + Export",BL1018+BK1018,BK1018)))</f>
        <v>0</v>
      </c>
      <c r="I1018" s="57" t="n">
        <f aca="false">H1018*G1018</f>
        <v>0</v>
      </c>
      <c r="J1018" s="57" t="n">
        <f aca="false">BN1018*Parameter!$B$18</f>
        <v>0</v>
      </c>
      <c r="K1018" s="58" t="n">
        <v>0.5</v>
      </c>
      <c r="L1018" s="59" t="n">
        <v>0</v>
      </c>
      <c r="M1018" s="57" t="n">
        <v>0</v>
      </c>
      <c r="N1018" s="57" t="n">
        <v>1</v>
      </c>
      <c r="O1018" s="60" t="n">
        <v>56</v>
      </c>
      <c r="P1018" s="55" t="s">
        <v>168</v>
      </c>
      <c r="Q1018" s="57"/>
      <c r="R1018" s="60" t="n">
        <f aca="false">IF(BT1018=1,0,IFERROR(VLOOKUP(BR1018,'Gebinde-Kategorie'!$A$5:$M$45,13,0)+0,0))</f>
        <v>3</v>
      </c>
      <c r="S1018" s="61"/>
      <c r="T1018" s="62" t="s">
        <v>189</v>
      </c>
      <c r="U1018" s="62"/>
      <c r="V1018" s="62"/>
      <c r="W1018" s="55"/>
      <c r="X1018" s="57"/>
      <c r="Y1018" s="57"/>
      <c r="Z1018" s="55" t="str">
        <f aca="false">IF(A1018="","",IF(AND(Parameter!$B$21="Ja",ISNUMBER(W1018)),W1018,IF(BV1018="2+3",IF(ISNUMBER(SEARCH("grosser Artikel",BO1018)),2,IFERROR(VLOOKUP(BR1018,Parameter!$F$35:$G$64,2,0),2)),IF(OR(BV1018="Nein",BV1018=""),"-",BV1018))))</f>
        <v>-</v>
      </c>
      <c r="AA1018" s="62"/>
      <c r="AB1018" s="63"/>
      <c r="AC1018" s="57" t="n">
        <f aca="false">AR1018</f>
        <v>2</v>
      </c>
      <c r="AD1018" s="57" t="n">
        <f aca="false">MAX(AR1018,H1018)</f>
        <v>2</v>
      </c>
      <c r="AE1018" s="64"/>
      <c r="AF1018" s="57" t="n">
        <f aca="false">IF(LEFT(Cockpit!$C$5,1)="A",H1018,IF(CA1018=1,CB1018,IF(LEFT(Cockpit!$C$5,1)="B",AJ1018,MAX(AJ1018,H1018))))</f>
        <v>0</v>
      </c>
      <c r="AG1018" s="57" t="n">
        <f aca="false">IF(BT1018=1,0,ROUNDUP(AF1018/BS1018,0))</f>
        <v>0</v>
      </c>
      <c r="AH1018" s="59" t="n">
        <f aca="false">IF(CH1018&gt;0,CH1018*MAX(1,AF1018/X1018),IF(BT1018=1,IF(AF1018&lt;=0,0,BW1018*MAX(1,IF(H1018&gt;0,AF1018/H1018,1))),IF(R1018&gt;0,AG1018/R1018,0))/MAX(0.1,N(Parameter!$M$21)))</f>
        <v>0</v>
      </c>
      <c r="AI1018" s="57" t="n">
        <f aca="false">AF1018*G1018</f>
        <v>0</v>
      </c>
      <c r="AJ1018" s="57" t="n">
        <f aca="false">ROUNDUP(MAX(J1018/IF(BZ1018&gt;0,BZ1018,MAX(0.1,N(Cockpit!$C$6))),CC1018)/BS1018,0)*BS1018</f>
        <v>2</v>
      </c>
      <c r="AK1018" s="58" t="n">
        <f aca="false">IF(AH1018&gt;0,J1018/AH1018,-1)</f>
        <v>-1</v>
      </c>
      <c r="AL1018" s="58" t="str">
        <f aca="false">IF(AND(OR(BY1018="L1",BY1018="L23"),AH1018&gt;0),SUMIFS($AH$7:$AH$1843,$BY$7:$BY$1843,BY1018,$AK$7:$AK$1843,"&gt;"&amp;AK1018)+SUMIFS($AH$7:$AH$1843,$BY$7:$BY$1843,BY1018,$AK$7:$AK$1843,AK1018,$BQ$7:$BQ$1843,"&lt;="&amp;BQ1018),"")</f>
        <v/>
      </c>
      <c r="AM1018" s="65" t="n">
        <f aca="false">IF(AL1018="",0,MAX(0,MIN(1,(IF(BY1018="L1",Parameter!$E$5,Parameter!$E$6+Parameter!$E$7)-(AL1018-AH1018))/AH1018)))</f>
        <v>0</v>
      </c>
      <c r="AN1018" s="57" t="n">
        <f aca="false">IF(LEFT(Cockpit!$I$5,1)="A",H1018,IF(CA1018=1,CB1018,IF(LEFT(Cockpit!$I$5,1)="B",AR1018,MAX(AR1018,H1018))))</f>
        <v>2</v>
      </c>
      <c r="AO1018" s="57" t="n">
        <f aca="false">IF(BT1018=1,0,ROUNDUP(AN1018/BS1018,0))</f>
        <v>1</v>
      </c>
      <c r="AP1018" s="59" t="n">
        <f aca="false">IF(CH1018&gt;0,CH1018*MAX(1,AN1018/X1018),IF(BT1018=1,IF(AN1018&lt;=0,0,BW1018*MAX(1,IF(H1018&gt;0,AN1018/H1018,1))),IF(R1018&gt;0,AO1018/R1018,0))/MAX(0.1,N(Parameter!$M$21)))</f>
        <v>0.333333333333333</v>
      </c>
      <c r="AQ1018" s="57" t="n">
        <f aca="false">AN1018*G1018</f>
        <v>228.72</v>
      </c>
      <c r="AR1018" s="57" t="n">
        <f aca="false">ROUNDUP(MAX(J1018/IF(BZ1018&gt;0,BZ1018,MAX(0.1,N(Cockpit!$I$6))),CC1018)/BS1018,0)*BS1018</f>
        <v>2</v>
      </c>
      <c r="AS1018" s="58" t="n">
        <f aca="false">IF(AP1018&gt;0,J1018/AP1018,-1)</f>
        <v>0</v>
      </c>
      <c r="AT1018" s="58" t="str">
        <f aca="false">IF(AND(OR(BY1018="L1",BY1018="L23"),AP1018&gt;0),SUMIFS($AP$7:$AP$1843,$BY$7:$BY$1843,BY1018,$AS$7:$AS$1843,"&gt;"&amp;AS1018)+SUMIFS($AP$7:$AP$1843,$BY$7:$BY$1843,BY1018,$AS$7:$AS$1843,AS1018,$BQ$7:$BQ$1843,"&lt;="&amp;BQ1018),"")</f>
        <v/>
      </c>
      <c r="AU1018" s="65" t="n">
        <f aca="false">IF(AT1018="",0,MAX(0,MIN(1,(IF(BY1018="L1",Parameter!$E$5,Parameter!$E$6+Parameter!$E$7)-(AT1018-AP1018))/AP1018)))</f>
        <v>0</v>
      </c>
      <c r="AV1018" s="57" t="n">
        <f aca="false">IF(LEFT(Cockpit!$O$5,1)="A",H1018,IF(CA1018=1,CB1018,IF(LEFT(Cockpit!$O$5,1)="B",AZ1018,MAX(AZ1018,H1018))))</f>
        <v>2</v>
      </c>
      <c r="AW1018" s="57" t="n">
        <f aca="false">IF(BT1018=1,0,ROUNDUP(AV1018/BS1018,0))</f>
        <v>1</v>
      </c>
      <c r="AX1018" s="59" t="n">
        <f aca="false">IF(CH1018&gt;0,CH1018*MAX(1,AV1018/X1018),IF(BT1018=1,IF(AV1018&lt;=0,0,BW1018*MAX(1,IF(H1018&gt;0,AV1018/H1018,1))),IF(R1018&gt;0,AW1018/R1018,0))/MAX(0.1,N(Parameter!$M$21)))</f>
        <v>0.333333333333333</v>
      </c>
      <c r="AY1018" s="57" t="n">
        <f aca="false">AV1018*G1018</f>
        <v>228.72</v>
      </c>
      <c r="AZ1018" s="57" t="n">
        <f aca="false">ROUNDUP(MAX(J1018/IF(BZ1018&gt;0,BZ1018,MAX(0.1,N(Cockpit!$O$6))),CC1018)/BS1018,0)*BS1018</f>
        <v>2</v>
      </c>
      <c r="BA1018" s="58" t="n">
        <f aca="false">IF(AX1018&gt;0,J1018/AX1018,-1)</f>
        <v>0</v>
      </c>
      <c r="BB1018" s="58" t="str">
        <f aca="false">IF(AND(OR(BY1018="L1",BY1018="L23"),AX1018&gt;0),SUMIFS($AX$7:$AX$1843,$BY$7:$BY$1843,BY1018,$BA$7:$BA$1843,"&gt;"&amp;BA1018)+SUMIFS($AX$7:$AX$1843,$BY$7:$BY$1843,BY1018,$BA$7:$BA$1843,BA1018,$BQ$7:$BQ$1843,"&lt;="&amp;BQ1018),"")</f>
        <v/>
      </c>
      <c r="BC1018" s="65" t="n">
        <f aca="false">IF(BB1018="",0,MAX(0,MIN(1,(IF(BY1018="L1",Parameter!$E$5,Parameter!$E$6+Parameter!$E$7)-(BB1018-AX1018))/AX1018)))</f>
        <v>0</v>
      </c>
      <c r="BD1018" s="55" t="str">
        <f aca="false">IF(AH1018&lt;=0,"",IF(BY1018="Aussen","Aussenlager",IF(BY1018="-","Nicht im Lift",IF(AM1018&gt;=1,"Lift",IF(AM1018&lt;=0,"Aussenlager","teilweise")))))</f>
        <v/>
      </c>
      <c r="BE1018" s="55" t="str">
        <f aca="false">IF(AP1018&lt;=0,"",IF(BY1018="Aussen","Aussenlager",IF(BY1018="-","Nicht im Lift",IF(AU1018&gt;=1,"Lift",IF(AU1018&lt;=0,"Aussenlager","teilweise")))))</f>
        <v>Nicht im Lift</v>
      </c>
      <c r="BF1018" s="55" t="str">
        <f aca="false">IF(AX1018&lt;=0,"",IF(BY1018="Aussen","Aussenlager",IF(BY1018="-","Nicht im Lift",IF(BC1018&gt;=1,"Lift",IF(BC1018&lt;=0,"Aussenlager","teilweise")))))</f>
        <v>Nicht im Lift</v>
      </c>
      <c r="BG1018" s="55" t="str">
        <f aca="false">IF(A1018="","",IF(BP1018=1,"Neu; ","")&amp;IF(AND(BP1018=0,BK1018&lt;0),"negativer Bestand (Export "&amp;BK1018&amp;"); ","")&amp;IF(J1018&lt;=0,"Kein Verbrauch; ","")&amp;IF(CH1018&gt;0,"Lift "&amp;W1018&amp;" lt. Liftbericht (Fach "&amp;X1018&amp;" Stk); ",IF(BU1018=1,"Gebinde geschätzt ("&amp;T1018&amp;"); ",IF(BT1018=1,"Lose – Tablare geschätzt; ","")))&amp;IF(H1018&gt;AR1018,"Überbestand "&amp;ROUND(H1018-AR1018,0)&amp;" Stk / CHF "&amp;ROUND((H1018-AR1018)*G1018,0)&amp;"; ","")&amp;IF(AND(CA1018=1,CB1018&lt;CC1018),"MAX &lt; MB+LG; ","")&amp;IF(AND(CG1018&gt;0,CF1018*10&gt;CG1018),"zu hoch für Tablar; ","")&amp;IF(AND(BP1018=0,OR(CA1018=1,AA1018&lt;&gt;"",U1018&lt;&gt;"",V1018&lt;&gt;"",AB1018&lt;&gt;"")),"manuell übersteuert; ","")&amp;IF(AND(BT1018=0,R1018=0),"Gebinde unbekannt / Stellmass fehlt; ","")&amp;IF(AND(BT1018=0,N(V1018)&lt;=0,N(Q1018)&lt;=0),"Menge pro Gebinde fehlt (Ist = 1 Gebinde); ","")&amp;BO1018)</f>
        <v>negativer Bestand (Export -1); Kein Verbrauch; Gebinde geschätzt (Gross); Menge pro Gebinde fehlt (Ist = 1 Gebinde); Neu</v>
      </c>
      <c r="BH1018" s="55"/>
      <c r="BI1018" s="55"/>
      <c r="BJ1018" s="62"/>
      <c r="BK1018" s="57" t="n">
        <v>-1</v>
      </c>
      <c r="BL1018" s="57" t="n">
        <v>1</v>
      </c>
      <c r="BM1018" s="56" t="n">
        <v>-114.36</v>
      </c>
      <c r="BN1018" s="57" t="n">
        <v>0</v>
      </c>
      <c r="BO1018" s="55" t="s">
        <v>626</v>
      </c>
      <c r="BP1018" s="60" t="n">
        <v>0</v>
      </c>
      <c r="BQ1018" s="60" t="n">
        <v>1018</v>
      </c>
      <c r="BR1018" s="55" t="str">
        <f aca="false">IF(U1018&lt;&gt;"",UPPER(TRIM(U1018)),IF(BU1018=1,UPPER(VLOOKUP(T1018,Parameter!$I$27:$K$29,2,0)),IF(P1018="","LOSE",P1018)))</f>
        <v>S81</v>
      </c>
      <c r="BS1018" s="57" t="n">
        <f aca="false">IF(BR1018="LOSE",1,IF(N(V1018)&gt;0,V1018,IF(BU1018=1,MAX(1,N(VLOOKUP(T1018,Parameter!$I$27:$K$29,3,0)),H1018,N(N1018)),IF(N(Q1018)&gt;0,Q1018,MAX(1,H1018)))))</f>
        <v>2</v>
      </c>
      <c r="BT1018" s="60" t="n">
        <f aca="false">IF(BR1018="LOSE",1,0)</f>
        <v>0</v>
      </c>
      <c r="BU1018" s="60" t="n">
        <f aca="false">IF(AND(U1018="",OR(P1018="",P1018="LOSE"),T1018&lt;&gt;"",N(S1018)&lt;=0,ISNUMBER(MATCH(T1018,Parameter!$I$27:$I$29,0))),1,0)</f>
        <v>1</v>
      </c>
      <c r="BV1018" s="55" t="str">
        <f aca="false">IF(AND(Parameter!$B$19="Ja",E1018&lt;&gt;"",ISNUMBER(MATCH(E1018,Parameter!$I$35:$I$52,0))),VLOOKUP(E1018,Parameter!$I$35:$J$52,2,0),IFERROR(VLOOKUP(D1018,Parameter!$A$35:$C$64,2,0),"Nein"))</f>
        <v>Nein</v>
      </c>
      <c r="BW1018" s="59" t="n">
        <f aca="false">IF(BT1018=0,0,IF(N(S1018)&gt;0,S1018,IFERROR(VLOOKUP(D1018,Parameter!$A$35:$C$64,3,0)+0,0)))</f>
        <v>0</v>
      </c>
      <c r="BX1018" s="55" t="str">
        <f aca="false">IF(AA1018&lt;&gt;"",AA1018,Z1018)</f>
        <v>-</v>
      </c>
      <c r="BY1018" s="55" t="str">
        <f aca="false">IF(BX1018=1,"L1",IF(OR(BX1018=2,BX1018=3),"L23",IF(BX1018="Aussen","Aussen","-")))</f>
        <v>-</v>
      </c>
      <c r="BZ1018" s="66" t="n">
        <f aca="false">IF(N(AB1018)&gt;0,AB1018,0)</f>
        <v>0</v>
      </c>
      <c r="CA1018" s="60" t="n">
        <f aca="false">IF(ISNUMBER(AE1018),1,0)</f>
        <v>0</v>
      </c>
      <c r="CB1018" s="57" t="n">
        <f aca="false">N(AE1018)</f>
        <v>0</v>
      </c>
      <c r="CC1018" s="57" t="n">
        <f aca="false">N(M1018)+N(N1018)</f>
        <v>1</v>
      </c>
      <c r="CD1018" s="57" t="n">
        <f aca="false">ROUNDUP(H1018/BS1018,0)</f>
        <v>0</v>
      </c>
      <c r="CE1018" s="57" t="n">
        <f aca="false">ROUNDUP(CB1018/BS1018,0)</f>
        <v>0</v>
      </c>
      <c r="CF1018" s="60" t="n">
        <f aca="false">IF(BT1018=1,0,IFERROR(VLOOKUP(BR1018,'Gebinde-Kategorie'!$A$5:$M$45,5,0)+0,0))</f>
        <v>20</v>
      </c>
      <c r="CG1018" s="60" t="n">
        <f aca="false">IFERROR(IF(OR(BX1018=1,BX1018=2,BX1018=3),N(INDEX(Parameter!$I$5:$I$7,BX1018)),0),0)</f>
        <v>0</v>
      </c>
      <c r="CH1018" s="59" t="n">
        <f aca="false">IF(AND(Parameter!$B$21="Ja",ISNUMBER(W1018),N(X1018)&gt;0),IFERROR(N(INDEX(Parameter!$L$5:$L$7,W1018))*INDEX(Parameter!$E$5:$E$7,W1018)*X1018/SUMIFS($X$7:$X$1843,$W$7:$W$1843,W1018),0),0)</f>
        <v>0</v>
      </c>
    </row>
    <row r="1019" customFormat="false" ht="15" hidden="false" customHeight="false" outlineLevel="0" collapsed="false">
      <c r="A1019" s="55" t="s">
        <v>1875</v>
      </c>
      <c r="B1019" s="55" t="s">
        <v>489</v>
      </c>
      <c r="C1019" s="55" t="s">
        <v>164</v>
      </c>
      <c r="D1019" s="55" t="s">
        <v>184</v>
      </c>
      <c r="E1019" s="55" t="s">
        <v>185</v>
      </c>
      <c r="F1019" s="55" t="s">
        <v>218</v>
      </c>
      <c r="G1019" s="56" t="n">
        <v>2.19</v>
      </c>
      <c r="H1019" s="57" t="n">
        <f aca="false">MAX(0,IF(AND(Parameter!$B$21="Ja",ISNUMBER(Y1019)),Y1019,IF(Parameter!$B$20="Jahresanfang 2025 + Export",BL1019+BK1019,BK1019)))</f>
        <v>77</v>
      </c>
      <c r="I1019" s="57" t="n">
        <f aca="false">H1019*G1019</f>
        <v>168.63</v>
      </c>
      <c r="J1019" s="57" t="n">
        <f aca="false">BN1019*Parameter!$B$18</f>
        <v>145</v>
      </c>
      <c r="K1019" s="58" t="n">
        <v>145</v>
      </c>
      <c r="L1019" s="59" t="n">
        <v>1</v>
      </c>
      <c r="M1019" s="57" t="n">
        <v>5</v>
      </c>
      <c r="N1019" s="57" t="n">
        <v>145</v>
      </c>
      <c r="O1019" s="60" t="n">
        <v>14</v>
      </c>
      <c r="P1019" s="55" t="s">
        <v>421</v>
      </c>
      <c r="Q1019" s="57" t="n">
        <v>275</v>
      </c>
      <c r="R1019" s="60" t="n">
        <f aca="false">IF(BT1019=1,0,IFERROR(VLOOKUP(BR1019,'Gebinde-Kategorie'!$A$5:$M$45,13,0)+0,0))</f>
        <v>132</v>
      </c>
      <c r="S1019" s="61"/>
      <c r="T1019" s="62"/>
      <c r="U1019" s="62"/>
      <c r="V1019" s="62"/>
      <c r="W1019" s="55"/>
      <c r="X1019" s="57"/>
      <c r="Y1019" s="57"/>
      <c r="Z1019" s="55" t="n">
        <f aca="false">IF(A1019="","",IF(AND(Parameter!$B$21="Ja",ISNUMBER(W1019)),W1019,IF(BV1019="2+3",IF(ISNUMBER(SEARCH("grosser Artikel",BO1019)),2,IFERROR(VLOOKUP(BR1019,Parameter!$F$35:$G$64,2,0),2)),IF(OR(BV1019="Nein",BV1019=""),"-",BV1019))))</f>
        <v>3</v>
      </c>
      <c r="AA1019" s="62"/>
      <c r="AB1019" s="63"/>
      <c r="AC1019" s="57" t="n">
        <f aca="false">AR1019</f>
        <v>275</v>
      </c>
      <c r="AD1019" s="57" t="n">
        <f aca="false">MAX(AR1019,H1019)</f>
        <v>275</v>
      </c>
      <c r="AE1019" s="64"/>
      <c r="AF1019" s="57" t="n">
        <f aca="false">IF(LEFT(Cockpit!$C$5,1)="A",H1019,IF(CA1019=1,CB1019,IF(LEFT(Cockpit!$C$5,1)="B",AJ1019,MAX(AJ1019,H1019))))</f>
        <v>77</v>
      </c>
      <c r="AG1019" s="57" t="n">
        <f aca="false">IF(BT1019=1,0,ROUNDUP(AF1019/BS1019,0))</f>
        <v>1</v>
      </c>
      <c r="AH1019" s="59" t="n">
        <f aca="false">IF(CH1019&gt;0,CH1019*MAX(1,AF1019/X1019),IF(BT1019=1,IF(AF1019&lt;=0,0,BW1019*MAX(1,IF(H1019&gt;0,AF1019/H1019,1))),IF(R1019&gt;0,AG1019/R1019,0))/MAX(0.1,N(Parameter!$M$21)))</f>
        <v>0.00757575757575758</v>
      </c>
      <c r="AI1019" s="57" t="n">
        <f aca="false">AF1019*G1019</f>
        <v>168.63</v>
      </c>
      <c r="AJ1019" s="57" t="n">
        <f aca="false">ROUNDUP(MAX(J1019/IF(BZ1019&gt;0,BZ1019,MAX(0.1,N(Cockpit!$C$6))),CC1019)/BS1019,0)*BS1019</f>
        <v>275</v>
      </c>
      <c r="AK1019" s="58" t="n">
        <f aca="false">IF(AH1019&gt;0,J1019/AH1019,-1)</f>
        <v>19140</v>
      </c>
      <c r="AL1019" s="58" t="n">
        <f aca="false">IF(AND(OR(BY1019="L1",BY1019="L23"),AH1019&gt;0),SUMIFS($AH$7:$AH$1843,$BY$7:$BY$1843,BY1019,$AK$7:$AK$1843,"&gt;"&amp;AK1019)+SUMIFS($AH$7:$AH$1843,$BY$7:$BY$1843,BY1019,$AK$7:$AK$1843,AK1019,$BQ$7:$BQ$1843,"&lt;="&amp;BQ1019),"")</f>
        <v>3.71357386574778</v>
      </c>
      <c r="AM1019" s="65" t="n">
        <f aca="false">IF(AL1019="",0,MAX(0,MIN(1,(IF(BY1019="L1",Parameter!$E$5,Parameter!$E$6+Parameter!$E$7)-(AL1019-AH1019))/AH1019)))</f>
        <v>1</v>
      </c>
      <c r="AN1019" s="57" t="n">
        <f aca="false">IF(LEFT(Cockpit!$I$5,1)="A",H1019,IF(CA1019=1,CB1019,IF(LEFT(Cockpit!$I$5,1)="B",AR1019,MAX(AR1019,H1019))))</f>
        <v>275</v>
      </c>
      <c r="AO1019" s="57" t="n">
        <f aca="false">IF(BT1019=1,0,ROUNDUP(AN1019/BS1019,0))</f>
        <v>1</v>
      </c>
      <c r="AP1019" s="59" t="n">
        <f aca="false">IF(CH1019&gt;0,CH1019*MAX(1,AN1019/X1019),IF(BT1019=1,IF(AN1019&lt;=0,0,BW1019*MAX(1,IF(H1019&gt;0,AN1019/H1019,1))),IF(R1019&gt;0,AO1019/R1019,0))/MAX(0.1,N(Parameter!$M$21)))</f>
        <v>0.00757575757575758</v>
      </c>
      <c r="AQ1019" s="57" t="n">
        <f aca="false">AN1019*G1019</f>
        <v>602.25</v>
      </c>
      <c r="AR1019" s="57" t="n">
        <f aca="false">ROUNDUP(MAX(J1019/IF(BZ1019&gt;0,BZ1019,MAX(0.1,N(Cockpit!$I$6))),CC1019)/BS1019,0)*BS1019</f>
        <v>275</v>
      </c>
      <c r="AS1019" s="58" t="n">
        <f aca="false">IF(AP1019&gt;0,J1019/AP1019,-1)</f>
        <v>19140</v>
      </c>
      <c r="AT1019" s="58" t="n">
        <f aca="false">IF(AND(OR(BY1019="L1",BY1019="L23"),AP1019&gt;0),SUMIFS($AP$7:$AP$1843,$BY$7:$BY$1843,BY1019,$AS$7:$AS$1843,"&gt;"&amp;AS1019)+SUMIFS($AP$7:$AP$1843,$BY$7:$BY$1843,BY1019,$AS$7:$AS$1843,AS1019,$BQ$7:$BQ$1843,"&lt;="&amp;BQ1019),"")</f>
        <v>4.46372588763893</v>
      </c>
      <c r="AU1019" s="65" t="n">
        <f aca="false">IF(AT1019="",0,MAX(0,MIN(1,(IF(BY1019="L1",Parameter!$E$5,Parameter!$E$6+Parameter!$E$7)-(AT1019-AP1019))/AP1019)))</f>
        <v>1</v>
      </c>
      <c r="AV1019" s="57" t="n">
        <f aca="false">IF(LEFT(Cockpit!$O$5,1)="A",H1019,IF(CA1019=1,CB1019,IF(LEFT(Cockpit!$O$5,1)="B",AZ1019,MAX(AZ1019,H1019))))</f>
        <v>275</v>
      </c>
      <c r="AW1019" s="57" t="n">
        <f aca="false">IF(BT1019=1,0,ROUNDUP(AV1019/BS1019,0))</f>
        <v>1</v>
      </c>
      <c r="AX1019" s="59" t="n">
        <f aca="false">IF(CH1019&gt;0,CH1019*MAX(1,AV1019/X1019),IF(BT1019=1,IF(AV1019&lt;=0,0,BW1019*MAX(1,IF(H1019&gt;0,AV1019/H1019,1))),IF(R1019&gt;0,AW1019/R1019,0))/MAX(0.1,N(Parameter!$M$21)))</f>
        <v>0.00757575757575758</v>
      </c>
      <c r="AY1019" s="57" t="n">
        <f aca="false">AV1019*G1019</f>
        <v>602.25</v>
      </c>
      <c r="AZ1019" s="57" t="n">
        <f aca="false">ROUNDUP(MAX(J1019/IF(BZ1019&gt;0,BZ1019,MAX(0.1,N(Cockpit!$O$6))),CC1019)/BS1019,0)*BS1019</f>
        <v>275</v>
      </c>
      <c r="BA1019" s="58" t="n">
        <f aca="false">IF(AX1019&gt;0,J1019/AX1019,-1)</f>
        <v>19140</v>
      </c>
      <c r="BB1019" s="58" t="n">
        <f aca="false">IF(AND(OR(BY1019="L1",BY1019="L23"),AX1019&gt;0),SUMIFS($AX$7:$AX$1843,$BY$7:$BY$1843,BY1019,$BA$7:$BA$1843,"&gt;"&amp;BA1019)+SUMIFS($AX$7:$AX$1843,$BY$7:$BY$1843,BY1019,$BA$7:$BA$1843,BA1019,$BQ$7:$BQ$1843,"&lt;="&amp;BQ1019),"")</f>
        <v>4.10125502516807</v>
      </c>
      <c r="BC1019" s="65" t="n">
        <f aca="false">IF(BB1019="",0,MAX(0,MIN(1,(IF(BY1019="L1",Parameter!$E$5,Parameter!$E$6+Parameter!$E$7)-(BB1019-AX1019))/AX1019)))</f>
        <v>1</v>
      </c>
      <c r="BD1019" s="55" t="str">
        <f aca="false">IF(AH1019&lt;=0,"",IF(BY1019="Aussen","Aussenlager",IF(BY1019="-","Nicht im Lift",IF(AM1019&gt;=1,"Lift",IF(AM1019&lt;=0,"Aussenlager","teilweise")))))</f>
        <v>Lift</v>
      </c>
      <c r="BE1019" s="55" t="str">
        <f aca="false">IF(AP1019&lt;=0,"",IF(BY1019="Aussen","Aussenlager",IF(BY1019="-","Nicht im Lift",IF(AU1019&gt;=1,"Lift",IF(AU1019&lt;=0,"Aussenlager","teilweise")))))</f>
        <v>Lift</v>
      </c>
      <c r="BF1019" s="55" t="str">
        <f aca="false">IF(AX1019&lt;=0,"",IF(BY1019="Aussen","Aussenlager",IF(BY1019="-","Nicht im Lift",IF(BC1019&gt;=1,"Lift",IF(BC1019&lt;=0,"Aussenlager","teilweise")))))</f>
        <v>Lift</v>
      </c>
      <c r="BG1019" s="55" t="str">
        <f aca="false">IF(A1019="","",IF(BP1019=1,"Neu; ","")&amp;IF(AND(BP1019=0,BK1019&lt;0),"negativer Bestand (Export "&amp;BK1019&amp;"); ","")&amp;IF(J1019&lt;=0,"Kein Verbrauch; ","")&amp;IF(CH1019&gt;0,"Lift "&amp;W1019&amp;" lt. Liftbericht (Fach "&amp;X1019&amp;" Stk); ",IF(BU1019=1,"Gebinde geschätzt ("&amp;T1019&amp;"); ",IF(BT1019=1,"Lose – Tablare geschätzt; ","")))&amp;IF(H1019&gt;AR1019,"Überbestand "&amp;ROUND(H1019-AR1019,0)&amp;" Stk / CHF "&amp;ROUND((H1019-AR1019)*G1019,0)&amp;"; ","")&amp;IF(AND(CA1019=1,CB1019&lt;CC1019),"MAX &lt; MB+LG; ","")&amp;IF(AND(CG1019&gt;0,CF1019*10&gt;CG1019),"zu hoch für Tablar; ","")&amp;IF(AND(BP1019=0,OR(CA1019=1,AA1019&lt;&gt;"",U1019&lt;&gt;"",V1019&lt;&gt;"",AB1019&lt;&gt;"")),"manuell übersteuert; ","")&amp;IF(AND(BT1019=0,R1019=0),"Gebinde unbekannt / Stellmass fehlt; ","")&amp;IF(AND(BT1019=0,N(V1019)&lt;=0,N(Q1019)&lt;=0),"Menge pro Gebinde fehlt (Ist = 1 Gebinde); ","")&amp;BO1019)</f>
        <v>negativer Bestand (Export -52); </v>
      </c>
      <c r="BH1019" s="55"/>
      <c r="BI1019" s="55"/>
      <c r="BJ1019" s="62"/>
      <c r="BK1019" s="57" t="n">
        <v>-52</v>
      </c>
      <c r="BL1019" s="57" t="n">
        <v>129</v>
      </c>
      <c r="BM1019" s="56" t="n">
        <v>-115.13</v>
      </c>
      <c r="BN1019" s="57" t="n">
        <v>145</v>
      </c>
      <c r="BO1019" s="55"/>
      <c r="BP1019" s="60" t="n">
        <v>0</v>
      </c>
      <c r="BQ1019" s="60" t="n">
        <v>1019</v>
      </c>
      <c r="BR1019" s="55" t="str">
        <f aca="false">IF(U1019&lt;&gt;"",UPPER(TRIM(U1019)),IF(BU1019=1,UPPER(VLOOKUP(T1019,Parameter!$I$27:$K$29,2,0)),IF(P1019="","LOSE",P1019)))</f>
        <v>S32</v>
      </c>
      <c r="BS1019" s="57" t="n">
        <f aca="false">IF(BR1019="LOSE",1,IF(N(V1019)&gt;0,V1019,IF(BU1019=1,MAX(1,N(VLOOKUP(T1019,Parameter!$I$27:$K$29,3,0)),H1019,N(N1019)),IF(N(Q1019)&gt;0,Q1019,MAX(1,H1019)))))</f>
        <v>275</v>
      </c>
      <c r="BT1019" s="60" t="n">
        <f aca="false">IF(BR1019="LOSE",1,0)</f>
        <v>0</v>
      </c>
      <c r="BU1019" s="60" t="n">
        <f aca="false">IF(AND(U1019="",OR(P1019="",P1019="LOSE"),T1019&lt;&gt;"",N(S1019)&lt;=0,ISNUMBER(MATCH(T1019,Parameter!$I$27:$I$29,0))),1,0)</f>
        <v>0</v>
      </c>
      <c r="BV1019" s="55" t="str">
        <f aca="false">IF(AND(Parameter!$B$19="Ja",E1019&lt;&gt;"",ISNUMBER(MATCH(E1019,Parameter!$I$35:$I$52,0))),VLOOKUP(E1019,Parameter!$I$35:$J$52,2,0),IFERROR(VLOOKUP(D1019,Parameter!$A$35:$C$64,2,0),"Nein"))</f>
        <v>2+3</v>
      </c>
      <c r="BW1019" s="59" t="n">
        <f aca="false">IF(BT1019=0,0,IF(N(S1019)&gt;0,S1019,IFERROR(VLOOKUP(D1019,Parameter!$A$35:$C$64,3,0)+0,0)))</f>
        <v>0</v>
      </c>
      <c r="BX1019" s="55" t="n">
        <f aca="false">IF(AA1019&lt;&gt;"",AA1019,Z1019)</f>
        <v>3</v>
      </c>
      <c r="BY1019" s="55" t="str">
        <f aca="false">IF(BX1019=1,"L1",IF(OR(BX1019=2,BX1019=3),"L23",IF(BX1019="Aussen","Aussen","-")))</f>
        <v>L23</v>
      </c>
      <c r="BZ1019" s="66" t="n">
        <f aca="false">IF(N(AB1019)&gt;0,AB1019,0)</f>
        <v>0</v>
      </c>
      <c r="CA1019" s="60" t="n">
        <f aca="false">IF(ISNUMBER(AE1019),1,0)</f>
        <v>0</v>
      </c>
      <c r="CB1019" s="57" t="n">
        <f aca="false">N(AE1019)</f>
        <v>0</v>
      </c>
      <c r="CC1019" s="57" t="n">
        <f aca="false">N(M1019)+N(N1019)</f>
        <v>150</v>
      </c>
      <c r="CD1019" s="57" t="n">
        <f aca="false">ROUNDUP(H1019/BS1019,0)</f>
        <v>1</v>
      </c>
      <c r="CE1019" s="57" t="n">
        <f aca="false">ROUNDUP(CB1019/BS1019,0)</f>
        <v>0</v>
      </c>
      <c r="CF1019" s="60" t="n">
        <f aca="false">IF(BT1019=1,0,IFERROR(VLOOKUP(BR1019,'Gebinde-Kategorie'!$A$5:$M$45,5,0)+0,0))</f>
        <v>8</v>
      </c>
      <c r="CG1019" s="60" t="n">
        <f aca="false">IFERROR(IF(OR(BX1019=1,BX1019=2,BX1019=3),N(INDEX(Parameter!$I$5:$I$7,BX1019)),0),0)</f>
        <v>0</v>
      </c>
      <c r="CH1019" s="59" t="n">
        <f aca="false">IF(AND(Parameter!$B$21="Ja",ISNUMBER(W1019),N(X1019)&gt;0),IFERROR(N(INDEX(Parameter!$L$5:$L$7,W1019))*INDEX(Parameter!$E$5:$E$7,W1019)*X1019/SUMIFS($X$7:$X$1843,$W$7:$W$1843,W1019),0),0)</f>
        <v>0</v>
      </c>
    </row>
    <row r="1020" customFormat="false" ht="15" hidden="false" customHeight="false" outlineLevel="0" collapsed="false">
      <c r="A1020" s="55" t="s">
        <v>1876</v>
      </c>
      <c r="B1020" s="55" t="s">
        <v>1877</v>
      </c>
      <c r="C1020" s="55" t="s">
        <v>164</v>
      </c>
      <c r="D1020" s="55" t="s">
        <v>184</v>
      </c>
      <c r="E1020" s="55" t="s">
        <v>185</v>
      </c>
      <c r="F1020" s="55" t="s">
        <v>218</v>
      </c>
      <c r="G1020" s="56" t="n">
        <v>42.1</v>
      </c>
      <c r="H1020" s="57" t="n">
        <f aca="false">MAX(0,IF(AND(Parameter!$B$21="Ja",ISNUMBER(Y1020)),Y1020,IF(Parameter!$B$20="Jahresanfang 2025 + Export",BL1020+BK1020,BK1020)))</f>
        <v>2</v>
      </c>
      <c r="I1020" s="57" t="n">
        <f aca="false">H1020*G1020</f>
        <v>84.2</v>
      </c>
      <c r="J1020" s="57" t="n">
        <f aca="false">BN1020*Parameter!$B$18</f>
        <v>6</v>
      </c>
      <c r="K1020" s="58" t="n">
        <v>3.5</v>
      </c>
      <c r="L1020" s="59" t="n">
        <v>1.71428571428571</v>
      </c>
      <c r="M1020" s="57" t="n">
        <v>0</v>
      </c>
      <c r="N1020" s="57" t="n">
        <v>5</v>
      </c>
      <c r="O1020" s="60" t="n">
        <v>20</v>
      </c>
      <c r="P1020" s="55" t="s">
        <v>476</v>
      </c>
      <c r="Q1020" s="57" t="n">
        <v>10</v>
      </c>
      <c r="R1020" s="60" t="n">
        <f aca="false">IF(BT1020=1,0,IFERROR(VLOOKUP(BR1020,'Gebinde-Kategorie'!$A$5:$M$45,13,0)+0,0))</f>
        <v>66</v>
      </c>
      <c r="S1020" s="61"/>
      <c r="T1020" s="62"/>
      <c r="U1020" s="62"/>
      <c r="V1020" s="62"/>
      <c r="W1020" s="55"/>
      <c r="X1020" s="57"/>
      <c r="Y1020" s="57"/>
      <c r="Z1020" s="55" t="n">
        <f aca="false">IF(A1020="","",IF(AND(Parameter!$B$21="Ja",ISNUMBER(W1020)),W1020,IF(BV1020="2+3",IF(ISNUMBER(SEARCH("grosser Artikel",BO1020)),2,IFERROR(VLOOKUP(BR1020,Parameter!$F$35:$G$64,2,0),2)),IF(OR(BV1020="Nein",BV1020=""),"-",BV1020))))</f>
        <v>3</v>
      </c>
      <c r="AA1020" s="62"/>
      <c r="AB1020" s="63"/>
      <c r="AC1020" s="57" t="n">
        <f aca="false">AR1020</f>
        <v>10</v>
      </c>
      <c r="AD1020" s="57" t="n">
        <f aca="false">MAX(AR1020,H1020)</f>
        <v>10</v>
      </c>
      <c r="AE1020" s="64"/>
      <c r="AF1020" s="57" t="n">
        <f aca="false">IF(LEFT(Cockpit!$C$5,1)="A",H1020,IF(CA1020=1,CB1020,IF(LEFT(Cockpit!$C$5,1)="B",AJ1020,MAX(AJ1020,H1020))))</f>
        <v>2</v>
      </c>
      <c r="AG1020" s="57" t="n">
        <f aca="false">IF(BT1020=1,0,ROUNDUP(AF1020/BS1020,0))</f>
        <v>1</v>
      </c>
      <c r="AH1020" s="59" t="n">
        <f aca="false">IF(CH1020&gt;0,CH1020*MAX(1,AF1020/X1020),IF(BT1020=1,IF(AF1020&lt;=0,0,BW1020*MAX(1,IF(H1020&gt;0,AF1020/H1020,1))),IF(R1020&gt;0,AG1020/R1020,0))/MAX(0.1,N(Parameter!$M$21)))</f>
        <v>0.0151515151515152</v>
      </c>
      <c r="AI1020" s="57" t="n">
        <f aca="false">AF1020*G1020</f>
        <v>84.2</v>
      </c>
      <c r="AJ1020" s="57" t="n">
        <f aca="false">ROUNDUP(MAX(J1020/IF(BZ1020&gt;0,BZ1020,MAX(0.1,N(Cockpit!$C$6))),CC1020)/BS1020,0)*BS1020</f>
        <v>10</v>
      </c>
      <c r="AK1020" s="58" t="n">
        <f aca="false">IF(AH1020&gt;0,J1020/AH1020,-1)</f>
        <v>396</v>
      </c>
      <c r="AL1020" s="58" t="n">
        <f aca="false">IF(AND(OR(BY1020="L1",BY1020="L23"),AH1020&gt;0),SUMIFS($AH$7:$AH$1843,$BY$7:$BY$1843,BY1020,$AK$7:$AK$1843,"&gt;"&amp;AK1020)+SUMIFS($AH$7:$AH$1843,$BY$7:$BY$1843,BY1020,$AK$7:$AK$1843,AK1020,$BQ$7:$BQ$1843,"&lt;="&amp;BQ1020),"")</f>
        <v>25.9657106178845</v>
      </c>
      <c r="AM1020" s="65" t="n">
        <f aca="false">IF(AL1020="",0,MAX(0,MIN(1,(IF(BY1020="L1",Parameter!$E$5,Parameter!$E$6+Parameter!$E$7)-(AL1020-AH1020))/AH1020)))</f>
        <v>1</v>
      </c>
      <c r="AN1020" s="57" t="n">
        <f aca="false">IF(LEFT(Cockpit!$I$5,1)="A",H1020,IF(CA1020=1,CB1020,IF(LEFT(Cockpit!$I$5,1)="B",AR1020,MAX(AR1020,H1020))))</f>
        <v>10</v>
      </c>
      <c r="AO1020" s="57" t="n">
        <f aca="false">IF(BT1020=1,0,ROUNDUP(AN1020/BS1020,0))</f>
        <v>1</v>
      </c>
      <c r="AP1020" s="59" t="n">
        <f aca="false">IF(CH1020&gt;0,CH1020*MAX(1,AN1020/X1020),IF(BT1020=1,IF(AN1020&lt;=0,0,BW1020*MAX(1,IF(H1020&gt;0,AN1020/H1020,1))),IF(R1020&gt;0,AO1020/R1020,0))/MAX(0.1,N(Parameter!$M$21)))</f>
        <v>0.0151515151515152</v>
      </c>
      <c r="AQ1020" s="57" t="n">
        <f aca="false">AN1020*G1020</f>
        <v>421</v>
      </c>
      <c r="AR1020" s="57" t="n">
        <f aca="false">ROUNDUP(MAX(J1020/IF(BZ1020&gt;0,BZ1020,MAX(0.1,N(Cockpit!$I$6))),CC1020)/BS1020,0)*BS1020</f>
        <v>10</v>
      </c>
      <c r="AS1020" s="58" t="n">
        <f aca="false">IF(AP1020&gt;0,J1020/AP1020,-1)</f>
        <v>396</v>
      </c>
      <c r="AT1020" s="58" t="n">
        <f aca="false">IF(AND(OR(BY1020="L1",BY1020="L23"),AP1020&gt;0),SUMIFS($AP$7:$AP$1843,$BY$7:$BY$1843,BY1020,$AS$7:$AS$1843,"&gt;"&amp;AS1020)+SUMIFS($AP$7:$AP$1843,$BY$7:$BY$1843,BY1020,$AS$7:$AS$1843,AS1020,$BQ$7:$BQ$1843,"&lt;="&amp;BQ1020),"")</f>
        <v>35.4090655721091</v>
      </c>
      <c r="AU1020" s="65" t="n">
        <f aca="false">IF(AT1020="",0,MAX(0,MIN(1,(IF(BY1020="L1",Parameter!$E$5,Parameter!$E$6+Parameter!$E$7)-(AT1020-AP1020))/AP1020)))</f>
        <v>1</v>
      </c>
      <c r="AV1020" s="57" t="n">
        <f aca="false">IF(LEFT(Cockpit!$O$5,1)="A",H1020,IF(CA1020=1,CB1020,IF(LEFT(Cockpit!$O$5,1)="B",AZ1020,MAX(AZ1020,H1020))))</f>
        <v>10</v>
      </c>
      <c r="AW1020" s="57" t="n">
        <f aca="false">IF(BT1020=1,0,ROUNDUP(AV1020/BS1020,0))</f>
        <v>1</v>
      </c>
      <c r="AX1020" s="59" t="n">
        <f aca="false">IF(CH1020&gt;0,CH1020*MAX(1,AV1020/X1020),IF(BT1020=1,IF(AV1020&lt;=0,0,BW1020*MAX(1,IF(H1020&gt;0,AV1020/H1020,1))),IF(R1020&gt;0,AW1020/R1020,0))/MAX(0.1,N(Parameter!$M$21)))</f>
        <v>0.0151515151515152</v>
      </c>
      <c r="AY1020" s="57" t="n">
        <f aca="false">AV1020*G1020</f>
        <v>421</v>
      </c>
      <c r="AZ1020" s="57" t="n">
        <f aca="false">ROUNDUP(MAX(J1020/IF(BZ1020&gt;0,BZ1020,MAX(0.1,N(Cockpit!$O$6))),CC1020)/BS1020,0)*BS1020</f>
        <v>10</v>
      </c>
      <c r="BA1020" s="58" t="n">
        <f aca="false">IF(AX1020&gt;0,J1020/AX1020,-1)</f>
        <v>396</v>
      </c>
      <c r="BB1020" s="58" t="n">
        <f aca="false">IF(AND(OR(BY1020="L1",BY1020="L23"),AX1020&gt;0),SUMIFS($AX$7:$AX$1843,$BY$7:$BY$1843,BY1020,$BA$7:$BA$1843,"&gt;"&amp;BA1020)+SUMIFS($AX$7:$AX$1843,$BY$7:$BY$1843,BY1020,$BA$7:$BA$1843,BA1020,$BQ$7:$BQ$1843,"&lt;="&amp;BQ1020),"")</f>
        <v>34.6555690686125</v>
      </c>
      <c r="BC1020" s="65" t="n">
        <f aca="false">IF(BB1020="",0,MAX(0,MIN(1,(IF(BY1020="L1",Parameter!$E$5,Parameter!$E$6+Parameter!$E$7)-(BB1020-AX1020))/AX1020)))</f>
        <v>1</v>
      </c>
      <c r="BD1020" s="55" t="str">
        <f aca="false">IF(AH1020&lt;=0,"",IF(BY1020="Aussen","Aussenlager",IF(BY1020="-","Nicht im Lift",IF(AM1020&gt;=1,"Lift",IF(AM1020&lt;=0,"Aussenlager","teilweise")))))</f>
        <v>Lift</v>
      </c>
      <c r="BE1020" s="55" t="str">
        <f aca="false">IF(AP1020&lt;=0,"",IF(BY1020="Aussen","Aussenlager",IF(BY1020="-","Nicht im Lift",IF(AU1020&gt;=1,"Lift",IF(AU1020&lt;=0,"Aussenlager","teilweise")))))</f>
        <v>Lift</v>
      </c>
      <c r="BF1020" s="55" t="str">
        <f aca="false">IF(AX1020&lt;=0,"",IF(BY1020="Aussen","Aussenlager",IF(BY1020="-","Nicht im Lift",IF(BC1020&gt;=1,"Lift",IF(BC1020&lt;=0,"Aussenlager","teilweise")))))</f>
        <v>Lift</v>
      </c>
      <c r="BG1020" s="55" t="str">
        <f aca="false">IF(A1020="","",IF(BP1020=1,"Neu; ","")&amp;IF(AND(BP1020=0,BK1020&lt;0),"negativer Bestand (Export "&amp;BK1020&amp;"); ","")&amp;IF(J1020&lt;=0,"Kein Verbrauch; ","")&amp;IF(CH1020&gt;0,"Lift "&amp;W1020&amp;" lt. Liftbericht (Fach "&amp;X1020&amp;" Stk); ",IF(BU1020=1,"Gebinde geschätzt ("&amp;T1020&amp;"); ",IF(BT1020=1,"Lose – Tablare geschätzt; ","")))&amp;IF(H1020&gt;AR1020,"Überbestand "&amp;ROUND(H1020-AR1020,0)&amp;" Stk / CHF "&amp;ROUND((H1020-AR1020)*G1020,0)&amp;"; ","")&amp;IF(AND(CA1020=1,CB1020&lt;CC1020),"MAX &lt; MB+LG; ","")&amp;IF(AND(CG1020&gt;0,CF1020*10&gt;CG1020),"zu hoch für Tablar; ","")&amp;IF(AND(BP1020=0,OR(CA1020=1,AA1020&lt;&gt;"",U1020&lt;&gt;"",V1020&lt;&gt;"",AB1020&lt;&gt;"")),"manuell übersteuert; ","")&amp;IF(AND(BT1020=0,R1020=0),"Gebinde unbekannt / Stellmass fehlt; ","")&amp;IF(AND(BT1020=0,N(V1020)&lt;=0,N(Q1020)&lt;=0),"Menge pro Gebinde fehlt (Ist = 1 Gebinde); ","")&amp;BO1020)</f>
        <v>negativer Bestand (Export -3); </v>
      </c>
      <c r="BH1020" s="55"/>
      <c r="BI1020" s="55"/>
      <c r="BJ1020" s="62"/>
      <c r="BK1020" s="57" t="n">
        <v>-3</v>
      </c>
      <c r="BL1020" s="57" t="n">
        <v>5</v>
      </c>
      <c r="BM1020" s="56" t="n">
        <v>-116.35</v>
      </c>
      <c r="BN1020" s="57" t="n">
        <v>6</v>
      </c>
      <c r="BO1020" s="55"/>
      <c r="BP1020" s="60" t="n">
        <v>0</v>
      </c>
      <c r="BQ1020" s="60" t="n">
        <v>1020</v>
      </c>
      <c r="BR1020" s="55" t="str">
        <f aca="false">IF(U1020&lt;&gt;"",UPPER(TRIM(U1020)),IF(BU1020=1,UPPER(VLOOKUP(T1020,Parameter!$I$27:$K$29,2,0)),IF(P1020="","LOSE",P1020)))</f>
        <v>S33</v>
      </c>
      <c r="BS1020" s="57" t="n">
        <f aca="false">IF(BR1020="LOSE",1,IF(N(V1020)&gt;0,V1020,IF(BU1020=1,MAX(1,N(VLOOKUP(T1020,Parameter!$I$27:$K$29,3,0)),H1020,N(N1020)),IF(N(Q1020)&gt;0,Q1020,MAX(1,H1020)))))</f>
        <v>10</v>
      </c>
      <c r="BT1020" s="60" t="n">
        <f aca="false">IF(BR1020="LOSE",1,0)</f>
        <v>0</v>
      </c>
      <c r="BU1020" s="60" t="n">
        <f aca="false">IF(AND(U1020="",OR(P1020="",P1020="LOSE"),T1020&lt;&gt;"",N(S1020)&lt;=0,ISNUMBER(MATCH(T1020,Parameter!$I$27:$I$29,0))),1,0)</f>
        <v>0</v>
      </c>
      <c r="BV1020" s="55" t="str">
        <f aca="false">IF(AND(Parameter!$B$19="Ja",E1020&lt;&gt;"",ISNUMBER(MATCH(E1020,Parameter!$I$35:$I$52,0))),VLOOKUP(E1020,Parameter!$I$35:$J$52,2,0),IFERROR(VLOOKUP(D1020,Parameter!$A$35:$C$64,2,0),"Nein"))</f>
        <v>2+3</v>
      </c>
      <c r="BW1020" s="59" t="n">
        <f aca="false">IF(BT1020=0,0,IF(N(S1020)&gt;0,S1020,IFERROR(VLOOKUP(D1020,Parameter!$A$35:$C$64,3,0)+0,0)))</f>
        <v>0</v>
      </c>
      <c r="BX1020" s="55" t="n">
        <f aca="false">IF(AA1020&lt;&gt;"",AA1020,Z1020)</f>
        <v>3</v>
      </c>
      <c r="BY1020" s="55" t="str">
        <f aca="false">IF(BX1020=1,"L1",IF(OR(BX1020=2,BX1020=3),"L23",IF(BX1020="Aussen","Aussen","-")))</f>
        <v>L23</v>
      </c>
      <c r="BZ1020" s="66" t="n">
        <f aca="false">IF(N(AB1020)&gt;0,AB1020,0)</f>
        <v>0</v>
      </c>
      <c r="CA1020" s="60" t="n">
        <f aca="false">IF(ISNUMBER(AE1020),1,0)</f>
        <v>0</v>
      </c>
      <c r="CB1020" s="57" t="n">
        <f aca="false">N(AE1020)</f>
        <v>0</v>
      </c>
      <c r="CC1020" s="57" t="n">
        <f aca="false">N(M1020)+N(N1020)</f>
        <v>5</v>
      </c>
      <c r="CD1020" s="57" t="n">
        <f aca="false">ROUNDUP(H1020/BS1020,0)</f>
        <v>1</v>
      </c>
      <c r="CE1020" s="57" t="n">
        <f aca="false">ROUNDUP(CB1020/BS1020,0)</f>
        <v>0</v>
      </c>
      <c r="CF1020" s="60" t="n">
        <f aca="false">IF(BT1020=1,0,IFERROR(VLOOKUP(BR1020,'Gebinde-Kategorie'!$A$5:$M$45,5,0)+0,0))</f>
        <v>8</v>
      </c>
      <c r="CG1020" s="60" t="n">
        <f aca="false">IFERROR(IF(OR(BX1020=1,BX1020=2,BX1020=3),N(INDEX(Parameter!$I$5:$I$7,BX1020)),0),0)</f>
        <v>0</v>
      </c>
      <c r="CH1020" s="59" t="n">
        <f aca="false">IF(AND(Parameter!$B$21="Ja",ISNUMBER(W1020),N(X1020)&gt;0),IFERROR(N(INDEX(Parameter!$L$5:$L$7,W1020))*INDEX(Parameter!$E$5:$E$7,W1020)*X1020/SUMIFS($X$7:$X$1843,$W$7:$W$1843,W1020),0),0)</f>
        <v>0</v>
      </c>
    </row>
    <row r="1021" customFormat="false" ht="15" hidden="false" customHeight="false" outlineLevel="0" collapsed="false">
      <c r="A1021" s="55" t="s">
        <v>1878</v>
      </c>
      <c r="B1021" s="55" t="s">
        <v>405</v>
      </c>
      <c r="C1021" s="55" t="s">
        <v>164</v>
      </c>
      <c r="D1021" s="55" t="s">
        <v>184</v>
      </c>
      <c r="E1021" s="55" t="s">
        <v>185</v>
      </c>
      <c r="F1021" s="55" t="s">
        <v>218</v>
      </c>
      <c r="G1021" s="56" t="n">
        <v>2.49</v>
      </c>
      <c r="H1021" s="57" t="n">
        <f aca="false">MAX(0,IF(AND(Parameter!$B$21="Ja",ISNUMBER(Y1021)),Y1021,IF(Parameter!$B$20="Jahresanfang 2025 + Export",BL1021+BK1021,BK1021)))</f>
        <v>129</v>
      </c>
      <c r="I1021" s="57" t="n">
        <f aca="false">H1021*G1021</f>
        <v>321.21</v>
      </c>
      <c r="J1021" s="57" t="n">
        <f aca="false">BN1021*Parameter!$B$18</f>
        <v>43</v>
      </c>
      <c r="K1021" s="58" t="n">
        <v>156.5</v>
      </c>
      <c r="L1021" s="59" t="n">
        <v>0.274760383386582</v>
      </c>
      <c r="M1021" s="57" t="n">
        <v>14</v>
      </c>
      <c r="N1021" s="57" t="n">
        <v>45</v>
      </c>
      <c r="O1021" s="60" t="n">
        <v>119</v>
      </c>
      <c r="P1021" s="55" t="s">
        <v>302</v>
      </c>
      <c r="Q1021" s="57" t="n">
        <v>480</v>
      </c>
      <c r="R1021" s="60" t="n">
        <f aca="false">IF(BT1021=1,0,IFERROR(VLOOKUP(BR1021,'Gebinde-Kategorie'!$A$5:$M$45,13,0)+0,0))</f>
        <v>26</v>
      </c>
      <c r="S1021" s="61"/>
      <c r="T1021" s="62"/>
      <c r="U1021" s="62"/>
      <c r="V1021" s="62"/>
      <c r="W1021" s="55"/>
      <c r="X1021" s="57"/>
      <c r="Y1021" s="57"/>
      <c r="Z1021" s="55" t="n">
        <f aca="false">IF(A1021="","",IF(AND(Parameter!$B$21="Ja",ISNUMBER(W1021)),W1021,IF(BV1021="2+3",IF(ISNUMBER(SEARCH("grosser Artikel",BO1021)),2,IFERROR(VLOOKUP(BR1021,Parameter!$F$35:$G$64,2,0),2)),IF(OR(BV1021="Nein",BV1021=""),"-",BV1021))))</f>
        <v>3</v>
      </c>
      <c r="AA1021" s="62"/>
      <c r="AB1021" s="63"/>
      <c r="AC1021" s="57" t="n">
        <f aca="false">AR1021</f>
        <v>480</v>
      </c>
      <c r="AD1021" s="57" t="n">
        <f aca="false">MAX(AR1021,H1021)</f>
        <v>480</v>
      </c>
      <c r="AE1021" s="64"/>
      <c r="AF1021" s="57" t="n">
        <f aca="false">IF(LEFT(Cockpit!$C$5,1)="A",H1021,IF(CA1021=1,CB1021,IF(LEFT(Cockpit!$C$5,1)="B",AJ1021,MAX(AJ1021,H1021))))</f>
        <v>129</v>
      </c>
      <c r="AG1021" s="57" t="n">
        <f aca="false">IF(BT1021=1,0,ROUNDUP(AF1021/BS1021,0))</f>
        <v>1</v>
      </c>
      <c r="AH1021" s="59" t="n">
        <f aca="false">IF(CH1021&gt;0,CH1021*MAX(1,AF1021/X1021),IF(BT1021=1,IF(AF1021&lt;=0,0,BW1021*MAX(1,IF(H1021&gt;0,AF1021/H1021,1))),IF(R1021&gt;0,AG1021/R1021,0))/MAX(0.1,N(Parameter!$M$21)))</f>
        <v>0.0384615384615385</v>
      </c>
      <c r="AI1021" s="57" t="n">
        <f aca="false">AF1021*G1021</f>
        <v>321.21</v>
      </c>
      <c r="AJ1021" s="57" t="n">
        <f aca="false">ROUNDUP(MAX(J1021/IF(BZ1021&gt;0,BZ1021,MAX(0.1,N(Cockpit!$C$6))),CC1021)/BS1021,0)*BS1021</f>
        <v>480</v>
      </c>
      <c r="AK1021" s="58" t="n">
        <f aca="false">IF(AH1021&gt;0,J1021/AH1021,-1)</f>
        <v>1118</v>
      </c>
      <c r="AL1021" s="58" t="n">
        <f aca="false">IF(AND(OR(BY1021="L1",BY1021="L23"),AH1021&gt;0),SUMIFS($AH$7:$AH$1843,$BY$7:$BY$1843,BY1021,$AK$7:$AK$1843,"&gt;"&amp;AK1021)+SUMIFS($AH$7:$AH$1843,$BY$7:$BY$1843,BY1021,$AK$7:$AK$1843,AK1021,$BQ$7:$BQ$1843,"&lt;="&amp;BQ1021),"")</f>
        <v>17.1074372487416</v>
      </c>
      <c r="AM1021" s="65" t="n">
        <f aca="false">IF(AL1021="",0,MAX(0,MIN(1,(IF(BY1021="L1",Parameter!$E$5,Parameter!$E$6+Parameter!$E$7)-(AL1021-AH1021))/AH1021)))</f>
        <v>1</v>
      </c>
      <c r="AN1021" s="57" t="n">
        <f aca="false">IF(LEFT(Cockpit!$I$5,1)="A",H1021,IF(CA1021=1,CB1021,IF(LEFT(Cockpit!$I$5,1)="B",AR1021,MAX(AR1021,H1021))))</f>
        <v>480</v>
      </c>
      <c r="AO1021" s="57" t="n">
        <f aca="false">IF(BT1021=1,0,ROUNDUP(AN1021/BS1021,0))</f>
        <v>1</v>
      </c>
      <c r="AP1021" s="59" t="n">
        <f aca="false">IF(CH1021&gt;0,CH1021*MAX(1,AN1021/X1021),IF(BT1021=1,IF(AN1021&lt;=0,0,BW1021*MAX(1,IF(H1021&gt;0,AN1021/H1021,1))),IF(R1021&gt;0,AO1021/R1021,0))/MAX(0.1,N(Parameter!$M$21)))</f>
        <v>0.0384615384615385</v>
      </c>
      <c r="AQ1021" s="57" t="n">
        <f aca="false">AN1021*G1021</f>
        <v>1195.2</v>
      </c>
      <c r="AR1021" s="57" t="n">
        <f aca="false">ROUNDUP(MAX(J1021/IF(BZ1021&gt;0,BZ1021,MAX(0.1,N(Cockpit!$I$6))),CC1021)/BS1021,0)*BS1021</f>
        <v>480</v>
      </c>
      <c r="AS1021" s="58" t="n">
        <f aca="false">IF(AP1021&gt;0,J1021/AP1021,-1)</f>
        <v>1118</v>
      </c>
      <c r="AT1021" s="58" t="n">
        <f aca="false">IF(AND(OR(BY1021="L1",BY1021="L23"),AP1021&gt;0),SUMIFS($AP$7:$AP$1843,$BY$7:$BY$1843,BY1021,$AS$7:$AS$1843,"&gt;"&amp;AS1021)+SUMIFS($AP$7:$AP$1843,$BY$7:$BY$1843,BY1021,$AS$7:$AS$1843,AS1021,$BQ$7:$BQ$1843,"&lt;="&amp;BQ1021),"")</f>
        <v>23.3472348907132</v>
      </c>
      <c r="AU1021" s="65" t="n">
        <f aca="false">IF(AT1021="",0,MAX(0,MIN(1,(IF(BY1021="L1",Parameter!$E$5,Parameter!$E$6+Parameter!$E$7)-(AT1021-AP1021))/AP1021)))</f>
        <v>1</v>
      </c>
      <c r="AV1021" s="57" t="n">
        <f aca="false">IF(LEFT(Cockpit!$O$5,1)="A",H1021,IF(CA1021=1,CB1021,IF(LEFT(Cockpit!$O$5,1)="B",AZ1021,MAX(AZ1021,H1021))))</f>
        <v>480</v>
      </c>
      <c r="AW1021" s="57" t="n">
        <f aca="false">IF(BT1021=1,0,ROUNDUP(AV1021/BS1021,0))</f>
        <v>1</v>
      </c>
      <c r="AX1021" s="59" t="n">
        <f aca="false">IF(CH1021&gt;0,CH1021*MAX(1,AV1021/X1021),IF(BT1021=1,IF(AV1021&lt;=0,0,BW1021*MAX(1,IF(H1021&gt;0,AV1021/H1021,1))),IF(R1021&gt;0,AW1021/R1021,0))/MAX(0.1,N(Parameter!$M$21)))</f>
        <v>0.0384615384615385</v>
      </c>
      <c r="AY1021" s="57" t="n">
        <f aca="false">AV1021*G1021</f>
        <v>1195.2</v>
      </c>
      <c r="AZ1021" s="57" t="n">
        <f aca="false">ROUNDUP(MAX(J1021/IF(BZ1021&gt;0,BZ1021,MAX(0.1,N(Cockpit!$O$6))),CC1021)/BS1021,0)*BS1021</f>
        <v>480</v>
      </c>
      <c r="BA1021" s="58" t="n">
        <f aca="false">IF(AX1021&gt;0,J1021/AX1021,-1)</f>
        <v>1118</v>
      </c>
      <c r="BB1021" s="58" t="n">
        <f aca="false">IF(AND(OR(BY1021="L1",BY1021="L23"),AX1021&gt;0),SUMIFS($AX$7:$AX$1843,$BY$7:$BY$1843,BY1021,$BA$7:$BA$1843,"&gt;"&amp;BA1021)+SUMIFS($AX$7:$AX$1843,$BY$7:$BY$1843,BY1021,$BA$7:$BA$1843,BA1021,$BQ$7:$BQ$1843,"&lt;="&amp;BQ1021),"")</f>
        <v>22.2924563359346</v>
      </c>
      <c r="BC1021" s="65" t="n">
        <f aca="false">IF(BB1021="",0,MAX(0,MIN(1,(IF(BY1021="L1",Parameter!$E$5,Parameter!$E$6+Parameter!$E$7)-(BB1021-AX1021))/AX1021)))</f>
        <v>1</v>
      </c>
      <c r="BD1021" s="55" t="str">
        <f aca="false">IF(AH1021&lt;=0,"",IF(BY1021="Aussen","Aussenlager",IF(BY1021="-","Nicht im Lift",IF(AM1021&gt;=1,"Lift",IF(AM1021&lt;=0,"Aussenlager","teilweise")))))</f>
        <v>Lift</v>
      </c>
      <c r="BE1021" s="55" t="str">
        <f aca="false">IF(AP1021&lt;=0,"",IF(BY1021="Aussen","Aussenlager",IF(BY1021="-","Nicht im Lift",IF(AU1021&gt;=1,"Lift",IF(AU1021&lt;=0,"Aussenlager","teilweise")))))</f>
        <v>Lift</v>
      </c>
      <c r="BF1021" s="55" t="str">
        <f aca="false">IF(AX1021&lt;=0,"",IF(BY1021="Aussen","Aussenlager",IF(BY1021="-","Nicht im Lift",IF(BC1021&gt;=1,"Lift",IF(BC1021&lt;=0,"Aussenlager","teilweise")))))</f>
        <v>Lift</v>
      </c>
      <c r="BG1021" s="55" t="str">
        <f aca="false">IF(A1021="","",IF(BP1021=1,"Neu; ","")&amp;IF(AND(BP1021=0,BK1021&lt;0),"negativer Bestand (Export "&amp;BK1021&amp;"); ","")&amp;IF(J1021&lt;=0,"Kein Verbrauch; ","")&amp;IF(CH1021&gt;0,"Lift "&amp;W1021&amp;" lt. Liftbericht (Fach "&amp;X1021&amp;" Stk); ",IF(BU1021=1,"Gebinde geschätzt ("&amp;T1021&amp;"); ",IF(BT1021=1,"Lose – Tablare geschätzt; ","")))&amp;IF(H1021&gt;AR1021,"Überbestand "&amp;ROUND(H1021-AR1021,0)&amp;" Stk / CHF "&amp;ROUND((H1021-AR1021)*G1021,0)&amp;"; ","")&amp;IF(AND(CA1021=1,CB1021&lt;CC1021),"MAX &lt; MB+LG; ","")&amp;IF(AND(CG1021&gt;0,CF1021*10&gt;CG1021),"zu hoch für Tablar; ","")&amp;IF(AND(BP1021=0,OR(CA1021=1,AA1021&lt;&gt;"",U1021&lt;&gt;"",V1021&lt;&gt;"",AB1021&lt;&gt;"")),"manuell übersteuert; ","")&amp;IF(AND(BT1021=0,R1021=0),"Gebinde unbekannt / Stellmass fehlt; ","")&amp;IF(AND(BT1021=0,N(V1021)&lt;=0,N(Q1021)&lt;=0),"Menge pro Gebinde fehlt (Ist = 1 Gebinde); ","")&amp;BO1021)</f>
        <v>negativer Bestand (Export -48); twin</v>
      </c>
      <c r="BH1021" s="55"/>
      <c r="BI1021" s="55"/>
      <c r="BJ1021" s="62"/>
      <c r="BK1021" s="57" t="n">
        <v>-48</v>
      </c>
      <c r="BL1021" s="57" t="n">
        <v>177</v>
      </c>
      <c r="BM1021" s="56" t="n">
        <v>-119.52</v>
      </c>
      <c r="BN1021" s="57" t="n">
        <v>43</v>
      </c>
      <c r="BO1021" s="55" t="s">
        <v>1741</v>
      </c>
      <c r="BP1021" s="60" t="n">
        <v>0</v>
      </c>
      <c r="BQ1021" s="60" t="n">
        <v>1021</v>
      </c>
      <c r="BR1021" s="55" t="str">
        <f aca="false">IF(U1021&lt;&gt;"",UPPER(TRIM(U1021)),IF(BU1021=1,UPPER(VLOOKUP(T1021,Parameter!$I$27:$K$29,2,0)),IF(P1021="","LOSE",P1021)))</f>
        <v>S51</v>
      </c>
      <c r="BS1021" s="57" t="n">
        <f aca="false">IF(BR1021="LOSE",1,IF(N(V1021)&gt;0,V1021,IF(BU1021=1,MAX(1,N(VLOOKUP(T1021,Parameter!$I$27:$K$29,3,0)),H1021,N(N1021)),IF(N(Q1021)&gt;0,Q1021,MAX(1,H1021)))))</f>
        <v>480</v>
      </c>
      <c r="BT1021" s="60" t="n">
        <f aca="false">IF(BR1021="LOSE",1,0)</f>
        <v>0</v>
      </c>
      <c r="BU1021" s="60" t="n">
        <f aca="false">IF(AND(U1021="",OR(P1021="",P1021="LOSE"),T1021&lt;&gt;"",N(S1021)&lt;=0,ISNUMBER(MATCH(T1021,Parameter!$I$27:$I$29,0))),1,0)</f>
        <v>0</v>
      </c>
      <c r="BV1021" s="55" t="str">
        <f aca="false">IF(AND(Parameter!$B$19="Ja",E1021&lt;&gt;"",ISNUMBER(MATCH(E1021,Parameter!$I$35:$I$52,0))),VLOOKUP(E1021,Parameter!$I$35:$J$52,2,0),IFERROR(VLOOKUP(D1021,Parameter!$A$35:$C$64,2,0),"Nein"))</f>
        <v>2+3</v>
      </c>
      <c r="BW1021" s="59" t="n">
        <f aca="false">IF(BT1021=0,0,IF(N(S1021)&gt;0,S1021,IFERROR(VLOOKUP(D1021,Parameter!$A$35:$C$64,3,0)+0,0)))</f>
        <v>0</v>
      </c>
      <c r="BX1021" s="55" t="n">
        <f aca="false">IF(AA1021&lt;&gt;"",AA1021,Z1021)</f>
        <v>3</v>
      </c>
      <c r="BY1021" s="55" t="str">
        <f aca="false">IF(BX1021=1,"L1",IF(OR(BX1021=2,BX1021=3),"L23",IF(BX1021="Aussen","Aussen","-")))</f>
        <v>L23</v>
      </c>
      <c r="BZ1021" s="66" t="n">
        <f aca="false">IF(N(AB1021)&gt;0,AB1021,0)</f>
        <v>0</v>
      </c>
      <c r="CA1021" s="60" t="n">
        <f aca="false">IF(ISNUMBER(AE1021),1,0)</f>
        <v>0</v>
      </c>
      <c r="CB1021" s="57" t="n">
        <f aca="false">N(AE1021)</f>
        <v>0</v>
      </c>
      <c r="CC1021" s="57" t="n">
        <f aca="false">N(M1021)+N(N1021)</f>
        <v>59</v>
      </c>
      <c r="CD1021" s="57" t="n">
        <f aca="false">ROUNDUP(H1021/BS1021,0)</f>
        <v>1</v>
      </c>
      <c r="CE1021" s="57" t="n">
        <f aca="false">ROUNDUP(CB1021/BS1021,0)</f>
        <v>0</v>
      </c>
      <c r="CF1021" s="60" t="n">
        <f aca="false">IF(BT1021=1,0,IFERROR(VLOOKUP(BR1021,'Gebinde-Kategorie'!$A$5:$M$45,5,0)+0,0))</f>
        <v>11</v>
      </c>
      <c r="CG1021" s="60" t="n">
        <f aca="false">IFERROR(IF(OR(BX1021=1,BX1021=2,BX1021=3),N(INDEX(Parameter!$I$5:$I$7,BX1021)),0),0)</f>
        <v>0</v>
      </c>
      <c r="CH1021" s="59" t="n">
        <f aca="false">IF(AND(Parameter!$B$21="Ja",ISNUMBER(W1021),N(X1021)&gt;0),IFERROR(N(INDEX(Parameter!$L$5:$L$7,W1021))*INDEX(Parameter!$E$5:$E$7,W1021)*X1021/SUMIFS($X$7:$X$1843,$W$7:$W$1843,W1021),0),0)</f>
        <v>0</v>
      </c>
    </row>
    <row r="1022" customFormat="false" ht="15" hidden="false" customHeight="false" outlineLevel="0" collapsed="false">
      <c r="A1022" s="55" t="s">
        <v>1879</v>
      </c>
      <c r="B1022" s="55" t="s">
        <v>871</v>
      </c>
      <c r="C1022" s="55" t="s">
        <v>456</v>
      </c>
      <c r="D1022" s="55" t="s">
        <v>184</v>
      </c>
      <c r="E1022" s="55"/>
      <c r="F1022" s="55" t="s">
        <v>218</v>
      </c>
      <c r="G1022" s="56" t="n">
        <v>15.27</v>
      </c>
      <c r="H1022" s="57" t="n">
        <f aca="false">MAX(0,IF(AND(Parameter!$B$21="Ja",ISNUMBER(Y1022)),Y1022,IF(Parameter!$B$20="Jahresanfang 2025 + Export",BL1022+BK1022,BK1022)))</f>
        <v>8</v>
      </c>
      <c r="I1022" s="57" t="n">
        <f aca="false">H1022*G1022</f>
        <v>122.16</v>
      </c>
      <c r="J1022" s="57" t="n">
        <f aca="false">BN1022*Parameter!$B$18</f>
        <v>8</v>
      </c>
      <c r="K1022" s="58" t="n">
        <v>8</v>
      </c>
      <c r="L1022" s="59" t="n">
        <v>1</v>
      </c>
      <c r="M1022" s="57" t="n">
        <v>1</v>
      </c>
      <c r="N1022" s="57" t="n">
        <v>10</v>
      </c>
      <c r="O1022" s="60" t="n">
        <v>56</v>
      </c>
      <c r="P1022" s="55" t="s">
        <v>168</v>
      </c>
      <c r="Q1022" s="57"/>
      <c r="R1022" s="60" t="n">
        <f aca="false">IF(BT1022=1,0,IFERROR(VLOOKUP(BR1022,'Gebinde-Kategorie'!$A$5:$M$45,13,0)+0,0))</f>
        <v>26</v>
      </c>
      <c r="S1022" s="61"/>
      <c r="T1022" s="62" t="s">
        <v>275</v>
      </c>
      <c r="U1022" s="62"/>
      <c r="V1022" s="62"/>
      <c r="W1022" s="55"/>
      <c r="X1022" s="57"/>
      <c r="Y1022" s="57"/>
      <c r="Z1022" s="55" t="n">
        <f aca="false">IF(A1022="","",IF(AND(Parameter!$B$21="Ja",ISNUMBER(W1022)),W1022,IF(BV1022="2+3",IF(ISNUMBER(SEARCH("grosser Artikel",BO1022)),2,IFERROR(VLOOKUP(BR1022,Parameter!$F$35:$G$64,2,0),2)),IF(OR(BV1022="Nein",BV1022=""),"-",BV1022))))</f>
        <v>3</v>
      </c>
      <c r="AA1022" s="62"/>
      <c r="AB1022" s="63"/>
      <c r="AC1022" s="57" t="n">
        <f aca="false">AR1022</f>
        <v>20</v>
      </c>
      <c r="AD1022" s="57" t="n">
        <f aca="false">MAX(AR1022,H1022)</f>
        <v>20</v>
      </c>
      <c r="AE1022" s="64"/>
      <c r="AF1022" s="57" t="n">
        <f aca="false">IF(LEFT(Cockpit!$C$5,1)="A",H1022,IF(CA1022=1,CB1022,IF(LEFT(Cockpit!$C$5,1)="B",AJ1022,MAX(AJ1022,H1022))))</f>
        <v>8</v>
      </c>
      <c r="AG1022" s="57" t="n">
        <f aca="false">IF(BT1022=1,0,ROUNDUP(AF1022/BS1022,0))</f>
        <v>1</v>
      </c>
      <c r="AH1022" s="59" t="n">
        <f aca="false">IF(CH1022&gt;0,CH1022*MAX(1,AF1022/X1022),IF(BT1022=1,IF(AF1022&lt;=0,0,BW1022*MAX(1,IF(H1022&gt;0,AF1022/H1022,1))),IF(R1022&gt;0,AG1022/R1022,0))/MAX(0.1,N(Parameter!$M$21)))</f>
        <v>0.0384615384615385</v>
      </c>
      <c r="AI1022" s="57" t="n">
        <f aca="false">AF1022*G1022</f>
        <v>122.16</v>
      </c>
      <c r="AJ1022" s="57" t="n">
        <f aca="false">ROUNDUP(MAX(J1022/IF(BZ1022&gt;0,BZ1022,MAX(0.1,N(Cockpit!$C$6))),CC1022)/BS1022,0)*BS1022</f>
        <v>20</v>
      </c>
      <c r="AK1022" s="58" t="n">
        <f aca="false">IF(AH1022&gt;0,J1022/AH1022,-1)</f>
        <v>208</v>
      </c>
      <c r="AL1022" s="58" t="n">
        <f aca="false">IF(AND(OR(BY1022="L1",BY1022="L23"),AH1022&gt;0),SUMIFS($AH$7:$AH$1843,$BY$7:$BY$1843,BY1022,$AK$7:$AK$1843,"&gt;"&amp;AK1022)+SUMIFS($AH$7:$AH$1843,$BY$7:$BY$1843,BY1022,$AK$7:$AK$1843,AK1022,$BQ$7:$BQ$1843,"&lt;="&amp;BQ1022),"")</f>
        <v>31.9185078206817</v>
      </c>
      <c r="AM1022" s="65" t="n">
        <f aca="false">IF(AL1022="",0,MAX(0,MIN(1,(IF(BY1022="L1",Parameter!$E$5,Parameter!$E$6+Parameter!$E$7)-(AL1022-AH1022))/AH1022)))</f>
        <v>1</v>
      </c>
      <c r="AN1022" s="57" t="n">
        <f aca="false">IF(LEFT(Cockpit!$I$5,1)="A",H1022,IF(CA1022=1,CB1022,IF(LEFT(Cockpit!$I$5,1)="B",AR1022,MAX(AR1022,H1022))))</f>
        <v>20</v>
      </c>
      <c r="AO1022" s="57" t="n">
        <f aca="false">IF(BT1022=1,0,ROUNDUP(AN1022/BS1022,0))</f>
        <v>1</v>
      </c>
      <c r="AP1022" s="59" t="n">
        <f aca="false">IF(CH1022&gt;0,CH1022*MAX(1,AN1022/X1022),IF(BT1022=1,IF(AN1022&lt;=0,0,BW1022*MAX(1,IF(H1022&gt;0,AN1022/H1022,1))),IF(R1022&gt;0,AO1022/R1022,0))/MAX(0.1,N(Parameter!$M$21)))</f>
        <v>0.0384615384615385</v>
      </c>
      <c r="AQ1022" s="57" t="n">
        <f aca="false">AN1022*G1022</f>
        <v>305.4</v>
      </c>
      <c r="AR1022" s="57" t="n">
        <f aca="false">ROUNDUP(MAX(J1022/IF(BZ1022&gt;0,BZ1022,MAX(0.1,N(Cockpit!$I$6))),CC1022)/BS1022,0)*BS1022</f>
        <v>20</v>
      </c>
      <c r="AS1022" s="58" t="n">
        <f aca="false">IF(AP1022&gt;0,J1022/AP1022,-1)</f>
        <v>208</v>
      </c>
      <c r="AT1022" s="58" t="n">
        <f aca="false">IF(AND(OR(BY1022="L1",BY1022="L23"),AP1022&gt;0),SUMIFS($AP$7:$AP$1843,$BY$7:$BY$1843,BY1022,$AS$7:$AS$1843,"&gt;"&amp;AS1022)+SUMIFS($AP$7:$AP$1843,$BY$7:$BY$1843,BY1022,$AS$7:$AS$1843,AS1022,$BQ$7:$BQ$1843,"&lt;="&amp;BQ1022),"")</f>
        <v>46.0506739637174</v>
      </c>
      <c r="AU1022" s="65" t="n">
        <f aca="false">IF(AT1022="",0,MAX(0,MIN(1,(IF(BY1022="L1",Parameter!$E$5,Parameter!$E$6+Parameter!$E$7)-(AT1022-AP1022))/AP1022)))</f>
        <v>1</v>
      </c>
      <c r="AV1022" s="57" t="n">
        <f aca="false">IF(LEFT(Cockpit!$O$5,1)="A",H1022,IF(CA1022=1,CB1022,IF(LEFT(Cockpit!$O$5,1)="B",AZ1022,MAX(AZ1022,H1022))))</f>
        <v>20</v>
      </c>
      <c r="AW1022" s="57" t="n">
        <f aca="false">IF(BT1022=1,0,ROUNDUP(AV1022/BS1022,0))</f>
        <v>1</v>
      </c>
      <c r="AX1022" s="59" t="n">
        <f aca="false">IF(CH1022&gt;0,CH1022*MAX(1,AV1022/X1022),IF(BT1022=1,IF(AV1022&lt;=0,0,BW1022*MAX(1,IF(H1022&gt;0,AV1022/H1022,1))),IF(R1022&gt;0,AW1022/R1022,0))/MAX(0.1,N(Parameter!$M$21)))</f>
        <v>0.0384615384615385</v>
      </c>
      <c r="AY1022" s="57" t="n">
        <f aca="false">AV1022*G1022</f>
        <v>305.4</v>
      </c>
      <c r="AZ1022" s="57" t="n">
        <f aca="false">ROUNDUP(MAX(J1022/IF(BZ1022&gt;0,BZ1022,MAX(0.1,N(Cockpit!$O$6))),CC1022)/BS1022,0)*BS1022</f>
        <v>20</v>
      </c>
      <c r="BA1022" s="58" t="n">
        <f aca="false">IF(AX1022&gt;0,J1022/AX1022,-1)</f>
        <v>208</v>
      </c>
      <c r="BB1022" s="58" t="n">
        <f aca="false">IF(AND(OR(BY1022="L1",BY1022="L23"),AX1022&gt;0),SUMIFS($AX$7:$AX$1843,$BY$7:$BY$1843,BY1022,$BA$7:$BA$1843,"&gt;"&amp;BA1022)+SUMIFS($AX$7:$AX$1843,$BY$7:$BY$1843,BY1022,$BA$7:$BA$1843,BA1022,$BQ$7:$BQ$1843,"&lt;="&amp;BQ1022),"")</f>
        <v>42.6305107935543</v>
      </c>
      <c r="BC1022" s="65" t="n">
        <f aca="false">IF(BB1022="",0,MAX(0,MIN(1,(IF(BY1022="L1",Parameter!$E$5,Parameter!$E$6+Parameter!$E$7)-(BB1022-AX1022))/AX1022)))</f>
        <v>1</v>
      </c>
      <c r="BD1022" s="55" t="str">
        <f aca="false">IF(AH1022&lt;=0,"",IF(BY1022="Aussen","Aussenlager",IF(BY1022="-","Nicht im Lift",IF(AM1022&gt;=1,"Lift",IF(AM1022&lt;=0,"Aussenlager","teilweise")))))</f>
        <v>Lift</v>
      </c>
      <c r="BE1022" s="55" t="str">
        <f aca="false">IF(AP1022&lt;=0,"",IF(BY1022="Aussen","Aussenlager",IF(BY1022="-","Nicht im Lift",IF(AU1022&gt;=1,"Lift",IF(AU1022&lt;=0,"Aussenlager","teilweise")))))</f>
        <v>Lift</v>
      </c>
      <c r="BF1022" s="55" t="str">
        <f aca="false">IF(AX1022&lt;=0,"",IF(BY1022="Aussen","Aussenlager",IF(BY1022="-","Nicht im Lift",IF(BC1022&gt;=1,"Lift",IF(BC1022&lt;=0,"Aussenlager","teilweise")))))</f>
        <v>Lift</v>
      </c>
      <c r="BG1022" s="55" t="str">
        <f aca="false">IF(A1022="","",IF(BP1022=1,"Neu; ","")&amp;IF(AND(BP1022=0,BK1022&lt;0),"negativer Bestand (Export "&amp;BK1022&amp;"); ","")&amp;IF(J1022&lt;=0,"Kein Verbrauch; ","")&amp;IF(CH1022&gt;0,"Lift "&amp;W1022&amp;" lt. Liftbericht (Fach "&amp;X1022&amp;" Stk); ",IF(BU1022=1,"Gebinde geschätzt ("&amp;T1022&amp;"); ",IF(BT1022=1,"Lose – Tablare geschätzt; ","")))&amp;IF(H1022&gt;AR1022,"Überbestand "&amp;ROUND(H1022-AR1022,0)&amp;" Stk / CHF "&amp;ROUND((H1022-AR1022)*G1022,0)&amp;"; ","")&amp;IF(AND(CA1022=1,CB1022&lt;CC1022),"MAX &lt; MB+LG; ","")&amp;IF(AND(CG1022&gt;0,CF1022*10&gt;CG1022),"zu hoch für Tablar; ","")&amp;IF(AND(BP1022=0,OR(CA1022=1,AA1022&lt;&gt;"",U1022&lt;&gt;"",V1022&lt;&gt;"",AB1022&lt;&gt;"")),"manuell übersteuert; ","")&amp;IF(AND(BT1022=0,R1022=0),"Gebinde unbekannt / Stellmass fehlt; ","")&amp;IF(AND(BT1022=0,N(V1022)&lt;=0,N(Q1022)&lt;=0),"Menge pro Gebinde fehlt (Ist = 1 Gebinde); ","")&amp;BO1022)</f>
        <v>negativer Bestand (Export -8); Gebinde geschätzt (Klein); Menge pro Gebinde fehlt (Ist = 1 Gebinde); </v>
      </c>
      <c r="BH1022" s="55"/>
      <c r="BI1022" s="55"/>
      <c r="BJ1022" s="62"/>
      <c r="BK1022" s="57" t="n">
        <v>-8</v>
      </c>
      <c r="BL1022" s="57" t="n">
        <v>16</v>
      </c>
      <c r="BM1022" s="56" t="n">
        <v>-122.16</v>
      </c>
      <c r="BN1022" s="57" t="n">
        <v>8</v>
      </c>
      <c r="BO1022" s="55"/>
      <c r="BP1022" s="60" t="n">
        <v>0</v>
      </c>
      <c r="BQ1022" s="60" t="n">
        <v>1022</v>
      </c>
      <c r="BR1022" s="55" t="str">
        <f aca="false">IF(U1022&lt;&gt;"",UPPER(TRIM(U1022)),IF(BU1022=1,UPPER(VLOOKUP(T1022,Parameter!$I$27:$K$29,2,0)),IF(P1022="","LOSE",P1022)))</f>
        <v>S51</v>
      </c>
      <c r="BS1022" s="57" t="n">
        <f aca="false">IF(BR1022="LOSE",1,IF(N(V1022)&gt;0,V1022,IF(BU1022=1,MAX(1,N(VLOOKUP(T1022,Parameter!$I$27:$K$29,3,0)),H1022,N(N1022)),IF(N(Q1022)&gt;0,Q1022,MAX(1,H1022)))))</f>
        <v>20</v>
      </c>
      <c r="BT1022" s="60" t="n">
        <f aca="false">IF(BR1022="LOSE",1,0)</f>
        <v>0</v>
      </c>
      <c r="BU1022" s="60" t="n">
        <f aca="false">IF(AND(U1022="",OR(P1022="",P1022="LOSE"),T1022&lt;&gt;"",N(S1022)&lt;=0,ISNUMBER(MATCH(T1022,Parameter!$I$27:$I$29,0))),1,0)</f>
        <v>1</v>
      </c>
      <c r="BV1022" s="55" t="str">
        <f aca="false">IF(AND(Parameter!$B$19="Ja",E1022&lt;&gt;"",ISNUMBER(MATCH(E1022,Parameter!$I$35:$I$52,0))),VLOOKUP(E1022,Parameter!$I$35:$J$52,2,0),IFERROR(VLOOKUP(D1022,Parameter!$A$35:$C$64,2,0),"Nein"))</f>
        <v>2+3</v>
      </c>
      <c r="BW1022" s="59" t="n">
        <f aca="false">IF(BT1022=0,0,IF(N(S1022)&gt;0,S1022,IFERROR(VLOOKUP(D1022,Parameter!$A$35:$C$64,3,0)+0,0)))</f>
        <v>0</v>
      </c>
      <c r="BX1022" s="55" t="n">
        <f aca="false">IF(AA1022&lt;&gt;"",AA1022,Z1022)</f>
        <v>3</v>
      </c>
      <c r="BY1022" s="55" t="str">
        <f aca="false">IF(BX1022=1,"L1",IF(OR(BX1022=2,BX1022=3),"L23",IF(BX1022="Aussen","Aussen","-")))</f>
        <v>L23</v>
      </c>
      <c r="BZ1022" s="66" t="n">
        <f aca="false">IF(N(AB1022)&gt;0,AB1022,0)</f>
        <v>0</v>
      </c>
      <c r="CA1022" s="60" t="n">
        <f aca="false">IF(ISNUMBER(AE1022),1,0)</f>
        <v>0</v>
      </c>
      <c r="CB1022" s="57" t="n">
        <f aca="false">N(AE1022)</f>
        <v>0</v>
      </c>
      <c r="CC1022" s="57" t="n">
        <f aca="false">N(M1022)+N(N1022)</f>
        <v>11</v>
      </c>
      <c r="CD1022" s="57" t="n">
        <f aca="false">ROUNDUP(H1022/BS1022,0)</f>
        <v>1</v>
      </c>
      <c r="CE1022" s="57" t="n">
        <f aca="false">ROUNDUP(CB1022/BS1022,0)</f>
        <v>0</v>
      </c>
      <c r="CF1022" s="60" t="n">
        <f aca="false">IF(BT1022=1,0,IFERROR(VLOOKUP(BR1022,'Gebinde-Kategorie'!$A$5:$M$45,5,0)+0,0))</f>
        <v>11</v>
      </c>
      <c r="CG1022" s="60" t="n">
        <f aca="false">IFERROR(IF(OR(BX1022=1,BX1022=2,BX1022=3),N(INDEX(Parameter!$I$5:$I$7,BX1022)),0),0)</f>
        <v>0</v>
      </c>
      <c r="CH1022" s="59" t="n">
        <f aca="false">IF(AND(Parameter!$B$21="Ja",ISNUMBER(W1022),N(X1022)&gt;0),IFERROR(N(INDEX(Parameter!$L$5:$L$7,W1022))*INDEX(Parameter!$E$5:$E$7,W1022)*X1022/SUMIFS($X$7:$X$1843,$W$7:$W$1843,W1022),0),0)</f>
        <v>0</v>
      </c>
    </row>
    <row r="1023" customFormat="false" ht="15" hidden="false" customHeight="false" outlineLevel="0" collapsed="false">
      <c r="A1023" s="55" t="s">
        <v>1880</v>
      </c>
      <c r="B1023" s="55" t="s">
        <v>1881</v>
      </c>
      <c r="C1023" s="55" t="s">
        <v>164</v>
      </c>
      <c r="D1023" s="55" t="s">
        <v>184</v>
      </c>
      <c r="E1023" s="55" t="s">
        <v>185</v>
      </c>
      <c r="F1023" s="55" t="s">
        <v>218</v>
      </c>
      <c r="G1023" s="56" t="n">
        <v>42.42</v>
      </c>
      <c r="H1023" s="57" t="n">
        <f aca="false">MAX(0,IF(AND(Parameter!$B$21="Ja",ISNUMBER(Y1023)),Y1023,IF(Parameter!$B$20="Jahresanfang 2025 + Export",BL1023+BK1023,BK1023)))</f>
        <v>4</v>
      </c>
      <c r="I1023" s="57" t="n">
        <f aca="false">H1023*G1023</f>
        <v>169.68</v>
      </c>
      <c r="J1023" s="57" t="n">
        <f aca="false">BN1023*Parameter!$B$18</f>
        <v>0</v>
      </c>
      <c r="K1023" s="58" t="n">
        <v>7</v>
      </c>
      <c r="L1023" s="59" t="n">
        <v>0</v>
      </c>
      <c r="M1023" s="57" t="n">
        <v>0</v>
      </c>
      <c r="N1023" s="57" t="n">
        <v>1</v>
      </c>
      <c r="O1023" s="60" t="n">
        <v>28</v>
      </c>
      <c r="P1023" s="55" t="s">
        <v>233</v>
      </c>
      <c r="Q1023" s="57" t="n">
        <v>12</v>
      </c>
      <c r="R1023" s="60" t="n">
        <f aca="false">IF(BT1023=1,0,IFERROR(VLOOKUP(BR1023,'Gebinde-Kategorie'!$A$5:$M$45,13,0)+0,0))</f>
        <v>26</v>
      </c>
      <c r="S1023" s="61"/>
      <c r="T1023" s="62"/>
      <c r="U1023" s="62"/>
      <c r="V1023" s="62"/>
      <c r="W1023" s="55"/>
      <c r="X1023" s="57"/>
      <c r="Y1023" s="57"/>
      <c r="Z1023" s="55" t="n">
        <f aca="false">IF(A1023="","",IF(AND(Parameter!$B$21="Ja",ISNUMBER(W1023)),W1023,IF(BV1023="2+3",IF(ISNUMBER(SEARCH("grosser Artikel",BO1023)),2,IFERROR(VLOOKUP(BR1023,Parameter!$F$35:$G$64,2,0),2)),IF(OR(BV1023="Nein",BV1023=""),"-",BV1023))))</f>
        <v>3</v>
      </c>
      <c r="AA1023" s="62"/>
      <c r="AB1023" s="63"/>
      <c r="AC1023" s="57" t="n">
        <f aca="false">AR1023</f>
        <v>12</v>
      </c>
      <c r="AD1023" s="57" t="n">
        <f aca="false">MAX(AR1023,H1023)</f>
        <v>12</v>
      </c>
      <c r="AE1023" s="64"/>
      <c r="AF1023" s="57" t="n">
        <f aca="false">IF(LEFT(Cockpit!$C$5,1)="A",H1023,IF(CA1023=1,CB1023,IF(LEFT(Cockpit!$C$5,1)="B",AJ1023,MAX(AJ1023,H1023))))</f>
        <v>4</v>
      </c>
      <c r="AG1023" s="57" t="n">
        <f aca="false">IF(BT1023=1,0,ROUNDUP(AF1023/BS1023,0))</f>
        <v>1</v>
      </c>
      <c r="AH1023" s="59" t="n">
        <f aca="false">IF(CH1023&gt;0,CH1023*MAX(1,AF1023/X1023),IF(BT1023=1,IF(AF1023&lt;=0,0,BW1023*MAX(1,IF(H1023&gt;0,AF1023/H1023,1))),IF(R1023&gt;0,AG1023/R1023,0))/MAX(0.1,N(Parameter!$M$21)))</f>
        <v>0.0384615384615385</v>
      </c>
      <c r="AI1023" s="57" t="n">
        <f aca="false">AF1023*G1023</f>
        <v>169.68</v>
      </c>
      <c r="AJ1023" s="57" t="n">
        <f aca="false">ROUNDUP(MAX(J1023/IF(BZ1023&gt;0,BZ1023,MAX(0.1,N(Cockpit!$C$6))),CC1023)/BS1023,0)*BS1023</f>
        <v>12</v>
      </c>
      <c r="AK1023" s="58" t="n">
        <f aca="false">IF(AH1023&gt;0,J1023/AH1023,-1)</f>
        <v>0</v>
      </c>
      <c r="AL1023" s="58" t="n">
        <f aca="false">IF(AND(OR(BY1023="L1",BY1023="L23"),AH1023&gt;0),SUMIFS($AH$7:$AH$1843,$BY$7:$BY$1843,BY1023,$AK$7:$AK$1843,"&gt;"&amp;AK1023)+SUMIFS($AH$7:$AH$1843,$BY$7:$BY$1843,BY1023,$AK$7:$AK$1843,AK1023,$BQ$7:$BQ$1843,"&lt;="&amp;BQ1023),"")</f>
        <v>78.7991706361272</v>
      </c>
      <c r="AM1023" s="65" t="n">
        <f aca="false">IF(AL1023="",0,MAX(0,MIN(1,(IF(BY1023="L1",Parameter!$E$5,Parameter!$E$6+Parameter!$E$7)-(AL1023-AH1023))/AH1023)))</f>
        <v>1</v>
      </c>
      <c r="AN1023" s="57" t="n">
        <f aca="false">IF(LEFT(Cockpit!$I$5,1)="A",H1023,IF(CA1023=1,CB1023,IF(LEFT(Cockpit!$I$5,1)="B",AR1023,MAX(AR1023,H1023))))</f>
        <v>12</v>
      </c>
      <c r="AO1023" s="57" t="n">
        <f aca="false">IF(BT1023=1,0,ROUNDUP(AN1023/BS1023,0))</f>
        <v>1</v>
      </c>
      <c r="AP1023" s="59" t="n">
        <f aca="false">IF(CH1023&gt;0,CH1023*MAX(1,AN1023/X1023),IF(BT1023=1,IF(AN1023&lt;=0,0,BW1023*MAX(1,IF(H1023&gt;0,AN1023/H1023,1))),IF(R1023&gt;0,AO1023/R1023,0))/MAX(0.1,N(Parameter!$M$21)))</f>
        <v>0.0384615384615385</v>
      </c>
      <c r="AQ1023" s="57" t="n">
        <f aca="false">AN1023*G1023</f>
        <v>509.04</v>
      </c>
      <c r="AR1023" s="57" t="n">
        <f aca="false">ROUNDUP(MAX(J1023/IF(BZ1023&gt;0,BZ1023,MAX(0.1,N(Cockpit!$I$6))),CC1023)/BS1023,0)*BS1023</f>
        <v>12</v>
      </c>
      <c r="AS1023" s="58" t="n">
        <f aca="false">IF(AP1023&gt;0,J1023/AP1023,-1)</f>
        <v>0</v>
      </c>
      <c r="AT1023" s="58" t="n">
        <f aca="false">IF(AND(OR(BY1023="L1",BY1023="L23"),AP1023&gt;0),SUMIFS($AP$7:$AP$1843,$BY$7:$BY$1843,BY1023,$AS$7:$AS$1843,"&gt;"&amp;AS1023)+SUMIFS($AP$7:$AP$1843,$BY$7:$BY$1843,BY1023,$AS$7:$AS$1843,AS1023,$BQ$7:$BQ$1843,"&lt;="&amp;BQ1023),"")</f>
        <v>120.245608256478</v>
      </c>
      <c r="AU1023" s="65" t="n">
        <f aca="false">IF(AT1023="",0,MAX(0,MIN(1,(IF(BY1023="L1",Parameter!$E$5,Parameter!$E$6+Parameter!$E$7)-(AT1023-AP1023))/AP1023)))</f>
        <v>0</v>
      </c>
      <c r="AV1023" s="57" t="n">
        <f aca="false">IF(LEFT(Cockpit!$O$5,1)="A",H1023,IF(CA1023=1,CB1023,IF(LEFT(Cockpit!$O$5,1)="B",AZ1023,MAX(AZ1023,H1023))))</f>
        <v>12</v>
      </c>
      <c r="AW1023" s="57" t="n">
        <f aca="false">IF(BT1023=1,0,ROUNDUP(AV1023/BS1023,0))</f>
        <v>1</v>
      </c>
      <c r="AX1023" s="59" t="n">
        <f aca="false">IF(CH1023&gt;0,CH1023*MAX(1,AV1023/X1023),IF(BT1023=1,IF(AV1023&lt;=0,0,BW1023*MAX(1,IF(H1023&gt;0,AV1023/H1023,1))),IF(R1023&gt;0,AW1023/R1023,0))/MAX(0.1,N(Parameter!$M$21)))</f>
        <v>0.0384615384615385</v>
      </c>
      <c r="AY1023" s="57" t="n">
        <f aca="false">AV1023*G1023</f>
        <v>509.04</v>
      </c>
      <c r="AZ1023" s="57" t="n">
        <f aca="false">ROUNDUP(MAX(J1023/IF(BZ1023&gt;0,BZ1023,MAX(0.1,N(Cockpit!$O$6))),CC1023)/BS1023,0)*BS1023</f>
        <v>12</v>
      </c>
      <c r="BA1023" s="58" t="n">
        <f aca="false">IF(AX1023&gt;0,J1023/AX1023,-1)</f>
        <v>0</v>
      </c>
      <c r="BB1023" s="58" t="n">
        <f aca="false">IF(AND(OR(BY1023="L1",BY1023="L23"),AX1023&gt;0),SUMIFS($AX$7:$AX$1843,$BY$7:$BY$1843,BY1023,$BA$7:$BA$1843,"&gt;"&amp;BA1023)+SUMIFS($AX$7:$AX$1843,$BY$7:$BY$1843,BY1023,$BA$7:$BA$1843,BA1023,$BQ$7:$BQ$1843,"&lt;="&amp;BQ1023),"")</f>
        <v>111.075445086315</v>
      </c>
      <c r="BC1023" s="65" t="n">
        <f aca="false">IF(BB1023="",0,MAX(0,MIN(1,(IF(BY1023="L1",Parameter!$E$5,Parameter!$E$6+Parameter!$E$7)-(BB1023-AX1023))/AX1023)))</f>
        <v>0</v>
      </c>
      <c r="BD1023" s="55" t="str">
        <f aca="false">IF(AH1023&lt;=0,"",IF(BY1023="Aussen","Aussenlager",IF(BY1023="-","Nicht im Lift",IF(AM1023&gt;=1,"Lift",IF(AM1023&lt;=0,"Aussenlager","teilweise")))))</f>
        <v>Lift</v>
      </c>
      <c r="BE1023" s="55" t="str">
        <f aca="false">IF(AP1023&lt;=0,"",IF(BY1023="Aussen","Aussenlager",IF(BY1023="-","Nicht im Lift",IF(AU1023&gt;=1,"Lift",IF(AU1023&lt;=0,"Aussenlager","teilweise")))))</f>
        <v>Aussenlager</v>
      </c>
      <c r="BF1023" s="55" t="str">
        <f aca="false">IF(AX1023&lt;=0,"",IF(BY1023="Aussen","Aussenlager",IF(BY1023="-","Nicht im Lift",IF(BC1023&gt;=1,"Lift",IF(BC1023&lt;=0,"Aussenlager","teilweise")))))</f>
        <v>Aussenlager</v>
      </c>
      <c r="BG1023" s="55" t="str">
        <f aca="false">IF(A1023="","",IF(BP1023=1,"Neu; ","")&amp;IF(AND(BP1023=0,BK1023&lt;0),"negativer Bestand (Export "&amp;BK1023&amp;"); ","")&amp;IF(J1023&lt;=0,"Kein Verbrauch; ","")&amp;IF(CH1023&gt;0,"Lift "&amp;W1023&amp;" lt. Liftbericht (Fach "&amp;X1023&amp;" Stk); ",IF(BU1023=1,"Gebinde geschätzt ("&amp;T1023&amp;"); ",IF(BT1023=1,"Lose – Tablare geschätzt; ","")))&amp;IF(H1023&gt;AR1023,"Überbestand "&amp;ROUND(H1023-AR1023,0)&amp;" Stk / CHF "&amp;ROUND((H1023-AR1023)*G1023,0)&amp;"; ","")&amp;IF(AND(CA1023=1,CB1023&lt;CC1023),"MAX &lt; MB+LG; ","")&amp;IF(AND(CG1023&gt;0,CF1023*10&gt;CG1023),"zu hoch für Tablar; ","")&amp;IF(AND(BP1023=0,OR(CA1023=1,AA1023&lt;&gt;"",U1023&lt;&gt;"",V1023&lt;&gt;"",AB1023&lt;&gt;"")),"manuell übersteuert; ","")&amp;IF(AND(BT1023=0,R1023=0),"Gebinde unbekannt / Stellmass fehlt; ","")&amp;IF(AND(BT1023=0,N(V1023)&lt;=0,N(Q1023)&lt;=0),"Menge pro Gebinde fehlt (Ist = 1 Gebinde); ","")&amp;BO1023)</f>
        <v>negativer Bestand (Export -3); Kein Verbrauch; Neu</v>
      </c>
      <c r="BH1023" s="55"/>
      <c r="BI1023" s="55"/>
      <c r="BJ1023" s="62"/>
      <c r="BK1023" s="57" t="n">
        <v>-3</v>
      </c>
      <c r="BL1023" s="57" t="n">
        <v>7</v>
      </c>
      <c r="BM1023" s="56" t="n">
        <v>-122.22</v>
      </c>
      <c r="BN1023" s="57" t="n">
        <v>0</v>
      </c>
      <c r="BO1023" s="55" t="s">
        <v>626</v>
      </c>
      <c r="BP1023" s="60" t="n">
        <v>0</v>
      </c>
      <c r="BQ1023" s="60" t="n">
        <v>1023</v>
      </c>
      <c r="BR1023" s="55" t="str">
        <f aca="false">IF(U1023&lt;&gt;"",UPPER(TRIM(U1023)),IF(BU1023=1,UPPER(VLOOKUP(T1023,Parameter!$I$27:$K$29,2,0)),IF(P1023="","LOSE",P1023)))</f>
        <v>S52</v>
      </c>
      <c r="BS1023" s="57" t="n">
        <f aca="false">IF(BR1023="LOSE",1,IF(N(V1023)&gt;0,V1023,IF(BU1023=1,MAX(1,N(VLOOKUP(T1023,Parameter!$I$27:$K$29,3,0)),H1023,N(N1023)),IF(N(Q1023)&gt;0,Q1023,MAX(1,H1023)))))</f>
        <v>12</v>
      </c>
      <c r="BT1023" s="60" t="n">
        <f aca="false">IF(BR1023="LOSE",1,0)</f>
        <v>0</v>
      </c>
      <c r="BU1023" s="60" t="n">
        <f aca="false">IF(AND(U1023="",OR(P1023="",P1023="LOSE"),T1023&lt;&gt;"",N(S1023)&lt;=0,ISNUMBER(MATCH(T1023,Parameter!$I$27:$I$29,0))),1,0)</f>
        <v>0</v>
      </c>
      <c r="BV1023" s="55" t="str">
        <f aca="false">IF(AND(Parameter!$B$19="Ja",E1023&lt;&gt;"",ISNUMBER(MATCH(E1023,Parameter!$I$35:$I$52,0))),VLOOKUP(E1023,Parameter!$I$35:$J$52,2,0),IFERROR(VLOOKUP(D1023,Parameter!$A$35:$C$64,2,0),"Nein"))</f>
        <v>2+3</v>
      </c>
      <c r="BW1023" s="59" t="n">
        <f aca="false">IF(BT1023=0,0,IF(N(S1023)&gt;0,S1023,IFERROR(VLOOKUP(D1023,Parameter!$A$35:$C$64,3,0)+0,0)))</f>
        <v>0</v>
      </c>
      <c r="BX1023" s="55" t="n">
        <f aca="false">IF(AA1023&lt;&gt;"",AA1023,Z1023)</f>
        <v>3</v>
      </c>
      <c r="BY1023" s="55" t="str">
        <f aca="false">IF(BX1023=1,"L1",IF(OR(BX1023=2,BX1023=3),"L23",IF(BX1023="Aussen","Aussen","-")))</f>
        <v>L23</v>
      </c>
      <c r="BZ1023" s="66" t="n">
        <f aca="false">IF(N(AB1023)&gt;0,AB1023,0)</f>
        <v>0</v>
      </c>
      <c r="CA1023" s="60" t="n">
        <f aca="false">IF(ISNUMBER(AE1023),1,0)</f>
        <v>0</v>
      </c>
      <c r="CB1023" s="57" t="n">
        <f aca="false">N(AE1023)</f>
        <v>0</v>
      </c>
      <c r="CC1023" s="57" t="n">
        <f aca="false">N(M1023)+N(N1023)</f>
        <v>1</v>
      </c>
      <c r="CD1023" s="57" t="n">
        <f aca="false">ROUNDUP(H1023/BS1023,0)</f>
        <v>1</v>
      </c>
      <c r="CE1023" s="57" t="n">
        <f aca="false">ROUNDUP(CB1023/BS1023,0)</f>
        <v>0</v>
      </c>
      <c r="CF1023" s="60" t="n">
        <f aca="false">IF(BT1023=1,0,IFERROR(VLOOKUP(BR1023,'Gebinde-Kategorie'!$A$5:$M$45,5,0)+0,0))</f>
        <v>21</v>
      </c>
      <c r="CG1023" s="60" t="n">
        <f aca="false">IFERROR(IF(OR(BX1023=1,BX1023=2,BX1023=3),N(INDEX(Parameter!$I$5:$I$7,BX1023)),0),0)</f>
        <v>0</v>
      </c>
      <c r="CH1023" s="59" t="n">
        <f aca="false">IF(AND(Parameter!$B$21="Ja",ISNUMBER(W1023),N(X1023)&gt;0),IFERROR(N(INDEX(Parameter!$L$5:$L$7,W1023))*INDEX(Parameter!$E$5:$E$7,W1023)*X1023/SUMIFS($X$7:$X$1843,$W$7:$W$1843,W1023),0),0)</f>
        <v>0</v>
      </c>
    </row>
    <row r="1024" customFormat="false" ht="15" hidden="false" customHeight="false" outlineLevel="0" collapsed="false">
      <c r="A1024" s="55" t="s">
        <v>1882</v>
      </c>
      <c r="B1024" s="55" t="s">
        <v>1883</v>
      </c>
      <c r="C1024" s="55" t="s">
        <v>164</v>
      </c>
      <c r="D1024" s="55" t="s">
        <v>184</v>
      </c>
      <c r="E1024" s="55" t="s">
        <v>185</v>
      </c>
      <c r="F1024" s="55" t="s">
        <v>218</v>
      </c>
      <c r="G1024" s="56" t="n">
        <v>124</v>
      </c>
      <c r="H1024" s="57" t="n">
        <f aca="false">MAX(0,IF(AND(Parameter!$B$21="Ja",ISNUMBER(Y1024)),Y1024,IF(Parameter!$B$20="Jahresanfang 2025 + Export",BL1024+BK1024,BK1024)))</f>
        <v>39</v>
      </c>
      <c r="I1024" s="57" t="n">
        <f aca="false">H1024*G1024</f>
        <v>4836</v>
      </c>
      <c r="J1024" s="57" t="n">
        <f aca="false">BN1024*Parameter!$B$18</f>
        <v>2</v>
      </c>
      <c r="K1024" s="58" t="n">
        <v>39</v>
      </c>
      <c r="L1024" s="59" t="n">
        <v>0.0512820512820513</v>
      </c>
      <c r="M1024" s="57" t="n">
        <v>0</v>
      </c>
      <c r="N1024" s="57" t="n">
        <v>1</v>
      </c>
      <c r="O1024" s="60" t="n">
        <v>35</v>
      </c>
      <c r="P1024" s="55" t="s">
        <v>233</v>
      </c>
      <c r="Q1024" s="57" t="n">
        <v>45</v>
      </c>
      <c r="R1024" s="60" t="n">
        <f aca="false">IF(BT1024=1,0,IFERROR(VLOOKUP(BR1024,'Gebinde-Kategorie'!$A$5:$M$45,13,0)+0,0))</f>
        <v>26</v>
      </c>
      <c r="S1024" s="61"/>
      <c r="T1024" s="62"/>
      <c r="U1024" s="62"/>
      <c r="V1024" s="62"/>
      <c r="W1024" s="55"/>
      <c r="X1024" s="57"/>
      <c r="Y1024" s="57"/>
      <c r="Z1024" s="55" t="n">
        <f aca="false">IF(A1024="","",IF(AND(Parameter!$B$21="Ja",ISNUMBER(W1024)),W1024,IF(BV1024="2+3",IF(ISNUMBER(SEARCH("grosser Artikel",BO1024)),2,IFERROR(VLOOKUP(BR1024,Parameter!$F$35:$G$64,2,0),2)),IF(OR(BV1024="Nein",BV1024=""),"-",BV1024))))</f>
        <v>3</v>
      </c>
      <c r="AA1024" s="62"/>
      <c r="AB1024" s="63"/>
      <c r="AC1024" s="57" t="n">
        <f aca="false">AR1024</f>
        <v>45</v>
      </c>
      <c r="AD1024" s="57" t="n">
        <f aca="false">MAX(AR1024,H1024)</f>
        <v>45</v>
      </c>
      <c r="AE1024" s="64"/>
      <c r="AF1024" s="57" t="n">
        <f aca="false">IF(LEFT(Cockpit!$C$5,1)="A",H1024,IF(CA1024=1,CB1024,IF(LEFT(Cockpit!$C$5,1)="B",AJ1024,MAX(AJ1024,H1024))))</f>
        <v>39</v>
      </c>
      <c r="AG1024" s="57" t="n">
        <f aca="false">IF(BT1024=1,0,ROUNDUP(AF1024/BS1024,0))</f>
        <v>1</v>
      </c>
      <c r="AH1024" s="59" t="n">
        <f aca="false">IF(CH1024&gt;0,CH1024*MAX(1,AF1024/X1024),IF(BT1024=1,IF(AF1024&lt;=0,0,BW1024*MAX(1,IF(H1024&gt;0,AF1024/H1024,1))),IF(R1024&gt;0,AG1024/R1024,0))/MAX(0.1,N(Parameter!$M$21)))</f>
        <v>0.0384615384615385</v>
      </c>
      <c r="AI1024" s="57" t="n">
        <f aca="false">AF1024*G1024</f>
        <v>4836</v>
      </c>
      <c r="AJ1024" s="57" t="n">
        <f aca="false">ROUNDUP(MAX(J1024/IF(BZ1024&gt;0,BZ1024,MAX(0.1,N(Cockpit!$C$6))),CC1024)/BS1024,0)*BS1024</f>
        <v>45</v>
      </c>
      <c r="AK1024" s="58" t="n">
        <f aca="false">IF(AH1024&gt;0,J1024/AH1024,-1)</f>
        <v>52</v>
      </c>
      <c r="AL1024" s="58" t="n">
        <f aca="false">IF(AND(OR(BY1024="L1",BY1024="L23"),AH1024&gt;0),SUMIFS($AH$7:$AH$1843,$BY$7:$BY$1843,BY1024,$AK$7:$AK$1843,"&gt;"&amp;AK1024)+SUMIFS($AH$7:$AH$1843,$BY$7:$BY$1843,BY1024,$AK$7:$AK$1843,AK1024,$BQ$7:$BQ$1843,"&lt;="&amp;BQ1024),"")</f>
        <v>44.5106753150231</v>
      </c>
      <c r="AM1024" s="65" t="n">
        <f aca="false">IF(AL1024="",0,MAX(0,MIN(1,(IF(BY1024="L1",Parameter!$E$5,Parameter!$E$6+Parameter!$E$7)-(AL1024-AH1024))/AH1024)))</f>
        <v>1</v>
      </c>
      <c r="AN1024" s="57" t="n">
        <f aca="false">IF(LEFT(Cockpit!$I$5,1)="A",H1024,IF(CA1024=1,CB1024,IF(LEFT(Cockpit!$I$5,1)="B",AR1024,MAX(AR1024,H1024))))</f>
        <v>45</v>
      </c>
      <c r="AO1024" s="57" t="n">
        <f aca="false">IF(BT1024=1,0,ROUNDUP(AN1024/BS1024,0))</f>
        <v>1</v>
      </c>
      <c r="AP1024" s="59" t="n">
        <f aca="false">IF(CH1024&gt;0,CH1024*MAX(1,AN1024/X1024),IF(BT1024=1,IF(AN1024&lt;=0,0,BW1024*MAX(1,IF(H1024&gt;0,AN1024/H1024,1))),IF(R1024&gt;0,AO1024/R1024,0))/MAX(0.1,N(Parameter!$M$21)))</f>
        <v>0.0384615384615385</v>
      </c>
      <c r="AQ1024" s="57" t="n">
        <f aca="false">AN1024*G1024</f>
        <v>5580</v>
      </c>
      <c r="AR1024" s="57" t="n">
        <f aca="false">ROUNDUP(MAX(J1024/IF(BZ1024&gt;0,BZ1024,MAX(0.1,N(Cockpit!$I$6))),CC1024)/BS1024,0)*BS1024</f>
        <v>45</v>
      </c>
      <c r="AS1024" s="58" t="n">
        <f aca="false">IF(AP1024&gt;0,J1024/AP1024,-1)</f>
        <v>52</v>
      </c>
      <c r="AT1024" s="58" t="n">
        <f aca="false">IF(AND(OR(BY1024="L1",BY1024="L23"),AP1024&gt;0),SUMIFS($AP$7:$AP$1843,$BY$7:$BY$1843,BY1024,$AS$7:$AS$1843,"&gt;"&amp;AS1024)+SUMIFS($AP$7:$AP$1843,$BY$7:$BY$1843,BY1024,$AS$7:$AS$1843,AS1024,$BQ$7:$BQ$1843,"&lt;="&amp;BQ1024),"")</f>
        <v>67.4540302692477</v>
      </c>
      <c r="AU1024" s="65" t="n">
        <f aca="false">IF(AT1024="",0,MAX(0,MIN(1,(IF(BY1024="L1",Parameter!$E$5,Parameter!$E$6+Parameter!$E$7)-(AT1024-AP1024))/AP1024)))</f>
        <v>1</v>
      </c>
      <c r="AV1024" s="57" t="n">
        <f aca="false">IF(LEFT(Cockpit!$O$5,1)="A",H1024,IF(CA1024=1,CB1024,IF(LEFT(Cockpit!$O$5,1)="B",AZ1024,MAX(AZ1024,H1024))))</f>
        <v>45</v>
      </c>
      <c r="AW1024" s="57" t="n">
        <f aca="false">IF(BT1024=1,0,ROUNDUP(AV1024/BS1024,0))</f>
        <v>1</v>
      </c>
      <c r="AX1024" s="59" t="n">
        <f aca="false">IF(CH1024&gt;0,CH1024*MAX(1,AV1024/X1024),IF(BT1024=1,IF(AV1024&lt;=0,0,BW1024*MAX(1,IF(H1024&gt;0,AV1024/H1024,1))),IF(R1024&gt;0,AW1024/R1024,0))/MAX(0.1,N(Parameter!$M$21)))</f>
        <v>0.0384615384615385</v>
      </c>
      <c r="AY1024" s="57" t="n">
        <f aca="false">AV1024*G1024</f>
        <v>5580</v>
      </c>
      <c r="AZ1024" s="57" t="n">
        <f aca="false">ROUNDUP(MAX(J1024/IF(BZ1024&gt;0,BZ1024,MAX(0.1,N(Cockpit!$O$6))),CC1024)/BS1024,0)*BS1024</f>
        <v>45</v>
      </c>
      <c r="BA1024" s="58" t="n">
        <f aca="false">IF(AX1024&gt;0,J1024/AX1024,-1)</f>
        <v>52</v>
      </c>
      <c r="BB1024" s="58" t="n">
        <f aca="false">IF(AND(OR(BY1024="L1",BY1024="L23"),AX1024&gt;0),SUMIFS($AX$7:$AX$1843,$BY$7:$BY$1843,BY1024,$BA$7:$BA$1843,"&gt;"&amp;BA1024)+SUMIFS($AX$7:$AX$1843,$BY$7:$BY$1843,BY1024,$BA$7:$BA$1843,BA1024,$BQ$7:$BQ$1843,"&lt;="&amp;BQ1024),"")</f>
        <v>61.9505337657512</v>
      </c>
      <c r="BC1024" s="65" t="n">
        <f aca="false">IF(BB1024="",0,MAX(0,MIN(1,(IF(BY1024="L1",Parameter!$E$5,Parameter!$E$6+Parameter!$E$7)-(BB1024-AX1024))/AX1024)))</f>
        <v>1</v>
      </c>
      <c r="BD1024" s="55" t="str">
        <f aca="false">IF(AH1024&lt;=0,"",IF(BY1024="Aussen","Aussenlager",IF(BY1024="-","Nicht im Lift",IF(AM1024&gt;=1,"Lift",IF(AM1024&lt;=0,"Aussenlager","teilweise")))))</f>
        <v>Lift</v>
      </c>
      <c r="BE1024" s="55" t="str">
        <f aca="false">IF(AP1024&lt;=0,"",IF(BY1024="Aussen","Aussenlager",IF(BY1024="-","Nicht im Lift",IF(AU1024&gt;=1,"Lift",IF(AU1024&lt;=0,"Aussenlager","teilweise")))))</f>
        <v>Lift</v>
      </c>
      <c r="BF1024" s="55" t="str">
        <f aca="false">IF(AX1024&lt;=0,"",IF(BY1024="Aussen","Aussenlager",IF(BY1024="-","Nicht im Lift",IF(BC1024&gt;=1,"Lift",IF(BC1024&lt;=0,"Aussenlager","teilweise")))))</f>
        <v>Lift</v>
      </c>
      <c r="BG1024" s="55" t="str">
        <f aca="false">IF(A1024="","",IF(BP1024=1,"Neu; ","")&amp;IF(AND(BP1024=0,BK1024&lt;0),"negativer Bestand (Export "&amp;BK1024&amp;"); ","")&amp;IF(J1024&lt;=0,"Kein Verbrauch; ","")&amp;IF(CH1024&gt;0,"Lift "&amp;W1024&amp;" lt. Liftbericht (Fach "&amp;X1024&amp;" Stk); ",IF(BU1024=1,"Gebinde geschätzt ("&amp;T1024&amp;"); ",IF(BT1024=1,"Lose – Tablare geschätzt; ","")))&amp;IF(H1024&gt;AR1024,"Überbestand "&amp;ROUND(H1024-AR1024,0)&amp;" Stk / CHF "&amp;ROUND((H1024-AR1024)*G1024,0)&amp;"; ","")&amp;IF(AND(CA1024=1,CB1024&lt;CC1024),"MAX &lt; MB+LG; ","")&amp;IF(AND(CG1024&gt;0,CF1024*10&gt;CG1024),"zu hoch für Tablar; ","")&amp;IF(AND(BP1024=0,OR(CA1024=1,AA1024&lt;&gt;"",U1024&lt;&gt;"",V1024&lt;&gt;"",AB1024&lt;&gt;"")),"manuell übersteuert; ","")&amp;IF(AND(BT1024=0,R1024=0),"Gebinde unbekannt / Stellmass fehlt; ","")&amp;IF(AND(BT1024=0,N(V1024)&lt;=0,N(Q1024)&lt;=0),"Menge pro Gebinde fehlt (Ist = 1 Gebinde); ","")&amp;BO1024)</f>
        <v>negativer Bestand (Export -1); </v>
      </c>
      <c r="BH1024" s="55"/>
      <c r="BI1024" s="55"/>
      <c r="BJ1024" s="62"/>
      <c r="BK1024" s="57" t="n">
        <v>-1</v>
      </c>
      <c r="BL1024" s="57" t="n">
        <v>40</v>
      </c>
      <c r="BM1024" s="56" t="n">
        <v>-124</v>
      </c>
      <c r="BN1024" s="57" t="n">
        <v>2</v>
      </c>
      <c r="BO1024" s="55"/>
      <c r="BP1024" s="60" t="n">
        <v>0</v>
      </c>
      <c r="BQ1024" s="60" t="n">
        <v>1024</v>
      </c>
      <c r="BR1024" s="55" t="str">
        <f aca="false">IF(U1024&lt;&gt;"",UPPER(TRIM(U1024)),IF(BU1024=1,UPPER(VLOOKUP(T1024,Parameter!$I$27:$K$29,2,0)),IF(P1024="","LOSE",P1024)))</f>
        <v>S52</v>
      </c>
      <c r="BS1024" s="57" t="n">
        <f aca="false">IF(BR1024="LOSE",1,IF(N(V1024)&gt;0,V1024,IF(BU1024=1,MAX(1,N(VLOOKUP(T1024,Parameter!$I$27:$K$29,3,0)),H1024,N(N1024)),IF(N(Q1024)&gt;0,Q1024,MAX(1,H1024)))))</f>
        <v>45</v>
      </c>
      <c r="BT1024" s="60" t="n">
        <f aca="false">IF(BR1024="LOSE",1,0)</f>
        <v>0</v>
      </c>
      <c r="BU1024" s="60" t="n">
        <f aca="false">IF(AND(U1024="",OR(P1024="",P1024="LOSE"),T1024&lt;&gt;"",N(S1024)&lt;=0,ISNUMBER(MATCH(T1024,Parameter!$I$27:$I$29,0))),1,0)</f>
        <v>0</v>
      </c>
      <c r="BV1024" s="55" t="str">
        <f aca="false">IF(AND(Parameter!$B$19="Ja",E1024&lt;&gt;"",ISNUMBER(MATCH(E1024,Parameter!$I$35:$I$52,0))),VLOOKUP(E1024,Parameter!$I$35:$J$52,2,0),IFERROR(VLOOKUP(D1024,Parameter!$A$35:$C$64,2,0),"Nein"))</f>
        <v>2+3</v>
      </c>
      <c r="BW1024" s="59" t="n">
        <f aca="false">IF(BT1024=0,0,IF(N(S1024)&gt;0,S1024,IFERROR(VLOOKUP(D1024,Parameter!$A$35:$C$64,3,0)+0,0)))</f>
        <v>0</v>
      </c>
      <c r="BX1024" s="55" t="n">
        <f aca="false">IF(AA1024&lt;&gt;"",AA1024,Z1024)</f>
        <v>3</v>
      </c>
      <c r="BY1024" s="55" t="str">
        <f aca="false">IF(BX1024=1,"L1",IF(OR(BX1024=2,BX1024=3),"L23",IF(BX1024="Aussen","Aussen","-")))</f>
        <v>L23</v>
      </c>
      <c r="BZ1024" s="66" t="n">
        <f aca="false">IF(N(AB1024)&gt;0,AB1024,0)</f>
        <v>0</v>
      </c>
      <c r="CA1024" s="60" t="n">
        <f aca="false">IF(ISNUMBER(AE1024),1,0)</f>
        <v>0</v>
      </c>
      <c r="CB1024" s="57" t="n">
        <f aca="false">N(AE1024)</f>
        <v>0</v>
      </c>
      <c r="CC1024" s="57" t="n">
        <f aca="false">N(M1024)+N(N1024)</f>
        <v>1</v>
      </c>
      <c r="CD1024" s="57" t="n">
        <f aca="false">ROUNDUP(H1024/BS1024,0)</f>
        <v>1</v>
      </c>
      <c r="CE1024" s="57" t="n">
        <f aca="false">ROUNDUP(CB1024/BS1024,0)</f>
        <v>0</v>
      </c>
      <c r="CF1024" s="60" t="n">
        <f aca="false">IF(BT1024=1,0,IFERROR(VLOOKUP(BR1024,'Gebinde-Kategorie'!$A$5:$M$45,5,0)+0,0))</f>
        <v>21</v>
      </c>
      <c r="CG1024" s="60" t="n">
        <f aca="false">IFERROR(IF(OR(BX1024=1,BX1024=2,BX1024=3),N(INDEX(Parameter!$I$5:$I$7,BX1024)),0),0)</f>
        <v>0</v>
      </c>
      <c r="CH1024" s="59" t="n">
        <f aca="false">IF(AND(Parameter!$B$21="Ja",ISNUMBER(W1024),N(X1024)&gt;0),IFERROR(N(INDEX(Parameter!$L$5:$L$7,W1024))*INDEX(Parameter!$E$5:$E$7,W1024)*X1024/SUMIFS($X$7:$X$1843,$W$7:$W$1843,W1024),0),0)</f>
        <v>0</v>
      </c>
    </row>
    <row r="1025" customFormat="false" ht="15" hidden="false" customHeight="false" outlineLevel="0" collapsed="false">
      <c r="A1025" s="55" t="s">
        <v>1884</v>
      </c>
      <c r="B1025" s="55" t="s">
        <v>1885</v>
      </c>
      <c r="C1025" s="55" t="s">
        <v>164</v>
      </c>
      <c r="D1025" s="55" t="s">
        <v>184</v>
      </c>
      <c r="E1025" s="55"/>
      <c r="F1025" s="55" t="s">
        <v>218</v>
      </c>
      <c r="G1025" s="56" t="n">
        <v>27.84</v>
      </c>
      <c r="H1025" s="57" t="n">
        <f aca="false">MAX(0,IF(AND(Parameter!$B$21="Ja",ISNUMBER(Y1025)),Y1025,IF(Parameter!$B$20="Jahresanfang 2025 + Export",BL1025+BK1025,BK1025)))</f>
        <v>10</v>
      </c>
      <c r="I1025" s="57" t="n">
        <f aca="false">H1025*G1025</f>
        <v>278.4</v>
      </c>
      <c r="J1025" s="57" t="n">
        <f aca="false">BN1025*Parameter!$B$18</f>
        <v>20</v>
      </c>
      <c r="K1025" s="58" t="n">
        <v>19</v>
      </c>
      <c r="L1025" s="59" t="n">
        <v>1.05263157894737</v>
      </c>
      <c r="M1025" s="57" t="n">
        <v>1</v>
      </c>
      <c r="N1025" s="57" t="n">
        <v>20</v>
      </c>
      <c r="O1025" s="60" t="n">
        <v>21</v>
      </c>
      <c r="P1025" s="55" t="s">
        <v>426</v>
      </c>
      <c r="Q1025" s="57" t="n">
        <v>17</v>
      </c>
      <c r="R1025" s="60" t="n">
        <f aca="false">IF(BT1025=1,0,IFERROR(VLOOKUP(BR1025,'Gebinde-Kategorie'!$A$5:$M$45,13,0)+0,0))</f>
        <v>198</v>
      </c>
      <c r="S1025" s="61"/>
      <c r="T1025" s="62"/>
      <c r="U1025" s="62"/>
      <c r="V1025" s="62"/>
      <c r="W1025" s="55"/>
      <c r="X1025" s="57"/>
      <c r="Y1025" s="57"/>
      <c r="Z1025" s="55" t="n">
        <f aca="false">IF(A1025="","",IF(AND(Parameter!$B$21="Ja",ISNUMBER(W1025)),W1025,IF(BV1025="2+3",IF(ISNUMBER(SEARCH("grosser Artikel",BO1025)),2,IFERROR(VLOOKUP(BR1025,Parameter!$F$35:$G$64,2,0),2)),IF(OR(BV1025="Nein",BV1025=""),"-",BV1025))))</f>
        <v>3</v>
      </c>
      <c r="AA1025" s="62"/>
      <c r="AB1025" s="63"/>
      <c r="AC1025" s="57" t="n">
        <f aca="false">AR1025</f>
        <v>34</v>
      </c>
      <c r="AD1025" s="57" t="n">
        <f aca="false">MAX(AR1025,H1025)</f>
        <v>34</v>
      </c>
      <c r="AE1025" s="64"/>
      <c r="AF1025" s="57" t="n">
        <f aca="false">IF(LEFT(Cockpit!$C$5,1)="A",H1025,IF(CA1025=1,CB1025,IF(LEFT(Cockpit!$C$5,1)="B",AJ1025,MAX(AJ1025,H1025))))</f>
        <v>10</v>
      </c>
      <c r="AG1025" s="57" t="n">
        <f aca="false">IF(BT1025=1,0,ROUNDUP(AF1025/BS1025,0))</f>
        <v>1</v>
      </c>
      <c r="AH1025" s="59" t="n">
        <f aca="false">IF(CH1025&gt;0,CH1025*MAX(1,AF1025/X1025),IF(BT1025=1,IF(AF1025&lt;=0,0,BW1025*MAX(1,IF(H1025&gt;0,AF1025/H1025,1))),IF(R1025&gt;0,AG1025/R1025,0))/MAX(0.1,N(Parameter!$M$21)))</f>
        <v>0.00505050505050505</v>
      </c>
      <c r="AI1025" s="57" t="n">
        <f aca="false">AF1025*G1025</f>
        <v>278.4</v>
      </c>
      <c r="AJ1025" s="57" t="n">
        <f aca="false">ROUNDUP(MAX(J1025/IF(BZ1025&gt;0,BZ1025,MAX(0.1,N(Cockpit!$C$6))),CC1025)/BS1025,0)*BS1025</f>
        <v>34</v>
      </c>
      <c r="AK1025" s="58" t="n">
        <f aca="false">IF(AH1025&gt;0,J1025/AH1025,-1)</f>
        <v>3960</v>
      </c>
      <c r="AL1025" s="58" t="n">
        <f aca="false">IF(AND(OR(BY1025="L1",BY1025="L23"),AH1025&gt;0),SUMIFS($AH$7:$AH$1843,$BY$7:$BY$1843,BY1025,$AK$7:$AK$1843,"&gt;"&amp;AK1025)+SUMIFS($AH$7:$AH$1843,$BY$7:$BY$1843,BY1025,$AK$7:$AK$1843,AK1025,$BQ$7:$BQ$1843,"&lt;="&amp;BQ1025),"")</f>
        <v>9.02841120232425</v>
      </c>
      <c r="AM1025" s="65" t="n">
        <f aca="false">IF(AL1025="",0,MAX(0,MIN(1,(IF(BY1025="L1",Parameter!$E$5,Parameter!$E$6+Parameter!$E$7)-(AL1025-AH1025))/AH1025)))</f>
        <v>1</v>
      </c>
      <c r="AN1025" s="57" t="n">
        <f aca="false">IF(LEFT(Cockpit!$I$5,1)="A",H1025,IF(CA1025=1,CB1025,IF(LEFT(Cockpit!$I$5,1)="B",AR1025,MAX(AR1025,H1025))))</f>
        <v>34</v>
      </c>
      <c r="AO1025" s="57" t="n">
        <f aca="false">IF(BT1025=1,0,ROUNDUP(AN1025/BS1025,0))</f>
        <v>2</v>
      </c>
      <c r="AP1025" s="59" t="n">
        <f aca="false">IF(CH1025&gt;0,CH1025*MAX(1,AN1025/X1025),IF(BT1025=1,IF(AN1025&lt;=0,0,BW1025*MAX(1,IF(H1025&gt;0,AN1025/H1025,1))),IF(R1025&gt;0,AO1025/R1025,0))/MAX(0.1,N(Parameter!$M$21)))</f>
        <v>0.0101010101010101</v>
      </c>
      <c r="AQ1025" s="57" t="n">
        <f aca="false">AN1025*G1025</f>
        <v>946.56</v>
      </c>
      <c r="AR1025" s="57" t="n">
        <f aca="false">ROUNDUP(MAX(J1025/IF(BZ1025&gt;0,BZ1025,MAX(0.1,N(Cockpit!$I$6))),CC1025)/BS1025,0)*BS1025</f>
        <v>34</v>
      </c>
      <c r="AS1025" s="58" t="n">
        <f aca="false">IF(AP1025&gt;0,J1025/AP1025,-1)</f>
        <v>1980</v>
      </c>
      <c r="AT1025" s="58" t="n">
        <f aca="false">IF(AND(OR(BY1025="L1",BY1025="L23"),AP1025&gt;0),SUMIFS($AP$7:$AP$1843,$BY$7:$BY$1843,BY1025,$AS$7:$AS$1843,"&gt;"&amp;AS1025)+SUMIFS($AP$7:$AP$1843,$BY$7:$BY$1843,BY1025,$AS$7:$AS$1843,AS1025,$BQ$7:$BQ$1843,"&lt;="&amp;BQ1025),"")</f>
        <v>18.6629674673153</v>
      </c>
      <c r="AU1025" s="65" t="n">
        <f aca="false">IF(AT1025="",0,MAX(0,MIN(1,(IF(BY1025="L1",Parameter!$E$5,Parameter!$E$6+Parameter!$E$7)-(AT1025-AP1025))/AP1025)))</f>
        <v>1</v>
      </c>
      <c r="AV1025" s="57" t="n">
        <f aca="false">IF(LEFT(Cockpit!$O$5,1)="A",H1025,IF(CA1025=1,CB1025,IF(LEFT(Cockpit!$O$5,1)="B",AZ1025,MAX(AZ1025,H1025))))</f>
        <v>34</v>
      </c>
      <c r="AW1025" s="57" t="n">
        <f aca="false">IF(BT1025=1,0,ROUNDUP(AV1025/BS1025,0))</f>
        <v>2</v>
      </c>
      <c r="AX1025" s="59" t="n">
        <f aca="false">IF(CH1025&gt;0,CH1025*MAX(1,AV1025/X1025),IF(BT1025=1,IF(AV1025&lt;=0,0,BW1025*MAX(1,IF(H1025&gt;0,AV1025/H1025,1))),IF(R1025&gt;0,AW1025/R1025,0))/MAX(0.1,N(Parameter!$M$21)))</f>
        <v>0.0101010101010101</v>
      </c>
      <c r="AY1025" s="57" t="n">
        <f aca="false">AV1025*G1025</f>
        <v>946.56</v>
      </c>
      <c r="AZ1025" s="57" t="n">
        <f aca="false">ROUNDUP(MAX(J1025/IF(BZ1025&gt;0,BZ1025,MAX(0.1,N(Cockpit!$O$6))),CC1025)/BS1025,0)*BS1025</f>
        <v>34</v>
      </c>
      <c r="BA1025" s="58" t="n">
        <f aca="false">IF(AX1025&gt;0,J1025/AX1025,-1)</f>
        <v>1980</v>
      </c>
      <c r="BB1025" s="58" t="n">
        <f aca="false">IF(AND(OR(BY1025="L1",BY1025="L23"),AX1025&gt;0),SUMIFS($AX$7:$AX$1843,$BY$7:$BY$1843,BY1025,$BA$7:$BA$1843,"&gt;"&amp;BA1025)+SUMIFS($AX$7:$AX$1843,$BY$7:$BY$1843,BY1025,$BA$7:$BA$1843,BA1025,$BQ$7:$BQ$1843,"&lt;="&amp;BQ1025),"")</f>
        <v>17.2748555792034</v>
      </c>
      <c r="BC1025" s="65" t="n">
        <f aca="false">IF(BB1025="",0,MAX(0,MIN(1,(IF(BY1025="L1",Parameter!$E$5,Parameter!$E$6+Parameter!$E$7)-(BB1025-AX1025))/AX1025)))</f>
        <v>1</v>
      </c>
      <c r="BD1025" s="55" t="str">
        <f aca="false">IF(AH1025&lt;=0,"",IF(BY1025="Aussen","Aussenlager",IF(BY1025="-","Nicht im Lift",IF(AM1025&gt;=1,"Lift",IF(AM1025&lt;=0,"Aussenlager","teilweise")))))</f>
        <v>Lift</v>
      </c>
      <c r="BE1025" s="55" t="str">
        <f aca="false">IF(AP1025&lt;=0,"",IF(BY1025="Aussen","Aussenlager",IF(BY1025="-","Nicht im Lift",IF(AU1025&gt;=1,"Lift",IF(AU1025&lt;=0,"Aussenlager","teilweise")))))</f>
        <v>Lift</v>
      </c>
      <c r="BF1025" s="55" t="str">
        <f aca="false">IF(AX1025&lt;=0,"",IF(BY1025="Aussen","Aussenlager",IF(BY1025="-","Nicht im Lift",IF(BC1025&gt;=1,"Lift",IF(BC1025&lt;=0,"Aussenlager","teilweise")))))</f>
        <v>Lift</v>
      </c>
      <c r="BG1025" s="55" t="str">
        <f aca="false">IF(A1025="","",IF(BP1025=1,"Neu; ","")&amp;IF(AND(BP1025=0,BK1025&lt;0),"negativer Bestand (Export "&amp;BK1025&amp;"); ","")&amp;IF(J1025&lt;=0,"Kein Verbrauch; ","")&amp;IF(CH1025&gt;0,"Lift "&amp;W1025&amp;" lt. Liftbericht (Fach "&amp;X1025&amp;" Stk); ",IF(BU1025=1,"Gebinde geschätzt ("&amp;T1025&amp;"); ",IF(BT1025=1,"Lose – Tablare geschätzt; ","")))&amp;IF(H1025&gt;AR1025,"Überbestand "&amp;ROUND(H1025-AR1025,0)&amp;" Stk / CHF "&amp;ROUND((H1025-AR1025)*G1025,0)&amp;"; ","")&amp;IF(AND(CA1025=1,CB1025&lt;CC1025),"MAX &lt; MB+LG; ","")&amp;IF(AND(CG1025&gt;0,CF1025*10&gt;CG1025),"zu hoch für Tablar; ","")&amp;IF(AND(BP1025=0,OR(CA1025=1,AA1025&lt;&gt;"",U1025&lt;&gt;"",V1025&lt;&gt;"",AB1025&lt;&gt;"")),"manuell übersteuert; ","")&amp;IF(AND(BT1025=0,R1025=0),"Gebinde unbekannt / Stellmass fehlt; ","")&amp;IF(AND(BT1025=0,N(V1025)&lt;=0,N(Q1025)&lt;=0),"Menge pro Gebinde fehlt (Ist = 1 Gebinde); ","")&amp;BO1025)</f>
        <v>negativer Bestand (Export -4); </v>
      </c>
      <c r="BH1025" s="55"/>
      <c r="BI1025" s="55"/>
      <c r="BJ1025" s="62"/>
      <c r="BK1025" s="57" t="n">
        <v>-4</v>
      </c>
      <c r="BL1025" s="57" t="n">
        <v>14</v>
      </c>
      <c r="BM1025" s="56" t="n">
        <v>-124.24</v>
      </c>
      <c r="BN1025" s="57" t="n">
        <v>20</v>
      </c>
      <c r="BO1025" s="55"/>
      <c r="BP1025" s="60" t="n">
        <v>0</v>
      </c>
      <c r="BQ1025" s="60" t="n">
        <v>1025</v>
      </c>
      <c r="BR1025" s="55" t="str">
        <f aca="false">IF(U1025&lt;&gt;"",UPPER(TRIM(U1025)),IF(BU1025=1,UPPER(VLOOKUP(T1025,Parameter!$I$27:$K$29,2,0)),IF(P1025="","LOSE",P1025)))</f>
        <v>S22</v>
      </c>
      <c r="BS1025" s="57" t="n">
        <f aca="false">IF(BR1025="LOSE",1,IF(N(V1025)&gt;0,V1025,IF(BU1025=1,MAX(1,N(VLOOKUP(T1025,Parameter!$I$27:$K$29,3,0)),H1025,N(N1025)),IF(N(Q1025)&gt;0,Q1025,MAX(1,H1025)))))</f>
        <v>17</v>
      </c>
      <c r="BT1025" s="60" t="n">
        <f aca="false">IF(BR1025="LOSE",1,0)</f>
        <v>0</v>
      </c>
      <c r="BU1025" s="60" t="n">
        <f aca="false">IF(AND(U1025="",OR(P1025="",P1025="LOSE"),T1025&lt;&gt;"",N(S1025)&lt;=0,ISNUMBER(MATCH(T1025,Parameter!$I$27:$I$29,0))),1,0)</f>
        <v>0</v>
      </c>
      <c r="BV1025" s="55" t="str">
        <f aca="false">IF(AND(Parameter!$B$19="Ja",E1025&lt;&gt;"",ISNUMBER(MATCH(E1025,Parameter!$I$35:$I$52,0))),VLOOKUP(E1025,Parameter!$I$35:$J$52,2,0),IFERROR(VLOOKUP(D1025,Parameter!$A$35:$C$64,2,0),"Nein"))</f>
        <v>2+3</v>
      </c>
      <c r="BW1025" s="59" t="n">
        <f aca="false">IF(BT1025=0,0,IF(N(S1025)&gt;0,S1025,IFERROR(VLOOKUP(D1025,Parameter!$A$35:$C$64,3,0)+0,0)))</f>
        <v>0</v>
      </c>
      <c r="BX1025" s="55" t="n">
        <f aca="false">IF(AA1025&lt;&gt;"",AA1025,Z1025)</f>
        <v>3</v>
      </c>
      <c r="BY1025" s="55" t="str">
        <f aca="false">IF(BX1025=1,"L1",IF(OR(BX1025=2,BX1025=3),"L23",IF(BX1025="Aussen","Aussen","-")))</f>
        <v>L23</v>
      </c>
      <c r="BZ1025" s="66" t="n">
        <f aca="false">IF(N(AB1025)&gt;0,AB1025,0)</f>
        <v>0</v>
      </c>
      <c r="CA1025" s="60" t="n">
        <f aca="false">IF(ISNUMBER(AE1025),1,0)</f>
        <v>0</v>
      </c>
      <c r="CB1025" s="57" t="n">
        <f aca="false">N(AE1025)</f>
        <v>0</v>
      </c>
      <c r="CC1025" s="57" t="n">
        <f aca="false">N(M1025)+N(N1025)</f>
        <v>21</v>
      </c>
      <c r="CD1025" s="57" t="n">
        <f aca="false">ROUNDUP(H1025/BS1025,0)</f>
        <v>1</v>
      </c>
      <c r="CE1025" s="57" t="n">
        <f aca="false">ROUNDUP(CB1025/BS1025,0)</f>
        <v>0</v>
      </c>
      <c r="CF1025" s="60" t="n">
        <f aca="false">IF(BT1025=1,0,IFERROR(VLOOKUP(BR1025,'Gebinde-Kategorie'!$A$5:$M$45,5,0)+0,0))</f>
        <v>8</v>
      </c>
      <c r="CG1025" s="60" t="n">
        <f aca="false">IFERROR(IF(OR(BX1025=1,BX1025=2,BX1025=3),N(INDEX(Parameter!$I$5:$I$7,BX1025)),0),0)</f>
        <v>0</v>
      </c>
      <c r="CH1025" s="59" t="n">
        <f aca="false">IF(AND(Parameter!$B$21="Ja",ISNUMBER(W1025),N(X1025)&gt;0),IFERROR(N(INDEX(Parameter!$L$5:$L$7,W1025))*INDEX(Parameter!$E$5:$E$7,W1025)*X1025/SUMIFS($X$7:$X$1843,$W$7:$W$1843,W1025),0),0)</f>
        <v>0</v>
      </c>
    </row>
    <row r="1026" customFormat="false" ht="15" hidden="false" customHeight="false" outlineLevel="0" collapsed="false">
      <c r="A1026" s="55" t="s">
        <v>1886</v>
      </c>
      <c r="B1026" s="55" t="s">
        <v>1887</v>
      </c>
      <c r="C1026" s="55" t="s">
        <v>164</v>
      </c>
      <c r="D1026" s="55" t="s">
        <v>184</v>
      </c>
      <c r="E1026" s="55" t="s">
        <v>185</v>
      </c>
      <c r="F1026" s="55" t="s">
        <v>218</v>
      </c>
      <c r="G1026" s="56" t="n">
        <v>11.33</v>
      </c>
      <c r="H1026" s="57" t="n">
        <f aca="false">MAX(0,IF(AND(Parameter!$B$21="Ja",ISNUMBER(Y1026)),Y1026,IF(Parameter!$B$20="Jahresanfang 2025 + Export",BL1026+BK1026,BK1026)))</f>
        <v>4</v>
      </c>
      <c r="I1026" s="57" t="n">
        <f aca="false">H1026*G1026</f>
        <v>45.32</v>
      </c>
      <c r="J1026" s="57" t="n">
        <f aca="false">BN1026*Parameter!$B$18</f>
        <v>6</v>
      </c>
      <c r="K1026" s="58" t="n">
        <v>12</v>
      </c>
      <c r="L1026" s="59" t="n">
        <v>0.5</v>
      </c>
      <c r="M1026" s="57" t="n">
        <v>0</v>
      </c>
      <c r="N1026" s="57" t="n">
        <v>5</v>
      </c>
      <c r="O1026" s="60" t="n">
        <v>35</v>
      </c>
      <c r="P1026" s="55" t="s">
        <v>421</v>
      </c>
      <c r="Q1026" s="57" t="n">
        <v>9</v>
      </c>
      <c r="R1026" s="60" t="n">
        <f aca="false">IF(BT1026=1,0,IFERROR(VLOOKUP(BR1026,'Gebinde-Kategorie'!$A$5:$M$45,13,0)+0,0))</f>
        <v>132</v>
      </c>
      <c r="S1026" s="61"/>
      <c r="T1026" s="62"/>
      <c r="U1026" s="62"/>
      <c r="V1026" s="62"/>
      <c r="W1026" s="55"/>
      <c r="X1026" s="57"/>
      <c r="Y1026" s="57"/>
      <c r="Z1026" s="55" t="n">
        <f aca="false">IF(A1026="","",IF(AND(Parameter!$B$21="Ja",ISNUMBER(W1026)),W1026,IF(BV1026="2+3",IF(ISNUMBER(SEARCH("grosser Artikel",BO1026)),2,IFERROR(VLOOKUP(BR1026,Parameter!$F$35:$G$64,2,0),2)),IF(OR(BV1026="Nein",BV1026=""),"-",BV1026))))</f>
        <v>3</v>
      </c>
      <c r="AA1026" s="62"/>
      <c r="AB1026" s="63"/>
      <c r="AC1026" s="57" t="n">
        <f aca="false">AR1026</f>
        <v>9</v>
      </c>
      <c r="AD1026" s="57" t="n">
        <f aca="false">MAX(AR1026,H1026)</f>
        <v>9</v>
      </c>
      <c r="AE1026" s="64"/>
      <c r="AF1026" s="57" t="n">
        <f aca="false">IF(LEFT(Cockpit!$C$5,1)="A",H1026,IF(CA1026=1,CB1026,IF(LEFT(Cockpit!$C$5,1)="B",AJ1026,MAX(AJ1026,H1026))))</f>
        <v>4</v>
      </c>
      <c r="AG1026" s="57" t="n">
        <f aca="false">IF(BT1026=1,0,ROUNDUP(AF1026/BS1026,0))</f>
        <v>1</v>
      </c>
      <c r="AH1026" s="59" t="n">
        <f aca="false">IF(CH1026&gt;0,CH1026*MAX(1,AF1026/X1026),IF(BT1026=1,IF(AF1026&lt;=0,0,BW1026*MAX(1,IF(H1026&gt;0,AF1026/H1026,1))),IF(R1026&gt;0,AG1026/R1026,0))/MAX(0.1,N(Parameter!$M$21)))</f>
        <v>0.00757575757575758</v>
      </c>
      <c r="AI1026" s="57" t="n">
        <f aca="false">AF1026*G1026</f>
        <v>45.32</v>
      </c>
      <c r="AJ1026" s="57" t="n">
        <f aca="false">ROUNDUP(MAX(J1026/IF(BZ1026&gt;0,BZ1026,MAX(0.1,N(Cockpit!$C$6))),CC1026)/BS1026,0)*BS1026</f>
        <v>9</v>
      </c>
      <c r="AK1026" s="58" t="n">
        <f aca="false">IF(AH1026&gt;0,J1026/AH1026,-1)</f>
        <v>792</v>
      </c>
      <c r="AL1026" s="58" t="n">
        <f aca="false">IF(AND(OR(BY1026="L1",BY1026="L23"),AH1026&gt;0),SUMIFS($AH$7:$AH$1843,$BY$7:$BY$1843,BY1026,$AK$7:$AK$1843,"&gt;"&amp;AK1026)+SUMIFS($AH$7:$AH$1843,$BY$7:$BY$1843,BY1026,$AK$7:$AK$1843,AK1026,$BQ$7:$BQ$1843,"&lt;="&amp;BQ1026),"")</f>
        <v>20.8533411033411</v>
      </c>
      <c r="AM1026" s="65" t="n">
        <f aca="false">IF(AL1026="",0,MAX(0,MIN(1,(IF(BY1026="L1",Parameter!$E$5,Parameter!$E$6+Parameter!$E$7)-(AL1026-AH1026))/AH1026)))</f>
        <v>1</v>
      </c>
      <c r="AN1026" s="57" t="n">
        <f aca="false">IF(LEFT(Cockpit!$I$5,1)="A",H1026,IF(CA1026=1,CB1026,IF(LEFT(Cockpit!$I$5,1)="B",AR1026,MAX(AR1026,H1026))))</f>
        <v>9</v>
      </c>
      <c r="AO1026" s="57" t="n">
        <f aca="false">IF(BT1026=1,0,ROUNDUP(AN1026/BS1026,0))</f>
        <v>1</v>
      </c>
      <c r="AP1026" s="59" t="n">
        <f aca="false">IF(CH1026&gt;0,CH1026*MAX(1,AN1026/X1026),IF(BT1026=1,IF(AN1026&lt;=0,0,BW1026*MAX(1,IF(H1026&gt;0,AN1026/H1026,1))),IF(R1026&gt;0,AO1026/R1026,0))/MAX(0.1,N(Parameter!$M$21)))</f>
        <v>0.00757575757575758</v>
      </c>
      <c r="AQ1026" s="57" t="n">
        <f aca="false">AN1026*G1026</f>
        <v>101.97</v>
      </c>
      <c r="AR1026" s="57" t="n">
        <f aca="false">ROUNDUP(MAX(J1026/IF(BZ1026&gt;0,BZ1026,MAX(0.1,N(Cockpit!$I$6))),CC1026)/BS1026,0)*BS1026</f>
        <v>9</v>
      </c>
      <c r="AS1026" s="58" t="n">
        <f aca="false">IF(AP1026&gt;0,J1026/AP1026,-1)</f>
        <v>792</v>
      </c>
      <c r="AT1026" s="58" t="n">
        <f aca="false">IF(AND(OR(BY1026="L1",BY1026="L23"),AP1026&gt;0),SUMIFS($AP$7:$AP$1843,$BY$7:$BY$1843,BY1026,$AS$7:$AS$1843,"&gt;"&amp;AS1026)+SUMIFS($AP$7:$AP$1843,$BY$7:$BY$1843,BY1026,$AS$7:$AS$1843,AS1026,$BQ$7:$BQ$1843,"&lt;="&amp;BQ1026),"")</f>
        <v>26.5980879024357</v>
      </c>
      <c r="AU1026" s="65" t="n">
        <f aca="false">IF(AT1026="",0,MAX(0,MIN(1,(IF(BY1026="L1",Parameter!$E$5,Parameter!$E$6+Parameter!$E$7)-(AT1026-AP1026))/AP1026)))</f>
        <v>1</v>
      </c>
      <c r="AV1026" s="57" t="n">
        <f aca="false">IF(LEFT(Cockpit!$O$5,1)="A",H1026,IF(CA1026=1,CB1026,IF(LEFT(Cockpit!$O$5,1)="B",AZ1026,MAX(AZ1026,H1026))))</f>
        <v>9</v>
      </c>
      <c r="AW1026" s="57" t="n">
        <f aca="false">IF(BT1026=1,0,ROUNDUP(AV1026/BS1026,0))</f>
        <v>1</v>
      </c>
      <c r="AX1026" s="59" t="n">
        <f aca="false">IF(CH1026&gt;0,CH1026*MAX(1,AV1026/X1026),IF(BT1026=1,IF(AV1026&lt;=0,0,BW1026*MAX(1,IF(H1026&gt;0,AV1026/H1026,1))),IF(R1026&gt;0,AW1026/R1026,0))/MAX(0.1,N(Parameter!$M$21)))</f>
        <v>0.00757575757575758</v>
      </c>
      <c r="AY1026" s="57" t="n">
        <f aca="false">AV1026*G1026</f>
        <v>101.97</v>
      </c>
      <c r="AZ1026" s="57" t="n">
        <f aca="false">ROUNDUP(MAX(J1026/IF(BZ1026&gt;0,BZ1026,MAX(0.1,N(Cockpit!$O$6))),CC1026)/BS1026,0)*BS1026</f>
        <v>9</v>
      </c>
      <c r="BA1026" s="58" t="n">
        <f aca="false">IF(AX1026&gt;0,J1026/AX1026,-1)</f>
        <v>792</v>
      </c>
      <c r="BB1026" s="58" t="n">
        <f aca="false">IF(AND(OR(BY1026="L1",BY1026="L23"),AX1026&gt;0),SUMIFS($AX$7:$AX$1843,$BY$7:$BY$1843,BY1026,$BA$7:$BA$1843,"&gt;"&amp;BA1026)+SUMIFS($AX$7:$AX$1843,$BY$7:$BY$1843,BY1026,$BA$7:$BA$1843,BA1026,$BQ$7:$BQ$1843,"&lt;="&amp;BQ1026),"")</f>
        <v>26.0497196040674</v>
      </c>
      <c r="BC1026" s="65" t="n">
        <f aca="false">IF(BB1026="",0,MAX(0,MIN(1,(IF(BY1026="L1",Parameter!$E$5,Parameter!$E$6+Parameter!$E$7)-(BB1026-AX1026))/AX1026)))</f>
        <v>1</v>
      </c>
      <c r="BD1026" s="55" t="str">
        <f aca="false">IF(AH1026&lt;=0,"",IF(BY1026="Aussen","Aussenlager",IF(BY1026="-","Nicht im Lift",IF(AM1026&gt;=1,"Lift",IF(AM1026&lt;=0,"Aussenlager","teilweise")))))</f>
        <v>Lift</v>
      </c>
      <c r="BE1026" s="55" t="str">
        <f aca="false">IF(AP1026&lt;=0,"",IF(BY1026="Aussen","Aussenlager",IF(BY1026="-","Nicht im Lift",IF(AU1026&gt;=1,"Lift",IF(AU1026&lt;=0,"Aussenlager","teilweise")))))</f>
        <v>Lift</v>
      </c>
      <c r="BF1026" s="55" t="str">
        <f aca="false">IF(AX1026&lt;=0,"",IF(BY1026="Aussen","Aussenlager",IF(BY1026="-","Nicht im Lift",IF(BC1026&gt;=1,"Lift",IF(BC1026&lt;=0,"Aussenlager","teilweise")))))</f>
        <v>Lift</v>
      </c>
      <c r="BG1026" s="55" t="str">
        <f aca="false">IF(A1026="","",IF(BP1026=1,"Neu; ","")&amp;IF(AND(BP1026=0,BK1026&lt;0),"negativer Bestand (Export "&amp;BK1026&amp;"); ","")&amp;IF(J1026&lt;=0,"Kein Verbrauch; ","")&amp;IF(CH1026&gt;0,"Lift "&amp;W1026&amp;" lt. Liftbericht (Fach "&amp;X1026&amp;" Stk); ",IF(BU1026=1,"Gebinde geschätzt ("&amp;T1026&amp;"); ",IF(BT1026=1,"Lose – Tablare geschätzt; ","")))&amp;IF(H1026&gt;AR1026,"Überbestand "&amp;ROUND(H1026-AR1026,0)&amp;" Stk / CHF "&amp;ROUND((H1026-AR1026)*G1026,0)&amp;"; ","")&amp;IF(AND(CA1026=1,CB1026&lt;CC1026),"MAX &lt; MB+LG; ","")&amp;IF(AND(CG1026&gt;0,CF1026*10&gt;CG1026),"zu hoch für Tablar; ","")&amp;IF(AND(BP1026=0,OR(CA1026=1,AA1026&lt;&gt;"",U1026&lt;&gt;"",V1026&lt;&gt;"",AB1026&lt;&gt;"")),"manuell übersteuert; ","")&amp;IF(AND(BT1026=0,R1026=0),"Gebinde unbekannt / Stellmass fehlt; ","")&amp;IF(AND(BT1026=0,N(V1026)&lt;=0,N(Q1026)&lt;=0),"Menge pro Gebinde fehlt (Ist = 1 Gebinde); ","")&amp;BO1026)</f>
        <v>negativer Bestand (Export -11); </v>
      </c>
      <c r="BH1026" s="55"/>
      <c r="BI1026" s="55"/>
      <c r="BJ1026" s="62"/>
      <c r="BK1026" s="57" t="n">
        <v>-11</v>
      </c>
      <c r="BL1026" s="57" t="n">
        <v>15</v>
      </c>
      <c r="BM1026" s="56" t="n">
        <v>-124.63</v>
      </c>
      <c r="BN1026" s="57" t="n">
        <v>6</v>
      </c>
      <c r="BO1026" s="55"/>
      <c r="BP1026" s="60" t="n">
        <v>0</v>
      </c>
      <c r="BQ1026" s="60" t="n">
        <v>1026</v>
      </c>
      <c r="BR1026" s="55" t="str">
        <f aca="false">IF(U1026&lt;&gt;"",UPPER(TRIM(U1026)),IF(BU1026=1,UPPER(VLOOKUP(T1026,Parameter!$I$27:$K$29,2,0)),IF(P1026="","LOSE",P1026)))</f>
        <v>S32</v>
      </c>
      <c r="BS1026" s="57" t="n">
        <f aca="false">IF(BR1026="LOSE",1,IF(N(V1026)&gt;0,V1026,IF(BU1026=1,MAX(1,N(VLOOKUP(T1026,Parameter!$I$27:$K$29,3,0)),H1026,N(N1026)),IF(N(Q1026)&gt;0,Q1026,MAX(1,H1026)))))</f>
        <v>9</v>
      </c>
      <c r="BT1026" s="60" t="n">
        <f aca="false">IF(BR1026="LOSE",1,0)</f>
        <v>0</v>
      </c>
      <c r="BU1026" s="60" t="n">
        <f aca="false">IF(AND(U1026="",OR(P1026="",P1026="LOSE"),T1026&lt;&gt;"",N(S1026)&lt;=0,ISNUMBER(MATCH(T1026,Parameter!$I$27:$I$29,0))),1,0)</f>
        <v>0</v>
      </c>
      <c r="BV1026" s="55" t="str">
        <f aca="false">IF(AND(Parameter!$B$19="Ja",E1026&lt;&gt;"",ISNUMBER(MATCH(E1026,Parameter!$I$35:$I$52,0))),VLOOKUP(E1026,Parameter!$I$35:$J$52,2,0),IFERROR(VLOOKUP(D1026,Parameter!$A$35:$C$64,2,0),"Nein"))</f>
        <v>2+3</v>
      </c>
      <c r="BW1026" s="59" t="n">
        <f aca="false">IF(BT1026=0,0,IF(N(S1026)&gt;0,S1026,IFERROR(VLOOKUP(D1026,Parameter!$A$35:$C$64,3,0)+0,0)))</f>
        <v>0</v>
      </c>
      <c r="BX1026" s="55" t="n">
        <f aca="false">IF(AA1026&lt;&gt;"",AA1026,Z1026)</f>
        <v>3</v>
      </c>
      <c r="BY1026" s="55" t="str">
        <f aca="false">IF(BX1026=1,"L1",IF(OR(BX1026=2,BX1026=3),"L23",IF(BX1026="Aussen","Aussen","-")))</f>
        <v>L23</v>
      </c>
      <c r="BZ1026" s="66" t="n">
        <f aca="false">IF(N(AB1026)&gt;0,AB1026,0)</f>
        <v>0</v>
      </c>
      <c r="CA1026" s="60" t="n">
        <f aca="false">IF(ISNUMBER(AE1026),1,0)</f>
        <v>0</v>
      </c>
      <c r="CB1026" s="57" t="n">
        <f aca="false">N(AE1026)</f>
        <v>0</v>
      </c>
      <c r="CC1026" s="57" t="n">
        <f aca="false">N(M1026)+N(N1026)</f>
        <v>5</v>
      </c>
      <c r="CD1026" s="57" t="n">
        <f aca="false">ROUNDUP(H1026/BS1026,0)</f>
        <v>1</v>
      </c>
      <c r="CE1026" s="57" t="n">
        <f aca="false">ROUNDUP(CB1026/BS1026,0)</f>
        <v>0</v>
      </c>
      <c r="CF1026" s="60" t="n">
        <f aca="false">IF(BT1026=1,0,IFERROR(VLOOKUP(BR1026,'Gebinde-Kategorie'!$A$5:$M$45,5,0)+0,0))</f>
        <v>8</v>
      </c>
      <c r="CG1026" s="60" t="n">
        <f aca="false">IFERROR(IF(OR(BX1026=1,BX1026=2,BX1026=3),N(INDEX(Parameter!$I$5:$I$7,BX1026)),0),0)</f>
        <v>0</v>
      </c>
      <c r="CH1026" s="59" t="n">
        <f aca="false">IF(AND(Parameter!$B$21="Ja",ISNUMBER(W1026),N(X1026)&gt;0),IFERROR(N(INDEX(Parameter!$L$5:$L$7,W1026))*INDEX(Parameter!$E$5:$E$7,W1026)*X1026/SUMIFS($X$7:$X$1843,$W$7:$W$1843,W1026),0),0)</f>
        <v>0</v>
      </c>
    </row>
    <row r="1027" customFormat="false" ht="15" hidden="false" customHeight="false" outlineLevel="0" collapsed="false">
      <c r="A1027" s="55" t="s">
        <v>1888</v>
      </c>
      <c r="B1027" s="55" t="s">
        <v>1889</v>
      </c>
      <c r="C1027" s="55" t="s">
        <v>164</v>
      </c>
      <c r="D1027" s="55" t="s">
        <v>184</v>
      </c>
      <c r="E1027" s="55"/>
      <c r="F1027" s="55" t="s">
        <v>218</v>
      </c>
      <c r="G1027" s="56" t="n">
        <v>125</v>
      </c>
      <c r="H1027" s="57" t="n">
        <f aca="false">MAX(0,IF(AND(Parameter!$B$21="Ja",ISNUMBER(Y1027)),Y1027,IF(Parameter!$B$20="Jahresanfang 2025 + Export",BL1027+BK1027,BK1027)))</f>
        <v>10</v>
      </c>
      <c r="I1027" s="57" t="n">
        <f aca="false">H1027*G1027</f>
        <v>1250</v>
      </c>
      <c r="J1027" s="57" t="n">
        <f aca="false">BN1027*Parameter!$B$18</f>
        <v>0</v>
      </c>
      <c r="K1027" s="58" t="n">
        <v>11</v>
      </c>
      <c r="L1027" s="59" t="n">
        <v>0</v>
      </c>
      <c r="M1027" s="57" t="n">
        <v>0</v>
      </c>
      <c r="N1027" s="57" t="n">
        <v>1</v>
      </c>
      <c r="O1027" s="60" t="n">
        <v>35</v>
      </c>
      <c r="P1027" s="55" t="s">
        <v>293</v>
      </c>
      <c r="Q1027" s="57" t="n">
        <v>15</v>
      </c>
      <c r="R1027" s="60" t="n">
        <f aca="false">IF(BT1027=1,0,IFERROR(VLOOKUP(BR1027,'Gebinde-Kategorie'!$A$5:$M$45,13,0)+0,0))</f>
        <v>12</v>
      </c>
      <c r="S1027" s="61"/>
      <c r="T1027" s="62"/>
      <c r="U1027" s="62"/>
      <c r="V1027" s="62"/>
      <c r="W1027" s="55"/>
      <c r="X1027" s="57"/>
      <c r="Y1027" s="57"/>
      <c r="Z1027" s="55" t="n">
        <f aca="false">IF(A1027="","",IF(AND(Parameter!$B$21="Ja",ISNUMBER(W1027)),W1027,IF(BV1027="2+3",IF(ISNUMBER(SEARCH("grosser Artikel",BO1027)),2,IFERROR(VLOOKUP(BR1027,Parameter!$F$35:$G$64,2,0),2)),IF(OR(BV1027="Nein",BV1027=""),"-",BV1027))))</f>
        <v>2</v>
      </c>
      <c r="AA1027" s="62"/>
      <c r="AB1027" s="63"/>
      <c r="AC1027" s="57" t="n">
        <f aca="false">AR1027</f>
        <v>15</v>
      </c>
      <c r="AD1027" s="57" t="n">
        <f aca="false">MAX(AR1027,H1027)</f>
        <v>15</v>
      </c>
      <c r="AE1027" s="64"/>
      <c r="AF1027" s="57" t="n">
        <f aca="false">IF(LEFT(Cockpit!$C$5,1)="A",H1027,IF(CA1027=1,CB1027,IF(LEFT(Cockpit!$C$5,1)="B",AJ1027,MAX(AJ1027,H1027))))</f>
        <v>10</v>
      </c>
      <c r="AG1027" s="57" t="n">
        <f aca="false">IF(BT1027=1,0,ROUNDUP(AF1027/BS1027,0))</f>
        <v>1</v>
      </c>
      <c r="AH1027" s="59" t="n">
        <f aca="false">IF(CH1027&gt;0,CH1027*MAX(1,AF1027/X1027),IF(BT1027=1,IF(AF1027&lt;=0,0,BW1027*MAX(1,IF(H1027&gt;0,AF1027/H1027,1))),IF(R1027&gt;0,AG1027/R1027,0))/MAX(0.1,N(Parameter!$M$21)))</f>
        <v>0.0833333333333333</v>
      </c>
      <c r="AI1027" s="57" t="n">
        <f aca="false">AF1027*G1027</f>
        <v>1250</v>
      </c>
      <c r="AJ1027" s="57" t="n">
        <f aca="false">ROUNDUP(MAX(J1027/IF(BZ1027&gt;0,BZ1027,MAX(0.1,N(Cockpit!$C$6))),CC1027)/BS1027,0)*BS1027</f>
        <v>15</v>
      </c>
      <c r="AK1027" s="58" t="n">
        <f aca="false">IF(AH1027&gt;0,J1027/AH1027,-1)</f>
        <v>0</v>
      </c>
      <c r="AL1027" s="58" t="n">
        <f aca="false">IF(AND(OR(BY1027="L1",BY1027="L23"),AH1027&gt;0),SUMIFS($AH$7:$AH$1843,$BY$7:$BY$1843,BY1027,$AK$7:$AK$1843,"&gt;"&amp;AK1027)+SUMIFS($AH$7:$AH$1843,$BY$7:$BY$1843,BY1027,$AK$7:$AK$1843,AK1027,$BQ$7:$BQ$1843,"&lt;="&amp;BQ1027),"")</f>
        <v>78.8825039694605</v>
      </c>
      <c r="AM1027" s="65" t="n">
        <f aca="false">IF(AL1027="",0,MAX(0,MIN(1,(IF(BY1027="L1",Parameter!$E$5,Parameter!$E$6+Parameter!$E$7)-(AL1027-AH1027))/AH1027)))</f>
        <v>1</v>
      </c>
      <c r="AN1027" s="57" t="n">
        <f aca="false">IF(LEFT(Cockpit!$I$5,1)="A",H1027,IF(CA1027=1,CB1027,IF(LEFT(Cockpit!$I$5,1)="B",AR1027,MAX(AR1027,H1027))))</f>
        <v>15</v>
      </c>
      <c r="AO1027" s="57" t="n">
        <f aca="false">IF(BT1027=1,0,ROUNDUP(AN1027/BS1027,0))</f>
        <v>1</v>
      </c>
      <c r="AP1027" s="59" t="n">
        <f aca="false">IF(CH1027&gt;0,CH1027*MAX(1,AN1027/X1027),IF(BT1027=1,IF(AN1027&lt;=0,0,BW1027*MAX(1,IF(H1027&gt;0,AN1027/H1027,1))),IF(R1027&gt;0,AO1027/R1027,0))/MAX(0.1,N(Parameter!$M$21)))</f>
        <v>0.0833333333333333</v>
      </c>
      <c r="AQ1027" s="57" t="n">
        <f aca="false">AN1027*G1027</f>
        <v>1875</v>
      </c>
      <c r="AR1027" s="57" t="n">
        <f aca="false">ROUNDUP(MAX(J1027/IF(BZ1027&gt;0,BZ1027,MAX(0.1,N(Cockpit!$I$6))),CC1027)/BS1027,0)*BS1027</f>
        <v>15</v>
      </c>
      <c r="AS1027" s="58" t="n">
        <f aca="false">IF(AP1027&gt;0,J1027/AP1027,-1)</f>
        <v>0</v>
      </c>
      <c r="AT1027" s="58" t="n">
        <f aca="false">IF(AND(OR(BY1027="L1",BY1027="L23"),AP1027&gt;0),SUMIFS($AP$7:$AP$1843,$BY$7:$BY$1843,BY1027,$AS$7:$AS$1843,"&gt;"&amp;AS1027)+SUMIFS($AP$7:$AP$1843,$BY$7:$BY$1843,BY1027,$AS$7:$AS$1843,AS1027,$BQ$7:$BQ$1843,"&lt;="&amp;BQ1027),"")</f>
        <v>120.328941589811</v>
      </c>
      <c r="AU1027" s="65" t="n">
        <f aca="false">IF(AT1027="",0,MAX(0,MIN(1,(IF(BY1027="L1",Parameter!$E$5,Parameter!$E$6+Parameter!$E$7)-(AT1027-AP1027))/AP1027)))</f>
        <v>0</v>
      </c>
      <c r="AV1027" s="57" t="n">
        <f aca="false">IF(LEFT(Cockpit!$O$5,1)="A",H1027,IF(CA1027=1,CB1027,IF(LEFT(Cockpit!$O$5,1)="B",AZ1027,MAX(AZ1027,H1027))))</f>
        <v>15</v>
      </c>
      <c r="AW1027" s="57" t="n">
        <f aca="false">IF(BT1027=1,0,ROUNDUP(AV1027/BS1027,0))</f>
        <v>1</v>
      </c>
      <c r="AX1027" s="59" t="n">
        <f aca="false">IF(CH1027&gt;0,CH1027*MAX(1,AV1027/X1027),IF(BT1027=1,IF(AV1027&lt;=0,0,BW1027*MAX(1,IF(H1027&gt;0,AV1027/H1027,1))),IF(R1027&gt;0,AW1027/R1027,0))/MAX(0.1,N(Parameter!$M$21)))</f>
        <v>0.0833333333333333</v>
      </c>
      <c r="AY1027" s="57" t="n">
        <f aca="false">AV1027*G1027</f>
        <v>1875</v>
      </c>
      <c r="AZ1027" s="57" t="n">
        <f aca="false">ROUNDUP(MAX(J1027/IF(BZ1027&gt;0,BZ1027,MAX(0.1,N(Cockpit!$O$6))),CC1027)/BS1027,0)*BS1027</f>
        <v>15</v>
      </c>
      <c r="BA1027" s="58" t="n">
        <f aca="false">IF(AX1027&gt;0,J1027/AX1027,-1)</f>
        <v>0</v>
      </c>
      <c r="BB1027" s="58" t="n">
        <f aca="false">IF(AND(OR(BY1027="L1",BY1027="L23"),AX1027&gt;0),SUMIFS($AX$7:$AX$1843,$BY$7:$BY$1843,BY1027,$BA$7:$BA$1843,"&gt;"&amp;BA1027)+SUMIFS($AX$7:$AX$1843,$BY$7:$BY$1843,BY1027,$BA$7:$BA$1843,BA1027,$BQ$7:$BQ$1843,"&lt;="&amp;BQ1027),"")</f>
        <v>111.158778419648</v>
      </c>
      <c r="BC1027" s="65" t="n">
        <f aca="false">IF(BB1027="",0,MAX(0,MIN(1,(IF(BY1027="L1",Parameter!$E$5,Parameter!$E$6+Parameter!$E$7)-(BB1027-AX1027))/AX1027)))</f>
        <v>0</v>
      </c>
      <c r="BD1027" s="55" t="str">
        <f aca="false">IF(AH1027&lt;=0,"",IF(BY1027="Aussen","Aussenlager",IF(BY1027="-","Nicht im Lift",IF(AM1027&gt;=1,"Lift",IF(AM1027&lt;=0,"Aussenlager","teilweise")))))</f>
        <v>Lift</v>
      </c>
      <c r="BE1027" s="55" t="str">
        <f aca="false">IF(AP1027&lt;=0,"",IF(BY1027="Aussen","Aussenlager",IF(BY1027="-","Nicht im Lift",IF(AU1027&gt;=1,"Lift",IF(AU1027&lt;=0,"Aussenlager","teilweise")))))</f>
        <v>Aussenlager</v>
      </c>
      <c r="BF1027" s="55" t="str">
        <f aca="false">IF(AX1027&lt;=0,"",IF(BY1027="Aussen","Aussenlager",IF(BY1027="-","Nicht im Lift",IF(BC1027&gt;=1,"Lift",IF(BC1027&lt;=0,"Aussenlager","teilweise")))))</f>
        <v>Aussenlager</v>
      </c>
      <c r="BG1027" s="55" t="str">
        <f aca="false">IF(A1027="","",IF(BP1027=1,"Neu; ","")&amp;IF(AND(BP1027=0,BK1027&lt;0),"negativer Bestand (Export "&amp;BK1027&amp;"); ","")&amp;IF(J1027&lt;=0,"Kein Verbrauch; ","")&amp;IF(CH1027&gt;0,"Lift "&amp;W1027&amp;" lt. Liftbericht (Fach "&amp;X1027&amp;" Stk); ",IF(BU1027=1,"Gebinde geschätzt ("&amp;T1027&amp;"); ",IF(BT1027=1,"Lose – Tablare geschätzt; ","")))&amp;IF(H1027&gt;AR1027,"Überbestand "&amp;ROUND(H1027-AR1027,0)&amp;" Stk / CHF "&amp;ROUND((H1027-AR1027)*G1027,0)&amp;"; ","")&amp;IF(AND(CA1027=1,CB1027&lt;CC1027),"MAX &lt; MB+LG; ","")&amp;IF(AND(CG1027&gt;0,CF1027*10&gt;CG1027),"zu hoch für Tablar; ","")&amp;IF(AND(BP1027=0,OR(CA1027=1,AA1027&lt;&gt;"",U1027&lt;&gt;"",V1027&lt;&gt;"",AB1027&lt;&gt;"")),"manuell übersteuert; ","")&amp;IF(AND(BT1027=0,R1027=0),"Gebinde unbekannt / Stellmass fehlt; ","")&amp;IF(AND(BT1027=0,N(V1027)&lt;=0,N(Q1027)&lt;=0),"Menge pro Gebinde fehlt (Ist = 1 Gebinde); ","")&amp;BO1027)</f>
        <v>negativer Bestand (Export -1); Kein Verbrauch; </v>
      </c>
      <c r="BH1027" s="55"/>
      <c r="BI1027" s="55"/>
      <c r="BJ1027" s="62"/>
      <c r="BK1027" s="57" t="n">
        <v>-1</v>
      </c>
      <c r="BL1027" s="57" t="n">
        <v>11</v>
      </c>
      <c r="BM1027" s="56" t="n">
        <v>-125</v>
      </c>
      <c r="BN1027" s="57" t="n">
        <v>0</v>
      </c>
      <c r="BO1027" s="55"/>
      <c r="BP1027" s="60" t="n">
        <v>0</v>
      </c>
      <c r="BQ1027" s="60" t="n">
        <v>1027</v>
      </c>
      <c r="BR1027" s="55" t="str">
        <f aca="false">IF(U1027&lt;&gt;"",UPPER(TRIM(U1027)),IF(BU1027=1,UPPER(VLOOKUP(T1027,Parameter!$I$27:$K$29,2,0)),IF(P1027="","LOSE",P1027)))</f>
        <v>S62</v>
      </c>
      <c r="BS1027" s="57" t="n">
        <f aca="false">IF(BR1027="LOSE",1,IF(N(V1027)&gt;0,V1027,IF(BU1027=1,MAX(1,N(VLOOKUP(T1027,Parameter!$I$27:$K$29,3,0)),H1027,N(N1027)),IF(N(Q1027)&gt;0,Q1027,MAX(1,H1027)))))</f>
        <v>15</v>
      </c>
      <c r="BT1027" s="60" t="n">
        <f aca="false">IF(BR1027="LOSE",1,0)</f>
        <v>0</v>
      </c>
      <c r="BU1027" s="60" t="n">
        <f aca="false">IF(AND(U1027="",OR(P1027="",P1027="LOSE"),T1027&lt;&gt;"",N(S1027)&lt;=0,ISNUMBER(MATCH(T1027,Parameter!$I$27:$I$29,0))),1,0)</f>
        <v>0</v>
      </c>
      <c r="BV1027" s="55" t="str">
        <f aca="false">IF(AND(Parameter!$B$19="Ja",E1027&lt;&gt;"",ISNUMBER(MATCH(E1027,Parameter!$I$35:$I$52,0))),VLOOKUP(E1027,Parameter!$I$35:$J$52,2,0),IFERROR(VLOOKUP(D1027,Parameter!$A$35:$C$64,2,0),"Nein"))</f>
        <v>2+3</v>
      </c>
      <c r="BW1027" s="59" t="n">
        <f aca="false">IF(BT1027=0,0,IF(N(S1027)&gt;0,S1027,IFERROR(VLOOKUP(D1027,Parameter!$A$35:$C$64,3,0)+0,0)))</f>
        <v>0</v>
      </c>
      <c r="BX1027" s="55" t="n">
        <f aca="false">IF(AA1027&lt;&gt;"",AA1027,Z1027)</f>
        <v>2</v>
      </c>
      <c r="BY1027" s="55" t="str">
        <f aca="false">IF(BX1027=1,"L1",IF(OR(BX1027=2,BX1027=3),"L23",IF(BX1027="Aussen","Aussen","-")))</f>
        <v>L23</v>
      </c>
      <c r="BZ1027" s="66" t="n">
        <f aca="false">IF(N(AB1027)&gt;0,AB1027,0)</f>
        <v>0</v>
      </c>
      <c r="CA1027" s="60" t="n">
        <f aca="false">IF(ISNUMBER(AE1027),1,0)</f>
        <v>0</v>
      </c>
      <c r="CB1027" s="57" t="n">
        <f aca="false">N(AE1027)</f>
        <v>0</v>
      </c>
      <c r="CC1027" s="57" t="n">
        <f aca="false">N(M1027)+N(N1027)</f>
        <v>1</v>
      </c>
      <c r="CD1027" s="57" t="n">
        <f aca="false">ROUNDUP(H1027/BS1027,0)</f>
        <v>1</v>
      </c>
      <c r="CE1027" s="57" t="n">
        <f aca="false">ROUNDUP(CB1027/BS1027,0)</f>
        <v>0</v>
      </c>
      <c r="CF1027" s="60" t="n">
        <f aca="false">IF(BT1027=1,0,IFERROR(VLOOKUP(BR1027,'Gebinde-Kategorie'!$A$5:$M$45,5,0)+0,0))</f>
        <v>21</v>
      </c>
      <c r="CG1027" s="60" t="n">
        <f aca="false">IFERROR(IF(OR(BX1027=1,BX1027=2,BX1027=3),N(INDEX(Parameter!$I$5:$I$7,BX1027)),0),0)</f>
        <v>0</v>
      </c>
      <c r="CH1027" s="59" t="n">
        <f aca="false">IF(AND(Parameter!$B$21="Ja",ISNUMBER(W1027),N(X1027)&gt;0),IFERROR(N(INDEX(Parameter!$L$5:$L$7,W1027))*INDEX(Parameter!$E$5:$E$7,W1027)*X1027/SUMIFS($X$7:$X$1843,$W$7:$W$1843,W1027),0),0)</f>
        <v>0</v>
      </c>
    </row>
    <row r="1028" customFormat="false" ht="15" hidden="false" customHeight="false" outlineLevel="0" collapsed="false">
      <c r="A1028" s="55" t="s">
        <v>1890</v>
      </c>
      <c r="B1028" s="55" t="s">
        <v>544</v>
      </c>
      <c r="C1028" s="55" t="s">
        <v>164</v>
      </c>
      <c r="D1028" s="55" t="s">
        <v>184</v>
      </c>
      <c r="E1028" s="55" t="s">
        <v>185</v>
      </c>
      <c r="F1028" s="55" t="s">
        <v>218</v>
      </c>
      <c r="G1028" s="56" t="n">
        <v>20.71</v>
      </c>
      <c r="H1028" s="57" t="n">
        <f aca="false">MAX(0,IF(AND(Parameter!$B$21="Ja",ISNUMBER(Y1028)),Y1028,IF(Parameter!$B$20="Jahresanfang 2025 + Export",BL1028+BK1028,BK1028)))</f>
        <v>14</v>
      </c>
      <c r="I1028" s="57" t="n">
        <f aca="false">H1028*G1028</f>
        <v>289.94</v>
      </c>
      <c r="J1028" s="57" t="n">
        <f aca="false">BN1028*Parameter!$B$18</f>
        <v>13</v>
      </c>
      <c r="K1028" s="58" t="n">
        <v>19.5</v>
      </c>
      <c r="L1028" s="59" t="n">
        <v>0.666666666666667</v>
      </c>
      <c r="M1028" s="57" t="n">
        <v>0</v>
      </c>
      <c r="N1028" s="57" t="n">
        <v>15</v>
      </c>
      <c r="O1028" s="60" t="n">
        <v>21</v>
      </c>
      <c r="P1028" s="55" t="s">
        <v>421</v>
      </c>
      <c r="Q1028" s="57" t="n">
        <v>13</v>
      </c>
      <c r="R1028" s="60" t="n">
        <f aca="false">IF(BT1028=1,0,IFERROR(VLOOKUP(BR1028,'Gebinde-Kategorie'!$A$5:$M$45,13,0)+0,0))</f>
        <v>132</v>
      </c>
      <c r="S1028" s="61"/>
      <c r="T1028" s="62"/>
      <c r="U1028" s="62"/>
      <c r="V1028" s="62"/>
      <c r="W1028" s="55"/>
      <c r="X1028" s="57"/>
      <c r="Y1028" s="57"/>
      <c r="Z1028" s="55" t="n">
        <f aca="false">IF(A1028="","",IF(AND(Parameter!$B$21="Ja",ISNUMBER(W1028)),W1028,IF(BV1028="2+3",IF(ISNUMBER(SEARCH("grosser Artikel",BO1028)),2,IFERROR(VLOOKUP(BR1028,Parameter!$F$35:$G$64,2,0),2)),IF(OR(BV1028="Nein",BV1028=""),"-",BV1028))))</f>
        <v>3</v>
      </c>
      <c r="AA1028" s="62"/>
      <c r="AB1028" s="63"/>
      <c r="AC1028" s="57" t="n">
        <f aca="false">AR1028</f>
        <v>26</v>
      </c>
      <c r="AD1028" s="57" t="n">
        <f aca="false">MAX(AR1028,H1028)</f>
        <v>26</v>
      </c>
      <c r="AE1028" s="64"/>
      <c r="AF1028" s="57" t="n">
        <f aca="false">IF(LEFT(Cockpit!$C$5,1)="A",H1028,IF(CA1028=1,CB1028,IF(LEFT(Cockpit!$C$5,1)="B",AJ1028,MAX(AJ1028,H1028))))</f>
        <v>14</v>
      </c>
      <c r="AG1028" s="57" t="n">
        <f aca="false">IF(BT1028=1,0,ROUNDUP(AF1028/BS1028,0))</f>
        <v>2</v>
      </c>
      <c r="AH1028" s="59" t="n">
        <f aca="false">IF(CH1028&gt;0,CH1028*MAX(1,AF1028/X1028),IF(BT1028=1,IF(AF1028&lt;=0,0,BW1028*MAX(1,IF(H1028&gt;0,AF1028/H1028,1))),IF(R1028&gt;0,AG1028/R1028,0))/MAX(0.1,N(Parameter!$M$21)))</f>
        <v>0.0151515151515152</v>
      </c>
      <c r="AI1028" s="57" t="n">
        <f aca="false">AF1028*G1028</f>
        <v>289.94</v>
      </c>
      <c r="AJ1028" s="57" t="n">
        <f aca="false">ROUNDUP(MAX(J1028/IF(BZ1028&gt;0,BZ1028,MAX(0.1,N(Cockpit!$C$6))),CC1028)/BS1028,0)*BS1028</f>
        <v>26</v>
      </c>
      <c r="AK1028" s="58" t="n">
        <f aca="false">IF(AH1028&gt;0,J1028/AH1028,-1)</f>
        <v>858</v>
      </c>
      <c r="AL1028" s="58" t="n">
        <f aca="false">IF(AND(OR(BY1028="L1",BY1028="L23"),AH1028&gt;0),SUMIFS($AH$7:$AH$1843,$BY$7:$BY$1843,BY1028,$AK$7:$AK$1843,"&gt;"&amp;AK1028)+SUMIFS($AH$7:$AH$1843,$BY$7:$BY$1843,BY1028,$AK$7:$AK$1843,AK1028,$BQ$7:$BQ$1843,"&lt;="&amp;BQ1028),"")</f>
        <v>20.5718894631938</v>
      </c>
      <c r="AM1028" s="65" t="n">
        <f aca="false">IF(AL1028="",0,MAX(0,MIN(1,(IF(BY1028="L1",Parameter!$E$5,Parameter!$E$6+Parameter!$E$7)-(AL1028-AH1028))/AH1028)))</f>
        <v>1</v>
      </c>
      <c r="AN1028" s="57" t="n">
        <f aca="false">IF(LEFT(Cockpit!$I$5,1)="A",H1028,IF(CA1028=1,CB1028,IF(LEFT(Cockpit!$I$5,1)="B",AR1028,MAX(AR1028,H1028))))</f>
        <v>26</v>
      </c>
      <c r="AO1028" s="57" t="n">
        <f aca="false">IF(BT1028=1,0,ROUNDUP(AN1028/BS1028,0))</f>
        <v>2</v>
      </c>
      <c r="AP1028" s="59" t="n">
        <f aca="false">IF(CH1028&gt;0,CH1028*MAX(1,AN1028/X1028),IF(BT1028=1,IF(AN1028&lt;=0,0,BW1028*MAX(1,IF(H1028&gt;0,AN1028/H1028,1))),IF(R1028&gt;0,AO1028/R1028,0))/MAX(0.1,N(Parameter!$M$21)))</f>
        <v>0.0151515151515152</v>
      </c>
      <c r="AQ1028" s="57" t="n">
        <f aca="false">AN1028*G1028</f>
        <v>538.46</v>
      </c>
      <c r="AR1028" s="57" t="n">
        <f aca="false">ROUNDUP(MAX(J1028/IF(BZ1028&gt;0,BZ1028,MAX(0.1,N(Cockpit!$I$6))),CC1028)/BS1028,0)*BS1028</f>
        <v>26</v>
      </c>
      <c r="AS1028" s="58" t="n">
        <f aca="false">IF(AP1028&gt;0,J1028/AP1028,-1)</f>
        <v>858</v>
      </c>
      <c r="AT1028" s="58" t="n">
        <f aca="false">IF(AND(OR(BY1028="L1",BY1028="L23"),AP1028&gt;0),SUMIFS($AP$7:$AP$1843,$BY$7:$BY$1843,BY1028,$AS$7:$AS$1843,"&gt;"&amp;AS1028)+SUMIFS($AP$7:$AP$1843,$BY$7:$BY$1843,BY1028,$AS$7:$AS$1843,AS1028,$BQ$7:$BQ$1843,"&lt;="&amp;BQ1028),"")</f>
        <v>25.5276679841897</v>
      </c>
      <c r="AU1028" s="65" t="n">
        <f aca="false">IF(AT1028="",0,MAX(0,MIN(1,(IF(BY1028="L1",Parameter!$E$5,Parameter!$E$6+Parameter!$E$7)-(AT1028-AP1028))/AP1028)))</f>
        <v>1</v>
      </c>
      <c r="AV1028" s="57" t="n">
        <f aca="false">IF(LEFT(Cockpit!$O$5,1)="A",H1028,IF(CA1028=1,CB1028,IF(LEFT(Cockpit!$O$5,1)="B",AZ1028,MAX(AZ1028,H1028))))</f>
        <v>26</v>
      </c>
      <c r="AW1028" s="57" t="n">
        <f aca="false">IF(BT1028=1,0,ROUNDUP(AV1028/BS1028,0))</f>
        <v>2</v>
      </c>
      <c r="AX1028" s="59" t="n">
        <f aca="false">IF(CH1028&gt;0,CH1028*MAX(1,AV1028/X1028),IF(BT1028=1,IF(AV1028&lt;=0,0,BW1028*MAX(1,IF(H1028&gt;0,AV1028/H1028,1))),IF(R1028&gt;0,AW1028/R1028,0))/MAX(0.1,N(Parameter!$M$21)))</f>
        <v>0.0151515151515152</v>
      </c>
      <c r="AY1028" s="57" t="n">
        <f aca="false">AV1028*G1028</f>
        <v>538.46</v>
      </c>
      <c r="AZ1028" s="57" t="n">
        <f aca="false">ROUNDUP(MAX(J1028/IF(BZ1028&gt;0,BZ1028,MAX(0.1,N(Cockpit!$O$6))),CC1028)/BS1028,0)*BS1028</f>
        <v>26</v>
      </c>
      <c r="BA1028" s="58" t="n">
        <f aca="false">IF(AX1028&gt;0,J1028/AX1028,-1)</f>
        <v>858</v>
      </c>
      <c r="BB1028" s="58" t="n">
        <f aca="false">IF(AND(OR(BY1028="L1",BY1028="L23"),AX1028&gt;0),SUMIFS($AX$7:$AX$1843,$BY$7:$BY$1843,BY1028,$BA$7:$BA$1843,"&gt;"&amp;BA1028)+SUMIFS($AX$7:$AX$1843,$BY$7:$BY$1843,BY1028,$BA$7:$BA$1843,BA1028,$BQ$7:$BQ$1843,"&lt;="&amp;BQ1028),"")</f>
        <v>25.6459663524881</v>
      </c>
      <c r="BC1028" s="65" t="n">
        <f aca="false">IF(BB1028="",0,MAX(0,MIN(1,(IF(BY1028="L1",Parameter!$E$5,Parameter!$E$6+Parameter!$E$7)-(BB1028-AX1028))/AX1028)))</f>
        <v>1</v>
      </c>
      <c r="BD1028" s="55" t="str">
        <f aca="false">IF(AH1028&lt;=0,"",IF(BY1028="Aussen","Aussenlager",IF(BY1028="-","Nicht im Lift",IF(AM1028&gt;=1,"Lift",IF(AM1028&lt;=0,"Aussenlager","teilweise")))))</f>
        <v>Lift</v>
      </c>
      <c r="BE1028" s="55" t="str">
        <f aca="false">IF(AP1028&lt;=0,"",IF(BY1028="Aussen","Aussenlager",IF(BY1028="-","Nicht im Lift",IF(AU1028&gt;=1,"Lift",IF(AU1028&lt;=0,"Aussenlager","teilweise")))))</f>
        <v>Lift</v>
      </c>
      <c r="BF1028" s="55" t="str">
        <f aca="false">IF(AX1028&lt;=0,"",IF(BY1028="Aussen","Aussenlager",IF(BY1028="-","Nicht im Lift",IF(BC1028&gt;=1,"Lift",IF(BC1028&lt;=0,"Aussenlager","teilweise")))))</f>
        <v>Lift</v>
      </c>
      <c r="BG1028" s="55" t="str">
        <f aca="false">IF(A1028="","",IF(BP1028=1,"Neu; ","")&amp;IF(AND(BP1028=0,BK1028&lt;0),"negativer Bestand (Export "&amp;BK1028&amp;"); ","")&amp;IF(J1028&lt;=0,"Kein Verbrauch; ","")&amp;IF(CH1028&gt;0,"Lift "&amp;W1028&amp;" lt. Liftbericht (Fach "&amp;X1028&amp;" Stk); ",IF(BU1028=1,"Gebinde geschätzt ("&amp;T1028&amp;"); ",IF(BT1028=1,"Lose – Tablare geschätzt; ","")))&amp;IF(H1028&gt;AR1028,"Überbestand "&amp;ROUND(H1028-AR1028,0)&amp;" Stk / CHF "&amp;ROUND((H1028-AR1028)*G1028,0)&amp;"; ","")&amp;IF(AND(CA1028=1,CB1028&lt;CC1028),"MAX &lt; MB+LG; ","")&amp;IF(AND(CG1028&gt;0,CF1028*10&gt;CG1028),"zu hoch für Tablar; ","")&amp;IF(AND(BP1028=0,OR(CA1028=1,AA1028&lt;&gt;"",U1028&lt;&gt;"",V1028&lt;&gt;"",AB1028&lt;&gt;"")),"manuell übersteuert; ","")&amp;IF(AND(BT1028=0,R1028=0),"Gebinde unbekannt / Stellmass fehlt; ","")&amp;IF(AND(BT1028=0,N(V1028)&lt;=0,N(Q1028)&lt;=0),"Menge pro Gebinde fehlt (Ist = 1 Gebinde); ","")&amp;BO1028)</f>
        <v>negativer Bestand (Export -7); </v>
      </c>
      <c r="BH1028" s="55"/>
      <c r="BI1028" s="55"/>
      <c r="BJ1028" s="62"/>
      <c r="BK1028" s="57" t="n">
        <v>-7</v>
      </c>
      <c r="BL1028" s="57" t="n">
        <v>21</v>
      </c>
      <c r="BM1028" s="56" t="n">
        <v>-127.12</v>
      </c>
      <c r="BN1028" s="57" t="n">
        <v>13</v>
      </c>
      <c r="BO1028" s="55"/>
      <c r="BP1028" s="60" t="n">
        <v>0</v>
      </c>
      <c r="BQ1028" s="60" t="n">
        <v>1028</v>
      </c>
      <c r="BR1028" s="55" t="str">
        <f aca="false">IF(U1028&lt;&gt;"",UPPER(TRIM(U1028)),IF(BU1028=1,UPPER(VLOOKUP(T1028,Parameter!$I$27:$K$29,2,0)),IF(P1028="","LOSE",P1028)))</f>
        <v>S32</v>
      </c>
      <c r="BS1028" s="57" t="n">
        <f aca="false">IF(BR1028="LOSE",1,IF(N(V1028)&gt;0,V1028,IF(BU1028=1,MAX(1,N(VLOOKUP(T1028,Parameter!$I$27:$K$29,3,0)),H1028,N(N1028)),IF(N(Q1028)&gt;0,Q1028,MAX(1,H1028)))))</f>
        <v>13</v>
      </c>
      <c r="BT1028" s="60" t="n">
        <f aca="false">IF(BR1028="LOSE",1,0)</f>
        <v>0</v>
      </c>
      <c r="BU1028" s="60" t="n">
        <f aca="false">IF(AND(U1028="",OR(P1028="",P1028="LOSE"),T1028&lt;&gt;"",N(S1028)&lt;=0,ISNUMBER(MATCH(T1028,Parameter!$I$27:$I$29,0))),1,0)</f>
        <v>0</v>
      </c>
      <c r="BV1028" s="55" t="str">
        <f aca="false">IF(AND(Parameter!$B$19="Ja",E1028&lt;&gt;"",ISNUMBER(MATCH(E1028,Parameter!$I$35:$I$52,0))),VLOOKUP(E1028,Parameter!$I$35:$J$52,2,0),IFERROR(VLOOKUP(D1028,Parameter!$A$35:$C$64,2,0),"Nein"))</f>
        <v>2+3</v>
      </c>
      <c r="BW1028" s="59" t="n">
        <f aca="false">IF(BT1028=0,0,IF(N(S1028)&gt;0,S1028,IFERROR(VLOOKUP(D1028,Parameter!$A$35:$C$64,3,0)+0,0)))</f>
        <v>0</v>
      </c>
      <c r="BX1028" s="55" t="n">
        <f aca="false">IF(AA1028&lt;&gt;"",AA1028,Z1028)</f>
        <v>3</v>
      </c>
      <c r="BY1028" s="55" t="str">
        <f aca="false">IF(BX1028=1,"L1",IF(OR(BX1028=2,BX1028=3),"L23",IF(BX1028="Aussen","Aussen","-")))</f>
        <v>L23</v>
      </c>
      <c r="BZ1028" s="66" t="n">
        <f aca="false">IF(N(AB1028)&gt;0,AB1028,0)</f>
        <v>0</v>
      </c>
      <c r="CA1028" s="60" t="n">
        <f aca="false">IF(ISNUMBER(AE1028),1,0)</f>
        <v>0</v>
      </c>
      <c r="CB1028" s="57" t="n">
        <f aca="false">N(AE1028)</f>
        <v>0</v>
      </c>
      <c r="CC1028" s="57" t="n">
        <f aca="false">N(M1028)+N(N1028)</f>
        <v>15</v>
      </c>
      <c r="CD1028" s="57" t="n">
        <f aca="false">ROUNDUP(H1028/BS1028,0)</f>
        <v>2</v>
      </c>
      <c r="CE1028" s="57" t="n">
        <f aca="false">ROUNDUP(CB1028/BS1028,0)</f>
        <v>0</v>
      </c>
      <c r="CF1028" s="60" t="n">
        <f aca="false">IF(BT1028=1,0,IFERROR(VLOOKUP(BR1028,'Gebinde-Kategorie'!$A$5:$M$45,5,0)+0,0))</f>
        <v>8</v>
      </c>
      <c r="CG1028" s="60" t="n">
        <f aca="false">IFERROR(IF(OR(BX1028=1,BX1028=2,BX1028=3),N(INDEX(Parameter!$I$5:$I$7,BX1028)),0),0)</f>
        <v>0</v>
      </c>
      <c r="CH1028" s="59" t="n">
        <f aca="false">IF(AND(Parameter!$B$21="Ja",ISNUMBER(W1028),N(X1028)&gt;0),IFERROR(N(INDEX(Parameter!$L$5:$L$7,W1028))*INDEX(Parameter!$E$5:$E$7,W1028)*X1028/SUMIFS($X$7:$X$1843,$W$7:$W$1843,W1028),0),0)</f>
        <v>0</v>
      </c>
    </row>
    <row r="1029" customFormat="false" ht="15" hidden="false" customHeight="false" outlineLevel="0" collapsed="false">
      <c r="A1029" s="55" t="s">
        <v>1891</v>
      </c>
      <c r="B1029" s="55" t="s">
        <v>1892</v>
      </c>
      <c r="C1029" s="55" t="s">
        <v>164</v>
      </c>
      <c r="D1029" s="55" t="s">
        <v>184</v>
      </c>
      <c r="E1029" s="55" t="s">
        <v>185</v>
      </c>
      <c r="F1029" s="55" t="s">
        <v>218</v>
      </c>
      <c r="G1029" s="56" t="n">
        <v>15.9</v>
      </c>
      <c r="H1029" s="57" t="n">
        <f aca="false">MAX(0,IF(AND(Parameter!$B$21="Ja",ISNUMBER(Y1029)),Y1029,IF(Parameter!$B$20="Jahresanfang 2025 + Export",BL1029+BK1029,BK1029)))</f>
        <v>73</v>
      </c>
      <c r="I1029" s="57" t="n">
        <f aca="false">H1029*G1029</f>
        <v>1160.7</v>
      </c>
      <c r="J1029" s="57" t="n">
        <f aca="false">BN1029*Parameter!$B$18</f>
        <v>6</v>
      </c>
      <c r="K1029" s="58" t="n">
        <v>78</v>
      </c>
      <c r="L1029" s="59" t="n">
        <v>0.0769230769230769</v>
      </c>
      <c r="M1029" s="57" t="n">
        <v>0</v>
      </c>
      <c r="N1029" s="57" t="n">
        <v>5</v>
      </c>
      <c r="O1029" s="60" t="n">
        <v>35</v>
      </c>
      <c r="P1029" s="55" t="s">
        <v>328</v>
      </c>
      <c r="Q1029" s="57" t="n">
        <v>119</v>
      </c>
      <c r="R1029" s="60" t="n">
        <f aca="false">IF(BT1029=1,0,IFERROR(VLOOKUP(BR1029,'Gebinde-Kategorie'!$A$5:$M$45,13,0)+0,0))</f>
        <v>52</v>
      </c>
      <c r="S1029" s="61"/>
      <c r="T1029" s="62"/>
      <c r="U1029" s="62"/>
      <c r="V1029" s="62"/>
      <c r="W1029" s="55"/>
      <c r="X1029" s="57"/>
      <c r="Y1029" s="57"/>
      <c r="Z1029" s="55" t="n">
        <f aca="false">IF(A1029="","",IF(AND(Parameter!$B$21="Ja",ISNUMBER(W1029)),W1029,IF(BV1029="2+3",IF(ISNUMBER(SEARCH("grosser Artikel",BO1029)),2,IFERROR(VLOOKUP(BR1029,Parameter!$F$35:$G$64,2,0),2)),IF(OR(BV1029="Nein",BV1029=""),"-",BV1029))))</f>
        <v>3</v>
      </c>
      <c r="AA1029" s="62"/>
      <c r="AB1029" s="63"/>
      <c r="AC1029" s="57" t="n">
        <f aca="false">AR1029</f>
        <v>119</v>
      </c>
      <c r="AD1029" s="57" t="n">
        <f aca="false">MAX(AR1029,H1029)</f>
        <v>119</v>
      </c>
      <c r="AE1029" s="64"/>
      <c r="AF1029" s="57" t="n">
        <f aca="false">IF(LEFT(Cockpit!$C$5,1)="A",H1029,IF(CA1029=1,CB1029,IF(LEFT(Cockpit!$C$5,1)="B",AJ1029,MAX(AJ1029,H1029))))</f>
        <v>73</v>
      </c>
      <c r="AG1029" s="57" t="n">
        <f aca="false">IF(BT1029=1,0,ROUNDUP(AF1029/BS1029,0))</f>
        <v>1</v>
      </c>
      <c r="AH1029" s="59" t="n">
        <f aca="false">IF(CH1029&gt;0,CH1029*MAX(1,AF1029/X1029),IF(BT1029=1,IF(AF1029&lt;=0,0,BW1029*MAX(1,IF(H1029&gt;0,AF1029/H1029,1))),IF(R1029&gt;0,AG1029/R1029,0))/MAX(0.1,N(Parameter!$M$21)))</f>
        <v>0.0192307692307692</v>
      </c>
      <c r="AI1029" s="57" t="n">
        <f aca="false">AF1029*G1029</f>
        <v>1160.7</v>
      </c>
      <c r="AJ1029" s="57" t="n">
        <f aca="false">ROUNDUP(MAX(J1029/IF(BZ1029&gt;0,BZ1029,MAX(0.1,N(Cockpit!$C$6))),CC1029)/BS1029,0)*BS1029</f>
        <v>119</v>
      </c>
      <c r="AK1029" s="58" t="n">
        <f aca="false">IF(AH1029&gt;0,J1029/AH1029,-1)</f>
        <v>312</v>
      </c>
      <c r="AL1029" s="58" t="n">
        <f aca="false">IF(AND(OR(BY1029="L1",BY1029="L23"),AH1029&gt;0),SUMIFS($AH$7:$AH$1843,$BY$7:$BY$1843,BY1029,$AK$7:$AK$1843,"&gt;"&amp;AK1029)+SUMIFS($AH$7:$AH$1843,$BY$7:$BY$1843,BY1029,$AK$7:$AK$1843,AK1029,$BQ$7:$BQ$1843,"&lt;="&amp;BQ1029),"")</f>
        <v>28.0746849768589</v>
      </c>
      <c r="AM1029" s="65" t="n">
        <f aca="false">IF(AL1029="",0,MAX(0,MIN(1,(IF(BY1029="L1",Parameter!$E$5,Parameter!$E$6+Parameter!$E$7)-(AL1029-AH1029))/AH1029)))</f>
        <v>1</v>
      </c>
      <c r="AN1029" s="57" t="n">
        <f aca="false">IF(LEFT(Cockpit!$I$5,1)="A",H1029,IF(CA1029=1,CB1029,IF(LEFT(Cockpit!$I$5,1)="B",AR1029,MAX(AR1029,H1029))))</f>
        <v>119</v>
      </c>
      <c r="AO1029" s="57" t="n">
        <f aca="false">IF(BT1029=1,0,ROUNDUP(AN1029/BS1029,0))</f>
        <v>1</v>
      </c>
      <c r="AP1029" s="59" t="n">
        <f aca="false">IF(CH1029&gt;0,CH1029*MAX(1,AN1029/X1029),IF(BT1029=1,IF(AN1029&lt;=0,0,BW1029*MAX(1,IF(H1029&gt;0,AN1029/H1029,1))),IF(R1029&gt;0,AO1029/R1029,0))/MAX(0.1,N(Parameter!$M$21)))</f>
        <v>0.0192307692307692</v>
      </c>
      <c r="AQ1029" s="57" t="n">
        <f aca="false">AN1029*G1029</f>
        <v>1892.1</v>
      </c>
      <c r="AR1029" s="57" t="n">
        <f aca="false">ROUNDUP(MAX(J1029/IF(BZ1029&gt;0,BZ1029,MAX(0.1,N(Cockpit!$I$6))),CC1029)/BS1029,0)*BS1029</f>
        <v>119</v>
      </c>
      <c r="AS1029" s="58" t="n">
        <f aca="false">IF(AP1029&gt;0,J1029/AP1029,-1)</f>
        <v>312</v>
      </c>
      <c r="AT1029" s="58" t="n">
        <f aca="false">IF(AND(OR(BY1029="L1",BY1029="L23"),AP1029&gt;0),SUMIFS($AP$7:$AP$1843,$BY$7:$BY$1843,BY1029,$AS$7:$AS$1843,"&gt;"&amp;AS1029)+SUMIFS($AP$7:$AP$1843,$BY$7:$BY$1843,BY1029,$AS$7:$AS$1843,AS1029,$BQ$7:$BQ$1843,"&lt;="&amp;BQ1029),"")</f>
        <v>40.8752660383095</v>
      </c>
      <c r="AU1029" s="65" t="n">
        <f aca="false">IF(AT1029="",0,MAX(0,MIN(1,(IF(BY1029="L1",Parameter!$E$5,Parameter!$E$6+Parameter!$E$7)-(AT1029-AP1029))/AP1029)))</f>
        <v>1</v>
      </c>
      <c r="AV1029" s="57" t="n">
        <f aca="false">IF(LEFT(Cockpit!$O$5,1)="A",H1029,IF(CA1029=1,CB1029,IF(LEFT(Cockpit!$O$5,1)="B",AZ1029,MAX(AZ1029,H1029))))</f>
        <v>119</v>
      </c>
      <c r="AW1029" s="57" t="n">
        <f aca="false">IF(BT1029=1,0,ROUNDUP(AV1029/BS1029,0))</f>
        <v>1</v>
      </c>
      <c r="AX1029" s="59" t="n">
        <f aca="false">IF(CH1029&gt;0,CH1029*MAX(1,AV1029/X1029),IF(BT1029=1,IF(AV1029&lt;=0,0,BW1029*MAX(1,IF(H1029&gt;0,AV1029/H1029,1))),IF(R1029&gt;0,AW1029/R1029,0))/MAX(0.1,N(Parameter!$M$21)))</f>
        <v>0.0192307692307692</v>
      </c>
      <c r="AY1029" s="57" t="n">
        <f aca="false">AV1029*G1029</f>
        <v>1892.1</v>
      </c>
      <c r="AZ1029" s="57" t="n">
        <f aca="false">ROUNDUP(MAX(J1029/IF(BZ1029&gt;0,BZ1029,MAX(0.1,N(Cockpit!$O$6))),CC1029)/BS1029,0)*BS1029</f>
        <v>119</v>
      </c>
      <c r="BA1029" s="58" t="n">
        <f aca="false">IF(AX1029&gt;0,J1029/AX1029,-1)</f>
        <v>312</v>
      </c>
      <c r="BB1029" s="58" t="n">
        <f aca="false">IF(AND(OR(BY1029="L1",BY1029="L23"),AX1029&gt;0),SUMIFS($AX$7:$AX$1843,$BY$7:$BY$1843,BY1029,$BA$7:$BA$1843,"&gt;"&amp;BA1029)+SUMIFS($AX$7:$AX$1843,$BY$7:$BY$1843,BY1029,$BA$7:$BA$1843,BA1029,$BQ$7:$BQ$1843,"&lt;="&amp;BQ1029),"")</f>
        <v>37.2051028681464</v>
      </c>
      <c r="BC1029" s="65" t="n">
        <f aca="false">IF(BB1029="",0,MAX(0,MIN(1,(IF(BY1029="L1",Parameter!$E$5,Parameter!$E$6+Parameter!$E$7)-(BB1029-AX1029))/AX1029)))</f>
        <v>1</v>
      </c>
      <c r="BD1029" s="55" t="str">
        <f aca="false">IF(AH1029&lt;=0,"",IF(BY1029="Aussen","Aussenlager",IF(BY1029="-","Nicht im Lift",IF(AM1029&gt;=1,"Lift",IF(AM1029&lt;=0,"Aussenlager","teilweise")))))</f>
        <v>Lift</v>
      </c>
      <c r="BE1029" s="55" t="str">
        <f aca="false">IF(AP1029&lt;=0,"",IF(BY1029="Aussen","Aussenlager",IF(BY1029="-","Nicht im Lift",IF(AU1029&gt;=1,"Lift",IF(AU1029&lt;=0,"Aussenlager","teilweise")))))</f>
        <v>Lift</v>
      </c>
      <c r="BF1029" s="55" t="str">
        <f aca="false">IF(AX1029&lt;=0,"",IF(BY1029="Aussen","Aussenlager",IF(BY1029="-","Nicht im Lift",IF(BC1029&gt;=1,"Lift",IF(BC1029&lt;=0,"Aussenlager","teilweise")))))</f>
        <v>Lift</v>
      </c>
      <c r="BG1029" s="55" t="str">
        <f aca="false">IF(A1029="","",IF(BP1029=1,"Neu; ","")&amp;IF(AND(BP1029=0,BK1029&lt;0),"negativer Bestand (Export "&amp;BK1029&amp;"); ","")&amp;IF(J1029&lt;=0,"Kein Verbrauch; ","")&amp;IF(CH1029&gt;0,"Lift "&amp;W1029&amp;" lt. Liftbericht (Fach "&amp;X1029&amp;" Stk); ",IF(BU1029=1,"Gebinde geschätzt ("&amp;T1029&amp;"); ",IF(BT1029=1,"Lose – Tablare geschätzt; ","")))&amp;IF(H1029&gt;AR1029,"Überbestand "&amp;ROUND(H1029-AR1029,0)&amp;" Stk / CHF "&amp;ROUND((H1029-AR1029)*G1029,0)&amp;"; ","")&amp;IF(AND(CA1029=1,CB1029&lt;CC1029),"MAX &lt; MB+LG; ","")&amp;IF(AND(CG1029&gt;0,CF1029*10&gt;CG1029),"zu hoch für Tablar; ","")&amp;IF(AND(BP1029=0,OR(CA1029=1,AA1029&lt;&gt;"",U1029&lt;&gt;"",V1029&lt;&gt;"",AB1029&lt;&gt;"")),"manuell übersteuert; ","")&amp;IF(AND(BT1029=0,R1029=0),"Gebinde unbekannt / Stellmass fehlt; ","")&amp;IF(AND(BT1029=0,N(V1029)&lt;=0,N(Q1029)&lt;=0),"Menge pro Gebinde fehlt (Ist = 1 Gebinde); ","")&amp;BO1029)</f>
        <v>negativer Bestand (Export -8); twin</v>
      </c>
      <c r="BH1029" s="55"/>
      <c r="BI1029" s="55"/>
      <c r="BJ1029" s="62"/>
      <c r="BK1029" s="57" t="n">
        <v>-8</v>
      </c>
      <c r="BL1029" s="57" t="n">
        <v>81</v>
      </c>
      <c r="BM1029" s="56" t="n">
        <v>-127.2</v>
      </c>
      <c r="BN1029" s="57" t="n">
        <v>6</v>
      </c>
      <c r="BO1029" s="55" t="s">
        <v>1741</v>
      </c>
      <c r="BP1029" s="60" t="n">
        <v>0</v>
      </c>
      <c r="BQ1029" s="60" t="n">
        <v>1029</v>
      </c>
      <c r="BR1029" s="55" t="str">
        <f aca="false">IF(U1029&lt;&gt;"",UPPER(TRIM(U1029)),IF(BU1029=1,UPPER(VLOOKUP(T1029,Parameter!$I$27:$K$29,2,0)),IF(P1029="","LOSE",P1029)))</f>
        <v>S41</v>
      </c>
      <c r="BS1029" s="57" t="n">
        <f aca="false">IF(BR1029="LOSE",1,IF(N(V1029)&gt;0,V1029,IF(BU1029=1,MAX(1,N(VLOOKUP(T1029,Parameter!$I$27:$K$29,3,0)),H1029,N(N1029)),IF(N(Q1029)&gt;0,Q1029,MAX(1,H1029)))))</f>
        <v>119</v>
      </c>
      <c r="BT1029" s="60" t="n">
        <f aca="false">IF(BR1029="LOSE",1,0)</f>
        <v>0</v>
      </c>
      <c r="BU1029" s="60" t="n">
        <f aca="false">IF(AND(U1029="",OR(P1029="",P1029="LOSE"),T1029&lt;&gt;"",N(S1029)&lt;=0,ISNUMBER(MATCH(T1029,Parameter!$I$27:$I$29,0))),1,0)</f>
        <v>0</v>
      </c>
      <c r="BV1029" s="55" t="str">
        <f aca="false">IF(AND(Parameter!$B$19="Ja",E1029&lt;&gt;"",ISNUMBER(MATCH(E1029,Parameter!$I$35:$I$52,0))),VLOOKUP(E1029,Parameter!$I$35:$J$52,2,0),IFERROR(VLOOKUP(D1029,Parameter!$A$35:$C$64,2,0),"Nein"))</f>
        <v>2+3</v>
      </c>
      <c r="BW1029" s="59" t="n">
        <f aca="false">IF(BT1029=0,0,IF(N(S1029)&gt;0,S1029,IFERROR(VLOOKUP(D1029,Parameter!$A$35:$C$64,3,0)+0,0)))</f>
        <v>0</v>
      </c>
      <c r="BX1029" s="55" t="n">
        <f aca="false">IF(AA1029&lt;&gt;"",AA1029,Z1029)</f>
        <v>3</v>
      </c>
      <c r="BY1029" s="55" t="str">
        <f aca="false">IF(BX1029=1,"L1",IF(OR(BX1029=2,BX1029=3),"L23",IF(BX1029="Aussen","Aussen","-")))</f>
        <v>L23</v>
      </c>
      <c r="BZ1029" s="66" t="n">
        <f aca="false">IF(N(AB1029)&gt;0,AB1029,0)</f>
        <v>0</v>
      </c>
      <c r="CA1029" s="60" t="n">
        <f aca="false">IF(ISNUMBER(AE1029),1,0)</f>
        <v>0</v>
      </c>
      <c r="CB1029" s="57" t="n">
        <f aca="false">N(AE1029)</f>
        <v>0</v>
      </c>
      <c r="CC1029" s="57" t="n">
        <f aca="false">N(M1029)+N(N1029)</f>
        <v>5</v>
      </c>
      <c r="CD1029" s="57" t="n">
        <f aca="false">ROUNDUP(H1029/BS1029,0)</f>
        <v>1</v>
      </c>
      <c r="CE1029" s="57" t="n">
        <f aca="false">ROUNDUP(CB1029/BS1029,0)</f>
        <v>0</v>
      </c>
      <c r="CF1029" s="60" t="n">
        <f aca="false">IF(BT1029=1,0,IFERROR(VLOOKUP(BR1029,'Gebinde-Kategorie'!$A$5:$M$45,5,0)+0,0))</f>
        <v>11</v>
      </c>
      <c r="CG1029" s="60" t="n">
        <f aca="false">IFERROR(IF(OR(BX1029=1,BX1029=2,BX1029=3),N(INDEX(Parameter!$I$5:$I$7,BX1029)),0),0)</f>
        <v>0</v>
      </c>
      <c r="CH1029" s="59" t="n">
        <f aca="false">IF(AND(Parameter!$B$21="Ja",ISNUMBER(W1029),N(X1029)&gt;0),IFERROR(N(INDEX(Parameter!$L$5:$L$7,W1029))*INDEX(Parameter!$E$5:$E$7,W1029)*X1029/SUMIFS($X$7:$X$1843,$W$7:$W$1843,W1029),0),0)</f>
        <v>0</v>
      </c>
    </row>
    <row r="1030" customFormat="false" ht="15" hidden="false" customHeight="false" outlineLevel="0" collapsed="false">
      <c r="A1030" s="55" t="s">
        <v>1893</v>
      </c>
      <c r="B1030" s="55" t="s">
        <v>1894</v>
      </c>
      <c r="C1030" s="55" t="s">
        <v>164</v>
      </c>
      <c r="D1030" s="55" t="s">
        <v>184</v>
      </c>
      <c r="E1030" s="55"/>
      <c r="F1030" s="55" t="s">
        <v>218</v>
      </c>
      <c r="G1030" s="56" t="n">
        <v>7.61</v>
      </c>
      <c r="H1030" s="57" t="n">
        <f aca="false">MAX(0,IF(AND(Parameter!$B$21="Ja",ISNUMBER(Y1030)),Y1030,IF(Parameter!$B$20="Jahresanfang 2025 + Export",BL1030+BK1030,BK1030)))</f>
        <v>24</v>
      </c>
      <c r="I1030" s="57" t="n">
        <f aca="false">H1030*G1030</f>
        <v>182.64</v>
      </c>
      <c r="J1030" s="57" t="n">
        <f aca="false">BN1030*Parameter!$B$18</f>
        <v>13</v>
      </c>
      <c r="K1030" s="58" t="n">
        <v>31.5</v>
      </c>
      <c r="L1030" s="59" t="n">
        <v>0.412698412698413</v>
      </c>
      <c r="M1030" s="57" t="n">
        <v>0</v>
      </c>
      <c r="N1030" s="57" t="n">
        <v>15</v>
      </c>
      <c r="O1030" s="60" t="n">
        <v>14</v>
      </c>
      <c r="P1030" s="55" t="s">
        <v>401</v>
      </c>
      <c r="Q1030" s="57" t="n">
        <v>15</v>
      </c>
      <c r="R1030" s="60" t="n">
        <f aca="false">IF(BT1030=1,0,IFERROR(VLOOKUP(BR1030,'Gebinde-Kategorie'!$A$5:$M$45,13,0)+0,0))</f>
        <v>414</v>
      </c>
      <c r="S1030" s="61"/>
      <c r="T1030" s="62"/>
      <c r="U1030" s="62"/>
      <c r="V1030" s="62"/>
      <c r="W1030" s="55"/>
      <c r="X1030" s="57"/>
      <c r="Y1030" s="57"/>
      <c r="Z1030" s="55" t="n">
        <f aca="false">IF(A1030="","",IF(AND(Parameter!$B$21="Ja",ISNUMBER(W1030)),W1030,IF(BV1030="2+3",IF(ISNUMBER(SEARCH("grosser Artikel",BO1030)),2,IFERROR(VLOOKUP(BR1030,Parameter!$F$35:$G$64,2,0),2)),IF(OR(BV1030="Nein",BV1030=""),"-",BV1030))))</f>
        <v>3</v>
      </c>
      <c r="AA1030" s="62"/>
      <c r="AB1030" s="63"/>
      <c r="AC1030" s="57" t="n">
        <f aca="false">AR1030</f>
        <v>15</v>
      </c>
      <c r="AD1030" s="57" t="n">
        <f aca="false">MAX(AR1030,H1030)</f>
        <v>24</v>
      </c>
      <c r="AE1030" s="64"/>
      <c r="AF1030" s="57" t="n">
        <f aca="false">IF(LEFT(Cockpit!$C$5,1)="A",H1030,IF(CA1030=1,CB1030,IF(LEFT(Cockpit!$C$5,1)="B",AJ1030,MAX(AJ1030,H1030))))</f>
        <v>24</v>
      </c>
      <c r="AG1030" s="57" t="n">
        <f aca="false">IF(BT1030=1,0,ROUNDUP(AF1030/BS1030,0))</f>
        <v>2</v>
      </c>
      <c r="AH1030" s="59" t="n">
        <f aca="false">IF(CH1030&gt;0,CH1030*MAX(1,AF1030/X1030),IF(BT1030=1,IF(AF1030&lt;=0,0,BW1030*MAX(1,IF(H1030&gt;0,AF1030/H1030,1))),IF(R1030&gt;0,AG1030/R1030,0))/MAX(0.1,N(Parameter!$M$21)))</f>
        <v>0.00483091787439614</v>
      </c>
      <c r="AI1030" s="57" t="n">
        <f aca="false">AF1030*G1030</f>
        <v>182.64</v>
      </c>
      <c r="AJ1030" s="57" t="n">
        <f aca="false">ROUNDUP(MAX(J1030/IF(BZ1030&gt;0,BZ1030,MAX(0.1,N(Cockpit!$C$6))),CC1030)/BS1030,0)*BS1030</f>
        <v>15</v>
      </c>
      <c r="AK1030" s="58" t="n">
        <f aca="false">IF(AH1030&gt;0,J1030/AH1030,-1)</f>
        <v>2691</v>
      </c>
      <c r="AL1030" s="58" t="n">
        <f aca="false">IF(AND(OR(BY1030="L1",BY1030="L23"),AH1030&gt;0),SUMIFS($AH$7:$AH$1843,$BY$7:$BY$1843,BY1030,$AK$7:$AK$1843,"&gt;"&amp;AK1030)+SUMIFS($AH$7:$AH$1843,$BY$7:$BY$1843,BY1030,$AK$7:$AK$1843,AK1030,$BQ$7:$BQ$1843,"&lt;="&amp;BQ1030),"")</f>
        <v>11.2268842268842</v>
      </c>
      <c r="AM1030" s="65" t="n">
        <f aca="false">IF(AL1030="",0,MAX(0,MIN(1,(IF(BY1030="L1",Parameter!$E$5,Parameter!$E$6+Parameter!$E$7)-(AL1030-AH1030))/AH1030)))</f>
        <v>1</v>
      </c>
      <c r="AN1030" s="57" t="n">
        <f aca="false">IF(LEFT(Cockpit!$I$5,1)="A",H1030,IF(CA1030=1,CB1030,IF(LEFT(Cockpit!$I$5,1)="B",AR1030,MAX(AR1030,H1030))))</f>
        <v>24</v>
      </c>
      <c r="AO1030" s="57" t="n">
        <f aca="false">IF(BT1030=1,0,ROUNDUP(AN1030/BS1030,0))</f>
        <v>2</v>
      </c>
      <c r="AP1030" s="59" t="n">
        <f aca="false">IF(CH1030&gt;0,CH1030*MAX(1,AN1030/X1030),IF(BT1030=1,IF(AN1030&lt;=0,0,BW1030*MAX(1,IF(H1030&gt;0,AN1030/H1030,1))),IF(R1030&gt;0,AO1030/R1030,0))/MAX(0.1,N(Parameter!$M$21)))</f>
        <v>0.00483091787439614</v>
      </c>
      <c r="AQ1030" s="57" t="n">
        <f aca="false">AN1030*G1030</f>
        <v>182.64</v>
      </c>
      <c r="AR1030" s="57" t="n">
        <f aca="false">ROUNDUP(MAX(J1030/IF(BZ1030&gt;0,BZ1030,MAX(0.1,N(Cockpit!$I$6))),CC1030)/BS1030,0)*BS1030</f>
        <v>15</v>
      </c>
      <c r="AS1030" s="58" t="n">
        <f aca="false">IF(AP1030&gt;0,J1030/AP1030,-1)</f>
        <v>2691</v>
      </c>
      <c r="AT1030" s="58" t="n">
        <f aca="false">IF(AND(OR(BY1030="L1",BY1030="L23"),AP1030&gt;0),SUMIFS($AP$7:$AP$1843,$BY$7:$BY$1843,BY1030,$AS$7:$AS$1843,"&gt;"&amp;AS1030)+SUMIFS($AP$7:$AP$1843,$BY$7:$BY$1843,BY1030,$AS$7:$AS$1843,AS1030,$BQ$7:$BQ$1843,"&lt;="&amp;BQ1030),"")</f>
        <v>15.9827539610148</v>
      </c>
      <c r="AU1030" s="65" t="n">
        <f aca="false">IF(AT1030="",0,MAX(0,MIN(1,(IF(BY1030="L1",Parameter!$E$5,Parameter!$E$6+Parameter!$E$7)-(AT1030-AP1030))/AP1030)))</f>
        <v>1</v>
      </c>
      <c r="AV1030" s="57" t="n">
        <f aca="false">IF(LEFT(Cockpit!$O$5,1)="A",H1030,IF(CA1030=1,CB1030,IF(LEFT(Cockpit!$O$5,1)="B",AZ1030,MAX(AZ1030,H1030))))</f>
        <v>24</v>
      </c>
      <c r="AW1030" s="57" t="n">
        <f aca="false">IF(BT1030=1,0,ROUNDUP(AV1030/BS1030,0))</f>
        <v>2</v>
      </c>
      <c r="AX1030" s="59" t="n">
        <f aca="false">IF(CH1030&gt;0,CH1030*MAX(1,AV1030/X1030),IF(BT1030=1,IF(AV1030&lt;=0,0,BW1030*MAX(1,IF(H1030&gt;0,AV1030/H1030,1))),IF(R1030&gt;0,AW1030/R1030,0))/MAX(0.1,N(Parameter!$M$21)))</f>
        <v>0.00483091787439614</v>
      </c>
      <c r="AY1030" s="57" t="n">
        <f aca="false">AV1030*G1030</f>
        <v>182.64</v>
      </c>
      <c r="AZ1030" s="57" t="n">
        <f aca="false">ROUNDUP(MAX(J1030/IF(BZ1030&gt;0,BZ1030,MAX(0.1,N(Cockpit!$O$6))),CC1030)/BS1030,0)*BS1030</f>
        <v>15</v>
      </c>
      <c r="BA1030" s="58" t="n">
        <f aca="false">IF(AX1030&gt;0,J1030/AX1030,-1)</f>
        <v>2691</v>
      </c>
      <c r="BB1030" s="58" t="n">
        <f aca="false">IF(AND(OR(BY1030="L1",BY1030="L23"),AX1030&gt;0),SUMIFS($AX$7:$AX$1843,$BY$7:$BY$1843,BY1030,$BA$7:$BA$1843,"&gt;"&amp;BA1030)+SUMIFS($AX$7:$AX$1843,$BY$7:$BY$1843,BY1030,$BA$7:$BA$1843,BA1030,$BQ$7:$BQ$1843,"&lt;="&amp;BQ1030),"")</f>
        <v>14.5561805344414</v>
      </c>
      <c r="BC1030" s="65" t="n">
        <f aca="false">IF(BB1030="",0,MAX(0,MIN(1,(IF(BY1030="L1",Parameter!$E$5,Parameter!$E$6+Parameter!$E$7)-(BB1030-AX1030))/AX1030)))</f>
        <v>1</v>
      </c>
      <c r="BD1030" s="55" t="str">
        <f aca="false">IF(AH1030&lt;=0,"",IF(BY1030="Aussen","Aussenlager",IF(BY1030="-","Nicht im Lift",IF(AM1030&gt;=1,"Lift",IF(AM1030&lt;=0,"Aussenlager","teilweise")))))</f>
        <v>Lift</v>
      </c>
      <c r="BE1030" s="55" t="str">
        <f aca="false">IF(AP1030&lt;=0,"",IF(BY1030="Aussen","Aussenlager",IF(BY1030="-","Nicht im Lift",IF(AU1030&gt;=1,"Lift",IF(AU1030&lt;=0,"Aussenlager","teilweise")))))</f>
        <v>Lift</v>
      </c>
      <c r="BF1030" s="55" t="str">
        <f aca="false">IF(AX1030&lt;=0,"",IF(BY1030="Aussen","Aussenlager",IF(BY1030="-","Nicht im Lift",IF(BC1030&gt;=1,"Lift",IF(BC1030&lt;=0,"Aussenlager","teilweise")))))</f>
        <v>Lift</v>
      </c>
      <c r="BG1030" s="55" t="str">
        <f aca="false">IF(A1030="","",IF(BP1030=1,"Neu; ","")&amp;IF(AND(BP1030=0,BK1030&lt;0),"negativer Bestand (Export "&amp;BK1030&amp;"); ","")&amp;IF(J1030&lt;=0,"Kein Verbrauch; ","")&amp;IF(CH1030&gt;0,"Lift "&amp;W1030&amp;" lt. Liftbericht (Fach "&amp;X1030&amp;" Stk); ",IF(BU1030=1,"Gebinde geschätzt ("&amp;T1030&amp;"); ",IF(BT1030=1,"Lose – Tablare geschätzt; ","")))&amp;IF(H1030&gt;AR1030,"Überbestand "&amp;ROUND(H1030-AR1030,0)&amp;" Stk / CHF "&amp;ROUND((H1030-AR1030)*G1030,0)&amp;"; ","")&amp;IF(AND(CA1030=1,CB1030&lt;CC1030),"MAX &lt; MB+LG; ","")&amp;IF(AND(CG1030&gt;0,CF1030*10&gt;CG1030),"zu hoch für Tablar; ","")&amp;IF(AND(BP1030=0,OR(CA1030=1,AA1030&lt;&gt;"",U1030&lt;&gt;"",V1030&lt;&gt;"",AB1030&lt;&gt;"")),"manuell übersteuert; ","")&amp;IF(AND(BT1030=0,R1030=0),"Gebinde unbekannt / Stellmass fehlt; ","")&amp;IF(AND(BT1030=0,N(V1030)&lt;=0,N(Q1030)&lt;=0),"Menge pro Gebinde fehlt (Ist = 1 Gebinde); ","")&amp;BO1030)</f>
        <v>negativer Bestand (Export -17); Überbestand 9 Stk / CHF 68; </v>
      </c>
      <c r="BH1030" s="55"/>
      <c r="BI1030" s="55"/>
      <c r="BJ1030" s="62"/>
      <c r="BK1030" s="57" t="n">
        <v>-17</v>
      </c>
      <c r="BL1030" s="57" t="n">
        <v>41</v>
      </c>
      <c r="BM1030" s="56" t="n">
        <v>-129.37</v>
      </c>
      <c r="BN1030" s="57" t="n">
        <v>13</v>
      </c>
      <c r="BO1030" s="55"/>
      <c r="BP1030" s="60" t="n">
        <v>0</v>
      </c>
      <c r="BQ1030" s="60" t="n">
        <v>1030</v>
      </c>
      <c r="BR1030" s="55" t="str">
        <f aca="false">IF(U1030&lt;&gt;"",UPPER(TRIM(U1030)),IF(BU1030=1,UPPER(VLOOKUP(T1030,Parameter!$I$27:$K$29,2,0)),IF(P1030="","LOSE",P1030)))</f>
        <v>S21</v>
      </c>
      <c r="BS1030" s="57" t="n">
        <f aca="false">IF(BR1030="LOSE",1,IF(N(V1030)&gt;0,V1030,IF(BU1030=1,MAX(1,N(VLOOKUP(T1030,Parameter!$I$27:$K$29,3,0)),H1030,N(N1030)),IF(N(Q1030)&gt;0,Q1030,MAX(1,H1030)))))</f>
        <v>15</v>
      </c>
      <c r="BT1030" s="60" t="n">
        <f aca="false">IF(BR1030="LOSE",1,0)</f>
        <v>0</v>
      </c>
      <c r="BU1030" s="60" t="n">
        <f aca="false">IF(AND(U1030="",OR(P1030="",P1030="LOSE"),T1030&lt;&gt;"",N(S1030)&lt;=0,ISNUMBER(MATCH(T1030,Parameter!$I$27:$I$29,0))),1,0)</f>
        <v>0</v>
      </c>
      <c r="BV1030" s="55" t="str">
        <f aca="false">IF(AND(Parameter!$B$19="Ja",E1030&lt;&gt;"",ISNUMBER(MATCH(E1030,Parameter!$I$35:$I$52,0))),VLOOKUP(E1030,Parameter!$I$35:$J$52,2,0),IFERROR(VLOOKUP(D1030,Parameter!$A$35:$C$64,2,0),"Nein"))</f>
        <v>2+3</v>
      </c>
      <c r="BW1030" s="59" t="n">
        <f aca="false">IF(BT1030=0,0,IF(N(S1030)&gt;0,S1030,IFERROR(VLOOKUP(D1030,Parameter!$A$35:$C$64,3,0)+0,0)))</f>
        <v>0</v>
      </c>
      <c r="BX1030" s="55" t="n">
        <f aca="false">IF(AA1030&lt;&gt;"",AA1030,Z1030)</f>
        <v>3</v>
      </c>
      <c r="BY1030" s="55" t="str">
        <f aca="false">IF(BX1030=1,"L1",IF(OR(BX1030=2,BX1030=3),"L23",IF(BX1030="Aussen","Aussen","-")))</f>
        <v>L23</v>
      </c>
      <c r="BZ1030" s="66" t="n">
        <f aca="false">IF(N(AB1030)&gt;0,AB1030,0)</f>
        <v>0</v>
      </c>
      <c r="CA1030" s="60" t="n">
        <f aca="false">IF(ISNUMBER(AE1030),1,0)</f>
        <v>0</v>
      </c>
      <c r="CB1030" s="57" t="n">
        <f aca="false">N(AE1030)</f>
        <v>0</v>
      </c>
      <c r="CC1030" s="57" t="n">
        <f aca="false">N(M1030)+N(N1030)</f>
        <v>15</v>
      </c>
      <c r="CD1030" s="57" t="n">
        <f aca="false">ROUNDUP(H1030/BS1030,0)</f>
        <v>2</v>
      </c>
      <c r="CE1030" s="57" t="n">
        <f aca="false">ROUNDUP(CB1030/BS1030,0)</f>
        <v>0</v>
      </c>
      <c r="CF1030" s="60" t="n">
        <f aca="false">IF(BT1030=1,0,IFERROR(VLOOKUP(BR1030,'Gebinde-Kategorie'!$A$5:$M$45,5,0)+0,0))</f>
        <v>8</v>
      </c>
      <c r="CG1030" s="60" t="n">
        <f aca="false">IFERROR(IF(OR(BX1030=1,BX1030=2,BX1030=3),N(INDEX(Parameter!$I$5:$I$7,BX1030)),0),0)</f>
        <v>0</v>
      </c>
      <c r="CH1030" s="59" t="n">
        <f aca="false">IF(AND(Parameter!$B$21="Ja",ISNUMBER(W1030),N(X1030)&gt;0),IFERROR(N(INDEX(Parameter!$L$5:$L$7,W1030))*INDEX(Parameter!$E$5:$E$7,W1030)*X1030/SUMIFS($X$7:$X$1843,$W$7:$W$1843,W1030),0),0)</f>
        <v>0</v>
      </c>
    </row>
    <row r="1031" customFormat="false" ht="15" hidden="false" customHeight="false" outlineLevel="0" collapsed="false">
      <c r="A1031" s="55" t="s">
        <v>1895</v>
      </c>
      <c r="B1031" s="55" t="s">
        <v>1896</v>
      </c>
      <c r="C1031" s="55" t="s">
        <v>456</v>
      </c>
      <c r="D1031" s="55" t="s">
        <v>173</v>
      </c>
      <c r="E1031" s="55" t="s">
        <v>1479</v>
      </c>
      <c r="F1031" s="55" t="s">
        <v>218</v>
      </c>
      <c r="G1031" s="56" t="n">
        <v>130.2</v>
      </c>
      <c r="H1031" s="57" t="n">
        <f aca="false">MAX(0,IF(AND(Parameter!$B$21="Ja",ISNUMBER(Y1031)),Y1031,IF(Parameter!$B$20="Jahresanfang 2025 + Export",BL1031+BK1031,BK1031)))</f>
        <v>0</v>
      </c>
      <c r="I1031" s="57" t="n">
        <f aca="false">H1031*G1031</f>
        <v>0</v>
      </c>
      <c r="J1031" s="57" t="n">
        <f aca="false">BN1031*Parameter!$B$18</f>
        <v>0</v>
      </c>
      <c r="K1031" s="58" t="n">
        <v>0.5</v>
      </c>
      <c r="L1031" s="59" t="n">
        <v>0</v>
      </c>
      <c r="M1031" s="57" t="n">
        <v>0</v>
      </c>
      <c r="N1031" s="57" t="n">
        <v>1</v>
      </c>
      <c r="O1031" s="60" t="n">
        <v>56</v>
      </c>
      <c r="P1031" s="55" t="s">
        <v>168</v>
      </c>
      <c r="Q1031" s="57"/>
      <c r="R1031" s="60" t="n">
        <f aca="false">IF(BT1031=1,0,IFERROR(VLOOKUP(BR1031,'Gebinde-Kategorie'!$A$5:$M$45,13,0)+0,0))</f>
        <v>3</v>
      </c>
      <c r="S1031" s="61"/>
      <c r="T1031" s="62" t="s">
        <v>189</v>
      </c>
      <c r="U1031" s="62"/>
      <c r="V1031" s="62"/>
      <c r="W1031" s="55"/>
      <c r="X1031" s="57"/>
      <c r="Y1031" s="57"/>
      <c r="Z1031" s="55" t="str">
        <f aca="false">IF(A1031="","",IF(AND(Parameter!$B$21="Ja",ISNUMBER(W1031)),W1031,IF(BV1031="2+3",IF(ISNUMBER(SEARCH("grosser Artikel",BO1031)),2,IFERROR(VLOOKUP(BR1031,Parameter!$F$35:$G$64,2,0),2)),IF(OR(BV1031="Nein",BV1031=""),"-",BV1031))))</f>
        <v>-</v>
      </c>
      <c r="AA1031" s="62"/>
      <c r="AB1031" s="63"/>
      <c r="AC1031" s="57" t="n">
        <f aca="false">AR1031</f>
        <v>2</v>
      </c>
      <c r="AD1031" s="57" t="n">
        <f aca="false">MAX(AR1031,H1031)</f>
        <v>2</v>
      </c>
      <c r="AE1031" s="64"/>
      <c r="AF1031" s="57" t="n">
        <f aca="false">IF(LEFT(Cockpit!$C$5,1)="A",H1031,IF(CA1031=1,CB1031,IF(LEFT(Cockpit!$C$5,1)="B",AJ1031,MAX(AJ1031,H1031))))</f>
        <v>0</v>
      </c>
      <c r="AG1031" s="57" t="n">
        <f aca="false">IF(BT1031=1,0,ROUNDUP(AF1031/BS1031,0))</f>
        <v>0</v>
      </c>
      <c r="AH1031" s="59" t="n">
        <f aca="false">IF(CH1031&gt;0,CH1031*MAX(1,AF1031/X1031),IF(BT1031=1,IF(AF1031&lt;=0,0,BW1031*MAX(1,IF(H1031&gt;0,AF1031/H1031,1))),IF(R1031&gt;0,AG1031/R1031,0))/MAX(0.1,N(Parameter!$M$21)))</f>
        <v>0</v>
      </c>
      <c r="AI1031" s="57" t="n">
        <f aca="false">AF1031*G1031</f>
        <v>0</v>
      </c>
      <c r="AJ1031" s="57" t="n">
        <f aca="false">ROUNDUP(MAX(J1031/IF(BZ1031&gt;0,BZ1031,MAX(0.1,N(Cockpit!$C$6))),CC1031)/BS1031,0)*BS1031</f>
        <v>2</v>
      </c>
      <c r="AK1031" s="58" t="n">
        <f aca="false">IF(AH1031&gt;0,J1031/AH1031,-1)</f>
        <v>-1</v>
      </c>
      <c r="AL1031" s="58" t="str">
        <f aca="false">IF(AND(OR(BY1031="L1",BY1031="L23"),AH1031&gt;0),SUMIFS($AH$7:$AH$1843,$BY$7:$BY$1843,BY1031,$AK$7:$AK$1843,"&gt;"&amp;AK1031)+SUMIFS($AH$7:$AH$1843,$BY$7:$BY$1843,BY1031,$AK$7:$AK$1843,AK1031,$BQ$7:$BQ$1843,"&lt;="&amp;BQ1031),"")</f>
        <v/>
      </c>
      <c r="AM1031" s="65" t="n">
        <f aca="false">IF(AL1031="",0,MAX(0,MIN(1,(IF(BY1031="L1",Parameter!$E$5,Parameter!$E$6+Parameter!$E$7)-(AL1031-AH1031))/AH1031)))</f>
        <v>0</v>
      </c>
      <c r="AN1031" s="57" t="n">
        <f aca="false">IF(LEFT(Cockpit!$I$5,1)="A",H1031,IF(CA1031=1,CB1031,IF(LEFT(Cockpit!$I$5,1)="B",AR1031,MAX(AR1031,H1031))))</f>
        <v>2</v>
      </c>
      <c r="AO1031" s="57" t="n">
        <f aca="false">IF(BT1031=1,0,ROUNDUP(AN1031/BS1031,0))</f>
        <v>1</v>
      </c>
      <c r="AP1031" s="59" t="n">
        <f aca="false">IF(CH1031&gt;0,CH1031*MAX(1,AN1031/X1031),IF(BT1031=1,IF(AN1031&lt;=0,0,BW1031*MAX(1,IF(H1031&gt;0,AN1031/H1031,1))),IF(R1031&gt;0,AO1031/R1031,0))/MAX(0.1,N(Parameter!$M$21)))</f>
        <v>0.333333333333333</v>
      </c>
      <c r="AQ1031" s="57" t="n">
        <f aca="false">AN1031*G1031</f>
        <v>260.4</v>
      </c>
      <c r="AR1031" s="57" t="n">
        <f aca="false">ROUNDUP(MAX(J1031/IF(BZ1031&gt;0,BZ1031,MAX(0.1,N(Cockpit!$I$6))),CC1031)/BS1031,0)*BS1031</f>
        <v>2</v>
      </c>
      <c r="AS1031" s="58" t="n">
        <f aca="false">IF(AP1031&gt;0,J1031/AP1031,-1)</f>
        <v>0</v>
      </c>
      <c r="AT1031" s="58" t="str">
        <f aca="false">IF(AND(OR(BY1031="L1",BY1031="L23"),AP1031&gt;0),SUMIFS($AP$7:$AP$1843,$BY$7:$BY$1843,BY1031,$AS$7:$AS$1843,"&gt;"&amp;AS1031)+SUMIFS($AP$7:$AP$1843,$BY$7:$BY$1843,BY1031,$AS$7:$AS$1843,AS1031,$BQ$7:$BQ$1843,"&lt;="&amp;BQ1031),"")</f>
        <v/>
      </c>
      <c r="AU1031" s="65" t="n">
        <f aca="false">IF(AT1031="",0,MAX(0,MIN(1,(IF(BY1031="L1",Parameter!$E$5,Parameter!$E$6+Parameter!$E$7)-(AT1031-AP1031))/AP1031)))</f>
        <v>0</v>
      </c>
      <c r="AV1031" s="57" t="n">
        <f aca="false">IF(LEFT(Cockpit!$O$5,1)="A",H1031,IF(CA1031=1,CB1031,IF(LEFT(Cockpit!$O$5,1)="B",AZ1031,MAX(AZ1031,H1031))))</f>
        <v>2</v>
      </c>
      <c r="AW1031" s="57" t="n">
        <f aca="false">IF(BT1031=1,0,ROUNDUP(AV1031/BS1031,0))</f>
        <v>1</v>
      </c>
      <c r="AX1031" s="59" t="n">
        <f aca="false">IF(CH1031&gt;0,CH1031*MAX(1,AV1031/X1031),IF(BT1031=1,IF(AV1031&lt;=0,0,BW1031*MAX(1,IF(H1031&gt;0,AV1031/H1031,1))),IF(R1031&gt;0,AW1031/R1031,0))/MAX(0.1,N(Parameter!$M$21)))</f>
        <v>0.333333333333333</v>
      </c>
      <c r="AY1031" s="57" t="n">
        <f aca="false">AV1031*G1031</f>
        <v>260.4</v>
      </c>
      <c r="AZ1031" s="57" t="n">
        <f aca="false">ROUNDUP(MAX(J1031/IF(BZ1031&gt;0,BZ1031,MAX(0.1,N(Cockpit!$O$6))),CC1031)/BS1031,0)*BS1031</f>
        <v>2</v>
      </c>
      <c r="BA1031" s="58" t="n">
        <f aca="false">IF(AX1031&gt;0,J1031/AX1031,-1)</f>
        <v>0</v>
      </c>
      <c r="BB1031" s="58" t="str">
        <f aca="false">IF(AND(OR(BY1031="L1",BY1031="L23"),AX1031&gt;0),SUMIFS($AX$7:$AX$1843,$BY$7:$BY$1843,BY1031,$BA$7:$BA$1843,"&gt;"&amp;BA1031)+SUMIFS($AX$7:$AX$1843,$BY$7:$BY$1843,BY1031,$BA$7:$BA$1843,BA1031,$BQ$7:$BQ$1843,"&lt;="&amp;BQ1031),"")</f>
        <v/>
      </c>
      <c r="BC1031" s="65" t="n">
        <f aca="false">IF(BB1031="",0,MAX(0,MIN(1,(IF(BY1031="L1",Parameter!$E$5,Parameter!$E$6+Parameter!$E$7)-(BB1031-AX1031))/AX1031)))</f>
        <v>0</v>
      </c>
      <c r="BD1031" s="55" t="str">
        <f aca="false">IF(AH1031&lt;=0,"",IF(BY1031="Aussen","Aussenlager",IF(BY1031="-","Nicht im Lift",IF(AM1031&gt;=1,"Lift",IF(AM1031&lt;=0,"Aussenlager","teilweise")))))</f>
        <v/>
      </c>
      <c r="BE1031" s="55" t="str">
        <f aca="false">IF(AP1031&lt;=0,"",IF(BY1031="Aussen","Aussenlager",IF(BY1031="-","Nicht im Lift",IF(AU1031&gt;=1,"Lift",IF(AU1031&lt;=0,"Aussenlager","teilweise")))))</f>
        <v>Nicht im Lift</v>
      </c>
      <c r="BF1031" s="55" t="str">
        <f aca="false">IF(AX1031&lt;=0,"",IF(BY1031="Aussen","Aussenlager",IF(BY1031="-","Nicht im Lift",IF(BC1031&gt;=1,"Lift",IF(BC1031&lt;=0,"Aussenlager","teilweise")))))</f>
        <v>Nicht im Lift</v>
      </c>
      <c r="BG1031" s="55" t="str">
        <f aca="false">IF(A1031="","",IF(BP1031=1,"Neu; ","")&amp;IF(AND(BP1031=0,BK1031&lt;0),"negativer Bestand (Export "&amp;BK1031&amp;"); ","")&amp;IF(J1031&lt;=0,"Kein Verbrauch; ","")&amp;IF(CH1031&gt;0,"Lift "&amp;W1031&amp;" lt. Liftbericht (Fach "&amp;X1031&amp;" Stk); ",IF(BU1031=1,"Gebinde geschätzt ("&amp;T1031&amp;"); ",IF(BT1031=1,"Lose – Tablare geschätzt; ","")))&amp;IF(H1031&gt;AR1031,"Überbestand "&amp;ROUND(H1031-AR1031,0)&amp;" Stk / CHF "&amp;ROUND((H1031-AR1031)*G1031,0)&amp;"; ","")&amp;IF(AND(CA1031=1,CB1031&lt;CC1031),"MAX &lt; MB+LG; ","")&amp;IF(AND(CG1031&gt;0,CF1031*10&gt;CG1031),"zu hoch für Tablar; ","")&amp;IF(AND(BP1031=0,OR(CA1031=1,AA1031&lt;&gt;"",U1031&lt;&gt;"",V1031&lt;&gt;"",AB1031&lt;&gt;"")),"manuell übersteuert; ","")&amp;IF(AND(BT1031=0,R1031=0),"Gebinde unbekannt / Stellmass fehlt; ","")&amp;IF(AND(BT1031=0,N(V1031)&lt;=0,N(Q1031)&lt;=0),"Menge pro Gebinde fehlt (Ist = 1 Gebinde); ","")&amp;BO1031)</f>
        <v>negativer Bestand (Export -1); Kein Verbrauch; Gebinde geschätzt (Gross); Menge pro Gebinde fehlt (Ist = 1 Gebinde); Neu</v>
      </c>
      <c r="BH1031" s="55"/>
      <c r="BI1031" s="55"/>
      <c r="BJ1031" s="62"/>
      <c r="BK1031" s="57" t="n">
        <v>-1</v>
      </c>
      <c r="BL1031" s="57" t="n">
        <v>1</v>
      </c>
      <c r="BM1031" s="56" t="n">
        <v>-130.2</v>
      </c>
      <c r="BN1031" s="57" t="n">
        <v>0</v>
      </c>
      <c r="BO1031" s="55" t="s">
        <v>626</v>
      </c>
      <c r="BP1031" s="60" t="n">
        <v>0</v>
      </c>
      <c r="BQ1031" s="60" t="n">
        <v>1031</v>
      </c>
      <c r="BR1031" s="55" t="str">
        <f aca="false">IF(U1031&lt;&gt;"",UPPER(TRIM(U1031)),IF(BU1031=1,UPPER(VLOOKUP(T1031,Parameter!$I$27:$K$29,2,0)),IF(P1031="","LOSE",P1031)))</f>
        <v>S81</v>
      </c>
      <c r="BS1031" s="57" t="n">
        <f aca="false">IF(BR1031="LOSE",1,IF(N(V1031)&gt;0,V1031,IF(BU1031=1,MAX(1,N(VLOOKUP(T1031,Parameter!$I$27:$K$29,3,0)),H1031,N(N1031)),IF(N(Q1031)&gt;0,Q1031,MAX(1,H1031)))))</f>
        <v>2</v>
      </c>
      <c r="BT1031" s="60" t="n">
        <f aca="false">IF(BR1031="LOSE",1,0)</f>
        <v>0</v>
      </c>
      <c r="BU1031" s="60" t="n">
        <f aca="false">IF(AND(U1031="",OR(P1031="",P1031="LOSE"),T1031&lt;&gt;"",N(S1031)&lt;=0,ISNUMBER(MATCH(T1031,Parameter!$I$27:$I$29,0))),1,0)</f>
        <v>1</v>
      </c>
      <c r="BV1031" s="55" t="str">
        <f aca="false">IF(AND(Parameter!$B$19="Ja",E1031&lt;&gt;"",ISNUMBER(MATCH(E1031,Parameter!$I$35:$I$52,0))),VLOOKUP(E1031,Parameter!$I$35:$J$52,2,0),IFERROR(VLOOKUP(D1031,Parameter!$A$35:$C$64,2,0),"Nein"))</f>
        <v>Nein</v>
      </c>
      <c r="BW1031" s="59" t="n">
        <f aca="false">IF(BT1031=0,0,IF(N(S1031)&gt;0,S1031,IFERROR(VLOOKUP(D1031,Parameter!$A$35:$C$64,3,0)+0,0)))</f>
        <v>0</v>
      </c>
      <c r="BX1031" s="55" t="str">
        <f aca="false">IF(AA1031&lt;&gt;"",AA1031,Z1031)</f>
        <v>-</v>
      </c>
      <c r="BY1031" s="55" t="str">
        <f aca="false">IF(BX1031=1,"L1",IF(OR(BX1031=2,BX1031=3),"L23",IF(BX1031="Aussen","Aussen","-")))</f>
        <v>-</v>
      </c>
      <c r="BZ1031" s="66" t="n">
        <f aca="false">IF(N(AB1031)&gt;0,AB1031,0)</f>
        <v>0</v>
      </c>
      <c r="CA1031" s="60" t="n">
        <f aca="false">IF(ISNUMBER(AE1031),1,0)</f>
        <v>0</v>
      </c>
      <c r="CB1031" s="57" t="n">
        <f aca="false">N(AE1031)</f>
        <v>0</v>
      </c>
      <c r="CC1031" s="57" t="n">
        <f aca="false">N(M1031)+N(N1031)</f>
        <v>1</v>
      </c>
      <c r="CD1031" s="57" t="n">
        <f aca="false">ROUNDUP(H1031/BS1031,0)</f>
        <v>0</v>
      </c>
      <c r="CE1031" s="57" t="n">
        <f aca="false">ROUNDUP(CB1031/BS1031,0)</f>
        <v>0</v>
      </c>
      <c r="CF1031" s="60" t="n">
        <f aca="false">IF(BT1031=1,0,IFERROR(VLOOKUP(BR1031,'Gebinde-Kategorie'!$A$5:$M$45,5,0)+0,0))</f>
        <v>20</v>
      </c>
      <c r="CG1031" s="60" t="n">
        <f aca="false">IFERROR(IF(OR(BX1031=1,BX1031=2,BX1031=3),N(INDEX(Parameter!$I$5:$I$7,BX1031)),0),0)</f>
        <v>0</v>
      </c>
      <c r="CH1031" s="59" t="n">
        <f aca="false">IF(AND(Parameter!$B$21="Ja",ISNUMBER(W1031),N(X1031)&gt;0),IFERROR(N(INDEX(Parameter!$L$5:$L$7,W1031))*INDEX(Parameter!$E$5:$E$7,W1031)*X1031/SUMIFS($X$7:$X$1843,$W$7:$W$1843,W1031),0),0)</f>
        <v>0</v>
      </c>
    </row>
    <row r="1032" customFormat="false" ht="15" hidden="false" customHeight="false" outlineLevel="0" collapsed="false">
      <c r="A1032" s="55" t="s">
        <v>1897</v>
      </c>
      <c r="B1032" s="55" t="s">
        <v>1898</v>
      </c>
      <c r="C1032" s="55" t="s">
        <v>164</v>
      </c>
      <c r="D1032" s="55" t="s">
        <v>184</v>
      </c>
      <c r="E1032" s="55" t="s">
        <v>185</v>
      </c>
      <c r="F1032" s="55" t="s">
        <v>218</v>
      </c>
      <c r="G1032" s="56" t="n">
        <v>22.57</v>
      </c>
      <c r="H1032" s="57" t="n">
        <f aca="false">MAX(0,IF(AND(Parameter!$B$21="Ja",ISNUMBER(Y1032)),Y1032,IF(Parameter!$B$20="Jahresanfang 2025 + Export",BL1032+BK1032,BK1032)))</f>
        <v>8</v>
      </c>
      <c r="I1032" s="57" t="n">
        <f aca="false">H1032*G1032</f>
        <v>180.56</v>
      </c>
      <c r="J1032" s="57" t="n">
        <f aca="false">BN1032*Parameter!$B$18</f>
        <v>20</v>
      </c>
      <c r="K1032" s="58" t="n">
        <v>11</v>
      </c>
      <c r="L1032" s="59" t="n">
        <v>1.81818181818182</v>
      </c>
      <c r="M1032" s="57" t="n">
        <v>1</v>
      </c>
      <c r="N1032" s="57" t="n">
        <v>20</v>
      </c>
      <c r="O1032" s="60" t="n">
        <v>24</v>
      </c>
      <c r="P1032" s="55" t="s">
        <v>302</v>
      </c>
      <c r="Q1032" s="57" t="n">
        <v>43</v>
      </c>
      <c r="R1032" s="60" t="n">
        <f aca="false">IF(BT1032=1,0,IFERROR(VLOOKUP(BR1032,'Gebinde-Kategorie'!$A$5:$M$45,13,0)+0,0))</f>
        <v>26</v>
      </c>
      <c r="S1032" s="61"/>
      <c r="T1032" s="62"/>
      <c r="U1032" s="62"/>
      <c r="V1032" s="62"/>
      <c r="W1032" s="55"/>
      <c r="X1032" s="57"/>
      <c r="Y1032" s="57"/>
      <c r="Z1032" s="55" t="n">
        <f aca="false">IF(A1032="","",IF(AND(Parameter!$B$21="Ja",ISNUMBER(W1032)),W1032,IF(BV1032="2+3",IF(ISNUMBER(SEARCH("grosser Artikel",BO1032)),2,IFERROR(VLOOKUP(BR1032,Parameter!$F$35:$G$64,2,0),2)),IF(OR(BV1032="Nein",BV1032=""),"-",BV1032))))</f>
        <v>3</v>
      </c>
      <c r="AA1032" s="62"/>
      <c r="AB1032" s="63"/>
      <c r="AC1032" s="57" t="n">
        <f aca="false">AR1032</f>
        <v>43</v>
      </c>
      <c r="AD1032" s="57" t="n">
        <f aca="false">MAX(AR1032,H1032)</f>
        <v>43</v>
      </c>
      <c r="AE1032" s="64"/>
      <c r="AF1032" s="57" t="n">
        <f aca="false">IF(LEFT(Cockpit!$C$5,1)="A",H1032,IF(CA1032=1,CB1032,IF(LEFT(Cockpit!$C$5,1)="B",AJ1032,MAX(AJ1032,H1032))))</f>
        <v>8</v>
      </c>
      <c r="AG1032" s="57" t="n">
        <f aca="false">IF(BT1032=1,0,ROUNDUP(AF1032/BS1032,0))</f>
        <v>1</v>
      </c>
      <c r="AH1032" s="59" t="n">
        <f aca="false">IF(CH1032&gt;0,CH1032*MAX(1,AF1032/X1032),IF(BT1032=1,IF(AF1032&lt;=0,0,BW1032*MAX(1,IF(H1032&gt;0,AF1032/H1032,1))),IF(R1032&gt;0,AG1032/R1032,0))/MAX(0.1,N(Parameter!$M$21)))</f>
        <v>0.0384615384615385</v>
      </c>
      <c r="AI1032" s="57" t="n">
        <f aca="false">AF1032*G1032</f>
        <v>180.56</v>
      </c>
      <c r="AJ1032" s="57" t="n">
        <f aca="false">ROUNDUP(MAX(J1032/IF(BZ1032&gt;0,BZ1032,MAX(0.1,N(Cockpit!$C$6))),CC1032)/BS1032,0)*BS1032</f>
        <v>43</v>
      </c>
      <c r="AK1032" s="58" t="n">
        <f aca="false">IF(AH1032&gt;0,J1032/AH1032,-1)</f>
        <v>520</v>
      </c>
      <c r="AL1032" s="58" t="n">
        <f aca="false">IF(AND(OR(BY1032="L1",BY1032="L23"),AH1032&gt;0),SUMIFS($AH$7:$AH$1843,$BY$7:$BY$1843,BY1032,$AK$7:$AK$1843,"&gt;"&amp;AK1032)+SUMIFS($AH$7:$AH$1843,$BY$7:$BY$1843,BY1032,$AK$7:$AK$1843,AK1032,$BQ$7:$BQ$1843,"&lt;="&amp;BQ1032),"")</f>
        <v>23.95337995338</v>
      </c>
      <c r="AM1032" s="65" t="n">
        <f aca="false">IF(AL1032="",0,MAX(0,MIN(1,(IF(BY1032="L1",Parameter!$E$5,Parameter!$E$6+Parameter!$E$7)-(AL1032-AH1032))/AH1032)))</f>
        <v>1</v>
      </c>
      <c r="AN1032" s="57" t="n">
        <f aca="false">IF(LEFT(Cockpit!$I$5,1)="A",H1032,IF(CA1032=1,CB1032,IF(LEFT(Cockpit!$I$5,1)="B",AR1032,MAX(AR1032,H1032))))</f>
        <v>43</v>
      </c>
      <c r="AO1032" s="57" t="n">
        <f aca="false">IF(BT1032=1,0,ROUNDUP(AN1032/BS1032,0))</f>
        <v>1</v>
      </c>
      <c r="AP1032" s="59" t="n">
        <f aca="false">IF(CH1032&gt;0,CH1032*MAX(1,AN1032/X1032),IF(BT1032=1,IF(AN1032&lt;=0,0,BW1032*MAX(1,IF(H1032&gt;0,AN1032/H1032,1))),IF(R1032&gt;0,AO1032/R1032,0))/MAX(0.1,N(Parameter!$M$21)))</f>
        <v>0.0384615384615385</v>
      </c>
      <c r="AQ1032" s="57" t="n">
        <f aca="false">AN1032*G1032</f>
        <v>970.51</v>
      </c>
      <c r="AR1032" s="57" t="n">
        <f aca="false">ROUNDUP(MAX(J1032/IF(BZ1032&gt;0,BZ1032,MAX(0.1,N(Cockpit!$I$6))),CC1032)/BS1032,0)*BS1032</f>
        <v>43</v>
      </c>
      <c r="AS1032" s="58" t="n">
        <f aca="false">IF(AP1032&gt;0,J1032/AP1032,-1)</f>
        <v>520</v>
      </c>
      <c r="AT1032" s="58" t="n">
        <f aca="false">IF(AND(OR(BY1032="L1",BY1032="L23"),AP1032&gt;0),SUMIFS($AP$7:$AP$1843,$BY$7:$BY$1843,BY1032,$AS$7:$AS$1843,"&gt;"&amp;AS1032)+SUMIFS($AP$7:$AP$1843,$BY$7:$BY$1843,BY1032,$AS$7:$AS$1843,AS1032,$BQ$7:$BQ$1843,"&lt;="&amp;BQ1032),"")</f>
        <v>32.6946302489781</v>
      </c>
      <c r="AU1032" s="65" t="n">
        <f aca="false">IF(AT1032="",0,MAX(0,MIN(1,(IF(BY1032="L1",Parameter!$E$5,Parameter!$E$6+Parameter!$E$7)-(AT1032-AP1032))/AP1032)))</f>
        <v>1</v>
      </c>
      <c r="AV1032" s="57" t="n">
        <f aca="false">IF(LEFT(Cockpit!$O$5,1)="A",H1032,IF(CA1032=1,CB1032,IF(LEFT(Cockpit!$O$5,1)="B",AZ1032,MAX(AZ1032,H1032))))</f>
        <v>43</v>
      </c>
      <c r="AW1032" s="57" t="n">
        <f aca="false">IF(BT1032=1,0,ROUNDUP(AV1032/BS1032,0))</f>
        <v>1</v>
      </c>
      <c r="AX1032" s="59" t="n">
        <f aca="false">IF(CH1032&gt;0,CH1032*MAX(1,AV1032/X1032),IF(BT1032=1,IF(AV1032&lt;=0,0,BW1032*MAX(1,IF(H1032&gt;0,AV1032/H1032,1))),IF(R1032&gt;0,AW1032/R1032,0))/MAX(0.1,N(Parameter!$M$21)))</f>
        <v>0.0384615384615385</v>
      </c>
      <c r="AY1032" s="57" t="n">
        <f aca="false">AV1032*G1032</f>
        <v>970.51</v>
      </c>
      <c r="AZ1032" s="57" t="n">
        <f aca="false">ROUNDUP(MAX(J1032/IF(BZ1032&gt;0,BZ1032,MAX(0.1,N(Cockpit!$O$6))),CC1032)/BS1032,0)*BS1032</f>
        <v>43</v>
      </c>
      <c r="BA1032" s="58" t="n">
        <f aca="false">IF(AX1032&gt;0,J1032/AX1032,-1)</f>
        <v>520</v>
      </c>
      <c r="BB1032" s="58" t="n">
        <f aca="false">IF(AND(OR(BY1032="L1",BY1032="L23"),AX1032&gt;0),SUMIFS($AX$7:$AX$1843,$BY$7:$BY$1843,BY1032,$BA$7:$BA$1843,"&gt;"&amp;BA1032)+SUMIFS($AX$7:$AX$1843,$BY$7:$BY$1843,BY1032,$BA$7:$BA$1843,BA1032,$BQ$7:$BQ$1843,"&lt;="&amp;BQ1032),"")</f>
        <v>30.2616465659944</v>
      </c>
      <c r="BC1032" s="65" t="n">
        <f aca="false">IF(BB1032="",0,MAX(0,MIN(1,(IF(BY1032="L1",Parameter!$E$5,Parameter!$E$6+Parameter!$E$7)-(BB1032-AX1032))/AX1032)))</f>
        <v>1</v>
      </c>
      <c r="BD1032" s="55" t="str">
        <f aca="false">IF(AH1032&lt;=0,"",IF(BY1032="Aussen","Aussenlager",IF(BY1032="-","Nicht im Lift",IF(AM1032&gt;=1,"Lift",IF(AM1032&lt;=0,"Aussenlager","teilweise")))))</f>
        <v>Lift</v>
      </c>
      <c r="BE1032" s="55" t="str">
        <f aca="false">IF(AP1032&lt;=0,"",IF(BY1032="Aussen","Aussenlager",IF(BY1032="-","Nicht im Lift",IF(AU1032&gt;=1,"Lift",IF(AU1032&lt;=0,"Aussenlager","teilweise")))))</f>
        <v>Lift</v>
      </c>
      <c r="BF1032" s="55" t="str">
        <f aca="false">IF(AX1032&lt;=0,"",IF(BY1032="Aussen","Aussenlager",IF(BY1032="-","Nicht im Lift",IF(BC1032&gt;=1,"Lift",IF(BC1032&lt;=0,"Aussenlager","teilweise")))))</f>
        <v>Lift</v>
      </c>
      <c r="BG1032" s="55" t="str">
        <f aca="false">IF(A1032="","",IF(BP1032=1,"Neu; ","")&amp;IF(AND(BP1032=0,BK1032&lt;0),"negativer Bestand (Export "&amp;BK1032&amp;"); ","")&amp;IF(J1032&lt;=0,"Kein Verbrauch; ","")&amp;IF(CH1032&gt;0,"Lift "&amp;W1032&amp;" lt. Liftbericht (Fach "&amp;X1032&amp;" Stk); ",IF(BU1032=1,"Gebinde geschätzt ("&amp;T1032&amp;"); ",IF(BT1032=1,"Lose – Tablare geschätzt; ","")))&amp;IF(H1032&gt;AR1032,"Überbestand "&amp;ROUND(H1032-AR1032,0)&amp;" Stk / CHF "&amp;ROUND((H1032-AR1032)*G1032,0)&amp;"; ","")&amp;IF(AND(CA1032=1,CB1032&lt;CC1032),"MAX &lt; MB+LG; ","")&amp;IF(AND(CG1032&gt;0,CF1032*10&gt;CG1032),"zu hoch für Tablar; ","")&amp;IF(AND(BP1032=0,OR(CA1032=1,AA1032&lt;&gt;"",U1032&lt;&gt;"",V1032&lt;&gt;"",AB1032&lt;&gt;"")),"manuell übersteuert; ","")&amp;IF(AND(BT1032=0,R1032=0),"Gebinde unbekannt / Stellmass fehlt; ","")&amp;IF(AND(BT1032=0,N(V1032)&lt;=0,N(Q1032)&lt;=0),"Menge pro Gebinde fehlt (Ist = 1 Gebinde); ","")&amp;BO1032)</f>
        <v>negativer Bestand (Export -6); </v>
      </c>
      <c r="BH1032" s="55"/>
      <c r="BI1032" s="55"/>
      <c r="BJ1032" s="62"/>
      <c r="BK1032" s="57" t="n">
        <v>-6</v>
      </c>
      <c r="BL1032" s="57" t="n">
        <v>14</v>
      </c>
      <c r="BM1032" s="56" t="n">
        <v>-130.66</v>
      </c>
      <c r="BN1032" s="57" t="n">
        <v>20</v>
      </c>
      <c r="BO1032" s="55"/>
      <c r="BP1032" s="60" t="n">
        <v>0</v>
      </c>
      <c r="BQ1032" s="60" t="n">
        <v>1032</v>
      </c>
      <c r="BR1032" s="55" t="str">
        <f aca="false">IF(U1032&lt;&gt;"",UPPER(TRIM(U1032)),IF(BU1032=1,UPPER(VLOOKUP(T1032,Parameter!$I$27:$K$29,2,0)),IF(P1032="","LOSE",P1032)))</f>
        <v>S51</v>
      </c>
      <c r="BS1032" s="57" t="n">
        <f aca="false">IF(BR1032="LOSE",1,IF(N(V1032)&gt;0,V1032,IF(BU1032=1,MAX(1,N(VLOOKUP(T1032,Parameter!$I$27:$K$29,3,0)),H1032,N(N1032)),IF(N(Q1032)&gt;0,Q1032,MAX(1,H1032)))))</f>
        <v>43</v>
      </c>
      <c r="BT1032" s="60" t="n">
        <f aca="false">IF(BR1032="LOSE",1,0)</f>
        <v>0</v>
      </c>
      <c r="BU1032" s="60" t="n">
        <f aca="false">IF(AND(U1032="",OR(P1032="",P1032="LOSE"),T1032&lt;&gt;"",N(S1032)&lt;=0,ISNUMBER(MATCH(T1032,Parameter!$I$27:$I$29,0))),1,0)</f>
        <v>0</v>
      </c>
      <c r="BV1032" s="55" t="str">
        <f aca="false">IF(AND(Parameter!$B$19="Ja",E1032&lt;&gt;"",ISNUMBER(MATCH(E1032,Parameter!$I$35:$I$52,0))),VLOOKUP(E1032,Parameter!$I$35:$J$52,2,0),IFERROR(VLOOKUP(D1032,Parameter!$A$35:$C$64,2,0),"Nein"))</f>
        <v>2+3</v>
      </c>
      <c r="BW1032" s="59" t="n">
        <f aca="false">IF(BT1032=0,0,IF(N(S1032)&gt;0,S1032,IFERROR(VLOOKUP(D1032,Parameter!$A$35:$C$64,3,0)+0,0)))</f>
        <v>0</v>
      </c>
      <c r="BX1032" s="55" t="n">
        <f aca="false">IF(AA1032&lt;&gt;"",AA1032,Z1032)</f>
        <v>3</v>
      </c>
      <c r="BY1032" s="55" t="str">
        <f aca="false">IF(BX1032=1,"L1",IF(OR(BX1032=2,BX1032=3),"L23",IF(BX1032="Aussen","Aussen","-")))</f>
        <v>L23</v>
      </c>
      <c r="BZ1032" s="66" t="n">
        <f aca="false">IF(N(AB1032)&gt;0,AB1032,0)</f>
        <v>0</v>
      </c>
      <c r="CA1032" s="60" t="n">
        <f aca="false">IF(ISNUMBER(AE1032),1,0)</f>
        <v>0</v>
      </c>
      <c r="CB1032" s="57" t="n">
        <f aca="false">N(AE1032)</f>
        <v>0</v>
      </c>
      <c r="CC1032" s="57" t="n">
        <f aca="false">N(M1032)+N(N1032)</f>
        <v>21</v>
      </c>
      <c r="CD1032" s="57" t="n">
        <f aca="false">ROUNDUP(H1032/BS1032,0)</f>
        <v>1</v>
      </c>
      <c r="CE1032" s="57" t="n">
        <f aca="false">ROUNDUP(CB1032/BS1032,0)</f>
        <v>0</v>
      </c>
      <c r="CF1032" s="60" t="n">
        <f aca="false">IF(BT1032=1,0,IFERROR(VLOOKUP(BR1032,'Gebinde-Kategorie'!$A$5:$M$45,5,0)+0,0))</f>
        <v>11</v>
      </c>
      <c r="CG1032" s="60" t="n">
        <f aca="false">IFERROR(IF(OR(BX1032=1,BX1032=2,BX1032=3),N(INDEX(Parameter!$I$5:$I$7,BX1032)),0),0)</f>
        <v>0</v>
      </c>
      <c r="CH1032" s="59" t="n">
        <f aca="false">IF(AND(Parameter!$B$21="Ja",ISNUMBER(W1032),N(X1032)&gt;0),IFERROR(N(INDEX(Parameter!$L$5:$L$7,W1032))*INDEX(Parameter!$E$5:$E$7,W1032)*X1032/SUMIFS($X$7:$X$1843,$W$7:$W$1843,W1032),0),0)</f>
        <v>0</v>
      </c>
    </row>
    <row r="1033" customFormat="false" ht="15" hidden="false" customHeight="false" outlineLevel="0" collapsed="false">
      <c r="A1033" s="55" t="s">
        <v>1899</v>
      </c>
      <c r="B1033" s="55" t="s">
        <v>431</v>
      </c>
      <c r="C1033" s="55" t="s">
        <v>164</v>
      </c>
      <c r="D1033" s="55" t="s">
        <v>184</v>
      </c>
      <c r="E1033" s="55" t="s">
        <v>185</v>
      </c>
      <c r="F1033" s="55" t="s">
        <v>218</v>
      </c>
      <c r="G1033" s="56" t="n">
        <v>133.9</v>
      </c>
      <c r="H1033" s="57" t="n">
        <f aca="false">MAX(0,IF(AND(Parameter!$B$21="Ja",ISNUMBER(Y1033)),Y1033,IF(Parameter!$B$20="Jahresanfang 2025 + Export",BL1033+BK1033,BK1033)))</f>
        <v>1</v>
      </c>
      <c r="I1033" s="57" t="n">
        <f aca="false">H1033*G1033</f>
        <v>133.9</v>
      </c>
      <c r="J1033" s="57" t="n">
        <f aca="false">BN1033*Parameter!$B$18</f>
        <v>0.002</v>
      </c>
      <c r="K1033" s="58" t="n">
        <v>1.5</v>
      </c>
      <c r="L1033" s="59" t="n">
        <v>0.00133333333333333</v>
      </c>
      <c r="M1033" s="57" t="n">
        <v>0</v>
      </c>
      <c r="N1033" s="57" t="n">
        <v>1</v>
      </c>
      <c r="O1033" s="60" t="n">
        <v>70</v>
      </c>
      <c r="P1033" s="55" t="s">
        <v>426</v>
      </c>
      <c r="Q1033" s="57" t="n">
        <v>2</v>
      </c>
      <c r="R1033" s="60" t="n">
        <f aca="false">IF(BT1033=1,0,IFERROR(VLOOKUP(BR1033,'Gebinde-Kategorie'!$A$5:$M$45,13,0)+0,0))</f>
        <v>198</v>
      </c>
      <c r="S1033" s="61"/>
      <c r="T1033" s="62"/>
      <c r="U1033" s="62"/>
      <c r="V1033" s="62"/>
      <c r="W1033" s="55"/>
      <c r="X1033" s="57"/>
      <c r="Y1033" s="57"/>
      <c r="Z1033" s="55" t="n">
        <f aca="false">IF(A1033="","",IF(AND(Parameter!$B$21="Ja",ISNUMBER(W1033)),W1033,IF(BV1033="2+3",IF(ISNUMBER(SEARCH("grosser Artikel",BO1033)),2,IFERROR(VLOOKUP(BR1033,Parameter!$F$35:$G$64,2,0),2)),IF(OR(BV1033="Nein",BV1033=""),"-",BV1033))))</f>
        <v>3</v>
      </c>
      <c r="AA1033" s="62"/>
      <c r="AB1033" s="63"/>
      <c r="AC1033" s="57" t="n">
        <f aca="false">AR1033</f>
        <v>2</v>
      </c>
      <c r="AD1033" s="57" t="n">
        <f aca="false">MAX(AR1033,H1033)</f>
        <v>2</v>
      </c>
      <c r="AE1033" s="64"/>
      <c r="AF1033" s="57" t="n">
        <f aca="false">IF(LEFT(Cockpit!$C$5,1)="A",H1033,IF(CA1033=1,CB1033,IF(LEFT(Cockpit!$C$5,1)="B",AJ1033,MAX(AJ1033,H1033))))</f>
        <v>1</v>
      </c>
      <c r="AG1033" s="57" t="n">
        <f aca="false">IF(BT1033=1,0,ROUNDUP(AF1033/BS1033,0))</f>
        <v>1</v>
      </c>
      <c r="AH1033" s="59" t="n">
        <f aca="false">IF(CH1033&gt;0,CH1033*MAX(1,AF1033/X1033),IF(BT1033=1,IF(AF1033&lt;=0,0,BW1033*MAX(1,IF(H1033&gt;0,AF1033/H1033,1))),IF(R1033&gt;0,AG1033/R1033,0))/MAX(0.1,N(Parameter!$M$21)))</f>
        <v>0.00505050505050505</v>
      </c>
      <c r="AI1033" s="57" t="n">
        <f aca="false">AF1033*G1033</f>
        <v>133.9</v>
      </c>
      <c r="AJ1033" s="57" t="n">
        <f aca="false">ROUNDUP(MAX(J1033/IF(BZ1033&gt;0,BZ1033,MAX(0.1,N(Cockpit!$C$6))),CC1033)/BS1033,0)*BS1033</f>
        <v>2</v>
      </c>
      <c r="AK1033" s="58" t="n">
        <f aca="false">IF(AH1033&gt;0,J1033/AH1033,-1)</f>
        <v>0.396</v>
      </c>
      <c r="AL1033" s="58" t="n">
        <f aca="false">IF(AND(OR(BY1033="L1",BY1033="L23"),AH1033&gt;0),SUMIFS($AH$7:$AH$1843,$BY$7:$BY$1843,BY1033,$AK$7:$AK$1843,"&gt;"&amp;AK1033)+SUMIFS($AH$7:$AH$1843,$BY$7:$BY$1843,BY1033,$AK$7:$AK$1843,AK1033,$BQ$7:$BQ$1843,"&lt;="&amp;BQ1033),"")</f>
        <v>65.2470778014256</v>
      </c>
      <c r="AM1033" s="65" t="n">
        <f aca="false">IF(AL1033="",0,MAX(0,MIN(1,(IF(BY1033="L1",Parameter!$E$5,Parameter!$E$6+Parameter!$E$7)-(AL1033-AH1033))/AH1033)))</f>
        <v>1</v>
      </c>
      <c r="AN1033" s="57" t="n">
        <f aca="false">IF(LEFT(Cockpit!$I$5,1)="A",H1033,IF(CA1033=1,CB1033,IF(LEFT(Cockpit!$I$5,1)="B",AR1033,MAX(AR1033,H1033))))</f>
        <v>2</v>
      </c>
      <c r="AO1033" s="57" t="n">
        <f aca="false">IF(BT1033=1,0,ROUNDUP(AN1033/BS1033,0))</f>
        <v>1</v>
      </c>
      <c r="AP1033" s="59" t="n">
        <f aca="false">IF(CH1033&gt;0,CH1033*MAX(1,AN1033/X1033),IF(BT1033=1,IF(AN1033&lt;=0,0,BW1033*MAX(1,IF(H1033&gt;0,AN1033/H1033,1))),IF(R1033&gt;0,AO1033/R1033,0))/MAX(0.1,N(Parameter!$M$21)))</f>
        <v>0.00505050505050505</v>
      </c>
      <c r="AQ1033" s="57" t="n">
        <f aca="false">AN1033*G1033</f>
        <v>267.8</v>
      </c>
      <c r="AR1033" s="57" t="n">
        <f aca="false">ROUNDUP(MAX(J1033/IF(BZ1033&gt;0,BZ1033,MAX(0.1,N(Cockpit!$I$6))),CC1033)/BS1033,0)*BS1033</f>
        <v>2</v>
      </c>
      <c r="AS1033" s="58" t="n">
        <f aca="false">IF(AP1033&gt;0,J1033/AP1033,-1)</f>
        <v>0.396</v>
      </c>
      <c r="AT1033" s="58" t="n">
        <f aca="false">IF(AND(OR(BY1033="L1",BY1033="L23"),AP1033&gt;0),SUMIFS($AP$7:$AP$1843,$BY$7:$BY$1843,BY1033,$AS$7:$AS$1843,"&gt;"&amp;AS1033)+SUMIFS($AP$7:$AP$1843,$BY$7:$BY$1843,BY1033,$AS$7:$AS$1843,AS1033,$BQ$7:$BQ$1843,"&lt;="&amp;BQ1033),"")</f>
        <v>104.337868653086</v>
      </c>
      <c r="AU1033" s="65" t="n">
        <f aca="false">IF(AT1033="",0,MAX(0,MIN(1,(IF(BY1033="L1",Parameter!$E$5,Parameter!$E$6+Parameter!$E$7)-(AT1033-AP1033))/AP1033)))</f>
        <v>0</v>
      </c>
      <c r="AV1033" s="57" t="n">
        <f aca="false">IF(LEFT(Cockpit!$O$5,1)="A",H1033,IF(CA1033=1,CB1033,IF(LEFT(Cockpit!$O$5,1)="B",AZ1033,MAX(AZ1033,H1033))))</f>
        <v>2</v>
      </c>
      <c r="AW1033" s="57" t="n">
        <f aca="false">IF(BT1033=1,0,ROUNDUP(AV1033/BS1033,0))</f>
        <v>1</v>
      </c>
      <c r="AX1033" s="59" t="n">
        <f aca="false">IF(CH1033&gt;0,CH1033*MAX(1,AV1033/X1033),IF(BT1033=1,IF(AV1033&lt;=0,0,BW1033*MAX(1,IF(H1033&gt;0,AV1033/H1033,1))),IF(R1033&gt;0,AW1033/R1033,0))/MAX(0.1,N(Parameter!$M$21)))</f>
        <v>0.00505050505050505</v>
      </c>
      <c r="AY1033" s="57" t="n">
        <f aca="false">AV1033*G1033</f>
        <v>267.8</v>
      </c>
      <c r="AZ1033" s="57" t="n">
        <f aca="false">ROUNDUP(MAX(J1033/IF(BZ1033&gt;0,BZ1033,MAX(0.1,N(Cockpit!$O$6))),CC1033)/BS1033,0)*BS1033</f>
        <v>2</v>
      </c>
      <c r="BA1033" s="58" t="n">
        <f aca="false">IF(AX1033&gt;0,J1033/AX1033,-1)</f>
        <v>0.396</v>
      </c>
      <c r="BB1033" s="58" t="n">
        <f aca="false">IF(AND(OR(BY1033="L1",BY1033="L23"),AX1033&gt;0),SUMIFS($AX$7:$AX$1843,$BY$7:$BY$1843,BY1033,$BA$7:$BA$1843,"&gt;"&amp;BA1033)+SUMIFS($AX$7:$AX$1843,$BY$7:$BY$1843,BY1033,$BA$7:$BA$1843,BA1033,$BQ$7:$BQ$1843,"&lt;="&amp;BQ1033),"")</f>
        <v>95.1677054829229</v>
      </c>
      <c r="BC1033" s="65" t="n">
        <f aca="false">IF(BB1033="",0,MAX(0,MIN(1,(IF(BY1033="L1",Parameter!$E$5,Parameter!$E$6+Parameter!$E$7)-(BB1033-AX1033))/AX1033)))</f>
        <v>1</v>
      </c>
      <c r="BD1033" s="55" t="str">
        <f aca="false">IF(AH1033&lt;=0,"",IF(BY1033="Aussen","Aussenlager",IF(BY1033="-","Nicht im Lift",IF(AM1033&gt;=1,"Lift",IF(AM1033&lt;=0,"Aussenlager","teilweise")))))</f>
        <v>Lift</v>
      </c>
      <c r="BE1033" s="55" t="str">
        <f aca="false">IF(AP1033&lt;=0,"",IF(BY1033="Aussen","Aussenlager",IF(BY1033="-","Nicht im Lift",IF(AU1033&gt;=1,"Lift",IF(AU1033&lt;=0,"Aussenlager","teilweise")))))</f>
        <v>Aussenlager</v>
      </c>
      <c r="BF1033" s="55" t="str">
        <f aca="false">IF(AX1033&lt;=0,"",IF(BY1033="Aussen","Aussenlager",IF(BY1033="-","Nicht im Lift",IF(BC1033&gt;=1,"Lift",IF(BC1033&lt;=0,"Aussenlager","teilweise")))))</f>
        <v>Lift</v>
      </c>
      <c r="BG1033" s="55" t="str">
        <f aca="false">IF(A1033="","",IF(BP1033=1,"Neu; ","")&amp;IF(AND(BP1033=0,BK1033&lt;0),"negativer Bestand (Export "&amp;BK1033&amp;"); ","")&amp;IF(J1033&lt;=0,"Kein Verbrauch; ","")&amp;IF(CH1033&gt;0,"Lift "&amp;W1033&amp;" lt. Liftbericht (Fach "&amp;X1033&amp;" Stk); ",IF(BU1033=1,"Gebinde geschätzt ("&amp;T1033&amp;"); ",IF(BT1033=1,"Lose – Tablare geschätzt; ","")))&amp;IF(H1033&gt;AR1033,"Überbestand "&amp;ROUND(H1033-AR1033,0)&amp;" Stk / CHF "&amp;ROUND((H1033-AR1033)*G1033,0)&amp;"; ","")&amp;IF(AND(CA1033=1,CB1033&lt;CC1033),"MAX &lt; MB+LG; ","")&amp;IF(AND(CG1033&gt;0,CF1033*10&gt;CG1033),"zu hoch für Tablar; ","")&amp;IF(AND(BP1033=0,OR(CA1033=1,AA1033&lt;&gt;"",U1033&lt;&gt;"",V1033&lt;&gt;"",AB1033&lt;&gt;"")),"manuell übersteuert; ","")&amp;IF(AND(BT1033=0,R1033=0),"Gebinde unbekannt / Stellmass fehlt; ","")&amp;IF(AND(BT1033=0,N(V1033)&lt;=0,N(Q1033)&lt;=0),"Menge pro Gebinde fehlt (Ist = 1 Gebinde); ","")&amp;BO1033)</f>
        <v>negativer Bestand (Export -1); </v>
      </c>
      <c r="BH1033" s="55"/>
      <c r="BI1033" s="55"/>
      <c r="BJ1033" s="62"/>
      <c r="BK1033" s="57" t="n">
        <v>-1</v>
      </c>
      <c r="BL1033" s="57" t="n">
        <v>2</v>
      </c>
      <c r="BM1033" s="56" t="n">
        <v>-130.7</v>
      </c>
      <c r="BN1033" s="57" t="n">
        <v>0.002</v>
      </c>
      <c r="BO1033" s="55"/>
      <c r="BP1033" s="60" t="n">
        <v>0</v>
      </c>
      <c r="BQ1033" s="60" t="n">
        <v>1033</v>
      </c>
      <c r="BR1033" s="55" t="str">
        <f aca="false">IF(U1033&lt;&gt;"",UPPER(TRIM(U1033)),IF(BU1033=1,UPPER(VLOOKUP(T1033,Parameter!$I$27:$K$29,2,0)),IF(P1033="","LOSE",P1033)))</f>
        <v>S22</v>
      </c>
      <c r="BS1033" s="57" t="n">
        <f aca="false">IF(BR1033="LOSE",1,IF(N(V1033)&gt;0,V1033,IF(BU1033=1,MAX(1,N(VLOOKUP(T1033,Parameter!$I$27:$K$29,3,0)),H1033,N(N1033)),IF(N(Q1033)&gt;0,Q1033,MAX(1,H1033)))))</f>
        <v>2</v>
      </c>
      <c r="BT1033" s="60" t="n">
        <f aca="false">IF(BR1033="LOSE",1,0)</f>
        <v>0</v>
      </c>
      <c r="BU1033" s="60" t="n">
        <f aca="false">IF(AND(U1033="",OR(P1033="",P1033="LOSE"),T1033&lt;&gt;"",N(S1033)&lt;=0,ISNUMBER(MATCH(T1033,Parameter!$I$27:$I$29,0))),1,0)</f>
        <v>0</v>
      </c>
      <c r="BV1033" s="55" t="str">
        <f aca="false">IF(AND(Parameter!$B$19="Ja",E1033&lt;&gt;"",ISNUMBER(MATCH(E1033,Parameter!$I$35:$I$52,0))),VLOOKUP(E1033,Parameter!$I$35:$J$52,2,0),IFERROR(VLOOKUP(D1033,Parameter!$A$35:$C$64,2,0),"Nein"))</f>
        <v>2+3</v>
      </c>
      <c r="BW1033" s="59" t="n">
        <f aca="false">IF(BT1033=0,0,IF(N(S1033)&gt;0,S1033,IFERROR(VLOOKUP(D1033,Parameter!$A$35:$C$64,3,0)+0,0)))</f>
        <v>0</v>
      </c>
      <c r="BX1033" s="55" t="n">
        <f aca="false">IF(AA1033&lt;&gt;"",AA1033,Z1033)</f>
        <v>3</v>
      </c>
      <c r="BY1033" s="55" t="str">
        <f aca="false">IF(BX1033=1,"L1",IF(OR(BX1033=2,BX1033=3),"L23",IF(BX1033="Aussen","Aussen","-")))</f>
        <v>L23</v>
      </c>
      <c r="BZ1033" s="66" t="n">
        <f aca="false">IF(N(AB1033)&gt;0,AB1033,0)</f>
        <v>0</v>
      </c>
      <c r="CA1033" s="60" t="n">
        <f aca="false">IF(ISNUMBER(AE1033),1,0)</f>
        <v>0</v>
      </c>
      <c r="CB1033" s="57" t="n">
        <f aca="false">N(AE1033)</f>
        <v>0</v>
      </c>
      <c r="CC1033" s="57" t="n">
        <f aca="false">N(M1033)+N(N1033)</f>
        <v>1</v>
      </c>
      <c r="CD1033" s="57" t="n">
        <f aca="false">ROUNDUP(H1033/BS1033,0)</f>
        <v>1</v>
      </c>
      <c r="CE1033" s="57" t="n">
        <f aca="false">ROUNDUP(CB1033/BS1033,0)</f>
        <v>0</v>
      </c>
      <c r="CF1033" s="60" t="n">
        <f aca="false">IF(BT1033=1,0,IFERROR(VLOOKUP(BR1033,'Gebinde-Kategorie'!$A$5:$M$45,5,0)+0,0))</f>
        <v>8</v>
      </c>
      <c r="CG1033" s="60" t="n">
        <f aca="false">IFERROR(IF(OR(BX1033=1,BX1033=2,BX1033=3),N(INDEX(Parameter!$I$5:$I$7,BX1033)),0),0)</f>
        <v>0</v>
      </c>
      <c r="CH1033" s="59" t="n">
        <f aca="false">IF(AND(Parameter!$B$21="Ja",ISNUMBER(W1033),N(X1033)&gt;0),IFERROR(N(INDEX(Parameter!$L$5:$L$7,W1033))*INDEX(Parameter!$E$5:$E$7,W1033)*X1033/SUMIFS($X$7:$X$1843,$W$7:$W$1843,W1033),0),0)</f>
        <v>0</v>
      </c>
    </row>
    <row r="1034" customFormat="false" ht="15" hidden="false" customHeight="false" outlineLevel="0" collapsed="false">
      <c r="A1034" s="55" t="s">
        <v>1900</v>
      </c>
      <c r="B1034" s="55" t="s">
        <v>409</v>
      </c>
      <c r="C1034" s="55" t="s">
        <v>164</v>
      </c>
      <c r="D1034" s="55" t="s">
        <v>184</v>
      </c>
      <c r="E1034" s="55" t="s">
        <v>185</v>
      </c>
      <c r="F1034" s="55" t="s">
        <v>218</v>
      </c>
      <c r="G1034" s="56" t="n">
        <v>43.75</v>
      </c>
      <c r="H1034" s="57" t="n">
        <f aca="false">MAX(0,IF(AND(Parameter!$B$21="Ja",ISNUMBER(Y1034)),Y1034,IF(Parameter!$B$20="Jahresanfang 2025 + Export",BL1034+BK1034,BK1034)))</f>
        <v>38</v>
      </c>
      <c r="I1034" s="57" t="n">
        <f aca="false">H1034*G1034</f>
        <v>1662.5</v>
      </c>
      <c r="J1034" s="57" t="n">
        <f aca="false">BN1034*Parameter!$B$18</f>
        <v>0</v>
      </c>
      <c r="K1034" s="58" t="n">
        <v>39.5</v>
      </c>
      <c r="L1034" s="59" t="n">
        <v>0</v>
      </c>
      <c r="M1034" s="57" t="n">
        <v>0</v>
      </c>
      <c r="N1034" s="57" t="n">
        <v>1</v>
      </c>
      <c r="O1034" s="60" t="n">
        <v>28</v>
      </c>
      <c r="P1034" s="55" t="s">
        <v>302</v>
      </c>
      <c r="Q1034" s="57" t="n">
        <v>42</v>
      </c>
      <c r="R1034" s="60" t="n">
        <f aca="false">IF(BT1034=1,0,IFERROR(VLOOKUP(BR1034,'Gebinde-Kategorie'!$A$5:$M$45,13,0)+0,0))</f>
        <v>26</v>
      </c>
      <c r="S1034" s="61"/>
      <c r="T1034" s="62"/>
      <c r="U1034" s="62"/>
      <c r="V1034" s="62"/>
      <c r="W1034" s="55"/>
      <c r="X1034" s="57"/>
      <c r="Y1034" s="57"/>
      <c r="Z1034" s="55" t="n">
        <f aca="false">IF(A1034="","",IF(AND(Parameter!$B$21="Ja",ISNUMBER(W1034)),W1034,IF(BV1034="2+3",IF(ISNUMBER(SEARCH("grosser Artikel",BO1034)),2,IFERROR(VLOOKUP(BR1034,Parameter!$F$35:$G$64,2,0),2)),IF(OR(BV1034="Nein",BV1034=""),"-",BV1034))))</f>
        <v>3</v>
      </c>
      <c r="AA1034" s="62"/>
      <c r="AB1034" s="63"/>
      <c r="AC1034" s="57" t="n">
        <f aca="false">AR1034</f>
        <v>42</v>
      </c>
      <c r="AD1034" s="57" t="n">
        <f aca="false">MAX(AR1034,H1034)</f>
        <v>42</v>
      </c>
      <c r="AE1034" s="64"/>
      <c r="AF1034" s="57" t="n">
        <f aca="false">IF(LEFT(Cockpit!$C$5,1)="A",H1034,IF(CA1034=1,CB1034,IF(LEFT(Cockpit!$C$5,1)="B",AJ1034,MAX(AJ1034,H1034))))</f>
        <v>38</v>
      </c>
      <c r="AG1034" s="57" t="n">
        <f aca="false">IF(BT1034=1,0,ROUNDUP(AF1034/BS1034,0))</f>
        <v>1</v>
      </c>
      <c r="AH1034" s="59" t="n">
        <f aca="false">IF(CH1034&gt;0,CH1034*MAX(1,AF1034/X1034),IF(BT1034=1,IF(AF1034&lt;=0,0,BW1034*MAX(1,IF(H1034&gt;0,AF1034/H1034,1))),IF(R1034&gt;0,AG1034/R1034,0))/MAX(0.1,N(Parameter!$M$21)))</f>
        <v>0.0384615384615385</v>
      </c>
      <c r="AI1034" s="57" t="n">
        <f aca="false">AF1034*G1034</f>
        <v>1662.5</v>
      </c>
      <c r="AJ1034" s="57" t="n">
        <f aca="false">ROUNDUP(MAX(J1034/IF(BZ1034&gt;0,BZ1034,MAX(0.1,N(Cockpit!$C$6))),CC1034)/BS1034,0)*BS1034</f>
        <v>42</v>
      </c>
      <c r="AK1034" s="58" t="n">
        <f aca="false">IF(AH1034&gt;0,J1034/AH1034,-1)</f>
        <v>0</v>
      </c>
      <c r="AL1034" s="58" t="n">
        <f aca="false">IF(AND(OR(BY1034="L1",BY1034="L23"),AH1034&gt;0),SUMIFS($AH$7:$AH$1843,$BY$7:$BY$1843,BY1034,$AK$7:$AK$1843,"&gt;"&amp;AK1034)+SUMIFS($AH$7:$AH$1843,$BY$7:$BY$1843,BY1034,$AK$7:$AK$1843,AK1034,$BQ$7:$BQ$1843,"&lt;="&amp;BQ1034),"")</f>
        <v>78.920965507922</v>
      </c>
      <c r="AM1034" s="65" t="n">
        <f aca="false">IF(AL1034="",0,MAX(0,MIN(1,(IF(BY1034="L1",Parameter!$E$5,Parameter!$E$6+Parameter!$E$7)-(AL1034-AH1034))/AH1034)))</f>
        <v>1</v>
      </c>
      <c r="AN1034" s="57" t="n">
        <f aca="false">IF(LEFT(Cockpit!$I$5,1)="A",H1034,IF(CA1034=1,CB1034,IF(LEFT(Cockpit!$I$5,1)="B",AR1034,MAX(AR1034,H1034))))</f>
        <v>42</v>
      </c>
      <c r="AO1034" s="57" t="n">
        <f aca="false">IF(BT1034=1,0,ROUNDUP(AN1034/BS1034,0))</f>
        <v>1</v>
      </c>
      <c r="AP1034" s="59" t="n">
        <f aca="false">IF(CH1034&gt;0,CH1034*MAX(1,AN1034/X1034),IF(BT1034=1,IF(AN1034&lt;=0,0,BW1034*MAX(1,IF(H1034&gt;0,AN1034/H1034,1))),IF(R1034&gt;0,AO1034/R1034,0))/MAX(0.1,N(Parameter!$M$21)))</f>
        <v>0.0384615384615385</v>
      </c>
      <c r="AQ1034" s="57" t="n">
        <f aca="false">AN1034*G1034</f>
        <v>1837.5</v>
      </c>
      <c r="AR1034" s="57" t="n">
        <f aca="false">ROUNDUP(MAX(J1034/IF(BZ1034&gt;0,BZ1034,MAX(0.1,N(Cockpit!$I$6))),CC1034)/BS1034,0)*BS1034</f>
        <v>42</v>
      </c>
      <c r="AS1034" s="58" t="n">
        <f aca="false">IF(AP1034&gt;0,J1034/AP1034,-1)</f>
        <v>0</v>
      </c>
      <c r="AT1034" s="58" t="n">
        <f aca="false">IF(AND(OR(BY1034="L1",BY1034="L23"),AP1034&gt;0),SUMIFS($AP$7:$AP$1843,$BY$7:$BY$1843,BY1034,$AS$7:$AS$1843,"&gt;"&amp;AS1034)+SUMIFS($AP$7:$AP$1843,$BY$7:$BY$1843,BY1034,$AS$7:$AS$1843,AS1034,$BQ$7:$BQ$1843,"&lt;="&amp;BQ1034),"")</f>
        <v>120.367403128273</v>
      </c>
      <c r="AU1034" s="65" t="n">
        <f aca="false">IF(AT1034="",0,MAX(0,MIN(1,(IF(BY1034="L1",Parameter!$E$5,Parameter!$E$6+Parameter!$E$7)-(AT1034-AP1034))/AP1034)))</f>
        <v>0</v>
      </c>
      <c r="AV1034" s="57" t="n">
        <f aca="false">IF(LEFT(Cockpit!$O$5,1)="A",H1034,IF(CA1034=1,CB1034,IF(LEFT(Cockpit!$O$5,1)="B",AZ1034,MAX(AZ1034,H1034))))</f>
        <v>42</v>
      </c>
      <c r="AW1034" s="57" t="n">
        <f aca="false">IF(BT1034=1,0,ROUNDUP(AV1034/BS1034,0))</f>
        <v>1</v>
      </c>
      <c r="AX1034" s="59" t="n">
        <f aca="false">IF(CH1034&gt;0,CH1034*MAX(1,AV1034/X1034),IF(BT1034=1,IF(AV1034&lt;=0,0,BW1034*MAX(1,IF(H1034&gt;0,AV1034/H1034,1))),IF(R1034&gt;0,AW1034/R1034,0))/MAX(0.1,N(Parameter!$M$21)))</f>
        <v>0.0384615384615385</v>
      </c>
      <c r="AY1034" s="57" t="n">
        <f aca="false">AV1034*G1034</f>
        <v>1837.5</v>
      </c>
      <c r="AZ1034" s="57" t="n">
        <f aca="false">ROUNDUP(MAX(J1034/IF(BZ1034&gt;0,BZ1034,MAX(0.1,N(Cockpit!$O$6))),CC1034)/BS1034,0)*BS1034</f>
        <v>42</v>
      </c>
      <c r="BA1034" s="58" t="n">
        <f aca="false">IF(AX1034&gt;0,J1034/AX1034,-1)</f>
        <v>0</v>
      </c>
      <c r="BB1034" s="58" t="n">
        <f aca="false">IF(AND(OR(BY1034="L1",BY1034="L23"),AX1034&gt;0),SUMIFS($AX$7:$AX$1843,$BY$7:$BY$1843,BY1034,$BA$7:$BA$1843,"&gt;"&amp;BA1034)+SUMIFS($AX$7:$AX$1843,$BY$7:$BY$1843,BY1034,$BA$7:$BA$1843,BA1034,$BQ$7:$BQ$1843,"&lt;="&amp;BQ1034),"")</f>
        <v>111.19723995811</v>
      </c>
      <c r="BC1034" s="65" t="n">
        <f aca="false">IF(BB1034="",0,MAX(0,MIN(1,(IF(BY1034="L1",Parameter!$E$5,Parameter!$E$6+Parameter!$E$7)-(BB1034-AX1034))/AX1034)))</f>
        <v>0</v>
      </c>
      <c r="BD1034" s="55" t="str">
        <f aca="false">IF(AH1034&lt;=0,"",IF(BY1034="Aussen","Aussenlager",IF(BY1034="-","Nicht im Lift",IF(AM1034&gt;=1,"Lift",IF(AM1034&lt;=0,"Aussenlager","teilweise")))))</f>
        <v>Lift</v>
      </c>
      <c r="BE1034" s="55" t="str">
        <f aca="false">IF(AP1034&lt;=0,"",IF(BY1034="Aussen","Aussenlager",IF(BY1034="-","Nicht im Lift",IF(AU1034&gt;=1,"Lift",IF(AU1034&lt;=0,"Aussenlager","teilweise")))))</f>
        <v>Aussenlager</v>
      </c>
      <c r="BF1034" s="55" t="str">
        <f aca="false">IF(AX1034&lt;=0,"",IF(BY1034="Aussen","Aussenlager",IF(BY1034="-","Nicht im Lift",IF(BC1034&gt;=1,"Lift",IF(BC1034&lt;=0,"Aussenlager","teilweise")))))</f>
        <v>Aussenlager</v>
      </c>
      <c r="BG1034" s="55" t="str">
        <f aca="false">IF(A1034="","",IF(BP1034=1,"Neu; ","")&amp;IF(AND(BP1034=0,BK1034&lt;0),"negativer Bestand (Export "&amp;BK1034&amp;"); ","")&amp;IF(J1034&lt;=0,"Kein Verbrauch; ","")&amp;IF(CH1034&gt;0,"Lift "&amp;W1034&amp;" lt. Liftbericht (Fach "&amp;X1034&amp;" Stk); ",IF(BU1034=1,"Gebinde geschätzt ("&amp;T1034&amp;"); ",IF(BT1034=1,"Lose – Tablare geschätzt; ","")))&amp;IF(H1034&gt;AR1034,"Überbestand "&amp;ROUND(H1034-AR1034,0)&amp;" Stk / CHF "&amp;ROUND((H1034-AR1034)*G1034,0)&amp;"; ","")&amp;IF(AND(CA1034=1,CB1034&lt;CC1034),"MAX &lt; MB+LG; ","")&amp;IF(AND(CG1034&gt;0,CF1034*10&gt;CG1034),"zu hoch für Tablar; ","")&amp;IF(AND(BP1034=0,OR(CA1034=1,AA1034&lt;&gt;"",U1034&lt;&gt;"",V1034&lt;&gt;"",AB1034&lt;&gt;"")),"manuell übersteuert; ","")&amp;IF(AND(BT1034=0,R1034=0),"Gebinde unbekannt / Stellmass fehlt; ","")&amp;IF(AND(BT1034=0,N(V1034)&lt;=0,N(Q1034)&lt;=0),"Menge pro Gebinde fehlt (Ist = 1 Gebinde); ","")&amp;BO1034)</f>
        <v>negativer Bestand (Export -3); Kein Verbrauch; </v>
      </c>
      <c r="BH1034" s="55"/>
      <c r="BI1034" s="55"/>
      <c r="BJ1034" s="62"/>
      <c r="BK1034" s="57" t="n">
        <v>-3</v>
      </c>
      <c r="BL1034" s="57" t="n">
        <v>41</v>
      </c>
      <c r="BM1034" s="56" t="n">
        <v>-131.25</v>
      </c>
      <c r="BN1034" s="57" t="n">
        <v>0</v>
      </c>
      <c r="BO1034" s="55"/>
      <c r="BP1034" s="60" t="n">
        <v>0</v>
      </c>
      <c r="BQ1034" s="60" t="n">
        <v>1034</v>
      </c>
      <c r="BR1034" s="55" t="str">
        <f aca="false">IF(U1034&lt;&gt;"",UPPER(TRIM(U1034)),IF(BU1034=1,UPPER(VLOOKUP(T1034,Parameter!$I$27:$K$29,2,0)),IF(P1034="","LOSE",P1034)))</f>
        <v>S51</v>
      </c>
      <c r="BS1034" s="57" t="n">
        <f aca="false">IF(BR1034="LOSE",1,IF(N(V1034)&gt;0,V1034,IF(BU1034=1,MAX(1,N(VLOOKUP(T1034,Parameter!$I$27:$K$29,3,0)),H1034,N(N1034)),IF(N(Q1034)&gt;0,Q1034,MAX(1,H1034)))))</f>
        <v>42</v>
      </c>
      <c r="BT1034" s="60" t="n">
        <f aca="false">IF(BR1034="LOSE",1,0)</f>
        <v>0</v>
      </c>
      <c r="BU1034" s="60" t="n">
        <f aca="false">IF(AND(U1034="",OR(P1034="",P1034="LOSE"),T1034&lt;&gt;"",N(S1034)&lt;=0,ISNUMBER(MATCH(T1034,Parameter!$I$27:$I$29,0))),1,0)</f>
        <v>0</v>
      </c>
      <c r="BV1034" s="55" t="str">
        <f aca="false">IF(AND(Parameter!$B$19="Ja",E1034&lt;&gt;"",ISNUMBER(MATCH(E1034,Parameter!$I$35:$I$52,0))),VLOOKUP(E1034,Parameter!$I$35:$J$52,2,0),IFERROR(VLOOKUP(D1034,Parameter!$A$35:$C$64,2,0),"Nein"))</f>
        <v>2+3</v>
      </c>
      <c r="BW1034" s="59" t="n">
        <f aca="false">IF(BT1034=0,0,IF(N(S1034)&gt;0,S1034,IFERROR(VLOOKUP(D1034,Parameter!$A$35:$C$64,3,0)+0,0)))</f>
        <v>0</v>
      </c>
      <c r="BX1034" s="55" t="n">
        <f aca="false">IF(AA1034&lt;&gt;"",AA1034,Z1034)</f>
        <v>3</v>
      </c>
      <c r="BY1034" s="55" t="str">
        <f aca="false">IF(BX1034=1,"L1",IF(OR(BX1034=2,BX1034=3),"L23",IF(BX1034="Aussen","Aussen","-")))</f>
        <v>L23</v>
      </c>
      <c r="BZ1034" s="66" t="n">
        <f aca="false">IF(N(AB1034)&gt;0,AB1034,0)</f>
        <v>0</v>
      </c>
      <c r="CA1034" s="60" t="n">
        <f aca="false">IF(ISNUMBER(AE1034),1,0)</f>
        <v>0</v>
      </c>
      <c r="CB1034" s="57" t="n">
        <f aca="false">N(AE1034)</f>
        <v>0</v>
      </c>
      <c r="CC1034" s="57" t="n">
        <f aca="false">N(M1034)+N(N1034)</f>
        <v>1</v>
      </c>
      <c r="CD1034" s="57" t="n">
        <f aca="false">ROUNDUP(H1034/BS1034,0)</f>
        <v>1</v>
      </c>
      <c r="CE1034" s="57" t="n">
        <f aca="false">ROUNDUP(CB1034/BS1034,0)</f>
        <v>0</v>
      </c>
      <c r="CF1034" s="60" t="n">
        <f aca="false">IF(BT1034=1,0,IFERROR(VLOOKUP(BR1034,'Gebinde-Kategorie'!$A$5:$M$45,5,0)+0,0))</f>
        <v>11</v>
      </c>
      <c r="CG1034" s="60" t="n">
        <f aca="false">IFERROR(IF(OR(BX1034=1,BX1034=2,BX1034=3),N(INDEX(Parameter!$I$5:$I$7,BX1034)),0),0)</f>
        <v>0</v>
      </c>
      <c r="CH1034" s="59" t="n">
        <f aca="false">IF(AND(Parameter!$B$21="Ja",ISNUMBER(W1034),N(X1034)&gt;0),IFERROR(N(INDEX(Parameter!$L$5:$L$7,W1034))*INDEX(Parameter!$E$5:$E$7,W1034)*X1034/SUMIFS($X$7:$X$1843,$W$7:$W$1843,W1034),0),0)</f>
        <v>0</v>
      </c>
    </row>
    <row r="1035" customFormat="false" ht="15" hidden="false" customHeight="false" outlineLevel="0" collapsed="false">
      <c r="A1035" s="55" t="s">
        <v>1901</v>
      </c>
      <c r="B1035" s="55" t="s">
        <v>1902</v>
      </c>
      <c r="C1035" s="55" t="s">
        <v>164</v>
      </c>
      <c r="D1035" s="55" t="s">
        <v>184</v>
      </c>
      <c r="E1035" s="55" t="s">
        <v>185</v>
      </c>
      <c r="F1035" s="55" t="s">
        <v>218</v>
      </c>
      <c r="G1035" s="56" t="n">
        <v>32.82</v>
      </c>
      <c r="H1035" s="57" t="n">
        <f aca="false">MAX(0,IF(AND(Parameter!$B$21="Ja",ISNUMBER(Y1035)),Y1035,IF(Parameter!$B$20="Jahresanfang 2025 + Export",BL1035+BK1035,BK1035)))</f>
        <v>44</v>
      </c>
      <c r="I1035" s="57" t="n">
        <f aca="false">H1035*G1035</f>
        <v>1444.08</v>
      </c>
      <c r="J1035" s="57" t="n">
        <f aca="false">BN1035*Parameter!$B$18</f>
        <v>24</v>
      </c>
      <c r="K1035" s="58" t="n">
        <v>46.5</v>
      </c>
      <c r="L1035" s="59" t="n">
        <v>0.516129032258065</v>
      </c>
      <c r="M1035" s="57" t="n">
        <v>1</v>
      </c>
      <c r="N1035" s="57" t="n">
        <v>25</v>
      </c>
      <c r="O1035" s="60" t="n">
        <v>28</v>
      </c>
      <c r="P1035" s="55" t="s">
        <v>302</v>
      </c>
      <c r="Q1035" s="57" t="n">
        <v>30</v>
      </c>
      <c r="R1035" s="60" t="n">
        <f aca="false">IF(BT1035=1,0,IFERROR(VLOOKUP(BR1035,'Gebinde-Kategorie'!$A$5:$M$45,13,0)+0,0))</f>
        <v>26</v>
      </c>
      <c r="S1035" s="61"/>
      <c r="T1035" s="62"/>
      <c r="U1035" s="62"/>
      <c r="V1035" s="62"/>
      <c r="W1035" s="55"/>
      <c r="X1035" s="57"/>
      <c r="Y1035" s="57"/>
      <c r="Z1035" s="55" t="n">
        <f aca="false">IF(A1035="","",IF(AND(Parameter!$B$21="Ja",ISNUMBER(W1035)),W1035,IF(BV1035="2+3",IF(ISNUMBER(SEARCH("grosser Artikel",BO1035)),2,IFERROR(VLOOKUP(BR1035,Parameter!$F$35:$G$64,2,0),2)),IF(OR(BV1035="Nein",BV1035=""),"-",BV1035))))</f>
        <v>3</v>
      </c>
      <c r="AA1035" s="62"/>
      <c r="AB1035" s="63"/>
      <c r="AC1035" s="57" t="n">
        <f aca="false">AR1035</f>
        <v>30</v>
      </c>
      <c r="AD1035" s="57" t="n">
        <f aca="false">MAX(AR1035,H1035)</f>
        <v>44</v>
      </c>
      <c r="AE1035" s="64"/>
      <c r="AF1035" s="57" t="n">
        <f aca="false">IF(LEFT(Cockpit!$C$5,1)="A",H1035,IF(CA1035=1,CB1035,IF(LEFT(Cockpit!$C$5,1)="B",AJ1035,MAX(AJ1035,H1035))))</f>
        <v>44</v>
      </c>
      <c r="AG1035" s="57" t="n">
        <f aca="false">IF(BT1035=1,0,ROUNDUP(AF1035/BS1035,0))</f>
        <v>2</v>
      </c>
      <c r="AH1035" s="59" t="n">
        <f aca="false">IF(CH1035&gt;0,CH1035*MAX(1,AF1035/X1035),IF(BT1035=1,IF(AF1035&lt;=0,0,BW1035*MAX(1,IF(H1035&gt;0,AF1035/H1035,1))),IF(R1035&gt;0,AG1035/R1035,0))/MAX(0.1,N(Parameter!$M$21)))</f>
        <v>0.0769230769230769</v>
      </c>
      <c r="AI1035" s="57" t="n">
        <f aca="false">AF1035*G1035</f>
        <v>1444.08</v>
      </c>
      <c r="AJ1035" s="57" t="n">
        <f aca="false">ROUNDUP(MAX(J1035/IF(BZ1035&gt;0,BZ1035,MAX(0.1,N(Cockpit!$C$6))),CC1035)/BS1035,0)*BS1035</f>
        <v>30</v>
      </c>
      <c r="AK1035" s="58" t="n">
        <f aca="false">IF(AH1035&gt;0,J1035/AH1035,-1)</f>
        <v>312</v>
      </c>
      <c r="AL1035" s="58" t="n">
        <f aca="false">IF(AND(OR(BY1035="L1",BY1035="L23"),AH1035&gt;0),SUMIFS($AH$7:$AH$1843,$BY$7:$BY$1843,BY1035,$AK$7:$AK$1843,"&gt;"&amp;AK1035)+SUMIFS($AH$7:$AH$1843,$BY$7:$BY$1843,BY1035,$AK$7:$AK$1843,AK1035,$BQ$7:$BQ$1843,"&lt;="&amp;BQ1035),"")</f>
        <v>28.151608053782</v>
      </c>
      <c r="AM1035" s="65" t="n">
        <f aca="false">IF(AL1035="",0,MAX(0,MIN(1,(IF(BY1035="L1",Parameter!$E$5,Parameter!$E$6+Parameter!$E$7)-(AL1035-AH1035))/AH1035)))</f>
        <v>1</v>
      </c>
      <c r="AN1035" s="57" t="n">
        <f aca="false">IF(LEFT(Cockpit!$I$5,1)="A",H1035,IF(CA1035=1,CB1035,IF(LEFT(Cockpit!$I$5,1)="B",AR1035,MAX(AR1035,H1035))))</f>
        <v>44</v>
      </c>
      <c r="AO1035" s="57" t="n">
        <f aca="false">IF(BT1035=1,0,ROUNDUP(AN1035/BS1035,0))</f>
        <v>2</v>
      </c>
      <c r="AP1035" s="59" t="n">
        <f aca="false">IF(CH1035&gt;0,CH1035*MAX(1,AN1035/X1035),IF(BT1035=1,IF(AN1035&lt;=0,0,BW1035*MAX(1,IF(H1035&gt;0,AN1035/H1035,1))),IF(R1035&gt;0,AO1035/R1035,0))/MAX(0.1,N(Parameter!$M$21)))</f>
        <v>0.0769230769230769</v>
      </c>
      <c r="AQ1035" s="57" t="n">
        <f aca="false">AN1035*G1035</f>
        <v>1444.08</v>
      </c>
      <c r="AR1035" s="57" t="n">
        <f aca="false">ROUNDUP(MAX(J1035/IF(BZ1035&gt;0,BZ1035,MAX(0.1,N(Cockpit!$I$6))),CC1035)/BS1035,0)*BS1035</f>
        <v>30</v>
      </c>
      <c r="AS1035" s="58" t="n">
        <f aca="false">IF(AP1035&gt;0,J1035/AP1035,-1)</f>
        <v>312</v>
      </c>
      <c r="AT1035" s="58" t="n">
        <f aca="false">IF(AND(OR(BY1035="L1",BY1035="L23"),AP1035&gt;0),SUMIFS($AP$7:$AP$1843,$BY$7:$BY$1843,BY1035,$AS$7:$AS$1843,"&gt;"&amp;AS1035)+SUMIFS($AP$7:$AP$1843,$BY$7:$BY$1843,BY1035,$AS$7:$AS$1843,AS1035,$BQ$7:$BQ$1843,"&lt;="&amp;BQ1035),"")</f>
        <v>40.9521891152326</v>
      </c>
      <c r="AU1035" s="65" t="n">
        <f aca="false">IF(AT1035="",0,MAX(0,MIN(1,(IF(BY1035="L1",Parameter!$E$5,Parameter!$E$6+Parameter!$E$7)-(AT1035-AP1035))/AP1035)))</f>
        <v>1</v>
      </c>
      <c r="AV1035" s="57" t="n">
        <f aca="false">IF(LEFT(Cockpit!$O$5,1)="A",H1035,IF(CA1035=1,CB1035,IF(LEFT(Cockpit!$O$5,1)="B",AZ1035,MAX(AZ1035,H1035))))</f>
        <v>44</v>
      </c>
      <c r="AW1035" s="57" t="n">
        <f aca="false">IF(BT1035=1,0,ROUNDUP(AV1035/BS1035,0))</f>
        <v>2</v>
      </c>
      <c r="AX1035" s="59" t="n">
        <f aca="false">IF(CH1035&gt;0,CH1035*MAX(1,AV1035/X1035),IF(BT1035=1,IF(AV1035&lt;=0,0,BW1035*MAX(1,IF(H1035&gt;0,AV1035/H1035,1))),IF(R1035&gt;0,AW1035/R1035,0))/MAX(0.1,N(Parameter!$M$21)))</f>
        <v>0.0769230769230769</v>
      </c>
      <c r="AY1035" s="57" t="n">
        <f aca="false">AV1035*G1035</f>
        <v>1444.08</v>
      </c>
      <c r="AZ1035" s="57" t="n">
        <f aca="false">ROUNDUP(MAX(J1035/IF(BZ1035&gt;0,BZ1035,MAX(0.1,N(Cockpit!$O$6))),CC1035)/BS1035,0)*BS1035</f>
        <v>30</v>
      </c>
      <c r="BA1035" s="58" t="n">
        <f aca="false">IF(AX1035&gt;0,J1035/AX1035,-1)</f>
        <v>312</v>
      </c>
      <c r="BB1035" s="58" t="n">
        <f aca="false">IF(AND(OR(BY1035="L1",BY1035="L23"),AX1035&gt;0),SUMIFS($AX$7:$AX$1843,$BY$7:$BY$1843,BY1035,$BA$7:$BA$1843,"&gt;"&amp;BA1035)+SUMIFS($AX$7:$AX$1843,$BY$7:$BY$1843,BY1035,$BA$7:$BA$1843,BA1035,$BQ$7:$BQ$1843,"&lt;="&amp;BQ1035),"")</f>
        <v>37.2820259450694</v>
      </c>
      <c r="BC1035" s="65" t="n">
        <f aca="false">IF(BB1035="",0,MAX(0,MIN(1,(IF(BY1035="L1",Parameter!$E$5,Parameter!$E$6+Parameter!$E$7)-(BB1035-AX1035))/AX1035)))</f>
        <v>1</v>
      </c>
      <c r="BD1035" s="55" t="str">
        <f aca="false">IF(AH1035&lt;=0,"",IF(BY1035="Aussen","Aussenlager",IF(BY1035="-","Nicht im Lift",IF(AM1035&gt;=1,"Lift",IF(AM1035&lt;=0,"Aussenlager","teilweise")))))</f>
        <v>Lift</v>
      </c>
      <c r="BE1035" s="55" t="str">
        <f aca="false">IF(AP1035&lt;=0,"",IF(BY1035="Aussen","Aussenlager",IF(BY1035="-","Nicht im Lift",IF(AU1035&gt;=1,"Lift",IF(AU1035&lt;=0,"Aussenlager","teilweise")))))</f>
        <v>Lift</v>
      </c>
      <c r="BF1035" s="55" t="str">
        <f aca="false">IF(AX1035&lt;=0,"",IF(BY1035="Aussen","Aussenlager",IF(BY1035="-","Nicht im Lift",IF(BC1035&gt;=1,"Lift",IF(BC1035&lt;=0,"Aussenlager","teilweise")))))</f>
        <v>Lift</v>
      </c>
      <c r="BG1035" s="55" t="str">
        <f aca="false">IF(A1035="","",IF(BP1035=1,"Neu; ","")&amp;IF(AND(BP1035=0,BK1035&lt;0),"negativer Bestand (Export "&amp;BK1035&amp;"); ","")&amp;IF(J1035&lt;=0,"Kein Verbrauch; ","")&amp;IF(CH1035&gt;0,"Lift "&amp;W1035&amp;" lt. Liftbericht (Fach "&amp;X1035&amp;" Stk); ",IF(BU1035=1,"Gebinde geschätzt ("&amp;T1035&amp;"); ",IF(BT1035=1,"Lose – Tablare geschätzt; ","")))&amp;IF(H1035&gt;AR1035,"Überbestand "&amp;ROUND(H1035-AR1035,0)&amp;" Stk / CHF "&amp;ROUND((H1035-AR1035)*G1035,0)&amp;"; ","")&amp;IF(AND(CA1035=1,CB1035&lt;CC1035),"MAX &lt; MB+LG; ","")&amp;IF(AND(CG1035&gt;0,CF1035*10&gt;CG1035),"zu hoch für Tablar; ","")&amp;IF(AND(BP1035=0,OR(CA1035=1,AA1035&lt;&gt;"",U1035&lt;&gt;"",V1035&lt;&gt;"",AB1035&lt;&gt;"")),"manuell übersteuert; ","")&amp;IF(AND(BT1035=0,R1035=0),"Gebinde unbekannt / Stellmass fehlt; ","")&amp;IF(AND(BT1035=0,N(V1035)&lt;=0,N(Q1035)&lt;=0),"Menge pro Gebinde fehlt (Ist = 1 Gebinde); ","")&amp;BO1035)</f>
        <v>negativer Bestand (Export -4); Überbestand 14 Stk / CHF 459; Neu</v>
      </c>
      <c r="BH1035" s="55"/>
      <c r="BI1035" s="55"/>
      <c r="BJ1035" s="62"/>
      <c r="BK1035" s="57" t="n">
        <v>-4</v>
      </c>
      <c r="BL1035" s="57" t="n">
        <v>48</v>
      </c>
      <c r="BM1035" s="56" t="n">
        <v>-131.28</v>
      </c>
      <c r="BN1035" s="57" t="n">
        <v>24</v>
      </c>
      <c r="BO1035" s="55" t="s">
        <v>626</v>
      </c>
      <c r="BP1035" s="60" t="n">
        <v>0</v>
      </c>
      <c r="BQ1035" s="60" t="n">
        <v>1035</v>
      </c>
      <c r="BR1035" s="55" t="str">
        <f aca="false">IF(U1035&lt;&gt;"",UPPER(TRIM(U1035)),IF(BU1035=1,UPPER(VLOOKUP(T1035,Parameter!$I$27:$K$29,2,0)),IF(P1035="","LOSE",P1035)))</f>
        <v>S51</v>
      </c>
      <c r="BS1035" s="57" t="n">
        <f aca="false">IF(BR1035="LOSE",1,IF(N(V1035)&gt;0,V1035,IF(BU1035=1,MAX(1,N(VLOOKUP(T1035,Parameter!$I$27:$K$29,3,0)),H1035,N(N1035)),IF(N(Q1035)&gt;0,Q1035,MAX(1,H1035)))))</f>
        <v>30</v>
      </c>
      <c r="BT1035" s="60" t="n">
        <f aca="false">IF(BR1035="LOSE",1,0)</f>
        <v>0</v>
      </c>
      <c r="BU1035" s="60" t="n">
        <f aca="false">IF(AND(U1035="",OR(P1035="",P1035="LOSE"),T1035&lt;&gt;"",N(S1035)&lt;=0,ISNUMBER(MATCH(T1035,Parameter!$I$27:$I$29,0))),1,0)</f>
        <v>0</v>
      </c>
      <c r="BV1035" s="55" t="str">
        <f aca="false">IF(AND(Parameter!$B$19="Ja",E1035&lt;&gt;"",ISNUMBER(MATCH(E1035,Parameter!$I$35:$I$52,0))),VLOOKUP(E1035,Parameter!$I$35:$J$52,2,0),IFERROR(VLOOKUP(D1035,Parameter!$A$35:$C$64,2,0),"Nein"))</f>
        <v>2+3</v>
      </c>
      <c r="BW1035" s="59" t="n">
        <f aca="false">IF(BT1035=0,0,IF(N(S1035)&gt;0,S1035,IFERROR(VLOOKUP(D1035,Parameter!$A$35:$C$64,3,0)+0,0)))</f>
        <v>0</v>
      </c>
      <c r="BX1035" s="55" t="n">
        <f aca="false">IF(AA1035&lt;&gt;"",AA1035,Z1035)</f>
        <v>3</v>
      </c>
      <c r="BY1035" s="55" t="str">
        <f aca="false">IF(BX1035=1,"L1",IF(OR(BX1035=2,BX1035=3),"L23",IF(BX1035="Aussen","Aussen","-")))</f>
        <v>L23</v>
      </c>
      <c r="BZ1035" s="66" t="n">
        <f aca="false">IF(N(AB1035)&gt;0,AB1035,0)</f>
        <v>0</v>
      </c>
      <c r="CA1035" s="60" t="n">
        <f aca="false">IF(ISNUMBER(AE1035),1,0)</f>
        <v>0</v>
      </c>
      <c r="CB1035" s="57" t="n">
        <f aca="false">N(AE1035)</f>
        <v>0</v>
      </c>
      <c r="CC1035" s="57" t="n">
        <f aca="false">N(M1035)+N(N1035)</f>
        <v>26</v>
      </c>
      <c r="CD1035" s="57" t="n">
        <f aca="false">ROUNDUP(H1035/BS1035,0)</f>
        <v>2</v>
      </c>
      <c r="CE1035" s="57" t="n">
        <f aca="false">ROUNDUP(CB1035/BS1035,0)</f>
        <v>0</v>
      </c>
      <c r="CF1035" s="60" t="n">
        <f aca="false">IF(BT1035=1,0,IFERROR(VLOOKUP(BR1035,'Gebinde-Kategorie'!$A$5:$M$45,5,0)+0,0))</f>
        <v>11</v>
      </c>
      <c r="CG1035" s="60" t="n">
        <f aca="false">IFERROR(IF(OR(BX1035=1,BX1035=2,BX1035=3),N(INDEX(Parameter!$I$5:$I$7,BX1035)),0),0)</f>
        <v>0</v>
      </c>
      <c r="CH1035" s="59" t="n">
        <f aca="false">IF(AND(Parameter!$B$21="Ja",ISNUMBER(W1035),N(X1035)&gt;0),IFERROR(N(INDEX(Parameter!$L$5:$L$7,W1035))*INDEX(Parameter!$E$5:$E$7,W1035)*X1035/SUMIFS($X$7:$X$1843,$W$7:$W$1843,W1035),0),0)</f>
        <v>0</v>
      </c>
    </row>
    <row r="1036" customFormat="false" ht="15" hidden="false" customHeight="false" outlineLevel="0" collapsed="false">
      <c r="A1036" s="55" t="s">
        <v>1903</v>
      </c>
      <c r="B1036" s="55" t="s">
        <v>1786</v>
      </c>
      <c r="C1036" s="55" t="s">
        <v>164</v>
      </c>
      <c r="D1036" s="55" t="s">
        <v>184</v>
      </c>
      <c r="E1036" s="55" t="s">
        <v>185</v>
      </c>
      <c r="F1036" s="55" t="s">
        <v>218</v>
      </c>
      <c r="G1036" s="56" t="n">
        <v>30.34</v>
      </c>
      <c r="H1036" s="57" t="n">
        <f aca="false">MAX(0,IF(AND(Parameter!$B$21="Ja",ISNUMBER(Y1036)),Y1036,IF(Parameter!$B$20="Jahresanfang 2025 + Export",BL1036+BK1036,BK1036)))</f>
        <v>6</v>
      </c>
      <c r="I1036" s="57" t="n">
        <f aca="false">H1036*G1036</f>
        <v>182.04</v>
      </c>
      <c r="J1036" s="57" t="n">
        <f aca="false">BN1036*Parameter!$B$18</f>
        <v>2</v>
      </c>
      <c r="K1036" s="58" t="n">
        <v>9</v>
      </c>
      <c r="L1036" s="59" t="n">
        <v>0.222222222222222</v>
      </c>
      <c r="M1036" s="57" t="n">
        <v>0</v>
      </c>
      <c r="N1036" s="57" t="n">
        <v>1</v>
      </c>
      <c r="O1036" s="60" t="n">
        <v>19</v>
      </c>
      <c r="P1036" s="55" t="s">
        <v>401</v>
      </c>
      <c r="Q1036" s="57" t="n">
        <v>16</v>
      </c>
      <c r="R1036" s="60" t="n">
        <f aca="false">IF(BT1036=1,0,IFERROR(VLOOKUP(BR1036,'Gebinde-Kategorie'!$A$5:$M$45,13,0)+0,0))</f>
        <v>414</v>
      </c>
      <c r="S1036" s="61"/>
      <c r="T1036" s="62"/>
      <c r="U1036" s="62"/>
      <c r="V1036" s="62"/>
      <c r="W1036" s="55"/>
      <c r="X1036" s="57"/>
      <c r="Y1036" s="57"/>
      <c r="Z1036" s="55" t="n">
        <f aca="false">IF(A1036="","",IF(AND(Parameter!$B$21="Ja",ISNUMBER(W1036)),W1036,IF(BV1036="2+3",IF(ISNUMBER(SEARCH("grosser Artikel",BO1036)),2,IFERROR(VLOOKUP(BR1036,Parameter!$F$35:$G$64,2,0),2)),IF(OR(BV1036="Nein",BV1036=""),"-",BV1036))))</f>
        <v>3</v>
      </c>
      <c r="AA1036" s="62"/>
      <c r="AB1036" s="63"/>
      <c r="AC1036" s="57" t="n">
        <f aca="false">AR1036</f>
        <v>16</v>
      </c>
      <c r="AD1036" s="57" t="n">
        <f aca="false">MAX(AR1036,H1036)</f>
        <v>16</v>
      </c>
      <c r="AE1036" s="64"/>
      <c r="AF1036" s="57" t="n">
        <f aca="false">IF(LEFT(Cockpit!$C$5,1)="A",H1036,IF(CA1036=1,CB1036,IF(LEFT(Cockpit!$C$5,1)="B",AJ1036,MAX(AJ1036,H1036))))</f>
        <v>6</v>
      </c>
      <c r="AG1036" s="57" t="n">
        <f aca="false">IF(BT1036=1,0,ROUNDUP(AF1036/BS1036,0))</f>
        <v>1</v>
      </c>
      <c r="AH1036" s="59" t="n">
        <f aca="false">IF(CH1036&gt;0,CH1036*MAX(1,AF1036/X1036),IF(BT1036=1,IF(AF1036&lt;=0,0,BW1036*MAX(1,IF(H1036&gt;0,AF1036/H1036,1))),IF(R1036&gt;0,AG1036/R1036,0))/MAX(0.1,N(Parameter!$M$21)))</f>
        <v>0.00241545893719807</v>
      </c>
      <c r="AI1036" s="57" t="n">
        <f aca="false">AF1036*G1036</f>
        <v>182.04</v>
      </c>
      <c r="AJ1036" s="57" t="n">
        <f aca="false">ROUNDUP(MAX(J1036/IF(BZ1036&gt;0,BZ1036,MAX(0.1,N(Cockpit!$C$6))),CC1036)/BS1036,0)*BS1036</f>
        <v>16</v>
      </c>
      <c r="AK1036" s="58" t="n">
        <f aca="false">IF(AH1036&gt;0,J1036/AH1036,-1)</f>
        <v>828</v>
      </c>
      <c r="AL1036" s="58" t="n">
        <f aca="false">IF(AND(OR(BY1036="L1",BY1036="L23"),AH1036&gt;0),SUMIFS($AH$7:$AH$1843,$BY$7:$BY$1843,BY1036,$AK$7:$AK$1843,"&gt;"&amp;AK1036)+SUMIFS($AH$7:$AH$1843,$BY$7:$BY$1843,BY1036,$AK$7:$AK$1843,AK1036,$BQ$7:$BQ$1843,"&lt;="&amp;BQ1036),"")</f>
        <v>20.732238775717</v>
      </c>
      <c r="AM1036" s="65" t="n">
        <f aca="false">IF(AL1036="",0,MAX(0,MIN(1,(IF(BY1036="L1",Parameter!$E$5,Parameter!$E$6+Parameter!$E$7)-(AL1036-AH1036))/AH1036)))</f>
        <v>1</v>
      </c>
      <c r="AN1036" s="57" t="n">
        <f aca="false">IF(LEFT(Cockpit!$I$5,1)="A",H1036,IF(CA1036=1,CB1036,IF(LEFT(Cockpit!$I$5,1)="B",AR1036,MAX(AR1036,H1036))))</f>
        <v>16</v>
      </c>
      <c r="AO1036" s="57" t="n">
        <f aca="false">IF(BT1036=1,0,ROUNDUP(AN1036/BS1036,0))</f>
        <v>1</v>
      </c>
      <c r="AP1036" s="59" t="n">
        <f aca="false">IF(CH1036&gt;0,CH1036*MAX(1,AN1036/X1036),IF(BT1036=1,IF(AN1036&lt;=0,0,BW1036*MAX(1,IF(H1036&gt;0,AN1036/H1036,1))),IF(R1036&gt;0,AO1036/R1036,0))/MAX(0.1,N(Parameter!$M$21)))</f>
        <v>0.00241545893719807</v>
      </c>
      <c r="AQ1036" s="57" t="n">
        <f aca="false">AN1036*G1036</f>
        <v>485.44</v>
      </c>
      <c r="AR1036" s="57" t="n">
        <f aca="false">ROUNDUP(MAX(J1036/IF(BZ1036&gt;0,BZ1036,MAX(0.1,N(Cockpit!$I$6))),CC1036)/BS1036,0)*BS1036</f>
        <v>16</v>
      </c>
      <c r="AS1036" s="58" t="n">
        <f aca="false">IF(AP1036&gt;0,J1036/AP1036,-1)</f>
        <v>828</v>
      </c>
      <c r="AT1036" s="58" t="n">
        <f aca="false">IF(AND(OR(BY1036="L1",BY1036="L23"),AP1036&gt;0),SUMIFS($AP$7:$AP$1843,$BY$7:$BY$1843,BY1036,$AS$7:$AS$1843,"&gt;"&amp;AS1036)+SUMIFS($AP$7:$AP$1843,$BY$7:$BY$1843,BY1036,$AS$7:$AS$1843,AS1036,$BQ$7:$BQ$1843,"&lt;="&amp;BQ1036),"")</f>
        <v>25.9525100503361</v>
      </c>
      <c r="AU1036" s="65" t="n">
        <f aca="false">IF(AT1036="",0,MAX(0,MIN(1,(IF(BY1036="L1",Parameter!$E$5,Parameter!$E$6+Parameter!$E$7)-(AT1036-AP1036))/AP1036)))</f>
        <v>1</v>
      </c>
      <c r="AV1036" s="57" t="n">
        <f aca="false">IF(LEFT(Cockpit!$O$5,1)="A",H1036,IF(CA1036=1,CB1036,IF(LEFT(Cockpit!$O$5,1)="B",AZ1036,MAX(AZ1036,H1036))))</f>
        <v>16</v>
      </c>
      <c r="AW1036" s="57" t="n">
        <f aca="false">IF(BT1036=1,0,ROUNDUP(AV1036/BS1036,0))</f>
        <v>1</v>
      </c>
      <c r="AX1036" s="59" t="n">
        <f aca="false">IF(CH1036&gt;0,CH1036*MAX(1,AV1036/X1036),IF(BT1036=1,IF(AV1036&lt;=0,0,BW1036*MAX(1,IF(H1036&gt;0,AV1036/H1036,1))),IF(R1036&gt;0,AW1036/R1036,0))/MAX(0.1,N(Parameter!$M$21)))</f>
        <v>0.00241545893719807</v>
      </c>
      <c r="AY1036" s="57" t="n">
        <f aca="false">AV1036*G1036</f>
        <v>485.44</v>
      </c>
      <c r="AZ1036" s="57" t="n">
        <f aca="false">ROUNDUP(MAX(J1036/IF(BZ1036&gt;0,BZ1036,MAX(0.1,N(Cockpit!$O$6))),CC1036)/BS1036,0)*BS1036</f>
        <v>16</v>
      </c>
      <c r="BA1036" s="58" t="n">
        <f aca="false">IF(AX1036&gt;0,J1036/AX1036,-1)</f>
        <v>828</v>
      </c>
      <c r="BB1036" s="58" t="n">
        <f aca="false">IF(AND(OR(BY1036="L1",BY1036="L23"),AX1036&gt;0),SUMIFS($AX$7:$AX$1843,$BY$7:$BY$1843,BY1036,$BA$7:$BA$1843,"&gt;"&amp;BA1036)+SUMIFS($AX$7:$AX$1843,$BY$7:$BY$1843,BY1036,$BA$7:$BA$1843,BA1036,$BQ$7:$BQ$1843,"&lt;="&amp;BQ1036),"")</f>
        <v>25.8208084186345</v>
      </c>
      <c r="BC1036" s="65" t="n">
        <f aca="false">IF(BB1036="",0,MAX(0,MIN(1,(IF(BY1036="L1",Parameter!$E$5,Parameter!$E$6+Parameter!$E$7)-(BB1036-AX1036))/AX1036)))</f>
        <v>1</v>
      </c>
      <c r="BD1036" s="55" t="str">
        <f aca="false">IF(AH1036&lt;=0,"",IF(BY1036="Aussen","Aussenlager",IF(BY1036="-","Nicht im Lift",IF(AM1036&gt;=1,"Lift",IF(AM1036&lt;=0,"Aussenlager","teilweise")))))</f>
        <v>Lift</v>
      </c>
      <c r="BE1036" s="55" t="str">
        <f aca="false">IF(AP1036&lt;=0,"",IF(BY1036="Aussen","Aussenlager",IF(BY1036="-","Nicht im Lift",IF(AU1036&gt;=1,"Lift",IF(AU1036&lt;=0,"Aussenlager","teilweise")))))</f>
        <v>Lift</v>
      </c>
      <c r="BF1036" s="55" t="str">
        <f aca="false">IF(AX1036&lt;=0,"",IF(BY1036="Aussen","Aussenlager",IF(BY1036="-","Nicht im Lift",IF(BC1036&gt;=1,"Lift",IF(BC1036&lt;=0,"Aussenlager","teilweise")))))</f>
        <v>Lift</v>
      </c>
      <c r="BG1036" s="55" t="str">
        <f aca="false">IF(A1036="","",IF(BP1036=1,"Neu; ","")&amp;IF(AND(BP1036=0,BK1036&lt;0),"negativer Bestand (Export "&amp;BK1036&amp;"); ","")&amp;IF(J1036&lt;=0,"Kein Verbrauch; ","")&amp;IF(CH1036&gt;0,"Lift "&amp;W1036&amp;" lt. Liftbericht (Fach "&amp;X1036&amp;" Stk); ",IF(BU1036=1,"Gebinde geschätzt ("&amp;T1036&amp;"); ",IF(BT1036=1,"Lose – Tablare geschätzt; ","")))&amp;IF(H1036&gt;AR1036,"Überbestand "&amp;ROUND(H1036-AR1036,0)&amp;" Stk / CHF "&amp;ROUND((H1036-AR1036)*G1036,0)&amp;"; ","")&amp;IF(AND(CA1036=1,CB1036&lt;CC1036),"MAX &lt; MB+LG; ","")&amp;IF(AND(CG1036&gt;0,CF1036*10&gt;CG1036),"zu hoch für Tablar; ","")&amp;IF(AND(BP1036=0,OR(CA1036=1,AA1036&lt;&gt;"",U1036&lt;&gt;"",V1036&lt;&gt;"",AB1036&lt;&gt;"")),"manuell übersteuert; ","")&amp;IF(AND(BT1036=0,R1036=0),"Gebinde unbekannt / Stellmass fehlt; ","")&amp;IF(AND(BT1036=0,N(V1036)&lt;=0,N(Q1036)&lt;=0),"Menge pro Gebinde fehlt (Ist = 1 Gebinde); ","")&amp;BO1036)</f>
        <v>negativer Bestand (Export -4); Überbestand</v>
      </c>
      <c r="BH1036" s="55"/>
      <c r="BI1036" s="55"/>
      <c r="BJ1036" s="62"/>
      <c r="BK1036" s="57" t="n">
        <v>-4</v>
      </c>
      <c r="BL1036" s="57" t="n">
        <v>10</v>
      </c>
      <c r="BM1036" s="56" t="n">
        <v>-131.66</v>
      </c>
      <c r="BN1036" s="57" t="n">
        <v>2</v>
      </c>
      <c r="BO1036" s="55" t="s">
        <v>392</v>
      </c>
      <c r="BP1036" s="60" t="n">
        <v>0</v>
      </c>
      <c r="BQ1036" s="60" t="n">
        <v>1036</v>
      </c>
      <c r="BR1036" s="55" t="str">
        <f aca="false">IF(U1036&lt;&gt;"",UPPER(TRIM(U1036)),IF(BU1036=1,UPPER(VLOOKUP(T1036,Parameter!$I$27:$K$29,2,0)),IF(P1036="","LOSE",P1036)))</f>
        <v>S21</v>
      </c>
      <c r="BS1036" s="57" t="n">
        <f aca="false">IF(BR1036="LOSE",1,IF(N(V1036)&gt;0,V1036,IF(BU1036=1,MAX(1,N(VLOOKUP(T1036,Parameter!$I$27:$K$29,3,0)),H1036,N(N1036)),IF(N(Q1036)&gt;0,Q1036,MAX(1,H1036)))))</f>
        <v>16</v>
      </c>
      <c r="BT1036" s="60" t="n">
        <f aca="false">IF(BR1036="LOSE",1,0)</f>
        <v>0</v>
      </c>
      <c r="BU1036" s="60" t="n">
        <f aca="false">IF(AND(U1036="",OR(P1036="",P1036="LOSE"),T1036&lt;&gt;"",N(S1036)&lt;=0,ISNUMBER(MATCH(T1036,Parameter!$I$27:$I$29,0))),1,0)</f>
        <v>0</v>
      </c>
      <c r="BV1036" s="55" t="str">
        <f aca="false">IF(AND(Parameter!$B$19="Ja",E1036&lt;&gt;"",ISNUMBER(MATCH(E1036,Parameter!$I$35:$I$52,0))),VLOOKUP(E1036,Parameter!$I$35:$J$52,2,0),IFERROR(VLOOKUP(D1036,Parameter!$A$35:$C$64,2,0),"Nein"))</f>
        <v>2+3</v>
      </c>
      <c r="BW1036" s="59" t="n">
        <f aca="false">IF(BT1036=0,0,IF(N(S1036)&gt;0,S1036,IFERROR(VLOOKUP(D1036,Parameter!$A$35:$C$64,3,0)+0,0)))</f>
        <v>0</v>
      </c>
      <c r="BX1036" s="55" t="n">
        <f aca="false">IF(AA1036&lt;&gt;"",AA1036,Z1036)</f>
        <v>3</v>
      </c>
      <c r="BY1036" s="55" t="str">
        <f aca="false">IF(BX1036=1,"L1",IF(OR(BX1036=2,BX1036=3),"L23",IF(BX1036="Aussen","Aussen","-")))</f>
        <v>L23</v>
      </c>
      <c r="BZ1036" s="66" t="n">
        <f aca="false">IF(N(AB1036)&gt;0,AB1036,0)</f>
        <v>0</v>
      </c>
      <c r="CA1036" s="60" t="n">
        <f aca="false">IF(ISNUMBER(AE1036),1,0)</f>
        <v>0</v>
      </c>
      <c r="CB1036" s="57" t="n">
        <f aca="false">N(AE1036)</f>
        <v>0</v>
      </c>
      <c r="CC1036" s="57" t="n">
        <f aca="false">N(M1036)+N(N1036)</f>
        <v>1</v>
      </c>
      <c r="CD1036" s="57" t="n">
        <f aca="false">ROUNDUP(H1036/BS1036,0)</f>
        <v>1</v>
      </c>
      <c r="CE1036" s="57" t="n">
        <f aca="false">ROUNDUP(CB1036/BS1036,0)</f>
        <v>0</v>
      </c>
      <c r="CF1036" s="60" t="n">
        <f aca="false">IF(BT1036=1,0,IFERROR(VLOOKUP(BR1036,'Gebinde-Kategorie'!$A$5:$M$45,5,0)+0,0))</f>
        <v>8</v>
      </c>
      <c r="CG1036" s="60" t="n">
        <f aca="false">IFERROR(IF(OR(BX1036=1,BX1036=2,BX1036=3),N(INDEX(Parameter!$I$5:$I$7,BX1036)),0),0)</f>
        <v>0</v>
      </c>
      <c r="CH1036" s="59" t="n">
        <f aca="false">IF(AND(Parameter!$B$21="Ja",ISNUMBER(W1036),N(X1036)&gt;0),IFERROR(N(INDEX(Parameter!$L$5:$L$7,W1036))*INDEX(Parameter!$E$5:$E$7,W1036)*X1036/SUMIFS($X$7:$X$1843,$W$7:$W$1843,W1036),0),0)</f>
        <v>0</v>
      </c>
    </row>
    <row r="1037" customFormat="false" ht="15" hidden="false" customHeight="false" outlineLevel="0" collapsed="false">
      <c r="A1037" s="55" t="s">
        <v>1904</v>
      </c>
      <c r="B1037" s="55" t="s">
        <v>1868</v>
      </c>
      <c r="C1037" s="55" t="s">
        <v>164</v>
      </c>
      <c r="D1037" s="55" t="s">
        <v>184</v>
      </c>
      <c r="E1037" s="55" t="s">
        <v>185</v>
      </c>
      <c r="F1037" s="55" t="s">
        <v>218</v>
      </c>
      <c r="G1037" s="56" t="n">
        <v>133.49</v>
      </c>
      <c r="H1037" s="57" t="n">
        <f aca="false">MAX(0,IF(AND(Parameter!$B$21="Ja",ISNUMBER(Y1037)),Y1037,IF(Parameter!$B$20="Jahresanfang 2025 + Export",BL1037+BK1037,BK1037)))</f>
        <v>21</v>
      </c>
      <c r="I1037" s="57" t="n">
        <f aca="false">H1037*G1037</f>
        <v>2803.29</v>
      </c>
      <c r="J1037" s="57" t="n">
        <f aca="false">BN1037*Parameter!$B$18</f>
        <v>0</v>
      </c>
      <c r="K1037" s="58" t="n">
        <v>21.5</v>
      </c>
      <c r="L1037" s="59" t="n">
        <v>0</v>
      </c>
      <c r="M1037" s="57" t="n">
        <v>0</v>
      </c>
      <c r="N1037" s="57" t="n">
        <v>1</v>
      </c>
      <c r="O1037" s="60" t="n">
        <v>56</v>
      </c>
      <c r="P1037" s="55" t="s">
        <v>302</v>
      </c>
      <c r="Q1037" s="57" t="n">
        <v>6</v>
      </c>
      <c r="R1037" s="60" t="n">
        <f aca="false">IF(BT1037=1,0,IFERROR(VLOOKUP(BR1037,'Gebinde-Kategorie'!$A$5:$M$45,13,0)+0,0))</f>
        <v>26</v>
      </c>
      <c r="S1037" s="61"/>
      <c r="T1037" s="62"/>
      <c r="U1037" s="62"/>
      <c r="V1037" s="62"/>
      <c r="W1037" s="55"/>
      <c r="X1037" s="57"/>
      <c r="Y1037" s="57"/>
      <c r="Z1037" s="55" t="n">
        <f aca="false">IF(A1037="","",IF(AND(Parameter!$B$21="Ja",ISNUMBER(W1037)),W1037,IF(BV1037="2+3",IF(ISNUMBER(SEARCH("grosser Artikel",BO1037)),2,IFERROR(VLOOKUP(BR1037,Parameter!$F$35:$G$64,2,0),2)),IF(OR(BV1037="Nein",BV1037=""),"-",BV1037))))</f>
        <v>3</v>
      </c>
      <c r="AA1037" s="62"/>
      <c r="AB1037" s="63"/>
      <c r="AC1037" s="57" t="n">
        <f aca="false">AR1037</f>
        <v>6</v>
      </c>
      <c r="AD1037" s="57" t="n">
        <f aca="false">MAX(AR1037,H1037)</f>
        <v>21</v>
      </c>
      <c r="AE1037" s="64"/>
      <c r="AF1037" s="57" t="n">
        <f aca="false">IF(LEFT(Cockpit!$C$5,1)="A",H1037,IF(CA1037=1,CB1037,IF(LEFT(Cockpit!$C$5,1)="B",AJ1037,MAX(AJ1037,H1037))))</f>
        <v>21</v>
      </c>
      <c r="AG1037" s="57" t="n">
        <f aca="false">IF(BT1037=1,0,ROUNDUP(AF1037/BS1037,0))</f>
        <v>4</v>
      </c>
      <c r="AH1037" s="59" t="n">
        <f aca="false">IF(CH1037&gt;0,CH1037*MAX(1,AF1037/X1037),IF(BT1037=1,IF(AF1037&lt;=0,0,BW1037*MAX(1,IF(H1037&gt;0,AF1037/H1037,1))),IF(R1037&gt;0,AG1037/R1037,0))/MAX(0.1,N(Parameter!$M$21)))</f>
        <v>0.153846153846154</v>
      </c>
      <c r="AI1037" s="57" t="n">
        <f aca="false">AF1037*G1037</f>
        <v>2803.29</v>
      </c>
      <c r="AJ1037" s="57" t="n">
        <f aca="false">ROUNDUP(MAX(J1037/IF(BZ1037&gt;0,BZ1037,MAX(0.1,N(Cockpit!$C$6))),CC1037)/BS1037,0)*BS1037</f>
        <v>6</v>
      </c>
      <c r="AK1037" s="58" t="n">
        <f aca="false">IF(AH1037&gt;0,J1037/AH1037,-1)</f>
        <v>0</v>
      </c>
      <c r="AL1037" s="58" t="n">
        <f aca="false">IF(AND(OR(BY1037="L1",BY1037="L23"),AH1037&gt;0),SUMIFS($AH$7:$AH$1843,$BY$7:$BY$1843,BY1037,$AK$7:$AK$1843,"&gt;"&amp;AK1037)+SUMIFS($AH$7:$AH$1843,$BY$7:$BY$1843,BY1037,$AK$7:$AK$1843,AK1037,$BQ$7:$BQ$1843,"&lt;="&amp;BQ1037),"")</f>
        <v>79.0748116617682</v>
      </c>
      <c r="AM1037" s="65" t="n">
        <f aca="false">IF(AL1037="",0,MAX(0,MIN(1,(IF(BY1037="L1",Parameter!$E$5,Parameter!$E$6+Parameter!$E$7)-(AL1037-AH1037))/AH1037)))</f>
        <v>1</v>
      </c>
      <c r="AN1037" s="57" t="n">
        <f aca="false">IF(LEFT(Cockpit!$I$5,1)="A",H1037,IF(CA1037=1,CB1037,IF(LEFT(Cockpit!$I$5,1)="B",AR1037,MAX(AR1037,H1037))))</f>
        <v>21</v>
      </c>
      <c r="AO1037" s="57" t="n">
        <f aca="false">IF(BT1037=1,0,ROUNDUP(AN1037/BS1037,0))</f>
        <v>4</v>
      </c>
      <c r="AP1037" s="59" t="n">
        <f aca="false">IF(CH1037&gt;0,CH1037*MAX(1,AN1037/X1037),IF(BT1037=1,IF(AN1037&lt;=0,0,BW1037*MAX(1,IF(H1037&gt;0,AN1037/H1037,1))),IF(R1037&gt;0,AO1037/R1037,0))/MAX(0.1,N(Parameter!$M$21)))</f>
        <v>0.153846153846154</v>
      </c>
      <c r="AQ1037" s="57" t="n">
        <f aca="false">AN1037*G1037</f>
        <v>2803.29</v>
      </c>
      <c r="AR1037" s="57" t="n">
        <f aca="false">ROUNDUP(MAX(J1037/IF(BZ1037&gt;0,BZ1037,MAX(0.1,N(Cockpit!$I$6))),CC1037)/BS1037,0)*BS1037</f>
        <v>6</v>
      </c>
      <c r="AS1037" s="58" t="n">
        <f aca="false">IF(AP1037&gt;0,J1037/AP1037,-1)</f>
        <v>0</v>
      </c>
      <c r="AT1037" s="58" t="n">
        <f aca="false">IF(AND(OR(BY1037="L1",BY1037="L23"),AP1037&gt;0),SUMIFS($AP$7:$AP$1843,$BY$7:$BY$1843,BY1037,$AS$7:$AS$1843,"&gt;"&amp;AS1037)+SUMIFS($AP$7:$AP$1843,$BY$7:$BY$1843,BY1037,$AS$7:$AS$1843,AS1037,$BQ$7:$BQ$1843,"&lt;="&amp;BQ1037),"")</f>
        <v>120.521249282119</v>
      </c>
      <c r="AU1037" s="65" t="n">
        <f aca="false">IF(AT1037="",0,MAX(0,MIN(1,(IF(BY1037="L1",Parameter!$E$5,Parameter!$E$6+Parameter!$E$7)-(AT1037-AP1037))/AP1037)))</f>
        <v>0</v>
      </c>
      <c r="AV1037" s="57" t="n">
        <f aca="false">IF(LEFT(Cockpit!$O$5,1)="A",H1037,IF(CA1037=1,CB1037,IF(LEFT(Cockpit!$O$5,1)="B",AZ1037,MAX(AZ1037,H1037))))</f>
        <v>21</v>
      </c>
      <c r="AW1037" s="57" t="n">
        <f aca="false">IF(BT1037=1,0,ROUNDUP(AV1037/BS1037,0))</f>
        <v>4</v>
      </c>
      <c r="AX1037" s="59" t="n">
        <f aca="false">IF(CH1037&gt;0,CH1037*MAX(1,AV1037/X1037),IF(BT1037=1,IF(AV1037&lt;=0,0,BW1037*MAX(1,IF(H1037&gt;0,AV1037/H1037,1))),IF(R1037&gt;0,AW1037/R1037,0))/MAX(0.1,N(Parameter!$M$21)))</f>
        <v>0.153846153846154</v>
      </c>
      <c r="AY1037" s="57" t="n">
        <f aca="false">AV1037*G1037</f>
        <v>2803.29</v>
      </c>
      <c r="AZ1037" s="57" t="n">
        <f aca="false">ROUNDUP(MAX(J1037/IF(BZ1037&gt;0,BZ1037,MAX(0.1,N(Cockpit!$O$6))),CC1037)/BS1037,0)*BS1037</f>
        <v>6</v>
      </c>
      <c r="BA1037" s="58" t="n">
        <f aca="false">IF(AX1037&gt;0,J1037/AX1037,-1)</f>
        <v>0</v>
      </c>
      <c r="BB1037" s="58" t="n">
        <f aca="false">IF(AND(OR(BY1037="L1",BY1037="L23"),AX1037&gt;0),SUMIFS($AX$7:$AX$1843,$BY$7:$BY$1843,BY1037,$BA$7:$BA$1843,"&gt;"&amp;BA1037)+SUMIFS($AX$7:$AX$1843,$BY$7:$BY$1843,BY1037,$BA$7:$BA$1843,BA1037,$BQ$7:$BQ$1843,"&lt;="&amp;BQ1037),"")</f>
        <v>111.351086111956</v>
      </c>
      <c r="BC1037" s="65" t="n">
        <f aca="false">IF(BB1037="",0,MAX(0,MIN(1,(IF(BY1037="L1",Parameter!$E$5,Parameter!$E$6+Parameter!$E$7)-(BB1037-AX1037))/AX1037)))</f>
        <v>0</v>
      </c>
      <c r="BD1037" s="55" t="str">
        <f aca="false">IF(AH1037&lt;=0,"",IF(BY1037="Aussen","Aussenlager",IF(BY1037="-","Nicht im Lift",IF(AM1037&gt;=1,"Lift",IF(AM1037&lt;=0,"Aussenlager","teilweise")))))</f>
        <v>Lift</v>
      </c>
      <c r="BE1037" s="55" t="str">
        <f aca="false">IF(AP1037&lt;=0,"",IF(BY1037="Aussen","Aussenlager",IF(BY1037="-","Nicht im Lift",IF(AU1037&gt;=1,"Lift",IF(AU1037&lt;=0,"Aussenlager","teilweise")))))</f>
        <v>Aussenlager</v>
      </c>
      <c r="BF1037" s="55" t="str">
        <f aca="false">IF(AX1037&lt;=0,"",IF(BY1037="Aussen","Aussenlager",IF(BY1037="-","Nicht im Lift",IF(BC1037&gt;=1,"Lift",IF(BC1037&lt;=0,"Aussenlager","teilweise")))))</f>
        <v>Aussenlager</v>
      </c>
      <c r="BG1037" s="55" t="str">
        <f aca="false">IF(A1037="","",IF(BP1037=1,"Neu; ","")&amp;IF(AND(BP1037=0,BK1037&lt;0),"negativer Bestand (Export "&amp;BK1037&amp;"); ","")&amp;IF(J1037&lt;=0,"Kein Verbrauch; ","")&amp;IF(CH1037&gt;0,"Lift "&amp;W1037&amp;" lt. Liftbericht (Fach "&amp;X1037&amp;" Stk); ",IF(BU1037=1,"Gebinde geschätzt ("&amp;T1037&amp;"); ",IF(BT1037=1,"Lose – Tablare geschätzt; ","")))&amp;IF(H1037&gt;AR1037,"Überbestand "&amp;ROUND(H1037-AR1037,0)&amp;" Stk / CHF "&amp;ROUND((H1037-AR1037)*G1037,0)&amp;"; ","")&amp;IF(AND(CA1037=1,CB1037&lt;CC1037),"MAX &lt; MB+LG; ","")&amp;IF(AND(CG1037&gt;0,CF1037*10&gt;CG1037),"zu hoch für Tablar; ","")&amp;IF(AND(BP1037=0,OR(CA1037=1,AA1037&lt;&gt;"",U1037&lt;&gt;"",V1037&lt;&gt;"",AB1037&lt;&gt;"")),"manuell übersteuert; ","")&amp;IF(AND(BT1037=0,R1037=0),"Gebinde unbekannt / Stellmass fehlt; ","")&amp;IF(AND(BT1037=0,N(V1037)&lt;=0,N(Q1037)&lt;=0),"Menge pro Gebinde fehlt (Ist = 1 Gebinde); ","")&amp;BO1037)</f>
        <v>negativer Bestand (Export -1); Kein Verbrauch; Überbestand 15 Stk / CHF 2002; </v>
      </c>
      <c r="BH1037" s="55"/>
      <c r="BI1037" s="55"/>
      <c r="BJ1037" s="62"/>
      <c r="BK1037" s="57" t="n">
        <v>-1</v>
      </c>
      <c r="BL1037" s="57" t="n">
        <v>22</v>
      </c>
      <c r="BM1037" s="56" t="n">
        <v>-133.49</v>
      </c>
      <c r="BN1037" s="57" t="n">
        <v>0</v>
      </c>
      <c r="BO1037" s="55"/>
      <c r="BP1037" s="60" t="n">
        <v>0</v>
      </c>
      <c r="BQ1037" s="60" t="n">
        <v>1037</v>
      </c>
      <c r="BR1037" s="55" t="str">
        <f aca="false">IF(U1037&lt;&gt;"",UPPER(TRIM(U1037)),IF(BU1037=1,UPPER(VLOOKUP(T1037,Parameter!$I$27:$K$29,2,0)),IF(P1037="","LOSE",P1037)))</f>
        <v>S51</v>
      </c>
      <c r="BS1037" s="57" t="n">
        <f aca="false">IF(BR1037="LOSE",1,IF(N(V1037)&gt;0,V1037,IF(BU1037=1,MAX(1,N(VLOOKUP(T1037,Parameter!$I$27:$K$29,3,0)),H1037,N(N1037)),IF(N(Q1037)&gt;0,Q1037,MAX(1,H1037)))))</f>
        <v>6</v>
      </c>
      <c r="BT1037" s="60" t="n">
        <f aca="false">IF(BR1037="LOSE",1,0)</f>
        <v>0</v>
      </c>
      <c r="BU1037" s="60" t="n">
        <f aca="false">IF(AND(U1037="",OR(P1037="",P1037="LOSE"),T1037&lt;&gt;"",N(S1037)&lt;=0,ISNUMBER(MATCH(T1037,Parameter!$I$27:$I$29,0))),1,0)</f>
        <v>0</v>
      </c>
      <c r="BV1037" s="55" t="str">
        <f aca="false">IF(AND(Parameter!$B$19="Ja",E1037&lt;&gt;"",ISNUMBER(MATCH(E1037,Parameter!$I$35:$I$52,0))),VLOOKUP(E1037,Parameter!$I$35:$J$52,2,0),IFERROR(VLOOKUP(D1037,Parameter!$A$35:$C$64,2,0),"Nein"))</f>
        <v>2+3</v>
      </c>
      <c r="BW1037" s="59" t="n">
        <f aca="false">IF(BT1037=0,0,IF(N(S1037)&gt;0,S1037,IFERROR(VLOOKUP(D1037,Parameter!$A$35:$C$64,3,0)+0,0)))</f>
        <v>0</v>
      </c>
      <c r="BX1037" s="55" t="n">
        <f aca="false">IF(AA1037&lt;&gt;"",AA1037,Z1037)</f>
        <v>3</v>
      </c>
      <c r="BY1037" s="55" t="str">
        <f aca="false">IF(BX1037=1,"L1",IF(OR(BX1037=2,BX1037=3),"L23",IF(BX1037="Aussen","Aussen","-")))</f>
        <v>L23</v>
      </c>
      <c r="BZ1037" s="66" t="n">
        <f aca="false">IF(N(AB1037)&gt;0,AB1037,0)</f>
        <v>0</v>
      </c>
      <c r="CA1037" s="60" t="n">
        <f aca="false">IF(ISNUMBER(AE1037),1,0)</f>
        <v>0</v>
      </c>
      <c r="CB1037" s="57" t="n">
        <f aca="false">N(AE1037)</f>
        <v>0</v>
      </c>
      <c r="CC1037" s="57" t="n">
        <f aca="false">N(M1037)+N(N1037)</f>
        <v>1</v>
      </c>
      <c r="CD1037" s="57" t="n">
        <f aca="false">ROUNDUP(H1037/BS1037,0)</f>
        <v>4</v>
      </c>
      <c r="CE1037" s="57" t="n">
        <f aca="false">ROUNDUP(CB1037/BS1037,0)</f>
        <v>0</v>
      </c>
      <c r="CF1037" s="60" t="n">
        <f aca="false">IF(BT1037=1,0,IFERROR(VLOOKUP(BR1037,'Gebinde-Kategorie'!$A$5:$M$45,5,0)+0,0))</f>
        <v>11</v>
      </c>
      <c r="CG1037" s="60" t="n">
        <f aca="false">IFERROR(IF(OR(BX1037=1,BX1037=2,BX1037=3),N(INDEX(Parameter!$I$5:$I$7,BX1037)),0),0)</f>
        <v>0</v>
      </c>
      <c r="CH1037" s="59" t="n">
        <f aca="false">IF(AND(Parameter!$B$21="Ja",ISNUMBER(W1037),N(X1037)&gt;0),IFERROR(N(INDEX(Parameter!$L$5:$L$7,W1037))*INDEX(Parameter!$E$5:$E$7,W1037)*X1037/SUMIFS($X$7:$X$1843,$W$7:$W$1843,W1037),0),0)</f>
        <v>0</v>
      </c>
    </row>
    <row r="1038" customFormat="false" ht="15" hidden="false" customHeight="false" outlineLevel="0" collapsed="false">
      <c r="A1038" s="55" t="s">
        <v>1905</v>
      </c>
      <c r="B1038" s="55" t="s">
        <v>1906</v>
      </c>
      <c r="C1038" s="55" t="s">
        <v>456</v>
      </c>
      <c r="D1038" s="55" t="s">
        <v>173</v>
      </c>
      <c r="E1038" s="55" t="s">
        <v>1479</v>
      </c>
      <c r="F1038" s="55" t="s">
        <v>218</v>
      </c>
      <c r="G1038" s="56" t="n">
        <v>133.51</v>
      </c>
      <c r="H1038" s="57" t="n">
        <f aca="false">MAX(0,IF(AND(Parameter!$B$21="Ja",ISNUMBER(Y1038)),Y1038,IF(Parameter!$B$20="Jahresanfang 2025 + Export",BL1038+BK1038,BK1038)))</f>
        <v>0</v>
      </c>
      <c r="I1038" s="57" t="n">
        <f aca="false">H1038*G1038</f>
        <v>0</v>
      </c>
      <c r="J1038" s="57" t="n">
        <f aca="false">BN1038*Parameter!$B$18</f>
        <v>0</v>
      </c>
      <c r="K1038" s="58" t="n">
        <v>0.5</v>
      </c>
      <c r="L1038" s="59" t="n">
        <v>0</v>
      </c>
      <c r="M1038" s="57" t="n">
        <v>0</v>
      </c>
      <c r="N1038" s="57" t="n">
        <v>1</v>
      </c>
      <c r="O1038" s="60" t="n">
        <v>56</v>
      </c>
      <c r="P1038" s="55" t="s">
        <v>168</v>
      </c>
      <c r="Q1038" s="57"/>
      <c r="R1038" s="60" t="n">
        <f aca="false">IF(BT1038=1,0,IFERROR(VLOOKUP(BR1038,'Gebinde-Kategorie'!$A$5:$M$45,13,0)+0,0))</f>
        <v>3</v>
      </c>
      <c r="S1038" s="61"/>
      <c r="T1038" s="62" t="s">
        <v>189</v>
      </c>
      <c r="U1038" s="62"/>
      <c r="V1038" s="62"/>
      <c r="W1038" s="55"/>
      <c r="X1038" s="57"/>
      <c r="Y1038" s="57"/>
      <c r="Z1038" s="55" t="str">
        <f aca="false">IF(A1038="","",IF(AND(Parameter!$B$21="Ja",ISNUMBER(W1038)),W1038,IF(BV1038="2+3",IF(ISNUMBER(SEARCH("grosser Artikel",BO1038)),2,IFERROR(VLOOKUP(BR1038,Parameter!$F$35:$G$64,2,0),2)),IF(OR(BV1038="Nein",BV1038=""),"-",BV1038))))</f>
        <v>-</v>
      </c>
      <c r="AA1038" s="62"/>
      <c r="AB1038" s="63"/>
      <c r="AC1038" s="57" t="n">
        <f aca="false">AR1038</f>
        <v>2</v>
      </c>
      <c r="AD1038" s="57" t="n">
        <f aca="false">MAX(AR1038,H1038)</f>
        <v>2</v>
      </c>
      <c r="AE1038" s="64"/>
      <c r="AF1038" s="57" t="n">
        <f aca="false">IF(LEFT(Cockpit!$C$5,1)="A",H1038,IF(CA1038=1,CB1038,IF(LEFT(Cockpit!$C$5,1)="B",AJ1038,MAX(AJ1038,H1038))))</f>
        <v>0</v>
      </c>
      <c r="AG1038" s="57" t="n">
        <f aca="false">IF(BT1038=1,0,ROUNDUP(AF1038/BS1038,0))</f>
        <v>0</v>
      </c>
      <c r="AH1038" s="59" t="n">
        <f aca="false">IF(CH1038&gt;0,CH1038*MAX(1,AF1038/X1038),IF(BT1038=1,IF(AF1038&lt;=0,0,BW1038*MAX(1,IF(H1038&gt;0,AF1038/H1038,1))),IF(R1038&gt;0,AG1038/R1038,0))/MAX(0.1,N(Parameter!$M$21)))</f>
        <v>0</v>
      </c>
      <c r="AI1038" s="57" t="n">
        <f aca="false">AF1038*G1038</f>
        <v>0</v>
      </c>
      <c r="AJ1038" s="57" t="n">
        <f aca="false">ROUNDUP(MAX(J1038/IF(BZ1038&gt;0,BZ1038,MAX(0.1,N(Cockpit!$C$6))),CC1038)/BS1038,0)*BS1038</f>
        <v>2</v>
      </c>
      <c r="AK1038" s="58" t="n">
        <f aca="false">IF(AH1038&gt;0,J1038/AH1038,-1)</f>
        <v>-1</v>
      </c>
      <c r="AL1038" s="58" t="str">
        <f aca="false">IF(AND(OR(BY1038="L1",BY1038="L23"),AH1038&gt;0),SUMIFS($AH$7:$AH$1843,$BY$7:$BY$1843,BY1038,$AK$7:$AK$1843,"&gt;"&amp;AK1038)+SUMIFS($AH$7:$AH$1843,$BY$7:$BY$1843,BY1038,$AK$7:$AK$1843,AK1038,$BQ$7:$BQ$1843,"&lt;="&amp;BQ1038),"")</f>
        <v/>
      </c>
      <c r="AM1038" s="65" t="n">
        <f aca="false">IF(AL1038="",0,MAX(0,MIN(1,(IF(BY1038="L1",Parameter!$E$5,Parameter!$E$6+Parameter!$E$7)-(AL1038-AH1038))/AH1038)))</f>
        <v>0</v>
      </c>
      <c r="AN1038" s="57" t="n">
        <f aca="false">IF(LEFT(Cockpit!$I$5,1)="A",H1038,IF(CA1038=1,CB1038,IF(LEFT(Cockpit!$I$5,1)="B",AR1038,MAX(AR1038,H1038))))</f>
        <v>2</v>
      </c>
      <c r="AO1038" s="57" t="n">
        <f aca="false">IF(BT1038=1,0,ROUNDUP(AN1038/BS1038,0))</f>
        <v>1</v>
      </c>
      <c r="AP1038" s="59" t="n">
        <f aca="false">IF(CH1038&gt;0,CH1038*MAX(1,AN1038/X1038),IF(BT1038=1,IF(AN1038&lt;=0,0,BW1038*MAX(1,IF(H1038&gt;0,AN1038/H1038,1))),IF(R1038&gt;0,AO1038/R1038,0))/MAX(0.1,N(Parameter!$M$21)))</f>
        <v>0.333333333333333</v>
      </c>
      <c r="AQ1038" s="57" t="n">
        <f aca="false">AN1038*G1038</f>
        <v>267.02</v>
      </c>
      <c r="AR1038" s="57" t="n">
        <f aca="false">ROUNDUP(MAX(J1038/IF(BZ1038&gt;0,BZ1038,MAX(0.1,N(Cockpit!$I$6))),CC1038)/BS1038,0)*BS1038</f>
        <v>2</v>
      </c>
      <c r="AS1038" s="58" t="n">
        <f aca="false">IF(AP1038&gt;0,J1038/AP1038,-1)</f>
        <v>0</v>
      </c>
      <c r="AT1038" s="58" t="str">
        <f aca="false">IF(AND(OR(BY1038="L1",BY1038="L23"),AP1038&gt;0),SUMIFS($AP$7:$AP$1843,$BY$7:$BY$1843,BY1038,$AS$7:$AS$1843,"&gt;"&amp;AS1038)+SUMIFS($AP$7:$AP$1843,$BY$7:$BY$1843,BY1038,$AS$7:$AS$1843,AS1038,$BQ$7:$BQ$1843,"&lt;="&amp;BQ1038),"")</f>
        <v/>
      </c>
      <c r="AU1038" s="65" t="n">
        <f aca="false">IF(AT1038="",0,MAX(0,MIN(1,(IF(BY1038="L1",Parameter!$E$5,Parameter!$E$6+Parameter!$E$7)-(AT1038-AP1038))/AP1038)))</f>
        <v>0</v>
      </c>
      <c r="AV1038" s="57" t="n">
        <f aca="false">IF(LEFT(Cockpit!$O$5,1)="A",H1038,IF(CA1038=1,CB1038,IF(LEFT(Cockpit!$O$5,1)="B",AZ1038,MAX(AZ1038,H1038))))</f>
        <v>2</v>
      </c>
      <c r="AW1038" s="57" t="n">
        <f aca="false">IF(BT1038=1,0,ROUNDUP(AV1038/BS1038,0))</f>
        <v>1</v>
      </c>
      <c r="AX1038" s="59" t="n">
        <f aca="false">IF(CH1038&gt;0,CH1038*MAX(1,AV1038/X1038),IF(BT1038=1,IF(AV1038&lt;=0,0,BW1038*MAX(1,IF(H1038&gt;0,AV1038/H1038,1))),IF(R1038&gt;0,AW1038/R1038,0))/MAX(0.1,N(Parameter!$M$21)))</f>
        <v>0.333333333333333</v>
      </c>
      <c r="AY1038" s="57" t="n">
        <f aca="false">AV1038*G1038</f>
        <v>267.02</v>
      </c>
      <c r="AZ1038" s="57" t="n">
        <f aca="false">ROUNDUP(MAX(J1038/IF(BZ1038&gt;0,BZ1038,MAX(0.1,N(Cockpit!$O$6))),CC1038)/BS1038,0)*BS1038</f>
        <v>2</v>
      </c>
      <c r="BA1038" s="58" t="n">
        <f aca="false">IF(AX1038&gt;0,J1038/AX1038,-1)</f>
        <v>0</v>
      </c>
      <c r="BB1038" s="58" t="str">
        <f aca="false">IF(AND(OR(BY1038="L1",BY1038="L23"),AX1038&gt;0),SUMIFS($AX$7:$AX$1843,$BY$7:$BY$1843,BY1038,$BA$7:$BA$1843,"&gt;"&amp;BA1038)+SUMIFS($AX$7:$AX$1843,$BY$7:$BY$1843,BY1038,$BA$7:$BA$1843,BA1038,$BQ$7:$BQ$1843,"&lt;="&amp;BQ1038),"")</f>
        <v/>
      </c>
      <c r="BC1038" s="65" t="n">
        <f aca="false">IF(BB1038="",0,MAX(0,MIN(1,(IF(BY1038="L1",Parameter!$E$5,Parameter!$E$6+Parameter!$E$7)-(BB1038-AX1038))/AX1038)))</f>
        <v>0</v>
      </c>
      <c r="BD1038" s="55" t="str">
        <f aca="false">IF(AH1038&lt;=0,"",IF(BY1038="Aussen","Aussenlager",IF(BY1038="-","Nicht im Lift",IF(AM1038&gt;=1,"Lift",IF(AM1038&lt;=0,"Aussenlager","teilweise")))))</f>
        <v/>
      </c>
      <c r="BE1038" s="55" t="str">
        <f aca="false">IF(AP1038&lt;=0,"",IF(BY1038="Aussen","Aussenlager",IF(BY1038="-","Nicht im Lift",IF(AU1038&gt;=1,"Lift",IF(AU1038&lt;=0,"Aussenlager","teilweise")))))</f>
        <v>Nicht im Lift</v>
      </c>
      <c r="BF1038" s="55" t="str">
        <f aca="false">IF(AX1038&lt;=0,"",IF(BY1038="Aussen","Aussenlager",IF(BY1038="-","Nicht im Lift",IF(BC1038&gt;=1,"Lift",IF(BC1038&lt;=0,"Aussenlager","teilweise")))))</f>
        <v>Nicht im Lift</v>
      </c>
      <c r="BG1038" s="55" t="str">
        <f aca="false">IF(A1038="","",IF(BP1038=1,"Neu; ","")&amp;IF(AND(BP1038=0,BK1038&lt;0),"negativer Bestand (Export "&amp;BK1038&amp;"); ","")&amp;IF(J1038&lt;=0,"Kein Verbrauch; ","")&amp;IF(CH1038&gt;0,"Lift "&amp;W1038&amp;" lt. Liftbericht (Fach "&amp;X1038&amp;" Stk); ",IF(BU1038=1,"Gebinde geschätzt ("&amp;T1038&amp;"); ",IF(BT1038=1,"Lose – Tablare geschätzt; ","")))&amp;IF(H1038&gt;AR1038,"Überbestand "&amp;ROUND(H1038-AR1038,0)&amp;" Stk / CHF "&amp;ROUND((H1038-AR1038)*G1038,0)&amp;"; ","")&amp;IF(AND(CA1038=1,CB1038&lt;CC1038),"MAX &lt; MB+LG; ","")&amp;IF(AND(CG1038&gt;0,CF1038*10&gt;CG1038),"zu hoch für Tablar; ","")&amp;IF(AND(BP1038=0,OR(CA1038=1,AA1038&lt;&gt;"",U1038&lt;&gt;"",V1038&lt;&gt;"",AB1038&lt;&gt;"")),"manuell übersteuert; ","")&amp;IF(AND(BT1038=0,R1038=0),"Gebinde unbekannt / Stellmass fehlt; ","")&amp;IF(AND(BT1038=0,N(V1038)&lt;=0,N(Q1038)&lt;=0),"Menge pro Gebinde fehlt (Ist = 1 Gebinde); ","")&amp;BO1038)</f>
        <v>negativer Bestand (Export -1); Kein Verbrauch; Gebinde geschätzt (Gross); Menge pro Gebinde fehlt (Ist = 1 Gebinde); Neu</v>
      </c>
      <c r="BH1038" s="55"/>
      <c r="BI1038" s="55"/>
      <c r="BJ1038" s="62"/>
      <c r="BK1038" s="57" t="n">
        <v>-1</v>
      </c>
      <c r="BL1038" s="57" t="n">
        <v>1</v>
      </c>
      <c r="BM1038" s="56" t="n">
        <v>-133.51</v>
      </c>
      <c r="BN1038" s="57" t="n">
        <v>0</v>
      </c>
      <c r="BO1038" s="55" t="s">
        <v>626</v>
      </c>
      <c r="BP1038" s="60" t="n">
        <v>0</v>
      </c>
      <c r="BQ1038" s="60" t="n">
        <v>1038</v>
      </c>
      <c r="BR1038" s="55" t="str">
        <f aca="false">IF(U1038&lt;&gt;"",UPPER(TRIM(U1038)),IF(BU1038=1,UPPER(VLOOKUP(T1038,Parameter!$I$27:$K$29,2,0)),IF(P1038="","LOSE",P1038)))</f>
        <v>S81</v>
      </c>
      <c r="BS1038" s="57" t="n">
        <f aca="false">IF(BR1038="LOSE",1,IF(N(V1038)&gt;0,V1038,IF(BU1038=1,MAX(1,N(VLOOKUP(T1038,Parameter!$I$27:$K$29,3,0)),H1038,N(N1038)),IF(N(Q1038)&gt;0,Q1038,MAX(1,H1038)))))</f>
        <v>2</v>
      </c>
      <c r="BT1038" s="60" t="n">
        <f aca="false">IF(BR1038="LOSE",1,0)</f>
        <v>0</v>
      </c>
      <c r="BU1038" s="60" t="n">
        <f aca="false">IF(AND(U1038="",OR(P1038="",P1038="LOSE"),T1038&lt;&gt;"",N(S1038)&lt;=0,ISNUMBER(MATCH(T1038,Parameter!$I$27:$I$29,0))),1,0)</f>
        <v>1</v>
      </c>
      <c r="BV1038" s="55" t="str">
        <f aca="false">IF(AND(Parameter!$B$19="Ja",E1038&lt;&gt;"",ISNUMBER(MATCH(E1038,Parameter!$I$35:$I$52,0))),VLOOKUP(E1038,Parameter!$I$35:$J$52,2,0),IFERROR(VLOOKUP(D1038,Parameter!$A$35:$C$64,2,0),"Nein"))</f>
        <v>Nein</v>
      </c>
      <c r="BW1038" s="59" t="n">
        <f aca="false">IF(BT1038=0,0,IF(N(S1038)&gt;0,S1038,IFERROR(VLOOKUP(D1038,Parameter!$A$35:$C$64,3,0)+0,0)))</f>
        <v>0</v>
      </c>
      <c r="BX1038" s="55" t="str">
        <f aca="false">IF(AA1038&lt;&gt;"",AA1038,Z1038)</f>
        <v>-</v>
      </c>
      <c r="BY1038" s="55" t="str">
        <f aca="false">IF(BX1038=1,"L1",IF(OR(BX1038=2,BX1038=3),"L23",IF(BX1038="Aussen","Aussen","-")))</f>
        <v>-</v>
      </c>
      <c r="BZ1038" s="66" t="n">
        <f aca="false">IF(N(AB1038)&gt;0,AB1038,0)</f>
        <v>0</v>
      </c>
      <c r="CA1038" s="60" t="n">
        <f aca="false">IF(ISNUMBER(AE1038),1,0)</f>
        <v>0</v>
      </c>
      <c r="CB1038" s="57" t="n">
        <f aca="false">N(AE1038)</f>
        <v>0</v>
      </c>
      <c r="CC1038" s="57" t="n">
        <f aca="false">N(M1038)+N(N1038)</f>
        <v>1</v>
      </c>
      <c r="CD1038" s="57" t="n">
        <f aca="false">ROUNDUP(H1038/BS1038,0)</f>
        <v>0</v>
      </c>
      <c r="CE1038" s="57" t="n">
        <f aca="false">ROUNDUP(CB1038/BS1038,0)</f>
        <v>0</v>
      </c>
      <c r="CF1038" s="60" t="n">
        <f aca="false">IF(BT1038=1,0,IFERROR(VLOOKUP(BR1038,'Gebinde-Kategorie'!$A$5:$M$45,5,0)+0,0))</f>
        <v>20</v>
      </c>
      <c r="CG1038" s="60" t="n">
        <f aca="false">IFERROR(IF(OR(BX1038=1,BX1038=2,BX1038=3),N(INDEX(Parameter!$I$5:$I$7,BX1038)),0),0)</f>
        <v>0</v>
      </c>
      <c r="CH1038" s="59" t="n">
        <f aca="false">IF(AND(Parameter!$B$21="Ja",ISNUMBER(W1038),N(X1038)&gt;0),IFERROR(N(INDEX(Parameter!$L$5:$L$7,W1038))*INDEX(Parameter!$E$5:$E$7,W1038)*X1038/SUMIFS($X$7:$X$1843,$W$7:$W$1843,W1038),0),0)</f>
        <v>0</v>
      </c>
    </row>
    <row r="1039" customFormat="false" ht="15" hidden="false" customHeight="false" outlineLevel="0" collapsed="false">
      <c r="A1039" s="55" t="s">
        <v>1907</v>
      </c>
      <c r="B1039" s="55" t="s">
        <v>847</v>
      </c>
      <c r="C1039" s="55" t="s">
        <v>164</v>
      </c>
      <c r="D1039" s="55" t="s">
        <v>184</v>
      </c>
      <c r="E1039" s="55" t="s">
        <v>185</v>
      </c>
      <c r="F1039" s="55" t="s">
        <v>218</v>
      </c>
      <c r="G1039" s="56" t="n">
        <v>19.2</v>
      </c>
      <c r="H1039" s="57" t="n">
        <f aca="false">MAX(0,IF(AND(Parameter!$B$21="Ja",ISNUMBER(Y1039)),Y1039,IF(Parameter!$B$20="Jahresanfang 2025 + Export",BL1039+BK1039,BK1039)))</f>
        <v>9</v>
      </c>
      <c r="I1039" s="57" t="n">
        <f aca="false">H1039*G1039</f>
        <v>172.8</v>
      </c>
      <c r="J1039" s="57" t="n">
        <f aca="false">BN1039*Parameter!$B$18</f>
        <v>6</v>
      </c>
      <c r="K1039" s="58" t="n">
        <v>13</v>
      </c>
      <c r="L1039" s="59" t="n">
        <v>0.461538461538462</v>
      </c>
      <c r="M1039" s="57" t="n">
        <v>0</v>
      </c>
      <c r="N1039" s="57" t="n">
        <v>5</v>
      </c>
      <c r="O1039" s="60" t="n">
        <v>31</v>
      </c>
      <c r="P1039" s="55" t="s">
        <v>476</v>
      </c>
      <c r="Q1039" s="57" t="n">
        <v>19</v>
      </c>
      <c r="R1039" s="60" t="n">
        <f aca="false">IF(BT1039=1,0,IFERROR(VLOOKUP(BR1039,'Gebinde-Kategorie'!$A$5:$M$45,13,0)+0,0))</f>
        <v>66</v>
      </c>
      <c r="S1039" s="61"/>
      <c r="T1039" s="62"/>
      <c r="U1039" s="62"/>
      <c r="V1039" s="62"/>
      <c r="W1039" s="55"/>
      <c r="X1039" s="57"/>
      <c r="Y1039" s="57"/>
      <c r="Z1039" s="55" t="n">
        <f aca="false">IF(A1039="","",IF(AND(Parameter!$B$21="Ja",ISNUMBER(W1039)),W1039,IF(BV1039="2+3",IF(ISNUMBER(SEARCH("grosser Artikel",BO1039)),2,IFERROR(VLOOKUP(BR1039,Parameter!$F$35:$G$64,2,0),2)),IF(OR(BV1039="Nein",BV1039=""),"-",BV1039))))</f>
        <v>3</v>
      </c>
      <c r="AA1039" s="62"/>
      <c r="AB1039" s="63"/>
      <c r="AC1039" s="57" t="n">
        <f aca="false">AR1039</f>
        <v>19</v>
      </c>
      <c r="AD1039" s="57" t="n">
        <f aca="false">MAX(AR1039,H1039)</f>
        <v>19</v>
      </c>
      <c r="AE1039" s="64"/>
      <c r="AF1039" s="57" t="n">
        <f aca="false">IF(LEFT(Cockpit!$C$5,1)="A",H1039,IF(CA1039=1,CB1039,IF(LEFT(Cockpit!$C$5,1)="B",AJ1039,MAX(AJ1039,H1039))))</f>
        <v>9</v>
      </c>
      <c r="AG1039" s="57" t="n">
        <f aca="false">IF(BT1039=1,0,ROUNDUP(AF1039/BS1039,0))</f>
        <v>1</v>
      </c>
      <c r="AH1039" s="59" t="n">
        <f aca="false">IF(CH1039&gt;0,CH1039*MAX(1,AF1039/X1039),IF(BT1039=1,IF(AF1039&lt;=0,0,BW1039*MAX(1,IF(H1039&gt;0,AF1039/H1039,1))),IF(R1039&gt;0,AG1039/R1039,0))/MAX(0.1,N(Parameter!$M$21)))</f>
        <v>0.0151515151515152</v>
      </c>
      <c r="AI1039" s="57" t="n">
        <f aca="false">AF1039*G1039</f>
        <v>172.8</v>
      </c>
      <c r="AJ1039" s="57" t="n">
        <f aca="false">ROUNDUP(MAX(J1039/IF(BZ1039&gt;0,BZ1039,MAX(0.1,N(Cockpit!$C$6))),CC1039)/BS1039,0)*BS1039</f>
        <v>19</v>
      </c>
      <c r="AK1039" s="58" t="n">
        <f aca="false">IF(AH1039&gt;0,J1039/AH1039,-1)</f>
        <v>396</v>
      </c>
      <c r="AL1039" s="58" t="n">
        <f aca="false">IF(AND(OR(BY1039="L1",BY1039="L23"),AH1039&gt;0),SUMIFS($AH$7:$AH$1843,$BY$7:$BY$1843,BY1039,$AK$7:$AK$1843,"&gt;"&amp;AK1039)+SUMIFS($AH$7:$AH$1843,$BY$7:$BY$1843,BY1039,$AK$7:$AK$1843,AK1039,$BQ$7:$BQ$1843,"&lt;="&amp;BQ1039),"")</f>
        <v>25.980862133036</v>
      </c>
      <c r="AM1039" s="65" t="n">
        <f aca="false">IF(AL1039="",0,MAX(0,MIN(1,(IF(BY1039="L1",Parameter!$E$5,Parameter!$E$6+Parameter!$E$7)-(AL1039-AH1039))/AH1039)))</f>
        <v>1</v>
      </c>
      <c r="AN1039" s="57" t="n">
        <f aca="false">IF(LEFT(Cockpit!$I$5,1)="A",H1039,IF(CA1039=1,CB1039,IF(LEFT(Cockpit!$I$5,1)="B",AR1039,MAX(AR1039,H1039))))</f>
        <v>19</v>
      </c>
      <c r="AO1039" s="57" t="n">
        <f aca="false">IF(BT1039=1,0,ROUNDUP(AN1039/BS1039,0))</f>
        <v>1</v>
      </c>
      <c r="AP1039" s="59" t="n">
        <f aca="false">IF(CH1039&gt;0,CH1039*MAX(1,AN1039/X1039),IF(BT1039=1,IF(AN1039&lt;=0,0,BW1039*MAX(1,IF(H1039&gt;0,AN1039/H1039,1))),IF(R1039&gt;0,AO1039/R1039,0))/MAX(0.1,N(Parameter!$M$21)))</f>
        <v>0.0151515151515152</v>
      </c>
      <c r="AQ1039" s="57" t="n">
        <f aca="false">AN1039*G1039</f>
        <v>364.8</v>
      </c>
      <c r="AR1039" s="57" t="n">
        <f aca="false">ROUNDUP(MAX(J1039/IF(BZ1039&gt;0,BZ1039,MAX(0.1,N(Cockpit!$I$6))),CC1039)/BS1039,0)*BS1039</f>
        <v>19</v>
      </c>
      <c r="AS1039" s="58" t="n">
        <f aca="false">IF(AP1039&gt;0,J1039/AP1039,-1)</f>
        <v>396</v>
      </c>
      <c r="AT1039" s="58" t="n">
        <f aca="false">IF(AND(OR(BY1039="L1",BY1039="L23"),AP1039&gt;0),SUMIFS($AP$7:$AP$1843,$BY$7:$BY$1843,BY1039,$AS$7:$AS$1843,"&gt;"&amp;AS1039)+SUMIFS($AP$7:$AP$1843,$BY$7:$BY$1843,BY1039,$AS$7:$AS$1843,AS1039,$BQ$7:$BQ$1843,"&lt;="&amp;BQ1039),"")</f>
        <v>35.4242170872606</v>
      </c>
      <c r="AU1039" s="65" t="n">
        <f aca="false">IF(AT1039="",0,MAX(0,MIN(1,(IF(BY1039="L1",Parameter!$E$5,Parameter!$E$6+Parameter!$E$7)-(AT1039-AP1039))/AP1039)))</f>
        <v>1</v>
      </c>
      <c r="AV1039" s="57" t="n">
        <f aca="false">IF(LEFT(Cockpit!$O$5,1)="A",H1039,IF(CA1039=1,CB1039,IF(LEFT(Cockpit!$O$5,1)="B",AZ1039,MAX(AZ1039,H1039))))</f>
        <v>19</v>
      </c>
      <c r="AW1039" s="57" t="n">
        <f aca="false">IF(BT1039=1,0,ROUNDUP(AV1039/BS1039,0))</f>
        <v>1</v>
      </c>
      <c r="AX1039" s="59" t="n">
        <f aca="false">IF(CH1039&gt;0,CH1039*MAX(1,AV1039/X1039),IF(BT1039=1,IF(AV1039&lt;=0,0,BW1039*MAX(1,IF(H1039&gt;0,AV1039/H1039,1))),IF(R1039&gt;0,AW1039/R1039,0))/MAX(0.1,N(Parameter!$M$21)))</f>
        <v>0.0151515151515152</v>
      </c>
      <c r="AY1039" s="57" t="n">
        <f aca="false">AV1039*G1039</f>
        <v>364.8</v>
      </c>
      <c r="AZ1039" s="57" t="n">
        <f aca="false">ROUNDUP(MAX(J1039/IF(BZ1039&gt;0,BZ1039,MAX(0.1,N(Cockpit!$O$6))),CC1039)/BS1039,0)*BS1039</f>
        <v>19</v>
      </c>
      <c r="BA1039" s="58" t="n">
        <f aca="false">IF(AX1039&gt;0,J1039/AX1039,-1)</f>
        <v>396</v>
      </c>
      <c r="BB1039" s="58" t="n">
        <f aca="false">IF(AND(OR(BY1039="L1",BY1039="L23"),AX1039&gt;0),SUMIFS($AX$7:$AX$1843,$BY$7:$BY$1843,BY1039,$BA$7:$BA$1843,"&gt;"&amp;BA1039)+SUMIFS($AX$7:$AX$1843,$BY$7:$BY$1843,BY1039,$BA$7:$BA$1843,BA1039,$BQ$7:$BQ$1843,"&lt;="&amp;BQ1039),"")</f>
        <v>34.6707205837641</v>
      </c>
      <c r="BC1039" s="65" t="n">
        <f aca="false">IF(BB1039="",0,MAX(0,MIN(1,(IF(BY1039="L1",Parameter!$E$5,Parameter!$E$6+Parameter!$E$7)-(BB1039-AX1039))/AX1039)))</f>
        <v>1</v>
      </c>
      <c r="BD1039" s="55" t="str">
        <f aca="false">IF(AH1039&lt;=0,"",IF(BY1039="Aussen","Aussenlager",IF(BY1039="-","Nicht im Lift",IF(AM1039&gt;=1,"Lift",IF(AM1039&lt;=0,"Aussenlager","teilweise")))))</f>
        <v>Lift</v>
      </c>
      <c r="BE1039" s="55" t="str">
        <f aca="false">IF(AP1039&lt;=0,"",IF(BY1039="Aussen","Aussenlager",IF(BY1039="-","Nicht im Lift",IF(AU1039&gt;=1,"Lift",IF(AU1039&lt;=0,"Aussenlager","teilweise")))))</f>
        <v>Lift</v>
      </c>
      <c r="BF1039" s="55" t="str">
        <f aca="false">IF(AX1039&lt;=0,"",IF(BY1039="Aussen","Aussenlager",IF(BY1039="-","Nicht im Lift",IF(BC1039&gt;=1,"Lift",IF(BC1039&lt;=0,"Aussenlager","teilweise")))))</f>
        <v>Lift</v>
      </c>
      <c r="BG1039" s="55" t="str">
        <f aca="false">IF(A1039="","",IF(BP1039=1,"Neu; ","")&amp;IF(AND(BP1039=0,BK1039&lt;0),"negativer Bestand (Export "&amp;BK1039&amp;"); ","")&amp;IF(J1039&lt;=0,"Kein Verbrauch; ","")&amp;IF(CH1039&gt;0,"Lift "&amp;W1039&amp;" lt. Liftbericht (Fach "&amp;X1039&amp;" Stk); ",IF(BU1039=1,"Gebinde geschätzt ("&amp;T1039&amp;"); ",IF(BT1039=1,"Lose – Tablare geschätzt; ","")))&amp;IF(H1039&gt;AR1039,"Überbestand "&amp;ROUND(H1039-AR1039,0)&amp;" Stk / CHF "&amp;ROUND((H1039-AR1039)*G1039,0)&amp;"; ","")&amp;IF(AND(CA1039=1,CB1039&lt;CC1039),"MAX &lt; MB+LG; ","")&amp;IF(AND(CG1039&gt;0,CF1039*10&gt;CG1039),"zu hoch für Tablar; ","")&amp;IF(AND(BP1039=0,OR(CA1039=1,AA1039&lt;&gt;"",U1039&lt;&gt;"",V1039&lt;&gt;"",AB1039&lt;&gt;"")),"manuell übersteuert; ","")&amp;IF(AND(BT1039=0,R1039=0),"Gebinde unbekannt / Stellmass fehlt; ","")&amp;IF(AND(BT1039=0,N(V1039)&lt;=0,N(Q1039)&lt;=0),"Menge pro Gebinde fehlt (Ist = 1 Gebinde); ","")&amp;BO1039)</f>
        <v>negativer Bestand (Export -7); Überbestand</v>
      </c>
      <c r="BH1039" s="55"/>
      <c r="BI1039" s="55"/>
      <c r="BJ1039" s="62"/>
      <c r="BK1039" s="57" t="n">
        <v>-7</v>
      </c>
      <c r="BL1039" s="57" t="n">
        <v>16</v>
      </c>
      <c r="BM1039" s="56" t="n">
        <v>-134.4</v>
      </c>
      <c r="BN1039" s="57" t="n">
        <v>6</v>
      </c>
      <c r="BO1039" s="55" t="s">
        <v>392</v>
      </c>
      <c r="BP1039" s="60" t="n">
        <v>0</v>
      </c>
      <c r="BQ1039" s="60" t="n">
        <v>1039</v>
      </c>
      <c r="BR1039" s="55" t="str">
        <f aca="false">IF(U1039&lt;&gt;"",UPPER(TRIM(U1039)),IF(BU1039=1,UPPER(VLOOKUP(T1039,Parameter!$I$27:$K$29,2,0)),IF(P1039="","LOSE",P1039)))</f>
        <v>S33</v>
      </c>
      <c r="BS1039" s="57" t="n">
        <f aca="false">IF(BR1039="LOSE",1,IF(N(V1039)&gt;0,V1039,IF(BU1039=1,MAX(1,N(VLOOKUP(T1039,Parameter!$I$27:$K$29,3,0)),H1039,N(N1039)),IF(N(Q1039)&gt;0,Q1039,MAX(1,H1039)))))</f>
        <v>19</v>
      </c>
      <c r="BT1039" s="60" t="n">
        <f aca="false">IF(BR1039="LOSE",1,0)</f>
        <v>0</v>
      </c>
      <c r="BU1039" s="60" t="n">
        <f aca="false">IF(AND(U1039="",OR(P1039="",P1039="LOSE"),T1039&lt;&gt;"",N(S1039)&lt;=0,ISNUMBER(MATCH(T1039,Parameter!$I$27:$I$29,0))),1,0)</f>
        <v>0</v>
      </c>
      <c r="BV1039" s="55" t="str">
        <f aca="false">IF(AND(Parameter!$B$19="Ja",E1039&lt;&gt;"",ISNUMBER(MATCH(E1039,Parameter!$I$35:$I$52,0))),VLOOKUP(E1039,Parameter!$I$35:$J$52,2,0),IFERROR(VLOOKUP(D1039,Parameter!$A$35:$C$64,2,0),"Nein"))</f>
        <v>2+3</v>
      </c>
      <c r="BW1039" s="59" t="n">
        <f aca="false">IF(BT1039=0,0,IF(N(S1039)&gt;0,S1039,IFERROR(VLOOKUP(D1039,Parameter!$A$35:$C$64,3,0)+0,0)))</f>
        <v>0</v>
      </c>
      <c r="BX1039" s="55" t="n">
        <f aca="false">IF(AA1039&lt;&gt;"",AA1039,Z1039)</f>
        <v>3</v>
      </c>
      <c r="BY1039" s="55" t="str">
        <f aca="false">IF(BX1039=1,"L1",IF(OR(BX1039=2,BX1039=3),"L23",IF(BX1039="Aussen","Aussen","-")))</f>
        <v>L23</v>
      </c>
      <c r="BZ1039" s="66" t="n">
        <f aca="false">IF(N(AB1039)&gt;0,AB1039,0)</f>
        <v>0</v>
      </c>
      <c r="CA1039" s="60" t="n">
        <f aca="false">IF(ISNUMBER(AE1039),1,0)</f>
        <v>0</v>
      </c>
      <c r="CB1039" s="57" t="n">
        <f aca="false">N(AE1039)</f>
        <v>0</v>
      </c>
      <c r="CC1039" s="57" t="n">
        <f aca="false">N(M1039)+N(N1039)</f>
        <v>5</v>
      </c>
      <c r="CD1039" s="57" t="n">
        <f aca="false">ROUNDUP(H1039/BS1039,0)</f>
        <v>1</v>
      </c>
      <c r="CE1039" s="57" t="n">
        <f aca="false">ROUNDUP(CB1039/BS1039,0)</f>
        <v>0</v>
      </c>
      <c r="CF1039" s="60" t="n">
        <f aca="false">IF(BT1039=1,0,IFERROR(VLOOKUP(BR1039,'Gebinde-Kategorie'!$A$5:$M$45,5,0)+0,0))</f>
        <v>8</v>
      </c>
      <c r="CG1039" s="60" t="n">
        <f aca="false">IFERROR(IF(OR(BX1039=1,BX1039=2,BX1039=3),N(INDEX(Parameter!$I$5:$I$7,BX1039)),0),0)</f>
        <v>0</v>
      </c>
      <c r="CH1039" s="59" t="n">
        <f aca="false">IF(AND(Parameter!$B$21="Ja",ISNUMBER(W1039),N(X1039)&gt;0),IFERROR(N(INDEX(Parameter!$L$5:$L$7,W1039))*INDEX(Parameter!$E$5:$E$7,W1039)*X1039/SUMIFS($X$7:$X$1843,$W$7:$W$1843,W1039),0),0)</f>
        <v>0</v>
      </c>
    </row>
    <row r="1040" customFormat="false" ht="15" hidden="false" customHeight="false" outlineLevel="0" collapsed="false">
      <c r="A1040" s="55" t="s">
        <v>1908</v>
      </c>
      <c r="B1040" s="55" t="s">
        <v>1281</v>
      </c>
      <c r="C1040" s="55" t="s">
        <v>164</v>
      </c>
      <c r="D1040" s="55" t="s">
        <v>184</v>
      </c>
      <c r="E1040" s="55" t="s">
        <v>185</v>
      </c>
      <c r="F1040" s="55" t="s">
        <v>218</v>
      </c>
      <c r="G1040" s="56" t="n">
        <v>11.25</v>
      </c>
      <c r="H1040" s="57" t="n">
        <f aca="false">MAX(0,IF(AND(Parameter!$B$21="Ja",ISNUMBER(Y1040)),Y1040,IF(Parameter!$B$20="Jahresanfang 2025 + Export",BL1040+BK1040,BK1040)))</f>
        <v>70</v>
      </c>
      <c r="I1040" s="57" t="n">
        <f aca="false">H1040*G1040</f>
        <v>787.5</v>
      </c>
      <c r="J1040" s="57" t="n">
        <f aca="false">BN1040*Parameter!$B$18</f>
        <v>3</v>
      </c>
      <c r="K1040" s="58" t="n">
        <v>80.5</v>
      </c>
      <c r="L1040" s="59" t="n">
        <v>0.0372670807453416</v>
      </c>
      <c r="M1040" s="57" t="n">
        <v>0</v>
      </c>
      <c r="N1040" s="57" t="n">
        <v>5</v>
      </c>
      <c r="O1040" s="60" t="n">
        <v>21</v>
      </c>
      <c r="P1040" s="55" t="s">
        <v>421</v>
      </c>
      <c r="Q1040" s="57" t="n">
        <v>83</v>
      </c>
      <c r="R1040" s="60" t="n">
        <f aca="false">IF(BT1040=1,0,IFERROR(VLOOKUP(BR1040,'Gebinde-Kategorie'!$A$5:$M$45,13,0)+0,0))</f>
        <v>132</v>
      </c>
      <c r="S1040" s="61"/>
      <c r="T1040" s="62"/>
      <c r="U1040" s="62"/>
      <c r="V1040" s="62"/>
      <c r="W1040" s="55"/>
      <c r="X1040" s="57"/>
      <c r="Y1040" s="57"/>
      <c r="Z1040" s="55" t="n">
        <f aca="false">IF(A1040="","",IF(AND(Parameter!$B$21="Ja",ISNUMBER(W1040)),W1040,IF(BV1040="2+3",IF(ISNUMBER(SEARCH("grosser Artikel",BO1040)),2,IFERROR(VLOOKUP(BR1040,Parameter!$F$35:$G$64,2,0),2)),IF(OR(BV1040="Nein",BV1040=""),"-",BV1040))))</f>
        <v>3</v>
      </c>
      <c r="AA1040" s="62"/>
      <c r="AB1040" s="63"/>
      <c r="AC1040" s="57" t="n">
        <f aca="false">AR1040</f>
        <v>83</v>
      </c>
      <c r="AD1040" s="57" t="n">
        <f aca="false">MAX(AR1040,H1040)</f>
        <v>83</v>
      </c>
      <c r="AE1040" s="64"/>
      <c r="AF1040" s="57" t="n">
        <f aca="false">IF(LEFT(Cockpit!$C$5,1)="A",H1040,IF(CA1040=1,CB1040,IF(LEFT(Cockpit!$C$5,1)="B",AJ1040,MAX(AJ1040,H1040))))</f>
        <v>70</v>
      </c>
      <c r="AG1040" s="57" t="n">
        <f aca="false">IF(BT1040=1,0,ROUNDUP(AF1040/BS1040,0))</f>
        <v>1</v>
      </c>
      <c r="AH1040" s="59" t="n">
        <f aca="false">IF(CH1040&gt;0,CH1040*MAX(1,AF1040/X1040),IF(BT1040=1,IF(AF1040&lt;=0,0,BW1040*MAX(1,IF(H1040&gt;0,AF1040/H1040,1))),IF(R1040&gt;0,AG1040/R1040,0))/MAX(0.1,N(Parameter!$M$21)))</f>
        <v>0.00757575757575758</v>
      </c>
      <c r="AI1040" s="57" t="n">
        <f aca="false">AF1040*G1040</f>
        <v>787.5</v>
      </c>
      <c r="AJ1040" s="57" t="n">
        <f aca="false">ROUNDUP(MAX(J1040/IF(BZ1040&gt;0,BZ1040,MAX(0.1,N(Cockpit!$C$6))),CC1040)/BS1040,0)*BS1040</f>
        <v>83</v>
      </c>
      <c r="AK1040" s="58" t="n">
        <f aca="false">IF(AH1040&gt;0,J1040/AH1040,-1)</f>
        <v>396</v>
      </c>
      <c r="AL1040" s="58" t="n">
        <f aca="false">IF(AND(OR(BY1040="L1",BY1040="L23"),AH1040&gt;0),SUMIFS($AH$7:$AH$1843,$BY$7:$BY$1843,BY1040,$AK$7:$AK$1843,"&gt;"&amp;AK1040)+SUMIFS($AH$7:$AH$1843,$BY$7:$BY$1843,BY1040,$AK$7:$AK$1843,AK1040,$BQ$7:$BQ$1843,"&lt;="&amp;BQ1040),"")</f>
        <v>25.9884378906118</v>
      </c>
      <c r="AM1040" s="65" t="n">
        <f aca="false">IF(AL1040="",0,MAX(0,MIN(1,(IF(BY1040="L1",Parameter!$E$5,Parameter!$E$6+Parameter!$E$7)-(AL1040-AH1040))/AH1040)))</f>
        <v>1</v>
      </c>
      <c r="AN1040" s="57" t="n">
        <f aca="false">IF(LEFT(Cockpit!$I$5,1)="A",H1040,IF(CA1040=1,CB1040,IF(LEFT(Cockpit!$I$5,1)="B",AR1040,MAX(AR1040,H1040))))</f>
        <v>83</v>
      </c>
      <c r="AO1040" s="57" t="n">
        <f aca="false">IF(BT1040=1,0,ROUNDUP(AN1040/BS1040,0))</f>
        <v>1</v>
      </c>
      <c r="AP1040" s="59" t="n">
        <f aca="false">IF(CH1040&gt;0,CH1040*MAX(1,AN1040/X1040),IF(BT1040=1,IF(AN1040&lt;=0,0,BW1040*MAX(1,IF(H1040&gt;0,AN1040/H1040,1))),IF(R1040&gt;0,AO1040/R1040,0))/MAX(0.1,N(Parameter!$M$21)))</f>
        <v>0.00757575757575758</v>
      </c>
      <c r="AQ1040" s="57" t="n">
        <f aca="false">AN1040*G1040</f>
        <v>933.75</v>
      </c>
      <c r="AR1040" s="57" t="n">
        <f aca="false">ROUNDUP(MAX(J1040/IF(BZ1040&gt;0,BZ1040,MAX(0.1,N(Cockpit!$I$6))),CC1040)/BS1040,0)*BS1040</f>
        <v>83</v>
      </c>
      <c r="AS1040" s="58" t="n">
        <f aca="false">IF(AP1040&gt;0,J1040/AP1040,-1)</f>
        <v>396</v>
      </c>
      <c r="AT1040" s="58" t="n">
        <f aca="false">IF(AND(OR(BY1040="L1",BY1040="L23"),AP1040&gt;0),SUMIFS($AP$7:$AP$1843,$BY$7:$BY$1843,BY1040,$AS$7:$AS$1843,"&gt;"&amp;AS1040)+SUMIFS($AP$7:$AP$1843,$BY$7:$BY$1843,BY1040,$AS$7:$AS$1843,AS1040,$BQ$7:$BQ$1843,"&lt;="&amp;BQ1040),"")</f>
        <v>35.4317928448363</v>
      </c>
      <c r="AU1040" s="65" t="n">
        <f aca="false">IF(AT1040="",0,MAX(0,MIN(1,(IF(BY1040="L1",Parameter!$E$5,Parameter!$E$6+Parameter!$E$7)-(AT1040-AP1040))/AP1040)))</f>
        <v>1</v>
      </c>
      <c r="AV1040" s="57" t="n">
        <f aca="false">IF(LEFT(Cockpit!$O$5,1)="A",H1040,IF(CA1040=1,CB1040,IF(LEFT(Cockpit!$O$5,1)="B",AZ1040,MAX(AZ1040,H1040))))</f>
        <v>83</v>
      </c>
      <c r="AW1040" s="57" t="n">
        <f aca="false">IF(BT1040=1,0,ROUNDUP(AV1040/BS1040,0))</f>
        <v>1</v>
      </c>
      <c r="AX1040" s="59" t="n">
        <f aca="false">IF(CH1040&gt;0,CH1040*MAX(1,AV1040/X1040),IF(BT1040=1,IF(AV1040&lt;=0,0,BW1040*MAX(1,IF(H1040&gt;0,AV1040/H1040,1))),IF(R1040&gt;0,AW1040/R1040,0))/MAX(0.1,N(Parameter!$M$21)))</f>
        <v>0.00757575757575758</v>
      </c>
      <c r="AY1040" s="57" t="n">
        <f aca="false">AV1040*G1040</f>
        <v>933.75</v>
      </c>
      <c r="AZ1040" s="57" t="n">
        <f aca="false">ROUNDUP(MAX(J1040/IF(BZ1040&gt;0,BZ1040,MAX(0.1,N(Cockpit!$O$6))),CC1040)/BS1040,0)*BS1040</f>
        <v>83</v>
      </c>
      <c r="BA1040" s="58" t="n">
        <f aca="false">IF(AX1040&gt;0,J1040/AX1040,-1)</f>
        <v>396</v>
      </c>
      <c r="BB1040" s="58" t="n">
        <f aca="false">IF(AND(OR(BY1040="L1",BY1040="L23"),AX1040&gt;0),SUMIFS($AX$7:$AX$1843,$BY$7:$BY$1843,BY1040,$BA$7:$BA$1843,"&gt;"&amp;BA1040)+SUMIFS($AX$7:$AX$1843,$BY$7:$BY$1843,BY1040,$BA$7:$BA$1843,BA1040,$BQ$7:$BQ$1843,"&lt;="&amp;BQ1040),"")</f>
        <v>34.6782963413398</v>
      </c>
      <c r="BC1040" s="65" t="n">
        <f aca="false">IF(BB1040="",0,MAX(0,MIN(1,(IF(BY1040="L1",Parameter!$E$5,Parameter!$E$6+Parameter!$E$7)-(BB1040-AX1040))/AX1040)))</f>
        <v>1</v>
      </c>
      <c r="BD1040" s="55" t="str">
        <f aca="false">IF(AH1040&lt;=0,"",IF(BY1040="Aussen","Aussenlager",IF(BY1040="-","Nicht im Lift",IF(AM1040&gt;=1,"Lift",IF(AM1040&lt;=0,"Aussenlager","teilweise")))))</f>
        <v>Lift</v>
      </c>
      <c r="BE1040" s="55" t="str">
        <f aca="false">IF(AP1040&lt;=0,"",IF(BY1040="Aussen","Aussenlager",IF(BY1040="-","Nicht im Lift",IF(AU1040&gt;=1,"Lift",IF(AU1040&lt;=0,"Aussenlager","teilweise")))))</f>
        <v>Lift</v>
      </c>
      <c r="BF1040" s="55" t="str">
        <f aca="false">IF(AX1040&lt;=0,"",IF(BY1040="Aussen","Aussenlager",IF(BY1040="-","Nicht im Lift",IF(BC1040&gt;=1,"Lift",IF(BC1040&lt;=0,"Aussenlager","teilweise")))))</f>
        <v>Lift</v>
      </c>
      <c r="BG1040" s="55" t="str">
        <f aca="false">IF(A1040="","",IF(BP1040=1,"Neu; ","")&amp;IF(AND(BP1040=0,BK1040&lt;0),"negativer Bestand (Export "&amp;BK1040&amp;"); ","")&amp;IF(J1040&lt;=0,"Kein Verbrauch; ","")&amp;IF(CH1040&gt;0,"Lift "&amp;W1040&amp;" lt. Liftbericht (Fach "&amp;X1040&amp;" Stk); ",IF(BU1040=1,"Gebinde geschätzt ("&amp;T1040&amp;"); ",IF(BT1040=1,"Lose – Tablare geschätzt; ","")))&amp;IF(H1040&gt;AR1040,"Überbestand "&amp;ROUND(H1040-AR1040,0)&amp;" Stk / CHF "&amp;ROUND((H1040-AR1040)*G1040,0)&amp;"; ","")&amp;IF(AND(CA1040=1,CB1040&lt;CC1040),"MAX &lt; MB+LG; ","")&amp;IF(AND(CG1040&gt;0,CF1040*10&gt;CG1040),"zu hoch für Tablar; ","")&amp;IF(AND(BP1040=0,OR(CA1040=1,AA1040&lt;&gt;"",U1040&lt;&gt;"",V1040&lt;&gt;"",AB1040&lt;&gt;"")),"manuell übersteuert; ","")&amp;IF(AND(BT1040=0,R1040=0),"Gebinde unbekannt / Stellmass fehlt; ","")&amp;IF(AND(BT1040=0,N(V1040)&lt;=0,N(Q1040)&lt;=0),"Menge pro Gebinde fehlt (Ist = 1 Gebinde); ","")&amp;BO1040)</f>
        <v>negativer Bestand (Export -12); Überbestand</v>
      </c>
      <c r="BH1040" s="55"/>
      <c r="BI1040" s="55"/>
      <c r="BJ1040" s="62"/>
      <c r="BK1040" s="57" t="n">
        <v>-12</v>
      </c>
      <c r="BL1040" s="57" t="n">
        <v>82</v>
      </c>
      <c r="BM1040" s="56" t="n">
        <v>-135</v>
      </c>
      <c r="BN1040" s="57" t="n">
        <v>3</v>
      </c>
      <c r="BO1040" s="55" t="s">
        <v>392</v>
      </c>
      <c r="BP1040" s="60" t="n">
        <v>0</v>
      </c>
      <c r="BQ1040" s="60" t="n">
        <v>1040</v>
      </c>
      <c r="BR1040" s="55" t="str">
        <f aca="false">IF(U1040&lt;&gt;"",UPPER(TRIM(U1040)),IF(BU1040=1,UPPER(VLOOKUP(T1040,Parameter!$I$27:$K$29,2,0)),IF(P1040="","LOSE",P1040)))</f>
        <v>S32</v>
      </c>
      <c r="BS1040" s="57" t="n">
        <f aca="false">IF(BR1040="LOSE",1,IF(N(V1040)&gt;0,V1040,IF(BU1040=1,MAX(1,N(VLOOKUP(T1040,Parameter!$I$27:$K$29,3,0)),H1040,N(N1040)),IF(N(Q1040)&gt;0,Q1040,MAX(1,H1040)))))</f>
        <v>83</v>
      </c>
      <c r="BT1040" s="60" t="n">
        <f aca="false">IF(BR1040="LOSE",1,0)</f>
        <v>0</v>
      </c>
      <c r="BU1040" s="60" t="n">
        <f aca="false">IF(AND(U1040="",OR(P1040="",P1040="LOSE"),T1040&lt;&gt;"",N(S1040)&lt;=0,ISNUMBER(MATCH(T1040,Parameter!$I$27:$I$29,0))),1,0)</f>
        <v>0</v>
      </c>
      <c r="BV1040" s="55" t="str">
        <f aca="false">IF(AND(Parameter!$B$19="Ja",E1040&lt;&gt;"",ISNUMBER(MATCH(E1040,Parameter!$I$35:$I$52,0))),VLOOKUP(E1040,Parameter!$I$35:$J$52,2,0),IFERROR(VLOOKUP(D1040,Parameter!$A$35:$C$64,2,0),"Nein"))</f>
        <v>2+3</v>
      </c>
      <c r="BW1040" s="59" t="n">
        <f aca="false">IF(BT1040=0,0,IF(N(S1040)&gt;0,S1040,IFERROR(VLOOKUP(D1040,Parameter!$A$35:$C$64,3,0)+0,0)))</f>
        <v>0</v>
      </c>
      <c r="BX1040" s="55" t="n">
        <f aca="false">IF(AA1040&lt;&gt;"",AA1040,Z1040)</f>
        <v>3</v>
      </c>
      <c r="BY1040" s="55" t="str">
        <f aca="false">IF(BX1040=1,"L1",IF(OR(BX1040=2,BX1040=3),"L23",IF(BX1040="Aussen","Aussen","-")))</f>
        <v>L23</v>
      </c>
      <c r="BZ1040" s="66" t="n">
        <f aca="false">IF(N(AB1040)&gt;0,AB1040,0)</f>
        <v>0</v>
      </c>
      <c r="CA1040" s="60" t="n">
        <f aca="false">IF(ISNUMBER(AE1040),1,0)</f>
        <v>0</v>
      </c>
      <c r="CB1040" s="57" t="n">
        <f aca="false">N(AE1040)</f>
        <v>0</v>
      </c>
      <c r="CC1040" s="57" t="n">
        <f aca="false">N(M1040)+N(N1040)</f>
        <v>5</v>
      </c>
      <c r="CD1040" s="57" t="n">
        <f aca="false">ROUNDUP(H1040/BS1040,0)</f>
        <v>1</v>
      </c>
      <c r="CE1040" s="57" t="n">
        <f aca="false">ROUNDUP(CB1040/BS1040,0)</f>
        <v>0</v>
      </c>
      <c r="CF1040" s="60" t="n">
        <f aca="false">IF(BT1040=1,0,IFERROR(VLOOKUP(BR1040,'Gebinde-Kategorie'!$A$5:$M$45,5,0)+0,0))</f>
        <v>8</v>
      </c>
      <c r="CG1040" s="60" t="n">
        <f aca="false">IFERROR(IF(OR(BX1040=1,BX1040=2,BX1040=3),N(INDEX(Parameter!$I$5:$I$7,BX1040)),0),0)</f>
        <v>0</v>
      </c>
      <c r="CH1040" s="59" t="n">
        <f aca="false">IF(AND(Parameter!$B$21="Ja",ISNUMBER(W1040),N(X1040)&gt;0),IFERROR(N(INDEX(Parameter!$L$5:$L$7,W1040))*INDEX(Parameter!$E$5:$E$7,W1040)*X1040/SUMIFS($X$7:$X$1843,$W$7:$W$1843,W1040),0),0)</f>
        <v>0</v>
      </c>
    </row>
    <row r="1041" customFormat="false" ht="15" hidden="false" customHeight="false" outlineLevel="0" collapsed="false">
      <c r="A1041" s="55" t="s">
        <v>1909</v>
      </c>
      <c r="B1041" s="55" t="s">
        <v>1910</v>
      </c>
      <c r="C1041" s="55" t="s">
        <v>164</v>
      </c>
      <c r="D1041" s="55" t="s">
        <v>184</v>
      </c>
      <c r="E1041" s="55" t="s">
        <v>185</v>
      </c>
      <c r="F1041" s="55" t="s">
        <v>218</v>
      </c>
      <c r="G1041" s="56" t="n">
        <v>11.4</v>
      </c>
      <c r="H1041" s="57" t="n">
        <f aca="false">MAX(0,IF(AND(Parameter!$B$21="Ja",ISNUMBER(Y1041)),Y1041,IF(Parameter!$B$20="Jahresanfang 2025 + Export",BL1041+BK1041,BK1041)))</f>
        <v>54</v>
      </c>
      <c r="I1041" s="57" t="n">
        <f aca="false">H1041*G1041</f>
        <v>615.6</v>
      </c>
      <c r="J1041" s="57" t="n">
        <f aca="false">BN1041*Parameter!$B$18</f>
        <v>153</v>
      </c>
      <c r="K1041" s="58" t="n">
        <v>65</v>
      </c>
      <c r="L1041" s="59" t="n">
        <v>2.35384615384615</v>
      </c>
      <c r="M1041" s="57" t="n">
        <v>17</v>
      </c>
      <c r="N1041" s="57" t="n">
        <v>50</v>
      </c>
      <c r="O1041" s="60" t="n">
        <v>42</v>
      </c>
      <c r="P1041" s="55" t="s">
        <v>293</v>
      </c>
      <c r="Q1041" s="57" t="n">
        <v>101</v>
      </c>
      <c r="R1041" s="60" t="n">
        <f aca="false">IF(BT1041=1,0,IFERROR(VLOOKUP(BR1041,'Gebinde-Kategorie'!$A$5:$M$45,13,0)+0,0))</f>
        <v>12</v>
      </c>
      <c r="S1041" s="61"/>
      <c r="T1041" s="62"/>
      <c r="U1041" s="62"/>
      <c r="V1041" s="62"/>
      <c r="W1041" s="55"/>
      <c r="X1041" s="57"/>
      <c r="Y1041" s="57"/>
      <c r="Z1041" s="55" t="n">
        <f aca="false">IF(A1041="","",IF(AND(Parameter!$B$21="Ja",ISNUMBER(W1041)),W1041,IF(BV1041="2+3",IF(ISNUMBER(SEARCH("grosser Artikel",BO1041)),2,IFERROR(VLOOKUP(BR1041,Parameter!$F$35:$G$64,2,0),2)),IF(OR(BV1041="Nein",BV1041=""),"-",BV1041))))</f>
        <v>2</v>
      </c>
      <c r="AA1041" s="62"/>
      <c r="AB1041" s="63"/>
      <c r="AC1041" s="57" t="n">
        <f aca="false">AR1041</f>
        <v>101</v>
      </c>
      <c r="AD1041" s="57" t="n">
        <f aca="false">MAX(AR1041,H1041)</f>
        <v>101</v>
      </c>
      <c r="AE1041" s="64"/>
      <c r="AF1041" s="57" t="n">
        <f aca="false">IF(LEFT(Cockpit!$C$5,1)="A",H1041,IF(CA1041=1,CB1041,IF(LEFT(Cockpit!$C$5,1)="B",AJ1041,MAX(AJ1041,H1041))))</f>
        <v>54</v>
      </c>
      <c r="AG1041" s="57" t="n">
        <f aca="false">IF(BT1041=1,0,ROUNDUP(AF1041/BS1041,0))</f>
        <v>1</v>
      </c>
      <c r="AH1041" s="59" t="n">
        <f aca="false">IF(CH1041&gt;0,CH1041*MAX(1,AF1041/X1041),IF(BT1041=1,IF(AF1041&lt;=0,0,BW1041*MAX(1,IF(H1041&gt;0,AF1041/H1041,1))),IF(R1041&gt;0,AG1041/R1041,0))/MAX(0.1,N(Parameter!$M$21)))</f>
        <v>0.0833333333333333</v>
      </c>
      <c r="AI1041" s="57" t="n">
        <f aca="false">AF1041*G1041</f>
        <v>615.6</v>
      </c>
      <c r="AJ1041" s="57" t="n">
        <f aca="false">ROUNDUP(MAX(J1041/IF(BZ1041&gt;0,BZ1041,MAX(0.1,N(Cockpit!$C$6))),CC1041)/BS1041,0)*BS1041</f>
        <v>101</v>
      </c>
      <c r="AK1041" s="58" t="n">
        <f aca="false">IF(AH1041&gt;0,J1041/AH1041,-1)</f>
        <v>1836</v>
      </c>
      <c r="AL1041" s="58" t="n">
        <f aca="false">IF(AND(OR(BY1041="L1",BY1041="L23"),AH1041&gt;0),SUMIFS($AH$7:$AH$1843,$BY$7:$BY$1843,BY1041,$AK$7:$AK$1843,"&gt;"&amp;AK1041)+SUMIFS($AH$7:$AH$1843,$BY$7:$BY$1843,BY1041,$AK$7:$AK$1843,AK1041,$BQ$7:$BQ$1843,"&lt;="&amp;BQ1041),"")</f>
        <v>14.0864751190838</v>
      </c>
      <c r="AM1041" s="65" t="n">
        <f aca="false">IF(AL1041="",0,MAX(0,MIN(1,(IF(BY1041="L1",Parameter!$E$5,Parameter!$E$6+Parameter!$E$7)-(AL1041-AH1041))/AH1041)))</f>
        <v>1</v>
      </c>
      <c r="AN1041" s="57" t="n">
        <f aca="false">IF(LEFT(Cockpit!$I$5,1)="A",H1041,IF(CA1041=1,CB1041,IF(LEFT(Cockpit!$I$5,1)="B",AR1041,MAX(AR1041,H1041))))</f>
        <v>101</v>
      </c>
      <c r="AO1041" s="57" t="n">
        <f aca="false">IF(BT1041=1,0,ROUNDUP(AN1041/BS1041,0))</f>
        <v>1</v>
      </c>
      <c r="AP1041" s="59" t="n">
        <f aca="false">IF(CH1041&gt;0,CH1041*MAX(1,AN1041/X1041),IF(BT1041=1,IF(AN1041&lt;=0,0,BW1041*MAX(1,IF(H1041&gt;0,AN1041/H1041,1))),IF(R1041&gt;0,AO1041/R1041,0))/MAX(0.1,N(Parameter!$M$21)))</f>
        <v>0.0833333333333333</v>
      </c>
      <c r="AQ1041" s="57" t="n">
        <f aca="false">AN1041*G1041</f>
        <v>1151.4</v>
      </c>
      <c r="AR1041" s="57" t="n">
        <f aca="false">ROUNDUP(MAX(J1041/IF(BZ1041&gt;0,BZ1041,MAX(0.1,N(Cockpit!$I$6))),CC1041)/BS1041,0)*BS1041</f>
        <v>101</v>
      </c>
      <c r="AS1041" s="58" t="n">
        <f aca="false">IF(AP1041&gt;0,J1041/AP1041,-1)</f>
        <v>1836</v>
      </c>
      <c r="AT1041" s="58" t="n">
        <f aca="false">IF(AND(OR(BY1041="L1",BY1041="L23"),AP1041&gt;0),SUMIFS($AP$7:$AP$1843,$BY$7:$BY$1843,BY1041,$AS$7:$AS$1843,"&gt;"&amp;AS1041)+SUMIFS($AP$7:$AP$1843,$BY$7:$BY$1843,BY1041,$AS$7:$AS$1843,AS1041,$BQ$7:$BQ$1843,"&lt;="&amp;BQ1041),"")</f>
        <v>19.2406675450154</v>
      </c>
      <c r="AU1041" s="65" t="n">
        <f aca="false">IF(AT1041="",0,MAX(0,MIN(1,(IF(BY1041="L1",Parameter!$E$5,Parameter!$E$6+Parameter!$E$7)-(AT1041-AP1041))/AP1041)))</f>
        <v>1</v>
      </c>
      <c r="AV1041" s="57" t="n">
        <f aca="false">IF(LEFT(Cockpit!$O$5,1)="A",H1041,IF(CA1041=1,CB1041,IF(LEFT(Cockpit!$O$5,1)="B",AZ1041,MAX(AZ1041,H1041))))</f>
        <v>101</v>
      </c>
      <c r="AW1041" s="57" t="n">
        <f aca="false">IF(BT1041=1,0,ROUNDUP(AV1041/BS1041,0))</f>
        <v>1</v>
      </c>
      <c r="AX1041" s="59" t="n">
        <f aca="false">IF(CH1041&gt;0,CH1041*MAX(1,AV1041/X1041),IF(BT1041=1,IF(AV1041&lt;=0,0,BW1041*MAX(1,IF(H1041&gt;0,AV1041/H1041,1))),IF(R1041&gt;0,AW1041/R1041,0))/MAX(0.1,N(Parameter!$M$21)))</f>
        <v>0.0833333333333333</v>
      </c>
      <c r="AY1041" s="57" t="n">
        <f aca="false">AV1041*G1041</f>
        <v>1151.4</v>
      </c>
      <c r="AZ1041" s="57" t="n">
        <f aca="false">ROUNDUP(MAX(J1041/IF(BZ1041&gt;0,BZ1041,MAX(0.1,N(Cockpit!$O$6))),CC1041)/BS1041,0)*BS1041</f>
        <v>101</v>
      </c>
      <c r="BA1041" s="58" t="n">
        <f aca="false">IF(AX1041&gt;0,J1041/AX1041,-1)</f>
        <v>1836</v>
      </c>
      <c r="BB1041" s="58" t="n">
        <f aca="false">IF(AND(OR(BY1041="L1",BY1041="L23"),AX1041&gt;0),SUMIFS($AX$7:$AX$1843,$BY$7:$BY$1843,BY1041,$BA$7:$BA$1843,"&gt;"&amp;BA1041)+SUMIFS($AX$7:$AX$1843,$BY$7:$BY$1843,BY1041,$BA$7:$BA$1843,BA1041,$BQ$7:$BQ$1843,"&lt;="&amp;BQ1041),"")</f>
        <v>18.1025556569035</v>
      </c>
      <c r="BC1041" s="65" t="n">
        <f aca="false">IF(BB1041="",0,MAX(0,MIN(1,(IF(BY1041="L1",Parameter!$E$5,Parameter!$E$6+Parameter!$E$7)-(BB1041-AX1041))/AX1041)))</f>
        <v>1</v>
      </c>
      <c r="BD1041" s="55" t="str">
        <f aca="false">IF(AH1041&lt;=0,"",IF(BY1041="Aussen","Aussenlager",IF(BY1041="-","Nicht im Lift",IF(AM1041&gt;=1,"Lift",IF(AM1041&lt;=0,"Aussenlager","teilweise")))))</f>
        <v>Lift</v>
      </c>
      <c r="BE1041" s="55" t="str">
        <f aca="false">IF(AP1041&lt;=0,"",IF(BY1041="Aussen","Aussenlager",IF(BY1041="-","Nicht im Lift",IF(AU1041&gt;=1,"Lift",IF(AU1041&lt;=0,"Aussenlager","teilweise")))))</f>
        <v>Lift</v>
      </c>
      <c r="BF1041" s="55" t="str">
        <f aca="false">IF(AX1041&lt;=0,"",IF(BY1041="Aussen","Aussenlager",IF(BY1041="-","Nicht im Lift",IF(BC1041&gt;=1,"Lift",IF(BC1041&lt;=0,"Aussenlager","teilweise")))))</f>
        <v>Lift</v>
      </c>
      <c r="BG1041" s="55" t="str">
        <f aca="false">IF(A1041="","",IF(BP1041=1,"Neu; ","")&amp;IF(AND(BP1041=0,BK1041&lt;0),"negativer Bestand (Export "&amp;BK1041&amp;"); ","")&amp;IF(J1041&lt;=0,"Kein Verbrauch; ","")&amp;IF(CH1041&gt;0,"Lift "&amp;W1041&amp;" lt. Liftbericht (Fach "&amp;X1041&amp;" Stk); ",IF(BU1041=1,"Gebinde geschätzt ("&amp;T1041&amp;"); ",IF(BT1041=1,"Lose – Tablare geschätzt; ","")))&amp;IF(H1041&gt;AR1041,"Überbestand "&amp;ROUND(H1041-AR1041,0)&amp;" Stk / CHF "&amp;ROUND((H1041-AR1041)*G1041,0)&amp;"; ","")&amp;IF(AND(CA1041=1,CB1041&lt;CC1041),"MAX &lt; MB+LG; ","")&amp;IF(AND(CG1041&gt;0,CF1041*10&gt;CG1041),"zu hoch für Tablar; ","")&amp;IF(AND(BP1041=0,OR(CA1041=1,AA1041&lt;&gt;"",U1041&lt;&gt;"",V1041&lt;&gt;"",AB1041&lt;&gt;"")),"manuell übersteuert; ","")&amp;IF(AND(BT1041=0,R1041=0),"Gebinde unbekannt / Stellmass fehlt; ","")&amp;IF(AND(BT1041=0,N(V1041)&lt;=0,N(Q1041)&lt;=0),"Menge pro Gebinde fehlt (Ist = 1 Gebinde); ","")&amp;BO1041)</f>
        <v>negativer Bestand (Export -12); </v>
      </c>
      <c r="BH1041" s="55"/>
      <c r="BI1041" s="55"/>
      <c r="BJ1041" s="62"/>
      <c r="BK1041" s="57" t="n">
        <v>-12</v>
      </c>
      <c r="BL1041" s="57" t="n">
        <v>66</v>
      </c>
      <c r="BM1041" s="56" t="n">
        <v>-136.8</v>
      </c>
      <c r="BN1041" s="57" t="n">
        <v>153</v>
      </c>
      <c r="BO1041" s="55"/>
      <c r="BP1041" s="60" t="n">
        <v>0</v>
      </c>
      <c r="BQ1041" s="60" t="n">
        <v>1041</v>
      </c>
      <c r="BR1041" s="55" t="str">
        <f aca="false">IF(U1041&lt;&gt;"",UPPER(TRIM(U1041)),IF(BU1041=1,UPPER(VLOOKUP(T1041,Parameter!$I$27:$K$29,2,0)),IF(P1041="","LOSE",P1041)))</f>
        <v>S62</v>
      </c>
      <c r="BS1041" s="57" t="n">
        <f aca="false">IF(BR1041="LOSE",1,IF(N(V1041)&gt;0,V1041,IF(BU1041=1,MAX(1,N(VLOOKUP(T1041,Parameter!$I$27:$K$29,3,0)),H1041,N(N1041)),IF(N(Q1041)&gt;0,Q1041,MAX(1,H1041)))))</f>
        <v>101</v>
      </c>
      <c r="BT1041" s="60" t="n">
        <f aca="false">IF(BR1041="LOSE",1,0)</f>
        <v>0</v>
      </c>
      <c r="BU1041" s="60" t="n">
        <f aca="false">IF(AND(U1041="",OR(P1041="",P1041="LOSE"),T1041&lt;&gt;"",N(S1041)&lt;=0,ISNUMBER(MATCH(T1041,Parameter!$I$27:$I$29,0))),1,0)</f>
        <v>0</v>
      </c>
      <c r="BV1041" s="55" t="str">
        <f aca="false">IF(AND(Parameter!$B$19="Ja",E1041&lt;&gt;"",ISNUMBER(MATCH(E1041,Parameter!$I$35:$I$52,0))),VLOOKUP(E1041,Parameter!$I$35:$J$52,2,0),IFERROR(VLOOKUP(D1041,Parameter!$A$35:$C$64,2,0),"Nein"))</f>
        <v>2+3</v>
      </c>
      <c r="BW1041" s="59" t="n">
        <f aca="false">IF(BT1041=0,0,IF(N(S1041)&gt;0,S1041,IFERROR(VLOOKUP(D1041,Parameter!$A$35:$C$64,3,0)+0,0)))</f>
        <v>0</v>
      </c>
      <c r="BX1041" s="55" t="n">
        <f aca="false">IF(AA1041&lt;&gt;"",AA1041,Z1041)</f>
        <v>2</v>
      </c>
      <c r="BY1041" s="55" t="str">
        <f aca="false">IF(BX1041=1,"L1",IF(OR(BX1041=2,BX1041=3),"L23",IF(BX1041="Aussen","Aussen","-")))</f>
        <v>L23</v>
      </c>
      <c r="BZ1041" s="66" t="n">
        <f aca="false">IF(N(AB1041)&gt;0,AB1041,0)</f>
        <v>0</v>
      </c>
      <c r="CA1041" s="60" t="n">
        <f aca="false">IF(ISNUMBER(AE1041),1,0)</f>
        <v>0</v>
      </c>
      <c r="CB1041" s="57" t="n">
        <f aca="false">N(AE1041)</f>
        <v>0</v>
      </c>
      <c r="CC1041" s="57" t="n">
        <f aca="false">N(M1041)+N(N1041)</f>
        <v>67</v>
      </c>
      <c r="CD1041" s="57" t="n">
        <f aca="false">ROUNDUP(H1041/BS1041,0)</f>
        <v>1</v>
      </c>
      <c r="CE1041" s="57" t="n">
        <f aca="false">ROUNDUP(CB1041/BS1041,0)</f>
        <v>0</v>
      </c>
      <c r="CF1041" s="60" t="n">
        <f aca="false">IF(BT1041=1,0,IFERROR(VLOOKUP(BR1041,'Gebinde-Kategorie'!$A$5:$M$45,5,0)+0,0))</f>
        <v>21</v>
      </c>
      <c r="CG1041" s="60" t="n">
        <f aca="false">IFERROR(IF(OR(BX1041=1,BX1041=2,BX1041=3),N(INDEX(Parameter!$I$5:$I$7,BX1041)),0),0)</f>
        <v>0</v>
      </c>
      <c r="CH1041" s="59" t="n">
        <f aca="false">IF(AND(Parameter!$B$21="Ja",ISNUMBER(W1041),N(X1041)&gt;0),IFERROR(N(INDEX(Parameter!$L$5:$L$7,W1041))*INDEX(Parameter!$E$5:$E$7,W1041)*X1041/SUMIFS($X$7:$X$1843,$W$7:$W$1843,W1041),0),0)</f>
        <v>0</v>
      </c>
    </row>
    <row r="1042" customFormat="false" ht="15" hidden="false" customHeight="false" outlineLevel="0" collapsed="false">
      <c r="A1042" s="55" t="s">
        <v>1911</v>
      </c>
      <c r="B1042" s="55" t="s">
        <v>1912</v>
      </c>
      <c r="C1042" s="55" t="s">
        <v>164</v>
      </c>
      <c r="D1042" s="55" t="s">
        <v>173</v>
      </c>
      <c r="E1042" s="55"/>
      <c r="F1042" s="55" t="s">
        <v>218</v>
      </c>
      <c r="G1042" s="56" t="n">
        <v>18.72</v>
      </c>
      <c r="H1042" s="57" t="n">
        <f aca="false">MAX(0,IF(AND(Parameter!$B$21="Ja",ISNUMBER(Y1042)),Y1042,IF(Parameter!$B$20="Jahresanfang 2025 + Export",BL1042+BK1042,BK1042)))</f>
        <v>3</v>
      </c>
      <c r="I1042" s="57" t="n">
        <f aca="false">H1042*G1042</f>
        <v>56.16</v>
      </c>
      <c r="J1042" s="57" t="n">
        <f aca="false">BN1042*Parameter!$B$18</f>
        <v>15</v>
      </c>
      <c r="K1042" s="58" t="n">
        <v>8.5</v>
      </c>
      <c r="L1042" s="59" t="n">
        <v>1.76470588235294</v>
      </c>
      <c r="M1042" s="57" t="n">
        <v>1</v>
      </c>
      <c r="N1042" s="57" t="n">
        <v>15</v>
      </c>
      <c r="O1042" s="60" t="n">
        <v>35</v>
      </c>
      <c r="P1042" s="55" t="s">
        <v>426</v>
      </c>
      <c r="Q1042" s="57" t="n">
        <v>10</v>
      </c>
      <c r="R1042" s="60" t="n">
        <f aca="false">IF(BT1042=1,0,IFERROR(VLOOKUP(BR1042,'Gebinde-Kategorie'!$A$5:$M$45,13,0)+0,0))</f>
        <v>198</v>
      </c>
      <c r="S1042" s="61"/>
      <c r="T1042" s="62"/>
      <c r="U1042" s="62"/>
      <c r="V1042" s="62"/>
      <c r="W1042" s="55"/>
      <c r="X1042" s="57"/>
      <c r="Y1042" s="57"/>
      <c r="Z1042" s="55" t="n">
        <f aca="false">IF(A1042="","",IF(AND(Parameter!$B$21="Ja",ISNUMBER(W1042)),W1042,IF(BV1042="2+3",IF(ISNUMBER(SEARCH("grosser Artikel",BO1042)),2,IFERROR(VLOOKUP(BR1042,Parameter!$F$35:$G$64,2,0),2)),IF(OR(BV1042="Nein",BV1042=""),"-",BV1042))))</f>
        <v>3</v>
      </c>
      <c r="AA1042" s="62"/>
      <c r="AB1042" s="63"/>
      <c r="AC1042" s="57" t="n">
        <f aca="false">AR1042</f>
        <v>20</v>
      </c>
      <c r="AD1042" s="57" t="n">
        <f aca="false">MAX(AR1042,H1042)</f>
        <v>20</v>
      </c>
      <c r="AE1042" s="64"/>
      <c r="AF1042" s="57" t="n">
        <f aca="false">IF(LEFT(Cockpit!$C$5,1)="A",H1042,IF(CA1042=1,CB1042,IF(LEFT(Cockpit!$C$5,1)="B",AJ1042,MAX(AJ1042,H1042))))</f>
        <v>3</v>
      </c>
      <c r="AG1042" s="57" t="n">
        <f aca="false">IF(BT1042=1,0,ROUNDUP(AF1042/BS1042,0))</f>
        <v>1</v>
      </c>
      <c r="AH1042" s="59" t="n">
        <f aca="false">IF(CH1042&gt;0,CH1042*MAX(1,AF1042/X1042),IF(BT1042=1,IF(AF1042&lt;=0,0,BW1042*MAX(1,IF(H1042&gt;0,AF1042/H1042,1))),IF(R1042&gt;0,AG1042/R1042,0))/MAX(0.1,N(Parameter!$M$21)))</f>
        <v>0.00505050505050505</v>
      </c>
      <c r="AI1042" s="57" t="n">
        <f aca="false">AF1042*G1042</f>
        <v>56.16</v>
      </c>
      <c r="AJ1042" s="57" t="n">
        <f aca="false">ROUNDUP(MAX(J1042/IF(BZ1042&gt;0,BZ1042,MAX(0.1,N(Cockpit!$C$6))),CC1042)/BS1042,0)*BS1042</f>
        <v>20</v>
      </c>
      <c r="AK1042" s="58" t="n">
        <f aca="false">IF(AH1042&gt;0,J1042/AH1042,-1)</f>
        <v>2970</v>
      </c>
      <c r="AL1042" s="58" t="n">
        <f aca="false">IF(AND(OR(BY1042="L1",BY1042="L23"),AH1042&gt;0),SUMIFS($AH$7:$AH$1843,$BY$7:$BY$1843,BY1042,$AK$7:$AK$1843,"&gt;"&amp;AK1042)+SUMIFS($AH$7:$AH$1843,$BY$7:$BY$1843,BY1042,$AK$7:$AK$1843,AK1042,$BQ$7:$BQ$1843,"&lt;="&amp;BQ1042),"")</f>
        <v>10.7080672950238</v>
      </c>
      <c r="AM1042" s="65" t="n">
        <f aca="false">IF(AL1042="",0,MAX(0,MIN(1,(IF(BY1042="L1",Parameter!$E$5,Parameter!$E$6+Parameter!$E$7)-(AL1042-AH1042))/AH1042)))</f>
        <v>1</v>
      </c>
      <c r="AN1042" s="57" t="n">
        <f aca="false">IF(LEFT(Cockpit!$I$5,1)="A",H1042,IF(CA1042=1,CB1042,IF(LEFT(Cockpit!$I$5,1)="B",AR1042,MAX(AR1042,H1042))))</f>
        <v>20</v>
      </c>
      <c r="AO1042" s="57" t="n">
        <f aca="false">IF(BT1042=1,0,ROUNDUP(AN1042/BS1042,0))</f>
        <v>2</v>
      </c>
      <c r="AP1042" s="59" t="n">
        <f aca="false">IF(CH1042&gt;0,CH1042*MAX(1,AN1042/X1042),IF(BT1042=1,IF(AN1042&lt;=0,0,BW1042*MAX(1,IF(H1042&gt;0,AN1042/H1042,1))),IF(R1042&gt;0,AO1042/R1042,0))/MAX(0.1,N(Parameter!$M$21)))</f>
        <v>0.0101010101010101</v>
      </c>
      <c r="AQ1042" s="57" t="n">
        <f aca="false">AN1042*G1042</f>
        <v>374.4</v>
      </c>
      <c r="AR1042" s="57" t="n">
        <f aca="false">ROUNDUP(MAX(J1042/IF(BZ1042&gt;0,BZ1042,MAX(0.1,N(Cockpit!$I$6))),CC1042)/BS1042,0)*BS1042</f>
        <v>20</v>
      </c>
      <c r="AS1042" s="58" t="n">
        <f aca="false">IF(AP1042&gt;0,J1042/AP1042,-1)</f>
        <v>1485</v>
      </c>
      <c r="AT1042" s="58" t="n">
        <f aca="false">IF(AND(OR(BY1042="L1",BY1042="L23"),AP1042&gt;0),SUMIFS($AP$7:$AP$1843,$BY$7:$BY$1843,BY1042,$AS$7:$AS$1843,"&gt;"&amp;AS1042)+SUMIFS($AP$7:$AP$1843,$BY$7:$BY$1843,BY1042,$AS$7:$AS$1843,AS1042,$BQ$7:$BQ$1843,"&lt;="&amp;BQ1042),"")</f>
        <v>20.7193591432722</v>
      </c>
      <c r="AU1042" s="65" t="n">
        <f aca="false">IF(AT1042="",0,MAX(0,MIN(1,(IF(BY1042="L1",Parameter!$E$5,Parameter!$E$6+Parameter!$E$7)-(AT1042-AP1042))/AP1042)))</f>
        <v>1</v>
      </c>
      <c r="AV1042" s="57" t="n">
        <f aca="false">IF(LEFT(Cockpit!$O$5,1)="A",H1042,IF(CA1042=1,CB1042,IF(LEFT(Cockpit!$O$5,1)="B",AZ1042,MAX(AZ1042,H1042))))</f>
        <v>20</v>
      </c>
      <c r="AW1042" s="57" t="n">
        <f aca="false">IF(BT1042=1,0,ROUNDUP(AV1042/BS1042,0))</f>
        <v>2</v>
      </c>
      <c r="AX1042" s="59" t="n">
        <f aca="false">IF(CH1042&gt;0,CH1042*MAX(1,AV1042/X1042),IF(BT1042=1,IF(AV1042&lt;=0,0,BW1042*MAX(1,IF(H1042&gt;0,AV1042/H1042,1))),IF(R1042&gt;0,AW1042/R1042,0))/MAX(0.1,N(Parameter!$M$21)))</f>
        <v>0.0101010101010101</v>
      </c>
      <c r="AY1042" s="57" t="n">
        <f aca="false">AV1042*G1042</f>
        <v>374.4</v>
      </c>
      <c r="AZ1042" s="57" t="n">
        <f aca="false">ROUNDUP(MAX(J1042/IF(BZ1042&gt;0,BZ1042,MAX(0.1,N(Cockpit!$O$6))),CC1042)/BS1042,0)*BS1042</f>
        <v>20</v>
      </c>
      <c r="BA1042" s="58" t="n">
        <f aca="false">IF(AX1042&gt;0,J1042/AX1042,-1)</f>
        <v>1485</v>
      </c>
      <c r="BB1042" s="58" t="n">
        <f aca="false">IF(AND(OR(BY1042="L1",BY1042="L23"),AX1042&gt;0),SUMIFS($AX$7:$AX$1843,$BY$7:$BY$1843,BY1042,$BA$7:$BA$1843,"&gt;"&amp;BA1042)+SUMIFS($AX$7:$AX$1843,$BY$7:$BY$1843,BY1042,$BA$7:$BA$1843,BA1042,$BQ$7:$BQ$1843,"&lt;="&amp;BQ1042),"")</f>
        <v>19.5812472551603</v>
      </c>
      <c r="BC1042" s="65" t="n">
        <f aca="false">IF(BB1042="",0,MAX(0,MIN(1,(IF(BY1042="L1",Parameter!$E$5,Parameter!$E$6+Parameter!$E$7)-(BB1042-AX1042))/AX1042)))</f>
        <v>1</v>
      </c>
      <c r="BD1042" s="55" t="str">
        <f aca="false">IF(AH1042&lt;=0,"",IF(BY1042="Aussen","Aussenlager",IF(BY1042="-","Nicht im Lift",IF(AM1042&gt;=1,"Lift",IF(AM1042&lt;=0,"Aussenlager","teilweise")))))</f>
        <v>Lift</v>
      </c>
      <c r="BE1042" s="55" t="str">
        <f aca="false">IF(AP1042&lt;=0,"",IF(BY1042="Aussen","Aussenlager",IF(BY1042="-","Nicht im Lift",IF(AU1042&gt;=1,"Lift",IF(AU1042&lt;=0,"Aussenlager","teilweise")))))</f>
        <v>Lift</v>
      </c>
      <c r="BF1042" s="55" t="str">
        <f aca="false">IF(AX1042&lt;=0,"",IF(BY1042="Aussen","Aussenlager",IF(BY1042="-","Nicht im Lift",IF(BC1042&gt;=1,"Lift",IF(BC1042&lt;=0,"Aussenlager","teilweise")))))</f>
        <v>Lift</v>
      </c>
      <c r="BG1042" s="55" t="str">
        <f aca="false">IF(A1042="","",IF(BP1042=1,"Neu; ","")&amp;IF(AND(BP1042=0,BK1042&lt;0),"negativer Bestand (Export "&amp;BK1042&amp;"); ","")&amp;IF(J1042&lt;=0,"Kein Verbrauch; ","")&amp;IF(CH1042&gt;0,"Lift "&amp;W1042&amp;" lt. Liftbericht (Fach "&amp;X1042&amp;" Stk); ",IF(BU1042=1,"Gebinde geschätzt ("&amp;T1042&amp;"); ",IF(BT1042=1,"Lose – Tablare geschätzt; ","")))&amp;IF(H1042&gt;AR1042,"Überbestand "&amp;ROUND(H1042-AR1042,0)&amp;" Stk / CHF "&amp;ROUND((H1042-AR1042)*G1042,0)&amp;"; ","")&amp;IF(AND(CA1042=1,CB1042&lt;CC1042),"MAX &lt; MB+LG; ","")&amp;IF(AND(CG1042&gt;0,CF1042*10&gt;CG1042),"zu hoch für Tablar; ","")&amp;IF(AND(BP1042=0,OR(CA1042=1,AA1042&lt;&gt;"",U1042&lt;&gt;"",V1042&lt;&gt;"",AB1042&lt;&gt;"")),"manuell übersteuert; ","")&amp;IF(AND(BT1042=0,R1042=0),"Gebinde unbekannt / Stellmass fehlt; ","")&amp;IF(AND(BT1042=0,N(V1042)&lt;=0,N(Q1042)&lt;=0),"Menge pro Gebinde fehlt (Ist = 1 Gebinde); ","")&amp;BO1042)</f>
        <v>negativer Bestand (Export -8); </v>
      </c>
      <c r="BH1042" s="55"/>
      <c r="BI1042" s="55"/>
      <c r="BJ1042" s="62"/>
      <c r="BK1042" s="57" t="n">
        <v>-8</v>
      </c>
      <c r="BL1042" s="57" t="n">
        <v>11</v>
      </c>
      <c r="BM1042" s="56" t="n">
        <v>-137.11</v>
      </c>
      <c r="BN1042" s="57" t="n">
        <v>15</v>
      </c>
      <c r="BO1042" s="55"/>
      <c r="BP1042" s="60" t="n">
        <v>0</v>
      </c>
      <c r="BQ1042" s="60" t="n">
        <v>1042</v>
      </c>
      <c r="BR1042" s="55" t="str">
        <f aca="false">IF(U1042&lt;&gt;"",UPPER(TRIM(U1042)),IF(BU1042=1,UPPER(VLOOKUP(T1042,Parameter!$I$27:$K$29,2,0)),IF(P1042="","LOSE",P1042)))</f>
        <v>S22</v>
      </c>
      <c r="BS1042" s="57" t="n">
        <f aca="false">IF(BR1042="LOSE",1,IF(N(V1042)&gt;0,V1042,IF(BU1042=1,MAX(1,N(VLOOKUP(T1042,Parameter!$I$27:$K$29,3,0)),H1042,N(N1042)),IF(N(Q1042)&gt;0,Q1042,MAX(1,H1042)))))</f>
        <v>10</v>
      </c>
      <c r="BT1042" s="60" t="n">
        <f aca="false">IF(BR1042="LOSE",1,0)</f>
        <v>0</v>
      </c>
      <c r="BU1042" s="60" t="n">
        <f aca="false">IF(AND(U1042="",OR(P1042="",P1042="LOSE"),T1042&lt;&gt;"",N(S1042)&lt;=0,ISNUMBER(MATCH(T1042,Parameter!$I$27:$I$29,0))),1,0)</f>
        <v>0</v>
      </c>
      <c r="BV1042" s="55" t="str">
        <f aca="false">IF(AND(Parameter!$B$19="Ja",E1042&lt;&gt;"",ISNUMBER(MATCH(E1042,Parameter!$I$35:$I$52,0))),VLOOKUP(E1042,Parameter!$I$35:$J$52,2,0),IFERROR(VLOOKUP(D1042,Parameter!$A$35:$C$64,2,0),"Nein"))</f>
        <v>2+3</v>
      </c>
      <c r="BW1042" s="59" t="n">
        <f aca="false">IF(BT1042=0,0,IF(N(S1042)&gt;0,S1042,IFERROR(VLOOKUP(D1042,Parameter!$A$35:$C$64,3,0)+0,0)))</f>
        <v>0</v>
      </c>
      <c r="BX1042" s="55" t="n">
        <f aca="false">IF(AA1042&lt;&gt;"",AA1042,Z1042)</f>
        <v>3</v>
      </c>
      <c r="BY1042" s="55" t="str">
        <f aca="false">IF(BX1042=1,"L1",IF(OR(BX1042=2,BX1042=3),"L23",IF(BX1042="Aussen","Aussen","-")))</f>
        <v>L23</v>
      </c>
      <c r="BZ1042" s="66" t="n">
        <f aca="false">IF(N(AB1042)&gt;0,AB1042,0)</f>
        <v>0</v>
      </c>
      <c r="CA1042" s="60" t="n">
        <f aca="false">IF(ISNUMBER(AE1042),1,0)</f>
        <v>0</v>
      </c>
      <c r="CB1042" s="57" t="n">
        <f aca="false">N(AE1042)</f>
        <v>0</v>
      </c>
      <c r="CC1042" s="57" t="n">
        <f aca="false">N(M1042)+N(N1042)</f>
        <v>16</v>
      </c>
      <c r="CD1042" s="57" t="n">
        <f aca="false">ROUNDUP(H1042/BS1042,0)</f>
        <v>1</v>
      </c>
      <c r="CE1042" s="57" t="n">
        <f aca="false">ROUNDUP(CB1042/BS1042,0)</f>
        <v>0</v>
      </c>
      <c r="CF1042" s="60" t="n">
        <f aca="false">IF(BT1042=1,0,IFERROR(VLOOKUP(BR1042,'Gebinde-Kategorie'!$A$5:$M$45,5,0)+0,0))</f>
        <v>8</v>
      </c>
      <c r="CG1042" s="60" t="n">
        <f aca="false">IFERROR(IF(OR(BX1042=1,BX1042=2,BX1042=3),N(INDEX(Parameter!$I$5:$I$7,BX1042)),0),0)</f>
        <v>0</v>
      </c>
      <c r="CH1042" s="59" t="n">
        <f aca="false">IF(AND(Parameter!$B$21="Ja",ISNUMBER(W1042),N(X1042)&gt;0),IFERROR(N(INDEX(Parameter!$L$5:$L$7,W1042))*INDEX(Parameter!$E$5:$E$7,W1042)*X1042/SUMIFS($X$7:$X$1843,$W$7:$W$1843,W1042),0),0)</f>
        <v>0</v>
      </c>
    </row>
    <row r="1043" customFormat="false" ht="15" hidden="false" customHeight="false" outlineLevel="0" collapsed="false">
      <c r="A1043" s="55" t="s">
        <v>1913</v>
      </c>
      <c r="B1043" s="55" t="s">
        <v>1914</v>
      </c>
      <c r="C1043" s="55" t="s">
        <v>164</v>
      </c>
      <c r="D1043" s="55" t="s">
        <v>184</v>
      </c>
      <c r="E1043" s="55" t="s">
        <v>185</v>
      </c>
      <c r="F1043" s="55" t="s">
        <v>218</v>
      </c>
      <c r="G1043" s="56" t="n">
        <v>137.89</v>
      </c>
      <c r="H1043" s="57" t="n">
        <f aca="false">MAX(0,IF(AND(Parameter!$B$21="Ja",ISNUMBER(Y1043)),Y1043,IF(Parameter!$B$20="Jahresanfang 2025 + Export",BL1043+BK1043,BK1043)))</f>
        <v>22</v>
      </c>
      <c r="I1043" s="57" t="n">
        <f aca="false">H1043*G1043</f>
        <v>3033.58</v>
      </c>
      <c r="J1043" s="57" t="n">
        <f aca="false">BN1043*Parameter!$B$18</f>
        <v>1</v>
      </c>
      <c r="K1043" s="58" t="n">
        <v>22.5</v>
      </c>
      <c r="L1043" s="59" t="n">
        <v>0.0444444444444445</v>
      </c>
      <c r="M1043" s="57" t="n">
        <v>0</v>
      </c>
      <c r="N1043" s="57" t="n">
        <v>1</v>
      </c>
      <c r="O1043" s="60" t="n">
        <v>14</v>
      </c>
      <c r="P1043" s="55" t="s">
        <v>328</v>
      </c>
      <c r="Q1043" s="57" t="n">
        <v>47</v>
      </c>
      <c r="R1043" s="60" t="n">
        <f aca="false">IF(BT1043=1,0,IFERROR(VLOOKUP(BR1043,'Gebinde-Kategorie'!$A$5:$M$45,13,0)+0,0))</f>
        <v>52</v>
      </c>
      <c r="S1043" s="61"/>
      <c r="T1043" s="62"/>
      <c r="U1043" s="62"/>
      <c r="V1043" s="62"/>
      <c r="W1043" s="55"/>
      <c r="X1043" s="57"/>
      <c r="Y1043" s="57"/>
      <c r="Z1043" s="55" t="n">
        <f aca="false">IF(A1043="","",IF(AND(Parameter!$B$21="Ja",ISNUMBER(W1043)),W1043,IF(BV1043="2+3",IF(ISNUMBER(SEARCH("grosser Artikel",BO1043)),2,IFERROR(VLOOKUP(BR1043,Parameter!$F$35:$G$64,2,0),2)),IF(OR(BV1043="Nein",BV1043=""),"-",BV1043))))</f>
        <v>3</v>
      </c>
      <c r="AA1043" s="62"/>
      <c r="AB1043" s="63"/>
      <c r="AC1043" s="57" t="n">
        <f aca="false">AR1043</f>
        <v>47</v>
      </c>
      <c r="AD1043" s="57" t="n">
        <f aca="false">MAX(AR1043,H1043)</f>
        <v>47</v>
      </c>
      <c r="AE1043" s="64"/>
      <c r="AF1043" s="57" t="n">
        <f aca="false">IF(LEFT(Cockpit!$C$5,1)="A",H1043,IF(CA1043=1,CB1043,IF(LEFT(Cockpit!$C$5,1)="B",AJ1043,MAX(AJ1043,H1043))))</f>
        <v>22</v>
      </c>
      <c r="AG1043" s="57" t="n">
        <f aca="false">IF(BT1043=1,0,ROUNDUP(AF1043/BS1043,0))</f>
        <v>1</v>
      </c>
      <c r="AH1043" s="59" t="n">
        <f aca="false">IF(CH1043&gt;0,CH1043*MAX(1,AF1043/X1043),IF(BT1043=1,IF(AF1043&lt;=0,0,BW1043*MAX(1,IF(H1043&gt;0,AF1043/H1043,1))),IF(R1043&gt;0,AG1043/R1043,0))/MAX(0.1,N(Parameter!$M$21)))</f>
        <v>0.0192307692307692</v>
      </c>
      <c r="AI1043" s="57" t="n">
        <f aca="false">AF1043*G1043</f>
        <v>3033.58</v>
      </c>
      <c r="AJ1043" s="57" t="n">
        <f aca="false">ROUNDUP(MAX(J1043/IF(BZ1043&gt;0,BZ1043,MAX(0.1,N(Cockpit!$C$6))),CC1043)/BS1043,0)*BS1043</f>
        <v>47</v>
      </c>
      <c r="AK1043" s="58" t="n">
        <f aca="false">IF(AH1043&gt;0,J1043/AH1043,-1)</f>
        <v>52</v>
      </c>
      <c r="AL1043" s="58" t="n">
        <f aca="false">IF(AND(OR(BY1043="L1",BY1043="L23"),AH1043&gt;0),SUMIFS($AH$7:$AH$1843,$BY$7:$BY$1843,BY1043,$AK$7:$AK$1843,"&gt;"&amp;AK1043)+SUMIFS($AH$7:$AH$1843,$BY$7:$BY$1843,BY1043,$AK$7:$AK$1843,AK1043,$BQ$7:$BQ$1843,"&lt;="&amp;BQ1043),"")</f>
        <v>44.5299060842539</v>
      </c>
      <c r="AM1043" s="65" t="n">
        <f aca="false">IF(AL1043="",0,MAX(0,MIN(1,(IF(BY1043="L1",Parameter!$E$5,Parameter!$E$6+Parameter!$E$7)-(AL1043-AH1043))/AH1043)))</f>
        <v>1</v>
      </c>
      <c r="AN1043" s="57" t="n">
        <f aca="false">IF(LEFT(Cockpit!$I$5,1)="A",H1043,IF(CA1043=1,CB1043,IF(LEFT(Cockpit!$I$5,1)="B",AR1043,MAX(AR1043,H1043))))</f>
        <v>47</v>
      </c>
      <c r="AO1043" s="57" t="n">
        <f aca="false">IF(BT1043=1,0,ROUNDUP(AN1043/BS1043,0))</f>
        <v>1</v>
      </c>
      <c r="AP1043" s="59" t="n">
        <f aca="false">IF(CH1043&gt;0,CH1043*MAX(1,AN1043/X1043),IF(BT1043=1,IF(AN1043&lt;=0,0,BW1043*MAX(1,IF(H1043&gt;0,AN1043/H1043,1))),IF(R1043&gt;0,AO1043/R1043,0))/MAX(0.1,N(Parameter!$M$21)))</f>
        <v>0.0192307692307692</v>
      </c>
      <c r="AQ1043" s="57" t="n">
        <f aca="false">AN1043*G1043</f>
        <v>6480.83</v>
      </c>
      <c r="AR1043" s="57" t="n">
        <f aca="false">ROUNDUP(MAX(J1043/IF(BZ1043&gt;0,BZ1043,MAX(0.1,N(Cockpit!$I$6))),CC1043)/BS1043,0)*BS1043</f>
        <v>47</v>
      </c>
      <c r="AS1043" s="58" t="n">
        <f aca="false">IF(AP1043&gt;0,J1043/AP1043,-1)</f>
        <v>52</v>
      </c>
      <c r="AT1043" s="58" t="n">
        <f aca="false">IF(AND(OR(BY1043="L1",BY1043="L23"),AP1043&gt;0),SUMIFS($AP$7:$AP$1843,$BY$7:$BY$1843,BY1043,$AS$7:$AS$1843,"&gt;"&amp;AS1043)+SUMIFS($AP$7:$AP$1843,$BY$7:$BY$1843,BY1043,$AS$7:$AS$1843,AS1043,$BQ$7:$BQ$1843,"&lt;="&amp;BQ1043),"")</f>
        <v>67.4732610384784</v>
      </c>
      <c r="AU1043" s="65" t="n">
        <f aca="false">IF(AT1043="",0,MAX(0,MIN(1,(IF(BY1043="L1",Parameter!$E$5,Parameter!$E$6+Parameter!$E$7)-(AT1043-AP1043))/AP1043)))</f>
        <v>1</v>
      </c>
      <c r="AV1043" s="57" t="n">
        <f aca="false">IF(LEFT(Cockpit!$O$5,1)="A",H1043,IF(CA1043=1,CB1043,IF(LEFT(Cockpit!$O$5,1)="B",AZ1043,MAX(AZ1043,H1043))))</f>
        <v>47</v>
      </c>
      <c r="AW1043" s="57" t="n">
        <f aca="false">IF(BT1043=1,0,ROUNDUP(AV1043/BS1043,0))</f>
        <v>1</v>
      </c>
      <c r="AX1043" s="59" t="n">
        <f aca="false">IF(CH1043&gt;0,CH1043*MAX(1,AV1043/X1043),IF(BT1043=1,IF(AV1043&lt;=0,0,BW1043*MAX(1,IF(H1043&gt;0,AV1043/H1043,1))),IF(R1043&gt;0,AW1043/R1043,0))/MAX(0.1,N(Parameter!$M$21)))</f>
        <v>0.0192307692307692</v>
      </c>
      <c r="AY1043" s="57" t="n">
        <f aca="false">AV1043*G1043</f>
        <v>6480.83</v>
      </c>
      <c r="AZ1043" s="57" t="n">
        <f aca="false">ROUNDUP(MAX(J1043/IF(BZ1043&gt;0,BZ1043,MAX(0.1,N(Cockpit!$O$6))),CC1043)/BS1043,0)*BS1043</f>
        <v>47</v>
      </c>
      <c r="BA1043" s="58" t="n">
        <f aca="false">IF(AX1043&gt;0,J1043/AX1043,-1)</f>
        <v>52</v>
      </c>
      <c r="BB1043" s="58" t="n">
        <f aca="false">IF(AND(OR(BY1043="L1",BY1043="L23"),AX1043&gt;0),SUMIFS($AX$7:$AX$1843,$BY$7:$BY$1843,BY1043,$BA$7:$BA$1843,"&gt;"&amp;BA1043)+SUMIFS($AX$7:$AX$1843,$BY$7:$BY$1843,BY1043,$BA$7:$BA$1843,BA1043,$BQ$7:$BQ$1843,"&lt;="&amp;BQ1043),"")</f>
        <v>61.9697645349819</v>
      </c>
      <c r="BC1043" s="65" t="n">
        <f aca="false">IF(BB1043="",0,MAX(0,MIN(1,(IF(BY1043="L1",Parameter!$E$5,Parameter!$E$6+Parameter!$E$7)-(BB1043-AX1043))/AX1043)))</f>
        <v>1</v>
      </c>
      <c r="BD1043" s="55" t="str">
        <f aca="false">IF(AH1043&lt;=0,"",IF(BY1043="Aussen","Aussenlager",IF(BY1043="-","Nicht im Lift",IF(AM1043&gt;=1,"Lift",IF(AM1043&lt;=0,"Aussenlager","teilweise")))))</f>
        <v>Lift</v>
      </c>
      <c r="BE1043" s="55" t="str">
        <f aca="false">IF(AP1043&lt;=0,"",IF(BY1043="Aussen","Aussenlager",IF(BY1043="-","Nicht im Lift",IF(AU1043&gt;=1,"Lift",IF(AU1043&lt;=0,"Aussenlager","teilweise")))))</f>
        <v>Lift</v>
      </c>
      <c r="BF1043" s="55" t="str">
        <f aca="false">IF(AX1043&lt;=0,"",IF(BY1043="Aussen","Aussenlager",IF(BY1043="-","Nicht im Lift",IF(BC1043&gt;=1,"Lift",IF(BC1043&lt;=0,"Aussenlager","teilweise")))))</f>
        <v>Lift</v>
      </c>
      <c r="BG1043" s="55" t="str">
        <f aca="false">IF(A1043="","",IF(BP1043=1,"Neu; ","")&amp;IF(AND(BP1043=0,BK1043&lt;0),"negativer Bestand (Export "&amp;BK1043&amp;"); ","")&amp;IF(J1043&lt;=0,"Kein Verbrauch; ","")&amp;IF(CH1043&gt;0,"Lift "&amp;W1043&amp;" lt. Liftbericht (Fach "&amp;X1043&amp;" Stk); ",IF(BU1043=1,"Gebinde geschätzt ("&amp;T1043&amp;"); ",IF(BT1043=1,"Lose – Tablare geschätzt; ","")))&amp;IF(H1043&gt;AR1043,"Überbestand "&amp;ROUND(H1043-AR1043,0)&amp;" Stk / CHF "&amp;ROUND((H1043-AR1043)*G1043,0)&amp;"; ","")&amp;IF(AND(CA1043=1,CB1043&lt;CC1043),"MAX &lt; MB+LG; ","")&amp;IF(AND(CG1043&gt;0,CF1043*10&gt;CG1043),"zu hoch für Tablar; ","")&amp;IF(AND(BP1043=0,OR(CA1043=1,AA1043&lt;&gt;"",U1043&lt;&gt;"",V1043&lt;&gt;"",AB1043&lt;&gt;"")),"manuell übersteuert; ","")&amp;IF(AND(BT1043=0,R1043=0),"Gebinde unbekannt / Stellmass fehlt; ","")&amp;IF(AND(BT1043=0,N(V1043)&lt;=0,N(Q1043)&lt;=0),"Menge pro Gebinde fehlt (Ist = 1 Gebinde); ","")&amp;BO1043)</f>
        <v>negativer Bestand (Export -1); Überbestand</v>
      </c>
      <c r="BH1043" s="55"/>
      <c r="BI1043" s="55"/>
      <c r="BJ1043" s="62"/>
      <c r="BK1043" s="57" t="n">
        <v>-1</v>
      </c>
      <c r="BL1043" s="57" t="n">
        <v>23</v>
      </c>
      <c r="BM1043" s="56" t="n">
        <v>-137.89</v>
      </c>
      <c r="BN1043" s="57" t="n">
        <v>1</v>
      </c>
      <c r="BO1043" s="55" t="s">
        <v>392</v>
      </c>
      <c r="BP1043" s="60" t="n">
        <v>0</v>
      </c>
      <c r="BQ1043" s="60" t="n">
        <v>1043</v>
      </c>
      <c r="BR1043" s="55" t="str">
        <f aca="false">IF(U1043&lt;&gt;"",UPPER(TRIM(U1043)),IF(BU1043=1,UPPER(VLOOKUP(T1043,Parameter!$I$27:$K$29,2,0)),IF(P1043="","LOSE",P1043)))</f>
        <v>S41</v>
      </c>
      <c r="BS1043" s="57" t="n">
        <f aca="false">IF(BR1043="LOSE",1,IF(N(V1043)&gt;0,V1043,IF(BU1043=1,MAX(1,N(VLOOKUP(T1043,Parameter!$I$27:$K$29,3,0)),H1043,N(N1043)),IF(N(Q1043)&gt;0,Q1043,MAX(1,H1043)))))</f>
        <v>47</v>
      </c>
      <c r="BT1043" s="60" t="n">
        <f aca="false">IF(BR1043="LOSE",1,0)</f>
        <v>0</v>
      </c>
      <c r="BU1043" s="60" t="n">
        <f aca="false">IF(AND(U1043="",OR(P1043="",P1043="LOSE"),T1043&lt;&gt;"",N(S1043)&lt;=0,ISNUMBER(MATCH(T1043,Parameter!$I$27:$I$29,0))),1,0)</f>
        <v>0</v>
      </c>
      <c r="BV1043" s="55" t="str">
        <f aca="false">IF(AND(Parameter!$B$19="Ja",E1043&lt;&gt;"",ISNUMBER(MATCH(E1043,Parameter!$I$35:$I$52,0))),VLOOKUP(E1043,Parameter!$I$35:$J$52,2,0),IFERROR(VLOOKUP(D1043,Parameter!$A$35:$C$64,2,0),"Nein"))</f>
        <v>2+3</v>
      </c>
      <c r="BW1043" s="59" t="n">
        <f aca="false">IF(BT1043=0,0,IF(N(S1043)&gt;0,S1043,IFERROR(VLOOKUP(D1043,Parameter!$A$35:$C$64,3,0)+0,0)))</f>
        <v>0</v>
      </c>
      <c r="BX1043" s="55" t="n">
        <f aca="false">IF(AA1043&lt;&gt;"",AA1043,Z1043)</f>
        <v>3</v>
      </c>
      <c r="BY1043" s="55" t="str">
        <f aca="false">IF(BX1043=1,"L1",IF(OR(BX1043=2,BX1043=3),"L23",IF(BX1043="Aussen","Aussen","-")))</f>
        <v>L23</v>
      </c>
      <c r="BZ1043" s="66" t="n">
        <f aca="false">IF(N(AB1043)&gt;0,AB1043,0)</f>
        <v>0</v>
      </c>
      <c r="CA1043" s="60" t="n">
        <f aca="false">IF(ISNUMBER(AE1043),1,0)</f>
        <v>0</v>
      </c>
      <c r="CB1043" s="57" t="n">
        <f aca="false">N(AE1043)</f>
        <v>0</v>
      </c>
      <c r="CC1043" s="57" t="n">
        <f aca="false">N(M1043)+N(N1043)</f>
        <v>1</v>
      </c>
      <c r="CD1043" s="57" t="n">
        <f aca="false">ROUNDUP(H1043/BS1043,0)</f>
        <v>1</v>
      </c>
      <c r="CE1043" s="57" t="n">
        <f aca="false">ROUNDUP(CB1043/BS1043,0)</f>
        <v>0</v>
      </c>
      <c r="CF1043" s="60" t="n">
        <f aca="false">IF(BT1043=1,0,IFERROR(VLOOKUP(BR1043,'Gebinde-Kategorie'!$A$5:$M$45,5,0)+0,0))</f>
        <v>11</v>
      </c>
      <c r="CG1043" s="60" t="n">
        <f aca="false">IFERROR(IF(OR(BX1043=1,BX1043=2,BX1043=3),N(INDEX(Parameter!$I$5:$I$7,BX1043)),0),0)</f>
        <v>0</v>
      </c>
      <c r="CH1043" s="59" t="n">
        <f aca="false">IF(AND(Parameter!$B$21="Ja",ISNUMBER(W1043),N(X1043)&gt;0),IFERROR(N(INDEX(Parameter!$L$5:$L$7,W1043))*INDEX(Parameter!$E$5:$E$7,W1043)*X1043/SUMIFS($X$7:$X$1843,$W$7:$W$1843,W1043),0),0)</f>
        <v>0</v>
      </c>
    </row>
    <row r="1044" customFormat="false" ht="15" hidden="false" customHeight="false" outlineLevel="0" collapsed="false">
      <c r="A1044" s="55" t="s">
        <v>1915</v>
      </c>
      <c r="B1044" s="55" t="s">
        <v>1916</v>
      </c>
      <c r="C1044" s="55" t="s">
        <v>164</v>
      </c>
      <c r="D1044" s="55" t="s">
        <v>184</v>
      </c>
      <c r="E1044" s="55" t="s">
        <v>185</v>
      </c>
      <c r="F1044" s="55" t="s">
        <v>218</v>
      </c>
      <c r="G1044" s="56" t="n">
        <v>69.28</v>
      </c>
      <c r="H1044" s="57" t="n">
        <f aca="false">MAX(0,IF(AND(Parameter!$B$21="Ja",ISNUMBER(Y1044)),Y1044,IF(Parameter!$B$20="Jahresanfang 2025 + Export",BL1044+BK1044,BK1044)))</f>
        <v>8</v>
      </c>
      <c r="I1044" s="57" t="n">
        <f aca="false">H1044*G1044</f>
        <v>554.24</v>
      </c>
      <c r="J1044" s="57" t="n">
        <f aca="false">BN1044*Parameter!$B$18</f>
        <v>0</v>
      </c>
      <c r="K1044" s="58" t="n">
        <v>10</v>
      </c>
      <c r="L1044" s="59" t="n">
        <v>0</v>
      </c>
      <c r="M1044" s="57" t="n">
        <v>0</v>
      </c>
      <c r="N1044" s="57" t="n">
        <v>1</v>
      </c>
      <c r="O1044" s="60" t="n">
        <v>42</v>
      </c>
      <c r="P1044" s="55" t="s">
        <v>476</v>
      </c>
      <c r="Q1044" s="57" t="n">
        <v>12</v>
      </c>
      <c r="R1044" s="60" t="n">
        <f aca="false">IF(BT1044=1,0,IFERROR(VLOOKUP(BR1044,'Gebinde-Kategorie'!$A$5:$M$45,13,0)+0,0))</f>
        <v>66</v>
      </c>
      <c r="S1044" s="61"/>
      <c r="T1044" s="62"/>
      <c r="U1044" s="62"/>
      <c r="V1044" s="62"/>
      <c r="W1044" s="55"/>
      <c r="X1044" s="57"/>
      <c r="Y1044" s="57"/>
      <c r="Z1044" s="55" t="n">
        <f aca="false">IF(A1044="","",IF(AND(Parameter!$B$21="Ja",ISNUMBER(W1044)),W1044,IF(BV1044="2+3",IF(ISNUMBER(SEARCH("grosser Artikel",BO1044)),2,IFERROR(VLOOKUP(BR1044,Parameter!$F$35:$G$64,2,0),2)),IF(OR(BV1044="Nein",BV1044=""),"-",BV1044))))</f>
        <v>3</v>
      </c>
      <c r="AA1044" s="62"/>
      <c r="AB1044" s="63"/>
      <c r="AC1044" s="57" t="n">
        <f aca="false">AR1044</f>
        <v>12</v>
      </c>
      <c r="AD1044" s="57" t="n">
        <f aca="false">MAX(AR1044,H1044)</f>
        <v>12</v>
      </c>
      <c r="AE1044" s="64"/>
      <c r="AF1044" s="57" t="n">
        <f aca="false">IF(LEFT(Cockpit!$C$5,1)="A",H1044,IF(CA1044=1,CB1044,IF(LEFT(Cockpit!$C$5,1)="B",AJ1044,MAX(AJ1044,H1044))))</f>
        <v>8</v>
      </c>
      <c r="AG1044" s="57" t="n">
        <f aca="false">IF(BT1044=1,0,ROUNDUP(AF1044/BS1044,0))</f>
        <v>1</v>
      </c>
      <c r="AH1044" s="59" t="n">
        <f aca="false">IF(CH1044&gt;0,CH1044*MAX(1,AF1044/X1044),IF(BT1044=1,IF(AF1044&lt;=0,0,BW1044*MAX(1,IF(H1044&gt;0,AF1044/H1044,1))),IF(R1044&gt;0,AG1044/R1044,0))/MAX(0.1,N(Parameter!$M$21)))</f>
        <v>0.0151515151515152</v>
      </c>
      <c r="AI1044" s="57" t="n">
        <f aca="false">AF1044*G1044</f>
        <v>554.24</v>
      </c>
      <c r="AJ1044" s="57" t="n">
        <f aca="false">ROUNDUP(MAX(J1044/IF(BZ1044&gt;0,BZ1044,MAX(0.1,N(Cockpit!$C$6))),CC1044)/BS1044,0)*BS1044</f>
        <v>12</v>
      </c>
      <c r="AK1044" s="58" t="n">
        <f aca="false">IF(AH1044&gt;0,J1044/AH1044,-1)</f>
        <v>0</v>
      </c>
      <c r="AL1044" s="58" t="n">
        <f aca="false">IF(AND(OR(BY1044="L1",BY1044="L23"),AH1044&gt;0),SUMIFS($AH$7:$AH$1843,$BY$7:$BY$1843,BY1044,$AK$7:$AK$1843,"&gt;"&amp;AK1044)+SUMIFS($AH$7:$AH$1843,$BY$7:$BY$1843,BY1044,$AK$7:$AK$1843,AK1044,$BQ$7:$BQ$1843,"&lt;="&amp;BQ1044),"")</f>
        <v>79.0899631769197</v>
      </c>
      <c r="AM1044" s="65" t="n">
        <f aca="false">IF(AL1044="",0,MAX(0,MIN(1,(IF(BY1044="L1",Parameter!$E$5,Parameter!$E$6+Parameter!$E$7)-(AL1044-AH1044))/AH1044)))</f>
        <v>1</v>
      </c>
      <c r="AN1044" s="57" t="n">
        <f aca="false">IF(LEFT(Cockpit!$I$5,1)="A",H1044,IF(CA1044=1,CB1044,IF(LEFT(Cockpit!$I$5,1)="B",AR1044,MAX(AR1044,H1044))))</f>
        <v>12</v>
      </c>
      <c r="AO1044" s="57" t="n">
        <f aca="false">IF(BT1044=1,0,ROUNDUP(AN1044/BS1044,0))</f>
        <v>1</v>
      </c>
      <c r="AP1044" s="59" t="n">
        <f aca="false">IF(CH1044&gt;0,CH1044*MAX(1,AN1044/X1044),IF(BT1044=1,IF(AN1044&lt;=0,0,BW1044*MAX(1,IF(H1044&gt;0,AN1044/H1044,1))),IF(R1044&gt;0,AO1044/R1044,0))/MAX(0.1,N(Parameter!$M$21)))</f>
        <v>0.0151515151515152</v>
      </c>
      <c r="AQ1044" s="57" t="n">
        <f aca="false">AN1044*G1044</f>
        <v>831.36</v>
      </c>
      <c r="AR1044" s="57" t="n">
        <f aca="false">ROUNDUP(MAX(J1044/IF(BZ1044&gt;0,BZ1044,MAX(0.1,N(Cockpit!$I$6))),CC1044)/BS1044,0)*BS1044</f>
        <v>12</v>
      </c>
      <c r="AS1044" s="58" t="n">
        <f aca="false">IF(AP1044&gt;0,J1044/AP1044,-1)</f>
        <v>0</v>
      </c>
      <c r="AT1044" s="58" t="n">
        <f aca="false">IF(AND(OR(BY1044="L1",BY1044="L23"),AP1044&gt;0),SUMIFS($AP$7:$AP$1843,$BY$7:$BY$1843,BY1044,$AS$7:$AS$1843,"&gt;"&amp;AS1044)+SUMIFS($AP$7:$AP$1843,$BY$7:$BY$1843,BY1044,$AS$7:$AS$1843,AS1044,$BQ$7:$BQ$1843,"&lt;="&amp;BQ1044),"")</f>
        <v>120.53640079727</v>
      </c>
      <c r="AU1044" s="65" t="n">
        <f aca="false">IF(AT1044="",0,MAX(0,MIN(1,(IF(BY1044="L1",Parameter!$E$5,Parameter!$E$6+Parameter!$E$7)-(AT1044-AP1044))/AP1044)))</f>
        <v>0</v>
      </c>
      <c r="AV1044" s="57" t="n">
        <f aca="false">IF(LEFT(Cockpit!$O$5,1)="A",H1044,IF(CA1044=1,CB1044,IF(LEFT(Cockpit!$O$5,1)="B",AZ1044,MAX(AZ1044,H1044))))</f>
        <v>12</v>
      </c>
      <c r="AW1044" s="57" t="n">
        <f aca="false">IF(BT1044=1,0,ROUNDUP(AV1044/BS1044,0))</f>
        <v>1</v>
      </c>
      <c r="AX1044" s="59" t="n">
        <f aca="false">IF(CH1044&gt;0,CH1044*MAX(1,AV1044/X1044),IF(BT1044=1,IF(AV1044&lt;=0,0,BW1044*MAX(1,IF(H1044&gt;0,AV1044/H1044,1))),IF(R1044&gt;0,AW1044/R1044,0))/MAX(0.1,N(Parameter!$M$21)))</f>
        <v>0.0151515151515152</v>
      </c>
      <c r="AY1044" s="57" t="n">
        <f aca="false">AV1044*G1044</f>
        <v>831.36</v>
      </c>
      <c r="AZ1044" s="57" t="n">
        <f aca="false">ROUNDUP(MAX(J1044/IF(BZ1044&gt;0,BZ1044,MAX(0.1,N(Cockpit!$O$6))),CC1044)/BS1044,0)*BS1044</f>
        <v>12</v>
      </c>
      <c r="BA1044" s="58" t="n">
        <f aca="false">IF(AX1044&gt;0,J1044/AX1044,-1)</f>
        <v>0</v>
      </c>
      <c r="BB1044" s="58" t="n">
        <f aca="false">IF(AND(OR(BY1044="L1",BY1044="L23"),AX1044&gt;0),SUMIFS($AX$7:$AX$1843,$BY$7:$BY$1843,BY1044,$BA$7:$BA$1843,"&gt;"&amp;BA1044)+SUMIFS($AX$7:$AX$1843,$BY$7:$BY$1843,BY1044,$BA$7:$BA$1843,BA1044,$BQ$7:$BQ$1843,"&lt;="&amp;BQ1044),"")</f>
        <v>111.366237627107</v>
      </c>
      <c r="BC1044" s="65" t="n">
        <f aca="false">IF(BB1044="",0,MAX(0,MIN(1,(IF(BY1044="L1",Parameter!$E$5,Parameter!$E$6+Parameter!$E$7)-(BB1044-AX1044))/AX1044)))</f>
        <v>0</v>
      </c>
      <c r="BD1044" s="55" t="str">
        <f aca="false">IF(AH1044&lt;=0,"",IF(BY1044="Aussen","Aussenlager",IF(BY1044="-","Nicht im Lift",IF(AM1044&gt;=1,"Lift",IF(AM1044&lt;=0,"Aussenlager","teilweise")))))</f>
        <v>Lift</v>
      </c>
      <c r="BE1044" s="55" t="str">
        <f aca="false">IF(AP1044&lt;=0,"",IF(BY1044="Aussen","Aussenlager",IF(BY1044="-","Nicht im Lift",IF(AU1044&gt;=1,"Lift",IF(AU1044&lt;=0,"Aussenlager","teilweise")))))</f>
        <v>Aussenlager</v>
      </c>
      <c r="BF1044" s="55" t="str">
        <f aca="false">IF(AX1044&lt;=0,"",IF(BY1044="Aussen","Aussenlager",IF(BY1044="-","Nicht im Lift",IF(BC1044&gt;=1,"Lift",IF(BC1044&lt;=0,"Aussenlager","teilweise")))))</f>
        <v>Aussenlager</v>
      </c>
      <c r="BG1044" s="55" t="str">
        <f aca="false">IF(A1044="","",IF(BP1044=1,"Neu; ","")&amp;IF(AND(BP1044=0,BK1044&lt;0),"negativer Bestand (Export "&amp;BK1044&amp;"); ","")&amp;IF(J1044&lt;=0,"Kein Verbrauch; ","")&amp;IF(CH1044&gt;0,"Lift "&amp;W1044&amp;" lt. Liftbericht (Fach "&amp;X1044&amp;" Stk); ",IF(BU1044=1,"Gebinde geschätzt ("&amp;T1044&amp;"); ",IF(BT1044=1,"Lose – Tablare geschätzt; ","")))&amp;IF(H1044&gt;AR1044,"Überbestand "&amp;ROUND(H1044-AR1044,0)&amp;" Stk / CHF "&amp;ROUND((H1044-AR1044)*G1044,0)&amp;"; ","")&amp;IF(AND(CA1044=1,CB1044&lt;CC1044),"MAX &lt; MB+LG; ","")&amp;IF(AND(CG1044&gt;0,CF1044*10&gt;CG1044),"zu hoch für Tablar; ","")&amp;IF(AND(BP1044=0,OR(CA1044=1,AA1044&lt;&gt;"",U1044&lt;&gt;"",V1044&lt;&gt;"",AB1044&lt;&gt;"")),"manuell übersteuert; ","")&amp;IF(AND(BT1044=0,R1044=0),"Gebinde unbekannt / Stellmass fehlt; ","")&amp;IF(AND(BT1044=0,N(V1044)&lt;=0,N(Q1044)&lt;=0),"Menge pro Gebinde fehlt (Ist = 1 Gebinde); ","")&amp;BO1044)</f>
        <v>negativer Bestand (Export -2); Kein Verbrauch; </v>
      </c>
      <c r="BH1044" s="55"/>
      <c r="BI1044" s="55"/>
      <c r="BJ1044" s="62"/>
      <c r="BK1044" s="57" t="n">
        <v>-2</v>
      </c>
      <c r="BL1044" s="57" t="n">
        <v>10</v>
      </c>
      <c r="BM1044" s="56" t="n">
        <v>-138.56</v>
      </c>
      <c r="BN1044" s="57" t="n">
        <v>0</v>
      </c>
      <c r="BO1044" s="55"/>
      <c r="BP1044" s="60" t="n">
        <v>0</v>
      </c>
      <c r="BQ1044" s="60" t="n">
        <v>1044</v>
      </c>
      <c r="BR1044" s="55" t="str">
        <f aca="false">IF(U1044&lt;&gt;"",UPPER(TRIM(U1044)),IF(BU1044=1,UPPER(VLOOKUP(T1044,Parameter!$I$27:$K$29,2,0)),IF(P1044="","LOSE",P1044)))</f>
        <v>S33</v>
      </c>
      <c r="BS1044" s="57" t="n">
        <f aca="false">IF(BR1044="LOSE",1,IF(N(V1044)&gt;0,V1044,IF(BU1044=1,MAX(1,N(VLOOKUP(T1044,Parameter!$I$27:$K$29,3,0)),H1044,N(N1044)),IF(N(Q1044)&gt;0,Q1044,MAX(1,H1044)))))</f>
        <v>12</v>
      </c>
      <c r="BT1044" s="60" t="n">
        <f aca="false">IF(BR1044="LOSE",1,0)</f>
        <v>0</v>
      </c>
      <c r="BU1044" s="60" t="n">
        <f aca="false">IF(AND(U1044="",OR(P1044="",P1044="LOSE"),T1044&lt;&gt;"",N(S1044)&lt;=0,ISNUMBER(MATCH(T1044,Parameter!$I$27:$I$29,0))),1,0)</f>
        <v>0</v>
      </c>
      <c r="BV1044" s="55" t="str">
        <f aca="false">IF(AND(Parameter!$B$19="Ja",E1044&lt;&gt;"",ISNUMBER(MATCH(E1044,Parameter!$I$35:$I$52,0))),VLOOKUP(E1044,Parameter!$I$35:$J$52,2,0),IFERROR(VLOOKUP(D1044,Parameter!$A$35:$C$64,2,0),"Nein"))</f>
        <v>2+3</v>
      </c>
      <c r="BW1044" s="59" t="n">
        <f aca="false">IF(BT1044=0,0,IF(N(S1044)&gt;0,S1044,IFERROR(VLOOKUP(D1044,Parameter!$A$35:$C$64,3,0)+0,0)))</f>
        <v>0</v>
      </c>
      <c r="BX1044" s="55" t="n">
        <f aca="false">IF(AA1044&lt;&gt;"",AA1044,Z1044)</f>
        <v>3</v>
      </c>
      <c r="BY1044" s="55" t="str">
        <f aca="false">IF(BX1044=1,"L1",IF(OR(BX1044=2,BX1044=3),"L23",IF(BX1044="Aussen","Aussen","-")))</f>
        <v>L23</v>
      </c>
      <c r="BZ1044" s="66" t="n">
        <f aca="false">IF(N(AB1044)&gt;0,AB1044,0)</f>
        <v>0</v>
      </c>
      <c r="CA1044" s="60" t="n">
        <f aca="false">IF(ISNUMBER(AE1044),1,0)</f>
        <v>0</v>
      </c>
      <c r="CB1044" s="57" t="n">
        <f aca="false">N(AE1044)</f>
        <v>0</v>
      </c>
      <c r="CC1044" s="57" t="n">
        <f aca="false">N(M1044)+N(N1044)</f>
        <v>1</v>
      </c>
      <c r="CD1044" s="57" t="n">
        <f aca="false">ROUNDUP(H1044/BS1044,0)</f>
        <v>1</v>
      </c>
      <c r="CE1044" s="57" t="n">
        <f aca="false">ROUNDUP(CB1044/BS1044,0)</f>
        <v>0</v>
      </c>
      <c r="CF1044" s="60" t="n">
        <f aca="false">IF(BT1044=1,0,IFERROR(VLOOKUP(BR1044,'Gebinde-Kategorie'!$A$5:$M$45,5,0)+0,0))</f>
        <v>8</v>
      </c>
      <c r="CG1044" s="60" t="n">
        <f aca="false">IFERROR(IF(OR(BX1044=1,BX1044=2,BX1044=3),N(INDEX(Parameter!$I$5:$I$7,BX1044)),0),0)</f>
        <v>0</v>
      </c>
      <c r="CH1044" s="59" t="n">
        <f aca="false">IF(AND(Parameter!$B$21="Ja",ISNUMBER(W1044),N(X1044)&gt;0),IFERROR(N(INDEX(Parameter!$L$5:$L$7,W1044))*INDEX(Parameter!$E$5:$E$7,W1044)*X1044/SUMIFS($X$7:$X$1843,$W$7:$W$1843,W1044),0),0)</f>
        <v>0</v>
      </c>
    </row>
    <row r="1045" customFormat="false" ht="15" hidden="false" customHeight="false" outlineLevel="0" collapsed="false">
      <c r="A1045" s="55" t="s">
        <v>1917</v>
      </c>
      <c r="B1045" s="55" t="s">
        <v>1918</v>
      </c>
      <c r="C1045" s="55" t="s">
        <v>164</v>
      </c>
      <c r="D1045" s="55" t="s">
        <v>184</v>
      </c>
      <c r="E1045" s="55" t="s">
        <v>185</v>
      </c>
      <c r="F1045" s="55" t="s">
        <v>218</v>
      </c>
      <c r="G1045" s="56" t="n">
        <v>15.88</v>
      </c>
      <c r="H1045" s="57" t="n">
        <f aca="false">MAX(0,IF(AND(Parameter!$B$21="Ja",ISNUMBER(Y1045)),Y1045,IF(Parameter!$B$20="Jahresanfang 2025 + Export",BL1045+BK1045,BK1045)))</f>
        <v>9</v>
      </c>
      <c r="I1045" s="57" t="n">
        <f aca="false">H1045*G1045</f>
        <v>142.92</v>
      </c>
      <c r="J1045" s="57" t="n">
        <f aca="false">BN1045*Parameter!$B$18</f>
        <v>4</v>
      </c>
      <c r="K1045" s="58" t="n">
        <v>26</v>
      </c>
      <c r="L1045" s="59" t="n">
        <v>0.153846153846154</v>
      </c>
      <c r="M1045" s="57" t="n">
        <v>0</v>
      </c>
      <c r="N1045" s="57" t="n">
        <v>5</v>
      </c>
      <c r="O1045" s="60" t="n">
        <v>28</v>
      </c>
      <c r="P1045" s="55" t="s">
        <v>302</v>
      </c>
      <c r="Q1045" s="57" t="n">
        <v>20</v>
      </c>
      <c r="R1045" s="60" t="n">
        <f aca="false">IF(BT1045=1,0,IFERROR(VLOOKUP(BR1045,'Gebinde-Kategorie'!$A$5:$M$45,13,0)+0,0))</f>
        <v>26</v>
      </c>
      <c r="S1045" s="61"/>
      <c r="T1045" s="62"/>
      <c r="U1045" s="62"/>
      <c r="V1045" s="62"/>
      <c r="W1045" s="55"/>
      <c r="X1045" s="57"/>
      <c r="Y1045" s="57"/>
      <c r="Z1045" s="55" t="n">
        <f aca="false">IF(A1045="","",IF(AND(Parameter!$B$21="Ja",ISNUMBER(W1045)),W1045,IF(BV1045="2+3",IF(ISNUMBER(SEARCH("grosser Artikel",BO1045)),2,IFERROR(VLOOKUP(BR1045,Parameter!$F$35:$G$64,2,0),2)),IF(OR(BV1045="Nein",BV1045=""),"-",BV1045))))</f>
        <v>3</v>
      </c>
      <c r="AA1045" s="62"/>
      <c r="AB1045" s="63"/>
      <c r="AC1045" s="57" t="n">
        <f aca="false">AR1045</f>
        <v>20</v>
      </c>
      <c r="AD1045" s="57" t="n">
        <f aca="false">MAX(AR1045,H1045)</f>
        <v>20</v>
      </c>
      <c r="AE1045" s="64"/>
      <c r="AF1045" s="57" t="n">
        <f aca="false">IF(LEFT(Cockpit!$C$5,1)="A",H1045,IF(CA1045=1,CB1045,IF(LEFT(Cockpit!$C$5,1)="B",AJ1045,MAX(AJ1045,H1045))))</f>
        <v>9</v>
      </c>
      <c r="AG1045" s="57" t="n">
        <f aca="false">IF(BT1045=1,0,ROUNDUP(AF1045/BS1045,0))</f>
        <v>1</v>
      </c>
      <c r="AH1045" s="59" t="n">
        <f aca="false">IF(CH1045&gt;0,CH1045*MAX(1,AF1045/X1045),IF(BT1045=1,IF(AF1045&lt;=0,0,BW1045*MAX(1,IF(H1045&gt;0,AF1045/H1045,1))),IF(R1045&gt;0,AG1045/R1045,0))/MAX(0.1,N(Parameter!$M$21)))</f>
        <v>0.0384615384615385</v>
      </c>
      <c r="AI1045" s="57" t="n">
        <f aca="false">AF1045*G1045</f>
        <v>142.92</v>
      </c>
      <c r="AJ1045" s="57" t="n">
        <f aca="false">ROUNDUP(MAX(J1045/IF(BZ1045&gt;0,BZ1045,MAX(0.1,N(Cockpit!$C$6))),CC1045)/BS1045,0)*BS1045</f>
        <v>20</v>
      </c>
      <c r="AK1045" s="58" t="n">
        <f aca="false">IF(AH1045&gt;0,J1045/AH1045,-1)</f>
        <v>104</v>
      </c>
      <c r="AL1045" s="58" t="n">
        <f aca="false">IF(AND(OR(BY1045="L1",BY1045="L23"),AH1045&gt;0),SUMIFS($AH$7:$AH$1843,$BY$7:$BY$1843,BY1045,$AK$7:$AK$1843,"&gt;"&amp;AK1045)+SUMIFS($AH$7:$AH$1843,$BY$7:$BY$1843,BY1045,$AK$7:$AK$1843,AK1045,$BQ$7:$BQ$1843,"&lt;="&amp;BQ1045),"")</f>
        <v>38.6303334346813</v>
      </c>
      <c r="AM1045" s="65" t="n">
        <f aca="false">IF(AL1045="",0,MAX(0,MIN(1,(IF(BY1045="L1",Parameter!$E$5,Parameter!$E$6+Parameter!$E$7)-(AL1045-AH1045))/AH1045)))</f>
        <v>1</v>
      </c>
      <c r="AN1045" s="57" t="n">
        <f aca="false">IF(LEFT(Cockpit!$I$5,1)="A",H1045,IF(CA1045=1,CB1045,IF(LEFT(Cockpit!$I$5,1)="B",AR1045,MAX(AR1045,H1045))))</f>
        <v>20</v>
      </c>
      <c r="AO1045" s="57" t="n">
        <f aca="false">IF(BT1045=1,0,ROUNDUP(AN1045/BS1045,0))</f>
        <v>1</v>
      </c>
      <c r="AP1045" s="59" t="n">
        <f aca="false">IF(CH1045&gt;0,CH1045*MAX(1,AN1045/X1045),IF(BT1045=1,IF(AN1045&lt;=0,0,BW1045*MAX(1,IF(H1045&gt;0,AN1045/H1045,1))),IF(R1045&gt;0,AO1045/R1045,0))/MAX(0.1,N(Parameter!$M$21)))</f>
        <v>0.0384615384615385</v>
      </c>
      <c r="AQ1045" s="57" t="n">
        <f aca="false">AN1045*G1045</f>
        <v>317.6</v>
      </c>
      <c r="AR1045" s="57" t="n">
        <f aca="false">ROUNDUP(MAX(J1045/IF(BZ1045&gt;0,BZ1045,MAX(0.1,N(Cockpit!$I$6))),CC1045)/BS1045,0)*BS1045</f>
        <v>20</v>
      </c>
      <c r="AS1045" s="58" t="n">
        <f aca="false">IF(AP1045&gt;0,J1045/AP1045,-1)</f>
        <v>104</v>
      </c>
      <c r="AT1045" s="58" t="n">
        <f aca="false">IF(AND(OR(BY1045="L1",BY1045="L23"),AP1045&gt;0),SUMIFS($AP$7:$AP$1843,$BY$7:$BY$1843,BY1045,$AS$7:$AS$1843,"&gt;"&amp;AS1045)+SUMIFS($AP$7:$AP$1843,$BY$7:$BY$1843,BY1045,$AS$7:$AS$1843,AS1045,$BQ$7:$BQ$1843,"&lt;="&amp;BQ1045),"")</f>
        <v>56.4845275497449</v>
      </c>
      <c r="AU1045" s="65" t="n">
        <f aca="false">IF(AT1045="",0,MAX(0,MIN(1,(IF(BY1045="L1",Parameter!$E$5,Parameter!$E$6+Parameter!$E$7)-(AT1045-AP1045))/AP1045)))</f>
        <v>1</v>
      </c>
      <c r="AV1045" s="57" t="n">
        <f aca="false">IF(LEFT(Cockpit!$O$5,1)="A",H1045,IF(CA1045=1,CB1045,IF(LEFT(Cockpit!$O$5,1)="B",AZ1045,MAX(AZ1045,H1045))))</f>
        <v>20</v>
      </c>
      <c r="AW1045" s="57" t="n">
        <f aca="false">IF(BT1045=1,0,ROUNDUP(AV1045/BS1045,0))</f>
        <v>1</v>
      </c>
      <c r="AX1045" s="59" t="n">
        <f aca="false">IF(CH1045&gt;0,CH1045*MAX(1,AV1045/X1045),IF(BT1045=1,IF(AV1045&lt;=0,0,BW1045*MAX(1,IF(H1045&gt;0,AV1045/H1045,1))),IF(R1045&gt;0,AW1045/R1045,0))/MAX(0.1,N(Parameter!$M$21)))</f>
        <v>0.0384615384615385</v>
      </c>
      <c r="AY1045" s="57" t="n">
        <f aca="false">AV1045*G1045</f>
        <v>317.6</v>
      </c>
      <c r="AZ1045" s="57" t="n">
        <f aca="false">ROUNDUP(MAX(J1045/IF(BZ1045&gt;0,BZ1045,MAX(0.1,N(Cockpit!$O$6))),CC1045)/BS1045,0)*BS1045</f>
        <v>20</v>
      </c>
      <c r="BA1045" s="58" t="n">
        <f aca="false">IF(AX1045&gt;0,J1045/AX1045,-1)</f>
        <v>104</v>
      </c>
      <c r="BB1045" s="58" t="n">
        <f aca="false">IF(AND(OR(BY1045="L1",BY1045="L23"),AX1045&gt;0),SUMIFS($AX$7:$AX$1843,$BY$7:$BY$1843,BY1045,$BA$7:$BA$1843,"&gt;"&amp;BA1045)+SUMIFS($AX$7:$AX$1843,$BY$7:$BY$1843,BY1045,$BA$7:$BA$1843,BA1045,$BQ$7:$BQ$1843,"&lt;="&amp;BQ1045),"")</f>
        <v>54.3143643795818</v>
      </c>
      <c r="BC1045" s="65" t="n">
        <f aca="false">IF(BB1045="",0,MAX(0,MIN(1,(IF(BY1045="L1",Parameter!$E$5,Parameter!$E$6+Parameter!$E$7)-(BB1045-AX1045))/AX1045)))</f>
        <v>1</v>
      </c>
      <c r="BD1045" s="55" t="str">
        <f aca="false">IF(AH1045&lt;=0,"",IF(BY1045="Aussen","Aussenlager",IF(BY1045="-","Nicht im Lift",IF(AM1045&gt;=1,"Lift",IF(AM1045&lt;=0,"Aussenlager","teilweise")))))</f>
        <v>Lift</v>
      </c>
      <c r="BE1045" s="55" t="str">
        <f aca="false">IF(AP1045&lt;=0,"",IF(BY1045="Aussen","Aussenlager",IF(BY1045="-","Nicht im Lift",IF(AU1045&gt;=1,"Lift",IF(AU1045&lt;=0,"Aussenlager","teilweise")))))</f>
        <v>Lift</v>
      </c>
      <c r="BF1045" s="55" t="str">
        <f aca="false">IF(AX1045&lt;=0,"",IF(BY1045="Aussen","Aussenlager",IF(BY1045="-","Nicht im Lift",IF(BC1045&gt;=1,"Lift",IF(BC1045&lt;=0,"Aussenlager","teilweise")))))</f>
        <v>Lift</v>
      </c>
      <c r="BG1045" s="55" t="str">
        <f aca="false">IF(A1045="","",IF(BP1045=1,"Neu; ","")&amp;IF(AND(BP1045=0,BK1045&lt;0),"negativer Bestand (Export "&amp;BK1045&amp;"); ","")&amp;IF(J1045&lt;=0,"Kein Verbrauch; ","")&amp;IF(CH1045&gt;0,"Lift "&amp;W1045&amp;" lt. Liftbericht (Fach "&amp;X1045&amp;" Stk); ",IF(BU1045=1,"Gebinde geschätzt ("&amp;T1045&amp;"); ",IF(BT1045=1,"Lose – Tablare geschätzt; ","")))&amp;IF(H1045&gt;AR1045,"Überbestand "&amp;ROUND(H1045-AR1045,0)&amp;" Stk / CHF "&amp;ROUND((H1045-AR1045)*G1045,0)&amp;"; ","")&amp;IF(AND(CA1045=1,CB1045&lt;CC1045),"MAX &lt; MB+LG; ","")&amp;IF(AND(CG1045&gt;0,CF1045*10&gt;CG1045),"zu hoch für Tablar; ","")&amp;IF(AND(BP1045=0,OR(CA1045=1,AA1045&lt;&gt;"",U1045&lt;&gt;"",V1045&lt;&gt;"",AB1045&lt;&gt;"")),"manuell übersteuert; ","")&amp;IF(AND(BT1045=0,R1045=0),"Gebinde unbekannt / Stellmass fehlt; ","")&amp;IF(AND(BT1045=0,N(V1045)&lt;=0,N(Q1045)&lt;=0),"Menge pro Gebinde fehlt (Ist = 1 Gebinde); ","")&amp;BO1045)</f>
        <v>negativer Bestand (Export -9); </v>
      </c>
      <c r="BH1045" s="55"/>
      <c r="BI1045" s="55"/>
      <c r="BJ1045" s="62"/>
      <c r="BK1045" s="57" t="n">
        <v>-9</v>
      </c>
      <c r="BL1045" s="57" t="n">
        <v>18</v>
      </c>
      <c r="BM1045" s="56" t="n">
        <v>-138.78</v>
      </c>
      <c r="BN1045" s="57" t="n">
        <v>4</v>
      </c>
      <c r="BO1045" s="55"/>
      <c r="BP1045" s="60" t="n">
        <v>0</v>
      </c>
      <c r="BQ1045" s="60" t="n">
        <v>1045</v>
      </c>
      <c r="BR1045" s="55" t="str">
        <f aca="false">IF(U1045&lt;&gt;"",UPPER(TRIM(U1045)),IF(BU1045=1,UPPER(VLOOKUP(T1045,Parameter!$I$27:$K$29,2,0)),IF(P1045="","LOSE",P1045)))</f>
        <v>S51</v>
      </c>
      <c r="BS1045" s="57" t="n">
        <f aca="false">IF(BR1045="LOSE",1,IF(N(V1045)&gt;0,V1045,IF(BU1045=1,MAX(1,N(VLOOKUP(T1045,Parameter!$I$27:$K$29,3,0)),H1045,N(N1045)),IF(N(Q1045)&gt;0,Q1045,MAX(1,H1045)))))</f>
        <v>20</v>
      </c>
      <c r="BT1045" s="60" t="n">
        <f aca="false">IF(BR1045="LOSE",1,0)</f>
        <v>0</v>
      </c>
      <c r="BU1045" s="60" t="n">
        <f aca="false">IF(AND(U1045="",OR(P1045="",P1045="LOSE"),T1045&lt;&gt;"",N(S1045)&lt;=0,ISNUMBER(MATCH(T1045,Parameter!$I$27:$I$29,0))),1,0)</f>
        <v>0</v>
      </c>
      <c r="BV1045" s="55" t="str">
        <f aca="false">IF(AND(Parameter!$B$19="Ja",E1045&lt;&gt;"",ISNUMBER(MATCH(E1045,Parameter!$I$35:$I$52,0))),VLOOKUP(E1045,Parameter!$I$35:$J$52,2,0),IFERROR(VLOOKUP(D1045,Parameter!$A$35:$C$64,2,0),"Nein"))</f>
        <v>2+3</v>
      </c>
      <c r="BW1045" s="59" t="n">
        <f aca="false">IF(BT1045=0,0,IF(N(S1045)&gt;0,S1045,IFERROR(VLOOKUP(D1045,Parameter!$A$35:$C$64,3,0)+0,0)))</f>
        <v>0</v>
      </c>
      <c r="BX1045" s="55" t="n">
        <f aca="false">IF(AA1045&lt;&gt;"",AA1045,Z1045)</f>
        <v>3</v>
      </c>
      <c r="BY1045" s="55" t="str">
        <f aca="false">IF(BX1045=1,"L1",IF(OR(BX1045=2,BX1045=3),"L23",IF(BX1045="Aussen","Aussen","-")))</f>
        <v>L23</v>
      </c>
      <c r="BZ1045" s="66" t="n">
        <f aca="false">IF(N(AB1045)&gt;0,AB1045,0)</f>
        <v>0</v>
      </c>
      <c r="CA1045" s="60" t="n">
        <f aca="false">IF(ISNUMBER(AE1045),1,0)</f>
        <v>0</v>
      </c>
      <c r="CB1045" s="57" t="n">
        <f aca="false">N(AE1045)</f>
        <v>0</v>
      </c>
      <c r="CC1045" s="57" t="n">
        <f aca="false">N(M1045)+N(N1045)</f>
        <v>5</v>
      </c>
      <c r="CD1045" s="57" t="n">
        <f aca="false">ROUNDUP(H1045/BS1045,0)</f>
        <v>1</v>
      </c>
      <c r="CE1045" s="57" t="n">
        <f aca="false">ROUNDUP(CB1045/BS1045,0)</f>
        <v>0</v>
      </c>
      <c r="CF1045" s="60" t="n">
        <f aca="false">IF(BT1045=1,0,IFERROR(VLOOKUP(BR1045,'Gebinde-Kategorie'!$A$5:$M$45,5,0)+0,0))</f>
        <v>11</v>
      </c>
      <c r="CG1045" s="60" t="n">
        <f aca="false">IFERROR(IF(OR(BX1045=1,BX1045=2,BX1045=3),N(INDEX(Parameter!$I$5:$I$7,BX1045)),0),0)</f>
        <v>0</v>
      </c>
      <c r="CH1045" s="59" t="n">
        <f aca="false">IF(AND(Parameter!$B$21="Ja",ISNUMBER(W1045),N(X1045)&gt;0),IFERROR(N(INDEX(Parameter!$L$5:$L$7,W1045))*INDEX(Parameter!$E$5:$E$7,W1045)*X1045/SUMIFS($X$7:$X$1843,$W$7:$W$1843,W1045),0),0)</f>
        <v>0</v>
      </c>
    </row>
    <row r="1046" customFormat="false" ht="15" hidden="false" customHeight="false" outlineLevel="0" collapsed="false">
      <c r="A1046" s="55" t="s">
        <v>1919</v>
      </c>
      <c r="B1046" s="55" t="s">
        <v>598</v>
      </c>
      <c r="C1046" s="55" t="s">
        <v>164</v>
      </c>
      <c r="D1046" s="55" t="s">
        <v>184</v>
      </c>
      <c r="E1046" s="55" t="s">
        <v>185</v>
      </c>
      <c r="F1046" s="55" t="s">
        <v>218</v>
      </c>
      <c r="G1046" s="56" t="n">
        <v>7.91</v>
      </c>
      <c r="H1046" s="57" t="n">
        <f aca="false">MAX(0,IF(AND(Parameter!$B$21="Ja",ISNUMBER(Y1046)),Y1046,IF(Parameter!$B$20="Jahresanfang 2025 + Export",BL1046+BK1046,BK1046)))</f>
        <v>108</v>
      </c>
      <c r="I1046" s="57" t="n">
        <f aca="false">H1046*G1046</f>
        <v>854.28</v>
      </c>
      <c r="J1046" s="57" t="n">
        <f aca="false">BN1046*Parameter!$B$18</f>
        <v>380</v>
      </c>
      <c r="K1046" s="58" t="n">
        <v>133</v>
      </c>
      <c r="L1046" s="59" t="n">
        <v>2.85714285714286</v>
      </c>
      <c r="M1046" s="57" t="n">
        <v>25</v>
      </c>
      <c r="N1046" s="57" t="n">
        <v>80</v>
      </c>
      <c r="O1046" s="60" t="n">
        <v>21</v>
      </c>
      <c r="P1046" s="55" t="s">
        <v>476</v>
      </c>
      <c r="Q1046" s="57" t="n">
        <v>117</v>
      </c>
      <c r="R1046" s="60" t="n">
        <f aca="false">IF(BT1046=1,0,IFERROR(VLOOKUP(BR1046,'Gebinde-Kategorie'!$A$5:$M$45,13,0)+0,0))</f>
        <v>66</v>
      </c>
      <c r="S1046" s="61"/>
      <c r="T1046" s="62"/>
      <c r="U1046" s="62"/>
      <c r="V1046" s="62"/>
      <c r="W1046" s="55"/>
      <c r="X1046" s="57"/>
      <c r="Y1046" s="57"/>
      <c r="Z1046" s="55" t="n">
        <f aca="false">IF(A1046="","",IF(AND(Parameter!$B$21="Ja",ISNUMBER(W1046)),W1046,IF(BV1046="2+3",IF(ISNUMBER(SEARCH("grosser Artikel",BO1046)),2,IFERROR(VLOOKUP(BR1046,Parameter!$F$35:$G$64,2,0),2)),IF(OR(BV1046="Nein",BV1046=""),"-",BV1046))))</f>
        <v>3</v>
      </c>
      <c r="AA1046" s="62"/>
      <c r="AB1046" s="63"/>
      <c r="AC1046" s="57" t="n">
        <f aca="false">AR1046</f>
        <v>234</v>
      </c>
      <c r="AD1046" s="57" t="n">
        <f aca="false">MAX(AR1046,H1046)</f>
        <v>234</v>
      </c>
      <c r="AE1046" s="64"/>
      <c r="AF1046" s="57" t="n">
        <f aca="false">IF(LEFT(Cockpit!$C$5,1)="A",H1046,IF(CA1046=1,CB1046,IF(LEFT(Cockpit!$C$5,1)="B",AJ1046,MAX(AJ1046,H1046))))</f>
        <v>108</v>
      </c>
      <c r="AG1046" s="57" t="n">
        <f aca="false">IF(BT1046=1,0,ROUNDUP(AF1046/BS1046,0))</f>
        <v>1</v>
      </c>
      <c r="AH1046" s="59" t="n">
        <f aca="false">IF(CH1046&gt;0,CH1046*MAX(1,AF1046/X1046),IF(BT1046=1,IF(AF1046&lt;=0,0,BW1046*MAX(1,IF(H1046&gt;0,AF1046/H1046,1))),IF(R1046&gt;0,AG1046/R1046,0))/MAX(0.1,N(Parameter!$M$21)))</f>
        <v>0.0151515151515152</v>
      </c>
      <c r="AI1046" s="57" t="n">
        <f aca="false">AF1046*G1046</f>
        <v>854.28</v>
      </c>
      <c r="AJ1046" s="57" t="n">
        <f aca="false">ROUNDUP(MAX(J1046/IF(BZ1046&gt;0,BZ1046,MAX(0.1,N(Cockpit!$C$6))),CC1046)/BS1046,0)*BS1046</f>
        <v>234</v>
      </c>
      <c r="AK1046" s="58" t="n">
        <f aca="false">IF(AH1046&gt;0,J1046/AH1046,-1)</f>
        <v>25080</v>
      </c>
      <c r="AL1046" s="58" t="n">
        <f aca="false">IF(AND(OR(BY1046="L1",BY1046="L23"),AH1046&gt;0),SUMIFS($AH$7:$AH$1843,$BY$7:$BY$1843,BY1046,$AK$7:$AK$1843,"&gt;"&amp;AK1046)+SUMIFS($AH$7:$AH$1843,$BY$7:$BY$1843,BY1046,$AK$7:$AK$1843,AK1046,$BQ$7:$BQ$1843,"&lt;="&amp;BQ1046),"")</f>
        <v>2.934242086416</v>
      </c>
      <c r="AM1046" s="65" t="n">
        <f aca="false">IF(AL1046="",0,MAX(0,MIN(1,(IF(BY1046="L1",Parameter!$E$5,Parameter!$E$6+Parameter!$E$7)-(AL1046-AH1046))/AH1046)))</f>
        <v>1</v>
      </c>
      <c r="AN1046" s="57" t="n">
        <f aca="false">IF(LEFT(Cockpit!$I$5,1)="A",H1046,IF(CA1046=1,CB1046,IF(LEFT(Cockpit!$I$5,1)="B",AR1046,MAX(AR1046,H1046))))</f>
        <v>234</v>
      </c>
      <c r="AO1046" s="57" t="n">
        <f aca="false">IF(BT1046=1,0,ROUNDUP(AN1046/BS1046,0))</f>
        <v>2</v>
      </c>
      <c r="AP1046" s="59" t="n">
        <f aca="false">IF(CH1046&gt;0,CH1046*MAX(1,AN1046/X1046),IF(BT1046=1,IF(AN1046&lt;=0,0,BW1046*MAX(1,IF(H1046&gt;0,AN1046/H1046,1))),IF(R1046&gt;0,AO1046/R1046,0))/MAX(0.1,N(Parameter!$M$21)))</f>
        <v>0.0303030303030303</v>
      </c>
      <c r="AQ1046" s="57" t="n">
        <f aca="false">AN1046*G1046</f>
        <v>1850.94</v>
      </c>
      <c r="AR1046" s="57" t="n">
        <f aca="false">ROUNDUP(MAX(J1046/IF(BZ1046&gt;0,BZ1046,MAX(0.1,N(Cockpit!$I$6))),CC1046)/BS1046,0)*BS1046</f>
        <v>234</v>
      </c>
      <c r="AS1046" s="58" t="n">
        <f aca="false">IF(AP1046&gt;0,J1046/AP1046,-1)</f>
        <v>12540</v>
      </c>
      <c r="AT1046" s="58" t="n">
        <f aca="false">IF(AND(OR(BY1046="L1",BY1046="L23"),AP1046&gt;0),SUMIFS($AP$7:$AP$1843,$BY$7:$BY$1843,BY1046,$AS$7:$AS$1843,"&gt;"&amp;AS1046)+SUMIFS($AP$7:$AP$1843,$BY$7:$BY$1843,BY1046,$AS$7:$AS$1843,AS1046,$BQ$7:$BQ$1843,"&lt;="&amp;BQ1046),"")</f>
        <v>5.46206209249688</v>
      </c>
      <c r="AU1046" s="65" t="n">
        <f aca="false">IF(AT1046="",0,MAX(0,MIN(1,(IF(BY1046="L1",Parameter!$E$5,Parameter!$E$6+Parameter!$E$7)-(AT1046-AP1046))/AP1046)))</f>
        <v>1</v>
      </c>
      <c r="AV1046" s="57" t="n">
        <f aca="false">IF(LEFT(Cockpit!$O$5,1)="A",H1046,IF(CA1046=1,CB1046,IF(LEFT(Cockpit!$O$5,1)="B",AZ1046,MAX(AZ1046,H1046))))</f>
        <v>234</v>
      </c>
      <c r="AW1046" s="57" t="n">
        <f aca="false">IF(BT1046=1,0,ROUNDUP(AV1046/BS1046,0))</f>
        <v>2</v>
      </c>
      <c r="AX1046" s="59" t="n">
        <f aca="false">IF(CH1046&gt;0,CH1046*MAX(1,AV1046/X1046),IF(BT1046=1,IF(AV1046&lt;=0,0,BW1046*MAX(1,IF(H1046&gt;0,AV1046/H1046,1))),IF(R1046&gt;0,AW1046/R1046,0))/MAX(0.1,N(Parameter!$M$21)))</f>
        <v>0.0303030303030303</v>
      </c>
      <c r="AY1046" s="57" t="n">
        <f aca="false">AV1046*G1046</f>
        <v>1850.94</v>
      </c>
      <c r="AZ1046" s="57" t="n">
        <f aca="false">ROUNDUP(MAX(J1046/IF(BZ1046&gt;0,BZ1046,MAX(0.1,N(Cockpit!$O$6))),CC1046)/BS1046,0)*BS1046</f>
        <v>234</v>
      </c>
      <c r="BA1046" s="58" t="n">
        <f aca="false">IF(AX1046&gt;0,J1046/AX1046,-1)</f>
        <v>12540</v>
      </c>
      <c r="BB1046" s="58" t="n">
        <f aca="false">IF(AND(OR(BY1046="L1",BY1046="L23"),AX1046&gt;0),SUMIFS($AX$7:$AX$1843,$BY$7:$BY$1843,BY1046,$BA$7:$BA$1843,"&gt;"&amp;BA1046)+SUMIFS($AX$7:$AX$1843,$BY$7:$BY$1843,BY1046,$BA$7:$BA$1843,BA1046,$BQ$7:$BQ$1843,"&lt;="&amp;BQ1046),"")</f>
        <v>6.45856558900037</v>
      </c>
      <c r="BC1046" s="65" t="n">
        <f aca="false">IF(BB1046="",0,MAX(0,MIN(1,(IF(BY1046="L1",Parameter!$E$5,Parameter!$E$6+Parameter!$E$7)-(BB1046-AX1046))/AX1046)))</f>
        <v>1</v>
      </c>
      <c r="BD1046" s="55" t="str">
        <f aca="false">IF(AH1046&lt;=0,"",IF(BY1046="Aussen","Aussenlager",IF(BY1046="-","Nicht im Lift",IF(AM1046&gt;=1,"Lift",IF(AM1046&lt;=0,"Aussenlager","teilweise")))))</f>
        <v>Lift</v>
      </c>
      <c r="BE1046" s="55" t="str">
        <f aca="false">IF(AP1046&lt;=0,"",IF(BY1046="Aussen","Aussenlager",IF(BY1046="-","Nicht im Lift",IF(AU1046&gt;=1,"Lift",IF(AU1046&lt;=0,"Aussenlager","teilweise")))))</f>
        <v>Lift</v>
      </c>
      <c r="BF1046" s="55" t="str">
        <f aca="false">IF(AX1046&lt;=0,"",IF(BY1046="Aussen","Aussenlager",IF(BY1046="-","Nicht im Lift",IF(BC1046&gt;=1,"Lift",IF(BC1046&lt;=0,"Aussenlager","teilweise")))))</f>
        <v>Lift</v>
      </c>
      <c r="BG1046" s="55" t="str">
        <f aca="false">IF(A1046="","",IF(BP1046=1,"Neu; ","")&amp;IF(AND(BP1046=0,BK1046&lt;0),"negativer Bestand (Export "&amp;BK1046&amp;"); ","")&amp;IF(J1046&lt;=0,"Kein Verbrauch; ","")&amp;IF(CH1046&gt;0,"Lift "&amp;W1046&amp;" lt. Liftbericht (Fach "&amp;X1046&amp;" Stk); ",IF(BU1046=1,"Gebinde geschätzt ("&amp;T1046&amp;"); ",IF(BT1046=1,"Lose – Tablare geschätzt; ","")))&amp;IF(H1046&gt;AR1046,"Überbestand "&amp;ROUND(H1046-AR1046,0)&amp;" Stk / CHF "&amp;ROUND((H1046-AR1046)*G1046,0)&amp;"; ","")&amp;IF(AND(CA1046=1,CB1046&lt;CC1046),"MAX &lt; MB+LG; ","")&amp;IF(AND(CG1046&gt;0,CF1046*10&gt;CG1046),"zu hoch für Tablar; ","")&amp;IF(AND(BP1046=0,OR(CA1046=1,AA1046&lt;&gt;"",U1046&lt;&gt;"",V1046&lt;&gt;"",AB1046&lt;&gt;"")),"manuell übersteuert; ","")&amp;IF(AND(BT1046=0,R1046=0),"Gebinde unbekannt / Stellmass fehlt; ","")&amp;IF(AND(BT1046=0,N(V1046)&lt;=0,N(Q1046)&lt;=0),"Menge pro Gebinde fehlt (Ist = 1 Gebinde); ","")&amp;BO1046)</f>
        <v>negativer Bestand (Export -16); </v>
      </c>
      <c r="BH1046" s="55"/>
      <c r="BI1046" s="55"/>
      <c r="BJ1046" s="62"/>
      <c r="BK1046" s="57" t="n">
        <v>-16</v>
      </c>
      <c r="BL1046" s="57" t="n">
        <v>124</v>
      </c>
      <c r="BM1046" s="56" t="n">
        <v>-138.96</v>
      </c>
      <c r="BN1046" s="57" t="n">
        <v>380</v>
      </c>
      <c r="BO1046" s="55"/>
      <c r="BP1046" s="60" t="n">
        <v>0</v>
      </c>
      <c r="BQ1046" s="60" t="n">
        <v>1046</v>
      </c>
      <c r="BR1046" s="55" t="str">
        <f aca="false">IF(U1046&lt;&gt;"",UPPER(TRIM(U1046)),IF(BU1046=1,UPPER(VLOOKUP(T1046,Parameter!$I$27:$K$29,2,0)),IF(P1046="","LOSE",P1046)))</f>
        <v>S33</v>
      </c>
      <c r="BS1046" s="57" t="n">
        <f aca="false">IF(BR1046="LOSE",1,IF(N(V1046)&gt;0,V1046,IF(BU1046=1,MAX(1,N(VLOOKUP(T1046,Parameter!$I$27:$K$29,3,0)),H1046,N(N1046)),IF(N(Q1046)&gt;0,Q1046,MAX(1,H1046)))))</f>
        <v>117</v>
      </c>
      <c r="BT1046" s="60" t="n">
        <f aca="false">IF(BR1046="LOSE",1,0)</f>
        <v>0</v>
      </c>
      <c r="BU1046" s="60" t="n">
        <f aca="false">IF(AND(U1046="",OR(P1046="",P1046="LOSE"),T1046&lt;&gt;"",N(S1046)&lt;=0,ISNUMBER(MATCH(T1046,Parameter!$I$27:$I$29,0))),1,0)</f>
        <v>0</v>
      </c>
      <c r="BV1046" s="55" t="str">
        <f aca="false">IF(AND(Parameter!$B$19="Ja",E1046&lt;&gt;"",ISNUMBER(MATCH(E1046,Parameter!$I$35:$I$52,0))),VLOOKUP(E1046,Parameter!$I$35:$J$52,2,0),IFERROR(VLOOKUP(D1046,Parameter!$A$35:$C$64,2,0),"Nein"))</f>
        <v>2+3</v>
      </c>
      <c r="BW1046" s="59" t="n">
        <f aca="false">IF(BT1046=0,0,IF(N(S1046)&gt;0,S1046,IFERROR(VLOOKUP(D1046,Parameter!$A$35:$C$64,3,0)+0,0)))</f>
        <v>0</v>
      </c>
      <c r="BX1046" s="55" t="n">
        <f aca="false">IF(AA1046&lt;&gt;"",AA1046,Z1046)</f>
        <v>3</v>
      </c>
      <c r="BY1046" s="55" t="str">
        <f aca="false">IF(BX1046=1,"L1",IF(OR(BX1046=2,BX1046=3),"L23",IF(BX1046="Aussen","Aussen","-")))</f>
        <v>L23</v>
      </c>
      <c r="BZ1046" s="66" t="n">
        <f aca="false">IF(N(AB1046)&gt;0,AB1046,0)</f>
        <v>0</v>
      </c>
      <c r="CA1046" s="60" t="n">
        <f aca="false">IF(ISNUMBER(AE1046),1,0)</f>
        <v>0</v>
      </c>
      <c r="CB1046" s="57" t="n">
        <f aca="false">N(AE1046)</f>
        <v>0</v>
      </c>
      <c r="CC1046" s="57" t="n">
        <f aca="false">N(M1046)+N(N1046)</f>
        <v>105</v>
      </c>
      <c r="CD1046" s="57" t="n">
        <f aca="false">ROUNDUP(H1046/BS1046,0)</f>
        <v>1</v>
      </c>
      <c r="CE1046" s="57" t="n">
        <f aca="false">ROUNDUP(CB1046/BS1046,0)</f>
        <v>0</v>
      </c>
      <c r="CF1046" s="60" t="n">
        <f aca="false">IF(BT1046=1,0,IFERROR(VLOOKUP(BR1046,'Gebinde-Kategorie'!$A$5:$M$45,5,0)+0,0))</f>
        <v>8</v>
      </c>
      <c r="CG1046" s="60" t="n">
        <f aca="false">IFERROR(IF(OR(BX1046=1,BX1046=2,BX1046=3),N(INDEX(Parameter!$I$5:$I$7,BX1046)),0),0)</f>
        <v>0</v>
      </c>
      <c r="CH1046" s="59" t="n">
        <f aca="false">IF(AND(Parameter!$B$21="Ja",ISNUMBER(W1046),N(X1046)&gt;0),IFERROR(N(INDEX(Parameter!$L$5:$L$7,W1046))*INDEX(Parameter!$E$5:$E$7,W1046)*X1046/SUMIFS($X$7:$X$1843,$W$7:$W$1843,W1046),0),0)</f>
        <v>0</v>
      </c>
    </row>
    <row r="1047" customFormat="false" ht="15" hidden="false" customHeight="false" outlineLevel="0" collapsed="false">
      <c r="A1047" s="55" t="s">
        <v>1920</v>
      </c>
      <c r="B1047" s="55" t="s">
        <v>598</v>
      </c>
      <c r="C1047" s="55" t="s">
        <v>164</v>
      </c>
      <c r="D1047" s="55" t="s">
        <v>184</v>
      </c>
      <c r="E1047" s="55" t="s">
        <v>185</v>
      </c>
      <c r="F1047" s="55" t="s">
        <v>218</v>
      </c>
      <c r="G1047" s="56" t="n">
        <v>17.52</v>
      </c>
      <c r="H1047" s="57" t="n">
        <f aca="false">MAX(0,IF(AND(Parameter!$B$21="Ja",ISNUMBER(Y1047)),Y1047,IF(Parameter!$B$20="Jahresanfang 2025 + Export",BL1047+BK1047,BK1047)))</f>
        <v>72</v>
      </c>
      <c r="I1047" s="57" t="n">
        <f aca="false">H1047*G1047</f>
        <v>1261.44</v>
      </c>
      <c r="J1047" s="57" t="n">
        <f aca="false">BN1047*Parameter!$B$18</f>
        <v>7</v>
      </c>
      <c r="K1047" s="58" t="n">
        <v>76.5</v>
      </c>
      <c r="L1047" s="59" t="n">
        <v>0.0915032679738562</v>
      </c>
      <c r="M1047" s="57" t="n">
        <v>0</v>
      </c>
      <c r="N1047" s="57" t="n">
        <v>5</v>
      </c>
      <c r="O1047" s="60" t="n">
        <v>14</v>
      </c>
      <c r="P1047" s="55" t="s">
        <v>476</v>
      </c>
      <c r="Q1047" s="57" t="n">
        <v>202</v>
      </c>
      <c r="R1047" s="60" t="n">
        <f aca="false">IF(BT1047=1,0,IFERROR(VLOOKUP(BR1047,'Gebinde-Kategorie'!$A$5:$M$45,13,0)+0,0))</f>
        <v>66</v>
      </c>
      <c r="S1047" s="61"/>
      <c r="T1047" s="62"/>
      <c r="U1047" s="62"/>
      <c r="V1047" s="62"/>
      <c r="W1047" s="55"/>
      <c r="X1047" s="57"/>
      <c r="Y1047" s="57"/>
      <c r="Z1047" s="55" t="n">
        <f aca="false">IF(A1047="","",IF(AND(Parameter!$B$21="Ja",ISNUMBER(W1047)),W1047,IF(BV1047="2+3",IF(ISNUMBER(SEARCH("grosser Artikel",BO1047)),2,IFERROR(VLOOKUP(BR1047,Parameter!$F$35:$G$64,2,0),2)),IF(OR(BV1047="Nein",BV1047=""),"-",BV1047))))</f>
        <v>3</v>
      </c>
      <c r="AA1047" s="62"/>
      <c r="AB1047" s="63"/>
      <c r="AC1047" s="57" t="n">
        <f aca="false">AR1047</f>
        <v>202</v>
      </c>
      <c r="AD1047" s="57" t="n">
        <f aca="false">MAX(AR1047,H1047)</f>
        <v>202</v>
      </c>
      <c r="AE1047" s="64"/>
      <c r="AF1047" s="57" t="n">
        <f aca="false">IF(LEFT(Cockpit!$C$5,1)="A",H1047,IF(CA1047=1,CB1047,IF(LEFT(Cockpit!$C$5,1)="B",AJ1047,MAX(AJ1047,H1047))))</f>
        <v>72</v>
      </c>
      <c r="AG1047" s="57" t="n">
        <f aca="false">IF(BT1047=1,0,ROUNDUP(AF1047/BS1047,0))</f>
        <v>1</v>
      </c>
      <c r="AH1047" s="59" t="n">
        <f aca="false">IF(CH1047&gt;0,CH1047*MAX(1,AF1047/X1047),IF(BT1047=1,IF(AF1047&lt;=0,0,BW1047*MAX(1,IF(H1047&gt;0,AF1047/H1047,1))),IF(R1047&gt;0,AG1047/R1047,0))/MAX(0.1,N(Parameter!$M$21)))</f>
        <v>0.0151515151515152</v>
      </c>
      <c r="AI1047" s="57" t="n">
        <f aca="false">AF1047*G1047</f>
        <v>1261.44</v>
      </c>
      <c r="AJ1047" s="57" t="n">
        <f aca="false">ROUNDUP(MAX(J1047/IF(BZ1047&gt;0,BZ1047,MAX(0.1,N(Cockpit!$C$6))),CC1047)/BS1047,0)*BS1047</f>
        <v>202</v>
      </c>
      <c r="AK1047" s="58" t="n">
        <f aca="false">IF(AH1047&gt;0,J1047/AH1047,-1)</f>
        <v>462</v>
      </c>
      <c r="AL1047" s="58" t="n">
        <f aca="false">IF(AND(OR(BY1047="L1",BY1047="L23"),AH1047&gt;0),SUMIFS($AH$7:$AH$1843,$BY$7:$BY$1843,BY1047,$AK$7:$AK$1843,"&gt;"&amp;AK1047)+SUMIFS($AH$7:$AH$1843,$BY$7:$BY$1843,BY1047,$AK$7:$AK$1843,AK1047,$BQ$7:$BQ$1843,"&lt;="&amp;BQ1047),"")</f>
        <v>24.6101398601399</v>
      </c>
      <c r="AM1047" s="65" t="n">
        <f aca="false">IF(AL1047="",0,MAX(0,MIN(1,(IF(BY1047="L1",Parameter!$E$5,Parameter!$E$6+Parameter!$E$7)-(AL1047-AH1047))/AH1047)))</f>
        <v>1</v>
      </c>
      <c r="AN1047" s="57" t="n">
        <f aca="false">IF(LEFT(Cockpit!$I$5,1)="A",H1047,IF(CA1047=1,CB1047,IF(LEFT(Cockpit!$I$5,1)="B",AR1047,MAX(AR1047,H1047))))</f>
        <v>202</v>
      </c>
      <c r="AO1047" s="57" t="n">
        <f aca="false">IF(BT1047=1,0,ROUNDUP(AN1047/BS1047,0))</f>
        <v>1</v>
      </c>
      <c r="AP1047" s="59" t="n">
        <f aca="false">IF(CH1047&gt;0,CH1047*MAX(1,AN1047/X1047),IF(BT1047=1,IF(AN1047&lt;=0,0,BW1047*MAX(1,IF(H1047&gt;0,AN1047/H1047,1))),IF(R1047&gt;0,AO1047/R1047,0))/MAX(0.1,N(Parameter!$M$21)))</f>
        <v>0.0151515151515152</v>
      </c>
      <c r="AQ1047" s="57" t="n">
        <f aca="false">AN1047*G1047</f>
        <v>3539.04</v>
      </c>
      <c r="AR1047" s="57" t="n">
        <f aca="false">ROUNDUP(MAX(J1047/IF(BZ1047&gt;0,BZ1047,MAX(0.1,N(Cockpit!$I$6))),CC1047)/BS1047,0)*BS1047</f>
        <v>202</v>
      </c>
      <c r="AS1047" s="58" t="n">
        <f aca="false">IF(AP1047&gt;0,J1047/AP1047,-1)</f>
        <v>462</v>
      </c>
      <c r="AT1047" s="58" t="n">
        <f aca="false">IF(AND(OR(BY1047="L1",BY1047="L23"),AP1047&gt;0),SUMIFS($AP$7:$AP$1843,$BY$7:$BY$1843,BY1047,$AS$7:$AS$1843,"&gt;"&amp;AS1047)+SUMIFS($AP$7:$AP$1843,$BY$7:$BY$1843,BY1047,$AS$7:$AS$1843,AS1047,$BQ$7:$BQ$1843,"&lt;="&amp;BQ1047),"")</f>
        <v>33.8834414377893</v>
      </c>
      <c r="AU1047" s="65" t="n">
        <f aca="false">IF(AT1047="",0,MAX(0,MIN(1,(IF(BY1047="L1",Parameter!$E$5,Parameter!$E$6+Parameter!$E$7)-(AT1047-AP1047))/AP1047)))</f>
        <v>1</v>
      </c>
      <c r="AV1047" s="57" t="n">
        <f aca="false">IF(LEFT(Cockpit!$O$5,1)="A",H1047,IF(CA1047=1,CB1047,IF(LEFT(Cockpit!$O$5,1)="B",AZ1047,MAX(AZ1047,H1047))))</f>
        <v>202</v>
      </c>
      <c r="AW1047" s="57" t="n">
        <f aca="false">IF(BT1047=1,0,ROUNDUP(AV1047/BS1047,0))</f>
        <v>1</v>
      </c>
      <c r="AX1047" s="59" t="n">
        <f aca="false">IF(CH1047&gt;0,CH1047*MAX(1,AV1047/X1047),IF(BT1047=1,IF(AV1047&lt;=0,0,BW1047*MAX(1,IF(H1047&gt;0,AV1047/H1047,1))),IF(R1047&gt;0,AW1047/R1047,0))/MAX(0.1,N(Parameter!$M$21)))</f>
        <v>0.0151515151515152</v>
      </c>
      <c r="AY1047" s="57" t="n">
        <f aca="false">AV1047*G1047</f>
        <v>3539.04</v>
      </c>
      <c r="AZ1047" s="57" t="n">
        <f aca="false">ROUNDUP(MAX(J1047/IF(BZ1047&gt;0,BZ1047,MAX(0.1,N(Cockpit!$O$6))),CC1047)/BS1047,0)*BS1047</f>
        <v>202</v>
      </c>
      <c r="BA1047" s="58" t="n">
        <f aca="false">IF(AX1047&gt;0,J1047/AX1047,-1)</f>
        <v>462</v>
      </c>
      <c r="BB1047" s="58" t="n">
        <f aca="false">IF(AND(OR(BY1047="L1",BY1047="L23"),AX1047&gt;0),SUMIFS($AX$7:$AX$1843,$BY$7:$BY$1843,BY1047,$BA$7:$BA$1843,"&gt;"&amp;BA1047)+SUMIFS($AX$7:$AX$1843,$BY$7:$BY$1843,BY1047,$BA$7:$BA$1843,BA1047,$BQ$7:$BQ$1843,"&lt;="&amp;BQ1047),"")</f>
        <v>32.7837910881389</v>
      </c>
      <c r="BC1047" s="65" t="n">
        <f aca="false">IF(BB1047="",0,MAX(0,MIN(1,(IF(BY1047="L1",Parameter!$E$5,Parameter!$E$6+Parameter!$E$7)-(BB1047-AX1047))/AX1047)))</f>
        <v>1</v>
      </c>
      <c r="BD1047" s="55" t="str">
        <f aca="false">IF(AH1047&lt;=0,"",IF(BY1047="Aussen","Aussenlager",IF(BY1047="-","Nicht im Lift",IF(AM1047&gt;=1,"Lift",IF(AM1047&lt;=0,"Aussenlager","teilweise")))))</f>
        <v>Lift</v>
      </c>
      <c r="BE1047" s="55" t="str">
        <f aca="false">IF(AP1047&lt;=0,"",IF(BY1047="Aussen","Aussenlager",IF(BY1047="-","Nicht im Lift",IF(AU1047&gt;=1,"Lift",IF(AU1047&lt;=0,"Aussenlager","teilweise")))))</f>
        <v>Lift</v>
      </c>
      <c r="BF1047" s="55" t="str">
        <f aca="false">IF(AX1047&lt;=0,"",IF(BY1047="Aussen","Aussenlager",IF(BY1047="-","Nicht im Lift",IF(BC1047&gt;=1,"Lift",IF(BC1047&lt;=0,"Aussenlager","teilweise")))))</f>
        <v>Lift</v>
      </c>
      <c r="BG1047" s="55" t="str">
        <f aca="false">IF(A1047="","",IF(BP1047=1,"Neu; ","")&amp;IF(AND(BP1047=0,BK1047&lt;0),"negativer Bestand (Export "&amp;BK1047&amp;"); ","")&amp;IF(J1047&lt;=0,"Kein Verbrauch; ","")&amp;IF(CH1047&gt;0,"Lift "&amp;W1047&amp;" lt. Liftbericht (Fach "&amp;X1047&amp;" Stk); ",IF(BU1047=1,"Gebinde geschätzt ("&amp;T1047&amp;"); ",IF(BT1047=1,"Lose – Tablare geschätzt; ","")))&amp;IF(H1047&gt;AR1047,"Überbestand "&amp;ROUND(H1047-AR1047,0)&amp;" Stk / CHF "&amp;ROUND((H1047-AR1047)*G1047,0)&amp;"; ","")&amp;IF(AND(CA1047=1,CB1047&lt;CC1047),"MAX &lt; MB+LG; ","")&amp;IF(AND(CG1047&gt;0,CF1047*10&gt;CG1047),"zu hoch für Tablar; ","")&amp;IF(AND(BP1047=0,OR(CA1047=1,AA1047&lt;&gt;"",U1047&lt;&gt;"",V1047&lt;&gt;"",AB1047&lt;&gt;"")),"manuell übersteuert; ","")&amp;IF(AND(BT1047=0,R1047=0),"Gebinde unbekannt / Stellmass fehlt; ","")&amp;IF(AND(BT1047=0,N(V1047)&lt;=0,N(Q1047)&lt;=0),"Menge pro Gebinde fehlt (Ist = 1 Gebinde); ","")&amp;BO1047)</f>
        <v>negativer Bestand (Export -8); Überbestand</v>
      </c>
      <c r="BH1047" s="55"/>
      <c r="BI1047" s="55"/>
      <c r="BJ1047" s="62"/>
      <c r="BK1047" s="57" t="n">
        <v>-8</v>
      </c>
      <c r="BL1047" s="57" t="n">
        <v>80</v>
      </c>
      <c r="BM1047" s="56" t="n">
        <v>-140.16</v>
      </c>
      <c r="BN1047" s="57" t="n">
        <v>7</v>
      </c>
      <c r="BO1047" s="55" t="s">
        <v>392</v>
      </c>
      <c r="BP1047" s="60" t="n">
        <v>0</v>
      </c>
      <c r="BQ1047" s="60" t="n">
        <v>1047</v>
      </c>
      <c r="BR1047" s="55" t="str">
        <f aca="false">IF(U1047&lt;&gt;"",UPPER(TRIM(U1047)),IF(BU1047=1,UPPER(VLOOKUP(T1047,Parameter!$I$27:$K$29,2,0)),IF(P1047="","LOSE",P1047)))</f>
        <v>S33</v>
      </c>
      <c r="BS1047" s="57" t="n">
        <f aca="false">IF(BR1047="LOSE",1,IF(N(V1047)&gt;0,V1047,IF(BU1047=1,MAX(1,N(VLOOKUP(T1047,Parameter!$I$27:$K$29,3,0)),H1047,N(N1047)),IF(N(Q1047)&gt;0,Q1047,MAX(1,H1047)))))</f>
        <v>202</v>
      </c>
      <c r="BT1047" s="60" t="n">
        <f aca="false">IF(BR1047="LOSE",1,0)</f>
        <v>0</v>
      </c>
      <c r="BU1047" s="60" t="n">
        <f aca="false">IF(AND(U1047="",OR(P1047="",P1047="LOSE"),T1047&lt;&gt;"",N(S1047)&lt;=0,ISNUMBER(MATCH(T1047,Parameter!$I$27:$I$29,0))),1,0)</f>
        <v>0</v>
      </c>
      <c r="BV1047" s="55" t="str">
        <f aca="false">IF(AND(Parameter!$B$19="Ja",E1047&lt;&gt;"",ISNUMBER(MATCH(E1047,Parameter!$I$35:$I$52,0))),VLOOKUP(E1047,Parameter!$I$35:$J$52,2,0),IFERROR(VLOOKUP(D1047,Parameter!$A$35:$C$64,2,0),"Nein"))</f>
        <v>2+3</v>
      </c>
      <c r="BW1047" s="59" t="n">
        <f aca="false">IF(BT1047=0,0,IF(N(S1047)&gt;0,S1047,IFERROR(VLOOKUP(D1047,Parameter!$A$35:$C$64,3,0)+0,0)))</f>
        <v>0</v>
      </c>
      <c r="BX1047" s="55" t="n">
        <f aca="false">IF(AA1047&lt;&gt;"",AA1047,Z1047)</f>
        <v>3</v>
      </c>
      <c r="BY1047" s="55" t="str">
        <f aca="false">IF(BX1047=1,"L1",IF(OR(BX1047=2,BX1047=3),"L23",IF(BX1047="Aussen","Aussen","-")))</f>
        <v>L23</v>
      </c>
      <c r="BZ1047" s="66" t="n">
        <f aca="false">IF(N(AB1047)&gt;0,AB1047,0)</f>
        <v>0</v>
      </c>
      <c r="CA1047" s="60" t="n">
        <f aca="false">IF(ISNUMBER(AE1047),1,0)</f>
        <v>0</v>
      </c>
      <c r="CB1047" s="57" t="n">
        <f aca="false">N(AE1047)</f>
        <v>0</v>
      </c>
      <c r="CC1047" s="57" t="n">
        <f aca="false">N(M1047)+N(N1047)</f>
        <v>5</v>
      </c>
      <c r="CD1047" s="57" t="n">
        <f aca="false">ROUNDUP(H1047/BS1047,0)</f>
        <v>1</v>
      </c>
      <c r="CE1047" s="57" t="n">
        <f aca="false">ROUNDUP(CB1047/BS1047,0)</f>
        <v>0</v>
      </c>
      <c r="CF1047" s="60" t="n">
        <f aca="false">IF(BT1047=1,0,IFERROR(VLOOKUP(BR1047,'Gebinde-Kategorie'!$A$5:$M$45,5,0)+0,0))</f>
        <v>8</v>
      </c>
      <c r="CG1047" s="60" t="n">
        <f aca="false">IFERROR(IF(OR(BX1047=1,BX1047=2,BX1047=3),N(INDEX(Parameter!$I$5:$I$7,BX1047)),0),0)</f>
        <v>0</v>
      </c>
      <c r="CH1047" s="59" t="n">
        <f aca="false">IF(AND(Parameter!$B$21="Ja",ISNUMBER(W1047),N(X1047)&gt;0),IFERROR(N(INDEX(Parameter!$L$5:$L$7,W1047))*INDEX(Parameter!$E$5:$E$7,W1047)*X1047/SUMIFS($X$7:$X$1843,$W$7:$W$1843,W1047),0),0)</f>
        <v>0</v>
      </c>
    </row>
    <row r="1048" customFormat="false" ht="15" hidden="false" customHeight="false" outlineLevel="0" collapsed="false">
      <c r="A1048" s="55" t="s">
        <v>1921</v>
      </c>
      <c r="B1048" s="55" t="s">
        <v>1586</v>
      </c>
      <c r="C1048" s="55" t="s">
        <v>164</v>
      </c>
      <c r="D1048" s="55" t="s">
        <v>184</v>
      </c>
      <c r="E1048" s="55" t="s">
        <v>185</v>
      </c>
      <c r="F1048" s="55" t="s">
        <v>218</v>
      </c>
      <c r="G1048" s="56" t="n">
        <v>0.83</v>
      </c>
      <c r="H1048" s="57" t="n">
        <f aca="false">MAX(0,IF(AND(Parameter!$B$21="Ja",ISNUMBER(Y1048)),Y1048,IF(Parameter!$B$20="Jahresanfang 2025 + Export",BL1048+BK1048,BK1048)))</f>
        <v>0</v>
      </c>
      <c r="I1048" s="57" t="n">
        <f aca="false">H1048*G1048</f>
        <v>0</v>
      </c>
      <c r="J1048" s="57" t="n">
        <f aca="false">BN1048*Parameter!$B$18</f>
        <v>0</v>
      </c>
      <c r="K1048" s="58" t="n">
        <v>38.5</v>
      </c>
      <c r="L1048" s="59" t="n">
        <v>0</v>
      </c>
      <c r="M1048" s="57" t="n">
        <v>0</v>
      </c>
      <c r="N1048" s="57" t="n">
        <v>1</v>
      </c>
      <c r="O1048" s="60" t="n">
        <v>21</v>
      </c>
      <c r="P1048" s="55" t="s">
        <v>421</v>
      </c>
      <c r="Q1048" s="57" t="n">
        <v>54</v>
      </c>
      <c r="R1048" s="60" t="n">
        <f aca="false">IF(BT1048=1,0,IFERROR(VLOOKUP(BR1048,'Gebinde-Kategorie'!$A$5:$M$45,13,0)+0,0))</f>
        <v>132</v>
      </c>
      <c r="S1048" s="61"/>
      <c r="T1048" s="62"/>
      <c r="U1048" s="62"/>
      <c r="V1048" s="62"/>
      <c r="W1048" s="55"/>
      <c r="X1048" s="57"/>
      <c r="Y1048" s="57"/>
      <c r="Z1048" s="55" t="n">
        <f aca="false">IF(A1048="","",IF(AND(Parameter!$B$21="Ja",ISNUMBER(W1048)),W1048,IF(BV1048="2+3",IF(ISNUMBER(SEARCH("grosser Artikel",BO1048)),2,IFERROR(VLOOKUP(BR1048,Parameter!$F$35:$G$64,2,0),2)),IF(OR(BV1048="Nein",BV1048=""),"-",BV1048))))</f>
        <v>3</v>
      </c>
      <c r="AA1048" s="62"/>
      <c r="AB1048" s="63"/>
      <c r="AC1048" s="57" t="n">
        <f aca="false">AR1048</f>
        <v>54</v>
      </c>
      <c r="AD1048" s="57" t="n">
        <f aca="false">MAX(AR1048,H1048)</f>
        <v>54</v>
      </c>
      <c r="AE1048" s="64"/>
      <c r="AF1048" s="57" t="n">
        <f aca="false">IF(LEFT(Cockpit!$C$5,1)="A",H1048,IF(CA1048=1,CB1048,IF(LEFT(Cockpit!$C$5,1)="B",AJ1048,MAX(AJ1048,H1048))))</f>
        <v>0</v>
      </c>
      <c r="AG1048" s="57" t="n">
        <f aca="false">IF(BT1048=1,0,ROUNDUP(AF1048/BS1048,0))</f>
        <v>0</v>
      </c>
      <c r="AH1048" s="59" t="n">
        <f aca="false">IF(CH1048&gt;0,CH1048*MAX(1,AF1048/X1048),IF(BT1048=1,IF(AF1048&lt;=0,0,BW1048*MAX(1,IF(H1048&gt;0,AF1048/H1048,1))),IF(R1048&gt;0,AG1048/R1048,0))/MAX(0.1,N(Parameter!$M$21)))</f>
        <v>0</v>
      </c>
      <c r="AI1048" s="57" t="n">
        <f aca="false">AF1048*G1048</f>
        <v>0</v>
      </c>
      <c r="AJ1048" s="57" t="n">
        <f aca="false">ROUNDUP(MAX(J1048/IF(BZ1048&gt;0,BZ1048,MAX(0.1,N(Cockpit!$C$6))),CC1048)/BS1048,0)*BS1048</f>
        <v>54</v>
      </c>
      <c r="AK1048" s="58" t="n">
        <f aca="false">IF(AH1048&gt;0,J1048/AH1048,-1)</f>
        <v>-1</v>
      </c>
      <c r="AL1048" s="58" t="str">
        <f aca="false">IF(AND(OR(BY1048="L1",BY1048="L23"),AH1048&gt;0),SUMIFS($AH$7:$AH$1843,$BY$7:$BY$1843,BY1048,$AK$7:$AK$1843,"&gt;"&amp;AK1048)+SUMIFS($AH$7:$AH$1843,$BY$7:$BY$1843,BY1048,$AK$7:$AK$1843,AK1048,$BQ$7:$BQ$1843,"&lt;="&amp;BQ1048),"")</f>
        <v/>
      </c>
      <c r="AM1048" s="65" t="n">
        <f aca="false">IF(AL1048="",0,MAX(0,MIN(1,(IF(BY1048="L1",Parameter!$E$5,Parameter!$E$6+Parameter!$E$7)-(AL1048-AH1048))/AH1048)))</f>
        <v>0</v>
      </c>
      <c r="AN1048" s="57" t="n">
        <f aca="false">IF(LEFT(Cockpit!$I$5,1)="A",H1048,IF(CA1048=1,CB1048,IF(LEFT(Cockpit!$I$5,1)="B",AR1048,MAX(AR1048,H1048))))</f>
        <v>54</v>
      </c>
      <c r="AO1048" s="57" t="n">
        <f aca="false">IF(BT1048=1,0,ROUNDUP(AN1048/BS1048,0))</f>
        <v>1</v>
      </c>
      <c r="AP1048" s="59" t="n">
        <f aca="false">IF(CH1048&gt;0,CH1048*MAX(1,AN1048/X1048),IF(BT1048=1,IF(AN1048&lt;=0,0,BW1048*MAX(1,IF(H1048&gt;0,AN1048/H1048,1))),IF(R1048&gt;0,AO1048/R1048,0))/MAX(0.1,N(Parameter!$M$21)))</f>
        <v>0.00757575757575758</v>
      </c>
      <c r="AQ1048" s="57" t="n">
        <f aca="false">AN1048*G1048</f>
        <v>44.82</v>
      </c>
      <c r="AR1048" s="57" t="n">
        <f aca="false">ROUNDUP(MAX(J1048/IF(BZ1048&gt;0,BZ1048,MAX(0.1,N(Cockpit!$I$6))),CC1048)/BS1048,0)*BS1048</f>
        <v>54</v>
      </c>
      <c r="AS1048" s="58" t="n">
        <f aca="false">IF(AP1048&gt;0,J1048/AP1048,-1)</f>
        <v>0</v>
      </c>
      <c r="AT1048" s="58" t="n">
        <f aca="false">IF(AND(OR(BY1048="L1",BY1048="L23"),AP1048&gt;0),SUMIFS($AP$7:$AP$1843,$BY$7:$BY$1843,BY1048,$AS$7:$AS$1843,"&gt;"&amp;AS1048)+SUMIFS($AP$7:$AP$1843,$BY$7:$BY$1843,BY1048,$AS$7:$AS$1843,AS1048,$BQ$7:$BQ$1843,"&lt;="&amp;BQ1048),"")</f>
        <v>120.543976554846</v>
      </c>
      <c r="AU1048" s="65" t="n">
        <f aca="false">IF(AT1048="",0,MAX(0,MIN(1,(IF(BY1048="L1",Parameter!$E$5,Parameter!$E$6+Parameter!$E$7)-(AT1048-AP1048))/AP1048)))</f>
        <v>0</v>
      </c>
      <c r="AV1048" s="57" t="n">
        <f aca="false">IF(LEFT(Cockpit!$O$5,1)="A",H1048,IF(CA1048=1,CB1048,IF(LEFT(Cockpit!$O$5,1)="B",AZ1048,MAX(AZ1048,H1048))))</f>
        <v>54</v>
      </c>
      <c r="AW1048" s="57" t="n">
        <f aca="false">IF(BT1048=1,0,ROUNDUP(AV1048/BS1048,0))</f>
        <v>1</v>
      </c>
      <c r="AX1048" s="59" t="n">
        <f aca="false">IF(CH1048&gt;0,CH1048*MAX(1,AV1048/X1048),IF(BT1048=1,IF(AV1048&lt;=0,0,BW1048*MAX(1,IF(H1048&gt;0,AV1048/H1048,1))),IF(R1048&gt;0,AW1048/R1048,0))/MAX(0.1,N(Parameter!$M$21)))</f>
        <v>0.00757575757575758</v>
      </c>
      <c r="AY1048" s="57" t="n">
        <f aca="false">AV1048*G1048</f>
        <v>44.82</v>
      </c>
      <c r="AZ1048" s="57" t="n">
        <f aca="false">ROUNDUP(MAX(J1048/IF(BZ1048&gt;0,BZ1048,MAX(0.1,N(Cockpit!$O$6))),CC1048)/BS1048,0)*BS1048</f>
        <v>54</v>
      </c>
      <c r="BA1048" s="58" t="n">
        <f aca="false">IF(AX1048&gt;0,J1048/AX1048,-1)</f>
        <v>0</v>
      </c>
      <c r="BB1048" s="58" t="n">
        <f aca="false">IF(AND(OR(BY1048="L1",BY1048="L23"),AX1048&gt;0),SUMIFS($AX$7:$AX$1843,$BY$7:$BY$1843,BY1048,$BA$7:$BA$1843,"&gt;"&amp;BA1048)+SUMIFS($AX$7:$AX$1843,$BY$7:$BY$1843,BY1048,$BA$7:$BA$1843,BA1048,$BQ$7:$BQ$1843,"&lt;="&amp;BQ1048),"")</f>
        <v>111.373813384683</v>
      </c>
      <c r="BC1048" s="65" t="n">
        <f aca="false">IF(BB1048="",0,MAX(0,MIN(1,(IF(BY1048="L1",Parameter!$E$5,Parameter!$E$6+Parameter!$E$7)-(BB1048-AX1048))/AX1048)))</f>
        <v>0</v>
      </c>
      <c r="BD1048" s="55" t="str">
        <f aca="false">IF(AH1048&lt;=0,"",IF(BY1048="Aussen","Aussenlager",IF(BY1048="-","Nicht im Lift",IF(AM1048&gt;=1,"Lift",IF(AM1048&lt;=0,"Aussenlager","teilweise")))))</f>
        <v/>
      </c>
      <c r="BE1048" s="55" t="str">
        <f aca="false">IF(AP1048&lt;=0,"",IF(BY1048="Aussen","Aussenlager",IF(BY1048="-","Nicht im Lift",IF(AU1048&gt;=1,"Lift",IF(AU1048&lt;=0,"Aussenlager","teilweise")))))</f>
        <v>Aussenlager</v>
      </c>
      <c r="BF1048" s="55" t="str">
        <f aca="false">IF(AX1048&lt;=0,"",IF(BY1048="Aussen","Aussenlager",IF(BY1048="-","Nicht im Lift",IF(BC1048&gt;=1,"Lift",IF(BC1048&lt;=0,"Aussenlager","teilweise")))))</f>
        <v>Aussenlager</v>
      </c>
      <c r="BG1048" s="55" t="str">
        <f aca="false">IF(A1048="","",IF(BP1048=1,"Neu; ","")&amp;IF(AND(BP1048=0,BK1048&lt;0),"negativer Bestand (Export "&amp;BK1048&amp;"); ","")&amp;IF(J1048&lt;=0,"Kein Verbrauch; ","")&amp;IF(CH1048&gt;0,"Lift "&amp;W1048&amp;" lt. Liftbericht (Fach "&amp;X1048&amp;" Stk); ",IF(BU1048=1,"Gebinde geschätzt ("&amp;T1048&amp;"); ",IF(BT1048=1,"Lose – Tablare geschätzt; ","")))&amp;IF(H1048&gt;AR1048,"Überbestand "&amp;ROUND(H1048-AR1048,0)&amp;" Stk / CHF "&amp;ROUND((H1048-AR1048)*G1048,0)&amp;"; ","")&amp;IF(AND(CA1048=1,CB1048&lt;CC1048),"MAX &lt; MB+LG; ","")&amp;IF(AND(CG1048&gt;0,CF1048*10&gt;CG1048),"zu hoch für Tablar; ","")&amp;IF(AND(BP1048=0,OR(CA1048=1,AA1048&lt;&gt;"",U1048&lt;&gt;"",V1048&lt;&gt;"",AB1048&lt;&gt;"")),"manuell übersteuert; ","")&amp;IF(AND(BT1048=0,R1048=0),"Gebinde unbekannt / Stellmass fehlt; ","")&amp;IF(AND(BT1048=0,N(V1048)&lt;=0,N(Q1048)&lt;=0),"Menge pro Gebinde fehlt (Ist = 1 Gebinde); ","")&amp;BO1048)</f>
        <v>negativer Bestand (Export -47); Kein Verbrauch; Überbestand</v>
      </c>
      <c r="BH1048" s="55"/>
      <c r="BI1048" s="55"/>
      <c r="BJ1048" s="62"/>
      <c r="BK1048" s="57" t="n">
        <v>-47</v>
      </c>
      <c r="BL1048" s="57" t="n">
        <v>47</v>
      </c>
      <c r="BM1048" s="56" t="n">
        <v>-142.41</v>
      </c>
      <c r="BN1048" s="57" t="n">
        <v>0</v>
      </c>
      <c r="BO1048" s="55" t="s">
        <v>392</v>
      </c>
      <c r="BP1048" s="60" t="n">
        <v>0</v>
      </c>
      <c r="BQ1048" s="60" t="n">
        <v>1048</v>
      </c>
      <c r="BR1048" s="55" t="str">
        <f aca="false">IF(U1048&lt;&gt;"",UPPER(TRIM(U1048)),IF(BU1048=1,UPPER(VLOOKUP(T1048,Parameter!$I$27:$K$29,2,0)),IF(P1048="","LOSE",P1048)))</f>
        <v>S32</v>
      </c>
      <c r="BS1048" s="57" t="n">
        <f aca="false">IF(BR1048="LOSE",1,IF(N(V1048)&gt;0,V1048,IF(BU1048=1,MAX(1,N(VLOOKUP(T1048,Parameter!$I$27:$K$29,3,0)),H1048,N(N1048)),IF(N(Q1048)&gt;0,Q1048,MAX(1,H1048)))))</f>
        <v>54</v>
      </c>
      <c r="BT1048" s="60" t="n">
        <f aca="false">IF(BR1048="LOSE",1,0)</f>
        <v>0</v>
      </c>
      <c r="BU1048" s="60" t="n">
        <f aca="false">IF(AND(U1048="",OR(P1048="",P1048="LOSE"),T1048&lt;&gt;"",N(S1048)&lt;=0,ISNUMBER(MATCH(T1048,Parameter!$I$27:$I$29,0))),1,0)</f>
        <v>0</v>
      </c>
      <c r="BV1048" s="55" t="str">
        <f aca="false">IF(AND(Parameter!$B$19="Ja",E1048&lt;&gt;"",ISNUMBER(MATCH(E1048,Parameter!$I$35:$I$52,0))),VLOOKUP(E1048,Parameter!$I$35:$J$52,2,0),IFERROR(VLOOKUP(D1048,Parameter!$A$35:$C$64,2,0),"Nein"))</f>
        <v>2+3</v>
      </c>
      <c r="BW1048" s="59" t="n">
        <f aca="false">IF(BT1048=0,0,IF(N(S1048)&gt;0,S1048,IFERROR(VLOOKUP(D1048,Parameter!$A$35:$C$64,3,0)+0,0)))</f>
        <v>0</v>
      </c>
      <c r="BX1048" s="55" t="n">
        <f aca="false">IF(AA1048&lt;&gt;"",AA1048,Z1048)</f>
        <v>3</v>
      </c>
      <c r="BY1048" s="55" t="str">
        <f aca="false">IF(BX1048=1,"L1",IF(OR(BX1048=2,BX1048=3),"L23",IF(BX1048="Aussen","Aussen","-")))</f>
        <v>L23</v>
      </c>
      <c r="BZ1048" s="66" t="n">
        <f aca="false">IF(N(AB1048)&gt;0,AB1048,0)</f>
        <v>0</v>
      </c>
      <c r="CA1048" s="60" t="n">
        <f aca="false">IF(ISNUMBER(AE1048),1,0)</f>
        <v>0</v>
      </c>
      <c r="CB1048" s="57" t="n">
        <f aca="false">N(AE1048)</f>
        <v>0</v>
      </c>
      <c r="CC1048" s="57" t="n">
        <f aca="false">N(M1048)+N(N1048)</f>
        <v>1</v>
      </c>
      <c r="CD1048" s="57" t="n">
        <f aca="false">ROUNDUP(H1048/BS1048,0)</f>
        <v>0</v>
      </c>
      <c r="CE1048" s="57" t="n">
        <f aca="false">ROUNDUP(CB1048/BS1048,0)</f>
        <v>0</v>
      </c>
      <c r="CF1048" s="60" t="n">
        <f aca="false">IF(BT1048=1,0,IFERROR(VLOOKUP(BR1048,'Gebinde-Kategorie'!$A$5:$M$45,5,0)+0,0))</f>
        <v>8</v>
      </c>
      <c r="CG1048" s="60" t="n">
        <f aca="false">IFERROR(IF(OR(BX1048=1,BX1048=2,BX1048=3),N(INDEX(Parameter!$I$5:$I$7,BX1048)),0),0)</f>
        <v>0</v>
      </c>
      <c r="CH1048" s="59" t="n">
        <f aca="false">IF(AND(Parameter!$B$21="Ja",ISNUMBER(W1048),N(X1048)&gt;0),IFERROR(N(INDEX(Parameter!$L$5:$L$7,W1048))*INDEX(Parameter!$E$5:$E$7,W1048)*X1048/SUMIFS($X$7:$X$1843,$W$7:$W$1843,W1048),0),0)</f>
        <v>0</v>
      </c>
    </row>
    <row r="1049" customFormat="false" ht="15" hidden="false" customHeight="false" outlineLevel="0" collapsed="false">
      <c r="A1049" s="55" t="s">
        <v>1922</v>
      </c>
      <c r="B1049" s="55" t="s">
        <v>1803</v>
      </c>
      <c r="C1049" s="55" t="s">
        <v>164</v>
      </c>
      <c r="D1049" s="55" t="s">
        <v>184</v>
      </c>
      <c r="E1049" s="55" t="s">
        <v>185</v>
      </c>
      <c r="F1049" s="55" t="s">
        <v>218</v>
      </c>
      <c r="G1049" s="56" t="n">
        <v>59.9</v>
      </c>
      <c r="H1049" s="57" t="n">
        <f aca="false">MAX(0,IF(AND(Parameter!$B$21="Ja",ISNUMBER(Y1049)),Y1049,IF(Parameter!$B$20="Jahresanfang 2025 + Export",BL1049+BK1049,BK1049)))</f>
        <v>15</v>
      </c>
      <c r="I1049" s="57" t="n">
        <f aca="false">H1049*G1049</f>
        <v>898.5</v>
      </c>
      <c r="J1049" s="57" t="n">
        <f aca="false">BN1049*Parameter!$B$18</f>
        <v>33</v>
      </c>
      <c r="K1049" s="58" t="n">
        <v>21</v>
      </c>
      <c r="L1049" s="59" t="n">
        <v>1.57142857142857</v>
      </c>
      <c r="M1049" s="57" t="n">
        <v>3</v>
      </c>
      <c r="N1049" s="57" t="n">
        <v>35</v>
      </c>
      <c r="O1049" s="60" t="n">
        <v>35</v>
      </c>
      <c r="P1049" s="55" t="s">
        <v>293</v>
      </c>
      <c r="Q1049" s="57" t="n">
        <v>95</v>
      </c>
      <c r="R1049" s="60" t="n">
        <f aca="false">IF(BT1049=1,0,IFERROR(VLOOKUP(BR1049,'Gebinde-Kategorie'!$A$5:$M$45,13,0)+0,0))</f>
        <v>12</v>
      </c>
      <c r="S1049" s="61"/>
      <c r="T1049" s="62"/>
      <c r="U1049" s="62"/>
      <c r="V1049" s="62"/>
      <c r="W1049" s="55"/>
      <c r="X1049" s="57"/>
      <c r="Y1049" s="57"/>
      <c r="Z1049" s="55" t="n">
        <f aca="false">IF(A1049="","",IF(AND(Parameter!$B$21="Ja",ISNUMBER(W1049)),W1049,IF(BV1049="2+3",IF(ISNUMBER(SEARCH("grosser Artikel",BO1049)),2,IFERROR(VLOOKUP(BR1049,Parameter!$F$35:$G$64,2,0),2)),IF(OR(BV1049="Nein",BV1049=""),"-",BV1049))))</f>
        <v>2</v>
      </c>
      <c r="AA1049" s="62"/>
      <c r="AB1049" s="63"/>
      <c r="AC1049" s="57" t="n">
        <f aca="false">AR1049</f>
        <v>95</v>
      </c>
      <c r="AD1049" s="57" t="n">
        <f aca="false">MAX(AR1049,H1049)</f>
        <v>95</v>
      </c>
      <c r="AE1049" s="64"/>
      <c r="AF1049" s="57" t="n">
        <f aca="false">IF(LEFT(Cockpit!$C$5,1)="A",H1049,IF(CA1049=1,CB1049,IF(LEFT(Cockpit!$C$5,1)="B",AJ1049,MAX(AJ1049,H1049))))</f>
        <v>15</v>
      </c>
      <c r="AG1049" s="57" t="n">
        <f aca="false">IF(BT1049=1,0,ROUNDUP(AF1049/BS1049,0))</f>
        <v>1</v>
      </c>
      <c r="AH1049" s="59" t="n">
        <f aca="false">IF(CH1049&gt;0,CH1049*MAX(1,AF1049/X1049),IF(BT1049=1,IF(AF1049&lt;=0,0,BW1049*MAX(1,IF(H1049&gt;0,AF1049/H1049,1))),IF(R1049&gt;0,AG1049/R1049,0))/MAX(0.1,N(Parameter!$M$21)))</f>
        <v>0.0833333333333333</v>
      </c>
      <c r="AI1049" s="57" t="n">
        <f aca="false">AF1049*G1049</f>
        <v>898.5</v>
      </c>
      <c r="AJ1049" s="57" t="n">
        <f aca="false">ROUNDUP(MAX(J1049/IF(BZ1049&gt;0,BZ1049,MAX(0.1,N(Cockpit!$C$6))),CC1049)/BS1049,0)*BS1049</f>
        <v>95</v>
      </c>
      <c r="AK1049" s="58" t="n">
        <f aca="false">IF(AH1049&gt;0,J1049/AH1049,-1)</f>
        <v>396</v>
      </c>
      <c r="AL1049" s="58" t="n">
        <f aca="false">IF(AND(OR(BY1049="L1",BY1049="L23"),AH1049&gt;0),SUMIFS($AH$7:$AH$1843,$BY$7:$BY$1843,BY1049,$AK$7:$AK$1843,"&gt;"&amp;AK1049)+SUMIFS($AH$7:$AH$1843,$BY$7:$BY$1843,BY1049,$AK$7:$AK$1843,AK1049,$BQ$7:$BQ$1843,"&lt;="&amp;BQ1049),"")</f>
        <v>26.0717712239451</v>
      </c>
      <c r="AM1049" s="65" t="n">
        <f aca="false">IF(AL1049="",0,MAX(0,MIN(1,(IF(BY1049="L1",Parameter!$E$5,Parameter!$E$6+Parameter!$E$7)-(AL1049-AH1049))/AH1049)))</f>
        <v>1</v>
      </c>
      <c r="AN1049" s="57" t="n">
        <f aca="false">IF(LEFT(Cockpit!$I$5,1)="A",H1049,IF(CA1049=1,CB1049,IF(LEFT(Cockpit!$I$5,1)="B",AR1049,MAX(AR1049,H1049))))</f>
        <v>95</v>
      </c>
      <c r="AO1049" s="57" t="n">
        <f aca="false">IF(BT1049=1,0,ROUNDUP(AN1049/BS1049,0))</f>
        <v>1</v>
      </c>
      <c r="AP1049" s="59" t="n">
        <f aca="false">IF(CH1049&gt;0,CH1049*MAX(1,AN1049/X1049),IF(BT1049=1,IF(AN1049&lt;=0,0,BW1049*MAX(1,IF(H1049&gt;0,AN1049/H1049,1))),IF(R1049&gt;0,AO1049/R1049,0))/MAX(0.1,N(Parameter!$M$21)))</f>
        <v>0.0833333333333333</v>
      </c>
      <c r="AQ1049" s="57" t="n">
        <f aca="false">AN1049*G1049</f>
        <v>5690.5</v>
      </c>
      <c r="AR1049" s="57" t="n">
        <f aca="false">ROUNDUP(MAX(J1049/IF(BZ1049&gt;0,BZ1049,MAX(0.1,N(Cockpit!$I$6))),CC1049)/BS1049,0)*BS1049</f>
        <v>95</v>
      </c>
      <c r="AS1049" s="58" t="n">
        <f aca="false">IF(AP1049&gt;0,J1049/AP1049,-1)</f>
        <v>396</v>
      </c>
      <c r="AT1049" s="58" t="n">
        <f aca="false">IF(AND(OR(BY1049="L1",BY1049="L23"),AP1049&gt;0),SUMIFS($AP$7:$AP$1843,$BY$7:$BY$1843,BY1049,$AS$7:$AS$1843,"&gt;"&amp;AS1049)+SUMIFS($AP$7:$AP$1843,$BY$7:$BY$1843,BY1049,$AS$7:$AS$1843,AS1049,$BQ$7:$BQ$1843,"&lt;="&amp;BQ1049),"")</f>
        <v>35.5151261781697</v>
      </c>
      <c r="AU1049" s="65" t="n">
        <f aca="false">IF(AT1049="",0,MAX(0,MIN(1,(IF(BY1049="L1",Parameter!$E$5,Parameter!$E$6+Parameter!$E$7)-(AT1049-AP1049))/AP1049)))</f>
        <v>1</v>
      </c>
      <c r="AV1049" s="57" t="n">
        <f aca="false">IF(LEFT(Cockpit!$O$5,1)="A",H1049,IF(CA1049=1,CB1049,IF(LEFT(Cockpit!$O$5,1)="B",AZ1049,MAX(AZ1049,H1049))))</f>
        <v>95</v>
      </c>
      <c r="AW1049" s="57" t="n">
        <f aca="false">IF(BT1049=1,0,ROUNDUP(AV1049/BS1049,0))</f>
        <v>1</v>
      </c>
      <c r="AX1049" s="59" t="n">
        <f aca="false">IF(CH1049&gt;0,CH1049*MAX(1,AV1049/X1049),IF(BT1049=1,IF(AV1049&lt;=0,0,BW1049*MAX(1,IF(H1049&gt;0,AV1049/H1049,1))),IF(R1049&gt;0,AW1049/R1049,0))/MAX(0.1,N(Parameter!$M$21)))</f>
        <v>0.0833333333333333</v>
      </c>
      <c r="AY1049" s="57" t="n">
        <f aca="false">AV1049*G1049</f>
        <v>5690.5</v>
      </c>
      <c r="AZ1049" s="57" t="n">
        <f aca="false">ROUNDUP(MAX(J1049/IF(BZ1049&gt;0,BZ1049,MAX(0.1,N(Cockpit!$O$6))),CC1049)/BS1049,0)*BS1049</f>
        <v>95</v>
      </c>
      <c r="BA1049" s="58" t="n">
        <f aca="false">IF(AX1049&gt;0,J1049/AX1049,-1)</f>
        <v>396</v>
      </c>
      <c r="BB1049" s="58" t="n">
        <f aca="false">IF(AND(OR(BY1049="L1",BY1049="L23"),AX1049&gt;0),SUMIFS($AX$7:$AX$1843,$BY$7:$BY$1843,BY1049,$BA$7:$BA$1843,"&gt;"&amp;BA1049)+SUMIFS($AX$7:$AX$1843,$BY$7:$BY$1843,BY1049,$BA$7:$BA$1843,BA1049,$BQ$7:$BQ$1843,"&lt;="&amp;BQ1049),"")</f>
        <v>34.7616296746732</v>
      </c>
      <c r="BC1049" s="65" t="n">
        <f aca="false">IF(BB1049="",0,MAX(0,MIN(1,(IF(BY1049="L1",Parameter!$E$5,Parameter!$E$6+Parameter!$E$7)-(BB1049-AX1049))/AX1049)))</f>
        <v>1</v>
      </c>
      <c r="BD1049" s="55" t="str">
        <f aca="false">IF(AH1049&lt;=0,"",IF(BY1049="Aussen","Aussenlager",IF(BY1049="-","Nicht im Lift",IF(AM1049&gt;=1,"Lift",IF(AM1049&lt;=0,"Aussenlager","teilweise")))))</f>
        <v>Lift</v>
      </c>
      <c r="BE1049" s="55" t="str">
        <f aca="false">IF(AP1049&lt;=0,"",IF(BY1049="Aussen","Aussenlager",IF(BY1049="-","Nicht im Lift",IF(AU1049&gt;=1,"Lift",IF(AU1049&lt;=0,"Aussenlager","teilweise")))))</f>
        <v>Lift</v>
      </c>
      <c r="BF1049" s="55" t="str">
        <f aca="false">IF(AX1049&lt;=0,"",IF(BY1049="Aussen","Aussenlager",IF(BY1049="-","Nicht im Lift",IF(BC1049&gt;=1,"Lift",IF(BC1049&lt;=0,"Aussenlager","teilweise")))))</f>
        <v>Lift</v>
      </c>
      <c r="BG1049" s="55" t="str">
        <f aca="false">IF(A1049="","",IF(BP1049=1,"Neu; ","")&amp;IF(AND(BP1049=0,BK1049&lt;0),"negativer Bestand (Export "&amp;BK1049&amp;"); ","")&amp;IF(J1049&lt;=0,"Kein Verbrauch; ","")&amp;IF(CH1049&gt;0,"Lift "&amp;W1049&amp;" lt. Liftbericht (Fach "&amp;X1049&amp;" Stk); ",IF(BU1049=1,"Gebinde geschätzt ("&amp;T1049&amp;"); ",IF(BT1049=1,"Lose – Tablare geschätzt; ","")))&amp;IF(H1049&gt;AR1049,"Überbestand "&amp;ROUND(H1049-AR1049,0)&amp;" Stk / CHF "&amp;ROUND((H1049-AR1049)*G1049,0)&amp;"; ","")&amp;IF(AND(CA1049=1,CB1049&lt;CC1049),"MAX &lt; MB+LG; ","")&amp;IF(AND(CG1049&gt;0,CF1049*10&gt;CG1049),"zu hoch für Tablar; ","")&amp;IF(AND(BP1049=0,OR(CA1049=1,AA1049&lt;&gt;"",U1049&lt;&gt;"",V1049&lt;&gt;"",AB1049&lt;&gt;"")),"manuell übersteuert; ","")&amp;IF(AND(BT1049=0,R1049=0),"Gebinde unbekannt / Stellmass fehlt; ","")&amp;IF(AND(BT1049=0,N(V1049)&lt;=0,N(Q1049)&lt;=0),"Menge pro Gebinde fehlt (Ist = 1 Gebinde); ","")&amp;BO1049)</f>
        <v>negativer Bestand (Export -3); </v>
      </c>
      <c r="BH1049" s="55"/>
      <c r="BI1049" s="55"/>
      <c r="BJ1049" s="62"/>
      <c r="BK1049" s="57" t="n">
        <v>-3</v>
      </c>
      <c r="BL1049" s="57" t="n">
        <v>18</v>
      </c>
      <c r="BM1049" s="56" t="n">
        <v>-142.44</v>
      </c>
      <c r="BN1049" s="57" t="n">
        <v>33</v>
      </c>
      <c r="BO1049" s="55"/>
      <c r="BP1049" s="60" t="n">
        <v>0</v>
      </c>
      <c r="BQ1049" s="60" t="n">
        <v>1049</v>
      </c>
      <c r="BR1049" s="55" t="str">
        <f aca="false">IF(U1049&lt;&gt;"",UPPER(TRIM(U1049)),IF(BU1049=1,UPPER(VLOOKUP(T1049,Parameter!$I$27:$K$29,2,0)),IF(P1049="","LOSE",P1049)))</f>
        <v>S62</v>
      </c>
      <c r="BS1049" s="57" t="n">
        <f aca="false">IF(BR1049="LOSE",1,IF(N(V1049)&gt;0,V1049,IF(BU1049=1,MAX(1,N(VLOOKUP(T1049,Parameter!$I$27:$K$29,3,0)),H1049,N(N1049)),IF(N(Q1049)&gt;0,Q1049,MAX(1,H1049)))))</f>
        <v>95</v>
      </c>
      <c r="BT1049" s="60" t="n">
        <f aca="false">IF(BR1049="LOSE",1,0)</f>
        <v>0</v>
      </c>
      <c r="BU1049" s="60" t="n">
        <f aca="false">IF(AND(U1049="",OR(P1049="",P1049="LOSE"),T1049&lt;&gt;"",N(S1049)&lt;=0,ISNUMBER(MATCH(T1049,Parameter!$I$27:$I$29,0))),1,0)</f>
        <v>0</v>
      </c>
      <c r="BV1049" s="55" t="str">
        <f aca="false">IF(AND(Parameter!$B$19="Ja",E1049&lt;&gt;"",ISNUMBER(MATCH(E1049,Parameter!$I$35:$I$52,0))),VLOOKUP(E1049,Parameter!$I$35:$J$52,2,0),IFERROR(VLOOKUP(D1049,Parameter!$A$35:$C$64,2,0),"Nein"))</f>
        <v>2+3</v>
      </c>
      <c r="BW1049" s="59" t="n">
        <f aca="false">IF(BT1049=0,0,IF(N(S1049)&gt;0,S1049,IFERROR(VLOOKUP(D1049,Parameter!$A$35:$C$64,3,0)+0,0)))</f>
        <v>0</v>
      </c>
      <c r="BX1049" s="55" t="n">
        <f aca="false">IF(AA1049&lt;&gt;"",AA1049,Z1049)</f>
        <v>2</v>
      </c>
      <c r="BY1049" s="55" t="str">
        <f aca="false">IF(BX1049=1,"L1",IF(OR(BX1049=2,BX1049=3),"L23",IF(BX1049="Aussen","Aussen","-")))</f>
        <v>L23</v>
      </c>
      <c r="BZ1049" s="66" t="n">
        <f aca="false">IF(N(AB1049)&gt;0,AB1049,0)</f>
        <v>0</v>
      </c>
      <c r="CA1049" s="60" t="n">
        <f aca="false">IF(ISNUMBER(AE1049),1,0)</f>
        <v>0</v>
      </c>
      <c r="CB1049" s="57" t="n">
        <f aca="false">N(AE1049)</f>
        <v>0</v>
      </c>
      <c r="CC1049" s="57" t="n">
        <f aca="false">N(M1049)+N(N1049)</f>
        <v>38</v>
      </c>
      <c r="CD1049" s="57" t="n">
        <f aca="false">ROUNDUP(H1049/BS1049,0)</f>
        <v>1</v>
      </c>
      <c r="CE1049" s="57" t="n">
        <f aca="false">ROUNDUP(CB1049/BS1049,0)</f>
        <v>0</v>
      </c>
      <c r="CF1049" s="60" t="n">
        <f aca="false">IF(BT1049=1,0,IFERROR(VLOOKUP(BR1049,'Gebinde-Kategorie'!$A$5:$M$45,5,0)+0,0))</f>
        <v>21</v>
      </c>
      <c r="CG1049" s="60" t="n">
        <f aca="false">IFERROR(IF(OR(BX1049=1,BX1049=2,BX1049=3),N(INDEX(Parameter!$I$5:$I$7,BX1049)),0),0)</f>
        <v>0</v>
      </c>
      <c r="CH1049" s="59" t="n">
        <f aca="false">IF(AND(Parameter!$B$21="Ja",ISNUMBER(W1049),N(X1049)&gt;0),IFERROR(N(INDEX(Parameter!$L$5:$L$7,W1049))*INDEX(Parameter!$E$5:$E$7,W1049)*X1049/SUMIFS($X$7:$X$1843,$W$7:$W$1843,W1049),0),0)</f>
        <v>0</v>
      </c>
    </row>
    <row r="1050" customFormat="false" ht="15" hidden="false" customHeight="false" outlineLevel="0" collapsed="false">
      <c r="A1050" s="55" t="s">
        <v>1923</v>
      </c>
      <c r="B1050" s="55" t="s">
        <v>367</v>
      </c>
      <c r="C1050" s="55" t="s">
        <v>456</v>
      </c>
      <c r="D1050" s="55" t="s">
        <v>184</v>
      </c>
      <c r="E1050" s="55"/>
      <c r="F1050" s="55" t="s">
        <v>218</v>
      </c>
      <c r="G1050" s="56" t="n">
        <v>14.31</v>
      </c>
      <c r="H1050" s="57" t="n">
        <f aca="false">MAX(0,IF(AND(Parameter!$B$21="Ja",ISNUMBER(Y1050)),Y1050,IF(Parameter!$B$20="Jahresanfang 2025 + Export",BL1050+BK1050,BK1050)))</f>
        <v>0</v>
      </c>
      <c r="I1050" s="57" t="n">
        <f aca="false">H1050*G1050</f>
        <v>0</v>
      </c>
      <c r="J1050" s="57" t="n">
        <f aca="false">BN1050*Parameter!$B$18</f>
        <v>10</v>
      </c>
      <c r="K1050" s="58" t="n">
        <v>5</v>
      </c>
      <c r="L1050" s="59" t="n">
        <v>2</v>
      </c>
      <c r="M1050" s="57" t="n">
        <v>0</v>
      </c>
      <c r="N1050" s="57" t="n">
        <v>10</v>
      </c>
      <c r="O1050" s="60" t="n">
        <v>28</v>
      </c>
      <c r="P1050" s="55" t="s">
        <v>168</v>
      </c>
      <c r="Q1050" s="57"/>
      <c r="R1050" s="60" t="n">
        <f aca="false">IF(BT1050=1,0,IFERROR(VLOOKUP(BR1050,'Gebinde-Kategorie'!$A$5:$M$45,13,0)+0,0))</f>
        <v>3</v>
      </c>
      <c r="S1050" s="61"/>
      <c r="T1050" s="62" t="s">
        <v>189</v>
      </c>
      <c r="U1050" s="62"/>
      <c r="V1050" s="62"/>
      <c r="W1050" s="55"/>
      <c r="X1050" s="57"/>
      <c r="Y1050" s="57"/>
      <c r="Z1050" s="55" t="n">
        <f aca="false">IF(A1050="","",IF(AND(Parameter!$B$21="Ja",ISNUMBER(W1050)),W1050,IF(BV1050="2+3",IF(ISNUMBER(SEARCH("grosser Artikel",BO1050)),2,IFERROR(VLOOKUP(BR1050,Parameter!$F$35:$G$64,2,0),2)),IF(OR(BV1050="Nein",BV1050=""),"-",BV1050))))</f>
        <v>2</v>
      </c>
      <c r="AA1050" s="62"/>
      <c r="AB1050" s="63"/>
      <c r="AC1050" s="57" t="n">
        <f aca="false">AR1050</f>
        <v>10</v>
      </c>
      <c r="AD1050" s="57" t="n">
        <f aca="false">MAX(AR1050,H1050)</f>
        <v>10</v>
      </c>
      <c r="AE1050" s="64"/>
      <c r="AF1050" s="57" t="n">
        <f aca="false">IF(LEFT(Cockpit!$C$5,1)="A",H1050,IF(CA1050=1,CB1050,IF(LEFT(Cockpit!$C$5,1)="B",AJ1050,MAX(AJ1050,H1050))))</f>
        <v>0</v>
      </c>
      <c r="AG1050" s="57" t="n">
        <f aca="false">IF(BT1050=1,0,ROUNDUP(AF1050/BS1050,0))</f>
        <v>0</v>
      </c>
      <c r="AH1050" s="59" t="n">
        <f aca="false">IF(CH1050&gt;0,CH1050*MAX(1,AF1050/X1050),IF(BT1050=1,IF(AF1050&lt;=0,0,BW1050*MAX(1,IF(H1050&gt;0,AF1050/H1050,1))),IF(R1050&gt;0,AG1050/R1050,0))/MAX(0.1,N(Parameter!$M$21)))</f>
        <v>0</v>
      </c>
      <c r="AI1050" s="57" t="n">
        <f aca="false">AF1050*G1050</f>
        <v>0</v>
      </c>
      <c r="AJ1050" s="57" t="n">
        <f aca="false">ROUNDUP(MAX(J1050/IF(BZ1050&gt;0,BZ1050,MAX(0.1,N(Cockpit!$C$6))),CC1050)/BS1050,0)*BS1050</f>
        <v>10</v>
      </c>
      <c r="AK1050" s="58" t="n">
        <f aca="false">IF(AH1050&gt;0,J1050/AH1050,-1)</f>
        <v>-1</v>
      </c>
      <c r="AL1050" s="58" t="str">
        <f aca="false">IF(AND(OR(BY1050="L1",BY1050="L23"),AH1050&gt;0),SUMIFS($AH$7:$AH$1843,$BY$7:$BY$1843,BY1050,$AK$7:$AK$1843,"&gt;"&amp;AK1050)+SUMIFS($AH$7:$AH$1843,$BY$7:$BY$1843,BY1050,$AK$7:$AK$1843,AK1050,$BQ$7:$BQ$1843,"&lt;="&amp;BQ1050),"")</f>
        <v/>
      </c>
      <c r="AM1050" s="65" t="n">
        <f aca="false">IF(AL1050="",0,MAX(0,MIN(1,(IF(BY1050="L1",Parameter!$E$5,Parameter!$E$6+Parameter!$E$7)-(AL1050-AH1050))/AH1050)))</f>
        <v>0</v>
      </c>
      <c r="AN1050" s="57" t="n">
        <f aca="false">IF(LEFT(Cockpit!$I$5,1)="A",H1050,IF(CA1050=1,CB1050,IF(LEFT(Cockpit!$I$5,1)="B",AR1050,MAX(AR1050,H1050))))</f>
        <v>10</v>
      </c>
      <c r="AO1050" s="57" t="n">
        <f aca="false">IF(BT1050=1,0,ROUNDUP(AN1050/BS1050,0))</f>
        <v>1</v>
      </c>
      <c r="AP1050" s="59" t="n">
        <f aca="false">IF(CH1050&gt;0,CH1050*MAX(1,AN1050/X1050),IF(BT1050=1,IF(AN1050&lt;=0,0,BW1050*MAX(1,IF(H1050&gt;0,AN1050/H1050,1))),IF(R1050&gt;0,AO1050/R1050,0))/MAX(0.1,N(Parameter!$M$21)))</f>
        <v>0.333333333333333</v>
      </c>
      <c r="AQ1050" s="57" t="n">
        <f aca="false">AN1050*G1050</f>
        <v>143.1</v>
      </c>
      <c r="AR1050" s="57" t="n">
        <f aca="false">ROUNDUP(MAX(J1050/IF(BZ1050&gt;0,BZ1050,MAX(0.1,N(Cockpit!$I$6))),CC1050)/BS1050,0)*BS1050</f>
        <v>10</v>
      </c>
      <c r="AS1050" s="58" t="n">
        <f aca="false">IF(AP1050&gt;0,J1050/AP1050,-1)</f>
        <v>30</v>
      </c>
      <c r="AT1050" s="58" t="n">
        <f aca="false">IF(AND(OR(BY1050="L1",BY1050="L23"),AP1050&gt;0),SUMIFS($AP$7:$AP$1843,$BY$7:$BY$1843,BY1050,$AS$7:$AS$1843,"&gt;"&amp;AS1050)+SUMIFS($AP$7:$AP$1843,$BY$7:$BY$1843,BY1050,$AS$7:$AS$1843,AS1050,$BQ$7:$BQ$1843,"&lt;="&amp;BQ1050),"")</f>
        <v>72.8264078916253</v>
      </c>
      <c r="AU1050" s="65" t="n">
        <f aca="false">IF(AT1050="",0,MAX(0,MIN(1,(IF(BY1050="L1",Parameter!$E$5,Parameter!$E$6+Parameter!$E$7)-(AT1050-AP1050))/AP1050)))</f>
        <v>1</v>
      </c>
      <c r="AV1050" s="57" t="n">
        <f aca="false">IF(LEFT(Cockpit!$O$5,1)="A",H1050,IF(CA1050=1,CB1050,IF(LEFT(Cockpit!$O$5,1)="B",AZ1050,MAX(AZ1050,H1050))))</f>
        <v>10</v>
      </c>
      <c r="AW1050" s="57" t="n">
        <f aca="false">IF(BT1050=1,0,ROUNDUP(AV1050/BS1050,0))</f>
        <v>1</v>
      </c>
      <c r="AX1050" s="59" t="n">
        <f aca="false">IF(CH1050&gt;0,CH1050*MAX(1,AV1050/X1050),IF(BT1050=1,IF(AV1050&lt;=0,0,BW1050*MAX(1,IF(H1050&gt;0,AV1050/H1050,1))),IF(R1050&gt;0,AW1050/R1050,0))/MAX(0.1,N(Parameter!$M$21)))</f>
        <v>0.333333333333333</v>
      </c>
      <c r="AY1050" s="57" t="n">
        <f aca="false">AV1050*G1050</f>
        <v>143.1</v>
      </c>
      <c r="AZ1050" s="57" t="n">
        <f aca="false">ROUNDUP(MAX(J1050/IF(BZ1050&gt;0,BZ1050,MAX(0.1,N(Cockpit!$O$6))),CC1050)/BS1050,0)*BS1050</f>
        <v>10</v>
      </c>
      <c r="BA1050" s="58" t="n">
        <f aca="false">IF(AX1050&gt;0,J1050/AX1050,-1)</f>
        <v>30</v>
      </c>
      <c r="BB1050" s="58" t="n">
        <f aca="false">IF(AND(OR(BY1050="L1",BY1050="L23"),AX1050&gt;0),SUMIFS($AX$7:$AX$1843,$BY$7:$BY$1843,BY1050,$BA$7:$BA$1843,"&gt;"&amp;BA1050)+SUMIFS($AX$7:$AX$1843,$BY$7:$BY$1843,BY1050,$BA$7:$BA$1843,BA1050,$BQ$7:$BQ$1843,"&lt;="&amp;BQ1050),"")</f>
        <v>67.3229113881288</v>
      </c>
      <c r="BC1050" s="65" t="n">
        <f aca="false">IF(BB1050="",0,MAX(0,MIN(1,(IF(BY1050="L1",Parameter!$E$5,Parameter!$E$6+Parameter!$E$7)-(BB1050-AX1050))/AX1050)))</f>
        <v>1</v>
      </c>
      <c r="BD1050" s="55" t="str">
        <f aca="false">IF(AH1050&lt;=0,"",IF(BY1050="Aussen","Aussenlager",IF(BY1050="-","Nicht im Lift",IF(AM1050&gt;=1,"Lift",IF(AM1050&lt;=0,"Aussenlager","teilweise")))))</f>
        <v/>
      </c>
      <c r="BE1050" s="55" t="str">
        <f aca="false">IF(AP1050&lt;=0,"",IF(BY1050="Aussen","Aussenlager",IF(BY1050="-","Nicht im Lift",IF(AU1050&gt;=1,"Lift",IF(AU1050&lt;=0,"Aussenlager","teilweise")))))</f>
        <v>Lift</v>
      </c>
      <c r="BF1050" s="55" t="str">
        <f aca="false">IF(AX1050&lt;=0,"",IF(BY1050="Aussen","Aussenlager",IF(BY1050="-","Nicht im Lift",IF(BC1050&gt;=1,"Lift",IF(BC1050&lt;=0,"Aussenlager","teilweise")))))</f>
        <v>Lift</v>
      </c>
      <c r="BG1050" s="55" t="str">
        <f aca="false">IF(A1050="","",IF(BP1050=1,"Neu; ","")&amp;IF(AND(BP1050=0,BK1050&lt;0),"negativer Bestand (Export "&amp;BK1050&amp;"); ","")&amp;IF(J1050&lt;=0,"Kein Verbrauch; ","")&amp;IF(CH1050&gt;0,"Lift "&amp;W1050&amp;" lt. Liftbericht (Fach "&amp;X1050&amp;" Stk); ",IF(BU1050=1,"Gebinde geschätzt ("&amp;T1050&amp;"); ",IF(BT1050=1,"Lose – Tablare geschätzt; ","")))&amp;IF(H1050&gt;AR1050,"Überbestand "&amp;ROUND(H1050-AR1050,0)&amp;" Stk / CHF "&amp;ROUND((H1050-AR1050)*G1050,0)&amp;"; ","")&amp;IF(AND(CA1050=1,CB1050&lt;CC1050),"MAX &lt; MB+LG; ","")&amp;IF(AND(CG1050&gt;0,CF1050*10&gt;CG1050),"zu hoch für Tablar; ","")&amp;IF(AND(BP1050=0,OR(CA1050=1,AA1050&lt;&gt;"",U1050&lt;&gt;"",V1050&lt;&gt;"",AB1050&lt;&gt;"")),"manuell übersteuert; ","")&amp;IF(AND(BT1050=0,R1050=0),"Gebinde unbekannt / Stellmass fehlt; ","")&amp;IF(AND(BT1050=0,N(V1050)&lt;=0,N(Q1050)&lt;=0),"Menge pro Gebinde fehlt (Ist = 1 Gebinde); ","")&amp;BO1050)</f>
        <v>negativer Bestand (Export -10); Gebinde geschätzt (Gross); Menge pro Gebinde fehlt (Ist = 1 Gebinde); </v>
      </c>
      <c r="BH1050" s="55"/>
      <c r="BI1050" s="55"/>
      <c r="BJ1050" s="62"/>
      <c r="BK1050" s="57" t="n">
        <v>-10</v>
      </c>
      <c r="BL1050" s="57" t="n">
        <v>10</v>
      </c>
      <c r="BM1050" s="56" t="n">
        <v>-143.1</v>
      </c>
      <c r="BN1050" s="57" t="n">
        <v>10</v>
      </c>
      <c r="BO1050" s="55"/>
      <c r="BP1050" s="60" t="n">
        <v>0</v>
      </c>
      <c r="BQ1050" s="60" t="n">
        <v>1050</v>
      </c>
      <c r="BR1050" s="55" t="str">
        <f aca="false">IF(U1050&lt;&gt;"",UPPER(TRIM(U1050)),IF(BU1050=1,UPPER(VLOOKUP(T1050,Parameter!$I$27:$K$29,2,0)),IF(P1050="","LOSE",P1050)))</f>
        <v>S81</v>
      </c>
      <c r="BS1050" s="57" t="n">
        <f aca="false">IF(BR1050="LOSE",1,IF(N(V1050)&gt;0,V1050,IF(BU1050=1,MAX(1,N(VLOOKUP(T1050,Parameter!$I$27:$K$29,3,0)),H1050,N(N1050)),IF(N(Q1050)&gt;0,Q1050,MAX(1,H1050)))))</f>
        <v>10</v>
      </c>
      <c r="BT1050" s="60" t="n">
        <f aca="false">IF(BR1050="LOSE",1,0)</f>
        <v>0</v>
      </c>
      <c r="BU1050" s="60" t="n">
        <f aca="false">IF(AND(U1050="",OR(P1050="",P1050="LOSE"),T1050&lt;&gt;"",N(S1050)&lt;=0,ISNUMBER(MATCH(T1050,Parameter!$I$27:$I$29,0))),1,0)</f>
        <v>1</v>
      </c>
      <c r="BV1050" s="55" t="str">
        <f aca="false">IF(AND(Parameter!$B$19="Ja",E1050&lt;&gt;"",ISNUMBER(MATCH(E1050,Parameter!$I$35:$I$52,0))),VLOOKUP(E1050,Parameter!$I$35:$J$52,2,0),IFERROR(VLOOKUP(D1050,Parameter!$A$35:$C$64,2,0),"Nein"))</f>
        <v>2+3</v>
      </c>
      <c r="BW1050" s="59" t="n">
        <f aca="false">IF(BT1050=0,0,IF(N(S1050)&gt;0,S1050,IFERROR(VLOOKUP(D1050,Parameter!$A$35:$C$64,3,0)+0,0)))</f>
        <v>0</v>
      </c>
      <c r="BX1050" s="55" t="n">
        <f aca="false">IF(AA1050&lt;&gt;"",AA1050,Z1050)</f>
        <v>2</v>
      </c>
      <c r="BY1050" s="55" t="str">
        <f aca="false">IF(BX1050=1,"L1",IF(OR(BX1050=2,BX1050=3),"L23",IF(BX1050="Aussen","Aussen","-")))</f>
        <v>L23</v>
      </c>
      <c r="BZ1050" s="66" t="n">
        <f aca="false">IF(N(AB1050)&gt;0,AB1050,0)</f>
        <v>0</v>
      </c>
      <c r="CA1050" s="60" t="n">
        <f aca="false">IF(ISNUMBER(AE1050),1,0)</f>
        <v>0</v>
      </c>
      <c r="CB1050" s="57" t="n">
        <f aca="false">N(AE1050)</f>
        <v>0</v>
      </c>
      <c r="CC1050" s="57" t="n">
        <f aca="false">N(M1050)+N(N1050)</f>
        <v>10</v>
      </c>
      <c r="CD1050" s="57" t="n">
        <f aca="false">ROUNDUP(H1050/BS1050,0)</f>
        <v>0</v>
      </c>
      <c r="CE1050" s="57" t="n">
        <f aca="false">ROUNDUP(CB1050/BS1050,0)</f>
        <v>0</v>
      </c>
      <c r="CF1050" s="60" t="n">
        <f aca="false">IF(BT1050=1,0,IFERROR(VLOOKUP(BR1050,'Gebinde-Kategorie'!$A$5:$M$45,5,0)+0,0))</f>
        <v>20</v>
      </c>
      <c r="CG1050" s="60" t="n">
        <f aca="false">IFERROR(IF(OR(BX1050=1,BX1050=2,BX1050=3),N(INDEX(Parameter!$I$5:$I$7,BX1050)),0),0)</f>
        <v>0</v>
      </c>
      <c r="CH1050" s="59" t="n">
        <f aca="false">IF(AND(Parameter!$B$21="Ja",ISNUMBER(W1050),N(X1050)&gt;0),IFERROR(N(INDEX(Parameter!$L$5:$L$7,W1050))*INDEX(Parameter!$E$5:$E$7,W1050)*X1050/SUMIFS($X$7:$X$1843,$W$7:$W$1843,W1050),0),0)</f>
        <v>0</v>
      </c>
    </row>
    <row r="1051" customFormat="false" ht="15" hidden="false" customHeight="false" outlineLevel="0" collapsed="false">
      <c r="A1051" s="55" t="s">
        <v>1924</v>
      </c>
      <c r="B1051" s="55" t="s">
        <v>755</v>
      </c>
      <c r="C1051" s="55" t="s">
        <v>164</v>
      </c>
      <c r="D1051" s="55" t="s">
        <v>184</v>
      </c>
      <c r="E1051" s="55"/>
      <c r="F1051" s="55" t="s">
        <v>218</v>
      </c>
      <c r="G1051" s="56" t="n">
        <v>144.89</v>
      </c>
      <c r="H1051" s="57" t="n">
        <f aca="false">MAX(0,IF(AND(Parameter!$B$21="Ja",ISNUMBER(Y1051)),Y1051,IF(Parameter!$B$20="Jahresanfang 2025 + Export",BL1051+BK1051,BK1051)))</f>
        <v>8</v>
      </c>
      <c r="I1051" s="57" t="n">
        <f aca="false">H1051*G1051</f>
        <v>1159.12</v>
      </c>
      <c r="J1051" s="57" t="n">
        <f aca="false">BN1051*Parameter!$B$18</f>
        <v>0</v>
      </c>
      <c r="K1051" s="58" t="n">
        <v>9</v>
      </c>
      <c r="L1051" s="59" t="n">
        <v>0</v>
      </c>
      <c r="M1051" s="57" t="n">
        <v>0</v>
      </c>
      <c r="N1051" s="57" t="n">
        <v>1</v>
      </c>
      <c r="O1051" s="60" t="n">
        <v>35</v>
      </c>
      <c r="P1051" s="55" t="s">
        <v>426</v>
      </c>
      <c r="Q1051" s="57" t="n">
        <v>9</v>
      </c>
      <c r="R1051" s="60" t="n">
        <f aca="false">IF(BT1051=1,0,IFERROR(VLOOKUP(BR1051,'Gebinde-Kategorie'!$A$5:$M$45,13,0)+0,0))</f>
        <v>198</v>
      </c>
      <c r="S1051" s="61"/>
      <c r="T1051" s="62"/>
      <c r="U1051" s="62"/>
      <c r="V1051" s="62"/>
      <c r="W1051" s="55"/>
      <c r="X1051" s="57"/>
      <c r="Y1051" s="57"/>
      <c r="Z1051" s="55" t="n">
        <f aca="false">IF(A1051="","",IF(AND(Parameter!$B$21="Ja",ISNUMBER(W1051)),W1051,IF(BV1051="2+3",IF(ISNUMBER(SEARCH("grosser Artikel",BO1051)),2,IFERROR(VLOOKUP(BR1051,Parameter!$F$35:$G$64,2,0),2)),IF(OR(BV1051="Nein",BV1051=""),"-",BV1051))))</f>
        <v>3</v>
      </c>
      <c r="AA1051" s="62"/>
      <c r="AB1051" s="63"/>
      <c r="AC1051" s="57" t="n">
        <f aca="false">AR1051</f>
        <v>9</v>
      </c>
      <c r="AD1051" s="57" t="n">
        <f aca="false">MAX(AR1051,H1051)</f>
        <v>9</v>
      </c>
      <c r="AE1051" s="64"/>
      <c r="AF1051" s="57" t="n">
        <f aca="false">IF(LEFT(Cockpit!$C$5,1)="A",H1051,IF(CA1051=1,CB1051,IF(LEFT(Cockpit!$C$5,1)="B",AJ1051,MAX(AJ1051,H1051))))</f>
        <v>8</v>
      </c>
      <c r="AG1051" s="57" t="n">
        <f aca="false">IF(BT1051=1,0,ROUNDUP(AF1051/BS1051,0))</f>
        <v>1</v>
      </c>
      <c r="AH1051" s="59" t="n">
        <f aca="false">IF(CH1051&gt;0,CH1051*MAX(1,AF1051/X1051),IF(BT1051=1,IF(AF1051&lt;=0,0,BW1051*MAX(1,IF(H1051&gt;0,AF1051/H1051,1))),IF(R1051&gt;0,AG1051/R1051,0))/MAX(0.1,N(Parameter!$M$21)))</f>
        <v>0.00505050505050505</v>
      </c>
      <c r="AI1051" s="57" t="n">
        <f aca="false">AF1051*G1051</f>
        <v>1159.12</v>
      </c>
      <c r="AJ1051" s="57" t="n">
        <f aca="false">ROUNDUP(MAX(J1051/IF(BZ1051&gt;0,BZ1051,MAX(0.1,N(Cockpit!$C$6))),CC1051)/BS1051,0)*BS1051</f>
        <v>9</v>
      </c>
      <c r="AK1051" s="58" t="n">
        <f aca="false">IF(AH1051&gt;0,J1051/AH1051,-1)</f>
        <v>0</v>
      </c>
      <c r="AL1051" s="58" t="n">
        <f aca="false">IF(AND(OR(BY1051="L1",BY1051="L23"),AH1051&gt;0),SUMIFS($AH$7:$AH$1843,$BY$7:$BY$1843,BY1051,$AK$7:$AK$1843,"&gt;"&amp;AK1051)+SUMIFS($AH$7:$AH$1843,$BY$7:$BY$1843,BY1051,$AK$7:$AK$1843,AK1051,$BQ$7:$BQ$1843,"&lt;="&amp;BQ1051),"")</f>
        <v>79.0950136819702</v>
      </c>
      <c r="AM1051" s="65" t="n">
        <f aca="false">IF(AL1051="",0,MAX(0,MIN(1,(IF(BY1051="L1",Parameter!$E$5,Parameter!$E$6+Parameter!$E$7)-(AL1051-AH1051))/AH1051)))</f>
        <v>1</v>
      </c>
      <c r="AN1051" s="57" t="n">
        <f aca="false">IF(LEFT(Cockpit!$I$5,1)="A",H1051,IF(CA1051=1,CB1051,IF(LEFT(Cockpit!$I$5,1)="B",AR1051,MAX(AR1051,H1051))))</f>
        <v>9</v>
      </c>
      <c r="AO1051" s="57" t="n">
        <f aca="false">IF(BT1051=1,0,ROUNDUP(AN1051/BS1051,0))</f>
        <v>1</v>
      </c>
      <c r="AP1051" s="59" t="n">
        <f aca="false">IF(CH1051&gt;0,CH1051*MAX(1,AN1051/X1051),IF(BT1051=1,IF(AN1051&lt;=0,0,BW1051*MAX(1,IF(H1051&gt;0,AN1051/H1051,1))),IF(R1051&gt;0,AO1051/R1051,0))/MAX(0.1,N(Parameter!$M$21)))</f>
        <v>0.00505050505050505</v>
      </c>
      <c r="AQ1051" s="57" t="n">
        <f aca="false">AN1051*G1051</f>
        <v>1304.01</v>
      </c>
      <c r="AR1051" s="57" t="n">
        <f aca="false">ROUNDUP(MAX(J1051/IF(BZ1051&gt;0,BZ1051,MAX(0.1,N(Cockpit!$I$6))),CC1051)/BS1051,0)*BS1051</f>
        <v>9</v>
      </c>
      <c r="AS1051" s="58" t="n">
        <f aca="false">IF(AP1051&gt;0,J1051/AP1051,-1)</f>
        <v>0</v>
      </c>
      <c r="AT1051" s="58" t="n">
        <f aca="false">IF(AND(OR(BY1051="L1",BY1051="L23"),AP1051&gt;0),SUMIFS($AP$7:$AP$1843,$BY$7:$BY$1843,BY1051,$AS$7:$AS$1843,"&gt;"&amp;AS1051)+SUMIFS($AP$7:$AP$1843,$BY$7:$BY$1843,BY1051,$AS$7:$AS$1843,AS1051,$BQ$7:$BQ$1843,"&lt;="&amp;BQ1051),"")</f>
        <v>120.549027059897</v>
      </c>
      <c r="AU1051" s="65" t="n">
        <f aca="false">IF(AT1051="",0,MAX(0,MIN(1,(IF(BY1051="L1",Parameter!$E$5,Parameter!$E$6+Parameter!$E$7)-(AT1051-AP1051))/AP1051)))</f>
        <v>0</v>
      </c>
      <c r="AV1051" s="57" t="n">
        <f aca="false">IF(LEFT(Cockpit!$O$5,1)="A",H1051,IF(CA1051=1,CB1051,IF(LEFT(Cockpit!$O$5,1)="B",AZ1051,MAX(AZ1051,H1051))))</f>
        <v>9</v>
      </c>
      <c r="AW1051" s="57" t="n">
        <f aca="false">IF(BT1051=1,0,ROUNDUP(AV1051/BS1051,0))</f>
        <v>1</v>
      </c>
      <c r="AX1051" s="59" t="n">
        <f aca="false">IF(CH1051&gt;0,CH1051*MAX(1,AV1051/X1051),IF(BT1051=1,IF(AV1051&lt;=0,0,BW1051*MAX(1,IF(H1051&gt;0,AV1051/H1051,1))),IF(R1051&gt;0,AW1051/R1051,0))/MAX(0.1,N(Parameter!$M$21)))</f>
        <v>0.00505050505050505</v>
      </c>
      <c r="AY1051" s="57" t="n">
        <f aca="false">AV1051*G1051</f>
        <v>1304.01</v>
      </c>
      <c r="AZ1051" s="57" t="n">
        <f aca="false">ROUNDUP(MAX(J1051/IF(BZ1051&gt;0,BZ1051,MAX(0.1,N(Cockpit!$O$6))),CC1051)/BS1051,0)*BS1051</f>
        <v>9</v>
      </c>
      <c r="BA1051" s="58" t="n">
        <f aca="false">IF(AX1051&gt;0,J1051/AX1051,-1)</f>
        <v>0</v>
      </c>
      <c r="BB1051" s="58" t="n">
        <f aca="false">IF(AND(OR(BY1051="L1",BY1051="L23"),AX1051&gt;0),SUMIFS($AX$7:$AX$1843,$BY$7:$BY$1843,BY1051,$BA$7:$BA$1843,"&gt;"&amp;BA1051)+SUMIFS($AX$7:$AX$1843,$BY$7:$BY$1843,BY1051,$BA$7:$BA$1843,BA1051,$BQ$7:$BQ$1843,"&lt;="&amp;BQ1051),"")</f>
        <v>111.378863889733</v>
      </c>
      <c r="BC1051" s="65" t="n">
        <f aca="false">IF(BB1051="",0,MAX(0,MIN(1,(IF(BY1051="L1",Parameter!$E$5,Parameter!$E$6+Parameter!$E$7)-(BB1051-AX1051))/AX1051)))</f>
        <v>0</v>
      </c>
      <c r="BD1051" s="55" t="str">
        <f aca="false">IF(AH1051&lt;=0,"",IF(BY1051="Aussen","Aussenlager",IF(BY1051="-","Nicht im Lift",IF(AM1051&gt;=1,"Lift",IF(AM1051&lt;=0,"Aussenlager","teilweise")))))</f>
        <v>Lift</v>
      </c>
      <c r="BE1051" s="55" t="str">
        <f aca="false">IF(AP1051&lt;=0,"",IF(BY1051="Aussen","Aussenlager",IF(BY1051="-","Nicht im Lift",IF(AU1051&gt;=1,"Lift",IF(AU1051&lt;=0,"Aussenlager","teilweise")))))</f>
        <v>Aussenlager</v>
      </c>
      <c r="BF1051" s="55" t="str">
        <f aca="false">IF(AX1051&lt;=0,"",IF(BY1051="Aussen","Aussenlager",IF(BY1051="-","Nicht im Lift",IF(BC1051&gt;=1,"Lift",IF(BC1051&lt;=0,"Aussenlager","teilweise")))))</f>
        <v>Aussenlager</v>
      </c>
      <c r="BG1051" s="55" t="str">
        <f aca="false">IF(A1051="","",IF(BP1051=1,"Neu; ","")&amp;IF(AND(BP1051=0,BK1051&lt;0),"negativer Bestand (Export "&amp;BK1051&amp;"); ","")&amp;IF(J1051&lt;=0,"Kein Verbrauch; ","")&amp;IF(CH1051&gt;0,"Lift "&amp;W1051&amp;" lt. Liftbericht (Fach "&amp;X1051&amp;" Stk); ",IF(BU1051=1,"Gebinde geschätzt ("&amp;T1051&amp;"); ",IF(BT1051=1,"Lose – Tablare geschätzt; ","")))&amp;IF(H1051&gt;AR1051,"Überbestand "&amp;ROUND(H1051-AR1051,0)&amp;" Stk / CHF "&amp;ROUND((H1051-AR1051)*G1051,0)&amp;"; ","")&amp;IF(AND(CA1051=1,CB1051&lt;CC1051),"MAX &lt; MB+LG; ","")&amp;IF(AND(CG1051&gt;0,CF1051*10&gt;CG1051),"zu hoch für Tablar; ","")&amp;IF(AND(BP1051=0,OR(CA1051=1,AA1051&lt;&gt;"",U1051&lt;&gt;"",V1051&lt;&gt;"",AB1051&lt;&gt;"")),"manuell übersteuert; ","")&amp;IF(AND(BT1051=0,R1051=0),"Gebinde unbekannt / Stellmass fehlt; ","")&amp;IF(AND(BT1051=0,N(V1051)&lt;=0,N(Q1051)&lt;=0),"Menge pro Gebinde fehlt (Ist = 1 Gebinde); ","")&amp;BO1051)</f>
        <v>negativer Bestand (Export -1); Kein Verbrauch; </v>
      </c>
      <c r="BH1051" s="55"/>
      <c r="BI1051" s="55"/>
      <c r="BJ1051" s="62"/>
      <c r="BK1051" s="57" t="n">
        <v>-1</v>
      </c>
      <c r="BL1051" s="57" t="n">
        <v>9</v>
      </c>
      <c r="BM1051" s="56" t="n">
        <v>-144.89</v>
      </c>
      <c r="BN1051" s="57" t="n">
        <v>0</v>
      </c>
      <c r="BO1051" s="55"/>
      <c r="BP1051" s="60" t="n">
        <v>0</v>
      </c>
      <c r="BQ1051" s="60" t="n">
        <v>1051</v>
      </c>
      <c r="BR1051" s="55" t="str">
        <f aca="false">IF(U1051&lt;&gt;"",UPPER(TRIM(U1051)),IF(BU1051=1,UPPER(VLOOKUP(T1051,Parameter!$I$27:$K$29,2,0)),IF(P1051="","LOSE",P1051)))</f>
        <v>S22</v>
      </c>
      <c r="BS1051" s="57" t="n">
        <f aca="false">IF(BR1051="LOSE",1,IF(N(V1051)&gt;0,V1051,IF(BU1051=1,MAX(1,N(VLOOKUP(T1051,Parameter!$I$27:$K$29,3,0)),H1051,N(N1051)),IF(N(Q1051)&gt;0,Q1051,MAX(1,H1051)))))</f>
        <v>9</v>
      </c>
      <c r="BT1051" s="60" t="n">
        <f aca="false">IF(BR1051="LOSE",1,0)</f>
        <v>0</v>
      </c>
      <c r="BU1051" s="60" t="n">
        <f aca="false">IF(AND(U1051="",OR(P1051="",P1051="LOSE"),T1051&lt;&gt;"",N(S1051)&lt;=0,ISNUMBER(MATCH(T1051,Parameter!$I$27:$I$29,0))),1,0)</f>
        <v>0</v>
      </c>
      <c r="BV1051" s="55" t="str">
        <f aca="false">IF(AND(Parameter!$B$19="Ja",E1051&lt;&gt;"",ISNUMBER(MATCH(E1051,Parameter!$I$35:$I$52,0))),VLOOKUP(E1051,Parameter!$I$35:$J$52,2,0),IFERROR(VLOOKUP(D1051,Parameter!$A$35:$C$64,2,0),"Nein"))</f>
        <v>2+3</v>
      </c>
      <c r="BW1051" s="59" t="n">
        <f aca="false">IF(BT1051=0,0,IF(N(S1051)&gt;0,S1051,IFERROR(VLOOKUP(D1051,Parameter!$A$35:$C$64,3,0)+0,0)))</f>
        <v>0</v>
      </c>
      <c r="BX1051" s="55" t="n">
        <f aca="false">IF(AA1051&lt;&gt;"",AA1051,Z1051)</f>
        <v>3</v>
      </c>
      <c r="BY1051" s="55" t="str">
        <f aca="false">IF(BX1051=1,"L1",IF(OR(BX1051=2,BX1051=3),"L23",IF(BX1051="Aussen","Aussen","-")))</f>
        <v>L23</v>
      </c>
      <c r="BZ1051" s="66" t="n">
        <f aca="false">IF(N(AB1051)&gt;0,AB1051,0)</f>
        <v>0</v>
      </c>
      <c r="CA1051" s="60" t="n">
        <f aca="false">IF(ISNUMBER(AE1051),1,0)</f>
        <v>0</v>
      </c>
      <c r="CB1051" s="57" t="n">
        <f aca="false">N(AE1051)</f>
        <v>0</v>
      </c>
      <c r="CC1051" s="57" t="n">
        <f aca="false">N(M1051)+N(N1051)</f>
        <v>1</v>
      </c>
      <c r="CD1051" s="57" t="n">
        <f aca="false">ROUNDUP(H1051/BS1051,0)</f>
        <v>1</v>
      </c>
      <c r="CE1051" s="57" t="n">
        <f aca="false">ROUNDUP(CB1051/BS1051,0)</f>
        <v>0</v>
      </c>
      <c r="CF1051" s="60" t="n">
        <f aca="false">IF(BT1051=1,0,IFERROR(VLOOKUP(BR1051,'Gebinde-Kategorie'!$A$5:$M$45,5,0)+0,0))</f>
        <v>8</v>
      </c>
      <c r="CG1051" s="60" t="n">
        <f aca="false">IFERROR(IF(OR(BX1051=1,BX1051=2,BX1051=3),N(INDEX(Parameter!$I$5:$I$7,BX1051)),0),0)</f>
        <v>0</v>
      </c>
      <c r="CH1051" s="59" t="n">
        <f aca="false">IF(AND(Parameter!$B$21="Ja",ISNUMBER(W1051),N(X1051)&gt;0),IFERROR(N(INDEX(Parameter!$L$5:$L$7,W1051))*INDEX(Parameter!$E$5:$E$7,W1051)*X1051/SUMIFS($X$7:$X$1843,$W$7:$W$1843,W1051),0),0)</f>
        <v>0</v>
      </c>
    </row>
    <row r="1052" customFormat="false" ht="15" hidden="false" customHeight="false" outlineLevel="0" collapsed="false">
      <c r="A1052" s="55" t="s">
        <v>1925</v>
      </c>
      <c r="B1052" s="55" t="s">
        <v>1868</v>
      </c>
      <c r="C1052" s="55" t="s">
        <v>164</v>
      </c>
      <c r="D1052" s="55" t="s">
        <v>184</v>
      </c>
      <c r="E1052" s="55" t="s">
        <v>185</v>
      </c>
      <c r="F1052" s="55" t="s">
        <v>218</v>
      </c>
      <c r="G1052" s="56" t="n">
        <v>145.85</v>
      </c>
      <c r="H1052" s="57" t="n">
        <f aca="false">MAX(0,IF(AND(Parameter!$B$21="Ja",ISNUMBER(Y1052)),Y1052,IF(Parameter!$B$20="Jahresanfang 2025 + Export",BL1052+BK1052,BK1052)))</f>
        <v>8</v>
      </c>
      <c r="I1052" s="57" t="n">
        <f aca="false">H1052*G1052</f>
        <v>1166.8</v>
      </c>
      <c r="J1052" s="57" t="n">
        <f aca="false">BN1052*Parameter!$B$18</f>
        <v>0</v>
      </c>
      <c r="K1052" s="58" t="n">
        <v>9</v>
      </c>
      <c r="L1052" s="59" t="n">
        <v>0</v>
      </c>
      <c r="M1052" s="57" t="n">
        <v>0</v>
      </c>
      <c r="N1052" s="57" t="n">
        <v>1</v>
      </c>
      <c r="O1052" s="60" t="n">
        <v>42</v>
      </c>
      <c r="P1052" s="55" t="s">
        <v>302</v>
      </c>
      <c r="Q1052" s="57" t="n">
        <v>3</v>
      </c>
      <c r="R1052" s="60" t="n">
        <f aca="false">IF(BT1052=1,0,IFERROR(VLOOKUP(BR1052,'Gebinde-Kategorie'!$A$5:$M$45,13,0)+0,0))</f>
        <v>26</v>
      </c>
      <c r="S1052" s="61"/>
      <c r="T1052" s="62"/>
      <c r="U1052" s="62"/>
      <c r="V1052" s="62"/>
      <c r="W1052" s="55"/>
      <c r="X1052" s="57"/>
      <c r="Y1052" s="57"/>
      <c r="Z1052" s="55" t="n">
        <f aca="false">IF(A1052="","",IF(AND(Parameter!$B$21="Ja",ISNUMBER(W1052)),W1052,IF(BV1052="2+3",IF(ISNUMBER(SEARCH("grosser Artikel",BO1052)),2,IFERROR(VLOOKUP(BR1052,Parameter!$F$35:$G$64,2,0),2)),IF(OR(BV1052="Nein",BV1052=""),"-",BV1052))))</f>
        <v>3</v>
      </c>
      <c r="AA1052" s="62"/>
      <c r="AB1052" s="63"/>
      <c r="AC1052" s="57" t="n">
        <f aca="false">AR1052</f>
        <v>3</v>
      </c>
      <c r="AD1052" s="57" t="n">
        <f aca="false">MAX(AR1052,H1052)</f>
        <v>8</v>
      </c>
      <c r="AE1052" s="64"/>
      <c r="AF1052" s="57" t="n">
        <f aca="false">IF(LEFT(Cockpit!$C$5,1)="A",H1052,IF(CA1052=1,CB1052,IF(LEFT(Cockpit!$C$5,1)="B",AJ1052,MAX(AJ1052,H1052))))</f>
        <v>8</v>
      </c>
      <c r="AG1052" s="57" t="n">
        <f aca="false">IF(BT1052=1,0,ROUNDUP(AF1052/BS1052,0))</f>
        <v>3</v>
      </c>
      <c r="AH1052" s="59" t="n">
        <f aca="false">IF(CH1052&gt;0,CH1052*MAX(1,AF1052/X1052),IF(BT1052=1,IF(AF1052&lt;=0,0,BW1052*MAX(1,IF(H1052&gt;0,AF1052/H1052,1))),IF(R1052&gt;0,AG1052/R1052,0))/MAX(0.1,N(Parameter!$M$21)))</f>
        <v>0.115384615384615</v>
      </c>
      <c r="AI1052" s="57" t="n">
        <f aca="false">AF1052*G1052</f>
        <v>1166.8</v>
      </c>
      <c r="AJ1052" s="57" t="n">
        <f aca="false">ROUNDUP(MAX(J1052/IF(BZ1052&gt;0,BZ1052,MAX(0.1,N(Cockpit!$C$6))),CC1052)/BS1052,0)*BS1052</f>
        <v>3</v>
      </c>
      <c r="AK1052" s="58" t="n">
        <f aca="false">IF(AH1052&gt;0,J1052/AH1052,-1)</f>
        <v>0</v>
      </c>
      <c r="AL1052" s="58" t="n">
        <f aca="false">IF(AND(OR(BY1052="L1",BY1052="L23"),AH1052&gt;0),SUMIFS($AH$7:$AH$1843,$BY$7:$BY$1843,BY1052,$AK$7:$AK$1843,"&gt;"&amp;AK1052)+SUMIFS($AH$7:$AH$1843,$BY$7:$BY$1843,BY1052,$AK$7:$AK$1843,AK1052,$BQ$7:$BQ$1843,"&lt;="&amp;BQ1052),"")</f>
        <v>79.2103982973548</v>
      </c>
      <c r="AM1052" s="65" t="n">
        <f aca="false">IF(AL1052="",0,MAX(0,MIN(1,(IF(BY1052="L1",Parameter!$E$5,Parameter!$E$6+Parameter!$E$7)-(AL1052-AH1052))/AH1052)))</f>
        <v>1</v>
      </c>
      <c r="AN1052" s="57" t="n">
        <f aca="false">IF(LEFT(Cockpit!$I$5,1)="A",H1052,IF(CA1052=1,CB1052,IF(LEFT(Cockpit!$I$5,1)="B",AR1052,MAX(AR1052,H1052))))</f>
        <v>8</v>
      </c>
      <c r="AO1052" s="57" t="n">
        <f aca="false">IF(BT1052=1,0,ROUNDUP(AN1052/BS1052,0))</f>
        <v>3</v>
      </c>
      <c r="AP1052" s="59" t="n">
        <f aca="false">IF(CH1052&gt;0,CH1052*MAX(1,AN1052/X1052),IF(BT1052=1,IF(AN1052&lt;=0,0,BW1052*MAX(1,IF(H1052&gt;0,AN1052/H1052,1))),IF(R1052&gt;0,AO1052/R1052,0))/MAX(0.1,N(Parameter!$M$21)))</f>
        <v>0.115384615384615</v>
      </c>
      <c r="AQ1052" s="57" t="n">
        <f aca="false">AN1052*G1052</f>
        <v>1166.8</v>
      </c>
      <c r="AR1052" s="57" t="n">
        <f aca="false">ROUNDUP(MAX(J1052/IF(BZ1052&gt;0,BZ1052,MAX(0.1,N(Cockpit!$I$6))),CC1052)/BS1052,0)*BS1052</f>
        <v>3</v>
      </c>
      <c r="AS1052" s="58" t="n">
        <f aca="false">IF(AP1052&gt;0,J1052/AP1052,-1)</f>
        <v>0</v>
      </c>
      <c r="AT1052" s="58" t="n">
        <f aca="false">IF(AND(OR(BY1052="L1",BY1052="L23"),AP1052&gt;0),SUMIFS($AP$7:$AP$1843,$BY$7:$BY$1843,BY1052,$AS$7:$AS$1843,"&gt;"&amp;AS1052)+SUMIFS($AP$7:$AP$1843,$BY$7:$BY$1843,BY1052,$AS$7:$AS$1843,AS1052,$BQ$7:$BQ$1843,"&lt;="&amp;BQ1052),"")</f>
        <v>120.664411675281</v>
      </c>
      <c r="AU1052" s="65" t="n">
        <f aca="false">IF(AT1052="",0,MAX(0,MIN(1,(IF(BY1052="L1",Parameter!$E$5,Parameter!$E$6+Parameter!$E$7)-(AT1052-AP1052))/AP1052)))</f>
        <v>0</v>
      </c>
      <c r="AV1052" s="57" t="n">
        <f aca="false">IF(LEFT(Cockpit!$O$5,1)="A",H1052,IF(CA1052=1,CB1052,IF(LEFT(Cockpit!$O$5,1)="B",AZ1052,MAX(AZ1052,H1052))))</f>
        <v>8</v>
      </c>
      <c r="AW1052" s="57" t="n">
        <f aca="false">IF(BT1052=1,0,ROUNDUP(AV1052/BS1052,0))</f>
        <v>3</v>
      </c>
      <c r="AX1052" s="59" t="n">
        <f aca="false">IF(CH1052&gt;0,CH1052*MAX(1,AV1052/X1052),IF(BT1052=1,IF(AV1052&lt;=0,0,BW1052*MAX(1,IF(H1052&gt;0,AV1052/H1052,1))),IF(R1052&gt;0,AW1052/R1052,0))/MAX(0.1,N(Parameter!$M$21)))</f>
        <v>0.115384615384615</v>
      </c>
      <c r="AY1052" s="57" t="n">
        <f aca="false">AV1052*G1052</f>
        <v>1166.8</v>
      </c>
      <c r="AZ1052" s="57" t="n">
        <f aca="false">ROUNDUP(MAX(J1052/IF(BZ1052&gt;0,BZ1052,MAX(0.1,N(Cockpit!$O$6))),CC1052)/BS1052,0)*BS1052</f>
        <v>3</v>
      </c>
      <c r="BA1052" s="58" t="n">
        <f aca="false">IF(AX1052&gt;0,J1052/AX1052,-1)</f>
        <v>0</v>
      </c>
      <c r="BB1052" s="58" t="n">
        <f aca="false">IF(AND(OR(BY1052="L1",BY1052="L23"),AX1052&gt;0),SUMIFS($AX$7:$AX$1843,$BY$7:$BY$1843,BY1052,$BA$7:$BA$1843,"&gt;"&amp;BA1052)+SUMIFS($AX$7:$AX$1843,$BY$7:$BY$1843,BY1052,$BA$7:$BA$1843,BA1052,$BQ$7:$BQ$1843,"&lt;="&amp;BQ1052),"")</f>
        <v>111.494248505118</v>
      </c>
      <c r="BC1052" s="65" t="n">
        <f aca="false">IF(BB1052="",0,MAX(0,MIN(1,(IF(BY1052="L1",Parameter!$E$5,Parameter!$E$6+Parameter!$E$7)-(BB1052-AX1052))/AX1052)))</f>
        <v>0</v>
      </c>
      <c r="BD1052" s="55" t="str">
        <f aca="false">IF(AH1052&lt;=0,"",IF(BY1052="Aussen","Aussenlager",IF(BY1052="-","Nicht im Lift",IF(AM1052&gt;=1,"Lift",IF(AM1052&lt;=0,"Aussenlager","teilweise")))))</f>
        <v>Lift</v>
      </c>
      <c r="BE1052" s="55" t="str">
        <f aca="false">IF(AP1052&lt;=0,"",IF(BY1052="Aussen","Aussenlager",IF(BY1052="-","Nicht im Lift",IF(AU1052&gt;=1,"Lift",IF(AU1052&lt;=0,"Aussenlager","teilweise")))))</f>
        <v>Aussenlager</v>
      </c>
      <c r="BF1052" s="55" t="str">
        <f aca="false">IF(AX1052&lt;=0,"",IF(BY1052="Aussen","Aussenlager",IF(BY1052="-","Nicht im Lift",IF(BC1052&gt;=1,"Lift",IF(BC1052&lt;=0,"Aussenlager","teilweise")))))</f>
        <v>Aussenlager</v>
      </c>
      <c r="BG1052" s="55" t="str">
        <f aca="false">IF(A1052="","",IF(BP1052=1,"Neu; ","")&amp;IF(AND(BP1052=0,BK1052&lt;0),"negativer Bestand (Export "&amp;BK1052&amp;"); ","")&amp;IF(J1052&lt;=0,"Kein Verbrauch; ","")&amp;IF(CH1052&gt;0,"Lift "&amp;W1052&amp;" lt. Liftbericht (Fach "&amp;X1052&amp;" Stk); ",IF(BU1052=1,"Gebinde geschätzt ("&amp;T1052&amp;"); ",IF(BT1052=1,"Lose – Tablare geschätzt; ","")))&amp;IF(H1052&gt;AR1052,"Überbestand "&amp;ROUND(H1052-AR1052,0)&amp;" Stk / CHF "&amp;ROUND((H1052-AR1052)*G1052,0)&amp;"; ","")&amp;IF(AND(CA1052=1,CB1052&lt;CC1052),"MAX &lt; MB+LG; ","")&amp;IF(AND(CG1052&gt;0,CF1052*10&gt;CG1052),"zu hoch für Tablar; ","")&amp;IF(AND(BP1052=0,OR(CA1052=1,AA1052&lt;&gt;"",U1052&lt;&gt;"",V1052&lt;&gt;"",AB1052&lt;&gt;"")),"manuell übersteuert; ","")&amp;IF(AND(BT1052=0,R1052=0),"Gebinde unbekannt / Stellmass fehlt; ","")&amp;IF(AND(BT1052=0,N(V1052)&lt;=0,N(Q1052)&lt;=0),"Menge pro Gebinde fehlt (Ist = 1 Gebinde); ","")&amp;BO1052)</f>
        <v>negativer Bestand (Export -1); Kein Verbrauch; Überbestand 5 Stk / CHF 729; </v>
      </c>
      <c r="BH1052" s="55"/>
      <c r="BI1052" s="55"/>
      <c r="BJ1052" s="62"/>
      <c r="BK1052" s="57" t="n">
        <v>-1</v>
      </c>
      <c r="BL1052" s="57" t="n">
        <v>9</v>
      </c>
      <c r="BM1052" s="56" t="n">
        <v>-145.85</v>
      </c>
      <c r="BN1052" s="57" t="n">
        <v>0</v>
      </c>
      <c r="BO1052" s="55"/>
      <c r="BP1052" s="60" t="n">
        <v>0</v>
      </c>
      <c r="BQ1052" s="60" t="n">
        <v>1052</v>
      </c>
      <c r="BR1052" s="55" t="str">
        <f aca="false">IF(U1052&lt;&gt;"",UPPER(TRIM(U1052)),IF(BU1052=1,UPPER(VLOOKUP(T1052,Parameter!$I$27:$K$29,2,0)),IF(P1052="","LOSE",P1052)))</f>
        <v>S51</v>
      </c>
      <c r="BS1052" s="57" t="n">
        <f aca="false">IF(BR1052="LOSE",1,IF(N(V1052)&gt;0,V1052,IF(BU1052=1,MAX(1,N(VLOOKUP(T1052,Parameter!$I$27:$K$29,3,0)),H1052,N(N1052)),IF(N(Q1052)&gt;0,Q1052,MAX(1,H1052)))))</f>
        <v>3</v>
      </c>
      <c r="BT1052" s="60" t="n">
        <f aca="false">IF(BR1052="LOSE",1,0)</f>
        <v>0</v>
      </c>
      <c r="BU1052" s="60" t="n">
        <f aca="false">IF(AND(U1052="",OR(P1052="",P1052="LOSE"),T1052&lt;&gt;"",N(S1052)&lt;=0,ISNUMBER(MATCH(T1052,Parameter!$I$27:$I$29,0))),1,0)</f>
        <v>0</v>
      </c>
      <c r="BV1052" s="55" t="str">
        <f aca="false">IF(AND(Parameter!$B$19="Ja",E1052&lt;&gt;"",ISNUMBER(MATCH(E1052,Parameter!$I$35:$I$52,0))),VLOOKUP(E1052,Parameter!$I$35:$J$52,2,0),IFERROR(VLOOKUP(D1052,Parameter!$A$35:$C$64,2,0),"Nein"))</f>
        <v>2+3</v>
      </c>
      <c r="BW1052" s="59" t="n">
        <f aca="false">IF(BT1052=0,0,IF(N(S1052)&gt;0,S1052,IFERROR(VLOOKUP(D1052,Parameter!$A$35:$C$64,3,0)+0,0)))</f>
        <v>0</v>
      </c>
      <c r="BX1052" s="55" t="n">
        <f aca="false">IF(AA1052&lt;&gt;"",AA1052,Z1052)</f>
        <v>3</v>
      </c>
      <c r="BY1052" s="55" t="str">
        <f aca="false">IF(BX1052=1,"L1",IF(OR(BX1052=2,BX1052=3),"L23",IF(BX1052="Aussen","Aussen","-")))</f>
        <v>L23</v>
      </c>
      <c r="BZ1052" s="66" t="n">
        <f aca="false">IF(N(AB1052)&gt;0,AB1052,0)</f>
        <v>0</v>
      </c>
      <c r="CA1052" s="60" t="n">
        <f aca="false">IF(ISNUMBER(AE1052),1,0)</f>
        <v>0</v>
      </c>
      <c r="CB1052" s="57" t="n">
        <f aca="false">N(AE1052)</f>
        <v>0</v>
      </c>
      <c r="CC1052" s="57" t="n">
        <f aca="false">N(M1052)+N(N1052)</f>
        <v>1</v>
      </c>
      <c r="CD1052" s="57" t="n">
        <f aca="false">ROUNDUP(H1052/BS1052,0)</f>
        <v>3</v>
      </c>
      <c r="CE1052" s="57" t="n">
        <f aca="false">ROUNDUP(CB1052/BS1052,0)</f>
        <v>0</v>
      </c>
      <c r="CF1052" s="60" t="n">
        <f aca="false">IF(BT1052=1,0,IFERROR(VLOOKUP(BR1052,'Gebinde-Kategorie'!$A$5:$M$45,5,0)+0,0))</f>
        <v>11</v>
      </c>
      <c r="CG1052" s="60" t="n">
        <f aca="false">IFERROR(IF(OR(BX1052=1,BX1052=2,BX1052=3),N(INDEX(Parameter!$I$5:$I$7,BX1052)),0),0)</f>
        <v>0</v>
      </c>
      <c r="CH1052" s="59" t="n">
        <f aca="false">IF(AND(Parameter!$B$21="Ja",ISNUMBER(W1052),N(X1052)&gt;0),IFERROR(N(INDEX(Parameter!$L$5:$L$7,W1052))*INDEX(Parameter!$E$5:$E$7,W1052)*X1052/SUMIFS($X$7:$X$1843,$W$7:$W$1843,W1052),0),0)</f>
        <v>0</v>
      </c>
    </row>
    <row r="1053" customFormat="false" ht="15" hidden="false" customHeight="false" outlineLevel="0" collapsed="false">
      <c r="A1053" s="55" t="s">
        <v>1926</v>
      </c>
      <c r="B1053" s="55" t="s">
        <v>1554</v>
      </c>
      <c r="C1053" s="55" t="s">
        <v>164</v>
      </c>
      <c r="D1053" s="55" t="s">
        <v>173</v>
      </c>
      <c r="E1053" s="55" t="s">
        <v>465</v>
      </c>
      <c r="F1053" s="55" t="s">
        <v>218</v>
      </c>
      <c r="G1053" s="56" t="n">
        <v>4.63</v>
      </c>
      <c r="H1053" s="57" t="n">
        <f aca="false">MAX(0,IF(AND(Parameter!$B$21="Ja",ISNUMBER(Y1053)),Y1053,IF(Parameter!$B$20="Jahresanfang 2025 + Export",BL1053+BK1053,BK1053)))</f>
        <v>118</v>
      </c>
      <c r="I1053" s="57" t="n">
        <f aca="false">H1053*G1053</f>
        <v>546.34</v>
      </c>
      <c r="J1053" s="57" t="n">
        <f aca="false">BN1053*Parameter!$B$18</f>
        <v>131</v>
      </c>
      <c r="K1053" s="58" t="n">
        <v>155</v>
      </c>
      <c r="L1053" s="59" t="n">
        <v>0.845161290322581</v>
      </c>
      <c r="M1053" s="57" t="n">
        <v>7</v>
      </c>
      <c r="N1053" s="57" t="n">
        <v>135</v>
      </c>
      <c r="O1053" s="60" t="n">
        <v>21</v>
      </c>
      <c r="P1053" s="55" t="s">
        <v>168</v>
      </c>
      <c r="Q1053" s="57"/>
      <c r="R1053" s="60" t="n">
        <f aca="false">IF(BT1053=1,0,IFERROR(VLOOKUP(BR1053,'Gebinde-Kategorie'!$A$5:$M$45,13,0)+0,0))</f>
        <v>3</v>
      </c>
      <c r="S1053" s="61"/>
      <c r="T1053" s="62" t="s">
        <v>189</v>
      </c>
      <c r="U1053" s="62"/>
      <c r="V1053" s="62"/>
      <c r="W1053" s="55"/>
      <c r="X1053" s="57"/>
      <c r="Y1053" s="57"/>
      <c r="Z1053" s="55" t="str">
        <f aca="false">IF(A1053="","",IF(AND(Parameter!$B$21="Ja",ISNUMBER(W1053)),W1053,IF(BV1053="2+3",IF(ISNUMBER(SEARCH("grosser Artikel",BO1053)),2,IFERROR(VLOOKUP(BR1053,Parameter!$F$35:$G$64,2,0),2)),IF(OR(BV1053="Nein",BV1053=""),"-",BV1053))))</f>
        <v>-</v>
      </c>
      <c r="AA1053" s="62"/>
      <c r="AB1053" s="63"/>
      <c r="AC1053" s="57" t="n">
        <f aca="false">AR1053</f>
        <v>270</v>
      </c>
      <c r="AD1053" s="57" t="n">
        <f aca="false">MAX(AR1053,H1053)</f>
        <v>270</v>
      </c>
      <c r="AE1053" s="64"/>
      <c r="AF1053" s="57" t="n">
        <f aca="false">IF(LEFT(Cockpit!$C$5,1)="A",H1053,IF(CA1053=1,CB1053,IF(LEFT(Cockpit!$C$5,1)="B",AJ1053,MAX(AJ1053,H1053))))</f>
        <v>118</v>
      </c>
      <c r="AG1053" s="57" t="n">
        <f aca="false">IF(BT1053=1,0,ROUNDUP(AF1053/BS1053,0))</f>
        <v>1</v>
      </c>
      <c r="AH1053" s="59" t="n">
        <f aca="false">IF(CH1053&gt;0,CH1053*MAX(1,AF1053/X1053),IF(BT1053=1,IF(AF1053&lt;=0,0,BW1053*MAX(1,IF(H1053&gt;0,AF1053/H1053,1))),IF(R1053&gt;0,AG1053/R1053,0))/MAX(0.1,N(Parameter!$M$21)))</f>
        <v>0.333333333333333</v>
      </c>
      <c r="AI1053" s="57" t="n">
        <f aca="false">AF1053*G1053</f>
        <v>546.34</v>
      </c>
      <c r="AJ1053" s="57" t="n">
        <f aca="false">ROUNDUP(MAX(J1053/IF(BZ1053&gt;0,BZ1053,MAX(0.1,N(Cockpit!$C$6))),CC1053)/BS1053,0)*BS1053</f>
        <v>270</v>
      </c>
      <c r="AK1053" s="58" t="n">
        <f aca="false">IF(AH1053&gt;0,J1053/AH1053,-1)</f>
        <v>393</v>
      </c>
      <c r="AL1053" s="58" t="str">
        <f aca="false">IF(AND(OR(BY1053="L1",BY1053="L23"),AH1053&gt;0),SUMIFS($AH$7:$AH$1843,$BY$7:$BY$1843,BY1053,$AK$7:$AK$1843,"&gt;"&amp;AK1053)+SUMIFS($AH$7:$AH$1843,$BY$7:$BY$1843,BY1053,$AK$7:$AK$1843,AK1053,$BQ$7:$BQ$1843,"&lt;="&amp;BQ1053),"")</f>
        <v/>
      </c>
      <c r="AM1053" s="65" t="n">
        <f aca="false">IF(AL1053="",0,MAX(0,MIN(1,(IF(BY1053="L1",Parameter!$E$5,Parameter!$E$6+Parameter!$E$7)-(AL1053-AH1053))/AH1053)))</f>
        <v>0</v>
      </c>
      <c r="AN1053" s="57" t="n">
        <f aca="false">IF(LEFT(Cockpit!$I$5,1)="A",H1053,IF(CA1053=1,CB1053,IF(LEFT(Cockpit!$I$5,1)="B",AR1053,MAX(AR1053,H1053))))</f>
        <v>270</v>
      </c>
      <c r="AO1053" s="57" t="n">
        <f aca="false">IF(BT1053=1,0,ROUNDUP(AN1053/BS1053,0))</f>
        <v>2</v>
      </c>
      <c r="AP1053" s="59" t="n">
        <f aca="false">IF(CH1053&gt;0,CH1053*MAX(1,AN1053/X1053),IF(BT1053=1,IF(AN1053&lt;=0,0,BW1053*MAX(1,IF(H1053&gt;0,AN1053/H1053,1))),IF(R1053&gt;0,AO1053/R1053,0))/MAX(0.1,N(Parameter!$M$21)))</f>
        <v>0.666666666666667</v>
      </c>
      <c r="AQ1053" s="57" t="n">
        <f aca="false">AN1053*G1053</f>
        <v>1250.1</v>
      </c>
      <c r="AR1053" s="57" t="n">
        <f aca="false">ROUNDUP(MAX(J1053/IF(BZ1053&gt;0,BZ1053,MAX(0.1,N(Cockpit!$I$6))),CC1053)/BS1053,0)*BS1053</f>
        <v>270</v>
      </c>
      <c r="AS1053" s="58" t="n">
        <f aca="false">IF(AP1053&gt;0,J1053/AP1053,-1)</f>
        <v>196.5</v>
      </c>
      <c r="AT1053" s="58" t="str">
        <f aca="false">IF(AND(OR(BY1053="L1",BY1053="L23"),AP1053&gt;0),SUMIFS($AP$7:$AP$1843,$BY$7:$BY$1843,BY1053,$AS$7:$AS$1843,"&gt;"&amp;AS1053)+SUMIFS($AP$7:$AP$1843,$BY$7:$BY$1843,BY1053,$AS$7:$AS$1843,AS1053,$BQ$7:$BQ$1843,"&lt;="&amp;BQ1053),"")</f>
        <v/>
      </c>
      <c r="AU1053" s="65" t="n">
        <f aca="false">IF(AT1053="",0,MAX(0,MIN(1,(IF(BY1053="L1",Parameter!$E$5,Parameter!$E$6+Parameter!$E$7)-(AT1053-AP1053))/AP1053)))</f>
        <v>0</v>
      </c>
      <c r="AV1053" s="57" t="n">
        <f aca="false">IF(LEFT(Cockpit!$O$5,1)="A",H1053,IF(CA1053=1,CB1053,IF(LEFT(Cockpit!$O$5,1)="B",AZ1053,MAX(AZ1053,H1053))))</f>
        <v>270</v>
      </c>
      <c r="AW1053" s="57" t="n">
        <f aca="false">IF(BT1053=1,0,ROUNDUP(AV1053/BS1053,0))</f>
        <v>2</v>
      </c>
      <c r="AX1053" s="59" t="n">
        <f aca="false">IF(CH1053&gt;0,CH1053*MAX(1,AV1053/X1053),IF(BT1053=1,IF(AV1053&lt;=0,0,BW1053*MAX(1,IF(H1053&gt;0,AV1053/H1053,1))),IF(R1053&gt;0,AW1053/R1053,0))/MAX(0.1,N(Parameter!$M$21)))</f>
        <v>0.666666666666667</v>
      </c>
      <c r="AY1053" s="57" t="n">
        <f aca="false">AV1053*G1053</f>
        <v>1250.1</v>
      </c>
      <c r="AZ1053" s="57" t="n">
        <f aca="false">ROUNDUP(MAX(J1053/IF(BZ1053&gt;0,BZ1053,MAX(0.1,N(Cockpit!$O$6))),CC1053)/BS1053,0)*BS1053</f>
        <v>270</v>
      </c>
      <c r="BA1053" s="58" t="n">
        <f aca="false">IF(AX1053&gt;0,J1053/AX1053,-1)</f>
        <v>196.5</v>
      </c>
      <c r="BB1053" s="58" t="str">
        <f aca="false">IF(AND(OR(BY1053="L1",BY1053="L23"),AX1053&gt;0),SUMIFS($AX$7:$AX$1843,$BY$7:$BY$1843,BY1053,$BA$7:$BA$1843,"&gt;"&amp;BA1053)+SUMIFS($AX$7:$AX$1843,$BY$7:$BY$1843,BY1053,$BA$7:$BA$1843,BA1053,$BQ$7:$BQ$1843,"&lt;="&amp;BQ1053),"")</f>
        <v/>
      </c>
      <c r="BC1053" s="65" t="n">
        <f aca="false">IF(BB1053="",0,MAX(0,MIN(1,(IF(BY1053="L1",Parameter!$E$5,Parameter!$E$6+Parameter!$E$7)-(BB1053-AX1053))/AX1053)))</f>
        <v>0</v>
      </c>
      <c r="BD1053" s="55" t="str">
        <f aca="false">IF(AH1053&lt;=0,"",IF(BY1053="Aussen","Aussenlager",IF(BY1053="-","Nicht im Lift",IF(AM1053&gt;=1,"Lift",IF(AM1053&lt;=0,"Aussenlager","teilweise")))))</f>
        <v>Nicht im Lift</v>
      </c>
      <c r="BE1053" s="55" t="str">
        <f aca="false">IF(AP1053&lt;=0,"",IF(BY1053="Aussen","Aussenlager",IF(BY1053="-","Nicht im Lift",IF(AU1053&gt;=1,"Lift",IF(AU1053&lt;=0,"Aussenlager","teilweise")))))</f>
        <v>Nicht im Lift</v>
      </c>
      <c r="BF1053" s="55" t="str">
        <f aca="false">IF(AX1053&lt;=0,"",IF(BY1053="Aussen","Aussenlager",IF(BY1053="-","Nicht im Lift",IF(BC1053&gt;=1,"Lift",IF(BC1053&lt;=0,"Aussenlager","teilweise")))))</f>
        <v>Nicht im Lift</v>
      </c>
      <c r="BG1053" s="55" t="str">
        <f aca="false">IF(A1053="","",IF(BP1053=1,"Neu; ","")&amp;IF(AND(BP1053=0,BK1053&lt;0),"negativer Bestand (Export "&amp;BK1053&amp;"); ","")&amp;IF(J1053&lt;=0,"Kein Verbrauch; ","")&amp;IF(CH1053&gt;0,"Lift "&amp;W1053&amp;" lt. Liftbericht (Fach "&amp;X1053&amp;" Stk); ",IF(BU1053=1,"Gebinde geschätzt ("&amp;T1053&amp;"); ",IF(BT1053=1,"Lose – Tablare geschätzt; ","")))&amp;IF(H1053&gt;AR1053,"Überbestand "&amp;ROUND(H1053-AR1053,0)&amp;" Stk / CHF "&amp;ROUND((H1053-AR1053)*G1053,0)&amp;"; ","")&amp;IF(AND(CA1053=1,CB1053&lt;CC1053),"MAX &lt; MB+LG; ","")&amp;IF(AND(CG1053&gt;0,CF1053*10&gt;CG1053),"zu hoch für Tablar; ","")&amp;IF(AND(BP1053=0,OR(CA1053=1,AA1053&lt;&gt;"",U1053&lt;&gt;"",V1053&lt;&gt;"",AB1053&lt;&gt;"")),"manuell übersteuert; ","")&amp;IF(AND(BT1053=0,R1053=0),"Gebinde unbekannt / Stellmass fehlt; ","")&amp;IF(AND(BT1053=0,N(V1053)&lt;=0,N(Q1053)&lt;=0),"Menge pro Gebinde fehlt (Ist = 1 Gebinde); ","")&amp;BO1053)</f>
        <v>negativer Bestand (Export -35); Gebinde geschätzt (Gross); Menge pro Gebinde fehlt (Ist = 1 Gebinde); </v>
      </c>
      <c r="BH1053" s="55"/>
      <c r="BI1053" s="55"/>
      <c r="BJ1053" s="62"/>
      <c r="BK1053" s="57" t="n">
        <v>-35</v>
      </c>
      <c r="BL1053" s="57" t="n">
        <v>153</v>
      </c>
      <c r="BM1053" s="56" t="n">
        <v>-146.750000000001</v>
      </c>
      <c r="BN1053" s="57" t="n">
        <v>131</v>
      </c>
      <c r="BO1053" s="55"/>
      <c r="BP1053" s="60" t="n">
        <v>0</v>
      </c>
      <c r="BQ1053" s="60" t="n">
        <v>1053</v>
      </c>
      <c r="BR1053" s="55" t="str">
        <f aca="false">IF(U1053&lt;&gt;"",UPPER(TRIM(U1053)),IF(BU1053=1,UPPER(VLOOKUP(T1053,Parameter!$I$27:$K$29,2,0)),IF(P1053="","LOSE",P1053)))</f>
        <v>S81</v>
      </c>
      <c r="BS1053" s="57" t="n">
        <f aca="false">IF(BR1053="LOSE",1,IF(N(V1053)&gt;0,V1053,IF(BU1053=1,MAX(1,N(VLOOKUP(T1053,Parameter!$I$27:$K$29,3,0)),H1053,N(N1053)),IF(N(Q1053)&gt;0,Q1053,MAX(1,H1053)))))</f>
        <v>135</v>
      </c>
      <c r="BT1053" s="60" t="n">
        <f aca="false">IF(BR1053="LOSE",1,0)</f>
        <v>0</v>
      </c>
      <c r="BU1053" s="60" t="n">
        <f aca="false">IF(AND(U1053="",OR(P1053="",P1053="LOSE"),T1053&lt;&gt;"",N(S1053)&lt;=0,ISNUMBER(MATCH(T1053,Parameter!$I$27:$I$29,0))),1,0)</f>
        <v>1</v>
      </c>
      <c r="BV1053" s="55" t="str">
        <f aca="false">IF(AND(Parameter!$B$19="Ja",E1053&lt;&gt;"",ISNUMBER(MATCH(E1053,Parameter!$I$35:$I$52,0))),VLOOKUP(E1053,Parameter!$I$35:$J$52,2,0),IFERROR(VLOOKUP(D1053,Parameter!$A$35:$C$64,2,0),"Nein"))</f>
        <v>Nein</v>
      </c>
      <c r="BW1053" s="59" t="n">
        <f aca="false">IF(BT1053=0,0,IF(N(S1053)&gt;0,S1053,IFERROR(VLOOKUP(D1053,Parameter!$A$35:$C$64,3,0)+0,0)))</f>
        <v>0</v>
      </c>
      <c r="BX1053" s="55" t="str">
        <f aca="false">IF(AA1053&lt;&gt;"",AA1053,Z1053)</f>
        <v>-</v>
      </c>
      <c r="BY1053" s="55" t="str">
        <f aca="false">IF(BX1053=1,"L1",IF(OR(BX1053=2,BX1053=3),"L23",IF(BX1053="Aussen","Aussen","-")))</f>
        <v>-</v>
      </c>
      <c r="BZ1053" s="66" t="n">
        <f aca="false">IF(N(AB1053)&gt;0,AB1053,0)</f>
        <v>0</v>
      </c>
      <c r="CA1053" s="60" t="n">
        <f aca="false">IF(ISNUMBER(AE1053),1,0)</f>
        <v>0</v>
      </c>
      <c r="CB1053" s="57" t="n">
        <f aca="false">N(AE1053)</f>
        <v>0</v>
      </c>
      <c r="CC1053" s="57" t="n">
        <f aca="false">N(M1053)+N(N1053)</f>
        <v>142</v>
      </c>
      <c r="CD1053" s="57" t="n">
        <f aca="false">ROUNDUP(H1053/BS1053,0)</f>
        <v>1</v>
      </c>
      <c r="CE1053" s="57" t="n">
        <f aca="false">ROUNDUP(CB1053/BS1053,0)</f>
        <v>0</v>
      </c>
      <c r="CF1053" s="60" t="n">
        <f aca="false">IF(BT1053=1,0,IFERROR(VLOOKUP(BR1053,'Gebinde-Kategorie'!$A$5:$M$45,5,0)+0,0))</f>
        <v>20</v>
      </c>
      <c r="CG1053" s="60" t="n">
        <f aca="false">IFERROR(IF(OR(BX1053=1,BX1053=2,BX1053=3),N(INDEX(Parameter!$I$5:$I$7,BX1053)),0),0)</f>
        <v>0</v>
      </c>
      <c r="CH1053" s="59" t="n">
        <f aca="false">IF(AND(Parameter!$B$21="Ja",ISNUMBER(W1053),N(X1053)&gt;0),IFERROR(N(INDEX(Parameter!$L$5:$L$7,W1053))*INDEX(Parameter!$E$5:$E$7,W1053)*X1053/SUMIFS($X$7:$X$1843,$W$7:$W$1843,W1053),0),0)</f>
        <v>0</v>
      </c>
    </row>
    <row r="1054" customFormat="false" ht="15" hidden="false" customHeight="false" outlineLevel="0" collapsed="false">
      <c r="A1054" s="55" t="s">
        <v>1927</v>
      </c>
      <c r="B1054" s="55" t="s">
        <v>1928</v>
      </c>
      <c r="C1054" s="55" t="s">
        <v>164</v>
      </c>
      <c r="D1054" s="55" t="s">
        <v>184</v>
      </c>
      <c r="E1054" s="55" t="s">
        <v>185</v>
      </c>
      <c r="F1054" s="55" t="s">
        <v>218</v>
      </c>
      <c r="G1054" s="56" t="n">
        <v>23.75</v>
      </c>
      <c r="H1054" s="57" t="n">
        <f aca="false">MAX(0,IF(AND(Parameter!$B$21="Ja",ISNUMBER(Y1054)),Y1054,IF(Parameter!$B$20="Jahresanfang 2025 + Export",BL1054+BK1054,BK1054)))</f>
        <v>2</v>
      </c>
      <c r="I1054" s="57" t="n">
        <f aca="false">H1054*G1054</f>
        <v>47.5</v>
      </c>
      <c r="J1054" s="57" t="n">
        <f aca="false">BN1054*Parameter!$B$18</f>
        <v>19</v>
      </c>
      <c r="K1054" s="58" t="n">
        <v>7</v>
      </c>
      <c r="L1054" s="59" t="n">
        <v>2.71428571428571</v>
      </c>
      <c r="M1054" s="57" t="n">
        <v>1</v>
      </c>
      <c r="N1054" s="57" t="n">
        <v>20</v>
      </c>
      <c r="O1054" s="60" t="n">
        <v>28</v>
      </c>
      <c r="P1054" s="55" t="s">
        <v>328</v>
      </c>
      <c r="Q1054" s="57" t="n">
        <v>9</v>
      </c>
      <c r="R1054" s="60" t="n">
        <f aca="false">IF(BT1054=1,0,IFERROR(VLOOKUP(BR1054,'Gebinde-Kategorie'!$A$5:$M$45,13,0)+0,0))</f>
        <v>52</v>
      </c>
      <c r="S1054" s="61"/>
      <c r="T1054" s="62"/>
      <c r="U1054" s="62"/>
      <c r="V1054" s="62"/>
      <c r="W1054" s="55"/>
      <c r="X1054" s="57"/>
      <c r="Y1054" s="57"/>
      <c r="Z1054" s="55" t="n">
        <f aca="false">IF(A1054="","",IF(AND(Parameter!$B$21="Ja",ISNUMBER(W1054)),W1054,IF(BV1054="2+3",IF(ISNUMBER(SEARCH("grosser Artikel",BO1054)),2,IFERROR(VLOOKUP(BR1054,Parameter!$F$35:$G$64,2,0),2)),IF(OR(BV1054="Nein",BV1054=""),"-",BV1054))))</f>
        <v>3</v>
      </c>
      <c r="AA1054" s="62"/>
      <c r="AB1054" s="63"/>
      <c r="AC1054" s="57" t="n">
        <f aca="false">AR1054</f>
        <v>27</v>
      </c>
      <c r="AD1054" s="57" t="n">
        <f aca="false">MAX(AR1054,H1054)</f>
        <v>27</v>
      </c>
      <c r="AE1054" s="64"/>
      <c r="AF1054" s="57" t="n">
        <f aca="false">IF(LEFT(Cockpit!$C$5,1)="A",H1054,IF(CA1054=1,CB1054,IF(LEFT(Cockpit!$C$5,1)="B",AJ1054,MAX(AJ1054,H1054))))</f>
        <v>2</v>
      </c>
      <c r="AG1054" s="57" t="n">
        <f aca="false">IF(BT1054=1,0,ROUNDUP(AF1054/BS1054,0))</f>
        <v>1</v>
      </c>
      <c r="AH1054" s="59" t="n">
        <f aca="false">IF(CH1054&gt;0,CH1054*MAX(1,AF1054/X1054),IF(BT1054=1,IF(AF1054&lt;=0,0,BW1054*MAX(1,IF(H1054&gt;0,AF1054/H1054,1))),IF(R1054&gt;0,AG1054/R1054,0))/MAX(0.1,N(Parameter!$M$21)))</f>
        <v>0.0192307692307692</v>
      </c>
      <c r="AI1054" s="57" t="n">
        <f aca="false">AF1054*G1054</f>
        <v>47.5</v>
      </c>
      <c r="AJ1054" s="57" t="n">
        <f aca="false">ROUNDUP(MAX(J1054/IF(BZ1054&gt;0,BZ1054,MAX(0.1,N(Cockpit!$C$6))),CC1054)/BS1054,0)*BS1054</f>
        <v>27</v>
      </c>
      <c r="AK1054" s="58" t="n">
        <f aca="false">IF(AH1054&gt;0,J1054/AH1054,-1)</f>
        <v>988</v>
      </c>
      <c r="AL1054" s="58" t="n">
        <f aca="false">IF(AND(OR(BY1054="L1",BY1054="L23"),AH1054&gt;0),SUMIFS($AH$7:$AH$1843,$BY$7:$BY$1843,BY1054,$AK$7:$AK$1843,"&gt;"&amp;AK1054)+SUMIFS($AH$7:$AH$1843,$BY$7:$BY$1843,BY1054,$AK$7:$AK$1843,AK1054,$BQ$7:$BQ$1843,"&lt;="&amp;BQ1054),"")</f>
        <v>18.0753859666903</v>
      </c>
      <c r="AM1054" s="65" t="n">
        <f aca="false">IF(AL1054="",0,MAX(0,MIN(1,(IF(BY1054="L1",Parameter!$E$5,Parameter!$E$6+Parameter!$E$7)-(AL1054-AH1054))/AH1054)))</f>
        <v>1</v>
      </c>
      <c r="AN1054" s="57" t="n">
        <f aca="false">IF(LEFT(Cockpit!$I$5,1)="A",H1054,IF(CA1054=1,CB1054,IF(LEFT(Cockpit!$I$5,1)="B",AR1054,MAX(AR1054,H1054))))</f>
        <v>27</v>
      </c>
      <c r="AO1054" s="57" t="n">
        <f aca="false">IF(BT1054=1,0,ROUNDUP(AN1054/BS1054,0))</f>
        <v>3</v>
      </c>
      <c r="AP1054" s="59" t="n">
        <f aca="false">IF(CH1054&gt;0,CH1054*MAX(1,AN1054/X1054),IF(BT1054=1,IF(AN1054&lt;=0,0,BW1054*MAX(1,IF(H1054&gt;0,AN1054/H1054,1))),IF(R1054&gt;0,AO1054/R1054,0))/MAX(0.1,N(Parameter!$M$21)))</f>
        <v>0.0576923076923077</v>
      </c>
      <c r="AQ1054" s="57" t="n">
        <f aca="false">AN1054*G1054</f>
        <v>641.25</v>
      </c>
      <c r="AR1054" s="57" t="n">
        <f aca="false">ROUNDUP(MAX(J1054/IF(BZ1054&gt;0,BZ1054,MAX(0.1,N(Cockpit!$I$6))),CC1054)/BS1054,0)*BS1054</f>
        <v>27</v>
      </c>
      <c r="AS1054" s="58" t="n">
        <f aca="false">IF(AP1054&gt;0,J1054/AP1054,-1)</f>
        <v>329.333333333333</v>
      </c>
      <c r="AT1054" s="58" t="n">
        <f aca="false">IF(AND(OR(BY1054="L1",BY1054="L23"),AP1054&gt;0),SUMIFS($AP$7:$AP$1843,$BY$7:$BY$1843,BY1054,$AS$7:$AS$1843,"&gt;"&amp;AS1054)+SUMIFS($AP$7:$AP$1843,$BY$7:$BY$1843,BY1054,$AS$7:$AS$1843,AS1054,$BQ$7:$BQ$1843,"&lt;="&amp;BQ1054),"")</f>
        <v>40.061163474207</v>
      </c>
      <c r="AU1054" s="65" t="n">
        <f aca="false">IF(AT1054="",0,MAX(0,MIN(1,(IF(BY1054="L1",Parameter!$E$5,Parameter!$E$6+Parameter!$E$7)-(AT1054-AP1054))/AP1054)))</f>
        <v>1</v>
      </c>
      <c r="AV1054" s="57" t="n">
        <f aca="false">IF(LEFT(Cockpit!$O$5,1)="A",H1054,IF(CA1054=1,CB1054,IF(LEFT(Cockpit!$O$5,1)="B",AZ1054,MAX(AZ1054,H1054))))</f>
        <v>27</v>
      </c>
      <c r="AW1054" s="57" t="n">
        <f aca="false">IF(BT1054=1,0,ROUNDUP(AV1054/BS1054,0))</f>
        <v>3</v>
      </c>
      <c r="AX1054" s="59" t="n">
        <f aca="false">IF(CH1054&gt;0,CH1054*MAX(1,AV1054/X1054),IF(BT1054=1,IF(AV1054&lt;=0,0,BW1054*MAX(1,IF(H1054&gt;0,AV1054/H1054,1))),IF(R1054&gt;0,AW1054/R1054,0))/MAX(0.1,N(Parameter!$M$21)))</f>
        <v>0.0576923076923077</v>
      </c>
      <c r="AY1054" s="57" t="n">
        <f aca="false">AV1054*G1054</f>
        <v>641.25</v>
      </c>
      <c r="AZ1054" s="57" t="n">
        <f aca="false">ROUNDUP(MAX(J1054/IF(BZ1054&gt;0,BZ1054,MAX(0.1,N(Cockpit!$O$6))),CC1054)/BS1054,0)*BS1054</f>
        <v>27</v>
      </c>
      <c r="BA1054" s="58" t="n">
        <f aca="false">IF(AX1054&gt;0,J1054/AX1054,-1)</f>
        <v>329.333333333333</v>
      </c>
      <c r="BB1054" s="58" t="n">
        <f aca="false">IF(AND(OR(BY1054="L1",BY1054="L23"),AX1054&gt;0),SUMIFS($AX$7:$AX$1843,$BY$7:$BY$1843,BY1054,$BA$7:$BA$1843,"&gt;"&amp;BA1054)+SUMIFS($AX$7:$AX$1843,$BY$7:$BY$1843,BY1054,$BA$7:$BA$1843,BA1054,$BQ$7:$BQ$1843,"&lt;="&amp;BQ1054),"")</f>
        <v>36.3910003040438</v>
      </c>
      <c r="BC1054" s="65" t="n">
        <f aca="false">IF(BB1054="",0,MAX(0,MIN(1,(IF(BY1054="L1",Parameter!$E$5,Parameter!$E$6+Parameter!$E$7)-(BB1054-AX1054))/AX1054)))</f>
        <v>1</v>
      </c>
      <c r="BD1054" s="55" t="str">
        <f aca="false">IF(AH1054&lt;=0,"",IF(BY1054="Aussen","Aussenlager",IF(BY1054="-","Nicht im Lift",IF(AM1054&gt;=1,"Lift",IF(AM1054&lt;=0,"Aussenlager","teilweise")))))</f>
        <v>Lift</v>
      </c>
      <c r="BE1054" s="55" t="str">
        <f aca="false">IF(AP1054&lt;=0,"",IF(BY1054="Aussen","Aussenlager",IF(BY1054="-","Nicht im Lift",IF(AU1054&gt;=1,"Lift",IF(AU1054&lt;=0,"Aussenlager","teilweise")))))</f>
        <v>Lift</v>
      </c>
      <c r="BF1054" s="55" t="str">
        <f aca="false">IF(AX1054&lt;=0,"",IF(BY1054="Aussen","Aussenlager",IF(BY1054="-","Nicht im Lift",IF(BC1054&gt;=1,"Lift",IF(BC1054&lt;=0,"Aussenlager","teilweise")))))</f>
        <v>Lift</v>
      </c>
      <c r="BG1054" s="55" t="str">
        <f aca="false">IF(A1054="","",IF(BP1054=1,"Neu; ","")&amp;IF(AND(BP1054=0,BK1054&lt;0),"negativer Bestand (Export "&amp;BK1054&amp;"); ","")&amp;IF(J1054&lt;=0,"Kein Verbrauch; ","")&amp;IF(CH1054&gt;0,"Lift "&amp;W1054&amp;" lt. Liftbericht (Fach "&amp;X1054&amp;" Stk); ",IF(BU1054=1,"Gebinde geschätzt ("&amp;T1054&amp;"); ",IF(BT1054=1,"Lose – Tablare geschätzt; ","")))&amp;IF(H1054&gt;AR1054,"Überbestand "&amp;ROUND(H1054-AR1054,0)&amp;" Stk / CHF "&amp;ROUND((H1054-AR1054)*G1054,0)&amp;"; ","")&amp;IF(AND(CA1054=1,CB1054&lt;CC1054),"MAX &lt; MB+LG; ","")&amp;IF(AND(CG1054&gt;0,CF1054*10&gt;CG1054),"zu hoch für Tablar; ","")&amp;IF(AND(BP1054=0,OR(CA1054=1,AA1054&lt;&gt;"",U1054&lt;&gt;"",V1054&lt;&gt;"",AB1054&lt;&gt;"")),"manuell übersteuert; ","")&amp;IF(AND(BT1054=0,R1054=0),"Gebinde unbekannt / Stellmass fehlt; ","")&amp;IF(AND(BT1054=0,N(V1054)&lt;=0,N(Q1054)&lt;=0),"Menge pro Gebinde fehlt (Ist = 1 Gebinde); ","")&amp;BO1054)</f>
        <v>negativer Bestand (Export -7); Neu</v>
      </c>
      <c r="BH1054" s="55"/>
      <c r="BI1054" s="55"/>
      <c r="BJ1054" s="62"/>
      <c r="BK1054" s="57" t="n">
        <v>-7</v>
      </c>
      <c r="BL1054" s="57" t="n">
        <v>9</v>
      </c>
      <c r="BM1054" s="56" t="n">
        <v>-146.81</v>
      </c>
      <c r="BN1054" s="57" t="n">
        <v>19</v>
      </c>
      <c r="BO1054" s="55" t="s">
        <v>626</v>
      </c>
      <c r="BP1054" s="60" t="n">
        <v>0</v>
      </c>
      <c r="BQ1054" s="60" t="n">
        <v>1054</v>
      </c>
      <c r="BR1054" s="55" t="str">
        <f aca="false">IF(U1054&lt;&gt;"",UPPER(TRIM(U1054)),IF(BU1054=1,UPPER(VLOOKUP(T1054,Parameter!$I$27:$K$29,2,0)),IF(P1054="","LOSE",P1054)))</f>
        <v>S41</v>
      </c>
      <c r="BS1054" s="57" t="n">
        <f aca="false">IF(BR1054="LOSE",1,IF(N(V1054)&gt;0,V1054,IF(BU1054=1,MAX(1,N(VLOOKUP(T1054,Parameter!$I$27:$K$29,3,0)),H1054,N(N1054)),IF(N(Q1054)&gt;0,Q1054,MAX(1,H1054)))))</f>
        <v>9</v>
      </c>
      <c r="BT1054" s="60" t="n">
        <f aca="false">IF(BR1054="LOSE",1,0)</f>
        <v>0</v>
      </c>
      <c r="BU1054" s="60" t="n">
        <f aca="false">IF(AND(U1054="",OR(P1054="",P1054="LOSE"),T1054&lt;&gt;"",N(S1054)&lt;=0,ISNUMBER(MATCH(T1054,Parameter!$I$27:$I$29,0))),1,0)</f>
        <v>0</v>
      </c>
      <c r="BV1054" s="55" t="str">
        <f aca="false">IF(AND(Parameter!$B$19="Ja",E1054&lt;&gt;"",ISNUMBER(MATCH(E1054,Parameter!$I$35:$I$52,0))),VLOOKUP(E1054,Parameter!$I$35:$J$52,2,0),IFERROR(VLOOKUP(D1054,Parameter!$A$35:$C$64,2,0),"Nein"))</f>
        <v>2+3</v>
      </c>
      <c r="BW1054" s="59" t="n">
        <f aca="false">IF(BT1054=0,0,IF(N(S1054)&gt;0,S1054,IFERROR(VLOOKUP(D1054,Parameter!$A$35:$C$64,3,0)+0,0)))</f>
        <v>0</v>
      </c>
      <c r="BX1054" s="55" t="n">
        <f aca="false">IF(AA1054&lt;&gt;"",AA1054,Z1054)</f>
        <v>3</v>
      </c>
      <c r="BY1054" s="55" t="str">
        <f aca="false">IF(BX1054=1,"L1",IF(OR(BX1054=2,BX1054=3),"L23",IF(BX1054="Aussen","Aussen","-")))</f>
        <v>L23</v>
      </c>
      <c r="BZ1054" s="66" t="n">
        <f aca="false">IF(N(AB1054)&gt;0,AB1054,0)</f>
        <v>0</v>
      </c>
      <c r="CA1054" s="60" t="n">
        <f aca="false">IF(ISNUMBER(AE1054),1,0)</f>
        <v>0</v>
      </c>
      <c r="CB1054" s="57" t="n">
        <f aca="false">N(AE1054)</f>
        <v>0</v>
      </c>
      <c r="CC1054" s="57" t="n">
        <f aca="false">N(M1054)+N(N1054)</f>
        <v>21</v>
      </c>
      <c r="CD1054" s="57" t="n">
        <f aca="false">ROUNDUP(H1054/BS1054,0)</f>
        <v>1</v>
      </c>
      <c r="CE1054" s="57" t="n">
        <f aca="false">ROUNDUP(CB1054/BS1054,0)</f>
        <v>0</v>
      </c>
      <c r="CF1054" s="60" t="n">
        <f aca="false">IF(BT1054=1,0,IFERROR(VLOOKUP(BR1054,'Gebinde-Kategorie'!$A$5:$M$45,5,0)+0,0))</f>
        <v>11</v>
      </c>
      <c r="CG1054" s="60" t="n">
        <f aca="false">IFERROR(IF(OR(BX1054=1,BX1054=2,BX1054=3),N(INDEX(Parameter!$I$5:$I$7,BX1054)),0),0)</f>
        <v>0</v>
      </c>
      <c r="CH1054" s="59" t="n">
        <f aca="false">IF(AND(Parameter!$B$21="Ja",ISNUMBER(W1054),N(X1054)&gt;0),IFERROR(N(INDEX(Parameter!$L$5:$L$7,W1054))*INDEX(Parameter!$E$5:$E$7,W1054)*X1054/SUMIFS($X$7:$X$1843,$W$7:$W$1843,W1054),0),0)</f>
        <v>0</v>
      </c>
    </row>
    <row r="1055" customFormat="false" ht="15" hidden="false" customHeight="false" outlineLevel="0" collapsed="false">
      <c r="A1055" s="55" t="s">
        <v>1929</v>
      </c>
      <c r="B1055" s="55" t="s">
        <v>1930</v>
      </c>
      <c r="C1055" s="55" t="s">
        <v>456</v>
      </c>
      <c r="D1055" s="55" t="s">
        <v>173</v>
      </c>
      <c r="E1055" s="55" t="s">
        <v>1479</v>
      </c>
      <c r="F1055" s="55" t="s">
        <v>218</v>
      </c>
      <c r="G1055" s="56" t="n">
        <v>147.86</v>
      </c>
      <c r="H1055" s="57" t="n">
        <f aca="false">MAX(0,IF(AND(Parameter!$B$21="Ja",ISNUMBER(Y1055)),Y1055,IF(Parameter!$B$20="Jahresanfang 2025 + Export",BL1055+BK1055,BK1055)))</f>
        <v>0</v>
      </c>
      <c r="I1055" s="57" t="n">
        <f aca="false">H1055*G1055</f>
        <v>0</v>
      </c>
      <c r="J1055" s="57" t="n">
        <f aca="false">BN1055*Parameter!$B$18</f>
        <v>0</v>
      </c>
      <c r="K1055" s="58" t="n">
        <v>0.5</v>
      </c>
      <c r="L1055" s="59" t="n">
        <v>0</v>
      </c>
      <c r="M1055" s="57" t="n">
        <v>0</v>
      </c>
      <c r="N1055" s="57" t="n">
        <v>1</v>
      </c>
      <c r="O1055" s="60" t="n">
        <v>56</v>
      </c>
      <c r="P1055" s="55" t="s">
        <v>168</v>
      </c>
      <c r="Q1055" s="57"/>
      <c r="R1055" s="60" t="n">
        <f aca="false">IF(BT1055=1,0,IFERROR(VLOOKUP(BR1055,'Gebinde-Kategorie'!$A$5:$M$45,13,0)+0,0))</f>
        <v>3</v>
      </c>
      <c r="S1055" s="61"/>
      <c r="T1055" s="62" t="s">
        <v>189</v>
      </c>
      <c r="U1055" s="62"/>
      <c r="V1055" s="62"/>
      <c r="W1055" s="55"/>
      <c r="X1055" s="57"/>
      <c r="Y1055" s="57"/>
      <c r="Z1055" s="55" t="str">
        <f aca="false">IF(A1055="","",IF(AND(Parameter!$B$21="Ja",ISNUMBER(W1055)),W1055,IF(BV1055="2+3",IF(ISNUMBER(SEARCH("grosser Artikel",BO1055)),2,IFERROR(VLOOKUP(BR1055,Parameter!$F$35:$G$64,2,0),2)),IF(OR(BV1055="Nein",BV1055=""),"-",BV1055))))</f>
        <v>-</v>
      </c>
      <c r="AA1055" s="62"/>
      <c r="AB1055" s="63"/>
      <c r="AC1055" s="57" t="n">
        <f aca="false">AR1055</f>
        <v>2</v>
      </c>
      <c r="AD1055" s="57" t="n">
        <f aca="false">MAX(AR1055,H1055)</f>
        <v>2</v>
      </c>
      <c r="AE1055" s="64"/>
      <c r="AF1055" s="57" t="n">
        <f aca="false">IF(LEFT(Cockpit!$C$5,1)="A",H1055,IF(CA1055=1,CB1055,IF(LEFT(Cockpit!$C$5,1)="B",AJ1055,MAX(AJ1055,H1055))))</f>
        <v>0</v>
      </c>
      <c r="AG1055" s="57" t="n">
        <f aca="false">IF(BT1055=1,0,ROUNDUP(AF1055/BS1055,0))</f>
        <v>0</v>
      </c>
      <c r="AH1055" s="59" t="n">
        <f aca="false">IF(CH1055&gt;0,CH1055*MAX(1,AF1055/X1055),IF(BT1055=1,IF(AF1055&lt;=0,0,BW1055*MAX(1,IF(H1055&gt;0,AF1055/H1055,1))),IF(R1055&gt;0,AG1055/R1055,0))/MAX(0.1,N(Parameter!$M$21)))</f>
        <v>0</v>
      </c>
      <c r="AI1055" s="57" t="n">
        <f aca="false">AF1055*G1055</f>
        <v>0</v>
      </c>
      <c r="AJ1055" s="57" t="n">
        <f aca="false">ROUNDUP(MAX(J1055/IF(BZ1055&gt;0,BZ1055,MAX(0.1,N(Cockpit!$C$6))),CC1055)/BS1055,0)*BS1055</f>
        <v>2</v>
      </c>
      <c r="AK1055" s="58" t="n">
        <f aca="false">IF(AH1055&gt;0,J1055/AH1055,-1)</f>
        <v>-1</v>
      </c>
      <c r="AL1055" s="58" t="str">
        <f aca="false">IF(AND(OR(BY1055="L1",BY1055="L23"),AH1055&gt;0),SUMIFS($AH$7:$AH$1843,$BY$7:$BY$1843,BY1055,$AK$7:$AK$1843,"&gt;"&amp;AK1055)+SUMIFS($AH$7:$AH$1843,$BY$7:$BY$1843,BY1055,$AK$7:$AK$1843,AK1055,$BQ$7:$BQ$1843,"&lt;="&amp;BQ1055),"")</f>
        <v/>
      </c>
      <c r="AM1055" s="65" t="n">
        <f aca="false">IF(AL1055="",0,MAX(0,MIN(1,(IF(BY1055="L1",Parameter!$E$5,Parameter!$E$6+Parameter!$E$7)-(AL1055-AH1055))/AH1055)))</f>
        <v>0</v>
      </c>
      <c r="AN1055" s="57" t="n">
        <f aca="false">IF(LEFT(Cockpit!$I$5,1)="A",H1055,IF(CA1055=1,CB1055,IF(LEFT(Cockpit!$I$5,1)="B",AR1055,MAX(AR1055,H1055))))</f>
        <v>2</v>
      </c>
      <c r="AO1055" s="57" t="n">
        <f aca="false">IF(BT1055=1,0,ROUNDUP(AN1055/BS1055,0))</f>
        <v>1</v>
      </c>
      <c r="AP1055" s="59" t="n">
        <f aca="false">IF(CH1055&gt;0,CH1055*MAX(1,AN1055/X1055),IF(BT1055=1,IF(AN1055&lt;=0,0,BW1055*MAX(1,IF(H1055&gt;0,AN1055/H1055,1))),IF(R1055&gt;0,AO1055/R1055,0))/MAX(0.1,N(Parameter!$M$21)))</f>
        <v>0.333333333333333</v>
      </c>
      <c r="AQ1055" s="57" t="n">
        <f aca="false">AN1055*G1055</f>
        <v>295.72</v>
      </c>
      <c r="AR1055" s="57" t="n">
        <f aca="false">ROUNDUP(MAX(J1055/IF(BZ1055&gt;0,BZ1055,MAX(0.1,N(Cockpit!$I$6))),CC1055)/BS1055,0)*BS1055</f>
        <v>2</v>
      </c>
      <c r="AS1055" s="58" t="n">
        <f aca="false">IF(AP1055&gt;0,J1055/AP1055,-1)</f>
        <v>0</v>
      </c>
      <c r="AT1055" s="58" t="str">
        <f aca="false">IF(AND(OR(BY1055="L1",BY1055="L23"),AP1055&gt;0),SUMIFS($AP$7:$AP$1843,$BY$7:$BY$1843,BY1055,$AS$7:$AS$1843,"&gt;"&amp;AS1055)+SUMIFS($AP$7:$AP$1843,$BY$7:$BY$1843,BY1055,$AS$7:$AS$1843,AS1055,$BQ$7:$BQ$1843,"&lt;="&amp;BQ1055),"")</f>
        <v/>
      </c>
      <c r="AU1055" s="65" t="n">
        <f aca="false">IF(AT1055="",0,MAX(0,MIN(1,(IF(BY1055="L1",Parameter!$E$5,Parameter!$E$6+Parameter!$E$7)-(AT1055-AP1055))/AP1055)))</f>
        <v>0</v>
      </c>
      <c r="AV1055" s="57" t="n">
        <f aca="false">IF(LEFT(Cockpit!$O$5,1)="A",H1055,IF(CA1055=1,CB1055,IF(LEFT(Cockpit!$O$5,1)="B",AZ1055,MAX(AZ1055,H1055))))</f>
        <v>2</v>
      </c>
      <c r="AW1055" s="57" t="n">
        <f aca="false">IF(BT1055=1,0,ROUNDUP(AV1055/BS1055,0))</f>
        <v>1</v>
      </c>
      <c r="AX1055" s="59" t="n">
        <f aca="false">IF(CH1055&gt;0,CH1055*MAX(1,AV1055/X1055),IF(BT1055=1,IF(AV1055&lt;=0,0,BW1055*MAX(1,IF(H1055&gt;0,AV1055/H1055,1))),IF(R1055&gt;0,AW1055/R1055,0))/MAX(0.1,N(Parameter!$M$21)))</f>
        <v>0.333333333333333</v>
      </c>
      <c r="AY1055" s="57" t="n">
        <f aca="false">AV1055*G1055</f>
        <v>295.72</v>
      </c>
      <c r="AZ1055" s="57" t="n">
        <f aca="false">ROUNDUP(MAX(J1055/IF(BZ1055&gt;0,BZ1055,MAX(0.1,N(Cockpit!$O$6))),CC1055)/BS1055,0)*BS1055</f>
        <v>2</v>
      </c>
      <c r="BA1055" s="58" t="n">
        <f aca="false">IF(AX1055&gt;0,J1055/AX1055,-1)</f>
        <v>0</v>
      </c>
      <c r="BB1055" s="58" t="str">
        <f aca="false">IF(AND(OR(BY1055="L1",BY1055="L23"),AX1055&gt;0),SUMIFS($AX$7:$AX$1843,$BY$7:$BY$1843,BY1055,$BA$7:$BA$1843,"&gt;"&amp;BA1055)+SUMIFS($AX$7:$AX$1843,$BY$7:$BY$1843,BY1055,$BA$7:$BA$1843,BA1055,$BQ$7:$BQ$1843,"&lt;="&amp;BQ1055),"")</f>
        <v/>
      </c>
      <c r="BC1055" s="65" t="n">
        <f aca="false">IF(BB1055="",0,MAX(0,MIN(1,(IF(BY1055="L1",Parameter!$E$5,Parameter!$E$6+Parameter!$E$7)-(BB1055-AX1055))/AX1055)))</f>
        <v>0</v>
      </c>
      <c r="BD1055" s="55" t="str">
        <f aca="false">IF(AH1055&lt;=0,"",IF(BY1055="Aussen","Aussenlager",IF(BY1055="-","Nicht im Lift",IF(AM1055&gt;=1,"Lift",IF(AM1055&lt;=0,"Aussenlager","teilweise")))))</f>
        <v/>
      </c>
      <c r="BE1055" s="55" t="str">
        <f aca="false">IF(AP1055&lt;=0,"",IF(BY1055="Aussen","Aussenlager",IF(BY1055="-","Nicht im Lift",IF(AU1055&gt;=1,"Lift",IF(AU1055&lt;=0,"Aussenlager","teilweise")))))</f>
        <v>Nicht im Lift</v>
      </c>
      <c r="BF1055" s="55" t="str">
        <f aca="false">IF(AX1055&lt;=0,"",IF(BY1055="Aussen","Aussenlager",IF(BY1055="-","Nicht im Lift",IF(BC1055&gt;=1,"Lift",IF(BC1055&lt;=0,"Aussenlager","teilweise")))))</f>
        <v>Nicht im Lift</v>
      </c>
      <c r="BG1055" s="55" t="str">
        <f aca="false">IF(A1055="","",IF(BP1055=1,"Neu; ","")&amp;IF(AND(BP1055=0,BK1055&lt;0),"negativer Bestand (Export "&amp;BK1055&amp;"); ","")&amp;IF(J1055&lt;=0,"Kein Verbrauch; ","")&amp;IF(CH1055&gt;0,"Lift "&amp;W1055&amp;" lt. Liftbericht (Fach "&amp;X1055&amp;" Stk); ",IF(BU1055=1,"Gebinde geschätzt ("&amp;T1055&amp;"); ",IF(BT1055=1,"Lose – Tablare geschätzt; ","")))&amp;IF(H1055&gt;AR1055,"Überbestand "&amp;ROUND(H1055-AR1055,0)&amp;" Stk / CHF "&amp;ROUND((H1055-AR1055)*G1055,0)&amp;"; ","")&amp;IF(AND(CA1055=1,CB1055&lt;CC1055),"MAX &lt; MB+LG; ","")&amp;IF(AND(CG1055&gt;0,CF1055*10&gt;CG1055),"zu hoch für Tablar; ","")&amp;IF(AND(BP1055=0,OR(CA1055=1,AA1055&lt;&gt;"",U1055&lt;&gt;"",V1055&lt;&gt;"",AB1055&lt;&gt;"")),"manuell übersteuert; ","")&amp;IF(AND(BT1055=0,R1055=0),"Gebinde unbekannt / Stellmass fehlt; ","")&amp;IF(AND(BT1055=0,N(V1055)&lt;=0,N(Q1055)&lt;=0),"Menge pro Gebinde fehlt (Ist = 1 Gebinde); ","")&amp;BO1055)</f>
        <v>negativer Bestand (Export -1); Kein Verbrauch; Gebinde geschätzt (Gross); Menge pro Gebinde fehlt (Ist = 1 Gebinde); Neu</v>
      </c>
      <c r="BH1055" s="55"/>
      <c r="BI1055" s="55"/>
      <c r="BJ1055" s="62"/>
      <c r="BK1055" s="57" t="n">
        <v>-1</v>
      </c>
      <c r="BL1055" s="57" t="n">
        <v>1</v>
      </c>
      <c r="BM1055" s="56" t="n">
        <v>-147.86</v>
      </c>
      <c r="BN1055" s="57" t="n">
        <v>0</v>
      </c>
      <c r="BO1055" s="55" t="s">
        <v>626</v>
      </c>
      <c r="BP1055" s="60" t="n">
        <v>0</v>
      </c>
      <c r="BQ1055" s="60" t="n">
        <v>1055</v>
      </c>
      <c r="BR1055" s="55" t="str">
        <f aca="false">IF(U1055&lt;&gt;"",UPPER(TRIM(U1055)),IF(BU1055=1,UPPER(VLOOKUP(T1055,Parameter!$I$27:$K$29,2,0)),IF(P1055="","LOSE",P1055)))</f>
        <v>S81</v>
      </c>
      <c r="BS1055" s="57" t="n">
        <f aca="false">IF(BR1055="LOSE",1,IF(N(V1055)&gt;0,V1055,IF(BU1055=1,MAX(1,N(VLOOKUP(T1055,Parameter!$I$27:$K$29,3,0)),H1055,N(N1055)),IF(N(Q1055)&gt;0,Q1055,MAX(1,H1055)))))</f>
        <v>2</v>
      </c>
      <c r="BT1055" s="60" t="n">
        <f aca="false">IF(BR1055="LOSE",1,0)</f>
        <v>0</v>
      </c>
      <c r="BU1055" s="60" t="n">
        <f aca="false">IF(AND(U1055="",OR(P1055="",P1055="LOSE"),T1055&lt;&gt;"",N(S1055)&lt;=0,ISNUMBER(MATCH(T1055,Parameter!$I$27:$I$29,0))),1,0)</f>
        <v>1</v>
      </c>
      <c r="BV1055" s="55" t="str">
        <f aca="false">IF(AND(Parameter!$B$19="Ja",E1055&lt;&gt;"",ISNUMBER(MATCH(E1055,Parameter!$I$35:$I$52,0))),VLOOKUP(E1055,Parameter!$I$35:$J$52,2,0),IFERROR(VLOOKUP(D1055,Parameter!$A$35:$C$64,2,0),"Nein"))</f>
        <v>Nein</v>
      </c>
      <c r="BW1055" s="59" t="n">
        <f aca="false">IF(BT1055=0,0,IF(N(S1055)&gt;0,S1055,IFERROR(VLOOKUP(D1055,Parameter!$A$35:$C$64,3,0)+0,0)))</f>
        <v>0</v>
      </c>
      <c r="BX1055" s="55" t="str">
        <f aca="false">IF(AA1055&lt;&gt;"",AA1055,Z1055)</f>
        <v>-</v>
      </c>
      <c r="BY1055" s="55" t="str">
        <f aca="false">IF(BX1055=1,"L1",IF(OR(BX1055=2,BX1055=3),"L23",IF(BX1055="Aussen","Aussen","-")))</f>
        <v>-</v>
      </c>
      <c r="BZ1055" s="66" t="n">
        <f aca="false">IF(N(AB1055)&gt;0,AB1055,0)</f>
        <v>0</v>
      </c>
      <c r="CA1055" s="60" t="n">
        <f aca="false">IF(ISNUMBER(AE1055),1,0)</f>
        <v>0</v>
      </c>
      <c r="CB1055" s="57" t="n">
        <f aca="false">N(AE1055)</f>
        <v>0</v>
      </c>
      <c r="CC1055" s="57" t="n">
        <f aca="false">N(M1055)+N(N1055)</f>
        <v>1</v>
      </c>
      <c r="CD1055" s="57" t="n">
        <f aca="false">ROUNDUP(H1055/BS1055,0)</f>
        <v>0</v>
      </c>
      <c r="CE1055" s="57" t="n">
        <f aca="false">ROUNDUP(CB1055/BS1055,0)</f>
        <v>0</v>
      </c>
      <c r="CF1055" s="60" t="n">
        <f aca="false">IF(BT1055=1,0,IFERROR(VLOOKUP(BR1055,'Gebinde-Kategorie'!$A$5:$M$45,5,0)+0,0))</f>
        <v>20</v>
      </c>
      <c r="CG1055" s="60" t="n">
        <f aca="false">IFERROR(IF(OR(BX1055=1,BX1055=2,BX1055=3),N(INDEX(Parameter!$I$5:$I$7,BX1055)),0),0)</f>
        <v>0</v>
      </c>
      <c r="CH1055" s="59" t="n">
        <f aca="false">IF(AND(Parameter!$B$21="Ja",ISNUMBER(W1055),N(X1055)&gt;0),IFERROR(N(INDEX(Parameter!$L$5:$L$7,W1055))*INDEX(Parameter!$E$5:$E$7,W1055)*X1055/SUMIFS($X$7:$X$1843,$W$7:$W$1843,W1055),0),0)</f>
        <v>0</v>
      </c>
    </row>
    <row r="1056" customFormat="false" ht="15" hidden="false" customHeight="false" outlineLevel="0" collapsed="false">
      <c r="A1056" s="55" t="s">
        <v>1931</v>
      </c>
      <c r="B1056" s="55" t="s">
        <v>1932</v>
      </c>
      <c r="C1056" s="55" t="s">
        <v>164</v>
      </c>
      <c r="D1056" s="55" t="s">
        <v>184</v>
      </c>
      <c r="E1056" s="55"/>
      <c r="F1056" s="55" t="s">
        <v>218</v>
      </c>
      <c r="G1056" s="56" t="n">
        <v>147.96</v>
      </c>
      <c r="H1056" s="57" t="n">
        <f aca="false">MAX(0,IF(AND(Parameter!$B$21="Ja",ISNUMBER(Y1056)),Y1056,IF(Parameter!$B$20="Jahresanfang 2025 + Export",BL1056+BK1056,BK1056)))</f>
        <v>4</v>
      </c>
      <c r="I1056" s="57" t="n">
        <f aca="false">H1056*G1056</f>
        <v>591.84</v>
      </c>
      <c r="J1056" s="57" t="n">
        <f aca="false">BN1056*Parameter!$B$18</f>
        <v>0</v>
      </c>
      <c r="K1056" s="58" t="n">
        <v>4.5</v>
      </c>
      <c r="L1056" s="59" t="n">
        <v>0</v>
      </c>
      <c r="M1056" s="57" t="n">
        <v>0</v>
      </c>
      <c r="N1056" s="57" t="n">
        <v>1</v>
      </c>
      <c r="O1056" s="60" t="n">
        <v>56</v>
      </c>
      <c r="P1056" s="55" t="s">
        <v>302</v>
      </c>
      <c r="Q1056" s="57" t="n">
        <v>5</v>
      </c>
      <c r="R1056" s="60" t="n">
        <f aca="false">IF(BT1056=1,0,IFERROR(VLOOKUP(BR1056,'Gebinde-Kategorie'!$A$5:$M$45,13,0)+0,0))</f>
        <v>26</v>
      </c>
      <c r="S1056" s="61"/>
      <c r="T1056" s="62"/>
      <c r="U1056" s="62"/>
      <c r="V1056" s="62"/>
      <c r="W1056" s="55"/>
      <c r="X1056" s="57"/>
      <c r="Y1056" s="57"/>
      <c r="Z1056" s="55" t="n">
        <f aca="false">IF(A1056="","",IF(AND(Parameter!$B$21="Ja",ISNUMBER(W1056)),W1056,IF(BV1056="2+3",IF(ISNUMBER(SEARCH("grosser Artikel",BO1056)),2,IFERROR(VLOOKUP(BR1056,Parameter!$F$35:$G$64,2,0),2)),IF(OR(BV1056="Nein",BV1056=""),"-",BV1056))))</f>
        <v>3</v>
      </c>
      <c r="AA1056" s="62"/>
      <c r="AB1056" s="63"/>
      <c r="AC1056" s="57" t="n">
        <f aca="false">AR1056</f>
        <v>5</v>
      </c>
      <c r="AD1056" s="57" t="n">
        <f aca="false">MAX(AR1056,H1056)</f>
        <v>5</v>
      </c>
      <c r="AE1056" s="64"/>
      <c r="AF1056" s="57" t="n">
        <f aca="false">IF(LEFT(Cockpit!$C$5,1)="A",H1056,IF(CA1056=1,CB1056,IF(LEFT(Cockpit!$C$5,1)="B",AJ1056,MAX(AJ1056,H1056))))</f>
        <v>4</v>
      </c>
      <c r="AG1056" s="57" t="n">
        <f aca="false">IF(BT1056=1,0,ROUNDUP(AF1056/BS1056,0))</f>
        <v>1</v>
      </c>
      <c r="AH1056" s="59" t="n">
        <f aca="false">IF(CH1056&gt;0,CH1056*MAX(1,AF1056/X1056),IF(BT1056=1,IF(AF1056&lt;=0,0,BW1056*MAX(1,IF(H1056&gt;0,AF1056/H1056,1))),IF(R1056&gt;0,AG1056/R1056,0))/MAX(0.1,N(Parameter!$M$21)))</f>
        <v>0.0384615384615385</v>
      </c>
      <c r="AI1056" s="57" t="n">
        <f aca="false">AF1056*G1056</f>
        <v>591.84</v>
      </c>
      <c r="AJ1056" s="57" t="n">
        <f aca="false">ROUNDUP(MAX(J1056/IF(BZ1056&gt;0,BZ1056,MAX(0.1,N(Cockpit!$C$6))),CC1056)/BS1056,0)*BS1056</f>
        <v>5</v>
      </c>
      <c r="AK1056" s="58" t="n">
        <f aca="false">IF(AH1056&gt;0,J1056/AH1056,-1)</f>
        <v>0</v>
      </c>
      <c r="AL1056" s="58" t="n">
        <f aca="false">IF(AND(OR(BY1056="L1",BY1056="L23"),AH1056&gt;0),SUMIFS($AH$7:$AH$1843,$BY$7:$BY$1843,BY1056,$AK$7:$AK$1843,"&gt;"&amp;AK1056)+SUMIFS($AH$7:$AH$1843,$BY$7:$BY$1843,BY1056,$AK$7:$AK$1843,AK1056,$BQ$7:$BQ$1843,"&lt;="&amp;BQ1056),"")</f>
        <v>79.2488598358164</v>
      </c>
      <c r="AM1056" s="65" t="n">
        <f aca="false">IF(AL1056="",0,MAX(0,MIN(1,(IF(BY1056="L1",Parameter!$E$5,Parameter!$E$6+Parameter!$E$7)-(AL1056-AH1056))/AH1056)))</f>
        <v>1</v>
      </c>
      <c r="AN1056" s="57" t="n">
        <f aca="false">IF(LEFT(Cockpit!$I$5,1)="A",H1056,IF(CA1056=1,CB1056,IF(LEFT(Cockpit!$I$5,1)="B",AR1056,MAX(AR1056,H1056))))</f>
        <v>5</v>
      </c>
      <c r="AO1056" s="57" t="n">
        <f aca="false">IF(BT1056=1,0,ROUNDUP(AN1056/BS1056,0))</f>
        <v>1</v>
      </c>
      <c r="AP1056" s="59" t="n">
        <f aca="false">IF(CH1056&gt;0,CH1056*MAX(1,AN1056/X1056),IF(BT1056=1,IF(AN1056&lt;=0,0,BW1056*MAX(1,IF(H1056&gt;0,AN1056/H1056,1))),IF(R1056&gt;0,AO1056/R1056,0))/MAX(0.1,N(Parameter!$M$21)))</f>
        <v>0.0384615384615385</v>
      </c>
      <c r="AQ1056" s="57" t="n">
        <f aca="false">AN1056*G1056</f>
        <v>739.8</v>
      </c>
      <c r="AR1056" s="57" t="n">
        <f aca="false">ROUNDUP(MAX(J1056/IF(BZ1056&gt;0,BZ1056,MAX(0.1,N(Cockpit!$I$6))),CC1056)/BS1056,0)*BS1056</f>
        <v>5</v>
      </c>
      <c r="AS1056" s="58" t="n">
        <f aca="false">IF(AP1056&gt;0,J1056/AP1056,-1)</f>
        <v>0</v>
      </c>
      <c r="AT1056" s="58" t="n">
        <f aca="false">IF(AND(OR(BY1056="L1",BY1056="L23"),AP1056&gt;0),SUMIFS($AP$7:$AP$1843,$BY$7:$BY$1843,BY1056,$AS$7:$AS$1843,"&gt;"&amp;AS1056)+SUMIFS($AP$7:$AP$1843,$BY$7:$BY$1843,BY1056,$AS$7:$AS$1843,AS1056,$BQ$7:$BQ$1843,"&lt;="&amp;BQ1056),"")</f>
        <v>120.702873213743</v>
      </c>
      <c r="AU1056" s="65" t="n">
        <f aca="false">IF(AT1056="",0,MAX(0,MIN(1,(IF(BY1056="L1",Parameter!$E$5,Parameter!$E$6+Parameter!$E$7)-(AT1056-AP1056))/AP1056)))</f>
        <v>0</v>
      </c>
      <c r="AV1056" s="57" t="n">
        <f aca="false">IF(LEFT(Cockpit!$O$5,1)="A",H1056,IF(CA1056=1,CB1056,IF(LEFT(Cockpit!$O$5,1)="B",AZ1056,MAX(AZ1056,H1056))))</f>
        <v>5</v>
      </c>
      <c r="AW1056" s="57" t="n">
        <f aca="false">IF(BT1056=1,0,ROUNDUP(AV1056/BS1056,0))</f>
        <v>1</v>
      </c>
      <c r="AX1056" s="59" t="n">
        <f aca="false">IF(CH1056&gt;0,CH1056*MAX(1,AV1056/X1056),IF(BT1056=1,IF(AV1056&lt;=0,0,BW1056*MAX(1,IF(H1056&gt;0,AV1056/H1056,1))),IF(R1056&gt;0,AW1056/R1056,0))/MAX(0.1,N(Parameter!$M$21)))</f>
        <v>0.0384615384615385</v>
      </c>
      <c r="AY1056" s="57" t="n">
        <f aca="false">AV1056*G1056</f>
        <v>739.8</v>
      </c>
      <c r="AZ1056" s="57" t="n">
        <f aca="false">ROUNDUP(MAX(J1056/IF(BZ1056&gt;0,BZ1056,MAX(0.1,N(Cockpit!$O$6))),CC1056)/BS1056,0)*BS1056</f>
        <v>5</v>
      </c>
      <c r="BA1056" s="58" t="n">
        <f aca="false">IF(AX1056&gt;0,J1056/AX1056,-1)</f>
        <v>0</v>
      </c>
      <c r="BB1056" s="58" t="n">
        <f aca="false">IF(AND(OR(BY1056="L1",BY1056="L23"),AX1056&gt;0),SUMIFS($AX$7:$AX$1843,$BY$7:$BY$1843,BY1056,$BA$7:$BA$1843,"&gt;"&amp;BA1056)+SUMIFS($AX$7:$AX$1843,$BY$7:$BY$1843,BY1056,$BA$7:$BA$1843,BA1056,$BQ$7:$BQ$1843,"&lt;="&amp;BQ1056),"")</f>
        <v>111.53271004358</v>
      </c>
      <c r="BC1056" s="65" t="n">
        <f aca="false">IF(BB1056="",0,MAX(0,MIN(1,(IF(BY1056="L1",Parameter!$E$5,Parameter!$E$6+Parameter!$E$7)-(BB1056-AX1056))/AX1056)))</f>
        <v>0</v>
      </c>
      <c r="BD1056" s="55" t="str">
        <f aca="false">IF(AH1056&lt;=0,"",IF(BY1056="Aussen","Aussenlager",IF(BY1056="-","Nicht im Lift",IF(AM1056&gt;=1,"Lift",IF(AM1056&lt;=0,"Aussenlager","teilweise")))))</f>
        <v>Lift</v>
      </c>
      <c r="BE1056" s="55" t="str">
        <f aca="false">IF(AP1056&lt;=0,"",IF(BY1056="Aussen","Aussenlager",IF(BY1056="-","Nicht im Lift",IF(AU1056&gt;=1,"Lift",IF(AU1056&lt;=0,"Aussenlager","teilweise")))))</f>
        <v>Aussenlager</v>
      </c>
      <c r="BF1056" s="55" t="str">
        <f aca="false">IF(AX1056&lt;=0,"",IF(BY1056="Aussen","Aussenlager",IF(BY1056="-","Nicht im Lift",IF(BC1056&gt;=1,"Lift",IF(BC1056&lt;=0,"Aussenlager","teilweise")))))</f>
        <v>Aussenlager</v>
      </c>
      <c r="BG1056" s="55" t="str">
        <f aca="false">IF(A1056="","",IF(BP1056=1,"Neu; ","")&amp;IF(AND(BP1056=0,BK1056&lt;0),"negativer Bestand (Export "&amp;BK1056&amp;"); ","")&amp;IF(J1056&lt;=0,"Kein Verbrauch; ","")&amp;IF(CH1056&gt;0,"Lift "&amp;W1056&amp;" lt. Liftbericht (Fach "&amp;X1056&amp;" Stk); ",IF(BU1056=1,"Gebinde geschätzt ("&amp;T1056&amp;"); ",IF(BT1056=1,"Lose – Tablare geschätzt; ","")))&amp;IF(H1056&gt;AR1056,"Überbestand "&amp;ROUND(H1056-AR1056,0)&amp;" Stk / CHF "&amp;ROUND((H1056-AR1056)*G1056,0)&amp;"; ","")&amp;IF(AND(CA1056=1,CB1056&lt;CC1056),"MAX &lt; MB+LG; ","")&amp;IF(AND(CG1056&gt;0,CF1056*10&gt;CG1056),"zu hoch für Tablar; ","")&amp;IF(AND(BP1056=0,OR(CA1056=1,AA1056&lt;&gt;"",U1056&lt;&gt;"",V1056&lt;&gt;"",AB1056&lt;&gt;"")),"manuell übersteuert; ","")&amp;IF(AND(BT1056=0,R1056=0),"Gebinde unbekannt / Stellmass fehlt; ","")&amp;IF(AND(BT1056=0,N(V1056)&lt;=0,N(Q1056)&lt;=0),"Menge pro Gebinde fehlt (Ist = 1 Gebinde); ","")&amp;BO1056)</f>
        <v>negativer Bestand (Export -1); Kein Verbrauch; </v>
      </c>
      <c r="BH1056" s="55"/>
      <c r="BI1056" s="55"/>
      <c r="BJ1056" s="62"/>
      <c r="BK1056" s="57" t="n">
        <v>-1</v>
      </c>
      <c r="BL1056" s="57" t="n">
        <v>5</v>
      </c>
      <c r="BM1056" s="56" t="n">
        <v>-147.96</v>
      </c>
      <c r="BN1056" s="57" t="n">
        <v>0</v>
      </c>
      <c r="BO1056" s="55"/>
      <c r="BP1056" s="60" t="n">
        <v>0</v>
      </c>
      <c r="BQ1056" s="60" t="n">
        <v>1056</v>
      </c>
      <c r="BR1056" s="55" t="str">
        <f aca="false">IF(U1056&lt;&gt;"",UPPER(TRIM(U1056)),IF(BU1056=1,UPPER(VLOOKUP(T1056,Parameter!$I$27:$K$29,2,0)),IF(P1056="","LOSE",P1056)))</f>
        <v>S51</v>
      </c>
      <c r="BS1056" s="57" t="n">
        <f aca="false">IF(BR1056="LOSE",1,IF(N(V1056)&gt;0,V1056,IF(BU1056=1,MAX(1,N(VLOOKUP(T1056,Parameter!$I$27:$K$29,3,0)),H1056,N(N1056)),IF(N(Q1056)&gt;0,Q1056,MAX(1,H1056)))))</f>
        <v>5</v>
      </c>
      <c r="BT1056" s="60" t="n">
        <f aca="false">IF(BR1056="LOSE",1,0)</f>
        <v>0</v>
      </c>
      <c r="BU1056" s="60" t="n">
        <f aca="false">IF(AND(U1056="",OR(P1056="",P1056="LOSE"),T1056&lt;&gt;"",N(S1056)&lt;=0,ISNUMBER(MATCH(T1056,Parameter!$I$27:$I$29,0))),1,0)</f>
        <v>0</v>
      </c>
      <c r="BV1056" s="55" t="str">
        <f aca="false">IF(AND(Parameter!$B$19="Ja",E1056&lt;&gt;"",ISNUMBER(MATCH(E1056,Parameter!$I$35:$I$52,0))),VLOOKUP(E1056,Parameter!$I$35:$J$52,2,0),IFERROR(VLOOKUP(D1056,Parameter!$A$35:$C$64,2,0),"Nein"))</f>
        <v>2+3</v>
      </c>
      <c r="BW1056" s="59" t="n">
        <f aca="false">IF(BT1056=0,0,IF(N(S1056)&gt;0,S1056,IFERROR(VLOOKUP(D1056,Parameter!$A$35:$C$64,3,0)+0,0)))</f>
        <v>0</v>
      </c>
      <c r="BX1056" s="55" t="n">
        <f aca="false">IF(AA1056&lt;&gt;"",AA1056,Z1056)</f>
        <v>3</v>
      </c>
      <c r="BY1056" s="55" t="str">
        <f aca="false">IF(BX1056=1,"L1",IF(OR(BX1056=2,BX1056=3),"L23",IF(BX1056="Aussen","Aussen","-")))</f>
        <v>L23</v>
      </c>
      <c r="BZ1056" s="66" t="n">
        <f aca="false">IF(N(AB1056)&gt;0,AB1056,0)</f>
        <v>0</v>
      </c>
      <c r="CA1056" s="60" t="n">
        <f aca="false">IF(ISNUMBER(AE1056),1,0)</f>
        <v>0</v>
      </c>
      <c r="CB1056" s="57" t="n">
        <f aca="false">N(AE1056)</f>
        <v>0</v>
      </c>
      <c r="CC1056" s="57" t="n">
        <f aca="false">N(M1056)+N(N1056)</f>
        <v>1</v>
      </c>
      <c r="CD1056" s="57" t="n">
        <f aca="false">ROUNDUP(H1056/BS1056,0)</f>
        <v>1</v>
      </c>
      <c r="CE1056" s="57" t="n">
        <f aca="false">ROUNDUP(CB1056/BS1056,0)</f>
        <v>0</v>
      </c>
      <c r="CF1056" s="60" t="n">
        <f aca="false">IF(BT1056=1,0,IFERROR(VLOOKUP(BR1056,'Gebinde-Kategorie'!$A$5:$M$45,5,0)+0,0))</f>
        <v>11</v>
      </c>
      <c r="CG1056" s="60" t="n">
        <f aca="false">IFERROR(IF(OR(BX1056=1,BX1056=2,BX1056=3),N(INDEX(Parameter!$I$5:$I$7,BX1056)),0),0)</f>
        <v>0</v>
      </c>
      <c r="CH1056" s="59" t="n">
        <f aca="false">IF(AND(Parameter!$B$21="Ja",ISNUMBER(W1056),N(X1056)&gt;0),IFERROR(N(INDEX(Parameter!$L$5:$L$7,W1056))*INDEX(Parameter!$E$5:$E$7,W1056)*X1056/SUMIFS($X$7:$X$1843,$W$7:$W$1843,W1056),0),0)</f>
        <v>0</v>
      </c>
    </row>
    <row r="1057" customFormat="false" ht="15" hidden="false" customHeight="false" outlineLevel="0" collapsed="false">
      <c r="A1057" s="55" t="s">
        <v>1933</v>
      </c>
      <c r="B1057" s="55" t="s">
        <v>717</v>
      </c>
      <c r="C1057" s="55" t="s">
        <v>164</v>
      </c>
      <c r="D1057" s="55" t="s">
        <v>173</v>
      </c>
      <c r="E1057" s="55" t="s">
        <v>166</v>
      </c>
      <c r="F1057" s="55" t="s">
        <v>218</v>
      </c>
      <c r="G1057" s="56" t="n">
        <v>75</v>
      </c>
      <c r="H1057" s="57" t="n">
        <f aca="false">MAX(0,IF(AND(Parameter!$B$21="Ja",ISNUMBER(Y1057)),Y1057,IF(Parameter!$B$20="Jahresanfang 2025 + Export",BL1057+BK1057,BK1057)))</f>
        <v>4</v>
      </c>
      <c r="I1057" s="57" t="n">
        <f aca="false">H1057*G1057</f>
        <v>300</v>
      </c>
      <c r="J1057" s="57" t="n">
        <f aca="false">BN1057*Parameter!$B$18</f>
        <v>27</v>
      </c>
      <c r="K1057" s="58" t="n">
        <v>12.5</v>
      </c>
      <c r="L1057" s="59" t="n">
        <v>2.16</v>
      </c>
      <c r="M1057" s="57" t="n">
        <v>1</v>
      </c>
      <c r="N1057" s="57" t="n">
        <v>25</v>
      </c>
      <c r="O1057" s="60" t="n">
        <v>21</v>
      </c>
      <c r="P1057" s="55" t="s">
        <v>186</v>
      </c>
      <c r="Q1057" s="57" t="n">
        <v>25</v>
      </c>
      <c r="R1057" s="60" t="n">
        <f aca="false">IF(BT1057=1,0,IFERROR(VLOOKUP(BR1057,'Gebinde-Kategorie'!$A$5:$M$45,13,0)+0,0))</f>
        <v>12</v>
      </c>
      <c r="S1057" s="61"/>
      <c r="T1057" s="62"/>
      <c r="U1057" s="62"/>
      <c r="V1057" s="62"/>
      <c r="W1057" s="55"/>
      <c r="X1057" s="57"/>
      <c r="Y1057" s="57"/>
      <c r="Z1057" s="55" t="n">
        <f aca="false">IF(A1057="","",IF(AND(Parameter!$B$21="Ja",ISNUMBER(W1057)),W1057,IF(BV1057="2+3",IF(ISNUMBER(SEARCH("grosser Artikel",BO1057)),2,IFERROR(VLOOKUP(BR1057,Parameter!$F$35:$G$64,2,0),2)),IF(OR(BV1057="Nein",BV1057=""),"-",BV1057))))</f>
        <v>1</v>
      </c>
      <c r="AA1057" s="62"/>
      <c r="AB1057" s="63"/>
      <c r="AC1057" s="57" t="n">
        <f aca="false">AR1057</f>
        <v>50</v>
      </c>
      <c r="AD1057" s="57" t="n">
        <f aca="false">MAX(AR1057,H1057)</f>
        <v>50</v>
      </c>
      <c r="AE1057" s="64"/>
      <c r="AF1057" s="57" t="n">
        <f aca="false">IF(LEFT(Cockpit!$C$5,1)="A",H1057,IF(CA1057=1,CB1057,IF(LEFT(Cockpit!$C$5,1)="B",AJ1057,MAX(AJ1057,H1057))))</f>
        <v>4</v>
      </c>
      <c r="AG1057" s="57" t="n">
        <f aca="false">IF(BT1057=1,0,ROUNDUP(AF1057/BS1057,0))</f>
        <v>1</v>
      </c>
      <c r="AH1057" s="59" t="n">
        <f aca="false">IF(CH1057&gt;0,CH1057*MAX(1,AF1057/X1057),IF(BT1057=1,IF(AF1057&lt;=0,0,BW1057*MAX(1,IF(H1057&gt;0,AF1057/H1057,1))),IF(R1057&gt;0,AG1057/R1057,0))/MAX(0.1,N(Parameter!$M$21)))</f>
        <v>0.0833333333333333</v>
      </c>
      <c r="AI1057" s="57" t="n">
        <f aca="false">AF1057*G1057</f>
        <v>300</v>
      </c>
      <c r="AJ1057" s="57" t="n">
        <f aca="false">ROUNDUP(MAX(J1057/IF(BZ1057&gt;0,BZ1057,MAX(0.1,N(Cockpit!$C$6))),CC1057)/BS1057,0)*BS1057</f>
        <v>50</v>
      </c>
      <c r="AK1057" s="58" t="n">
        <f aca="false">IF(AH1057&gt;0,J1057/AH1057,-1)</f>
        <v>324</v>
      </c>
      <c r="AL1057" s="58" t="n">
        <f aca="false">IF(AND(OR(BY1057="L1",BY1057="L23"),AH1057&gt;0),SUMIFS($AH$7:$AH$1843,$BY$7:$BY$1843,BY1057,$AK$7:$AK$1843,"&gt;"&amp;AK1057)+SUMIFS($AH$7:$AH$1843,$BY$7:$BY$1843,BY1057,$AK$7:$AK$1843,AK1057,$BQ$7:$BQ$1843,"&lt;="&amp;BQ1057),"")</f>
        <v>1.58416945373467</v>
      </c>
      <c r="AM1057" s="65" t="n">
        <f aca="false">IF(AL1057="",0,MAX(0,MIN(1,(IF(BY1057="L1",Parameter!$E$5,Parameter!$E$6+Parameter!$E$7)-(AL1057-AH1057))/AH1057)))</f>
        <v>1</v>
      </c>
      <c r="AN1057" s="57" t="n">
        <f aca="false">IF(LEFT(Cockpit!$I$5,1)="A",H1057,IF(CA1057=1,CB1057,IF(LEFT(Cockpit!$I$5,1)="B",AR1057,MAX(AR1057,H1057))))</f>
        <v>50</v>
      </c>
      <c r="AO1057" s="57" t="n">
        <f aca="false">IF(BT1057=1,0,ROUNDUP(AN1057/BS1057,0))</f>
        <v>2</v>
      </c>
      <c r="AP1057" s="59" t="n">
        <f aca="false">IF(CH1057&gt;0,CH1057*MAX(1,AN1057/X1057),IF(BT1057=1,IF(AN1057&lt;=0,0,BW1057*MAX(1,IF(H1057&gt;0,AN1057/H1057,1))),IF(R1057&gt;0,AO1057/R1057,0))/MAX(0.1,N(Parameter!$M$21)))</f>
        <v>0.166666666666667</v>
      </c>
      <c r="AQ1057" s="57" t="n">
        <f aca="false">AN1057*G1057</f>
        <v>3750</v>
      </c>
      <c r="AR1057" s="57" t="n">
        <f aca="false">ROUNDUP(MAX(J1057/IF(BZ1057&gt;0,BZ1057,MAX(0.1,N(Cockpit!$I$6))),CC1057)/BS1057,0)*BS1057</f>
        <v>50</v>
      </c>
      <c r="AS1057" s="58" t="n">
        <f aca="false">IF(AP1057&gt;0,J1057/AP1057,-1)</f>
        <v>162</v>
      </c>
      <c r="AT1057" s="58" t="n">
        <f aca="false">IF(AND(OR(BY1057="L1",BY1057="L23"),AP1057&gt;0),SUMIFS($AP$7:$AP$1843,$BY$7:$BY$1843,BY1057,$AS$7:$AS$1843,"&gt;"&amp;AS1057)+SUMIFS($AP$7:$AP$1843,$BY$7:$BY$1843,BY1057,$AS$7:$AS$1843,AS1057,$BQ$7:$BQ$1843,"&lt;="&amp;BQ1057),"")</f>
        <v>4.24442586399108</v>
      </c>
      <c r="AU1057" s="65" t="n">
        <f aca="false">IF(AT1057="",0,MAX(0,MIN(1,(IF(BY1057="L1",Parameter!$E$5,Parameter!$E$6+Parameter!$E$7)-(AT1057-AP1057))/AP1057)))</f>
        <v>1</v>
      </c>
      <c r="AV1057" s="57" t="n">
        <f aca="false">IF(LEFT(Cockpit!$O$5,1)="A",H1057,IF(CA1057=1,CB1057,IF(LEFT(Cockpit!$O$5,1)="B",AZ1057,MAX(AZ1057,H1057))))</f>
        <v>50</v>
      </c>
      <c r="AW1057" s="57" t="n">
        <f aca="false">IF(BT1057=1,0,ROUNDUP(AV1057/BS1057,0))</f>
        <v>2</v>
      </c>
      <c r="AX1057" s="59" t="n">
        <f aca="false">IF(CH1057&gt;0,CH1057*MAX(1,AV1057/X1057),IF(BT1057=1,IF(AV1057&lt;=0,0,BW1057*MAX(1,IF(H1057&gt;0,AV1057/H1057,1))),IF(R1057&gt;0,AW1057/R1057,0))/MAX(0.1,N(Parameter!$M$21)))</f>
        <v>0.166666666666667</v>
      </c>
      <c r="AY1057" s="57" t="n">
        <f aca="false">AV1057*G1057</f>
        <v>3750</v>
      </c>
      <c r="AZ1057" s="57" t="n">
        <f aca="false">ROUNDUP(MAX(J1057/IF(BZ1057&gt;0,BZ1057,MAX(0.1,N(Cockpit!$O$6))),CC1057)/BS1057,0)*BS1057</f>
        <v>50</v>
      </c>
      <c r="BA1057" s="58" t="n">
        <f aca="false">IF(AX1057&gt;0,J1057/AX1057,-1)</f>
        <v>162</v>
      </c>
      <c r="BB1057" s="58" t="n">
        <f aca="false">IF(AND(OR(BY1057="L1",BY1057="L23"),AX1057&gt;0),SUMIFS($AX$7:$AX$1843,$BY$7:$BY$1843,BY1057,$BA$7:$BA$1843,"&gt;"&amp;BA1057)+SUMIFS($AX$7:$AX$1843,$BY$7:$BY$1843,BY1057,$BA$7:$BA$1843,BA1057,$BQ$7:$BQ$1843,"&lt;="&amp;BQ1057),"")</f>
        <v>3.95596432552954</v>
      </c>
      <c r="BC1057" s="65" t="n">
        <f aca="false">IF(BB1057="",0,MAX(0,MIN(1,(IF(BY1057="L1",Parameter!$E$5,Parameter!$E$6+Parameter!$E$7)-(BB1057-AX1057))/AX1057)))</f>
        <v>1</v>
      </c>
      <c r="BD1057" s="55" t="str">
        <f aca="false">IF(AH1057&lt;=0,"",IF(BY1057="Aussen","Aussenlager",IF(BY1057="-","Nicht im Lift",IF(AM1057&gt;=1,"Lift",IF(AM1057&lt;=0,"Aussenlager","teilweise")))))</f>
        <v>Lift</v>
      </c>
      <c r="BE1057" s="55" t="str">
        <f aca="false">IF(AP1057&lt;=0,"",IF(BY1057="Aussen","Aussenlager",IF(BY1057="-","Nicht im Lift",IF(AU1057&gt;=1,"Lift",IF(AU1057&lt;=0,"Aussenlager","teilweise")))))</f>
        <v>Lift</v>
      </c>
      <c r="BF1057" s="55" t="str">
        <f aca="false">IF(AX1057&lt;=0,"",IF(BY1057="Aussen","Aussenlager",IF(BY1057="-","Nicht im Lift",IF(BC1057&gt;=1,"Lift",IF(BC1057&lt;=0,"Aussenlager","teilweise")))))</f>
        <v>Lift</v>
      </c>
      <c r="BG1057" s="55" t="str">
        <f aca="false">IF(A1057="","",IF(BP1057=1,"Neu; ","")&amp;IF(AND(BP1057=0,BK1057&lt;0),"negativer Bestand (Export "&amp;BK1057&amp;"); ","")&amp;IF(J1057&lt;=0,"Kein Verbrauch; ","")&amp;IF(CH1057&gt;0,"Lift "&amp;W1057&amp;" lt. Liftbericht (Fach "&amp;X1057&amp;" Stk); ",IF(BU1057=1,"Gebinde geschätzt ("&amp;T1057&amp;"); ",IF(BT1057=1,"Lose – Tablare geschätzt; ","")))&amp;IF(H1057&gt;AR1057,"Überbestand "&amp;ROUND(H1057-AR1057,0)&amp;" Stk / CHF "&amp;ROUND((H1057-AR1057)*G1057,0)&amp;"; ","")&amp;IF(AND(CA1057=1,CB1057&lt;CC1057),"MAX &lt; MB+LG; ","")&amp;IF(AND(CG1057&gt;0,CF1057*10&gt;CG1057),"zu hoch für Tablar; ","")&amp;IF(AND(BP1057=0,OR(CA1057=1,AA1057&lt;&gt;"",U1057&lt;&gt;"",V1057&lt;&gt;"",AB1057&lt;&gt;"")),"manuell übersteuert; ","")&amp;IF(AND(BT1057=0,R1057=0),"Gebinde unbekannt / Stellmass fehlt; ","")&amp;IF(AND(BT1057=0,N(V1057)&lt;=0,N(Q1057)&lt;=0),"Menge pro Gebinde fehlt (Ist = 1 Gebinde); ","")&amp;BO1057)</f>
        <v>negativer Bestand (Export -2); </v>
      </c>
      <c r="BH1057" s="55"/>
      <c r="BI1057" s="55"/>
      <c r="BJ1057" s="62"/>
      <c r="BK1057" s="57" t="n">
        <v>-2</v>
      </c>
      <c r="BL1057" s="57" t="n">
        <v>6</v>
      </c>
      <c r="BM1057" s="56" t="n">
        <v>-148.26</v>
      </c>
      <c r="BN1057" s="57" t="n">
        <v>27</v>
      </c>
      <c r="BO1057" s="55"/>
      <c r="BP1057" s="60" t="n">
        <v>0</v>
      </c>
      <c r="BQ1057" s="60" t="n">
        <v>1057</v>
      </c>
      <c r="BR1057" s="55" t="str">
        <f aca="false">IF(U1057&lt;&gt;"",UPPER(TRIM(U1057)),IF(BU1057=1,UPPER(VLOOKUP(T1057,Parameter!$I$27:$K$29,2,0)),IF(P1057="","LOSE",P1057)))</f>
        <v>S61</v>
      </c>
      <c r="BS1057" s="57" t="n">
        <f aca="false">IF(BR1057="LOSE",1,IF(N(V1057)&gt;0,V1057,IF(BU1057=1,MAX(1,N(VLOOKUP(T1057,Parameter!$I$27:$K$29,3,0)),H1057,N(N1057)),IF(N(Q1057)&gt;0,Q1057,MAX(1,H1057)))))</f>
        <v>25</v>
      </c>
      <c r="BT1057" s="60" t="n">
        <f aca="false">IF(BR1057="LOSE",1,0)</f>
        <v>0</v>
      </c>
      <c r="BU1057" s="60" t="n">
        <f aca="false">IF(AND(U1057="",OR(P1057="",P1057="LOSE"),T1057&lt;&gt;"",N(S1057)&lt;=0,ISNUMBER(MATCH(T1057,Parameter!$I$27:$I$29,0))),1,0)</f>
        <v>0</v>
      </c>
      <c r="BV1057" s="55" t="n">
        <f aca="false">IF(AND(Parameter!$B$19="Ja",E1057&lt;&gt;"",ISNUMBER(MATCH(E1057,Parameter!$I$35:$I$52,0))),VLOOKUP(E1057,Parameter!$I$35:$J$52,2,0),IFERROR(VLOOKUP(D1057,Parameter!$A$35:$C$64,2,0),"Nein"))</f>
        <v>1</v>
      </c>
      <c r="BW1057" s="59" t="n">
        <f aca="false">IF(BT1057=0,0,IF(N(S1057)&gt;0,S1057,IFERROR(VLOOKUP(D1057,Parameter!$A$35:$C$64,3,0)+0,0)))</f>
        <v>0</v>
      </c>
      <c r="BX1057" s="55" t="n">
        <f aca="false">IF(AA1057&lt;&gt;"",AA1057,Z1057)</f>
        <v>1</v>
      </c>
      <c r="BY1057" s="55" t="str">
        <f aca="false">IF(BX1057=1,"L1",IF(OR(BX1057=2,BX1057=3),"L23",IF(BX1057="Aussen","Aussen","-")))</f>
        <v>L1</v>
      </c>
      <c r="BZ1057" s="66" t="n">
        <f aca="false">IF(N(AB1057)&gt;0,AB1057,0)</f>
        <v>0</v>
      </c>
      <c r="CA1057" s="60" t="n">
        <f aca="false">IF(ISNUMBER(AE1057),1,0)</f>
        <v>0</v>
      </c>
      <c r="CB1057" s="57" t="n">
        <f aca="false">N(AE1057)</f>
        <v>0</v>
      </c>
      <c r="CC1057" s="57" t="n">
        <f aca="false">N(M1057)+N(N1057)</f>
        <v>26</v>
      </c>
      <c r="CD1057" s="57" t="n">
        <f aca="false">ROUNDUP(H1057/BS1057,0)</f>
        <v>1</v>
      </c>
      <c r="CE1057" s="57" t="n">
        <f aca="false">ROUNDUP(CB1057/BS1057,0)</f>
        <v>0</v>
      </c>
      <c r="CF1057" s="60" t="n">
        <f aca="false">IF(BT1057=1,0,IFERROR(VLOOKUP(BR1057,'Gebinde-Kategorie'!$A$5:$M$45,5,0)+0,0))</f>
        <v>11</v>
      </c>
      <c r="CG1057" s="60" t="n">
        <f aca="false">IFERROR(IF(OR(BX1057=1,BX1057=2,BX1057=3),N(INDEX(Parameter!$I$5:$I$7,BX1057)),0),0)</f>
        <v>0</v>
      </c>
      <c r="CH1057" s="59" t="n">
        <f aca="false">IF(AND(Parameter!$B$21="Ja",ISNUMBER(W1057),N(X1057)&gt;0),IFERROR(N(INDEX(Parameter!$L$5:$L$7,W1057))*INDEX(Parameter!$E$5:$E$7,W1057)*X1057/SUMIFS($X$7:$X$1843,$W$7:$W$1843,W1057),0),0)</f>
        <v>0</v>
      </c>
    </row>
    <row r="1058" customFormat="false" ht="15" hidden="false" customHeight="false" outlineLevel="0" collapsed="false">
      <c r="A1058" s="55" t="s">
        <v>1934</v>
      </c>
      <c r="B1058" s="55" t="s">
        <v>1935</v>
      </c>
      <c r="C1058" s="55" t="s">
        <v>164</v>
      </c>
      <c r="D1058" s="55" t="s">
        <v>184</v>
      </c>
      <c r="E1058" s="55" t="s">
        <v>185</v>
      </c>
      <c r="F1058" s="55" t="s">
        <v>218</v>
      </c>
      <c r="G1058" s="56" t="n">
        <v>4.52</v>
      </c>
      <c r="H1058" s="57" t="n">
        <f aca="false">MAX(0,IF(AND(Parameter!$B$21="Ja",ISNUMBER(Y1058)),Y1058,IF(Parameter!$B$20="Jahresanfang 2025 + Export",BL1058+BK1058,BK1058)))</f>
        <v>42</v>
      </c>
      <c r="I1058" s="57" t="n">
        <f aca="false">H1058*G1058</f>
        <v>189.84</v>
      </c>
      <c r="J1058" s="57" t="n">
        <f aca="false">BN1058*Parameter!$B$18</f>
        <v>93</v>
      </c>
      <c r="K1058" s="58" t="n">
        <v>82.5</v>
      </c>
      <c r="L1058" s="59" t="n">
        <v>1.12727272727273</v>
      </c>
      <c r="M1058" s="57" t="n">
        <v>7</v>
      </c>
      <c r="N1058" s="57" t="n">
        <v>95</v>
      </c>
      <c r="O1058" s="60" t="n">
        <v>28</v>
      </c>
      <c r="P1058" s="55" t="s">
        <v>401</v>
      </c>
      <c r="Q1058" s="57" t="n">
        <v>55</v>
      </c>
      <c r="R1058" s="60" t="n">
        <f aca="false">IF(BT1058=1,0,IFERROR(VLOOKUP(BR1058,'Gebinde-Kategorie'!$A$5:$M$45,13,0)+0,0))</f>
        <v>414</v>
      </c>
      <c r="S1058" s="61"/>
      <c r="T1058" s="62"/>
      <c r="U1058" s="62"/>
      <c r="V1058" s="62"/>
      <c r="W1058" s="55"/>
      <c r="X1058" s="57"/>
      <c r="Y1058" s="57"/>
      <c r="Z1058" s="55" t="n">
        <f aca="false">IF(A1058="","",IF(AND(Parameter!$B$21="Ja",ISNUMBER(W1058)),W1058,IF(BV1058="2+3",IF(ISNUMBER(SEARCH("grosser Artikel",BO1058)),2,IFERROR(VLOOKUP(BR1058,Parameter!$F$35:$G$64,2,0),2)),IF(OR(BV1058="Nein",BV1058=""),"-",BV1058))))</f>
        <v>3</v>
      </c>
      <c r="AA1058" s="62"/>
      <c r="AB1058" s="63"/>
      <c r="AC1058" s="57" t="n">
        <f aca="false">AR1058</f>
        <v>110</v>
      </c>
      <c r="AD1058" s="57" t="n">
        <f aca="false">MAX(AR1058,H1058)</f>
        <v>110</v>
      </c>
      <c r="AE1058" s="64"/>
      <c r="AF1058" s="57" t="n">
        <f aca="false">IF(LEFT(Cockpit!$C$5,1)="A",H1058,IF(CA1058=1,CB1058,IF(LEFT(Cockpit!$C$5,1)="B",AJ1058,MAX(AJ1058,H1058))))</f>
        <v>42</v>
      </c>
      <c r="AG1058" s="57" t="n">
        <f aca="false">IF(BT1058=1,0,ROUNDUP(AF1058/BS1058,0))</f>
        <v>1</v>
      </c>
      <c r="AH1058" s="59" t="n">
        <f aca="false">IF(CH1058&gt;0,CH1058*MAX(1,AF1058/X1058),IF(BT1058=1,IF(AF1058&lt;=0,0,BW1058*MAX(1,IF(H1058&gt;0,AF1058/H1058,1))),IF(R1058&gt;0,AG1058/R1058,0))/MAX(0.1,N(Parameter!$M$21)))</f>
        <v>0.00241545893719807</v>
      </c>
      <c r="AI1058" s="57" t="n">
        <f aca="false">AF1058*G1058</f>
        <v>189.84</v>
      </c>
      <c r="AJ1058" s="57" t="n">
        <f aca="false">ROUNDUP(MAX(J1058/IF(BZ1058&gt;0,BZ1058,MAX(0.1,N(Cockpit!$C$6))),CC1058)/BS1058,0)*BS1058</f>
        <v>110</v>
      </c>
      <c r="AK1058" s="58" t="n">
        <f aca="false">IF(AH1058&gt;0,J1058/AH1058,-1)</f>
        <v>38502</v>
      </c>
      <c r="AL1058" s="58" t="n">
        <f aca="false">IF(AND(OR(BY1058="L1",BY1058="L23"),AH1058&gt;0),SUMIFS($AH$7:$AH$1843,$BY$7:$BY$1843,BY1058,$AK$7:$AK$1843,"&gt;"&amp;AK1058)+SUMIFS($AH$7:$AH$1843,$BY$7:$BY$1843,BY1058,$AK$7:$AK$1843,AK1058,$BQ$7:$BQ$1843,"&lt;="&amp;BQ1058),"")</f>
        <v>2.08952400256748</v>
      </c>
      <c r="AM1058" s="65" t="n">
        <f aca="false">IF(AL1058="",0,MAX(0,MIN(1,(IF(BY1058="L1",Parameter!$E$5,Parameter!$E$6+Parameter!$E$7)-(AL1058-AH1058))/AH1058)))</f>
        <v>1</v>
      </c>
      <c r="AN1058" s="57" t="n">
        <f aca="false">IF(LEFT(Cockpit!$I$5,1)="A",H1058,IF(CA1058=1,CB1058,IF(LEFT(Cockpit!$I$5,1)="B",AR1058,MAX(AR1058,H1058))))</f>
        <v>110</v>
      </c>
      <c r="AO1058" s="57" t="n">
        <f aca="false">IF(BT1058=1,0,ROUNDUP(AN1058/BS1058,0))</f>
        <v>2</v>
      </c>
      <c r="AP1058" s="59" t="n">
        <f aca="false">IF(CH1058&gt;0,CH1058*MAX(1,AN1058/X1058),IF(BT1058=1,IF(AN1058&lt;=0,0,BW1058*MAX(1,IF(H1058&gt;0,AN1058/H1058,1))),IF(R1058&gt;0,AO1058/R1058,0))/MAX(0.1,N(Parameter!$M$21)))</f>
        <v>0.00483091787439614</v>
      </c>
      <c r="AQ1058" s="57" t="n">
        <f aca="false">AN1058*G1058</f>
        <v>497.2</v>
      </c>
      <c r="AR1058" s="57" t="n">
        <f aca="false">ROUNDUP(MAX(J1058/IF(BZ1058&gt;0,BZ1058,MAX(0.1,N(Cockpit!$I$6))),CC1058)/BS1058,0)*BS1058</f>
        <v>110</v>
      </c>
      <c r="AS1058" s="58" t="n">
        <f aca="false">IF(AP1058&gt;0,J1058/AP1058,-1)</f>
        <v>19251</v>
      </c>
      <c r="AT1058" s="58" t="n">
        <f aca="false">IF(AND(OR(BY1058="L1",BY1058="L23"),AP1058&gt;0),SUMIFS($AP$7:$AP$1843,$BY$7:$BY$1843,BY1058,$AS$7:$AS$1843,"&gt;"&amp;AS1058)+SUMIFS($AP$7:$AP$1843,$BY$7:$BY$1843,BY1058,$AS$7:$AS$1843,AS1058,$BQ$7:$BQ$1843,"&lt;="&amp;BQ1058),"")</f>
        <v>4.26384243775548</v>
      </c>
      <c r="AU1058" s="65" t="n">
        <f aca="false">IF(AT1058="",0,MAX(0,MIN(1,(IF(BY1058="L1",Parameter!$E$5,Parameter!$E$6+Parameter!$E$7)-(AT1058-AP1058))/AP1058)))</f>
        <v>1</v>
      </c>
      <c r="AV1058" s="57" t="n">
        <f aca="false">IF(LEFT(Cockpit!$O$5,1)="A",H1058,IF(CA1058=1,CB1058,IF(LEFT(Cockpit!$O$5,1)="B",AZ1058,MAX(AZ1058,H1058))))</f>
        <v>110</v>
      </c>
      <c r="AW1058" s="57" t="n">
        <f aca="false">IF(BT1058=1,0,ROUNDUP(AV1058/BS1058,0))</f>
        <v>2</v>
      </c>
      <c r="AX1058" s="59" t="n">
        <f aca="false">IF(CH1058&gt;0,CH1058*MAX(1,AV1058/X1058),IF(BT1058=1,IF(AV1058&lt;=0,0,BW1058*MAX(1,IF(H1058&gt;0,AV1058/H1058,1))),IF(R1058&gt;0,AW1058/R1058,0))/MAX(0.1,N(Parameter!$M$21)))</f>
        <v>0.00483091787439614</v>
      </c>
      <c r="AY1058" s="57" t="n">
        <f aca="false">AV1058*G1058</f>
        <v>497.2</v>
      </c>
      <c r="AZ1058" s="57" t="n">
        <f aca="false">ROUNDUP(MAX(J1058/IF(BZ1058&gt;0,BZ1058,MAX(0.1,N(Cockpit!$O$6))),CC1058)/BS1058,0)*BS1058</f>
        <v>110</v>
      </c>
      <c r="BA1058" s="58" t="n">
        <f aca="false">IF(AX1058&gt;0,J1058/AX1058,-1)</f>
        <v>19251</v>
      </c>
      <c r="BB1058" s="58" t="n">
        <f aca="false">IF(AND(OR(BY1058="L1",BY1058="L23"),AX1058&gt;0),SUMIFS($AX$7:$AX$1843,$BY$7:$BY$1843,BY1058,$BA$7:$BA$1843,"&gt;"&amp;BA1058)+SUMIFS($AX$7:$AX$1843,$BY$7:$BY$1843,BY1058,$BA$7:$BA$1843,BA1058,$BQ$7:$BQ$1843,"&lt;="&amp;BQ1058),"")</f>
        <v>3.90137157528462</v>
      </c>
      <c r="BC1058" s="65" t="n">
        <f aca="false">IF(BB1058="",0,MAX(0,MIN(1,(IF(BY1058="L1",Parameter!$E$5,Parameter!$E$6+Parameter!$E$7)-(BB1058-AX1058))/AX1058)))</f>
        <v>1</v>
      </c>
      <c r="BD1058" s="55" t="str">
        <f aca="false">IF(AH1058&lt;=0,"",IF(BY1058="Aussen","Aussenlager",IF(BY1058="-","Nicht im Lift",IF(AM1058&gt;=1,"Lift",IF(AM1058&lt;=0,"Aussenlager","teilweise")))))</f>
        <v>Lift</v>
      </c>
      <c r="BE1058" s="55" t="str">
        <f aca="false">IF(AP1058&lt;=0,"",IF(BY1058="Aussen","Aussenlager",IF(BY1058="-","Nicht im Lift",IF(AU1058&gt;=1,"Lift",IF(AU1058&lt;=0,"Aussenlager","teilweise")))))</f>
        <v>Lift</v>
      </c>
      <c r="BF1058" s="55" t="str">
        <f aca="false">IF(AX1058&lt;=0,"",IF(BY1058="Aussen","Aussenlager",IF(BY1058="-","Nicht im Lift",IF(BC1058&gt;=1,"Lift",IF(BC1058&lt;=0,"Aussenlager","teilweise")))))</f>
        <v>Lift</v>
      </c>
      <c r="BG1058" s="55" t="str">
        <f aca="false">IF(A1058="","",IF(BP1058=1,"Neu; ","")&amp;IF(AND(BP1058=0,BK1058&lt;0),"negativer Bestand (Export "&amp;BK1058&amp;"); ","")&amp;IF(J1058&lt;=0,"Kein Verbrauch; ","")&amp;IF(CH1058&gt;0,"Lift "&amp;W1058&amp;" lt. Liftbericht (Fach "&amp;X1058&amp;" Stk); ",IF(BU1058=1,"Gebinde geschätzt ("&amp;T1058&amp;"); ",IF(BT1058=1,"Lose – Tablare geschätzt; ","")))&amp;IF(H1058&gt;AR1058,"Überbestand "&amp;ROUND(H1058-AR1058,0)&amp;" Stk / CHF "&amp;ROUND((H1058-AR1058)*G1058,0)&amp;"; ","")&amp;IF(AND(CA1058=1,CB1058&lt;CC1058),"MAX &lt; MB+LG; ","")&amp;IF(AND(CG1058&gt;0,CF1058*10&gt;CG1058),"zu hoch für Tablar; ","")&amp;IF(AND(BP1058=0,OR(CA1058=1,AA1058&lt;&gt;"",U1058&lt;&gt;"",V1058&lt;&gt;"",AB1058&lt;&gt;"")),"manuell übersteuert; ","")&amp;IF(AND(BT1058=0,R1058=0),"Gebinde unbekannt / Stellmass fehlt; ","")&amp;IF(AND(BT1058=0,N(V1058)&lt;=0,N(Q1058)&lt;=0),"Menge pro Gebinde fehlt (Ist = 1 Gebinde); ","")&amp;BO1058)</f>
        <v>negativer Bestand (Export -39); </v>
      </c>
      <c r="BH1058" s="55"/>
      <c r="BI1058" s="55"/>
      <c r="BJ1058" s="62"/>
      <c r="BK1058" s="57" t="n">
        <v>-39</v>
      </c>
      <c r="BL1058" s="57" t="n">
        <v>81</v>
      </c>
      <c r="BM1058" s="56" t="n">
        <v>-152.79</v>
      </c>
      <c r="BN1058" s="57" t="n">
        <v>93</v>
      </c>
      <c r="BO1058" s="55"/>
      <c r="BP1058" s="60" t="n">
        <v>0</v>
      </c>
      <c r="BQ1058" s="60" t="n">
        <v>1058</v>
      </c>
      <c r="BR1058" s="55" t="str">
        <f aca="false">IF(U1058&lt;&gt;"",UPPER(TRIM(U1058)),IF(BU1058=1,UPPER(VLOOKUP(T1058,Parameter!$I$27:$K$29,2,0)),IF(P1058="","LOSE",P1058)))</f>
        <v>S21</v>
      </c>
      <c r="BS1058" s="57" t="n">
        <f aca="false">IF(BR1058="LOSE",1,IF(N(V1058)&gt;0,V1058,IF(BU1058=1,MAX(1,N(VLOOKUP(T1058,Parameter!$I$27:$K$29,3,0)),H1058,N(N1058)),IF(N(Q1058)&gt;0,Q1058,MAX(1,H1058)))))</f>
        <v>55</v>
      </c>
      <c r="BT1058" s="60" t="n">
        <f aca="false">IF(BR1058="LOSE",1,0)</f>
        <v>0</v>
      </c>
      <c r="BU1058" s="60" t="n">
        <f aca="false">IF(AND(U1058="",OR(P1058="",P1058="LOSE"),T1058&lt;&gt;"",N(S1058)&lt;=0,ISNUMBER(MATCH(T1058,Parameter!$I$27:$I$29,0))),1,0)</f>
        <v>0</v>
      </c>
      <c r="BV1058" s="55" t="str">
        <f aca="false">IF(AND(Parameter!$B$19="Ja",E1058&lt;&gt;"",ISNUMBER(MATCH(E1058,Parameter!$I$35:$I$52,0))),VLOOKUP(E1058,Parameter!$I$35:$J$52,2,0),IFERROR(VLOOKUP(D1058,Parameter!$A$35:$C$64,2,0),"Nein"))</f>
        <v>2+3</v>
      </c>
      <c r="BW1058" s="59" t="n">
        <f aca="false">IF(BT1058=0,0,IF(N(S1058)&gt;0,S1058,IFERROR(VLOOKUP(D1058,Parameter!$A$35:$C$64,3,0)+0,0)))</f>
        <v>0</v>
      </c>
      <c r="BX1058" s="55" t="n">
        <f aca="false">IF(AA1058&lt;&gt;"",AA1058,Z1058)</f>
        <v>3</v>
      </c>
      <c r="BY1058" s="55" t="str">
        <f aca="false">IF(BX1058=1,"L1",IF(OR(BX1058=2,BX1058=3),"L23",IF(BX1058="Aussen","Aussen","-")))</f>
        <v>L23</v>
      </c>
      <c r="BZ1058" s="66" t="n">
        <f aca="false">IF(N(AB1058)&gt;0,AB1058,0)</f>
        <v>0</v>
      </c>
      <c r="CA1058" s="60" t="n">
        <f aca="false">IF(ISNUMBER(AE1058),1,0)</f>
        <v>0</v>
      </c>
      <c r="CB1058" s="57" t="n">
        <f aca="false">N(AE1058)</f>
        <v>0</v>
      </c>
      <c r="CC1058" s="57" t="n">
        <f aca="false">N(M1058)+N(N1058)</f>
        <v>102</v>
      </c>
      <c r="CD1058" s="57" t="n">
        <f aca="false">ROUNDUP(H1058/BS1058,0)</f>
        <v>1</v>
      </c>
      <c r="CE1058" s="57" t="n">
        <f aca="false">ROUNDUP(CB1058/BS1058,0)</f>
        <v>0</v>
      </c>
      <c r="CF1058" s="60" t="n">
        <f aca="false">IF(BT1058=1,0,IFERROR(VLOOKUP(BR1058,'Gebinde-Kategorie'!$A$5:$M$45,5,0)+0,0))</f>
        <v>8</v>
      </c>
      <c r="CG1058" s="60" t="n">
        <f aca="false">IFERROR(IF(OR(BX1058=1,BX1058=2,BX1058=3),N(INDEX(Parameter!$I$5:$I$7,BX1058)),0),0)</f>
        <v>0</v>
      </c>
      <c r="CH1058" s="59" t="n">
        <f aca="false">IF(AND(Parameter!$B$21="Ja",ISNUMBER(W1058),N(X1058)&gt;0),IFERROR(N(INDEX(Parameter!$L$5:$L$7,W1058))*INDEX(Parameter!$E$5:$E$7,W1058)*X1058/SUMIFS($X$7:$X$1843,$W$7:$W$1843,W1058),0),0)</f>
        <v>0</v>
      </c>
    </row>
    <row r="1059" customFormat="false" ht="15" hidden="false" customHeight="false" outlineLevel="0" collapsed="false">
      <c r="A1059" s="55" t="s">
        <v>1936</v>
      </c>
      <c r="B1059" s="55" t="s">
        <v>1123</v>
      </c>
      <c r="C1059" s="55" t="s">
        <v>164</v>
      </c>
      <c r="D1059" s="55" t="s">
        <v>184</v>
      </c>
      <c r="E1059" s="55" t="s">
        <v>185</v>
      </c>
      <c r="F1059" s="55" t="s">
        <v>218</v>
      </c>
      <c r="G1059" s="56" t="n">
        <v>4.18</v>
      </c>
      <c r="H1059" s="57" t="n">
        <f aca="false">MAX(0,IF(AND(Parameter!$B$21="Ja",ISNUMBER(Y1059)),Y1059,IF(Parameter!$B$20="Jahresanfang 2025 + Export",BL1059+BK1059,BK1059)))</f>
        <v>5</v>
      </c>
      <c r="I1059" s="57" t="n">
        <f aca="false">H1059*G1059</f>
        <v>20.9</v>
      </c>
      <c r="J1059" s="57" t="n">
        <f aca="false">BN1059*Parameter!$B$18</f>
        <v>17</v>
      </c>
      <c r="K1059" s="58" t="n">
        <v>31</v>
      </c>
      <c r="L1059" s="59" t="n">
        <v>0.548387096774194</v>
      </c>
      <c r="M1059" s="57" t="n">
        <v>1</v>
      </c>
      <c r="N1059" s="57" t="n">
        <v>15</v>
      </c>
      <c r="O1059" s="60" t="n">
        <v>28</v>
      </c>
      <c r="P1059" s="55" t="s">
        <v>226</v>
      </c>
      <c r="Q1059" s="57" t="n">
        <v>105</v>
      </c>
      <c r="R1059" s="60" t="n">
        <f aca="false">IF(BT1059=1,0,IFERROR(VLOOKUP(BR1059,'Gebinde-Kategorie'!$A$5:$M$45,13,0)+0,0))</f>
        <v>12</v>
      </c>
      <c r="S1059" s="61"/>
      <c r="T1059" s="62"/>
      <c r="U1059" s="62"/>
      <c r="V1059" s="62"/>
      <c r="W1059" s="55"/>
      <c r="X1059" s="57"/>
      <c r="Y1059" s="57"/>
      <c r="Z1059" s="55" t="n">
        <f aca="false">IF(A1059="","",IF(AND(Parameter!$B$21="Ja",ISNUMBER(W1059)),W1059,IF(BV1059="2+3",IF(ISNUMBER(SEARCH("grosser Artikel",BO1059)),2,IFERROR(VLOOKUP(BR1059,Parameter!$F$35:$G$64,2,0),2)),IF(OR(BV1059="Nein",BV1059=""),"-",BV1059))))</f>
        <v>2</v>
      </c>
      <c r="AA1059" s="62"/>
      <c r="AB1059" s="63"/>
      <c r="AC1059" s="57" t="n">
        <f aca="false">AR1059</f>
        <v>105</v>
      </c>
      <c r="AD1059" s="57" t="n">
        <f aca="false">MAX(AR1059,H1059)</f>
        <v>105</v>
      </c>
      <c r="AE1059" s="64"/>
      <c r="AF1059" s="57" t="n">
        <f aca="false">IF(LEFT(Cockpit!$C$5,1)="A",H1059,IF(CA1059=1,CB1059,IF(LEFT(Cockpit!$C$5,1)="B",AJ1059,MAX(AJ1059,H1059))))</f>
        <v>5</v>
      </c>
      <c r="AG1059" s="57" t="n">
        <f aca="false">IF(BT1059=1,0,ROUNDUP(AF1059/BS1059,0))</f>
        <v>1</v>
      </c>
      <c r="AH1059" s="59" t="n">
        <f aca="false">IF(CH1059&gt;0,CH1059*MAX(1,AF1059/X1059),IF(BT1059=1,IF(AF1059&lt;=0,0,BW1059*MAX(1,IF(H1059&gt;0,AF1059/H1059,1))),IF(R1059&gt;0,AG1059/R1059,0))/MAX(0.1,N(Parameter!$M$21)))</f>
        <v>0.0833333333333333</v>
      </c>
      <c r="AI1059" s="57" t="n">
        <f aca="false">AF1059*G1059</f>
        <v>20.9</v>
      </c>
      <c r="AJ1059" s="57" t="n">
        <f aca="false">ROUNDUP(MAX(J1059/IF(BZ1059&gt;0,BZ1059,MAX(0.1,N(Cockpit!$C$6))),CC1059)/BS1059,0)*BS1059</f>
        <v>105</v>
      </c>
      <c r="AK1059" s="58" t="n">
        <f aca="false">IF(AH1059&gt;0,J1059/AH1059,-1)</f>
        <v>204</v>
      </c>
      <c r="AL1059" s="58" t="n">
        <f aca="false">IF(AND(OR(BY1059="L1",BY1059="L23"),AH1059&gt;0),SUMIFS($AH$7:$AH$1843,$BY$7:$BY$1843,BY1059,$AK$7:$AK$1843,"&gt;"&amp;AK1059)+SUMIFS($AH$7:$AH$1843,$BY$7:$BY$1843,BY1059,$AK$7:$AK$1843,AK1059,$BQ$7:$BQ$1843,"&lt;="&amp;BQ1059),"")</f>
        <v>32.1173186716665</v>
      </c>
      <c r="AM1059" s="65" t="n">
        <f aca="false">IF(AL1059="",0,MAX(0,MIN(1,(IF(BY1059="L1",Parameter!$E$5,Parameter!$E$6+Parameter!$E$7)-(AL1059-AH1059))/AH1059)))</f>
        <v>1</v>
      </c>
      <c r="AN1059" s="57" t="n">
        <f aca="false">IF(LEFT(Cockpit!$I$5,1)="A",H1059,IF(CA1059=1,CB1059,IF(LEFT(Cockpit!$I$5,1)="B",AR1059,MAX(AR1059,H1059))))</f>
        <v>105</v>
      </c>
      <c r="AO1059" s="57" t="n">
        <f aca="false">IF(BT1059=1,0,ROUNDUP(AN1059/BS1059,0))</f>
        <v>1</v>
      </c>
      <c r="AP1059" s="59" t="n">
        <f aca="false">IF(CH1059&gt;0,CH1059*MAX(1,AN1059/X1059),IF(BT1059=1,IF(AN1059&lt;=0,0,BW1059*MAX(1,IF(H1059&gt;0,AN1059/H1059,1))),IF(R1059&gt;0,AO1059/R1059,0))/MAX(0.1,N(Parameter!$M$21)))</f>
        <v>0.0833333333333333</v>
      </c>
      <c r="AQ1059" s="57" t="n">
        <f aca="false">AN1059*G1059</f>
        <v>438.9</v>
      </c>
      <c r="AR1059" s="57" t="n">
        <f aca="false">ROUNDUP(MAX(J1059/IF(BZ1059&gt;0,BZ1059,MAX(0.1,N(Cockpit!$I$6))),CC1059)/BS1059,0)*BS1059</f>
        <v>105</v>
      </c>
      <c r="AS1059" s="58" t="n">
        <f aca="false">IF(AP1059&gt;0,J1059/AP1059,-1)</f>
        <v>204</v>
      </c>
      <c r="AT1059" s="58" t="n">
        <f aca="false">IF(AND(OR(BY1059="L1",BY1059="L23"),AP1059&gt;0),SUMIFS($AP$7:$AP$1843,$BY$7:$BY$1843,BY1059,$AS$7:$AS$1843,"&gt;"&amp;AS1059)+SUMIFS($AP$7:$AP$1843,$BY$7:$BY$1843,BY1059,$AS$7:$AS$1843,AS1059,$BQ$7:$BQ$1843,"&lt;="&amp;BQ1059),"")</f>
        <v>47.2494848147022</v>
      </c>
      <c r="AU1059" s="65" t="n">
        <f aca="false">IF(AT1059="",0,MAX(0,MIN(1,(IF(BY1059="L1",Parameter!$E$5,Parameter!$E$6+Parameter!$E$7)-(AT1059-AP1059))/AP1059)))</f>
        <v>1</v>
      </c>
      <c r="AV1059" s="57" t="n">
        <f aca="false">IF(LEFT(Cockpit!$O$5,1)="A",H1059,IF(CA1059=1,CB1059,IF(LEFT(Cockpit!$O$5,1)="B",AZ1059,MAX(AZ1059,H1059))))</f>
        <v>105</v>
      </c>
      <c r="AW1059" s="57" t="n">
        <f aca="false">IF(BT1059=1,0,ROUNDUP(AV1059/BS1059,0))</f>
        <v>1</v>
      </c>
      <c r="AX1059" s="59" t="n">
        <f aca="false">IF(CH1059&gt;0,CH1059*MAX(1,AV1059/X1059),IF(BT1059=1,IF(AV1059&lt;=0,0,BW1059*MAX(1,IF(H1059&gt;0,AV1059/H1059,1))),IF(R1059&gt;0,AW1059/R1059,0))/MAX(0.1,N(Parameter!$M$21)))</f>
        <v>0.0833333333333333</v>
      </c>
      <c r="AY1059" s="57" t="n">
        <f aca="false">AV1059*G1059</f>
        <v>438.9</v>
      </c>
      <c r="AZ1059" s="57" t="n">
        <f aca="false">ROUNDUP(MAX(J1059/IF(BZ1059&gt;0,BZ1059,MAX(0.1,N(Cockpit!$O$6))),CC1059)/BS1059,0)*BS1059</f>
        <v>105</v>
      </c>
      <c r="BA1059" s="58" t="n">
        <f aca="false">IF(AX1059&gt;0,J1059/AX1059,-1)</f>
        <v>204</v>
      </c>
      <c r="BB1059" s="58" t="n">
        <f aca="false">IF(AND(OR(BY1059="L1",BY1059="L23"),AX1059&gt;0),SUMIFS($AX$7:$AX$1843,$BY$7:$BY$1843,BY1059,$BA$7:$BA$1843,"&gt;"&amp;BA1059)+SUMIFS($AX$7:$AX$1843,$BY$7:$BY$1843,BY1059,$BA$7:$BA$1843,BA1059,$BQ$7:$BQ$1843,"&lt;="&amp;BQ1059),"")</f>
        <v>42.829321644539</v>
      </c>
      <c r="BC1059" s="65" t="n">
        <f aca="false">IF(BB1059="",0,MAX(0,MIN(1,(IF(BY1059="L1",Parameter!$E$5,Parameter!$E$6+Parameter!$E$7)-(BB1059-AX1059))/AX1059)))</f>
        <v>1</v>
      </c>
      <c r="BD1059" s="55" t="str">
        <f aca="false">IF(AH1059&lt;=0,"",IF(BY1059="Aussen","Aussenlager",IF(BY1059="-","Nicht im Lift",IF(AM1059&gt;=1,"Lift",IF(AM1059&lt;=0,"Aussenlager","teilweise")))))</f>
        <v>Lift</v>
      </c>
      <c r="BE1059" s="55" t="str">
        <f aca="false">IF(AP1059&lt;=0,"",IF(BY1059="Aussen","Aussenlager",IF(BY1059="-","Nicht im Lift",IF(AU1059&gt;=1,"Lift",IF(AU1059&lt;=0,"Aussenlager","teilweise")))))</f>
        <v>Lift</v>
      </c>
      <c r="BF1059" s="55" t="str">
        <f aca="false">IF(AX1059&lt;=0,"",IF(BY1059="Aussen","Aussenlager",IF(BY1059="-","Nicht im Lift",IF(BC1059&gt;=1,"Lift",IF(BC1059&lt;=0,"Aussenlager","teilweise")))))</f>
        <v>Lift</v>
      </c>
      <c r="BG1059" s="55" t="str">
        <f aca="false">IF(A1059="","",IF(BP1059=1,"Neu; ","")&amp;IF(AND(BP1059=0,BK1059&lt;0),"negativer Bestand (Export "&amp;BK1059&amp;"); ","")&amp;IF(J1059&lt;=0,"Kein Verbrauch; ","")&amp;IF(CH1059&gt;0,"Lift "&amp;W1059&amp;" lt. Liftbericht (Fach "&amp;X1059&amp;" Stk); ",IF(BU1059=1,"Gebinde geschätzt ("&amp;T1059&amp;"); ",IF(BT1059=1,"Lose – Tablare geschätzt; ","")))&amp;IF(H1059&gt;AR1059,"Überbestand "&amp;ROUND(H1059-AR1059,0)&amp;" Stk / CHF "&amp;ROUND((H1059-AR1059)*G1059,0)&amp;"; ","")&amp;IF(AND(CA1059=1,CB1059&lt;CC1059),"MAX &lt; MB+LG; ","")&amp;IF(AND(CG1059&gt;0,CF1059*10&gt;CG1059),"zu hoch für Tablar; ","")&amp;IF(AND(BP1059=0,OR(CA1059=1,AA1059&lt;&gt;"",U1059&lt;&gt;"",V1059&lt;&gt;"",AB1059&lt;&gt;"")),"manuell übersteuert; ","")&amp;IF(AND(BT1059=0,R1059=0),"Gebinde unbekannt / Stellmass fehlt; ","")&amp;IF(AND(BT1059=0,N(V1059)&lt;=0,N(Q1059)&lt;=0),"Menge pro Gebinde fehlt (Ist = 1 Gebinde); ","")&amp;BO1059)</f>
        <v>negativer Bestand (Export -37); Handlager</v>
      </c>
      <c r="BH1059" s="55"/>
      <c r="BI1059" s="55"/>
      <c r="BJ1059" s="62"/>
      <c r="BK1059" s="57" t="n">
        <v>-37</v>
      </c>
      <c r="BL1059" s="57" t="n">
        <v>42</v>
      </c>
      <c r="BM1059" s="56" t="n">
        <v>-154.66</v>
      </c>
      <c r="BN1059" s="57" t="n">
        <v>17</v>
      </c>
      <c r="BO1059" s="55" t="s">
        <v>895</v>
      </c>
      <c r="BP1059" s="60" t="n">
        <v>0</v>
      </c>
      <c r="BQ1059" s="60" t="n">
        <v>1059</v>
      </c>
      <c r="BR1059" s="55" t="str">
        <f aca="false">IF(U1059&lt;&gt;"",UPPER(TRIM(U1059)),IF(BU1059=1,UPPER(VLOOKUP(T1059,Parameter!$I$27:$K$29,2,0)),IF(P1059="","LOSE",P1059)))</f>
        <v>S63</v>
      </c>
      <c r="BS1059" s="57" t="n">
        <f aca="false">IF(BR1059="LOSE",1,IF(N(V1059)&gt;0,V1059,IF(BU1059=1,MAX(1,N(VLOOKUP(T1059,Parameter!$I$27:$K$29,3,0)),H1059,N(N1059)),IF(N(Q1059)&gt;0,Q1059,MAX(1,H1059)))))</f>
        <v>105</v>
      </c>
      <c r="BT1059" s="60" t="n">
        <f aca="false">IF(BR1059="LOSE",1,0)</f>
        <v>0</v>
      </c>
      <c r="BU1059" s="60" t="n">
        <f aca="false">IF(AND(U1059="",OR(P1059="",P1059="LOSE"),T1059&lt;&gt;"",N(S1059)&lt;=0,ISNUMBER(MATCH(T1059,Parameter!$I$27:$I$29,0))),1,0)</f>
        <v>0</v>
      </c>
      <c r="BV1059" s="55" t="str">
        <f aca="false">IF(AND(Parameter!$B$19="Ja",E1059&lt;&gt;"",ISNUMBER(MATCH(E1059,Parameter!$I$35:$I$52,0))),VLOOKUP(E1059,Parameter!$I$35:$J$52,2,0),IFERROR(VLOOKUP(D1059,Parameter!$A$35:$C$64,2,0),"Nein"))</f>
        <v>2+3</v>
      </c>
      <c r="BW1059" s="59" t="n">
        <f aca="false">IF(BT1059=0,0,IF(N(S1059)&gt;0,S1059,IFERROR(VLOOKUP(D1059,Parameter!$A$35:$C$64,3,0)+0,0)))</f>
        <v>0</v>
      </c>
      <c r="BX1059" s="55" t="n">
        <f aca="false">IF(AA1059&lt;&gt;"",AA1059,Z1059)</f>
        <v>2</v>
      </c>
      <c r="BY1059" s="55" t="str">
        <f aca="false">IF(BX1059=1,"L1",IF(OR(BX1059=2,BX1059=3),"L23",IF(BX1059="Aussen","Aussen","-")))</f>
        <v>L23</v>
      </c>
      <c r="BZ1059" s="66" t="n">
        <f aca="false">IF(N(AB1059)&gt;0,AB1059,0)</f>
        <v>0</v>
      </c>
      <c r="CA1059" s="60" t="n">
        <f aca="false">IF(ISNUMBER(AE1059),1,0)</f>
        <v>0</v>
      </c>
      <c r="CB1059" s="57" t="n">
        <f aca="false">N(AE1059)</f>
        <v>0</v>
      </c>
      <c r="CC1059" s="57" t="n">
        <f aca="false">N(M1059)+N(N1059)</f>
        <v>16</v>
      </c>
      <c r="CD1059" s="57" t="n">
        <f aca="false">ROUNDUP(H1059/BS1059,0)</f>
        <v>1</v>
      </c>
      <c r="CE1059" s="57" t="n">
        <f aca="false">ROUNDUP(CB1059/BS1059,0)</f>
        <v>0</v>
      </c>
      <c r="CF1059" s="60" t="n">
        <f aca="false">IF(BT1059=1,0,IFERROR(VLOOKUP(BR1059,'Gebinde-Kategorie'!$A$5:$M$45,5,0)+0,0))</f>
        <v>31</v>
      </c>
      <c r="CG1059" s="60" t="n">
        <f aca="false">IFERROR(IF(OR(BX1059=1,BX1059=2,BX1059=3),N(INDEX(Parameter!$I$5:$I$7,BX1059)),0),0)</f>
        <v>0</v>
      </c>
      <c r="CH1059" s="59" t="n">
        <f aca="false">IF(AND(Parameter!$B$21="Ja",ISNUMBER(W1059),N(X1059)&gt;0),IFERROR(N(INDEX(Parameter!$L$5:$L$7,W1059))*INDEX(Parameter!$E$5:$E$7,W1059)*X1059/SUMIFS($X$7:$X$1843,$W$7:$W$1843,W1059),0),0)</f>
        <v>0</v>
      </c>
    </row>
    <row r="1060" customFormat="false" ht="15" hidden="false" customHeight="false" outlineLevel="0" collapsed="false">
      <c r="A1060" s="55" t="s">
        <v>1937</v>
      </c>
      <c r="B1060" s="55" t="s">
        <v>1165</v>
      </c>
      <c r="C1060" s="55" t="s">
        <v>164</v>
      </c>
      <c r="D1060" s="55" t="s">
        <v>184</v>
      </c>
      <c r="E1060" s="55" t="s">
        <v>185</v>
      </c>
      <c r="F1060" s="55" t="s">
        <v>218</v>
      </c>
      <c r="G1060" s="56" t="n">
        <v>30.05</v>
      </c>
      <c r="H1060" s="57" t="n">
        <f aca="false">MAX(0,IF(AND(Parameter!$B$21="Ja",ISNUMBER(Y1060)),Y1060,IF(Parameter!$B$20="Jahresanfang 2025 + Export",BL1060+BK1060,BK1060)))</f>
        <v>5</v>
      </c>
      <c r="I1060" s="57" t="n">
        <f aca="false">H1060*G1060</f>
        <v>150.25</v>
      </c>
      <c r="J1060" s="57" t="n">
        <f aca="false">BN1060*Parameter!$B$18</f>
        <v>20</v>
      </c>
      <c r="K1060" s="58" t="n">
        <v>14.5</v>
      </c>
      <c r="L1060" s="59" t="n">
        <v>1.37931034482759</v>
      </c>
      <c r="M1060" s="57" t="n">
        <v>0</v>
      </c>
      <c r="N1060" s="57" t="n">
        <v>20</v>
      </c>
      <c r="O1060" s="60" t="n">
        <v>14</v>
      </c>
      <c r="P1060" s="55" t="s">
        <v>186</v>
      </c>
      <c r="Q1060" s="57" t="n">
        <v>24</v>
      </c>
      <c r="R1060" s="60" t="n">
        <f aca="false">IF(BT1060=1,0,IFERROR(VLOOKUP(BR1060,'Gebinde-Kategorie'!$A$5:$M$45,13,0)+0,0))</f>
        <v>12</v>
      </c>
      <c r="S1060" s="61"/>
      <c r="T1060" s="62"/>
      <c r="U1060" s="62"/>
      <c r="V1060" s="62"/>
      <c r="W1060" s="55"/>
      <c r="X1060" s="57"/>
      <c r="Y1060" s="57"/>
      <c r="Z1060" s="55" t="n">
        <f aca="false">IF(A1060="","",IF(AND(Parameter!$B$21="Ja",ISNUMBER(W1060)),W1060,IF(BV1060="2+3",IF(ISNUMBER(SEARCH("grosser Artikel",BO1060)),2,IFERROR(VLOOKUP(BR1060,Parameter!$F$35:$G$64,2,0),2)),IF(OR(BV1060="Nein",BV1060=""),"-",BV1060))))</f>
        <v>2</v>
      </c>
      <c r="AA1060" s="62"/>
      <c r="AB1060" s="63"/>
      <c r="AC1060" s="57" t="n">
        <f aca="false">AR1060</f>
        <v>24</v>
      </c>
      <c r="AD1060" s="57" t="n">
        <f aca="false">MAX(AR1060,H1060)</f>
        <v>24</v>
      </c>
      <c r="AE1060" s="64"/>
      <c r="AF1060" s="57" t="n">
        <f aca="false">IF(LEFT(Cockpit!$C$5,1)="A",H1060,IF(CA1060=1,CB1060,IF(LEFT(Cockpit!$C$5,1)="B",AJ1060,MAX(AJ1060,H1060))))</f>
        <v>5</v>
      </c>
      <c r="AG1060" s="57" t="n">
        <f aca="false">IF(BT1060=1,0,ROUNDUP(AF1060/BS1060,0))</f>
        <v>1</v>
      </c>
      <c r="AH1060" s="59" t="n">
        <f aca="false">IF(CH1060&gt;0,CH1060*MAX(1,AF1060/X1060),IF(BT1060=1,IF(AF1060&lt;=0,0,BW1060*MAX(1,IF(H1060&gt;0,AF1060/H1060,1))),IF(R1060&gt;0,AG1060/R1060,0))/MAX(0.1,N(Parameter!$M$21)))</f>
        <v>0.0833333333333333</v>
      </c>
      <c r="AI1060" s="57" t="n">
        <f aca="false">AF1060*G1060</f>
        <v>150.25</v>
      </c>
      <c r="AJ1060" s="57" t="n">
        <f aca="false">ROUNDUP(MAX(J1060/IF(BZ1060&gt;0,BZ1060,MAX(0.1,N(Cockpit!$C$6))),CC1060)/BS1060,0)*BS1060</f>
        <v>24</v>
      </c>
      <c r="AK1060" s="58" t="n">
        <f aca="false">IF(AH1060&gt;0,J1060/AH1060,-1)</f>
        <v>240</v>
      </c>
      <c r="AL1060" s="58" t="n">
        <f aca="false">IF(AND(OR(BY1060="L1",BY1060="L23"),AH1060&gt;0),SUMIFS($AH$7:$AH$1843,$BY$7:$BY$1843,BY1060,$AK$7:$AK$1843,"&gt;"&amp;AK1060)+SUMIFS($AH$7:$AH$1843,$BY$7:$BY$1843,BY1060,$AK$7:$AK$1843,AK1060,$BQ$7:$BQ$1843,"&lt;="&amp;BQ1060),"")</f>
        <v>30.1504425526165</v>
      </c>
      <c r="AM1060" s="65" t="n">
        <f aca="false">IF(AL1060="",0,MAX(0,MIN(1,(IF(BY1060="L1",Parameter!$E$5,Parameter!$E$6+Parameter!$E$7)-(AL1060-AH1060))/AH1060)))</f>
        <v>1</v>
      </c>
      <c r="AN1060" s="57" t="n">
        <f aca="false">IF(LEFT(Cockpit!$I$5,1)="A",H1060,IF(CA1060=1,CB1060,IF(LEFT(Cockpit!$I$5,1)="B",AR1060,MAX(AR1060,H1060))))</f>
        <v>24</v>
      </c>
      <c r="AO1060" s="57" t="n">
        <f aca="false">IF(BT1060=1,0,ROUNDUP(AN1060/BS1060,0))</f>
        <v>1</v>
      </c>
      <c r="AP1060" s="59" t="n">
        <f aca="false">IF(CH1060&gt;0,CH1060*MAX(1,AN1060/X1060),IF(BT1060=1,IF(AN1060&lt;=0,0,BW1060*MAX(1,IF(H1060&gt;0,AN1060/H1060,1))),IF(R1060&gt;0,AO1060/R1060,0))/MAX(0.1,N(Parameter!$M$21)))</f>
        <v>0.0833333333333333</v>
      </c>
      <c r="AQ1060" s="57" t="n">
        <f aca="false">AN1060*G1060</f>
        <v>721.2</v>
      </c>
      <c r="AR1060" s="57" t="n">
        <f aca="false">ROUNDUP(MAX(J1060/IF(BZ1060&gt;0,BZ1060,MAX(0.1,N(Cockpit!$I$6))),CC1060)/BS1060,0)*BS1060</f>
        <v>24</v>
      </c>
      <c r="AS1060" s="58" t="n">
        <f aca="false">IF(AP1060&gt;0,J1060/AP1060,-1)</f>
        <v>240</v>
      </c>
      <c r="AT1060" s="58" t="n">
        <f aca="false">IF(AND(OR(BY1060="L1",BY1060="L23"),AP1060&gt;0),SUMIFS($AP$7:$AP$1843,$BY$7:$BY$1843,BY1060,$AS$7:$AS$1843,"&gt;"&amp;AS1060)+SUMIFS($AP$7:$AP$1843,$BY$7:$BY$1843,BY1060,$AS$7:$AS$1843,AS1060,$BQ$7:$BQ$1843,"&lt;="&amp;BQ1060),"")</f>
        <v>43.7954292084727</v>
      </c>
      <c r="AU1060" s="65" t="n">
        <f aca="false">IF(AT1060="",0,MAX(0,MIN(1,(IF(BY1060="L1",Parameter!$E$5,Parameter!$E$6+Parameter!$E$7)-(AT1060-AP1060))/AP1060)))</f>
        <v>1</v>
      </c>
      <c r="AV1060" s="57" t="n">
        <f aca="false">IF(LEFT(Cockpit!$O$5,1)="A",H1060,IF(CA1060=1,CB1060,IF(LEFT(Cockpit!$O$5,1)="B",AZ1060,MAX(AZ1060,H1060))))</f>
        <v>24</v>
      </c>
      <c r="AW1060" s="57" t="n">
        <f aca="false">IF(BT1060=1,0,ROUNDUP(AV1060/BS1060,0))</f>
        <v>1</v>
      </c>
      <c r="AX1060" s="59" t="n">
        <f aca="false">IF(CH1060&gt;0,CH1060*MAX(1,AV1060/X1060),IF(BT1060=1,IF(AV1060&lt;=0,0,BW1060*MAX(1,IF(H1060&gt;0,AV1060/H1060,1))),IF(R1060&gt;0,AW1060/R1060,0))/MAX(0.1,N(Parameter!$M$21)))</f>
        <v>0.0833333333333333</v>
      </c>
      <c r="AY1060" s="57" t="n">
        <f aca="false">AV1060*G1060</f>
        <v>721.2</v>
      </c>
      <c r="AZ1060" s="57" t="n">
        <f aca="false">ROUNDUP(MAX(J1060/IF(BZ1060&gt;0,BZ1060,MAX(0.1,N(Cockpit!$O$6))),CC1060)/BS1060,0)*BS1060</f>
        <v>24</v>
      </c>
      <c r="BA1060" s="58" t="n">
        <f aca="false">IF(AX1060&gt;0,J1060/AX1060,-1)</f>
        <v>240</v>
      </c>
      <c r="BB1060" s="58" t="n">
        <f aca="false">IF(AND(OR(BY1060="L1",BY1060="L23"),AX1060&gt;0),SUMIFS($AX$7:$AX$1843,$BY$7:$BY$1843,BY1060,$BA$7:$BA$1843,"&gt;"&amp;BA1060)+SUMIFS($AX$7:$AX$1843,$BY$7:$BY$1843,BY1060,$BA$7:$BA$1843,BA1060,$BQ$7:$BQ$1843,"&lt;="&amp;BQ1060),"")</f>
        <v>41.0419327049762</v>
      </c>
      <c r="BC1060" s="65" t="n">
        <f aca="false">IF(BB1060="",0,MAX(0,MIN(1,(IF(BY1060="L1",Parameter!$E$5,Parameter!$E$6+Parameter!$E$7)-(BB1060-AX1060))/AX1060)))</f>
        <v>1</v>
      </c>
      <c r="BD1060" s="55" t="str">
        <f aca="false">IF(AH1060&lt;=0,"",IF(BY1060="Aussen","Aussenlager",IF(BY1060="-","Nicht im Lift",IF(AM1060&gt;=1,"Lift",IF(AM1060&lt;=0,"Aussenlager","teilweise")))))</f>
        <v>Lift</v>
      </c>
      <c r="BE1060" s="55" t="str">
        <f aca="false">IF(AP1060&lt;=0,"",IF(BY1060="Aussen","Aussenlager",IF(BY1060="-","Nicht im Lift",IF(AU1060&gt;=1,"Lift",IF(AU1060&lt;=0,"Aussenlager","teilweise")))))</f>
        <v>Lift</v>
      </c>
      <c r="BF1060" s="55" t="str">
        <f aca="false">IF(AX1060&lt;=0,"",IF(BY1060="Aussen","Aussenlager",IF(BY1060="-","Nicht im Lift",IF(BC1060&gt;=1,"Lift",IF(BC1060&lt;=0,"Aussenlager","teilweise")))))</f>
        <v>Lift</v>
      </c>
      <c r="BG1060" s="55" t="str">
        <f aca="false">IF(A1060="","",IF(BP1060=1,"Neu; ","")&amp;IF(AND(BP1060=0,BK1060&lt;0),"negativer Bestand (Export "&amp;BK1060&amp;"); ","")&amp;IF(J1060&lt;=0,"Kein Verbrauch; ","")&amp;IF(CH1060&gt;0,"Lift "&amp;W1060&amp;" lt. Liftbericht (Fach "&amp;X1060&amp;" Stk); ",IF(BU1060=1,"Gebinde geschätzt ("&amp;T1060&amp;"); ",IF(BT1060=1,"Lose – Tablare geschätzt; ","")))&amp;IF(H1060&gt;AR1060,"Überbestand "&amp;ROUND(H1060-AR1060,0)&amp;" Stk / CHF "&amp;ROUND((H1060-AR1060)*G1060,0)&amp;"; ","")&amp;IF(AND(CA1060=1,CB1060&lt;CC1060),"MAX &lt; MB+LG; ","")&amp;IF(AND(CG1060&gt;0,CF1060*10&gt;CG1060),"zu hoch für Tablar; ","")&amp;IF(AND(BP1060=0,OR(CA1060=1,AA1060&lt;&gt;"",U1060&lt;&gt;"",V1060&lt;&gt;"",AB1060&lt;&gt;"")),"manuell übersteuert; ","")&amp;IF(AND(BT1060=0,R1060=0),"Gebinde unbekannt / Stellmass fehlt; ","")&amp;IF(AND(BT1060=0,N(V1060)&lt;=0,N(Q1060)&lt;=0),"Menge pro Gebinde fehlt (Ist = 1 Gebinde); ","")&amp;BO1060)</f>
        <v>negativer Bestand (Export -5); </v>
      </c>
      <c r="BH1060" s="55"/>
      <c r="BI1060" s="55"/>
      <c r="BJ1060" s="62"/>
      <c r="BK1060" s="57" t="n">
        <v>-5</v>
      </c>
      <c r="BL1060" s="57" t="n">
        <v>10</v>
      </c>
      <c r="BM1060" s="56" t="n">
        <v>-155.05</v>
      </c>
      <c r="BN1060" s="57" t="n">
        <v>20</v>
      </c>
      <c r="BO1060" s="55"/>
      <c r="BP1060" s="60" t="n">
        <v>0</v>
      </c>
      <c r="BQ1060" s="60" t="n">
        <v>1060</v>
      </c>
      <c r="BR1060" s="55" t="str">
        <f aca="false">IF(U1060&lt;&gt;"",UPPER(TRIM(U1060)),IF(BU1060=1,UPPER(VLOOKUP(T1060,Parameter!$I$27:$K$29,2,0)),IF(P1060="","LOSE",P1060)))</f>
        <v>S61</v>
      </c>
      <c r="BS1060" s="57" t="n">
        <f aca="false">IF(BR1060="LOSE",1,IF(N(V1060)&gt;0,V1060,IF(BU1060=1,MAX(1,N(VLOOKUP(T1060,Parameter!$I$27:$K$29,3,0)),H1060,N(N1060)),IF(N(Q1060)&gt;0,Q1060,MAX(1,H1060)))))</f>
        <v>24</v>
      </c>
      <c r="BT1060" s="60" t="n">
        <f aca="false">IF(BR1060="LOSE",1,0)</f>
        <v>0</v>
      </c>
      <c r="BU1060" s="60" t="n">
        <f aca="false">IF(AND(U1060="",OR(P1060="",P1060="LOSE"),T1060&lt;&gt;"",N(S1060)&lt;=0,ISNUMBER(MATCH(T1060,Parameter!$I$27:$I$29,0))),1,0)</f>
        <v>0</v>
      </c>
      <c r="BV1060" s="55" t="str">
        <f aca="false">IF(AND(Parameter!$B$19="Ja",E1060&lt;&gt;"",ISNUMBER(MATCH(E1060,Parameter!$I$35:$I$52,0))),VLOOKUP(E1060,Parameter!$I$35:$J$52,2,0),IFERROR(VLOOKUP(D1060,Parameter!$A$35:$C$64,2,0),"Nein"))</f>
        <v>2+3</v>
      </c>
      <c r="BW1060" s="59" t="n">
        <f aca="false">IF(BT1060=0,0,IF(N(S1060)&gt;0,S1060,IFERROR(VLOOKUP(D1060,Parameter!$A$35:$C$64,3,0)+0,0)))</f>
        <v>0</v>
      </c>
      <c r="BX1060" s="55" t="n">
        <f aca="false">IF(AA1060&lt;&gt;"",AA1060,Z1060)</f>
        <v>2</v>
      </c>
      <c r="BY1060" s="55" t="str">
        <f aca="false">IF(BX1060=1,"L1",IF(OR(BX1060=2,BX1060=3),"L23",IF(BX1060="Aussen","Aussen","-")))</f>
        <v>L23</v>
      </c>
      <c r="BZ1060" s="66" t="n">
        <f aca="false">IF(N(AB1060)&gt;0,AB1060,0)</f>
        <v>0</v>
      </c>
      <c r="CA1060" s="60" t="n">
        <f aca="false">IF(ISNUMBER(AE1060),1,0)</f>
        <v>0</v>
      </c>
      <c r="CB1060" s="57" t="n">
        <f aca="false">N(AE1060)</f>
        <v>0</v>
      </c>
      <c r="CC1060" s="57" t="n">
        <f aca="false">N(M1060)+N(N1060)</f>
        <v>20</v>
      </c>
      <c r="CD1060" s="57" t="n">
        <f aca="false">ROUNDUP(H1060/BS1060,0)</f>
        <v>1</v>
      </c>
      <c r="CE1060" s="57" t="n">
        <f aca="false">ROUNDUP(CB1060/BS1060,0)</f>
        <v>0</v>
      </c>
      <c r="CF1060" s="60" t="n">
        <f aca="false">IF(BT1060=1,0,IFERROR(VLOOKUP(BR1060,'Gebinde-Kategorie'!$A$5:$M$45,5,0)+0,0))</f>
        <v>11</v>
      </c>
      <c r="CG1060" s="60" t="n">
        <f aca="false">IFERROR(IF(OR(BX1060=1,BX1060=2,BX1060=3),N(INDEX(Parameter!$I$5:$I$7,BX1060)),0),0)</f>
        <v>0</v>
      </c>
      <c r="CH1060" s="59" t="n">
        <f aca="false">IF(AND(Parameter!$B$21="Ja",ISNUMBER(W1060),N(X1060)&gt;0),IFERROR(N(INDEX(Parameter!$L$5:$L$7,W1060))*INDEX(Parameter!$E$5:$E$7,W1060)*X1060/SUMIFS($X$7:$X$1843,$W$7:$W$1843,W1060),0),0)</f>
        <v>0</v>
      </c>
    </row>
    <row r="1061" customFormat="false" ht="15" hidden="false" customHeight="false" outlineLevel="0" collapsed="false">
      <c r="A1061" s="55" t="s">
        <v>1938</v>
      </c>
      <c r="B1061" s="55" t="s">
        <v>1939</v>
      </c>
      <c r="C1061" s="55" t="s">
        <v>164</v>
      </c>
      <c r="D1061" s="55" t="s">
        <v>184</v>
      </c>
      <c r="E1061" s="55"/>
      <c r="F1061" s="55" t="s">
        <v>218</v>
      </c>
      <c r="G1061" s="56" t="n">
        <v>156.88</v>
      </c>
      <c r="H1061" s="57" t="n">
        <f aca="false">MAX(0,IF(AND(Parameter!$B$21="Ja",ISNUMBER(Y1061)),Y1061,IF(Parameter!$B$20="Jahresanfang 2025 + Export",BL1061+BK1061,BK1061)))</f>
        <v>6</v>
      </c>
      <c r="I1061" s="57" t="n">
        <f aca="false">H1061*G1061</f>
        <v>941.28</v>
      </c>
      <c r="J1061" s="57" t="n">
        <f aca="false">BN1061*Parameter!$B$18</f>
        <v>1</v>
      </c>
      <c r="K1061" s="58" t="n">
        <v>6.5</v>
      </c>
      <c r="L1061" s="59" t="n">
        <v>0.153846153846154</v>
      </c>
      <c r="M1061" s="57" t="n">
        <v>0</v>
      </c>
      <c r="N1061" s="57" t="n">
        <v>1</v>
      </c>
      <c r="O1061" s="60" t="n">
        <v>21</v>
      </c>
      <c r="P1061" s="55" t="s">
        <v>328</v>
      </c>
      <c r="Q1061" s="57" t="n">
        <v>6</v>
      </c>
      <c r="R1061" s="60" t="n">
        <f aca="false">IF(BT1061=1,0,IFERROR(VLOOKUP(BR1061,'Gebinde-Kategorie'!$A$5:$M$45,13,0)+0,0))</f>
        <v>52</v>
      </c>
      <c r="S1061" s="61"/>
      <c r="T1061" s="62"/>
      <c r="U1061" s="62"/>
      <c r="V1061" s="62"/>
      <c r="W1061" s="55"/>
      <c r="X1061" s="57"/>
      <c r="Y1061" s="57"/>
      <c r="Z1061" s="55" t="n">
        <f aca="false">IF(A1061="","",IF(AND(Parameter!$B$21="Ja",ISNUMBER(W1061)),W1061,IF(BV1061="2+3",IF(ISNUMBER(SEARCH("grosser Artikel",BO1061)),2,IFERROR(VLOOKUP(BR1061,Parameter!$F$35:$G$64,2,0),2)),IF(OR(BV1061="Nein",BV1061=""),"-",BV1061))))</f>
        <v>3</v>
      </c>
      <c r="AA1061" s="62"/>
      <c r="AB1061" s="63"/>
      <c r="AC1061" s="57" t="n">
        <f aca="false">AR1061</f>
        <v>6</v>
      </c>
      <c r="AD1061" s="57" t="n">
        <f aca="false">MAX(AR1061,H1061)</f>
        <v>6</v>
      </c>
      <c r="AE1061" s="64"/>
      <c r="AF1061" s="57" t="n">
        <f aca="false">IF(LEFT(Cockpit!$C$5,1)="A",H1061,IF(CA1061=1,CB1061,IF(LEFT(Cockpit!$C$5,1)="B",AJ1061,MAX(AJ1061,H1061))))</f>
        <v>6</v>
      </c>
      <c r="AG1061" s="57" t="n">
        <f aca="false">IF(BT1061=1,0,ROUNDUP(AF1061/BS1061,0))</f>
        <v>1</v>
      </c>
      <c r="AH1061" s="59" t="n">
        <f aca="false">IF(CH1061&gt;0,CH1061*MAX(1,AF1061/X1061),IF(BT1061=1,IF(AF1061&lt;=0,0,BW1061*MAX(1,IF(H1061&gt;0,AF1061/H1061,1))),IF(R1061&gt;0,AG1061/R1061,0))/MAX(0.1,N(Parameter!$M$21)))</f>
        <v>0.0192307692307692</v>
      </c>
      <c r="AI1061" s="57" t="n">
        <f aca="false">AF1061*G1061</f>
        <v>941.28</v>
      </c>
      <c r="AJ1061" s="57" t="n">
        <f aca="false">ROUNDUP(MAX(J1061/IF(BZ1061&gt;0,BZ1061,MAX(0.1,N(Cockpit!$C$6))),CC1061)/BS1061,0)*BS1061</f>
        <v>6</v>
      </c>
      <c r="AK1061" s="58" t="n">
        <f aca="false">IF(AH1061&gt;0,J1061/AH1061,-1)</f>
        <v>52</v>
      </c>
      <c r="AL1061" s="58" t="n">
        <f aca="false">IF(AND(OR(BY1061="L1",BY1061="L23"),AH1061&gt;0),SUMIFS($AH$7:$AH$1843,$BY$7:$BY$1843,BY1061,$AK$7:$AK$1843,"&gt;"&amp;AK1061)+SUMIFS($AH$7:$AH$1843,$BY$7:$BY$1843,BY1061,$AK$7:$AK$1843,AK1061,$BQ$7:$BQ$1843,"&lt;="&amp;BQ1061),"")</f>
        <v>44.5491368534847</v>
      </c>
      <c r="AM1061" s="65" t="n">
        <f aca="false">IF(AL1061="",0,MAX(0,MIN(1,(IF(BY1061="L1",Parameter!$E$5,Parameter!$E$6+Parameter!$E$7)-(AL1061-AH1061))/AH1061)))</f>
        <v>1</v>
      </c>
      <c r="AN1061" s="57" t="n">
        <f aca="false">IF(LEFT(Cockpit!$I$5,1)="A",H1061,IF(CA1061=1,CB1061,IF(LEFT(Cockpit!$I$5,1)="B",AR1061,MAX(AR1061,H1061))))</f>
        <v>6</v>
      </c>
      <c r="AO1061" s="57" t="n">
        <f aca="false">IF(BT1061=1,0,ROUNDUP(AN1061/BS1061,0))</f>
        <v>1</v>
      </c>
      <c r="AP1061" s="59" t="n">
        <f aca="false">IF(CH1061&gt;0,CH1061*MAX(1,AN1061/X1061),IF(BT1061=1,IF(AN1061&lt;=0,0,BW1061*MAX(1,IF(H1061&gt;0,AN1061/H1061,1))),IF(R1061&gt;0,AO1061/R1061,0))/MAX(0.1,N(Parameter!$M$21)))</f>
        <v>0.0192307692307692</v>
      </c>
      <c r="AQ1061" s="57" t="n">
        <f aca="false">AN1061*G1061</f>
        <v>941.28</v>
      </c>
      <c r="AR1061" s="57" t="n">
        <f aca="false">ROUNDUP(MAX(J1061/IF(BZ1061&gt;0,BZ1061,MAX(0.1,N(Cockpit!$I$6))),CC1061)/BS1061,0)*BS1061</f>
        <v>6</v>
      </c>
      <c r="AS1061" s="58" t="n">
        <f aca="false">IF(AP1061&gt;0,J1061/AP1061,-1)</f>
        <v>52</v>
      </c>
      <c r="AT1061" s="58" t="n">
        <f aca="false">IF(AND(OR(BY1061="L1",BY1061="L23"),AP1061&gt;0),SUMIFS($AP$7:$AP$1843,$BY$7:$BY$1843,BY1061,$AS$7:$AS$1843,"&gt;"&amp;AS1061)+SUMIFS($AP$7:$AP$1843,$BY$7:$BY$1843,BY1061,$AS$7:$AS$1843,AS1061,$BQ$7:$BQ$1843,"&lt;="&amp;BQ1061),"")</f>
        <v>67.4924918077092</v>
      </c>
      <c r="AU1061" s="65" t="n">
        <f aca="false">IF(AT1061="",0,MAX(0,MIN(1,(IF(BY1061="L1",Parameter!$E$5,Parameter!$E$6+Parameter!$E$7)-(AT1061-AP1061))/AP1061)))</f>
        <v>1</v>
      </c>
      <c r="AV1061" s="57" t="n">
        <f aca="false">IF(LEFT(Cockpit!$O$5,1)="A",H1061,IF(CA1061=1,CB1061,IF(LEFT(Cockpit!$O$5,1)="B",AZ1061,MAX(AZ1061,H1061))))</f>
        <v>6</v>
      </c>
      <c r="AW1061" s="57" t="n">
        <f aca="false">IF(BT1061=1,0,ROUNDUP(AV1061/BS1061,0))</f>
        <v>1</v>
      </c>
      <c r="AX1061" s="59" t="n">
        <f aca="false">IF(CH1061&gt;0,CH1061*MAX(1,AV1061/X1061),IF(BT1061=1,IF(AV1061&lt;=0,0,BW1061*MAX(1,IF(H1061&gt;0,AV1061/H1061,1))),IF(R1061&gt;0,AW1061/R1061,0))/MAX(0.1,N(Parameter!$M$21)))</f>
        <v>0.0192307692307692</v>
      </c>
      <c r="AY1061" s="57" t="n">
        <f aca="false">AV1061*G1061</f>
        <v>941.28</v>
      </c>
      <c r="AZ1061" s="57" t="n">
        <f aca="false">ROUNDUP(MAX(J1061/IF(BZ1061&gt;0,BZ1061,MAX(0.1,N(Cockpit!$O$6))),CC1061)/BS1061,0)*BS1061</f>
        <v>6</v>
      </c>
      <c r="BA1061" s="58" t="n">
        <f aca="false">IF(AX1061&gt;0,J1061/AX1061,-1)</f>
        <v>52</v>
      </c>
      <c r="BB1061" s="58" t="n">
        <f aca="false">IF(AND(OR(BY1061="L1",BY1061="L23"),AX1061&gt;0),SUMIFS($AX$7:$AX$1843,$BY$7:$BY$1843,BY1061,$BA$7:$BA$1843,"&gt;"&amp;BA1061)+SUMIFS($AX$7:$AX$1843,$BY$7:$BY$1843,BY1061,$BA$7:$BA$1843,BA1061,$BQ$7:$BQ$1843,"&lt;="&amp;BQ1061),"")</f>
        <v>61.9889953042127</v>
      </c>
      <c r="BC1061" s="65" t="n">
        <f aca="false">IF(BB1061="",0,MAX(0,MIN(1,(IF(BY1061="L1",Parameter!$E$5,Parameter!$E$6+Parameter!$E$7)-(BB1061-AX1061))/AX1061)))</f>
        <v>1</v>
      </c>
      <c r="BD1061" s="55" t="str">
        <f aca="false">IF(AH1061&lt;=0,"",IF(BY1061="Aussen","Aussenlager",IF(BY1061="-","Nicht im Lift",IF(AM1061&gt;=1,"Lift",IF(AM1061&lt;=0,"Aussenlager","teilweise")))))</f>
        <v>Lift</v>
      </c>
      <c r="BE1061" s="55" t="str">
        <f aca="false">IF(AP1061&lt;=0,"",IF(BY1061="Aussen","Aussenlager",IF(BY1061="-","Nicht im Lift",IF(AU1061&gt;=1,"Lift",IF(AU1061&lt;=0,"Aussenlager","teilweise")))))</f>
        <v>Lift</v>
      </c>
      <c r="BF1061" s="55" t="str">
        <f aca="false">IF(AX1061&lt;=0,"",IF(BY1061="Aussen","Aussenlager",IF(BY1061="-","Nicht im Lift",IF(BC1061&gt;=1,"Lift",IF(BC1061&lt;=0,"Aussenlager","teilweise")))))</f>
        <v>Lift</v>
      </c>
      <c r="BG1061" s="55" t="str">
        <f aca="false">IF(A1061="","",IF(BP1061=1,"Neu; ","")&amp;IF(AND(BP1061=0,BK1061&lt;0),"negativer Bestand (Export "&amp;BK1061&amp;"); ","")&amp;IF(J1061&lt;=0,"Kein Verbrauch; ","")&amp;IF(CH1061&gt;0,"Lift "&amp;W1061&amp;" lt. Liftbericht (Fach "&amp;X1061&amp;" Stk); ",IF(BU1061=1,"Gebinde geschätzt ("&amp;T1061&amp;"); ",IF(BT1061=1,"Lose – Tablare geschätzt; ","")))&amp;IF(H1061&gt;AR1061,"Überbestand "&amp;ROUND(H1061-AR1061,0)&amp;" Stk / CHF "&amp;ROUND((H1061-AR1061)*G1061,0)&amp;"; ","")&amp;IF(AND(CA1061=1,CB1061&lt;CC1061),"MAX &lt; MB+LG; ","")&amp;IF(AND(CG1061&gt;0,CF1061*10&gt;CG1061),"zu hoch für Tablar; ","")&amp;IF(AND(BP1061=0,OR(CA1061=1,AA1061&lt;&gt;"",U1061&lt;&gt;"",V1061&lt;&gt;"",AB1061&lt;&gt;"")),"manuell übersteuert; ","")&amp;IF(AND(BT1061=0,R1061=0),"Gebinde unbekannt / Stellmass fehlt; ","")&amp;IF(AND(BT1061=0,N(V1061)&lt;=0,N(Q1061)&lt;=0),"Menge pro Gebinde fehlt (Ist = 1 Gebinde); ","")&amp;BO1061)</f>
        <v>negativer Bestand (Export -1); </v>
      </c>
      <c r="BH1061" s="55"/>
      <c r="BI1061" s="55"/>
      <c r="BJ1061" s="62"/>
      <c r="BK1061" s="57" t="n">
        <v>-1</v>
      </c>
      <c r="BL1061" s="57" t="n">
        <v>7</v>
      </c>
      <c r="BM1061" s="56" t="n">
        <v>-156.88</v>
      </c>
      <c r="BN1061" s="57" t="n">
        <v>1</v>
      </c>
      <c r="BO1061" s="55"/>
      <c r="BP1061" s="60" t="n">
        <v>0</v>
      </c>
      <c r="BQ1061" s="60" t="n">
        <v>1061</v>
      </c>
      <c r="BR1061" s="55" t="str">
        <f aca="false">IF(U1061&lt;&gt;"",UPPER(TRIM(U1061)),IF(BU1061=1,UPPER(VLOOKUP(T1061,Parameter!$I$27:$K$29,2,0)),IF(P1061="","LOSE",P1061)))</f>
        <v>S41</v>
      </c>
      <c r="BS1061" s="57" t="n">
        <f aca="false">IF(BR1061="LOSE",1,IF(N(V1061)&gt;0,V1061,IF(BU1061=1,MAX(1,N(VLOOKUP(T1061,Parameter!$I$27:$K$29,3,0)),H1061,N(N1061)),IF(N(Q1061)&gt;0,Q1061,MAX(1,H1061)))))</f>
        <v>6</v>
      </c>
      <c r="BT1061" s="60" t="n">
        <f aca="false">IF(BR1061="LOSE",1,0)</f>
        <v>0</v>
      </c>
      <c r="BU1061" s="60" t="n">
        <f aca="false">IF(AND(U1061="",OR(P1061="",P1061="LOSE"),T1061&lt;&gt;"",N(S1061)&lt;=0,ISNUMBER(MATCH(T1061,Parameter!$I$27:$I$29,0))),1,0)</f>
        <v>0</v>
      </c>
      <c r="BV1061" s="55" t="str">
        <f aca="false">IF(AND(Parameter!$B$19="Ja",E1061&lt;&gt;"",ISNUMBER(MATCH(E1061,Parameter!$I$35:$I$52,0))),VLOOKUP(E1061,Parameter!$I$35:$J$52,2,0),IFERROR(VLOOKUP(D1061,Parameter!$A$35:$C$64,2,0),"Nein"))</f>
        <v>2+3</v>
      </c>
      <c r="BW1061" s="59" t="n">
        <f aca="false">IF(BT1061=0,0,IF(N(S1061)&gt;0,S1061,IFERROR(VLOOKUP(D1061,Parameter!$A$35:$C$64,3,0)+0,0)))</f>
        <v>0</v>
      </c>
      <c r="BX1061" s="55" t="n">
        <f aca="false">IF(AA1061&lt;&gt;"",AA1061,Z1061)</f>
        <v>3</v>
      </c>
      <c r="BY1061" s="55" t="str">
        <f aca="false">IF(BX1061=1,"L1",IF(OR(BX1061=2,BX1061=3),"L23",IF(BX1061="Aussen","Aussen","-")))</f>
        <v>L23</v>
      </c>
      <c r="BZ1061" s="66" t="n">
        <f aca="false">IF(N(AB1061)&gt;0,AB1061,0)</f>
        <v>0</v>
      </c>
      <c r="CA1061" s="60" t="n">
        <f aca="false">IF(ISNUMBER(AE1061),1,0)</f>
        <v>0</v>
      </c>
      <c r="CB1061" s="57" t="n">
        <f aca="false">N(AE1061)</f>
        <v>0</v>
      </c>
      <c r="CC1061" s="57" t="n">
        <f aca="false">N(M1061)+N(N1061)</f>
        <v>1</v>
      </c>
      <c r="CD1061" s="57" t="n">
        <f aca="false">ROUNDUP(H1061/BS1061,0)</f>
        <v>1</v>
      </c>
      <c r="CE1061" s="57" t="n">
        <f aca="false">ROUNDUP(CB1061/BS1061,0)</f>
        <v>0</v>
      </c>
      <c r="CF1061" s="60" t="n">
        <f aca="false">IF(BT1061=1,0,IFERROR(VLOOKUP(BR1061,'Gebinde-Kategorie'!$A$5:$M$45,5,0)+0,0))</f>
        <v>11</v>
      </c>
      <c r="CG1061" s="60" t="n">
        <f aca="false">IFERROR(IF(OR(BX1061=1,BX1061=2,BX1061=3),N(INDEX(Parameter!$I$5:$I$7,BX1061)),0),0)</f>
        <v>0</v>
      </c>
      <c r="CH1061" s="59" t="n">
        <f aca="false">IF(AND(Parameter!$B$21="Ja",ISNUMBER(W1061),N(X1061)&gt;0),IFERROR(N(INDEX(Parameter!$L$5:$L$7,W1061))*INDEX(Parameter!$E$5:$E$7,W1061)*X1061/SUMIFS($X$7:$X$1843,$W$7:$W$1843,W1061),0),0)</f>
        <v>0</v>
      </c>
    </row>
    <row r="1062" customFormat="false" ht="15" hidden="false" customHeight="false" outlineLevel="0" collapsed="false">
      <c r="A1062" s="55" t="s">
        <v>1940</v>
      </c>
      <c r="B1062" s="55" t="s">
        <v>749</v>
      </c>
      <c r="C1062" s="55" t="s">
        <v>164</v>
      </c>
      <c r="D1062" s="55" t="s">
        <v>184</v>
      </c>
      <c r="E1062" s="55"/>
      <c r="F1062" s="55" t="s">
        <v>218</v>
      </c>
      <c r="G1062" s="56" t="n">
        <v>157.08</v>
      </c>
      <c r="H1062" s="57" t="n">
        <f aca="false">MAX(0,IF(AND(Parameter!$B$21="Ja",ISNUMBER(Y1062)),Y1062,IF(Parameter!$B$20="Jahresanfang 2025 + Export",BL1062+BK1062,BK1062)))</f>
        <v>4</v>
      </c>
      <c r="I1062" s="57" t="n">
        <f aca="false">H1062*G1062</f>
        <v>628.32</v>
      </c>
      <c r="J1062" s="57" t="n">
        <f aca="false">BN1062*Parameter!$B$18</f>
        <v>1</v>
      </c>
      <c r="K1062" s="58" t="n">
        <v>4.5</v>
      </c>
      <c r="L1062" s="59" t="n">
        <v>0.222222222222222</v>
      </c>
      <c r="M1062" s="57" t="n">
        <v>0</v>
      </c>
      <c r="N1062" s="57" t="n">
        <v>1</v>
      </c>
      <c r="O1062" s="60" t="n">
        <v>28</v>
      </c>
      <c r="P1062" s="55" t="s">
        <v>421</v>
      </c>
      <c r="Q1062" s="57" t="n">
        <v>5</v>
      </c>
      <c r="R1062" s="60" t="n">
        <f aca="false">IF(BT1062=1,0,IFERROR(VLOOKUP(BR1062,'Gebinde-Kategorie'!$A$5:$M$45,13,0)+0,0))</f>
        <v>132</v>
      </c>
      <c r="S1062" s="61"/>
      <c r="T1062" s="62"/>
      <c r="U1062" s="62"/>
      <c r="V1062" s="62"/>
      <c r="W1062" s="55"/>
      <c r="X1062" s="57"/>
      <c r="Y1062" s="57"/>
      <c r="Z1062" s="55" t="n">
        <f aca="false">IF(A1062="","",IF(AND(Parameter!$B$21="Ja",ISNUMBER(W1062)),W1062,IF(BV1062="2+3",IF(ISNUMBER(SEARCH("grosser Artikel",BO1062)),2,IFERROR(VLOOKUP(BR1062,Parameter!$F$35:$G$64,2,0),2)),IF(OR(BV1062="Nein",BV1062=""),"-",BV1062))))</f>
        <v>3</v>
      </c>
      <c r="AA1062" s="62"/>
      <c r="AB1062" s="63"/>
      <c r="AC1062" s="57" t="n">
        <f aca="false">AR1062</f>
        <v>5</v>
      </c>
      <c r="AD1062" s="57" t="n">
        <f aca="false">MAX(AR1062,H1062)</f>
        <v>5</v>
      </c>
      <c r="AE1062" s="64"/>
      <c r="AF1062" s="57" t="n">
        <f aca="false">IF(LEFT(Cockpit!$C$5,1)="A",H1062,IF(CA1062=1,CB1062,IF(LEFT(Cockpit!$C$5,1)="B",AJ1062,MAX(AJ1062,H1062))))</f>
        <v>4</v>
      </c>
      <c r="AG1062" s="57" t="n">
        <f aca="false">IF(BT1062=1,0,ROUNDUP(AF1062/BS1062,0))</f>
        <v>1</v>
      </c>
      <c r="AH1062" s="59" t="n">
        <f aca="false">IF(CH1062&gt;0,CH1062*MAX(1,AF1062/X1062),IF(BT1062=1,IF(AF1062&lt;=0,0,BW1062*MAX(1,IF(H1062&gt;0,AF1062/H1062,1))),IF(R1062&gt;0,AG1062/R1062,0))/MAX(0.1,N(Parameter!$M$21)))</f>
        <v>0.00757575757575758</v>
      </c>
      <c r="AI1062" s="57" t="n">
        <f aca="false">AF1062*G1062</f>
        <v>628.32</v>
      </c>
      <c r="AJ1062" s="57" t="n">
        <f aca="false">ROUNDUP(MAX(J1062/IF(BZ1062&gt;0,BZ1062,MAX(0.1,N(Cockpit!$C$6))),CC1062)/BS1062,0)*BS1062</f>
        <v>5</v>
      </c>
      <c r="AK1062" s="58" t="n">
        <f aca="false">IF(AH1062&gt;0,J1062/AH1062,-1)</f>
        <v>132</v>
      </c>
      <c r="AL1062" s="58" t="n">
        <f aca="false">IF(AND(OR(BY1062="L1",BY1062="L23"),AH1062&gt;0),SUMIFS($AH$7:$AH$1843,$BY$7:$BY$1843,BY1062,$AK$7:$AK$1843,"&gt;"&amp;AK1062)+SUMIFS($AH$7:$AH$1843,$BY$7:$BY$1843,BY1062,$AK$7:$AK$1843,AK1062,$BQ$7:$BQ$1843,"&lt;="&amp;BQ1062),"")</f>
        <v>36.3115688659167</v>
      </c>
      <c r="AM1062" s="65" t="n">
        <f aca="false">IF(AL1062="",0,MAX(0,MIN(1,(IF(BY1062="L1",Parameter!$E$5,Parameter!$E$6+Parameter!$E$7)-(AL1062-AH1062))/AH1062)))</f>
        <v>1</v>
      </c>
      <c r="AN1062" s="57" t="n">
        <f aca="false">IF(LEFT(Cockpit!$I$5,1)="A",H1062,IF(CA1062=1,CB1062,IF(LEFT(Cockpit!$I$5,1)="B",AR1062,MAX(AR1062,H1062))))</f>
        <v>5</v>
      </c>
      <c r="AO1062" s="57" t="n">
        <f aca="false">IF(BT1062=1,0,ROUNDUP(AN1062/BS1062,0))</f>
        <v>1</v>
      </c>
      <c r="AP1062" s="59" t="n">
        <f aca="false">IF(CH1062&gt;0,CH1062*MAX(1,AN1062/X1062),IF(BT1062=1,IF(AN1062&lt;=0,0,BW1062*MAX(1,IF(H1062&gt;0,AN1062/H1062,1))),IF(R1062&gt;0,AO1062/R1062,0))/MAX(0.1,N(Parameter!$M$21)))</f>
        <v>0.00757575757575758</v>
      </c>
      <c r="AQ1062" s="57" t="n">
        <f aca="false">AN1062*G1062</f>
        <v>785.4</v>
      </c>
      <c r="AR1062" s="57" t="n">
        <f aca="false">ROUNDUP(MAX(J1062/IF(BZ1062&gt;0,BZ1062,MAX(0.1,N(Cockpit!$I$6))),CC1062)/BS1062,0)*BS1062</f>
        <v>5</v>
      </c>
      <c r="AS1062" s="58" t="n">
        <f aca="false">IF(AP1062&gt;0,J1062/AP1062,-1)</f>
        <v>132</v>
      </c>
      <c r="AT1062" s="58" t="n">
        <f aca="false">IF(AND(OR(BY1062="L1",BY1062="L23"),AP1062&gt;0),SUMIFS($AP$7:$AP$1843,$BY$7:$BY$1843,BY1062,$AS$7:$AS$1843,"&gt;"&amp;AS1062)+SUMIFS($AP$7:$AP$1843,$BY$7:$BY$1843,BY1062,$AS$7:$AS$1843,AS1062,$BQ$7:$BQ$1843,"&lt;="&amp;BQ1062),"")</f>
        <v>52.0439681091855</v>
      </c>
      <c r="AU1062" s="65" t="n">
        <f aca="false">IF(AT1062="",0,MAX(0,MIN(1,(IF(BY1062="L1",Parameter!$E$5,Parameter!$E$6+Parameter!$E$7)-(AT1062-AP1062))/AP1062)))</f>
        <v>1</v>
      </c>
      <c r="AV1062" s="57" t="n">
        <f aca="false">IF(LEFT(Cockpit!$O$5,1)="A",H1062,IF(CA1062=1,CB1062,IF(LEFT(Cockpit!$O$5,1)="B",AZ1062,MAX(AZ1062,H1062))))</f>
        <v>5</v>
      </c>
      <c r="AW1062" s="57" t="n">
        <f aca="false">IF(BT1062=1,0,ROUNDUP(AV1062/BS1062,0))</f>
        <v>1</v>
      </c>
      <c r="AX1062" s="59" t="n">
        <f aca="false">IF(CH1062&gt;0,CH1062*MAX(1,AV1062/X1062),IF(BT1062=1,IF(AV1062&lt;=0,0,BW1062*MAX(1,IF(H1062&gt;0,AV1062/H1062,1))),IF(R1062&gt;0,AW1062/R1062,0))/MAX(0.1,N(Parameter!$M$21)))</f>
        <v>0.00757575757575758</v>
      </c>
      <c r="AY1062" s="57" t="n">
        <f aca="false">AV1062*G1062</f>
        <v>785.4</v>
      </c>
      <c r="AZ1062" s="57" t="n">
        <f aca="false">ROUNDUP(MAX(J1062/IF(BZ1062&gt;0,BZ1062,MAX(0.1,N(Cockpit!$O$6))),CC1062)/BS1062,0)*BS1062</f>
        <v>5</v>
      </c>
      <c r="BA1062" s="58" t="n">
        <f aca="false">IF(AX1062&gt;0,J1062/AX1062,-1)</f>
        <v>132</v>
      </c>
      <c r="BB1062" s="58" t="n">
        <f aca="false">IF(AND(OR(BY1062="L1",BY1062="L23"),AX1062&gt;0),SUMIFS($AX$7:$AX$1843,$BY$7:$BY$1843,BY1062,$BA$7:$BA$1843,"&gt;"&amp;BA1062)+SUMIFS($AX$7:$AX$1843,$BY$7:$BY$1843,BY1062,$BA$7:$BA$1843,BA1062,$BQ$7:$BQ$1843,"&lt;="&amp;BQ1062),"")</f>
        <v>48.6238049390223</v>
      </c>
      <c r="BC1062" s="65" t="n">
        <f aca="false">IF(BB1062="",0,MAX(0,MIN(1,(IF(BY1062="L1",Parameter!$E$5,Parameter!$E$6+Parameter!$E$7)-(BB1062-AX1062))/AX1062)))</f>
        <v>1</v>
      </c>
      <c r="BD1062" s="55" t="str">
        <f aca="false">IF(AH1062&lt;=0,"",IF(BY1062="Aussen","Aussenlager",IF(BY1062="-","Nicht im Lift",IF(AM1062&gt;=1,"Lift",IF(AM1062&lt;=0,"Aussenlager","teilweise")))))</f>
        <v>Lift</v>
      </c>
      <c r="BE1062" s="55" t="str">
        <f aca="false">IF(AP1062&lt;=0,"",IF(BY1062="Aussen","Aussenlager",IF(BY1062="-","Nicht im Lift",IF(AU1062&gt;=1,"Lift",IF(AU1062&lt;=0,"Aussenlager","teilweise")))))</f>
        <v>Lift</v>
      </c>
      <c r="BF1062" s="55" t="str">
        <f aca="false">IF(AX1062&lt;=0,"",IF(BY1062="Aussen","Aussenlager",IF(BY1062="-","Nicht im Lift",IF(BC1062&gt;=1,"Lift",IF(BC1062&lt;=0,"Aussenlager","teilweise")))))</f>
        <v>Lift</v>
      </c>
      <c r="BG1062" s="55" t="str">
        <f aca="false">IF(A1062="","",IF(BP1062=1,"Neu; ","")&amp;IF(AND(BP1062=0,BK1062&lt;0),"negativer Bestand (Export "&amp;BK1062&amp;"); ","")&amp;IF(J1062&lt;=0,"Kein Verbrauch; ","")&amp;IF(CH1062&gt;0,"Lift "&amp;W1062&amp;" lt. Liftbericht (Fach "&amp;X1062&amp;" Stk); ",IF(BU1062=1,"Gebinde geschätzt ("&amp;T1062&amp;"); ",IF(BT1062=1,"Lose – Tablare geschätzt; ","")))&amp;IF(H1062&gt;AR1062,"Überbestand "&amp;ROUND(H1062-AR1062,0)&amp;" Stk / CHF "&amp;ROUND((H1062-AR1062)*G1062,0)&amp;"; ","")&amp;IF(AND(CA1062=1,CB1062&lt;CC1062),"MAX &lt; MB+LG; ","")&amp;IF(AND(CG1062&gt;0,CF1062*10&gt;CG1062),"zu hoch für Tablar; ","")&amp;IF(AND(BP1062=0,OR(CA1062=1,AA1062&lt;&gt;"",U1062&lt;&gt;"",V1062&lt;&gt;"",AB1062&lt;&gt;"")),"manuell übersteuert; ","")&amp;IF(AND(BT1062=0,R1062=0),"Gebinde unbekannt / Stellmass fehlt; ","")&amp;IF(AND(BT1062=0,N(V1062)&lt;=0,N(Q1062)&lt;=0),"Menge pro Gebinde fehlt (Ist = 1 Gebinde); ","")&amp;BO1062)</f>
        <v>negativer Bestand (Export -1); </v>
      </c>
      <c r="BH1062" s="55"/>
      <c r="BI1062" s="55"/>
      <c r="BJ1062" s="62"/>
      <c r="BK1062" s="57" t="n">
        <v>-1</v>
      </c>
      <c r="BL1062" s="57" t="n">
        <v>5</v>
      </c>
      <c r="BM1062" s="56" t="n">
        <v>-157.08</v>
      </c>
      <c r="BN1062" s="57" t="n">
        <v>1</v>
      </c>
      <c r="BO1062" s="55"/>
      <c r="BP1062" s="60" t="n">
        <v>0</v>
      </c>
      <c r="BQ1062" s="60" t="n">
        <v>1062</v>
      </c>
      <c r="BR1062" s="55" t="str">
        <f aca="false">IF(U1062&lt;&gt;"",UPPER(TRIM(U1062)),IF(BU1062=1,UPPER(VLOOKUP(T1062,Parameter!$I$27:$K$29,2,0)),IF(P1062="","LOSE",P1062)))</f>
        <v>S32</v>
      </c>
      <c r="BS1062" s="57" t="n">
        <f aca="false">IF(BR1062="LOSE",1,IF(N(V1062)&gt;0,V1062,IF(BU1062=1,MAX(1,N(VLOOKUP(T1062,Parameter!$I$27:$K$29,3,0)),H1062,N(N1062)),IF(N(Q1062)&gt;0,Q1062,MAX(1,H1062)))))</f>
        <v>5</v>
      </c>
      <c r="BT1062" s="60" t="n">
        <f aca="false">IF(BR1062="LOSE",1,0)</f>
        <v>0</v>
      </c>
      <c r="BU1062" s="60" t="n">
        <f aca="false">IF(AND(U1062="",OR(P1062="",P1062="LOSE"),T1062&lt;&gt;"",N(S1062)&lt;=0,ISNUMBER(MATCH(T1062,Parameter!$I$27:$I$29,0))),1,0)</f>
        <v>0</v>
      </c>
      <c r="BV1062" s="55" t="str">
        <f aca="false">IF(AND(Parameter!$B$19="Ja",E1062&lt;&gt;"",ISNUMBER(MATCH(E1062,Parameter!$I$35:$I$52,0))),VLOOKUP(E1062,Parameter!$I$35:$J$52,2,0),IFERROR(VLOOKUP(D1062,Parameter!$A$35:$C$64,2,0),"Nein"))</f>
        <v>2+3</v>
      </c>
      <c r="BW1062" s="59" t="n">
        <f aca="false">IF(BT1062=0,0,IF(N(S1062)&gt;0,S1062,IFERROR(VLOOKUP(D1062,Parameter!$A$35:$C$64,3,0)+0,0)))</f>
        <v>0</v>
      </c>
      <c r="BX1062" s="55" t="n">
        <f aca="false">IF(AA1062&lt;&gt;"",AA1062,Z1062)</f>
        <v>3</v>
      </c>
      <c r="BY1062" s="55" t="str">
        <f aca="false">IF(BX1062=1,"L1",IF(OR(BX1062=2,BX1062=3),"L23",IF(BX1062="Aussen","Aussen","-")))</f>
        <v>L23</v>
      </c>
      <c r="BZ1062" s="66" t="n">
        <f aca="false">IF(N(AB1062)&gt;0,AB1062,0)</f>
        <v>0</v>
      </c>
      <c r="CA1062" s="60" t="n">
        <f aca="false">IF(ISNUMBER(AE1062),1,0)</f>
        <v>0</v>
      </c>
      <c r="CB1062" s="57" t="n">
        <f aca="false">N(AE1062)</f>
        <v>0</v>
      </c>
      <c r="CC1062" s="57" t="n">
        <f aca="false">N(M1062)+N(N1062)</f>
        <v>1</v>
      </c>
      <c r="CD1062" s="57" t="n">
        <f aca="false">ROUNDUP(H1062/BS1062,0)</f>
        <v>1</v>
      </c>
      <c r="CE1062" s="57" t="n">
        <f aca="false">ROUNDUP(CB1062/BS1062,0)</f>
        <v>0</v>
      </c>
      <c r="CF1062" s="60" t="n">
        <f aca="false">IF(BT1062=1,0,IFERROR(VLOOKUP(BR1062,'Gebinde-Kategorie'!$A$5:$M$45,5,0)+0,0))</f>
        <v>8</v>
      </c>
      <c r="CG1062" s="60" t="n">
        <f aca="false">IFERROR(IF(OR(BX1062=1,BX1062=2,BX1062=3),N(INDEX(Parameter!$I$5:$I$7,BX1062)),0),0)</f>
        <v>0</v>
      </c>
      <c r="CH1062" s="59" t="n">
        <f aca="false">IF(AND(Parameter!$B$21="Ja",ISNUMBER(W1062),N(X1062)&gt;0),IFERROR(N(INDEX(Parameter!$L$5:$L$7,W1062))*INDEX(Parameter!$E$5:$E$7,W1062)*X1062/SUMIFS($X$7:$X$1843,$W$7:$W$1843,W1062),0),0)</f>
        <v>0</v>
      </c>
    </row>
    <row r="1063" customFormat="false" ht="15" hidden="false" customHeight="false" outlineLevel="0" collapsed="false">
      <c r="A1063" s="55" t="s">
        <v>1941</v>
      </c>
      <c r="B1063" s="55" t="s">
        <v>1942</v>
      </c>
      <c r="C1063" s="55" t="s">
        <v>164</v>
      </c>
      <c r="D1063" s="55" t="s">
        <v>184</v>
      </c>
      <c r="E1063" s="55" t="s">
        <v>185</v>
      </c>
      <c r="F1063" s="55" t="s">
        <v>218</v>
      </c>
      <c r="G1063" s="56" t="n">
        <v>22.7</v>
      </c>
      <c r="H1063" s="57" t="n">
        <f aca="false">MAX(0,IF(AND(Parameter!$B$21="Ja",ISNUMBER(Y1063)),Y1063,IF(Parameter!$B$20="Jahresanfang 2025 + Export",BL1063+BK1063,BK1063)))</f>
        <v>4</v>
      </c>
      <c r="I1063" s="57" t="n">
        <f aca="false">H1063*G1063</f>
        <v>90.8</v>
      </c>
      <c r="J1063" s="57" t="n">
        <f aca="false">BN1063*Parameter!$B$18</f>
        <v>4</v>
      </c>
      <c r="K1063" s="58" t="n">
        <v>13</v>
      </c>
      <c r="L1063" s="59" t="n">
        <v>0.307692307692308</v>
      </c>
      <c r="M1063" s="57" t="n">
        <v>0</v>
      </c>
      <c r="N1063" s="57" t="n">
        <v>5</v>
      </c>
      <c r="O1063" s="60" t="n">
        <v>35</v>
      </c>
      <c r="P1063" s="55" t="s">
        <v>421</v>
      </c>
      <c r="Q1063" s="57" t="n">
        <v>9</v>
      </c>
      <c r="R1063" s="60" t="n">
        <f aca="false">IF(BT1063=1,0,IFERROR(VLOOKUP(BR1063,'Gebinde-Kategorie'!$A$5:$M$45,13,0)+0,0))</f>
        <v>132</v>
      </c>
      <c r="S1063" s="61"/>
      <c r="T1063" s="62"/>
      <c r="U1063" s="62"/>
      <c r="V1063" s="62"/>
      <c r="W1063" s="55"/>
      <c r="X1063" s="57"/>
      <c r="Y1063" s="57"/>
      <c r="Z1063" s="55" t="n">
        <f aca="false">IF(A1063="","",IF(AND(Parameter!$B$21="Ja",ISNUMBER(W1063)),W1063,IF(BV1063="2+3",IF(ISNUMBER(SEARCH("grosser Artikel",BO1063)),2,IFERROR(VLOOKUP(BR1063,Parameter!$F$35:$G$64,2,0),2)),IF(OR(BV1063="Nein",BV1063=""),"-",BV1063))))</f>
        <v>3</v>
      </c>
      <c r="AA1063" s="62"/>
      <c r="AB1063" s="63"/>
      <c r="AC1063" s="57" t="n">
        <f aca="false">AR1063</f>
        <v>9</v>
      </c>
      <c r="AD1063" s="57" t="n">
        <f aca="false">MAX(AR1063,H1063)</f>
        <v>9</v>
      </c>
      <c r="AE1063" s="64"/>
      <c r="AF1063" s="57" t="n">
        <f aca="false">IF(LEFT(Cockpit!$C$5,1)="A",H1063,IF(CA1063=1,CB1063,IF(LEFT(Cockpit!$C$5,1)="B",AJ1063,MAX(AJ1063,H1063))))</f>
        <v>4</v>
      </c>
      <c r="AG1063" s="57" t="n">
        <f aca="false">IF(BT1063=1,0,ROUNDUP(AF1063/BS1063,0))</f>
        <v>1</v>
      </c>
      <c r="AH1063" s="59" t="n">
        <f aca="false">IF(CH1063&gt;0,CH1063*MAX(1,AF1063/X1063),IF(BT1063=1,IF(AF1063&lt;=0,0,BW1063*MAX(1,IF(H1063&gt;0,AF1063/H1063,1))),IF(R1063&gt;0,AG1063/R1063,0))/MAX(0.1,N(Parameter!$M$21)))</f>
        <v>0.00757575757575758</v>
      </c>
      <c r="AI1063" s="57" t="n">
        <f aca="false">AF1063*G1063</f>
        <v>90.8</v>
      </c>
      <c r="AJ1063" s="57" t="n">
        <f aca="false">ROUNDUP(MAX(J1063/IF(BZ1063&gt;0,BZ1063,MAX(0.1,N(Cockpit!$C$6))),CC1063)/BS1063,0)*BS1063</f>
        <v>9</v>
      </c>
      <c r="AK1063" s="58" t="n">
        <f aca="false">IF(AH1063&gt;0,J1063/AH1063,-1)</f>
        <v>528</v>
      </c>
      <c r="AL1063" s="58" t="n">
        <f aca="false">IF(AND(OR(BY1063="L1",BY1063="L23"),AH1063&gt;0),SUMIFS($AH$7:$AH$1843,$BY$7:$BY$1843,BY1063,$AK$7:$AK$1843,"&gt;"&amp;AK1063)+SUMIFS($AH$7:$AH$1843,$BY$7:$BY$1843,BY1063,$AK$7:$AK$1843,AK1063,$BQ$7:$BQ$1843,"&lt;="&amp;BQ1063),"")</f>
        <v>23.791958041958</v>
      </c>
      <c r="AM1063" s="65" t="n">
        <f aca="false">IF(AL1063="",0,MAX(0,MIN(1,(IF(BY1063="L1",Parameter!$E$5,Parameter!$E$6+Parameter!$E$7)-(AL1063-AH1063))/AH1063)))</f>
        <v>1</v>
      </c>
      <c r="AN1063" s="57" t="n">
        <f aca="false">IF(LEFT(Cockpit!$I$5,1)="A",H1063,IF(CA1063=1,CB1063,IF(LEFT(Cockpit!$I$5,1)="B",AR1063,MAX(AR1063,H1063))))</f>
        <v>9</v>
      </c>
      <c r="AO1063" s="57" t="n">
        <f aca="false">IF(BT1063=1,0,ROUNDUP(AN1063/BS1063,0))</f>
        <v>1</v>
      </c>
      <c r="AP1063" s="59" t="n">
        <f aca="false">IF(CH1063&gt;0,CH1063*MAX(1,AN1063/X1063),IF(BT1063=1,IF(AN1063&lt;=0,0,BW1063*MAX(1,IF(H1063&gt;0,AN1063/H1063,1))),IF(R1063&gt;0,AO1063/R1063,0))/MAX(0.1,N(Parameter!$M$21)))</f>
        <v>0.00757575757575758</v>
      </c>
      <c r="AQ1063" s="57" t="n">
        <f aca="false">AN1063*G1063</f>
        <v>204.3</v>
      </c>
      <c r="AR1063" s="57" t="n">
        <f aca="false">ROUNDUP(MAX(J1063/IF(BZ1063&gt;0,BZ1063,MAX(0.1,N(Cockpit!$I$6))),CC1063)/BS1063,0)*BS1063</f>
        <v>9</v>
      </c>
      <c r="AS1063" s="58" t="n">
        <f aca="false">IF(AP1063&gt;0,J1063/AP1063,-1)</f>
        <v>528</v>
      </c>
      <c r="AT1063" s="58" t="n">
        <f aca="false">IF(AND(OR(BY1063="L1",BY1063="L23"),AP1063&gt;0),SUMIFS($AP$7:$AP$1843,$BY$7:$BY$1843,BY1063,$AS$7:$AS$1843,"&gt;"&amp;AS1063)+SUMIFS($AP$7:$AP$1843,$BY$7:$BY$1843,BY1063,$AS$7:$AS$1843,AS1063,$BQ$7:$BQ$1843,"&lt;="&amp;BQ1063),"")</f>
        <v>32.5407840951319</v>
      </c>
      <c r="AU1063" s="65" t="n">
        <f aca="false">IF(AT1063="",0,MAX(0,MIN(1,(IF(BY1063="L1",Parameter!$E$5,Parameter!$E$6+Parameter!$E$7)-(AT1063-AP1063))/AP1063)))</f>
        <v>1</v>
      </c>
      <c r="AV1063" s="57" t="n">
        <f aca="false">IF(LEFT(Cockpit!$O$5,1)="A",H1063,IF(CA1063=1,CB1063,IF(LEFT(Cockpit!$O$5,1)="B",AZ1063,MAX(AZ1063,H1063))))</f>
        <v>9</v>
      </c>
      <c r="AW1063" s="57" t="n">
        <f aca="false">IF(BT1063=1,0,ROUNDUP(AV1063/BS1063,0))</f>
        <v>1</v>
      </c>
      <c r="AX1063" s="59" t="n">
        <f aca="false">IF(CH1063&gt;0,CH1063*MAX(1,AV1063/X1063),IF(BT1063=1,IF(AV1063&lt;=0,0,BW1063*MAX(1,IF(H1063&gt;0,AV1063/H1063,1))),IF(R1063&gt;0,AW1063/R1063,0))/MAX(0.1,N(Parameter!$M$21)))</f>
        <v>0.00757575757575758</v>
      </c>
      <c r="AY1063" s="57" t="n">
        <f aca="false">AV1063*G1063</f>
        <v>204.3</v>
      </c>
      <c r="AZ1063" s="57" t="n">
        <f aca="false">ROUNDUP(MAX(J1063/IF(BZ1063&gt;0,BZ1063,MAX(0.1,N(Cockpit!$O$6))),CC1063)/BS1063,0)*BS1063</f>
        <v>9</v>
      </c>
      <c r="BA1063" s="58" t="n">
        <f aca="false">IF(AX1063&gt;0,J1063/AX1063,-1)</f>
        <v>528</v>
      </c>
      <c r="BB1063" s="58" t="n">
        <f aca="false">IF(AND(OR(BY1063="L1",BY1063="L23"),AX1063&gt;0),SUMIFS($AX$7:$AX$1843,$BY$7:$BY$1843,BY1063,$BA$7:$BA$1843,"&gt;"&amp;BA1063)+SUMIFS($AX$7:$AX$1843,$BY$7:$BY$1843,BY1063,$BA$7:$BA$1843,BA1063,$BQ$7:$BQ$1843,"&lt;="&amp;BQ1063),"")</f>
        <v>30.1078004121482</v>
      </c>
      <c r="BC1063" s="65" t="n">
        <f aca="false">IF(BB1063="",0,MAX(0,MIN(1,(IF(BY1063="L1",Parameter!$E$5,Parameter!$E$6+Parameter!$E$7)-(BB1063-AX1063))/AX1063)))</f>
        <v>1</v>
      </c>
      <c r="BD1063" s="55" t="str">
        <f aca="false">IF(AH1063&lt;=0,"",IF(BY1063="Aussen","Aussenlager",IF(BY1063="-","Nicht im Lift",IF(AM1063&gt;=1,"Lift",IF(AM1063&lt;=0,"Aussenlager","teilweise")))))</f>
        <v>Lift</v>
      </c>
      <c r="BE1063" s="55" t="str">
        <f aca="false">IF(AP1063&lt;=0,"",IF(BY1063="Aussen","Aussenlager",IF(BY1063="-","Nicht im Lift",IF(AU1063&gt;=1,"Lift",IF(AU1063&lt;=0,"Aussenlager","teilweise")))))</f>
        <v>Lift</v>
      </c>
      <c r="BF1063" s="55" t="str">
        <f aca="false">IF(AX1063&lt;=0,"",IF(BY1063="Aussen","Aussenlager",IF(BY1063="-","Nicht im Lift",IF(BC1063&gt;=1,"Lift",IF(BC1063&lt;=0,"Aussenlager","teilweise")))))</f>
        <v>Lift</v>
      </c>
      <c r="BG1063" s="55" t="str">
        <f aca="false">IF(A1063="","",IF(BP1063=1,"Neu; ","")&amp;IF(AND(BP1063=0,BK1063&lt;0),"negativer Bestand (Export "&amp;BK1063&amp;"); ","")&amp;IF(J1063&lt;=0,"Kein Verbrauch; ","")&amp;IF(CH1063&gt;0,"Lift "&amp;W1063&amp;" lt. Liftbericht (Fach "&amp;X1063&amp;" Stk); ",IF(BU1063=1,"Gebinde geschätzt ("&amp;T1063&amp;"); ",IF(BT1063=1,"Lose – Tablare geschätzt; ","")))&amp;IF(H1063&gt;AR1063,"Überbestand "&amp;ROUND(H1063-AR1063,0)&amp;" Stk / CHF "&amp;ROUND((H1063-AR1063)*G1063,0)&amp;"; ","")&amp;IF(AND(CA1063=1,CB1063&lt;CC1063),"MAX &lt; MB+LG; ","")&amp;IF(AND(CG1063&gt;0,CF1063*10&gt;CG1063),"zu hoch für Tablar; ","")&amp;IF(AND(BP1063=0,OR(CA1063=1,AA1063&lt;&gt;"",U1063&lt;&gt;"",V1063&lt;&gt;"",AB1063&lt;&gt;"")),"manuell übersteuert; ","")&amp;IF(AND(BT1063=0,R1063=0),"Gebinde unbekannt / Stellmass fehlt; ","")&amp;IF(AND(BT1063=0,N(V1063)&lt;=0,N(Q1063)&lt;=0),"Menge pro Gebinde fehlt (Ist = 1 Gebinde); ","")&amp;BO1063)</f>
        <v>negativer Bestand (Export -7); </v>
      </c>
      <c r="BH1063" s="55"/>
      <c r="BI1063" s="55"/>
      <c r="BJ1063" s="62"/>
      <c r="BK1063" s="57" t="n">
        <v>-7</v>
      </c>
      <c r="BL1063" s="57" t="n">
        <v>11</v>
      </c>
      <c r="BM1063" s="56" t="n">
        <v>-158.9</v>
      </c>
      <c r="BN1063" s="57" t="n">
        <v>4</v>
      </c>
      <c r="BO1063" s="55"/>
      <c r="BP1063" s="60" t="n">
        <v>0</v>
      </c>
      <c r="BQ1063" s="60" t="n">
        <v>1063</v>
      </c>
      <c r="BR1063" s="55" t="str">
        <f aca="false">IF(U1063&lt;&gt;"",UPPER(TRIM(U1063)),IF(BU1063=1,UPPER(VLOOKUP(T1063,Parameter!$I$27:$K$29,2,0)),IF(P1063="","LOSE",P1063)))</f>
        <v>S32</v>
      </c>
      <c r="BS1063" s="57" t="n">
        <f aca="false">IF(BR1063="LOSE",1,IF(N(V1063)&gt;0,V1063,IF(BU1063=1,MAX(1,N(VLOOKUP(T1063,Parameter!$I$27:$K$29,3,0)),H1063,N(N1063)),IF(N(Q1063)&gt;0,Q1063,MAX(1,H1063)))))</f>
        <v>9</v>
      </c>
      <c r="BT1063" s="60" t="n">
        <f aca="false">IF(BR1063="LOSE",1,0)</f>
        <v>0</v>
      </c>
      <c r="BU1063" s="60" t="n">
        <f aca="false">IF(AND(U1063="",OR(P1063="",P1063="LOSE"),T1063&lt;&gt;"",N(S1063)&lt;=0,ISNUMBER(MATCH(T1063,Parameter!$I$27:$I$29,0))),1,0)</f>
        <v>0</v>
      </c>
      <c r="BV1063" s="55" t="str">
        <f aca="false">IF(AND(Parameter!$B$19="Ja",E1063&lt;&gt;"",ISNUMBER(MATCH(E1063,Parameter!$I$35:$I$52,0))),VLOOKUP(E1063,Parameter!$I$35:$J$52,2,0),IFERROR(VLOOKUP(D1063,Parameter!$A$35:$C$64,2,0),"Nein"))</f>
        <v>2+3</v>
      </c>
      <c r="BW1063" s="59" t="n">
        <f aca="false">IF(BT1063=0,0,IF(N(S1063)&gt;0,S1063,IFERROR(VLOOKUP(D1063,Parameter!$A$35:$C$64,3,0)+0,0)))</f>
        <v>0</v>
      </c>
      <c r="BX1063" s="55" t="n">
        <f aca="false">IF(AA1063&lt;&gt;"",AA1063,Z1063)</f>
        <v>3</v>
      </c>
      <c r="BY1063" s="55" t="str">
        <f aca="false">IF(BX1063=1,"L1",IF(OR(BX1063=2,BX1063=3),"L23",IF(BX1063="Aussen","Aussen","-")))</f>
        <v>L23</v>
      </c>
      <c r="BZ1063" s="66" t="n">
        <f aca="false">IF(N(AB1063)&gt;0,AB1063,0)</f>
        <v>0</v>
      </c>
      <c r="CA1063" s="60" t="n">
        <f aca="false">IF(ISNUMBER(AE1063),1,0)</f>
        <v>0</v>
      </c>
      <c r="CB1063" s="57" t="n">
        <f aca="false">N(AE1063)</f>
        <v>0</v>
      </c>
      <c r="CC1063" s="57" t="n">
        <f aca="false">N(M1063)+N(N1063)</f>
        <v>5</v>
      </c>
      <c r="CD1063" s="57" t="n">
        <f aca="false">ROUNDUP(H1063/BS1063,0)</f>
        <v>1</v>
      </c>
      <c r="CE1063" s="57" t="n">
        <f aca="false">ROUNDUP(CB1063/BS1063,0)</f>
        <v>0</v>
      </c>
      <c r="CF1063" s="60" t="n">
        <f aca="false">IF(BT1063=1,0,IFERROR(VLOOKUP(BR1063,'Gebinde-Kategorie'!$A$5:$M$45,5,0)+0,0))</f>
        <v>8</v>
      </c>
      <c r="CG1063" s="60" t="n">
        <f aca="false">IFERROR(IF(OR(BX1063=1,BX1063=2,BX1063=3),N(INDEX(Parameter!$I$5:$I$7,BX1063)),0),0)</f>
        <v>0</v>
      </c>
      <c r="CH1063" s="59" t="n">
        <f aca="false">IF(AND(Parameter!$B$21="Ja",ISNUMBER(W1063),N(X1063)&gt;0),IFERROR(N(INDEX(Parameter!$L$5:$L$7,W1063))*INDEX(Parameter!$E$5:$E$7,W1063)*X1063/SUMIFS($X$7:$X$1843,$W$7:$W$1843,W1063),0),0)</f>
        <v>0</v>
      </c>
    </row>
    <row r="1064" customFormat="false" ht="15" hidden="false" customHeight="false" outlineLevel="0" collapsed="false">
      <c r="A1064" s="55" t="s">
        <v>1943</v>
      </c>
      <c r="B1064" s="55" t="s">
        <v>1944</v>
      </c>
      <c r="C1064" s="55" t="s">
        <v>164</v>
      </c>
      <c r="D1064" s="55" t="s">
        <v>184</v>
      </c>
      <c r="E1064" s="55"/>
      <c r="F1064" s="55" t="s">
        <v>218</v>
      </c>
      <c r="G1064" s="56" t="n">
        <v>80.5</v>
      </c>
      <c r="H1064" s="57" t="n">
        <f aca="false">MAX(0,IF(AND(Parameter!$B$21="Ja",ISNUMBER(Y1064)),Y1064,IF(Parameter!$B$20="Jahresanfang 2025 + Export",BL1064+BK1064,BK1064)))</f>
        <v>7</v>
      </c>
      <c r="I1064" s="57" t="n">
        <f aca="false">H1064*G1064</f>
        <v>563.5</v>
      </c>
      <c r="J1064" s="57" t="n">
        <f aca="false">BN1064*Parameter!$B$18</f>
        <v>2</v>
      </c>
      <c r="K1064" s="58" t="n">
        <v>8</v>
      </c>
      <c r="L1064" s="59" t="n">
        <v>0.25</v>
      </c>
      <c r="M1064" s="57" t="n">
        <v>0</v>
      </c>
      <c r="N1064" s="57" t="n">
        <v>1</v>
      </c>
      <c r="O1064" s="60" t="n">
        <v>35</v>
      </c>
      <c r="P1064" s="55" t="s">
        <v>401</v>
      </c>
      <c r="Q1064" s="57" t="n">
        <v>7</v>
      </c>
      <c r="R1064" s="60" t="n">
        <f aca="false">IF(BT1064=1,0,IFERROR(VLOOKUP(BR1064,'Gebinde-Kategorie'!$A$5:$M$45,13,0)+0,0))</f>
        <v>414</v>
      </c>
      <c r="S1064" s="61"/>
      <c r="T1064" s="62"/>
      <c r="U1064" s="62"/>
      <c r="V1064" s="62"/>
      <c r="W1064" s="55"/>
      <c r="X1064" s="57"/>
      <c r="Y1064" s="57"/>
      <c r="Z1064" s="55" t="n">
        <f aca="false">IF(A1064="","",IF(AND(Parameter!$B$21="Ja",ISNUMBER(W1064)),W1064,IF(BV1064="2+3",IF(ISNUMBER(SEARCH("grosser Artikel",BO1064)),2,IFERROR(VLOOKUP(BR1064,Parameter!$F$35:$G$64,2,0),2)),IF(OR(BV1064="Nein",BV1064=""),"-",BV1064))))</f>
        <v>3</v>
      </c>
      <c r="AA1064" s="62"/>
      <c r="AB1064" s="63"/>
      <c r="AC1064" s="57" t="n">
        <f aca="false">AR1064</f>
        <v>7</v>
      </c>
      <c r="AD1064" s="57" t="n">
        <f aca="false">MAX(AR1064,H1064)</f>
        <v>7</v>
      </c>
      <c r="AE1064" s="64"/>
      <c r="AF1064" s="57" t="n">
        <f aca="false">IF(LEFT(Cockpit!$C$5,1)="A",H1064,IF(CA1064=1,CB1064,IF(LEFT(Cockpit!$C$5,1)="B",AJ1064,MAX(AJ1064,H1064))))</f>
        <v>7</v>
      </c>
      <c r="AG1064" s="57" t="n">
        <f aca="false">IF(BT1064=1,0,ROUNDUP(AF1064/BS1064,0))</f>
        <v>1</v>
      </c>
      <c r="AH1064" s="59" t="n">
        <f aca="false">IF(CH1064&gt;0,CH1064*MAX(1,AF1064/X1064),IF(BT1064=1,IF(AF1064&lt;=0,0,BW1064*MAX(1,IF(H1064&gt;0,AF1064/H1064,1))),IF(R1064&gt;0,AG1064/R1064,0))/MAX(0.1,N(Parameter!$M$21)))</f>
        <v>0.00241545893719807</v>
      </c>
      <c r="AI1064" s="57" t="n">
        <f aca="false">AF1064*G1064</f>
        <v>563.5</v>
      </c>
      <c r="AJ1064" s="57" t="n">
        <f aca="false">ROUNDUP(MAX(J1064/IF(BZ1064&gt;0,BZ1064,MAX(0.1,N(Cockpit!$C$6))),CC1064)/BS1064,0)*BS1064</f>
        <v>7</v>
      </c>
      <c r="AK1064" s="58" t="n">
        <f aca="false">IF(AH1064&gt;0,J1064/AH1064,-1)</f>
        <v>828</v>
      </c>
      <c r="AL1064" s="58" t="n">
        <f aca="false">IF(AND(OR(BY1064="L1",BY1064="L23"),AH1064&gt;0),SUMIFS($AH$7:$AH$1843,$BY$7:$BY$1843,BY1064,$AK$7:$AK$1843,"&gt;"&amp;AK1064)+SUMIFS($AH$7:$AH$1843,$BY$7:$BY$1843,BY1064,$AK$7:$AK$1843,AK1064,$BQ$7:$BQ$1843,"&lt;="&amp;BQ1064),"")</f>
        <v>20.7346542346542</v>
      </c>
      <c r="AM1064" s="65" t="n">
        <f aca="false">IF(AL1064="",0,MAX(0,MIN(1,(IF(BY1064="L1",Parameter!$E$5,Parameter!$E$6+Parameter!$E$7)-(AL1064-AH1064))/AH1064)))</f>
        <v>1</v>
      </c>
      <c r="AN1064" s="57" t="n">
        <f aca="false">IF(LEFT(Cockpit!$I$5,1)="A",H1064,IF(CA1064=1,CB1064,IF(LEFT(Cockpit!$I$5,1)="B",AR1064,MAX(AR1064,H1064))))</f>
        <v>7</v>
      </c>
      <c r="AO1064" s="57" t="n">
        <f aca="false">IF(BT1064=1,0,ROUNDUP(AN1064/BS1064,0))</f>
        <v>1</v>
      </c>
      <c r="AP1064" s="59" t="n">
        <f aca="false">IF(CH1064&gt;0,CH1064*MAX(1,AN1064/X1064),IF(BT1064=1,IF(AN1064&lt;=0,0,BW1064*MAX(1,IF(H1064&gt;0,AN1064/H1064,1))),IF(R1064&gt;0,AO1064/R1064,0))/MAX(0.1,N(Parameter!$M$21)))</f>
        <v>0.00241545893719807</v>
      </c>
      <c r="AQ1064" s="57" t="n">
        <f aca="false">AN1064*G1064</f>
        <v>563.5</v>
      </c>
      <c r="AR1064" s="57" t="n">
        <f aca="false">ROUNDUP(MAX(J1064/IF(BZ1064&gt;0,BZ1064,MAX(0.1,N(Cockpit!$I$6))),CC1064)/BS1064,0)*BS1064</f>
        <v>7</v>
      </c>
      <c r="AS1064" s="58" t="n">
        <f aca="false">IF(AP1064&gt;0,J1064/AP1064,-1)</f>
        <v>828</v>
      </c>
      <c r="AT1064" s="58" t="n">
        <f aca="false">IF(AND(OR(BY1064="L1",BY1064="L23"),AP1064&gt;0),SUMIFS($AP$7:$AP$1843,$BY$7:$BY$1843,BY1064,$AS$7:$AS$1843,"&gt;"&amp;AS1064)+SUMIFS($AP$7:$AP$1843,$BY$7:$BY$1843,BY1064,$AS$7:$AS$1843,AS1064,$BQ$7:$BQ$1843,"&lt;="&amp;BQ1064),"")</f>
        <v>25.9549255092733</v>
      </c>
      <c r="AU1064" s="65" t="n">
        <f aca="false">IF(AT1064="",0,MAX(0,MIN(1,(IF(BY1064="L1",Parameter!$E$5,Parameter!$E$6+Parameter!$E$7)-(AT1064-AP1064))/AP1064)))</f>
        <v>1</v>
      </c>
      <c r="AV1064" s="57" t="n">
        <f aca="false">IF(LEFT(Cockpit!$O$5,1)="A",H1064,IF(CA1064=1,CB1064,IF(LEFT(Cockpit!$O$5,1)="B",AZ1064,MAX(AZ1064,H1064))))</f>
        <v>7</v>
      </c>
      <c r="AW1064" s="57" t="n">
        <f aca="false">IF(BT1064=1,0,ROUNDUP(AV1064/BS1064,0))</f>
        <v>1</v>
      </c>
      <c r="AX1064" s="59" t="n">
        <f aca="false">IF(CH1064&gt;0,CH1064*MAX(1,AV1064/X1064),IF(BT1064=1,IF(AV1064&lt;=0,0,BW1064*MAX(1,IF(H1064&gt;0,AV1064/H1064,1))),IF(R1064&gt;0,AW1064/R1064,0))/MAX(0.1,N(Parameter!$M$21)))</f>
        <v>0.00241545893719807</v>
      </c>
      <c r="AY1064" s="57" t="n">
        <f aca="false">AV1064*G1064</f>
        <v>563.5</v>
      </c>
      <c r="AZ1064" s="57" t="n">
        <f aca="false">ROUNDUP(MAX(J1064/IF(BZ1064&gt;0,BZ1064,MAX(0.1,N(Cockpit!$O$6))),CC1064)/BS1064,0)*BS1064</f>
        <v>7</v>
      </c>
      <c r="BA1064" s="58" t="n">
        <f aca="false">IF(AX1064&gt;0,J1064/AX1064,-1)</f>
        <v>828</v>
      </c>
      <c r="BB1064" s="58" t="n">
        <f aca="false">IF(AND(OR(BY1064="L1",BY1064="L23"),AX1064&gt;0),SUMIFS($AX$7:$AX$1843,$BY$7:$BY$1843,BY1064,$BA$7:$BA$1843,"&gt;"&amp;BA1064)+SUMIFS($AX$7:$AX$1843,$BY$7:$BY$1843,BY1064,$BA$7:$BA$1843,BA1064,$BQ$7:$BQ$1843,"&lt;="&amp;BQ1064),"")</f>
        <v>25.8232238775717</v>
      </c>
      <c r="BC1064" s="65" t="n">
        <f aca="false">IF(BB1064="",0,MAX(0,MIN(1,(IF(BY1064="L1",Parameter!$E$5,Parameter!$E$6+Parameter!$E$7)-(BB1064-AX1064))/AX1064)))</f>
        <v>1</v>
      </c>
      <c r="BD1064" s="55" t="str">
        <f aca="false">IF(AH1064&lt;=0,"",IF(BY1064="Aussen","Aussenlager",IF(BY1064="-","Nicht im Lift",IF(AM1064&gt;=1,"Lift",IF(AM1064&lt;=0,"Aussenlager","teilweise")))))</f>
        <v>Lift</v>
      </c>
      <c r="BE1064" s="55" t="str">
        <f aca="false">IF(AP1064&lt;=0,"",IF(BY1064="Aussen","Aussenlager",IF(BY1064="-","Nicht im Lift",IF(AU1064&gt;=1,"Lift",IF(AU1064&lt;=0,"Aussenlager","teilweise")))))</f>
        <v>Lift</v>
      </c>
      <c r="BF1064" s="55" t="str">
        <f aca="false">IF(AX1064&lt;=0,"",IF(BY1064="Aussen","Aussenlager",IF(BY1064="-","Nicht im Lift",IF(BC1064&gt;=1,"Lift",IF(BC1064&lt;=0,"Aussenlager","teilweise")))))</f>
        <v>Lift</v>
      </c>
      <c r="BG1064" s="55" t="str">
        <f aca="false">IF(A1064="","",IF(BP1064=1,"Neu; ","")&amp;IF(AND(BP1064=0,BK1064&lt;0),"negativer Bestand (Export "&amp;BK1064&amp;"); ","")&amp;IF(J1064&lt;=0,"Kein Verbrauch; ","")&amp;IF(CH1064&gt;0,"Lift "&amp;W1064&amp;" lt. Liftbericht (Fach "&amp;X1064&amp;" Stk); ",IF(BU1064=1,"Gebinde geschätzt ("&amp;T1064&amp;"); ",IF(BT1064=1,"Lose – Tablare geschätzt; ","")))&amp;IF(H1064&gt;AR1064,"Überbestand "&amp;ROUND(H1064-AR1064,0)&amp;" Stk / CHF "&amp;ROUND((H1064-AR1064)*G1064,0)&amp;"; ","")&amp;IF(AND(CA1064=1,CB1064&lt;CC1064),"MAX &lt; MB+LG; ","")&amp;IF(AND(CG1064&gt;0,CF1064*10&gt;CG1064),"zu hoch für Tablar; ","")&amp;IF(AND(BP1064=0,OR(CA1064=1,AA1064&lt;&gt;"",U1064&lt;&gt;"",V1064&lt;&gt;"",AB1064&lt;&gt;"")),"manuell übersteuert; ","")&amp;IF(AND(BT1064=0,R1064=0),"Gebinde unbekannt / Stellmass fehlt; ","")&amp;IF(AND(BT1064=0,N(V1064)&lt;=0,N(Q1064)&lt;=0),"Menge pro Gebinde fehlt (Ist = 1 Gebinde); ","")&amp;BO1064)</f>
        <v>negativer Bestand (Export -2); </v>
      </c>
      <c r="BH1064" s="55"/>
      <c r="BI1064" s="55"/>
      <c r="BJ1064" s="62"/>
      <c r="BK1064" s="57" t="n">
        <v>-2</v>
      </c>
      <c r="BL1064" s="57" t="n">
        <v>9</v>
      </c>
      <c r="BM1064" s="56" t="n">
        <v>-161</v>
      </c>
      <c r="BN1064" s="57" t="n">
        <v>2</v>
      </c>
      <c r="BO1064" s="55"/>
      <c r="BP1064" s="60" t="n">
        <v>0</v>
      </c>
      <c r="BQ1064" s="60" t="n">
        <v>1064</v>
      </c>
      <c r="BR1064" s="55" t="str">
        <f aca="false">IF(U1064&lt;&gt;"",UPPER(TRIM(U1064)),IF(BU1064=1,UPPER(VLOOKUP(T1064,Parameter!$I$27:$K$29,2,0)),IF(P1064="","LOSE",P1064)))</f>
        <v>S21</v>
      </c>
      <c r="BS1064" s="57" t="n">
        <f aca="false">IF(BR1064="LOSE",1,IF(N(V1064)&gt;0,V1064,IF(BU1064=1,MAX(1,N(VLOOKUP(T1064,Parameter!$I$27:$K$29,3,0)),H1064,N(N1064)),IF(N(Q1064)&gt;0,Q1064,MAX(1,H1064)))))</f>
        <v>7</v>
      </c>
      <c r="BT1064" s="60" t="n">
        <f aca="false">IF(BR1064="LOSE",1,0)</f>
        <v>0</v>
      </c>
      <c r="BU1064" s="60" t="n">
        <f aca="false">IF(AND(U1064="",OR(P1064="",P1064="LOSE"),T1064&lt;&gt;"",N(S1064)&lt;=0,ISNUMBER(MATCH(T1064,Parameter!$I$27:$I$29,0))),1,0)</f>
        <v>0</v>
      </c>
      <c r="BV1064" s="55" t="str">
        <f aca="false">IF(AND(Parameter!$B$19="Ja",E1064&lt;&gt;"",ISNUMBER(MATCH(E1064,Parameter!$I$35:$I$52,0))),VLOOKUP(E1064,Parameter!$I$35:$J$52,2,0),IFERROR(VLOOKUP(D1064,Parameter!$A$35:$C$64,2,0),"Nein"))</f>
        <v>2+3</v>
      </c>
      <c r="BW1064" s="59" t="n">
        <f aca="false">IF(BT1064=0,0,IF(N(S1064)&gt;0,S1064,IFERROR(VLOOKUP(D1064,Parameter!$A$35:$C$64,3,0)+0,0)))</f>
        <v>0</v>
      </c>
      <c r="BX1064" s="55" t="n">
        <f aca="false">IF(AA1064&lt;&gt;"",AA1064,Z1064)</f>
        <v>3</v>
      </c>
      <c r="BY1064" s="55" t="str">
        <f aca="false">IF(BX1064=1,"L1",IF(OR(BX1064=2,BX1064=3),"L23",IF(BX1064="Aussen","Aussen","-")))</f>
        <v>L23</v>
      </c>
      <c r="BZ1064" s="66" t="n">
        <f aca="false">IF(N(AB1064)&gt;0,AB1064,0)</f>
        <v>0</v>
      </c>
      <c r="CA1064" s="60" t="n">
        <f aca="false">IF(ISNUMBER(AE1064),1,0)</f>
        <v>0</v>
      </c>
      <c r="CB1064" s="57" t="n">
        <f aca="false">N(AE1064)</f>
        <v>0</v>
      </c>
      <c r="CC1064" s="57" t="n">
        <f aca="false">N(M1064)+N(N1064)</f>
        <v>1</v>
      </c>
      <c r="CD1064" s="57" t="n">
        <f aca="false">ROUNDUP(H1064/BS1064,0)</f>
        <v>1</v>
      </c>
      <c r="CE1064" s="57" t="n">
        <f aca="false">ROUNDUP(CB1064/BS1064,0)</f>
        <v>0</v>
      </c>
      <c r="CF1064" s="60" t="n">
        <f aca="false">IF(BT1064=1,0,IFERROR(VLOOKUP(BR1064,'Gebinde-Kategorie'!$A$5:$M$45,5,0)+0,0))</f>
        <v>8</v>
      </c>
      <c r="CG1064" s="60" t="n">
        <f aca="false">IFERROR(IF(OR(BX1064=1,BX1064=2,BX1064=3),N(INDEX(Parameter!$I$5:$I$7,BX1064)),0),0)</f>
        <v>0</v>
      </c>
      <c r="CH1064" s="59" t="n">
        <f aca="false">IF(AND(Parameter!$B$21="Ja",ISNUMBER(W1064),N(X1064)&gt;0),IFERROR(N(INDEX(Parameter!$L$5:$L$7,W1064))*INDEX(Parameter!$E$5:$E$7,W1064)*X1064/SUMIFS($X$7:$X$1843,$W$7:$W$1843,W1064),0),0)</f>
        <v>0</v>
      </c>
    </row>
    <row r="1065" customFormat="false" ht="15" hidden="false" customHeight="false" outlineLevel="0" collapsed="false">
      <c r="A1065" s="55" t="s">
        <v>1945</v>
      </c>
      <c r="B1065" s="55" t="s">
        <v>1946</v>
      </c>
      <c r="C1065" s="55" t="s">
        <v>164</v>
      </c>
      <c r="D1065" s="55" t="s">
        <v>184</v>
      </c>
      <c r="E1065" s="55" t="s">
        <v>185</v>
      </c>
      <c r="F1065" s="55" t="s">
        <v>218</v>
      </c>
      <c r="G1065" s="56" t="n">
        <v>3.69</v>
      </c>
      <c r="H1065" s="57" t="n">
        <f aca="false">MAX(0,IF(AND(Parameter!$B$21="Ja",ISNUMBER(Y1065)),Y1065,IF(Parameter!$B$20="Jahresanfang 2025 + Export",BL1065+BK1065,BK1065)))</f>
        <v>6</v>
      </c>
      <c r="I1065" s="57" t="n">
        <f aca="false">H1065*G1065</f>
        <v>22.14</v>
      </c>
      <c r="J1065" s="57" t="n">
        <f aca="false">BN1065*Parameter!$B$18</f>
        <v>25</v>
      </c>
      <c r="K1065" s="58" t="n">
        <v>37</v>
      </c>
      <c r="L1065" s="59" t="n">
        <v>0.675675675675676</v>
      </c>
      <c r="M1065" s="57" t="n">
        <v>1</v>
      </c>
      <c r="N1065" s="57" t="n">
        <v>50</v>
      </c>
      <c r="O1065" s="60" t="n">
        <v>28</v>
      </c>
      <c r="P1065" s="55" t="s">
        <v>328</v>
      </c>
      <c r="Q1065" s="57" t="n">
        <v>88</v>
      </c>
      <c r="R1065" s="60" t="n">
        <f aca="false">IF(BT1065=1,0,IFERROR(VLOOKUP(BR1065,'Gebinde-Kategorie'!$A$5:$M$45,13,0)+0,0))</f>
        <v>52</v>
      </c>
      <c r="S1065" s="61"/>
      <c r="T1065" s="62"/>
      <c r="U1065" s="62"/>
      <c r="V1065" s="62"/>
      <c r="W1065" s="55"/>
      <c r="X1065" s="57"/>
      <c r="Y1065" s="57"/>
      <c r="Z1065" s="55" t="n">
        <f aca="false">IF(A1065="","",IF(AND(Parameter!$B$21="Ja",ISNUMBER(W1065)),W1065,IF(BV1065="2+3",IF(ISNUMBER(SEARCH("grosser Artikel",BO1065)),2,IFERROR(VLOOKUP(BR1065,Parameter!$F$35:$G$64,2,0),2)),IF(OR(BV1065="Nein",BV1065=""),"-",BV1065))))</f>
        <v>3</v>
      </c>
      <c r="AA1065" s="62"/>
      <c r="AB1065" s="63"/>
      <c r="AC1065" s="57" t="n">
        <f aca="false">AR1065</f>
        <v>88</v>
      </c>
      <c r="AD1065" s="57" t="n">
        <f aca="false">MAX(AR1065,H1065)</f>
        <v>88</v>
      </c>
      <c r="AE1065" s="64"/>
      <c r="AF1065" s="57" t="n">
        <f aca="false">IF(LEFT(Cockpit!$C$5,1)="A",H1065,IF(CA1065=1,CB1065,IF(LEFT(Cockpit!$C$5,1)="B",AJ1065,MAX(AJ1065,H1065))))</f>
        <v>6</v>
      </c>
      <c r="AG1065" s="57" t="n">
        <f aca="false">IF(BT1065=1,0,ROUNDUP(AF1065/BS1065,0))</f>
        <v>1</v>
      </c>
      <c r="AH1065" s="59" t="n">
        <f aca="false">IF(CH1065&gt;0,CH1065*MAX(1,AF1065/X1065),IF(BT1065=1,IF(AF1065&lt;=0,0,BW1065*MAX(1,IF(H1065&gt;0,AF1065/H1065,1))),IF(R1065&gt;0,AG1065/R1065,0))/MAX(0.1,N(Parameter!$M$21)))</f>
        <v>0.0192307692307692</v>
      </c>
      <c r="AI1065" s="57" t="n">
        <f aca="false">AF1065*G1065</f>
        <v>22.14</v>
      </c>
      <c r="AJ1065" s="57" t="n">
        <f aca="false">ROUNDUP(MAX(J1065/IF(BZ1065&gt;0,BZ1065,MAX(0.1,N(Cockpit!$C$6))),CC1065)/BS1065,0)*BS1065</f>
        <v>88</v>
      </c>
      <c r="AK1065" s="58" t="n">
        <f aca="false">IF(AH1065&gt;0,J1065/AH1065,-1)</f>
        <v>1300</v>
      </c>
      <c r="AL1065" s="58" t="n">
        <f aca="false">IF(AND(OR(BY1065="L1",BY1065="L23"),AH1065&gt;0),SUMIFS($AH$7:$AH$1843,$BY$7:$BY$1843,BY1065,$AK$7:$AK$1843,"&gt;"&amp;AK1065)+SUMIFS($AH$7:$AH$1843,$BY$7:$BY$1843,BY1065,$AK$7:$AK$1843,AK1065,$BQ$7:$BQ$1843,"&lt;="&amp;BQ1065),"")</f>
        <v>16.3715583932975</v>
      </c>
      <c r="AM1065" s="65" t="n">
        <f aca="false">IF(AL1065="",0,MAX(0,MIN(1,(IF(BY1065="L1",Parameter!$E$5,Parameter!$E$6+Parameter!$E$7)-(AL1065-AH1065))/AH1065)))</f>
        <v>1</v>
      </c>
      <c r="AN1065" s="57" t="n">
        <f aca="false">IF(LEFT(Cockpit!$I$5,1)="A",H1065,IF(CA1065=1,CB1065,IF(LEFT(Cockpit!$I$5,1)="B",AR1065,MAX(AR1065,H1065))))</f>
        <v>88</v>
      </c>
      <c r="AO1065" s="57" t="n">
        <f aca="false">IF(BT1065=1,0,ROUNDUP(AN1065/BS1065,0))</f>
        <v>1</v>
      </c>
      <c r="AP1065" s="59" t="n">
        <f aca="false">IF(CH1065&gt;0,CH1065*MAX(1,AN1065/X1065),IF(BT1065=1,IF(AN1065&lt;=0,0,BW1065*MAX(1,IF(H1065&gt;0,AN1065/H1065,1))),IF(R1065&gt;0,AO1065/R1065,0))/MAX(0.1,N(Parameter!$M$21)))</f>
        <v>0.0192307692307692</v>
      </c>
      <c r="AQ1065" s="57" t="n">
        <f aca="false">AN1065*G1065</f>
        <v>324.72</v>
      </c>
      <c r="AR1065" s="57" t="n">
        <f aca="false">ROUNDUP(MAX(J1065/IF(BZ1065&gt;0,BZ1065,MAX(0.1,N(Cockpit!$I$6))),CC1065)/BS1065,0)*BS1065</f>
        <v>88</v>
      </c>
      <c r="AS1065" s="58" t="n">
        <f aca="false">IF(AP1065&gt;0,J1065/AP1065,-1)</f>
        <v>1300</v>
      </c>
      <c r="AT1065" s="58" t="n">
        <f aca="false">IF(AND(OR(BY1065="L1",BY1065="L23"),AP1065&gt;0),SUMIFS($AP$7:$AP$1843,$BY$7:$BY$1843,BY1065,$AS$7:$AS$1843,"&gt;"&amp;AS1065)+SUMIFS($AP$7:$AP$1843,$BY$7:$BY$1843,BY1065,$AS$7:$AS$1843,AS1065,$BQ$7:$BQ$1843,"&lt;="&amp;BQ1065),"")</f>
        <v>21.9808199047329</v>
      </c>
      <c r="AU1065" s="65" t="n">
        <f aca="false">IF(AT1065="",0,MAX(0,MIN(1,(IF(BY1065="L1",Parameter!$E$5,Parameter!$E$6+Parameter!$E$7)-(AT1065-AP1065))/AP1065)))</f>
        <v>1</v>
      </c>
      <c r="AV1065" s="57" t="n">
        <f aca="false">IF(LEFT(Cockpit!$O$5,1)="A",H1065,IF(CA1065=1,CB1065,IF(LEFT(Cockpit!$O$5,1)="B",AZ1065,MAX(AZ1065,H1065))))</f>
        <v>88</v>
      </c>
      <c r="AW1065" s="57" t="n">
        <f aca="false">IF(BT1065=1,0,ROUNDUP(AV1065/BS1065,0))</f>
        <v>1</v>
      </c>
      <c r="AX1065" s="59" t="n">
        <f aca="false">IF(CH1065&gt;0,CH1065*MAX(1,AV1065/X1065),IF(BT1065=1,IF(AV1065&lt;=0,0,BW1065*MAX(1,IF(H1065&gt;0,AV1065/H1065,1))),IF(R1065&gt;0,AW1065/R1065,0))/MAX(0.1,N(Parameter!$M$21)))</f>
        <v>0.0192307692307692</v>
      </c>
      <c r="AY1065" s="57" t="n">
        <f aca="false">AV1065*G1065</f>
        <v>324.72</v>
      </c>
      <c r="AZ1065" s="57" t="n">
        <f aca="false">ROUNDUP(MAX(J1065/IF(BZ1065&gt;0,BZ1065,MAX(0.1,N(Cockpit!$O$6))),CC1065)/BS1065,0)*BS1065</f>
        <v>88</v>
      </c>
      <c r="BA1065" s="58" t="n">
        <f aca="false">IF(AX1065&gt;0,J1065/AX1065,-1)</f>
        <v>1300</v>
      </c>
      <c r="BB1065" s="58" t="n">
        <f aca="false">IF(AND(OR(BY1065="L1",BY1065="L23"),AX1065&gt;0),SUMIFS($AX$7:$AX$1843,$BY$7:$BY$1843,BY1065,$BA$7:$BA$1843,"&gt;"&amp;BA1065)+SUMIFS($AX$7:$AX$1843,$BY$7:$BY$1843,BY1065,$BA$7:$BA$1843,BA1065,$BQ$7:$BQ$1843,"&lt;="&amp;BQ1065),"")</f>
        <v>20.6760413499544</v>
      </c>
      <c r="BC1065" s="65" t="n">
        <f aca="false">IF(BB1065="",0,MAX(0,MIN(1,(IF(BY1065="L1",Parameter!$E$5,Parameter!$E$6+Parameter!$E$7)-(BB1065-AX1065))/AX1065)))</f>
        <v>1</v>
      </c>
      <c r="BD1065" s="55" t="str">
        <f aca="false">IF(AH1065&lt;=0,"",IF(BY1065="Aussen","Aussenlager",IF(BY1065="-","Nicht im Lift",IF(AM1065&gt;=1,"Lift",IF(AM1065&lt;=0,"Aussenlager","teilweise")))))</f>
        <v>Lift</v>
      </c>
      <c r="BE1065" s="55" t="str">
        <f aca="false">IF(AP1065&lt;=0,"",IF(BY1065="Aussen","Aussenlager",IF(BY1065="-","Nicht im Lift",IF(AU1065&gt;=1,"Lift",IF(AU1065&lt;=0,"Aussenlager","teilweise")))))</f>
        <v>Lift</v>
      </c>
      <c r="BF1065" s="55" t="str">
        <f aca="false">IF(AX1065&lt;=0,"",IF(BY1065="Aussen","Aussenlager",IF(BY1065="-","Nicht im Lift",IF(BC1065&gt;=1,"Lift",IF(BC1065&lt;=0,"Aussenlager","teilweise")))))</f>
        <v>Lift</v>
      </c>
      <c r="BG1065" s="55" t="str">
        <f aca="false">IF(A1065="","",IF(BP1065=1,"Neu; ","")&amp;IF(AND(BP1065=0,BK1065&lt;0),"negativer Bestand (Export "&amp;BK1065&amp;"); ","")&amp;IF(J1065&lt;=0,"Kein Verbrauch; ","")&amp;IF(CH1065&gt;0,"Lift "&amp;W1065&amp;" lt. Liftbericht (Fach "&amp;X1065&amp;" Stk); ",IF(BU1065=1,"Gebinde geschätzt ("&amp;T1065&amp;"); ",IF(BT1065=1,"Lose – Tablare geschätzt; ","")))&amp;IF(H1065&gt;AR1065,"Überbestand "&amp;ROUND(H1065-AR1065,0)&amp;" Stk / CHF "&amp;ROUND((H1065-AR1065)*G1065,0)&amp;"; ","")&amp;IF(AND(CA1065=1,CB1065&lt;CC1065),"MAX &lt; MB+LG; ","")&amp;IF(AND(CG1065&gt;0,CF1065*10&gt;CG1065),"zu hoch für Tablar; ","")&amp;IF(AND(BP1065=0,OR(CA1065=1,AA1065&lt;&gt;"",U1065&lt;&gt;"",V1065&lt;&gt;"",AB1065&lt;&gt;"")),"manuell übersteuert; ","")&amp;IF(AND(BT1065=0,R1065=0),"Gebinde unbekannt / Stellmass fehlt; ","")&amp;IF(AND(BT1065=0,N(V1065)&lt;=0,N(Q1065)&lt;=0),"Menge pro Gebinde fehlt (Ist = 1 Gebinde); ","")&amp;BO1065)</f>
        <v>negativer Bestand (Export -44); Neu</v>
      </c>
      <c r="BH1065" s="55"/>
      <c r="BI1065" s="55"/>
      <c r="BJ1065" s="62"/>
      <c r="BK1065" s="57" t="n">
        <v>-44</v>
      </c>
      <c r="BL1065" s="57" t="n">
        <v>50</v>
      </c>
      <c r="BM1065" s="56" t="n">
        <v>-162.36</v>
      </c>
      <c r="BN1065" s="57" t="n">
        <v>25</v>
      </c>
      <c r="BO1065" s="55" t="s">
        <v>626</v>
      </c>
      <c r="BP1065" s="60" t="n">
        <v>0</v>
      </c>
      <c r="BQ1065" s="60" t="n">
        <v>1065</v>
      </c>
      <c r="BR1065" s="55" t="str">
        <f aca="false">IF(U1065&lt;&gt;"",UPPER(TRIM(U1065)),IF(BU1065=1,UPPER(VLOOKUP(T1065,Parameter!$I$27:$K$29,2,0)),IF(P1065="","LOSE",P1065)))</f>
        <v>S41</v>
      </c>
      <c r="BS1065" s="57" t="n">
        <f aca="false">IF(BR1065="LOSE",1,IF(N(V1065)&gt;0,V1065,IF(BU1065=1,MAX(1,N(VLOOKUP(T1065,Parameter!$I$27:$K$29,3,0)),H1065,N(N1065)),IF(N(Q1065)&gt;0,Q1065,MAX(1,H1065)))))</f>
        <v>88</v>
      </c>
      <c r="BT1065" s="60" t="n">
        <f aca="false">IF(BR1065="LOSE",1,0)</f>
        <v>0</v>
      </c>
      <c r="BU1065" s="60" t="n">
        <f aca="false">IF(AND(U1065="",OR(P1065="",P1065="LOSE"),T1065&lt;&gt;"",N(S1065)&lt;=0,ISNUMBER(MATCH(T1065,Parameter!$I$27:$I$29,0))),1,0)</f>
        <v>0</v>
      </c>
      <c r="BV1065" s="55" t="str">
        <f aca="false">IF(AND(Parameter!$B$19="Ja",E1065&lt;&gt;"",ISNUMBER(MATCH(E1065,Parameter!$I$35:$I$52,0))),VLOOKUP(E1065,Parameter!$I$35:$J$52,2,0),IFERROR(VLOOKUP(D1065,Parameter!$A$35:$C$64,2,0),"Nein"))</f>
        <v>2+3</v>
      </c>
      <c r="BW1065" s="59" t="n">
        <f aca="false">IF(BT1065=0,0,IF(N(S1065)&gt;0,S1065,IFERROR(VLOOKUP(D1065,Parameter!$A$35:$C$64,3,0)+0,0)))</f>
        <v>0</v>
      </c>
      <c r="BX1065" s="55" t="n">
        <f aca="false">IF(AA1065&lt;&gt;"",AA1065,Z1065)</f>
        <v>3</v>
      </c>
      <c r="BY1065" s="55" t="str">
        <f aca="false">IF(BX1065=1,"L1",IF(OR(BX1065=2,BX1065=3),"L23",IF(BX1065="Aussen","Aussen","-")))</f>
        <v>L23</v>
      </c>
      <c r="BZ1065" s="66" t="n">
        <f aca="false">IF(N(AB1065)&gt;0,AB1065,0)</f>
        <v>0</v>
      </c>
      <c r="CA1065" s="60" t="n">
        <f aca="false">IF(ISNUMBER(AE1065),1,0)</f>
        <v>0</v>
      </c>
      <c r="CB1065" s="57" t="n">
        <f aca="false">N(AE1065)</f>
        <v>0</v>
      </c>
      <c r="CC1065" s="57" t="n">
        <f aca="false">N(M1065)+N(N1065)</f>
        <v>51</v>
      </c>
      <c r="CD1065" s="57" t="n">
        <f aca="false">ROUNDUP(H1065/BS1065,0)</f>
        <v>1</v>
      </c>
      <c r="CE1065" s="57" t="n">
        <f aca="false">ROUNDUP(CB1065/BS1065,0)</f>
        <v>0</v>
      </c>
      <c r="CF1065" s="60" t="n">
        <f aca="false">IF(BT1065=1,0,IFERROR(VLOOKUP(BR1065,'Gebinde-Kategorie'!$A$5:$M$45,5,0)+0,0))</f>
        <v>11</v>
      </c>
      <c r="CG1065" s="60" t="n">
        <f aca="false">IFERROR(IF(OR(BX1065=1,BX1065=2,BX1065=3),N(INDEX(Parameter!$I$5:$I$7,BX1065)),0),0)</f>
        <v>0</v>
      </c>
      <c r="CH1065" s="59" t="n">
        <f aca="false">IF(AND(Parameter!$B$21="Ja",ISNUMBER(W1065),N(X1065)&gt;0),IFERROR(N(INDEX(Parameter!$L$5:$L$7,W1065))*INDEX(Parameter!$E$5:$E$7,W1065)*X1065/SUMIFS($X$7:$X$1843,$W$7:$W$1843,W1065),0),0)</f>
        <v>0</v>
      </c>
    </row>
    <row r="1066" customFormat="false" ht="15" hidden="false" customHeight="false" outlineLevel="0" collapsed="false">
      <c r="A1066" s="55" t="s">
        <v>1947</v>
      </c>
      <c r="B1066" s="55" t="s">
        <v>1948</v>
      </c>
      <c r="C1066" s="55" t="s">
        <v>456</v>
      </c>
      <c r="D1066" s="55" t="s">
        <v>184</v>
      </c>
      <c r="E1066" s="55"/>
      <c r="F1066" s="55" t="s">
        <v>218</v>
      </c>
      <c r="G1066" s="56" t="n">
        <v>20.45</v>
      </c>
      <c r="H1066" s="57" t="n">
        <f aca="false">MAX(0,IF(AND(Parameter!$B$21="Ja",ISNUMBER(Y1066)),Y1066,IF(Parameter!$B$20="Jahresanfang 2025 + Export",BL1066+BK1066,BK1066)))</f>
        <v>8</v>
      </c>
      <c r="I1066" s="57" t="n">
        <f aca="false">H1066*G1066</f>
        <v>163.6</v>
      </c>
      <c r="J1066" s="57" t="n">
        <f aca="false">BN1066*Parameter!$B$18</f>
        <v>8</v>
      </c>
      <c r="K1066" s="58" t="n">
        <v>8</v>
      </c>
      <c r="L1066" s="59" t="n">
        <v>1</v>
      </c>
      <c r="M1066" s="57" t="n">
        <v>0</v>
      </c>
      <c r="N1066" s="57" t="n">
        <v>10</v>
      </c>
      <c r="O1066" s="60" t="n">
        <v>21</v>
      </c>
      <c r="P1066" s="55" t="s">
        <v>168</v>
      </c>
      <c r="Q1066" s="57"/>
      <c r="R1066" s="60" t="n">
        <f aca="false">IF(BT1066=1,0,IFERROR(VLOOKUP(BR1066,'Gebinde-Kategorie'!$A$5:$M$45,13,0)+0,0))</f>
        <v>3</v>
      </c>
      <c r="S1066" s="61"/>
      <c r="T1066" s="62" t="s">
        <v>189</v>
      </c>
      <c r="U1066" s="62"/>
      <c r="V1066" s="62"/>
      <c r="W1066" s="55"/>
      <c r="X1066" s="57"/>
      <c r="Y1066" s="57"/>
      <c r="Z1066" s="55" t="n">
        <f aca="false">IF(A1066="","",IF(AND(Parameter!$B$21="Ja",ISNUMBER(W1066)),W1066,IF(BV1066="2+3",IF(ISNUMBER(SEARCH("grosser Artikel",BO1066)),2,IFERROR(VLOOKUP(BR1066,Parameter!$F$35:$G$64,2,0),2)),IF(OR(BV1066="Nein",BV1066=""),"-",BV1066))))</f>
        <v>2</v>
      </c>
      <c r="AA1066" s="62"/>
      <c r="AB1066" s="63"/>
      <c r="AC1066" s="57" t="n">
        <f aca="false">AR1066</f>
        <v>10</v>
      </c>
      <c r="AD1066" s="57" t="n">
        <f aca="false">MAX(AR1066,H1066)</f>
        <v>10</v>
      </c>
      <c r="AE1066" s="64"/>
      <c r="AF1066" s="57" t="n">
        <f aca="false">IF(LEFT(Cockpit!$C$5,1)="A",H1066,IF(CA1066=1,CB1066,IF(LEFT(Cockpit!$C$5,1)="B",AJ1066,MAX(AJ1066,H1066))))</f>
        <v>8</v>
      </c>
      <c r="AG1066" s="57" t="n">
        <f aca="false">IF(BT1066=1,0,ROUNDUP(AF1066/BS1066,0))</f>
        <v>1</v>
      </c>
      <c r="AH1066" s="59" t="n">
        <f aca="false">IF(CH1066&gt;0,CH1066*MAX(1,AF1066/X1066),IF(BT1066=1,IF(AF1066&lt;=0,0,BW1066*MAX(1,IF(H1066&gt;0,AF1066/H1066,1))),IF(R1066&gt;0,AG1066/R1066,0))/MAX(0.1,N(Parameter!$M$21)))</f>
        <v>0.333333333333333</v>
      </c>
      <c r="AI1066" s="57" t="n">
        <f aca="false">AF1066*G1066</f>
        <v>163.6</v>
      </c>
      <c r="AJ1066" s="57" t="n">
        <f aca="false">ROUNDUP(MAX(J1066/IF(BZ1066&gt;0,BZ1066,MAX(0.1,N(Cockpit!$C$6))),CC1066)/BS1066,0)*BS1066</f>
        <v>10</v>
      </c>
      <c r="AK1066" s="58" t="n">
        <f aca="false">IF(AH1066&gt;0,J1066/AH1066,-1)</f>
        <v>24</v>
      </c>
      <c r="AL1066" s="58" t="n">
        <f aca="false">IF(AND(OR(BY1066="L1",BY1066="L23"),AH1066&gt;0),SUMIFS($AH$7:$AH$1843,$BY$7:$BY$1843,BY1066,$AK$7:$AK$1843,"&gt;"&amp;AK1066)+SUMIFS($AH$7:$AH$1843,$BY$7:$BY$1843,BY1066,$AK$7:$AK$1843,AK1066,$BQ$7:$BQ$1843,"&lt;="&amp;BQ1066),"")</f>
        <v>50.0048478091956</v>
      </c>
      <c r="AM1066" s="65" t="n">
        <f aca="false">IF(AL1066="",0,MAX(0,MIN(1,(IF(BY1066="L1",Parameter!$E$5,Parameter!$E$6+Parameter!$E$7)-(AL1066-AH1066))/AH1066)))</f>
        <v>1</v>
      </c>
      <c r="AN1066" s="57" t="n">
        <f aca="false">IF(LEFT(Cockpit!$I$5,1)="A",H1066,IF(CA1066=1,CB1066,IF(LEFT(Cockpit!$I$5,1)="B",AR1066,MAX(AR1066,H1066))))</f>
        <v>10</v>
      </c>
      <c r="AO1066" s="57" t="n">
        <f aca="false">IF(BT1066=1,0,ROUNDUP(AN1066/BS1066,0))</f>
        <v>1</v>
      </c>
      <c r="AP1066" s="59" t="n">
        <f aca="false">IF(CH1066&gt;0,CH1066*MAX(1,AN1066/X1066),IF(BT1066=1,IF(AN1066&lt;=0,0,BW1066*MAX(1,IF(H1066&gt;0,AN1066/H1066,1))),IF(R1066&gt;0,AO1066/R1066,0))/MAX(0.1,N(Parameter!$M$21)))</f>
        <v>0.333333333333333</v>
      </c>
      <c r="AQ1066" s="57" t="n">
        <f aca="false">AN1066*G1066</f>
        <v>204.5</v>
      </c>
      <c r="AR1066" s="57" t="n">
        <f aca="false">ROUNDUP(MAX(J1066/IF(BZ1066&gt;0,BZ1066,MAX(0.1,N(Cockpit!$I$6))),CC1066)/BS1066,0)*BS1066</f>
        <v>10</v>
      </c>
      <c r="AS1066" s="58" t="n">
        <f aca="false">IF(AP1066&gt;0,J1066/AP1066,-1)</f>
        <v>24</v>
      </c>
      <c r="AT1066" s="58" t="n">
        <f aca="false">IF(AND(OR(BY1066="L1",BY1066="L23"),AP1066&gt;0),SUMIFS($AP$7:$AP$1843,$BY$7:$BY$1843,BY1066,$AS$7:$AS$1843,"&gt;"&amp;AS1066)+SUMIFS($AP$7:$AP$1843,$BY$7:$BY$1843,BY1066,$AS$7:$AS$1843,AS1066,$BQ$7:$BQ$1843,"&lt;="&amp;BQ1066),"")</f>
        <v>75.1789719941894</v>
      </c>
      <c r="AU1066" s="65" t="n">
        <f aca="false">IF(AT1066="",0,MAX(0,MIN(1,(IF(BY1066="L1",Parameter!$E$5,Parameter!$E$6+Parameter!$E$7)-(AT1066-AP1066))/AP1066)))</f>
        <v>1</v>
      </c>
      <c r="AV1066" s="57" t="n">
        <f aca="false">IF(LEFT(Cockpit!$O$5,1)="A",H1066,IF(CA1066=1,CB1066,IF(LEFT(Cockpit!$O$5,1)="B",AZ1066,MAX(AZ1066,H1066))))</f>
        <v>10</v>
      </c>
      <c r="AW1066" s="57" t="n">
        <f aca="false">IF(BT1066=1,0,ROUNDUP(AV1066/BS1066,0))</f>
        <v>1</v>
      </c>
      <c r="AX1066" s="59" t="n">
        <f aca="false">IF(CH1066&gt;0,CH1066*MAX(1,AV1066/X1066),IF(BT1066=1,IF(AV1066&lt;=0,0,BW1066*MAX(1,IF(H1066&gt;0,AV1066/H1066,1))),IF(R1066&gt;0,AW1066/R1066,0))/MAX(0.1,N(Parameter!$M$21)))</f>
        <v>0.333333333333333</v>
      </c>
      <c r="AY1066" s="57" t="n">
        <f aca="false">AV1066*G1066</f>
        <v>204.5</v>
      </c>
      <c r="AZ1066" s="57" t="n">
        <f aca="false">ROUNDUP(MAX(J1066/IF(BZ1066&gt;0,BZ1066,MAX(0.1,N(Cockpit!$O$6))),CC1066)/BS1066,0)*BS1066</f>
        <v>10</v>
      </c>
      <c r="BA1066" s="58" t="n">
        <f aca="false">IF(AX1066&gt;0,J1066/AX1066,-1)</f>
        <v>24</v>
      </c>
      <c r="BB1066" s="58" t="n">
        <f aca="false">IF(AND(OR(BY1066="L1",BY1066="L23"),AX1066&gt;0),SUMIFS($AX$7:$AX$1843,$BY$7:$BY$1843,BY1066,$BA$7:$BA$1843,"&gt;"&amp;BA1066)+SUMIFS($AX$7:$AX$1843,$BY$7:$BY$1843,BY1066,$BA$7:$BA$1843,BA1066,$BQ$7:$BQ$1843,"&lt;="&amp;BQ1066),"")</f>
        <v>70.6754754906929</v>
      </c>
      <c r="BC1066" s="65" t="n">
        <f aca="false">IF(BB1066="",0,MAX(0,MIN(1,(IF(BY1066="L1",Parameter!$E$5,Parameter!$E$6+Parameter!$E$7)-(BB1066-AX1066))/AX1066)))</f>
        <v>1</v>
      </c>
      <c r="BD1066" s="55" t="str">
        <f aca="false">IF(AH1066&lt;=0,"",IF(BY1066="Aussen","Aussenlager",IF(BY1066="-","Nicht im Lift",IF(AM1066&gt;=1,"Lift",IF(AM1066&lt;=0,"Aussenlager","teilweise")))))</f>
        <v>Lift</v>
      </c>
      <c r="BE1066" s="55" t="str">
        <f aca="false">IF(AP1066&lt;=0,"",IF(BY1066="Aussen","Aussenlager",IF(BY1066="-","Nicht im Lift",IF(AU1066&gt;=1,"Lift",IF(AU1066&lt;=0,"Aussenlager","teilweise")))))</f>
        <v>Lift</v>
      </c>
      <c r="BF1066" s="55" t="str">
        <f aca="false">IF(AX1066&lt;=0,"",IF(BY1066="Aussen","Aussenlager",IF(BY1066="-","Nicht im Lift",IF(BC1066&gt;=1,"Lift",IF(BC1066&lt;=0,"Aussenlager","teilweise")))))</f>
        <v>Lift</v>
      </c>
      <c r="BG1066" s="55" t="str">
        <f aca="false">IF(A1066="","",IF(BP1066=1,"Neu; ","")&amp;IF(AND(BP1066=0,BK1066&lt;0),"negativer Bestand (Export "&amp;BK1066&amp;"); ","")&amp;IF(J1066&lt;=0,"Kein Verbrauch; ","")&amp;IF(CH1066&gt;0,"Lift "&amp;W1066&amp;" lt. Liftbericht (Fach "&amp;X1066&amp;" Stk); ",IF(BU1066=1,"Gebinde geschätzt ("&amp;T1066&amp;"); ",IF(BT1066=1,"Lose – Tablare geschätzt; ","")))&amp;IF(H1066&gt;AR1066,"Überbestand "&amp;ROUND(H1066-AR1066,0)&amp;" Stk / CHF "&amp;ROUND((H1066-AR1066)*G1066,0)&amp;"; ","")&amp;IF(AND(CA1066=1,CB1066&lt;CC1066),"MAX &lt; MB+LG; ","")&amp;IF(AND(CG1066&gt;0,CF1066*10&gt;CG1066),"zu hoch für Tablar; ","")&amp;IF(AND(BP1066=0,OR(CA1066=1,AA1066&lt;&gt;"",U1066&lt;&gt;"",V1066&lt;&gt;"",AB1066&lt;&gt;"")),"manuell übersteuert; ","")&amp;IF(AND(BT1066=0,R1066=0),"Gebinde unbekannt / Stellmass fehlt; ","")&amp;IF(AND(BT1066=0,N(V1066)&lt;=0,N(Q1066)&lt;=0),"Menge pro Gebinde fehlt (Ist = 1 Gebinde); ","")&amp;BO1066)</f>
        <v>negativer Bestand (Export -8); Gebinde geschätzt (Gross); Menge pro Gebinde fehlt (Ist = 1 Gebinde); </v>
      </c>
      <c r="BH1066" s="55"/>
      <c r="BI1066" s="55"/>
      <c r="BJ1066" s="62"/>
      <c r="BK1066" s="57" t="n">
        <v>-8</v>
      </c>
      <c r="BL1066" s="57" t="n">
        <v>16</v>
      </c>
      <c r="BM1066" s="56" t="n">
        <v>-163.6</v>
      </c>
      <c r="BN1066" s="57" t="n">
        <v>8</v>
      </c>
      <c r="BO1066" s="55"/>
      <c r="BP1066" s="60" t="n">
        <v>0</v>
      </c>
      <c r="BQ1066" s="60" t="n">
        <v>1066</v>
      </c>
      <c r="BR1066" s="55" t="str">
        <f aca="false">IF(U1066&lt;&gt;"",UPPER(TRIM(U1066)),IF(BU1066=1,UPPER(VLOOKUP(T1066,Parameter!$I$27:$K$29,2,0)),IF(P1066="","LOSE",P1066)))</f>
        <v>S81</v>
      </c>
      <c r="BS1066" s="57" t="n">
        <f aca="false">IF(BR1066="LOSE",1,IF(N(V1066)&gt;0,V1066,IF(BU1066=1,MAX(1,N(VLOOKUP(T1066,Parameter!$I$27:$K$29,3,0)),H1066,N(N1066)),IF(N(Q1066)&gt;0,Q1066,MAX(1,H1066)))))</f>
        <v>10</v>
      </c>
      <c r="BT1066" s="60" t="n">
        <f aca="false">IF(BR1066="LOSE",1,0)</f>
        <v>0</v>
      </c>
      <c r="BU1066" s="60" t="n">
        <f aca="false">IF(AND(U1066="",OR(P1066="",P1066="LOSE"),T1066&lt;&gt;"",N(S1066)&lt;=0,ISNUMBER(MATCH(T1066,Parameter!$I$27:$I$29,0))),1,0)</f>
        <v>1</v>
      </c>
      <c r="BV1066" s="55" t="str">
        <f aca="false">IF(AND(Parameter!$B$19="Ja",E1066&lt;&gt;"",ISNUMBER(MATCH(E1066,Parameter!$I$35:$I$52,0))),VLOOKUP(E1066,Parameter!$I$35:$J$52,2,0),IFERROR(VLOOKUP(D1066,Parameter!$A$35:$C$64,2,0),"Nein"))</f>
        <v>2+3</v>
      </c>
      <c r="BW1066" s="59" t="n">
        <f aca="false">IF(BT1066=0,0,IF(N(S1066)&gt;0,S1066,IFERROR(VLOOKUP(D1066,Parameter!$A$35:$C$64,3,0)+0,0)))</f>
        <v>0</v>
      </c>
      <c r="BX1066" s="55" t="n">
        <f aca="false">IF(AA1066&lt;&gt;"",AA1066,Z1066)</f>
        <v>2</v>
      </c>
      <c r="BY1066" s="55" t="str">
        <f aca="false">IF(BX1066=1,"L1",IF(OR(BX1066=2,BX1066=3),"L23",IF(BX1066="Aussen","Aussen","-")))</f>
        <v>L23</v>
      </c>
      <c r="BZ1066" s="66" t="n">
        <f aca="false">IF(N(AB1066)&gt;0,AB1066,0)</f>
        <v>0</v>
      </c>
      <c r="CA1066" s="60" t="n">
        <f aca="false">IF(ISNUMBER(AE1066),1,0)</f>
        <v>0</v>
      </c>
      <c r="CB1066" s="57" t="n">
        <f aca="false">N(AE1066)</f>
        <v>0</v>
      </c>
      <c r="CC1066" s="57" t="n">
        <f aca="false">N(M1066)+N(N1066)</f>
        <v>10</v>
      </c>
      <c r="CD1066" s="57" t="n">
        <f aca="false">ROUNDUP(H1066/BS1066,0)</f>
        <v>1</v>
      </c>
      <c r="CE1066" s="57" t="n">
        <f aca="false">ROUNDUP(CB1066/BS1066,0)</f>
        <v>0</v>
      </c>
      <c r="CF1066" s="60" t="n">
        <f aca="false">IF(BT1066=1,0,IFERROR(VLOOKUP(BR1066,'Gebinde-Kategorie'!$A$5:$M$45,5,0)+0,0))</f>
        <v>20</v>
      </c>
      <c r="CG1066" s="60" t="n">
        <f aca="false">IFERROR(IF(OR(BX1066=1,BX1066=2,BX1066=3),N(INDEX(Parameter!$I$5:$I$7,BX1066)),0),0)</f>
        <v>0</v>
      </c>
      <c r="CH1066" s="59" t="n">
        <f aca="false">IF(AND(Parameter!$B$21="Ja",ISNUMBER(W1066),N(X1066)&gt;0),IFERROR(N(INDEX(Parameter!$L$5:$L$7,W1066))*INDEX(Parameter!$E$5:$E$7,W1066)*X1066/SUMIFS($X$7:$X$1843,$W$7:$W$1843,W1066),0),0)</f>
        <v>0</v>
      </c>
    </row>
    <row r="1067" customFormat="false" ht="15" hidden="false" customHeight="false" outlineLevel="0" collapsed="false">
      <c r="A1067" s="55" t="s">
        <v>1949</v>
      </c>
      <c r="B1067" s="55" t="s">
        <v>1950</v>
      </c>
      <c r="C1067" s="55" t="s">
        <v>456</v>
      </c>
      <c r="D1067" s="55" t="s">
        <v>184</v>
      </c>
      <c r="E1067" s="55"/>
      <c r="F1067" s="55" t="s">
        <v>218</v>
      </c>
      <c r="G1067" s="56" t="n">
        <v>4.12</v>
      </c>
      <c r="H1067" s="57" t="n">
        <f aca="false">MAX(0,IF(AND(Parameter!$B$21="Ja",ISNUMBER(Y1067)),Y1067,IF(Parameter!$B$20="Jahresanfang 2025 + Export",BL1067+BK1067,BK1067)))</f>
        <v>0</v>
      </c>
      <c r="I1067" s="57" t="n">
        <f aca="false">H1067*G1067</f>
        <v>0</v>
      </c>
      <c r="J1067" s="57" t="n">
        <f aca="false">BN1067*Parameter!$B$18</f>
        <v>0</v>
      </c>
      <c r="K1067" s="58" t="n">
        <v>40</v>
      </c>
      <c r="L1067" s="59" t="n">
        <v>0</v>
      </c>
      <c r="M1067" s="57" t="n">
        <v>0</v>
      </c>
      <c r="N1067" s="57" t="n">
        <v>1</v>
      </c>
      <c r="O1067" s="60" t="n">
        <v>42</v>
      </c>
      <c r="P1067" s="55" t="s">
        <v>168</v>
      </c>
      <c r="Q1067" s="57"/>
      <c r="R1067" s="60" t="n">
        <f aca="false">IF(BT1067=1,0,IFERROR(VLOOKUP(BR1067,'Gebinde-Kategorie'!$A$5:$M$45,13,0)+0,0))</f>
        <v>26</v>
      </c>
      <c r="S1067" s="61"/>
      <c r="T1067" s="62" t="s">
        <v>275</v>
      </c>
      <c r="U1067" s="62"/>
      <c r="V1067" s="62"/>
      <c r="W1067" s="55"/>
      <c r="X1067" s="57"/>
      <c r="Y1067" s="57"/>
      <c r="Z1067" s="55" t="n">
        <f aca="false">IF(A1067="","",IF(AND(Parameter!$B$21="Ja",ISNUMBER(W1067)),W1067,IF(BV1067="2+3",IF(ISNUMBER(SEARCH("grosser Artikel",BO1067)),2,IFERROR(VLOOKUP(BR1067,Parameter!$F$35:$G$64,2,0),2)),IF(OR(BV1067="Nein",BV1067=""),"-",BV1067))))</f>
        <v>3</v>
      </c>
      <c r="AA1067" s="62"/>
      <c r="AB1067" s="63"/>
      <c r="AC1067" s="57" t="n">
        <f aca="false">AR1067</f>
        <v>20</v>
      </c>
      <c r="AD1067" s="57" t="n">
        <f aca="false">MAX(AR1067,H1067)</f>
        <v>20</v>
      </c>
      <c r="AE1067" s="64"/>
      <c r="AF1067" s="57" t="n">
        <f aca="false">IF(LEFT(Cockpit!$C$5,1)="A",H1067,IF(CA1067=1,CB1067,IF(LEFT(Cockpit!$C$5,1)="B",AJ1067,MAX(AJ1067,H1067))))</f>
        <v>0</v>
      </c>
      <c r="AG1067" s="57" t="n">
        <f aca="false">IF(BT1067=1,0,ROUNDUP(AF1067/BS1067,0))</f>
        <v>0</v>
      </c>
      <c r="AH1067" s="59" t="n">
        <f aca="false">IF(CH1067&gt;0,CH1067*MAX(1,AF1067/X1067),IF(BT1067=1,IF(AF1067&lt;=0,0,BW1067*MAX(1,IF(H1067&gt;0,AF1067/H1067,1))),IF(R1067&gt;0,AG1067/R1067,0))/MAX(0.1,N(Parameter!$M$21)))</f>
        <v>0</v>
      </c>
      <c r="AI1067" s="57" t="n">
        <f aca="false">AF1067*G1067</f>
        <v>0</v>
      </c>
      <c r="AJ1067" s="57" t="n">
        <f aca="false">ROUNDUP(MAX(J1067/IF(BZ1067&gt;0,BZ1067,MAX(0.1,N(Cockpit!$C$6))),CC1067)/BS1067,0)*BS1067</f>
        <v>20</v>
      </c>
      <c r="AK1067" s="58" t="n">
        <f aca="false">IF(AH1067&gt;0,J1067/AH1067,-1)</f>
        <v>-1</v>
      </c>
      <c r="AL1067" s="58" t="str">
        <f aca="false">IF(AND(OR(BY1067="L1",BY1067="L23"),AH1067&gt;0),SUMIFS($AH$7:$AH$1843,$BY$7:$BY$1843,BY1067,$AK$7:$AK$1843,"&gt;"&amp;AK1067)+SUMIFS($AH$7:$AH$1843,$BY$7:$BY$1843,BY1067,$AK$7:$AK$1843,AK1067,$BQ$7:$BQ$1843,"&lt;="&amp;BQ1067),"")</f>
        <v/>
      </c>
      <c r="AM1067" s="65" t="n">
        <f aca="false">IF(AL1067="",0,MAX(0,MIN(1,(IF(BY1067="L1",Parameter!$E$5,Parameter!$E$6+Parameter!$E$7)-(AL1067-AH1067))/AH1067)))</f>
        <v>0</v>
      </c>
      <c r="AN1067" s="57" t="n">
        <f aca="false">IF(LEFT(Cockpit!$I$5,1)="A",H1067,IF(CA1067=1,CB1067,IF(LEFT(Cockpit!$I$5,1)="B",AR1067,MAX(AR1067,H1067))))</f>
        <v>20</v>
      </c>
      <c r="AO1067" s="57" t="n">
        <f aca="false">IF(BT1067=1,0,ROUNDUP(AN1067/BS1067,0))</f>
        <v>1</v>
      </c>
      <c r="AP1067" s="59" t="n">
        <f aca="false">IF(CH1067&gt;0,CH1067*MAX(1,AN1067/X1067),IF(BT1067=1,IF(AN1067&lt;=0,0,BW1067*MAX(1,IF(H1067&gt;0,AN1067/H1067,1))),IF(R1067&gt;0,AO1067/R1067,0))/MAX(0.1,N(Parameter!$M$21)))</f>
        <v>0.0384615384615385</v>
      </c>
      <c r="AQ1067" s="57" t="n">
        <f aca="false">AN1067*G1067</f>
        <v>82.4</v>
      </c>
      <c r="AR1067" s="57" t="n">
        <f aca="false">ROUNDUP(MAX(J1067/IF(BZ1067&gt;0,BZ1067,MAX(0.1,N(Cockpit!$I$6))),CC1067)/BS1067,0)*BS1067</f>
        <v>20</v>
      </c>
      <c r="AS1067" s="58" t="n">
        <f aca="false">IF(AP1067&gt;0,J1067/AP1067,-1)</f>
        <v>0</v>
      </c>
      <c r="AT1067" s="58" t="n">
        <f aca="false">IF(AND(OR(BY1067="L1",BY1067="L23"),AP1067&gt;0),SUMIFS($AP$7:$AP$1843,$BY$7:$BY$1843,BY1067,$AS$7:$AS$1843,"&gt;"&amp;AS1067)+SUMIFS($AP$7:$AP$1843,$BY$7:$BY$1843,BY1067,$AS$7:$AS$1843,AS1067,$BQ$7:$BQ$1843,"&lt;="&amp;BQ1067),"")</f>
        <v>120.741334752204</v>
      </c>
      <c r="AU1067" s="65" t="n">
        <f aca="false">IF(AT1067="",0,MAX(0,MIN(1,(IF(BY1067="L1",Parameter!$E$5,Parameter!$E$6+Parameter!$E$7)-(AT1067-AP1067))/AP1067)))</f>
        <v>0</v>
      </c>
      <c r="AV1067" s="57" t="n">
        <f aca="false">IF(LEFT(Cockpit!$O$5,1)="A",H1067,IF(CA1067=1,CB1067,IF(LEFT(Cockpit!$O$5,1)="B",AZ1067,MAX(AZ1067,H1067))))</f>
        <v>20</v>
      </c>
      <c r="AW1067" s="57" t="n">
        <f aca="false">IF(BT1067=1,0,ROUNDUP(AV1067/BS1067,0))</f>
        <v>1</v>
      </c>
      <c r="AX1067" s="59" t="n">
        <f aca="false">IF(CH1067&gt;0,CH1067*MAX(1,AV1067/X1067),IF(BT1067=1,IF(AV1067&lt;=0,0,BW1067*MAX(1,IF(H1067&gt;0,AV1067/H1067,1))),IF(R1067&gt;0,AW1067/R1067,0))/MAX(0.1,N(Parameter!$M$21)))</f>
        <v>0.0384615384615385</v>
      </c>
      <c r="AY1067" s="57" t="n">
        <f aca="false">AV1067*G1067</f>
        <v>82.4</v>
      </c>
      <c r="AZ1067" s="57" t="n">
        <f aca="false">ROUNDUP(MAX(J1067/IF(BZ1067&gt;0,BZ1067,MAX(0.1,N(Cockpit!$O$6))),CC1067)/BS1067,0)*BS1067</f>
        <v>20</v>
      </c>
      <c r="BA1067" s="58" t="n">
        <f aca="false">IF(AX1067&gt;0,J1067/AX1067,-1)</f>
        <v>0</v>
      </c>
      <c r="BB1067" s="58" t="n">
        <f aca="false">IF(AND(OR(BY1067="L1",BY1067="L23"),AX1067&gt;0),SUMIFS($AX$7:$AX$1843,$BY$7:$BY$1843,BY1067,$BA$7:$BA$1843,"&gt;"&amp;BA1067)+SUMIFS($AX$7:$AX$1843,$BY$7:$BY$1843,BY1067,$BA$7:$BA$1843,BA1067,$BQ$7:$BQ$1843,"&lt;="&amp;BQ1067),"")</f>
        <v>111.571171582041</v>
      </c>
      <c r="BC1067" s="65" t="n">
        <f aca="false">IF(BB1067="",0,MAX(0,MIN(1,(IF(BY1067="L1",Parameter!$E$5,Parameter!$E$6+Parameter!$E$7)-(BB1067-AX1067))/AX1067)))</f>
        <v>0</v>
      </c>
      <c r="BD1067" s="55" t="str">
        <f aca="false">IF(AH1067&lt;=0,"",IF(BY1067="Aussen","Aussenlager",IF(BY1067="-","Nicht im Lift",IF(AM1067&gt;=1,"Lift",IF(AM1067&lt;=0,"Aussenlager","teilweise")))))</f>
        <v/>
      </c>
      <c r="BE1067" s="55" t="str">
        <f aca="false">IF(AP1067&lt;=0,"",IF(BY1067="Aussen","Aussenlager",IF(BY1067="-","Nicht im Lift",IF(AU1067&gt;=1,"Lift",IF(AU1067&lt;=0,"Aussenlager","teilweise")))))</f>
        <v>Aussenlager</v>
      </c>
      <c r="BF1067" s="55" t="str">
        <f aca="false">IF(AX1067&lt;=0,"",IF(BY1067="Aussen","Aussenlager",IF(BY1067="-","Nicht im Lift",IF(BC1067&gt;=1,"Lift",IF(BC1067&lt;=0,"Aussenlager","teilweise")))))</f>
        <v>Aussenlager</v>
      </c>
      <c r="BG1067" s="55" t="str">
        <f aca="false">IF(A1067="","",IF(BP1067=1,"Neu; ","")&amp;IF(AND(BP1067=0,BK1067&lt;0),"negativer Bestand (Export "&amp;BK1067&amp;"); ","")&amp;IF(J1067&lt;=0,"Kein Verbrauch; ","")&amp;IF(CH1067&gt;0,"Lift "&amp;W1067&amp;" lt. Liftbericht (Fach "&amp;X1067&amp;" Stk); ",IF(BU1067=1,"Gebinde geschätzt ("&amp;T1067&amp;"); ",IF(BT1067=1,"Lose – Tablare geschätzt; ","")))&amp;IF(H1067&gt;AR1067,"Überbestand "&amp;ROUND(H1067-AR1067,0)&amp;" Stk / CHF "&amp;ROUND((H1067-AR1067)*G1067,0)&amp;"; ","")&amp;IF(AND(CA1067=1,CB1067&lt;CC1067),"MAX &lt; MB+LG; ","")&amp;IF(AND(CG1067&gt;0,CF1067*10&gt;CG1067),"zu hoch für Tablar; ","")&amp;IF(AND(BP1067=0,OR(CA1067=1,AA1067&lt;&gt;"",U1067&lt;&gt;"",V1067&lt;&gt;"",AB1067&lt;&gt;"")),"manuell übersteuert; ","")&amp;IF(AND(BT1067=0,R1067=0),"Gebinde unbekannt / Stellmass fehlt; ","")&amp;IF(AND(BT1067=0,N(V1067)&lt;=0,N(Q1067)&lt;=0),"Menge pro Gebinde fehlt (Ist = 1 Gebinde); ","")&amp;BO1067)</f>
        <v>negativer Bestand (Export -40); Kein Verbrauch; Gebinde geschätzt (Klein); Menge pro Gebinde fehlt (Ist = 1 Gebinde); </v>
      </c>
      <c r="BH1067" s="55"/>
      <c r="BI1067" s="55"/>
      <c r="BJ1067" s="62"/>
      <c r="BK1067" s="57" t="n">
        <v>-40</v>
      </c>
      <c r="BL1067" s="57" t="n">
        <v>40</v>
      </c>
      <c r="BM1067" s="56" t="n">
        <v>-164.8</v>
      </c>
      <c r="BN1067" s="57" t="n">
        <v>0</v>
      </c>
      <c r="BO1067" s="55"/>
      <c r="BP1067" s="60" t="n">
        <v>0</v>
      </c>
      <c r="BQ1067" s="60" t="n">
        <v>1067</v>
      </c>
      <c r="BR1067" s="55" t="str">
        <f aca="false">IF(U1067&lt;&gt;"",UPPER(TRIM(U1067)),IF(BU1067=1,UPPER(VLOOKUP(T1067,Parameter!$I$27:$K$29,2,0)),IF(P1067="","LOSE",P1067)))</f>
        <v>S51</v>
      </c>
      <c r="BS1067" s="57" t="n">
        <f aca="false">IF(BR1067="LOSE",1,IF(N(V1067)&gt;0,V1067,IF(BU1067=1,MAX(1,N(VLOOKUP(T1067,Parameter!$I$27:$K$29,3,0)),H1067,N(N1067)),IF(N(Q1067)&gt;0,Q1067,MAX(1,H1067)))))</f>
        <v>20</v>
      </c>
      <c r="BT1067" s="60" t="n">
        <f aca="false">IF(BR1067="LOSE",1,0)</f>
        <v>0</v>
      </c>
      <c r="BU1067" s="60" t="n">
        <f aca="false">IF(AND(U1067="",OR(P1067="",P1067="LOSE"),T1067&lt;&gt;"",N(S1067)&lt;=0,ISNUMBER(MATCH(T1067,Parameter!$I$27:$I$29,0))),1,0)</f>
        <v>1</v>
      </c>
      <c r="BV1067" s="55" t="str">
        <f aca="false">IF(AND(Parameter!$B$19="Ja",E1067&lt;&gt;"",ISNUMBER(MATCH(E1067,Parameter!$I$35:$I$52,0))),VLOOKUP(E1067,Parameter!$I$35:$J$52,2,0),IFERROR(VLOOKUP(D1067,Parameter!$A$35:$C$64,2,0),"Nein"))</f>
        <v>2+3</v>
      </c>
      <c r="BW1067" s="59" t="n">
        <f aca="false">IF(BT1067=0,0,IF(N(S1067)&gt;0,S1067,IFERROR(VLOOKUP(D1067,Parameter!$A$35:$C$64,3,0)+0,0)))</f>
        <v>0</v>
      </c>
      <c r="BX1067" s="55" t="n">
        <f aca="false">IF(AA1067&lt;&gt;"",AA1067,Z1067)</f>
        <v>3</v>
      </c>
      <c r="BY1067" s="55" t="str">
        <f aca="false">IF(BX1067=1,"L1",IF(OR(BX1067=2,BX1067=3),"L23",IF(BX1067="Aussen","Aussen","-")))</f>
        <v>L23</v>
      </c>
      <c r="BZ1067" s="66" t="n">
        <f aca="false">IF(N(AB1067)&gt;0,AB1067,0)</f>
        <v>0</v>
      </c>
      <c r="CA1067" s="60" t="n">
        <f aca="false">IF(ISNUMBER(AE1067),1,0)</f>
        <v>0</v>
      </c>
      <c r="CB1067" s="57" t="n">
        <f aca="false">N(AE1067)</f>
        <v>0</v>
      </c>
      <c r="CC1067" s="57" t="n">
        <f aca="false">N(M1067)+N(N1067)</f>
        <v>1</v>
      </c>
      <c r="CD1067" s="57" t="n">
        <f aca="false">ROUNDUP(H1067/BS1067,0)</f>
        <v>0</v>
      </c>
      <c r="CE1067" s="57" t="n">
        <f aca="false">ROUNDUP(CB1067/BS1067,0)</f>
        <v>0</v>
      </c>
      <c r="CF1067" s="60" t="n">
        <f aca="false">IF(BT1067=1,0,IFERROR(VLOOKUP(BR1067,'Gebinde-Kategorie'!$A$5:$M$45,5,0)+0,0))</f>
        <v>11</v>
      </c>
      <c r="CG1067" s="60" t="n">
        <f aca="false">IFERROR(IF(OR(BX1067=1,BX1067=2,BX1067=3),N(INDEX(Parameter!$I$5:$I$7,BX1067)),0),0)</f>
        <v>0</v>
      </c>
      <c r="CH1067" s="59" t="n">
        <f aca="false">IF(AND(Parameter!$B$21="Ja",ISNUMBER(W1067),N(X1067)&gt;0),IFERROR(N(INDEX(Parameter!$L$5:$L$7,W1067))*INDEX(Parameter!$E$5:$E$7,W1067)*X1067/SUMIFS($X$7:$X$1843,$W$7:$W$1843,W1067),0),0)</f>
        <v>0</v>
      </c>
    </row>
    <row r="1068" customFormat="false" ht="15" hidden="false" customHeight="false" outlineLevel="0" collapsed="false">
      <c r="A1068" s="55" t="s">
        <v>1951</v>
      </c>
      <c r="B1068" s="55" t="s">
        <v>544</v>
      </c>
      <c r="C1068" s="55" t="s">
        <v>164</v>
      </c>
      <c r="D1068" s="55" t="s">
        <v>184</v>
      </c>
      <c r="E1068" s="55" t="s">
        <v>185</v>
      </c>
      <c r="F1068" s="55" t="s">
        <v>218</v>
      </c>
      <c r="G1068" s="56" t="n">
        <v>21.16</v>
      </c>
      <c r="H1068" s="57" t="n">
        <f aca="false">MAX(0,IF(AND(Parameter!$B$21="Ja",ISNUMBER(Y1068)),Y1068,IF(Parameter!$B$20="Jahresanfang 2025 + Export",BL1068+BK1068,BK1068)))</f>
        <v>3</v>
      </c>
      <c r="I1068" s="57" t="n">
        <f aca="false">H1068*G1068</f>
        <v>63.48</v>
      </c>
      <c r="J1068" s="57" t="n">
        <f aca="false">BN1068*Parameter!$B$18</f>
        <v>14</v>
      </c>
      <c r="K1068" s="58" t="n">
        <v>9</v>
      </c>
      <c r="L1068" s="59" t="n">
        <v>1.55555555555556</v>
      </c>
      <c r="M1068" s="57" t="n">
        <v>0</v>
      </c>
      <c r="N1068" s="57" t="n">
        <v>15</v>
      </c>
      <c r="O1068" s="60" t="n">
        <v>21</v>
      </c>
      <c r="P1068" s="55" t="s">
        <v>421</v>
      </c>
      <c r="Q1068" s="57" t="n">
        <v>24</v>
      </c>
      <c r="R1068" s="60" t="n">
        <f aca="false">IF(BT1068=1,0,IFERROR(VLOOKUP(BR1068,'Gebinde-Kategorie'!$A$5:$M$45,13,0)+0,0))</f>
        <v>132</v>
      </c>
      <c r="S1068" s="61"/>
      <c r="T1068" s="62"/>
      <c r="U1068" s="62"/>
      <c r="V1068" s="62"/>
      <c r="W1068" s="55"/>
      <c r="X1068" s="57"/>
      <c r="Y1068" s="57"/>
      <c r="Z1068" s="55" t="n">
        <f aca="false">IF(A1068="","",IF(AND(Parameter!$B$21="Ja",ISNUMBER(W1068)),W1068,IF(BV1068="2+3",IF(ISNUMBER(SEARCH("grosser Artikel",BO1068)),2,IFERROR(VLOOKUP(BR1068,Parameter!$F$35:$G$64,2,0),2)),IF(OR(BV1068="Nein",BV1068=""),"-",BV1068))))</f>
        <v>3</v>
      </c>
      <c r="AA1068" s="62"/>
      <c r="AB1068" s="63"/>
      <c r="AC1068" s="57" t="n">
        <f aca="false">AR1068</f>
        <v>24</v>
      </c>
      <c r="AD1068" s="57" t="n">
        <f aca="false">MAX(AR1068,H1068)</f>
        <v>24</v>
      </c>
      <c r="AE1068" s="64"/>
      <c r="AF1068" s="57" t="n">
        <f aca="false">IF(LEFT(Cockpit!$C$5,1)="A",H1068,IF(CA1068=1,CB1068,IF(LEFT(Cockpit!$C$5,1)="B",AJ1068,MAX(AJ1068,H1068))))</f>
        <v>3</v>
      </c>
      <c r="AG1068" s="57" t="n">
        <f aca="false">IF(BT1068=1,0,ROUNDUP(AF1068/BS1068,0))</f>
        <v>1</v>
      </c>
      <c r="AH1068" s="59" t="n">
        <f aca="false">IF(CH1068&gt;0,CH1068*MAX(1,AF1068/X1068),IF(BT1068=1,IF(AF1068&lt;=0,0,BW1068*MAX(1,IF(H1068&gt;0,AF1068/H1068,1))),IF(R1068&gt;0,AG1068/R1068,0))/MAX(0.1,N(Parameter!$M$21)))</f>
        <v>0.00757575757575758</v>
      </c>
      <c r="AI1068" s="57" t="n">
        <f aca="false">AF1068*G1068</f>
        <v>63.48</v>
      </c>
      <c r="AJ1068" s="57" t="n">
        <f aca="false">ROUNDUP(MAX(J1068/IF(BZ1068&gt;0,BZ1068,MAX(0.1,N(Cockpit!$C$6))),CC1068)/BS1068,0)*BS1068</f>
        <v>24</v>
      </c>
      <c r="AK1068" s="58" t="n">
        <f aca="false">IF(AH1068&gt;0,J1068/AH1068,-1)</f>
        <v>1848</v>
      </c>
      <c r="AL1068" s="58" t="n">
        <f aca="false">IF(AND(OR(BY1068="L1",BY1068="L23"),AH1068&gt;0),SUMIFS($AH$7:$AH$1843,$BY$7:$BY$1843,BY1068,$AK$7:$AK$1843,"&gt;"&amp;AK1068)+SUMIFS($AH$7:$AH$1843,$BY$7:$BY$1843,BY1068,$AK$7:$AK$1843,AK1068,$BQ$7:$BQ$1843,"&lt;="&amp;BQ1068),"")</f>
        <v>13.8877571703659</v>
      </c>
      <c r="AM1068" s="65" t="n">
        <f aca="false">IF(AL1068="",0,MAX(0,MIN(1,(IF(BY1068="L1",Parameter!$E$5,Parameter!$E$6+Parameter!$E$7)-(AL1068-AH1068))/AH1068)))</f>
        <v>1</v>
      </c>
      <c r="AN1068" s="57" t="n">
        <f aca="false">IF(LEFT(Cockpit!$I$5,1)="A",H1068,IF(CA1068=1,CB1068,IF(LEFT(Cockpit!$I$5,1)="B",AR1068,MAX(AR1068,H1068))))</f>
        <v>24</v>
      </c>
      <c r="AO1068" s="57" t="n">
        <f aca="false">IF(BT1068=1,0,ROUNDUP(AN1068/BS1068,0))</f>
        <v>1</v>
      </c>
      <c r="AP1068" s="59" t="n">
        <f aca="false">IF(CH1068&gt;0,CH1068*MAX(1,AN1068/X1068),IF(BT1068=1,IF(AN1068&lt;=0,0,BW1068*MAX(1,IF(H1068&gt;0,AN1068/H1068,1))),IF(R1068&gt;0,AO1068/R1068,0))/MAX(0.1,N(Parameter!$M$21)))</f>
        <v>0.00757575757575758</v>
      </c>
      <c r="AQ1068" s="57" t="n">
        <f aca="false">AN1068*G1068</f>
        <v>507.84</v>
      </c>
      <c r="AR1068" s="57" t="n">
        <f aca="false">ROUNDUP(MAX(J1068/IF(BZ1068&gt;0,BZ1068,MAX(0.1,N(Cockpit!$I$6))),CC1068)/BS1068,0)*BS1068</f>
        <v>24</v>
      </c>
      <c r="AS1068" s="58" t="n">
        <f aca="false">IF(AP1068&gt;0,J1068/AP1068,-1)</f>
        <v>1848</v>
      </c>
      <c r="AT1068" s="58" t="n">
        <f aca="false">IF(AND(OR(BY1068="L1",BY1068="L23"),AP1068&gt;0),SUMIFS($AP$7:$AP$1843,$BY$7:$BY$1843,BY1068,$AS$7:$AS$1843,"&gt;"&amp;AS1068)+SUMIFS($AP$7:$AP$1843,$BY$7:$BY$1843,BY1068,$AS$7:$AS$1843,AS1068,$BQ$7:$BQ$1843,"&lt;="&amp;BQ1068),"")</f>
        <v>19.0419495962974</v>
      </c>
      <c r="AU1068" s="65" t="n">
        <f aca="false">IF(AT1068="",0,MAX(0,MIN(1,(IF(BY1068="L1",Parameter!$E$5,Parameter!$E$6+Parameter!$E$7)-(AT1068-AP1068))/AP1068)))</f>
        <v>1</v>
      </c>
      <c r="AV1068" s="57" t="n">
        <f aca="false">IF(LEFT(Cockpit!$O$5,1)="A",H1068,IF(CA1068=1,CB1068,IF(LEFT(Cockpit!$O$5,1)="B",AZ1068,MAX(AZ1068,H1068))))</f>
        <v>24</v>
      </c>
      <c r="AW1068" s="57" t="n">
        <f aca="false">IF(BT1068=1,0,ROUNDUP(AV1068/BS1068,0))</f>
        <v>1</v>
      </c>
      <c r="AX1068" s="59" t="n">
        <f aca="false">IF(CH1068&gt;0,CH1068*MAX(1,AV1068/X1068),IF(BT1068=1,IF(AV1068&lt;=0,0,BW1068*MAX(1,IF(H1068&gt;0,AV1068/H1068,1))),IF(R1068&gt;0,AW1068/R1068,0))/MAX(0.1,N(Parameter!$M$21)))</f>
        <v>0.00757575757575758</v>
      </c>
      <c r="AY1068" s="57" t="n">
        <f aca="false">AV1068*G1068</f>
        <v>507.84</v>
      </c>
      <c r="AZ1068" s="57" t="n">
        <f aca="false">ROUNDUP(MAX(J1068/IF(BZ1068&gt;0,BZ1068,MAX(0.1,N(Cockpit!$O$6))),CC1068)/BS1068,0)*BS1068</f>
        <v>24</v>
      </c>
      <c r="BA1068" s="58" t="n">
        <f aca="false">IF(AX1068&gt;0,J1068/AX1068,-1)</f>
        <v>1848</v>
      </c>
      <c r="BB1068" s="58" t="n">
        <f aca="false">IF(AND(OR(BY1068="L1",BY1068="L23"),AX1068&gt;0),SUMIFS($AX$7:$AX$1843,$BY$7:$BY$1843,BY1068,$BA$7:$BA$1843,"&gt;"&amp;BA1068)+SUMIFS($AX$7:$AX$1843,$BY$7:$BY$1843,BY1068,$BA$7:$BA$1843,BA1068,$BQ$7:$BQ$1843,"&lt;="&amp;BQ1068),"")</f>
        <v>17.9038377081855</v>
      </c>
      <c r="BC1068" s="65" t="n">
        <f aca="false">IF(BB1068="",0,MAX(0,MIN(1,(IF(BY1068="L1",Parameter!$E$5,Parameter!$E$6+Parameter!$E$7)-(BB1068-AX1068))/AX1068)))</f>
        <v>1</v>
      </c>
      <c r="BD1068" s="55" t="str">
        <f aca="false">IF(AH1068&lt;=0,"",IF(BY1068="Aussen","Aussenlager",IF(BY1068="-","Nicht im Lift",IF(AM1068&gt;=1,"Lift",IF(AM1068&lt;=0,"Aussenlager","teilweise")))))</f>
        <v>Lift</v>
      </c>
      <c r="BE1068" s="55" t="str">
        <f aca="false">IF(AP1068&lt;=0,"",IF(BY1068="Aussen","Aussenlager",IF(BY1068="-","Nicht im Lift",IF(AU1068&gt;=1,"Lift",IF(AU1068&lt;=0,"Aussenlager","teilweise")))))</f>
        <v>Lift</v>
      </c>
      <c r="BF1068" s="55" t="str">
        <f aca="false">IF(AX1068&lt;=0,"",IF(BY1068="Aussen","Aussenlager",IF(BY1068="-","Nicht im Lift",IF(BC1068&gt;=1,"Lift",IF(BC1068&lt;=0,"Aussenlager","teilweise")))))</f>
        <v>Lift</v>
      </c>
      <c r="BG1068" s="55" t="str">
        <f aca="false">IF(A1068="","",IF(BP1068=1,"Neu; ","")&amp;IF(AND(BP1068=0,BK1068&lt;0),"negativer Bestand (Export "&amp;BK1068&amp;"); ","")&amp;IF(J1068&lt;=0,"Kein Verbrauch; ","")&amp;IF(CH1068&gt;0,"Lift "&amp;W1068&amp;" lt. Liftbericht (Fach "&amp;X1068&amp;" Stk); ",IF(BU1068=1,"Gebinde geschätzt ("&amp;T1068&amp;"); ",IF(BT1068=1,"Lose – Tablare geschätzt; ","")))&amp;IF(H1068&gt;AR1068,"Überbestand "&amp;ROUND(H1068-AR1068,0)&amp;" Stk / CHF "&amp;ROUND((H1068-AR1068)*G1068,0)&amp;"; ","")&amp;IF(AND(CA1068=1,CB1068&lt;CC1068),"MAX &lt; MB+LG; ","")&amp;IF(AND(CG1068&gt;0,CF1068*10&gt;CG1068),"zu hoch für Tablar; ","")&amp;IF(AND(BP1068=0,OR(CA1068=1,AA1068&lt;&gt;"",U1068&lt;&gt;"",V1068&lt;&gt;"",AB1068&lt;&gt;"")),"manuell übersteuert; ","")&amp;IF(AND(BT1068=0,R1068=0),"Gebinde unbekannt / Stellmass fehlt; ","")&amp;IF(AND(BT1068=0,N(V1068)&lt;=0,N(Q1068)&lt;=0),"Menge pro Gebinde fehlt (Ist = 1 Gebinde); ","")&amp;BO1068)</f>
        <v>negativer Bestand (Export -8); </v>
      </c>
      <c r="BH1068" s="55"/>
      <c r="BI1068" s="55"/>
      <c r="BJ1068" s="62"/>
      <c r="BK1068" s="57" t="n">
        <v>-8</v>
      </c>
      <c r="BL1068" s="57" t="n">
        <v>11</v>
      </c>
      <c r="BM1068" s="56" t="n">
        <v>-166.2</v>
      </c>
      <c r="BN1068" s="57" t="n">
        <v>14</v>
      </c>
      <c r="BO1068" s="55"/>
      <c r="BP1068" s="60" t="n">
        <v>0</v>
      </c>
      <c r="BQ1068" s="60" t="n">
        <v>1068</v>
      </c>
      <c r="BR1068" s="55" t="str">
        <f aca="false">IF(U1068&lt;&gt;"",UPPER(TRIM(U1068)),IF(BU1068=1,UPPER(VLOOKUP(T1068,Parameter!$I$27:$K$29,2,0)),IF(P1068="","LOSE",P1068)))</f>
        <v>S32</v>
      </c>
      <c r="BS1068" s="57" t="n">
        <f aca="false">IF(BR1068="LOSE",1,IF(N(V1068)&gt;0,V1068,IF(BU1068=1,MAX(1,N(VLOOKUP(T1068,Parameter!$I$27:$K$29,3,0)),H1068,N(N1068)),IF(N(Q1068)&gt;0,Q1068,MAX(1,H1068)))))</f>
        <v>24</v>
      </c>
      <c r="BT1068" s="60" t="n">
        <f aca="false">IF(BR1068="LOSE",1,0)</f>
        <v>0</v>
      </c>
      <c r="BU1068" s="60" t="n">
        <f aca="false">IF(AND(U1068="",OR(P1068="",P1068="LOSE"),T1068&lt;&gt;"",N(S1068)&lt;=0,ISNUMBER(MATCH(T1068,Parameter!$I$27:$I$29,0))),1,0)</f>
        <v>0</v>
      </c>
      <c r="BV1068" s="55" t="str">
        <f aca="false">IF(AND(Parameter!$B$19="Ja",E1068&lt;&gt;"",ISNUMBER(MATCH(E1068,Parameter!$I$35:$I$52,0))),VLOOKUP(E1068,Parameter!$I$35:$J$52,2,0),IFERROR(VLOOKUP(D1068,Parameter!$A$35:$C$64,2,0),"Nein"))</f>
        <v>2+3</v>
      </c>
      <c r="BW1068" s="59" t="n">
        <f aca="false">IF(BT1068=0,0,IF(N(S1068)&gt;0,S1068,IFERROR(VLOOKUP(D1068,Parameter!$A$35:$C$64,3,0)+0,0)))</f>
        <v>0</v>
      </c>
      <c r="BX1068" s="55" t="n">
        <f aca="false">IF(AA1068&lt;&gt;"",AA1068,Z1068)</f>
        <v>3</v>
      </c>
      <c r="BY1068" s="55" t="str">
        <f aca="false">IF(BX1068=1,"L1",IF(OR(BX1068=2,BX1068=3),"L23",IF(BX1068="Aussen","Aussen","-")))</f>
        <v>L23</v>
      </c>
      <c r="BZ1068" s="66" t="n">
        <f aca="false">IF(N(AB1068)&gt;0,AB1068,0)</f>
        <v>0</v>
      </c>
      <c r="CA1068" s="60" t="n">
        <f aca="false">IF(ISNUMBER(AE1068),1,0)</f>
        <v>0</v>
      </c>
      <c r="CB1068" s="57" t="n">
        <f aca="false">N(AE1068)</f>
        <v>0</v>
      </c>
      <c r="CC1068" s="57" t="n">
        <f aca="false">N(M1068)+N(N1068)</f>
        <v>15</v>
      </c>
      <c r="CD1068" s="57" t="n">
        <f aca="false">ROUNDUP(H1068/BS1068,0)</f>
        <v>1</v>
      </c>
      <c r="CE1068" s="57" t="n">
        <f aca="false">ROUNDUP(CB1068/BS1068,0)</f>
        <v>0</v>
      </c>
      <c r="CF1068" s="60" t="n">
        <f aca="false">IF(BT1068=1,0,IFERROR(VLOOKUP(BR1068,'Gebinde-Kategorie'!$A$5:$M$45,5,0)+0,0))</f>
        <v>8</v>
      </c>
      <c r="CG1068" s="60" t="n">
        <f aca="false">IFERROR(IF(OR(BX1068=1,BX1068=2,BX1068=3),N(INDEX(Parameter!$I$5:$I$7,BX1068)),0),0)</f>
        <v>0</v>
      </c>
      <c r="CH1068" s="59" t="n">
        <f aca="false">IF(AND(Parameter!$B$21="Ja",ISNUMBER(W1068),N(X1068)&gt;0),IFERROR(N(INDEX(Parameter!$L$5:$L$7,W1068))*INDEX(Parameter!$E$5:$E$7,W1068)*X1068/SUMIFS($X$7:$X$1843,$W$7:$W$1843,W1068),0),0)</f>
        <v>0</v>
      </c>
    </row>
    <row r="1069" customFormat="false" ht="15" hidden="false" customHeight="false" outlineLevel="0" collapsed="false">
      <c r="A1069" s="55" t="s">
        <v>1952</v>
      </c>
      <c r="B1069" s="55" t="s">
        <v>1953</v>
      </c>
      <c r="C1069" s="55" t="s">
        <v>164</v>
      </c>
      <c r="D1069" s="55" t="s">
        <v>184</v>
      </c>
      <c r="E1069" s="55"/>
      <c r="F1069" s="55" t="s">
        <v>218</v>
      </c>
      <c r="G1069" s="56" t="n">
        <v>11.9</v>
      </c>
      <c r="H1069" s="57" t="n">
        <f aca="false">MAX(0,IF(AND(Parameter!$B$21="Ja",ISNUMBER(Y1069)),Y1069,IF(Parameter!$B$20="Jahresanfang 2025 + Export",BL1069+BK1069,BK1069)))</f>
        <v>161</v>
      </c>
      <c r="I1069" s="57" t="n">
        <f aca="false">H1069*G1069</f>
        <v>1915.9</v>
      </c>
      <c r="J1069" s="57" t="n">
        <f aca="false">BN1069*Parameter!$B$18</f>
        <v>3</v>
      </c>
      <c r="K1069" s="58" t="n">
        <v>169.5</v>
      </c>
      <c r="L1069" s="59" t="n">
        <v>0.0176991150442478</v>
      </c>
      <c r="M1069" s="57" t="n">
        <v>0</v>
      </c>
      <c r="N1069" s="57" t="n">
        <v>5</v>
      </c>
      <c r="O1069" s="60" t="n">
        <v>42</v>
      </c>
      <c r="P1069" s="55" t="s">
        <v>186</v>
      </c>
      <c r="Q1069" s="57" t="n">
        <v>160</v>
      </c>
      <c r="R1069" s="60" t="n">
        <f aca="false">IF(BT1069=1,0,IFERROR(VLOOKUP(BR1069,'Gebinde-Kategorie'!$A$5:$M$45,13,0)+0,0))</f>
        <v>12</v>
      </c>
      <c r="S1069" s="61"/>
      <c r="T1069" s="62"/>
      <c r="U1069" s="62"/>
      <c r="V1069" s="62"/>
      <c r="W1069" s="55"/>
      <c r="X1069" s="57"/>
      <c r="Y1069" s="57"/>
      <c r="Z1069" s="55" t="n">
        <f aca="false">IF(A1069="","",IF(AND(Parameter!$B$21="Ja",ISNUMBER(W1069)),W1069,IF(BV1069="2+3",IF(ISNUMBER(SEARCH("grosser Artikel",BO1069)),2,IFERROR(VLOOKUP(BR1069,Parameter!$F$35:$G$64,2,0),2)),IF(OR(BV1069="Nein",BV1069=""),"-",BV1069))))</f>
        <v>2</v>
      </c>
      <c r="AA1069" s="62"/>
      <c r="AB1069" s="63"/>
      <c r="AC1069" s="57" t="n">
        <f aca="false">AR1069</f>
        <v>160</v>
      </c>
      <c r="AD1069" s="57" t="n">
        <f aca="false">MAX(AR1069,H1069)</f>
        <v>161</v>
      </c>
      <c r="AE1069" s="64"/>
      <c r="AF1069" s="57" t="n">
        <f aca="false">IF(LEFT(Cockpit!$C$5,1)="A",H1069,IF(CA1069=1,CB1069,IF(LEFT(Cockpit!$C$5,1)="B",AJ1069,MAX(AJ1069,H1069))))</f>
        <v>161</v>
      </c>
      <c r="AG1069" s="57" t="n">
        <f aca="false">IF(BT1069=1,0,ROUNDUP(AF1069/BS1069,0))</f>
        <v>2</v>
      </c>
      <c r="AH1069" s="59" t="n">
        <f aca="false">IF(CH1069&gt;0,CH1069*MAX(1,AF1069/X1069),IF(BT1069=1,IF(AF1069&lt;=0,0,BW1069*MAX(1,IF(H1069&gt;0,AF1069/H1069,1))),IF(R1069&gt;0,AG1069/R1069,0))/MAX(0.1,N(Parameter!$M$21)))</f>
        <v>0.166666666666667</v>
      </c>
      <c r="AI1069" s="57" t="n">
        <f aca="false">AF1069*G1069</f>
        <v>1915.9</v>
      </c>
      <c r="AJ1069" s="57" t="n">
        <f aca="false">ROUNDUP(MAX(J1069/IF(BZ1069&gt;0,BZ1069,MAX(0.1,N(Cockpit!$C$6))),CC1069)/BS1069,0)*BS1069</f>
        <v>160</v>
      </c>
      <c r="AK1069" s="58" t="n">
        <f aca="false">IF(AH1069&gt;0,J1069/AH1069,-1)</f>
        <v>18</v>
      </c>
      <c r="AL1069" s="58" t="n">
        <f aca="false">IF(AND(OR(BY1069="L1",BY1069="L23"),AH1069&gt;0),SUMIFS($AH$7:$AH$1843,$BY$7:$BY$1843,BY1069,$AK$7:$AK$1843,"&gt;"&amp;AK1069)+SUMIFS($AH$7:$AH$1843,$BY$7:$BY$1843,BY1069,$AK$7:$AK$1843,AK1069,$BQ$7:$BQ$1843,"&lt;="&amp;BQ1069),"")</f>
        <v>52.5048478091956</v>
      </c>
      <c r="AM1069" s="65" t="n">
        <f aca="false">IF(AL1069="",0,MAX(0,MIN(1,(IF(BY1069="L1",Parameter!$E$5,Parameter!$E$6+Parameter!$E$7)-(AL1069-AH1069))/AH1069)))</f>
        <v>1</v>
      </c>
      <c r="AN1069" s="57" t="n">
        <f aca="false">IF(LEFT(Cockpit!$I$5,1)="A",H1069,IF(CA1069=1,CB1069,IF(LEFT(Cockpit!$I$5,1)="B",AR1069,MAX(AR1069,H1069))))</f>
        <v>161</v>
      </c>
      <c r="AO1069" s="57" t="n">
        <f aca="false">IF(BT1069=1,0,ROUNDUP(AN1069/BS1069,0))</f>
        <v>2</v>
      </c>
      <c r="AP1069" s="59" t="n">
        <f aca="false">IF(CH1069&gt;0,CH1069*MAX(1,AN1069/X1069),IF(BT1069=1,IF(AN1069&lt;=0,0,BW1069*MAX(1,IF(H1069&gt;0,AN1069/H1069,1))),IF(R1069&gt;0,AO1069/R1069,0))/MAX(0.1,N(Parameter!$M$21)))</f>
        <v>0.166666666666667</v>
      </c>
      <c r="AQ1069" s="57" t="n">
        <f aca="false">AN1069*G1069</f>
        <v>1915.9</v>
      </c>
      <c r="AR1069" s="57" t="n">
        <f aca="false">ROUNDUP(MAX(J1069/IF(BZ1069&gt;0,BZ1069,MAX(0.1,N(Cockpit!$I$6))),CC1069)/BS1069,0)*BS1069</f>
        <v>160</v>
      </c>
      <c r="AS1069" s="58" t="n">
        <f aca="false">IF(AP1069&gt;0,J1069/AP1069,-1)</f>
        <v>18</v>
      </c>
      <c r="AT1069" s="58" t="n">
        <f aca="false">IF(AND(OR(BY1069="L1",BY1069="L23"),AP1069&gt;0),SUMIFS($AP$7:$AP$1843,$BY$7:$BY$1843,BY1069,$AS$7:$AS$1843,"&gt;"&amp;AS1069)+SUMIFS($AP$7:$AP$1843,$BY$7:$BY$1843,BY1069,$AS$7:$AS$1843,AS1069,$BQ$7:$BQ$1843,"&lt;="&amp;BQ1069),"")</f>
        <v>77.8456386608561</v>
      </c>
      <c r="AU1069" s="65" t="n">
        <f aca="false">IF(AT1069="",0,MAX(0,MIN(1,(IF(BY1069="L1",Parameter!$E$5,Parameter!$E$6+Parameter!$E$7)-(AT1069-AP1069))/AP1069)))</f>
        <v>1</v>
      </c>
      <c r="AV1069" s="57" t="n">
        <f aca="false">IF(LEFT(Cockpit!$O$5,1)="A",H1069,IF(CA1069=1,CB1069,IF(LEFT(Cockpit!$O$5,1)="B",AZ1069,MAX(AZ1069,H1069))))</f>
        <v>161</v>
      </c>
      <c r="AW1069" s="57" t="n">
        <f aca="false">IF(BT1069=1,0,ROUNDUP(AV1069/BS1069,0))</f>
        <v>2</v>
      </c>
      <c r="AX1069" s="59" t="n">
        <f aca="false">IF(CH1069&gt;0,CH1069*MAX(1,AV1069/X1069),IF(BT1069=1,IF(AV1069&lt;=0,0,BW1069*MAX(1,IF(H1069&gt;0,AV1069/H1069,1))),IF(R1069&gt;0,AW1069/R1069,0))/MAX(0.1,N(Parameter!$M$21)))</f>
        <v>0.166666666666667</v>
      </c>
      <c r="AY1069" s="57" t="n">
        <f aca="false">AV1069*G1069</f>
        <v>1915.9</v>
      </c>
      <c r="AZ1069" s="57" t="n">
        <f aca="false">ROUNDUP(MAX(J1069/IF(BZ1069&gt;0,BZ1069,MAX(0.1,N(Cockpit!$O$6))),CC1069)/BS1069,0)*BS1069</f>
        <v>160</v>
      </c>
      <c r="BA1069" s="58" t="n">
        <f aca="false">IF(AX1069&gt;0,J1069/AX1069,-1)</f>
        <v>18</v>
      </c>
      <c r="BB1069" s="58" t="n">
        <f aca="false">IF(AND(OR(BY1069="L1",BY1069="L23"),AX1069&gt;0),SUMIFS($AX$7:$AX$1843,$BY$7:$BY$1843,BY1069,$BA$7:$BA$1843,"&gt;"&amp;BA1069)+SUMIFS($AX$7:$AX$1843,$BY$7:$BY$1843,BY1069,$BA$7:$BA$1843,BA1069,$BQ$7:$BQ$1843,"&lt;="&amp;BQ1069),"")</f>
        <v>77.3421421573596</v>
      </c>
      <c r="BC1069" s="65" t="n">
        <f aca="false">IF(BB1069="",0,MAX(0,MIN(1,(IF(BY1069="L1",Parameter!$E$5,Parameter!$E$6+Parameter!$E$7)-(BB1069-AX1069))/AX1069)))</f>
        <v>1</v>
      </c>
      <c r="BD1069" s="55" t="str">
        <f aca="false">IF(AH1069&lt;=0,"",IF(BY1069="Aussen","Aussenlager",IF(BY1069="-","Nicht im Lift",IF(AM1069&gt;=1,"Lift",IF(AM1069&lt;=0,"Aussenlager","teilweise")))))</f>
        <v>Lift</v>
      </c>
      <c r="BE1069" s="55" t="str">
        <f aca="false">IF(AP1069&lt;=0,"",IF(BY1069="Aussen","Aussenlager",IF(BY1069="-","Nicht im Lift",IF(AU1069&gt;=1,"Lift",IF(AU1069&lt;=0,"Aussenlager","teilweise")))))</f>
        <v>Lift</v>
      </c>
      <c r="BF1069" s="55" t="str">
        <f aca="false">IF(AX1069&lt;=0,"",IF(BY1069="Aussen","Aussenlager",IF(BY1069="-","Nicht im Lift",IF(BC1069&gt;=1,"Lift",IF(BC1069&lt;=0,"Aussenlager","teilweise")))))</f>
        <v>Lift</v>
      </c>
      <c r="BG1069" s="55" t="str">
        <f aca="false">IF(A1069="","",IF(BP1069=1,"Neu; ","")&amp;IF(AND(BP1069=0,BK1069&lt;0),"negativer Bestand (Export "&amp;BK1069&amp;"); ","")&amp;IF(J1069&lt;=0,"Kein Verbrauch; ","")&amp;IF(CH1069&gt;0,"Lift "&amp;W1069&amp;" lt. Liftbericht (Fach "&amp;X1069&amp;" Stk); ",IF(BU1069=1,"Gebinde geschätzt ("&amp;T1069&amp;"); ",IF(BT1069=1,"Lose – Tablare geschätzt; ","")))&amp;IF(H1069&gt;AR1069,"Überbestand "&amp;ROUND(H1069-AR1069,0)&amp;" Stk / CHF "&amp;ROUND((H1069-AR1069)*G1069,0)&amp;"; ","")&amp;IF(AND(CA1069=1,CB1069&lt;CC1069),"MAX &lt; MB+LG; ","")&amp;IF(AND(CG1069&gt;0,CF1069*10&gt;CG1069),"zu hoch für Tablar; ","")&amp;IF(AND(BP1069=0,OR(CA1069=1,AA1069&lt;&gt;"",U1069&lt;&gt;"",V1069&lt;&gt;"",AB1069&lt;&gt;"")),"manuell übersteuert; ","")&amp;IF(AND(BT1069=0,R1069=0),"Gebinde unbekannt / Stellmass fehlt; ","")&amp;IF(AND(BT1069=0,N(V1069)&lt;=0,N(Q1069)&lt;=0),"Menge pro Gebinde fehlt (Ist = 1 Gebinde); ","")&amp;BO1069)</f>
        <v>negativer Bestand (Export -14); Überbestand 1 Stk / CHF 12; überbestand</v>
      </c>
      <c r="BH1069" s="55"/>
      <c r="BI1069" s="55"/>
      <c r="BJ1069" s="62"/>
      <c r="BK1069" s="57" t="n">
        <v>-14</v>
      </c>
      <c r="BL1069" s="57" t="n">
        <v>175</v>
      </c>
      <c r="BM1069" s="56" t="n">
        <v>-166.6</v>
      </c>
      <c r="BN1069" s="57" t="n">
        <v>3</v>
      </c>
      <c r="BO1069" s="55" t="s">
        <v>1250</v>
      </c>
      <c r="BP1069" s="60" t="n">
        <v>0</v>
      </c>
      <c r="BQ1069" s="60" t="n">
        <v>1069</v>
      </c>
      <c r="BR1069" s="55" t="str">
        <f aca="false">IF(U1069&lt;&gt;"",UPPER(TRIM(U1069)),IF(BU1069=1,UPPER(VLOOKUP(T1069,Parameter!$I$27:$K$29,2,0)),IF(P1069="","LOSE",P1069)))</f>
        <v>S61</v>
      </c>
      <c r="BS1069" s="57" t="n">
        <f aca="false">IF(BR1069="LOSE",1,IF(N(V1069)&gt;0,V1069,IF(BU1069=1,MAX(1,N(VLOOKUP(T1069,Parameter!$I$27:$K$29,3,0)),H1069,N(N1069)),IF(N(Q1069)&gt;0,Q1069,MAX(1,H1069)))))</f>
        <v>160</v>
      </c>
      <c r="BT1069" s="60" t="n">
        <f aca="false">IF(BR1069="LOSE",1,0)</f>
        <v>0</v>
      </c>
      <c r="BU1069" s="60" t="n">
        <f aca="false">IF(AND(U1069="",OR(P1069="",P1069="LOSE"),T1069&lt;&gt;"",N(S1069)&lt;=0,ISNUMBER(MATCH(T1069,Parameter!$I$27:$I$29,0))),1,0)</f>
        <v>0</v>
      </c>
      <c r="BV1069" s="55" t="str">
        <f aca="false">IF(AND(Parameter!$B$19="Ja",E1069&lt;&gt;"",ISNUMBER(MATCH(E1069,Parameter!$I$35:$I$52,0))),VLOOKUP(E1069,Parameter!$I$35:$J$52,2,0),IFERROR(VLOOKUP(D1069,Parameter!$A$35:$C$64,2,0),"Nein"))</f>
        <v>2+3</v>
      </c>
      <c r="BW1069" s="59" t="n">
        <f aca="false">IF(BT1069=0,0,IF(N(S1069)&gt;0,S1069,IFERROR(VLOOKUP(D1069,Parameter!$A$35:$C$64,3,0)+0,0)))</f>
        <v>0</v>
      </c>
      <c r="BX1069" s="55" t="n">
        <f aca="false">IF(AA1069&lt;&gt;"",AA1069,Z1069)</f>
        <v>2</v>
      </c>
      <c r="BY1069" s="55" t="str">
        <f aca="false">IF(BX1069=1,"L1",IF(OR(BX1069=2,BX1069=3),"L23",IF(BX1069="Aussen","Aussen","-")))</f>
        <v>L23</v>
      </c>
      <c r="BZ1069" s="66" t="n">
        <f aca="false">IF(N(AB1069)&gt;0,AB1069,0)</f>
        <v>0</v>
      </c>
      <c r="CA1069" s="60" t="n">
        <f aca="false">IF(ISNUMBER(AE1069),1,0)</f>
        <v>0</v>
      </c>
      <c r="CB1069" s="57" t="n">
        <f aca="false">N(AE1069)</f>
        <v>0</v>
      </c>
      <c r="CC1069" s="57" t="n">
        <f aca="false">N(M1069)+N(N1069)</f>
        <v>5</v>
      </c>
      <c r="CD1069" s="57" t="n">
        <f aca="false">ROUNDUP(H1069/BS1069,0)</f>
        <v>2</v>
      </c>
      <c r="CE1069" s="57" t="n">
        <f aca="false">ROUNDUP(CB1069/BS1069,0)</f>
        <v>0</v>
      </c>
      <c r="CF1069" s="60" t="n">
        <f aca="false">IF(BT1069=1,0,IFERROR(VLOOKUP(BR1069,'Gebinde-Kategorie'!$A$5:$M$45,5,0)+0,0))</f>
        <v>11</v>
      </c>
      <c r="CG1069" s="60" t="n">
        <f aca="false">IFERROR(IF(OR(BX1069=1,BX1069=2,BX1069=3),N(INDEX(Parameter!$I$5:$I$7,BX1069)),0),0)</f>
        <v>0</v>
      </c>
      <c r="CH1069" s="59" t="n">
        <f aca="false">IF(AND(Parameter!$B$21="Ja",ISNUMBER(W1069),N(X1069)&gt;0),IFERROR(N(INDEX(Parameter!$L$5:$L$7,W1069))*INDEX(Parameter!$E$5:$E$7,W1069)*X1069/SUMIFS($X$7:$X$1843,$W$7:$W$1843,W1069),0),0)</f>
        <v>0</v>
      </c>
    </row>
    <row r="1070" customFormat="false" ht="15" hidden="false" customHeight="false" outlineLevel="0" collapsed="false">
      <c r="A1070" s="55" t="s">
        <v>1954</v>
      </c>
      <c r="B1070" s="55" t="s">
        <v>1955</v>
      </c>
      <c r="C1070" s="55" t="s">
        <v>164</v>
      </c>
      <c r="D1070" s="55" t="s">
        <v>184</v>
      </c>
      <c r="E1070" s="55" t="s">
        <v>185</v>
      </c>
      <c r="F1070" s="55" t="s">
        <v>218</v>
      </c>
      <c r="G1070" s="56" t="n">
        <v>33.39</v>
      </c>
      <c r="H1070" s="57" t="n">
        <f aca="false">MAX(0,IF(AND(Parameter!$B$21="Ja",ISNUMBER(Y1070)),Y1070,IF(Parameter!$B$20="Jahresanfang 2025 + Export",BL1070+BK1070,BK1070)))</f>
        <v>33</v>
      </c>
      <c r="I1070" s="57" t="n">
        <f aca="false">H1070*G1070</f>
        <v>1101.87</v>
      </c>
      <c r="J1070" s="57" t="n">
        <f aca="false">BN1070*Parameter!$B$18</f>
        <v>0.25</v>
      </c>
      <c r="K1070" s="58" t="n">
        <v>37.875</v>
      </c>
      <c r="L1070" s="59" t="n">
        <v>0.0066006600660066</v>
      </c>
      <c r="M1070" s="57" t="n">
        <v>0</v>
      </c>
      <c r="N1070" s="57" t="n">
        <v>1</v>
      </c>
      <c r="O1070" s="60" t="n">
        <v>14</v>
      </c>
      <c r="P1070" s="55" t="s">
        <v>328</v>
      </c>
      <c r="Q1070" s="57" t="n">
        <v>40</v>
      </c>
      <c r="R1070" s="60" t="n">
        <f aca="false">IF(BT1070=1,0,IFERROR(VLOOKUP(BR1070,'Gebinde-Kategorie'!$A$5:$M$45,13,0)+0,0))</f>
        <v>52</v>
      </c>
      <c r="S1070" s="61"/>
      <c r="T1070" s="62"/>
      <c r="U1070" s="62"/>
      <c r="V1070" s="62"/>
      <c r="W1070" s="55"/>
      <c r="X1070" s="57"/>
      <c r="Y1070" s="57"/>
      <c r="Z1070" s="55" t="n">
        <f aca="false">IF(A1070="","",IF(AND(Parameter!$B$21="Ja",ISNUMBER(W1070)),W1070,IF(BV1070="2+3",IF(ISNUMBER(SEARCH("grosser Artikel",BO1070)),2,IFERROR(VLOOKUP(BR1070,Parameter!$F$35:$G$64,2,0),2)),IF(OR(BV1070="Nein",BV1070=""),"-",BV1070))))</f>
        <v>3</v>
      </c>
      <c r="AA1070" s="62"/>
      <c r="AB1070" s="63"/>
      <c r="AC1070" s="57" t="n">
        <f aca="false">AR1070</f>
        <v>40</v>
      </c>
      <c r="AD1070" s="57" t="n">
        <f aca="false">MAX(AR1070,H1070)</f>
        <v>40</v>
      </c>
      <c r="AE1070" s="64"/>
      <c r="AF1070" s="57" t="n">
        <f aca="false">IF(LEFT(Cockpit!$C$5,1)="A",H1070,IF(CA1070=1,CB1070,IF(LEFT(Cockpit!$C$5,1)="B",AJ1070,MAX(AJ1070,H1070))))</f>
        <v>33</v>
      </c>
      <c r="AG1070" s="57" t="n">
        <f aca="false">IF(BT1070=1,0,ROUNDUP(AF1070/BS1070,0))</f>
        <v>1</v>
      </c>
      <c r="AH1070" s="59" t="n">
        <f aca="false">IF(CH1070&gt;0,CH1070*MAX(1,AF1070/X1070),IF(BT1070=1,IF(AF1070&lt;=0,0,BW1070*MAX(1,IF(H1070&gt;0,AF1070/H1070,1))),IF(R1070&gt;0,AG1070/R1070,0))/MAX(0.1,N(Parameter!$M$21)))</f>
        <v>0.0192307692307692</v>
      </c>
      <c r="AI1070" s="57" t="n">
        <f aca="false">AF1070*G1070</f>
        <v>1101.87</v>
      </c>
      <c r="AJ1070" s="57" t="n">
        <f aca="false">ROUNDUP(MAX(J1070/IF(BZ1070&gt;0,BZ1070,MAX(0.1,N(Cockpit!$C$6))),CC1070)/BS1070,0)*BS1070</f>
        <v>40</v>
      </c>
      <c r="AK1070" s="58" t="n">
        <f aca="false">IF(AH1070&gt;0,J1070/AH1070,-1)</f>
        <v>13</v>
      </c>
      <c r="AL1070" s="58" t="n">
        <f aca="false">IF(AND(OR(BY1070="L1",BY1070="L23"),AH1070&gt;0),SUMIFS($AH$7:$AH$1843,$BY$7:$BY$1843,BY1070,$AK$7:$AK$1843,"&gt;"&amp;AK1070)+SUMIFS($AH$7:$AH$1843,$BY$7:$BY$1843,BY1070,$AK$7:$AK$1843,AK1070,$BQ$7:$BQ$1843,"&lt;="&amp;BQ1070),"")</f>
        <v>53.7035657579136</v>
      </c>
      <c r="AM1070" s="65" t="n">
        <f aca="false">IF(AL1070="",0,MAX(0,MIN(1,(IF(BY1070="L1",Parameter!$E$5,Parameter!$E$6+Parameter!$E$7)-(AL1070-AH1070))/AH1070)))</f>
        <v>1</v>
      </c>
      <c r="AN1070" s="57" t="n">
        <f aca="false">IF(LEFT(Cockpit!$I$5,1)="A",H1070,IF(CA1070=1,CB1070,IF(LEFT(Cockpit!$I$5,1)="B",AR1070,MAX(AR1070,H1070))))</f>
        <v>40</v>
      </c>
      <c r="AO1070" s="57" t="n">
        <f aca="false">IF(BT1070=1,0,ROUNDUP(AN1070/BS1070,0))</f>
        <v>1</v>
      </c>
      <c r="AP1070" s="59" t="n">
        <f aca="false">IF(CH1070&gt;0,CH1070*MAX(1,AN1070/X1070),IF(BT1070=1,IF(AN1070&lt;=0,0,BW1070*MAX(1,IF(H1070&gt;0,AN1070/H1070,1))),IF(R1070&gt;0,AO1070/R1070,0))/MAX(0.1,N(Parameter!$M$21)))</f>
        <v>0.0192307692307692</v>
      </c>
      <c r="AQ1070" s="57" t="n">
        <f aca="false">AN1070*G1070</f>
        <v>1335.6</v>
      </c>
      <c r="AR1070" s="57" t="n">
        <f aca="false">ROUNDUP(MAX(J1070/IF(BZ1070&gt;0,BZ1070,MAX(0.1,N(Cockpit!$I$6))),CC1070)/BS1070,0)*BS1070</f>
        <v>40</v>
      </c>
      <c r="AS1070" s="58" t="n">
        <f aca="false">IF(AP1070&gt;0,J1070/AP1070,-1)</f>
        <v>13</v>
      </c>
      <c r="AT1070" s="58" t="n">
        <f aca="false">IF(AND(OR(BY1070="L1",BY1070="L23"),AP1070&gt;0),SUMIFS($AP$7:$AP$1843,$BY$7:$BY$1843,BY1070,$AS$7:$AS$1843,"&gt;"&amp;AS1070)+SUMIFS($AP$7:$AP$1843,$BY$7:$BY$1843,BY1070,$AS$7:$AS$1843,AS1070,$BQ$7:$BQ$1843,"&lt;="&amp;BQ1070),"")</f>
        <v>80.7110232762407</v>
      </c>
      <c r="AU1070" s="65" t="n">
        <f aca="false">IF(AT1070="",0,MAX(0,MIN(1,(IF(BY1070="L1",Parameter!$E$5,Parameter!$E$6+Parameter!$E$7)-(AT1070-AP1070))/AP1070)))</f>
        <v>1</v>
      </c>
      <c r="AV1070" s="57" t="n">
        <f aca="false">IF(LEFT(Cockpit!$O$5,1)="A",H1070,IF(CA1070=1,CB1070,IF(LEFT(Cockpit!$O$5,1)="B",AZ1070,MAX(AZ1070,H1070))))</f>
        <v>40</v>
      </c>
      <c r="AW1070" s="57" t="n">
        <f aca="false">IF(BT1070=1,0,ROUNDUP(AV1070/BS1070,0))</f>
        <v>1</v>
      </c>
      <c r="AX1070" s="59" t="n">
        <f aca="false">IF(CH1070&gt;0,CH1070*MAX(1,AV1070/X1070),IF(BT1070=1,IF(AV1070&lt;=0,0,BW1070*MAX(1,IF(H1070&gt;0,AV1070/H1070,1))),IF(R1070&gt;0,AW1070/R1070,0))/MAX(0.1,N(Parameter!$M$21)))</f>
        <v>0.0192307692307692</v>
      </c>
      <c r="AY1070" s="57" t="n">
        <f aca="false">AV1070*G1070</f>
        <v>1335.6</v>
      </c>
      <c r="AZ1070" s="57" t="n">
        <f aca="false">ROUNDUP(MAX(J1070/IF(BZ1070&gt;0,BZ1070,MAX(0.1,N(Cockpit!$O$6))),CC1070)/BS1070,0)*BS1070</f>
        <v>40</v>
      </c>
      <c r="BA1070" s="58" t="n">
        <f aca="false">IF(AX1070&gt;0,J1070/AX1070,-1)</f>
        <v>13</v>
      </c>
      <c r="BB1070" s="58" t="n">
        <f aca="false">IF(AND(OR(BY1070="L1",BY1070="L23"),AX1070&gt;0),SUMIFS($AX$7:$AX$1843,$BY$7:$BY$1843,BY1070,$BA$7:$BA$1843,"&gt;"&amp;BA1070)+SUMIFS($AX$7:$AX$1843,$BY$7:$BY$1843,BY1070,$BA$7:$BA$1843,BA1070,$BQ$7:$BQ$1843,"&lt;="&amp;BQ1070),"")</f>
        <v>80.2075267727442</v>
      </c>
      <c r="BC1070" s="65" t="n">
        <f aca="false">IF(BB1070="",0,MAX(0,MIN(1,(IF(BY1070="L1",Parameter!$E$5,Parameter!$E$6+Parameter!$E$7)-(BB1070-AX1070))/AX1070)))</f>
        <v>1</v>
      </c>
      <c r="BD1070" s="55" t="str">
        <f aca="false">IF(AH1070&lt;=0,"",IF(BY1070="Aussen","Aussenlager",IF(BY1070="-","Nicht im Lift",IF(AM1070&gt;=1,"Lift",IF(AM1070&lt;=0,"Aussenlager","teilweise")))))</f>
        <v>Lift</v>
      </c>
      <c r="BE1070" s="55" t="str">
        <f aca="false">IF(AP1070&lt;=0,"",IF(BY1070="Aussen","Aussenlager",IF(BY1070="-","Nicht im Lift",IF(AU1070&gt;=1,"Lift",IF(AU1070&lt;=0,"Aussenlager","teilweise")))))</f>
        <v>Lift</v>
      </c>
      <c r="BF1070" s="55" t="str">
        <f aca="false">IF(AX1070&lt;=0,"",IF(BY1070="Aussen","Aussenlager",IF(BY1070="-","Nicht im Lift",IF(BC1070&gt;=1,"Lift",IF(BC1070&lt;=0,"Aussenlager","teilweise")))))</f>
        <v>Lift</v>
      </c>
      <c r="BG1070" s="55" t="str">
        <f aca="false">IF(A1070="","",IF(BP1070=1,"Neu; ","")&amp;IF(AND(BP1070=0,BK1070&lt;0),"negativer Bestand (Export "&amp;BK1070&amp;"); ","")&amp;IF(J1070&lt;=0,"Kein Verbrauch; ","")&amp;IF(CH1070&gt;0,"Lift "&amp;W1070&amp;" lt. Liftbericht (Fach "&amp;X1070&amp;" Stk); ",IF(BU1070=1,"Gebinde geschätzt ("&amp;T1070&amp;"); ",IF(BT1070=1,"Lose – Tablare geschätzt; ","")))&amp;IF(H1070&gt;AR1070,"Überbestand "&amp;ROUND(H1070-AR1070,0)&amp;" Stk / CHF "&amp;ROUND((H1070-AR1070)*G1070,0)&amp;"; ","")&amp;IF(AND(CA1070=1,CB1070&lt;CC1070),"MAX &lt; MB+LG; ","")&amp;IF(AND(CG1070&gt;0,CF1070*10&gt;CG1070),"zu hoch für Tablar; ","")&amp;IF(AND(BP1070=0,OR(CA1070=1,AA1070&lt;&gt;"",U1070&lt;&gt;"",V1070&lt;&gt;"",AB1070&lt;&gt;"")),"manuell übersteuert; ","")&amp;IF(AND(BT1070=0,R1070=0),"Gebinde unbekannt / Stellmass fehlt; ","")&amp;IF(AND(BT1070=0,N(V1070)&lt;=0,N(Q1070)&lt;=0),"Menge pro Gebinde fehlt (Ist = 1 Gebinde); ","")&amp;BO1070)</f>
        <v>negativer Bestand (Export -5); Verb.Lager</v>
      </c>
      <c r="BH1070" s="55"/>
      <c r="BI1070" s="55"/>
      <c r="BJ1070" s="62"/>
      <c r="BK1070" s="57" t="n">
        <v>-5</v>
      </c>
      <c r="BL1070" s="57" t="n">
        <v>38</v>
      </c>
      <c r="BM1070" s="56" t="n">
        <v>-166.95</v>
      </c>
      <c r="BN1070" s="57" t="n">
        <v>0.25</v>
      </c>
      <c r="BO1070" s="55" t="s">
        <v>1030</v>
      </c>
      <c r="BP1070" s="60" t="n">
        <v>0</v>
      </c>
      <c r="BQ1070" s="60" t="n">
        <v>1070</v>
      </c>
      <c r="BR1070" s="55" t="str">
        <f aca="false">IF(U1070&lt;&gt;"",UPPER(TRIM(U1070)),IF(BU1070=1,UPPER(VLOOKUP(T1070,Parameter!$I$27:$K$29,2,0)),IF(P1070="","LOSE",P1070)))</f>
        <v>S41</v>
      </c>
      <c r="BS1070" s="57" t="n">
        <f aca="false">IF(BR1070="LOSE",1,IF(N(V1070)&gt;0,V1070,IF(BU1070=1,MAX(1,N(VLOOKUP(T1070,Parameter!$I$27:$K$29,3,0)),H1070,N(N1070)),IF(N(Q1070)&gt;0,Q1070,MAX(1,H1070)))))</f>
        <v>40</v>
      </c>
      <c r="BT1070" s="60" t="n">
        <f aca="false">IF(BR1070="LOSE",1,0)</f>
        <v>0</v>
      </c>
      <c r="BU1070" s="60" t="n">
        <f aca="false">IF(AND(U1070="",OR(P1070="",P1070="LOSE"),T1070&lt;&gt;"",N(S1070)&lt;=0,ISNUMBER(MATCH(T1070,Parameter!$I$27:$I$29,0))),1,0)</f>
        <v>0</v>
      </c>
      <c r="BV1070" s="55" t="str">
        <f aca="false">IF(AND(Parameter!$B$19="Ja",E1070&lt;&gt;"",ISNUMBER(MATCH(E1070,Parameter!$I$35:$I$52,0))),VLOOKUP(E1070,Parameter!$I$35:$J$52,2,0),IFERROR(VLOOKUP(D1070,Parameter!$A$35:$C$64,2,0),"Nein"))</f>
        <v>2+3</v>
      </c>
      <c r="BW1070" s="59" t="n">
        <f aca="false">IF(BT1070=0,0,IF(N(S1070)&gt;0,S1070,IFERROR(VLOOKUP(D1070,Parameter!$A$35:$C$64,3,0)+0,0)))</f>
        <v>0</v>
      </c>
      <c r="BX1070" s="55" t="n">
        <f aca="false">IF(AA1070&lt;&gt;"",AA1070,Z1070)</f>
        <v>3</v>
      </c>
      <c r="BY1070" s="55" t="str">
        <f aca="false">IF(BX1070=1,"L1",IF(OR(BX1070=2,BX1070=3),"L23",IF(BX1070="Aussen","Aussen","-")))</f>
        <v>L23</v>
      </c>
      <c r="BZ1070" s="66" t="n">
        <f aca="false">IF(N(AB1070)&gt;0,AB1070,0)</f>
        <v>0</v>
      </c>
      <c r="CA1070" s="60" t="n">
        <f aca="false">IF(ISNUMBER(AE1070),1,0)</f>
        <v>0</v>
      </c>
      <c r="CB1070" s="57" t="n">
        <f aca="false">N(AE1070)</f>
        <v>0</v>
      </c>
      <c r="CC1070" s="57" t="n">
        <f aca="false">N(M1070)+N(N1070)</f>
        <v>1</v>
      </c>
      <c r="CD1070" s="57" t="n">
        <f aca="false">ROUNDUP(H1070/BS1070,0)</f>
        <v>1</v>
      </c>
      <c r="CE1070" s="57" t="n">
        <f aca="false">ROUNDUP(CB1070/BS1070,0)</f>
        <v>0</v>
      </c>
      <c r="CF1070" s="60" t="n">
        <f aca="false">IF(BT1070=1,0,IFERROR(VLOOKUP(BR1070,'Gebinde-Kategorie'!$A$5:$M$45,5,0)+0,0))</f>
        <v>11</v>
      </c>
      <c r="CG1070" s="60" t="n">
        <f aca="false">IFERROR(IF(OR(BX1070=1,BX1070=2,BX1070=3),N(INDEX(Parameter!$I$5:$I$7,BX1070)),0),0)</f>
        <v>0</v>
      </c>
      <c r="CH1070" s="59" t="n">
        <f aca="false">IF(AND(Parameter!$B$21="Ja",ISNUMBER(W1070),N(X1070)&gt;0),IFERROR(N(INDEX(Parameter!$L$5:$L$7,W1070))*INDEX(Parameter!$E$5:$E$7,W1070)*X1070/SUMIFS($X$7:$X$1843,$W$7:$W$1843,W1070),0),0)</f>
        <v>0</v>
      </c>
    </row>
    <row r="1071" customFormat="false" ht="15" hidden="false" customHeight="false" outlineLevel="0" collapsed="false">
      <c r="A1071" s="55" t="s">
        <v>1956</v>
      </c>
      <c r="B1071" s="55" t="s">
        <v>1957</v>
      </c>
      <c r="C1071" s="55" t="s">
        <v>164</v>
      </c>
      <c r="D1071" s="55" t="s">
        <v>173</v>
      </c>
      <c r="E1071" s="55" t="s">
        <v>185</v>
      </c>
      <c r="F1071" s="55" t="s">
        <v>218</v>
      </c>
      <c r="G1071" s="56" t="n">
        <v>14.64</v>
      </c>
      <c r="H1071" s="57" t="n">
        <f aca="false">MAX(0,IF(AND(Parameter!$B$21="Ja",ISNUMBER(Y1071)),Y1071,IF(Parameter!$B$20="Jahresanfang 2025 + Export",BL1071+BK1071,BK1071)))</f>
        <v>18</v>
      </c>
      <c r="I1071" s="57" t="n">
        <f aca="false">H1071*G1071</f>
        <v>263.52</v>
      </c>
      <c r="J1071" s="57" t="n">
        <f aca="false">BN1071*Parameter!$B$18</f>
        <v>98</v>
      </c>
      <c r="K1071" s="58" t="n">
        <v>28.5</v>
      </c>
      <c r="L1071" s="59" t="n">
        <v>3.43859649122807</v>
      </c>
      <c r="M1071" s="57" t="n">
        <v>5</v>
      </c>
      <c r="N1071" s="57" t="n">
        <v>25</v>
      </c>
      <c r="O1071" s="60" t="n">
        <v>21</v>
      </c>
      <c r="P1071" s="55" t="s">
        <v>168</v>
      </c>
      <c r="Q1071" s="57"/>
      <c r="R1071" s="60" t="n">
        <f aca="false">IF(BT1071=1,0,IFERROR(VLOOKUP(BR1071,'Gebinde-Kategorie'!$A$5:$M$45,13,0)+0,0))</f>
        <v>12</v>
      </c>
      <c r="S1071" s="61"/>
      <c r="T1071" s="62" t="s">
        <v>179</v>
      </c>
      <c r="U1071" s="62"/>
      <c r="V1071" s="62"/>
      <c r="W1071" s="55"/>
      <c r="X1071" s="57"/>
      <c r="Y1071" s="57"/>
      <c r="Z1071" s="55" t="n">
        <f aca="false">IF(A1071="","",IF(AND(Parameter!$B$21="Ja",ISNUMBER(W1071)),W1071,IF(BV1071="2+3",IF(ISNUMBER(SEARCH("grosser Artikel",BO1071)),2,IFERROR(VLOOKUP(BR1071,Parameter!$F$35:$G$64,2,0),2)),IF(OR(BV1071="Nein",BV1071=""),"-",BV1071))))</f>
        <v>2</v>
      </c>
      <c r="AA1071" s="62"/>
      <c r="AB1071" s="63"/>
      <c r="AC1071" s="57" t="n">
        <f aca="false">AR1071</f>
        <v>50</v>
      </c>
      <c r="AD1071" s="57" t="n">
        <f aca="false">MAX(AR1071,H1071)</f>
        <v>50</v>
      </c>
      <c r="AE1071" s="64"/>
      <c r="AF1071" s="57" t="n">
        <f aca="false">IF(LEFT(Cockpit!$C$5,1)="A",H1071,IF(CA1071=1,CB1071,IF(LEFT(Cockpit!$C$5,1)="B",AJ1071,MAX(AJ1071,H1071))))</f>
        <v>18</v>
      </c>
      <c r="AG1071" s="57" t="n">
        <f aca="false">IF(BT1071=1,0,ROUNDUP(AF1071/BS1071,0))</f>
        <v>1</v>
      </c>
      <c r="AH1071" s="59" t="n">
        <f aca="false">IF(CH1071&gt;0,CH1071*MAX(1,AF1071/X1071),IF(BT1071=1,IF(AF1071&lt;=0,0,BW1071*MAX(1,IF(H1071&gt;0,AF1071/H1071,1))),IF(R1071&gt;0,AG1071/R1071,0))/MAX(0.1,N(Parameter!$M$21)))</f>
        <v>0.0833333333333333</v>
      </c>
      <c r="AI1071" s="57" t="n">
        <f aca="false">AF1071*G1071</f>
        <v>263.52</v>
      </c>
      <c r="AJ1071" s="57" t="n">
        <f aca="false">ROUNDUP(MAX(J1071/IF(BZ1071&gt;0,BZ1071,MAX(0.1,N(Cockpit!$C$6))),CC1071)/BS1071,0)*BS1071</f>
        <v>50</v>
      </c>
      <c r="AK1071" s="58" t="n">
        <f aca="false">IF(AH1071&gt;0,J1071/AH1071,-1)</f>
        <v>1176</v>
      </c>
      <c r="AL1071" s="58" t="n">
        <f aca="false">IF(AND(OR(BY1071="L1",BY1071="L23"),AH1071&gt;0),SUMIFS($AH$7:$AH$1843,$BY$7:$BY$1843,BY1071,$AK$7:$AK$1843,"&gt;"&amp;AK1071)+SUMIFS($AH$7:$AH$1843,$BY$7:$BY$1843,BY1071,$AK$7:$AK$1843,AK1071,$BQ$7:$BQ$1843,"&lt;="&amp;BQ1071),"")</f>
        <v>16.770801662106</v>
      </c>
      <c r="AM1071" s="65" t="n">
        <f aca="false">IF(AL1071="",0,MAX(0,MIN(1,(IF(BY1071="L1",Parameter!$E$5,Parameter!$E$6+Parameter!$E$7)-(AL1071-AH1071))/AH1071)))</f>
        <v>1</v>
      </c>
      <c r="AN1071" s="57" t="n">
        <f aca="false">IF(LEFT(Cockpit!$I$5,1)="A",H1071,IF(CA1071=1,CB1071,IF(LEFT(Cockpit!$I$5,1)="B",AR1071,MAX(AR1071,H1071))))</f>
        <v>50</v>
      </c>
      <c r="AO1071" s="57" t="n">
        <f aca="false">IF(BT1071=1,0,ROUNDUP(AN1071/BS1071,0))</f>
        <v>2</v>
      </c>
      <c r="AP1071" s="59" t="n">
        <f aca="false">IF(CH1071&gt;0,CH1071*MAX(1,AN1071/X1071),IF(BT1071=1,IF(AN1071&lt;=0,0,BW1071*MAX(1,IF(H1071&gt;0,AN1071/H1071,1))),IF(R1071&gt;0,AO1071/R1071,0))/MAX(0.1,N(Parameter!$M$21)))</f>
        <v>0.166666666666667</v>
      </c>
      <c r="AQ1071" s="57" t="n">
        <f aca="false">AN1071*G1071</f>
        <v>732</v>
      </c>
      <c r="AR1071" s="57" t="n">
        <f aca="false">ROUNDUP(MAX(J1071/IF(BZ1071&gt;0,BZ1071,MAX(0.1,N(Cockpit!$I$6))),CC1071)/BS1071,0)*BS1071</f>
        <v>50</v>
      </c>
      <c r="AS1071" s="58" t="n">
        <f aca="false">IF(AP1071&gt;0,J1071/AP1071,-1)</f>
        <v>588</v>
      </c>
      <c r="AT1071" s="58" t="n">
        <f aca="false">IF(AND(OR(BY1071="L1",BY1071="L23"),AP1071&gt;0),SUMIFS($AP$7:$AP$1843,$BY$7:$BY$1843,BY1071,$AS$7:$AS$1843,"&gt;"&amp;AS1071)+SUMIFS($AP$7:$AP$1843,$BY$7:$BY$1843,BY1071,$AS$7:$AS$1843,AS1071,$BQ$7:$BQ$1843,"&lt;="&amp;BQ1071),"")</f>
        <v>31.2115300158778</v>
      </c>
      <c r="AU1071" s="65" t="n">
        <f aca="false">IF(AT1071="",0,MAX(0,MIN(1,(IF(BY1071="L1",Parameter!$E$5,Parameter!$E$6+Parameter!$E$7)-(AT1071-AP1071))/AP1071)))</f>
        <v>1</v>
      </c>
      <c r="AV1071" s="57" t="n">
        <f aca="false">IF(LEFT(Cockpit!$O$5,1)="A",H1071,IF(CA1071=1,CB1071,IF(LEFT(Cockpit!$O$5,1)="B",AZ1071,MAX(AZ1071,H1071))))</f>
        <v>50</v>
      </c>
      <c r="AW1071" s="57" t="n">
        <f aca="false">IF(BT1071=1,0,ROUNDUP(AV1071/BS1071,0))</f>
        <v>2</v>
      </c>
      <c r="AX1071" s="59" t="n">
        <f aca="false">IF(CH1071&gt;0,CH1071*MAX(1,AV1071/X1071),IF(BT1071=1,IF(AV1071&lt;=0,0,BW1071*MAX(1,IF(H1071&gt;0,AV1071/H1071,1))),IF(R1071&gt;0,AW1071/R1071,0))/MAX(0.1,N(Parameter!$M$21)))</f>
        <v>0.166666666666667</v>
      </c>
      <c r="AY1071" s="57" t="n">
        <f aca="false">AV1071*G1071</f>
        <v>732</v>
      </c>
      <c r="AZ1071" s="57" t="n">
        <f aca="false">ROUNDUP(MAX(J1071/IF(BZ1071&gt;0,BZ1071,MAX(0.1,N(Cockpit!$O$6))),CC1071)/BS1071,0)*BS1071</f>
        <v>50</v>
      </c>
      <c r="BA1071" s="58" t="n">
        <f aca="false">IF(AX1071&gt;0,J1071/AX1071,-1)</f>
        <v>588</v>
      </c>
      <c r="BB1071" s="58" t="n">
        <f aca="false">IF(AND(OR(BY1071="L1",BY1071="L23"),AX1071&gt;0),SUMIFS($AX$7:$AX$1843,$BY$7:$BY$1843,BY1071,$BA$7:$BA$1843,"&gt;"&amp;BA1071)+SUMIFS($AX$7:$AX$1843,$BY$7:$BY$1843,BY1071,$BA$7:$BA$1843,BA1071,$BQ$7:$BQ$1843,"&lt;="&amp;BQ1071),"")</f>
        <v>29.6118796662275</v>
      </c>
      <c r="BC1071" s="65" t="n">
        <f aca="false">IF(BB1071="",0,MAX(0,MIN(1,(IF(BY1071="L1",Parameter!$E$5,Parameter!$E$6+Parameter!$E$7)-(BB1071-AX1071))/AX1071)))</f>
        <v>1</v>
      </c>
      <c r="BD1071" s="55" t="str">
        <f aca="false">IF(AH1071&lt;=0,"",IF(BY1071="Aussen","Aussenlager",IF(BY1071="-","Nicht im Lift",IF(AM1071&gt;=1,"Lift",IF(AM1071&lt;=0,"Aussenlager","teilweise")))))</f>
        <v>Lift</v>
      </c>
      <c r="BE1071" s="55" t="str">
        <f aca="false">IF(AP1071&lt;=0,"",IF(BY1071="Aussen","Aussenlager",IF(BY1071="-","Nicht im Lift",IF(AU1071&gt;=1,"Lift",IF(AU1071&lt;=0,"Aussenlager","teilweise")))))</f>
        <v>Lift</v>
      </c>
      <c r="BF1071" s="55" t="str">
        <f aca="false">IF(AX1071&lt;=0,"",IF(BY1071="Aussen","Aussenlager",IF(BY1071="-","Nicht im Lift",IF(BC1071&gt;=1,"Lift",IF(BC1071&lt;=0,"Aussenlager","teilweise")))))</f>
        <v>Lift</v>
      </c>
      <c r="BG1071" s="55" t="str">
        <f aca="false">IF(A1071="","",IF(BP1071=1,"Neu; ","")&amp;IF(AND(BP1071=0,BK1071&lt;0),"negativer Bestand (Export "&amp;BK1071&amp;"); ","")&amp;IF(J1071&lt;=0,"Kein Verbrauch; ","")&amp;IF(CH1071&gt;0,"Lift "&amp;W1071&amp;" lt. Liftbericht (Fach "&amp;X1071&amp;" Stk); ",IF(BU1071=1,"Gebinde geschätzt ("&amp;T1071&amp;"); ",IF(BT1071=1,"Lose – Tablare geschätzt; ","")))&amp;IF(H1071&gt;AR1071,"Überbestand "&amp;ROUND(H1071-AR1071,0)&amp;" Stk / CHF "&amp;ROUND((H1071-AR1071)*G1071,0)&amp;"; ","")&amp;IF(AND(CA1071=1,CB1071&lt;CC1071),"MAX &lt; MB+LG; ","")&amp;IF(AND(CG1071&gt;0,CF1071*10&gt;CG1071),"zu hoch für Tablar; ","")&amp;IF(AND(BP1071=0,OR(CA1071=1,AA1071&lt;&gt;"",U1071&lt;&gt;"",V1071&lt;&gt;"",AB1071&lt;&gt;"")),"manuell übersteuert; ","")&amp;IF(AND(BT1071=0,R1071=0),"Gebinde unbekannt / Stellmass fehlt; ","")&amp;IF(AND(BT1071=0,N(V1071)&lt;=0,N(Q1071)&lt;=0),"Menge pro Gebinde fehlt (Ist = 1 Gebinde); ","")&amp;BO1071)</f>
        <v>negativer Bestand (Export -11); Gebinde geschätzt (Mittel); Menge pro Gebinde fehlt (Ist = 1 Gebinde); grosser Artikel &amp; nicht im KTL</v>
      </c>
      <c r="BH1071" s="55"/>
      <c r="BI1071" s="55"/>
      <c r="BJ1071" s="62"/>
      <c r="BK1071" s="57" t="n">
        <v>-11</v>
      </c>
      <c r="BL1071" s="57" t="n">
        <v>29</v>
      </c>
      <c r="BM1071" s="56" t="n">
        <v>-167.13</v>
      </c>
      <c r="BN1071" s="57" t="n">
        <v>98</v>
      </c>
      <c r="BO1071" s="55" t="s">
        <v>261</v>
      </c>
      <c r="BP1071" s="60" t="n">
        <v>0</v>
      </c>
      <c r="BQ1071" s="60" t="n">
        <v>1071</v>
      </c>
      <c r="BR1071" s="55" t="str">
        <f aca="false">IF(U1071&lt;&gt;"",UPPER(TRIM(U1071)),IF(BU1071=1,UPPER(VLOOKUP(T1071,Parameter!$I$27:$K$29,2,0)),IF(P1071="","LOSE",P1071)))</f>
        <v>S61</v>
      </c>
      <c r="BS1071" s="57" t="n">
        <f aca="false">IF(BR1071="LOSE",1,IF(N(V1071)&gt;0,V1071,IF(BU1071=1,MAX(1,N(VLOOKUP(T1071,Parameter!$I$27:$K$29,3,0)),H1071,N(N1071)),IF(N(Q1071)&gt;0,Q1071,MAX(1,H1071)))))</f>
        <v>25</v>
      </c>
      <c r="BT1071" s="60" t="n">
        <f aca="false">IF(BR1071="LOSE",1,0)</f>
        <v>0</v>
      </c>
      <c r="BU1071" s="60" t="n">
        <f aca="false">IF(AND(U1071="",OR(P1071="",P1071="LOSE"),T1071&lt;&gt;"",N(S1071)&lt;=0,ISNUMBER(MATCH(T1071,Parameter!$I$27:$I$29,0))),1,0)</f>
        <v>1</v>
      </c>
      <c r="BV1071" s="55" t="str">
        <f aca="false">IF(AND(Parameter!$B$19="Ja",E1071&lt;&gt;"",ISNUMBER(MATCH(E1071,Parameter!$I$35:$I$52,0))),VLOOKUP(E1071,Parameter!$I$35:$J$52,2,0),IFERROR(VLOOKUP(D1071,Parameter!$A$35:$C$64,2,0),"Nein"))</f>
        <v>2+3</v>
      </c>
      <c r="BW1071" s="59" t="n">
        <f aca="false">IF(BT1071=0,0,IF(N(S1071)&gt;0,S1071,IFERROR(VLOOKUP(D1071,Parameter!$A$35:$C$64,3,0)+0,0)))</f>
        <v>0</v>
      </c>
      <c r="BX1071" s="55" t="n">
        <f aca="false">IF(AA1071&lt;&gt;"",AA1071,Z1071)</f>
        <v>2</v>
      </c>
      <c r="BY1071" s="55" t="str">
        <f aca="false">IF(BX1071=1,"L1",IF(OR(BX1071=2,BX1071=3),"L23",IF(BX1071="Aussen","Aussen","-")))</f>
        <v>L23</v>
      </c>
      <c r="BZ1071" s="66" t="n">
        <f aca="false">IF(N(AB1071)&gt;0,AB1071,0)</f>
        <v>0</v>
      </c>
      <c r="CA1071" s="60" t="n">
        <f aca="false">IF(ISNUMBER(AE1071),1,0)</f>
        <v>0</v>
      </c>
      <c r="CB1071" s="57" t="n">
        <f aca="false">N(AE1071)</f>
        <v>0</v>
      </c>
      <c r="CC1071" s="57" t="n">
        <f aca="false">N(M1071)+N(N1071)</f>
        <v>30</v>
      </c>
      <c r="CD1071" s="57" t="n">
        <f aca="false">ROUNDUP(H1071/BS1071,0)</f>
        <v>1</v>
      </c>
      <c r="CE1071" s="57" t="n">
        <f aca="false">ROUNDUP(CB1071/BS1071,0)</f>
        <v>0</v>
      </c>
      <c r="CF1071" s="60" t="n">
        <f aca="false">IF(BT1071=1,0,IFERROR(VLOOKUP(BR1071,'Gebinde-Kategorie'!$A$5:$M$45,5,0)+0,0))</f>
        <v>11</v>
      </c>
      <c r="CG1071" s="60" t="n">
        <f aca="false">IFERROR(IF(OR(BX1071=1,BX1071=2,BX1071=3),N(INDEX(Parameter!$I$5:$I$7,BX1071)),0),0)</f>
        <v>0</v>
      </c>
      <c r="CH1071" s="59" t="n">
        <f aca="false">IF(AND(Parameter!$B$21="Ja",ISNUMBER(W1071),N(X1071)&gt;0),IFERROR(N(INDEX(Parameter!$L$5:$L$7,W1071))*INDEX(Parameter!$E$5:$E$7,W1071)*X1071/SUMIFS($X$7:$X$1843,$W$7:$W$1843,W1071),0),0)</f>
        <v>0</v>
      </c>
    </row>
    <row r="1072" customFormat="false" ht="15" hidden="false" customHeight="false" outlineLevel="0" collapsed="false">
      <c r="A1072" s="55" t="s">
        <v>1958</v>
      </c>
      <c r="B1072" s="55" t="s">
        <v>1959</v>
      </c>
      <c r="C1072" s="55" t="s">
        <v>164</v>
      </c>
      <c r="D1072" s="55" t="s">
        <v>173</v>
      </c>
      <c r="E1072" s="55" t="s">
        <v>185</v>
      </c>
      <c r="F1072" s="55" t="s">
        <v>218</v>
      </c>
      <c r="G1072" s="56" t="n">
        <v>168</v>
      </c>
      <c r="H1072" s="57" t="n">
        <f aca="false">MAX(0,IF(AND(Parameter!$B$21="Ja",ISNUMBER(Y1072)),Y1072,IF(Parameter!$B$20="Jahresanfang 2025 + Export",BL1072+BK1072,BK1072)))</f>
        <v>23</v>
      </c>
      <c r="I1072" s="57" t="n">
        <f aca="false">H1072*G1072</f>
        <v>3864</v>
      </c>
      <c r="J1072" s="57" t="n">
        <f aca="false">BN1072*Parameter!$B$18</f>
        <v>1</v>
      </c>
      <c r="K1072" s="58" t="n">
        <v>23.5</v>
      </c>
      <c r="L1072" s="59" t="n">
        <v>0.0425531914893617</v>
      </c>
      <c r="M1072" s="57" t="n">
        <v>0</v>
      </c>
      <c r="N1072" s="57" t="n">
        <v>1</v>
      </c>
      <c r="O1072" s="60" t="n">
        <v>14</v>
      </c>
      <c r="P1072" s="55" t="s">
        <v>168</v>
      </c>
      <c r="Q1072" s="57"/>
      <c r="R1072" s="60" t="n">
        <f aca="false">IF(BT1072=1,0,IFERROR(VLOOKUP(BR1072,'Gebinde-Kategorie'!$A$5:$M$45,13,0)+0,0))</f>
        <v>12</v>
      </c>
      <c r="S1072" s="61"/>
      <c r="T1072" s="62" t="s">
        <v>179</v>
      </c>
      <c r="U1072" s="62"/>
      <c r="V1072" s="62"/>
      <c r="W1072" s="55"/>
      <c r="X1072" s="57"/>
      <c r="Y1072" s="57"/>
      <c r="Z1072" s="55" t="n">
        <f aca="false">IF(A1072="","",IF(AND(Parameter!$B$21="Ja",ISNUMBER(W1072)),W1072,IF(BV1072="2+3",IF(ISNUMBER(SEARCH("grosser Artikel",BO1072)),2,IFERROR(VLOOKUP(BR1072,Parameter!$F$35:$G$64,2,0),2)),IF(OR(BV1072="Nein",BV1072=""),"-",BV1072))))</f>
        <v>2</v>
      </c>
      <c r="AA1072" s="62"/>
      <c r="AB1072" s="63"/>
      <c r="AC1072" s="57" t="n">
        <f aca="false">AR1072</f>
        <v>23</v>
      </c>
      <c r="AD1072" s="57" t="n">
        <f aca="false">MAX(AR1072,H1072)</f>
        <v>23</v>
      </c>
      <c r="AE1072" s="64"/>
      <c r="AF1072" s="57" t="n">
        <f aca="false">IF(LEFT(Cockpit!$C$5,1)="A",H1072,IF(CA1072=1,CB1072,IF(LEFT(Cockpit!$C$5,1)="B",AJ1072,MAX(AJ1072,H1072))))</f>
        <v>23</v>
      </c>
      <c r="AG1072" s="57" t="n">
        <f aca="false">IF(BT1072=1,0,ROUNDUP(AF1072/BS1072,0))</f>
        <v>1</v>
      </c>
      <c r="AH1072" s="59" t="n">
        <f aca="false">IF(CH1072&gt;0,CH1072*MAX(1,AF1072/X1072),IF(BT1072=1,IF(AF1072&lt;=0,0,BW1072*MAX(1,IF(H1072&gt;0,AF1072/H1072,1))),IF(R1072&gt;0,AG1072/R1072,0))/MAX(0.1,N(Parameter!$M$21)))</f>
        <v>0.0833333333333333</v>
      </c>
      <c r="AI1072" s="57" t="n">
        <f aca="false">AF1072*G1072</f>
        <v>3864</v>
      </c>
      <c r="AJ1072" s="57" t="n">
        <f aca="false">ROUNDUP(MAX(J1072/IF(BZ1072&gt;0,BZ1072,MAX(0.1,N(Cockpit!$C$6))),CC1072)/BS1072,0)*BS1072</f>
        <v>23</v>
      </c>
      <c r="AK1072" s="58" t="n">
        <f aca="false">IF(AH1072&gt;0,J1072/AH1072,-1)</f>
        <v>12</v>
      </c>
      <c r="AL1072" s="58" t="n">
        <f aca="false">IF(AND(OR(BY1072="L1",BY1072="L23"),AH1072&gt;0),SUMIFS($AH$7:$AH$1843,$BY$7:$BY$1843,BY1072,$AK$7:$AK$1843,"&gt;"&amp;AK1072)+SUMIFS($AH$7:$AH$1843,$BY$7:$BY$1843,BY1072,$AK$7:$AK$1843,AK1072,$BQ$7:$BQ$1843,"&lt;="&amp;BQ1072),"")</f>
        <v>54.6074119117597</v>
      </c>
      <c r="AM1072" s="65" t="n">
        <f aca="false">IF(AL1072="",0,MAX(0,MIN(1,(IF(BY1072="L1",Parameter!$E$5,Parameter!$E$6+Parameter!$E$7)-(AL1072-AH1072))/AH1072)))</f>
        <v>1</v>
      </c>
      <c r="AN1072" s="57" t="n">
        <f aca="false">IF(LEFT(Cockpit!$I$5,1)="A",H1072,IF(CA1072=1,CB1072,IF(LEFT(Cockpit!$I$5,1)="B",AR1072,MAX(AR1072,H1072))))</f>
        <v>23</v>
      </c>
      <c r="AO1072" s="57" t="n">
        <f aca="false">IF(BT1072=1,0,ROUNDUP(AN1072/BS1072,0))</f>
        <v>1</v>
      </c>
      <c r="AP1072" s="59" t="n">
        <f aca="false">IF(CH1072&gt;0,CH1072*MAX(1,AN1072/X1072),IF(BT1072=1,IF(AN1072&lt;=0,0,BW1072*MAX(1,IF(H1072&gt;0,AN1072/H1072,1))),IF(R1072&gt;0,AO1072/R1072,0))/MAX(0.1,N(Parameter!$M$21)))</f>
        <v>0.0833333333333333</v>
      </c>
      <c r="AQ1072" s="57" t="n">
        <f aca="false">AN1072*G1072</f>
        <v>3864</v>
      </c>
      <c r="AR1072" s="57" t="n">
        <f aca="false">ROUNDUP(MAX(J1072/IF(BZ1072&gt;0,BZ1072,MAX(0.1,N(Cockpit!$I$6))),CC1072)/BS1072,0)*BS1072</f>
        <v>23</v>
      </c>
      <c r="AS1072" s="58" t="n">
        <f aca="false">IF(AP1072&gt;0,J1072/AP1072,-1)</f>
        <v>12</v>
      </c>
      <c r="AT1072" s="58" t="n">
        <f aca="false">IF(AND(OR(BY1072="L1",BY1072="L23"),AP1072&gt;0),SUMIFS($AP$7:$AP$1843,$BY$7:$BY$1843,BY1072,$AS$7:$AS$1843,"&gt;"&amp;AS1072)+SUMIFS($AP$7:$AP$1843,$BY$7:$BY$1843,BY1072,$AS$7:$AS$1843,AS1072,$BQ$7:$BQ$1843,"&lt;="&amp;BQ1072),"")</f>
        <v>87.8648694300868</v>
      </c>
      <c r="AU1072" s="65" t="n">
        <f aca="false">IF(AT1072="",0,MAX(0,MIN(1,(IF(BY1072="L1",Parameter!$E$5,Parameter!$E$6+Parameter!$E$7)-(AT1072-AP1072))/AP1072)))</f>
        <v>1</v>
      </c>
      <c r="AV1072" s="57" t="n">
        <f aca="false">IF(LEFT(Cockpit!$O$5,1)="A",H1072,IF(CA1072=1,CB1072,IF(LEFT(Cockpit!$O$5,1)="B",AZ1072,MAX(AZ1072,H1072))))</f>
        <v>23</v>
      </c>
      <c r="AW1072" s="57" t="n">
        <f aca="false">IF(BT1072=1,0,ROUNDUP(AV1072/BS1072,0))</f>
        <v>1</v>
      </c>
      <c r="AX1072" s="59" t="n">
        <f aca="false">IF(CH1072&gt;0,CH1072*MAX(1,AV1072/X1072),IF(BT1072=1,IF(AV1072&lt;=0,0,BW1072*MAX(1,IF(H1072&gt;0,AV1072/H1072,1))),IF(R1072&gt;0,AW1072/R1072,0))/MAX(0.1,N(Parameter!$M$21)))</f>
        <v>0.0833333333333333</v>
      </c>
      <c r="AY1072" s="57" t="n">
        <f aca="false">AV1072*G1072</f>
        <v>3864</v>
      </c>
      <c r="AZ1072" s="57" t="n">
        <f aca="false">ROUNDUP(MAX(J1072/IF(BZ1072&gt;0,BZ1072,MAX(0.1,N(Cockpit!$O$6))),CC1072)/BS1072,0)*BS1072</f>
        <v>23</v>
      </c>
      <c r="BA1072" s="58" t="n">
        <f aca="false">IF(AX1072&gt;0,J1072/AX1072,-1)</f>
        <v>12</v>
      </c>
      <c r="BB1072" s="58" t="n">
        <f aca="false">IF(AND(OR(BY1072="L1",BY1072="L23"),AX1072&gt;0),SUMIFS($AX$7:$AX$1843,$BY$7:$BY$1843,BY1072,$BA$7:$BA$1843,"&gt;"&amp;BA1072)+SUMIFS($AX$7:$AX$1843,$BY$7:$BY$1843,BY1072,$BA$7:$BA$1843,BA1072,$BQ$7:$BQ$1843,"&lt;="&amp;BQ1072),"")</f>
        <v>81.3613729265903</v>
      </c>
      <c r="BC1072" s="65" t="n">
        <f aca="false">IF(BB1072="",0,MAX(0,MIN(1,(IF(BY1072="L1",Parameter!$E$5,Parameter!$E$6+Parameter!$E$7)-(BB1072-AX1072))/AX1072)))</f>
        <v>1</v>
      </c>
      <c r="BD1072" s="55" t="str">
        <f aca="false">IF(AH1072&lt;=0,"",IF(BY1072="Aussen","Aussenlager",IF(BY1072="-","Nicht im Lift",IF(AM1072&gt;=1,"Lift",IF(AM1072&lt;=0,"Aussenlager","teilweise")))))</f>
        <v>Lift</v>
      </c>
      <c r="BE1072" s="55" t="str">
        <f aca="false">IF(AP1072&lt;=0,"",IF(BY1072="Aussen","Aussenlager",IF(BY1072="-","Nicht im Lift",IF(AU1072&gt;=1,"Lift",IF(AU1072&lt;=0,"Aussenlager","teilweise")))))</f>
        <v>Lift</v>
      </c>
      <c r="BF1072" s="55" t="str">
        <f aca="false">IF(AX1072&lt;=0,"",IF(BY1072="Aussen","Aussenlager",IF(BY1072="-","Nicht im Lift",IF(BC1072&gt;=1,"Lift",IF(BC1072&lt;=0,"Aussenlager","teilweise")))))</f>
        <v>Lift</v>
      </c>
      <c r="BG1072" s="55" t="str">
        <f aca="false">IF(A1072="","",IF(BP1072=1,"Neu; ","")&amp;IF(AND(BP1072=0,BK1072&lt;0),"negativer Bestand (Export "&amp;BK1072&amp;"); ","")&amp;IF(J1072&lt;=0,"Kein Verbrauch; ","")&amp;IF(CH1072&gt;0,"Lift "&amp;W1072&amp;" lt. Liftbericht (Fach "&amp;X1072&amp;" Stk); ",IF(BU1072=1,"Gebinde geschätzt ("&amp;T1072&amp;"); ",IF(BT1072=1,"Lose – Tablare geschätzt; ","")))&amp;IF(H1072&gt;AR1072,"Überbestand "&amp;ROUND(H1072-AR1072,0)&amp;" Stk / CHF "&amp;ROUND((H1072-AR1072)*G1072,0)&amp;"; ","")&amp;IF(AND(CA1072=1,CB1072&lt;CC1072),"MAX &lt; MB+LG; ","")&amp;IF(AND(CG1072&gt;0,CF1072*10&gt;CG1072),"zu hoch für Tablar; ","")&amp;IF(AND(BP1072=0,OR(CA1072=1,AA1072&lt;&gt;"",U1072&lt;&gt;"",V1072&lt;&gt;"",AB1072&lt;&gt;"")),"manuell übersteuert; ","")&amp;IF(AND(BT1072=0,R1072=0),"Gebinde unbekannt / Stellmass fehlt; ","")&amp;IF(AND(BT1072=0,N(V1072)&lt;=0,N(Q1072)&lt;=0),"Menge pro Gebinde fehlt (Ist = 1 Gebinde); ","")&amp;BO1072)</f>
        <v>negativer Bestand (Export -1); Gebinde geschätzt (Mittel); Menge pro Gebinde fehlt (Ist = 1 Gebinde); Überbestand; grosser Artikel &amp; nicht im KTL</v>
      </c>
      <c r="BH1072" s="55"/>
      <c r="BI1072" s="55"/>
      <c r="BJ1072" s="62"/>
      <c r="BK1072" s="57" t="n">
        <v>-1</v>
      </c>
      <c r="BL1072" s="57" t="n">
        <v>24</v>
      </c>
      <c r="BM1072" s="56" t="n">
        <v>-168</v>
      </c>
      <c r="BN1072" s="57" t="n">
        <v>1</v>
      </c>
      <c r="BO1072" s="55" t="s">
        <v>359</v>
      </c>
      <c r="BP1072" s="60" t="n">
        <v>0</v>
      </c>
      <c r="BQ1072" s="60" t="n">
        <v>1072</v>
      </c>
      <c r="BR1072" s="55" t="str">
        <f aca="false">IF(U1072&lt;&gt;"",UPPER(TRIM(U1072)),IF(BU1072=1,UPPER(VLOOKUP(T1072,Parameter!$I$27:$K$29,2,0)),IF(P1072="","LOSE",P1072)))</f>
        <v>S61</v>
      </c>
      <c r="BS1072" s="57" t="n">
        <f aca="false">IF(BR1072="LOSE",1,IF(N(V1072)&gt;0,V1072,IF(BU1072=1,MAX(1,N(VLOOKUP(T1072,Parameter!$I$27:$K$29,3,0)),H1072,N(N1072)),IF(N(Q1072)&gt;0,Q1072,MAX(1,H1072)))))</f>
        <v>23</v>
      </c>
      <c r="BT1072" s="60" t="n">
        <f aca="false">IF(BR1072="LOSE",1,0)</f>
        <v>0</v>
      </c>
      <c r="BU1072" s="60" t="n">
        <f aca="false">IF(AND(U1072="",OR(P1072="",P1072="LOSE"),T1072&lt;&gt;"",N(S1072)&lt;=0,ISNUMBER(MATCH(T1072,Parameter!$I$27:$I$29,0))),1,0)</f>
        <v>1</v>
      </c>
      <c r="BV1072" s="55" t="str">
        <f aca="false">IF(AND(Parameter!$B$19="Ja",E1072&lt;&gt;"",ISNUMBER(MATCH(E1072,Parameter!$I$35:$I$52,0))),VLOOKUP(E1072,Parameter!$I$35:$J$52,2,0),IFERROR(VLOOKUP(D1072,Parameter!$A$35:$C$64,2,0),"Nein"))</f>
        <v>2+3</v>
      </c>
      <c r="BW1072" s="59" t="n">
        <f aca="false">IF(BT1072=0,0,IF(N(S1072)&gt;0,S1072,IFERROR(VLOOKUP(D1072,Parameter!$A$35:$C$64,3,0)+0,0)))</f>
        <v>0</v>
      </c>
      <c r="BX1072" s="55" t="n">
        <f aca="false">IF(AA1072&lt;&gt;"",AA1072,Z1072)</f>
        <v>2</v>
      </c>
      <c r="BY1072" s="55" t="str">
        <f aca="false">IF(BX1072=1,"L1",IF(OR(BX1072=2,BX1072=3),"L23",IF(BX1072="Aussen","Aussen","-")))</f>
        <v>L23</v>
      </c>
      <c r="BZ1072" s="66" t="n">
        <f aca="false">IF(N(AB1072)&gt;0,AB1072,0)</f>
        <v>0</v>
      </c>
      <c r="CA1072" s="60" t="n">
        <f aca="false">IF(ISNUMBER(AE1072),1,0)</f>
        <v>0</v>
      </c>
      <c r="CB1072" s="57" t="n">
        <f aca="false">N(AE1072)</f>
        <v>0</v>
      </c>
      <c r="CC1072" s="57" t="n">
        <f aca="false">N(M1072)+N(N1072)</f>
        <v>1</v>
      </c>
      <c r="CD1072" s="57" t="n">
        <f aca="false">ROUNDUP(H1072/BS1072,0)</f>
        <v>1</v>
      </c>
      <c r="CE1072" s="57" t="n">
        <f aca="false">ROUNDUP(CB1072/BS1072,0)</f>
        <v>0</v>
      </c>
      <c r="CF1072" s="60" t="n">
        <f aca="false">IF(BT1072=1,0,IFERROR(VLOOKUP(BR1072,'Gebinde-Kategorie'!$A$5:$M$45,5,0)+0,0))</f>
        <v>11</v>
      </c>
      <c r="CG1072" s="60" t="n">
        <f aca="false">IFERROR(IF(OR(BX1072=1,BX1072=2,BX1072=3),N(INDEX(Parameter!$I$5:$I$7,BX1072)),0),0)</f>
        <v>0</v>
      </c>
      <c r="CH1072" s="59" t="n">
        <f aca="false">IF(AND(Parameter!$B$21="Ja",ISNUMBER(W1072),N(X1072)&gt;0),IFERROR(N(INDEX(Parameter!$L$5:$L$7,W1072))*INDEX(Parameter!$E$5:$E$7,W1072)*X1072/SUMIFS($X$7:$X$1843,$W$7:$W$1843,W1072),0),0)</f>
        <v>0</v>
      </c>
    </row>
    <row r="1073" customFormat="false" ht="15" hidden="false" customHeight="false" outlineLevel="0" collapsed="false">
      <c r="A1073" s="55" t="s">
        <v>1960</v>
      </c>
      <c r="B1073" s="55" t="s">
        <v>372</v>
      </c>
      <c r="C1073" s="55" t="s">
        <v>164</v>
      </c>
      <c r="D1073" s="55" t="s">
        <v>173</v>
      </c>
      <c r="E1073" s="55" t="s">
        <v>185</v>
      </c>
      <c r="F1073" s="55" t="s">
        <v>218</v>
      </c>
      <c r="G1073" s="56" t="n">
        <v>168</v>
      </c>
      <c r="H1073" s="57" t="n">
        <f aca="false">MAX(0,IF(AND(Parameter!$B$21="Ja",ISNUMBER(Y1073)),Y1073,IF(Parameter!$B$20="Jahresanfang 2025 + Export",BL1073+BK1073,BK1073)))</f>
        <v>11</v>
      </c>
      <c r="I1073" s="57" t="n">
        <f aca="false">H1073*G1073</f>
        <v>1848</v>
      </c>
      <c r="J1073" s="57" t="n">
        <f aca="false">BN1073*Parameter!$B$18</f>
        <v>1</v>
      </c>
      <c r="K1073" s="58" t="n">
        <v>11.5</v>
      </c>
      <c r="L1073" s="59" t="n">
        <v>0.0869565217391304</v>
      </c>
      <c r="M1073" s="57" t="n">
        <v>0</v>
      </c>
      <c r="N1073" s="57" t="n">
        <v>1</v>
      </c>
      <c r="O1073" s="60" t="n">
        <v>84</v>
      </c>
      <c r="P1073" s="55" t="s">
        <v>174</v>
      </c>
      <c r="Q1073" s="57" t="n">
        <v>15</v>
      </c>
      <c r="R1073" s="60" t="n">
        <f aca="false">IF(BT1073=1,0,IFERROR(VLOOKUP(BR1073,'Gebinde-Kategorie'!$A$5:$M$45,13,0)+0,0))</f>
        <v>6</v>
      </c>
      <c r="S1073" s="61"/>
      <c r="T1073" s="62"/>
      <c r="U1073" s="62"/>
      <c r="V1073" s="62"/>
      <c r="W1073" s="55"/>
      <c r="X1073" s="57"/>
      <c r="Y1073" s="57"/>
      <c r="Z1073" s="55" t="n">
        <f aca="false">IF(A1073="","",IF(AND(Parameter!$B$21="Ja",ISNUMBER(W1073)),W1073,IF(BV1073="2+3",IF(ISNUMBER(SEARCH("grosser Artikel",BO1073)),2,IFERROR(VLOOKUP(BR1073,Parameter!$F$35:$G$64,2,0),2)),IF(OR(BV1073="Nein",BV1073=""),"-",BV1073))))</f>
        <v>2</v>
      </c>
      <c r="AA1073" s="62"/>
      <c r="AB1073" s="63"/>
      <c r="AC1073" s="57" t="n">
        <f aca="false">AR1073</f>
        <v>15</v>
      </c>
      <c r="AD1073" s="57" t="n">
        <f aca="false">MAX(AR1073,H1073)</f>
        <v>15</v>
      </c>
      <c r="AE1073" s="64"/>
      <c r="AF1073" s="57" t="n">
        <f aca="false">IF(LEFT(Cockpit!$C$5,1)="A",H1073,IF(CA1073=1,CB1073,IF(LEFT(Cockpit!$C$5,1)="B",AJ1073,MAX(AJ1073,H1073))))</f>
        <v>11</v>
      </c>
      <c r="AG1073" s="57" t="n">
        <f aca="false">IF(BT1073=1,0,ROUNDUP(AF1073/BS1073,0))</f>
        <v>1</v>
      </c>
      <c r="AH1073" s="59" t="n">
        <f aca="false">IF(CH1073&gt;0,CH1073*MAX(1,AF1073/X1073),IF(BT1073=1,IF(AF1073&lt;=0,0,BW1073*MAX(1,IF(H1073&gt;0,AF1073/H1073,1))),IF(R1073&gt;0,AG1073/R1073,0))/MAX(0.1,N(Parameter!$M$21)))</f>
        <v>0.166666666666667</v>
      </c>
      <c r="AI1073" s="57" t="n">
        <f aca="false">AF1073*G1073</f>
        <v>1848</v>
      </c>
      <c r="AJ1073" s="57" t="n">
        <f aca="false">ROUNDUP(MAX(J1073/IF(BZ1073&gt;0,BZ1073,MAX(0.1,N(Cockpit!$C$6))),CC1073)/BS1073,0)*BS1073</f>
        <v>15</v>
      </c>
      <c r="AK1073" s="58" t="n">
        <f aca="false">IF(AH1073&gt;0,J1073/AH1073,-1)</f>
        <v>6</v>
      </c>
      <c r="AL1073" s="58" t="n">
        <f aca="false">IF(AND(OR(BY1073="L1",BY1073="L23"),AH1073&gt;0),SUMIFS($AH$7:$AH$1843,$BY$7:$BY$1843,BY1073,$AK$7:$AK$1843,"&gt;"&amp;AK1073)+SUMIFS($AH$7:$AH$1843,$BY$7:$BY$1843,BY1073,$AK$7:$AK$1843,AK1073,$BQ$7:$BQ$1843,"&lt;="&amp;BQ1073),"")</f>
        <v>56.6458734502213</v>
      </c>
      <c r="AM1073" s="65" t="n">
        <f aca="false">IF(AL1073="",0,MAX(0,MIN(1,(IF(BY1073="L1",Parameter!$E$5,Parameter!$E$6+Parameter!$E$7)-(AL1073-AH1073))/AH1073)))</f>
        <v>1</v>
      </c>
      <c r="AN1073" s="57" t="n">
        <f aca="false">IF(LEFT(Cockpit!$I$5,1)="A",H1073,IF(CA1073=1,CB1073,IF(LEFT(Cockpit!$I$5,1)="B",AR1073,MAX(AR1073,H1073))))</f>
        <v>15</v>
      </c>
      <c r="AO1073" s="57" t="n">
        <f aca="false">IF(BT1073=1,0,ROUNDUP(AN1073/BS1073,0))</f>
        <v>1</v>
      </c>
      <c r="AP1073" s="59" t="n">
        <f aca="false">IF(CH1073&gt;0,CH1073*MAX(1,AN1073/X1073),IF(BT1073=1,IF(AN1073&lt;=0,0,BW1073*MAX(1,IF(H1073&gt;0,AN1073/H1073,1))),IF(R1073&gt;0,AO1073/R1073,0))/MAX(0.1,N(Parameter!$M$21)))</f>
        <v>0.166666666666667</v>
      </c>
      <c r="AQ1073" s="57" t="n">
        <f aca="false">AN1073*G1073</f>
        <v>2520</v>
      </c>
      <c r="AR1073" s="57" t="n">
        <f aca="false">ROUNDUP(MAX(J1073/IF(BZ1073&gt;0,BZ1073,MAX(0.1,N(Cockpit!$I$6))),CC1073)/BS1073,0)*BS1073</f>
        <v>15</v>
      </c>
      <c r="AS1073" s="58" t="n">
        <f aca="false">IF(AP1073&gt;0,J1073/AP1073,-1)</f>
        <v>6</v>
      </c>
      <c r="AT1073" s="58" t="n">
        <f aca="false">IF(AND(OR(BY1073="L1",BY1073="L23"),AP1073&gt;0),SUMIFS($AP$7:$AP$1843,$BY$7:$BY$1843,BY1073,$AS$7:$AS$1843,"&gt;"&amp;AS1073)+SUMIFS($AP$7:$AP$1843,$BY$7:$BY$1843,BY1073,$AS$7:$AS$1843,AS1073,$BQ$7:$BQ$1843,"&lt;="&amp;BQ1073),"")</f>
        <v>94.069997635215</v>
      </c>
      <c r="AU1073" s="65" t="n">
        <f aca="false">IF(AT1073="",0,MAX(0,MIN(1,(IF(BY1073="L1",Parameter!$E$5,Parameter!$E$6+Parameter!$E$7)-(AT1073-AP1073))/AP1073)))</f>
        <v>1</v>
      </c>
      <c r="AV1073" s="57" t="n">
        <f aca="false">IF(LEFT(Cockpit!$O$5,1)="A",H1073,IF(CA1073=1,CB1073,IF(LEFT(Cockpit!$O$5,1)="B",AZ1073,MAX(AZ1073,H1073))))</f>
        <v>15</v>
      </c>
      <c r="AW1073" s="57" t="n">
        <f aca="false">IF(BT1073=1,0,ROUNDUP(AV1073/BS1073,0))</f>
        <v>1</v>
      </c>
      <c r="AX1073" s="59" t="n">
        <f aca="false">IF(CH1073&gt;0,CH1073*MAX(1,AV1073/X1073),IF(BT1073=1,IF(AV1073&lt;=0,0,BW1073*MAX(1,IF(H1073&gt;0,AV1073/H1073,1))),IF(R1073&gt;0,AW1073/R1073,0))/MAX(0.1,N(Parameter!$M$21)))</f>
        <v>0.166666666666667</v>
      </c>
      <c r="AY1073" s="57" t="n">
        <f aca="false">AV1073*G1073</f>
        <v>2520</v>
      </c>
      <c r="AZ1073" s="57" t="n">
        <f aca="false">ROUNDUP(MAX(J1073/IF(BZ1073&gt;0,BZ1073,MAX(0.1,N(Cockpit!$O$6))),CC1073)/BS1073,0)*BS1073</f>
        <v>15</v>
      </c>
      <c r="BA1073" s="58" t="n">
        <f aca="false">IF(AX1073&gt;0,J1073/AX1073,-1)</f>
        <v>6</v>
      </c>
      <c r="BB1073" s="58" t="n">
        <f aca="false">IF(AND(OR(BY1073="L1",BY1073="L23"),AX1073&gt;0),SUMIFS($AX$7:$AX$1843,$BY$7:$BY$1843,BY1073,$BA$7:$BA$1843,"&gt;"&amp;BA1073)+SUMIFS($AX$7:$AX$1843,$BY$7:$BY$1843,BY1073,$BA$7:$BA$1843,BA1073,$BQ$7:$BQ$1843,"&lt;="&amp;BQ1073),"")</f>
        <v>84.8998344650519</v>
      </c>
      <c r="BC1073" s="65" t="n">
        <f aca="false">IF(BB1073="",0,MAX(0,MIN(1,(IF(BY1073="L1",Parameter!$E$5,Parameter!$E$6+Parameter!$E$7)-(BB1073-AX1073))/AX1073)))</f>
        <v>1</v>
      </c>
      <c r="BD1073" s="55" t="str">
        <f aca="false">IF(AH1073&lt;=0,"",IF(BY1073="Aussen","Aussenlager",IF(BY1073="-","Nicht im Lift",IF(AM1073&gt;=1,"Lift",IF(AM1073&lt;=0,"Aussenlager","teilweise")))))</f>
        <v>Lift</v>
      </c>
      <c r="BE1073" s="55" t="str">
        <f aca="false">IF(AP1073&lt;=0,"",IF(BY1073="Aussen","Aussenlager",IF(BY1073="-","Nicht im Lift",IF(AU1073&gt;=1,"Lift",IF(AU1073&lt;=0,"Aussenlager","teilweise")))))</f>
        <v>Lift</v>
      </c>
      <c r="BF1073" s="55" t="str">
        <f aca="false">IF(AX1073&lt;=0,"",IF(BY1073="Aussen","Aussenlager",IF(BY1073="-","Nicht im Lift",IF(BC1073&gt;=1,"Lift",IF(BC1073&lt;=0,"Aussenlager","teilweise")))))</f>
        <v>Lift</v>
      </c>
      <c r="BG1073" s="55" t="str">
        <f aca="false">IF(A1073="","",IF(BP1073=1,"Neu; ","")&amp;IF(AND(BP1073=0,BK1073&lt;0),"negativer Bestand (Export "&amp;BK1073&amp;"); ","")&amp;IF(J1073&lt;=0,"Kein Verbrauch; ","")&amp;IF(CH1073&gt;0,"Lift "&amp;W1073&amp;" lt. Liftbericht (Fach "&amp;X1073&amp;" Stk); ",IF(BU1073=1,"Gebinde geschätzt ("&amp;T1073&amp;"); ",IF(BT1073=1,"Lose – Tablare geschätzt; ","")))&amp;IF(H1073&gt;AR1073,"Überbestand "&amp;ROUND(H1073-AR1073,0)&amp;" Stk / CHF "&amp;ROUND((H1073-AR1073)*G1073,0)&amp;"; ","")&amp;IF(AND(CA1073=1,CB1073&lt;CC1073),"MAX &lt; MB+LG; ","")&amp;IF(AND(CG1073&gt;0,CF1073*10&gt;CG1073),"zu hoch für Tablar; ","")&amp;IF(AND(BP1073=0,OR(CA1073=1,AA1073&lt;&gt;"",U1073&lt;&gt;"",V1073&lt;&gt;"",AB1073&lt;&gt;"")),"manuell übersteuert; ","")&amp;IF(AND(BT1073=0,R1073=0),"Gebinde unbekannt / Stellmass fehlt; ","")&amp;IF(AND(BT1073=0,N(V1073)&lt;=0,N(Q1073)&lt;=0),"Menge pro Gebinde fehlt (Ist = 1 Gebinde); ","")&amp;BO1073)</f>
        <v>negativer Bestand (Export -1); grosser Artikel &amp; nicht im KTL</v>
      </c>
      <c r="BH1073" s="55"/>
      <c r="BI1073" s="55"/>
      <c r="BJ1073" s="62"/>
      <c r="BK1073" s="57" t="n">
        <v>-1</v>
      </c>
      <c r="BL1073" s="57" t="n">
        <v>12</v>
      </c>
      <c r="BM1073" s="56" t="n">
        <v>-168</v>
      </c>
      <c r="BN1073" s="57" t="n">
        <v>1</v>
      </c>
      <c r="BO1073" s="55" t="s">
        <v>261</v>
      </c>
      <c r="BP1073" s="60" t="n">
        <v>0</v>
      </c>
      <c r="BQ1073" s="60" t="n">
        <v>1073</v>
      </c>
      <c r="BR1073" s="55" t="str">
        <f aca="false">IF(U1073&lt;&gt;"",UPPER(TRIM(U1073)),IF(BU1073=1,UPPER(VLOOKUP(T1073,Parameter!$I$27:$K$29,2,0)),IF(P1073="","LOSE",P1073)))</f>
        <v>S71</v>
      </c>
      <c r="BS1073" s="57" t="n">
        <f aca="false">IF(BR1073="LOSE",1,IF(N(V1073)&gt;0,V1073,IF(BU1073=1,MAX(1,N(VLOOKUP(T1073,Parameter!$I$27:$K$29,3,0)),H1073,N(N1073)),IF(N(Q1073)&gt;0,Q1073,MAX(1,H1073)))))</f>
        <v>15</v>
      </c>
      <c r="BT1073" s="60" t="n">
        <f aca="false">IF(BR1073="LOSE",1,0)</f>
        <v>0</v>
      </c>
      <c r="BU1073" s="60" t="n">
        <f aca="false">IF(AND(U1073="",OR(P1073="",P1073="LOSE"),T1073&lt;&gt;"",N(S1073)&lt;=0,ISNUMBER(MATCH(T1073,Parameter!$I$27:$I$29,0))),1,0)</f>
        <v>0</v>
      </c>
      <c r="BV1073" s="55" t="str">
        <f aca="false">IF(AND(Parameter!$B$19="Ja",E1073&lt;&gt;"",ISNUMBER(MATCH(E1073,Parameter!$I$35:$I$52,0))),VLOOKUP(E1073,Parameter!$I$35:$J$52,2,0),IFERROR(VLOOKUP(D1073,Parameter!$A$35:$C$64,2,0),"Nein"))</f>
        <v>2+3</v>
      </c>
      <c r="BW1073" s="59" t="n">
        <f aca="false">IF(BT1073=0,0,IF(N(S1073)&gt;0,S1073,IFERROR(VLOOKUP(D1073,Parameter!$A$35:$C$64,3,0)+0,0)))</f>
        <v>0</v>
      </c>
      <c r="BX1073" s="55" t="n">
        <f aca="false">IF(AA1073&lt;&gt;"",AA1073,Z1073)</f>
        <v>2</v>
      </c>
      <c r="BY1073" s="55" t="str">
        <f aca="false">IF(BX1073=1,"L1",IF(OR(BX1073=2,BX1073=3),"L23",IF(BX1073="Aussen","Aussen","-")))</f>
        <v>L23</v>
      </c>
      <c r="BZ1073" s="66" t="n">
        <f aca="false">IF(N(AB1073)&gt;0,AB1073,0)</f>
        <v>0</v>
      </c>
      <c r="CA1073" s="60" t="n">
        <f aca="false">IF(ISNUMBER(AE1073),1,0)</f>
        <v>0</v>
      </c>
      <c r="CB1073" s="57" t="n">
        <f aca="false">N(AE1073)</f>
        <v>0</v>
      </c>
      <c r="CC1073" s="57" t="n">
        <f aca="false">N(M1073)+N(N1073)</f>
        <v>1</v>
      </c>
      <c r="CD1073" s="57" t="n">
        <f aca="false">ROUNDUP(H1073/BS1073,0)</f>
        <v>1</v>
      </c>
      <c r="CE1073" s="57" t="n">
        <f aca="false">ROUNDUP(CB1073/BS1073,0)</f>
        <v>0</v>
      </c>
      <c r="CF1073" s="60" t="n">
        <f aca="false">IF(BT1073=1,0,IFERROR(VLOOKUP(BR1073,'Gebinde-Kategorie'!$A$5:$M$45,5,0)+0,0))</f>
        <v>20</v>
      </c>
      <c r="CG1073" s="60" t="n">
        <f aca="false">IFERROR(IF(OR(BX1073=1,BX1073=2,BX1073=3),N(INDEX(Parameter!$I$5:$I$7,BX1073)),0),0)</f>
        <v>0</v>
      </c>
      <c r="CH1073" s="59" t="n">
        <f aca="false">IF(AND(Parameter!$B$21="Ja",ISNUMBER(W1073),N(X1073)&gt;0),IFERROR(N(INDEX(Parameter!$L$5:$L$7,W1073))*INDEX(Parameter!$E$5:$E$7,W1073)*X1073/SUMIFS($X$7:$X$1843,$W$7:$W$1843,W1073),0),0)</f>
        <v>0</v>
      </c>
    </row>
    <row r="1074" customFormat="false" ht="15" hidden="false" customHeight="false" outlineLevel="0" collapsed="false">
      <c r="A1074" s="55" t="s">
        <v>1961</v>
      </c>
      <c r="B1074" s="55" t="s">
        <v>347</v>
      </c>
      <c r="C1074" s="55" t="s">
        <v>164</v>
      </c>
      <c r="D1074" s="55" t="s">
        <v>173</v>
      </c>
      <c r="E1074" s="55" t="s">
        <v>173</v>
      </c>
      <c r="F1074" s="55" t="s">
        <v>218</v>
      </c>
      <c r="G1074" s="56" t="n">
        <v>43.8</v>
      </c>
      <c r="H1074" s="57" t="n">
        <f aca="false">MAX(0,IF(AND(Parameter!$B$21="Ja",ISNUMBER(Y1074)),Y1074,IF(Parameter!$B$20="Jahresanfang 2025 + Export",BL1074+BK1074,BK1074)))</f>
        <v>28</v>
      </c>
      <c r="I1074" s="57" t="n">
        <f aca="false">H1074*G1074</f>
        <v>1226.4</v>
      </c>
      <c r="J1074" s="57" t="n">
        <f aca="false">BN1074*Parameter!$B$18</f>
        <v>4</v>
      </c>
      <c r="K1074" s="58" t="n">
        <v>30</v>
      </c>
      <c r="L1074" s="59" t="n">
        <v>0.133333333333333</v>
      </c>
      <c r="M1074" s="57" t="n">
        <v>0</v>
      </c>
      <c r="N1074" s="57" t="n">
        <v>5</v>
      </c>
      <c r="O1074" s="60" t="n">
        <v>70</v>
      </c>
      <c r="P1074" s="55" t="s">
        <v>226</v>
      </c>
      <c r="Q1074" s="57" t="n">
        <v>30</v>
      </c>
      <c r="R1074" s="60" t="n">
        <f aca="false">IF(BT1074=1,0,IFERROR(VLOOKUP(BR1074,'Gebinde-Kategorie'!$A$5:$M$45,13,0)+0,0))</f>
        <v>12</v>
      </c>
      <c r="S1074" s="61"/>
      <c r="T1074" s="62"/>
      <c r="U1074" s="62"/>
      <c r="V1074" s="62"/>
      <c r="W1074" s="55"/>
      <c r="X1074" s="57"/>
      <c r="Y1074" s="57"/>
      <c r="Z1074" s="55" t="str">
        <f aca="false">IF(A1074="","",IF(AND(Parameter!$B$21="Ja",ISNUMBER(W1074)),W1074,IF(BV1074="2+3",IF(ISNUMBER(SEARCH("grosser Artikel",BO1074)),2,IFERROR(VLOOKUP(BR1074,Parameter!$F$35:$G$64,2,0),2)),IF(OR(BV1074="Nein",BV1074=""),"-",BV1074))))</f>
        <v>-</v>
      </c>
      <c r="AA1074" s="62"/>
      <c r="AB1074" s="63"/>
      <c r="AC1074" s="57" t="n">
        <f aca="false">AR1074</f>
        <v>30</v>
      </c>
      <c r="AD1074" s="57" t="n">
        <f aca="false">MAX(AR1074,H1074)</f>
        <v>30</v>
      </c>
      <c r="AE1074" s="64"/>
      <c r="AF1074" s="57" t="n">
        <f aca="false">IF(LEFT(Cockpit!$C$5,1)="A",H1074,IF(CA1074=1,CB1074,IF(LEFT(Cockpit!$C$5,1)="B",AJ1074,MAX(AJ1074,H1074))))</f>
        <v>28</v>
      </c>
      <c r="AG1074" s="57" t="n">
        <f aca="false">IF(BT1074=1,0,ROUNDUP(AF1074/BS1074,0))</f>
        <v>1</v>
      </c>
      <c r="AH1074" s="59" t="n">
        <f aca="false">IF(CH1074&gt;0,CH1074*MAX(1,AF1074/X1074),IF(BT1074=1,IF(AF1074&lt;=0,0,BW1074*MAX(1,IF(H1074&gt;0,AF1074/H1074,1))),IF(R1074&gt;0,AG1074/R1074,0))/MAX(0.1,N(Parameter!$M$21)))</f>
        <v>0.0833333333333333</v>
      </c>
      <c r="AI1074" s="57" t="n">
        <f aca="false">AF1074*G1074</f>
        <v>1226.4</v>
      </c>
      <c r="AJ1074" s="57" t="n">
        <f aca="false">ROUNDUP(MAX(J1074/IF(BZ1074&gt;0,BZ1074,MAX(0.1,N(Cockpit!$C$6))),CC1074)/BS1074,0)*BS1074</f>
        <v>30</v>
      </c>
      <c r="AK1074" s="58" t="n">
        <f aca="false">IF(AH1074&gt;0,J1074/AH1074,-1)</f>
        <v>48</v>
      </c>
      <c r="AL1074" s="58" t="str">
        <f aca="false">IF(AND(OR(BY1074="L1",BY1074="L23"),AH1074&gt;0),SUMIFS($AH$7:$AH$1843,$BY$7:$BY$1843,BY1074,$AK$7:$AK$1843,"&gt;"&amp;AK1074)+SUMIFS($AH$7:$AH$1843,$BY$7:$BY$1843,BY1074,$AK$7:$AK$1843,AK1074,$BQ$7:$BQ$1843,"&lt;="&amp;BQ1074),"")</f>
        <v/>
      </c>
      <c r="AM1074" s="65" t="n">
        <f aca="false">IF(AL1074="",0,MAX(0,MIN(1,(IF(BY1074="L1",Parameter!$E$5,Parameter!$E$6+Parameter!$E$7)-(AL1074-AH1074))/AH1074)))</f>
        <v>0</v>
      </c>
      <c r="AN1074" s="57" t="n">
        <f aca="false">IF(LEFT(Cockpit!$I$5,1)="A",H1074,IF(CA1074=1,CB1074,IF(LEFT(Cockpit!$I$5,1)="B",AR1074,MAX(AR1074,H1074))))</f>
        <v>30</v>
      </c>
      <c r="AO1074" s="57" t="n">
        <f aca="false">IF(BT1074=1,0,ROUNDUP(AN1074/BS1074,0))</f>
        <v>1</v>
      </c>
      <c r="AP1074" s="59" t="n">
        <f aca="false">IF(CH1074&gt;0,CH1074*MAX(1,AN1074/X1074),IF(BT1074=1,IF(AN1074&lt;=0,0,BW1074*MAX(1,IF(H1074&gt;0,AN1074/H1074,1))),IF(R1074&gt;0,AO1074/R1074,0))/MAX(0.1,N(Parameter!$M$21)))</f>
        <v>0.0833333333333333</v>
      </c>
      <c r="AQ1074" s="57" t="n">
        <f aca="false">AN1074*G1074</f>
        <v>1314</v>
      </c>
      <c r="AR1074" s="57" t="n">
        <f aca="false">ROUNDUP(MAX(J1074/IF(BZ1074&gt;0,BZ1074,MAX(0.1,N(Cockpit!$I$6))),CC1074)/BS1074,0)*BS1074</f>
        <v>30</v>
      </c>
      <c r="AS1074" s="58" t="n">
        <f aca="false">IF(AP1074&gt;0,J1074/AP1074,-1)</f>
        <v>48</v>
      </c>
      <c r="AT1074" s="58" t="str">
        <f aca="false">IF(AND(OR(BY1074="L1",BY1074="L23"),AP1074&gt;0),SUMIFS($AP$7:$AP$1843,$BY$7:$BY$1843,BY1074,$AS$7:$AS$1843,"&gt;"&amp;AS1074)+SUMIFS($AP$7:$AP$1843,$BY$7:$BY$1843,BY1074,$AS$7:$AS$1843,AS1074,$BQ$7:$BQ$1843,"&lt;="&amp;BQ1074),"")</f>
        <v/>
      </c>
      <c r="AU1074" s="65" t="n">
        <f aca="false">IF(AT1074="",0,MAX(0,MIN(1,(IF(BY1074="L1",Parameter!$E$5,Parameter!$E$6+Parameter!$E$7)-(AT1074-AP1074))/AP1074)))</f>
        <v>0</v>
      </c>
      <c r="AV1074" s="57" t="n">
        <f aca="false">IF(LEFT(Cockpit!$O$5,1)="A",H1074,IF(CA1074=1,CB1074,IF(LEFT(Cockpit!$O$5,1)="B",AZ1074,MAX(AZ1074,H1074))))</f>
        <v>30</v>
      </c>
      <c r="AW1074" s="57" t="n">
        <f aca="false">IF(BT1074=1,0,ROUNDUP(AV1074/BS1074,0))</f>
        <v>1</v>
      </c>
      <c r="AX1074" s="59" t="n">
        <f aca="false">IF(CH1074&gt;0,CH1074*MAX(1,AV1074/X1074),IF(BT1074=1,IF(AV1074&lt;=0,0,BW1074*MAX(1,IF(H1074&gt;0,AV1074/H1074,1))),IF(R1074&gt;0,AW1074/R1074,0))/MAX(0.1,N(Parameter!$M$21)))</f>
        <v>0.0833333333333333</v>
      </c>
      <c r="AY1074" s="57" t="n">
        <f aca="false">AV1074*G1074</f>
        <v>1314</v>
      </c>
      <c r="AZ1074" s="57" t="n">
        <f aca="false">ROUNDUP(MAX(J1074/IF(BZ1074&gt;0,BZ1074,MAX(0.1,N(Cockpit!$O$6))),CC1074)/BS1074,0)*BS1074</f>
        <v>30</v>
      </c>
      <c r="BA1074" s="58" t="n">
        <f aca="false">IF(AX1074&gt;0,J1074/AX1074,-1)</f>
        <v>48</v>
      </c>
      <c r="BB1074" s="58" t="str">
        <f aca="false">IF(AND(OR(BY1074="L1",BY1074="L23"),AX1074&gt;0),SUMIFS($AX$7:$AX$1843,$BY$7:$BY$1843,BY1074,$BA$7:$BA$1843,"&gt;"&amp;BA1074)+SUMIFS($AX$7:$AX$1843,$BY$7:$BY$1843,BY1074,$BA$7:$BA$1843,BA1074,$BQ$7:$BQ$1843,"&lt;="&amp;BQ1074),"")</f>
        <v/>
      </c>
      <c r="BC1074" s="65" t="n">
        <f aca="false">IF(BB1074="",0,MAX(0,MIN(1,(IF(BY1074="L1",Parameter!$E$5,Parameter!$E$6+Parameter!$E$7)-(BB1074-AX1074))/AX1074)))</f>
        <v>0</v>
      </c>
      <c r="BD1074" s="55" t="str">
        <f aca="false">IF(AH1074&lt;=0,"",IF(BY1074="Aussen","Aussenlager",IF(BY1074="-","Nicht im Lift",IF(AM1074&gt;=1,"Lift",IF(AM1074&lt;=0,"Aussenlager","teilweise")))))</f>
        <v>Nicht im Lift</v>
      </c>
      <c r="BE1074" s="55" t="str">
        <f aca="false">IF(AP1074&lt;=0,"",IF(BY1074="Aussen","Aussenlager",IF(BY1074="-","Nicht im Lift",IF(AU1074&gt;=1,"Lift",IF(AU1074&lt;=0,"Aussenlager","teilweise")))))</f>
        <v>Nicht im Lift</v>
      </c>
      <c r="BF1074" s="55" t="str">
        <f aca="false">IF(AX1074&lt;=0,"",IF(BY1074="Aussen","Aussenlager",IF(BY1074="-","Nicht im Lift",IF(BC1074&gt;=1,"Lift",IF(BC1074&lt;=0,"Aussenlager","teilweise")))))</f>
        <v>Nicht im Lift</v>
      </c>
      <c r="BG1074" s="55" t="str">
        <f aca="false">IF(A1074="","",IF(BP1074=1,"Neu; ","")&amp;IF(AND(BP1074=0,BK1074&lt;0),"negativer Bestand (Export "&amp;BK1074&amp;"); ","")&amp;IF(J1074&lt;=0,"Kein Verbrauch; ","")&amp;IF(CH1074&gt;0,"Lift "&amp;W1074&amp;" lt. Liftbericht (Fach "&amp;X1074&amp;" Stk); ",IF(BU1074=1,"Gebinde geschätzt ("&amp;T1074&amp;"); ",IF(BT1074=1,"Lose – Tablare geschätzt; ","")))&amp;IF(H1074&gt;AR1074,"Überbestand "&amp;ROUND(H1074-AR1074,0)&amp;" Stk / CHF "&amp;ROUND((H1074-AR1074)*G1074,0)&amp;"; ","")&amp;IF(AND(CA1074=1,CB1074&lt;CC1074),"MAX &lt; MB+LG; ","")&amp;IF(AND(CG1074&gt;0,CF1074*10&gt;CG1074),"zu hoch für Tablar; ","")&amp;IF(AND(BP1074=0,OR(CA1074=1,AA1074&lt;&gt;"",U1074&lt;&gt;"",V1074&lt;&gt;"",AB1074&lt;&gt;"")),"manuell übersteuert; ","")&amp;IF(AND(BT1074=0,R1074=0),"Gebinde unbekannt / Stellmass fehlt; ","")&amp;IF(AND(BT1074=0,N(V1074)&lt;=0,N(Q1074)&lt;=0),"Menge pro Gebinde fehlt (Ist = 1 Gebinde); ","")&amp;BO1074)</f>
        <v>negativer Bestand (Export -4); Überbestand</v>
      </c>
      <c r="BH1074" s="55"/>
      <c r="BI1074" s="55"/>
      <c r="BJ1074" s="62"/>
      <c r="BK1074" s="57" t="n">
        <v>-4</v>
      </c>
      <c r="BL1074" s="57" t="n">
        <v>32</v>
      </c>
      <c r="BM1074" s="56" t="n">
        <v>-175.2</v>
      </c>
      <c r="BN1074" s="57" t="n">
        <v>4</v>
      </c>
      <c r="BO1074" s="55" t="s">
        <v>392</v>
      </c>
      <c r="BP1074" s="60" t="n">
        <v>0</v>
      </c>
      <c r="BQ1074" s="60" t="n">
        <v>1074</v>
      </c>
      <c r="BR1074" s="55" t="str">
        <f aca="false">IF(U1074&lt;&gt;"",UPPER(TRIM(U1074)),IF(BU1074=1,UPPER(VLOOKUP(T1074,Parameter!$I$27:$K$29,2,0)),IF(P1074="","LOSE",P1074)))</f>
        <v>S63</v>
      </c>
      <c r="BS1074" s="57" t="n">
        <f aca="false">IF(BR1074="LOSE",1,IF(N(V1074)&gt;0,V1074,IF(BU1074=1,MAX(1,N(VLOOKUP(T1074,Parameter!$I$27:$K$29,3,0)),H1074,N(N1074)),IF(N(Q1074)&gt;0,Q1074,MAX(1,H1074)))))</f>
        <v>30</v>
      </c>
      <c r="BT1074" s="60" t="n">
        <f aca="false">IF(BR1074="LOSE",1,0)</f>
        <v>0</v>
      </c>
      <c r="BU1074" s="60" t="n">
        <f aca="false">IF(AND(U1074="",OR(P1074="",P1074="LOSE"),T1074&lt;&gt;"",N(S1074)&lt;=0,ISNUMBER(MATCH(T1074,Parameter!$I$27:$I$29,0))),1,0)</f>
        <v>0</v>
      </c>
      <c r="BV1074" s="55" t="str">
        <f aca="false">IF(AND(Parameter!$B$19="Ja",E1074&lt;&gt;"",ISNUMBER(MATCH(E1074,Parameter!$I$35:$I$52,0))),VLOOKUP(E1074,Parameter!$I$35:$J$52,2,0),IFERROR(VLOOKUP(D1074,Parameter!$A$35:$C$64,2,0),"Nein"))</f>
        <v>Nein</v>
      </c>
      <c r="BW1074" s="59" t="n">
        <f aca="false">IF(BT1074=0,0,IF(N(S1074)&gt;0,S1074,IFERROR(VLOOKUP(D1074,Parameter!$A$35:$C$64,3,0)+0,0)))</f>
        <v>0</v>
      </c>
      <c r="BX1074" s="55" t="str">
        <f aca="false">IF(AA1074&lt;&gt;"",AA1074,Z1074)</f>
        <v>-</v>
      </c>
      <c r="BY1074" s="55" t="str">
        <f aca="false">IF(BX1074=1,"L1",IF(OR(BX1074=2,BX1074=3),"L23",IF(BX1074="Aussen","Aussen","-")))</f>
        <v>-</v>
      </c>
      <c r="BZ1074" s="66" t="n">
        <f aca="false">IF(N(AB1074)&gt;0,AB1074,0)</f>
        <v>0</v>
      </c>
      <c r="CA1074" s="60" t="n">
        <f aca="false">IF(ISNUMBER(AE1074),1,0)</f>
        <v>0</v>
      </c>
      <c r="CB1074" s="57" t="n">
        <f aca="false">N(AE1074)</f>
        <v>0</v>
      </c>
      <c r="CC1074" s="57" t="n">
        <f aca="false">N(M1074)+N(N1074)</f>
        <v>5</v>
      </c>
      <c r="CD1074" s="57" t="n">
        <f aca="false">ROUNDUP(H1074/BS1074,0)</f>
        <v>1</v>
      </c>
      <c r="CE1074" s="57" t="n">
        <f aca="false">ROUNDUP(CB1074/BS1074,0)</f>
        <v>0</v>
      </c>
      <c r="CF1074" s="60" t="n">
        <f aca="false">IF(BT1074=1,0,IFERROR(VLOOKUP(BR1074,'Gebinde-Kategorie'!$A$5:$M$45,5,0)+0,0))</f>
        <v>31</v>
      </c>
      <c r="CG1074" s="60" t="n">
        <f aca="false">IFERROR(IF(OR(BX1074=1,BX1074=2,BX1074=3),N(INDEX(Parameter!$I$5:$I$7,BX1074)),0),0)</f>
        <v>0</v>
      </c>
      <c r="CH1074" s="59" t="n">
        <f aca="false">IF(AND(Parameter!$B$21="Ja",ISNUMBER(W1074),N(X1074)&gt;0),IFERROR(N(INDEX(Parameter!$L$5:$L$7,W1074))*INDEX(Parameter!$E$5:$E$7,W1074)*X1074/SUMIFS($X$7:$X$1843,$W$7:$W$1843,W1074),0),0)</f>
        <v>0</v>
      </c>
    </row>
    <row r="1075" customFormat="false" ht="15" hidden="false" customHeight="false" outlineLevel="0" collapsed="false">
      <c r="A1075" s="55" t="s">
        <v>1962</v>
      </c>
      <c r="B1075" s="55" t="s">
        <v>1963</v>
      </c>
      <c r="C1075" s="55" t="s">
        <v>164</v>
      </c>
      <c r="D1075" s="55" t="s">
        <v>184</v>
      </c>
      <c r="E1075" s="55" t="s">
        <v>173</v>
      </c>
      <c r="F1075" s="55" t="s">
        <v>218</v>
      </c>
      <c r="G1075" s="56" t="n">
        <v>111.1</v>
      </c>
      <c r="H1075" s="57" t="n">
        <f aca="false">MAX(0,IF(AND(Parameter!$B$21="Ja",ISNUMBER(Y1075)),Y1075,IF(Parameter!$B$20="Jahresanfang 2025 + Export",BL1075+BK1075,BK1075)))</f>
        <v>2</v>
      </c>
      <c r="I1075" s="57" t="n">
        <f aca="false">H1075*G1075</f>
        <v>222.2</v>
      </c>
      <c r="J1075" s="57" t="n">
        <f aca="false">BN1075*Parameter!$B$18</f>
        <v>2</v>
      </c>
      <c r="K1075" s="58" t="n">
        <v>3</v>
      </c>
      <c r="L1075" s="59" t="n">
        <v>0.666666666666667</v>
      </c>
      <c r="M1075" s="57" t="n">
        <v>0</v>
      </c>
      <c r="N1075" s="57" t="n">
        <v>1</v>
      </c>
      <c r="O1075" s="60" t="n">
        <v>28</v>
      </c>
      <c r="P1075" s="55" t="s">
        <v>421</v>
      </c>
      <c r="Q1075" s="57" t="n">
        <v>3</v>
      </c>
      <c r="R1075" s="60" t="n">
        <f aca="false">IF(BT1075=1,0,IFERROR(VLOOKUP(BR1075,'Gebinde-Kategorie'!$A$5:$M$45,13,0)+0,0))</f>
        <v>132</v>
      </c>
      <c r="S1075" s="61"/>
      <c r="T1075" s="62"/>
      <c r="U1075" s="62"/>
      <c r="V1075" s="62"/>
      <c r="W1075" s="55"/>
      <c r="X1075" s="57"/>
      <c r="Y1075" s="57"/>
      <c r="Z1075" s="55" t="str">
        <f aca="false">IF(A1075="","",IF(AND(Parameter!$B$21="Ja",ISNUMBER(W1075)),W1075,IF(BV1075="2+3",IF(ISNUMBER(SEARCH("grosser Artikel",BO1075)),2,IFERROR(VLOOKUP(BR1075,Parameter!$F$35:$G$64,2,0),2)),IF(OR(BV1075="Nein",BV1075=""),"-",BV1075))))</f>
        <v>-</v>
      </c>
      <c r="AA1075" s="62"/>
      <c r="AB1075" s="63"/>
      <c r="AC1075" s="57" t="n">
        <f aca="false">AR1075</f>
        <v>3</v>
      </c>
      <c r="AD1075" s="57" t="n">
        <f aca="false">MAX(AR1075,H1075)</f>
        <v>3</v>
      </c>
      <c r="AE1075" s="64"/>
      <c r="AF1075" s="57" t="n">
        <f aca="false">IF(LEFT(Cockpit!$C$5,1)="A",H1075,IF(CA1075=1,CB1075,IF(LEFT(Cockpit!$C$5,1)="B",AJ1075,MAX(AJ1075,H1075))))</f>
        <v>2</v>
      </c>
      <c r="AG1075" s="57" t="n">
        <f aca="false">IF(BT1075=1,0,ROUNDUP(AF1075/BS1075,0))</f>
        <v>1</v>
      </c>
      <c r="AH1075" s="59" t="n">
        <f aca="false">IF(CH1075&gt;0,CH1075*MAX(1,AF1075/X1075),IF(BT1075=1,IF(AF1075&lt;=0,0,BW1075*MAX(1,IF(H1075&gt;0,AF1075/H1075,1))),IF(R1075&gt;0,AG1075/R1075,0))/MAX(0.1,N(Parameter!$M$21)))</f>
        <v>0.00757575757575758</v>
      </c>
      <c r="AI1075" s="57" t="n">
        <f aca="false">AF1075*G1075</f>
        <v>222.2</v>
      </c>
      <c r="AJ1075" s="57" t="n">
        <f aca="false">ROUNDUP(MAX(J1075/IF(BZ1075&gt;0,BZ1075,MAX(0.1,N(Cockpit!$C$6))),CC1075)/BS1075,0)*BS1075</f>
        <v>3</v>
      </c>
      <c r="AK1075" s="58" t="n">
        <f aca="false">IF(AH1075&gt;0,J1075/AH1075,-1)</f>
        <v>264</v>
      </c>
      <c r="AL1075" s="58" t="str">
        <f aca="false">IF(AND(OR(BY1075="L1",BY1075="L23"),AH1075&gt;0),SUMIFS($AH$7:$AH$1843,$BY$7:$BY$1843,BY1075,$AK$7:$AK$1843,"&gt;"&amp;AK1075)+SUMIFS($AH$7:$AH$1843,$BY$7:$BY$1843,BY1075,$AK$7:$AK$1843,AK1075,$BQ$7:$BQ$1843,"&lt;="&amp;BQ1075),"")</f>
        <v/>
      </c>
      <c r="AM1075" s="65" t="n">
        <f aca="false">IF(AL1075="",0,MAX(0,MIN(1,(IF(BY1075="L1",Parameter!$E$5,Parameter!$E$6+Parameter!$E$7)-(AL1075-AH1075))/AH1075)))</f>
        <v>0</v>
      </c>
      <c r="AN1075" s="57" t="n">
        <f aca="false">IF(LEFT(Cockpit!$I$5,1)="A",H1075,IF(CA1075=1,CB1075,IF(LEFT(Cockpit!$I$5,1)="B",AR1075,MAX(AR1075,H1075))))</f>
        <v>3</v>
      </c>
      <c r="AO1075" s="57" t="n">
        <f aca="false">IF(BT1075=1,0,ROUNDUP(AN1075/BS1075,0))</f>
        <v>1</v>
      </c>
      <c r="AP1075" s="59" t="n">
        <f aca="false">IF(CH1075&gt;0,CH1075*MAX(1,AN1075/X1075),IF(BT1075=1,IF(AN1075&lt;=0,0,BW1075*MAX(1,IF(H1075&gt;0,AN1075/H1075,1))),IF(R1075&gt;0,AO1075/R1075,0))/MAX(0.1,N(Parameter!$M$21)))</f>
        <v>0.00757575757575758</v>
      </c>
      <c r="AQ1075" s="57" t="n">
        <f aca="false">AN1075*G1075</f>
        <v>333.3</v>
      </c>
      <c r="AR1075" s="57" t="n">
        <f aca="false">ROUNDUP(MAX(J1075/IF(BZ1075&gt;0,BZ1075,MAX(0.1,N(Cockpit!$I$6))),CC1075)/BS1075,0)*BS1075</f>
        <v>3</v>
      </c>
      <c r="AS1075" s="58" t="n">
        <f aca="false">IF(AP1075&gt;0,J1075/AP1075,-1)</f>
        <v>264</v>
      </c>
      <c r="AT1075" s="58" t="str">
        <f aca="false">IF(AND(OR(BY1075="L1",BY1075="L23"),AP1075&gt;0),SUMIFS($AP$7:$AP$1843,$BY$7:$BY$1843,BY1075,$AS$7:$AS$1843,"&gt;"&amp;AS1075)+SUMIFS($AP$7:$AP$1843,$BY$7:$BY$1843,BY1075,$AS$7:$AS$1843,AS1075,$BQ$7:$BQ$1843,"&lt;="&amp;BQ1075),"")</f>
        <v/>
      </c>
      <c r="AU1075" s="65" t="n">
        <f aca="false">IF(AT1075="",0,MAX(0,MIN(1,(IF(BY1075="L1",Parameter!$E$5,Parameter!$E$6+Parameter!$E$7)-(AT1075-AP1075))/AP1075)))</f>
        <v>0</v>
      </c>
      <c r="AV1075" s="57" t="n">
        <f aca="false">IF(LEFT(Cockpit!$O$5,1)="A",H1075,IF(CA1075=1,CB1075,IF(LEFT(Cockpit!$O$5,1)="B",AZ1075,MAX(AZ1075,H1075))))</f>
        <v>3</v>
      </c>
      <c r="AW1075" s="57" t="n">
        <f aca="false">IF(BT1075=1,0,ROUNDUP(AV1075/BS1075,0))</f>
        <v>1</v>
      </c>
      <c r="AX1075" s="59" t="n">
        <f aca="false">IF(CH1075&gt;0,CH1075*MAX(1,AV1075/X1075),IF(BT1075=1,IF(AV1075&lt;=0,0,BW1075*MAX(1,IF(H1075&gt;0,AV1075/H1075,1))),IF(R1075&gt;0,AW1075/R1075,0))/MAX(0.1,N(Parameter!$M$21)))</f>
        <v>0.00757575757575758</v>
      </c>
      <c r="AY1075" s="57" t="n">
        <f aca="false">AV1075*G1075</f>
        <v>333.3</v>
      </c>
      <c r="AZ1075" s="57" t="n">
        <f aca="false">ROUNDUP(MAX(J1075/IF(BZ1075&gt;0,BZ1075,MAX(0.1,N(Cockpit!$O$6))),CC1075)/BS1075,0)*BS1075</f>
        <v>3</v>
      </c>
      <c r="BA1075" s="58" t="n">
        <f aca="false">IF(AX1075&gt;0,J1075/AX1075,-1)</f>
        <v>264</v>
      </c>
      <c r="BB1075" s="58" t="str">
        <f aca="false">IF(AND(OR(BY1075="L1",BY1075="L23"),AX1075&gt;0),SUMIFS($AX$7:$AX$1843,$BY$7:$BY$1843,BY1075,$BA$7:$BA$1843,"&gt;"&amp;BA1075)+SUMIFS($AX$7:$AX$1843,$BY$7:$BY$1843,BY1075,$BA$7:$BA$1843,BA1075,$BQ$7:$BQ$1843,"&lt;="&amp;BQ1075),"")</f>
        <v/>
      </c>
      <c r="BC1075" s="65" t="n">
        <f aca="false">IF(BB1075="",0,MAX(0,MIN(1,(IF(BY1075="L1",Parameter!$E$5,Parameter!$E$6+Parameter!$E$7)-(BB1075-AX1075))/AX1075)))</f>
        <v>0</v>
      </c>
      <c r="BD1075" s="55" t="str">
        <f aca="false">IF(AH1075&lt;=0,"",IF(BY1075="Aussen","Aussenlager",IF(BY1075="-","Nicht im Lift",IF(AM1075&gt;=1,"Lift",IF(AM1075&lt;=0,"Aussenlager","teilweise")))))</f>
        <v>Nicht im Lift</v>
      </c>
      <c r="BE1075" s="55" t="str">
        <f aca="false">IF(AP1075&lt;=0,"",IF(BY1075="Aussen","Aussenlager",IF(BY1075="-","Nicht im Lift",IF(AU1075&gt;=1,"Lift",IF(AU1075&lt;=0,"Aussenlager","teilweise")))))</f>
        <v>Nicht im Lift</v>
      </c>
      <c r="BF1075" s="55" t="str">
        <f aca="false">IF(AX1075&lt;=0,"",IF(BY1075="Aussen","Aussenlager",IF(BY1075="-","Nicht im Lift",IF(BC1075&gt;=1,"Lift",IF(BC1075&lt;=0,"Aussenlager","teilweise")))))</f>
        <v>Nicht im Lift</v>
      </c>
      <c r="BG1075" s="55" t="str">
        <f aca="false">IF(A1075="","",IF(BP1075=1,"Neu; ","")&amp;IF(AND(BP1075=0,BK1075&lt;0),"negativer Bestand (Export "&amp;BK1075&amp;"); ","")&amp;IF(J1075&lt;=0,"Kein Verbrauch; ","")&amp;IF(CH1075&gt;0,"Lift "&amp;W1075&amp;" lt. Liftbericht (Fach "&amp;X1075&amp;" Stk); ",IF(BU1075=1,"Gebinde geschätzt ("&amp;T1075&amp;"); ",IF(BT1075=1,"Lose – Tablare geschätzt; ","")))&amp;IF(H1075&gt;AR1075,"Überbestand "&amp;ROUND(H1075-AR1075,0)&amp;" Stk / CHF "&amp;ROUND((H1075-AR1075)*G1075,0)&amp;"; ","")&amp;IF(AND(CA1075=1,CB1075&lt;CC1075),"MAX &lt; MB+LG; ","")&amp;IF(AND(CG1075&gt;0,CF1075*10&gt;CG1075),"zu hoch für Tablar; ","")&amp;IF(AND(BP1075=0,OR(CA1075=1,AA1075&lt;&gt;"",U1075&lt;&gt;"",V1075&lt;&gt;"",AB1075&lt;&gt;"")),"manuell übersteuert; ","")&amp;IF(AND(BT1075=0,R1075=0),"Gebinde unbekannt / Stellmass fehlt; ","")&amp;IF(AND(BT1075=0,N(V1075)&lt;=0,N(Q1075)&lt;=0),"Menge pro Gebinde fehlt (Ist = 1 Gebinde); ","")&amp;BO1075)</f>
        <v>negativer Bestand (Export -2); Neu</v>
      </c>
      <c r="BH1075" s="55"/>
      <c r="BI1075" s="55"/>
      <c r="BJ1075" s="62"/>
      <c r="BK1075" s="57" t="n">
        <v>-2</v>
      </c>
      <c r="BL1075" s="57" t="n">
        <v>4</v>
      </c>
      <c r="BM1075" s="56" t="n">
        <v>-175.52</v>
      </c>
      <c r="BN1075" s="57" t="n">
        <v>2</v>
      </c>
      <c r="BO1075" s="55" t="s">
        <v>626</v>
      </c>
      <c r="BP1075" s="60" t="n">
        <v>0</v>
      </c>
      <c r="BQ1075" s="60" t="n">
        <v>1075</v>
      </c>
      <c r="BR1075" s="55" t="str">
        <f aca="false">IF(U1075&lt;&gt;"",UPPER(TRIM(U1075)),IF(BU1075=1,UPPER(VLOOKUP(T1075,Parameter!$I$27:$K$29,2,0)),IF(P1075="","LOSE",P1075)))</f>
        <v>S32</v>
      </c>
      <c r="BS1075" s="57" t="n">
        <f aca="false">IF(BR1075="LOSE",1,IF(N(V1075)&gt;0,V1075,IF(BU1075=1,MAX(1,N(VLOOKUP(T1075,Parameter!$I$27:$K$29,3,0)),H1075,N(N1075)),IF(N(Q1075)&gt;0,Q1075,MAX(1,H1075)))))</f>
        <v>3</v>
      </c>
      <c r="BT1075" s="60" t="n">
        <f aca="false">IF(BR1075="LOSE",1,0)</f>
        <v>0</v>
      </c>
      <c r="BU1075" s="60" t="n">
        <f aca="false">IF(AND(U1075="",OR(P1075="",P1075="LOSE"),T1075&lt;&gt;"",N(S1075)&lt;=0,ISNUMBER(MATCH(T1075,Parameter!$I$27:$I$29,0))),1,0)</f>
        <v>0</v>
      </c>
      <c r="BV1075" s="55" t="str">
        <f aca="false">IF(AND(Parameter!$B$19="Ja",E1075&lt;&gt;"",ISNUMBER(MATCH(E1075,Parameter!$I$35:$I$52,0))),VLOOKUP(E1075,Parameter!$I$35:$J$52,2,0),IFERROR(VLOOKUP(D1075,Parameter!$A$35:$C$64,2,0),"Nein"))</f>
        <v>Nein</v>
      </c>
      <c r="BW1075" s="59" t="n">
        <f aca="false">IF(BT1075=0,0,IF(N(S1075)&gt;0,S1075,IFERROR(VLOOKUP(D1075,Parameter!$A$35:$C$64,3,0)+0,0)))</f>
        <v>0</v>
      </c>
      <c r="BX1075" s="55" t="str">
        <f aca="false">IF(AA1075&lt;&gt;"",AA1075,Z1075)</f>
        <v>-</v>
      </c>
      <c r="BY1075" s="55" t="str">
        <f aca="false">IF(BX1075=1,"L1",IF(OR(BX1075=2,BX1075=3),"L23",IF(BX1075="Aussen","Aussen","-")))</f>
        <v>-</v>
      </c>
      <c r="BZ1075" s="66" t="n">
        <f aca="false">IF(N(AB1075)&gt;0,AB1075,0)</f>
        <v>0</v>
      </c>
      <c r="CA1075" s="60" t="n">
        <f aca="false">IF(ISNUMBER(AE1075),1,0)</f>
        <v>0</v>
      </c>
      <c r="CB1075" s="57" t="n">
        <f aca="false">N(AE1075)</f>
        <v>0</v>
      </c>
      <c r="CC1075" s="57" t="n">
        <f aca="false">N(M1075)+N(N1075)</f>
        <v>1</v>
      </c>
      <c r="CD1075" s="57" t="n">
        <f aca="false">ROUNDUP(H1075/BS1075,0)</f>
        <v>1</v>
      </c>
      <c r="CE1075" s="57" t="n">
        <f aca="false">ROUNDUP(CB1075/BS1075,0)</f>
        <v>0</v>
      </c>
      <c r="CF1075" s="60" t="n">
        <f aca="false">IF(BT1075=1,0,IFERROR(VLOOKUP(BR1075,'Gebinde-Kategorie'!$A$5:$M$45,5,0)+0,0))</f>
        <v>8</v>
      </c>
      <c r="CG1075" s="60" t="n">
        <f aca="false">IFERROR(IF(OR(BX1075=1,BX1075=2,BX1075=3),N(INDEX(Parameter!$I$5:$I$7,BX1075)),0),0)</f>
        <v>0</v>
      </c>
      <c r="CH1075" s="59" t="n">
        <f aca="false">IF(AND(Parameter!$B$21="Ja",ISNUMBER(W1075),N(X1075)&gt;0),IFERROR(N(INDEX(Parameter!$L$5:$L$7,W1075))*INDEX(Parameter!$E$5:$E$7,W1075)*X1075/SUMIFS($X$7:$X$1843,$W$7:$W$1843,W1075),0),0)</f>
        <v>0</v>
      </c>
    </row>
    <row r="1076" customFormat="false" ht="15" hidden="false" customHeight="false" outlineLevel="0" collapsed="false">
      <c r="A1076" s="55" t="s">
        <v>1964</v>
      </c>
      <c r="B1076" s="55" t="s">
        <v>1912</v>
      </c>
      <c r="C1076" s="55" t="s">
        <v>456</v>
      </c>
      <c r="D1076" s="55" t="s">
        <v>184</v>
      </c>
      <c r="E1076" s="55" t="s">
        <v>185</v>
      </c>
      <c r="F1076" s="55" t="s">
        <v>218</v>
      </c>
      <c r="G1076" s="56" t="n">
        <v>6.84</v>
      </c>
      <c r="H1076" s="57" t="n">
        <f aca="false">MAX(0,IF(AND(Parameter!$B$21="Ja",ISNUMBER(Y1076)),Y1076,IF(Parameter!$B$20="Jahresanfang 2025 + Export",BL1076+BK1076,BK1076)))</f>
        <v>26</v>
      </c>
      <c r="I1076" s="57" t="n">
        <f aca="false">H1076*G1076</f>
        <v>177.84</v>
      </c>
      <c r="J1076" s="57" t="n">
        <f aca="false">BN1076*Parameter!$B$18</f>
        <v>26</v>
      </c>
      <c r="K1076" s="58" t="n">
        <v>26</v>
      </c>
      <c r="L1076" s="59" t="n">
        <v>1</v>
      </c>
      <c r="M1076" s="57" t="n">
        <v>1</v>
      </c>
      <c r="N1076" s="57" t="n">
        <v>25</v>
      </c>
      <c r="O1076" s="60" t="n">
        <v>21</v>
      </c>
      <c r="P1076" s="55" t="s">
        <v>421</v>
      </c>
      <c r="Q1076" s="57" t="n">
        <v>13</v>
      </c>
      <c r="R1076" s="60" t="n">
        <f aca="false">IF(BT1076=1,0,IFERROR(VLOOKUP(BR1076,'Gebinde-Kategorie'!$A$5:$M$45,13,0)+0,0))</f>
        <v>132</v>
      </c>
      <c r="S1076" s="61"/>
      <c r="T1076" s="62"/>
      <c r="U1076" s="62"/>
      <c r="V1076" s="62"/>
      <c r="W1076" s="55"/>
      <c r="X1076" s="57"/>
      <c r="Y1076" s="57"/>
      <c r="Z1076" s="55" t="n">
        <f aca="false">IF(A1076="","",IF(AND(Parameter!$B$21="Ja",ISNUMBER(W1076)),W1076,IF(BV1076="2+3",IF(ISNUMBER(SEARCH("grosser Artikel",BO1076)),2,IFERROR(VLOOKUP(BR1076,Parameter!$F$35:$G$64,2,0),2)),IF(OR(BV1076="Nein",BV1076=""),"-",BV1076))))</f>
        <v>3</v>
      </c>
      <c r="AA1076" s="62"/>
      <c r="AB1076" s="63"/>
      <c r="AC1076" s="57" t="n">
        <f aca="false">AR1076</f>
        <v>26</v>
      </c>
      <c r="AD1076" s="57" t="n">
        <f aca="false">MAX(AR1076,H1076)</f>
        <v>26</v>
      </c>
      <c r="AE1076" s="64"/>
      <c r="AF1076" s="57" t="n">
        <f aca="false">IF(LEFT(Cockpit!$C$5,1)="A",H1076,IF(CA1076=1,CB1076,IF(LEFT(Cockpit!$C$5,1)="B",AJ1076,MAX(AJ1076,H1076))))</f>
        <v>26</v>
      </c>
      <c r="AG1076" s="57" t="n">
        <f aca="false">IF(BT1076=1,0,ROUNDUP(AF1076/BS1076,0))</f>
        <v>2</v>
      </c>
      <c r="AH1076" s="59" t="n">
        <f aca="false">IF(CH1076&gt;0,CH1076*MAX(1,AF1076/X1076),IF(BT1076=1,IF(AF1076&lt;=0,0,BW1076*MAX(1,IF(H1076&gt;0,AF1076/H1076,1))),IF(R1076&gt;0,AG1076/R1076,0))/MAX(0.1,N(Parameter!$M$21)))</f>
        <v>0.0151515151515152</v>
      </c>
      <c r="AI1076" s="57" t="n">
        <f aca="false">AF1076*G1076</f>
        <v>177.84</v>
      </c>
      <c r="AJ1076" s="57" t="n">
        <f aca="false">ROUNDUP(MAX(J1076/IF(BZ1076&gt;0,BZ1076,MAX(0.1,N(Cockpit!$C$6))),CC1076)/BS1076,0)*BS1076</f>
        <v>26</v>
      </c>
      <c r="AK1076" s="58" t="n">
        <f aca="false">IF(AH1076&gt;0,J1076/AH1076,-1)</f>
        <v>1716</v>
      </c>
      <c r="AL1076" s="58" t="n">
        <f aca="false">IF(AND(OR(BY1076="L1",BY1076="L23"),AH1076&gt;0),SUMIFS($AH$7:$AH$1843,$BY$7:$BY$1843,BY1076,$AK$7:$AK$1843,"&gt;"&amp;AK1076)+SUMIFS($AH$7:$AH$1843,$BY$7:$BY$1843,BY1076,$AK$7:$AK$1843,AK1076,$BQ$7:$BQ$1843,"&lt;="&amp;BQ1076),"")</f>
        <v>15.0847268673356</v>
      </c>
      <c r="AM1076" s="65" t="n">
        <f aca="false">IF(AL1076="",0,MAX(0,MIN(1,(IF(BY1076="L1",Parameter!$E$5,Parameter!$E$6+Parameter!$E$7)-(AL1076-AH1076))/AH1076)))</f>
        <v>1</v>
      </c>
      <c r="AN1076" s="57" t="n">
        <f aca="false">IF(LEFT(Cockpit!$I$5,1)="A",H1076,IF(CA1076=1,CB1076,IF(LEFT(Cockpit!$I$5,1)="B",AR1076,MAX(AR1076,H1076))))</f>
        <v>26</v>
      </c>
      <c r="AO1076" s="57" t="n">
        <f aca="false">IF(BT1076=1,0,ROUNDUP(AN1076/BS1076,0))</f>
        <v>2</v>
      </c>
      <c r="AP1076" s="59" t="n">
        <f aca="false">IF(CH1076&gt;0,CH1076*MAX(1,AN1076/X1076),IF(BT1076=1,IF(AN1076&lt;=0,0,BW1076*MAX(1,IF(H1076&gt;0,AN1076/H1076,1))),IF(R1076&gt;0,AO1076/R1076,0))/MAX(0.1,N(Parameter!$M$21)))</f>
        <v>0.0151515151515152</v>
      </c>
      <c r="AQ1076" s="57" t="n">
        <f aca="false">AN1076*G1076</f>
        <v>177.84</v>
      </c>
      <c r="AR1076" s="57" t="n">
        <f aca="false">ROUNDUP(MAX(J1076/IF(BZ1076&gt;0,BZ1076,MAX(0.1,N(Cockpit!$I$6))),CC1076)/BS1076,0)*BS1076</f>
        <v>26</v>
      </c>
      <c r="AS1076" s="58" t="n">
        <f aca="false">IF(AP1076&gt;0,J1076/AP1076,-1)</f>
        <v>1716</v>
      </c>
      <c r="AT1076" s="58" t="n">
        <f aca="false">IF(AND(OR(BY1076="L1",BY1076="L23"),AP1076&gt;0),SUMIFS($AP$7:$AP$1843,$BY$7:$BY$1843,BY1076,$AS$7:$AS$1843,"&gt;"&amp;AS1076)+SUMIFS($AP$7:$AP$1843,$BY$7:$BY$1843,BY1076,$AS$7:$AS$1843,AS1076,$BQ$7:$BQ$1843,"&lt;="&amp;BQ1076),"")</f>
        <v>19.6928819972298</v>
      </c>
      <c r="AU1076" s="65" t="n">
        <f aca="false">IF(AT1076="",0,MAX(0,MIN(1,(IF(BY1076="L1",Parameter!$E$5,Parameter!$E$6+Parameter!$E$7)-(AT1076-AP1076))/AP1076)))</f>
        <v>1</v>
      </c>
      <c r="AV1076" s="57" t="n">
        <f aca="false">IF(LEFT(Cockpit!$O$5,1)="A",H1076,IF(CA1076=1,CB1076,IF(LEFT(Cockpit!$O$5,1)="B",AZ1076,MAX(AZ1076,H1076))))</f>
        <v>26</v>
      </c>
      <c r="AW1076" s="57" t="n">
        <f aca="false">IF(BT1076=1,0,ROUNDUP(AV1076/BS1076,0))</f>
        <v>2</v>
      </c>
      <c r="AX1076" s="59" t="n">
        <f aca="false">IF(CH1076&gt;0,CH1076*MAX(1,AV1076/X1076),IF(BT1076=1,IF(AV1076&lt;=0,0,BW1076*MAX(1,IF(H1076&gt;0,AV1076/H1076,1))),IF(R1076&gt;0,AW1076/R1076,0))/MAX(0.1,N(Parameter!$M$21)))</f>
        <v>0.0151515151515152</v>
      </c>
      <c r="AY1076" s="57" t="n">
        <f aca="false">AV1076*G1076</f>
        <v>177.84</v>
      </c>
      <c r="AZ1076" s="57" t="n">
        <f aca="false">ROUNDUP(MAX(J1076/IF(BZ1076&gt;0,BZ1076,MAX(0.1,N(Cockpit!$O$6))),CC1076)/BS1076,0)*BS1076</f>
        <v>26</v>
      </c>
      <c r="BA1076" s="58" t="n">
        <f aca="false">IF(AX1076&gt;0,J1076/AX1076,-1)</f>
        <v>1716</v>
      </c>
      <c r="BB1076" s="58" t="n">
        <f aca="false">IF(AND(OR(BY1076="L1",BY1076="L23"),AX1076&gt;0),SUMIFS($AX$7:$AX$1843,$BY$7:$BY$1843,BY1076,$BA$7:$BA$1843,"&gt;"&amp;BA1076)+SUMIFS($AX$7:$AX$1843,$BY$7:$BY$1843,BY1076,$BA$7:$BA$1843,BA1076,$BQ$7:$BQ$1843,"&lt;="&amp;BQ1076),"")</f>
        <v>18.5547701091179</v>
      </c>
      <c r="BC1076" s="65" t="n">
        <f aca="false">IF(BB1076="",0,MAX(0,MIN(1,(IF(BY1076="L1",Parameter!$E$5,Parameter!$E$6+Parameter!$E$7)-(BB1076-AX1076))/AX1076)))</f>
        <v>1</v>
      </c>
      <c r="BD1076" s="55" t="str">
        <f aca="false">IF(AH1076&lt;=0,"",IF(BY1076="Aussen","Aussenlager",IF(BY1076="-","Nicht im Lift",IF(AM1076&gt;=1,"Lift",IF(AM1076&lt;=0,"Aussenlager","teilweise")))))</f>
        <v>Lift</v>
      </c>
      <c r="BE1076" s="55" t="str">
        <f aca="false">IF(AP1076&lt;=0,"",IF(BY1076="Aussen","Aussenlager",IF(BY1076="-","Nicht im Lift",IF(AU1076&gt;=1,"Lift",IF(AU1076&lt;=0,"Aussenlager","teilweise")))))</f>
        <v>Lift</v>
      </c>
      <c r="BF1076" s="55" t="str">
        <f aca="false">IF(AX1076&lt;=0,"",IF(BY1076="Aussen","Aussenlager",IF(BY1076="-","Nicht im Lift",IF(BC1076&gt;=1,"Lift",IF(BC1076&lt;=0,"Aussenlager","teilweise")))))</f>
        <v>Lift</v>
      </c>
      <c r="BG1076" s="55" t="str">
        <f aca="false">IF(A1076="","",IF(BP1076=1,"Neu; ","")&amp;IF(AND(BP1076=0,BK1076&lt;0),"negativer Bestand (Export "&amp;BK1076&amp;"); ","")&amp;IF(J1076&lt;=0,"Kein Verbrauch; ","")&amp;IF(CH1076&gt;0,"Lift "&amp;W1076&amp;" lt. Liftbericht (Fach "&amp;X1076&amp;" Stk); ",IF(BU1076=1,"Gebinde geschätzt ("&amp;T1076&amp;"); ",IF(BT1076=1,"Lose – Tablare geschätzt; ","")))&amp;IF(H1076&gt;AR1076,"Überbestand "&amp;ROUND(H1076-AR1076,0)&amp;" Stk / CHF "&amp;ROUND((H1076-AR1076)*G1076,0)&amp;"; ","")&amp;IF(AND(CA1076=1,CB1076&lt;CC1076),"MAX &lt; MB+LG; ","")&amp;IF(AND(CG1076&gt;0,CF1076*10&gt;CG1076),"zu hoch für Tablar; ","")&amp;IF(AND(BP1076=0,OR(CA1076=1,AA1076&lt;&gt;"",U1076&lt;&gt;"",V1076&lt;&gt;"",AB1076&lt;&gt;"")),"manuell übersteuert; ","")&amp;IF(AND(BT1076=0,R1076=0),"Gebinde unbekannt / Stellmass fehlt; ","")&amp;IF(AND(BT1076=0,N(V1076)&lt;=0,N(Q1076)&lt;=0),"Menge pro Gebinde fehlt (Ist = 1 Gebinde); ","")&amp;BO1076)</f>
        <v>negativer Bestand (Export -26); </v>
      </c>
      <c r="BH1076" s="55"/>
      <c r="BI1076" s="55"/>
      <c r="BJ1076" s="62"/>
      <c r="BK1076" s="57" t="n">
        <v>-26</v>
      </c>
      <c r="BL1076" s="57" t="n">
        <v>52</v>
      </c>
      <c r="BM1076" s="56" t="n">
        <v>-177.84</v>
      </c>
      <c r="BN1076" s="57" t="n">
        <v>26</v>
      </c>
      <c r="BO1076" s="55"/>
      <c r="BP1076" s="60" t="n">
        <v>0</v>
      </c>
      <c r="BQ1076" s="60" t="n">
        <v>1076</v>
      </c>
      <c r="BR1076" s="55" t="str">
        <f aca="false">IF(U1076&lt;&gt;"",UPPER(TRIM(U1076)),IF(BU1076=1,UPPER(VLOOKUP(T1076,Parameter!$I$27:$K$29,2,0)),IF(P1076="","LOSE",P1076)))</f>
        <v>S32</v>
      </c>
      <c r="BS1076" s="57" t="n">
        <f aca="false">IF(BR1076="LOSE",1,IF(N(V1076)&gt;0,V1076,IF(BU1076=1,MAX(1,N(VLOOKUP(T1076,Parameter!$I$27:$K$29,3,0)),H1076,N(N1076)),IF(N(Q1076)&gt;0,Q1076,MAX(1,H1076)))))</f>
        <v>13</v>
      </c>
      <c r="BT1076" s="60" t="n">
        <f aca="false">IF(BR1076="LOSE",1,0)</f>
        <v>0</v>
      </c>
      <c r="BU1076" s="60" t="n">
        <f aca="false">IF(AND(U1076="",OR(P1076="",P1076="LOSE"),T1076&lt;&gt;"",N(S1076)&lt;=0,ISNUMBER(MATCH(T1076,Parameter!$I$27:$I$29,0))),1,0)</f>
        <v>0</v>
      </c>
      <c r="BV1076" s="55" t="str">
        <f aca="false">IF(AND(Parameter!$B$19="Ja",E1076&lt;&gt;"",ISNUMBER(MATCH(E1076,Parameter!$I$35:$I$52,0))),VLOOKUP(E1076,Parameter!$I$35:$J$52,2,0),IFERROR(VLOOKUP(D1076,Parameter!$A$35:$C$64,2,0),"Nein"))</f>
        <v>2+3</v>
      </c>
      <c r="BW1076" s="59" t="n">
        <f aca="false">IF(BT1076=0,0,IF(N(S1076)&gt;0,S1076,IFERROR(VLOOKUP(D1076,Parameter!$A$35:$C$64,3,0)+0,0)))</f>
        <v>0</v>
      </c>
      <c r="BX1076" s="55" t="n">
        <f aca="false">IF(AA1076&lt;&gt;"",AA1076,Z1076)</f>
        <v>3</v>
      </c>
      <c r="BY1076" s="55" t="str">
        <f aca="false">IF(BX1076=1,"L1",IF(OR(BX1076=2,BX1076=3),"L23",IF(BX1076="Aussen","Aussen","-")))</f>
        <v>L23</v>
      </c>
      <c r="BZ1076" s="66" t="n">
        <f aca="false">IF(N(AB1076)&gt;0,AB1076,0)</f>
        <v>0</v>
      </c>
      <c r="CA1076" s="60" t="n">
        <f aca="false">IF(ISNUMBER(AE1076),1,0)</f>
        <v>0</v>
      </c>
      <c r="CB1076" s="57" t="n">
        <f aca="false">N(AE1076)</f>
        <v>0</v>
      </c>
      <c r="CC1076" s="57" t="n">
        <f aca="false">N(M1076)+N(N1076)</f>
        <v>26</v>
      </c>
      <c r="CD1076" s="57" t="n">
        <f aca="false">ROUNDUP(H1076/BS1076,0)</f>
        <v>2</v>
      </c>
      <c r="CE1076" s="57" t="n">
        <f aca="false">ROUNDUP(CB1076/BS1076,0)</f>
        <v>0</v>
      </c>
      <c r="CF1076" s="60" t="n">
        <f aca="false">IF(BT1076=1,0,IFERROR(VLOOKUP(BR1076,'Gebinde-Kategorie'!$A$5:$M$45,5,0)+0,0))</f>
        <v>8</v>
      </c>
      <c r="CG1076" s="60" t="n">
        <f aca="false">IFERROR(IF(OR(BX1076=1,BX1076=2,BX1076=3),N(INDEX(Parameter!$I$5:$I$7,BX1076)),0),0)</f>
        <v>0</v>
      </c>
      <c r="CH1076" s="59" t="n">
        <f aca="false">IF(AND(Parameter!$B$21="Ja",ISNUMBER(W1076),N(X1076)&gt;0),IFERROR(N(INDEX(Parameter!$L$5:$L$7,W1076))*INDEX(Parameter!$E$5:$E$7,W1076)*X1076/SUMIFS($X$7:$X$1843,$W$7:$W$1843,W1076),0),0)</f>
        <v>0</v>
      </c>
    </row>
    <row r="1077" customFormat="false" ht="15" hidden="false" customHeight="false" outlineLevel="0" collapsed="false">
      <c r="A1077" s="55" t="s">
        <v>1965</v>
      </c>
      <c r="B1077" s="55" t="s">
        <v>1966</v>
      </c>
      <c r="C1077" s="55" t="s">
        <v>164</v>
      </c>
      <c r="D1077" s="55" t="s">
        <v>184</v>
      </c>
      <c r="E1077" s="55" t="s">
        <v>185</v>
      </c>
      <c r="F1077" s="55" t="s">
        <v>218</v>
      </c>
      <c r="G1077" s="56" t="n">
        <v>12.9</v>
      </c>
      <c r="H1077" s="57" t="n">
        <f aca="false">MAX(0,IF(AND(Parameter!$B$21="Ja",ISNUMBER(Y1077)),Y1077,IF(Parameter!$B$20="Jahresanfang 2025 + Export",BL1077+BK1077,BK1077)))</f>
        <v>13</v>
      </c>
      <c r="I1077" s="57" t="n">
        <f aca="false">H1077*G1077</f>
        <v>167.7</v>
      </c>
      <c r="J1077" s="57" t="n">
        <f aca="false">BN1077*Parameter!$B$18</f>
        <v>8</v>
      </c>
      <c r="K1077" s="58" t="n">
        <v>23</v>
      </c>
      <c r="L1077" s="59" t="n">
        <v>0.347826086956522</v>
      </c>
      <c r="M1077" s="57" t="n">
        <v>0</v>
      </c>
      <c r="N1077" s="57" t="n">
        <v>10</v>
      </c>
      <c r="O1077" s="60" t="n">
        <v>28</v>
      </c>
      <c r="P1077" s="55" t="s">
        <v>401</v>
      </c>
      <c r="Q1077" s="57" t="n">
        <v>29</v>
      </c>
      <c r="R1077" s="60" t="n">
        <f aca="false">IF(BT1077=1,0,IFERROR(VLOOKUP(BR1077,'Gebinde-Kategorie'!$A$5:$M$45,13,0)+0,0))</f>
        <v>414</v>
      </c>
      <c r="S1077" s="61"/>
      <c r="T1077" s="62"/>
      <c r="U1077" s="62"/>
      <c r="V1077" s="62"/>
      <c r="W1077" s="55"/>
      <c r="X1077" s="57"/>
      <c r="Y1077" s="57"/>
      <c r="Z1077" s="55" t="n">
        <f aca="false">IF(A1077="","",IF(AND(Parameter!$B$21="Ja",ISNUMBER(W1077)),W1077,IF(BV1077="2+3",IF(ISNUMBER(SEARCH("grosser Artikel",BO1077)),2,IFERROR(VLOOKUP(BR1077,Parameter!$F$35:$G$64,2,0),2)),IF(OR(BV1077="Nein",BV1077=""),"-",BV1077))))</f>
        <v>3</v>
      </c>
      <c r="AA1077" s="62"/>
      <c r="AB1077" s="63"/>
      <c r="AC1077" s="57" t="n">
        <f aca="false">AR1077</f>
        <v>29</v>
      </c>
      <c r="AD1077" s="57" t="n">
        <f aca="false">MAX(AR1077,H1077)</f>
        <v>29</v>
      </c>
      <c r="AE1077" s="64"/>
      <c r="AF1077" s="57" t="n">
        <f aca="false">IF(LEFT(Cockpit!$C$5,1)="A",H1077,IF(CA1077=1,CB1077,IF(LEFT(Cockpit!$C$5,1)="B",AJ1077,MAX(AJ1077,H1077))))</f>
        <v>13</v>
      </c>
      <c r="AG1077" s="57" t="n">
        <f aca="false">IF(BT1077=1,0,ROUNDUP(AF1077/BS1077,0))</f>
        <v>1</v>
      </c>
      <c r="AH1077" s="59" t="n">
        <f aca="false">IF(CH1077&gt;0,CH1077*MAX(1,AF1077/X1077),IF(BT1077=1,IF(AF1077&lt;=0,0,BW1077*MAX(1,IF(H1077&gt;0,AF1077/H1077,1))),IF(R1077&gt;0,AG1077/R1077,0))/MAX(0.1,N(Parameter!$M$21)))</f>
        <v>0.00241545893719807</v>
      </c>
      <c r="AI1077" s="57" t="n">
        <f aca="false">AF1077*G1077</f>
        <v>167.7</v>
      </c>
      <c r="AJ1077" s="57" t="n">
        <f aca="false">ROUNDUP(MAX(J1077/IF(BZ1077&gt;0,BZ1077,MAX(0.1,N(Cockpit!$C$6))),CC1077)/BS1077,0)*BS1077</f>
        <v>29</v>
      </c>
      <c r="AK1077" s="58" t="n">
        <f aca="false">IF(AH1077&gt;0,J1077/AH1077,-1)</f>
        <v>3312</v>
      </c>
      <c r="AL1077" s="58" t="n">
        <f aca="false">IF(AND(OR(BY1077="L1",BY1077="L23"),AH1077&gt;0),SUMIFS($AH$7:$AH$1843,$BY$7:$BY$1843,BY1077,$AK$7:$AK$1843,"&gt;"&amp;AK1077)+SUMIFS($AH$7:$AH$1843,$BY$7:$BY$1843,BY1077,$AK$7:$AK$1843,AK1077,$BQ$7:$BQ$1843,"&lt;="&amp;BQ1077),"")</f>
        <v>10.5458683828249</v>
      </c>
      <c r="AM1077" s="65" t="n">
        <f aca="false">IF(AL1077="",0,MAX(0,MIN(1,(IF(BY1077="L1",Parameter!$E$5,Parameter!$E$6+Parameter!$E$7)-(AL1077-AH1077))/AH1077)))</f>
        <v>1</v>
      </c>
      <c r="AN1077" s="57" t="n">
        <f aca="false">IF(LEFT(Cockpit!$I$5,1)="A",H1077,IF(CA1077=1,CB1077,IF(LEFT(Cockpit!$I$5,1)="B",AR1077,MAX(AR1077,H1077))))</f>
        <v>29</v>
      </c>
      <c r="AO1077" s="57" t="n">
        <f aca="false">IF(BT1077=1,0,ROUNDUP(AN1077/BS1077,0))</f>
        <v>1</v>
      </c>
      <c r="AP1077" s="59" t="n">
        <f aca="false">IF(CH1077&gt;0,CH1077*MAX(1,AN1077/X1077),IF(BT1077=1,IF(AN1077&lt;=0,0,BW1077*MAX(1,IF(H1077&gt;0,AN1077/H1077,1))),IF(R1077&gt;0,AO1077/R1077,0))/MAX(0.1,N(Parameter!$M$21)))</f>
        <v>0.00241545893719807</v>
      </c>
      <c r="AQ1077" s="57" t="n">
        <f aca="false">AN1077*G1077</f>
        <v>374.1</v>
      </c>
      <c r="AR1077" s="57" t="n">
        <f aca="false">ROUNDUP(MAX(J1077/IF(BZ1077&gt;0,BZ1077,MAX(0.1,N(Cockpit!$I$6))),CC1077)/BS1077,0)*BS1077</f>
        <v>29</v>
      </c>
      <c r="AS1077" s="58" t="n">
        <f aca="false">IF(AP1077&gt;0,J1077/AP1077,-1)</f>
        <v>3312</v>
      </c>
      <c r="AT1077" s="58" t="n">
        <f aca="false">IF(AND(OR(BY1077="L1",BY1077="L23"),AP1077&gt;0),SUMIFS($AP$7:$AP$1843,$BY$7:$BY$1843,BY1077,$AS$7:$AS$1843,"&gt;"&amp;AS1077)+SUMIFS($AP$7:$AP$1843,$BY$7:$BY$1843,BY1077,$AS$7:$AS$1843,AS1077,$BQ$7:$BQ$1843,"&lt;="&amp;BQ1077),"")</f>
        <v>15.297464612682</v>
      </c>
      <c r="AU1077" s="65" t="n">
        <f aca="false">IF(AT1077="",0,MAX(0,MIN(1,(IF(BY1077="L1",Parameter!$E$5,Parameter!$E$6+Parameter!$E$7)-(AT1077-AP1077))/AP1077)))</f>
        <v>1</v>
      </c>
      <c r="AV1077" s="57" t="n">
        <f aca="false">IF(LEFT(Cockpit!$O$5,1)="A",H1077,IF(CA1077=1,CB1077,IF(LEFT(Cockpit!$O$5,1)="B",AZ1077,MAX(AZ1077,H1077))))</f>
        <v>29</v>
      </c>
      <c r="AW1077" s="57" t="n">
        <f aca="false">IF(BT1077=1,0,ROUNDUP(AV1077/BS1077,0))</f>
        <v>1</v>
      </c>
      <c r="AX1077" s="59" t="n">
        <f aca="false">IF(CH1077&gt;0,CH1077*MAX(1,AV1077/X1077),IF(BT1077=1,IF(AV1077&lt;=0,0,BW1077*MAX(1,IF(H1077&gt;0,AV1077/H1077,1))),IF(R1077&gt;0,AW1077/R1077,0))/MAX(0.1,N(Parameter!$M$21)))</f>
        <v>0.00241545893719807</v>
      </c>
      <c r="AY1077" s="57" t="n">
        <f aca="false">AV1077*G1077</f>
        <v>374.1</v>
      </c>
      <c r="AZ1077" s="57" t="n">
        <f aca="false">ROUNDUP(MAX(J1077/IF(BZ1077&gt;0,BZ1077,MAX(0.1,N(Cockpit!$O$6))),CC1077)/BS1077,0)*BS1077</f>
        <v>29</v>
      </c>
      <c r="BA1077" s="58" t="n">
        <f aca="false">IF(AX1077&gt;0,J1077/AX1077,-1)</f>
        <v>3312</v>
      </c>
      <c r="BB1077" s="58" t="n">
        <f aca="false">IF(AND(OR(BY1077="L1",BY1077="L23"),AX1077&gt;0),SUMIFS($AX$7:$AX$1843,$BY$7:$BY$1843,BY1077,$BA$7:$BA$1843,"&gt;"&amp;BA1077)+SUMIFS($AX$7:$AX$1843,$BY$7:$BY$1843,BY1077,$BA$7:$BA$1843,BA1077,$BQ$7:$BQ$1843,"&lt;="&amp;BQ1077),"")</f>
        <v>13.8644809296983</v>
      </c>
      <c r="BC1077" s="65" t="n">
        <f aca="false">IF(BB1077="",0,MAX(0,MIN(1,(IF(BY1077="L1",Parameter!$E$5,Parameter!$E$6+Parameter!$E$7)-(BB1077-AX1077))/AX1077)))</f>
        <v>1</v>
      </c>
      <c r="BD1077" s="55" t="str">
        <f aca="false">IF(AH1077&lt;=0,"",IF(BY1077="Aussen","Aussenlager",IF(BY1077="-","Nicht im Lift",IF(AM1077&gt;=1,"Lift",IF(AM1077&lt;=0,"Aussenlager","teilweise")))))</f>
        <v>Lift</v>
      </c>
      <c r="BE1077" s="55" t="str">
        <f aca="false">IF(AP1077&lt;=0,"",IF(BY1077="Aussen","Aussenlager",IF(BY1077="-","Nicht im Lift",IF(AU1077&gt;=1,"Lift",IF(AU1077&lt;=0,"Aussenlager","teilweise")))))</f>
        <v>Lift</v>
      </c>
      <c r="BF1077" s="55" t="str">
        <f aca="false">IF(AX1077&lt;=0,"",IF(BY1077="Aussen","Aussenlager",IF(BY1077="-","Nicht im Lift",IF(BC1077&gt;=1,"Lift",IF(BC1077&lt;=0,"Aussenlager","teilweise")))))</f>
        <v>Lift</v>
      </c>
      <c r="BG1077" s="55" t="str">
        <f aca="false">IF(A1077="","",IF(BP1077=1,"Neu; ","")&amp;IF(AND(BP1077=0,BK1077&lt;0),"negativer Bestand (Export "&amp;BK1077&amp;"); ","")&amp;IF(J1077&lt;=0,"Kein Verbrauch; ","")&amp;IF(CH1077&gt;0,"Lift "&amp;W1077&amp;" lt. Liftbericht (Fach "&amp;X1077&amp;" Stk); ",IF(BU1077=1,"Gebinde geschätzt ("&amp;T1077&amp;"); ",IF(BT1077=1,"Lose – Tablare geschätzt; ","")))&amp;IF(H1077&gt;AR1077,"Überbestand "&amp;ROUND(H1077-AR1077,0)&amp;" Stk / CHF "&amp;ROUND((H1077-AR1077)*G1077,0)&amp;"; ","")&amp;IF(AND(CA1077=1,CB1077&lt;CC1077),"MAX &lt; MB+LG; ","")&amp;IF(AND(CG1077&gt;0,CF1077*10&gt;CG1077),"zu hoch für Tablar; ","")&amp;IF(AND(BP1077=0,OR(CA1077=1,AA1077&lt;&gt;"",U1077&lt;&gt;"",V1077&lt;&gt;"",AB1077&lt;&gt;"")),"manuell übersteuert; ","")&amp;IF(AND(BT1077=0,R1077=0),"Gebinde unbekannt / Stellmass fehlt; ","")&amp;IF(AND(BT1077=0,N(V1077)&lt;=0,N(Q1077)&lt;=0),"Menge pro Gebinde fehlt (Ist = 1 Gebinde); ","")&amp;BO1077)</f>
        <v>negativer Bestand (Export -14); </v>
      </c>
      <c r="BH1077" s="55"/>
      <c r="BI1077" s="55"/>
      <c r="BJ1077" s="62"/>
      <c r="BK1077" s="57" t="n">
        <v>-14</v>
      </c>
      <c r="BL1077" s="57" t="n">
        <v>27</v>
      </c>
      <c r="BM1077" s="56" t="n">
        <v>-180.6</v>
      </c>
      <c r="BN1077" s="57" t="n">
        <v>8</v>
      </c>
      <c r="BO1077" s="55"/>
      <c r="BP1077" s="60" t="n">
        <v>0</v>
      </c>
      <c r="BQ1077" s="60" t="n">
        <v>1077</v>
      </c>
      <c r="BR1077" s="55" t="str">
        <f aca="false">IF(U1077&lt;&gt;"",UPPER(TRIM(U1077)),IF(BU1077=1,UPPER(VLOOKUP(T1077,Parameter!$I$27:$K$29,2,0)),IF(P1077="","LOSE",P1077)))</f>
        <v>S21</v>
      </c>
      <c r="BS1077" s="57" t="n">
        <f aca="false">IF(BR1077="LOSE",1,IF(N(V1077)&gt;0,V1077,IF(BU1077=1,MAX(1,N(VLOOKUP(T1077,Parameter!$I$27:$K$29,3,0)),H1077,N(N1077)),IF(N(Q1077)&gt;0,Q1077,MAX(1,H1077)))))</f>
        <v>29</v>
      </c>
      <c r="BT1077" s="60" t="n">
        <f aca="false">IF(BR1077="LOSE",1,0)</f>
        <v>0</v>
      </c>
      <c r="BU1077" s="60" t="n">
        <f aca="false">IF(AND(U1077="",OR(P1077="",P1077="LOSE"),T1077&lt;&gt;"",N(S1077)&lt;=0,ISNUMBER(MATCH(T1077,Parameter!$I$27:$I$29,0))),1,0)</f>
        <v>0</v>
      </c>
      <c r="BV1077" s="55" t="str">
        <f aca="false">IF(AND(Parameter!$B$19="Ja",E1077&lt;&gt;"",ISNUMBER(MATCH(E1077,Parameter!$I$35:$I$52,0))),VLOOKUP(E1077,Parameter!$I$35:$J$52,2,0),IFERROR(VLOOKUP(D1077,Parameter!$A$35:$C$64,2,0),"Nein"))</f>
        <v>2+3</v>
      </c>
      <c r="BW1077" s="59" t="n">
        <f aca="false">IF(BT1077=0,0,IF(N(S1077)&gt;0,S1077,IFERROR(VLOOKUP(D1077,Parameter!$A$35:$C$64,3,0)+0,0)))</f>
        <v>0</v>
      </c>
      <c r="BX1077" s="55" t="n">
        <f aca="false">IF(AA1077&lt;&gt;"",AA1077,Z1077)</f>
        <v>3</v>
      </c>
      <c r="BY1077" s="55" t="str">
        <f aca="false">IF(BX1077=1,"L1",IF(OR(BX1077=2,BX1077=3),"L23",IF(BX1077="Aussen","Aussen","-")))</f>
        <v>L23</v>
      </c>
      <c r="BZ1077" s="66" t="n">
        <f aca="false">IF(N(AB1077)&gt;0,AB1077,0)</f>
        <v>0</v>
      </c>
      <c r="CA1077" s="60" t="n">
        <f aca="false">IF(ISNUMBER(AE1077),1,0)</f>
        <v>0</v>
      </c>
      <c r="CB1077" s="57" t="n">
        <f aca="false">N(AE1077)</f>
        <v>0</v>
      </c>
      <c r="CC1077" s="57" t="n">
        <f aca="false">N(M1077)+N(N1077)</f>
        <v>10</v>
      </c>
      <c r="CD1077" s="57" t="n">
        <f aca="false">ROUNDUP(H1077/BS1077,0)</f>
        <v>1</v>
      </c>
      <c r="CE1077" s="57" t="n">
        <f aca="false">ROUNDUP(CB1077/BS1077,0)</f>
        <v>0</v>
      </c>
      <c r="CF1077" s="60" t="n">
        <f aca="false">IF(BT1077=1,0,IFERROR(VLOOKUP(BR1077,'Gebinde-Kategorie'!$A$5:$M$45,5,0)+0,0))</f>
        <v>8</v>
      </c>
      <c r="CG1077" s="60" t="n">
        <f aca="false">IFERROR(IF(OR(BX1077=1,BX1077=2,BX1077=3),N(INDEX(Parameter!$I$5:$I$7,BX1077)),0),0)</f>
        <v>0</v>
      </c>
      <c r="CH1077" s="59" t="n">
        <f aca="false">IF(AND(Parameter!$B$21="Ja",ISNUMBER(W1077),N(X1077)&gt;0),IFERROR(N(INDEX(Parameter!$L$5:$L$7,W1077))*INDEX(Parameter!$E$5:$E$7,W1077)*X1077/SUMIFS($X$7:$X$1843,$W$7:$W$1843,W1077),0),0)</f>
        <v>0</v>
      </c>
    </row>
    <row r="1078" customFormat="false" ht="15" hidden="false" customHeight="false" outlineLevel="0" collapsed="false">
      <c r="A1078" s="55" t="s">
        <v>1967</v>
      </c>
      <c r="B1078" s="55" t="s">
        <v>1968</v>
      </c>
      <c r="C1078" s="55" t="s">
        <v>164</v>
      </c>
      <c r="D1078" s="55" t="s">
        <v>184</v>
      </c>
      <c r="E1078" s="55" t="s">
        <v>185</v>
      </c>
      <c r="F1078" s="55" t="s">
        <v>218</v>
      </c>
      <c r="G1078" s="56" t="n">
        <v>8.9</v>
      </c>
      <c r="H1078" s="57" t="n">
        <f aca="false">MAX(0,IF(AND(Parameter!$B$21="Ja",ISNUMBER(Y1078)),Y1078,IF(Parameter!$B$20="Jahresanfang 2025 + Export",BL1078+BK1078,BK1078)))</f>
        <v>13</v>
      </c>
      <c r="I1078" s="57" t="n">
        <f aca="false">H1078*G1078</f>
        <v>115.7</v>
      </c>
      <c r="J1078" s="57" t="n">
        <f aca="false">BN1078*Parameter!$B$18</f>
        <v>23</v>
      </c>
      <c r="K1078" s="58" t="n">
        <v>34</v>
      </c>
      <c r="L1078" s="59" t="n">
        <v>0.676470588235294</v>
      </c>
      <c r="M1078" s="57" t="n">
        <v>1</v>
      </c>
      <c r="N1078" s="57" t="n">
        <v>25</v>
      </c>
      <c r="O1078" s="60" t="n">
        <v>28</v>
      </c>
      <c r="P1078" s="55" t="s">
        <v>476</v>
      </c>
      <c r="Q1078" s="57" t="n">
        <v>27</v>
      </c>
      <c r="R1078" s="60" t="n">
        <f aca="false">IF(BT1078=1,0,IFERROR(VLOOKUP(BR1078,'Gebinde-Kategorie'!$A$5:$M$45,13,0)+0,0))</f>
        <v>66</v>
      </c>
      <c r="S1078" s="61"/>
      <c r="T1078" s="62"/>
      <c r="U1078" s="62"/>
      <c r="V1078" s="62"/>
      <c r="W1078" s="55"/>
      <c r="X1078" s="57"/>
      <c r="Y1078" s="57"/>
      <c r="Z1078" s="55" t="n">
        <f aca="false">IF(A1078="","",IF(AND(Parameter!$B$21="Ja",ISNUMBER(W1078)),W1078,IF(BV1078="2+3",IF(ISNUMBER(SEARCH("grosser Artikel",BO1078)),2,IFERROR(VLOOKUP(BR1078,Parameter!$F$35:$G$64,2,0),2)),IF(OR(BV1078="Nein",BV1078=""),"-",BV1078))))</f>
        <v>3</v>
      </c>
      <c r="AA1078" s="62"/>
      <c r="AB1078" s="63"/>
      <c r="AC1078" s="57" t="n">
        <f aca="false">AR1078</f>
        <v>27</v>
      </c>
      <c r="AD1078" s="57" t="n">
        <f aca="false">MAX(AR1078,H1078)</f>
        <v>27</v>
      </c>
      <c r="AE1078" s="64"/>
      <c r="AF1078" s="57" t="n">
        <f aca="false">IF(LEFT(Cockpit!$C$5,1)="A",H1078,IF(CA1078=1,CB1078,IF(LEFT(Cockpit!$C$5,1)="B",AJ1078,MAX(AJ1078,H1078))))</f>
        <v>13</v>
      </c>
      <c r="AG1078" s="57" t="n">
        <f aca="false">IF(BT1078=1,0,ROUNDUP(AF1078/BS1078,0))</f>
        <v>1</v>
      </c>
      <c r="AH1078" s="59" t="n">
        <f aca="false">IF(CH1078&gt;0,CH1078*MAX(1,AF1078/X1078),IF(BT1078=1,IF(AF1078&lt;=0,0,BW1078*MAX(1,IF(H1078&gt;0,AF1078/H1078,1))),IF(R1078&gt;0,AG1078/R1078,0))/MAX(0.1,N(Parameter!$M$21)))</f>
        <v>0.0151515151515152</v>
      </c>
      <c r="AI1078" s="57" t="n">
        <f aca="false">AF1078*G1078</f>
        <v>115.7</v>
      </c>
      <c r="AJ1078" s="57" t="n">
        <f aca="false">ROUNDUP(MAX(J1078/IF(BZ1078&gt;0,BZ1078,MAX(0.1,N(Cockpit!$C$6))),CC1078)/BS1078,0)*BS1078</f>
        <v>27</v>
      </c>
      <c r="AK1078" s="58" t="n">
        <f aca="false">IF(AH1078&gt;0,J1078/AH1078,-1)</f>
        <v>1518</v>
      </c>
      <c r="AL1078" s="58" t="n">
        <f aca="false">IF(AND(OR(BY1078="L1",BY1078="L23"),AH1078&gt;0),SUMIFS($AH$7:$AH$1843,$BY$7:$BY$1843,BY1078,$AK$7:$AK$1843,"&gt;"&amp;AK1078)+SUMIFS($AH$7:$AH$1843,$BY$7:$BY$1843,BY1078,$AK$7:$AK$1843,AK1078,$BQ$7:$BQ$1843,"&lt;="&amp;BQ1078),"")</f>
        <v>15.8303773521165</v>
      </c>
      <c r="AM1078" s="65" t="n">
        <f aca="false">IF(AL1078="",0,MAX(0,MIN(1,(IF(BY1078="L1",Parameter!$E$5,Parameter!$E$6+Parameter!$E$7)-(AL1078-AH1078))/AH1078)))</f>
        <v>1</v>
      </c>
      <c r="AN1078" s="57" t="n">
        <f aca="false">IF(LEFT(Cockpit!$I$5,1)="A",H1078,IF(CA1078=1,CB1078,IF(LEFT(Cockpit!$I$5,1)="B",AR1078,MAX(AR1078,H1078))))</f>
        <v>27</v>
      </c>
      <c r="AO1078" s="57" t="n">
        <f aca="false">IF(BT1078=1,0,ROUNDUP(AN1078/BS1078,0))</f>
        <v>1</v>
      </c>
      <c r="AP1078" s="59" t="n">
        <f aca="false">IF(CH1078&gt;0,CH1078*MAX(1,AN1078/X1078),IF(BT1078=1,IF(AN1078&lt;=0,0,BW1078*MAX(1,IF(H1078&gt;0,AN1078/H1078,1))),IF(R1078&gt;0,AO1078/R1078,0))/MAX(0.1,N(Parameter!$M$21)))</f>
        <v>0.0151515151515152</v>
      </c>
      <c r="AQ1078" s="57" t="n">
        <f aca="false">AN1078*G1078</f>
        <v>240.3</v>
      </c>
      <c r="AR1078" s="57" t="n">
        <f aca="false">ROUNDUP(MAX(J1078/IF(BZ1078&gt;0,BZ1078,MAX(0.1,N(Cockpit!$I$6))),CC1078)/BS1078,0)*BS1078</f>
        <v>27</v>
      </c>
      <c r="AS1078" s="58" t="n">
        <f aca="false">IF(AP1078&gt;0,J1078/AP1078,-1)</f>
        <v>1518</v>
      </c>
      <c r="AT1078" s="58" t="n">
        <f aca="false">IF(AND(OR(BY1078="L1",BY1078="L23"),AP1078&gt;0),SUMIFS($AP$7:$AP$1843,$BY$7:$BY$1843,BY1078,$AS$7:$AS$1843,"&gt;"&amp;AS1078)+SUMIFS($AP$7:$AP$1843,$BY$7:$BY$1843,BY1078,$AS$7:$AS$1843,AS1078,$BQ$7:$BQ$1843,"&lt;="&amp;BQ1078),"")</f>
        <v>20.4400273639404</v>
      </c>
      <c r="AU1078" s="65" t="n">
        <f aca="false">IF(AT1078="",0,MAX(0,MIN(1,(IF(BY1078="L1",Parameter!$E$5,Parameter!$E$6+Parameter!$E$7)-(AT1078-AP1078))/AP1078)))</f>
        <v>1</v>
      </c>
      <c r="AV1078" s="57" t="n">
        <f aca="false">IF(LEFT(Cockpit!$O$5,1)="A",H1078,IF(CA1078=1,CB1078,IF(LEFT(Cockpit!$O$5,1)="B",AZ1078,MAX(AZ1078,H1078))))</f>
        <v>27</v>
      </c>
      <c r="AW1078" s="57" t="n">
        <f aca="false">IF(BT1078=1,0,ROUNDUP(AV1078/BS1078,0))</f>
        <v>1</v>
      </c>
      <c r="AX1078" s="59" t="n">
        <f aca="false">IF(CH1078&gt;0,CH1078*MAX(1,AV1078/X1078),IF(BT1078=1,IF(AV1078&lt;=0,0,BW1078*MAX(1,IF(H1078&gt;0,AV1078/H1078,1))),IF(R1078&gt;0,AW1078/R1078,0))/MAX(0.1,N(Parameter!$M$21)))</f>
        <v>0.0151515151515152</v>
      </c>
      <c r="AY1078" s="57" t="n">
        <f aca="false">AV1078*G1078</f>
        <v>240.3</v>
      </c>
      <c r="AZ1078" s="57" t="n">
        <f aca="false">ROUNDUP(MAX(J1078/IF(BZ1078&gt;0,BZ1078,MAX(0.1,N(Cockpit!$O$6))),CC1078)/BS1078,0)*BS1078</f>
        <v>27</v>
      </c>
      <c r="BA1078" s="58" t="n">
        <f aca="false">IF(AX1078&gt;0,J1078/AX1078,-1)</f>
        <v>1518</v>
      </c>
      <c r="BB1078" s="58" t="n">
        <f aca="false">IF(AND(OR(BY1078="L1",BY1078="L23"),AX1078&gt;0),SUMIFS($AX$7:$AX$1843,$BY$7:$BY$1843,BY1078,$BA$7:$BA$1843,"&gt;"&amp;BA1078)+SUMIFS($AX$7:$AX$1843,$BY$7:$BY$1843,BY1078,$BA$7:$BA$1843,BA1078,$BQ$7:$BQ$1843,"&lt;="&amp;BQ1078),"")</f>
        <v>19.3019154758285</v>
      </c>
      <c r="BC1078" s="65" t="n">
        <f aca="false">IF(BB1078="",0,MAX(0,MIN(1,(IF(BY1078="L1",Parameter!$E$5,Parameter!$E$6+Parameter!$E$7)-(BB1078-AX1078))/AX1078)))</f>
        <v>1</v>
      </c>
      <c r="BD1078" s="55" t="str">
        <f aca="false">IF(AH1078&lt;=0,"",IF(BY1078="Aussen","Aussenlager",IF(BY1078="-","Nicht im Lift",IF(AM1078&gt;=1,"Lift",IF(AM1078&lt;=0,"Aussenlager","teilweise")))))</f>
        <v>Lift</v>
      </c>
      <c r="BE1078" s="55" t="str">
        <f aca="false">IF(AP1078&lt;=0,"",IF(BY1078="Aussen","Aussenlager",IF(BY1078="-","Nicht im Lift",IF(AU1078&gt;=1,"Lift",IF(AU1078&lt;=0,"Aussenlager","teilweise")))))</f>
        <v>Lift</v>
      </c>
      <c r="BF1078" s="55" t="str">
        <f aca="false">IF(AX1078&lt;=0,"",IF(BY1078="Aussen","Aussenlager",IF(BY1078="-","Nicht im Lift",IF(BC1078&gt;=1,"Lift",IF(BC1078&lt;=0,"Aussenlager","teilweise")))))</f>
        <v>Lift</v>
      </c>
      <c r="BG1078" s="55" t="str">
        <f aca="false">IF(A1078="","",IF(BP1078=1,"Neu; ","")&amp;IF(AND(BP1078=0,BK1078&lt;0),"negativer Bestand (Export "&amp;BK1078&amp;"); ","")&amp;IF(J1078&lt;=0,"Kein Verbrauch; ","")&amp;IF(CH1078&gt;0,"Lift "&amp;W1078&amp;" lt. Liftbericht (Fach "&amp;X1078&amp;" Stk); ",IF(BU1078=1,"Gebinde geschätzt ("&amp;T1078&amp;"); ",IF(BT1078=1,"Lose – Tablare geschätzt; ","")))&amp;IF(H1078&gt;AR1078,"Überbestand "&amp;ROUND(H1078-AR1078,0)&amp;" Stk / CHF "&amp;ROUND((H1078-AR1078)*G1078,0)&amp;"; ","")&amp;IF(AND(CA1078=1,CB1078&lt;CC1078),"MAX &lt; MB+LG; ","")&amp;IF(AND(CG1078&gt;0,CF1078*10&gt;CG1078),"zu hoch für Tablar; ","")&amp;IF(AND(BP1078=0,OR(CA1078=1,AA1078&lt;&gt;"",U1078&lt;&gt;"",V1078&lt;&gt;"",AB1078&lt;&gt;"")),"manuell übersteuert; ","")&amp;IF(AND(BT1078=0,R1078=0),"Gebinde unbekannt / Stellmass fehlt; ","")&amp;IF(AND(BT1078=0,N(V1078)&lt;=0,N(Q1078)&lt;=0),"Menge pro Gebinde fehlt (Ist = 1 Gebinde); ","")&amp;BO1078)</f>
        <v>negativer Bestand (Export -17); </v>
      </c>
      <c r="BH1078" s="55"/>
      <c r="BI1078" s="55"/>
      <c r="BJ1078" s="62"/>
      <c r="BK1078" s="57" t="n">
        <v>-17</v>
      </c>
      <c r="BL1078" s="57" t="n">
        <v>30</v>
      </c>
      <c r="BM1078" s="56" t="n">
        <v>-182.2</v>
      </c>
      <c r="BN1078" s="57" t="n">
        <v>23</v>
      </c>
      <c r="BO1078" s="55"/>
      <c r="BP1078" s="60" t="n">
        <v>0</v>
      </c>
      <c r="BQ1078" s="60" t="n">
        <v>1078</v>
      </c>
      <c r="BR1078" s="55" t="str">
        <f aca="false">IF(U1078&lt;&gt;"",UPPER(TRIM(U1078)),IF(BU1078=1,UPPER(VLOOKUP(T1078,Parameter!$I$27:$K$29,2,0)),IF(P1078="","LOSE",P1078)))</f>
        <v>S33</v>
      </c>
      <c r="BS1078" s="57" t="n">
        <f aca="false">IF(BR1078="LOSE",1,IF(N(V1078)&gt;0,V1078,IF(BU1078=1,MAX(1,N(VLOOKUP(T1078,Parameter!$I$27:$K$29,3,0)),H1078,N(N1078)),IF(N(Q1078)&gt;0,Q1078,MAX(1,H1078)))))</f>
        <v>27</v>
      </c>
      <c r="BT1078" s="60" t="n">
        <f aca="false">IF(BR1078="LOSE",1,0)</f>
        <v>0</v>
      </c>
      <c r="BU1078" s="60" t="n">
        <f aca="false">IF(AND(U1078="",OR(P1078="",P1078="LOSE"),T1078&lt;&gt;"",N(S1078)&lt;=0,ISNUMBER(MATCH(T1078,Parameter!$I$27:$I$29,0))),1,0)</f>
        <v>0</v>
      </c>
      <c r="BV1078" s="55" t="str">
        <f aca="false">IF(AND(Parameter!$B$19="Ja",E1078&lt;&gt;"",ISNUMBER(MATCH(E1078,Parameter!$I$35:$I$52,0))),VLOOKUP(E1078,Parameter!$I$35:$J$52,2,0),IFERROR(VLOOKUP(D1078,Parameter!$A$35:$C$64,2,0),"Nein"))</f>
        <v>2+3</v>
      </c>
      <c r="BW1078" s="59" t="n">
        <f aca="false">IF(BT1078=0,0,IF(N(S1078)&gt;0,S1078,IFERROR(VLOOKUP(D1078,Parameter!$A$35:$C$64,3,0)+0,0)))</f>
        <v>0</v>
      </c>
      <c r="BX1078" s="55" t="n">
        <f aca="false">IF(AA1078&lt;&gt;"",AA1078,Z1078)</f>
        <v>3</v>
      </c>
      <c r="BY1078" s="55" t="str">
        <f aca="false">IF(BX1078=1,"L1",IF(OR(BX1078=2,BX1078=3),"L23",IF(BX1078="Aussen","Aussen","-")))</f>
        <v>L23</v>
      </c>
      <c r="BZ1078" s="66" t="n">
        <f aca="false">IF(N(AB1078)&gt;0,AB1078,0)</f>
        <v>0</v>
      </c>
      <c r="CA1078" s="60" t="n">
        <f aca="false">IF(ISNUMBER(AE1078),1,0)</f>
        <v>0</v>
      </c>
      <c r="CB1078" s="57" t="n">
        <f aca="false">N(AE1078)</f>
        <v>0</v>
      </c>
      <c r="CC1078" s="57" t="n">
        <f aca="false">N(M1078)+N(N1078)</f>
        <v>26</v>
      </c>
      <c r="CD1078" s="57" t="n">
        <f aca="false">ROUNDUP(H1078/BS1078,0)</f>
        <v>1</v>
      </c>
      <c r="CE1078" s="57" t="n">
        <f aca="false">ROUNDUP(CB1078/BS1078,0)</f>
        <v>0</v>
      </c>
      <c r="CF1078" s="60" t="n">
        <f aca="false">IF(BT1078=1,0,IFERROR(VLOOKUP(BR1078,'Gebinde-Kategorie'!$A$5:$M$45,5,0)+0,0))</f>
        <v>8</v>
      </c>
      <c r="CG1078" s="60" t="n">
        <f aca="false">IFERROR(IF(OR(BX1078=1,BX1078=2,BX1078=3),N(INDEX(Parameter!$I$5:$I$7,BX1078)),0),0)</f>
        <v>0</v>
      </c>
      <c r="CH1078" s="59" t="n">
        <f aca="false">IF(AND(Parameter!$B$21="Ja",ISNUMBER(W1078),N(X1078)&gt;0),IFERROR(N(INDEX(Parameter!$L$5:$L$7,W1078))*INDEX(Parameter!$E$5:$E$7,W1078)*X1078/SUMIFS($X$7:$X$1843,$W$7:$W$1843,W1078),0),0)</f>
        <v>0</v>
      </c>
    </row>
    <row r="1079" customFormat="false" ht="15" hidden="false" customHeight="false" outlineLevel="0" collapsed="false">
      <c r="A1079" s="55" t="s">
        <v>1969</v>
      </c>
      <c r="B1079" s="55" t="s">
        <v>407</v>
      </c>
      <c r="C1079" s="55" t="s">
        <v>164</v>
      </c>
      <c r="D1079" s="55" t="s">
        <v>184</v>
      </c>
      <c r="E1079" s="55" t="s">
        <v>185</v>
      </c>
      <c r="F1079" s="55" t="s">
        <v>218</v>
      </c>
      <c r="G1079" s="56" t="n">
        <v>0.03</v>
      </c>
      <c r="H1079" s="57" t="n">
        <f aca="false">MAX(0,IF(AND(Parameter!$B$21="Ja",ISNUMBER(Y1079)),Y1079,IF(Parameter!$B$20="Jahresanfang 2025 + Export",BL1079+BK1079,BK1079)))</f>
        <v>1561</v>
      </c>
      <c r="I1079" s="57" t="n">
        <f aca="false">H1079*G1079</f>
        <v>46.83</v>
      </c>
      <c r="J1079" s="57" t="n">
        <f aca="false">BN1079*Parameter!$B$18</f>
        <v>6186</v>
      </c>
      <c r="K1079" s="58" t="n">
        <v>5410.5</v>
      </c>
      <c r="L1079" s="59" t="n">
        <v>1.14333240920433</v>
      </c>
      <c r="M1079" s="57" t="n">
        <v>360</v>
      </c>
      <c r="N1079" s="57" t="n">
        <v>2000</v>
      </c>
      <c r="O1079" s="60" t="n">
        <v>21</v>
      </c>
      <c r="P1079" s="55" t="s">
        <v>476</v>
      </c>
      <c r="Q1079" s="57" t="n">
        <v>5992</v>
      </c>
      <c r="R1079" s="60" t="n">
        <f aca="false">IF(BT1079=1,0,IFERROR(VLOOKUP(BR1079,'Gebinde-Kategorie'!$A$5:$M$45,13,0)+0,0))</f>
        <v>66</v>
      </c>
      <c r="S1079" s="61"/>
      <c r="T1079" s="62"/>
      <c r="U1079" s="62"/>
      <c r="V1079" s="62"/>
      <c r="W1079" s="55"/>
      <c r="X1079" s="57"/>
      <c r="Y1079" s="57"/>
      <c r="Z1079" s="55" t="n">
        <f aca="false">IF(A1079="","",IF(AND(Parameter!$B$21="Ja",ISNUMBER(W1079)),W1079,IF(BV1079="2+3",IF(ISNUMBER(SEARCH("grosser Artikel",BO1079)),2,IFERROR(VLOOKUP(BR1079,Parameter!$F$35:$G$64,2,0),2)),IF(OR(BV1079="Nein",BV1079=""),"-",BV1079))))</f>
        <v>3</v>
      </c>
      <c r="AA1079" s="62"/>
      <c r="AB1079" s="63"/>
      <c r="AC1079" s="57" t="n">
        <f aca="false">AR1079</f>
        <v>5992</v>
      </c>
      <c r="AD1079" s="57" t="n">
        <f aca="false">MAX(AR1079,H1079)</f>
        <v>5992</v>
      </c>
      <c r="AE1079" s="64"/>
      <c r="AF1079" s="57" t="n">
        <f aca="false">IF(LEFT(Cockpit!$C$5,1)="A",H1079,IF(CA1079=1,CB1079,IF(LEFT(Cockpit!$C$5,1)="B",AJ1079,MAX(AJ1079,H1079))))</f>
        <v>1561</v>
      </c>
      <c r="AG1079" s="57" t="n">
        <f aca="false">IF(BT1079=1,0,ROUNDUP(AF1079/BS1079,0))</f>
        <v>1</v>
      </c>
      <c r="AH1079" s="59" t="n">
        <f aca="false">IF(CH1079&gt;0,CH1079*MAX(1,AF1079/X1079),IF(BT1079=1,IF(AF1079&lt;=0,0,BW1079*MAX(1,IF(H1079&gt;0,AF1079/H1079,1))),IF(R1079&gt;0,AG1079/R1079,0))/MAX(0.1,N(Parameter!$M$21)))</f>
        <v>0.0151515151515152</v>
      </c>
      <c r="AI1079" s="57" t="n">
        <f aca="false">AF1079*G1079</f>
        <v>46.83</v>
      </c>
      <c r="AJ1079" s="57" t="n">
        <f aca="false">ROUNDUP(MAX(J1079/IF(BZ1079&gt;0,BZ1079,MAX(0.1,N(Cockpit!$C$6))),CC1079)/BS1079,0)*BS1079</f>
        <v>5992</v>
      </c>
      <c r="AK1079" s="58" t="n">
        <f aca="false">IF(AH1079&gt;0,J1079/AH1079,-1)</f>
        <v>408276</v>
      </c>
      <c r="AL1079" s="58" t="n">
        <f aca="false">IF(AND(OR(BY1079="L1",BY1079="L23"),AH1079&gt;0),SUMIFS($AH$7:$AH$1843,$BY$7:$BY$1843,BY1079,$AK$7:$AK$1843,"&gt;"&amp;AK1079)+SUMIFS($AH$7:$AH$1843,$BY$7:$BY$1843,BY1079,$AK$7:$AK$1843,AK1079,$BQ$7:$BQ$1843,"&lt;="&amp;BQ1079),"")</f>
        <v>0.0151515151515152</v>
      </c>
      <c r="AM1079" s="65" t="n">
        <f aca="false">IF(AL1079="",0,MAX(0,MIN(1,(IF(BY1079="L1",Parameter!$E$5,Parameter!$E$6+Parameter!$E$7)-(AL1079-AH1079))/AH1079)))</f>
        <v>1</v>
      </c>
      <c r="AN1079" s="57" t="n">
        <f aca="false">IF(LEFT(Cockpit!$I$5,1)="A",H1079,IF(CA1079=1,CB1079,IF(LEFT(Cockpit!$I$5,1)="B",AR1079,MAX(AR1079,H1079))))</f>
        <v>5992</v>
      </c>
      <c r="AO1079" s="57" t="n">
        <f aca="false">IF(BT1079=1,0,ROUNDUP(AN1079/BS1079,0))</f>
        <v>1</v>
      </c>
      <c r="AP1079" s="59" t="n">
        <f aca="false">IF(CH1079&gt;0,CH1079*MAX(1,AN1079/X1079),IF(BT1079=1,IF(AN1079&lt;=0,0,BW1079*MAX(1,IF(H1079&gt;0,AN1079/H1079,1))),IF(R1079&gt;0,AO1079/R1079,0))/MAX(0.1,N(Parameter!$M$21)))</f>
        <v>0.0151515151515152</v>
      </c>
      <c r="AQ1079" s="57" t="n">
        <f aca="false">AN1079*G1079</f>
        <v>179.76</v>
      </c>
      <c r="AR1079" s="57" t="n">
        <f aca="false">ROUNDUP(MAX(J1079/IF(BZ1079&gt;0,BZ1079,MAX(0.1,N(Cockpit!$I$6))),CC1079)/BS1079,0)*BS1079</f>
        <v>5992</v>
      </c>
      <c r="AS1079" s="58" t="n">
        <f aca="false">IF(AP1079&gt;0,J1079/AP1079,-1)</f>
        <v>408276</v>
      </c>
      <c r="AT1079" s="58" t="n">
        <f aca="false">IF(AND(OR(BY1079="L1",BY1079="L23"),AP1079&gt;0),SUMIFS($AP$7:$AP$1843,$BY$7:$BY$1843,BY1079,$AS$7:$AS$1843,"&gt;"&amp;AS1079)+SUMIFS($AP$7:$AP$1843,$BY$7:$BY$1843,BY1079,$AS$7:$AS$1843,AS1079,$BQ$7:$BQ$1843,"&lt;="&amp;BQ1079),"")</f>
        <v>0.0151515151515152</v>
      </c>
      <c r="AU1079" s="65" t="n">
        <f aca="false">IF(AT1079="",0,MAX(0,MIN(1,(IF(BY1079="L1",Parameter!$E$5,Parameter!$E$6+Parameter!$E$7)-(AT1079-AP1079))/AP1079)))</f>
        <v>1</v>
      </c>
      <c r="AV1079" s="57" t="n">
        <f aca="false">IF(LEFT(Cockpit!$O$5,1)="A",H1079,IF(CA1079=1,CB1079,IF(LEFT(Cockpit!$O$5,1)="B",AZ1079,MAX(AZ1079,H1079))))</f>
        <v>5992</v>
      </c>
      <c r="AW1079" s="57" t="n">
        <f aca="false">IF(BT1079=1,0,ROUNDUP(AV1079/BS1079,0))</f>
        <v>1</v>
      </c>
      <c r="AX1079" s="59" t="n">
        <f aca="false">IF(CH1079&gt;0,CH1079*MAX(1,AV1079/X1079),IF(BT1079=1,IF(AV1079&lt;=0,0,BW1079*MAX(1,IF(H1079&gt;0,AV1079/H1079,1))),IF(R1079&gt;0,AW1079/R1079,0))/MAX(0.1,N(Parameter!$M$21)))</f>
        <v>0.0151515151515152</v>
      </c>
      <c r="AY1079" s="57" t="n">
        <f aca="false">AV1079*G1079</f>
        <v>179.76</v>
      </c>
      <c r="AZ1079" s="57" t="n">
        <f aca="false">ROUNDUP(MAX(J1079/IF(BZ1079&gt;0,BZ1079,MAX(0.1,N(Cockpit!$O$6))),CC1079)/BS1079,0)*BS1079</f>
        <v>5992</v>
      </c>
      <c r="BA1079" s="58" t="n">
        <f aca="false">IF(AX1079&gt;0,J1079/AX1079,-1)</f>
        <v>408276</v>
      </c>
      <c r="BB1079" s="58" t="n">
        <f aca="false">IF(AND(OR(BY1079="L1",BY1079="L23"),AX1079&gt;0),SUMIFS($AX$7:$AX$1843,$BY$7:$BY$1843,BY1079,$BA$7:$BA$1843,"&gt;"&amp;BA1079)+SUMIFS($AX$7:$AX$1843,$BY$7:$BY$1843,BY1079,$BA$7:$BA$1843,BA1079,$BQ$7:$BQ$1843,"&lt;="&amp;BQ1079),"")</f>
        <v>0.0151515151515152</v>
      </c>
      <c r="BC1079" s="65" t="n">
        <f aca="false">IF(BB1079="",0,MAX(0,MIN(1,(IF(BY1079="L1",Parameter!$E$5,Parameter!$E$6+Parameter!$E$7)-(BB1079-AX1079))/AX1079)))</f>
        <v>1</v>
      </c>
      <c r="BD1079" s="55" t="str">
        <f aca="false">IF(AH1079&lt;=0,"",IF(BY1079="Aussen","Aussenlager",IF(BY1079="-","Nicht im Lift",IF(AM1079&gt;=1,"Lift",IF(AM1079&lt;=0,"Aussenlager","teilweise")))))</f>
        <v>Lift</v>
      </c>
      <c r="BE1079" s="55" t="str">
        <f aca="false">IF(AP1079&lt;=0,"",IF(BY1079="Aussen","Aussenlager",IF(BY1079="-","Nicht im Lift",IF(AU1079&gt;=1,"Lift",IF(AU1079&lt;=0,"Aussenlager","teilweise")))))</f>
        <v>Lift</v>
      </c>
      <c r="BF1079" s="55" t="str">
        <f aca="false">IF(AX1079&lt;=0,"",IF(BY1079="Aussen","Aussenlager",IF(BY1079="-","Nicht im Lift",IF(BC1079&gt;=1,"Lift",IF(BC1079&lt;=0,"Aussenlager","teilweise")))))</f>
        <v>Lift</v>
      </c>
      <c r="BG1079" s="55" t="str">
        <f aca="false">IF(A1079="","",IF(BP1079=1,"Neu; ","")&amp;IF(AND(BP1079=0,BK1079&lt;0),"negativer Bestand (Export "&amp;BK1079&amp;"); ","")&amp;IF(J1079&lt;=0,"Kein Verbrauch; ","")&amp;IF(CH1079&gt;0,"Lift "&amp;W1079&amp;" lt. Liftbericht (Fach "&amp;X1079&amp;" Stk); ",IF(BU1079=1,"Gebinde geschätzt ("&amp;T1079&amp;"); ",IF(BT1079=1,"Lose – Tablare geschätzt; ","")))&amp;IF(H1079&gt;AR1079,"Überbestand "&amp;ROUND(H1079-AR1079,0)&amp;" Stk / CHF "&amp;ROUND((H1079-AR1079)*G1079,0)&amp;"; ","")&amp;IF(AND(CA1079=1,CB1079&lt;CC1079),"MAX &lt; MB+LG; ","")&amp;IF(AND(CG1079&gt;0,CF1079*10&gt;CG1079),"zu hoch für Tablar; ","")&amp;IF(AND(BP1079=0,OR(CA1079=1,AA1079&lt;&gt;"",U1079&lt;&gt;"",V1079&lt;&gt;"",AB1079&lt;&gt;"")),"manuell übersteuert; ","")&amp;IF(AND(BT1079=0,R1079=0),"Gebinde unbekannt / Stellmass fehlt; ","")&amp;IF(AND(BT1079=0,N(V1079)&lt;=0,N(Q1079)&lt;=0),"Menge pro Gebinde fehlt (Ist = 1 Gebinde); ","")&amp;BO1079)</f>
        <v>negativer Bestand (Export -6097); </v>
      </c>
      <c r="BH1079" s="55"/>
      <c r="BI1079" s="55"/>
      <c r="BJ1079" s="62"/>
      <c r="BK1079" s="57" t="n">
        <v>-6097</v>
      </c>
      <c r="BL1079" s="57" t="n">
        <v>7658</v>
      </c>
      <c r="BM1079" s="56" t="n">
        <v>-182.91</v>
      </c>
      <c r="BN1079" s="57" t="n">
        <v>6186</v>
      </c>
      <c r="BO1079" s="55"/>
      <c r="BP1079" s="60" t="n">
        <v>0</v>
      </c>
      <c r="BQ1079" s="60" t="n">
        <v>1079</v>
      </c>
      <c r="BR1079" s="55" t="str">
        <f aca="false">IF(U1079&lt;&gt;"",UPPER(TRIM(U1079)),IF(BU1079=1,UPPER(VLOOKUP(T1079,Parameter!$I$27:$K$29,2,0)),IF(P1079="","LOSE",P1079)))</f>
        <v>S33</v>
      </c>
      <c r="BS1079" s="57" t="n">
        <f aca="false">IF(BR1079="LOSE",1,IF(N(V1079)&gt;0,V1079,IF(BU1079=1,MAX(1,N(VLOOKUP(T1079,Parameter!$I$27:$K$29,3,0)),H1079,N(N1079)),IF(N(Q1079)&gt;0,Q1079,MAX(1,H1079)))))</f>
        <v>5992</v>
      </c>
      <c r="BT1079" s="60" t="n">
        <f aca="false">IF(BR1079="LOSE",1,0)</f>
        <v>0</v>
      </c>
      <c r="BU1079" s="60" t="n">
        <f aca="false">IF(AND(U1079="",OR(P1079="",P1079="LOSE"),T1079&lt;&gt;"",N(S1079)&lt;=0,ISNUMBER(MATCH(T1079,Parameter!$I$27:$I$29,0))),1,0)</f>
        <v>0</v>
      </c>
      <c r="BV1079" s="55" t="str">
        <f aca="false">IF(AND(Parameter!$B$19="Ja",E1079&lt;&gt;"",ISNUMBER(MATCH(E1079,Parameter!$I$35:$I$52,0))),VLOOKUP(E1079,Parameter!$I$35:$J$52,2,0),IFERROR(VLOOKUP(D1079,Parameter!$A$35:$C$64,2,0),"Nein"))</f>
        <v>2+3</v>
      </c>
      <c r="BW1079" s="59" t="n">
        <f aca="false">IF(BT1079=0,0,IF(N(S1079)&gt;0,S1079,IFERROR(VLOOKUP(D1079,Parameter!$A$35:$C$64,3,0)+0,0)))</f>
        <v>0</v>
      </c>
      <c r="BX1079" s="55" t="n">
        <f aca="false">IF(AA1079&lt;&gt;"",AA1079,Z1079)</f>
        <v>3</v>
      </c>
      <c r="BY1079" s="55" t="str">
        <f aca="false">IF(BX1079=1,"L1",IF(OR(BX1079=2,BX1079=3),"L23",IF(BX1079="Aussen","Aussen","-")))</f>
        <v>L23</v>
      </c>
      <c r="BZ1079" s="66" t="n">
        <f aca="false">IF(N(AB1079)&gt;0,AB1079,0)</f>
        <v>0</v>
      </c>
      <c r="CA1079" s="60" t="n">
        <f aca="false">IF(ISNUMBER(AE1079),1,0)</f>
        <v>0</v>
      </c>
      <c r="CB1079" s="57" t="n">
        <f aca="false">N(AE1079)</f>
        <v>0</v>
      </c>
      <c r="CC1079" s="57" t="n">
        <f aca="false">N(M1079)+N(N1079)</f>
        <v>2360</v>
      </c>
      <c r="CD1079" s="57" t="n">
        <f aca="false">ROUNDUP(H1079/BS1079,0)</f>
        <v>1</v>
      </c>
      <c r="CE1079" s="57" t="n">
        <f aca="false">ROUNDUP(CB1079/BS1079,0)</f>
        <v>0</v>
      </c>
      <c r="CF1079" s="60" t="n">
        <f aca="false">IF(BT1079=1,0,IFERROR(VLOOKUP(BR1079,'Gebinde-Kategorie'!$A$5:$M$45,5,0)+0,0))</f>
        <v>8</v>
      </c>
      <c r="CG1079" s="60" t="n">
        <f aca="false">IFERROR(IF(OR(BX1079=1,BX1079=2,BX1079=3),N(INDEX(Parameter!$I$5:$I$7,BX1079)),0),0)</f>
        <v>0</v>
      </c>
      <c r="CH1079" s="59" t="n">
        <f aca="false">IF(AND(Parameter!$B$21="Ja",ISNUMBER(W1079),N(X1079)&gt;0),IFERROR(N(INDEX(Parameter!$L$5:$L$7,W1079))*INDEX(Parameter!$E$5:$E$7,W1079)*X1079/SUMIFS($X$7:$X$1843,$W$7:$W$1843,W1079),0),0)</f>
        <v>0</v>
      </c>
    </row>
    <row r="1080" customFormat="false" ht="15" hidden="false" customHeight="false" outlineLevel="0" collapsed="false">
      <c r="A1080" s="55" t="s">
        <v>1970</v>
      </c>
      <c r="B1080" s="55" t="s">
        <v>1916</v>
      </c>
      <c r="C1080" s="55" t="s">
        <v>164</v>
      </c>
      <c r="D1080" s="55" t="s">
        <v>184</v>
      </c>
      <c r="E1080" s="55" t="s">
        <v>185</v>
      </c>
      <c r="F1080" s="55" t="s">
        <v>218</v>
      </c>
      <c r="G1080" s="56" t="n">
        <v>45.83</v>
      </c>
      <c r="H1080" s="57" t="n">
        <f aca="false">MAX(0,IF(AND(Parameter!$B$21="Ja",ISNUMBER(Y1080)),Y1080,IF(Parameter!$B$20="Jahresanfang 2025 + Export",BL1080+BK1080,BK1080)))</f>
        <v>3</v>
      </c>
      <c r="I1080" s="57" t="n">
        <f aca="false">H1080*G1080</f>
        <v>137.49</v>
      </c>
      <c r="J1080" s="57" t="n">
        <f aca="false">BN1080*Parameter!$B$18</f>
        <v>1</v>
      </c>
      <c r="K1080" s="58" t="n">
        <v>6.5</v>
      </c>
      <c r="L1080" s="59" t="n">
        <v>0.153846153846154</v>
      </c>
      <c r="M1080" s="57" t="n">
        <v>0</v>
      </c>
      <c r="N1080" s="57" t="n">
        <v>1</v>
      </c>
      <c r="O1080" s="60" t="n">
        <v>28</v>
      </c>
      <c r="P1080" s="55" t="s">
        <v>421</v>
      </c>
      <c r="Q1080" s="57" t="n">
        <v>7</v>
      </c>
      <c r="R1080" s="60" t="n">
        <f aca="false">IF(BT1080=1,0,IFERROR(VLOOKUP(BR1080,'Gebinde-Kategorie'!$A$5:$M$45,13,0)+0,0))</f>
        <v>132</v>
      </c>
      <c r="S1080" s="61"/>
      <c r="T1080" s="62"/>
      <c r="U1080" s="62"/>
      <c r="V1080" s="62"/>
      <c r="W1080" s="55"/>
      <c r="X1080" s="57"/>
      <c r="Y1080" s="57"/>
      <c r="Z1080" s="55" t="n">
        <f aca="false">IF(A1080="","",IF(AND(Parameter!$B$21="Ja",ISNUMBER(W1080)),W1080,IF(BV1080="2+3",IF(ISNUMBER(SEARCH("grosser Artikel",BO1080)),2,IFERROR(VLOOKUP(BR1080,Parameter!$F$35:$G$64,2,0),2)),IF(OR(BV1080="Nein",BV1080=""),"-",BV1080))))</f>
        <v>3</v>
      </c>
      <c r="AA1080" s="62"/>
      <c r="AB1080" s="63"/>
      <c r="AC1080" s="57" t="n">
        <f aca="false">AR1080</f>
        <v>7</v>
      </c>
      <c r="AD1080" s="57" t="n">
        <f aca="false">MAX(AR1080,H1080)</f>
        <v>7</v>
      </c>
      <c r="AE1080" s="64"/>
      <c r="AF1080" s="57" t="n">
        <f aca="false">IF(LEFT(Cockpit!$C$5,1)="A",H1080,IF(CA1080=1,CB1080,IF(LEFT(Cockpit!$C$5,1)="B",AJ1080,MAX(AJ1080,H1080))))</f>
        <v>3</v>
      </c>
      <c r="AG1080" s="57" t="n">
        <f aca="false">IF(BT1080=1,0,ROUNDUP(AF1080/BS1080,0))</f>
        <v>1</v>
      </c>
      <c r="AH1080" s="59" t="n">
        <f aca="false">IF(CH1080&gt;0,CH1080*MAX(1,AF1080/X1080),IF(BT1080=1,IF(AF1080&lt;=0,0,BW1080*MAX(1,IF(H1080&gt;0,AF1080/H1080,1))),IF(R1080&gt;0,AG1080/R1080,0))/MAX(0.1,N(Parameter!$M$21)))</f>
        <v>0.00757575757575758</v>
      </c>
      <c r="AI1080" s="57" t="n">
        <f aca="false">AF1080*G1080</f>
        <v>137.49</v>
      </c>
      <c r="AJ1080" s="57" t="n">
        <f aca="false">ROUNDUP(MAX(J1080/IF(BZ1080&gt;0,BZ1080,MAX(0.1,N(Cockpit!$C$6))),CC1080)/BS1080,0)*BS1080</f>
        <v>7</v>
      </c>
      <c r="AK1080" s="58" t="n">
        <f aca="false">IF(AH1080&gt;0,J1080/AH1080,-1)</f>
        <v>132</v>
      </c>
      <c r="AL1080" s="58" t="n">
        <f aca="false">IF(AND(OR(BY1080="L1",BY1080="L23"),AH1080&gt;0),SUMIFS($AH$7:$AH$1843,$BY$7:$BY$1843,BY1080,$AK$7:$AK$1843,"&gt;"&amp;AK1080)+SUMIFS($AH$7:$AH$1843,$BY$7:$BY$1843,BY1080,$AK$7:$AK$1843,AK1080,$BQ$7:$BQ$1843,"&lt;="&amp;BQ1080),"")</f>
        <v>36.3191446234925</v>
      </c>
      <c r="AM1080" s="65" t="n">
        <f aca="false">IF(AL1080="",0,MAX(0,MIN(1,(IF(BY1080="L1",Parameter!$E$5,Parameter!$E$6+Parameter!$E$7)-(AL1080-AH1080))/AH1080)))</f>
        <v>1</v>
      </c>
      <c r="AN1080" s="57" t="n">
        <f aca="false">IF(LEFT(Cockpit!$I$5,1)="A",H1080,IF(CA1080=1,CB1080,IF(LEFT(Cockpit!$I$5,1)="B",AR1080,MAX(AR1080,H1080))))</f>
        <v>7</v>
      </c>
      <c r="AO1080" s="57" t="n">
        <f aca="false">IF(BT1080=1,0,ROUNDUP(AN1080/BS1080,0))</f>
        <v>1</v>
      </c>
      <c r="AP1080" s="59" t="n">
        <f aca="false">IF(CH1080&gt;0,CH1080*MAX(1,AN1080/X1080),IF(BT1080=1,IF(AN1080&lt;=0,0,BW1080*MAX(1,IF(H1080&gt;0,AN1080/H1080,1))),IF(R1080&gt;0,AO1080/R1080,0))/MAX(0.1,N(Parameter!$M$21)))</f>
        <v>0.00757575757575758</v>
      </c>
      <c r="AQ1080" s="57" t="n">
        <f aca="false">AN1080*G1080</f>
        <v>320.81</v>
      </c>
      <c r="AR1080" s="57" t="n">
        <f aca="false">ROUNDUP(MAX(J1080/IF(BZ1080&gt;0,BZ1080,MAX(0.1,N(Cockpit!$I$6))),CC1080)/BS1080,0)*BS1080</f>
        <v>7</v>
      </c>
      <c r="AS1080" s="58" t="n">
        <f aca="false">IF(AP1080&gt;0,J1080/AP1080,-1)</f>
        <v>132</v>
      </c>
      <c r="AT1080" s="58" t="n">
        <f aca="false">IF(AND(OR(BY1080="L1",BY1080="L23"),AP1080&gt;0),SUMIFS($AP$7:$AP$1843,$BY$7:$BY$1843,BY1080,$AS$7:$AS$1843,"&gt;"&amp;AS1080)+SUMIFS($AP$7:$AP$1843,$BY$7:$BY$1843,BY1080,$AS$7:$AS$1843,AS1080,$BQ$7:$BQ$1843,"&lt;="&amp;BQ1080),"")</f>
        <v>52.0515438667613</v>
      </c>
      <c r="AU1080" s="65" t="n">
        <f aca="false">IF(AT1080="",0,MAX(0,MIN(1,(IF(BY1080="L1",Parameter!$E$5,Parameter!$E$6+Parameter!$E$7)-(AT1080-AP1080))/AP1080)))</f>
        <v>1</v>
      </c>
      <c r="AV1080" s="57" t="n">
        <f aca="false">IF(LEFT(Cockpit!$O$5,1)="A",H1080,IF(CA1080=1,CB1080,IF(LEFT(Cockpit!$O$5,1)="B",AZ1080,MAX(AZ1080,H1080))))</f>
        <v>7</v>
      </c>
      <c r="AW1080" s="57" t="n">
        <f aca="false">IF(BT1080=1,0,ROUNDUP(AV1080/BS1080,0))</f>
        <v>1</v>
      </c>
      <c r="AX1080" s="59" t="n">
        <f aca="false">IF(CH1080&gt;0,CH1080*MAX(1,AV1080/X1080),IF(BT1080=1,IF(AV1080&lt;=0,0,BW1080*MAX(1,IF(H1080&gt;0,AV1080/H1080,1))),IF(R1080&gt;0,AW1080/R1080,0))/MAX(0.1,N(Parameter!$M$21)))</f>
        <v>0.00757575757575758</v>
      </c>
      <c r="AY1080" s="57" t="n">
        <f aca="false">AV1080*G1080</f>
        <v>320.81</v>
      </c>
      <c r="AZ1080" s="57" t="n">
        <f aca="false">ROUNDUP(MAX(J1080/IF(BZ1080&gt;0,BZ1080,MAX(0.1,N(Cockpit!$O$6))),CC1080)/BS1080,0)*BS1080</f>
        <v>7</v>
      </c>
      <c r="BA1080" s="58" t="n">
        <f aca="false">IF(AX1080&gt;0,J1080/AX1080,-1)</f>
        <v>132</v>
      </c>
      <c r="BB1080" s="58" t="n">
        <f aca="false">IF(AND(OR(BY1080="L1",BY1080="L23"),AX1080&gt;0),SUMIFS($AX$7:$AX$1843,$BY$7:$BY$1843,BY1080,$BA$7:$BA$1843,"&gt;"&amp;BA1080)+SUMIFS($AX$7:$AX$1843,$BY$7:$BY$1843,BY1080,$BA$7:$BA$1843,BA1080,$BQ$7:$BQ$1843,"&lt;="&amp;BQ1080),"")</f>
        <v>48.6313806965981</v>
      </c>
      <c r="BC1080" s="65" t="n">
        <f aca="false">IF(BB1080="",0,MAX(0,MIN(1,(IF(BY1080="L1",Parameter!$E$5,Parameter!$E$6+Parameter!$E$7)-(BB1080-AX1080))/AX1080)))</f>
        <v>1</v>
      </c>
      <c r="BD1080" s="55" t="str">
        <f aca="false">IF(AH1080&lt;=0,"",IF(BY1080="Aussen","Aussenlager",IF(BY1080="-","Nicht im Lift",IF(AM1080&gt;=1,"Lift",IF(AM1080&lt;=0,"Aussenlager","teilweise")))))</f>
        <v>Lift</v>
      </c>
      <c r="BE1080" s="55" t="str">
        <f aca="false">IF(AP1080&lt;=0,"",IF(BY1080="Aussen","Aussenlager",IF(BY1080="-","Nicht im Lift",IF(AU1080&gt;=1,"Lift",IF(AU1080&lt;=0,"Aussenlager","teilweise")))))</f>
        <v>Lift</v>
      </c>
      <c r="BF1080" s="55" t="str">
        <f aca="false">IF(AX1080&lt;=0,"",IF(BY1080="Aussen","Aussenlager",IF(BY1080="-","Nicht im Lift",IF(BC1080&gt;=1,"Lift",IF(BC1080&lt;=0,"Aussenlager","teilweise")))))</f>
        <v>Lift</v>
      </c>
      <c r="BG1080" s="55" t="str">
        <f aca="false">IF(A1080="","",IF(BP1080=1,"Neu; ","")&amp;IF(AND(BP1080=0,BK1080&lt;0),"negativer Bestand (Export "&amp;BK1080&amp;"); ","")&amp;IF(J1080&lt;=0,"Kein Verbrauch; ","")&amp;IF(CH1080&gt;0,"Lift "&amp;W1080&amp;" lt. Liftbericht (Fach "&amp;X1080&amp;" Stk); ",IF(BU1080=1,"Gebinde geschätzt ("&amp;T1080&amp;"); ",IF(BT1080=1,"Lose – Tablare geschätzt; ","")))&amp;IF(H1080&gt;AR1080,"Überbestand "&amp;ROUND(H1080-AR1080,0)&amp;" Stk / CHF "&amp;ROUND((H1080-AR1080)*G1080,0)&amp;"; ","")&amp;IF(AND(CA1080=1,CB1080&lt;CC1080),"MAX &lt; MB+LG; ","")&amp;IF(AND(CG1080&gt;0,CF1080*10&gt;CG1080),"zu hoch für Tablar; ","")&amp;IF(AND(BP1080=0,OR(CA1080=1,AA1080&lt;&gt;"",U1080&lt;&gt;"",V1080&lt;&gt;"",AB1080&lt;&gt;"")),"manuell übersteuert; ","")&amp;IF(AND(BT1080=0,R1080=0),"Gebinde unbekannt / Stellmass fehlt; ","")&amp;IF(AND(BT1080=0,N(V1080)&lt;=0,N(Q1080)&lt;=0),"Menge pro Gebinde fehlt (Ist = 1 Gebinde); ","")&amp;BO1080)</f>
        <v>negativer Bestand (Export -4); </v>
      </c>
      <c r="BH1080" s="55"/>
      <c r="BI1080" s="55"/>
      <c r="BJ1080" s="62"/>
      <c r="BK1080" s="57" t="n">
        <v>-4</v>
      </c>
      <c r="BL1080" s="57" t="n">
        <v>7</v>
      </c>
      <c r="BM1080" s="56" t="n">
        <v>-183.32</v>
      </c>
      <c r="BN1080" s="57" t="n">
        <v>1</v>
      </c>
      <c r="BO1080" s="55"/>
      <c r="BP1080" s="60" t="n">
        <v>0</v>
      </c>
      <c r="BQ1080" s="60" t="n">
        <v>1080</v>
      </c>
      <c r="BR1080" s="55" t="str">
        <f aca="false">IF(U1080&lt;&gt;"",UPPER(TRIM(U1080)),IF(BU1080=1,UPPER(VLOOKUP(T1080,Parameter!$I$27:$K$29,2,0)),IF(P1080="","LOSE",P1080)))</f>
        <v>S32</v>
      </c>
      <c r="BS1080" s="57" t="n">
        <f aca="false">IF(BR1080="LOSE",1,IF(N(V1080)&gt;0,V1080,IF(BU1080=1,MAX(1,N(VLOOKUP(T1080,Parameter!$I$27:$K$29,3,0)),H1080,N(N1080)),IF(N(Q1080)&gt;0,Q1080,MAX(1,H1080)))))</f>
        <v>7</v>
      </c>
      <c r="BT1080" s="60" t="n">
        <f aca="false">IF(BR1080="LOSE",1,0)</f>
        <v>0</v>
      </c>
      <c r="BU1080" s="60" t="n">
        <f aca="false">IF(AND(U1080="",OR(P1080="",P1080="LOSE"),T1080&lt;&gt;"",N(S1080)&lt;=0,ISNUMBER(MATCH(T1080,Parameter!$I$27:$I$29,0))),1,0)</f>
        <v>0</v>
      </c>
      <c r="BV1080" s="55" t="str">
        <f aca="false">IF(AND(Parameter!$B$19="Ja",E1080&lt;&gt;"",ISNUMBER(MATCH(E1080,Parameter!$I$35:$I$52,0))),VLOOKUP(E1080,Parameter!$I$35:$J$52,2,0),IFERROR(VLOOKUP(D1080,Parameter!$A$35:$C$64,2,0),"Nein"))</f>
        <v>2+3</v>
      </c>
      <c r="BW1080" s="59" t="n">
        <f aca="false">IF(BT1080=0,0,IF(N(S1080)&gt;0,S1080,IFERROR(VLOOKUP(D1080,Parameter!$A$35:$C$64,3,0)+0,0)))</f>
        <v>0</v>
      </c>
      <c r="BX1080" s="55" t="n">
        <f aca="false">IF(AA1080&lt;&gt;"",AA1080,Z1080)</f>
        <v>3</v>
      </c>
      <c r="BY1080" s="55" t="str">
        <f aca="false">IF(BX1080=1,"L1",IF(OR(BX1080=2,BX1080=3),"L23",IF(BX1080="Aussen","Aussen","-")))</f>
        <v>L23</v>
      </c>
      <c r="BZ1080" s="66" t="n">
        <f aca="false">IF(N(AB1080)&gt;0,AB1080,0)</f>
        <v>0</v>
      </c>
      <c r="CA1080" s="60" t="n">
        <f aca="false">IF(ISNUMBER(AE1080),1,0)</f>
        <v>0</v>
      </c>
      <c r="CB1080" s="57" t="n">
        <f aca="false">N(AE1080)</f>
        <v>0</v>
      </c>
      <c r="CC1080" s="57" t="n">
        <f aca="false">N(M1080)+N(N1080)</f>
        <v>1</v>
      </c>
      <c r="CD1080" s="57" t="n">
        <f aca="false">ROUNDUP(H1080/BS1080,0)</f>
        <v>1</v>
      </c>
      <c r="CE1080" s="57" t="n">
        <f aca="false">ROUNDUP(CB1080/BS1080,0)</f>
        <v>0</v>
      </c>
      <c r="CF1080" s="60" t="n">
        <f aca="false">IF(BT1080=1,0,IFERROR(VLOOKUP(BR1080,'Gebinde-Kategorie'!$A$5:$M$45,5,0)+0,0))</f>
        <v>8</v>
      </c>
      <c r="CG1080" s="60" t="n">
        <f aca="false">IFERROR(IF(OR(BX1080=1,BX1080=2,BX1080=3),N(INDEX(Parameter!$I$5:$I$7,BX1080)),0),0)</f>
        <v>0</v>
      </c>
      <c r="CH1080" s="59" t="n">
        <f aca="false">IF(AND(Parameter!$B$21="Ja",ISNUMBER(W1080),N(X1080)&gt;0),IFERROR(N(INDEX(Parameter!$L$5:$L$7,W1080))*INDEX(Parameter!$E$5:$E$7,W1080)*X1080/SUMIFS($X$7:$X$1843,$W$7:$W$1843,W1080),0),0)</f>
        <v>0</v>
      </c>
    </row>
    <row r="1081" customFormat="false" ht="15" hidden="false" customHeight="false" outlineLevel="0" collapsed="false">
      <c r="A1081" s="55" t="s">
        <v>1971</v>
      </c>
      <c r="B1081" s="55" t="s">
        <v>495</v>
      </c>
      <c r="C1081" s="55" t="s">
        <v>164</v>
      </c>
      <c r="D1081" s="55" t="s">
        <v>184</v>
      </c>
      <c r="E1081" s="55" t="s">
        <v>185</v>
      </c>
      <c r="F1081" s="55" t="s">
        <v>218</v>
      </c>
      <c r="G1081" s="56" t="n">
        <v>3.55</v>
      </c>
      <c r="H1081" s="57" t="n">
        <f aca="false">MAX(0,IF(AND(Parameter!$B$21="Ja",ISNUMBER(Y1081)),Y1081,IF(Parameter!$B$20="Jahresanfang 2025 + Export",BL1081+BK1081,BK1081)))</f>
        <v>162</v>
      </c>
      <c r="I1081" s="57" t="n">
        <f aca="false">H1081*G1081</f>
        <v>575.1</v>
      </c>
      <c r="J1081" s="57" t="n">
        <f aca="false">BN1081*Parameter!$B$18</f>
        <v>549</v>
      </c>
      <c r="K1081" s="58" t="n">
        <v>249.5</v>
      </c>
      <c r="L1081" s="59" t="n">
        <v>2.20040080160321</v>
      </c>
      <c r="M1081" s="57" t="n">
        <v>21</v>
      </c>
      <c r="N1081" s="57" t="n">
        <v>100</v>
      </c>
      <c r="O1081" s="60" t="n">
        <v>14</v>
      </c>
      <c r="P1081" s="55" t="s">
        <v>476</v>
      </c>
      <c r="Q1081" s="57" t="n">
        <v>716</v>
      </c>
      <c r="R1081" s="60" t="n">
        <f aca="false">IF(BT1081=1,0,IFERROR(VLOOKUP(BR1081,'Gebinde-Kategorie'!$A$5:$M$45,13,0)+0,0))</f>
        <v>66</v>
      </c>
      <c r="S1081" s="61"/>
      <c r="T1081" s="62"/>
      <c r="U1081" s="62"/>
      <c r="V1081" s="62"/>
      <c r="W1081" s="55"/>
      <c r="X1081" s="57"/>
      <c r="Y1081" s="57"/>
      <c r="Z1081" s="55" t="n">
        <f aca="false">IF(A1081="","",IF(AND(Parameter!$B$21="Ja",ISNUMBER(W1081)),W1081,IF(BV1081="2+3",IF(ISNUMBER(SEARCH("grosser Artikel",BO1081)),2,IFERROR(VLOOKUP(BR1081,Parameter!$F$35:$G$64,2,0),2)),IF(OR(BV1081="Nein",BV1081=""),"-",BV1081))))</f>
        <v>3</v>
      </c>
      <c r="AA1081" s="62"/>
      <c r="AB1081" s="63"/>
      <c r="AC1081" s="57" t="n">
        <f aca="false">AR1081</f>
        <v>716</v>
      </c>
      <c r="AD1081" s="57" t="n">
        <f aca="false">MAX(AR1081,H1081)</f>
        <v>716</v>
      </c>
      <c r="AE1081" s="64"/>
      <c r="AF1081" s="57" t="n">
        <f aca="false">IF(LEFT(Cockpit!$C$5,1)="A",H1081,IF(CA1081=1,CB1081,IF(LEFT(Cockpit!$C$5,1)="B",AJ1081,MAX(AJ1081,H1081))))</f>
        <v>162</v>
      </c>
      <c r="AG1081" s="57" t="n">
        <f aca="false">IF(BT1081=1,0,ROUNDUP(AF1081/BS1081,0))</f>
        <v>1</v>
      </c>
      <c r="AH1081" s="59" t="n">
        <f aca="false">IF(CH1081&gt;0,CH1081*MAX(1,AF1081/X1081),IF(BT1081=1,IF(AF1081&lt;=0,0,BW1081*MAX(1,IF(H1081&gt;0,AF1081/H1081,1))),IF(R1081&gt;0,AG1081/R1081,0))/MAX(0.1,N(Parameter!$M$21)))</f>
        <v>0.0151515151515152</v>
      </c>
      <c r="AI1081" s="57" t="n">
        <f aca="false">AF1081*G1081</f>
        <v>575.1</v>
      </c>
      <c r="AJ1081" s="57" t="n">
        <f aca="false">ROUNDUP(MAX(J1081/IF(BZ1081&gt;0,BZ1081,MAX(0.1,N(Cockpit!$C$6))),CC1081)/BS1081,0)*BS1081</f>
        <v>716</v>
      </c>
      <c r="AK1081" s="58" t="n">
        <f aca="false">IF(AH1081&gt;0,J1081/AH1081,-1)</f>
        <v>36234</v>
      </c>
      <c r="AL1081" s="58" t="n">
        <f aca="false">IF(AND(OR(BY1081="L1",BY1081="L23"),AH1081&gt;0),SUMIFS($AH$7:$AH$1843,$BY$7:$BY$1843,BY1081,$AK$7:$AK$1843,"&gt;"&amp;AK1081)+SUMIFS($AH$7:$AH$1843,$BY$7:$BY$1843,BY1081,$AK$7:$AK$1843,AK1081,$BQ$7:$BQ$1843,"&lt;="&amp;BQ1081),"")</f>
        <v>2.1097260227695</v>
      </c>
      <c r="AM1081" s="65" t="n">
        <f aca="false">IF(AL1081="",0,MAX(0,MIN(1,(IF(BY1081="L1",Parameter!$E$5,Parameter!$E$6+Parameter!$E$7)-(AL1081-AH1081))/AH1081)))</f>
        <v>1</v>
      </c>
      <c r="AN1081" s="57" t="n">
        <f aca="false">IF(LEFT(Cockpit!$I$5,1)="A",H1081,IF(CA1081=1,CB1081,IF(LEFT(Cockpit!$I$5,1)="B",AR1081,MAX(AR1081,H1081))))</f>
        <v>716</v>
      </c>
      <c r="AO1081" s="57" t="n">
        <f aca="false">IF(BT1081=1,0,ROUNDUP(AN1081/BS1081,0))</f>
        <v>1</v>
      </c>
      <c r="AP1081" s="59" t="n">
        <f aca="false">IF(CH1081&gt;0,CH1081*MAX(1,AN1081/X1081),IF(BT1081=1,IF(AN1081&lt;=0,0,BW1081*MAX(1,IF(H1081&gt;0,AN1081/H1081,1))),IF(R1081&gt;0,AO1081/R1081,0))/MAX(0.1,N(Parameter!$M$21)))</f>
        <v>0.0151515151515152</v>
      </c>
      <c r="AQ1081" s="57" t="n">
        <f aca="false">AN1081*G1081</f>
        <v>2541.8</v>
      </c>
      <c r="AR1081" s="57" t="n">
        <f aca="false">ROUNDUP(MAX(J1081/IF(BZ1081&gt;0,BZ1081,MAX(0.1,N(Cockpit!$I$6))),CC1081)/BS1081,0)*BS1081</f>
        <v>716</v>
      </c>
      <c r="AS1081" s="58" t="n">
        <f aca="false">IF(AP1081&gt;0,J1081/AP1081,-1)</f>
        <v>36234</v>
      </c>
      <c r="AT1081" s="58" t="n">
        <f aca="false">IF(AND(OR(BY1081="L1",BY1081="L23"),AP1081&gt;0),SUMIFS($AP$7:$AP$1843,$BY$7:$BY$1843,BY1081,$AS$7:$AS$1843,"&gt;"&amp;AS1081)+SUMIFS($AP$7:$AP$1843,$BY$7:$BY$1843,BY1081,$AS$7:$AS$1843,AS1081,$BQ$7:$BQ$1843,"&lt;="&amp;BQ1081),"")</f>
        <v>2.07503969460491</v>
      </c>
      <c r="AU1081" s="65" t="n">
        <f aca="false">IF(AT1081="",0,MAX(0,MIN(1,(IF(BY1081="L1",Parameter!$E$5,Parameter!$E$6+Parameter!$E$7)-(AT1081-AP1081))/AP1081)))</f>
        <v>1</v>
      </c>
      <c r="AV1081" s="57" t="n">
        <f aca="false">IF(LEFT(Cockpit!$O$5,1)="A",H1081,IF(CA1081=1,CB1081,IF(LEFT(Cockpit!$O$5,1)="B",AZ1081,MAX(AZ1081,H1081))))</f>
        <v>716</v>
      </c>
      <c r="AW1081" s="57" t="n">
        <f aca="false">IF(BT1081=1,0,ROUNDUP(AV1081/BS1081,0))</f>
        <v>1</v>
      </c>
      <c r="AX1081" s="59" t="n">
        <f aca="false">IF(CH1081&gt;0,CH1081*MAX(1,AV1081/X1081),IF(BT1081=1,IF(AV1081&lt;=0,0,BW1081*MAX(1,IF(H1081&gt;0,AV1081/H1081,1))),IF(R1081&gt;0,AW1081/R1081,0))/MAX(0.1,N(Parameter!$M$21)))</f>
        <v>0.0151515151515152</v>
      </c>
      <c r="AY1081" s="57" t="n">
        <f aca="false">AV1081*G1081</f>
        <v>2541.8</v>
      </c>
      <c r="AZ1081" s="57" t="n">
        <f aca="false">ROUNDUP(MAX(J1081/IF(BZ1081&gt;0,BZ1081,MAX(0.1,N(Cockpit!$O$6))),CC1081)/BS1081,0)*BS1081</f>
        <v>716</v>
      </c>
      <c r="BA1081" s="58" t="n">
        <f aca="false">IF(AX1081&gt;0,J1081/AX1081,-1)</f>
        <v>36234</v>
      </c>
      <c r="BB1081" s="58" t="n">
        <f aca="false">IF(AND(OR(BY1081="L1",BY1081="L23"),AX1081&gt;0),SUMIFS($AX$7:$AX$1843,$BY$7:$BY$1843,BY1081,$BA$7:$BA$1843,"&gt;"&amp;BA1081)+SUMIFS($AX$7:$AX$1843,$BY$7:$BY$1843,BY1081,$BA$7:$BA$1843,BA1081,$BQ$7:$BQ$1843,"&lt;="&amp;BQ1081),"")</f>
        <v>2.34310496267018</v>
      </c>
      <c r="BC1081" s="65" t="n">
        <f aca="false">IF(BB1081="",0,MAX(0,MIN(1,(IF(BY1081="L1",Parameter!$E$5,Parameter!$E$6+Parameter!$E$7)-(BB1081-AX1081))/AX1081)))</f>
        <v>1</v>
      </c>
      <c r="BD1081" s="55" t="str">
        <f aca="false">IF(AH1081&lt;=0,"",IF(BY1081="Aussen","Aussenlager",IF(BY1081="-","Nicht im Lift",IF(AM1081&gt;=1,"Lift",IF(AM1081&lt;=0,"Aussenlager","teilweise")))))</f>
        <v>Lift</v>
      </c>
      <c r="BE1081" s="55" t="str">
        <f aca="false">IF(AP1081&lt;=0,"",IF(BY1081="Aussen","Aussenlager",IF(BY1081="-","Nicht im Lift",IF(AU1081&gt;=1,"Lift",IF(AU1081&lt;=0,"Aussenlager","teilweise")))))</f>
        <v>Lift</v>
      </c>
      <c r="BF1081" s="55" t="str">
        <f aca="false">IF(AX1081&lt;=0,"",IF(BY1081="Aussen","Aussenlager",IF(BY1081="-","Nicht im Lift",IF(BC1081&gt;=1,"Lift",IF(BC1081&lt;=0,"Aussenlager","teilweise")))))</f>
        <v>Lift</v>
      </c>
      <c r="BG1081" s="55" t="str">
        <f aca="false">IF(A1081="","",IF(BP1081=1,"Neu; ","")&amp;IF(AND(BP1081=0,BK1081&lt;0),"negativer Bestand (Export "&amp;BK1081&amp;"); ","")&amp;IF(J1081&lt;=0,"Kein Verbrauch; ","")&amp;IF(CH1081&gt;0,"Lift "&amp;W1081&amp;" lt. Liftbericht (Fach "&amp;X1081&amp;" Stk); ",IF(BU1081=1,"Gebinde geschätzt ("&amp;T1081&amp;"); ",IF(BT1081=1,"Lose – Tablare geschätzt; ","")))&amp;IF(H1081&gt;AR1081,"Überbestand "&amp;ROUND(H1081-AR1081,0)&amp;" Stk / CHF "&amp;ROUND((H1081-AR1081)*G1081,0)&amp;"; ","")&amp;IF(AND(CA1081=1,CB1081&lt;CC1081),"MAX &lt; MB+LG; ","")&amp;IF(AND(CG1081&gt;0,CF1081*10&gt;CG1081),"zu hoch für Tablar; ","")&amp;IF(AND(BP1081=0,OR(CA1081=1,AA1081&lt;&gt;"",U1081&lt;&gt;"",V1081&lt;&gt;"",AB1081&lt;&gt;"")),"manuell übersteuert; ","")&amp;IF(AND(BT1081=0,R1081=0),"Gebinde unbekannt / Stellmass fehlt; ","")&amp;IF(AND(BT1081=0,N(V1081)&lt;=0,N(Q1081)&lt;=0),"Menge pro Gebinde fehlt (Ist = 1 Gebinde); ","")&amp;BO1081)</f>
        <v>negativer Bestand (Export -66); </v>
      </c>
      <c r="BH1081" s="55"/>
      <c r="BI1081" s="55"/>
      <c r="BJ1081" s="62"/>
      <c r="BK1081" s="57" t="n">
        <v>-66</v>
      </c>
      <c r="BL1081" s="57" t="n">
        <v>228</v>
      </c>
      <c r="BM1081" s="56" t="n">
        <v>-186.46</v>
      </c>
      <c r="BN1081" s="57" t="n">
        <v>549</v>
      </c>
      <c r="BO1081" s="55"/>
      <c r="BP1081" s="60" t="n">
        <v>0</v>
      </c>
      <c r="BQ1081" s="60" t="n">
        <v>1081</v>
      </c>
      <c r="BR1081" s="55" t="str">
        <f aca="false">IF(U1081&lt;&gt;"",UPPER(TRIM(U1081)),IF(BU1081=1,UPPER(VLOOKUP(T1081,Parameter!$I$27:$K$29,2,0)),IF(P1081="","LOSE",P1081)))</f>
        <v>S33</v>
      </c>
      <c r="BS1081" s="57" t="n">
        <f aca="false">IF(BR1081="LOSE",1,IF(N(V1081)&gt;0,V1081,IF(BU1081=1,MAX(1,N(VLOOKUP(T1081,Parameter!$I$27:$K$29,3,0)),H1081,N(N1081)),IF(N(Q1081)&gt;0,Q1081,MAX(1,H1081)))))</f>
        <v>716</v>
      </c>
      <c r="BT1081" s="60" t="n">
        <f aca="false">IF(BR1081="LOSE",1,0)</f>
        <v>0</v>
      </c>
      <c r="BU1081" s="60" t="n">
        <f aca="false">IF(AND(U1081="",OR(P1081="",P1081="LOSE"),T1081&lt;&gt;"",N(S1081)&lt;=0,ISNUMBER(MATCH(T1081,Parameter!$I$27:$I$29,0))),1,0)</f>
        <v>0</v>
      </c>
      <c r="BV1081" s="55" t="str">
        <f aca="false">IF(AND(Parameter!$B$19="Ja",E1081&lt;&gt;"",ISNUMBER(MATCH(E1081,Parameter!$I$35:$I$52,0))),VLOOKUP(E1081,Parameter!$I$35:$J$52,2,0),IFERROR(VLOOKUP(D1081,Parameter!$A$35:$C$64,2,0),"Nein"))</f>
        <v>2+3</v>
      </c>
      <c r="BW1081" s="59" t="n">
        <f aca="false">IF(BT1081=0,0,IF(N(S1081)&gt;0,S1081,IFERROR(VLOOKUP(D1081,Parameter!$A$35:$C$64,3,0)+0,0)))</f>
        <v>0</v>
      </c>
      <c r="BX1081" s="55" t="n">
        <f aca="false">IF(AA1081&lt;&gt;"",AA1081,Z1081)</f>
        <v>3</v>
      </c>
      <c r="BY1081" s="55" t="str">
        <f aca="false">IF(BX1081=1,"L1",IF(OR(BX1081=2,BX1081=3),"L23",IF(BX1081="Aussen","Aussen","-")))</f>
        <v>L23</v>
      </c>
      <c r="BZ1081" s="66" t="n">
        <f aca="false">IF(N(AB1081)&gt;0,AB1081,0)</f>
        <v>0</v>
      </c>
      <c r="CA1081" s="60" t="n">
        <f aca="false">IF(ISNUMBER(AE1081),1,0)</f>
        <v>0</v>
      </c>
      <c r="CB1081" s="57" t="n">
        <f aca="false">N(AE1081)</f>
        <v>0</v>
      </c>
      <c r="CC1081" s="57" t="n">
        <f aca="false">N(M1081)+N(N1081)</f>
        <v>121</v>
      </c>
      <c r="CD1081" s="57" t="n">
        <f aca="false">ROUNDUP(H1081/BS1081,0)</f>
        <v>1</v>
      </c>
      <c r="CE1081" s="57" t="n">
        <f aca="false">ROUNDUP(CB1081/BS1081,0)</f>
        <v>0</v>
      </c>
      <c r="CF1081" s="60" t="n">
        <f aca="false">IF(BT1081=1,0,IFERROR(VLOOKUP(BR1081,'Gebinde-Kategorie'!$A$5:$M$45,5,0)+0,0))</f>
        <v>8</v>
      </c>
      <c r="CG1081" s="60" t="n">
        <f aca="false">IFERROR(IF(OR(BX1081=1,BX1081=2,BX1081=3),N(INDEX(Parameter!$I$5:$I$7,BX1081)),0),0)</f>
        <v>0</v>
      </c>
      <c r="CH1081" s="59" t="n">
        <f aca="false">IF(AND(Parameter!$B$21="Ja",ISNUMBER(W1081),N(X1081)&gt;0),IFERROR(N(INDEX(Parameter!$L$5:$L$7,W1081))*INDEX(Parameter!$E$5:$E$7,W1081)*X1081/SUMIFS($X$7:$X$1843,$W$7:$W$1843,W1081),0),0)</f>
        <v>0</v>
      </c>
    </row>
    <row r="1082" customFormat="false" ht="15" hidden="false" customHeight="false" outlineLevel="0" collapsed="false">
      <c r="A1082" s="55" t="s">
        <v>1972</v>
      </c>
      <c r="B1082" s="55" t="s">
        <v>407</v>
      </c>
      <c r="C1082" s="55" t="s">
        <v>164</v>
      </c>
      <c r="D1082" s="55" t="s">
        <v>184</v>
      </c>
      <c r="E1082" s="55" t="s">
        <v>185</v>
      </c>
      <c r="F1082" s="55" t="s">
        <v>218</v>
      </c>
      <c r="G1082" s="56" t="n">
        <v>0.55</v>
      </c>
      <c r="H1082" s="57" t="n">
        <f aca="false">MAX(0,IF(AND(Parameter!$B$21="Ja",ISNUMBER(Y1082)),Y1082,IF(Parameter!$B$20="Jahresanfang 2025 + Export",BL1082+BK1082,BK1082)))</f>
        <v>1493</v>
      </c>
      <c r="I1082" s="57" t="n">
        <f aca="false">H1082*G1082</f>
        <v>821.15</v>
      </c>
      <c r="J1082" s="57" t="n">
        <f aca="false">BN1082*Parameter!$B$18</f>
        <v>1860</v>
      </c>
      <c r="K1082" s="58" t="n">
        <v>1638.5</v>
      </c>
      <c r="L1082" s="59" t="n">
        <v>1.13518462007934</v>
      </c>
      <c r="M1082" s="57" t="n">
        <v>109</v>
      </c>
      <c r="N1082" s="57" t="n">
        <v>1900</v>
      </c>
      <c r="O1082" s="60" t="n">
        <v>21</v>
      </c>
      <c r="P1082" s="55" t="s">
        <v>302</v>
      </c>
      <c r="Q1082" s="57" t="n">
        <v>989</v>
      </c>
      <c r="R1082" s="60" t="n">
        <f aca="false">IF(BT1082=1,0,IFERROR(VLOOKUP(BR1082,'Gebinde-Kategorie'!$A$5:$M$45,13,0)+0,0))</f>
        <v>26</v>
      </c>
      <c r="S1082" s="61"/>
      <c r="T1082" s="62"/>
      <c r="U1082" s="62"/>
      <c r="V1082" s="62"/>
      <c r="W1082" s="55"/>
      <c r="X1082" s="57"/>
      <c r="Y1082" s="57"/>
      <c r="Z1082" s="55" t="n">
        <f aca="false">IF(A1082="","",IF(AND(Parameter!$B$21="Ja",ISNUMBER(W1082)),W1082,IF(BV1082="2+3",IF(ISNUMBER(SEARCH("grosser Artikel",BO1082)),2,IFERROR(VLOOKUP(BR1082,Parameter!$F$35:$G$64,2,0),2)),IF(OR(BV1082="Nein",BV1082=""),"-",BV1082))))</f>
        <v>3</v>
      </c>
      <c r="AA1082" s="62"/>
      <c r="AB1082" s="63"/>
      <c r="AC1082" s="57" t="n">
        <f aca="false">AR1082</f>
        <v>2967</v>
      </c>
      <c r="AD1082" s="57" t="n">
        <f aca="false">MAX(AR1082,H1082)</f>
        <v>2967</v>
      </c>
      <c r="AE1082" s="64"/>
      <c r="AF1082" s="57" t="n">
        <f aca="false">IF(LEFT(Cockpit!$C$5,1)="A",H1082,IF(CA1082=1,CB1082,IF(LEFT(Cockpit!$C$5,1)="B",AJ1082,MAX(AJ1082,H1082))))</f>
        <v>1493</v>
      </c>
      <c r="AG1082" s="57" t="n">
        <f aca="false">IF(BT1082=1,0,ROUNDUP(AF1082/BS1082,0))</f>
        <v>2</v>
      </c>
      <c r="AH1082" s="59" t="n">
        <f aca="false">IF(CH1082&gt;0,CH1082*MAX(1,AF1082/X1082),IF(BT1082=1,IF(AF1082&lt;=0,0,BW1082*MAX(1,IF(H1082&gt;0,AF1082/H1082,1))),IF(R1082&gt;0,AG1082/R1082,0))/MAX(0.1,N(Parameter!$M$21)))</f>
        <v>0.0769230769230769</v>
      </c>
      <c r="AI1082" s="57" t="n">
        <f aca="false">AF1082*G1082</f>
        <v>821.15</v>
      </c>
      <c r="AJ1082" s="57" t="n">
        <f aca="false">ROUNDUP(MAX(J1082/IF(BZ1082&gt;0,BZ1082,MAX(0.1,N(Cockpit!$C$6))),CC1082)/BS1082,0)*BS1082</f>
        <v>2967</v>
      </c>
      <c r="AK1082" s="58" t="n">
        <f aca="false">IF(AH1082&gt;0,J1082/AH1082,-1)</f>
        <v>24180</v>
      </c>
      <c r="AL1082" s="58" t="n">
        <f aca="false">IF(AND(OR(BY1082="L1",BY1082="L23"),AH1082&gt;0),SUMIFS($AH$7:$AH$1843,$BY$7:$BY$1843,BY1082,$AK$7:$AK$1843,"&gt;"&amp;AK1082)+SUMIFS($AH$7:$AH$1843,$BY$7:$BY$1843,BY1082,$AK$7:$AK$1843,AK1082,$BQ$7:$BQ$1843,"&lt;="&amp;BQ1082),"")</f>
        <v>3.01621566838958</v>
      </c>
      <c r="AM1082" s="65" t="n">
        <f aca="false">IF(AL1082="",0,MAX(0,MIN(1,(IF(BY1082="L1",Parameter!$E$5,Parameter!$E$6+Parameter!$E$7)-(AL1082-AH1082))/AH1082)))</f>
        <v>1</v>
      </c>
      <c r="AN1082" s="57" t="n">
        <f aca="false">IF(LEFT(Cockpit!$I$5,1)="A",H1082,IF(CA1082=1,CB1082,IF(LEFT(Cockpit!$I$5,1)="B",AR1082,MAX(AR1082,H1082))))</f>
        <v>2967</v>
      </c>
      <c r="AO1082" s="57" t="n">
        <f aca="false">IF(BT1082=1,0,ROUNDUP(AN1082/BS1082,0))</f>
        <v>3</v>
      </c>
      <c r="AP1082" s="59" t="n">
        <f aca="false">IF(CH1082&gt;0,CH1082*MAX(1,AN1082/X1082),IF(BT1082=1,IF(AN1082&lt;=0,0,BW1082*MAX(1,IF(H1082&gt;0,AN1082/H1082,1))),IF(R1082&gt;0,AO1082/R1082,0))/MAX(0.1,N(Parameter!$M$21)))</f>
        <v>0.115384615384615</v>
      </c>
      <c r="AQ1082" s="57" t="n">
        <f aca="false">AN1082*G1082</f>
        <v>1631.85</v>
      </c>
      <c r="AR1082" s="57" t="n">
        <f aca="false">ROUNDUP(MAX(J1082/IF(BZ1082&gt;0,BZ1082,MAX(0.1,N(Cockpit!$I$6))),CC1082)/BS1082,0)*BS1082</f>
        <v>2967</v>
      </c>
      <c r="AS1082" s="58" t="n">
        <f aca="false">IF(AP1082&gt;0,J1082/AP1082,-1)</f>
        <v>16120</v>
      </c>
      <c r="AT1082" s="58" t="n">
        <f aca="false">IF(AND(OR(BY1082="L1",BY1082="L23"),AP1082&gt;0),SUMIFS($AP$7:$AP$1843,$BY$7:$BY$1843,BY1082,$AS$7:$AS$1843,"&gt;"&amp;AS1082)+SUMIFS($AP$7:$AP$1843,$BY$7:$BY$1843,BY1082,$AS$7:$AS$1843,AS1082,$BQ$7:$BQ$1843,"&lt;="&amp;BQ1082),"")</f>
        <v>4.784432958346</v>
      </c>
      <c r="AU1082" s="65" t="n">
        <f aca="false">IF(AT1082="",0,MAX(0,MIN(1,(IF(BY1082="L1",Parameter!$E$5,Parameter!$E$6+Parameter!$E$7)-(AT1082-AP1082))/AP1082)))</f>
        <v>1</v>
      </c>
      <c r="AV1082" s="57" t="n">
        <f aca="false">IF(LEFT(Cockpit!$O$5,1)="A",H1082,IF(CA1082=1,CB1082,IF(LEFT(Cockpit!$O$5,1)="B",AZ1082,MAX(AZ1082,H1082))))</f>
        <v>2967</v>
      </c>
      <c r="AW1082" s="57" t="n">
        <f aca="false">IF(BT1082=1,0,ROUNDUP(AV1082/BS1082,0))</f>
        <v>3</v>
      </c>
      <c r="AX1082" s="59" t="n">
        <f aca="false">IF(CH1082&gt;0,CH1082*MAX(1,AV1082/X1082),IF(BT1082=1,IF(AV1082&lt;=0,0,BW1082*MAX(1,IF(H1082&gt;0,AV1082/H1082,1))),IF(R1082&gt;0,AW1082/R1082,0))/MAX(0.1,N(Parameter!$M$21)))</f>
        <v>0.115384615384615</v>
      </c>
      <c r="AY1082" s="57" t="n">
        <f aca="false">AV1082*G1082</f>
        <v>1631.85</v>
      </c>
      <c r="AZ1082" s="57" t="n">
        <f aca="false">ROUNDUP(MAX(J1082/IF(BZ1082&gt;0,BZ1082,MAX(0.1,N(Cockpit!$O$6))),CC1082)/BS1082,0)*BS1082</f>
        <v>2967</v>
      </c>
      <c r="BA1082" s="58" t="n">
        <f aca="false">IF(AX1082&gt;0,J1082/AX1082,-1)</f>
        <v>16120</v>
      </c>
      <c r="BB1082" s="58" t="n">
        <f aca="false">IF(AND(OR(BY1082="L1",BY1082="L23"),AX1082&gt;0),SUMIFS($AX$7:$AX$1843,$BY$7:$BY$1843,BY1082,$BA$7:$BA$1843,"&gt;"&amp;BA1082)+SUMIFS($AX$7:$AX$1843,$BY$7:$BY$1843,BY1082,$BA$7:$BA$1843,BA1082,$BQ$7:$BQ$1843,"&lt;="&amp;BQ1082),"")</f>
        <v>4.46042363433668</v>
      </c>
      <c r="BC1082" s="65" t="n">
        <f aca="false">IF(BB1082="",0,MAX(0,MIN(1,(IF(BY1082="L1",Parameter!$E$5,Parameter!$E$6+Parameter!$E$7)-(BB1082-AX1082))/AX1082)))</f>
        <v>1</v>
      </c>
      <c r="BD1082" s="55" t="str">
        <f aca="false">IF(AH1082&lt;=0,"",IF(BY1082="Aussen","Aussenlager",IF(BY1082="-","Nicht im Lift",IF(AM1082&gt;=1,"Lift",IF(AM1082&lt;=0,"Aussenlager","teilweise")))))</f>
        <v>Lift</v>
      </c>
      <c r="BE1082" s="55" t="str">
        <f aca="false">IF(AP1082&lt;=0,"",IF(BY1082="Aussen","Aussenlager",IF(BY1082="-","Nicht im Lift",IF(AU1082&gt;=1,"Lift",IF(AU1082&lt;=0,"Aussenlager","teilweise")))))</f>
        <v>Lift</v>
      </c>
      <c r="BF1082" s="55" t="str">
        <f aca="false">IF(AX1082&lt;=0,"",IF(BY1082="Aussen","Aussenlager",IF(BY1082="-","Nicht im Lift",IF(BC1082&gt;=1,"Lift",IF(BC1082&lt;=0,"Aussenlager","teilweise")))))</f>
        <v>Lift</v>
      </c>
      <c r="BG1082" s="55" t="str">
        <f aca="false">IF(A1082="","",IF(BP1082=1,"Neu; ","")&amp;IF(AND(BP1082=0,BK1082&lt;0),"negativer Bestand (Export "&amp;BK1082&amp;"); ","")&amp;IF(J1082&lt;=0,"Kein Verbrauch; ","")&amp;IF(CH1082&gt;0,"Lift "&amp;W1082&amp;" lt. Liftbericht (Fach "&amp;X1082&amp;" Stk); ",IF(BU1082=1,"Gebinde geschätzt ("&amp;T1082&amp;"); ",IF(BT1082=1,"Lose – Tablare geschätzt; ","")))&amp;IF(H1082&gt;AR1082,"Überbestand "&amp;ROUND(H1082-AR1082,0)&amp;" Stk / CHF "&amp;ROUND((H1082-AR1082)*G1082,0)&amp;"; ","")&amp;IF(AND(CA1082=1,CB1082&lt;CC1082),"MAX &lt; MB+LG; ","")&amp;IF(AND(CG1082&gt;0,CF1082*10&gt;CG1082),"zu hoch für Tablar; ","")&amp;IF(AND(BP1082=0,OR(CA1082=1,AA1082&lt;&gt;"",U1082&lt;&gt;"",V1082&lt;&gt;"",AB1082&lt;&gt;"")),"manuell übersteuert; ","")&amp;IF(AND(BT1082=0,R1082=0),"Gebinde unbekannt / Stellmass fehlt; ","")&amp;IF(AND(BT1082=0,N(V1082)&lt;=0,N(Q1082)&lt;=0),"Menge pro Gebinde fehlt (Ist = 1 Gebinde); ","")&amp;BO1082)</f>
        <v>negativer Bestand (Export -375); </v>
      </c>
      <c r="BH1082" s="55"/>
      <c r="BI1082" s="55"/>
      <c r="BJ1082" s="62"/>
      <c r="BK1082" s="57" t="n">
        <v>-375</v>
      </c>
      <c r="BL1082" s="57" t="n">
        <v>1868</v>
      </c>
      <c r="BM1082" s="56" t="n">
        <v>-187.569999999999</v>
      </c>
      <c r="BN1082" s="57" t="n">
        <v>1860</v>
      </c>
      <c r="BO1082" s="55"/>
      <c r="BP1082" s="60" t="n">
        <v>0</v>
      </c>
      <c r="BQ1082" s="60" t="n">
        <v>1082</v>
      </c>
      <c r="BR1082" s="55" t="str">
        <f aca="false">IF(U1082&lt;&gt;"",UPPER(TRIM(U1082)),IF(BU1082=1,UPPER(VLOOKUP(T1082,Parameter!$I$27:$K$29,2,0)),IF(P1082="","LOSE",P1082)))</f>
        <v>S51</v>
      </c>
      <c r="BS1082" s="57" t="n">
        <f aca="false">IF(BR1082="LOSE",1,IF(N(V1082)&gt;0,V1082,IF(BU1082=1,MAX(1,N(VLOOKUP(T1082,Parameter!$I$27:$K$29,3,0)),H1082,N(N1082)),IF(N(Q1082)&gt;0,Q1082,MAX(1,H1082)))))</f>
        <v>989</v>
      </c>
      <c r="BT1082" s="60" t="n">
        <f aca="false">IF(BR1082="LOSE",1,0)</f>
        <v>0</v>
      </c>
      <c r="BU1082" s="60" t="n">
        <f aca="false">IF(AND(U1082="",OR(P1082="",P1082="LOSE"),T1082&lt;&gt;"",N(S1082)&lt;=0,ISNUMBER(MATCH(T1082,Parameter!$I$27:$I$29,0))),1,0)</f>
        <v>0</v>
      </c>
      <c r="BV1082" s="55" t="str">
        <f aca="false">IF(AND(Parameter!$B$19="Ja",E1082&lt;&gt;"",ISNUMBER(MATCH(E1082,Parameter!$I$35:$I$52,0))),VLOOKUP(E1082,Parameter!$I$35:$J$52,2,0),IFERROR(VLOOKUP(D1082,Parameter!$A$35:$C$64,2,0),"Nein"))</f>
        <v>2+3</v>
      </c>
      <c r="BW1082" s="59" t="n">
        <f aca="false">IF(BT1082=0,0,IF(N(S1082)&gt;0,S1082,IFERROR(VLOOKUP(D1082,Parameter!$A$35:$C$64,3,0)+0,0)))</f>
        <v>0</v>
      </c>
      <c r="BX1082" s="55" t="n">
        <f aca="false">IF(AA1082&lt;&gt;"",AA1082,Z1082)</f>
        <v>3</v>
      </c>
      <c r="BY1082" s="55" t="str">
        <f aca="false">IF(BX1082=1,"L1",IF(OR(BX1082=2,BX1082=3),"L23",IF(BX1082="Aussen","Aussen","-")))</f>
        <v>L23</v>
      </c>
      <c r="BZ1082" s="66" t="n">
        <f aca="false">IF(N(AB1082)&gt;0,AB1082,0)</f>
        <v>0</v>
      </c>
      <c r="CA1082" s="60" t="n">
        <f aca="false">IF(ISNUMBER(AE1082),1,0)</f>
        <v>0</v>
      </c>
      <c r="CB1082" s="57" t="n">
        <f aca="false">N(AE1082)</f>
        <v>0</v>
      </c>
      <c r="CC1082" s="57" t="n">
        <f aca="false">N(M1082)+N(N1082)</f>
        <v>2009</v>
      </c>
      <c r="CD1082" s="57" t="n">
        <f aca="false">ROUNDUP(H1082/BS1082,0)</f>
        <v>2</v>
      </c>
      <c r="CE1082" s="57" t="n">
        <f aca="false">ROUNDUP(CB1082/BS1082,0)</f>
        <v>0</v>
      </c>
      <c r="CF1082" s="60" t="n">
        <f aca="false">IF(BT1082=1,0,IFERROR(VLOOKUP(BR1082,'Gebinde-Kategorie'!$A$5:$M$45,5,0)+0,0))</f>
        <v>11</v>
      </c>
      <c r="CG1082" s="60" t="n">
        <f aca="false">IFERROR(IF(OR(BX1082=1,BX1082=2,BX1082=3),N(INDEX(Parameter!$I$5:$I$7,BX1082)),0),0)</f>
        <v>0</v>
      </c>
      <c r="CH1082" s="59" t="n">
        <f aca="false">IF(AND(Parameter!$B$21="Ja",ISNUMBER(W1082),N(X1082)&gt;0),IFERROR(N(INDEX(Parameter!$L$5:$L$7,W1082))*INDEX(Parameter!$E$5:$E$7,W1082)*X1082/SUMIFS($X$7:$X$1843,$W$7:$W$1843,W1082),0),0)</f>
        <v>0</v>
      </c>
    </row>
    <row r="1083" customFormat="false" ht="15" hidden="false" customHeight="false" outlineLevel="0" collapsed="false">
      <c r="A1083" s="55" t="s">
        <v>1973</v>
      </c>
      <c r="B1083" s="55" t="s">
        <v>489</v>
      </c>
      <c r="C1083" s="55" t="s">
        <v>164</v>
      </c>
      <c r="D1083" s="55" t="s">
        <v>184</v>
      </c>
      <c r="E1083" s="55" t="s">
        <v>185</v>
      </c>
      <c r="F1083" s="55" t="s">
        <v>218</v>
      </c>
      <c r="G1083" s="56" t="n">
        <v>8.23</v>
      </c>
      <c r="H1083" s="57" t="n">
        <f aca="false">MAX(0,IF(AND(Parameter!$B$21="Ja",ISNUMBER(Y1083)),Y1083,IF(Parameter!$B$20="Jahresanfang 2025 + Export",BL1083+BK1083,BK1083)))</f>
        <v>139</v>
      </c>
      <c r="I1083" s="57" t="n">
        <f aca="false">H1083*G1083</f>
        <v>1143.97</v>
      </c>
      <c r="J1083" s="57" t="n">
        <f aca="false">BN1083*Parameter!$B$18</f>
        <v>507</v>
      </c>
      <c r="K1083" s="58" t="n">
        <v>213</v>
      </c>
      <c r="L1083" s="59" t="n">
        <v>2.38028169014085</v>
      </c>
      <c r="M1083" s="57" t="n">
        <v>10</v>
      </c>
      <c r="N1083" s="57" t="n">
        <v>360</v>
      </c>
      <c r="O1083" s="60" t="n">
        <v>7</v>
      </c>
      <c r="P1083" s="55" t="s">
        <v>328</v>
      </c>
      <c r="Q1083" s="57" t="n">
        <v>309</v>
      </c>
      <c r="R1083" s="60" t="n">
        <f aca="false">IF(BT1083=1,0,IFERROR(VLOOKUP(BR1083,'Gebinde-Kategorie'!$A$5:$M$45,13,0)+0,0))</f>
        <v>52</v>
      </c>
      <c r="S1083" s="61"/>
      <c r="T1083" s="62"/>
      <c r="U1083" s="62"/>
      <c r="V1083" s="62"/>
      <c r="W1083" s="55"/>
      <c r="X1083" s="57"/>
      <c r="Y1083" s="57"/>
      <c r="Z1083" s="55" t="n">
        <f aca="false">IF(A1083="","",IF(AND(Parameter!$B$21="Ja",ISNUMBER(W1083)),W1083,IF(BV1083="2+3",IF(ISNUMBER(SEARCH("grosser Artikel",BO1083)),2,IFERROR(VLOOKUP(BR1083,Parameter!$F$35:$G$64,2,0),2)),IF(OR(BV1083="Nein",BV1083=""),"-",BV1083))))</f>
        <v>3</v>
      </c>
      <c r="AA1083" s="62"/>
      <c r="AB1083" s="63"/>
      <c r="AC1083" s="57" t="n">
        <f aca="false">AR1083</f>
        <v>618</v>
      </c>
      <c r="AD1083" s="57" t="n">
        <f aca="false">MAX(AR1083,H1083)</f>
        <v>618</v>
      </c>
      <c r="AE1083" s="64"/>
      <c r="AF1083" s="57" t="n">
        <f aca="false">IF(LEFT(Cockpit!$C$5,1)="A",H1083,IF(CA1083=1,CB1083,IF(LEFT(Cockpit!$C$5,1)="B",AJ1083,MAX(AJ1083,H1083))))</f>
        <v>139</v>
      </c>
      <c r="AG1083" s="57" t="n">
        <f aca="false">IF(BT1083=1,0,ROUNDUP(AF1083/BS1083,0))</f>
        <v>1</v>
      </c>
      <c r="AH1083" s="59" t="n">
        <f aca="false">IF(CH1083&gt;0,CH1083*MAX(1,AF1083/X1083),IF(BT1083=1,IF(AF1083&lt;=0,0,BW1083*MAX(1,IF(H1083&gt;0,AF1083/H1083,1))),IF(R1083&gt;0,AG1083/R1083,0))/MAX(0.1,N(Parameter!$M$21)))</f>
        <v>0.0192307692307692</v>
      </c>
      <c r="AI1083" s="57" t="n">
        <f aca="false">AF1083*G1083</f>
        <v>1143.97</v>
      </c>
      <c r="AJ1083" s="57" t="n">
        <f aca="false">ROUNDUP(MAX(J1083/IF(BZ1083&gt;0,BZ1083,MAX(0.1,N(Cockpit!$C$6))),CC1083)/BS1083,0)*BS1083</f>
        <v>618</v>
      </c>
      <c r="AK1083" s="58" t="n">
        <f aca="false">IF(AH1083&gt;0,J1083/AH1083,-1)</f>
        <v>26364</v>
      </c>
      <c r="AL1083" s="58" t="n">
        <f aca="false">IF(AND(OR(BY1083="L1",BY1083="L23"),AH1083&gt;0),SUMIFS($AH$7:$AH$1843,$BY$7:$BY$1843,BY1083,$AK$7:$AK$1843,"&gt;"&amp;AK1083)+SUMIFS($AH$7:$AH$1843,$BY$7:$BY$1843,BY1083,$AK$7:$AK$1843,AK1083,$BQ$7:$BQ$1843,"&lt;="&amp;BQ1083),"")</f>
        <v>2.80736292692814</v>
      </c>
      <c r="AM1083" s="65" t="n">
        <f aca="false">IF(AL1083="",0,MAX(0,MIN(1,(IF(BY1083="L1",Parameter!$E$5,Parameter!$E$6+Parameter!$E$7)-(AL1083-AH1083))/AH1083)))</f>
        <v>1</v>
      </c>
      <c r="AN1083" s="57" t="n">
        <f aca="false">IF(LEFT(Cockpit!$I$5,1)="A",H1083,IF(CA1083=1,CB1083,IF(LEFT(Cockpit!$I$5,1)="B",AR1083,MAX(AR1083,H1083))))</f>
        <v>618</v>
      </c>
      <c r="AO1083" s="57" t="n">
        <f aca="false">IF(BT1083=1,0,ROUNDUP(AN1083/BS1083,0))</f>
        <v>2</v>
      </c>
      <c r="AP1083" s="59" t="n">
        <f aca="false">IF(CH1083&gt;0,CH1083*MAX(1,AN1083/X1083),IF(BT1083=1,IF(AN1083&lt;=0,0,BW1083*MAX(1,IF(H1083&gt;0,AN1083/H1083,1))),IF(R1083&gt;0,AO1083/R1083,0))/MAX(0.1,N(Parameter!$M$21)))</f>
        <v>0.0384615384615385</v>
      </c>
      <c r="AQ1083" s="57" t="n">
        <f aca="false">AN1083*G1083</f>
        <v>5086.14</v>
      </c>
      <c r="AR1083" s="57" t="n">
        <f aca="false">ROUNDUP(MAX(J1083/IF(BZ1083&gt;0,BZ1083,MAX(0.1,N(Cockpit!$I$6))),CC1083)/BS1083,0)*BS1083</f>
        <v>618</v>
      </c>
      <c r="AS1083" s="58" t="n">
        <f aca="false">IF(AP1083&gt;0,J1083/AP1083,-1)</f>
        <v>13182</v>
      </c>
      <c r="AT1083" s="58" t="n">
        <f aca="false">IF(AND(OR(BY1083="L1",BY1083="L23"),AP1083&gt;0),SUMIFS($AP$7:$AP$1843,$BY$7:$BY$1843,BY1083,$AS$7:$AS$1843,"&gt;"&amp;AS1083)+SUMIFS($AP$7:$AP$1843,$BY$7:$BY$1843,BY1083,$AS$7:$AS$1843,AS1083,$BQ$7:$BQ$1843,"&lt;="&amp;BQ1083),"")</f>
        <v>5.3321087125435</v>
      </c>
      <c r="AU1083" s="65" t="n">
        <f aca="false">IF(AT1083="",0,MAX(0,MIN(1,(IF(BY1083="L1",Parameter!$E$5,Parameter!$E$6+Parameter!$E$7)-(AT1083-AP1083))/AP1083)))</f>
        <v>1</v>
      </c>
      <c r="AV1083" s="57" t="n">
        <f aca="false">IF(LEFT(Cockpit!$O$5,1)="A",H1083,IF(CA1083=1,CB1083,IF(LEFT(Cockpit!$O$5,1)="B",AZ1083,MAX(AZ1083,H1083))))</f>
        <v>618</v>
      </c>
      <c r="AW1083" s="57" t="n">
        <f aca="false">IF(BT1083=1,0,ROUNDUP(AV1083/BS1083,0))</f>
        <v>2</v>
      </c>
      <c r="AX1083" s="59" t="n">
        <f aca="false">IF(CH1083&gt;0,CH1083*MAX(1,AV1083/X1083),IF(BT1083=1,IF(AV1083&lt;=0,0,BW1083*MAX(1,IF(H1083&gt;0,AV1083/H1083,1))),IF(R1083&gt;0,AW1083/R1083,0))/MAX(0.1,N(Parameter!$M$21)))</f>
        <v>0.0384615384615385</v>
      </c>
      <c r="AY1083" s="57" t="n">
        <f aca="false">AV1083*G1083</f>
        <v>5086.14</v>
      </c>
      <c r="AZ1083" s="57" t="n">
        <f aca="false">ROUNDUP(MAX(J1083/IF(BZ1083&gt;0,BZ1083,MAX(0.1,N(Cockpit!$O$6))),CC1083)/BS1083,0)*BS1083</f>
        <v>618</v>
      </c>
      <c r="BA1083" s="58" t="n">
        <f aca="false">IF(AX1083&gt;0,J1083/AX1083,-1)</f>
        <v>13182</v>
      </c>
      <c r="BB1083" s="58" t="n">
        <f aca="false">IF(AND(OR(BY1083="L1",BY1083="L23"),AX1083&gt;0),SUMIFS($AX$7:$AX$1843,$BY$7:$BY$1843,BY1083,$BA$7:$BA$1843,"&gt;"&amp;BA1083)+SUMIFS($AX$7:$AX$1843,$BY$7:$BY$1843,BY1083,$BA$7:$BA$1843,BA1083,$BQ$7:$BQ$1843,"&lt;="&amp;BQ1083),"")</f>
        <v>6.32861220904699</v>
      </c>
      <c r="BC1083" s="65" t="n">
        <f aca="false">IF(BB1083="",0,MAX(0,MIN(1,(IF(BY1083="L1",Parameter!$E$5,Parameter!$E$6+Parameter!$E$7)-(BB1083-AX1083))/AX1083)))</f>
        <v>1</v>
      </c>
      <c r="BD1083" s="55" t="str">
        <f aca="false">IF(AH1083&lt;=0,"",IF(BY1083="Aussen","Aussenlager",IF(BY1083="-","Nicht im Lift",IF(AM1083&gt;=1,"Lift",IF(AM1083&lt;=0,"Aussenlager","teilweise")))))</f>
        <v>Lift</v>
      </c>
      <c r="BE1083" s="55" t="str">
        <f aca="false">IF(AP1083&lt;=0,"",IF(BY1083="Aussen","Aussenlager",IF(BY1083="-","Nicht im Lift",IF(AU1083&gt;=1,"Lift",IF(AU1083&lt;=0,"Aussenlager","teilweise")))))</f>
        <v>Lift</v>
      </c>
      <c r="BF1083" s="55" t="str">
        <f aca="false">IF(AX1083&lt;=0,"",IF(BY1083="Aussen","Aussenlager",IF(BY1083="-","Nicht im Lift",IF(BC1083&gt;=1,"Lift",IF(BC1083&lt;=0,"Aussenlager","teilweise")))))</f>
        <v>Lift</v>
      </c>
      <c r="BG1083" s="55" t="str">
        <f aca="false">IF(A1083="","",IF(BP1083=1,"Neu; ","")&amp;IF(AND(BP1083=0,BK1083&lt;0),"negativer Bestand (Export "&amp;BK1083&amp;"); ","")&amp;IF(J1083&lt;=0,"Kein Verbrauch; ","")&amp;IF(CH1083&gt;0,"Lift "&amp;W1083&amp;" lt. Liftbericht (Fach "&amp;X1083&amp;" Stk); ",IF(BU1083=1,"Gebinde geschätzt ("&amp;T1083&amp;"); ",IF(BT1083=1,"Lose – Tablare geschätzt; ","")))&amp;IF(H1083&gt;AR1083,"Überbestand "&amp;ROUND(H1083-AR1083,0)&amp;" Stk / CHF "&amp;ROUND((H1083-AR1083)*G1083,0)&amp;"; ","")&amp;IF(AND(CA1083=1,CB1083&lt;CC1083),"MAX &lt; MB+LG; ","")&amp;IF(AND(CG1083&gt;0,CF1083*10&gt;CG1083),"zu hoch für Tablar; ","")&amp;IF(AND(BP1083=0,OR(CA1083=1,AA1083&lt;&gt;"",U1083&lt;&gt;"",V1083&lt;&gt;"",AB1083&lt;&gt;"")),"manuell übersteuert; ","")&amp;IF(AND(BT1083=0,R1083=0),"Gebinde unbekannt / Stellmass fehlt; ","")&amp;IF(AND(BT1083=0,N(V1083)&lt;=0,N(Q1083)&lt;=0),"Menge pro Gebinde fehlt (Ist = 1 Gebinde); ","")&amp;BO1083)</f>
        <v>negativer Bestand (Export -23); </v>
      </c>
      <c r="BH1083" s="55"/>
      <c r="BI1083" s="55"/>
      <c r="BJ1083" s="62"/>
      <c r="BK1083" s="57" t="n">
        <v>-23</v>
      </c>
      <c r="BL1083" s="57" t="n">
        <v>162</v>
      </c>
      <c r="BM1083" s="56" t="n">
        <v>-187.750000000003</v>
      </c>
      <c r="BN1083" s="57" t="n">
        <v>507</v>
      </c>
      <c r="BO1083" s="55"/>
      <c r="BP1083" s="60" t="n">
        <v>0</v>
      </c>
      <c r="BQ1083" s="60" t="n">
        <v>1083</v>
      </c>
      <c r="BR1083" s="55" t="str">
        <f aca="false">IF(U1083&lt;&gt;"",UPPER(TRIM(U1083)),IF(BU1083=1,UPPER(VLOOKUP(T1083,Parameter!$I$27:$K$29,2,0)),IF(P1083="","LOSE",P1083)))</f>
        <v>S41</v>
      </c>
      <c r="BS1083" s="57" t="n">
        <f aca="false">IF(BR1083="LOSE",1,IF(N(V1083)&gt;0,V1083,IF(BU1083=1,MAX(1,N(VLOOKUP(T1083,Parameter!$I$27:$K$29,3,0)),H1083,N(N1083)),IF(N(Q1083)&gt;0,Q1083,MAX(1,H1083)))))</f>
        <v>309</v>
      </c>
      <c r="BT1083" s="60" t="n">
        <f aca="false">IF(BR1083="LOSE",1,0)</f>
        <v>0</v>
      </c>
      <c r="BU1083" s="60" t="n">
        <f aca="false">IF(AND(U1083="",OR(P1083="",P1083="LOSE"),T1083&lt;&gt;"",N(S1083)&lt;=0,ISNUMBER(MATCH(T1083,Parameter!$I$27:$I$29,0))),1,0)</f>
        <v>0</v>
      </c>
      <c r="BV1083" s="55" t="str">
        <f aca="false">IF(AND(Parameter!$B$19="Ja",E1083&lt;&gt;"",ISNUMBER(MATCH(E1083,Parameter!$I$35:$I$52,0))),VLOOKUP(E1083,Parameter!$I$35:$J$52,2,0),IFERROR(VLOOKUP(D1083,Parameter!$A$35:$C$64,2,0),"Nein"))</f>
        <v>2+3</v>
      </c>
      <c r="BW1083" s="59" t="n">
        <f aca="false">IF(BT1083=0,0,IF(N(S1083)&gt;0,S1083,IFERROR(VLOOKUP(D1083,Parameter!$A$35:$C$64,3,0)+0,0)))</f>
        <v>0</v>
      </c>
      <c r="BX1083" s="55" t="n">
        <f aca="false">IF(AA1083&lt;&gt;"",AA1083,Z1083)</f>
        <v>3</v>
      </c>
      <c r="BY1083" s="55" t="str">
        <f aca="false">IF(BX1083=1,"L1",IF(OR(BX1083=2,BX1083=3),"L23",IF(BX1083="Aussen","Aussen","-")))</f>
        <v>L23</v>
      </c>
      <c r="BZ1083" s="66" t="n">
        <f aca="false">IF(N(AB1083)&gt;0,AB1083,0)</f>
        <v>0</v>
      </c>
      <c r="CA1083" s="60" t="n">
        <f aca="false">IF(ISNUMBER(AE1083),1,0)</f>
        <v>0</v>
      </c>
      <c r="CB1083" s="57" t="n">
        <f aca="false">N(AE1083)</f>
        <v>0</v>
      </c>
      <c r="CC1083" s="57" t="n">
        <f aca="false">N(M1083)+N(N1083)</f>
        <v>370</v>
      </c>
      <c r="CD1083" s="57" t="n">
        <f aca="false">ROUNDUP(H1083/BS1083,0)</f>
        <v>1</v>
      </c>
      <c r="CE1083" s="57" t="n">
        <f aca="false">ROUNDUP(CB1083/BS1083,0)</f>
        <v>0</v>
      </c>
      <c r="CF1083" s="60" t="n">
        <f aca="false">IF(BT1083=1,0,IFERROR(VLOOKUP(BR1083,'Gebinde-Kategorie'!$A$5:$M$45,5,0)+0,0))</f>
        <v>11</v>
      </c>
      <c r="CG1083" s="60" t="n">
        <f aca="false">IFERROR(IF(OR(BX1083=1,BX1083=2,BX1083=3),N(INDEX(Parameter!$I$5:$I$7,BX1083)),0),0)</f>
        <v>0</v>
      </c>
      <c r="CH1083" s="59" t="n">
        <f aca="false">IF(AND(Parameter!$B$21="Ja",ISNUMBER(W1083),N(X1083)&gt;0),IFERROR(N(INDEX(Parameter!$L$5:$L$7,W1083))*INDEX(Parameter!$E$5:$E$7,W1083)*X1083/SUMIFS($X$7:$X$1843,$W$7:$W$1843,W1083),0),0)</f>
        <v>0</v>
      </c>
    </row>
    <row r="1084" customFormat="false" ht="15" hidden="false" customHeight="false" outlineLevel="0" collapsed="false">
      <c r="A1084" s="55" t="s">
        <v>1974</v>
      </c>
      <c r="B1084" s="55" t="s">
        <v>501</v>
      </c>
      <c r="C1084" s="55" t="s">
        <v>164</v>
      </c>
      <c r="D1084" s="55" t="s">
        <v>184</v>
      </c>
      <c r="E1084" s="55"/>
      <c r="F1084" s="55" t="s">
        <v>218</v>
      </c>
      <c r="G1084" s="56" t="n">
        <v>13.2</v>
      </c>
      <c r="H1084" s="57" t="n">
        <f aca="false">MAX(0,IF(AND(Parameter!$B$21="Ja",ISNUMBER(Y1084)),Y1084,IF(Parameter!$B$20="Jahresanfang 2025 + Export",BL1084+BK1084,BK1084)))</f>
        <v>8</v>
      </c>
      <c r="I1084" s="57" t="n">
        <f aca="false">H1084*G1084</f>
        <v>105.6</v>
      </c>
      <c r="J1084" s="57" t="n">
        <f aca="false">BN1084*Parameter!$B$18</f>
        <v>10</v>
      </c>
      <c r="K1084" s="58" t="n">
        <v>8.5</v>
      </c>
      <c r="L1084" s="59" t="n">
        <v>1.17647058823529</v>
      </c>
      <c r="M1084" s="57" t="n">
        <v>0</v>
      </c>
      <c r="N1084" s="57" t="n">
        <v>10</v>
      </c>
      <c r="O1084" s="60" t="n">
        <v>28</v>
      </c>
      <c r="P1084" s="55" t="s">
        <v>426</v>
      </c>
      <c r="Q1084" s="57" t="n">
        <v>8</v>
      </c>
      <c r="R1084" s="60" t="n">
        <f aca="false">IF(BT1084=1,0,IFERROR(VLOOKUP(BR1084,'Gebinde-Kategorie'!$A$5:$M$45,13,0)+0,0))</f>
        <v>198</v>
      </c>
      <c r="S1084" s="61"/>
      <c r="T1084" s="62"/>
      <c r="U1084" s="62"/>
      <c r="V1084" s="62"/>
      <c r="W1084" s="55"/>
      <c r="X1084" s="57"/>
      <c r="Y1084" s="57"/>
      <c r="Z1084" s="55" t="n">
        <f aca="false">IF(A1084="","",IF(AND(Parameter!$B$21="Ja",ISNUMBER(W1084)),W1084,IF(BV1084="2+3",IF(ISNUMBER(SEARCH("grosser Artikel",BO1084)),2,IFERROR(VLOOKUP(BR1084,Parameter!$F$35:$G$64,2,0),2)),IF(OR(BV1084="Nein",BV1084=""),"-",BV1084))))</f>
        <v>3</v>
      </c>
      <c r="AA1084" s="62"/>
      <c r="AB1084" s="63"/>
      <c r="AC1084" s="57" t="n">
        <f aca="false">AR1084</f>
        <v>16</v>
      </c>
      <c r="AD1084" s="57" t="n">
        <f aca="false">MAX(AR1084,H1084)</f>
        <v>16</v>
      </c>
      <c r="AE1084" s="64"/>
      <c r="AF1084" s="57" t="n">
        <f aca="false">IF(LEFT(Cockpit!$C$5,1)="A",H1084,IF(CA1084=1,CB1084,IF(LEFT(Cockpit!$C$5,1)="B",AJ1084,MAX(AJ1084,H1084))))</f>
        <v>8</v>
      </c>
      <c r="AG1084" s="57" t="n">
        <f aca="false">IF(BT1084=1,0,ROUNDUP(AF1084/BS1084,0))</f>
        <v>1</v>
      </c>
      <c r="AH1084" s="59" t="n">
        <f aca="false">IF(CH1084&gt;0,CH1084*MAX(1,AF1084/X1084),IF(BT1084=1,IF(AF1084&lt;=0,0,BW1084*MAX(1,IF(H1084&gt;0,AF1084/H1084,1))),IF(R1084&gt;0,AG1084/R1084,0))/MAX(0.1,N(Parameter!$M$21)))</f>
        <v>0.00505050505050505</v>
      </c>
      <c r="AI1084" s="57" t="n">
        <f aca="false">AF1084*G1084</f>
        <v>105.6</v>
      </c>
      <c r="AJ1084" s="57" t="n">
        <f aca="false">ROUNDUP(MAX(J1084/IF(BZ1084&gt;0,BZ1084,MAX(0.1,N(Cockpit!$C$6))),CC1084)/BS1084,0)*BS1084</f>
        <v>16</v>
      </c>
      <c r="AK1084" s="58" t="n">
        <f aca="false">IF(AH1084&gt;0,J1084/AH1084,-1)</f>
        <v>1980</v>
      </c>
      <c r="AL1084" s="58" t="n">
        <f aca="false">IF(AND(OR(BY1084="L1",BY1084="L23"),AH1084&gt;0),SUMIFS($AH$7:$AH$1843,$BY$7:$BY$1843,BY1084,$AK$7:$AK$1843,"&gt;"&amp;AK1084)+SUMIFS($AH$7:$AH$1843,$BY$7:$BY$1843,BY1084,$AK$7:$AK$1843,AK1084,$BQ$7:$BQ$1843,"&lt;="&amp;BQ1084),"")</f>
        <v>13.1049288875376</v>
      </c>
      <c r="AM1084" s="65" t="n">
        <f aca="false">IF(AL1084="",0,MAX(0,MIN(1,(IF(BY1084="L1",Parameter!$E$5,Parameter!$E$6+Parameter!$E$7)-(AL1084-AH1084))/AH1084)))</f>
        <v>1</v>
      </c>
      <c r="AN1084" s="57" t="n">
        <f aca="false">IF(LEFT(Cockpit!$I$5,1)="A",H1084,IF(CA1084=1,CB1084,IF(LEFT(Cockpit!$I$5,1)="B",AR1084,MAX(AR1084,H1084))))</f>
        <v>16</v>
      </c>
      <c r="AO1084" s="57" t="n">
        <f aca="false">IF(BT1084=1,0,ROUNDUP(AN1084/BS1084,0))</f>
        <v>2</v>
      </c>
      <c r="AP1084" s="59" t="n">
        <f aca="false">IF(CH1084&gt;0,CH1084*MAX(1,AN1084/X1084),IF(BT1084=1,IF(AN1084&lt;=0,0,BW1084*MAX(1,IF(H1084&gt;0,AN1084/H1084,1))),IF(R1084&gt;0,AO1084/R1084,0))/MAX(0.1,N(Parameter!$M$21)))</f>
        <v>0.0101010101010101</v>
      </c>
      <c r="AQ1084" s="57" t="n">
        <f aca="false">AN1084*G1084</f>
        <v>211.2</v>
      </c>
      <c r="AR1084" s="57" t="n">
        <f aca="false">ROUNDUP(MAX(J1084/IF(BZ1084&gt;0,BZ1084,MAX(0.1,N(Cockpit!$I$6))),CC1084)/BS1084,0)*BS1084</f>
        <v>16</v>
      </c>
      <c r="AS1084" s="58" t="n">
        <f aca="false">IF(AP1084&gt;0,J1084/AP1084,-1)</f>
        <v>990</v>
      </c>
      <c r="AT1084" s="58" t="n">
        <f aca="false">IF(AND(OR(BY1084="L1",BY1084="L23"),AP1084&gt;0),SUMIFS($AP$7:$AP$1843,$BY$7:$BY$1843,BY1084,$AS$7:$AS$1843,"&gt;"&amp;AS1084)+SUMIFS($AP$7:$AP$1843,$BY$7:$BY$1843,BY1084,$AS$7:$AS$1843,AS1084,$BQ$7:$BQ$1843,"&lt;="&amp;BQ1084),"")</f>
        <v>23.7275514340732</v>
      </c>
      <c r="AU1084" s="65" t="n">
        <f aca="false">IF(AT1084="",0,MAX(0,MIN(1,(IF(BY1084="L1",Parameter!$E$5,Parameter!$E$6+Parameter!$E$7)-(AT1084-AP1084))/AP1084)))</f>
        <v>1</v>
      </c>
      <c r="AV1084" s="57" t="n">
        <f aca="false">IF(LEFT(Cockpit!$O$5,1)="A",H1084,IF(CA1084=1,CB1084,IF(LEFT(Cockpit!$O$5,1)="B",AZ1084,MAX(AZ1084,H1084))))</f>
        <v>16</v>
      </c>
      <c r="AW1084" s="57" t="n">
        <f aca="false">IF(BT1084=1,0,ROUNDUP(AV1084/BS1084,0))</f>
        <v>2</v>
      </c>
      <c r="AX1084" s="59" t="n">
        <f aca="false">IF(CH1084&gt;0,CH1084*MAX(1,AV1084/X1084),IF(BT1084=1,IF(AV1084&lt;=0,0,BW1084*MAX(1,IF(H1084&gt;0,AV1084/H1084,1))),IF(R1084&gt;0,AW1084/R1084,0))/MAX(0.1,N(Parameter!$M$21)))</f>
        <v>0.0101010101010101</v>
      </c>
      <c r="AY1084" s="57" t="n">
        <f aca="false">AV1084*G1084</f>
        <v>211.2</v>
      </c>
      <c r="AZ1084" s="57" t="n">
        <f aca="false">ROUNDUP(MAX(J1084/IF(BZ1084&gt;0,BZ1084,MAX(0.1,N(Cockpit!$O$6))),CC1084)/BS1084,0)*BS1084</f>
        <v>16</v>
      </c>
      <c r="BA1084" s="58" t="n">
        <f aca="false">IF(AX1084&gt;0,J1084/AX1084,-1)</f>
        <v>990</v>
      </c>
      <c r="BB1084" s="58" t="n">
        <f aca="false">IF(AND(OR(BY1084="L1",BY1084="L23"),AX1084&gt;0),SUMIFS($AX$7:$AX$1843,$BY$7:$BY$1843,BY1084,$BA$7:$BA$1843,"&gt;"&amp;BA1084)+SUMIFS($AX$7:$AX$1843,$BY$7:$BY$1843,BY1084,$BA$7:$BA$1843,BA1084,$BQ$7:$BQ$1843,"&lt;="&amp;BQ1084),"")</f>
        <v>23.1791831357049</v>
      </c>
      <c r="BC1084" s="65" t="n">
        <f aca="false">IF(BB1084="",0,MAX(0,MIN(1,(IF(BY1084="L1",Parameter!$E$5,Parameter!$E$6+Parameter!$E$7)-(BB1084-AX1084))/AX1084)))</f>
        <v>1</v>
      </c>
      <c r="BD1084" s="55" t="str">
        <f aca="false">IF(AH1084&lt;=0,"",IF(BY1084="Aussen","Aussenlager",IF(BY1084="-","Nicht im Lift",IF(AM1084&gt;=1,"Lift",IF(AM1084&lt;=0,"Aussenlager","teilweise")))))</f>
        <v>Lift</v>
      </c>
      <c r="BE1084" s="55" t="str">
        <f aca="false">IF(AP1084&lt;=0,"",IF(BY1084="Aussen","Aussenlager",IF(BY1084="-","Nicht im Lift",IF(AU1084&gt;=1,"Lift",IF(AU1084&lt;=0,"Aussenlager","teilweise")))))</f>
        <v>Lift</v>
      </c>
      <c r="BF1084" s="55" t="str">
        <f aca="false">IF(AX1084&lt;=0,"",IF(BY1084="Aussen","Aussenlager",IF(BY1084="-","Nicht im Lift",IF(BC1084&gt;=1,"Lift",IF(BC1084&lt;=0,"Aussenlager","teilweise")))))</f>
        <v>Lift</v>
      </c>
      <c r="BG1084" s="55" t="str">
        <f aca="false">IF(A1084="","",IF(BP1084=1,"Neu; ","")&amp;IF(AND(BP1084=0,BK1084&lt;0),"negativer Bestand (Export "&amp;BK1084&amp;"); ","")&amp;IF(J1084&lt;=0,"Kein Verbrauch; ","")&amp;IF(CH1084&gt;0,"Lift "&amp;W1084&amp;" lt. Liftbericht (Fach "&amp;X1084&amp;" Stk); ",IF(BU1084=1,"Gebinde geschätzt ("&amp;T1084&amp;"); ",IF(BT1084=1,"Lose – Tablare geschätzt; ","")))&amp;IF(H1084&gt;AR1084,"Überbestand "&amp;ROUND(H1084-AR1084,0)&amp;" Stk / CHF "&amp;ROUND((H1084-AR1084)*G1084,0)&amp;"; ","")&amp;IF(AND(CA1084=1,CB1084&lt;CC1084),"MAX &lt; MB+LG; ","")&amp;IF(AND(CG1084&gt;0,CF1084*10&gt;CG1084),"zu hoch für Tablar; ","")&amp;IF(AND(BP1084=0,OR(CA1084=1,AA1084&lt;&gt;"",U1084&lt;&gt;"",V1084&lt;&gt;"",AB1084&lt;&gt;"")),"manuell übersteuert; ","")&amp;IF(AND(BT1084=0,R1084=0),"Gebinde unbekannt / Stellmass fehlt; ","")&amp;IF(AND(BT1084=0,N(V1084)&lt;=0,N(Q1084)&lt;=0),"Menge pro Gebinde fehlt (Ist = 1 Gebinde); ","")&amp;BO1084)</f>
        <v/>
      </c>
      <c r="BH1084" s="55"/>
      <c r="BI1084" s="55"/>
      <c r="BJ1084" s="62"/>
      <c r="BK1084" s="57" t="n">
        <v>2</v>
      </c>
      <c r="BL1084" s="57" t="n">
        <v>6</v>
      </c>
      <c r="BM1084" s="56" t="n">
        <v>-188.4</v>
      </c>
      <c r="BN1084" s="57" t="n">
        <v>10</v>
      </c>
      <c r="BO1084" s="55"/>
      <c r="BP1084" s="60" t="n">
        <v>0</v>
      </c>
      <c r="BQ1084" s="60" t="n">
        <v>1084</v>
      </c>
      <c r="BR1084" s="55" t="str">
        <f aca="false">IF(U1084&lt;&gt;"",UPPER(TRIM(U1084)),IF(BU1084=1,UPPER(VLOOKUP(T1084,Parameter!$I$27:$K$29,2,0)),IF(P1084="","LOSE",P1084)))</f>
        <v>S22</v>
      </c>
      <c r="BS1084" s="57" t="n">
        <f aca="false">IF(BR1084="LOSE",1,IF(N(V1084)&gt;0,V1084,IF(BU1084=1,MAX(1,N(VLOOKUP(T1084,Parameter!$I$27:$K$29,3,0)),H1084,N(N1084)),IF(N(Q1084)&gt;0,Q1084,MAX(1,H1084)))))</f>
        <v>8</v>
      </c>
      <c r="BT1084" s="60" t="n">
        <f aca="false">IF(BR1084="LOSE",1,0)</f>
        <v>0</v>
      </c>
      <c r="BU1084" s="60" t="n">
        <f aca="false">IF(AND(U1084="",OR(P1084="",P1084="LOSE"),T1084&lt;&gt;"",N(S1084)&lt;=0,ISNUMBER(MATCH(T1084,Parameter!$I$27:$I$29,0))),1,0)</f>
        <v>0</v>
      </c>
      <c r="BV1084" s="55" t="str">
        <f aca="false">IF(AND(Parameter!$B$19="Ja",E1084&lt;&gt;"",ISNUMBER(MATCH(E1084,Parameter!$I$35:$I$52,0))),VLOOKUP(E1084,Parameter!$I$35:$J$52,2,0),IFERROR(VLOOKUP(D1084,Parameter!$A$35:$C$64,2,0),"Nein"))</f>
        <v>2+3</v>
      </c>
      <c r="BW1084" s="59" t="n">
        <f aca="false">IF(BT1084=0,0,IF(N(S1084)&gt;0,S1084,IFERROR(VLOOKUP(D1084,Parameter!$A$35:$C$64,3,0)+0,0)))</f>
        <v>0</v>
      </c>
      <c r="BX1084" s="55" t="n">
        <f aca="false">IF(AA1084&lt;&gt;"",AA1084,Z1084)</f>
        <v>3</v>
      </c>
      <c r="BY1084" s="55" t="str">
        <f aca="false">IF(BX1084=1,"L1",IF(OR(BX1084=2,BX1084=3),"L23",IF(BX1084="Aussen","Aussen","-")))</f>
        <v>L23</v>
      </c>
      <c r="BZ1084" s="66" t="n">
        <f aca="false">IF(N(AB1084)&gt;0,AB1084,0)</f>
        <v>0</v>
      </c>
      <c r="CA1084" s="60" t="n">
        <f aca="false">IF(ISNUMBER(AE1084),1,0)</f>
        <v>0</v>
      </c>
      <c r="CB1084" s="57" t="n">
        <f aca="false">N(AE1084)</f>
        <v>0</v>
      </c>
      <c r="CC1084" s="57" t="n">
        <f aca="false">N(M1084)+N(N1084)</f>
        <v>10</v>
      </c>
      <c r="CD1084" s="57" t="n">
        <f aca="false">ROUNDUP(H1084/BS1084,0)</f>
        <v>1</v>
      </c>
      <c r="CE1084" s="57" t="n">
        <f aca="false">ROUNDUP(CB1084/BS1084,0)</f>
        <v>0</v>
      </c>
      <c r="CF1084" s="60" t="n">
        <f aca="false">IF(BT1084=1,0,IFERROR(VLOOKUP(BR1084,'Gebinde-Kategorie'!$A$5:$M$45,5,0)+0,0))</f>
        <v>8</v>
      </c>
      <c r="CG1084" s="60" t="n">
        <f aca="false">IFERROR(IF(OR(BX1084=1,BX1084=2,BX1084=3),N(INDEX(Parameter!$I$5:$I$7,BX1084)),0),0)</f>
        <v>0</v>
      </c>
      <c r="CH1084" s="59" t="n">
        <f aca="false">IF(AND(Parameter!$B$21="Ja",ISNUMBER(W1084),N(X1084)&gt;0),IFERROR(N(INDEX(Parameter!$L$5:$L$7,W1084))*INDEX(Parameter!$E$5:$E$7,W1084)*X1084/SUMIFS($X$7:$X$1843,$W$7:$W$1843,W1084),0),0)</f>
        <v>0</v>
      </c>
    </row>
    <row r="1085" customFormat="false" ht="15" hidden="false" customHeight="false" outlineLevel="0" collapsed="false">
      <c r="A1085" s="55" t="s">
        <v>1975</v>
      </c>
      <c r="B1085" s="55" t="s">
        <v>1976</v>
      </c>
      <c r="C1085" s="55" t="s">
        <v>164</v>
      </c>
      <c r="D1085" s="55" t="s">
        <v>184</v>
      </c>
      <c r="E1085" s="55" t="s">
        <v>185</v>
      </c>
      <c r="F1085" s="55" t="s">
        <v>218</v>
      </c>
      <c r="G1085" s="56" t="n">
        <v>7.08</v>
      </c>
      <c r="H1085" s="57" t="n">
        <f aca="false">MAX(0,IF(AND(Parameter!$B$21="Ja",ISNUMBER(Y1085)),Y1085,IF(Parameter!$B$20="Jahresanfang 2025 + Export",BL1085+BK1085,BK1085)))</f>
        <v>81</v>
      </c>
      <c r="I1085" s="57" t="n">
        <f aca="false">H1085*G1085</f>
        <v>573.48</v>
      </c>
      <c r="J1085" s="57" t="n">
        <f aca="false">BN1085*Parameter!$B$18</f>
        <v>129</v>
      </c>
      <c r="K1085" s="58" t="n">
        <v>91</v>
      </c>
      <c r="L1085" s="59" t="n">
        <v>1.41758241758242</v>
      </c>
      <c r="M1085" s="57" t="n">
        <v>7</v>
      </c>
      <c r="N1085" s="57" t="n">
        <v>130</v>
      </c>
      <c r="O1085" s="60" t="n">
        <v>21</v>
      </c>
      <c r="P1085" s="55" t="s">
        <v>421</v>
      </c>
      <c r="Q1085" s="57" t="n">
        <v>113</v>
      </c>
      <c r="R1085" s="60" t="n">
        <f aca="false">IF(BT1085=1,0,IFERROR(VLOOKUP(BR1085,'Gebinde-Kategorie'!$A$5:$M$45,13,0)+0,0))</f>
        <v>132</v>
      </c>
      <c r="S1085" s="61"/>
      <c r="T1085" s="62"/>
      <c r="U1085" s="62"/>
      <c r="V1085" s="62"/>
      <c r="W1085" s="55"/>
      <c r="X1085" s="57"/>
      <c r="Y1085" s="57"/>
      <c r="Z1085" s="55" t="n">
        <f aca="false">IF(A1085="","",IF(AND(Parameter!$B$21="Ja",ISNUMBER(W1085)),W1085,IF(BV1085="2+3",IF(ISNUMBER(SEARCH("grosser Artikel",BO1085)),2,IFERROR(VLOOKUP(BR1085,Parameter!$F$35:$G$64,2,0),2)),IF(OR(BV1085="Nein",BV1085=""),"-",BV1085))))</f>
        <v>3</v>
      </c>
      <c r="AA1085" s="62"/>
      <c r="AB1085" s="63"/>
      <c r="AC1085" s="57" t="n">
        <f aca="false">AR1085</f>
        <v>226</v>
      </c>
      <c r="AD1085" s="57" t="n">
        <f aca="false">MAX(AR1085,H1085)</f>
        <v>226</v>
      </c>
      <c r="AE1085" s="64"/>
      <c r="AF1085" s="57" t="n">
        <f aca="false">IF(LEFT(Cockpit!$C$5,1)="A",H1085,IF(CA1085=1,CB1085,IF(LEFT(Cockpit!$C$5,1)="B",AJ1085,MAX(AJ1085,H1085))))</f>
        <v>81</v>
      </c>
      <c r="AG1085" s="57" t="n">
        <f aca="false">IF(BT1085=1,0,ROUNDUP(AF1085/BS1085,0))</f>
        <v>1</v>
      </c>
      <c r="AH1085" s="59" t="n">
        <f aca="false">IF(CH1085&gt;0,CH1085*MAX(1,AF1085/X1085),IF(BT1085=1,IF(AF1085&lt;=0,0,BW1085*MAX(1,IF(H1085&gt;0,AF1085/H1085,1))),IF(R1085&gt;0,AG1085/R1085,0))/MAX(0.1,N(Parameter!$M$21)))</f>
        <v>0.00757575757575758</v>
      </c>
      <c r="AI1085" s="57" t="n">
        <f aca="false">AF1085*G1085</f>
        <v>573.48</v>
      </c>
      <c r="AJ1085" s="57" t="n">
        <f aca="false">ROUNDUP(MAX(J1085/IF(BZ1085&gt;0,BZ1085,MAX(0.1,N(Cockpit!$C$6))),CC1085)/BS1085,0)*BS1085</f>
        <v>226</v>
      </c>
      <c r="AK1085" s="58" t="n">
        <f aca="false">IF(AH1085&gt;0,J1085/AH1085,-1)</f>
        <v>17028</v>
      </c>
      <c r="AL1085" s="58" t="n">
        <f aca="false">IF(AND(OR(BY1085="L1",BY1085="L23"),AH1085&gt;0),SUMIFS($AH$7:$AH$1843,$BY$7:$BY$1843,BY1085,$AK$7:$AK$1843,"&gt;"&amp;AK1085)+SUMIFS($AH$7:$AH$1843,$BY$7:$BY$1843,BY1085,$AK$7:$AK$1843,AK1085,$BQ$7:$BQ$1843,"&lt;="&amp;BQ1085),"")</f>
        <v>3.94065234282626</v>
      </c>
      <c r="AM1085" s="65" t="n">
        <f aca="false">IF(AL1085="",0,MAX(0,MIN(1,(IF(BY1085="L1",Parameter!$E$5,Parameter!$E$6+Parameter!$E$7)-(AL1085-AH1085))/AH1085)))</f>
        <v>1</v>
      </c>
      <c r="AN1085" s="57" t="n">
        <f aca="false">IF(LEFT(Cockpit!$I$5,1)="A",H1085,IF(CA1085=1,CB1085,IF(LEFT(Cockpit!$I$5,1)="B",AR1085,MAX(AR1085,H1085))))</f>
        <v>226</v>
      </c>
      <c r="AO1085" s="57" t="n">
        <f aca="false">IF(BT1085=1,0,ROUNDUP(AN1085/BS1085,0))</f>
        <v>2</v>
      </c>
      <c r="AP1085" s="59" t="n">
        <f aca="false">IF(CH1085&gt;0,CH1085*MAX(1,AN1085/X1085),IF(BT1085=1,IF(AN1085&lt;=0,0,BW1085*MAX(1,IF(H1085&gt;0,AN1085/H1085,1))),IF(R1085&gt;0,AO1085/R1085,0))/MAX(0.1,N(Parameter!$M$21)))</f>
        <v>0.0151515151515152</v>
      </c>
      <c r="AQ1085" s="57" t="n">
        <f aca="false">AN1085*G1085</f>
        <v>1600.08</v>
      </c>
      <c r="AR1085" s="57" t="n">
        <f aca="false">ROUNDUP(MAX(J1085/IF(BZ1085&gt;0,BZ1085,MAX(0.1,N(Cockpit!$I$6))),CC1085)/BS1085,0)*BS1085</f>
        <v>226</v>
      </c>
      <c r="AS1085" s="58" t="n">
        <f aca="false">IF(AP1085&gt;0,J1085/AP1085,-1)</f>
        <v>8514</v>
      </c>
      <c r="AT1085" s="58" t="n">
        <f aca="false">IF(AND(OR(BY1085="L1",BY1085="L23"),AP1085&gt;0),SUMIFS($AP$7:$AP$1843,$BY$7:$BY$1843,BY1085,$AS$7:$AS$1843,"&gt;"&amp;AS1085)+SUMIFS($AP$7:$AP$1843,$BY$7:$BY$1843,BY1085,$AS$7:$AS$1843,AS1085,$BQ$7:$BQ$1843,"&lt;="&amp;BQ1085),"")</f>
        <v>8.91008749704402</v>
      </c>
      <c r="AU1085" s="65" t="n">
        <f aca="false">IF(AT1085="",0,MAX(0,MIN(1,(IF(BY1085="L1",Parameter!$E$5,Parameter!$E$6+Parameter!$E$7)-(AT1085-AP1085))/AP1085)))</f>
        <v>1</v>
      </c>
      <c r="AV1085" s="57" t="n">
        <f aca="false">IF(LEFT(Cockpit!$O$5,1)="A",H1085,IF(CA1085=1,CB1085,IF(LEFT(Cockpit!$O$5,1)="B",AZ1085,MAX(AZ1085,H1085))))</f>
        <v>226</v>
      </c>
      <c r="AW1085" s="57" t="n">
        <f aca="false">IF(BT1085=1,0,ROUNDUP(AV1085/BS1085,0))</f>
        <v>2</v>
      </c>
      <c r="AX1085" s="59" t="n">
        <f aca="false">IF(CH1085&gt;0,CH1085*MAX(1,AV1085/X1085),IF(BT1085=1,IF(AV1085&lt;=0,0,BW1085*MAX(1,IF(H1085&gt;0,AV1085/H1085,1))),IF(R1085&gt;0,AW1085/R1085,0))/MAX(0.1,N(Parameter!$M$21)))</f>
        <v>0.0151515151515152</v>
      </c>
      <c r="AY1085" s="57" t="n">
        <f aca="false">AV1085*G1085</f>
        <v>1600.08</v>
      </c>
      <c r="AZ1085" s="57" t="n">
        <f aca="false">ROUNDUP(MAX(J1085/IF(BZ1085&gt;0,BZ1085,MAX(0.1,N(Cockpit!$O$6))),CC1085)/BS1085,0)*BS1085</f>
        <v>226</v>
      </c>
      <c r="BA1085" s="58" t="n">
        <f aca="false">IF(AX1085&gt;0,J1085/AX1085,-1)</f>
        <v>8514</v>
      </c>
      <c r="BB1085" s="58" t="n">
        <f aca="false">IF(AND(OR(BY1085="L1",BY1085="L23"),AX1085&gt;0),SUMIFS($AX$7:$AX$1843,$BY$7:$BY$1843,BY1085,$BA$7:$BA$1843,"&gt;"&amp;BA1085)+SUMIFS($AX$7:$AX$1843,$BY$7:$BY$1843,BY1085,$BA$7:$BA$1843,BA1085,$BQ$7:$BQ$1843,"&lt;="&amp;BQ1085),"")</f>
        <v>8.643770480727</v>
      </c>
      <c r="BC1085" s="65" t="n">
        <f aca="false">IF(BB1085="",0,MAX(0,MIN(1,(IF(BY1085="L1",Parameter!$E$5,Parameter!$E$6+Parameter!$E$7)-(BB1085-AX1085))/AX1085)))</f>
        <v>1</v>
      </c>
      <c r="BD1085" s="55" t="str">
        <f aca="false">IF(AH1085&lt;=0,"",IF(BY1085="Aussen","Aussenlager",IF(BY1085="-","Nicht im Lift",IF(AM1085&gt;=1,"Lift",IF(AM1085&lt;=0,"Aussenlager","teilweise")))))</f>
        <v>Lift</v>
      </c>
      <c r="BE1085" s="55" t="str">
        <f aca="false">IF(AP1085&lt;=0,"",IF(BY1085="Aussen","Aussenlager",IF(BY1085="-","Nicht im Lift",IF(AU1085&gt;=1,"Lift",IF(AU1085&lt;=0,"Aussenlager","teilweise")))))</f>
        <v>Lift</v>
      </c>
      <c r="BF1085" s="55" t="str">
        <f aca="false">IF(AX1085&lt;=0,"",IF(BY1085="Aussen","Aussenlager",IF(BY1085="-","Nicht im Lift",IF(BC1085&gt;=1,"Lift",IF(BC1085&lt;=0,"Aussenlager","teilweise")))))</f>
        <v>Lift</v>
      </c>
      <c r="BG1085" s="55" t="str">
        <f aca="false">IF(A1085="","",IF(BP1085=1,"Neu; ","")&amp;IF(AND(BP1085=0,BK1085&lt;0),"negativer Bestand (Export "&amp;BK1085&amp;"); ","")&amp;IF(J1085&lt;=0,"Kein Verbrauch; ","")&amp;IF(CH1085&gt;0,"Lift "&amp;W1085&amp;" lt. Liftbericht (Fach "&amp;X1085&amp;" Stk); ",IF(BU1085=1,"Gebinde geschätzt ("&amp;T1085&amp;"); ",IF(BT1085=1,"Lose – Tablare geschätzt; ","")))&amp;IF(H1085&gt;AR1085,"Überbestand "&amp;ROUND(H1085-AR1085,0)&amp;" Stk / CHF "&amp;ROUND((H1085-AR1085)*G1085,0)&amp;"; ","")&amp;IF(AND(CA1085=1,CB1085&lt;CC1085),"MAX &lt; MB+LG; ","")&amp;IF(AND(CG1085&gt;0,CF1085*10&gt;CG1085),"zu hoch für Tablar; ","")&amp;IF(AND(BP1085=0,OR(CA1085=1,AA1085&lt;&gt;"",U1085&lt;&gt;"",V1085&lt;&gt;"",AB1085&lt;&gt;"")),"manuell übersteuert; ","")&amp;IF(AND(BT1085=0,R1085=0),"Gebinde unbekannt / Stellmass fehlt; ","")&amp;IF(AND(BT1085=0,N(V1085)&lt;=0,N(Q1085)&lt;=0),"Menge pro Gebinde fehlt (Ist = 1 Gebinde); ","")&amp;BO1085)</f>
        <v>negativer Bestand (Export -22); </v>
      </c>
      <c r="BH1085" s="55"/>
      <c r="BI1085" s="55"/>
      <c r="BJ1085" s="62"/>
      <c r="BK1085" s="57" t="n">
        <v>-22</v>
      </c>
      <c r="BL1085" s="57" t="n">
        <v>103</v>
      </c>
      <c r="BM1085" s="56" t="n">
        <v>-188.719999999999</v>
      </c>
      <c r="BN1085" s="57" t="n">
        <v>129</v>
      </c>
      <c r="BO1085" s="55"/>
      <c r="BP1085" s="60" t="n">
        <v>0</v>
      </c>
      <c r="BQ1085" s="60" t="n">
        <v>1085</v>
      </c>
      <c r="BR1085" s="55" t="str">
        <f aca="false">IF(U1085&lt;&gt;"",UPPER(TRIM(U1085)),IF(BU1085=1,UPPER(VLOOKUP(T1085,Parameter!$I$27:$K$29,2,0)),IF(P1085="","LOSE",P1085)))</f>
        <v>S32</v>
      </c>
      <c r="BS1085" s="57" t="n">
        <f aca="false">IF(BR1085="LOSE",1,IF(N(V1085)&gt;0,V1085,IF(BU1085=1,MAX(1,N(VLOOKUP(T1085,Parameter!$I$27:$K$29,3,0)),H1085,N(N1085)),IF(N(Q1085)&gt;0,Q1085,MAX(1,H1085)))))</f>
        <v>113</v>
      </c>
      <c r="BT1085" s="60" t="n">
        <f aca="false">IF(BR1085="LOSE",1,0)</f>
        <v>0</v>
      </c>
      <c r="BU1085" s="60" t="n">
        <f aca="false">IF(AND(U1085="",OR(P1085="",P1085="LOSE"),T1085&lt;&gt;"",N(S1085)&lt;=0,ISNUMBER(MATCH(T1085,Parameter!$I$27:$I$29,0))),1,0)</f>
        <v>0</v>
      </c>
      <c r="BV1085" s="55" t="str">
        <f aca="false">IF(AND(Parameter!$B$19="Ja",E1085&lt;&gt;"",ISNUMBER(MATCH(E1085,Parameter!$I$35:$I$52,0))),VLOOKUP(E1085,Parameter!$I$35:$J$52,2,0),IFERROR(VLOOKUP(D1085,Parameter!$A$35:$C$64,2,0),"Nein"))</f>
        <v>2+3</v>
      </c>
      <c r="BW1085" s="59" t="n">
        <f aca="false">IF(BT1085=0,0,IF(N(S1085)&gt;0,S1085,IFERROR(VLOOKUP(D1085,Parameter!$A$35:$C$64,3,0)+0,0)))</f>
        <v>0</v>
      </c>
      <c r="BX1085" s="55" t="n">
        <f aca="false">IF(AA1085&lt;&gt;"",AA1085,Z1085)</f>
        <v>3</v>
      </c>
      <c r="BY1085" s="55" t="str">
        <f aca="false">IF(BX1085=1,"L1",IF(OR(BX1085=2,BX1085=3),"L23",IF(BX1085="Aussen","Aussen","-")))</f>
        <v>L23</v>
      </c>
      <c r="BZ1085" s="66" t="n">
        <f aca="false">IF(N(AB1085)&gt;0,AB1085,0)</f>
        <v>0</v>
      </c>
      <c r="CA1085" s="60" t="n">
        <f aca="false">IF(ISNUMBER(AE1085),1,0)</f>
        <v>0</v>
      </c>
      <c r="CB1085" s="57" t="n">
        <f aca="false">N(AE1085)</f>
        <v>0</v>
      </c>
      <c r="CC1085" s="57" t="n">
        <f aca="false">N(M1085)+N(N1085)</f>
        <v>137</v>
      </c>
      <c r="CD1085" s="57" t="n">
        <f aca="false">ROUNDUP(H1085/BS1085,0)</f>
        <v>1</v>
      </c>
      <c r="CE1085" s="57" t="n">
        <f aca="false">ROUNDUP(CB1085/BS1085,0)</f>
        <v>0</v>
      </c>
      <c r="CF1085" s="60" t="n">
        <f aca="false">IF(BT1085=1,0,IFERROR(VLOOKUP(BR1085,'Gebinde-Kategorie'!$A$5:$M$45,5,0)+0,0))</f>
        <v>8</v>
      </c>
      <c r="CG1085" s="60" t="n">
        <f aca="false">IFERROR(IF(OR(BX1085=1,BX1085=2,BX1085=3),N(INDEX(Parameter!$I$5:$I$7,BX1085)),0),0)</f>
        <v>0</v>
      </c>
      <c r="CH1085" s="59" t="n">
        <f aca="false">IF(AND(Parameter!$B$21="Ja",ISNUMBER(W1085),N(X1085)&gt;0),IFERROR(N(INDEX(Parameter!$L$5:$L$7,W1085))*INDEX(Parameter!$E$5:$E$7,W1085)*X1085/SUMIFS($X$7:$X$1843,$W$7:$W$1843,W1085),0),0)</f>
        <v>0</v>
      </c>
    </row>
    <row r="1086" customFormat="false" ht="15" hidden="false" customHeight="false" outlineLevel="0" collapsed="false">
      <c r="A1086" s="55" t="s">
        <v>1977</v>
      </c>
      <c r="B1086" s="55" t="s">
        <v>1978</v>
      </c>
      <c r="C1086" s="55" t="s">
        <v>456</v>
      </c>
      <c r="D1086" s="55" t="s">
        <v>184</v>
      </c>
      <c r="E1086" s="55"/>
      <c r="F1086" s="55" t="s">
        <v>218</v>
      </c>
      <c r="G1086" s="56" t="n">
        <v>190.8</v>
      </c>
      <c r="H1086" s="57" t="n">
        <f aca="false">MAX(0,IF(AND(Parameter!$B$21="Ja",ISNUMBER(Y1086)),Y1086,IF(Parameter!$B$20="Jahresanfang 2025 + Export",BL1086+BK1086,BK1086)))</f>
        <v>0</v>
      </c>
      <c r="I1086" s="57" t="n">
        <f aca="false">H1086*G1086</f>
        <v>0</v>
      </c>
      <c r="J1086" s="57" t="n">
        <f aca="false">BN1086*Parameter!$B$18</f>
        <v>0</v>
      </c>
      <c r="K1086" s="58" t="n">
        <v>1</v>
      </c>
      <c r="L1086" s="59" t="n">
        <v>0</v>
      </c>
      <c r="M1086" s="57" t="n">
        <v>0</v>
      </c>
      <c r="N1086" s="57" t="n">
        <v>1</v>
      </c>
      <c r="O1086" s="60" t="n">
        <v>42</v>
      </c>
      <c r="P1086" s="55" t="s">
        <v>168</v>
      </c>
      <c r="Q1086" s="57"/>
      <c r="R1086" s="60" t="n">
        <f aca="false">IF(BT1086=1,0,IFERROR(VLOOKUP(BR1086,'Gebinde-Kategorie'!$A$5:$M$45,13,0)+0,0))</f>
        <v>26</v>
      </c>
      <c r="S1086" s="61"/>
      <c r="T1086" s="62" t="s">
        <v>275</v>
      </c>
      <c r="U1086" s="62"/>
      <c r="V1086" s="62"/>
      <c r="W1086" s="55"/>
      <c r="X1086" s="57"/>
      <c r="Y1086" s="57"/>
      <c r="Z1086" s="55" t="n">
        <f aca="false">IF(A1086="","",IF(AND(Parameter!$B$21="Ja",ISNUMBER(W1086)),W1086,IF(BV1086="2+3",IF(ISNUMBER(SEARCH("grosser Artikel",BO1086)),2,IFERROR(VLOOKUP(BR1086,Parameter!$F$35:$G$64,2,0),2)),IF(OR(BV1086="Nein",BV1086=""),"-",BV1086))))</f>
        <v>3</v>
      </c>
      <c r="AA1086" s="62"/>
      <c r="AB1086" s="63"/>
      <c r="AC1086" s="57" t="n">
        <f aca="false">AR1086</f>
        <v>20</v>
      </c>
      <c r="AD1086" s="57" t="n">
        <f aca="false">MAX(AR1086,H1086)</f>
        <v>20</v>
      </c>
      <c r="AE1086" s="64"/>
      <c r="AF1086" s="57" t="n">
        <f aca="false">IF(LEFT(Cockpit!$C$5,1)="A",H1086,IF(CA1086=1,CB1086,IF(LEFT(Cockpit!$C$5,1)="B",AJ1086,MAX(AJ1086,H1086))))</f>
        <v>0</v>
      </c>
      <c r="AG1086" s="57" t="n">
        <f aca="false">IF(BT1086=1,0,ROUNDUP(AF1086/BS1086,0))</f>
        <v>0</v>
      </c>
      <c r="AH1086" s="59" t="n">
        <f aca="false">IF(CH1086&gt;0,CH1086*MAX(1,AF1086/X1086),IF(BT1086=1,IF(AF1086&lt;=0,0,BW1086*MAX(1,IF(H1086&gt;0,AF1086/H1086,1))),IF(R1086&gt;0,AG1086/R1086,0))/MAX(0.1,N(Parameter!$M$21)))</f>
        <v>0</v>
      </c>
      <c r="AI1086" s="57" t="n">
        <f aca="false">AF1086*G1086</f>
        <v>0</v>
      </c>
      <c r="AJ1086" s="57" t="n">
        <f aca="false">ROUNDUP(MAX(J1086/IF(BZ1086&gt;0,BZ1086,MAX(0.1,N(Cockpit!$C$6))),CC1086)/BS1086,0)*BS1086</f>
        <v>20</v>
      </c>
      <c r="AK1086" s="58" t="n">
        <f aca="false">IF(AH1086&gt;0,J1086/AH1086,-1)</f>
        <v>-1</v>
      </c>
      <c r="AL1086" s="58" t="str">
        <f aca="false">IF(AND(OR(BY1086="L1",BY1086="L23"),AH1086&gt;0),SUMIFS($AH$7:$AH$1843,$BY$7:$BY$1843,BY1086,$AK$7:$AK$1843,"&gt;"&amp;AK1086)+SUMIFS($AH$7:$AH$1843,$BY$7:$BY$1843,BY1086,$AK$7:$AK$1843,AK1086,$BQ$7:$BQ$1843,"&lt;="&amp;BQ1086),"")</f>
        <v/>
      </c>
      <c r="AM1086" s="65" t="n">
        <f aca="false">IF(AL1086="",0,MAX(0,MIN(1,(IF(BY1086="L1",Parameter!$E$5,Parameter!$E$6+Parameter!$E$7)-(AL1086-AH1086))/AH1086)))</f>
        <v>0</v>
      </c>
      <c r="AN1086" s="57" t="n">
        <f aca="false">IF(LEFT(Cockpit!$I$5,1)="A",H1086,IF(CA1086=1,CB1086,IF(LEFT(Cockpit!$I$5,1)="B",AR1086,MAX(AR1086,H1086))))</f>
        <v>20</v>
      </c>
      <c r="AO1086" s="57" t="n">
        <f aca="false">IF(BT1086=1,0,ROUNDUP(AN1086/BS1086,0))</f>
        <v>1</v>
      </c>
      <c r="AP1086" s="59" t="n">
        <f aca="false">IF(CH1086&gt;0,CH1086*MAX(1,AN1086/X1086),IF(BT1086=1,IF(AN1086&lt;=0,0,BW1086*MAX(1,IF(H1086&gt;0,AN1086/H1086,1))),IF(R1086&gt;0,AO1086/R1086,0))/MAX(0.1,N(Parameter!$M$21)))</f>
        <v>0.0384615384615385</v>
      </c>
      <c r="AQ1086" s="57" t="n">
        <f aca="false">AN1086*G1086</f>
        <v>3816</v>
      </c>
      <c r="AR1086" s="57" t="n">
        <f aca="false">ROUNDUP(MAX(J1086/IF(BZ1086&gt;0,BZ1086,MAX(0.1,N(Cockpit!$I$6))),CC1086)/BS1086,0)*BS1086</f>
        <v>20</v>
      </c>
      <c r="AS1086" s="58" t="n">
        <f aca="false">IF(AP1086&gt;0,J1086/AP1086,-1)</f>
        <v>0</v>
      </c>
      <c r="AT1086" s="58" t="n">
        <f aca="false">IF(AND(OR(BY1086="L1",BY1086="L23"),AP1086&gt;0),SUMIFS($AP$7:$AP$1843,$BY$7:$BY$1843,BY1086,$AS$7:$AS$1843,"&gt;"&amp;AS1086)+SUMIFS($AP$7:$AP$1843,$BY$7:$BY$1843,BY1086,$AS$7:$AS$1843,AS1086,$BQ$7:$BQ$1843,"&lt;="&amp;BQ1086),"")</f>
        <v>120.779796290666</v>
      </c>
      <c r="AU1086" s="65" t="n">
        <f aca="false">IF(AT1086="",0,MAX(0,MIN(1,(IF(BY1086="L1",Parameter!$E$5,Parameter!$E$6+Parameter!$E$7)-(AT1086-AP1086))/AP1086)))</f>
        <v>0</v>
      </c>
      <c r="AV1086" s="57" t="n">
        <f aca="false">IF(LEFT(Cockpit!$O$5,1)="A",H1086,IF(CA1086=1,CB1086,IF(LEFT(Cockpit!$O$5,1)="B",AZ1086,MAX(AZ1086,H1086))))</f>
        <v>20</v>
      </c>
      <c r="AW1086" s="57" t="n">
        <f aca="false">IF(BT1086=1,0,ROUNDUP(AV1086/BS1086,0))</f>
        <v>1</v>
      </c>
      <c r="AX1086" s="59" t="n">
        <f aca="false">IF(CH1086&gt;0,CH1086*MAX(1,AV1086/X1086),IF(BT1086=1,IF(AV1086&lt;=0,0,BW1086*MAX(1,IF(H1086&gt;0,AV1086/H1086,1))),IF(R1086&gt;0,AW1086/R1086,0))/MAX(0.1,N(Parameter!$M$21)))</f>
        <v>0.0384615384615385</v>
      </c>
      <c r="AY1086" s="57" t="n">
        <f aca="false">AV1086*G1086</f>
        <v>3816</v>
      </c>
      <c r="AZ1086" s="57" t="n">
        <f aca="false">ROUNDUP(MAX(J1086/IF(BZ1086&gt;0,BZ1086,MAX(0.1,N(Cockpit!$O$6))),CC1086)/BS1086,0)*BS1086</f>
        <v>20</v>
      </c>
      <c r="BA1086" s="58" t="n">
        <f aca="false">IF(AX1086&gt;0,J1086/AX1086,-1)</f>
        <v>0</v>
      </c>
      <c r="BB1086" s="58" t="n">
        <f aca="false">IF(AND(OR(BY1086="L1",BY1086="L23"),AX1086&gt;0),SUMIFS($AX$7:$AX$1843,$BY$7:$BY$1843,BY1086,$BA$7:$BA$1843,"&gt;"&amp;BA1086)+SUMIFS($AX$7:$AX$1843,$BY$7:$BY$1843,BY1086,$BA$7:$BA$1843,BA1086,$BQ$7:$BQ$1843,"&lt;="&amp;BQ1086),"")</f>
        <v>111.609633120503</v>
      </c>
      <c r="BC1086" s="65" t="n">
        <f aca="false">IF(BB1086="",0,MAX(0,MIN(1,(IF(BY1086="L1",Parameter!$E$5,Parameter!$E$6+Parameter!$E$7)-(BB1086-AX1086))/AX1086)))</f>
        <v>0</v>
      </c>
      <c r="BD1086" s="55" t="str">
        <f aca="false">IF(AH1086&lt;=0,"",IF(BY1086="Aussen","Aussenlager",IF(BY1086="-","Nicht im Lift",IF(AM1086&gt;=1,"Lift",IF(AM1086&lt;=0,"Aussenlager","teilweise")))))</f>
        <v/>
      </c>
      <c r="BE1086" s="55" t="str">
        <f aca="false">IF(AP1086&lt;=0,"",IF(BY1086="Aussen","Aussenlager",IF(BY1086="-","Nicht im Lift",IF(AU1086&gt;=1,"Lift",IF(AU1086&lt;=0,"Aussenlager","teilweise")))))</f>
        <v>Aussenlager</v>
      </c>
      <c r="BF1086" s="55" t="str">
        <f aca="false">IF(AX1086&lt;=0,"",IF(BY1086="Aussen","Aussenlager",IF(BY1086="-","Nicht im Lift",IF(BC1086&gt;=1,"Lift",IF(BC1086&lt;=0,"Aussenlager","teilweise")))))</f>
        <v>Aussenlager</v>
      </c>
      <c r="BG1086" s="55" t="str">
        <f aca="false">IF(A1086="","",IF(BP1086=1,"Neu; ","")&amp;IF(AND(BP1086=0,BK1086&lt;0),"negativer Bestand (Export "&amp;BK1086&amp;"); ","")&amp;IF(J1086&lt;=0,"Kein Verbrauch; ","")&amp;IF(CH1086&gt;0,"Lift "&amp;W1086&amp;" lt. Liftbericht (Fach "&amp;X1086&amp;" Stk); ",IF(BU1086=1,"Gebinde geschätzt ("&amp;T1086&amp;"); ",IF(BT1086=1,"Lose – Tablare geschätzt; ","")))&amp;IF(H1086&gt;AR1086,"Überbestand "&amp;ROUND(H1086-AR1086,0)&amp;" Stk / CHF "&amp;ROUND((H1086-AR1086)*G1086,0)&amp;"; ","")&amp;IF(AND(CA1086=1,CB1086&lt;CC1086),"MAX &lt; MB+LG; ","")&amp;IF(AND(CG1086&gt;0,CF1086*10&gt;CG1086),"zu hoch für Tablar; ","")&amp;IF(AND(BP1086=0,OR(CA1086=1,AA1086&lt;&gt;"",U1086&lt;&gt;"",V1086&lt;&gt;"",AB1086&lt;&gt;"")),"manuell übersteuert; ","")&amp;IF(AND(BT1086=0,R1086=0),"Gebinde unbekannt / Stellmass fehlt; ","")&amp;IF(AND(BT1086=0,N(V1086)&lt;=0,N(Q1086)&lt;=0),"Menge pro Gebinde fehlt (Ist = 1 Gebinde); ","")&amp;BO1086)</f>
        <v>negativer Bestand (Export -1); Kein Verbrauch; Gebinde geschätzt (Klein); Menge pro Gebinde fehlt (Ist = 1 Gebinde); </v>
      </c>
      <c r="BH1086" s="55"/>
      <c r="BI1086" s="55"/>
      <c r="BJ1086" s="62"/>
      <c r="BK1086" s="57" t="n">
        <v>-1</v>
      </c>
      <c r="BL1086" s="57" t="n">
        <v>1</v>
      </c>
      <c r="BM1086" s="56" t="n">
        <v>-190.8</v>
      </c>
      <c r="BN1086" s="57" t="n">
        <v>0</v>
      </c>
      <c r="BO1086" s="55"/>
      <c r="BP1086" s="60" t="n">
        <v>0</v>
      </c>
      <c r="BQ1086" s="60" t="n">
        <v>1086</v>
      </c>
      <c r="BR1086" s="55" t="str">
        <f aca="false">IF(U1086&lt;&gt;"",UPPER(TRIM(U1086)),IF(BU1086=1,UPPER(VLOOKUP(T1086,Parameter!$I$27:$K$29,2,0)),IF(P1086="","LOSE",P1086)))</f>
        <v>S51</v>
      </c>
      <c r="BS1086" s="57" t="n">
        <f aca="false">IF(BR1086="LOSE",1,IF(N(V1086)&gt;0,V1086,IF(BU1086=1,MAX(1,N(VLOOKUP(T1086,Parameter!$I$27:$K$29,3,0)),H1086,N(N1086)),IF(N(Q1086)&gt;0,Q1086,MAX(1,H1086)))))</f>
        <v>20</v>
      </c>
      <c r="BT1086" s="60" t="n">
        <f aca="false">IF(BR1086="LOSE",1,0)</f>
        <v>0</v>
      </c>
      <c r="BU1086" s="60" t="n">
        <f aca="false">IF(AND(U1086="",OR(P1086="",P1086="LOSE"),T1086&lt;&gt;"",N(S1086)&lt;=0,ISNUMBER(MATCH(T1086,Parameter!$I$27:$I$29,0))),1,0)</f>
        <v>1</v>
      </c>
      <c r="BV1086" s="55" t="str">
        <f aca="false">IF(AND(Parameter!$B$19="Ja",E1086&lt;&gt;"",ISNUMBER(MATCH(E1086,Parameter!$I$35:$I$52,0))),VLOOKUP(E1086,Parameter!$I$35:$J$52,2,0),IFERROR(VLOOKUP(D1086,Parameter!$A$35:$C$64,2,0),"Nein"))</f>
        <v>2+3</v>
      </c>
      <c r="BW1086" s="59" t="n">
        <f aca="false">IF(BT1086=0,0,IF(N(S1086)&gt;0,S1086,IFERROR(VLOOKUP(D1086,Parameter!$A$35:$C$64,3,0)+0,0)))</f>
        <v>0</v>
      </c>
      <c r="BX1086" s="55" t="n">
        <f aca="false">IF(AA1086&lt;&gt;"",AA1086,Z1086)</f>
        <v>3</v>
      </c>
      <c r="BY1086" s="55" t="str">
        <f aca="false">IF(BX1086=1,"L1",IF(OR(BX1086=2,BX1086=3),"L23",IF(BX1086="Aussen","Aussen","-")))</f>
        <v>L23</v>
      </c>
      <c r="BZ1086" s="66" t="n">
        <f aca="false">IF(N(AB1086)&gt;0,AB1086,0)</f>
        <v>0</v>
      </c>
      <c r="CA1086" s="60" t="n">
        <f aca="false">IF(ISNUMBER(AE1086),1,0)</f>
        <v>0</v>
      </c>
      <c r="CB1086" s="57" t="n">
        <f aca="false">N(AE1086)</f>
        <v>0</v>
      </c>
      <c r="CC1086" s="57" t="n">
        <f aca="false">N(M1086)+N(N1086)</f>
        <v>1</v>
      </c>
      <c r="CD1086" s="57" t="n">
        <f aca="false">ROUNDUP(H1086/BS1086,0)</f>
        <v>0</v>
      </c>
      <c r="CE1086" s="57" t="n">
        <f aca="false">ROUNDUP(CB1086/BS1086,0)</f>
        <v>0</v>
      </c>
      <c r="CF1086" s="60" t="n">
        <f aca="false">IF(BT1086=1,0,IFERROR(VLOOKUP(BR1086,'Gebinde-Kategorie'!$A$5:$M$45,5,0)+0,0))</f>
        <v>11</v>
      </c>
      <c r="CG1086" s="60" t="n">
        <f aca="false">IFERROR(IF(OR(BX1086=1,BX1086=2,BX1086=3),N(INDEX(Parameter!$I$5:$I$7,BX1086)),0),0)</f>
        <v>0</v>
      </c>
      <c r="CH1086" s="59" t="n">
        <f aca="false">IF(AND(Parameter!$B$21="Ja",ISNUMBER(W1086),N(X1086)&gt;0),IFERROR(N(INDEX(Parameter!$L$5:$L$7,W1086))*INDEX(Parameter!$E$5:$E$7,W1086)*X1086/SUMIFS($X$7:$X$1843,$W$7:$W$1843,W1086),0),0)</f>
        <v>0</v>
      </c>
    </row>
    <row r="1087" customFormat="false" ht="15" hidden="false" customHeight="false" outlineLevel="0" collapsed="false">
      <c r="A1087" s="55" t="s">
        <v>1979</v>
      </c>
      <c r="B1087" s="55" t="s">
        <v>724</v>
      </c>
      <c r="C1087" s="55" t="s">
        <v>164</v>
      </c>
      <c r="D1087" s="55" t="s">
        <v>184</v>
      </c>
      <c r="E1087" s="55" t="s">
        <v>185</v>
      </c>
      <c r="F1087" s="55" t="s">
        <v>218</v>
      </c>
      <c r="G1087" s="56" t="n">
        <v>36.34</v>
      </c>
      <c r="H1087" s="57" t="n">
        <f aca="false">MAX(0,IF(AND(Parameter!$B$21="Ja",ISNUMBER(Y1087)),Y1087,IF(Parameter!$B$20="Jahresanfang 2025 + Export",BL1087+BK1087,BK1087)))</f>
        <v>6</v>
      </c>
      <c r="I1087" s="57" t="n">
        <f aca="false">H1087*G1087</f>
        <v>218.04</v>
      </c>
      <c r="J1087" s="57" t="n">
        <f aca="false">BN1087*Parameter!$B$18</f>
        <v>12</v>
      </c>
      <c r="K1087" s="58" t="n">
        <v>10</v>
      </c>
      <c r="L1087" s="59" t="n">
        <v>1.2</v>
      </c>
      <c r="M1087" s="57" t="n">
        <v>0</v>
      </c>
      <c r="N1087" s="57" t="n">
        <v>10</v>
      </c>
      <c r="O1087" s="60" t="n">
        <v>14</v>
      </c>
      <c r="P1087" s="55" t="s">
        <v>328</v>
      </c>
      <c r="Q1087" s="57" t="n">
        <v>25</v>
      </c>
      <c r="R1087" s="60" t="n">
        <f aca="false">IF(BT1087=1,0,IFERROR(VLOOKUP(BR1087,'Gebinde-Kategorie'!$A$5:$M$45,13,0)+0,0))</f>
        <v>52</v>
      </c>
      <c r="S1087" s="61"/>
      <c r="T1087" s="62"/>
      <c r="U1087" s="62"/>
      <c r="V1087" s="62"/>
      <c r="W1087" s="55"/>
      <c r="X1087" s="57"/>
      <c r="Y1087" s="57"/>
      <c r="Z1087" s="55" t="n">
        <f aca="false">IF(A1087="","",IF(AND(Parameter!$B$21="Ja",ISNUMBER(W1087)),W1087,IF(BV1087="2+3",IF(ISNUMBER(SEARCH("grosser Artikel",BO1087)),2,IFERROR(VLOOKUP(BR1087,Parameter!$F$35:$G$64,2,0),2)),IF(OR(BV1087="Nein",BV1087=""),"-",BV1087))))</f>
        <v>3</v>
      </c>
      <c r="AA1087" s="62"/>
      <c r="AB1087" s="63"/>
      <c r="AC1087" s="57" t="n">
        <f aca="false">AR1087</f>
        <v>25</v>
      </c>
      <c r="AD1087" s="57" t="n">
        <f aca="false">MAX(AR1087,H1087)</f>
        <v>25</v>
      </c>
      <c r="AE1087" s="64"/>
      <c r="AF1087" s="57" t="n">
        <f aca="false">IF(LEFT(Cockpit!$C$5,1)="A",H1087,IF(CA1087=1,CB1087,IF(LEFT(Cockpit!$C$5,1)="B",AJ1087,MAX(AJ1087,H1087))))</f>
        <v>6</v>
      </c>
      <c r="AG1087" s="57" t="n">
        <f aca="false">IF(BT1087=1,0,ROUNDUP(AF1087/BS1087,0))</f>
        <v>1</v>
      </c>
      <c r="AH1087" s="59" t="n">
        <f aca="false">IF(CH1087&gt;0,CH1087*MAX(1,AF1087/X1087),IF(BT1087=1,IF(AF1087&lt;=0,0,BW1087*MAX(1,IF(H1087&gt;0,AF1087/H1087,1))),IF(R1087&gt;0,AG1087/R1087,0))/MAX(0.1,N(Parameter!$M$21)))</f>
        <v>0.0192307692307692</v>
      </c>
      <c r="AI1087" s="57" t="n">
        <f aca="false">AF1087*G1087</f>
        <v>218.04</v>
      </c>
      <c r="AJ1087" s="57" t="n">
        <f aca="false">ROUNDUP(MAX(J1087/IF(BZ1087&gt;0,BZ1087,MAX(0.1,N(Cockpit!$C$6))),CC1087)/BS1087,0)*BS1087</f>
        <v>25</v>
      </c>
      <c r="AK1087" s="58" t="n">
        <f aca="false">IF(AH1087&gt;0,J1087/AH1087,-1)</f>
        <v>624</v>
      </c>
      <c r="AL1087" s="58" t="n">
        <f aca="false">IF(AND(OR(BY1087="L1",BY1087="L23"),AH1087&gt;0),SUMIFS($AH$7:$AH$1843,$BY$7:$BY$1843,BY1087,$AK$7:$AK$1843,"&gt;"&amp;AK1087)+SUMIFS($AH$7:$AH$1843,$BY$7:$BY$1843,BY1087,$AK$7:$AK$1843,AK1087,$BQ$7:$BQ$1843,"&lt;="&amp;BQ1087),"")</f>
        <v>22.9809634809635</v>
      </c>
      <c r="AM1087" s="65" t="n">
        <f aca="false">IF(AL1087="",0,MAX(0,MIN(1,(IF(BY1087="L1",Parameter!$E$5,Parameter!$E$6+Parameter!$E$7)-(AL1087-AH1087))/AH1087)))</f>
        <v>1</v>
      </c>
      <c r="AN1087" s="57" t="n">
        <f aca="false">IF(LEFT(Cockpit!$I$5,1)="A",H1087,IF(CA1087=1,CB1087,IF(LEFT(Cockpit!$I$5,1)="B",AR1087,MAX(AR1087,H1087))))</f>
        <v>25</v>
      </c>
      <c r="AO1087" s="57" t="n">
        <f aca="false">IF(BT1087=1,0,ROUNDUP(AN1087/BS1087,0))</f>
        <v>1</v>
      </c>
      <c r="AP1087" s="59" t="n">
        <f aca="false">IF(CH1087&gt;0,CH1087*MAX(1,AN1087/X1087),IF(BT1087=1,IF(AN1087&lt;=0,0,BW1087*MAX(1,IF(H1087&gt;0,AN1087/H1087,1))),IF(R1087&gt;0,AO1087/R1087,0))/MAX(0.1,N(Parameter!$M$21)))</f>
        <v>0.0192307692307692</v>
      </c>
      <c r="AQ1087" s="57" t="n">
        <f aca="false">AN1087*G1087</f>
        <v>908.5</v>
      </c>
      <c r="AR1087" s="57" t="n">
        <f aca="false">ROUNDUP(MAX(J1087/IF(BZ1087&gt;0,BZ1087,MAX(0.1,N(Cockpit!$I$6))),CC1087)/BS1087,0)*BS1087</f>
        <v>25</v>
      </c>
      <c r="AS1087" s="58" t="n">
        <f aca="false">IF(AP1087&gt;0,J1087/AP1087,-1)</f>
        <v>624</v>
      </c>
      <c r="AT1087" s="58" t="n">
        <f aca="false">IF(AND(OR(BY1087="L1",BY1087="L23"),AP1087&gt;0),SUMIFS($AP$7:$AP$1843,$BY$7:$BY$1843,BY1087,$AS$7:$AS$1843,"&gt;"&amp;AS1087)+SUMIFS($AP$7:$AP$1843,$BY$7:$BY$1843,BY1087,$AS$7:$AS$1843,AS1087,$BQ$7:$BQ$1843,"&lt;="&amp;BQ1087),"")</f>
        <v>30.3900459443938</v>
      </c>
      <c r="AU1087" s="65" t="n">
        <f aca="false">IF(AT1087="",0,MAX(0,MIN(1,(IF(BY1087="L1",Parameter!$E$5,Parameter!$E$6+Parameter!$E$7)-(AT1087-AP1087))/AP1087)))</f>
        <v>1</v>
      </c>
      <c r="AV1087" s="57" t="n">
        <f aca="false">IF(LEFT(Cockpit!$O$5,1)="A",H1087,IF(CA1087=1,CB1087,IF(LEFT(Cockpit!$O$5,1)="B",AZ1087,MAX(AZ1087,H1087))))</f>
        <v>25</v>
      </c>
      <c r="AW1087" s="57" t="n">
        <f aca="false">IF(BT1087=1,0,ROUNDUP(AV1087/BS1087,0))</f>
        <v>1</v>
      </c>
      <c r="AX1087" s="59" t="n">
        <f aca="false">IF(CH1087&gt;0,CH1087*MAX(1,AV1087/X1087),IF(BT1087=1,IF(AV1087&lt;=0,0,BW1087*MAX(1,IF(H1087&gt;0,AV1087/H1087,1))),IF(R1087&gt;0,AW1087/R1087,0))/MAX(0.1,N(Parameter!$M$21)))</f>
        <v>0.0192307692307692</v>
      </c>
      <c r="AY1087" s="57" t="n">
        <f aca="false">AV1087*G1087</f>
        <v>908.5</v>
      </c>
      <c r="AZ1087" s="57" t="n">
        <f aca="false">ROUNDUP(MAX(J1087/IF(BZ1087&gt;0,BZ1087,MAX(0.1,N(Cockpit!$O$6))),CC1087)/BS1087,0)*BS1087</f>
        <v>25</v>
      </c>
      <c r="BA1087" s="58" t="n">
        <f aca="false">IF(AX1087&gt;0,J1087/AX1087,-1)</f>
        <v>624</v>
      </c>
      <c r="BB1087" s="58" t="n">
        <f aca="false">IF(AND(OR(BY1087="L1",BY1087="L23"),AX1087&gt;0),SUMIFS($AX$7:$AX$1843,$BY$7:$BY$1843,BY1087,$BA$7:$BA$1843,"&gt;"&amp;BA1087)+SUMIFS($AX$7:$AX$1843,$BY$7:$BY$1843,BY1087,$BA$7:$BA$1843,BA1087,$BQ$7:$BQ$1843,"&lt;="&amp;BQ1087),"")</f>
        <v>29.0916776460255</v>
      </c>
      <c r="BC1087" s="65" t="n">
        <f aca="false">IF(BB1087="",0,MAX(0,MIN(1,(IF(BY1087="L1",Parameter!$E$5,Parameter!$E$6+Parameter!$E$7)-(BB1087-AX1087))/AX1087)))</f>
        <v>1</v>
      </c>
      <c r="BD1087" s="55" t="str">
        <f aca="false">IF(AH1087&lt;=0,"",IF(BY1087="Aussen","Aussenlager",IF(BY1087="-","Nicht im Lift",IF(AM1087&gt;=1,"Lift",IF(AM1087&lt;=0,"Aussenlager","teilweise")))))</f>
        <v>Lift</v>
      </c>
      <c r="BE1087" s="55" t="str">
        <f aca="false">IF(AP1087&lt;=0,"",IF(BY1087="Aussen","Aussenlager",IF(BY1087="-","Nicht im Lift",IF(AU1087&gt;=1,"Lift",IF(AU1087&lt;=0,"Aussenlager","teilweise")))))</f>
        <v>Lift</v>
      </c>
      <c r="BF1087" s="55" t="str">
        <f aca="false">IF(AX1087&lt;=0,"",IF(BY1087="Aussen","Aussenlager",IF(BY1087="-","Nicht im Lift",IF(BC1087&gt;=1,"Lift",IF(BC1087&lt;=0,"Aussenlager","teilweise")))))</f>
        <v>Lift</v>
      </c>
      <c r="BG1087" s="55" t="str">
        <f aca="false">IF(A1087="","",IF(BP1087=1,"Neu; ","")&amp;IF(AND(BP1087=0,BK1087&lt;0),"negativer Bestand (Export "&amp;BK1087&amp;"); ","")&amp;IF(J1087&lt;=0,"Kein Verbrauch; ","")&amp;IF(CH1087&gt;0,"Lift "&amp;W1087&amp;" lt. Liftbericht (Fach "&amp;X1087&amp;" Stk); ",IF(BU1087=1,"Gebinde geschätzt ("&amp;T1087&amp;"); ",IF(BT1087=1,"Lose – Tablare geschätzt; ","")))&amp;IF(H1087&gt;AR1087,"Überbestand "&amp;ROUND(H1087-AR1087,0)&amp;" Stk / CHF "&amp;ROUND((H1087-AR1087)*G1087,0)&amp;"; ","")&amp;IF(AND(CA1087=1,CB1087&lt;CC1087),"MAX &lt; MB+LG; ","")&amp;IF(AND(CG1087&gt;0,CF1087*10&gt;CG1087),"zu hoch für Tablar; ","")&amp;IF(AND(BP1087=0,OR(CA1087=1,AA1087&lt;&gt;"",U1087&lt;&gt;"",V1087&lt;&gt;"",AB1087&lt;&gt;"")),"manuell übersteuert; ","")&amp;IF(AND(BT1087=0,R1087=0),"Gebinde unbekannt / Stellmass fehlt; ","")&amp;IF(AND(BT1087=0,N(V1087)&lt;=0,N(Q1087)&lt;=0),"Menge pro Gebinde fehlt (Ist = 1 Gebinde); ","")&amp;BO1087)</f>
        <v>negativer Bestand (Export -5); </v>
      </c>
      <c r="BH1087" s="55"/>
      <c r="BI1087" s="55"/>
      <c r="BJ1087" s="62"/>
      <c r="BK1087" s="57" t="n">
        <v>-5</v>
      </c>
      <c r="BL1087" s="57" t="n">
        <v>11</v>
      </c>
      <c r="BM1087" s="56" t="n">
        <v>-191.82</v>
      </c>
      <c r="BN1087" s="57" t="n">
        <v>12</v>
      </c>
      <c r="BO1087" s="55"/>
      <c r="BP1087" s="60" t="n">
        <v>0</v>
      </c>
      <c r="BQ1087" s="60" t="n">
        <v>1087</v>
      </c>
      <c r="BR1087" s="55" t="str">
        <f aca="false">IF(U1087&lt;&gt;"",UPPER(TRIM(U1087)),IF(BU1087=1,UPPER(VLOOKUP(T1087,Parameter!$I$27:$K$29,2,0)),IF(P1087="","LOSE",P1087)))</f>
        <v>S41</v>
      </c>
      <c r="BS1087" s="57" t="n">
        <f aca="false">IF(BR1087="LOSE",1,IF(N(V1087)&gt;0,V1087,IF(BU1087=1,MAX(1,N(VLOOKUP(T1087,Parameter!$I$27:$K$29,3,0)),H1087,N(N1087)),IF(N(Q1087)&gt;0,Q1087,MAX(1,H1087)))))</f>
        <v>25</v>
      </c>
      <c r="BT1087" s="60" t="n">
        <f aca="false">IF(BR1087="LOSE",1,0)</f>
        <v>0</v>
      </c>
      <c r="BU1087" s="60" t="n">
        <f aca="false">IF(AND(U1087="",OR(P1087="",P1087="LOSE"),T1087&lt;&gt;"",N(S1087)&lt;=0,ISNUMBER(MATCH(T1087,Parameter!$I$27:$I$29,0))),1,0)</f>
        <v>0</v>
      </c>
      <c r="BV1087" s="55" t="str">
        <f aca="false">IF(AND(Parameter!$B$19="Ja",E1087&lt;&gt;"",ISNUMBER(MATCH(E1087,Parameter!$I$35:$I$52,0))),VLOOKUP(E1087,Parameter!$I$35:$J$52,2,0),IFERROR(VLOOKUP(D1087,Parameter!$A$35:$C$64,2,0),"Nein"))</f>
        <v>2+3</v>
      </c>
      <c r="BW1087" s="59" t="n">
        <f aca="false">IF(BT1087=0,0,IF(N(S1087)&gt;0,S1087,IFERROR(VLOOKUP(D1087,Parameter!$A$35:$C$64,3,0)+0,0)))</f>
        <v>0</v>
      </c>
      <c r="BX1087" s="55" t="n">
        <f aca="false">IF(AA1087&lt;&gt;"",AA1087,Z1087)</f>
        <v>3</v>
      </c>
      <c r="BY1087" s="55" t="str">
        <f aca="false">IF(BX1087=1,"L1",IF(OR(BX1087=2,BX1087=3),"L23",IF(BX1087="Aussen","Aussen","-")))</f>
        <v>L23</v>
      </c>
      <c r="BZ1087" s="66" t="n">
        <f aca="false">IF(N(AB1087)&gt;0,AB1087,0)</f>
        <v>0</v>
      </c>
      <c r="CA1087" s="60" t="n">
        <f aca="false">IF(ISNUMBER(AE1087),1,0)</f>
        <v>0</v>
      </c>
      <c r="CB1087" s="57" t="n">
        <f aca="false">N(AE1087)</f>
        <v>0</v>
      </c>
      <c r="CC1087" s="57" t="n">
        <f aca="false">N(M1087)+N(N1087)</f>
        <v>10</v>
      </c>
      <c r="CD1087" s="57" t="n">
        <f aca="false">ROUNDUP(H1087/BS1087,0)</f>
        <v>1</v>
      </c>
      <c r="CE1087" s="57" t="n">
        <f aca="false">ROUNDUP(CB1087/BS1087,0)</f>
        <v>0</v>
      </c>
      <c r="CF1087" s="60" t="n">
        <f aca="false">IF(BT1087=1,0,IFERROR(VLOOKUP(BR1087,'Gebinde-Kategorie'!$A$5:$M$45,5,0)+0,0))</f>
        <v>11</v>
      </c>
      <c r="CG1087" s="60" t="n">
        <f aca="false">IFERROR(IF(OR(BX1087=1,BX1087=2,BX1087=3),N(INDEX(Parameter!$I$5:$I$7,BX1087)),0),0)</f>
        <v>0</v>
      </c>
      <c r="CH1087" s="59" t="n">
        <f aca="false">IF(AND(Parameter!$B$21="Ja",ISNUMBER(W1087),N(X1087)&gt;0),IFERROR(N(INDEX(Parameter!$L$5:$L$7,W1087))*INDEX(Parameter!$E$5:$E$7,W1087)*X1087/SUMIFS($X$7:$X$1843,$W$7:$W$1843,W1087),0),0)</f>
        <v>0</v>
      </c>
    </row>
    <row r="1088" customFormat="false" ht="15" hidden="false" customHeight="false" outlineLevel="0" collapsed="false">
      <c r="A1088" s="55" t="s">
        <v>1980</v>
      </c>
      <c r="B1088" s="55" t="s">
        <v>1981</v>
      </c>
      <c r="C1088" s="55" t="s">
        <v>164</v>
      </c>
      <c r="D1088" s="55" t="s">
        <v>173</v>
      </c>
      <c r="E1088" s="55" t="s">
        <v>465</v>
      </c>
      <c r="F1088" s="55" t="s">
        <v>218</v>
      </c>
      <c r="G1088" s="56" t="n">
        <v>16</v>
      </c>
      <c r="H1088" s="57" t="n">
        <f aca="false">MAX(0,IF(AND(Parameter!$B$21="Ja",ISNUMBER(Y1088)),Y1088,IF(Parameter!$B$20="Jahresanfang 2025 + Export",BL1088+BK1088,BK1088)))</f>
        <v>0</v>
      </c>
      <c r="I1088" s="57" t="n">
        <f aca="false">H1088*G1088</f>
        <v>0</v>
      </c>
      <c r="J1088" s="57" t="n">
        <f aca="false">BN1088*Parameter!$B$18</f>
        <v>130</v>
      </c>
      <c r="K1088" s="58" t="n">
        <v>50.5</v>
      </c>
      <c r="L1088" s="59" t="n">
        <v>2.57425742574257</v>
      </c>
      <c r="M1088" s="57" t="n">
        <v>7</v>
      </c>
      <c r="N1088" s="57" t="n">
        <v>15</v>
      </c>
      <c r="O1088" s="60" t="n">
        <v>21</v>
      </c>
      <c r="P1088" s="55" t="s">
        <v>168</v>
      </c>
      <c r="Q1088" s="57"/>
      <c r="R1088" s="60" t="n">
        <f aca="false">IF(BT1088=1,0,IFERROR(VLOOKUP(BR1088,'Gebinde-Kategorie'!$A$5:$M$45,13,0)+0,0))</f>
        <v>3</v>
      </c>
      <c r="S1088" s="61"/>
      <c r="T1088" s="62" t="s">
        <v>189</v>
      </c>
      <c r="U1088" s="62"/>
      <c r="V1088" s="62"/>
      <c r="W1088" s="55"/>
      <c r="X1088" s="57"/>
      <c r="Y1088" s="57"/>
      <c r="Z1088" s="55" t="str">
        <f aca="false">IF(A1088="","",IF(AND(Parameter!$B$21="Ja",ISNUMBER(W1088)),W1088,IF(BV1088="2+3",IF(ISNUMBER(SEARCH("grosser Artikel",BO1088)),2,IFERROR(VLOOKUP(BR1088,Parameter!$F$35:$G$64,2,0),2)),IF(OR(BV1088="Nein",BV1088=""),"-",BV1088))))</f>
        <v>-</v>
      </c>
      <c r="AA1088" s="62"/>
      <c r="AB1088" s="63"/>
      <c r="AC1088" s="57" t="n">
        <f aca="false">AR1088</f>
        <v>75</v>
      </c>
      <c r="AD1088" s="57" t="n">
        <f aca="false">MAX(AR1088,H1088)</f>
        <v>75</v>
      </c>
      <c r="AE1088" s="64"/>
      <c r="AF1088" s="57" t="n">
        <f aca="false">IF(LEFT(Cockpit!$C$5,1)="A",H1088,IF(CA1088=1,CB1088,IF(LEFT(Cockpit!$C$5,1)="B",AJ1088,MAX(AJ1088,H1088))))</f>
        <v>0</v>
      </c>
      <c r="AG1088" s="57" t="n">
        <f aca="false">IF(BT1088=1,0,ROUNDUP(AF1088/BS1088,0))</f>
        <v>0</v>
      </c>
      <c r="AH1088" s="59" t="n">
        <f aca="false">IF(CH1088&gt;0,CH1088*MAX(1,AF1088/X1088),IF(BT1088=1,IF(AF1088&lt;=0,0,BW1088*MAX(1,IF(H1088&gt;0,AF1088/H1088,1))),IF(R1088&gt;0,AG1088/R1088,0))/MAX(0.1,N(Parameter!$M$21)))</f>
        <v>0</v>
      </c>
      <c r="AI1088" s="57" t="n">
        <f aca="false">AF1088*G1088</f>
        <v>0</v>
      </c>
      <c r="AJ1088" s="57" t="n">
        <f aca="false">ROUNDUP(MAX(J1088/IF(BZ1088&gt;0,BZ1088,MAX(0.1,N(Cockpit!$C$6))),CC1088)/BS1088,0)*BS1088</f>
        <v>75</v>
      </c>
      <c r="AK1088" s="58" t="n">
        <f aca="false">IF(AH1088&gt;0,J1088/AH1088,-1)</f>
        <v>-1</v>
      </c>
      <c r="AL1088" s="58" t="str">
        <f aca="false">IF(AND(OR(BY1088="L1",BY1088="L23"),AH1088&gt;0),SUMIFS($AH$7:$AH$1843,$BY$7:$BY$1843,BY1088,$AK$7:$AK$1843,"&gt;"&amp;AK1088)+SUMIFS($AH$7:$AH$1843,$BY$7:$BY$1843,BY1088,$AK$7:$AK$1843,AK1088,$BQ$7:$BQ$1843,"&lt;="&amp;BQ1088),"")</f>
        <v/>
      </c>
      <c r="AM1088" s="65" t="n">
        <f aca="false">IF(AL1088="",0,MAX(0,MIN(1,(IF(BY1088="L1",Parameter!$E$5,Parameter!$E$6+Parameter!$E$7)-(AL1088-AH1088))/AH1088)))</f>
        <v>0</v>
      </c>
      <c r="AN1088" s="57" t="n">
        <f aca="false">IF(LEFT(Cockpit!$I$5,1)="A",H1088,IF(CA1088=1,CB1088,IF(LEFT(Cockpit!$I$5,1)="B",AR1088,MAX(AR1088,H1088))))</f>
        <v>75</v>
      </c>
      <c r="AO1088" s="57" t="n">
        <f aca="false">IF(BT1088=1,0,ROUNDUP(AN1088/BS1088,0))</f>
        <v>5</v>
      </c>
      <c r="AP1088" s="59" t="n">
        <f aca="false">IF(CH1088&gt;0,CH1088*MAX(1,AN1088/X1088),IF(BT1088=1,IF(AN1088&lt;=0,0,BW1088*MAX(1,IF(H1088&gt;0,AN1088/H1088,1))),IF(R1088&gt;0,AO1088/R1088,0))/MAX(0.1,N(Parameter!$M$21)))</f>
        <v>1.66666666666667</v>
      </c>
      <c r="AQ1088" s="57" t="n">
        <f aca="false">AN1088*G1088</f>
        <v>1200</v>
      </c>
      <c r="AR1088" s="57" t="n">
        <f aca="false">ROUNDUP(MAX(J1088/IF(BZ1088&gt;0,BZ1088,MAX(0.1,N(Cockpit!$I$6))),CC1088)/BS1088,0)*BS1088</f>
        <v>75</v>
      </c>
      <c r="AS1088" s="58" t="n">
        <f aca="false">IF(AP1088&gt;0,J1088/AP1088,-1)</f>
        <v>78</v>
      </c>
      <c r="AT1088" s="58" t="str">
        <f aca="false">IF(AND(OR(BY1088="L1",BY1088="L23"),AP1088&gt;0),SUMIFS($AP$7:$AP$1843,$BY$7:$BY$1843,BY1088,$AS$7:$AS$1843,"&gt;"&amp;AS1088)+SUMIFS($AP$7:$AP$1843,$BY$7:$BY$1843,BY1088,$AS$7:$AS$1843,AS1088,$BQ$7:$BQ$1843,"&lt;="&amp;BQ1088),"")</f>
        <v/>
      </c>
      <c r="AU1088" s="65" t="n">
        <f aca="false">IF(AT1088="",0,MAX(0,MIN(1,(IF(BY1088="L1",Parameter!$E$5,Parameter!$E$6+Parameter!$E$7)-(AT1088-AP1088))/AP1088)))</f>
        <v>0</v>
      </c>
      <c r="AV1088" s="57" t="n">
        <f aca="false">IF(LEFT(Cockpit!$O$5,1)="A",H1088,IF(CA1088=1,CB1088,IF(LEFT(Cockpit!$O$5,1)="B",AZ1088,MAX(AZ1088,H1088))))</f>
        <v>45</v>
      </c>
      <c r="AW1088" s="57" t="n">
        <f aca="false">IF(BT1088=1,0,ROUNDUP(AV1088/BS1088,0))</f>
        <v>3</v>
      </c>
      <c r="AX1088" s="59" t="n">
        <f aca="false">IF(CH1088&gt;0,CH1088*MAX(1,AV1088/X1088),IF(BT1088=1,IF(AV1088&lt;=0,0,BW1088*MAX(1,IF(H1088&gt;0,AV1088/H1088,1))),IF(R1088&gt;0,AW1088/R1088,0))/MAX(0.1,N(Parameter!$M$21)))</f>
        <v>1</v>
      </c>
      <c r="AY1088" s="57" t="n">
        <f aca="false">AV1088*G1088</f>
        <v>720</v>
      </c>
      <c r="AZ1088" s="57" t="n">
        <f aca="false">ROUNDUP(MAX(J1088/IF(BZ1088&gt;0,BZ1088,MAX(0.1,N(Cockpit!$O$6))),CC1088)/BS1088,0)*BS1088</f>
        <v>45</v>
      </c>
      <c r="BA1088" s="58" t="n">
        <f aca="false">IF(AX1088&gt;0,J1088/AX1088,-1)</f>
        <v>130</v>
      </c>
      <c r="BB1088" s="58" t="str">
        <f aca="false">IF(AND(OR(BY1088="L1",BY1088="L23"),AX1088&gt;0),SUMIFS($AX$7:$AX$1843,$BY$7:$BY$1843,BY1088,$BA$7:$BA$1843,"&gt;"&amp;BA1088)+SUMIFS($AX$7:$AX$1843,$BY$7:$BY$1843,BY1088,$BA$7:$BA$1843,BA1088,$BQ$7:$BQ$1843,"&lt;="&amp;BQ1088),"")</f>
        <v/>
      </c>
      <c r="BC1088" s="65" t="n">
        <f aca="false">IF(BB1088="",0,MAX(0,MIN(1,(IF(BY1088="L1",Parameter!$E$5,Parameter!$E$6+Parameter!$E$7)-(BB1088-AX1088))/AX1088)))</f>
        <v>0</v>
      </c>
      <c r="BD1088" s="55" t="str">
        <f aca="false">IF(AH1088&lt;=0,"",IF(BY1088="Aussen","Aussenlager",IF(BY1088="-","Nicht im Lift",IF(AM1088&gt;=1,"Lift",IF(AM1088&lt;=0,"Aussenlager","teilweise")))))</f>
        <v/>
      </c>
      <c r="BE1088" s="55" t="str">
        <f aca="false">IF(AP1088&lt;=0,"",IF(BY1088="Aussen","Aussenlager",IF(BY1088="-","Nicht im Lift",IF(AU1088&gt;=1,"Lift",IF(AU1088&lt;=0,"Aussenlager","teilweise")))))</f>
        <v>Nicht im Lift</v>
      </c>
      <c r="BF1088" s="55" t="str">
        <f aca="false">IF(AX1088&lt;=0,"",IF(BY1088="Aussen","Aussenlager",IF(BY1088="-","Nicht im Lift",IF(BC1088&gt;=1,"Lift",IF(BC1088&lt;=0,"Aussenlager","teilweise")))))</f>
        <v>Nicht im Lift</v>
      </c>
      <c r="BG1088" s="55" t="str">
        <f aca="false">IF(A1088="","",IF(BP1088=1,"Neu; ","")&amp;IF(AND(BP1088=0,BK1088&lt;0),"negativer Bestand (Export "&amp;BK1088&amp;"); ","")&amp;IF(J1088&lt;=0,"Kein Verbrauch; ","")&amp;IF(CH1088&gt;0,"Lift "&amp;W1088&amp;" lt. Liftbericht (Fach "&amp;X1088&amp;" Stk); ",IF(BU1088=1,"Gebinde geschätzt ("&amp;T1088&amp;"); ",IF(BT1088=1,"Lose – Tablare geschätzt; ","")))&amp;IF(H1088&gt;AR1088,"Überbestand "&amp;ROUND(H1088-AR1088,0)&amp;" Stk / CHF "&amp;ROUND((H1088-AR1088)*G1088,0)&amp;"; ","")&amp;IF(AND(CA1088=1,CB1088&lt;CC1088),"MAX &lt; MB+LG; ","")&amp;IF(AND(CG1088&gt;0,CF1088*10&gt;CG1088),"zu hoch für Tablar; ","")&amp;IF(AND(BP1088=0,OR(CA1088=1,AA1088&lt;&gt;"",U1088&lt;&gt;"",V1088&lt;&gt;"",AB1088&lt;&gt;"")),"manuell übersteuert; ","")&amp;IF(AND(BT1088=0,R1088=0),"Gebinde unbekannt / Stellmass fehlt; ","")&amp;IF(AND(BT1088=0,N(V1088)&lt;=0,N(Q1088)&lt;=0),"Menge pro Gebinde fehlt (Ist = 1 Gebinde); ","")&amp;BO1088)</f>
        <v>negativer Bestand (Export -13); Gebinde geschätzt (Gross); Menge pro Gebinde fehlt (Ist = 1 Gebinde); </v>
      </c>
      <c r="BH1088" s="55"/>
      <c r="BI1088" s="55"/>
      <c r="BJ1088" s="62"/>
      <c r="BK1088" s="57" t="n">
        <v>-13</v>
      </c>
      <c r="BL1088" s="57" t="n">
        <v>11</v>
      </c>
      <c r="BM1088" s="56" t="n">
        <v>-193.480000000001</v>
      </c>
      <c r="BN1088" s="57" t="n">
        <v>130</v>
      </c>
      <c r="BO1088" s="55"/>
      <c r="BP1088" s="60" t="n">
        <v>0</v>
      </c>
      <c r="BQ1088" s="60" t="n">
        <v>1088</v>
      </c>
      <c r="BR1088" s="55" t="str">
        <f aca="false">IF(U1088&lt;&gt;"",UPPER(TRIM(U1088)),IF(BU1088=1,UPPER(VLOOKUP(T1088,Parameter!$I$27:$K$29,2,0)),IF(P1088="","LOSE",P1088)))</f>
        <v>S81</v>
      </c>
      <c r="BS1088" s="57" t="n">
        <f aca="false">IF(BR1088="LOSE",1,IF(N(V1088)&gt;0,V1088,IF(BU1088=1,MAX(1,N(VLOOKUP(T1088,Parameter!$I$27:$K$29,3,0)),H1088,N(N1088)),IF(N(Q1088)&gt;0,Q1088,MAX(1,H1088)))))</f>
        <v>15</v>
      </c>
      <c r="BT1088" s="60" t="n">
        <f aca="false">IF(BR1088="LOSE",1,0)</f>
        <v>0</v>
      </c>
      <c r="BU1088" s="60" t="n">
        <f aca="false">IF(AND(U1088="",OR(P1088="",P1088="LOSE"),T1088&lt;&gt;"",N(S1088)&lt;=0,ISNUMBER(MATCH(T1088,Parameter!$I$27:$I$29,0))),1,0)</f>
        <v>1</v>
      </c>
      <c r="BV1088" s="55" t="str">
        <f aca="false">IF(AND(Parameter!$B$19="Ja",E1088&lt;&gt;"",ISNUMBER(MATCH(E1088,Parameter!$I$35:$I$52,0))),VLOOKUP(E1088,Parameter!$I$35:$J$52,2,0),IFERROR(VLOOKUP(D1088,Parameter!$A$35:$C$64,2,0),"Nein"))</f>
        <v>Nein</v>
      </c>
      <c r="BW1088" s="59" t="n">
        <f aca="false">IF(BT1088=0,0,IF(N(S1088)&gt;0,S1088,IFERROR(VLOOKUP(D1088,Parameter!$A$35:$C$64,3,0)+0,0)))</f>
        <v>0</v>
      </c>
      <c r="BX1088" s="55" t="str">
        <f aca="false">IF(AA1088&lt;&gt;"",AA1088,Z1088)</f>
        <v>-</v>
      </c>
      <c r="BY1088" s="55" t="str">
        <f aca="false">IF(BX1088=1,"L1",IF(OR(BX1088=2,BX1088=3),"L23",IF(BX1088="Aussen","Aussen","-")))</f>
        <v>-</v>
      </c>
      <c r="BZ1088" s="66" t="n">
        <f aca="false">IF(N(AB1088)&gt;0,AB1088,0)</f>
        <v>0</v>
      </c>
      <c r="CA1088" s="60" t="n">
        <f aca="false">IF(ISNUMBER(AE1088),1,0)</f>
        <v>0</v>
      </c>
      <c r="CB1088" s="57" t="n">
        <f aca="false">N(AE1088)</f>
        <v>0</v>
      </c>
      <c r="CC1088" s="57" t="n">
        <f aca="false">N(M1088)+N(N1088)</f>
        <v>22</v>
      </c>
      <c r="CD1088" s="57" t="n">
        <f aca="false">ROUNDUP(H1088/BS1088,0)</f>
        <v>0</v>
      </c>
      <c r="CE1088" s="57" t="n">
        <f aca="false">ROUNDUP(CB1088/BS1088,0)</f>
        <v>0</v>
      </c>
      <c r="CF1088" s="60" t="n">
        <f aca="false">IF(BT1088=1,0,IFERROR(VLOOKUP(BR1088,'Gebinde-Kategorie'!$A$5:$M$45,5,0)+0,0))</f>
        <v>20</v>
      </c>
      <c r="CG1088" s="60" t="n">
        <f aca="false">IFERROR(IF(OR(BX1088=1,BX1088=2,BX1088=3),N(INDEX(Parameter!$I$5:$I$7,BX1088)),0),0)</f>
        <v>0</v>
      </c>
      <c r="CH1088" s="59" t="n">
        <f aca="false">IF(AND(Parameter!$B$21="Ja",ISNUMBER(W1088),N(X1088)&gt;0),IFERROR(N(INDEX(Parameter!$L$5:$L$7,W1088))*INDEX(Parameter!$E$5:$E$7,W1088)*X1088/SUMIFS($X$7:$X$1843,$W$7:$W$1843,W1088),0),0)</f>
        <v>0</v>
      </c>
    </row>
    <row r="1089" customFormat="false" ht="15" hidden="false" customHeight="false" outlineLevel="0" collapsed="false">
      <c r="A1089" s="55" t="s">
        <v>1982</v>
      </c>
      <c r="B1089" s="55" t="s">
        <v>440</v>
      </c>
      <c r="C1089" s="55" t="s">
        <v>164</v>
      </c>
      <c r="D1089" s="55" t="s">
        <v>184</v>
      </c>
      <c r="E1089" s="55" t="s">
        <v>185</v>
      </c>
      <c r="F1089" s="55" t="s">
        <v>218</v>
      </c>
      <c r="G1089" s="56" t="n">
        <v>40.16</v>
      </c>
      <c r="H1089" s="57" t="n">
        <f aca="false">MAX(0,IF(AND(Parameter!$B$21="Ja",ISNUMBER(Y1089)),Y1089,IF(Parameter!$B$20="Jahresanfang 2025 + Export",BL1089+BK1089,BK1089)))</f>
        <v>21</v>
      </c>
      <c r="I1089" s="57" t="n">
        <f aca="false">H1089*G1089</f>
        <v>843.36</v>
      </c>
      <c r="J1089" s="57" t="n">
        <f aca="false">BN1089*Parameter!$B$18</f>
        <v>23</v>
      </c>
      <c r="K1089" s="58" t="n">
        <v>22.5</v>
      </c>
      <c r="L1089" s="59" t="n">
        <v>1.02222222222222</v>
      </c>
      <c r="M1089" s="57" t="n">
        <v>1</v>
      </c>
      <c r="N1089" s="57" t="n">
        <v>25</v>
      </c>
      <c r="O1089" s="60" t="n">
        <v>21</v>
      </c>
      <c r="P1089" s="55" t="s">
        <v>233</v>
      </c>
      <c r="Q1089" s="57" t="n">
        <v>48</v>
      </c>
      <c r="R1089" s="60" t="n">
        <f aca="false">IF(BT1089=1,0,IFERROR(VLOOKUP(BR1089,'Gebinde-Kategorie'!$A$5:$M$45,13,0)+0,0))</f>
        <v>26</v>
      </c>
      <c r="S1089" s="61"/>
      <c r="T1089" s="62"/>
      <c r="U1089" s="62"/>
      <c r="V1089" s="62"/>
      <c r="W1089" s="55"/>
      <c r="X1089" s="57"/>
      <c r="Y1089" s="57"/>
      <c r="Z1089" s="55" t="n">
        <f aca="false">IF(A1089="","",IF(AND(Parameter!$B$21="Ja",ISNUMBER(W1089)),W1089,IF(BV1089="2+3",IF(ISNUMBER(SEARCH("grosser Artikel",BO1089)),2,IFERROR(VLOOKUP(BR1089,Parameter!$F$35:$G$64,2,0),2)),IF(OR(BV1089="Nein",BV1089=""),"-",BV1089))))</f>
        <v>3</v>
      </c>
      <c r="AA1089" s="62"/>
      <c r="AB1089" s="63"/>
      <c r="AC1089" s="57" t="n">
        <f aca="false">AR1089</f>
        <v>48</v>
      </c>
      <c r="AD1089" s="57" t="n">
        <f aca="false">MAX(AR1089,H1089)</f>
        <v>48</v>
      </c>
      <c r="AE1089" s="64"/>
      <c r="AF1089" s="57" t="n">
        <f aca="false">IF(LEFT(Cockpit!$C$5,1)="A",H1089,IF(CA1089=1,CB1089,IF(LEFT(Cockpit!$C$5,1)="B",AJ1089,MAX(AJ1089,H1089))))</f>
        <v>21</v>
      </c>
      <c r="AG1089" s="57" t="n">
        <f aca="false">IF(BT1089=1,0,ROUNDUP(AF1089/BS1089,0))</f>
        <v>1</v>
      </c>
      <c r="AH1089" s="59" t="n">
        <f aca="false">IF(CH1089&gt;0,CH1089*MAX(1,AF1089/X1089),IF(BT1089=1,IF(AF1089&lt;=0,0,BW1089*MAX(1,IF(H1089&gt;0,AF1089/H1089,1))),IF(R1089&gt;0,AG1089/R1089,0))/MAX(0.1,N(Parameter!$M$21)))</f>
        <v>0.0384615384615385</v>
      </c>
      <c r="AI1089" s="57" t="n">
        <f aca="false">AF1089*G1089</f>
        <v>843.36</v>
      </c>
      <c r="AJ1089" s="57" t="n">
        <f aca="false">ROUNDUP(MAX(J1089/IF(BZ1089&gt;0,BZ1089,MAX(0.1,N(Cockpit!$C$6))),CC1089)/BS1089,0)*BS1089</f>
        <v>48</v>
      </c>
      <c r="AK1089" s="58" t="n">
        <f aca="false">IF(AH1089&gt;0,J1089/AH1089,-1)</f>
        <v>598</v>
      </c>
      <c r="AL1089" s="58" t="n">
        <f aca="false">IF(AND(OR(BY1089="L1",BY1089="L23"),AH1089&gt;0),SUMIFS($AH$7:$AH$1843,$BY$7:$BY$1843,BY1089,$AK$7:$AK$1843,"&gt;"&amp;AK1089)+SUMIFS($AH$7:$AH$1843,$BY$7:$BY$1843,BY1089,$AK$7:$AK$1843,AK1089,$BQ$7:$BQ$1843,"&lt;="&amp;BQ1089),"")</f>
        <v>23.2309634809635</v>
      </c>
      <c r="AM1089" s="65" t="n">
        <f aca="false">IF(AL1089="",0,MAX(0,MIN(1,(IF(BY1089="L1",Parameter!$E$5,Parameter!$E$6+Parameter!$E$7)-(AL1089-AH1089))/AH1089)))</f>
        <v>1</v>
      </c>
      <c r="AN1089" s="57" t="n">
        <f aca="false">IF(LEFT(Cockpit!$I$5,1)="A",H1089,IF(CA1089=1,CB1089,IF(LEFT(Cockpit!$I$5,1)="B",AR1089,MAX(AR1089,H1089))))</f>
        <v>48</v>
      </c>
      <c r="AO1089" s="57" t="n">
        <f aca="false">IF(BT1089=1,0,ROUNDUP(AN1089/BS1089,0))</f>
        <v>1</v>
      </c>
      <c r="AP1089" s="59" t="n">
        <f aca="false">IF(CH1089&gt;0,CH1089*MAX(1,AN1089/X1089),IF(BT1089=1,IF(AN1089&lt;=0,0,BW1089*MAX(1,IF(H1089&gt;0,AN1089/H1089,1))),IF(R1089&gt;0,AO1089/R1089,0))/MAX(0.1,N(Parameter!$M$21)))</f>
        <v>0.0384615384615385</v>
      </c>
      <c r="AQ1089" s="57" t="n">
        <f aca="false">AN1089*G1089</f>
        <v>1927.68</v>
      </c>
      <c r="AR1089" s="57" t="n">
        <f aca="false">ROUNDUP(MAX(J1089/IF(BZ1089&gt;0,BZ1089,MAX(0.1,N(Cockpit!$I$6))),CC1089)/BS1089,0)*BS1089</f>
        <v>48</v>
      </c>
      <c r="AS1089" s="58" t="n">
        <f aca="false">IF(AP1089&gt;0,J1089/AP1089,-1)</f>
        <v>598</v>
      </c>
      <c r="AT1089" s="58" t="n">
        <f aca="false">IF(AND(OR(BY1089="L1",BY1089="L23"),AP1089&gt;0),SUMIFS($AP$7:$AP$1843,$BY$7:$BY$1843,BY1089,$AS$7:$AS$1843,"&gt;"&amp;AS1089)+SUMIFS($AP$7:$AP$1843,$BY$7:$BY$1843,BY1089,$AS$7:$AS$1843,AS1089,$BQ$7:$BQ$1843,"&lt;="&amp;BQ1089),"")</f>
        <v>30.6079946623425</v>
      </c>
      <c r="AU1089" s="65" t="n">
        <f aca="false">IF(AT1089="",0,MAX(0,MIN(1,(IF(BY1089="L1",Parameter!$E$5,Parameter!$E$6+Parameter!$E$7)-(AT1089-AP1089))/AP1089)))</f>
        <v>1</v>
      </c>
      <c r="AV1089" s="57" t="n">
        <f aca="false">IF(LEFT(Cockpit!$O$5,1)="A",H1089,IF(CA1089=1,CB1089,IF(LEFT(Cockpit!$O$5,1)="B",AZ1089,MAX(AZ1089,H1089))))</f>
        <v>48</v>
      </c>
      <c r="AW1089" s="57" t="n">
        <f aca="false">IF(BT1089=1,0,ROUNDUP(AV1089/BS1089,0))</f>
        <v>1</v>
      </c>
      <c r="AX1089" s="59" t="n">
        <f aca="false">IF(CH1089&gt;0,CH1089*MAX(1,AV1089/X1089),IF(BT1089=1,IF(AV1089&lt;=0,0,BW1089*MAX(1,IF(H1089&gt;0,AV1089/H1089,1))),IF(R1089&gt;0,AW1089/R1089,0))/MAX(0.1,N(Parameter!$M$21)))</f>
        <v>0.0384615384615385</v>
      </c>
      <c r="AY1089" s="57" t="n">
        <f aca="false">AV1089*G1089</f>
        <v>1927.68</v>
      </c>
      <c r="AZ1089" s="57" t="n">
        <f aca="false">ROUNDUP(MAX(J1089/IF(BZ1089&gt;0,BZ1089,MAX(0.1,N(Cockpit!$O$6))),CC1089)/BS1089,0)*BS1089</f>
        <v>48</v>
      </c>
      <c r="BA1089" s="58" t="n">
        <f aca="false">IF(AX1089&gt;0,J1089/AX1089,-1)</f>
        <v>598</v>
      </c>
      <c r="BB1089" s="58" t="n">
        <f aca="false">IF(AND(OR(BY1089="L1",BY1089="L23"),AX1089&gt;0),SUMIFS($AX$7:$AX$1843,$BY$7:$BY$1843,BY1089,$BA$7:$BA$1843,"&gt;"&amp;BA1089)+SUMIFS($AX$7:$AX$1843,$BY$7:$BY$1843,BY1089,$BA$7:$BA$1843,BA1089,$BQ$7:$BQ$1843,"&lt;="&amp;BQ1089),"")</f>
        <v>29.3096263639742</v>
      </c>
      <c r="BC1089" s="65" t="n">
        <f aca="false">IF(BB1089="",0,MAX(0,MIN(1,(IF(BY1089="L1",Parameter!$E$5,Parameter!$E$6+Parameter!$E$7)-(BB1089-AX1089))/AX1089)))</f>
        <v>1</v>
      </c>
      <c r="BD1089" s="55" t="str">
        <f aca="false">IF(AH1089&lt;=0,"",IF(BY1089="Aussen","Aussenlager",IF(BY1089="-","Nicht im Lift",IF(AM1089&gt;=1,"Lift",IF(AM1089&lt;=0,"Aussenlager","teilweise")))))</f>
        <v>Lift</v>
      </c>
      <c r="BE1089" s="55" t="str">
        <f aca="false">IF(AP1089&lt;=0,"",IF(BY1089="Aussen","Aussenlager",IF(BY1089="-","Nicht im Lift",IF(AU1089&gt;=1,"Lift",IF(AU1089&lt;=0,"Aussenlager","teilweise")))))</f>
        <v>Lift</v>
      </c>
      <c r="BF1089" s="55" t="str">
        <f aca="false">IF(AX1089&lt;=0,"",IF(BY1089="Aussen","Aussenlager",IF(BY1089="-","Nicht im Lift",IF(BC1089&gt;=1,"Lift",IF(BC1089&lt;=0,"Aussenlager","teilweise")))))</f>
        <v>Lift</v>
      </c>
      <c r="BG1089" s="55" t="str">
        <f aca="false">IF(A1089="","",IF(BP1089=1,"Neu; ","")&amp;IF(AND(BP1089=0,BK1089&lt;0),"negativer Bestand (Export "&amp;BK1089&amp;"); ","")&amp;IF(J1089&lt;=0,"Kein Verbrauch; ","")&amp;IF(CH1089&gt;0,"Lift "&amp;W1089&amp;" lt. Liftbericht (Fach "&amp;X1089&amp;" Stk); ",IF(BU1089=1,"Gebinde geschätzt ("&amp;T1089&amp;"); ",IF(BT1089=1,"Lose – Tablare geschätzt; ","")))&amp;IF(H1089&gt;AR1089,"Überbestand "&amp;ROUND(H1089-AR1089,0)&amp;" Stk / CHF "&amp;ROUND((H1089-AR1089)*G1089,0)&amp;"; ","")&amp;IF(AND(CA1089=1,CB1089&lt;CC1089),"MAX &lt; MB+LG; ","")&amp;IF(AND(CG1089&gt;0,CF1089*10&gt;CG1089),"zu hoch für Tablar; ","")&amp;IF(AND(BP1089=0,OR(CA1089=1,AA1089&lt;&gt;"",U1089&lt;&gt;"",V1089&lt;&gt;"",AB1089&lt;&gt;"")),"manuell übersteuert; ","")&amp;IF(AND(BT1089=0,R1089=0),"Gebinde unbekannt / Stellmass fehlt; ","")&amp;IF(AND(BT1089=0,N(V1089)&lt;=0,N(Q1089)&lt;=0),"Menge pro Gebinde fehlt (Ist = 1 Gebinde); ","")&amp;BO1089)</f>
        <v>negativer Bestand (Export -5); SPGr</v>
      </c>
      <c r="BH1089" s="55"/>
      <c r="BI1089" s="55"/>
      <c r="BJ1089" s="62"/>
      <c r="BK1089" s="57" t="n">
        <v>-5</v>
      </c>
      <c r="BL1089" s="57" t="n">
        <v>26</v>
      </c>
      <c r="BM1089" s="56" t="n">
        <v>-193.54</v>
      </c>
      <c r="BN1089" s="57" t="n">
        <v>23</v>
      </c>
      <c r="BO1089" s="55" t="s">
        <v>1983</v>
      </c>
      <c r="BP1089" s="60" t="n">
        <v>0</v>
      </c>
      <c r="BQ1089" s="60" t="n">
        <v>1089</v>
      </c>
      <c r="BR1089" s="55" t="str">
        <f aca="false">IF(U1089&lt;&gt;"",UPPER(TRIM(U1089)),IF(BU1089=1,UPPER(VLOOKUP(T1089,Parameter!$I$27:$K$29,2,0)),IF(P1089="","LOSE",P1089)))</f>
        <v>S52</v>
      </c>
      <c r="BS1089" s="57" t="n">
        <f aca="false">IF(BR1089="LOSE",1,IF(N(V1089)&gt;0,V1089,IF(BU1089=1,MAX(1,N(VLOOKUP(T1089,Parameter!$I$27:$K$29,3,0)),H1089,N(N1089)),IF(N(Q1089)&gt;0,Q1089,MAX(1,H1089)))))</f>
        <v>48</v>
      </c>
      <c r="BT1089" s="60" t="n">
        <f aca="false">IF(BR1089="LOSE",1,0)</f>
        <v>0</v>
      </c>
      <c r="BU1089" s="60" t="n">
        <f aca="false">IF(AND(U1089="",OR(P1089="",P1089="LOSE"),T1089&lt;&gt;"",N(S1089)&lt;=0,ISNUMBER(MATCH(T1089,Parameter!$I$27:$I$29,0))),1,0)</f>
        <v>0</v>
      </c>
      <c r="BV1089" s="55" t="str">
        <f aca="false">IF(AND(Parameter!$B$19="Ja",E1089&lt;&gt;"",ISNUMBER(MATCH(E1089,Parameter!$I$35:$I$52,0))),VLOOKUP(E1089,Parameter!$I$35:$J$52,2,0),IFERROR(VLOOKUP(D1089,Parameter!$A$35:$C$64,2,0),"Nein"))</f>
        <v>2+3</v>
      </c>
      <c r="BW1089" s="59" t="n">
        <f aca="false">IF(BT1089=0,0,IF(N(S1089)&gt;0,S1089,IFERROR(VLOOKUP(D1089,Parameter!$A$35:$C$64,3,0)+0,0)))</f>
        <v>0</v>
      </c>
      <c r="BX1089" s="55" t="n">
        <f aca="false">IF(AA1089&lt;&gt;"",AA1089,Z1089)</f>
        <v>3</v>
      </c>
      <c r="BY1089" s="55" t="str">
        <f aca="false">IF(BX1089=1,"L1",IF(OR(BX1089=2,BX1089=3),"L23",IF(BX1089="Aussen","Aussen","-")))</f>
        <v>L23</v>
      </c>
      <c r="BZ1089" s="66" t="n">
        <f aca="false">IF(N(AB1089)&gt;0,AB1089,0)</f>
        <v>0</v>
      </c>
      <c r="CA1089" s="60" t="n">
        <f aca="false">IF(ISNUMBER(AE1089),1,0)</f>
        <v>0</v>
      </c>
      <c r="CB1089" s="57" t="n">
        <f aca="false">N(AE1089)</f>
        <v>0</v>
      </c>
      <c r="CC1089" s="57" t="n">
        <f aca="false">N(M1089)+N(N1089)</f>
        <v>26</v>
      </c>
      <c r="CD1089" s="57" t="n">
        <f aca="false">ROUNDUP(H1089/BS1089,0)</f>
        <v>1</v>
      </c>
      <c r="CE1089" s="57" t="n">
        <f aca="false">ROUNDUP(CB1089/BS1089,0)</f>
        <v>0</v>
      </c>
      <c r="CF1089" s="60" t="n">
        <f aca="false">IF(BT1089=1,0,IFERROR(VLOOKUP(BR1089,'Gebinde-Kategorie'!$A$5:$M$45,5,0)+0,0))</f>
        <v>21</v>
      </c>
      <c r="CG1089" s="60" t="n">
        <f aca="false">IFERROR(IF(OR(BX1089=1,BX1089=2,BX1089=3),N(INDEX(Parameter!$I$5:$I$7,BX1089)),0),0)</f>
        <v>0</v>
      </c>
      <c r="CH1089" s="59" t="n">
        <f aca="false">IF(AND(Parameter!$B$21="Ja",ISNUMBER(W1089),N(X1089)&gt;0),IFERROR(N(INDEX(Parameter!$L$5:$L$7,W1089))*INDEX(Parameter!$E$5:$E$7,W1089)*X1089/SUMIFS($X$7:$X$1843,$W$7:$W$1843,W1089),0),0)</f>
        <v>0</v>
      </c>
    </row>
    <row r="1090" customFormat="false" ht="15" hidden="false" customHeight="false" outlineLevel="0" collapsed="false">
      <c r="A1090" s="55" t="s">
        <v>1984</v>
      </c>
      <c r="B1090" s="55" t="s">
        <v>1743</v>
      </c>
      <c r="C1090" s="55" t="s">
        <v>164</v>
      </c>
      <c r="D1090" s="55" t="s">
        <v>184</v>
      </c>
      <c r="E1090" s="55"/>
      <c r="F1090" s="55" t="s">
        <v>218</v>
      </c>
      <c r="G1090" s="56" t="n">
        <v>6.33</v>
      </c>
      <c r="H1090" s="57" t="n">
        <f aca="false">MAX(0,IF(AND(Parameter!$B$21="Ja",ISNUMBER(Y1090)),Y1090,IF(Parameter!$B$20="Jahresanfang 2025 + Export",BL1090+BK1090,BK1090)))</f>
        <v>48</v>
      </c>
      <c r="I1090" s="57" t="n">
        <f aca="false">H1090*G1090</f>
        <v>303.84</v>
      </c>
      <c r="J1090" s="57" t="n">
        <f aca="false">BN1090*Parameter!$B$18</f>
        <v>26</v>
      </c>
      <c r="K1090" s="58" t="n">
        <v>66</v>
      </c>
      <c r="L1090" s="59" t="n">
        <v>0.393939393939394</v>
      </c>
      <c r="M1090" s="57" t="n">
        <v>1</v>
      </c>
      <c r="N1090" s="57" t="n">
        <v>25</v>
      </c>
      <c r="O1090" s="60" t="n">
        <v>14</v>
      </c>
      <c r="P1090" s="55" t="s">
        <v>401</v>
      </c>
      <c r="Q1090" s="57" t="n">
        <v>46</v>
      </c>
      <c r="R1090" s="60" t="n">
        <f aca="false">IF(BT1090=1,0,IFERROR(VLOOKUP(BR1090,'Gebinde-Kategorie'!$A$5:$M$45,13,0)+0,0))</f>
        <v>414</v>
      </c>
      <c r="S1090" s="61"/>
      <c r="T1090" s="62"/>
      <c r="U1090" s="62"/>
      <c r="V1090" s="62"/>
      <c r="W1090" s="55"/>
      <c r="X1090" s="57"/>
      <c r="Y1090" s="57"/>
      <c r="Z1090" s="55" t="n">
        <f aca="false">IF(A1090="","",IF(AND(Parameter!$B$21="Ja",ISNUMBER(W1090)),W1090,IF(BV1090="2+3",IF(ISNUMBER(SEARCH("grosser Artikel",BO1090)),2,IFERROR(VLOOKUP(BR1090,Parameter!$F$35:$G$64,2,0),2)),IF(OR(BV1090="Nein",BV1090=""),"-",BV1090))))</f>
        <v>3</v>
      </c>
      <c r="AA1090" s="62"/>
      <c r="AB1090" s="63"/>
      <c r="AC1090" s="57" t="n">
        <f aca="false">AR1090</f>
        <v>46</v>
      </c>
      <c r="AD1090" s="57" t="n">
        <f aca="false">MAX(AR1090,H1090)</f>
        <v>48</v>
      </c>
      <c r="AE1090" s="64"/>
      <c r="AF1090" s="57" t="n">
        <f aca="false">IF(LEFT(Cockpit!$C$5,1)="A",H1090,IF(CA1090=1,CB1090,IF(LEFT(Cockpit!$C$5,1)="B",AJ1090,MAX(AJ1090,H1090))))</f>
        <v>48</v>
      </c>
      <c r="AG1090" s="57" t="n">
        <f aca="false">IF(BT1090=1,0,ROUNDUP(AF1090/BS1090,0))</f>
        <v>2</v>
      </c>
      <c r="AH1090" s="59" t="n">
        <f aca="false">IF(CH1090&gt;0,CH1090*MAX(1,AF1090/X1090),IF(BT1090=1,IF(AF1090&lt;=0,0,BW1090*MAX(1,IF(H1090&gt;0,AF1090/H1090,1))),IF(R1090&gt;0,AG1090/R1090,0))/MAX(0.1,N(Parameter!$M$21)))</f>
        <v>0.00483091787439614</v>
      </c>
      <c r="AI1090" s="57" t="n">
        <f aca="false">AF1090*G1090</f>
        <v>303.84</v>
      </c>
      <c r="AJ1090" s="57" t="n">
        <f aca="false">ROUNDUP(MAX(J1090/IF(BZ1090&gt;0,BZ1090,MAX(0.1,N(Cockpit!$C$6))),CC1090)/BS1090,0)*BS1090</f>
        <v>46</v>
      </c>
      <c r="AK1090" s="58" t="n">
        <f aca="false">IF(AH1090&gt;0,J1090/AH1090,-1)</f>
        <v>5382</v>
      </c>
      <c r="AL1090" s="58" t="n">
        <f aca="false">IF(AND(OR(BY1090="L1",BY1090="L23"),AH1090&gt;0),SUMIFS($AH$7:$AH$1843,$BY$7:$BY$1843,BY1090,$AK$7:$AK$1843,"&gt;"&amp;AK1090)+SUMIFS($AH$7:$AH$1843,$BY$7:$BY$1843,BY1090,$AK$7:$AK$1843,AK1090,$BQ$7:$BQ$1843,"&lt;="&amp;BQ1090),"")</f>
        <v>6.80679706766663</v>
      </c>
      <c r="AM1090" s="65" t="n">
        <f aca="false">IF(AL1090="",0,MAX(0,MIN(1,(IF(BY1090="L1",Parameter!$E$5,Parameter!$E$6+Parameter!$E$7)-(AL1090-AH1090))/AH1090)))</f>
        <v>1</v>
      </c>
      <c r="AN1090" s="57" t="n">
        <f aca="false">IF(LEFT(Cockpit!$I$5,1)="A",H1090,IF(CA1090=1,CB1090,IF(LEFT(Cockpit!$I$5,1)="B",AR1090,MAX(AR1090,H1090))))</f>
        <v>48</v>
      </c>
      <c r="AO1090" s="57" t="n">
        <f aca="false">IF(BT1090=1,0,ROUNDUP(AN1090/BS1090,0))</f>
        <v>2</v>
      </c>
      <c r="AP1090" s="59" t="n">
        <f aca="false">IF(CH1090&gt;0,CH1090*MAX(1,AN1090/X1090),IF(BT1090=1,IF(AN1090&lt;=0,0,BW1090*MAX(1,IF(H1090&gt;0,AN1090/H1090,1))),IF(R1090&gt;0,AO1090/R1090,0))/MAX(0.1,N(Parameter!$M$21)))</f>
        <v>0.00483091787439614</v>
      </c>
      <c r="AQ1090" s="57" t="n">
        <f aca="false">AN1090*G1090</f>
        <v>303.84</v>
      </c>
      <c r="AR1090" s="57" t="n">
        <f aca="false">ROUNDUP(MAX(J1090/IF(BZ1090&gt;0,BZ1090,MAX(0.1,N(Cockpit!$I$6))),CC1090)/BS1090,0)*BS1090</f>
        <v>46</v>
      </c>
      <c r="AS1090" s="58" t="n">
        <f aca="false">IF(AP1090&gt;0,J1090/AP1090,-1)</f>
        <v>5382</v>
      </c>
      <c r="AT1090" s="58" t="n">
        <f aca="false">IF(AND(OR(BY1090="L1",BY1090="L23"),AP1090&gt;0),SUMIFS($AP$7:$AP$1843,$BY$7:$BY$1843,BY1090,$AS$7:$AS$1843,"&gt;"&amp;AS1090)+SUMIFS($AP$7:$AP$1843,$BY$7:$BY$1843,BY1090,$AS$7:$AS$1843,AS1090,$BQ$7:$BQ$1843,"&lt;="&amp;BQ1090),"")</f>
        <v>11.6366761258066</v>
      </c>
      <c r="AU1090" s="65" t="n">
        <f aca="false">IF(AT1090="",0,MAX(0,MIN(1,(IF(BY1090="L1",Parameter!$E$5,Parameter!$E$6+Parameter!$E$7)-(AT1090-AP1090))/AP1090)))</f>
        <v>1</v>
      </c>
      <c r="AV1090" s="57" t="n">
        <f aca="false">IF(LEFT(Cockpit!$O$5,1)="A",H1090,IF(CA1090=1,CB1090,IF(LEFT(Cockpit!$O$5,1)="B",AZ1090,MAX(AZ1090,H1090))))</f>
        <v>48</v>
      </c>
      <c r="AW1090" s="57" t="n">
        <f aca="false">IF(BT1090=1,0,ROUNDUP(AV1090/BS1090,0))</f>
        <v>2</v>
      </c>
      <c r="AX1090" s="59" t="n">
        <f aca="false">IF(CH1090&gt;0,CH1090*MAX(1,AV1090/X1090),IF(BT1090=1,IF(AV1090&lt;=0,0,BW1090*MAX(1,IF(H1090&gt;0,AV1090/H1090,1))),IF(R1090&gt;0,AW1090/R1090,0))/MAX(0.1,N(Parameter!$M$21)))</f>
        <v>0.00483091787439614</v>
      </c>
      <c r="AY1090" s="57" t="n">
        <f aca="false">AV1090*G1090</f>
        <v>303.84</v>
      </c>
      <c r="AZ1090" s="57" t="n">
        <f aca="false">ROUNDUP(MAX(J1090/IF(BZ1090&gt;0,BZ1090,MAX(0.1,N(Cockpit!$O$6))),CC1090)/BS1090,0)*BS1090</f>
        <v>46</v>
      </c>
      <c r="BA1090" s="58" t="n">
        <f aca="false">IF(AX1090&gt;0,J1090/AX1090,-1)</f>
        <v>5382</v>
      </c>
      <c r="BB1090" s="58" t="n">
        <f aca="false">IF(AND(OR(BY1090="L1",BY1090="L23"),AX1090&gt;0),SUMIFS($AX$7:$AX$1843,$BY$7:$BY$1843,BY1090,$BA$7:$BA$1843,"&gt;"&amp;BA1090)+SUMIFS($AX$7:$AX$1843,$BY$7:$BY$1843,BY1090,$BA$7:$BA$1843,BA1090,$BQ$7:$BQ$1843,"&lt;="&amp;BQ1090),"")</f>
        <v>10.357538596669</v>
      </c>
      <c r="BC1090" s="65" t="n">
        <f aca="false">IF(BB1090="",0,MAX(0,MIN(1,(IF(BY1090="L1",Parameter!$E$5,Parameter!$E$6+Parameter!$E$7)-(BB1090-AX1090))/AX1090)))</f>
        <v>1</v>
      </c>
      <c r="BD1090" s="55" t="str">
        <f aca="false">IF(AH1090&lt;=0,"",IF(BY1090="Aussen","Aussenlager",IF(BY1090="-","Nicht im Lift",IF(AM1090&gt;=1,"Lift",IF(AM1090&lt;=0,"Aussenlager","teilweise")))))</f>
        <v>Lift</v>
      </c>
      <c r="BE1090" s="55" t="str">
        <f aca="false">IF(AP1090&lt;=0,"",IF(BY1090="Aussen","Aussenlager",IF(BY1090="-","Nicht im Lift",IF(AU1090&gt;=1,"Lift",IF(AU1090&lt;=0,"Aussenlager","teilweise")))))</f>
        <v>Lift</v>
      </c>
      <c r="BF1090" s="55" t="str">
        <f aca="false">IF(AX1090&lt;=0,"",IF(BY1090="Aussen","Aussenlager",IF(BY1090="-","Nicht im Lift",IF(BC1090&gt;=1,"Lift",IF(BC1090&lt;=0,"Aussenlager","teilweise")))))</f>
        <v>Lift</v>
      </c>
      <c r="BG1090" s="55" t="str">
        <f aca="false">IF(A1090="","",IF(BP1090=1,"Neu; ","")&amp;IF(AND(BP1090=0,BK1090&lt;0),"negativer Bestand (Export "&amp;BK1090&amp;"); ","")&amp;IF(J1090&lt;=0,"Kein Verbrauch; ","")&amp;IF(CH1090&gt;0,"Lift "&amp;W1090&amp;" lt. Liftbericht (Fach "&amp;X1090&amp;" Stk); ",IF(BU1090=1,"Gebinde geschätzt ("&amp;T1090&amp;"); ",IF(BT1090=1,"Lose – Tablare geschätzt; ","")))&amp;IF(H1090&gt;AR1090,"Überbestand "&amp;ROUND(H1090-AR1090,0)&amp;" Stk / CHF "&amp;ROUND((H1090-AR1090)*G1090,0)&amp;"; ","")&amp;IF(AND(CA1090=1,CB1090&lt;CC1090),"MAX &lt; MB+LG; ","")&amp;IF(AND(CG1090&gt;0,CF1090*10&gt;CG1090),"zu hoch für Tablar; ","")&amp;IF(AND(BP1090=0,OR(CA1090=1,AA1090&lt;&gt;"",U1090&lt;&gt;"",V1090&lt;&gt;"",AB1090&lt;&gt;"")),"manuell übersteuert; ","")&amp;IF(AND(BT1090=0,R1090=0),"Gebinde unbekannt / Stellmass fehlt; ","")&amp;IF(AND(BT1090=0,N(V1090)&lt;=0,N(Q1090)&lt;=0),"Menge pro Gebinde fehlt (Ist = 1 Gebinde); ","")&amp;BO1090)</f>
        <v>negativer Bestand (Export -31); Überbestand 2 Stk / CHF 13; </v>
      </c>
      <c r="BH1090" s="55"/>
      <c r="BI1090" s="55"/>
      <c r="BJ1090" s="62"/>
      <c r="BK1090" s="57" t="n">
        <v>-31</v>
      </c>
      <c r="BL1090" s="57" t="n">
        <v>79</v>
      </c>
      <c r="BM1090" s="56" t="n">
        <v>-196.23</v>
      </c>
      <c r="BN1090" s="57" t="n">
        <v>26</v>
      </c>
      <c r="BO1090" s="55"/>
      <c r="BP1090" s="60" t="n">
        <v>0</v>
      </c>
      <c r="BQ1090" s="60" t="n">
        <v>1090</v>
      </c>
      <c r="BR1090" s="55" t="str">
        <f aca="false">IF(U1090&lt;&gt;"",UPPER(TRIM(U1090)),IF(BU1090=1,UPPER(VLOOKUP(T1090,Parameter!$I$27:$K$29,2,0)),IF(P1090="","LOSE",P1090)))</f>
        <v>S21</v>
      </c>
      <c r="BS1090" s="57" t="n">
        <f aca="false">IF(BR1090="LOSE",1,IF(N(V1090)&gt;0,V1090,IF(BU1090=1,MAX(1,N(VLOOKUP(T1090,Parameter!$I$27:$K$29,3,0)),H1090,N(N1090)),IF(N(Q1090)&gt;0,Q1090,MAX(1,H1090)))))</f>
        <v>46</v>
      </c>
      <c r="BT1090" s="60" t="n">
        <f aca="false">IF(BR1090="LOSE",1,0)</f>
        <v>0</v>
      </c>
      <c r="BU1090" s="60" t="n">
        <f aca="false">IF(AND(U1090="",OR(P1090="",P1090="LOSE"),T1090&lt;&gt;"",N(S1090)&lt;=0,ISNUMBER(MATCH(T1090,Parameter!$I$27:$I$29,0))),1,0)</f>
        <v>0</v>
      </c>
      <c r="BV1090" s="55" t="str">
        <f aca="false">IF(AND(Parameter!$B$19="Ja",E1090&lt;&gt;"",ISNUMBER(MATCH(E1090,Parameter!$I$35:$I$52,0))),VLOOKUP(E1090,Parameter!$I$35:$J$52,2,0),IFERROR(VLOOKUP(D1090,Parameter!$A$35:$C$64,2,0),"Nein"))</f>
        <v>2+3</v>
      </c>
      <c r="BW1090" s="59" t="n">
        <f aca="false">IF(BT1090=0,0,IF(N(S1090)&gt;0,S1090,IFERROR(VLOOKUP(D1090,Parameter!$A$35:$C$64,3,0)+0,0)))</f>
        <v>0</v>
      </c>
      <c r="BX1090" s="55" t="n">
        <f aca="false">IF(AA1090&lt;&gt;"",AA1090,Z1090)</f>
        <v>3</v>
      </c>
      <c r="BY1090" s="55" t="str">
        <f aca="false">IF(BX1090=1,"L1",IF(OR(BX1090=2,BX1090=3),"L23",IF(BX1090="Aussen","Aussen","-")))</f>
        <v>L23</v>
      </c>
      <c r="BZ1090" s="66" t="n">
        <f aca="false">IF(N(AB1090)&gt;0,AB1090,0)</f>
        <v>0</v>
      </c>
      <c r="CA1090" s="60" t="n">
        <f aca="false">IF(ISNUMBER(AE1090),1,0)</f>
        <v>0</v>
      </c>
      <c r="CB1090" s="57" t="n">
        <f aca="false">N(AE1090)</f>
        <v>0</v>
      </c>
      <c r="CC1090" s="57" t="n">
        <f aca="false">N(M1090)+N(N1090)</f>
        <v>26</v>
      </c>
      <c r="CD1090" s="57" t="n">
        <f aca="false">ROUNDUP(H1090/BS1090,0)</f>
        <v>2</v>
      </c>
      <c r="CE1090" s="57" t="n">
        <f aca="false">ROUNDUP(CB1090/BS1090,0)</f>
        <v>0</v>
      </c>
      <c r="CF1090" s="60" t="n">
        <f aca="false">IF(BT1090=1,0,IFERROR(VLOOKUP(BR1090,'Gebinde-Kategorie'!$A$5:$M$45,5,0)+0,0))</f>
        <v>8</v>
      </c>
      <c r="CG1090" s="60" t="n">
        <f aca="false">IFERROR(IF(OR(BX1090=1,BX1090=2,BX1090=3),N(INDEX(Parameter!$I$5:$I$7,BX1090)),0),0)</f>
        <v>0</v>
      </c>
      <c r="CH1090" s="59" t="n">
        <f aca="false">IF(AND(Parameter!$B$21="Ja",ISNUMBER(W1090),N(X1090)&gt;0),IFERROR(N(INDEX(Parameter!$L$5:$L$7,W1090))*INDEX(Parameter!$E$5:$E$7,W1090)*X1090/SUMIFS($X$7:$X$1843,$W$7:$W$1843,W1090),0),0)</f>
        <v>0</v>
      </c>
    </row>
    <row r="1091" customFormat="false" ht="15" hidden="false" customHeight="false" outlineLevel="0" collapsed="false">
      <c r="A1091" s="55" t="s">
        <v>1985</v>
      </c>
      <c r="B1091" s="55" t="s">
        <v>1986</v>
      </c>
      <c r="C1091" s="55" t="s">
        <v>164</v>
      </c>
      <c r="D1091" s="55" t="s">
        <v>184</v>
      </c>
      <c r="E1091" s="55"/>
      <c r="F1091" s="55" t="s">
        <v>218</v>
      </c>
      <c r="G1091" s="56" t="n">
        <v>6.34</v>
      </c>
      <c r="H1091" s="57" t="n">
        <f aca="false">MAX(0,IF(AND(Parameter!$B$21="Ja",ISNUMBER(Y1091)),Y1091,IF(Parameter!$B$20="Jahresanfang 2025 + Export",BL1091+BK1091,BK1091)))</f>
        <v>86</v>
      </c>
      <c r="I1091" s="57" t="n">
        <f aca="false">H1091*G1091</f>
        <v>545.24</v>
      </c>
      <c r="J1091" s="57" t="n">
        <f aca="false">BN1091*Parameter!$B$18</f>
        <v>12</v>
      </c>
      <c r="K1091" s="58" t="n">
        <v>108</v>
      </c>
      <c r="L1091" s="59" t="n">
        <v>0.111111111111111</v>
      </c>
      <c r="M1091" s="57" t="n">
        <v>0</v>
      </c>
      <c r="N1091" s="57" t="n">
        <v>10</v>
      </c>
      <c r="O1091" s="60" t="n">
        <v>21</v>
      </c>
      <c r="P1091" s="55" t="s">
        <v>168</v>
      </c>
      <c r="Q1091" s="57"/>
      <c r="R1091" s="60" t="n">
        <f aca="false">IF(BT1091=1,0,IFERROR(VLOOKUP(BR1091,'Gebinde-Kategorie'!$A$5:$M$45,13,0)+0,0))</f>
        <v>26</v>
      </c>
      <c r="S1091" s="61"/>
      <c r="T1091" s="62" t="s">
        <v>275</v>
      </c>
      <c r="U1091" s="62"/>
      <c r="V1091" s="62"/>
      <c r="W1091" s="55"/>
      <c r="X1091" s="57"/>
      <c r="Y1091" s="57"/>
      <c r="Z1091" s="55" t="n">
        <f aca="false">IF(A1091="","",IF(AND(Parameter!$B$21="Ja",ISNUMBER(W1091)),W1091,IF(BV1091="2+3",IF(ISNUMBER(SEARCH("grosser Artikel",BO1091)),2,IFERROR(VLOOKUP(BR1091,Parameter!$F$35:$G$64,2,0),2)),IF(OR(BV1091="Nein",BV1091=""),"-",BV1091))))</f>
        <v>3</v>
      </c>
      <c r="AA1091" s="62"/>
      <c r="AB1091" s="63"/>
      <c r="AC1091" s="57" t="n">
        <f aca="false">AR1091</f>
        <v>86</v>
      </c>
      <c r="AD1091" s="57" t="n">
        <f aca="false">MAX(AR1091,H1091)</f>
        <v>86</v>
      </c>
      <c r="AE1091" s="64"/>
      <c r="AF1091" s="57" t="n">
        <f aca="false">IF(LEFT(Cockpit!$C$5,1)="A",H1091,IF(CA1091=1,CB1091,IF(LEFT(Cockpit!$C$5,1)="B",AJ1091,MAX(AJ1091,H1091))))</f>
        <v>86</v>
      </c>
      <c r="AG1091" s="57" t="n">
        <f aca="false">IF(BT1091=1,0,ROUNDUP(AF1091/BS1091,0))</f>
        <v>1</v>
      </c>
      <c r="AH1091" s="59" t="n">
        <f aca="false">IF(CH1091&gt;0,CH1091*MAX(1,AF1091/X1091),IF(BT1091=1,IF(AF1091&lt;=0,0,BW1091*MAX(1,IF(H1091&gt;0,AF1091/H1091,1))),IF(R1091&gt;0,AG1091/R1091,0))/MAX(0.1,N(Parameter!$M$21)))</f>
        <v>0.0384615384615385</v>
      </c>
      <c r="AI1091" s="57" t="n">
        <f aca="false">AF1091*G1091</f>
        <v>545.24</v>
      </c>
      <c r="AJ1091" s="57" t="n">
        <f aca="false">ROUNDUP(MAX(J1091/IF(BZ1091&gt;0,BZ1091,MAX(0.1,N(Cockpit!$C$6))),CC1091)/BS1091,0)*BS1091</f>
        <v>86</v>
      </c>
      <c r="AK1091" s="58" t="n">
        <f aca="false">IF(AH1091&gt;0,J1091/AH1091,-1)</f>
        <v>312</v>
      </c>
      <c r="AL1091" s="58" t="n">
        <f aca="false">IF(AND(OR(BY1091="L1",BY1091="L23"),AH1091&gt;0),SUMIFS($AH$7:$AH$1843,$BY$7:$BY$1843,BY1091,$AK$7:$AK$1843,"&gt;"&amp;AK1091)+SUMIFS($AH$7:$AH$1843,$BY$7:$BY$1843,BY1091,$AK$7:$AK$1843,AK1091,$BQ$7:$BQ$1843,"&lt;="&amp;BQ1091),"")</f>
        <v>28.1900695922435</v>
      </c>
      <c r="AM1091" s="65" t="n">
        <f aca="false">IF(AL1091="",0,MAX(0,MIN(1,(IF(BY1091="L1",Parameter!$E$5,Parameter!$E$6+Parameter!$E$7)-(AL1091-AH1091))/AH1091)))</f>
        <v>1</v>
      </c>
      <c r="AN1091" s="57" t="n">
        <f aca="false">IF(LEFT(Cockpit!$I$5,1)="A",H1091,IF(CA1091=1,CB1091,IF(LEFT(Cockpit!$I$5,1)="B",AR1091,MAX(AR1091,H1091))))</f>
        <v>86</v>
      </c>
      <c r="AO1091" s="57" t="n">
        <f aca="false">IF(BT1091=1,0,ROUNDUP(AN1091/BS1091,0))</f>
        <v>1</v>
      </c>
      <c r="AP1091" s="59" t="n">
        <f aca="false">IF(CH1091&gt;0,CH1091*MAX(1,AN1091/X1091),IF(BT1091=1,IF(AN1091&lt;=0,0,BW1091*MAX(1,IF(H1091&gt;0,AN1091/H1091,1))),IF(R1091&gt;0,AO1091/R1091,0))/MAX(0.1,N(Parameter!$M$21)))</f>
        <v>0.0384615384615385</v>
      </c>
      <c r="AQ1091" s="57" t="n">
        <f aca="false">AN1091*G1091</f>
        <v>545.24</v>
      </c>
      <c r="AR1091" s="57" t="n">
        <f aca="false">ROUNDUP(MAX(J1091/IF(BZ1091&gt;0,BZ1091,MAX(0.1,N(Cockpit!$I$6))),CC1091)/BS1091,0)*BS1091</f>
        <v>86</v>
      </c>
      <c r="AS1091" s="58" t="n">
        <f aca="false">IF(AP1091&gt;0,J1091/AP1091,-1)</f>
        <v>312</v>
      </c>
      <c r="AT1091" s="58" t="n">
        <f aca="false">IF(AND(OR(BY1091="L1",BY1091="L23"),AP1091&gt;0),SUMIFS($AP$7:$AP$1843,$BY$7:$BY$1843,BY1091,$AS$7:$AS$1843,"&gt;"&amp;AS1091)+SUMIFS($AP$7:$AP$1843,$BY$7:$BY$1843,BY1091,$AS$7:$AS$1843,AS1091,$BQ$7:$BQ$1843,"&lt;="&amp;BQ1091),"")</f>
        <v>40.9906506536941</v>
      </c>
      <c r="AU1091" s="65" t="n">
        <f aca="false">IF(AT1091="",0,MAX(0,MIN(1,(IF(BY1091="L1",Parameter!$E$5,Parameter!$E$6+Parameter!$E$7)-(AT1091-AP1091))/AP1091)))</f>
        <v>1</v>
      </c>
      <c r="AV1091" s="57" t="n">
        <f aca="false">IF(LEFT(Cockpit!$O$5,1)="A",H1091,IF(CA1091=1,CB1091,IF(LEFT(Cockpit!$O$5,1)="B",AZ1091,MAX(AZ1091,H1091))))</f>
        <v>86</v>
      </c>
      <c r="AW1091" s="57" t="n">
        <f aca="false">IF(BT1091=1,0,ROUNDUP(AV1091/BS1091,0))</f>
        <v>1</v>
      </c>
      <c r="AX1091" s="59" t="n">
        <f aca="false">IF(CH1091&gt;0,CH1091*MAX(1,AV1091/X1091),IF(BT1091=1,IF(AV1091&lt;=0,0,BW1091*MAX(1,IF(H1091&gt;0,AV1091/H1091,1))),IF(R1091&gt;0,AW1091/R1091,0))/MAX(0.1,N(Parameter!$M$21)))</f>
        <v>0.0384615384615385</v>
      </c>
      <c r="AY1091" s="57" t="n">
        <f aca="false">AV1091*G1091</f>
        <v>545.24</v>
      </c>
      <c r="AZ1091" s="57" t="n">
        <f aca="false">ROUNDUP(MAX(J1091/IF(BZ1091&gt;0,BZ1091,MAX(0.1,N(Cockpit!$O$6))),CC1091)/BS1091,0)*BS1091</f>
        <v>86</v>
      </c>
      <c r="BA1091" s="58" t="n">
        <f aca="false">IF(AX1091&gt;0,J1091/AX1091,-1)</f>
        <v>312</v>
      </c>
      <c r="BB1091" s="58" t="n">
        <f aca="false">IF(AND(OR(BY1091="L1",BY1091="L23"),AX1091&gt;0),SUMIFS($AX$7:$AX$1843,$BY$7:$BY$1843,BY1091,$BA$7:$BA$1843,"&gt;"&amp;BA1091)+SUMIFS($AX$7:$AX$1843,$BY$7:$BY$1843,BY1091,$BA$7:$BA$1843,BA1091,$BQ$7:$BQ$1843,"&lt;="&amp;BQ1091),"")</f>
        <v>37.320487483531</v>
      </c>
      <c r="BC1091" s="65" t="n">
        <f aca="false">IF(BB1091="",0,MAX(0,MIN(1,(IF(BY1091="L1",Parameter!$E$5,Parameter!$E$6+Parameter!$E$7)-(BB1091-AX1091))/AX1091)))</f>
        <v>1</v>
      </c>
      <c r="BD1091" s="55" t="str">
        <f aca="false">IF(AH1091&lt;=0,"",IF(BY1091="Aussen","Aussenlager",IF(BY1091="-","Nicht im Lift",IF(AM1091&gt;=1,"Lift",IF(AM1091&lt;=0,"Aussenlager","teilweise")))))</f>
        <v>Lift</v>
      </c>
      <c r="BE1091" s="55" t="str">
        <f aca="false">IF(AP1091&lt;=0,"",IF(BY1091="Aussen","Aussenlager",IF(BY1091="-","Nicht im Lift",IF(AU1091&gt;=1,"Lift",IF(AU1091&lt;=0,"Aussenlager","teilweise")))))</f>
        <v>Lift</v>
      </c>
      <c r="BF1091" s="55" t="str">
        <f aca="false">IF(AX1091&lt;=0,"",IF(BY1091="Aussen","Aussenlager",IF(BY1091="-","Nicht im Lift",IF(BC1091&gt;=1,"Lift",IF(BC1091&lt;=0,"Aussenlager","teilweise")))))</f>
        <v>Lift</v>
      </c>
      <c r="BG1091" s="55" t="str">
        <f aca="false">IF(A1091="","",IF(BP1091=1,"Neu; ","")&amp;IF(AND(BP1091=0,BK1091&lt;0),"negativer Bestand (Export "&amp;BK1091&amp;"); ","")&amp;IF(J1091&lt;=0,"Kein Verbrauch; ","")&amp;IF(CH1091&gt;0,"Lift "&amp;W1091&amp;" lt. Liftbericht (Fach "&amp;X1091&amp;" Stk); ",IF(BU1091=1,"Gebinde geschätzt ("&amp;T1091&amp;"); ",IF(BT1091=1,"Lose – Tablare geschätzt; ","")))&amp;IF(H1091&gt;AR1091,"Überbestand "&amp;ROUND(H1091-AR1091,0)&amp;" Stk / CHF "&amp;ROUND((H1091-AR1091)*G1091,0)&amp;"; ","")&amp;IF(AND(CA1091=1,CB1091&lt;CC1091),"MAX &lt; MB+LG; ","")&amp;IF(AND(CG1091&gt;0,CF1091*10&gt;CG1091),"zu hoch für Tablar; ","")&amp;IF(AND(BP1091=0,OR(CA1091=1,AA1091&lt;&gt;"",U1091&lt;&gt;"",V1091&lt;&gt;"",AB1091&lt;&gt;"")),"manuell übersteuert; ","")&amp;IF(AND(BT1091=0,R1091=0),"Gebinde unbekannt / Stellmass fehlt; ","")&amp;IF(AND(BT1091=0,N(V1091)&lt;=0,N(Q1091)&lt;=0),"Menge pro Gebinde fehlt (Ist = 1 Gebinde); ","")&amp;BO1091)</f>
        <v>negativer Bestand (Export -31); Gebinde geschätzt (Klein); Menge pro Gebinde fehlt (Ist = 1 Gebinde); </v>
      </c>
      <c r="BH1091" s="55"/>
      <c r="BI1091" s="55"/>
      <c r="BJ1091" s="62"/>
      <c r="BK1091" s="57" t="n">
        <v>-31</v>
      </c>
      <c r="BL1091" s="57" t="n">
        <v>117</v>
      </c>
      <c r="BM1091" s="56" t="n">
        <v>-196.54</v>
      </c>
      <c r="BN1091" s="57" t="n">
        <v>12</v>
      </c>
      <c r="BO1091" s="55"/>
      <c r="BP1091" s="60" t="n">
        <v>0</v>
      </c>
      <c r="BQ1091" s="60" t="n">
        <v>1091</v>
      </c>
      <c r="BR1091" s="55" t="str">
        <f aca="false">IF(U1091&lt;&gt;"",UPPER(TRIM(U1091)),IF(BU1091=1,UPPER(VLOOKUP(T1091,Parameter!$I$27:$K$29,2,0)),IF(P1091="","LOSE",P1091)))</f>
        <v>S51</v>
      </c>
      <c r="BS1091" s="57" t="n">
        <f aca="false">IF(BR1091="LOSE",1,IF(N(V1091)&gt;0,V1091,IF(BU1091=1,MAX(1,N(VLOOKUP(T1091,Parameter!$I$27:$K$29,3,0)),H1091,N(N1091)),IF(N(Q1091)&gt;0,Q1091,MAX(1,H1091)))))</f>
        <v>86</v>
      </c>
      <c r="BT1091" s="60" t="n">
        <f aca="false">IF(BR1091="LOSE",1,0)</f>
        <v>0</v>
      </c>
      <c r="BU1091" s="60" t="n">
        <f aca="false">IF(AND(U1091="",OR(P1091="",P1091="LOSE"),T1091&lt;&gt;"",N(S1091)&lt;=0,ISNUMBER(MATCH(T1091,Parameter!$I$27:$I$29,0))),1,0)</f>
        <v>1</v>
      </c>
      <c r="BV1091" s="55" t="str">
        <f aca="false">IF(AND(Parameter!$B$19="Ja",E1091&lt;&gt;"",ISNUMBER(MATCH(E1091,Parameter!$I$35:$I$52,0))),VLOOKUP(E1091,Parameter!$I$35:$J$52,2,0),IFERROR(VLOOKUP(D1091,Parameter!$A$35:$C$64,2,0),"Nein"))</f>
        <v>2+3</v>
      </c>
      <c r="BW1091" s="59" t="n">
        <f aca="false">IF(BT1091=0,0,IF(N(S1091)&gt;0,S1091,IFERROR(VLOOKUP(D1091,Parameter!$A$35:$C$64,3,0)+0,0)))</f>
        <v>0</v>
      </c>
      <c r="BX1091" s="55" t="n">
        <f aca="false">IF(AA1091&lt;&gt;"",AA1091,Z1091)</f>
        <v>3</v>
      </c>
      <c r="BY1091" s="55" t="str">
        <f aca="false">IF(BX1091=1,"L1",IF(OR(BX1091=2,BX1091=3),"L23",IF(BX1091="Aussen","Aussen","-")))</f>
        <v>L23</v>
      </c>
      <c r="BZ1091" s="66" t="n">
        <f aca="false">IF(N(AB1091)&gt;0,AB1091,0)</f>
        <v>0</v>
      </c>
      <c r="CA1091" s="60" t="n">
        <f aca="false">IF(ISNUMBER(AE1091),1,0)</f>
        <v>0</v>
      </c>
      <c r="CB1091" s="57" t="n">
        <f aca="false">N(AE1091)</f>
        <v>0</v>
      </c>
      <c r="CC1091" s="57" t="n">
        <f aca="false">N(M1091)+N(N1091)</f>
        <v>10</v>
      </c>
      <c r="CD1091" s="57" t="n">
        <f aca="false">ROUNDUP(H1091/BS1091,0)</f>
        <v>1</v>
      </c>
      <c r="CE1091" s="57" t="n">
        <f aca="false">ROUNDUP(CB1091/BS1091,0)</f>
        <v>0</v>
      </c>
      <c r="CF1091" s="60" t="n">
        <f aca="false">IF(BT1091=1,0,IFERROR(VLOOKUP(BR1091,'Gebinde-Kategorie'!$A$5:$M$45,5,0)+0,0))</f>
        <v>11</v>
      </c>
      <c r="CG1091" s="60" t="n">
        <f aca="false">IFERROR(IF(OR(BX1091=1,BX1091=2,BX1091=3),N(INDEX(Parameter!$I$5:$I$7,BX1091)),0),0)</f>
        <v>0</v>
      </c>
      <c r="CH1091" s="59" t="n">
        <f aca="false">IF(AND(Parameter!$B$21="Ja",ISNUMBER(W1091),N(X1091)&gt;0),IFERROR(N(INDEX(Parameter!$L$5:$L$7,W1091))*INDEX(Parameter!$E$5:$E$7,W1091)*X1091/SUMIFS($X$7:$X$1843,$W$7:$W$1843,W1091),0),0)</f>
        <v>0</v>
      </c>
    </row>
    <row r="1092" customFormat="false" ht="15" hidden="false" customHeight="false" outlineLevel="0" collapsed="false">
      <c r="A1092" s="55" t="s">
        <v>1987</v>
      </c>
      <c r="B1092" s="55" t="s">
        <v>855</v>
      </c>
      <c r="C1092" s="55" t="s">
        <v>164</v>
      </c>
      <c r="D1092" s="55" t="s">
        <v>184</v>
      </c>
      <c r="E1092" s="55"/>
      <c r="F1092" s="55" t="s">
        <v>218</v>
      </c>
      <c r="G1092" s="56" t="n">
        <v>0.27</v>
      </c>
      <c r="H1092" s="57" t="n">
        <f aca="false">MAX(0,IF(AND(Parameter!$B$21="Ja",ISNUMBER(Y1092)),Y1092,IF(Parameter!$B$20="Jahresanfang 2025 + Export",BL1092+BK1092,BK1092)))</f>
        <v>0</v>
      </c>
      <c r="I1092" s="57" t="n">
        <f aca="false">H1092*G1092</f>
        <v>0</v>
      </c>
      <c r="J1092" s="57" t="n">
        <f aca="false">BN1092*Parameter!$B$18</f>
        <v>735</v>
      </c>
      <c r="K1092" s="58" t="n">
        <v>367.5</v>
      </c>
      <c r="L1092" s="59" t="n">
        <v>2</v>
      </c>
      <c r="M1092" s="57" t="n">
        <v>0</v>
      </c>
      <c r="N1092" s="57" t="n">
        <v>100</v>
      </c>
      <c r="O1092" s="60" t="n">
        <v>14</v>
      </c>
      <c r="P1092" s="55" t="s">
        <v>168</v>
      </c>
      <c r="Q1092" s="57"/>
      <c r="R1092" s="60" t="n">
        <f aca="false">IF(BT1092=1,0,IFERROR(VLOOKUP(BR1092,'Gebinde-Kategorie'!$A$5:$M$45,13,0)+0,0))</f>
        <v>26</v>
      </c>
      <c r="S1092" s="61"/>
      <c r="T1092" s="62" t="s">
        <v>275</v>
      </c>
      <c r="U1092" s="62"/>
      <c r="V1092" s="62"/>
      <c r="W1092" s="55"/>
      <c r="X1092" s="57"/>
      <c r="Y1092" s="57"/>
      <c r="Z1092" s="55" t="n">
        <f aca="false">IF(A1092="","",IF(AND(Parameter!$B$21="Ja",ISNUMBER(W1092)),W1092,IF(BV1092="2+3",IF(ISNUMBER(SEARCH("grosser Artikel",BO1092)),2,IFERROR(VLOOKUP(BR1092,Parameter!$F$35:$G$64,2,0),2)),IF(OR(BV1092="Nein",BV1092=""),"-",BV1092))))</f>
        <v>3</v>
      </c>
      <c r="AA1092" s="62"/>
      <c r="AB1092" s="63"/>
      <c r="AC1092" s="57" t="n">
        <f aca="false">AR1092</f>
        <v>400</v>
      </c>
      <c r="AD1092" s="57" t="n">
        <f aca="false">MAX(AR1092,H1092)</f>
        <v>400</v>
      </c>
      <c r="AE1092" s="64"/>
      <c r="AF1092" s="57" t="n">
        <f aca="false">IF(LEFT(Cockpit!$C$5,1)="A",H1092,IF(CA1092=1,CB1092,IF(LEFT(Cockpit!$C$5,1)="B",AJ1092,MAX(AJ1092,H1092))))</f>
        <v>0</v>
      </c>
      <c r="AG1092" s="57" t="n">
        <f aca="false">IF(BT1092=1,0,ROUNDUP(AF1092/BS1092,0))</f>
        <v>0</v>
      </c>
      <c r="AH1092" s="59" t="n">
        <f aca="false">IF(CH1092&gt;0,CH1092*MAX(1,AF1092/X1092),IF(BT1092=1,IF(AF1092&lt;=0,0,BW1092*MAX(1,IF(H1092&gt;0,AF1092/H1092,1))),IF(R1092&gt;0,AG1092/R1092,0))/MAX(0.1,N(Parameter!$M$21)))</f>
        <v>0</v>
      </c>
      <c r="AI1092" s="57" t="n">
        <f aca="false">AF1092*G1092</f>
        <v>0</v>
      </c>
      <c r="AJ1092" s="57" t="n">
        <f aca="false">ROUNDUP(MAX(J1092/IF(BZ1092&gt;0,BZ1092,MAX(0.1,N(Cockpit!$C$6))),CC1092)/BS1092,0)*BS1092</f>
        <v>400</v>
      </c>
      <c r="AK1092" s="58" t="n">
        <f aca="false">IF(AH1092&gt;0,J1092/AH1092,-1)</f>
        <v>-1</v>
      </c>
      <c r="AL1092" s="58" t="str">
        <f aca="false">IF(AND(OR(BY1092="L1",BY1092="L23"),AH1092&gt;0),SUMIFS($AH$7:$AH$1843,$BY$7:$BY$1843,BY1092,$AK$7:$AK$1843,"&gt;"&amp;AK1092)+SUMIFS($AH$7:$AH$1843,$BY$7:$BY$1843,BY1092,$AK$7:$AK$1843,AK1092,$BQ$7:$BQ$1843,"&lt;="&amp;BQ1092),"")</f>
        <v/>
      </c>
      <c r="AM1092" s="65" t="n">
        <f aca="false">IF(AL1092="",0,MAX(0,MIN(1,(IF(BY1092="L1",Parameter!$E$5,Parameter!$E$6+Parameter!$E$7)-(AL1092-AH1092))/AH1092)))</f>
        <v>0</v>
      </c>
      <c r="AN1092" s="57" t="n">
        <f aca="false">IF(LEFT(Cockpit!$I$5,1)="A",H1092,IF(CA1092=1,CB1092,IF(LEFT(Cockpit!$I$5,1)="B",AR1092,MAX(AR1092,H1092))))</f>
        <v>400</v>
      </c>
      <c r="AO1092" s="57" t="n">
        <f aca="false">IF(BT1092=1,0,ROUNDUP(AN1092/BS1092,0))</f>
        <v>4</v>
      </c>
      <c r="AP1092" s="59" t="n">
        <f aca="false">IF(CH1092&gt;0,CH1092*MAX(1,AN1092/X1092),IF(BT1092=1,IF(AN1092&lt;=0,0,BW1092*MAX(1,IF(H1092&gt;0,AN1092/H1092,1))),IF(R1092&gt;0,AO1092/R1092,0))/MAX(0.1,N(Parameter!$M$21)))</f>
        <v>0.153846153846154</v>
      </c>
      <c r="AQ1092" s="57" t="n">
        <f aca="false">AN1092*G1092</f>
        <v>108</v>
      </c>
      <c r="AR1092" s="57" t="n">
        <f aca="false">ROUNDUP(MAX(J1092/IF(BZ1092&gt;0,BZ1092,MAX(0.1,N(Cockpit!$I$6))),CC1092)/BS1092,0)*BS1092</f>
        <v>400</v>
      </c>
      <c r="AS1092" s="58" t="n">
        <f aca="false">IF(AP1092&gt;0,J1092/AP1092,-1)</f>
        <v>4777.5</v>
      </c>
      <c r="AT1092" s="58" t="n">
        <f aca="false">IF(AND(OR(BY1092="L1",BY1092="L23"),AP1092&gt;0),SUMIFS($AP$7:$AP$1843,$BY$7:$BY$1843,BY1092,$AS$7:$AS$1843,"&gt;"&amp;AS1092)+SUMIFS($AP$7:$AP$1843,$BY$7:$BY$1843,BY1092,$AS$7:$AS$1843,AS1092,$BQ$7:$BQ$1843,"&lt;="&amp;BQ1092),"")</f>
        <v>12.6524103915408</v>
      </c>
      <c r="AU1092" s="65" t="n">
        <f aca="false">IF(AT1092="",0,MAX(0,MIN(1,(IF(BY1092="L1",Parameter!$E$5,Parameter!$E$6+Parameter!$E$7)-(AT1092-AP1092))/AP1092)))</f>
        <v>1</v>
      </c>
      <c r="AV1092" s="57" t="n">
        <f aca="false">IF(LEFT(Cockpit!$O$5,1)="A",H1092,IF(CA1092=1,CB1092,IF(LEFT(Cockpit!$O$5,1)="B",AZ1092,MAX(AZ1092,H1092))))</f>
        <v>300</v>
      </c>
      <c r="AW1092" s="57" t="n">
        <f aca="false">IF(BT1092=1,0,ROUNDUP(AV1092/BS1092,0))</f>
        <v>3</v>
      </c>
      <c r="AX1092" s="59" t="n">
        <f aca="false">IF(CH1092&gt;0,CH1092*MAX(1,AV1092/X1092),IF(BT1092=1,IF(AV1092&lt;=0,0,BW1092*MAX(1,IF(H1092&gt;0,AV1092/H1092,1))),IF(R1092&gt;0,AW1092/R1092,0))/MAX(0.1,N(Parameter!$M$21)))</f>
        <v>0.115384615384615</v>
      </c>
      <c r="AY1092" s="57" t="n">
        <f aca="false">AV1092*G1092</f>
        <v>81</v>
      </c>
      <c r="AZ1092" s="57" t="n">
        <f aca="false">ROUNDUP(MAX(J1092/IF(BZ1092&gt;0,BZ1092,MAX(0.1,N(Cockpit!$O$6))),CC1092)/BS1092,0)*BS1092</f>
        <v>300</v>
      </c>
      <c r="BA1092" s="58" t="n">
        <f aca="false">IF(AX1092&gt;0,J1092/AX1092,-1)</f>
        <v>6370</v>
      </c>
      <c r="BB1092" s="58" t="n">
        <f aca="false">IF(AND(OR(BY1092="L1",BY1092="L23"),AX1092&gt;0),SUMIFS($AX$7:$AX$1843,$BY$7:$BY$1843,BY1092,$BA$7:$BA$1843,"&gt;"&amp;BA1092)+SUMIFS($AX$7:$AX$1843,$BY$7:$BY$1843,BY1092,$BA$7:$BA$1843,BA1092,$BQ$7:$BQ$1843,"&lt;="&amp;BQ1092),"")</f>
        <v>9.67838079794602</v>
      </c>
      <c r="BC1092" s="65" t="n">
        <f aca="false">IF(BB1092="",0,MAX(0,MIN(1,(IF(BY1092="L1",Parameter!$E$5,Parameter!$E$6+Parameter!$E$7)-(BB1092-AX1092))/AX1092)))</f>
        <v>1</v>
      </c>
      <c r="BD1092" s="55" t="str">
        <f aca="false">IF(AH1092&lt;=0,"",IF(BY1092="Aussen","Aussenlager",IF(BY1092="-","Nicht im Lift",IF(AM1092&gt;=1,"Lift",IF(AM1092&lt;=0,"Aussenlager","teilweise")))))</f>
        <v/>
      </c>
      <c r="BE1092" s="55" t="str">
        <f aca="false">IF(AP1092&lt;=0,"",IF(BY1092="Aussen","Aussenlager",IF(BY1092="-","Nicht im Lift",IF(AU1092&gt;=1,"Lift",IF(AU1092&lt;=0,"Aussenlager","teilweise")))))</f>
        <v>Lift</v>
      </c>
      <c r="BF1092" s="55" t="str">
        <f aca="false">IF(AX1092&lt;=0,"",IF(BY1092="Aussen","Aussenlager",IF(BY1092="-","Nicht im Lift",IF(BC1092&gt;=1,"Lift",IF(BC1092&lt;=0,"Aussenlager","teilweise")))))</f>
        <v>Lift</v>
      </c>
      <c r="BG1092" s="55" t="str">
        <f aca="false">IF(A1092="","",IF(BP1092=1,"Neu; ","")&amp;IF(AND(BP1092=0,BK1092&lt;0),"negativer Bestand (Export "&amp;BK1092&amp;"); ","")&amp;IF(J1092&lt;=0,"Kein Verbrauch; ","")&amp;IF(CH1092&gt;0,"Lift "&amp;W1092&amp;" lt. Liftbericht (Fach "&amp;X1092&amp;" Stk); ",IF(BU1092=1,"Gebinde geschätzt ("&amp;T1092&amp;"); ",IF(BT1092=1,"Lose – Tablare geschätzt; ","")))&amp;IF(H1092&gt;AR1092,"Überbestand "&amp;ROUND(H1092-AR1092,0)&amp;" Stk / CHF "&amp;ROUND((H1092-AR1092)*G1092,0)&amp;"; ","")&amp;IF(AND(CA1092=1,CB1092&lt;CC1092),"MAX &lt; MB+LG; ","")&amp;IF(AND(CG1092&gt;0,CF1092*10&gt;CG1092),"zu hoch für Tablar; ","")&amp;IF(AND(BP1092=0,OR(CA1092=1,AA1092&lt;&gt;"",U1092&lt;&gt;"",V1092&lt;&gt;"",AB1092&lt;&gt;"")),"manuell übersteuert; ","")&amp;IF(AND(BT1092=0,R1092=0),"Gebinde unbekannt / Stellmass fehlt; ","")&amp;IF(AND(BT1092=0,N(V1092)&lt;=0,N(Q1092)&lt;=0),"Menge pro Gebinde fehlt (Ist = 1 Gebinde); ","")&amp;BO1092)</f>
        <v>negativer Bestand (Export -735); Gebinde geschätzt (Klein); Menge pro Gebinde fehlt (Ist = 1 Gebinde); </v>
      </c>
      <c r="BH1092" s="55"/>
      <c r="BI1092" s="55"/>
      <c r="BJ1092" s="62"/>
      <c r="BK1092" s="57" t="n">
        <v>-735</v>
      </c>
      <c r="BL1092" s="57" t="n">
        <v>735</v>
      </c>
      <c r="BM1092" s="56" t="n">
        <v>-198.45</v>
      </c>
      <c r="BN1092" s="57" t="n">
        <v>735</v>
      </c>
      <c r="BO1092" s="55"/>
      <c r="BP1092" s="60" t="n">
        <v>0</v>
      </c>
      <c r="BQ1092" s="60" t="n">
        <v>1092</v>
      </c>
      <c r="BR1092" s="55" t="str">
        <f aca="false">IF(U1092&lt;&gt;"",UPPER(TRIM(U1092)),IF(BU1092=1,UPPER(VLOOKUP(T1092,Parameter!$I$27:$K$29,2,0)),IF(P1092="","LOSE",P1092)))</f>
        <v>S51</v>
      </c>
      <c r="BS1092" s="57" t="n">
        <f aca="false">IF(BR1092="LOSE",1,IF(N(V1092)&gt;0,V1092,IF(BU1092=1,MAX(1,N(VLOOKUP(T1092,Parameter!$I$27:$K$29,3,0)),H1092,N(N1092)),IF(N(Q1092)&gt;0,Q1092,MAX(1,H1092)))))</f>
        <v>100</v>
      </c>
      <c r="BT1092" s="60" t="n">
        <f aca="false">IF(BR1092="LOSE",1,0)</f>
        <v>0</v>
      </c>
      <c r="BU1092" s="60" t="n">
        <f aca="false">IF(AND(U1092="",OR(P1092="",P1092="LOSE"),T1092&lt;&gt;"",N(S1092)&lt;=0,ISNUMBER(MATCH(T1092,Parameter!$I$27:$I$29,0))),1,0)</f>
        <v>1</v>
      </c>
      <c r="BV1092" s="55" t="str">
        <f aca="false">IF(AND(Parameter!$B$19="Ja",E1092&lt;&gt;"",ISNUMBER(MATCH(E1092,Parameter!$I$35:$I$52,0))),VLOOKUP(E1092,Parameter!$I$35:$J$52,2,0),IFERROR(VLOOKUP(D1092,Parameter!$A$35:$C$64,2,0),"Nein"))</f>
        <v>2+3</v>
      </c>
      <c r="BW1092" s="59" t="n">
        <f aca="false">IF(BT1092=0,0,IF(N(S1092)&gt;0,S1092,IFERROR(VLOOKUP(D1092,Parameter!$A$35:$C$64,3,0)+0,0)))</f>
        <v>0</v>
      </c>
      <c r="BX1092" s="55" t="n">
        <f aca="false">IF(AA1092&lt;&gt;"",AA1092,Z1092)</f>
        <v>3</v>
      </c>
      <c r="BY1092" s="55" t="str">
        <f aca="false">IF(BX1092=1,"L1",IF(OR(BX1092=2,BX1092=3),"L23",IF(BX1092="Aussen","Aussen","-")))</f>
        <v>L23</v>
      </c>
      <c r="BZ1092" s="66" t="n">
        <f aca="false">IF(N(AB1092)&gt;0,AB1092,0)</f>
        <v>0</v>
      </c>
      <c r="CA1092" s="60" t="n">
        <f aca="false">IF(ISNUMBER(AE1092),1,0)</f>
        <v>0</v>
      </c>
      <c r="CB1092" s="57" t="n">
        <f aca="false">N(AE1092)</f>
        <v>0</v>
      </c>
      <c r="CC1092" s="57" t="n">
        <f aca="false">N(M1092)+N(N1092)</f>
        <v>100</v>
      </c>
      <c r="CD1092" s="57" t="n">
        <f aca="false">ROUNDUP(H1092/BS1092,0)</f>
        <v>0</v>
      </c>
      <c r="CE1092" s="57" t="n">
        <f aca="false">ROUNDUP(CB1092/BS1092,0)</f>
        <v>0</v>
      </c>
      <c r="CF1092" s="60" t="n">
        <f aca="false">IF(BT1092=1,0,IFERROR(VLOOKUP(BR1092,'Gebinde-Kategorie'!$A$5:$M$45,5,0)+0,0))</f>
        <v>11</v>
      </c>
      <c r="CG1092" s="60" t="n">
        <f aca="false">IFERROR(IF(OR(BX1092=1,BX1092=2,BX1092=3),N(INDEX(Parameter!$I$5:$I$7,BX1092)),0),0)</f>
        <v>0</v>
      </c>
      <c r="CH1092" s="59" t="n">
        <f aca="false">IF(AND(Parameter!$B$21="Ja",ISNUMBER(W1092),N(X1092)&gt;0),IFERROR(N(INDEX(Parameter!$L$5:$L$7,W1092))*INDEX(Parameter!$E$5:$E$7,W1092)*X1092/SUMIFS($X$7:$X$1843,$W$7:$W$1843,W1092),0),0)</f>
        <v>0</v>
      </c>
    </row>
    <row r="1093" customFormat="false" ht="15" hidden="false" customHeight="false" outlineLevel="0" collapsed="false">
      <c r="A1093" s="55" t="s">
        <v>1988</v>
      </c>
      <c r="B1093" s="55" t="s">
        <v>1989</v>
      </c>
      <c r="C1093" s="55" t="s">
        <v>164</v>
      </c>
      <c r="D1093" s="55" t="s">
        <v>184</v>
      </c>
      <c r="E1093" s="55" t="s">
        <v>185</v>
      </c>
      <c r="F1093" s="55" t="s">
        <v>218</v>
      </c>
      <c r="G1093" s="56" t="n">
        <v>74.34</v>
      </c>
      <c r="H1093" s="57" t="n">
        <f aca="false">MAX(0,IF(AND(Parameter!$B$21="Ja",ISNUMBER(Y1093)),Y1093,IF(Parameter!$B$20="Jahresanfang 2025 + Export",BL1093+BK1093,BK1093)))</f>
        <v>4</v>
      </c>
      <c r="I1093" s="57" t="n">
        <f aca="false">H1093*G1093</f>
        <v>297.36</v>
      </c>
      <c r="J1093" s="57" t="n">
        <f aca="false">BN1093*Parameter!$B$18</f>
        <v>4</v>
      </c>
      <c r="K1093" s="58" t="n">
        <v>5</v>
      </c>
      <c r="L1093" s="59" t="n">
        <v>0.8</v>
      </c>
      <c r="M1093" s="57" t="n">
        <v>0</v>
      </c>
      <c r="N1093" s="57" t="n">
        <v>5</v>
      </c>
      <c r="O1093" s="60" t="n">
        <v>21</v>
      </c>
      <c r="P1093" s="55" t="s">
        <v>421</v>
      </c>
      <c r="Q1093" s="57" t="n">
        <v>4</v>
      </c>
      <c r="R1093" s="60" t="n">
        <f aca="false">IF(BT1093=1,0,IFERROR(VLOOKUP(BR1093,'Gebinde-Kategorie'!$A$5:$M$45,13,0)+0,0))</f>
        <v>132</v>
      </c>
      <c r="S1093" s="61"/>
      <c r="T1093" s="62"/>
      <c r="U1093" s="62"/>
      <c r="V1093" s="62"/>
      <c r="W1093" s="55"/>
      <c r="X1093" s="57"/>
      <c r="Y1093" s="57"/>
      <c r="Z1093" s="55" t="n">
        <f aca="false">IF(A1093="","",IF(AND(Parameter!$B$21="Ja",ISNUMBER(W1093)),W1093,IF(BV1093="2+3",IF(ISNUMBER(SEARCH("grosser Artikel",BO1093)),2,IFERROR(VLOOKUP(BR1093,Parameter!$F$35:$G$64,2,0),2)),IF(OR(BV1093="Nein",BV1093=""),"-",BV1093))))</f>
        <v>3</v>
      </c>
      <c r="AA1093" s="62"/>
      <c r="AB1093" s="63"/>
      <c r="AC1093" s="57" t="n">
        <f aca="false">AR1093</f>
        <v>8</v>
      </c>
      <c r="AD1093" s="57" t="n">
        <f aca="false">MAX(AR1093,H1093)</f>
        <v>8</v>
      </c>
      <c r="AE1093" s="64"/>
      <c r="AF1093" s="57" t="n">
        <f aca="false">IF(LEFT(Cockpit!$C$5,1)="A",H1093,IF(CA1093=1,CB1093,IF(LEFT(Cockpit!$C$5,1)="B",AJ1093,MAX(AJ1093,H1093))))</f>
        <v>4</v>
      </c>
      <c r="AG1093" s="57" t="n">
        <f aca="false">IF(BT1093=1,0,ROUNDUP(AF1093/BS1093,0))</f>
        <v>1</v>
      </c>
      <c r="AH1093" s="59" t="n">
        <f aca="false">IF(CH1093&gt;0,CH1093*MAX(1,AF1093/X1093),IF(BT1093=1,IF(AF1093&lt;=0,0,BW1093*MAX(1,IF(H1093&gt;0,AF1093/H1093,1))),IF(R1093&gt;0,AG1093/R1093,0))/MAX(0.1,N(Parameter!$M$21)))</f>
        <v>0.00757575757575758</v>
      </c>
      <c r="AI1093" s="57" t="n">
        <f aca="false">AF1093*G1093</f>
        <v>297.36</v>
      </c>
      <c r="AJ1093" s="57" t="n">
        <f aca="false">ROUNDUP(MAX(J1093/IF(BZ1093&gt;0,BZ1093,MAX(0.1,N(Cockpit!$C$6))),CC1093)/BS1093,0)*BS1093</f>
        <v>8</v>
      </c>
      <c r="AK1093" s="58" t="n">
        <f aca="false">IF(AH1093&gt;0,J1093/AH1093,-1)</f>
        <v>528</v>
      </c>
      <c r="AL1093" s="58" t="n">
        <f aca="false">IF(AND(OR(BY1093="L1",BY1093="L23"),AH1093&gt;0),SUMIFS($AH$7:$AH$1843,$BY$7:$BY$1843,BY1093,$AK$7:$AK$1843,"&gt;"&amp;AK1093)+SUMIFS($AH$7:$AH$1843,$BY$7:$BY$1843,BY1093,$AK$7:$AK$1843,AK1093,$BQ$7:$BQ$1843,"&lt;="&amp;BQ1093),"")</f>
        <v>23.7995337995338</v>
      </c>
      <c r="AM1093" s="65" t="n">
        <f aca="false">IF(AL1093="",0,MAX(0,MIN(1,(IF(BY1093="L1",Parameter!$E$5,Parameter!$E$6+Parameter!$E$7)-(AL1093-AH1093))/AH1093)))</f>
        <v>1</v>
      </c>
      <c r="AN1093" s="57" t="n">
        <f aca="false">IF(LEFT(Cockpit!$I$5,1)="A",H1093,IF(CA1093=1,CB1093,IF(LEFT(Cockpit!$I$5,1)="B",AR1093,MAX(AR1093,H1093))))</f>
        <v>8</v>
      </c>
      <c r="AO1093" s="57" t="n">
        <f aca="false">IF(BT1093=1,0,ROUNDUP(AN1093/BS1093,0))</f>
        <v>2</v>
      </c>
      <c r="AP1093" s="59" t="n">
        <f aca="false">IF(CH1093&gt;0,CH1093*MAX(1,AN1093/X1093),IF(BT1093=1,IF(AN1093&lt;=0,0,BW1093*MAX(1,IF(H1093&gt;0,AN1093/H1093,1))),IF(R1093&gt;0,AO1093/R1093,0))/MAX(0.1,N(Parameter!$M$21)))</f>
        <v>0.0151515151515152</v>
      </c>
      <c r="AQ1093" s="57" t="n">
        <f aca="false">AN1093*G1093</f>
        <v>594.72</v>
      </c>
      <c r="AR1093" s="57" t="n">
        <f aca="false">ROUNDUP(MAX(J1093/IF(BZ1093&gt;0,BZ1093,MAX(0.1,N(Cockpit!$I$6))),CC1093)/BS1093,0)*BS1093</f>
        <v>8</v>
      </c>
      <c r="AS1093" s="58" t="n">
        <f aca="false">IF(AP1093&gt;0,J1093/AP1093,-1)</f>
        <v>264</v>
      </c>
      <c r="AT1093" s="58" t="n">
        <f aca="false">IF(AND(OR(BY1093="L1",BY1093="L23"),AP1093&gt;0),SUMIFS($AP$7:$AP$1843,$BY$7:$BY$1843,BY1093,$AS$7:$AS$1843,"&gt;"&amp;AS1093)+SUMIFS($AP$7:$AP$1843,$BY$7:$BY$1843,BY1093,$AS$7:$AS$1843,AS1093,$BQ$7:$BQ$1843,"&lt;="&amp;BQ1093),"")</f>
        <v>42.3356389986825</v>
      </c>
      <c r="AU1093" s="65" t="n">
        <f aca="false">IF(AT1093="",0,MAX(0,MIN(1,(IF(BY1093="L1",Parameter!$E$5,Parameter!$E$6+Parameter!$E$7)-(AT1093-AP1093))/AP1093)))</f>
        <v>1</v>
      </c>
      <c r="AV1093" s="57" t="n">
        <f aca="false">IF(LEFT(Cockpit!$O$5,1)="A",H1093,IF(CA1093=1,CB1093,IF(LEFT(Cockpit!$O$5,1)="B",AZ1093,MAX(AZ1093,H1093))))</f>
        <v>8</v>
      </c>
      <c r="AW1093" s="57" t="n">
        <f aca="false">IF(BT1093=1,0,ROUNDUP(AV1093/BS1093,0))</f>
        <v>2</v>
      </c>
      <c r="AX1093" s="59" t="n">
        <f aca="false">IF(CH1093&gt;0,CH1093*MAX(1,AV1093/X1093),IF(BT1093=1,IF(AV1093&lt;=0,0,BW1093*MAX(1,IF(H1093&gt;0,AV1093/H1093,1))),IF(R1093&gt;0,AW1093/R1093,0))/MAX(0.1,N(Parameter!$M$21)))</f>
        <v>0.0151515151515152</v>
      </c>
      <c r="AY1093" s="57" t="n">
        <f aca="false">AV1093*G1093</f>
        <v>594.72</v>
      </c>
      <c r="AZ1093" s="57" t="n">
        <f aca="false">ROUNDUP(MAX(J1093/IF(BZ1093&gt;0,BZ1093,MAX(0.1,N(Cockpit!$O$6))),CC1093)/BS1093,0)*BS1093</f>
        <v>8</v>
      </c>
      <c r="BA1093" s="58" t="n">
        <f aca="false">IF(AX1093&gt;0,J1093/AX1093,-1)</f>
        <v>264</v>
      </c>
      <c r="BB1093" s="58" t="n">
        <f aca="false">IF(AND(OR(BY1093="L1",BY1093="L23"),AX1093&gt;0),SUMIFS($AX$7:$AX$1843,$BY$7:$BY$1843,BY1093,$BA$7:$BA$1843,"&gt;"&amp;BA1093)+SUMIFS($AX$7:$AX$1843,$BY$7:$BY$1843,BY1093,$BA$7:$BA$1843,BA1093,$BQ$7:$BQ$1843,"&lt;="&amp;BQ1093),"")</f>
        <v>38.6654758285193</v>
      </c>
      <c r="BC1093" s="65" t="n">
        <f aca="false">IF(BB1093="",0,MAX(0,MIN(1,(IF(BY1093="L1",Parameter!$E$5,Parameter!$E$6+Parameter!$E$7)-(BB1093-AX1093))/AX1093)))</f>
        <v>1</v>
      </c>
      <c r="BD1093" s="55" t="str">
        <f aca="false">IF(AH1093&lt;=0,"",IF(BY1093="Aussen","Aussenlager",IF(BY1093="-","Nicht im Lift",IF(AM1093&gt;=1,"Lift",IF(AM1093&lt;=0,"Aussenlager","teilweise")))))</f>
        <v>Lift</v>
      </c>
      <c r="BE1093" s="55" t="str">
        <f aca="false">IF(AP1093&lt;=0,"",IF(BY1093="Aussen","Aussenlager",IF(BY1093="-","Nicht im Lift",IF(AU1093&gt;=1,"Lift",IF(AU1093&lt;=0,"Aussenlager","teilweise")))))</f>
        <v>Lift</v>
      </c>
      <c r="BF1093" s="55" t="str">
        <f aca="false">IF(AX1093&lt;=0,"",IF(BY1093="Aussen","Aussenlager",IF(BY1093="-","Nicht im Lift",IF(BC1093&gt;=1,"Lift",IF(BC1093&lt;=0,"Aussenlager","teilweise")))))</f>
        <v>Lift</v>
      </c>
      <c r="BG1093" s="55" t="str">
        <f aca="false">IF(A1093="","",IF(BP1093=1,"Neu; ","")&amp;IF(AND(BP1093=0,BK1093&lt;0),"negativer Bestand (Export "&amp;BK1093&amp;"); ","")&amp;IF(J1093&lt;=0,"Kein Verbrauch; ","")&amp;IF(CH1093&gt;0,"Lift "&amp;W1093&amp;" lt. Liftbericht (Fach "&amp;X1093&amp;" Stk); ",IF(BU1093=1,"Gebinde geschätzt ("&amp;T1093&amp;"); ",IF(BT1093=1,"Lose – Tablare geschätzt; ","")))&amp;IF(H1093&gt;AR1093,"Überbestand "&amp;ROUND(H1093-AR1093,0)&amp;" Stk / CHF "&amp;ROUND((H1093-AR1093)*G1093,0)&amp;"; ","")&amp;IF(AND(CA1093=1,CB1093&lt;CC1093),"MAX &lt; MB+LG; ","")&amp;IF(AND(CG1093&gt;0,CF1093*10&gt;CG1093),"zu hoch für Tablar; ","")&amp;IF(AND(BP1093=0,OR(CA1093=1,AA1093&lt;&gt;"",U1093&lt;&gt;"",V1093&lt;&gt;"",AB1093&lt;&gt;"")),"manuell übersteuert; ","")&amp;IF(AND(BT1093=0,R1093=0),"Gebinde unbekannt / Stellmass fehlt; ","")&amp;IF(AND(BT1093=0,N(V1093)&lt;=0,N(Q1093)&lt;=0),"Menge pro Gebinde fehlt (Ist = 1 Gebinde); ","")&amp;BO1093)</f>
        <v>negativer Bestand (Export -3); Neu</v>
      </c>
      <c r="BH1093" s="55"/>
      <c r="BI1093" s="55"/>
      <c r="BJ1093" s="62"/>
      <c r="BK1093" s="57" t="n">
        <v>-3</v>
      </c>
      <c r="BL1093" s="57" t="n">
        <v>7</v>
      </c>
      <c r="BM1093" s="56" t="n">
        <v>-199.43</v>
      </c>
      <c r="BN1093" s="57" t="n">
        <v>4</v>
      </c>
      <c r="BO1093" s="55" t="s">
        <v>626</v>
      </c>
      <c r="BP1093" s="60" t="n">
        <v>0</v>
      </c>
      <c r="BQ1093" s="60" t="n">
        <v>1093</v>
      </c>
      <c r="BR1093" s="55" t="str">
        <f aca="false">IF(U1093&lt;&gt;"",UPPER(TRIM(U1093)),IF(BU1093=1,UPPER(VLOOKUP(T1093,Parameter!$I$27:$K$29,2,0)),IF(P1093="","LOSE",P1093)))</f>
        <v>S32</v>
      </c>
      <c r="BS1093" s="57" t="n">
        <f aca="false">IF(BR1093="LOSE",1,IF(N(V1093)&gt;0,V1093,IF(BU1093=1,MAX(1,N(VLOOKUP(T1093,Parameter!$I$27:$K$29,3,0)),H1093,N(N1093)),IF(N(Q1093)&gt;0,Q1093,MAX(1,H1093)))))</f>
        <v>4</v>
      </c>
      <c r="BT1093" s="60" t="n">
        <f aca="false">IF(BR1093="LOSE",1,0)</f>
        <v>0</v>
      </c>
      <c r="BU1093" s="60" t="n">
        <f aca="false">IF(AND(U1093="",OR(P1093="",P1093="LOSE"),T1093&lt;&gt;"",N(S1093)&lt;=0,ISNUMBER(MATCH(T1093,Parameter!$I$27:$I$29,0))),1,0)</f>
        <v>0</v>
      </c>
      <c r="BV1093" s="55" t="str">
        <f aca="false">IF(AND(Parameter!$B$19="Ja",E1093&lt;&gt;"",ISNUMBER(MATCH(E1093,Parameter!$I$35:$I$52,0))),VLOOKUP(E1093,Parameter!$I$35:$J$52,2,0),IFERROR(VLOOKUP(D1093,Parameter!$A$35:$C$64,2,0),"Nein"))</f>
        <v>2+3</v>
      </c>
      <c r="BW1093" s="59" t="n">
        <f aca="false">IF(BT1093=0,0,IF(N(S1093)&gt;0,S1093,IFERROR(VLOOKUP(D1093,Parameter!$A$35:$C$64,3,0)+0,0)))</f>
        <v>0</v>
      </c>
      <c r="BX1093" s="55" t="n">
        <f aca="false">IF(AA1093&lt;&gt;"",AA1093,Z1093)</f>
        <v>3</v>
      </c>
      <c r="BY1093" s="55" t="str">
        <f aca="false">IF(BX1093=1,"L1",IF(OR(BX1093=2,BX1093=3),"L23",IF(BX1093="Aussen","Aussen","-")))</f>
        <v>L23</v>
      </c>
      <c r="BZ1093" s="66" t="n">
        <f aca="false">IF(N(AB1093)&gt;0,AB1093,0)</f>
        <v>0</v>
      </c>
      <c r="CA1093" s="60" t="n">
        <f aca="false">IF(ISNUMBER(AE1093),1,0)</f>
        <v>0</v>
      </c>
      <c r="CB1093" s="57" t="n">
        <f aca="false">N(AE1093)</f>
        <v>0</v>
      </c>
      <c r="CC1093" s="57" t="n">
        <f aca="false">N(M1093)+N(N1093)</f>
        <v>5</v>
      </c>
      <c r="CD1093" s="57" t="n">
        <f aca="false">ROUNDUP(H1093/BS1093,0)</f>
        <v>1</v>
      </c>
      <c r="CE1093" s="57" t="n">
        <f aca="false">ROUNDUP(CB1093/BS1093,0)</f>
        <v>0</v>
      </c>
      <c r="CF1093" s="60" t="n">
        <f aca="false">IF(BT1093=1,0,IFERROR(VLOOKUP(BR1093,'Gebinde-Kategorie'!$A$5:$M$45,5,0)+0,0))</f>
        <v>8</v>
      </c>
      <c r="CG1093" s="60" t="n">
        <f aca="false">IFERROR(IF(OR(BX1093=1,BX1093=2,BX1093=3),N(INDEX(Parameter!$I$5:$I$7,BX1093)),0),0)</f>
        <v>0</v>
      </c>
      <c r="CH1093" s="59" t="n">
        <f aca="false">IF(AND(Parameter!$B$21="Ja",ISNUMBER(W1093),N(X1093)&gt;0),IFERROR(N(INDEX(Parameter!$L$5:$L$7,W1093))*INDEX(Parameter!$E$5:$E$7,W1093)*X1093/SUMIFS($X$7:$X$1843,$W$7:$W$1843,W1093),0),0)</f>
        <v>0</v>
      </c>
    </row>
    <row r="1094" customFormat="false" ht="15" hidden="false" customHeight="false" outlineLevel="0" collapsed="false">
      <c r="A1094" s="55" t="s">
        <v>1990</v>
      </c>
      <c r="B1094" s="55" t="s">
        <v>1991</v>
      </c>
      <c r="C1094" s="55" t="s">
        <v>164</v>
      </c>
      <c r="D1094" s="55" t="s">
        <v>184</v>
      </c>
      <c r="E1094" s="55" t="s">
        <v>185</v>
      </c>
      <c r="F1094" s="55" t="s">
        <v>218</v>
      </c>
      <c r="G1094" s="56" t="n">
        <v>17.26</v>
      </c>
      <c r="H1094" s="57" t="n">
        <f aca="false">MAX(0,IF(AND(Parameter!$B$21="Ja",ISNUMBER(Y1094)),Y1094,IF(Parameter!$B$20="Jahresanfang 2025 + Export",BL1094+BK1094,BK1094)))</f>
        <v>12</v>
      </c>
      <c r="I1094" s="57" t="n">
        <f aca="false">H1094*G1094</f>
        <v>207.12</v>
      </c>
      <c r="J1094" s="57" t="n">
        <f aca="false">BN1094*Parameter!$B$18</f>
        <v>33</v>
      </c>
      <c r="K1094" s="58" t="n">
        <v>33</v>
      </c>
      <c r="L1094" s="59" t="n">
        <v>1</v>
      </c>
      <c r="M1094" s="57" t="n">
        <v>2</v>
      </c>
      <c r="N1094" s="57" t="n">
        <v>35</v>
      </c>
      <c r="O1094" s="60" t="n">
        <v>21</v>
      </c>
      <c r="P1094" s="55" t="s">
        <v>302</v>
      </c>
      <c r="Q1094" s="57" t="n">
        <v>48</v>
      </c>
      <c r="R1094" s="60" t="n">
        <f aca="false">IF(BT1094=1,0,IFERROR(VLOOKUP(BR1094,'Gebinde-Kategorie'!$A$5:$M$45,13,0)+0,0))</f>
        <v>26</v>
      </c>
      <c r="S1094" s="61"/>
      <c r="T1094" s="62"/>
      <c r="U1094" s="62"/>
      <c r="V1094" s="62"/>
      <c r="W1094" s="55"/>
      <c r="X1094" s="57"/>
      <c r="Y1094" s="57"/>
      <c r="Z1094" s="55" t="n">
        <f aca="false">IF(A1094="","",IF(AND(Parameter!$B$21="Ja",ISNUMBER(W1094)),W1094,IF(BV1094="2+3",IF(ISNUMBER(SEARCH("grosser Artikel",BO1094)),2,IFERROR(VLOOKUP(BR1094,Parameter!$F$35:$G$64,2,0),2)),IF(OR(BV1094="Nein",BV1094=""),"-",BV1094))))</f>
        <v>3</v>
      </c>
      <c r="AA1094" s="62"/>
      <c r="AB1094" s="63"/>
      <c r="AC1094" s="57" t="n">
        <f aca="false">AR1094</f>
        <v>48</v>
      </c>
      <c r="AD1094" s="57" t="n">
        <f aca="false">MAX(AR1094,H1094)</f>
        <v>48</v>
      </c>
      <c r="AE1094" s="64"/>
      <c r="AF1094" s="57" t="n">
        <f aca="false">IF(LEFT(Cockpit!$C$5,1)="A",H1094,IF(CA1094=1,CB1094,IF(LEFT(Cockpit!$C$5,1)="B",AJ1094,MAX(AJ1094,H1094))))</f>
        <v>12</v>
      </c>
      <c r="AG1094" s="57" t="n">
        <f aca="false">IF(BT1094=1,0,ROUNDUP(AF1094/BS1094,0))</f>
        <v>1</v>
      </c>
      <c r="AH1094" s="59" t="n">
        <f aca="false">IF(CH1094&gt;0,CH1094*MAX(1,AF1094/X1094),IF(BT1094=1,IF(AF1094&lt;=0,0,BW1094*MAX(1,IF(H1094&gt;0,AF1094/H1094,1))),IF(R1094&gt;0,AG1094/R1094,0))/MAX(0.1,N(Parameter!$M$21)))</f>
        <v>0.0384615384615385</v>
      </c>
      <c r="AI1094" s="57" t="n">
        <f aca="false">AF1094*G1094</f>
        <v>207.12</v>
      </c>
      <c r="AJ1094" s="57" t="n">
        <f aca="false">ROUNDUP(MAX(J1094/IF(BZ1094&gt;0,BZ1094,MAX(0.1,N(Cockpit!$C$6))),CC1094)/BS1094,0)*BS1094</f>
        <v>48</v>
      </c>
      <c r="AK1094" s="58" t="n">
        <f aca="false">IF(AH1094&gt;0,J1094/AH1094,-1)</f>
        <v>858</v>
      </c>
      <c r="AL1094" s="58" t="n">
        <f aca="false">IF(AND(OR(BY1094="L1",BY1094="L23"),AH1094&gt;0),SUMIFS($AH$7:$AH$1843,$BY$7:$BY$1843,BY1094,$AK$7:$AK$1843,"&gt;"&amp;AK1094)+SUMIFS($AH$7:$AH$1843,$BY$7:$BY$1843,BY1094,$AK$7:$AK$1843,AK1094,$BQ$7:$BQ$1843,"&lt;="&amp;BQ1094),"")</f>
        <v>20.6103510016554</v>
      </c>
      <c r="AM1094" s="65" t="n">
        <f aca="false">IF(AL1094="",0,MAX(0,MIN(1,(IF(BY1094="L1",Parameter!$E$5,Parameter!$E$6+Parameter!$E$7)-(AL1094-AH1094))/AH1094)))</f>
        <v>1</v>
      </c>
      <c r="AN1094" s="57" t="n">
        <f aca="false">IF(LEFT(Cockpit!$I$5,1)="A",H1094,IF(CA1094=1,CB1094,IF(LEFT(Cockpit!$I$5,1)="B",AR1094,MAX(AR1094,H1094))))</f>
        <v>48</v>
      </c>
      <c r="AO1094" s="57" t="n">
        <f aca="false">IF(BT1094=1,0,ROUNDUP(AN1094/BS1094,0))</f>
        <v>1</v>
      </c>
      <c r="AP1094" s="59" t="n">
        <f aca="false">IF(CH1094&gt;0,CH1094*MAX(1,AN1094/X1094),IF(BT1094=1,IF(AN1094&lt;=0,0,BW1094*MAX(1,IF(H1094&gt;0,AN1094/H1094,1))),IF(R1094&gt;0,AO1094/R1094,0))/MAX(0.1,N(Parameter!$M$21)))</f>
        <v>0.0384615384615385</v>
      </c>
      <c r="AQ1094" s="57" t="n">
        <f aca="false">AN1094*G1094</f>
        <v>828.48</v>
      </c>
      <c r="AR1094" s="57" t="n">
        <f aca="false">ROUNDUP(MAX(J1094/IF(BZ1094&gt;0,BZ1094,MAX(0.1,N(Cockpit!$I$6))),CC1094)/BS1094,0)*BS1094</f>
        <v>48</v>
      </c>
      <c r="AS1094" s="58" t="n">
        <f aca="false">IF(AP1094&gt;0,J1094/AP1094,-1)</f>
        <v>858</v>
      </c>
      <c r="AT1094" s="58" t="n">
        <f aca="false">IF(AND(OR(BY1094="L1",BY1094="L23"),AP1094&gt;0),SUMIFS($AP$7:$AP$1843,$BY$7:$BY$1843,BY1094,$AS$7:$AS$1843,"&gt;"&amp;AS1094)+SUMIFS($AP$7:$AP$1843,$BY$7:$BY$1843,BY1094,$AS$7:$AS$1843,AS1094,$BQ$7:$BQ$1843,"&lt;="&amp;BQ1094),"")</f>
        <v>25.5661295226513</v>
      </c>
      <c r="AU1094" s="65" t="n">
        <f aca="false">IF(AT1094="",0,MAX(0,MIN(1,(IF(BY1094="L1",Parameter!$E$5,Parameter!$E$6+Parameter!$E$7)-(AT1094-AP1094))/AP1094)))</f>
        <v>1</v>
      </c>
      <c r="AV1094" s="57" t="n">
        <f aca="false">IF(LEFT(Cockpit!$O$5,1)="A",H1094,IF(CA1094=1,CB1094,IF(LEFT(Cockpit!$O$5,1)="B",AZ1094,MAX(AZ1094,H1094))))</f>
        <v>48</v>
      </c>
      <c r="AW1094" s="57" t="n">
        <f aca="false">IF(BT1094=1,0,ROUNDUP(AV1094/BS1094,0))</f>
        <v>1</v>
      </c>
      <c r="AX1094" s="59" t="n">
        <f aca="false">IF(CH1094&gt;0,CH1094*MAX(1,AV1094/X1094),IF(BT1094=1,IF(AV1094&lt;=0,0,BW1094*MAX(1,IF(H1094&gt;0,AV1094/H1094,1))),IF(R1094&gt;0,AW1094/R1094,0))/MAX(0.1,N(Parameter!$M$21)))</f>
        <v>0.0384615384615385</v>
      </c>
      <c r="AY1094" s="57" t="n">
        <f aca="false">AV1094*G1094</f>
        <v>828.48</v>
      </c>
      <c r="AZ1094" s="57" t="n">
        <f aca="false">ROUNDUP(MAX(J1094/IF(BZ1094&gt;0,BZ1094,MAX(0.1,N(Cockpit!$O$6))),CC1094)/BS1094,0)*BS1094</f>
        <v>48</v>
      </c>
      <c r="BA1094" s="58" t="n">
        <f aca="false">IF(AX1094&gt;0,J1094/AX1094,-1)</f>
        <v>858</v>
      </c>
      <c r="BB1094" s="58" t="n">
        <f aca="false">IF(AND(OR(BY1094="L1",BY1094="L23"),AX1094&gt;0),SUMIFS($AX$7:$AX$1843,$BY$7:$BY$1843,BY1094,$BA$7:$BA$1843,"&gt;"&amp;BA1094)+SUMIFS($AX$7:$AX$1843,$BY$7:$BY$1843,BY1094,$BA$7:$BA$1843,BA1094,$BQ$7:$BQ$1843,"&lt;="&amp;BQ1094),"")</f>
        <v>25.6844278909496</v>
      </c>
      <c r="BC1094" s="65" t="n">
        <f aca="false">IF(BB1094="",0,MAX(0,MIN(1,(IF(BY1094="L1",Parameter!$E$5,Parameter!$E$6+Parameter!$E$7)-(BB1094-AX1094))/AX1094)))</f>
        <v>1</v>
      </c>
      <c r="BD1094" s="55" t="str">
        <f aca="false">IF(AH1094&lt;=0,"",IF(BY1094="Aussen","Aussenlager",IF(BY1094="-","Nicht im Lift",IF(AM1094&gt;=1,"Lift",IF(AM1094&lt;=0,"Aussenlager","teilweise")))))</f>
        <v>Lift</v>
      </c>
      <c r="BE1094" s="55" t="str">
        <f aca="false">IF(AP1094&lt;=0,"",IF(BY1094="Aussen","Aussenlager",IF(BY1094="-","Nicht im Lift",IF(AU1094&gt;=1,"Lift",IF(AU1094&lt;=0,"Aussenlager","teilweise")))))</f>
        <v>Lift</v>
      </c>
      <c r="BF1094" s="55" t="str">
        <f aca="false">IF(AX1094&lt;=0,"",IF(BY1094="Aussen","Aussenlager",IF(BY1094="-","Nicht im Lift",IF(BC1094&gt;=1,"Lift",IF(BC1094&lt;=0,"Aussenlager","teilweise")))))</f>
        <v>Lift</v>
      </c>
      <c r="BG1094" s="55" t="str">
        <f aca="false">IF(A1094="","",IF(BP1094=1,"Neu; ","")&amp;IF(AND(BP1094=0,BK1094&lt;0),"negativer Bestand (Export "&amp;BK1094&amp;"); ","")&amp;IF(J1094&lt;=0,"Kein Verbrauch; ","")&amp;IF(CH1094&gt;0,"Lift "&amp;W1094&amp;" lt. Liftbericht (Fach "&amp;X1094&amp;" Stk); ",IF(BU1094=1,"Gebinde geschätzt ("&amp;T1094&amp;"); ",IF(BT1094=1,"Lose – Tablare geschätzt; ","")))&amp;IF(H1094&gt;AR1094,"Überbestand "&amp;ROUND(H1094-AR1094,0)&amp;" Stk / CHF "&amp;ROUND((H1094-AR1094)*G1094,0)&amp;"; ","")&amp;IF(AND(CA1094=1,CB1094&lt;CC1094),"MAX &lt; MB+LG; ","")&amp;IF(AND(CG1094&gt;0,CF1094*10&gt;CG1094),"zu hoch für Tablar; ","")&amp;IF(AND(BP1094=0,OR(CA1094=1,AA1094&lt;&gt;"",U1094&lt;&gt;"",V1094&lt;&gt;"",AB1094&lt;&gt;"")),"manuell übersteuert; ","")&amp;IF(AND(BT1094=0,R1094=0),"Gebinde unbekannt / Stellmass fehlt; ","")&amp;IF(AND(BT1094=0,N(V1094)&lt;=0,N(Q1094)&lt;=0),"Menge pro Gebinde fehlt (Ist = 1 Gebinde); ","")&amp;BO1094)</f>
        <v>negativer Bestand (Export -8); </v>
      </c>
      <c r="BH1094" s="55"/>
      <c r="BI1094" s="55"/>
      <c r="BJ1094" s="62"/>
      <c r="BK1094" s="57" t="n">
        <v>-8</v>
      </c>
      <c r="BL1094" s="57" t="n">
        <v>20</v>
      </c>
      <c r="BM1094" s="56" t="n">
        <v>-202.08</v>
      </c>
      <c r="BN1094" s="57" t="n">
        <v>33</v>
      </c>
      <c r="BO1094" s="55"/>
      <c r="BP1094" s="60" t="n">
        <v>0</v>
      </c>
      <c r="BQ1094" s="60" t="n">
        <v>1094</v>
      </c>
      <c r="BR1094" s="55" t="str">
        <f aca="false">IF(U1094&lt;&gt;"",UPPER(TRIM(U1094)),IF(BU1094=1,UPPER(VLOOKUP(T1094,Parameter!$I$27:$K$29,2,0)),IF(P1094="","LOSE",P1094)))</f>
        <v>S51</v>
      </c>
      <c r="BS1094" s="57" t="n">
        <f aca="false">IF(BR1094="LOSE",1,IF(N(V1094)&gt;0,V1094,IF(BU1094=1,MAX(1,N(VLOOKUP(T1094,Parameter!$I$27:$K$29,3,0)),H1094,N(N1094)),IF(N(Q1094)&gt;0,Q1094,MAX(1,H1094)))))</f>
        <v>48</v>
      </c>
      <c r="BT1094" s="60" t="n">
        <f aca="false">IF(BR1094="LOSE",1,0)</f>
        <v>0</v>
      </c>
      <c r="BU1094" s="60" t="n">
        <f aca="false">IF(AND(U1094="",OR(P1094="",P1094="LOSE"),T1094&lt;&gt;"",N(S1094)&lt;=0,ISNUMBER(MATCH(T1094,Parameter!$I$27:$I$29,0))),1,0)</f>
        <v>0</v>
      </c>
      <c r="BV1094" s="55" t="str">
        <f aca="false">IF(AND(Parameter!$B$19="Ja",E1094&lt;&gt;"",ISNUMBER(MATCH(E1094,Parameter!$I$35:$I$52,0))),VLOOKUP(E1094,Parameter!$I$35:$J$52,2,0),IFERROR(VLOOKUP(D1094,Parameter!$A$35:$C$64,2,0),"Nein"))</f>
        <v>2+3</v>
      </c>
      <c r="BW1094" s="59" t="n">
        <f aca="false">IF(BT1094=0,0,IF(N(S1094)&gt;0,S1094,IFERROR(VLOOKUP(D1094,Parameter!$A$35:$C$64,3,0)+0,0)))</f>
        <v>0</v>
      </c>
      <c r="BX1094" s="55" t="n">
        <f aca="false">IF(AA1094&lt;&gt;"",AA1094,Z1094)</f>
        <v>3</v>
      </c>
      <c r="BY1094" s="55" t="str">
        <f aca="false">IF(BX1094=1,"L1",IF(OR(BX1094=2,BX1094=3),"L23",IF(BX1094="Aussen","Aussen","-")))</f>
        <v>L23</v>
      </c>
      <c r="BZ1094" s="66" t="n">
        <f aca="false">IF(N(AB1094)&gt;0,AB1094,0)</f>
        <v>0</v>
      </c>
      <c r="CA1094" s="60" t="n">
        <f aca="false">IF(ISNUMBER(AE1094),1,0)</f>
        <v>0</v>
      </c>
      <c r="CB1094" s="57" t="n">
        <f aca="false">N(AE1094)</f>
        <v>0</v>
      </c>
      <c r="CC1094" s="57" t="n">
        <f aca="false">N(M1094)+N(N1094)</f>
        <v>37</v>
      </c>
      <c r="CD1094" s="57" t="n">
        <f aca="false">ROUNDUP(H1094/BS1094,0)</f>
        <v>1</v>
      </c>
      <c r="CE1094" s="57" t="n">
        <f aca="false">ROUNDUP(CB1094/BS1094,0)</f>
        <v>0</v>
      </c>
      <c r="CF1094" s="60" t="n">
        <f aca="false">IF(BT1094=1,0,IFERROR(VLOOKUP(BR1094,'Gebinde-Kategorie'!$A$5:$M$45,5,0)+0,0))</f>
        <v>11</v>
      </c>
      <c r="CG1094" s="60" t="n">
        <f aca="false">IFERROR(IF(OR(BX1094=1,BX1094=2,BX1094=3),N(INDEX(Parameter!$I$5:$I$7,BX1094)),0),0)</f>
        <v>0</v>
      </c>
      <c r="CH1094" s="59" t="n">
        <f aca="false">IF(AND(Parameter!$B$21="Ja",ISNUMBER(W1094),N(X1094)&gt;0),IFERROR(N(INDEX(Parameter!$L$5:$L$7,W1094))*INDEX(Parameter!$E$5:$E$7,W1094)*X1094/SUMIFS($X$7:$X$1843,$W$7:$W$1843,W1094),0),0)</f>
        <v>0</v>
      </c>
    </row>
    <row r="1095" customFormat="false" ht="15" hidden="false" customHeight="false" outlineLevel="0" collapsed="false">
      <c r="A1095" s="55" t="s">
        <v>1992</v>
      </c>
      <c r="B1095" s="55" t="s">
        <v>1993</v>
      </c>
      <c r="C1095" s="55" t="s">
        <v>164</v>
      </c>
      <c r="D1095" s="55" t="s">
        <v>173</v>
      </c>
      <c r="E1095" s="55" t="s">
        <v>173</v>
      </c>
      <c r="F1095" s="55" t="s">
        <v>218</v>
      </c>
      <c r="G1095" s="56" t="n">
        <v>17.05</v>
      </c>
      <c r="H1095" s="57" t="n">
        <f aca="false">MAX(0,IF(AND(Parameter!$B$21="Ja",ISNUMBER(Y1095)),Y1095,IF(Parameter!$B$20="Jahresanfang 2025 + Export",BL1095+BK1095,BK1095)))</f>
        <v>32.1240000000002</v>
      </c>
      <c r="I1095" s="57" t="n">
        <f aca="false">H1095*G1095</f>
        <v>547.714200000003</v>
      </c>
      <c r="J1095" s="57" t="n">
        <f aca="false">BN1095*Parameter!$B$18</f>
        <v>139.027</v>
      </c>
      <c r="K1095" s="58" t="n">
        <v>51.8520000000001</v>
      </c>
      <c r="L1095" s="59" t="n">
        <v>2.68122733935045</v>
      </c>
      <c r="M1095" s="57" t="n">
        <v>8</v>
      </c>
      <c r="N1095" s="57" t="n">
        <v>50</v>
      </c>
      <c r="O1095" s="60" t="n">
        <v>21</v>
      </c>
      <c r="P1095" s="55" t="s">
        <v>168</v>
      </c>
      <c r="Q1095" s="57"/>
      <c r="R1095" s="60" t="n">
        <f aca="false">IF(BT1095=1,0,IFERROR(VLOOKUP(BR1095,'Gebinde-Kategorie'!$A$5:$M$45,13,0)+0,0))</f>
        <v>12</v>
      </c>
      <c r="S1095" s="61"/>
      <c r="T1095" s="62" t="s">
        <v>179</v>
      </c>
      <c r="U1095" s="62"/>
      <c r="V1095" s="62"/>
      <c r="W1095" s="55"/>
      <c r="X1095" s="57"/>
      <c r="Y1095" s="57"/>
      <c r="Z1095" s="55" t="str">
        <f aca="false">IF(A1095="","",IF(AND(Parameter!$B$21="Ja",ISNUMBER(W1095)),W1095,IF(BV1095="2+3",IF(ISNUMBER(SEARCH("grosser Artikel",BO1095)),2,IFERROR(VLOOKUP(BR1095,Parameter!$F$35:$G$64,2,0),2)),IF(OR(BV1095="Nein",BV1095=""),"-",BV1095))))</f>
        <v>-</v>
      </c>
      <c r="AA1095" s="62"/>
      <c r="AB1095" s="63"/>
      <c r="AC1095" s="57" t="n">
        <f aca="false">AR1095</f>
        <v>100</v>
      </c>
      <c r="AD1095" s="57" t="n">
        <f aca="false">MAX(AR1095,H1095)</f>
        <v>100</v>
      </c>
      <c r="AE1095" s="64"/>
      <c r="AF1095" s="57" t="n">
        <f aca="false">IF(LEFT(Cockpit!$C$5,1)="A",H1095,IF(CA1095=1,CB1095,IF(LEFT(Cockpit!$C$5,1)="B",AJ1095,MAX(AJ1095,H1095))))</f>
        <v>32.1240000000002</v>
      </c>
      <c r="AG1095" s="57" t="n">
        <f aca="false">IF(BT1095=1,0,ROUNDUP(AF1095/BS1095,0))</f>
        <v>1</v>
      </c>
      <c r="AH1095" s="59" t="n">
        <f aca="false">IF(CH1095&gt;0,CH1095*MAX(1,AF1095/X1095),IF(BT1095=1,IF(AF1095&lt;=0,0,BW1095*MAX(1,IF(H1095&gt;0,AF1095/H1095,1))),IF(R1095&gt;0,AG1095/R1095,0))/MAX(0.1,N(Parameter!$M$21)))</f>
        <v>0.0833333333333333</v>
      </c>
      <c r="AI1095" s="57" t="n">
        <f aca="false">AF1095*G1095</f>
        <v>547.714200000003</v>
      </c>
      <c r="AJ1095" s="57" t="n">
        <f aca="false">ROUNDUP(MAX(J1095/IF(BZ1095&gt;0,BZ1095,MAX(0.1,N(Cockpit!$C$6))),CC1095)/BS1095,0)*BS1095</f>
        <v>100</v>
      </c>
      <c r="AK1095" s="58" t="n">
        <f aca="false">IF(AH1095&gt;0,J1095/AH1095,-1)</f>
        <v>1668.324</v>
      </c>
      <c r="AL1095" s="58" t="str">
        <f aca="false">IF(AND(OR(BY1095="L1",BY1095="L23"),AH1095&gt;0),SUMIFS($AH$7:$AH$1843,$BY$7:$BY$1843,BY1095,$AK$7:$AK$1843,"&gt;"&amp;AK1095)+SUMIFS($AH$7:$AH$1843,$BY$7:$BY$1843,BY1095,$AK$7:$AK$1843,AK1095,$BQ$7:$BQ$1843,"&lt;="&amp;BQ1095),"")</f>
        <v/>
      </c>
      <c r="AM1095" s="65" t="n">
        <f aca="false">IF(AL1095="",0,MAX(0,MIN(1,(IF(BY1095="L1",Parameter!$E$5,Parameter!$E$6+Parameter!$E$7)-(AL1095-AH1095))/AH1095)))</f>
        <v>0</v>
      </c>
      <c r="AN1095" s="57" t="n">
        <f aca="false">IF(LEFT(Cockpit!$I$5,1)="A",H1095,IF(CA1095=1,CB1095,IF(LEFT(Cockpit!$I$5,1)="B",AR1095,MAX(AR1095,H1095))))</f>
        <v>100</v>
      </c>
      <c r="AO1095" s="57" t="n">
        <f aca="false">IF(BT1095=1,0,ROUNDUP(AN1095/BS1095,0))</f>
        <v>2</v>
      </c>
      <c r="AP1095" s="59" t="n">
        <f aca="false">IF(CH1095&gt;0,CH1095*MAX(1,AN1095/X1095),IF(BT1095=1,IF(AN1095&lt;=0,0,BW1095*MAX(1,IF(H1095&gt;0,AN1095/H1095,1))),IF(R1095&gt;0,AO1095/R1095,0))/MAX(0.1,N(Parameter!$M$21)))</f>
        <v>0.166666666666667</v>
      </c>
      <c r="AQ1095" s="57" t="n">
        <f aca="false">AN1095*G1095</f>
        <v>1705</v>
      </c>
      <c r="AR1095" s="57" t="n">
        <f aca="false">ROUNDUP(MAX(J1095/IF(BZ1095&gt;0,BZ1095,MAX(0.1,N(Cockpit!$I$6))),CC1095)/BS1095,0)*BS1095</f>
        <v>100</v>
      </c>
      <c r="AS1095" s="58" t="n">
        <f aca="false">IF(AP1095&gt;0,J1095/AP1095,-1)</f>
        <v>834.162</v>
      </c>
      <c r="AT1095" s="58" t="str">
        <f aca="false">IF(AND(OR(BY1095="L1",BY1095="L23"),AP1095&gt;0),SUMIFS($AP$7:$AP$1843,$BY$7:$BY$1843,BY1095,$AS$7:$AS$1843,"&gt;"&amp;AS1095)+SUMIFS($AP$7:$AP$1843,$BY$7:$BY$1843,BY1095,$AS$7:$AS$1843,AS1095,$BQ$7:$BQ$1843,"&lt;="&amp;BQ1095),"")</f>
        <v/>
      </c>
      <c r="AU1095" s="65" t="n">
        <f aca="false">IF(AT1095="",0,MAX(0,MIN(1,(IF(BY1095="L1",Parameter!$E$5,Parameter!$E$6+Parameter!$E$7)-(AT1095-AP1095))/AP1095)))</f>
        <v>0</v>
      </c>
      <c r="AV1095" s="57" t="n">
        <f aca="false">IF(LEFT(Cockpit!$O$5,1)="A",H1095,IF(CA1095=1,CB1095,IF(LEFT(Cockpit!$O$5,1)="B",AZ1095,MAX(AZ1095,H1095))))</f>
        <v>100</v>
      </c>
      <c r="AW1095" s="57" t="n">
        <f aca="false">IF(BT1095=1,0,ROUNDUP(AV1095/BS1095,0))</f>
        <v>2</v>
      </c>
      <c r="AX1095" s="59" t="n">
        <f aca="false">IF(CH1095&gt;0,CH1095*MAX(1,AV1095/X1095),IF(BT1095=1,IF(AV1095&lt;=0,0,BW1095*MAX(1,IF(H1095&gt;0,AV1095/H1095,1))),IF(R1095&gt;0,AW1095/R1095,0))/MAX(0.1,N(Parameter!$M$21)))</f>
        <v>0.166666666666667</v>
      </c>
      <c r="AY1095" s="57" t="n">
        <f aca="false">AV1095*G1095</f>
        <v>1705</v>
      </c>
      <c r="AZ1095" s="57" t="n">
        <f aca="false">ROUNDUP(MAX(J1095/IF(BZ1095&gt;0,BZ1095,MAX(0.1,N(Cockpit!$O$6))),CC1095)/BS1095,0)*BS1095</f>
        <v>100</v>
      </c>
      <c r="BA1095" s="58" t="n">
        <f aca="false">IF(AX1095&gt;0,J1095/AX1095,-1)</f>
        <v>834.162</v>
      </c>
      <c r="BB1095" s="58" t="str">
        <f aca="false">IF(AND(OR(BY1095="L1",BY1095="L23"),AX1095&gt;0),SUMIFS($AX$7:$AX$1843,$BY$7:$BY$1843,BY1095,$BA$7:$BA$1843,"&gt;"&amp;BA1095)+SUMIFS($AX$7:$AX$1843,$BY$7:$BY$1843,BY1095,$BA$7:$BA$1843,BA1095,$BQ$7:$BQ$1843,"&lt;="&amp;BQ1095),"")</f>
        <v/>
      </c>
      <c r="BC1095" s="65" t="n">
        <f aca="false">IF(BB1095="",0,MAX(0,MIN(1,(IF(BY1095="L1",Parameter!$E$5,Parameter!$E$6+Parameter!$E$7)-(BB1095-AX1095))/AX1095)))</f>
        <v>0</v>
      </c>
      <c r="BD1095" s="55" t="str">
        <f aca="false">IF(AH1095&lt;=0,"",IF(BY1095="Aussen","Aussenlager",IF(BY1095="-","Nicht im Lift",IF(AM1095&gt;=1,"Lift",IF(AM1095&lt;=0,"Aussenlager","teilweise")))))</f>
        <v>Nicht im Lift</v>
      </c>
      <c r="BE1095" s="55" t="str">
        <f aca="false">IF(AP1095&lt;=0,"",IF(BY1095="Aussen","Aussenlager",IF(BY1095="-","Nicht im Lift",IF(AU1095&gt;=1,"Lift",IF(AU1095&lt;=0,"Aussenlager","teilweise")))))</f>
        <v>Nicht im Lift</v>
      </c>
      <c r="BF1095" s="55" t="str">
        <f aca="false">IF(AX1095&lt;=0,"",IF(BY1095="Aussen","Aussenlager",IF(BY1095="-","Nicht im Lift",IF(BC1095&gt;=1,"Lift",IF(BC1095&lt;=0,"Aussenlager","teilweise")))))</f>
        <v>Nicht im Lift</v>
      </c>
      <c r="BG1095" s="55" t="str">
        <f aca="false">IF(A1095="","",IF(BP1095=1,"Neu; ","")&amp;IF(AND(BP1095=0,BK1095&lt;0),"negativer Bestand (Export "&amp;BK1095&amp;"); ","")&amp;IF(J1095&lt;=0,"Kein Verbrauch; ","")&amp;IF(CH1095&gt;0,"Lift "&amp;W1095&amp;" lt. Liftbericht (Fach "&amp;X1095&amp;" Stk); ",IF(BU1095=1,"Gebinde geschätzt ("&amp;T1095&amp;"); ",IF(BT1095=1,"Lose – Tablare geschätzt; ","")))&amp;IF(H1095&gt;AR1095,"Überbestand "&amp;ROUND(H1095-AR1095,0)&amp;" Stk / CHF "&amp;ROUND((H1095-AR1095)*G1095,0)&amp;"; ","")&amp;IF(AND(CA1095=1,CB1095&lt;CC1095),"MAX &lt; MB+LG; ","")&amp;IF(AND(CG1095&gt;0,CF1095*10&gt;CG1095),"zu hoch für Tablar; ","")&amp;IF(AND(BP1095=0,OR(CA1095=1,AA1095&lt;&gt;"",U1095&lt;&gt;"",V1095&lt;&gt;"",AB1095&lt;&gt;"")),"manuell übersteuert; ","")&amp;IF(AND(BT1095=0,R1095=0),"Gebinde unbekannt / Stellmass fehlt; ","")&amp;IF(AND(BT1095=0,N(V1095)&lt;=0,N(Q1095)&lt;=0),"Menge pro Gebinde fehlt (Ist = 1 Gebinde); ","")&amp;BO1095)</f>
        <v>negativer Bestand (Export -9.07999999999997); Gebinde geschätzt (Mittel); Menge pro Gebinde fehlt (Ist = 1 Gebinde); </v>
      </c>
      <c r="BH1095" s="55"/>
      <c r="BI1095" s="55"/>
      <c r="BJ1095" s="62"/>
      <c r="BK1095" s="57" t="n">
        <v>-9.07999999999997</v>
      </c>
      <c r="BL1095" s="57" t="n">
        <v>41.2040000000001</v>
      </c>
      <c r="BM1095" s="56" t="n">
        <v>-202.62</v>
      </c>
      <c r="BN1095" s="57" t="n">
        <v>139.027</v>
      </c>
      <c r="BO1095" s="55"/>
      <c r="BP1095" s="60" t="n">
        <v>0</v>
      </c>
      <c r="BQ1095" s="60" t="n">
        <v>1095</v>
      </c>
      <c r="BR1095" s="55" t="str">
        <f aca="false">IF(U1095&lt;&gt;"",UPPER(TRIM(U1095)),IF(BU1095=1,UPPER(VLOOKUP(T1095,Parameter!$I$27:$K$29,2,0)),IF(P1095="","LOSE",P1095)))</f>
        <v>S61</v>
      </c>
      <c r="BS1095" s="57" t="n">
        <f aca="false">IF(BR1095="LOSE",1,IF(N(V1095)&gt;0,V1095,IF(BU1095=1,MAX(1,N(VLOOKUP(T1095,Parameter!$I$27:$K$29,3,0)),H1095,N(N1095)),IF(N(Q1095)&gt;0,Q1095,MAX(1,H1095)))))</f>
        <v>50</v>
      </c>
      <c r="BT1095" s="60" t="n">
        <f aca="false">IF(BR1095="LOSE",1,0)</f>
        <v>0</v>
      </c>
      <c r="BU1095" s="60" t="n">
        <f aca="false">IF(AND(U1095="",OR(P1095="",P1095="LOSE"),T1095&lt;&gt;"",N(S1095)&lt;=0,ISNUMBER(MATCH(T1095,Parameter!$I$27:$I$29,0))),1,0)</f>
        <v>1</v>
      </c>
      <c r="BV1095" s="55" t="str">
        <f aca="false">IF(AND(Parameter!$B$19="Ja",E1095&lt;&gt;"",ISNUMBER(MATCH(E1095,Parameter!$I$35:$I$52,0))),VLOOKUP(E1095,Parameter!$I$35:$J$52,2,0),IFERROR(VLOOKUP(D1095,Parameter!$A$35:$C$64,2,0),"Nein"))</f>
        <v>Nein</v>
      </c>
      <c r="BW1095" s="59" t="n">
        <f aca="false">IF(BT1095=0,0,IF(N(S1095)&gt;0,S1095,IFERROR(VLOOKUP(D1095,Parameter!$A$35:$C$64,3,0)+0,0)))</f>
        <v>0</v>
      </c>
      <c r="BX1095" s="55" t="str">
        <f aca="false">IF(AA1095&lt;&gt;"",AA1095,Z1095)</f>
        <v>-</v>
      </c>
      <c r="BY1095" s="55" t="str">
        <f aca="false">IF(BX1095=1,"L1",IF(OR(BX1095=2,BX1095=3),"L23",IF(BX1095="Aussen","Aussen","-")))</f>
        <v>-</v>
      </c>
      <c r="BZ1095" s="66" t="n">
        <f aca="false">IF(N(AB1095)&gt;0,AB1095,0)</f>
        <v>0</v>
      </c>
      <c r="CA1095" s="60" t="n">
        <f aca="false">IF(ISNUMBER(AE1095),1,0)</f>
        <v>0</v>
      </c>
      <c r="CB1095" s="57" t="n">
        <f aca="false">N(AE1095)</f>
        <v>0</v>
      </c>
      <c r="CC1095" s="57" t="n">
        <f aca="false">N(M1095)+N(N1095)</f>
        <v>58</v>
      </c>
      <c r="CD1095" s="57" t="n">
        <f aca="false">ROUNDUP(H1095/BS1095,0)</f>
        <v>1</v>
      </c>
      <c r="CE1095" s="57" t="n">
        <f aca="false">ROUNDUP(CB1095/BS1095,0)</f>
        <v>0</v>
      </c>
      <c r="CF1095" s="60" t="n">
        <f aca="false">IF(BT1095=1,0,IFERROR(VLOOKUP(BR1095,'Gebinde-Kategorie'!$A$5:$M$45,5,0)+0,0))</f>
        <v>11</v>
      </c>
      <c r="CG1095" s="60" t="n">
        <f aca="false">IFERROR(IF(OR(BX1095=1,BX1095=2,BX1095=3),N(INDEX(Parameter!$I$5:$I$7,BX1095)),0),0)</f>
        <v>0</v>
      </c>
      <c r="CH1095" s="59" t="n">
        <f aca="false">IF(AND(Parameter!$B$21="Ja",ISNUMBER(W1095),N(X1095)&gt;0),IFERROR(N(INDEX(Parameter!$L$5:$L$7,W1095))*INDEX(Parameter!$E$5:$E$7,W1095)*X1095/SUMIFS($X$7:$X$1843,$W$7:$W$1843,W1095),0),0)</f>
        <v>0</v>
      </c>
    </row>
    <row r="1096" customFormat="false" ht="15" hidden="false" customHeight="false" outlineLevel="0" collapsed="false">
      <c r="A1096" s="55" t="s">
        <v>1994</v>
      </c>
      <c r="B1096" s="55" t="s">
        <v>1995</v>
      </c>
      <c r="C1096" s="55" t="s">
        <v>164</v>
      </c>
      <c r="D1096" s="55" t="s">
        <v>184</v>
      </c>
      <c r="E1096" s="55" t="s">
        <v>185</v>
      </c>
      <c r="F1096" s="55" t="s">
        <v>218</v>
      </c>
      <c r="G1096" s="56" t="n">
        <v>101.62</v>
      </c>
      <c r="H1096" s="57" t="n">
        <f aca="false">MAX(0,IF(AND(Parameter!$B$21="Ja",ISNUMBER(Y1096)),Y1096,IF(Parameter!$B$20="Jahresanfang 2025 + Export",BL1096+BK1096,BK1096)))</f>
        <v>9</v>
      </c>
      <c r="I1096" s="57" t="n">
        <f aca="false">H1096*G1096</f>
        <v>914.58</v>
      </c>
      <c r="J1096" s="57" t="n">
        <f aca="false">BN1096*Parameter!$B$18</f>
        <v>2</v>
      </c>
      <c r="K1096" s="58" t="n">
        <v>10</v>
      </c>
      <c r="L1096" s="59" t="n">
        <v>0.2</v>
      </c>
      <c r="M1096" s="57" t="n">
        <v>0</v>
      </c>
      <c r="N1096" s="57" t="n">
        <v>1</v>
      </c>
      <c r="O1096" s="60" t="n">
        <v>21</v>
      </c>
      <c r="P1096" s="55" t="s">
        <v>328</v>
      </c>
      <c r="Q1096" s="57" t="n">
        <v>16</v>
      </c>
      <c r="R1096" s="60" t="n">
        <f aca="false">IF(BT1096=1,0,IFERROR(VLOOKUP(BR1096,'Gebinde-Kategorie'!$A$5:$M$45,13,0)+0,0))</f>
        <v>52</v>
      </c>
      <c r="S1096" s="61"/>
      <c r="T1096" s="62"/>
      <c r="U1096" s="62"/>
      <c r="V1096" s="62"/>
      <c r="W1096" s="55"/>
      <c r="X1096" s="57"/>
      <c r="Y1096" s="57"/>
      <c r="Z1096" s="55" t="n">
        <f aca="false">IF(A1096="","",IF(AND(Parameter!$B$21="Ja",ISNUMBER(W1096)),W1096,IF(BV1096="2+3",IF(ISNUMBER(SEARCH("grosser Artikel",BO1096)),2,IFERROR(VLOOKUP(BR1096,Parameter!$F$35:$G$64,2,0),2)),IF(OR(BV1096="Nein",BV1096=""),"-",BV1096))))</f>
        <v>3</v>
      </c>
      <c r="AA1096" s="62"/>
      <c r="AB1096" s="63"/>
      <c r="AC1096" s="57" t="n">
        <f aca="false">AR1096</f>
        <v>16</v>
      </c>
      <c r="AD1096" s="57" t="n">
        <f aca="false">MAX(AR1096,H1096)</f>
        <v>16</v>
      </c>
      <c r="AE1096" s="64"/>
      <c r="AF1096" s="57" t="n">
        <f aca="false">IF(LEFT(Cockpit!$C$5,1)="A",H1096,IF(CA1096=1,CB1096,IF(LEFT(Cockpit!$C$5,1)="B",AJ1096,MAX(AJ1096,H1096))))</f>
        <v>9</v>
      </c>
      <c r="AG1096" s="57" t="n">
        <f aca="false">IF(BT1096=1,0,ROUNDUP(AF1096/BS1096,0))</f>
        <v>1</v>
      </c>
      <c r="AH1096" s="59" t="n">
        <f aca="false">IF(CH1096&gt;0,CH1096*MAX(1,AF1096/X1096),IF(BT1096=1,IF(AF1096&lt;=0,0,BW1096*MAX(1,IF(H1096&gt;0,AF1096/H1096,1))),IF(R1096&gt;0,AG1096/R1096,0))/MAX(0.1,N(Parameter!$M$21)))</f>
        <v>0.0192307692307692</v>
      </c>
      <c r="AI1096" s="57" t="n">
        <f aca="false">AF1096*G1096</f>
        <v>914.58</v>
      </c>
      <c r="AJ1096" s="57" t="n">
        <f aca="false">ROUNDUP(MAX(J1096/IF(BZ1096&gt;0,BZ1096,MAX(0.1,N(Cockpit!$C$6))),CC1096)/BS1096,0)*BS1096</f>
        <v>16</v>
      </c>
      <c r="AK1096" s="58" t="n">
        <f aca="false">IF(AH1096&gt;0,J1096/AH1096,-1)</f>
        <v>104</v>
      </c>
      <c r="AL1096" s="58" t="n">
        <f aca="false">IF(AND(OR(BY1096="L1",BY1096="L23"),AH1096&gt;0),SUMIFS($AH$7:$AH$1843,$BY$7:$BY$1843,BY1096,$AK$7:$AK$1843,"&gt;"&amp;AK1096)+SUMIFS($AH$7:$AH$1843,$BY$7:$BY$1843,BY1096,$AK$7:$AK$1843,AK1096,$BQ$7:$BQ$1843,"&lt;="&amp;BQ1096),"")</f>
        <v>38.649564203912</v>
      </c>
      <c r="AM1096" s="65" t="n">
        <f aca="false">IF(AL1096="",0,MAX(0,MIN(1,(IF(BY1096="L1",Parameter!$E$5,Parameter!$E$6+Parameter!$E$7)-(AL1096-AH1096))/AH1096)))</f>
        <v>1</v>
      </c>
      <c r="AN1096" s="57" t="n">
        <f aca="false">IF(LEFT(Cockpit!$I$5,1)="A",H1096,IF(CA1096=1,CB1096,IF(LEFT(Cockpit!$I$5,1)="B",AR1096,MAX(AR1096,H1096))))</f>
        <v>16</v>
      </c>
      <c r="AO1096" s="57" t="n">
        <f aca="false">IF(BT1096=1,0,ROUNDUP(AN1096/BS1096,0))</f>
        <v>1</v>
      </c>
      <c r="AP1096" s="59" t="n">
        <f aca="false">IF(CH1096&gt;0,CH1096*MAX(1,AN1096/X1096),IF(BT1096=1,IF(AN1096&lt;=0,0,BW1096*MAX(1,IF(H1096&gt;0,AN1096/H1096,1))),IF(R1096&gt;0,AO1096/R1096,0))/MAX(0.1,N(Parameter!$M$21)))</f>
        <v>0.0192307692307692</v>
      </c>
      <c r="AQ1096" s="57" t="n">
        <f aca="false">AN1096*G1096</f>
        <v>1625.92</v>
      </c>
      <c r="AR1096" s="57" t="n">
        <f aca="false">ROUNDUP(MAX(J1096/IF(BZ1096&gt;0,BZ1096,MAX(0.1,N(Cockpit!$I$6))),CC1096)/BS1096,0)*BS1096</f>
        <v>16</v>
      </c>
      <c r="AS1096" s="58" t="n">
        <f aca="false">IF(AP1096&gt;0,J1096/AP1096,-1)</f>
        <v>104</v>
      </c>
      <c r="AT1096" s="58" t="n">
        <f aca="false">IF(AND(OR(BY1096="L1",BY1096="L23"),AP1096&gt;0),SUMIFS($AP$7:$AP$1843,$BY$7:$BY$1843,BY1096,$AS$7:$AS$1843,"&gt;"&amp;AS1096)+SUMIFS($AP$7:$AP$1843,$BY$7:$BY$1843,BY1096,$AS$7:$AS$1843,AS1096,$BQ$7:$BQ$1843,"&lt;="&amp;BQ1096),"")</f>
        <v>56.5037583189757</v>
      </c>
      <c r="AU1096" s="65" t="n">
        <f aca="false">IF(AT1096="",0,MAX(0,MIN(1,(IF(BY1096="L1",Parameter!$E$5,Parameter!$E$6+Parameter!$E$7)-(AT1096-AP1096))/AP1096)))</f>
        <v>1</v>
      </c>
      <c r="AV1096" s="57" t="n">
        <f aca="false">IF(LEFT(Cockpit!$O$5,1)="A",H1096,IF(CA1096=1,CB1096,IF(LEFT(Cockpit!$O$5,1)="B",AZ1096,MAX(AZ1096,H1096))))</f>
        <v>16</v>
      </c>
      <c r="AW1096" s="57" t="n">
        <f aca="false">IF(BT1096=1,0,ROUNDUP(AV1096/BS1096,0))</f>
        <v>1</v>
      </c>
      <c r="AX1096" s="59" t="n">
        <f aca="false">IF(CH1096&gt;0,CH1096*MAX(1,AV1096/X1096),IF(BT1096=1,IF(AV1096&lt;=0,0,BW1096*MAX(1,IF(H1096&gt;0,AV1096/H1096,1))),IF(R1096&gt;0,AW1096/R1096,0))/MAX(0.1,N(Parameter!$M$21)))</f>
        <v>0.0192307692307692</v>
      </c>
      <c r="AY1096" s="57" t="n">
        <f aca="false">AV1096*G1096</f>
        <v>1625.92</v>
      </c>
      <c r="AZ1096" s="57" t="n">
        <f aca="false">ROUNDUP(MAX(J1096/IF(BZ1096&gt;0,BZ1096,MAX(0.1,N(Cockpit!$O$6))),CC1096)/BS1096,0)*BS1096</f>
        <v>16</v>
      </c>
      <c r="BA1096" s="58" t="n">
        <f aca="false">IF(AX1096&gt;0,J1096/AX1096,-1)</f>
        <v>104</v>
      </c>
      <c r="BB1096" s="58" t="n">
        <f aca="false">IF(AND(OR(BY1096="L1",BY1096="L23"),AX1096&gt;0),SUMIFS($AX$7:$AX$1843,$BY$7:$BY$1843,BY1096,$BA$7:$BA$1843,"&gt;"&amp;BA1096)+SUMIFS($AX$7:$AX$1843,$BY$7:$BY$1843,BY1096,$BA$7:$BA$1843,BA1096,$BQ$7:$BQ$1843,"&lt;="&amp;BQ1096),"")</f>
        <v>54.3335951488125</v>
      </c>
      <c r="BC1096" s="65" t="n">
        <f aca="false">IF(BB1096="",0,MAX(0,MIN(1,(IF(BY1096="L1",Parameter!$E$5,Parameter!$E$6+Parameter!$E$7)-(BB1096-AX1096))/AX1096)))</f>
        <v>1</v>
      </c>
      <c r="BD1096" s="55" t="str">
        <f aca="false">IF(AH1096&lt;=0,"",IF(BY1096="Aussen","Aussenlager",IF(BY1096="-","Nicht im Lift",IF(AM1096&gt;=1,"Lift",IF(AM1096&lt;=0,"Aussenlager","teilweise")))))</f>
        <v>Lift</v>
      </c>
      <c r="BE1096" s="55" t="str">
        <f aca="false">IF(AP1096&lt;=0,"",IF(BY1096="Aussen","Aussenlager",IF(BY1096="-","Nicht im Lift",IF(AU1096&gt;=1,"Lift",IF(AU1096&lt;=0,"Aussenlager","teilweise")))))</f>
        <v>Lift</v>
      </c>
      <c r="BF1096" s="55" t="str">
        <f aca="false">IF(AX1096&lt;=0,"",IF(BY1096="Aussen","Aussenlager",IF(BY1096="-","Nicht im Lift",IF(BC1096&gt;=1,"Lift",IF(BC1096&lt;=0,"Aussenlager","teilweise")))))</f>
        <v>Lift</v>
      </c>
      <c r="BG1096" s="55" t="str">
        <f aca="false">IF(A1096="","",IF(BP1096=1,"Neu; ","")&amp;IF(AND(BP1096=0,BK1096&lt;0),"negativer Bestand (Export "&amp;BK1096&amp;"); ","")&amp;IF(J1096&lt;=0,"Kein Verbrauch; ","")&amp;IF(CH1096&gt;0,"Lift "&amp;W1096&amp;" lt. Liftbericht (Fach "&amp;X1096&amp;" Stk); ",IF(BU1096=1,"Gebinde geschätzt ("&amp;T1096&amp;"); ",IF(BT1096=1,"Lose – Tablare geschätzt; ","")))&amp;IF(H1096&gt;AR1096,"Überbestand "&amp;ROUND(H1096-AR1096,0)&amp;" Stk / CHF "&amp;ROUND((H1096-AR1096)*G1096,0)&amp;"; ","")&amp;IF(AND(CA1096=1,CB1096&lt;CC1096),"MAX &lt; MB+LG; ","")&amp;IF(AND(CG1096&gt;0,CF1096*10&gt;CG1096),"zu hoch für Tablar; ","")&amp;IF(AND(BP1096=0,OR(CA1096=1,AA1096&lt;&gt;"",U1096&lt;&gt;"",V1096&lt;&gt;"",AB1096&lt;&gt;"")),"manuell übersteuert; ","")&amp;IF(AND(BT1096=0,R1096=0),"Gebinde unbekannt / Stellmass fehlt; ","")&amp;IF(AND(BT1096=0,N(V1096)&lt;=0,N(Q1096)&lt;=0),"Menge pro Gebinde fehlt (Ist = 1 Gebinde); ","")&amp;BO1096)</f>
        <v>negativer Bestand (Export -2); </v>
      </c>
      <c r="BH1096" s="55"/>
      <c r="BI1096" s="55"/>
      <c r="BJ1096" s="62"/>
      <c r="BK1096" s="57" t="n">
        <v>-2</v>
      </c>
      <c r="BL1096" s="57" t="n">
        <v>11</v>
      </c>
      <c r="BM1096" s="56" t="n">
        <v>-203.24</v>
      </c>
      <c r="BN1096" s="57" t="n">
        <v>2</v>
      </c>
      <c r="BO1096" s="55"/>
      <c r="BP1096" s="60" t="n">
        <v>0</v>
      </c>
      <c r="BQ1096" s="60" t="n">
        <v>1096</v>
      </c>
      <c r="BR1096" s="55" t="str">
        <f aca="false">IF(U1096&lt;&gt;"",UPPER(TRIM(U1096)),IF(BU1096=1,UPPER(VLOOKUP(T1096,Parameter!$I$27:$K$29,2,0)),IF(P1096="","LOSE",P1096)))</f>
        <v>S41</v>
      </c>
      <c r="BS1096" s="57" t="n">
        <f aca="false">IF(BR1096="LOSE",1,IF(N(V1096)&gt;0,V1096,IF(BU1096=1,MAX(1,N(VLOOKUP(T1096,Parameter!$I$27:$K$29,3,0)),H1096,N(N1096)),IF(N(Q1096)&gt;0,Q1096,MAX(1,H1096)))))</f>
        <v>16</v>
      </c>
      <c r="BT1096" s="60" t="n">
        <f aca="false">IF(BR1096="LOSE",1,0)</f>
        <v>0</v>
      </c>
      <c r="BU1096" s="60" t="n">
        <f aca="false">IF(AND(U1096="",OR(P1096="",P1096="LOSE"),T1096&lt;&gt;"",N(S1096)&lt;=0,ISNUMBER(MATCH(T1096,Parameter!$I$27:$I$29,0))),1,0)</f>
        <v>0</v>
      </c>
      <c r="BV1096" s="55" t="str">
        <f aca="false">IF(AND(Parameter!$B$19="Ja",E1096&lt;&gt;"",ISNUMBER(MATCH(E1096,Parameter!$I$35:$I$52,0))),VLOOKUP(E1096,Parameter!$I$35:$J$52,2,0),IFERROR(VLOOKUP(D1096,Parameter!$A$35:$C$64,2,0),"Nein"))</f>
        <v>2+3</v>
      </c>
      <c r="BW1096" s="59" t="n">
        <f aca="false">IF(BT1096=0,0,IF(N(S1096)&gt;0,S1096,IFERROR(VLOOKUP(D1096,Parameter!$A$35:$C$64,3,0)+0,0)))</f>
        <v>0</v>
      </c>
      <c r="BX1096" s="55" t="n">
        <f aca="false">IF(AA1096&lt;&gt;"",AA1096,Z1096)</f>
        <v>3</v>
      </c>
      <c r="BY1096" s="55" t="str">
        <f aca="false">IF(BX1096=1,"L1",IF(OR(BX1096=2,BX1096=3),"L23",IF(BX1096="Aussen","Aussen","-")))</f>
        <v>L23</v>
      </c>
      <c r="BZ1096" s="66" t="n">
        <f aca="false">IF(N(AB1096)&gt;0,AB1096,0)</f>
        <v>0</v>
      </c>
      <c r="CA1096" s="60" t="n">
        <f aca="false">IF(ISNUMBER(AE1096),1,0)</f>
        <v>0</v>
      </c>
      <c r="CB1096" s="57" t="n">
        <f aca="false">N(AE1096)</f>
        <v>0</v>
      </c>
      <c r="CC1096" s="57" t="n">
        <f aca="false">N(M1096)+N(N1096)</f>
        <v>1</v>
      </c>
      <c r="CD1096" s="57" t="n">
        <f aca="false">ROUNDUP(H1096/BS1096,0)</f>
        <v>1</v>
      </c>
      <c r="CE1096" s="57" t="n">
        <f aca="false">ROUNDUP(CB1096/BS1096,0)</f>
        <v>0</v>
      </c>
      <c r="CF1096" s="60" t="n">
        <f aca="false">IF(BT1096=1,0,IFERROR(VLOOKUP(BR1096,'Gebinde-Kategorie'!$A$5:$M$45,5,0)+0,0))</f>
        <v>11</v>
      </c>
      <c r="CG1096" s="60" t="n">
        <f aca="false">IFERROR(IF(OR(BX1096=1,BX1096=2,BX1096=3),N(INDEX(Parameter!$I$5:$I$7,BX1096)),0),0)</f>
        <v>0</v>
      </c>
      <c r="CH1096" s="59" t="n">
        <f aca="false">IF(AND(Parameter!$B$21="Ja",ISNUMBER(W1096),N(X1096)&gt;0),IFERROR(N(INDEX(Parameter!$L$5:$L$7,W1096))*INDEX(Parameter!$E$5:$E$7,W1096)*X1096/SUMIFS($X$7:$X$1843,$W$7:$W$1843,W1096),0),0)</f>
        <v>0</v>
      </c>
    </row>
    <row r="1097" customFormat="false" ht="15" hidden="false" customHeight="false" outlineLevel="0" collapsed="false">
      <c r="A1097" s="55" t="s">
        <v>1996</v>
      </c>
      <c r="B1097" s="55" t="s">
        <v>1997</v>
      </c>
      <c r="C1097" s="55" t="s">
        <v>164</v>
      </c>
      <c r="D1097" s="55" t="s">
        <v>173</v>
      </c>
      <c r="E1097" s="55"/>
      <c r="F1097" s="55" t="s">
        <v>218</v>
      </c>
      <c r="G1097" s="56" t="n">
        <v>205.4</v>
      </c>
      <c r="H1097" s="57" t="n">
        <f aca="false">MAX(0,IF(AND(Parameter!$B$21="Ja",ISNUMBER(Y1097)),Y1097,IF(Parameter!$B$20="Jahresanfang 2025 + Export",BL1097+BK1097,BK1097)))</f>
        <v>22</v>
      </c>
      <c r="I1097" s="57" t="n">
        <f aca="false">H1097*G1097</f>
        <v>4518.8</v>
      </c>
      <c r="J1097" s="57" t="n">
        <f aca="false">BN1097*Parameter!$B$18</f>
        <v>0</v>
      </c>
      <c r="K1097" s="58" t="n">
        <v>22.5</v>
      </c>
      <c r="L1097" s="59" t="n">
        <v>0</v>
      </c>
      <c r="M1097" s="57" t="n">
        <v>0</v>
      </c>
      <c r="N1097" s="57" t="n">
        <v>1</v>
      </c>
      <c r="O1097" s="60" t="n">
        <v>28</v>
      </c>
      <c r="P1097" s="55" t="s">
        <v>174</v>
      </c>
      <c r="Q1097" s="57" t="n">
        <v>24</v>
      </c>
      <c r="R1097" s="60" t="n">
        <f aca="false">IF(BT1097=1,0,IFERROR(VLOOKUP(BR1097,'Gebinde-Kategorie'!$A$5:$M$45,13,0)+0,0))</f>
        <v>6</v>
      </c>
      <c r="S1097" s="61"/>
      <c r="T1097" s="62"/>
      <c r="U1097" s="62"/>
      <c r="V1097" s="62"/>
      <c r="W1097" s="55"/>
      <c r="X1097" s="57"/>
      <c r="Y1097" s="57"/>
      <c r="Z1097" s="55" t="n">
        <f aca="false">IF(A1097="","",IF(AND(Parameter!$B$21="Ja",ISNUMBER(W1097)),W1097,IF(BV1097="2+3",IF(ISNUMBER(SEARCH("grosser Artikel",BO1097)),2,IFERROR(VLOOKUP(BR1097,Parameter!$F$35:$G$64,2,0),2)),IF(OR(BV1097="Nein",BV1097=""),"-",BV1097))))</f>
        <v>2</v>
      </c>
      <c r="AA1097" s="62"/>
      <c r="AB1097" s="63"/>
      <c r="AC1097" s="57" t="n">
        <f aca="false">AR1097</f>
        <v>24</v>
      </c>
      <c r="AD1097" s="57" t="n">
        <f aca="false">MAX(AR1097,H1097)</f>
        <v>24</v>
      </c>
      <c r="AE1097" s="64"/>
      <c r="AF1097" s="57" t="n">
        <f aca="false">IF(LEFT(Cockpit!$C$5,1)="A",H1097,IF(CA1097=1,CB1097,IF(LEFT(Cockpit!$C$5,1)="B",AJ1097,MAX(AJ1097,H1097))))</f>
        <v>22</v>
      </c>
      <c r="AG1097" s="57" t="n">
        <f aca="false">IF(BT1097=1,0,ROUNDUP(AF1097/BS1097,0))</f>
        <v>1</v>
      </c>
      <c r="AH1097" s="59" t="n">
        <f aca="false">IF(CH1097&gt;0,CH1097*MAX(1,AF1097/X1097),IF(BT1097=1,IF(AF1097&lt;=0,0,BW1097*MAX(1,IF(H1097&gt;0,AF1097/H1097,1))),IF(R1097&gt;0,AG1097/R1097,0))/MAX(0.1,N(Parameter!$M$21)))</f>
        <v>0.166666666666667</v>
      </c>
      <c r="AI1097" s="57" t="n">
        <f aca="false">AF1097*G1097</f>
        <v>4518.8</v>
      </c>
      <c r="AJ1097" s="57" t="n">
        <f aca="false">ROUNDUP(MAX(J1097/IF(BZ1097&gt;0,BZ1097,MAX(0.1,N(Cockpit!$C$6))),CC1097)/BS1097,0)*BS1097</f>
        <v>24</v>
      </c>
      <c r="AK1097" s="58" t="n">
        <f aca="false">IF(AH1097&gt;0,J1097/AH1097,-1)</f>
        <v>0</v>
      </c>
      <c r="AL1097" s="58" t="n">
        <f aca="false">IF(AND(OR(BY1097="L1",BY1097="L23"),AH1097&gt;0),SUMIFS($AH$7:$AH$1843,$BY$7:$BY$1843,BY1097,$AK$7:$AK$1843,"&gt;"&amp;AK1097)+SUMIFS($AH$7:$AH$1843,$BY$7:$BY$1843,BY1097,$AK$7:$AK$1843,AK1097,$BQ$7:$BQ$1843,"&lt;="&amp;BQ1097),"")</f>
        <v>79.415526502483</v>
      </c>
      <c r="AM1097" s="65" t="n">
        <f aca="false">IF(AL1097="",0,MAX(0,MIN(1,(IF(BY1097="L1",Parameter!$E$5,Parameter!$E$6+Parameter!$E$7)-(AL1097-AH1097))/AH1097)))</f>
        <v>1</v>
      </c>
      <c r="AN1097" s="57" t="n">
        <f aca="false">IF(LEFT(Cockpit!$I$5,1)="A",H1097,IF(CA1097=1,CB1097,IF(LEFT(Cockpit!$I$5,1)="B",AR1097,MAX(AR1097,H1097))))</f>
        <v>24</v>
      </c>
      <c r="AO1097" s="57" t="n">
        <f aca="false">IF(BT1097=1,0,ROUNDUP(AN1097/BS1097,0))</f>
        <v>1</v>
      </c>
      <c r="AP1097" s="59" t="n">
        <f aca="false">IF(CH1097&gt;0,CH1097*MAX(1,AN1097/X1097),IF(BT1097=1,IF(AN1097&lt;=0,0,BW1097*MAX(1,IF(H1097&gt;0,AN1097/H1097,1))),IF(R1097&gt;0,AO1097/R1097,0))/MAX(0.1,N(Parameter!$M$21)))</f>
        <v>0.166666666666667</v>
      </c>
      <c r="AQ1097" s="57" t="n">
        <f aca="false">AN1097*G1097</f>
        <v>4929.6</v>
      </c>
      <c r="AR1097" s="57" t="n">
        <f aca="false">ROUNDUP(MAX(J1097/IF(BZ1097&gt;0,BZ1097,MAX(0.1,N(Cockpit!$I$6))),CC1097)/BS1097,0)*BS1097</f>
        <v>24</v>
      </c>
      <c r="AS1097" s="58" t="n">
        <f aca="false">IF(AP1097&gt;0,J1097/AP1097,-1)</f>
        <v>0</v>
      </c>
      <c r="AT1097" s="58" t="n">
        <f aca="false">IF(AND(OR(BY1097="L1",BY1097="L23"),AP1097&gt;0),SUMIFS($AP$7:$AP$1843,$BY$7:$BY$1843,BY1097,$AS$7:$AS$1843,"&gt;"&amp;AS1097)+SUMIFS($AP$7:$AP$1843,$BY$7:$BY$1843,BY1097,$AS$7:$AS$1843,AS1097,$BQ$7:$BQ$1843,"&lt;="&amp;BQ1097),"")</f>
        <v>120.946462957333</v>
      </c>
      <c r="AU1097" s="65" t="n">
        <f aca="false">IF(AT1097="",0,MAX(0,MIN(1,(IF(BY1097="L1",Parameter!$E$5,Parameter!$E$6+Parameter!$E$7)-(AT1097-AP1097))/AP1097)))</f>
        <v>0</v>
      </c>
      <c r="AV1097" s="57" t="n">
        <f aca="false">IF(LEFT(Cockpit!$O$5,1)="A",H1097,IF(CA1097=1,CB1097,IF(LEFT(Cockpit!$O$5,1)="B",AZ1097,MAX(AZ1097,H1097))))</f>
        <v>24</v>
      </c>
      <c r="AW1097" s="57" t="n">
        <f aca="false">IF(BT1097=1,0,ROUNDUP(AV1097/BS1097,0))</f>
        <v>1</v>
      </c>
      <c r="AX1097" s="59" t="n">
        <f aca="false">IF(CH1097&gt;0,CH1097*MAX(1,AV1097/X1097),IF(BT1097=1,IF(AV1097&lt;=0,0,BW1097*MAX(1,IF(H1097&gt;0,AV1097/H1097,1))),IF(R1097&gt;0,AW1097/R1097,0))/MAX(0.1,N(Parameter!$M$21)))</f>
        <v>0.166666666666667</v>
      </c>
      <c r="AY1097" s="57" t="n">
        <f aca="false">AV1097*G1097</f>
        <v>4929.6</v>
      </c>
      <c r="AZ1097" s="57" t="n">
        <f aca="false">ROUNDUP(MAX(J1097/IF(BZ1097&gt;0,BZ1097,MAX(0.1,N(Cockpit!$O$6))),CC1097)/BS1097,0)*BS1097</f>
        <v>24</v>
      </c>
      <c r="BA1097" s="58" t="n">
        <f aca="false">IF(AX1097&gt;0,J1097/AX1097,-1)</f>
        <v>0</v>
      </c>
      <c r="BB1097" s="58" t="n">
        <f aca="false">IF(AND(OR(BY1097="L1",BY1097="L23"),AX1097&gt;0),SUMIFS($AX$7:$AX$1843,$BY$7:$BY$1843,BY1097,$BA$7:$BA$1843,"&gt;"&amp;BA1097)+SUMIFS($AX$7:$AX$1843,$BY$7:$BY$1843,BY1097,$BA$7:$BA$1843,BA1097,$BQ$7:$BQ$1843,"&lt;="&amp;BQ1097),"")</f>
        <v>111.776299787169</v>
      </c>
      <c r="BC1097" s="65" t="n">
        <f aca="false">IF(BB1097="",0,MAX(0,MIN(1,(IF(BY1097="L1",Parameter!$E$5,Parameter!$E$6+Parameter!$E$7)-(BB1097-AX1097))/AX1097)))</f>
        <v>0</v>
      </c>
      <c r="BD1097" s="55" t="str">
        <f aca="false">IF(AH1097&lt;=0,"",IF(BY1097="Aussen","Aussenlager",IF(BY1097="-","Nicht im Lift",IF(AM1097&gt;=1,"Lift",IF(AM1097&lt;=0,"Aussenlager","teilweise")))))</f>
        <v>Lift</v>
      </c>
      <c r="BE1097" s="55" t="str">
        <f aca="false">IF(AP1097&lt;=0,"",IF(BY1097="Aussen","Aussenlager",IF(BY1097="-","Nicht im Lift",IF(AU1097&gt;=1,"Lift",IF(AU1097&lt;=0,"Aussenlager","teilweise")))))</f>
        <v>Aussenlager</v>
      </c>
      <c r="BF1097" s="55" t="str">
        <f aca="false">IF(AX1097&lt;=0,"",IF(BY1097="Aussen","Aussenlager",IF(BY1097="-","Nicht im Lift",IF(BC1097&gt;=1,"Lift",IF(BC1097&lt;=0,"Aussenlager","teilweise")))))</f>
        <v>Aussenlager</v>
      </c>
      <c r="BG1097" s="55" t="str">
        <f aca="false">IF(A1097="","",IF(BP1097=1,"Neu; ","")&amp;IF(AND(BP1097=0,BK1097&lt;0),"negativer Bestand (Export "&amp;BK1097&amp;"); ","")&amp;IF(J1097&lt;=0,"Kein Verbrauch; ","")&amp;IF(CH1097&gt;0,"Lift "&amp;W1097&amp;" lt. Liftbericht (Fach "&amp;X1097&amp;" Stk); ",IF(BU1097=1,"Gebinde geschätzt ("&amp;T1097&amp;"); ",IF(BT1097=1,"Lose – Tablare geschätzt; ","")))&amp;IF(H1097&gt;AR1097,"Überbestand "&amp;ROUND(H1097-AR1097,0)&amp;" Stk / CHF "&amp;ROUND((H1097-AR1097)*G1097,0)&amp;"; ","")&amp;IF(AND(CA1097=1,CB1097&lt;CC1097),"MAX &lt; MB+LG; ","")&amp;IF(AND(CG1097&gt;0,CF1097*10&gt;CG1097),"zu hoch für Tablar; ","")&amp;IF(AND(BP1097=0,OR(CA1097=1,AA1097&lt;&gt;"",U1097&lt;&gt;"",V1097&lt;&gt;"",AB1097&lt;&gt;"")),"manuell übersteuert; ","")&amp;IF(AND(BT1097=0,R1097=0),"Gebinde unbekannt / Stellmass fehlt; ","")&amp;IF(AND(BT1097=0,N(V1097)&lt;=0,N(Q1097)&lt;=0),"Menge pro Gebinde fehlt (Ist = 1 Gebinde); ","")&amp;BO1097)</f>
        <v>negativer Bestand (Export -1); Kein Verbrauch; </v>
      </c>
      <c r="BH1097" s="55"/>
      <c r="BI1097" s="55"/>
      <c r="BJ1097" s="62"/>
      <c r="BK1097" s="57" t="n">
        <v>-1</v>
      </c>
      <c r="BL1097" s="57" t="n">
        <v>23</v>
      </c>
      <c r="BM1097" s="56" t="n">
        <v>-205.4</v>
      </c>
      <c r="BN1097" s="57" t="n">
        <v>0</v>
      </c>
      <c r="BO1097" s="55"/>
      <c r="BP1097" s="60" t="n">
        <v>0</v>
      </c>
      <c r="BQ1097" s="60" t="n">
        <v>1097</v>
      </c>
      <c r="BR1097" s="55" t="str">
        <f aca="false">IF(U1097&lt;&gt;"",UPPER(TRIM(U1097)),IF(BU1097=1,UPPER(VLOOKUP(T1097,Parameter!$I$27:$K$29,2,0)),IF(P1097="","LOSE",P1097)))</f>
        <v>S71</v>
      </c>
      <c r="BS1097" s="57" t="n">
        <f aca="false">IF(BR1097="LOSE",1,IF(N(V1097)&gt;0,V1097,IF(BU1097=1,MAX(1,N(VLOOKUP(T1097,Parameter!$I$27:$K$29,3,0)),H1097,N(N1097)),IF(N(Q1097)&gt;0,Q1097,MAX(1,H1097)))))</f>
        <v>24</v>
      </c>
      <c r="BT1097" s="60" t="n">
        <f aca="false">IF(BR1097="LOSE",1,0)</f>
        <v>0</v>
      </c>
      <c r="BU1097" s="60" t="n">
        <f aca="false">IF(AND(U1097="",OR(P1097="",P1097="LOSE"),T1097&lt;&gt;"",N(S1097)&lt;=0,ISNUMBER(MATCH(T1097,Parameter!$I$27:$I$29,0))),1,0)</f>
        <v>0</v>
      </c>
      <c r="BV1097" s="55" t="str">
        <f aca="false">IF(AND(Parameter!$B$19="Ja",E1097&lt;&gt;"",ISNUMBER(MATCH(E1097,Parameter!$I$35:$I$52,0))),VLOOKUP(E1097,Parameter!$I$35:$J$52,2,0),IFERROR(VLOOKUP(D1097,Parameter!$A$35:$C$64,2,0),"Nein"))</f>
        <v>2+3</v>
      </c>
      <c r="BW1097" s="59" t="n">
        <f aca="false">IF(BT1097=0,0,IF(N(S1097)&gt;0,S1097,IFERROR(VLOOKUP(D1097,Parameter!$A$35:$C$64,3,0)+0,0)))</f>
        <v>0</v>
      </c>
      <c r="BX1097" s="55" t="n">
        <f aca="false">IF(AA1097&lt;&gt;"",AA1097,Z1097)</f>
        <v>2</v>
      </c>
      <c r="BY1097" s="55" t="str">
        <f aca="false">IF(BX1097=1,"L1",IF(OR(BX1097=2,BX1097=3),"L23",IF(BX1097="Aussen","Aussen","-")))</f>
        <v>L23</v>
      </c>
      <c r="BZ1097" s="66" t="n">
        <f aca="false">IF(N(AB1097)&gt;0,AB1097,0)</f>
        <v>0</v>
      </c>
      <c r="CA1097" s="60" t="n">
        <f aca="false">IF(ISNUMBER(AE1097),1,0)</f>
        <v>0</v>
      </c>
      <c r="CB1097" s="57" t="n">
        <f aca="false">N(AE1097)</f>
        <v>0</v>
      </c>
      <c r="CC1097" s="57" t="n">
        <f aca="false">N(M1097)+N(N1097)</f>
        <v>1</v>
      </c>
      <c r="CD1097" s="57" t="n">
        <f aca="false">ROUNDUP(H1097/BS1097,0)</f>
        <v>1</v>
      </c>
      <c r="CE1097" s="57" t="n">
        <f aca="false">ROUNDUP(CB1097/BS1097,0)</f>
        <v>0</v>
      </c>
      <c r="CF1097" s="60" t="n">
        <f aca="false">IF(BT1097=1,0,IFERROR(VLOOKUP(BR1097,'Gebinde-Kategorie'!$A$5:$M$45,5,0)+0,0))</f>
        <v>20</v>
      </c>
      <c r="CG1097" s="60" t="n">
        <f aca="false">IFERROR(IF(OR(BX1097=1,BX1097=2,BX1097=3),N(INDEX(Parameter!$I$5:$I$7,BX1097)),0),0)</f>
        <v>0</v>
      </c>
      <c r="CH1097" s="59" t="n">
        <f aca="false">IF(AND(Parameter!$B$21="Ja",ISNUMBER(W1097),N(X1097)&gt;0),IFERROR(N(INDEX(Parameter!$L$5:$L$7,W1097))*INDEX(Parameter!$E$5:$E$7,W1097)*X1097/SUMIFS($X$7:$X$1843,$W$7:$W$1843,W1097),0),0)</f>
        <v>0</v>
      </c>
    </row>
    <row r="1098" customFormat="false" ht="15" hidden="false" customHeight="false" outlineLevel="0" collapsed="false">
      <c r="A1098" s="55" t="s">
        <v>1998</v>
      </c>
      <c r="B1098" s="55" t="s">
        <v>507</v>
      </c>
      <c r="C1098" s="55" t="s">
        <v>164</v>
      </c>
      <c r="D1098" s="55" t="s">
        <v>184</v>
      </c>
      <c r="E1098" s="55" t="s">
        <v>185</v>
      </c>
      <c r="F1098" s="55" t="s">
        <v>218</v>
      </c>
      <c r="G1098" s="56" t="n">
        <v>1.85</v>
      </c>
      <c r="H1098" s="57" t="n">
        <f aca="false">MAX(0,IF(AND(Parameter!$B$21="Ja",ISNUMBER(Y1098)),Y1098,IF(Parameter!$B$20="Jahresanfang 2025 + Export",BL1098+BK1098,BK1098)))</f>
        <v>322</v>
      </c>
      <c r="I1098" s="57" t="n">
        <f aca="false">H1098*G1098</f>
        <v>595.7</v>
      </c>
      <c r="J1098" s="57" t="n">
        <f aca="false">BN1098*Parameter!$B$18</f>
        <v>260</v>
      </c>
      <c r="K1098" s="58" t="n">
        <v>409.5</v>
      </c>
      <c r="L1098" s="59" t="n">
        <v>0.634920634920635</v>
      </c>
      <c r="M1098" s="57" t="n">
        <v>15</v>
      </c>
      <c r="N1098" s="57" t="n">
        <v>260</v>
      </c>
      <c r="O1098" s="60" t="n">
        <v>21</v>
      </c>
      <c r="P1098" s="55" t="s">
        <v>233</v>
      </c>
      <c r="Q1098" s="57" t="n">
        <v>832</v>
      </c>
      <c r="R1098" s="60" t="n">
        <f aca="false">IF(BT1098=1,0,IFERROR(VLOOKUP(BR1098,'Gebinde-Kategorie'!$A$5:$M$45,13,0)+0,0))</f>
        <v>26</v>
      </c>
      <c r="S1098" s="61"/>
      <c r="T1098" s="62"/>
      <c r="U1098" s="62"/>
      <c r="V1098" s="62"/>
      <c r="W1098" s="55"/>
      <c r="X1098" s="57"/>
      <c r="Y1098" s="57"/>
      <c r="Z1098" s="55" t="n">
        <f aca="false">IF(A1098="","",IF(AND(Parameter!$B$21="Ja",ISNUMBER(W1098)),W1098,IF(BV1098="2+3",IF(ISNUMBER(SEARCH("grosser Artikel",BO1098)),2,IFERROR(VLOOKUP(BR1098,Parameter!$F$35:$G$64,2,0),2)),IF(OR(BV1098="Nein",BV1098=""),"-",BV1098))))</f>
        <v>3</v>
      </c>
      <c r="AA1098" s="62"/>
      <c r="AB1098" s="63"/>
      <c r="AC1098" s="57" t="n">
        <f aca="false">AR1098</f>
        <v>832</v>
      </c>
      <c r="AD1098" s="57" t="n">
        <f aca="false">MAX(AR1098,H1098)</f>
        <v>832</v>
      </c>
      <c r="AE1098" s="64"/>
      <c r="AF1098" s="57" t="n">
        <f aca="false">IF(LEFT(Cockpit!$C$5,1)="A",H1098,IF(CA1098=1,CB1098,IF(LEFT(Cockpit!$C$5,1)="B",AJ1098,MAX(AJ1098,H1098))))</f>
        <v>322</v>
      </c>
      <c r="AG1098" s="57" t="n">
        <f aca="false">IF(BT1098=1,0,ROUNDUP(AF1098/BS1098,0))</f>
        <v>1</v>
      </c>
      <c r="AH1098" s="59" t="n">
        <f aca="false">IF(CH1098&gt;0,CH1098*MAX(1,AF1098/X1098),IF(BT1098=1,IF(AF1098&lt;=0,0,BW1098*MAX(1,IF(H1098&gt;0,AF1098/H1098,1))),IF(R1098&gt;0,AG1098/R1098,0))/MAX(0.1,N(Parameter!$M$21)))</f>
        <v>0.0384615384615385</v>
      </c>
      <c r="AI1098" s="57" t="n">
        <f aca="false">AF1098*G1098</f>
        <v>595.7</v>
      </c>
      <c r="AJ1098" s="57" t="n">
        <f aca="false">ROUNDUP(MAX(J1098/IF(BZ1098&gt;0,BZ1098,MAX(0.1,N(Cockpit!$C$6))),CC1098)/BS1098,0)*BS1098</f>
        <v>832</v>
      </c>
      <c r="AK1098" s="58" t="n">
        <f aca="false">IF(AH1098&gt;0,J1098/AH1098,-1)</f>
        <v>6760</v>
      </c>
      <c r="AL1098" s="58" t="n">
        <f aca="false">IF(AND(OR(BY1098="L1",BY1098="L23"),AH1098&gt;0),SUMIFS($AH$7:$AH$1843,$BY$7:$BY$1843,BY1098,$AK$7:$AK$1843,"&gt;"&amp;AK1098)+SUMIFS($AH$7:$AH$1843,$BY$7:$BY$1843,BY1098,$AK$7:$AK$1843,AK1098,$BQ$7:$BQ$1843,"&lt;="&amp;BQ1098),"")</f>
        <v>6.37414276544711</v>
      </c>
      <c r="AM1098" s="65" t="n">
        <f aca="false">IF(AL1098="",0,MAX(0,MIN(1,(IF(BY1098="L1",Parameter!$E$5,Parameter!$E$6+Parameter!$E$7)-(AL1098-AH1098))/AH1098)))</f>
        <v>1</v>
      </c>
      <c r="AN1098" s="57" t="n">
        <f aca="false">IF(LEFT(Cockpit!$I$5,1)="A",H1098,IF(CA1098=1,CB1098,IF(LEFT(Cockpit!$I$5,1)="B",AR1098,MAX(AR1098,H1098))))</f>
        <v>832</v>
      </c>
      <c r="AO1098" s="57" t="n">
        <f aca="false">IF(BT1098=1,0,ROUNDUP(AN1098/BS1098,0))</f>
        <v>1</v>
      </c>
      <c r="AP1098" s="59" t="n">
        <f aca="false">IF(CH1098&gt;0,CH1098*MAX(1,AN1098/X1098),IF(BT1098=1,IF(AN1098&lt;=0,0,BW1098*MAX(1,IF(H1098&gt;0,AN1098/H1098,1))),IF(R1098&gt;0,AO1098/R1098,0))/MAX(0.1,N(Parameter!$M$21)))</f>
        <v>0.0384615384615385</v>
      </c>
      <c r="AQ1098" s="57" t="n">
        <f aca="false">AN1098*G1098</f>
        <v>1539.2</v>
      </c>
      <c r="AR1098" s="57" t="n">
        <f aca="false">ROUNDUP(MAX(J1098/IF(BZ1098&gt;0,BZ1098,MAX(0.1,N(Cockpit!$I$6))),CC1098)/BS1098,0)*BS1098</f>
        <v>832</v>
      </c>
      <c r="AS1098" s="58" t="n">
        <f aca="false">IF(AP1098&gt;0,J1098/AP1098,-1)</f>
        <v>6760</v>
      </c>
      <c r="AT1098" s="58" t="n">
        <f aca="false">IF(AND(OR(BY1098="L1",BY1098="L23"),AP1098&gt;0),SUMIFS($AP$7:$AP$1843,$BY$7:$BY$1843,BY1098,$AS$7:$AS$1843,"&gt;"&amp;AS1098)+SUMIFS($AP$7:$AP$1843,$BY$7:$BY$1843,BY1098,$AS$7:$AS$1843,AS1098,$BQ$7:$BQ$1843,"&lt;="&amp;BQ1098),"")</f>
        <v>9.98471335427857</v>
      </c>
      <c r="AU1098" s="65" t="n">
        <f aca="false">IF(AT1098="",0,MAX(0,MIN(1,(IF(BY1098="L1",Parameter!$E$5,Parameter!$E$6+Parameter!$E$7)-(AT1098-AP1098))/AP1098)))</f>
        <v>1</v>
      </c>
      <c r="AV1098" s="57" t="n">
        <f aca="false">IF(LEFT(Cockpit!$O$5,1)="A",H1098,IF(CA1098=1,CB1098,IF(LEFT(Cockpit!$O$5,1)="B",AZ1098,MAX(AZ1098,H1098))))</f>
        <v>832</v>
      </c>
      <c r="AW1098" s="57" t="n">
        <f aca="false">IF(BT1098=1,0,ROUNDUP(AV1098/BS1098,0))</f>
        <v>1</v>
      </c>
      <c r="AX1098" s="59" t="n">
        <f aca="false">IF(CH1098&gt;0,CH1098*MAX(1,AV1098/X1098),IF(BT1098=1,IF(AV1098&lt;=0,0,BW1098*MAX(1,IF(H1098&gt;0,AV1098/H1098,1))),IF(R1098&gt;0,AW1098/R1098,0))/MAX(0.1,N(Parameter!$M$21)))</f>
        <v>0.0384615384615385</v>
      </c>
      <c r="AY1098" s="57" t="n">
        <f aca="false">AV1098*G1098</f>
        <v>1539.2</v>
      </c>
      <c r="AZ1098" s="57" t="n">
        <f aca="false">ROUNDUP(MAX(J1098/IF(BZ1098&gt;0,BZ1098,MAX(0.1,N(Cockpit!$O$6))),CC1098)/BS1098,0)*BS1098</f>
        <v>832</v>
      </c>
      <c r="BA1098" s="58" t="n">
        <f aca="false">IF(AX1098&gt;0,J1098/AX1098,-1)</f>
        <v>6760</v>
      </c>
      <c r="BB1098" s="58" t="n">
        <f aca="false">IF(AND(OR(BY1098="L1",BY1098="L23"),AX1098&gt;0),SUMIFS($AX$7:$AX$1843,$BY$7:$BY$1843,BY1098,$BA$7:$BA$1843,"&gt;"&amp;BA1098)+SUMIFS($AX$7:$AX$1843,$BY$7:$BY$1843,BY1098,$BA$7:$BA$1843,BA1098,$BQ$7:$BQ$1843,"&lt;="&amp;BQ1098),"")</f>
        <v>9.38506300462822</v>
      </c>
      <c r="BC1098" s="65" t="n">
        <f aca="false">IF(BB1098="",0,MAX(0,MIN(1,(IF(BY1098="L1",Parameter!$E$5,Parameter!$E$6+Parameter!$E$7)-(BB1098-AX1098))/AX1098)))</f>
        <v>1</v>
      </c>
      <c r="BD1098" s="55" t="str">
        <f aca="false">IF(AH1098&lt;=0,"",IF(BY1098="Aussen","Aussenlager",IF(BY1098="-","Nicht im Lift",IF(AM1098&gt;=1,"Lift",IF(AM1098&lt;=0,"Aussenlager","teilweise")))))</f>
        <v>Lift</v>
      </c>
      <c r="BE1098" s="55" t="str">
        <f aca="false">IF(AP1098&lt;=0,"",IF(BY1098="Aussen","Aussenlager",IF(BY1098="-","Nicht im Lift",IF(AU1098&gt;=1,"Lift",IF(AU1098&lt;=0,"Aussenlager","teilweise")))))</f>
        <v>Lift</v>
      </c>
      <c r="BF1098" s="55" t="str">
        <f aca="false">IF(AX1098&lt;=0,"",IF(BY1098="Aussen","Aussenlager",IF(BY1098="-","Nicht im Lift",IF(BC1098&gt;=1,"Lift",IF(BC1098&lt;=0,"Aussenlager","teilweise")))))</f>
        <v>Lift</v>
      </c>
      <c r="BG1098" s="55" t="str">
        <f aca="false">IF(A1098="","",IF(BP1098=1,"Neu; ","")&amp;IF(AND(BP1098=0,BK1098&lt;0),"negativer Bestand (Export "&amp;BK1098&amp;"); ","")&amp;IF(J1098&lt;=0,"Kein Verbrauch; ","")&amp;IF(CH1098&gt;0,"Lift "&amp;W1098&amp;" lt. Liftbericht (Fach "&amp;X1098&amp;" Stk); ",IF(BU1098=1,"Gebinde geschätzt ("&amp;T1098&amp;"); ",IF(BT1098=1,"Lose – Tablare geschätzt; ","")))&amp;IF(H1098&gt;AR1098,"Überbestand "&amp;ROUND(H1098-AR1098,0)&amp;" Stk / CHF "&amp;ROUND((H1098-AR1098)*G1098,0)&amp;"; ","")&amp;IF(AND(CA1098=1,CB1098&lt;CC1098),"MAX &lt; MB+LG; ","")&amp;IF(AND(CG1098&gt;0,CF1098*10&gt;CG1098),"zu hoch für Tablar; ","")&amp;IF(AND(BP1098=0,OR(CA1098=1,AA1098&lt;&gt;"",U1098&lt;&gt;"",V1098&lt;&gt;"",AB1098&lt;&gt;"")),"manuell übersteuert; ","")&amp;IF(AND(BT1098=0,R1098=0),"Gebinde unbekannt / Stellmass fehlt; ","")&amp;IF(AND(BT1098=0,N(V1098)&lt;=0,N(Q1098)&lt;=0),"Menge pro Gebinde fehlt (Ist = 1 Gebinde); ","")&amp;BO1098)</f>
        <v>negativer Bestand (Export -30); </v>
      </c>
      <c r="BH1098" s="55"/>
      <c r="BI1098" s="55"/>
      <c r="BJ1098" s="62"/>
      <c r="BK1098" s="57" t="n">
        <v>-30</v>
      </c>
      <c r="BL1098" s="57" t="n">
        <v>352</v>
      </c>
      <c r="BM1098" s="56" t="n">
        <v>-207.150000000001</v>
      </c>
      <c r="BN1098" s="57" t="n">
        <v>260</v>
      </c>
      <c r="BO1098" s="55"/>
      <c r="BP1098" s="60" t="n">
        <v>0</v>
      </c>
      <c r="BQ1098" s="60" t="n">
        <v>1098</v>
      </c>
      <c r="BR1098" s="55" t="str">
        <f aca="false">IF(U1098&lt;&gt;"",UPPER(TRIM(U1098)),IF(BU1098=1,UPPER(VLOOKUP(T1098,Parameter!$I$27:$K$29,2,0)),IF(P1098="","LOSE",P1098)))</f>
        <v>S52</v>
      </c>
      <c r="BS1098" s="57" t="n">
        <f aca="false">IF(BR1098="LOSE",1,IF(N(V1098)&gt;0,V1098,IF(BU1098=1,MAX(1,N(VLOOKUP(T1098,Parameter!$I$27:$K$29,3,0)),H1098,N(N1098)),IF(N(Q1098)&gt;0,Q1098,MAX(1,H1098)))))</f>
        <v>832</v>
      </c>
      <c r="BT1098" s="60" t="n">
        <f aca="false">IF(BR1098="LOSE",1,0)</f>
        <v>0</v>
      </c>
      <c r="BU1098" s="60" t="n">
        <f aca="false">IF(AND(U1098="",OR(P1098="",P1098="LOSE"),T1098&lt;&gt;"",N(S1098)&lt;=0,ISNUMBER(MATCH(T1098,Parameter!$I$27:$I$29,0))),1,0)</f>
        <v>0</v>
      </c>
      <c r="BV1098" s="55" t="str">
        <f aca="false">IF(AND(Parameter!$B$19="Ja",E1098&lt;&gt;"",ISNUMBER(MATCH(E1098,Parameter!$I$35:$I$52,0))),VLOOKUP(E1098,Parameter!$I$35:$J$52,2,0),IFERROR(VLOOKUP(D1098,Parameter!$A$35:$C$64,2,0),"Nein"))</f>
        <v>2+3</v>
      </c>
      <c r="BW1098" s="59" t="n">
        <f aca="false">IF(BT1098=0,0,IF(N(S1098)&gt;0,S1098,IFERROR(VLOOKUP(D1098,Parameter!$A$35:$C$64,3,0)+0,0)))</f>
        <v>0</v>
      </c>
      <c r="BX1098" s="55" t="n">
        <f aca="false">IF(AA1098&lt;&gt;"",AA1098,Z1098)</f>
        <v>3</v>
      </c>
      <c r="BY1098" s="55" t="str">
        <f aca="false">IF(BX1098=1,"L1",IF(OR(BX1098=2,BX1098=3),"L23",IF(BX1098="Aussen","Aussen","-")))</f>
        <v>L23</v>
      </c>
      <c r="BZ1098" s="66" t="n">
        <f aca="false">IF(N(AB1098)&gt;0,AB1098,0)</f>
        <v>0</v>
      </c>
      <c r="CA1098" s="60" t="n">
        <f aca="false">IF(ISNUMBER(AE1098),1,0)</f>
        <v>0</v>
      </c>
      <c r="CB1098" s="57" t="n">
        <f aca="false">N(AE1098)</f>
        <v>0</v>
      </c>
      <c r="CC1098" s="57" t="n">
        <f aca="false">N(M1098)+N(N1098)</f>
        <v>275</v>
      </c>
      <c r="CD1098" s="57" t="n">
        <f aca="false">ROUNDUP(H1098/BS1098,0)</f>
        <v>1</v>
      </c>
      <c r="CE1098" s="57" t="n">
        <f aca="false">ROUNDUP(CB1098/BS1098,0)</f>
        <v>0</v>
      </c>
      <c r="CF1098" s="60" t="n">
        <f aca="false">IF(BT1098=1,0,IFERROR(VLOOKUP(BR1098,'Gebinde-Kategorie'!$A$5:$M$45,5,0)+0,0))</f>
        <v>21</v>
      </c>
      <c r="CG1098" s="60" t="n">
        <f aca="false">IFERROR(IF(OR(BX1098=1,BX1098=2,BX1098=3),N(INDEX(Parameter!$I$5:$I$7,BX1098)),0),0)</f>
        <v>0</v>
      </c>
      <c r="CH1098" s="59" t="n">
        <f aca="false">IF(AND(Parameter!$B$21="Ja",ISNUMBER(W1098),N(X1098)&gt;0),IFERROR(N(INDEX(Parameter!$L$5:$L$7,W1098))*INDEX(Parameter!$E$5:$E$7,W1098)*X1098/SUMIFS($X$7:$X$1843,$W$7:$W$1843,W1098),0),0)</f>
        <v>0</v>
      </c>
    </row>
    <row r="1099" customFormat="false" ht="15" hidden="false" customHeight="false" outlineLevel="0" collapsed="false">
      <c r="A1099" s="55" t="s">
        <v>1999</v>
      </c>
      <c r="B1099" s="55" t="s">
        <v>2000</v>
      </c>
      <c r="C1099" s="55" t="s">
        <v>164</v>
      </c>
      <c r="D1099" s="55" t="s">
        <v>173</v>
      </c>
      <c r="E1099" s="55"/>
      <c r="F1099" s="55" t="s">
        <v>218</v>
      </c>
      <c r="G1099" s="56" t="n">
        <v>166.37</v>
      </c>
      <c r="H1099" s="57" t="n">
        <f aca="false">MAX(0,IF(AND(Parameter!$B$21="Ja",ISNUMBER(Y1099)),Y1099,IF(Parameter!$B$20="Jahresanfang 2025 + Export",BL1099+BK1099,BK1099)))</f>
        <v>9</v>
      </c>
      <c r="I1099" s="57" t="n">
        <f aca="false">H1099*G1099</f>
        <v>1497.33</v>
      </c>
      <c r="J1099" s="57" t="n">
        <f aca="false">BN1099*Parameter!$B$18</f>
        <v>16</v>
      </c>
      <c r="K1099" s="58" t="n">
        <v>10.5</v>
      </c>
      <c r="L1099" s="59" t="n">
        <v>1.52380952380952</v>
      </c>
      <c r="M1099" s="57" t="n">
        <v>1</v>
      </c>
      <c r="N1099" s="57" t="n">
        <v>15</v>
      </c>
      <c r="O1099" s="60" t="n">
        <v>35</v>
      </c>
      <c r="P1099" s="55" t="s">
        <v>174</v>
      </c>
      <c r="Q1099" s="57" t="n">
        <v>20</v>
      </c>
      <c r="R1099" s="60" t="n">
        <f aca="false">IF(BT1099=1,0,IFERROR(VLOOKUP(BR1099,'Gebinde-Kategorie'!$A$5:$M$45,13,0)+0,0))</f>
        <v>6</v>
      </c>
      <c r="S1099" s="61"/>
      <c r="T1099" s="62"/>
      <c r="U1099" s="62"/>
      <c r="V1099" s="62"/>
      <c r="W1099" s="55"/>
      <c r="X1099" s="57"/>
      <c r="Y1099" s="57"/>
      <c r="Z1099" s="55" t="n">
        <f aca="false">IF(A1099="","",IF(AND(Parameter!$B$21="Ja",ISNUMBER(W1099)),W1099,IF(BV1099="2+3",IF(ISNUMBER(SEARCH("grosser Artikel",BO1099)),2,IFERROR(VLOOKUP(BR1099,Parameter!$F$35:$G$64,2,0),2)),IF(OR(BV1099="Nein",BV1099=""),"-",BV1099))))</f>
        <v>2</v>
      </c>
      <c r="AA1099" s="62"/>
      <c r="AB1099" s="63"/>
      <c r="AC1099" s="57" t="n">
        <f aca="false">AR1099</f>
        <v>20</v>
      </c>
      <c r="AD1099" s="57" t="n">
        <f aca="false">MAX(AR1099,H1099)</f>
        <v>20</v>
      </c>
      <c r="AE1099" s="64"/>
      <c r="AF1099" s="57" t="n">
        <f aca="false">IF(LEFT(Cockpit!$C$5,1)="A",H1099,IF(CA1099=1,CB1099,IF(LEFT(Cockpit!$C$5,1)="B",AJ1099,MAX(AJ1099,H1099))))</f>
        <v>9</v>
      </c>
      <c r="AG1099" s="57" t="n">
        <f aca="false">IF(BT1099=1,0,ROUNDUP(AF1099/BS1099,0))</f>
        <v>1</v>
      </c>
      <c r="AH1099" s="59" t="n">
        <f aca="false">IF(CH1099&gt;0,CH1099*MAX(1,AF1099/X1099),IF(BT1099=1,IF(AF1099&lt;=0,0,BW1099*MAX(1,IF(H1099&gt;0,AF1099/H1099,1))),IF(R1099&gt;0,AG1099/R1099,0))/MAX(0.1,N(Parameter!$M$21)))</f>
        <v>0.166666666666667</v>
      </c>
      <c r="AI1099" s="57" t="n">
        <f aca="false">AF1099*G1099</f>
        <v>1497.33</v>
      </c>
      <c r="AJ1099" s="57" t="n">
        <f aca="false">ROUNDUP(MAX(J1099/IF(BZ1099&gt;0,BZ1099,MAX(0.1,N(Cockpit!$C$6))),CC1099)/BS1099,0)*BS1099</f>
        <v>20</v>
      </c>
      <c r="AK1099" s="58" t="n">
        <f aca="false">IF(AH1099&gt;0,J1099/AH1099,-1)</f>
        <v>96</v>
      </c>
      <c r="AL1099" s="58" t="n">
        <f aca="false">IF(AND(OR(BY1099="L1",BY1099="L23"),AH1099&gt;0),SUMIFS($AH$7:$AH$1843,$BY$7:$BY$1843,BY1099,$AK$7:$AK$1843,"&gt;"&amp;AK1099)+SUMIFS($AH$7:$AH$1843,$BY$7:$BY$1843,BY1099,$AK$7:$AK$1843,AK1099,$BQ$7:$BQ$1843,"&lt;="&amp;BQ1099),"")</f>
        <v>39.1313046856525</v>
      </c>
      <c r="AM1099" s="65" t="n">
        <f aca="false">IF(AL1099="",0,MAX(0,MIN(1,(IF(BY1099="L1",Parameter!$E$5,Parameter!$E$6+Parameter!$E$7)-(AL1099-AH1099))/AH1099)))</f>
        <v>1</v>
      </c>
      <c r="AN1099" s="57" t="n">
        <f aca="false">IF(LEFT(Cockpit!$I$5,1)="A",H1099,IF(CA1099=1,CB1099,IF(LEFT(Cockpit!$I$5,1)="B",AR1099,MAX(AR1099,H1099))))</f>
        <v>20</v>
      </c>
      <c r="AO1099" s="57" t="n">
        <f aca="false">IF(BT1099=1,0,ROUNDUP(AN1099/BS1099,0))</f>
        <v>1</v>
      </c>
      <c r="AP1099" s="59" t="n">
        <f aca="false">IF(CH1099&gt;0,CH1099*MAX(1,AN1099/X1099),IF(BT1099=1,IF(AN1099&lt;=0,0,BW1099*MAX(1,IF(H1099&gt;0,AN1099/H1099,1))),IF(R1099&gt;0,AO1099/R1099,0))/MAX(0.1,N(Parameter!$M$21)))</f>
        <v>0.166666666666667</v>
      </c>
      <c r="AQ1099" s="57" t="n">
        <f aca="false">AN1099*G1099</f>
        <v>3327.4</v>
      </c>
      <c r="AR1099" s="57" t="n">
        <f aca="false">ROUNDUP(MAX(J1099/IF(BZ1099&gt;0,BZ1099,MAX(0.1,N(Cockpit!$I$6))),CC1099)/BS1099,0)*BS1099</f>
        <v>20</v>
      </c>
      <c r="AS1099" s="58" t="n">
        <f aca="false">IF(AP1099&gt;0,J1099/AP1099,-1)</f>
        <v>96</v>
      </c>
      <c r="AT1099" s="58" t="n">
        <f aca="false">IF(AND(OR(BY1099="L1",BY1099="L23"),AP1099&gt;0),SUMIFS($AP$7:$AP$1843,$BY$7:$BY$1843,BY1099,$AS$7:$AS$1843,"&gt;"&amp;AS1099)+SUMIFS($AP$7:$AP$1843,$BY$7:$BY$1843,BY1099,$AS$7:$AS$1843,AS1099,$BQ$7:$BQ$1843,"&lt;="&amp;BQ1099),"")</f>
        <v>57.6072936725111</v>
      </c>
      <c r="AU1099" s="65" t="n">
        <f aca="false">IF(AT1099="",0,MAX(0,MIN(1,(IF(BY1099="L1",Parameter!$E$5,Parameter!$E$6+Parameter!$E$7)-(AT1099-AP1099))/AP1099)))</f>
        <v>1</v>
      </c>
      <c r="AV1099" s="57" t="n">
        <f aca="false">IF(LEFT(Cockpit!$O$5,1)="A",H1099,IF(CA1099=1,CB1099,IF(LEFT(Cockpit!$O$5,1)="B",AZ1099,MAX(AZ1099,H1099))))</f>
        <v>20</v>
      </c>
      <c r="AW1099" s="57" t="n">
        <f aca="false">IF(BT1099=1,0,ROUNDUP(AV1099/BS1099,0))</f>
        <v>1</v>
      </c>
      <c r="AX1099" s="59" t="n">
        <f aca="false">IF(CH1099&gt;0,CH1099*MAX(1,AV1099/X1099),IF(BT1099=1,IF(AV1099&lt;=0,0,BW1099*MAX(1,IF(H1099&gt;0,AV1099/H1099,1))),IF(R1099&gt;0,AW1099/R1099,0))/MAX(0.1,N(Parameter!$M$21)))</f>
        <v>0.166666666666667</v>
      </c>
      <c r="AY1099" s="57" t="n">
        <f aca="false">AV1099*G1099</f>
        <v>3327.4</v>
      </c>
      <c r="AZ1099" s="57" t="n">
        <f aca="false">ROUNDUP(MAX(J1099/IF(BZ1099&gt;0,BZ1099,MAX(0.1,N(Cockpit!$O$6))),CC1099)/BS1099,0)*BS1099</f>
        <v>20</v>
      </c>
      <c r="BA1099" s="58" t="n">
        <f aca="false">IF(AX1099&gt;0,J1099/AX1099,-1)</f>
        <v>96</v>
      </c>
      <c r="BB1099" s="58" t="n">
        <f aca="false">IF(AND(OR(BY1099="L1",BY1099="L23"),AX1099&gt;0),SUMIFS($AX$7:$AX$1843,$BY$7:$BY$1843,BY1099,$BA$7:$BA$1843,"&gt;"&amp;BA1099)+SUMIFS($AX$7:$AX$1843,$BY$7:$BY$1843,BY1099,$BA$7:$BA$1843,BA1099,$BQ$7:$BQ$1843,"&lt;="&amp;BQ1099),"")</f>
        <v>55.0204638356812</v>
      </c>
      <c r="BC1099" s="65" t="n">
        <f aca="false">IF(BB1099="",0,MAX(0,MIN(1,(IF(BY1099="L1",Parameter!$E$5,Parameter!$E$6+Parameter!$E$7)-(BB1099-AX1099))/AX1099)))</f>
        <v>1</v>
      </c>
      <c r="BD1099" s="55" t="str">
        <f aca="false">IF(AH1099&lt;=0,"",IF(BY1099="Aussen","Aussenlager",IF(BY1099="-","Nicht im Lift",IF(AM1099&gt;=1,"Lift",IF(AM1099&lt;=0,"Aussenlager","teilweise")))))</f>
        <v>Lift</v>
      </c>
      <c r="BE1099" s="55" t="str">
        <f aca="false">IF(AP1099&lt;=0,"",IF(BY1099="Aussen","Aussenlager",IF(BY1099="-","Nicht im Lift",IF(AU1099&gt;=1,"Lift",IF(AU1099&lt;=0,"Aussenlager","teilweise")))))</f>
        <v>Lift</v>
      </c>
      <c r="BF1099" s="55" t="str">
        <f aca="false">IF(AX1099&lt;=0,"",IF(BY1099="Aussen","Aussenlager",IF(BY1099="-","Nicht im Lift",IF(BC1099&gt;=1,"Lift",IF(BC1099&lt;=0,"Aussenlager","teilweise")))))</f>
        <v>Lift</v>
      </c>
      <c r="BG1099" s="55" t="str">
        <f aca="false">IF(A1099="","",IF(BP1099=1,"Neu; ","")&amp;IF(AND(BP1099=0,BK1099&lt;0),"negativer Bestand (Export "&amp;BK1099&amp;"); ","")&amp;IF(J1099&lt;=0,"Kein Verbrauch; ","")&amp;IF(CH1099&gt;0,"Lift "&amp;W1099&amp;" lt. Liftbericht (Fach "&amp;X1099&amp;" Stk); ",IF(BU1099=1,"Gebinde geschätzt ("&amp;T1099&amp;"); ",IF(BT1099=1,"Lose – Tablare geschätzt; ","")))&amp;IF(H1099&gt;AR1099,"Überbestand "&amp;ROUND(H1099-AR1099,0)&amp;" Stk / CHF "&amp;ROUND((H1099-AR1099)*G1099,0)&amp;"; ","")&amp;IF(AND(CA1099=1,CB1099&lt;CC1099),"MAX &lt; MB+LG; ","")&amp;IF(AND(CG1099&gt;0,CF1099*10&gt;CG1099),"zu hoch für Tablar; ","")&amp;IF(AND(BP1099=0,OR(CA1099=1,AA1099&lt;&gt;"",U1099&lt;&gt;"",V1099&lt;&gt;"",AB1099&lt;&gt;"")),"manuell übersteuert; ","")&amp;IF(AND(BT1099=0,R1099=0),"Gebinde unbekannt / Stellmass fehlt; ","")&amp;IF(AND(BT1099=0,N(V1099)&lt;=0,N(Q1099)&lt;=0),"Menge pro Gebinde fehlt (Ist = 1 Gebinde); ","")&amp;BO1099)</f>
        <v>negativer Bestand (Export -2); </v>
      </c>
      <c r="BH1099" s="55"/>
      <c r="BI1099" s="55"/>
      <c r="BJ1099" s="62"/>
      <c r="BK1099" s="57" t="n">
        <v>-2</v>
      </c>
      <c r="BL1099" s="57" t="n">
        <v>11</v>
      </c>
      <c r="BM1099" s="56" t="n">
        <v>-212.29</v>
      </c>
      <c r="BN1099" s="57" t="n">
        <v>16</v>
      </c>
      <c r="BO1099" s="55"/>
      <c r="BP1099" s="60" t="n">
        <v>0</v>
      </c>
      <c r="BQ1099" s="60" t="n">
        <v>1099</v>
      </c>
      <c r="BR1099" s="55" t="str">
        <f aca="false">IF(U1099&lt;&gt;"",UPPER(TRIM(U1099)),IF(BU1099=1,UPPER(VLOOKUP(T1099,Parameter!$I$27:$K$29,2,0)),IF(P1099="","LOSE",P1099)))</f>
        <v>S71</v>
      </c>
      <c r="BS1099" s="57" t="n">
        <f aca="false">IF(BR1099="LOSE",1,IF(N(V1099)&gt;0,V1099,IF(BU1099=1,MAX(1,N(VLOOKUP(T1099,Parameter!$I$27:$K$29,3,0)),H1099,N(N1099)),IF(N(Q1099)&gt;0,Q1099,MAX(1,H1099)))))</f>
        <v>20</v>
      </c>
      <c r="BT1099" s="60" t="n">
        <f aca="false">IF(BR1099="LOSE",1,0)</f>
        <v>0</v>
      </c>
      <c r="BU1099" s="60" t="n">
        <f aca="false">IF(AND(U1099="",OR(P1099="",P1099="LOSE"),T1099&lt;&gt;"",N(S1099)&lt;=0,ISNUMBER(MATCH(T1099,Parameter!$I$27:$I$29,0))),1,0)</f>
        <v>0</v>
      </c>
      <c r="BV1099" s="55" t="str">
        <f aca="false">IF(AND(Parameter!$B$19="Ja",E1099&lt;&gt;"",ISNUMBER(MATCH(E1099,Parameter!$I$35:$I$52,0))),VLOOKUP(E1099,Parameter!$I$35:$J$52,2,0),IFERROR(VLOOKUP(D1099,Parameter!$A$35:$C$64,2,0),"Nein"))</f>
        <v>2+3</v>
      </c>
      <c r="BW1099" s="59" t="n">
        <f aca="false">IF(BT1099=0,0,IF(N(S1099)&gt;0,S1099,IFERROR(VLOOKUP(D1099,Parameter!$A$35:$C$64,3,0)+0,0)))</f>
        <v>0</v>
      </c>
      <c r="BX1099" s="55" t="n">
        <f aca="false">IF(AA1099&lt;&gt;"",AA1099,Z1099)</f>
        <v>2</v>
      </c>
      <c r="BY1099" s="55" t="str">
        <f aca="false">IF(BX1099=1,"L1",IF(OR(BX1099=2,BX1099=3),"L23",IF(BX1099="Aussen","Aussen","-")))</f>
        <v>L23</v>
      </c>
      <c r="BZ1099" s="66" t="n">
        <f aca="false">IF(N(AB1099)&gt;0,AB1099,0)</f>
        <v>0</v>
      </c>
      <c r="CA1099" s="60" t="n">
        <f aca="false">IF(ISNUMBER(AE1099),1,0)</f>
        <v>0</v>
      </c>
      <c r="CB1099" s="57" t="n">
        <f aca="false">N(AE1099)</f>
        <v>0</v>
      </c>
      <c r="CC1099" s="57" t="n">
        <f aca="false">N(M1099)+N(N1099)</f>
        <v>16</v>
      </c>
      <c r="CD1099" s="57" t="n">
        <f aca="false">ROUNDUP(H1099/BS1099,0)</f>
        <v>1</v>
      </c>
      <c r="CE1099" s="57" t="n">
        <f aca="false">ROUNDUP(CB1099/BS1099,0)</f>
        <v>0</v>
      </c>
      <c r="CF1099" s="60" t="n">
        <f aca="false">IF(BT1099=1,0,IFERROR(VLOOKUP(BR1099,'Gebinde-Kategorie'!$A$5:$M$45,5,0)+0,0))</f>
        <v>20</v>
      </c>
      <c r="CG1099" s="60" t="n">
        <f aca="false">IFERROR(IF(OR(BX1099=1,BX1099=2,BX1099=3),N(INDEX(Parameter!$I$5:$I$7,BX1099)),0),0)</f>
        <v>0</v>
      </c>
      <c r="CH1099" s="59" t="n">
        <f aca="false">IF(AND(Parameter!$B$21="Ja",ISNUMBER(W1099),N(X1099)&gt;0),IFERROR(N(INDEX(Parameter!$L$5:$L$7,W1099))*INDEX(Parameter!$E$5:$E$7,W1099)*X1099/SUMIFS($X$7:$X$1843,$W$7:$W$1843,W1099),0),0)</f>
        <v>0</v>
      </c>
    </row>
    <row r="1100" customFormat="false" ht="15" hidden="false" customHeight="false" outlineLevel="0" collapsed="false">
      <c r="A1100" s="55" t="s">
        <v>2001</v>
      </c>
      <c r="B1100" s="55" t="s">
        <v>2002</v>
      </c>
      <c r="C1100" s="55" t="s">
        <v>164</v>
      </c>
      <c r="D1100" s="55" t="s">
        <v>184</v>
      </c>
      <c r="E1100" s="55" t="s">
        <v>185</v>
      </c>
      <c r="F1100" s="55" t="s">
        <v>218</v>
      </c>
      <c r="G1100" s="56" t="n">
        <v>106.83</v>
      </c>
      <c r="H1100" s="57" t="n">
        <f aca="false">MAX(0,IF(AND(Parameter!$B$21="Ja",ISNUMBER(Y1100)),Y1100,IF(Parameter!$B$20="Jahresanfang 2025 + Export",BL1100+BK1100,BK1100)))</f>
        <v>1</v>
      </c>
      <c r="I1100" s="57" t="n">
        <f aca="false">H1100*G1100</f>
        <v>106.83</v>
      </c>
      <c r="J1100" s="57" t="n">
        <f aca="false">BN1100*Parameter!$B$18</f>
        <v>0</v>
      </c>
      <c r="K1100" s="58" t="n">
        <v>2</v>
      </c>
      <c r="L1100" s="59" t="n">
        <v>0</v>
      </c>
      <c r="M1100" s="57" t="n">
        <v>0</v>
      </c>
      <c r="N1100" s="57" t="n">
        <v>1</v>
      </c>
      <c r="O1100" s="60" t="n">
        <v>21</v>
      </c>
      <c r="P1100" s="55" t="s">
        <v>426</v>
      </c>
      <c r="Q1100" s="57" t="n">
        <v>5</v>
      </c>
      <c r="R1100" s="60" t="n">
        <f aca="false">IF(BT1100=1,0,IFERROR(VLOOKUP(BR1100,'Gebinde-Kategorie'!$A$5:$M$45,13,0)+0,0))</f>
        <v>198</v>
      </c>
      <c r="S1100" s="61"/>
      <c r="T1100" s="62"/>
      <c r="U1100" s="62"/>
      <c r="V1100" s="62"/>
      <c r="W1100" s="55"/>
      <c r="X1100" s="57"/>
      <c r="Y1100" s="57"/>
      <c r="Z1100" s="55" t="n">
        <f aca="false">IF(A1100="","",IF(AND(Parameter!$B$21="Ja",ISNUMBER(W1100)),W1100,IF(BV1100="2+3",IF(ISNUMBER(SEARCH("grosser Artikel",BO1100)),2,IFERROR(VLOOKUP(BR1100,Parameter!$F$35:$G$64,2,0),2)),IF(OR(BV1100="Nein",BV1100=""),"-",BV1100))))</f>
        <v>3</v>
      </c>
      <c r="AA1100" s="62"/>
      <c r="AB1100" s="63"/>
      <c r="AC1100" s="57" t="n">
        <f aca="false">AR1100</f>
        <v>5</v>
      </c>
      <c r="AD1100" s="57" t="n">
        <f aca="false">MAX(AR1100,H1100)</f>
        <v>5</v>
      </c>
      <c r="AE1100" s="64"/>
      <c r="AF1100" s="57" t="n">
        <f aca="false">IF(LEFT(Cockpit!$C$5,1)="A",H1100,IF(CA1100=1,CB1100,IF(LEFT(Cockpit!$C$5,1)="B",AJ1100,MAX(AJ1100,H1100))))</f>
        <v>1</v>
      </c>
      <c r="AG1100" s="57" t="n">
        <f aca="false">IF(BT1100=1,0,ROUNDUP(AF1100/BS1100,0))</f>
        <v>1</v>
      </c>
      <c r="AH1100" s="59" t="n">
        <f aca="false">IF(CH1100&gt;0,CH1100*MAX(1,AF1100/X1100),IF(BT1100=1,IF(AF1100&lt;=0,0,BW1100*MAX(1,IF(H1100&gt;0,AF1100/H1100,1))),IF(R1100&gt;0,AG1100/R1100,0))/MAX(0.1,N(Parameter!$M$21)))</f>
        <v>0.00505050505050505</v>
      </c>
      <c r="AI1100" s="57" t="n">
        <f aca="false">AF1100*G1100</f>
        <v>106.83</v>
      </c>
      <c r="AJ1100" s="57" t="n">
        <f aca="false">ROUNDUP(MAX(J1100/IF(BZ1100&gt;0,BZ1100,MAX(0.1,N(Cockpit!$C$6))),CC1100)/BS1100,0)*BS1100</f>
        <v>5</v>
      </c>
      <c r="AK1100" s="58" t="n">
        <f aca="false">IF(AH1100&gt;0,J1100/AH1100,-1)</f>
        <v>0</v>
      </c>
      <c r="AL1100" s="58" t="n">
        <f aca="false">IF(AND(OR(BY1100="L1",BY1100="L23"),AH1100&gt;0),SUMIFS($AH$7:$AH$1843,$BY$7:$BY$1843,BY1100,$AK$7:$AK$1843,"&gt;"&amp;AK1100)+SUMIFS($AH$7:$AH$1843,$BY$7:$BY$1843,BY1100,$AK$7:$AK$1843,AK1100,$BQ$7:$BQ$1843,"&lt;="&amp;BQ1100),"")</f>
        <v>79.4205770075335</v>
      </c>
      <c r="AM1100" s="65" t="n">
        <f aca="false">IF(AL1100="",0,MAX(0,MIN(1,(IF(BY1100="L1",Parameter!$E$5,Parameter!$E$6+Parameter!$E$7)-(AL1100-AH1100))/AH1100)))</f>
        <v>1</v>
      </c>
      <c r="AN1100" s="57" t="n">
        <f aca="false">IF(LEFT(Cockpit!$I$5,1)="A",H1100,IF(CA1100=1,CB1100,IF(LEFT(Cockpit!$I$5,1)="B",AR1100,MAX(AR1100,H1100))))</f>
        <v>5</v>
      </c>
      <c r="AO1100" s="57" t="n">
        <f aca="false">IF(BT1100=1,0,ROUNDUP(AN1100/BS1100,0))</f>
        <v>1</v>
      </c>
      <c r="AP1100" s="59" t="n">
        <f aca="false">IF(CH1100&gt;0,CH1100*MAX(1,AN1100/X1100),IF(BT1100=1,IF(AN1100&lt;=0,0,BW1100*MAX(1,IF(H1100&gt;0,AN1100/H1100,1))),IF(R1100&gt;0,AO1100/R1100,0))/MAX(0.1,N(Parameter!$M$21)))</f>
        <v>0.00505050505050505</v>
      </c>
      <c r="AQ1100" s="57" t="n">
        <f aca="false">AN1100*G1100</f>
        <v>534.15</v>
      </c>
      <c r="AR1100" s="57" t="n">
        <f aca="false">ROUNDUP(MAX(J1100/IF(BZ1100&gt;0,BZ1100,MAX(0.1,N(Cockpit!$I$6))),CC1100)/BS1100,0)*BS1100</f>
        <v>5</v>
      </c>
      <c r="AS1100" s="58" t="n">
        <f aca="false">IF(AP1100&gt;0,J1100/AP1100,-1)</f>
        <v>0</v>
      </c>
      <c r="AT1100" s="58" t="n">
        <f aca="false">IF(AND(OR(BY1100="L1",BY1100="L23"),AP1100&gt;0),SUMIFS($AP$7:$AP$1843,$BY$7:$BY$1843,BY1100,$AS$7:$AS$1843,"&gt;"&amp;AS1100)+SUMIFS($AP$7:$AP$1843,$BY$7:$BY$1843,BY1100,$AS$7:$AS$1843,AS1100,$BQ$7:$BQ$1843,"&lt;="&amp;BQ1100),"")</f>
        <v>120.951513462383</v>
      </c>
      <c r="AU1100" s="65" t="n">
        <f aca="false">IF(AT1100="",0,MAX(0,MIN(1,(IF(BY1100="L1",Parameter!$E$5,Parameter!$E$6+Parameter!$E$7)-(AT1100-AP1100))/AP1100)))</f>
        <v>0</v>
      </c>
      <c r="AV1100" s="57" t="n">
        <f aca="false">IF(LEFT(Cockpit!$O$5,1)="A",H1100,IF(CA1100=1,CB1100,IF(LEFT(Cockpit!$O$5,1)="B",AZ1100,MAX(AZ1100,H1100))))</f>
        <v>5</v>
      </c>
      <c r="AW1100" s="57" t="n">
        <f aca="false">IF(BT1100=1,0,ROUNDUP(AV1100/BS1100,0))</f>
        <v>1</v>
      </c>
      <c r="AX1100" s="59" t="n">
        <f aca="false">IF(CH1100&gt;0,CH1100*MAX(1,AV1100/X1100),IF(BT1100=1,IF(AV1100&lt;=0,0,BW1100*MAX(1,IF(H1100&gt;0,AV1100/H1100,1))),IF(R1100&gt;0,AW1100/R1100,0))/MAX(0.1,N(Parameter!$M$21)))</f>
        <v>0.00505050505050505</v>
      </c>
      <c r="AY1100" s="57" t="n">
        <f aca="false">AV1100*G1100</f>
        <v>534.15</v>
      </c>
      <c r="AZ1100" s="57" t="n">
        <f aca="false">ROUNDUP(MAX(J1100/IF(BZ1100&gt;0,BZ1100,MAX(0.1,N(Cockpit!$O$6))),CC1100)/BS1100,0)*BS1100</f>
        <v>5</v>
      </c>
      <c r="BA1100" s="58" t="n">
        <f aca="false">IF(AX1100&gt;0,J1100/AX1100,-1)</f>
        <v>0</v>
      </c>
      <c r="BB1100" s="58" t="n">
        <f aca="false">IF(AND(OR(BY1100="L1",BY1100="L23"),AX1100&gt;0),SUMIFS($AX$7:$AX$1843,$BY$7:$BY$1843,BY1100,$BA$7:$BA$1843,"&gt;"&amp;BA1100)+SUMIFS($AX$7:$AX$1843,$BY$7:$BY$1843,BY1100,$BA$7:$BA$1843,BA1100,$BQ$7:$BQ$1843,"&lt;="&amp;BQ1100),"")</f>
        <v>111.78135029222</v>
      </c>
      <c r="BC1100" s="65" t="n">
        <f aca="false">IF(BB1100="",0,MAX(0,MIN(1,(IF(BY1100="L1",Parameter!$E$5,Parameter!$E$6+Parameter!$E$7)-(BB1100-AX1100))/AX1100)))</f>
        <v>0</v>
      </c>
      <c r="BD1100" s="55" t="str">
        <f aca="false">IF(AH1100&lt;=0,"",IF(BY1100="Aussen","Aussenlager",IF(BY1100="-","Nicht im Lift",IF(AM1100&gt;=1,"Lift",IF(AM1100&lt;=0,"Aussenlager","teilweise")))))</f>
        <v>Lift</v>
      </c>
      <c r="BE1100" s="55" t="str">
        <f aca="false">IF(AP1100&lt;=0,"",IF(BY1100="Aussen","Aussenlager",IF(BY1100="-","Nicht im Lift",IF(AU1100&gt;=1,"Lift",IF(AU1100&lt;=0,"Aussenlager","teilweise")))))</f>
        <v>Aussenlager</v>
      </c>
      <c r="BF1100" s="55" t="str">
        <f aca="false">IF(AX1100&lt;=0,"",IF(BY1100="Aussen","Aussenlager",IF(BY1100="-","Nicht im Lift",IF(BC1100&gt;=1,"Lift",IF(BC1100&lt;=0,"Aussenlager","teilweise")))))</f>
        <v>Aussenlager</v>
      </c>
      <c r="BG1100" s="55" t="str">
        <f aca="false">IF(A1100="","",IF(BP1100=1,"Neu; ","")&amp;IF(AND(BP1100=0,BK1100&lt;0),"negativer Bestand (Export "&amp;BK1100&amp;"); ","")&amp;IF(J1100&lt;=0,"Kein Verbrauch; ","")&amp;IF(CH1100&gt;0,"Lift "&amp;W1100&amp;" lt. Liftbericht (Fach "&amp;X1100&amp;" Stk); ",IF(BU1100=1,"Gebinde geschätzt ("&amp;T1100&amp;"); ",IF(BT1100=1,"Lose – Tablare geschätzt; ","")))&amp;IF(H1100&gt;AR1100,"Überbestand "&amp;ROUND(H1100-AR1100,0)&amp;" Stk / CHF "&amp;ROUND((H1100-AR1100)*G1100,0)&amp;"; ","")&amp;IF(AND(CA1100=1,CB1100&lt;CC1100),"MAX &lt; MB+LG; ","")&amp;IF(AND(CG1100&gt;0,CF1100*10&gt;CG1100),"zu hoch für Tablar; ","")&amp;IF(AND(BP1100=0,OR(CA1100=1,AA1100&lt;&gt;"",U1100&lt;&gt;"",V1100&lt;&gt;"",AB1100&lt;&gt;"")),"manuell übersteuert; ","")&amp;IF(AND(BT1100=0,R1100=0),"Gebinde unbekannt / Stellmass fehlt; ","")&amp;IF(AND(BT1100=0,N(V1100)&lt;=0,N(Q1100)&lt;=0),"Menge pro Gebinde fehlt (Ist = 1 Gebinde); ","")&amp;BO1100)</f>
        <v>negativer Bestand (Export -2); Kein Verbrauch; </v>
      </c>
      <c r="BH1100" s="55"/>
      <c r="BI1100" s="55"/>
      <c r="BJ1100" s="62"/>
      <c r="BK1100" s="57" t="n">
        <v>-2</v>
      </c>
      <c r="BL1100" s="57" t="n">
        <v>3</v>
      </c>
      <c r="BM1100" s="56" t="n">
        <v>-213.66</v>
      </c>
      <c r="BN1100" s="57" t="n">
        <v>0</v>
      </c>
      <c r="BO1100" s="55"/>
      <c r="BP1100" s="60" t="n">
        <v>0</v>
      </c>
      <c r="BQ1100" s="60" t="n">
        <v>1100</v>
      </c>
      <c r="BR1100" s="55" t="str">
        <f aca="false">IF(U1100&lt;&gt;"",UPPER(TRIM(U1100)),IF(BU1100=1,UPPER(VLOOKUP(T1100,Parameter!$I$27:$K$29,2,0)),IF(P1100="","LOSE",P1100)))</f>
        <v>S22</v>
      </c>
      <c r="BS1100" s="57" t="n">
        <f aca="false">IF(BR1100="LOSE",1,IF(N(V1100)&gt;0,V1100,IF(BU1100=1,MAX(1,N(VLOOKUP(T1100,Parameter!$I$27:$K$29,3,0)),H1100,N(N1100)),IF(N(Q1100)&gt;0,Q1100,MAX(1,H1100)))))</f>
        <v>5</v>
      </c>
      <c r="BT1100" s="60" t="n">
        <f aca="false">IF(BR1100="LOSE",1,0)</f>
        <v>0</v>
      </c>
      <c r="BU1100" s="60" t="n">
        <f aca="false">IF(AND(U1100="",OR(P1100="",P1100="LOSE"),T1100&lt;&gt;"",N(S1100)&lt;=0,ISNUMBER(MATCH(T1100,Parameter!$I$27:$I$29,0))),1,0)</f>
        <v>0</v>
      </c>
      <c r="BV1100" s="55" t="str">
        <f aca="false">IF(AND(Parameter!$B$19="Ja",E1100&lt;&gt;"",ISNUMBER(MATCH(E1100,Parameter!$I$35:$I$52,0))),VLOOKUP(E1100,Parameter!$I$35:$J$52,2,0),IFERROR(VLOOKUP(D1100,Parameter!$A$35:$C$64,2,0),"Nein"))</f>
        <v>2+3</v>
      </c>
      <c r="BW1100" s="59" t="n">
        <f aca="false">IF(BT1100=0,0,IF(N(S1100)&gt;0,S1100,IFERROR(VLOOKUP(D1100,Parameter!$A$35:$C$64,3,0)+0,0)))</f>
        <v>0</v>
      </c>
      <c r="BX1100" s="55" t="n">
        <f aca="false">IF(AA1100&lt;&gt;"",AA1100,Z1100)</f>
        <v>3</v>
      </c>
      <c r="BY1100" s="55" t="str">
        <f aca="false">IF(BX1100=1,"L1",IF(OR(BX1100=2,BX1100=3),"L23",IF(BX1100="Aussen","Aussen","-")))</f>
        <v>L23</v>
      </c>
      <c r="BZ1100" s="66" t="n">
        <f aca="false">IF(N(AB1100)&gt;0,AB1100,0)</f>
        <v>0</v>
      </c>
      <c r="CA1100" s="60" t="n">
        <f aca="false">IF(ISNUMBER(AE1100),1,0)</f>
        <v>0</v>
      </c>
      <c r="CB1100" s="57" t="n">
        <f aca="false">N(AE1100)</f>
        <v>0</v>
      </c>
      <c r="CC1100" s="57" t="n">
        <f aca="false">N(M1100)+N(N1100)</f>
        <v>1</v>
      </c>
      <c r="CD1100" s="57" t="n">
        <f aca="false">ROUNDUP(H1100/BS1100,0)</f>
        <v>1</v>
      </c>
      <c r="CE1100" s="57" t="n">
        <f aca="false">ROUNDUP(CB1100/BS1100,0)</f>
        <v>0</v>
      </c>
      <c r="CF1100" s="60" t="n">
        <f aca="false">IF(BT1100=1,0,IFERROR(VLOOKUP(BR1100,'Gebinde-Kategorie'!$A$5:$M$45,5,0)+0,0))</f>
        <v>8</v>
      </c>
      <c r="CG1100" s="60" t="n">
        <f aca="false">IFERROR(IF(OR(BX1100=1,BX1100=2,BX1100=3),N(INDEX(Parameter!$I$5:$I$7,BX1100)),0),0)</f>
        <v>0</v>
      </c>
      <c r="CH1100" s="59" t="n">
        <f aca="false">IF(AND(Parameter!$B$21="Ja",ISNUMBER(W1100),N(X1100)&gt;0),IFERROR(N(INDEX(Parameter!$L$5:$L$7,W1100))*INDEX(Parameter!$E$5:$E$7,W1100)*X1100/SUMIFS($X$7:$X$1843,$W$7:$W$1843,W1100),0),0)</f>
        <v>0</v>
      </c>
    </row>
    <row r="1101" customFormat="false" ht="15" hidden="false" customHeight="false" outlineLevel="0" collapsed="false">
      <c r="A1101" s="55" t="s">
        <v>2003</v>
      </c>
      <c r="B1101" s="55" t="s">
        <v>405</v>
      </c>
      <c r="C1101" s="55" t="s">
        <v>164</v>
      </c>
      <c r="D1101" s="55" t="s">
        <v>184</v>
      </c>
      <c r="E1101" s="55" t="s">
        <v>185</v>
      </c>
      <c r="F1101" s="55" t="s">
        <v>218</v>
      </c>
      <c r="G1101" s="56" t="n">
        <v>2.3</v>
      </c>
      <c r="H1101" s="57" t="n">
        <f aca="false">MAX(0,IF(AND(Parameter!$B$21="Ja",ISNUMBER(Y1101)),Y1101,IF(Parameter!$B$20="Jahresanfang 2025 + Export",BL1101+BK1101,BK1101)))</f>
        <v>2307</v>
      </c>
      <c r="I1101" s="57" t="n">
        <f aca="false">H1101*G1101</f>
        <v>5306.1</v>
      </c>
      <c r="J1101" s="57" t="n">
        <f aca="false">BN1101*Parameter!$B$18</f>
        <v>48</v>
      </c>
      <c r="K1101" s="58" t="n">
        <v>2381.5</v>
      </c>
      <c r="L1101" s="59" t="n">
        <v>0.0201553642662188</v>
      </c>
      <c r="M1101" s="57" t="n">
        <v>2</v>
      </c>
      <c r="N1101" s="57" t="n">
        <v>50</v>
      </c>
      <c r="O1101" s="60" t="n">
        <v>21</v>
      </c>
      <c r="P1101" s="55" t="s">
        <v>226</v>
      </c>
      <c r="Q1101" s="57" t="n">
        <v>400</v>
      </c>
      <c r="R1101" s="60" t="n">
        <f aca="false">IF(BT1101=1,0,IFERROR(VLOOKUP(BR1101,'Gebinde-Kategorie'!$A$5:$M$45,13,0)+0,0))</f>
        <v>12</v>
      </c>
      <c r="S1101" s="61"/>
      <c r="T1101" s="62"/>
      <c r="U1101" s="62"/>
      <c r="V1101" s="62"/>
      <c r="W1101" s="55"/>
      <c r="X1101" s="57"/>
      <c r="Y1101" s="57"/>
      <c r="Z1101" s="55" t="n">
        <f aca="false">IF(A1101="","",IF(AND(Parameter!$B$21="Ja",ISNUMBER(W1101)),W1101,IF(BV1101="2+3",IF(ISNUMBER(SEARCH("grosser Artikel",BO1101)),2,IFERROR(VLOOKUP(BR1101,Parameter!$F$35:$G$64,2,0),2)),IF(OR(BV1101="Nein",BV1101=""),"-",BV1101))))</f>
        <v>2</v>
      </c>
      <c r="AA1101" s="62"/>
      <c r="AB1101" s="63"/>
      <c r="AC1101" s="57" t="n">
        <f aca="false">AR1101</f>
        <v>400</v>
      </c>
      <c r="AD1101" s="57" t="n">
        <f aca="false">MAX(AR1101,H1101)</f>
        <v>2307</v>
      </c>
      <c r="AE1101" s="64"/>
      <c r="AF1101" s="57" t="n">
        <f aca="false">IF(LEFT(Cockpit!$C$5,1)="A",H1101,IF(CA1101=1,CB1101,IF(LEFT(Cockpit!$C$5,1)="B",AJ1101,MAX(AJ1101,H1101))))</f>
        <v>2307</v>
      </c>
      <c r="AG1101" s="57" t="n">
        <f aca="false">IF(BT1101=1,0,ROUNDUP(AF1101/BS1101,0))</f>
        <v>6</v>
      </c>
      <c r="AH1101" s="59" t="n">
        <f aca="false">IF(CH1101&gt;0,CH1101*MAX(1,AF1101/X1101),IF(BT1101=1,IF(AF1101&lt;=0,0,BW1101*MAX(1,IF(H1101&gt;0,AF1101/H1101,1))),IF(R1101&gt;0,AG1101/R1101,0))/MAX(0.1,N(Parameter!$M$21)))</f>
        <v>0.5</v>
      </c>
      <c r="AI1101" s="57" t="n">
        <f aca="false">AF1101*G1101</f>
        <v>5306.1</v>
      </c>
      <c r="AJ1101" s="57" t="n">
        <f aca="false">ROUNDUP(MAX(J1101/IF(BZ1101&gt;0,BZ1101,MAX(0.1,N(Cockpit!$C$6))),CC1101)/BS1101,0)*BS1101</f>
        <v>400</v>
      </c>
      <c r="AK1101" s="58" t="n">
        <f aca="false">IF(AH1101&gt;0,J1101/AH1101,-1)</f>
        <v>96</v>
      </c>
      <c r="AL1101" s="58" t="n">
        <f aca="false">IF(AND(OR(BY1101="L1",BY1101="L23"),AH1101&gt;0),SUMIFS($AH$7:$AH$1843,$BY$7:$BY$1843,BY1101,$AK$7:$AK$1843,"&gt;"&amp;AK1101)+SUMIFS($AH$7:$AH$1843,$BY$7:$BY$1843,BY1101,$AK$7:$AK$1843,AK1101,$BQ$7:$BQ$1843,"&lt;="&amp;BQ1101),"")</f>
        <v>39.6313046856525</v>
      </c>
      <c r="AM1101" s="65" t="n">
        <f aca="false">IF(AL1101="",0,MAX(0,MIN(1,(IF(BY1101="L1",Parameter!$E$5,Parameter!$E$6+Parameter!$E$7)-(AL1101-AH1101))/AH1101)))</f>
        <v>1</v>
      </c>
      <c r="AN1101" s="57" t="n">
        <f aca="false">IF(LEFT(Cockpit!$I$5,1)="A",H1101,IF(CA1101=1,CB1101,IF(LEFT(Cockpit!$I$5,1)="B",AR1101,MAX(AR1101,H1101))))</f>
        <v>2307</v>
      </c>
      <c r="AO1101" s="57" t="n">
        <f aca="false">IF(BT1101=1,0,ROUNDUP(AN1101/BS1101,0))</f>
        <v>6</v>
      </c>
      <c r="AP1101" s="59" t="n">
        <f aca="false">IF(CH1101&gt;0,CH1101*MAX(1,AN1101/X1101),IF(BT1101=1,IF(AN1101&lt;=0,0,BW1101*MAX(1,IF(H1101&gt;0,AN1101/H1101,1))),IF(R1101&gt;0,AO1101/R1101,0))/MAX(0.1,N(Parameter!$M$21)))</f>
        <v>0.5</v>
      </c>
      <c r="AQ1101" s="57" t="n">
        <f aca="false">AN1101*G1101</f>
        <v>5306.1</v>
      </c>
      <c r="AR1101" s="57" t="n">
        <f aca="false">ROUNDUP(MAX(J1101/IF(BZ1101&gt;0,BZ1101,MAX(0.1,N(Cockpit!$I$6))),CC1101)/BS1101,0)*BS1101</f>
        <v>400</v>
      </c>
      <c r="AS1101" s="58" t="n">
        <f aca="false">IF(AP1101&gt;0,J1101/AP1101,-1)</f>
        <v>96</v>
      </c>
      <c r="AT1101" s="58" t="n">
        <f aca="false">IF(AND(OR(BY1101="L1",BY1101="L23"),AP1101&gt;0),SUMIFS($AP$7:$AP$1843,$BY$7:$BY$1843,BY1101,$AS$7:$AS$1843,"&gt;"&amp;AS1101)+SUMIFS($AP$7:$AP$1843,$BY$7:$BY$1843,BY1101,$AS$7:$AS$1843,AS1101,$BQ$7:$BQ$1843,"&lt;="&amp;BQ1101),"")</f>
        <v>58.1072936725111</v>
      </c>
      <c r="AU1101" s="65" t="n">
        <f aca="false">IF(AT1101="",0,MAX(0,MIN(1,(IF(BY1101="L1",Parameter!$E$5,Parameter!$E$6+Parameter!$E$7)-(AT1101-AP1101))/AP1101)))</f>
        <v>1</v>
      </c>
      <c r="AV1101" s="57" t="n">
        <f aca="false">IF(LEFT(Cockpit!$O$5,1)="A",H1101,IF(CA1101=1,CB1101,IF(LEFT(Cockpit!$O$5,1)="B",AZ1101,MAX(AZ1101,H1101))))</f>
        <v>2307</v>
      </c>
      <c r="AW1101" s="57" t="n">
        <f aca="false">IF(BT1101=1,0,ROUNDUP(AV1101/BS1101,0))</f>
        <v>6</v>
      </c>
      <c r="AX1101" s="59" t="n">
        <f aca="false">IF(CH1101&gt;0,CH1101*MAX(1,AV1101/X1101),IF(BT1101=1,IF(AV1101&lt;=0,0,BW1101*MAX(1,IF(H1101&gt;0,AV1101/H1101,1))),IF(R1101&gt;0,AW1101/R1101,0))/MAX(0.1,N(Parameter!$M$21)))</f>
        <v>0.5</v>
      </c>
      <c r="AY1101" s="57" t="n">
        <f aca="false">AV1101*G1101</f>
        <v>5306.1</v>
      </c>
      <c r="AZ1101" s="57" t="n">
        <f aca="false">ROUNDUP(MAX(J1101/IF(BZ1101&gt;0,BZ1101,MAX(0.1,N(Cockpit!$O$6))),CC1101)/BS1101,0)*BS1101</f>
        <v>400</v>
      </c>
      <c r="BA1101" s="58" t="n">
        <f aca="false">IF(AX1101&gt;0,J1101/AX1101,-1)</f>
        <v>96</v>
      </c>
      <c r="BB1101" s="58" t="n">
        <f aca="false">IF(AND(OR(BY1101="L1",BY1101="L23"),AX1101&gt;0),SUMIFS($AX$7:$AX$1843,$BY$7:$BY$1843,BY1101,$BA$7:$BA$1843,"&gt;"&amp;BA1101)+SUMIFS($AX$7:$AX$1843,$BY$7:$BY$1843,BY1101,$BA$7:$BA$1843,BA1101,$BQ$7:$BQ$1843,"&lt;="&amp;BQ1101),"")</f>
        <v>55.5204638356812</v>
      </c>
      <c r="BC1101" s="65" t="n">
        <f aca="false">IF(BB1101="",0,MAX(0,MIN(1,(IF(BY1101="L1",Parameter!$E$5,Parameter!$E$6+Parameter!$E$7)-(BB1101-AX1101))/AX1101)))</f>
        <v>1</v>
      </c>
      <c r="BD1101" s="55" t="str">
        <f aca="false">IF(AH1101&lt;=0,"",IF(BY1101="Aussen","Aussenlager",IF(BY1101="-","Nicht im Lift",IF(AM1101&gt;=1,"Lift",IF(AM1101&lt;=0,"Aussenlager","teilweise")))))</f>
        <v>Lift</v>
      </c>
      <c r="BE1101" s="55" t="str">
        <f aca="false">IF(AP1101&lt;=0,"",IF(BY1101="Aussen","Aussenlager",IF(BY1101="-","Nicht im Lift",IF(AU1101&gt;=1,"Lift",IF(AU1101&lt;=0,"Aussenlager","teilweise")))))</f>
        <v>Lift</v>
      </c>
      <c r="BF1101" s="55" t="str">
        <f aca="false">IF(AX1101&lt;=0,"",IF(BY1101="Aussen","Aussenlager",IF(BY1101="-","Nicht im Lift",IF(BC1101&gt;=1,"Lift",IF(BC1101&lt;=0,"Aussenlager","teilweise")))))</f>
        <v>Lift</v>
      </c>
      <c r="BG1101" s="55" t="str">
        <f aca="false">IF(A1101="","",IF(BP1101=1,"Neu; ","")&amp;IF(AND(BP1101=0,BK1101&lt;0),"negativer Bestand (Export "&amp;BK1101&amp;"); ","")&amp;IF(J1101&lt;=0,"Kein Verbrauch; ","")&amp;IF(CH1101&gt;0,"Lift "&amp;W1101&amp;" lt. Liftbericht (Fach "&amp;X1101&amp;" Stk); ",IF(BU1101=1,"Gebinde geschätzt ("&amp;T1101&amp;"); ",IF(BT1101=1,"Lose – Tablare geschätzt; ","")))&amp;IF(H1101&gt;AR1101,"Überbestand "&amp;ROUND(H1101-AR1101,0)&amp;" Stk / CHF "&amp;ROUND((H1101-AR1101)*G1101,0)&amp;"; ","")&amp;IF(AND(CA1101=1,CB1101&lt;CC1101),"MAX &lt; MB+LG; ","")&amp;IF(AND(CG1101&gt;0,CF1101*10&gt;CG1101),"zu hoch für Tablar; ","")&amp;IF(AND(BP1101=0,OR(CA1101=1,AA1101&lt;&gt;"",U1101&lt;&gt;"",V1101&lt;&gt;"",AB1101&lt;&gt;"")),"manuell übersteuert; ","")&amp;IF(AND(BT1101=0,R1101=0),"Gebinde unbekannt / Stellmass fehlt; ","")&amp;IF(AND(BT1101=0,N(V1101)&lt;=0,N(Q1101)&lt;=0),"Menge pro Gebinde fehlt (Ist = 1 Gebinde); ","")&amp;BO1101)</f>
        <v>negativer Bestand (Export -93); Überbestand 1907 Stk / CHF 4386; </v>
      </c>
      <c r="BH1101" s="55"/>
      <c r="BI1101" s="55"/>
      <c r="BJ1101" s="62"/>
      <c r="BK1101" s="57" t="n">
        <v>-93</v>
      </c>
      <c r="BL1101" s="57" t="n">
        <v>2400</v>
      </c>
      <c r="BM1101" s="56" t="n">
        <v>-213.9</v>
      </c>
      <c r="BN1101" s="57" t="n">
        <v>48</v>
      </c>
      <c r="BO1101" s="55"/>
      <c r="BP1101" s="60" t="n">
        <v>0</v>
      </c>
      <c r="BQ1101" s="60" t="n">
        <v>1101</v>
      </c>
      <c r="BR1101" s="55" t="str">
        <f aca="false">IF(U1101&lt;&gt;"",UPPER(TRIM(U1101)),IF(BU1101=1,UPPER(VLOOKUP(T1101,Parameter!$I$27:$K$29,2,0)),IF(P1101="","LOSE",P1101)))</f>
        <v>S63</v>
      </c>
      <c r="BS1101" s="57" t="n">
        <f aca="false">IF(BR1101="LOSE",1,IF(N(V1101)&gt;0,V1101,IF(BU1101=1,MAX(1,N(VLOOKUP(T1101,Parameter!$I$27:$K$29,3,0)),H1101,N(N1101)),IF(N(Q1101)&gt;0,Q1101,MAX(1,H1101)))))</f>
        <v>400</v>
      </c>
      <c r="BT1101" s="60" t="n">
        <f aca="false">IF(BR1101="LOSE",1,0)</f>
        <v>0</v>
      </c>
      <c r="BU1101" s="60" t="n">
        <f aca="false">IF(AND(U1101="",OR(P1101="",P1101="LOSE"),T1101&lt;&gt;"",N(S1101)&lt;=0,ISNUMBER(MATCH(T1101,Parameter!$I$27:$I$29,0))),1,0)</f>
        <v>0</v>
      </c>
      <c r="BV1101" s="55" t="str">
        <f aca="false">IF(AND(Parameter!$B$19="Ja",E1101&lt;&gt;"",ISNUMBER(MATCH(E1101,Parameter!$I$35:$I$52,0))),VLOOKUP(E1101,Parameter!$I$35:$J$52,2,0),IFERROR(VLOOKUP(D1101,Parameter!$A$35:$C$64,2,0),"Nein"))</f>
        <v>2+3</v>
      </c>
      <c r="BW1101" s="59" t="n">
        <f aca="false">IF(BT1101=0,0,IF(N(S1101)&gt;0,S1101,IFERROR(VLOOKUP(D1101,Parameter!$A$35:$C$64,3,0)+0,0)))</f>
        <v>0</v>
      </c>
      <c r="BX1101" s="55" t="n">
        <f aca="false">IF(AA1101&lt;&gt;"",AA1101,Z1101)</f>
        <v>2</v>
      </c>
      <c r="BY1101" s="55" t="str">
        <f aca="false">IF(BX1101=1,"L1",IF(OR(BX1101=2,BX1101=3),"L23",IF(BX1101="Aussen","Aussen","-")))</f>
        <v>L23</v>
      </c>
      <c r="BZ1101" s="66" t="n">
        <f aca="false">IF(N(AB1101)&gt;0,AB1101,0)</f>
        <v>0</v>
      </c>
      <c r="CA1101" s="60" t="n">
        <f aca="false">IF(ISNUMBER(AE1101),1,0)</f>
        <v>0</v>
      </c>
      <c r="CB1101" s="57" t="n">
        <f aca="false">N(AE1101)</f>
        <v>0</v>
      </c>
      <c r="CC1101" s="57" t="n">
        <f aca="false">N(M1101)+N(N1101)</f>
        <v>52</v>
      </c>
      <c r="CD1101" s="57" t="n">
        <f aca="false">ROUNDUP(H1101/BS1101,0)</f>
        <v>6</v>
      </c>
      <c r="CE1101" s="57" t="n">
        <f aca="false">ROUNDUP(CB1101/BS1101,0)</f>
        <v>0</v>
      </c>
      <c r="CF1101" s="60" t="n">
        <f aca="false">IF(BT1101=1,0,IFERROR(VLOOKUP(BR1101,'Gebinde-Kategorie'!$A$5:$M$45,5,0)+0,0))</f>
        <v>31</v>
      </c>
      <c r="CG1101" s="60" t="n">
        <f aca="false">IFERROR(IF(OR(BX1101=1,BX1101=2,BX1101=3),N(INDEX(Parameter!$I$5:$I$7,BX1101)),0),0)</f>
        <v>0</v>
      </c>
      <c r="CH1101" s="59" t="n">
        <f aca="false">IF(AND(Parameter!$B$21="Ja",ISNUMBER(W1101),N(X1101)&gt;0),IFERROR(N(INDEX(Parameter!$L$5:$L$7,W1101))*INDEX(Parameter!$E$5:$E$7,W1101)*X1101/SUMIFS($X$7:$X$1843,$W$7:$W$1843,W1101),0),0)</f>
        <v>0</v>
      </c>
    </row>
    <row r="1102" customFormat="false" ht="15" hidden="false" customHeight="false" outlineLevel="0" collapsed="false">
      <c r="A1102" s="55" t="s">
        <v>2004</v>
      </c>
      <c r="B1102" s="55" t="s">
        <v>2005</v>
      </c>
      <c r="C1102" s="55" t="s">
        <v>164</v>
      </c>
      <c r="D1102" s="55" t="s">
        <v>184</v>
      </c>
      <c r="E1102" s="55"/>
      <c r="F1102" s="55" t="s">
        <v>218</v>
      </c>
      <c r="G1102" s="56" t="n">
        <v>71.61</v>
      </c>
      <c r="H1102" s="57" t="n">
        <f aca="false">MAX(0,IF(AND(Parameter!$B$21="Ja",ISNUMBER(Y1102)),Y1102,IF(Parameter!$B$20="Jahresanfang 2025 + Export",BL1102+BK1102,BK1102)))</f>
        <v>58</v>
      </c>
      <c r="I1102" s="57" t="n">
        <f aca="false">H1102*G1102</f>
        <v>4153.38</v>
      </c>
      <c r="J1102" s="57" t="n">
        <f aca="false">BN1102*Parameter!$B$18</f>
        <v>2</v>
      </c>
      <c r="K1102" s="58" t="n">
        <v>60</v>
      </c>
      <c r="L1102" s="59" t="n">
        <v>0.0333333333333333</v>
      </c>
      <c r="M1102" s="57" t="n">
        <v>0</v>
      </c>
      <c r="N1102" s="57" t="n">
        <v>1</v>
      </c>
      <c r="O1102" s="60" t="n">
        <v>63</v>
      </c>
      <c r="P1102" s="55" t="s">
        <v>233</v>
      </c>
      <c r="Q1102" s="57" t="n">
        <v>60</v>
      </c>
      <c r="R1102" s="60" t="n">
        <f aca="false">IF(BT1102=1,0,IFERROR(VLOOKUP(BR1102,'Gebinde-Kategorie'!$A$5:$M$45,13,0)+0,0))</f>
        <v>26</v>
      </c>
      <c r="S1102" s="61"/>
      <c r="T1102" s="62"/>
      <c r="U1102" s="62"/>
      <c r="V1102" s="62"/>
      <c r="W1102" s="55"/>
      <c r="X1102" s="57"/>
      <c r="Y1102" s="57"/>
      <c r="Z1102" s="55" t="n">
        <f aca="false">IF(A1102="","",IF(AND(Parameter!$B$21="Ja",ISNUMBER(W1102)),W1102,IF(BV1102="2+3",IF(ISNUMBER(SEARCH("grosser Artikel",BO1102)),2,IFERROR(VLOOKUP(BR1102,Parameter!$F$35:$G$64,2,0),2)),IF(OR(BV1102="Nein",BV1102=""),"-",BV1102))))</f>
        <v>3</v>
      </c>
      <c r="AA1102" s="62"/>
      <c r="AB1102" s="63"/>
      <c r="AC1102" s="57" t="n">
        <f aca="false">AR1102</f>
        <v>60</v>
      </c>
      <c r="AD1102" s="57" t="n">
        <f aca="false">MAX(AR1102,H1102)</f>
        <v>60</v>
      </c>
      <c r="AE1102" s="64"/>
      <c r="AF1102" s="57" t="n">
        <f aca="false">IF(LEFT(Cockpit!$C$5,1)="A",H1102,IF(CA1102=1,CB1102,IF(LEFT(Cockpit!$C$5,1)="B",AJ1102,MAX(AJ1102,H1102))))</f>
        <v>58</v>
      </c>
      <c r="AG1102" s="57" t="n">
        <f aca="false">IF(BT1102=1,0,ROUNDUP(AF1102/BS1102,0))</f>
        <v>1</v>
      </c>
      <c r="AH1102" s="59" t="n">
        <f aca="false">IF(CH1102&gt;0,CH1102*MAX(1,AF1102/X1102),IF(BT1102=1,IF(AF1102&lt;=0,0,BW1102*MAX(1,IF(H1102&gt;0,AF1102/H1102,1))),IF(R1102&gt;0,AG1102/R1102,0))/MAX(0.1,N(Parameter!$M$21)))</f>
        <v>0.0384615384615385</v>
      </c>
      <c r="AI1102" s="57" t="n">
        <f aca="false">AF1102*G1102</f>
        <v>4153.38</v>
      </c>
      <c r="AJ1102" s="57" t="n">
        <f aca="false">ROUNDUP(MAX(J1102/IF(BZ1102&gt;0,BZ1102,MAX(0.1,N(Cockpit!$C$6))),CC1102)/BS1102,0)*BS1102</f>
        <v>60</v>
      </c>
      <c r="AK1102" s="58" t="n">
        <f aca="false">IF(AH1102&gt;0,J1102/AH1102,-1)</f>
        <v>52</v>
      </c>
      <c r="AL1102" s="58" t="n">
        <f aca="false">IF(AND(OR(BY1102="L1",BY1102="L23"),AH1102&gt;0),SUMIFS($AH$7:$AH$1843,$BY$7:$BY$1843,BY1102,$AK$7:$AK$1843,"&gt;"&amp;AK1102)+SUMIFS($AH$7:$AH$1843,$BY$7:$BY$1843,BY1102,$AK$7:$AK$1843,AK1102,$BQ$7:$BQ$1843,"&lt;="&amp;BQ1102),"")</f>
        <v>44.5875983919462</v>
      </c>
      <c r="AM1102" s="65" t="n">
        <f aca="false">IF(AL1102="",0,MAX(0,MIN(1,(IF(BY1102="L1",Parameter!$E$5,Parameter!$E$6+Parameter!$E$7)-(AL1102-AH1102))/AH1102)))</f>
        <v>1</v>
      </c>
      <c r="AN1102" s="57" t="n">
        <f aca="false">IF(LEFT(Cockpit!$I$5,1)="A",H1102,IF(CA1102=1,CB1102,IF(LEFT(Cockpit!$I$5,1)="B",AR1102,MAX(AR1102,H1102))))</f>
        <v>60</v>
      </c>
      <c r="AO1102" s="57" t="n">
        <f aca="false">IF(BT1102=1,0,ROUNDUP(AN1102/BS1102,0))</f>
        <v>1</v>
      </c>
      <c r="AP1102" s="59" t="n">
        <f aca="false">IF(CH1102&gt;0,CH1102*MAX(1,AN1102/X1102),IF(BT1102=1,IF(AN1102&lt;=0,0,BW1102*MAX(1,IF(H1102&gt;0,AN1102/H1102,1))),IF(R1102&gt;0,AO1102/R1102,0))/MAX(0.1,N(Parameter!$M$21)))</f>
        <v>0.0384615384615385</v>
      </c>
      <c r="AQ1102" s="57" t="n">
        <f aca="false">AN1102*G1102</f>
        <v>4296.6</v>
      </c>
      <c r="AR1102" s="57" t="n">
        <f aca="false">ROUNDUP(MAX(J1102/IF(BZ1102&gt;0,BZ1102,MAX(0.1,N(Cockpit!$I$6))),CC1102)/BS1102,0)*BS1102</f>
        <v>60</v>
      </c>
      <c r="AS1102" s="58" t="n">
        <f aca="false">IF(AP1102&gt;0,J1102/AP1102,-1)</f>
        <v>52</v>
      </c>
      <c r="AT1102" s="58" t="n">
        <f aca="false">IF(AND(OR(BY1102="L1",BY1102="L23"),AP1102&gt;0),SUMIFS($AP$7:$AP$1843,$BY$7:$BY$1843,BY1102,$AS$7:$AS$1843,"&gt;"&amp;AS1102)+SUMIFS($AP$7:$AP$1843,$BY$7:$BY$1843,BY1102,$AS$7:$AS$1843,AS1102,$BQ$7:$BQ$1843,"&lt;="&amp;BQ1102),"")</f>
        <v>67.5309533461707</v>
      </c>
      <c r="AU1102" s="65" t="n">
        <f aca="false">IF(AT1102="",0,MAX(0,MIN(1,(IF(BY1102="L1",Parameter!$E$5,Parameter!$E$6+Parameter!$E$7)-(AT1102-AP1102))/AP1102)))</f>
        <v>1</v>
      </c>
      <c r="AV1102" s="57" t="n">
        <f aca="false">IF(LEFT(Cockpit!$O$5,1)="A",H1102,IF(CA1102=1,CB1102,IF(LEFT(Cockpit!$O$5,1)="B",AZ1102,MAX(AZ1102,H1102))))</f>
        <v>60</v>
      </c>
      <c r="AW1102" s="57" t="n">
        <f aca="false">IF(BT1102=1,0,ROUNDUP(AV1102/BS1102,0))</f>
        <v>1</v>
      </c>
      <c r="AX1102" s="59" t="n">
        <f aca="false">IF(CH1102&gt;0,CH1102*MAX(1,AV1102/X1102),IF(BT1102=1,IF(AV1102&lt;=0,0,BW1102*MAX(1,IF(H1102&gt;0,AV1102/H1102,1))),IF(R1102&gt;0,AW1102/R1102,0))/MAX(0.1,N(Parameter!$M$21)))</f>
        <v>0.0384615384615385</v>
      </c>
      <c r="AY1102" s="57" t="n">
        <f aca="false">AV1102*G1102</f>
        <v>4296.6</v>
      </c>
      <c r="AZ1102" s="57" t="n">
        <f aca="false">ROUNDUP(MAX(J1102/IF(BZ1102&gt;0,BZ1102,MAX(0.1,N(Cockpit!$O$6))),CC1102)/BS1102,0)*BS1102</f>
        <v>60</v>
      </c>
      <c r="BA1102" s="58" t="n">
        <f aca="false">IF(AX1102&gt;0,J1102/AX1102,-1)</f>
        <v>52</v>
      </c>
      <c r="BB1102" s="58" t="n">
        <f aca="false">IF(AND(OR(BY1102="L1",BY1102="L23"),AX1102&gt;0),SUMIFS($AX$7:$AX$1843,$BY$7:$BY$1843,BY1102,$BA$7:$BA$1843,"&gt;"&amp;BA1102)+SUMIFS($AX$7:$AX$1843,$BY$7:$BY$1843,BY1102,$BA$7:$BA$1843,BA1102,$BQ$7:$BQ$1843,"&lt;="&amp;BQ1102),"")</f>
        <v>62.0274568426742</v>
      </c>
      <c r="BC1102" s="65" t="n">
        <f aca="false">IF(BB1102="",0,MAX(0,MIN(1,(IF(BY1102="L1",Parameter!$E$5,Parameter!$E$6+Parameter!$E$7)-(BB1102-AX1102))/AX1102)))</f>
        <v>1</v>
      </c>
      <c r="BD1102" s="55" t="str">
        <f aca="false">IF(AH1102&lt;=0,"",IF(BY1102="Aussen","Aussenlager",IF(BY1102="-","Nicht im Lift",IF(AM1102&gt;=1,"Lift",IF(AM1102&lt;=0,"Aussenlager","teilweise")))))</f>
        <v>Lift</v>
      </c>
      <c r="BE1102" s="55" t="str">
        <f aca="false">IF(AP1102&lt;=0,"",IF(BY1102="Aussen","Aussenlager",IF(BY1102="-","Nicht im Lift",IF(AU1102&gt;=1,"Lift",IF(AU1102&lt;=0,"Aussenlager","teilweise")))))</f>
        <v>Lift</v>
      </c>
      <c r="BF1102" s="55" t="str">
        <f aca="false">IF(AX1102&lt;=0,"",IF(BY1102="Aussen","Aussenlager",IF(BY1102="-","Nicht im Lift",IF(BC1102&gt;=1,"Lift",IF(BC1102&lt;=0,"Aussenlager","teilweise")))))</f>
        <v>Lift</v>
      </c>
      <c r="BG1102" s="55" t="str">
        <f aca="false">IF(A1102="","",IF(BP1102=1,"Neu; ","")&amp;IF(AND(BP1102=0,BK1102&lt;0),"negativer Bestand (Export "&amp;BK1102&amp;"); ","")&amp;IF(J1102&lt;=0,"Kein Verbrauch; ","")&amp;IF(CH1102&gt;0,"Lift "&amp;W1102&amp;" lt. Liftbericht (Fach "&amp;X1102&amp;" Stk); ",IF(BU1102=1,"Gebinde geschätzt ("&amp;T1102&amp;"); ",IF(BT1102=1,"Lose – Tablare geschätzt; ","")))&amp;IF(H1102&gt;AR1102,"Überbestand "&amp;ROUND(H1102-AR1102,0)&amp;" Stk / CHF "&amp;ROUND((H1102-AR1102)*G1102,0)&amp;"; ","")&amp;IF(AND(CA1102=1,CB1102&lt;CC1102),"MAX &lt; MB+LG; ","")&amp;IF(AND(CG1102&gt;0,CF1102*10&gt;CG1102),"zu hoch für Tablar; ","")&amp;IF(AND(BP1102=0,OR(CA1102=1,AA1102&lt;&gt;"",U1102&lt;&gt;"",V1102&lt;&gt;"",AB1102&lt;&gt;"")),"manuell übersteuert; ","")&amp;IF(AND(BT1102=0,R1102=0),"Gebinde unbekannt / Stellmass fehlt; ","")&amp;IF(AND(BT1102=0,N(V1102)&lt;=0,N(Q1102)&lt;=0),"Menge pro Gebinde fehlt (Ist = 1 Gebinde); ","")&amp;BO1102)</f>
        <v>negativer Bestand (Export -3); i.o</v>
      </c>
      <c r="BH1102" s="55"/>
      <c r="BI1102" s="55"/>
      <c r="BJ1102" s="62"/>
      <c r="BK1102" s="57" t="n">
        <v>-3</v>
      </c>
      <c r="BL1102" s="57" t="n">
        <v>61</v>
      </c>
      <c r="BM1102" s="56" t="n">
        <v>-214.83</v>
      </c>
      <c r="BN1102" s="57" t="n">
        <v>2</v>
      </c>
      <c r="BO1102" s="55" t="s">
        <v>536</v>
      </c>
      <c r="BP1102" s="60" t="n">
        <v>0</v>
      </c>
      <c r="BQ1102" s="60" t="n">
        <v>1102</v>
      </c>
      <c r="BR1102" s="55" t="str">
        <f aca="false">IF(U1102&lt;&gt;"",UPPER(TRIM(U1102)),IF(BU1102=1,UPPER(VLOOKUP(T1102,Parameter!$I$27:$K$29,2,0)),IF(P1102="","LOSE",P1102)))</f>
        <v>S52</v>
      </c>
      <c r="BS1102" s="57" t="n">
        <f aca="false">IF(BR1102="LOSE",1,IF(N(V1102)&gt;0,V1102,IF(BU1102=1,MAX(1,N(VLOOKUP(T1102,Parameter!$I$27:$K$29,3,0)),H1102,N(N1102)),IF(N(Q1102)&gt;0,Q1102,MAX(1,H1102)))))</f>
        <v>60</v>
      </c>
      <c r="BT1102" s="60" t="n">
        <f aca="false">IF(BR1102="LOSE",1,0)</f>
        <v>0</v>
      </c>
      <c r="BU1102" s="60" t="n">
        <f aca="false">IF(AND(U1102="",OR(P1102="",P1102="LOSE"),T1102&lt;&gt;"",N(S1102)&lt;=0,ISNUMBER(MATCH(T1102,Parameter!$I$27:$I$29,0))),1,0)</f>
        <v>0</v>
      </c>
      <c r="BV1102" s="55" t="str">
        <f aca="false">IF(AND(Parameter!$B$19="Ja",E1102&lt;&gt;"",ISNUMBER(MATCH(E1102,Parameter!$I$35:$I$52,0))),VLOOKUP(E1102,Parameter!$I$35:$J$52,2,0),IFERROR(VLOOKUP(D1102,Parameter!$A$35:$C$64,2,0),"Nein"))</f>
        <v>2+3</v>
      </c>
      <c r="BW1102" s="59" t="n">
        <f aca="false">IF(BT1102=0,0,IF(N(S1102)&gt;0,S1102,IFERROR(VLOOKUP(D1102,Parameter!$A$35:$C$64,3,0)+0,0)))</f>
        <v>0</v>
      </c>
      <c r="BX1102" s="55" t="n">
        <f aca="false">IF(AA1102&lt;&gt;"",AA1102,Z1102)</f>
        <v>3</v>
      </c>
      <c r="BY1102" s="55" t="str">
        <f aca="false">IF(BX1102=1,"L1",IF(OR(BX1102=2,BX1102=3),"L23",IF(BX1102="Aussen","Aussen","-")))</f>
        <v>L23</v>
      </c>
      <c r="BZ1102" s="66" t="n">
        <f aca="false">IF(N(AB1102)&gt;0,AB1102,0)</f>
        <v>0</v>
      </c>
      <c r="CA1102" s="60" t="n">
        <f aca="false">IF(ISNUMBER(AE1102),1,0)</f>
        <v>0</v>
      </c>
      <c r="CB1102" s="57" t="n">
        <f aca="false">N(AE1102)</f>
        <v>0</v>
      </c>
      <c r="CC1102" s="57" t="n">
        <f aca="false">N(M1102)+N(N1102)</f>
        <v>1</v>
      </c>
      <c r="CD1102" s="57" t="n">
        <f aca="false">ROUNDUP(H1102/BS1102,0)</f>
        <v>1</v>
      </c>
      <c r="CE1102" s="57" t="n">
        <f aca="false">ROUNDUP(CB1102/BS1102,0)</f>
        <v>0</v>
      </c>
      <c r="CF1102" s="60" t="n">
        <f aca="false">IF(BT1102=1,0,IFERROR(VLOOKUP(BR1102,'Gebinde-Kategorie'!$A$5:$M$45,5,0)+0,0))</f>
        <v>21</v>
      </c>
      <c r="CG1102" s="60" t="n">
        <f aca="false">IFERROR(IF(OR(BX1102=1,BX1102=2,BX1102=3),N(INDEX(Parameter!$I$5:$I$7,BX1102)),0),0)</f>
        <v>0</v>
      </c>
      <c r="CH1102" s="59" t="n">
        <f aca="false">IF(AND(Parameter!$B$21="Ja",ISNUMBER(W1102),N(X1102)&gt;0),IFERROR(N(INDEX(Parameter!$L$5:$L$7,W1102))*INDEX(Parameter!$E$5:$E$7,W1102)*X1102/SUMIFS($X$7:$X$1843,$W$7:$W$1843,W1102),0),0)</f>
        <v>0</v>
      </c>
    </row>
    <row r="1103" customFormat="false" ht="15" hidden="false" customHeight="false" outlineLevel="0" collapsed="false">
      <c r="A1103" s="55" t="s">
        <v>2006</v>
      </c>
      <c r="B1103" s="55" t="s">
        <v>749</v>
      </c>
      <c r="C1103" s="55" t="s">
        <v>164</v>
      </c>
      <c r="D1103" s="55" t="s">
        <v>184</v>
      </c>
      <c r="E1103" s="55"/>
      <c r="F1103" s="55" t="s">
        <v>218</v>
      </c>
      <c r="G1103" s="56" t="n">
        <v>83.58</v>
      </c>
      <c r="H1103" s="57" t="n">
        <f aca="false">MAX(0,IF(AND(Parameter!$B$21="Ja",ISNUMBER(Y1103)),Y1103,IF(Parameter!$B$20="Jahresanfang 2025 + Export",BL1103+BK1103,BK1103)))</f>
        <v>2</v>
      </c>
      <c r="I1103" s="57" t="n">
        <f aca="false">H1103*G1103</f>
        <v>167.16</v>
      </c>
      <c r="J1103" s="57" t="n">
        <f aca="false">BN1103*Parameter!$B$18</f>
        <v>1</v>
      </c>
      <c r="K1103" s="58" t="n">
        <v>4.5</v>
      </c>
      <c r="L1103" s="59" t="n">
        <v>0.222222222222222</v>
      </c>
      <c r="M1103" s="57" t="n">
        <v>0</v>
      </c>
      <c r="N1103" s="57" t="n">
        <v>1</v>
      </c>
      <c r="O1103" s="60" t="n">
        <v>35</v>
      </c>
      <c r="P1103" s="55" t="s">
        <v>168</v>
      </c>
      <c r="Q1103" s="57"/>
      <c r="R1103" s="60" t="n">
        <f aca="false">IF(BT1103=1,0,IFERROR(VLOOKUP(BR1103,'Gebinde-Kategorie'!$A$5:$M$45,13,0)+0,0))</f>
        <v>26</v>
      </c>
      <c r="S1103" s="61"/>
      <c r="T1103" s="62" t="s">
        <v>275</v>
      </c>
      <c r="U1103" s="62"/>
      <c r="V1103" s="62"/>
      <c r="W1103" s="55"/>
      <c r="X1103" s="57"/>
      <c r="Y1103" s="57"/>
      <c r="Z1103" s="55" t="n">
        <f aca="false">IF(A1103="","",IF(AND(Parameter!$B$21="Ja",ISNUMBER(W1103)),W1103,IF(BV1103="2+3",IF(ISNUMBER(SEARCH("grosser Artikel",BO1103)),2,IFERROR(VLOOKUP(BR1103,Parameter!$F$35:$G$64,2,0),2)),IF(OR(BV1103="Nein",BV1103=""),"-",BV1103))))</f>
        <v>3</v>
      </c>
      <c r="AA1103" s="62"/>
      <c r="AB1103" s="63"/>
      <c r="AC1103" s="57" t="n">
        <f aca="false">AR1103</f>
        <v>20</v>
      </c>
      <c r="AD1103" s="57" t="n">
        <f aca="false">MAX(AR1103,H1103)</f>
        <v>20</v>
      </c>
      <c r="AE1103" s="64"/>
      <c r="AF1103" s="57" t="n">
        <f aca="false">IF(LEFT(Cockpit!$C$5,1)="A",H1103,IF(CA1103=1,CB1103,IF(LEFT(Cockpit!$C$5,1)="B",AJ1103,MAX(AJ1103,H1103))))</f>
        <v>2</v>
      </c>
      <c r="AG1103" s="57" t="n">
        <f aca="false">IF(BT1103=1,0,ROUNDUP(AF1103/BS1103,0))</f>
        <v>1</v>
      </c>
      <c r="AH1103" s="59" t="n">
        <f aca="false">IF(CH1103&gt;0,CH1103*MAX(1,AF1103/X1103),IF(BT1103=1,IF(AF1103&lt;=0,0,BW1103*MAX(1,IF(H1103&gt;0,AF1103/H1103,1))),IF(R1103&gt;0,AG1103/R1103,0))/MAX(0.1,N(Parameter!$M$21)))</f>
        <v>0.0384615384615385</v>
      </c>
      <c r="AI1103" s="57" t="n">
        <f aca="false">AF1103*G1103</f>
        <v>167.16</v>
      </c>
      <c r="AJ1103" s="57" t="n">
        <f aca="false">ROUNDUP(MAX(J1103/IF(BZ1103&gt;0,BZ1103,MAX(0.1,N(Cockpit!$C$6))),CC1103)/BS1103,0)*BS1103</f>
        <v>20</v>
      </c>
      <c r="AK1103" s="58" t="n">
        <f aca="false">IF(AH1103&gt;0,J1103/AH1103,-1)</f>
        <v>26</v>
      </c>
      <c r="AL1103" s="58" t="n">
        <f aca="false">IF(AND(OR(BY1103="L1",BY1103="L23"),AH1103&gt;0),SUMIFS($AH$7:$AH$1843,$BY$7:$BY$1843,BY1103,$AK$7:$AK$1843,"&gt;"&amp;AK1103)+SUMIFS($AH$7:$AH$1843,$BY$7:$BY$1843,BY1103,$AK$7:$AK$1843,AK1103,$BQ$7:$BQ$1843,"&lt;="&amp;BQ1103),"")</f>
        <v>48.7292067835546</v>
      </c>
      <c r="AM1103" s="65" t="n">
        <f aca="false">IF(AL1103="",0,MAX(0,MIN(1,(IF(BY1103="L1",Parameter!$E$5,Parameter!$E$6+Parameter!$E$7)-(AL1103-AH1103))/AH1103)))</f>
        <v>1</v>
      </c>
      <c r="AN1103" s="57" t="n">
        <f aca="false">IF(LEFT(Cockpit!$I$5,1)="A",H1103,IF(CA1103=1,CB1103,IF(LEFT(Cockpit!$I$5,1)="B",AR1103,MAX(AR1103,H1103))))</f>
        <v>20</v>
      </c>
      <c r="AO1103" s="57" t="n">
        <f aca="false">IF(BT1103=1,0,ROUNDUP(AN1103/BS1103,0))</f>
        <v>1</v>
      </c>
      <c r="AP1103" s="59" t="n">
        <f aca="false">IF(CH1103&gt;0,CH1103*MAX(1,AN1103/X1103),IF(BT1103=1,IF(AN1103&lt;=0,0,BW1103*MAX(1,IF(H1103&gt;0,AN1103/H1103,1))),IF(R1103&gt;0,AO1103/R1103,0))/MAX(0.1,N(Parameter!$M$21)))</f>
        <v>0.0384615384615385</v>
      </c>
      <c r="AQ1103" s="57" t="n">
        <f aca="false">AN1103*G1103</f>
        <v>1671.6</v>
      </c>
      <c r="AR1103" s="57" t="n">
        <f aca="false">ROUNDUP(MAX(J1103/IF(BZ1103&gt;0,BZ1103,MAX(0.1,N(Cockpit!$I$6))),CC1103)/BS1103,0)*BS1103</f>
        <v>20</v>
      </c>
      <c r="AS1103" s="58" t="n">
        <f aca="false">IF(AP1103&gt;0,J1103/AP1103,-1)</f>
        <v>26</v>
      </c>
      <c r="AT1103" s="58" t="n">
        <f aca="false">IF(AND(OR(BY1103="L1",BY1103="L23"),AP1103&gt;0),SUMIFS($AP$7:$AP$1843,$BY$7:$BY$1843,BY1103,$AS$7:$AS$1843,"&gt;"&amp;AS1103)+SUMIFS($AP$7:$AP$1843,$BY$7:$BY$1843,BY1103,$AS$7:$AS$1843,AS1103,$BQ$7:$BQ$1843,"&lt;="&amp;BQ1103),"")</f>
        <v>73.9033309685484</v>
      </c>
      <c r="AU1103" s="65" t="n">
        <f aca="false">IF(AT1103="",0,MAX(0,MIN(1,(IF(BY1103="L1",Parameter!$E$5,Parameter!$E$6+Parameter!$E$7)-(AT1103-AP1103))/AP1103)))</f>
        <v>1</v>
      </c>
      <c r="AV1103" s="57" t="n">
        <f aca="false">IF(LEFT(Cockpit!$O$5,1)="A",H1103,IF(CA1103=1,CB1103,IF(LEFT(Cockpit!$O$5,1)="B",AZ1103,MAX(AZ1103,H1103))))</f>
        <v>20</v>
      </c>
      <c r="AW1103" s="57" t="n">
        <f aca="false">IF(BT1103=1,0,ROUNDUP(AV1103/BS1103,0))</f>
        <v>1</v>
      </c>
      <c r="AX1103" s="59" t="n">
        <f aca="false">IF(CH1103&gt;0,CH1103*MAX(1,AV1103/X1103),IF(BT1103=1,IF(AV1103&lt;=0,0,BW1103*MAX(1,IF(H1103&gt;0,AV1103/H1103,1))),IF(R1103&gt;0,AW1103/R1103,0))/MAX(0.1,N(Parameter!$M$21)))</f>
        <v>0.0384615384615385</v>
      </c>
      <c r="AY1103" s="57" t="n">
        <f aca="false">AV1103*G1103</f>
        <v>1671.6</v>
      </c>
      <c r="AZ1103" s="57" t="n">
        <f aca="false">ROUNDUP(MAX(J1103/IF(BZ1103&gt;0,BZ1103,MAX(0.1,N(Cockpit!$O$6))),CC1103)/BS1103,0)*BS1103</f>
        <v>20</v>
      </c>
      <c r="BA1103" s="58" t="n">
        <f aca="false">IF(AX1103&gt;0,J1103/AX1103,-1)</f>
        <v>26</v>
      </c>
      <c r="BB1103" s="58" t="n">
        <f aca="false">IF(AND(OR(BY1103="L1",BY1103="L23"),AX1103&gt;0),SUMIFS($AX$7:$AX$1843,$BY$7:$BY$1843,BY1103,$BA$7:$BA$1843,"&gt;"&amp;BA1103)+SUMIFS($AX$7:$AX$1843,$BY$7:$BY$1843,BY1103,$BA$7:$BA$1843,BA1103,$BQ$7:$BQ$1843,"&lt;="&amp;BQ1103),"")</f>
        <v>69.3998344650519</v>
      </c>
      <c r="BC1103" s="65" t="n">
        <f aca="false">IF(BB1103="",0,MAX(0,MIN(1,(IF(BY1103="L1",Parameter!$E$5,Parameter!$E$6+Parameter!$E$7)-(BB1103-AX1103))/AX1103)))</f>
        <v>1</v>
      </c>
      <c r="BD1103" s="55" t="str">
        <f aca="false">IF(AH1103&lt;=0,"",IF(BY1103="Aussen","Aussenlager",IF(BY1103="-","Nicht im Lift",IF(AM1103&gt;=1,"Lift",IF(AM1103&lt;=0,"Aussenlager","teilweise")))))</f>
        <v>Lift</v>
      </c>
      <c r="BE1103" s="55" t="str">
        <f aca="false">IF(AP1103&lt;=0,"",IF(BY1103="Aussen","Aussenlager",IF(BY1103="-","Nicht im Lift",IF(AU1103&gt;=1,"Lift",IF(AU1103&lt;=0,"Aussenlager","teilweise")))))</f>
        <v>Lift</v>
      </c>
      <c r="BF1103" s="55" t="str">
        <f aca="false">IF(AX1103&lt;=0,"",IF(BY1103="Aussen","Aussenlager",IF(BY1103="-","Nicht im Lift",IF(BC1103&gt;=1,"Lift",IF(BC1103&lt;=0,"Aussenlager","teilweise")))))</f>
        <v>Lift</v>
      </c>
      <c r="BG1103" s="55" t="str">
        <f aca="false">IF(A1103="","",IF(BP1103=1,"Neu; ","")&amp;IF(AND(BP1103=0,BK1103&lt;0),"negativer Bestand (Export "&amp;BK1103&amp;"); ","")&amp;IF(J1103&lt;=0,"Kein Verbrauch; ","")&amp;IF(CH1103&gt;0,"Lift "&amp;W1103&amp;" lt. Liftbericht (Fach "&amp;X1103&amp;" Stk); ",IF(BU1103=1,"Gebinde geschätzt ("&amp;T1103&amp;"); ",IF(BT1103=1,"Lose – Tablare geschätzt; ","")))&amp;IF(H1103&gt;AR1103,"Überbestand "&amp;ROUND(H1103-AR1103,0)&amp;" Stk / CHF "&amp;ROUND((H1103-AR1103)*G1103,0)&amp;"; ","")&amp;IF(AND(CA1103=1,CB1103&lt;CC1103),"MAX &lt; MB+LG; ","")&amp;IF(AND(CG1103&gt;0,CF1103*10&gt;CG1103),"zu hoch für Tablar; ","")&amp;IF(AND(BP1103=0,OR(CA1103=1,AA1103&lt;&gt;"",U1103&lt;&gt;"",V1103&lt;&gt;"",AB1103&lt;&gt;"")),"manuell übersteuert; ","")&amp;IF(AND(BT1103=0,R1103=0),"Gebinde unbekannt / Stellmass fehlt; ","")&amp;IF(AND(BT1103=0,N(V1103)&lt;=0,N(Q1103)&lt;=0),"Menge pro Gebinde fehlt (Ist = 1 Gebinde); ","")&amp;BO1103)</f>
        <v>negativer Bestand (Export -3); Gebinde geschätzt (Klein); Menge pro Gebinde fehlt (Ist = 1 Gebinde); </v>
      </c>
      <c r="BH1103" s="55"/>
      <c r="BI1103" s="55"/>
      <c r="BJ1103" s="62"/>
      <c r="BK1103" s="57" t="n">
        <v>-3</v>
      </c>
      <c r="BL1103" s="57" t="n">
        <v>5</v>
      </c>
      <c r="BM1103" s="56" t="n">
        <v>-216.39</v>
      </c>
      <c r="BN1103" s="57" t="n">
        <v>1</v>
      </c>
      <c r="BO1103" s="55"/>
      <c r="BP1103" s="60" t="n">
        <v>0</v>
      </c>
      <c r="BQ1103" s="60" t="n">
        <v>1103</v>
      </c>
      <c r="BR1103" s="55" t="str">
        <f aca="false">IF(U1103&lt;&gt;"",UPPER(TRIM(U1103)),IF(BU1103=1,UPPER(VLOOKUP(T1103,Parameter!$I$27:$K$29,2,0)),IF(P1103="","LOSE",P1103)))</f>
        <v>S51</v>
      </c>
      <c r="BS1103" s="57" t="n">
        <f aca="false">IF(BR1103="LOSE",1,IF(N(V1103)&gt;0,V1103,IF(BU1103=1,MAX(1,N(VLOOKUP(T1103,Parameter!$I$27:$K$29,3,0)),H1103,N(N1103)),IF(N(Q1103)&gt;0,Q1103,MAX(1,H1103)))))</f>
        <v>20</v>
      </c>
      <c r="BT1103" s="60" t="n">
        <f aca="false">IF(BR1103="LOSE",1,0)</f>
        <v>0</v>
      </c>
      <c r="BU1103" s="60" t="n">
        <f aca="false">IF(AND(U1103="",OR(P1103="",P1103="LOSE"),T1103&lt;&gt;"",N(S1103)&lt;=0,ISNUMBER(MATCH(T1103,Parameter!$I$27:$I$29,0))),1,0)</f>
        <v>1</v>
      </c>
      <c r="BV1103" s="55" t="str">
        <f aca="false">IF(AND(Parameter!$B$19="Ja",E1103&lt;&gt;"",ISNUMBER(MATCH(E1103,Parameter!$I$35:$I$52,0))),VLOOKUP(E1103,Parameter!$I$35:$J$52,2,0),IFERROR(VLOOKUP(D1103,Parameter!$A$35:$C$64,2,0),"Nein"))</f>
        <v>2+3</v>
      </c>
      <c r="BW1103" s="59" t="n">
        <f aca="false">IF(BT1103=0,0,IF(N(S1103)&gt;0,S1103,IFERROR(VLOOKUP(D1103,Parameter!$A$35:$C$64,3,0)+0,0)))</f>
        <v>0</v>
      </c>
      <c r="BX1103" s="55" t="n">
        <f aca="false">IF(AA1103&lt;&gt;"",AA1103,Z1103)</f>
        <v>3</v>
      </c>
      <c r="BY1103" s="55" t="str">
        <f aca="false">IF(BX1103=1,"L1",IF(OR(BX1103=2,BX1103=3),"L23",IF(BX1103="Aussen","Aussen","-")))</f>
        <v>L23</v>
      </c>
      <c r="BZ1103" s="66" t="n">
        <f aca="false">IF(N(AB1103)&gt;0,AB1103,0)</f>
        <v>0</v>
      </c>
      <c r="CA1103" s="60" t="n">
        <f aca="false">IF(ISNUMBER(AE1103),1,0)</f>
        <v>0</v>
      </c>
      <c r="CB1103" s="57" t="n">
        <f aca="false">N(AE1103)</f>
        <v>0</v>
      </c>
      <c r="CC1103" s="57" t="n">
        <f aca="false">N(M1103)+N(N1103)</f>
        <v>1</v>
      </c>
      <c r="CD1103" s="57" t="n">
        <f aca="false">ROUNDUP(H1103/BS1103,0)</f>
        <v>1</v>
      </c>
      <c r="CE1103" s="57" t="n">
        <f aca="false">ROUNDUP(CB1103/BS1103,0)</f>
        <v>0</v>
      </c>
      <c r="CF1103" s="60" t="n">
        <f aca="false">IF(BT1103=1,0,IFERROR(VLOOKUP(BR1103,'Gebinde-Kategorie'!$A$5:$M$45,5,0)+0,0))</f>
        <v>11</v>
      </c>
      <c r="CG1103" s="60" t="n">
        <f aca="false">IFERROR(IF(OR(BX1103=1,BX1103=2,BX1103=3),N(INDEX(Parameter!$I$5:$I$7,BX1103)),0),0)</f>
        <v>0</v>
      </c>
      <c r="CH1103" s="59" t="n">
        <f aca="false">IF(AND(Parameter!$B$21="Ja",ISNUMBER(W1103),N(X1103)&gt;0),IFERROR(N(INDEX(Parameter!$L$5:$L$7,W1103))*INDEX(Parameter!$E$5:$E$7,W1103)*X1103/SUMIFS($X$7:$X$1843,$W$7:$W$1843,W1103),0),0)</f>
        <v>0</v>
      </c>
    </row>
    <row r="1104" customFormat="false" ht="15" hidden="false" customHeight="false" outlineLevel="0" collapsed="false">
      <c r="A1104" s="55" t="s">
        <v>2007</v>
      </c>
      <c r="B1104" s="55" t="s">
        <v>1746</v>
      </c>
      <c r="C1104" s="55" t="s">
        <v>164</v>
      </c>
      <c r="D1104" s="55" t="s">
        <v>184</v>
      </c>
      <c r="E1104" s="55"/>
      <c r="F1104" s="55" t="s">
        <v>218</v>
      </c>
      <c r="G1104" s="56" t="n">
        <v>18.24</v>
      </c>
      <c r="H1104" s="57" t="n">
        <f aca="false">MAX(0,IF(AND(Parameter!$B$21="Ja",ISNUMBER(Y1104)),Y1104,IF(Parameter!$B$20="Jahresanfang 2025 + Export",BL1104+BK1104,BK1104)))</f>
        <v>22</v>
      </c>
      <c r="I1104" s="57" t="n">
        <f aca="false">H1104*G1104</f>
        <v>401.28</v>
      </c>
      <c r="J1104" s="57" t="n">
        <f aca="false">BN1104*Parameter!$B$18</f>
        <v>20</v>
      </c>
      <c r="K1104" s="58" t="n">
        <v>25</v>
      </c>
      <c r="L1104" s="59" t="n">
        <v>0.8</v>
      </c>
      <c r="M1104" s="57" t="n">
        <v>2</v>
      </c>
      <c r="N1104" s="57" t="n">
        <v>20</v>
      </c>
      <c r="O1104" s="60" t="n">
        <v>49</v>
      </c>
      <c r="P1104" s="55" t="s">
        <v>421</v>
      </c>
      <c r="Q1104" s="57" t="n">
        <v>30</v>
      </c>
      <c r="R1104" s="60" t="n">
        <f aca="false">IF(BT1104=1,0,IFERROR(VLOOKUP(BR1104,'Gebinde-Kategorie'!$A$5:$M$45,13,0)+0,0))</f>
        <v>132</v>
      </c>
      <c r="S1104" s="61"/>
      <c r="T1104" s="62"/>
      <c r="U1104" s="62"/>
      <c r="V1104" s="62"/>
      <c r="W1104" s="55"/>
      <c r="X1104" s="57"/>
      <c r="Y1104" s="57"/>
      <c r="Z1104" s="55" t="n">
        <f aca="false">IF(A1104="","",IF(AND(Parameter!$B$21="Ja",ISNUMBER(W1104)),W1104,IF(BV1104="2+3",IF(ISNUMBER(SEARCH("grosser Artikel",BO1104)),2,IFERROR(VLOOKUP(BR1104,Parameter!$F$35:$G$64,2,0),2)),IF(OR(BV1104="Nein",BV1104=""),"-",BV1104))))</f>
        <v>3</v>
      </c>
      <c r="AA1104" s="62"/>
      <c r="AB1104" s="63"/>
      <c r="AC1104" s="57" t="n">
        <f aca="false">AR1104</f>
        <v>30</v>
      </c>
      <c r="AD1104" s="57" t="n">
        <f aca="false">MAX(AR1104,H1104)</f>
        <v>30</v>
      </c>
      <c r="AE1104" s="64"/>
      <c r="AF1104" s="57" t="n">
        <f aca="false">IF(LEFT(Cockpit!$C$5,1)="A",H1104,IF(CA1104=1,CB1104,IF(LEFT(Cockpit!$C$5,1)="B",AJ1104,MAX(AJ1104,H1104))))</f>
        <v>22</v>
      </c>
      <c r="AG1104" s="57" t="n">
        <f aca="false">IF(BT1104=1,0,ROUNDUP(AF1104/BS1104,0))</f>
        <v>1</v>
      </c>
      <c r="AH1104" s="59" t="n">
        <f aca="false">IF(CH1104&gt;0,CH1104*MAX(1,AF1104/X1104),IF(BT1104=1,IF(AF1104&lt;=0,0,BW1104*MAX(1,IF(H1104&gt;0,AF1104/H1104,1))),IF(R1104&gt;0,AG1104/R1104,0))/MAX(0.1,N(Parameter!$M$21)))</f>
        <v>0.00757575757575758</v>
      </c>
      <c r="AI1104" s="57" t="n">
        <f aca="false">AF1104*G1104</f>
        <v>401.28</v>
      </c>
      <c r="AJ1104" s="57" t="n">
        <f aca="false">ROUNDUP(MAX(J1104/IF(BZ1104&gt;0,BZ1104,MAX(0.1,N(Cockpit!$C$6))),CC1104)/BS1104,0)*BS1104</f>
        <v>30</v>
      </c>
      <c r="AK1104" s="58" t="n">
        <f aca="false">IF(AH1104&gt;0,J1104/AH1104,-1)</f>
        <v>2640</v>
      </c>
      <c r="AL1104" s="58" t="n">
        <f aca="false">IF(AND(OR(BY1104="L1",BY1104="L23"),AH1104&gt;0),SUMIFS($AH$7:$AH$1843,$BY$7:$BY$1843,BY1104,$AK$7:$AK$1843,"&gt;"&amp;AK1104)+SUMIFS($AH$7:$AH$1843,$BY$7:$BY$1843,BY1104,$AK$7:$AK$1843,AK1104,$BQ$7:$BQ$1843,"&lt;="&amp;BQ1104),"")</f>
        <v>11.3498445998446</v>
      </c>
      <c r="AM1104" s="65" t="n">
        <f aca="false">IF(AL1104="",0,MAX(0,MIN(1,(IF(BY1104="L1",Parameter!$E$5,Parameter!$E$6+Parameter!$E$7)-(AL1104-AH1104))/AH1104)))</f>
        <v>1</v>
      </c>
      <c r="AN1104" s="57" t="n">
        <f aca="false">IF(LEFT(Cockpit!$I$5,1)="A",H1104,IF(CA1104=1,CB1104,IF(LEFT(Cockpit!$I$5,1)="B",AR1104,MAX(AR1104,H1104))))</f>
        <v>30</v>
      </c>
      <c r="AO1104" s="57" t="n">
        <f aca="false">IF(BT1104=1,0,ROUNDUP(AN1104/BS1104,0))</f>
        <v>1</v>
      </c>
      <c r="AP1104" s="59" t="n">
        <f aca="false">IF(CH1104&gt;0,CH1104*MAX(1,AN1104/X1104),IF(BT1104=1,IF(AN1104&lt;=0,0,BW1104*MAX(1,IF(H1104&gt;0,AN1104/H1104,1))),IF(R1104&gt;0,AO1104/R1104,0))/MAX(0.1,N(Parameter!$M$21)))</f>
        <v>0.00757575757575758</v>
      </c>
      <c r="AQ1104" s="57" t="n">
        <f aca="false">AN1104*G1104</f>
        <v>547.2</v>
      </c>
      <c r="AR1104" s="57" t="n">
        <f aca="false">ROUNDUP(MAX(J1104/IF(BZ1104&gt;0,BZ1104,MAX(0.1,N(Cockpit!$I$6))),CC1104)/BS1104,0)*BS1104</f>
        <v>30</v>
      </c>
      <c r="AS1104" s="58" t="n">
        <f aca="false">IF(AP1104&gt;0,J1104/AP1104,-1)</f>
        <v>2640</v>
      </c>
      <c r="AT1104" s="58" t="n">
        <f aca="false">IF(AND(OR(BY1104="L1",BY1104="L23"),AP1104&gt;0),SUMIFS($AP$7:$AP$1843,$BY$7:$BY$1843,BY1104,$AS$7:$AS$1843,"&gt;"&amp;AS1104)+SUMIFS($AP$7:$AP$1843,$BY$7:$BY$1843,BY1104,$AS$7:$AS$1843,AS1104,$BQ$7:$BQ$1843,"&lt;="&amp;BQ1104),"")</f>
        <v>16.2205161987771</v>
      </c>
      <c r="AU1104" s="65" t="n">
        <f aca="false">IF(AT1104="",0,MAX(0,MIN(1,(IF(BY1104="L1",Parameter!$E$5,Parameter!$E$6+Parameter!$E$7)-(AT1104-AP1104))/AP1104)))</f>
        <v>1</v>
      </c>
      <c r="AV1104" s="57" t="n">
        <f aca="false">IF(LEFT(Cockpit!$O$5,1)="A",H1104,IF(CA1104=1,CB1104,IF(LEFT(Cockpit!$O$5,1)="B",AZ1104,MAX(AZ1104,H1104))))</f>
        <v>30</v>
      </c>
      <c r="AW1104" s="57" t="n">
        <f aca="false">IF(BT1104=1,0,ROUNDUP(AV1104/BS1104,0))</f>
        <v>1</v>
      </c>
      <c r="AX1104" s="59" t="n">
        <f aca="false">IF(CH1104&gt;0,CH1104*MAX(1,AV1104/X1104),IF(BT1104=1,IF(AV1104&lt;=0,0,BW1104*MAX(1,IF(H1104&gt;0,AV1104/H1104,1))),IF(R1104&gt;0,AW1104/R1104,0))/MAX(0.1,N(Parameter!$M$21)))</f>
        <v>0.00757575757575758</v>
      </c>
      <c r="AY1104" s="57" t="n">
        <f aca="false">AV1104*G1104</f>
        <v>547.2</v>
      </c>
      <c r="AZ1104" s="57" t="n">
        <f aca="false">ROUNDUP(MAX(J1104/IF(BZ1104&gt;0,BZ1104,MAX(0.1,N(Cockpit!$O$6))),CC1104)/BS1104,0)*BS1104</f>
        <v>30</v>
      </c>
      <c r="BA1104" s="58" t="n">
        <f aca="false">IF(AX1104&gt;0,J1104/AX1104,-1)</f>
        <v>2640</v>
      </c>
      <c r="BB1104" s="58" t="n">
        <f aca="false">IF(AND(OR(BY1104="L1",BY1104="L23"),AX1104&gt;0),SUMIFS($AX$7:$AX$1843,$BY$7:$BY$1843,BY1104,$BA$7:$BA$1843,"&gt;"&amp;BA1104)+SUMIFS($AX$7:$AX$1843,$BY$7:$BY$1843,BY1104,$BA$7:$BA$1843,BA1104,$BQ$7:$BQ$1843,"&lt;="&amp;BQ1104),"")</f>
        <v>14.7939427722036</v>
      </c>
      <c r="BC1104" s="65" t="n">
        <f aca="false">IF(BB1104="",0,MAX(0,MIN(1,(IF(BY1104="L1",Parameter!$E$5,Parameter!$E$6+Parameter!$E$7)-(BB1104-AX1104))/AX1104)))</f>
        <v>1</v>
      </c>
      <c r="BD1104" s="55" t="str">
        <f aca="false">IF(AH1104&lt;=0,"",IF(BY1104="Aussen","Aussenlager",IF(BY1104="-","Nicht im Lift",IF(AM1104&gt;=1,"Lift",IF(AM1104&lt;=0,"Aussenlager","teilweise")))))</f>
        <v>Lift</v>
      </c>
      <c r="BE1104" s="55" t="str">
        <f aca="false">IF(AP1104&lt;=0,"",IF(BY1104="Aussen","Aussenlager",IF(BY1104="-","Nicht im Lift",IF(AU1104&gt;=1,"Lift",IF(AU1104&lt;=0,"Aussenlager","teilweise")))))</f>
        <v>Lift</v>
      </c>
      <c r="BF1104" s="55" t="str">
        <f aca="false">IF(AX1104&lt;=0,"",IF(BY1104="Aussen","Aussenlager",IF(BY1104="-","Nicht im Lift",IF(BC1104&gt;=1,"Lift",IF(BC1104&lt;=0,"Aussenlager","teilweise")))))</f>
        <v>Lift</v>
      </c>
      <c r="BG1104" s="55" t="str">
        <f aca="false">IF(A1104="","",IF(BP1104=1,"Neu; ","")&amp;IF(AND(BP1104=0,BK1104&lt;0),"negativer Bestand (Export "&amp;BK1104&amp;"); ","")&amp;IF(J1104&lt;=0,"Kein Verbrauch; ","")&amp;IF(CH1104&gt;0,"Lift "&amp;W1104&amp;" lt. Liftbericht (Fach "&amp;X1104&amp;" Stk); ",IF(BU1104=1,"Gebinde geschätzt ("&amp;T1104&amp;"); ",IF(BT1104=1,"Lose – Tablare geschätzt; ","")))&amp;IF(H1104&gt;AR1104,"Überbestand "&amp;ROUND(H1104-AR1104,0)&amp;" Stk / CHF "&amp;ROUND((H1104-AR1104)*G1104,0)&amp;"; ","")&amp;IF(AND(CA1104=1,CB1104&lt;CC1104),"MAX &lt; MB+LG; ","")&amp;IF(AND(CG1104&gt;0,CF1104*10&gt;CG1104),"zu hoch für Tablar; ","")&amp;IF(AND(BP1104=0,OR(CA1104=1,AA1104&lt;&gt;"",U1104&lt;&gt;"",V1104&lt;&gt;"",AB1104&lt;&gt;"")),"manuell übersteuert; ","")&amp;IF(AND(BT1104=0,R1104=0),"Gebinde unbekannt / Stellmass fehlt; ","")&amp;IF(AND(BT1104=0,N(V1104)&lt;=0,N(Q1104)&lt;=0),"Menge pro Gebinde fehlt (Ist = 1 Gebinde); ","")&amp;BO1104)</f>
        <v>negativer Bestand (Export -12); </v>
      </c>
      <c r="BH1104" s="55"/>
      <c r="BI1104" s="55"/>
      <c r="BJ1104" s="62"/>
      <c r="BK1104" s="57" t="n">
        <v>-12</v>
      </c>
      <c r="BL1104" s="57" t="n">
        <v>34</v>
      </c>
      <c r="BM1104" s="56" t="n">
        <v>-218.54</v>
      </c>
      <c r="BN1104" s="57" t="n">
        <v>20</v>
      </c>
      <c r="BO1104" s="55"/>
      <c r="BP1104" s="60" t="n">
        <v>0</v>
      </c>
      <c r="BQ1104" s="60" t="n">
        <v>1104</v>
      </c>
      <c r="BR1104" s="55" t="str">
        <f aca="false">IF(U1104&lt;&gt;"",UPPER(TRIM(U1104)),IF(BU1104=1,UPPER(VLOOKUP(T1104,Parameter!$I$27:$K$29,2,0)),IF(P1104="","LOSE",P1104)))</f>
        <v>S32</v>
      </c>
      <c r="BS1104" s="57" t="n">
        <f aca="false">IF(BR1104="LOSE",1,IF(N(V1104)&gt;0,V1104,IF(BU1104=1,MAX(1,N(VLOOKUP(T1104,Parameter!$I$27:$K$29,3,0)),H1104,N(N1104)),IF(N(Q1104)&gt;0,Q1104,MAX(1,H1104)))))</f>
        <v>30</v>
      </c>
      <c r="BT1104" s="60" t="n">
        <f aca="false">IF(BR1104="LOSE",1,0)</f>
        <v>0</v>
      </c>
      <c r="BU1104" s="60" t="n">
        <f aca="false">IF(AND(U1104="",OR(P1104="",P1104="LOSE"),T1104&lt;&gt;"",N(S1104)&lt;=0,ISNUMBER(MATCH(T1104,Parameter!$I$27:$I$29,0))),1,0)</f>
        <v>0</v>
      </c>
      <c r="BV1104" s="55" t="str">
        <f aca="false">IF(AND(Parameter!$B$19="Ja",E1104&lt;&gt;"",ISNUMBER(MATCH(E1104,Parameter!$I$35:$I$52,0))),VLOOKUP(E1104,Parameter!$I$35:$J$52,2,0),IFERROR(VLOOKUP(D1104,Parameter!$A$35:$C$64,2,0),"Nein"))</f>
        <v>2+3</v>
      </c>
      <c r="BW1104" s="59" t="n">
        <f aca="false">IF(BT1104=0,0,IF(N(S1104)&gt;0,S1104,IFERROR(VLOOKUP(D1104,Parameter!$A$35:$C$64,3,0)+0,0)))</f>
        <v>0</v>
      </c>
      <c r="BX1104" s="55" t="n">
        <f aca="false">IF(AA1104&lt;&gt;"",AA1104,Z1104)</f>
        <v>3</v>
      </c>
      <c r="BY1104" s="55" t="str">
        <f aca="false">IF(BX1104=1,"L1",IF(OR(BX1104=2,BX1104=3),"L23",IF(BX1104="Aussen","Aussen","-")))</f>
        <v>L23</v>
      </c>
      <c r="BZ1104" s="66" t="n">
        <f aca="false">IF(N(AB1104)&gt;0,AB1104,0)</f>
        <v>0</v>
      </c>
      <c r="CA1104" s="60" t="n">
        <f aca="false">IF(ISNUMBER(AE1104),1,0)</f>
        <v>0</v>
      </c>
      <c r="CB1104" s="57" t="n">
        <f aca="false">N(AE1104)</f>
        <v>0</v>
      </c>
      <c r="CC1104" s="57" t="n">
        <f aca="false">N(M1104)+N(N1104)</f>
        <v>22</v>
      </c>
      <c r="CD1104" s="57" t="n">
        <f aca="false">ROUNDUP(H1104/BS1104,0)</f>
        <v>1</v>
      </c>
      <c r="CE1104" s="57" t="n">
        <f aca="false">ROUNDUP(CB1104/BS1104,0)</f>
        <v>0</v>
      </c>
      <c r="CF1104" s="60" t="n">
        <f aca="false">IF(BT1104=1,0,IFERROR(VLOOKUP(BR1104,'Gebinde-Kategorie'!$A$5:$M$45,5,0)+0,0))</f>
        <v>8</v>
      </c>
      <c r="CG1104" s="60" t="n">
        <f aca="false">IFERROR(IF(OR(BX1104=1,BX1104=2,BX1104=3),N(INDEX(Parameter!$I$5:$I$7,BX1104)),0),0)</f>
        <v>0</v>
      </c>
      <c r="CH1104" s="59" t="n">
        <f aca="false">IF(AND(Parameter!$B$21="Ja",ISNUMBER(W1104),N(X1104)&gt;0),IFERROR(N(INDEX(Parameter!$L$5:$L$7,W1104))*INDEX(Parameter!$E$5:$E$7,W1104)*X1104/SUMIFS($X$7:$X$1843,$W$7:$W$1843,W1104),0),0)</f>
        <v>0</v>
      </c>
    </row>
    <row r="1105" customFormat="false" ht="15" hidden="false" customHeight="false" outlineLevel="0" collapsed="false">
      <c r="A1105" s="55" t="s">
        <v>2008</v>
      </c>
      <c r="B1105" s="55" t="s">
        <v>497</v>
      </c>
      <c r="C1105" s="55" t="s">
        <v>164</v>
      </c>
      <c r="D1105" s="55" t="s">
        <v>184</v>
      </c>
      <c r="E1105" s="55" t="s">
        <v>185</v>
      </c>
      <c r="F1105" s="55" t="s">
        <v>218</v>
      </c>
      <c r="G1105" s="56" t="n">
        <v>37</v>
      </c>
      <c r="H1105" s="57" t="n">
        <f aca="false">MAX(0,IF(AND(Parameter!$B$21="Ja",ISNUMBER(Y1105)),Y1105,IF(Parameter!$B$20="Jahresanfang 2025 + Export",BL1105+BK1105,BK1105)))</f>
        <v>8</v>
      </c>
      <c r="I1105" s="57" t="n">
        <f aca="false">H1105*G1105</f>
        <v>296</v>
      </c>
      <c r="J1105" s="57" t="n">
        <f aca="false">BN1105*Parameter!$B$18</f>
        <v>20</v>
      </c>
      <c r="K1105" s="58" t="n">
        <v>14</v>
      </c>
      <c r="L1105" s="59" t="n">
        <v>1.42857142857143</v>
      </c>
      <c r="M1105" s="57" t="n">
        <v>1</v>
      </c>
      <c r="N1105" s="57" t="n">
        <v>20</v>
      </c>
      <c r="O1105" s="60" t="n">
        <v>35</v>
      </c>
      <c r="P1105" s="55" t="s">
        <v>421</v>
      </c>
      <c r="Q1105" s="57" t="n">
        <v>19</v>
      </c>
      <c r="R1105" s="60" t="n">
        <f aca="false">IF(BT1105=1,0,IFERROR(VLOOKUP(BR1105,'Gebinde-Kategorie'!$A$5:$M$45,13,0)+0,0))</f>
        <v>132</v>
      </c>
      <c r="S1105" s="61"/>
      <c r="T1105" s="62"/>
      <c r="U1105" s="62"/>
      <c r="V1105" s="62"/>
      <c r="W1105" s="55"/>
      <c r="X1105" s="57"/>
      <c r="Y1105" s="57"/>
      <c r="Z1105" s="55" t="n">
        <f aca="false">IF(A1105="","",IF(AND(Parameter!$B$21="Ja",ISNUMBER(W1105)),W1105,IF(BV1105="2+3",IF(ISNUMBER(SEARCH("grosser Artikel",BO1105)),2,IFERROR(VLOOKUP(BR1105,Parameter!$F$35:$G$64,2,0),2)),IF(OR(BV1105="Nein",BV1105=""),"-",BV1105))))</f>
        <v>3</v>
      </c>
      <c r="AA1105" s="62"/>
      <c r="AB1105" s="63"/>
      <c r="AC1105" s="57" t="n">
        <f aca="false">AR1105</f>
        <v>38</v>
      </c>
      <c r="AD1105" s="57" t="n">
        <f aca="false">MAX(AR1105,H1105)</f>
        <v>38</v>
      </c>
      <c r="AE1105" s="64"/>
      <c r="AF1105" s="57" t="n">
        <f aca="false">IF(LEFT(Cockpit!$C$5,1)="A",H1105,IF(CA1105=1,CB1105,IF(LEFT(Cockpit!$C$5,1)="B",AJ1105,MAX(AJ1105,H1105))))</f>
        <v>8</v>
      </c>
      <c r="AG1105" s="57" t="n">
        <f aca="false">IF(BT1105=1,0,ROUNDUP(AF1105/BS1105,0))</f>
        <v>1</v>
      </c>
      <c r="AH1105" s="59" t="n">
        <f aca="false">IF(CH1105&gt;0,CH1105*MAX(1,AF1105/X1105),IF(BT1105=1,IF(AF1105&lt;=0,0,BW1105*MAX(1,IF(H1105&gt;0,AF1105/H1105,1))),IF(R1105&gt;0,AG1105/R1105,0))/MAX(0.1,N(Parameter!$M$21)))</f>
        <v>0.00757575757575758</v>
      </c>
      <c r="AI1105" s="57" t="n">
        <f aca="false">AF1105*G1105</f>
        <v>296</v>
      </c>
      <c r="AJ1105" s="57" t="n">
        <f aca="false">ROUNDUP(MAX(J1105/IF(BZ1105&gt;0,BZ1105,MAX(0.1,N(Cockpit!$C$6))),CC1105)/BS1105,0)*BS1105</f>
        <v>38</v>
      </c>
      <c r="AK1105" s="58" t="n">
        <f aca="false">IF(AH1105&gt;0,J1105/AH1105,-1)</f>
        <v>2640</v>
      </c>
      <c r="AL1105" s="58" t="n">
        <f aca="false">IF(AND(OR(BY1105="L1",BY1105="L23"),AH1105&gt;0),SUMIFS($AH$7:$AH$1843,$BY$7:$BY$1843,BY1105,$AK$7:$AK$1843,"&gt;"&amp;AK1105)+SUMIFS($AH$7:$AH$1843,$BY$7:$BY$1843,BY1105,$AK$7:$AK$1843,AK1105,$BQ$7:$BQ$1843,"&lt;="&amp;BQ1105),"")</f>
        <v>11.3574203574204</v>
      </c>
      <c r="AM1105" s="65" t="n">
        <f aca="false">IF(AL1105="",0,MAX(0,MIN(1,(IF(BY1105="L1",Parameter!$E$5,Parameter!$E$6+Parameter!$E$7)-(AL1105-AH1105))/AH1105)))</f>
        <v>1</v>
      </c>
      <c r="AN1105" s="57" t="n">
        <f aca="false">IF(LEFT(Cockpit!$I$5,1)="A",H1105,IF(CA1105=1,CB1105,IF(LEFT(Cockpit!$I$5,1)="B",AR1105,MAX(AR1105,H1105))))</f>
        <v>38</v>
      </c>
      <c r="AO1105" s="57" t="n">
        <f aca="false">IF(BT1105=1,0,ROUNDUP(AN1105/BS1105,0))</f>
        <v>2</v>
      </c>
      <c r="AP1105" s="59" t="n">
        <f aca="false">IF(CH1105&gt;0,CH1105*MAX(1,AN1105/X1105),IF(BT1105=1,IF(AN1105&lt;=0,0,BW1105*MAX(1,IF(H1105&gt;0,AN1105/H1105,1))),IF(R1105&gt;0,AO1105/R1105,0))/MAX(0.1,N(Parameter!$M$21)))</f>
        <v>0.0151515151515152</v>
      </c>
      <c r="AQ1105" s="57" t="n">
        <f aca="false">AN1105*G1105</f>
        <v>1406</v>
      </c>
      <c r="AR1105" s="57" t="n">
        <f aca="false">ROUNDUP(MAX(J1105/IF(BZ1105&gt;0,BZ1105,MAX(0.1,N(Cockpit!$I$6))),CC1105)/BS1105,0)*BS1105</f>
        <v>38</v>
      </c>
      <c r="AS1105" s="58" t="n">
        <f aca="false">IF(AP1105&gt;0,J1105/AP1105,-1)</f>
        <v>1320</v>
      </c>
      <c r="AT1105" s="58" t="n">
        <f aca="false">IF(AND(OR(BY1105="L1",BY1105="L23"),AP1105&gt;0),SUMIFS($AP$7:$AP$1843,$BY$7:$BY$1843,BY1105,$AS$7:$AS$1843,"&gt;"&amp;AS1105)+SUMIFS($AP$7:$AP$1843,$BY$7:$BY$1843,BY1105,$AS$7:$AS$1843,AS1105,$BQ$7:$BQ$1843,"&lt;="&amp;BQ1105),"")</f>
        <v>21.8310530049661</v>
      </c>
      <c r="AU1105" s="65" t="n">
        <f aca="false">IF(AT1105="",0,MAX(0,MIN(1,(IF(BY1105="L1",Parameter!$E$5,Parameter!$E$6+Parameter!$E$7)-(AT1105-AP1105))/AP1105)))</f>
        <v>1</v>
      </c>
      <c r="AV1105" s="57" t="n">
        <f aca="false">IF(LEFT(Cockpit!$O$5,1)="A",H1105,IF(CA1105=1,CB1105,IF(LEFT(Cockpit!$O$5,1)="B",AZ1105,MAX(AZ1105,H1105))))</f>
        <v>38</v>
      </c>
      <c r="AW1105" s="57" t="n">
        <f aca="false">IF(BT1105=1,0,ROUNDUP(AV1105/BS1105,0))</f>
        <v>2</v>
      </c>
      <c r="AX1105" s="59" t="n">
        <f aca="false">IF(CH1105&gt;0,CH1105*MAX(1,AV1105/X1105),IF(BT1105=1,IF(AV1105&lt;=0,0,BW1105*MAX(1,IF(H1105&gt;0,AV1105/H1105,1))),IF(R1105&gt;0,AW1105/R1105,0))/MAX(0.1,N(Parameter!$M$21)))</f>
        <v>0.0151515151515152</v>
      </c>
      <c r="AY1105" s="57" t="n">
        <f aca="false">AV1105*G1105</f>
        <v>1406</v>
      </c>
      <c r="AZ1105" s="57" t="n">
        <f aca="false">ROUNDUP(MAX(J1105/IF(BZ1105&gt;0,BZ1105,MAX(0.1,N(Cockpit!$O$6))),CC1105)/BS1105,0)*BS1105</f>
        <v>38</v>
      </c>
      <c r="BA1105" s="58" t="n">
        <f aca="false">IF(AX1105&gt;0,J1105/AX1105,-1)</f>
        <v>1320</v>
      </c>
      <c r="BB1105" s="58" t="n">
        <f aca="false">IF(AND(OR(BY1105="L1",BY1105="L23"),AX1105&gt;0),SUMIFS($AX$7:$AX$1843,$BY$7:$BY$1843,BY1105,$BA$7:$BA$1843,"&gt;"&amp;BA1105)+SUMIFS($AX$7:$AX$1843,$BY$7:$BY$1843,BY1105,$BA$7:$BA$1843,BA1105,$BQ$7:$BQ$1843,"&lt;="&amp;BQ1105),"")</f>
        <v>20.5262744501875</v>
      </c>
      <c r="BC1105" s="65" t="n">
        <f aca="false">IF(BB1105="",0,MAX(0,MIN(1,(IF(BY1105="L1",Parameter!$E$5,Parameter!$E$6+Parameter!$E$7)-(BB1105-AX1105))/AX1105)))</f>
        <v>1</v>
      </c>
      <c r="BD1105" s="55" t="str">
        <f aca="false">IF(AH1105&lt;=0,"",IF(BY1105="Aussen","Aussenlager",IF(BY1105="-","Nicht im Lift",IF(AM1105&gt;=1,"Lift",IF(AM1105&lt;=0,"Aussenlager","teilweise")))))</f>
        <v>Lift</v>
      </c>
      <c r="BE1105" s="55" t="str">
        <f aca="false">IF(AP1105&lt;=0,"",IF(BY1105="Aussen","Aussenlager",IF(BY1105="-","Nicht im Lift",IF(AU1105&gt;=1,"Lift",IF(AU1105&lt;=0,"Aussenlager","teilweise")))))</f>
        <v>Lift</v>
      </c>
      <c r="BF1105" s="55" t="str">
        <f aca="false">IF(AX1105&lt;=0,"",IF(BY1105="Aussen","Aussenlager",IF(BY1105="-","Nicht im Lift",IF(BC1105&gt;=1,"Lift",IF(BC1105&lt;=0,"Aussenlager","teilweise")))))</f>
        <v>Lift</v>
      </c>
      <c r="BG1105" s="55" t="str">
        <f aca="false">IF(A1105="","",IF(BP1105=1,"Neu; ","")&amp;IF(AND(BP1105=0,BK1105&lt;0),"negativer Bestand (Export "&amp;BK1105&amp;"); ","")&amp;IF(J1105&lt;=0,"Kein Verbrauch; ","")&amp;IF(CH1105&gt;0,"Lift "&amp;W1105&amp;" lt. Liftbericht (Fach "&amp;X1105&amp;" Stk); ",IF(BU1105=1,"Gebinde geschätzt ("&amp;T1105&amp;"); ",IF(BT1105=1,"Lose – Tablare geschätzt; ","")))&amp;IF(H1105&gt;AR1105,"Überbestand "&amp;ROUND(H1105-AR1105,0)&amp;" Stk / CHF "&amp;ROUND((H1105-AR1105)*G1105,0)&amp;"; ","")&amp;IF(AND(CA1105=1,CB1105&lt;CC1105),"MAX &lt; MB+LG; ","")&amp;IF(AND(CG1105&gt;0,CF1105*10&gt;CG1105),"zu hoch für Tablar; ","")&amp;IF(AND(BP1105=0,OR(CA1105=1,AA1105&lt;&gt;"",U1105&lt;&gt;"",V1105&lt;&gt;"",AB1105&lt;&gt;"")),"manuell übersteuert; ","")&amp;IF(AND(BT1105=0,R1105=0),"Gebinde unbekannt / Stellmass fehlt; ","")&amp;IF(AND(BT1105=0,N(V1105)&lt;=0,N(Q1105)&lt;=0),"Menge pro Gebinde fehlt (Ist = 1 Gebinde); ","")&amp;BO1105)</f>
        <v>negativer Bestand (Export -6); </v>
      </c>
      <c r="BH1105" s="55"/>
      <c r="BI1105" s="55"/>
      <c r="BJ1105" s="62"/>
      <c r="BK1105" s="57" t="n">
        <v>-6</v>
      </c>
      <c r="BL1105" s="57" t="n">
        <v>14</v>
      </c>
      <c r="BM1105" s="56" t="n">
        <v>-222</v>
      </c>
      <c r="BN1105" s="57" t="n">
        <v>20</v>
      </c>
      <c r="BO1105" s="55"/>
      <c r="BP1105" s="60" t="n">
        <v>0</v>
      </c>
      <c r="BQ1105" s="60" t="n">
        <v>1105</v>
      </c>
      <c r="BR1105" s="55" t="str">
        <f aca="false">IF(U1105&lt;&gt;"",UPPER(TRIM(U1105)),IF(BU1105=1,UPPER(VLOOKUP(T1105,Parameter!$I$27:$K$29,2,0)),IF(P1105="","LOSE",P1105)))</f>
        <v>S32</v>
      </c>
      <c r="BS1105" s="57" t="n">
        <f aca="false">IF(BR1105="LOSE",1,IF(N(V1105)&gt;0,V1105,IF(BU1105=1,MAX(1,N(VLOOKUP(T1105,Parameter!$I$27:$K$29,3,0)),H1105,N(N1105)),IF(N(Q1105)&gt;0,Q1105,MAX(1,H1105)))))</f>
        <v>19</v>
      </c>
      <c r="BT1105" s="60" t="n">
        <f aca="false">IF(BR1105="LOSE",1,0)</f>
        <v>0</v>
      </c>
      <c r="BU1105" s="60" t="n">
        <f aca="false">IF(AND(U1105="",OR(P1105="",P1105="LOSE"),T1105&lt;&gt;"",N(S1105)&lt;=0,ISNUMBER(MATCH(T1105,Parameter!$I$27:$I$29,0))),1,0)</f>
        <v>0</v>
      </c>
      <c r="BV1105" s="55" t="str">
        <f aca="false">IF(AND(Parameter!$B$19="Ja",E1105&lt;&gt;"",ISNUMBER(MATCH(E1105,Parameter!$I$35:$I$52,0))),VLOOKUP(E1105,Parameter!$I$35:$J$52,2,0),IFERROR(VLOOKUP(D1105,Parameter!$A$35:$C$64,2,0),"Nein"))</f>
        <v>2+3</v>
      </c>
      <c r="BW1105" s="59" t="n">
        <f aca="false">IF(BT1105=0,0,IF(N(S1105)&gt;0,S1105,IFERROR(VLOOKUP(D1105,Parameter!$A$35:$C$64,3,0)+0,0)))</f>
        <v>0</v>
      </c>
      <c r="BX1105" s="55" t="n">
        <f aca="false">IF(AA1105&lt;&gt;"",AA1105,Z1105)</f>
        <v>3</v>
      </c>
      <c r="BY1105" s="55" t="str">
        <f aca="false">IF(BX1105=1,"L1",IF(OR(BX1105=2,BX1105=3),"L23",IF(BX1105="Aussen","Aussen","-")))</f>
        <v>L23</v>
      </c>
      <c r="BZ1105" s="66" t="n">
        <f aca="false">IF(N(AB1105)&gt;0,AB1105,0)</f>
        <v>0</v>
      </c>
      <c r="CA1105" s="60" t="n">
        <f aca="false">IF(ISNUMBER(AE1105),1,0)</f>
        <v>0</v>
      </c>
      <c r="CB1105" s="57" t="n">
        <f aca="false">N(AE1105)</f>
        <v>0</v>
      </c>
      <c r="CC1105" s="57" t="n">
        <f aca="false">N(M1105)+N(N1105)</f>
        <v>21</v>
      </c>
      <c r="CD1105" s="57" t="n">
        <f aca="false">ROUNDUP(H1105/BS1105,0)</f>
        <v>1</v>
      </c>
      <c r="CE1105" s="57" t="n">
        <f aca="false">ROUNDUP(CB1105/BS1105,0)</f>
        <v>0</v>
      </c>
      <c r="CF1105" s="60" t="n">
        <f aca="false">IF(BT1105=1,0,IFERROR(VLOOKUP(BR1105,'Gebinde-Kategorie'!$A$5:$M$45,5,0)+0,0))</f>
        <v>8</v>
      </c>
      <c r="CG1105" s="60" t="n">
        <f aca="false">IFERROR(IF(OR(BX1105=1,BX1105=2,BX1105=3),N(INDEX(Parameter!$I$5:$I$7,BX1105)),0),0)</f>
        <v>0</v>
      </c>
      <c r="CH1105" s="59" t="n">
        <f aca="false">IF(AND(Parameter!$B$21="Ja",ISNUMBER(W1105),N(X1105)&gt;0),IFERROR(N(INDEX(Parameter!$L$5:$L$7,W1105))*INDEX(Parameter!$E$5:$E$7,W1105)*X1105/SUMIFS($X$7:$X$1843,$W$7:$W$1843,W1105),0),0)</f>
        <v>0</v>
      </c>
    </row>
    <row r="1106" customFormat="false" ht="15" hidden="false" customHeight="false" outlineLevel="0" collapsed="false">
      <c r="A1106" s="55" t="s">
        <v>2009</v>
      </c>
      <c r="B1106" s="55" t="s">
        <v>544</v>
      </c>
      <c r="C1106" s="55" t="s">
        <v>164</v>
      </c>
      <c r="D1106" s="55" t="s">
        <v>184</v>
      </c>
      <c r="E1106" s="55" t="s">
        <v>185</v>
      </c>
      <c r="F1106" s="55" t="s">
        <v>218</v>
      </c>
      <c r="G1106" s="56" t="n">
        <v>16.05</v>
      </c>
      <c r="H1106" s="57" t="n">
        <f aca="false">MAX(0,IF(AND(Parameter!$B$21="Ja",ISNUMBER(Y1106)),Y1106,IF(Parameter!$B$20="Jahresanfang 2025 + Export",BL1106+BK1106,BK1106)))</f>
        <v>25</v>
      </c>
      <c r="I1106" s="57" t="n">
        <f aca="false">H1106*G1106</f>
        <v>401.25</v>
      </c>
      <c r="J1106" s="57" t="n">
        <f aca="false">BN1106*Parameter!$B$18</f>
        <v>0</v>
      </c>
      <c r="K1106" s="58" t="n">
        <v>32</v>
      </c>
      <c r="L1106" s="59" t="n">
        <v>0</v>
      </c>
      <c r="M1106" s="57" t="n">
        <v>2</v>
      </c>
      <c r="N1106" s="57" t="n">
        <v>1</v>
      </c>
      <c r="O1106" s="60" t="n">
        <v>28</v>
      </c>
      <c r="P1106" s="55" t="s">
        <v>421</v>
      </c>
      <c r="Q1106" s="57" t="n">
        <v>39</v>
      </c>
      <c r="R1106" s="60" t="n">
        <f aca="false">IF(BT1106=1,0,IFERROR(VLOOKUP(BR1106,'Gebinde-Kategorie'!$A$5:$M$45,13,0)+0,0))</f>
        <v>132</v>
      </c>
      <c r="S1106" s="61"/>
      <c r="T1106" s="62"/>
      <c r="U1106" s="62"/>
      <c r="V1106" s="62"/>
      <c r="W1106" s="55"/>
      <c r="X1106" s="57"/>
      <c r="Y1106" s="57"/>
      <c r="Z1106" s="55" t="n">
        <f aca="false">IF(A1106="","",IF(AND(Parameter!$B$21="Ja",ISNUMBER(W1106)),W1106,IF(BV1106="2+3",IF(ISNUMBER(SEARCH("grosser Artikel",BO1106)),2,IFERROR(VLOOKUP(BR1106,Parameter!$F$35:$G$64,2,0),2)),IF(OR(BV1106="Nein",BV1106=""),"-",BV1106))))</f>
        <v>3</v>
      </c>
      <c r="AA1106" s="62"/>
      <c r="AB1106" s="63"/>
      <c r="AC1106" s="57" t="n">
        <f aca="false">AR1106</f>
        <v>39</v>
      </c>
      <c r="AD1106" s="57" t="n">
        <f aca="false">MAX(AR1106,H1106)</f>
        <v>39</v>
      </c>
      <c r="AE1106" s="64"/>
      <c r="AF1106" s="57" t="n">
        <f aca="false">IF(LEFT(Cockpit!$C$5,1)="A",H1106,IF(CA1106=1,CB1106,IF(LEFT(Cockpit!$C$5,1)="B",AJ1106,MAX(AJ1106,H1106))))</f>
        <v>25</v>
      </c>
      <c r="AG1106" s="57" t="n">
        <f aca="false">IF(BT1106=1,0,ROUNDUP(AF1106/BS1106,0))</f>
        <v>1</v>
      </c>
      <c r="AH1106" s="59" t="n">
        <f aca="false">IF(CH1106&gt;0,CH1106*MAX(1,AF1106/X1106),IF(BT1106=1,IF(AF1106&lt;=0,0,BW1106*MAX(1,IF(H1106&gt;0,AF1106/H1106,1))),IF(R1106&gt;0,AG1106/R1106,0))/MAX(0.1,N(Parameter!$M$21)))</f>
        <v>0.00757575757575758</v>
      </c>
      <c r="AI1106" s="57" t="n">
        <f aca="false">AF1106*G1106</f>
        <v>401.25</v>
      </c>
      <c r="AJ1106" s="57" t="n">
        <f aca="false">ROUNDUP(MAX(J1106/IF(BZ1106&gt;0,BZ1106,MAX(0.1,N(Cockpit!$C$6))),CC1106)/BS1106,0)*BS1106</f>
        <v>39</v>
      </c>
      <c r="AK1106" s="58" t="n">
        <f aca="false">IF(AH1106&gt;0,J1106/AH1106,-1)</f>
        <v>0</v>
      </c>
      <c r="AL1106" s="58" t="n">
        <f aca="false">IF(AND(OR(BY1106="L1",BY1106="L23"),AH1106&gt;0),SUMIFS($AH$7:$AH$1843,$BY$7:$BY$1843,BY1106,$AK$7:$AK$1843,"&gt;"&amp;AK1106)+SUMIFS($AH$7:$AH$1843,$BY$7:$BY$1843,BY1106,$AK$7:$AK$1843,AK1106,$BQ$7:$BQ$1843,"&lt;="&amp;BQ1106),"")</f>
        <v>79.4281527651093</v>
      </c>
      <c r="AM1106" s="65" t="n">
        <f aca="false">IF(AL1106="",0,MAX(0,MIN(1,(IF(BY1106="L1",Parameter!$E$5,Parameter!$E$6+Parameter!$E$7)-(AL1106-AH1106))/AH1106)))</f>
        <v>1</v>
      </c>
      <c r="AN1106" s="57" t="n">
        <f aca="false">IF(LEFT(Cockpit!$I$5,1)="A",H1106,IF(CA1106=1,CB1106,IF(LEFT(Cockpit!$I$5,1)="B",AR1106,MAX(AR1106,H1106))))</f>
        <v>39</v>
      </c>
      <c r="AO1106" s="57" t="n">
        <f aca="false">IF(BT1106=1,0,ROUNDUP(AN1106/BS1106,0))</f>
        <v>1</v>
      </c>
      <c r="AP1106" s="59" t="n">
        <f aca="false">IF(CH1106&gt;0,CH1106*MAX(1,AN1106/X1106),IF(BT1106=1,IF(AN1106&lt;=0,0,BW1106*MAX(1,IF(H1106&gt;0,AN1106/H1106,1))),IF(R1106&gt;0,AO1106/R1106,0))/MAX(0.1,N(Parameter!$M$21)))</f>
        <v>0.00757575757575758</v>
      </c>
      <c r="AQ1106" s="57" t="n">
        <f aca="false">AN1106*G1106</f>
        <v>625.95</v>
      </c>
      <c r="AR1106" s="57" t="n">
        <f aca="false">ROUNDUP(MAX(J1106/IF(BZ1106&gt;0,BZ1106,MAX(0.1,N(Cockpit!$I$6))),CC1106)/BS1106,0)*BS1106</f>
        <v>39</v>
      </c>
      <c r="AS1106" s="58" t="n">
        <f aca="false">IF(AP1106&gt;0,J1106/AP1106,-1)</f>
        <v>0</v>
      </c>
      <c r="AT1106" s="58" t="n">
        <f aca="false">IF(AND(OR(BY1106="L1",BY1106="L23"),AP1106&gt;0),SUMIFS($AP$7:$AP$1843,$BY$7:$BY$1843,BY1106,$AS$7:$AS$1843,"&gt;"&amp;AS1106)+SUMIFS($AP$7:$AP$1843,$BY$7:$BY$1843,BY1106,$AS$7:$AS$1843,AS1106,$BQ$7:$BQ$1843,"&lt;="&amp;BQ1106),"")</f>
        <v>120.959089219959</v>
      </c>
      <c r="AU1106" s="65" t="n">
        <f aca="false">IF(AT1106="",0,MAX(0,MIN(1,(IF(BY1106="L1",Parameter!$E$5,Parameter!$E$6+Parameter!$E$7)-(AT1106-AP1106))/AP1106)))</f>
        <v>0</v>
      </c>
      <c r="AV1106" s="57" t="n">
        <f aca="false">IF(LEFT(Cockpit!$O$5,1)="A",H1106,IF(CA1106=1,CB1106,IF(LEFT(Cockpit!$O$5,1)="B",AZ1106,MAX(AZ1106,H1106))))</f>
        <v>39</v>
      </c>
      <c r="AW1106" s="57" t="n">
        <f aca="false">IF(BT1106=1,0,ROUNDUP(AV1106/BS1106,0))</f>
        <v>1</v>
      </c>
      <c r="AX1106" s="59" t="n">
        <f aca="false">IF(CH1106&gt;0,CH1106*MAX(1,AV1106/X1106),IF(BT1106=1,IF(AV1106&lt;=0,0,BW1106*MAX(1,IF(H1106&gt;0,AV1106/H1106,1))),IF(R1106&gt;0,AW1106/R1106,0))/MAX(0.1,N(Parameter!$M$21)))</f>
        <v>0.00757575757575758</v>
      </c>
      <c r="AY1106" s="57" t="n">
        <f aca="false">AV1106*G1106</f>
        <v>625.95</v>
      </c>
      <c r="AZ1106" s="57" t="n">
        <f aca="false">ROUNDUP(MAX(J1106/IF(BZ1106&gt;0,BZ1106,MAX(0.1,N(Cockpit!$O$6))),CC1106)/BS1106,0)*BS1106</f>
        <v>39</v>
      </c>
      <c r="BA1106" s="58" t="n">
        <f aca="false">IF(AX1106&gt;0,J1106/AX1106,-1)</f>
        <v>0</v>
      </c>
      <c r="BB1106" s="58" t="n">
        <f aca="false">IF(AND(OR(BY1106="L1",BY1106="L23"),AX1106&gt;0),SUMIFS($AX$7:$AX$1843,$BY$7:$BY$1843,BY1106,$BA$7:$BA$1843,"&gt;"&amp;BA1106)+SUMIFS($AX$7:$AX$1843,$BY$7:$BY$1843,BY1106,$BA$7:$BA$1843,BA1106,$BQ$7:$BQ$1843,"&lt;="&amp;BQ1106),"")</f>
        <v>111.788926049796</v>
      </c>
      <c r="BC1106" s="65" t="n">
        <f aca="false">IF(BB1106="",0,MAX(0,MIN(1,(IF(BY1106="L1",Parameter!$E$5,Parameter!$E$6+Parameter!$E$7)-(BB1106-AX1106))/AX1106)))</f>
        <v>0</v>
      </c>
      <c r="BD1106" s="55" t="str">
        <f aca="false">IF(AH1106&lt;=0,"",IF(BY1106="Aussen","Aussenlager",IF(BY1106="-","Nicht im Lift",IF(AM1106&gt;=1,"Lift",IF(AM1106&lt;=0,"Aussenlager","teilweise")))))</f>
        <v>Lift</v>
      </c>
      <c r="BE1106" s="55" t="str">
        <f aca="false">IF(AP1106&lt;=0,"",IF(BY1106="Aussen","Aussenlager",IF(BY1106="-","Nicht im Lift",IF(AU1106&gt;=1,"Lift",IF(AU1106&lt;=0,"Aussenlager","teilweise")))))</f>
        <v>Aussenlager</v>
      </c>
      <c r="BF1106" s="55" t="str">
        <f aca="false">IF(AX1106&lt;=0,"",IF(BY1106="Aussen","Aussenlager",IF(BY1106="-","Nicht im Lift",IF(BC1106&gt;=1,"Lift",IF(BC1106&lt;=0,"Aussenlager","teilweise")))))</f>
        <v>Aussenlager</v>
      </c>
      <c r="BG1106" s="55" t="str">
        <f aca="false">IF(A1106="","",IF(BP1106=1,"Neu; ","")&amp;IF(AND(BP1106=0,BK1106&lt;0),"negativer Bestand (Export "&amp;BK1106&amp;"); ","")&amp;IF(J1106&lt;=0,"Kein Verbrauch; ","")&amp;IF(CH1106&gt;0,"Lift "&amp;W1106&amp;" lt. Liftbericht (Fach "&amp;X1106&amp;" Stk); ",IF(BU1106=1,"Gebinde geschätzt ("&amp;T1106&amp;"); ",IF(BT1106=1,"Lose – Tablare geschätzt; ","")))&amp;IF(H1106&gt;AR1106,"Überbestand "&amp;ROUND(H1106-AR1106,0)&amp;" Stk / CHF "&amp;ROUND((H1106-AR1106)*G1106,0)&amp;"; ","")&amp;IF(AND(CA1106=1,CB1106&lt;CC1106),"MAX &lt; MB+LG; ","")&amp;IF(AND(CG1106&gt;0,CF1106*10&gt;CG1106),"zu hoch für Tablar; ","")&amp;IF(AND(BP1106=0,OR(CA1106=1,AA1106&lt;&gt;"",U1106&lt;&gt;"",V1106&lt;&gt;"",AB1106&lt;&gt;"")),"manuell übersteuert; ","")&amp;IF(AND(BT1106=0,R1106=0),"Gebinde unbekannt / Stellmass fehlt; ","")&amp;IF(AND(BT1106=0,N(V1106)&lt;=0,N(Q1106)&lt;=0),"Menge pro Gebinde fehlt (Ist = 1 Gebinde); ","")&amp;BO1106)</f>
        <v>negativer Bestand (Export -14); Kein Verbrauch; Neu</v>
      </c>
      <c r="BH1106" s="55"/>
      <c r="BI1106" s="55"/>
      <c r="BJ1106" s="62"/>
      <c r="BK1106" s="57" t="n">
        <v>-14</v>
      </c>
      <c r="BL1106" s="57" t="n">
        <v>39</v>
      </c>
      <c r="BM1106" s="56" t="n">
        <v>-224.7</v>
      </c>
      <c r="BN1106" s="57" t="n">
        <v>0</v>
      </c>
      <c r="BO1106" s="55" t="s">
        <v>626</v>
      </c>
      <c r="BP1106" s="60" t="n">
        <v>0</v>
      </c>
      <c r="BQ1106" s="60" t="n">
        <v>1106</v>
      </c>
      <c r="BR1106" s="55" t="str">
        <f aca="false">IF(U1106&lt;&gt;"",UPPER(TRIM(U1106)),IF(BU1106=1,UPPER(VLOOKUP(T1106,Parameter!$I$27:$K$29,2,0)),IF(P1106="","LOSE",P1106)))</f>
        <v>S32</v>
      </c>
      <c r="BS1106" s="57" t="n">
        <f aca="false">IF(BR1106="LOSE",1,IF(N(V1106)&gt;0,V1106,IF(BU1106=1,MAX(1,N(VLOOKUP(T1106,Parameter!$I$27:$K$29,3,0)),H1106,N(N1106)),IF(N(Q1106)&gt;0,Q1106,MAX(1,H1106)))))</f>
        <v>39</v>
      </c>
      <c r="BT1106" s="60" t="n">
        <f aca="false">IF(BR1106="LOSE",1,0)</f>
        <v>0</v>
      </c>
      <c r="BU1106" s="60" t="n">
        <f aca="false">IF(AND(U1106="",OR(P1106="",P1106="LOSE"),T1106&lt;&gt;"",N(S1106)&lt;=0,ISNUMBER(MATCH(T1106,Parameter!$I$27:$I$29,0))),1,0)</f>
        <v>0</v>
      </c>
      <c r="BV1106" s="55" t="str">
        <f aca="false">IF(AND(Parameter!$B$19="Ja",E1106&lt;&gt;"",ISNUMBER(MATCH(E1106,Parameter!$I$35:$I$52,0))),VLOOKUP(E1106,Parameter!$I$35:$J$52,2,0),IFERROR(VLOOKUP(D1106,Parameter!$A$35:$C$64,2,0),"Nein"))</f>
        <v>2+3</v>
      </c>
      <c r="BW1106" s="59" t="n">
        <f aca="false">IF(BT1106=0,0,IF(N(S1106)&gt;0,S1106,IFERROR(VLOOKUP(D1106,Parameter!$A$35:$C$64,3,0)+0,0)))</f>
        <v>0</v>
      </c>
      <c r="BX1106" s="55" t="n">
        <f aca="false">IF(AA1106&lt;&gt;"",AA1106,Z1106)</f>
        <v>3</v>
      </c>
      <c r="BY1106" s="55" t="str">
        <f aca="false">IF(BX1106=1,"L1",IF(OR(BX1106=2,BX1106=3),"L23",IF(BX1106="Aussen","Aussen","-")))</f>
        <v>L23</v>
      </c>
      <c r="BZ1106" s="66" t="n">
        <f aca="false">IF(N(AB1106)&gt;0,AB1106,0)</f>
        <v>0</v>
      </c>
      <c r="CA1106" s="60" t="n">
        <f aca="false">IF(ISNUMBER(AE1106),1,0)</f>
        <v>0</v>
      </c>
      <c r="CB1106" s="57" t="n">
        <f aca="false">N(AE1106)</f>
        <v>0</v>
      </c>
      <c r="CC1106" s="57" t="n">
        <f aca="false">N(M1106)+N(N1106)</f>
        <v>3</v>
      </c>
      <c r="CD1106" s="57" t="n">
        <f aca="false">ROUNDUP(H1106/BS1106,0)</f>
        <v>1</v>
      </c>
      <c r="CE1106" s="57" t="n">
        <f aca="false">ROUNDUP(CB1106/BS1106,0)</f>
        <v>0</v>
      </c>
      <c r="CF1106" s="60" t="n">
        <f aca="false">IF(BT1106=1,0,IFERROR(VLOOKUP(BR1106,'Gebinde-Kategorie'!$A$5:$M$45,5,0)+0,0))</f>
        <v>8</v>
      </c>
      <c r="CG1106" s="60" t="n">
        <f aca="false">IFERROR(IF(OR(BX1106=1,BX1106=2,BX1106=3),N(INDEX(Parameter!$I$5:$I$7,BX1106)),0),0)</f>
        <v>0</v>
      </c>
      <c r="CH1106" s="59" t="n">
        <f aca="false">IF(AND(Parameter!$B$21="Ja",ISNUMBER(W1106),N(X1106)&gt;0),IFERROR(N(INDEX(Parameter!$L$5:$L$7,W1106))*INDEX(Parameter!$E$5:$E$7,W1106)*X1106/SUMIFS($X$7:$X$1843,$W$7:$W$1843,W1106),0),0)</f>
        <v>0</v>
      </c>
    </row>
    <row r="1107" customFormat="false" ht="15" hidden="false" customHeight="false" outlineLevel="0" collapsed="false">
      <c r="A1107" s="55" t="s">
        <v>2010</v>
      </c>
      <c r="B1107" s="55" t="s">
        <v>2011</v>
      </c>
      <c r="C1107" s="55" t="s">
        <v>164</v>
      </c>
      <c r="D1107" s="55" t="s">
        <v>184</v>
      </c>
      <c r="E1107" s="55" t="s">
        <v>185</v>
      </c>
      <c r="F1107" s="55" t="s">
        <v>218</v>
      </c>
      <c r="G1107" s="56" t="n">
        <v>225.71</v>
      </c>
      <c r="H1107" s="57" t="n">
        <f aca="false">MAX(0,IF(AND(Parameter!$B$21="Ja",ISNUMBER(Y1107)),Y1107,IF(Parameter!$B$20="Jahresanfang 2025 + Export",BL1107+BK1107,BK1107)))</f>
        <v>6</v>
      </c>
      <c r="I1107" s="57" t="n">
        <f aca="false">H1107*G1107</f>
        <v>1354.26</v>
      </c>
      <c r="J1107" s="57" t="n">
        <f aca="false">BN1107*Parameter!$B$18</f>
        <v>1</v>
      </c>
      <c r="K1107" s="58" t="n">
        <v>6.5</v>
      </c>
      <c r="L1107" s="59" t="n">
        <v>0.153846153846154</v>
      </c>
      <c r="M1107" s="57" t="n">
        <v>0</v>
      </c>
      <c r="N1107" s="57" t="n">
        <v>1</v>
      </c>
      <c r="O1107" s="60" t="n">
        <v>28</v>
      </c>
      <c r="P1107" s="55" t="s">
        <v>328</v>
      </c>
      <c r="Q1107" s="57" t="n">
        <v>7</v>
      </c>
      <c r="R1107" s="60" t="n">
        <f aca="false">IF(BT1107=1,0,IFERROR(VLOOKUP(BR1107,'Gebinde-Kategorie'!$A$5:$M$45,13,0)+0,0))</f>
        <v>52</v>
      </c>
      <c r="S1107" s="61"/>
      <c r="T1107" s="62"/>
      <c r="U1107" s="62"/>
      <c r="V1107" s="62"/>
      <c r="W1107" s="55"/>
      <c r="X1107" s="57"/>
      <c r="Y1107" s="57"/>
      <c r="Z1107" s="55" t="n">
        <f aca="false">IF(A1107="","",IF(AND(Parameter!$B$21="Ja",ISNUMBER(W1107)),W1107,IF(BV1107="2+3",IF(ISNUMBER(SEARCH("grosser Artikel",BO1107)),2,IFERROR(VLOOKUP(BR1107,Parameter!$F$35:$G$64,2,0),2)),IF(OR(BV1107="Nein",BV1107=""),"-",BV1107))))</f>
        <v>3</v>
      </c>
      <c r="AA1107" s="62"/>
      <c r="AB1107" s="63"/>
      <c r="AC1107" s="57" t="n">
        <f aca="false">AR1107</f>
        <v>7</v>
      </c>
      <c r="AD1107" s="57" t="n">
        <f aca="false">MAX(AR1107,H1107)</f>
        <v>7</v>
      </c>
      <c r="AE1107" s="64"/>
      <c r="AF1107" s="57" t="n">
        <f aca="false">IF(LEFT(Cockpit!$C$5,1)="A",H1107,IF(CA1107=1,CB1107,IF(LEFT(Cockpit!$C$5,1)="B",AJ1107,MAX(AJ1107,H1107))))</f>
        <v>6</v>
      </c>
      <c r="AG1107" s="57" t="n">
        <f aca="false">IF(BT1107=1,0,ROUNDUP(AF1107/BS1107,0))</f>
        <v>1</v>
      </c>
      <c r="AH1107" s="59" t="n">
        <f aca="false">IF(CH1107&gt;0,CH1107*MAX(1,AF1107/X1107),IF(BT1107=1,IF(AF1107&lt;=0,0,BW1107*MAX(1,IF(H1107&gt;0,AF1107/H1107,1))),IF(R1107&gt;0,AG1107/R1107,0))/MAX(0.1,N(Parameter!$M$21)))</f>
        <v>0.0192307692307692</v>
      </c>
      <c r="AI1107" s="57" t="n">
        <f aca="false">AF1107*G1107</f>
        <v>1354.26</v>
      </c>
      <c r="AJ1107" s="57" t="n">
        <f aca="false">ROUNDUP(MAX(J1107/IF(BZ1107&gt;0,BZ1107,MAX(0.1,N(Cockpit!$C$6))),CC1107)/BS1107,0)*BS1107</f>
        <v>7</v>
      </c>
      <c r="AK1107" s="58" t="n">
        <f aca="false">IF(AH1107&gt;0,J1107/AH1107,-1)</f>
        <v>52</v>
      </c>
      <c r="AL1107" s="58" t="n">
        <f aca="false">IF(AND(OR(BY1107="L1",BY1107="L23"),AH1107&gt;0),SUMIFS($AH$7:$AH$1843,$BY$7:$BY$1843,BY1107,$AK$7:$AK$1843,"&gt;"&amp;AK1107)+SUMIFS($AH$7:$AH$1843,$BY$7:$BY$1843,BY1107,$AK$7:$AK$1843,AK1107,$BQ$7:$BQ$1843,"&lt;="&amp;BQ1107),"")</f>
        <v>44.606829161177</v>
      </c>
      <c r="AM1107" s="65" t="n">
        <f aca="false">IF(AL1107="",0,MAX(0,MIN(1,(IF(BY1107="L1",Parameter!$E$5,Parameter!$E$6+Parameter!$E$7)-(AL1107-AH1107))/AH1107)))</f>
        <v>1</v>
      </c>
      <c r="AN1107" s="57" t="n">
        <f aca="false">IF(LEFT(Cockpit!$I$5,1)="A",H1107,IF(CA1107=1,CB1107,IF(LEFT(Cockpit!$I$5,1)="B",AR1107,MAX(AR1107,H1107))))</f>
        <v>7</v>
      </c>
      <c r="AO1107" s="57" t="n">
        <f aca="false">IF(BT1107=1,0,ROUNDUP(AN1107/BS1107,0))</f>
        <v>1</v>
      </c>
      <c r="AP1107" s="59" t="n">
        <f aca="false">IF(CH1107&gt;0,CH1107*MAX(1,AN1107/X1107),IF(BT1107=1,IF(AN1107&lt;=0,0,BW1107*MAX(1,IF(H1107&gt;0,AN1107/H1107,1))),IF(R1107&gt;0,AO1107/R1107,0))/MAX(0.1,N(Parameter!$M$21)))</f>
        <v>0.0192307692307692</v>
      </c>
      <c r="AQ1107" s="57" t="n">
        <f aca="false">AN1107*G1107</f>
        <v>1579.97</v>
      </c>
      <c r="AR1107" s="57" t="n">
        <f aca="false">ROUNDUP(MAX(J1107/IF(BZ1107&gt;0,BZ1107,MAX(0.1,N(Cockpit!$I$6))),CC1107)/BS1107,0)*BS1107</f>
        <v>7</v>
      </c>
      <c r="AS1107" s="58" t="n">
        <f aca="false">IF(AP1107&gt;0,J1107/AP1107,-1)</f>
        <v>52</v>
      </c>
      <c r="AT1107" s="58" t="n">
        <f aca="false">IF(AND(OR(BY1107="L1",BY1107="L23"),AP1107&gt;0),SUMIFS($AP$7:$AP$1843,$BY$7:$BY$1843,BY1107,$AS$7:$AS$1843,"&gt;"&amp;AS1107)+SUMIFS($AP$7:$AP$1843,$BY$7:$BY$1843,BY1107,$AS$7:$AS$1843,AS1107,$BQ$7:$BQ$1843,"&lt;="&amp;BQ1107),"")</f>
        <v>67.5501841154015</v>
      </c>
      <c r="AU1107" s="65" t="n">
        <f aca="false">IF(AT1107="",0,MAX(0,MIN(1,(IF(BY1107="L1",Parameter!$E$5,Parameter!$E$6+Parameter!$E$7)-(AT1107-AP1107))/AP1107)))</f>
        <v>1</v>
      </c>
      <c r="AV1107" s="57" t="n">
        <f aca="false">IF(LEFT(Cockpit!$O$5,1)="A",H1107,IF(CA1107=1,CB1107,IF(LEFT(Cockpit!$O$5,1)="B",AZ1107,MAX(AZ1107,H1107))))</f>
        <v>7</v>
      </c>
      <c r="AW1107" s="57" t="n">
        <f aca="false">IF(BT1107=1,0,ROUNDUP(AV1107/BS1107,0))</f>
        <v>1</v>
      </c>
      <c r="AX1107" s="59" t="n">
        <f aca="false">IF(CH1107&gt;0,CH1107*MAX(1,AV1107/X1107),IF(BT1107=1,IF(AV1107&lt;=0,0,BW1107*MAX(1,IF(H1107&gt;0,AV1107/H1107,1))),IF(R1107&gt;0,AW1107/R1107,0))/MAX(0.1,N(Parameter!$M$21)))</f>
        <v>0.0192307692307692</v>
      </c>
      <c r="AY1107" s="57" t="n">
        <f aca="false">AV1107*G1107</f>
        <v>1579.97</v>
      </c>
      <c r="AZ1107" s="57" t="n">
        <f aca="false">ROUNDUP(MAX(J1107/IF(BZ1107&gt;0,BZ1107,MAX(0.1,N(Cockpit!$O$6))),CC1107)/BS1107,0)*BS1107</f>
        <v>7</v>
      </c>
      <c r="BA1107" s="58" t="n">
        <f aca="false">IF(AX1107&gt;0,J1107/AX1107,-1)</f>
        <v>52</v>
      </c>
      <c r="BB1107" s="58" t="n">
        <f aca="false">IF(AND(OR(BY1107="L1",BY1107="L23"),AX1107&gt;0),SUMIFS($AX$7:$AX$1843,$BY$7:$BY$1843,BY1107,$BA$7:$BA$1843,"&gt;"&amp;BA1107)+SUMIFS($AX$7:$AX$1843,$BY$7:$BY$1843,BY1107,$BA$7:$BA$1843,BA1107,$BQ$7:$BQ$1843,"&lt;="&amp;BQ1107),"")</f>
        <v>62.046687611905</v>
      </c>
      <c r="BC1107" s="65" t="n">
        <f aca="false">IF(BB1107="",0,MAX(0,MIN(1,(IF(BY1107="L1",Parameter!$E$5,Parameter!$E$6+Parameter!$E$7)-(BB1107-AX1107))/AX1107)))</f>
        <v>1</v>
      </c>
      <c r="BD1107" s="55" t="str">
        <f aca="false">IF(AH1107&lt;=0,"",IF(BY1107="Aussen","Aussenlager",IF(BY1107="-","Nicht im Lift",IF(AM1107&gt;=1,"Lift",IF(AM1107&lt;=0,"Aussenlager","teilweise")))))</f>
        <v>Lift</v>
      </c>
      <c r="BE1107" s="55" t="str">
        <f aca="false">IF(AP1107&lt;=0,"",IF(BY1107="Aussen","Aussenlager",IF(BY1107="-","Nicht im Lift",IF(AU1107&gt;=1,"Lift",IF(AU1107&lt;=0,"Aussenlager","teilweise")))))</f>
        <v>Lift</v>
      </c>
      <c r="BF1107" s="55" t="str">
        <f aca="false">IF(AX1107&lt;=0,"",IF(BY1107="Aussen","Aussenlager",IF(BY1107="-","Nicht im Lift",IF(BC1107&gt;=1,"Lift",IF(BC1107&lt;=0,"Aussenlager","teilweise")))))</f>
        <v>Lift</v>
      </c>
      <c r="BG1107" s="55" t="str">
        <f aca="false">IF(A1107="","",IF(BP1107=1,"Neu; ","")&amp;IF(AND(BP1107=0,BK1107&lt;0),"negativer Bestand (Export "&amp;BK1107&amp;"); ","")&amp;IF(J1107&lt;=0,"Kein Verbrauch; ","")&amp;IF(CH1107&gt;0,"Lift "&amp;W1107&amp;" lt. Liftbericht (Fach "&amp;X1107&amp;" Stk); ",IF(BU1107=1,"Gebinde geschätzt ("&amp;T1107&amp;"); ",IF(BT1107=1,"Lose – Tablare geschätzt; ","")))&amp;IF(H1107&gt;AR1107,"Überbestand "&amp;ROUND(H1107-AR1107,0)&amp;" Stk / CHF "&amp;ROUND((H1107-AR1107)*G1107,0)&amp;"; ","")&amp;IF(AND(CA1107=1,CB1107&lt;CC1107),"MAX &lt; MB+LG; ","")&amp;IF(AND(CG1107&gt;0,CF1107*10&gt;CG1107),"zu hoch für Tablar; ","")&amp;IF(AND(BP1107=0,OR(CA1107=1,AA1107&lt;&gt;"",U1107&lt;&gt;"",V1107&lt;&gt;"",AB1107&lt;&gt;"")),"manuell übersteuert; ","")&amp;IF(AND(BT1107=0,R1107=0),"Gebinde unbekannt / Stellmass fehlt; ","")&amp;IF(AND(BT1107=0,N(V1107)&lt;=0,N(Q1107)&lt;=0),"Menge pro Gebinde fehlt (Ist = 1 Gebinde); ","")&amp;BO1107)</f>
        <v>negativer Bestand (Export -1); Überbestand</v>
      </c>
      <c r="BH1107" s="55"/>
      <c r="BI1107" s="55"/>
      <c r="BJ1107" s="62"/>
      <c r="BK1107" s="57" t="n">
        <v>-1</v>
      </c>
      <c r="BL1107" s="57" t="n">
        <v>7</v>
      </c>
      <c r="BM1107" s="56" t="n">
        <v>-225.71</v>
      </c>
      <c r="BN1107" s="57" t="n">
        <v>1</v>
      </c>
      <c r="BO1107" s="55" t="s">
        <v>392</v>
      </c>
      <c r="BP1107" s="60" t="n">
        <v>0</v>
      </c>
      <c r="BQ1107" s="60" t="n">
        <v>1107</v>
      </c>
      <c r="BR1107" s="55" t="str">
        <f aca="false">IF(U1107&lt;&gt;"",UPPER(TRIM(U1107)),IF(BU1107=1,UPPER(VLOOKUP(T1107,Parameter!$I$27:$K$29,2,0)),IF(P1107="","LOSE",P1107)))</f>
        <v>S41</v>
      </c>
      <c r="BS1107" s="57" t="n">
        <f aca="false">IF(BR1107="LOSE",1,IF(N(V1107)&gt;0,V1107,IF(BU1107=1,MAX(1,N(VLOOKUP(T1107,Parameter!$I$27:$K$29,3,0)),H1107,N(N1107)),IF(N(Q1107)&gt;0,Q1107,MAX(1,H1107)))))</f>
        <v>7</v>
      </c>
      <c r="BT1107" s="60" t="n">
        <f aca="false">IF(BR1107="LOSE",1,0)</f>
        <v>0</v>
      </c>
      <c r="BU1107" s="60" t="n">
        <f aca="false">IF(AND(U1107="",OR(P1107="",P1107="LOSE"),T1107&lt;&gt;"",N(S1107)&lt;=0,ISNUMBER(MATCH(T1107,Parameter!$I$27:$I$29,0))),1,0)</f>
        <v>0</v>
      </c>
      <c r="BV1107" s="55" t="str">
        <f aca="false">IF(AND(Parameter!$B$19="Ja",E1107&lt;&gt;"",ISNUMBER(MATCH(E1107,Parameter!$I$35:$I$52,0))),VLOOKUP(E1107,Parameter!$I$35:$J$52,2,0),IFERROR(VLOOKUP(D1107,Parameter!$A$35:$C$64,2,0),"Nein"))</f>
        <v>2+3</v>
      </c>
      <c r="BW1107" s="59" t="n">
        <f aca="false">IF(BT1107=0,0,IF(N(S1107)&gt;0,S1107,IFERROR(VLOOKUP(D1107,Parameter!$A$35:$C$64,3,0)+0,0)))</f>
        <v>0</v>
      </c>
      <c r="BX1107" s="55" t="n">
        <f aca="false">IF(AA1107&lt;&gt;"",AA1107,Z1107)</f>
        <v>3</v>
      </c>
      <c r="BY1107" s="55" t="str">
        <f aca="false">IF(BX1107=1,"L1",IF(OR(BX1107=2,BX1107=3),"L23",IF(BX1107="Aussen","Aussen","-")))</f>
        <v>L23</v>
      </c>
      <c r="BZ1107" s="66" t="n">
        <f aca="false">IF(N(AB1107)&gt;0,AB1107,0)</f>
        <v>0</v>
      </c>
      <c r="CA1107" s="60" t="n">
        <f aca="false">IF(ISNUMBER(AE1107),1,0)</f>
        <v>0</v>
      </c>
      <c r="CB1107" s="57" t="n">
        <f aca="false">N(AE1107)</f>
        <v>0</v>
      </c>
      <c r="CC1107" s="57" t="n">
        <f aca="false">N(M1107)+N(N1107)</f>
        <v>1</v>
      </c>
      <c r="CD1107" s="57" t="n">
        <f aca="false">ROUNDUP(H1107/BS1107,0)</f>
        <v>1</v>
      </c>
      <c r="CE1107" s="57" t="n">
        <f aca="false">ROUNDUP(CB1107/BS1107,0)</f>
        <v>0</v>
      </c>
      <c r="CF1107" s="60" t="n">
        <f aca="false">IF(BT1107=1,0,IFERROR(VLOOKUP(BR1107,'Gebinde-Kategorie'!$A$5:$M$45,5,0)+0,0))</f>
        <v>11</v>
      </c>
      <c r="CG1107" s="60" t="n">
        <f aca="false">IFERROR(IF(OR(BX1107=1,BX1107=2,BX1107=3),N(INDEX(Parameter!$I$5:$I$7,BX1107)),0),0)</f>
        <v>0</v>
      </c>
      <c r="CH1107" s="59" t="n">
        <f aca="false">IF(AND(Parameter!$B$21="Ja",ISNUMBER(W1107),N(X1107)&gt;0),IFERROR(N(INDEX(Parameter!$L$5:$L$7,W1107))*INDEX(Parameter!$E$5:$E$7,W1107)*X1107/SUMIFS($X$7:$X$1843,$W$7:$W$1843,W1107),0),0)</f>
        <v>0</v>
      </c>
    </row>
    <row r="1108" customFormat="false" ht="15" hidden="false" customHeight="false" outlineLevel="0" collapsed="false">
      <c r="A1108" s="55" t="s">
        <v>2012</v>
      </c>
      <c r="B1108" s="55" t="s">
        <v>2013</v>
      </c>
      <c r="C1108" s="55" t="s">
        <v>164</v>
      </c>
      <c r="D1108" s="55" t="s">
        <v>173</v>
      </c>
      <c r="E1108" s="55" t="s">
        <v>185</v>
      </c>
      <c r="F1108" s="55" t="s">
        <v>218</v>
      </c>
      <c r="G1108" s="56" t="n">
        <v>225.73</v>
      </c>
      <c r="H1108" s="57" t="n">
        <f aca="false">MAX(0,IF(AND(Parameter!$B$21="Ja",ISNUMBER(Y1108)),Y1108,IF(Parameter!$B$20="Jahresanfang 2025 + Export",BL1108+BK1108,BK1108)))</f>
        <v>14</v>
      </c>
      <c r="I1108" s="57" t="n">
        <f aca="false">H1108*G1108</f>
        <v>3160.22</v>
      </c>
      <c r="J1108" s="57" t="n">
        <f aca="false">BN1108*Parameter!$B$18</f>
        <v>1</v>
      </c>
      <c r="K1108" s="58" t="n">
        <v>14.5</v>
      </c>
      <c r="L1108" s="59" t="n">
        <v>0.0689655172413793</v>
      </c>
      <c r="M1108" s="57" t="n">
        <v>0</v>
      </c>
      <c r="N1108" s="57" t="n">
        <v>1</v>
      </c>
      <c r="O1108" s="60" t="n">
        <v>21</v>
      </c>
      <c r="P1108" s="55" t="s">
        <v>174</v>
      </c>
      <c r="Q1108" s="57" t="n">
        <v>24</v>
      </c>
      <c r="R1108" s="60" t="n">
        <f aca="false">IF(BT1108=1,0,IFERROR(VLOOKUP(BR1108,'Gebinde-Kategorie'!$A$5:$M$45,13,0)+0,0))</f>
        <v>6</v>
      </c>
      <c r="S1108" s="61"/>
      <c r="T1108" s="62"/>
      <c r="U1108" s="62"/>
      <c r="V1108" s="62"/>
      <c r="W1108" s="55"/>
      <c r="X1108" s="57"/>
      <c r="Y1108" s="57"/>
      <c r="Z1108" s="55" t="n">
        <f aca="false">IF(A1108="","",IF(AND(Parameter!$B$21="Ja",ISNUMBER(W1108)),W1108,IF(BV1108="2+3",IF(ISNUMBER(SEARCH("grosser Artikel",BO1108)),2,IFERROR(VLOOKUP(BR1108,Parameter!$F$35:$G$64,2,0),2)),IF(OR(BV1108="Nein",BV1108=""),"-",BV1108))))</f>
        <v>2</v>
      </c>
      <c r="AA1108" s="62"/>
      <c r="AB1108" s="63"/>
      <c r="AC1108" s="57" t="n">
        <f aca="false">AR1108</f>
        <v>24</v>
      </c>
      <c r="AD1108" s="57" t="n">
        <f aca="false">MAX(AR1108,H1108)</f>
        <v>24</v>
      </c>
      <c r="AE1108" s="64"/>
      <c r="AF1108" s="57" t="n">
        <f aca="false">IF(LEFT(Cockpit!$C$5,1)="A",H1108,IF(CA1108=1,CB1108,IF(LEFT(Cockpit!$C$5,1)="B",AJ1108,MAX(AJ1108,H1108))))</f>
        <v>14</v>
      </c>
      <c r="AG1108" s="57" t="n">
        <f aca="false">IF(BT1108=1,0,ROUNDUP(AF1108/BS1108,0))</f>
        <v>1</v>
      </c>
      <c r="AH1108" s="59" t="n">
        <f aca="false">IF(CH1108&gt;0,CH1108*MAX(1,AF1108/X1108),IF(BT1108=1,IF(AF1108&lt;=0,0,BW1108*MAX(1,IF(H1108&gt;0,AF1108/H1108,1))),IF(R1108&gt;0,AG1108/R1108,0))/MAX(0.1,N(Parameter!$M$21)))</f>
        <v>0.166666666666667</v>
      </c>
      <c r="AI1108" s="57" t="n">
        <f aca="false">AF1108*G1108</f>
        <v>3160.22</v>
      </c>
      <c r="AJ1108" s="57" t="n">
        <f aca="false">ROUNDUP(MAX(J1108/IF(BZ1108&gt;0,BZ1108,MAX(0.1,N(Cockpit!$C$6))),CC1108)/BS1108,0)*BS1108</f>
        <v>24</v>
      </c>
      <c r="AK1108" s="58" t="n">
        <f aca="false">IF(AH1108&gt;0,J1108/AH1108,-1)</f>
        <v>6</v>
      </c>
      <c r="AL1108" s="58" t="n">
        <f aca="false">IF(AND(OR(BY1108="L1",BY1108="L23"),AH1108&gt;0),SUMIFS($AH$7:$AH$1843,$BY$7:$BY$1843,BY1108,$AK$7:$AK$1843,"&gt;"&amp;AK1108)+SUMIFS($AH$7:$AH$1843,$BY$7:$BY$1843,BY1108,$AK$7:$AK$1843,AK1108,$BQ$7:$BQ$1843,"&lt;="&amp;BQ1108),"")</f>
        <v>56.8125401168879</v>
      </c>
      <c r="AM1108" s="65" t="n">
        <f aca="false">IF(AL1108="",0,MAX(0,MIN(1,(IF(BY1108="L1",Parameter!$E$5,Parameter!$E$6+Parameter!$E$7)-(AL1108-AH1108))/AH1108)))</f>
        <v>1</v>
      </c>
      <c r="AN1108" s="57" t="n">
        <f aca="false">IF(LEFT(Cockpit!$I$5,1)="A",H1108,IF(CA1108=1,CB1108,IF(LEFT(Cockpit!$I$5,1)="B",AR1108,MAX(AR1108,H1108))))</f>
        <v>24</v>
      </c>
      <c r="AO1108" s="57" t="n">
        <f aca="false">IF(BT1108=1,0,ROUNDUP(AN1108/BS1108,0))</f>
        <v>1</v>
      </c>
      <c r="AP1108" s="59" t="n">
        <f aca="false">IF(CH1108&gt;0,CH1108*MAX(1,AN1108/X1108),IF(BT1108=1,IF(AN1108&lt;=0,0,BW1108*MAX(1,IF(H1108&gt;0,AN1108/H1108,1))),IF(R1108&gt;0,AO1108/R1108,0))/MAX(0.1,N(Parameter!$M$21)))</f>
        <v>0.166666666666667</v>
      </c>
      <c r="AQ1108" s="57" t="n">
        <f aca="false">AN1108*G1108</f>
        <v>5417.52</v>
      </c>
      <c r="AR1108" s="57" t="n">
        <f aca="false">ROUNDUP(MAX(J1108/IF(BZ1108&gt;0,BZ1108,MAX(0.1,N(Cockpit!$I$6))),CC1108)/BS1108,0)*BS1108</f>
        <v>24</v>
      </c>
      <c r="AS1108" s="58" t="n">
        <f aca="false">IF(AP1108&gt;0,J1108/AP1108,-1)</f>
        <v>6</v>
      </c>
      <c r="AT1108" s="58" t="n">
        <f aca="false">IF(AND(OR(BY1108="L1",BY1108="L23"),AP1108&gt;0),SUMIFS($AP$7:$AP$1843,$BY$7:$BY$1843,BY1108,$AS$7:$AS$1843,"&gt;"&amp;AS1108)+SUMIFS($AP$7:$AP$1843,$BY$7:$BY$1843,BY1108,$AS$7:$AS$1843,AS1108,$BQ$7:$BQ$1843,"&lt;="&amp;BQ1108),"")</f>
        <v>94.2366643018817</v>
      </c>
      <c r="AU1108" s="65" t="n">
        <f aca="false">IF(AT1108="",0,MAX(0,MIN(1,(IF(BY1108="L1",Parameter!$E$5,Parameter!$E$6+Parameter!$E$7)-(AT1108-AP1108))/AP1108)))</f>
        <v>1</v>
      </c>
      <c r="AV1108" s="57" t="n">
        <f aca="false">IF(LEFT(Cockpit!$O$5,1)="A",H1108,IF(CA1108=1,CB1108,IF(LEFT(Cockpit!$O$5,1)="B",AZ1108,MAX(AZ1108,H1108))))</f>
        <v>24</v>
      </c>
      <c r="AW1108" s="57" t="n">
        <f aca="false">IF(BT1108=1,0,ROUNDUP(AV1108/BS1108,0))</f>
        <v>1</v>
      </c>
      <c r="AX1108" s="59" t="n">
        <f aca="false">IF(CH1108&gt;0,CH1108*MAX(1,AV1108/X1108),IF(BT1108=1,IF(AV1108&lt;=0,0,BW1108*MAX(1,IF(H1108&gt;0,AV1108/H1108,1))),IF(R1108&gt;0,AW1108/R1108,0))/MAX(0.1,N(Parameter!$M$21)))</f>
        <v>0.166666666666667</v>
      </c>
      <c r="AY1108" s="57" t="n">
        <f aca="false">AV1108*G1108</f>
        <v>5417.52</v>
      </c>
      <c r="AZ1108" s="57" t="n">
        <f aca="false">ROUNDUP(MAX(J1108/IF(BZ1108&gt;0,BZ1108,MAX(0.1,N(Cockpit!$O$6))),CC1108)/BS1108,0)*BS1108</f>
        <v>24</v>
      </c>
      <c r="BA1108" s="58" t="n">
        <f aca="false">IF(AX1108&gt;0,J1108/AX1108,-1)</f>
        <v>6</v>
      </c>
      <c r="BB1108" s="58" t="n">
        <f aca="false">IF(AND(OR(BY1108="L1",BY1108="L23"),AX1108&gt;0),SUMIFS($AX$7:$AX$1843,$BY$7:$BY$1843,BY1108,$BA$7:$BA$1843,"&gt;"&amp;BA1108)+SUMIFS($AX$7:$AX$1843,$BY$7:$BY$1843,BY1108,$BA$7:$BA$1843,BA1108,$BQ$7:$BQ$1843,"&lt;="&amp;BQ1108),"")</f>
        <v>85.0665011317185</v>
      </c>
      <c r="BC1108" s="65" t="n">
        <f aca="false">IF(BB1108="",0,MAX(0,MIN(1,(IF(BY1108="L1",Parameter!$E$5,Parameter!$E$6+Parameter!$E$7)-(BB1108-AX1108))/AX1108)))</f>
        <v>1</v>
      </c>
      <c r="BD1108" s="55" t="str">
        <f aca="false">IF(AH1108&lt;=0,"",IF(BY1108="Aussen","Aussenlager",IF(BY1108="-","Nicht im Lift",IF(AM1108&gt;=1,"Lift",IF(AM1108&lt;=0,"Aussenlager","teilweise")))))</f>
        <v>Lift</v>
      </c>
      <c r="BE1108" s="55" t="str">
        <f aca="false">IF(AP1108&lt;=0,"",IF(BY1108="Aussen","Aussenlager",IF(BY1108="-","Nicht im Lift",IF(AU1108&gt;=1,"Lift",IF(AU1108&lt;=0,"Aussenlager","teilweise")))))</f>
        <v>Lift</v>
      </c>
      <c r="BF1108" s="55" t="str">
        <f aca="false">IF(AX1108&lt;=0,"",IF(BY1108="Aussen","Aussenlager",IF(BY1108="-","Nicht im Lift",IF(BC1108&gt;=1,"Lift",IF(BC1108&lt;=0,"Aussenlager","teilweise")))))</f>
        <v>Lift</v>
      </c>
      <c r="BG1108" s="55" t="str">
        <f aca="false">IF(A1108="","",IF(BP1108=1,"Neu; ","")&amp;IF(AND(BP1108=0,BK1108&lt;0),"negativer Bestand (Export "&amp;BK1108&amp;"); ","")&amp;IF(J1108&lt;=0,"Kein Verbrauch; ","")&amp;IF(CH1108&gt;0,"Lift "&amp;W1108&amp;" lt. Liftbericht (Fach "&amp;X1108&amp;" Stk); ",IF(BU1108=1,"Gebinde geschätzt ("&amp;T1108&amp;"); ",IF(BT1108=1,"Lose – Tablare geschätzt; ","")))&amp;IF(H1108&gt;AR1108,"Überbestand "&amp;ROUND(H1108-AR1108,0)&amp;" Stk / CHF "&amp;ROUND((H1108-AR1108)*G1108,0)&amp;"; ","")&amp;IF(AND(CA1108=1,CB1108&lt;CC1108),"MAX &lt; MB+LG; ","")&amp;IF(AND(CG1108&gt;0,CF1108*10&gt;CG1108),"zu hoch für Tablar; ","")&amp;IF(AND(BP1108=0,OR(CA1108=1,AA1108&lt;&gt;"",U1108&lt;&gt;"",V1108&lt;&gt;"",AB1108&lt;&gt;"")),"manuell übersteuert; ","")&amp;IF(AND(BT1108=0,R1108=0),"Gebinde unbekannt / Stellmass fehlt; ","")&amp;IF(AND(BT1108=0,N(V1108)&lt;=0,N(Q1108)&lt;=0),"Menge pro Gebinde fehlt (Ist = 1 Gebinde); ","")&amp;BO1108)</f>
        <v>negativer Bestand (Export -1); nicht im KTL vorhanden</v>
      </c>
      <c r="BH1108" s="55"/>
      <c r="BI1108" s="55"/>
      <c r="BJ1108" s="62"/>
      <c r="BK1108" s="57" t="n">
        <v>-1</v>
      </c>
      <c r="BL1108" s="57" t="n">
        <v>15</v>
      </c>
      <c r="BM1108" s="56" t="n">
        <v>-225.73</v>
      </c>
      <c r="BN1108" s="57" t="n">
        <v>1</v>
      </c>
      <c r="BO1108" s="55" t="s">
        <v>230</v>
      </c>
      <c r="BP1108" s="60" t="n">
        <v>0</v>
      </c>
      <c r="BQ1108" s="60" t="n">
        <v>1108</v>
      </c>
      <c r="BR1108" s="55" t="str">
        <f aca="false">IF(U1108&lt;&gt;"",UPPER(TRIM(U1108)),IF(BU1108=1,UPPER(VLOOKUP(T1108,Parameter!$I$27:$K$29,2,0)),IF(P1108="","LOSE",P1108)))</f>
        <v>S71</v>
      </c>
      <c r="BS1108" s="57" t="n">
        <f aca="false">IF(BR1108="LOSE",1,IF(N(V1108)&gt;0,V1108,IF(BU1108=1,MAX(1,N(VLOOKUP(T1108,Parameter!$I$27:$K$29,3,0)),H1108,N(N1108)),IF(N(Q1108)&gt;0,Q1108,MAX(1,H1108)))))</f>
        <v>24</v>
      </c>
      <c r="BT1108" s="60" t="n">
        <f aca="false">IF(BR1108="LOSE",1,0)</f>
        <v>0</v>
      </c>
      <c r="BU1108" s="60" t="n">
        <f aca="false">IF(AND(U1108="",OR(P1108="",P1108="LOSE"),T1108&lt;&gt;"",N(S1108)&lt;=0,ISNUMBER(MATCH(T1108,Parameter!$I$27:$I$29,0))),1,0)</f>
        <v>0</v>
      </c>
      <c r="BV1108" s="55" t="str">
        <f aca="false">IF(AND(Parameter!$B$19="Ja",E1108&lt;&gt;"",ISNUMBER(MATCH(E1108,Parameter!$I$35:$I$52,0))),VLOOKUP(E1108,Parameter!$I$35:$J$52,2,0),IFERROR(VLOOKUP(D1108,Parameter!$A$35:$C$64,2,0),"Nein"))</f>
        <v>2+3</v>
      </c>
      <c r="BW1108" s="59" t="n">
        <f aca="false">IF(BT1108=0,0,IF(N(S1108)&gt;0,S1108,IFERROR(VLOOKUP(D1108,Parameter!$A$35:$C$64,3,0)+0,0)))</f>
        <v>0</v>
      </c>
      <c r="BX1108" s="55" t="n">
        <f aca="false">IF(AA1108&lt;&gt;"",AA1108,Z1108)</f>
        <v>2</v>
      </c>
      <c r="BY1108" s="55" t="str">
        <f aca="false">IF(BX1108=1,"L1",IF(OR(BX1108=2,BX1108=3),"L23",IF(BX1108="Aussen","Aussen","-")))</f>
        <v>L23</v>
      </c>
      <c r="BZ1108" s="66" t="n">
        <f aca="false">IF(N(AB1108)&gt;0,AB1108,0)</f>
        <v>0</v>
      </c>
      <c r="CA1108" s="60" t="n">
        <f aca="false">IF(ISNUMBER(AE1108),1,0)</f>
        <v>0</v>
      </c>
      <c r="CB1108" s="57" t="n">
        <f aca="false">N(AE1108)</f>
        <v>0</v>
      </c>
      <c r="CC1108" s="57" t="n">
        <f aca="false">N(M1108)+N(N1108)</f>
        <v>1</v>
      </c>
      <c r="CD1108" s="57" t="n">
        <f aca="false">ROUNDUP(H1108/BS1108,0)</f>
        <v>1</v>
      </c>
      <c r="CE1108" s="57" t="n">
        <f aca="false">ROUNDUP(CB1108/BS1108,0)</f>
        <v>0</v>
      </c>
      <c r="CF1108" s="60" t="n">
        <f aca="false">IF(BT1108=1,0,IFERROR(VLOOKUP(BR1108,'Gebinde-Kategorie'!$A$5:$M$45,5,0)+0,0))</f>
        <v>20</v>
      </c>
      <c r="CG1108" s="60" t="n">
        <f aca="false">IFERROR(IF(OR(BX1108=1,BX1108=2,BX1108=3),N(INDEX(Parameter!$I$5:$I$7,BX1108)),0),0)</f>
        <v>0</v>
      </c>
      <c r="CH1108" s="59" t="n">
        <f aca="false">IF(AND(Parameter!$B$21="Ja",ISNUMBER(W1108),N(X1108)&gt;0),IFERROR(N(INDEX(Parameter!$L$5:$L$7,W1108))*INDEX(Parameter!$E$5:$E$7,W1108)*X1108/SUMIFS($X$7:$X$1843,$W$7:$W$1843,W1108),0),0)</f>
        <v>0</v>
      </c>
    </row>
    <row r="1109" customFormat="false" ht="15" hidden="false" customHeight="false" outlineLevel="0" collapsed="false">
      <c r="A1109" s="55" t="s">
        <v>2014</v>
      </c>
      <c r="B1109" s="55" t="s">
        <v>784</v>
      </c>
      <c r="C1109" s="55" t="s">
        <v>164</v>
      </c>
      <c r="D1109" s="55" t="s">
        <v>173</v>
      </c>
      <c r="E1109" s="55"/>
      <c r="F1109" s="55" t="s">
        <v>218</v>
      </c>
      <c r="G1109" s="56" t="n">
        <v>256.99</v>
      </c>
      <c r="H1109" s="57" t="n">
        <f aca="false">MAX(0,IF(AND(Parameter!$B$21="Ja",ISNUMBER(Y1109)),Y1109,IF(Parameter!$B$20="Jahresanfang 2025 + Export",BL1109+BK1109,BK1109)))</f>
        <v>0</v>
      </c>
      <c r="I1109" s="57" t="n">
        <f aca="false">H1109*G1109</f>
        <v>0</v>
      </c>
      <c r="J1109" s="57" t="n">
        <f aca="false">BN1109*Parameter!$B$18</f>
        <v>3</v>
      </c>
      <c r="K1109" s="58" t="n">
        <v>6</v>
      </c>
      <c r="L1109" s="59" t="n">
        <v>0.5</v>
      </c>
      <c r="M1109" s="57" t="n">
        <v>0</v>
      </c>
      <c r="N1109" s="57" t="n">
        <v>5</v>
      </c>
      <c r="O1109" s="60" t="n">
        <v>103</v>
      </c>
      <c r="P1109" s="55" t="s">
        <v>233</v>
      </c>
      <c r="Q1109" s="57" t="n">
        <v>4</v>
      </c>
      <c r="R1109" s="60" t="n">
        <f aca="false">IF(BT1109=1,0,IFERROR(VLOOKUP(BR1109,'Gebinde-Kategorie'!$A$5:$M$45,13,0)+0,0))</f>
        <v>26</v>
      </c>
      <c r="S1109" s="61"/>
      <c r="T1109" s="62"/>
      <c r="U1109" s="62"/>
      <c r="V1109" s="62"/>
      <c r="W1109" s="55"/>
      <c r="X1109" s="57"/>
      <c r="Y1109" s="57"/>
      <c r="Z1109" s="55" t="n">
        <f aca="false">IF(A1109="","",IF(AND(Parameter!$B$21="Ja",ISNUMBER(W1109)),W1109,IF(BV1109="2+3",IF(ISNUMBER(SEARCH("grosser Artikel",BO1109)),2,IFERROR(VLOOKUP(BR1109,Parameter!$F$35:$G$64,2,0),2)),IF(OR(BV1109="Nein",BV1109=""),"-",BV1109))))</f>
        <v>3</v>
      </c>
      <c r="AA1109" s="62"/>
      <c r="AB1109" s="63"/>
      <c r="AC1109" s="57" t="n">
        <f aca="false">AR1109</f>
        <v>8</v>
      </c>
      <c r="AD1109" s="57" t="n">
        <f aca="false">MAX(AR1109,H1109)</f>
        <v>8</v>
      </c>
      <c r="AE1109" s="64"/>
      <c r="AF1109" s="57" t="n">
        <f aca="false">IF(LEFT(Cockpit!$C$5,1)="A",H1109,IF(CA1109=1,CB1109,IF(LEFT(Cockpit!$C$5,1)="B",AJ1109,MAX(AJ1109,H1109))))</f>
        <v>0</v>
      </c>
      <c r="AG1109" s="57" t="n">
        <f aca="false">IF(BT1109=1,0,ROUNDUP(AF1109/BS1109,0))</f>
        <v>0</v>
      </c>
      <c r="AH1109" s="59" t="n">
        <f aca="false">IF(CH1109&gt;0,CH1109*MAX(1,AF1109/X1109),IF(BT1109=1,IF(AF1109&lt;=0,0,BW1109*MAX(1,IF(H1109&gt;0,AF1109/H1109,1))),IF(R1109&gt;0,AG1109/R1109,0))/MAX(0.1,N(Parameter!$M$21)))</f>
        <v>0</v>
      </c>
      <c r="AI1109" s="57" t="n">
        <f aca="false">AF1109*G1109</f>
        <v>0</v>
      </c>
      <c r="AJ1109" s="57" t="n">
        <f aca="false">ROUNDUP(MAX(J1109/IF(BZ1109&gt;0,BZ1109,MAX(0.1,N(Cockpit!$C$6))),CC1109)/BS1109,0)*BS1109</f>
        <v>8</v>
      </c>
      <c r="AK1109" s="58" t="n">
        <f aca="false">IF(AH1109&gt;0,J1109/AH1109,-1)</f>
        <v>-1</v>
      </c>
      <c r="AL1109" s="58" t="str">
        <f aca="false">IF(AND(OR(BY1109="L1",BY1109="L23"),AH1109&gt;0),SUMIFS($AH$7:$AH$1843,$BY$7:$BY$1843,BY1109,$AK$7:$AK$1843,"&gt;"&amp;AK1109)+SUMIFS($AH$7:$AH$1843,$BY$7:$BY$1843,BY1109,$AK$7:$AK$1843,AK1109,$BQ$7:$BQ$1843,"&lt;="&amp;BQ1109),"")</f>
        <v/>
      </c>
      <c r="AM1109" s="65" t="n">
        <f aca="false">IF(AL1109="",0,MAX(0,MIN(1,(IF(BY1109="L1",Parameter!$E$5,Parameter!$E$6+Parameter!$E$7)-(AL1109-AH1109))/AH1109)))</f>
        <v>0</v>
      </c>
      <c r="AN1109" s="57" t="n">
        <f aca="false">IF(LEFT(Cockpit!$I$5,1)="A",H1109,IF(CA1109=1,CB1109,IF(LEFT(Cockpit!$I$5,1)="B",AR1109,MAX(AR1109,H1109))))</f>
        <v>8</v>
      </c>
      <c r="AO1109" s="57" t="n">
        <f aca="false">IF(BT1109=1,0,ROUNDUP(AN1109/BS1109,0))</f>
        <v>2</v>
      </c>
      <c r="AP1109" s="59" t="n">
        <f aca="false">IF(CH1109&gt;0,CH1109*MAX(1,AN1109/X1109),IF(BT1109=1,IF(AN1109&lt;=0,0,BW1109*MAX(1,IF(H1109&gt;0,AN1109/H1109,1))),IF(R1109&gt;0,AO1109/R1109,0))/MAX(0.1,N(Parameter!$M$21)))</f>
        <v>0.0769230769230769</v>
      </c>
      <c r="AQ1109" s="57" t="n">
        <f aca="false">AN1109*G1109</f>
        <v>2055.92</v>
      </c>
      <c r="AR1109" s="57" t="n">
        <f aca="false">ROUNDUP(MAX(J1109/IF(BZ1109&gt;0,BZ1109,MAX(0.1,N(Cockpit!$I$6))),CC1109)/BS1109,0)*BS1109</f>
        <v>8</v>
      </c>
      <c r="AS1109" s="58" t="n">
        <f aca="false">IF(AP1109&gt;0,J1109/AP1109,-1)</f>
        <v>39</v>
      </c>
      <c r="AT1109" s="58" t="n">
        <f aca="false">IF(AND(OR(BY1109="L1",BY1109="L23"),AP1109&gt;0),SUMIFS($AP$7:$AP$1843,$BY$7:$BY$1843,BY1109,$AS$7:$AS$1843,"&gt;"&amp;AS1109)+SUMIFS($AP$7:$AP$1843,$BY$7:$BY$1843,BY1109,$AS$7:$AS$1843,AS1109,$BQ$7:$BQ$1843,"&lt;="&amp;BQ1109),"")</f>
        <v>69.7174335326509</v>
      </c>
      <c r="AU1109" s="65" t="n">
        <f aca="false">IF(AT1109="",0,MAX(0,MIN(1,(IF(BY1109="L1",Parameter!$E$5,Parameter!$E$6+Parameter!$E$7)-(AT1109-AP1109))/AP1109)))</f>
        <v>1</v>
      </c>
      <c r="AV1109" s="57" t="n">
        <f aca="false">IF(LEFT(Cockpit!$O$5,1)="A",H1109,IF(CA1109=1,CB1109,IF(LEFT(Cockpit!$O$5,1)="B",AZ1109,MAX(AZ1109,H1109))))</f>
        <v>8</v>
      </c>
      <c r="AW1109" s="57" t="n">
        <f aca="false">IF(BT1109=1,0,ROUNDUP(AV1109/BS1109,0))</f>
        <v>2</v>
      </c>
      <c r="AX1109" s="59" t="n">
        <f aca="false">IF(CH1109&gt;0,CH1109*MAX(1,AV1109/X1109),IF(BT1109=1,IF(AV1109&lt;=0,0,BW1109*MAX(1,IF(H1109&gt;0,AV1109/H1109,1))),IF(R1109&gt;0,AW1109/R1109,0))/MAX(0.1,N(Parameter!$M$21)))</f>
        <v>0.0769230769230769</v>
      </c>
      <c r="AY1109" s="57" t="n">
        <f aca="false">AV1109*G1109</f>
        <v>2055.92</v>
      </c>
      <c r="AZ1109" s="57" t="n">
        <f aca="false">ROUNDUP(MAX(J1109/IF(BZ1109&gt;0,BZ1109,MAX(0.1,N(Cockpit!$O$6))),CC1109)/BS1109,0)*BS1109</f>
        <v>8</v>
      </c>
      <c r="BA1109" s="58" t="n">
        <f aca="false">IF(AX1109&gt;0,J1109/AX1109,-1)</f>
        <v>39</v>
      </c>
      <c r="BB1109" s="58" t="n">
        <f aca="false">IF(AND(OR(BY1109="L1",BY1109="L23"),AX1109&gt;0),SUMIFS($AX$7:$AX$1843,$BY$7:$BY$1843,BY1109,$BA$7:$BA$1843,"&gt;"&amp;BA1109)+SUMIFS($AX$7:$AX$1843,$BY$7:$BY$1843,BY1109,$BA$7:$BA$1843,BA1109,$BQ$7:$BQ$1843,"&lt;="&amp;BQ1109),"")</f>
        <v>64.2139370291544</v>
      </c>
      <c r="BC1109" s="65" t="n">
        <f aca="false">IF(BB1109="",0,MAX(0,MIN(1,(IF(BY1109="L1",Parameter!$E$5,Parameter!$E$6+Parameter!$E$7)-(BB1109-AX1109))/AX1109)))</f>
        <v>1</v>
      </c>
      <c r="BD1109" s="55" t="str">
        <f aca="false">IF(AH1109&lt;=0,"",IF(BY1109="Aussen","Aussenlager",IF(BY1109="-","Nicht im Lift",IF(AM1109&gt;=1,"Lift",IF(AM1109&lt;=0,"Aussenlager","teilweise")))))</f>
        <v/>
      </c>
      <c r="BE1109" s="55" t="str">
        <f aca="false">IF(AP1109&lt;=0,"",IF(BY1109="Aussen","Aussenlager",IF(BY1109="-","Nicht im Lift",IF(AU1109&gt;=1,"Lift",IF(AU1109&lt;=0,"Aussenlager","teilweise")))))</f>
        <v>Lift</v>
      </c>
      <c r="BF1109" s="55" t="str">
        <f aca="false">IF(AX1109&lt;=0,"",IF(BY1109="Aussen","Aussenlager",IF(BY1109="-","Nicht im Lift",IF(BC1109&gt;=1,"Lift",IF(BC1109&lt;=0,"Aussenlager","teilweise")))))</f>
        <v>Lift</v>
      </c>
      <c r="BG1109" s="55" t="str">
        <f aca="false">IF(A1109="","",IF(BP1109=1,"Neu; ","")&amp;IF(AND(BP1109=0,BK1109&lt;0),"negativer Bestand (Export "&amp;BK1109&amp;"); ","")&amp;IF(J1109&lt;=0,"Kein Verbrauch; ","")&amp;IF(CH1109&gt;0,"Lift "&amp;W1109&amp;" lt. Liftbericht (Fach "&amp;X1109&amp;" Stk); ",IF(BU1109=1,"Gebinde geschätzt ("&amp;T1109&amp;"); ",IF(BT1109=1,"Lose – Tablare geschätzt; ","")))&amp;IF(H1109&gt;AR1109,"Überbestand "&amp;ROUND(H1109-AR1109,0)&amp;" Stk / CHF "&amp;ROUND((H1109-AR1109)*G1109,0)&amp;"; ","")&amp;IF(AND(CA1109=1,CB1109&lt;CC1109),"MAX &lt; MB+LG; ","")&amp;IF(AND(CG1109&gt;0,CF1109*10&gt;CG1109),"zu hoch für Tablar; ","")&amp;IF(AND(BP1109=0,OR(CA1109=1,AA1109&lt;&gt;"",U1109&lt;&gt;"",V1109&lt;&gt;"",AB1109&lt;&gt;"")),"manuell übersteuert; ","")&amp;IF(AND(BT1109=0,R1109=0),"Gebinde unbekannt / Stellmass fehlt; ","")&amp;IF(AND(BT1109=0,N(V1109)&lt;=0,N(Q1109)&lt;=0),"Menge pro Gebinde fehlt (Ist = 1 Gebinde); ","")&amp;BO1109)</f>
        <v>negativer Bestand (Export -1); </v>
      </c>
      <c r="BH1109" s="55"/>
      <c r="BI1109" s="55"/>
      <c r="BJ1109" s="62"/>
      <c r="BK1109" s="57" t="n">
        <v>-1</v>
      </c>
      <c r="BL1109" s="57" t="n">
        <v>1</v>
      </c>
      <c r="BM1109" s="56" t="n">
        <v>-227.999999999999</v>
      </c>
      <c r="BN1109" s="57" t="n">
        <v>3</v>
      </c>
      <c r="BO1109" s="55"/>
      <c r="BP1109" s="60" t="n">
        <v>0</v>
      </c>
      <c r="BQ1109" s="60" t="n">
        <v>1109</v>
      </c>
      <c r="BR1109" s="55" t="str">
        <f aca="false">IF(U1109&lt;&gt;"",UPPER(TRIM(U1109)),IF(BU1109=1,UPPER(VLOOKUP(T1109,Parameter!$I$27:$K$29,2,0)),IF(P1109="","LOSE",P1109)))</f>
        <v>S52</v>
      </c>
      <c r="BS1109" s="57" t="n">
        <f aca="false">IF(BR1109="LOSE",1,IF(N(V1109)&gt;0,V1109,IF(BU1109=1,MAX(1,N(VLOOKUP(T1109,Parameter!$I$27:$K$29,3,0)),H1109,N(N1109)),IF(N(Q1109)&gt;0,Q1109,MAX(1,H1109)))))</f>
        <v>4</v>
      </c>
      <c r="BT1109" s="60" t="n">
        <f aca="false">IF(BR1109="LOSE",1,0)</f>
        <v>0</v>
      </c>
      <c r="BU1109" s="60" t="n">
        <f aca="false">IF(AND(U1109="",OR(P1109="",P1109="LOSE"),T1109&lt;&gt;"",N(S1109)&lt;=0,ISNUMBER(MATCH(T1109,Parameter!$I$27:$I$29,0))),1,0)</f>
        <v>0</v>
      </c>
      <c r="BV1109" s="55" t="str">
        <f aca="false">IF(AND(Parameter!$B$19="Ja",E1109&lt;&gt;"",ISNUMBER(MATCH(E1109,Parameter!$I$35:$I$52,0))),VLOOKUP(E1109,Parameter!$I$35:$J$52,2,0),IFERROR(VLOOKUP(D1109,Parameter!$A$35:$C$64,2,0),"Nein"))</f>
        <v>2+3</v>
      </c>
      <c r="BW1109" s="59" t="n">
        <f aca="false">IF(BT1109=0,0,IF(N(S1109)&gt;0,S1109,IFERROR(VLOOKUP(D1109,Parameter!$A$35:$C$64,3,0)+0,0)))</f>
        <v>0</v>
      </c>
      <c r="BX1109" s="55" t="n">
        <f aca="false">IF(AA1109&lt;&gt;"",AA1109,Z1109)</f>
        <v>3</v>
      </c>
      <c r="BY1109" s="55" t="str">
        <f aca="false">IF(BX1109=1,"L1",IF(OR(BX1109=2,BX1109=3),"L23",IF(BX1109="Aussen","Aussen","-")))</f>
        <v>L23</v>
      </c>
      <c r="BZ1109" s="66" t="n">
        <f aca="false">IF(N(AB1109)&gt;0,AB1109,0)</f>
        <v>0</v>
      </c>
      <c r="CA1109" s="60" t="n">
        <f aca="false">IF(ISNUMBER(AE1109),1,0)</f>
        <v>0</v>
      </c>
      <c r="CB1109" s="57" t="n">
        <f aca="false">N(AE1109)</f>
        <v>0</v>
      </c>
      <c r="CC1109" s="57" t="n">
        <f aca="false">N(M1109)+N(N1109)</f>
        <v>5</v>
      </c>
      <c r="CD1109" s="57" t="n">
        <f aca="false">ROUNDUP(H1109/BS1109,0)</f>
        <v>0</v>
      </c>
      <c r="CE1109" s="57" t="n">
        <f aca="false">ROUNDUP(CB1109/BS1109,0)</f>
        <v>0</v>
      </c>
      <c r="CF1109" s="60" t="n">
        <f aca="false">IF(BT1109=1,0,IFERROR(VLOOKUP(BR1109,'Gebinde-Kategorie'!$A$5:$M$45,5,0)+0,0))</f>
        <v>21</v>
      </c>
      <c r="CG1109" s="60" t="n">
        <f aca="false">IFERROR(IF(OR(BX1109=1,BX1109=2,BX1109=3),N(INDEX(Parameter!$I$5:$I$7,BX1109)),0),0)</f>
        <v>0</v>
      </c>
      <c r="CH1109" s="59" t="n">
        <f aca="false">IF(AND(Parameter!$B$21="Ja",ISNUMBER(W1109),N(X1109)&gt;0),IFERROR(N(INDEX(Parameter!$L$5:$L$7,W1109))*INDEX(Parameter!$E$5:$E$7,W1109)*X1109/SUMIFS($X$7:$X$1843,$W$7:$W$1843,W1109),0),0)</f>
        <v>0</v>
      </c>
    </row>
    <row r="1110" customFormat="false" ht="15" hidden="false" customHeight="false" outlineLevel="0" collapsed="false">
      <c r="A1110" s="55" t="s">
        <v>2015</v>
      </c>
      <c r="B1110" s="55" t="s">
        <v>2016</v>
      </c>
      <c r="C1110" s="55" t="s">
        <v>164</v>
      </c>
      <c r="D1110" s="55" t="s">
        <v>184</v>
      </c>
      <c r="E1110" s="55"/>
      <c r="F1110" s="55" t="s">
        <v>218</v>
      </c>
      <c r="G1110" s="56" t="n">
        <v>45.6</v>
      </c>
      <c r="H1110" s="57" t="n">
        <f aca="false">MAX(0,IF(AND(Parameter!$B$21="Ja",ISNUMBER(Y1110)),Y1110,IF(Parameter!$B$20="Jahresanfang 2025 + Export",BL1110+BK1110,BK1110)))</f>
        <v>0</v>
      </c>
      <c r="I1110" s="57" t="n">
        <f aca="false">H1110*G1110</f>
        <v>0</v>
      </c>
      <c r="J1110" s="57" t="n">
        <f aca="false">BN1110*Parameter!$B$18</f>
        <v>0</v>
      </c>
      <c r="K1110" s="58" t="n">
        <v>2.5</v>
      </c>
      <c r="L1110" s="59" t="n">
        <v>0</v>
      </c>
      <c r="M1110" s="57" t="n">
        <v>0</v>
      </c>
      <c r="N1110" s="57" t="n">
        <v>1</v>
      </c>
      <c r="O1110" s="60" t="n">
        <v>21</v>
      </c>
      <c r="P1110" s="55" t="s">
        <v>168</v>
      </c>
      <c r="Q1110" s="57"/>
      <c r="R1110" s="60" t="n">
        <f aca="false">IF(BT1110=1,0,IFERROR(VLOOKUP(BR1110,'Gebinde-Kategorie'!$A$5:$M$45,13,0)+0,0))</f>
        <v>26</v>
      </c>
      <c r="S1110" s="61"/>
      <c r="T1110" s="62" t="s">
        <v>275</v>
      </c>
      <c r="U1110" s="62"/>
      <c r="V1110" s="62"/>
      <c r="W1110" s="55"/>
      <c r="X1110" s="57"/>
      <c r="Y1110" s="57"/>
      <c r="Z1110" s="55" t="n">
        <f aca="false">IF(A1110="","",IF(AND(Parameter!$B$21="Ja",ISNUMBER(W1110)),W1110,IF(BV1110="2+3",IF(ISNUMBER(SEARCH("grosser Artikel",BO1110)),2,IFERROR(VLOOKUP(BR1110,Parameter!$F$35:$G$64,2,0),2)),IF(OR(BV1110="Nein",BV1110=""),"-",BV1110))))</f>
        <v>3</v>
      </c>
      <c r="AA1110" s="62"/>
      <c r="AB1110" s="63"/>
      <c r="AC1110" s="57" t="n">
        <f aca="false">AR1110</f>
        <v>20</v>
      </c>
      <c r="AD1110" s="57" t="n">
        <f aca="false">MAX(AR1110,H1110)</f>
        <v>20</v>
      </c>
      <c r="AE1110" s="64"/>
      <c r="AF1110" s="57" t="n">
        <f aca="false">IF(LEFT(Cockpit!$C$5,1)="A",H1110,IF(CA1110=1,CB1110,IF(LEFT(Cockpit!$C$5,1)="B",AJ1110,MAX(AJ1110,H1110))))</f>
        <v>0</v>
      </c>
      <c r="AG1110" s="57" t="n">
        <f aca="false">IF(BT1110=1,0,ROUNDUP(AF1110/BS1110,0))</f>
        <v>0</v>
      </c>
      <c r="AH1110" s="59" t="n">
        <f aca="false">IF(CH1110&gt;0,CH1110*MAX(1,AF1110/X1110),IF(BT1110=1,IF(AF1110&lt;=0,0,BW1110*MAX(1,IF(H1110&gt;0,AF1110/H1110,1))),IF(R1110&gt;0,AG1110/R1110,0))/MAX(0.1,N(Parameter!$M$21)))</f>
        <v>0</v>
      </c>
      <c r="AI1110" s="57" t="n">
        <f aca="false">AF1110*G1110</f>
        <v>0</v>
      </c>
      <c r="AJ1110" s="57" t="n">
        <f aca="false">ROUNDUP(MAX(J1110/IF(BZ1110&gt;0,BZ1110,MAX(0.1,N(Cockpit!$C$6))),CC1110)/BS1110,0)*BS1110</f>
        <v>20</v>
      </c>
      <c r="AK1110" s="58" t="n">
        <f aca="false">IF(AH1110&gt;0,J1110/AH1110,-1)</f>
        <v>-1</v>
      </c>
      <c r="AL1110" s="58" t="str">
        <f aca="false">IF(AND(OR(BY1110="L1",BY1110="L23"),AH1110&gt;0),SUMIFS($AH$7:$AH$1843,$BY$7:$BY$1843,BY1110,$AK$7:$AK$1843,"&gt;"&amp;AK1110)+SUMIFS($AH$7:$AH$1843,$BY$7:$BY$1843,BY1110,$AK$7:$AK$1843,AK1110,$BQ$7:$BQ$1843,"&lt;="&amp;BQ1110),"")</f>
        <v/>
      </c>
      <c r="AM1110" s="65" t="n">
        <f aca="false">IF(AL1110="",0,MAX(0,MIN(1,(IF(BY1110="L1",Parameter!$E$5,Parameter!$E$6+Parameter!$E$7)-(AL1110-AH1110))/AH1110)))</f>
        <v>0</v>
      </c>
      <c r="AN1110" s="57" t="n">
        <f aca="false">IF(LEFT(Cockpit!$I$5,1)="A",H1110,IF(CA1110=1,CB1110,IF(LEFT(Cockpit!$I$5,1)="B",AR1110,MAX(AR1110,H1110))))</f>
        <v>20</v>
      </c>
      <c r="AO1110" s="57" t="n">
        <f aca="false">IF(BT1110=1,0,ROUNDUP(AN1110/BS1110,0))</f>
        <v>1</v>
      </c>
      <c r="AP1110" s="59" t="n">
        <f aca="false">IF(CH1110&gt;0,CH1110*MAX(1,AN1110/X1110),IF(BT1110=1,IF(AN1110&lt;=0,0,BW1110*MAX(1,IF(H1110&gt;0,AN1110/H1110,1))),IF(R1110&gt;0,AO1110/R1110,0))/MAX(0.1,N(Parameter!$M$21)))</f>
        <v>0.0384615384615385</v>
      </c>
      <c r="AQ1110" s="57" t="n">
        <f aca="false">AN1110*G1110</f>
        <v>912</v>
      </c>
      <c r="AR1110" s="57" t="n">
        <f aca="false">ROUNDUP(MAX(J1110/IF(BZ1110&gt;0,BZ1110,MAX(0.1,N(Cockpit!$I$6))),CC1110)/BS1110,0)*BS1110</f>
        <v>20</v>
      </c>
      <c r="AS1110" s="58" t="n">
        <f aca="false">IF(AP1110&gt;0,J1110/AP1110,-1)</f>
        <v>0</v>
      </c>
      <c r="AT1110" s="58" t="n">
        <f aca="false">IF(AND(OR(BY1110="L1",BY1110="L23"),AP1110&gt;0),SUMIFS($AP$7:$AP$1843,$BY$7:$BY$1843,BY1110,$AS$7:$AS$1843,"&gt;"&amp;AS1110)+SUMIFS($AP$7:$AP$1843,$BY$7:$BY$1843,BY1110,$AS$7:$AS$1843,AS1110,$BQ$7:$BQ$1843,"&lt;="&amp;BQ1110),"")</f>
        <v>120.99755075842</v>
      </c>
      <c r="AU1110" s="65" t="n">
        <f aca="false">IF(AT1110="",0,MAX(0,MIN(1,(IF(BY1110="L1",Parameter!$E$5,Parameter!$E$6+Parameter!$E$7)-(AT1110-AP1110))/AP1110)))</f>
        <v>0</v>
      </c>
      <c r="AV1110" s="57" t="n">
        <f aca="false">IF(LEFT(Cockpit!$O$5,1)="A",H1110,IF(CA1110=1,CB1110,IF(LEFT(Cockpit!$O$5,1)="B",AZ1110,MAX(AZ1110,H1110))))</f>
        <v>20</v>
      </c>
      <c r="AW1110" s="57" t="n">
        <f aca="false">IF(BT1110=1,0,ROUNDUP(AV1110/BS1110,0))</f>
        <v>1</v>
      </c>
      <c r="AX1110" s="59" t="n">
        <f aca="false">IF(CH1110&gt;0,CH1110*MAX(1,AV1110/X1110),IF(BT1110=1,IF(AV1110&lt;=0,0,BW1110*MAX(1,IF(H1110&gt;0,AV1110/H1110,1))),IF(R1110&gt;0,AW1110/R1110,0))/MAX(0.1,N(Parameter!$M$21)))</f>
        <v>0.0384615384615385</v>
      </c>
      <c r="AY1110" s="57" t="n">
        <f aca="false">AV1110*G1110</f>
        <v>912</v>
      </c>
      <c r="AZ1110" s="57" t="n">
        <f aca="false">ROUNDUP(MAX(J1110/IF(BZ1110&gt;0,BZ1110,MAX(0.1,N(Cockpit!$O$6))),CC1110)/BS1110,0)*BS1110</f>
        <v>20</v>
      </c>
      <c r="BA1110" s="58" t="n">
        <f aca="false">IF(AX1110&gt;0,J1110/AX1110,-1)</f>
        <v>0</v>
      </c>
      <c r="BB1110" s="58" t="n">
        <f aca="false">IF(AND(OR(BY1110="L1",BY1110="L23"),AX1110&gt;0),SUMIFS($AX$7:$AX$1843,$BY$7:$BY$1843,BY1110,$BA$7:$BA$1843,"&gt;"&amp;BA1110)+SUMIFS($AX$7:$AX$1843,$BY$7:$BY$1843,BY1110,$BA$7:$BA$1843,BA1110,$BQ$7:$BQ$1843,"&lt;="&amp;BQ1110),"")</f>
        <v>111.827387588257</v>
      </c>
      <c r="BC1110" s="65" t="n">
        <f aca="false">IF(BB1110="",0,MAX(0,MIN(1,(IF(BY1110="L1",Parameter!$E$5,Parameter!$E$6+Parameter!$E$7)-(BB1110-AX1110))/AX1110)))</f>
        <v>0</v>
      </c>
      <c r="BD1110" s="55" t="str">
        <f aca="false">IF(AH1110&lt;=0,"",IF(BY1110="Aussen","Aussenlager",IF(BY1110="-","Nicht im Lift",IF(AM1110&gt;=1,"Lift",IF(AM1110&lt;=0,"Aussenlager","teilweise")))))</f>
        <v/>
      </c>
      <c r="BE1110" s="55" t="str">
        <f aca="false">IF(AP1110&lt;=0,"",IF(BY1110="Aussen","Aussenlager",IF(BY1110="-","Nicht im Lift",IF(AU1110&gt;=1,"Lift",IF(AU1110&lt;=0,"Aussenlager","teilweise")))))</f>
        <v>Aussenlager</v>
      </c>
      <c r="BF1110" s="55" t="str">
        <f aca="false">IF(AX1110&lt;=0,"",IF(BY1110="Aussen","Aussenlager",IF(BY1110="-","Nicht im Lift",IF(BC1110&gt;=1,"Lift",IF(BC1110&lt;=0,"Aussenlager","teilweise")))))</f>
        <v>Aussenlager</v>
      </c>
      <c r="BG1110" s="55" t="str">
        <f aca="false">IF(A1110="","",IF(BP1110=1,"Neu; ","")&amp;IF(AND(BP1110=0,BK1110&lt;0),"negativer Bestand (Export "&amp;BK1110&amp;"); ","")&amp;IF(J1110&lt;=0,"Kein Verbrauch; ","")&amp;IF(CH1110&gt;0,"Lift "&amp;W1110&amp;" lt. Liftbericht (Fach "&amp;X1110&amp;" Stk); ",IF(BU1110=1,"Gebinde geschätzt ("&amp;T1110&amp;"); ",IF(BT1110=1,"Lose – Tablare geschätzt; ","")))&amp;IF(H1110&gt;AR1110,"Überbestand "&amp;ROUND(H1110-AR1110,0)&amp;" Stk / CHF "&amp;ROUND((H1110-AR1110)*G1110,0)&amp;"; ","")&amp;IF(AND(CA1110=1,CB1110&lt;CC1110),"MAX &lt; MB+LG; ","")&amp;IF(AND(CG1110&gt;0,CF1110*10&gt;CG1110),"zu hoch für Tablar; ","")&amp;IF(AND(BP1110=0,OR(CA1110=1,AA1110&lt;&gt;"",U1110&lt;&gt;"",V1110&lt;&gt;"",AB1110&lt;&gt;"")),"manuell übersteuert; ","")&amp;IF(AND(BT1110=0,R1110=0),"Gebinde unbekannt / Stellmass fehlt; ","")&amp;IF(AND(BT1110=0,N(V1110)&lt;=0,N(Q1110)&lt;=0),"Menge pro Gebinde fehlt (Ist = 1 Gebinde); ","")&amp;BO1110)</f>
        <v>negativer Bestand (Export -5); Kein Verbrauch; Gebinde geschätzt (Klein); Menge pro Gebinde fehlt (Ist = 1 Gebinde); </v>
      </c>
      <c r="BH1110" s="55"/>
      <c r="BI1110" s="55"/>
      <c r="BJ1110" s="62"/>
      <c r="BK1110" s="57" t="n">
        <v>-5</v>
      </c>
      <c r="BL1110" s="57" t="n">
        <v>5</v>
      </c>
      <c r="BM1110" s="56" t="n">
        <v>-228</v>
      </c>
      <c r="BN1110" s="57" t="n">
        <v>0</v>
      </c>
      <c r="BO1110" s="55"/>
      <c r="BP1110" s="60" t="n">
        <v>0</v>
      </c>
      <c r="BQ1110" s="60" t="n">
        <v>1110</v>
      </c>
      <c r="BR1110" s="55" t="str">
        <f aca="false">IF(U1110&lt;&gt;"",UPPER(TRIM(U1110)),IF(BU1110=1,UPPER(VLOOKUP(T1110,Parameter!$I$27:$K$29,2,0)),IF(P1110="","LOSE",P1110)))</f>
        <v>S51</v>
      </c>
      <c r="BS1110" s="57" t="n">
        <f aca="false">IF(BR1110="LOSE",1,IF(N(V1110)&gt;0,V1110,IF(BU1110=1,MAX(1,N(VLOOKUP(T1110,Parameter!$I$27:$K$29,3,0)),H1110,N(N1110)),IF(N(Q1110)&gt;0,Q1110,MAX(1,H1110)))))</f>
        <v>20</v>
      </c>
      <c r="BT1110" s="60" t="n">
        <f aca="false">IF(BR1110="LOSE",1,0)</f>
        <v>0</v>
      </c>
      <c r="BU1110" s="60" t="n">
        <f aca="false">IF(AND(U1110="",OR(P1110="",P1110="LOSE"),T1110&lt;&gt;"",N(S1110)&lt;=0,ISNUMBER(MATCH(T1110,Parameter!$I$27:$I$29,0))),1,0)</f>
        <v>1</v>
      </c>
      <c r="BV1110" s="55" t="str">
        <f aca="false">IF(AND(Parameter!$B$19="Ja",E1110&lt;&gt;"",ISNUMBER(MATCH(E1110,Parameter!$I$35:$I$52,0))),VLOOKUP(E1110,Parameter!$I$35:$J$52,2,0),IFERROR(VLOOKUP(D1110,Parameter!$A$35:$C$64,2,0),"Nein"))</f>
        <v>2+3</v>
      </c>
      <c r="BW1110" s="59" t="n">
        <f aca="false">IF(BT1110=0,0,IF(N(S1110)&gt;0,S1110,IFERROR(VLOOKUP(D1110,Parameter!$A$35:$C$64,3,0)+0,0)))</f>
        <v>0</v>
      </c>
      <c r="BX1110" s="55" t="n">
        <f aca="false">IF(AA1110&lt;&gt;"",AA1110,Z1110)</f>
        <v>3</v>
      </c>
      <c r="BY1110" s="55" t="str">
        <f aca="false">IF(BX1110=1,"L1",IF(OR(BX1110=2,BX1110=3),"L23",IF(BX1110="Aussen","Aussen","-")))</f>
        <v>L23</v>
      </c>
      <c r="BZ1110" s="66" t="n">
        <f aca="false">IF(N(AB1110)&gt;0,AB1110,0)</f>
        <v>0</v>
      </c>
      <c r="CA1110" s="60" t="n">
        <f aca="false">IF(ISNUMBER(AE1110),1,0)</f>
        <v>0</v>
      </c>
      <c r="CB1110" s="57" t="n">
        <f aca="false">N(AE1110)</f>
        <v>0</v>
      </c>
      <c r="CC1110" s="57" t="n">
        <f aca="false">N(M1110)+N(N1110)</f>
        <v>1</v>
      </c>
      <c r="CD1110" s="57" t="n">
        <f aca="false">ROUNDUP(H1110/BS1110,0)</f>
        <v>0</v>
      </c>
      <c r="CE1110" s="57" t="n">
        <f aca="false">ROUNDUP(CB1110/BS1110,0)</f>
        <v>0</v>
      </c>
      <c r="CF1110" s="60" t="n">
        <f aca="false">IF(BT1110=1,0,IFERROR(VLOOKUP(BR1110,'Gebinde-Kategorie'!$A$5:$M$45,5,0)+0,0))</f>
        <v>11</v>
      </c>
      <c r="CG1110" s="60" t="n">
        <f aca="false">IFERROR(IF(OR(BX1110=1,BX1110=2,BX1110=3),N(INDEX(Parameter!$I$5:$I$7,BX1110)),0),0)</f>
        <v>0</v>
      </c>
      <c r="CH1110" s="59" t="n">
        <f aca="false">IF(AND(Parameter!$B$21="Ja",ISNUMBER(W1110),N(X1110)&gt;0),IFERROR(N(INDEX(Parameter!$L$5:$L$7,W1110))*INDEX(Parameter!$E$5:$E$7,W1110)*X1110/SUMIFS($X$7:$X$1843,$W$7:$W$1843,W1110),0),0)</f>
        <v>0</v>
      </c>
    </row>
    <row r="1111" customFormat="false" ht="15" hidden="false" customHeight="false" outlineLevel="0" collapsed="false">
      <c r="A1111" s="55" t="s">
        <v>2017</v>
      </c>
      <c r="B1111" s="55" t="s">
        <v>755</v>
      </c>
      <c r="C1111" s="55" t="s">
        <v>164</v>
      </c>
      <c r="D1111" s="55" t="s">
        <v>184</v>
      </c>
      <c r="E1111" s="55"/>
      <c r="F1111" s="55" t="s">
        <v>218</v>
      </c>
      <c r="G1111" s="56" t="n">
        <v>114.73</v>
      </c>
      <c r="H1111" s="57" t="n">
        <f aca="false">MAX(0,IF(AND(Parameter!$B$21="Ja",ISNUMBER(Y1111)),Y1111,IF(Parameter!$B$20="Jahresanfang 2025 + Export",BL1111+BK1111,BK1111)))</f>
        <v>4</v>
      </c>
      <c r="I1111" s="57" t="n">
        <f aca="false">H1111*G1111</f>
        <v>458.92</v>
      </c>
      <c r="J1111" s="57" t="n">
        <f aca="false">BN1111*Parameter!$B$18</f>
        <v>1</v>
      </c>
      <c r="K1111" s="58" t="n">
        <v>5.5</v>
      </c>
      <c r="L1111" s="59" t="n">
        <v>0.181818181818182</v>
      </c>
      <c r="M1111" s="57" t="n">
        <v>0</v>
      </c>
      <c r="N1111" s="57" t="n">
        <v>1</v>
      </c>
      <c r="O1111" s="60" t="n">
        <v>35</v>
      </c>
      <c r="P1111" s="55" t="s">
        <v>426</v>
      </c>
      <c r="Q1111" s="57" t="n">
        <v>5</v>
      </c>
      <c r="R1111" s="60" t="n">
        <f aca="false">IF(BT1111=1,0,IFERROR(VLOOKUP(BR1111,'Gebinde-Kategorie'!$A$5:$M$45,13,0)+0,0))</f>
        <v>198</v>
      </c>
      <c r="S1111" s="61"/>
      <c r="T1111" s="62"/>
      <c r="U1111" s="62"/>
      <c r="V1111" s="62"/>
      <c r="W1111" s="55"/>
      <c r="X1111" s="57"/>
      <c r="Y1111" s="57"/>
      <c r="Z1111" s="55" t="n">
        <f aca="false">IF(A1111="","",IF(AND(Parameter!$B$21="Ja",ISNUMBER(W1111)),W1111,IF(BV1111="2+3",IF(ISNUMBER(SEARCH("grosser Artikel",BO1111)),2,IFERROR(VLOOKUP(BR1111,Parameter!$F$35:$G$64,2,0),2)),IF(OR(BV1111="Nein",BV1111=""),"-",BV1111))))</f>
        <v>3</v>
      </c>
      <c r="AA1111" s="62"/>
      <c r="AB1111" s="63"/>
      <c r="AC1111" s="57" t="n">
        <f aca="false">AR1111</f>
        <v>5</v>
      </c>
      <c r="AD1111" s="57" t="n">
        <f aca="false">MAX(AR1111,H1111)</f>
        <v>5</v>
      </c>
      <c r="AE1111" s="64"/>
      <c r="AF1111" s="57" t="n">
        <f aca="false">IF(LEFT(Cockpit!$C$5,1)="A",H1111,IF(CA1111=1,CB1111,IF(LEFT(Cockpit!$C$5,1)="B",AJ1111,MAX(AJ1111,H1111))))</f>
        <v>4</v>
      </c>
      <c r="AG1111" s="57" t="n">
        <f aca="false">IF(BT1111=1,0,ROUNDUP(AF1111/BS1111,0))</f>
        <v>1</v>
      </c>
      <c r="AH1111" s="59" t="n">
        <f aca="false">IF(CH1111&gt;0,CH1111*MAX(1,AF1111/X1111),IF(BT1111=1,IF(AF1111&lt;=0,0,BW1111*MAX(1,IF(H1111&gt;0,AF1111/H1111,1))),IF(R1111&gt;0,AG1111/R1111,0))/MAX(0.1,N(Parameter!$M$21)))</f>
        <v>0.00505050505050505</v>
      </c>
      <c r="AI1111" s="57" t="n">
        <f aca="false">AF1111*G1111</f>
        <v>458.92</v>
      </c>
      <c r="AJ1111" s="57" t="n">
        <f aca="false">ROUNDUP(MAX(J1111/IF(BZ1111&gt;0,BZ1111,MAX(0.1,N(Cockpit!$C$6))),CC1111)/BS1111,0)*BS1111</f>
        <v>5</v>
      </c>
      <c r="AK1111" s="58" t="n">
        <f aca="false">IF(AH1111&gt;0,J1111/AH1111,-1)</f>
        <v>198</v>
      </c>
      <c r="AL1111" s="58" t="n">
        <f aca="false">IF(AND(OR(BY1111="L1",BY1111="L23"),AH1111&gt;0),SUMIFS($AH$7:$AH$1843,$BY$7:$BY$1843,BY1111,$AK$7:$AK$1843,"&gt;"&amp;AK1111)+SUMIFS($AH$7:$AH$1843,$BY$7:$BY$1843,BY1111,$AK$7:$AK$1843,AK1111,$BQ$7:$BQ$1843,"&lt;="&amp;BQ1111),"")</f>
        <v>32.5516621060099</v>
      </c>
      <c r="AM1111" s="65" t="n">
        <f aca="false">IF(AL1111="",0,MAX(0,MIN(1,(IF(BY1111="L1",Parameter!$E$5,Parameter!$E$6+Parameter!$E$7)-(AL1111-AH1111))/AH1111)))</f>
        <v>1</v>
      </c>
      <c r="AN1111" s="57" t="n">
        <f aca="false">IF(LEFT(Cockpit!$I$5,1)="A",H1111,IF(CA1111=1,CB1111,IF(LEFT(Cockpit!$I$5,1)="B",AR1111,MAX(AR1111,H1111))))</f>
        <v>5</v>
      </c>
      <c r="AO1111" s="57" t="n">
        <f aca="false">IF(BT1111=1,0,ROUNDUP(AN1111/BS1111,0))</f>
        <v>1</v>
      </c>
      <c r="AP1111" s="59" t="n">
        <f aca="false">IF(CH1111&gt;0,CH1111*MAX(1,AN1111/X1111),IF(BT1111=1,IF(AN1111&lt;=0,0,BW1111*MAX(1,IF(H1111&gt;0,AN1111/H1111,1))),IF(R1111&gt;0,AO1111/R1111,0))/MAX(0.1,N(Parameter!$M$21)))</f>
        <v>0.00505050505050505</v>
      </c>
      <c r="AQ1111" s="57" t="n">
        <f aca="false">AN1111*G1111</f>
        <v>573.65</v>
      </c>
      <c r="AR1111" s="57" t="n">
        <f aca="false">ROUNDUP(MAX(J1111/IF(BZ1111&gt;0,BZ1111,MAX(0.1,N(Cockpit!$I$6))),CC1111)/BS1111,0)*BS1111</f>
        <v>5</v>
      </c>
      <c r="AS1111" s="58" t="n">
        <f aca="false">IF(AP1111&gt;0,J1111/AP1111,-1)</f>
        <v>198</v>
      </c>
      <c r="AT1111" s="58" t="n">
        <f aca="false">IF(AND(OR(BY1111="L1",BY1111="L23"),AP1111&gt;0),SUMIFS($AP$7:$AP$1843,$BY$7:$BY$1843,BY1111,$AS$7:$AS$1843,"&gt;"&amp;AS1111)+SUMIFS($AP$7:$AP$1843,$BY$7:$BY$1843,BY1111,$AS$7:$AS$1843,AS1111,$BQ$7:$BQ$1843,"&lt;="&amp;BQ1111),"")</f>
        <v>47.3353434005608</v>
      </c>
      <c r="AU1111" s="65" t="n">
        <f aca="false">IF(AT1111="",0,MAX(0,MIN(1,(IF(BY1111="L1",Parameter!$E$5,Parameter!$E$6+Parameter!$E$7)-(AT1111-AP1111))/AP1111)))</f>
        <v>1</v>
      </c>
      <c r="AV1111" s="57" t="n">
        <f aca="false">IF(LEFT(Cockpit!$O$5,1)="A",H1111,IF(CA1111=1,CB1111,IF(LEFT(Cockpit!$O$5,1)="B",AZ1111,MAX(AZ1111,H1111))))</f>
        <v>5</v>
      </c>
      <c r="AW1111" s="57" t="n">
        <f aca="false">IF(BT1111=1,0,ROUNDUP(AV1111/BS1111,0))</f>
        <v>1</v>
      </c>
      <c r="AX1111" s="59" t="n">
        <f aca="false">IF(CH1111&gt;0,CH1111*MAX(1,AV1111/X1111),IF(BT1111=1,IF(AV1111&lt;=0,0,BW1111*MAX(1,IF(H1111&gt;0,AV1111/H1111,1))),IF(R1111&gt;0,AW1111/R1111,0))/MAX(0.1,N(Parameter!$M$21)))</f>
        <v>0.00505050505050505</v>
      </c>
      <c r="AY1111" s="57" t="n">
        <f aca="false">AV1111*G1111</f>
        <v>573.65</v>
      </c>
      <c r="AZ1111" s="57" t="n">
        <f aca="false">ROUNDUP(MAX(J1111/IF(BZ1111&gt;0,BZ1111,MAX(0.1,N(Cockpit!$O$6))),CC1111)/BS1111,0)*BS1111</f>
        <v>5</v>
      </c>
      <c r="BA1111" s="58" t="n">
        <f aca="false">IF(AX1111&gt;0,J1111/AX1111,-1)</f>
        <v>198</v>
      </c>
      <c r="BB1111" s="58" t="n">
        <f aca="false">IF(AND(OR(BY1111="L1",BY1111="L23"),AX1111&gt;0),SUMIFS($AX$7:$AX$1843,$BY$7:$BY$1843,BY1111,$BA$7:$BA$1843,"&gt;"&amp;BA1111)+SUMIFS($AX$7:$AX$1843,$BY$7:$BY$1843,BY1111,$BA$7:$BA$1843,BA1111,$BQ$7:$BQ$1843,"&lt;="&amp;BQ1111),"")</f>
        <v>42.9151802303976</v>
      </c>
      <c r="BC1111" s="65" t="n">
        <f aca="false">IF(BB1111="",0,MAX(0,MIN(1,(IF(BY1111="L1",Parameter!$E$5,Parameter!$E$6+Parameter!$E$7)-(BB1111-AX1111))/AX1111)))</f>
        <v>1</v>
      </c>
      <c r="BD1111" s="55" t="str">
        <f aca="false">IF(AH1111&lt;=0,"",IF(BY1111="Aussen","Aussenlager",IF(BY1111="-","Nicht im Lift",IF(AM1111&gt;=1,"Lift",IF(AM1111&lt;=0,"Aussenlager","teilweise")))))</f>
        <v>Lift</v>
      </c>
      <c r="BE1111" s="55" t="str">
        <f aca="false">IF(AP1111&lt;=0,"",IF(BY1111="Aussen","Aussenlager",IF(BY1111="-","Nicht im Lift",IF(AU1111&gt;=1,"Lift",IF(AU1111&lt;=0,"Aussenlager","teilweise")))))</f>
        <v>Lift</v>
      </c>
      <c r="BF1111" s="55" t="str">
        <f aca="false">IF(AX1111&lt;=0,"",IF(BY1111="Aussen","Aussenlager",IF(BY1111="-","Nicht im Lift",IF(BC1111&gt;=1,"Lift",IF(BC1111&lt;=0,"Aussenlager","teilweise")))))</f>
        <v>Lift</v>
      </c>
      <c r="BG1111" s="55" t="str">
        <f aca="false">IF(A1111="","",IF(BP1111=1,"Neu; ","")&amp;IF(AND(BP1111=0,BK1111&lt;0),"negativer Bestand (Export "&amp;BK1111&amp;"); ","")&amp;IF(J1111&lt;=0,"Kein Verbrauch; ","")&amp;IF(CH1111&gt;0,"Lift "&amp;W1111&amp;" lt. Liftbericht (Fach "&amp;X1111&amp;" Stk); ",IF(BU1111=1,"Gebinde geschätzt ("&amp;T1111&amp;"); ",IF(BT1111=1,"Lose – Tablare geschätzt; ","")))&amp;IF(H1111&gt;AR1111,"Überbestand "&amp;ROUND(H1111-AR1111,0)&amp;" Stk / CHF "&amp;ROUND((H1111-AR1111)*G1111,0)&amp;"; ","")&amp;IF(AND(CA1111=1,CB1111&lt;CC1111),"MAX &lt; MB+LG; ","")&amp;IF(AND(CG1111&gt;0,CF1111*10&gt;CG1111),"zu hoch für Tablar; ","")&amp;IF(AND(BP1111=0,OR(CA1111=1,AA1111&lt;&gt;"",U1111&lt;&gt;"",V1111&lt;&gt;"",AB1111&lt;&gt;"")),"manuell übersteuert; ","")&amp;IF(AND(BT1111=0,R1111=0),"Gebinde unbekannt / Stellmass fehlt; ","")&amp;IF(AND(BT1111=0,N(V1111)&lt;=0,N(Q1111)&lt;=0),"Menge pro Gebinde fehlt (Ist = 1 Gebinde); ","")&amp;BO1111)</f>
        <v>negativer Bestand (Export -2); </v>
      </c>
      <c r="BH1111" s="55"/>
      <c r="BI1111" s="55"/>
      <c r="BJ1111" s="62"/>
      <c r="BK1111" s="57" t="n">
        <v>-2</v>
      </c>
      <c r="BL1111" s="57" t="n">
        <v>6</v>
      </c>
      <c r="BM1111" s="56" t="n">
        <v>-229.46</v>
      </c>
      <c r="BN1111" s="57" t="n">
        <v>1</v>
      </c>
      <c r="BO1111" s="55"/>
      <c r="BP1111" s="60" t="n">
        <v>0</v>
      </c>
      <c r="BQ1111" s="60" t="n">
        <v>1111</v>
      </c>
      <c r="BR1111" s="55" t="str">
        <f aca="false">IF(U1111&lt;&gt;"",UPPER(TRIM(U1111)),IF(BU1111=1,UPPER(VLOOKUP(T1111,Parameter!$I$27:$K$29,2,0)),IF(P1111="","LOSE",P1111)))</f>
        <v>S22</v>
      </c>
      <c r="BS1111" s="57" t="n">
        <f aca="false">IF(BR1111="LOSE",1,IF(N(V1111)&gt;0,V1111,IF(BU1111=1,MAX(1,N(VLOOKUP(T1111,Parameter!$I$27:$K$29,3,0)),H1111,N(N1111)),IF(N(Q1111)&gt;0,Q1111,MAX(1,H1111)))))</f>
        <v>5</v>
      </c>
      <c r="BT1111" s="60" t="n">
        <f aca="false">IF(BR1111="LOSE",1,0)</f>
        <v>0</v>
      </c>
      <c r="BU1111" s="60" t="n">
        <f aca="false">IF(AND(U1111="",OR(P1111="",P1111="LOSE"),T1111&lt;&gt;"",N(S1111)&lt;=0,ISNUMBER(MATCH(T1111,Parameter!$I$27:$I$29,0))),1,0)</f>
        <v>0</v>
      </c>
      <c r="BV1111" s="55" t="str">
        <f aca="false">IF(AND(Parameter!$B$19="Ja",E1111&lt;&gt;"",ISNUMBER(MATCH(E1111,Parameter!$I$35:$I$52,0))),VLOOKUP(E1111,Parameter!$I$35:$J$52,2,0),IFERROR(VLOOKUP(D1111,Parameter!$A$35:$C$64,2,0),"Nein"))</f>
        <v>2+3</v>
      </c>
      <c r="BW1111" s="59" t="n">
        <f aca="false">IF(BT1111=0,0,IF(N(S1111)&gt;0,S1111,IFERROR(VLOOKUP(D1111,Parameter!$A$35:$C$64,3,0)+0,0)))</f>
        <v>0</v>
      </c>
      <c r="BX1111" s="55" t="n">
        <f aca="false">IF(AA1111&lt;&gt;"",AA1111,Z1111)</f>
        <v>3</v>
      </c>
      <c r="BY1111" s="55" t="str">
        <f aca="false">IF(BX1111=1,"L1",IF(OR(BX1111=2,BX1111=3),"L23",IF(BX1111="Aussen","Aussen","-")))</f>
        <v>L23</v>
      </c>
      <c r="BZ1111" s="66" t="n">
        <f aca="false">IF(N(AB1111)&gt;0,AB1111,0)</f>
        <v>0</v>
      </c>
      <c r="CA1111" s="60" t="n">
        <f aca="false">IF(ISNUMBER(AE1111),1,0)</f>
        <v>0</v>
      </c>
      <c r="CB1111" s="57" t="n">
        <f aca="false">N(AE1111)</f>
        <v>0</v>
      </c>
      <c r="CC1111" s="57" t="n">
        <f aca="false">N(M1111)+N(N1111)</f>
        <v>1</v>
      </c>
      <c r="CD1111" s="57" t="n">
        <f aca="false">ROUNDUP(H1111/BS1111,0)</f>
        <v>1</v>
      </c>
      <c r="CE1111" s="57" t="n">
        <f aca="false">ROUNDUP(CB1111/BS1111,0)</f>
        <v>0</v>
      </c>
      <c r="CF1111" s="60" t="n">
        <f aca="false">IF(BT1111=1,0,IFERROR(VLOOKUP(BR1111,'Gebinde-Kategorie'!$A$5:$M$45,5,0)+0,0))</f>
        <v>8</v>
      </c>
      <c r="CG1111" s="60" t="n">
        <f aca="false">IFERROR(IF(OR(BX1111=1,BX1111=2,BX1111=3),N(INDEX(Parameter!$I$5:$I$7,BX1111)),0),0)</f>
        <v>0</v>
      </c>
      <c r="CH1111" s="59" t="n">
        <f aca="false">IF(AND(Parameter!$B$21="Ja",ISNUMBER(W1111),N(X1111)&gt;0),IFERROR(N(INDEX(Parameter!$L$5:$L$7,W1111))*INDEX(Parameter!$E$5:$E$7,W1111)*X1111/SUMIFS($X$7:$X$1843,$W$7:$W$1843,W1111),0),0)</f>
        <v>0</v>
      </c>
    </row>
    <row r="1112" customFormat="false" ht="15" hidden="false" customHeight="false" outlineLevel="0" collapsed="false">
      <c r="A1112" s="55" t="s">
        <v>2018</v>
      </c>
      <c r="B1112" s="55" t="s">
        <v>2019</v>
      </c>
      <c r="C1112" s="55" t="s">
        <v>164</v>
      </c>
      <c r="D1112" s="55" t="s">
        <v>184</v>
      </c>
      <c r="E1112" s="55"/>
      <c r="F1112" s="55" t="s">
        <v>218</v>
      </c>
      <c r="G1112" s="56" t="n">
        <v>21.01</v>
      </c>
      <c r="H1112" s="57" t="n">
        <f aca="false">MAX(0,IF(AND(Parameter!$B$21="Ja",ISNUMBER(Y1112)),Y1112,IF(Parameter!$B$20="Jahresanfang 2025 + Export",BL1112+BK1112,BK1112)))</f>
        <v>17</v>
      </c>
      <c r="I1112" s="57" t="n">
        <f aca="false">H1112*G1112</f>
        <v>357.17</v>
      </c>
      <c r="J1112" s="57" t="n">
        <f aca="false">BN1112*Parameter!$B$18</f>
        <v>6</v>
      </c>
      <c r="K1112" s="58" t="n">
        <v>25</v>
      </c>
      <c r="L1112" s="59" t="n">
        <v>0.24</v>
      </c>
      <c r="M1112" s="57" t="n">
        <v>0</v>
      </c>
      <c r="N1112" s="57" t="n">
        <v>5</v>
      </c>
      <c r="O1112" s="60" t="n">
        <v>14</v>
      </c>
      <c r="P1112" s="55" t="s">
        <v>421</v>
      </c>
      <c r="Q1112" s="57" t="n">
        <v>20</v>
      </c>
      <c r="R1112" s="60" t="n">
        <f aca="false">IF(BT1112=1,0,IFERROR(VLOOKUP(BR1112,'Gebinde-Kategorie'!$A$5:$M$45,13,0)+0,0))</f>
        <v>132</v>
      </c>
      <c r="S1112" s="61"/>
      <c r="T1112" s="62"/>
      <c r="U1112" s="62"/>
      <c r="V1112" s="62"/>
      <c r="W1112" s="55"/>
      <c r="X1112" s="57"/>
      <c r="Y1112" s="57"/>
      <c r="Z1112" s="55" t="n">
        <f aca="false">IF(A1112="","",IF(AND(Parameter!$B$21="Ja",ISNUMBER(W1112)),W1112,IF(BV1112="2+3",IF(ISNUMBER(SEARCH("grosser Artikel",BO1112)),2,IFERROR(VLOOKUP(BR1112,Parameter!$F$35:$G$64,2,0),2)),IF(OR(BV1112="Nein",BV1112=""),"-",BV1112))))</f>
        <v>3</v>
      </c>
      <c r="AA1112" s="62"/>
      <c r="AB1112" s="63"/>
      <c r="AC1112" s="57" t="n">
        <f aca="false">AR1112</f>
        <v>20</v>
      </c>
      <c r="AD1112" s="57" t="n">
        <f aca="false">MAX(AR1112,H1112)</f>
        <v>20</v>
      </c>
      <c r="AE1112" s="64"/>
      <c r="AF1112" s="57" t="n">
        <f aca="false">IF(LEFT(Cockpit!$C$5,1)="A",H1112,IF(CA1112=1,CB1112,IF(LEFT(Cockpit!$C$5,1)="B",AJ1112,MAX(AJ1112,H1112))))</f>
        <v>17</v>
      </c>
      <c r="AG1112" s="57" t="n">
        <f aca="false">IF(BT1112=1,0,ROUNDUP(AF1112/BS1112,0))</f>
        <v>1</v>
      </c>
      <c r="AH1112" s="59" t="n">
        <f aca="false">IF(CH1112&gt;0,CH1112*MAX(1,AF1112/X1112),IF(BT1112=1,IF(AF1112&lt;=0,0,BW1112*MAX(1,IF(H1112&gt;0,AF1112/H1112,1))),IF(R1112&gt;0,AG1112/R1112,0))/MAX(0.1,N(Parameter!$M$21)))</f>
        <v>0.00757575757575758</v>
      </c>
      <c r="AI1112" s="57" t="n">
        <f aca="false">AF1112*G1112</f>
        <v>357.17</v>
      </c>
      <c r="AJ1112" s="57" t="n">
        <f aca="false">ROUNDUP(MAX(J1112/IF(BZ1112&gt;0,BZ1112,MAX(0.1,N(Cockpit!$C$6))),CC1112)/BS1112,0)*BS1112</f>
        <v>20</v>
      </c>
      <c r="AK1112" s="58" t="n">
        <f aca="false">IF(AH1112&gt;0,J1112/AH1112,-1)</f>
        <v>792</v>
      </c>
      <c r="AL1112" s="58" t="n">
        <f aca="false">IF(AND(OR(BY1112="L1",BY1112="L23"),AH1112&gt;0),SUMIFS($AH$7:$AH$1843,$BY$7:$BY$1843,BY1112,$AK$7:$AK$1843,"&gt;"&amp;AK1112)+SUMIFS($AH$7:$AH$1843,$BY$7:$BY$1843,BY1112,$AK$7:$AK$1843,AK1112,$BQ$7:$BQ$1843,"&lt;="&amp;BQ1112),"")</f>
        <v>20.8609168609169</v>
      </c>
      <c r="AM1112" s="65" t="n">
        <f aca="false">IF(AL1112="",0,MAX(0,MIN(1,(IF(BY1112="L1",Parameter!$E$5,Parameter!$E$6+Parameter!$E$7)-(AL1112-AH1112))/AH1112)))</f>
        <v>1</v>
      </c>
      <c r="AN1112" s="57" t="n">
        <f aca="false">IF(LEFT(Cockpit!$I$5,1)="A",H1112,IF(CA1112=1,CB1112,IF(LEFT(Cockpit!$I$5,1)="B",AR1112,MAX(AR1112,H1112))))</f>
        <v>20</v>
      </c>
      <c r="AO1112" s="57" t="n">
        <f aca="false">IF(BT1112=1,0,ROUNDUP(AN1112/BS1112,0))</f>
        <v>1</v>
      </c>
      <c r="AP1112" s="59" t="n">
        <f aca="false">IF(CH1112&gt;0,CH1112*MAX(1,AN1112/X1112),IF(BT1112=1,IF(AN1112&lt;=0,0,BW1112*MAX(1,IF(H1112&gt;0,AN1112/H1112,1))),IF(R1112&gt;0,AO1112/R1112,0))/MAX(0.1,N(Parameter!$M$21)))</f>
        <v>0.00757575757575758</v>
      </c>
      <c r="AQ1112" s="57" t="n">
        <f aca="false">AN1112*G1112</f>
        <v>420.2</v>
      </c>
      <c r="AR1112" s="57" t="n">
        <f aca="false">ROUNDUP(MAX(J1112/IF(BZ1112&gt;0,BZ1112,MAX(0.1,N(Cockpit!$I$6))),CC1112)/BS1112,0)*BS1112</f>
        <v>20</v>
      </c>
      <c r="AS1112" s="58" t="n">
        <f aca="false">IF(AP1112&gt;0,J1112/AP1112,-1)</f>
        <v>792</v>
      </c>
      <c r="AT1112" s="58" t="n">
        <f aca="false">IF(AND(OR(BY1112="L1",BY1112="L23"),AP1112&gt;0),SUMIFS($AP$7:$AP$1843,$BY$7:$BY$1843,BY1112,$AS$7:$AS$1843,"&gt;"&amp;AS1112)+SUMIFS($AP$7:$AP$1843,$BY$7:$BY$1843,BY1112,$AS$7:$AS$1843,AS1112,$BQ$7:$BQ$1843,"&lt;="&amp;BQ1112),"")</f>
        <v>26.6056636600115</v>
      </c>
      <c r="AU1112" s="65" t="n">
        <f aca="false">IF(AT1112="",0,MAX(0,MIN(1,(IF(BY1112="L1",Parameter!$E$5,Parameter!$E$6+Parameter!$E$7)-(AT1112-AP1112))/AP1112)))</f>
        <v>1</v>
      </c>
      <c r="AV1112" s="57" t="n">
        <f aca="false">IF(LEFT(Cockpit!$O$5,1)="A",H1112,IF(CA1112=1,CB1112,IF(LEFT(Cockpit!$O$5,1)="B",AZ1112,MAX(AZ1112,H1112))))</f>
        <v>20</v>
      </c>
      <c r="AW1112" s="57" t="n">
        <f aca="false">IF(BT1112=1,0,ROUNDUP(AV1112/BS1112,0))</f>
        <v>1</v>
      </c>
      <c r="AX1112" s="59" t="n">
        <f aca="false">IF(CH1112&gt;0,CH1112*MAX(1,AV1112/X1112),IF(BT1112=1,IF(AV1112&lt;=0,0,BW1112*MAX(1,IF(H1112&gt;0,AV1112/H1112,1))),IF(R1112&gt;0,AW1112/R1112,0))/MAX(0.1,N(Parameter!$M$21)))</f>
        <v>0.00757575757575758</v>
      </c>
      <c r="AY1112" s="57" t="n">
        <f aca="false">AV1112*G1112</f>
        <v>420.2</v>
      </c>
      <c r="AZ1112" s="57" t="n">
        <f aca="false">ROUNDUP(MAX(J1112/IF(BZ1112&gt;0,BZ1112,MAX(0.1,N(Cockpit!$O$6))),CC1112)/BS1112,0)*BS1112</f>
        <v>20</v>
      </c>
      <c r="BA1112" s="58" t="n">
        <f aca="false">IF(AX1112&gt;0,J1112/AX1112,-1)</f>
        <v>792</v>
      </c>
      <c r="BB1112" s="58" t="n">
        <f aca="false">IF(AND(OR(BY1112="L1",BY1112="L23"),AX1112&gt;0),SUMIFS($AX$7:$AX$1843,$BY$7:$BY$1843,BY1112,$BA$7:$BA$1843,"&gt;"&amp;BA1112)+SUMIFS($AX$7:$AX$1843,$BY$7:$BY$1843,BY1112,$BA$7:$BA$1843,BA1112,$BQ$7:$BQ$1843,"&lt;="&amp;BQ1112),"")</f>
        <v>26.0572953616432</v>
      </c>
      <c r="BC1112" s="65" t="n">
        <f aca="false">IF(BB1112="",0,MAX(0,MIN(1,(IF(BY1112="L1",Parameter!$E$5,Parameter!$E$6+Parameter!$E$7)-(BB1112-AX1112))/AX1112)))</f>
        <v>1</v>
      </c>
      <c r="BD1112" s="55" t="str">
        <f aca="false">IF(AH1112&lt;=0,"",IF(BY1112="Aussen","Aussenlager",IF(BY1112="-","Nicht im Lift",IF(AM1112&gt;=1,"Lift",IF(AM1112&lt;=0,"Aussenlager","teilweise")))))</f>
        <v>Lift</v>
      </c>
      <c r="BE1112" s="55" t="str">
        <f aca="false">IF(AP1112&lt;=0,"",IF(BY1112="Aussen","Aussenlager",IF(BY1112="-","Nicht im Lift",IF(AU1112&gt;=1,"Lift",IF(AU1112&lt;=0,"Aussenlager","teilweise")))))</f>
        <v>Lift</v>
      </c>
      <c r="BF1112" s="55" t="str">
        <f aca="false">IF(AX1112&lt;=0,"",IF(BY1112="Aussen","Aussenlager",IF(BY1112="-","Nicht im Lift",IF(BC1112&gt;=1,"Lift",IF(BC1112&lt;=0,"Aussenlager","teilweise")))))</f>
        <v>Lift</v>
      </c>
      <c r="BG1112" s="55" t="str">
        <f aca="false">IF(A1112="","",IF(BP1112=1,"Neu; ","")&amp;IF(AND(BP1112=0,BK1112&lt;0),"negativer Bestand (Export "&amp;BK1112&amp;"); ","")&amp;IF(J1112&lt;=0,"Kein Verbrauch; ","")&amp;IF(CH1112&gt;0,"Lift "&amp;W1112&amp;" lt. Liftbericht (Fach "&amp;X1112&amp;" Stk); ",IF(BU1112=1,"Gebinde geschätzt ("&amp;T1112&amp;"); ",IF(BT1112=1,"Lose – Tablare geschätzt; ","")))&amp;IF(H1112&gt;AR1112,"Überbestand "&amp;ROUND(H1112-AR1112,0)&amp;" Stk / CHF "&amp;ROUND((H1112-AR1112)*G1112,0)&amp;"; ","")&amp;IF(AND(CA1112=1,CB1112&lt;CC1112),"MAX &lt; MB+LG; ","")&amp;IF(AND(CG1112&gt;0,CF1112*10&gt;CG1112),"zu hoch für Tablar; ","")&amp;IF(AND(BP1112=0,OR(CA1112=1,AA1112&lt;&gt;"",U1112&lt;&gt;"",V1112&lt;&gt;"",AB1112&lt;&gt;"")),"manuell übersteuert; ","")&amp;IF(AND(BT1112=0,R1112=0),"Gebinde unbekannt / Stellmass fehlt; ","")&amp;IF(AND(BT1112=0,N(V1112)&lt;=0,N(Q1112)&lt;=0),"Menge pro Gebinde fehlt (Ist = 1 Gebinde); ","")&amp;BO1112)</f>
        <v>negativer Bestand (Export -11); </v>
      </c>
      <c r="BH1112" s="55"/>
      <c r="BI1112" s="55"/>
      <c r="BJ1112" s="62"/>
      <c r="BK1112" s="57" t="n">
        <v>-11</v>
      </c>
      <c r="BL1112" s="57" t="n">
        <v>28</v>
      </c>
      <c r="BM1112" s="56" t="n">
        <v>-231.11</v>
      </c>
      <c r="BN1112" s="57" t="n">
        <v>6</v>
      </c>
      <c r="BO1112" s="55"/>
      <c r="BP1112" s="60" t="n">
        <v>0</v>
      </c>
      <c r="BQ1112" s="60" t="n">
        <v>1112</v>
      </c>
      <c r="BR1112" s="55" t="str">
        <f aca="false">IF(U1112&lt;&gt;"",UPPER(TRIM(U1112)),IF(BU1112=1,UPPER(VLOOKUP(T1112,Parameter!$I$27:$K$29,2,0)),IF(P1112="","LOSE",P1112)))</f>
        <v>S32</v>
      </c>
      <c r="BS1112" s="57" t="n">
        <f aca="false">IF(BR1112="LOSE",1,IF(N(V1112)&gt;0,V1112,IF(BU1112=1,MAX(1,N(VLOOKUP(T1112,Parameter!$I$27:$K$29,3,0)),H1112,N(N1112)),IF(N(Q1112)&gt;0,Q1112,MAX(1,H1112)))))</f>
        <v>20</v>
      </c>
      <c r="BT1112" s="60" t="n">
        <f aca="false">IF(BR1112="LOSE",1,0)</f>
        <v>0</v>
      </c>
      <c r="BU1112" s="60" t="n">
        <f aca="false">IF(AND(U1112="",OR(P1112="",P1112="LOSE"),T1112&lt;&gt;"",N(S1112)&lt;=0,ISNUMBER(MATCH(T1112,Parameter!$I$27:$I$29,0))),1,0)</f>
        <v>0</v>
      </c>
      <c r="BV1112" s="55" t="str">
        <f aca="false">IF(AND(Parameter!$B$19="Ja",E1112&lt;&gt;"",ISNUMBER(MATCH(E1112,Parameter!$I$35:$I$52,0))),VLOOKUP(E1112,Parameter!$I$35:$J$52,2,0),IFERROR(VLOOKUP(D1112,Parameter!$A$35:$C$64,2,0),"Nein"))</f>
        <v>2+3</v>
      </c>
      <c r="BW1112" s="59" t="n">
        <f aca="false">IF(BT1112=0,0,IF(N(S1112)&gt;0,S1112,IFERROR(VLOOKUP(D1112,Parameter!$A$35:$C$64,3,0)+0,0)))</f>
        <v>0</v>
      </c>
      <c r="BX1112" s="55" t="n">
        <f aca="false">IF(AA1112&lt;&gt;"",AA1112,Z1112)</f>
        <v>3</v>
      </c>
      <c r="BY1112" s="55" t="str">
        <f aca="false">IF(BX1112=1,"L1",IF(OR(BX1112=2,BX1112=3),"L23",IF(BX1112="Aussen","Aussen","-")))</f>
        <v>L23</v>
      </c>
      <c r="BZ1112" s="66" t="n">
        <f aca="false">IF(N(AB1112)&gt;0,AB1112,0)</f>
        <v>0</v>
      </c>
      <c r="CA1112" s="60" t="n">
        <f aca="false">IF(ISNUMBER(AE1112),1,0)</f>
        <v>0</v>
      </c>
      <c r="CB1112" s="57" t="n">
        <f aca="false">N(AE1112)</f>
        <v>0</v>
      </c>
      <c r="CC1112" s="57" t="n">
        <f aca="false">N(M1112)+N(N1112)</f>
        <v>5</v>
      </c>
      <c r="CD1112" s="57" t="n">
        <f aca="false">ROUNDUP(H1112/BS1112,0)</f>
        <v>1</v>
      </c>
      <c r="CE1112" s="57" t="n">
        <f aca="false">ROUNDUP(CB1112/BS1112,0)</f>
        <v>0</v>
      </c>
      <c r="CF1112" s="60" t="n">
        <f aca="false">IF(BT1112=1,0,IFERROR(VLOOKUP(BR1112,'Gebinde-Kategorie'!$A$5:$M$45,5,0)+0,0))</f>
        <v>8</v>
      </c>
      <c r="CG1112" s="60" t="n">
        <f aca="false">IFERROR(IF(OR(BX1112=1,BX1112=2,BX1112=3),N(INDEX(Parameter!$I$5:$I$7,BX1112)),0),0)</f>
        <v>0</v>
      </c>
      <c r="CH1112" s="59" t="n">
        <f aca="false">IF(AND(Parameter!$B$21="Ja",ISNUMBER(W1112),N(X1112)&gt;0),IFERROR(N(INDEX(Parameter!$L$5:$L$7,W1112))*INDEX(Parameter!$E$5:$E$7,W1112)*X1112/SUMIFS($X$7:$X$1843,$W$7:$W$1843,W1112),0),0)</f>
        <v>0</v>
      </c>
    </row>
    <row r="1113" customFormat="false" ht="15" hidden="false" customHeight="false" outlineLevel="0" collapsed="false">
      <c r="A1113" s="55" t="s">
        <v>2020</v>
      </c>
      <c r="B1113" s="55" t="s">
        <v>589</v>
      </c>
      <c r="C1113" s="55" t="s">
        <v>164</v>
      </c>
      <c r="D1113" s="55" t="s">
        <v>184</v>
      </c>
      <c r="E1113" s="55"/>
      <c r="F1113" s="55" t="s">
        <v>218</v>
      </c>
      <c r="G1113" s="56" t="n">
        <v>21.05</v>
      </c>
      <c r="H1113" s="57" t="n">
        <f aca="false">MAX(0,IF(AND(Parameter!$B$21="Ja",ISNUMBER(Y1113)),Y1113,IF(Parameter!$B$20="Jahresanfang 2025 + Export",BL1113+BK1113,BK1113)))</f>
        <v>67</v>
      </c>
      <c r="I1113" s="57" t="n">
        <f aca="false">H1113*G1113</f>
        <v>1410.35</v>
      </c>
      <c r="J1113" s="57" t="n">
        <f aca="false">BN1113*Parameter!$B$18</f>
        <v>3</v>
      </c>
      <c r="K1113" s="58" t="n">
        <v>76</v>
      </c>
      <c r="L1113" s="59" t="n">
        <v>0.0394736842105263</v>
      </c>
      <c r="M1113" s="57" t="n">
        <v>0</v>
      </c>
      <c r="N1113" s="57" t="n">
        <v>5</v>
      </c>
      <c r="O1113" s="60" t="n">
        <v>35</v>
      </c>
      <c r="P1113" s="55" t="s">
        <v>401</v>
      </c>
      <c r="Q1113" s="57" t="n">
        <v>100</v>
      </c>
      <c r="R1113" s="60" t="n">
        <f aca="false">IF(BT1113=1,0,IFERROR(VLOOKUP(BR1113,'Gebinde-Kategorie'!$A$5:$M$45,13,0)+0,0))</f>
        <v>414</v>
      </c>
      <c r="S1113" s="61"/>
      <c r="T1113" s="62"/>
      <c r="U1113" s="62"/>
      <c r="V1113" s="62"/>
      <c r="W1113" s="55"/>
      <c r="X1113" s="57"/>
      <c r="Y1113" s="57"/>
      <c r="Z1113" s="55" t="n">
        <f aca="false">IF(A1113="","",IF(AND(Parameter!$B$21="Ja",ISNUMBER(W1113)),W1113,IF(BV1113="2+3",IF(ISNUMBER(SEARCH("grosser Artikel",BO1113)),2,IFERROR(VLOOKUP(BR1113,Parameter!$F$35:$G$64,2,0),2)),IF(OR(BV1113="Nein",BV1113=""),"-",BV1113))))</f>
        <v>3</v>
      </c>
      <c r="AA1113" s="62"/>
      <c r="AB1113" s="63"/>
      <c r="AC1113" s="57" t="n">
        <f aca="false">AR1113</f>
        <v>100</v>
      </c>
      <c r="AD1113" s="57" t="n">
        <f aca="false">MAX(AR1113,H1113)</f>
        <v>100</v>
      </c>
      <c r="AE1113" s="64"/>
      <c r="AF1113" s="57" t="n">
        <f aca="false">IF(LEFT(Cockpit!$C$5,1)="A",H1113,IF(CA1113=1,CB1113,IF(LEFT(Cockpit!$C$5,1)="B",AJ1113,MAX(AJ1113,H1113))))</f>
        <v>67</v>
      </c>
      <c r="AG1113" s="57" t="n">
        <f aca="false">IF(BT1113=1,0,ROUNDUP(AF1113/BS1113,0))</f>
        <v>1</v>
      </c>
      <c r="AH1113" s="59" t="n">
        <f aca="false">IF(CH1113&gt;0,CH1113*MAX(1,AF1113/X1113),IF(BT1113=1,IF(AF1113&lt;=0,0,BW1113*MAX(1,IF(H1113&gt;0,AF1113/H1113,1))),IF(R1113&gt;0,AG1113/R1113,0))/MAX(0.1,N(Parameter!$M$21)))</f>
        <v>0.00241545893719807</v>
      </c>
      <c r="AI1113" s="57" t="n">
        <f aca="false">AF1113*G1113</f>
        <v>1410.35</v>
      </c>
      <c r="AJ1113" s="57" t="n">
        <f aca="false">ROUNDUP(MAX(J1113/IF(BZ1113&gt;0,BZ1113,MAX(0.1,N(Cockpit!$C$6))),CC1113)/BS1113,0)*BS1113</f>
        <v>100</v>
      </c>
      <c r="AK1113" s="58" t="n">
        <f aca="false">IF(AH1113&gt;0,J1113/AH1113,-1)</f>
        <v>1242</v>
      </c>
      <c r="AL1113" s="58" t="n">
        <f aca="false">IF(AND(OR(BY1113="L1",BY1113="L23"),AH1113&gt;0),SUMIFS($AH$7:$AH$1843,$BY$7:$BY$1843,BY1113,$AK$7:$AK$1843,"&gt;"&amp;AK1113)+SUMIFS($AH$7:$AH$1843,$BY$7:$BY$1843,BY1113,$AK$7:$AK$1843,AK1113,$BQ$7:$BQ$1843,"&lt;="&amp;BQ1113),"")</f>
        <v>16.551881693186</v>
      </c>
      <c r="AM1113" s="65" t="n">
        <f aca="false">IF(AL1113="",0,MAX(0,MIN(1,(IF(BY1113="L1",Parameter!$E$5,Parameter!$E$6+Parameter!$E$7)-(AL1113-AH1113))/AH1113)))</f>
        <v>1</v>
      </c>
      <c r="AN1113" s="57" t="n">
        <f aca="false">IF(LEFT(Cockpit!$I$5,1)="A",H1113,IF(CA1113=1,CB1113,IF(LEFT(Cockpit!$I$5,1)="B",AR1113,MAX(AR1113,H1113))))</f>
        <v>100</v>
      </c>
      <c r="AO1113" s="57" t="n">
        <f aca="false">IF(BT1113=1,0,ROUNDUP(AN1113/BS1113,0))</f>
        <v>1</v>
      </c>
      <c r="AP1113" s="59" t="n">
        <f aca="false">IF(CH1113&gt;0,CH1113*MAX(1,AN1113/X1113),IF(BT1113=1,IF(AN1113&lt;=0,0,BW1113*MAX(1,IF(H1113&gt;0,AN1113/H1113,1))),IF(R1113&gt;0,AO1113/R1113,0))/MAX(0.1,N(Parameter!$M$21)))</f>
        <v>0.00241545893719807</v>
      </c>
      <c r="AQ1113" s="57" t="n">
        <f aca="false">AN1113*G1113</f>
        <v>2105</v>
      </c>
      <c r="AR1113" s="57" t="n">
        <f aca="false">ROUNDUP(MAX(J1113/IF(BZ1113&gt;0,BZ1113,MAX(0.1,N(Cockpit!$I$6))),CC1113)/BS1113,0)*BS1113</f>
        <v>100</v>
      </c>
      <c r="AS1113" s="58" t="n">
        <f aca="false">IF(AP1113&gt;0,J1113/AP1113,-1)</f>
        <v>1242</v>
      </c>
      <c r="AT1113" s="58" t="n">
        <f aca="false">IF(AND(OR(BY1113="L1",BY1113="L23"),AP1113&gt;0),SUMIFS($AP$7:$AP$1843,$BY$7:$BY$1843,BY1113,$AS$7:$AS$1843,"&gt;"&amp;AS1113)+SUMIFS($AP$7:$AP$1843,$BY$7:$BY$1843,BY1113,$AS$7:$AS$1843,AS1113,$BQ$7:$BQ$1843,"&lt;="&amp;BQ1113),"")</f>
        <v>22.2380662815445</v>
      </c>
      <c r="AU1113" s="65" t="n">
        <f aca="false">IF(AT1113="",0,MAX(0,MIN(1,(IF(BY1113="L1",Parameter!$E$5,Parameter!$E$6+Parameter!$E$7)-(AT1113-AP1113))/AP1113)))</f>
        <v>1</v>
      </c>
      <c r="AV1113" s="57" t="n">
        <f aca="false">IF(LEFT(Cockpit!$O$5,1)="A",H1113,IF(CA1113=1,CB1113,IF(LEFT(Cockpit!$O$5,1)="B",AZ1113,MAX(AZ1113,H1113))))</f>
        <v>100</v>
      </c>
      <c r="AW1113" s="57" t="n">
        <f aca="false">IF(BT1113=1,0,ROUNDUP(AV1113/BS1113,0))</f>
        <v>1</v>
      </c>
      <c r="AX1113" s="59" t="n">
        <f aca="false">IF(CH1113&gt;0,CH1113*MAX(1,AV1113/X1113),IF(BT1113=1,IF(AV1113&lt;=0,0,BW1113*MAX(1,IF(H1113&gt;0,AV1113/H1113,1))),IF(R1113&gt;0,AW1113/R1113,0))/MAX(0.1,N(Parameter!$M$21)))</f>
        <v>0.00241545893719807</v>
      </c>
      <c r="AY1113" s="57" t="n">
        <f aca="false">AV1113*G1113</f>
        <v>2105</v>
      </c>
      <c r="AZ1113" s="57" t="n">
        <f aca="false">ROUNDUP(MAX(J1113/IF(BZ1113&gt;0,BZ1113,MAX(0.1,N(Cockpit!$O$6))),CC1113)/BS1113,0)*BS1113</f>
        <v>100</v>
      </c>
      <c r="BA1113" s="58" t="n">
        <f aca="false">IF(AX1113&gt;0,J1113/AX1113,-1)</f>
        <v>1242</v>
      </c>
      <c r="BB1113" s="58" t="n">
        <f aca="false">IF(AND(OR(BY1113="L1",BY1113="L23"),AX1113&gt;0),SUMIFS($AX$7:$AX$1843,$BY$7:$BY$1843,BY1113,$BA$7:$BA$1843,"&gt;"&amp;BA1113)+SUMIFS($AX$7:$AX$1843,$BY$7:$BY$1843,BY1113,$BA$7:$BA$1843,BA1113,$BQ$7:$BQ$1843,"&lt;="&amp;BQ1113),"")</f>
        <v>20.933287726766</v>
      </c>
      <c r="BC1113" s="65" t="n">
        <f aca="false">IF(BB1113="",0,MAX(0,MIN(1,(IF(BY1113="L1",Parameter!$E$5,Parameter!$E$6+Parameter!$E$7)-(BB1113-AX1113))/AX1113)))</f>
        <v>1</v>
      </c>
      <c r="BD1113" s="55" t="str">
        <f aca="false">IF(AH1113&lt;=0,"",IF(BY1113="Aussen","Aussenlager",IF(BY1113="-","Nicht im Lift",IF(AM1113&gt;=1,"Lift",IF(AM1113&lt;=0,"Aussenlager","teilweise")))))</f>
        <v>Lift</v>
      </c>
      <c r="BE1113" s="55" t="str">
        <f aca="false">IF(AP1113&lt;=0,"",IF(BY1113="Aussen","Aussenlager",IF(BY1113="-","Nicht im Lift",IF(AU1113&gt;=1,"Lift",IF(AU1113&lt;=0,"Aussenlager","teilweise")))))</f>
        <v>Lift</v>
      </c>
      <c r="BF1113" s="55" t="str">
        <f aca="false">IF(AX1113&lt;=0,"",IF(BY1113="Aussen","Aussenlager",IF(BY1113="-","Nicht im Lift",IF(BC1113&gt;=1,"Lift",IF(BC1113&lt;=0,"Aussenlager","teilweise")))))</f>
        <v>Lift</v>
      </c>
      <c r="BG1113" s="55" t="str">
        <f aca="false">IF(A1113="","",IF(BP1113=1,"Neu; ","")&amp;IF(AND(BP1113=0,BK1113&lt;0),"negativer Bestand (Export "&amp;BK1113&amp;"); ","")&amp;IF(J1113&lt;=0,"Kein Verbrauch; ","")&amp;IF(CH1113&gt;0,"Lift "&amp;W1113&amp;" lt. Liftbericht (Fach "&amp;X1113&amp;" Stk); ",IF(BU1113=1,"Gebinde geschätzt ("&amp;T1113&amp;"); ",IF(BT1113=1,"Lose – Tablare geschätzt; ","")))&amp;IF(H1113&gt;AR1113,"Überbestand "&amp;ROUND(H1113-AR1113,0)&amp;" Stk / CHF "&amp;ROUND((H1113-AR1113)*G1113,0)&amp;"; ","")&amp;IF(AND(CA1113=1,CB1113&lt;CC1113),"MAX &lt; MB+LG; ","")&amp;IF(AND(CG1113&gt;0,CF1113*10&gt;CG1113),"zu hoch für Tablar; ","")&amp;IF(AND(BP1113=0,OR(CA1113=1,AA1113&lt;&gt;"",U1113&lt;&gt;"",V1113&lt;&gt;"",AB1113&lt;&gt;"")),"manuell übersteuert; ","")&amp;IF(AND(BT1113=0,R1113=0),"Gebinde unbekannt / Stellmass fehlt; ","")&amp;IF(AND(BT1113=0,N(V1113)&lt;=0,N(Q1113)&lt;=0),"Menge pro Gebinde fehlt (Ist = 1 Gebinde); ","")&amp;BO1113)</f>
        <v>negativer Bestand (Export -11); Überbestand</v>
      </c>
      <c r="BH1113" s="55"/>
      <c r="BI1113" s="55"/>
      <c r="BJ1113" s="62"/>
      <c r="BK1113" s="57" t="n">
        <v>-11</v>
      </c>
      <c r="BL1113" s="57" t="n">
        <v>78</v>
      </c>
      <c r="BM1113" s="56" t="n">
        <v>-231.55</v>
      </c>
      <c r="BN1113" s="57" t="n">
        <v>3</v>
      </c>
      <c r="BO1113" s="55" t="s">
        <v>392</v>
      </c>
      <c r="BP1113" s="60" t="n">
        <v>0</v>
      </c>
      <c r="BQ1113" s="60" t="n">
        <v>1113</v>
      </c>
      <c r="BR1113" s="55" t="str">
        <f aca="false">IF(U1113&lt;&gt;"",UPPER(TRIM(U1113)),IF(BU1113=1,UPPER(VLOOKUP(T1113,Parameter!$I$27:$K$29,2,0)),IF(P1113="","LOSE",P1113)))</f>
        <v>S21</v>
      </c>
      <c r="BS1113" s="57" t="n">
        <f aca="false">IF(BR1113="LOSE",1,IF(N(V1113)&gt;0,V1113,IF(BU1113=1,MAX(1,N(VLOOKUP(T1113,Parameter!$I$27:$K$29,3,0)),H1113,N(N1113)),IF(N(Q1113)&gt;0,Q1113,MAX(1,H1113)))))</f>
        <v>100</v>
      </c>
      <c r="BT1113" s="60" t="n">
        <f aca="false">IF(BR1113="LOSE",1,0)</f>
        <v>0</v>
      </c>
      <c r="BU1113" s="60" t="n">
        <f aca="false">IF(AND(U1113="",OR(P1113="",P1113="LOSE"),T1113&lt;&gt;"",N(S1113)&lt;=0,ISNUMBER(MATCH(T1113,Parameter!$I$27:$I$29,0))),1,0)</f>
        <v>0</v>
      </c>
      <c r="BV1113" s="55" t="str">
        <f aca="false">IF(AND(Parameter!$B$19="Ja",E1113&lt;&gt;"",ISNUMBER(MATCH(E1113,Parameter!$I$35:$I$52,0))),VLOOKUP(E1113,Parameter!$I$35:$J$52,2,0),IFERROR(VLOOKUP(D1113,Parameter!$A$35:$C$64,2,0),"Nein"))</f>
        <v>2+3</v>
      </c>
      <c r="BW1113" s="59" t="n">
        <f aca="false">IF(BT1113=0,0,IF(N(S1113)&gt;0,S1113,IFERROR(VLOOKUP(D1113,Parameter!$A$35:$C$64,3,0)+0,0)))</f>
        <v>0</v>
      </c>
      <c r="BX1113" s="55" t="n">
        <f aca="false">IF(AA1113&lt;&gt;"",AA1113,Z1113)</f>
        <v>3</v>
      </c>
      <c r="BY1113" s="55" t="str">
        <f aca="false">IF(BX1113=1,"L1",IF(OR(BX1113=2,BX1113=3),"L23",IF(BX1113="Aussen","Aussen","-")))</f>
        <v>L23</v>
      </c>
      <c r="BZ1113" s="66" t="n">
        <f aca="false">IF(N(AB1113)&gt;0,AB1113,0)</f>
        <v>0</v>
      </c>
      <c r="CA1113" s="60" t="n">
        <f aca="false">IF(ISNUMBER(AE1113),1,0)</f>
        <v>0</v>
      </c>
      <c r="CB1113" s="57" t="n">
        <f aca="false">N(AE1113)</f>
        <v>0</v>
      </c>
      <c r="CC1113" s="57" t="n">
        <f aca="false">N(M1113)+N(N1113)</f>
        <v>5</v>
      </c>
      <c r="CD1113" s="57" t="n">
        <f aca="false">ROUNDUP(H1113/BS1113,0)</f>
        <v>1</v>
      </c>
      <c r="CE1113" s="57" t="n">
        <f aca="false">ROUNDUP(CB1113/BS1113,0)</f>
        <v>0</v>
      </c>
      <c r="CF1113" s="60" t="n">
        <f aca="false">IF(BT1113=1,0,IFERROR(VLOOKUP(BR1113,'Gebinde-Kategorie'!$A$5:$M$45,5,0)+0,0))</f>
        <v>8</v>
      </c>
      <c r="CG1113" s="60" t="n">
        <f aca="false">IFERROR(IF(OR(BX1113=1,BX1113=2,BX1113=3),N(INDEX(Parameter!$I$5:$I$7,BX1113)),0),0)</f>
        <v>0</v>
      </c>
      <c r="CH1113" s="59" t="n">
        <f aca="false">IF(AND(Parameter!$B$21="Ja",ISNUMBER(W1113),N(X1113)&gt;0),IFERROR(N(INDEX(Parameter!$L$5:$L$7,W1113))*INDEX(Parameter!$E$5:$E$7,W1113)*X1113/SUMIFS($X$7:$X$1843,$W$7:$W$1843,W1113),0),0)</f>
        <v>0</v>
      </c>
    </row>
    <row r="1114" customFormat="false" ht="15" hidden="false" customHeight="false" outlineLevel="0" collapsed="false">
      <c r="A1114" s="55" t="s">
        <v>2021</v>
      </c>
      <c r="B1114" s="55" t="s">
        <v>2022</v>
      </c>
      <c r="C1114" s="55" t="s">
        <v>164</v>
      </c>
      <c r="D1114" s="55" t="s">
        <v>184</v>
      </c>
      <c r="E1114" s="55"/>
      <c r="F1114" s="55" t="s">
        <v>218</v>
      </c>
      <c r="G1114" s="56" t="n">
        <v>116.54</v>
      </c>
      <c r="H1114" s="57" t="n">
        <f aca="false">MAX(0,IF(AND(Parameter!$B$21="Ja",ISNUMBER(Y1114)),Y1114,IF(Parameter!$B$20="Jahresanfang 2025 + Export",BL1114+BK1114,BK1114)))</f>
        <v>8</v>
      </c>
      <c r="I1114" s="57" t="n">
        <f aca="false">H1114*G1114</f>
        <v>932.32</v>
      </c>
      <c r="J1114" s="57" t="n">
        <f aca="false">BN1114*Parameter!$B$18</f>
        <v>0</v>
      </c>
      <c r="K1114" s="58" t="n">
        <v>10</v>
      </c>
      <c r="L1114" s="59" t="n">
        <v>0</v>
      </c>
      <c r="M1114" s="57" t="n">
        <v>0</v>
      </c>
      <c r="N1114" s="57" t="n">
        <v>1</v>
      </c>
      <c r="O1114" s="60" t="n">
        <v>28</v>
      </c>
      <c r="P1114" s="55" t="s">
        <v>302</v>
      </c>
      <c r="Q1114" s="57" t="n">
        <v>8</v>
      </c>
      <c r="R1114" s="60" t="n">
        <f aca="false">IF(BT1114=1,0,IFERROR(VLOOKUP(BR1114,'Gebinde-Kategorie'!$A$5:$M$45,13,0)+0,0))</f>
        <v>26</v>
      </c>
      <c r="S1114" s="61"/>
      <c r="T1114" s="62"/>
      <c r="U1114" s="62"/>
      <c r="V1114" s="62"/>
      <c r="W1114" s="55"/>
      <c r="X1114" s="57"/>
      <c r="Y1114" s="57"/>
      <c r="Z1114" s="55" t="n">
        <f aca="false">IF(A1114="","",IF(AND(Parameter!$B$21="Ja",ISNUMBER(W1114)),W1114,IF(BV1114="2+3",IF(ISNUMBER(SEARCH("grosser Artikel",BO1114)),2,IFERROR(VLOOKUP(BR1114,Parameter!$F$35:$G$64,2,0),2)),IF(OR(BV1114="Nein",BV1114=""),"-",BV1114))))</f>
        <v>3</v>
      </c>
      <c r="AA1114" s="62"/>
      <c r="AB1114" s="63"/>
      <c r="AC1114" s="57" t="n">
        <f aca="false">AR1114</f>
        <v>8</v>
      </c>
      <c r="AD1114" s="57" t="n">
        <f aca="false">MAX(AR1114,H1114)</f>
        <v>8</v>
      </c>
      <c r="AE1114" s="64"/>
      <c r="AF1114" s="57" t="n">
        <f aca="false">IF(LEFT(Cockpit!$C$5,1)="A",H1114,IF(CA1114=1,CB1114,IF(LEFT(Cockpit!$C$5,1)="B",AJ1114,MAX(AJ1114,H1114))))</f>
        <v>8</v>
      </c>
      <c r="AG1114" s="57" t="n">
        <f aca="false">IF(BT1114=1,0,ROUNDUP(AF1114/BS1114,0))</f>
        <v>1</v>
      </c>
      <c r="AH1114" s="59" t="n">
        <f aca="false">IF(CH1114&gt;0,CH1114*MAX(1,AF1114/X1114),IF(BT1114=1,IF(AF1114&lt;=0,0,BW1114*MAX(1,IF(H1114&gt;0,AF1114/H1114,1))),IF(R1114&gt;0,AG1114/R1114,0))/MAX(0.1,N(Parameter!$M$21)))</f>
        <v>0.0384615384615385</v>
      </c>
      <c r="AI1114" s="57" t="n">
        <f aca="false">AF1114*G1114</f>
        <v>932.32</v>
      </c>
      <c r="AJ1114" s="57" t="n">
        <f aca="false">ROUNDUP(MAX(J1114/IF(BZ1114&gt;0,BZ1114,MAX(0.1,N(Cockpit!$C$6))),CC1114)/BS1114,0)*BS1114</f>
        <v>8</v>
      </c>
      <c r="AK1114" s="58" t="n">
        <f aca="false">IF(AH1114&gt;0,J1114/AH1114,-1)</f>
        <v>0</v>
      </c>
      <c r="AL1114" s="58" t="n">
        <f aca="false">IF(AND(OR(BY1114="L1",BY1114="L23"),AH1114&gt;0),SUMIFS($AH$7:$AH$1843,$BY$7:$BY$1843,BY1114,$AK$7:$AK$1843,"&gt;"&amp;AK1114)+SUMIFS($AH$7:$AH$1843,$BY$7:$BY$1843,BY1114,$AK$7:$AK$1843,AK1114,$BQ$7:$BQ$1843,"&lt;="&amp;BQ1114),"")</f>
        <v>79.4666143035708</v>
      </c>
      <c r="AM1114" s="65" t="n">
        <f aca="false">IF(AL1114="",0,MAX(0,MIN(1,(IF(BY1114="L1",Parameter!$E$5,Parameter!$E$6+Parameter!$E$7)-(AL1114-AH1114))/AH1114)))</f>
        <v>1</v>
      </c>
      <c r="AN1114" s="57" t="n">
        <f aca="false">IF(LEFT(Cockpit!$I$5,1)="A",H1114,IF(CA1114=1,CB1114,IF(LEFT(Cockpit!$I$5,1)="B",AR1114,MAX(AR1114,H1114))))</f>
        <v>8</v>
      </c>
      <c r="AO1114" s="57" t="n">
        <f aca="false">IF(BT1114=1,0,ROUNDUP(AN1114/BS1114,0))</f>
        <v>1</v>
      </c>
      <c r="AP1114" s="59" t="n">
        <f aca="false">IF(CH1114&gt;0,CH1114*MAX(1,AN1114/X1114),IF(BT1114=1,IF(AN1114&lt;=0,0,BW1114*MAX(1,IF(H1114&gt;0,AN1114/H1114,1))),IF(R1114&gt;0,AO1114/R1114,0))/MAX(0.1,N(Parameter!$M$21)))</f>
        <v>0.0384615384615385</v>
      </c>
      <c r="AQ1114" s="57" t="n">
        <f aca="false">AN1114*G1114</f>
        <v>932.32</v>
      </c>
      <c r="AR1114" s="57" t="n">
        <f aca="false">ROUNDUP(MAX(J1114/IF(BZ1114&gt;0,BZ1114,MAX(0.1,N(Cockpit!$I$6))),CC1114)/BS1114,0)*BS1114</f>
        <v>8</v>
      </c>
      <c r="AS1114" s="58" t="n">
        <f aca="false">IF(AP1114&gt;0,J1114/AP1114,-1)</f>
        <v>0</v>
      </c>
      <c r="AT1114" s="58" t="n">
        <f aca="false">IF(AND(OR(BY1114="L1",BY1114="L23"),AP1114&gt;0),SUMIFS($AP$7:$AP$1843,$BY$7:$BY$1843,BY1114,$AS$7:$AS$1843,"&gt;"&amp;AS1114)+SUMIFS($AP$7:$AP$1843,$BY$7:$BY$1843,BY1114,$AS$7:$AS$1843,AS1114,$BQ$7:$BQ$1843,"&lt;="&amp;BQ1114),"")</f>
        <v>121.036012296882</v>
      </c>
      <c r="AU1114" s="65" t="n">
        <f aca="false">IF(AT1114="",0,MAX(0,MIN(1,(IF(BY1114="L1",Parameter!$E$5,Parameter!$E$6+Parameter!$E$7)-(AT1114-AP1114))/AP1114)))</f>
        <v>0</v>
      </c>
      <c r="AV1114" s="57" t="n">
        <f aca="false">IF(LEFT(Cockpit!$O$5,1)="A",H1114,IF(CA1114=1,CB1114,IF(LEFT(Cockpit!$O$5,1)="B",AZ1114,MAX(AZ1114,H1114))))</f>
        <v>8</v>
      </c>
      <c r="AW1114" s="57" t="n">
        <f aca="false">IF(BT1114=1,0,ROUNDUP(AV1114/BS1114,0))</f>
        <v>1</v>
      </c>
      <c r="AX1114" s="59" t="n">
        <f aca="false">IF(CH1114&gt;0,CH1114*MAX(1,AV1114/X1114),IF(BT1114=1,IF(AV1114&lt;=0,0,BW1114*MAX(1,IF(H1114&gt;0,AV1114/H1114,1))),IF(R1114&gt;0,AW1114/R1114,0))/MAX(0.1,N(Parameter!$M$21)))</f>
        <v>0.0384615384615385</v>
      </c>
      <c r="AY1114" s="57" t="n">
        <f aca="false">AV1114*G1114</f>
        <v>932.32</v>
      </c>
      <c r="AZ1114" s="57" t="n">
        <f aca="false">ROUNDUP(MAX(J1114/IF(BZ1114&gt;0,BZ1114,MAX(0.1,N(Cockpit!$O$6))),CC1114)/BS1114,0)*BS1114</f>
        <v>8</v>
      </c>
      <c r="BA1114" s="58" t="n">
        <f aca="false">IF(AX1114&gt;0,J1114/AX1114,-1)</f>
        <v>0</v>
      </c>
      <c r="BB1114" s="58" t="n">
        <f aca="false">IF(AND(OR(BY1114="L1",BY1114="L23"),AX1114&gt;0),SUMIFS($AX$7:$AX$1843,$BY$7:$BY$1843,BY1114,$BA$7:$BA$1843,"&gt;"&amp;BA1114)+SUMIFS($AX$7:$AX$1843,$BY$7:$BY$1843,BY1114,$BA$7:$BA$1843,BA1114,$BQ$7:$BQ$1843,"&lt;="&amp;BQ1114),"")</f>
        <v>111.865849126719</v>
      </c>
      <c r="BC1114" s="65" t="n">
        <f aca="false">IF(BB1114="",0,MAX(0,MIN(1,(IF(BY1114="L1",Parameter!$E$5,Parameter!$E$6+Parameter!$E$7)-(BB1114-AX1114))/AX1114)))</f>
        <v>0</v>
      </c>
      <c r="BD1114" s="55" t="str">
        <f aca="false">IF(AH1114&lt;=0,"",IF(BY1114="Aussen","Aussenlager",IF(BY1114="-","Nicht im Lift",IF(AM1114&gt;=1,"Lift",IF(AM1114&lt;=0,"Aussenlager","teilweise")))))</f>
        <v>Lift</v>
      </c>
      <c r="BE1114" s="55" t="str">
        <f aca="false">IF(AP1114&lt;=0,"",IF(BY1114="Aussen","Aussenlager",IF(BY1114="-","Nicht im Lift",IF(AU1114&gt;=1,"Lift",IF(AU1114&lt;=0,"Aussenlager","teilweise")))))</f>
        <v>Aussenlager</v>
      </c>
      <c r="BF1114" s="55" t="str">
        <f aca="false">IF(AX1114&lt;=0,"",IF(BY1114="Aussen","Aussenlager",IF(BY1114="-","Nicht im Lift",IF(BC1114&gt;=1,"Lift",IF(BC1114&lt;=0,"Aussenlager","teilweise")))))</f>
        <v>Aussenlager</v>
      </c>
      <c r="BG1114" s="55" t="str">
        <f aca="false">IF(A1114="","",IF(BP1114=1,"Neu; ","")&amp;IF(AND(BP1114=0,BK1114&lt;0),"negativer Bestand (Export "&amp;BK1114&amp;"); ","")&amp;IF(J1114&lt;=0,"Kein Verbrauch; ","")&amp;IF(CH1114&gt;0,"Lift "&amp;W1114&amp;" lt. Liftbericht (Fach "&amp;X1114&amp;" Stk); ",IF(BU1114=1,"Gebinde geschätzt ("&amp;T1114&amp;"); ",IF(BT1114=1,"Lose – Tablare geschätzt; ","")))&amp;IF(H1114&gt;AR1114,"Überbestand "&amp;ROUND(H1114-AR1114,0)&amp;" Stk / CHF "&amp;ROUND((H1114-AR1114)*G1114,0)&amp;"; ","")&amp;IF(AND(CA1114=1,CB1114&lt;CC1114),"MAX &lt; MB+LG; ","")&amp;IF(AND(CG1114&gt;0,CF1114*10&gt;CG1114),"zu hoch für Tablar; ","")&amp;IF(AND(BP1114=0,OR(CA1114=1,AA1114&lt;&gt;"",U1114&lt;&gt;"",V1114&lt;&gt;"",AB1114&lt;&gt;"")),"manuell übersteuert; ","")&amp;IF(AND(BT1114=0,R1114=0),"Gebinde unbekannt / Stellmass fehlt; ","")&amp;IF(AND(BT1114=0,N(V1114)&lt;=0,N(Q1114)&lt;=0),"Menge pro Gebinde fehlt (Ist = 1 Gebinde); ","")&amp;BO1114)</f>
        <v>negativer Bestand (Export -2); Kein Verbrauch; Verb.Lager</v>
      </c>
      <c r="BH1114" s="55"/>
      <c r="BI1114" s="55"/>
      <c r="BJ1114" s="62"/>
      <c r="BK1114" s="57" t="n">
        <v>-2</v>
      </c>
      <c r="BL1114" s="57" t="n">
        <v>10</v>
      </c>
      <c r="BM1114" s="56" t="n">
        <v>-233.08</v>
      </c>
      <c r="BN1114" s="57" t="n">
        <v>0</v>
      </c>
      <c r="BO1114" s="55" t="s">
        <v>1030</v>
      </c>
      <c r="BP1114" s="60" t="n">
        <v>0</v>
      </c>
      <c r="BQ1114" s="60" t="n">
        <v>1114</v>
      </c>
      <c r="BR1114" s="55" t="str">
        <f aca="false">IF(U1114&lt;&gt;"",UPPER(TRIM(U1114)),IF(BU1114=1,UPPER(VLOOKUP(T1114,Parameter!$I$27:$K$29,2,0)),IF(P1114="","LOSE",P1114)))</f>
        <v>S51</v>
      </c>
      <c r="BS1114" s="57" t="n">
        <f aca="false">IF(BR1114="LOSE",1,IF(N(V1114)&gt;0,V1114,IF(BU1114=1,MAX(1,N(VLOOKUP(T1114,Parameter!$I$27:$K$29,3,0)),H1114,N(N1114)),IF(N(Q1114)&gt;0,Q1114,MAX(1,H1114)))))</f>
        <v>8</v>
      </c>
      <c r="BT1114" s="60" t="n">
        <f aca="false">IF(BR1114="LOSE",1,0)</f>
        <v>0</v>
      </c>
      <c r="BU1114" s="60" t="n">
        <f aca="false">IF(AND(U1114="",OR(P1114="",P1114="LOSE"),T1114&lt;&gt;"",N(S1114)&lt;=0,ISNUMBER(MATCH(T1114,Parameter!$I$27:$I$29,0))),1,0)</f>
        <v>0</v>
      </c>
      <c r="BV1114" s="55" t="str">
        <f aca="false">IF(AND(Parameter!$B$19="Ja",E1114&lt;&gt;"",ISNUMBER(MATCH(E1114,Parameter!$I$35:$I$52,0))),VLOOKUP(E1114,Parameter!$I$35:$J$52,2,0),IFERROR(VLOOKUP(D1114,Parameter!$A$35:$C$64,2,0),"Nein"))</f>
        <v>2+3</v>
      </c>
      <c r="BW1114" s="59" t="n">
        <f aca="false">IF(BT1114=0,0,IF(N(S1114)&gt;0,S1114,IFERROR(VLOOKUP(D1114,Parameter!$A$35:$C$64,3,0)+0,0)))</f>
        <v>0</v>
      </c>
      <c r="BX1114" s="55" t="n">
        <f aca="false">IF(AA1114&lt;&gt;"",AA1114,Z1114)</f>
        <v>3</v>
      </c>
      <c r="BY1114" s="55" t="str">
        <f aca="false">IF(BX1114=1,"L1",IF(OR(BX1114=2,BX1114=3),"L23",IF(BX1114="Aussen","Aussen","-")))</f>
        <v>L23</v>
      </c>
      <c r="BZ1114" s="66" t="n">
        <f aca="false">IF(N(AB1114)&gt;0,AB1114,0)</f>
        <v>0</v>
      </c>
      <c r="CA1114" s="60" t="n">
        <f aca="false">IF(ISNUMBER(AE1114),1,0)</f>
        <v>0</v>
      </c>
      <c r="CB1114" s="57" t="n">
        <f aca="false">N(AE1114)</f>
        <v>0</v>
      </c>
      <c r="CC1114" s="57" t="n">
        <f aca="false">N(M1114)+N(N1114)</f>
        <v>1</v>
      </c>
      <c r="CD1114" s="57" t="n">
        <f aca="false">ROUNDUP(H1114/BS1114,0)</f>
        <v>1</v>
      </c>
      <c r="CE1114" s="57" t="n">
        <f aca="false">ROUNDUP(CB1114/BS1114,0)</f>
        <v>0</v>
      </c>
      <c r="CF1114" s="60" t="n">
        <f aca="false">IF(BT1114=1,0,IFERROR(VLOOKUP(BR1114,'Gebinde-Kategorie'!$A$5:$M$45,5,0)+0,0))</f>
        <v>11</v>
      </c>
      <c r="CG1114" s="60" t="n">
        <f aca="false">IFERROR(IF(OR(BX1114=1,BX1114=2,BX1114=3),N(INDEX(Parameter!$I$5:$I$7,BX1114)),0),0)</f>
        <v>0</v>
      </c>
      <c r="CH1114" s="59" t="n">
        <f aca="false">IF(AND(Parameter!$B$21="Ja",ISNUMBER(W1114),N(X1114)&gt;0),IFERROR(N(INDEX(Parameter!$L$5:$L$7,W1114))*INDEX(Parameter!$E$5:$E$7,W1114)*X1114/SUMIFS($X$7:$X$1843,$W$7:$W$1843,W1114),0),0)</f>
        <v>0</v>
      </c>
    </row>
    <row r="1115" customFormat="false" ht="15" hidden="false" customHeight="false" outlineLevel="0" collapsed="false">
      <c r="A1115" s="55" t="s">
        <v>2023</v>
      </c>
      <c r="B1115" s="55" t="s">
        <v>2024</v>
      </c>
      <c r="C1115" s="55" t="s">
        <v>164</v>
      </c>
      <c r="D1115" s="55" t="s">
        <v>173</v>
      </c>
      <c r="E1115" s="55"/>
      <c r="F1115" s="55" t="s">
        <v>218</v>
      </c>
      <c r="G1115" s="56" t="n">
        <v>12.3</v>
      </c>
      <c r="H1115" s="57" t="n">
        <f aca="false">MAX(0,IF(AND(Parameter!$B$21="Ja",ISNUMBER(Y1115)),Y1115,IF(Parameter!$B$20="Jahresanfang 2025 + Export",BL1115+BK1115,BK1115)))</f>
        <v>0</v>
      </c>
      <c r="I1115" s="57" t="n">
        <f aca="false">H1115*G1115</f>
        <v>0</v>
      </c>
      <c r="J1115" s="57" t="n">
        <f aca="false">BN1115*Parameter!$B$18</f>
        <v>0</v>
      </c>
      <c r="K1115" s="58" t="n">
        <v>9.5</v>
      </c>
      <c r="L1115" s="59" t="n">
        <v>0</v>
      </c>
      <c r="M1115" s="57" t="n">
        <v>0</v>
      </c>
      <c r="N1115" s="57" t="n">
        <v>1</v>
      </c>
      <c r="O1115" s="60" t="n">
        <v>42</v>
      </c>
      <c r="P1115" s="55" t="s">
        <v>168</v>
      </c>
      <c r="Q1115" s="57"/>
      <c r="R1115" s="60" t="n">
        <f aca="false">IF(BT1115=1,0,IFERROR(VLOOKUP(BR1115,'Gebinde-Kategorie'!$A$5:$M$45,13,0)+0,0))</f>
        <v>3</v>
      </c>
      <c r="S1115" s="61"/>
      <c r="T1115" s="62" t="s">
        <v>189</v>
      </c>
      <c r="U1115" s="62"/>
      <c r="V1115" s="62"/>
      <c r="W1115" s="55"/>
      <c r="X1115" s="57"/>
      <c r="Y1115" s="57"/>
      <c r="Z1115" s="55" t="n">
        <f aca="false">IF(A1115="","",IF(AND(Parameter!$B$21="Ja",ISNUMBER(W1115)),W1115,IF(BV1115="2+3",IF(ISNUMBER(SEARCH("grosser Artikel",BO1115)),2,IFERROR(VLOOKUP(BR1115,Parameter!$F$35:$G$64,2,0),2)),IF(OR(BV1115="Nein",BV1115=""),"-",BV1115))))</f>
        <v>2</v>
      </c>
      <c r="AA1115" s="62"/>
      <c r="AB1115" s="63"/>
      <c r="AC1115" s="57" t="n">
        <f aca="false">AR1115</f>
        <v>2</v>
      </c>
      <c r="AD1115" s="57" t="n">
        <f aca="false">MAX(AR1115,H1115)</f>
        <v>2</v>
      </c>
      <c r="AE1115" s="64"/>
      <c r="AF1115" s="57" t="n">
        <f aca="false">IF(LEFT(Cockpit!$C$5,1)="A",H1115,IF(CA1115=1,CB1115,IF(LEFT(Cockpit!$C$5,1)="B",AJ1115,MAX(AJ1115,H1115))))</f>
        <v>0</v>
      </c>
      <c r="AG1115" s="57" t="n">
        <f aca="false">IF(BT1115=1,0,ROUNDUP(AF1115/BS1115,0))</f>
        <v>0</v>
      </c>
      <c r="AH1115" s="59" t="n">
        <f aca="false">IF(CH1115&gt;0,CH1115*MAX(1,AF1115/X1115),IF(BT1115=1,IF(AF1115&lt;=0,0,BW1115*MAX(1,IF(H1115&gt;0,AF1115/H1115,1))),IF(R1115&gt;0,AG1115/R1115,0))/MAX(0.1,N(Parameter!$M$21)))</f>
        <v>0</v>
      </c>
      <c r="AI1115" s="57" t="n">
        <f aca="false">AF1115*G1115</f>
        <v>0</v>
      </c>
      <c r="AJ1115" s="57" t="n">
        <f aca="false">ROUNDUP(MAX(J1115/IF(BZ1115&gt;0,BZ1115,MAX(0.1,N(Cockpit!$C$6))),CC1115)/BS1115,0)*BS1115</f>
        <v>2</v>
      </c>
      <c r="AK1115" s="58" t="n">
        <f aca="false">IF(AH1115&gt;0,J1115/AH1115,-1)</f>
        <v>-1</v>
      </c>
      <c r="AL1115" s="58" t="str">
        <f aca="false">IF(AND(OR(BY1115="L1",BY1115="L23"),AH1115&gt;0),SUMIFS($AH$7:$AH$1843,$BY$7:$BY$1843,BY1115,$AK$7:$AK$1843,"&gt;"&amp;AK1115)+SUMIFS($AH$7:$AH$1843,$BY$7:$BY$1843,BY1115,$AK$7:$AK$1843,AK1115,$BQ$7:$BQ$1843,"&lt;="&amp;BQ1115),"")</f>
        <v/>
      </c>
      <c r="AM1115" s="65" t="n">
        <f aca="false">IF(AL1115="",0,MAX(0,MIN(1,(IF(BY1115="L1",Parameter!$E$5,Parameter!$E$6+Parameter!$E$7)-(AL1115-AH1115))/AH1115)))</f>
        <v>0</v>
      </c>
      <c r="AN1115" s="57" t="n">
        <f aca="false">IF(LEFT(Cockpit!$I$5,1)="A",H1115,IF(CA1115=1,CB1115,IF(LEFT(Cockpit!$I$5,1)="B",AR1115,MAX(AR1115,H1115))))</f>
        <v>2</v>
      </c>
      <c r="AO1115" s="57" t="n">
        <f aca="false">IF(BT1115=1,0,ROUNDUP(AN1115/BS1115,0))</f>
        <v>1</v>
      </c>
      <c r="AP1115" s="59" t="n">
        <f aca="false">IF(CH1115&gt;0,CH1115*MAX(1,AN1115/X1115),IF(BT1115=1,IF(AN1115&lt;=0,0,BW1115*MAX(1,IF(H1115&gt;0,AN1115/H1115,1))),IF(R1115&gt;0,AO1115/R1115,0))/MAX(0.1,N(Parameter!$M$21)))</f>
        <v>0.333333333333333</v>
      </c>
      <c r="AQ1115" s="57" t="n">
        <f aca="false">AN1115*G1115</f>
        <v>24.6</v>
      </c>
      <c r="AR1115" s="57" t="n">
        <f aca="false">ROUNDUP(MAX(J1115/IF(BZ1115&gt;0,BZ1115,MAX(0.1,N(Cockpit!$I$6))),CC1115)/BS1115,0)*BS1115</f>
        <v>2</v>
      </c>
      <c r="AS1115" s="58" t="n">
        <f aca="false">IF(AP1115&gt;0,J1115/AP1115,-1)</f>
        <v>0</v>
      </c>
      <c r="AT1115" s="58" t="n">
        <f aca="false">IF(AND(OR(BY1115="L1",BY1115="L23"),AP1115&gt;0),SUMIFS($AP$7:$AP$1843,$BY$7:$BY$1843,BY1115,$AS$7:$AS$1843,"&gt;"&amp;AS1115)+SUMIFS($AP$7:$AP$1843,$BY$7:$BY$1843,BY1115,$AS$7:$AS$1843,AS1115,$BQ$7:$BQ$1843,"&lt;="&amp;BQ1115),"")</f>
        <v>121.369345630215</v>
      </c>
      <c r="AU1115" s="65" t="n">
        <f aca="false">IF(AT1115="",0,MAX(0,MIN(1,(IF(BY1115="L1",Parameter!$E$5,Parameter!$E$6+Parameter!$E$7)-(AT1115-AP1115))/AP1115)))</f>
        <v>0</v>
      </c>
      <c r="AV1115" s="57" t="n">
        <f aca="false">IF(LEFT(Cockpit!$O$5,1)="A",H1115,IF(CA1115=1,CB1115,IF(LEFT(Cockpit!$O$5,1)="B",AZ1115,MAX(AZ1115,H1115))))</f>
        <v>2</v>
      </c>
      <c r="AW1115" s="57" t="n">
        <f aca="false">IF(BT1115=1,0,ROUNDUP(AV1115/BS1115,0))</f>
        <v>1</v>
      </c>
      <c r="AX1115" s="59" t="n">
        <f aca="false">IF(CH1115&gt;0,CH1115*MAX(1,AV1115/X1115),IF(BT1115=1,IF(AV1115&lt;=0,0,BW1115*MAX(1,IF(H1115&gt;0,AV1115/H1115,1))),IF(R1115&gt;0,AW1115/R1115,0))/MAX(0.1,N(Parameter!$M$21)))</f>
        <v>0.333333333333333</v>
      </c>
      <c r="AY1115" s="57" t="n">
        <f aca="false">AV1115*G1115</f>
        <v>24.6</v>
      </c>
      <c r="AZ1115" s="57" t="n">
        <f aca="false">ROUNDUP(MAX(J1115/IF(BZ1115&gt;0,BZ1115,MAX(0.1,N(Cockpit!$O$6))),CC1115)/BS1115,0)*BS1115</f>
        <v>2</v>
      </c>
      <c r="BA1115" s="58" t="n">
        <f aca="false">IF(AX1115&gt;0,J1115/AX1115,-1)</f>
        <v>0</v>
      </c>
      <c r="BB1115" s="58" t="n">
        <f aca="false">IF(AND(OR(BY1115="L1",BY1115="L23"),AX1115&gt;0),SUMIFS($AX$7:$AX$1843,$BY$7:$BY$1843,BY1115,$BA$7:$BA$1843,"&gt;"&amp;BA1115)+SUMIFS($AX$7:$AX$1843,$BY$7:$BY$1843,BY1115,$BA$7:$BA$1843,BA1115,$BQ$7:$BQ$1843,"&lt;="&amp;BQ1115),"")</f>
        <v>112.199182460052</v>
      </c>
      <c r="BC1115" s="65" t="n">
        <f aca="false">IF(BB1115="",0,MAX(0,MIN(1,(IF(BY1115="L1",Parameter!$E$5,Parameter!$E$6+Parameter!$E$7)-(BB1115-AX1115))/AX1115)))</f>
        <v>0</v>
      </c>
      <c r="BD1115" s="55" t="str">
        <f aca="false">IF(AH1115&lt;=0,"",IF(BY1115="Aussen","Aussenlager",IF(BY1115="-","Nicht im Lift",IF(AM1115&gt;=1,"Lift",IF(AM1115&lt;=0,"Aussenlager","teilweise")))))</f>
        <v/>
      </c>
      <c r="BE1115" s="55" t="str">
        <f aca="false">IF(AP1115&lt;=0,"",IF(BY1115="Aussen","Aussenlager",IF(BY1115="-","Nicht im Lift",IF(AU1115&gt;=1,"Lift",IF(AU1115&lt;=0,"Aussenlager","teilweise")))))</f>
        <v>Aussenlager</v>
      </c>
      <c r="BF1115" s="55" t="str">
        <f aca="false">IF(AX1115&lt;=0,"",IF(BY1115="Aussen","Aussenlager",IF(BY1115="-","Nicht im Lift",IF(BC1115&gt;=1,"Lift",IF(BC1115&lt;=0,"Aussenlager","teilweise")))))</f>
        <v>Aussenlager</v>
      </c>
      <c r="BG1115" s="55" t="str">
        <f aca="false">IF(A1115="","",IF(BP1115=1,"Neu; ","")&amp;IF(AND(BP1115=0,BK1115&lt;0),"negativer Bestand (Export "&amp;BK1115&amp;"); ","")&amp;IF(J1115&lt;=0,"Kein Verbrauch; ","")&amp;IF(CH1115&gt;0,"Lift "&amp;W1115&amp;" lt. Liftbericht (Fach "&amp;X1115&amp;" Stk); ",IF(BU1115=1,"Gebinde geschätzt ("&amp;T1115&amp;"); ",IF(BT1115=1,"Lose – Tablare geschätzt; ","")))&amp;IF(H1115&gt;AR1115,"Überbestand "&amp;ROUND(H1115-AR1115,0)&amp;" Stk / CHF "&amp;ROUND((H1115-AR1115)*G1115,0)&amp;"; ","")&amp;IF(AND(CA1115=1,CB1115&lt;CC1115),"MAX &lt; MB+LG; ","")&amp;IF(AND(CG1115&gt;0,CF1115*10&gt;CG1115),"zu hoch für Tablar; ","")&amp;IF(AND(BP1115=0,OR(CA1115=1,AA1115&lt;&gt;"",U1115&lt;&gt;"",V1115&lt;&gt;"",AB1115&lt;&gt;"")),"manuell übersteuert; ","")&amp;IF(AND(BT1115=0,R1115=0),"Gebinde unbekannt / Stellmass fehlt; ","")&amp;IF(AND(BT1115=0,N(V1115)&lt;=0,N(Q1115)&lt;=0),"Menge pro Gebinde fehlt (Ist = 1 Gebinde); ","")&amp;BO1115)</f>
        <v>negativer Bestand (Export -19); Kein Verbrauch; Gebinde geschätzt (Gross); Menge pro Gebinde fehlt (Ist = 1 Gebinde); </v>
      </c>
      <c r="BH1115" s="55"/>
      <c r="BI1115" s="55"/>
      <c r="BJ1115" s="62"/>
      <c r="BK1115" s="57" t="n">
        <v>-19</v>
      </c>
      <c r="BL1115" s="57" t="n">
        <v>19</v>
      </c>
      <c r="BM1115" s="56" t="n">
        <v>-233.7</v>
      </c>
      <c r="BN1115" s="57" t="n">
        <v>0</v>
      </c>
      <c r="BO1115" s="55"/>
      <c r="BP1115" s="60" t="n">
        <v>0</v>
      </c>
      <c r="BQ1115" s="60" t="n">
        <v>1115</v>
      </c>
      <c r="BR1115" s="55" t="str">
        <f aca="false">IF(U1115&lt;&gt;"",UPPER(TRIM(U1115)),IF(BU1115=1,UPPER(VLOOKUP(T1115,Parameter!$I$27:$K$29,2,0)),IF(P1115="","LOSE",P1115)))</f>
        <v>S81</v>
      </c>
      <c r="BS1115" s="57" t="n">
        <f aca="false">IF(BR1115="LOSE",1,IF(N(V1115)&gt;0,V1115,IF(BU1115=1,MAX(1,N(VLOOKUP(T1115,Parameter!$I$27:$K$29,3,0)),H1115,N(N1115)),IF(N(Q1115)&gt;0,Q1115,MAX(1,H1115)))))</f>
        <v>2</v>
      </c>
      <c r="BT1115" s="60" t="n">
        <f aca="false">IF(BR1115="LOSE",1,0)</f>
        <v>0</v>
      </c>
      <c r="BU1115" s="60" t="n">
        <f aca="false">IF(AND(U1115="",OR(P1115="",P1115="LOSE"),T1115&lt;&gt;"",N(S1115)&lt;=0,ISNUMBER(MATCH(T1115,Parameter!$I$27:$I$29,0))),1,0)</f>
        <v>1</v>
      </c>
      <c r="BV1115" s="55" t="str">
        <f aca="false">IF(AND(Parameter!$B$19="Ja",E1115&lt;&gt;"",ISNUMBER(MATCH(E1115,Parameter!$I$35:$I$52,0))),VLOOKUP(E1115,Parameter!$I$35:$J$52,2,0),IFERROR(VLOOKUP(D1115,Parameter!$A$35:$C$64,2,0),"Nein"))</f>
        <v>2+3</v>
      </c>
      <c r="BW1115" s="59" t="n">
        <f aca="false">IF(BT1115=0,0,IF(N(S1115)&gt;0,S1115,IFERROR(VLOOKUP(D1115,Parameter!$A$35:$C$64,3,0)+0,0)))</f>
        <v>0</v>
      </c>
      <c r="BX1115" s="55" t="n">
        <f aca="false">IF(AA1115&lt;&gt;"",AA1115,Z1115)</f>
        <v>2</v>
      </c>
      <c r="BY1115" s="55" t="str">
        <f aca="false">IF(BX1115=1,"L1",IF(OR(BX1115=2,BX1115=3),"L23",IF(BX1115="Aussen","Aussen","-")))</f>
        <v>L23</v>
      </c>
      <c r="BZ1115" s="66" t="n">
        <f aca="false">IF(N(AB1115)&gt;0,AB1115,0)</f>
        <v>0</v>
      </c>
      <c r="CA1115" s="60" t="n">
        <f aca="false">IF(ISNUMBER(AE1115),1,0)</f>
        <v>0</v>
      </c>
      <c r="CB1115" s="57" t="n">
        <f aca="false">N(AE1115)</f>
        <v>0</v>
      </c>
      <c r="CC1115" s="57" t="n">
        <f aca="false">N(M1115)+N(N1115)</f>
        <v>1</v>
      </c>
      <c r="CD1115" s="57" t="n">
        <f aca="false">ROUNDUP(H1115/BS1115,0)</f>
        <v>0</v>
      </c>
      <c r="CE1115" s="57" t="n">
        <f aca="false">ROUNDUP(CB1115/BS1115,0)</f>
        <v>0</v>
      </c>
      <c r="CF1115" s="60" t="n">
        <f aca="false">IF(BT1115=1,0,IFERROR(VLOOKUP(BR1115,'Gebinde-Kategorie'!$A$5:$M$45,5,0)+0,0))</f>
        <v>20</v>
      </c>
      <c r="CG1115" s="60" t="n">
        <f aca="false">IFERROR(IF(OR(BX1115=1,BX1115=2,BX1115=3),N(INDEX(Parameter!$I$5:$I$7,BX1115)),0),0)</f>
        <v>0</v>
      </c>
      <c r="CH1115" s="59" t="n">
        <f aca="false">IF(AND(Parameter!$B$21="Ja",ISNUMBER(W1115),N(X1115)&gt;0),IFERROR(N(INDEX(Parameter!$L$5:$L$7,W1115))*INDEX(Parameter!$E$5:$E$7,W1115)*X1115/SUMIFS($X$7:$X$1843,$W$7:$W$1843,W1115),0),0)</f>
        <v>0</v>
      </c>
    </row>
    <row r="1116" customFormat="false" ht="15" hidden="false" customHeight="false" outlineLevel="0" collapsed="false">
      <c r="A1116" s="55" t="s">
        <v>2025</v>
      </c>
      <c r="B1116" s="55" t="s">
        <v>2026</v>
      </c>
      <c r="C1116" s="55" t="s">
        <v>164</v>
      </c>
      <c r="D1116" s="55" t="s">
        <v>173</v>
      </c>
      <c r="E1116" s="55" t="s">
        <v>465</v>
      </c>
      <c r="F1116" s="55" t="s">
        <v>218</v>
      </c>
      <c r="G1116" s="56" t="n">
        <v>46.91</v>
      </c>
      <c r="H1116" s="57" t="n">
        <f aca="false">MAX(0,IF(AND(Parameter!$B$21="Ja",ISNUMBER(Y1116)),Y1116,IF(Parameter!$B$20="Jahresanfang 2025 + Export",BL1116+BK1116,BK1116)))</f>
        <v>38</v>
      </c>
      <c r="I1116" s="57" t="n">
        <f aca="false">H1116*G1116</f>
        <v>1782.58</v>
      </c>
      <c r="J1116" s="57" t="n">
        <f aca="false">BN1116*Parameter!$B$18</f>
        <v>4</v>
      </c>
      <c r="K1116" s="58" t="n">
        <v>40.5</v>
      </c>
      <c r="L1116" s="59" t="n">
        <v>0.0987654320987654</v>
      </c>
      <c r="M1116" s="57" t="n">
        <v>0</v>
      </c>
      <c r="N1116" s="57" t="n">
        <v>5</v>
      </c>
      <c r="O1116" s="60" t="n">
        <v>21</v>
      </c>
      <c r="P1116" s="55" t="s">
        <v>168</v>
      </c>
      <c r="Q1116" s="57"/>
      <c r="R1116" s="60" t="n">
        <f aca="false">IF(BT1116=1,0,IFERROR(VLOOKUP(BR1116,'Gebinde-Kategorie'!$A$5:$M$45,13,0)+0,0))</f>
        <v>12</v>
      </c>
      <c r="S1116" s="61"/>
      <c r="T1116" s="62" t="s">
        <v>179</v>
      </c>
      <c r="U1116" s="62"/>
      <c r="V1116" s="62"/>
      <c r="W1116" s="55"/>
      <c r="X1116" s="57"/>
      <c r="Y1116" s="57"/>
      <c r="Z1116" s="55" t="str">
        <f aca="false">IF(A1116="","",IF(AND(Parameter!$B$21="Ja",ISNUMBER(W1116)),W1116,IF(BV1116="2+3",IF(ISNUMBER(SEARCH("grosser Artikel",BO1116)),2,IFERROR(VLOOKUP(BR1116,Parameter!$F$35:$G$64,2,0),2)),IF(OR(BV1116="Nein",BV1116=""),"-",BV1116))))</f>
        <v>-</v>
      </c>
      <c r="AA1116" s="62"/>
      <c r="AB1116" s="63"/>
      <c r="AC1116" s="57" t="n">
        <f aca="false">AR1116</f>
        <v>38</v>
      </c>
      <c r="AD1116" s="57" t="n">
        <f aca="false">MAX(AR1116,H1116)</f>
        <v>38</v>
      </c>
      <c r="AE1116" s="64"/>
      <c r="AF1116" s="57" t="n">
        <f aca="false">IF(LEFT(Cockpit!$C$5,1)="A",H1116,IF(CA1116=1,CB1116,IF(LEFT(Cockpit!$C$5,1)="B",AJ1116,MAX(AJ1116,H1116))))</f>
        <v>38</v>
      </c>
      <c r="AG1116" s="57" t="n">
        <f aca="false">IF(BT1116=1,0,ROUNDUP(AF1116/BS1116,0))</f>
        <v>1</v>
      </c>
      <c r="AH1116" s="59" t="n">
        <f aca="false">IF(CH1116&gt;0,CH1116*MAX(1,AF1116/X1116),IF(BT1116=1,IF(AF1116&lt;=0,0,BW1116*MAX(1,IF(H1116&gt;0,AF1116/H1116,1))),IF(R1116&gt;0,AG1116/R1116,0))/MAX(0.1,N(Parameter!$M$21)))</f>
        <v>0.0833333333333333</v>
      </c>
      <c r="AI1116" s="57" t="n">
        <f aca="false">AF1116*G1116</f>
        <v>1782.58</v>
      </c>
      <c r="AJ1116" s="57" t="n">
        <f aca="false">ROUNDUP(MAX(J1116/IF(BZ1116&gt;0,BZ1116,MAX(0.1,N(Cockpit!$C$6))),CC1116)/BS1116,0)*BS1116</f>
        <v>38</v>
      </c>
      <c r="AK1116" s="58" t="n">
        <f aca="false">IF(AH1116&gt;0,J1116/AH1116,-1)</f>
        <v>48</v>
      </c>
      <c r="AL1116" s="58" t="str">
        <f aca="false">IF(AND(OR(BY1116="L1",BY1116="L23"),AH1116&gt;0),SUMIFS($AH$7:$AH$1843,$BY$7:$BY$1843,BY1116,$AK$7:$AK$1843,"&gt;"&amp;AK1116)+SUMIFS($AH$7:$AH$1843,$BY$7:$BY$1843,BY1116,$AK$7:$AK$1843,AK1116,$BQ$7:$BQ$1843,"&lt;="&amp;BQ1116),"")</f>
        <v/>
      </c>
      <c r="AM1116" s="65" t="n">
        <f aca="false">IF(AL1116="",0,MAX(0,MIN(1,(IF(BY1116="L1",Parameter!$E$5,Parameter!$E$6+Parameter!$E$7)-(AL1116-AH1116))/AH1116)))</f>
        <v>0</v>
      </c>
      <c r="AN1116" s="57" t="n">
        <f aca="false">IF(LEFT(Cockpit!$I$5,1)="A",H1116,IF(CA1116=1,CB1116,IF(LEFT(Cockpit!$I$5,1)="B",AR1116,MAX(AR1116,H1116))))</f>
        <v>38</v>
      </c>
      <c r="AO1116" s="57" t="n">
        <f aca="false">IF(BT1116=1,0,ROUNDUP(AN1116/BS1116,0))</f>
        <v>1</v>
      </c>
      <c r="AP1116" s="59" t="n">
        <f aca="false">IF(CH1116&gt;0,CH1116*MAX(1,AN1116/X1116),IF(BT1116=1,IF(AN1116&lt;=0,0,BW1116*MAX(1,IF(H1116&gt;0,AN1116/H1116,1))),IF(R1116&gt;0,AO1116/R1116,0))/MAX(0.1,N(Parameter!$M$21)))</f>
        <v>0.0833333333333333</v>
      </c>
      <c r="AQ1116" s="57" t="n">
        <f aca="false">AN1116*G1116</f>
        <v>1782.58</v>
      </c>
      <c r="AR1116" s="57" t="n">
        <f aca="false">ROUNDUP(MAX(J1116/IF(BZ1116&gt;0,BZ1116,MAX(0.1,N(Cockpit!$I$6))),CC1116)/BS1116,0)*BS1116</f>
        <v>38</v>
      </c>
      <c r="AS1116" s="58" t="n">
        <f aca="false">IF(AP1116&gt;0,J1116/AP1116,-1)</f>
        <v>48</v>
      </c>
      <c r="AT1116" s="58" t="str">
        <f aca="false">IF(AND(OR(BY1116="L1",BY1116="L23"),AP1116&gt;0),SUMIFS($AP$7:$AP$1843,$BY$7:$BY$1843,BY1116,$AS$7:$AS$1843,"&gt;"&amp;AS1116)+SUMIFS($AP$7:$AP$1843,$BY$7:$BY$1843,BY1116,$AS$7:$AS$1843,AS1116,$BQ$7:$BQ$1843,"&lt;="&amp;BQ1116),"")</f>
        <v/>
      </c>
      <c r="AU1116" s="65" t="n">
        <f aca="false">IF(AT1116="",0,MAX(0,MIN(1,(IF(BY1116="L1",Parameter!$E$5,Parameter!$E$6+Parameter!$E$7)-(AT1116-AP1116))/AP1116)))</f>
        <v>0</v>
      </c>
      <c r="AV1116" s="57" t="n">
        <f aca="false">IF(LEFT(Cockpit!$O$5,1)="A",H1116,IF(CA1116=1,CB1116,IF(LEFT(Cockpit!$O$5,1)="B",AZ1116,MAX(AZ1116,H1116))))</f>
        <v>38</v>
      </c>
      <c r="AW1116" s="57" t="n">
        <f aca="false">IF(BT1116=1,0,ROUNDUP(AV1116/BS1116,0))</f>
        <v>1</v>
      </c>
      <c r="AX1116" s="59" t="n">
        <f aca="false">IF(CH1116&gt;0,CH1116*MAX(1,AV1116/X1116),IF(BT1116=1,IF(AV1116&lt;=0,0,BW1116*MAX(1,IF(H1116&gt;0,AV1116/H1116,1))),IF(R1116&gt;0,AW1116/R1116,0))/MAX(0.1,N(Parameter!$M$21)))</f>
        <v>0.0833333333333333</v>
      </c>
      <c r="AY1116" s="57" t="n">
        <f aca="false">AV1116*G1116</f>
        <v>1782.58</v>
      </c>
      <c r="AZ1116" s="57" t="n">
        <f aca="false">ROUNDUP(MAX(J1116/IF(BZ1116&gt;0,BZ1116,MAX(0.1,N(Cockpit!$O$6))),CC1116)/BS1116,0)*BS1116</f>
        <v>38</v>
      </c>
      <c r="BA1116" s="58" t="n">
        <f aca="false">IF(AX1116&gt;0,J1116/AX1116,-1)</f>
        <v>48</v>
      </c>
      <c r="BB1116" s="58" t="str">
        <f aca="false">IF(AND(OR(BY1116="L1",BY1116="L23"),AX1116&gt;0),SUMIFS($AX$7:$AX$1843,$BY$7:$BY$1843,BY1116,$BA$7:$BA$1843,"&gt;"&amp;BA1116)+SUMIFS($AX$7:$AX$1843,$BY$7:$BY$1843,BY1116,$BA$7:$BA$1843,BA1116,$BQ$7:$BQ$1843,"&lt;="&amp;BQ1116),"")</f>
        <v/>
      </c>
      <c r="BC1116" s="65" t="n">
        <f aca="false">IF(BB1116="",0,MAX(0,MIN(1,(IF(BY1116="L1",Parameter!$E$5,Parameter!$E$6+Parameter!$E$7)-(BB1116-AX1116))/AX1116)))</f>
        <v>0</v>
      </c>
      <c r="BD1116" s="55" t="str">
        <f aca="false">IF(AH1116&lt;=0,"",IF(BY1116="Aussen","Aussenlager",IF(BY1116="-","Nicht im Lift",IF(AM1116&gt;=1,"Lift",IF(AM1116&lt;=0,"Aussenlager","teilweise")))))</f>
        <v>Nicht im Lift</v>
      </c>
      <c r="BE1116" s="55" t="str">
        <f aca="false">IF(AP1116&lt;=0,"",IF(BY1116="Aussen","Aussenlager",IF(BY1116="-","Nicht im Lift",IF(AU1116&gt;=1,"Lift",IF(AU1116&lt;=0,"Aussenlager","teilweise")))))</f>
        <v>Nicht im Lift</v>
      </c>
      <c r="BF1116" s="55" t="str">
        <f aca="false">IF(AX1116&lt;=0,"",IF(BY1116="Aussen","Aussenlager",IF(BY1116="-","Nicht im Lift",IF(BC1116&gt;=1,"Lift",IF(BC1116&lt;=0,"Aussenlager","teilweise")))))</f>
        <v>Nicht im Lift</v>
      </c>
      <c r="BG1116" s="55" t="str">
        <f aca="false">IF(A1116="","",IF(BP1116=1,"Neu; ","")&amp;IF(AND(BP1116=0,BK1116&lt;0),"negativer Bestand (Export "&amp;BK1116&amp;"); ","")&amp;IF(J1116&lt;=0,"Kein Verbrauch; ","")&amp;IF(CH1116&gt;0,"Lift "&amp;W1116&amp;" lt. Liftbericht (Fach "&amp;X1116&amp;" Stk); ",IF(BU1116=1,"Gebinde geschätzt ("&amp;T1116&amp;"); ",IF(BT1116=1,"Lose – Tablare geschätzt; ","")))&amp;IF(H1116&gt;AR1116,"Überbestand "&amp;ROUND(H1116-AR1116,0)&amp;" Stk / CHF "&amp;ROUND((H1116-AR1116)*G1116,0)&amp;"; ","")&amp;IF(AND(CA1116=1,CB1116&lt;CC1116),"MAX &lt; MB+LG; ","")&amp;IF(AND(CG1116&gt;0,CF1116*10&gt;CG1116),"zu hoch für Tablar; ","")&amp;IF(AND(BP1116=0,OR(CA1116=1,AA1116&lt;&gt;"",U1116&lt;&gt;"",V1116&lt;&gt;"",AB1116&lt;&gt;"")),"manuell übersteuert; ","")&amp;IF(AND(BT1116=0,R1116=0),"Gebinde unbekannt / Stellmass fehlt; ","")&amp;IF(AND(BT1116=0,N(V1116)&lt;=0,N(Q1116)&lt;=0),"Menge pro Gebinde fehlt (Ist = 1 Gebinde); ","")&amp;BO1116)</f>
        <v>negativer Bestand (Export -5); Gebinde geschätzt (Mittel); Menge pro Gebinde fehlt (Ist = 1 Gebinde); </v>
      </c>
      <c r="BH1116" s="55"/>
      <c r="BI1116" s="55"/>
      <c r="BJ1116" s="62"/>
      <c r="BK1116" s="57" t="n">
        <v>-5</v>
      </c>
      <c r="BL1116" s="57" t="n">
        <v>43</v>
      </c>
      <c r="BM1116" s="56" t="n">
        <v>-234.55</v>
      </c>
      <c r="BN1116" s="57" t="n">
        <v>4</v>
      </c>
      <c r="BO1116" s="55"/>
      <c r="BP1116" s="60" t="n">
        <v>0</v>
      </c>
      <c r="BQ1116" s="60" t="n">
        <v>1116</v>
      </c>
      <c r="BR1116" s="55" t="str">
        <f aca="false">IF(U1116&lt;&gt;"",UPPER(TRIM(U1116)),IF(BU1116=1,UPPER(VLOOKUP(T1116,Parameter!$I$27:$K$29,2,0)),IF(P1116="","LOSE",P1116)))</f>
        <v>S61</v>
      </c>
      <c r="BS1116" s="57" t="n">
        <f aca="false">IF(BR1116="LOSE",1,IF(N(V1116)&gt;0,V1116,IF(BU1116=1,MAX(1,N(VLOOKUP(T1116,Parameter!$I$27:$K$29,3,0)),H1116,N(N1116)),IF(N(Q1116)&gt;0,Q1116,MAX(1,H1116)))))</f>
        <v>38</v>
      </c>
      <c r="BT1116" s="60" t="n">
        <f aca="false">IF(BR1116="LOSE",1,0)</f>
        <v>0</v>
      </c>
      <c r="BU1116" s="60" t="n">
        <f aca="false">IF(AND(U1116="",OR(P1116="",P1116="LOSE"),T1116&lt;&gt;"",N(S1116)&lt;=0,ISNUMBER(MATCH(T1116,Parameter!$I$27:$I$29,0))),1,0)</f>
        <v>1</v>
      </c>
      <c r="BV1116" s="55" t="str">
        <f aca="false">IF(AND(Parameter!$B$19="Ja",E1116&lt;&gt;"",ISNUMBER(MATCH(E1116,Parameter!$I$35:$I$52,0))),VLOOKUP(E1116,Parameter!$I$35:$J$52,2,0),IFERROR(VLOOKUP(D1116,Parameter!$A$35:$C$64,2,0),"Nein"))</f>
        <v>Nein</v>
      </c>
      <c r="BW1116" s="59" t="n">
        <f aca="false">IF(BT1116=0,0,IF(N(S1116)&gt;0,S1116,IFERROR(VLOOKUP(D1116,Parameter!$A$35:$C$64,3,0)+0,0)))</f>
        <v>0</v>
      </c>
      <c r="BX1116" s="55" t="str">
        <f aca="false">IF(AA1116&lt;&gt;"",AA1116,Z1116)</f>
        <v>-</v>
      </c>
      <c r="BY1116" s="55" t="str">
        <f aca="false">IF(BX1116=1,"L1",IF(OR(BX1116=2,BX1116=3),"L23",IF(BX1116="Aussen","Aussen","-")))</f>
        <v>-</v>
      </c>
      <c r="BZ1116" s="66" t="n">
        <f aca="false">IF(N(AB1116)&gt;0,AB1116,0)</f>
        <v>0</v>
      </c>
      <c r="CA1116" s="60" t="n">
        <f aca="false">IF(ISNUMBER(AE1116),1,0)</f>
        <v>0</v>
      </c>
      <c r="CB1116" s="57" t="n">
        <f aca="false">N(AE1116)</f>
        <v>0</v>
      </c>
      <c r="CC1116" s="57" t="n">
        <f aca="false">N(M1116)+N(N1116)</f>
        <v>5</v>
      </c>
      <c r="CD1116" s="57" t="n">
        <f aca="false">ROUNDUP(H1116/BS1116,0)</f>
        <v>1</v>
      </c>
      <c r="CE1116" s="57" t="n">
        <f aca="false">ROUNDUP(CB1116/BS1116,0)</f>
        <v>0</v>
      </c>
      <c r="CF1116" s="60" t="n">
        <f aca="false">IF(BT1116=1,0,IFERROR(VLOOKUP(BR1116,'Gebinde-Kategorie'!$A$5:$M$45,5,0)+0,0))</f>
        <v>11</v>
      </c>
      <c r="CG1116" s="60" t="n">
        <f aca="false">IFERROR(IF(OR(BX1116=1,BX1116=2,BX1116=3),N(INDEX(Parameter!$I$5:$I$7,BX1116)),0),0)</f>
        <v>0</v>
      </c>
      <c r="CH1116" s="59" t="n">
        <f aca="false">IF(AND(Parameter!$B$21="Ja",ISNUMBER(W1116),N(X1116)&gt;0),IFERROR(N(INDEX(Parameter!$L$5:$L$7,W1116))*INDEX(Parameter!$E$5:$E$7,W1116)*X1116/SUMIFS($X$7:$X$1843,$W$7:$W$1843,W1116),0),0)</f>
        <v>0</v>
      </c>
    </row>
    <row r="1117" customFormat="false" ht="15" hidden="false" customHeight="false" outlineLevel="0" collapsed="false">
      <c r="A1117" s="55" t="s">
        <v>2027</v>
      </c>
      <c r="B1117" s="55" t="s">
        <v>1024</v>
      </c>
      <c r="C1117" s="55" t="s">
        <v>164</v>
      </c>
      <c r="D1117" s="55" t="s">
        <v>173</v>
      </c>
      <c r="E1117" s="55" t="s">
        <v>465</v>
      </c>
      <c r="F1117" s="55" t="s">
        <v>218</v>
      </c>
      <c r="G1117" s="56" t="n">
        <v>11.8</v>
      </c>
      <c r="H1117" s="57" t="n">
        <f aca="false">MAX(0,IF(AND(Parameter!$B$21="Ja",ISNUMBER(Y1117)),Y1117,IF(Parameter!$B$20="Jahresanfang 2025 + Export",BL1117+BK1117,BK1117)))</f>
        <v>3</v>
      </c>
      <c r="I1117" s="57" t="n">
        <f aca="false">H1117*G1117</f>
        <v>35.4</v>
      </c>
      <c r="J1117" s="57" t="n">
        <f aca="false">BN1117*Parameter!$B$18</f>
        <v>141</v>
      </c>
      <c r="K1117" s="58" t="n">
        <v>15.5</v>
      </c>
      <c r="L1117" s="59" t="n">
        <v>9.09677419354839</v>
      </c>
      <c r="M1117" s="57" t="n">
        <v>10</v>
      </c>
      <c r="N1117" s="57" t="n">
        <v>15</v>
      </c>
      <c r="O1117" s="60" t="n">
        <v>21</v>
      </c>
      <c r="P1117" s="55" t="s">
        <v>168</v>
      </c>
      <c r="Q1117" s="57"/>
      <c r="R1117" s="60" t="n">
        <f aca="false">IF(BT1117=1,0,IFERROR(VLOOKUP(BR1117,'Gebinde-Kategorie'!$A$5:$M$45,13,0)+0,0))</f>
        <v>3</v>
      </c>
      <c r="S1117" s="61"/>
      <c r="T1117" s="62" t="s">
        <v>189</v>
      </c>
      <c r="U1117" s="62"/>
      <c r="V1117" s="62"/>
      <c r="W1117" s="55"/>
      <c r="X1117" s="57"/>
      <c r="Y1117" s="57"/>
      <c r="Z1117" s="55" t="str">
        <f aca="false">IF(A1117="","",IF(AND(Parameter!$B$21="Ja",ISNUMBER(W1117)),W1117,IF(BV1117="2+3",IF(ISNUMBER(SEARCH("grosser Artikel",BO1117)),2,IFERROR(VLOOKUP(BR1117,Parameter!$F$35:$G$64,2,0),2)),IF(OR(BV1117="Nein",BV1117=""),"-",BV1117))))</f>
        <v>-</v>
      </c>
      <c r="AA1117" s="62"/>
      <c r="AB1117" s="63"/>
      <c r="AC1117" s="57" t="n">
        <f aca="false">AR1117</f>
        <v>75</v>
      </c>
      <c r="AD1117" s="57" t="n">
        <f aca="false">MAX(AR1117,H1117)</f>
        <v>75</v>
      </c>
      <c r="AE1117" s="64"/>
      <c r="AF1117" s="57" t="n">
        <f aca="false">IF(LEFT(Cockpit!$C$5,1)="A",H1117,IF(CA1117=1,CB1117,IF(LEFT(Cockpit!$C$5,1)="B",AJ1117,MAX(AJ1117,H1117))))</f>
        <v>3</v>
      </c>
      <c r="AG1117" s="57" t="n">
        <f aca="false">IF(BT1117=1,0,ROUNDUP(AF1117/BS1117,0))</f>
        <v>1</v>
      </c>
      <c r="AH1117" s="59" t="n">
        <f aca="false">IF(CH1117&gt;0,CH1117*MAX(1,AF1117/X1117),IF(BT1117=1,IF(AF1117&lt;=0,0,BW1117*MAX(1,IF(H1117&gt;0,AF1117/H1117,1))),IF(R1117&gt;0,AG1117/R1117,0))/MAX(0.1,N(Parameter!$M$21)))</f>
        <v>0.333333333333333</v>
      </c>
      <c r="AI1117" s="57" t="n">
        <f aca="false">AF1117*G1117</f>
        <v>35.4</v>
      </c>
      <c r="AJ1117" s="57" t="n">
        <f aca="false">ROUNDUP(MAX(J1117/IF(BZ1117&gt;0,BZ1117,MAX(0.1,N(Cockpit!$C$6))),CC1117)/BS1117,0)*BS1117</f>
        <v>75</v>
      </c>
      <c r="AK1117" s="58" t="n">
        <f aca="false">IF(AH1117&gt;0,J1117/AH1117,-1)</f>
        <v>423</v>
      </c>
      <c r="AL1117" s="58" t="str">
        <f aca="false">IF(AND(OR(BY1117="L1",BY1117="L23"),AH1117&gt;0),SUMIFS($AH$7:$AH$1843,$BY$7:$BY$1843,BY1117,$AK$7:$AK$1843,"&gt;"&amp;AK1117)+SUMIFS($AH$7:$AH$1843,$BY$7:$BY$1843,BY1117,$AK$7:$AK$1843,AK1117,$BQ$7:$BQ$1843,"&lt;="&amp;BQ1117),"")</f>
        <v/>
      </c>
      <c r="AM1117" s="65" t="n">
        <f aca="false">IF(AL1117="",0,MAX(0,MIN(1,(IF(BY1117="L1",Parameter!$E$5,Parameter!$E$6+Parameter!$E$7)-(AL1117-AH1117))/AH1117)))</f>
        <v>0</v>
      </c>
      <c r="AN1117" s="57" t="n">
        <f aca="false">IF(LEFT(Cockpit!$I$5,1)="A",H1117,IF(CA1117=1,CB1117,IF(LEFT(Cockpit!$I$5,1)="B",AR1117,MAX(AR1117,H1117))))</f>
        <v>75</v>
      </c>
      <c r="AO1117" s="57" t="n">
        <f aca="false">IF(BT1117=1,0,ROUNDUP(AN1117/BS1117,0))</f>
        <v>5</v>
      </c>
      <c r="AP1117" s="59" t="n">
        <f aca="false">IF(CH1117&gt;0,CH1117*MAX(1,AN1117/X1117),IF(BT1117=1,IF(AN1117&lt;=0,0,BW1117*MAX(1,IF(H1117&gt;0,AN1117/H1117,1))),IF(R1117&gt;0,AO1117/R1117,0))/MAX(0.1,N(Parameter!$M$21)))</f>
        <v>1.66666666666667</v>
      </c>
      <c r="AQ1117" s="57" t="n">
        <f aca="false">AN1117*G1117</f>
        <v>885</v>
      </c>
      <c r="AR1117" s="57" t="n">
        <f aca="false">ROUNDUP(MAX(J1117/IF(BZ1117&gt;0,BZ1117,MAX(0.1,N(Cockpit!$I$6))),CC1117)/BS1117,0)*BS1117</f>
        <v>75</v>
      </c>
      <c r="AS1117" s="58" t="n">
        <f aca="false">IF(AP1117&gt;0,J1117/AP1117,-1)</f>
        <v>84.6</v>
      </c>
      <c r="AT1117" s="58" t="str">
        <f aca="false">IF(AND(OR(BY1117="L1",BY1117="L23"),AP1117&gt;0),SUMIFS($AP$7:$AP$1843,$BY$7:$BY$1843,BY1117,$AS$7:$AS$1843,"&gt;"&amp;AS1117)+SUMIFS($AP$7:$AP$1843,$BY$7:$BY$1843,BY1117,$AS$7:$AS$1843,AS1117,$BQ$7:$BQ$1843,"&lt;="&amp;BQ1117),"")</f>
        <v/>
      </c>
      <c r="AU1117" s="65" t="n">
        <f aca="false">IF(AT1117="",0,MAX(0,MIN(1,(IF(BY1117="L1",Parameter!$E$5,Parameter!$E$6+Parameter!$E$7)-(AT1117-AP1117))/AP1117)))</f>
        <v>0</v>
      </c>
      <c r="AV1117" s="57" t="n">
        <f aca="false">IF(LEFT(Cockpit!$O$5,1)="A",H1117,IF(CA1117=1,CB1117,IF(LEFT(Cockpit!$O$5,1)="B",AZ1117,MAX(AZ1117,H1117))))</f>
        <v>60</v>
      </c>
      <c r="AW1117" s="57" t="n">
        <f aca="false">IF(BT1117=1,0,ROUNDUP(AV1117/BS1117,0))</f>
        <v>4</v>
      </c>
      <c r="AX1117" s="59" t="n">
        <f aca="false">IF(CH1117&gt;0,CH1117*MAX(1,AV1117/X1117),IF(BT1117=1,IF(AV1117&lt;=0,0,BW1117*MAX(1,IF(H1117&gt;0,AV1117/H1117,1))),IF(R1117&gt;0,AW1117/R1117,0))/MAX(0.1,N(Parameter!$M$21)))</f>
        <v>1.33333333333333</v>
      </c>
      <c r="AY1117" s="57" t="n">
        <f aca="false">AV1117*G1117</f>
        <v>708</v>
      </c>
      <c r="AZ1117" s="57" t="n">
        <f aca="false">ROUNDUP(MAX(J1117/IF(BZ1117&gt;0,BZ1117,MAX(0.1,N(Cockpit!$O$6))),CC1117)/BS1117,0)*BS1117</f>
        <v>60</v>
      </c>
      <c r="BA1117" s="58" t="n">
        <f aca="false">IF(AX1117&gt;0,J1117/AX1117,-1)</f>
        <v>105.75</v>
      </c>
      <c r="BB1117" s="58" t="str">
        <f aca="false">IF(AND(OR(BY1117="L1",BY1117="L23"),AX1117&gt;0),SUMIFS($AX$7:$AX$1843,$BY$7:$BY$1843,BY1117,$BA$7:$BA$1843,"&gt;"&amp;BA1117)+SUMIFS($AX$7:$AX$1843,$BY$7:$BY$1843,BY1117,$BA$7:$BA$1843,BA1117,$BQ$7:$BQ$1843,"&lt;="&amp;BQ1117),"")</f>
        <v/>
      </c>
      <c r="BC1117" s="65" t="n">
        <f aca="false">IF(BB1117="",0,MAX(0,MIN(1,(IF(BY1117="L1",Parameter!$E$5,Parameter!$E$6+Parameter!$E$7)-(BB1117-AX1117))/AX1117)))</f>
        <v>0</v>
      </c>
      <c r="BD1117" s="55" t="str">
        <f aca="false">IF(AH1117&lt;=0,"",IF(BY1117="Aussen","Aussenlager",IF(BY1117="-","Nicht im Lift",IF(AM1117&gt;=1,"Lift",IF(AM1117&lt;=0,"Aussenlager","teilweise")))))</f>
        <v>Nicht im Lift</v>
      </c>
      <c r="BE1117" s="55" t="str">
        <f aca="false">IF(AP1117&lt;=0,"",IF(BY1117="Aussen","Aussenlager",IF(BY1117="-","Nicht im Lift",IF(AU1117&gt;=1,"Lift",IF(AU1117&lt;=0,"Aussenlager","teilweise")))))</f>
        <v>Nicht im Lift</v>
      </c>
      <c r="BF1117" s="55" t="str">
        <f aca="false">IF(AX1117&lt;=0,"",IF(BY1117="Aussen","Aussenlager",IF(BY1117="-","Nicht im Lift",IF(BC1117&gt;=1,"Lift",IF(BC1117&lt;=0,"Aussenlager","teilweise")))))</f>
        <v>Nicht im Lift</v>
      </c>
      <c r="BG1117" s="55" t="str">
        <f aca="false">IF(A1117="","",IF(BP1117=1,"Neu; ","")&amp;IF(AND(BP1117=0,BK1117&lt;0),"negativer Bestand (Export "&amp;BK1117&amp;"); ","")&amp;IF(J1117&lt;=0,"Kein Verbrauch; ","")&amp;IF(CH1117&gt;0,"Lift "&amp;W1117&amp;" lt. Liftbericht (Fach "&amp;X1117&amp;" Stk); ",IF(BU1117=1,"Gebinde geschätzt ("&amp;T1117&amp;"); ",IF(BT1117=1,"Lose – Tablare geschätzt; ","")))&amp;IF(H1117&gt;AR1117,"Überbestand "&amp;ROUND(H1117-AR1117,0)&amp;" Stk / CHF "&amp;ROUND((H1117-AR1117)*G1117,0)&amp;"; ","")&amp;IF(AND(CA1117=1,CB1117&lt;CC1117),"MAX &lt; MB+LG; ","")&amp;IF(AND(CG1117&gt;0,CF1117*10&gt;CG1117),"zu hoch für Tablar; ","")&amp;IF(AND(BP1117=0,OR(CA1117=1,AA1117&lt;&gt;"",U1117&lt;&gt;"",V1117&lt;&gt;"",AB1117&lt;&gt;"")),"manuell übersteuert; ","")&amp;IF(AND(BT1117=0,R1117=0),"Gebinde unbekannt / Stellmass fehlt; ","")&amp;IF(AND(BT1117=0,N(V1117)&lt;=0,N(Q1117)&lt;=0),"Menge pro Gebinde fehlt (Ist = 1 Gebinde); ","")&amp;BO1117)</f>
        <v>negativer Bestand (Export -22); Gebinde geschätzt (Gross); Menge pro Gebinde fehlt (Ist = 1 Gebinde); </v>
      </c>
      <c r="BH1117" s="55"/>
      <c r="BI1117" s="55"/>
      <c r="BJ1117" s="62"/>
      <c r="BK1117" s="57" t="n">
        <v>-22</v>
      </c>
      <c r="BL1117" s="57" t="n">
        <v>25</v>
      </c>
      <c r="BM1117" s="56" t="n">
        <v>-235.35</v>
      </c>
      <c r="BN1117" s="57" t="n">
        <v>141</v>
      </c>
      <c r="BO1117" s="55"/>
      <c r="BP1117" s="60" t="n">
        <v>0</v>
      </c>
      <c r="BQ1117" s="60" t="n">
        <v>1117</v>
      </c>
      <c r="BR1117" s="55" t="str">
        <f aca="false">IF(U1117&lt;&gt;"",UPPER(TRIM(U1117)),IF(BU1117=1,UPPER(VLOOKUP(T1117,Parameter!$I$27:$K$29,2,0)),IF(P1117="","LOSE",P1117)))</f>
        <v>S81</v>
      </c>
      <c r="BS1117" s="57" t="n">
        <f aca="false">IF(BR1117="LOSE",1,IF(N(V1117)&gt;0,V1117,IF(BU1117=1,MAX(1,N(VLOOKUP(T1117,Parameter!$I$27:$K$29,3,0)),H1117,N(N1117)),IF(N(Q1117)&gt;0,Q1117,MAX(1,H1117)))))</f>
        <v>15</v>
      </c>
      <c r="BT1117" s="60" t="n">
        <f aca="false">IF(BR1117="LOSE",1,0)</f>
        <v>0</v>
      </c>
      <c r="BU1117" s="60" t="n">
        <f aca="false">IF(AND(U1117="",OR(P1117="",P1117="LOSE"),T1117&lt;&gt;"",N(S1117)&lt;=0,ISNUMBER(MATCH(T1117,Parameter!$I$27:$I$29,0))),1,0)</f>
        <v>1</v>
      </c>
      <c r="BV1117" s="55" t="str">
        <f aca="false">IF(AND(Parameter!$B$19="Ja",E1117&lt;&gt;"",ISNUMBER(MATCH(E1117,Parameter!$I$35:$I$52,0))),VLOOKUP(E1117,Parameter!$I$35:$J$52,2,0),IFERROR(VLOOKUP(D1117,Parameter!$A$35:$C$64,2,0),"Nein"))</f>
        <v>Nein</v>
      </c>
      <c r="BW1117" s="59" t="n">
        <f aca="false">IF(BT1117=0,0,IF(N(S1117)&gt;0,S1117,IFERROR(VLOOKUP(D1117,Parameter!$A$35:$C$64,3,0)+0,0)))</f>
        <v>0</v>
      </c>
      <c r="BX1117" s="55" t="str">
        <f aca="false">IF(AA1117&lt;&gt;"",AA1117,Z1117)</f>
        <v>-</v>
      </c>
      <c r="BY1117" s="55" t="str">
        <f aca="false">IF(BX1117=1,"L1",IF(OR(BX1117=2,BX1117=3),"L23",IF(BX1117="Aussen","Aussen","-")))</f>
        <v>-</v>
      </c>
      <c r="BZ1117" s="66" t="n">
        <f aca="false">IF(N(AB1117)&gt;0,AB1117,0)</f>
        <v>0</v>
      </c>
      <c r="CA1117" s="60" t="n">
        <f aca="false">IF(ISNUMBER(AE1117),1,0)</f>
        <v>0</v>
      </c>
      <c r="CB1117" s="57" t="n">
        <f aca="false">N(AE1117)</f>
        <v>0</v>
      </c>
      <c r="CC1117" s="57" t="n">
        <f aca="false">N(M1117)+N(N1117)</f>
        <v>25</v>
      </c>
      <c r="CD1117" s="57" t="n">
        <f aca="false">ROUNDUP(H1117/BS1117,0)</f>
        <v>1</v>
      </c>
      <c r="CE1117" s="57" t="n">
        <f aca="false">ROUNDUP(CB1117/BS1117,0)</f>
        <v>0</v>
      </c>
      <c r="CF1117" s="60" t="n">
        <f aca="false">IF(BT1117=1,0,IFERROR(VLOOKUP(BR1117,'Gebinde-Kategorie'!$A$5:$M$45,5,0)+0,0))</f>
        <v>20</v>
      </c>
      <c r="CG1117" s="60" t="n">
        <f aca="false">IFERROR(IF(OR(BX1117=1,BX1117=2,BX1117=3),N(INDEX(Parameter!$I$5:$I$7,BX1117)),0),0)</f>
        <v>0</v>
      </c>
      <c r="CH1117" s="59" t="n">
        <f aca="false">IF(AND(Parameter!$B$21="Ja",ISNUMBER(W1117),N(X1117)&gt;0),IFERROR(N(INDEX(Parameter!$L$5:$L$7,W1117))*INDEX(Parameter!$E$5:$E$7,W1117)*X1117/SUMIFS($X$7:$X$1843,$W$7:$W$1843,W1117),0),0)</f>
        <v>0</v>
      </c>
    </row>
    <row r="1118" customFormat="false" ht="15" hidden="false" customHeight="false" outlineLevel="0" collapsed="false">
      <c r="A1118" s="55" t="s">
        <v>2028</v>
      </c>
      <c r="B1118" s="55" t="s">
        <v>2011</v>
      </c>
      <c r="C1118" s="55" t="s">
        <v>164</v>
      </c>
      <c r="D1118" s="55" t="s">
        <v>184</v>
      </c>
      <c r="E1118" s="55" t="s">
        <v>185</v>
      </c>
      <c r="F1118" s="55" t="s">
        <v>218</v>
      </c>
      <c r="G1118" s="56" t="n">
        <v>237.52</v>
      </c>
      <c r="H1118" s="57" t="n">
        <f aca="false">MAX(0,IF(AND(Parameter!$B$21="Ja",ISNUMBER(Y1118)),Y1118,IF(Parameter!$B$20="Jahresanfang 2025 + Export",BL1118+BK1118,BK1118)))</f>
        <v>6</v>
      </c>
      <c r="I1118" s="57" t="n">
        <f aca="false">H1118*G1118</f>
        <v>1425.12</v>
      </c>
      <c r="J1118" s="57" t="n">
        <f aca="false">BN1118*Parameter!$B$18</f>
        <v>1</v>
      </c>
      <c r="K1118" s="58" t="n">
        <v>6.5</v>
      </c>
      <c r="L1118" s="59" t="n">
        <v>0.153846153846154</v>
      </c>
      <c r="M1118" s="57" t="n">
        <v>0</v>
      </c>
      <c r="N1118" s="57" t="n">
        <v>1</v>
      </c>
      <c r="O1118" s="60" t="n">
        <v>28</v>
      </c>
      <c r="P1118" s="55" t="s">
        <v>476</v>
      </c>
      <c r="Q1118" s="57" t="n">
        <v>7</v>
      </c>
      <c r="R1118" s="60" t="n">
        <f aca="false">IF(BT1118=1,0,IFERROR(VLOOKUP(BR1118,'Gebinde-Kategorie'!$A$5:$M$45,13,0)+0,0))</f>
        <v>66</v>
      </c>
      <c r="S1118" s="61"/>
      <c r="T1118" s="62"/>
      <c r="U1118" s="62"/>
      <c r="V1118" s="62"/>
      <c r="W1118" s="55"/>
      <c r="X1118" s="57"/>
      <c r="Y1118" s="57"/>
      <c r="Z1118" s="55" t="n">
        <f aca="false">IF(A1118="","",IF(AND(Parameter!$B$21="Ja",ISNUMBER(W1118)),W1118,IF(BV1118="2+3",IF(ISNUMBER(SEARCH("grosser Artikel",BO1118)),2,IFERROR(VLOOKUP(BR1118,Parameter!$F$35:$G$64,2,0),2)),IF(OR(BV1118="Nein",BV1118=""),"-",BV1118))))</f>
        <v>3</v>
      </c>
      <c r="AA1118" s="62"/>
      <c r="AB1118" s="63"/>
      <c r="AC1118" s="57" t="n">
        <f aca="false">AR1118</f>
        <v>7</v>
      </c>
      <c r="AD1118" s="57" t="n">
        <f aca="false">MAX(AR1118,H1118)</f>
        <v>7</v>
      </c>
      <c r="AE1118" s="64"/>
      <c r="AF1118" s="57" t="n">
        <f aca="false">IF(LEFT(Cockpit!$C$5,1)="A",H1118,IF(CA1118=1,CB1118,IF(LEFT(Cockpit!$C$5,1)="B",AJ1118,MAX(AJ1118,H1118))))</f>
        <v>6</v>
      </c>
      <c r="AG1118" s="57" t="n">
        <f aca="false">IF(BT1118=1,0,ROUNDUP(AF1118/BS1118,0))</f>
        <v>1</v>
      </c>
      <c r="AH1118" s="59" t="n">
        <f aca="false">IF(CH1118&gt;0,CH1118*MAX(1,AF1118/X1118),IF(BT1118=1,IF(AF1118&lt;=0,0,BW1118*MAX(1,IF(H1118&gt;0,AF1118/H1118,1))),IF(R1118&gt;0,AG1118/R1118,0))/MAX(0.1,N(Parameter!$M$21)))</f>
        <v>0.0151515151515152</v>
      </c>
      <c r="AI1118" s="57" t="n">
        <f aca="false">AF1118*G1118</f>
        <v>1425.12</v>
      </c>
      <c r="AJ1118" s="57" t="n">
        <f aca="false">ROUNDUP(MAX(J1118/IF(BZ1118&gt;0,BZ1118,MAX(0.1,N(Cockpit!$C$6))),CC1118)/BS1118,0)*BS1118</f>
        <v>7</v>
      </c>
      <c r="AK1118" s="58" t="n">
        <f aca="false">IF(AH1118&gt;0,J1118/AH1118,-1)</f>
        <v>66</v>
      </c>
      <c r="AL1118" s="58" t="n">
        <f aca="false">IF(AND(OR(BY1118="L1",BY1118="L23"),AH1118&gt;0),SUMIFS($AH$7:$AH$1843,$BY$7:$BY$1843,BY1118,$AK$7:$AK$1843,"&gt;"&amp;AK1118)+SUMIFS($AH$7:$AH$1843,$BY$7:$BY$1843,BY1118,$AK$7:$AK$1843,AK1118,$BQ$7:$BQ$1843,"&lt;="&amp;BQ1118),"")</f>
        <v>42.7478548022026</v>
      </c>
      <c r="AM1118" s="65" t="n">
        <f aca="false">IF(AL1118="",0,MAX(0,MIN(1,(IF(BY1118="L1",Parameter!$E$5,Parameter!$E$6+Parameter!$E$7)-(AL1118-AH1118))/AH1118)))</f>
        <v>1</v>
      </c>
      <c r="AN1118" s="57" t="n">
        <f aca="false">IF(LEFT(Cockpit!$I$5,1)="A",H1118,IF(CA1118=1,CB1118,IF(LEFT(Cockpit!$I$5,1)="B",AR1118,MAX(AR1118,H1118))))</f>
        <v>7</v>
      </c>
      <c r="AO1118" s="57" t="n">
        <f aca="false">IF(BT1118=1,0,ROUNDUP(AN1118/BS1118,0))</f>
        <v>1</v>
      </c>
      <c r="AP1118" s="59" t="n">
        <f aca="false">IF(CH1118&gt;0,CH1118*MAX(1,AN1118/X1118),IF(BT1118=1,IF(AN1118&lt;=0,0,BW1118*MAX(1,IF(H1118&gt;0,AN1118/H1118,1))),IF(R1118&gt;0,AO1118/R1118,0))/MAX(0.1,N(Parameter!$M$21)))</f>
        <v>0.0151515151515152</v>
      </c>
      <c r="AQ1118" s="57" t="n">
        <f aca="false">AN1118*G1118</f>
        <v>1662.64</v>
      </c>
      <c r="AR1118" s="57" t="n">
        <f aca="false">ROUNDUP(MAX(J1118/IF(BZ1118&gt;0,BZ1118,MAX(0.1,N(Cockpit!$I$6))),CC1118)/BS1118,0)*BS1118</f>
        <v>7</v>
      </c>
      <c r="AS1118" s="58" t="n">
        <f aca="false">IF(AP1118&gt;0,J1118/AP1118,-1)</f>
        <v>66</v>
      </c>
      <c r="AT1118" s="58" t="n">
        <f aca="false">IF(AND(OR(BY1118="L1",BY1118="L23"),AP1118&gt;0),SUMIFS($AP$7:$AP$1843,$BY$7:$BY$1843,BY1118,$AS$7:$AS$1843,"&gt;"&amp;AS1118)+SUMIFS($AP$7:$AP$1843,$BY$7:$BY$1843,BY1118,$AS$7:$AS$1843,AS1118,$BQ$7:$BQ$1843,"&lt;="&amp;BQ1118),"")</f>
        <v>64.9540302692477</v>
      </c>
      <c r="AU1118" s="65" t="n">
        <f aca="false">IF(AT1118="",0,MAX(0,MIN(1,(IF(BY1118="L1",Parameter!$E$5,Parameter!$E$6+Parameter!$E$7)-(AT1118-AP1118))/AP1118)))</f>
        <v>1</v>
      </c>
      <c r="AV1118" s="57" t="n">
        <f aca="false">IF(LEFT(Cockpit!$O$5,1)="A",H1118,IF(CA1118=1,CB1118,IF(LEFT(Cockpit!$O$5,1)="B",AZ1118,MAX(AZ1118,H1118))))</f>
        <v>7</v>
      </c>
      <c r="AW1118" s="57" t="n">
        <f aca="false">IF(BT1118=1,0,ROUNDUP(AV1118/BS1118,0))</f>
        <v>1</v>
      </c>
      <c r="AX1118" s="59" t="n">
        <f aca="false">IF(CH1118&gt;0,CH1118*MAX(1,AV1118/X1118),IF(BT1118=1,IF(AV1118&lt;=0,0,BW1118*MAX(1,IF(H1118&gt;0,AV1118/H1118,1))),IF(R1118&gt;0,AW1118/R1118,0))/MAX(0.1,N(Parameter!$M$21)))</f>
        <v>0.0151515151515152</v>
      </c>
      <c r="AY1118" s="57" t="n">
        <f aca="false">AV1118*G1118</f>
        <v>1662.64</v>
      </c>
      <c r="AZ1118" s="57" t="n">
        <f aca="false">ROUNDUP(MAX(J1118/IF(BZ1118&gt;0,BZ1118,MAX(0.1,N(Cockpit!$O$6))),CC1118)/BS1118,0)*BS1118</f>
        <v>7</v>
      </c>
      <c r="BA1118" s="58" t="n">
        <f aca="false">IF(AX1118&gt;0,J1118/AX1118,-1)</f>
        <v>66</v>
      </c>
      <c r="BB1118" s="58" t="n">
        <f aca="false">IF(AND(OR(BY1118="L1",BY1118="L23"),AX1118&gt;0),SUMIFS($AX$7:$AX$1843,$BY$7:$BY$1843,BY1118,$BA$7:$BA$1843,"&gt;"&amp;BA1118)+SUMIFS($AX$7:$AX$1843,$BY$7:$BY$1843,BY1118,$BA$7:$BA$1843,BA1118,$BQ$7:$BQ$1843,"&lt;="&amp;BQ1118),"")</f>
        <v>59.4505337657512</v>
      </c>
      <c r="BC1118" s="65" t="n">
        <f aca="false">IF(BB1118="",0,MAX(0,MIN(1,(IF(BY1118="L1",Parameter!$E$5,Parameter!$E$6+Parameter!$E$7)-(BB1118-AX1118))/AX1118)))</f>
        <v>1</v>
      </c>
      <c r="BD1118" s="55" t="str">
        <f aca="false">IF(AH1118&lt;=0,"",IF(BY1118="Aussen","Aussenlager",IF(BY1118="-","Nicht im Lift",IF(AM1118&gt;=1,"Lift",IF(AM1118&lt;=0,"Aussenlager","teilweise")))))</f>
        <v>Lift</v>
      </c>
      <c r="BE1118" s="55" t="str">
        <f aca="false">IF(AP1118&lt;=0,"",IF(BY1118="Aussen","Aussenlager",IF(BY1118="-","Nicht im Lift",IF(AU1118&gt;=1,"Lift",IF(AU1118&lt;=0,"Aussenlager","teilweise")))))</f>
        <v>Lift</v>
      </c>
      <c r="BF1118" s="55" t="str">
        <f aca="false">IF(AX1118&lt;=0,"",IF(BY1118="Aussen","Aussenlager",IF(BY1118="-","Nicht im Lift",IF(BC1118&gt;=1,"Lift",IF(BC1118&lt;=0,"Aussenlager","teilweise")))))</f>
        <v>Lift</v>
      </c>
      <c r="BG1118" s="55" t="str">
        <f aca="false">IF(A1118="","",IF(BP1118=1,"Neu; ","")&amp;IF(AND(BP1118=0,BK1118&lt;0),"negativer Bestand (Export "&amp;BK1118&amp;"); ","")&amp;IF(J1118&lt;=0,"Kein Verbrauch; ","")&amp;IF(CH1118&gt;0,"Lift "&amp;W1118&amp;" lt. Liftbericht (Fach "&amp;X1118&amp;" Stk); ",IF(BU1118=1,"Gebinde geschätzt ("&amp;T1118&amp;"); ",IF(BT1118=1,"Lose – Tablare geschätzt; ","")))&amp;IF(H1118&gt;AR1118,"Überbestand "&amp;ROUND(H1118-AR1118,0)&amp;" Stk / CHF "&amp;ROUND((H1118-AR1118)*G1118,0)&amp;"; ","")&amp;IF(AND(CA1118=1,CB1118&lt;CC1118),"MAX &lt; MB+LG; ","")&amp;IF(AND(CG1118&gt;0,CF1118*10&gt;CG1118),"zu hoch für Tablar; ","")&amp;IF(AND(BP1118=0,OR(CA1118=1,AA1118&lt;&gt;"",U1118&lt;&gt;"",V1118&lt;&gt;"",AB1118&lt;&gt;"")),"manuell übersteuert; ","")&amp;IF(AND(BT1118=0,R1118=0),"Gebinde unbekannt / Stellmass fehlt; ","")&amp;IF(AND(BT1118=0,N(V1118)&lt;=0,N(Q1118)&lt;=0),"Menge pro Gebinde fehlt (Ist = 1 Gebinde); ","")&amp;BO1118)</f>
        <v>negativer Bestand (Export -1); Überbestand</v>
      </c>
      <c r="BH1118" s="55"/>
      <c r="BI1118" s="55"/>
      <c r="BJ1118" s="62"/>
      <c r="BK1118" s="57" t="n">
        <v>-1</v>
      </c>
      <c r="BL1118" s="57" t="n">
        <v>7</v>
      </c>
      <c r="BM1118" s="56" t="n">
        <v>-237.52</v>
      </c>
      <c r="BN1118" s="57" t="n">
        <v>1</v>
      </c>
      <c r="BO1118" s="55" t="s">
        <v>392</v>
      </c>
      <c r="BP1118" s="60" t="n">
        <v>0</v>
      </c>
      <c r="BQ1118" s="60" t="n">
        <v>1118</v>
      </c>
      <c r="BR1118" s="55" t="str">
        <f aca="false">IF(U1118&lt;&gt;"",UPPER(TRIM(U1118)),IF(BU1118=1,UPPER(VLOOKUP(T1118,Parameter!$I$27:$K$29,2,0)),IF(P1118="","LOSE",P1118)))</f>
        <v>S33</v>
      </c>
      <c r="BS1118" s="57" t="n">
        <f aca="false">IF(BR1118="LOSE",1,IF(N(V1118)&gt;0,V1118,IF(BU1118=1,MAX(1,N(VLOOKUP(T1118,Parameter!$I$27:$K$29,3,0)),H1118,N(N1118)),IF(N(Q1118)&gt;0,Q1118,MAX(1,H1118)))))</f>
        <v>7</v>
      </c>
      <c r="BT1118" s="60" t="n">
        <f aca="false">IF(BR1118="LOSE",1,0)</f>
        <v>0</v>
      </c>
      <c r="BU1118" s="60" t="n">
        <f aca="false">IF(AND(U1118="",OR(P1118="",P1118="LOSE"),T1118&lt;&gt;"",N(S1118)&lt;=0,ISNUMBER(MATCH(T1118,Parameter!$I$27:$I$29,0))),1,0)</f>
        <v>0</v>
      </c>
      <c r="BV1118" s="55" t="str">
        <f aca="false">IF(AND(Parameter!$B$19="Ja",E1118&lt;&gt;"",ISNUMBER(MATCH(E1118,Parameter!$I$35:$I$52,0))),VLOOKUP(E1118,Parameter!$I$35:$J$52,2,0),IFERROR(VLOOKUP(D1118,Parameter!$A$35:$C$64,2,0),"Nein"))</f>
        <v>2+3</v>
      </c>
      <c r="BW1118" s="59" t="n">
        <f aca="false">IF(BT1118=0,0,IF(N(S1118)&gt;0,S1118,IFERROR(VLOOKUP(D1118,Parameter!$A$35:$C$64,3,0)+0,0)))</f>
        <v>0</v>
      </c>
      <c r="BX1118" s="55" t="n">
        <f aca="false">IF(AA1118&lt;&gt;"",AA1118,Z1118)</f>
        <v>3</v>
      </c>
      <c r="BY1118" s="55" t="str">
        <f aca="false">IF(BX1118=1,"L1",IF(OR(BX1118=2,BX1118=3),"L23",IF(BX1118="Aussen","Aussen","-")))</f>
        <v>L23</v>
      </c>
      <c r="BZ1118" s="66" t="n">
        <f aca="false">IF(N(AB1118)&gt;0,AB1118,0)</f>
        <v>0</v>
      </c>
      <c r="CA1118" s="60" t="n">
        <f aca="false">IF(ISNUMBER(AE1118),1,0)</f>
        <v>0</v>
      </c>
      <c r="CB1118" s="57" t="n">
        <f aca="false">N(AE1118)</f>
        <v>0</v>
      </c>
      <c r="CC1118" s="57" t="n">
        <f aca="false">N(M1118)+N(N1118)</f>
        <v>1</v>
      </c>
      <c r="CD1118" s="57" t="n">
        <f aca="false">ROUNDUP(H1118/BS1118,0)</f>
        <v>1</v>
      </c>
      <c r="CE1118" s="57" t="n">
        <f aca="false">ROUNDUP(CB1118/BS1118,0)</f>
        <v>0</v>
      </c>
      <c r="CF1118" s="60" t="n">
        <f aca="false">IF(BT1118=1,0,IFERROR(VLOOKUP(BR1118,'Gebinde-Kategorie'!$A$5:$M$45,5,0)+0,0))</f>
        <v>8</v>
      </c>
      <c r="CG1118" s="60" t="n">
        <f aca="false">IFERROR(IF(OR(BX1118=1,BX1118=2,BX1118=3),N(INDEX(Parameter!$I$5:$I$7,BX1118)),0),0)</f>
        <v>0</v>
      </c>
      <c r="CH1118" s="59" t="n">
        <f aca="false">IF(AND(Parameter!$B$21="Ja",ISNUMBER(W1118),N(X1118)&gt;0),IFERROR(N(INDEX(Parameter!$L$5:$L$7,W1118))*INDEX(Parameter!$E$5:$E$7,W1118)*X1118/SUMIFS($X$7:$X$1843,$W$7:$W$1843,W1118),0),0)</f>
        <v>0</v>
      </c>
    </row>
    <row r="1119" customFormat="false" ht="15" hidden="false" customHeight="false" outlineLevel="0" collapsed="false">
      <c r="A1119" s="55" t="s">
        <v>2029</v>
      </c>
      <c r="B1119" s="55" t="s">
        <v>483</v>
      </c>
      <c r="C1119" s="55" t="s">
        <v>164</v>
      </c>
      <c r="D1119" s="55" t="s">
        <v>184</v>
      </c>
      <c r="E1119" s="55" t="s">
        <v>185</v>
      </c>
      <c r="F1119" s="55" t="s">
        <v>218</v>
      </c>
      <c r="G1119" s="56" t="n">
        <v>71.63</v>
      </c>
      <c r="H1119" s="57" t="n">
        <f aca="false">MAX(0,IF(AND(Parameter!$B$21="Ja",ISNUMBER(Y1119)),Y1119,IF(Parameter!$B$20="Jahresanfang 2025 + Export",BL1119+BK1119,BK1119)))</f>
        <v>5</v>
      </c>
      <c r="I1119" s="57" t="n">
        <f aca="false">H1119*G1119</f>
        <v>358.15</v>
      </c>
      <c r="J1119" s="57" t="n">
        <f aca="false">BN1119*Parameter!$B$18</f>
        <v>13</v>
      </c>
      <c r="K1119" s="58" t="n">
        <v>7.5</v>
      </c>
      <c r="L1119" s="59" t="n">
        <v>1.73333333333333</v>
      </c>
      <c r="M1119" s="57" t="n">
        <v>0</v>
      </c>
      <c r="N1119" s="57" t="n">
        <v>15</v>
      </c>
      <c r="O1119" s="60" t="n">
        <v>14</v>
      </c>
      <c r="P1119" s="55" t="s">
        <v>302</v>
      </c>
      <c r="Q1119" s="57" t="n">
        <v>37</v>
      </c>
      <c r="R1119" s="60" t="n">
        <f aca="false">IF(BT1119=1,0,IFERROR(VLOOKUP(BR1119,'Gebinde-Kategorie'!$A$5:$M$45,13,0)+0,0))</f>
        <v>26</v>
      </c>
      <c r="S1119" s="61"/>
      <c r="T1119" s="62"/>
      <c r="U1119" s="62"/>
      <c r="V1119" s="62"/>
      <c r="W1119" s="55"/>
      <c r="X1119" s="57"/>
      <c r="Y1119" s="57"/>
      <c r="Z1119" s="55" t="n">
        <f aca="false">IF(A1119="","",IF(AND(Parameter!$B$21="Ja",ISNUMBER(W1119)),W1119,IF(BV1119="2+3",IF(ISNUMBER(SEARCH("grosser Artikel",BO1119)),2,IFERROR(VLOOKUP(BR1119,Parameter!$F$35:$G$64,2,0),2)),IF(OR(BV1119="Nein",BV1119=""),"-",BV1119))))</f>
        <v>3</v>
      </c>
      <c r="AA1119" s="62"/>
      <c r="AB1119" s="63"/>
      <c r="AC1119" s="57" t="n">
        <f aca="false">AR1119</f>
        <v>37</v>
      </c>
      <c r="AD1119" s="57" t="n">
        <f aca="false">MAX(AR1119,H1119)</f>
        <v>37</v>
      </c>
      <c r="AE1119" s="64"/>
      <c r="AF1119" s="57" t="n">
        <f aca="false">IF(LEFT(Cockpit!$C$5,1)="A",H1119,IF(CA1119=1,CB1119,IF(LEFT(Cockpit!$C$5,1)="B",AJ1119,MAX(AJ1119,H1119))))</f>
        <v>5</v>
      </c>
      <c r="AG1119" s="57" t="n">
        <f aca="false">IF(BT1119=1,0,ROUNDUP(AF1119/BS1119,0))</f>
        <v>1</v>
      </c>
      <c r="AH1119" s="59" t="n">
        <f aca="false">IF(CH1119&gt;0,CH1119*MAX(1,AF1119/X1119),IF(BT1119=1,IF(AF1119&lt;=0,0,BW1119*MAX(1,IF(H1119&gt;0,AF1119/H1119,1))),IF(R1119&gt;0,AG1119/R1119,0))/MAX(0.1,N(Parameter!$M$21)))</f>
        <v>0.0384615384615385</v>
      </c>
      <c r="AI1119" s="57" t="n">
        <f aca="false">AF1119*G1119</f>
        <v>358.15</v>
      </c>
      <c r="AJ1119" s="57" t="n">
        <f aca="false">ROUNDUP(MAX(J1119/IF(BZ1119&gt;0,BZ1119,MAX(0.1,N(Cockpit!$C$6))),CC1119)/BS1119,0)*BS1119</f>
        <v>37</v>
      </c>
      <c r="AK1119" s="58" t="n">
        <f aca="false">IF(AH1119&gt;0,J1119/AH1119,-1)</f>
        <v>338</v>
      </c>
      <c r="AL1119" s="58" t="n">
        <f aca="false">IF(AND(OR(BY1119="L1",BY1119="L23"),AH1119&gt;0),SUMIFS($AH$7:$AH$1843,$BY$7:$BY$1843,BY1119,$AK$7:$AK$1843,"&gt;"&amp;AK1119)+SUMIFS($AH$7:$AH$1843,$BY$7:$BY$1843,BY1119,$AK$7:$AK$1843,AK1119,$BQ$7:$BQ$1843,"&lt;="&amp;BQ1119),"")</f>
        <v>27.8223539745279</v>
      </c>
      <c r="AM1119" s="65" t="n">
        <f aca="false">IF(AL1119="",0,MAX(0,MIN(1,(IF(BY1119="L1",Parameter!$E$5,Parameter!$E$6+Parameter!$E$7)-(AL1119-AH1119))/AH1119)))</f>
        <v>1</v>
      </c>
      <c r="AN1119" s="57" t="n">
        <f aca="false">IF(LEFT(Cockpit!$I$5,1)="A",H1119,IF(CA1119=1,CB1119,IF(LEFT(Cockpit!$I$5,1)="B",AR1119,MAX(AR1119,H1119))))</f>
        <v>37</v>
      </c>
      <c r="AO1119" s="57" t="n">
        <f aca="false">IF(BT1119=1,0,ROUNDUP(AN1119/BS1119,0))</f>
        <v>1</v>
      </c>
      <c r="AP1119" s="59" t="n">
        <f aca="false">IF(CH1119&gt;0,CH1119*MAX(1,AN1119/X1119),IF(BT1119=1,IF(AN1119&lt;=0,0,BW1119*MAX(1,IF(H1119&gt;0,AN1119/H1119,1))),IF(R1119&gt;0,AO1119/R1119,0))/MAX(0.1,N(Parameter!$M$21)))</f>
        <v>0.0384615384615385</v>
      </c>
      <c r="AQ1119" s="57" t="n">
        <f aca="false">AN1119*G1119</f>
        <v>2650.31</v>
      </c>
      <c r="AR1119" s="57" t="n">
        <f aca="false">ROUNDUP(MAX(J1119/IF(BZ1119&gt;0,BZ1119,MAX(0.1,N(Cockpit!$I$6))),CC1119)/BS1119,0)*BS1119</f>
        <v>37</v>
      </c>
      <c r="AS1119" s="58" t="n">
        <f aca="false">IF(AP1119&gt;0,J1119/AP1119,-1)</f>
        <v>338</v>
      </c>
      <c r="AT1119" s="58" t="n">
        <f aca="false">IF(AND(OR(BY1119="L1",BY1119="L23"),AP1119&gt;0),SUMIFS($AP$7:$AP$1843,$BY$7:$BY$1843,BY1119,$AS$7:$AS$1843,"&gt;"&amp;AS1119)+SUMIFS($AP$7:$AP$1843,$BY$7:$BY$1843,BY1119,$AS$7:$AS$1843,AS1119,$BQ$7:$BQ$1843,"&lt;="&amp;BQ1119),"")</f>
        <v>39.9580166210601</v>
      </c>
      <c r="AU1119" s="65" t="n">
        <f aca="false">IF(AT1119="",0,MAX(0,MIN(1,(IF(BY1119="L1",Parameter!$E$5,Parameter!$E$6+Parameter!$E$7)-(AT1119-AP1119))/AP1119)))</f>
        <v>1</v>
      </c>
      <c r="AV1119" s="57" t="n">
        <f aca="false">IF(LEFT(Cockpit!$O$5,1)="A",H1119,IF(CA1119=1,CB1119,IF(LEFT(Cockpit!$O$5,1)="B",AZ1119,MAX(AZ1119,H1119))))</f>
        <v>37</v>
      </c>
      <c r="AW1119" s="57" t="n">
        <f aca="false">IF(BT1119=1,0,ROUNDUP(AV1119/BS1119,0))</f>
        <v>1</v>
      </c>
      <c r="AX1119" s="59" t="n">
        <f aca="false">IF(CH1119&gt;0,CH1119*MAX(1,AV1119/X1119),IF(BT1119=1,IF(AV1119&lt;=0,0,BW1119*MAX(1,IF(H1119&gt;0,AV1119/H1119,1))),IF(R1119&gt;0,AW1119/R1119,0))/MAX(0.1,N(Parameter!$M$21)))</f>
        <v>0.0384615384615385</v>
      </c>
      <c r="AY1119" s="57" t="n">
        <f aca="false">AV1119*G1119</f>
        <v>2650.31</v>
      </c>
      <c r="AZ1119" s="57" t="n">
        <f aca="false">ROUNDUP(MAX(J1119/IF(BZ1119&gt;0,BZ1119,MAX(0.1,N(Cockpit!$O$6))),CC1119)/BS1119,0)*BS1119</f>
        <v>37</v>
      </c>
      <c r="BA1119" s="58" t="n">
        <f aca="false">IF(AX1119&gt;0,J1119/AX1119,-1)</f>
        <v>338</v>
      </c>
      <c r="BB1119" s="58" t="n">
        <f aca="false">IF(AND(OR(BY1119="L1",BY1119="L23"),AX1119&gt;0),SUMIFS($AX$7:$AX$1843,$BY$7:$BY$1843,BY1119,$BA$7:$BA$1843,"&gt;"&amp;BA1119)+SUMIFS($AX$7:$AX$1843,$BY$7:$BY$1843,BY1119,$BA$7:$BA$1843,BA1119,$BQ$7:$BQ$1843,"&lt;="&amp;BQ1119),"")</f>
        <v>36.2878534508969</v>
      </c>
      <c r="BC1119" s="65" t="n">
        <f aca="false">IF(BB1119="",0,MAX(0,MIN(1,(IF(BY1119="L1",Parameter!$E$5,Parameter!$E$6+Parameter!$E$7)-(BB1119-AX1119))/AX1119)))</f>
        <v>1</v>
      </c>
      <c r="BD1119" s="55" t="str">
        <f aca="false">IF(AH1119&lt;=0,"",IF(BY1119="Aussen","Aussenlager",IF(BY1119="-","Nicht im Lift",IF(AM1119&gt;=1,"Lift",IF(AM1119&lt;=0,"Aussenlager","teilweise")))))</f>
        <v>Lift</v>
      </c>
      <c r="BE1119" s="55" t="str">
        <f aca="false">IF(AP1119&lt;=0,"",IF(BY1119="Aussen","Aussenlager",IF(BY1119="-","Nicht im Lift",IF(AU1119&gt;=1,"Lift",IF(AU1119&lt;=0,"Aussenlager","teilweise")))))</f>
        <v>Lift</v>
      </c>
      <c r="BF1119" s="55" t="str">
        <f aca="false">IF(AX1119&lt;=0,"",IF(BY1119="Aussen","Aussenlager",IF(BY1119="-","Nicht im Lift",IF(BC1119&gt;=1,"Lift",IF(BC1119&lt;=0,"Aussenlager","teilweise")))))</f>
        <v>Lift</v>
      </c>
      <c r="BG1119" s="55" t="str">
        <f aca="false">IF(A1119="","",IF(BP1119=1,"Neu; ","")&amp;IF(AND(BP1119=0,BK1119&lt;0),"negativer Bestand (Export "&amp;BK1119&amp;"); ","")&amp;IF(J1119&lt;=0,"Kein Verbrauch; ","")&amp;IF(CH1119&gt;0,"Lift "&amp;W1119&amp;" lt. Liftbericht (Fach "&amp;X1119&amp;" Stk); ",IF(BU1119=1,"Gebinde geschätzt ("&amp;T1119&amp;"); ",IF(BT1119=1,"Lose – Tablare geschätzt; ","")))&amp;IF(H1119&gt;AR1119,"Überbestand "&amp;ROUND(H1119-AR1119,0)&amp;" Stk / CHF "&amp;ROUND((H1119-AR1119)*G1119,0)&amp;"; ","")&amp;IF(AND(CA1119=1,CB1119&lt;CC1119),"MAX &lt; MB+LG; ","")&amp;IF(AND(CG1119&gt;0,CF1119*10&gt;CG1119),"zu hoch für Tablar; ","")&amp;IF(AND(BP1119=0,OR(CA1119=1,AA1119&lt;&gt;"",U1119&lt;&gt;"",V1119&lt;&gt;"",AB1119&lt;&gt;"")),"manuell übersteuert; ","")&amp;IF(AND(BT1119=0,R1119=0),"Gebinde unbekannt / Stellmass fehlt; ","")&amp;IF(AND(BT1119=0,N(V1119)&lt;=0,N(Q1119)&lt;=0),"Menge pro Gebinde fehlt (Ist = 1 Gebinde); ","")&amp;BO1119)</f>
        <v>negativer Bestand (Export -4); Überbestand</v>
      </c>
      <c r="BH1119" s="55"/>
      <c r="BI1119" s="55"/>
      <c r="BJ1119" s="62"/>
      <c r="BK1119" s="57" t="n">
        <v>-4</v>
      </c>
      <c r="BL1119" s="57" t="n">
        <v>9</v>
      </c>
      <c r="BM1119" s="56" t="n">
        <v>-239.45</v>
      </c>
      <c r="BN1119" s="57" t="n">
        <v>13</v>
      </c>
      <c r="BO1119" s="55" t="s">
        <v>392</v>
      </c>
      <c r="BP1119" s="60" t="n">
        <v>0</v>
      </c>
      <c r="BQ1119" s="60" t="n">
        <v>1119</v>
      </c>
      <c r="BR1119" s="55" t="str">
        <f aca="false">IF(U1119&lt;&gt;"",UPPER(TRIM(U1119)),IF(BU1119=1,UPPER(VLOOKUP(T1119,Parameter!$I$27:$K$29,2,0)),IF(P1119="","LOSE",P1119)))</f>
        <v>S51</v>
      </c>
      <c r="BS1119" s="57" t="n">
        <f aca="false">IF(BR1119="LOSE",1,IF(N(V1119)&gt;0,V1119,IF(BU1119=1,MAX(1,N(VLOOKUP(T1119,Parameter!$I$27:$K$29,3,0)),H1119,N(N1119)),IF(N(Q1119)&gt;0,Q1119,MAX(1,H1119)))))</f>
        <v>37</v>
      </c>
      <c r="BT1119" s="60" t="n">
        <f aca="false">IF(BR1119="LOSE",1,0)</f>
        <v>0</v>
      </c>
      <c r="BU1119" s="60" t="n">
        <f aca="false">IF(AND(U1119="",OR(P1119="",P1119="LOSE"),T1119&lt;&gt;"",N(S1119)&lt;=0,ISNUMBER(MATCH(T1119,Parameter!$I$27:$I$29,0))),1,0)</f>
        <v>0</v>
      </c>
      <c r="BV1119" s="55" t="str">
        <f aca="false">IF(AND(Parameter!$B$19="Ja",E1119&lt;&gt;"",ISNUMBER(MATCH(E1119,Parameter!$I$35:$I$52,0))),VLOOKUP(E1119,Parameter!$I$35:$J$52,2,0),IFERROR(VLOOKUP(D1119,Parameter!$A$35:$C$64,2,0),"Nein"))</f>
        <v>2+3</v>
      </c>
      <c r="BW1119" s="59" t="n">
        <f aca="false">IF(BT1119=0,0,IF(N(S1119)&gt;0,S1119,IFERROR(VLOOKUP(D1119,Parameter!$A$35:$C$64,3,0)+0,0)))</f>
        <v>0</v>
      </c>
      <c r="BX1119" s="55" t="n">
        <f aca="false">IF(AA1119&lt;&gt;"",AA1119,Z1119)</f>
        <v>3</v>
      </c>
      <c r="BY1119" s="55" t="str">
        <f aca="false">IF(BX1119=1,"L1",IF(OR(BX1119=2,BX1119=3),"L23",IF(BX1119="Aussen","Aussen","-")))</f>
        <v>L23</v>
      </c>
      <c r="BZ1119" s="66" t="n">
        <f aca="false">IF(N(AB1119)&gt;0,AB1119,0)</f>
        <v>0</v>
      </c>
      <c r="CA1119" s="60" t="n">
        <f aca="false">IF(ISNUMBER(AE1119),1,0)</f>
        <v>0</v>
      </c>
      <c r="CB1119" s="57" t="n">
        <f aca="false">N(AE1119)</f>
        <v>0</v>
      </c>
      <c r="CC1119" s="57" t="n">
        <f aca="false">N(M1119)+N(N1119)</f>
        <v>15</v>
      </c>
      <c r="CD1119" s="57" t="n">
        <f aca="false">ROUNDUP(H1119/BS1119,0)</f>
        <v>1</v>
      </c>
      <c r="CE1119" s="57" t="n">
        <f aca="false">ROUNDUP(CB1119/BS1119,0)</f>
        <v>0</v>
      </c>
      <c r="CF1119" s="60" t="n">
        <f aca="false">IF(BT1119=1,0,IFERROR(VLOOKUP(BR1119,'Gebinde-Kategorie'!$A$5:$M$45,5,0)+0,0))</f>
        <v>11</v>
      </c>
      <c r="CG1119" s="60" t="n">
        <f aca="false">IFERROR(IF(OR(BX1119=1,BX1119=2,BX1119=3),N(INDEX(Parameter!$I$5:$I$7,BX1119)),0),0)</f>
        <v>0</v>
      </c>
      <c r="CH1119" s="59" t="n">
        <f aca="false">IF(AND(Parameter!$B$21="Ja",ISNUMBER(W1119),N(X1119)&gt;0),IFERROR(N(INDEX(Parameter!$L$5:$L$7,W1119))*INDEX(Parameter!$E$5:$E$7,W1119)*X1119/SUMIFS($X$7:$X$1843,$W$7:$W$1843,W1119),0),0)</f>
        <v>0</v>
      </c>
    </row>
    <row r="1120" customFormat="false" ht="15" hidden="false" customHeight="false" outlineLevel="0" collapsed="false">
      <c r="A1120" s="55" t="s">
        <v>2030</v>
      </c>
      <c r="B1120" s="55" t="s">
        <v>2031</v>
      </c>
      <c r="C1120" s="55" t="s">
        <v>164</v>
      </c>
      <c r="D1120" s="55" t="s">
        <v>184</v>
      </c>
      <c r="E1120" s="55" t="s">
        <v>185</v>
      </c>
      <c r="F1120" s="55" t="s">
        <v>218</v>
      </c>
      <c r="G1120" s="56" t="n">
        <v>58.79</v>
      </c>
      <c r="H1120" s="57" t="n">
        <f aca="false">MAX(0,IF(AND(Parameter!$B$21="Ja",ISNUMBER(Y1120)),Y1120,IF(Parameter!$B$20="Jahresanfang 2025 + Export",BL1120+BK1120,BK1120)))</f>
        <v>6</v>
      </c>
      <c r="I1120" s="57" t="n">
        <f aca="false">H1120*G1120</f>
        <v>352.74</v>
      </c>
      <c r="J1120" s="57" t="n">
        <f aca="false">BN1120*Parameter!$B$18</f>
        <v>7</v>
      </c>
      <c r="K1120" s="58" t="n">
        <v>10.5</v>
      </c>
      <c r="L1120" s="59" t="n">
        <v>0.666666666666667</v>
      </c>
      <c r="M1120" s="57" t="n">
        <v>0</v>
      </c>
      <c r="N1120" s="57" t="n">
        <v>5</v>
      </c>
      <c r="O1120" s="60" t="n">
        <v>28</v>
      </c>
      <c r="P1120" s="55" t="s">
        <v>233</v>
      </c>
      <c r="Q1120" s="57" t="n">
        <v>18</v>
      </c>
      <c r="R1120" s="60" t="n">
        <f aca="false">IF(BT1120=1,0,IFERROR(VLOOKUP(BR1120,'Gebinde-Kategorie'!$A$5:$M$45,13,0)+0,0))</f>
        <v>26</v>
      </c>
      <c r="S1120" s="61"/>
      <c r="T1120" s="62"/>
      <c r="U1120" s="62"/>
      <c r="V1120" s="62"/>
      <c r="W1120" s="55"/>
      <c r="X1120" s="57"/>
      <c r="Y1120" s="57"/>
      <c r="Z1120" s="55" t="n">
        <f aca="false">IF(A1120="","",IF(AND(Parameter!$B$21="Ja",ISNUMBER(W1120)),W1120,IF(BV1120="2+3",IF(ISNUMBER(SEARCH("grosser Artikel",BO1120)),2,IFERROR(VLOOKUP(BR1120,Parameter!$F$35:$G$64,2,0),2)),IF(OR(BV1120="Nein",BV1120=""),"-",BV1120))))</f>
        <v>3</v>
      </c>
      <c r="AA1120" s="62"/>
      <c r="AB1120" s="63"/>
      <c r="AC1120" s="57" t="n">
        <f aca="false">AR1120</f>
        <v>18</v>
      </c>
      <c r="AD1120" s="57" t="n">
        <f aca="false">MAX(AR1120,H1120)</f>
        <v>18</v>
      </c>
      <c r="AE1120" s="64"/>
      <c r="AF1120" s="57" t="n">
        <f aca="false">IF(LEFT(Cockpit!$C$5,1)="A",H1120,IF(CA1120=1,CB1120,IF(LEFT(Cockpit!$C$5,1)="B",AJ1120,MAX(AJ1120,H1120))))</f>
        <v>6</v>
      </c>
      <c r="AG1120" s="57" t="n">
        <f aca="false">IF(BT1120=1,0,ROUNDUP(AF1120/BS1120,0))</f>
        <v>1</v>
      </c>
      <c r="AH1120" s="59" t="n">
        <f aca="false">IF(CH1120&gt;0,CH1120*MAX(1,AF1120/X1120),IF(BT1120=1,IF(AF1120&lt;=0,0,BW1120*MAX(1,IF(H1120&gt;0,AF1120/H1120,1))),IF(R1120&gt;0,AG1120/R1120,0))/MAX(0.1,N(Parameter!$M$21)))</f>
        <v>0.0384615384615385</v>
      </c>
      <c r="AI1120" s="57" t="n">
        <f aca="false">AF1120*G1120</f>
        <v>352.74</v>
      </c>
      <c r="AJ1120" s="57" t="n">
        <f aca="false">ROUNDUP(MAX(J1120/IF(BZ1120&gt;0,BZ1120,MAX(0.1,N(Cockpit!$C$6))),CC1120)/BS1120,0)*BS1120</f>
        <v>18</v>
      </c>
      <c r="AK1120" s="58" t="n">
        <f aca="false">IF(AH1120&gt;0,J1120/AH1120,-1)</f>
        <v>182</v>
      </c>
      <c r="AL1120" s="58" t="n">
        <f aca="false">IF(AND(OR(BY1120="L1",BY1120="L23"),AH1120&gt;0),SUMIFS($AH$7:$AH$1843,$BY$7:$BY$1843,BY1120,$AK$7:$AK$1843,"&gt;"&amp;AK1120)+SUMIFS($AH$7:$AH$1843,$BY$7:$BY$1843,BY1120,$AK$7:$AK$1843,AK1120,$BQ$7:$BQ$1843,"&lt;="&amp;BQ1120),"")</f>
        <v>32.9257879801358</v>
      </c>
      <c r="AM1120" s="65" t="n">
        <f aca="false">IF(AL1120="",0,MAX(0,MIN(1,(IF(BY1120="L1",Parameter!$E$5,Parameter!$E$6+Parameter!$E$7)-(AL1120-AH1120))/AH1120)))</f>
        <v>1</v>
      </c>
      <c r="AN1120" s="57" t="n">
        <f aca="false">IF(LEFT(Cockpit!$I$5,1)="A",H1120,IF(CA1120=1,CB1120,IF(LEFT(Cockpit!$I$5,1)="B",AR1120,MAX(AR1120,H1120))))</f>
        <v>18</v>
      </c>
      <c r="AO1120" s="57" t="n">
        <f aca="false">IF(BT1120=1,0,ROUNDUP(AN1120/BS1120,0))</f>
        <v>1</v>
      </c>
      <c r="AP1120" s="59" t="n">
        <f aca="false">IF(CH1120&gt;0,CH1120*MAX(1,AN1120/X1120),IF(BT1120=1,IF(AN1120&lt;=0,0,BW1120*MAX(1,IF(H1120&gt;0,AN1120/H1120,1))),IF(R1120&gt;0,AO1120/R1120,0))/MAX(0.1,N(Parameter!$M$21)))</f>
        <v>0.0384615384615385</v>
      </c>
      <c r="AQ1120" s="57" t="n">
        <f aca="false">AN1120*G1120</f>
        <v>1058.22</v>
      </c>
      <c r="AR1120" s="57" t="n">
        <f aca="false">ROUNDUP(MAX(J1120/IF(BZ1120&gt;0,BZ1120,MAX(0.1,N(Cockpit!$I$6))),CC1120)/BS1120,0)*BS1120</f>
        <v>18</v>
      </c>
      <c r="AS1120" s="58" t="n">
        <f aca="false">IF(AP1120&gt;0,J1120/AP1120,-1)</f>
        <v>182</v>
      </c>
      <c r="AT1120" s="58" t="n">
        <f aca="false">IF(AND(OR(BY1120="L1",BY1120="L23"),AP1120&gt;0),SUMIFS($AP$7:$AP$1843,$BY$7:$BY$1843,BY1120,$AS$7:$AS$1843,"&gt;"&amp;AS1120)+SUMIFS($AP$7:$AP$1843,$BY$7:$BY$1843,BY1120,$AS$7:$AS$1843,AS1120,$BQ$7:$BQ$1843,"&lt;="&amp;BQ1120),"")</f>
        <v>47.8761359413533</v>
      </c>
      <c r="AU1120" s="65" t="n">
        <f aca="false">IF(AT1120="",0,MAX(0,MIN(1,(IF(BY1120="L1",Parameter!$E$5,Parameter!$E$6+Parameter!$E$7)-(AT1120-AP1120))/AP1120)))</f>
        <v>1</v>
      </c>
      <c r="AV1120" s="57" t="n">
        <f aca="false">IF(LEFT(Cockpit!$O$5,1)="A",H1120,IF(CA1120=1,CB1120,IF(LEFT(Cockpit!$O$5,1)="B",AZ1120,MAX(AZ1120,H1120))))</f>
        <v>18</v>
      </c>
      <c r="AW1120" s="57" t="n">
        <f aca="false">IF(BT1120=1,0,ROUNDUP(AV1120/BS1120,0))</f>
        <v>1</v>
      </c>
      <c r="AX1120" s="59" t="n">
        <f aca="false">IF(CH1120&gt;0,CH1120*MAX(1,AV1120/X1120),IF(BT1120=1,IF(AV1120&lt;=0,0,BW1120*MAX(1,IF(H1120&gt;0,AV1120/H1120,1))),IF(R1120&gt;0,AW1120/R1120,0))/MAX(0.1,N(Parameter!$M$21)))</f>
        <v>0.0384615384615385</v>
      </c>
      <c r="AY1120" s="57" t="n">
        <f aca="false">AV1120*G1120</f>
        <v>1058.22</v>
      </c>
      <c r="AZ1120" s="57" t="n">
        <f aca="false">ROUNDUP(MAX(J1120/IF(BZ1120&gt;0,BZ1120,MAX(0.1,N(Cockpit!$O$6))),CC1120)/BS1120,0)*BS1120</f>
        <v>18</v>
      </c>
      <c r="BA1120" s="58" t="n">
        <f aca="false">IF(AX1120&gt;0,J1120/AX1120,-1)</f>
        <v>182</v>
      </c>
      <c r="BB1120" s="58" t="n">
        <f aca="false">IF(AND(OR(BY1120="L1",BY1120="L23"),AX1120&gt;0),SUMIFS($AX$7:$AX$1843,$BY$7:$BY$1843,BY1120,$BA$7:$BA$1843,"&gt;"&amp;BA1120)+SUMIFS($AX$7:$AX$1843,$BY$7:$BY$1843,BY1120,$BA$7:$BA$1843,BA1120,$BQ$7:$BQ$1843,"&lt;="&amp;BQ1120),"")</f>
        <v>43.4559727711902</v>
      </c>
      <c r="BC1120" s="65" t="n">
        <f aca="false">IF(BB1120="",0,MAX(0,MIN(1,(IF(BY1120="L1",Parameter!$E$5,Parameter!$E$6+Parameter!$E$7)-(BB1120-AX1120))/AX1120)))</f>
        <v>1</v>
      </c>
      <c r="BD1120" s="55" t="str">
        <f aca="false">IF(AH1120&lt;=0,"",IF(BY1120="Aussen","Aussenlager",IF(BY1120="-","Nicht im Lift",IF(AM1120&gt;=1,"Lift",IF(AM1120&lt;=0,"Aussenlager","teilweise")))))</f>
        <v>Lift</v>
      </c>
      <c r="BE1120" s="55" t="str">
        <f aca="false">IF(AP1120&lt;=0,"",IF(BY1120="Aussen","Aussenlager",IF(BY1120="-","Nicht im Lift",IF(AU1120&gt;=1,"Lift",IF(AU1120&lt;=0,"Aussenlager","teilweise")))))</f>
        <v>Lift</v>
      </c>
      <c r="BF1120" s="55" t="str">
        <f aca="false">IF(AX1120&lt;=0,"",IF(BY1120="Aussen","Aussenlager",IF(BY1120="-","Nicht im Lift",IF(BC1120&gt;=1,"Lift",IF(BC1120&lt;=0,"Aussenlager","teilweise")))))</f>
        <v>Lift</v>
      </c>
      <c r="BG1120" s="55" t="str">
        <f aca="false">IF(A1120="","",IF(BP1120=1,"Neu; ","")&amp;IF(AND(BP1120=0,BK1120&lt;0),"negativer Bestand (Export "&amp;BK1120&amp;"); ","")&amp;IF(J1120&lt;=0,"Kein Verbrauch; ","")&amp;IF(CH1120&gt;0,"Lift "&amp;W1120&amp;" lt. Liftbericht (Fach "&amp;X1120&amp;" Stk); ",IF(BU1120=1,"Gebinde geschätzt ("&amp;T1120&amp;"); ",IF(BT1120=1,"Lose – Tablare geschätzt; ","")))&amp;IF(H1120&gt;AR1120,"Überbestand "&amp;ROUND(H1120-AR1120,0)&amp;" Stk / CHF "&amp;ROUND((H1120-AR1120)*G1120,0)&amp;"; ","")&amp;IF(AND(CA1120=1,CB1120&lt;CC1120),"MAX &lt; MB+LG; ","")&amp;IF(AND(CG1120&gt;0,CF1120*10&gt;CG1120),"zu hoch für Tablar; ","")&amp;IF(AND(BP1120=0,OR(CA1120=1,AA1120&lt;&gt;"",U1120&lt;&gt;"",V1120&lt;&gt;"",AB1120&lt;&gt;"")),"manuell übersteuert; ","")&amp;IF(AND(BT1120=0,R1120=0),"Gebinde unbekannt / Stellmass fehlt; ","")&amp;IF(AND(BT1120=0,N(V1120)&lt;=0,N(Q1120)&lt;=0),"Menge pro Gebinde fehlt (Ist = 1 Gebinde); ","")&amp;BO1120)</f>
        <v>negativer Bestand (Export -4); Neu</v>
      </c>
      <c r="BH1120" s="55"/>
      <c r="BI1120" s="55"/>
      <c r="BJ1120" s="62"/>
      <c r="BK1120" s="57" t="n">
        <v>-4</v>
      </c>
      <c r="BL1120" s="57" t="n">
        <v>10</v>
      </c>
      <c r="BM1120" s="56" t="n">
        <v>-241.06</v>
      </c>
      <c r="BN1120" s="57" t="n">
        <v>7</v>
      </c>
      <c r="BO1120" s="55" t="s">
        <v>626</v>
      </c>
      <c r="BP1120" s="60" t="n">
        <v>0</v>
      </c>
      <c r="BQ1120" s="60" t="n">
        <v>1120</v>
      </c>
      <c r="BR1120" s="55" t="str">
        <f aca="false">IF(U1120&lt;&gt;"",UPPER(TRIM(U1120)),IF(BU1120=1,UPPER(VLOOKUP(T1120,Parameter!$I$27:$K$29,2,0)),IF(P1120="","LOSE",P1120)))</f>
        <v>S52</v>
      </c>
      <c r="BS1120" s="57" t="n">
        <f aca="false">IF(BR1120="LOSE",1,IF(N(V1120)&gt;0,V1120,IF(BU1120=1,MAX(1,N(VLOOKUP(T1120,Parameter!$I$27:$K$29,3,0)),H1120,N(N1120)),IF(N(Q1120)&gt;0,Q1120,MAX(1,H1120)))))</f>
        <v>18</v>
      </c>
      <c r="BT1120" s="60" t="n">
        <f aca="false">IF(BR1120="LOSE",1,0)</f>
        <v>0</v>
      </c>
      <c r="BU1120" s="60" t="n">
        <f aca="false">IF(AND(U1120="",OR(P1120="",P1120="LOSE"),T1120&lt;&gt;"",N(S1120)&lt;=0,ISNUMBER(MATCH(T1120,Parameter!$I$27:$I$29,0))),1,0)</f>
        <v>0</v>
      </c>
      <c r="BV1120" s="55" t="str">
        <f aca="false">IF(AND(Parameter!$B$19="Ja",E1120&lt;&gt;"",ISNUMBER(MATCH(E1120,Parameter!$I$35:$I$52,0))),VLOOKUP(E1120,Parameter!$I$35:$J$52,2,0),IFERROR(VLOOKUP(D1120,Parameter!$A$35:$C$64,2,0),"Nein"))</f>
        <v>2+3</v>
      </c>
      <c r="BW1120" s="59" t="n">
        <f aca="false">IF(BT1120=0,0,IF(N(S1120)&gt;0,S1120,IFERROR(VLOOKUP(D1120,Parameter!$A$35:$C$64,3,0)+0,0)))</f>
        <v>0</v>
      </c>
      <c r="BX1120" s="55" t="n">
        <f aca="false">IF(AA1120&lt;&gt;"",AA1120,Z1120)</f>
        <v>3</v>
      </c>
      <c r="BY1120" s="55" t="str">
        <f aca="false">IF(BX1120=1,"L1",IF(OR(BX1120=2,BX1120=3),"L23",IF(BX1120="Aussen","Aussen","-")))</f>
        <v>L23</v>
      </c>
      <c r="BZ1120" s="66" t="n">
        <f aca="false">IF(N(AB1120)&gt;0,AB1120,0)</f>
        <v>0</v>
      </c>
      <c r="CA1120" s="60" t="n">
        <f aca="false">IF(ISNUMBER(AE1120),1,0)</f>
        <v>0</v>
      </c>
      <c r="CB1120" s="57" t="n">
        <f aca="false">N(AE1120)</f>
        <v>0</v>
      </c>
      <c r="CC1120" s="57" t="n">
        <f aca="false">N(M1120)+N(N1120)</f>
        <v>5</v>
      </c>
      <c r="CD1120" s="57" t="n">
        <f aca="false">ROUNDUP(H1120/BS1120,0)</f>
        <v>1</v>
      </c>
      <c r="CE1120" s="57" t="n">
        <f aca="false">ROUNDUP(CB1120/BS1120,0)</f>
        <v>0</v>
      </c>
      <c r="CF1120" s="60" t="n">
        <f aca="false">IF(BT1120=1,0,IFERROR(VLOOKUP(BR1120,'Gebinde-Kategorie'!$A$5:$M$45,5,0)+0,0))</f>
        <v>21</v>
      </c>
      <c r="CG1120" s="60" t="n">
        <f aca="false">IFERROR(IF(OR(BX1120=1,BX1120=2,BX1120=3),N(INDEX(Parameter!$I$5:$I$7,BX1120)),0),0)</f>
        <v>0</v>
      </c>
      <c r="CH1120" s="59" t="n">
        <f aca="false">IF(AND(Parameter!$B$21="Ja",ISNUMBER(W1120),N(X1120)&gt;0),IFERROR(N(INDEX(Parameter!$L$5:$L$7,W1120))*INDEX(Parameter!$E$5:$E$7,W1120)*X1120/SUMIFS($X$7:$X$1843,$W$7:$W$1843,W1120),0),0)</f>
        <v>0</v>
      </c>
    </row>
    <row r="1121" customFormat="false" ht="15" hidden="false" customHeight="false" outlineLevel="0" collapsed="false">
      <c r="A1121" s="55" t="s">
        <v>2032</v>
      </c>
      <c r="B1121" s="55" t="s">
        <v>405</v>
      </c>
      <c r="C1121" s="55" t="s">
        <v>164</v>
      </c>
      <c r="D1121" s="55" t="s">
        <v>173</v>
      </c>
      <c r="E1121" s="55" t="s">
        <v>185</v>
      </c>
      <c r="F1121" s="55" t="s">
        <v>218</v>
      </c>
      <c r="G1121" s="56" t="n">
        <v>0.32</v>
      </c>
      <c r="H1121" s="57" t="n">
        <f aca="false">MAX(0,IF(AND(Parameter!$B$21="Ja",ISNUMBER(Y1121)),Y1121,IF(Parameter!$B$20="Jahresanfang 2025 + Export",BL1121+BK1121,BK1121)))</f>
        <v>984</v>
      </c>
      <c r="I1121" s="57" t="n">
        <f aca="false">H1121*G1121</f>
        <v>314.88</v>
      </c>
      <c r="J1121" s="57" t="n">
        <f aca="false">BN1121*Parameter!$B$18</f>
        <v>3771</v>
      </c>
      <c r="K1121" s="58" t="n">
        <v>2367</v>
      </c>
      <c r="L1121" s="59" t="n">
        <v>1.59315589353612</v>
      </c>
      <c r="M1121" s="57" t="n">
        <v>219</v>
      </c>
      <c r="N1121" s="57" t="n">
        <v>500</v>
      </c>
      <c r="O1121" s="60" t="n">
        <v>21</v>
      </c>
      <c r="P1121" s="55" t="s">
        <v>174</v>
      </c>
      <c r="Q1121" s="57" t="n">
        <v>1000</v>
      </c>
      <c r="R1121" s="60" t="n">
        <f aca="false">IF(BT1121=1,0,IFERROR(VLOOKUP(BR1121,'Gebinde-Kategorie'!$A$5:$M$45,13,0)+0,0))</f>
        <v>6</v>
      </c>
      <c r="S1121" s="61"/>
      <c r="T1121" s="62"/>
      <c r="U1121" s="62"/>
      <c r="V1121" s="62"/>
      <c r="W1121" s="55"/>
      <c r="X1121" s="57"/>
      <c r="Y1121" s="57"/>
      <c r="Z1121" s="55" t="n">
        <f aca="false">IF(A1121="","",IF(AND(Parameter!$B$21="Ja",ISNUMBER(W1121)),W1121,IF(BV1121="2+3",IF(ISNUMBER(SEARCH("grosser Artikel",BO1121)),2,IFERROR(VLOOKUP(BR1121,Parameter!$F$35:$G$64,2,0),2)),IF(OR(BV1121="Nein",BV1121=""),"-",BV1121))))</f>
        <v>2</v>
      </c>
      <c r="AA1121" s="62"/>
      <c r="AB1121" s="63"/>
      <c r="AC1121" s="57" t="n">
        <f aca="false">AR1121</f>
        <v>2000</v>
      </c>
      <c r="AD1121" s="57" t="n">
        <f aca="false">MAX(AR1121,H1121)</f>
        <v>2000</v>
      </c>
      <c r="AE1121" s="64"/>
      <c r="AF1121" s="57" t="n">
        <f aca="false">IF(LEFT(Cockpit!$C$5,1)="A",H1121,IF(CA1121=1,CB1121,IF(LEFT(Cockpit!$C$5,1)="B",AJ1121,MAX(AJ1121,H1121))))</f>
        <v>984</v>
      </c>
      <c r="AG1121" s="57" t="n">
        <f aca="false">IF(BT1121=1,0,ROUNDUP(AF1121/BS1121,0))</f>
        <v>1</v>
      </c>
      <c r="AH1121" s="59" t="n">
        <f aca="false">IF(CH1121&gt;0,CH1121*MAX(1,AF1121/X1121),IF(BT1121=1,IF(AF1121&lt;=0,0,BW1121*MAX(1,IF(H1121&gt;0,AF1121/H1121,1))),IF(R1121&gt;0,AG1121/R1121,0))/MAX(0.1,N(Parameter!$M$21)))</f>
        <v>0.166666666666667</v>
      </c>
      <c r="AI1121" s="57" t="n">
        <f aca="false">AF1121*G1121</f>
        <v>314.88</v>
      </c>
      <c r="AJ1121" s="57" t="n">
        <f aca="false">ROUNDUP(MAX(J1121/IF(BZ1121&gt;0,BZ1121,MAX(0.1,N(Cockpit!$C$6))),CC1121)/BS1121,0)*BS1121</f>
        <v>2000</v>
      </c>
      <c r="AK1121" s="58" t="n">
        <f aca="false">IF(AH1121&gt;0,J1121/AH1121,-1)</f>
        <v>22626</v>
      </c>
      <c r="AL1121" s="58" t="n">
        <f aca="false">IF(AND(OR(BY1121="L1",BY1121="L23"),AH1121&gt;0),SUMIFS($AH$7:$AH$1843,$BY$7:$BY$1843,BY1121,$AK$7:$AK$1843,"&gt;"&amp;AK1121)+SUMIFS($AH$7:$AH$1843,$BY$7:$BY$1843,BY1121,$AK$7:$AK$1843,AK1121,$BQ$7:$BQ$1843,"&lt;="&amp;BQ1121),"")</f>
        <v>3.41306881524273</v>
      </c>
      <c r="AM1121" s="65" t="n">
        <f aca="false">IF(AL1121="",0,MAX(0,MIN(1,(IF(BY1121="L1",Parameter!$E$5,Parameter!$E$6+Parameter!$E$7)-(AL1121-AH1121))/AH1121)))</f>
        <v>1</v>
      </c>
      <c r="AN1121" s="57" t="n">
        <f aca="false">IF(LEFT(Cockpit!$I$5,1)="A",H1121,IF(CA1121=1,CB1121,IF(LEFT(Cockpit!$I$5,1)="B",AR1121,MAX(AR1121,H1121))))</f>
        <v>2000</v>
      </c>
      <c r="AO1121" s="57" t="n">
        <f aca="false">IF(BT1121=1,0,ROUNDUP(AN1121/BS1121,0))</f>
        <v>2</v>
      </c>
      <c r="AP1121" s="59" t="n">
        <f aca="false">IF(CH1121&gt;0,CH1121*MAX(1,AN1121/X1121),IF(BT1121=1,IF(AN1121&lt;=0,0,BW1121*MAX(1,IF(H1121&gt;0,AN1121/H1121,1))),IF(R1121&gt;0,AO1121/R1121,0))/MAX(0.1,N(Parameter!$M$21)))</f>
        <v>0.333333333333333</v>
      </c>
      <c r="AQ1121" s="57" t="n">
        <f aca="false">AN1121*G1121</f>
        <v>640</v>
      </c>
      <c r="AR1121" s="57" t="n">
        <f aca="false">ROUNDUP(MAX(J1121/IF(BZ1121&gt;0,BZ1121,MAX(0.1,N(Cockpit!$I$6))),CC1121)/BS1121,0)*BS1121</f>
        <v>2000</v>
      </c>
      <c r="AS1121" s="58" t="n">
        <f aca="false">IF(AP1121&gt;0,J1121/AP1121,-1)</f>
        <v>11313</v>
      </c>
      <c r="AT1121" s="58" t="n">
        <f aca="false">IF(AND(OR(BY1121="L1",BY1121="L23"),AP1121&gt;0),SUMIFS($AP$7:$AP$1843,$BY$7:$BY$1843,BY1121,$AS$7:$AS$1843,"&gt;"&amp;AS1121)+SUMIFS($AP$7:$AP$1843,$BY$7:$BY$1843,BY1121,$AS$7:$AS$1843,AS1121,$BQ$7:$BQ$1843,"&lt;="&amp;BQ1121),"")</f>
        <v>6.07259045302524</v>
      </c>
      <c r="AU1121" s="65" t="n">
        <f aca="false">IF(AT1121="",0,MAX(0,MIN(1,(IF(BY1121="L1",Parameter!$E$5,Parameter!$E$6+Parameter!$E$7)-(AT1121-AP1121))/AP1121)))</f>
        <v>1</v>
      </c>
      <c r="AV1121" s="57" t="n">
        <f aca="false">IF(LEFT(Cockpit!$O$5,1)="A",H1121,IF(CA1121=1,CB1121,IF(LEFT(Cockpit!$O$5,1)="B",AZ1121,MAX(AZ1121,H1121))))</f>
        <v>2000</v>
      </c>
      <c r="AW1121" s="57" t="n">
        <f aca="false">IF(BT1121=1,0,ROUNDUP(AV1121/BS1121,0))</f>
        <v>2</v>
      </c>
      <c r="AX1121" s="59" t="n">
        <f aca="false">IF(CH1121&gt;0,CH1121*MAX(1,AV1121/X1121),IF(BT1121=1,IF(AV1121&lt;=0,0,BW1121*MAX(1,IF(H1121&gt;0,AV1121/H1121,1))),IF(R1121&gt;0,AW1121/R1121,0))/MAX(0.1,N(Parameter!$M$21)))</f>
        <v>0.333333333333333</v>
      </c>
      <c r="AY1121" s="57" t="n">
        <f aca="false">AV1121*G1121</f>
        <v>640</v>
      </c>
      <c r="AZ1121" s="57" t="n">
        <f aca="false">ROUNDUP(MAX(J1121/IF(BZ1121&gt;0,BZ1121,MAX(0.1,N(Cockpit!$O$6))),CC1121)/BS1121,0)*BS1121</f>
        <v>2000</v>
      </c>
      <c r="BA1121" s="58" t="n">
        <f aca="false">IF(AX1121&gt;0,J1121/AX1121,-1)</f>
        <v>11313</v>
      </c>
      <c r="BB1121" s="58" t="n">
        <f aca="false">IF(AND(OR(BY1121="L1",BY1121="L23"),AX1121&gt;0),SUMIFS($AX$7:$AX$1843,$BY$7:$BY$1843,BY1121,$BA$7:$BA$1843,"&gt;"&amp;BA1121)+SUMIFS($AX$7:$AX$1843,$BY$7:$BY$1843,BY1121,$BA$7:$BA$1843,BA1121,$BQ$7:$BQ$1843,"&lt;="&amp;BQ1121),"")</f>
        <v>7.22294010337489</v>
      </c>
      <c r="BC1121" s="65" t="n">
        <f aca="false">IF(BB1121="",0,MAX(0,MIN(1,(IF(BY1121="L1",Parameter!$E$5,Parameter!$E$6+Parameter!$E$7)-(BB1121-AX1121))/AX1121)))</f>
        <v>1</v>
      </c>
      <c r="BD1121" s="55" t="str">
        <f aca="false">IF(AH1121&lt;=0,"",IF(BY1121="Aussen","Aussenlager",IF(BY1121="-","Nicht im Lift",IF(AM1121&gt;=1,"Lift",IF(AM1121&lt;=0,"Aussenlager","teilweise")))))</f>
        <v>Lift</v>
      </c>
      <c r="BE1121" s="55" t="str">
        <f aca="false">IF(AP1121&lt;=0,"",IF(BY1121="Aussen","Aussenlager",IF(BY1121="-","Nicht im Lift",IF(AU1121&gt;=1,"Lift",IF(AU1121&lt;=0,"Aussenlager","teilweise")))))</f>
        <v>Lift</v>
      </c>
      <c r="BF1121" s="55" t="str">
        <f aca="false">IF(AX1121&lt;=0,"",IF(BY1121="Aussen","Aussenlager",IF(BY1121="-","Nicht im Lift",IF(BC1121&gt;=1,"Lift",IF(BC1121&lt;=0,"Aussenlager","teilweise")))))</f>
        <v>Lift</v>
      </c>
      <c r="BG1121" s="55" t="str">
        <f aca="false">IF(A1121="","",IF(BP1121=1,"Neu; ","")&amp;IF(AND(BP1121=0,BK1121&lt;0),"negativer Bestand (Export "&amp;BK1121&amp;"); ","")&amp;IF(J1121&lt;=0,"Kein Verbrauch; ","")&amp;IF(CH1121&gt;0,"Lift "&amp;W1121&amp;" lt. Liftbericht (Fach "&amp;X1121&amp;" Stk); ",IF(BU1121=1,"Gebinde geschätzt ("&amp;T1121&amp;"); ",IF(BT1121=1,"Lose – Tablare geschätzt; ","")))&amp;IF(H1121&gt;AR1121,"Überbestand "&amp;ROUND(H1121-AR1121,0)&amp;" Stk / CHF "&amp;ROUND((H1121-AR1121)*G1121,0)&amp;"; ","")&amp;IF(AND(CA1121=1,CB1121&lt;CC1121),"MAX &lt; MB+LG; ","")&amp;IF(AND(CG1121&gt;0,CF1121*10&gt;CG1121),"zu hoch für Tablar; ","")&amp;IF(AND(BP1121=0,OR(CA1121=1,AA1121&lt;&gt;"",U1121&lt;&gt;"",V1121&lt;&gt;"",AB1121&lt;&gt;"")),"manuell übersteuert; ","")&amp;IF(AND(BT1121=0,R1121=0),"Gebinde unbekannt / Stellmass fehlt; ","")&amp;IF(AND(BT1121=0,N(V1121)&lt;=0,N(Q1121)&lt;=0),"Menge pro Gebinde fehlt (Ist = 1 Gebinde); ","")&amp;BO1121)</f>
        <v>negativer Bestand (Export -809); </v>
      </c>
      <c r="BH1121" s="55"/>
      <c r="BI1121" s="55"/>
      <c r="BJ1121" s="62"/>
      <c r="BK1121" s="57" t="n">
        <v>-809</v>
      </c>
      <c r="BL1121" s="57" t="n">
        <v>1793</v>
      </c>
      <c r="BM1121" s="56" t="n">
        <v>-241.2</v>
      </c>
      <c r="BN1121" s="57" t="n">
        <v>3771</v>
      </c>
      <c r="BO1121" s="55"/>
      <c r="BP1121" s="60" t="n">
        <v>0</v>
      </c>
      <c r="BQ1121" s="60" t="n">
        <v>1121</v>
      </c>
      <c r="BR1121" s="55" t="str">
        <f aca="false">IF(U1121&lt;&gt;"",UPPER(TRIM(U1121)),IF(BU1121=1,UPPER(VLOOKUP(T1121,Parameter!$I$27:$K$29,2,0)),IF(P1121="","LOSE",P1121)))</f>
        <v>S71</v>
      </c>
      <c r="BS1121" s="57" t="n">
        <f aca="false">IF(BR1121="LOSE",1,IF(N(V1121)&gt;0,V1121,IF(BU1121=1,MAX(1,N(VLOOKUP(T1121,Parameter!$I$27:$K$29,3,0)),H1121,N(N1121)),IF(N(Q1121)&gt;0,Q1121,MAX(1,H1121)))))</f>
        <v>1000</v>
      </c>
      <c r="BT1121" s="60" t="n">
        <f aca="false">IF(BR1121="LOSE",1,0)</f>
        <v>0</v>
      </c>
      <c r="BU1121" s="60" t="n">
        <f aca="false">IF(AND(U1121="",OR(P1121="",P1121="LOSE"),T1121&lt;&gt;"",N(S1121)&lt;=0,ISNUMBER(MATCH(T1121,Parameter!$I$27:$I$29,0))),1,0)</f>
        <v>0</v>
      </c>
      <c r="BV1121" s="55" t="str">
        <f aca="false">IF(AND(Parameter!$B$19="Ja",E1121&lt;&gt;"",ISNUMBER(MATCH(E1121,Parameter!$I$35:$I$52,0))),VLOOKUP(E1121,Parameter!$I$35:$J$52,2,0),IFERROR(VLOOKUP(D1121,Parameter!$A$35:$C$64,2,0),"Nein"))</f>
        <v>2+3</v>
      </c>
      <c r="BW1121" s="59" t="n">
        <f aca="false">IF(BT1121=0,0,IF(N(S1121)&gt;0,S1121,IFERROR(VLOOKUP(D1121,Parameter!$A$35:$C$64,3,0)+0,0)))</f>
        <v>0</v>
      </c>
      <c r="BX1121" s="55" t="n">
        <f aca="false">IF(AA1121&lt;&gt;"",AA1121,Z1121)</f>
        <v>2</v>
      </c>
      <c r="BY1121" s="55" t="str">
        <f aca="false">IF(BX1121=1,"L1",IF(OR(BX1121=2,BX1121=3),"L23",IF(BX1121="Aussen","Aussen","-")))</f>
        <v>L23</v>
      </c>
      <c r="BZ1121" s="66" t="n">
        <f aca="false">IF(N(AB1121)&gt;0,AB1121,0)</f>
        <v>0</v>
      </c>
      <c r="CA1121" s="60" t="n">
        <f aca="false">IF(ISNUMBER(AE1121),1,0)</f>
        <v>0</v>
      </c>
      <c r="CB1121" s="57" t="n">
        <f aca="false">N(AE1121)</f>
        <v>0</v>
      </c>
      <c r="CC1121" s="57" t="n">
        <f aca="false">N(M1121)+N(N1121)</f>
        <v>719</v>
      </c>
      <c r="CD1121" s="57" t="n">
        <f aca="false">ROUNDUP(H1121/BS1121,0)</f>
        <v>1</v>
      </c>
      <c r="CE1121" s="57" t="n">
        <f aca="false">ROUNDUP(CB1121/BS1121,0)</f>
        <v>0</v>
      </c>
      <c r="CF1121" s="60" t="n">
        <f aca="false">IF(BT1121=1,0,IFERROR(VLOOKUP(BR1121,'Gebinde-Kategorie'!$A$5:$M$45,5,0)+0,0))</f>
        <v>20</v>
      </c>
      <c r="CG1121" s="60" t="n">
        <f aca="false">IFERROR(IF(OR(BX1121=1,BX1121=2,BX1121=3),N(INDEX(Parameter!$I$5:$I$7,BX1121)),0),0)</f>
        <v>0</v>
      </c>
      <c r="CH1121" s="59" t="n">
        <f aca="false">IF(AND(Parameter!$B$21="Ja",ISNUMBER(W1121),N(X1121)&gt;0),IFERROR(N(INDEX(Parameter!$L$5:$L$7,W1121))*INDEX(Parameter!$E$5:$E$7,W1121)*X1121/SUMIFS($X$7:$X$1843,$W$7:$W$1843,W1121),0),0)</f>
        <v>0</v>
      </c>
    </row>
    <row r="1122" customFormat="false" ht="15" hidden="false" customHeight="false" outlineLevel="0" collapsed="false">
      <c r="A1122" s="55" t="s">
        <v>2033</v>
      </c>
      <c r="B1122" s="55" t="s">
        <v>2034</v>
      </c>
      <c r="C1122" s="55" t="s">
        <v>164</v>
      </c>
      <c r="D1122" s="55" t="s">
        <v>184</v>
      </c>
      <c r="E1122" s="55" t="s">
        <v>185</v>
      </c>
      <c r="F1122" s="55" t="s">
        <v>218</v>
      </c>
      <c r="G1122" s="56" t="n">
        <v>20.38</v>
      </c>
      <c r="H1122" s="57" t="n">
        <f aca="false">MAX(0,IF(AND(Parameter!$B$21="Ja",ISNUMBER(Y1122)),Y1122,IF(Parameter!$B$20="Jahresanfang 2025 + Export",BL1122+BK1122,BK1122)))</f>
        <v>74</v>
      </c>
      <c r="I1122" s="57" t="n">
        <f aca="false">H1122*G1122</f>
        <v>1508.12</v>
      </c>
      <c r="J1122" s="57" t="n">
        <f aca="false">BN1122*Parameter!$B$18</f>
        <v>8</v>
      </c>
      <c r="K1122" s="58" t="n">
        <v>82</v>
      </c>
      <c r="L1122" s="59" t="n">
        <v>0.0975609756097561</v>
      </c>
      <c r="M1122" s="57" t="n">
        <v>0</v>
      </c>
      <c r="N1122" s="57" t="n">
        <v>10</v>
      </c>
      <c r="O1122" s="60" t="n">
        <v>28</v>
      </c>
      <c r="P1122" s="55" t="s">
        <v>328</v>
      </c>
      <c r="Q1122" s="57" t="n">
        <v>94</v>
      </c>
      <c r="R1122" s="60" t="n">
        <f aca="false">IF(BT1122=1,0,IFERROR(VLOOKUP(BR1122,'Gebinde-Kategorie'!$A$5:$M$45,13,0)+0,0))</f>
        <v>52</v>
      </c>
      <c r="S1122" s="61"/>
      <c r="T1122" s="62"/>
      <c r="U1122" s="62"/>
      <c r="V1122" s="62"/>
      <c r="W1122" s="55"/>
      <c r="X1122" s="57"/>
      <c r="Y1122" s="57"/>
      <c r="Z1122" s="55" t="n">
        <f aca="false">IF(A1122="","",IF(AND(Parameter!$B$21="Ja",ISNUMBER(W1122)),W1122,IF(BV1122="2+3",IF(ISNUMBER(SEARCH("grosser Artikel",BO1122)),2,IFERROR(VLOOKUP(BR1122,Parameter!$F$35:$G$64,2,0),2)),IF(OR(BV1122="Nein",BV1122=""),"-",BV1122))))</f>
        <v>3</v>
      </c>
      <c r="AA1122" s="62"/>
      <c r="AB1122" s="63"/>
      <c r="AC1122" s="57" t="n">
        <f aca="false">AR1122</f>
        <v>94</v>
      </c>
      <c r="AD1122" s="57" t="n">
        <f aca="false">MAX(AR1122,H1122)</f>
        <v>94</v>
      </c>
      <c r="AE1122" s="64"/>
      <c r="AF1122" s="57" t="n">
        <f aca="false">IF(LEFT(Cockpit!$C$5,1)="A",H1122,IF(CA1122=1,CB1122,IF(LEFT(Cockpit!$C$5,1)="B",AJ1122,MAX(AJ1122,H1122))))</f>
        <v>74</v>
      </c>
      <c r="AG1122" s="57" t="n">
        <f aca="false">IF(BT1122=1,0,ROUNDUP(AF1122/BS1122,0))</f>
        <v>1</v>
      </c>
      <c r="AH1122" s="59" t="n">
        <f aca="false">IF(CH1122&gt;0,CH1122*MAX(1,AF1122/X1122),IF(BT1122=1,IF(AF1122&lt;=0,0,BW1122*MAX(1,IF(H1122&gt;0,AF1122/H1122,1))),IF(R1122&gt;0,AG1122/R1122,0))/MAX(0.1,N(Parameter!$M$21)))</f>
        <v>0.0192307692307692</v>
      </c>
      <c r="AI1122" s="57" t="n">
        <f aca="false">AF1122*G1122</f>
        <v>1508.12</v>
      </c>
      <c r="AJ1122" s="57" t="n">
        <f aca="false">ROUNDUP(MAX(J1122/IF(BZ1122&gt;0,BZ1122,MAX(0.1,N(Cockpit!$C$6))),CC1122)/BS1122,0)*BS1122</f>
        <v>94</v>
      </c>
      <c r="AK1122" s="58" t="n">
        <f aca="false">IF(AH1122&gt;0,J1122/AH1122,-1)</f>
        <v>416</v>
      </c>
      <c r="AL1122" s="58" t="n">
        <f aca="false">IF(AND(OR(BY1122="L1",BY1122="L23"),AH1122&gt;0),SUMIFS($AH$7:$AH$1843,$BY$7:$BY$1843,BY1122,$AK$7:$AK$1843,"&gt;"&amp;AK1122)+SUMIFS($AH$7:$AH$1843,$BY$7:$BY$1843,BY1122,$AK$7:$AK$1843,AK1122,$BQ$7:$BQ$1843,"&lt;="&amp;BQ1122),"")</f>
        <v>25.3921911421911</v>
      </c>
      <c r="AM1122" s="65" t="n">
        <f aca="false">IF(AL1122="",0,MAX(0,MIN(1,(IF(BY1122="L1",Parameter!$E$5,Parameter!$E$6+Parameter!$E$7)-(AL1122-AH1122))/AH1122)))</f>
        <v>1</v>
      </c>
      <c r="AN1122" s="57" t="n">
        <f aca="false">IF(LEFT(Cockpit!$I$5,1)="A",H1122,IF(CA1122=1,CB1122,IF(LEFT(Cockpit!$I$5,1)="B",AR1122,MAX(AR1122,H1122))))</f>
        <v>94</v>
      </c>
      <c r="AO1122" s="57" t="n">
        <f aca="false">IF(BT1122=1,0,ROUNDUP(AN1122/BS1122,0))</f>
        <v>1</v>
      </c>
      <c r="AP1122" s="59" t="n">
        <f aca="false">IF(CH1122&gt;0,CH1122*MAX(1,AN1122/X1122),IF(BT1122=1,IF(AN1122&lt;=0,0,BW1122*MAX(1,IF(H1122&gt;0,AN1122/H1122,1))),IF(R1122&gt;0,AO1122/R1122,0))/MAX(0.1,N(Parameter!$M$21)))</f>
        <v>0.0192307692307692</v>
      </c>
      <c r="AQ1122" s="57" t="n">
        <f aca="false">AN1122*G1122</f>
        <v>1915.72</v>
      </c>
      <c r="AR1122" s="57" t="n">
        <f aca="false">ROUNDUP(MAX(J1122/IF(BZ1122&gt;0,BZ1122,MAX(0.1,N(Cockpit!$I$6))),CC1122)/BS1122,0)*BS1122</f>
        <v>94</v>
      </c>
      <c r="AS1122" s="58" t="n">
        <f aca="false">IF(AP1122&gt;0,J1122/AP1122,-1)</f>
        <v>416</v>
      </c>
      <c r="AT1122" s="58" t="n">
        <f aca="false">IF(AND(OR(BY1122="L1",BY1122="L23"),AP1122&gt;0),SUMIFS($AP$7:$AP$1843,$BY$7:$BY$1843,BY1122,$AS$7:$AS$1843,"&gt;"&amp;AS1122)+SUMIFS($AP$7:$AP$1843,$BY$7:$BY$1843,BY1122,$AS$7:$AS$1843,AS1122,$BQ$7:$BQ$1843,"&lt;="&amp;BQ1122),"")</f>
        <v>34.8129286172764</v>
      </c>
      <c r="AU1122" s="65" t="n">
        <f aca="false">IF(AT1122="",0,MAX(0,MIN(1,(IF(BY1122="L1",Parameter!$E$5,Parameter!$E$6+Parameter!$E$7)-(AT1122-AP1122))/AP1122)))</f>
        <v>1</v>
      </c>
      <c r="AV1122" s="57" t="n">
        <f aca="false">IF(LEFT(Cockpit!$O$5,1)="A",H1122,IF(CA1122=1,CB1122,IF(LEFT(Cockpit!$O$5,1)="B",AZ1122,MAX(AZ1122,H1122))))</f>
        <v>94</v>
      </c>
      <c r="AW1122" s="57" t="n">
        <f aca="false">IF(BT1122=1,0,ROUNDUP(AV1122/BS1122,0))</f>
        <v>1</v>
      </c>
      <c r="AX1122" s="59" t="n">
        <f aca="false">IF(CH1122&gt;0,CH1122*MAX(1,AV1122/X1122),IF(BT1122=1,IF(AV1122&lt;=0,0,BW1122*MAX(1,IF(H1122&gt;0,AV1122/H1122,1))),IF(R1122&gt;0,AW1122/R1122,0))/MAX(0.1,N(Parameter!$M$21)))</f>
        <v>0.0192307692307692</v>
      </c>
      <c r="AY1122" s="57" t="n">
        <f aca="false">AV1122*G1122</f>
        <v>1915.72</v>
      </c>
      <c r="AZ1122" s="57" t="n">
        <f aca="false">ROUNDUP(MAX(J1122/IF(BZ1122&gt;0,BZ1122,MAX(0.1,N(Cockpit!$O$6))),CC1122)/BS1122,0)*BS1122</f>
        <v>94</v>
      </c>
      <c r="BA1122" s="58" t="n">
        <f aca="false">IF(AX1122&gt;0,J1122/AX1122,-1)</f>
        <v>416</v>
      </c>
      <c r="BB1122" s="58" t="n">
        <f aca="false">IF(AND(OR(BY1122="L1",BY1122="L23"),AX1122&gt;0),SUMIFS($AX$7:$AX$1843,$BY$7:$BY$1843,BY1122,$BA$7:$BA$1843,"&gt;"&amp;BA1122)+SUMIFS($AX$7:$AX$1843,$BY$7:$BY$1843,BY1122,$BA$7:$BA$1843,BA1122,$BQ$7:$BQ$1843,"&lt;="&amp;BQ1122),"")</f>
        <v>34.2260987804466</v>
      </c>
      <c r="BC1122" s="65" t="n">
        <f aca="false">IF(BB1122="",0,MAX(0,MIN(1,(IF(BY1122="L1",Parameter!$E$5,Parameter!$E$6+Parameter!$E$7)-(BB1122-AX1122))/AX1122)))</f>
        <v>1</v>
      </c>
      <c r="BD1122" s="55" t="str">
        <f aca="false">IF(AH1122&lt;=0,"",IF(BY1122="Aussen","Aussenlager",IF(BY1122="-","Nicht im Lift",IF(AM1122&gt;=1,"Lift",IF(AM1122&lt;=0,"Aussenlager","teilweise")))))</f>
        <v>Lift</v>
      </c>
      <c r="BE1122" s="55" t="str">
        <f aca="false">IF(AP1122&lt;=0,"",IF(BY1122="Aussen","Aussenlager",IF(BY1122="-","Nicht im Lift",IF(AU1122&gt;=1,"Lift",IF(AU1122&lt;=0,"Aussenlager","teilweise")))))</f>
        <v>Lift</v>
      </c>
      <c r="BF1122" s="55" t="str">
        <f aca="false">IF(AX1122&lt;=0,"",IF(BY1122="Aussen","Aussenlager",IF(BY1122="-","Nicht im Lift",IF(BC1122&gt;=1,"Lift",IF(BC1122&lt;=0,"Aussenlager","teilweise")))))</f>
        <v>Lift</v>
      </c>
      <c r="BG1122" s="55" t="str">
        <f aca="false">IF(A1122="","",IF(BP1122=1,"Neu; ","")&amp;IF(AND(BP1122=0,BK1122&lt;0),"negativer Bestand (Export "&amp;BK1122&amp;"); ","")&amp;IF(J1122&lt;=0,"Kein Verbrauch; ","")&amp;IF(CH1122&gt;0,"Lift "&amp;W1122&amp;" lt. Liftbericht (Fach "&amp;X1122&amp;" Stk); ",IF(BU1122=1,"Gebinde geschätzt ("&amp;T1122&amp;"); ",IF(BT1122=1,"Lose – Tablare geschätzt; ","")))&amp;IF(H1122&gt;AR1122,"Überbestand "&amp;ROUND(H1122-AR1122,0)&amp;" Stk / CHF "&amp;ROUND((H1122-AR1122)*G1122,0)&amp;"; ","")&amp;IF(AND(CA1122=1,CB1122&lt;CC1122),"MAX &lt; MB+LG; ","")&amp;IF(AND(CG1122&gt;0,CF1122*10&gt;CG1122),"zu hoch für Tablar; ","")&amp;IF(AND(BP1122=0,OR(CA1122=1,AA1122&lt;&gt;"",U1122&lt;&gt;"",V1122&lt;&gt;"",AB1122&lt;&gt;"")),"manuell übersteuert; ","")&amp;IF(AND(BT1122=0,R1122=0),"Gebinde unbekannt / Stellmass fehlt; ","")&amp;IF(AND(BT1122=0,N(V1122)&lt;=0,N(Q1122)&lt;=0),"Menge pro Gebinde fehlt (Ist = 1 Gebinde); ","")&amp;BO1122)</f>
        <v>negativer Bestand (Export -12); </v>
      </c>
      <c r="BH1122" s="55"/>
      <c r="BI1122" s="55"/>
      <c r="BJ1122" s="62"/>
      <c r="BK1122" s="57" t="n">
        <v>-12</v>
      </c>
      <c r="BL1122" s="57" t="n">
        <v>86</v>
      </c>
      <c r="BM1122" s="56" t="n">
        <v>-244.56</v>
      </c>
      <c r="BN1122" s="57" t="n">
        <v>8</v>
      </c>
      <c r="BO1122" s="55"/>
      <c r="BP1122" s="60" t="n">
        <v>0</v>
      </c>
      <c r="BQ1122" s="60" t="n">
        <v>1122</v>
      </c>
      <c r="BR1122" s="55" t="str">
        <f aca="false">IF(U1122&lt;&gt;"",UPPER(TRIM(U1122)),IF(BU1122=1,UPPER(VLOOKUP(T1122,Parameter!$I$27:$K$29,2,0)),IF(P1122="","LOSE",P1122)))</f>
        <v>S41</v>
      </c>
      <c r="BS1122" s="57" t="n">
        <f aca="false">IF(BR1122="LOSE",1,IF(N(V1122)&gt;0,V1122,IF(BU1122=1,MAX(1,N(VLOOKUP(T1122,Parameter!$I$27:$K$29,3,0)),H1122,N(N1122)),IF(N(Q1122)&gt;0,Q1122,MAX(1,H1122)))))</f>
        <v>94</v>
      </c>
      <c r="BT1122" s="60" t="n">
        <f aca="false">IF(BR1122="LOSE",1,0)</f>
        <v>0</v>
      </c>
      <c r="BU1122" s="60" t="n">
        <f aca="false">IF(AND(U1122="",OR(P1122="",P1122="LOSE"),T1122&lt;&gt;"",N(S1122)&lt;=0,ISNUMBER(MATCH(T1122,Parameter!$I$27:$I$29,0))),1,0)</f>
        <v>0</v>
      </c>
      <c r="BV1122" s="55" t="str">
        <f aca="false">IF(AND(Parameter!$B$19="Ja",E1122&lt;&gt;"",ISNUMBER(MATCH(E1122,Parameter!$I$35:$I$52,0))),VLOOKUP(E1122,Parameter!$I$35:$J$52,2,0),IFERROR(VLOOKUP(D1122,Parameter!$A$35:$C$64,2,0),"Nein"))</f>
        <v>2+3</v>
      </c>
      <c r="BW1122" s="59" t="n">
        <f aca="false">IF(BT1122=0,0,IF(N(S1122)&gt;0,S1122,IFERROR(VLOOKUP(D1122,Parameter!$A$35:$C$64,3,0)+0,0)))</f>
        <v>0</v>
      </c>
      <c r="BX1122" s="55" t="n">
        <f aca="false">IF(AA1122&lt;&gt;"",AA1122,Z1122)</f>
        <v>3</v>
      </c>
      <c r="BY1122" s="55" t="str">
        <f aca="false">IF(BX1122=1,"L1",IF(OR(BX1122=2,BX1122=3),"L23",IF(BX1122="Aussen","Aussen","-")))</f>
        <v>L23</v>
      </c>
      <c r="BZ1122" s="66" t="n">
        <f aca="false">IF(N(AB1122)&gt;0,AB1122,0)</f>
        <v>0</v>
      </c>
      <c r="CA1122" s="60" t="n">
        <f aca="false">IF(ISNUMBER(AE1122),1,0)</f>
        <v>0</v>
      </c>
      <c r="CB1122" s="57" t="n">
        <f aca="false">N(AE1122)</f>
        <v>0</v>
      </c>
      <c r="CC1122" s="57" t="n">
        <f aca="false">N(M1122)+N(N1122)</f>
        <v>10</v>
      </c>
      <c r="CD1122" s="57" t="n">
        <f aca="false">ROUNDUP(H1122/BS1122,0)</f>
        <v>1</v>
      </c>
      <c r="CE1122" s="57" t="n">
        <f aca="false">ROUNDUP(CB1122/BS1122,0)</f>
        <v>0</v>
      </c>
      <c r="CF1122" s="60" t="n">
        <f aca="false">IF(BT1122=1,0,IFERROR(VLOOKUP(BR1122,'Gebinde-Kategorie'!$A$5:$M$45,5,0)+0,0))</f>
        <v>11</v>
      </c>
      <c r="CG1122" s="60" t="n">
        <f aca="false">IFERROR(IF(OR(BX1122=1,BX1122=2,BX1122=3),N(INDEX(Parameter!$I$5:$I$7,BX1122)),0),0)</f>
        <v>0</v>
      </c>
      <c r="CH1122" s="59" t="n">
        <f aca="false">IF(AND(Parameter!$B$21="Ja",ISNUMBER(W1122),N(X1122)&gt;0),IFERROR(N(INDEX(Parameter!$L$5:$L$7,W1122))*INDEX(Parameter!$E$5:$E$7,W1122)*X1122/SUMIFS($X$7:$X$1843,$W$7:$W$1843,W1122),0),0)</f>
        <v>0</v>
      </c>
    </row>
    <row r="1123" customFormat="false" ht="15" hidden="false" customHeight="false" outlineLevel="0" collapsed="false">
      <c r="A1123" s="55" t="s">
        <v>2035</v>
      </c>
      <c r="B1123" s="55" t="s">
        <v>2036</v>
      </c>
      <c r="C1123" s="55" t="s">
        <v>164</v>
      </c>
      <c r="D1123" s="55" t="s">
        <v>184</v>
      </c>
      <c r="E1123" s="55" t="s">
        <v>185</v>
      </c>
      <c r="F1123" s="55" t="s">
        <v>218</v>
      </c>
      <c r="G1123" s="56" t="n">
        <v>35.15</v>
      </c>
      <c r="H1123" s="57" t="n">
        <f aca="false">MAX(0,IF(AND(Parameter!$B$21="Ja",ISNUMBER(Y1123)),Y1123,IF(Parameter!$B$20="Jahresanfang 2025 + Export",BL1123+BK1123,BK1123)))</f>
        <v>145</v>
      </c>
      <c r="I1123" s="57" t="n">
        <f aca="false">H1123*G1123</f>
        <v>5096.75</v>
      </c>
      <c r="J1123" s="57" t="n">
        <f aca="false">BN1123*Parameter!$B$18</f>
        <v>3</v>
      </c>
      <c r="K1123" s="58" t="n">
        <v>150</v>
      </c>
      <c r="L1123" s="59" t="n">
        <v>0.02</v>
      </c>
      <c r="M1123" s="57" t="n">
        <v>0</v>
      </c>
      <c r="N1123" s="57" t="n">
        <v>5</v>
      </c>
      <c r="O1123" s="60" t="n">
        <v>28</v>
      </c>
      <c r="P1123" s="55" t="s">
        <v>233</v>
      </c>
      <c r="Q1123" s="57" t="n">
        <v>30</v>
      </c>
      <c r="R1123" s="60" t="n">
        <f aca="false">IF(BT1123=1,0,IFERROR(VLOOKUP(BR1123,'Gebinde-Kategorie'!$A$5:$M$45,13,0)+0,0))</f>
        <v>26</v>
      </c>
      <c r="S1123" s="61"/>
      <c r="T1123" s="62"/>
      <c r="U1123" s="62"/>
      <c r="V1123" s="62"/>
      <c r="W1123" s="55"/>
      <c r="X1123" s="57"/>
      <c r="Y1123" s="57"/>
      <c r="Z1123" s="55" t="n">
        <f aca="false">IF(A1123="","",IF(AND(Parameter!$B$21="Ja",ISNUMBER(W1123)),W1123,IF(BV1123="2+3",IF(ISNUMBER(SEARCH("grosser Artikel",BO1123)),2,IFERROR(VLOOKUP(BR1123,Parameter!$F$35:$G$64,2,0),2)),IF(OR(BV1123="Nein",BV1123=""),"-",BV1123))))</f>
        <v>3</v>
      </c>
      <c r="AA1123" s="62"/>
      <c r="AB1123" s="63"/>
      <c r="AC1123" s="57" t="n">
        <f aca="false">AR1123</f>
        <v>30</v>
      </c>
      <c r="AD1123" s="57" t="n">
        <f aca="false">MAX(AR1123,H1123)</f>
        <v>145</v>
      </c>
      <c r="AE1123" s="64"/>
      <c r="AF1123" s="57" t="n">
        <f aca="false">IF(LEFT(Cockpit!$C$5,1)="A",H1123,IF(CA1123=1,CB1123,IF(LEFT(Cockpit!$C$5,1)="B",AJ1123,MAX(AJ1123,H1123))))</f>
        <v>145</v>
      </c>
      <c r="AG1123" s="57" t="n">
        <f aca="false">IF(BT1123=1,0,ROUNDUP(AF1123/BS1123,0))</f>
        <v>5</v>
      </c>
      <c r="AH1123" s="59" t="n">
        <f aca="false">IF(CH1123&gt;0,CH1123*MAX(1,AF1123/X1123),IF(BT1123=1,IF(AF1123&lt;=0,0,BW1123*MAX(1,IF(H1123&gt;0,AF1123/H1123,1))),IF(R1123&gt;0,AG1123/R1123,0))/MAX(0.1,N(Parameter!$M$21)))</f>
        <v>0.192307692307692</v>
      </c>
      <c r="AI1123" s="57" t="n">
        <f aca="false">AF1123*G1123</f>
        <v>5096.75</v>
      </c>
      <c r="AJ1123" s="57" t="n">
        <f aca="false">ROUNDUP(MAX(J1123/IF(BZ1123&gt;0,BZ1123,MAX(0.1,N(Cockpit!$C$6))),CC1123)/BS1123,0)*BS1123</f>
        <v>30</v>
      </c>
      <c r="AK1123" s="58" t="n">
        <f aca="false">IF(AH1123&gt;0,J1123/AH1123,-1)</f>
        <v>15.6</v>
      </c>
      <c r="AL1123" s="58" t="n">
        <f aca="false">IF(AND(OR(BY1123="L1",BY1123="L23"),AH1123&gt;0),SUMIFS($AH$7:$AH$1843,$BY$7:$BY$1843,BY1123,$AK$7:$AK$1843,"&gt;"&amp;AK1123)+SUMIFS($AH$7:$AH$1843,$BY$7:$BY$1843,BY1123,$AK$7:$AK$1843,AK1123,$BQ$7:$BQ$1843,"&lt;="&amp;BQ1123),"")</f>
        <v>53.1971555015033</v>
      </c>
      <c r="AM1123" s="65" t="n">
        <f aca="false">IF(AL1123="",0,MAX(0,MIN(1,(IF(BY1123="L1",Parameter!$E$5,Parameter!$E$6+Parameter!$E$7)-(AL1123-AH1123))/AH1123)))</f>
        <v>1</v>
      </c>
      <c r="AN1123" s="57" t="n">
        <f aca="false">IF(LEFT(Cockpit!$I$5,1)="A",H1123,IF(CA1123=1,CB1123,IF(LEFT(Cockpit!$I$5,1)="B",AR1123,MAX(AR1123,H1123))))</f>
        <v>145</v>
      </c>
      <c r="AO1123" s="57" t="n">
        <f aca="false">IF(BT1123=1,0,ROUNDUP(AN1123/BS1123,0))</f>
        <v>5</v>
      </c>
      <c r="AP1123" s="59" t="n">
        <f aca="false">IF(CH1123&gt;0,CH1123*MAX(1,AN1123/X1123),IF(BT1123=1,IF(AN1123&lt;=0,0,BW1123*MAX(1,IF(H1123&gt;0,AN1123/H1123,1))),IF(R1123&gt;0,AO1123/R1123,0))/MAX(0.1,N(Parameter!$M$21)))</f>
        <v>0.192307692307692</v>
      </c>
      <c r="AQ1123" s="57" t="n">
        <f aca="false">AN1123*G1123</f>
        <v>5096.75</v>
      </c>
      <c r="AR1123" s="57" t="n">
        <f aca="false">ROUNDUP(MAX(J1123/IF(BZ1123&gt;0,BZ1123,MAX(0.1,N(Cockpit!$I$6))),CC1123)/BS1123,0)*BS1123</f>
        <v>30</v>
      </c>
      <c r="AS1123" s="58" t="n">
        <f aca="false">IF(AP1123&gt;0,J1123/AP1123,-1)</f>
        <v>15.6</v>
      </c>
      <c r="AT1123" s="58" t="n">
        <f aca="false">IF(AND(OR(BY1123="L1",BY1123="L23"),AP1123&gt;0),SUMIFS($AP$7:$AP$1843,$BY$7:$BY$1843,BY1123,$AS$7:$AS$1843,"&gt;"&amp;AS1123)+SUMIFS($AP$7:$AP$1843,$BY$7:$BY$1843,BY1123,$AS$7:$AS$1843,AS1123,$BQ$7:$BQ$1843,"&lt;="&amp;BQ1123),"")</f>
        <v>80.2046130198304</v>
      </c>
      <c r="AU1123" s="65" t="n">
        <f aca="false">IF(AT1123="",0,MAX(0,MIN(1,(IF(BY1123="L1",Parameter!$E$5,Parameter!$E$6+Parameter!$E$7)-(AT1123-AP1123))/AP1123)))</f>
        <v>1</v>
      </c>
      <c r="AV1123" s="57" t="n">
        <f aca="false">IF(LEFT(Cockpit!$O$5,1)="A",H1123,IF(CA1123=1,CB1123,IF(LEFT(Cockpit!$O$5,1)="B",AZ1123,MAX(AZ1123,H1123))))</f>
        <v>145</v>
      </c>
      <c r="AW1123" s="57" t="n">
        <f aca="false">IF(BT1123=1,0,ROUNDUP(AV1123/BS1123,0))</f>
        <v>5</v>
      </c>
      <c r="AX1123" s="59" t="n">
        <f aca="false">IF(CH1123&gt;0,CH1123*MAX(1,AV1123/X1123),IF(BT1123=1,IF(AV1123&lt;=0,0,BW1123*MAX(1,IF(H1123&gt;0,AV1123/H1123,1))),IF(R1123&gt;0,AW1123/R1123,0))/MAX(0.1,N(Parameter!$M$21)))</f>
        <v>0.192307692307692</v>
      </c>
      <c r="AY1123" s="57" t="n">
        <f aca="false">AV1123*G1123</f>
        <v>5096.75</v>
      </c>
      <c r="AZ1123" s="57" t="n">
        <f aca="false">ROUNDUP(MAX(J1123/IF(BZ1123&gt;0,BZ1123,MAX(0.1,N(Cockpit!$O$6))),CC1123)/BS1123,0)*BS1123</f>
        <v>30</v>
      </c>
      <c r="BA1123" s="58" t="n">
        <f aca="false">IF(AX1123&gt;0,J1123/AX1123,-1)</f>
        <v>15.6</v>
      </c>
      <c r="BB1123" s="58" t="n">
        <f aca="false">IF(AND(OR(BY1123="L1",BY1123="L23"),AX1123&gt;0),SUMIFS($AX$7:$AX$1843,$BY$7:$BY$1843,BY1123,$BA$7:$BA$1843,"&gt;"&amp;BA1123)+SUMIFS($AX$7:$AX$1843,$BY$7:$BY$1843,BY1123,$BA$7:$BA$1843,BA1123,$BQ$7:$BQ$1843,"&lt;="&amp;BQ1123),"")</f>
        <v>79.7011165163339</v>
      </c>
      <c r="BC1123" s="65" t="n">
        <f aca="false">IF(BB1123="",0,MAX(0,MIN(1,(IF(BY1123="L1",Parameter!$E$5,Parameter!$E$6+Parameter!$E$7)-(BB1123-AX1123))/AX1123)))</f>
        <v>1</v>
      </c>
      <c r="BD1123" s="55" t="str">
        <f aca="false">IF(AH1123&lt;=0,"",IF(BY1123="Aussen","Aussenlager",IF(BY1123="-","Nicht im Lift",IF(AM1123&gt;=1,"Lift",IF(AM1123&lt;=0,"Aussenlager","teilweise")))))</f>
        <v>Lift</v>
      </c>
      <c r="BE1123" s="55" t="str">
        <f aca="false">IF(AP1123&lt;=0,"",IF(BY1123="Aussen","Aussenlager",IF(BY1123="-","Nicht im Lift",IF(AU1123&gt;=1,"Lift",IF(AU1123&lt;=0,"Aussenlager","teilweise")))))</f>
        <v>Lift</v>
      </c>
      <c r="BF1123" s="55" t="str">
        <f aca="false">IF(AX1123&lt;=0,"",IF(BY1123="Aussen","Aussenlager",IF(BY1123="-","Nicht im Lift",IF(BC1123&gt;=1,"Lift",IF(BC1123&lt;=0,"Aussenlager","teilweise")))))</f>
        <v>Lift</v>
      </c>
      <c r="BG1123" s="55" t="str">
        <f aca="false">IF(A1123="","",IF(BP1123=1,"Neu; ","")&amp;IF(AND(BP1123=0,BK1123&lt;0),"negativer Bestand (Export "&amp;BK1123&amp;"); ","")&amp;IF(J1123&lt;=0,"Kein Verbrauch; ","")&amp;IF(CH1123&gt;0,"Lift "&amp;W1123&amp;" lt. Liftbericht (Fach "&amp;X1123&amp;" Stk); ",IF(BU1123=1,"Gebinde geschätzt ("&amp;T1123&amp;"); ",IF(BT1123=1,"Lose – Tablare geschätzt; ","")))&amp;IF(H1123&gt;AR1123,"Überbestand "&amp;ROUND(H1123-AR1123,0)&amp;" Stk / CHF "&amp;ROUND((H1123-AR1123)*G1123,0)&amp;"; ","")&amp;IF(AND(CA1123=1,CB1123&lt;CC1123),"MAX &lt; MB+LG; ","")&amp;IF(AND(CG1123&gt;0,CF1123*10&gt;CG1123),"zu hoch für Tablar; ","")&amp;IF(AND(BP1123=0,OR(CA1123=1,AA1123&lt;&gt;"",U1123&lt;&gt;"",V1123&lt;&gt;"",AB1123&lt;&gt;"")),"manuell übersteuert; ","")&amp;IF(AND(BT1123=0,R1123=0),"Gebinde unbekannt / Stellmass fehlt; ","")&amp;IF(AND(BT1123=0,N(V1123)&lt;=0,N(Q1123)&lt;=0),"Menge pro Gebinde fehlt (Ist = 1 Gebinde); ","")&amp;BO1123)</f>
        <v>negativer Bestand (Export -7); Überbestand 115 Stk / CHF 4042; Überbestand</v>
      </c>
      <c r="BH1123" s="55"/>
      <c r="BI1123" s="55"/>
      <c r="BJ1123" s="62"/>
      <c r="BK1123" s="57" t="n">
        <v>-7</v>
      </c>
      <c r="BL1123" s="57" t="n">
        <v>152</v>
      </c>
      <c r="BM1123" s="56" t="n">
        <v>-246.05</v>
      </c>
      <c r="BN1123" s="57" t="n">
        <v>3</v>
      </c>
      <c r="BO1123" s="55" t="s">
        <v>392</v>
      </c>
      <c r="BP1123" s="60" t="n">
        <v>0</v>
      </c>
      <c r="BQ1123" s="60" t="n">
        <v>1123</v>
      </c>
      <c r="BR1123" s="55" t="str">
        <f aca="false">IF(U1123&lt;&gt;"",UPPER(TRIM(U1123)),IF(BU1123=1,UPPER(VLOOKUP(T1123,Parameter!$I$27:$K$29,2,0)),IF(P1123="","LOSE",P1123)))</f>
        <v>S52</v>
      </c>
      <c r="BS1123" s="57" t="n">
        <f aca="false">IF(BR1123="LOSE",1,IF(N(V1123)&gt;0,V1123,IF(BU1123=1,MAX(1,N(VLOOKUP(T1123,Parameter!$I$27:$K$29,3,0)),H1123,N(N1123)),IF(N(Q1123)&gt;0,Q1123,MAX(1,H1123)))))</f>
        <v>30</v>
      </c>
      <c r="BT1123" s="60" t="n">
        <f aca="false">IF(BR1123="LOSE",1,0)</f>
        <v>0</v>
      </c>
      <c r="BU1123" s="60" t="n">
        <f aca="false">IF(AND(U1123="",OR(P1123="",P1123="LOSE"),T1123&lt;&gt;"",N(S1123)&lt;=0,ISNUMBER(MATCH(T1123,Parameter!$I$27:$I$29,0))),1,0)</f>
        <v>0</v>
      </c>
      <c r="BV1123" s="55" t="str">
        <f aca="false">IF(AND(Parameter!$B$19="Ja",E1123&lt;&gt;"",ISNUMBER(MATCH(E1123,Parameter!$I$35:$I$52,0))),VLOOKUP(E1123,Parameter!$I$35:$J$52,2,0),IFERROR(VLOOKUP(D1123,Parameter!$A$35:$C$64,2,0),"Nein"))</f>
        <v>2+3</v>
      </c>
      <c r="BW1123" s="59" t="n">
        <f aca="false">IF(BT1123=0,0,IF(N(S1123)&gt;0,S1123,IFERROR(VLOOKUP(D1123,Parameter!$A$35:$C$64,3,0)+0,0)))</f>
        <v>0</v>
      </c>
      <c r="BX1123" s="55" t="n">
        <f aca="false">IF(AA1123&lt;&gt;"",AA1123,Z1123)</f>
        <v>3</v>
      </c>
      <c r="BY1123" s="55" t="str">
        <f aca="false">IF(BX1123=1,"L1",IF(OR(BX1123=2,BX1123=3),"L23",IF(BX1123="Aussen","Aussen","-")))</f>
        <v>L23</v>
      </c>
      <c r="BZ1123" s="66" t="n">
        <f aca="false">IF(N(AB1123)&gt;0,AB1123,0)</f>
        <v>0</v>
      </c>
      <c r="CA1123" s="60" t="n">
        <f aca="false">IF(ISNUMBER(AE1123),1,0)</f>
        <v>0</v>
      </c>
      <c r="CB1123" s="57" t="n">
        <f aca="false">N(AE1123)</f>
        <v>0</v>
      </c>
      <c r="CC1123" s="57" t="n">
        <f aca="false">N(M1123)+N(N1123)</f>
        <v>5</v>
      </c>
      <c r="CD1123" s="57" t="n">
        <f aca="false">ROUNDUP(H1123/BS1123,0)</f>
        <v>5</v>
      </c>
      <c r="CE1123" s="57" t="n">
        <f aca="false">ROUNDUP(CB1123/BS1123,0)</f>
        <v>0</v>
      </c>
      <c r="CF1123" s="60" t="n">
        <f aca="false">IF(BT1123=1,0,IFERROR(VLOOKUP(BR1123,'Gebinde-Kategorie'!$A$5:$M$45,5,0)+0,0))</f>
        <v>21</v>
      </c>
      <c r="CG1123" s="60" t="n">
        <f aca="false">IFERROR(IF(OR(BX1123=1,BX1123=2,BX1123=3),N(INDEX(Parameter!$I$5:$I$7,BX1123)),0),0)</f>
        <v>0</v>
      </c>
      <c r="CH1123" s="59" t="n">
        <f aca="false">IF(AND(Parameter!$B$21="Ja",ISNUMBER(W1123),N(X1123)&gt;0),IFERROR(N(INDEX(Parameter!$L$5:$L$7,W1123))*INDEX(Parameter!$E$5:$E$7,W1123)*X1123/SUMIFS($X$7:$X$1843,$W$7:$W$1843,W1123),0),0)</f>
        <v>0</v>
      </c>
    </row>
    <row r="1124" customFormat="false" ht="15" hidden="false" customHeight="false" outlineLevel="0" collapsed="false">
      <c r="A1124" s="55" t="s">
        <v>2037</v>
      </c>
      <c r="B1124" s="55" t="s">
        <v>2038</v>
      </c>
      <c r="C1124" s="55" t="s">
        <v>164</v>
      </c>
      <c r="D1124" s="55" t="s">
        <v>184</v>
      </c>
      <c r="E1124" s="55" t="s">
        <v>185</v>
      </c>
      <c r="F1124" s="55" t="s">
        <v>218</v>
      </c>
      <c r="G1124" s="56" t="n">
        <v>90.32</v>
      </c>
      <c r="H1124" s="57" t="n">
        <f aca="false">MAX(0,IF(AND(Parameter!$B$21="Ja",ISNUMBER(Y1124)),Y1124,IF(Parameter!$B$20="Jahresanfang 2025 + Export",BL1124+BK1124,BK1124)))</f>
        <v>36</v>
      </c>
      <c r="I1124" s="57" t="n">
        <f aca="false">H1124*G1124</f>
        <v>3251.52</v>
      </c>
      <c r="J1124" s="57" t="n">
        <f aca="false">BN1124*Parameter!$B$18</f>
        <v>58</v>
      </c>
      <c r="K1124" s="58" t="n">
        <v>30.5</v>
      </c>
      <c r="L1124" s="59" t="n">
        <v>1.9016393442623</v>
      </c>
      <c r="M1124" s="57" t="n">
        <v>5</v>
      </c>
      <c r="N1124" s="57" t="n">
        <v>40</v>
      </c>
      <c r="O1124" s="60" t="n">
        <v>28</v>
      </c>
      <c r="P1124" s="55" t="s">
        <v>233</v>
      </c>
      <c r="Q1124" s="57" t="n">
        <v>30</v>
      </c>
      <c r="R1124" s="60" t="n">
        <f aca="false">IF(BT1124=1,0,IFERROR(VLOOKUP(BR1124,'Gebinde-Kategorie'!$A$5:$M$45,13,0)+0,0))</f>
        <v>26</v>
      </c>
      <c r="S1124" s="61"/>
      <c r="T1124" s="62"/>
      <c r="U1124" s="62"/>
      <c r="V1124" s="62"/>
      <c r="W1124" s="55"/>
      <c r="X1124" s="57"/>
      <c r="Y1124" s="57"/>
      <c r="Z1124" s="55" t="n">
        <f aca="false">IF(A1124="","",IF(AND(Parameter!$B$21="Ja",ISNUMBER(W1124)),W1124,IF(BV1124="2+3",IF(ISNUMBER(SEARCH("grosser Artikel",BO1124)),2,IFERROR(VLOOKUP(BR1124,Parameter!$F$35:$G$64,2,0),2)),IF(OR(BV1124="Nein",BV1124=""),"-",BV1124))))</f>
        <v>3</v>
      </c>
      <c r="AA1124" s="62"/>
      <c r="AB1124" s="63"/>
      <c r="AC1124" s="57" t="n">
        <f aca="false">AR1124</f>
        <v>60</v>
      </c>
      <c r="AD1124" s="57" t="n">
        <f aca="false">MAX(AR1124,H1124)</f>
        <v>60</v>
      </c>
      <c r="AE1124" s="64"/>
      <c r="AF1124" s="57" t="n">
        <f aca="false">IF(LEFT(Cockpit!$C$5,1)="A",H1124,IF(CA1124=1,CB1124,IF(LEFT(Cockpit!$C$5,1)="B",AJ1124,MAX(AJ1124,H1124))))</f>
        <v>36</v>
      </c>
      <c r="AG1124" s="57" t="n">
        <f aca="false">IF(BT1124=1,0,ROUNDUP(AF1124/BS1124,0))</f>
        <v>2</v>
      </c>
      <c r="AH1124" s="59" t="n">
        <f aca="false">IF(CH1124&gt;0,CH1124*MAX(1,AF1124/X1124),IF(BT1124=1,IF(AF1124&lt;=0,0,BW1124*MAX(1,IF(H1124&gt;0,AF1124/H1124,1))),IF(R1124&gt;0,AG1124/R1124,0))/MAX(0.1,N(Parameter!$M$21)))</f>
        <v>0.0769230769230769</v>
      </c>
      <c r="AI1124" s="57" t="n">
        <f aca="false">AF1124*G1124</f>
        <v>3251.52</v>
      </c>
      <c r="AJ1124" s="57" t="n">
        <f aca="false">ROUNDUP(MAX(J1124/IF(BZ1124&gt;0,BZ1124,MAX(0.1,N(Cockpit!$C$6))),CC1124)/BS1124,0)*BS1124</f>
        <v>60</v>
      </c>
      <c r="AK1124" s="58" t="n">
        <f aca="false">IF(AH1124&gt;0,J1124/AH1124,-1)</f>
        <v>754</v>
      </c>
      <c r="AL1124" s="58" t="n">
        <f aca="false">IF(AND(OR(BY1124="L1",BY1124="L23"),AH1124&gt;0),SUMIFS($AH$7:$AH$1843,$BY$7:$BY$1843,BY1124,$AK$7:$AK$1843,"&gt;"&amp;AK1124)+SUMIFS($AH$7:$AH$1843,$BY$7:$BY$1843,BY1124,$AK$7:$AK$1843,AK1124,$BQ$7:$BQ$1843,"&lt;="&amp;BQ1124),"")</f>
        <v>21.3545066045066</v>
      </c>
      <c r="AM1124" s="65" t="n">
        <f aca="false">IF(AL1124="",0,MAX(0,MIN(1,(IF(BY1124="L1",Parameter!$E$5,Parameter!$E$6+Parameter!$E$7)-(AL1124-AH1124))/AH1124)))</f>
        <v>1</v>
      </c>
      <c r="AN1124" s="57" t="n">
        <f aca="false">IF(LEFT(Cockpit!$I$5,1)="A",H1124,IF(CA1124=1,CB1124,IF(LEFT(Cockpit!$I$5,1)="B",AR1124,MAX(AR1124,H1124))))</f>
        <v>60</v>
      </c>
      <c r="AO1124" s="57" t="n">
        <f aca="false">IF(BT1124=1,0,ROUNDUP(AN1124/BS1124,0))</f>
        <v>2</v>
      </c>
      <c r="AP1124" s="59" t="n">
        <f aca="false">IF(CH1124&gt;0,CH1124*MAX(1,AN1124/X1124),IF(BT1124=1,IF(AN1124&lt;=0,0,BW1124*MAX(1,IF(H1124&gt;0,AN1124/H1124,1))),IF(R1124&gt;0,AO1124/R1124,0))/MAX(0.1,N(Parameter!$M$21)))</f>
        <v>0.0769230769230769</v>
      </c>
      <c r="AQ1124" s="57" t="n">
        <f aca="false">AN1124*G1124</f>
        <v>5419.2</v>
      </c>
      <c r="AR1124" s="57" t="n">
        <f aca="false">ROUNDUP(MAX(J1124/IF(BZ1124&gt;0,BZ1124,MAX(0.1,N(Cockpit!$I$6))),CC1124)/BS1124,0)*BS1124</f>
        <v>60</v>
      </c>
      <c r="AS1124" s="58" t="n">
        <f aca="false">IF(AP1124&gt;0,J1124/AP1124,-1)</f>
        <v>754</v>
      </c>
      <c r="AT1124" s="58" t="n">
        <f aca="false">IF(AND(OR(BY1124="L1",BY1124="L23"),AP1124&gt;0),SUMIFS($AP$7:$AP$1843,$BY$7:$BY$1843,BY1124,$AS$7:$AS$1843,"&gt;"&amp;AS1124)+SUMIFS($AP$7:$AP$1843,$BY$7:$BY$1843,BY1124,$AS$7:$AS$1843,AS1124,$BQ$7:$BQ$1843,"&lt;="&amp;BQ1124),"")</f>
        <v>27.2595098138576</v>
      </c>
      <c r="AU1124" s="65" t="n">
        <f aca="false">IF(AT1124="",0,MAX(0,MIN(1,(IF(BY1124="L1",Parameter!$E$5,Parameter!$E$6+Parameter!$E$7)-(AT1124-AP1124))/AP1124)))</f>
        <v>1</v>
      </c>
      <c r="AV1124" s="57" t="n">
        <f aca="false">IF(LEFT(Cockpit!$O$5,1)="A",H1124,IF(CA1124=1,CB1124,IF(LEFT(Cockpit!$O$5,1)="B",AZ1124,MAX(AZ1124,H1124))))</f>
        <v>60</v>
      </c>
      <c r="AW1124" s="57" t="n">
        <f aca="false">IF(BT1124=1,0,ROUNDUP(AV1124/BS1124,0))</f>
        <v>2</v>
      </c>
      <c r="AX1124" s="59" t="n">
        <f aca="false">IF(CH1124&gt;0,CH1124*MAX(1,AV1124/X1124),IF(BT1124=1,IF(AV1124&lt;=0,0,BW1124*MAX(1,IF(H1124&gt;0,AV1124/H1124,1))),IF(R1124&gt;0,AW1124/R1124,0))/MAX(0.1,N(Parameter!$M$21)))</f>
        <v>0.0769230769230769</v>
      </c>
      <c r="AY1124" s="57" t="n">
        <f aca="false">AV1124*G1124</f>
        <v>5419.2</v>
      </c>
      <c r="AZ1124" s="57" t="n">
        <f aca="false">ROUNDUP(MAX(J1124/IF(BZ1124&gt;0,BZ1124,MAX(0.1,N(Cockpit!$O$6))),CC1124)/BS1124,0)*BS1124</f>
        <v>60</v>
      </c>
      <c r="BA1124" s="58" t="n">
        <f aca="false">IF(AX1124&gt;0,J1124/AX1124,-1)</f>
        <v>754</v>
      </c>
      <c r="BB1124" s="58" t="n">
        <f aca="false">IF(AND(OR(BY1124="L1",BY1124="L23"),AX1124&gt;0),SUMIFS($AX$7:$AX$1843,$BY$7:$BY$1843,BY1124,$BA$7:$BA$1843,"&gt;"&amp;BA1124)+SUMIFS($AX$7:$AX$1843,$BY$7:$BY$1843,BY1124,$BA$7:$BA$1843,BA1124,$BQ$7:$BQ$1843,"&lt;="&amp;BQ1124),"")</f>
        <v>26.7111415154893</v>
      </c>
      <c r="BC1124" s="65" t="n">
        <f aca="false">IF(BB1124="",0,MAX(0,MIN(1,(IF(BY1124="L1",Parameter!$E$5,Parameter!$E$6+Parameter!$E$7)-(BB1124-AX1124))/AX1124)))</f>
        <v>1</v>
      </c>
      <c r="BD1124" s="55" t="str">
        <f aca="false">IF(AH1124&lt;=0,"",IF(BY1124="Aussen","Aussenlager",IF(BY1124="-","Nicht im Lift",IF(AM1124&gt;=1,"Lift",IF(AM1124&lt;=0,"Aussenlager","teilweise")))))</f>
        <v>Lift</v>
      </c>
      <c r="BE1124" s="55" t="str">
        <f aca="false">IF(AP1124&lt;=0,"",IF(BY1124="Aussen","Aussenlager",IF(BY1124="-","Nicht im Lift",IF(AU1124&gt;=1,"Lift",IF(AU1124&lt;=0,"Aussenlager","teilweise")))))</f>
        <v>Lift</v>
      </c>
      <c r="BF1124" s="55" t="str">
        <f aca="false">IF(AX1124&lt;=0,"",IF(BY1124="Aussen","Aussenlager",IF(BY1124="-","Nicht im Lift",IF(BC1124&gt;=1,"Lift",IF(BC1124&lt;=0,"Aussenlager","teilweise")))))</f>
        <v>Lift</v>
      </c>
      <c r="BG1124" s="55" t="str">
        <f aca="false">IF(A1124="","",IF(BP1124=1,"Neu; ","")&amp;IF(AND(BP1124=0,BK1124&lt;0),"negativer Bestand (Export "&amp;BK1124&amp;"); ","")&amp;IF(J1124&lt;=0,"Kein Verbrauch; ","")&amp;IF(CH1124&gt;0,"Lift "&amp;W1124&amp;" lt. Liftbericht (Fach "&amp;X1124&amp;" Stk); ",IF(BU1124=1,"Gebinde geschätzt ("&amp;T1124&amp;"); ",IF(BT1124=1,"Lose – Tablare geschätzt; ","")))&amp;IF(H1124&gt;AR1124,"Überbestand "&amp;ROUND(H1124-AR1124,0)&amp;" Stk / CHF "&amp;ROUND((H1124-AR1124)*G1124,0)&amp;"; ","")&amp;IF(AND(CA1124=1,CB1124&lt;CC1124),"MAX &lt; MB+LG; ","")&amp;IF(AND(CG1124&gt;0,CF1124*10&gt;CG1124),"zu hoch für Tablar; ","")&amp;IF(AND(BP1124=0,OR(CA1124=1,AA1124&lt;&gt;"",U1124&lt;&gt;"",V1124&lt;&gt;"",AB1124&lt;&gt;"")),"manuell übersteuert; ","")&amp;IF(AND(BT1124=0,R1124=0),"Gebinde unbekannt / Stellmass fehlt; ","")&amp;IF(AND(BT1124=0,N(V1124)&lt;=0,N(Q1124)&lt;=0),"Menge pro Gebinde fehlt (Ist = 1 Gebinde); ","")&amp;BO1124)</f>
        <v>negativer Bestand (Export -2); </v>
      </c>
      <c r="BH1124" s="55"/>
      <c r="BI1124" s="55"/>
      <c r="BJ1124" s="62"/>
      <c r="BK1124" s="57" t="n">
        <v>-2</v>
      </c>
      <c r="BL1124" s="57" t="n">
        <v>38</v>
      </c>
      <c r="BM1124" s="56" t="n">
        <v>-246.380000000003</v>
      </c>
      <c r="BN1124" s="57" t="n">
        <v>58</v>
      </c>
      <c r="BO1124" s="55"/>
      <c r="BP1124" s="60" t="n">
        <v>0</v>
      </c>
      <c r="BQ1124" s="60" t="n">
        <v>1124</v>
      </c>
      <c r="BR1124" s="55" t="str">
        <f aca="false">IF(U1124&lt;&gt;"",UPPER(TRIM(U1124)),IF(BU1124=1,UPPER(VLOOKUP(T1124,Parameter!$I$27:$K$29,2,0)),IF(P1124="","LOSE",P1124)))</f>
        <v>S52</v>
      </c>
      <c r="BS1124" s="57" t="n">
        <f aca="false">IF(BR1124="LOSE",1,IF(N(V1124)&gt;0,V1124,IF(BU1124=1,MAX(1,N(VLOOKUP(T1124,Parameter!$I$27:$K$29,3,0)),H1124,N(N1124)),IF(N(Q1124)&gt;0,Q1124,MAX(1,H1124)))))</f>
        <v>30</v>
      </c>
      <c r="BT1124" s="60" t="n">
        <f aca="false">IF(BR1124="LOSE",1,0)</f>
        <v>0</v>
      </c>
      <c r="BU1124" s="60" t="n">
        <f aca="false">IF(AND(U1124="",OR(P1124="",P1124="LOSE"),T1124&lt;&gt;"",N(S1124)&lt;=0,ISNUMBER(MATCH(T1124,Parameter!$I$27:$I$29,0))),1,0)</f>
        <v>0</v>
      </c>
      <c r="BV1124" s="55" t="str">
        <f aca="false">IF(AND(Parameter!$B$19="Ja",E1124&lt;&gt;"",ISNUMBER(MATCH(E1124,Parameter!$I$35:$I$52,0))),VLOOKUP(E1124,Parameter!$I$35:$J$52,2,0),IFERROR(VLOOKUP(D1124,Parameter!$A$35:$C$64,2,0),"Nein"))</f>
        <v>2+3</v>
      </c>
      <c r="BW1124" s="59" t="n">
        <f aca="false">IF(BT1124=0,0,IF(N(S1124)&gt;0,S1124,IFERROR(VLOOKUP(D1124,Parameter!$A$35:$C$64,3,0)+0,0)))</f>
        <v>0</v>
      </c>
      <c r="BX1124" s="55" t="n">
        <f aca="false">IF(AA1124&lt;&gt;"",AA1124,Z1124)</f>
        <v>3</v>
      </c>
      <c r="BY1124" s="55" t="str">
        <f aca="false">IF(BX1124=1,"L1",IF(OR(BX1124=2,BX1124=3),"L23",IF(BX1124="Aussen","Aussen","-")))</f>
        <v>L23</v>
      </c>
      <c r="BZ1124" s="66" t="n">
        <f aca="false">IF(N(AB1124)&gt;0,AB1124,0)</f>
        <v>0</v>
      </c>
      <c r="CA1124" s="60" t="n">
        <f aca="false">IF(ISNUMBER(AE1124),1,0)</f>
        <v>0</v>
      </c>
      <c r="CB1124" s="57" t="n">
        <f aca="false">N(AE1124)</f>
        <v>0</v>
      </c>
      <c r="CC1124" s="57" t="n">
        <f aca="false">N(M1124)+N(N1124)</f>
        <v>45</v>
      </c>
      <c r="CD1124" s="57" t="n">
        <f aca="false">ROUNDUP(H1124/BS1124,0)</f>
        <v>2</v>
      </c>
      <c r="CE1124" s="57" t="n">
        <f aca="false">ROUNDUP(CB1124/BS1124,0)</f>
        <v>0</v>
      </c>
      <c r="CF1124" s="60" t="n">
        <f aca="false">IF(BT1124=1,0,IFERROR(VLOOKUP(BR1124,'Gebinde-Kategorie'!$A$5:$M$45,5,0)+0,0))</f>
        <v>21</v>
      </c>
      <c r="CG1124" s="60" t="n">
        <f aca="false">IFERROR(IF(OR(BX1124=1,BX1124=2,BX1124=3),N(INDEX(Parameter!$I$5:$I$7,BX1124)),0),0)</f>
        <v>0</v>
      </c>
      <c r="CH1124" s="59" t="n">
        <f aca="false">IF(AND(Parameter!$B$21="Ja",ISNUMBER(W1124),N(X1124)&gt;0),IFERROR(N(INDEX(Parameter!$L$5:$L$7,W1124))*INDEX(Parameter!$E$5:$E$7,W1124)*X1124/SUMIFS($X$7:$X$1843,$W$7:$W$1843,W1124),0),0)</f>
        <v>0</v>
      </c>
    </row>
    <row r="1125" customFormat="false" ht="15" hidden="false" customHeight="false" outlineLevel="0" collapsed="false">
      <c r="A1125" s="55" t="s">
        <v>2039</v>
      </c>
      <c r="B1125" s="55" t="s">
        <v>749</v>
      </c>
      <c r="C1125" s="55" t="s">
        <v>164</v>
      </c>
      <c r="D1125" s="55" t="s">
        <v>184</v>
      </c>
      <c r="E1125" s="55"/>
      <c r="F1125" s="55" t="s">
        <v>218</v>
      </c>
      <c r="G1125" s="56" t="n">
        <v>123.42</v>
      </c>
      <c r="H1125" s="57" t="n">
        <f aca="false">MAX(0,IF(AND(Parameter!$B$21="Ja",ISNUMBER(Y1125)),Y1125,IF(Parameter!$B$20="Jahresanfang 2025 + Export",BL1125+BK1125,BK1125)))</f>
        <v>2</v>
      </c>
      <c r="I1125" s="57" t="n">
        <f aca="false">H1125*G1125</f>
        <v>246.84</v>
      </c>
      <c r="J1125" s="57" t="n">
        <f aca="false">BN1125*Parameter!$B$18</f>
        <v>2</v>
      </c>
      <c r="K1125" s="58" t="n">
        <v>3</v>
      </c>
      <c r="L1125" s="59" t="n">
        <v>0.666666666666667</v>
      </c>
      <c r="M1125" s="57" t="n">
        <v>0</v>
      </c>
      <c r="N1125" s="57" t="n">
        <v>1</v>
      </c>
      <c r="O1125" s="60" t="n">
        <v>28</v>
      </c>
      <c r="P1125" s="55" t="s">
        <v>421</v>
      </c>
      <c r="Q1125" s="57" t="n">
        <v>5</v>
      </c>
      <c r="R1125" s="60" t="n">
        <f aca="false">IF(BT1125=1,0,IFERROR(VLOOKUP(BR1125,'Gebinde-Kategorie'!$A$5:$M$45,13,0)+0,0))</f>
        <v>132</v>
      </c>
      <c r="S1125" s="61"/>
      <c r="T1125" s="62"/>
      <c r="U1125" s="62"/>
      <c r="V1125" s="62"/>
      <c r="W1125" s="55"/>
      <c r="X1125" s="57"/>
      <c r="Y1125" s="57"/>
      <c r="Z1125" s="55" t="n">
        <f aca="false">IF(A1125="","",IF(AND(Parameter!$B$21="Ja",ISNUMBER(W1125)),W1125,IF(BV1125="2+3",IF(ISNUMBER(SEARCH("grosser Artikel",BO1125)),2,IFERROR(VLOOKUP(BR1125,Parameter!$F$35:$G$64,2,0),2)),IF(OR(BV1125="Nein",BV1125=""),"-",BV1125))))</f>
        <v>3</v>
      </c>
      <c r="AA1125" s="62"/>
      <c r="AB1125" s="63"/>
      <c r="AC1125" s="57" t="n">
        <f aca="false">AR1125</f>
        <v>5</v>
      </c>
      <c r="AD1125" s="57" t="n">
        <f aca="false">MAX(AR1125,H1125)</f>
        <v>5</v>
      </c>
      <c r="AE1125" s="64"/>
      <c r="AF1125" s="57" t="n">
        <f aca="false">IF(LEFT(Cockpit!$C$5,1)="A",H1125,IF(CA1125=1,CB1125,IF(LEFT(Cockpit!$C$5,1)="B",AJ1125,MAX(AJ1125,H1125))))</f>
        <v>2</v>
      </c>
      <c r="AG1125" s="57" t="n">
        <f aca="false">IF(BT1125=1,0,ROUNDUP(AF1125/BS1125,0))</f>
        <v>1</v>
      </c>
      <c r="AH1125" s="59" t="n">
        <f aca="false">IF(CH1125&gt;0,CH1125*MAX(1,AF1125/X1125),IF(BT1125=1,IF(AF1125&lt;=0,0,BW1125*MAX(1,IF(H1125&gt;0,AF1125/H1125,1))),IF(R1125&gt;0,AG1125/R1125,0))/MAX(0.1,N(Parameter!$M$21)))</f>
        <v>0.00757575757575758</v>
      </c>
      <c r="AI1125" s="57" t="n">
        <f aca="false">AF1125*G1125</f>
        <v>246.84</v>
      </c>
      <c r="AJ1125" s="57" t="n">
        <f aca="false">ROUNDUP(MAX(J1125/IF(BZ1125&gt;0,BZ1125,MAX(0.1,N(Cockpit!$C$6))),CC1125)/BS1125,0)*BS1125</f>
        <v>5</v>
      </c>
      <c r="AK1125" s="58" t="n">
        <f aca="false">IF(AH1125&gt;0,J1125/AH1125,-1)</f>
        <v>264</v>
      </c>
      <c r="AL1125" s="58" t="n">
        <f aca="false">IF(AND(OR(BY1125="L1",BY1125="L23"),AH1125&gt;0),SUMIFS($AH$7:$AH$1843,$BY$7:$BY$1843,BY1125,$AK$7:$AK$1843,"&gt;"&amp;AK1125)+SUMIFS($AH$7:$AH$1843,$BY$7:$BY$1843,BY1125,$AK$7:$AK$1843,AK1125,$BQ$7:$BQ$1843,"&lt;="&amp;BQ1125),"")</f>
        <v>29.1341255362995</v>
      </c>
      <c r="AM1125" s="65" t="n">
        <f aca="false">IF(AL1125="",0,MAX(0,MIN(1,(IF(BY1125="L1",Parameter!$E$5,Parameter!$E$6+Parameter!$E$7)-(AL1125-AH1125))/AH1125)))</f>
        <v>1</v>
      </c>
      <c r="AN1125" s="57" t="n">
        <f aca="false">IF(LEFT(Cockpit!$I$5,1)="A",H1125,IF(CA1125=1,CB1125,IF(LEFT(Cockpit!$I$5,1)="B",AR1125,MAX(AR1125,H1125))))</f>
        <v>5</v>
      </c>
      <c r="AO1125" s="57" t="n">
        <f aca="false">IF(BT1125=1,0,ROUNDUP(AN1125/BS1125,0))</f>
        <v>1</v>
      </c>
      <c r="AP1125" s="59" t="n">
        <f aca="false">IF(CH1125&gt;0,CH1125*MAX(1,AN1125/X1125),IF(BT1125=1,IF(AN1125&lt;=0,0,BW1125*MAX(1,IF(H1125&gt;0,AN1125/H1125,1))),IF(R1125&gt;0,AO1125/R1125,0))/MAX(0.1,N(Parameter!$M$21)))</f>
        <v>0.00757575757575758</v>
      </c>
      <c r="AQ1125" s="57" t="n">
        <f aca="false">AN1125*G1125</f>
        <v>617.1</v>
      </c>
      <c r="AR1125" s="57" t="n">
        <f aca="false">ROUNDUP(MAX(J1125/IF(BZ1125&gt;0,BZ1125,MAX(0.1,N(Cockpit!$I$6))),CC1125)/BS1125,0)*BS1125</f>
        <v>5</v>
      </c>
      <c r="AS1125" s="58" t="n">
        <f aca="false">IF(AP1125&gt;0,J1125/AP1125,-1)</f>
        <v>264</v>
      </c>
      <c r="AT1125" s="58" t="n">
        <f aca="false">IF(AND(OR(BY1125="L1",BY1125="L23"),AP1125&gt;0),SUMIFS($AP$7:$AP$1843,$BY$7:$BY$1843,BY1125,$AS$7:$AS$1843,"&gt;"&amp;AS1125)+SUMIFS($AP$7:$AP$1843,$BY$7:$BY$1843,BY1125,$AS$7:$AS$1843,AS1125,$BQ$7:$BQ$1843,"&lt;="&amp;BQ1125),"")</f>
        <v>42.3432147562582</v>
      </c>
      <c r="AU1125" s="65" t="n">
        <f aca="false">IF(AT1125="",0,MAX(0,MIN(1,(IF(BY1125="L1",Parameter!$E$5,Parameter!$E$6+Parameter!$E$7)-(AT1125-AP1125))/AP1125)))</f>
        <v>1</v>
      </c>
      <c r="AV1125" s="57" t="n">
        <f aca="false">IF(LEFT(Cockpit!$O$5,1)="A",H1125,IF(CA1125=1,CB1125,IF(LEFT(Cockpit!$O$5,1)="B",AZ1125,MAX(AZ1125,H1125))))</f>
        <v>5</v>
      </c>
      <c r="AW1125" s="57" t="n">
        <f aca="false">IF(BT1125=1,0,ROUNDUP(AV1125/BS1125,0))</f>
        <v>1</v>
      </c>
      <c r="AX1125" s="59" t="n">
        <f aca="false">IF(CH1125&gt;0,CH1125*MAX(1,AV1125/X1125),IF(BT1125=1,IF(AV1125&lt;=0,0,BW1125*MAX(1,IF(H1125&gt;0,AV1125/H1125,1))),IF(R1125&gt;0,AW1125/R1125,0))/MAX(0.1,N(Parameter!$M$21)))</f>
        <v>0.00757575757575758</v>
      </c>
      <c r="AY1125" s="57" t="n">
        <f aca="false">AV1125*G1125</f>
        <v>617.1</v>
      </c>
      <c r="AZ1125" s="57" t="n">
        <f aca="false">ROUNDUP(MAX(J1125/IF(BZ1125&gt;0,BZ1125,MAX(0.1,N(Cockpit!$O$6))),CC1125)/BS1125,0)*BS1125</f>
        <v>5</v>
      </c>
      <c r="BA1125" s="58" t="n">
        <f aca="false">IF(AX1125&gt;0,J1125/AX1125,-1)</f>
        <v>264</v>
      </c>
      <c r="BB1125" s="58" t="n">
        <f aca="false">IF(AND(OR(BY1125="L1",BY1125="L23"),AX1125&gt;0),SUMIFS($AX$7:$AX$1843,$BY$7:$BY$1843,BY1125,$BA$7:$BA$1843,"&gt;"&amp;BA1125)+SUMIFS($AX$7:$AX$1843,$BY$7:$BY$1843,BY1125,$BA$7:$BA$1843,BA1125,$BQ$7:$BQ$1843,"&lt;="&amp;BQ1125),"")</f>
        <v>38.6730515860951</v>
      </c>
      <c r="BC1125" s="65" t="n">
        <f aca="false">IF(BB1125="",0,MAX(0,MIN(1,(IF(BY1125="L1",Parameter!$E$5,Parameter!$E$6+Parameter!$E$7)-(BB1125-AX1125))/AX1125)))</f>
        <v>1</v>
      </c>
      <c r="BD1125" s="55" t="str">
        <f aca="false">IF(AH1125&lt;=0,"",IF(BY1125="Aussen","Aussenlager",IF(BY1125="-","Nicht im Lift",IF(AM1125&gt;=1,"Lift",IF(AM1125&lt;=0,"Aussenlager","teilweise")))))</f>
        <v>Lift</v>
      </c>
      <c r="BE1125" s="55" t="str">
        <f aca="false">IF(AP1125&lt;=0,"",IF(BY1125="Aussen","Aussenlager",IF(BY1125="-","Nicht im Lift",IF(AU1125&gt;=1,"Lift",IF(AU1125&lt;=0,"Aussenlager","teilweise")))))</f>
        <v>Lift</v>
      </c>
      <c r="BF1125" s="55" t="str">
        <f aca="false">IF(AX1125&lt;=0,"",IF(BY1125="Aussen","Aussenlager",IF(BY1125="-","Nicht im Lift",IF(BC1125&gt;=1,"Lift",IF(BC1125&lt;=0,"Aussenlager","teilweise")))))</f>
        <v>Lift</v>
      </c>
      <c r="BG1125" s="55" t="str">
        <f aca="false">IF(A1125="","",IF(BP1125=1,"Neu; ","")&amp;IF(AND(BP1125=0,BK1125&lt;0),"negativer Bestand (Export "&amp;BK1125&amp;"); ","")&amp;IF(J1125&lt;=0,"Kein Verbrauch; ","")&amp;IF(CH1125&gt;0,"Lift "&amp;W1125&amp;" lt. Liftbericht (Fach "&amp;X1125&amp;" Stk); ",IF(BU1125=1,"Gebinde geschätzt ("&amp;T1125&amp;"); ",IF(BT1125=1,"Lose – Tablare geschätzt; ","")))&amp;IF(H1125&gt;AR1125,"Überbestand "&amp;ROUND(H1125-AR1125,0)&amp;" Stk / CHF "&amp;ROUND((H1125-AR1125)*G1125,0)&amp;"; ","")&amp;IF(AND(CA1125=1,CB1125&lt;CC1125),"MAX &lt; MB+LG; ","")&amp;IF(AND(CG1125&gt;0,CF1125*10&gt;CG1125),"zu hoch für Tablar; ","")&amp;IF(AND(BP1125=0,OR(CA1125=1,AA1125&lt;&gt;"",U1125&lt;&gt;"",V1125&lt;&gt;"",AB1125&lt;&gt;"")),"manuell übersteuert; ","")&amp;IF(AND(BT1125=0,R1125=0),"Gebinde unbekannt / Stellmass fehlt; ","")&amp;IF(AND(BT1125=0,N(V1125)&lt;=0,N(Q1125)&lt;=0),"Menge pro Gebinde fehlt (Ist = 1 Gebinde); ","")&amp;BO1125)</f>
        <v>negativer Bestand (Export -2); </v>
      </c>
      <c r="BH1125" s="55"/>
      <c r="BI1125" s="55"/>
      <c r="BJ1125" s="62"/>
      <c r="BK1125" s="57" t="n">
        <v>-2</v>
      </c>
      <c r="BL1125" s="57" t="n">
        <v>4</v>
      </c>
      <c r="BM1125" s="56" t="n">
        <v>-246.84</v>
      </c>
      <c r="BN1125" s="57" t="n">
        <v>2</v>
      </c>
      <c r="BO1125" s="55"/>
      <c r="BP1125" s="60" t="n">
        <v>0</v>
      </c>
      <c r="BQ1125" s="60" t="n">
        <v>1125</v>
      </c>
      <c r="BR1125" s="55" t="str">
        <f aca="false">IF(U1125&lt;&gt;"",UPPER(TRIM(U1125)),IF(BU1125=1,UPPER(VLOOKUP(T1125,Parameter!$I$27:$K$29,2,0)),IF(P1125="","LOSE",P1125)))</f>
        <v>S32</v>
      </c>
      <c r="BS1125" s="57" t="n">
        <f aca="false">IF(BR1125="LOSE",1,IF(N(V1125)&gt;0,V1125,IF(BU1125=1,MAX(1,N(VLOOKUP(T1125,Parameter!$I$27:$K$29,3,0)),H1125,N(N1125)),IF(N(Q1125)&gt;0,Q1125,MAX(1,H1125)))))</f>
        <v>5</v>
      </c>
      <c r="BT1125" s="60" t="n">
        <f aca="false">IF(BR1125="LOSE",1,0)</f>
        <v>0</v>
      </c>
      <c r="BU1125" s="60" t="n">
        <f aca="false">IF(AND(U1125="",OR(P1125="",P1125="LOSE"),T1125&lt;&gt;"",N(S1125)&lt;=0,ISNUMBER(MATCH(T1125,Parameter!$I$27:$I$29,0))),1,0)</f>
        <v>0</v>
      </c>
      <c r="BV1125" s="55" t="str">
        <f aca="false">IF(AND(Parameter!$B$19="Ja",E1125&lt;&gt;"",ISNUMBER(MATCH(E1125,Parameter!$I$35:$I$52,0))),VLOOKUP(E1125,Parameter!$I$35:$J$52,2,0),IFERROR(VLOOKUP(D1125,Parameter!$A$35:$C$64,2,0),"Nein"))</f>
        <v>2+3</v>
      </c>
      <c r="BW1125" s="59" t="n">
        <f aca="false">IF(BT1125=0,0,IF(N(S1125)&gt;0,S1125,IFERROR(VLOOKUP(D1125,Parameter!$A$35:$C$64,3,0)+0,0)))</f>
        <v>0</v>
      </c>
      <c r="BX1125" s="55" t="n">
        <f aca="false">IF(AA1125&lt;&gt;"",AA1125,Z1125)</f>
        <v>3</v>
      </c>
      <c r="BY1125" s="55" t="str">
        <f aca="false">IF(BX1125=1,"L1",IF(OR(BX1125=2,BX1125=3),"L23",IF(BX1125="Aussen","Aussen","-")))</f>
        <v>L23</v>
      </c>
      <c r="BZ1125" s="66" t="n">
        <f aca="false">IF(N(AB1125)&gt;0,AB1125,0)</f>
        <v>0</v>
      </c>
      <c r="CA1125" s="60" t="n">
        <f aca="false">IF(ISNUMBER(AE1125),1,0)</f>
        <v>0</v>
      </c>
      <c r="CB1125" s="57" t="n">
        <f aca="false">N(AE1125)</f>
        <v>0</v>
      </c>
      <c r="CC1125" s="57" t="n">
        <f aca="false">N(M1125)+N(N1125)</f>
        <v>1</v>
      </c>
      <c r="CD1125" s="57" t="n">
        <f aca="false">ROUNDUP(H1125/BS1125,0)</f>
        <v>1</v>
      </c>
      <c r="CE1125" s="57" t="n">
        <f aca="false">ROUNDUP(CB1125/BS1125,0)</f>
        <v>0</v>
      </c>
      <c r="CF1125" s="60" t="n">
        <f aca="false">IF(BT1125=1,0,IFERROR(VLOOKUP(BR1125,'Gebinde-Kategorie'!$A$5:$M$45,5,0)+0,0))</f>
        <v>8</v>
      </c>
      <c r="CG1125" s="60" t="n">
        <f aca="false">IFERROR(IF(OR(BX1125=1,BX1125=2,BX1125=3),N(INDEX(Parameter!$I$5:$I$7,BX1125)),0),0)</f>
        <v>0</v>
      </c>
      <c r="CH1125" s="59" t="n">
        <f aca="false">IF(AND(Parameter!$B$21="Ja",ISNUMBER(W1125),N(X1125)&gt;0),IFERROR(N(INDEX(Parameter!$L$5:$L$7,W1125))*INDEX(Parameter!$E$5:$E$7,W1125)*X1125/SUMIFS($X$7:$X$1843,$W$7:$W$1843,W1125),0),0)</f>
        <v>0</v>
      </c>
    </row>
    <row r="1126" customFormat="false" ht="15" hidden="false" customHeight="false" outlineLevel="0" collapsed="false">
      <c r="A1126" s="55" t="s">
        <v>2040</v>
      </c>
      <c r="B1126" s="55" t="s">
        <v>2041</v>
      </c>
      <c r="C1126" s="55" t="s">
        <v>164</v>
      </c>
      <c r="D1126" s="55" t="s">
        <v>184</v>
      </c>
      <c r="E1126" s="55" t="s">
        <v>185</v>
      </c>
      <c r="F1126" s="55" t="s">
        <v>218</v>
      </c>
      <c r="G1126" s="56" t="n">
        <v>82.88</v>
      </c>
      <c r="H1126" s="57" t="n">
        <f aca="false">MAX(0,IF(AND(Parameter!$B$21="Ja",ISNUMBER(Y1126)),Y1126,IF(Parameter!$B$20="Jahresanfang 2025 + Export",BL1126+BK1126,BK1126)))</f>
        <v>14</v>
      </c>
      <c r="I1126" s="57" t="n">
        <f aca="false">H1126*G1126</f>
        <v>1160.32</v>
      </c>
      <c r="J1126" s="57" t="n">
        <f aca="false">BN1126*Parameter!$B$18</f>
        <v>0</v>
      </c>
      <c r="K1126" s="58" t="n">
        <v>17</v>
      </c>
      <c r="L1126" s="59" t="n">
        <v>0</v>
      </c>
      <c r="M1126" s="57" t="n">
        <v>0</v>
      </c>
      <c r="N1126" s="57" t="n">
        <v>1</v>
      </c>
      <c r="O1126" s="60" t="n">
        <v>28</v>
      </c>
      <c r="P1126" s="55" t="s">
        <v>421</v>
      </c>
      <c r="Q1126" s="57" t="n">
        <v>18</v>
      </c>
      <c r="R1126" s="60" t="n">
        <f aca="false">IF(BT1126=1,0,IFERROR(VLOOKUP(BR1126,'Gebinde-Kategorie'!$A$5:$M$45,13,0)+0,0))</f>
        <v>132</v>
      </c>
      <c r="S1126" s="61"/>
      <c r="T1126" s="62"/>
      <c r="U1126" s="62"/>
      <c r="V1126" s="62"/>
      <c r="W1126" s="55"/>
      <c r="X1126" s="57"/>
      <c r="Y1126" s="57"/>
      <c r="Z1126" s="55" t="n">
        <f aca="false">IF(A1126="","",IF(AND(Parameter!$B$21="Ja",ISNUMBER(W1126)),W1126,IF(BV1126="2+3",IF(ISNUMBER(SEARCH("grosser Artikel",BO1126)),2,IFERROR(VLOOKUP(BR1126,Parameter!$F$35:$G$64,2,0),2)),IF(OR(BV1126="Nein",BV1126=""),"-",BV1126))))</f>
        <v>3</v>
      </c>
      <c r="AA1126" s="62"/>
      <c r="AB1126" s="63"/>
      <c r="AC1126" s="57" t="n">
        <f aca="false">AR1126</f>
        <v>18</v>
      </c>
      <c r="AD1126" s="57" t="n">
        <f aca="false">MAX(AR1126,H1126)</f>
        <v>18</v>
      </c>
      <c r="AE1126" s="64"/>
      <c r="AF1126" s="57" t="n">
        <f aca="false">IF(LEFT(Cockpit!$C$5,1)="A",H1126,IF(CA1126=1,CB1126,IF(LEFT(Cockpit!$C$5,1)="B",AJ1126,MAX(AJ1126,H1126))))</f>
        <v>14</v>
      </c>
      <c r="AG1126" s="57" t="n">
        <f aca="false">IF(BT1126=1,0,ROUNDUP(AF1126/BS1126,0))</f>
        <v>1</v>
      </c>
      <c r="AH1126" s="59" t="n">
        <f aca="false">IF(CH1126&gt;0,CH1126*MAX(1,AF1126/X1126),IF(BT1126=1,IF(AF1126&lt;=0,0,BW1126*MAX(1,IF(H1126&gt;0,AF1126/H1126,1))),IF(R1126&gt;0,AG1126/R1126,0))/MAX(0.1,N(Parameter!$M$21)))</f>
        <v>0.00757575757575758</v>
      </c>
      <c r="AI1126" s="57" t="n">
        <f aca="false">AF1126*G1126</f>
        <v>1160.32</v>
      </c>
      <c r="AJ1126" s="57" t="n">
        <f aca="false">ROUNDUP(MAX(J1126/IF(BZ1126&gt;0,BZ1126,MAX(0.1,N(Cockpit!$C$6))),CC1126)/BS1126,0)*BS1126</f>
        <v>18</v>
      </c>
      <c r="AK1126" s="58" t="n">
        <f aca="false">IF(AH1126&gt;0,J1126/AH1126,-1)</f>
        <v>0</v>
      </c>
      <c r="AL1126" s="58" t="n">
        <f aca="false">IF(AND(OR(BY1126="L1",BY1126="L23"),AH1126&gt;0),SUMIFS($AH$7:$AH$1843,$BY$7:$BY$1843,BY1126,$AK$7:$AK$1843,"&gt;"&amp;AK1126)+SUMIFS($AH$7:$AH$1843,$BY$7:$BY$1843,BY1126,$AK$7:$AK$1843,AK1126,$BQ$7:$BQ$1843,"&lt;="&amp;BQ1126),"")</f>
        <v>79.4741900611466</v>
      </c>
      <c r="AM1126" s="65" t="n">
        <f aca="false">IF(AL1126="",0,MAX(0,MIN(1,(IF(BY1126="L1",Parameter!$E$5,Parameter!$E$6+Parameter!$E$7)-(AL1126-AH1126))/AH1126)))</f>
        <v>1</v>
      </c>
      <c r="AN1126" s="57" t="n">
        <f aca="false">IF(LEFT(Cockpit!$I$5,1)="A",H1126,IF(CA1126=1,CB1126,IF(LEFT(Cockpit!$I$5,1)="B",AR1126,MAX(AR1126,H1126))))</f>
        <v>18</v>
      </c>
      <c r="AO1126" s="57" t="n">
        <f aca="false">IF(BT1126=1,0,ROUNDUP(AN1126/BS1126,0))</f>
        <v>1</v>
      </c>
      <c r="AP1126" s="59" t="n">
        <f aca="false">IF(CH1126&gt;0,CH1126*MAX(1,AN1126/X1126),IF(BT1126=1,IF(AN1126&lt;=0,0,BW1126*MAX(1,IF(H1126&gt;0,AN1126/H1126,1))),IF(R1126&gt;0,AO1126/R1126,0))/MAX(0.1,N(Parameter!$M$21)))</f>
        <v>0.00757575757575758</v>
      </c>
      <c r="AQ1126" s="57" t="n">
        <f aca="false">AN1126*G1126</f>
        <v>1491.84</v>
      </c>
      <c r="AR1126" s="57" t="n">
        <f aca="false">ROUNDUP(MAX(J1126/IF(BZ1126&gt;0,BZ1126,MAX(0.1,N(Cockpit!$I$6))),CC1126)/BS1126,0)*BS1126</f>
        <v>18</v>
      </c>
      <c r="AS1126" s="58" t="n">
        <f aca="false">IF(AP1126&gt;0,J1126/AP1126,-1)</f>
        <v>0</v>
      </c>
      <c r="AT1126" s="58" t="n">
        <f aca="false">IF(AND(OR(BY1126="L1",BY1126="L23"),AP1126&gt;0),SUMIFS($AP$7:$AP$1843,$BY$7:$BY$1843,BY1126,$AS$7:$AS$1843,"&gt;"&amp;AS1126)+SUMIFS($AP$7:$AP$1843,$BY$7:$BY$1843,BY1126,$AS$7:$AS$1843,AS1126,$BQ$7:$BQ$1843,"&lt;="&amp;BQ1126),"")</f>
        <v>121.376921387791</v>
      </c>
      <c r="AU1126" s="65" t="n">
        <f aca="false">IF(AT1126="",0,MAX(0,MIN(1,(IF(BY1126="L1",Parameter!$E$5,Parameter!$E$6+Parameter!$E$7)-(AT1126-AP1126))/AP1126)))</f>
        <v>0</v>
      </c>
      <c r="AV1126" s="57" t="n">
        <f aca="false">IF(LEFT(Cockpit!$O$5,1)="A",H1126,IF(CA1126=1,CB1126,IF(LEFT(Cockpit!$O$5,1)="B",AZ1126,MAX(AZ1126,H1126))))</f>
        <v>18</v>
      </c>
      <c r="AW1126" s="57" t="n">
        <f aca="false">IF(BT1126=1,0,ROUNDUP(AV1126/BS1126,0))</f>
        <v>1</v>
      </c>
      <c r="AX1126" s="59" t="n">
        <f aca="false">IF(CH1126&gt;0,CH1126*MAX(1,AV1126/X1126),IF(BT1126=1,IF(AV1126&lt;=0,0,BW1126*MAX(1,IF(H1126&gt;0,AV1126/H1126,1))),IF(R1126&gt;0,AW1126/R1126,0))/MAX(0.1,N(Parameter!$M$21)))</f>
        <v>0.00757575757575758</v>
      </c>
      <c r="AY1126" s="57" t="n">
        <f aca="false">AV1126*G1126</f>
        <v>1491.84</v>
      </c>
      <c r="AZ1126" s="57" t="n">
        <f aca="false">ROUNDUP(MAX(J1126/IF(BZ1126&gt;0,BZ1126,MAX(0.1,N(Cockpit!$O$6))),CC1126)/BS1126,0)*BS1126</f>
        <v>18</v>
      </c>
      <c r="BA1126" s="58" t="n">
        <f aca="false">IF(AX1126&gt;0,J1126/AX1126,-1)</f>
        <v>0</v>
      </c>
      <c r="BB1126" s="58" t="n">
        <f aca="false">IF(AND(OR(BY1126="L1",BY1126="L23"),AX1126&gt;0),SUMIFS($AX$7:$AX$1843,$BY$7:$BY$1843,BY1126,$BA$7:$BA$1843,"&gt;"&amp;BA1126)+SUMIFS($AX$7:$AX$1843,$BY$7:$BY$1843,BY1126,$BA$7:$BA$1843,BA1126,$BQ$7:$BQ$1843,"&lt;="&amp;BQ1126),"")</f>
        <v>112.206758217628</v>
      </c>
      <c r="BC1126" s="65" t="n">
        <f aca="false">IF(BB1126="",0,MAX(0,MIN(1,(IF(BY1126="L1",Parameter!$E$5,Parameter!$E$6+Parameter!$E$7)-(BB1126-AX1126))/AX1126)))</f>
        <v>0</v>
      </c>
      <c r="BD1126" s="55" t="str">
        <f aca="false">IF(AH1126&lt;=0,"",IF(BY1126="Aussen","Aussenlager",IF(BY1126="-","Nicht im Lift",IF(AM1126&gt;=1,"Lift",IF(AM1126&lt;=0,"Aussenlager","teilweise")))))</f>
        <v>Lift</v>
      </c>
      <c r="BE1126" s="55" t="str">
        <f aca="false">IF(AP1126&lt;=0,"",IF(BY1126="Aussen","Aussenlager",IF(BY1126="-","Nicht im Lift",IF(AU1126&gt;=1,"Lift",IF(AU1126&lt;=0,"Aussenlager","teilweise")))))</f>
        <v>Aussenlager</v>
      </c>
      <c r="BF1126" s="55" t="str">
        <f aca="false">IF(AX1126&lt;=0,"",IF(BY1126="Aussen","Aussenlager",IF(BY1126="-","Nicht im Lift",IF(BC1126&gt;=1,"Lift",IF(BC1126&lt;=0,"Aussenlager","teilweise")))))</f>
        <v>Aussenlager</v>
      </c>
      <c r="BG1126" s="55" t="str">
        <f aca="false">IF(A1126="","",IF(BP1126=1,"Neu; ","")&amp;IF(AND(BP1126=0,BK1126&lt;0),"negativer Bestand (Export "&amp;BK1126&amp;"); ","")&amp;IF(J1126&lt;=0,"Kein Verbrauch; ","")&amp;IF(CH1126&gt;0,"Lift "&amp;W1126&amp;" lt. Liftbericht (Fach "&amp;X1126&amp;" Stk); ",IF(BU1126=1,"Gebinde geschätzt ("&amp;T1126&amp;"); ",IF(BT1126=1,"Lose – Tablare geschätzt; ","")))&amp;IF(H1126&gt;AR1126,"Überbestand "&amp;ROUND(H1126-AR1126,0)&amp;" Stk / CHF "&amp;ROUND((H1126-AR1126)*G1126,0)&amp;"; ","")&amp;IF(AND(CA1126=1,CB1126&lt;CC1126),"MAX &lt; MB+LG; ","")&amp;IF(AND(CG1126&gt;0,CF1126*10&gt;CG1126),"zu hoch für Tablar; ","")&amp;IF(AND(BP1126=0,OR(CA1126=1,AA1126&lt;&gt;"",U1126&lt;&gt;"",V1126&lt;&gt;"",AB1126&lt;&gt;"")),"manuell übersteuert; ","")&amp;IF(AND(BT1126=0,R1126=0),"Gebinde unbekannt / Stellmass fehlt; ","")&amp;IF(AND(BT1126=0,N(V1126)&lt;=0,N(Q1126)&lt;=0),"Menge pro Gebinde fehlt (Ist = 1 Gebinde); ","")&amp;BO1126)</f>
        <v>negativer Bestand (Export -3); Kein Verbrauch; </v>
      </c>
      <c r="BH1126" s="55"/>
      <c r="BI1126" s="55"/>
      <c r="BJ1126" s="62"/>
      <c r="BK1126" s="57" t="n">
        <v>-3</v>
      </c>
      <c r="BL1126" s="57" t="n">
        <v>17</v>
      </c>
      <c r="BM1126" s="56" t="n">
        <v>-248.64</v>
      </c>
      <c r="BN1126" s="57" t="n">
        <v>0</v>
      </c>
      <c r="BO1126" s="55"/>
      <c r="BP1126" s="60" t="n">
        <v>0</v>
      </c>
      <c r="BQ1126" s="60" t="n">
        <v>1126</v>
      </c>
      <c r="BR1126" s="55" t="str">
        <f aca="false">IF(U1126&lt;&gt;"",UPPER(TRIM(U1126)),IF(BU1126=1,UPPER(VLOOKUP(T1126,Parameter!$I$27:$K$29,2,0)),IF(P1126="","LOSE",P1126)))</f>
        <v>S32</v>
      </c>
      <c r="BS1126" s="57" t="n">
        <f aca="false">IF(BR1126="LOSE",1,IF(N(V1126)&gt;0,V1126,IF(BU1126=1,MAX(1,N(VLOOKUP(T1126,Parameter!$I$27:$K$29,3,0)),H1126,N(N1126)),IF(N(Q1126)&gt;0,Q1126,MAX(1,H1126)))))</f>
        <v>18</v>
      </c>
      <c r="BT1126" s="60" t="n">
        <f aca="false">IF(BR1126="LOSE",1,0)</f>
        <v>0</v>
      </c>
      <c r="BU1126" s="60" t="n">
        <f aca="false">IF(AND(U1126="",OR(P1126="",P1126="LOSE"),T1126&lt;&gt;"",N(S1126)&lt;=0,ISNUMBER(MATCH(T1126,Parameter!$I$27:$I$29,0))),1,0)</f>
        <v>0</v>
      </c>
      <c r="BV1126" s="55" t="str">
        <f aca="false">IF(AND(Parameter!$B$19="Ja",E1126&lt;&gt;"",ISNUMBER(MATCH(E1126,Parameter!$I$35:$I$52,0))),VLOOKUP(E1126,Parameter!$I$35:$J$52,2,0),IFERROR(VLOOKUP(D1126,Parameter!$A$35:$C$64,2,0),"Nein"))</f>
        <v>2+3</v>
      </c>
      <c r="BW1126" s="59" t="n">
        <f aca="false">IF(BT1126=0,0,IF(N(S1126)&gt;0,S1126,IFERROR(VLOOKUP(D1126,Parameter!$A$35:$C$64,3,0)+0,0)))</f>
        <v>0</v>
      </c>
      <c r="BX1126" s="55" t="n">
        <f aca="false">IF(AA1126&lt;&gt;"",AA1126,Z1126)</f>
        <v>3</v>
      </c>
      <c r="BY1126" s="55" t="str">
        <f aca="false">IF(BX1126=1,"L1",IF(OR(BX1126=2,BX1126=3),"L23",IF(BX1126="Aussen","Aussen","-")))</f>
        <v>L23</v>
      </c>
      <c r="BZ1126" s="66" t="n">
        <f aca="false">IF(N(AB1126)&gt;0,AB1126,0)</f>
        <v>0</v>
      </c>
      <c r="CA1126" s="60" t="n">
        <f aca="false">IF(ISNUMBER(AE1126),1,0)</f>
        <v>0</v>
      </c>
      <c r="CB1126" s="57" t="n">
        <f aca="false">N(AE1126)</f>
        <v>0</v>
      </c>
      <c r="CC1126" s="57" t="n">
        <f aca="false">N(M1126)+N(N1126)</f>
        <v>1</v>
      </c>
      <c r="CD1126" s="57" t="n">
        <f aca="false">ROUNDUP(H1126/BS1126,0)</f>
        <v>1</v>
      </c>
      <c r="CE1126" s="57" t="n">
        <f aca="false">ROUNDUP(CB1126/BS1126,0)</f>
        <v>0</v>
      </c>
      <c r="CF1126" s="60" t="n">
        <f aca="false">IF(BT1126=1,0,IFERROR(VLOOKUP(BR1126,'Gebinde-Kategorie'!$A$5:$M$45,5,0)+0,0))</f>
        <v>8</v>
      </c>
      <c r="CG1126" s="60" t="n">
        <f aca="false">IFERROR(IF(OR(BX1126=1,BX1126=2,BX1126=3),N(INDEX(Parameter!$I$5:$I$7,BX1126)),0),0)</f>
        <v>0</v>
      </c>
      <c r="CH1126" s="59" t="n">
        <f aca="false">IF(AND(Parameter!$B$21="Ja",ISNUMBER(W1126),N(X1126)&gt;0),IFERROR(N(INDEX(Parameter!$L$5:$L$7,W1126))*INDEX(Parameter!$E$5:$E$7,W1126)*X1126/SUMIFS($X$7:$X$1843,$W$7:$W$1843,W1126),0),0)</f>
        <v>0</v>
      </c>
    </row>
    <row r="1127" customFormat="false" ht="15" hidden="false" customHeight="false" outlineLevel="0" collapsed="false">
      <c r="A1127" s="55" t="s">
        <v>2042</v>
      </c>
      <c r="B1127" s="55" t="s">
        <v>749</v>
      </c>
      <c r="C1127" s="55" t="s">
        <v>164</v>
      </c>
      <c r="D1127" s="55" t="s">
        <v>184</v>
      </c>
      <c r="E1127" s="55"/>
      <c r="F1127" s="55" t="s">
        <v>218</v>
      </c>
      <c r="G1127" s="56" t="n">
        <v>64.13</v>
      </c>
      <c r="H1127" s="57" t="n">
        <f aca="false">MAX(0,IF(AND(Parameter!$B$21="Ja",ISNUMBER(Y1127)),Y1127,IF(Parameter!$B$20="Jahresanfang 2025 + Export",BL1127+BK1127,BK1127)))</f>
        <v>6</v>
      </c>
      <c r="I1127" s="57" t="n">
        <f aca="false">H1127*G1127</f>
        <v>384.78</v>
      </c>
      <c r="J1127" s="57" t="n">
        <f aca="false">BN1127*Parameter!$B$18</f>
        <v>7</v>
      </c>
      <c r="K1127" s="58" t="n">
        <v>11.5</v>
      </c>
      <c r="L1127" s="59" t="n">
        <v>0.608695652173913</v>
      </c>
      <c r="M1127" s="57" t="n">
        <v>0</v>
      </c>
      <c r="N1127" s="57" t="n">
        <v>5</v>
      </c>
      <c r="O1127" s="60" t="n">
        <v>35</v>
      </c>
      <c r="P1127" s="55" t="s">
        <v>421</v>
      </c>
      <c r="Q1127" s="57" t="n">
        <v>12</v>
      </c>
      <c r="R1127" s="60" t="n">
        <f aca="false">IF(BT1127=1,0,IFERROR(VLOOKUP(BR1127,'Gebinde-Kategorie'!$A$5:$M$45,13,0)+0,0))</f>
        <v>132</v>
      </c>
      <c r="S1127" s="61"/>
      <c r="T1127" s="62"/>
      <c r="U1127" s="62"/>
      <c r="V1127" s="62"/>
      <c r="W1127" s="55"/>
      <c r="X1127" s="57"/>
      <c r="Y1127" s="57"/>
      <c r="Z1127" s="55" t="n">
        <f aca="false">IF(A1127="","",IF(AND(Parameter!$B$21="Ja",ISNUMBER(W1127)),W1127,IF(BV1127="2+3",IF(ISNUMBER(SEARCH("grosser Artikel",BO1127)),2,IFERROR(VLOOKUP(BR1127,Parameter!$F$35:$G$64,2,0),2)),IF(OR(BV1127="Nein",BV1127=""),"-",BV1127))))</f>
        <v>3</v>
      </c>
      <c r="AA1127" s="62"/>
      <c r="AB1127" s="63"/>
      <c r="AC1127" s="57" t="n">
        <f aca="false">AR1127</f>
        <v>12</v>
      </c>
      <c r="AD1127" s="57" t="n">
        <f aca="false">MAX(AR1127,H1127)</f>
        <v>12</v>
      </c>
      <c r="AE1127" s="64"/>
      <c r="AF1127" s="57" t="n">
        <f aca="false">IF(LEFT(Cockpit!$C$5,1)="A",H1127,IF(CA1127=1,CB1127,IF(LEFT(Cockpit!$C$5,1)="B",AJ1127,MAX(AJ1127,H1127))))</f>
        <v>6</v>
      </c>
      <c r="AG1127" s="57" t="n">
        <f aca="false">IF(BT1127=1,0,ROUNDUP(AF1127/BS1127,0))</f>
        <v>1</v>
      </c>
      <c r="AH1127" s="59" t="n">
        <f aca="false">IF(CH1127&gt;0,CH1127*MAX(1,AF1127/X1127),IF(BT1127=1,IF(AF1127&lt;=0,0,BW1127*MAX(1,IF(H1127&gt;0,AF1127/H1127,1))),IF(R1127&gt;0,AG1127/R1127,0))/MAX(0.1,N(Parameter!$M$21)))</f>
        <v>0.00757575757575758</v>
      </c>
      <c r="AI1127" s="57" t="n">
        <f aca="false">AF1127*G1127</f>
        <v>384.78</v>
      </c>
      <c r="AJ1127" s="57" t="n">
        <f aca="false">ROUNDUP(MAX(J1127/IF(BZ1127&gt;0,BZ1127,MAX(0.1,N(Cockpit!$C$6))),CC1127)/BS1127,0)*BS1127</f>
        <v>12</v>
      </c>
      <c r="AK1127" s="58" t="n">
        <f aca="false">IF(AH1127&gt;0,J1127/AH1127,-1)</f>
        <v>924</v>
      </c>
      <c r="AL1127" s="58" t="n">
        <f aca="false">IF(AND(OR(BY1127="L1",BY1127="L23"),AH1127&gt;0),SUMIFS($AH$7:$AH$1843,$BY$7:$BY$1843,BY1127,$AK$7:$AK$1843,"&gt;"&amp;AK1127)+SUMIFS($AH$7:$AH$1843,$BY$7:$BY$1843,BY1127,$AK$7:$AK$1843,AK1127,$BQ$7:$BQ$1843,"&lt;="&amp;BQ1127),"")</f>
        <v>18.3725887638931</v>
      </c>
      <c r="AM1127" s="65" t="n">
        <f aca="false">IF(AL1127="",0,MAX(0,MIN(1,(IF(BY1127="L1",Parameter!$E$5,Parameter!$E$6+Parameter!$E$7)-(AL1127-AH1127))/AH1127)))</f>
        <v>1</v>
      </c>
      <c r="AN1127" s="57" t="n">
        <f aca="false">IF(LEFT(Cockpit!$I$5,1)="A",H1127,IF(CA1127=1,CB1127,IF(LEFT(Cockpit!$I$5,1)="B",AR1127,MAX(AR1127,H1127))))</f>
        <v>12</v>
      </c>
      <c r="AO1127" s="57" t="n">
        <f aca="false">IF(BT1127=1,0,ROUNDUP(AN1127/BS1127,0))</f>
        <v>1</v>
      </c>
      <c r="AP1127" s="59" t="n">
        <f aca="false">IF(CH1127&gt;0,CH1127*MAX(1,AN1127/X1127),IF(BT1127=1,IF(AN1127&lt;=0,0,BW1127*MAX(1,IF(H1127&gt;0,AN1127/H1127,1))),IF(R1127&gt;0,AO1127/R1127,0))/MAX(0.1,N(Parameter!$M$21)))</f>
        <v>0.00757575757575758</v>
      </c>
      <c r="AQ1127" s="57" t="n">
        <f aca="false">AN1127*G1127</f>
        <v>769.56</v>
      </c>
      <c r="AR1127" s="57" t="n">
        <f aca="false">ROUNDUP(MAX(J1127/IF(BZ1127&gt;0,BZ1127,MAX(0.1,N(Cockpit!$I$6))),CC1127)/BS1127,0)*BS1127</f>
        <v>12</v>
      </c>
      <c r="AS1127" s="58" t="n">
        <f aca="false">IF(AP1127&gt;0,J1127/AP1127,-1)</f>
        <v>924</v>
      </c>
      <c r="AT1127" s="58" t="n">
        <f aca="false">IF(AND(OR(BY1127="L1",BY1127="L23"),AP1127&gt;0),SUMIFS($AP$7:$AP$1843,$BY$7:$BY$1843,BY1127,$AS$7:$AS$1843,"&gt;"&amp;AS1127)+SUMIFS($AP$7:$AP$1843,$BY$7:$BY$1843,BY1127,$AS$7:$AS$1843,AS1127,$BQ$7:$BQ$1843,"&lt;="&amp;BQ1127),"")</f>
        <v>24.4350106415324</v>
      </c>
      <c r="AU1127" s="65" t="n">
        <f aca="false">IF(AT1127="",0,MAX(0,MIN(1,(IF(BY1127="L1",Parameter!$E$5,Parameter!$E$6+Parameter!$E$7)-(AT1127-AP1127))/AP1127)))</f>
        <v>1</v>
      </c>
      <c r="AV1127" s="57" t="n">
        <f aca="false">IF(LEFT(Cockpit!$O$5,1)="A",H1127,IF(CA1127=1,CB1127,IF(LEFT(Cockpit!$O$5,1)="B",AZ1127,MAX(AZ1127,H1127))))</f>
        <v>12</v>
      </c>
      <c r="AW1127" s="57" t="n">
        <f aca="false">IF(BT1127=1,0,ROUNDUP(AV1127/BS1127,0))</f>
        <v>1</v>
      </c>
      <c r="AX1127" s="59" t="n">
        <f aca="false">IF(CH1127&gt;0,CH1127*MAX(1,AV1127/X1127),IF(BT1127=1,IF(AV1127&lt;=0,0,BW1127*MAX(1,IF(H1127&gt;0,AV1127/H1127,1))),IF(R1127&gt;0,AW1127/R1127,0))/MAX(0.1,N(Parameter!$M$21)))</f>
        <v>0.00757575757575758</v>
      </c>
      <c r="AY1127" s="57" t="n">
        <f aca="false">AV1127*G1127</f>
        <v>769.56</v>
      </c>
      <c r="AZ1127" s="57" t="n">
        <f aca="false">ROUNDUP(MAX(J1127/IF(BZ1127&gt;0,BZ1127,MAX(0.1,N(Cockpit!$O$6))),CC1127)/BS1127,0)*BS1127</f>
        <v>12</v>
      </c>
      <c r="BA1127" s="58" t="n">
        <f aca="false">IF(AX1127&gt;0,J1127/AX1127,-1)</f>
        <v>924</v>
      </c>
      <c r="BB1127" s="58" t="n">
        <f aca="false">IF(AND(OR(BY1127="L1",BY1127="L23"),AX1127&gt;0),SUMIFS($AX$7:$AX$1843,$BY$7:$BY$1843,BY1127,$BA$7:$BA$1843,"&gt;"&amp;BA1127)+SUMIFS($AX$7:$AX$1843,$BY$7:$BY$1843,BY1127,$BA$7:$BA$1843,BA1127,$BQ$7:$BQ$1843,"&lt;="&amp;BQ1127),"")</f>
        <v>23.5533090098308</v>
      </c>
      <c r="BC1127" s="65" t="n">
        <f aca="false">IF(BB1127="",0,MAX(0,MIN(1,(IF(BY1127="L1",Parameter!$E$5,Parameter!$E$6+Parameter!$E$7)-(BB1127-AX1127))/AX1127)))</f>
        <v>1</v>
      </c>
      <c r="BD1127" s="55" t="str">
        <f aca="false">IF(AH1127&lt;=0,"",IF(BY1127="Aussen","Aussenlager",IF(BY1127="-","Nicht im Lift",IF(AM1127&gt;=1,"Lift",IF(AM1127&lt;=0,"Aussenlager","teilweise")))))</f>
        <v>Lift</v>
      </c>
      <c r="BE1127" s="55" t="str">
        <f aca="false">IF(AP1127&lt;=0,"",IF(BY1127="Aussen","Aussenlager",IF(BY1127="-","Nicht im Lift",IF(AU1127&gt;=1,"Lift",IF(AU1127&lt;=0,"Aussenlager","teilweise")))))</f>
        <v>Lift</v>
      </c>
      <c r="BF1127" s="55" t="str">
        <f aca="false">IF(AX1127&lt;=0,"",IF(BY1127="Aussen","Aussenlager",IF(BY1127="-","Nicht im Lift",IF(BC1127&gt;=1,"Lift",IF(BC1127&lt;=0,"Aussenlager","teilweise")))))</f>
        <v>Lift</v>
      </c>
      <c r="BG1127" s="55" t="str">
        <f aca="false">IF(A1127="","",IF(BP1127=1,"Neu; ","")&amp;IF(AND(BP1127=0,BK1127&lt;0),"negativer Bestand (Export "&amp;BK1127&amp;"); ","")&amp;IF(J1127&lt;=0,"Kein Verbrauch; ","")&amp;IF(CH1127&gt;0,"Lift "&amp;W1127&amp;" lt. Liftbericht (Fach "&amp;X1127&amp;" Stk); ",IF(BU1127=1,"Gebinde geschätzt ("&amp;T1127&amp;"); ",IF(BT1127=1,"Lose – Tablare geschätzt; ","")))&amp;IF(H1127&gt;AR1127,"Überbestand "&amp;ROUND(H1127-AR1127,0)&amp;" Stk / CHF "&amp;ROUND((H1127-AR1127)*G1127,0)&amp;"; ","")&amp;IF(AND(CA1127=1,CB1127&lt;CC1127),"MAX &lt; MB+LG; ","")&amp;IF(AND(CG1127&gt;0,CF1127*10&gt;CG1127),"zu hoch für Tablar; ","")&amp;IF(AND(BP1127=0,OR(CA1127=1,AA1127&lt;&gt;"",U1127&lt;&gt;"",V1127&lt;&gt;"",AB1127&lt;&gt;"")),"manuell übersteuert; ","")&amp;IF(AND(BT1127=0,R1127=0),"Gebinde unbekannt / Stellmass fehlt; ","")&amp;IF(AND(BT1127=0,N(V1127)&lt;=0,N(Q1127)&lt;=0),"Menge pro Gebinde fehlt (Ist = 1 Gebinde); ","")&amp;BO1127)</f>
        <v>negativer Bestand (Export -4); </v>
      </c>
      <c r="BH1127" s="55"/>
      <c r="BI1127" s="55"/>
      <c r="BJ1127" s="62"/>
      <c r="BK1127" s="57" t="n">
        <v>-4</v>
      </c>
      <c r="BL1127" s="57" t="n">
        <v>10</v>
      </c>
      <c r="BM1127" s="56" t="n">
        <v>-249.82</v>
      </c>
      <c r="BN1127" s="57" t="n">
        <v>7</v>
      </c>
      <c r="BO1127" s="55"/>
      <c r="BP1127" s="60" t="n">
        <v>0</v>
      </c>
      <c r="BQ1127" s="60" t="n">
        <v>1127</v>
      </c>
      <c r="BR1127" s="55" t="str">
        <f aca="false">IF(U1127&lt;&gt;"",UPPER(TRIM(U1127)),IF(BU1127=1,UPPER(VLOOKUP(T1127,Parameter!$I$27:$K$29,2,0)),IF(P1127="","LOSE",P1127)))</f>
        <v>S32</v>
      </c>
      <c r="BS1127" s="57" t="n">
        <f aca="false">IF(BR1127="LOSE",1,IF(N(V1127)&gt;0,V1127,IF(BU1127=1,MAX(1,N(VLOOKUP(T1127,Parameter!$I$27:$K$29,3,0)),H1127,N(N1127)),IF(N(Q1127)&gt;0,Q1127,MAX(1,H1127)))))</f>
        <v>12</v>
      </c>
      <c r="BT1127" s="60" t="n">
        <f aca="false">IF(BR1127="LOSE",1,0)</f>
        <v>0</v>
      </c>
      <c r="BU1127" s="60" t="n">
        <f aca="false">IF(AND(U1127="",OR(P1127="",P1127="LOSE"),T1127&lt;&gt;"",N(S1127)&lt;=0,ISNUMBER(MATCH(T1127,Parameter!$I$27:$I$29,0))),1,0)</f>
        <v>0</v>
      </c>
      <c r="BV1127" s="55" t="str">
        <f aca="false">IF(AND(Parameter!$B$19="Ja",E1127&lt;&gt;"",ISNUMBER(MATCH(E1127,Parameter!$I$35:$I$52,0))),VLOOKUP(E1127,Parameter!$I$35:$J$52,2,0),IFERROR(VLOOKUP(D1127,Parameter!$A$35:$C$64,2,0),"Nein"))</f>
        <v>2+3</v>
      </c>
      <c r="BW1127" s="59" t="n">
        <f aca="false">IF(BT1127=0,0,IF(N(S1127)&gt;0,S1127,IFERROR(VLOOKUP(D1127,Parameter!$A$35:$C$64,3,0)+0,0)))</f>
        <v>0</v>
      </c>
      <c r="BX1127" s="55" t="n">
        <f aca="false">IF(AA1127&lt;&gt;"",AA1127,Z1127)</f>
        <v>3</v>
      </c>
      <c r="BY1127" s="55" t="str">
        <f aca="false">IF(BX1127=1,"L1",IF(OR(BX1127=2,BX1127=3),"L23",IF(BX1127="Aussen","Aussen","-")))</f>
        <v>L23</v>
      </c>
      <c r="BZ1127" s="66" t="n">
        <f aca="false">IF(N(AB1127)&gt;0,AB1127,0)</f>
        <v>0</v>
      </c>
      <c r="CA1127" s="60" t="n">
        <f aca="false">IF(ISNUMBER(AE1127),1,0)</f>
        <v>0</v>
      </c>
      <c r="CB1127" s="57" t="n">
        <f aca="false">N(AE1127)</f>
        <v>0</v>
      </c>
      <c r="CC1127" s="57" t="n">
        <f aca="false">N(M1127)+N(N1127)</f>
        <v>5</v>
      </c>
      <c r="CD1127" s="57" t="n">
        <f aca="false">ROUNDUP(H1127/BS1127,0)</f>
        <v>1</v>
      </c>
      <c r="CE1127" s="57" t="n">
        <f aca="false">ROUNDUP(CB1127/BS1127,0)</f>
        <v>0</v>
      </c>
      <c r="CF1127" s="60" t="n">
        <f aca="false">IF(BT1127=1,0,IFERROR(VLOOKUP(BR1127,'Gebinde-Kategorie'!$A$5:$M$45,5,0)+0,0))</f>
        <v>8</v>
      </c>
      <c r="CG1127" s="60" t="n">
        <f aca="false">IFERROR(IF(OR(BX1127=1,BX1127=2,BX1127=3),N(INDEX(Parameter!$I$5:$I$7,BX1127)),0),0)</f>
        <v>0</v>
      </c>
      <c r="CH1127" s="59" t="n">
        <f aca="false">IF(AND(Parameter!$B$21="Ja",ISNUMBER(W1127),N(X1127)&gt;0),IFERROR(N(INDEX(Parameter!$L$5:$L$7,W1127))*INDEX(Parameter!$E$5:$E$7,W1127)*X1127/SUMIFS($X$7:$X$1843,$W$7:$W$1843,W1127),0),0)</f>
        <v>0</v>
      </c>
    </row>
    <row r="1128" customFormat="false" ht="15" hidden="false" customHeight="false" outlineLevel="0" collapsed="false">
      <c r="A1128" s="55" t="s">
        <v>2043</v>
      </c>
      <c r="B1128" s="55" t="s">
        <v>431</v>
      </c>
      <c r="C1128" s="55" t="s">
        <v>164</v>
      </c>
      <c r="D1128" s="55" t="s">
        <v>184</v>
      </c>
      <c r="E1128" s="55" t="s">
        <v>185</v>
      </c>
      <c r="F1128" s="55" t="s">
        <v>218</v>
      </c>
      <c r="G1128" s="56" t="n">
        <v>63.5</v>
      </c>
      <c r="H1128" s="57" t="n">
        <f aca="false">MAX(0,IF(AND(Parameter!$B$21="Ja",ISNUMBER(Y1128)),Y1128,IF(Parameter!$B$20="Jahresanfang 2025 + Export",BL1128+BK1128,BK1128)))</f>
        <v>42</v>
      </c>
      <c r="I1128" s="57" t="n">
        <f aca="false">H1128*G1128</f>
        <v>2667</v>
      </c>
      <c r="J1128" s="57" t="n">
        <f aca="false">BN1128*Parameter!$B$18</f>
        <v>0</v>
      </c>
      <c r="K1128" s="58" t="n">
        <v>46</v>
      </c>
      <c r="L1128" s="59" t="n">
        <v>0</v>
      </c>
      <c r="M1128" s="57" t="n">
        <v>0</v>
      </c>
      <c r="N1128" s="57" t="n">
        <v>1</v>
      </c>
      <c r="O1128" s="60" t="n">
        <v>70</v>
      </c>
      <c r="P1128" s="55" t="s">
        <v>233</v>
      </c>
      <c r="Q1128" s="57" t="n">
        <v>45</v>
      </c>
      <c r="R1128" s="60" t="n">
        <f aca="false">IF(BT1128=1,0,IFERROR(VLOOKUP(BR1128,'Gebinde-Kategorie'!$A$5:$M$45,13,0)+0,0))</f>
        <v>26</v>
      </c>
      <c r="S1128" s="61"/>
      <c r="T1128" s="62"/>
      <c r="U1128" s="62"/>
      <c r="V1128" s="62"/>
      <c r="W1128" s="55"/>
      <c r="X1128" s="57"/>
      <c r="Y1128" s="57"/>
      <c r="Z1128" s="55" t="n">
        <f aca="false">IF(A1128="","",IF(AND(Parameter!$B$21="Ja",ISNUMBER(W1128)),W1128,IF(BV1128="2+3",IF(ISNUMBER(SEARCH("grosser Artikel",BO1128)),2,IFERROR(VLOOKUP(BR1128,Parameter!$F$35:$G$64,2,0),2)),IF(OR(BV1128="Nein",BV1128=""),"-",BV1128))))</f>
        <v>3</v>
      </c>
      <c r="AA1128" s="62"/>
      <c r="AB1128" s="63"/>
      <c r="AC1128" s="57" t="n">
        <f aca="false">AR1128</f>
        <v>45</v>
      </c>
      <c r="AD1128" s="57" t="n">
        <f aca="false">MAX(AR1128,H1128)</f>
        <v>45</v>
      </c>
      <c r="AE1128" s="64"/>
      <c r="AF1128" s="57" t="n">
        <f aca="false">IF(LEFT(Cockpit!$C$5,1)="A",H1128,IF(CA1128=1,CB1128,IF(LEFT(Cockpit!$C$5,1)="B",AJ1128,MAX(AJ1128,H1128))))</f>
        <v>42</v>
      </c>
      <c r="AG1128" s="57" t="n">
        <f aca="false">IF(BT1128=1,0,ROUNDUP(AF1128/BS1128,0))</f>
        <v>1</v>
      </c>
      <c r="AH1128" s="59" t="n">
        <f aca="false">IF(CH1128&gt;0,CH1128*MAX(1,AF1128/X1128),IF(BT1128=1,IF(AF1128&lt;=0,0,BW1128*MAX(1,IF(H1128&gt;0,AF1128/H1128,1))),IF(R1128&gt;0,AG1128/R1128,0))/MAX(0.1,N(Parameter!$M$21)))</f>
        <v>0.0384615384615385</v>
      </c>
      <c r="AI1128" s="57" t="n">
        <f aca="false">AF1128*G1128</f>
        <v>2667</v>
      </c>
      <c r="AJ1128" s="57" t="n">
        <f aca="false">ROUNDUP(MAX(J1128/IF(BZ1128&gt;0,BZ1128,MAX(0.1,N(Cockpit!$C$6))),CC1128)/BS1128,0)*BS1128</f>
        <v>45</v>
      </c>
      <c r="AK1128" s="58" t="n">
        <f aca="false">IF(AH1128&gt;0,J1128/AH1128,-1)</f>
        <v>0</v>
      </c>
      <c r="AL1128" s="58" t="n">
        <f aca="false">IF(AND(OR(BY1128="L1",BY1128="L23"),AH1128&gt;0),SUMIFS($AH$7:$AH$1843,$BY$7:$BY$1843,BY1128,$AK$7:$AK$1843,"&gt;"&amp;AK1128)+SUMIFS($AH$7:$AH$1843,$BY$7:$BY$1843,BY1128,$AK$7:$AK$1843,AK1128,$BQ$7:$BQ$1843,"&lt;="&amp;BQ1128),"")</f>
        <v>79.5126515996081</v>
      </c>
      <c r="AM1128" s="65" t="n">
        <f aca="false">IF(AL1128="",0,MAX(0,MIN(1,(IF(BY1128="L1",Parameter!$E$5,Parameter!$E$6+Parameter!$E$7)-(AL1128-AH1128))/AH1128)))</f>
        <v>1</v>
      </c>
      <c r="AN1128" s="57" t="n">
        <f aca="false">IF(LEFT(Cockpit!$I$5,1)="A",H1128,IF(CA1128=1,CB1128,IF(LEFT(Cockpit!$I$5,1)="B",AR1128,MAX(AR1128,H1128))))</f>
        <v>45</v>
      </c>
      <c r="AO1128" s="57" t="n">
        <f aca="false">IF(BT1128=1,0,ROUNDUP(AN1128/BS1128,0))</f>
        <v>1</v>
      </c>
      <c r="AP1128" s="59" t="n">
        <f aca="false">IF(CH1128&gt;0,CH1128*MAX(1,AN1128/X1128),IF(BT1128=1,IF(AN1128&lt;=0,0,BW1128*MAX(1,IF(H1128&gt;0,AN1128/H1128,1))),IF(R1128&gt;0,AO1128/R1128,0))/MAX(0.1,N(Parameter!$M$21)))</f>
        <v>0.0384615384615385</v>
      </c>
      <c r="AQ1128" s="57" t="n">
        <f aca="false">AN1128*G1128</f>
        <v>2857.5</v>
      </c>
      <c r="AR1128" s="57" t="n">
        <f aca="false">ROUNDUP(MAX(J1128/IF(BZ1128&gt;0,BZ1128,MAX(0.1,N(Cockpit!$I$6))),CC1128)/BS1128,0)*BS1128</f>
        <v>45</v>
      </c>
      <c r="AS1128" s="58" t="n">
        <f aca="false">IF(AP1128&gt;0,J1128/AP1128,-1)</f>
        <v>0</v>
      </c>
      <c r="AT1128" s="58" t="n">
        <f aca="false">IF(AND(OR(BY1128="L1",BY1128="L23"),AP1128&gt;0),SUMIFS($AP$7:$AP$1843,$BY$7:$BY$1843,BY1128,$AS$7:$AS$1843,"&gt;"&amp;AS1128)+SUMIFS($AP$7:$AP$1843,$BY$7:$BY$1843,BY1128,$AS$7:$AS$1843,AS1128,$BQ$7:$BQ$1843,"&lt;="&amp;BQ1128),"")</f>
        <v>121.415382926252</v>
      </c>
      <c r="AU1128" s="65" t="n">
        <f aca="false">IF(AT1128="",0,MAX(0,MIN(1,(IF(BY1128="L1",Parameter!$E$5,Parameter!$E$6+Parameter!$E$7)-(AT1128-AP1128))/AP1128)))</f>
        <v>0</v>
      </c>
      <c r="AV1128" s="57" t="n">
        <f aca="false">IF(LEFT(Cockpit!$O$5,1)="A",H1128,IF(CA1128=1,CB1128,IF(LEFT(Cockpit!$O$5,1)="B",AZ1128,MAX(AZ1128,H1128))))</f>
        <v>45</v>
      </c>
      <c r="AW1128" s="57" t="n">
        <f aca="false">IF(BT1128=1,0,ROUNDUP(AV1128/BS1128,0))</f>
        <v>1</v>
      </c>
      <c r="AX1128" s="59" t="n">
        <f aca="false">IF(CH1128&gt;0,CH1128*MAX(1,AV1128/X1128),IF(BT1128=1,IF(AV1128&lt;=0,0,BW1128*MAX(1,IF(H1128&gt;0,AV1128/H1128,1))),IF(R1128&gt;0,AW1128/R1128,0))/MAX(0.1,N(Parameter!$M$21)))</f>
        <v>0.0384615384615385</v>
      </c>
      <c r="AY1128" s="57" t="n">
        <f aca="false">AV1128*G1128</f>
        <v>2857.5</v>
      </c>
      <c r="AZ1128" s="57" t="n">
        <f aca="false">ROUNDUP(MAX(J1128/IF(BZ1128&gt;0,BZ1128,MAX(0.1,N(Cockpit!$O$6))),CC1128)/BS1128,0)*BS1128</f>
        <v>45</v>
      </c>
      <c r="BA1128" s="58" t="n">
        <f aca="false">IF(AX1128&gt;0,J1128/AX1128,-1)</f>
        <v>0</v>
      </c>
      <c r="BB1128" s="58" t="n">
        <f aca="false">IF(AND(OR(BY1128="L1",BY1128="L23"),AX1128&gt;0),SUMIFS($AX$7:$AX$1843,$BY$7:$BY$1843,BY1128,$BA$7:$BA$1843,"&gt;"&amp;BA1128)+SUMIFS($AX$7:$AX$1843,$BY$7:$BY$1843,BY1128,$BA$7:$BA$1843,BA1128,$BQ$7:$BQ$1843,"&lt;="&amp;BQ1128),"")</f>
        <v>112.245219756089</v>
      </c>
      <c r="BC1128" s="65" t="n">
        <f aca="false">IF(BB1128="",0,MAX(0,MIN(1,(IF(BY1128="L1",Parameter!$E$5,Parameter!$E$6+Parameter!$E$7)-(BB1128-AX1128))/AX1128)))</f>
        <v>0</v>
      </c>
      <c r="BD1128" s="55" t="str">
        <f aca="false">IF(AH1128&lt;=0,"",IF(BY1128="Aussen","Aussenlager",IF(BY1128="-","Nicht im Lift",IF(AM1128&gt;=1,"Lift",IF(AM1128&lt;=0,"Aussenlager","teilweise")))))</f>
        <v>Lift</v>
      </c>
      <c r="BE1128" s="55" t="str">
        <f aca="false">IF(AP1128&lt;=0,"",IF(BY1128="Aussen","Aussenlager",IF(BY1128="-","Nicht im Lift",IF(AU1128&gt;=1,"Lift",IF(AU1128&lt;=0,"Aussenlager","teilweise")))))</f>
        <v>Aussenlager</v>
      </c>
      <c r="BF1128" s="55" t="str">
        <f aca="false">IF(AX1128&lt;=0,"",IF(BY1128="Aussen","Aussenlager",IF(BY1128="-","Nicht im Lift",IF(BC1128&gt;=1,"Lift",IF(BC1128&lt;=0,"Aussenlager","teilweise")))))</f>
        <v>Aussenlager</v>
      </c>
      <c r="BG1128" s="55" t="str">
        <f aca="false">IF(A1128="","",IF(BP1128=1,"Neu; ","")&amp;IF(AND(BP1128=0,BK1128&lt;0),"negativer Bestand (Export "&amp;BK1128&amp;"); ","")&amp;IF(J1128&lt;=0,"Kein Verbrauch; ","")&amp;IF(CH1128&gt;0,"Lift "&amp;W1128&amp;" lt. Liftbericht (Fach "&amp;X1128&amp;" Stk); ",IF(BU1128=1,"Gebinde geschätzt ("&amp;T1128&amp;"); ",IF(BT1128=1,"Lose – Tablare geschätzt; ","")))&amp;IF(H1128&gt;AR1128,"Überbestand "&amp;ROUND(H1128-AR1128,0)&amp;" Stk / CHF "&amp;ROUND((H1128-AR1128)*G1128,0)&amp;"; ","")&amp;IF(AND(CA1128=1,CB1128&lt;CC1128),"MAX &lt; MB+LG; ","")&amp;IF(AND(CG1128&gt;0,CF1128*10&gt;CG1128),"zu hoch für Tablar; ","")&amp;IF(AND(BP1128=0,OR(CA1128=1,AA1128&lt;&gt;"",U1128&lt;&gt;"",V1128&lt;&gt;"",AB1128&lt;&gt;"")),"manuell übersteuert; ","")&amp;IF(AND(BT1128=0,R1128=0),"Gebinde unbekannt / Stellmass fehlt; ","")&amp;IF(AND(BT1128=0,N(V1128)&lt;=0,N(Q1128)&lt;=0),"Menge pro Gebinde fehlt (Ist = 1 Gebinde); ","")&amp;BO1128)</f>
        <v>negativer Bestand (Export -4); Kein Verbrauch; </v>
      </c>
      <c r="BH1128" s="55"/>
      <c r="BI1128" s="55"/>
      <c r="BJ1128" s="62"/>
      <c r="BK1128" s="57" t="n">
        <v>-4</v>
      </c>
      <c r="BL1128" s="57" t="n">
        <v>46</v>
      </c>
      <c r="BM1128" s="56" t="n">
        <v>-254</v>
      </c>
      <c r="BN1128" s="57" t="n">
        <v>0</v>
      </c>
      <c r="BO1128" s="55"/>
      <c r="BP1128" s="60" t="n">
        <v>0</v>
      </c>
      <c r="BQ1128" s="60" t="n">
        <v>1128</v>
      </c>
      <c r="BR1128" s="55" t="str">
        <f aca="false">IF(U1128&lt;&gt;"",UPPER(TRIM(U1128)),IF(BU1128=1,UPPER(VLOOKUP(T1128,Parameter!$I$27:$K$29,2,0)),IF(P1128="","LOSE",P1128)))</f>
        <v>S52</v>
      </c>
      <c r="BS1128" s="57" t="n">
        <f aca="false">IF(BR1128="LOSE",1,IF(N(V1128)&gt;0,V1128,IF(BU1128=1,MAX(1,N(VLOOKUP(T1128,Parameter!$I$27:$K$29,3,0)),H1128,N(N1128)),IF(N(Q1128)&gt;0,Q1128,MAX(1,H1128)))))</f>
        <v>45</v>
      </c>
      <c r="BT1128" s="60" t="n">
        <f aca="false">IF(BR1128="LOSE",1,0)</f>
        <v>0</v>
      </c>
      <c r="BU1128" s="60" t="n">
        <f aca="false">IF(AND(U1128="",OR(P1128="",P1128="LOSE"),T1128&lt;&gt;"",N(S1128)&lt;=0,ISNUMBER(MATCH(T1128,Parameter!$I$27:$I$29,0))),1,0)</f>
        <v>0</v>
      </c>
      <c r="BV1128" s="55" t="str">
        <f aca="false">IF(AND(Parameter!$B$19="Ja",E1128&lt;&gt;"",ISNUMBER(MATCH(E1128,Parameter!$I$35:$I$52,0))),VLOOKUP(E1128,Parameter!$I$35:$J$52,2,0),IFERROR(VLOOKUP(D1128,Parameter!$A$35:$C$64,2,0),"Nein"))</f>
        <v>2+3</v>
      </c>
      <c r="BW1128" s="59" t="n">
        <f aca="false">IF(BT1128=0,0,IF(N(S1128)&gt;0,S1128,IFERROR(VLOOKUP(D1128,Parameter!$A$35:$C$64,3,0)+0,0)))</f>
        <v>0</v>
      </c>
      <c r="BX1128" s="55" t="n">
        <f aca="false">IF(AA1128&lt;&gt;"",AA1128,Z1128)</f>
        <v>3</v>
      </c>
      <c r="BY1128" s="55" t="str">
        <f aca="false">IF(BX1128=1,"L1",IF(OR(BX1128=2,BX1128=3),"L23",IF(BX1128="Aussen","Aussen","-")))</f>
        <v>L23</v>
      </c>
      <c r="BZ1128" s="66" t="n">
        <f aca="false">IF(N(AB1128)&gt;0,AB1128,0)</f>
        <v>0</v>
      </c>
      <c r="CA1128" s="60" t="n">
        <f aca="false">IF(ISNUMBER(AE1128),1,0)</f>
        <v>0</v>
      </c>
      <c r="CB1128" s="57" t="n">
        <f aca="false">N(AE1128)</f>
        <v>0</v>
      </c>
      <c r="CC1128" s="57" t="n">
        <f aca="false">N(M1128)+N(N1128)</f>
        <v>1</v>
      </c>
      <c r="CD1128" s="57" t="n">
        <f aca="false">ROUNDUP(H1128/BS1128,0)</f>
        <v>1</v>
      </c>
      <c r="CE1128" s="57" t="n">
        <f aca="false">ROUNDUP(CB1128/BS1128,0)</f>
        <v>0</v>
      </c>
      <c r="CF1128" s="60" t="n">
        <f aca="false">IF(BT1128=1,0,IFERROR(VLOOKUP(BR1128,'Gebinde-Kategorie'!$A$5:$M$45,5,0)+0,0))</f>
        <v>21</v>
      </c>
      <c r="CG1128" s="60" t="n">
        <f aca="false">IFERROR(IF(OR(BX1128=1,BX1128=2,BX1128=3),N(INDEX(Parameter!$I$5:$I$7,BX1128)),0),0)</f>
        <v>0</v>
      </c>
      <c r="CH1128" s="59" t="n">
        <f aca="false">IF(AND(Parameter!$B$21="Ja",ISNUMBER(W1128),N(X1128)&gt;0),IFERROR(N(INDEX(Parameter!$L$5:$L$7,W1128))*INDEX(Parameter!$E$5:$E$7,W1128)*X1128/SUMIFS($X$7:$X$1843,$W$7:$W$1843,W1128),0),0)</f>
        <v>0</v>
      </c>
    </row>
    <row r="1129" customFormat="false" ht="15" hidden="false" customHeight="false" outlineLevel="0" collapsed="false">
      <c r="A1129" s="55" t="s">
        <v>2044</v>
      </c>
      <c r="B1129" s="55" t="s">
        <v>2045</v>
      </c>
      <c r="C1129" s="55" t="s">
        <v>456</v>
      </c>
      <c r="D1129" s="55" t="s">
        <v>184</v>
      </c>
      <c r="E1129" s="55"/>
      <c r="F1129" s="55" t="s">
        <v>218</v>
      </c>
      <c r="G1129" s="56" t="n">
        <v>14.14</v>
      </c>
      <c r="H1129" s="57" t="n">
        <f aca="false">MAX(0,IF(AND(Parameter!$B$21="Ja",ISNUMBER(Y1129)),Y1129,IF(Parameter!$B$20="Jahresanfang 2025 + Export",BL1129+BK1129,BK1129)))</f>
        <v>18</v>
      </c>
      <c r="I1129" s="57" t="n">
        <f aca="false">H1129*G1129</f>
        <v>254.52</v>
      </c>
      <c r="J1129" s="57" t="n">
        <f aca="false">BN1129*Parameter!$B$18</f>
        <v>18</v>
      </c>
      <c r="K1129" s="58" t="n">
        <v>18</v>
      </c>
      <c r="L1129" s="59" t="n">
        <v>1</v>
      </c>
      <c r="M1129" s="57" t="n">
        <v>2</v>
      </c>
      <c r="N1129" s="57" t="n">
        <v>20</v>
      </c>
      <c r="O1129" s="60" t="n">
        <v>56</v>
      </c>
      <c r="P1129" s="55" t="s">
        <v>168</v>
      </c>
      <c r="Q1129" s="57"/>
      <c r="R1129" s="60" t="n">
        <f aca="false">IF(BT1129=1,0,IFERROR(VLOOKUP(BR1129,'Gebinde-Kategorie'!$A$5:$M$45,13,0)+0,0))</f>
        <v>26</v>
      </c>
      <c r="S1129" s="61"/>
      <c r="T1129" s="62" t="s">
        <v>275</v>
      </c>
      <c r="U1129" s="62"/>
      <c r="V1129" s="62"/>
      <c r="W1129" s="55"/>
      <c r="X1129" s="57"/>
      <c r="Y1129" s="57"/>
      <c r="Z1129" s="55" t="n">
        <f aca="false">IF(A1129="","",IF(AND(Parameter!$B$21="Ja",ISNUMBER(W1129)),W1129,IF(BV1129="2+3",IF(ISNUMBER(SEARCH("grosser Artikel",BO1129)),2,IFERROR(VLOOKUP(BR1129,Parameter!$F$35:$G$64,2,0),2)),IF(OR(BV1129="Nein",BV1129=""),"-",BV1129))))</f>
        <v>3</v>
      </c>
      <c r="AA1129" s="62"/>
      <c r="AB1129" s="63"/>
      <c r="AC1129" s="57" t="n">
        <f aca="false">AR1129</f>
        <v>40</v>
      </c>
      <c r="AD1129" s="57" t="n">
        <f aca="false">MAX(AR1129,H1129)</f>
        <v>40</v>
      </c>
      <c r="AE1129" s="64"/>
      <c r="AF1129" s="57" t="n">
        <f aca="false">IF(LEFT(Cockpit!$C$5,1)="A",H1129,IF(CA1129=1,CB1129,IF(LEFT(Cockpit!$C$5,1)="B",AJ1129,MAX(AJ1129,H1129))))</f>
        <v>18</v>
      </c>
      <c r="AG1129" s="57" t="n">
        <f aca="false">IF(BT1129=1,0,ROUNDUP(AF1129/BS1129,0))</f>
        <v>1</v>
      </c>
      <c r="AH1129" s="59" t="n">
        <f aca="false">IF(CH1129&gt;0,CH1129*MAX(1,AF1129/X1129),IF(BT1129=1,IF(AF1129&lt;=0,0,BW1129*MAX(1,IF(H1129&gt;0,AF1129/H1129,1))),IF(R1129&gt;0,AG1129/R1129,0))/MAX(0.1,N(Parameter!$M$21)))</f>
        <v>0.0384615384615385</v>
      </c>
      <c r="AI1129" s="57" t="n">
        <f aca="false">AF1129*G1129</f>
        <v>254.52</v>
      </c>
      <c r="AJ1129" s="57" t="n">
        <f aca="false">ROUNDUP(MAX(J1129/IF(BZ1129&gt;0,BZ1129,MAX(0.1,N(Cockpit!$C$6))),CC1129)/BS1129,0)*BS1129</f>
        <v>40</v>
      </c>
      <c r="AK1129" s="58" t="n">
        <f aca="false">IF(AH1129&gt;0,J1129/AH1129,-1)</f>
        <v>468</v>
      </c>
      <c r="AL1129" s="58" t="n">
        <f aca="false">IF(AND(OR(BY1129="L1",BY1129="L23"),AH1129&gt;0),SUMIFS($AH$7:$AH$1843,$BY$7:$BY$1843,BY1129,$AK$7:$AK$1843,"&gt;"&amp;AK1129)+SUMIFS($AH$7:$AH$1843,$BY$7:$BY$1843,BY1129,$AK$7:$AK$1843,AK1129,$BQ$7:$BQ$1843,"&lt;="&amp;BQ1129),"")</f>
        <v>24.5495337995338</v>
      </c>
      <c r="AM1129" s="65" t="n">
        <f aca="false">IF(AL1129="",0,MAX(0,MIN(1,(IF(BY1129="L1",Parameter!$E$5,Parameter!$E$6+Parameter!$E$7)-(AL1129-AH1129))/AH1129)))</f>
        <v>1</v>
      </c>
      <c r="AN1129" s="57" t="n">
        <f aca="false">IF(LEFT(Cockpit!$I$5,1)="A",H1129,IF(CA1129=1,CB1129,IF(LEFT(Cockpit!$I$5,1)="B",AR1129,MAX(AR1129,H1129))))</f>
        <v>40</v>
      </c>
      <c r="AO1129" s="57" t="n">
        <f aca="false">IF(BT1129=1,0,ROUNDUP(AN1129/BS1129,0))</f>
        <v>2</v>
      </c>
      <c r="AP1129" s="59" t="n">
        <f aca="false">IF(CH1129&gt;0,CH1129*MAX(1,AN1129/X1129),IF(BT1129=1,IF(AN1129&lt;=0,0,BW1129*MAX(1,IF(H1129&gt;0,AN1129/H1129,1))),IF(R1129&gt;0,AO1129/R1129,0))/MAX(0.1,N(Parameter!$M$21)))</f>
        <v>0.0769230769230769</v>
      </c>
      <c r="AQ1129" s="57" t="n">
        <f aca="false">AN1129*G1129</f>
        <v>565.6</v>
      </c>
      <c r="AR1129" s="57" t="n">
        <f aca="false">ROUNDUP(MAX(J1129/IF(BZ1129&gt;0,BZ1129,MAX(0.1,N(Cockpit!$I$6))),CC1129)/BS1129,0)*BS1129</f>
        <v>40</v>
      </c>
      <c r="AS1129" s="58" t="n">
        <f aca="false">IF(AP1129&gt;0,J1129/AP1129,-1)</f>
        <v>234</v>
      </c>
      <c r="AT1129" s="58" t="n">
        <f aca="false">IF(AND(OR(BY1129="L1",BY1129="L23"),AP1129&gt;0),SUMIFS($AP$7:$AP$1843,$BY$7:$BY$1843,BY1129,$AS$7:$AS$1843,"&gt;"&amp;AS1129)+SUMIFS($AP$7:$AP$1843,$BY$7:$BY$1843,BY1129,$AS$7:$AS$1843,AS1129,$BQ$7:$BQ$1843,"&lt;="&amp;BQ1129),"")</f>
        <v>44.103121516165</v>
      </c>
      <c r="AU1129" s="65" t="n">
        <f aca="false">IF(AT1129="",0,MAX(0,MIN(1,(IF(BY1129="L1",Parameter!$E$5,Parameter!$E$6+Parameter!$E$7)-(AT1129-AP1129))/AP1129)))</f>
        <v>1</v>
      </c>
      <c r="AV1129" s="57" t="n">
        <f aca="false">IF(LEFT(Cockpit!$O$5,1)="A",H1129,IF(CA1129=1,CB1129,IF(LEFT(Cockpit!$O$5,1)="B",AZ1129,MAX(AZ1129,H1129))))</f>
        <v>40</v>
      </c>
      <c r="AW1129" s="57" t="n">
        <f aca="false">IF(BT1129=1,0,ROUNDUP(AV1129/BS1129,0))</f>
        <v>2</v>
      </c>
      <c r="AX1129" s="59" t="n">
        <f aca="false">IF(CH1129&gt;0,CH1129*MAX(1,AV1129/X1129),IF(BT1129=1,IF(AV1129&lt;=0,0,BW1129*MAX(1,IF(H1129&gt;0,AV1129/H1129,1))),IF(R1129&gt;0,AW1129/R1129,0))/MAX(0.1,N(Parameter!$M$21)))</f>
        <v>0.0769230769230769</v>
      </c>
      <c r="AY1129" s="57" t="n">
        <f aca="false">AV1129*G1129</f>
        <v>565.6</v>
      </c>
      <c r="AZ1129" s="57" t="n">
        <f aca="false">ROUNDUP(MAX(J1129/IF(BZ1129&gt;0,BZ1129,MAX(0.1,N(Cockpit!$O$6))),CC1129)/BS1129,0)*BS1129</f>
        <v>40</v>
      </c>
      <c r="BA1129" s="58" t="n">
        <f aca="false">IF(AX1129&gt;0,J1129/AX1129,-1)</f>
        <v>234</v>
      </c>
      <c r="BB1129" s="58" t="n">
        <f aca="false">IF(AND(OR(BY1129="L1",BY1129="L23"),AX1129&gt;0),SUMIFS($AX$7:$AX$1843,$BY$7:$BY$1843,BY1129,$BA$7:$BA$1843,"&gt;"&amp;BA1129)+SUMIFS($AX$7:$AX$1843,$BY$7:$BY$1843,BY1129,$BA$7:$BA$1843,BA1129,$BQ$7:$BQ$1843,"&lt;="&amp;BQ1129),"")</f>
        <v>41.3496250126685</v>
      </c>
      <c r="BC1129" s="65" t="n">
        <f aca="false">IF(BB1129="",0,MAX(0,MIN(1,(IF(BY1129="L1",Parameter!$E$5,Parameter!$E$6+Parameter!$E$7)-(BB1129-AX1129))/AX1129)))</f>
        <v>1</v>
      </c>
      <c r="BD1129" s="55" t="str">
        <f aca="false">IF(AH1129&lt;=0,"",IF(BY1129="Aussen","Aussenlager",IF(BY1129="-","Nicht im Lift",IF(AM1129&gt;=1,"Lift",IF(AM1129&lt;=0,"Aussenlager","teilweise")))))</f>
        <v>Lift</v>
      </c>
      <c r="BE1129" s="55" t="str">
        <f aca="false">IF(AP1129&lt;=0,"",IF(BY1129="Aussen","Aussenlager",IF(BY1129="-","Nicht im Lift",IF(AU1129&gt;=1,"Lift",IF(AU1129&lt;=0,"Aussenlager","teilweise")))))</f>
        <v>Lift</v>
      </c>
      <c r="BF1129" s="55" t="str">
        <f aca="false">IF(AX1129&lt;=0,"",IF(BY1129="Aussen","Aussenlager",IF(BY1129="-","Nicht im Lift",IF(BC1129&gt;=1,"Lift",IF(BC1129&lt;=0,"Aussenlager","teilweise")))))</f>
        <v>Lift</v>
      </c>
      <c r="BG1129" s="55" t="str">
        <f aca="false">IF(A1129="","",IF(BP1129=1,"Neu; ","")&amp;IF(AND(BP1129=0,BK1129&lt;0),"negativer Bestand (Export "&amp;BK1129&amp;"); ","")&amp;IF(J1129&lt;=0,"Kein Verbrauch; ","")&amp;IF(CH1129&gt;0,"Lift "&amp;W1129&amp;" lt. Liftbericht (Fach "&amp;X1129&amp;" Stk); ",IF(BU1129=1,"Gebinde geschätzt ("&amp;T1129&amp;"); ",IF(BT1129=1,"Lose – Tablare geschätzt; ","")))&amp;IF(H1129&gt;AR1129,"Überbestand "&amp;ROUND(H1129-AR1129,0)&amp;" Stk / CHF "&amp;ROUND((H1129-AR1129)*G1129,0)&amp;"; ","")&amp;IF(AND(CA1129=1,CB1129&lt;CC1129),"MAX &lt; MB+LG; ","")&amp;IF(AND(CG1129&gt;0,CF1129*10&gt;CG1129),"zu hoch für Tablar; ","")&amp;IF(AND(BP1129=0,OR(CA1129=1,AA1129&lt;&gt;"",U1129&lt;&gt;"",V1129&lt;&gt;"",AB1129&lt;&gt;"")),"manuell übersteuert; ","")&amp;IF(AND(BT1129=0,R1129=0),"Gebinde unbekannt / Stellmass fehlt; ","")&amp;IF(AND(BT1129=0,N(V1129)&lt;=0,N(Q1129)&lt;=0),"Menge pro Gebinde fehlt (Ist = 1 Gebinde); ","")&amp;BO1129)</f>
        <v>negativer Bestand (Export -18); Gebinde geschätzt (Klein); Menge pro Gebinde fehlt (Ist = 1 Gebinde); </v>
      </c>
      <c r="BH1129" s="55"/>
      <c r="BI1129" s="55"/>
      <c r="BJ1129" s="62"/>
      <c r="BK1129" s="57" t="n">
        <v>-18</v>
      </c>
      <c r="BL1129" s="57" t="n">
        <v>36</v>
      </c>
      <c r="BM1129" s="56" t="n">
        <v>-254.52</v>
      </c>
      <c r="BN1129" s="57" t="n">
        <v>18</v>
      </c>
      <c r="BO1129" s="55"/>
      <c r="BP1129" s="60" t="n">
        <v>0</v>
      </c>
      <c r="BQ1129" s="60" t="n">
        <v>1129</v>
      </c>
      <c r="BR1129" s="55" t="str">
        <f aca="false">IF(U1129&lt;&gt;"",UPPER(TRIM(U1129)),IF(BU1129=1,UPPER(VLOOKUP(T1129,Parameter!$I$27:$K$29,2,0)),IF(P1129="","LOSE",P1129)))</f>
        <v>S51</v>
      </c>
      <c r="BS1129" s="57" t="n">
        <f aca="false">IF(BR1129="LOSE",1,IF(N(V1129)&gt;0,V1129,IF(BU1129=1,MAX(1,N(VLOOKUP(T1129,Parameter!$I$27:$K$29,3,0)),H1129,N(N1129)),IF(N(Q1129)&gt;0,Q1129,MAX(1,H1129)))))</f>
        <v>20</v>
      </c>
      <c r="BT1129" s="60" t="n">
        <f aca="false">IF(BR1129="LOSE",1,0)</f>
        <v>0</v>
      </c>
      <c r="BU1129" s="60" t="n">
        <f aca="false">IF(AND(U1129="",OR(P1129="",P1129="LOSE"),T1129&lt;&gt;"",N(S1129)&lt;=0,ISNUMBER(MATCH(T1129,Parameter!$I$27:$I$29,0))),1,0)</f>
        <v>1</v>
      </c>
      <c r="BV1129" s="55" t="str">
        <f aca="false">IF(AND(Parameter!$B$19="Ja",E1129&lt;&gt;"",ISNUMBER(MATCH(E1129,Parameter!$I$35:$I$52,0))),VLOOKUP(E1129,Parameter!$I$35:$J$52,2,0),IFERROR(VLOOKUP(D1129,Parameter!$A$35:$C$64,2,0),"Nein"))</f>
        <v>2+3</v>
      </c>
      <c r="BW1129" s="59" t="n">
        <f aca="false">IF(BT1129=0,0,IF(N(S1129)&gt;0,S1129,IFERROR(VLOOKUP(D1129,Parameter!$A$35:$C$64,3,0)+0,0)))</f>
        <v>0</v>
      </c>
      <c r="BX1129" s="55" t="n">
        <f aca="false">IF(AA1129&lt;&gt;"",AA1129,Z1129)</f>
        <v>3</v>
      </c>
      <c r="BY1129" s="55" t="str">
        <f aca="false">IF(BX1129=1,"L1",IF(OR(BX1129=2,BX1129=3),"L23",IF(BX1129="Aussen","Aussen","-")))</f>
        <v>L23</v>
      </c>
      <c r="BZ1129" s="66" t="n">
        <f aca="false">IF(N(AB1129)&gt;0,AB1129,0)</f>
        <v>0</v>
      </c>
      <c r="CA1129" s="60" t="n">
        <f aca="false">IF(ISNUMBER(AE1129),1,0)</f>
        <v>0</v>
      </c>
      <c r="CB1129" s="57" t="n">
        <f aca="false">N(AE1129)</f>
        <v>0</v>
      </c>
      <c r="CC1129" s="57" t="n">
        <f aca="false">N(M1129)+N(N1129)</f>
        <v>22</v>
      </c>
      <c r="CD1129" s="57" t="n">
        <f aca="false">ROUNDUP(H1129/BS1129,0)</f>
        <v>1</v>
      </c>
      <c r="CE1129" s="57" t="n">
        <f aca="false">ROUNDUP(CB1129/BS1129,0)</f>
        <v>0</v>
      </c>
      <c r="CF1129" s="60" t="n">
        <f aca="false">IF(BT1129=1,0,IFERROR(VLOOKUP(BR1129,'Gebinde-Kategorie'!$A$5:$M$45,5,0)+0,0))</f>
        <v>11</v>
      </c>
      <c r="CG1129" s="60" t="n">
        <f aca="false">IFERROR(IF(OR(BX1129=1,BX1129=2,BX1129=3),N(INDEX(Parameter!$I$5:$I$7,BX1129)),0),0)</f>
        <v>0</v>
      </c>
      <c r="CH1129" s="59" t="n">
        <f aca="false">IF(AND(Parameter!$B$21="Ja",ISNUMBER(W1129),N(X1129)&gt;0),IFERROR(N(INDEX(Parameter!$L$5:$L$7,W1129))*INDEX(Parameter!$E$5:$E$7,W1129)*X1129/SUMIFS($X$7:$X$1843,$W$7:$W$1843,W1129),0),0)</f>
        <v>0</v>
      </c>
    </row>
    <row r="1130" customFormat="false" ht="15" hidden="false" customHeight="false" outlineLevel="0" collapsed="false">
      <c r="A1130" s="55" t="s">
        <v>2046</v>
      </c>
      <c r="B1130" s="55" t="s">
        <v>2047</v>
      </c>
      <c r="C1130" s="55" t="s">
        <v>456</v>
      </c>
      <c r="D1130" s="55" t="s">
        <v>184</v>
      </c>
      <c r="E1130" s="55"/>
      <c r="F1130" s="55" t="s">
        <v>218</v>
      </c>
      <c r="G1130" s="56" t="n">
        <v>31.9</v>
      </c>
      <c r="H1130" s="57" t="n">
        <f aca="false">MAX(0,IF(AND(Parameter!$B$21="Ja",ISNUMBER(Y1130)),Y1130,IF(Parameter!$B$20="Jahresanfang 2025 + Export",BL1130+BK1130,BK1130)))</f>
        <v>8</v>
      </c>
      <c r="I1130" s="57" t="n">
        <f aca="false">H1130*G1130</f>
        <v>255.2</v>
      </c>
      <c r="J1130" s="57" t="n">
        <f aca="false">BN1130*Parameter!$B$18</f>
        <v>8</v>
      </c>
      <c r="K1130" s="58" t="n">
        <v>8</v>
      </c>
      <c r="L1130" s="59" t="n">
        <v>1</v>
      </c>
      <c r="M1130" s="57" t="n">
        <v>0</v>
      </c>
      <c r="N1130" s="57" t="n">
        <v>10</v>
      </c>
      <c r="O1130" s="60" t="n">
        <v>21</v>
      </c>
      <c r="P1130" s="55" t="s">
        <v>168</v>
      </c>
      <c r="Q1130" s="57"/>
      <c r="R1130" s="60" t="n">
        <f aca="false">IF(BT1130=1,0,IFERROR(VLOOKUP(BR1130,'Gebinde-Kategorie'!$A$5:$M$45,13,0)+0,0))</f>
        <v>26</v>
      </c>
      <c r="S1130" s="61"/>
      <c r="T1130" s="62" t="s">
        <v>275</v>
      </c>
      <c r="U1130" s="62"/>
      <c r="V1130" s="62"/>
      <c r="W1130" s="55"/>
      <c r="X1130" s="57"/>
      <c r="Y1130" s="57"/>
      <c r="Z1130" s="55" t="n">
        <f aca="false">IF(A1130="","",IF(AND(Parameter!$B$21="Ja",ISNUMBER(W1130)),W1130,IF(BV1130="2+3",IF(ISNUMBER(SEARCH("grosser Artikel",BO1130)),2,IFERROR(VLOOKUP(BR1130,Parameter!$F$35:$G$64,2,0),2)),IF(OR(BV1130="Nein",BV1130=""),"-",BV1130))))</f>
        <v>3</v>
      </c>
      <c r="AA1130" s="62"/>
      <c r="AB1130" s="63"/>
      <c r="AC1130" s="57" t="n">
        <f aca="false">AR1130</f>
        <v>20</v>
      </c>
      <c r="AD1130" s="57" t="n">
        <f aca="false">MAX(AR1130,H1130)</f>
        <v>20</v>
      </c>
      <c r="AE1130" s="64"/>
      <c r="AF1130" s="57" t="n">
        <f aca="false">IF(LEFT(Cockpit!$C$5,1)="A",H1130,IF(CA1130=1,CB1130,IF(LEFT(Cockpit!$C$5,1)="B",AJ1130,MAX(AJ1130,H1130))))</f>
        <v>8</v>
      </c>
      <c r="AG1130" s="57" t="n">
        <f aca="false">IF(BT1130=1,0,ROUNDUP(AF1130/BS1130,0))</f>
        <v>1</v>
      </c>
      <c r="AH1130" s="59" t="n">
        <f aca="false">IF(CH1130&gt;0,CH1130*MAX(1,AF1130/X1130),IF(BT1130=1,IF(AF1130&lt;=0,0,BW1130*MAX(1,IF(H1130&gt;0,AF1130/H1130,1))),IF(R1130&gt;0,AG1130/R1130,0))/MAX(0.1,N(Parameter!$M$21)))</f>
        <v>0.0384615384615385</v>
      </c>
      <c r="AI1130" s="57" t="n">
        <f aca="false">AF1130*G1130</f>
        <v>255.2</v>
      </c>
      <c r="AJ1130" s="57" t="n">
        <f aca="false">ROUNDUP(MAX(J1130/IF(BZ1130&gt;0,BZ1130,MAX(0.1,N(Cockpit!$C$6))),CC1130)/BS1130,0)*BS1130</f>
        <v>20</v>
      </c>
      <c r="AK1130" s="58" t="n">
        <f aca="false">IF(AH1130&gt;0,J1130/AH1130,-1)</f>
        <v>208</v>
      </c>
      <c r="AL1130" s="58" t="n">
        <f aca="false">IF(AND(OR(BY1130="L1",BY1130="L23"),AH1130&gt;0),SUMIFS($AH$7:$AH$1843,$BY$7:$BY$1843,BY1130,$AK$7:$AK$1843,"&gt;"&amp;AK1130)+SUMIFS($AH$7:$AH$1843,$BY$7:$BY$1843,BY1130,$AK$7:$AK$1843,AK1130,$BQ$7:$BQ$1843,"&lt;="&amp;BQ1130),"")</f>
        <v>31.9569693591433</v>
      </c>
      <c r="AM1130" s="65" t="n">
        <f aca="false">IF(AL1130="",0,MAX(0,MIN(1,(IF(BY1130="L1",Parameter!$E$5,Parameter!$E$6+Parameter!$E$7)-(AL1130-AH1130))/AH1130)))</f>
        <v>1</v>
      </c>
      <c r="AN1130" s="57" t="n">
        <f aca="false">IF(LEFT(Cockpit!$I$5,1)="A",H1130,IF(CA1130=1,CB1130,IF(LEFT(Cockpit!$I$5,1)="B",AR1130,MAX(AR1130,H1130))))</f>
        <v>20</v>
      </c>
      <c r="AO1130" s="57" t="n">
        <f aca="false">IF(BT1130=1,0,ROUNDUP(AN1130/BS1130,0))</f>
        <v>1</v>
      </c>
      <c r="AP1130" s="59" t="n">
        <f aca="false">IF(CH1130&gt;0,CH1130*MAX(1,AN1130/X1130),IF(BT1130=1,IF(AN1130&lt;=0,0,BW1130*MAX(1,IF(H1130&gt;0,AN1130/H1130,1))),IF(R1130&gt;0,AO1130/R1130,0))/MAX(0.1,N(Parameter!$M$21)))</f>
        <v>0.0384615384615385</v>
      </c>
      <c r="AQ1130" s="57" t="n">
        <f aca="false">AN1130*G1130</f>
        <v>638</v>
      </c>
      <c r="AR1130" s="57" t="n">
        <f aca="false">ROUNDUP(MAX(J1130/IF(BZ1130&gt;0,BZ1130,MAX(0.1,N(Cockpit!$I$6))),CC1130)/BS1130,0)*BS1130</f>
        <v>20</v>
      </c>
      <c r="AS1130" s="58" t="n">
        <f aca="false">IF(AP1130&gt;0,J1130/AP1130,-1)</f>
        <v>208</v>
      </c>
      <c r="AT1130" s="58" t="n">
        <f aca="false">IF(AND(OR(BY1130="L1",BY1130="L23"),AP1130&gt;0),SUMIFS($AP$7:$AP$1843,$BY$7:$BY$1843,BY1130,$AS$7:$AS$1843,"&gt;"&amp;AS1130)+SUMIFS($AP$7:$AP$1843,$BY$7:$BY$1843,BY1130,$AS$7:$AS$1843,AS1130,$BQ$7:$BQ$1843,"&lt;="&amp;BQ1130),"")</f>
        <v>46.089135502179</v>
      </c>
      <c r="AU1130" s="65" t="n">
        <f aca="false">IF(AT1130="",0,MAX(0,MIN(1,(IF(BY1130="L1",Parameter!$E$5,Parameter!$E$6+Parameter!$E$7)-(AT1130-AP1130))/AP1130)))</f>
        <v>1</v>
      </c>
      <c r="AV1130" s="57" t="n">
        <f aca="false">IF(LEFT(Cockpit!$O$5,1)="A",H1130,IF(CA1130=1,CB1130,IF(LEFT(Cockpit!$O$5,1)="B",AZ1130,MAX(AZ1130,H1130))))</f>
        <v>20</v>
      </c>
      <c r="AW1130" s="57" t="n">
        <f aca="false">IF(BT1130=1,0,ROUNDUP(AV1130/BS1130,0))</f>
        <v>1</v>
      </c>
      <c r="AX1130" s="59" t="n">
        <f aca="false">IF(CH1130&gt;0,CH1130*MAX(1,AV1130/X1130),IF(BT1130=1,IF(AV1130&lt;=0,0,BW1130*MAX(1,IF(H1130&gt;0,AV1130/H1130,1))),IF(R1130&gt;0,AW1130/R1130,0))/MAX(0.1,N(Parameter!$M$21)))</f>
        <v>0.0384615384615385</v>
      </c>
      <c r="AY1130" s="57" t="n">
        <f aca="false">AV1130*G1130</f>
        <v>638</v>
      </c>
      <c r="AZ1130" s="57" t="n">
        <f aca="false">ROUNDUP(MAX(J1130/IF(BZ1130&gt;0,BZ1130,MAX(0.1,N(Cockpit!$O$6))),CC1130)/BS1130,0)*BS1130</f>
        <v>20</v>
      </c>
      <c r="BA1130" s="58" t="n">
        <f aca="false">IF(AX1130&gt;0,J1130/AX1130,-1)</f>
        <v>208</v>
      </c>
      <c r="BB1130" s="58" t="n">
        <f aca="false">IF(AND(OR(BY1130="L1",BY1130="L23"),AX1130&gt;0),SUMIFS($AX$7:$AX$1843,$BY$7:$BY$1843,BY1130,$BA$7:$BA$1843,"&gt;"&amp;BA1130)+SUMIFS($AX$7:$AX$1843,$BY$7:$BY$1843,BY1130,$BA$7:$BA$1843,BA1130,$BQ$7:$BQ$1843,"&lt;="&amp;BQ1130),"")</f>
        <v>42.6689723320158</v>
      </c>
      <c r="BC1130" s="65" t="n">
        <f aca="false">IF(BB1130="",0,MAX(0,MIN(1,(IF(BY1130="L1",Parameter!$E$5,Parameter!$E$6+Parameter!$E$7)-(BB1130-AX1130))/AX1130)))</f>
        <v>1</v>
      </c>
      <c r="BD1130" s="55" t="str">
        <f aca="false">IF(AH1130&lt;=0,"",IF(BY1130="Aussen","Aussenlager",IF(BY1130="-","Nicht im Lift",IF(AM1130&gt;=1,"Lift",IF(AM1130&lt;=0,"Aussenlager","teilweise")))))</f>
        <v>Lift</v>
      </c>
      <c r="BE1130" s="55" t="str">
        <f aca="false">IF(AP1130&lt;=0,"",IF(BY1130="Aussen","Aussenlager",IF(BY1130="-","Nicht im Lift",IF(AU1130&gt;=1,"Lift",IF(AU1130&lt;=0,"Aussenlager","teilweise")))))</f>
        <v>Lift</v>
      </c>
      <c r="BF1130" s="55" t="str">
        <f aca="false">IF(AX1130&lt;=0,"",IF(BY1130="Aussen","Aussenlager",IF(BY1130="-","Nicht im Lift",IF(BC1130&gt;=1,"Lift",IF(BC1130&lt;=0,"Aussenlager","teilweise")))))</f>
        <v>Lift</v>
      </c>
      <c r="BG1130" s="55" t="str">
        <f aca="false">IF(A1130="","",IF(BP1130=1,"Neu; ","")&amp;IF(AND(BP1130=0,BK1130&lt;0),"negativer Bestand (Export "&amp;BK1130&amp;"); ","")&amp;IF(J1130&lt;=0,"Kein Verbrauch; ","")&amp;IF(CH1130&gt;0,"Lift "&amp;W1130&amp;" lt. Liftbericht (Fach "&amp;X1130&amp;" Stk); ",IF(BU1130=1,"Gebinde geschätzt ("&amp;T1130&amp;"); ",IF(BT1130=1,"Lose – Tablare geschätzt; ","")))&amp;IF(H1130&gt;AR1130,"Überbestand "&amp;ROUND(H1130-AR1130,0)&amp;" Stk / CHF "&amp;ROUND((H1130-AR1130)*G1130,0)&amp;"; ","")&amp;IF(AND(CA1130=1,CB1130&lt;CC1130),"MAX &lt; MB+LG; ","")&amp;IF(AND(CG1130&gt;0,CF1130*10&gt;CG1130),"zu hoch für Tablar; ","")&amp;IF(AND(BP1130=0,OR(CA1130=1,AA1130&lt;&gt;"",U1130&lt;&gt;"",V1130&lt;&gt;"",AB1130&lt;&gt;"")),"manuell übersteuert; ","")&amp;IF(AND(BT1130=0,R1130=0),"Gebinde unbekannt / Stellmass fehlt; ","")&amp;IF(AND(BT1130=0,N(V1130)&lt;=0,N(Q1130)&lt;=0),"Menge pro Gebinde fehlt (Ist = 1 Gebinde); ","")&amp;BO1130)</f>
        <v>negativer Bestand (Export -8); Gebinde geschätzt (Klein); Menge pro Gebinde fehlt (Ist = 1 Gebinde); </v>
      </c>
      <c r="BH1130" s="55"/>
      <c r="BI1130" s="55"/>
      <c r="BJ1130" s="62"/>
      <c r="BK1130" s="57" t="n">
        <v>-8</v>
      </c>
      <c r="BL1130" s="57" t="n">
        <v>16</v>
      </c>
      <c r="BM1130" s="56" t="n">
        <v>-255.2</v>
      </c>
      <c r="BN1130" s="57" t="n">
        <v>8</v>
      </c>
      <c r="BO1130" s="55"/>
      <c r="BP1130" s="60" t="n">
        <v>0</v>
      </c>
      <c r="BQ1130" s="60" t="n">
        <v>1130</v>
      </c>
      <c r="BR1130" s="55" t="str">
        <f aca="false">IF(U1130&lt;&gt;"",UPPER(TRIM(U1130)),IF(BU1130=1,UPPER(VLOOKUP(T1130,Parameter!$I$27:$K$29,2,0)),IF(P1130="","LOSE",P1130)))</f>
        <v>S51</v>
      </c>
      <c r="BS1130" s="57" t="n">
        <f aca="false">IF(BR1130="LOSE",1,IF(N(V1130)&gt;0,V1130,IF(BU1130=1,MAX(1,N(VLOOKUP(T1130,Parameter!$I$27:$K$29,3,0)),H1130,N(N1130)),IF(N(Q1130)&gt;0,Q1130,MAX(1,H1130)))))</f>
        <v>20</v>
      </c>
      <c r="BT1130" s="60" t="n">
        <f aca="false">IF(BR1130="LOSE",1,0)</f>
        <v>0</v>
      </c>
      <c r="BU1130" s="60" t="n">
        <f aca="false">IF(AND(U1130="",OR(P1130="",P1130="LOSE"),T1130&lt;&gt;"",N(S1130)&lt;=0,ISNUMBER(MATCH(T1130,Parameter!$I$27:$I$29,0))),1,0)</f>
        <v>1</v>
      </c>
      <c r="BV1130" s="55" t="str">
        <f aca="false">IF(AND(Parameter!$B$19="Ja",E1130&lt;&gt;"",ISNUMBER(MATCH(E1130,Parameter!$I$35:$I$52,0))),VLOOKUP(E1130,Parameter!$I$35:$J$52,2,0),IFERROR(VLOOKUP(D1130,Parameter!$A$35:$C$64,2,0),"Nein"))</f>
        <v>2+3</v>
      </c>
      <c r="BW1130" s="59" t="n">
        <f aca="false">IF(BT1130=0,0,IF(N(S1130)&gt;0,S1130,IFERROR(VLOOKUP(D1130,Parameter!$A$35:$C$64,3,0)+0,0)))</f>
        <v>0</v>
      </c>
      <c r="BX1130" s="55" t="n">
        <f aca="false">IF(AA1130&lt;&gt;"",AA1130,Z1130)</f>
        <v>3</v>
      </c>
      <c r="BY1130" s="55" t="str">
        <f aca="false">IF(BX1130=1,"L1",IF(OR(BX1130=2,BX1130=3),"L23",IF(BX1130="Aussen","Aussen","-")))</f>
        <v>L23</v>
      </c>
      <c r="BZ1130" s="66" t="n">
        <f aca="false">IF(N(AB1130)&gt;0,AB1130,0)</f>
        <v>0</v>
      </c>
      <c r="CA1130" s="60" t="n">
        <f aca="false">IF(ISNUMBER(AE1130),1,0)</f>
        <v>0</v>
      </c>
      <c r="CB1130" s="57" t="n">
        <f aca="false">N(AE1130)</f>
        <v>0</v>
      </c>
      <c r="CC1130" s="57" t="n">
        <f aca="false">N(M1130)+N(N1130)</f>
        <v>10</v>
      </c>
      <c r="CD1130" s="57" t="n">
        <f aca="false">ROUNDUP(H1130/BS1130,0)</f>
        <v>1</v>
      </c>
      <c r="CE1130" s="57" t="n">
        <f aca="false">ROUNDUP(CB1130/BS1130,0)</f>
        <v>0</v>
      </c>
      <c r="CF1130" s="60" t="n">
        <f aca="false">IF(BT1130=1,0,IFERROR(VLOOKUP(BR1130,'Gebinde-Kategorie'!$A$5:$M$45,5,0)+0,0))</f>
        <v>11</v>
      </c>
      <c r="CG1130" s="60" t="n">
        <f aca="false">IFERROR(IF(OR(BX1130=1,BX1130=2,BX1130=3),N(INDEX(Parameter!$I$5:$I$7,BX1130)),0),0)</f>
        <v>0</v>
      </c>
      <c r="CH1130" s="59" t="n">
        <f aca="false">IF(AND(Parameter!$B$21="Ja",ISNUMBER(W1130),N(X1130)&gt;0),IFERROR(N(INDEX(Parameter!$L$5:$L$7,W1130))*INDEX(Parameter!$E$5:$E$7,W1130)*X1130/SUMIFS($X$7:$X$1843,$W$7:$W$1843,W1130),0),0)</f>
        <v>0</v>
      </c>
    </row>
    <row r="1131" customFormat="false" ht="15" hidden="false" customHeight="false" outlineLevel="0" collapsed="false">
      <c r="A1131" s="55" t="s">
        <v>2048</v>
      </c>
      <c r="B1131" s="55" t="s">
        <v>297</v>
      </c>
      <c r="C1131" s="55" t="s">
        <v>164</v>
      </c>
      <c r="D1131" s="55" t="s">
        <v>173</v>
      </c>
      <c r="E1131" s="55"/>
      <c r="F1131" s="55" t="s">
        <v>218</v>
      </c>
      <c r="G1131" s="56" t="n">
        <v>257.72</v>
      </c>
      <c r="H1131" s="57" t="n">
        <f aca="false">MAX(0,IF(AND(Parameter!$B$21="Ja",ISNUMBER(Y1131)),Y1131,IF(Parameter!$B$20="Jahresanfang 2025 + Export",BL1131+BK1131,BK1131)))</f>
        <v>0</v>
      </c>
      <c r="I1131" s="57" t="n">
        <f aca="false">H1131*G1131</f>
        <v>0</v>
      </c>
      <c r="J1131" s="57" t="n">
        <f aca="false">BN1131*Parameter!$B$18</f>
        <v>0</v>
      </c>
      <c r="K1131" s="58" t="n">
        <v>0.5</v>
      </c>
      <c r="L1131" s="59" t="n">
        <v>0</v>
      </c>
      <c r="M1131" s="57" t="n">
        <v>0</v>
      </c>
      <c r="N1131" s="57" t="n">
        <v>1</v>
      </c>
      <c r="O1131" s="60" t="n">
        <v>70</v>
      </c>
      <c r="P1131" s="55" t="s">
        <v>168</v>
      </c>
      <c r="Q1131" s="57"/>
      <c r="R1131" s="60" t="n">
        <f aca="false">IF(BT1131=1,0,IFERROR(VLOOKUP(BR1131,'Gebinde-Kategorie'!$A$5:$M$45,13,0)+0,0))</f>
        <v>26</v>
      </c>
      <c r="S1131" s="61"/>
      <c r="T1131" s="62" t="s">
        <v>275</v>
      </c>
      <c r="U1131" s="62"/>
      <c r="V1131" s="62"/>
      <c r="W1131" s="55"/>
      <c r="X1131" s="57"/>
      <c r="Y1131" s="57"/>
      <c r="Z1131" s="55" t="n">
        <f aca="false">IF(A1131="","",IF(AND(Parameter!$B$21="Ja",ISNUMBER(W1131)),W1131,IF(BV1131="2+3",IF(ISNUMBER(SEARCH("grosser Artikel",BO1131)),2,IFERROR(VLOOKUP(BR1131,Parameter!$F$35:$G$64,2,0),2)),IF(OR(BV1131="Nein",BV1131=""),"-",BV1131))))</f>
        <v>3</v>
      </c>
      <c r="AA1131" s="62"/>
      <c r="AB1131" s="63"/>
      <c r="AC1131" s="57" t="n">
        <f aca="false">AR1131</f>
        <v>20</v>
      </c>
      <c r="AD1131" s="57" t="n">
        <f aca="false">MAX(AR1131,H1131)</f>
        <v>20</v>
      </c>
      <c r="AE1131" s="64"/>
      <c r="AF1131" s="57" t="n">
        <f aca="false">IF(LEFT(Cockpit!$C$5,1)="A",H1131,IF(CA1131=1,CB1131,IF(LEFT(Cockpit!$C$5,1)="B",AJ1131,MAX(AJ1131,H1131))))</f>
        <v>0</v>
      </c>
      <c r="AG1131" s="57" t="n">
        <f aca="false">IF(BT1131=1,0,ROUNDUP(AF1131/BS1131,0))</f>
        <v>0</v>
      </c>
      <c r="AH1131" s="59" t="n">
        <f aca="false">IF(CH1131&gt;0,CH1131*MAX(1,AF1131/X1131),IF(BT1131=1,IF(AF1131&lt;=0,0,BW1131*MAX(1,IF(H1131&gt;0,AF1131/H1131,1))),IF(R1131&gt;0,AG1131/R1131,0))/MAX(0.1,N(Parameter!$M$21)))</f>
        <v>0</v>
      </c>
      <c r="AI1131" s="57" t="n">
        <f aca="false">AF1131*G1131</f>
        <v>0</v>
      </c>
      <c r="AJ1131" s="57" t="n">
        <f aca="false">ROUNDUP(MAX(J1131/IF(BZ1131&gt;0,BZ1131,MAX(0.1,N(Cockpit!$C$6))),CC1131)/BS1131,0)*BS1131</f>
        <v>20</v>
      </c>
      <c r="AK1131" s="58" t="n">
        <f aca="false">IF(AH1131&gt;0,J1131/AH1131,-1)</f>
        <v>-1</v>
      </c>
      <c r="AL1131" s="58" t="str">
        <f aca="false">IF(AND(OR(BY1131="L1",BY1131="L23"),AH1131&gt;0),SUMIFS($AH$7:$AH$1843,$BY$7:$BY$1843,BY1131,$AK$7:$AK$1843,"&gt;"&amp;AK1131)+SUMIFS($AH$7:$AH$1843,$BY$7:$BY$1843,BY1131,$AK$7:$AK$1843,AK1131,$BQ$7:$BQ$1843,"&lt;="&amp;BQ1131),"")</f>
        <v/>
      </c>
      <c r="AM1131" s="65" t="n">
        <f aca="false">IF(AL1131="",0,MAX(0,MIN(1,(IF(BY1131="L1",Parameter!$E$5,Parameter!$E$6+Parameter!$E$7)-(AL1131-AH1131))/AH1131)))</f>
        <v>0</v>
      </c>
      <c r="AN1131" s="57" t="n">
        <f aca="false">IF(LEFT(Cockpit!$I$5,1)="A",H1131,IF(CA1131=1,CB1131,IF(LEFT(Cockpit!$I$5,1)="B",AR1131,MAX(AR1131,H1131))))</f>
        <v>20</v>
      </c>
      <c r="AO1131" s="57" t="n">
        <f aca="false">IF(BT1131=1,0,ROUNDUP(AN1131/BS1131,0))</f>
        <v>1</v>
      </c>
      <c r="AP1131" s="59" t="n">
        <f aca="false">IF(CH1131&gt;0,CH1131*MAX(1,AN1131/X1131),IF(BT1131=1,IF(AN1131&lt;=0,0,BW1131*MAX(1,IF(H1131&gt;0,AN1131/H1131,1))),IF(R1131&gt;0,AO1131/R1131,0))/MAX(0.1,N(Parameter!$M$21)))</f>
        <v>0.0384615384615385</v>
      </c>
      <c r="AQ1131" s="57" t="n">
        <f aca="false">AN1131*G1131</f>
        <v>5154.4</v>
      </c>
      <c r="AR1131" s="57" t="n">
        <f aca="false">ROUNDUP(MAX(J1131/IF(BZ1131&gt;0,BZ1131,MAX(0.1,N(Cockpit!$I$6))),CC1131)/BS1131,0)*BS1131</f>
        <v>20</v>
      </c>
      <c r="AS1131" s="58" t="n">
        <f aca="false">IF(AP1131&gt;0,J1131/AP1131,-1)</f>
        <v>0</v>
      </c>
      <c r="AT1131" s="58" t="n">
        <f aca="false">IF(AND(OR(BY1131="L1",BY1131="L23"),AP1131&gt;0),SUMIFS($AP$7:$AP$1843,$BY$7:$BY$1843,BY1131,$AS$7:$AS$1843,"&gt;"&amp;AS1131)+SUMIFS($AP$7:$AP$1843,$BY$7:$BY$1843,BY1131,$AS$7:$AS$1843,AS1131,$BQ$7:$BQ$1843,"&lt;="&amp;BQ1131),"")</f>
        <v>121.453844464714</v>
      </c>
      <c r="AU1131" s="65" t="n">
        <f aca="false">IF(AT1131="",0,MAX(0,MIN(1,(IF(BY1131="L1",Parameter!$E$5,Parameter!$E$6+Parameter!$E$7)-(AT1131-AP1131))/AP1131)))</f>
        <v>0</v>
      </c>
      <c r="AV1131" s="57" t="n">
        <f aca="false">IF(LEFT(Cockpit!$O$5,1)="A",H1131,IF(CA1131=1,CB1131,IF(LEFT(Cockpit!$O$5,1)="B",AZ1131,MAX(AZ1131,H1131))))</f>
        <v>20</v>
      </c>
      <c r="AW1131" s="57" t="n">
        <f aca="false">IF(BT1131=1,0,ROUNDUP(AV1131/BS1131,0))</f>
        <v>1</v>
      </c>
      <c r="AX1131" s="59" t="n">
        <f aca="false">IF(CH1131&gt;0,CH1131*MAX(1,AV1131/X1131),IF(BT1131=1,IF(AV1131&lt;=0,0,BW1131*MAX(1,IF(H1131&gt;0,AV1131/H1131,1))),IF(R1131&gt;0,AW1131/R1131,0))/MAX(0.1,N(Parameter!$M$21)))</f>
        <v>0.0384615384615385</v>
      </c>
      <c r="AY1131" s="57" t="n">
        <f aca="false">AV1131*G1131</f>
        <v>5154.4</v>
      </c>
      <c r="AZ1131" s="57" t="n">
        <f aca="false">ROUNDUP(MAX(J1131/IF(BZ1131&gt;0,BZ1131,MAX(0.1,N(Cockpit!$O$6))),CC1131)/BS1131,0)*BS1131</f>
        <v>20</v>
      </c>
      <c r="BA1131" s="58" t="n">
        <f aca="false">IF(AX1131&gt;0,J1131/AX1131,-1)</f>
        <v>0</v>
      </c>
      <c r="BB1131" s="58" t="n">
        <f aca="false">IF(AND(OR(BY1131="L1",BY1131="L23"),AX1131&gt;0),SUMIFS($AX$7:$AX$1843,$BY$7:$BY$1843,BY1131,$BA$7:$BA$1843,"&gt;"&amp;BA1131)+SUMIFS($AX$7:$AX$1843,$BY$7:$BY$1843,BY1131,$BA$7:$BA$1843,BA1131,$BQ$7:$BQ$1843,"&lt;="&amp;BQ1131),"")</f>
        <v>112.283681294551</v>
      </c>
      <c r="BC1131" s="65" t="n">
        <f aca="false">IF(BB1131="",0,MAX(0,MIN(1,(IF(BY1131="L1",Parameter!$E$5,Parameter!$E$6+Parameter!$E$7)-(BB1131-AX1131))/AX1131)))</f>
        <v>0</v>
      </c>
      <c r="BD1131" s="55" t="str">
        <f aca="false">IF(AH1131&lt;=0,"",IF(BY1131="Aussen","Aussenlager",IF(BY1131="-","Nicht im Lift",IF(AM1131&gt;=1,"Lift",IF(AM1131&lt;=0,"Aussenlager","teilweise")))))</f>
        <v/>
      </c>
      <c r="BE1131" s="55" t="str">
        <f aca="false">IF(AP1131&lt;=0,"",IF(BY1131="Aussen","Aussenlager",IF(BY1131="-","Nicht im Lift",IF(AU1131&gt;=1,"Lift",IF(AU1131&lt;=0,"Aussenlager","teilweise")))))</f>
        <v>Aussenlager</v>
      </c>
      <c r="BF1131" s="55" t="str">
        <f aca="false">IF(AX1131&lt;=0,"",IF(BY1131="Aussen","Aussenlager",IF(BY1131="-","Nicht im Lift",IF(BC1131&gt;=1,"Lift",IF(BC1131&lt;=0,"Aussenlager","teilweise")))))</f>
        <v>Aussenlager</v>
      </c>
      <c r="BG1131" s="55" t="str">
        <f aca="false">IF(A1131="","",IF(BP1131=1,"Neu; ","")&amp;IF(AND(BP1131=0,BK1131&lt;0),"negativer Bestand (Export "&amp;BK1131&amp;"); ","")&amp;IF(J1131&lt;=0,"Kein Verbrauch; ","")&amp;IF(CH1131&gt;0,"Lift "&amp;W1131&amp;" lt. Liftbericht (Fach "&amp;X1131&amp;" Stk); ",IF(BU1131=1,"Gebinde geschätzt ("&amp;T1131&amp;"); ",IF(BT1131=1,"Lose – Tablare geschätzt; ","")))&amp;IF(H1131&gt;AR1131,"Überbestand "&amp;ROUND(H1131-AR1131,0)&amp;" Stk / CHF "&amp;ROUND((H1131-AR1131)*G1131,0)&amp;"; ","")&amp;IF(AND(CA1131=1,CB1131&lt;CC1131),"MAX &lt; MB+LG; ","")&amp;IF(AND(CG1131&gt;0,CF1131*10&gt;CG1131),"zu hoch für Tablar; ","")&amp;IF(AND(BP1131=0,OR(CA1131=1,AA1131&lt;&gt;"",U1131&lt;&gt;"",V1131&lt;&gt;"",AB1131&lt;&gt;"")),"manuell übersteuert; ","")&amp;IF(AND(BT1131=0,R1131=0),"Gebinde unbekannt / Stellmass fehlt; ","")&amp;IF(AND(BT1131=0,N(V1131)&lt;=0,N(Q1131)&lt;=0),"Menge pro Gebinde fehlt (Ist = 1 Gebinde); ","")&amp;BO1131)</f>
        <v>negativer Bestand (Export -1); Kein Verbrauch; Gebinde geschätzt (Klein); Menge pro Gebinde fehlt (Ist = 1 Gebinde); </v>
      </c>
      <c r="BH1131" s="55"/>
      <c r="BI1131" s="55"/>
      <c r="BJ1131" s="62"/>
      <c r="BK1131" s="57" t="n">
        <v>-1</v>
      </c>
      <c r="BL1131" s="57" t="n">
        <v>1</v>
      </c>
      <c r="BM1131" s="56" t="n">
        <v>-257.72</v>
      </c>
      <c r="BN1131" s="57" t="n">
        <v>0</v>
      </c>
      <c r="BO1131" s="55"/>
      <c r="BP1131" s="60" t="n">
        <v>0</v>
      </c>
      <c r="BQ1131" s="60" t="n">
        <v>1131</v>
      </c>
      <c r="BR1131" s="55" t="str">
        <f aca="false">IF(U1131&lt;&gt;"",UPPER(TRIM(U1131)),IF(BU1131=1,UPPER(VLOOKUP(T1131,Parameter!$I$27:$K$29,2,0)),IF(P1131="","LOSE",P1131)))</f>
        <v>S51</v>
      </c>
      <c r="BS1131" s="57" t="n">
        <f aca="false">IF(BR1131="LOSE",1,IF(N(V1131)&gt;0,V1131,IF(BU1131=1,MAX(1,N(VLOOKUP(T1131,Parameter!$I$27:$K$29,3,0)),H1131,N(N1131)),IF(N(Q1131)&gt;0,Q1131,MAX(1,H1131)))))</f>
        <v>20</v>
      </c>
      <c r="BT1131" s="60" t="n">
        <f aca="false">IF(BR1131="LOSE",1,0)</f>
        <v>0</v>
      </c>
      <c r="BU1131" s="60" t="n">
        <f aca="false">IF(AND(U1131="",OR(P1131="",P1131="LOSE"),T1131&lt;&gt;"",N(S1131)&lt;=0,ISNUMBER(MATCH(T1131,Parameter!$I$27:$I$29,0))),1,0)</f>
        <v>1</v>
      </c>
      <c r="BV1131" s="55" t="str">
        <f aca="false">IF(AND(Parameter!$B$19="Ja",E1131&lt;&gt;"",ISNUMBER(MATCH(E1131,Parameter!$I$35:$I$52,0))),VLOOKUP(E1131,Parameter!$I$35:$J$52,2,0),IFERROR(VLOOKUP(D1131,Parameter!$A$35:$C$64,2,0),"Nein"))</f>
        <v>2+3</v>
      </c>
      <c r="BW1131" s="59" t="n">
        <f aca="false">IF(BT1131=0,0,IF(N(S1131)&gt;0,S1131,IFERROR(VLOOKUP(D1131,Parameter!$A$35:$C$64,3,0)+0,0)))</f>
        <v>0</v>
      </c>
      <c r="BX1131" s="55" t="n">
        <f aca="false">IF(AA1131&lt;&gt;"",AA1131,Z1131)</f>
        <v>3</v>
      </c>
      <c r="BY1131" s="55" t="str">
        <f aca="false">IF(BX1131=1,"L1",IF(OR(BX1131=2,BX1131=3),"L23",IF(BX1131="Aussen","Aussen","-")))</f>
        <v>L23</v>
      </c>
      <c r="BZ1131" s="66" t="n">
        <f aca="false">IF(N(AB1131)&gt;0,AB1131,0)</f>
        <v>0</v>
      </c>
      <c r="CA1131" s="60" t="n">
        <f aca="false">IF(ISNUMBER(AE1131),1,0)</f>
        <v>0</v>
      </c>
      <c r="CB1131" s="57" t="n">
        <f aca="false">N(AE1131)</f>
        <v>0</v>
      </c>
      <c r="CC1131" s="57" t="n">
        <f aca="false">N(M1131)+N(N1131)</f>
        <v>1</v>
      </c>
      <c r="CD1131" s="57" t="n">
        <f aca="false">ROUNDUP(H1131/BS1131,0)</f>
        <v>0</v>
      </c>
      <c r="CE1131" s="57" t="n">
        <f aca="false">ROUNDUP(CB1131/BS1131,0)</f>
        <v>0</v>
      </c>
      <c r="CF1131" s="60" t="n">
        <f aca="false">IF(BT1131=1,0,IFERROR(VLOOKUP(BR1131,'Gebinde-Kategorie'!$A$5:$M$45,5,0)+0,0))</f>
        <v>11</v>
      </c>
      <c r="CG1131" s="60" t="n">
        <f aca="false">IFERROR(IF(OR(BX1131=1,BX1131=2,BX1131=3),N(INDEX(Parameter!$I$5:$I$7,BX1131)),0),0)</f>
        <v>0</v>
      </c>
      <c r="CH1131" s="59" t="n">
        <f aca="false">IF(AND(Parameter!$B$21="Ja",ISNUMBER(W1131),N(X1131)&gt;0),IFERROR(N(INDEX(Parameter!$L$5:$L$7,W1131))*INDEX(Parameter!$E$5:$E$7,W1131)*X1131/SUMIFS($X$7:$X$1843,$W$7:$W$1843,W1131),0),0)</f>
        <v>0</v>
      </c>
    </row>
    <row r="1132" customFormat="false" ht="15" hidden="false" customHeight="false" outlineLevel="0" collapsed="false">
      <c r="A1132" s="55" t="s">
        <v>2049</v>
      </c>
      <c r="B1132" s="55" t="s">
        <v>2050</v>
      </c>
      <c r="C1132" s="55" t="s">
        <v>164</v>
      </c>
      <c r="D1132" s="55" t="s">
        <v>184</v>
      </c>
      <c r="E1132" s="55" t="s">
        <v>185</v>
      </c>
      <c r="F1132" s="55" t="s">
        <v>218</v>
      </c>
      <c r="G1132" s="56" t="n">
        <v>259.12</v>
      </c>
      <c r="H1132" s="57" t="n">
        <f aca="false">MAX(0,IF(AND(Parameter!$B$21="Ja",ISNUMBER(Y1132)),Y1132,IF(Parameter!$B$20="Jahresanfang 2025 + Export",BL1132+BK1132,BK1132)))</f>
        <v>6</v>
      </c>
      <c r="I1132" s="57" t="n">
        <f aca="false">H1132*G1132</f>
        <v>1554.72</v>
      </c>
      <c r="J1132" s="57" t="n">
        <f aca="false">BN1132*Parameter!$B$18</f>
        <v>1</v>
      </c>
      <c r="K1132" s="58" t="n">
        <v>6.5</v>
      </c>
      <c r="L1132" s="59" t="n">
        <v>0.153846153846154</v>
      </c>
      <c r="M1132" s="57" t="n">
        <v>0</v>
      </c>
      <c r="N1132" s="57" t="n">
        <v>1</v>
      </c>
      <c r="O1132" s="60" t="n">
        <v>28</v>
      </c>
      <c r="P1132" s="55" t="s">
        <v>302</v>
      </c>
      <c r="Q1132" s="57" t="n">
        <v>7</v>
      </c>
      <c r="R1132" s="60" t="n">
        <f aca="false">IF(BT1132=1,0,IFERROR(VLOOKUP(BR1132,'Gebinde-Kategorie'!$A$5:$M$45,13,0)+0,0))</f>
        <v>26</v>
      </c>
      <c r="S1132" s="61"/>
      <c r="T1132" s="62"/>
      <c r="U1132" s="62"/>
      <c r="V1132" s="62"/>
      <c r="W1132" s="55"/>
      <c r="X1132" s="57"/>
      <c r="Y1132" s="57"/>
      <c r="Z1132" s="55" t="n">
        <f aca="false">IF(A1132="","",IF(AND(Parameter!$B$21="Ja",ISNUMBER(W1132)),W1132,IF(BV1132="2+3",IF(ISNUMBER(SEARCH("grosser Artikel",BO1132)),2,IFERROR(VLOOKUP(BR1132,Parameter!$F$35:$G$64,2,0),2)),IF(OR(BV1132="Nein",BV1132=""),"-",BV1132))))</f>
        <v>3</v>
      </c>
      <c r="AA1132" s="62"/>
      <c r="AB1132" s="63"/>
      <c r="AC1132" s="57" t="n">
        <f aca="false">AR1132</f>
        <v>7</v>
      </c>
      <c r="AD1132" s="57" t="n">
        <f aca="false">MAX(AR1132,H1132)</f>
        <v>7</v>
      </c>
      <c r="AE1132" s="64"/>
      <c r="AF1132" s="57" t="n">
        <f aca="false">IF(LEFT(Cockpit!$C$5,1)="A",H1132,IF(CA1132=1,CB1132,IF(LEFT(Cockpit!$C$5,1)="B",AJ1132,MAX(AJ1132,H1132))))</f>
        <v>6</v>
      </c>
      <c r="AG1132" s="57" t="n">
        <f aca="false">IF(BT1132=1,0,ROUNDUP(AF1132/BS1132,0))</f>
        <v>1</v>
      </c>
      <c r="AH1132" s="59" t="n">
        <f aca="false">IF(CH1132&gt;0,CH1132*MAX(1,AF1132/X1132),IF(BT1132=1,IF(AF1132&lt;=0,0,BW1132*MAX(1,IF(H1132&gt;0,AF1132/H1132,1))),IF(R1132&gt;0,AG1132/R1132,0))/MAX(0.1,N(Parameter!$M$21)))</f>
        <v>0.0384615384615385</v>
      </c>
      <c r="AI1132" s="57" t="n">
        <f aca="false">AF1132*G1132</f>
        <v>1554.72</v>
      </c>
      <c r="AJ1132" s="57" t="n">
        <f aca="false">ROUNDUP(MAX(J1132/IF(BZ1132&gt;0,BZ1132,MAX(0.1,N(Cockpit!$C$6))),CC1132)/BS1132,0)*BS1132</f>
        <v>7</v>
      </c>
      <c r="AK1132" s="58" t="n">
        <f aca="false">IF(AH1132&gt;0,J1132/AH1132,-1)</f>
        <v>26</v>
      </c>
      <c r="AL1132" s="58" t="n">
        <f aca="false">IF(AND(OR(BY1132="L1",BY1132="L23"),AH1132&gt;0),SUMIFS($AH$7:$AH$1843,$BY$7:$BY$1843,BY1132,$AK$7:$AK$1843,"&gt;"&amp;AK1132)+SUMIFS($AH$7:$AH$1843,$BY$7:$BY$1843,BY1132,$AK$7:$AK$1843,AK1132,$BQ$7:$BQ$1843,"&lt;="&amp;BQ1132),"")</f>
        <v>48.7676683220162</v>
      </c>
      <c r="AM1132" s="65" t="n">
        <f aca="false">IF(AL1132="",0,MAX(0,MIN(1,(IF(BY1132="L1",Parameter!$E$5,Parameter!$E$6+Parameter!$E$7)-(AL1132-AH1132))/AH1132)))</f>
        <v>1</v>
      </c>
      <c r="AN1132" s="57" t="n">
        <f aca="false">IF(LEFT(Cockpit!$I$5,1)="A",H1132,IF(CA1132=1,CB1132,IF(LEFT(Cockpit!$I$5,1)="B",AR1132,MAX(AR1132,H1132))))</f>
        <v>7</v>
      </c>
      <c r="AO1132" s="57" t="n">
        <f aca="false">IF(BT1132=1,0,ROUNDUP(AN1132/BS1132,0))</f>
        <v>1</v>
      </c>
      <c r="AP1132" s="59" t="n">
        <f aca="false">IF(CH1132&gt;0,CH1132*MAX(1,AN1132/X1132),IF(BT1132=1,IF(AN1132&lt;=0,0,BW1132*MAX(1,IF(H1132&gt;0,AN1132/H1132,1))),IF(R1132&gt;0,AO1132/R1132,0))/MAX(0.1,N(Parameter!$M$21)))</f>
        <v>0.0384615384615385</v>
      </c>
      <c r="AQ1132" s="57" t="n">
        <f aca="false">AN1132*G1132</f>
        <v>1813.84</v>
      </c>
      <c r="AR1132" s="57" t="n">
        <f aca="false">ROUNDUP(MAX(J1132/IF(BZ1132&gt;0,BZ1132,MAX(0.1,N(Cockpit!$I$6))),CC1132)/BS1132,0)*BS1132</f>
        <v>7</v>
      </c>
      <c r="AS1132" s="58" t="n">
        <f aca="false">IF(AP1132&gt;0,J1132/AP1132,-1)</f>
        <v>26</v>
      </c>
      <c r="AT1132" s="58" t="n">
        <f aca="false">IF(AND(OR(BY1132="L1",BY1132="L23"),AP1132&gt;0),SUMIFS($AP$7:$AP$1843,$BY$7:$BY$1843,BY1132,$AS$7:$AS$1843,"&gt;"&amp;AS1132)+SUMIFS($AP$7:$AP$1843,$BY$7:$BY$1843,BY1132,$AS$7:$AS$1843,AS1132,$BQ$7:$BQ$1843,"&lt;="&amp;BQ1132),"")</f>
        <v>73.9417925070099</v>
      </c>
      <c r="AU1132" s="65" t="n">
        <f aca="false">IF(AT1132="",0,MAX(0,MIN(1,(IF(BY1132="L1",Parameter!$E$5,Parameter!$E$6+Parameter!$E$7)-(AT1132-AP1132))/AP1132)))</f>
        <v>1</v>
      </c>
      <c r="AV1132" s="57" t="n">
        <f aca="false">IF(LEFT(Cockpit!$O$5,1)="A",H1132,IF(CA1132=1,CB1132,IF(LEFT(Cockpit!$O$5,1)="B",AZ1132,MAX(AZ1132,H1132))))</f>
        <v>7</v>
      </c>
      <c r="AW1132" s="57" t="n">
        <f aca="false">IF(BT1132=1,0,ROUNDUP(AV1132/BS1132,0))</f>
        <v>1</v>
      </c>
      <c r="AX1132" s="59" t="n">
        <f aca="false">IF(CH1132&gt;0,CH1132*MAX(1,AV1132/X1132),IF(BT1132=1,IF(AV1132&lt;=0,0,BW1132*MAX(1,IF(H1132&gt;0,AV1132/H1132,1))),IF(R1132&gt;0,AW1132/R1132,0))/MAX(0.1,N(Parameter!$M$21)))</f>
        <v>0.0384615384615385</v>
      </c>
      <c r="AY1132" s="57" t="n">
        <f aca="false">AV1132*G1132</f>
        <v>1813.84</v>
      </c>
      <c r="AZ1132" s="57" t="n">
        <f aca="false">ROUNDUP(MAX(J1132/IF(BZ1132&gt;0,BZ1132,MAX(0.1,N(Cockpit!$O$6))),CC1132)/BS1132,0)*BS1132</f>
        <v>7</v>
      </c>
      <c r="BA1132" s="58" t="n">
        <f aca="false">IF(AX1132&gt;0,J1132/AX1132,-1)</f>
        <v>26</v>
      </c>
      <c r="BB1132" s="58" t="n">
        <f aca="false">IF(AND(OR(BY1132="L1",BY1132="L23"),AX1132&gt;0),SUMIFS($AX$7:$AX$1843,$BY$7:$BY$1843,BY1132,$BA$7:$BA$1843,"&gt;"&amp;BA1132)+SUMIFS($AX$7:$AX$1843,$BY$7:$BY$1843,BY1132,$BA$7:$BA$1843,BA1132,$BQ$7:$BQ$1843,"&lt;="&amp;BQ1132),"")</f>
        <v>69.4382960035134</v>
      </c>
      <c r="BC1132" s="65" t="n">
        <f aca="false">IF(BB1132="",0,MAX(0,MIN(1,(IF(BY1132="L1",Parameter!$E$5,Parameter!$E$6+Parameter!$E$7)-(BB1132-AX1132))/AX1132)))</f>
        <v>1</v>
      </c>
      <c r="BD1132" s="55" t="str">
        <f aca="false">IF(AH1132&lt;=0,"",IF(BY1132="Aussen","Aussenlager",IF(BY1132="-","Nicht im Lift",IF(AM1132&gt;=1,"Lift",IF(AM1132&lt;=0,"Aussenlager","teilweise")))))</f>
        <v>Lift</v>
      </c>
      <c r="BE1132" s="55" t="str">
        <f aca="false">IF(AP1132&lt;=0,"",IF(BY1132="Aussen","Aussenlager",IF(BY1132="-","Nicht im Lift",IF(AU1132&gt;=1,"Lift",IF(AU1132&lt;=0,"Aussenlager","teilweise")))))</f>
        <v>Lift</v>
      </c>
      <c r="BF1132" s="55" t="str">
        <f aca="false">IF(AX1132&lt;=0,"",IF(BY1132="Aussen","Aussenlager",IF(BY1132="-","Nicht im Lift",IF(BC1132&gt;=1,"Lift",IF(BC1132&lt;=0,"Aussenlager","teilweise")))))</f>
        <v>Lift</v>
      </c>
      <c r="BG1132" s="55" t="str">
        <f aca="false">IF(A1132="","",IF(BP1132=1,"Neu; ","")&amp;IF(AND(BP1132=0,BK1132&lt;0),"negativer Bestand (Export "&amp;BK1132&amp;"); ","")&amp;IF(J1132&lt;=0,"Kein Verbrauch; ","")&amp;IF(CH1132&gt;0,"Lift "&amp;W1132&amp;" lt. Liftbericht (Fach "&amp;X1132&amp;" Stk); ",IF(BU1132=1,"Gebinde geschätzt ("&amp;T1132&amp;"); ",IF(BT1132=1,"Lose – Tablare geschätzt; ","")))&amp;IF(H1132&gt;AR1132,"Überbestand "&amp;ROUND(H1132-AR1132,0)&amp;" Stk / CHF "&amp;ROUND((H1132-AR1132)*G1132,0)&amp;"; ","")&amp;IF(AND(CA1132=1,CB1132&lt;CC1132),"MAX &lt; MB+LG; ","")&amp;IF(AND(CG1132&gt;0,CF1132*10&gt;CG1132),"zu hoch für Tablar; ","")&amp;IF(AND(BP1132=0,OR(CA1132=1,AA1132&lt;&gt;"",U1132&lt;&gt;"",V1132&lt;&gt;"",AB1132&lt;&gt;"")),"manuell übersteuert; ","")&amp;IF(AND(BT1132=0,R1132=0),"Gebinde unbekannt / Stellmass fehlt; ","")&amp;IF(AND(BT1132=0,N(V1132)&lt;=0,N(Q1132)&lt;=0),"Menge pro Gebinde fehlt (Ist = 1 Gebinde); ","")&amp;BO1132)</f>
        <v>negativer Bestand (Export -1); Überbestand</v>
      </c>
      <c r="BH1132" s="55"/>
      <c r="BI1132" s="55"/>
      <c r="BJ1132" s="62"/>
      <c r="BK1132" s="57" t="n">
        <v>-1</v>
      </c>
      <c r="BL1132" s="57" t="n">
        <v>7</v>
      </c>
      <c r="BM1132" s="56" t="n">
        <v>-259.12</v>
      </c>
      <c r="BN1132" s="57" t="n">
        <v>1</v>
      </c>
      <c r="BO1132" s="55" t="s">
        <v>392</v>
      </c>
      <c r="BP1132" s="60" t="n">
        <v>0</v>
      </c>
      <c r="BQ1132" s="60" t="n">
        <v>1132</v>
      </c>
      <c r="BR1132" s="55" t="str">
        <f aca="false">IF(U1132&lt;&gt;"",UPPER(TRIM(U1132)),IF(BU1132=1,UPPER(VLOOKUP(T1132,Parameter!$I$27:$K$29,2,0)),IF(P1132="","LOSE",P1132)))</f>
        <v>S51</v>
      </c>
      <c r="BS1132" s="57" t="n">
        <f aca="false">IF(BR1132="LOSE",1,IF(N(V1132)&gt;0,V1132,IF(BU1132=1,MAX(1,N(VLOOKUP(T1132,Parameter!$I$27:$K$29,3,0)),H1132,N(N1132)),IF(N(Q1132)&gt;0,Q1132,MAX(1,H1132)))))</f>
        <v>7</v>
      </c>
      <c r="BT1132" s="60" t="n">
        <f aca="false">IF(BR1132="LOSE",1,0)</f>
        <v>0</v>
      </c>
      <c r="BU1132" s="60" t="n">
        <f aca="false">IF(AND(U1132="",OR(P1132="",P1132="LOSE"),T1132&lt;&gt;"",N(S1132)&lt;=0,ISNUMBER(MATCH(T1132,Parameter!$I$27:$I$29,0))),1,0)</f>
        <v>0</v>
      </c>
      <c r="BV1132" s="55" t="str">
        <f aca="false">IF(AND(Parameter!$B$19="Ja",E1132&lt;&gt;"",ISNUMBER(MATCH(E1132,Parameter!$I$35:$I$52,0))),VLOOKUP(E1132,Parameter!$I$35:$J$52,2,0),IFERROR(VLOOKUP(D1132,Parameter!$A$35:$C$64,2,0),"Nein"))</f>
        <v>2+3</v>
      </c>
      <c r="BW1132" s="59" t="n">
        <f aca="false">IF(BT1132=0,0,IF(N(S1132)&gt;0,S1132,IFERROR(VLOOKUP(D1132,Parameter!$A$35:$C$64,3,0)+0,0)))</f>
        <v>0</v>
      </c>
      <c r="BX1132" s="55" t="n">
        <f aca="false">IF(AA1132&lt;&gt;"",AA1132,Z1132)</f>
        <v>3</v>
      </c>
      <c r="BY1132" s="55" t="str">
        <f aca="false">IF(BX1132=1,"L1",IF(OR(BX1132=2,BX1132=3),"L23",IF(BX1132="Aussen","Aussen","-")))</f>
        <v>L23</v>
      </c>
      <c r="BZ1132" s="66" t="n">
        <f aca="false">IF(N(AB1132)&gt;0,AB1132,0)</f>
        <v>0</v>
      </c>
      <c r="CA1132" s="60" t="n">
        <f aca="false">IF(ISNUMBER(AE1132),1,0)</f>
        <v>0</v>
      </c>
      <c r="CB1132" s="57" t="n">
        <f aca="false">N(AE1132)</f>
        <v>0</v>
      </c>
      <c r="CC1132" s="57" t="n">
        <f aca="false">N(M1132)+N(N1132)</f>
        <v>1</v>
      </c>
      <c r="CD1132" s="57" t="n">
        <f aca="false">ROUNDUP(H1132/BS1132,0)</f>
        <v>1</v>
      </c>
      <c r="CE1132" s="57" t="n">
        <f aca="false">ROUNDUP(CB1132/BS1132,0)</f>
        <v>0</v>
      </c>
      <c r="CF1132" s="60" t="n">
        <f aca="false">IF(BT1132=1,0,IFERROR(VLOOKUP(BR1132,'Gebinde-Kategorie'!$A$5:$M$45,5,0)+0,0))</f>
        <v>11</v>
      </c>
      <c r="CG1132" s="60" t="n">
        <f aca="false">IFERROR(IF(OR(BX1132=1,BX1132=2,BX1132=3),N(INDEX(Parameter!$I$5:$I$7,BX1132)),0),0)</f>
        <v>0</v>
      </c>
      <c r="CH1132" s="59" t="n">
        <f aca="false">IF(AND(Parameter!$B$21="Ja",ISNUMBER(W1132),N(X1132)&gt;0),IFERROR(N(INDEX(Parameter!$L$5:$L$7,W1132))*INDEX(Parameter!$E$5:$E$7,W1132)*X1132/SUMIFS($X$7:$X$1843,$W$7:$W$1843,W1132),0),0)</f>
        <v>0</v>
      </c>
    </row>
    <row r="1133" customFormat="false" ht="15" hidden="false" customHeight="false" outlineLevel="0" collapsed="false">
      <c r="A1133" s="55" t="s">
        <v>2051</v>
      </c>
      <c r="B1133" s="55" t="s">
        <v>2052</v>
      </c>
      <c r="C1133" s="55" t="s">
        <v>456</v>
      </c>
      <c r="D1133" s="55" t="s">
        <v>173</v>
      </c>
      <c r="E1133" s="55" t="s">
        <v>1479</v>
      </c>
      <c r="F1133" s="55" t="s">
        <v>218</v>
      </c>
      <c r="G1133" s="56" t="n">
        <v>65.07</v>
      </c>
      <c r="H1133" s="57" t="n">
        <f aca="false">MAX(0,IF(AND(Parameter!$B$21="Ja",ISNUMBER(Y1133)),Y1133,IF(Parameter!$B$20="Jahresanfang 2025 + Export",BL1133+BK1133,BK1133)))</f>
        <v>0</v>
      </c>
      <c r="I1133" s="57" t="n">
        <f aca="false">H1133*G1133</f>
        <v>0</v>
      </c>
      <c r="J1133" s="57" t="n">
        <f aca="false">BN1133*Parameter!$B$18</f>
        <v>0</v>
      </c>
      <c r="K1133" s="58" t="n">
        <v>2</v>
      </c>
      <c r="L1133" s="59" t="n">
        <v>0</v>
      </c>
      <c r="M1133" s="57" t="n">
        <v>0</v>
      </c>
      <c r="N1133" s="57" t="n">
        <v>1</v>
      </c>
      <c r="O1133" s="60" t="n">
        <v>56</v>
      </c>
      <c r="P1133" s="55" t="s">
        <v>168</v>
      </c>
      <c r="Q1133" s="57"/>
      <c r="R1133" s="60" t="n">
        <f aca="false">IF(BT1133=1,0,IFERROR(VLOOKUP(BR1133,'Gebinde-Kategorie'!$A$5:$M$45,13,0)+0,0))</f>
        <v>3</v>
      </c>
      <c r="S1133" s="61"/>
      <c r="T1133" s="62" t="s">
        <v>189</v>
      </c>
      <c r="U1133" s="62"/>
      <c r="V1133" s="62"/>
      <c r="W1133" s="55"/>
      <c r="X1133" s="57"/>
      <c r="Y1133" s="57"/>
      <c r="Z1133" s="55" t="str">
        <f aca="false">IF(A1133="","",IF(AND(Parameter!$B$21="Ja",ISNUMBER(W1133)),W1133,IF(BV1133="2+3",IF(ISNUMBER(SEARCH("grosser Artikel",BO1133)),2,IFERROR(VLOOKUP(BR1133,Parameter!$F$35:$G$64,2,0),2)),IF(OR(BV1133="Nein",BV1133=""),"-",BV1133))))</f>
        <v>-</v>
      </c>
      <c r="AA1133" s="62"/>
      <c r="AB1133" s="63"/>
      <c r="AC1133" s="57" t="n">
        <f aca="false">AR1133</f>
        <v>2</v>
      </c>
      <c r="AD1133" s="57" t="n">
        <f aca="false">MAX(AR1133,H1133)</f>
        <v>2</v>
      </c>
      <c r="AE1133" s="64"/>
      <c r="AF1133" s="57" t="n">
        <f aca="false">IF(LEFT(Cockpit!$C$5,1)="A",H1133,IF(CA1133=1,CB1133,IF(LEFT(Cockpit!$C$5,1)="B",AJ1133,MAX(AJ1133,H1133))))</f>
        <v>0</v>
      </c>
      <c r="AG1133" s="57" t="n">
        <f aca="false">IF(BT1133=1,0,ROUNDUP(AF1133/BS1133,0))</f>
        <v>0</v>
      </c>
      <c r="AH1133" s="59" t="n">
        <f aca="false">IF(CH1133&gt;0,CH1133*MAX(1,AF1133/X1133),IF(BT1133=1,IF(AF1133&lt;=0,0,BW1133*MAX(1,IF(H1133&gt;0,AF1133/H1133,1))),IF(R1133&gt;0,AG1133/R1133,0))/MAX(0.1,N(Parameter!$M$21)))</f>
        <v>0</v>
      </c>
      <c r="AI1133" s="57" t="n">
        <f aca="false">AF1133*G1133</f>
        <v>0</v>
      </c>
      <c r="AJ1133" s="57" t="n">
        <f aca="false">ROUNDUP(MAX(J1133/IF(BZ1133&gt;0,BZ1133,MAX(0.1,N(Cockpit!$C$6))),CC1133)/BS1133,0)*BS1133</f>
        <v>2</v>
      </c>
      <c r="AK1133" s="58" t="n">
        <f aca="false">IF(AH1133&gt;0,J1133/AH1133,-1)</f>
        <v>-1</v>
      </c>
      <c r="AL1133" s="58" t="str">
        <f aca="false">IF(AND(OR(BY1133="L1",BY1133="L23"),AH1133&gt;0),SUMIFS($AH$7:$AH$1843,$BY$7:$BY$1843,BY1133,$AK$7:$AK$1843,"&gt;"&amp;AK1133)+SUMIFS($AH$7:$AH$1843,$BY$7:$BY$1843,BY1133,$AK$7:$AK$1843,AK1133,$BQ$7:$BQ$1843,"&lt;="&amp;BQ1133),"")</f>
        <v/>
      </c>
      <c r="AM1133" s="65" t="n">
        <f aca="false">IF(AL1133="",0,MAX(0,MIN(1,(IF(BY1133="L1",Parameter!$E$5,Parameter!$E$6+Parameter!$E$7)-(AL1133-AH1133))/AH1133)))</f>
        <v>0</v>
      </c>
      <c r="AN1133" s="57" t="n">
        <f aca="false">IF(LEFT(Cockpit!$I$5,1)="A",H1133,IF(CA1133=1,CB1133,IF(LEFT(Cockpit!$I$5,1)="B",AR1133,MAX(AR1133,H1133))))</f>
        <v>2</v>
      </c>
      <c r="AO1133" s="57" t="n">
        <f aca="false">IF(BT1133=1,0,ROUNDUP(AN1133/BS1133,0))</f>
        <v>1</v>
      </c>
      <c r="AP1133" s="59" t="n">
        <f aca="false">IF(CH1133&gt;0,CH1133*MAX(1,AN1133/X1133),IF(BT1133=1,IF(AN1133&lt;=0,0,BW1133*MAX(1,IF(H1133&gt;0,AN1133/H1133,1))),IF(R1133&gt;0,AO1133/R1133,0))/MAX(0.1,N(Parameter!$M$21)))</f>
        <v>0.333333333333333</v>
      </c>
      <c r="AQ1133" s="57" t="n">
        <f aca="false">AN1133*G1133</f>
        <v>130.14</v>
      </c>
      <c r="AR1133" s="57" t="n">
        <f aca="false">ROUNDUP(MAX(J1133/IF(BZ1133&gt;0,BZ1133,MAX(0.1,N(Cockpit!$I$6))),CC1133)/BS1133,0)*BS1133</f>
        <v>2</v>
      </c>
      <c r="AS1133" s="58" t="n">
        <f aca="false">IF(AP1133&gt;0,J1133/AP1133,-1)</f>
        <v>0</v>
      </c>
      <c r="AT1133" s="58" t="str">
        <f aca="false">IF(AND(OR(BY1133="L1",BY1133="L23"),AP1133&gt;0),SUMIFS($AP$7:$AP$1843,$BY$7:$BY$1843,BY1133,$AS$7:$AS$1843,"&gt;"&amp;AS1133)+SUMIFS($AP$7:$AP$1843,$BY$7:$BY$1843,BY1133,$AS$7:$AS$1843,AS1133,$BQ$7:$BQ$1843,"&lt;="&amp;BQ1133),"")</f>
        <v/>
      </c>
      <c r="AU1133" s="65" t="n">
        <f aca="false">IF(AT1133="",0,MAX(0,MIN(1,(IF(BY1133="L1",Parameter!$E$5,Parameter!$E$6+Parameter!$E$7)-(AT1133-AP1133))/AP1133)))</f>
        <v>0</v>
      </c>
      <c r="AV1133" s="57" t="n">
        <f aca="false">IF(LEFT(Cockpit!$O$5,1)="A",H1133,IF(CA1133=1,CB1133,IF(LEFT(Cockpit!$O$5,1)="B",AZ1133,MAX(AZ1133,H1133))))</f>
        <v>2</v>
      </c>
      <c r="AW1133" s="57" t="n">
        <f aca="false">IF(BT1133=1,0,ROUNDUP(AV1133/BS1133,0))</f>
        <v>1</v>
      </c>
      <c r="AX1133" s="59" t="n">
        <f aca="false">IF(CH1133&gt;0,CH1133*MAX(1,AV1133/X1133),IF(BT1133=1,IF(AV1133&lt;=0,0,BW1133*MAX(1,IF(H1133&gt;0,AV1133/H1133,1))),IF(R1133&gt;0,AW1133/R1133,0))/MAX(0.1,N(Parameter!$M$21)))</f>
        <v>0.333333333333333</v>
      </c>
      <c r="AY1133" s="57" t="n">
        <f aca="false">AV1133*G1133</f>
        <v>130.14</v>
      </c>
      <c r="AZ1133" s="57" t="n">
        <f aca="false">ROUNDUP(MAX(J1133/IF(BZ1133&gt;0,BZ1133,MAX(0.1,N(Cockpit!$O$6))),CC1133)/BS1133,0)*BS1133</f>
        <v>2</v>
      </c>
      <c r="BA1133" s="58" t="n">
        <f aca="false">IF(AX1133&gt;0,J1133/AX1133,-1)</f>
        <v>0</v>
      </c>
      <c r="BB1133" s="58" t="str">
        <f aca="false">IF(AND(OR(BY1133="L1",BY1133="L23"),AX1133&gt;0),SUMIFS($AX$7:$AX$1843,$BY$7:$BY$1843,BY1133,$BA$7:$BA$1843,"&gt;"&amp;BA1133)+SUMIFS($AX$7:$AX$1843,$BY$7:$BY$1843,BY1133,$BA$7:$BA$1843,BA1133,$BQ$7:$BQ$1843,"&lt;="&amp;BQ1133),"")</f>
        <v/>
      </c>
      <c r="BC1133" s="65" t="n">
        <f aca="false">IF(BB1133="",0,MAX(0,MIN(1,(IF(BY1133="L1",Parameter!$E$5,Parameter!$E$6+Parameter!$E$7)-(BB1133-AX1133))/AX1133)))</f>
        <v>0</v>
      </c>
      <c r="BD1133" s="55" t="str">
        <f aca="false">IF(AH1133&lt;=0,"",IF(BY1133="Aussen","Aussenlager",IF(BY1133="-","Nicht im Lift",IF(AM1133&gt;=1,"Lift",IF(AM1133&lt;=0,"Aussenlager","teilweise")))))</f>
        <v/>
      </c>
      <c r="BE1133" s="55" t="str">
        <f aca="false">IF(AP1133&lt;=0,"",IF(BY1133="Aussen","Aussenlager",IF(BY1133="-","Nicht im Lift",IF(AU1133&gt;=1,"Lift",IF(AU1133&lt;=0,"Aussenlager","teilweise")))))</f>
        <v>Nicht im Lift</v>
      </c>
      <c r="BF1133" s="55" t="str">
        <f aca="false">IF(AX1133&lt;=0,"",IF(BY1133="Aussen","Aussenlager",IF(BY1133="-","Nicht im Lift",IF(BC1133&gt;=1,"Lift",IF(BC1133&lt;=0,"Aussenlager","teilweise")))))</f>
        <v>Nicht im Lift</v>
      </c>
      <c r="BG1133" s="55" t="str">
        <f aca="false">IF(A1133="","",IF(BP1133=1,"Neu; ","")&amp;IF(AND(BP1133=0,BK1133&lt;0),"negativer Bestand (Export "&amp;BK1133&amp;"); ","")&amp;IF(J1133&lt;=0,"Kein Verbrauch; ","")&amp;IF(CH1133&gt;0,"Lift "&amp;W1133&amp;" lt. Liftbericht (Fach "&amp;X1133&amp;" Stk); ",IF(BU1133=1,"Gebinde geschätzt ("&amp;T1133&amp;"); ",IF(BT1133=1,"Lose – Tablare geschätzt; ","")))&amp;IF(H1133&gt;AR1133,"Überbestand "&amp;ROUND(H1133-AR1133,0)&amp;" Stk / CHF "&amp;ROUND((H1133-AR1133)*G1133,0)&amp;"; ","")&amp;IF(AND(CA1133=1,CB1133&lt;CC1133),"MAX &lt; MB+LG; ","")&amp;IF(AND(CG1133&gt;0,CF1133*10&gt;CG1133),"zu hoch für Tablar; ","")&amp;IF(AND(BP1133=0,OR(CA1133=1,AA1133&lt;&gt;"",U1133&lt;&gt;"",V1133&lt;&gt;"",AB1133&lt;&gt;"")),"manuell übersteuert; ","")&amp;IF(AND(BT1133=0,R1133=0),"Gebinde unbekannt / Stellmass fehlt; ","")&amp;IF(AND(BT1133=0,N(V1133)&lt;=0,N(Q1133)&lt;=0),"Menge pro Gebinde fehlt (Ist = 1 Gebinde); ","")&amp;BO1133)</f>
        <v>negativer Bestand (Export -4); Kein Verbrauch; Gebinde geschätzt (Gross); Menge pro Gebinde fehlt (Ist = 1 Gebinde); </v>
      </c>
      <c r="BH1133" s="55"/>
      <c r="BI1133" s="55"/>
      <c r="BJ1133" s="62"/>
      <c r="BK1133" s="57" t="n">
        <v>-4</v>
      </c>
      <c r="BL1133" s="57" t="n">
        <v>4</v>
      </c>
      <c r="BM1133" s="56" t="n">
        <v>-260.28</v>
      </c>
      <c r="BN1133" s="57" t="n">
        <v>0</v>
      </c>
      <c r="BO1133" s="55"/>
      <c r="BP1133" s="60" t="n">
        <v>0</v>
      </c>
      <c r="BQ1133" s="60" t="n">
        <v>1133</v>
      </c>
      <c r="BR1133" s="55" t="str">
        <f aca="false">IF(U1133&lt;&gt;"",UPPER(TRIM(U1133)),IF(BU1133=1,UPPER(VLOOKUP(T1133,Parameter!$I$27:$K$29,2,0)),IF(P1133="","LOSE",P1133)))</f>
        <v>S81</v>
      </c>
      <c r="BS1133" s="57" t="n">
        <f aca="false">IF(BR1133="LOSE",1,IF(N(V1133)&gt;0,V1133,IF(BU1133=1,MAX(1,N(VLOOKUP(T1133,Parameter!$I$27:$K$29,3,0)),H1133,N(N1133)),IF(N(Q1133)&gt;0,Q1133,MAX(1,H1133)))))</f>
        <v>2</v>
      </c>
      <c r="BT1133" s="60" t="n">
        <f aca="false">IF(BR1133="LOSE",1,0)</f>
        <v>0</v>
      </c>
      <c r="BU1133" s="60" t="n">
        <f aca="false">IF(AND(U1133="",OR(P1133="",P1133="LOSE"),T1133&lt;&gt;"",N(S1133)&lt;=0,ISNUMBER(MATCH(T1133,Parameter!$I$27:$I$29,0))),1,0)</f>
        <v>1</v>
      </c>
      <c r="BV1133" s="55" t="str">
        <f aca="false">IF(AND(Parameter!$B$19="Ja",E1133&lt;&gt;"",ISNUMBER(MATCH(E1133,Parameter!$I$35:$I$52,0))),VLOOKUP(E1133,Parameter!$I$35:$J$52,2,0),IFERROR(VLOOKUP(D1133,Parameter!$A$35:$C$64,2,0),"Nein"))</f>
        <v>Nein</v>
      </c>
      <c r="BW1133" s="59" t="n">
        <f aca="false">IF(BT1133=0,0,IF(N(S1133)&gt;0,S1133,IFERROR(VLOOKUP(D1133,Parameter!$A$35:$C$64,3,0)+0,0)))</f>
        <v>0</v>
      </c>
      <c r="BX1133" s="55" t="str">
        <f aca="false">IF(AA1133&lt;&gt;"",AA1133,Z1133)</f>
        <v>-</v>
      </c>
      <c r="BY1133" s="55" t="str">
        <f aca="false">IF(BX1133=1,"L1",IF(OR(BX1133=2,BX1133=3),"L23",IF(BX1133="Aussen","Aussen","-")))</f>
        <v>-</v>
      </c>
      <c r="BZ1133" s="66" t="n">
        <f aca="false">IF(N(AB1133)&gt;0,AB1133,0)</f>
        <v>0</v>
      </c>
      <c r="CA1133" s="60" t="n">
        <f aca="false">IF(ISNUMBER(AE1133),1,0)</f>
        <v>0</v>
      </c>
      <c r="CB1133" s="57" t="n">
        <f aca="false">N(AE1133)</f>
        <v>0</v>
      </c>
      <c r="CC1133" s="57" t="n">
        <f aca="false">N(M1133)+N(N1133)</f>
        <v>1</v>
      </c>
      <c r="CD1133" s="57" t="n">
        <f aca="false">ROUNDUP(H1133/BS1133,0)</f>
        <v>0</v>
      </c>
      <c r="CE1133" s="57" t="n">
        <f aca="false">ROUNDUP(CB1133/BS1133,0)</f>
        <v>0</v>
      </c>
      <c r="CF1133" s="60" t="n">
        <f aca="false">IF(BT1133=1,0,IFERROR(VLOOKUP(BR1133,'Gebinde-Kategorie'!$A$5:$M$45,5,0)+0,0))</f>
        <v>20</v>
      </c>
      <c r="CG1133" s="60" t="n">
        <f aca="false">IFERROR(IF(OR(BX1133=1,BX1133=2,BX1133=3),N(INDEX(Parameter!$I$5:$I$7,BX1133)),0),0)</f>
        <v>0</v>
      </c>
      <c r="CH1133" s="59" t="n">
        <f aca="false">IF(AND(Parameter!$B$21="Ja",ISNUMBER(W1133),N(X1133)&gt;0),IFERROR(N(INDEX(Parameter!$L$5:$L$7,W1133))*INDEX(Parameter!$E$5:$E$7,W1133)*X1133/SUMIFS($X$7:$X$1843,$W$7:$W$1843,W1133),0),0)</f>
        <v>0</v>
      </c>
    </row>
    <row r="1134" customFormat="false" ht="15" hidden="false" customHeight="false" outlineLevel="0" collapsed="false">
      <c r="A1134" s="55" t="s">
        <v>2053</v>
      </c>
      <c r="B1134" s="55" t="s">
        <v>1134</v>
      </c>
      <c r="C1134" s="55" t="s">
        <v>164</v>
      </c>
      <c r="D1134" s="55" t="s">
        <v>184</v>
      </c>
      <c r="E1134" s="55" t="s">
        <v>185</v>
      </c>
      <c r="F1134" s="55" t="s">
        <v>218</v>
      </c>
      <c r="G1134" s="56" t="n">
        <v>87.23</v>
      </c>
      <c r="H1134" s="57" t="n">
        <f aca="false">MAX(0,IF(AND(Parameter!$B$21="Ja",ISNUMBER(Y1134)),Y1134,IF(Parameter!$B$20="Jahresanfang 2025 + Export",BL1134+BK1134,BK1134)))</f>
        <v>30</v>
      </c>
      <c r="I1134" s="57" t="n">
        <f aca="false">H1134*G1134</f>
        <v>2616.9</v>
      </c>
      <c r="J1134" s="57" t="n">
        <f aca="false">BN1134*Parameter!$B$18</f>
        <v>2</v>
      </c>
      <c r="K1134" s="58" t="n">
        <v>31.5</v>
      </c>
      <c r="L1134" s="59" t="n">
        <v>0.0634920634920635</v>
      </c>
      <c r="M1134" s="57" t="n">
        <v>0</v>
      </c>
      <c r="N1134" s="57" t="n">
        <v>1</v>
      </c>
      <c r="O1134" s="60" t="n">
        <v>42</v>
      </c>
      <c r="P1134" s="55" t="s">
        <v>186</v>
      </c>
      <c r="Q1134" s="57" t="n">
        <v>8</v>
      </c>
      <c r="R1134" s="60" t="n">
        <f aca="false">IF(BT1134=1,0,IFERROR(VLOOKUP(BR1134,'Gebinde-Kategorie'!$A$5:$M$45,13,0)+0,0))</f>
        <v>12</v>
      </c>
      <c r="S1134" s="61"/>
      <c r="T1134" s="62"/>
      <c r="U1134" s="62"/>
      <c r="V1134" s="62"/>
      <c r="W1134" s="55"/>
      <c r="X1134" s="57"/>
      <c r="Y1134" s="57"/>
      <c r="Z1134" s="55" t="n">
        <f aca="false">IF(A1134="","",IF(AND(Parameter!$B$21="Ja",ISNUMBER(W1134)),W1134,IF(BV1134="2+3",IF(ISNUMBER(SEARCH("grosser Artikel",BO1134)),2,IFERROR(VLOOKUP(BR1134,Parameter!$F$35:$G$64,2,0),2)),IF(OR(BV1134="Nein",BV1134=""),"-",BV1134))))</f>
        <v>2</v>
      </c>
      <c r="AA1134" s="62"/>
      <c r="AB1134" s="63"/>
      <c r="AC1134" s="57" t="n">
        <f aca="false">AR1134</f>
        <v>8</v>
      </c>
      <c r="AD1134" s="57" t="n">
        <f aca="false">MAX(AR1134,H1134)</f>
        <v>30</v>
      </c>
      <c r="AE1134" s="64"/>
      <c r="AF1134" s="57" t="n">
        <f aca="false">IF(LEFT(Cockpit!$C$5,1)="A",H1134,IF(CA1134=1,CB1134,IF(LEFT(Cockpit!$C$5,1)="B",AJ1134,MAX(AJ1134,H1134))))</f>
        <v>30</v>
      </c>
      <c r="AG1134" s="57" t="n">
        <f aca="false">IF(BT1134=1,0,ROUNDUP(AF1134/BS1134,0))</f>
        <v>4</v>
      </c>
      <c r="AH1134" s="59" t="n">
        <f aca="false">IF(CH1134&gt;0,CH1134*MAX(1,AF1134/X1134),IF(BT1134=1,IF(AF1134&lt;=0,0,BW1134*MAX(1,IF(H1134&gt;0,AF1134/H1134,1))),IF(R1134&gt;0,AG1134/R1134,0))/MAX(0.1,N(Parameter!$M$21)))</f>
        <v>0.333333333333333</v>
      </c>
      <c r="AI1134" s="57" t="n">
        <f aca="false">AF1134*G1134</f>
        <v>2616.9</v>
      </c>
      <c r="AJ1134" s="57" t="n">
        <f aca="false">ROUNDUP(MAX(J1134/IF(BZ1134&gt;0,BZ1134,MAX(0.1,N(Cockpit!$C$6))),CC1134)/BS1134,0)*BS1134</f>
        <v>8</v>
      </c>
      <c r="AK1134" s="58" t="n">
        <f aca="false">IF(AH1134&gt;0,J1134/AH1134,-1)</f>
        <v>6</v>
      </c>
      <c r="AL1134" s="58" t="n">
        <f aca="false">IF(AND(OR(BY1134="L1",BY1134="L23"),AH1134&gt;0),SUMIFS($AH$7:$AH$1843,$BY$7:$BY$1843,BY1134,$AK$7:$AK$1843,"&gt;"&amp;AK1134)+SUMIFS($AH$7:$AH$1843,$BY$7:$BY$1843,BY1134,$AK$7:$AK$1843,AK1134,$BQ$7:$BQ$1843,"&lt;="&amp;BQ1134),"")</f>
        <v>57.1458734502213</v>
      </c>
      <c r="AM1134" s="65" t="n">
        <f aca="false">IF(AL1134="",0,MAX(0,MIN(1,(IF(BY1134="L1",Parameter!$E$5,Parameter!$E$6+Parameter!$E$7)-(AL1134-AH1134))/AH1134)))</f>
        <v>1</v>
      </c>
      <c r="AN1134" s="57" t="n">
        <f aca="false">IF(LEFT(Cockpit!$I$5,1)="A",H1134,IF(CA1134=1,CB1134,IF(LEFT(Cockpit!$I$5,1)="B",AR1134,MAX(AR1134,H1134))))</f>
        <v>30</v>
      </c>
      <c r="AO1134" s="57" t="n">
        <f aca="false">IF(BT1134=1,0,ROUNDUP(AN1134/BS1134,0))</f>
        <v>4</v>
      </c>
      <c r="AP1134" s="59" t="n">
        <f aca="false">IF(CH1134&gt;0,CH1134*MAX(1,AN1134/X1134),IF(BT1134=1,IF(AN1134&lt;=0,0,BW1134*MAX(1,IF(H1134&gt;0,AN1134/H1134,1))),IF(R1134&gt;0,AO1134/R1134,0))/MAX(0.1,N(Parameter!$M$21)))</f>
        <v>0.333333333333333</v>
      </c>
      <c r="AQ1134" s="57" t="n">
        <f aca="false">AN1134*G1134</f>
        <v>2616.9</v>
      </c>
      <c r="AR1134" s="57" t="n">
        <f aca="false">ROUNDUP(MAX(J1134/IF(BZ1134&gt;0,BZ1134,MAX(0.1,N(Cockpit!$I$6))),CC1134)/BS1134,0)*BS1134</f>
        <v>8</v>
      </c>
      <c r="AS1134" s="58" t="n">
        <f aca="false">IF(AP1134&gt;0,J1134/AP1134,-1)</f>
        <v>6</v>
      </c>
      <c r="AT1134" s="58" t="n">
        <f aca="false">IF(AND(OR(BY1134="L1",BY1134="L23"),AP1134&gt;0),SUMIFS($AP$7:$AP$1843,$BY$7:$BY$1843,BY1134,$AS$7:$AS$1843,"&gt;"&amp;AS1134)+SUMIFS($AP$7:$AP$1843,$BY$7:$BY$1843,BY1134,$AS$7:$AS$1843,AS1134,$BQ$7:$BQ$1843,"&lt;="&amp;BQ1134),"")</f>
        <v>94.569997635215</v>
      </c>
      <c r="AU1134" s="65" t="n">
        <f aca="false">IF(AT1134="",0,MAX(0,MIN(1,(IF(BY1134="L1",Parameter!$E$5,Parameter!$E$6+Parameter!$E$7)-(AT1134-AP1134))/AP1134)))</f>
        <v>1</v>
      </c>
      <c r="AV1134" s="57" t="n">
        <f aca="false">IF(LEFT(Cockpit!$O$5,1)="A",H1134,IF(CA1134=1,CB1134,IF(LEFT(Cockpit!$O$5,1)="B",AZ1134,MAX(AZ1134,H1134))))</f>
        <v>30</v>
      </c>
      <c r="AW1134" s="57" t="n">
        <f aca="false">IF(BT1134=1,0,ROUNDUP(AV1134/BS1134,0))</f>
        <v>4</v>
      </c>
      <c r="AX1134" s="59" t="n">
        <f aca="false">IF(CH1134&gt;0,CH1134*MAX(1,AV1134/X1134),IF(BT1134=1,IF(AV1134&lt;=0,0,BW1134*MAX(1,IF(H1134&gt;0,AV1134/H1134,1))),IF(R1134&gt;0,AW1134/R1134,0))/MAX(0.1,N(Parameter!$M$21)))</f>
        <v>0.333333333333333</v>
      </c>
      <c r="AY1134" s="57" t="n">
        <f aca="false">AV1134*G1134</f>
        <v>2616.9</v>
      </c>
      <c r="AZ1134" s="57" t="n">
        <f aca="false">ROUNDUP(MAX(J1134/IF(BZ1134&gt;0,BZ1134,MAX(0.1,N(Cockpit!$O$6))),CC1134)/BS1134,0)*BS1134</f>
        <v>8</v>
      </c>
      <c r="BA1134" s="58" t="n">
        <f aca="false">IF(AX1134&gt;0,J1134/AX1134,-1)</f>
        <v>6</v>
      </c>
      <c r="BB1134" s="58" t="n">
        <f aca="false">IF(AND(OR(BY1134="L1",BY1134="L23"),AX1134&gt;0),SUMIFS($AX$7:$AX$1843,$BY$7:$BY$1843,BY1134,$BA$7:$BA$1843,"&gt;"&amp;BA1134)+SUMIFS($AX$7:$AX$1843,$BY$7:$BY$1843,BY1134,$BA$7:$BA$1843,BA1134,$BQ$7:$BQ$1843,"&lt;="&amp;BQ1134),"")</f>
        <v>85.3998344650519</v>
      </c>
      <c r="BC1134" s="65" t="n">
        <f aca="false">IF(BB1134="",0,MAX(0,MIN(1,(IF(BY1134="L1",Parameter!$E$5,Parameter!$E$6+Parameter!$E$7)-(BB1134-AX1134))/AX1134)))</f>
        <v>1</v>
      </c>
      <c r="BD1134" s="55" t="str">
        <f aca="false">IF(AH1134&lt;=0,"",IF(BY1134="Aussen","Aussenlager",IF(BY1134="-","Nicht im Lift",IF(AM1134&gt;=1,"Lift",IF(AM1134&lt;=0,"Aussenlager","teilweise")))))</f>
        <v>Lift</v>
      </c>
      <c r="BE1134" s="55" t="str">
        <f aca="false">IF(AP1134&lt;=0,"",IF(BY1134="Aussen","Aussenlager",IF(BY1134="-","Nicht im Lift",IF(AU1134&gt;=1,"Lift",IF(AU1134&lt;=0,"Aussenlager","teilweise")))))</f>
        <v>Lift</v>
      </c>
      <c r="BF1134" s="55" t="str">
        <f aca="false">IF(AX1134&lt;=0,"",IF(BY1134="Aussen","Aussenlager",IF(BY1134="-","Nicht im Lift",IF(BC1134&gt;=1,"Lift",IF(BC1134&lt;=0,"Aussenlager","teilweise")))))</f>
        <v>Lift</v>
      </c>
      <c r="BG1134" s="55" t="str">
        <f aca="false">IF(A1134="","",IF(BP1134=1,"Neu; ","")&amp;IF(AND(BP1134=0,BK1134&lt;0),"negativer Bestand (Export "&amp;BK1134&amp;"); ","")&amp;IF(J1134&lt;=0,"Kein Verbrauch; ","")&amp;IF(CH1134&gt;0,"Lift "&amp;W1134&amp;" lt. Liftbericht (Fach "&amp;X1134&amp;" Stk); ",IF(BU1134=1,"Gebinde geschätzt ("&amp;T1134&amp;"); ",IF(BT1134=1,"Lose – Tablare geschätzt; ","")))&amp;IF(H1134&gt;AR1134,"Überbestand "&amp;ROUND(H1134-AR1134,0)&amp;" Stk / CHF "&amp;ROUND((H1134-AR1134)*G1134,0)&amp;"; ","")&amp;IF(AND(CA1134=1,CB1134&lt;CC1134),"MAX &lt; MB+LG; ","")&amp;IF(AND(CG1134&gt;0,CF1134*10&gt;CG1134),"zu hoch für Tablar; ","")&amp;IF(AND(BP1134=0,OR(CA1134=1,AA1134&lt;&gt;"",U1134&lt;&gt;"",V1134&lt;&gt;"",AB1134&lt;&gt;"")),"manuell übersteuert; ","")&amp;IF(AND(BT1134=0,R1134=0),"Gebinde unbekannt / Stellmass fehlt; ","")&amp;IF(AND(BT1134=0,N(V1134)&lt;=0,N(Q1134)&lt;=0),"Menge pro Gebinde fehlt (Ist = 1 Gebinde); ","")&amp;BO1134)</f>
        <v>negativer Bestand (Export -3); Überbestand 22 Stk / CHF 1919; Neu</v>
      </c>
      <c r="BH1134" s="55"/>
      <c r="BI1134" s="55"/>
      <c r="BJ1134" s="62"/>
      <c r="BK1134" s="57" t="n">
        <v>-3</v>
      </c>
      <c r="BL1134" s="57" t="n">
        <v>33</v>
      </c>
      <c r="BM1134" s="56" t="n">
        <v>-261.69</v>
      </c>
      <c r="BN1134" s="57" t="n">
        <v>2</v>
      </c>
      <c r="BO1134" s="55" t="s">
        <v>626</v>
      </c>
      <c r="BP1134" s="60" t="n">
        <v>0</v>
      </c>
      <c r="BQ1134" s="60" t="n">
        <v>1134</v>
      </c>
      <c r="BR1134" s="55" t="str">
        <f aca="false">IF(U1134&lt;&gt;"",UPPER(TRIM(U1134)),IF(BU1134=1,UPPER(VLOOKUP(T1134,Parameter!$I$27:$K$29,2,0)),IF(P1134="","LOSE",P1134)))</f>
        <v>S61</v>
      </c>
      <c r="BS1134" s="57" t="n">
        <f aca="false">IF(BR1134="LOSE",1,IF(N(V1134)&gt;0,V1134,IF(BU1134=1,MAX(1,N(VLOOKUP(T1134,Parameter!$I$27:$K$29,3,0)),H1134,N(N1134)),IF(N(Q1134)&gt;0,Q1134,MAX(1,H1134)))))</f>
        <v>8</v>
      </c>
      <c r="BT1134" s="60" t="n">
        <f aca="false">IF(BR1134="LOSE",1,0)</f>
        <v>0</v>
      </c>
      <c r="BU1134" s="60" t="n">
        <f aca="false">IF(AND(U1134="",OR(P1134="",P1134="LOSE"),T1134&lt;&gt;"",N(S1134)&lt;=0,ISNUMBER(MATCH(T1134,Parameter!$I$27:$I$29,0))),1,0)</f>
        <v>0</v>
      </c>
      <c r="BV1134" s="55" t="str">
        <f aca="false">IF(AND(Parameter!$B$19="Ja",E1134&lt;&gt;"",ISNUMBER(MATCH(E1134,Parameter!$I$35:$I$52,0))),VLOOKUP(E1134,Parameter!$I$35:$J$52,2,0),IFERROR(VLOOKUP(D1134,Parameter!$A$35:$C$64,2,0),"Nein"))</f>
        <v>2+3</v>
      </c>
      <c r="BW1134" s="59" t="n">
        <f aca="false">IF(BT1134=0,0,IF(N(S1134)&gt;0,S1134,IFERROR(VLOOKUP(D1134,Parameter!$A$35:$C$64,3,0)+0,0)))</f>
        <v>0</v>
      </c>
      <c r="BX1134" s="55" t="n">
        <f aca="false">IF(AA1134&lt;&gt;"",AA1134,Z1134)</f>
        <v>2</v>
      </c>
      <c r="BY1134" s="55" t="str">
        <f aca="false">IF(BX1134=1,"L1",IF(OR(BX1134=2,BX1134=3),"L23",IF(BX1134="Aussen","Aussen","-")))</f>
        <v>L23</v>
      </c>
      <c r="BZ1134" s="66" t="n">
        <f aca="false">IF(N(AB1134)&gt;0,AB1134,0)</f>
        <v>0</v>
      </c>
      <c r="CA1134" s="60" t="n">
        <f aca="false">IF(ISNUMBER(AE1134),1,0)</f>
        <v>0</v>
      </c>
      <c r="CB1134" s="57" t="n">
        <f aca="false">N(AE1134)</f>
        <v>0</v>
      </c>
      <c r="CC1134" s="57" t="n">
        <f aca="false">N(M1134)+N(N1134)</f>
        <v>1</v>
      </c>
      <c r="CD1134" s="57" t="n">
        <f aca="false">ROUNDUP(H1134/BS1134,0)</f>
        <v>4</v>
      </c>
      <c r="CE1134" s="57" t="n">
        <f aca="false">ROUNDUP(CB1134/BS1134,0)</f>
        <v>0</v>
      </c>
      <c r="CF1134" s="60" t="n">
        <f aca="false">IF(BT1134=1,0,IFERROR(VLOOKUP(BR1134,'Gebinde-Kategorie'!$A$5:$M$45,5,0)+0,0))</f>
        <v>11</v>
      </c>
      <c r="CG1134" s="60" t="n">
        <f aca="false">IFERROR(IF(OR(BX1134=1,BX1134=2,BX1134=3),N(INDEX(Parameter!$I$5:$I$7,BX1134)),0),0)</f>
        <v>0</v>
      </c>
      <c r="CH1134" s="59" t="n">
        <f aca="false">IF(AND(Parameter!$B$21="Ja",ISNUMBER(W1134),N(X1134)&gt;0),IFERROR(N(INDEX(Parameter!$L$5:$L$7,W1134))*INDEX(Parameter!$E$5:$E$7,W1134)*X1134/SUMIFS($X$7:$X$1843,$W$7:$W$1843,W1134),0),0)</f>
        <v>0</v>
      </c>
    </row>
    <row r="1135" customFormat="false" ht="15" hidden="false" customHeight="false" outlineLevel="0" collapsed="false">
      <c r="A1135" s="55" t="s">
        <v>2054</v>
      </c>
      <c r="B1135" s="55" t="s">
        <v>564</v>
      </c>
      <c r="C1135" s="55" t="s">
        <v>164</v>
      </c>
      <c r="D1135" s="55" t="s">
        <v>184</v>
      </c>
      <c r="E1135" s="55" t="s">
        <v>185</v>
      </c>
      <c r="F1135" s="55" t="s">
        <v>218</v>
      </c>
      <c r="G1135" s="56" t="n">
        <v>20.24</v>
      </c>
      <c r="H1135" s="57" t="n">
        <f aca="false">MAX(0,IF(AND(Parameter!$B$21="Ja",ISNUMBER(Y1135)),Y1135,IF(Parameter!$B$20="Jahresanfang 2025 + Export",BL1135+BK1135,BK1135)))</f>
        <v>6</v>
      </c>
      <c r="I1135" s="57" t="n">
        <f aca="false">H1135*G1135</f>
        <v>121.44</v>
      </c>
      <c r="J1135" s="57" t="n">
        <f aca="false">BN1135*Parameter!$B$18</f>
        <v>10</v>
      </c>
      <c r="K1135" s="58" t="n">
        <v>14</v>
      </c>
      <c r="L1135" s="59" t="n">
        <v>0.714285714285714</v>
      </c>
      <c r="M1135" s="57" t="n">
        <v>0</v>
      </c>
      <c r="N1135" s="57" t="n">
        <v>10</v>
      </c>
      <c r="O1135" s="60" t="n">
        <v>28</v>
      </c>
      <c r="P1135" s="55" t="s">
        <v>476</v>
      </c>
      <c r="Q1135" s="57" t="n">
        <v>7</v>
      </c>
      <c r="R1135" s="60" t="n">
        <f aca="false">IF(BT1135=1,0,IFERROR(VLOOKUP(BR1135,'Gebinde-Kategorie'!$A$5:$M$45,13,0)+0,0))</f>
        <v>66</v>
      </c>
      <c r="S1135" s="61"/>
      <c r="T1135" s="62"/>
      <c r="U1135" s="62"/>
      <c r="V1135" s="62"/>
      <c r="W1135" s="55"/>
      <c r="X1135" s="57"/>
      <c r="Y1135" s="57"/>
      <c r="Z1135" s="55" t="n">
        <f aca="false">IF(A1135="","",IF(AND(Parameter!$B$21="Ja",ISNUMBER(W1135)),W1135,IF(BV1135="2+3",IF(ISNUMBER(SEARCH("grosser Artikel",BO1135)),2,IFERROR(VLOOKUP(BR1135,Parameter!$F$35:$G$64,2,0),2)),IF(OR(BV1135="Nein",BV1135=""),"-",BV1135))))</f>
        <v>3</v>
      </c>
      <c r="AA1135" s="62"/>
      <c r="AB1135" s="63"/>
      <c r="AC1135" s="57" t="n">
        <f aca="false">AR1135</f>
        <v>14</v>
      </c>
      <c r="AD1135" s="57" t="n">
        <f aca="false">MAX(AR1135,H1135)</f>
        <v>14</v>
      </c>
      <c r="AE1135" s="64"/>
      <c r="AF1135" s="57" t="n">
        <f aca="false">IF(LEFT(Cockpit!$C$5,1)="A",H1135,IF(CA1135=1,CB1135,IF(LEFT(Cockpit!$C$5,1)="B",AJ1135,MAX(AJ1135,H1135))))</f>
        <v>6</v>
      </c>
      <c r="AG1135" s="57" t="n">
        <f aca="false">IF(BT1135=1,0,ROUNDUP(AF1135/BS1135,0))</f>
        <v>1</v>
      </c>
      <c r="AH1135" s="59" t="n">
        <f aca="false">IF(CH1135&gt;0,CH1135*MAX(1,AF1135/X1135),IF(BT1135=1,IF(AF1135&lt;=0,0,BW1135*MAX(1,IF(H1135&gt;0,AF1135/H1135,1))),IF(R1135&gt;0,AG1135/R1135,0))/MAX(0.1,N(Parameter!$M$21)))</f>
        <v>0.0151515151515152</v>
      </c>
      <c r="AI1135" s="57" t="n">
        <f aca="false">AF1135*G1135</f>
        <v>121.44</v>
      </c>
      <c r="AJ1135" s="57" t="n">
        <f aca="false">ROUNDUP(MAX(J1135/IF(BZ1135&gt;0,BZ1135,MAX(0.1,N(Cockpit!$C$6))),CC1135)/BS1135,0)*BS1135</f>
        <v>14</v>
      </c>
      <c r="AK1135" s="58" t="n">
        <f aca="false">IF(AH1135&gt;0,J1135/AH1135,-1)</f>
        <v>660</v>
      </c>
      <c r="AL1135" s="58" t="n">
        <f aca="false">IF(AND(OR(BY1135="L1",BY1135="L23"),AH1135&gt;0),SUMIFS($AH$7:$AH$1843,$BY$7:$BY$1843,BY1135,$AK$7:$AK$1843,"&gt;"&amp;AK1135)+SUMIFS($AH$7:$AH$1843,$BY$7:$BY$1843,BY1135,$AK$7:$AK$1843,AK1135,$BQ$7:$BQ$1843,"&lt;="&amp;BQ1135),"")</f>
        <v>22.3661616161616</v>
      </c>
      <c r="AM1135" s="65" t="n">
        <f aca="false">IF(AL1135="",0,MAX(0,MIN(1,(IF(BY1135="L1",Parameter!$E$5,Parameter!$E$6+Parameter!$E$7)-(AL1135-AH1135))/AH1135)))</f>
        <v>1</v>
      </c>
      <c r="AN1135" s="57" t="n">
        <f aca="false">IF(LEFT(Cockpit!$I$5,1)="A",H1135,IF(CA1135=1,CB1135,IF(LEFT(Cockpit!$I$5,1)="B",AR1135,MAX(AR1135,H1135))))</f>
        <v>14</v>
      </c>
      <c r="AO1135" s="57" t="n">
        <f aca="false">IF(BT1135=1,0,ROUNDUP(AN1135/BS1135,0))</f>
        <v>2</v>
      </c>
      <c r="AP1135" s="59" t="n">
        <f aca="false">IF(CH1135&gt;0,CH1135*MAX(1,AN1135/X1135),IF(BT1135=1,IF(AN1135&lt;=0,0,BW1135*MAX(1,IF(H1135&gt;0,AN1135/H1135,1))),IF(R1135&gt;0,AO1135/R1135,0))/MAX(0.1,N(Parameter!$M$21)))</f>
        <v>0.0303030303030303</v>
      </c>
      <c r="AQ1135" s="57" t="n">
        <f aca="false">AN1135*G1135</f>
        <v>283.36</v>
      </c>
      <c r="AR1135" s="57" t="n">
        <f aca="false">ROUNDUP(MAX(J1135/IF(BZ1135&gt;0,BZ1135,MAX(0.1,N(Cockpit!$I$6))),CC1135)/BS1135,0)*BS1135</f>
        <v>14</v>
      </c>
      <c r="AS1135" s="58" t="n">
        <f aca="false">IF(AP1135&gt;0,J1135/AP1135,-1)</f>
        <v>330</v>
      </c>
      <c r="AT1135" s="58" t="n">
        <f aca="false">IF(AND(OR(BY1135="L1",BY1135="L23"),AP1135&gt;0),SUMIFS($AP$7:$AP$1843,$BY$7:$BY$1843,BY1135,$AS$7:$AS$1843,"&gt;"&amp;AS1135)+SUMIFS($AP$7:$AP$1843,$BY$7:$BY$1843,BY1135,$AS$7:$AS$1843,AS1135,$BQ$7:$BQ$1843,"&lt;="&amp;BQ1135),"")</f>
        <v>40.0034711665146</v>
      </c>
      <c r="AU1135" s="65" t="n">
        <f aca="false">IF(AT1135="",0,MAX(0,MIN(1,(IF(BY1135="L1",Parameter!$E$5,Parameter!$E$6+Parameter!$E$7)-(AT1135-AP1135))/AP1135)))</f>
        <v>1</v>
      </c>
      <c r="AV1135" s="57" t="n">
        <f aca="false">IF(LEFT(Cockpit!$O$5,1)="A",H1135,IF(CA1135=1,CB1135,IF(LEFT(Cockpit!$O$5,1)="B",AZ1135,MAX(AZ1135,H1135))))</f>
        <v>14</v>
      </c>
      <c r="AW1135" s="57" t="n">
        <f aca="false">IF(BT1135=1,0,ROUNDUP(AV1135/BS1135,0))</f>
        <v>2</v>
      </c>
      <c r="AX1135" s="59" t="n">
        <f aca="false">IF(CH1135&gt;0,CH1135*MAX(1,AV1135/X1135),IF(BT1135=1,IF(AV1135&lt;=0,0,BW1135*MAX(1,IF(H1135&gt;0,AV1135/H1135,1))),IF(R1135&gt;0,AW1135/R1135,0))/MAX(0.1,N(Parameter!$M$21)))</f>
        <v>0.0303030303030303</v>
      </c>
      <c r="AY1135" s="57" t="n">
        <f aca="false">AV1135*G1135</f>
        <v>283.36</v>
      </c>
      <c r="AZ1135" s="57" t="n">
        <f aca="false">ROUNDUP(MAX(J1135/IF(BZ1135&gt;0,BZ1135,MAX(0.1,N(Cockpit!$O$6))),CC1135)/BS1135,0)*BS1135</f>
        <v>14</v>
      </c>
      <c r="BA1135" s="58" t="n">
        <f aca="false">IF(AX1135&gt;0,J1135/AX1135,-1)</f>
        <v>330</v>
      </c>
      <c r="BB1135" s="58" t="n">
        <f aca="false">IF(AND(OR(BY1135="L1",BY1135="L23"),AX1135&gt;0),SUMIFS($AX$7:$AX$1843,$BY$7:$BY$1843,BY1135,$BA$7:$BA$1843,"&gt;"&amp;BA1135)+SUMIFS($AX$7:$AX$1843,$BY$7:$BY$1843,BY1135,$BA$7:$BA$1843,BA1135,$BQ$7:$BQ$1843,"&lt;="&amp;BQ1135),"")</f>
        <v>36.3333079963515</v>
      </c>
      <c r="BC1135" s="65" t="n">
        <f aca="false">IF(BB1135="",0,MAX(0,MIN(1,(IF(BY1135="L1",Parameter!$E$5,Parameter!$E$6+Parameter!$E$7)-(BB1135-AX1135))/AX1135)))</f>
        <v>1</v>
      </c>
      <c r="BD1135" s="55" t="str">
        <f aca="false">IF(AH1135&lt;=0,"",IF(BY1135="Aussen","Aussenlager",IF(BY1135="-","Nicht im Lift",IF(AM1135&gt;=1,"Lift",IF(AM1135&lt;=0,"Aussenlager","teilweise")))))</f>
        <v>Lift</v>
      </c>
      <c r="BE1135" s="55" t="str">
        <f aca="false">IF(AP1135&lt;=0,"",IF(BY1135="Aussen","Aussenlager",IF(BY1135="-","Nicht im Lift",IF(AU1135&gt;=1,"Lift",IF(AU1135&lt;=0,"Aussenlager","teilweise")))))</f>
        <v>Lift</v>
      </c>
      <c r="BF1135" s="55" t="str">
        <f aca="false">IF(AX1135&lt;=0,"",IF(BY1135="Aussen","Aussenlager",IF(BY1135="-","Nicht im Lift",IF(BC1135&gt;=1,"Lift",IF(BC1135&lt;=0,"Aussenlager","teilweise")))))</f>
        <v>Lift</v>
      </c>
      <c r="BG1135" s="55" t="str">
        <f aca="false">IF(A1135="","",IF(BP1135=1,"Neu; ","")&amp;IF(AND(BP1135=0,BK1135&lt;0),"negativer Bestand (Export "&amp;BK1135&amp;"); ","")&amp;IF(J1135&lt;=0,"Kein Verbrauch; ","")&amp;IF(CH1135&gt;0,"Lift "&amp;W1135&amp;" lt. Liftbericht (Fach "&amp;X1135&amp;" Stk); ",IF(BU1135=1,"Gebinde geschätzt ("&amp;T1135&amp;"); ",IF(BT1135=1,"Lose – Tablare geschätzt; ","")))&amp;IF(H1135&gt;AR1135,"Überbestand "&amp;ROUND(H1135-AR1135,0)&amp;" Stk / CHF "&amp;ROUND((H1135-AR1135)*G1135,0)&amp;"; ","")&amp;IF(AND(CA1135=1,CB1135&lt;CC1135),"MAX &lt; MB+LG; ","")&amp;IF(AND(CG1135&gt;0,CF1135*10&gt;CG1135),"zu hoch für Tablar; ","")&amp;IF(AND(BP1135=0,OR(CA1135=1,AA1135&lt;&gt;"",U1135&lt;&gt;"",V1135&lt;&gt;"",AB1135&lt;&gt;"")),"manuell übersteuert; ","")&amp;IF(AND(BT1135=0,R1135=0),"Gebinde unbekannt / Stellmass fehlt; ","")&amp;IF(AND(BT1135=0,N(V1135)&lt;=0,N(Q1135)&lt;=0),"Menge pro Gebinde fehlt (Ist = 1 Gebinde); ","")&amp;BO1135)</f>
        <v>negativer Bestand (Export -13); </v>
      </c>
      <c r="BH1135" s="55"/>
      <c r="BI1135" s="55"/>
      <c r="BJ1135" s="62"/>
      <c r="BK1135" s="57" t="n">
        <v>-13</v>
      </c>
      <c r="BL1135" s="57" t="n">
        <v>19</v>
      </c>
      <c r="BM1135" s="56" t="n">
        <v>-263.12</v>
      </c>
      <c r="BN1135" s="57" t="n">
        <v>10</v>
      </c>
      <c r="BO1135" s="55"/>
      <c r="BP1135" s="60" t="n">
        <v>0</v>
      </c>
      <c r="BQ1135" s="60" t="n">
        <v>1135</v>
      </c>
      <c r="BR1135" s="55" t="str">
        <f aca="false">IF(U1135&lt;&gt;"",UPPER(TRIM(U1135)),IF(BU1135=1,UPPER(VLOOKUP(T1135,Parameter!$I$27:$K$29,2,0)),IF(P1135="","LOSE",P1135)))</f>
        <v>S33</v>
      </c>
      <c r="BS1135" s="57" t="n">
        <f aca="false">IF(BR1135="LOSE",1,IF(N(V1135)&gt;0,V1135,IF(BU1135=1,MAX(1,N(VLOOKUP(T1135,Parameter!$I$27:$K$29,3,0)),H1135,N(N1135)),IF(N(Q1135)&gt;0,Q1135,MAX(1,H1135)))))</f>
        <v>7</v>
      </c>
      <c r="BT1135" s="60" t="n">
        <f aca="false">IF(BR1135="LOSE",1,0)</f>
        <v>0</v>
      </c>
      <c r="BU1135" s="60" t="n">
        <f aca="false">IF(AND(U1135="",OR(P1135="",P1135="LOSE"),T1135&lt;&gt;"",N(S1135)&lt;=0,ISNUMBER(MATCH(T1135,Parameter!$I$27:$I$29,0))),1,0)</f>
        <v>0</v>
      </c>
      <c r="BV1135" s="55" t="str">
        <f aca="false">IF(AND(Parameter!$B$19="Ja",E1135&lt;&gt;"",ISNUMBER(MATCH(E1135,Parameter!$I$35:$I$52,0))),VLOOKUP(E1135,Parameter!$I$35:$J$52,2,0),IFERROR(VLOOKUP(D1135,Parameter!$A$35:$C$64,2,0),"Nein"))</f>
        <v>2+3</v>
      </c>
      <c r="BW1135" s="59" t="n">
        <f aca="false">IF(BT1135=0,0,IF(N(S1135)&gt;0,S1135,IFERROR(VLOOKUP(D1135,Parameter!$A$35:$C$64,3,0)+0,0)))</f>
        <v>0</v>
      </c>
      <c r="BX1135" s="55" t="n">
        <f aca="false">IF(AA1135&lt;&gt;"",AA1135,Z1135)</f>
        <v>3</v>
      </c>
      <c r="BY1135" s="55" t="str">
        <f aca="false">IF(BX1135=1,"L1",IF(OR(BX1135=2,BX1135=3),"L23",IF(BX1135="Aussen","Aussen","-")))</f>
        <v>L23</v>
      </c>
      <c r="BZ1135" s="66" t="n">
        <f aca="false">IF(N(AB1135)&gt;0,AB1135,0)</f>
        <v>0</v>
      </c>
      <c r="CA1135" s="60" t="n">
        <f aca="false">IF(ISNUMBER(AE1135),1,0)</f>
        <v>0</v>
      </c>
      <c r="CB1135" s="57" t="n">
        <f aca="false">N(AE1135)</f>
        <v>0</v>
      </c>
      <c r="CC1135" s="57" t="n">
        <f aca="false">N(M1135)+N(N1135)</f>
        <v>10</v>
      </c>
      <c r="CD1135" s="57" t="n">
        <f aca="false">ROUNDUP(H1135/BS1135,0)</f>
        <v>1</v>
      </c>
      <c r="CE1135" s="57" t="n">
        <f aca="false">ROUNDUP(CB1135/BS1135,0)</f>
        <v>0</v>
      </c>
      <c r="CF1135" s="60" t="n">
        <f aca="false">IF(BT1135=1,0,IFERROR(VLOOKUP(BR1135,'Gebinde-Kategorie'!$A$5:$M$45,5,0)+0,0))</f>
        <v>8</v>
      </c>
      <c r="CG1135" s="60" t="n">
        <f aca="false">IFERROR(IF(OR(BX1135=1,BX1135=2,BX1135=3),N(INDEX(Parameter!$I$5:$I$7,BX1135)),0),0)</f>
        <v>0</v>
      </c>
      <c r="CH1135" s="59" t="n">
        <f aca="false">IF(AND(Parameter!$B$21="Ja",ISNUMBER(W1135),N(X1135)&gt;0),IFERROR(N(INDEX(Parameter!$L$5:$L$7,W1135))*INDEX(Parameter!$E$5:$E$7,W1135)*X1135/SUMIFS($X$7:$X$1843,$W$7:$W$1843,W1135),0),0)</f>
        <v>0</v>
      </c>
    </row>
    <row r="1136" customFormat="false" ht="15" hidden="false" customHeight="false" outlineLevel="0" collapsed="false">
      <c r="A1136" s="55" t="s">
        <v>2055</v>
      </c>
      <c r="B1136" s="55" t="s">
        <v>2036</v>
      </c>
      <c r="C1136" s="55" t="s">
        <v>164</v>
      </c>
      <c r="D1136" s="55" t="s">
        <v>184</v>
      </c>
      <c r="E1136" s="55"/>
      <c r="F1136" s="55" t="s">
        <v>218</v>
      </c>
      <c r="G1136" s="56" t="n">
        <v>66.83</v>
      </c>
      <c r="H1136" s="57" t="n">
        <f aca="false">MAX(0,IF(AND(Parameter!$B$21="Ja",ISNUMBER(Y1136)),Y1136,IF(Parameter!$B$20="Jahresanfang 2025 + Export",BL1136+BK1136,BK1136)))</f>
        <v>4</v>
      </c>
      <c r="I1136" s="57" t="n">
        <f aca="false">H1136*G1136</f>
        <v>267.32</v>
      </c>
      <c r="J1136" s="57" t="n">
        <f aca="false">BN1136*Parameter!$B$18</f>
        <v>0</v>
      </c>
      <c r="K1136" s="58" t="n">
        <v>8.5</v>
      </c>
      <c r="L1136" s="59" t="n">
        <v>0</v>
      </c>
      <c r="M1136" s="57" t="n">
        <v>0</v>
      </c>
      <c r="N1136" s="57" t="n">
        <v>1</v>
      </c>
      <c r="O1136" s="60" t="n">
        <v>28</v>
      </c>
      <c r="P1136" s="55" t="s">
        <v>302</v>
      </c>
      <c r="Q1136" s="57" t="n">
        <v>6</v>
      </c>
      <c r="R1136" s="60" t="n">
        <f aca="false">IF(BT1136=1,0,IFERROR(VLOOKUP(BR1136,'Gebinde-Kategorie'!$A$5:$M$45,13,0)+0,0))</f>
        <v>26</v>
      </c>
      <c r="S1136" s="61"/>
      <c r="T1136" s="62"/>
      <c r="U1136" s="62"/>
      <c r="V1136" s="62"/>
      <c r="W1136" s="55"/>
      <c r="X1136" s="57"/>
      <c r="Y1136" s="57"/>
      <c r="Z1136" s="55" t="n">
        <f aca="false">IF(A1136="","",IF(AND(Parameter!$B$21="Ja",ISNUMBER(W1136)),W1136,IF(BV1136="2+3",IF(ISNUMBER(SEARCH("grosser Artikel",BO1136)),2,IFERROR(VLOOKUP(BR1136,Parameter!$F$35:$G$64,2,0),2)),IF(OR(BV1136="Nein",BV1136=""),"-",BV1136))))</f>
        <v>3</v>
      </c>
      <c r="AA1136" s="62"/>
      <c r="AB1136" s="63"/>
      <c r="AC1136" s="57" t="n">
        <f aca="false">AR1136</f>
        <v>6</v>
      </c>
      <c r="AD1136" s="57" t="n">
        <f aca="false">MAX(AR1136,H1136)</f>
        <v>6</v>
      </c>
      <c r="AE1136" s="64"/>
      <c r="AF1136" s="57" t="n">
        <f aca="false">IF(LEFT(Cockpit!$C$5,1)="A",H1136,IF(CA1136=1,CB1136,IF(LEFT(Cockpit!$C$5,1)="B",AJ1136,MAX(AJ1136,H1136))))</f>
        <v>4</v>
      </c>
      <c r="AG1136" s="57" t="n">
        <f aca="false">IF(BT1136=1,0,ROUNDUP(AF1136/BS1136,0))</f>
        <v>1</v>
      </c>
      <c r="AH1136" s="59" t="n">
        <f aca="false">IF(CH1136&gt;0,CH1136*MAX(1,AF1136/X1136),IF(BT1136=1,IF(AF1136&lt;=0,0,BW1136*MAX(1,IF(H1136&gt;0,AF1136/H1136,1))),IF(R1136&gt;0,AG1136/R1136,0))/MAX(0.1,N(Parameter!$M$21)))</f>
        <v>0.0384615384615385</v>
      </c>
      <c r="AI1136" s="57" t="n">
        <f aca="false">AF1136*G1136</f>
        <v>267.32</v>
      </c>
      <c r="AJ1136" s="57" t="n">
        <f aca="false">ROUNDUP(MAX(J1136/IF(BZ1136&gt;0,BZ1136,MAX(0.1,N(Cockpit!$C$6))),CC1136)/BS1136,0)*BS1136</f>
        <v>6</v>
      </c>
      <c r="AK1136" s="58" t="n">
        <f aca="false">IF(AH1136&gt;0,J1136/AH1136,-1)</f>
        <v>0</v>
      </c>
      <c r="AL1136" s="58" t="n">
        <f aca="false">IF(AND(OR(BY1136="L1",BY1136="L23"),AH1136&gt;0),SUMIFS($AH$7:$AH$1843,$BY$7:$BY$1843,BY1136,$AK$7:$AK$1843,"&gt;"&amp;AK1136)+SUMIFS($AH$7:$AH$1843,$BY$7:$BY$1843,BY1136,$AK$7:$AK$1843,AK1136,$BQ$7:$BQ$1843,"&lt;="&amp;BQ1136),"")</f>
        <v>79.5511131380697</v>
      </c>
      <c r="AM1136" s="65" t="n">
        <f aca="false">IF(AL1136="",0,MAX(0,MIN(1,(IF(BY1136="L1",Parameter!$E$5,Parameter!$E$6+Parameter!$E$7)-(AL1136-AH1136))/AH1136)))</f>
        <v>1</v>
      </c>
      <c r="AN1136" s="57" t="n">
        <f aca="false">IF(LEFT(Cockpit!$I$5,1)="A",H1136,IF(CA1136=1,CB1136,IF(LEFT(Cockpit!$I$5,1)="B",AR1136,MAX(AR1136,H1136))))</f>
        <v>6</v>
      </c>
      <c r="AO1136" s="57" t="n">
        <f aca="false">IF(BT1136=1,0,ROUNDUP(AN1136/BS1136,0))</f>
        <v>1</v>
      </c>
      <c r="AP1136" s="59" t="n">
        <f aca="false">IF(CH1136&gt;0,CH1136*MAX(1,AN1136/X1136),IF(BT1136=1,IF(AN1136&lt;=0,0,BW1136*MAX(1,IF(H1136&gt;0,AN1136/H1136,1))),IF(R1136&gt;0,AO1136/R1136,0))/MAX(0.1,N(Parameter!$M$21)))</f>
        <v>0.0384615384615385</v>
      </c>
      <c r="AQ1136" s="57" t="n">
        <f aca="false">AN1136*G1136</f>
        <v>400.98</v>
      </c>
      <c r="AR1136" s="57" t="n">
        <f aca="false">ROUNDUP(MAX(J1136/IF(BZ1136&gt;0,BZ1136,MAX(0.1,N(Cockpit!$I$6))),CC1136)/BS1136,0)*BS1136</f>
        <v>6</v>
      </c>
      <c r="AS1136" s="58" t="n">
        <f aca="false">IF(AP1136&gt;0,J1136/AP1136,-1)</f>
        <v>0</v>
      </c>
      <c r="AT1136" s="58" t="n">
        <f aca="false">IF(AND(OR(BY1136="L1",BY1136="L23"),AP1136&gt;0),SUMIFS($AP$7:$AP$1843,$BY$7:$BY$1843,BY1136,$AS$7:$AS$1843,"&gt;"&amp;AS1136)+SUMIFS($AP$7:$AP$1843,$BY$7:$BY$1843,BY1136,$AS$7:$AS$1843,AS1136,$BQ$7:$BQ$1843,"&lt;="&amp;BQ1136),"")</f>
        <v>121.492306003176</v>
      </c>
      <c r="AU1136" s="65" t="n">
        <f aca="false">IF(AT1136="",0,MAX(0,MIN(1,(IF(BY1136="L1",Parameter!$E$5,Parameter!$E$6+Parameter!$E$7)-(AT1136-AP1136))/AP1136)))</f>
        <v>0</v>
      </c>
      <c r="AV1136" s="57" t="n">
        <f aca="false">IF(LEFT(Cockpit!$O$5,1)="A",H1136,IF(CA1136=1,CB1136,IF(LEFT(Cockpit!$O$5,1)="B",AZ1136,MAX(AZ1136,H1136))))</f>
        <v>6</v>
      </c>
      <c r="AW1136" s="57" t="n">
        <f aca="false">IF(BT1136=1,0,ROUNDUP(AV1136/BS1136,0))</f>
        <v>1</v>
      </c>
      <c r="AX1136" s="59" t="n">
        <f aca="false">IF(CH1136&gt;0,CH1136*MAX(1,AV1136/X1136),IF(BT1136=1,IF(AV1136&lt;=0,0,BW1136*MAX(1,IF(H1136&gt;0,AV1136/H1136,1))),IF(R1136&gt;0,AW1136/R1136,0))/MAX(0.1,N(Parameter!$M$21)))</f>
        <v>0.0384615384615385</v>
      </c>
      <c r="AY1136" s="57" t="n">
        <f aca="false">AV1136*G1136</f>
        <v>400.98</v>
      </c>
      <c r="AZ1136" s="57" t="n">
        <f aca="false">ROUNDUP(MAX(J1136/IF(BZ1136&gt;0,BZ1136,MAX(0.1,N(Cockpit!$O$6))),CC1136)/BS1136,0)*BS1136</f>
        <v>6</v>
      </c>
      <c r="BA1136" s="58" t="n">
        <f aca="false">IF(AX1136&gt;0,J1136/AX1136,-1)</f>
        <v>0</v>
      </c>
      <c r="BB1136" s="58" t="n">
        <f aca="false">IF(AND(OR(BY1136="L1",BY1136="L23"),AX1136&gt;0),SUMIFS($AX$7:$AX$1843,$BY$7:$BY$1843,BY1136,$BA$7:$BA$1843,"&gt;"&amp;BA1136)+SUMIFS($AX$7:$AX$1843,$BY$7:$BY$1843,BY1136,$BA$7:$BA$1843,BA1136,$BQ$7:$BQ$1843,"&lt;="&amp;BQ1136),"")</f>
        <v>112.322142833012</v>
      </c>
      <c r="BC1136" s="65" t="n">
        <f aca="false">IF(BB1136="",0,MAX(0,MIN(1,(IF(BY1136="L1",Parameter!$E$5,Parameter!$E$6+Parameter!$E$7)-(BB1136-AX1136))/AX1136)))</f>
        <v>0</v>
      </c>
      <c r="BD1136" s="55" t="str">
        <f aca="false">IF(AH1136&lt;=0,"",IF(BY1136="Aussen","Aussenlager",IF(BY1136="-","Nicht im Lift",IF(AM1136&gt;=1,"Lift",IF(AM1136&lt;=0,"Aussenlager","teilweise")))))</f>
        <v>Lift</v>
      </c>
      <c r="BE1136" s="55" t="str">
        <f aca="false">IF(AP1136&lt;=0,"",IF(BY1136="Aussen","Aussenlager",IF(BY1136="-","Nicht im Lift",IF(AU1136&gt;=1,"Lift",IF(AU1136&lt;=0,"Aussenlager","teilweise")))))</f>
        <v>Aussenlager</v>
      </c>
      <c r="BF1136" s="55" t="str">
        <f aca="false">IF(AX1136&lt;=0,"",IF(BY1136="Aussen","Aussenlager",IF(BY1136="-","Nicht im Lift",IF(BC1136&gt;=1,"Lift",IF(BC1136&lt;=0,"Aussenlager","teilweise")))))</f>
        <v>Aussenlager</v>
      </c>
      <c r="BG1136" s="55" t="str">
        <f aca="false">IF(A1136="","",IF(BP1136=1,"Neu; ","")&amp;IF(AND(BP1136=0,BK1136&lt;0),"negativer Bestand (Export "&amp;BK1136&amp;"); ","")&amp;IF(J1136&lt;=0,"Kein Verbrauch; ","")&amp;IF(CH1136&gt;0,"Lift "&amp;W1136&amp;" lt. Liftbericht (Fach "&amp;X1136&amp;" Stk); ",IF(BU1136=1,"Gebinde geschätzt ("&amp;T1136&amp;"); ",IF(BT1136=1,"Lose – Tablare geschätzt; ","")))&amp;IF(H1136&gt;AR1136,"Überbestand "&amp;ROUND(H1136-AR1136,0)&amp;" Stk / CHF "&amp;ROUND((H1136-AR1136)*G1136,0)&amp;"; ","")&amp;IF(AND(CA1136=1,CB1136&lt;CC1136),"MAX &lt; MB+LG; ","")&amp;IF(AND(CG1136&gt;0,CF1136*10&gt;CG1136),"zu hoch für Tablar; ","")&amp;IF(AND(BP1136=0,OR(CA1136=1,AA1136&lt;&gt;"",U1136&lt;&gt;"",V1136&lt;&gt;"",AB1136&lt;&gt;"")),"manuell übersteuert; ","")&amp;IF(AND(BT1136=0,R1136=0),"Gebinde unbekannt / Stellmass fehlt; ","")&amp;IF(AND(BT1136=0,N(V1136)&lt;=0,N(Q1136)&lt;=0),"Menge pro Gebinde fehlt (Ist = 1 Gebinde); ","")&amp;BO1136)</f>
        <v>negativer Bestand (Export -4); Kein Verbrauch; </v>
      </c>
      <c r="BH1136" s="55"/>
      <c r="BI1136" s="55"/>
      <c r="BJ1136" s="62"/>
      <c r="BK1136" s="57" t="n">
        <v>-4</v>
      </c>
      <c r="BL1136" s="57" t="n">
        <v>8</v>
      </c>
      <c r="BM1136" s="56" t="n">
        <v>-267.32</v>
      </c>
      <c r="BN1136" s="57" t="n">
        <v>0</v>
      </c>
      <c r="BO1136" s="55"/>
      <c r="BP1136" s="60" t="n">
        <v>0</v>
      </c>
      <c r="BQ1136" s="60" t="n">
        <v>1136</v>
      </c>
      <c r="BR1136" s="55" t="str">
        <f aca="false">IF(U1136&lt;&gt;"",UPPER(TRIM(U1136)),IF(BU1136=1,UPPER(VLOOKUP(T1136,Parameter!$I$27:$K$29,2,0)),IF(P1136="","LOSE",P1136)))</f>
        <v>S51</v>
      </c>
      <c r="BS1136" s="57" t="n">
        <f aca="false">IF(BR1136="LOSE",1,IF(N(V1136)&gt;0,V1136,IF(BU1136=1,MAX(1,N(VLOOKUP(T1136,Parameter!$I$27:$K$29,3,0)),H1136,N(N1136)),IF(N(Q1136)&gt;0,Q1136,MAX(1,H1136)))))</f>
        <v>6</v>
      </c>
      <c r="BT1136" s="60" t="n">
        <f aca="false">IF(BR1136="LOSE",1,0)</f>
        <v>0</v>
      </c>
      <c r="BU1136" s="60" t="n">
        <f aca="false">IF(AND(U1136="",OR(P1136="",P1136="LOSE"),T1136&lt;&gt;"",N(S1136)&lt;=0,ISNUMBER(MATCH(T1136,Parameter!$I$27:$I$29,0))),1,0)</f>
        <v>0</v>
      </c>
      <c r="BV1136" s="55" t="str">
        <f aca="false">IF(AND(Parameter!$B$19="Ja",E1136&lt;&gt;"",ISNUMBER(MATCH(E1136,Parameter!$I$35:$I$52,0))),VLOOKUP(E1136,Parameter!$I$35:$J$52,2,0),IFERROR(VLOOKUP(D1136,Parameter!$A$35:$C$64,2,0),"Nein"))</f>
        <v>2+3</v>
      </c>
      <c r="BW1136" s="59" t="n">
        <f aca="false">IF(BT1136=0,0,IF(N(S1136)&gt;0,S1136,IFERROR(VLOOKUP(D1136,Parameter!$A$35:$C$64,3,0)+0,0)))</f>
        <v>0</v>
      </c>
      <c r="BX1136" s="55" t="n">
        <f aca="false">IF(AA1136&lt;&gt;"",AA1136,Z1136)</f>
        <v>3</v>
      </c>
      <c r="BY1136" s="55" t="str">
        <f aca="false">IF(BX1136=1,"L1",IF(OR(BX1136=2,BX1136=3),"L23",IF(BX1136="Aussen","Aussen","-")))</f>
        <v>L23</v>
      </c>
      <c r="BZ1136" s="66" t="n">
        <f aca="false">IF(N(AB1136)&gt;0,AB1136,0)</f>
        <v>0</v>
      </c>
      <c r="CA1136" s="60" t="n">
        <f aca="false">IF(ISNUMBER(AE1136),1,0)</f>
        <v>0</v>
      </c>
      <c r="CB1136" s="57" t="n">
        <f aca="false">N(AE1136)</f>
        <v>0</v>
      </c>
      <c r="CC1136" s="57" t="n">
        <f aca="false">N(M1136)+N(N1136)</f>
        <v>1</v>
      </c>
      <c r="CD1136" s="57" t="n">
        <f aca="false">ROUNDUP(H1136/BS1136,0)</f>
        <v>1</v>
      </c>
      <c r="CE1136" s="57" t="n">
        <f aca="false">ROUNDUP(CB1136/BS1136,0)</f>
        <v>0</v>
      </c>
      <c r="CF1136" s="60" t="n">
        <f aca="false">IF(BT1136=1,0,IFERROR(VLOOKUP(BR1136,'Gebinde-Kategorie'!$A$5:$M$45,5,0)+0,0))</f>
        <v>11</v>
      </c>
      <c r="CG1136" s="60" t="n">
        <f aca="false">IFERROR(IF(OR(BX1136=1,BX1136=2,BX1136=3),N(INDEX(Parameter!$I$5:$I$7,BX1136)),0),0)</f>
        <v>0</v>
      </c>
      <c r="CH1136" s="59" t="n">
        <f aca="false">IF(AND(Parameter!$B$21="Ja",ISNUMBER(W1136),N(X1136)&gt;0),IFERROR(N(INDEX(Parameter!$L$5:$L$7,W1136))*INDEX(Parameter!$E$5:$E$7,W1136)*X1136/SUMIFS($X$7:$X$1843,$W$7:$W$1843,W1136),0),0)</f>
        <v>0</v>
      </c>
    </row>
    <row r="1137" customFormat="false" ht="15" hidden="false" customHeight="false" outlineLevel="0" collapsed="false">
      <c r="A1137" s="55" t="s">
        <v>2056</v>
      </c>
      <c r="B1137" s="55" t="s">
        <v>2057</v>
      </c>
      <c r="C1137" s="55" t="s">
        <v>164</v>
      </c>
      <c r="D1137" s="55" t="s">
        <v>184</v>
      </c>
      <c r="E1137" s="55"/>
      <c r="F1137" s="55" t="s">
        <v>218</v>
      </c>
      <c r="G1137" s="56" t="n">
        <v>275.65</v>
      </c>
      <c r="H1137" s="57" t="n">
        <f aca="false">MAX(0,IF(AND(Parameter!$B$21="Ja",ISNUMBER(Y1137)),Y1137,IF(Parameter!$B$20="Jahresanfang 2025 + Export",BL1137+BK1137,BK1137)))</f>
        <v>1</v>
      </c>
      <c r="I1137" s="57" t="n">
        <f aca="false">H1137*G1137</f>
        <v>275.65</v>
      </c>
      <c r="J1137" s="57" t="n">
        <f aca="false">BN1137*Parameter!$B$18</f>
        <v>0</v>
      </c>
      <c r="K1137" s="58" t="n">
        <v>2</v>
      </c>
      <c r="L1137" s="59" t="n">
        <v>0</v>
      </c>
      <c r="M1137" s="57" t="n">
        <v>0</v>
      </c>
      <c r="N1137" s="57" t="n">
        <v>2</v>
      </c>
      <c r="O1137" s="60" t="n">
        <v>70</v>
      </c>
      <c r="P1137" s="55" t="s">
        <v>226</v>
      </c>
      <c r="Q1137" s="57" t="n">
        <v>2</v>
      </c>
      <c r="R1137" s="60" t="n">
        <f aca="false">IF(BT1137=1,0,IFERROR(VLOOKUP(BR1137,'Gebinde-Kategorie'!$A$5:$M$45,13,0)+0,0))</f>
        <v>12</v>
      </c>
      <c r="S1137" s="61"/>
      <c r="T1137" s="62"/>
      <c r="U1137" s="62"/>
      <c r="V1137" s="62"/>
      <c r="W1137" s="55"/>
      <c r="X1137" s="57"/>
      <c r="Y1137" s="57"/>
      <c r="Z1137" s="55" t="n">
        <f aca="false">IF(A1137="","",IF(AND(Parameter!$B$21="Ja",ISNUMBER(W1137)),W1137,IF(BV1137="2+3",IF(ISNUMBER(SEARCH("grosser Artikel",BO1137)),2,IFERROR(VLOOKUP(BR1137,Parameter!$F$35:$G$64,2,0),2)),IF(OR(BV1137="Nein",BV1137=""),"-",BV1137))))</f>
        <v>2</v>
      </c>
      <c r="AA1137" s="62"/>
      <c r="AB1137" s="63"/>
      <c r="AC1137" s="57" t="n">
        <f aca="false">AR1137</f>
        <v>2</v>
      </c>
      <c r="AD1137" s="57" t="n">
        <f aca="false">MAX(AR1137,H1137)</f>
        <v>2</v>
      </c>
      <c r="AE1137" s="64"/>
      <c r="AF1137" s="57" t="n">
        <f aca="false">IF(LEFT(Cockpit!$C$5,1)="A",H1137,IF(CA1137=1,CB1137,IF(LEFT(Cockpit!$C$5,1)="B",AJ1137,MAX(AJ1137,H1137))))</f>
        <v>1</v>
      </c>
      <c r="AG1137" s="57" t="n">
        <f aca="false">IF(BT1137=1,0,ROUNDUP(AF1137/BS1137,0))</f>
        <v>1</v>
      </c>
      <c r="AH1137" s="59" t="n">
        <f aca="false">IF(CH1137&gt;0,CH1137*MAX(1,AF1137/X1137),IF(BT1137=1,IF(AF1137&lt;=0,0,BW1137*MAX(1,IF(H1137&gt;0,AF1137/H1137,1))),IF(R1137&gt;0,AG1137/R1137,0))/MAX(0.1,N(Parameter!$M$21)))</f>
        <v>0.0833333333333333</v>
      </c>
      <c r="AI1137" s="57" t="n">
        <f aca="false">AF1137*G1137</f>
        <v>275.65</v>
      </c>
      <c r="AJ1137" s="57" t="n">
        <f aca="false">ROUNDUP(MAX(J1137/IF(BZ1137&gt;0,BZ1137,MAX(0.1,N(Cockpit!$C$6))),CC1137)/BS1137,0)*BS1137</f>
        <v>2</v>
      </c>
      <c r="AK1137" s="58" t="n">
        <f aca="false">IF(AH1137&gt;0,J1137/AH1137,-1)</f>
        <v>0</v>
      </c>
      <c r="AL1137" s="58" t="n">
        <f aca="false">IF(AND(OR(BY1137="L1",BY1137="L23"),AH1137&gt;0),SUMIFS($AH$7:$AH$1843,$BY$7:$BY$1843,BY1137,$AK$7:$AK$1843,"&gt;"&amp;AK1137)+SUMIFS($AH$7:$AH$1843,$BY$7:$BY$1843,BY1137,$AK$7:$AK$1843,AK1137,$BQ$7:$BQ$1843,"&lt;="&amp;BQ1137),"")</f>
        <v>79.634446471403</v>
      </c>
      <c r="AM1137" s="65" t="n">
        <f aca="false">IF(AL1137="",0,MAX(0,MIN(1,(IF(BY1137="L1",Parameter!$E$5,Parameter!$E$6+Parameter!$E$7)-(AL1137-AH1137))/AH1137)))</f>
        <v>1</v>
      </c>
      <c r="AN1137" s="57" t="n">
        <f aca="false">IF(LEFT(Cockpit!$I$5,1)="A",H1137,IF(CA1137=1,CB1137,IF(LEFT(Cockpit!$I$5,1)="B",AR1137,MAX(AR1137,H1137))))</f>
        <v>2</v>
      </c>
      <c r="AO1137" s="57" t="n">
        <f aca="false">IF(BT1137=1,0,ROUNDUP(AN1137/BS1137,0))</f>
        <v>1</v>
      </c>
      <c r="AP1137" s="59" t="n">
        <f aca="false">IF(CH1137&gt;0,CH1137*MAX(1,AN1137/X1137),IF(BT1137=1,IF(AN1137&lt;=0,0,BW1137*MAX(1,IF(H1137&gt;0,AN1137/H1137,1))),IF(R1137&gt;0,AO1137/R1137,0))/MAX(0.1,N(Parameter!$M$21)))</f>
        <v>0.0833333333333333</v>
      </c>
      <c r="AQ1137" s="57" t="n">
        <f aca="false">AN1137*G1137</f>
        <v>551.3</v>
      </c>
      <c r="AR1137" s="57" t="n">
        <f aca="false">ROUNDUP(MAX(J1137/IF(BZ1137&gt;0,BZ1137,MAX(0.1,N(Cockpit!$I$6))),CC1137)/BS1137,0)*BS1137</f>
        <v>2</v>
      </c>
      <c r="AS1137" s="58" t="n">
        <f aca="false">IF(AP1137&gt;0,J1137/AP1137,-1)</f>
        <v>0</v>
      </c>
      <c r="AT1137" s="58" t="n">
        <f aca="false">IF(AND(OR(BY1137="L1",BY1137="L23"),AP1137&gt;0),SUMIFS($AP$7:$AP$1843,$BY$7:$BY$1843,BY1137,$AS$7:$AS$1843,"&gt;"&amp;AS1137)+SUMIFS($AP$7:$AP$1843,$BY$7:$BY$1843,BY1137,$AS$7:$AS$1843,AS1137,$BQ$7:$BQ$1843,"&lt;="&amp;BQ1137),"")</f>
        <v>121.575639336509</v>
      </c>
      <c r="AU1137" s="65" t="n">
        <f aca="false">IF(AT1137="",0,MAX(0,MIN(1,(IF(BY1137="L1",Parameter!$E$5,Parameter!$E$6+Parameter!$E$7)-(AT1137-AP1137))/AP1137)))</f>
        <v>0</v>
      </c>
      <c r="AV1137" s="57" t="n">
        <f aca="false">IF(LEFT(Cockpit!$O$5,1)="A",H1137,IF(CA1137=1,CB1137,IF(LEFT(Cockpit!$O$5,1)="B",AZ1137,MAX(AZ1137,H1137))))</f>
        <v>2</v>
      </c>
      <c r="AW1137" s="57" t="n">
        <f aca="false">IF(BT1137=1,0,ROUNDUP(AV1137/BS1137,0))</f>
        <v>1</v>
      </c>
      <c r="AX1137" s="59" t="n">
        <f aca="false">IF(CH1137&gt;0,CH1137*MAX(1,AV1137/X1137),IF(BT1137=1,IF(AV1137&lt;=0,0,BW1137*MAX(1,IF(H1137&gt;0,AV1137/H1137,1))),IF(R1137&gt;0,AW1137/R1137,0))/MAX(0.1,N(Parameter!$M$21)))</f>
        <v>0.0833333333333333</v>
      </c>
      <c r="AY1137" s="57" t="n">
        <f aca="false">AV1137*G1137</f>
        <v>551.3</v>
      </c>
      <c r="AZ1137" s="57" t="n">
        <f aca="false">ROUNDUP(MAX(J1137/IF(BZ1137&gt;0,BZ1137,MAX(0.1,N(Cockpit!$O$6))),CC1137)/BS1137,0)*BS1137</f>
        <v>2</v>
      </c>
      <c r="BA1137" s="58" t="n">
        <f aca="false">IF(AX1137&gt;0,J1137/AX1137,-1)</f>
        <v>0</v>
      </c>
      <c r="BB1137" s="58" t="n">
        <f aca="false">IF(AND(OR(BY1137="L1",BY1137="L23"),AX1137&gt;0),SUMIFS($AX$7:$AX$1843,$BY$7:$BY$1843,BY1137,$BA$7:$BA$1843,"&gt;"&amp;BA1137)+SUMIFS($AX$7:$AX$1843,$BY$7:$BY$1843,BY1137,$BA$7:$BA$1843,BA1137,$BQ$7:$BQ$1843,"&lt;="&amp;BQ1137),"")</f>
        <v>112.405476166346</v>
      </c>
      <c r="BC1137" s="65" t="n">
        <f aca="false">IF(BB1137="",0,MAX(0,MIN(1,(IF(BY1137="L1",Parameter!$E$5,Parameter!$E$6+Parameter!$E$7)-(BB1137-AX1137))/AX1137)))</f>
        <v>0</v>
      </c>
      <c r="BD1137" s="55" t="str">
        <f aca="false">IF(AH1137&lt;=0,"",IF(BY1137="Aussen","Aussenlager",IF(BY1137="-","Nicht im Lift",IF(AM1137&gt;=1,"Lift",IF(AM1137&lt;=0,"Aussenlager","teilweise")))))</f>
        <v>Lift</v>
      </c>
      <c r="BE1137" s="55" t="str">
        <f aca="false">IF(AP1137&lt;=0,"",IF(BY1137="Aussen","Aussenlager",IF(BY1137="-","Nicht im Lift",IF(AU1137&gt;=1,"Lift",IF(AU1137&lt;=0,"Aussenlager","teilweise")))))</f>
        <v>Aussenlager</v>
      </c>
      <c r="BF1137" s="55" t="str">
        <f aca="false">IF(AX1137&lt;=0,"",IF(BY1137="Aussen","Aussenlager",IF(BY1137="-","Nicht im Lift",IF(BC1137&gt;=1,"Lift",IF(BC1137&lt;=0,"Aussenlager","teilweise")))))</f>
        <v>Aussenlager</v>
      </c>
      <c r="BG1137" s="55" t="str">
        <f aca="false">IF(A1137="","",IF(BP1137=1,"Neu; ","")&amp;IF(AND(BP1137=0,BK1137&lt;0),"negativer Bestand (Export "&amp;BK1137&amp;"); ","")&amp;IF(J1137&lt;=0,"Kein Verbrauch; ","")&amp;IF(CH1137&gt;0,"Lift "&amp;W1137&amp;" lt. Liftbericht (Fach "&amp;X1137&amp;" Stk); ",IF(BU1137=1,"Gebinde geschätzt ("&amp;T1137&amp;"); ",IF(BT1137=1,"Lose – Tablare geschätzt; ","")))&amp;IF(H1137&gt;AR1137,"Überbestand "&amp;ROUND(H1137-AR1137,0)&amp;" Stk / CHF "&amp;ROUND((H1137-AR1137)*G1137,0)&amp;"; ","")&amp;IF(AND(CA1137=1,CB1137&lt;CC1137),"MAX &lt; MB+LG; ","")&amp;IF(AND(CG1137&gt;0,CF1137*10&gt;CG1137),"zu hoch für Tablar; ","")&amp;IF(AND(BP1137=0,OR(CA1137=1,AA1137&lt;&gt;"",U1137&lt;&gt;"",V1137&lt;&gt;"",AB1137&lt;&gt;"")),"manuell übersteuert; ","")&amp;IF(AND(BT1137=0,R1137=0),"Gebinde unbekannt / Stellmass fehlt; ","")&amp;IF(AND(BT1137=0,N(V1137)&lt;=0,N(Q1137)&lt;=0),"Menge pro Gebinde fehlt (Ist = 1 Gebinde); ","")&amp;BO1137)</f>
        <v>negativer Bestand (Export -1); Kein Verbrauch; </v>
      </c>
      <c r="BH1137" s="55"/>
      <c r="BI1137" s="55"/>
      <c r="BJ1137" s="62"/>
      <c r="BK1137" s="57" t="n">
        <v>-1</v>
      </c>
      <c r="BL1137" s="57" t="n">
        <v>2</v>
      </c>
      <c r="BM1137" s="56" t="n">
        <v>-275.65</v>
      </c>
      <c r="BN1137" s="57" t="n">
        <v>0</v>
      </c>
      <c r="BO1137" s="55"/>
      <c r="BP1137" s="60" t="n">
        <v>0</v>
      </c>
      <c r="BQ1137" s="60" t="n">
        <v>1137</v>
      </c>
      <c r="BR1137" s="55" t="str">
        <f aca="false">IF(U1137&lt;&gt;"",UPPER(TRIM(U1137)),IF(BU1137=1,UPPER(VLOOKUP(T1137,Parameter!$I$27:$K$29,2,0)),IF(P1137="","LOSE",P1137)))</f>
        <v>S63</v>
      </c>
      <c r="BS1137" s="57" t="n">
        <f aca="false">IF(BR1137="LOSE",1,IF(N(V1137)&gt;0,V1137,IF(BU1137=1,MAX(1,N(VLOOKUP(T1137,Parameter!$I$27:$K$29,3,0)),H1137,N(N1137)),IF(N(Q1137)&gt;0,Q1137,MAX(1,H1137)))))</f>
        <v>2</v>
      </c>
      <c r="BT1137" s="60" t="n">
        <f aca="false">IF(BR1137="LOSE",1,0)</f>
        <v>0</v>
      </c>
      <c r="BU1137" s="60" t="n">
        <f aca="false">IF(AND(U1137="",OR(P1137="",P1137="LOSE"),T1137&lt;&gt;"",N(S1137)&lt;=0,ISNUMBER(MATCH(T1137,Parameter!$I$27:$I$29,0))),1,0)</f>
        <v>0</v>
      </c>
      <c r="BV1137" s="55" t="str">
        <f aca="false">IF(AND(Parameter!$B$19="Ja",E1137&lt;&gt;"",ISNUMBER(MATCH(E1137,Parameter!$I$35:$I$52,0))),VLOOKUP(E1137,Parameter!$I$35:$J$52,2,0),IFERROR(VLOOKUP(D1137,Parameter!$A$35:$C$64,2,0),"Nein"))</f>
        <v>2+3</v>
      </c>
      <c r="BW1137" s="59" t="n">
        <f aca="false">IF(BT1137=0,0,IF(N(S1137)&gt;0,S1137,IFERROR(VLOOKUP(D1137,Parameter!$A$35:$C$64,3,0)+0,0)))</f>
        <v>0</v>
      </c>
      <c r="BX1137" s="55" t="n">
        <f aca="false">IF(AA1137&lt;&gt;"",AA1137,Z1137)</f>
        <v>2</v>
      </c>
      <c r="BY1137" s="55" t="str">
        <f aca="false">IF(BX1137=1,"L1",IF(OR(BX1137=2,BX1137=3),"L23",IF(BX1137="Aussen","Aussen","-")))</f>
        <v>L23</v>
      </c>
      <c r="BZ1137" s="66" t="n">
        <f aca="false">IF(N(AB1137)&gt;0,AB1137,0)</f>
        <v>0</v>
      </c>
      <c r="CA1137" s="60" t="n">
        <f aca="false">IF(ISNUMBER(AE1137),1,0)</f>
        <v>0</v>
      </c>
      <c r="CB1137" s="57" t="n">
        <f aca="false">N(AE1137)</f>
        <v>0</v>
      </c>
      <c r="CC1137" s="57" t="n">
        <f aca="false">N(M1137)+N(N1137)</f>
        <v>2</v>
      </c>
      <c r="CD1137" s="57" t="n">
        <f aca="false">ROUNDUP(H1137/BS1137,0)</f>
        <v>1</v>
      </c>
      <c r="CE1137" s="57" t="n">
        <f aca="false">ROUNDUP(CB1137/BS1137,0)</f>
        <v>0</v>
      </c>
      <c r="CF1137" s="60" t="n">
        <f aca="false">IF(BT1137=1,0,IFERROR(VLOOKUP(BR1137,'Gebinde-Kategorie'!$A$5:$M$45,5,0)+0,0))</f>
        <v>31</v>
      </c>
      <c r="CG1137" s="60" t="n">
        <f aca="false">IFERROR(IF(OR(BX1137=1,BX1137=2,BX1137=3),N(INDEX(Parameter!$I$5:$I$7,BX1137)),0),0)</f>
        <v>0</v>
      </c>
      <c r="CH1137" s="59" t="n">
        <f aca="false">IF(AND(Parameter!$B$21="Ja",ISNUMBER(W1137),N(X1137)&gt;0),IFERROR(N(INDEX(Parameter!$L$5:$L$7,W1137))*INDEX(Parameter!$E$5:$E$7,W1137)*X1137/SUMIFS($X$7:$X$1843,$W$7:$W$1843,W1137),0),0)</f>
        <v>0</v>
      </c>
    </row>
    <row r="1138" customFormat="false" ht="15" hidden="false" customHeight="false" outlineLevel="0" collapsed="false">
      <c r="A1138" s="55" t="s">
        <v>2058</v>
      </c>
      <c r="B1138" s="55" t="s">
        <v>1948</v>
      </c>
      <c r="C1138" s="55" t="s">
        <v>456</v>
      </c>
      <c r="D1138" s="55" t="s">
        <v>184</v>
      </c>
      <c r="E1138" s="55"/>
      <c r="F1138" s="55" t="s">
        <v>218</v>
      </c>
      <c r="G1138" s="56" t="n">
        <v>34.5</v>
      </c>
      <c r="H1138" s="57" t="n">
        <f aca="false">MAX(0,IF(AND(Parameter!$B$21="Ja",ISNUMBER(Y1138)),Y1138,IF(Parameter!$B$20="Jahresanfang 2025 + Export",BL1138+BK1138,BK1138)))</f>
        <v>8</v>
      </c>
      <c r="I1138" s="57" t="n">
        <f aca="false">H1138*G1138</f>
        <v>276</v>
      </c>
      <c r="J1138" s="57" t="n">
        <f aca="false">BN1138*Parameter!$B$18</f>
        <v>0</v>
      </c>
      <c r="K1138" s="58" t="n">
        <v>8</v>
      </c>
      <c r="L1138" s="59" t="n">
        <v>0</v>
      </c>
      <c r="M1138" s="57" t="n">
        <v>0</v>
      </c>
      <c r="N1138" s="57" t="n">
        <v>1</v>
      </c>
      <c r="O1138" s="60" t="n">
        <v>21</v>
      </c>
      <c r="P1138" s="55" t="s">
        <v>168</v>
      </c>
      <c r="Q1138" s="57"/>
      <c r="R1138" s="60" t="n">
        <f aca="false">IF(BT1138=1,0,IFERROR(VLOOKUP(BR1138,'Gebinde-Kategorie'!$A$5:$M$45,13,0)+0,0))</f>
        <v>3</v>
      </c>
      <c r="S1138" s="61"/>
      <c r="T1138" s="62" t="s">
        <v>189</v>
      </c>
      <c r="U1138" s="62"/>
      <c r="V1138" s="62"/>
      <c r="W1138" s="55"/>
      <c r="X1138" s="57"/>
      <c r="Y1138" s="57"/>
      <c r="Z1138" s="55" t="n">
        <f aca="false">IF(A1138="","",IF(AND(Parameter!$B$21="Ja",ISNUMBER(W1138)),W1138,IF(BV1138="2+3",IF(ISNUMBER(SEARCH("grosser Artikel",BO1138)),2,IFERROR(VLOOKUP(BR1138,Parameter!$F$35:$G$64,2,0),2)),IF(OR(BV1138="Nein",BV1138=""),"-",BV1138))))</f>
        <v>2</v>
      </c>
      <c r="AA1138" s="62"/>
      <c r="AB1138" s="63"/>
      <c r="AC1138" s="57" t="n">
        <f aca="false">AR1138</f>
        <v>8</v>
      </c>
      <c r="AD1138" s="57" t="n">
        <f aca="false">MAX(AR1138,H1138)</f>
        <v>8</v>
      </c>
      <c r="AE1138" s="64"/>
      <c r="AF1138" s="57" t="n">
        <f aca="false">IF(LEFT(Cockpit!$C$5,1)="A",H1138,IF(CA1138=1,CB1138,IF(LEFT(Cockpit!$C$5,1)="B",AJ1138,MAX(AJ1138,H1138))))</f>
        <v>8</v>
      </c>
      <c r="AG1138" s="57" t="n">
        <f aca="false">IF(BT1138=1,0,ROUNDUP(AF1138/BS1138,0))</f>
        <v>1</v>
      </c>
      <c r="AH1138" s="59" t="n">
        <f aca="false">IF(CH1138&gt;0,CH1138*MAX(1,AF1138/X1138),IF(BT1138=1,IF(AF1138&lt;=0,0,BW1138*MAX(1,IF(H1138&gt;0,AF1138/H1138,1))),IF(R1138&gt;0,AG1138/R1138,0))/MAX(0.1,N(Parameter!$M$21)))</f>
        <v>0.333333333333333</v>
      </c>
      <c r="AI1138" s="57" t="n">
        <f aca="false">AF1138*G1138</f>
        <v>276</v>
      </c>
      <c r="AJ1138" s="57" t="n">
        <f aca="false">ROUNDUP(MAX(J1138/IF(BZ1138&gt;0,BZ1138,MAX(0.1,N(Cockpit!$C$6))),CC1138)/BS1138,0)*BS1138</f>
        <v>8</v>
      </c>
      <c r="AK1138" s="58" t="n">
        <f aca="false">IF(AH1138&gt;0,J1138/AH1138,-1)</f>
        <v>0</v>
      </c>
      <c r="AL1138" s="58" t="n">
        <f aca="false">IF(AND(OR(BY1138="L1",BY1138="L23"),AH1138&gt;0),SUMIFS($AH$7:$AH$1843,$BY$7:$BY$1843,BY1138,$AK$7:$AK$1843,"&gt;"&amp;AK1138)+SUMIFS($AH$7:$AH$1843,$BY$7:$BY$1843,BY1138,$AK$7:$AK$1843,AK1138,$BQ$7:$BQ$1843,"&lt;="&amp;BQ1138),"")</f>
        <v>79.9677798047363</v>
      </c>
      <c r="AM1138" s="65" t="n">
        <f aca="false">IF(AL1138="",0,MAX(0,MIN(1,(IF(BY1138="L1",Parameter!$E$5,Parameter!$E$6+Parameter!$E$7)-(AL1138-AH1138))/AH1138)))</f>
        <v>1</v>
      </c>
      <c r="AN1138" s="57" t="n">
        <f aca="false">IF(LEFT(Cockpit!$I$5,1)="A",H1138,IF(CA1138=1,CB1138,IF(LEFT(Cockpit!$I$5,1)="B",AR1138,MAX(AR1138,H1138))))</f>
        <v>8</v>
      </c>
      <c r="AO1138" s="57" t="n">
        <f aca="false">IF(BT1138=1,0,ROUNDUP(AN1138/BS1138,0))</f>
        <v>1</v>
      </c>
      <c r="AP1138" s="59" t="n">
        <f aca="false">IF(CH1138&gt;0,CH1138*MAX(1,AN1138/X1138),IF(BT1138=1,IF(AN1138&lt;=0,0,BW1138*MAX(1,IF(H1138&gt;0,AN1138/H1138,1))),IF(R1138&gt;0,AO1138/R1138,0))/MAX(0.1,N(Parameter!$M$21)))</f>
        <v>0.333333333333333</v>
      </c>
      <c r="AQ1138" s="57" t="n">
        <f aca="false">AN1138*G1138</f>
        <v>276</v>
      </c>
      <c r="AR1138" s="57" t="n">
        <f aca="false">ROUNDUP(MAX(J1138/IF(BZ1138&gt;0,BZ1138,MAX(0.1,N(Cockpit!$I$6))),CC1138)/BS1138,0)*BS1138</f>
        <v>8</v>
      </c>
      <c r="AS1138" s="58" t="n">
        <f aca="false">IF(AP1138&gt;0,J1138/AP1138,-1)</f>
        <v>0</v>
      </c>
      <c r="AT1138" s="58" t="n">
        <f aca="false">IF(AND(OR(BY1138="L1",BY1138="L23"),AP1138&gt;0),SUMIFS($AP$7:$AP$1843,$BY$7:$BY$1843,BY1138,$AS$7:$AS$1843,"&gt;"&amp;AS1138)+SUMIFS($AP$7:$AP$1843,$BY$7:$BY$1843,BY1138,$AS$7:$AS$1843,AS1138,$BQ$7:$BQ$1843,"&lt;="&amp;BQ1138),"")</f>
        <v>121.908972669842</v>
      </c>
      <c r="AU1138" s="65" t="n">
        <f aca="false">IF(AT1138="",0,MAX(0,MIN(1,(IF(BY1138="L1",Parameter!$E$5,Parameter!$E$6+Parameter!$E$7)-(AT1138-AP1138))/AP1138)))</f>
        <v>0</v>
      </c>
      <c r="AV1138" s="57" t="n">
        <f aca="false">IF(LEFT(Cockpit!$O$5,1)="A",H1138,IF(CA1138=1,CB1138,IF(LEFT(Cockpit!$O$5,1)="B",AZ1138,MAX(AZ1138,H1138))))</f>
        <v>8</v>
      </c>
      <c r="AW1138" s="57" t="n">
        <f aca="false">IF(BT1138=1,0,ROUNDUP(AV1138/BS1138,0))</f>
        <v>1</v>
      </c>
      <c r="AX1138" s="59" t="n">
        <f aca="false">IF(CH1138&gt;0,CH1138*MAX(1,AV1138/X1138),IF(BT1138=1,IF(AV1138&lt;=0,0,BW1138*MAX(1,IF(H1138&gt;0,AV1138/H1138,1))),IF(R1138&gt;0,AW1138/R1138,0))/MAX(0.1,N(Parameter!$M$21)))</f>
        <v>0.333333333333333</v>
      </c>
      <c r="AY1138" s="57" t="n">
        <f aca="false">AV1138*G1138</f>
        <v>276</v>
      </c>
      <c r="AZ1138" s="57" t="n">
        <f aca="false">ROUNDUP(MAX(J1138/IF(BZ1138&gt;0,BZ1138,MAX(0.1,N(Cockpit!$O$6))),CC1138)/BS1138,0)*BS1138</f>
        <v>8</v>
      </c>
      <c r="BA1138" s="58" t="n">
        <f aca="false">IF(AX1138&gt;0,J1138/AX1138,-1)</f>
        <v>0</v>
      </c>
      <c r="BB1138" s="58" t="n">
        <f aca="false">IF(AND(OR(BY1138="L1",BY1138="L23"),AX1138&gt;0),SUMIFS($AX$7:$AX$1843,$BY$7:$BY$1843,BY1138,$BA$7:$BA$1843,"&gt;"&amp;BA1138)+SUMIFS($AX$7:$AX$1843,$BY$7:$BY$1843,BY1138,$BA$7:$BA$1843,BA1138,$BQ$7:$BQ$1843,"&lt;="&amp;BQ1138),"")</f>
        <v>112.738809499679</v>
      </c>
      <c r="BC1138" s="65" t="n">
        <f aca="false">IF(BB1138="",0,MAX(0,MIN(1,(IF(BY1138="L1",Parameter!$E$5,Parameter!$E$6+Parameter!$E$7)-(BB1138-AX1138))/AX1138)))</f>
        <v>0</v>
      </c>
      <c r="BD1138" s="55" t="str">
        <f aca="false">IF(AH1138&lt;=0,"",IF(BY1138="Aussen","Aussenlager",IF(BY1138="-","Nicht im Lift",IF(AM1138&gt;=1,"Lift",IF(AM1138&lt;=0,"Aussenlager","teilweise")))))</f>
        <v>Lift</v>
      </c>
      <c r="BE1138" s="55" t="str">
        <f aca="false">IF(AP1138&lt;=0,"",IF(BY1138="Aussen","Aussenlager",IF(BY1138="-","Nicht im Lift",IF(AU1138&gt;=1,"Lift",IF(AU1138&lt;=0,"Aussenlager","teilweise")))))</f>
        <v>Aussenlager</v>
      </c>
      <c r="BF1138" s="55" t="str">
        <f aca="false">IF(AX1138&lt;=0,"",IF(BY1138="Aussen","Aussenlager",IF(BY1138="-","Nicht im Lift",IF(BC1138&gt;=1,"Lift",IF(BC1138&lt;=0,"Aussenlager","teilweise")))))</f>
        <v>Aussenlager</v>
      </c>
      <c r="BG1138" s="55" t="str">
        <f aca="false">IF(A1138="","",IF(BP1138=1,"Neu; ","")&amp;IF(AND(BP1138=0,BK1138&lt;0),"negativer Bestand (Export "&amp;BK1138&amp;"); ","")&amp;IF(J1138&lt;=0,"Kein Verbrauch; ","")&amp;IF(CH1138&gt;0,"Lift "&amp;W1138&amp;" lt. Liftbericht (Fach "&amp;X1138&amp;" Stk); ",IF(BU1138=1,"Gebinde geschätzt ("&amp;T1138&amp;"); ",IF(BT1138=1,"Lose – Tablare geschätzt; ","")))&amp;IF(H1138&gt;AR1138,"Überbestand "&amp;ROUND(H1138-AR1138,0)&amp;" Stk / CHF "&amp;ROUND((H1138-AR1138)*G1138,0)&amp;"; ","")&amp;IF(AND(CA1138=1,CB1138&lt;CC1138),"MAX &lt; MB+LG; ","")&amp;IF(AND(CG1138&gt;0,CF1138*10&gt;CG1138),"zu hoch für Tablar; ","")&amp;IF(AND(BP1138=0,OR(CA1138=1,AA1138&lt;&gt;"",U1138&lt;&gt;"",V1138&lt;&gt;"",AB1138&lt;&gt;"")),"manuell übersteuert; ","")&amp;IF(AND(BT1138=0,R1138=0),"Gebinde unbekannt / Stellmass fehlt; ","")&amp;IF(AND(BT1138=0,N(V1138)&lt;=0,N(Q1138)&lt;=0),"Menge pro Gebinde fehlt (Ist = 1 Gebinde); ","")&amp;BO1138)</f>
        <v>negativer Bestand (Export -8); Kein Verbrauch; Gebinde geschätzt (Gross); Menge pro Gebinde fehlt (Ist = 1 Gebinde); </v>
      </c>
      <c r="BH1138" s="55"/>
      <c r="BI1138" s="55"/>
      <c r="BJ1138" s="62"/>
      <c r="BK1138" s="57" t="n">
        <v>-8</v>
      </c>
      <c r="BL1138" s="57" t="n">
        <v>16</v>
      </c>
      <c r="BM1138" s="56" t="n">
        <v>-276</v>
      </c>
      <c r="BN1138" s="57" t="n">
        <v>0</v>
      </c>
      <c r="BO1138" s="55"/>
      <c r="BP1138" s="60" t="n">
        <v>0</v>
      </c>
      <c r="BQ1138" s="60" t="n">
        <v>1138</v>
      </c>
      <c r="BR1138" s="55" t="str">
        <f aca="false">IF(U1138&lt;&gt;"",UPPER(TRIM(U1138)),IF(BU1138=1,UPPER(VLOOKUP(T1138,Parameter!$I$27:$K$29,2,0)),IF(P1138="","LOSE",P1138)))</f>
        <v>S81</v>
      </c>
      <c r="BS1138" s="57" t="n">
        <f aca="false">IF(BR1138="LOSE",1,IF(N(V1138)&gt;0,V1138,IF(BU1138=1,MAX(1,N(VLOOKUP(T1138,Parameter!$I$27:$K$29,3,0)),H1138,N(N1138)),IF(N(Q1138)&gt;0,Q1138,MAX(1,H1138)))))</f>
        <v>8</v>
      </c>
      <c r="BT1138" s="60" t="n">
        <f aca="false">IF(BR1138="LOSE",1,0)</f>
        <v>0</v>
      </c>
      <c r="BU1138" s="60" t="n">
        <f aca="false">IF(AND(U1138="",OR(P1138="",P1138="LOSE"),T1138&lt;&gt;"",N(S1138)&lt;=0,ISNUMBER(MATCH(T1138,Parameter!$I$27:$I$29,0))),1,0)</f>
        <v>1</v>
      </c>
      <c r="BV1138" s="55" t="str">
        <f aca="false">IF(AND(Parameter!$B$19="Ja",E1138&lt;&gt;"",ISNUMBER(MATCH(E1138,Parameter!$I$35:$I$52,0))),VLOOKUP(E1138,Parameter!$I$35:$J$52,2,0),IFERROR(VLOOKUP(D1138,Parameter!$A$35:$C$64,2,0),"Nein"))</f>
        <v>2+3</v>
      </c>
      <c r="BW1138" s="59" t="n">
        <f aca="false">IF(BT1138=0,0,IF(N(S1138)&gt;0,S1138,IFERROR(VLOOKUP(D1138,Parameter!$A$35:$C$64,3,0)+0,0)))</f>
        <v>0</v>
      </c>
      <c r="BX1138" s="55" t="n">
        <f aca="false">IF(AA1138&lt;&gt;"",AA1138,Z1138)</f>
        <v>2</v>
      </c>
      <c r="BY1138" s="55" t="str">
        <f aca="false">IF(BX1138=1,"L1",IF(OR(BX1138=2,BX1138=3),"L23",IF(BX1138="Aussen","Aussen","-")))</f>
        <v>L23</v>
      </c>
      <c r="BZ1138" s="66" t="n">
        <f aca="false">IF(N(AB1138)&gt;0,AB1138,0)</f>
        <v>0</v>
      </c>
      <c r="CA1138" s="60" t="n">
        <f aca="false">IF(ISNUMBER(AE1138),1,0)</f>
        <v>0</v>
      </c>
      <c r="CB1138" s="57" t="n">
        <f aca="false">N(AE1138)</f>
        <v>0</v>
      </c>
      <c r="CC1138" s="57" t="n">
        <f aca="false">N(M1138)+N(N1138)</f>
        <v>1</v>
      </c>
      <c r="CD1138" s="57" t="n">
        <f aca="false">ROUNDUP(H1138/BS1138,0)</f>
        <v>1</v>
      </c>
      <c r="CE1138" s="57" t="n">
        <f aca="false">ROUNDUP(CB1138/BS1138,0)</f>
        <v>0</v>
      </c>
      <c r="CF1138" s="60" t="n">
        <f aca="false">IF(BT1138=1,0,IFERROR(VLOOKUP(BR1138,'Gebinde-Kategorie'!$A$5:$M$45,5,0)+0,0))</f>
        <v>20</v>
      </c>
      <c r="CG1138" s="60" t="n">
        <f aca="false">IFERROR(IF(OR(BX1138=1,BX1138=2,BX1138=3),N(INDEX(Parameter!$I$5:$I$7,BX1138)),0),0)</f>
        <v>0</v>
      </c>
      <c r="CH1138" s="59" t="n">
        <f aca="false">IF(AND(Parameter!$B$21="Ja",ISNUMBER(W1138),N(X1138)&gt;0),IFERROR(N(INDEX(Parameter!$L$5:$L$7,W1138))*INDEX(Parameter!$E$5:$E$7,W1138)*X1138/SUMIFS($X$7:$X$1843,$W$7:$W$1843,W1138),0),0)</f>
        <v>0</v>
      </c>
    </row>
    <row r="1139" customFormat="false" ht="15" hidden="false" customHeight="false" outlineLevel="0" collapsed="false">
      <c r="A1139" s="55" t="s">
        <v>2059</v>
      </c>
      <c r="B1139" s="55" t="s">
        <v>2060</v>
      </c>
      <c r="C1139" s="55" t="s">
        <v>164</v>
      </c>
      <c r="D1139" s="55" t="s">
        <v>184</v>
      </c>
      <c r="E1139" s="55" t="s">
        <v>185</v>
      </c>
      <c r="F1139" s="55" t="s">
        <v>218</v>
      </c>
      <c r="G1139" s="56" t="n">
        <v>279.01</v>
      </c>
      <c r="H1139" s="57" t="n">
        <f aca="false">MAX(0,IF(AND(Parameter!$B$21="Ja",ISNUMBER(Y1139)),Y1139,IF(Parameter!$B$20="Jahresanfang 2025 + Export",BL1139+BK1139,BK1139)))</f>
        <v>3</v>
      </c>
      <c r="I1139" s="57" t="n">
        <f aca="false">H1139*G1139</f>
        <v>837.03</v>
      </c>
      <c r="J1139" s="57" t="n">
        <f aca="false">BN1139*Parameter!$B$18</f>
        <v>1</v>
      </c>
      <c r="K1139" s="58" t="n">
        <v>3.5</v>
      </c>
      <c r="L1139" s="59" t="n">
        <v>0.285714285714286</v>
      </c>
      <c r="M1139" s="57" t="n">
        <v>0</v>
      </c>
      <c r="N1139" s="57" t="n">
        <v>1</v>
      </c>
      <c r="O1139" s="60" t="n">
        <v>14</v>
      </c>
      <c r="P1139" s="55" t="s">
        <v>328</v>
      </c>
      <c r="Q1139" s="57" t="n">
        <v>6</v>
      </c>
      <c r="R1139" s="60" t="n">
        <f aca="false">IF(BT1139=1,0,IFERROR(VLOOKUP(BR1139,'Gebinde-Kategorie'!$A$5:$M$45,13,0)+0,0))</f>
        <v>52</v>
      </c>
      <c r="S1139" s="61"/>
      <c r="T1139" s="62"/>
      <c r="U1139" s="62"/>
      <c r="V1139" s="62"/>
      <c r="W1139" s="55"/>
      <c r="X1139" s="57"/>
      <c r="Y1139" s="57"/>
      <c r="Z1139" s="55" t="n">
        <f aca="false">IF(A1139="","",IF(AND(Parameter!$B$21="Ja",ISNUMBER(W1139)),W1139,IF(BV1139="2+3",IF(ISNUMBER(SEARCH("grosser Artikel",BO1139)),2,IFERROR(VLOOKUP(BR1139,Parameter!$F$35:$G$64,2,0),2)),IF(OR(BV1139="Nein",BV1139=""),"-",BV1139))))</f>
        <v>3</v>
      </c>
      <c r="AA1139" s="62"/>
      <c r="AB1139" s="63"/>
      <c r="AC1139" s="57" t="n">
        <f aca="false">AR1139</f>
        <v>6</v>
      </c>
      <c r="AD1139" s="57" t="n">
        <f aca="false">MAX(AR1139,H1139)</f>
        <v>6</v>
      </c>
      <c r="AE1139" s="64"/>
      <c r="AF1139" s="57" t="n">
        <f aca="false">IF(LEFT(Cockpit!$C$5,1)="A",H1139,IF(CA1139=1,CB1139,IF(LEFT(Cockpit!$C$5,1)="B",AJ1139,MAX(AJ1139,H1139))))</f>
        <v>3</v>
      </c>
      <c r="AG1139" s="57" t="n">
        <f aca="false">IF(BT1139=1,0,ROUNDUP(AF1139/BS1139,0))</f>
        <v>1</v>
      </c>
      <c r="AH1139" s="59" t="n">
        <f aca="false">IF(CH1139&gt;0,CH1139*MAX(1,AF1139/X1139),IF(BT1139=1,IF(AF1139&lt;=0,0,BW1139*MAX(1,IF(H1139&gt;0,AF1139/H1139,1))),IF(R1139&gt;0,AG1139/R1139,0))/MAX(0.1,N(Parameter!$M$21)))</f>
        <v>0.0192307692307692</v>
      </c>
      <c r="AI1139" s="57" t="n">
        <f aca="false">AF1139*G1139</f>
        <v>837.03</v>
      </c>
      <c r="AJ1139" s="57" t="n">
        <f aca="false">ROUNDUP(MAX(J1139/IF(BZ1139&gt;0,BZ1139,MAX(0.1,N(Cockpit!$C$6))),CC1139)/BS1139,0)*BS1139</f>
        <v>6</v>
      </c>
      <c r="AK1139" s="58" t="n">
        <f aca="false">IF(AH1139&gt;0,J1139/AH1139,-1)</f>
        <v>52</v>
      </c>
      <c r="AL1139" s="58" t="n">
        <f aca="false">IF(AND(OR(BY1139="L1",BY1139="L23"),AH1139&gt;0),SUMIFS($AH$7:$AH$1843,$BY$7:$BY$1843,BY1139,$AK$7:$AK$1843,"&gt;"&amp;AK1139)+SUMIFS($AH$7:$AH$1843,$BY$7:$BY$1843,BY1139,$AK$7:$AK$1843,AK1139,$BQ$7:$BQ$1843,"&lt;="&amp;BQ1139),"")</f>
        <v>44.6260599304078</v>
      </c>
      <c r="AM1139" s="65" t="n">
        <f aca="false">IF(AL1139="",0,MAX(0,MIN(1,(IF(BY1139="L1",Parameter!$E$5,Parameter!$E$6+Parameter!$E$7)-(AL1139-AH1139))/AH1139)))</f>
        <v>1</v>
      </c>
      <c r="AN1139" s="57" t="n">
        <f aca="false">IF(LEFT(Cockpit!$I$5,1)="A",H1139,IF(CA1139=1,CB1139,IF(LEFT(Cockpit!$I$5,1)="B",AR1139,MAX(AR1139,H1139))))</f>
        <v>6</v>
      </c>
      <c r="AO1139" s="57" t="n">
        <f aca="false">IF(BT1139=1,0,ROUNDUP(AN1139/BS1139,0))</f>
        <v>1</v>
      </c>
      <c r="AP1139" s="59" t="n">
        <f aca="false">IF(CH1139&gt;0,CH1139*MAX(1,AN1139/X1139),IF(BT1139=1,IF(AN1139&lt;=0,0,BW1139*MAX(1,IF(H1139&gt;0,AN1139/H1139,1))),IF(R1139&gt;0,AO1139/R1139,0))/MAX(0.1,N(Parameter!$M$21)))</f>
        <v>0.0192307692307692</v>
      </c>
      <c r="AQ1139" s="57" t="n">
        <f aca="false">AN1139*G1139</f>
        <v>1674.06</v>
      </c>
      <c r="AR1139" s="57" t="n">
        <f aca="false">ROUNDUP(MAX(J1139/IF(BZ1139&gt;0,BZ1139,MAX(0.1,N(Cockpit!$I$6))),CC1139)/BS1139,0)*BS1139</f>
        <v>6</v>
      </c>
      <c r="AS1139" s="58" t="n">
        <f aca="false">IF(AP1139&gt;0,J1139/AP1139,-1)</f>
        <v>52</v>
      </c>
      <c r="AT1139" s="58" t="n">
        <f aca="false">IF(AND(OR(BY1139="L1",BY1139="L23"),AP1139&gt;0),SUMIFS($AP$7:$AP$1843,$BY$7:$BY$1843,BY1139,$AS$7:$AS$1843,"&gt;"&amp;AS1139)+SUMIFS($AP$7:$AP$1843,$BY$7:$BY$1843,BY1139,$AS$7:$AS$1843,AS1139,$BQ$7:$BQ$1843,"&lt;="&amp;BQ1139),"")</f>
        <v>67.5694148846323</v>
      </c>
      <c r="AU1139" s="65" t="n">
        <f aca="false">IF(AT1139="",0,MAX(0,MIN(1,(IF(BY1139="L1",Parameter!$E$5,Parameter!$E$6+Parameter!$E$7)-(AT1139-AP1139))/AP1139)))</f>
        <v>1</v>
      </c>
      <c r="AV1139" s="57" t="n">
        <f aca="false">IF(LEFT(Cockpit!$O$5,1)="A",H1139,IF(CA1139=1,CB1139,IF(LEFT(Cockpit!$O$5,1)="B",AZ1139,MAX(AZ1139,H1139))))</f>
        <v>6</v>
      </c>
      <c r="AW1139" s="57" t="n">
        <f aca="false">IF(BT1139=1,0,ROUNDUP(AV1139/BS1139,0))</f>
        <v>1</v>
      </c>
      <c r="AX1139" s="59" t="n">
        <f aca="false">IF(CH1139&gt;0,CH1139*MAX(1,AV1139/X1139),IF(BT1139=1,IF(AV1139&lt;=0,0,BW1139*MAX(1,IF(H1139&gt;0,AV1139/H1139,1))),IF(R1139&gt;0,AW1139/R1139,0))/MAX(0.1,N(Parameter!$M$21)))</f>
        <v>0.0192307692307692</v>
      </c>
      <c r="AY1139" s="57" t="n">
        <f aca="false">AV1139*G1139</f>
        <v>1674.06</v>
      </c>
      <c r="AZ1139" s="57" t="n">
        <f aca="false">ROUNDUP(MAX(J1139/IF(BZ1139&gt;0,BZ1139,MAX(0.1,N(Cockpit!$O$6))),CC1139)/BS1139,0)*BS1139</f>
        <v>6</v>
      </c>
      <c r="BA1139" s="58" t="n">
        <f aca="false">IF(AX1139&gt;0,J1139/AX1139,-1)</f>
        <v>52</v>
      </c>
      <c r="BB1139" s="58" t="n">
        <f aca="false">IF(AND(OR(BY1139="L1",BY1139="L23"),AX1139&gt;0),SUMIFS($AX$7:$AX$1843,$BY$7:$BY$1843,BY1139,$BA$7:$BA$1843,"&gt;"&amp;BA1139)+SUMIFS($AX$7:$AX$1843,$BY$7:$BY$1843,BY1139,$BA$7:$BA$1843,BA1139,$BQ$7:$BQ$1843,"&lt;="&amp;BQ1139),"")</f>
        <v>62.0659183811358</v>
      </c>
      <c r="BC1139" s="65" t="n">
        <f aca="false">IF(BB1139="",0,MAX(0,MIN(1,(IF(BY1139="L1",Parameter!$E$5,Parameter!$E$6+Parameter!$E$7)-(BB1139-AX1139))/AX1139)))</f>
        <v>1</v>
      </c>
      <c r="BD1139" s="55" t="str">
        <f aca="false">IF(AH1139&lt;=0,"",IF(BY1139="Aussen","Aussenlager",IF(BY1139="-","Nicht im Lift",IF(AM1139&gt;=1,"Lift",IF(AM1139&lt;=0,"Aussenlager","teilweise")))))</f>
        <v>Lift</v>
      </c>
      <c r="BE1139" s="55" t="str">
        <f aca="false">IF(AP1139&lt;=0,"",IF(BY1139="Aussen","Aussenlager",IF(BY1139="-","Nicht im Lift",IF(AU1139&gt;=1,"Lift",IF(AU1139&lt;=0,"Aussenlager","teilweise")))))</f>
        <v>Lift</v>
      </c>
      <c r="BF1139" s="55" t="str">
        <f aca="false">IF(AX1139&lt;=0,"",IF(BY1139="Aussen","Aussenlager",IF(BY1139="-","Nicht im Lift",IF(BC1139&gt;=1,"Lift",IF(BC1139&lt;=0,"Aussenlager","teilweise")))))</f>
        <v>Lift</v>
      </c>
      <c r="BG1139" s="55" t="str">
        <f aca="false">IF(A1139="","",IF(BP1139=1,"Neu; ","")&amp;IF(AND(BP1139=0,BK1139&lt;0),"negativer Bestand (Export "&amp;BK1139&amp;"); ","")&amp;IF(J1139&lt;=0,"Kein Verbrauch; ","")&amp;IF(CH1139&gt;0,"Lift "&amp;W1139&amp;" lt. Liftbericht (Fach "&amp;X1139&amp;" Stk); ",IF(BU1139=1,"Gebinde geschätzt ("&amp;T1139&amp;"); ",IF(BT1139=1,"Lose – Tablare geschätzt; ","")))&amp;IF(H1139&gt;AR1139,"Überbestand "&amp;ROUND(H1139-AR1139,0)&amp;" Stk / CHF "&amp;ROUND((H1139-AR1139)*G1139,0)&amp;"; ","")&amp;IF(AND(CA1139=1,CB1139&lt;CC1139),"MAX &lt; MB+LG; ","")&amp;IF(AND(CG1139&gt;0,CF1139*10&gt;CG1139),"zu hoch für Tablar; ","")&amp;IF(AND(BP1139=0,OR(CA1139=1,AA1139&lt;&gt;"",U1139&lt;&gt;"",V1139&lt;&gt;"",AB1139&lt;&gt;"")),"manuell übersteuert; ","")&amp;IF(AND(BT1139=0,R1139=0),"Gebinde unbekannt / Stellmass fehlt; ","")&amp;IF(AND(BT1139=0,N(V1139)&lt;=0,N(Q1139)&lt;=0),"Menge pro Gebinde fehlt (Ist = 1 Gebinde); ","")&amp;BO1139)</f>
        <v>negativer Bestand (Export -1); </v>
      </c>
      <c r="BH1139" s="55"/>
      <c r="BI1139" s="55"/>
      <c r="BJ1139" s="62"/>
      <c r="BK1139" s="57" t="n">
        <v>-1</v>
      </c>
      <c r="BL1139" s="57" t="n">
        <v>4</v>
      </c>
      <c r="BM1139" s="56" t="n">
        <v>-279.01</v>
      </c>
      <c r="BN1139" s="57" t="n">
        <v>1</v>
      </c>
      <c r="BO1139" s="55"/>
      <c r="BP1139" s="60" t="n">
        <v>0</v>
      </c>
      <c r="BQ1139" s="60" t="n">
        <v>1139</v>
      </c>
      <c r="BR1139" s="55" t="str">
        <f aca="false">IF(U1139&lt;&gt;"",UPPER(TRIM(U1139)),IF(BU1139=1,UPPER(VLOOKUP(T1139,Parameter!$I$27:$K$29,2,0)),IF(P1139="","LOSE",P1139)))</f>
        <v>S41</v>
      </c>
      <c r="BS1139" s="57" t="n">
        <f aca="false">IF(BR1139="LOSE",1,IF(N(V1139)&gt;0,V1139,IF(BU1139=1,MAX(1,N(VLOOKUP(T1139,Parameter!$I$27:$K$29,3,0)),H1139,N(N1139)),IF(N(Q1139)&gt;0,Q1139,MAX(1,H1139)))))</f>
        <v>6</v>
      </c>
      <c r="BT1139" s="60" t="n">
        <f aca="false">IF(BR1139="LOSE",1,0)</f>
        <v>0</v>
      </c>
      <c r="BU1139" s="60" t="n">
        <f aca="false">IF(AND(U1139="",OR(P1139="",P1139="LOSE"),T1139&lt;&gt;"",N(S1139)&lt;=0,ISNUMBER(MATCH(T1139,Parameter!$I$27:$I$29,0))),1,0)</f>
        <v>0</v>
      </c>
      <c r="BV1139" s="55" t="str">
        <f aca="false">IF(AND(Parameter!$B$19="Ja",E1139&lt;&gt;"",ISNUMBER(MATCH(E1139,Parameter!$I$35:$I$52,0))),VLOOKUP(E1139,Parameter!$I$35:$J$52,2,0),IFERROR(VLOOKUP(D1139,Parameter!$A$35:$C$64,2,0),"Nein"))</f>
        <v>2+3</v>
      </c>
      <c r="BW1139" s="59" t="n">
        <f aca="false">IF(BT1139=0,0,IF(N(S1139)&gt;0,S1139,IFERROR(VLOOKUP(D1139,Parameter!$A$35:$C$64,3,0)+0,0)))</f>
        <v>0</v>
      </c>
      <c r="BX1139" s="55" t="n">
        <f aca="false">IF(AA1139&lt;&gt;"",AA1139,Z1139)</f>
        <v>3</v>
      </c>
      <c r="BY1139" s="55" t="str">
        <f aca="false">IF(BX1139=1,"L1",IF(OR(BX1139=2,BX1139=3),"L23",IF(BX1139="Aussen","Aussen","-")))</f>
        <v>L23</v>
      </c>
      <c r="BZ1139" s="66" t="n">
        <f aca="false">IF(N(AB1139)&gt;0,AB1139,0)</f>
        <v>0</v>
      </c>
      <c r="CA1139" s="60" t="n">
        <f aca="false">IF(ISNUMBER(AE1139),1,0)</f>
        <v>0</v>
      </c>
      <c r="CB1139" s="57" t="n">
        <f aca="false">N(AE1139)</f>
        <v>0</v>
      </c>
      <c r="CC1139" s="57" t="n">
        <f aca="false">N(M1139)+N(N1139)</f>
        <v>1</v>
      </c>
      <c r="CD1139" s="57" t="n">
        <f aca="false">ROUNDUP(H1139/BS1139,0)</f>
        <v>1</v>
      </c>
      <c r="CE1139" s="57" t="n">
        <f aca="false">ROUNDUP(CB1139/BS1139,0)</f>
        <v>0</v>
      </c>
      <c r="CF1139" s="60" t="n">
        <f aca="false">IF(BT1139=1,0,IFERROR(VLOOKUP(BR1139,'Gebinde-Kategorie'!$A$5:$M$45,5,0)+0,0))</f>
        <v>11</v>
      </c>
      <c r="CG1139" s="60" t="n">
        <f aca="false">IFERROR(IF(OR(BX1139=1,BX1139=2,BX1139=3),N(INDEX(Parameter!$I$5:$I$7,BX1139)),0),0)</f>
        <v>0</v>
      </c>
      <c r="CH1139" s="59" t="n">
        <f aca="false">IF(AND(Parameter!$B$21="Ja",ISNUMBER(W1139),N(X1139)&gt;0),IFERROR(N(INDEX(Parameter!$L$5:$L$7,W1139))*INDEX(Parameter!$E$5:$E$7,W1139)*X1139/SUMIFS($X$7:$X$1843,$W$7:$W$1843,W1139),0),0)</f>
        <v>0</v>
      </c>
    </row>
    <row r="1140" customFormat="false" ht="15" hidden="false" customHeight="false" outlineLevel="0" collapsed="false">
      <c r="A1140" s="55" t="s">
        <v>2061</v>
      </c>
      <c r="B1140" s="55" t="s">
        <v>2062</v>
      </c>
      <c r="C1140" s="55" t="s">
        <v>164</v>
      </c>
      <c r="D1140" s="55" t="s">
        <v>184</v>
      </c>
      <c r="E1140" s="55" t="s">
        <v>173</v>
      </c>
      <c r="F1140" s="55" t="s">
        <v>218</v>
      </c>
      <c r="G1140" s="56" t="n">
        <v>111.1</v>
      </c>
      <c r="H1140" s="57" t="n">
        <f aca="false">MAX(0,IF(AND(Parameter!$B$21="Ja",ISNUMBER(Y1140)),Y1140,IF(Parameter!$B$20="Jahresanfang 2025 + Export",BL1140+BK1140,BK1140)))</f>
        <v>1</v>
      </c>
      <c r="I1140" s="57" t="n">
        <f aca="false">H1140*G1140</f>
        <v>111.1</v>
      </c>
      <c r="J1140" s="57" t="n">
        <f aca="false">BN1140*Parameter!$B$18</f>
        <v>2</v>
      </c>
      <c r="K1140" s="58" t="n">
        <v>3</v>
      </c>
      <c r="L1140" s="59" t="n">
        <v>0.666666666666667</v>
      </c>
      <c r="M1140" s="57" t="n">
        <v>0</v>
      </c>
      <c r="N1140" s="57" t="n">
        <v>1</v>
      </c>
      <c r="O1140" s="60" t="n">
        <v>28</v>
      </c>
      <c r="P1140" s="55" t="s">
        <v>421</v>
      </c>
      <c r="Q1140" s="57" t="n">
        <v>3</v>
      </c>
      <c r="R1140" s="60" t="n">
        <f aca="false">IF(BT1140=1,0,IFERROR(VLOOKUP(BR1140,'Gebinde-Kategorie'!$A$5:$M$45,13,0)+0,0))</f>
        <v>132</v>
      </c>
      <c r="S1140" s="61"/>
      <c r="T1140" s="62"/>
      <c r="U1140" s="62"/>
      <c r="V1140" s="62"/>
      <c r="W1140" s="55"/>
      <c r="X1140" s="57"/>
      <c r="Y1140" s="57"/>
      <c r="Z1140" s="55" t="str">
        <f aca="false">IF(A1140="","",IF(AND(Parameter!$B$21="Ja",ISNUMBER(W1140)),W1140,IF(BV1140="2+3",IF(ISNUMBER(SEARCH("grosser Artikel",BO1140)),2,IFERROR(VLOOKUP(BR1140,Parameter!$F$35:$G$64,2,0),2)),IF(OR(BV1140="Nein",BV1140=""),"-",BV1140))))</f>
        <v>-</v>
      </c>
      <c r="AA1140" s="62"/>
      <c r="AB1140" s="63"/>
      <c r="AC1140" s="57" t="n">
        <f aca="false">AR1140</f>
        <v>3</v>
      </c>
      <c r="AD1140" s="57" t="n">
        <f aca="false">MAX(AR1140,H1140)</f>
        <v>3</v>
      </c>
      <c r="AE1140" s="64"/>
      <c r="AF1140" s="57" t="n">
        <f aca="false">IF(LEFT(Cockpit!$C$5,1)="A",H1140,IF(CA1140=1,CB1140,IF(LEFT(Cockpit!$C$5,1)="B",AJ1140,MAX(AJ1140,H1140))))</f>
        <v>1</v>
      </c>
      <c r="AG1140" s="57" t="n">
        <f aca="false">IF(BT1140=1,0,ROUNDUP(AF1140/BS1140,0))</f>
        <v>1</v>
      </c>
      <c r="AH1140" s="59" t="n">
        <f aca="false">IF(CH1140&gt;0,CH1140*MAX(1,AF1140/X1140),IF(BT1140=1,IF(AF1140&lt;=0,0,BW1140*MAX(1,IF(H1140&gt;0,AF1140/H1140,1))),IF(R1140&gt;0,AG1140/R1140,0))/MAX(0.1,N(Parameter!$M$21)))</f>
        <v>0.00757575757575758</v>
      </c>
      <c r="AI1140" s="57" t="n">
        <f aca="false">AF1140*G1140</f>
        <v>111.1</v>
      </c>
      <c r="AJ1140" s="57" t="n">
        <f aca="false">ROUNDUP(MAX(J1140/IF(BZ1140&gt;0,BZ1140,MAX(0.1,N(Cockpit!$C$6))),CC1140)/BS1140,0)*BS1140</f>
        <v>3</v>
      </c>
      <c r="AK1140" s="58" t="n">
        <f aca="false">IF(AH1140&gt;0,J1140/AH1140,-1)</f>
        <v>264</v>
      </c>
      <c r="AL1140" s="58" t="str">
        <f aca="false">IF(AND(OR(BY1140="L1",BY1140="L23"),AH1140&gt;0),SUMIFS($AH$7:$AH$1843,$BY$7:$BY$1843,BY1140,$AK$7:$AK$1843,"&gt;"&amp;AK1140)+SUMIFS($AH$7:$AH$1843,$BY$7:$BY$1843,BY1140,$AK$7:$AK$1843,AK1140,$BQ$7:$BQ$1843,"&lt;="&amp;BQ1140),"")</f>
        <v/>
      </c>
      <c r="AM1140" s="65" t="n">
        <f aca="false">IF(AL1140="",0,MAX(0,MIN(1,(IF(BY1140="L1",Parameter!$E$5,Parameter!$E$6+Parameter!$E$7)-(AL1140-AH1140))/AH1140)))</f>
        <v>0</v>
      </c>
      <c r="AN1140" s="57" t="n">
        <f aca="false">IF(LEFT(Cockpit!$I$5,1)="A",H1140,IF(CA1140=1,CB1140,IF(LEFT(Cockpit!$I$5,1)="B",AR1140,MAX(AR1140,H1140))))</f>
        <v>3</v>
      </c>
      <c r="AO1140" s="57" t="n">
        <f aca="false">IF(BT1140=1,0,ROUNDUP(AN1140/BS1140,0))</f>
        <v>1</v>
      </c>
      <c r="AP1140" s="59" t="n">
        <f aca="false">IF(CH1140&gt;0,CH1140*MAX(1,AN1140/X1140),IF(BT1140=1,IF(AN1140&lt;=0,0,BW1140*MAX(1,IF(H1140&gt;0,AN1140/H1140,1))),IF(R1140&gt;0,AO1140/R1140,0))/MAX(0.1,N(Parameter!$M$21)))</f>
        <v>0.00757575757575758</v>
      </c>
      <c r="AQ1140" s="57" t="n">
        <f aca="false">AN1140*G1140</f>
        <v>333.3</v>
      </c>
      <c r="AR1140" s="57" t="n">
        <f aca="false">ROUNDUP(MAX(J1140/IF(BZ1140&gt;0,BZ1140,MAX(0.1,N(Cockpit!$I$6))),CC1140)/BS1140,0)*BS1140</f>
        <v>3</v>
      </c>
      <c r="AS1140" s="58" t="n">
        <f aca="false">IF(AP1140&gt;0,J1140/AP1140,-1)</f>
        <v>264</v>
      </c>
      <c r="AT1140" s="58" t="str">
        <f aca="false">IF(AND(OR(BY1140="L1",BY1140="L23"),AP1140&gt;0),SUMIFS($AP$7:$AP$1843,$BY$7:$BY$1843,BY1140,$AS$7:$AS$1843,"&gt;"&amp;AS1140)+SUMIFS($AP$7:$AP$1843,$BY$7:$BY$1843,BY1140,$AS$7:$AS$1843,AS1140,$BQ$7:$BQ$1843,"&lt;="&amp;BQ1140),"")</f>
        <v/>
      </c>
      <c r="AU1140" s="65" t="n">
        <f aca="false">IF(AT1140="",0,MAX(0,MIN(1,(IF(BY1140="L1",Parameter!$E$5,Parameter!$E$6+Parameter!$E$7)-(AT1140-AP1140))/AP1140)))</f>
        <v>0</v>
      </c>
      <c r="AV1140" s="57" t="n">
        <f aca="false">IF(LEFT(Cockpit!$O$5,1)="A",H1140,IF(CA1140=1,CB1140,IF(LEFT(Cockpit!$O$5,1)="B",AZ1140,MAX(AZ1140,H1140))))</f>
        <v>3</v>
      </c>
      <c r="AW1140" s="57" t="n">
        <f aca="false">IF(BT1140=1,0,ROUNDUP(AV1140/BS1140,0))</f>
        <v>1</v>
      </c>
      <c r="AX1140" s="59" t="n">
        <f aca="false">IF(CH1140&gt;0,CH1140*MAX(1,AV1140/X1140),IF(BT1140=1,IF(AV1140&lt;=0,0,BW1140*MAX(1,IF(H1140&gt;0,AV1140/H1140,1))),IF(R1140&gt;0,AW1140/R1140,0))/MAX(0.1,N(Parameter!$M$21)))</f>
        <v>0.00757575757575758</v>
      </c>
      <c r="AY1140" s="57" t="n">
        <f aca="false">AV1140*G1140</f>
        <v>333.3</v>
      </c>
      <c r="AZ1140" s="57" t="n">
        <f aca="false">ROUNDUP(MAX(J1140/IF(BZ1140&gt;0,BZ1140,MAX(0.1,N(Cockpit!$O$6))),CC1140)/BS1140,0)*BS1140</f>
        <v>3</v>
      </c>
      <c r="BA1140" s="58" t="n">
        <f aca="false">IF(AX1140&gt;0,J1140/AX1140,-1)</f>
        <v>264</v>
      </c>
      <c r="BB1140" s="58" t="str">
        <f aca="false">IF(AND(OR(BY1140="L1",BY1140="L23"),AX1140&gt;0),SUMIFS($AX$7:$AX$1843,$BY$7:$BY$1843,BY1140,$BA$7:$BA$1843,"&gt;"&amp;BA1140)+SUMIFS($AX$7:$AX$1843,$BY$7:$BY$1843,BY1140,$BA$7:$BA$1843,BA1140,$BQ$7:$BQ$1843,"&lt;="&amp;BQ1140),"")</f>
        <v/>
      </c>
      <c r="BC1140" s="65" t="n">
        <f aca="false">IF(BB1140="",0,MAX(0,MIN(1,(IF(BY1140="L1",Parameter!$E$5,Parameter!$E$6+Parameter!$E$7)-(BB1140-AX1140))/AX1140)))</f>
        <v>0</v>
      </c>
      <c r="BD1140" s="55" t="str">
        <f aca="false">IF(AH1140&lt;=0,"",IF(BY1140="Aussen","Aussenlager",IF(BY1140="-","Nicht im Lift",IF(AM1140&gt;=1,"Lift",IF(AM1140&lt;=0,"Aussenlager","teilweise")))))</f>
        <v>Nicht im Lift</v>
      </c>
      <c r="BE1140" s="55" t="str">
        <f aca="false">IF(AP1140&lt;=0,"",IF(BY1140="Aussen","Aussenlager",IF(BY1140="-","Nicht im Lift",IF(AU1140&gt;=1,"Lift",IF(AU1140&lt;=0,"Aussenlager","teilweise")))))</f>
        <v>Nicht im Lift</v>
      </c>
      <c r="BF1140" s="55" t="str">
        <f aca="false">IF(AX1140&lt;=0,"",IF(BY1140="Aussen","Aussenlager",IF(BY1140="-","Nicht im Lift",IF(BC1140&gt;=1,"Lift",IF(BC1140&lt;=0,"Aussenlager","teilweise")))))</f>
        <v>Nicht im Lift</v>
      </c>
      <c r="BG1140" s="55" t="str">
        <f aca="false">IF(A1140="","",IF(BP1140=1,"Neu; ","")&amp;IF(AND(BP1140=0,BK1140&lt;0),"negativer Bestand (Export "&amp;BK1140&amp;"); ","")&amp;IF(J1140&lt;=0,"Kein Verbrauch; ","")&amp;IF(CH1140&gt;0,"Lift "&amp;W1140&amp;" lt. Liftbericht (Fach "&amp;X1140&amp;" Stk); ",IF(BU1140=1,"Gebinde geschätzt ("&amp;T1140&amp;"); ",IF(BT1140=1,"Lose – Tablare geschätzt; ","")))&amp;IF(H1140&gt;AR1140,"Überbestand "&amp;ROUND(H1140-AR1140,0)&amp;" Stk / CHF "&amp;ROUND((H1140-AR1140)*G1140,0)&amp;"; ","")&amp;IF(AND(CA1140=1,CB1140&lt;CC1140),"MAX &lt; MB+LG; ","")&amp;IF(AND(CG1140&gt;0,CF1140*10&gt;CG1140),"zu hoch für Tablar; ","")&amp;IF(AND(BP1140=0,OR(CA1140=1,AA1140&lt;&gt;"",U1140&lt;&gt;"",V1140&lt;&gt;"",AB1140&lt;&gt;"")),"manuell übersteuert; ","")&amp;IF(AND(BT1140=0,R1140=0),"Gebinde unbekannt / Stellmass fehlt; ","")&amp;IF(AND(BT1140=0,N(V1140)&lt;=0,N(Q1140)&lt;=0),"Menge pro Gebinde fehlt (Ist = 1 Gebinde); ","")&amp;BO1140)</f>
        <v>negativer Bestand (Export -3); Neu</v>
      </c>
      <c r="BH1140" s="55"/>
      <c r="BI1140" s="55"/>
      <c r="BJ1140" s="62"/>
      <c r="BK1140" s="57" t="n">
        <v>-3</v>
      </c>
      <c r="BL1140" s="57" t="n">
        <v>4</v>
      </c>
      <c r="BM1140" s="56" t="n">
        <v>-286.62</v>
      </c>
      <c r="BN1140" s="57" t="n">
        <v>2</v>
      </c>
      <c r="BO1140" s="55" t="s">
        <v>626</v>
      </c>
      <c r="BP1140" s="60" t="n">
        <v>0</v>
      </c>
      <c r="BQ1140" s="60" t="n">
        <v>1140</v>
      </c>
      <c r="BR1140" s="55" t="str">
        <f aca="false">IF(U1140&lt;&gt;"",UPPER(TRIM(U1140)),IF(BU1140=1,UPPER(VLOOKUP(T1140,Parameter!$I$27:$K$29,2,0)),IF(P1140="","LOSE",P1140)))</f>
        <v>S32</v>
      </c>
      <c r="BS1140" s="57" t="n">
        <f aca="false">IF(BR1140="LOSE",1,IF(N(V1140)&gt;0,V1140,IF(BU1140=1,MAX(1,N(VLOOKUP(T1140,Parameter!$I$27:$K$29,3,0)),H1140,N(N1140)),IF(N(Q1140)&gt;0,Q1140,MAX(1,H1140)))))</f>
        <v>3</v>
      </c>
      <c r="BT1140" s="60" t="n">
        <f aca="false">IF(BR1140="LOSE",1,0)</f>
        <v>0</v>
      </c>
      <c r="BU1140" s="60" t="n">
        <f aca="false">IF(AND(U1140="",OR(P1140="",P1140="LOSE"),T1140&lt;&gt;"",N(S1140)&lt;=0,ISNUMBER(MATCH(T1140,Parameter!$I$27:$I$29,0))),1,0)</f>
        <v>0</v>
      </c>
      <c r="BV1140" s="55" t="str">
        <f aca="false">IF(AND(Parameter!$B$19="Ja",E1140&lt;&gt;"",ISNUMBER(MATCH(E1140,Parameter!$I$35:$I$52,0))),VLOOKUP(E1140,Parameter!$I$35:$J$52,2,0),IFERROR(VLOOKUP(D1140,Parameter!$A$35:$C$64,2,0),"Nein"))</f>
        <v>Nein</v>
      </c>
      <c r="BW1140" s="59" t="n">
        <f aca="false">IF(BT1140=0,0,IF(N(S1140)&gt;0,S1140,IFERROR(VLOOKUP(D1140,Parameter!$A$35:$C$64,3,0)+0,0)))</f>
        <v>0</v>
      </c>
      <c r="BX1140" s="55" t="str">
        <f aca="false">IF(AA1140&lt;&gt;"",AA1140,Z1140)</f>
        <v>-</v>
      </c>
      <c r="BY1140" s="55" t="str">
        <f aca="false">IF(BX1140=1,"L1",IF(OR(BX1140=2,BX1140=3),"L23",IF(BX1140="Aussen","Aussen","-")))</f>
        <v>-</v>
      </c>
      <c r="BZ1140" s="66" t="n">
        <f aca="false">IF(N(AB1140)&gt;0,AB1140,0)</f>
        <v>0</v>
      </c>
      <c r="CA1140" s="60" t="n">
        <f aca="false">IF(ISNUMBER(AE1140),1,0)</f>
        <v>0</v>
      </c>
      <c r="CB1140" s="57" t="n">
        <f aca="false">N(AE1140)</f>
        <v>0</v>
      </c>
      <c r="CC1140" s="57" t="n">
        <f aca="false">N(M1140)+N(N1140)</f>
        <v>1</v>
      </c>
      <c r="CD1140" s="57" t="n">
        <f aca="false">ROUNDUP(H1140/BS1140,0)</f>
        <v>1</v>
      </c>
      <c r="CE1140" s="57" t="n">
        <f aca="false">ROUNDUP(CB1140/BS1140,0)</f>
        <v>0</v>
      </c>
      <c r="CF1140" s="60" t="n">
        <f aca="false">IF(BT1140=1,0,IFERROR(VLOOKUP(BR1140,'Gebinde-Kategorie'!$A$5:$M$45,5,0)+0,0))</f>
        <v>8</v>
      </c>
      <c r="CG1140" s="60" t="n">
        <f aca="false">IFERROR(IF(OR(BX1140=1,BX1140=2,BX1140=3),N(INDEX(Parameter!$I$5:$I$7,BX1140)),0),0)</f>
        <v>0</v>
      </c>
      <c r="CH1140" s="59" t="n">
        <f aca="false">IF(AND(Parameter!$B$21="Ja",ISNUMBER(W1140),N(X1140)&gt;0),IFERROR(N(INDEX(Parameter!$L$5:$L$7,W1140))*INDEX(Parameter!$E$5:$E$7,W1140)*X1140/SUMIFS($X$7:$X$1843,$W$7:$W$1843,W1140),0),0)</f>
        <v>0</v>
      </c>
    </row>
    <row r="1141" customFormat="false" ht="15" hidden="false" customHeight="false" outlineLevel="0" collapsed="false">
      <c r="A1141" s="55" t="s">
        <v>2063</v>
      </c>
      <c r="B1141" s="55" t="s">
        <v>2064</v>
      </c>
      <c r="C1141" s="55" t="s">
        <v>164</v>
      </c>
      <c r="D1141" s="55" t="s">
        <v>184</v>
      </c>
      <c r="E1141" s="55"/>
      <c r="F1141" s="55" t="s">
        <v>218</v>
      </c>
      <c r="G1141" s="56" t="n">
        <v>101.35</v>
      </c>
      <c r="H1141" s="57" t="n">
        <f aca="false">MAX(0,IF(AND(Parameter!$B$21="Ja",ISNUMBER(Y1141)),Y1141,IF(Parameter!$B$20="Jahresanfang 2025 + Export",BL1141+BK1141,BK1141)))</f>
        <v>1</v>
      </c>
      <c r="I1141" s="57" t="n">
        <f aca="false">H1141*G1141</f>
        <v>101.35</v>
      </c>
      <c r="J1141" s="57" t="n">
        <f aca="false">BN1141*Parameter!$B$18</f>
        <v>6</v>
      </c>
      <c r="K1141" s="58" t="n">
        <v>3.5</v>
      </c>
      <c r="L1141" s="59" t="n">
        <v>1.71428571428571</v>
      </c>
      <c r="M1141" s="57" t="n">
        <v>0</v>
      </c>
      <c r="N1141" s="57" t="n">
        <v>5</v>
      </c>
      <c r="O1141" s="60" t="n">
        <v>35</v>
      </c>
      <c r="P1141" s="55" t="s">
        <v>168</v>
      </c>
      <c r="Q1141" s="57"/>
      <c r="R1141" s="60" t="n">
        <f aca="false">IF(BT1141=1,0,IFERROR(VLOOKUP(BR1141,'Gebinde-Kategorie'!$A$5:$M$45,13,0)+0,0))</f>
        <v>26</v>
      </c>
      <c r="S1141" s="61"/>
      <c r="T1141" s="62" t="s">
        <v>275</v>
      </c>
      <c r="U1141" s="62"/>
      <c r="V1141" s="62"/>
      <c r="W1141" s="55"/>
      <c r="X1141" s="57"/>
      <c r="Y1141" s="57"/>
      <c r="Z1141" s="55" t="n">
        <f aca="false">IF(A1141="","",IF(AND(Parameter!$B$21="Ja",ISNUMBER(W1141)),W1141,IF(BV1141="2+3",IF(ISNUMBER(SEARCH("grosser Artikel",BO1141)),2,IFERROR(VLOOKUP(BR1141,Parameter!$F$35:$G$64,2,0),2)),IF(OR(BV1141="Nein",BV1141=""),"-",BV1141))))</f>
        <v>3</v>
      </c>
      <c r="AA1141" s="62"/>
      <c r="AB1141" s="63"/>
      <c r="AC1141" s="57" t="n">
        <f aca="false">AR1141</f>
        <v>20</v>
      </c>
      <c r="AD1141" s="57" t="n">
        <f aca="false">MAX(AR1141,H1141)</f>
        <v>20</v>
      </c>
      <c r="AE1141" s="64"/>
      <c r="AF1141" s="57" t="n">
        <f aca="false">IF(LEFT(Cockpit!$C$5,1)="A",H1141,IF(CA1141=1,CB1141,IF(LEFT(Cockpit!$C$5,1)="B",AJ1141,MAX(AJ1141,H1141))))</f>
        <v>1</v>
      </c>
      <c r="AG1141" s="57" t="n">
        <f aca="false">IF(BT1141=1,0,ROUNDUP(AF1141/BS1141,0))</f>
        <v>1</v>
      </c>
      <c r="AH1141" s="59" t="n">
        <f aca="false">IF(CH1141&gt;0,CH1141*MAX(1,AF1141/X1141),IF(BT1141=1,IF(AF1141&lt;=0,0,BW1141*MAX(1,IF(H1141&gt;0,AF1141/H1141,1))),IF(R1141&gt;0,AG1141/R1141,0))/MAX(0.1,N(Parameter!$M$21)))</f>
        <v>0.0384615384615385</v>
      </c>
      <c r="AI1141" s="57" t="n">
        <f aca="false">AF1141*G1141</f>
        <v>101.35</v>
      </c>
      <c r="AJ1141" s="57" t="n">
        <f aca="false">ROUNDUP(MAX(J1141/IF(BZ1141&gt;0,BZ1141,MAX(0.1,N(Cockpit!$C$6))),CC1141)/BS1141,0)*BS1141</f>
        <v>20</v>
      </c>
      <c r="AK1141" s="58" t="n">
        <f aca="false">IF(AH1141&gt;0,J1141/AH1141,-1)</f>
        <v>156</v>
      </c>
      <c r="AL1141" s="58" t="n">
        <f aca="false">IF(AND(OR(BY1141="L1",BY1141="L23"),AH1141&gt;0),SUMIFS($AH$7:$AH$1843,$BY$7:$BY$1843,BY1141,$AK$7:$AK$1843,"&gt;"&amp;AK1141)+SUMIFS($AH$7:$AH$1843,$BY$7:$BY$1843,BY1141,$AK$7:$AK$1843,AK1141,$BQ$7:$BQ$1843,"&lt;="&amp;BQ1141),"")</f>
        <v>34.7771865815344</v>
      </c>
      <c r="AM1141" s="65" t="n">
        <f aca="false">IF(AL1141="",0,MAX(0,MIN(1,(IF(BY1141="L1",Parameter!$E$5,Parameter!$E$6+Parameter!$E$7)-(AL1141-AH1141))/AH1141)))</f>
        <v>1</v>
      </c>
      <c r="AN1141" s="57" t="n">
        <f aca="false">IF(LEFT(Cockpit!$I$5,1)="A",H1141,IF(CA1141=1,CB1141,IF(LEFT(Cockpit!$I$5,1)="B",AR1141,MAX(AR1141,H1141))))</f>
        <v>20</v>
      </c>
      <c r="AO1141" s="57" t="n">
        <f aca="false">IF(BT1141=1,0,ROUNDUP(AN1141/BS1141,0))</f>
        <v>1</v>
      </c>
      <c r="AP1141" s="59" t="n">
        <f aca="false">IF(CH1141&gt;0,CH1141*MAX(1,AN1141/X1141),IF(BT1141=1,IF(AN1141&lt;=0,0,BW1141*MAX(1,IF(H1141&gt;0,AN1141/H1141,1))),IF(R1141&gt;0,AO1141/R1141,0))/MAX(0.1,N(Parameter!$M$21)))</f>
        <v>0.0384615384615385</v>
      </c>
      <c r="AQ1141" s="57" t="n">
        <f aca="false">AN1141*G1141</f>
        <v>2027</v>
      </c>
      <c r="AR1141" s="57" t="n">
        <f aca="false">ROUNDUP(MAX(J1141/IF(BZ1141&gt;0,BZ1141,MAX(0.1,N(Cockpit!$I$6))),CC1141)/BS1141,0)*BS1141</f>
        <v>20</v>
      </c>
      <c r="AS1141" s="58" t="n">
        <f aca="false">IF(AP1141&gt;0,J1141/AP1141,-1)</f>
        <v>156</v>
      </c>
      <c r="AT1141" s="58" t="n">
        <f aca="false">IF(AND(OR(BY1141="L1",BY1141="L23"),AP1141&gt;0),SUMIFS($AP$7:$AP$1843,$BY$7:$BY$1843,BY1141,$AS$7:$AS$1843,"&gt;"&amp;AS1141)+SUMIFS($AP$7:$AP$1843,$BY$7:$BY$1843,BY1141,$AS$7:$AS$1843,AS1141,$BQ$7:$BQ$1843,"&lt;="&amp;BQ1141),"")</f>
        <v>49.0672781324955</v>
      </c>
      <c r="AU1141" s="65" t="n">
        <f aca="false">IF(AT1141="",0,MAX(0,MIN(1,(IF(BY1141="L1",Parameter!$E$5,Parameter!$E$6+Parameter!$E$7)-(AT1141-AP1141))/AP1141)))</f>
        <v>1</v>
      </c>
      <c r="AV1141" s="57" t="n">
        <f aca="false">IF(LEFT(Cockpit!$O$5,1)="A",H1141,IF(CA1141=1,CB1141,IF(LEFT(Cockpit!$O$5,1)="B",AZ1141,MAX(AZ1141,H1141))))</f>
        <v>20</v>
      </c>
      <c r="AW1141" s="57" t="n">
        <f aca="false">IF(BT1141=1,0,ROUNDUP(AV1141/BS1141,0))</f>
        <v>1</v>
      </c>
      <c r="AX1141" s="59" t="n">
        <f aca="false">IF(CH1141&gt;0,CH1141*MAX(1,AV1141/X1141),IF(BT1141=1,IF(AV1141&lt;=0,0,BW1141*MAX(1,IF(H1141&gt;0,AV1141/H1141,1))),IF(R1141&gt;0,AW1141/R1141,0))/MAX(0.1,N(Parameter!$M$21)))</f>
        <v>0.0384615384615385</v>
      </c>
      <c r="AY1141" s="57" t="n">
        <f aca="false">AV1141*G1141</f>
        <v>2027</v>
      </c>
      <c r="AZ1141" s="57" t="n">
        <f aca="false">ROUNDUP(MAX(J1141/IF(BZ1141&gt;0,BZ1141,MAX(0.1,N(Cockpit!$O$6))),CC1141)/BS1141,0)*BS1141</f>
        <v>20</v>
      </c>
      <c r="BA1141" s="58" t="n">
        <f aca="false">IF(AX1141&gt;0,J1141/AX1141,-1)</f>
        <v>156</v>
      </c>
      <c r="BB1141" s="58" t="n">
        <f aca="false">IF(AND(OR(BY1141="L1",BY1141="L23"),AX1141&gt;0),SUMIFS($AX$7:$AX$1843,$BY$7:$BY$1843,BY1141,$BA$7:$BA$1843,"&gt;"&amp;BA1141)+SUMIFS($AX$7:$AX$1843,$BY$7:$BY$1843,BY1141,$BA$7:$BA$1843,BA1141,$BQ$7:$BQ$1843,"&lt;="&amp;BQ1141),"")</f>
        <v>44.6471149623324</v>
      </c>
      <c r="BC1141" s="65" t="n">
        <f aca="false">IF(BB1141="",0,MAX(0,MIN(1,(IF(BY1141="L1",Parameter!$E$5,Parameter!$E$6+Parameter!$E$7)-(BB1141-AX1141))/AX1141)))</f>
        <v>1</v>
      </c>
      <c r="BD1141" s="55" t="str">
        <f aca="false">IF(AH1141&lt;=0,"",IF(BY1141="Aussen","Aussenlager",IF(BY1141="-","Nicht im Lift",IF(AM1141&gt;=1,"Lift",IF(AM1141&lt;=0,"Aussenlager","teilweise")))))</f>
        <v>Lift</v>
      </c>
      <c r="BE1141" s="55" t="str">
        <f aca="false">IF(AP1141&lt;=0,"",IF(BY1141="Aussen","Aussenlager",IF(BY1141="-","Nicht im Lift",IF(AU1141&gt;=1,"Lift",IF(AU1141&lt;=0,"Aussenlager","teilweise")))))</f>
        <v>Lift</v>
      </c>
      <c r="BF1141" s="55" t="str">
        <f aca="false">IF(AX1141&lt;=0,"",IF(BY1141="Aussen","Aussenlager",IF(BY1141="-","Nicht im Lift",IF(BC1141&gt;=1,"Lift",IF(BC1141&lt;=0,"Aussenlager","teilweise")))))</f>
        <v>Lift</v>
      </c>
      <c r="BG1141" s="55" t="str">
        <f aca="false">IF(A1141="","",IF(BP1141=1,"Neu; ","")&amp;IF(AND(BP1141=0,BK1141&lt;0),"negativer Bestand (Export "&amp;BK1141&amp;"); ","")&amp;IF(J1141&lt;=0,"Kein Verbrauch; ","")&amp;IF(CH1141&gt;0,"Lift "&amp;W1141&amp;" lt. Liftbericht (Fach "&amp;X1141&amp;" Stk); ",IF(BU1141=1,"Gebinde geschätzt ("&amp;T1141&amp;"); ",IF(BT1141=1,"Lose – Tablare geschätzt; ","")))&amp;IF(H1141&gt;AR1141,"Überbestand "&amp;ROUND(H1141-AR1141,0)&amp;" Stk / CHF "&amp;ROUND((H1141-AR1141)*G1141,0)&amp;"; ","")&amp;IF(AND(CA1141=1,CB1141&lt;CC1141),"MAX &lt; MB+LG; ","")&amp;IF(AND(CG1141&gt;0,CF1141*10&gt;CG1141),"zu hoch für Tablar; ","")&amp;IF(AND(BP1141=0,OR(CA1141=1,AA1141&lt;&gt;"",U1141&lt;&gt;"",V1141&lt;&gt;"",AB1141&lt;&gt;"")),"manuell übersteuert; ","")&amp;IF(AND(BT1141=0,R1141=0),"Gebinde unbekannt / Stellmass fehlt; ","")&amp;IF(AND(BT1141=0,N(V1141)&lt;=0,N(Q1141)&lt;=0),"Menge pro Gebinde fehlt (Ist = 1 Gebinde); ","")&amp;BO1141)</f>
        <v>negativer Bestand (Export -3); Gebinde geschätzt (Klein); Menge pro Gebinde fehlt (Ist = 1 Gebinde); </v>
      </c>
      <c r="BH1141" s="55"/>
      <c r="BI1141" s="55"/>
      <c r="BJ1141" s="62"/>
      <c r="BK1141" s="57" t="n">
        <v>-3</v>
      </c>
      <c r="BL1141" s="57" t="n">
        <v>4</v>
      </c>
      <c r="BM1141" s="56" t="n">
        <v>-287.21</v>
      </c>
      <c r="BN1141" s="57" t="n">
        <v>6</v>
      </c>
      <c r="BO1141" s="55"/>
      <c r="BP1141" s="60" t="n">
        <v>0</v>
      </c>
      <c r="BQ1141" s="60" t="n">
        <v>1141</v>
      </c>
      <c r="BR1141" s="55" t="str">
        <f aca="false">IF(U1141&lt;&gt;"",UPPER(TRIM(U1141)),IF(BU1141=1,UPPER(VLOOKUP(T1141,Parameter!$I$27:$K$29,2,0)),IF(P1141="","LOSE",P1141)))</f>
        <v>S51</v>
      </c>
      <c r="BS1141" s="57" t="n">
        <f aca="false">IF(BR1141="LOSE",1,IF(N(V1141)&gt;0,V1141,IF(BU1141=1,MAX(1,N(VLOOKUP(T1141,Parameter!$I$27:$K$29,3,0)),H1141,N(N1141)),IF(N(Q1141)&gt;0,Q1141,MAX(1,H1141)))))</f>
        <v>20</v>
      </c>
      <c r="BT1141" s="60" t="n">
        <f aca="false">IF(BR1141="LOSE",1,0)</f>
        <v>0</v>
      </c>
      <c r="BU1141" s="60" t="n">
        <f aca="false">IF(AND(U1141="",OR(P1141="",P1141="LOSE"),T1141&lt;&gt;"",N(S1141)&lt;=0,ISNUMBER(MATCH(T1141,Parameter!$I$27:$I$29,0))),1,0)</f>
        <v>1</v>
      </c>
      <c r="BV1141" s="55" t="str">
        <f aca="false">IF(AND(Parameter!$B$19="Ja",E1141&lt;&gt;"",ISNUMBER(MATCH(E1141,Parameter!$I$35:$I$52,0))),VLOOKUP(E1141,Parameter!$I$35:$J$52,2,0),IFERROR(VLOOKUP(D1141,Parameter!$A$35:$C$64,2,0),"Nein"))</f>
        <v>2+3</v>
      </c>
      <c r="BW1141" s="59" t="n">
        <f aca="false">IF(BT1141=0,0,IF(N(S1141)&gt;0,S1141,IFERROR(VLOOKUP(D1141,Parameter!$A$35:$C$64,3,0)+0,0)))</f>
        <v>0</v>
      </c>
      <c r="BX1141" s="55" t="n">
        <f aca="false">IF(AA1141&lt;&gt;"",AA1141,Z1141)</f>
        <v>3</v>
      </c>
      <c r="BY1141" s="55" t="str">
        <f aca="false">IF(BX1141=1,"L1",IF(OR(BX1141=2,BX1141=3),"L23",IF(BX1141="Aussen","Aussen","-")))</f>
        <v>L23</v>
      </c>
      <c r="BZ1141" s="66" t="n">
        <f aca="false">IF(N(AB1141)&gt;0,AB1141,0)</f>
        <v>0</v>
      </c>
      <c r="CA1141" s="60" t="n">
        <f aca="false">IF(ISNUMBER(AE1141),1,0)</f>
        <v>0</v>
      </c>
      <c r="CB1141" s="57" t="n">
        <f aca="false">N(AE1141)</f>
        <v>0</v>
      </c>
      <c r="CC1141" s="57" t="n">
        <f aca="false">N(M1141)+N(N1141)</f>
        <v>5</v>
      </c>
      <c r="CD1141" s="57" t="n">
        <f aca="false">ROUNDUP(H1141/BS1141,0)</f>
        <v>1</v>
      </c>
      <c r="CE1141" s="57" t="n">
        <f aca="false">ROUNDUP(CB1141/BS1141,0)</f>
        <v>0</v>
      </c>
      <c r="CF1141" s="60" t="n">
        <f aca="false">IF(BT1141=1,0,IFERROR(VLOOKUP(BR1141,'Gebinde-Kategorie'!$A$5:$M$45,5,0)+0,0))</f>
        <v>11</v>
      </c>
      <c r="CG1141" s="60" t="n">
        <f aca="false">IFERROR(IF(OR(BX1141=1,BX1141=2,BX1141=3),N(INDEX(Parameter!$I$5:$I$7,BX1141)),0),0)</f>
        <v>0</v>
      </c>
      <c r="CH1141" s="59" t="n">
        <f aca="false">IF(AND(Parameter!$B$21="Ja",ISNUMBER(W1141),N(X1141)&gt;0),IFERROR(N(INDEX(Parameter!$L$5:$L$7,W1141))*INDEX(Parameter!$E$5:$E$7,W1141)*X1141/SUMIFS($X$7:$X$1843,$W$7:$W$1843,W1141),0),0)</f>
        <v>0</v>
      </c>
    </row>
    <row r="1142" customFormat="false" ht="15" hidden="false" customHeight="false" outlineLevel="0" collapsed="false">
      <c r="A1142" s="55" t="s">
        <v>2065</v>
      </c>
      <c r="B1142" s="55" t="s">
        <v>2066</v>
      </c>
      <c r="C1142" s="55" t="s">
        <v>164</v>
      </c>
      <c r="D1142" s="55" t="s">
        <v>184</v>
      </c>
      <c r="E1142" s="55" t="s">
        <v>185</v>
      </c>
      <c r="F1142" s="55" t="s">
        <v>218</v>
      </c>
      <c r="G1142" s="56" t="n">
        <v>0.65</v>
      </c>
      <c r="H1142" s="57" t="n">
        <f aca="false">MAX(0,IF(AND(Parameter!$B$21="Ja",ISNUMBER(Y1142)),Y1142,IF(Parameter!$B$20="Jahresanfang 2025 + Export",BL1142+BK1142,BK1142)))</f>
        <v>118</v>
      </c>
      <c r="I1142" s="57" t="n">
        <f aca="false">H1142*G1142</f>
        <v>76.7</v>
      </c>
      <c r="J1142" s="57" t="n">
        <f aca="false">BN1142*Parameter!$B$18</f>
        <v>595</v>
      </c>
      <c r="K1142" s="58" t="n">
        <v>564</v>
      </c>
      <c r="L1142" s="59" t="n">
        <v>1.05496453900709</v>
      </c>
      <c r="M1142" s="57" t="n">
        <v>34</v>
      </c>
      <c r="N1142" s="57" t="n">
        <v>600</v>
      </c>
      <c r="O1142" s="60" t="n">
        <v>21</v>
      </c>
      <c r="P1142" s="55" t="s">
        <v>233</v>
      </c>
      <c r="Q1142" s="57" t="n">
        <v>197</v>
      </c>
      <c r="R1142" s="60" t="n">
        <f aca="false">IF(BT1142=1,0,IFERROR(VLOOKUP(BR1142,'Gebinde-Kategorie'!$A$5:$M$45,13,0)+0,0))</f>
        <v>26</v>
      </c>
      <c r="S1142" s="61"/>
      <c r="T1142" s="62"/>
      <c r="U1142" s="62"/>
      <c r="V1142" s="62"/>
      <c r="W1142" s="55"/>
      <c r="X1142" s="57"/>
      <c r="Y1142" s="57"/>
      <c r="Z1142" s="55" t="n">
        <f aca="false">IF(A1142="","",IF(AND(Parameter!$B$21="Ja",ISNUMBER(W1142)),W1142,IF(BV1142="2+3",IF(ISNUMBER(SEARCH("grosser Artikel",BO1142)),2,IFERROR(VLOOKUP(BR1142,Parameter!$F$35:$G$64,2,0),2)),IF(OR(BV1142="Nein",BV1142=""),"-",BV1142))))</f>
        <v>3</v>
      </c>
      <c r="AA1142" s="62"/>
      <c r="AB1142" s="63"/>
      <c r="AC1142" s="57" t="n">
        <f aca="false">AR1142</f>
        <v>788</v>
      </c>
      <c r="AD1142" s="57" t="n">
        <f aca="false">MAX(AR1142,H1142)</f>
        <v>788</v>
      </c>
      <c r="AE1142" s="64"/>
      <c r="AF1142" s="57" t="n">
        <f aca="false">IF(LEFT(Cockpit!$C$5,1)="A",H1142,IF(CA1142=1,CB1142,IF(LEFT(Cockpit!$C$5,1)="B",AJ1142,MAX(AJ1142,H1142))))</f>
        <v>118</v>
      </c>
      <c r="AG1142" s="57" t="n">
        <f aca="false">IF(BT1142=1,0,ROUNDUP(AF1142/BS1142,0))</f>
        <v>1</v>
      </c>
      <c r="AH1142" s="59" t="n">
        <f aca="false">IF(CH1142&gt;0,CH1142*MAX(1,AF1142/X1142),IF(BT1142=1,IF(AF1142&lt;=0,0,BW1142*MAX(1,IF(H1142&gt;0,AF1142/H1142,1))),IF(R1142&gt;0,AG1142/R1142,0))/MAX(0.1,N(Parameter!$M$21)))</f>
        <v>0.0384615384615385</v>
      </c>
      <c r="AI1142" s="57" t="n">
        <f aca="false">AF1142*G1142</f>
        <v>76.7</v>
      </c>
      <c r="AJ1142" s="57" t="n">
        <f aca="false">ROUNDUP(MAX(J1142/IF(BZ1142&gt;0,BZ1142,MAX(0.1,N(Cockpit!$C$6))),CC1142)/BS1142,0)*BS1142</f>
        <v>788</v>
      </c>
      <c r="AK1142" s="58" t="n">
        <f aca="false">IF(AH1142&gt;0,J1142/AH1142,-1)</f>
        <v>15470</v>
      </c>
      <c r="AL1142" s="58" t="n">
        <f aca="false">IF(AND(OR(BY1142="L1",BY1142="L23"),AH1142&gt;0),SUMIFS($AH$7:$AH$1843,$BY$7:$BY$1843,BY1142,$AK$7:$AK$1843,"&gt;"&amp;AK1142)+SUMIFS($AH$7:$AH$1843,$BY$7:$BY$1843,BY1142,$AK$7:$AK$1843,AK1142,$BQ$7:$BQ$1843,"&lt;="&amp;BQ1142),"")</f>
        <v>4.3902317489274</v>
      </c>
      <c r="AM1142" s="65" t="n">
        <f aca="false">IF(AL1142="",0,MAX(0,MIN(1,(IF(BY1142="L1",Parameter!$E$5,Parameter!$E$6+Parameter!$E$7)-(AL1142-AH1142))/AH1142)))</f>
        <v>1</v>
      </c>
      <c r="AN1142" s="57" t="n">
        <f aca="false">IF(LEFT(Cockpit!$I$5,1)="A",H1142,IF(CA1142=1,CB1142,IF(LEFT(Cockpit!$I$5,1)="B",AR1142,MAX(AR1142,H1142))))</f>
        <v>788</v>
      </c>
      <c r="AO1142" s="57" t="n">
        <f aca="false">IF(BT1142=1,0,ROUNDUP(AN1142/BS1142,0))</f>
        <v>4</v>
      </c>
      <c r="AP1142" s="59" t="n">
        <f aca="false">IF(CH1142&gt;0,CH1142*MAX(1,AN1142/X1142),IF(BT1142=1,IF(AN1142&lt;=0,0,BW1142*MAX(1,IF(H1142&gt;0,AN1142/H1142,1))),IF(R1142&gt;0,AO1142/R1142,0))/MAX(0.1,N(Parameter!$M$21)))</f>
        <v>0.153846153846154</v>
      </c>
      <c r="AQ1142" s="57" t="n">
        <f aca="false">AN1142*G1142</f>
        <v>512.2</v>
      </c>
      <c r="AR1142" s="57" t="n">
        <f aca="false">ROUNDUP(MAX(J1142/IF(BZ1142&gt;0,BZ1142,MAX(0.1,N(Cockpit!$I$6))),CC1142)/BS1142,0)*BS1142</f>
        <v>788</v>
      </c>
      <c r="AS1142" s="58" t="n">
        <f aca="false">IF(AP1142&gt;0,J1142/AP1142,-1)</f>
        <v>3867.5</v>
      </c>
      <c r="AT1142" s="58" t="n">
        <f aca="false">IF(AND(OR(BY1142="L1",BY1142="L23"),AP1142&gt;0),SUMIFS($AP$7:$AP$1843,$BY$7:$BY$1843,BY1142,$AS$7:$AS$1843,"&gt;"&amp;AS1142)+SUMIFS($AP$7:$AP$1843,$BY$7:$BY$1843,BY1142,$AS$7:$AS$1843,AS1142,$BQ$7:$BQ$1843,"&lt;="&amp;BQ1142),"")</f>
        <v>13.7634961656701</v>
      </c>
      <c r="AU1142" s="65" t="n">
        <f aca="false">IF(AT1142="",0,MAX(0,MIN(1,(IF(BY1142="L1",Parameter!$E$5,Parameter!$E$6+Parameter!$E$7)-(AT1142-AP1142))/AP1142)))</f>
        <v>1</v>
      </c>
      <c r="AV1142" s="57" t="n">
        <f aca="false">IF(LEFT(Cockpit!$O$5,1)="A",H1142,IF(CA1142=1,CB1142,IF(LEFT(Cockpit!$O$5,1)="B",AZ1142,MAX(AZ1142,H1142))))</f>
        <v>788</v>
      </c>
      <c r="AW1142" s="57" t="n">
        <f aca="false">IF(BT1142=1,0,ROUNDUP(AV1142/BS1142,0))</f>
        <v>4</v>
      </c>
      <c r="AX1142" s="59" t="n">
        <f aca="false">IF(CH1142&gt;0,CH1142*MAX(1,AV1142/X1142),IF(BT1142=1,IF(AV1142&lt;=0,0,BW1142*MAX(1,IF(H1142&gt;0,AV1142/H1142,1))),IF(R1142&gt;0,AW1142/R1142,0))/MAX(0.1,N(Parameter!$M$21)))</f>
        <v>0.153846153846154</v>
      </c>
      <c r="AY1142" s="57" t="n">
        <f aca="false">AV1142*G1142</f>
        <v>512.2</v>
      </c>
      <c r="AZ1142" s="57" t="n">
        <f aca="false">ROUNDUP(MAX(J1142/IF(BZ1142&gt;0,BZ1142,MAX(0.1,N(Cockpit!$O$6))),CC1142)/BS1142,0)*BS1142</f>
        <v>788</v>
      </c>
      <c r="BA1142" s="58" t="n">
        <f aca="false">IF(AX1142&gt;0,J1142/AX1142,-1)</f>
        <v>3867.5</v>
      </c>
      <c r="BB1142" s="58" t="n">
        <f aca="false">IF(AND(OR(BY1142="L1",BY1142="L23"),AX1142&gt;0),SUMIFS($AX$7:$AX$1843,$BY$7:$BY$1843,BY1142,$BA$7:$BA$1843,"&gt;"&amp;BA1142)+SUMIFS($AX$7:$AX$1843,$BY$7:$BY$1843,BY1142,$BA$7:$BA$1843,BA1142,$BQ$7:$BQ$1843,"&lt;="&amp;BQ1142),"")</f>
        <v>12.3305124826864</v>
      </c>
      <c r="BC1142" s="65" t="n">
        <f aca="false">IF(BB1142="",0,MAX(0,MIN(1,(IF(BY1142="L1",Parameter!$E$5,Parameter!$E$6+Parameter!$E$7)-(BB1142-AX1142))/AX1142)))</f>
        <v>1</v>
      </c>
      <c r="BD1142" s="55" t="str">
        <f aca="false">IF(AH1142&lt;=0,"",IF(BY1142="Aussen","Aussenlager",IF(BY1142="-","Nicht im Lift",IF(AM1142&gt;=1,"Lift",IF(AM1142&lt;=0,"Aussenlager","teilweise")))))</f>
        <v>Lift</v>
      </c>
      <c r="BE1142" s="55" t="str">
        <f aca="false">IF(AP1142&lt;=0,"",IF(BY1142="Aussen","Aussenlager",IF(BY1142="-","Nicht im Lift",IF(AU1142&gt;=1,"Lift",IF(AU1142&lt;=0,"Aussenlager","teilweise")))))</f>
        <v>Lift</v>
      </c>
      <c r="BF1142" s="55" t="str">
        <f aca="false">IF(AX1142&lt;=0,"",IF(BY1142="Aussen","Aussenlager",IF(BY1142="-","Nicht im Lift",IF(BC1142&gt;=1,"Lift",IF(BC1142&lt;=0,"Aussenlager","teilweise")))))</f>
        <v>Lift</v>
      </c>
      <c r="BG1142" s="55" t="str">
        <f aca="false">IF(A1142="","",IF(BP1142=1,"Neu; ","")&amp;IF(AND(BP1142=0,BK1142&lt;0),"negativer Bestand (Export "&amp;BK1142&amp;"); ","")&amp;IF(J1142&lt;=0,"Kein Verbrauch; ","")&amp;IF(CH1142&gt;0,"Lift "&amp;W1142&amp;" lt. Liftbericht (Fach "&amp;X1142&amp;" Stk); ",IF(BU1142=1,"Gebinde geschätzt ("&amp;T1142&amp;"); ",IF(BT1142=1,"Lose – Tablare geschätzt; ","")))&amp;IF(H1142&gt;AR1142,"Überbestand "&amp;ROUND(H1142-AR1142,0)&amp;" Stk / CHF "&amp;ROUND((H1142-AR1142)*G1142,0)&amp;"; ","")&amp;IF(AND(CA1142=1,CB1142&lt;CC1142),"MAX &lt; MB+LG; ","")&amp;IF(AND(CG1142&gt;0,CF1142*10&gt;CG1142),"zu hoch für Tablar; ","")&amp;IF(AND(BP1142=0,OR(CA1142=1,AA1142&lt;&gt;"",U1142&lt;&gt;"",V1142&lt;&gt;"",AB1142&lt;&gt;"")),"manuell übersteuert; ","")&amp;IF(AND(BT1142=0,R1142=0),"Gebinde unbekannt / Stellmass fehlt; ","")&amp;IF(AND(BT1142=0,N(V1142)&lt;=0,N(Q1142)&lt;=0),"Menge pro Gebinde fehlt (Ist = 1 Gebinde); ","")&amp;BO1142)</f>
        <v>negativer Bestand (Export -453); </v>
      </c>
      <c r="BH1142" s="55"/>
      <c r="BI1142" s="55"/>
      <c r="BJ1142" s="62"/>
      <c r="BK1142" s="57" t="n">
        <v>-453</v>
      </c>
      <c r="BL1142" s="57" t="n">
        <v>571</v>
      </c>
      <c r="BM1142" s="56" t="n">
        <v>-288.819999999999</v>
      </c>
      <c r="BN1142" s="57" t="n">
        <v>595</v>
      </c>
      <c r="BO1142" s="55"/>
      <c r="BP1142" s="60" t="n">
        <v>0</v>
      </c>
      <c r="BQ1142" s="60" t="n">
        <v>1142</v>
      </c>
      <c r="BR1142" s="55" t="str">
        <f aca="false">IF(U1142&lt;&gt;"",UPPER(TRIM(U1142)),IF(BU1142=1,UPPER(VLOOKUP(T1142,Parameter!$I$27:$K$29,2,0)),IF(P1142="","LOSE",P1142)))</f>
        <v>S52</v>
      </c>
      <c r="BS1142" s="57" t="n">
        <f aca="false">IF(BR1142="LOSE",1,IF(N(V1142)&gt;0,V1142,IF(BU1142=1,MAX(1,N(VLOOKUP(T1142,Parameter!$I$27:$K$29,3,0)),H1142,N(N1142)),IF(N(Q1142)&gt;0,Q1142,MAX(1,H1142)))))</f>
        <v>197</v>
      </c>
      <c r="BT1142" s="60" t="n">
        <f aca="false">IF(BR1142="LOSE",1,0)</f>
        <v>0</v>
      </c>
      <c r="BU1142" s="60" t="n">
        <f aca="false">IF(AND(U1142="",OR(P1142="",P1142="LOSE"),T1142&lt;&gt;"",N(S1142)&lt;=0,ISNUMBER(MATCH(T1142,Parameter!$I$27:$I$29,0))),1,0)</f>
        <v>0</v>
      </c>
      <c r="BV1142" s="55" t="str">
        <f aca="false">IF(AND(Parameter!$B$19="Ja",E1142&lt;&gt;"",ISNUMBER(MATCH(E1142,Parameter!$I$35:$I$52,0))),VLOOKUP(E1142,Parameter!$I$35:$J$52,2,0),IFERROR(VLOOKUP(D1142,Parameter!$A$35:$C$64,2,0),"Nein"))</f>
        <v>2+3</v>
      </c>
      <c r="BW1142" s="59" t="n">
        <f aca="false">IF(BT1142=0,0,IF(N(S1142)&gt;0,S1142,IFERROR(VLOOKUP(D1142,Parameter!$A$35:$C$64,3,0)+0,0)))</f>
        <v>0</v>
      </c>
      <c r="BX1142" s="55" t="n">
        <f aca="false">IF(AA1142&lt;&gt;"",AA1142,Z1142)</f>
        <v>3</v>
      </c>
      <c r="BY1142" s="55" t="str">
        <f aca="false">IF(BX1142=1,"L1",IF(OR(BX1142=2,BX1142=3),"L23",IF(BX1142="Aussen","Aussen","-")))</f>
        <v>L23</v>
      </c>
      <c r="BZ1142" s="66" t="n">
        <f aca="false">IF(N(AB1142)&gt;0,AB1142,0)</f>
        <v>0</v>
      </c>
      <c r="CA1142" s="60" t="n">
        <f aca="false">IF(ISNUMBER(AE1142),1,0)</f>
        <v>0</v>
      </c>
      <c r="CB1142" s="57" t="n">
        <f aca="false">N(AE1142)</f>
        <v>0</v>
      </c>
      <c r="CC1142" s="57" t="n">
        <f aca="false">N(M1142)+N(N1142)</f>
        <v>634</v>
      </c>
      <c r="CD1142" s="57" t="n">
        <f aca="false">ROUNDUP(H1142/BS1142,0)</f>
        <v>1</v>
      </c>
      <c r="CE1142" s="57" t="n">
        <f aca="false">ROUNDUP(CB1142/BS1142,0)</f>
        <v>0</v>
      </c>
      <c r="CF1142" s="60" t="n">
        <f aca="false">IF(BT1142=1,0,IFERROR(VLOOKUP(BR1142,'Gebinde-Kategorie'!$A$5:$M$45,5,0)+0,0))</f>
        <v>21</v>
      </c>
      <c r="CG1142" s="60" t="n">
        <f aca="false">IFERROR(IF(OR(BX1142=1,BX1142=2,BX1142=3),N(INDEX(Parameter!$I$5:$I$7,BX1142)),0),0)</f>
        <v>0</v>
      </c>
      <c r="CH1142" s="59" t="n">
        <f aca="false">IF(AND(Parameter!$B$21="Ja",ISNUMBER(W1142),N(X1142)&gt;0),IFERROR(N(INDEX(Parameter!$L$5:$L$7,W1142))*INDEX(Parameter!$E$5:$E$7,W1142)*X1142/SUMIFS($X$7:$X$1843,$W$7:$W$1843,W1142),0),0)</f>
        <v>0</v>
      </c>
    </row>
    <row r="1143" customFormat="false" ht="15" hidden="false" customHeight="false" outlineLevel="0" collapsed="false">
      <c r="A1143" s="55" t="s">
        <v>2067</v>
      </c>
      <c r="B1143" s="55" t="s">
        <v>1959</v>
      </c>
      <c r="C1143" s="55" t="s">
        <v>164</v>
      </c>
      <c r="D1143" s="55" t="s">
        <v>173</v>
      </c>
      <c r="E1143" s="55"/>
      <c r="F1143" s="55" t="s">
        <v>218</v>
      </c>
      <c r="G1143" s="56" t="n">
        <v>288.93</v>
      </c>
      <c r="H1143" s="57" t="n">
        <f aca="false">MAX(0,IF(AND(Parameter!$B$21="Ja",ISNUMBER(Y1143)),Y1143,IF(Parameter!$B$20="Jahresanfang 2025 + Export",BL1143+BK1143,BK1143)))</f>
        <v>13</v>
      </c>
      <c r="I1143" s="57" t="n">
        <f aca="false">H1143*G1143</f>
        <v>3756.09</v>
      </c>
      <c r="J1143" s="57" t="n">
        <f aca="false">BN1143*Parameter!$B$18</f>
        <v>0</v>
      </c>
      <c r="K1143" s="58" t="n">
        <v>13.5</v>
      </c>
      <c r="L1143" s="59" t="n">
        <v>0</v>
      </c>
      <c r="M1143" s="57" t="n">
        <v>0</v>
      </c>
      <c r="N1143" s="57" t="n">
        <v>1</v>
      </c>
      <c r="O1143" s="60" t="n">
        <v>84</v>
      </c>
      <c r="P1143" s="55" t="s">
        <v>174</v>
      </c>
      <c r="Q1143" s="57" t="n">
        <v>15</v>
      </c>
      <c r="R1143" s="60" t="n">
        <f aca="false">IF(BT1143=1,0,IFERROR(VLOOKUP(BR1143,'Gebinde-Kategorie'!$A$5:$M$45,13,0)+0,0))</f>
        <v>6</v>
      </c>
      <c r="S1143" s="61"/>
      <c r="T1143" s="62"/>
      <c r="U1143" s="62"/>
      <c r="V1143" s="62"/>
      <c r="W1143" s="55"/>
      <c r="X1143" s="57"/>
      <c r="Y1143" s="57"/>
      <c r="Z1143" s="55" t="n">
        <f aca="false">IF(A1143="","",IF(AND(Parameter!$B$21="Ja",ISNUMBER(W1143)),W1143,IF(BV1143="2+3",IF(ISNUMBER(SEARCH("grosser Artikel",BO1143)),2,IFERROR(VLOOKUP(BR1143,Parameter!$F$35:$G$64,2,0),2)),IF(OR(BV1143="Nein",BV1143=""),"-",BV1143))))</f>
        <v>2</v>
      </c>
      <c r="AA1143" s="62"/>
      <c r="AB1143" s="63"/>
      <c r="AC1143" s="57" t="n">
        <f aca="false">AR1143</f>
        <v>15</v>
      </c>
      <c r="AD1143" s="57" t="n">
        <f aca="false">MAX(AR1143,H1143)</f>
        <v>15</v>
      </c>
      <c r="AE1143" s="64"/>
      <c r="AF1143" s="57" t="n">
        <f aca="false">IF(LEFT(Cockpit!$C$5,1)="A",H1143,IF(CA1143=1,CB1143,IF(LEFT(Cockpit!$C$5,1)="B",AJ1143,MAX(AJ1143,H1143))))</f>
        <v>13</v>
      </c>
      <c r="AG1143" s="57" t="n">
        <f aca="false">IF(BT1143=1,0,ROUNDUP(AF1143/BS1143,0))</f>
        <v>1</v>
      </c>
      <c r="AH1143" s="59" t="n">
        <f aca="false">IF(CH1143&gt;0,CH1143*MAX(1,AF1143/X1143),IF(BT1143=1,IF(AF1143&lt;=0,0,BW1143*MAX(1,IF(H1143&gt;0,AF1143/H1143,1))),IF(R1143&gt;0,AG1143/R1143,0))/MAX(0.1,N(Parameter!$M$21)))</f>
        <v>0.166666666666667</v>
      </c>
      <c r="AI1143" s="57" t="n">
        <f aca="false">AF1143*G1143</f>
        <v>3756.09</v>
      </c>
      <c r="AJ1143" s="57" t="n">
        <f aca="false">ROUNDUP(MAX(J1143/IF(BZ1143&gt;0,BZ1143,MAX(0.1,N(Cockpit!$C$6))),CC1143)/BS1143,0)*BS1143</f>
        <v>15</v>
      </c>
      <c r="AK1143" s="58" t="n">
        <f aca="false">IF(AH1143&gt;0,J1143/AH1143,-1)</f>
        <v>0</v>
      </c>
      <c r="AL1143" s="58" t="n">
        <f aca="false">IF(AND(OR(BY1143="L1",BY1143="L23"),AH1143&gt;0),SUMIFS($AH$7:$AH$1843,$BY$7:$BY$1843,BY1143,$AK$7:$AK$1843,"&gt;"&amp;AK1143)+SUMIFS($AH$7:$AH$1843,$BY$7:$BY$1843,BY1143,$AK$7:$AK$1843,AK1143,$BQ$7:$BQ$1843,"&lt;="&amp;BQ1143),"")</f>
        <v>80.134446471403</v>
      </c>
      <c r="AM1143" s="65" t="n">
        <f aca="false">IF(AL1143="",0,MAX(0,MIN(1,(IF(BY1143="L1",Parameter!$E$5,Parameter!$E$6+Parameter!$E$7)-(AL1143-AH1143))/AH1143)))</f>
        <v>1</v>
      </c>
      <c r="AN1143" s="57" t="n">
        <f aca="false">IF(LEFT(Cockpit!$I$5,1)="A",H1143,IF(CA1143=1,CB1143,IF(LEFT(Cockpit!$I$5,1)="B",AR1143,MAX(AR1143,H1143))))</f>
        <v>15</v>
      </c>
      <c r="AO1143" s="57" t="n">
        <f aca="false">IF(BT1143=1,0,ROUNDUP(AN1143/BS1143,0))</f>
        <v>1</v>
      </c>
      <c r="AP1143" s="59" t="n">
        <f aca="false">IF(CH1143&gt;0,CH1143*MAX(1,AN1143/X1143),IF(BT1143=1,IF(AN1143&lt;=0,0,BW1143*MAX(1,IF(H1143&gt;0,AN1143/H1143,1))),IF(R1143&gt;0,AO1143/R1143,0))/MAX(0.1,N(Parameter!$M$21)))</f>
        <v>0.166666666666667</v>
      </c>
      <c r="AQ1143" s="57" t="n">
        <f aca="false">AN1143*G1143</f>
        <v>4333.95</v>
      </c>
      <c r="AR1143" s="57" t="n">
        <f aca="false">ROUNDUP(MAX(J1143/IF(BZ1143&gt;0,BZ1143,MAX(0.1,N(Cockpit!$I$6))),CC1143)/BS1143,0)*BS1143</f>
        <v>15</v>
      </c>
      <c r="AS1143" s="58" t="n">
        <f aca="false">IF(AP1143&gt;0,J1143/AP1143,-1)</f>
        <v>0</v>
      </c>
      <c r="AT1143" s="58" t="n">
        <f aca="false">IF(AND(OR(BY1143="L1",BY1143="L23"),AP1143&gt;0),SUMIFS($AP$7:$AP$1843,$BY$7:$BY$1843,BY1143,$AS$7:$AS$1843,"&gt;"&amp;AS1143)+SUMIFS($AP$7:$AP$1843,$BY$7:$BY$1843,BY1143,$AS$7:$AS$1843,AS1143,$BQ$7:$BQ$1843,"&lt;="&amp;BQ1143),"")</f>
        <v>122.075639336509</v>
      </c>
      <c r="AU1143" s="65" t="n">
        <f aca="false">IF(AT1143="",0,MAX(0,MIN(1,(IF(BY1143="L1",Parameter!$E$5,Parameter!$E$6+Parameter!$E$7)-(AT1143-AP1143))/AP1143)))</f>
        <v>0</v>
      </c>
      <c r="AV1143" s="57" t="n">
        <f aca="false">IF(LEFT(Cockpit!$O$5,1)="A",H1143,IF(CA1143=1,CB1143,IF(LEFT(Cockpit!$O$5,1)="B",AZ1143,MAX(AZ1143,H1143))))</f>
        <v>15</v>
      </c>
      <c r="AW1143" s="57" t="n">
        <f aca="false">IF(BT1143=1,0,ROUNDUP(AV1143/BS1143,0))</f>
        <v>1</v>
      </c>
      <c r="AX1143" s="59" t="n">
        <f aca="false">IF(CH1143&gt;0,CH1143*MAX(1,AV1143/X1143),IF(BT1143=1,IF(AV1143&lt;=0,0,BW1143*MAX(1,IF(H1143&gt;0,AV1143/H1143,1))),IF(R1143&gt;0,AW1143/R1143,0))/MAX(0.1,N(Parameter!$M$21)))</f>
        <v>0.166666666666667</v>
      </c>
      <c r="AY1143" s="57" t="n">
        <f aca="false">AV1143*G1143</f>
        <v>4333.95</v>
      </c>
      <c r="AZ1143" s="57" t="n">
        <f aca="false">ROUNDUP(MAX(J1143/IF(BZ1143&gt;0,BZ1143,MAX(0.1,N(Cockpit!$O$6))),CC1143)/BS1143,0)*BS1143</f>
        <v>15</v>
      </c>
      <c r="BA1143" s="58" t="n">
        <f aca="false">IF(AX1143&gt;0,J1143/AX1143,-1)</f>
        <v>0</v>
      </c>
      <c r="BB1143" s="58" t="n">
        <f aca="false">IF(AND(OR(BY1143="L1",BY1143="L23"),AX1143&gt;0),SUMIFS($AX$7:$AX$1843,$BY$7:$BY$1843,BY1143,$BA$7:$BA$1843,"&gt;"&amp;BA1143)+SUMIFS($AX$7:$AX$1843,$BY$7:$BY$1843,BY1143,$BA$7:$BA$1843,BA1143,$BQ$7:$BQ$1843,"&lt;="&amp;BQ1143),"")</f>
        <v>112.905476166346</v>
      </c>
      <c r="BC1143" s="65" t="n">
        <f aca="false">IF(BB1143="",0,MAX(0,MIN(1,(IF(BY1143="L1",Parameter!$E$5,Parameter!$E$6+Parameter!$E$7)-(BB1143-AX1143))/AX1143)))</f>
        <v>0</v>
      </c>
      <c r="BD1143" s="55" t="str">
        <f aca="false">IF(AH1143&lt;=0,"",IF(BY1143="Aussen","Aussenlager",IF(BY1143="-","Nicht im Lift",IF(AM1143&gt;=1,"Lift",IF(AM1143&lt;=0,"Aussenlager","teilweise")))))</f>
        <v>Lift</v>
      </c>
      <c r="BE1143" s="55" t="str">
        <f aca="false">IF(AP1143&lt;=0,"",IF(BY1143="Aussen","Aussenlager",IF(BY1143="-","Nicht im Lift",IF(AU1143&gt;=1,"Lift",IF(AU1143&lt;=0,"Aussenlager","teilweise")))))</f>
        <v>Aussenlager</v>
      </c>
      <c r="BF1143" s="55" t="str">
        <f aca="false">IF(AX1143&lt;=0,"",IF(BY1143="Aussen","Aussenlager",IF(BY1143="-","Nicht im Lift",IF(BC1143&gt;=1,"Lift",IF(BC1143&lt;=0,"Aussenlager","teilweise")))))</f>
        <v>Aussenlager</v>
      </c>
      <c r="BG1143" s="55" t="str">
        <f aca="false">IF(A1143="","",IF(BP1143=1,"Neu; ","")&amp;IF(AND(BP1143=0,BK1143&lt;0),"negativer Bestand (Export "&amp;BK1143&amp;"); ","")&amp;IF(J1143&lt;=0,"Kein Verbrauch; ","")&amp;IF(CH1143&gt;0,"Lift "&amp;W1143&amp;" lt. Liftbericht (Fach "&amp;X1143&amp;" Stk); ",IF(BU1143=1,"Gebinde geschätzt ("&amp;T1143&amp;"); ",IF(BT1143=1,"Lose – Tablare geschätzt; ","")))&amp;IF(H1143&gt;AR1143,"Überbestand "&amp;ROUND(H1143-AR1143,0)&amp;" Stk / CHF "&amp;ROUND((H1143-AR1143)*G1143,0)&amp;"; ","")&amp;IF(AND(CA1143=1,CB1143&lt;CC1143),"MAX &lt; MB+LG; ","")&amp;IF(AND(CG1143&gt;0,CF1143*10&gt;CG1143),"zu hoch für Tablar; ","")&amp;IF(AND(BP1143=0,OR(CA1143=1,AA1143&lt;&gt;"",U1143&lt;&gt;"",V1143&lt;&gt;"",AB1143&lt;&gt;"")),"manuell übersteuert; ","")&amp;IF(AND(BT1143=0,R1143=0),"Gebinde unbekannt / Stellmass fehlt; ","")&amp;IF(AND(BT1143=0,N(V1143)&lt;=0,N(Q1143)&lt;=0),"Menge pro Gebinde fehlt (Ist = 1 Gebinde); ","")&amp;BO1143)</f>
        <v>negativer Bestand (Export -1); Kein Verbrauch; Überbestand</v>
      </c>
      <c r="BH1143" s="55"/>
      <c r="BI1143" s="55"/>
      <c r="BJ1143" s="62"/>
      <c r="BK1143" s="57" t="n">
        <v>-1</v>
      </c>
      <c r="BL1143" s="57" t="n">
        <v>14</v>
      </c>
      <c r="BM1143" s="56" t="n">
        <v>-288.93</v>
      </c>
      <c r="BN1143" s="57" t="n">
        <v>0</v>
      </c>
      <c r="BO1143" s="55" t="s">
        <v>392</v>
      </c>
      <c r="BP1143" s="60" t="n">
        <v>0</v>
      </c>
      <c r="BQ1143" s="60" t="n">
        <v>1143</v>
      </c>
      <c r="BR1143" s="55" t="str">
        <f aca="false">IF(U1143&lt;&gt;"",UPPER(TRIM(U1143)),IF(BU1143=1,UPPER(VLOOKUP(T1143,Parameter!$I$27:$K$29,2,0)),IF(P1143="","LOSE",P1143)))</f>
        <v>S71</v>
      </c>
      <c r="BS1143" s="57" t="n">
        <f aca="false">IF(BR1143="LOSE",1,IF(N(V1143)&gt;0,V1143,IF(BU1143=1,MAX(1,N(VLOOKUP(T1143,Parameter!$I$27:$K$29,3,0)),H1143,N(N1143)),IF(N(Q1143)&gt;0,Q1143,MAX(1,H1143)))))</f>
        <v>15</v>
      </c>
      <c r="BT1143" s="60" t="n">
        <f aca="false">IF(BR1143="LOSE",1,0)</f>
        <v>0</v>
      </c>
      <c r="BU1143" s="60" t="n">
        <f aca="false">IF(AND(U1143="",OR(P1143="",P1143="LOSE"),T1143&lt;&gt;"",N(S1143)&lt;=0,ISNUMBER(MATCH(T1143,Parameter!$I$27:$I$29,0))),1,0)</f>
        <v>0</v>
      </c>
      <c r="BV1143" s="55" t="str">
        <f aca="false">IF(AND(Parameter!$B$19="Ja",E1143&lt;&gt;"",ISNUMBER(MATCH(E1143,Parameter!$I$35:$I$52,0))),VLOOKUP(E1143,Parameter!$I$35:$J$52,2,0),IFERROR(VLOOKUP(D1143,Parameter!$A$35:$C$64,2,0),"Nein"))</f>
        <v>2+3</v>
      </c>
      <c r="BW1143" s="59" t="n">
        <f aca="false">IF(BT1143=0,0,IF(N(S1143)&gt;0,S1143,IFERROR(VLOOKUP(D1143,Parameter!$A$35:$C$64,3,0)+0,0)))</f>
        <v>0</v>
      </c>
      <c r="BX1143" s="55" t="n">
        <f aca="false">IF(AA1143&lt;&gt;"",AA1143,Z1143)</f>
        <v>2</v>
      </c>
      <c r="BY1143" s="55" t="str">
        <f aca="false">IF(BX1143=1,"L1",IF(OR(BX1143=2,BX1143=3),"L23",IF(BX1143="Aussen","Aussen","-")))</f>
        <v>L23</v>
      </c>
      <c r="BZ1143" s="66" t="n">
        <f aca="false">IF(N(AB1143)&gt;0,AB1143,0)</f>
        <v>0</v>
      </c>
      <c r="CA1143" s="60" t="n">
        <f aca="false">IF(ISNUMBER(AE1143),1,0)</f>
        <v>0</v>
      </c>
      <c r="CB1143" s="57" t="n">
        <f aca="false">N(AE1143)</f>
        <v>0</v>
      </c>
      <c r="CC1143" s="57" t="n">
        <f aca="false">N(M1143)+N(N1143)</f>
        <v>1</v>
      </c>
      <c r="CD1143" s="57" t="n">
        <f aca="false">ROUNDUP(H1143/BS1143,0)</f>
        <v>1</v>
      </c>
      <c r="CE1143" s="57" t="n">
        <f aca="false">ROUNDUP(CB1143/BS1143,0)</f>
        <v>0</v>
      </c>
      <c r="CF1143" s="60" t="n">
        <f aca="false">IF(BT1143=1,0,IFERROR(VLOOKUP(BR1143,'Gebinde-Kategorie'!$A$5:$M$45,5,0)+0,0))</f>
        <v>20</v>
      </c>
      <c r="CG1143" s="60" t="n">
        <f aca="false">IFERROR(IF(OR(BX1143=1,BX1143=2,BX1143=3),N(INDEX(Parameter!$I$5:$I$7,BX1143)),0),0)</f>
        <v>0</v>
      </c>
      <c r="CH1143" s="59" t="n">
        <f aca="false">IF(AND(Parameter!$B$21="Ja",ISNUMBER(W1143),N(X1143)&gt;0),IFERROR(N(INDEX(Parameter!$L$5:$L$7,W1143))*INDEX(Parameter!$E$5:$E$7,W1143)*X1143/SUMIFS($X$7:$X$1843,$W$7:$W$1843,W1143),0),0)</f>
        <v>0</v>
      </c>
    </row>
    <row r="1144" customFormat="false" ht="15" hidden="false" customHeight="false" outlineLevel="0" collapsed="false">
      <c r="A1144" s="55" t="s">
        <v>2068</v>
      </c>
      <c r="B1144" s="55" t="s">
        <v>559</v>
      </c>
      <c r="C1144" s="55" t="s">
        <v>164</v>
      </c>
      <c r="D1144" s="55" t="s">
        <v>184</v>
      </c>
      <c r="E1144" s="55" t="s">
        <v>185</v>
      </c>
      <c r="F1144" s="55" t="s">
        <v>218</v>
      </c>
      <c r="G1144" s="56" t="n">
        <v>11.3</v>
      </c>
      <c r="H1144" s="57" t="n">
        <f aca="false">MAX(0,IF(AND(Parameter!$B$21="Ja",ISNUMBER(Y1144)),Y1144,IF(Parameter!$B$20="Jahresanfang 2025 + Export",BL1144+BK1144,BK1144)))</f>
        <v>119</v>
      </c>
      <c r="I1144" s="57" t="n">
        <f aca="false">H1144*G1144</f>
        <v>1344.7</v>
      </c>
      <c r="J1144" s="57" t="n">
        <f aca="false">BN1144*Parameter!$B$18</f>
        <v>12</v>
      </c>
      <c r="K1144" s="58" t="n">
        <v>136.5</v>
      </c>
      <c r="L1144" s="59" t="n">
        <v>0.0879120879120879</v>
      </c>
      <c r="M1144" s="57" t="n">
        <v>1</v>
      </c>
      <c r="N1144" s="57" t="n">
        <v>20</v>
      </c>
      <c r="O1144" s="60" t="n">
        <v>28</v>
      </c>
      <c r="P1144" s="55" t="s">
        <v>233</v>
      </c>
      <c r="Q1144" s="57" t="n">
        <v>41</v>
      </c>
      <c r="R1144" s="60" t="n">
        <f aca="false">IF(BT1144=1,0,IFERROR(VLOOKUP(BR1144,'Gebinde-Kategorie'!$A$5:$M$45,13,0)+0,0))</f>
        <v>26</v>
      </c>
      <c r="S1144" s="61"/>
      <c r="T1144" s="62"/>
      <c r="U1144" s="62"/>
      <c r="V1144" s="62"/>
      <c r="W1144" s="55"/>
      <c r="X1144" s="57"/>
      <c r="Y1144" s="57"/>
      <c r="Z1144" s="55" t="n">
        <f aca="false">IF(A1144="","",IF(AND(Parameter!$B$21="Ja",ISNUMBER(W1144)),W1144,IF(BV1144="2+3",IF(ISNUMBER(SEARCH("grosser Artikel",BO1144)),2,IFERROR(VLOOKUP(BR1144,Parameter!$F$35:$G$64,2,0),2)),IF(OR(BV1144="Nein",BV1144=""),"-",BV1144))))</f>
        <v>3</v>
      </c>
      <c r="AA1144" s="62"/>
      <c r="AB1144" s="63"/>
      <c r="AC1144" s="57" t="n">
        <f aca="false">AR1144</f>
        <v>41</v>
      </c>
      <c r="AD1144" s="57" t="n">
        <f aca="false">MAX(AR1144,H1144)</f>
        <v>119</v>
      </c>
      <c r="AE1144" s="64"/>
      <c r="AF1144" s="57" t="n">
        <f aca="false">IF(LEFT(Cockpit!$C$5,1)="A",H1144,IF(CA1144=1,CB1144,IF(LEFT(Cockpit!$C$5,1)="B",AJ1144,MAX(AJ1144,H1144))))</f>
        <v>119</v>
      </c>
      <c r="AG1144" s="57" t="n">
        <f aca="false">IF(BT1144=1,0,ROUNDUP(AF1144/BS1144,0))</f>
        <v>3</v>
      </c>
      <c r="AH1144" s="59" t="n">
        <f aca="false">IF(CH1144&gt;0,CH1144*MAX(1,AF1144/X1144),IF(BT1144=1,IF(AF1144&lt;=0,0,BW1144*MAX(1,IF(H1144&gt;0,AF1144/H1144,1))),IF(R1144&gt;0,AG1144/R1144,0))/MAX(0.1,N(Parameter!$M$21)))</f>
        <v>0.115384615384615</v>
      </c>
      <c r="AI1144" s="57" t="n">
        <f aca="false">AF1144*G1144</f>
        <v>1344.7</v>
      </c>
      <c r="AJ1144" s="57" t="n">
        <f aca="false">ROUNDUP(MAX(J1144/IF(BZ1144&gt;0,BZ1144,MAX(0.1,N(Cockpit!$C$6))),CC1144)/BS1144,0)*BS1144</f>
        <v>41</v>
      </c>
      <c r="AK1144" s="58" t="n">
        <f aca="false">IF(AH1144&gt;0,J1144/AH1144,-1)</f>
        <v>104</v>
      </c>
      <c r="AL1144" s="58" t="n">
        <f aca="false">IF(AND(OR(BY1144="L1",BY1144="L23"),AH1144&gt;0),SUMIFS($AH$7:$AH$1843,$BY$7:$BY$1843,BY1144,$AK$7:$AK$1843,"&gt;"&amp;AK1144)+SUMIFS($AH$7:$AH$1843,$BY$7:$BY$1843,BY1144,$AK$7:$AK$1843,AK1144,$BQ$7:$BQ$1843,"&lt;="&amp;BQ1144),"")</f>
        <v>38.7649488192967</v>
      </c>
      <c r="AM1144" s="65" t="n">
        <f aca="false">IF(AL1144="",0,MAX(0,MIN(1,(IF(BY1144="L1",Parameter!$E$5,Parameter!$E$6+Parameter!$E$7)-(AL1144-AH1144))/AH1144)))</f>
        <v>1</v>
      </c>
      <c r="AN1144" s="57" t="n">
        <f aca="false">IF(LEFT(Cockpit!$I$5,1)="A",H1144,IF(CA1144=1,CB1144,IF(LEFT(Cockpit!$I$5,1)="B",AR1144,MAX(AR1144,H1144))))</f>
        <v>119</v>
      </c>
      <c r="AO1144" s="57" t="n">
        <f aca="false">IF(BT1144=1,0,ROUNDUP(AN1144/BS1144,0))</f>
        <v>3</v>
      </c>
      <c r="AP1144" s="59" t="n">
        <f aca="false">IF(CH1144&gt;0,CH1144*MAX(1,AN1144/X1144),IF(BT1144=1,IF(AN1144&lt;=0,0,BW1144*MAX(1,IF(H1144&gt;0,AN1144/H1144,1))),IF(R1144&gt;0,AO1144/R1144,0))/MAX(0.1,N(Parameter!$M$21)))</f>
        <v>0.115384615384615</v>
      </c>
      <c r="AQ1144" s="57" t="n">
        <f aca="false">AN1144*G1144</f>
        <v>1344.7</v>
      </c>
      <c r="AR1144" s="57" t="n">
        <f aca="false">ROUNDUP(MAX(J1144/IF(BZ1144&gt;0,BZ1144,MAX(0.1,N(Cockpit!$I$6))),CC1144)/BS1144,0)*BS1144</f>
        <v>41</v>
      </c>
      <c r="AS1144" s="58" t="n">
        <f aca="false">IF(AP1144&gt;0,J1144/AP1144,-1)</f>
        <v>104</v>
      </c>
      <c r="AT1144" s="58" t="n">
        <f aca="false">IF(AND(OR(BY1144="L1",BY1144="L23"),AP1144&gt;0),SUMIFS($AP$7:$AP$1843,$BY$7:$BY$1843,BY1144,$AS$7:$AS$1843,"&gt;"&amp;AS1144)+SUMIFS($AP$7:$AP$1843,$BY$7:$BY$1843,BY1144,$AS$7:$AS$1843,AS1144,$BQ$7:$BQ$1843,"&lt;="&amp;BQ1144),"")</f>
        <v>56.6191429343603</v>
      </c>
      <c r="AU1144" s="65" t="n">
        <f aca="false">IF(AT1144="",0,MAX(0,MIN(1,(IF(BY1144="L1",Parameter!$E$5,Parameter!$E$6+Parameter!$E$7)-(AT1144-AP1144))/AP1144)))</f>
        <v>1</v>
      </c>
      <c r="AV1144" s="57" t="n">
        <f aca="false">IF(LEFT(Cockpit!$O$5,1)="A",H1144,IF(CA1144=1,CB1144,IF(LEFT(Cockpit!$O$5,1)="B",AZ1144,MAX(AZ1144,H1144))))</f>
        <v>119</v>
      </c>
      <c r="AW1144" s="57" t="n">
        <f aca="false">IF(BT1144=1,0,ROUNDUP(AV1144/BS1144,0))</f>
        <v>3</v>
      </c>
      <c r="AX1144" s="59" t="n">
        <f aca="false">IF(CH1144&gt;0,CH1144*MAX(1,AV1144/X1144),IF(BT1144=1,IF(AV1144&lt;=0,0,BW1144*MAX(1,IF(H1144&gt;0,AV1144/H1144,1))),IF(R1144&gt;0,AW1144/R1144,0))/MAX(0.1,N(Parameter!$M$21)))</f>
        <v>0.115384615384615</v>
      </c>
      <c r="AY1144" s="57" t="n">
        <f aca="false">AV1144*G1144</f>
        <v>1344.7</v>
      </c>
      <c r="AZ1144" s="57" t="n">
        <f aca="false">ROUNDUP(MAX(J1144/IF(BZ1144&gt;0,BZ1144,MAX(0.1,N(Cockpit!$O$6))),CC1144)/BS1144,0)*BS1144</f>
        <v>41</v>
      </c>
      <c r="BA1144" s="58" t="n">
        <f aca="false">IF(AX1144&gt;0,J1144/AX1144,-1)</f>
        <v>104</v>
      </c>
      <c r="BB1144" s="58" t="n">
        <f aca="false">IF(AND(OR(BY1144="L1",BY1144="L23"),AX1144&gt;0),SUMIFS($AX$7:$AX$1843,$BY$7:$BY$1843,BY1144,$BA$7:$BA$1843,"&gt;"&amp;BA1144)+SUMIFS($AX$7:$AX$1843,$BY$7:$BY$1843,BY1144,$BA$7:$BA$1843,BA1144,$BQ$7:$BQ$1843,"&lt;="&amp;BQ1144),"")</f>
        <v>54.4489797641972</v>
      </c>
      <c r="BC1144" s="65" t="n">
        <f aca="false">IF(BB1144="",0,MAX(0,MIN(1,(IF(BY1144="L1",Parameter!$E$5,Parameter!$E$6+Parameter!$E$7)-(BB1144-AX1144))/AX1144)))</f>
        <v>1</v>
      </c>
      <c r="BD1144" s="55" t="str">
        <f aca="false">IF(AH1144&lt;=0,"",IF(BY1144="Aussen","Aussenlager",IF(BY1144="-","Nicht im Lift",IF(AM1144&gt;=1,"Lift",IF(AM1144&lt;=0,"Aussenlager","teilweise")))))</f>
        <v>Lift</v>
      </c>
      <c r="BE1144" s="55" t="str">
        <f aca="false">IF(AP1144&lt;=0,"",IF(BY1144="Aussen","Aussenlager",IF(BY1144="-","Nicht im Lift",IF(AU1144&gt;=1,"Lift",IF(AU1144&lt;=0,"Aussenlager","teilweise")))))</f>
        <v>Lift</v>
      </c>
      <c r="BF1144" s="55" t="str">
        <f aca="false">IF(AX1144&lt;=0,"",IF(BY1144="Aussen","Aussenlager",IF(BY1144="-","Nicht im Lift",IF(BC1144&gt;=1,"Lift",IF(BC1144&lt;=0,"Aussenlager","teilweise")))))</f>
        <v>Lift</v>
      </c>
      <c r="BG1144" s="55" t="str">
        <f aca="false">IF(A1144="","",IF(BP1144=1,"Neu; ","")&amp;IF(AND(BP1144=0,BK1144&lt;0),"negativer Bestand (Export "&amp;BK1144&amp;"); ","")&amp;IF(J1144&lt;=0,"Kein Verbrauch; ","")&amp;IF(CH1144&gt;0,"Lift "&amp;W1144&amp;" lt. Liftbericht (Fach "&amp;X1144&amp;" Stk); ",IF(BU1144=1,"Gebinde geschätzt ("&amp;T1144&amp;"); ",IF(BT1144=1,"Lose – Tablare geschätzt; ","")))&amp;IF(H1144&gt;AR1144,"Überbestand "&amp;ROUND(H1144-AR1144,0)&amp;" Stk / CHF "&amp;ROUND((H1144-AR1144)*G1144,0)&amp;"; ","")&amp;IF(AND(CA1144=1,CB1144&lt;CC1144),"MAX &lt; MB+LG; ","")&amp;IF(AND(CG1144&gt;0,CF1144*10&gt;CG1144),"zu hoch für Tablar; ","")&amp;IF(AND(BP1144=0,OR(CA1144=1,AA1144&lt;&gt;"",U1144&lt;&gt;"",V1144&lt;&gt;"",AB1144&lt;&gt;"")),"manuell übersteuert; ","")&amp;IF(AND(BT1144=0,R1144=0),"Gebinde unbekannt / Stellmass fehlt; ","")&amp;IF(AND(BT1144=0,N(V1144)&lt;=0,N(Q1144)&lt;=0),"Menge pro Gebinde fehlt (Ist = 1 Gebinde); ","")&amp;BO1144)</f>
        <v>negativer Bestand (Export -26); Überbestand 78 Stk / CHF 881; </v>
      </c>
      <c r="BH1144" s="55"/>
      <c r="BI1144" s="55"/>
      <c r="BJ1144" s="62"/>
      <c r="BK1144" s="57" t="n">
        <v>-26</v>
      </c>
      <c r="BL1144" s="57" t="n">
        <v>145</v>
      </c>
      <c r="BM1144" s="56" t="n">
        <v>-293.8</v>
      </c>
      <c r="BN1144" s="57" t="n">
        <v>12</v>
      </c>
      <c r="BO1144" s="55"/>
      <c r="BP1144" s="60" t="n">
        <v>0</v>
      </c>
      <c r="BQ1144" s="60" t="n">
        <v>1144</v>
      </c>
      <c r="BR1144" s="55" t="str">
        <f aca="false">IF(U1144&lt;&gt;"",UPPER(TRIM(U1144)),IF(BU1144=1,UPPER(VLOOKUP(T1144,Parameter!$I$27:$K$29,2,0)),IF(P1144="","LOSE",P1144)))</f>
        <v>S52</v>
      </c>
      <c r="BS1144" s="57" t="n">
        <f aca="false">IF(BR1144="LOSE",1,IF(N(V1144)&gt;0,V1144,IF(BU1144=1,MAX(1,N(VLOOKUP(T1144,Parameter!$I$27:$K$29,3,0)),H1144,N(N1144)),IF(N(Q1144)&gt;0,Q1144,MAX(1,H1144)))))</f>
        <v>41</v>
      </c>
      <c r="BT1144" s="60" t="n">
        <f aca="false">IF(BR1144="LOSE",1,0)</f>
        <v>0</v>
      </c>
      <c r="BU1144" s="60" t="n">
        <f aca="false">IF(AND(U1144="",OR(P1144="",P1144="LOSE"),T1144&lt;&gt;"",N(S1144)&lt;=0,ISNUMBER(MATCH(T1144,Parameter!$I$27:$I$29,0))),1,0)</f>
        <v>0</v>
      </c>
      <c r="BV1144" s="55" t="str">
        <f aca="false">IF(AND(Parameter!$B$19="Ja",E1144&lt;&gt;"",ISNUMBER(MATCH(E1144,Parameter!$I$35:$I$52,0))),VLOOKUP(E1144,Parameter!$I$35:$J$52,2,0),IFERROR(VLOOKUP(D1144,Parameter!$A$35:$C$64,2,0),"Nein"))</f>
        <v>2+3</v>
      </c>
      <c r="BW1144" s="59" t="n">
        <f aca="false">IF(BT1144=0,0,IF(N(S1144)&gt;0,S1144,IFERROR(VLOOKUP(D1144,Parameter!$A$35:$C$64,3,0)+0,0)))</f>
        <v>0</v>
      </c>
      <c r="BX1144" s="55" t="n">
        <f aca="false">IF(AA1144&lt;&gt;"",AA1144,Z1144)</f>
        <v>3</v>
      </c>
      <c r="BY1144" s="55" t="str">
        <f aca="false">IF(BX1144=1,"L1",IF(OR(BX1144=2,BX1144=3),"L23",IF(BX1144="Aussen","Aussen","-")))</f>
        <v>L23</v>
      </c>
      <c r="BZ1144" s="66" t="n">
        <f aca="false">IF(N(AB1144)&gt;0,AB1144,0)</f>
        <v>0</v>
      </c>
      <c r="CA1144" s="60" t="n">
        <f aca="false">IF(ISNUMBER(AE1144),1,0)</f>
        <v>0</v>
      </c>
      <c r="CB1144" s="57" t="n">
        <f aca="false">N(AE1144)</f>
        <v>0</v>
      </c>
      <c r="CC1144" s="57" t="n">
        <f aca="false">N(M1144)+N(N1144)</f>
        <v>21</v>
      </c>
      <c r="CD1144" s="57" t="n">
        <f aca="false">ROUNDUP(H1144/BS1144,0)</f>
        <v>3</v>
      </c>
      <c r="CE1144" s="57" t="n">
        <f aca="false">ROUNDUP(CB1144/BS1144,0)</f>
        <v>0</v>
      </c>
      <c r="CF1144" s="60" t="n">
        <f aca="false">IF(BT1144=1,0,IFERROR(VLOOKUP(BR1144,'Gebinde-Kategorie'!$A$5:$M$45,5,0)+0,0))</f>
        <v>21</v>
      </c>
      <c r="CG1144" s="60" t="n">
        <f aca="false">IFERROR(IF(OR(BX1144=1,BX1144=2,BX1144=3),N(INDEX(Parameter!$I$5:$I$7,BX1144)),0),0)</f>
        <v>0</v>
      </c>
      <c r="CH1144" s="59" t="n">
        <f aca="false">IF(AND(Parameter!$B$21="Ja",ISNUMBER(W1144),N(X1144)&gt;0),IFERROR(N(INDEX(Parameter!$L$5:$L$7,W1144))*INDEX(Parameter!$E$5:$E$7,W1144)*X1144/SUMIFS($X$7:$X$1843,$W$7:$W$1843,W1144),0),0)</f>
        <v>0</v>
      </c>
    </row>
    <row r="1145" customFormat="false" ht="15" hidden="false" customHeight="false" outlineLevel="0" collapsed="false">
      <c r="A1145" s="55" t="s">
        <v>2069</v>
      </c>
      <c r="B1145" s="55" t="s">
        <v>1959</v>
      </c>
      <c r="C1145" s="55" t="s">
        <v>164</v>
      </c>
      <c r="D1145" s="55" t="s">
        <v>173</v>
      </c>
      <c r="E1145" s="55" t="s">
        <v>185</v>
      </c>
      <c r="F1145" s="55" t="s">
        <v>218</v>
      </c>
      <c r="G1145" s="56" t="n">
        <v>296</v>
      </c>
      <c r="H1145" s="57" t="n">
        <f aca="false">MAX(0,IF(AND(Parameter!$B$21="Ja",ISNUMBER(Y1145)),Y1145,IF(Parameter!$B$20="Jahresanfang 2025 + Export",BL1145+BK1145,BK1145)))</f>
        <v>5</v>
      </c>
      <c r="I1145" s="57" t="n">
        <f aca="false">H1145*G1145</f>
        <v>1480</v>
      </c>
      <c r="J1145" s="57" t="n">
        <f aca="false">BN1145*Parameter!$B$18</f>
        <v>0</v>
      </c>
      <c r="K1145" s="58" t="n">
        <v>6</v>
      </c>
      <c r="L1145" s="59" t="n">
        <v>0</v>
      </c>
      <c r="M1145" s="57" t="n">
        <v>0</v>
      </c>
      <c r="N1145" s="57" t="n">
        <v>1</v>
      </c>
      <c r="O1145" s="60" t="n">
        <v>44</v>
      </c>
      <c r="P1145" s="55" t="s">
        <v>174</v>
      </c>
      <c r="Q1145" s="57" t="n">
        <v>15</v>
      </c>
      <c r="R1145" s="60" t="n">
        <f aca="false">IF(BT1145=1,0,IFERROR(VLOOKUP(BR1145,'Gebinde-Kategorie'!$A$5:$M$45,13,0)+0,0))</f>
        <v>6</v>
      </c>
      <c r="S1145" s="61"/>
      <c r="T1145" s="62"/>
      <c r="U1145" s="62"/>
      <c r="V1145" s="62"/>
      <c r="W1145" s="55"/>
      <c r="X1145" s="57"/>
      <c r="Y1145" s="57"/>
      <c r="Z1145" s="55" t="n">
        <f aca="false">IF(A1145="","",IF(AND(Parameter!$B$21="Ja",ISNUMBER(W1145)),W1145,IF(BV1145="2+3",IF(ISNUMBER(SEARCH("grosser Artikel",BO1145)),2,IFERROR(VLOOKUP(BR1145,Parameter!$F$35:$G$64,2,0),2)),IF(OR(BV1145="Nein",BV1145=""),"-",BV1145))))</f>
        <v>2</v>
      </c>
      <c r="AA1145" s="62"/>
      <c r="AB1145" s="63"/>
      <c r="AC1145" s="57" t="n">
        <f aca="false">AR1145</f>
        <v>15</v>
      </c>
      <c r="AD1145" s="57" t="n">
        <f aca="false">MAX(AR1145,H1145)</f>
        <v>15</v>
      </c>
      <c r="AE1145" s="64"/>
      <c r="AF1145" s="57" t="n">
        <f aca="false">IF(LEFT(Cockpit!$C$5,1)="A",H1145,IF(CA1145=1,CB1145,IF(LEFT(Cockpit!$C$5,1)="B",AJ1145,MAX(AJ1145,H1145))))</f>
        <v>5</v>
      </c>
      <c r="AG1145" s="57" t="n">
        <f aca="false">IF(BT1145=1,0,ROUNDUP(AF1145/BS1145,0))</f>
        <v>1</v>
      </c>
      <c r="AH1145" s="59" t="n">
        <f aca="false">IF(CH1145&gt;0,CH1145*MAX(1,AF1145/X1145),IF(BT1145=1,IF(AF1145&lt;=0,0,BW1145*MAX(1,IF(H1145&gt;0,AF1145/H1145,1))),IF(R1145&gt;0,AG1145/R1145,0))/MAX(0.1,N(Parameter!$M$21)))</f>
        <v>0.166666666666667</v>
      </c>
      <c r="AI1145" s="57" t="n">
        <f aca="false">AF1145*G1145</f>
        <v>1480</v>
      </c>
      <c r="AJ1145" s="57" t="n">
        <f aca="false">ROUNDUP(MAX(J1145/IF(BZ1145&gt;0,BZ1145,MAX(0.1,N(Cockpit!$C$6))),CC1145)/BS1145,0)*BS1145</f>
        <v>15</v>
      </c>
      <c r="AK1145" s="58" t="n">
        <f aca="false">IF(AH1145&gt;0,J1145/AH1145,-1)</f>
        <v>0</v>
      </c>
      <c r="AL1145" s="58" t="n">
        <f aca="false">IF(AND(OR(BY1145="L1",BY1145="L23"),AH1145&gt;0),SUMIFS($AH$7:$AH$1843,$BY$7:$BY$1843,BY1145,$AK$7:$AK$1843,"&gt;"&amp;AK1145)+SUMIFS($AH$7:$AH$1843,$BY$7:$BY$1843,BY1145,$AK$7:$AK$1843,AK1145,$BQ$7:$BQ$1843,"&lt;="&amp;BQ1145),"")</f>
        <v>80.3011131380697</v>
      </c>
      <c r="AM1145" s="65" t="n">
        <f aca="false">IF(AL1145="",0,MAX(0,MIN(1,(IF(BY1145="L1",Parameter!$E$5,Parameter!$E$6+Parameter!$E$7)-(AL1145-AH1145))/AH1145)))</f>
        <v>1</v>
      </c>
      <c r="AN1145" s="57" t="n">
        <f aca="false">IF(LEFT(Cockpit!$I$5,1)="A",H1145,IF(CA1145=1,CB1145,IF(LEFT(Cockpit!$I$5,1)="B",AR1145,MAX(AR1145,H1145))))</f>
        <v>15</v>
      </c>
      <c r="AO1145" s="57" t="n">
        <f aca="false">IF(BT1145=1,0,ROUNDUP(AN1145/BS1145,0))</f>
        <v>1</v>
      </c>
      <c r="AP1145" s="59" t="n">
        <f aca="false">IF(CH1145&gt;0,CH1145*MAX(1,AN1145/X1145),IF(BT1145=1,IF(AN1145&lt;=0,0,BW1145*MAX(1,IF(H1145&gt;0,AN1145/H1145,1))),IF(R1145&gt;0,AO1145/R1145,0))/MAX(0.1,N(Parameter!$M$21)))</f>
        <v>0.166666666666667</v>
      </c>
      <c r="AQ1145" s="57" t="n">
        <f aca="false">AN1145*G1145</f>
        <v>4440</v>
      </c>
      <c r="AR1145" s="57" t="n">
        <f aca="false">ROUNDUP(MAX(J1145/IF(BZ1145&gt;0,BZ1145,MAX(0.1,N(Cockpit!$I$6))),CC1145)/BS1145,0)*BS1145</f>
        <v>15</v>
      </c>
      <c r="AS1145" s="58" t="n">
        <f aca="false">IF(AP1145&gt;0,J1145/AP1145,-1)</f>
        <v>0</v>
      </c>
      <c r="AT1145" s="58" t="n">
        <f aca="false">IF(AND(OR(BY1145="L1",BY1145="L23"),AP1145&gt;0),SUMIFS($AP$7:$AP$1843,$BY$7:$BY$1843,BY1145,$AS$7:$AS$1843,"&gt;"&amp;AS1145)+SUMIFS($AP$7:$AP$1843,$BY$7:$BY$1843,BY1145,$AS$7:$AS$1843,AS1145,$BQ$7:$BQ$1843,"&lt;="&amp;BQ1145),"")</f>
        <v>122.242306003176</v>
      </c>
      <c r="AU1145" s="65" t="n">
        <f aca="false">IF(AT1145="",0,MAX(0,MIN(1,(IF(BY1145="L1",Parameter!$E$5,Parameter!$E$6+Parameter!$E$7)-(AT1145-AP1145))/AP1145)))</f>
        <v>0</v>
      </c>
      <c r="AV1145" s="57" t="n">
        <f aca="false">IF(LEFT(Cockpit!$O$5,1)="A",H1145,IF(CA1145=1,CB1145,IF(LEFT(Cockpit!$O$5,1)="B",AZ1145,MAX(AZ1145,H1145))))</f>
        <v>15</v>
      </c>
      <c r="AW1145" s="57" t="n">
        <f aca="false">IF(BT1145=1,0,ROUNDUP(AV1145/BS1145,0))</f>
        <v>1</v>
      </c>
      <c r="AX1145" s="59" t="n">
        <f aca="false">IF(CH1145&gt;0,CH1145*MAX(1,AV1145/X1145),IF(BT1145=1,IF(AV1145&lt;=0,0,BW1145*MAX(1,IF(H1145&gt;0,AV1145/H1145,1))),IF(R1145&gt;0,AW1145/R1145,0))/MAX(0.1,N(Parameter!$M$21)))</f>
        <v>0.166666666666667</v>
      </c>
      <c r="AY1145" s="57" t="n">
        <f aca="false">AV1145*G1145</f>
        <v>4440</v>
      </c>
      <c r="AZ1145" s="57" t="n">
        <f aca="false">ROUNDUP(MAX(J1145/IF(BZ1145&gt;0,BZ1145,MAX(0.1,N(Cockpit!$O$6))),CC1145)/BS1145,0)*BS1145</f>
        <v>15</v>
      </c>
      <c r="BA1145" s="58" t="n">
        <f aca="false">IF(AX1145&gt;0,J1145/AX1145,-1)</f>
        <v>0</v>
      </c>
      <c r="BB1145" s="58" t="n">
        <f aca="false">IF(AND(OR(BY1145="L1",BY1145="L23"),AX1145&gt;0),SUMIFS($AX$7:$AX$1843,$BY$7:$BY$1843,BY1145,$BA$7:$BA$1843,"&gt;"&amp;BA1145)+SUMIFS($AX$7:$AX$1843,$BY$7:$BY$1843,BY1145,$BA$7:$BA$1843,BA1145,$BQ$7:$BQ$1843,"&lt;="&amp;BQ1145),"")</f>
        <v>113.072142833012</v>
      </c>
      <c r="BC1145" s="65" t="n">
        <f aca="false">IF(BB1145="",0,MAX(0,MIN(1,(IF(BY1145="L1",Parameter!$E$5,Parameter!$E$6+Parameter!$E$7)-(BB1145-AX1145))/AX1145)))</f>
        <v>0</v>
      </c>
      <c r="BD1145" s="55" t="str">
        <f aca="false">IF(AH1145&lt;=0,"",IF(BY1145="Aussen","Aussenlager",IF(BY1145="-","Nicht im Lift",IF(AM1145&gt;=1,"Lift",IF(AM1145&lt;=0,"Aussenlager","teilweise")))))</f>
        <v>Lift</v>
      </c>
      <c r="BE1145" s="55" t="str">
        <f aca="false">IF(AP1145&lt;=0,"",IF(BY1145="Aussen","Aussenlager",IF(BY1145="-","Nicht im Lift",IF(AU1145&gt;=1,"Lift",IF(AU1145&lt;=0,"Aussenlager","teilweise")))))</f>
        <v>Aussenlager</v>
      </c>
      <c r="BF1145" s="55" t="str">
        <f aca="false">IF(AX1145&lt;=0,"",IF(BY1145="Aussen","Aussenlager",IF(BY1145="-","Nicht im Lift",IF(BC1145&gt;=1,"Lift",IF(BC1145&lt;=0,"Aussenlager","teilweise")))))</f>
        <v>Aussenlager</v>
      </c>
      <c r="BG1145" s="55" t="str">
        <f aca="false">IF(A1145="","",IF(BP1145=1,"Neu; ","")&amp;IF(AND(BP1145=0,BK1145&lt;0),"negativer Bestand (Export "&amp;BK1145&amp;"); ","")&amp;IF(J1145&lt;=0,"Kein Verbrauch; ","")&amp;IF(CH1145&gt;0,"Lift "&amp;W1145&amp;" lt. Liftbericht (Fach "&amp;X1145&amp;" Stk); ",IF(BU1145=1,"Gebinde geschätzt ("&amp;T1145&amp;"); ",IF(BT1145=1,"Lose – Tablare geschätzt; ","")))&amp;IF(H1145&gt;AR1145,"Überbestand "&amp;ROUND(H1145-AR1145,0)&amp;" Stk / CHF "&amp;ROUND((H1145-AR1145)*G1145,0)&amp;"; ","")&amp;IF(AND(CA1145=1,CB1145&lt;CC1145),"MAX &lt; MB+LG; ","")&amp;IF(AND(CG1145&gt;0,CF1145*10&gt;CG1145),"zu hoch für Tablar; ","")&amp;IF(AND(BP1145=0,OR(CA1145=1,AA1145&lt;&gt;"",U1145&lt;&gt;"",V1145&lt;&gt;"",AB1145&lt;&gt;"")),"manuell übersteuert; ","")&amp;IF(AND(BT1145=0,R1145=0),"Gebinde unbekannt / Stellmass fehlt; ","")&amp;IF(AND(BT1145=0,N(V1145)&lt;=0,N(Q1145)&lt;=0),"Menge pro Gebinde fehlt (Ist = 1 Gebinde); ","")&amp;BO1145)</f>
        <v>negativer Bestand (Export -1); Kein Verbrauch; Neu; grosser Artikel &amp; nicht im KTL</v>
      </c>
      <c r="BH1145" s="55"/>
      <c r="BI1145" s="55"/>
      <c r="BJ1145" s="62"/>
      <c r="BK1145" s="57" t="n">
        <v>-1</v>
      </c>
      <c r="BL1145" s="57" t="n">
        <v>6</v>
      </c>
      <c r="BM1145" s="56" t="n">
        <v>-296</v>
      </c>
      <c r="BN1145" s="57" t="n">
        <v>0</v>
      </c>
      <c r="BO1145" s="55" t="s">
        <v>2070</v>
      </c>
      <c r="BP1145" s="60" t="n">
        <v>0</v>
      </c>
      <c r="BQ1145" s="60" t="n">
        <v>1145</v>
      </c>
      <c r="BR1145" s="55" t="str">
        <f aca="false">IF(U1145&lt;&gt;"",UPPER(TRIM(U1145)),IF(BU1145=1,UPPER(VLOOKUP(T1145,Parameter!$I$27:$K$29,2,0)),IF(P1145="","LOSE",P1145)))</f>
        <v>S71</v>
      </c>
      <c r="BS1145" s="57" t="n">
        <f aca="false">IF(BR1145="LOSE",1,IF(N(V1145)&gt;0,V1145,IF(BU1145=1,MAX(1,N(VLOOKUP(T1145,Parameter!$I$27:$K$29,3,0)),H1145,N(N1145)),IF(N(Q1145)&gt;0,Q1145,MAX(1,H1145)))))</f>
        <v>15</v>
      </c>
      <c r="BT1145" s="60" t="n">
        <f aca="false">IF(BR1145="LOSE",1,0)</f>
        <v>0</v>
      </c>
      <c r="BU1145" s="60" t="n">
        <f aca="false">IF(AND(U1145="",OR(P1145="",P1145="LOSE"),T1145&lt;&gt;"",N(S1145)&lt;=0,ISNUMBER(MATCH(T1145,Parameter!$I$27:$I$29,0))),1,0)</f>
        <v>0</v>
      </c>
      <c r="BV1145" s="55" t="str">
        <f aca="false">IF(AND(Parameter!$B$19="Ja",E1145&lt;&gt;"",ISNUMBER(MATCH(E1145,Parameter!$I$35:$I$52,0))),VLOOKUP(E1145,Parameter!$I$35:$J$52,2,0),IFERROR(VLOOKUP(D1145,Parameter!$A$35:$C$64,2,0),"Nein"))</f>
        <v>2+3</v>
      </c>
      <c r="BW1145" s="59" t="n">
        <f aca="false">IF(BT1145=0,0,IF(N(S1145)&gt;0,S1145,IFERROR(VLOOKUP(D1145,Parameter!$A$35:$C$64,3,0)+0,0)))</f>
        <v>0</v>
      </c>
      <c r="BX1145" s="55" t="n">
        <f aca="false">IF(AA1145&lt;&gt;"",AA1145,Z1145)</f>
        <v>2</v>
      </c>
      <c r="BY1145" s="55" t="str">
        <f aca="false">IF(BX1145=1,"L1",IF(OR(BX1145=2,BX1145=3),"L23",IF(BX1145="Aussen","Aussen","-")))</f>
        <v>L23</v>
      </c>
      <c r="BZ1145" s="66" t="n">
        <f aca="false">IF(N(AB1145)&gt;0,AB1145,0)</f>
        <v>0</v>
      </c>
      <c r="CA1145" s="60" t="n">
        <f aca="false">IF(ISNUMBER(AE1145),1,0)</f>
        <v>0</v>
      </c>
      <c r="CB1145" s="57" t="n">
        <f aca="false">N(AE1145)</f>
        <v>0</v>
      </c>
      <c r="CC1145" s="57" t="n">
        <f aca="false">N(M1145)+N(N1145)</f>
        <v>1</v>
      </c>
      <c r="CD1145" s="57" t="n">
        <f aca="false">ROUNDUP(H1145/BS1145,0)</f>
        <v>1</v>
      </c>
      <c r="CE1145" s="57" t="n">
        <f aca="false">ROUNDUP(CB1145/BS1145,0)</f>
        <v>0</v>
      </c>
      <c r="CF1145" s="60" t="n">
        <f aca="false">IF(BT1145=1,0,IFERROR(VLOOKUP(BR1145,'Gebinde-Kategorie'!$A$5:$M$45,5,0)+0,0))</f>
        <v>20</v>
      </c>
      <c r="CG1145" s="60" t="n">
        <f aca="false">IFERROR(IF(OR(BX1145=1,BX1145=2,BX1145=3),N(INDEX(Parameter!$I$5:$I$7,BX1145)),0),0)</f>
        <v>0</v>
      </c>
      <c r="CH1145" s="59" t="n">
        <f aca="false">IF(AND(Parameter!$B$21="Ja",ISNUMBER(W1145),N(X1145)&gt;0),IFERROR(N(INDEX(Parameter!$L$5:$L$7,W1145))*INDEX(Parameter!$E$5:$E$7,W1145)*X1145/SUMIFS($X$7:$X$1843,$W$7:$W$1843,W1145),0),0)</f>
        <v>0</v>
      </c>
    </row>
    <row r="1146" customFormat="false" ht="15" hidden="false" customHeight="false" outlineLevel="0" collapsed="false">
      <c r="A1146" s="55" t="s">
        <v>2071</v>
      </c>
      <c r="B1146" s="55" t="s">
        <v>372</v>
      </c>
      <c r="C1146" s="55" t="s">
        <v>164</v>
      </c>
      <c r="D1146" s="55" t="s">
        <v>173</v>
      </c>
      <c r="E1146" s="55" t="s">
        <v>185</v>
      </c>
      <c r="F1146" s="55" t="s">
        <v>218</v>
      </c>
      <c r="G1146" s="56" t="n">
        <v>296</v>
      </c>
      <c r="H1146" s="57" t="n">
        <f aca="false">MAX(0,IF(AND(Parameter!$B$21="Ja",ISNUMBER(Y1146)),Y1146,IF(Parameter!$B$20="Jahresanfang 2025 + Export",BL1146+BK1146,BK1146)))</f>
        <v>5</v>
      </c>
      <c r="I1146" s="57" t="n">
        <f aca="false">H1146*G1146</f>
        <v>1480</v>
      </c>
      <c r="J1146" s="57" t="n">
        <f aca="false">BN1146*Parameter!$B$18</f>
        <v>0</v>
      </c>
      <c r="K1146" s="58" t="n">
        <v>6</v>
      </c>
      <c r="L1146" s="59" t="n">
        <v>0</v>
      </c>
      <c r="M1146" s="57" t="n">
        <v>0</v>
      </c>
      <c r="N1146" s="57" t="n">
        <v>1</v>
      </c>
      <c r="O1146" s="60" t="n">
        <v>44</v>
      </c>
      <c r="P1146" s="55" t="s">
        <v>174</v>
      </c>
      <c r="Q1146" s="57" t="n">
        <v>15</v>
      </c>
      <c r="R1146" s="60" t="n">
        <f aca="false">IF(BT1146=1,0,IFERROR(VLOOKUP(BR1146,'Gebinde-Kategorie'!$A$5:$M$45,13,0)+0,0))</f>
        <v>6</v>
      </c>
      <c r="S1146" s="61"/>
      <c r="T1146" s="62"/>
      <c r="U1146" s="62"/>
      <c r="V1146" s="62"/>
      <c r="W1146" s="55"/>
      <c r="X1146" s="57"/>
      <c r="Y1146" s="57"/>
      <c r="Z1146" s="55" t="n">
        <f aca="false">IF(A1146="","",IF(AND(Parameter!$B$21="Ja",ISNUMBER(W1146)),W1146,IF(BV1146="2+3",IF(ISNUMBER(SEARCH("grosser Artikel",BO1146)),2,IFERROR(VLOOKUP(BR1146,Parameter!$F$35:$G$64,2,0),2)),IF(OR(BV1146="Nein",BV1146=""),"-",BV1146))))</f>
        <v>2</v>
      </c>
      <c r="AA1146" s="62"/>
      <c r="AB1146" s="63"/>
      <c r="AC1146" s="57" t="n">
        <f aca="false">AR1146</f>
        <v>15</v>
      </c>
      <c r="AD1146" s="57" t="n">
        <f aca="false">MAX(AR1146,H1146)</f>
        <v>15</v>
      </c>
      <c r="AE1146" s="64"/>
      <c r="AF1146" s="57" t="n">
        <f aca="false">IF(LEFT(Cockpit!$C$5,1)="A",H1146,IF(CA1146=1,CB1146,IF(LEFT(Cockpit!$C$5,1)="B",AJ1146,MAX(AJ1146,H1146))))</f>
        <v>5</v>
      </c>
      <c r="AG1146" s="57" t="n">
        <f aca="false">IF(BT1146=1,0,ROUNDUP(AF1146/BS1146,0))</f>
        <v>1</v>
      </c>
      <c r="AH1146" s="59" t="n">
        <f aca="false">IF(CH1146&gt;0,CH1146*MAX(1,AF1146/X1146),IF(BT1146=1,IF(AF1146&lt;=0,0,BW1146*MAX(1,IF(H1146&gt;0,AF1146/H1146,1))),IF(R1146&gt;0,AG1146/R1146,0))/MAX(0.1,N(Parameter!$M$21)))</f>
        <v>0.166666666666667</v>
      </c>
      <c r="AI1146" s="57" t="n">
        <f aca="false">AF1146*G1146</f>
        <v>1480</v>
      </c>
      <c r="AJ1146" s="57" t="n">
        <f aca="false">ROUNDUP(MAX(J1146/IF(BZ1146&gt;0,BZ1146,MAX(0.1,N(Cockpit!$C$6))),CC1146)/BS1146,0)*BS1146</f>
        <v>15</v>
      </c>
      <c r="AK1146" s="58" t="n">
        <f aca="false">IF(AH1146&gt;0,J1146/AH1146,-1)</f>
        <v>0</v>
      </c>
      <c r="AL1146" s="58" t="n">
        <f aca="false">IF(AND(OR(BY1146="L1",BY1146="L23"),AH1146&gt;0),SUMIFS($AH$7:$AH$1843,$BY$7:$BY$1843,BY1146,$AK$7:$AK$1843,"&gt;"&amp;AK1146)+SUMIFS($AH$7:$AH$1843,$BY$7:$BY$1843,BY1146,$AK$7:$AK$1843,AK1146,$BQ$7:$BQ$1843,"&lt;="&amp;BQ1146),"")</f>
        <v>80.4677798047363</v>
      </c>
      <c r="AM1146" s="65" t="n">
        <f aca="false">IF(AL1146="",0,MAX(0,MIN(1,(IF(BY1146="L1",Parameter!$E$5,Parameter!$E$6+Parameter!$E$7)-(AL1146-AH1146))/AH1146)))</f>
        <v>1</v>
      </c>
      <c r="AN1146" s="57" t="n">
        <f aca="false">IF(LEFT(Cockpit!$I$5,1)="A",H1146,IF(CA1146=1,CB1146,IF(LEFT(Cockpit!$I$5,1)="B",AR1146,MAX(AR1146,H1146))))</f>
        <v>15</v>
      </c>
      <c r="AO1146" s="57" t="n">
        <f aca="false">IF(BT1146=1,0,ROUNDUP(AN1146/BS1146,0))</f>
        <v>1</v>
      </c>
      <c r="AP1146" s="59" t="n">
        <f aca="false">IF(CH1146&gt;0,CH1146*MAX(1,AN1146/X1146),IF(BT1146=1,IF(AN1146&lt;=0,0,BW1146*MAX(1,IF(H1146&gt;0,AN1146/H1146,1))),IF(R1146&gt;0,AO1146/R1146,0))/MAX(0.1,N(Parameter!$M$21)))</f>
        <v>0.166666666666667</v>
      </c>
      <c r="AQ1146" s="57" t="n">
        <f aca="false">AN1146*G1146</f>
        <v>4440</v>
      </c>
      <c r="AR1146" s="57" t="n">
        <f aca="false">ROUNDUP(MAX(J1146/IF(BZ1146&gt;0,BZ1146,MAX(0.1,N(Cockpit!$I$6))),CC1146)/BS1146,0)*BS1146</f>
        <v>15</v>
      </c>
      <c r="AS1146" s="58" t="n">
        <f aca="false">IF(AP1146&gt;0,J1146/AP1146,-1)</f>
        <v>0</v>
      </c>
      <c r="AT1146" s="58" t="n">
        <f aca="false">IF(AND(OR(BY1146="L1",BY1146="L23"),AP1146&gt;0),SUMIFS($AP$7:$AP$1843,$BY$7:$BY$1843,BY1146,$AS$7:$AS$1843,"&gt;"&amp;AS1146)+SUMIFS($AP$7:$AP$1843,$BY$7:$BY$1843,BY1146,$AS$7:$AS$1843,AS1146,$BQ$7:$BQ$1843,"&lt;="&amp;BQ1146),"")</f>
        <v>122.408972669842</v>
      </c>
      <c r="AU1146" s="65" t="n">
        <f aca="false">IF(AT1146="",0,MAX(0,MIN(1,(IF(BY1146="L1",Parameter!$E$5,Parameter!$E$6+Parameter!$E$7)-(AT1146-AP1146))/AP1146)))</f>
        <v>0</v>
      </c>
      <c r="AV1146" s="57" t="n">
        <f aca="false">IF(LEFT(Cockpit!$O$5,1)="A",H1146,IF(CA1146=1,CB1146,IF(LEFT(Cockpit!$O$5,1)="B",AZ1146,MAX(AZ1146,H1146))))</f>
        <v>15</v>
      </c>
      <c r="AW1146" s="57" t="n">
        <f aca="false">IF(BT1146=1,0,ROUNDUP(AV1146/BS1146,0))</f>
        <v>1</v>
      </c>
      <c r="AX1146" s="59" t="n">
        <f aca="false">IF(CH1146&gt;0,CH1146*MAX(1,AV1146/X1146),IF(BT1146=1,IF(AV1146&lt;=0,0,BW1146*MAX(1,IF(H1146&gt;0,AV1146/H1146,1))),IF(R1146&gt;0,AW1146/R1146,0))/MAX(0.1,N(Parameter!$M$21)))</f>
        <v>0.166666666666667</v>
      </c>
      <c r="AY1146" s="57" t="n">
        <f aca="false">AV1146*G1146</f>
        <v>4440</v>
      </c>
      <c r="AZ1146" s="57" t="n">
        <f aca="false">ROUNDUP(MAX(J1146/IF(BZ1146&gt;0,BZ1146,MAX(0.1,N(Cockpit!$O$6))),CC1146)/BS1146,0)*BS1146</f>
        <v>15</v>
      </c>
      <c r="BA1146" s="58" t="n">
        <f aca="false">IF(AX1146&gt;0,J1146/AX1146,-1)</f>
        <v>0</v>
      </c>
      <c r="BB1146" s="58" t="n">
        <f aca="false">IF(AND(OR(BY1146="L1",BY1146="L23"),AX1146&gt;0),SUMIFS($AX$7:$AX$1843,$BY$7:$BY$1843,BY1146,$BA$7:$BA$1843,"&gt;"&amp;BA1146)+SUMIFS($AX$7:$AX$1843,$BY$7:$BY$1843,BY1146,$BA$7:$BA$1843,BA1146,$BQ$7:$BQ$1843,"&lt;="&amp;BQ1146),"")</f>
        <v>113.238809499679</v>
      </c>
      <c r="BC1146" s="65" t="n">
        <f aca="false">IF(BB1146="",0,MAX(0,MIN(1,(IF(BY1146="L1",Parameter!$E$5,Parameter!$E$6+Parameter!$E$7)-(BB1146-AX1146))/AX1146)))</f>
        <v>0</v>
      </c>
      <c r="BD1146" s="55" t="str">
        <f aca="false">IF(AH1146&lt;=0,"",IF(BY1146="Aussen","Aussenlager",IF(BY1146="-","Nicht im Lift",IF(AM1146&gt;=1,"Lift",IF(AM1146&lt;=0,"Aussenlager","teilweise")))))</f>
        <v>Lift</v>
      </c>
      <c r="BE1146" s="55" t="str">
        <f aca="false">IF(AP1146&lt;=0,"",IF(BY1146="Aussen","Aussenlager",IF(BY1146="-","Nicht im Lift",IF(AU1146&gt;=1,"Lift",IF(AU1146&lt;=0,"Aussenlager","teilweise")))))</f>
        <v>Aussenlager</v>
      </c>
      <c r="BF1146" s="55" t="str">
        <f aca="false">IF(AX1146&lt;=0,"",IF(BY1146="Aussen","Aussenlager",IF(BY1146="-","Nicht im Lift",IF(BC1146&gt;=1,"Lift",IF(BC1146&lt;=0,"Aussenlager","teilweise")))))</f>
        <v>Aussenlager</v>
      </c>
      <c r="BG1146" s="55" t="str">
        <f aca="false">IF(A1146="","",IF(BP1146=1,"Neu; ","")&amp;IF(AND(BP1146=0,BK1146&lt;0),"negativer Bestand (Export "&amp;BK1146&amp;"); ","")&amp;IF(J1146&lt;=0,"Kein Verbrauch; ","")&amp;IF(CH1146&gt;0,"Lift "&amp;W1146&amp;" lt. Liftbericht (Fach "&amp;X1146&amp;" Stk); ",IF(BU1146=1,"Gebinde geschätzt ("&amp;T1146&amp;"); ",IF(BT1146=1,"Lose – Tablare geschätzt; ","")))&amp;IF(H1146&gt;AR1146,"Überbestand "&amp;ROUND(H1146-AR1146,0)&amp;" Stk / CHF "&amp;ROUND((H1146-AR1146)*G1146,0)&amp;"; ","")&amp;IF(AND(CA1146=1,CB1146&lt;CC1146),"MAX &lt; MB+LG; ","")&amp;IF(AND(CG1146&gt;0,CF1146*10&gt;CG1146),"zu hoch für Tablar; ","")&amp;IF(AND(BP1146=0,OR(CA1146=1,AA1146&lt;&gt;"",U1146&lt;&gt;"",V1146&lt;&gt;"",AB1146&lt;&gt;"")),"manuell übersteuert; ","")&amp;IF(AND(BT1146=0,R1146=0),"Gebinde unbekannt / Stellmass fehlt; ","")&amp;IF(AND(BT1146=0,N(V1146)&lt;=0,N(Q1146)&lt;=0),"Menge pro Gebinde fehlt (Ist = 1 Gebinde); ","")&amp;BO1146)</f>
        <v>negativer Bestand (Export -1); Kein Verbrauch; Neu; grosser Artikel &amp; nicht im KTL</v>
      </c>
      <c r="BH1146" s="55"/>
      <c r="BI1146" s="55"/>
      <c r="BJ1146" s="62"/>
      <c r="BK1146" s="57" t="n">
        <v>-1</v>
      </c>
      <c r="BL1146" s="57" t="n">
        <v>6</v>
      </c>
      <c r="BM1146" s="56" t="n">
        <v>-296</v>
      </c>
      <c r="BN1146" s="57" t="n">
        <v>0</v>
      </c>
      <c r="BO1146" s="55" t="s">
        <v>2070</v>
      </c>
      <c r="BP1146" s="60" t="n">
        <v>0</v>
      </c>
      <c r="BQ1146" s="60" t="n">
        <v>1146</v>
      </c>
      <c r="BR1146" s="55" t="str">
        <f aca="false">IF(U1146&lt;&gt;"",UPPER(TRIM(U1146)),IF(BU1146=1,UPPER(VLOOKUP(T1146,Parameter!$I$27:$K$29,2,0)),IF(P1146="","LOSE",P1146)))</f>
        <v>S71</v>
      </c>
      <c r="BS1146" s="57" t="n">
        <f aca="false">IF(BR1146="LOSE",1,IF(N(V1146)&gt;0,V1146,IF(BU1146=1,MAX(1,N(VLOOKUP(T1146,Parameter!$I$27:$K$29,3,0)),H1146,N(N1146)),IF(N(Q1146)&gt;0,Q1146,MAX(1,H1146)))))</f>
        <v>15</v>
      </c>
      <c r="BT1146" s="60" t="n">
        <f aca="false">IF(BR1146="LOSE",1,0)</f>
        <v>0</v>
      </c>
      <c r="BU1146" s="60" t="n">
        <f aca="false">IF(AND(U1146="",OR(P1146="",P1146="LOSE"),T1146&lt;&gt;"",N(S1146)&lt;=0,ISNUMBER(MATCH(T1146,Parameter!$I$27:$I$29,0))),1,0)</f>
        <v>0</v>
      </c>
      <c r="BV1146" s="55" t="str">
        <f aca="false">IF(AND(Parameter!$B$19="Ja",E1146&lt;&gt;"",ISNUMBER(MATCH(E1146,Parameter!$I$35:$I$52,0))),VLOOKUP(E1146,Parameter!$I$35:$J$52,2,0),IFERROR(VLOOKUP(D1146,Parameter!$A$35:$C$64,2,0),"Nein"))</f>
        <v>2+3</v>
      </c>
      <c r="BW1146" s="59" t="n">
        <f aca="false">IF(BT1146=0,0,IF(N(S1146)&gt;0,S1146,IFERROR(VLOOKUP(D1146,Parameter!$A$35:$C$64,3,0)+0,0)))</f>
        <v>0</v>
      </c>
      <c r="BX1146" s="55" t="n">
        <f aca="false">IF(AA1146&lt;&gt;"",AA1146,Z1146)</f>
        <v>2</v>
      </c>
      <c r="BY1146" s="55" t="str">
        <f aca="false">IF(BX1146=1,"L1",IF(OR(BX1146=2,BX1146=3),"L23",IF(BX1146="Aussen","Aussen","-")))</f>
        <v>L23</v>
      </c>
      <c r="BZ1146" s="66" t="n">
        <f aca="false">IF(N(AB1146)&gt;0,AB1146,0)</f>
        <v>0</v>
      </c>
      <c r="CA1146" s="60" t="n">
        <f aca="false">IF(ISNUMBER(AE1146),1,0)</f>
        <v>0</v>
      </c>
      <c r="CB1146" s="57" t="n">
        <f aca="false">N(AE1146)</f>
        <v>0</v>
      </c>
      <c r="CC1146" s="57" t="n">
        <f aca="false">N(M1146)+N(N1146)</f>
        <v>1</v>
      </c>
      <c r="CD1146" s="57" t="n">
        <f aca="false">ROUNDUP(H1146/BS1146,0)</f>
        <v>1</v>
      </c>
      <c r="CE1146" s="57" t="n">
        <f aca="false">ROUNDUP(CB1146/BS1146,0)</f>
        <v>0</v>
      </c>
      <c r="CF1146" s="60" t="n">
        <f aca="false">IF(BT1146=1,0,IFERROR(VLOOKUP(BR1146,'Gebinde-Kategorie'!$A$5:$M$45,5,0)+0,0))</f>
        <v>20</v>
      </c>
      <c r="CG1146" s="60" t="n">
        <f aca="false">IFERROR(IF(OR(BX1146=1,BX1146=2,BX1146=3),N(INDEX(Parameter!$I$5:$I$7,BX1146)),0),0)</f>
        <v>0</v>
      </c>
      <c r="CH1146" s="59" t="n">
        <f aca="false">IF(AND(Parameter!$B$21="Ja",ISNUMBER(W1146),N(X1146)&gt;0),IFERROR(N(INDEX(Parameter!$L$5:$L$7,W1146))*INDEX(Parameter!$E$5:$E$7,W1146)*X1146/SUMIFS($X$7:$X$1843,$W$7:$W$1843,W1146),0),0)</f>
        <v>0</v>
      </c>
    </row>
    <row r="1147" customFormat="false" ht="15" hidden="false" customHeight="false" outlineLevel="0" collapsed="false">
      <c r="A1147" s="55" t="s">
        <v>2072</v>
      </c>
      <c r="B1147" s="55" t="s">
        <v>213</v>
      </c>
      <c r="C1147" s="55" t="s">
        <v>164</v>
      </c>
      <c r="D1147" s="55" t="s">
        <v>173</v>
      </c>
      <c r="E1147" s="55"/>
      <c r="F1147" s="55" t="s">
        <v>218</v>
      </c>
      <c r="G1147" s="56" t="n">
        <v>66.38</v>
      </c>
      <c r="H1147" s="57" t="n">
        <f aca="false">MAX(0,IF(AND(Parameter!$B$21="Ja",ISNUMBER(Y1147)),Y1147,IF(Parameter!$B$20="Jahresanfang 2025 + Export",BL1147+BK1147,BK1147)))</f>
        <v>9</v>
      </c>
      <c r="I1147" s="57" t="n">
        <f aca="false">H1147*G1147</f>
        <v>597.42</v>
      </c>
      <c r="J1147" s="57" t="n">
        <f aca="false">BN1147*Parameter!$B$18</f>
        <v>29</v>
      </c>
      <c r="K1147" s="58" t="n">
        <v>6</v>
      </c>
      <c r="L1147" s="59" t="n">
        <v>4.83333333333333</v>
      </c>
      <c r="M1147" s="57" t="n">
        <v>7</v>
      </c>
      <c r="N1147" s="57" t="n">
        <v>30</v>
      </c>
      <c r="O1147" s="60" t="n">
        <v>90</v>
      </c>
      <c r="P1147" s="55" t="s">
        <v>186</v>
      </c>
      <c r="Q1147" s="57" t="n">
        <v>20</v>
      </c>
      <c r="R1147" s="60" t="n">
        <f aca="false">IF(BT1147=1,0,IFERROR(VLOOKUP(BR1147,'Gebinde-Kategorie'!$A$5:$M$45,13,0)+0,0))</f>
        <v>12</v>
      </c>
      <c r="S1147" s="61"/>
      <c r="T1147" s="62"/>
      <c r="U1147" s="62"/>
      <c r="V1147" s="62"/>
      <c r="W1147" s="55"/>
      <c r="X1147" s="57"/>
      <c r="Y1147" s="57"/>
      <c r="Z1147" s="55" t="n">
        <f aca="false">IF(A1147="","",IF(AND(Parameter!$B$21="Ja",ISNUMBER(W1147)),W1147,IF(BV1147="2+3",IF(ISNUMBER(SEARCH("grosser Artikel",BO1147)),2,IFERROR(VLOOKUP(BR1147,Parameter!$F$35:$G$64,2,0),2)),IF(OR(BV1147="Nein",BV1147=""),"-",BV1147))))</f>
        <v>2</v>
      </c>
      <c r="AA1147" s="62"/>
      <c r="AB1147" s="63"/>
      <c r="AC1147" s="57" t="n">
        <f aca="false">AR1147</f>
        <v>40</v>
      </c>
      <c r="AD1147" s="57" t="n">
        <f aca="false">MAX(AR1147,H1147)</f>
        <v>40</v>
      </c>
      <c r="AE1147" s="64"/>
      <c r="AF1147" s="57" t="n">
        <f aca="false">IF(LEFT(Cockpit!$C$5,1)="A",H1147,IF(CA1147=1,CB1147,IF(LEFT(Cockpit!$C$5,1)="B",AJ1147,MAX(AJ1147,H1147))))</f>
        <v>9</v>
      </c>
      <c r="AG1147" s="57" t="n">
        <f aca="false">IF(BT1147=1,0,ROUNDUP(AF1147/BS1147,0))</f>
        <v>1</v>
      </c>
      <c r="AH1147" s="59" t="n">
        <f aca="false">IF(CH1147&gt;0,CH1147*MAX(1,AF1147/X1147),IF(BT1147=1,IF(AF1147&lt;=0,0,BW1147*MAX(1,IF(H1147&gt;0,AF1147/H1147,1))),IF(R1147&gt;0,AG1147/R1147,0))/MAX(0.1,N(Parameter!$M$21)))</f>
        <v>0.0833333333333333</v>
      </c>
      <c r="AI1147" s="57" t="n">
        <f aca="false">AF1147*G1147</f>
        <v>597.42</v>
      </c>
      <c r="AJ1147" s="57" t="n">
        <f aca="false">ROUNDUP(MAX(J1147/IF(BZ1147&gt;0,BZ1147,MAX(0.1,N(Cockpit!$C$6))),CC1147)/BS1147,0)*BS1147</f>
        <v>40</v>
      </c>
      <c r="AK1147" s="58" t="n">
        <f aca="false">IF(AH1147&gt;0,J1147/AH1147,-1)</f>
        <v>348</v>
      </c>
      <c r="AL1147" s="58" t="n">
        <f aca="false">IF(AND(OR(BY1147="L1",BY1147="L23"),AH1147&gt;0),SUMIFS($AH$7:$AH$1843,$BY$7:$BY$1843,BY1147,$AK$7:$AK$1843,"&gt;"&amp;AK1147)+SUMIFS($AH$7:$AH$1843,$BY$7:$BY$1843,BY1147,$AK$7:$AK$1843,AK1147,$BQ$7:$BQ$1843,"&lt;="&amp;BQ1147),"")</f>
        <v>27.4185078206817</v>
      </c>
      <c r="AM1147" s="65" t="n">
        <f aca="false">IF(AL1147="",0,MAX(0,MIN(1,(IF(BY1147="L1",Parameter!$E$5,Parameter!$E$6+Parameter!$E$7)-(AL1147-AH1147))/AH1147)))</f>
        <v>1</v>
      </c>
      <c r="AN1147" s="57" t="n">
        <f aca="false">IF(LEFT(Cockpit!$I$5,1)="A",H1147,IF(CA1147=1,CB1147,IF(LEFT(Cockpit!$I$5,1)="B",AR1147,MAX(AR1147,H1147))))</f>
        <v>40</v>
      </c>
      <c r="AO1147" s="57" t="n">
        <f aca="false">IF(BT1147=1,0,ROUNDUP(AN1147/BS1147,0))</f>
        <v>2</v>
      </c>
      <c r="AP1147" s="59" t="n">
        <f aca="false">IF(CH1147&gt;0,CH1147*MAX(1,AN1147/X1147),IF(BT1147=1,IF(AN1147&lt;=0,0,BW1147*MAX(1,IF(H1147&gt;0,AN1147/H1147,1))),IF(R1147&gt;0,AO1147/R1147,0))/MAX(0.1,N(Parameter!$M$21)))</f>
        <v>0.166666666666667</v>
      </c>
      <c r="AQ1147" s="57" t="n">
        <f aca="false">AN1147*G1147</f>
        <v>2655.2</v>
      </c>
      <c r="AR1147" s="57" t="n">
        <f aca="false">ROUNDUP(MAX(J1147/IF(BZ1147&gt;0,BZ1147,MAX(0.1,N(Cockpit!$I$6))),CC1147)/BS1147,0)*BS1147</f>
        <v>40</v>
      </c>
      <c r="AS1147" s="58" t="n">
        <f aca="false">IF(AP1147&gt;0,J1147/AP1147,-1)</f>
        <v>174</v>
      </c>
      <c r="AT1147" s="58" t="n">
        <f aca="false">IF(AND(OR(BY1147="L1",BY1147="L23"),AP1147&gt;0),SUMIFS($AP$7:$AP$1843,$BY$7:$BY$1843,BY1147,$AS$7:$AS$1843,"&gt;"&amp;AS1147)+SUMIFS($AP$7:$AP$1843,$BY$7:$BY$1843,BY1147,$AS$7:$AS$1843,AS1147,$BQ$7:$BQ$1843,"&lt;="&amp;BQ1147),"")</f>
        <v>48.2549238201412</v>
      </c>
      <c r="AU1147" s="65" t="n">
        <f aca="false">IF(AT1147="",0,MAX(0,MIN(1,(IF(BY1147="L1",Parameter!$E$5,Parameter!$E$6+Parameter!$E$7)-(AT1147-AP1147))/AP1147)))</f>
        <v>1</v>
      </c>
      <c r="AV1147" s="57" t="n">
        <f aca="false">IF(LEFT(Cockpit!$O$5,1)="A",H1147,IF(CA1147=1,CB1147,IF(LEFT(Cockpit!$O$5,1)="B",AZ1147,MAX(AZ1147,H1147))))</f>
        <v>40</v>
      </c>
      <c r="AW1147" s="57" t="n">
        <f aca="false">IF(BT1147=1,0,ROUNDUP(AV1147/BS1147,0))</f>
        <v>2</v>
      </c>
      <c r="AX1147" s="59" t="n">
        <f aca="false">IF(CH1147&gt;0,CH1147*MAX(1,AV1147/X1147),IF(BT1147=1,IF(AV1147&lt;=0,0,BW1147*MAX(1,IF(H1147&gt;0,AV1147/H1147,1))),IF(R1147&gt;0,AW1147/R1147,0))/MAX(0.1,N(Parameter!$M$21)))</f>
        <v>0.166666666666667</v>
      </c>
      <c r="AY1147" s="57" t="n">
        <f aca="false">AV1147*G1147</f>
        <v>2655.2</v>
      </c>
      <c r="AZ1147" s="57" t="n">
        <f aca="false">ROUNDUP(MAX(J1147/IF(BZ1147&gt;0,BZ1147,MAX(0.1,N(Cockpit!$O$6))),CC1147)/BS1147,0)*BS1147</f>
        <v>40</v>
      </c>
      <c r="BA1147" s="58" t="n">
        <f aca="false">IF(AX1147&gt;0,J1147/AX1147,-1)</f>
        <v>174</v>
      </c>
      <c r="BB1147" s="58" t="n">
        <f aca="false">IF(AND(OR(BY1147="L1",BY1147="L23"),AX1147&gt;0),SUMIFS($AX$7:$AX$1843,$BY$7:$BY$1843,BY1147,$BA$7:$BA$1843,"&gt;"&amp;BA1147)+SUMIFS($AX$7:$AX$1843,$BY$7:$BY$1843,BY1147,$BA$7:$BA$1843,BA1147,$BQ$7:$BQ$1843,"&lt;="&amp;BQ1147),"")</f>
        <v>43.834760649978</v>
      </c>
      <c r="BC1147" s="65" t="n">
        <f aca="false">IF(BB1147="",0,MAX(0,MIN(1,(IF(BY1147="L1",Parameter!$E$5,Parameter!$E$6+Parameter!$E$7)-(BB1147-AX1147))/AX1147)))</f>
        <v>1</v>
      </c>
      <c r="BD1147" s="55" t="str">
        <f aca="false">IF(AH1147&lt;=0,"",IF(BY1147="Aussen","Aussenlager",IF(BY1147="-","Nicht im Lift",IF(AM1147&gt;=1,"Lift",IF(AM1147&lt;=0,"Aussenlager","teilweise")))))</f>
        <v>Lift</v>
      </c>
      <c r="BE1147" s="55" t="str">
        <f aca="false">IF(AP1147&lt;=0,"",IF(BY1147="Aussen","Aussenlager",IF(BY1147="-","Nicht im Lift",IF(AU1147&gt;=1,"Lift",IF(AU1147&lt;=0,"Aussenlager","teilweise")))))</f>
        <v>Lift</v>
      </c>
      <c r="BF1147" s="55" t="str">
        <f aca="false">IF(AX1147&lt;=0,"",IF(BY1147="Aussen","Aussenlager",IF(BY1147="-","Nicht im Lift",IF(BC1147&gt;=1,"Lift",IF(BC1147&lt;=0,"Aussenlager","teilweise")))))</f>
        <v>Lift</v>
      </c>
      <c r="BG1147" s="55" t="str">
        <f aca="false">IF(A1147="","",IF(BP1147=1,"Neu; ","")&amp;IF(AND(BP1147=0,BK1147&lt;0),"negativer Bestand (Export "&amp;BK1147&amp;"); ","")&amp;IF(J1147&lt;=0,"Kein Verbrauch; ","")&amp;IF(CH1147&gt;0,"Lift "&amp;W1147&amp;" lt. Liftbericht (Fach "&amp;X1147&amp;" Stk); ",IF(BU1147=1,"Gebinde geschätzt ("&amp;T1147&amp;"); ",IF(BT1147=1,"Lose – Tablare geschätzt; ","")))&amp;IF(H1147&gt;AR1147,"Überbestand "&amp;ROUND(H1147-AR1147,0)&amp;" Stk / CHF "&amp;ROUND((H1147-AR1147)*G1147,0)&amp;"; ","")&amp;IF(AND(CA1147=1,CB1147&lt;CC1147),"MAX &lt; MB+LG; ","")&amp;IF(AND(CG1147&gt;0,CF1147*10&gt;CG1147),"zu hoch für Tablar; ","")&amp;IF(AND(BP1147=0,OR(CA1147=1,AA1147&lt;&gt;"",U1147&lt;&gt;"",V1147&lt;&gt;"",AB1147&lt;&gt;"")),"manuell übersteuert; ","")&amp;IF(AND(BT1147=0,R1147=0),"Gebinde unbekannt / Stellmass fehlt; ","")&amp;IF(AND(BT1147=0,N(V1147)&lt;=0,N(Q1147)&lt;=0),"Menge pro Gebinde fehlt (Ist = 1 Gebinde); ","")&amp;BO1147)</f>
        <v>negativer Bestand (Export -1); </v>
      </c>
      <c r="BH1147" s="55"/>
      <c r="BI1147" s="55"/>
      <c r="BJ1147" s="62"/>
      <c r="BK1147" s="57" t="n">
        <v>-1</v>
      </c>
      <c r="BL1147" s="57" t="n">
        <v>10</v>
      </c>
      <c r="BM1147" s="56" t="n">
        <v>-299.28</v>
      </c>
      <c r="BN1147" s="57" t="n">
        <v>29</v>
      </c>
      <c r="BO1147" s="55"/>
      <c r="BP1147" s="60" t="n">
        <v>0</v>
      </c>
      <c r="BQ1147" s="60" t="n">
        <v>1147</v>
      </c>
      <c r="BR1147" s="55" t="str">
        <f aca="false">IF(U1147&lt;&gt;"",UPPER(TRIM(U1147)),IF(BU1147=1,UPPER(VLOOKUP(T1147,Parameter!$I$27:$K$29,2,0)),IF(P1147="","LOSE",P1147)))</f>
        <v>S61</v>
      </c>
      <c r="BS1147" s="57" t="n">
        <f aca="false">IF(BR1147="LOSE",1,IF(N(V1147)&gt;0,V1147,IF(BU1147=1,MAX(1,N(VLOOKUP(T1147,Parameter!$I$27:$K$29,3,0)),H1147,N(N1147)),IF(N(Q1147)&gt;0,Q1147,MAX(1,H1147)))))</f>
        <v>20</v>
      </c>
      <c r="BT1147" s="60" t="n">
        <f aca="false">IF(BR1147="LOSE",1,0)</f>
        <v>0</v>
      </c>
      <c r="BU1147" s="60" t="n">
        <f aca="false">IF(AND(U1147="",OR(P1147="",P1147="LOSE"),T1147&lt;&gt;"",N(S1147)&lt;=0,ISNUMBER(MATCH(T1147,Parameter!$I$27:$I$29,0))),1,0)</f>
        <v>0</v>
      </c>
      <c r="BV1147" s="55" t="str">
        <f aca="false">IF(AND(Parameter!$B$19="Ja",E1147&lt;&gt;"",ISNUMBER(MATCH(E1147,Parameter!$I$35:$I$52,0))),VLOOKUP(E1147,Parameter!$I$35:$J$52,2,0),IFERROR(VLOOKUP(D1147,Parameter!$A$35:$C$64,2,0),"Nein"))</f>
        <v>2+3</v>
      </c>
      <c r="BW1147" s="59" t="n">
        <f aca="false">IF(BT1147=0,0,IF(N(S1147)&gt;0,S1147,IFERROR(VLOOKUP(D1147,Parameter!$A$35:$C$64,3,0)+0,0)))</f>
        <v>0</v>
      </c>
      <c r="BX1147" s="55" t="n">
        <f aca="false">IF(AA1147&lt;&gt;"",AA1147,Z1147)</f>
        <v>2</v>
      </c>
      <c r="BY1147" s="55" t="str">
        <f aca="false">IF(BX1147=1,"L1",IF(OR(BX1147=2,BX1147=3),"L23",IF(BX1147="Aussen","Aussen","-")))</f>
        <v>L23</v>
      </c>
      <c r="BZ1147" s="66" t="n">
        <f aca="false">IF(N(AB1147)&gt;0,AB1147,0)</f>
        <v>0</v>
      </c>
      <c r="CA1147" s="60" t="n">
        <f aca="false">IF(ISNUMBER(AE1147),1,0)</f>
        <v>0</v>
      </c>
      <c r="CB1147" s="57" t="n">
        <f aca="false">N(AE1147)</f>
        <v>0</v>
      </c>
      <c r="CC1147" s="57" t="n">
        <f aca="false">N(M1147)+N(N1147)</f>
        <v>37</v>
      </c>
      <c r="CD1147" s="57" t="n">
        <f aca="false">ROUNDUP(H1147/BS1147,0)</f>
        <v>1</v>
      </c>
      <c r="CE1147" s="57" t="n">
        <f aca="false">ROUNDUP(CB1147/BS1147,0)</f>
        <v>0</v>
      </c>
      <c r="CF1147" s="60" t="n">
        <f aca="false">IF(BT1147=1,0,IFERROR(VLOOKUP(BR1147,'Gebinde-Kategorie'!$A$5:$M$45,5,0)+0,0))</f>
        <v>11</v>
      </c>
      <c r="CG1147" s="60" t="n">
        <f aca="false">IFERROR(IF(OR(BX1147=1,BX1147=2,BX1147=3),N(INDEX(Parameter!$I$5:$I$7,BX1147)),0),0)</f>
        <v>0</v>
      </c>
      <c r="CH1147" s="59" t="n">
        <f aca="false">IF(AND(Parameter!$B$21="Ja",ISNUMBER(W1147),N(X1147)&gt;0),IFERROR(N(INDEX(Parameter!$L$5:$L$7,W1147))*INDEX(Parameter!$E$5:$E$7,W1147)*X1147/SUMIFS($X$7:$X$1843,$W$7:$W$1843,W1147),0),0)</f>
        <v>0</v>
      </c>
    </row>
    <row r="1148" customFormat="false" ht="15" hidden="false" customHeight="false" outlineLevel="0" collapsed="false">
      <c r="A1148" s="55" t="s">
        <v>2073</v>
      </c>
      <c r="B1148" s="55" t="s">
        <v>2074</v>
      </c>
      <c r="C1148" s="55" t="s">
        <v>164</v>
      </c>
      <c r="D1148" s="55" t="s">
        <v>184</v>
      </c>
      <c r="E1148" s="55"/>
      <c r="F1148" s="55" t="s">
        <v>218</v>
      </c>
      <c r="G1148" s="56" t="n">
        <v>151.25</v>
      </c>
      <c r="H1148" s="57" t="n">
        <f aca="false">MAX(0,IF(AND(Parameter!$B$21="Ja",ISNUMBER(Y1148)),Y1148,IF(Parameter!$B$20="Jahresanfang 2025 + Export",BL1148+BK1148,BK1148)))</f>
        <v>0</v>
      </c>
      <c r="I1148" s="57" t="n">
        <f aca="false">H1148*G1148</f>
        <v>0</v>
      </c>
      <c r="J1148" s="57" t="n">
        <f aca="false">BN1148*Parameter!$B$18</f>
        <v>0</v>
      </c>
      <c r="K1148" s="58" t="n">
        <v>1</v>
      </c>
      <c r="L1148" s="59" t="n">
        <v>0</v>
      </c>
      <c r="M1148" s="57" t="n">
        <v>0</v>
      </c>
      <c r="N1148" s="57" t="n">
        <v>1</v>
      </c>
      <c r="O1148" s="60" t="n">
        <v>42</v>
      </c>
      <c r="P1148" s="55" t="s">
        <v>168</v>
      </c>
      <c r="Q1148" s="57"/>
      <c r="R1148" s="60" t="n">
        <f aca="false">IF(BT1148=1,0,IFERROR(VLOOKUP(BR1148,'Gebinde-Kategorie'!$A$5:$M$45,13,0)+0,0))</f>
        <v>26</v>
      </c>
      <c r="S1148" s="61"/>
      <c r="T1148" s="62" t="s">
        <v>275</v>
      </c>
      <c r="U1148" s="62"/>
      <c r="V1148" s="62"/>
      <c r="W1148" s="55"/>
      <c r="X1148" s="57"/>
      <c r="Y1148" s="57"/>
      <c r="Z1148" s="55" t="n">
        <f aca="false">IF(A1148="","",IF(AND(Parameter!$B$21="Ja",ISNUMBER(W1148)),W1148,IF(BV1148="2+3",IF(ISNUMBER(SEARCH("grosser Artikel",BO1148)),2,IFERROR(VLOOKUP(BR1148,Parameter!$F$35:$G$64,2,0),2)),IF(OR(BV1148="Nein",BV1148=""),"-",BV1148))))</f>
        <v>3</v>
      </c>
      <c r="AA1148" s="62"/>
      <c r="AB1148" s="63"/>
      <c r="AC1148" s="57" t="n">
        <f aca="false">AR1148</f>
        <v>20</v>
      </c>
      <c r="AD1148" s="57" t="n">
        <f aca="false">MAX(AR1148,H1148)</f>
        <v>20</v>
      </c>
      <c r="AE1148" s="64"/>
      <c r="AF1148" s="57" t="n">
        <f aca="false">IF(LEFT(Cockpit!$C$5,1)="A",H1148,IF(CA1148=1,CB1148,IF(LEFT(Cockpit!$C$5,1)="B",AJ1148,MAX(AJ1148,H1148))))</f>
        <v>0</v>
      </c>
      <c r="AG1148" s="57" t="n">
        <f aca="false">IF(BT1148=1,0,ROUNDUP(AF1148/BS1148,0))</f>
        <v>0</v>
      </c>
      <c r="AH1148" s="59" t="n">
        <f aca="false">IF(CH1148&gt;0,CH1148*MAX(1,AF1148/X1148),IF(BT1148=1,IF(AF1148&lt;=0,0,BW1148*MAX(1,IF(H1148&gt;0,AF1148/H1148,1))),IF(R1148&gt;0,AG1148/R1148,0))/MAX(0.1,N(Parameter!$M$21)))</f>
        <v>0</v>
      </c>
      <c r="AI1148" s="57" t="n">
        <f aca="false">AF1148*G1148</f>
        <v>0</v>
      </c>
      <c r="AJ1148" s="57" t="n">
        <f aca="false">ROUNDUP(MAX(J1148/IF(BZ1148&gt;0,BZ1148,MAX(0.1,N(Cockpit!$C$6))),CC1148)/BS1148,0)*BS1148</f>
        <v>20</v>
      </c>
      <c r="AK1148" s="58" t="n">
        <f aca="false">IF(AH1148&gt;0,J1148/AH1148,-1)</f>
        <v>-1</v>
      </c>
      <c r="AL1148" s="58" t="str">
        <f aca="false">IF(AND(OR(BY1148="L1",BY1148="L23"),AH1148&gt;0),SUMIFS($AH$7:$AH$1843,$BY$7:$BY$1843,BY1148,$AK$7:$AK$1843,"&gt;"&amp;AK1148)+SUMIFS($AH$7:$AH$1843,$BY$7:$BY$1843,BY1148,$AK$7:$AK$1843,AK1148,$BQ$7:$BQ$1843,"&lt;="&amp;BQ1148),"")</f>
        <v/>
      </c>
      <c r="AM1148" s="65" t="n">
        <f aca="false">IF(AL1148="",0,MAX(0,MIN(1,(IF(BY1148="L1",Parameter!$E$5,Parameter!$E$6+Parameter!$E$7)-(AL1148-AH1148))/AH1148)))</f>
        <v>0</v>
      </c>
      <c r="AN1148" s="57" t="n">
        <f aca="false">IF(LEFT(Cockpit!$I$5,1)="A",H1148,IF(CA1148=1,CB1148,IF(LEFT(Cockpit!$I$5,1)="B",AR1148,MAX(AR1148,H1148))))</f>
        <v>20</v>
      </c>
      <c r="AO1148" s="57" t="n">
        <f aca="false">IF(BT1148=1,0,ROUNDUP(AN1148/BS1148,0))</f>
        <v>1</v>
      </c>
      <c r="AP1148" s="59" t="n">
        <f aca="false">IF(CH1148&gt;0,CH1148*MAX(1,AN1148/X1148),IF(BT1148=1,IF(AN1148&lt;=0,0,BW1148*MAX(1,IF(H1148&gt;0,AN1148/H1148,1))),IF(R1148&gt;0,AO1148/R1148,0))/MAX(0.1,N(Parameter!$M$21)))</f>
        <v>0.0384615384615385</v>
      </c>
      <c r="AQ1148" s="57" t="n">
        <f aca="false">AN1148*G1148</f>
        <v>3025</v>
      </c>
      <c r="AR1148" s="57" t="n">
        <f aca="false">ROUNDUP(MAX(J1148/IF(BZ1148&gt;0,BZ1148,MAX(0.1,N(Cockpit!$I$6))),CC1148)/BS1148,0)*BS1148</f>
        <v>20</v>
      </c>
      <c r="AS1148" s="58" t="n">
        <f aca="false">IF(AP1148&gt;0,J1148/AP1148,-1)</f>
        <v>0</v>
      </c>
      <c r="AT1148" s="58" t="n">
        <f aca="false">IF(AND(OR(BY1148="L1",BY1148="L23"),AP1148&gt;0),SUMIFS($AP$7:$AP$1843,$BY$7:$BY$1843,BY1148,$AS$7:$AS$1843,"&gt;"&amp;AS1148)+SUMIFS($AP$7:$AP$1843,$BY$7:$BY$1843,BY1148,$AS$7:$AS$1843,AS1148,$BQ$7:$BQ$1843,"&lt;="&amp;BQ1148),"")</f>
        <v>122.447434208304</v>
      </c>
      <c r="AU1148" s="65" t="n">
        <f aca="false">IF(AT1148="",0,MAX(0,MIN(1,(IF(BY1148="L1",Parameter!$E$5,Parameter!$E$6+Parameter!$E$7)-(AT1148-AP1148))/AP1148)))</f>
        <v>0</v>
      </c>
      <c r="AV1148" s="57" t="n">
        <f aca="false">IF(LEFT(Cockpit!$O$5,1)="A",H1148,IF(CA1148=1,CB1148,IF(LEFT(Cockpit!$O$5,1)="B",AZ1148,MAX(AZ1148,H1148))))</f>
        <v>20</v>
      </c>
      <c r="AW1148" s="57" t="n">
        <f aca="false">IF(BT1148=1,0,ROUNDUP(AV1148/BS1148,0))</f>
        <v>1</v>
      </c>
      <c r="AX1148" s="59" t="n">
        <f aca="false">IF(CH1148&gt;0,CH1148*MAX(1,AV1148/X1148),IF(BT1148=1,IF(AV1148&lt;=0,0,BW1148*MAX(1,IF(H1148&gt;0,AV1148/H1148,1))),IF(R1148&gt;0,AW1148/R1148,0))/MAX(0.1,N(Parameter!$M$21)))</f>
        <v>0.0384615384615385</v>
      </c>
      <c r="AY1148" s="57" t="n">
        <f aca="false">AV1148*G1148</f>
        <v>3025</v>
      </c>
      <c r="AZ1148" s="57" t="n">
        <f aca="false">ROUNDUP(MAX(J1148/IF(BZ1148&gt;0,BZ1148,MAX(0.1,N(Cockpit!$O$6))),CC1148)/BS1148,0)*BS1148</f>
        <v>20</v>
      </c>
      <c r="BA1148" s="58" t="n">
        <f aca="false">IF(AX1148&gt;0,J1148/AX1148,-1)</f>
        <v>0</v>
      </c>
      <c r="BB1148" s="58" t="n">
        <f aca="false">IF(AND(OR(BY1148="L1",BY1148="L23"),AX1148&gt;0),SUMIFS($AX$7:$AX$1843,$BY$7:$BY$1843,BY1148,$BA$7:$BA$1843,"&gt;"&amp;BA1148)+SUMIFS($AX$7:$AX$1843,$BY$7:$BY$1843,BY1148,$BA$7:$BA$1843,BA1148,$BQ$7:$BQ$1843,"&lt;="&amp;BQ1148),"")</f>
        <v>113.277271038141</v>
      </c>
      <c r="BC1148" s="65" t="n">
        <f aca="false">IF(BB1148="",0,MAX(0,MIN(1,(IF(BY1148="L1",Parameter!$E$5,Parameter!$E$6+Parameter!$E$7)-(BB1148-AX1148))/AX1148)))</f>
        <v>0</v>
      </c>
      <c r="BD1148" s="55" t="str">
        <f aca="false">IF(AH1148&lt;=0,"",IF(BY1148="Aussen","Aussenlager",IF(BY1148="-","Nicht im Lift",IF(AM1148&gt;=1,"Lift",IF(AM1148&lt;=0,"Aussenlager","teilweise")))))</f>
        <v/>
      </c>
      <c r="BE1148" s="55" t="str">
        <f aca="false">IF(AP1148&lt;=0,"",IF(BY1148="Aussen","Aussenlager",IF(BY1148="-","Nicht im Lift",IF(AU1148&gt;=1,"Lift",IF(AU1148&lt;=0,"Aussenlager","teilweise")))))</f>
        <v>Aussenlager</v>
      </c>
      <c r="BF1148" s="55" t="str">
        <f aca="false">IF(AX1148&lt;=0,"",IF(BY1148="Aussen","Aussenlager",IF(BY1148="-","Nicht im Lift",IF(BC1148&gt;=1,"Lift",IF(BC1148&lt;=0,"Aussenlager","teilweise")))))</f>
        <v>Aussenlager</v>
      </c>
      <c r="BG1148" s="55" t="str">
        <f aca="false">IF(A1148="","",IF(BP1148=1,"Neu; ","")&amp;IF(AND(BP1148=0,BK1148&lt;0),"negativer Bestand (Export "&amp;BK1148&amp;"); ","")&amp;IF(J1148&lt;=0,"Kein Verbrauch; ","")&amp;IF(CH1148&gt;0,"Lift "&amp;W1148&amp;" lt. Liftbericht (Fach "&amp;X1148&amp;" Stk); ",IF(BU1148=1,"Gebinde geschätzt ("&amp;T1148&amp;"); ",IF(BT1148=1,"Lose – Tablare geschätzt; ","")))&amp;IF(H1148&gt;AR1148,"Überbestand "&amp;ROUND(H1148-AR1148,0)&amp;" Stk / CHF "&amp;ROUND((H1148-AR1148)*G1148,0)&amp;"; ","")&amp;IF(AND(CA1148=1,CB1148&lt;CC1148),"MAX &lt; MB+LG; ","")&amp;IF(AND(CG1148&gt;0,CF1148*10&gt;CG1148),"zu hoch für Tablar; ","")&amp;IF(AND(BP1148=0,OR(CA1148=1,AA1148&lt;&gt;"",U1148&lt;&gt;"",V1148&lt;&gt;"",AB1148&lt;&gt;"")),"manuell übersteuert; ","")&amp;IF(AND(BT1148=0,R1148=0),"Gebinde unbekannt / Stellmass fehlt; ","")&amp;IF(AND(BT1148=0,N(V1148)&lt;=0,N(Q1148)&lt;=0),"Menge pro Gebinde fehlt (Ist = 1 Gebinde); ","")&amp;BO1148)</f>
        <v>negativer Bestand (Export -2); Kein Verbrauch; Gebinde geschätzt (Klein); Menge pro Gebinde fehlt (Ist = 1 Gebinde); </v>
      </c>
      <c r="BH1148" s="55"/>
      <c r="BI1148" s="55"/>
      <c r="BJ1148" s="62"/>
      <c r="BK1148" s="57" t="n">
        <v>-2</v>
      </c>
      <c r="BL1148" s="57" t="n">
        <v>2</v>
      </c>
      <c r="BM1148" s="56" t="n">
        <v>-302.5</v>
      </c>
      <c r="BN1148" s="57" t="n">
        <v>0</v>
      </c>
      <c r="BO1148" s="55"/>
      <c r="BP1148" s="60" t="n">
        <v>0</v>
      </c>
      <c r="BQ1148" s="60" t="n">
        <v>1148</v>
      </c>
      <c r="BR1148" s="55" t="str">
        <f aca="false">IF(U1148&lt;&gt;"",UPPER(TRIM(U1148)),IF(BU1148=1,UPPER(VLOOKUP(T1148,Parameter!$I$27:$K$29,2,0)),IF(P1148="","LOSE",P1148)))</f>
        <v>S51</v>
      </c>
      <c r="BS1148" s="57" t="n">
        <f aca="false">IF(BR1148="LOSE",1,IF(N(V1148)&gt;0,V1148,IF(BU1148=1,MAX(1,N(VLOOKUP(T1148,Parameter!$I$27:$K$29,3,0)),H1148,N(N1148)),IF(N(Q1148)&gt;0,Q1148,MAX(1,H1148)))))</f>
        <v>20</v>
      </c>
      <c r="BT1148" s="60" t="n">
        <f aca="false">IF(BR1148="LOSE",1,0)</f>
        <v>0</v>
      </c>
      <c r="BU1148" s="60" t="n">
        <f aca="false">IF(AND(U1148="",OR(P1148="",P1148="LOSE"),T1148&lt;&gt;"",N(S1148)&lt;=0,ISNUMBER(MATCH(T1148,Parameter!$I$27:$I$29,0))),1,0)</f>
        <v>1</v>
      </c>
      <c r="BV1148" s="55" t="str">
        <f aca="false">IF(AND(Parameter!$B$19="Ja",E1148&lt;&gt;"",ISNUMBER(MATCH(E1148,Parameter!$I$35:$I$52,0))),VLOOKUP(E1148,Parameter!$I$35:$J$52,2,0),IFERROR(VLOOKUP(D1148,Parameter!$A$35:$C$64,2,0),"Nein"))</f>
        <v>2+3</v>
      </c>
      <c r="BW1148" s="59" t="n">
        <f aca="false">IF(BT1148=0,0,IF(N(S1148)&gt;0,S1148,IFERROR(VLOOKUP(D1148,Parameter!$A$35:$C$64,3,0)+0,0)))</f>
        <v>0</v>
      </c>
      <c r="BX1148" s="55" t="n">
        <f aca="false">IF(AA1148&lt;&gt;"",AA1148,Z1148)</f>
        <v>3</v>
      </c>
      <c r="BY1148" s="55" t="str">
        <f aca="false">IF(BX1148=1,"L1",IF(OR(BX1148=2,BX1148=3),"L23",IF(BX1148="Aussen","Aussen","-")))</f>
        <v>L23</v>
      </c>
      <c r="BZ1148" s="66" t="n">
        <f aca="false">IF(N(AB1148)&gt;0,AB1148,0)</f>
        <v>0</v>
      </c>
      <c r="CA1148" s="60" t="n">
        <f aca="false">IF(ISNUMBER(AE1148),1,0)</f>
        <v>0</v>
      </c>
      <c r="CB1148" s="57" t="n">
        <f aca="false">N(AE1148)</f>
        <v>0</v>
      </c>
      <c r="CC1148" s="57" t="n">
        <f aca="false">N(M1148)+N(N1148)</f>
        <v>1</v>
      </c>
      <c r="CD1148" s="57" t="n">
        <f aca="false">ROUNDUP(H1148/BS1148,0)</f>
        <v>0</v>
      </c>
      <c r="CE1148" s="57" t="n">
        <f aca="false">ROUNDUP(CB1148/BS1148,0)</f>
        <v>0</v>
      </c>
      <c r="CF1148" s="60" t="n">
        <f aca="false">IF(BT1148=1,0,IFERROR(VLOOKUP(BR1148,'Gebinde-Kategorie'!$A$5:$M$45,5,0)+0,0))</f>
        <v>11</v>
      </c>
      <c r="CG1148" s="60" t="n">
        <f aca="false">IFERROR(IF(OR(BX1148=1,BX1148=2,BX1148=3),N(INDEX(Parameter!$I$5:$I$7,BX1148)),0),0)</f>
        <v>0</v>
      </c>
      <c r="CH1148" s="59" t="n">
        <f aca="false">IF(AND(Parameter!$B$21="Ja",ISNUMBER(W1148),N(X1148)&gt;0),IFERROR(N(INDEX(Parameter!$L$5:$L$7,W1148))*INDEX(Parameter!$E$5:$E$7,W1148)*X1148/SUMIFS($X$7:$X$1843,$W$7:$W$1843,W1148),0),0)</f>
        <v>0</v>
      </c>
    </row>
    <row r="1149" customFormat="false" ht="15" hidden="false" customHeight="false" outlineLevel="0" collapsed="false">
      <c r="A1149" s="55" t="s">
        <v>2075</v>
      </c>
      <c r="B1149" s="55" t="s">
        <v>2076</v>
      </c>
      <c r="C1149" s="55" t="s">
        <v>164</v>
      </c>
      <c r="D1149" s="55" t="s">
        <v>184</v>
      </c>
      <c r="E1149" s="55"/>
      <c r="F1149" s="55" t="s">
        <v>218</v>
      </c>
      <c r="G1149" s="56" t="n">
        <v>151.82</v>
      </c>
      <c r="H1149" s="57" t="n">
        <f aca="false">MAX(0,IF(AND(Parameter!$B$21="Ja",ISNUMBER(Y1149)),Y1149,IF(Parameter!$B$20="Jahresanfang 2025 + Export",BL1149+BK1149,BK1149)))</f>
        <v>2</v>
      </c>
      <c r="I1149" s="57" t="n">
        <f aca="false">H1149*G1149</f>
        <v>303.64</v>
      </c>
      <c r="J1149" s="57" t="n">
        <f aca="false">BN1149*Parameter!$B$18</f>
        <v>2</v>
      </c>
      <c r="K1149" s="58" t="n">
        <v>3</v>
      </c>
      <c r="L1149" s="59" t="n">
        <v>0.666666666666667</v>
      </c>
      <c r="M1149" s="57" t="n">
        <v>0</v>
      </c>
      <c r="N1149" s="57" t="n">
        <v>1</v>
      </c>
      <c r="O1149" s="60" t="n">
        <v>35</v>
      </c>
      <c r="P1149" s="55" t="s">
        <v>168</v>
      </c>
      <c r="Q1149" s="57"/>
      <c r="R1149" s="60" t="n">
        <f aca="false">IF(BT1149=1,0,IFERROR(VLOOKUP(BR1149,'Gebinde-Kategorie'!$A$5:$M$45,13,0)+0,0))</f>
        <v>26</v>
      </c>
      <c r="S1149" s="61"/>
      <c r="T1149" s="62" t="s">
        <v>275</v>
      </c>
      <c r="U1149" s="62"/>
      <c r="V1149" s="62"/>
      <c r="W1149" s="55"/>
      <c r="X1149" s="57"/>
      <c r="Y1149" s="57"/>
      <c r="Z1149" s="55" t="n">
        <f aca="false">IF(A1149="","",IF(AND(Parameter!$B$21="Ja",ISNUMBER(W1149)),W1149,IF(BV1149="2+3",IF(ISNUMBER(SEARCH("grosser Artikel",BO1149)),2,IFERROR(VLOOKUP(BR1149,Parameter!$F$35:$G$64,2,0),2)),IF(OR(BV1149="Nein",BV1149=""),"-",BV1149))))</f>
        <v>3</v>
      </c>
      <c r="AA1149" s="62"/>
      <c r="AB1149" s="63"/>
      <c r="AC1149" s="57" t="n">
        <f aca="false">AR1149</f>
        <v>20</v>
      </c>
      <c r="AD1149" s="57" t="n">
        <f aca="false">MAX(AR1149,H1149)</f>
        <v>20</v>
      </c>
      <c r="AE1149" s="64"/>
      <c r="AF1149" s="57" t="n">
        <f aca="false">IF(LEFT(Cockpit!$C$5,1)="A",H1149,IF(CA1149=1,CB1149,IF(LEFT(Cockpit!$C$5,1)="B",AJ1149,MAX(AJ1149,H1149))))</f>
        <v>2</v>
      </c>
      <c r="AG1149" s="57" t="n">
        <f aca="false">IF(BT1149=1,0,ROUNDUP(AF1149/BS1149,0))</f>
        <v>1</v>
      </c>
      <c r="AH1149" s="59" t="n">
        <f aca="false">IF(CH1149&gt;0,CH1149*MAX(1,AF1149/X1149),IF(BT1149=1,IF(AF1149&lt;=0,0,BW1149*MAX(1,IF(H1149&gt;0,AF1149/H1149,1))),IF(R1149&gt;0,AG1149/R1149,0))/MAX(0.1,N(Parameter!$M$21)))</f>
        <v>0.0384615384615385</v>
      </c>
      <c r="AI1149" s="57" t="n">
        <f aca="false">AF1149*G1149</f>
        <v>303.64</v>
      </c>
      <c r="AJ1149" s="57" t="n">
        <f aca="false">ROUNDUP(MAX(J1149/IF(BZ1149&gt;0,BZ1149,MAX(0.1,N(Cockpit!$C$6))),CC1149)/BS1149,0)*BS1149</f>
        <v>20</v>
      </c>
      <c r="AK1149" s="58" t="n">
        <f aca="false">IF(AH1149&gt;0,J1149/AH1149,-1)</f>
        <v>52</v>
      </c>
      <c r="AL1149" s="58" t="n">
        <f aca="false">IF(AND(OR(BY1149="L1",BY1149="L23"),AH1149&gt;0),SUMIFS($AH$7:$AH$1843,$BY$7:$BY$1843,BY1149,$AK$7:$AK$1843,"&gt;"&amp;AK1149)+SUMIFS($AH$7:$AH$1843,$BY$7:$BY$1843,BY1149,$AK$7:$AK$1843,AK1149,$BQ$7:$BQ$1843,"&lt;="&amp;BQ1149),"")</f>
        <v>44.6645214688693</v>
      </c>
      <c r="AM1149" s="65" t="n">
        <f aca="false">IF(AL1149="",0,MAX(0,MIN(1,(IF(BY1149="L1",Parameter!$E$5,Parameter!$E$6+Parameter!$E$7)-(AL1149-AH1149))/AH1149)))</f>
        <v>1</v>
      </c>
      <c r="AN1149" s="57" t="n">
        <f aca="false">IF(LEFT(Cockpit!$I$5,1)="A",H1149,IF(CA1149=1,CB1149,IF(LEFT(Cockpit!$I$5,1)="B",AR1149,MAX(AR1149,H1149))))</f>
        <v>20</v>
      </c>
      <c r="AO1149" s="57" t="n">
        <f aca="false">IF(BT1149=1,0,ROUNDUP(AN1149/BS1149,0))</f>
        <v>1</v>
      </c>
      <c r="AP1149" s="59" t="n">
        <f aca="false">IF(CH1149&gt;0,CH1149*MAX(1,AN1149/X1149),IF(BT1149=1,IF(AN1149&lt;=0,0,BW1149*MAX(1,IF(H1149&gt;0,AN1149/H1149,1))),IF(R1149&gt;0,AO1149/R1149,0))/MAX(0.1,N(Parameter!$M$21)))</f>
        <v>0.0384615384615385</v>
      </c>
      <c r="AQ1149" s="57" t="n">
        <f aca="false">AN1149*G1149</f>
        <v>3036.4</v>
      </c>
      <c r="AR1149" s="57" t="n">
        <f aca="false">ROUNDUP(MAX(J1149/IF(BZ1149&gt;0,BZ1149,MAX(0.1,N(Cockpit!$I$6))),CC1149)/BS1149,0)*BS1149</f>
        <v>20</v>
      </c>
      <c r="AS1149" s="58" t="n">
        <f aca="false">IF(AP1149&gt;0,J1149/AP1149,-1)</f>
        <v>52</v>
      </c>
      <c r="AT1149" s="58" t="n">
        <f aca="false">IF(AND(OR(BY1149="L1",BY1149="L23"),AP1149&gt;0),SUMIFS($AP$7:$AP$1843,$BY$7:$BY$1843,BY1149,$AS$7:$AS$1843,"&gt;"&amp;AS1149)+SUMIFS($AP$7:$AP$1843,$BY$7:$BY$1843,BY1149,$AS$7:$AS$1843,AS1149,$BQ$7:$BQ$1843,"&lt;="&amp;BQ1149),"")</f>
        <v>67.6078764230938</v>
      </c>
      <c r="AU1149" s="65" t="n">
        <f aca="false">IF(AT1149="",0,MAX(0,MIN(1,(IF(BY1149="L1",Parameter!$E$5,Parameter!$E$6+Parameter!$E$7)-(AT1149-AP1149))/AP1149)))</f>
        <v>1</v>
      </c>
      <c r="AV1149" s="57" t="n">
        <f aca="false">IF(LEFT(Cockpit!$O$5,1)="A",H1149,IF(CA1149=1,CB1149,IF(LEFT(Cockpit!$O$5,1)="B",AZ1149,MAX(AZ1149,H1149))))</f>
        <v>20</v>
      </c>
      <c r="AW1149" s="57" t="n">
        <f aca="false">IF(BT1149=1,0,ROUNDUP(AV1149/BS1149,0))</f>
        <v>1</v>
      </c>
      <c r="AX1149" s="59" t="n">
        <f aca="false">IF(CH1149&gt;0,CH1149*MAX(1,AV1149/X1149),IF(BT1149=1,IF(AV1149&lt;=0,0,BW1149*MAX(1,IF(H1149&gt;0,AV1149/H1149,1))),IF(R1149&gt;0,AW1149/R1149,0))/MAX(0.1,N(Parameter!$M$21)))</f>
        <v>0.0384615384615385</v>
      </c>
      <c r="AY1149" s="57" t="n">
        <f aca="false">AV1149*G1149</f>
        <v>3036.4</v>
      </c>
      <c r="AZ1149" s="57" t="n">
        <f aca="false">ROUNDUP(MAX(J1149/IF(BZ1149&gt;0,BZ1149,MAX(0.1,N(Cockpit!$O$6))),CC1149)/BS1149,0)*BS1149</f>
        <v>20</v>
      </c>
      <c r="BA1149" s="58" t="n">
        <f aca="false">IF(AX1149&gt;0,J1149/AX1149,-1)</f>
        <v>52</v>
      </c>
      <c r="BB1149" s="58" t="n">
        <f aca="false">IF(AND(OR(BY1149="L1",BY1149="L23"),AX1149&gt;0),SUMIFS($AX$7:$AX$1843,$BY$7:$BY$1843,BY1149,$BA$7:$BA$1843,"&gt;"&amp;BA1149)+SUMIFS($AX$7:$AX$1843,$BY$7:$BY$1843,BY1149,$BA$7:$BA$1843,BA1149,$BQ$7:$BQ$1843,"&lt;="&amp;BQ1149),"")</f>
        <v>62.1043799195973</v>
      </c>
      <c r="BC1149" s="65" t="n">
        <f aca="false">IF(BB1149="",0,MAX(0,MIN(1,(IF(BY1149="L1",Parameter!$E$5,Parameter!$E$6+Parameter!$E$7)-(BB1149-AX1149))/AX1149)))</f>
        <v>1</v>
      </c>
      <c r="BD1149" s="55" t="str">
        <f aca="false">IF(AH1149&lt;=0,"",IF(BY1149="Aussen","Aussenlager",IF(BY1149="-","Nicht im Lift",IF(AM1149&gt;=1,"Lift",IF(AM1149&lt;=0,"Aussenlager","teilweise")))))</f>
        <v>Lift</v>
      </c>
      <c r="BE1149" s="55" t="str">
        <f aca="false">IF(AP1149&lt;=0,"",IF(BY1149="Aussen","Aussenlager",IF(BY1149="-","Nicht im Lift",IF(AU1149&gt;=1,"Lift",IF(AU1149&lt;=0,"Aussenlager","teilweise")))))</f>
        <v>Lift</v>
      </c>
      <c r="BF1149" s="55" t="str">
        <f aca="false">IF(AX1149&lt;=0,"",IF(BY1149="Aussen","Aussenlager",IF(BY1149="-","Nicht im Lift",IF(BC1149&gt;=1,"Lift",IF(BC1149&lt;=0,"Aussenlager","teilweise")))))</f>
        <v>Lift</v>
      </c>
      <c r="BG1149" s="55" t="str">
        <f aca="false">IF(A1149="","",IF(BP1149=1,"Neu; ","")&amp;IF(AND(BP1149=0,BK1149&lt;0),"negativer Bestand (Export "&amp;BK1149&amp;"); ","")&amp;IF(J1149&lt;=0,"Kein Verbrauch; ","")&amp;IF(CH1149&gt;0,"Lift "&amp;W1149&amp;" lt. Liftbericht (Fach "&amp;X1149&amp;" Stk); ",IF(BU1149=1,"Gebinde geschätzt ("&amp;T1149&amp;"); ",IF(BT1149=1,"Lose – Tablare geschätzt; ","")))&amp;IF(H1149&gt;AR1149,"Überbestand "&amp;ROUND(H1149-AR1149,0)&amp;" Stk / CHF "&amp;ROUND((H1149-AR1149)*G1149,0)&amp;"; ","")&amp;IF(AND(CA1149=1,CB1149&lt;CC1149),"MAX &lt; MB+LG; ","")&amp;IF(AND(CG1149&gt;0,CF1149*10&gt;CG1149),"zu hoch für Tablar; ","")&amp;IF(AND(BP1149=0,OR(CA1149=1,AA1149&lt;&gt;"",U1149&lt;&gt;"",V1149&lt;&gt;"",AB1149&lt;&gt;"")),"manuell übersteuert; ","")&amp;IF(AND(BT1149=0,R1149=0),"Gebinde unbekannt / Stellmass fehlt; ","")&amp;IF(AND(BT1149=0,N(V1149)&lt;=0,N(Q1149)&lt;=0),"Menge pro Gebinde fehlt (Ist = 1 Gebinde); ","")&amp;BO1149)</f>
        <v>negativer Bestand (Export -2); Gebinde geschätzt (Klein); Menge pro Gebinde fehlt (Ist = 1 Gebinde); </v>
      </c>
      <c r="BH1149" s="55"/>
      <c r="BI1149" s="55"/>
      <c r="BJ1149" s="62"/>
      <c r="BK1149" s="57" t="n">
        <v>-2</v>
      </c>
      <c r="BL1149" s="57" t="n">
        <v>4</v>
      </c>
      <c r="BM1149" s="56" t="n">
        <v>-303.64</v>
      </c>
      <c r="BN1149" s="57" t="n">
        <v>2</v>
      </c>
      <c r="BO1149" s="55"/>
      <c r="BP1149" s="60" t="n">
        <v>0</v>
      </c>
      <c r="BQ1149" s="60" t="n">
        <v>1149</v>
      </c>
      <c r="BR1149" s="55" t="str">
        <f aca="false">IF(U1149&lt;&gt;"",UPPER(TRIM(U1149)),IF(BU1149=1,UPPER(VLOOKUP(T1149,Parameter!$I$27:$K$29,2,0)),IF(P1149="","LOSE",P1149)))</f>
        <v>S51</v>
      </c>
      <c r="BS1149" s="57" t="n">
        <f aca="false">IF(BR1149="LOSE",1,IF(N(V1149)&gt;0,V1149,IF(BU1149=1,MAX(1,N(VLOOKUP(T1149,Parameter!$I$27:$K$29,3,0)),H1149,N(N1149)),IF(N(Q1149)&gt;0,Q1149,MAX(1,H1149)))))</f>
        <v>20</v>
      </c>
      <c r="BT1149" s="60" t="n">
        <f aca="false">IF(BR1149="LOSE",1,0)</f>
        <v>0</v>
      </c>
      <c r="BU1149" s="60" t="n">
        <f aca="false">IF(AND(U1149="",OR(P1149="",P1149="LOSE"),T1149&lt;&gt;"",N(S1149)&lt;=0,ISNUMBER(MATCH(T1149,Parameter!$I$27:$I$29,0))),1,0)</f>
        <v>1</v>
      </c>
      <c r="BV1149" s="55" t="str">
        <f aca="false">IF(AND(Parameter!$B$19="Ja",E1149&lt;&gt;"",ISNUMBER(MATCH(E1149,Parameter!$I$35:$I$52,0))),VLOOKUP(E1149,Parameter!$I$35:$J$52,2,0),IFERROR(VLOOKUP(D1149,Parameter!$A$35:$C$64,2,0),"Nein"))</f>
        <v>2+3</v>
      </c>
      <c r="BW1149" s="59" t="n">
        <f aca="false">IF(BT1149=0,0,IF(N(S1149)&gt;0,S1149,IFERROR(VLOOKUP(D1149,Parameter!$A$35:$C$64,3,0)+0,0)))</f>
        <v>0</v>
      </c>
      <c r="BX1149" s="55" t="n">
        <f aca="false">IF(AA1149&lt;&gt;"",AA1149,Z1149)</f>
        <v>3</v>
      </c>
      <c r="BY1149" s="55" t="str">
        <f aca="false">IF(BX1149=1,"L1",IF(OR(BX1149=2,BX1149=3),"L23",IF(BX1149="Aussen","Aussen","-")))</f>
        <v>L23</v>
      </c>
      <c r="BZ1149" s="66" t="n">
        <f aca="false">IF(N(AB1149)&gt;0,AB1149,0)</f>
        <v>0</v>
      </c>
      <c r="CA1149" s="60" t="n">
        <f aca="false">IF(ISNUMBER(AE1149),1,0)</f>
        <v>0</v>
      </c>
      <c r="CB1149" s="57" t="n">
        <f aca="false">N(AE1149)</f>
        <v>0</v>
      </c>
      <c r="CC1149" s="57" t="n">
        <f aca="false">N(M1149)+N(N1149)</f>
        <v>1</v>
      </c>
      <c r="CD1149" s="57" t="n">
        <f aca="false">ROUNDUP(H1149/BS1149,0)</f>
        <v>1</v>
      </c>
      <c r="CE1149" s="57" t="n">
        <f aca="false">ROUNDUP(CB1149/BS1149,0)</f>
        <v>0</v>
      </c>
      <c r="CF1149" s="60" t="n">
        <f aca="false">IF(BT1149=1,0,IFERROR(VLOOKUP(BR1149,'Gebinde-Kategorie'!$A$5:$M$45,5,0)+0,0))</f>
        <v>11</v>
      </c>
      <c r="CG1149" s="60" t="n">
        <f aca="false">IFERROR(IF(OR(BX1149=1,BX1149=2,BX1149=3),N(INDEX(Parameter!$I$5:$I$7,BX1149)),0),0)</f>
        <v>0</v>
      </c>
      <c r="CH1149" s="59" t="n">
        <f aca="false">IF(AND(Parameter!$B$21="Ja",ISNUMBER(W1149),N(X1149)&gt;0),IFERROR(N(INDEX(Parameter!$L$5:$L$7,W1149))*INDEX(Parameter!$E$5:$E$7,W1149)*X1149/SUMIFS($X$7:$X$1843,$W$7:$W$1843,W1149),0),0)</f>
        <v>0</v>
      </c>
    </row>
    <row r="1150" customFormat="false" ht="15" hidden="false" customHeight="false" outlineLevel="0" collapsed="false">
      <c r="A1150" s="55" t="s">
        <v>2077</v>
      </c>
      <c r="B1150" s="55" t="s">
        <v>2034</v>
      </c>
      <c r="C1150" s="55" t="s">
        <v>164</v>
      </c>
      <c r="D1150" s="55" t="s">
        <v>184</v>
      </c>
      <c r="E1150" s="55" t="s">
        <v>185</v>
      </c>
      <c r="F1150" s="55" t="s">
        <v>218</v>
      </c>
      <c r="G1150" s="56" t="n">
        <v>29.34</v>
      </c>
      <c r="H1150" s="57" t="n">
        <f aca="false">MAX(0,IF(AND(Parameter!$B$21="Ja",ISNUMBER(Y1150)),Y1150,IF(Parameter!$B$20="Jahresanfang 2025 + Export",BL1150+BK1150,BK1150)))</f>
        <v>9</v>
      </c>
      <c r="I1150" s="57" t="n">
        <f aca="false">H1150*G1150</f>
        <v>264.06</v>
      </c>
      <c r="J1150" s="57" t="n">
        <f aca="false">BN1150*Parameter!$B$18</f>
        <v>20</v>
      </c>
      <c r="K1150" s="58" t="n">
        <v>15</v>
      </c>
      <c r="L1150" s="59" t="n">
        <v>1.33333333333333</v>
      </c>
      <c r="M1150" s="57" t="n">
        <v>2</v>
      </c>
      <c r="N1150" s="57" t="n">
        <v>20</v>
      </c>
      <c r="O1150" s="60" t="n">
        <v>42</v>
      </c>
      <c r="P1150" s="55" t="s">
        <v>476</v>
      </c>
      <c r="Q1150" s="57" t="n">
        <v>26</v>
      </c>
      <c r="R1150" s="60" t="n">
        <f aca="false">IF(BT1150=1,0,IFERROR(VLOOKUP(BR1150,'Gebinde-Kategorie'!$A$5:$M$45,13,0)+0,0))</f>
        <v>66</v>
      </c>
      <c r="S1150" s="61"/>
      <c r="T1150" s="62"/>
      <c r="U1150" s="62"/>
      <c r="V1150" s="62"/>
      <c r="W1150" s="55"/>
      <c r="X1150" s="57"/>
      <c r="Y1150" s="57"/>
      <c r="Z1150" s="55" t="n">
        <f aca="false">IF(A1150="","",IF(AND(Parameter!$B$21="Ja",ISNUMBER(W1150)),W1150,IF(BV1150="2+3",IF(ISNUMBER(SEARCH("grosser Artikel",BO1150)),2,IFERROR(VLOOKUP(BR1150,Parameter!$F$35:$G$64,2,0),2)),IF(OR(BV1150="Nein",BV1150=""),"-",BV1150))))</f>
        <v>3</v>
      </c>
      <c r="AA1150" s="62"/>
      <c r="AB1150" s="63"/>
      <c r="AC1150" s="57" t="n">
        <f aca="false">AR1150</f>
        <v>26</v>
      </c>
      <c r="AD1150" s="57" t="n">
        <f aca="false">MAX(AR1150,H1150)</f>
        <v>26</v>
      </c>
      <c r="AE1150" s="64"/>
      <c r="AF1150" s="57" t="n">
        <f aca="false">IF(LEFT(Cockpit!$C$5,1)="A",H1150,IF(CA1150=1,CB1150,IF(LEFT(Cockpit!$C$5,1)="B",AJ1150,MAX(AJ1150,H1150))))</f>
        <v>9</v>
      </c>
      <c r="AG1150" s="57" t="n">
        <f aca="false">IF(BT1150=1,0,ROUNDUP(AF1150/BS1150,0))</f>
        <v>1</v>
      </c>
      <c r="AH1150" s="59" t="n">
        <f aca="false">IF(CH1150&gt;0,CH1150*MAX(1,AF1150/X1150),IF(BT1150=1,IF(AF1150&lt;=0,0,BW1150*MAX(1,IF(H1150&gt;0,AF1150/H1150,1))),IF(R1150&gt;0,AG1150/R1150,0))/MAX(0.1,N(Parameter!$M$21)))</f>
        <v>0.0151515151515152</v>
      </c>
      <c r="AI1150" s="57" t="n">
        <f aca="false">AF1150*G1150</f>
        <v>264.06</v>
      </c>
      <c r="AJ1150" s="57" t="n">
        <f aca="false">ROUNDUP(MAX(J1150/IF(BZ1150&gt;0,BZ1150,MAX(0.1,N(Cockpit!$C$6))),CC1150)/BS1150,0)*BS1150</f>
        <v>26</v>
      </c>
      <c r="AK1150" s="58" t="n">
        <f aca="false">IF(AH1150&gt;0,J1150/AH1150,-1)</f>
        <v>1320</v>
      </c>
      <c r="AL1150" s="58" t="n">
        <f aca="false">IF(AND(OR(BY1150="L1",BY1150="L23"),AH1150&gt;0),SUMIFS($AH$7:$AH$1843,$BY$7:$BY$1843,BY1150,$AK$7:$AK$1843,"&gt;"&amp;AK1150)+SUMIFS($AH$7:$AH$1843,$BY$7:$BY$1843,BY1150,$AK$7:$AK$1843,AK1150,$BQ$7:$BQ$1843,"&lt;="&amp;BQ1150),"")</f>
        <v>16.3523276240668</v>
      </c>
      <c r="AM1150" s="65" t="n">
        <f aca="false">IF(AL1150="",0,MAX(0,MIN(1,(IF(BY1150="L1",Parameter!$E$5,Parameter!$E$6+Parameter!$E$7)-(AL1150-AH1150))/AH1150)))</f>
        <v>1</v>
      </c>
      <c r="AN1150" s="57" t="n">
        <f aca="false">IF(LEFT(Cockpit!$I$5,1)="A",H1150,IF(CA1150=1,CB1150,IF(LEFT(Cockpit!$I$5,1)="B",AR1150,MAX(AR1150,H1150))))</f>
        <v>26</v>
      </c>
      <c r="AO1150" s="57" t="n">
        <f aca="false">IF(BT1150=1,0,ROUNDUP(AN1150/BS1150,0))</f>
        <v>1</v>
      </c>
      <c r="AP1150" s="59" t="n">
        <f aca="false">IF(CH1150&gt;0,CH1150*MAX(1,AN1150/X1150),IF(BT1150=1,IF(AN1150&lt;=0,0,BW1150*MAX(1,IF(H1150&gt;0,AN1150/H1150,1))),IF(R1150&gt;0,AO1150/R1150,0))/MAX(0.1,N(Parameter!$M$21)))</f>
        <v>0.0151515151515152</v>
      </c>
      <c r="AQ1150" s="57" t="n">
        <f aca="false">AN1150*G1150</f>
        <v>762.84</v>
      </c>
      <c r="AR1150" s="57" t="n">
        <f aca="false">ROUNDUP(MAX(J1150/IF(BZ1150&gt;0,BZ1150,MAX(0.1,N(Cockpit!$I$6))),CC1150)/BS1150,0)*BS1150</f>
        <v>26</v>
      </c>
      <c r="AS1150" s="58" t="n">
        <f aca="false">IF(AP1150&gt;0,J1150/AP1150,-1)</f>
        <v>1320</v>
      </c>
      <c r="AT1150" s="58" t="n">
        <f aca="false">IF(AND(OR(BY1150="L1",BY1150="L23"),AP1150&gt;0),SUMIFS($AP$7:$AP$1843,$BY$7:$BY$1843,BY1150,$AS$7:$AS$1843,"&gt;"&amp;AS1150)+SUMIFS($AP$7:$AP$1843,$BY$7:$BY$1843,BY1150,$AS$7:$AS$1843,AS1150,$BQ$7:$BQ$1843,"&lt;="&amp;BQ1150),"")</f>
        <v>21.8462045201176</v>
      </c>
      <c r="AU1150" s="65" t="n">
        <f aca="false">IF(AT1150="",0,MAX(0,MIN(1,(IF(BY1150="L1",Parameter!$E$5,Parameter!$E$6+Parameter!$E$7)-(AT1150-AP1150))/AP1150)))</f>
        <v>1</v>
      </c>
      <c r="AV1150" s="57" t="n">
        <f aca="false">IF(LEFT(Cockpit!$O$5,1)="A",H1150,IF(CA1150=1,CB1150,IF(LEFT(Cockpit!$O$5,1)="B",AZ1150,MAX(AZ1150,H1150))))</f>
        <v>26</v>
      </c>
      <c r="AW1150" s="57" t="n">
        <f aca="false">IF(BT1150=1,0,ROUNDUP(AV1150/BS1150,0))</f>
        <v>1</v>
      </c>
      <c r="AX1150" s="59" t="n">
        <f aca="false">IF(CH1150&gt;0,CH1150*MAX(1,AV1150/X1150),IF(BT1150=1,IF(AV1150&lt;=0,0,BW1150*MAX(1,IF(H1150&gt;0,AV1150/H1150,1))),IF(R1150&gt;0,AW1150/R1150,0))/MAX(0.1,N(Parameter!$M$21)))</f>
        <v>0.0151515151515152</v>
      </c>
      <c r="AY1150" s="57" t="n">
        <f aca="false">AV1150*G1150</f>
        <v>762.84</v>
      </c>
      <c r="AZ1150" s="57" t="n">
        <f aca="false">ROUNDUP(MAX(J1150/IF(BZ1150&gt;0,BZ1150,MAX(0.1,N(Cockpit!$O$6))),CC1150)/BS1150,0)*BS1150</f>
        <v>26</v>
      </c>
      <c r="BA1150" s="58" t="n">
        <f aca="false">IF(AX1150&gt;0,J1150/AX1150,-1)</f>
        <v>1320</v>
      </c>
      <c r="BB1150" s="58" t="n">
        <f aca="false">IF(AND(OR(BY1150="L1",BY1150="L23"),AX1150&gt;0),SUMIFS($AX$7:$AX$1843,$BY$7:$BY$1843,BY1150,$BA$7:$BA$1843,"&gt;"&amp;BA1150)+SUMIFS($AX$7:$AX$1843,$BY$7:$BY$1843,BY1150,$BA$7:$BA$1843,BA1150,$BQ$7:$BQ$1843,"&lt;="&amp;BQ1150),"")</f>
        <v>20.541425965339</v>
      </c>
      <c r="BC1150" s="65" t="n">
        <f aca="false">IF(BB1150="",0,MAX(0,MIN(1,(IF(BY1150="L1",Parameter!$E$5,Parameter!$E$6+Parameter!$E$7)-(BB1150-AX1150))/AX1150)))</f>
        <v>1</v>
      </c>
      <c r="BD1150" s="55" t="str">
        <f aca="false">IF(AH1150&lt;=0,"",IF(BY1150="Aussen","Aussenlager",IF(BY1150="-","Nicht im Lift",IF(AM1150&gt;=1,"Lift",IF(AM1150&lt;=0,"Aussenlager","teilweise")))))</f>
        <v>Lift</v>
      </c>
      <c r="BE1150" s="55" t="str">
        <f aca="false">IF(AP1150&lt;=0,"",IF(BY1150="Aussen","Aussenlager",IF(BY1150="-","Nicht im Lift",IF(AU1150&gt;=1,"Lift",IF(AU1150&lt;=0,"Aussenlager","teilweise")))))</f>
        <v>Lift</v>
      </c>
      <c r="BF1150" s="55" t="str">
        <f aca="false">IF(AX1150&lt;=0,"",IF(BY1150="Aussen","Aussenlager",IF(BY1150="-","Nicht im Lift",IF(BC1150&gt;=1,"Lift",IF(BC1150&lt;=0,"Aussenlager","teilweise")))))</f>
        <v>Lift</v>
      </c>
      <c r="BG1150" s="55" t="str">
        <f aca="false">IF(A1150="","",IF(BP1150=1,"Neu; ","")&amp;IF(AND(BP1150=0,BK1150&lt;0),"negativer Bestand (Export "&amp;BK1150&amp;"); ","")&amp;IF(J1150&lt;=0,"Kein Verbrauch; ","")&amp;IF(CH1150&gt;0,"Lift "&amp;W1150&amp;" lt. Liftbericht (Fach "&amp;X1150&amp;" Stk); ",IF(BU1150=1,"Gebinde geschätzt ("&amp;T1150&amp;"); ",IF(BT1150=1,"Lose – Tablare geschätzt; ","")))&amp;IF(H1150&gt;AR1150,"Überbestand "&amp;ROUND(H1150-AR1150,0)&amp;" Stk / CHF "&amp;ROUND((H1150-AR1150)*G1150,0)&amp;"; ","")&amp;IF(AND(CA1150=1,CB1150&lt;CC1150),"MAX &lt; MB+LG; ","")&amp;IF(AND(CG1150&gt;0,CF1150*10&gt;CG1150),"zu hoch für Tablar; ","")&amp;IF(AND(BP1150=0,OR(CA1150=1,AA1150&lt;&gt;"",U1150&lt;&gt;"",V1150&lt;&gt;"",AB1150&lt;&gt;"")),"manuell übersteuert; ","")&amp;IF(AND(BT1150=0,R1150=0),"Gebinde unbekannt / Stellmass fehlt; ","")&amp;IF(AND(BT1150=0,N(V1150)&lt;=0,N(Q1150)&lt;=0),"Menge pro Gebinde fehlt (Ist = 1 Gebinde); ","")&amp;BO1150)</f>
        <v>negativer Bestand (Export -6); </v>
      </c>
      <c r="BH1150" s="55"/>
      <c r="BI1150" s="55"/>
      <c r="BJ1150" s="62"/>
      <c r="BK1150" s="57" t="n">
        <v>-6</v>
      </c>
      <c r="BL1150" s="57" t="n">
        <v>15</v>
      </c>
      <c r="BM1150" s="56" t="n">
        <v>-309.54</v>
      </c>
      <c r="BN1150" s="57" t="n">
        <v>20</v>
      </c>
      <c r="BO1150" s="55"/>
      <c r="BP1150" s="60" t="n">
        <v>0</v>
      </c>
      <c r="BQ1150" s="60" t="n">
        <v>1150</v>
      </c>
      <c r="BR1150" s="55" t="str">
        <f aca="false">IF(U1150&lt;&gt;"",UPPER(TRIM(U1150)),IF(BU1150=1,UPPER(VLOOKUP(T1150,Parameter!$I$27:$K$29,2,0)),IF(P1150="","LOSE",P1150)))</f>
        <v>S33</v>
      </c>
      <c r="BS1150" s="57" t="n">
        <f aca="false">IF(BR1150="LOSE",1,IF(N(V1150)&gt;0,V1150,IF(BU1150=1,MAX(1,N(VLOOKUP(T1150,Parameter!$I$27:$K$29,3,0)),H1150,N(N1150)),IF(N(Q1150)&gt;0,Q1150,MAX(1,H1150)))))</f>
        <v>26</v>
      </c>
      <c r="BT1150" s="60" t="n">
        <f aca="false">IF(BR1150="LOSE",1,0)</f>
        <v>0</v>
      </c>
      <c r="BU1150" s="60" t="n">
        <f aca="false">IF(AND(U1150="",OR(P1150="",P1150="LOSE"),T1150&lt;&gt;"",N(S1150)&lt;=0,ISNUMBER(MATCH(T1150,Parameter!$I$27:$I$29,0))),1,0)</f>
        <v>0</v>
      </c>
      <c r="BV1150" s="55" t="str">
        <f aca="false">IF(AND(Parameter!$B$19="Ja",E1150&lt;&gt;"",ISNUMBER(MATCH(E1150,Parameter!$I$35:$I$52,0))),VLOOKUP(E1150,Parameter!$I$35:$J$52,2,0),IFERROR(VLOOKUP(D1150,Parameter!$A$35:$C$64,2,0),"Nein"))</f>
        <v>2+3</v>
      </c>
      <c r="BW1150" s="59" t="n">
        <f aca="false">IF(BT1150=0,0,IF(N(S1150)&gt;0,S1150,IFERROR(VLOOKUP(D1150,Parameter!$A$35:$C$64,3,0)+0,0)))</f>
        <v>0</v>
      </c>
      <c r="BX1150" s="55" t="n">
        <f aca="false">IF(AA1150&lt;&gt;"",AA1150,Z1150)</f>
        <v>3</v>
      </c>
      <c r="BY1150" s="55" t="str">
        <f aca="false">IF(BX1150=1,"L1",IF(OR(BX1150=2,BX1150=3),"L23",IF(BX1150="Aussen","Aussen","-")))</f>
        <v>L23</v>
      </c>
      <c r="BZ1150" s="66" t="n">
        <f aca="false">IF(N(AB1150)&gt;0,AB1150,0)</f>
        <v>0</v>
      </c>
      <c r="CA1150" s="60" t="n">
        <f aca="false">IF(ISNUMBER(AE1150),1,0)</f>
        <v>0</v>
      </c>
      <c r="CB1150" s="57" t="n">
        <f aca="false">N(AE1150)</f>
        <v>0</v>
      </c>
      <c r="CC1150" s="57" t="n">
        <f aca="false">N(M1150)+N(N1150)</f>
        <v>22</v>
      </c>
      <c r="CD1150" s="57" t="n">
        <f aca="false">ROUNDUP(H1150/BS1150,0)</f>
        <v>1</v>
      </c>
      <c r="CE1150" s="57" t="n">
        <f aca="false">ROUNDUP(CB1150/BS1150,0)</f>
        <v>0</v>
      </c>
      <c r="CF1150" s="60" t="n">
        <f aca="false">IF(BT1150=1,0,IFERROR(VLOOKUP(BR1150,'Gebinde-Kategorie'!$A$5:$M$45,5,0)+0,0))</f>
        <v>8</v>
      </c>
      <c r="CG1150" s="60" t="n">
        <f aca="false">IFERROR(IF(OR(BX1150=1,BX1150=2,BX1150=3),N(INDEX(Parameter!$I$5:$I$7,BX1150)),0),0)</f>
        <v>0</v>
      </c>
      <c r="CH1150" s="59" t="n">
        <f aca="false">IF(AND(Parameter!$B$21="Ja",ISNUMBER(W1150),N(X1150)&gt;0),IFERROR(N(INDEX(Parameter!$L$5:$L$7,W1150))*INDEX(Parameter!$E$5:$E$7,W1150)*X1150/SUMIFS($X$7:$X$1843,$W$7:$W$1843,W1150),0),0)</f>
        <v>0</v>
      </c>
    </row>
    <row r="1151" customFormat="false" ht="15" hidden="false" customHeight="false" outlineLevel="0" collapsed="false">
      <c r="A1151" s="55" t="s">
        <v>2078</v>
      </c>
      <c r="B1151" s="55" t="s">
        <v>2079</v>
      </c>
      <c r="C1151" s="55" t="s">
        <v>164</v>
      </c>
      <c r="D1151" s="55" t="s">
        <v>184</v>
      </c>
      <c r="E1151" s="55" t="s">
        <v>185</v>
      </c>
      <c r="F1151" s="55" t="s">
        <v>218</v>
      </c>
      <c r="G1151" s="56" t="n">
        <v>130.65</v>
      </c>
      <c r="H1151" s="57" t="n">
        <f aca="false">MAX(0,IF(AND(Parameter!$B$21="Ja",ISNUMBER(Y1151)),Y1151,IF(Parameter!$B$20="Jahresanfang 2025 + Export",BL1151+BK1151,BK1151)))</f>
        <v>1</v>
      </c>
      <c r="I1151" s="57" t="n">
        <f aca="false">H1151*G1151</f>
        <v>130.65</v>
      </c>
      <c r="J1151" s="57" t="n">
        <f aca="false">BN1151*Parameter!$B$18</f>
        <v>2</v>
      </c>
      <c r="K1151" s="58" t="n">
        <v>3</v>
      </c>
      <c r="L1151" s="59" t="n">
        <v>0.666666666666667</v>
      </c>
      <c r="M1151" s="57" t="n">
        <v>0</v>
      </c>
      <c r="N1151" s="57" t="n">
        <v>1</v>
      </c>
      <c r="O1151" s="60" t="n">
        <v>28</v>
      </c>
      <c r="P1151" s="55" t="s">
        <v>421</v>
      </c>
      <c r="Q1151" s="57" t="n">
        <v>3</v>
      </c>
      <c r="R1151" s="60" t="n">
        <f aca="false">IF(BT1151=1,0,IFERROR(VLOOKUP(BR1151,'Gebinde-Kategorie'!$A$5:$M$45,13,0)+0,0))</f>
        <v>132</v>
      </c>
      <c r="S1151" s="61"/>
      <c r="T1151" s="62"/>
      <c r="U1151" s="62"/>
      <c r="V1151" s="62"/>
      <c r="W1151" s="55"/>
      <c r="X1151" s="57"/>
      <c r="Y1151" s="57"/>
      <c r="Z1151" s="55" t="n">
        <f aca="false">IF(A1151="","",IF(AND(Parameter!$B$21="Ja",ISNUMBER(W1151)),W1151,IF(BV1151="2+3",IF(ISNUMBER(SEARCH("grosser Artikel",BO1151)),2,IFERROR(VLOOKUP(BR1151,Parameter!$F$35:$G$64,2,0),2)),IF(OR(BV1151="Nein",BV1151=""),"-",BV1151))))</f>
        <v>2</v>
      </c>
      <c r="AA1151" s="62"/>
      <c r="AB1151" s="63"/>
      <c r="AC1151" s="57" t="n">
        <f aca="false">AR1151</f>
        <v>3</v>
      </c>
      <c r="AD1151" s="57" t="n">
        <f aca="false">MAX(AR1151,H1151)</f>
        <v>3</v>
      </c>
      <c r="AE1151" s="64"/>
      <c r="AF1151" s="57" t="n">
        <f aca="false">IF(LEFT(Cockpit!$C$5,1)="A",H1151,IF(CA1151=1,CB1151,IF(LEFT(Cockpit!$C$5,1)="B",AJ1151,MAX(AJ1151,H1151))))</f>
        <v>1</v>
      </c>
      <c r="AG1151" s="57" t="n">
        <f aca="false">IF(BT1151=1,0,ROUNDUP(AF1151/BS1151,0))</f>
        <v>1</v>
      </c>
      <c r="AH1151" s="59" t="n">
        <f aca="false">IF(CH1151&gt;0,CH1151*MAX(1,AF1151/X1151),IF(BT1151=1,IF(AF1151&lt;=0,0,BW1151*MAX(1,IF(H1151&gt;0,AF1151/H1151,1))),IF(R1151&gt;0,AG1151/R1151,0))/MAX(0.1,N(Parameter!$M$21)))</f>
        <v>0.00757575757575758</v>
      </c>
      <c r="AI1151" s="57" t="n">
        <f aca="false">AF1151*G1151</f>
        <v>130.65</v>
      </c>
      <c r="AJ1151" s="57" t="n">
        <f aca="false">ROUNDUP(MAX(J1151/IF(BZ1151&gt;0,BZ1151,MAX(0.1,N(Cockpit!$C$6))),CC1151)/BS1151,0)*BS1151</f>
        <v>3</v>
      </c>
      <c r="AK1151" s="58" t="n">
        <f aca="false">IF(AH1151&gt;0,J1151/AH1151,-1)</f>
        <v>264</v>
      </c>
      <c r="AL1151" s="58" t="n">
        <f aca="false">IF(AND(OR(BY1151="L1",BY1151="L23"),AH1151&gt;0),SUMIFS($AH$7:$AH$1843,$BY$7:$BY$1843,BY1151,$AK$7:$AK$1843,"&gt;"&amp;AK1151)+SUMIFS($AH$7:$AH$1843,$BY$7:$BY$1843,BY1151,$AK$7:$AK$1843,AK1151,$BQ$7:$BQ$1843,"&lt;="&amp;BQ1151),"")</f>
        <v>29.1417012938752</v>
      </c>
      <c r="AM1151" s="65" t="n">
        <f aca="false">IF(AL1151="",0,MAX(0,MIN(1,(IF(BY1151="L1",Parameter!$E$5,Parameter!$E$6+Parameter!$E$7)-(AL1151-AH1151))/AH1151)))</f>
        <v>1</v>
      </c>
      <c r="AN1151" s="57" t="n">
        <f aca="false">IF(LEFT(Cockpit!$I$5,1)="A",H1151,IF(CA1151=1,CB1151,IF(LEFT(Cockpit!$I$5,1)="B",AR1151,MAX(AR1151,H1151))))</f>
        <v>3</v>
      </c>
      <c r="AO1151" s="57" t="n">
        <f aca="false">IF(BT1151=1,0,ROUNDUP(AN1151/BS1151,0))</f>
        <v>1</v>
      </c>
      <c r="AP1151" s="59" t="n">
        <f aca="false">IF(CH1151&gt;0,CH1151*MAX(1,AN1151/X1151),IF(BT1151=1,IF(AN1151&lt;=0,0,BW1151*MAX(1,IF(H1151&gt;0,AN1151/H1151,1))),IF(R1151&gt;0,AO1151/R1151,0))/MAX(0.1,N(Parameter!$M$21)))</f>
        <v>0.00757575757575758</v>
      </c>
      <c r="AQ1151" s="57" t="n">
        <f aca="false">AN1151*G1151</f>
        <v>391.95</v>
      </c>
      <c r="AR1151" s="57" t="n">
        <f aca="false">ROUNDUP(MAX(J1151/IF(BZ1151&gt;0,BZ1151,MAX(0.1,N(Cockpit!$I$6))),CC1151)/BS1151,0)*BS1151</f>
        <v>3</v>
      </c>
      <c r="AS1151" s="58" t="n">
        <f aca="false">IF(AP1151&gt;0,J1151/AP1151,-1)</f>
        <v>264</v>
      </c>
      <c r="AT1151" s="58" t="n">
        <f aca="false">IF(AND(OR(BY1151="L1",BY1151="L23"),AP1151&gt;0),SUMIFS($AP$7:$AP$1843,$BY$7:$BY$1843,BY1151,$AS$7:$AS$1843,"&gt;"&amp;AS1151)+SUMIFS($AP$7:$AP$1843,$BY$7:$BY$1843,BY1151,$AS$7:$AS$1843,AS1151,$BQ$7:$BQ$1843,"&lt;="&amp;BQ1151),"")</f>
        <v>42.350790513834</v>
      </c>
      <c r="AU1151" s="65" t="n">
        <f aca="false">IF(AT1151="",0,MAX(0,MIN(1,(IF(BY1151="L1",Parameter!$E$5,Parameter!$E$6+Parameter!$E$7)-(AT1151-AP1151))/AP1151)))</f>
        <v>1</v>
      </c>
      <c r="AV1151" s="57" t="n">
        <f aca="false">IF(LEFT(Cockpit!$O$5,1)="A",H1151,IF(CA1151=1,CB1151,IF(LEFT(Cockpit!$O$5,1)="B",AZ1151,MAX(AZ1151,H1151))))</f>
        <v>3</v>
      </c>
      <c r="AW1151" s="57" t="n">
        <f aca="false">IF(BT1151=1,0,ROUNDUP(AV1151/BS1151,0))</f>
        <v>1</v>
      </c>
      <c r="AX1151" s="59" t="n">
        <f aca="false">IF(CH1151&gt;0,CH1151*MAX(1,AV1151/X1151),IF(BT1151=1,IF(AV1151&lt;=0,0,BW1151*MAX(1,IF(H1151&gt;0,AV1151/H1151,1))),IF(R1151&gt;0,AW1151/R1151,0))/MAX(0.1,N(Parameter!$M$21)))</f>
        <v>0.00757575757575758</v>
      </c>
      <c r="AY1151" s="57" t="n">
        <f aca="false">AV1151*G1151</f>
        <v>391.95</v>
      </c>
      <c r="AZ1151" s="57" t="n">
        <f aca="false">ROUNDUP(MAX(J1151/IF(BZ1151&gt;0,BZ1151,MAX(0.1,N(Cockpit!$O$6))),CC1151)/BS1151,0)*BS1151</f>
        <v>3</v>
      </c>
      <c r="BA1151" s="58" t="n">
        <f aca="false">IF(AX1151&gt;0,J1151/AX1151,-1)</f>
        <v>264</v>
      </c>
      <c r="BB1151" s="58" t="n">
        <f aca="false">IF(AND(OR(BY1151="L1",BY1151="L23"),AX1151&gt;0),SUMIFS($AX$7:$AX$1843,$BY$7:$BY$1843,BY1151,$BA$7:$BA$1843,"&gt;"&amp;BA1151)+SUMIFS($AX$7:$AX$1843,$BY$7:$BY$1843,BY1151,$BA$7:$BA$1843,BA1151,$BQ$7:$BQ$1843,"&lt;="&amp;BQ1151),"")</f>
        <v>38.6806273436708</v>
      </c>
      <c r="BC1151" s="65" t="n">
        <f aca="false">IF(BB1151="",0,MAX(0,MIN(1,(IF(BY1151="L1",Parameter!$E$5,Parameter!$E$6+Parameter!$E$7)-(BB1151-AX1151))/AX1151)))</f>
        <v>1</v>
      </c>
      <c r="BD1151" s="55" t="str">
        <f aca="false">IF(AH1151&lt;=0,"",IF(BY1151="Aussen","Aussenlager",IF(BY1151="-","Nicht im Lift",IF(AM1151&gt;=1,"Lift",IF(AM1151&lt;=0,"Aussenlager","teilweise")))))</f>
        <v>Lift</v>
      </c>
      <c r="BE1151" s="55" t="str">
        <f aca="false">IF(AP1151&lt;=0,"",IF(BY1151="Aussen","Aussenlager",IF(BY1151="-","Nicht im Lift",IF(AU1151&gt;=1,"Lift",IF(AU1151&lt;=0,"Aussenlager","teilweise")))))</f>
        <v>Lift</v>
      </c>
      <c r="BF1151" s="55" t="str">
        <f aca="false">IF(AX1151&lt;=0,"",IF(BY1151="Aussen","Aussenlager",IF(BY1151="-","Nicht im Lift",IF(BC1151&gt;=1,"Lift",IF(BC1151&lt;=0,"Aussenlager","teilweise")))))</f>
        <v>Lift</v>
      </c>
      <c r="BG1151" s="55" t="str">
        <f aca="false">IF(A1151="","",IF(BP1151=1,"Neu; ","")&amp;IF(AND(BP1151=0,BK1151&lt;0),"negativer Bestand (Export "&amp;BK1151&amp;"); ","")&amp;IF(J1151&lt;=0,"Kein Verbrauch; ","")&amp;IF(CH1151&gt;0,"Lift "&amp;W1151&amp;" lt. Liftbericht (Fach "&amp;X1151&amp;" Stk); ",IF(BU1151=1,"Gebinde geschätzt ("&amp;T1151&amp;"); ",IF(BT1151=1,"Lose – Tablare geschätzt; ","")))&amp;IF(H1151&gt;AR1151,"Überbestand "&amp;ROUND(H1151-AR1151,0)&amp;" Stk / CHF "&amp;ROUND((H1151-AR1151)*G1151,0)&amp;"; ","")&amp;IF(AND(CA1151=1,CB1151&lt;CC1151),"MAX &lt; MB+LG; ","")&amp;IF(AND(CG1151&gt;0,CF1151*10&gt;CG1151),"zu hoch für Tablar; ","")&amp;IF(AND(BP1151=0,OR(CA1151=1,AA1151&lt;&gt;"",U1151&lt;&gt;"",V1151&lt;&gt;"",AB1151&lt;&gt;"")),"manuell übersteuert; ","")&amp;IF(AND(BT1151=0,R1151=0),"Gebinde unbekannt / Stellmass fehlt; ","")&amp;IF(AND(BT1151=0,N(V1151)&lt;=0,N(Q1151)&lt;=0),"Menge pro Gebinde fehlt (Ist = 1 Gebinde); ","")&amp;BO1151)</f>
        <v>negativer Bestand (Export -3); Neu; grosser Artikel &amp; nicht im KTL</v>
      </c>
      <c r="BH1151" s="55"/>
      <c r="BI1151" s="55"/>
      <c r="BJ1151" s="62"/>
      <c r="BK1151" s="57" t="n">
        <v>-3</v>
      </c>
      <c r="BL1151" s="57" t="n">
        <v>4</v>
      </c>
      <c r="BM1151" s="56" t="n">
        <v>-310.03</v>
      </c>
      <c r="BN1151" s="57" t="n">
        <v>2</v>
      </c>
      <c r="BO1151" s="55" t="s">
        <v>2070</v>
      </c>
      <c r="BP1151" s="60" t="n">
        <v>0</v>
      </c>
      <c r="BQ1151" s="60" t="n">
        <v>1151</v>
      </c>
      <c r="BR1151" s="55" t="str">
        <f aca="false">IF(U1151&lt;&gt;"",UPPER(TRIM(U1151)),IF(BU1151=1,UPPER(VLOOKUP(T1151,Parameter!$I$27:$K$29,2,0)),IF(P1151="","LOSE",P1151)))</f>
        <v>S32</v>
      </c>
      <c r="BS1151" s="57" t="n">
        <f aca="false">IF(BR1151="LOSE",1,IF(N(V1151)&gt;0,V1151,IF(BU1151=1,MAX(1,N(VLOOKUP(T1151,Parameter!$I$27:$K$29,3,0)),H1151,N(N1151)),IF(N(Q1151)&gt;0,Q1151,MAX(1,H1151)))))</f>
        <v>3</v>
      </c>
      <c r="BT1151" s="60" t="n">
        <f aca="false">IF(BR1151="LOSE",1,0)</f>
        <v>0</v>
      </c>
      <c r="BU1151" s="60" t="n">
        <f aca="false">IF(AND(U1151="",OR(P1151="",P1151="LOSE"),T1151&lt;&gt;"",N(S1151)&lt;=0,ISNUMBER(MATCH(T1151,Parameter!$I$27:$I$29,0))),1,0)</f>
        <v>0</v>
      </c>
      <c r="BV1151" s="55" t="str">
        <f aca="false">IF(AND(Parameter!$B$19="Ja",E1151&lt;&gt;"",ISNUMBER(MATCH(E1151,Parameter!$I$35:$I$52,0))),VLOOKUP(E1151,Parameter!$I$35:$J$52,2,0),IFERROR(VLOOKUP(D1151,Parameter!$A$35:$C$64,2,0),"Nein"))</f>
        <v>2+3</v>
      </c>
      <c r="BW1151" s="59" t="n">
        <f aca="false">IF(BT1151=0,0,IF(N(S1151)&gt;0,S1151,IFERROR(VLOOKUP(D1151,Parameter!$A$35:$C$64,3,0)+0,0)))</f>
        <v>0</v>
      </c>
      <c r="BX1151" s="55" t="n">
        <f aca="false">IF(AA1151&lt;&gt;"",AA1151,Z1151)</f>
        <v>2</v>
      </c>
      <c r="BY1151" s="55" t="str">
        <f aca="false">IF(BX1151=1,"L1",IF(OR(BX1151=2,BX1151=3),"L23",IF(BX1151="Aussen","Aussen","-")))</f>
        <v>L23</v>
      </c>
      <c r="BZ1151" s="66" t="n">
        <f aca="false">IF(N(AB1151)&gt;0,AB1151,0)</f>
        <v>0</v>
      </c>
      <c r="CA1151" s="60" t="n">
        <f aca="false">IF(ISNUMBER(AE1151),1,0)</f>
        <v>0</v>
      </c>
      <c r="CB1151" s="57" t="n">
        <f aca="false">N(AE1151)</f>
        <v>0</v>
      </c>
      <c r="CC1151" s="57" t="n">
        <f aca="false">N(M1151)+N(N1151)</f>
        <v>1</v>
      </c>
      <c r="CD1151" s="57" t="n">
        <f aca="false">ROUNDUP(H1151/BS1151,0)</f>
        <v>1</v>
      </c>
      <c r="CE1151" s="57" t="n">
        <f aca="false">ROUNDUP(CB1151/BS1151,0)</f>
        <v>0</v>
      </c>
      <c r="CF1151" s="60" t="n">
        <f aca="false">IF(BT1151=1,0,IFERROR(VLOOKUP(BR1151,'Gebinde-Kategorie'!$A$5:$M$45,5,0)+0,0))</f>
        <v>8</v>
      </c>
      <c r="CG1151" s="60" t="n">
        <f aca="false">IFERROR(IF(OR(BX1151=1,BX1151=2,BX1151=3),N(INDEX(Parameter!$I$5:$I$7,BX1151)),0),0)</f>
        <v>0</v>
      </c>
      <c r="CH1151" s="59" t="n">
        <f aca="false">IF(AND(Parameter!$B$21="Ja",ISNUMBER(W1151),N(X1151)&gt;0),IFERROR(N(INDEX(Parameter!$L$5:$L$7,W1151))*INDEX(Parameter!$E$5:$E$7,W1151)*X1151/SUMIFS($X$7:$X$1843,$W$7:$W$1843,W1151),0),0)</f>
        <v>0</v>
      </c>
    </row>
    <row r="1152" customFormat="false" ht="15" hidden="false" customHeight="false" outlineLevel="0" collapsed="false">
      <c r="A1152" s="55" t="s">
        <v>2080</v>
      </c>
      <c r="B1152" s="55" t="s">
        <v>1087</v>
      </c>
      <c r="C1152" s="55" t="s">
        <v>164</v>
      </c>
      <c r="D1152" s="55" t="s">
        <v>184</v>
      </c>
      <c r="E1152" s="55" t="s">
        <v>185</v>
      </c>
      <c r="F1152" s="55" t="s">
        <v>218</v>
      </c>
      <c r="G1152" s="56" t="n">
        <v>25.19</v>
      </c>
      <c r="H1152" s="57" t="n">
        <f aca="false">MAX(0,IF(AND(Parameter!$B$21="Ja",ISNUMBER(Y1152)),Y1152,IF(Parameter!$B$20="Jahresanfang 2025 + Export",BL1152+BK1152,BK1152)))</f>
        <v>6</v>
      </c>
      <c r="I1152" s="57" t="n">
        <f aca="false">H1152*G1152</f>
        <v>151.14</v>
      </c>
      <c r="J1152" s="57" t="n">
        <f aca="false">BN1152*Parameter!$B$18</f>
        <v>10</v>
      </c>
      <c r="K1152" s="58" t="n">
        <v>12</v>
      </c>
      <c r="L1152" s="59" t="n">
        <v>0.833333333333333</v>
      </c>
      <c r="M1152" s="57" t="n">
        <v>0</v>
      </c>
      <c r="N1152" s="57" t="n">
        <v>10</v>
      </c>
      <c r="O1152" s="60" t="n">
        <v>28</v>
      </c>
      <c r="P1152" s="55" t="s">
        <v>233</v>
      </c>
      <c r="Q1152" s="57" t="n">
        <v>34</v>
      </c>
      <c r="R1152" s="60" t="n">
        <f aca="false">IF(BT1152=1,0,IFERROR(VLOOKUP(BR1152,'Gebinde-Kategorie'!$A$5:$M$45,13,0)+0,0))</f>
        <v>26</v>
      </c>
      <c r="S1152" s="61"/>
      <c r="T1152" s="62"/>
      <c r="U1152" s="62"/>
      <c r="V1152" s="62"/>
      <c r="W1152" s="55"/>
      <c r="X1152" s="57"/>
      <c r="Y1152" s="57"/>
      <c r="Z1152" s="55" t="n">
        <f aca="false">IF(A1152="","",IF(AND(Parameter!$B$21="Ja",ISNUMBER(W1152)),W1152,IF(BV1152="2+3",IF(ISNUMBER(SEARCH("grosser Artikel",BO1152)),2,IFERROR(VLOOKUP(BR1152,Parameter!$F$35:$G$64,2,0),2)),IF(OR(BV1152="Nein",BV1152=""),"-",BV1152))))</f>
        <v>3</v>
      </c>
      <c r="AA1152" s="62"/>
      <c r="AB1152" s="63"/>
      <c r="AC1152" s="57" t="n">
        <f aca="false">AR1152</f>
        <v>34</v>
      </c>
      <c r="AD1152" s="57" t="n">
        <f aca="false">MAX(AR1152,H1152)</f>
        <v>34</v>
      </c>
      <c r="AE1152" s="64"/>
      <c r="AF1152" s="57" t="n">
        <f aca="false">IF(LEFT(Cockpit!$C$5,1)="A",H1152,IF(CA1152=1,CB1152,IF(LEFT(Cockpit!$C$5,1)="B",AJ1152,MAX(AJ1152,H1152))))</f>
        <v>6</v>
      </c>
      <c r="AG1152" s="57" t="n">
        <f aca="false">IF(BT1152=1,0,ROUNDUP(AF1152/BS1152,0))</f>
        <v>1</v>
      </c>
      <c r="AH1152" s="59" t="n">
        <f aca="false">IF(CH1152&gt;0,CH1152*MAX(1,AF1152/X1152),IF(BT1152=1,IF(AF1152&lt;=0,0,BW1152*MAX(1,IF(H1152&gt;0,AF1152/H1152,1))),IF(R1152&gt;0,AG1152/R1152,0))/MAX(0.1,N(Parameter!$M$21)))</f>
        <v>0.0384615384615385</v>
      </c>
      <c r="AI1152" s="57" t="n">
        <f aca="false">AF1152*G1152</f>
        <v>151.14</v>
      </c>
      <c r="AJ1152" s="57" t="n">
        <f aca="false">ROUNDUP(MAX(J1152/IF(BZ1152&gt;0,BZ1152,MAX(0.1,N(Cockpit!$C$6))),CC1152)/BS1152,0)*BS1152</f>
        <v>34</v>
      </c>
      <c r="AK1152" s="58" t="n">
        <f aca="false">IF(AH1152&gt;0,J1152/AH1152,-1)</f>
        <v>260</v>
      </c>
      <c r="AL1152" s="58" t="n">
        <f aca="false">IF(AND(OR(BY1152="L1",BY1152="L23"),AH1152&gt;0),SUMIFS($AH$7:$AH$1843,$BY$7:$BY$1843,BY1152,$AK$7:$AK$1843,"&gt;"&amp;AK1152)+SUMIFS($AH$7:$AH$1843,$BY$7:$BY$1843,BY1152,$AK$7:$AK$1843,AK1152,$BQ$7:$BQ$1843,"&lt;="&amp;BQ1152),"")</f>
        <v>29.5414681936421</v>
      </c>
      <c r="AM1152" s="65" t="n">
        <f aca="false">IF(AL1152="",0,MAX(0,MIN(1,(IF(BY1152="L1",Parameter!$E$5,Parameter!$E$6+Parameter!$E$7)-(AL1152-AH1152))/AH1152)))</f>
        <v>1</v>
      </c>
      <c r="AN1152" s="57" t="n">
        <f aca="false">IF(LEFT(Cockpit!$I$5,1)="A",H1152,IF(CA1152=1,CB1152,IF(LEFT(Cockpit!$I$5,1)="B",AR1152,MAX(AR1152,H1152))))</f>
        <v>34</v>
      </c>
      <c r="AO1152" s="57" t="n">
        <f aca="false">IF(BT1152=1,0,ROUNDUP(AN1152/BS1152,0))</f>
        <v>1</v>
      </c>
      <c r="AP1152" s="59" t="n">
        <f aca="false">IF(CH1152&gt;0,CH1152*MAX(1,AN1152/X1152),IF(BT1152=1,IF(AN1152&lt;=0,0,BW1152*MAX(1,IF(H1152&gt;0,AN1152/H1152,1))),IF(R1152&gt;0,AO1152/R1152,0))/MAX(0.1,N(Parameter!$M$21)))</f>
        <v>0.0384615384615385</v>
      </c>
      <c r="AQ1152" s="57" t="n">
        <f aca="false">AN1152*G1152</f>
        <v>856.46</v>
      </c>
      <c r="AR1152" s="57" t="n">
        <f aca="false">ROUNDUP(MAX(J1152/IF(BZ1152&gt;0,BZ1152,MAX(0.1,N(Cockpit!$I$6))),CC1152)/BS1152,0)*BS1152</f>
        <v>34</v>
      </c>
      <c r="AS1152" s="58" t="n">
        <f aca="false">IF(AP1152&gt;0,J1152/AP1152,-1)</f>
        <v>260</v>
      </c>
      <c r="AT1152" s="58" t="n">
        <f aca="false">IF(AND(OR(BY1152="L1",BY1152="L23"),AP1152&gt;0),SUMIFS($AP$7:$AP$1843,$BY$7:$BY$1843,BY1152,$AS$7:$AS$1843,"&gt;"&amp;AS1152)+SUMIFS($AP$7:$AP$1843,$BY$7:$BY$1843,BY1152,$AS$7:$AS$1843,AS1152,$BQ$7:$BQ$1843,"&lt;="&amp;BQ1152),"")</f>
        <v>42.5582497212932</v>
      </c>
      <c r="AU1152" s="65" t="n">
        <f aca="false">IF(AT1152="",0,MAX(0,MIN(1,(IF(BY1152="L1",Parameter!$E$5,Parameter!$E$6+Parameter!$E$7)-(AT1152-AP1152))/AP1152)))</f>
        <v>1</v>
      </c>
      <c r="AV1152" s="57" t="n">
        <f aca="false">IF(LEFT(Cockpit!$O$5,1)="A",H1152,IF(CA1152=1,CB1152,IF(LEFT(Cockpit!$O$5,1)="B",AZ1152,MAX(AZ1152,H1152))))</f>
        <v>34</v>
      </c>
      <c r="AW1152" s="57" t="n">
        <f aca="false">IF(BT1152=1,0,ROUNDUP(AV1152/BS1152,0))</f>
        <v>1</v>
      </c>
      <c r="AX1152" s="59" t="n">
        <f aca="false">IF(CH1152&gt;0,CH1152*MAX(1,AV1152/X1152),IF(BT1152=1,IF(AV1152&lt;=0,0,BW1152*MAX(1,IF(H1152&gt;0,AV1152/H1152,1))),IF(R1152&gt;0,AW1152/R1152,0))/MAX(0.1,N(Parameter!$M$21)))</f>
        <v>0.0384615384615385</v>
      </c>
      <c r="AY1152" s="57" t="n">
        <f aca="false">AV1152*G1152</f>
        <v>856.46</v>
      </c>
      <c r="AZ1152" s="57" t="n">
        <f aca="false">ROUNDUP(MAX(J1152/IF(BZ1152&gt;0,BZ1152,MAX(0.1,N(Cockpit!$O$6))),CC1152)/BS1152,0)*BS1152</f>
        <v>34</v>
      </c>
      <c r="BA1152" s="58" t="n">
        <f aca="false">IF(AX1152&gt;0,J1152/AX1152,-1)</f>
        <v>260</v>
      </c>
      <c r="BB1152" s="58" t="n">
        <f aca="false">IF(AND(OR(BY1152="L1",BY1152="L23"),AX1152&gt;0),SUMIFS($AX$7:$AX$1843,$BY$7:$BY$1843,BY1152,$BA$7:$BA$1843,"&gt;"&amp;BA1152)+SUMIFS($AX$7:$AX$1843,$BY$7:$BY$1843,BY1152,$BA$7:$BA$1843,BA1152,$BQ$7:$BQ$1843,"&lt;="&amp;BQ1152),"")</f>
        <v>38.88808655113</v>
      </c>
      <c r="BC1152" s="65" t="n">
        <f aca="false">IF(BB1152="",0,MAX(0,MIN(1,(IF(BY1152="L1",Parameter!$E$5,Parameter!$E$6+Parameter!$E$7)-(BB1152-AX1152))/AX1152)))</f>
        <v>1</v>
      </c>
      <c r="BD1152" s="55" t="str">
        <f aca="false">IF(AH1152&lt;=0,"",IF(BY1152="Aussen","Aussenlager",IF(BY1152="-","Nicht im Lift",IF(AM1152&gt;=1,"Lift",IF(AM1152&lt;=0,"Aussenlager","teilweise")))))</f>
        <v>Lift</v>
      </c>
      <c r="BE1152" s="55" t="str">
        <f aca="false">IF(AP1152&lt;=0,"",IF(BY1152="Aussen","Aussenlager",IF(BY1152="-","Nicht im Lift",IF(AU1152&gt;=1,"Lift",IF(AU1152&lt;=0,"Aussenlager","teilweise")))))</f>
        <v>Lift</v>
      </c>
      <c r="BF1152" s="55" t="str">
        <f aca="false">IF(AX1152&lt;=0,"",IF(BY1152="Aussen","Aussenlager",IF(BY1152="-","Nicht im Lift",IF(BC1152&gt;=1,"Lift",IF(BC1152&lt;=0,"Aussenlager","teilweise")))))</f>
        <v>Lift</v>
      </c>
      <c r="BG1152" s="55" t="str">
        <f aca="false">IF(A1152="","",IF(BP1152=1,"Neu; ","")&amp;IF(AND(BP1152=0,BK1152&lt;0),"negativer Bestand (Export "&amp;BK1152&amp;"); ","")&amp;IF(J1152&lt;=0,"Kein Verbrauch; ","")&amp;IF(CH1152&gt;0,"Lift "&amp;W1152&amp;" lt. Liftbericht (Fach "&amp;X1152&amp;" Stk); ",IF(BU1152=1,"Gebinde geschätzt ("&amp;T1152&amp;"); ",IF(BT1152=1,"Lose – Tablare geschätzt; ","")))&amp;IF(H1152&gt;AR1152,"Überbestand "&amp;ROUND(H1152-AR1152,0)&amp;" Stk / CHF "&amp;ROUND((H1152-AR1152)*G1152,0)&amp;"; ","")&amp;IF(AND(CA1152=1,CB1152&lt;CC1152),"MAX &lt; MB+LG; ","")&amp;IF(AND(CG1152&gt;0,CF1152*10&gt;CG1152),"zu hoch für Tablar; ","")&amp;IF(AND(BP1152=0,OR(CA1152=1,AA1152&lt;&gt;"",U1152&lt;&gt;"",V1152&lt;&gt;"",AB1152&lt;&gt;"")),"manuell übersteuert; ","")&amp;IF(AND(BT1152=0,R1152=0),"Gebinde unbekannt / Stellmass fehlt; ","")&amp;IF(AND(BT1152=0,N(V1152)&lt;=0,N(Q1152)&lt;=0),"Menge pro Gebinde fehlt (Ist = 1 Gebinde); ","")&amp;BO1152)</f>
        <v>negativer Bestand (Export -10); Neu</v>
      </c>
      <c r="BH1152" s="55"/>
      <c r="BI1152" s="55"/>
      <c r="BJ1152" s="62"/>
      <c r="BK1152" s="57" t="n">
        <v>-10</v>
      </c>
      <c r="BL1152" s="57" t="n">
        <v>16</v>
      </c>
      <c r="BM1152" s="56" t="n">
        <v>-310.46</v>
      </c>
      <c r="BN1152" s="57" t="n">
        <v>10</v>
      </c>
      <c r="BO1152" s="55" t="s">
        <v>626</v>
      </c>
      <c r="BP1152" s="60" t="n">
        <v>0</v>
      </c>
      <c r="BQ1152" s="60" t="n">
        <v>1152</v>
      </c>
      <c r="BR1152" s="55" t="str">
        <f aca="false">IF(U1152&lt;&gt;"",UPPER(TRIM(U1152)),IF(BU1152=1,UPPER(VLOOKUP(T1152,Parameter!$I$27:$K$29,2,0)),IF(P1152="","LOSE",P1152)))</f>
        <v>S52</v>
      </c>
      <c r="BS1152" s="57" t="n">
        <f aca="false">IF(BR1152="LOSE",1,IF(N(V1152)&gt;0,V1152,IF(BU1152=1,MAX(1,N(VLOOKUP(T1152,Parameter!$I$27:$K$29,3,0)),H1152,N(N1152)),IF(N(Q1152)&gt;0,Q1152,MAX(1,H1152)))))</f>
        <v>34</v>
      </c>
      <c r="BT1152" s="60" t="n">
        <f aca="false">IF(BR1152="LOSE",1,0)</f>
        <v>0</v>
      </c>
      <c r="BU1152" s="60" t="n">
        <f aca="false">IF(AND(U1152="",OR(P1152="",P1152="LOSE"),T1152&lt;&gt;"",N(S1152)&lt;=0,ISNUMBER(MATCH(T1152,Parameter!$I$27:$I$29,0))),1,0)</f>
        <v>0</v>
      </c>
      <c r="BV1152" s="55" t="str">
        <f aca="false">IF(AND(Parameter!$B$19="Ja",E1152&lt;&gt;"",ISNUMBER(MATCH(E1152,Parameter!$I$35:$I$52,0))),VLOOKUP(E1152,Parameter!$I$35:$J$52,2,0),IFERROR(VLOOKUP(D1152,Parameter!$A$35:$C$64,2,0),"Nein"))</f>
        <v>2+3</v>
      </c>
      <c r="BW1152" s="59" t="n">
        <f aca="false">IF(BT1152=0,0,IF(N(S1152)&gt;0,S1152,IFERROR(VLOOKUP(D1152,Parameter!$A$35:$C$64,3,0)+0,0)))</f>
        <v>0</v>
      </c>
      <c r="BX1152" s="55" t="n">
        <f aca="false">IF(AA1152&lt;&gt;"",AA1152,Z1152)</f>
        <v>3</v>
      </c>
      <c r="BY1152" s="55" t="str">
        <f aca="false">IF(BX1152=1,"L1",IF(OR(BX1152=2,BX1152=3),"L23",IF(BX1152="Aussen","Aussen","-")))</f>
        <v>L23</v>
      </c>
      <c r="BZ1152" s="66" t="n">
        <f aca="false">IF(N(AB1152)&gt;0,AB1152,0)</f>
        <v>0</v>
      </c>
      <c r="CA1152" s="60" t="n">
        <f aca="false">IF(ISNUMBER(AE1152),1,0)</f>
        <v>0</v>
      </c>
      <c r="CB1152" s="57" t="n">
        <f aca="false">N(AE1152)</f>
        <v>0</v>
      </c>
      <c r="CC1152" s="57" t="n">
        <f aca="false">N(M1152)+N(N1152)</f>
        <v>10</v>
      </c>
      <c r="CD1152" s="57" t="n">
        <f aca="false">ROUNDUP(H1152/BS1152,0)</f>
        <v>1</v>
      </c>
      <c r="CE1152" s="57" t="n">
        <f aca="false">ROUNDUP(CB1152/BS1152,0)</f>
        <v>0</v>
      </c>
      <c r="CF1152" s="60" t="n">
        <f aca="false">IF(BT1152=1,0,IFERROR(VLOOKUP(BR1152,'Gebinde-Kategorie'!$A$5:$M$45,5,0)+0,0))</f>
        <v>21</v>
      </c>
      <c r="CG1152" s="60" t="n">
        <f aca="false">IFERROR(IF(OR(BX1152=1,BX1152=2,BX1152=3),N(INDEX(Parameter!$I$5:$I$7,BX1152)),0),0)</f>
        <v>0</v>
      </c>
      <c r="CH1152" s="59" t="n">
        <f aca="false">IF(AND(Parameter!$B$21="Ja",ISNUMBER(W1152),N(X1152)&gt;0),IFERROR(N(INDEX(Parameter!$L$5:$L$7,W1152))*INDEX(Parameter!$E$5:$E$7,W1152)*X1152/SUMIFS($X$7:$X$1843,$W$7:$W$1843,W1152),0),0)</f>
        <v>0</v>
      </c>
    </row>
    <row r="1153" customFormat="false" ht="15" hidden="false" customHeight="false" outlineLevel="0" collapsed="false">
      <c r="A1153" s="55" t="s">
        <v>2081</v>
      </c>
      <c r="B1153" s="55" t="s">
        <v>2082</v>
      </c>
      <c r="C1153" s="55" t="s">
        <v>164</v>
      </c>
      <c r="D1153" s="55" t="s">
        <v>184</v>
      </c>
      <c r="E1153" s="55" t="s">
        <v>185</v>
      </c>
      <c r="F1153" s="55" t="s">
        <v>218</v>
      </c>
      <c r="G1153" s="56" t="n">
        <v>62.19</v>
      </c>
      <c r="H1153" s="57" t="n">
        <f aca="false">MAX(0,IF(AND(Parameter!$B$21="Ja",ISNUMBER(Y1153)),Y1153,IF(Parameter!$B$20="Jahresanfang 2025 + Export",BL1153+BK1153,BK1153)))</f>
        <v>5</v>
      </c>
      <c r="I1153" s="57" t="n">
        <f aca="false">H1153*G1153</f>
        <v>310.95</v>
      </c>
      <c r="J1153" s="57" t="n">
        <f aca="false">BN1153*Parameter!$B$18</f>
        <v>2</v>
      </c>
      <c r="K1153" s="58" t="n">
        <v>9</v>
      </c>
      <c r="L1153" s="59" t="n">
        <v>0.222222222222222</v>
      </c>
      <c r="M1153" s="57" t="n">
        <v>0</v>
      </c>
      <c r="N1153" s="57" t="n">
        <v>1</v>
      </c>
      <c r="O1153" s="60" t="n">
        <v>21</v>
      </c>
      <c r="P1153" s="55" t="s">
        <v>476</v>
      </c>
      <c r="Q1153" s="57" t="n">
        <v>8</v>
      </c>
      <c r="R1153" s="60" t="n">
        <f aca="false">IF(BT1153=1,0,IFERROR(VLOOKUP(BR1153,'Gebinde-Kategorie'!$A$5:$M$45,13,0)+0,0))</f>
        <v>66</v>
      </c>
      <c r="S1153" s="61"/>
      <c r="T1153" s="62"/>
      <c r="U1153" s="62"/>
      <c r="V1153" s="62"/>
      <c r="W1153" s="55"/>
      <c r="X1153" s="57"/>
      <c r="Y1153" s="57"/>
      <c r="Z1153" s="55" t="n">
        <f aca="false">IF(A1153="","",IF(AND(Parameter!$B$21="Ja",ISNUMBER(W1153)),W1153,IF(BV1153="2+3",IF(ISNUMBER(SEARCH("grosser Artikel",BO1153)),2,IFERROR(VLOOKUP(BR1153,Parameter!$F$35:$G$64,2,0),2)),IF(OR(BV1153="Nein",BV1153=""),"-",BV1153))))</f>
        <v>3</v>
      </c>
      <c r="AA1153" s="62"/>
      <c r="AB1153" s="63"/>
      <c r="AC1153" s="57" t="n">
        <f aca="false">AR1153</f>
        <v>8</v>
      </c>
      <c r="AD1153" s="57" t="n">
        <f aca="false">MAX(AR1153,H1153)</f>
        <v>8</v>
      </c>
      <c r="AE1153" s="64"/>
      <c r="AF1153" s="57" t="n">
        <f aca="false">IF(LEFT(Cockpit!$C$5,1)="A",H1153,IF(CA1153=1,CB1153,IF(LEFT(Cockpit!$C$5,1)="B",AJ1153,MAX(AJ1153,H1153))))</f>
        <v>5</v>
      </c>
      <c r="AG1153" s="57" t="n">
        <f aca="false">IF(BT1153=1,0,ROUNDUP(AF1153/BS1153,0))</f>
        <v>1</v>
      </c>
      <c r="AH1153" s="59" t="n">
        <f aca="false">IF(CH1153&gt;0,CH1153*MAX(1,AF1153/X1153),IF(BT1153=1,IF(AF1153&lt;=0,0,BW1153*MAX(1,IF(H1153&gt;0,AF1153/H1153,1))),IF(R1153&gt;0,AG1153/R1153,0))/MAX(0.1,N(Parameter!$M$21)))</f>
        <v>0.0151515151515152</v>
      </c>
      <c r="AI1153" s="57" t="n">
        <f aca="false">AF1153*G1153</f>
        <v>310.95</v>
      </c>
      <c r="AJ1153" s="57" t="n">
        <f aca="false">ROUNDUP(MAX(J1153/IF(BZ1153&gt;0,BZ1153,MAX(0.1,N(Cockpit!$C$6))),CC1153)/BS1153,0)*BS1153</f>
        <v>8</v>
      </c>
      <c r="AK1153" s="58" t="n">
        <f aca="false">IF(AH1153&gt;0,J1153/AH1153,-1)</f>
        <v>132</v>
      </c>
      <c r="AL1153" s="58" t="n">
        <f aca="false">IF(AND(OR(BY1153="L1",BY1153="L23"),AH1153&gt;0),SUMIFS($AH$7:$AH$1843,$BY$7:$BY$1843,BY1153,$AK$7:$AK$1843,"&gt;"&amp;AK1153)+SUMIFS($AH$7:$AH$1843,$BY$7:$BY$1843,BY1153,$AK$7:$AK$1843,AK1153,$BQ$7:$BQ$1843,"&lt;="&amp;BQ1153),"")</f>
        <v>36.334296138644</v>
      </c>
      <c r="AM1153" s="65" t="n">
        <f aca="false">IF(AL1153="",0,MAX(0,MIN(1,(IF(BY1153="L1",Parameter!$E$5,Parameter!$E$6+Parameter!$E$7)-(AL1153-AH1153))/AH1153)))</f>
        <v>1</v>
      </c>
      <c r="AN1153" s="57" t="n">
        <f aca="false">IF(LEFT(Cockpit!$I$5,1)="A",H1153,IF(CA1153=1,CB1153,IF(LEFT(Cockpit!$I$5,1)="B",AR1153,MAX(AR1153,H1153))))</f>
        <v>8</v>
      </c>
      <c r="AO1153" s="57" t="n">
        <f aca="false">IF(BT1153=1,0,ROUNDUP(AN1153/BS1153,0))</f>
        <v>1</v>
      </c>
      <c r="AP1153" s="59" t="n">
        <f aca="false">IF(CH1153&gt;0,CH1153*MAX(1,AN1153/X1153),IF(BT1153=1,IF(AN1153&lt;=0,0,BW1153*MAX(1,IF(H1153&gt;0,AN1153/H1153,1))),IF(R1153&gt;0,AO1153/R1153,0))/MAX(0.1,N(Parameter!$M$21)))</f>
        <v>0.0151515151515152</v>
      </c>
      <c r="AQ1153" s="57" t="n">
        <f aca="false">AN1153*G1153</f>
        <v>497.52</v>
      </c>
      <c r="AR1153" s="57" t="n">
        <f aca="false">ROUNDUP(MAX(J1153/IF(BZ1153&gt;0,BZ1153,MAX(0.1,N(Cockpit!$I$6))),CC1153)/BS1153,0)*BS1153</f>
        <v>8</v>
      </c>
      <c r="AS1153" s="58" t="n">
        <f aca="false">IF(AP1153&gt;0,J1153/AP1153,-1)</f>
        <v>132</v>
      </c>
      <c r="AT1153" s="58" t="n">
        <f aca="false">IF(AND(OR(BY1153="L1",BY1153="L23"),AP1153&gt;0),SUMIFS($AP$7:$AP$1843,$BY$7:$BY$1843,BY1153,$AS$7:$AS$1843,"&gt;"&amp;AS1153)+SUMIFS($AP$7:$AP$1843,$BY$7:$BY$1843,BY1153,$AS$7:$AS$1843,AS1153,$BQ$7:$BQ$1843,"&lt;="&amp;BQ1153),"")</f>
        <v>52.0666953819128</v>
      </c>
      <c r="AU1153" s="65" t="n">
        <f aca="false">IF(AT1153="",0,MAX(0,MIN(1,(IF(BY1153="L1",Parameter!$E$5,Parameter!$E$6+Parameter!$E$7)-(AT1153-AP1153))/AP1153)))</f>
        <v>1</v>
      </c>
      <c r="AV1153" s="57" t="n">
        <f aca="false">IF(LEFT(Cockpit!$O$5,1)="A",H1153,IF(CA1153=1,CB1153,IF(LEFT(Cockpit!$O$5,1)="B",AZ1153,MAX(AZ1153,H1153))))</f>
        <v>8</v>
      </c>
      <c r="AW1153" s="57" t="n">
        <f aca="false">IF(BT1153=1,0,ROUNDUP(AV1153/BS1153,0))</f>
        <v>1</v>
      </c>
      <c r="AX1153" s="59" t="n">
        <f aca="false">IF(CH1153&gt;0,CH1153*MAX(1,AV1153/X1153),IF(BT1153=1,IF(AV1153&lt;=0,0,BW1153*MAX(1,IF(H1153&gt;0,AV1153/H1153,1))),IF(R1153&gt;0,AW1153/R1153,0))/MAX(0.1,N(Parameter!$M$21)))</f>
        <v>0.0151515151515152</v>
      </c>
      <c r="AY1153" s="57" t="n">
        <f aca="false">AV1153*G1153</f>
        <v>497.52</v>
      </c>
      <c r="AZ1153" s="57" t="n">
        <f aca="false">ROUNDUP(MAX(J1153/IF(BZ1153&gt;0,BZ1153,MAX(0.1,N(Cockpit!$O$6))),CC1153)/BS1153,0)*BS1153</f>
        <v>8</v>
      </c>
      <c r="BA1153" s="58" t="n">
        <f aca="false">IF(AX1153&gt;0,J1153/AX1153,-1)</f>
        <v>132</v>
      </c>
      <c r="BB1153" s="58" t="n">
        <f aca="false">IF(AND(OR(BY1153="L1",BY1153="L23"),AX1153&gt;0),SUMIFS($AX$7:$AX$1843,$BY$7:$BY$1843,BY1153,$BA$7:$BA$1843,"&gt;"&amp;BA1153)+SUMIFS($AX$7:$AX$1843,$BY$7:$BY$1843,BY1153,$BA$7:$BA$1843,BA1153,$BQ$7:$BQ$1843,"&lt;="&amp;BQ1153),"")</f>
        <v>48.6465322117496</v>
      </c>
      <c r="BC1153" s="65" t="n">
        <f aca="false">IF(BB1153="",0,MAX(0,MIN(1,(IF(BY1153="L1",Parameter!$E$5,Parameter!$E$6+Parameter!$E$7)-(BB1153-AX1153))/AX1153)))</f>
        <v>1</v>
      </c>
      <c r="BD1153" s="55" t="str">
        <f aca="false">IF(AH1153&lt;=0,"",IF(BY1153="Aussen","Aussenlager",IF(BY1153="-","Nicht im Lift",IF(AM1153&gt;=1,"Lift",IF(AM1153&lt;=0,"Aussenlager","teilweise")))))</f>
        <v>Lift</v>
      </c>
      <c r="BE1153" s="55" t="str">
        <f aca="false">IF(AP1153&lt;=0,"",IF(BY1153="Aussen","Aussenlager",IF(BY1153="-","Nicht im Lift",IF(AU1153&gt;=1,"Lift",IF(AU1153&lt;=0,"Aussenlager","teilweise")))))</f>
        <v>Lift</v>
      </c>
      <c r="BF1153" s="55" t="str">
        <f aca="false">IF(AX1153&lt;=0,"",IF(BY1153="Aussen","Aussenlager",IF(BY1153="-","Nicht im Lift",IF(BC1153&gt;=1,"Lift",IF(BC1153&lt;=0,"Aussenlager","teilweise")))))</f>
        <v>Lift</v>
      </c>
      <c r="BG1153" s="55" t="str">
        <f aca="false">IF(A1153="","",IF(BP1153=1,"Neu; ","")&amp;IF(AND(BP1153=0,BK1153&lt;0),"negativer Bestand (Export "&amp;BK1153&amp;"); ","")&amp;IF(J1153&lt;=0,"Kein Verbrauch; ","")&amp;IF(CH1153&gt;0,"Lift "&amp;W1153&amp;" lt. Liftbericht (Fach "&amp;X1153&amp;" Stk); ",IF(BU1153=1,"Gebinde geschätzt ("&amp;T1153&amp;"); ",IF(BT1153=1,"Lose – Tablare geschätzt; ","")))&amp;IF(H1153&gt;AR1153,"Überbestand "&amp;ROUND(H1153-AR1153,0)&amp;" Stk / CHF "&amp;ROUND((H1153-AR1153)*G1153,0)&amp;"; ","")&amp;IF(AND(CA1153=1,CB1153&lt;CC1153),"MAX &lt; MB+LG; ","")&amp;IF(AND(CG1153&gt;0,CF1153*10&gt;CG1153),"zu hoch für Tablar; ","")&amp;IF(AND(BP1153=0,OR(CA1153=1,AA1153&lt;&gt;"",U1153&lt;&gt;"",V1153&lt;&gt;"",AB1153&lt;&gt;"")),"manuell übersteuert; ","")&amp;IF(AND(BT1153=0,R1153=0),"Gebinde unbekannt / Stellmass fehlt; ","")&amp;IF(AND(BT1153=0,N(V1153)&lt;=0,N(Q1153)&lt;=0),"Menge pro Gebinde fehlt (Ist = 1 Gebinde); ","")&amp;BO1153)</f>
        <v>negativer Bestand (Export -5); Neu</v>
      </c>
      <c r="BH1153" s="55"/>
      <c r="BI1153" s="55"/>
      <c r="BJ1153" s="62"/>
      <c r="BK1153" s="57" t="n">
        <v>-5</v>
      </c>
      <c r="BL1153" s="57" t="n">
        <v>10</v>
      </c>
      <c r="BM1153" s="56" t="n">
        <v>-310.95</v>
      </c>
      <c r="BN1153" s="57" t="n">
        <v>2</v>
      </c>
      <c r="BO1153" s="55" t="s">
        <v>626</v>
      </c>
      <c r="BP1153" s="60" t="n">
        <v>0</v>
      </c>
      <c r="BQ1153" s="60" t="n">
        <v>1153</v>
      </c>
      <c r="BR1153" s="55" t="str">
        <f aca="false">IF(U1153&lt;&gt;"",UPPER(TRIM(U1153)),IF(BU1153=1,UPPER(VLOOKUP(T1153,Parameter!$I$27:$K$29,2,0)),IF(P1153="","LOSE",P1153)))</f>
        <v>S33</v>
      </c>
      <c r="BS1153" s="57" t="n">
        <f aca="false">IF(BR1153="LOSE",1,IF(N(V1153)&gt;0,V1153,IF(BU1153=1,MAX(1,N(VLOOKUP(T1153,Parameter!$I$27:$K$29,3,0)),H1153,N(N1153)),IF(N(Q1153)&gt;0,Q1153,MAX(1,H1153)))))</f>
        <v>8</v>
      </c>
      <c r="BT1153" s="60" t="n">
        <f aca="false">IF(BR1153="LOSE",1,0)</f>
        <v>0</v>
      </c>
      <c r="BU1153" s="60" t="n">
        <f aca="false">IF(AND(U1153="",OR(P1153="",P1153="LOSE"),T1153&lt;&gt;"",N(S1153)&lt;=0,ISNUMBER(MATCH(T1153,Parameter!$I$27:$I$29,0))),1,0)</f>
        <v>0</v>
      </c>
      <c r="BV1153" s="55" t="str">
        <f aca="false">IF(AND(Parameter!$B$19="Ja",E1153&lt;&gt;"",ISNUMBER(MATCH(E1153,Parameter!$I$35:$I$52,0))),VLOOKUP(E1153,Parameter!$I$35:$J$52,2,0),IFERROR(VLOOKUP(D1153,Parameter!$A$35:$C$64,2,0),"Nein"))</f>
        <v>2+3</v>
      </c>
      <c r="BW1153" s="59" t="n">
        <f aca="false">IF(BT1153=0,0,IF(N(S1153)&gt;0,S1153,IFERROR(VLOOKUP(D1153,Parameter!$A$35:$C$64,3,0)+0,0)))</f>
        <v>0</v>
      </c>
      <c r="BX1153" s="55" t="n">
        <f aca="false">IF(AA1153&lt;&gt;"",AA1153,Z1153)</f>
        <v>3</v>
      </c>
      <c r="BY1153" s="55" t="str">
        <f aca="false">IF(BX1153=1,"L1",IF(OR(BX1153=2,BX1153=3),"L23",IF(BX1153="Aussen","Aussen","-")))</f>
        <v>L23</v>
      </c>
      <c r="BZ1153" s="66" t="n">
        <f aca="false">IF(N(AB1153)&gt;0,AB1153,0)</f>
        <v>0</v>
      </c>
      <c r="CA1153" s="60" t="n">
        <f aca="false">IF(ISNUMBER(AE1153),1,0)</f>
        <v>0</v>
      </c>
      <c r="CB1153" s="57" t="n">
        <f aca="false">N(AE1153)</f>
        <v>0</v>
      </c>
      <c r="CC1153" s="57" t="n">
        <f aca="false">N(M1153)+N(N1153)</f>
        <v>1</v>
      </c>
      <c r="CD1153" s="57" t="n">
        <f aca="false">ROUNDUP(H1153/BS1153,0)</f>
        <v>1</v>
      </c>
      <c r="CE1153" s="57" t="n">
        <f aca="false">ROUNDUP(CB1153/BS1153,0)</f>
        <v>0</v>
      </c>
      <c r="CF1153" s="60" t="n">
        <f aca="false">IF(BT1153=1,0,IFERROR(VLOOKUP(BR1153,'Gebinde-Kategorie'!$A$5:$M$45,5,0)+0,0))</f>
        <v>8</v>
      </c>
      <c r="CG1153" s="60" t="n">
        <f aca="false">IFERROR(IF(OR(BX1153=1,BX1153=2,BX1153=3),N(INDEX(Parameter!$I$5:$I$7,BX1153)),0),0)</f>
        <v>0</v>
      </c>
      <c r="CH1153" s="59" t="n">
        <f aca="false">IF(AND(Parameter!$B$21="Ja",ISNUMBER(W1153),N(X1153)&gt;0),IFERROR(N(INDEX(Parameter!$L$5:$L$7,W1153))*INDEX(Parameter!$E$5:$E$7,W1153)*X1153/SUMIFS($X$7:$X$1843,$W$7:$W$1843,W1153),0),0)</f>
        <v>0</v>
      </c>
    </row>
    <row r="1154" customFormat="false" ht="15" hidden="false" customHeight="false" outlineLevel="0" collapsed="false">
      <c r="A1154" s="55" t="s">
        <v>2083</v>
      </c>
      <c r="B1154" s="55" t="s">
        <v>2084</v>
      </c>
      <c r="C1154" s="55" t="s">
        <v>164</v>
      </c>
      <c r="D1154" s="55" t="s">
        <v>184</v>
      </c>
      <c r="E1154" s="55" t="s">
        <v>185</v>
      </c>
      <c r="F1154" s="55" t="s">
        <v>218</v>
      </c>
      <c r="G1154" s="56" t="n">
        <v>166.8</v>
      </c>
      <c r="H1154" s="57" t="n">
        <f aca="false">MAX(0,IF(AND(Parameter!$B$21="Ja",ISNUMBER(Y1154)),Y1154,IF(Parameter!$B$20="Jahresanfang 2025 + Export",BL1154+BK1154,BK1154)))</f>
        <v>2</v>
      </c>
      <c r="I1154" s="57" t="n">
        <f aca="false">H1154*G1154</f>
        <v>333.6</v>
      </c>
      <c r="J1154" s="57" t="n">
        <f aca="false">BN1154*Parameter!$B$18</f>
        <v>3</v>
      </c>
      <c r="K1154" s="58" t="n">
        <v>3</v>
      </c>
      <c r="L1154" s="59" t="n">
        <v>1</v>
      </c>
      <c r="M1154" s="57" t="n">
        <v>0</v>
      </c>
      <c r="N1154" s="57" t="n">
        <v>5</v>
      </c>
      <c r="O1154" s="60" t="n">
        <v>28</v>
      </c>
      <c r="P1154" s="55" t="s">
        <v>421</v>
      </c>
      <c r="Q1154" s="57" t="n">
        <v>5</v>
      </c>
      <c r="R1154" s="60" t="n">
        <f aca="false">IF(BT1154=1,0,IFERROR(VLOOKUP(BR1154,'Gebinde-Kategorie'!$A$5:$M$45,13,0)+0,0))</f>
        <v>132</v>
      </c>
      <c r="S1154" s="61"/>
      <c r="T1154" s="62"/>
      <c r="U1154" s="62"/>
      <c r="V1154" s="62"/>
      <c r="W1154" s="55"/>
      <c r="X1154" s="57"/>
      <c r="Y1154" s="57"/>
      <c r="Z1154" s="55" t="n">
        <f aca="false">IF(A1154="","",IF(AND(Parameter!$B$21="Ja",ISNUMBER(W1154)),W1154,IF(BV1154="2+3",IF(ISNUMBER(SEARCH("grosser Artikel",BO1154)),2,IFERROR(VLOOKUP(BR1154,Parameter!$F$35:$G$64,2,0),2)),IF(OR(BV1154="Nein",BV1154=""),"-",BV1154))))</f>
        <v>3</v>
      </c>
      <c r="AA1154" s="62"/>
      <c r="AB1154" s="63"/>
      <c r="AC1154" s="57" t="n">
        <f aca="false">AR1154</f>
        <v>5</v>
      </c>
      <c r="AD1154" s="57" t="n">
        <f aca="false">MAX(AR1154,H1154)</f>
        <v>5</v>
      </c>
      <c r="AE1154" s="64"/>
      <c r="AF1154" s="57" t="n">
        <f aca="false">IF(LEFT(Cockpit!$C$5,1)="A",H1154,IF(CA1154=1,CB1154,IF(LEFT(Cockpit!$C$5,1)="B",AJ1154,MAX(AJ1154,H1154))))</f>
        <v>2</v>
      </c>
      <c r="AG1154" s="57" t="n">
        <f aca="false">IF(BT1154=1,0,ROUNDUP(AF1154/BS1154,0))</f>
        <v>1</v>
      </c>
      <c r="AH1154" s="59" t="n">
        <f aca="false">IF(CH1154&gt;0,CH1154*MAX(1,AF1154/X1154),IF(BT1154=1,IF(AF1154&lt;=0,0,BW1154*MAX(1,IF(H1154&gt;0,AF1154/H1154,1))),IF(R1154&gt;0,AG1154/R1154,0))/MAX(0.1,N(Parameter!$M$21)))</f>
        <v>0.00757575757575758</v>
      </c>
      <c r="AI1154" s="57" t="n">
        <f aca="false">AF1154*G1154</f>
        <v>333.6</v>
      </c>
      <c r="AJ1154" s="57" t="n">
        <f aca="false">ROUNDUP(MAX(J1154/IF(BZ1154&gt;0,BZ1154,MAX(0.1,N(Cockpit!$C$6))),CC1154)/BS1154,0)*BS1154</f>
        <v>5</v>
      </c>
      <c r="AK1154" s="58" t="n">
        <f aca="false">IF(AH1154&gt;0,J1154/AH1154,-1)</f>
        <v>396</v>
      </c>
      <c r="AL1154" s="58" t="n">
        <f aca="false">IF(AND(OR(BY1154="L1",BY1154="L23"),AH1154&gt;0),SUMIFS($AH$7:$AH$1843,$BY$7:$BY$1843,BY1154,$AK$7:$AK$1843,"&gt;"&amp;AK1154)+SUMIFS($AH$7:$AH$1843,$BY$7:$BY$1843,BY1154,$AK$7:$AK$1843,AK1154,$BQ$7:$BQ$1843,"&lt;="&amp;BQ1154),"")</f>
        <v>26.0793469815209</v>
      </c>
      <c r="AM1154" s="65" t="n">
        <f aca="false">IF(AL1154="",0,MAX(0,MIN(1,(IF(BY1154="L1",Parameter!$E$5,Parameter!$E$6+Parameter!$E$7)-(AL1154-AH1154))/AH1154)))</f>
        <v>1</v>
      </c>
      <c r="AN1154" s="57" t="n">
        <f aca="false">IF(LEFT(Cockpit!$I$5,1)="A",H1154,IF(CA1154=1,CB1154,IF(LEFT(Cockpit!$I$5,1)="B",AR1154,MAX(AR1154,H1154))))</f>
        <v>5</v>
      </c>
      <c r="AO1154" s="57" t="n">
        <f aca="false">IF(BT1154=1,0,ROUNDUP(AN1154/BS1154,0))</f>
        <v>1</v>
      </c>
      <c r="AP1154" s="59" t="n">
        <f aca="false">IF(CH1154&gt;0,CH1154*MAX(1,AN1154/X1154),IF(BT1154=1,IF(AN1154&lt;=0,0,BW1154*MAX(1,IF(H1154&gt;0,AN1154/H1154,1))),IF(R1154&gt;0,AO1154/R1154,0))/MAX(0.1,N(Parameter!$M$21)))</f>
        <v>0.00757575757575758</v>
      </c>
      <c r="AQ1154" s="57" t="n">
        <f aca="false">AN1154*G1154</f>
        <v>834</v>
      </c>
      <c r="AR1154" s="57" t="n">
        <f aca="false">ROUNDUP(MAX(J1154/IF(BZ1154&gt;0,BZ1154,MAX(0.1,N(Cockpit!$I$6))),CC1154)/BS1154,0)*BS1154</f>
        <v>5</v>
      </c>
      <c r="AS1154" s="58" t="n">
        <f aca="false">IF(AP1154&gt;0,J1154/AP1154,-1)</f>
        <v>396</v>
      </c>
      <c r="AT1154" s="58" t="n">
        <f aca="false">IF(AND(OR(BY1154="L1",BY1154="L23"),AP1154&gt;0),SUMIFS($AP$7:$AP$1843,$BY$7:$BY$1843,BY1154,$AS$7:$AS$1843,"&gt;"&amp;AS1154)+SUMIFS($AP$7:$AP$1843,$BY$7:$BY$1843,BY1154,$AS$7:$AS$1843,AS1154,$BQ$7:$BQ$1843,"&lt;="&amp;BQ1154),"")</f>
        <v>35.5227019357454</v>
      </c>
      <c r="AU1154" s="65" t="n">
        <f aca="false">IF(AT1154="",0,MAX(0,MIN(1,(IF(BY1154="L1",Parameter!$E$5,Parameter!$E$6+Parameter!$E$7)-(AT1154-AP1154))/AP1154)))</f>
        <v>1</v>
      </c>
      <c r="AV1154" s="57" t="n">
        <f aca="false">IF(LEFT(Cockpit!$O$5,1)="A",H1154,IF(CA1154=1,CB1154,IF(LEFT(Cockpit!$O$5,1)="B",AZ1154,MAX(AZ1154,H1154))))</f>
        <v>5</v>
      </c>
      <c r="AW1154" s="57" t="n">
        <f aca="false">IF(BT1154=1,0,ROUNDUP(AV1154/BS1154,0))</f>
        <v>1</v>
      </c>
      <c r="AX1154" s="59" t="n">
        <f aca="false">IF(CH1154&gt;0,CH1154*MAX(1,AV1154/X1154),IF(BT1154=1,IF(AV1154&lt;=0,0,BW1154*MAX(1,IF(H1154&gt;0,AV1154/H1154,1))),IF(R1154&gt;0,AW1154/R1154,0))/MAX(0.1,N(Parameter!$M$21)))</f>
        <v>0.00757575757575758</v>
      </c>
      <c r="AY1154" s="57" t="n">
        <f aca="false">AV1154*G1154</f>
        <v>834</v>
      </c>
      <c r="AZ1154" s="57" t="n">
        <f aca="false">ROUNDUP(MAX(J1154/IF(BZ1154&gt;0,BZ1154,MAX(0.1,N(Cockpit!$O$6))),CC1154)/BS1154,0)*BS1154</f>
        <v>5</v>
      </c>
      <c r="BA1154" s="58" t="n">
        <f aca="false">IF(AX1154&gt;0,J1154/AX1154,-1)</f>
        <v>396</v>
      </c>
      <c r="BB1154" s="58" t="n">
        <f aca="false">IF(AND(OR(BY1154="L1",BY1154="L23"),AX1154&gt;0),SUMIFS($AX$7:$AX$1843,$BY$7:$BY$1843,BY1154,$BA$7:$BA$1843,"&gt;"&amp;BA1154)+SUMIFS($AX$7:$AX$1843,$BY$7:$BY$1843,BY1154,$BA$7:$BA$1843,BA1154,$BQ$7:$BQ$1843,"&lt;="&amp;BQ1154),"")</f>
        <v>34.7692054322489</v>
      </c>
      <c r="BC1154" s="65" t="n">
        <f aca="false">IF(BB1154="",0,MAX(0,MIN(1,(IF(BY1154="L1",Parameter!$E$5,Parameter!$E$6+Parameter!$E$7)-(BB1154-AX1154))/AX1154)))</f>
        <v>1</v>
      </c>
      <c r="BD1154" s="55" t="str">
        <f aca="false">IF(AH1154&lt;=0,"",IF(BY1154="Aussen","Aussenlager",IF(BY1154="-","Nicht im Lift",IF(AM1154&gt;=1,"Lift",IF(AM1154&lt;=0,"Aussenlager","teilweise")))))</f>
        <v>Lift</v>
      </c>
      <c r="BE1154" s="55" t="str">
        <f aca="false">IF(AP1154&lt;=0,"",IF(BY1154="Aussen","Aussenlager",IF(BY1154="-","Nicht im Lift",IF(AU1154&gt;=1,"Lift",IF(AU1154&lt;=0,"Aussenlager","teilweise")))))</f>
        <v>Lift</v>
      </c>
      <c r="BF1154" s="55" t="str">
        <f aca="false">IF(AX1154&lt;=0,"",IF(BY1154="Aussen","Aussenlager",IF(BY1154="-","Nicht im Lift",IF(BC1154&gt;=1,"Lift",IF(BC1154&lt;=0,"Aussenlager","teilweise")))))</f>
        <v>Lift</v>
      </c>
      <c r="BG1154" s="55" t="str">
        <f aca="false">IF(A1154="","",IF(BP1154=1,"Neu; ","")&amp;IF(AND(BP1154=0,BK1154&lt;0),"negativer Bestand (Export "&amp;BK1154&amp;"); ","")&amp;IF(J1154&lt;=0,"Kein Verbrauch; ","")&amp;IF(CH1154&gt;0,"Lift "&amp;W1154&amp;" lt. Liftbericht (Fach "&amp;X1154&amp;" Stk); ",IF(BU1154=1,"Gebinde geschätzt ("&amp;T1154&amp;"); ",IF(BT1154=1,"Lose – Tablare geschätzt; ","")))&amp;IF(H1154&gt;AR1154,"Überbestand "&amp;ROUND(H1154-AR1154,0)&amp;" Stk / CHF "&amp;ROUND((H1154-AR1154)*G1154,0)&amp;"; ","")&amp;IF(AND(CA1154=1,CB1154&lt;CC1154),"MAX &lt; MB+LG; ","")&amp;IF(AND(CG1154&gt;0,CF1154*10&gt;CG1154),"zu hoch für Tablar; ","")&amp;IF(AND(BP1154=0,OR(CA1154=1,AA1154&lt;&gt;"",U1154&lt;&gt;"",V1154&lt;&gt;"",AB1154&lt;&gt;"")),"manuell übersteuert; ","")&amp;IF(AND(BT1154=0,R1154=0),"Gebinde unbekannt / Stellmass fehlt; ","")&amp;IF(AND(BT1154=0,N(V1154)&lt;=0,N(Q1154)&lt;=0),"Menge pro Gebinde fehlt (Ist = 1 Gebinde); ","")&amp;BO1154)</f>
        <v>negativer Bestand (Export -2); Überbestand</v>
      </c>
      <c r="BH1154" s="55"/>
      <c r="BI1154" s="55"/>
      <c r="BJ1154" s="62"/>
      <c r="BK1154" s="57" t="n">
        <v>-2</v>
      </c>
      <c r="BL1154" s="57" t="n">
        <v>4</v>
      </c>
      <c r="BM1154" s="56" t="n">
        <v>-314.4</v>
      </c>
      <c r="BN1154" s="57" t="n">
        <v>3</v>
      </c>
      <c r="BO1154" s="55" t="s">
        <v>392</v>
      </c>
      <c r="BP1154" s="60" t="n">
        <v>0</v>
      </c>
      <c r="BQ1154" s="60" t="n">
        <v>1154</v>
      </c>
      <c r="BR1154" s="55" t="str">
        <f aca="false">IF(U1154&lt;&gt;"",UPPER(TRIM(U1154)),IF(BU1154=1,UPPER(VLOOKUP(T1154,Parameter!$I$27:$K$29,2,0)),IF(P1154="","LOSE",P1154)))</f>
        <v>S32</v>
      </c>
      <c r="BS1154" s="57" t="n">
        <f aca="false">IF(BR1154="LOSE",1,IF(N(V1154)&gt;0,V1154,IF(BU1154=1,MAX(1,N(VLOOKUP(T1154,Parameter!$I$27:$K$29,3,0)),H1154,N(N1154)),IF(N(Q1154)&gt;0,Q1154,MAX(1,H1154)))))</f>
        <v>5</v>
      </c>
      <c r="BT1154" s="60" t="n">
        <f aca="false">IF(BR1154="LOSE",1,0)</f>
        <v>0</v>
      </c>
      <c r="BU1154" s="60" t="n">
        <f aca="false">IF(AND(U1154="",OR(P1154="",P1154="LOSE"),T1154&lt;&gt;"",N(S1154)&lt;=0,ISNUMBER(MATCH(T1154,Parameter!$I$27:$I$29,0))),1,0)</f>
        <v>0</v>
      </c>
      <c r="BV1154" s="55" t="str">
        <f aca="false">IF(AND(Parameter!$B$19="Ja",E1154&lt;&gt;"",ISNUMBER(MATCH(E1154,Parameter!$I$35:$I$52,0))),VLOOKUP(E1154,Parameter!$I$35:$J$52,2,0),IFERROR(VLOOKUP(D1154,Parameter!$A$35:$C$64,2,0),"Nein"))</f>
        <v>2+3</v>
      </c>
      <c r="BW1154" s="59" t="n">
        <f aca="false">IF(BT1154=0,0,IF(N(S1154)&gt;0,S1154,IFERROR(VLOOKUP(D1154,Parameter!$A$35:$C$64,3,0)+0,0)))</f>
        <v>0</v>
      </c>
      <c r="BX1154" s="55" t="n">
        <f aca="false">IF(AA1154&lt;&gt;"",AA1154,Z1154)</f>
        <v>3</v>
      </c>
      <c r="BY1154" s="55" t="str">
        <f aca="false">IF(BX1154=1,"L1",IF(OR(BX1154=2,BX1154=3),"L23",IF(BX1154="Aussen","Aussen","-")))</f>
        <v>L23</v>
      </c>
      <c r="BZ1154" s="66" t="n">
        <f aca="false">IF(N(AB1154)&gt;0,AB1154,0)</f>
        <v>0</v>
      </c>
      <c r="CA1154" s="60" t="n">
        <f aca="false">IF(ISNUMBER(AE1154),1,0)</f>
        <v>0</v>
      </c>
      <c r="CB1154" s="57" t="n">
        <f aca="false">N(AE1154)</f>
        <v>0</v>
      </c>
      <c r="CC1154" s="57" t="n">
        <f aca="false">N(M1154)+N(N1154)</f>
        <v>5</v>
      </c>
      <c r="CD1154" s="57" t="n">
        <f aca="false">ROUNDUP(H1154/BS1154,0)</f>
        <v>1</v>
      </c>
      <c r="CE1154" s="57" t="n">
        <f aca="false">ROUNDUP(CB1154/BS1154,0)</f>
        <v>0</v>
      </c>
      <c r="CF1154" s="60" t="n">
        <f aca="false">IF(BT1154=1,0,IFERROR(VLOOKUP(BR1154,'Gebinde-Kategorie'!$A$5:$M$45,5,0)+0,0))</f>
        <v>8</v>
      </c>
      <c r="CG1154" s="60" t="n">
        <f aca="false">IFERROR(IF(OR(BX1154=1,BX1154=2,BX1154=3),N(INDEX(Parameter!$I$5:$I$7,BX1154)),0),0)</f>
        <v>0</v>
      </c>
      <c r="CH1154" s="59" t="n">
        <f aca="false">IF(AND(Parameter!$B$21="Ja",ISNUMBER(W1154),N(X1154)&gt;0),IFERROR(N(INDEX(Parameter!$L$5:$L$7,W1154))*INDEX(Parameter!$E$5:$E$7,W1154)*X1154/SUMIFS($X$7:$X$1843,$W$7:$W$1843,W1154),0),0)</f>
        <v>0</v>
      </c>
    </row>
    <row r="1155" customFormat="false" ht="15" hidden="false" customHeight="false" outlineLevel="0" collapsed="false">
      <c r="A1155" s="55" t="s">
        <v>2085</v>
      </c>
      <c r="B1155" s="55" t="s">
        <v>2086</v>
      </c>
      <c r="C1155" s="55" t="s">
        <v>164</v>
      </c>
      <c r="D1155" s="55" t="s">
        <v>184</v>
      </c>
      <c r="E1155" s="55" t="s">
        <v>185</v>
      </c>
      <c r="F1155" s="55" t="s">
        <v>218</v>
      </c>
      <c r="G1155" s="56" t="n">
        <v>28.61</v>
      </c>
      <c r="H1155" s="57" t="n">
        <f aca="false">MAX(0,IF(AND(Parameter!$B$21="Ja",ISNUMBER(Y1155)),Y1155,IF(Parameter!$B$20="Jahresanfang 2025 + Export",BL1155+BK1155,BK1155)))</f>
        <v>31</v>
      </c>
      <c r="I1155" s="57" t="n">
        <f aca="false">H1155*G1155</f>
        <v>886.91</v>
      </c>
      <c r="J1155" s="57" t="n">
        <f aca="false">BN1155*Parameter!$B$18</f>
        <v>0</v>
      </c>
      <c r="K1155" s="58" t="n">
        <v>36.5</v>
      </c>
      <c r="L1155" s="59" t="n">
        <v>0</v>
      </c>
      <c r="M1155" s="57" t="n">
        <v>0</v>
      </c>
      <c r="N1155" s="57" t="n">
        <v>1</v>
      </c>
      <c r="O1155" s="60" t="n">
        <v>42</v>
      </c>
      <c r="P1155" s="55" t="s">
        <v>328</v>
      </c>
      <c r="Q1155" s="57" t="n">
        <v>52</v>
      </c>
      <c r="R1155" s="60" t="n">
        <f aca="false">IF(BT1155=1,0,IFERROR(VLOOKUP(BR1155,'Gebinde-Kategorie'!$A$5:$M$45,13,0)+0,0))</f>
        <v>52</v>
      </c>
      <c r="S1155" s="61"/>
      <c r="T1155" s="62"/>
      <c r="U1155" s="62"/>
      <c r="V1155" s="62"/>
      <c r="W1155" s="55"/>
      <c r="X1155" s="57"/>
      <c r="Y1155" s="57"/>
      <c r="Z1155" s="55" t="n">
        <f aca="false">IF(A1155="","",IF(AND(Parameter!$B$21="Ja",ISNUMBER(W1155)),W1155,IF(BV1155="2+3",IF(ISNUMBER(SEARCH("grosser Artikel",BO1155)),2,IFERROR(VLOOKUP(BR1155,Parameter!$F$35:$G$64,2,0),2)),IF(OR(BV1155="Nein",BV1155=""),"-",BV1155))))</f>
        <v>3</v>
      </c>
      <c r="AA1155" s="62"/>
      <c r="AB1155" s="63"/>
      <c r="AC1155" s="57" t="n">
        <f aca="false">AR1155</f>
        <v>52</v>
      </c>
      <c r="AD1155" s="57" t="n">
        <f aca="false">MAX(AR1155,H1155)</f>
        <v>52</v>
      </c>
      <c r="AE1155" s="64"/>
      <c r="AF1155" s="57" t="n">
        <f aca="false">IF(LEFT(Cockpit!$C$5,1)="A",H1155,IF(CA1155=1,CB1155,IF(LEFT(Cockpit!$C$5,1)="B",AJ1155,MAX(AJ1155,H1155))))</f>
        <v>31</v>
      </c>
      <c r="AG1155" s="57" t="n">
        <f aca="false">IF(BT1155=1,0,ROUNDUP(AF1155/BS1155,0))</f>
        <v>1</v>
      </c>
      <c r="AH1155" s="59" t="n">
        <f aca="false">IF(CH1155&gt;0,CH1155*MAX(1,AF1155/X1155),IF(BT1155=1,IF(AF1155&lt;=0,0,BW1155*MAX(1,IF(H1155&gt;0,AF1155/H1155,1))),IF(R1155&gt;0,AG1155/R1155,0))/MAX(0.1,N(Parameter!$M$21)))</f>
        <v>0.0192307692307692</v>
      </c>
      <c r="AI1155" s="57" t="n">
        <f aca="false">AF1155*G1155</f>
        <v>886.91</v>
      </c>
      <c r="AJ1155" s="57" t="n">
        <f aca="false">ROUNDUP(MAX(J1155/IF(BZ1155&gt;0,BZ1155,MAX(0.1,N(Cockpit!$C$6))),CC1155)/BS1155,0)*BS1155</f>
        <v>52</v>
      </c>
      <c r="AK1155" s="58" t="n">
        <f aca="false">IF(AH1155&gt;0,J1155/AH1155,-1)</f>
        <v>0</v>
      </c>
      <c r="AL1155" s="58" t="n">
        <f aca="false">IF(AND(OR(BY1155="L1",BY1155="L23"),AH1155&gt;0),SUMIFS($AH$7:$AH$1843,$BY$7:$BY$1843,BY1155,$AK$7:$AK$1843,"&gt;"&amp;AK1155)+SUMIFS($AH$7:$AH$1843,$BY$7:$BY$1843,BY1155,$AK$7:$AK$1843,AK1155,$BQ$7:$BQ$1843,"&lt;="&amp;BQ1155),"")</f>
        <v>80.4870105739671</v>
      </c>
      <c r="AM1155" s="65" t="n">
        <f aca="false">IF(AL1155="",0,MAX(0,MIN(1,(IF(BY1155="L1",Parameter!$E$5,Parameter!$E$6+Parameter!$E$7)-(AL1155-AH1155))/AH1155)))</f>
        <v>1</v>
      </c>
      <c r="AN1155" s="57" t="n">
        <f aca="false">IF(LEFT(Cockpit!$I$5,1)="A",H1155,IF(CA1155=1,CB1155,IF(LEFT(Cockpit!$I$5,1)="B",AR1155,MAX(AR1155,H1155))))</f>
        <v>52</v>
      </c>
      <c r="AO1155" s="57" t="n">
        <f aca="false">IF(BT1155=1,0,ROUNDUP(AN1155/BS1155,0))</f>
        <v>1</v>
      </c>
      <c r="AP1155" s="59" t="n">
        <f aca="false">IF(CH1155&gt;0,CH1155*MAX(1,AN1155/X1155),IF(BT1155=1,IF(AN1155&lt;=0,0,BW1155*MAX(1,IF(H1155&gt;0,AN1155/H1155,1))),IF(R1155&gt;0,AO1155/R1155,0))/MAX(0.1,N(Parameter!$M$21)))</f>
        <v>0.0192307692307692</v>
      </c>
      <c r="AQ1155" s="57" t="n">
        <f aca="false">AN1155*G1155</f>
        <v>1487.72</v>
      </c>
      <c r="AR1155" s="57" t="n">
        <f aca="false">ROUNDUP(MAX(J1155/IF(BZ1155&gt;0,BZ1155,MAX(0.1,N(Cockpit!$I$6))),CC1155)/BS1155,0)*BS1155</f>
        <v>52</v>
      </c>
      <c r="AS1155" s="58" t="n">
        <f aca="false">IF(AP1155&gt;0,J1155/AP1155,-1)</f>
        <v>0</v>
      </c>
      <c r="AT1155" s="58" t="n">
        <f aca="false">IF(AND(OR(BY1155="L1",BY1155="L23"),AP1155&gt;0),SUMIFS($AP$7:$AP$1843,$BY$7:$BY$1843,BY1155,$AS$7:$AS$1843,"&gt;"&amp;AS1155)+SUMIFS($AP$7:$AP$1843,$BY$7:$BY$1843,BY1155,$AS$7:$AS$1843,AS1155,$BQ$7:$BQ$1843,"&lt;="&amp;BQ1155),"")</f>
        <v>122.466664977535</v>
      </c>
      <c r="AU1155" s="65" t="n">
        <f aca="false">IF(AT1155="",0,MAX(0,MIN(1,(IF(BY1155="L1",Parameter!$E$5,Parameter!$E$6+Parameter!$E$7)-(AT1155-AP1155))/AP1155)))</f>
        <v>0</v>
      </c>
      <c r="AV1155" s="57" t="n">
        <f aca="false">IF(LEFT(Cockpit!$O$5,1)="A",H1155,IF(CA1155=1,CB1155,IF(LEFT(Cockpit!$O$5,1)="B",AZ1155,MAX(AZ1155,H1155))))</f>
        <v>52</v>
      </c>
      <c r="AW1155" s="57" t="n">
        <f aca="false">IF(BT1155=1,0,ROUNDUP(AV1155/BS1155,0))</f>
        <v>1</v>
      </c>
      <c r="AX1155" s="59" t="n">
        <f aca="false">IF(CH1155&gt;0,CH1155*MAX(1,AV1155/X1155),IF(BT1155=1,IF(AV1155&lt;=0,0,BW1155*MAX(1,IF(H1155&gt;0,AV1155/H1155,1))),IF(R1155&gt;0,AW1155/R1155,0))/MAX(0.1,N(Parameter!$M$21)))</f>
        <v>0.0192307692307692</v>
      </c>
      <c r="AY1155" s="57" t="n">
        <f aca="false">AV1155*G1155</f>
        <v>1487.72</v>
      </c>
      <c r="AZ1155" s="57" t="n">
        <f aca="false">ROUNDUP(MAX(J1155/IF(BZ1155&gt;0,BZ1155,MAX(0.1,N(Cockpit!$O$6))),CC1155)/BS1155,0)*BS1155</f>
        <v>52</v>
      </c>
      <c r="BA1155" s="58" t="n">
        <f aca="false">IF(AX1155&gt;0,J1155/AX1155,-1)</f>
        <v>0</v>
      </c>
      <c r="BB1155" s="58" t="n">
        <f aca="false">IF(AND(OR(BY1155="L1",BY1155="L23"),AX1155&gt;0),SUMIFS($AX$7:$AX$1843,$BY$7:$BY$1843,BY1155,$BA$7:$BA$1843,"&gt;"&amp;BA1155)+SUMIFS($AX$7:$AX$1843,$BY$7:$BY$1843,BY1155,$BA$7:$BA$1843,BA1155,$BQ$7:$BQ$1843,"&lt;="&amp;BQ1155),"")</f>
        <v>113.296501807371</v>
      </c>
      <c r="BC1155" s="65" t="n">
        <f aca="false">IF(BB1155="",0,MAX(0,MIN(1,(IF(BY1155="L1",Parameter!$E$5,Parameter!$E$6+Parameter!$E$7)-(BB1155-AX1155))/AX1155)))</f>
        <v>0</v>
      </c>
      <c r="BD1155" s="55" t="str">
        <f aca="false">IF(AH1155&lt;=0,"",IF(BY1155="Aussen","Aussenlager",IF(BY1155="-","Nicht im Lift",IF(AM1155&gt;=1,"Lift",IF(AM1155&lt;=0,"Aussenlager","teilweise")))))</f>
        <v>Lift</v>
      </c>
      <c r="BE1155" s="55" t="str">
        <f aca="false">IF(AP1155&lt;=0,"",IF(BY1155="Aussen","Aussenlager",IF(BY1155="-","Nicht im Lift",IF(AU1155&gt;=1,"Lift",IF(AU1155&lt;=0,"Aussenlager","teilweise")))))</f>
        <v>Aussenlager</v>
      </c>
      <c r="BF1155" s="55" t="str">
        <f aca="false">IF(AX1155&lt;=0,"",IF(BY1155="Aussen","Aussenlager",IF(BY1155="-","Nicht im Lift",IF(BC1155&gt;=1,"Lift",IF(BC1155&lt;=0,"Aussenlager","teilweise")))))</f>
        <v>Aussenlager</v>
      </c>
      <c r="BG1155" s="55" t="str">
        <f aca="false">IF(A1155="","",IF(BP1155=1,"Neu; ","")&amp;IF(AND(BP1155=0,BK1155&lt;0),"negativer Bestand (Export "&amp;BK1155&amp;"); ","")&amp;IF(J1155&lt;=0,"Kein Verbrauch; ","")&amp;IF(CH1155&gt;0,"Lift "&amp;W1155&amp;" lt. Liftbericht (Fach "&amp;X1155&amp;" Stk); ",IF(BU1155=1,"Gebinde geschätzt ("&amp;T1155&amp;"); ",IF(BT1155=1,"Lose – Tablare geschätzt; ","")))&amp;IF(H1155&gt;AR1155,"Überbestand "&amp;ROUND(H1155-AR1155,0)&amp;" Stk / CHF "&amp;ROUND((H1155-AR1155)*G1155,0)&amp;"; ","")&amp;IF(AND(CA1155=1,CB1155&lt;CC1155),"MAX &lt; MB+LG; ","")&amp;IF(AND(CG1155&gt;0,CF1155*10&gt;CG1155),"zu hoch für Tablar; ","")&amp;IF(AND(BP1155=0,OR(CA1155=1,AA1155&lt;&gt;"",U1155&lt;&gt;"",V1155&lt;&gt;"",AB1155&lt;&gt;"")),"manuell übersteuert; ","")&amp;IF(AND(BT1155=0,R1155=0),"Gebinde unbekannt / Stellmass fehlt; ","")&amp;IF(AND(BT1155=0,N(V1155)&lt;=0,N(Q1155)&lt;=0),"Menge pro Gebinde fehlt (Ist = 1 Gebinde); ","")&amp;BO1155)</f>
        <v>negativer Bestand (Export -11); Kein Verbrauch; Überbestand</v>
      </c>
      <c r="BH1155" s="55"/>
      <c r="BI1155" s="55"/>
      <c r="BJ1155" s="62"/>
      <c r="BK1155" s="57" t="n">
        <v>-11</v>
      </c>
      <c r="BL1155" s="57" t="n">
        <v>42</v>
      </c>
      <c r="BM1155" s="56" t="n">
        <v>-314.71</v>
      </c>
      <c r="BN1155" s="57" t="n">
        <v>0</v>
      </c>
      <c r="BO1155" s="55" t="s">
        <v>392</v>
      </c>
      <c r="BP1155" s="60" t="n">
        <v>0</v>
      </c>
      <c r="BQ1155" s="60" t="n">
        <v>1155</v>
      </c>
      <c r="BR1155" s="55" t="str">
        <f aca="false">IF(U1155&lt;&gt;"",UPPER(TRIM(U1155)),IF(BU1155=1,UPPER(VLOOKUP(T1155,Parameter!$I$27:$K$29,2,0)),IF(P1155="","LOSE",P1155)))</f>
        <v>S41</v>
      </c>
      <c r="BS1155" s="57" t="n">
        <f aca="false">IF(BR1155="LOSE",1,IF(N(V1155)&gt;0,V1155,IF(BU1155=1,MAX(1,N(VLOOKUP(T1155,Parameter!$I$27:$K$29,3,0)),H1155,N(N1155)),IF(N(Q1155)&gt;0,Q1155,MAX(1,H1155)))))</f>
        <v>52</v>
      </c>
      <c r="BT1155" s="60" t="n">
        <f aca="false">IF(BR1155="LOSE",1,0)</f>
        <v>0</v>
      </c>
      <c r="BU1155" s="60" t="n">
        <f aca="false">IF(AND(U1155="",OR(P1155="",P1155="LOSE"),T1155&lt;&gt;"",N(S1155)&lt;=0,ISNUMBER(MATCH(T1155,Parameter!$I$27:$I$29,0))),1,0)</f>
        <v>0</v>
      </c>
      <c r="BV1155" s="55" t="str">
        <f aca="false">IF(AND(Parameter!$B$19="Ja",E1155&lt;&gt;"",ISNUMBER(MATCH(E1155,Parameter!$I$35:$I$52,0))),VLOOKUP(E1155,Parameter!$I$35:$J$52,2,0),IFERROR(VLOOKUP(D1155,Parameter!$A$35:$C$64,2,0),"Nein"))</f>
        <v>2+3</v>
      </c>
      <c r="BW1155" s="59" t="n">
        <f aca="false">IF(BT1155=0,0,IF(N(S1155)&gt;0,S1155,IFERROR(VLOOKUP(D1155,Parameter!$A$35:$C$64,3,0)+0,0)))</f>
        <v>0</v>
      </c>
      <c r="BX1155" s="55" t="n">
        <f aca="false">IF(AA1155&lt;&gt;"",AA1155,Z1155)</f>
        <v>3</v>
      </c>
      <c r="BY1155" s="55" t="str">
        <f aca="false">IF(BX1155=1,"L1",IF(OR(BX1155=2,BX1155=3),"L23",IF(BX1155="Aussen","Aussen","-")))</f>
        <v>L23</v>
      </c>
      <c r="BZ1155" s="66" t="n">
        <f aca="false">IF(N(AB1155)&gt;0,AB1155,0)</f>
        <v>0</v>
      </c>
      <c r="CA1155" s="60" t="n">
        <f aca="false">IF(ISNUMBER(AE1155),1,0)</f>
        <v>0</v>
      </c>
      <c r="CB1155" s="57" t="n">
        <f aca="false">N(AE1155)</f>
        <v>0</v>
      </c>
      <c r="CC1155" s="57" t="n">
        <f aca="false">N(M1155)+N(N1155)</f>
        <v>1</v>
      </c>
      <c r="CD1155" s="57" t="n">
        <f aca="false">ROUNDUP(H1155/BS1155,0)</f>
        <v>1</v>
      </c>
      <c r="CE1155" s="57" t="n">
        <f aca="false">ROUNDUP(CB1155/BS1155,0)</f>
        <v>0</v>
      </c>
      <c r="CF1155" s="60" t="n">
        <f aca="false">IF(BT1155=1,0,IFERROR(VLOOKUP(BR1155,'Gebinde-Kategorie'!$A$5:$M$45,5,0)+0,0))</f>
        <v>11</v>
      </c>
      <c r="CG1155" s="60" t="n">
        <f aca="false">IFERROR(IF(OR(BX1155=1,BX1155=2,BX1155=3),N(INDEX(Parameter!$I$5:$I$7,BX1155)),0),0)</f>
        <v>0</v>
      </c>
      <c r="CH1155" s="59" t="n">
        <f aca="false">IF(AND(Parameter!$B$21="Ja",ISNUMBER(W1155),N(X1155)&gt;0),IFERROR(N(INDEX(Parameter!$L$5:$L$7,W1155))*INDEX(Parameter!$E$5:$E$7,W1155)*X1155/SUMIFS($X$7:$X$1843,$W$7:$W$1843,W1155),0),0)</f>
        <v>0</v>
      </c>
    </row>
    <row r="1156" customFormat="false" ht="15" hidden="false" customHeight="false" outlineLevel="0" collapsed="false">
      <c r="A1156" s="55" t="s">
        <v>2087</v>
      </c>
      <c r="B1156" s="55" t="s">
        <v>1948</v>
      </c>
      <c r="C1156" s="55" t="s">
        <v>456</v>
      </c>
      <c r="D1156" s="55" t="s">
        <v>184</v>
      </c>
      <c r="E1156" s="55"/>
      <c r="F1156" s="55" t="s">
        <v>218</v>
      </c>
      <c r="G1156" s="56" t="n">
        <v>45.5</v>
      </c>
      <c r="H1156" s="57" t="n">
        <f aca="false">MAX(0,IF(AND(Parameter!$B$21="Ja",ISNUMBER(Y1156)),Y1156,IF(Parameter!$B$20="Jahresanfang 2025 + Export",BL1156+BK1156,BK1156)))</f>
        <v>7</v>
      </c>
      <c r="I1156" s="57" t="n">
        <f aca="false">H1156*G1156</f>
        <v>318.5</v>
      </c>
      <c r="J1156" s="57" t="n">
        <f aca="false">BN1156*Parameter!$B$18</f>
        <v>7</v>
      </c>
      <c r="K1156" s="58" t="n">
        <v>7</v>
      </c>
      <c r="L1156" s="59" t="n">
        <v>1</v>
      </c>
      <c r="M1156" s="57" t="n">
        <v>0</v>
      </c>
      <c r="N1156" s="57" t="n">
        <v>5</v>
      </c>
      <c r="O1156" s="60" t="n">
        <v>21</v>
      </c>
      <c r="P1156" s="55" t="s">
        <v>168</v>
      </c>
      <c r="Q1156" s="57"/>
      <c r="R1156" s="60" t="n">
        <f aca="false">IF(BT1156=1,0,IFERROR(VLOOKUP(BR1156,'Gebinde-Kategorie'!$A$5:$M$45,13,0)+0,0))</f>
        <v>3</v>
      </c>
      <c r="S1156" s="61"/>
      <c r="T1156" s="62" t="s">
        <v>189</v>
      </c>
      <c r="U1156" s="62"/>
      <c r="V1156" s="62"/>
      <c r="W1156" s="55"/>
      <c r="X1156" s="57"/>
      <c r="Y1156" s="57"/>
      <c r="Z1156" s="55" t="n">
        <f aca="false">IF(A1156="","",IF(AND(Parameter!$B$21="Ja",ISNUMBER(W1156)),W1156,IF(BV1156="2+3",IF(ISNUMBER(SEARCH("grosser Artikel",BO1156)),2,IFERROR(VLOOKUP(BR1156,Parameter!$F$35:$G$64,2,0),2)),IF(OR(BV1156="Nein",BV1156=""),"-",BV1156))))</f>
        <v>2</v>
      </c>
      <c r="AA1156" s="62"/>
      <c r="AB1156" s="63"/>
      <c r="AC1156" s="57" t="n">
        <f aca="false">AR1156</f>
        <v>7</v>
      </c>
      <c r="AD1156" s="57" t="n">
        <f aca="false">MAX(AR1156,H1156)</f>
        <v>7</v>
      </c>
      <c r="AE1156" s="64"/>
      <c r="AF1156" s="57" t="n">
        <f aca="false">IF(LEFT(Cockpit!$C$5,1)="A",H1156,IF(CA1156=1,CB1156,IF(LEFT(Cockpit!$C$5,1)="B",AJ1156,MAX(AJ1156,H1156))))</f>
        <v>7</v>
      </c>
      <c r="AG1156" s="57" t="n">
        <f aca="false">IF(BT1156=1,0,ROUNDUP(AF1156/BS1156,0))</f>
        <v>1</v>
      </c>
      <c r="AH1156" s="59" t="n">
        <f aca="false">IF(CH1156&gt;0,CH1156*MAX(1,AF1156/X1156),IF(BT1156=1,IF(AF1156&lt;=0,0,BW1156*MAX(1,IF(H1156&gt;0,AF1156/H1156,1))),IF(R1156&gt;0,AG1156/R1156,0))/MAX(0.1,N(Parameter!$M$21)))</f>
        <v>0.333333333333333</v>
      </c>
      <c r="AI1156" s="57" t="n">
        <f aca="false">AF1156*G1156</f>
        <v>318.5</v>
      </c>
      <c r="AJ1156" s="57" t="n">
        <f aca="false">ROUNDUP(MAX(J1156/IF(BZ1156&gt;0,BZ1156,MAX(0.1,N(Cockpit!$C$6))),CC1156)/BS1156,0)*BS1156</f>
        <v>7</v>
      </c>
      <c r="AK1156" s="58" t="n">
        <f aca="false">IF(AH1156&gt;0,J1156/AH1156,-1)</f>
        <v>21</v>
      </c>
      <c r="AL1156" s="58" t="n">
        <f aca="false">IF(AND(OR(BY1156="L1",BY1156="L23"),AH1156&gt;0),SUMIFS($AH$7:$AH$1843,$BY$7:$BY$1843,BY1156,$AK$7:$AK$1843,"&gt;"&amp;AK1156)+SUMIFS($AH$7:$AH$1843,$BY$7:$BY$1843,BY1156,$AK$7:$AK$1843,AK1156,$BQ$7:$BQ$1843,"&lt;="&amp;BQ1156),"")</f>
        <v>51.338181142529</v>
      </c>
      <c r="AM1156" s="65" t="n">
        <f aca="false">IF(AL1156="",0,MAX(0,MIN(1,(IF(BY1156="L1",Parameter!$E$5,Parameter!$E$6+Parameter!$E$7)-(AL1156-AH1156))/AH1156)))</f>
        <v>1</v>
      </c>
      <c r="AN1156" s="57" t="n">
        <f aca="false">IF(LEFT(Cockpit!$I$5,1)="A",H1156,IF(CA1156=1,CB1156,IF(LEFT(Cockpit!$I$5,1)="B",AR1156,MAX(AR1156,H1156))))</f>
        <v>7</v>
      </c>
      <c r="AO1156" s="57" t="n">
        <f aca="false">IF(BT1156=1,0,ROUNDUP(AN1156/BS1156,0))</f>
        <v>1</v>
      </c>
      <c r="AP1156" s="59" t="n">
        <f aca="false">IF(CH1156&gt;0,CH1156*MAX(1,AN1156/X1156),IF(BT1156=1,IF(AN1156&lt;=0,0,BW1156*MAX(1,IF(H1156&gt;0,AN1156/H1156,1))),IF(R1156&gt;0,AO1156/R1156,0))/MAX(0.1,N(Parameter!$M$21)))</f>
        <v>0.333333333333333</v>
      </c>
      <c r="AQ1156" s="57" t="n">
        <f aca="false">AN1156*G1156</f>
        <v>318.5</v>
      </c>
      <c r="AR1156" s="57" t="n">
        <f aca="false">ROUNDUP(MAX(J1156/IF(BZ1156&gt;0,BZ1156,MAX(0.1,N(Cockpit!$I$6))),CC1156)/BS1156,0)*BS1156</f>
        <v>7</v>
      </c>
      <c r="AS1156" s="58" t="n">
        <f aca="false">IF(AP1156&gt;0,J1156/AP1156,-1)</f>
        <v>21</v>
      </c>
      <c r="AT1156" s="58" t="n">
        <f aca="false">IF(AND(OR(BY1156="L1",BY1156="L23"),AP1156&gt;0),SUMIFS($AP$7:$AP$1843,$BY$7:$BY$1843,BY1156,$AS$7:$AS$1843,"&gt;"&amp;AS1156)+SUMIFS($AP$7:$AP$1843,$BY$7:$BY$1843,BY1156,$AS$7:$AS$1843,AS1156,$BQ$7:$BQ$1843,"&lt;="&amp;BQ1156),"")</f>
        <v>76.6789719941894</v>
      </c>
      <c r="AU1156" s="65" t="n">
        <f aca="false">IF(AT1156="",0,MAX(0,MIN(1,(IF(BY1156="L1",Parameter!$E$5,Parameter!$E$6+Parameter!$E$7)-(AT1156-AP1156))/AP1156)))</f>
        <v>1</v>
      </c>
      <c r="AV1156" s="57" t="n">
        <f aca="false">IF(LEFT(Cockpit!$O$5,1)="A",H1156,IF(CA1156=1,CB1156,IF(LEFT(Cockpit!$O$5,1)="B",AZ1156,MAX(AZ1156,H1156))))</f>
        <v>7</v>
      </c>
      <c r="AW1156" s="57" t="n">
        <f aca="false">IF(BT1156=1,0,ROUNDUP(AV1156/BS1156,0))</f>
        <v>1</v>
      </c>
      <c r="AX1156" s="59" t="n">
        <f aca="false">IF(CH1156&gt;0,CH1156*MAX(1,AV1156/X1156),IF(BT1156=1,IF(AV1156&lt;=0,0,BW1156*MAX(1,IF(H1156&gt;0,AV1156/H1156,1))),IF(R1156&gt;0,AW1156/R1156,0))/MAX(0.1,N(Parameter!$M$21)))</f>
        <v>0.333333333333333</v>
      </c>
      <c r="AY1156" s="57" t="n">
        <f aca="false">AV1156*G1156</f>
        <v>318.5</v>
      </c>
      <c r="AZ1156" s="57" t="n">
        <f aca="false">ROUNDUP(MAX(J1156/IF(BZ1156&gt;0,BZ1156,MAX(0.1,N(Cockpit!$O$6))),CC1156)/BS1156,0)*BS1156</f>
        <v>7</v>
      </c>
      <c r="BA1156" s="58" t="n">
        <f aca="false">IF(AX1156&gt;0,J1156/AX1156,-1)</f>
        <v>21</v>
      </c>
      <c r="BB1156" s="58" t="n">
        <f aca="false">IF(AND(OR(BY1156="L1",BY1156="L23"),AX1156&gt;0),SUMIFS($AX$7:$AX$1843,$BY$7:$BY$1843,BY1156,$BA$7:$BA$1843,"&gt;"&amp;BA1156)+SUMIFS($AX$7:$AX$1843,$BY$7:$BY$1843,BY1156,$BA$7:$BA$1843,BA1156,$BQ$7:$BQ$1843,"&lt;="&amp;BQ1156),"")</f>
        <v>72.1754754906929</v>
      </c>
      <c r="BC1156" s="65" t="n">
        <f aca="false">IF(BB1156="",0,MAX(0,MIN(1,(IF(BY1156="L1",Parameter!$E$5,Parameter!$E$6+Parameter!$E$7)-(BB1156-AX1156))/AX1156)))</f>
        <v>1</v>
      </c>
      <c r="BD1156" s="55" t="str">
        <f aca="false">IF(AH1156&lt;=0,"",IF(BY1156="Aussen","Aussenlager",IF(BY1156="-","Nicht im Lift",IF(AM1156&gt;=1,"Lift",IF(AM1156&lt;=0,"Aussenlager","teilweise")))))</f>
        <v>Lift</v>
      </c>
      <c r="BE1156" s="55" t="str">
        <f aca="false">IF(AP1156&lt;=0,"",IF(BY1156="Aussen","Aussenlager",IF(BY1156="-","Nicht im Lift",IF(AU1156&gt;=1,"Lift",IF(AU1156&lt;=0,"Aussenlager","teilweise")))))</f>
        <v>Lift</v>
      </c>
      <c r="BF1156" s="55" t="str">
        <f aca="false">IF(AX1156&lt;=0,"",IF(BY1156="Aussen","Aussenlager",IF(BY1156="-","Nicht im Lift",IF(BC1156&gt;=1,"Lift",IF(BC1156&lt;=0,"Aussenlager","teilweise")))))</f>
        <v>Lift</v>
      </c>
      <c r="BG1156" s="55" t="str">
        <f aca="false">IF(A1156="","",IF(BP1156=1,"Neu; ","")&amp;IF(AND(BP1156=0,BK1156&lt;0),"negativer Bestand (Export "&amp;BK1156&amp;"); ","")&amp;IF(J1156&lt;=0,"Kein Verbrauch; ","")&amp;IF(CH1156&gt;0,"Lift "&amp;W1156&amp;" lt. Liftbericht (Fach "&amp;X1156&amp;" Stk); ",IF(BU1156=1,"Gebinde geschätzt ("&amp;T1156&amp;"); ",IF(BT1156=1,"Lose – Tablare geschätzt; ","")))&amp;IF(H1156&gt;AR1156,"Überbestand "&amp;ROUND(H1156-AR1156,0)&amp;" Stk / CHF "&amp;ROUND((H1156-AR1156)*G1156,0)&amp;"; ","")&amp;IF(AND(CA1156=1,CB1156&lt;CC1156),"MAX &lt; MB+LG; ","")&amp;IF(AND(CG1156&gt;0,CF1156*10&gt;CG1156),"zu hoch für Tablar; ","")&amp;IF(AND(BP1156=0,OR(CA1156=1,AA1156&lt;&gt;"",U1156&lt;&gt;"",V1156&lt;&gt;"",AB1156&lt;&gt;"")),"manuell übersteuert; ","")&amp;IF(AND(BT1156=0,R1156=0),"Gebinde unbekannt / Stellmass fehlt; ","")&amp;IF(AND(BT1156=0,N(V1156)&lt;=0,N(Q1156)&lt;=0),"Menge pro Gebinde fehlt (Ist = 1 Gebinde); ","")&amp;BO1156)</f>
        <v>negativer Bestand (Export -7); Gebinde geschätzt (Gross); Menge pro Gebinde fehlt (Ist = 1 Gebinde); </v>
      </c>
      <c r="BH1156" s="55"/>
      <c r="BI1156" s="55"/>
      <c r="BJ1156" s="62"/>
      <c r="BK1156" s="57" t="n">
        <v>-7</v>
      </c>
      <c r="BL1156" s="57" t="n">
        <v>14</v>
      </c>
      <c r="BM1156" s="56" t="n">
        <v>-318.5</v>
      </c>
      <c r="BN1156" s="57" t="n">
        <v>7</v>
      </c>
      <c r="BO1156" s="55"/>
      <c r="BP1156" s="60" t="n">
        <v>0</v>
      </c>
      <c r="BQ1156" s="60" t="n">
        <v>1156</v>
      </c>
      <c r="BR1156" s="55" t="str">
        <f aca="false">IF(U1156&lt;&gt;"",UPPER(TRIM(U1156)),IF(BU1156=1,UPPER(VLOOKUP(T1156,Parameter!$I$27:$K$29,2,0)),IF(P1156="","LOSE",P1156)))</f>
        <v>S81</v>
      </c>
      <c r="BS1156" s="57" t="n">
        <f aca="false">IF(BR1156="LOSE",1,IF(N(V1156)&gt;0,V1156,IF(BU1156=1,MAX(1,N(VLOOKUP(T1156,Parameter!$I$27:$K$29,3,0)),H1156,N(N1156)),IF(N(Q1156)&gt;0,Q1156,MAX(1,H1156)))))</f>
        <v>7</v>
      </c>
      <c r="BT1156" s="60" t="n">
        <f aca="false">IF(BR1156="LOSE",1,0)</f>
        <v>0</v>
      </c>
      <c r="BU1156" s="60" t="n">
        <f aca="false">IF(AND(U1156="",OR(P1156="",P1156="LOSE"),T1156&lt;&gt;"",N(S1156)&lt;=0,ISNUMBER(MATCH(T1156,Parameter!$I$27:$I$29,0))),1,0)</f>
        <v>1</v>
      </c>
      <c r="BV1156" s="55" t="str">
        <f aca="false">IF(AND(Parameter!$B$19="Ja",E1156&lt;&gt;"",ISNUMBER(MATCH(E1156,Parameter!$I$35:$I$52,0))),VLOOKUP(E1156,Parameter!$I$35:$J$52,2,0),IFERROR(VLOOKUP(D1156,Parameter!$A$35:$C$64,2,0),"Nein"))</f>
        <v>2+3</v>
      </c>
      <c r="BW1156" s="59" t="n">
        <f aca="false">IF(BT1156=0,0,IF(N(S1156)&gt;0,S1156,IFERROR(VLOOKUP(D1156,Parameter!$A$35:$C$64,3,0)+0,0)))</f>
        <v>0</v>
      </c>
      <c r="BX1156" s="55" t="n">
        <f aca="false">IF(AA1156&lt;&gt;"",AA1156,Z1156)</f>
        <v>2</v>
      </c>
      <c r="BY1156" s="55" t="str">
        <f aca="false">IF(BX1156=1,"L1",IF(OR(BX1156=2,BX1156=3),"L23",IF(BX1156="Aussen","Aussen","-")))</f>
        <v>L23</v>
      </c>
      <c r="BZ1156" s="66" t="n">
        <f aca="false">IF(N(AB1156)&gt;0,AB1156,0)</f>
        <v>0</v>
      </c>
      <c r="CA1156" s="60" t="n">
        <f aca="false">IF(ISNUMBER(AE1156),1,0)</f>
        <v>0</v>
      </c>
      <c r="CB1156" s="57" t="n">
        <f aca="false">N(AE1156)</f>
        <v>0</v>
      </c>
      <c r="CC1156" s="57" t="n">
        <f aca="false">N(M1156)+N(N1156)</f>
        <v>5</v>
      </c>
      <c r="CD1156" s="57" t="n">
        <f aca="false">ROUNDUP(H1156/BS1156,0)</f>
        <v>1</v>
      </c>
      <c r="CE1156" s="57" t="n">
        <f aca="false">ROUNDUP(CB1156/BS1156,0)</f>
        <v>0</v>
      </c>
      <c r="CF1156" s="60" t="n">
        <f aca="false">IF(BT1156=1,0,IFERROR(VLOOKUP(BR1156,'Gebinde-Kategorie'!$A$5:$M$45,5,0)+0,0))</f>
        <v>20</v>
      </c>
      <c r="CG1156" s="60" t="n">
        <f aca="false">IFERROR(IF(OR(BX1156=1,BX1156=2,BX1156=3),N(INDEX(Parameter!$I$5:$I$7,BX1156)),0),0)</f>
        <v>0</v>
      </c>
      <c r="CH1156" s="59" t="n">
        <f aca="false">IF(AND(Parameter!$B$21="Ja",ISNUMBER(W1156),N(X1156)&gt;0),IFERROR(N(INDEX(Parameter!$L$5:$L$7,W1156))*INDEX(Parameter!$E$5:$E$7,W1156)*X1156/SUMIFS($X$7:$X$1843,$W$7:$W$1843,W1156),0),0)</f>
        <v>0</v>
      </c>
    </row>
    <row r="1157" customFormat="false" ht="15" hidden="false" customHeight="false" outlineLevel="0" collapsed="false">
      <c r="A1157" s="55" t="s">
        <v>2088</v>
      </c>
      <c r="B1157" s="55" t="s">
        <v>2089</v>
      </c>
      <c r="C1157" s="55" t="s">
        <v>164</v>
      </c>
      <c r="D1157" s="55" t="s">
        <v>184</v>
      </c>
      <c r="E1157" s="55" t="s">
        <v>185</v>
      </c>
      <c r="F1157" s="55" t="s">
        <v>218</v>
      </c>
      <c r="G1157" s="56" t="n">
        <v>113.77</v>
      </c>
      <c r="H1157" s="57" t="n">
        <f aca="false">MAX(0,IF(AND(Parameter!$B$21="Ja",ISNUMBER(Y1157)),Y1157,IF(Parameter!$B$20="Jahresanfang 2025 + Export",BL1157+BK1157,BK1157)))</f>
        <v>11</v>
      </c>
      <c r="I1157" s="57" t="n">
        <f aca="false">H1157*G1157</f>
        <v>1251.47</v>
      </c>
      <c r="J1157" s="57" t="n">
        <f aca="false">BN1157*Parameter!$B$18</f>
        <v>4</v>
      </c>
      <c r="K1157" s="58" t="n">
        <v>15</v>
      </c>
      <c r="L1157" s="59" t="n">
        <v>0.266666666666667</v>
      </c>
      <c r="M1157" s="57" t="n">
        <v>0</v>
      </c>
      <c r="N1157" s="57" t="n">
        <v>5</v>
      </c>
      <c r="O1157" s="60" t="n">
        <v>56</v>
      </c>
      <c r="P1157" s="55" t="s">
        <v>328</v>
      </c>
      <c r="Q1157" s="57" t="n">
        <v>16</v>
      </c>
      <c r="R1157" s="60" t="n">
        <f aca="false">IF(BT1157=1,0,IFERROR(VLOOKUP(BR1157,'Gebinde-Kategorie'!$A$5:$M$45,13,0)+0,0))</f>
        <v>52</v>
      </c>
      <c r="S1157" s="61"/>
      <c r="T1157" s="62"/>
      <c r="U1157" s="62"/>
      <c r="V1157" s="62"/>
      <c r="W1157" s="55"/>
      <c r="X1157" s="57"/>
      <c r="Y1157" s="57"/>
      <c r="Z1157" s="55" t="n">
        <f aca="false">IF(A1157="","",IF(AND(Parameter!$B$21="Ja",ISNUMBER(W1157)),W1157,IF(BV1157="2+3",IF(ISNUMBER(SEARCH("grosser Artikel",BO1157)),2,IFERROR(VLOOKUP(BR1157,Parameter!$F$35:$G$64,2,0),2)),IF(OR(BV1157="Nein",BV1157=""),"-",BV1157))))</f>
        <v>3</v>
      </c>
      <c r="AA1157" s="62"/>
      <c r="AB1157" s="63"/>
      <c r="AC1157" s="57" t="n">
        <f aca="false">AR1157</f>
        <v>16</v>
      </c>
      <c r="AD1157" s="57" t="n">
        <f aca="false">MAX(AR1157,H1157)</f>
        <v>16</v>
      </c>
      <c r="AE1157" s="64"/>
      <c r="AF1157" s="57" t="n">
        <f aca="false">IF(LEFT(Cockpit!$C$5,1)="A",H1157,IF(CA1157=1,CB1157,IF(LEFT(Cockpit!$C$5,1)="B",AJ1157,MAX(AJ1157,H1157))))</f>
        <v>11</v>
      </c>
      <c r="AG1157" s="57" t="n">
        <f aca="false">IF(BT1157=1,0,ROUNDUP(AF1157/BS1157,0))</f>
        <v>1</v>
      </c>
      <c r="AH1157" s="59" t="n">
        <f aca="false">IF(CH1157&gt;0,CH1157*MAX(1,AF1157/X1157),IF(BT1157=1,IF(AF1157&lt;=0,0,BW1157*MAX(1,IF(H1157&gt;0,AF1157/H1157,1))),IF(R1157&gt;0,AG1157/R1157,0))/MAX(0.1,N(Parameter!$M$21)))</f>
        <v>0.0192307692307692</v>
      </c>
      <c r="AI1157" s="57" t="n">
        <f aca="false">AF1157*G1157</f>
        <v>1251.47</v>
      </c>
      <c r="AJ1157" s="57" t="n">
        <f aca="false">ROUNDUP(MAX(J1157/IF(BZ1157&gt;0,BZ1157,MAX(0.1,N(Cockpit!$C$6))),CC1157)/BS1157,0)*BS1157</f>
        <v>16</v>
      </c>
      <c r="AK1157" s="58" t="n">
        <f aca="false">IF(AH1157&gt;0,J1157/AH1157,-1)</f>
        <v>208</v>
      </c>
      <c r="AL1157" s="58" t="n">
        <f aca="false">IF(AND(OR(BY1157="L1",BY1157="L23"),AH1157&gt;0),SUMIFS($AH$7:$AH$1843,$BY$7:$BY$1843,BY1157,$AK$7:$AK$1843,"&gt;"&amp;AK1157)+SUMIFS($AH$7:$AH$1843,$BY$7:$BY$1843,BY1157,$AK$7:$AK$1843,AK1157,$BQ$7:$BQ$1843,"&lt;="&amp;BQ1157),"")</f>
        <v>31.976200128374</v>
      </c>
      <c r="AM1157" s="65" t="n">
        <f aca="false">IF(AL1157="",0,MAX(0,MIN(1,(IF(BY1157="L1",Parameter!$E$5,Parameter!$E$6+Parameter!$E$7)-(AL1157-AH1157))/AH1157)))</f>
        <v>1</v>
      </c>
      <c r="AN1157" s="57" t="n">
        <f aca="false">IF(LEFT(Cockpit!$I$5,1)="A",H1157,IF(CA1157=1,CB1157,IF(LEFT(Cockpit!$I$5,1)="B",AR1157,MAX(AR1157,H1157))))</f>
        <v>16</v>
      </c>
      <c r="AO1157" s="57" t="n">
        <f aca="false">IF(BT1157=1,0,ROUNDUP(AN1157/BS1157,0))</f>
        <v>1</v>
      </c>
      <c r="AP1157" s="59" t="n">
        <f aca="false">IF(CH1157&gt;0,CH1157*MAX(1,AN1157/X1157),IF(BT1157=1,IF(AN1157&lt;=0,0,BW1157*MAX(1,IF(H1157&gt;0,AN1157/H1157,1))),IF(R1157&gt;0,AO1157/R1157,0))/MAX(0.1,N(Parameter!$M$21)))</f>
        <v>0.0192307692307692</v>
      </c>
      <c r="AQ1157" s="57" t="n">
        <f aca="false">AN1157*G1157</f>
        <v>1820.32</v>
      </c>
      <c r="AR1157" s="57" t="n">
        <f aca="false">ROUNDUP(MAX(J1157/IF(BZ1157&gt;0,BZ1157,MAX(0.1,N(Cockpit!$I$6))),CC1157)/BS1157,0)*BS1157</f>
        <v>16</v>
      </c>
      <c r="AS1157" s="58" t="n">
        <f aca="false">IF(AP1157&gt;0,J1157/AP1157,-1)</f>
        <v>208</v>
      </c>
      <c r="AT1157" s="58" t="n">
        <f aca="false">IF(AND(OR(BY1157="L1",BY1157="L23"),AP1157&gt;0),SUMIFS($AP$7:$AP$1843,$BY$7:$BY$1843,BY1157,$AS$7:$AS$1843,"&gt;"&amp;AS1157)+SUMIFS($AP$7:$AP$1843,$BY$7:$BY$1843,BY1157,$AS$7:$AS$1843,AS1157,$BQ$7:$BQ$1843,"&lt;="&amp;BQ1157),"")</f>
        <v>46.1083662714098</v>
      </c>
      <c r="AU1157" s="65" t="n">
        <f aca="false">IF(AT1157="",0,MAX(0,MIN(1,(IF(BY1157="L1",Parameter!$E$5,Parameter!$E$6+Parameter!$E$7)-(AT1157-AP1157))/AP1157)))</f>
        <v>1</v>
      </c>
      <c r="AV1157" s="57" t="n">
        <f aca="false">IF(LEFT(Cockpit!$O$5,1)="A",H1157,IF(CA1157=1,CB1157,IF(LEFT(Cockpit!$O$5,1)="B",AZ1157,MAX(AZ1157,H1157))))</f>
        <v>16</v>
      </c>
      <c r="AW1157" s="57" t="n">
        <f aca="false">IF(BT1157=1,0,ROUNDUP(AV1157/BS1157,0))</f>
        <v>1</v>
      </c>
      <c r="AX1157" s="59" t="n">
        <f aca="false">IF(CH1157&gt;0,CH1157*MAX(1,AV1157/X1157),IF(BT1157=1,IF(AV1157&lt;=0,0,BW1157*MAX(1,IF(H1157&gt;0,AV1157/H1157,1))),IF(R1157&gt;0,AW1157/R1157,0))/MAX(0.1,N(Parameter!$M$21)))</f>
        <v>0.0192307692307692</v>
      </c>
      <c r="AY1157" s="57" t="n">
        <f aca="false">AV1157*G1157</f>
        <v>1820.32</v>
      </c>
      <c r="AZ1157" s="57" t="n">
        <f aca="false">ROUNDUP(MAX(J1157/IF(BZ1157&gt;0,BZ1157,MAX(0.1,N(Cockpit!$O$6))),CC1157)/BS1157,0)*BS1157</f>
        <v>16</v>
      </c>
      <c r="BA1157" s="58" t="n">
        <f aca="false">IF(AX1157&gt;0,J1157/AX1157,-1)</f>
        <v>208</v>
      </c>
      <c r="BB1157" s="58" t="n">
        <f aca="false">IF(AND(OR(BY1157="L1",BY1157="L23"),AX1157&gt;0),SUMIFS($AX$7:$AX$1843,$BY$7:$BY$1843,BY1157,$BA$7:$BA$1843,"&gt;"&amp;BA1157)+SUMIFS($AX$7:$AX$1843,$BY$7:$BY$1843,BY1157,$BA$7:$BA$1843,BA1157,$BQ$7:$BQ$1843,"&lt;="&amp;BQ1157),"")</f>
        <v>42.6882031012466</v>
      </c>
      <c r="BC1157" s="65" t="n">
        <f aca="false">IF(BB1157="",0,MAX(0,MIN(1,(IF(BY1157="L1",Parameter!$E$5,Parameter!$E$6+Parameter!$E$7)-(BB1157-AX1157))/AX1157)))</f>
        <v>1</v>
      </c>
      <c r="BD1157" s="55" t="str">
        <f aca="false">IF(AH1157&lt;=0,"",IF(BY1157="Aussen","Aussenlager",IF(BY1157="-","Nicht im Lift",IF(AM1157&gt;=1,"Lift",IF(AM1157&lt;=0,"Aussenlager","teilweise")))))</f>
        <v>Lift</v>
      </c>
      <c r="BE1157" s="55" t="str">
        <f aca="false">IF(AP1157&lt;=0,"",IF(BY1157="Aussen","Aussenlager",IF(BY1157="-","Nicht im Lift",IF(AU1157&gt;=1,"Lift",IF(AU1157&lt;=0,"Aussenlager","teilweise")))))</f>
        <v>Lift</v>
      </c>
      <c r="BF1157" s="55" t="str">
        <f aca="false">IF(AX1157&lt;=0,"",IF(BY1157="Aussen","Aussenlager",IF(BY1157="-","Nicht im Lift",IF(BC1157&gt;=1,"Lift",IF(BC1157&lt;=0,"Aussenlager","teilweise")))))</f>
        <v>Lift</v>
      </c>
      <c r="BG1157" s="55" t="str">
        <f aca="false">IF(A1157="","",IF(BP1157=1,"Neu; ","")&amp;IF(AND(BP1157=0,BK1157&lt;0),"negativer Bestand (Export "&amp;BK1157&amp;"); ","")&amp;IF(J1157&lt;=0,"Kein Verbrauch; ","")&amp;IF(CH1157&gt;0,"Lift "&amp;W1157&amp;" lt. Liftbericht (Fach "&amp;X1157&amp;" Stk); ",IF(BU1157=1,"Gebinde geschätzt ("&amp;T1157&amp;"); ",IF(BT1157=1,"Lose – Tablare geschätzt; ","")))&amp;IF(H1157&gt;AR1157,"Überbestand "&amp;ROUND(H1157-AR1157,0)&amp;" Stk / CHF "&amp;ROUND((H1157-AR1157)*G1157,0)&amp;"; ","")&amp;IF(AND(CA1157=1,CB1157&lt;CC1157),"MAX &lt; MB+LG; ","")&amp;IF(AND(CG1157&gt;0,CF1157*10&gt;CG1157),"zu hoch für Tablar; ","")&amp;IF(AND(BP1157=0,OR(CA1157=1,AA1157&lt;&gt;"",U1157&lt;&gt;"",V1157&lt;&gt;"",AB1157&lt;&gt;"")),"manuell übersteuert; ","")&amp;IF(AND(BT1157=0,R1157=0),"Gebinde unbekannt / Stellmass fehlt; ","")&amp;IF(AND(BT1157=0,N(V1157)&lt;=0,N(Q1157)&lt;=0),"Menge pro Gebinde fehlt (Ist = 1 Gebinde); ","")&amp;BO1157)</f>
        <v>negativer Bestand (Export -3); </v>
      </c>
      <c r="BH1157" s="55"/>
      <c r="BI1157" s="55"/>
      <c r="BJ1157" s="62"/>
      <c r="BK1157" s="57" t="n">
        <v>-3</v>
      </c>
      <c r="BL1157" s="57" t="n">
        <v>14</v>
      </c>
      <c r="BM1157" s="56" t="n">
        <v>-319.95</v>
      </c>
      <c r="BN1157" s="57" t="n">
        <v>4</v>
      </c>
      <c r="BO1157" s="55"/>
      <c r="BP1157" s="60" t="n">
        <v>0</v>
      </c>
      <c r="BQ1157" s="60" t="n">
        <v>1157</v>
      </c>
      <c r="BR1157" s="55" t="str">
        <f aca="false">IF(U1157&lt;&gt;"",UPPER(TRIM(U1157)),IF(BU1157=1,UPPER(VLOOKUP(T1157,Parameter!$I$27:$K$29,2,0)),IF(P1157="","LOSE",P1157)))</f>
        <v>S41</v>
      </c>
      <c r="BS1157" s="57" t="n">
        <f aca="false">IF(BR1157="LOSE",1,IF(N(V1157)&gt;0,V1157,IF(BU1157=1,MAX(1,N(VLOOKUP(T1157,Parameter!$I$27:$K$29,3,0)),H1157,N(N1157)),IF(N(Q1157)&gt;0,Q1157,MAX(1,H1157)))))</f>
        <v>16</v>
      </c>
      <c r="BT1157" s="60" t="n">
        <f aca="false">IF(BR1157="LOSE",1,0)</f>
        <v>0</v>
      </c>
      <c r="BU1157" s="60" t="n">
        <f aca="false">IF(AND(U1157="",OR(P1157="",P1157="LOSE"),T1157&lt;&gt;"",N(S1157)&lt;=0,ISNUMBER(MATCH(T1157,Parameter!$I$27:$I$29,0))),1,0)</f>
        <v>0</v>
      </c>
      <c r="BV1157" s="55" t="str">
        <f aca="false">IF(AND(Parameter!$B$19="Ja",E1157&lt;&gt;"",ISNUMBER(MATCH(E1157,Parameter!$I$35:$I$52,0))),VLOOKUP(E1157,Parameter!$I$35:$J$52,2,0),IFERROR(VLOOKUP(D1157,Parameter!$A$35:$C$64,2,0),"Nein"))</f>
        <v>2+3</v>
      </c>
      <c r="BW1157" s="59" t="n">
        <f aca="false">IF(BT1157=0,0,IF(N(S1157)&gt;0,S1157,IFERROR(VLOOKUP(D1157,Parameter!$A$35:$C$64,3,0)+0,0)))</f>
        <v>0</v>
      </c>
      <c r="BX1157" s="55" t="n">
        <f aca="false">IF(AA1157&lt;&gt;"",AA1157,Z1157)</f>
        <v>3</v>
      </c>
      <c r="BY1157" s="55" t="str">
        <f aca="false">IF(BX1157=1,"L1",IF(OR(BX1157=2,BX1157=3),"L23",IF(BX1157="Aussen","Aussen","-")))</f>
        <v>L23</v>
      </c>
      <c r="BZ1157" s="66" t="n">
        <f aca="false">IF(N(AB1157)&gt;0,AB1157,0)</f>
        <v>0</v>
      </c>
      <c r="CA1157" s="60" t="n">
        <f aca="false">IF(ISNUMBER(AE1157),1,0)</f>
        <v>0</v>
      </c>
      <c r="CB1157" s="57" t="n">
        <f aca="false">N(AE1157)</f>
        <v>0</v>
      </c>
      <c r="CC1157" s="57" t="n">
        <f aca="false">N(M1157)+N(N1157)</f>
        <v>5</v>
      </c>
      <c r="CD1157" s="57" t="n">
        <f aca="false">ROUNDUP(H1157/BS1157,0)</f>
        <v>1</v>
      </c>
      <c r="CE1157" s="57" t="n">
        <f aca="false">ROUNDUP(CB1157/BS1157,0)</f>
        <v>0</v>
      </c>
      <c r="CF1157" s="60" t="n">
        <f aca="false">IF(BT1157=1,0,IFERROR(VLOOKUP(BR1157,'Gebinde-Kategorie'!$A$5:$M$45,5,0)+0,0))</f>
        <v>11</v>
      </c>
      <c r="CG1157" s="60" t="n">
        <f aca="false">IFERROR(IF(OR(BX1157=1,BX1157=2,BX1157=3),N(INDEX(Parameter!$I$5:$I$7,BX1157)),0),0)</f>
        <v>0</v>
      </c>
      <c r="CH1157" s="59" t="n">
        <f aca="false">IF(AND(Parameter!$B$21="Ja",ISNUMBER(W1157),N(X1157)&gt;0),IFERROR(N(INDEX(Parameter!$L$5:$L$7,W1157))*INDEX(Parameter!$E$5:$E$7,W1157)*X1157/SUMIFS($X$7:$X$1843,$W$7:$W$1843,W1157),0),0)</f>
        <v>0</v>
      </c>
    </row>
    <row r="1158" customFormat="false" ht="15" hidden="false" customHeight="false" outlineLevel="0" collapsed="false">
      <c r="A1158" s="55" t="s">
        <v>2090</v>
      </c>
      <c r="B1158" s="55" t="s">
        <v>1643</v>
      </c>
      <c r="C1158" s="55" t="s">
        <v>164</v>
      </c>
      <c r="D1158" s="55" t="s">
        <v>184</v>
      </c>
      <c r="E1158" s="55"/>
      <c r="F1158" s="55" t="s">
        <v>218</v>
      </c>
      <c r="G1158" s="56" t="n">
        <v>20</v>
      </c>
      <c r="H1158" s="57" t="n">
        <f aca="false">MAX(0,IF(AND(Parameter!$B$21="Ja",ISNUMBER(Y1158)),Y1158,IF(Parameter!$B$20="Jahresanfang 2025 + Export",BL1158+BK1158,BK1158)))</f>
        <v>0</v>
      </c>
      <c r="I1158" s="57" t="n">
        <f aca="false">H1158*G1158</f>
        <v>0</v>
      </c>
      <c r="J1158" s="57" t="n">
        <f aca="false">BN1158*Parameter!$B$18</f>
        <v>0</v>
      </c>
      <c r="K1158" s="58" t="n">
        <v>16</v>
      </c>
      <c r="L1158" s="59" t="n">
        <v>0</v>
      </c>
      <c r="M1158" s="57" t="n">
        <v>0</v>
      </c>
      <c r="N1158" s="57" t="n">
        <v>1</v>
      </c>
      <c r="O1158" s="60" t="n">
        <v>35</v>
      </c>
      <c r="P1158" s="55" t="s">
        <v>168</v>
      </c>
      <c r="Q1158" s="57"/>
      <c r="R1158" s="60" t="n">
        <f aca="false">IF(BT1158=1,0,IFERROR(VLOOKUP(BR1158,'Gebinde-Kategorie'!$A$5:$M$45,13,0)+0,0))</f>
        <v>26</v>
      </c>
      <c r="S1158" s="61"/>
      <c r="T1158" s="62" t="s">
        <v>275</v>
      </c>
      <c r="U1158" s="62"/>
      <c r="V1158" s="62"/>
      <c r="W1158" s="55"/>
      <c r="X1158" s="57"/>
      <c r="Y1158" s="57"/>
      <c r="Z1158" s="55" t="n">
        <f aca="false">IF(A1158="","",IF(AND(Parameter!$B$21="Ja",ISNUMBER(W1158)),W1158,IF(BV1158="2+3",IF(ISNUMBER(SEARCH("grosser Artikel",BO1158)),2,IFERROR(VLOOKUP(BR1158,Parameter!$F$35:$G$64,2,0),2)),IF(OR(BV1158="Nein",BV1158=""),"-",BV1158))))</f>
        <v>3</v>
      </c>
      <c r="AA1158" s="62"/>
      <c r="AB1158" s="63"/>
      <c r="AC1158" s="57" t="n">
        <f aca="false">AR1158</f>
        <v>20</v>
      </c>
      <c r="AD1158" s="57" t="n">
        <f aca="false">MAX(AR1158,H1158)</f>
        <v>20</v>
      </c>
      <c r="AE1158" s="64"/>
      <c r="AF1158" s="57" t="n">
        <f aca="false">IF(LEFT(Cockpit!$C$5,1)="A",H1158,IF(CA1158=1,CB1158,IF(LEFT(Cockpit!$C$5,1)="B",AJ1158,MAX(AJ1158,H1158))))</f>
        <v>0</v>
      </c>
      <c r="AG1158" s="57" t="n">
        <f aca="false">IF(BT1158=1,0,ROUNDUP(AF1158/BS1158,0))</f>
        <v>0</v>
      </c>
      <c r="AH1158" s="59" t="n">
        <f aca="false">IF(CH1158&gt;0,CH1158*MAX(1,AF1158/X1158),IF(BT1158=1,IF(AF1158&lt;=0,0,BW1158*MAX(1,IF(H1158&gt;0,AF1158/H1158,1))),IF(R1158&gt;0,AG1158/R1158,0))/MAX(0.1,N(Parameter!$M$21)))</f>
        <v>0</v>
      </c>
      <c r="AI1158" s="57" t="n">
        <f aca="false">AF1158*G1158</f>
        <v>0</v>
      </c>
      <c r="AJ1158" s="57" t="n">
        <f aca="false">ROUNDUP(MAX(J1158/IF(BZ1158&gt;0,BZ1158,MAX(0.1,N(Cockpit!$C$6))),CC1158)/BS1158,0)*BS1158</f>
        <v>20</v>
      </c>
      <c r="AK1158" s="58" t="n">
        <f aca="false">IF(AH1158&gt;0,J1158/AH1158,-1)</f>
        <v>-1</v>
      </c>
      <c r="AL1158" s="58" t="str">
        <f aca="false">IF(AND(OR(BY1158="L1",BY1158="L23"),AH1158&gt;0),SUMIFS($AH$7:$AH$1843,$BY$7:$BY$1843,BY1158,$AK$7:$AK$1843,"&gt;"&amp;AK1158)+SUMIFS($AH$7:$AH$1843,$BY$7:$BY$1843,BY1158,$AK$7:$AK$1843,AK1158,$BQ$7:$BQ$1843,"&lt;="&amp;BQ1158),"")</f>
        <v/>
      </c>
      <c r="AM1158" s="65" t="n">
        <f aca="false">IF(AL1158="",0,MAX(0,MIN(1,(IF(BY1158="L1",Parameter!$E$5,Parameter!$E$6+Parameter!$E$7)-(AL1158-AH1158))/AH1158)))</f>
        <v>0</v>
      </c>
      <c r="AN1158" s="57" t="n">
        <f aca="false">IF(LEFT(Cockpit!$I$5,1)="A",H1158,IF(CA1158=1,CB1158,IF(LEFT(Cockpit!$I$5,1)="B",AR1158,MAX(AR1158,H1158))))</f>
        <v>20</v>
      </c>
      <c r="AO1158" s="57" t="n">
        <f aca="false">IF(BT1158=1,0,ROUNDUP(AN1158/BS1158,0))</f>
        <v>1</v>
      </c>
      <c r="AP1158" s="59" t="n">
        <f aca="false">IF(CH1158&gt;0,CH1158*MAX(1,AN1158/X1158),IF(BT1158=1,IF(AN1158&lt;=0,0,BW1158*MAX(1,IF(H1158&gt;0,AN1158/H1158,1))),IF(R1158&gt;0,AO1158/R1158,0))/MAX(0.1,N(Parameter!$M$21)))</f>
        <v>0.0384615384615385</v>
      </c>
      <c r="AQ1158" s="57" t="n">
        <f aca="false">AN1158*G1158</f>
        <v>400</v>
      </c>
      <c r="AR1158" s="57" t="n">
        <f aca="false">ROUNDUP(MAX(J1158/IF(BZ1158&gt;0,BZ1158,MAX(0.1,N(Cockpit!$I$6))),CC1158)/BS1158,0)*BS1158</f>
        <v>20</v>
      </c>
      <c r="AS1158" s="58" t="n">
        <f aca="false">IF(AP1158&gt;0,J1158/AP1158,-1)</f>
        <v>0</v>
      </c>
      <c r="AT1158" s="58" t="n">
        <f aca="false">IF(AND(OR(BY1158="L1",BY1158="L23"),AP1158&gt;0),SUMIFS($AP$7:$AP$1843,$BY$7:$BY$1843,BY1158,$AS$7:$AS$1843,"&gt;"&amp;AS1158)+SUMIFS($AP$7:$AP$1843,$BY$7:$BY$1843,BY1158,$AS$7:$AS$1843,AS1158,$BQ$7:$BQ$1843,"&lt;="&amp;BQ1158),"")</f>
        <v>122.505126515996</v>
      </c>
      <c r="AU1158" s="65" t="n">
        <f aca="false">IF(AT1158="",0,MAX(0,MIN(1,(IF(BY1158="L1",Parameter!$E$5,Parameter!$E$6+Parameter!$E$7)-(AT1158-AP1158))/AP1158)))</f>
        <v>0</v>
      </c>
      <c r="AV1158" s="57" t="n">
        <f aca="false">IF(LEFT(Cockpit!$O$5,1)="A",H1158,IF(CA1158=1,CB1158,IF(LEFT(Cockpit!$O$5,1)="B",AZ1158,MAX(AZ1158,H1158))))</f>
        <v>20</v>
      </c>
      <c r="AW1158" s="57" t="n">
        <f aca="false">IF(BT1158=1,0,ROUNDUP(AV1158/BS1158,0))</f>
        <v>1</v>
      </c>
      <c r="AX1158" s="59" t="n">
        <f aca="false">IF(CH1158&gt;0,CH1158*MAX(1,AV1158/X1158),IF(BT1158=1,IF(AV1158&lt;=0,0,BW1158*MAX(1,IF(H1158&gt;0,AV1158/H1158,1))),IF(R1158&gt;0,AW1158/R1158,0))/MAX(0.1,N(Parameter!$M$21)))</f>
        <v>0.0384615384615385</v>
      </c>
      <c r="AY1158" s="57" t="n">
        <f aca="false">AV1158*G1158</f>
        <v>400</v>
      </c>
      <c r="AZ1158" s="57" t="n">
        <f aca="false">ROUNDUP(MAX(J1158/IF(BZ1158&gt;0,BZ1158,MAX(0.1,N(Cockpit!$O$6))),CC1158)/BS1158,0)*BS1158</f>
        <v>20</v>
      </c>
      <c r="BA1158" s="58" t="n">
        <f aca="false">IF(AX1158&gt;0,J1158/AX1158,-1)</f>
        <v>0</v>
      </c>
      <c r="BB1158" s="58" t="n">
        <f aca="false">IF(AND(OR(BY1158="L1",BY1158="L23"),AX1158&gt;0),SUMIFS($AX$7:$AX$1843,$BY$7:$BY$1843,BY1158,$BA$7:$BA$1843,"&gt;"&amp;BA1158)+SUMIFS($AX$7:$AX$1843,$BY$7:$BY$1843,BY1158,$BA$7:$BA$1843,BA1158,$BQ$7:$BQ$1843,"&lt;="&amp;BQ1158),"")</f>
        <v>113.334963345833</v>
      </c>
      <c r="BC1158" s="65" t="n">
        <f aca="false">IF(BB1158="",0,MAX(0,MIN(1,(IF(BY1158="L1",Parameter!$E$5,Parameter!$E$6+Parameter!$E$7)-(BB1158-AX1158))/AX1158)))</f>
        <v>0</v>
      </c>
      <c r="BD1158" s="55" t="str">
        <f aca="false">IF(AH1158&lt;=0,"",IF(BY1158="Aussen","Aussenlager",IF(BY1158="-","Nicht im Lift",IF(AM1158&gt;=1,"Lift",IF(AM1158&lt;=0,"Aussenlager","teilweise")))))</f>
        <v/>
      </c>
      <c r="BE1158" s="55" t="str">
        <f aca="false">IF(AP1158&lt;=0,"",IF(BY1158="Aussen","Aussenlager",IF(BY1158="-","Nicht im Lift",IF(AU1158&gt;=1,"Lift",IF(AU1158&lt;=0,"Aussenlager","teilweise")))))</f>
        <v>Aussenlager</v>
      </c>
      <c r="BF1158" s="55" t="str">
        <f aca="false">IF(AX1158&lt;=0,"",IF(BY1158="Aussen","Aussenlager",IF(BY1158="-","Nicht im Lift",IF(BC1158&gt;=1,"Lift",IF(BC1158&lt;=0,"Aussenlager","teilweise")))))</f>
        <v>Aussenlager</v>
      </c>
      <c r="BG1158" s="55" t="str">
        <f aca="false">IF(A1158="","",IF(BP1158=1,"Neu; ","")&amp;IF(AND(BP1158=0,BK1158&lt;0),"negativer Bestand (Export "&amp;BK1158&amp;"); ","")&amp;IF(J1158&lt;=0,"Kein Verbrauch; ","")&amp;IF(CH1158&gt;0,"Lift "&amp;W1158&amp;" lt. Liftbericht (Fach "&amp;X1158&amp;" Stk); ",IF(BU1158=1,"Gebinde geschätzt ("&amp;T1158&amp;"); ",IF(BT1158=1,"Lose – Tablare geschätzt; ","")))&amp;IF(H1158&gt;AR1158,"Überbestand "&amp;ROUND(H1158-AR1158,0)&amp;" Stk / CHF "&amp;ROUND((H1158-AR1158)*G1158,0)&amp;"; ","")&amp;IF(AND(CA1158=1,CB1158&lt;CC1158),"MAX &lt; MB+LG; ","")&amp;IF(AND(CG1158&gt;0,CF1158*10&gt;CG1158),"zu hoch für Tablar; ","")&amp;IF(AND(BP1158=0,OR(CA1158=1,AA1158&lt;&gt;"",U1158&lt;&gt;"",V1158&lt;&gt;"",AB1158&lt;&gt;"")),"manuell übersteuert; ","")&amp;IF(AND(BT1158=0,R1158=0),"Gebinde unbekannt / Stellmass fehlt; ","")&amp;IF(AND(BT1158=0,N(V1158)&lt;=0,N(Q1158)&lt;=0),"Menge pro Gebinde fehlt (Ist = 1 Gebinde); ","")&amp;BO1158)</f>
        <v>negativer Bestand (Export -16); Kein Verbrauch; Gebinde geschätzt (Klein); Menge pro Gebinde fehlt (Ist = 1 Gebinde); </v>
      </c>
      <c r="BH1158" s="55"/>
      <c r="BI1158" s="55"/>
      <c r="BJ1158" s="62"/>
      <c r="BK1158" s="57" t="n">
        <v>-16</v>
      </c>
      <c r="BL1158" s="57" t="n">
        <v>16</v>
      </c>
      <c r="BM1158" s="56" t="n">
        <v>-320</v>
      </c>
      <c r="BN1158" s="57" t="n">
        <v>0</v>
      </c>
      <c r="BO1158" s="55"/>
      <c r="BP1158" s="60" t="n">
        <v>0</v>
      </c>
      <c r="BQ1158" s="60" t="n">
        <v>1158</v>
      </c>
      <c r="BR1158" s="55" t="str">
        <f aca="false">IF(U1158&lt;&gt;"",UPPER(TRIM(U1158)),IF(BU1158=1,UPPER(VLOOKUP(T1158,Parameter!$I$27:$K$29,2,0)),IF(P1158="","LOSE",P1158)))</f>
        <v>S51</v>
      </c>
      <c r="BS1158" s="57" t="n">
        <f aca="false">IF(BR1158="LOSE",1,IF(N(V1158)&gt;0,V1158,IF(BU1158=1,MAX(1,N(VLOOKUP(T1158,Parameter!$I$27:$K$29,3,0)),H1158,N(N1158)),IF(N(Q1158)&gt;0,Q1158,MAX(1,H1158)))))</f>
        <v>20</v>
      </c>
      <c r="BT1158" s="60" t="n">
        <f aca="false">IF(BR1158="LOSE",1,0)</f>
        <v>0</v>
      </c>
      <c r="BU1158" s="60" t="n">
        <f aca="false">IF(AND(U1158="",OR(P1158="",P1158="LOSE"),T1158&lt;&gt;"",N(S1158)&lt;=0,ISNUMBER(MATCH(T1158,Parameter!$I$27:$I$29,0))),1,0)</f>
        <v>1</v>
      </c>
      <c r="BV1158" s="55" t="str">
        <f aca="false">IF(AND(Parameter!$B$19="Ja",E1158&lt;&gt;"",ISNUMBER(MATCH(E1158,Parameter!$I$35:$I$52,0))),VLOOKUP(E1158,Parameter!$I$35:$J$52,2,0),IFERROR(VLOOKUP(D1158,Parameter!$A$35:$C$64,2,0),"Nein"))</f>
        <v>2+3</v>
      </c>
      <c r="BW1158" s="59" t="n">
        <f aca="false">IF(BT1158=0,0,IF(N(S1158)&gt;0,S1158,IFERROR(VLOOKUP(D1158,Parameter!$A$35:$C$64,3,0)+0,0)))</f>
        <v>0</v>
      </c>
      <c r="BX1158" s="55" t="n">
        <f aca="false">IF(AA1158&lt;&gt;"",AA1158,Z1158)</f>
        <v>3</v>
      </c>
      <c r="BY1158" s="55" t="str">
        <f aca="false">IF(BX1158=1,"L1",IF(OR(BX1158=2,BX1158=3),"L23",IF(BX1158="Aussen","Aussen","-")))</f>
        <v>L23</v>
      </c>
      <c r="BZ1158" s="66" t="n">
        <f aca="false">IF(N(AB1158)&gt;0,AB1158,0)</f>
        <v>0</v>
      </c>
      <c r="CA1158" s="60" t="n">
        <f aca="false">IF(ISNUMBER(AE1158),1,0)</f>
        <v>0</v>
      </c>
      <c r="CB1158" s="57" t="n">
        <f aca="false">N(AE1158)</f>
        <v>0</v>
      </c>
      <c r="CC1158" s="57" t="n">
        <f aca="false">N(M1158)+N(N1158)</f>
        <v>1</v>
      </c>
      <c r="CD1158" s="57" t="n">
        <f aca="false">ROUNDUP(H1158/BS1158,0)</f>
        <v>0</v>
      </c>
      <c r="CE1158" s="57" t="n">
        <f aca="false">ROUNDUP(CB1158/BS1158,0)</f>
        <v>0</v>
      </c>
      <c r="CF1158" s="60" t="n">
        <f aca="false">IF(BT1158=1,0,IFERROR(VLOOKUP(BR1158,'Gebinde-Kategorie'!$A$5:$M$45,5,0)+0,0))</f>
        <v>11</v>
      </c>
      <c r="CG1158" s="60" t="n">
        <f aca="false">IFERROR(IF(OR(BX1158=1,BX1158=2,BX1158=3),N(INDEX(Parameter!$I$5:$I$7,BX1158)),0),0)</f>
        <v>0</v>
      </c>
      <c r="CH1158" s="59" t="n">
        <f aca="false">IF(AND(Parameter!$B$21="Ja",ISNUMBER(W1158),N(X1158)&gt;0),IFERROR(N(INDEX(Parameter!$L$5:$L$7,W1158))*INDEX(Parameter!$E$5:$E$7,W1158)*X1158/SUMIFS($X$7:$X$1843,$W$7:$W$1843,W1158),0),0)</f>
        <v>0</v>
      </c>
    </row>
    <row r="1159" customFormat="false" ht="15" hidden="false" customHeight="false" outlineLevel="0" collapsed="false">
      <c r="A1159" s="55" t="s">
        <v>2091</v>
      </c>
      <c r="B1159" s="55" t="s">
        <v>440</v>
      </c>
      <c r="C1159" s="55" t="s">
        <v>164</v>
      </c>
      <c r="D1159" s="55" t="s">
        <v>184</v>
      </c>
      <c r="E1159" s="55" t="s">
        <v>185</v>
      </c>
      <c r="F1159" s="55" t="s">
        <v>218</v>
      </c>
      <c r="G1159" s="56" t="n">
        <v>107</v>
      </c>
      <c r="H1159" s="57" t="n">
        <f aca="false">MAX(0,IF(AND(Parameter!$B$21="Ja",ISNUMBER(Y1159)),Y1159,IF(Parameter!$B$20="Jahresanfang 2025 + Export",BL1159+BK1159,BK1159)))</f>
        <v>16</v>
      </c>
      <c r="I1159" s="57" t="n">
        <f aca="false">H1159*G1159</f>
        <v>1712</v>
      </c>
      <c r="J1159" s="57" t="n">
        <f aca="false">BN1159*Parameter!$B$18</f>
        <v>8</v>
      </c>
      <c r="K1159" s="58" t="n">
        <v>17</v>
      </c>
      <c r="L1159" s="59" t="n">
        <v>0.470588235294118</v>
      </c>
      <c r="M1159" s="57" t="n">
        <v>1</v>
      </c>
      <c r="N1159" s="57" t="n">
        <v>10</v>
      </c>
      <c r="O1159" s="60" t="n">
        <v>84</v>
      </c>
      <c r="P1159" s="55" t="s">
        <v>233</v>
      </c>
      <c r="Q1159" s="57" t="n">
        <v>50</v>
      </c>
      <c r="R1159" s="60" t="n">
        <f aca="false">IF(BT1159=1,0,IFERROR(VLOOKUP(BR1159,'Gebinde-Kategorie'!$A$5:$M$45,13,0)+0,0))</f>
        <v>26</v>
      </c>
      <c r="S1159" s="61"/>
      <c r="T1159" s="62"/>
      <c r="U1159" s="62"/>
      <c r="V1159" s="62"/>
      <c r="W1159" s="55"/>
      <c r="X1159" s="57"/>
      <c r="Y1159" s="57"/>
      <c r="Z1159" s="55" t="n">
        <f aca="false">IF(A1159="","",IF(AND(Parameter!$B$21="Ja",ISNUMBER(W1159)),W1159,IF(BV1159="2+3",IF(ISNUMBER(SEARCH("grosser Artikel",BO1159)),2,IFERROR(VLOOKUP(BR1159,Parameter!$F$35:$G$64,2,0),2)),IF(OR(BV1159="Nein",BV1159=""),"-",BV1159))))</f>
        <v>3</v>
      </c>
      <c r="AA1159" s="62"/>
      <c r="AB1159" s="63"/>
      <c r="AC1159" s="57" t="n">
        <f aca="false">AR1159</f>
        <v>50</v>
      </c>
      <c r="AD1159" s="57" t="n">
        <f aca="false">MAX(AR1159,H1159)</f>
        <v>50</v>
      </c>
      <c r="AE1159" s="64"/>
      <c r="AF1159" s="57" t="n">
        <f aca="false">IF(LEFT(Cockpit!$C$5,1)="A",H1159,IF(CA1159=1,CB1159,IF(LEFT(Cockpit!$C$5,1)="B",AJ1159,MAX(AJ1159,H1159))))</f>
        <v>16</v>
      </c>
      <c r="AG1159" s="57" t="n">
        <f aca="false">IF(BT1159=1,0,ROUNDUP(AF1159/BS1159,0))</f>
        <v>1</v>
      </c>
      <c r="AH1159" s="59" t="n">
        <f aca="false">IF(CH1159&gt;0,CH1159*MAX(1,AF1159/X1159),IF(BT1159=1,IF(AF1159&lt;=0,0,BW1159*MAX(1,IF(H1159&gt;0,AF1159/H1159,1))),IF(R1159&gt;0,AG1159/R1159,0))/MAX(0.1,N(Parameter!$M$21)))</f>
        <v>0.0384615384615385</v>
      </c>
      <c r="AI1159" s="57" t="n">
        <f aca="false">AF1159*G1159</f>
        <v>1712</v>
      </c>
      <c r="AJ1159" s="57" t="n">
        <f aca="false">ROUNDUP(MAX(J1159/IF(BZ1159&gt;0,BZ1159,MAX(0.1,N(Cockpit!$C$6))),CC1159)/BS1159,0)*BS1159</f>
        <v>50</v>
      </c>
      <c r="AK1159" s="58" t="n">
        <f aca="false">IF(AH1159&gt;0,J1159/AH1159,-1)</f>
        <v>208</v>
      </c>
      <c r="AL1159" s="58" t="n">
        <f aca="false">IF(AND(OR(BY1159="L1",BY1159="L23"),AH1159&gt;0),SUMIFS($AH$7:$AH$1843,$BY$7:$BY$1843,BY1159,$AK$7:$AK$1843,"&gt;"&amp;AK1159)+SUMIFS($AH$7:$AH$1843,$BY$7:$BY$1843,BY1159,$AK$7:$AK$1843,AK1159,$BQ$7:$BQ$1843,"&lt;="&amp;BQ1159),"")</f>
        <v>32.0146616668356</v>
      </c>
      <c r="AM1159" s="65" t="n">
        <f aca="false">IF(AL1159="",0,MAX(0,MIN(1,(IF(BY1159="L1",Parameter!$E$5,Parameter!$E$6+Parameter!$E$7)-(AL1159-AH1159))/AH1159)))</f>
        <v>1</v>
      </c>
      <c r="AN1159" s="57" t="n">
        <f aca="false">IF(LEFT(Cockpit!$I$5,1)="A",H1159,IF(CA1159=1,CB1159,IF(LEFT(Cockpit!$I$5,1)="B",AR1159,MAX(AR1159,H1159))))</f>
        <v>50</v>
      </c>
      <c r="AO1159" s="57" t="n">
        <f aca="false">IF(BT1159=1,0,ROUNDUP(AN1159/BS1159,0))</f>
        <v>1</v>
      </c>
      <c r="AP1159" s="59" t="n">
        <f aca="false">IF(CH1159&gt;0,CH1159*MAX(1,AN1159/X1159),IF(BT1159=1,IF(AN1159&lt;=0,0,BW1159*MAX(1,IF(H1159&gt;0,AN1159/H1159,1))),IF(R1159&gt;0,AO1159/R1159,0))/MAX(0.1,N(Parameter!$M$21)))</f>
        <v>0.0384615384615385</v>
      </c>
      <c r="AQ1159" s="57" t="n">
        <f aca="false">AN1159*G1159</f>
        <v>5350</v>
      </c>
      <c r="AR1159" s="57" t="n">
        <f aca="false">ROUNDUP(MAX(J1159/IF(BZ1159&gt;0,BZ1159,MAX(0.1,N(Cockpit!$I$6))),CC1159)/BS1159,0)*BS1159</f>
        <v>50</v>
      </c>
      <c r="AS1159" s="58" t="n">
        <f aca="false">IF(AP1159&gt;0,J1159/AP1159,-1)</f>
        <v>208</v>
      </c>
      <c r="AT1159" s="58" t="n">
        <f aca="false">IF(AND(OR(BY1159="L1",BY1159="L23"),AP1159&gt;0),SUMIFS($AP$7:$AP$1843,$BY$7:$BY$1843,BY1159,$AS$7:$AS$1843,"&gt;"&amp;AS1159)+SUMIFS($AP$7:$AP$1843,$BY$7:$BY$1843,BY1159,$AS$7:$AS$1843,AS1159,$BQ$7:$BQ$1843,"&lt;="&amp;BQ1159),"")</f>
        <v>46.1468278098713</v>
      </c>
      <c r="AU1159" s="65" t="n">
        <f aca="false">IF(AT1159="",0,MAX(0,MIN(1,(IF(BY1159="L1",Parameter!$E$5,Parameter!$E$6+Parameter!$E$7)-(AT1159-AP1159))/AP1159)))</f>
        <v>1</v>
      </c>
      <c r="AV1159" s="57" t="n">
        <f aca="false">IF(LEFT(Cockpit!$O$5,1)="A",H1159,IF(CA1159=1,CB1159,IF(LEFT(Cockpit!$O$5,1)="B",AZ1159,MAX(AZ1159,H1159))))</f>
        <v>50</v>
      </c>
      <c r="AW1159" s="57" t="n">
        <f aca="false">IF(BT1159=1,0,ROUNDUP(AV1159/BS1159,0))</f>
        <v>1</v>
      </c>
      <c r="AX1159" s="59" t="n">
        <f aca="false">IF(CH1159&gt;0,CH1159*MAX(1,AV1159/X1159),IF(BT1159=1,IF(AV1159&lt;=0,0,BW1159*MAX(1,IF(H1159&gt;0,AV1159/H1159,1))),IF(R1159&gt;0,AW1159/R1159,0))/MAX(0.1,N(Parameter!$M$21)))</f>
        <v>0.0384615384615385</v>
      </c>
      <c r="AY1159" s="57" t="n">
        <f aca="false">AV1159*G1159</f>
        <v>5350</v>
      </c>
      <c r="AZ1159" s="57" t="n">
        <f aca="false">ROUNDUP(MAX(J1159/IF(BZ1159&gt;0,BZ1159,MAX(0.1,N(Cockpit!$O$6))),CC1159)/BS1159,0)*BS1159</f>
        <v>50</v>
      </c>
      <c r="BA1159" s="58" t="n">
        <f aca="false">IF(AX1159&gt;0,J1159/AX1159,-1)</f>
        <v>208</v>
      </c>
      <c r="BB1159" s="58" t="n">
        <f aca="false">IF(AND(OR(BY1159="L1",BY1159="L23"),AX1159&gt;0),SUMIFS($AX$7:$AX$1843,$BY$7:$BY$1843,BY1159,$BA$7:$BA$1843,"&gt;"&amp;BA1159)+SUMIFS($AX$7:$AX$1843,$BY$7:$BY$1843,BY1159,$BA$7:$BA$1843,BA1159,$BQ$7:$BQ$1843,"&lt;="&amp;BQ1159),"")</f>
        <v>42.7266646397081</v>
      </c>
      <c r="BC1159" s="65" t="n">
        <f aca="false">IF(BB1159="",0,MAX(0,MIN(1,(IF(BY1159="L1",Parameter!$E$5,Parameter!$E$6+Parameter!$E$7)-(BB1159-AX1159))/AX1159)))</f>
        <v>1</v>
      </c>
      <c r="BD1159" s="55" t="str">
        <f aca="false">IF(AH1159&lt;=0,"",IF(BY1159="Aussen","Aussenlager",IF(BY1159="-","Nicht im Lift",IF(AM1159&gt;=1,"Lift",IF(AM1159&lt;=0,"Aussenlager","teilweise")))))</f>
        <v>Lift</v>
      </c>
      <c r="BE1159" s="55" t="str">
        <f aca="false">IF(AP1159&lt;=0,"",IF(BY1159="Aussen","Aussenlager",IF(BY1159="-","Nicht im Lift",IF(AU1159&gt;=1,"Lift",IF(AU1159&lt;=0,"Aussenlager","teilweise")))))</f>
        <v>Lift</v>
      </c>
      <c r="BF1159" s="55" t="str">
        <f aca="false">IF(AX1159&lt;=0,"",IF(BY1159="Aussen","Aussenlager",IF(BY1159="-","Nicht im Lift",IF(BC1159&gt;=1,"Lift",IF(BC1159&lt;=0,"Aussenlager","teilweise")))))</f>
        <v>Lift</v>
      </c>
      <c r="BG1159" s="55" t="str">
        <f aca="false">IF(A1159="","",IF(BP1159=1,"Neu; ","")&amp;IF(AND(BP1159=0,BK1159&lt;0),"negativer Bestand (Export "&amp;BK1159&amp;"); ","")&amp;IF(J1159&lt;=0,"Kein Verbrauch; ","")&amp;IF(CH1159&gt;0,"Lift "&amp;W1159&amp;" lt. Liftbericht (Fach "&amp;X1159&amp;" Stk); ",IF(BU1159=1,"Gebinde geschätzt ("&amp;T1159&amp;"); ",IF(BT1159=1,"Lose – Tablare geschätzt; ","")))&amp;IF(H1159&gt;AR1159,"Überbestand "&amp;ROUND(H1159-AR1159,0)&amp;" Stk / CHF "&amp;ROUND((H1159-AR1159)*G1159,0)&amp;"; ","")&amp;IF(AND(CA1159=1,CB1159&lt;CC1159),"MAX &lt; MB+LG; ","")&amp;IF(AND(CG1159&gt;0,CF1159*10&gt;CG1159),"zu hoch für Tablar; ","")&amp;IF(AND(BP1159=0,OR(CA1159=1,AA1159&lt;&gt;"",U1159&lt;&gt;"",V1159&lt;&gt;"",AB1159&lt;&gt;"")),"manuell übersteuert; ","")&amp;IF(AND(BT1159=0,R1159=0),"Gebinde unbekannt / Stellmass fehlt; ","")&amp;IF(AND(BT1159=0,N(V1159)&lt;=0,N(Q1159)&lt;=0),"Menge pro Gebinde fehlt (Ist = 1 Gebinde); ","")&amp;BO1159)</f>
        <v>negativer Bestand (Export -3); </v>
      </c>
      <c r="BH1159" s="55"/>
      <c r="BI1159" s="55"/>
      <c r="BJ1159" s="62"/>
      <c r="BK1159" s="57" t="n">
        <v>-3</v>
      </c>
      <c r="BL1159" s="57" t="n">
        <v>19</v>
      </c>
      <c r="BM1159" s="56" t="n">
        <v>-321</v>
      </c>
      <c r="BN1159" s="57" t="n">
        <v>8</v>
      </c>
      <c r="BO1159" s="55"/>
      <c r="BP1159" s="60" t="n">
        <v>0</v>
      </c>
      <c r="BQ1159" s="60" t="n">
        <v>1159</v>
      </c>
      <c r="BR1159" s="55" t="str">
        <f aca="false">IF(U1159&lt;&gt;"",UPPER(TRIM(U1159)),IF(BU1159=1,UPPER(VLOOKUP(T1159,Parameter!$I$27:$K$29,2,0)),IF(P1159="","LOSE",P1159)))</f>
        <v>S52</v>
      </c>
      <c r="BS1159" s="57" t="n">
        <f aca="false">IF(BR1159="LOSE",1,IF(N(V1159)&gt;0,V1159,IF(BU1159=1,MAX(1,N(VLOOKUP(T1159,Parameter!$I$27:$K$29,3,0)),H1159,N(N1159)),IF(N(Q1159)&gt;0,Q1159,MAX(1,H1159)))))</f>
        <v>50</v>
      </c>
      <c r="BT1159" s="60" t="n">
        <f aca="false">IF(BR1159="LOSE",1,0)</f>
        <v>0</v>
      </c>
      <c r="BU1159" s="60" t="n">
        <f aca="false">IF(AND(U1159="",OR(P1159="",P1159="LOSE"),T1159&lt;&gt;"",N(S1159)&lt;=0,ISNUMBER(MATCH(T1159,Parameter!$I$27:$I$29,0))),1,0)</f>
        <v>0</v>
      </c>
      <c r="BV1159" s="55" t="str">
        <f aca="false">IF(AND(Parameter!$B$19="Ja",E1159&lt;&gt;"",ISNUMBER(MATCH(E1159,Parameter!$I$35:$I$52,0))),VLOOKUP(E1159,Parameter!$I$35:$J$52,2,0),IFERROR(VLOOKUP(D1159,Parameter!$A$35:$C$64,2,0),"Nein"))</f>
        <v>2+3</v>
      </c>
      <c r="BW1159" s="59" t="n">
        <f aca="false">IF(BT1159=0,0,IF(N(S1159)&gt;0,S1159,IFERROR(VLOOKUP(D1159,Parameter!$A$35:$C$64,3,0)+0,0)))</f>
        <v>0</v>
      </c>
      <c r="BX1159" s="55" t="n">
        <f aca="false">IF(AA1159&lt;&gt;"",AA1159,Z1159)</f>
        <v>3</v>
      </c>
      <c r="BY1159" s="55" t="str">
        <f aca="false">IF(BX1159=1,"L1",IF(OR(BX1159=2,BX1159=3),"L23",IF(BX1159="Aussen","Aussen","-")))</f>
        <v>L23</v>
      </c>
      <c r="BZ1159" s="66" t="n">
        <f aca="false">IF(N(AB1159)&gt;0,AB1159,0)</f>
        <v>0</v>
      </c>
      <c r="CA1159" s="60" t="n">
        <f aca="false">IF(ISNUMBER(AE1159),1,0)</f>
        <v>0</v>
      </c>
      <c r="CB1159" s="57" t="n">
        <f aca="false">N(AE1159)</f>
        <v>0</v>
      </c>
      <c r="CC1159" s="57" t="n">
        <f aca="false">N(M1159)+N(N1159)</f>
        <v>11</v>
      </c>
      <c r="CD1159" s="57" t="n">
        <f aca="false">ROUNDUP(H1159/BS1159,0)</f>
        <v>1</v>
      </c>
      <c r="CE1159" s="57" t="n">
        <f aca="false">ROUNDUP(CB1159/BS1159,0)</f>
        <v>0</v>
      </c>
      <c r="CF1159" s="60" t="n">
        <f aca="false">IF(BT1159=1,0,IFERROR(VLOOKUP(BR1159,'Gebinde-Kategorie'!$A$5:$M$45,5,0)+0,0))</f>
        <v>21</v>
      </c>
      <c r="CG1159" s="60" t="n">
        <f aca="false">IFERROR(IF(OR(BX1159=1,BX1159=2,BX1159=3),N(INDEX(Parameter!$I$5:$I$7,BX1159)),0),0)</f>
        <v>0</v>
      </c>
      <c r="CH1159" s="59" t="n">
        <f aca="false">IF(AND(Parameter!$B$21="Ja",ISNUMBER(W1159),N(X1159)&gt;0),IFERROR(N(INDEX(Parameter!$L$5:$L$7,W1159))*INDEX(Parameter!$E$5:$E$7,W1159)*X1159/SUMIFS($X$7:$X$1843,$W$7:$W$1843,W1159),0),0)</f>
        <v>0</v>
      </c>
    </row>
    <row r="1160" customFormat="false" ht="15" hidden="false" customHeight="false" outlineLevel="0" collapsed="false">
      <c r="A1160" s="55" t="s">
        <v>2092</v>
      </c>
      <c r="B1160" s="55" t="s">
        <v>2093</v>
      </c>
      <c r="C1160" s="55" t="s">
        <v>164</v>
      </c>
      <c r="D1160" s="55" t="s">
        <v>173</v>
      </c>
      <c r="E1160" s="55"/>
      <c r="F1160" s="55" t="s">
        <v>218</v>
      </c>
      <c r="G1160" s="56" t="n">
        <v>4.95</v>
      </c>
      <c r="H1160" s="57" t="n">
        <f aca="false">MAX(0,IF(AND(Parameter!$B$21="Ja",ISNUMBER(Y1160)),Y1160,IF(Parameter!$B$20="Jahresanfang 2025 + Export",BL1160+BK1160,BK1160)))</f>
        <v>50</v>
      </c>
      <c r="I1160" s="57" t="n">
        <f aca="false">H1160*G1160</f>
        <v>247.5</v>
      </c>
      <c r="J1160" s="57" t="n">
        <f aca="false">BN1160*Parameter!$B$18</f>
        <v>143</v>
      </c>
      <c r="K1160" s="58" t="n">
        <v>100</v>
      </c>
      <c r="L1160" s="59" t="n">
        <v>1.43</v>
      </c>
      <c r="M1160" s="57" t="n">
        <v>25</v>
      </c>
      <c r="N1160" s="57" t="n">
        <v>10</v>
      </c>
      <c r="O1160" s="60" t="n">
        <v>28</v>
      </c>
      <c r="P1160" s="55" t="s">
        <v>168</v>
      </c>
      <c r="Q1160" s="57"/>
      <c r="R1160" s="60" t="n">
        <f aca="false">IF(BT1160=1,0,IFERROR(VLOOKUP(BR1160,'Gebinde-Kategorie'!$A$5:$M$45,13,0)+0,0))</f>
        <v>3</v>
      </c>
      <c r="S1160" s="61"/>
      <c r="T1160" s="62" t="s">
        <v>189</v>
      </c>
      <c r="U1160" s="62"/>
      <c r="V1160" s="62"/>
      <c r="W1160" s="55"/>
      <c r="X1160" s="57"/>
      <c r="Y1160" s="57"/>
      <c r="Z1160" s="55" t="n">
        <f aca="false">IF(A1160="","",IF(AND(Parameter!$B$21="Ja",ISNUMBER(W1160)),W1160,IF(BV1160="2+3",IF(ISNUMBER(SEARCH("grosser Artikel",BO1160)),2,IFERROR(VLOOKUP(BR1160,Parameter!$F$35:$G$64,2,0),2)),IF(OR(BV1160="Nein",BV1160=""),"-",BV1160))))</f>
        <v>2</v>
      </c>
      <c r="AA1160" s="62"/>
      <c r="AB1160" s="63"/>
      <c r="AC1160" s="57" t="n">
        <f aca="false">AR1160</f>
        <v>100</v>
      </c>
      <c r="AD1160" s="57" t="n">
        <f aca="false">MAX(AR1160,H1160)</f>
        <v>100</v>
      </c>
      <c r="AE1160" s="64"/>
      <c r="AF1160" s="57" t="n">
        <f aca="false">IF(LEFT(Cockpit!$C$5,1)="A",H1160,IF(CA1160=1,CB1160,IF(LEFT(Cockpit!$C$5,1)="B",AJ1160,MAX(AJ1160,H1160))))</f>
        <v>50</v>
      </c>
      <c r="AG1160" s="57" t="n">
        <f aca="false">IF(BT1160=1,0,ROUNDUP(AF1160/BS1160,0))</f>
        <v>1</v>
      </c>
      <c r="AH1160" s="59" t="n">
        <f aca="false">IF(CH1160&gt;0,CH1160*MAX(1,AF1160/X1160),IF(BT1160=1,IF(AF1160&lt;=0,0,BW1160*MAX(1,IF(H1160&gt;0,AF1160/H1160,1))),IF(R1160&gt;0,AG1160/R1160,0))/MAX(0.1,N(Parameter!$M$21)))</f>
        <v>0.333333333333333</v>
      </c>
      <c r="AI1160" s="57" t="n">
        <f aca="false">AF1160*G1160</f>
        <v>247.5</v>
      </c>
      <c r="AJ1160" s="57" t="n">
        <f aca="false">ROUNDUP(MAX(J1160/IF(BZ1160&gt;0,BZ1160,MAX(0.1,N(Cockpit!$C$6))),CC1160)/BS1160,0)*BS1160</f>
        <v>100</v>
      </c>
      <c r="AK1160" s="58" t="n">
        <f aca="false">IF(AH1160&gt;0,J1160/AH1160,-1)</f>
        <v>429</v>
      </c>
      <c r="AL1160" s="58" t="n">
        <f aca="false">IF(AND(OR(BY1160="L1",BY1160="L23"),AH1160&gt;0),SUMIFS($AH$7:$AH$1843,$BY$7:$BY$1843,BY1160,$AK$7:$AK$1843,"&gt;"&amp;AK1160)+SUMIFS($AH$7:$AH$1843,$BY$7:$BY$1843,BY1160,$AK$7:$AK$1843,AK1160,$BQ$7:$BQ$1843,"&lt;="&amp;BQ1160),"")</f>
        <v>25.3344988344988</v>
      </c>
      <c r="AM1160" s="65" t="n">
        <f aca="false">IF(AL1160="",0,MAX(0,MIN(1,(IF(BY1160="L1",Parameter!$E$5,Parameter!$E$6+Parameter!$E$7)-(AL1160-AH1160))/AH1160)))</f>
        <v>1</v>
      </c>
      <c r="AN1160" s="57" t="n">
        <f aca="false">IF(LEFT(Cockpit!$I$5,1)="A",H1160,IF(CA1160=1,CB1160,IF(LEFT(Cockpit!$I$5,1)="B",AR1160,MAX(AR1160,H1160))))</f>
        <v>100</v>
      </c>
      <c r="AO1160" s="57" t="n">
        <f aca="false">IF(BT1160=1,0,ROUNDUP(AN1160/BS1160,0))</f>
        <v>2</v>
      </c>
      <c r="AP1160" s="59" t="n">
        <f aca="false">IF(CH1160&gt;0,CH1160*MAX(1,AN1160/X1160),IF(BT1160=1,IF(AN1160&lt;=0,0,BW1160*MAX(1,IF(H1160&gt;0,AN1160/H1160,1))),IF(R1160&gt;0,AO1160/R1160,0))/MAX(0.1,N(Parameter!$M$21)))</f>
        <v>0.666666666666667</v>
      </c>
      <c r="AQ1160" s="57" t="n">
        <f aca="false">AN1160*G1160</f>
        <v>495</v>
      </c>
      <c r="AR1160" s="57" t="n">
        <f aca="false">ROUNDUP(MAX(J1160/IF(BZ1160&gt;0,BZ1160,MAX(0.1,N(Cockpit!$I$6))),CC1160)/BS1160,0)*BS1160</f>
        <v>100</v>
      </c>
      <c r="AS1160" s="58" t="n">
        <f aca="false">IF(AP1160&gt;0,J1160/AP1160,-1)</f>
        <v>214.5</v>
      </c>
      <c r="AT1160" s="58" t="n">
        <f aca="false">IF(AND(OR(BY1160="L1",BY1160="L23"),AP1160&gt;0),SUMIFS($AP$7:$AP$1843,$BY$7:$BY$1843,BY1160,$AS$7:$AS$1843,"&gt;"&amp;AS1160)+SUMIFS($AP$7:$AP$1843,$BY$7:$BY$1843,BY1160,$AS$7:$AS$1843,AS1160,$BQ$7:$BQ$1843,"&lt;="&amp;BQ1160),"")</f>
        <v>45.8006739637174</v>
      </c>
      <c r="AU1160" s="65" t="n">
        <f aca="false">IF(AT1160="",0,MAX(0,MIN(1,(IF(BY1160="L1",Parameter!$E$5,Parameter!$E$6+Parameter!$E$7)-(AT1160-AP1160))/AP1160)))</f>
        <v>1</v>
      </c>
      <c r="AV1160" s="57" t="n">
        <f aca="false">IF(LEFT(Cockpit!$O$5,1)="A",H1160,IF(CA1160=1,CB1160,IF(LEFT(Cockpit!$O$5,1)="B",AZ1160,MAX(AZ1160,H1160))))</f>
        <v>50</v>
      </c>
      <c r="AW1160" s="57" t="n">
        <f aca="false">IF(BT1160=1,0,ROUNDUP(AV1160/BS1160,0))</f>
        <v>1</v>
      </c>
      <c r="AX1160" s="59" t="n">
        <f aca="false">IF(CH1160&gt;0,CH1160*MAX(1,AV1160/X1160),IF(BT1160=1,IF(AV1160&lt;=0,0,BW1160*MAX(1,IF(H1160&gt;0,AV1160/H1160,1))),IF(R1160&gt;0,AW1160/R1160,0))/MAX(0.1,N(Parameter!$M$21)))</f>
        <v>0.333333333333333</v>
      </c>
      <c r="AY1160" s="57" t="n">
        <f aca="false">AV1160*G1160</f>
        <v>247.5</v>
      </c>
      <c r="AZ1160" s="57" t="n">
        <f aca="false">ROUNDUP(MAX(J1160/IF(BZ1160&gt;0,BZ1160,MAX(0.1,N(Cockpit!$O$6))),CC1160)/BS1160,0)*BS1160</f>
        <v>50</v>
      </c>
      <c r="BA1160" s="58" t="n">
        <f aca="false">IF(AX1160&gt;0,J1160/AX1160,-1)</f>
        <v>429</v>
      </c>
      <c r="BB1160" s="58" t="n">
        <f aca="false">IF(AND(OR(BY1160="L1",BY1160="L23"),AX1160&gt;0),SUMIFS($AX$7:$AX$1843,$BY$7:$BY$1843,BY1160,$BA$7:$BA$1843,"&gt;"&amp;BA1160)+SUMIFS($AX$7:$AX$1843,$BY$7:$BY$1843,BY1160,$BA$7:$BA$1843,BA1160,$BQ$7:$BQ$1843,"&lt;="&amp;BQ1160),"")</f>
        <v>34.085073139421</v>
      </c>
      <c r="BC1160" s="65" t="n">
        <f aca="false">IF(BB1160="",0,MAX(0,MIN(1,(IF(BY1160="L1",Parameter!$E$5,Parameter!$E$6+Parameter!$E$7)-(BB1160-AX1160))/AX1160)))</f>
        <v>1</v>
      </c>
      <c r="BD1160" s="55" t="str">
        <f aca="false">IF(AH1160&lt;=0,"",IF(BY1160="Aussen","Aussenlager",IF(BY1160="-","Nicht im Lift",IF(AM1160&gt;=1,"Lift",IF(AM1160&lt;=0,"Aussenlager","teilweise")))))</f>
        <v>Lift</v>
      </c>
      <c r="BE1160" s="55" t="str">
        <f aca="false">IF(AP1160&lt;=0,"",IF(BY1160="Aussen","Aussenlager",IF(BY1160="-","Nicht im Lift",IF(AU1160&gt;=1,"Lift",IF(AU1160&lt;=0,"Aussenlager","teilweise")))))</f>
        <v>Lift</v>
      </c>
      <c r="BF1160" s="55" t="str">
        <f aca="false">IF(AX1160&lt;=0,"",IF(BY1160="Aussen","Aussenlager",IF(BY1160="-","Nicht im Lift",IF(BC1160&gt;=1,"Lift",IF(BC1160&lt;=0,"Aussenlager","teilweise")))))</f>
        <v>Lift</v>
      </c>
      <c r="BG1160" s="55" t="str">
        <f aca="false">IF(A1160="","",IF(BP1160=1,"Neu; ","")&amp;IF(AND(BP1160=0,BK1160&lt;0),"negativer Bestand (Export "&amp;BK1160&amp;"); ","")&amp;IF(J1160&lt;=0,"Kein Verbrauch; ","")&amp;IF(CH1160&gt;0,"Lift "&amp;W1160&amp;" lt. Liftbericht (Fach "&amp;X1160&amp;" Stk); ",IF(BU1160=1,"Gebinde geschätzt ("&amp;T1160&amp;"); ",IF(BT1160=1,"Lose – Tablare geschätzt; ","")))&amp;IF(H1160&gt;AR1160,"Überbestand "&amp;ROUND(H1160-AR1160,0)&amp;" Stk / CHF "&amp;ROUND((H1160-AR1160)*G1160,0)&amp;"; ","")&amp;IF(AND(CA1160=1,CB1160&lt;CC1160),"MAX &lt; MB+LG; ","")&amp;IF(AND(CG1160&gt;0,CF1160*10&gt;CG1160),"zu hoch für Tablar; ","")&amp;IF(AND(BP1160=0,OR(CA1160=1,AA1160&lt;&gt;"",U1160&lt;&gt;"",V1160&lt;&gt;"",AB1160&lt;&gt;"")),"manuell übersteuert; ","")&amp;IF(AND(BT1160=0,R1160=0),"Gebinde unbekannt / Stellmass fehlt; ","")&amp;IF(AND(BT1160=0,N(V1160)&lt;=0,N(Q1160)&lt;=0),"Menge pro Gebinde fehlt (Ist = 1 Gebinde); ","")&amp;BO1160)</f>
        <v>negativer Bestand (Export -50); Gebinde geschätzt (Gross); Menge pro Gebinde fehlt (Ist = 1 Gebinde); </v>
      </c>
      <c r="BH1160" s="55"/>
      <c r="BI1160" s="55"/>
      <c r="BJ1160" s="62"/>
      <c r="BK1160" s="57" t="n">
        <v>-50</v>
      </c>
      <c r="BL1160" s="57" t="n">
        <v>100</v>
      </c>
      <c r="BM1160" s="56" t="n">
        <v>-322.5</v>
      </c>
      <c r="BN1160" s="57" t="n">
        <v>143</v>
      </c>
      <c r="BO1160" s="55"/>
      <c r="BP1160" s="60" t="n">
        <v>0</v>
      </c>
      <c r="BQ1160" s="60" t="n">
        <v>1160</v>
      </c>
      <c r="BR1160" s="55" t="str">
        <f aca="false">IF(U1160&lt;&gt;"",UPPER(TRIM(U1160)),IF(BU1160=1,UPPER(VLOOKUP(T1160,Parameter!$I$27:$K$29,2,0)),IF(P1160="","LOSE",P1160)))</f>
        <v>S81</v>
      </c>
      <c r="BS1160" s="57" t="n">
        <f aca="false">IF(BR1160="LOSE",1,IF(N(V1160)&gt;0,V1160,IF(BU1160=1,MAX(1,N(VLOOKUP(T1160,Parameter!$I$27:$K$29,3,0)),H1160,N(N1160)),IF(N(Q1160)&gt;0,Q1160,MAX(1,H1160)))))</f>
        <v>50</v>
      </c>
      <c r="BT1160" s="60" t="n">
        <f aca="false">IF(BR1160="LOSE",1,0)</f>
        <v>0</v>
      </c>
      <c r="BU1160" s="60" t="n">
        <f aca="false">IF(AND(U1160="",OR(P1160="",P1160="LOSE"),T1160&lt;&gt;"",N(S1160)&lt;=0,ISNUMBER(MATCH(T1160,Parameter!$I$27:$I$29,0))),1,0)</f>
        <v>1</v>
      </c>
      <c r="BV1160" s="55" t="str">
        <f aca="false">IF(AND(Parameter!$B$19="Ja",E1160&lt;&gt;"",ISNUMBER(MATCH(E1160,Parameter!$I$35:$I$52,0))),VLOOKUP(E1160,Parameter!$I$35:$J$52,2,0),IFERROR(VLOOKUP(D1160,Parameter!$A$35:$C$64,2,0),"Nein"))</f>
        <v>2+3</v>
      </c>
      <c r="BW1160" s="59" t="n">
        <f aca="false">IF(BT1160=0,0,IF(N(S1160)&gt;0,S1160,IFERROR(VLOOKUP(D1160,Parameter!$A$35:$C$64,3,0)+0,0)))</f>
        <v>0</v>
      </c>
      <c r="BX1160" s="55" t="n">
        <f aca="false">IF(AA1160&lt;&gt;"",AA1160,Z1160)</f>
        <v>2</v>
      </c>
      <c r="BY1160" s="55" t="str">
        <f aca="false">IF(BX1160=1,"L1",IF(OR(BX1160=2,BX1160=3),"L23",IF(BX1160="Aussen","Aussen","-")))</f>
        <v>L23</v>
      </c>
      <c r="BZ1160" s="66" t="n">
        <f aca="false">IF(N(AB1160)&gt;0,AB1160,0)</f>
        <v>0</v>
      </c>
      <c r="CA1160" s="60" t="n">
        <f aca="false">IF(ISNUMBER(AE1160),1,0)</f>
        <v>0</v>
      </c>
      <c r="CB1160" s="57" t="n">
        <f aca="false">N(AE1160)</f>
        <v>0</v>
      </c>
      <c r="CC1160" s="57" t="n">
        <f aca="false">N(M1160)+N(N1160)</f>
        <v>35</v>
      </c>
      <c r="CD1160" s="57" t="n">
        <f aca="false">ROUNDUP(H1160/BS1160,0)</f>
        <v>1</v>
      </c>
      <c r="CE1160" s="57" t="n">
        <f aca="false">ROUNDUP(CB1160/BS1160,0)</f>
        <v>0</v>
      </c>
      <c r="CF1160" s="60" t="n">
        <f aca="false">IF(BT1160=1,0,IFERROR(VLOOKUP(BR1160,'Gebinde-Kategorie'!$A$5:$M$45,5,0)+0,0))</f>
        <v>20</v>
      </c>
      <c r="CG1160" s="60" t="n">
        <f aca="false">IFERROR(IF(OR(BX1160=1,BX1160=2,BX1160=3),N(INDEX(Parameter!$I$5:$I$7,BX1160)),0),0)</f>
        <v>0</v>
      </c>
      <c r="CH1160" s="59" t="n">
        <f aca="false">IF(AND(Parameter!$B$21="Ja",ISNUMBER(W1160),N(X1160)&gt;0),IFERROR(N(INDEX(Parameter!$L$5:$L$7,W1160))*INDEX(Parameter!$E$5:$E$7,W1160)*X1160/SUMIFS($X$7:$X$1843,$W$7:$W$1843,W1160),0),0)</f>
        <v>0</v>
      </c>
    </row>
    <row r="1161" customFormat="false" ht="15" hidden="false" customHeight="false" outlineLevel="0" collapsed="false">
      <c r="A1161" s="55" t="s">
        <v>2094</v>
      </c>
      <c r="B1161" s="55" t="s">
        <v>405</v>
      </c>
      <c r="C1161" s="55" t="s">
        <v>456</v>
      </c>
      <c r="D1161" s="55" t="s">
        <v>184</v>
      </c>
      <c r="E1161" s="55" t="s">
        <v>185</v>
      </c>
      <c r="F1161" s="55" t="s">
        <v>218</v>
      </c>
      <c r="G1161" s="56" t="n">
        <v>7.18</v>
      </c>
      <c r="H1161" s="57" t="n">
        <f aca="false">MAX(0,IF(AND(Parameter!$B$21="Ja",ISNUMBER(Y1161)),Y1161,IF(Parameter!$B$20="Jahresanfang 2025 + Export",BL1161+BK1161,BK1161)))</f>
        <v>375</v>
      </c>
      <c r="I1161" s="57" t="n">
        <f aca="false">H1161*G1161</f>
        <v>2692.5</v>
      </c>
      <c r="J1161" s="57" t="n">
        <f aca="false">BN1161*Parameter!$B$18</f>
        <v>42</v>
      </c>
      <c r="K1161" s="58" t="n">
        <v>393.5</v>
      </c>
      <c r="L1161" s="59" t="n">
        <v>0.106734434561626</v>
      </c>
      <c r="M1161" s="57" t="n">
        <v>1</v>
      </c>
      <c r="N1161" s="57" t="n">
        <v>40</v>
      </c>
      <c r="O1161" s="60" t="n">
        <v>14</v>
      </c>
      <c r="P1161" s="55" t="s">
        <v>226</v>
      </c>
      <c r="Q1161" s="57" t="n">
        <v>320</v>
      </c>
      <c r="R1161" s="60" t="n">
        <f aca="false">IF(BT1161=1,0,IFERROR(VLOOKUP(BR1161,'Gebinde-Kategorie'!$A$5:$M$45,13,0)+0,0))</f>
        <v>12</v>
      </c>
      <c r="S1161" s="61"/>
      <c r="T1161" s="62"/>
      <c r="U1161" s="62"/>
      <c r="V1161" s="62"/>
      <c r="W1161" s="55"/>
      <c r="X1161" s="57"/>
      <c r="Y1161" s="57"/>
      <c r="Z1161" s="55" t="n">
        <f aca="false">IF(A1161="","",IF(AND(Parameter!$B$21="Ja",ISNUMBER(W1161)),W1161,IF(BV1161="2+3",IF(ISNUMBER(SEARCH("grosser Artikel",BO1161)),2,IFERROR(VLOOKUP(BR1161,Parameter!$F$35:$G$64,2,0),2)),IF(OR(BV1161="Nein",BV1161=""),"-",BV1161))))</f>
        <v>2</v>
      </c>
      <c r="AA1161" s="62"/>
      <c r="AB1161" s="63"/>
      <c r="AC1161" s="57" t="n">
        <f aca="false">AR1161</f>
        <v>320</v>
      </c>
      <c r="AD1161" s="57" t="n">
        <f aca="false">MAX(AR1161,H1161)</f>
        <v>375</v>
      </c>
      <c r="AE1161" s="64"/>
      <c r="AF1161" s="57" t="n">
        <f aca="false">IF(LEFT(Cockpit!$C$5,1)="A",H1161,IF(CA1161=1,CB1161,IF(LEFT(Cockpit!$C$5,1)="B",AJ1161,MAX(AJ1161,H1161))))</f>
        <v>375</v>
      </c>
      <c r="AG1161" s="57" t="n">
        <f aca="false">IF(BT1161=1,0,ROUNDUP(AF1161/BS1161,0))</f>
        <v>2</v>
      </c>
      <c r="AH1161" s="59" t="n">
        <f aca="false">IF(CH1161&gt;0,CH1161*MAX(1,AF1161/X1161),IF(BT1161=1,IF(AF1161&lt;=0,0,BW1161*MAX(1,IF(H1161&gt;0,AF1161/H1161,1))),IF(R1161&gt;0,AG1161/R1161,0))/MAX(0.1,N(Parameter!$M$21)))</f>
        <v>0.166666666666667</v>
      </c>
      <c r="AI1161" s="57" t="n">
        <f aca="false">AF1161*G1161</f>
        <v>2692.5</v>
      </c>
      <c r="AJ1161" s="57" t="n">
        <f aca="false">ROUNDUP(MAX(J1161/IF(BZ1161&gt;0,BZ1161,MAX(0.1,N(Cockpit!$C$6))),CC1161)/BS1161,0)*BS1161</f>
        <v>320</v>
      </c>
      <c r="AK1161" s="58" t="n">
        <f aca="false">IF(AH1161&gt;0,J1161/AH1161,-1)</f>
        <v>252</v>
      </c>
      <c r="AL1161" s="58" t="n">
        <f aca="false">IF(AND(OR(BY1161="L1",BY1161="L23"),AH1161&gt;0),SUMIFS($AH$7:$AH$1843,$BY$7:$BY$1843,BY1161,$AK$7:$AK$1843,"&gt;"&amp;AK1161)+SUMIFS($AH$7:$AH$1843,$BY$7:$BY$1843,BY1161,$AK$7:$AK$1843,AK1161,$BQ$7:$BQ$1843,"&lt;="&amp;BQ1161),"")</f>
        <v>29.7850579372319</v>
      </c>
      <c r="AM1161" s="65" t="n">
        <f aca="false">IF(AL1161="",0,MAX(0,MIN(1,(IF(BY1161="L1",Parameter!$E$5,Parameter!$E$6+Parameter!$E$7)-(AL1161-AH1161))/AH1161)))</f>
        <v>1</v>
      </c>
      <c r="AN1161" s="57" t="n">
        <f aca="false">IF(LEFT(Cockpit!$I$5,1)="A",H1161,IF(CA1161=1,CB1161,IF(LEFT(Cockpit!$I$5,1)="B",AR1161,MAX(AR1161,H1161))))</f>
        <v>375</v>
      </c>
      <c r="AO1161" s="57" t="n">
        <f aca="false">IF(BT1161=1,0,ROUNDUP(AN1161/BS1161,0))</f>
        <v>2</v>
      </c>
      <c r="AP1161" s="59" t="n">
        <f aca="false">IF(CH1161&gt;0,CH1161*MAX(1,AN1161/X1161),IF(BT1161=1,IF(AN1161&lt;=0,0,BW1161*MAX(1,IF(H1161&gt;0,AN1161/H1161,1))),IF(R1161&gt;0,AO1161/R1161,0))/MAX(0.1,N(Parameter!$M$21)))</f>
        <v>0.166666666666667</v>
      </c>
      <c r="AQ1161" s="57" t="n">
        <f aca="false">AN1161*G1161</f>
        <v>2692.5</v>
      </c>
      <c r="AR1161" s="57" t="n">
        <f aca="false">ROUNDUP(MAX(J1161/IF(BZ1161&gt;0,BZ1161,MAX(0.1,N(Cockpit!$I$6))),CC1161)/BS1161,0)*BS1161</f>
        <v>320</v>
      </c>
      <c r="AS1161" s="58" t="n">
        <f aca="false">IF(AP1161&gt;0,J1161/AP1161,-1)</f>
        <v>252</v>
      </c>
      <c r="AT1161" s="58" t="n">
        <f aca="false">IF(AND(OR(BY1161="L1",BY1161="L23"),AP1161&gt;0),SUMIFS($AP$7:$AP$1843,$BY$7:$BY$1843,BY1161,$AS$7:$AS$1843,"&gt;"&amp;AS1161)+SUMIFS($AP$7:$AP$1843,$BY$7:$BY$1843,BY1161,$AS$7:$AS$1843,AS1161,$BQ$7:$BQ$1843,"&lt;="&amp;BQ1161),"")</f>
        <v>42.878762541806</v>
      </c>
      <c r="AU1161" s="65" t="n">
        <f aca="false">IF(AT1161="",0,MAX(0,MIN(1,(IF(BY1161="L1",Parameter!$E$5,Parameter!$E$6+Parameter!$E$7)-(AT1161-AP1161))/AP1161)))</f>
        <v>1</v>
      </c>
      <c r="AV1161" s="57" t="n">
        <f aca="false">IF(LEFT(Cockpit!$O$5,1)="A",H1161,IF(CA1161=1,CB1161,IF(LEFT(Cockpit!$O$5,1)="B",AZ1161,MAX(AZ1161,H1161))))</f>
        <v>375</v>
      </c>
      <c r="AW1161" s="57" t="n">
        <f aca="false">IF(BT1161=1,0,ROUNDUP(AV1161/BS1161,0))</f>
        <v>2</v>
      </c>
      <c r="AX1161" s="59" t="n">
        <f aca="false">IF(CH1161&gt;0,CH1161*MAX(1,AV1161/X1161),IF(BT1161=1,IF(AV1161&lt;=0,0,BW1161*MAX(1,IF(H1161&gt;0,AV1161/H1161,1))),IF(R1161&gt;0,AW1161/R1161,0))/MAX(0.1,N(Parameter!$M$21)))</f>
        <v>0.166666666666667</v>
      </c>
      <c r="AY1161" s="57" t="n">
        <f aca="false">AV1161*G1161</f>
        <v>2692.5</v>
      </c>
      <c r="AZ1161" s="57" t="n">
        <f aca="false">ROUNDUP(MAX(J1161/IF(BZ1161&gt;0,BZ1161,MAX(0.1,N(Cockpit!$O$6))),CC1161)/BS1161,0)*BS1161</f>
        <v>320</v>
      </c>
      <c r="BA1161" s="58" t="n">
        <f aca="false">IF(AX1161&gt;0,J1161/AX1161,-1)</f>
        <v>252</v>
      </c>
      <c r="BB1161" s="58" t="n">
        <f aca="false">IF(AND(OR(BY1161="L1",BY1161="L23"),AX1161&gt;0),SUMIFS($AX$7:$AX$1843,$BY$7:$BY$1843,BY1161,$BA$7:$BA$1843,"&gt;"&amp;BA1161)+SUMIFS($AX$7:$AX$1843,$BY$7:$BY$1843,BY1161,$BA$7:$BA$1843,BA1161,$BQ$7:$BQ$1843,"&lt;="&amp;BQ1161),"")</f>
        <v>39.2085993716429</v>
      </c>
      <c r="BC1161" s="65" t="n">
        <f aca="false">IF(BB1161="",0,MAX(0,MIN(1,(IF(BY1161="L1",Parameter!$E$5,Parameter!$E$6+Parameter!$E$7)-(BB1161-AX1161))/AX1161)))</f>
        <v>1</v>
      </c>
      <c r="BD1161" s="55" t="str">
        <f aca="false">IF(AH1161&lt;=0,"",IF(BY1161="Aussen","Aussenlager",IF(BY1161="-","Nicht im Lift",IF(AM1161&gt;=1,"Lift",IF(AM1161&lt;=0,"Aussenlager","teilweise")))))</f>
        <v>Lift</v>
      </c>
      <c r="BE1161" s="55" t="str">
        <f aca="false">IF(AP1161&lt;=0,"",IF(BY1161="Aussen","Aussenlager",IF(BY1161="-","Nicht im Lift",IF(AU1161&gt;=1,"Lift",IF(AU1161&lt;=0,"Aussenlager","teilweise")))))</f>
        <v>Lift</v>
      </c>
      <c r="BF1161" s="55" t="str">
        <f aca="false">IF(AX1161&lt;=0,"",IF(BY1161="Aussen","Aussenlager",IF(BY1161="-","Nicht im Lift",IF(BC1161&gt;=1,"Lift",IF(BC1161&lt;=0,"Aussenlager","teilweise")))))</f>
        <v>Lift</v>
      </c>
      <c r="BG1161" s="55" t="str">
        <f aca="false">IF(A1161="","",IF(BP1161=1,"Neu; ","")&amp;IF(AND(BP1161=0,BK1161&lt;0),"negativer Bestand (Export "&amp;BK1161&amp;"); ","")&amp;IF(J1161&lt;=0,"Kein Verbrauch; ","")&amp;IF(CH1161&gt;0,"Lift "&amp;W1161&amp;" lt. Liftbericht (Fach "&amp;X1161&amp;" Stk); ",IF(BU1161=1,"Gebinde geschätzt ("&amp;T1161&amp;"); ",IF(BT1161=1,"Lose – Tablare geschätzt; ","")))&amp;IF(H1161&gt;AR1161,"Überbestand "&amp;ROUND(H1161-AR1161,0)&amp;" Stk / CHF "&amp;ROUND((H1161-AR1161)*G1161,0)&amp;"; ","")&amp;IF(AND(CA1161=1,CB1161&lt;CC1161),"MAX &lt; MB+LG; ","")&amp;IF(AND(CG1161&gt;0,CF1161*10&gt;CG1161),"zu hoch für Tablar; ","")&amp;IF(AND(BP1161=0,OR(CA1161=1,AA1161&lt;&gt;"",U1161&lt;&gt;"",V1161&lt;&gt;"",AB1161&lt;&gt;"")),"manuell übersteuert; ","")&amp;IF(AND(BT1161=0,R1161=0),"Gebinde unbekannt / Stellmass fehlt; ","")&amp;IF(AND(BT1161=0,N(V1161)&lt;=0,N(Q1161)&lt;=0),"Menge pro Gebinde fehlt (Ist = 1 Gebinde); ","")&amp;BO1161)</f>
        <v>negativer Bestand (Export -45); Überbestand 55 Stk / CHF 395; </v>
      </c>
      <c r="BH1161" s="55"/>
      <c r="BI1161" s="55"/>
      <c r="BJ1161" s="62"/>
      <c r="BK1161" s="57" t="n">
        <v>-45</v>
      </c>
      <c r="BL1161" s="57" t="n">
        <v>420</v>
      </c>
      <c r="BM1161" s="56" t="n">
        <v>-323.1</v>
      </c>
      <c r="BN1161" s="57" t="n">
        <v>42</v>
      </c>
      <c r="BO1161" s="55"/>
      <c r="BP1161" s="60" t="n">
        <v>0</v>
      </c>
      <c r="BQ1161" s="60" t="n">
        <v>1161</v>
      </c>
      <c r="BR1161" s="55" t="str">
        <f aca="false">IF(U1161&lt;&gt;"",UPPER(TRIM(U1161)),IF(BU1161=1,UPPER(VLOOKUP(T1161,Parameter!$I$27:$K$29,2,0)),IF(P1161="","LOSE",P1161)))</f>
        <v>S63</v>
      </c>
      <c r="BS1161" s="57" t="n">
        <f aca="false">IF(BR1161="LOSE",1,IF(N(V1161)&gt;0,V1161,IF(BU1161=1,MAX(1,N(VLOOKUP(T1161,Parameter!$I$27:$K$29,3,0)),H1161,N(N1161)),IF(N(Q1161)&gt;0,Q1161,MAX(1,H1161)))))</f>
        <v>320</v>
      </c>
      <c r="BT1161" s="60" t="n">
        <f aca="false">IF(BR1161="LOSE",1,0)</f>
        <v>0</v>
      </c>
      <c r="BU1161" s="60" t="n">
        <f aca="false">IF(AND(U1161="",OR(P1161="",P1161="LOSE"),T1161&lt;&gt;"",N(S1161)&lt;=0,ISNUMBER(MATCH(T1161,Parameter!$I$27:$I$29,0))),1,0)</f>
        <v>0</v>
      </c>
      <c r="BV1161" s="55" t="str">
        <f aca="false">IF(AND(Parameter!$B$19="Ja",E1161&lt;&gt;"",ISNUMBER(MATCH(E1161,Parameter!$I$35:$I$52,0))),VLOOKUP(E1161,Parameter!$I$35:$J$52,2,0),IFERROR(VLOOKUP(D1161,Parameter!$A$35:$C$64,2,0),"Nein"))</f>
        <v>2+3</v>
      </c>
      <c r="BW1161" s="59" t="n">
        <f aca="false">IF(BT1161=0,0,IF(N(S1161)&gt;0,S1161,IFERROR(VLOOKUP(D1161,Parameter!$A$35:$C$64,3,0)+0,0)))</f>
        <v>0</v>
      </c>
      <c r="BX1161" s="55" t="n">
        <f aca="false">IF(AA1161&lt;&gt;"",AA1161,Z1161)</f>
        <v>2</v>
      </c>
      <c r="BY1161" s="55" t="str">
        <f aca="false">IF(BX1161=1,"L1",IF(OR(BX1161=2,BX1161=3),"L23",IF(BX1161="Aussen","Aussen","-")))</f>
        <v>L23</v>
      </c>
      <c r="BZ1161" s="66" t="n">
        <f aca="false">IF(N(AB1161)&gt;0,AB1161,0)</f>
        <v>0</v>
      </c>
      <c r="CA1161" s="60" t="n">
        <f aca="false">IF(ISNUMBER(AE1161),1,0)</f>
        <v>0</v>
      </c>
      <c r="CB1161" s="57" t="n">
        <f aca="false">N(AE1161)</f>
        <v>0</v>
      </c>
      <c r="CC1161" s="57" t="n">
        <f aca="false">N(M1161)+N(N1161)</f>
        <v>41</v>
      </c>
      <c r="CD1161" s="57" t="n">
        <f aca="false">ROUNDUP(H1161/BS1161,0)</f>
        <v>2</v>
      </c>
      <c r="CE1161" s="57" t="n">
        <f aca="false">ROUNDUP(CB1161/BS1161,0)</f>
        <v>0</v>
      </c>
      <c r="CF1161" s="60" t="n">
        <f aca="false">IF(BT1161=1,0,IFERROR(VLOOKUP(BR1161,'Gebinde-Kategorie'!$A$5:$M$45,5,0)+0,0))</f>
        <v>31</v>
      </c>
      <c r="CG1161" s="60" t="n">
        <f aca="false">IFERROR(IF(OR(BX1161=1,BX1161=2,BX1161=3),N(INDEX(Parameter!$I$5:$I$7,BX1161)),0),0)</f>
        <v>0</v>
      </c>
      <c r="CH1161" s="59" t="n">
        <f aca="false">IF(AND(Parameter!$B$21="Ja",ISNUMBER(W1161),N(X1161)&gt;0),IFERROR(N(INDEX(Parameter!$L$5:$L$7,W1161))*INDEX(Parameter!$E$5:$E$7,W1161)*X1161/SUMIFS($X$7:$X$1843,$W$7:$W$1843,W1161),0),0)</f>
        <v>0</v>
      </c>
    </row>
    <row r="1162" customFormat="false" ht="15" hidden="false" customHeight="false" outlineLevel="0" collapsed="false">
      <c r="A1162" s="55" t="s">
        <v>2095</v>
      </c>
      <c r="B1162" s="55" t="s">
        <v>2096</v>
      </c>
      <c r="C1162" s="55" t="s">
        <v>456</v>
      </c>
      <c r="D1162" s="55" t="s">
        <v>173</v>
      </c>
      <c r="E1162" s="55" t="s">
        <v>1479</v>
      </c>
      <c r="F1162" s="55" t="s">
        <v>218</v>
      </c>
      <c r="G1162" s="56" t="n">
        <v>82.58</v>
      </c>
      <c r="H1162" s="57" t="n">
        <f aca="false">MAX(0,IF(AND(Parameter!$B$21="Ja",ISNUMBER(Y1162)),Y1162,IF(Parameter!$B$20="Jahresanfang 2025 + Export",BL1162+BK1162,BK1162)))</f>
        <v>0</v>
      </c>
      <c r="I1162" s="57" t="n">
        <f aca="false">H1162*G1162</f>
        <v>0</v>
      </c>
      <c r="J1162" s="57" t="n">
        <f aca="false">BN1162*Parameter!$B$18</f>
        <v>0</v>
      </c>
      <c r="K1162" s="58" t="n">
        <v>2</v>
      </c>
      <c r="L1162" s="59" t="n">
        <v>0</v>
      </c>
      <c r="M1162" s="57" t="n">
        <v>0</v>
      </c>
      <c r="N1162" s="57" t="n">
        <v>1</v>
      </c>
      <c r="O1162" s="60" t="n">
        <v>56</v>
      </c>
      <c r="P1162" s="55" t="s">
        <v>168</v>
      </c>
      <c r="Q1162" s="57"/>
      <c r="R1162" s="60" t="n">
        <f aca="false">IF(BT1162=1,0,IFERROR(VLOOKUP(BR1162,'Gebinde-Kategorie'!$A$5:$M$45,13,0)+0,0))</f>
        <v>3</v>
      </c>
      <c r="S1162" s="61"/>
      <c r="T1162" s="62" t="s">
        <v>189</v>
      </c>
      <c r="U1162" s="62"/>
      <c r="V1162" s="62"/>
      <c r="W1162" s="55"/>
      <c r="X1162" s="57"/>
      <c r="Y1162" s="57"/>
      <c r="Z1162" s="55" t="str">
        <f aca="false">IF(A1162="","",IF(AND(Parameter!$B$21="Ja",ISNUMBER(W1162)),W1162,IF(BV1162="2+3",IF(ISNUMBER(SEARCH("grosser Artikel",BO1162)),2,IFERROR(VLOOKUP(BR1162,Parameter!$F$35:$G$64,2,0),2)),IF(OR(BV1162="Nein",BV1162=""),"-",BV1162))))</f>
        <v>-</v>
      </c>
      <c r="AA1162" s="62"/>
      <c r="AB1162" s="63"/>
      <c r="AC1162" s="57" t="n">
        <f aca="false">AR1162</f>
        <v>2</v>
      </c>
      <c r="AD1162" s="57" t="n">
        <f aca="false">MAX(AR1162,H1162)</f>
        <v>2</v>
      </c>
      <c r="AE1162" s="64"/>
      <c r="AF1162" s="57" t="n">
        <f aca="false">IF(LEFT(Cockpit!$C$5,1)="A",H1162,IF(CA1162=1,CB1162,IF(LEFT(Cockpit!$C$5,1)="B",AJ1162,MAX(AJ1162,H1162))))</f>
        <v>0</v>
      </c>
      <c r="AG1162" s="57" t="n">
        <f aca="false">IF(BT1162=1,0,ROUNDUP(AF1162/BS1162,0))</f>
        <v>0</v>
      </c>
      <c r="AH1162" s="59" t="n">
        <f aca="false">IF(CH1162&gt;0,CH1162*MAX(1,AF1162/X1162),IF(BT1162=1,IF(AF1162&lt;=0,0,BW1162*MAX(1,IF(H1162&gt;0,AF1162/H1162,1))),IF(R1162&gt;0,AG1162/R1162,0))/MAX(0.1,N(Parameter!$M$21)))</f>
        <v>0</v>
      </c>
      <c r="AI1162" s="57" t="n">
        <f aca="false">AF1162*G1162</f>
        <v>0</v>
      </c>
      <c r="AJ1162" s="57" t="n">
        <f aca="false">ROUNDUP(MAX(J1162/IF(BZ1162&gt;0,BZ1162,MAX(0.1,N(Cockpit!$C$6))),CC1162)/BS1162,0)*BS1162</f>
        <v>2</v>
      </c>
      <c r="AK1162" s="58" t="n">
        <f aca="false">IF(AH1162&gt;0,J1162/AH1162,-1)</f>
        <v>-1</v>
      </c>
      <c r="AL1162" s="58" t="str">
        <f aca="false">IF(AND(OR(BY1162="L1",BY1162="L23"),AH1162&gt;0),SUMIFS($AH$7:$AH$1843,$BY$7:$BY$1843,BY1162,$AK$7:$AK$1843,"&gt;"&amp;AK1162)+SUMIFS($AH$7:$AH$1843,$BY$7:$BY$1843,BY1162,$AK$7:$AK$1843,AK1162,$BQ$7:$BQ$1843,"&lt;="&amp;BQ1162),"")</f>
        <v/>
      </c>
      <c r="AM1162" s="65" t="n">
        <f aca="false">IF(AL1162="",0,MAX(0,MIN(1,(IF(BY1162="L1",Parameter!$E$5,Parameter!$E$6+Parameter!$E$7)-(AL1162-AH1162))/AH1162)))</f>
        <v>0</v>
      </c>
      <c r="AN1162" s="57" t="n">
        <f aca="false">IF(LEFT(Cockpit!$I$5,1)="A",H1162,IF(CA1162=1,CB1162,IF(LEFT(Cockpit!$I$5,1)="B",AR1162,MAX(AR1162,H1162))))</f>
        <v>2</v>
      </c>
      <c r="AO1162" s="57" t="n">
        <f aca="false">IF(BT1162=1,0,ROUNDUP(AN1162/BS1162,0))</f>
        <v>1</v>
      </c>
      <c r="AP1162" s="59" t="n">
        <f aca="false">IF(CH1162&gt;0,CH1162*MAX(1,AN1162/X1162),IF(BT1162=1,IF(AN1162&lt;=0,0,BW1162*MAX(1,IF(H1162&gt;0,AN1162/H1162,1))),IF(R1162&gt;0,AO1162/R1162,0))/MAX(0.1,N(Parameter!$M$21)))</f>
        <v>0.333333333333333</v>
      </c>
      <c r="AQ1162" s="57" t="n">
        <f aca="false">AN1162*G1162</f>
        <v>165.16</v>
      </c>
      <c r="AR1162" s="57" t="n">
        <f aca="false">ROUNDUP(MAX(J1162/IF(BZ1162&gt;0,BZ1162,MAX(0.1,N(Cockpit!$I$6))),CC1162)/BS1162,0)*BS1162</f>
        <v>2</v>
      </c>
      <c r="AS1162" s="58" t="n">
        <f aca="false">IF(AP1162&gt;0,J1162/AP1162,-1)</f>
        <v>0</v>
      </c>
      <c r="AT1162" s="58" t="str">
        <f aca="false">IF(AND(OR(BY1162="L1",BY1162="L23"),AP1162&gt;0),SUMIFS($AP$7:$AP$1843,$BY$7:$BY$1843,BY1162,$AS$7:$AS$1843,"&gt;"&amp;AS1162)+SUMIFS($AP$7:$AP$1843,$BY$7:$BY$1843,BY1162,$AS$7:$AS$1843,AS1162,$BQ$7:$BQ$1843,"&lt;="&amp;BQ1162),"")</f>
        <v/>
      </c>
      <c r="AU1162" s="65" t="n">
        <f aca="false">IF(AT1162="",0,MAX(0,MIN(1,(IF(BY1162="L1",Parameter!$E$5,Parameter!$E$6+Parameter!$E$7)-(AT1162-AP1162))/AP1162)))</f>
        <v>0</v>
      </c>
      <c r="AV1162" s="57" t="n">
        <f aca="false">IF(LEFT(Cockpit!$O$5,1)="A",H1162,IF(CA1162=1,CB1162,IF(LEFT(Cockpit!$O$5,1)="B",AZ1162,MAX(AZ1162,H1162))))</f>
        <v>2</v>
      </c>
      <c r="AW1162" s="57" t="n">
        <f aca="false">IF(BT1162=1,0,ROUNDUP(AV1162/BS1162,0))</f>
        <v>1</v>
      </c>
      <c r="AX1162" s="59" t="n">
        <f aca="false">IF(CH1162&gt;0,CH1162*MAX(1,AV1162/X1162),IF(BT1162=1,IF(AV1162&lt;=0,0,BW1162*MAX(1,IF(H1162&gt;0,AV1162/H1162,1))),IF(R1162&gt;0,AW1162/R1162,0))/MAX(0.1,N(Parameter!$M$21)))</f>
        <v>0.333333333333333</v>
      </c>
      <c r="AY1162" s="57" t="n">
        <f aca="false">AV1162*G1162</f>
        <v>165.16</v>
      </c>
      <c r="AZ1162" s="57" t="n">
        <f aca="false">ROUNDUP(MAX(J1162/IF(BZ1162&gt;0,BZ1162,MAX(0.1,N(Cockpit!$O$6))),CC1162)/BS1162,0)*BS1162</f>
        <v>2</v>
      </c>
      <c r="BA1162" s="58" t="n">
        <f aca="false">IF(AX1162&gt;0,J1162/AX1162,-1)</f>
        <v>0</v>
      </c>
      <c r="BB1162" s="58" t="str">
        <f aca="false">IF(AND(OR(BY1162="L1",BY1162="L23"),AX1162&gt;0),SUMIFS($AX$7:$AX$1843,$BY$7:$BY$1843,BY1162,$BA$7:$BA$1843,"&gt;"&amp;BA1162)+SUMIFS($AX$7:$AX$1843,$BY$7:$BY$1843,BY1162,$BA$7:$BA$1843,BA1162,$BQ$7:$BQ$1843,"&lt;="&amp;BQ1162),"")</f>
        <v/>
      </c>
      <c r="BC1162" s="65" t="n">
        <f aca="false">IF(BB1162="",0,MAX(0,MIN(1,(IF(BY1162="L1",Parameter!$E$5,Parameter!$E$6+Parameter!$E$7)-(BB1162-AX1162))/AX1162)))</f>
        <v>0</v>
      </c>
      <c r="BD1162" s="55" t="str">
        <f aca="false">IF(AH1162&lt;=0,"",IF(BY1162="Aussen","Aussenlager",IF(BY1162="-","Nicht im Lift",IF(AM1162&gt;=1,"Lift",IF(AM1162&lt;=0,"Aussenlager","teilweise")))))</f>
        <v/>
      </c>
      <c r="BE1162" s="55" t="str">
        <f aca="false">IF(AP1162&lt;=0,"",IF(BY1162="Aussen","Aussenlager",IF(BY1162="-","Nicht im Lift",IF(AU1162&gt;=1,"Lift",IF(AU1162&lt;=0,"Aussenlager","teilweise")))))</f>
        <v>Nicht im Lift</v>
      </c>
      <c r="BF1162" s="55" t="str">
        <f aca="false">IF(AX1162&lt;=0,"",IF(BY1162="Aussen","Aussenlager",IF(BY1162="-","Nicht im Lift",IF(BC1162&gt;=1,"Lift",IF(BC1162&lt;=0,"Aussenlager","teilweise")))))</f>
        <v>Nicht im Lift</v>
      </c>
      <c r="BG1162" s="55" t="str">
        <f aca="false">IF(A1162="","",IF(BP1162=1,"Neu; ","")&amp;IF(AND(BP1162=0,BK1162&lt;0),"negativer Bestand (Export "&amp;BK1162&amp;"); ","")&amp;IF(J1162&lt;=0,"Kein Verbrauch; ","")&amp;IF(CH1162&gt;0,"Lift "&amp;W1162&amp;" lt. Liftbericht (Fach "&amp;X1162&amp;" Stk); ",IF(BU1162=1,"Gebinde geschätzt ("&amp;T1162&amp;"); ",IF(BT1162=1,"Lose – Tablare geschätzt; ","")))&amp;IF(H1162&gt;AR1162,"Überbestand "&amp;ROUND(H1162-AR1162,0)&amp;" Stk / CHF "&amp;ROUND((H1162-AR1162)*G1162,0)&amp;"; ","")&amp;IF(AND(CA1162=1,CB1162&lt;CC1162),"MAX &lt; MB+LG; ","")&amp;IF(AND(CG1162&gt;0,CF1162*10&gt;CG1162),"zu hoch für Tablar; ","")&amp;IF(AND(BP1162=0,OR(CA1162=1,AA1162&lt;&gt;"",U1162&lt;&gt;"",V1162&lt;&gt;"",AB1162&lt;&gt;"")),"manuell übersteuert; ","")&amp;IF(AND(BT1162=0,R1162=0),"Gebinde unbekannt / Stellmass fehlt; ","")&amp;IF(AND(BT1162=0,N(V1162)&lt;=0,N(Q1162)&lt;=0),"Menge pro Gebinde fehlt (Ist = 1 Gebinde); ","")&amp;BO1162)</f>
        <v>negativer Bestand (Export -4); Kein Verbrauch; Gebinde geschätzt (Gross); Menge pro Gebinde fehlt (Ist = 1 Gebinde); </v>
      </c>
      <c r="BH1162" s="55"/>
      <c r="BI1162" s="55"/>
      <c r="BJ1162" s="62"/>
      <c r="BK1162" s="57" t="n">
        <v>-4</v>
      </c>
      <c r="BL1162" s="57" t="n">
        <v>4</v>
      </c>
      <c r="BM1162" s="56" t="n">
        <v>-330.32</v>
      </c>
      <c r="BN1162" s="57" t="n">
        <v>0</v>
      </c>
      <c r="BO1162" s="55"/>
      <c r="BP1162" s="60" t="n">
        <v>0</v>
      </c>
      <c r="BQ1162" s="60" t="n">
        <v>1162</v>
      </c>
      <c r="BR1162" s="55" t="str">
        <f aca="false">IF(U1162&lt;&gt;"",UPPER(TRIM(U1162)),IF(BU1162=1,UPPER(VLOOKUP(T1162,Parameter!$I$27:$K$29,2,0)),IF(P1162="","LOSE",P1162)))</f>
        <v>S81</v>
      </c>
      <c r="BS1162" s="57" t="n">
        <f aca="false">IF(BR1162="LOSE",1,IF(N(V1162)&gt;0,V1162,IF(BU1162=1,MAX(1,N(VLOOKUP(T1162,Parameter!$I$27:$K$29,3,0)),H1162,N(N1162)),IF(N(Q1162)&gt;0,Q1162,MAX(1,H1162)))))</f>
        <v>2</v>
      </c>
      <c r="BT1162" s="60" t="n">
        <f aca="false">IF(BR1162="LOSE",1,0)</f>
        <v>0</v>
      </c>
      <c r="BU1162" s="60" t="n">
        <f aca="false">IF(AND(U1162="",OR(P1162="",P1162="LOSE"),T1162&lt;&gt;"",N(S1162)&lt;=0,ISNUMBER(MATCH(T1162,Parameter!$I$27:$I$29,0))),1,0)</f>
        <v>1</v>
      </c>
      <c r="BV1162" s="55" t="str">
        <f aca="false">IF(AND(Parameter!$B$19="Ja",E1162&lt;&gt;"",ISNUMBER(MATCH(E1162,Parameter!$I$35:$I$52,0))),VLOOKUP(E1162,Parameter!$I$35:$J$52,2,0),IFERROR(VLOOKUP(D1162,Parameter!$A$35:$C$64,2,0),"Nein"))</f>
        <v>Nein</v>
      </c>
      <c r="BW1162" s="59" t="n">
        <f aca="false">IF(BT1162=0,0,IF(N(S1162)&gt;0,S1162,IFERROR(VLOOKUP(D1162,Parameter!$A$35:$C$64,3,0)+0,0)))</f>
        <v>0</v>
      </c>
      <c r="BX1162" s="55" t="str">
        <f aca="false">IF(AA1162&lt;&gt;"",AA1162,Z1162)</f>
        <v>-</v>
      </c>
      <c r="BY1162" s="55" t="str">
        <f aca="false">IF(BX1162=1,"L1",IF(OR(BX1162=2,BX1162=3),"L23",IF(BX1162="Aussen","Aussen","-")))</f>
        <v>-</v>
      </c>
      <c r="BZ1162" s="66" t="n">
        <f aca="false">IF(N(AB1162)&gt;0,AB1162,0)</f>
        <v>0</v>
      </c>
      <c r="CA1162" s="60" t="n">
        <f aca="false">IF(ISNUMBER(AE1162),1,0)</f>
        <v>0</v>
      </c>
      <c r="CB1162" s="57" t="n">
        <f aca="false">N(AE1162)</f>
        <v>0</v>
      </c>
      <c r="CC1162" s="57" t="n">
        <f aca="false">N(M1162)+N(N1162)</f>
        <v>1</v>
      </c>
      <c r="CD1162" s="57" t="n">
        <f aca="false">ROUNDUP(H1162/BS1162,0)</f>
        <v>0</v>
      </c>
      <c r="CE1162" s="57" t="n">
        <f aca="false">ROUNDUP(CB1162/BS1162,0)</f>
        <v>0</v>
      </c>
      <c r="CF1162" s="60" t="n">
        <f aca="false">IF(BT1162=1,0,IFERROR(VLOOKUP(BR1162,'Gebinde-Kategorie'!$A$5:$M$45,5,0)+0,0))</f>
        <v>20</v>
      </c>
      <c r="CG1162" s="60" t="n">
        <f aca="false">IFERROR(IF(OR(BX1162=1,BX1162=2,BX1162=3),N(INDEX(Parameter!$I$5:$I$7,BX1162)),0),0)</f>
        <v>0</v>
      </c>
      <c r="CH1162" s="59" t="n">
        <f aca="false">IF(AND(Parameter!$B$21="Ja",ISNUMBER(W1162),N(X1162)&gt;0),IFERROR(N(INDEX(Parameter!$L$5:$L$7,W1162))*INDEX(Parameter!$E$5:$E$7,W1162)*X1162/SUMIFS($X$7:$X$1843,$W$7:$W$1843,W1162),0),0)</f>
        <v>0</v>
      </c>
    </row>
    <row r="1163" customFormat="false" ht="15" hidden="false" customHeight="false" outlineLevel="0" collapsed="false">
      <c r="A1163" s="55" t="s">
        <v>2097</v>
      </c>
      <c r="B1163" s="55" t="s">
        <v>2098</v>
      </c>
      <c r="C1163" s="55" t="s">
        <v>164</v>
      </c>
      <c r="D1163" s="55" t="s">
        <v>184</v>
      </c>
      <c r="E1163" s="55" t="s">
        <v>185</v>
      </c>
      <c r="F1163" s="55" t="s">
        <v>218</v>
      </c>
      <c r="G1163" s="56" t="n">
        <v>28.48</v>
      </c>
      <c r="H1163" s="57" t="n">
        <f aca="false">MAX(0,IF(AND(Parameter!$B$21="Ja",ISNUMBER(Y1163)),Y1163,IF(Parameter!$B$20="Jahresanfang 2025 + Export",BL1163+BK1163,BK1163)))</f>
        <v>53</v>
      </c>
      <c r="I1163" s="57" t="n">
        <f aca="false">H1163*G1163</f>
        <v>1509.44</v>
      </c>
      <c r="J1163" s="57" t="n">
        <f aca="false">BN1163*Parameter!$B$18</f>
        <v>292</v>
      </c>
      <c r="K1163" s="58" t="n">
        <v>108.5</v>
      </c>
      <c r="L1163" s="59" t="n">
        <v>2.69124423963134</v>
      </c>
      <c r="M1163" s="57" t="n">
        <v>17</v>
      </c>
      <c r="N1163" s="57" t="n">
        <v>100</v>
      </c>
      <c r="O1163" s="60" t="n">
        <v>21</v>
      </c>
      <c r="P1163" s="55" t="s">
        <v>328</v>
      </c>
      <c r="Q1163" s="57" t="n">
        <v>249</v>
      </c>
      <c r="R1163" s="60" t="n">
        <f aca="false">IF(BT1163=1,0,IFERROR(VLOOKUP(BR1163,'Gebinde-Kategorie'!$A$5:$M$45,13,0)+0,0))</f>
        <v>52</v>
      </c>
      <c r="S1163" s="61"/>
      <c r="T1163" s="62"/>
      <c r="U1163" s="62"/>
      <c r="V1163" s="62"/>
      <c r="W1163" s="55"/>
      <c r="X1163" s="57"/>
      <c r="Y1163" s="57"/>
      <c r="Z1163" s="55" t="n">
        <f aca="false">IF(A1163="","",IF(AND(Parameter!$B$21="Ja",ISNUMBER(W1163)),W1163,IF(BV1163="2+3",IF(ISNUMBER(SEARCH("grosser Artikel",BO1163)),2,IFERROR(VLOOKUP(BR1163,Parameter!$F$35:$G$64,2,0),2)),IF(OR(BV1163="Nein",BV1163=""),"-",BV1163))))</f>
        <v>3</v>
      </c>
      <c r="AA1163" s="62"/>
      <c r="AB1163" s="63"/>
      <c r="AC1163" s="57" t="n">
        <f aca="false">AR1163</f>
        <v>249</v>
      </c>
      <c r="AD1163" s="57" t="n">
        <f aca="false">MAX(AR1163,H1163)</f>
        <v>249</v>
      </c>
      <c r="AE1163" s="64"/>
      <c r="AF1163" s="57" t="n">
        <f aca="false">IF(LEFT(Cockpit!$C$5,1)="A",H1163,IF(CA1163=1,CB1163,IF(LEFT(Cockpit!$C$5,1)="B",AJ1163,MAX(AJ1163,H1163))))</f>
        <v>53</v>
      </c>
      <c r="AG1163" s="57" t="n">
        <f aca="false">IF(BT1163=1,0,ROUNDUP(AF1163/BS1163,0))</f>
        <v>1</v>
      </c>
      <c r="AH1163" s="59" t="n">
        <f aca="false">IF(CH1163&gt;0,CH1163*MAX(1,AF1163/X1163),IF(BT1163=1,IF(AF1163&lt;=0,0,BW1163*MAX(1,IF(H1163&gt;0,AF1163/H1163,1))),IF(R1163&gt;0,AG1163/R1163,0))/MAX(0.1,N(Parameter!$M$21)))</f>
        <v>0.0192307692307692</v>
      </c>
      <c r="AI1163" s="57" t="n">
        <f aca="false">AF1163*G1163</f>
        <v>1509.44</v>
      </c>
      <c r="AJ1163" s="57" t="n">
        <f aca="false">ROUNDUP(MAX(J1163/IF(BZ1163&gt;0,BZ1163,MAX(0.1,N(Cockpit!$C$6))),CC1163)/BS1163,0)*BS1163</f>
        <v>249</v>
      </c>
      <c r="AK1163" s="58" t="n">
        <f aca="false">IF(AH1163&gt;0,J1163/AH1163,-1)</f>
        <v>15184</v>
      </c>
      <c r="AL1163" s="58" t="n">
        <f aca="false">IF(AND(OR(BY1163="L1",BY1163="L23"),AH1163&gt;0),SUMIFS($AH$7:$AH$1843,$BY$7:$BY$1843,BY1163,$AK$7:$AK$1843,"&gt;"&amp;AK1163)+SUMIFS($AH$7:$AH$1843,$BY$7:$BY$1843,BY1163,$AK$7:$AK$1843,AK1163,$BQ$7:$BQ$1843,"&lt;="&amp;BQ1163),"")</f>
        <v>4.42966453836019</v>
      </c>
      <c r="AM1163" s="65" t="n">
        <f aca="false">IF(AL1163="",0,MAX(0,MIN(1,(IF(BY1163="L1",Parameter!$E$5,Parameter!$E$6+Parameter!$E$7)-(AL1163-AH1163))/AH1163)))</f>
        <v>1</v>
      </c>
      <c r="AN1163" s="57" t="n">
        <f aca="false">IF(LEFT(Cockpit!$I$5,1)="A",H1163,IF(CA1163=1,CB1163,IF(LEFT(Cockpit!$I$5,1)="B",AR1163,MAX(AR1163,H1163))))</f>
        <v>249</v>
      </c>
      <c r="AO1163" s="57" t="n">
        <f aca="false">IF(BT1163=1,0,ROUNDUP(AN1163/BS1163,0))</f>
        <v>1</v>
      </c>
      <c r="AP1163" s="59" t="n">
        <f aca="false">IF(CH1163&gt;0,CH1163*MAX(1,AN1163/X1163),IF(BT1163=1,IF(AN1163&lt;=0,0,BW1163*MAX(1,IF(H1163&gt;0,AN1163/H1163,1))),IF(R1163&gt;0,AO1163/R1163,0))/MAX(0.1,N(Parameter!$M$21)))</f>
        <v>0.0192307692307692</v>
      </c>
      <c r="AQ1163" s="57" t="n">
        <f aca="false">AN1163*G1163</f>
        <v>7091.52</v>
      </c>
      <c r="AR1163" s="57" t="n">
        <f aca="false">ROUNDUP(MAX(J1163/IF(BZ1163&gt;0,BZ1163,MAX(0.1,N(Cockpit!$I$6))),CC1163)/BS1163,0)*BS1163</f>
        <v>249</v>
      </c>
      <c r="AS1163" s="58" t="n">
        <f aca="false">IF(AP1163&gt;0,J1163/AP1163,-1)</f>
        <v>15184</v>
      </c>
      <c r="AT1163" s="58" t="n">
        <f aca="false">IF(AND(OR(BY1163="L1",BY1163="L23"),AP1163&gt;0),SUMIFS($AP$7:$AP$1843,$BY$7:$BY$1843,BY1163,$AS$7:$AS$1843,"&gt;"&amp;AS1163)+SUMIFS($AP$7:$AP$1843,$BY$7:$BY$1843,BY1163,$AS$7:$AS$1843,AS1163,$BQ$7:$BQ$1843,"&lt;="&amp;BQ1163),"")</f>
        <v>4.86979325022803</v>
      </c>
      <c r="AU1163" s="65" t="n">
        <f aca="false">IF(AT1163="",0,MAX(0,MIN(1,(IF(BY1163="L1",Parameter!$E$5,Parameter!$E$6+Parameter!$E$7)-(AT1163-AP1163))/AP1163)))</f>
        <v>1</v>
      </c>
      <c r="AV1163" s="57" t="n">
        <f aca="false">IF(LEFT(Cockpit!$O$5,1)="A",H1163,IF(CA1163=1,CB1163,IF(LEFT(Cockpit!$O$5,1)="B",AZ1163,MAX(AZ1163,H1163))))</f>
        <v>249</v>
      </c>
      <c r="AW1163" s="57" t="n">
        <f aca="false">IF(BT1163=1,0,ROUNDUP(AV1163/BS1163,0))</f>
        <v>1</v>
      </c>
      <c r="AX1163" s="59" t="n">
        <f aca="false">IF(CH1163&gt;0,CH1163*MAX(1,AV1163/X1163),IF(BT1163=1,IF(AV1163&lt;=0,0,BW1163*MAX(1,IF(H1163&gt;0,AV1163/H1163,1))),IF(R1163&gt;0,AW1163/R1163,0))/MAX(0.1,N(Parameter!$M$21)))</f>
        <v>0.0192307692307692</v>
      </c>
      <c r="AY1163" s="57" t="n">
        <f aca="false">AV1163*G1163</f>
        <v>7091.52</v>
      </c>
      <c r="AZ1163" s="57" t="n">
        <f aca="false">ROUNDUP(MAX(J1163/IF(BZ1163&gt;0,BZ1163,MAX(0.1,N(Cockpit!$O$6))),CC1163)/BS1163,0)*BS1163</f>
        <v>249</v>
      </c>
      <c r="BA1163" s="58" t="n">
        <f aca="false">IF(AX1163&gt;0,J1163/AX1163,-1)</f>
        <v>15184</v>
      </c>
      <c r="BB1163" s="58" t="n">
        <f aca="false">IF(AND(OR(BY1163="L1",BY1163="L23"),AX1163&gt;0),SUMIFS($AX$7:$AX$1843,$BY$7:$BY$1843,BY1163,$BA$7:$BA$1843,"&gt;"&amp;BA1163)+SUMIFS($AX$7:$AX$1843,$BY$7:$BY$1843,BY1163,$BA$7:$BA$1843,BA1163,$BQ$7:$BQ$1843,"&lt;="&amp;BQ1163),"")</f>
        <v>5.69963008006486</v>
      </c>
      <c r="BC1163" s="65" t="n">
        <f aca="false">IF(BB1163="",0,MAX(0,MIN(1,(IF(BY1163="L1",Parameter!$E$5,Parameter!$E$6+Parameter!$E$7)-(BB1163-AX1163))/AX1163)))</f>
        <v>1</v>
      </c>
      <c r="BD1163" s="55" t="str">
        <f aca="false">IF(AH1163&lt;=0,"",IF(BY1163="Aussen","Aussenlager",IF(BY1163="-","Nicht im Lift",IF(AM1163&gt;=1,"Lift",IF(AM1163&lt;=0,"Aussenlager","teilweise")))))</f>
        <v>Lift</v>
      </c>
      <c r="BE1163" s="55" t="str">
        <f aca="false">IF(AP1163&lt;=0,"",IF(BY1163="Aussen","Aussenlager",IF(BY1163="-","Nicht im Lift",IF(AU1163&gt;=1,"Lift",IF(AU1163&lt;=0,"Aussenlager","teilweise")))))</f>
        <v>Lift</v>
      </c>
      <c r="BF1163" s="55" t="str">
        <f aca="false">IF(AX1163&lt;=0,"",IF(BY1163="Aussen","Aussenlager",IF(BY1163="-","Nicht im Lift",IF(BC1163&gt;=1,"Lift",IF(BC1163&lt;=0,"Aussenlager","teilweise")))))</f>
        <v>Lift</v>
      </c>
      <c r="BG1163" s="55" t="str">
        <f aca="false">IF(A1163="","",IF(BP1163=1,"Neu; ","")&amp;IF(AND(BP1163=0,BK1163&lt;0),"negativer Bestand (Export "&amp;BK1163&amp;"); ","")&amp;IF(J1163&lt;=0,"Kein Verbrauch; ","")&amp;IF(CH1163&gt;0,"Lift "&amp;W1163&amp;" lt. Liftbericht (Fach "&amp;X1163&amp;" Stk); ",IF(BU1163=1,"Gebinde geschätzt ("&amp;T1163&amp;"); ",IF(BT1163=1,"Lose – Tablare geschätzt; ","")))&amp;IF(H1163&gt;AR1163,"Überbestand "&amp;ROUND(H1163-AR1163,0)&amp;" Stk / CHF "&amp;ROUND((H1163-AR1163)*G1163,0)&amp;"; ","")&amp;IF(AND(CA1163=1,CB1163&lt;CC1163),"MAX &lt; MB+LG; ","")&amp;IF(AND(CG1163&gt;0,CF1163*10&gt;CG1163),"zu hoch für Tablar; ","")&amp;IF(AND(BP1163=0,OR(CA1163=1,AA1163&lt;&gt;"",U1163&lt;&gt;"",V1163&lt;&gt;"",AB1163&lt;&gt;"")),"manuell übersteuert; ","")&amp;IF(AND(BT1163=0,R1163=0),"Gebinde unbekannt / Stellmass fehlt; ","")&amp;IF(AND(BT1163=0,N(V1163)&lt;=0,N(Q1163)&lt;=0),"Menge pro Gebinde fehlt (Ist = 1 Gebinde); ","")&amp;BO1163)</f>
        <v>negativer Bestand (Export -12); </v>
      </c>
      <c r="BH1163" s="55"/>
      <c r="BI1163" s="55"/>
      <c r="BJ1163" s="62"/>
      <c r="BK1163" s="57" t="n">
        <v>-12</v>
      </c>
      <c r="BL1163" s="57" t="n">
        <v>65</v>
      </c>
      <c r="BM1163" s="56" t="n">
        <v>-337.52</v>
      </c>
      <c r="BN1163" s="57" t="n">
        <v>292</v>
      </c>
      <c r="BO1163" s="55"/>
      <c r="BP1163" s="60" t="n">
        <v>0</v>
      </c>
      <c r="BQ1163" s="60" t="n">
        <v>1163</v>
      </c>
      <c r="BR1163" s="55" t="str">
        <f aca="false">IF(U1163&lt;&gt;"",UPPER(TRIM(U1163)),IF(BU1163=1,UPPER(VLOOKUP(T1163,Parameter!$I$27:$K$29,2,0)),IF(P1163="","LOSE",P1163)))</f>
        <v>S41</v>
      </c>
      <c r="BS1163" s="57" t="n">
        <f aca="false">IF(BR1163="LOSE",1,IF(N(V1163)&gt;0,V1163,IF(BU1163=1,MAX(1,N(VLOOKUP(T1163,Parameter!$I$27:$K$29,3,0)),H1163,N(N1163)),IF(N(Q1163)&gt;0,Q1163,MAX(1,H1163)))))</f>
        <v>249</v>
      </c>
      <c r="BT1163" s="60" t="n">
        <f aca="false">IF(BR1163="LOSE",1,0)</f>
        <v>0</v>
      </c>
      <c r="BU1163" s="60" t="n">
        <f aca="false">IF(AND(U1163="",OR(P1163="",P1163="LOSE"),T1163&lt;&gt;"",N(S1163)&lt;=0,ISNUMBER(MATCH(T1163,Parameter!$I$27:$I$29,0))),1,0)</f>
        <v>0</v>
      </c>
      <c r="BV1163" s="55" t="str">
        <f aca="false">IF(AND(Parameter!$B$19="Ja",E1163&lt;&gt;"",ISNUMBER(MATCH(E1163,Parameter!$I$35:$I$52,0))),VLOOKUP(E1163,Parameter!$I$35:$J$52,2,0),IFERROR(VLOOKUP(D1163,Parameter!$A$35:$C$64,2,0),"Nein"))</f>
        <v>2+3</v>
      </c>
      <c r="BW1163" s="59" t="n">
        <f aca="false">IF(BT1163=0,0,IF(N(S1163)&gt;0,S1163,IFERROR(VLOOKUP(D1163,Parameter!$A$35:$C$64,3,0)+0,0)))</f>
        <v>0</v>
      </c>
      <c r="BX1163" s="55" t="n">
        <f aca="false">IF(AA1163&lt;&gt;"",AA1163,Z1163)</f>
        <v>3</v>
      </c>
      <c r="BY1163" s="55" t="str">
        <f aca="false">IF(BX1163=1,"L1",IF(OR(BX1163=2,BX1163=3),"L23",IF(BX1163="Aussen","Aussen","-")))</f>
        <v>L23</v>
      </c>
      <c r="BZ1163" s="66" t="n">
        <f aca="false">IF(N(AB1163)&gt;0,AB1163,0)</f>
        <v>0</v>
      </c>
      <c r="CA1163" s="60" t="n">
        <f aca="false">IF(ISNUMBER(AE1163),1,0)</f>
        <v>0</v>
      </c>
      <c r="CB1163" s="57" t="n">
        <f aca="false">N(AE1163)</f>
        <v>0</v>
      </c>
      <c r="CC1163" s="57" t="n">
        <f aca="false">N(M1163)+N(N1163)</f>
        <v>117</v>
      </c>
      <c r="CD1163" s="57" t="n">
        <f aca="false">ROUNDUP(H1163/BS1163,0)</f>
        <v>1</v>
      </c>
      <c r="CE1163" s="57" t="n">
        <f aca="false">ROUNDUP(CB1163/BS1163,0)</f>
        <v>0</v>
      </c>
      <c r="CF1163" s="60" t="n">
        <f aca="false">IF(BT1163=1,0,IFERROR(VLOOKUP(BR1163,'Gebinde-Kategorie'!$A$5:$M$45,5,0)+0,0))</f>
        <v>11</v>
      </c>
      <c r="CG1163" s="60" t="n">
        <f aca="false">IFERROR(IF(OR(BX1163=1,BX1163=2,BX1163=3),N(INDEX(Parameter!$I$5:$I$7,BX1163)),0),0)</f>
        <v>0</v>
      </c>
      <c r="CH1163" s="59" t="n">
        <f aca="false">IF(AND(Parameter!$B$21="Ja",ISNUMBER(W1163),N(X1163)&gt;0),IFERROR(N(INDEX(Parameter!$L$5:$L$7,W1163))*INDEX(Parameter!$E$5:$E$7,W1163)*X1163/SUMIFS($X$7:$X$1843,$W$7:$W$1843,W1163),0),0)</f>
        <v>0</v>
      </c>
    </row>
    <row r="1164" customFormat="false" ht="15" hidden="false" customHeight="false" outlineLevel="0" collapsed="false">
      <c r="A1164" s="55" t="s">
        <v>2099</v>
      </c>
      <c r="B1164" s="55" t="s">
        <v>1892</v>
      </c>
      <c r="C1164" s="55" t="s">
        <v>164</v>
      </c>
      <c r="D1164" s="55" t="s">
        <v>184</v>
      </c>
      <c r="E1164" s="55" t="s">
        <v>185</v>
      </c>
      <c r="F1164" s="55" t="s">
        <v>218</v>
      </c>
      <c r="G1164" s="56" t="n">
        <v>26.09</v>
      </c>
      <c r="H1164" s="57" t="n">
        <f aca="false">MAX(0,IF(AND(Parameter!$B$21="Ja",ISNUMBER(Y1164)),Y1164,IF(Parameter!$B$20="Jahresanfang 2025 + Export",BL1164+BK1164,BK1164)))</f>
        <v>77</v>
      </c>
      <c r="I1164" s="57" t="n">
        <f aca="false">H1164*G1164</f>
        <v>2008.93</v>
      </c>
      <c r="J1164" s="57" t="n">
        <f aca="false">BN1164*Parameter!$B$18</f>
        <v>12</v>
      </c>
      <c r="K1164" s="58" t="n">
        <v>84</v>
      </c>
      <c r="L1164" s="59" t="n">
        <v>0.142857142857143</v>
      </c>
      <c r="M1164" s="57" t="n">
        <v>1</v>
      </c>
      <c r="N1164" s="57" t="n">
        <v>10</v>
      </c>
      <c r="O1164" s="60" t="n">
        <v>35</v>
      </c>
      <c r="P1164" s="55" t="s">
        <v>328</v>
      </c>
      <c r="Q1164" s="57" t="n">
        <v>113</v>
      </c>
      <c r="R1164" s="60" t="n">
        <f aca="false">IF(BT1164=1,0,IFERROR(VLOOKUP(BR1164,'Gebinde-Kategorie'!$A$5:$M$45,13,0)+0,0))</f>
        <v>52</v>
      </c>
      <c r="S1164" s="61"/>
      <c r="T1164" s="62"/>
      <c r="U1164" s="62"/>
      <c r="V1164" s="62"/>
      <c r="W1164" s="55"/>
      <c r="X1164" s="57"/>
      <c r="Y1164" s="57"/>
      <c r="Z1164" s="55" t="n">
        <f aca="false">IF(A1164="","",IF(AND(Parameter!$B$21="Ja",ISNUMBER(W1164)),W1164,IF(BV1164="2+3",IF(ISNUMBER(SEARCH("grosser Artikel",BO1164)),2,IFERROR(VLOOKUP(BR1164,Parameter!$F$35:$G$64,2,0),2)),IF(OR(BV1164="Nein",BV1164=""),"-",BV1164))))</f>
        <v>3</v>
      </c>
      <c r="AA1164" s="62"/>
      <c r="AB1164" s="63"/>
      <c r="AC1164" s="57" t="n">
        <f aca="false">AR1164</f>
        <v>113</v>
      </c>
      <c r="AD1164" s="57" t="n">
        <f aca="false">MAX(AR1164,H1164)</f>
        <v>113</v>
      </c>
      <c r="AE1164" s="64"/>
      <c r="AF1164" s="57" t="n">
        <f aca="false">IF(LEFT(Cockpit!$C$5,1)="A",H1164,IF(CA1164=1,CB1164,IF(LEFT(Cockpit!$C$5,1)="B",AJ1164,MAX(AJ1164,H1164))))</f>
        <v>77</v>
      </c>
      <c r="AG1164" s="57" t="n">
        <f aca="false">IF(BT1164=1,0,ROUNDUP(AF1164/BS1164,0))</f>
        <v>1</v>
      </c>
      <c r="AH1164" s="59" t="n">
        <f aca="false">IF(CH1164&gt;0,CH1164*MAX(1,AF1164/X1164),IF(BT1164=1,IF(AF1164&lt;=0,0,BW1164*MAX(1,IF(H1164&gt;0,AF1164/H1164,1))),IF(R1164&gt;0,AG1164/R1164,0))/MAX(0.1,N(Parameter!$M$21)))</f>
        <v>0.0192307692307692</v>
      </c>
      <c r="AI1164" s="57" t="n">
        <f aca="false">AF1164*G1164</f>
        <v>2008.93</v>
      </c>
      <c r="AJ1164" s="57" t="n">
        <f aca="false">ROUNDUP(MAX(J1164/IF(BZ1164&gt;0,BZ1164,MAX(0.1,N(Cockpit!$C$6))),CC1164)/BS1164,0)*BS1164</f>
        <v>113</v>
      </c>
      <c r="AK1164" s="58" t="n">
        <f aca="false">IF(AH1164&gt;0,J1164/AH1164,-1)</f>
        <v>624</v>
      </c>
      <c r="AL1164" s="58" t="n">
        <f aca="false">IF(AND(OR(BY1164="L1",BY1164="L23"),AH1164&gt;0),SUMIFS($AH$7:$AH$1843,$BY$7:$BY$1843,BY1164,$AK$7:$AK$1843,"&gt;"&amp;AK1164)+SUMIFS($AH$7:$AH$1843,$BY$7:$BY$1843,BY1164,$AK$7:$AK$1843,AK1164,$BQ$7:$BQ$1843,"&lt;="&amp;BQ1164),"")</f>
        <v>23.0001942501942</v>
      </c>
      <c r="AM1164" s="65" t="n">
        <f aca="false">IF(AL1164="",0,MAX(0,MIN(1,(IF(BY1164="L1",Parameter!$E$5,Parameter!$E$6+Parameter!$E$7)-(AL1164-AH1164))/AH1164)))</f>
        <v>1</v>
      </c>
      <c r="AN1164" s="57" t="n">
        <f aca="false">IF(LEFT(Cockpit!$I$5,1)="A",H1164,IF(CA1164=1,CB1164,IF(LEFT(Cockpit!$I$5,1)="B",AR1164,MAX(AR1164,H1164))))</f>
        <v>113</v>
      </c>
      <c r="AO1164" s="57" t="n">
        <f aca="false">IF(BT1164=1,0,ROUNDUP(AN1164/BS1164,0))</f>
        <v>1</v>
      </c>
      <c r="AP1164" s="59" t="n">
        <f aca="false">IF(CH1164&gt;0,CH1164*MAX(1,AN1164/X1164),IF(BT1164=1,IF(AN1164&lt;=0,0,BW1164*MAX(1,IF(H1164&gt;0,AN1164/H1164,1))),IF(R1164&gt;0,AO1164/R1164,0))/MAX(0.1,N(Parameter!$M$21)))</f>
        <v>0.0192307692307692</v>
      </c>
      <c r="AQ1164" s="57" t="n">
        <f aca="false">AN1164*G1164</f>
        <v>2948.17</v>
      </c>
      <c r="AR1164" s="57" t="n">
        <f aca="false">ROUNDUP(MAX(J1164/IF(BZ1164&gt;0,BZ1164,MAX(0.1,N(Cockpit!$I$6))),CC1164)/BS1164,0)*BS1164</f>
        <v>113</v>
      </c>
      <c r="AS1164" s="58" t="n">
        <f aca="false">IF(AP1164&gt;0,J1164/AP1164,-1)</f>
        <v>624</v>
      </c>
      <c r="AT1164" s="58" t="n">
        <f aca="false">IF(AND(OR(BY1164="L1",BY1164="L23"),AP1164&gt;0),SUMIFS($AP$7:$AP$1843,$BY$7:$BY$1843,BY1164,$AS$7:$AS$1843,"&gt;"&amp;AS1164)+SUMIFS($AP$7:$AP$1843,$BY$7:$BY$1843,BY1164,$AS$7:$AS$1843,AS1164,$BQ$7:$BQ$1843,"&lt;="&amp;BQ1164),"")</f>
        <v>30.4092767136245</v>
      </c>
      <c r="AU1164" s="65" t="n">
        <f aca="false">IF(AT1164="",0,MAX(0,MIN(1,(IF(BY1164="L1",Parameter!$E$5,Parameter!$E$6+Parameter!$E$7)-(AT1164-AP1164))/AP1164)))</f>
        <v>1</v>
      </c>
      <c r="AV1164" s="57" t="n">
        <f aca="false">IF(LEFT(Cockpit!$O$5,1)="A",H1164,IF(CA1164=1,CB1164,IF(LEFT(Cockpit!$O$5,1)="B",AZ1164,MAX(AZ1164,H1164))))</f>
        <v>113</v>
      </c>
      <c r="AW1164" s="57" t="n">
        <f aca="false">IF(BT1164=1,0,ROUNDUP(AV1164/BS1164,0))</f>
        <v>1</v>
      </c>
      <c r="AX1164" s="59" t="n">
        <f aca="false">IF(CH1164&gt;0,CH1164*MAX(1,AV1164/X1164),IF(BT1164=1,IF(AV1164&lt;=0,0,BW1164*MAX(1,IF(H1164&gt;0,AV1164/H1164,1))),IF(R1164&gt;0,AW1164/R1164,0))/MAX(0.1,N(Parameter!$M$21)))</f>
        <v>0.0192307692307692</v>
      </c>
      <c r="AY1164" s="57" t="n">
        <f aca="false">AV1164*G1164</f>
        <v>2948.17</v>
      </c>
      <c r="AZ1164" s="57" t="n">
        <f aca="false">ROUNDUP(MAX(J1164/IF(BZ1164&gt;0,BZ1164,MAX(0.1,N(Cockpit!$O$6))),CC1164)/BS1164,0)*BS1164</f>
        <v>113</v>
      </c>
      <c r="BA1164" s="58" t="n">
        <f aca="false">IF(AX1164&gt;0,J1164/AX1164,-1)</f>
        <v>624</v>
      </c>
      <c r="BB1164" s="58" t="n">
        <f aca="false">IF(AND(OR(BY1164="L1",BY1164="L23"),AX1164&gt;0),SUMIFS($AX$7:$AX$1843,$BY$7:$BY$1843,BY1164,$BA$7:$BA$1843,"&gt;"&amp;BA1164)+SUMIFS($AX$7:$AX$1843,$BY$7:$BY$1843,BY1164,$BA$7:$BA$1843,BA1164,$BQ$7:$BQ$1843,"&lt;="&amp;BQ1164),"")</f>
        <v>29.1109084152562</v>
      </c>
      <c r="BC1164" s="65" t="n">
        <f aca="false">IF(BB1164="",0,MAX(0,MIN(1,(IF(BY1164="L1",Parameter!$E$5,Parameter!$E$6+Parameter!$E$7)-(BB1164-AX1164))/AX1164)))</f>
        <v>1</v>
      </c>
      <c r="BD1164" s="55" t="str">
        <f aca="false">IF(AH1164&lt;=0,"",IF(BY1164="Aussen","Aussenlager",IF(BY1164="-","Nicht im Lift",IF(AM1164&gt;=1,"Lift",IF(AM1164&lt;=0,"Aussenlager","teilweise")))))</f>
        <v>Lift</v>
      </c>
      <c r="BE1164" s="55" t="str">
        <f aca="false">IF(AP1164&lt;=0,"",IF(BY1164="Aussen","Aussenlager",IF(BY1164="-","Nicht im Lift",IF(AU1164&gt;=1,"Lift",IF(AU1164&lt;=0,"Aussenlager","teilweise")))))</f>
        <v>Lift</v>
      </c>
      <c r="BF1164" s="55" t="str">
        <f aca="false">IF(AX1164&lt;=0,"",IF(BY1164="Aussen","Aussenlager",IF(BY1164="-","Nicht im Lift",IF(BC1164&gt;=1,"Lift",IF(BC1164&lt;=0,"Aussenlager","teilweise")))))</f>
        <v>Lift</v>
      </c>
      <c r="BG1164" s="55" t="str">
        <f aca="false">IF(A1164="","",IF(BP1164=1,"Neu; ","")&amp;IF(AND(BP1164=0,BK1164&lt;0),"negativer Bestand (Export "&amp;BK1164&amp;"); ","")&amp;IF(J1164&lt;=0,"Kein Verbrauch; ","")&amp;IF(CH1164&gt;0,"Lift "&amp;W1164&amp;" lt. Liftbericht (Fach "&amp;X1164&amp;" Stk); ",IF(BU1164=1,"Gebinde geschätzt ("&amp;T1164&amp;"); ",IF(BT1164=1,"Lose – Tablare geschätzt; ","")))&amp;IF(H1164&gt;AR1164,"Überbestand "&amp;ROUND(H1164-AR1164,0)&amp;" Stk / CHF "&amp;ROUND((H1164-AR1164)*G1164,0)&amp;"; ","")&amp;IF(AND(CA1164=1,CB1164&lt;CC1164),"MAX &lt; MB+LG; ","")&amp;IF(AND(CG1164&gt;0,CF1164*10&gt;CG1164),"zu hoch für Tablar; ","")&amp;IF(AND(BP1164=0,OR(CA1164=1,AA1164&lt;&gt;"",U1164&lt;&gt;"",V1164&lt;&gt;"",AB1164&lt;&gt;"")),"manuell übersteuert; ","")&amp;IF(AND(BT1164=0,R1164=0),"Gebinde unbekannt / Stellmass fehlt; ","")&amp;IF(AND(BT1164=0,N(V1164)&lt;=0,N(Q1164)&lt;=0),"Menge pro Gebinde fehlt (Ist = 1 Gebinde); ","")&amp;BO1164)</f>
        <v>negativer Bestand (Export -13); Twin</v>
      </c>
      <c r="BH1164" s="55"/>
      <c r="BI1164" s="55"/>
      <c r="BJ1164" s="62"/>
      <c r="BK1164" s="57" t="n">
        <v>-13</v>
      </c>
      <c r="BL1164" s="57" t="n">
        <v>90</v>
      </c>
      <c r="BM1164" s="56" t="n">
        <v>-339.17</v>
      </c>
      <c r="BN1164" s="57" t="n">
        <v>12</v>
      </c>
      <c r="BO1164" s="55" t="s">
        <v>214</v>
      </c>
      <c r="BP1164" s="60" t="n">
        <v>0</v>
      </c>
      <c r="BQ1164" s="60" t="n">
        <v>1164</v>
      </c>
      <c r="BR1164" s="55" t="str">
        <f aca="false">IF(U1164&lt;&gt;"",UPPER(TRIM(U1164)),IF(BU1164=1,UPPER(VLOOKUP(T1164,Parameter!$I$27:$K$29,2,0)),IF(P1164="","LOSE",P1164)))</f>
        <v>S41</v>
      </c>
      <c r="BS1164" s="57" t="n">
        <f aca="false">IF(BR1164="LOSE",1,IF(N(V1164)&gt;0,V1164,IF(BU1164=1,MAX(1,N(VLOOKUP(T1164,Parameter!$I$27:$K$29,3,0)),H1164,N(N1164)),IF(N(Q1164)&gt;0,Q1164,MAX(1,H1164)))))</f>
        <v>113</v>
      </c>
      <c r="BT1164" s="60" t="n">
        <f aca="false">IF(BR1164="LOSE",1,0)</f>
        <v>0</v>
      </c>
      <c r="BU1164" s="60" t="n">
        <f aca="false">IF(AND(U1164="",OR(P1164="",P1164="LOSE"),T1164&lt;&gt;"",N(S1164)&lt;=0,ISNUMBER(MATCH(T1164,Parameter!$I$27:$I$29,0))),1,0)</f>
        <v>0</v>
      </c>
      <c r="BV1164" s="55" t="str">
        <f aca="false">IF(AND(Parameter!$B$19="Ja",E1164&lt;&gt;"",ISNUMBER(MATCH(E1164,Parameter!$I$35:$I$52,0))),VLOOKUP(E1164,Parameter!$I$35:$J$52,2,0),IFERROR(VLOOKUP(D1164,Parameter!$A$35:$C$64,2,0),"Nein"))</f>
        <v>2+3</v>
      </c>
      <c r="BW1164" s="59" t="n">
        <f aca="false">IF(BT1164=0,0,IF(N(S1164)&gt;0,S1164,IFERROR(VLOOKUP(D1164,Parameter!$A$35:$C$64,3,0)+0,0)))</f>
        <v>0</v>
      </c>
      <c r="BX1164" s="55" t="n">
        <f aca="false">IF(AA1164&lt;&gt;"",AA1164,Z1164)</f>
        <v>3</v>
      </c>
      <c r="BY1164" s="55" t="str">
        <f aca="false">IF(BX1164=1,"L1",IF(OR(BX1164=2,BX1164=3),"L23",IF(BX1164="Aussen","Aussen","-")))</f>
        <v>L23</v>
      </c>
      <c r="BZ1164" s="66" t="n">
        <f aca="false">IF(N(AB1164)&gt;0,AB1164,0)</f>
        <v>0</v>
      </c>
      <c r="CA1164" s="60" t="n">
        <f aca="false">IF(ISNUMBER(AE1164),1,0)</f>
        <v>0</v>
      </c>
      <c r="CB1164" s="57" t="n">
        <f aca="false">N(AE1164)</f>
        <v>0</v>
      </c>
      <c r="CC1164" s="57" t="n">
        <f aca="false">N(M1164)+N(N1164)</f>
        <v>11</v>
      </c>
      <c r="CD1164" s="57" t="n">
        <f aca="false">ROUNDUP(H1164/BS1164,0)</f>
        <v>1</v>
      </c>
      <c r="CE1164" s="57" t="n">
        <f aca="false">ROUNDUP(CB1164/BS1164,0)</f>
        <v>0</v>
      </c>
      <c r="CF1164" s="60" t="n">
        <f aca="false">IF(BT1164=1,0,IFERROR(VLOOKUP(BR1164,'Gebinde-Kategorie'!$A$5:$M$45,5,0)+0,0))</f>
        <v>11</v>
      </c>
      <c r="CG1164" s="60" t="n">
        <f aca="false">IFERROR(IF(OR(BX1164=1,BX1164=2,BX1164=3),N(INDEX(Parameter!$I$5:$I$7,BX1164)),0),0)</f>
        <v>0</v>
      </c>
      <c r="CH1164" s="59" t="n">
        <f aca="false">IF(AND(Parameter!$B$21="Ja",ISNUMBER(W1164),N(X1164)&gt;0),IFERROR(N(INDEX(Parameter!$L$5:$L$7,W1164))*INDEX(Parameter!$E$5:$E$7,W1164)*X1164/SUMIFS($X$7:$X$1843,$W$7:$W$1843,W1164),0),0)</f>
        <v>0</v>
      </c>
    </row>
    <row r="1165" customFormat="false" ht="15" hidden="false" customHeight="false" outlineLevel="0" collapsed="false">
      <c r="A1165" s="55" t="s">
        <v>2100</v>
      </c>
      <c r="B1165" s="55" t="s">
        <v>1948</v>
      </c>
      <c r="C1165" s="55" t="s">
        <v>456</v>
      </c>
      <c r="D1165" s="55" t="s">
        <v>184</v>
      </c>
      <c r="E1165" s="55"/>
      <c r="F1165" s="55" t="s">
        <v>218</v>
      </c>
      <c r="G1165" s="56" t="n">
        <v>42.75</v>
      </c>
      <c r="H1165" s="57" t="n">
        <f aca="false">MAX(0,IF(AND(Parameter!$B$21="Ja",ISNUMBER(Y1165)),Y1165,IF(Parameter!$B$20="Jahresanfang 2025 + Export",BL1165+BK1165,BK1165)))</f>
        <v>8</v>
      </c>
      <c r="I1165" s="57" t="n">
        <f aca="false">H1165*G1165</f>
        <v>342</v>
      </c>
      <c r="J1165" s="57" t="n">
        <f aca="false">BN1165*Parameter!$B$18</f>
        <v>8</v>
      </c>
      <c r="K1165" s="58" t="n">
        <v>8</v>
      </c>
      <c r="L1165" s="59" t="n">
        <v>1</v>
      </c>
      <c r="M1165" s="57" t="n">
        <v>0</v>
      </c>
      <c r="N1165" s="57" t="n">
        <v>10</v>
      </c>
      <c r="O1165" s="60" t="n">
        <v>21</v>
      </c>
      <c r="P1165" s="55" t="s">
        <v>168</v>
      </c>
      <c r="Q1165" s="57"/>
      <c r="R1165" s="60" t="n">
        <f aca="false">IF(BT1165=1,0,IFERROR(VLOOKUP(BR1165,'Gebinde-Kategorie'!$A$5:$M$45,13,0)+0,0))</f>
        <v>3</v>
      </c>
      <c r="S1165" s="61"/>
      <c r="T1165" s="62" t="s">
        <v>189</v>
      </c>
      <c r="U1165" s="62"/>
      <c r="V1165" s="62"/>
      <c r="W1165" s="55"/>
      <c r="X1165" s="57"/>
      <c r="Y1165" s="57"/>
      <c r="Z1165" s="55" t="n">
        <f aca="false">IF(A1165="","",IF(AND(Parameter!$B$21="Ja",ISNUMBER(W1165)),W1165,IF(BV1165="2+3",IF(ISNUMBER(SEARCH("grosser Artikel",BO1165)),2,IFERROR(VLOOKUP(BR1165,Parameter!$F$35:$G$64,2,0),2)),IF(OR(BV1165="Nein",BV1165=""),"-",BV1165))))</f>
        <v>2</v>
      </c>
      <c r="AA1165" s="62"/>
      <c r="AB1165" s="63"/>
      <c r="AC1165" s="57" t="n">
        <f aca="false">AR1165</f>
        <v>10</v>
      </c>
      <c r="AD1165" s="57" t="n">
        <f aca="false">MAX(AR1165,H1165)</f>
        <v>10</v>
      </c>
      <c r="AE1165" s="64"/>
      <c r="AF1165" s="57" t="n">
        <f aca="false">IF(LEFT(Cockpit!$C$5,1)="A",H1165,IF(CA1165=1,CB1165,IF(LEFT(Cockpit!$C$5,1)="B",AJ1165,MAX(AJ1165,H1165))))</f>
        <v>8</v>
      </c>
      <c r="AG1165" s="57" t="n">
        <f aca="false">IF(BT1165=1,0,ROUNDUP(AF1165/BS1165,0))</f>
        <v>1</v>
      </c>
      <c r="AH1165" s="59" t="n">
        <f aca="false">IF(CH1165&gt;0,CH1165*MAX(1,AF1165/X1165),IF(BT1165=1,IF(AF1165&lt;=0,0,BW1165*MAX(1,IF(H1165&gt;0,AF1165/H1165,1))),IF(R1165&gt;0,AG1165/R1165,0))/MAX(0.1,N(Parameter!$M$21)))</f>
        <v>0.333333333333333</v>
      </c>
      <c r="AI1165" s="57" t="n">
        <f aca="false">AF1165*G1165</f>
        <v>342</v>
      </c>
      <c r="AJ1165" s="57" t="n">
        <f aca="false">ROUNDUP(MAX(J1165/IF(BZ1165&gt;0,BZ1165,MAX(0.1,N(Cockpit!$C$6))),CC1165)/BS1165,0)*BS1165</f>
        <v>10</v>
      </c>
      <c r="AK1165" s="58" t="n">
        <f aca="false">IF(AH1165&gt;0,J1165/AH1165,-1)</f>
        <v>24</v>
      </c>
      <c r="AL1165" s="58" t="n">
        <f aca="false">IF(AND(OR(BY1165="L1",BY1165="L23"),AH1165&gt;0),SUMIFS($AH$7:$AH$1843,$BY$7:$BY$1843,BY1165,$AK$7:$AK$1843,"&gt;"&amp;AK1165)+SUMIFS($AH$7:$AH$1843,$BY$7:$BY$1843,BY1165,$AK$7:$AK$1843,AK1165,$BQ$7:$BQ$1843,"&lt;="&amp;BQ1165),"")</f>
        <v>50.338181142529</v>
      </c>
      <c r="AM1165" s="65" t="n">
        <f aca="false">IF(AL1165="",0,MAX(0,MIN(1,(IF(BY1165="L1",Parameter!$E$5,Parameter!$E$6+Parameter!$E$7)-(AL1165-AH1165))/AH1165)))</f>
        <v>1</v>
      </c>
      <c r="AN1165" s="57" t="n">
        <f aca="false">IF(LEFT(Cockpit!$I$5,1)="A",H1165,IF(CA1165=1,CB1165,IF(LEFT(Cockpit!$I$5,1)="B",AR1165,MAX(AR1165,H1165))))</f>
        <v>10</v>
      </c>
      <c r="AO1165" s="57" t="n">
        <f aca="false">IF(BT1165=1,0,ROUNDUP(AN1165/BS1165,0))</f>
        <v>1</v>
      </c>
      <c r="AP1165" s="59" t="n">
        <f aca="false">IF(CH1165&gt;0,CH1165*MAX(1,AN1165/X1165),IF(BT1165=1,IF(AN1165&lt;=0,0,BW1165*MAX(1,IF(H1165&gt;0,AN1165/H1165,1))),IF(R1165&gt;0,AO1165/R1165,0))/MAX(0.1,N(Parameter!$M$21)))</f>
        <v>0.333333333333333</v>
      </c>
      <c r="AQ1165" s="57" t="n">
        <f aca="false">AN1165*G1165</f>
        <v>427.5</v>
      </c>
      <c r="AR1165" s="57" t="n">
        <f aca="false">ROUNDUP(MAX(J1165/IF(BZ1165&gt;0,BZ1165,MAX(0.1,N(Cockpit!$I$6))),CC1165)/BS1165,0)*BS1165</f>
        <v>10</v>
      </c>
      <c r="AS1165" s="58" t="n">
        <f aca="false">IF(AP1165&gt;0,J1165/AP1165,-1)</f>
        <v>24</v>
      </c>
      <c r="AT1165" s="58" t="n">
        <f aca="false">IF(AND(OR(BY1165="L1",BY1165="L23"),AP1165&gt;0),SUMIFS($AP$7:$AP$1843,$BY$7:$BY$1843,BY1165,$AS$7:$AS$1843,"&gt;"&amp;AS1165)+SUMIFS($AP$7:$AP$1843,$BY$7:$BY$1843,BY1165,$AS$7:$AS$1843,AS1165,$BQ$7:$BQ$1843,"&lt;="&amp;BQ1165),"")</f>
        <v>75.5123053275227</v>
      </c>
      <c r="AU1165" s="65" t="n">
        <f aca="false">IF(AT1165="",0,MAX(0,MIN(1,(IF(BY1165="L1",Parameter!$E$5,Parameter!$E$6+Parameter!$E$7)-(AT1165-AP1165))/AP1165)))</f>
        <v>1</v>
      </c>
      <c r="AV1165" s="57" t="n">
        <f aca="false">IF(LEFT(Cockpit!$O$5,1)="A",H1165,IF(CA1165=1,CB1165,IF(LEFT(Cockpit!$O$5,1)="B",AZ1165,MAX(AZ1165,H1165))))</f>
        <v>10</v>
      </c>
      <c r="AW1165" s="57" t="n">
        <f aca="false">IF(BT1165=1,0,ROUNDUP(AV1165/BS1165,0))</f>
        <v>1</v>
      </c>
      <c r="AX1165" s="59" t="n">
        <f aca="false">IF(CH1165&gt;0,CH1165*MAX(1,AV1165/X1165),IF(BT1165=1,IF(AV1165&lt;=0,0,BW1165*MAX(1,IF(H1165&gt;0,AV1165/H1165,1))),IF(R1165&gt;0,AW1165/R1165,0))/MAX(0.1,N(Parameter!$M$21)))</f>
        <v>0.333333333333333</v>
      </c>
      <c r="AY1165" s="57" t="n">
        <f aca="false">AV1165*G1165</f>
        <v>427.5</v>
      </c>
      <c r="AZ1165" s="57" t="n">
        <f aca="false">ROUNDUP(MAX(J1165/IF(BZ1165&gt;0,BZ1165,MAX(0.1,N(Cockpit!$O$6))),CC1165)/BS1165,0)*BS1165</f>
        <v>10</v>
      </c>
      <c r="BA1165" s="58" t="n">
        <f aca="false">IF(AX1165&gt;0,J1165/AX1165,-1)</f>
        <v>24</v>
      </c>
      <c r="BB1165" s="58" t="n">
        <f aca="false">IF(AND(OR(BY1165="L1",BY1165="L23"),AX1165&gt;0),SUMIFS($AX$7:$AX$1843,$BY$7:$BY$1843,BY1165,$BA$7:$BA$1843,"&gt;"&amp;BA1165)+SUMIFS($AX$7:$AX$1843,$BY$7:$BY$1843,BY1165,$BA$7:$BA$1843,BA1165,$BQ$7:$BQ$1843,"&lt;="&amp;BQ1165),"")</f>
        <v>71.0088088240262</v>
      </c>
      <c r="BC1165" s="65" t="n">
        <f aca="false">IF(BB1165="",0,MAX(0,MIN(1,(IF(BY1165="L1",Parameter!$E$5,Parameter!$E$6+Parameter!$E$7)-(BB1165-AX1165))/AX1165)))</f>
        <v>1</v>
      </c>
      <c r="BD1165" s="55" t="str">
        <f aca="false">IF(AH1165&lt;=0,"",IF(BY1165="Aussen","Aussenlager",IF(BY1165="-","Nicht im Lift",IF(AM1165&gt;=1,"Lift",IF(AM1165&lt;=0,"Aussenlager","teilweise")))))</f>
        <v>Lift</v>
      </c>
      <c r="BE1165" s="55" t="str">
        <f aca="false">IF(AP1165&lt;=0,"",IF(BY1165="Aussen","Aussenlager",IF(BY1165="-","Nicht im Lift",IF(AU1165&gt;=1,"Lift",IF(AU1165&lt;=0,"Aussenlager","teilweise")))))</f>
        <v>Lift</v>
      </c>
      <c r="BF1165" s="55" t="str">
        <f aca="false">IF(AX1165&lt;=0,"",IF(BY1165="Aussen","Aussenlager",IF(BY1165="-","Nicht im Lift",IF(BC1165&gt;=1,"Lift",IF(BC1165&lt;=0,"Aussenlager","teilweise")))))</f>
        <v>Lift</v>
      </c>
      <c r="BG1165" s="55" t="str">
        <f aca="false">IF(A1165="","",IF(BP1165=1,"Neu; ","")&amp;IF(AND(BP1165=0,BK1165&lt;0),"negativer Bestand (Export "&amp;BK1165&amp;"); ","")&amp;IF(J1165&lt;=0,"Kein Verbrauch; ","")&amp;IF(CH1165&gt;0,"Lift "&amp;W1165&amp;" lt. Liftbericht (Fach "&amp;X1165&amp;" Stk); ",IF(BU1165=1,"Gebinde geschätzt ("&amp;T1165&amp;"); ",IF(BT1165=1,"Lose – Tablare geschätzt; ","")))&amp;IF(H1165&gt;AR1165,"Überbestand "&amp;ROUND(H1165-AR1165,0)&amp;" Stk / CHF "&amp;ROUND((H1165-AR1165)*G1165,0)&amp;"; ","")&amp;IF(AND(CA1165=1,CB1165&lt;CC1165),"MAX &lt; MB+LG; ","")&amp;IF(AND(CG1165&gt;0,CF1165*10&gt;CG1165),"zu hoch für Tablar; ","")&amp;IF(AND(BP1165=0,OR(CA1165=1,AA1165&lt;&gt;"",U1165&lt;&gt;"",V1165&lt;&gt;"",AB1165&lt;&gt;"")),"manuell übersteuert; ","")&amp;IF(AND(BT1165=0,R1165=0),"Gebinde unbekannt / Stellmass fehlt; ","")&amp;IF(AND(BT1165=0,N(V1165)&lt;=0,N(Q1165)&lt;=0),"Menge pro Gebinde fehlt (Ist = 1 Gebinde); ","")&amp;BO1165)</f>
        <v>negativer Bestand (Export -8); Gebinde geschätzt (Gross); Menge pro Gebinde fehlt (Ist = 1 Gebinde); </v>
      </c>
      <c r="BH1165" s="55"/>
      <c r="BI1165" s="55"/>
      <c r="BJ1165" s="62"/>
      <c r="BK1165" s="57" t="n">
        <v>-8</v>
      </c>
      <c r="BL1165" s="57" t="n">
        <v>16</v>
      </c>
      <c r="BM1165" s="56" t="n">
        <v>-342</v>
      </c>
      <c r="BN1165" s="57" t="n">
        <v>8</v>
      </c>
      <c r="BO1165" s="55"/>
      <c r="BP1165" s="60" t="n">
        <v>0</v>
      </c>
      <c r="BQ1165" s="60" t="n">
        <v>1165</v>
      </c>
      <c r="BR1165" s="55" t="str">
        <f aca="false">IF(U1165&lt;&gt;"",UPPER(TRIM(U1165)),IF(BU1165=1,UPPER(VLOOKUP(T1165,Parameter!$I$27:$K$29,2,0)),IF(P1165="","LOSE",P1165)))</f>
        <v>S81</v>
      </c>
      <c r="BS1165" s="57" t="n">
        <f aca="false">IF(BR1165="LOSE",1,IF(N(V1165)&gt;0,V1165,IF(BU1165=1,MAX(1,N(VLOOKUP(T1165,Parameter!$I$27:$K$29,3,0)),H1165,N(N1165)),IF(N(Q1165)&gt;0,Q1165,MAX(1,H1165)))))</f>
        <v>10</v>
      </c>
      <c r="BT1165" s="60" t="n">
        <f aca="false">IF(BR1165="LOSE",1,0)</f>
        <v>0</v>
      </c>
      <c r="BU1165" s="60" t="n">
        <f aca="false">IF(AND(U1165="",OR(P1165="",P1165="LOSE"),T1165&lt;&gt;"",N(S1165)&lt;=0,ISNUMBER(MATCH(T1165,Parameter!$I$27:$I$29,0))),1,0)</f>
        <v>1</v>
      </c>
      <c r="BV1165" s="55" t="str">
        <f aca="false">IF(AND(Parameter!$B$19="Ja",E1165&lt;&gt;"",ISNUMBER(MATCH(E1165,Parameter!$I$35:$I$52,0))),VLOOKUP(E1165,Parameter!$I$35:$J$52,2,0),IFERROR(VLOOKUP(D1165,Parameter!$A$35:$C$64,2,0),"Nein"))</f>
        <v>2+3</v>
      </c>
      <c r="BW1165" s="59" t="n">
        <f aca="false">IF(BT1165=0,0,IF(N(S1165)&gt;0,S1165,IFERROR(VLOOKUP(D1165,Parameter!$A$35:$C$64,3,0)+0,0)))</f>
        <v>0</v>
      </c>
      <c r="BX1165" s="55" t="n">
        <f aca="false">IF(AA1165&lt;&gt;"",AA1165,Z1165)</f>
        <v>2</v>
      </c>
      <c r="BY1165" s="55" t="str">
        <f aca="false">IF(BX1165=1,"L1",IF(OR(BX1165=2,BX1165=3),"L23",IF(BX1165="Aussen","Aussen","-")))</f>
        <v>L23</v>
      </c>
      <c r="BZ1165" s="66" t="n">
        <f aca="false">IF(N(AB1165)&gt;0,AB1165,0)</f>
        <v>0</v>
      </c>
      <c r="CA1165" s="60" t="n">
        <f aca="false">IF(ISNUMBER(AE1165),1,0)</f>
        <v>0</v>
      </c>
      <c r="CB1165" s="57" t="n">
        <f aca="false">N(AE1165)</f>
        <v>0</v>
      </c>
      <c r="CC1165" s="57" t="n">
        <f aca="false">N(M1165)+N(N1165)</f>
        <v>10</v>
      </c>
      <c r="CD1165" s="57" t="n">
        <f aca="false">ROUNDUP(H1165/BS1165,0)</f>
        <v>1</v>
      </c>
      <c r="CE1165" s="57" t="n">
        <f aca="false">ROUNDUP(CB1165/BS1165,0)</f>
        <v>0</v>
      </c>
      <c r="CF1165" s="60" t="n">
        <f aca="false">IF(BT1165=1,0,IFERROR(VLOOKUP(BR1165,'Gebinde-Kategorie'!$A$5:$M$45,5,0)+0,0))</f>
        <v>20</v>
      </c>
      <c r="CG1165" s="60" t="n">
        <f aca="false">IFERROR(IF(OR(BX1165=1,BX1165=2,BX1165=3),N(INDEX(Parameter!$I$5:$I$7,BX1165)),0),0)</f>
        <v>0</v>
      </c>
      <c r="CH1165" s="59" t="n">
        <f aca="false">IF(AND(Parameter!$B$21="Ja",ISNUMBER(W1165),N(X1165)&gt;0),IFERROR(N(INDEX(Parameter!$L$5:$L$7,W1165))*INDEX(Parameter!$E$5:$E$7,W1165)*X1165/SUMIFS($X$7:$X$1843,$W$7:$W$1843,W1165),0),0)</f>
        <v>0</v>
      </c>
    </row>
    <row r="1166" customFormat="false" ht="15" hidden="false" customHeight="false" outlineLevel="0" collapsed="false">
      <c r="A1166" s="55" t="s">
        <v>2101</v>
      </c>
      <c r="B1166" s="55" t="s">
        <v>462</v>
      </c>
      <c r="C1166" s="55" t="s">
        <v>164</v>
      </c>
      <c r="D1166" s="55" t="s">
        <v>173</v>
      </c>
      <c r="E1166" s="55" t="s">
        <v>166</v>
      </c>
      <c r="F1166" s="55" t="s">
        <v>218</v>
      </c>
      <c r="G1166" s="56" t="n">
        <v>148.21</v>
      </c>
      <c r="H1166" s="57" t="n">
        <f aca="false">MAX(0,IF(AND(Parameter!$B$21="Ja",ISNUMBER(Y1166)),Y1166,IF(Parameter!$B$20="Jahresanfang 2025 + Export",BL1166+BK1166,BK1166)))</f>
        <v>5</v>
      </c>
      <c r="I1166" s="57" t="n">
        <f aca="false">H1166*G1166</f>
        <v>741.05</v>
      </c>
      <c r="J1166" s="57" t="n">
        <f aca="false">BN1166*Parameter!$B$18</f>
        <v>29</v>
      </c>
      <c r="K1166" s="58" t="n">
        <v>14.5</v>
      </c>
      <c r="L1166" s="59" t="n">
        <v>2</v>
      </c>
      <c r="M1166" s="57" t="n">
        <v>2</v>
      </c>
      <c r="N1166" s="57" t="n">
        <v>20</v>
      </c>
      <c r="O1166" s="60" t="n">
        <v>28</v>
      </c>
      <c r="P1166" s="55" t="s">
        <v>168</v>
      </c>
      <c r="Q1166" s="57"/>
      <c r="R1166" s="60" t="n">
        <f aca="false">IF(BT1166=1,0,IFERROR(VLOOKUP(BR1166,'Gebinde-Kategorie'!$A$5:$M$45,13,0)+0,0))</f>
        <v>0</v>
      </c>
      <c r="S1166" s="61"/>
      <c r="T1166" s="62"/>
      <c r="U1166" s="62"/>
      <c r="V1166" s="62"/>
      <c r="W1166" s="55" t="n">
        <v>1</v>
      </c>
      <c r="X1166" s="57" t="n">
        <v>14</v>
      </c>
      <c r="Y1166" s="57" t="n">
        <v>5</v>
      </c>
      <c r="Z1166" s="55" t="n">
        <f aca="false">IF(A1166="","",IF(AND(Parameter!$B$21="Ja",ISNUMBER(W1166)),W1166,IF(BV1166="2+3",IF(ISNUMBER(SEARCH("grosser Artikel",BO1166)),2,IFERROR(VLOOKUP(BR1166,Parameter!$F$35:$G$64,2,0),2)),IF(OR(BV1166="Nein",BV1166=""),"-",BV1166))))</f>
        <v>1</v>
      </c>
      <c r="AA1166" s="62"/>
      <c r="AB1166" s="63"/>
      <c r="AC1166" s="57" t="n">
        <f aca="false">AR1166</f>
        <v>22</v>
      </c>
      <c r="AD1166" s="57" t="n">
        <f aca="false">MAX(AR1166,H1166)</f>
        <v>22</v>
      </c>
      <c r="AE1166" s="64"/>
      <c r="AF1166" s="57" t="n">
        <f aca="false">IF(LEFT(Cockpit!$C$5,1)="A",H1166,IF(CA1166=1,CB1166,IF(LEFT(Cockpit!$C$5,1)="B",AJ1166,MAX(AJ1166,H1166))))</f>
        <v>5</v>
      </c>
      <c r="AG1166" s="57" t="n">
        <f aca="false">IF(BT1166=1,0,ROUNDUP(AF1166/BS1166,0))</f>
        <v>0</v>
      </c>
      <c r="AH1166" s="59" t="n">
        <f aca="false">IF(CH1166&gt;0,CH1166*MAX(1,AF1166/X1166),IF(BT1166=1,IF(AF1166&lt;=0,0,BW1166*MAX(1,IF(H1166&gt;0,AF1166/H1166,1))),IF(R1166&gt;0,AG1166/R1166,0))/MAX(0.1,N(Parameter!$M$21)))</f>
        <v>1.12052730696798</v>
      </c>
      <c r="AI1166" s="57" t="n">
        <f aca="false">AF1166*G1166</f>
        <v>741.05</v>
      </c>
      <c r="AJ1166" s="57" t="n">
        <f aca="false">ROUNDUP(MAX(J1166/IF(BZ1166&gt;0,BZ1166,MAX(0.1,N(Cockpit!$C$6))),CC1166)/BS1166,0)*BS1166</f>
        <v>22</v>
      </c>
      <c r="AK1166" s="58" t="n">
        <f aca="false">IF(AH1166&gt;0,J1166/AH1166,-1)</f>
        <v>25.8806722689076</v>
      </c>
      <c r="AL1166" s="58" t="n">
        <f aca="false">IF(AND(OR(BY1166="L1",BY1166="L23"),AH1166&gt;0),SUMIFS($AH$7:$AH$1843,$BY$7:$BY$1843,BY1166,$AK$7:$AK$1843,"&gt;"&amp;AK1166)+SUMIFS($AH$7:$AH$1843,$BY$7:$BY$1843,BY1166,$AK$7:$AK$1843,AK1166,$BQ$7:$BQ$1843,"&lt;="&amp;BQ1166),"")</f>
        <v>17.6952805648458</v>
      </c>
      <c r="AM1166" s="65" t="n">
        <f aca="false">IF(AL1166="",0,MAX(0,MIN(1,(IF(BY1166="L1",Parameter!$E$5,Parameter!$E$6+Parameter!$E$7)-(AL1166-AH1166))/AH1166)))</f>
        <v>1</v>
      </c>
      <c r="AN1166" s="57" t="n">
        <f aca="false">IF(LEFT(Cockpit!$I$5,1)="A",H1166,IF(CA1166=1,CB1166,IF(LEFT(Cockpit!$I$5,1)="B",AR1166,MAX(AR1166,H1166))))</f>
        <v>22</v>
      </c>
      <c r="AO1166" s="57" t="n">
        <f aca="false">IF(BT1166=1,0,ROUNDUP(AN1166/BS1166,0))</f>
        <v>0</v>
      </c>
      <c r="AP1166" s="59" t="n">
        <f aca="false">IF(CH1166&gt;0,CH1166*MAX(1,AN1166/X1166),IF(BT1166=1,IF(AN1166&lt;=0,0,BW1166*MAX(1,IF(H1166&gt;0,AN1166/H1166,1))),IF(R1166&gt;0,AO1166/R1166,0))/MAX(0.1,N(Parameter!$M$21)))</f>
        <v>1.7608286252354</v>
      </c>
      <c r="AQ1166" s="57" t="n">
        <f aca="false">AN1166*G1166</f>
        <v>3260.62</v>
      </c>
      <c r="AR1166" s="57" t="n">
        <f aca="false">ROUNDUP(MAX(J1166/IF(BZ1166&gt;0,BZ1166,MAX(0.1,N(Cockpit!$I$6))),CC1166)/BS1166,0)*BS1166</f>
        <v>22</v>
      </c>
      <c r="AS1166" s="58" t="n">
        <f aca="false">IF(AP1166&gt;0,J1166/AP1166,-1)</f>
        <v>16.4695187165775</v>
      </c>
      <c r="AT1166" s="58" t="n">
        <f aca="false">IF(AND(OR(BY1166="L1",BY1166="L23"),AP1166&gt;0),SUMIFS($AP$7:$AP$1843,$BY$7:$BY$1843,BY1166,$AS$7:$AS$1843,"&gt;"&amp;AS1166)+SUMIFS($AP$7:$AP$1843,$BY$7:$BY$1843,BY1166,$AS$7:$AS$1843,AS1166,$BQ$7:$BQ$1843,"&lt;="&amp;BQ1166),"")</f>
        <v>43.1196612688875</v>
      </c>
      <c r="AU1166" s="65" t="n">
        <f aca="false">IF(AT1166="",0,MAX(0,MIN(1,(IF(BY1166="L1",Parameter!$E$5,Parameter!$E$6+Parameter!$E$7)-(AT1166-AP1166))/AP1166)))</f>
        <v>1</v>
      </c>
      <c r="AV1166" s="57" t="n">
        <f aca="false">IF(LEFT(Cockpit!$O$5,1)="A",H1166,IF(CA1166=1,CB1166,IF(LEFT(Cockpit!$O$5,1)="B",AZ1166,MAX(AZ1166,H1166))))</f>
        <v>22</v>
      </c>
      <c r="AW1166" s="57" t="n">
        <f aca="false">IF(BT1166=1,0,ROUNDUP(AV1166/BS1166,0))</f>
        <v>0</v>
      </c>
      <c r="AX1166" s="59" t="n">
        <f aca="false">IF(CH1166&gt;0,CH1166*MAX(1,AV1166/X1166),IF(BT1166=1,IF(AV1166&lt;=0,0,BW1166*MAX(1,IF(H1166&gt;0,AV1166/H1166,1))),IF(R1166&gt;0,AW1166/R1166,0))/MAX(0.1,N(Parameter!$M$21)))</f>
        <v>1.7608286252354</v>
      </c>
      <c r="AY1166" s="57" t="n">
        <f aca="false">AV1166*G1166</f>
        <v>3260.62</v>
      </c>
      <c r="AZ1166" s="57" t="n">
        <f aca="false">ROUNDUP(MAX(J1166/IF(BZ1166&gt;0,BZ1166,MAX(0.1,N(Cockpit!$O$6))),CC1166)/BS1166,0)*BS1166</f>
        <v>22</v>
      </c>
      <c r="BA1166" s="58" t="n">
        <f aca="false">IF(AX1166&gt;0,J1166/AX1166,-1)</f>
        <v>16.4695187165775</v>
      </c>
      <c r="BB1166" s="58" t="n">
        <f aca="false">IF(AND(OR(BY1166="L1",BY1166="L23"),AX1166&gt;0),SUMIFS($AX$7:$AX$1843,$BY$7:$BY$1843,BY1166,$BA$7:$BA$1843,"&gt;"&amp;BA1166)+SUMIFS($AX$7:$AX$1843,$BY$7:$BY$1843,BY1166,$BA$7:$BA$1843,BA1166,$BQ$7:$BQ$1843,"&lt;="&amp;BQ1166),"")</f>
        <v>36.7864728001058</v>
      </c>
      <c r="BC1166" s="65" t="n">
        <f aca="false">IF(BB1166="",0,MAX(0,MIN(1,(IF(BY1166="L1",Parameter!$E$5,Parameter!$E$6+Parameter!$E$7)-(BB1166-AX1166))/AX1166)))</f>
        <v>1</v>
      </c>
      <c r="BD1166" s="55" t="str">
        <f aca="false">IF(AH1166&lt;=0,"",IF(BY1166="Aussen","Aussenlager",IF(BY1166="-","Nicht im Lift",IF(AM1166&gt;=1,"Lift",IF(AM1166&lt;=0,"Aussenlager","teilweise")))))</f>
        <v>Lift</v>
      </c>
      <c r="BE1166" s="55" t="str">
        <f aca="false">IF(AP1166&lt;=0,"",IF(BY1166="Aussen","Aussenlager",IF(BY1166="-","Nicht im Lift",IF(AU1166&gt;=1,"Lift",IF(AU1166&lt;=0,"Aussenlager","teilweise")))))</f>
        <v>Lift</v>
      </c>
      <c r="BF1166" s="55" t="str">
        <f aca="false">IF(AX1166&lt;=0,"",IF(BY1166="Aussen","Aussenlager",IF(BY1166="-","Nicht im Lift",IF(BC1166&gt;=1,"Lift",IF(BC1166&lt;=0,"Aussenlager","teilweise")))))</f>
        <v>Lift</v>
      </c>
      <c r="BG1166" s="55" t="str">
        <f aca="false">IF(A1166="","",IF(BP1166=1,"Neu; ","")&amp;IF(AND(BP1166=0,BK1166&lt;0),"negativer Bestand (Export "&amp;BK1166&amp;"); ","")&amp;IF(J1166&lt;=0,"Kein Verbrauch; ","")&amp;IF(CH1166&gt;0,"Lift "&amp;W1166&amp;" lt. Liftbericht (Fach "&amp;X1166&amp;" Stk); ",IF(BU1166=1,"Gebinde geschätzt ("&amp;T1166&amp;"); ",IF(BT1166=1,"Lose – Tablare geschätzt; ","")))&amp;IF(H1166&gt;AR1166,"Überbestand "&amp;ROUND(H1166-AR1166,0)&amp;" Stk / CHF "&amp;ROUND((H1166-AR1166)*G1166,0)&amp;"; ","")&amp;IF(AND(CA1166=1,CB1166&lt;CC1166),"MAX &lt; MB+LG; ","")&amp;IF(AND(CG1166&gt;0,CF1166*10&gt;CG1166),"zu hoch für Tablar; ","")&amp;IF(AND(BP1166=0,OR(CA1166=1,AA1166&lt;&gt;"",U1166&lt;&gt;"",V1166&lt;&gt;"",AB1166&lt;&gt;"")),"manuell übersteuert; ","")&amp;IF(AND(BT1166=0,R1166=0),"Gebinde unbekannt / Stellmass fehlt; ","")&amp;IF(AND(BT1166=0,N(V1166)&lt;=0,N(Q1166)&lt;=0),"Menge pro Gebinde fehlt (Ist = 1 Gebinde); ","")&amp;BO1166)</f>
        <v>negativer Bestand (Export -2); Lift 1 lt. Liftbericht (Fach 14 Stk); </v>
      </c>
      <c r="BH1166" s="55"/>
      <c r="BI1166" s="55"/>
      <c r="BJ1166" s="62"/>
      <c r="BK1166" s="57" t="n">
        <v>-2</v>
      </c>
      <c r="BL1166" s="57" t="n">
        <v>9</v>
      </c>
      <c r="BM1166" s="56" t="n">
        <v>-343.76</v>
      </c>
      <c r="BN1166" s="57" t="n">
        <v>29</v>
      </c>
      <c r="BO1166" s="55"/>
      <c r="BP1166" s="60" t="n">
        <v>0</v>
      </c>
      <c r="BQ1166" s="60" t="n">
        <v>1166</v>
      </c>
      <c r="BR1166" s="55" t="str">
        <f aca="false">IF(U1166&lt;&gt;"",UPPER(TRIM(U1166)),IF(BU1166=1,UPPER(VLOOKUP(T1166,Parameter!$I$27:$K$29,2,0)),IF(P1166="","LOSE",P1166)))</f>
        <v>LOSE</v>
      </c>
      <c r="BS1166" s="57" t="n">
        <f aca="false">IF(BR1166="LOSE",1,IF(N(V1166)&gt;0,V1166,IF(BU1166=1,MAX(1,N(VLOOKUP(T1166,Parameter!$I$27:$K$29,3,0)),H1166,N(N1166)),IF(N(Q1166)&gt;0,Q1166,MAX(1,H1166)))))</f>
        <v>1</v>
      </c>
      <c r="BT1166" s="60" t="n">
        <f aca="false">IF(BR1166="LOSE",1,0)</f>
        <v>1</v>
      </c>
      <c r="BU1166" s="60" t="n">
        <f aca="false">IF(AND(U1166="",OR(P1166="",P1166="LOSE"),T1166&lt;&gt;"",N(S1166)&lt;=0,ISNUMBER(MATCH(T1166,Parameter!$I$27:$I$29,0))),1,0)</f>
        <v>0</v>
      </c>
      <c r="BV1166" s="55" t="n">
        <f aca="false">IF(AND(Parameter!$B$19="Ja",E1166&lt;&gt;"",ISNUMBER(MATCH(E1166,Parameter!$I$35:$I$52,0))),VLOOKUP(E1166,Parameter!$I$35:$J$52,2,0),IFERROR(VLOOKUP(D1166,Parameter!$A$35:$C$64,2,0),"Nein"))</f>
        <v>1</v>
      </c>
      <c r="BW1166" s="59" t="n">
        <f aca="false">IF(BT1166=0,0,IF(N(S1166)&gt;0,S1166,IFERROR(VLOOKUP(D1166,Parameter!$A$35:$C$64,3,0)+0,0)))</f>
        <v>0.15</v>
      </c>
      <c r="BX1166" s="55" t="n">
        <f aca="false">IF(AA1166&lt;&gt;"",AA1166,Z1166)</f>
        <v>1</v>
      </c>
      <c r="BY1166" s="55" t="str">
        <f aca="false">IF(BX1166=1,"L1",IF(OR(BX1166=2,BX1166=3),"L23",IF(BX1166="Aussen","Aussen","-")))</f>
        <v>L1</v>
      </c>
      <c r="BZ1166" s="66" t="n">
        <f aca="false">IF(N(AB1166)&gt;0,AB1166,0)</f>
        <v>0</v>
      </c>
      <c r="CA1166" s="60" t="n">
        <f aca="false">IF(ISNUMBER(AE1166),1,0)</f>
        <v>0</v>
      </c>
      <c r="CB1166" s="57" t="n">
        <f aca="false">N(AE1166)</f>
        <v>0</v>
      </c>
      <c r="CC1166" s="57" t="n">
        <f aca="false">N(M1166)+N(N1166)</f>
        <v>22</v>
      </c>
      <c r="CD1166" s="57" t="n">
        <f aca="false">ROUNDUP(H1166/BS1166,0)</f>
        <v>5</v>
      </c>
      <c r="CE1166" s="57" t="n">
        <f aca="false">ROUNDUP(CB1166/BS1166,0)</f>
        <v>0</v>
      </c>
      <c r="CF1166" s="60" t="n">
        <f aca="false">IF(BT1166=1,0,IFERROR(VLOOKUP(BR1166,'Gebinde-Kategorie'!$A$5:$M$45,5,0)+0,0))</f>
        <v>0</v>
      </c>
      <c r="CG1166" s="60" t="n">
        <f aca="false">IFERROR(IF(OR(BX1166=1,BX1166=2,BX1166=3),N(INDEX(Parameter!$I$5:$I$7,BX1166)),0),0)</f>
        <v>0</v>
      </c>
      <c r="CH1166" s="59" t="n">
        <f aca="false">IF(AND(Parameter!$B$21="Ja",ISNUMBER(W1166),N(X1166)&gt;0),IFERROR(N(INDEX(Parameter!$L$5:$L$7,W1166))*INDEX(Parameter!$E$5:$E$7,W1166)*X1166/SUMIFS($X$7:$X$1843,$W$7:$W$1843,W1166),0),0)</f>
        <v>1.12052730696798</v>
      </c>
    </row>
    <row r="1167" customFormat="false" ht="15" hidden="false" customHeight="false" outlineLevel="0" collapsed="false">
      <c r="A1167" s="55" t="s">
        <v>2102</v>
      </c>
      <c r="B1167" s="55" t="s">
        <v>435</v>
      </c>
      <c r="C1167" s="55" t="s">
        <v>164</v>
      </c>
      <c r="D1167" s="55" t="s">
        <v>184</v>
      </c>
      <c r="E1167" s="55" t="s">
        <v>185</v>
      </c>
      <c r="F1167" s="55" t="s">
        <v>218</v>
      </c>
      <c r="G1167" s="56" t="n">
        <v>43.31</v>
      </c>
      <c r="H1167" s="57" t="n">
        <f aca="false">MAX(0,IF(AND(Parameter!$B$21="Ja",ISNUMBER(Y1167)),Y1167,IF(Parameter!$B$20="Jahresanfang 2025 + Export",BL1167+BK1167,BK1167)))</f>
        <v>23</v>
      </c>
      <c r="I1167" s="57" t="n">
        <f aca="false">H1167*G1167</f>
        <v>996.13</v>
      </c>
      <c r="J1167" s="57" t="n">
        <f aca="false">BN1167*Parameter!$B$18</f>
        <v>8</v>
      </c>
      <c r="K1167" s="58" t="n">
        <v>27</v>
      </c>
      <c r="L1167" s="59" t="n">
        <v>0.296296296296296</v>
      </c>
      <c r="M1167" s="57" t="n">
        <v>0</v>
      </c>
      <c r="N1167" s="57" t="n">
        <v>10</v>
      </c>
      <c r="O1167" s="60" t="n">
        <v>14</v>
      </c>
      <c r="P1167" s="55" t="s">
        <v>328</v>
      </c>
      <c r="Q1167" s="57" t="n">
        <v>25</v>
      </c>
      <c r="R1167" s="60" t="n">
        <f aca="false">IF(BT1167=1,0,IFERROR(VLOOKUP(BR1167,'Gebinde-Kategorie'!$A$5:$M$45,13,0)+0,0))</f>
        <v>52</v>
      </c>
      <c r="S1167" s="61"/>
      <c r="T1167" s="62"/>
      <c r="U1167" s="62"/>
      <c r="V1167" s="62"/>
      <c r="W1167" s="55"/>
      <c r="X1167" s="57"/>
      <c r="Y1167" s="57"/>
      <c r="Z1167" s="55" t="n">
        <f aca="false">IF(A1167="","",IF(AND(Parameter!$B$21="Ja",ISNUMBER(W1167)),W1167,IF(BV1167="2+3",IF(ISNUMBER(SEARCH("grosser Artikel",BO1167)),2,IFERROR(VLOOKUP(BR1167,Parameter!$F$35:$G$64,2,0),2)),IF(OR(BV1167="Nein",BV1167=""),"-",BV1167))))</f>
        <v>3</v>
      </c>
      <c r="AA1167" s="62"/>
      <c r="AB1167" s="63"/>
      <c r="AC1167" s="57" t="n">
        <f aca="false">AR1167</f>
        <v>25</v>
      </c>
      <c r="AD1167" s="57" t="n">
        <f aca="false">MAX(AR1167,H1167)</f>
        <v>25</v>
      </c>
      <c r="AE1167" s="64"/>
      <c r="AF1167" s="57" t="n">
        <f aca="false">IF(LEFT(Cockpit!$C$5,1)="A",H1167,IF(CA1167=1,CB1167,IF(LEFT(Cockpit!$C$5,1)="B",AJ1167,MAX(AJ1167,H1167))))</f>
        <v>23</v>
      </c>
      <c r="AG1167" s="57" t="n">
        <f aca="false">IF(BT1167=1,0,ROUNDUP(AF1167/BS1167,0))</f>
        <v>1</v>
      </c>
      <c r="AH1167" s="59" t="n">
        <f aca="false">IF(CH1167&gt;0,CH1167*MAX(1,AF1167/X1167),IF(BT1167=1,IF(AF1167&lt;=0,0,BW1167*MAX(1,IF(H1167&gt;0,AF1167/H1167,1))),IF(R1167&gt;0,AG1167/R1167,0))/MAX(0.1,N(Parameter!$M$21)))</f>
        <v>0.0192307692307692</v>
      </c>
      <c r="AI1167" s="57" t="n">
        <f aca="false">AF1167*G1167</f>
        <v>996.13</v>
      </c>
      <c r="AJ1167" s="57" t="n">
        <f aca="false">ROUNDUP(MAX(J1167/IF(BZ1167&gt;0,BZ1167,MAX(0.1,N(Cockpit!$C$6))),CC1167)/BS1167,0)*BS1167</f>
        <v>25</v>
      </c>
      <c r="AK1167" s="58" t="n">
        <f aca="false">IF(AH1167&gt;0,J1167/AH1167,-1)</f>
        <v>416</v>
      </c>
      <c r="AL1167" s="58" t="n">
        <f aca="false">IF(AND(OR(BY1167="L1",BY1167="L23"),AH1167&gt;0),SUMIFS($AH$7:$AH$1843,$BY$7:$BY$1843,BY1167,$AK$7:$AK$1843,"&gt;"&amp;AK1167)+SUMIFS($AH$7:$AH$1843,$BY$7:$BY$1843,BY1167,$AK$7:$AK$1843,AK1167,$BQ$7:$BQ$1843,"&lt;="&amp;BQ1167),"")</f>
        <v>25.4114219114219</v>
      </c>
      <c r="AM1167" s="65" t="n">
        <f aca="false">IF(AL1167="",0,MAX(0,MIN(1,(IF(BY1167="L1",Parameter!$E$5,Parameter!$E$6+Parameter!$E$7)-(AL1167-AH1167))/AH1167)))</f>
        <v>1</v>
      </c>
      <c r="AN1167" s="57" t="n">
        <f aca="false">IF(LEFT(Cockpit!$I$5,1)="A",H1167,IF(CA1167=1,CB1167,IF(LEFT(Cockpit!$I$5,1)="B",AR1167,MAX(AR1167,H1167))))</f>
        <v>25</v>
      </c>
      <c r="AO1167" s="57" t="n">
        <f aca="false">IF(BT1167=1,0,ROUNDUP(AN1167/BS1167,0))</f>
        <v>1</v>
      </c>
      <c r="AP1167" s="59" t="n">
        <f aca="false">IF(CH1167&gt;0,CH1167*MAX(1,AN1167/X1167),IF(BT1167=1,IF(AN1167&lt;=0,0,BW1167*MAX(1,IF(H1167&gt;0,AN1167/H1167,1))),IF(R1167&gt;0,AO1167/R1167,0))/MAX(0.1,N(Parameter!$M$21)))</f>
        <v>0.0192307692307692</v>
      </c>
      <c r="AQ1167" s="57" t="n">
        <f aca="false">AN1167*G1167</f>
        <v>1082.75</v>
      </c>
      <c r="AR1167" s="57" t="n">
        <f aca="false">ROUNDUP(MAX(J1167/IF(BZ1167&gt;0,BZ1167,MAX(0.1,N(Cockpit!$I$6))),CC1167)/BS1167,0)*BS1167</f>
        <v>25</v>
      </c>
      <c r="AS1167" s="58" t="n">
        <f aca="false">IF(AP1167&gt;0,J1167/AP1167,-1)</f>
        <v>416</v>
      </c>
      <c r="AT1167" s="58" t="n">
        <f aca="false">IF(AND(OR(BY1167="L1",BY1167="L23"),AP1167&gt;0),SUMIFS($AP$7:$AP$1843,$BY$7:$BY$1843,BY1167,$AS$7:$AS$1843,"&gt;"&amp;AS1167)+SUMIFS($AP$7:$AP$1843,$BY$7:$BY$1843,BY1167,$AS$7:$AS$1843,AS1167,$BQ$7:$BQ$1843,"&lt;="&amp;BQ1167),"")</f>
        <v>34.8321593865072</v>
      </c>
      <c r="AU1167" s="65" t="n">
        <f aca="false">IF(AT1167="",0,MAX(0,MIN(1,(IF(BY1167="L1",Parameter!$E$5,Parameter!$E$6+Parameter!$E$7)-(AT1167-AP1167))/AP1167)))</f>
        <v>1</v>
      </c>
      <c r="AV1167" s="57" t="n">
        <f aca="false">IF(LEFT(Cockpit!$O$5,1)="A",H1167,IF(CA1167=1,CB1167,IF(LEFT(Cockpit!$O$5,1)="B",AZ1167,MAX(AZ1167,H1167))))</f>
        <v>25</v>
      </c>
      <c r="AW1167" s="57" t="n">
        <f aca="false">IF(BT1167=1,0,ROUNDUP(AV1167/BS1167,0))</f>
        <v>1</v>
      </c>
      <c r="AX1167" s="59" t="n">
        <f aca="false">IF(CH1167&gt;0,CH1167*MAX(1,AV1167/X1167),IF(BT1167=1,IF(AV1167&lt;=0,0,BW1167*MAX(1,IF(H1167&gt;0,AV1167/H1167,1))),IF(R1167&gt;0,AW1167/R1167,0))/MAX(0.1,N(Parameter!$M$21)))</f>
        <v>0.0192307692307692</v>
      </c>
      <c r="AY1167" s="57" t="n">
        <f aca="false">AV1167*G1167</f>
        <v>1082.75</v>
      </c>
      <c r="AZ1167" s="57" t="n">
        <f aca="false">ROUNDUP(MAX(J1167/IF(BZ1167&gt;0,BZ1167,MAX(0.1,N(Cockpit!$O$6))),CC1167)/BS1167,0)*BS1167</f>
        <v>25</v>
      </c>
      <c r="BA1167" s="58" t="n">
        <f aca="false">IF(AX1167&gt;0,J1167/AX1167,-1)</f>
        <v>416</v>
      </c>
      <c r="BB1167" s="58" t="n">
        <f aca="false">IF(AND(OR(BY1167="L1",BY1167="L23"),AX1167&gt;0),SUMIFS($AX$7:$AX$1843,$BY$7:$BY$1843,BY1167,$BA$7:$BA$1843,"&gt;"&amp;BA1167)+SUMIFS($AX$7:$AX$1843,$BY$7:$BY$1843,BY1167,$BA$7:$BA$1843,BA1167,$BQ$7:$BQ$1843,"&lt;="&amp;BQ1167),"")</f>
        <v>34.2453295496774</v>
      </c>
      <c r="BC1167" s="65" t="n">
        <f aca="false">IF(BB1167="",0,MAX(0,MIN(1,(IF(BY1167="L1",Parameter!$E$5,Parameter!$E$6+Parameter!$E$7)-(BB1167-AX1167))/AX1167)))</f>
        <v>1</v>
      </c>
      <c r="BD1167" s="55" t="str">
        <f aca="false">IF(AH1167&lt;=0,"",IF(BY1167="Aussen","Aussenlager",IF(BY1167="-","Nicht im Lift",IF(AM1167&gt;=1,"Lift",IF(AM1167&lt;=0,"Aussenlager","teilweise")))))</f>
        <v>Lift</v>
      </c>
      <c r="BE1167" s="55" t="str">
        <f aca="false">IF(AP1167&lt;=0,"",IF(BY1167="Aussen","Aussenlager",IF(BY1167="-","Nicht im Lift",IF(AU1167&gt;=1,"Lift",IF(AU1167&lt;=0,"Aussenlager","teilweise")))))</f>
        <v>Lift</v>
      </c>
      <c r="BF1167" s="55" t="str">
        <f aca="false">IF(AX1167&lt;=0,"",IF(BY1167="Aussen","Aussenlager",IF(BY1167="-","Nicht im Lift",IF(BC1167&gt;=1,"Lift",IF(BC1167&lt;=0,"Aussenlager","teilweise")))))</f>
        <v>Lift</v>
      </c>
      <c r="BG1167" s="55" t="str">
        <f aca="false">IF(A1167="","",IF(BP1167=1,"Neu; ","")&amp;IF(AND(BP1167=0,BK1167&lt;0),"negativer Bestand (Export "&amp;BK1167&amp;"); ","")&amp;IF(J1167&lt;=0,"Kein Verbrauch; ","")&amp;IF(CH1167&gt;0,"Lift "&amp;W1167&amp;" lt. Liftbericht (Fach "&amp;X1167&amp;" Stk); ",IF(BU1167=1,"Gebinde geschätzt ("&amp;T1167&amp;"); ",IF(BT1167=1,"Lose – Tablare geschätzt; ","")))&amp;IF(H1167&gt;AR1167,"Überbestand "&amp;ROUND(H1167-AR1167,0)&amp;" Stk / CHF "&amp;ROUND((H1167-AR1167)*G1167,0)&amp;"; ","")&amp;IF(AND(CA1167=1,CB1167&lt;CC1167),"MAX &lt; MB+LG; ","")&amp;IF(AND(CG1167&gt;0,CF1167*10&gt;CG1167),"zu hoch für Tablar; ","")&amp;IF(AND(BP1167=0,OR(CA1167=1,AA1167&lt;&gt;"",U1167&lt;&gt;"",V1167&lt;&gt;"",AB1167&lt;&gt;"")),"manuell übersteuert; ","")&amp;IF(AND(BT1167=0,R1167=0),"Gebinde unbekannt / Stellmass fehlt; ","")&amp;IF(AND(BT1167=0,N(V1167)&lt;=0,N(Q1167)&lt;=0),"Menge pro Gebinde fehlt (Ist = 1 Gebinde); ","")&amp;BO1167)</f>
        <v>negativer Bestand (Export -8); </v>
      </c>
      <c r="BH1167" s="55"/>
      <c r="BI1167" s="55"/>
      <c r="BJ1167" s="62"/>
      <c r="BK1167" s="57" t="n">
        <v>-8</v>
      </c>
      <c r="BL1167" s="57" t="n">
        <v>31</v>
      </c>
      <c r="BM1167" s="56" t="n">
        <v>-346.48</v>
      </c>
      <c r="BN1167" s="57" t="n">
        <v>8</v>
      </c>
      <c r="BO1167" s="55"/>
      <c r="BP1167" s="60" t="n">
        <v>0</v>
      </c>
      <c r="BQ1167" s="60" t="n">
        <v>1167</v>
      </c>
      <c r="BR1167" s="55" t="str">
        <f aca="false">IF(U1167&lt;&gt;"",UPPER(TRIM(U1167)),IF(BU1167=1,UPPER(VLOOKUP(T1167,Parameter!$I$27:$K$29,2,0)),IF(P1167="","LOSE",P1167)))</f>
        <v>S41</v>
      </c>
      <c r="BS1167" s="57" t="n">
        <f aca="false">IF(BR1167="LOSE",1,IF(N(V1167)&gt;0,V1167,IF(BU1167=1,MAX(1,N(VLOOKUP(T1167,Parameter!$I$27:$K$29,3,0)),H1167,N(N1167)),IF(N(Q1167)&gt;0,Q1167,MAX(1,H1167)))))</f>
        <v>25</v>
      </c>
      <c r="BT1167" s="60" t="n">
        <f aca="false">IF(BR1167="LOSE",1,0)</f>
        <v>0</v>
      </c>
      <c r="BU1167" s="60" t="n">
        <f aca="false">IF(AND(U1167="",OR(P1167="",P1167="LOSE"),T1167&lt;&gt;"",N(S1167)&lt;=0,ISNUMBER(MATCH(T1167,Parameter!$I$27:$I$29,0))),1,0)</f>
        <v>0</v>
      </c>
      <c r="BV1167" s="55" t="str">
        <f aca="false">IF(AND(Parameter!$B$19="Ja",E1167&lt;&gt;"",ISNUMBER(MATCH(E1167,Parameter!$I$35:$I$52,0))),VLOOKUP(E1167,Parameter!$I$35:$J$52,2,0),IFERROR(VLOOKUP(D1167,Parameter!$A$35:$C$64,2,0),"Nein"))</f>
        <v>2+3</v>
      </c>
      <c r="BW1167" s="59" t="n">
        <f aca="false">IF(BT1167=0,0,IF(N(S1167)&gt;0,S1167,IFERROR(VLOOKUP(D1167,Parameter!$A$35:$C$64,3,0)+0,0)))</f>
        <v>0</v>
      </c>
      <c r="BX1167" s="55" t="n">
        <f aca="false">IF(AA1167&lt;&gt;"",AA1167,Z1167)</f>
        <v>3</v>
      </c>
      <c r="BY1167" s="55" t="str">
        <f aca="false">IF(BX1167=1,"L1",IF(OR(BX1167=2,BX1167=3),"L23",IF(BX1167="Aussen","Aussen","-")))</f>
        <v>L23</v>
      </c>
      <c r="BZ1167" s="66" t="n">
        <f aca="false">IF(N(AB1167)&gt;0,AB1167,0)</f>
        <v>0</v>
      </c>
      <c r="CA1167" s="60" t="n">
        <f aca="false">IF(ISNUMBER(AE1167),1,0)</f>
        <v>0</v>
      </c>
      <c r="CB1167" s="57" t="n">
        <f aca="false">N(AE1167)</f>
        <v>0</v>
      </c>
      <c r="CC1167" s="57" t="n">
        <f aca="false">N(M1167)+N(N1167)</f>
        <v>10</v>
      </c>
      <c r="CD1167" s="57" t="n">
        <f aca="false">ROUNDUP(H1167/BS1167,0)</f>
        <v>1</v>
      </c>
      <c r="CE1167" s="57" t="n">
        <f aca="false">ROUNDUP(CB1167/BS1167,0)</f>
        <v>0</v>
      </c>
      <c r="CF1167" s="60" t="n">
        <f aca="false">IF(BT1167=1,0,IFERROR(VLOOKUP(BR1167,'Gebinde-Kategorie'!$A$5:$M$45,5,0)+0,0))</f>
        <v>11</v>
      </c>
      <c r="CG1167" s="60" t="n">
        <f aca="false">IFERROR(IF(OR(BX1167=1,BX1167=2,BX1167=3),N(INDEX(Parameter!$I$5:$I$7,BX1167)),0),0)</f>
        <v>0</v>
      </c>
      <c r="CH1167" s="59" t="n">
        <f aca="false">IF(AND(Parameter!$B$21="Ja",ISNUMBER(W1167),N(X1167)&gt;0),IFERROR(N(INDEX(Parameter!$L$5:$L$7,W1167))*INDEX(Parameter!$E$5:$E$7,W1167)*X1167/SUMIFS($X$7:$X$1843,$W$7:$W$1843,W1167),0),0)</f>
        <v>0</v>
      </c>
    </row>
    <row r="1168" customFormat="false" ht="15" hidden="false" customHeight="false" outlineLevel="0" collapsed="false">
      <c r="A1168" s="55" t="s">
        <v>2103</v>
      </c>
      <c r="B1168" s="55" t="s">
        <v>2104</v>
      </c>
      <c r="C1168" s="55" t="s">
        <v>164</v>
      </c>
      <c r="D1168" s="55" t="s">
        <v>184</v>
      </c>
      <c r="E1168" s="55" t="s">
        <v>185</v>
      </c>
      <c r="F1168" s="55" t="s">
        <v>218</v>
      </c>
      <c r="G1168" s="56" t="n">
        <v>116.46</v>
      </c>
      <c r="H1168" s="57" t="n">
        <f aca="false">MAX(0,IF(AND(Parameter!$B$21="Ja",ISNUMBER(Y1168)),Y1168,IF(Parameter!$B$20="Jahresanfang 2025 + Export",BL1168+BK1168,BK1168)))</f>
        <v>46</v>
      </c>
      <c r="I1168" s="57" t="n">
        <f aca="false">H1168*G1168</f>
        <v>5357.16</v>
      </c>
      <c r="J1168" s="57" t="n">
        <f aca="false">BN1168*Parameter!$B$18</f>
        <v>3</v>
      </c>
      <c r="K1168" s="58" t="n">
        <v>48.5</v>
      </c>
      <c r="L1168" s="59" t="n">
        <v>0.0618556701030928</v>
      </c>
      <c r="M1168" s="57" t="n">
        <v>0</v>
      </c>
      <c r="N1168" s="57" t="n">
        <v>5</v>
      </c>
      <c r="O1168" s="60" t="n">
        <v>28</v>
      </c>
      <c r="P1168" s="55" t="s">
        <v>226</v>
      </c>
      <c r="Q1168" s="57" t="n">
        <v>50</v>
      </c>
      <c r="R1168" s="60" t="n">
        <f aca="false">IF(BT1168=1,0,IFERROR(VLOOKUP(BR1168,'Gebinde-Kategorie'!$A$5:$M$45,13,0)+0,0))</f>
        <v>12</v>
      </c>
      <c r="S1168" s="61"/>
      <c r="T1168" s="62"/>
      <c r="U1168" s="62"/>
      <c r="V1168" s="62"/>
      <c r="W1168" s="55"/>
      <c r="X1168" s="57"/>
      <c r="Y1168" s="57"/>
      <c r="Z1168" s="55" t="n">
        <f aca="false">IF(A1168="","",IF(AND(Parameter!$B$21="Ja",ISNUMBER(W1168)),W1168,IF(BV1168="2+3",IF(ISNUMBER(SEARCH("grosser Artikel",BO1168)),2,IFERROR(VLOOKUP(BR1168,Parameter!$F$35:$G$64,2,0),2)),IF(OR(BV1168="Nein",BV1168=""),"-",BV1168))))</f>
        <v>2</v>
      </c>
      <c r="AA1168" s="62"/>
      <c r="AB1168" s="63"/>
      <c r="AC1168" s="57" t="n">
        <f aca="false">AR1168</f>
        <v>50</v>
      </c>
      <c r="AD1168" s="57" t="n">
        <f aca="false">MAX(AR1168,H1168)</f>
        <v>50</v>
      </c>
      <c r="AE1168" s="64"/>
      <c r="AF1168" s="57" t="n">
        <f aca="false">IF(LEFT(Cockpit!$C$5,1)="A",H1168,IF(CA1168=1,CB1168,IF(LEFT(Cockpit!$C$5,1)="B",AJ1168,MAX(AJ1168,H1168))))</f>
        <v>46</v>
      </c>
      <c r="AG1168" s="57" t="n">
        <f aca="false">IF(BT1168=1,0,ROUNDUP(AF1168/BS1168,0))</f>
        <v>1</v>
      </c>
      <c r="AH1168" s="59" t="n">
        <f aca="false">IF(CH1168&gt;0,CH1168*MAX(1,AF1168/X1168),IF(BT1168=1,IF(AF1168&lt;=0,0,BW1168*MAX(1,IF(H1168&gt;0,AF1168/H1168,1))),IF(R1168&gt;0,AG1168/R1168,0))/MAX(0.1,N(Parameter!$M$21)))</f>
        <v>0.0833333333333333</v>
      </c>
      <c r="AI1168" s="57" t="n">
        <f aca="false">AF1168*G1168</f>
        <v>5357.16</v>
      </c>
      <c r="AJ1168" s="57" t="n">
        <f aca="false">ROUNDUP(MAX(J1168/IF(BZ1168&gt;0,BZ1168,MAX(0.1,N(Cockpit!$C$6))),CC1168)/BS1168,0)*BS1168</f>
        <v>50</v>
      </c>
      <c r="AK1168" s="58" t="n">
        <f aca="false">IF(AH1168&gt;0,J1168/AH1168,-1)</f>
        <v>36</v>
      </c>
      <c r="AL1168" s="58" t="n">
        <f aca="false">IF(AND(OR(BY1168="L1",BY1168="L23"),AH1168&gt;0),SUMIFS($AH$7:$AH$1843,$BY$7:$BY$1843,BY1168,$AK$7:$AK$1843,"&gt;"&amp;AK1168)+SUMIFS($AH$7:$AH$1843,$BY$7:$BY$1843,BY1168,$AK$7:$AK$1843,AK1168,$BQ$7:$BQ$1843,"&lt;="&amp;BQ1168),"")</f>
        <v>46.4471555015033</v>
      </c>
      <c r="AM1168" s="65" t="n">
        <f aca="false">IF(AL1168="",0,MAX(0,MIN(1,(IF(BY1168="L1",Parameter!$E$5,Parameter!$E$6+Parameter!$E$7)-(AL1168-AH1168))/AH1168)))</f>
        <v>1</v>
      </c>
      <c r="AN1168" s="57" t="n">
        <f aca="false">IF(LEFT(Cockpit!$I$5,1)="A",H1168,IF(CA1168=1,CB1168,IF(LEFT(Cockpit!$I$5,1)="B",AR1168,MAX(AR1168,H1168))))</f>
        <v>50</v>
      </c>
      <c r="AO1168" s="57" t="n">
        <f aca="false">IF(BT1168=1,0,ROUNDUP(AN1168/BS1168,0))</f>
        <v>1</v>
      </c>
      <c r="AP1168" s="59" t="n">
        <f aca="false">IF(CH1168&gt;0,CH1168*MAX(1,AN1168/X1168),IF(BT1168=1,IF(AN1168&lt;=0,0,BW1168*MAX(1,IF(H1168&gt;0,AN1168/H1168,1))),IF(R1168&gt;0,AO1168/R1168,0))/MAX(0.1,N(Parameter!$M$21)))</f>
        <v>0.0833333333333333</v>
      </c>
      <c r="AQ1168" s="57" t="n">
        <f aca="false">AN1168*G1168</f>
        <v>5823</v>
      </c>
      <c r="AR1168" s="57" t="n">
        <f aca="false">ROUNDUP(MAX(J1168/IF(BZ1168&gt;0,BZ1168,MAX(0.1,N(Cockpit!$I$6))),CC1168)/BS1168,0)*BS1168</f>
        <v>50</v>
      </c>
      <c r="AS1168" s="58" t="n">
        <f aca="false">IF(AP1168&gt;0,J1168/AP1168,-1)</f>
        <v>36</v>
      </c>
      <c r="AT1168" s="58" t="n">
        <f aca="false">IF(AND(OR(BY1168="L1",BY1168="L23"),AP1168&gt;0),SUMIFS($AP$7:$AP$1843,$BY$7:$BY$1843,BY1168,$AS$7:$AS$1843,"&gt;"&amp;AS1168)+SUMIFS($AP$7:$AP$1843,$BY$7:$BY$1843,BY1168,$AS$7:$AS$1843,AS1168,$BQ$7:$BQ$1843,"&lt;="&amp;BQ1168),"")</f>
        <v>70.8776899429073</v>
      </c>
      <c r="AU1168" s="65" t="n">
        <f aca="false">IF(AT1168="",0,MAX(0,MIN(1,(IF(BY1168="L1",Parameter!$E$5,Parameter!$E$6+Parameter!$E$7)-(AT1168-AP1168))/AP1168)))</f>
        <v>1</v>
      </c>
      <c r="AV1168" s="57" t="n">
        <f aca="false">IF(LEFT(Cockpit!$O$5,1)="A",H1168,IF(CA1168=1,CB1168,IF(LEFT(Cockpit!$O$5,1)="B",AZ1168,MAX(AZ1168,H1168))))</f>
        <v>50</v>
      </c>
      <c r="AW1168" s="57" t="n">
        <f aca="false">IF(BT1168=1,0,ROUNDUP(AV1168/BS1168,0))</f>
        <v>1</v>
      </c>
      <c r="AX1168" s="59" t="n">
        <f aca="false">IF(CH1168&gt;0,CH1168*MAX(1,AV1168/X1168),IF(BT1168=1,IF(AV1168&lt;=0,0,BW1168*MAX(1,IF(H1168&gt;0,AV1168/H1168,1))),IF(R1168&gt;0,AW1168/R1168,0))/MAX(0.1,N(Parameter!$M$21)))</f>
        <v>0.0833333333333333</v>
      </c>
      <c r="AY1168" s="57" t="n">
        <f aca="false">AV1168*G1168</f>
        <v>5823</v>
      </c>
      <c r="AZ1168" s="57" t="n">
        <f aca="false">ROUNDUP(MAX(J1168/IF(BZ1168&gt;0,BZ1168,MAX(0.1,N(Cockpit!$O$6))),CC1168)/BS1168,0)*BS1168</f>
        <v>50</v>
      </c>
      <c r="BA1168" s="58" t="n">
        <f aca="false">IF(AX1168&gt;0,J1168/AX1168,-1)</f>
        <v>36</v>
      </c>
      <c r="BB1168" s="58" t="n">
        <f aca="false">IF(AND(OR(BY1168="L1",BY1168="L23"),AX1168&gt;0),SUMIFS($AX$7:$AX$1843,$BY$7:$BY$1843,BY1168,$BA$7:$BA$1843,"&gt;"&amp;BA1168)+SUMIFS($AX$7:$AX$1843,$BY$7:$BY$1843,BY1168,$BA$7:$BA$1843,BA1168,$BQ$7:$BQ$1843,"&lt;="&amp;BQ1168),"")</f>
        <v>65.3741934394108</v>
      </c>
      <c r="BC1168" s="65" t="n">
        <f aca="false">IF(BB1168="",0,MAX(0,MIN(1,(IF(BY1168="L1",Parameter!$E$5,Parameter!$E$6+Parameter!$E$7)-(BB1168-AX1168))/AX1168)))</f>
        <v>1</v>
      </c>
      <c r="BD1168" s="55" t="str">
        <f aca="false">IF(AH1168&lt;=0,"",IF(BY1168="Aussen","Aussenlager",IF(BY1168="-","Nicht im Lift",IF(AM1168&gt;=1,"Lift",IF(AM1168&lt;=0,"Aussenlager","teilweise")))))</f>
        <v>Lift</v>
      </c>
      <c r="BE1168" s="55" t="str">
        <f aca="false">IF(AP1168&lt;=0,"",IF(BY1168="Aussen","Aussenlager",IF(BY1168="-","Nicht im Lift",IF(AU1168&gt;=1,"Lift",IF(AU1168&lt;=0,"Aussenlager","teilweise")))))</f>
        <v>Lift</v>
      </c>
      <c r="BF1168" s="55" t="str">
        <f aca="false">IF(AX1168&lt;=0,"",IF(BY1168="Aussen","Aussenlager",IF(BY1168="-","Nicht im Lift",IF(BC1168&gt;=1,"Lift",IF(BC1168&lt;=0,"Aussenlager","teilweise")))))</f>
        <v>Lift</v>
      </c>
      <c r="BG1168" s="55" t="str">
        <f aca="false">IF(A1168="","",IF(BP1168=1,"Neu; ","")&amp;IF(AND(BP1168=0,BK1168&lt;0),"negativer Bestand (Export "&amp;BK1168&amp;"); ","")&amp;IF(J1168&lt;=0,"Kein Verbrauch; ","")&amp;IF(CH1168&gt;0,"Lift "&amp;W1168&amp;" lt. Liftbericht (Fach "&amp;X1168&amp;" Stk); ",IF(BU1168=1,"Gebinde geschätzt ("&amp;T1168&amp;"); ",IF(BT1168=1,"Lose – Tablare geschätzt; ","")))&amp;IF(H1168&gt;AR1168,"Überbestand "&amp;ROUND(H1168-AR1168,0)&amp;" Stk / CHF "&amp;ROUND((H1168-AR1168)*G1168,0)&amp;"; ","")&amp;IF(AND(CA1168=1,CB1168&lt;CC1168),"MAX &lt; MB+LG; ","")&amp;IF(AND(CG1168&gt;0,CF1168*10&gt;CG1168),"zu hoch für Tablar; ","")&amp;IF(AND(BP1168=0,OR(CA1168=1,AA1168&lt;&gt;"",U1168&lt;&gt;"",V1168&lt;&gt;"",AB1168&lt;&gt;"")),"manuell übersteuert; ","")&amp;IF(AND(BT1168=0,R1168=0),"Gebinde unbekannt / Stellmass fehlt; ","")&amp;IF(AND(BT1168=0,N(V1168)&lt;=0,N(Q1168)&lt;=0),"Menge pro Gebinde fehlt (Ist = 1 Gebinde); ","")&amp;BO1168)</f>
        <v>negativer Bestand (Export -3); </v>
      </c>
      <c r="BH1168" s="55"/>
      <c r="BI1168" s="55"/>
      <c r="BJ1168" s="62"/>
      <c r="BK1168" s="57" t="n">
        <v>-3</v>
      </c>
      <c r="BL1168" s="57" t="n">
        <v>49</v>
      </c>
      <c r="BM1168" s="56" t="n">
        <v>-349.38</v>
      </c>
      <c r="BN1168" s="57" t="n">
        <v>3</v>
      </c>
      <c r="BO1168" s="55"/>
      <c r="BP1168" s="60" t="n">
        <v>0</v>
      </c>
      <c r="BQ1168" s="60" t="n">
        <v>1168</v>
      </c>
      <c r="BR1168" s="55" t="str">
        <f aca="false">IF(U1168&lt;&gt;"",UPPER(TRIM(U1168)),IF(BU1168=1,UPPER(VLOOKUP(T1168,Parameter!$I$27:$K$29,2,0)),IF(P1168="","LOSE",P1168)))</f>
        <v>S63</v>
      </c>
      <c r="BS1168" s="57" t="n">
        <f aca="false">IF(BR1168="LOSE",1,IF(N(V1168)&gt;0,V1168,IF(BU1168=1,MAX(1,N(VLOOKUP(T1168,Parameter!$I$27:$K$29,3,0)),H1168,N(N1168)),IF(N(Q1168)&gt;0,Q1168,MAX(1,H1168)))))</f>
        <v>50</v>
      </c>
      <c r="BT1168" s="60" t="n">
        <f aca="false">IF(BR1168="LOSE",1,0)</f>
        <v>0</v>
      </c>
      <c r="BU1168" s="60" t="n">
        <f aca="false">IF(AND(U1168="",OR(P1168="",P1168="LOSE"),T1168&lt;&gt;"",N(S1168)&lt;=0,ISNUMBER(MATCH(T1168,Parameter!$I$27:$I$29,0))),1,0)</f>
        <v>0</v>
      </c>
      <c r="BV1168" s="55" t="str">
        <f aca="false">IF(AND(Parameter!$B$19="Ja",E1168&lt;&gt;"",ISNUMBER(MATCH(E1168,Parameter!$I$35:$I$52,0))),VLOOKUP(E1168,Parameter!$I$35:$J$52,2,0),IFERROR(VLOOKUP(D1168,Parameter!$A$35:$C$64,2,0),"Nein"))</f>
        <v>2+3</v>
      </c>
      <c r="BW1168" s="59" t="n">
        <f aca="false">IF(BT1168=0,0,IF(N(S1168)&gt;0,S1168,IFERROR(VLOOKUP(D1168,Parameter!$A$35:$C$64,3,0)+0,0)))</f>
        <v>0</v>
      </c>
      <c r="BX1168" s="55" t="n">
        <f aca="false">IF(AA1168&lt;&gt;"",AA1168,Z1168)</f>
        <v>2</v>
      </c>
      <c r="BY1168" s="55" t="str">
        <f aca="false">IF(BX1168=1,"L1",IF(OR(BX1168=2,BX1168=3),"L23",IF(BX1168="Aussen","Aussen","-")))</f>
        <v>L23</v>
      </c>
      <c r="BZ1168" s="66" t="n">
        <f aca="false">IF(N(AB1168)&gt;0,AB1168,0)</f>
        <v>0</v>
      </c>
      <c r="CA1168" s="60" t="n">
        <f aca="false">IF(ISNUMBER(AE1168),1,0)</f>
        <v>0</v>
      </c>
      <c r="CB1168" s="57" t="n">
        <f aca="false">N(AE1168)</f>
        <v>0</v>
      </c>
      <c r="CC1168" s="57" t="n">
        <f aca="false">N(M1168)+N(N1168)</f>
        <v>5</v>
      </c>
      <c r="CD1168" s="57" t="n">
        <f aca="false">ROUNDUP(H1168/BS1168,0)</f>
        <v>1</v>
      </c>
      <c r="CE1168" s="57" t="n">
        <f aca="false">ROUNDUP(CB1168/BS1168,0)</f>
        <v>0</v>
      </c>
      <c r="CF1168" s="60" t="n">
        <f aca="false">IF(BT1168=1,0,IFERROR(VLOOKUP(BR1168,'Gebinde-Kategorie'!$A$5:$M$45,5,0)+0,0))</f>
        <v>31</v>
      </c>
      <c r="CG1168" s="60" t="n">
        <f aca="false">IFERROR(IF(OR(BX1168=1,BX1168=2,BX1168=3),N(INDEX(Parameter!$I$5:$I$7,BX1168)),0),0)</f>
        <v>0</v>
      </c>
      <c r="CH1168" s="59" t="n">
        <f aca="false">IF(AND(Parameter!$B$21="Ja",ISNUMBER(W1168),N(X1168)&gt;0),IFERROR(N(INDEX(Parameter!$L$5:$L$7,W1168))*INDEX(Parameter!$E$5:$E$7,W1168)*X1168/SUMIFS($X$7:$X$1843,$W$7:$W$1843,W1168),0),0)</f>
        <v>0</v>
      </c>
    </row>
    <row r="1169" customFormat="false" ht="15" hidden="false" customHeight="false" outlineLevel="0" collapsed="false">
      <c r="A1169" s="55" t="s">
        <v>2105</v>
      </c>
      <c r="B1169" s="55" t="s">
        <v>1004</v>
      </c>
      <c r="C1169" s="55" t="s">
        <v>164</v>
      </c>
      <c r="D1169" s="55" t="s">
        <v>184</v>
      </c>
      <c r="E1169" s="55"/>
      <c r="F1169" s="55" t="s">
        <v>218</v>
      </c>
      <c r="G1169" s="56" t="n">
        <v>58.46</v>
      </c>
      <c r="H1169" s="57" t="n">
        <f aca="false">MAX(0,IF(AND(Parameter!$B$21="Ja",ISNUMBER(Y1169)),Y1169,IF(Parameter!$B$20="Jahresanfang 2025 + Export",BL1169+BK1169,BK1169)))</f>
        <v>57</v>
      </c>
      <c r="I1169" s="57" t="n">
        <f aca="false">H1169*G1169</f>
        <v>3332.22</v>
      </c>
      <c r="J1169" s="57" t="n">
        <f aca="false">BN1169*Parameter!$B$18</f>
        <v>5</v>
      </c>
      <c r="K1169" s="58" t="n">
        <v>60</v>
      </c>
      <c r="L1169" s="59" t="n">
        <v>0.0833333333333333</v>
      </c>
      <c r="M1169" s="57" t="n">
        <v>0</v>
      </c>
      <c r="N1169" s="57" t="n">
        <v>5</v>
      </c>
      <c r="O1169" s="60" t="n">
        <v>28</v>
      </c>
      <c r="P1169" s="55" t="s">
        <v>302</v>
      </c>
      <c r="Q1169" s="57" t="n">
        <v>60</v>
      </c>
      <c r="R1169" s="60" t="n">
        <f aca="false">IF(BT1169=1,0,IFERROR(VLOOKUP(BR1169,'Gebinde-Kategorie'!$A$5:$M$45,13,0)+0,0))</f>
        <v>26</v>
      </c>
      <c r="S1169" s="61"/>
      <c r="T1169" s="62"/>
      <c r="U1169" s="62"/>
      <c r="V1169" s="62"/>
      <c r="W1169" s="55"/>
      <c r="X1169" s="57"/>
      <c r="Y1169" s="57"/>
      <c r="Z1169" s="55" t="n">
        <f aca="false">IF(A1169="","",IF(AND(Parameter!$B$21="Ja",ISNUMBER(W1169)),W1169,IF(BV1169="2+3",IF(ISNUMBER(SEARCH("grosser Artikel",BO1169)),2,IFERROR(VLOOKUP(BR1169,Parameter!$F$35:$G$64,2,0),2)),IF(OR(BV1169="Nein",BV1169=""),"-",BV1169))))</f>
        <v>3</v>
      </c>
      <c r="AA1169" s="62"/>
      <c r="AB1169" s="63"/>
      <c r="AC1169" s="57" t="n">
        <f aca="false">AR1169</f>
        <v>60</v>
      </c>
      <c r="AD1169" s="57" t="n">
        <f aca="false">MAX(AR1169,H1169)</f>
        <v>60</v>
      </c>
      <c r="AE1169" s="64"/>
      <c r="AF1169" s="57" t="n">
        <f aca="false">IF(LEFT(Cockpit!$C$5,1)="A",H1169,IF(CA1169=1,CB1169,IF(LEFT(Cockpit!$C$5,1)="B",AJ1169,MAX(AJ1169,H1169))))</f>
        <v>57</v>
      </c>
      <c r="AG1169" s="57" t="n">
        <f aca="false">IF(BT1169=1,0,ROUNDUP(AF1169/BS1169,0))</f>
        <v>1</v>
      </c>
      <c r="AH1169" s="59" t="n">
        <f aca="false">IF(CH1169&gt;0,CH1169*MAX(1,AF1169/X1169),IF(BT1169=1,IF(AF1169&lt;=0,0,BW1169*MAX(1,IF(H1169&gt;0,AF1169/H1169,1))),IF(R1169&gt;0,AG1169/R1169,0))/MAX(0.1,N(Parameter!$M$21)))</f>
        <v>0.0384615384615385</v>
      </c>
      <c r="AI1169" s="57" t="n">
        <f aca="false">AF1169*G1169</f>
        <v>3332.22</v>
      </c>
      <c r="AJ1169" s="57" t="n">
        <f aca="false">ROUNDUP(MAX(J1169/IF(BZ1169&gt;0,BZ1169,MAX(0.1,N(Cockpit!$C$6))),CC1169)/BS1169,0)*BS1169</f>
        <v>60</v>
      </c>
      <c r="AK1169" s="58" t="n">
        <f aca="false">IF(AH1169&gt;0,J1169/AH1169,-1)</f>
        <v>130</v>
      </c>
      <c r="AL1169" s="58" t="n">
        <f aca="false">IF(AND(OR(BY1169="L1",BY1169="L23"),AH1169&gt;0),SUMIFS($AH$7:$AH$1843,$BY$7:$BY$1843,BY1169,$AK$7:$AK$1843,"&gt;"&amp;AK1169)+SUMIFS($AH$7:$AH$1843,$BY$7:$BY$1843,BY1169,$AK$7:$AK$1843,AK1169,$BQ$7:$BQ$1843,"&lt;="&amp;BQ1169),"")</f>
        <v>36.4572565116043</v>
      </c>
      <c r="AM1169" s="65" t="n">
        <f aca="false">IF(AL1169="",0,MAX(0,MIN(1,(IF(BY1169="L1",Parameter!$E$5,Parameter!$E$6+Parameter!$E$7)-(AL1169-AH1169))/AH1169)))</f>
        <v>1</v>
      </c>
      <c r="AN1169" s="57" t="n">
        <f aca="false">IF(LEFT(Cockpit!$I$5,1)="A",H1169,IF(CA1169=1,CB1169,IF(LEFT(Cockpit!$I$5,1)="B",AR1169,MAX(AR1169,H1169))))</f>
        <v>60</v>
      </c>
      <c r="AO1169" s="57" t="n">
        <f aca="false">IF(BT1169=1,0,ROUNDUP(AN1169/BS1169,0))</f>
        <v>1</v>
      </c>
      <c r="AP1169" s="59" t="n">
        <f aca="false">IF(CH1169&gt;0,CH1169*MAX(1,AN1169/X1169),IF(BT1169=1,IF(AN1169&lt;=0,0,BW1169*MAX(1,IF(H1169&gt;0,AN1169/H1169,1))),IF(R1169&gt;0,AO1169/R1169,0))/MAX(0.1,N(Parameter!$M$21)))</f>
        <v>0.0384615384615385</v>
      </c>
      <c r="AQ1169" s="57" t="n">
        <f aca="false">AN1169*G1169</f>
        <v>3507.6</v>
      </c>
      <c r="AR1169" s="57" t="n">
        <f aca="false">ROUNDUP(MAX(J1169/IF(BZ1169&gt;0,BZ1169,MAX(0.1,N(Cockpit!$I$6))),CC1169)/BS1169,0)*BS1169</f>
        <v>60</v>
      </c>
      <c r="AS1169" s="58" t="n">
        <f aca="false">IF(AP1169&gt;0,J1169/AP1169,-1)</f>
        <v>130</v>
      </c>
      <c r="AT1169" s="58" t="n">
        <f aca="false">IF(AND(OR(BY1169="L1",BY1169="L23"),AP1169&gt;0),SUMIFS($AP$7:$AP$1843,$BY$7:$BY$1843,BY1169,$AS$7:$AS$1843,"&gt;"&amp;AS1169)+SUMIFS($AP$7:$AP$1843,$BY$7:$BY$1843,BY1169,$AS$7:$AS$1843,AS1169,$BQ$7:$BQ$1843,"&lt;="&amp;BQ1169),"")</f>
        <v>52.7281172933347</v>
      </c>
      <c r="AU1169" s="65" t="n">
        <f aca="false">IF(AT1169="",0,MAX(0,MIN(1,(IF(BY1169="L1",Parameter!$E$5,Parameter!$E$6+Parameter!$E$7)-(AT1169-AP1169))/AP1169)))</f>
        <v>1</v>
      </c>
      <c r="AV1169" s="57" t="n">
        <f aca="false">IF(LEFT(Cockpit!$O$5,1)="A",H1169,IF(CA1169=1,CB1169,IF(LEFT(Cockpit!$O$5,1)="B",AZ1169,MAX(AZ1169,H1169))))</f>
        <v>60</v>
      </c>
      <c r="AW1169" s="57" t="n">
        <f aca="false">IF(BT1169=1,0,ROUNDUP(AV1169/BS1169,0))</f>
        <v>1</v>
      </c>
      <c r="AX1169" s="59" t="n">
        <f aca="false">IF(CH1169&gt;0,CH1169*MAX(1,AV1169/X1169),IF(BT1169=1,IF(AV1169&lt;=0,0,BW1169*MAX(1,IF(H1169&gt;0,AV1169/H1169,1))),IF(R1169&gt;0,AW1169/R1169,0))/MAX(0.1,N(Parameter!$M$21)))</f>
        <v>0.0384615384615385</v>
      </c>
      <c r="AY1169" s="57" t="n">
        <f aca="false">AV1169*G1169</f>
        <v>3507.6</v>
      </c>
      <c r="AZ1169" s="57" t="n">
        <f aca="false">ROUNDUP(MAX(J1169/IF(BZ1169&gt;0,BZ1169,MAX(0.1,N(Cockpit!$O$6))),CC1169)/BS1169,0)*BS1169</f>
        <v>60</v>
      </c>
      <c r="BA1169" s="58" t="n">
        <f aca="false">IF(AX1169&gt;0,J1169/AX1169,-1)</f>
        <v>130</v>
      </c>
      <c r="BB1169" s="58" t="n">
        <f aca="false">IF(AND(OR(BY1169="L1",BY1169="L23"),AX1169&gt;0),SUMIFS($AX$7:$AX$1843,$BY$7:$BY$1843,BY1169,$BA$7:$BA$1843,"&gt;"&amp;BA1169)+SUMIFS($AX$7:$AX$1843,$BY$7:$BY$1843,BY1169,$BA$7:$BA$1843,BA1169,$BQ$7:$BQ$1843,"&lt;="&amp;BQ1169),"")</f>
        <v>49.3079541231715</v>
      </c>
      <c r="BC1169" s="65" t="n">
        <f aca="false">IF(BB1169="",0,MAX(0,MIN(1,(IF(BY1169="L1",Parameter!$E$5,Parameter!$E$6+Parameter!$E$7)-(BB1169-AX1169))/AX1169)))</f>
        <v>1</v>
      </c>
      <c r="BD1169" s="55" t="str">
        <f aca="false">IF(AH1169&lt;=0,"",IF(BY1169="Aussen","Aussenlager",IF(BY1169="-","Nicht im Lift",IF(AM1169&gt;=1,"Lift",IF(AM1169&lt;=0,"Aussenlager","teilweise")))))</f>
        <v>Lift</v>
      </c>
      <c r="BE1169" s="55" t="str">
        <f aca="false">IF(AP1169&lt;=0,"",IF(BY1169="Aussen","Aussenlager",IF(BY1169="-","Nicht im Lift",IF(AU1169&gt;=1,"Lift",IF(AU1169&lt;=0,"Aussenlager","teilweise")))))</f>
        <v>Lift</v>
      </c>
      <c r="BF1169" s="55" t="str">
        <f aca="false">IF(AX1169&lt;=0,"",IF(BY1169="Aussen","Aussenlager",IF(BY1169="-","Nicht im Lift",IF(BC1169&gt;=1,"Lift",IF(BC1169&lt;=0,"Aussenlager","teilweise")))))</f>
        <v>Lift</v>
      </c>
      <c r="BG1169" s="55" t="str">
        <f aca="false">IF(A1169="","",IF(BP1169=1,"Neu; ","")&amp;IF(AND(BP1169=0,BK1169&lt;0),"negativer Bestand (Export "&amp;BK1169&amp;"); ","")&amp;IF(J1169&lt;=0,"Kein Verbrauch; ","")&amp;IF(CH1169&gt;0,"Lift "&amp;W1169&amp;" lt. Liftbericht (Fach "&amp;X1169&amp;" Stk); ",IF(BU1169=1,"Gebinde geschätzt ("&amp;T1169&amp;"); ",IF(BT1169=1,"Lose – Tablare geschätzt; ","")))&amp;IF(H1169&gt;AR1169,"Überbestand "&amp;ROUND(H1169-AR1169,0)&amp;" Stk / CHF "&amp;ROUND((H1169-AR1169)*G1169,0)&amp;"; ","")&amp;IF(AND(CA1169=1,CB1169&lt;CC1169),"MAX &lt; MB+LG; ","")&amp;IF(AND(CG1169&gt;0,CF1169*10&gt;CG1169),"zu hoch für Tablar; ","")&amp;IF(AND(BP1169=0,OR(CA1169=1,AA1169&lt;&gt;"",U1169&lt;&gt;"",V1169&lt;&gt;"",AB1169&lt;&gt;"")),"manuell übersteuert; ","")&amp;IF(AND(BT1169=0,R1169=0),"Gebinde unbekannt / Stellmass fehlt; ","")&amp;IF(AND(BT1169=0,N(V1169)&lt;=0,N(Q1169)&lt;=0),"Menge pro Gebinde fehlt (Ist = 1 Gebinde); ","")&amp;BO1169)</f>
        <v>negativer Bestand (Export -6); </v>
      </c>
      <c r="BH1169" s="55"/>
      <c r="BI1169" s="55"/>
      <c r="BJ1169" s="62"/>
      <c r="BK1169" s="57" t="n">
        <v>-6</v>
      </c>
      <c r="BL1169" s="57" t="n">
        <v>63</v>
      </c>
      <c r="BM1169" s="56" t="n">
        <v>-350.76</v>
      </c>
      <c r="BN1169" s="57" t="n">
        <v>5</v>
      </c>
      <c r="BO1169" s="55"/>
      <c r="BP1169" s="60" t="n">
        <v>0</v>
      </c>
      <c r="BQ1169" s="60" t="n">
        <v>1169</v>
      </c>
      <c r="BR1169" s="55" t="str">
        <f aca="false">IF(U1169&lt;&gt;"",UPPER(TRIM(U1169)),IF(BU1169=1,UPPER(VLOOKUP(T1169,Parameter!$I$27:$K$29,2,0)),IF(P1169="","LOSE",P1169)))</f>
        <v>S51</v>
      </c>
      <c r="BS1169" s="57" t="n">
        <f aca="false">IF(BR1169="LOSE",1,IF(N(V1169)&gt;0,V1169,IF(BU1169=1,MAX(1,N(VLOOKUP(T1169,Parameter!$I$27:$K$29,3,0)),H1169,N(N1169)),IF(N(Q1169)&gt;0,Q1169,MAX(1,H1169)))))</f>
        <v>60</v>
      </c>
      <c r="BT1169" s="60" t="n">
        <f aca="false">IF(BR1169="LOSE",1,0)</f>
        <v>0</v>
      </c>
      <c r="BU1169" s="60" t="n">
        <f aca="false">IF(AND(U1169="",OR(P1169="",P1169="LOSE"),T1169&lt;&gt;"",N(S1169)&lt;=0,ISNUMBER(MATCH(T1169,Parameter!$I$27:$I$29,0))),1,0)</f>
        <v>0</v>
      </c>
      <c r="BV1169" s="55" t="str">
        <f aca="false">IF(AND(Parameter!$B$19="Ja",E1169&lt;&gt;"",ISNUMBER(MATCH(E1169,Parameter!$I$35:$I$52,0))),VLOOKUP(E1169,Parameter!$I$35:$J$52,2,0),IFERROR(VLOOKUP(D1169,Parameter!$A$35:$C$64,2,0),"Nein"))</f>
        <v>2+3</v>
      </c>
      <c r="BW1169" s="59" t="n">
        <f aca="false">IF(BT1169=0,0,IF(N(S1169)&gt;0,S1169,IFERROR(VLOOKUP(D1169,Parameter!$A$35:$C$64,3,0)+0,0)))</f>
        <v>0</v>
      </c>
      <c r="BX1169" s="55" t="n">
        <f aca="false">IF(AA1169&lt;&gt;"",AA1169,Z1169)</f>
        <v>3</v>
      </c>
      <c r="BY1169" s="55" t="str">
        <f aca="false">IF(BX1169=1,"L1",IF(OR(BX1169=2,BX1169=3),"L23",IF(BX1169="Aussen","Aussen","-")))</f>
        <v>L23</v>
      </c>
      <c r="BZ1169" s="66" t="n">
        <f aca="false">IF(N(AB1169)&gt;0,AB1169,0)</f>
        <v>0</v>
      </c>
      <c r="CA1169" s="60" t="n">
        <f aca="false">IF(ISNUMBER(AE1169),1,0)</f>
        <v>0</v>
      </c>
      <c r="CB1169" s="57" t="n">
        <f aca="false">N(AE1169)</f>
        <v>0</v>
      </c>
      <c r="CC1169" s="57" t="n">
        <f aca="false">N(M1169)+N(N1169)</f>
        <v>5</v>
      </c>
      <c r="CD1169" s="57" t="n">
        <f aca="false">ROUNDUP(H1169/BS1169,0)</f>
        <v>1</v>
      </c>
      <c r="CE1169" s="57" t="n">
        <f aca="false">ROUNDUP(CB1169/BS1169,0)</f>
        <v>0</v>
      </c>
      <c r="CF1169" s="60" t="n">
        <f aca="false">IF(BT1169=1,0,IFERROR(VLOOKUP(BR1169,'Gebinde-Kategorie'!$A$5:$M$45,5,0)+0,0))</f>
        <v>11</v>
      </c>
      <c r="CG1169" s="60" t="n">
        <f aca="false">IFERROR(IF(OR(BX1169=1,BX1169=2,BX1169=3),N(INDEX(Parameter!$I$5:$I$7,BX1169)),0),0)</f>
        <v>0</v>
      </c>
      <c r="CH1169" s="59" t="n">
        <f aca="false">IF(AND(Parameter!$B$21="Ja",ISNUMBER(W1169),N(X1169)&gt;0),IFERROR(N(INDEX(Parameter!$L$5:$L$7,W1169))*INDEX(Parameter!$E$5:$E$7,W1169)*X1169/SUMIFS($X$7:$X$1843,$W$7:$W$1843,W1169),0),0)</f>
        <v>0</v>
      </c>
    </row>
    <row r="1170" customFormat="false" ht="15" hidden="false" customHeight="false" outlineLevel="0" collapsed="false">
      <c r="A1170" s="55" t="s">
        <v>2106</v>
      </c>
      <c r="B1170" s="55" t="s">
        <v>2107</v>
      </c>
      <c r="C1170" s="55" t="s">
        <v>164</v>
      </c>
      <c r="D1170" s="55" t="s">
        <v>184</v>
      </c>
      <c r="E1170" s="55" t="s">
        <v>185</v>
      </c>
      <c r="F1170" s="55" t="s">
        <v>218</v>
      </c>
      <c r="G1170" s="56" t="n">
        <v>8.97</v>
      </c>
      <c r="H1170" s="57" t="n">
        <f aca="false">MAX(0,IF(AND(Parameter!$B$21="Ja",ISNUMBER(Y1170)),Y1170,IF(Parameter!$B$20="Jahresanfang 2025 + Export",BL1170+BK1170,BK1170)))</f>
        <v>12</v>
      </c>
      <c r="I1170" s="57" t="n">
        <f aca="false">H1170*G1170</f>
        <v>107.64</v>
      </c>
      <c r="J1170" s="57" t="n">
        <f aca="false">BN1170*Parameter!$B$18</f>
        <v>80</v>
      </c>
      <c r="K1170" s="58" t="n">
        <v>55</v>
      </c>
      <c r="L1170" s="59" t="n">
        <v>1.45454545454546</v>
      </c>
      <c r="M1170" s="57" t="n">
        <v>6</v>
      </c>
      <c r="N1170" s="57" t="n">
        <v>80</v>
      </c>
      <c r="O1170" s="60" t="n">
        <v>28</v>
      </c>
      <c r="P1170" s="55" t="s">
        <v>426</v>
      </c>
      <c r="Q1170" s="57" t="n">
        <v>38</v>
      </c>
      <c r="R1170" s="60" t="n">
        <f aca="false">IF(BT1170=1,0,IFERROR(VLOOKUP(BR1170,'Gebinde-Kategorie'!$A$5:$M$45,13,0)+0,0))</f>
        <v>198</v>
      </c>
      <c r="S1170" s="61"/>
      <c r="T1170" s="62"/>
      <c r="U1170" s="62"/>
      <c r="V1170" s="62"/>
      <c r="W1170" s="55"/>
      <c r="X1170" s="57"/>
      <c r="Y1170" s="57"/>
      <c r="Z1170" s="55" t="n">
        <f aca="false">IF(A1170="","",IF(AND(Parameter!$B$21="Ja",ISNUMBER(W1170)),W1170,IF(BV1170="2+3",IF(ISNUMBER(SEARCH("grosser Artikel",BO1170)),2,IFERROR(VLOOKUP(BR1170,Parameter!$F$35:$G$64,2,0),2)),IF(OR(BV1170="Nein",BV1170=""),"-",BV1170))))</f>
        <v>3</v>
      </c>
      <c r="AA1170" s="62"/>
      <c r="AB1170" s="63"/>
      <c r="AC1170" s="57" t="n">
        <f aca="false">AR1170</f>
        <v>114</v>
      </c>
      <c r="AD1170" s="57" t="n">
        <f aca="false">MAX(AR1170,H1170)</f>
        <v>114</v>
      </c>
      <c r="AE1170" s="64"/>
      <c r="AF1170" s="57" t="n">
        <f aca="false">IF(LEFT(Cockpit!$C$5,1)="A",H1170,IF(CA1170=1,CB1170,IF(LEFT(Cockpit!$C$5,1)="B",AJ1170,MAX(AJ1170,H1170))))</f>
        <v>12</v>
      </c>
      <c r="AG1170" s="57" t="n">
        <f aca="false">IF(BT1170=1,0,ROUNDUP(AF1170/BS1170,0))</f>
        <v>1</v>
      </c>
      <c r="AH1170" s="59" t="n">
        <f aca="false">IF(CH1170&gt;0,CH1170*MAX(1,AF1170/X1170),IF(BT1170=1,IF(AF1170&lt;=0,0,BW1170*MAX(1,IF(H1170&gt;0,AF1170/H1170,1))),IF(R1170&gt;0,AG1170/R1170,0))/MAX(0.1,N(Parameter!$M$21)))</f>
        <v>0.00505050505050505</v>
      </c>
      <c r="AI1170" s="57" t="n">
        <f aca="false">AF1170*G1170</f>
        <v>107.64</v>
      </c>
      <c r="AJ1170" s="57" t="n">
        <f aca="false">ROUNDUP(MAX(J1170/IF(BZ1170&gt;0,BZ1170,MAX(0.1,N(Cockpit!$C$6))),CC1170)/BS1170,0)*BS1170</f>
        <v>114</v>
      </c>
      <c r="AK1170" s="58" t="n">
        <f aca="false">IF(AH1170&gt;0,J1170/AH1170,-1)</f>
        <v>15840</v>
      </c>
      <c r="AL1170" s="58" t="n">
        <f aca="false">IF(AND(OR(BY1170="L1",BY1170="L23"),AH1170&gt;0),SUMIFS($AH$7:$AH$1843,$BY$7:$BY$1843,BY1170,$AK$7:$AK$1843,"&gt;"&amp;AK1170)+SUMIFS($AH$7:$AH$1843,$BY$7:$BY$1843,BY1170,$AK$7:$AK$1843,AK1170,$BQ$7:$BQ$1843,"&lt;="&amp;BQ1170),"")</f>
        <v>4.31089321306713</v>
      </c>
      <c r="AM1170" s="65" t="n">
        <f aca="false">IF(AL1170="",0,MAX(0,MIN(1,(IF(BY1170="L1",Parameter!$E$5,Parameter!$E$6+Parameter!$E$7)-(AL1170-AH1170))/AH1170)))</f>
        <v>1</v>
      </c>
      <c r="AN1170" s="57" t="n">
        <f aca="false">IF(LEFT(Cockpit!$I$5,1)="A",H1170,IF(CA1170=1,CB1170,IF(LEFT(Cockpit!$I$5,1)="B",AR1170,MAX(AR1170,H1170))))</f>
        <v>114</v>
      </c>
      <c r="AO1170" s="57" t="n">
        <f aca="false">IF(BT1170=1,0,ROUNDUP(AN1170/BS1170,0))</f>
        <v>3</v>
      </c>
      <c r="AP1170" s="59" t="n">
        <f aca="false">IF(CH1170&gt;0,CH1170*MAX(1,AN1170/X1170),IF(BT1170=1,IF(AN1170&lt;=0,0,BW1170*MAX(1,IF(H1170&gt;0,AN1170/H1170,1))),IF(R1170&gt;0,AO1170/R1170,0))/MAX(0.1,N(Parameter!$M$21)))</f>
        <v>0.0151515151515152</v>
      </c>
      <c r="AQ1170" s="57" t="n">
        <f aca="false">AN1170*G1170</f>
        <v>1022.58</v>
      </c>
      <c r="AR1170" s="57" t="n">
        <f aca="false">ROUNDUP(MAX(J1170/IF(BZ1170&gt;0,BZ1170,MAX(0.1,N(Cockpit!$I$6))),CC1170)/BS1170,0)*BS1170</f>
        <v>114</v>
      </c>
      <c r="AS1170" s="58" t="n">
        <f aca="false">IF(AP1170&gt;0,J1170/AP1170,-1)</f>
        <v>5280</v>
      </c>
      <c r="AT1170" s="58" t="n">
        <f aca="false">IF(AND(OR(BY1170="L1",BY1170="L23"),AP1170&gt;0),SUMIFS($AP$7:$AP$1843,$BY$7:$BY$1843,BY1170,$AS$7:$AS$1843,"&gt;"&amp;AS1170)+SUMIFS($AP$7:$AP$1843,$BY$7:$BY$1843,BY1170,$AS$7:$AS$1843,AS1170,$BQ$7:$BQ$1843,"&lt;="&amp;BQ1170),"")</f>
        <v>11.7281679672984</v>
      </c>
      <c r="AU1170" s="65" t="n">
        <f aca="false">IF(AT1170="",0,MAX(0,MIN(1,(IF(BY1170="L1",Parameter!$E$5,Parameter!$E$6+Parameter!$E$7)-(AT1170-AP1170))/AP1170)))</f>
        <v>1</v>
      </c>
      <c r="AV1170" s="57" t="n">
        <f aca="false">IF(LEFT(Cockpit!$O$5,1)="A",H1170,IF(CA1170=1,CB1170,IF(LEFT(Cockpit!$O$5,1)="B",AZ1170,MAX(AZ1170,H1170))))</f>
        <v>114</v>
      </c>
      <c r="AW1170" s="57" t="n">
        <f aca="false">IF(BT1170=1,0,ROUNDUP(AV1170/BS1170,0))</f>
        <v>3</v>
      </c>
      <c r="AX1170" s="59" t="n">
        <f aca="false">IF(CH1170&gt;0,CH1170*MAX(1,AV1170/X1170),IF(BT1170=1,IF(AV1170&lt;=0,0,BW1170*MAX(1,IF(H1170&gt;0,AV1170/H1170,1))),IF(R1170&gt;0,AW1170/R1170,0))/MAX(0.1,N(Parameter!$M$21)))</f>
        <v>0.0151515151515152</v>
      </c>
      <c r="AY1170" s="57" t="n">
        <f aca="false">AV1170*G1170</f>
        <v>1022.58</v>
      </c>
      <c r="AZ1170" s="57" t="n">
        <f aca="false">ROUNDUP(MAX(J1170/IF(BZ1170&gt;0,BZ1170,MAX(0.1,N(Cockpit!$O$6))),CC1170)/BS1170,0)*BS1170</f>
        <v>114</v>
      </c>
      <c r="BA1170" s="58" t="n">
        <f aca="false">IF(AX1170&gt;0,J1170/AX1170,-1)</f>
        <v>5280</v>
      </c>
      <c r="BB1170" s="58" t="n">
        <f aca="false">IF(AND(OR(BY1170="L1",BY1170="L23"),AX1170&gt;0),SUMIFS($AX$7:$AX$1843,$BY$7:$BY$1843,BY1170,$BA$7:$BA$1843,"&gt;"&amp;BA1170)+SUMIFS($AX$7:$AX$1843,$BY$7:$BY$1843,BY1170,$BA$7:$BA$1843,BA1170,$BQ$7:$BQ$1843,"&lt;="&amp;BQ1170),"")</f>
        <v>10.4490304381609</v>
      </c>
      <c r="BC1170" s="65" t="n">
        <f aca="false">IF(BB1170="",0,MAX(0,MIN(1,(IF(BY1170="L1",Parameter!$E$5,Parameter!$E$6+Parameter!$E$7)-(BB1170-AX1170))/AX1170)))</f>
        <v>1</v>
      </c>
      <c r="BD1170" s="55" t="str">
        <f aca="false">IF(AH1170&lt;=0,"",IF(BY1170="Aussen","Aussenlager",IF(BY1170="-","Nicht im Lift",IF(AM1170&gt;=1,"Lift",IF(AM1170&lt;=0,"Aussenlager","teilweise")))))</f>
        <v>Lift</v>
      </c>
      <c r="BE1170" s="55" t="str">
        <f aca="false">IF(AP1170&lt;=0,"",IF(BY1170="Aussen","Aussenlager",IF(BY1170="-","Nicht im Lift",IF(AU1170&gt;=1,"Lift",IF(AU1170&lt;=0,"Aussenlager","teilweise")))))</f>
        <v>Lift</v>
      </c>
      <c r="BF1170" s="55" t="str">
        <f aca="false">IF(AX1170&lt;=0,"",IF(BY1170="Aussen","Aussenlager",IF(BY1170="-","Nicht im Lift",IF(BC1170&gt;=1,"Lift",IF(BC1170&lt;=0,"Aussenlager","teilweise")))))</f>
        <v>Lift</v>
      </c>
      <c r="BG1170" s="55" t="str">
        <f aca="false">IF(A1170="","",IF(BP1170=1,"Neu; ","")&amp;IF(AND(BP1170=0,BK1170&lt;0),"negativer Bestand (Export "&amp;BK1170&amp;"); ","")&amp;IF(J1170&lt;=0,"Kein Verbrauch; ","")&amp;IF(CH1170&gt;0,"Lift "&amp;W1170&amp;" lt. Liftbericht (Fach "&amp;X1170&amp;" Stk); ",IF(BU1170=1,"Gebinde geschätzt ("&amp;T1170&amp;"); ",IF(BT1170=1,"Lose – Tablare geschätzt; ","")))&amp;IF(H1170&gt;AR1170,"Überbestand "&amp;ROUND(H1170-AR1170,0)&amp;" Stk / CHF "&amp;ROUND((H1170-AR1170)*G1170,0)&amp;"; ","")&amp;IF(AND(CA1170=1,CB1170&lt;CC1170),"MAX &lt; MB+LG; ","")&amp;IF(AND(CG1170&gt;0,CF1170*10&gt;CG1170),"zu hoch für Tablar; ","")&amp;IF(AND(BP1170=0,OR(CA1170=1,AA1170&lt;&gt;"",U1170&lt;&gt;"",V1170&lt;&gt;"",AB1170&lt;&gt;"")),"manuell übersteuert; ","")&amp;IF(AND(BT1170=0,R1170=0),"Gebinde unbekannt / Stellmass fehlt; ","")&amp;IF(AND(BT1170=0,N(V1170)&lt;=0,N(Q1170)&lt;=0),"Menge pro Gebinde fehlt (Ist = 1 Gebinde); ","")&amp;BO1170)</f>
        <v>negativer Bestand (Export -48); Überbestand</v>
      </c>
      <c r="BH1170" s="55"/>
      <c r="BI1170" s="55"/>
      <c r="BJ1170" s="62"/>
      <c r="BK1170" s="57" t="n">
        <v>-48</v>
      </c>
      <c r="BL1170" s="57" t="n">
        <v>60</v>
      </c>
      <c r="BM1170" s="56" t="n">
        <v>-353.16</v>
      </c>
      <c r="BN1170" s="57" t="n">
        <v>80</v>
      </c>
      <c r="BO1170" s="55" t="s">
        <v>392</v>
      </c>
      <c r="BP1170" s="60" t="n">
        <v>0</v>
      </c>
      <c r="BQ1170" s="60" t="n">
        <v>1170</v>
      </c>
      <c r="BR1170" s="55" t="str">
        <f aca="false">IF(U1170&lt;&gt;"",UPPER(TRIM(U1170)),IF(BU1170=1,UPPER(VLOOKUP(T1170,Parameter!$I$27:$K$29,2,0)),IF(P1170="","LOSE",P1170)))</f>
        <v>S22</v>
      </c>
      <c r="BS1170" s="57" t="n">
        <f aca="false">IF(BR1170="LOSE",1,IF(N(V1170)&gt;0,V1170,IF(BU1170=1,MAX(1,N(VLOOKUP(T1170,Parameter!$I$27:$K$29,3,0)),H1170,N(N1170)),IF(N(Q1170)&gt;0,Q1170,MAX(1,H1170)))))</f>
        <v>38</v>
      </c>
      <c r="BT1170" s="60" t="n">
        <f aca="false">IF(BR1170="LOSE",1,0)</f>
        <v>0</v>
      </c>
      <c r="BU1170" s="60" t="n">
        <f aca="false">IF(AND(U1170="",OR(P1170="",P1170="LOSE"),T1170&lt;&gt;"",N(S1170)&lt;=0,ISNUMBER(MATCH(T1170,Parameter!$I$27:$I$29,0))),1,0)</f>
        <v>0</v>
      </c>
      <c r="BV1170" s="55" t="str">
        <f aca="false">IF(AND(Parameter!$B$19="Ja",E1170&lt;&gt;"",ISNUMBER(MATCH(E1170,Parameter!$I$35:$I$52,0))),VLOOKUP(E1170,Parameter!$I$35:$J$52,2,0),IFERROR(VLOOKUP(D1170,Parameter!$A$35:$C$64,2,0),"Nein"))</f>
        <v>2+3</v>
      </c>
      <c r="BW1170" s="59" t="n">
        <f aca="false">IF(BT1170=0,0,IF(N(S1170)&gt;0,S1170,IFERROR(VLOOKUP(D1170,Parameter!$A$35:$C$64,3,0)+0,0)))</f>
        <v>0</v>
      </c>
      <c r="BX1170" s="55" t="n">
        <f aca="false">IF(AA1170&lt;&gt;"",AA1170,Z1170)</f>
        <v>3</v>
      </c>
      <c r="BY1170" s="55" t="str">
        <f aca="false">IF(BX1170=1,"L1",IF(OR(BX1170=2,BX1170=3),"L23",IF(BX1170="Aussen","Aussen","-")))</f>
        <v>L23</v>
      </c>
      <c r="BZ1170" s="66" t="n">
        <f aca="false">IF(N(AB1170)&gt;0,AB1170,0)</f>
        <v>0</v>
      </c>
      <c r="CA1170" s="60" t="n">
        <f aca="false">IF(ISNUMBER(AE1170),1,0)</f>
        <v>0</v>
      </c>
      <c r="CB1170" s="57" t="n">
        <f aca="false">N(AE1170)</f>
        <v>0</v>
      </c>
      <c r="CC1170" s="57" t="n">
        <f aca="false">N(M1170)+N(N1170)</f>
        <v>86</v>
      </c>
      <c r="CD1170" s="57" t="n">
        <f aca="false">ROUNDUP(H1170/BS1170,0)</f>
        <v>1</v>
      </c>
      <c r="CE1170" s="57" t="n">
        <f aca="false">ROUNDUP(CB1170/BS1170,0)</f>
        <v>0</v>
      </c>
      <c r="CF1170" s="60" t="n">
        <f aca="false">IF(BT1170=1,0,IFERROR(VLOOKUP(BR1170,'Gebinde-Kategorie'!$A$5:$M$45,5,0)+0,0))</f>
        <v>8</v>
      </c>
      <c r="CG1170" s="60" t="n">
        <f aca="false">IFERROR(IF(OR(BX1170=1,BX1170=2,BX1170=3),N(INDEX(Parameter!$I$5:$I$7,BX1170)),0),0)</f>
        <v>0</v>
      </c>
      <c r="CH1170" s="59" t="n">
        <f aca="false">IF(AND(Parameter!$B$21="Ja",ISNUMBER(W1170),N(X1170)&gt;0),IFERROR(N(INDEX(Parameter!$L$5:$L$7,W1170))*INDEX(Parameter!$E$5:$E$7,W1170)*X1170/SUMIFS($X$7:$X$1843,$W$7:$W$1843,W1170),0),0)</f>
        <v>0</v>
      </c>
    </row>
    <row r="1171" customFormat="false" ht="15" hidden="false" customHeight="false" outlineLevel="0" collapsed="false">
      <c r="A1171" s="55" t="s">
        <v>2108</v>
      </c>
      <c r="B1171" s="55" t="s">
        <v>2109</v>
      </c>
      <c r="C1171" s="55" t="s">
        <v>164</v>
      </c>
      <c r="D1171" s="55" t="s">
        <v>184</v>
      </c>
      <c r="E1171" s="55" t="s">
        <v>185</v>
      </c>
      <c r="F1171" s="55" t="s">
        <v>218</v>
      </c>
      <c r="G1171" s="56" t="n">
        <v>248.96</v>
      </c>
      <c r="H1171" s="57" t="n">
        <f aca="false">MAX(0,IF(AND(Parameter!$B$21="Ja",ISNUMBER(Y1171)),Y1171,IF(Parameter!$B$20="Jahresanfang 2025 + Export",BL1171+BK1171,BK1171)))</f>
        <v>24</v>
      </c>
      <c r="I1171" s="57" t="n">
        <f aca="false">H1171*G1171</f>
        <v>5975.04</v>
      </c>
      <c r="J1171" s="57" t="n">
        <f aca="false">BN1171*Parameter!$B$18</f>
        <v>216</v>
      </c>
      <c r="K1171" s="58" t="n">
        <v>20</v>
      </c>
      <c r="L1171" s="59" t="n">
        <v>10.8</v>
      </c>
      <c r="M1171" s="57" t="n">
        <v>12</v>
      </c>
      <c r="N1171" s="57" t="n">
        <v>25</v>
      </c>
      <c r="O1171" s="60" t="n">
        <v>21</v>
      </c>
      <c r="P1171" s="55" t="s">
        <v>233</v>
      </c>
      <c r="Q1171" s="57" t="n">
        <v>70</v>
      </c>
      <c r="R1171" s="60" t="n">
        <f aca="false">IF(BT1171=1,0,IFERROR(VLOOKUP(BR1171,'Gebinde-Kategorie'!$A$5:$M$45,13,0)+0,0))</f>
        <v>26</v>
      </c>
      <c r="S1171" s="61"/>
      <c r="T1171" s="62"/>
      <c r="U1171" s="62"/>
      <c r="V1171" s="62"/>
      <c r="W1171" s="55"/>
      <c r="X1171" s="57"/>
      <c r="Y1171" s="57"/>
      <c r="Z1171" s="55" t="n">
        <f aca="false">IF(A1171="","",IF(AND(Parameter!$B$21="Ja",ISNUMBER(W1171)),W1171,IF(BV1171="2+3",IF(ISNUMBER(SEARCH("grosser Artikel",BO1171)),2,IFERROR(VLOOKUP(BR1171,Parameter!$F$35:$G$64,2,0),2)),IF(OR(BV1171="Nein",BV1171=""),"-",BV1171))))</f>
        <v>3</v>
      </c>
      <c r="AA1171" s="62"/>
      <c r="AB1171" s="63"/>
      <c r="AC1171" s="57" t="n">
        <f aca="false">AR1171</f>
        <v>140</v>
      </c>
      <c r="AD1171" s="57" t="n">
        <f aca="false">MAX(AR1171,H1171)</f>
        <v>140</v>
      </c>
      <c r="AE1171" s="64"/>
      <c r="AF1171" s="57" t="n">
        <f aca="false">IF(LEFT(Cockpit!$C$5,1)="A",H1171,IF(CA1171=1,CB1171,IF(LEFT(Cockpit!$C$5,1)="B",AJ1171,MAX(AJ1171,H1171))))</f>
        <v>24</v>
      </c>
      <c r="AG1171" s="57" t="n">
        <f aca="false">IF(BT1171=1,0,ROUNDUP(AF1171/BS1171,0))</f>
        <v>1</v>
      </c>
      <c r="AH1171" s="59" t="n">
        <f aca="false">IF(CH1171&gt;0,CH1171*MAX(1,AF1171/X1171),IF(BT1171=1,IF(AF1171&lt;=0,0,BW1171*MAX(1,IF(H1171&gt;0,AF1171/H1171,1))),IF(R1171&gt;0,AG1171/R1171,0))/MAX(0.1,N(Parameter!$M$21)))</f>
        <v>0.0384615384615385</v>
      </c>
      <c r="AI1171" s="57" t="n">
        <f aca="false">AF1171*G1171</f>
        <v>5975.04</v>
      </c>
      <c r="AJ1171" s="57" t="n">
        <f aca="false">ROUNDUP(MAX(J1171/IF(BZ1171&gt;0,BZ1171,MAX(0.1,N(Cockpit!$C$6))),CC1171)/BS1171,0)*BS1171</f>
        <v>140</v>
      </c>
      <c r="AK1171" s="58" t="n">
        <f aca="false">IF(AH1171&gt;0,J1171/AH1171,-1)</f>
        <v>5616</v>
      </c>
      <c r="AL1171" s="58" t="n">
        <f aca="false">IF(AND(OR(BY1171="L1",BY1171="L23"),AH1171&gt;0),SUMIFS($AH$7:$AH$1843,$BY$7:$BY$1843,BY1171,$AK$7:$AK$1843,"&gt;"&amp;AK1171)+SUMIFS($AH$7:$AH$1843,$BY$7:$BY$1843,BY1171,$AK$7:$AK$1843,AK1171,$BQ$7:$BQ$1843,"&lt;="&amp;BQ1171),"")</f>
        <v>6.72912232694841</v>
      </c>
      <c r="AM1171" s="65" t="n">
        <f aca="false">IF(AL1171="",0,MAX(0,MIN(1,(IF(BY1171="L1",Parameter!$E$5,Parameter!$E$6+Parameter!$E$7)-(AL1171-AH1171))/AH1171)))</f>
        <v>1</v>
      </c>
      <c r="AN1171" s="57" t="n">
        <f aca="false">IF(LEFT(Cockpit!$I$5,1)="A",H1171,IF(CA1171=1,CB1171,IF(LEFT(Cockpit!$I$5,1)="B",AR1171,MAX(AR1171,H1171))))</f>
        <v>140</v>
      </c>
      <c r="AO1171" s="57" t="n">
        <f aca="false">IF(BT1171=1,0,ROUNDUP(AN1171/BS1171,0))</f>
        <v>2</v>
      </c>
      <c r="AP1171" s="59" t="n">
        <f aca="false">IF(CH1171&gt;0,CH1171*MAX(1,AN1171/X1171),IF(BT1171=1,IF(AN1171&lt;=0,0,BW1171*MAX(1,IF(H1171&gt;0,AN1171/H1171,1))),IF(R1171&gt;0,AO1171/R1171,0))/MAX(0.1,N(Parameter!$M$21)))</f>
        <v>0.0769230769230769</v>
      </c>
      <c r="AQ1171" s="57" t="n">
        <f aca="false">AN1171*G1171</f>
        <v>34854.4</v>
      </c>
      <c r="AR1171" s="57" t="n">
        <f aca="false">ROUNDUP(MAX(J1171/IF(BZ1171&gt;0,BZ1171,MAX(0.1,N(Cockpit!$I$6))),CC1171)/BS1171,0)*BS1171</f>
        <v>140</v>
      </c>
      <c r="AS1171" s="58" t="n">
        <f aca="false">IF(AP1171&gt;0,J1171/AP1171,-1)</f>
        <v>2808</v>
      </c>
      <c r="AT1171" s="58" t="n">
        <f aca="false">IF(AND(OR(BY1171="L1",BY1171="L23"),AP1171&gt;0),SUMIFS($AP$7:$AP$1843,$BY$7:$BY$1843,BY1171,$AS$7:$AS$1843,"&gt;"&amp;AS1171)+SUMIFS($AP$7:$AP$1843,$BY$7:$BY$1843,BY1171,$AS$7:$AS$1843,AS1171,$BQ$7:$BQ$1843,"&lt;="&amp;BQ1171),"")</f>
        <v>15.7401608053782</v>
      </c>
      <c r="AU1171" s="65" t="n">
        <f aca="false">IF(AT1171="",0,MAX(0,MIN(1,(IF(BY1171="L1",Parameter!$E$5,Parameter!$E$6+Parameter!$E$7)-(AT1171-AP1171))/AP1171)))</f>
        <v>1</v>
      </c>
      <c r="AV1171" s="57" t="n">
        <f aca="false">IF(LEFT(Cockpit!$O$5,1)="A",H1171,IF(CA1171=1,CB1171,IF(LEFT(Cockpit!$O$5,1)="B",AZ1171,MAX(AZ1171,H1171))))</f>
        <v>140</v>
      </c>
      <c r="AW1171" s="57" t="n">
        <f aca="false">IF(BT1171=1,0,ROUNDUP(AV1171/BS1171,0))</f>
        <v>2</v>
      </c>
      <c r="AX1171" s="59" t="n">
        <f aca="false">IF(CH1171&gt;0,CH1171*MAX(1,AV1171/X1171),IF(BT1171=1,IF(AV1171&lt;=0,0,BW1171*MAX(1,IF(H1171&gt;0,AV1171/H1171,1))),IF(R1171&gt;0,AW1171/R1171,0))/MAX(0.1,N(Parameter!$M$21)))</f>
        <v>0.0769230769230769</v>
      </c>
      <c r="AY1171" s="57" t="n">
        <f aca="false">AV1171*G1171</f>
        <v>34854.4</v>
      </c>
      <c r="AZ1171" s="57" t="n">
        <f aca="false">ROUNDUP(MAX(J1171/IF(BZ1171&gt;0,BZ1171,MAX(0.1,N(Cockpit!$O$6))),CC1171)/BS1171,0)*BS1171</f>
        <v>140</v>
      </c>
      <c r="BA1171" s="58" t="n">
        <f aca="false">IF(AX1171&gt;0,J1171/AX1171,-1)</f>
        <v>2808</v>
      </c>
      <c r="BB1171" s="58" t="n">
        <f aca="false">IF(AND(OR(BY1171="L1",BY1171="L23"),AX1171&gt;0),SUMIFS($AX$7:$AX$1843,$BY$7:$BY$1843,BY1171,$BA$7:$BA$1843,"&gt;"&amp;BA1171)+SUMIFS($AX$7:$AX$1843,$BY$7:$BY$1843,BY1171,$BA$7:$BA$1843,BA1171,$BQ$7:$BQ$1843,"&lt;="&amp;BQ1171),"")</f>
        <v>14.2302540454714</v>
      </c>
      <c r="BC1171" s="65" t="n">
        <f aca="false">IF(BB1171="",0,MAX(0,MIN(1,(IF(BY1171="L1",Parameter!$E$5,Parameter!$E$6+Parameter!$E$7)-(BB1171-AX1171))/AX1171)))</f>
        <v>1</v>
      </c>
      <c r="BD1171" s="55" t="str">
        <f aca="false">IF(AH1171&lt;=0,"",IF(BY1171="Aussen","Aussenlager",IF(BY1171="-","Nicht im Lift",IF(AM1171&gt;=1,"Lift",IF(AM1171&lt;=0,"Aussenlager","teilweise")))))</f>
        <v>Lift</v>
      </c>
      <c r="BE1171" s="55" t="str">
        <f aca="false">IF(AP1171&lt;=0,"",IF(BY1171="Aussen","Aussenlager",IF(BY1171="-","Nicht im Lift",IF(AU1171&gt;=1,"Lift",IF(AU1171&lt;=0,"Aussenlager","teilweise")))))</f>
        <v>Lift</v>
      </c>
      <c r="BF1171" s="55" t="str">
        <f aca="false">IF(AX1171&lt;=0,"",IF(BY1171="Aussen","Aussenlager",IF(BY1171="-","Nicht im Lift",IF(BC1171&gt;=1,"Lift",IF(BC1171&lt;=0,"Aussenlager","teilweise")))))</f>
        <v>Lift</v>
      </c>
      <c r="BG1171" s="55" t="str">
        <f aca="false">IF(A1171="","",IF(BP1171=1,"Neu; ","")&amp;IF(AND(BP1171=0,BK1171&lt;0),"negativer Bestand (Export "&amp;BK1171&amp;"); ","")&amp;IF(J1171&lt;=0,"Kein Verbrauch; ","")&amp;IF(CH1171&gt;0,"Lift "&amp;W1171&amp;" lt. Liftbericht (Fach "&amp;X1171&amp;" Stk); ",IF(BU1171=1,"Gebinde geschätzt ("&amp;T1171&amp;"); ",IF(BT1171=1,"Lose – Tablare geschätzt; ","")))&amp;IF(H1171&gt;AR1171,"Überbestand "&amp;ROUND(H1171-AR1171,0)&amp;" Stk / CHF "&amp;ROUND((H1171-AR1171)*G1171,0)&amp;"; ","")&amp;IF(AND(CA1171=1,CB1171&lt;CC1171),"MAX &lt; MB+LG; ","")&amp;IF(AND(CG1171&gt;0,CF1171*10&gt;CG1171),"zu hoch für Tablar; ","")&amp;IF(AND(BP1171=0,OR(CA1171=1,AA1171&lt;&gt;"",U1171&lt;&gt;"",V1171&lt;&gt;"",AB1171&lt;&gt;"")),"manuell übersteuert; ","")&amp;IF(AND(BT1171=0,R1171=0),"Gebinde unbekannt / Stellmass fehlt; ","")&amp;IF(AND(BT1171=0,N(V1171)&lt;=0,N(Q1171)&lt;=0),"Menge pro Gebinde fehlt (Ist = 1 Gebinde); ","")&amp;BO1171)</f>
        <v>negativer Bestand (Export -3); </v>
      </c>
      <c r="BH1171" s="55"/>
      <c r="BI1171" s="55"/>
      <c r="BJ1171" s="62"/>
      <c r="BK1171" s="57" t="n">
        <v>-3</v>
      </c>
      <c r="BL1171" s="57" t="n">
        <v>27</v>
      </c>
      <c r="BM1171" s="56" t="n">
        <v>-357.91999999998</v>
      </c>
      <c r="BN1171" s="57" t="n">
        <v>216</v>
      </c>
      <c r="BO1171" s="55"/>
      <c r="BP1171" s="60" t="n">
        <v>0</v>
      </c>
      <c r="BQ1171" s="60" t="n">
        <v>1171</v>
      </c>
      <c r="BR1171" s="55" t="str">
        <f aca="false">IF(U1171&lt;&gt;"",UPPER(TRIM(U1171)),IF(BU1171=1,UPPER(VLOOKUP(T1171,Parameter!$I$27:$K$29,2,0)),IF(P1171="","LOSE",P1171)))</f>
        <v>S52</v>
      </c>
      <c r="BS1171" s="57" t="n">
        <f aca="false">IF(BR1171="LOSE",1,IF(N(V1171)&gt;0,V1171,IF(BU1171=1,MAX(1,N(VLOOKUP(T1171,Parameter!$I$27:$K$29,3,0)),H1171,N(N1171)),IF(N(Q1171)&gt;0,Q1171,MAX(1,H1171)))))</f>
        <v>70</v>
      </c>
      <c r="BT1171" s="60" t="n">
        <f aca="false">IF(BR1171="LOSE",1,0)</f>
        <v>0</v>
      </c>
      <c r="BU1171" s="60" t="n">
        <f aca="false">IF(AND(U1171="",OR(P1171="",P1171="LOSE"),T1171&lt;&gt;"",N(S1171)&lt;=0,ISNUMBER(MATCH(T1171,Parameter!$I$27:$I$29,0))),1,0)</f>
        <v>0</v>
      </c>
      <c r="BV1171" s="55" t="str">
        <f aca="false">IF(AND(Parameter!$B$19="Ja",E1171&lt;&gt;"",ISNUMBER(MATCH(E1171,Parameter!$I$35:$I$52,0))),VLOOKUP(E1171,Parameter!$I$35:$J$52,2,0),IFERROR(VLOOKUP(D1171,Parameter!$A$35:$C$64,2,0),"Nein"))</f>
        <v>2+3</v>
      </c>
      <c r="BW1171" s="59" t="n">
        <f aca="false">IF(BT1171=0,0,IF(N(S1171)&gt;0,S1171,IFERROR(VLOOKUP(D1171,Parameter!$A$35:$C$64,3,0)+0,0)))</f>
        <v>0</v>
      </c>
      <c r="BX1171" s="55" t="n">
        <f aca="false">IF(AA1171&lt;&gt;"",AA1171,Z1171)</f>
        <v>3</v>
      </c>
      <c r="BY1171" s="55" t="str">
        <f aca="false">IF(BX1171=1,"L1",IF(OR(BX1171=2,BX1171=3),"L23",IF(BX1171="Aussen","Aussen","-")))</f>
        <v>L23</v>
      </c>
      <c r="BZ1171" s="66" t="n">
        <f aca="false">IF(N(AB1171)&gt;0,AB1171,0)</f>
        <v>0</v>
      </c>
      <c r="CA1171" s="60" t="n">
        <f aca="false">IF(ISNUMBER(AE1171),1,0)</f>
        <v>0</v>
      </c>
      <c r="CB1171" s="57" t="n">
        <f aca="false">N(AE1171)</f>
        <v>0</v>
      </c>
      <c r="CC1171" s="57" t="n">
        <f aca="false">N(M1171)+N(N1171)</f>
        <v>37</v>
      </c>
      <c r="CD1171" s="57" t="n">
        <f aca="false">ROUNDUP(H1171/BS1171,0)</f>
        <v>1</v>
      </c>
      <c r="CE1171" s="57" t="n">
        <f aca="false">ROUNDUP(CB1171/BS1171,0)</f>
        <v>0</v>
      </c>
      <c r="CF1171" s="60" t="n">
        <f aca="false">IF(BT1171=1,0,IFERROR(VLOOKUP(BR1171,'Gebinde-Kategorie'!$A$5:$M$45,5,0)+0,0))</f>
        <v>21</v>
      </c>
      <c r="CG1171" s="60" t="n">
        <f aca="false">IFERROR(IF(OR(BX1171=1,BX1171=2,BX1171=3),N(INDEX(Parameter!$I$5:$I$7,BX1171)),0),0)</f>
        <v>0</v>
      </c>
      <c r="CH1171" s="59" t="n">
        <f aca="false">IF(AND(Parameter!$B$21="Ja",ISNUMBER(W1171),N(X1171)&gt;0),IFERROR(N(INDEX(Parameter!$L$5:$L$7,W1171))*INDEX(Parameter!$E$5:$E$7,W1171)*X1171/SUMIFS($X$7:$X$1843,$W$7:$W$1843,W1171),0),0)</f>
        <v>0</v>
      </c>
    </row>
    <row r="1172" customFormat="false" ht="15" hidden="false" customHeight="false" outlineLevel="0" collapsed="false">
      <c r="A1172" s="55" t="s">
        <v>2110</v>
      </c>
      <c r="B1172" s="55" t="s">
        <v>2111</v>
      </c>
      <c r="C1172" s="55" t="s">
        <v>164</v>
      </c>
      <c r="D1172" s="55" t="s">
        <v>173</v>
      </c>
      <c r="E1172" s="55" t="s">
        <v>166</v>
      </c>
      <c r="F1172" s="55" t="s">
        <v>218</v>
      </c>
      <c r="G1172" s="56" t="n">
        <v>360</v>
      </c>
      <c r="H1172" s="57" t="n">
        <f aca="false">MAX(0,IF(AND(Parameter!$B$21="Ja",ISNUMBER(Y1172)),Y1172,IF(Parameter!$B$20="Jahresanfang 2025 + Export",BL1172+BK1172,BK1172)))</f>
        <v>13</v>
      </c>
      <c r="I1172" s="57" t="n">
        <f aca="false">H1172*G1172</f>
        <v>4680</v>
      </c>
      <c r="J1172" s="57" t="n">
        <f aca="false">BN1172*Parameter!$B$18</f>
        <v>0</v>
      </c>
      <c r="K1172" s="58" t="n">
        <v>14</v>
      </c>
      <c r="L1172" s="59" t="n">
        <v>0</v>
      </c>
      <c r="M1172" s="57" t="n">
        <v>0</v>
      </c>
      <c r="N1172" s="57" t="n">
        <v>1</v>
      </c>
      <c r="O1172" s="60" t="n">
        <v>28</v>
      </c>
      <c r="P1172" s="55" t="s">
        <v>226</v>
      </c>
      <c r="Q1172" s="57" t="n">
        <v>15</v>
      </c>
      <c r="R1172" s="60" t="n">
        <f aca="false">IF(BT1172=1,0,IFERROR(VLOOKUP(BR1172,'Gebinde-Kategorie'!$A$5:$M$45,13,0)+0,0))</f>
        <v>12</v>
      </c>
      <c r="S1172" s="61"/>
      <c r="T1172" s="62"/>
      <c r="U1172" s="62"/>
      <c r="V1172" s="62"/>
      <c r="W1172" s="55"/>
      <c r="X1172" s="57"/>
      <c r="Y1172" s="57"/>
      <c r="Z1172" s="55" t="n">
        <f aca="false">IF(A1172="","",IF(AND(Parameter!$B$21="Ja",ISNUMBER(W1172)),W1172,IF(BV1172="2+3",IF(ISNUMBER(SEARCH("grosser Artikel",BO1172)),2,IFERROR(VLOOKUP(BR1172,Parameter!$F$35:$G$64,2,0),2)),IF(OR(BV1172="Nein",BV1172=""),"-",BV1172))))</f>
        <v>1</v>
      </c>
      <c r="AA1172" s="62"/>
      <c r="AB1172" s="63"/>
      <c r="AC1172" s="57" t="n">
        <f aca="false">AR1172</f>
        <v>15</v>
      </c>
      <c r="AD1172" s="57" t="n">
        <f aca="false">MAX(AR1172,H1172)</f>
        <v>15</v>
      </c>
      <c r="AE1172" s="64"/>
      <c r="AF1172" s="57" t="n">
        <f aca="false">IF(LEFT(Cockpit!$C$5,1)="A",H1172,IF(CA1172=1,CB1172,IF(LEFT(Cockpit!$C$5,1)="B",AJ1172,MAX(AJ1172,H1172))))</f>
        <v>13</v>
      </c>
      <c r="AG1172" s="57" t="n">
        <f aca="false">IF(BT1172=1,0,ROUNDUP(AF1172/BS1172,0))</f>
        <v>1</v>
      </c>
      <c r="AH1172" s="59" t="n">
        <f aca="false">IF(CH1172&gt;0,CH1172*MAX(1,AF1172/X1172),IF(BT1172=1,IF(AF1172&lt;=0,0,BW1172*MAX(1,IF(H1172&gt;0,AF1172/H1172,1))),IF(R1172&gt;0,AG1172/R1172,0))/MAX(0.1,N(Parameter!$M$21)))</f>
        <v>0.0833333333333333</v>
      </c>
      <c r="AI1172" s="57" t="n">
        <f aca="false">AF1172*G1172</f>
        <v>4680</v>
      </c>
      <c r="AJ1172" s="57" t="n">
        <f aca="false">ROUNDUP(MAX(J1172/IF(BZ1172&gt;0,BZ1172,MAX(0.1,N(Cockpit!$C$6))),CC1172)/BS1172,0)*BS1172</f>
        <v>15</v>
      </c>
      <c r="AK1172" s="58" t="n">
        <f aca="false">IF(AH1172&gt;0,J1172/AH1172,-1)</f>
        <v>0</v>
      </c>
      <c r="AL1172" s="58" t="n">
        <f aca="false">IF(AND(OR(BY1172="L1",BY1172="L23"),AH1172&gt;0),SUMIFS($AH$7:$AH$1843,$BY$7:$BY$1843,BY1172,$AK$7:$AK$1843,"&gt;"&amp;AK1172)+SUMIFS($AH$7:$AH$1843,$BY$7:$BY$1843,BY1172,$AK$7:$AK$1843,AK1172,$BQ$7:$BQ$1843,"&lt;="&amp;BQ1172),"")</f>
        <v>51.6951357002941</v>
      </c>
      <c r="AM1172" s="65" t="n">
        <f aca="false">IF(AL1172="",0,MAX(0,MIN(1,(IF(BY1172="L1",Parameter!$E$5,Parameter!$E$6+Parameter!$E$7)-(AL1172-AH1172))/AH1172)))</f>
        <v>0</v>
      </c>
      <c r="AN1172" s="57" t="n">
        <f aca="false">IF(LEFT(Cockpit!$I$5,1)="A",H1172,IF(CA1172=1,CB1172,IF(LEFT(Cockpit!$I$5,1)="B",AR1172,MAX(AR1172,H1172))))</f>
        <v>15</v>
      </c>
      <c r="AO1172" s="57" t="n">
        <f aca="false">IF(BT1172=1,0,ROUNDUP(AN1172/BS1172,0))</f>
        <v>1</v>
      </c>
      <c r="AP1172" s="59" t="n">
        <f aca="false">IF(CH1172&gt;0,CH1172*MAX(1,AN1172/X1172),IF(BT1172=1,IF(AN1172&lt;=0,0,BW1172*MAX(1,IF(H1172&gt;0,AN1172/H1172,1))),IF(R1172&gt;0,AO1172/R1172,0))/MAX(0.1,N(Parameter!$M$21)))</f>
        <v>0.0833333333333333</v>
      </c>
      <c r="AQ1172" s="57" t="n">
        <f aca="false">AN1172*G1172</f>
        <v>5400</v>
      </c>
      <c r="AR1172" s="57" t="n">
        <f aca="false">ROUNDUP(MAX(J1172/IF(BZ1172&gt;0,BZ1172,MAX(0.1,N(Cockpit!$I$6))),CC1172)/BS1172,0)*BS1172</f>
        <v>15</v>
      </c>
      <c r="AS1172" s="58" t="n">
        <f aca="false">IF(AP1172&gt;0,J1172/AP1172,-1)</f>
        <v>0</v>
      </c>
      <c r="AT1172" s="58" t="n">
        <f aca="false">IF(AND(OR(BY1172="L1",BY1172="L23"),AP1172&gt;0),SUMIFS($AP$7:$AP$1843,$BY$7:$BY$1843,BY1172,$AS$7:$AS$1843,"&gt;"&amp;AS1172)+SUMIFS($AP$7:$AP$1843,$BY$7:$BY$1843,BY1172,$AS$7:$AS$1843,AS1172,$BQ$7:$BQ$1843,"&lt;="&amp;BQ1172),"")</f>
        <v>67.2080286453905</v>
      </c>
      <c r="AU1172" s="65" t="n">
        <f aca="false">IF(AT1172="",0,MAX(0,MIN(1,(IF(BY1172="L1",Parameter!$E$5,Parameter!$E$6+Parameter!$E$7)-(AT1172-AP1172))/AP1172)))</f>
        <v>0</v>
      </c>
      <c r="AV1172" s="57" t="n">
        <f aca="false">IF(LEFT(Cockpit!$O$5,1)="A",H1172,IF(CA1172=1,CB1172,IF(LEFT(Cockpit!$O$5,1)="B",AZ1172,MAX(AZ1172,H1172))))</f>
        <v>15</v>
      </c>
      <c r="AW1172" s="57" t="n">
        <f aca="false">IF(BT1172=1,0,ROUNDUP(AV1172/BS1172,0))</f>
        <v>1</v>
      </c>
      <c r="AX1172" s="59" t="n">
        <f aca="false">IF(CH1172&gt;0,CH1172*MAX(1,AV1172/X1172),IF(BT1172=1,IF(AV1172&lt;=0,0,BW1172*MAX(1,IF(H1172&gt;0,AV1172/H1172,1))),IF(R1172&gt;0,AW1172/R1172,0))/MAX(0.1,N(Parameter!$M$21)))</f>
        <v>0.0833333333333333</v>
      </c>
      <c r="AY1172" s="57" t="n">
        <f aca="false">AV1172*G1172</f>
        <v>5400</v>
      </c>
      <c r="AZ1172" s="57" t="n">
        <f aca="false">ROUNDUP(MAX(J1172/IF(BZ1172&gt;0,BZ1172,MAX(0.1,N(Cockpit!$O$6))),CC1172)/BS1172,0)*BS1172</f>
        <v>15</v>
      </c>
      <c r="BA1172" s="58" t="n">
        <f aca="false">IF(AX1172&gt;0,J1172/AX1172,-1)</f>
        <v>0</v>
      </c>
      <c r="BB1172" s="58" t="n">
        <f aca="false">IF(AND(OR(BY1172="L1",BY1172="L23"),AX1172&gt;0),SUMIFS($AX$7:$AX$1843,$BY$7:$BY$1843,BY1172,$BA$7:$BA$1843,"&gt;"&amp;BA1172)+SUMIFS($AX$7:$AX$1843,$BY$7:$BY$1843,BY1172,$BA$7:$BA$1843,BA1172,$BQ$7:$BQ$1843,"&lt;="&amp;BQ1172),"")</f>
        <v>60.8748401766088</v>
      </c>
      <c r="BC1172" s="65" t="n">
        <f aca="false">IF(BB1172="",0,MAX(0,MIN(1,(IF(BY1172="L1",Parameter!$E$5,Parameter!$E$6+Parameter!$E$7)-(BB1172-AX1172))/AX1172)))</f>
        <v>0</v>
      </c>
      <c r="BD1172" s="55" t="str">
        <f aca="false">IF(AH1172&lt;=0,"",IF(BY1172="Aussen","Aussenlager",IF(BY1172="-","Nicht im Lift",IF(AM1172&gt;=1,"Lift",IF(AM1172&lt;=0,"Aussenlager","teilweise")))))</f>
        <v>Aussenlager</v>
      </c>
      <c r="BE1172" s="55" t="str">
        <f aca="false">IF(AP1172&lt;=0,"",IF(BY1172="Aussen","Aussenlager",IF(BY1172="-","Nicht im Lift",IF(AU1172&gt;=1,"Lift",IF(AU1172&lt;=0,"Aussenlager","teilweise")))))</f>
        <v>Aussenlager</v>
      </c>
      <c r="BF1172" s="55" t="str">
        <f aca="false">IF(AX1172&lt;=0,"",IF(BY1172="Aussen","Aussenlager",IF(BY1172="-","Nicht im Lift",IF(BC1172&gt;=1,"Lift",IF(BC1172&lt;=0,"Aussenlager","teilweise")))))</f>
        <v>Aussenlager</v>
      </c>
      <c r="BG1172" s="55" t="str">
        <f aca="false">IF(A1172="","",IF(BP1172=1,"Neu; ","")&amp;IF(AND(BP1172=0,BK1172&lt;0),"negativer Bestand (Export "&amp;BK1172&amp;"); ","")&amp;IF(J1172&lt;=0,"Kein Verbrauch; ","")&amp;IF(CH1172&gt;0,"Lift "&amp;W1172&amp;" lt. Liftbericht (Fach "&amp;X1172&amp;" Stk); ",IF(BU1172=1,"Gebinde geschätzt ("&amp;T1172&amp;"); ",IF(BT1172=1,"Lose – Tablare geschätzt; ","")))&amp;IF(H1172&gt;AR1172,"Überbestand "&amp;ROUND(H1172-AR1172,0)&amp;" Stk / CHF "&amp;ROUND((H1172-AR1172)*G1172,0)&amp;"; ","")&amp;IF(AND(CA1172=1,CB1172&lt;CC1172),"MAX &lt; MB+LG; ","")&amp;IF(AND(CG1172&gt;0,CF1172*10&gt;CG1172),"zu hoch für Tablar; ","")&amp;IF(AND(BP1172=0,OR(CA1172=1,AA1172&lt;&gt;"",U1172&lt;&gt;"",V1172&lt;&gt;"",AB1172&lt;&gt;"")),"manuell übersteuert; ","")&amp;IF(AND(BT1172=0,R1172=0),"Gebinde unbekannt / Stellmass fehlt; ","")&amp;IF(AND(BT1172=0,N(V1172)&lt;=0,N(Q1172)&lt;=0),"Menge pro Gebinde fehlt (Ist = 1 Gebinde); ","")&amp;BO1172)</f>
        <v>negativer Bestand (Export -1); Kein Verbrauch; </v>
      </c>
      <c r="BH1172" s="55"/>
      <c r="BI1172" s="55"/>
      <c r="BJ1172" s="62"/>
      <c r="BK1172" s="57" t="n">
        <v>-1</v>
      </c>
      <c r="BL1172" s="57" t="n">
        <v>14</v>
      </c>
      <c r="BM1172" s="56" t="n">
        <v>-360</v>
      </c>
      <c r="BN1172" s="57" t="n">
        <v>0</v>
      </c>
      <c r="BO1172" s="55"/>
      <c r="BP1172" s="60" t="n">
        <v>0</v>
      </c>
      <c r="BQ1172" s="60" t="n">
        <v>1172</v>
      </c>
      <c r="BR1172" s="55" t="str">
        <f aca="false">IF(U1172&lt;&gt;"",UPPER(TRIM(U1172)),IF(BU1172=1,UPPER(VLOOKUP(T1172,Parameter!$I$27:$K$29,2,0)),IF(P1172="","LOSE",P1172)))</f>
        <v>S63</v>
      </c>
      <c r="BS1172" s="57" t="n">
        <f aca="false">IF(BR1172="LOSE",1,IF(N(V1172)&gt;0,V1172,IF(BU1172=1,MAX(1,N(VLOOKUP(T1172,Parameter!$I$27:$K$29,3,0)),H1172,N(N1172)),IF(N(Q1172)&gt;0,Q1172,MAX(1,H1172)))))</f>
        <v>15</v>
      </c>
      <c r="BT1172" s="60" t="n">
        <f aca="false">IF(BR1172="LOSE",1,0)</f>
        <v>0</v>
      </c>
      <c r="BU1172" s="60" t="n">
        <f aca="false">IF(AND(U1172="",OR(P1172="",P1172="LOSE"),T1172&lt;&gt;"",N(S1172)&lt;=0,ISNUMBER(MATCH(T1172,Parameter!$I$27:$I$29,0))),1,0)</f>
        <v>0</v>
      </c>
      <c r="BV1172" s="55" t="n">
        <f aca="false">IF(AND(Parameter!$B$19="Ja",E1172&lt;&gt;"",ISNUMBER(MATCH(E1172,Parameter!$I$35:$I$52,0))),VLOOKUP(E1172,Parameter!$I$35:$J$52,2,0),IFERROR(VLOOKUP(D1172,Parameter!$A$35:$C$64,2,0),"Nein"))</f>
        <v>1</v>
      </c>
      <c r="BW1172" s="59" t="n">
        <f aca="false">IF(BT1172=0,0,IF(N(S1172)&gt;0,S1172,IFERROR(VLOOKUP(D1172,Parameter!$A$35:$C$64,3,0)+0,0)))</f>
        <v>0</v>
      </c>
      <c r="BX1172" s="55" t="n">
        <f aca="false">IF(AA1172&lt;&gt;"",AA1172,Z1172)</f>
        <v>1</v>
      </c>
      <c r="BY1172" s="55" t="str">
        <f aca="false">IF(BX1172=1,"L1",IF(OR(BX1172=2,BX1172=3),"L23",IF(BX1172="Aussen","Aussen","-")))</f>
        <v>L1</v>
      </c>
      <c r="BZ1172" s="66" t="n">
        <f aca="false">IF(N(AB1172)&gt;0,AB1172,0)</f>
        <v>0</v>
      </c>
      <c r="CA1172" s="60" t="n">
        <f aca="false">IF(ISNUMBER(AE1172),1,0)</f>
        <v>0</v>
      </c>
      <c r="CB1172" s="57" t="n">
        <f aca="false">N(AE1172)</f>
        <v>0</v>
      </c>
      <c r="CC1172" s="57" t="n">
        <f aca="false">N(M1172)+N(N1172)</f>
        <v>1</v>
      </c>
      <c r="CD1172" s="57" t="n">
        <f aca="false">ROUNDUP(H1172/BS1172,0)</f>
        <v>1</v>
      </c>
      <c r="CE1172" s="57" t="n">
        <f aca="false">ROUNDUP(CB1172/BS1172,0)</f>
        <v>0</v>
      </c>
      <c r="CF1172" s="60" t="n">
        <f aca="false">IF(BT1172=1,0,IFERROR(VLOOKUP(BR1172,'Gebinde-Kategorie'!$A$5:$M$45,5,0)+0,0))</f>
        <v>31</v>
      </c>
      <c r="CG1172" s="60" t="n">
        <f aca="false">IFERROR(IF(OR(BX1172=1,BX1172=2,BX1172=3),N(INDEX(Parameter!$I$5:$I$7,BX1172)),0),0)</f>
        <v>0</v>
      </c>
      <c r="CH1172" s="59" t="n">
        <f aca="false">IF(AND(Parameter!$B$21="Ja",ISNUMBER(W1172),N(X1172)&gt;0),IFERROR(N(INDEX(Parameter!$L$5:$L$7,W1172))*INDEX(Parameter!$E$5:$E$7,W1172)*X1172/SUMIFS($X$7:$X$1843,$W$7:$W$1843,W1172),0),0)</f>
        <v>0</v>
      </c>
    </row>
    <row r="1173" customFormat="false" ht="15" hidden="false" customHeight="false" outlineLevel="0" collapsed="false">
      <c r="A1173" s="55" t="s">
        <v>2112</v>
      </c>
      <c r="B1173" s="55" t="s">
        <v>839</v>
      </c>
      <c r="C1173" s="55" t="s">
        <v>456</v>
      </c>
      <c r="D1173" s="55" t="s">
        <v>184</v>
      </c>
      <c r="E1173" s="55" t="s">
        <v>185</v>
      </c>
      <c r="F1173" s="55" t="s">
        <v>218</v>
      </c>
      <c r="G1173" s="56" t="n">
        <v>32.8</v>
      </c>
      <c r="H1173" s="57" t="n">
        <f aca="false">MAX(0,IF(AND(Parameter!$B$21="Ja",ISNUMBER(Y1173)),Y1173,IF(Parameter!$B$20="Jahresanfang 2025 + Export",BL1173+BK1173,BK1173)))</f>
        <v>0</v>
      </c>
      <c r="I1173" s="57" t="n">
        <f aca="false">H1173*G1173</f>
        <v>0</v>
      </c>
      <c r="J1173" s="57" t="n">
        <f aca="false">BN1173*Parameter!$B$18</f>
        <v>0</v>
      </c>
      <c r="K1173" s="58" t="n">
        <v>9.5</v>
      </c>
      <c r="L1173" s="59" t="n">
        <v>0</v>
      </c>
      <c r="M1173" s="57" t="n">
        <v>0</v>
      </c>
      <c r="N1173" s="57" t="n">
        <v>1</v>
      </c>
      <c r="O1173" s="60" t="n">
        <v>28</v>
      </c>
      <c r="P1173" s="55" t="s">
        <v>302</v>
      </c>
      <c r="Q1173" s="57" t="n">
        <v>11</v>
      </c>
      <c r="R1173" s="60" t="n">
        <f aca="false">IF(BT1173=1,0,IFERROR(VLOOKUP(BR1173,'Gebinde-Kategorie'!$A$5:$M$45,13,0)+0,0))</f>
        <v>26</v>
      </c>
      <c r="S1173" s="61"/>
      <c r="T1173" s="62"/>
      <c r="U1173" s="62"/>
      <c r="V1173" s="62"/>
      <c r="W1173" s="55"/>
      <c r="X1173" s="57"/>
      <c r="Y1173" s="57"/>
      <c r="Z1173" s="55" t="n">
        <f aca="false">IF(A1173="","",IF(AND(Parameter!$B$21="Ja",ISNUMBER(W1173)),W1173,IF(BV1173="2+3",IF(ISNUMBER(SEARCH("grosser Artikel",BO1173)),2,IFERROR(VLOOKUP(BR1173,Parameter!$F$35:$G$64,2,0),2)),IF(OR(BV1173="Nein",BV1173=""),"-",BV1173))))</f>
        <v>3</v>
      </c>
      <c r="AA1173" s="62"/>
      <c r="AB1173" s="63"/>
      <c r="AC1173" s="57" t="n">
        <f aca="false">AR1173</f>
        <v>11</v>
      </c>
      <c r="AD1173" s="57" t="n">
        <f aca="false">MAX(AR1173,H1173)</f>
        <v>11</v>
      </c>
      <c r="AE1173" s="64"/>
      <c r="AF1173" s="57" t="n">
        <f aca="false">IF(LEFT(Cockpit!$C$5,1)="A",H1173,IF(CA1173=1,CB1173,IF(LEFT(Cockpit!$C$5,1)="B",AJ1173,MAX(AJ1173,H1173))))</f>
        <v>0</v>
      </c>
      <c r="AG1173" s="57" t="n">
        <f aca="false">IF(BT1173=1,0,ROUNDUP(AF1173/BS1173,0))</f>
        <v>0</v>
      </c>
      <c r="AH1173" s="59" t="n">
        <f aca="false">IF(CH1173&gt;0,CH1173*MAX(1,AF1173/X1173),IF(BT1173=1,IF(AF1173&lt;=0,0,BW1173*MAX(1,IF(H1173&gt;0,AF1173/H1173,1))),IF(R1173&gt;0,AG1173/R1173,0))/MAX(0.1,N(Parameter!$M$21)))</f>
        <v>0</v>
      </c>
      <c r="AI1173" s="57" t="n">
        <f aca="false">AF1173*G1173</f>
        <v>0</v>
      </c>
      <c r="AJ1173" s="57" t="n">
        <f aca="false">ROUNDUP(MAX(J1173/IF(BZ1173&gt;0,BZ1173,MAX(0.1,N(Cockpit!$C$6))),CC1173)/BS1173,0)*BS1173</f>
        <v>11</v>
      </c>
      <c r="AK1173" s="58" t="n">
        <f aca="false">IF(AH1173&gt;0,J1173/AH1173,-1)</f>
        <v>-1</v>
      </c>
      <c r="AL1173" s="58" t="str">
        <f aca="false">IF(AND(OR(BY1173="L1",BY1173="L23"),AH1173&gt;0),SUMIFS($AH$7:$AH$1843,$BY$7:$BY$1843,BY1173,$AK$7:$AK$1843,"&gt;"&amp;AK1173)+SUMIFS($AH$7:$AH$1843,$BY$7:$BY$1843,BY1173,$AK$7:$AK$1843,AK1173,$BQ$7:$BQ$1843,"&lt;="&amp;BQ1173),"")</f>
        <v/>
      </c>
      <c r="AM1173" s="65" t="n">
        <f aca="false">IF(AL1173="",0,MAX(0,MIN(1,(IF(BY1173="L1",Parameter!$E$5,Parameter!$E$6+Parameter!$E$7)-(AL1173-AH1173))/AH1173)))</f>
        <v>0</v>
      </c>
      <c r="AN1173" s="57" t="n">
        <f aca="false">IF(LEFT(Cockpit!$I$5,1)="A",H1173,IF(CA1173=1,CB1173,IF(LEFT(Cockpit!$I$5,1)="B",AR1173,MAX(AR1173,H1173))))</f>
        <v>11</v>
      </c>
      <c r="AO1173" s="57" t="n">
        <f aca="false">IF(BT1173=1,0,ROUNDUP(AN1173/BS1173,0))</f>
        <v>1</v>
      </c>
      <c r="AP1173" s="59" t="n">
        <f aca="false">IF(CH1173&gt;0,CH1173*MAX(1,AN1173/X1173),IF(BT1173=1,IF(AN1173&lt;=0,0,BW1173*MAX(1,IF(H1173&gt;0,AN1173/H1173,1))),IF(R1173&gt;0,AO1173/R1173,0))/MAX(0.1,N(Parameter!$M$21)))</f>
        <v>0.0384615384615385</v>
      </c>
      <c r="AQ1173" s="57" t="n">
        <f aca="false">AN1173*G1173</f>
        <v>360.8</v>
      </c>
      <c r="AR1173" s="57" t="n">
        <f aca="false">ROUNDUP(MAX(J1173/IF(BZ1173&gt;0,BZ1173,MAX(0.1,N(Cockpit!$I$6))),CC1173)/BS1173,0)*BS1173</f>
        <v>11</v>
      </c>
      <c r="AS1173" s="58" t="n">
        <f aca="false">IF(AP1173&gt;0,J1173/AP1173,-1)</f>
        <v>0</v>
      </c>
      <c r="AT1173" s="58" t="n">
        <f aca="false">IF(AND(OR(BY1173="L1",BY1173="L23"),AP1173&gt;0),SUMIFS($AP$7:$AP$1843,$BY$7:$BY$1843,BY1173,$AS$7:$AS$1843,"&gt;"&amp;AS1173)+SUMIFS($AP$7:$AP$1843,$BY$7:$BY$1843,BY1173,$AS$7:$AS$1843,AS1173,$BQ$7:$BQ$1843,"&lt;="&amp;BQ1173),"")</f>
        <v>122.543588054458</v>
      </c>
      <c r="AU1173" s="65" t="n">
        <f aca="false">IF(AT1173="",0,MAX(0,MIN(1,(IF(BY1173="L1",Parameter!$E$5,Parameter!$E$6+Parameter!$E$7)-(AT1173-AP1173))/AP1173)))</f>
        <v>0</v>
      </c>
      <c r="AV1173" s="57" t="n">
        <f aca="false">IF(LEFT(Cockpit!$O$5,1)="A",H1173,IF(CA1173=1,CB1173,IF(LEFT(Cockpit!$O$5,1)="B",AZ1173,MAX(AZ1173,H1173))))</f>
        <v>11</v>
      </c>
      <c r="AW1173" s="57" t="n">
        <f aca="false">IF(BT1173=1,0,ROUNDUP(AV1173/BS1173,0))</f>
        <v>1</v>
      </c>
      <c r="AX1173" s="59" t="n">
        <f aca="false">IF(CH1173&gt;0,CH1173*MAX(1,AV1173/X1173),IF(BT1173=1,IF(AV1173&lt;=0,0,BW1173*MAX(1,IF(H1173&gt;0,AV1173/H1173,1))),IF(R1173&gt;0,AW1173/R1173,0))/MAX(0.1,N(Parameter!$M$21)))</f>
        <v>0.0384615384615385</v>
      </c>
      <c r="AY1173" s="57" t="n">
        <f aca="false">AV1173*G1173</f>
        <v>360.8</v>
      </c>
      <c r="AZ1173" s="57" t="n">
        <f aca="false">ROUNDUP(MAX(J1173/IF(BZ1173&gt;0,BZ1173,MAX(0.1,N(Cockpit!$O$6))),CC1173)/BS1173,0)*BS1173</f>
        <v>11</v>
      </c>
      <c r="BA1173" s="58" t="n">
        <f aca="false">IF(AX1173&gt;0,J1173/AX1173,-1)</f>
        <v>0</v>
      </c>
      <c r="BB1173" s="58" t="n">
        <f aca="false">IF(AND(OR(BY1173="L1",BY1173="L23"),AX1173&gt;0),SUMIFS($AX$7:$AX$1843,$BY$7:$BY$1843,BY1173,$BA$7:$BA$1843,"&gt;"&amp;BA1173)+SUMIFS($AX$7:$AX$1843,$BY$7:$BY$1843,BY1173,$BA$7:$BA$1843,BA1173,$BQ$7:$BQ$1843,"&lt;="&amp;BQ1173),"")</f>
        <v>113.373424884294</v>
      </c>
      <c r="BC1173" s="65" t="n">
        <f aca="false">IF(BB1173="",0,MAX(0,MIN(1,(IF(BY1173="L1",Parameter!$E$5,Parameter!$E$6+Parameter!$E$7)-(BB1173-AX1173))/AX1173)))</f>
        <v>0</v>
      </c>
      <c r="BD1173" s="55" t="str">
        <f aca="false">IF(AH1173&lt;=0,"",IF(BY1173="Aussen","Aussenlager",IF(BY1173="-","Nicht im Lift",IF(AM1173&gt;=1,"Lift",IF(AM1173&lt;=0,"Aussenlager","teilweise")))))</f>
        <v/>
      </c>
      <c r="BE1173" s="55" t="str">
        <f aca="false">IF(AP1173&lt;=0,"",IF(BY1173="Aussen","Aussenlager",IF(BY1173="-","Nicht im Lift",IF(AU1173&gt;=1,"Lift",IF(AU1173&lt;=0,"Aussenlager","teilweise")))))</f>
        <v>Aussenlager</v>
      </c>
      <c r="BF1173" s="55" t="str">
        <f aca="false">IF(AX1173&lt;=0,"",IF(BY1173="Aussen","Aussenlager",IF(BY1173="-","Nicht im Lift",IF(BC1173&gt;=1,"Lift",IF(BC1173&lt;=0,"Aussenlager","teilweise")))))</f>
        <v>Aussenlager</v>
      </c>
      <c r="BG1173" s="55" t="str">
        <f aca="false">IF(A1173="","",IF(BP1173=1,"Neu; ","")&amp;IF(AND(BP1173=0,BK1173&lt;0),"negativer Bestand (Export "&amp;BK1173&amp;"); ","")&amp;IF(J1173&lt;=0,"Kein Verbrauch; ","")&amp;IF(CH1173&gt;0,"Lift "&amp;W1173&amp;" lt. Liftbericht (Fach "&amp;X1173&amp;" Stk); ",IF(BU1173=1,"Gebinde geschätzt ("&amp;T1173&amp;"); ",IF(BT1173=1,"Lose – Tablare geschätzt; ","")))&amp;IF(H1173&gt;AR1173,"Überbestand "&amp;ROUND(H1173-AR1173,0)&amp;" Stk / CHF "&amp;ROUND((H1173-AR1173)*G1173,0)&amp;"; ","")&amp;IF(AND(CA1173=1,CB1173&lt;CC1173),"MAX &lt; MB+LG; ","")&amp;IF(AND(CG1173&gt;0,CF1173*10&gt;CG1173),"zu hoch für Tablar; ","")&amp;IF(AND(BP1173=0,OR(CA1173=1,AA1173&lt;&gt;"",U1173&lt;&gt;"",V1173&lt;&gt;"",AB1173&lt;&gt;"")),"manuell übersteuert; ","")&amp;IF(AND(BT1173=0,R1173=0),"Gebinde unbekannt / Stellmass fehlt; ","")&amp;IF(AND(BT1173=0,N(V1173)&lt;=0,N(Q1173)&lt;=0),"Menge pro Gebinde fehlt (Ist = 1 Gebinde); ","")&amp;BO1173)</f>
        <v>negativer Bestand (Export -11); Kein Verbrauch; </v>
      </c>
      <c r="BH1173" s="55"/>
      <c r="BI1173" s="55"/>
      <c r="BJ1173" s="62"/>
      <c r="BK1173" s="57" t="n">
        <v>-11</v>
      </c>
      <c r="BL1173" s="57" t="n">
        <v>11</v>
      </c>
      <c r="BM1173" s="56" t="n">
        <v>-360.8</v>
      </c>
      <c r="BN1173" s="57" t="n">
        <v>0</v>
      </c>
      <c r="BO1173" s="55"/>
      <c r="BP1173" s="60" t="n">
        <v>0</v>
      </c>
      <c r="BQ1173" s="60" t="n">
        <v>1173</v>
      </c>
      <c r="BR1173" s="55" t="str">
        <f aca="false">IF(U1173&lt;&gt;"",UPPER(TRIM(U1173)),IF(BU1173=1,UPPER(VLOOKUP(T1173,Parameter!$I$27:$K$29,2,0)),IF(P1173="","LOSE",P1173)))</f>
        <v>S51</v>
      </c>
      <c r="BS1173" s="57" t="n">
        <f aca="false">IF(BR1173="LOSE",1,IF(N(V1173)&gt;0,V1173,IF(BU1173=1,MAX(1,N(VLOOKUP(T1173,Parameter!$I$27:$K$29,3,0)),H1173,N(N1173)),IF(N(Q1173)&gt;0,Q1173,MAX(1,H1173)))))</f>
        <v>11</v>
      </c>
      <c r="BT1173" s="60" t="n">
        <f aca="false">IF(BR1173="LOSE",1,0)</f>
        <v>0</v>
      </c>
      <c r="BU1173" s="60" t="n">
        <f aca="false">IF(AND(U1173="",OR(P1173="",P1173="LOSE"),T1173&lt;&gt;"",N(S1173)&lt;=0,ISNUMBER(MATCH(T1173,Parameter!$I$27:$I$29,0))),1,0)</f>
        <v>0</v>
      </c>
      <c r="BV1173" s="55" t="str">
        <f aca="false">IF(AND(Parameter!$B$19="Ja",E1173&lt;&gt;"",ISNUMBER(MATCH(E1173,Parameter!$I$35:$I$52,0))),VLOOKUP(E1173,Parameter!$I$35:$J$52,2,0),IFERROR(VLOOKUP(D1173,Parameter!$A$35:$C$64,2,0),"Nein"))</f>
        <v>2+3</v>
      </c>
      <c r="BW1173" s="59" t="n">
        <f aca="false">IF(BT1173=0,0,IF(N(S1173)&gt;0,S1173,IFERROR(VLOOKUP(D1173,Parameter!$A$35:$C$64,3,0)+0,0)))</f>
        <v>0</v>
      </c>
      <c r="BX1173" s="55" t="n">
        <f aca="false">IF(AA1173&lt;&gt;"",AA1173,Z1173)</f>
        <v>3</v>
      </c>
      <c r="BY1173" s="55" t="str">
        <f aca="false">IF(BX1173=1,"L1",IF(OR(BX1173=2,BX1173=3),"L23",IF(BX1173="Aussen","Aussen","-")))</f>
        <v>L23</v>
      </c>
      <c r="BZ1173" s="66" t="n">
        <f aca="false">IF(N(AB1173)&gt;0,AB1173,0)</f>
        <v>0</v>
      </c>
      <c r="CA1173" s="60" t="n">
        <f aca="false">IF(ISNUMBER(AE1173),1,0)</f>
        <v>0</v>
      </c>
      <c r="CB1173" s="57" t="n">
        <f aca="false">N(AE1173)</f>
        <v>0</v>
      </c>
      <c r="CC1173" s="57" t="n">
        <f aca="false">N(M1173)+N(N1173)</f>
        <v>1</v>
      </c>
      <c r="CD1173" s="57" t="n">
        <f aca="false">ROUNDUP(H1173/BS1173,0)</f>
        <v>0</v>
      </c>
      <c r="CE1173" s="57" t="n">
        <f aca="false">ROUNDUP(CB1173/BS1173,0)</f>
        <v>0</v>
      </c>
      <c r="CF1173" s="60" t="n">
        <f aca="false">IF(BT1173=1,0,IFERROR(VLOOKUP(BR1173,'Gebinde-Kategorie'!$A$5:$M$45,5,0)+0,0))</f>
        <v>11</v>
      </c>
      <c r="CG1173" s="60" t="n">
        <f aca="false">IFERROR(IF(OR(BX1173=1,BX1173=2,BX1173=3),N(INDEX(Parameter!$I$5:$I$7,BX1173)),0),0)</f>
        <v>0</v>
      </c>
      <c r="CH1173" s="59" t="n">
        <f aca="false">IF(AND(Parameter!$B$21="Ja",ISNUMBER(W1173),N(X1173)&gt;0),IFERROR(N(INDEX(Parameter!$L$5:$L$7,W1173))*INDEX(Parameter!$E$5:$E$7,W1173)*X1173/SUMIFS($X$7:$X$1843,$W$7:$W$1843,W1173),0),0)</f>
        <v>0</v>
      </c>
    </row>
    <row r="1174" customFormat="false" ht="15" hidden="false" customHeight="false" outlineLevel="0" collapsed="false">
      <c r="A1174" s="55" t="s">
        <v>2113</v>
      </c>
      <c r="B1174" s="55" t="s">
        <v>2114</v>
      </c>
      <c r="C1174" s="55" t="s">
        <v>164</v>
      </c>
      <c r="D1174" s="55" t="s">
        <v>184</v>
      </c>
      <c r="E1174" s="55" t="s">
        <v>185</v>
      </c>
      <c r="F1174" s="55" t="s">
        <v>218</v>
      </c>
      <c r="G1174" s="56" t="n">
        <v>369.23</v>
      </c>
      <c r="H1174" s="57" t="n">
        <f aca="false">MAX(0,IF(AND(Parameter!$B$21="Ja",ISNUMBER(Y1174)),Y1174,IF(Parameter!$B$20="Jahresanfang 2025 + Export",BL1174+BK1174,BK1174)))</f>
        <v>5</v>
      </c>
      <c r="I1174" s="57" t="n">
        <f aca="false">H1174*G1174</f>
        <v>1846.15</v>
      </c>
      <c r="J1174" s="57" t="n">
        <f aca="false">BN1174*Parameter!$B$18</f>
        <v>3</v>
      </c>
      <c r="K1174" s="58" t="n">
        <v>6.5</v>
      </c>
      <c r="L1174" s="59" t="n">
        <v>0.461538461538462</v>
      </c>
      <c r="M1174" s="57" t="n">
        <v>0</v>
      </c>
      <c r="N1174" s="57" t="n">
        <v>5</v>
      </c>
      <c r="O1174" s="60" t="n">
        <v>28</v>
      </c>
      <c r="P1174" s="55" t="s">
        <v>226</v>
      </c>
      <c r="Q1174" s="57" t="n">
        <v>4</v>
      </c>
      <c r="R1174" s="60" t="n">
        <f aca="false">IF(BT1174=1,0,IFERROR(VLOOKUP(BR1174,'Gebinde-Kategorie'!$A$5:$M$45,13,0)+0,0))</f>
        <v>12</v>
      </c>
      <c r="S1174" s="61"/>
      <c r="T1174" s="62"/>
      <c r="U1174" s="62"/>
      <c r="V1174" s="62"/>
      <c r="W1174" s="55"/>
      <c r="X1174" s="57"/>
      <c r="Y1174" s="57"/>
      <c r="Z1174" s="55" t="n">
        <f aca="false">IF(A1174="","",IF(AND(Parameter!$B$21="Ja",ISNUMBER(W1174)),W1174,IF(BV1174="2+3",IF(ISNUMBER(SEARCH("grosser Artikel",BO1174)),2,IFERROR(VLOOKUP(BR1174,Parameter!$F$35:$G$64,2,0),2)),IF(OR(BV1174="Nein",BV1174=""),"-",BV1174))))</f>
        <v>2</v>
      </c>
      <c r="AA1174" s="62"/>
      <c r="AB1174" s="63"/>
      <c r="AC1174" s="57" t="n">
        <f aca="false">AR1174</f>
        <v>8</v>
      </c>
      <c r="AD1174" s="57" t="n">
        <f aca="false">MAX(AR1174,H1174)</f>
        <v>8</v>
      </c>
      <c r="AE1174" s="64"/>
      <c r="AF1174" s="57" t="n">
        <f aca="false">IF(LEFT(Cockpit!$C$5,1)="A",H1174,IF(CA1174=1,CB1174,IF(LEFT(Cockpit!$C$5,1)="B",AJ1174,MAX(AJ1174,H1174))))</f>
        <v>5</v>
      </c>
      <c r="AG1174" s="57" t="n">
        <f aca="false">IF(BT1174=1,0,ROUNDUP(AF1174/BS1174,0))</f>
        <v>2</v>
      </c>
      <c r="AH1174" s="59" t="n">
        <f aca="false">IF(CH1174&gt;0,CH1174*MAX(1,AF1174/X1174),IF(BT1174=1,IF(AF1174&lt;=0,0,BW1174*MAX(1,IF(H1174&gt;0,AF1174/H1174,1))),IF(R1174&gt;0,AG1174/R1174,0))/MAX(0.1,N(Parameter!$M$21)))</f>
        <v>0.166666666666667</v>
      </c>
      <c r="AI1174" s="57" t="n">
        <f aca="false">AF1174*G1174</f>
        <v>1846.15</v>
      </c>
      <c r="AJ1174" s="57" t="n">
        <f aca="false">ROUNDUP(MAX(J1174/IF(BZ1174&gt;0,BZ1174,MAX(0.1,N(Cockpit!$C$6))),CC1174)/BS1174,0)*BS1174</f>
        <v>8</v>
      </c>
      <c r="AK1174" s="58" t="n">
        <f aca="false">IF(AH1174&gt;0,J1174/AH1174,-1)</f>
        <v>18</v>
      </c>
      <c r="AL1174" s="58" t="n">
        <f aca="false">IF(AND(OR(BY1174="L1",BY1174="L23"),AH1174&gt;0),SUMIFS($AH$7:$AH$1843,$BY$7:$BY$1843,BY1174,$AK$7:$AK$1843,"&gt;"&amp;AK1174)+SUMIFS($AH$7:$AH$1843,$BY$7:$BY$1843,BY1174,$AK$7:$AK$1843,AK1174,$BQ$7:$BQ$1843,"&lt;="&amp;BQ1174),"")</f>
        <v>52.6715144758623</v>
      </c>
      <c r="AM1174" s="65" t="n">
        <f aca="false">IF(AL1174="",0,MAX(0,MIN(1,(IF(BY1174="L1",Parameter!$E$5,Parameter!$E$6+Parameter!$E$7)-(AL1174-AH1174))/AH1174)))</f>
        <v>1</v>
      </c>
      <c r="AN1174" s="57" t="n">
        <f aca="false">IF(LEFT(Cockpit!$I$5,1)="A",H1174,IF(CA1174=1,CB1174,IF(LEFT(Cockpit!$I$5,1)="B",AR1174,MAX(AR1174,H1174))))</f>
        <v>8</v>
      </c>
      <c r="AO1174" s="57" t="n">
        <f aca="false">IF(BT1174=1,0,ROUNDUP(AN1174/BS1174,0))</f>
        <v>2</v>
      </c>
      <c r="AP1174" s="59" t="n">
        <f aca="false">IF(CH1174&gt;0,CH1174*MAX(1,AN1174/X1174),IF(BT1174=1,IF(AN1174&lt;=0,0,BW1174*MAX(1,IF(H1174&gt;0,AN1174/H1174,1))),IF(R1174&gt;0,AO1174/R1174,0))/MAX(0.1,N(Parameter!$M$21)))</f>
        <v>0.166666666666667</v>
      </c>
      <c r="AQ1174" s="57" t="n">
        <f aca="false">AN1174*G1174</f>
        <v>2953.84</v>
      </c>
      <c r="AR1174" s="57" t="n">
        <f aca="false">ROUNDUP(MAX(J1174/IF(BZ1174&gt;0,BZ1174,MAX(0.1,N(Cockpit!$I$6))),CC1174)/BS1174,0)*BS1174</f>
        <v>8</v>
      </c>
      <c r="AS1174" s="58" t="n">
        <f aca="false">IF(AP1174&gt;0,J1174/AP1174,-1)</f>
        <v>18</v>
      </c>
      <c r="AT1174" s="58" t="n">
        <f aca="false">IF(AND(OR(BY1174="L1",BY1174="L23"),AP1174&gt;0),SUMIFS($AP$7:$AP$1843,$BY$7:$BY$1843,BY1174,$AS$7:$AS$1843,"&gt;"&amp;AS1174)+SUMIFS($AP$7:$AP$1843,$BY$7:$BY$1843,BY1174,$AS$7:$AS$1843,AS1174,$BQ$7:$BQ$1843,"&lt;="&amp;BQ1174),"")</f>
        <v>78.0123053275227</v>
      </c>
      <c r="AU1174" s="65" t="n">
        <f aca="false">IF(AT1174="",0,MAX(0,MIN(1,(IF(BY1174="L1",Parameter!$E$5,Parameter!$E$6+Parameter!$E$7)-(AT1174-AP1174))/AP1174)))</f>
        <v>1</v>
      </c>
      <c r="AV1174" s="57" t="n">
        <f aca="false">IF(LEFT(Cockpit!$O$5,1)="A",H1174,IF(CA1174=1,CB1174,IF(LEFT(Cockpit!$O$5,1)="B",AZ1174,MAX(AZ1174,H1174))))</f>
        <v>8</v>
      </c>
      <c r="AW1174" s="57" t="n">
        <f aca="false">IF(BT1174=1,0,ROUNDUP(AV1174/BS1174,0))</f>
        <v>2</v>
      </c>
      <c r="AX1174" s="59" t="n">
        <f aca="false">IF(CH1174&gt;0,CH1174*MAX(1,AV1174/X1174),IF(BT1174=1,IF(AV1174&lt;=0,0,BW1174*MAX(1,IF(H1174&gt;0,AV1174/H1174,1))),IF(R1174&gt;0,AW1174/R1174,0))/MAX(0.1,N(Parameter!$M$21)))</f>
        <v>0.166666666666667</v>
      </c>
      <c r="AY1174" s="57" t="n">
        <f aca="false">AV1174*G1174</f>
        <v>2953.84</v>
      </c>
      <c r="AZ1174" s="57" t="n">
        <f aca="false">ROUNDUP(MAX(J1174/IF(BZ1174&gt;0,BZ1174,MAX(0.1,N(Cockpit!$O$6))),CC1174)/BS1174,0)*BS1174</f>
        <v>8</v>
      </c>
      <c r="BA1174" s="58" t="n">
        <f aca="false">IF(AX1174&gt;0,J1174/AX1174,-1)</f>
        <v>18</v>
      </c>
      <c r="BB1174" s="58" t="n">
        <f aca="false">IF(AND(OR(BY1174="L1",BY1174="L23"),AX1174&gt;0),SUMIFS($AX$7:$AX$1843,$BY$7:$BY$1843,BY1174,$BA$7:$BA$1843,"&gt;"&amp;BA1174)+SUMIFS($AX$7:$AX$1843,$BY$7:$BY$1843,BY1174,$BA$7:$BA$1843,BA1174,$BQ$7:$BQ$1843,"&lt;="&amp;BQ1174),"")</f>
        <v>77.5088088240262</v>
      </c>
      <c r="BC1174" s="65" t="n">
        <f aca="false">IF(BB1174="",0,MAX(0,MIN(1,(IF(BY1174="L1",Parameter!$E$5,Parameter!$E$6+Parameter!$E$7)-(BB1174-AX1174))/AX1174)))</f>
        <v>1</v>
      </c>
      <c r="BD1174" s="55" t="str">
        <f aca="false">IF(AH1174&lt;=0,"",IF(BY1174="Aussen","Aussenlager",IF(BY1174="-","Nicht im Lift",IF(AM1174&gt;=1,"Lift",IF(AM1174&lt;=0,"Aussenlager","teilweise")))))</f>
        <v>Lift</v>
      </c>
      <c r="BE1174" s="55" t="str">
        <f aca="false">IF(AP1174&lt;=0,"",IF(BY1174="Aussen","Aussenlager",IF(BY1174="-","Nicht im Lift",IF(AU1174&gt;=1,"Lift",IF(AU1174&lt;=0,"Aussenlager","teilweise")))))</f>
        <v>Lift</v>
      </c>
      <c r="BF1174" s="55" t="str">
        <f aca="false">IF(AX1174&lt;=0,"",IF(BY1174="Aussen","Aussenlager",IF(BY1174="-","Nicht im Lift",IF(BC1174&gt;=1,"Lift",IF(BC1174&lt;=0,"Aussenlager","teilweise")))))</f>
        <v>Lift</v>
      </c>
      <c r="BG1174" s="55" t="str">
        <f aca="false">IF(A1174="","",IF(BP1174=1,"Neu; ","")&amp;IF(AND(BP1174=0,BK1174&lt;0),"negativer Bestand (Export "&amp;BK1174&amp;"); ","")&amp;IF(J1174&lt;=0,"Kein Verbrauch; ","")&amp;IF(CH1174&gt;0,"Lift "&amp;W1174&amp;" lt. Liftbericht (Fach "&amp;X1174&amp;" Stk); ",IF(BU1174=1,"Gebinde geschätzt ("&amp;T1174&amp;"); ",IF(BT1174=1,"Lose – Tablare geschätzt; ","")))&amp;IF(H1174&gt;AR1174,"Überbestand "&amp;ROUND(H1174-AR1174,0)&amp;" Stk / CHF "&amp;ROUND((H1174-AR1174)*G1174,0)&amp;"; ","")&amp;IF(AND(CA1174=1,CB1174&lt;CC1174),"MAX &lt; MB+LG; ","")&amp;IF(AND(CG1174&gt;0,CF1174*10&gt;CG1174),"zu hoch für Tablar; ","")&amp;IF(AND(BP1174=0,OR(CA1174=1,AA1174&lt;&gt;"",U1174&lt;&gt;"",V1174&lt;&gt;"",AB1174&lt;&gt;"")),"manuell übersteuert; ","")&amp;IF(AND(BT1174=0,R1174=0),"Gebinde unbekannt / Stellmass fehlt; ","")&amp;IF(AND(BT1174=0,N(V1174)&lt;=0,N(Q1174)&lt;=0),"Menge pro Gebinde fehlt (Ist = 1 Gebinde); ","")&amp;BO1174)</f>
        <v>negativer Bestand (Export -1); nicht im KTL vorhanden</v>
      </c>
      <c r="BH1174" s="55"/>
      <c r="BI1174" s="55"/>
      <c r="BJ1174" s="62"/>
      <c r="BK1174" s="57" t="n">
        <v>-1</v>
      </c>
      <c r="BL1174" s="57" t="n">
        <v>6</v>
      </c>
      <c r="BM1174" s="56" t="n">
        <v>-363.89</v>
      </c>
      <c r="BN1174" s="57" t="n">
        <v>3</v>
      </c>
      <c r="BO1174" s="55" t="s">
        <v>230</v>
      </c>
      <c r="BP1174" s="60" t="n">
        <v>0</v>
      </c>
      <c r="BQ1174" s="60" t="n">
        <v>1174</v>
      </c>
      <c r="BR1174" s="55" t="str">
        <f aca="false">IF(U1174&lt;&gt;"",UPPER(TRIM(U1174)),IF(BU1174=1,UPPER(VLOOKUP(T1174,Parameter!$I$27:$K$29,2,0)),IF(P1174="","LOSE",P1174)))</f>
        <v>S63</v>
      </c>
      <c r="BS1174" s="57" t="n">
        <f aca="false">IF(BR1174="LOSE",1,IF(N(V1174)&gt;0,V1174,IF(BU1174=1,MAX(1,N(VLOOKUP(T1174,Parameter!$I$27:$K$29,3,0)),H1174,N(N1174)),IF(N(Q1174)&gt;0,Q1174,MAX(1,H1174)))))</f>
        <v>4</v>
      </c>
      <c r="BT1174" s="60" t="n">
        <f aca="false">IF(BR1174="LOSE",1,0)</f>
        <v>0</v>
      </c>
      <c r="BU1174" s="60" t="n">
        <f aca="false">IF(AND(U1174="",OR(P1174="",P1174="LOSE"),T1174&lt;&gt;"",N(S1174)&lt;=0,ISNUMBER(MATCH(T1174,Parameter!$I$27:$I$29,0))),1,0)</f>
        <v>0</v>
      </c>
      <c r="BV1174" s="55" t="str">
        <f aca="false">IF(AND(Parameter!$B$19="Ja",E1174&lt;&gt;"",ISNUMBER(MATCH(E1174,Parameter!$I$35:$I$52,0))),VLOOKUP(E1174,Parameter!$I$35:$J$52,2,0),IFERROR(VLOOKUP(D1174,Parameter!$A$35:$C$64,2,0),"Nein"))</f>
        <v>2+3</v>
      </c>
      <c r="BW1174" s="59" t="n">
        <f aca="false">IF(BT1174=0,0,IF(N(S1174)&gt;0,S1174,IFERROR(VLOOKUP(D1174,Parameter!$A$35:$C$64,3,0)+0,0)))</f>
        <v>0</v>
      </c>
      <c r="BX1174" s="55" t="n">
        <f aca="false">IF(AA1174&lt;&gt;"",AA1174,Z1174)</f>
        <v>2</v>
      </c>
      <c r="BY1174" s="55" t="str">
        <f aca="false">IF(BX1174=1,"L1",IF(OR(BX1174=2,BX1174=3),"L23",IF(BX1174="Aussen","Aussen","-")))</f>
        <v>L23</v>
      </c>
      <c r="BZ1174" s="66" t="n">
        <f aca="false">IF(N(AB1174)&gt;0,AB1174,0)</f>
        <v>0</v>
      </c>
      <c r="CA1174" s="60" t="n">
        <f aca="false">IF(ISNUMBER(AE1174),1,0)</f>
        <v>0</v>
      </c>
      <c r="CB1174" s="57" t="n">
        <f aca="false">N(AE1174)</f>
        <v>0</v>
      </c>
      <c r="CC1174" s="57" t="n">
        <f aca="false">N(M1174)+N(N1174)</f>
        <v>5</v>
      </c>
      <c r="CD1174" s="57" t="n">
        <f aca="false">ROUNDUP(H1174/BS1174,0)</f>
        <v>2</v>
      </c>
      <c r="CE1174" s="57" t="n">
        <f aca="false">ROUNDUP(CB1174/BS1174,0)</f>
        <v>0</v>
      </c>
      <c r="CF1174" s="60" t="n">
        <f aca="false">IF(BT1174=1,0,IFERROR(VLOOKUP(BR1174,'Gebinde-Kategorie'!$A$5:$M$45,5,0)+0,0))</f>
        <v>31</v>
      </c>
      <c r="CG1174" s="60" t="n">
        <f aca="false">IFERROR(IF(OR(BX1174=1,BX1174=2,BX1174=3),N(INDEX(Parameter!$I$5:$I$7,BX1174)),0),0)</f>
        <v>0</v>
      </c>
      <c r="CH1174" s="59" t="n">
        <f aca="false">IF(AND(Parameter!$B$21="Ja",ISNUMBER(W1174),N(X1174)&gt;0),IFERROR(N(INDEX(Parameter!$L$5:$L$7,W1174))*INDEX(Parameter!$E$5:$E$7,W1174)*X1174/SUMIFS($X$7:$X$1843,$W$7:$W$1843,W1174),0),0)</f>
        <v>0</v>
      </c>
    </row>
    <row r="1175" customFormat="false" ht="15" hidden="false" customHeight="false" outlineLevel="0" collapsed="false">
      <c r="A1175" s="55" t="s">
        <v>2115</v>
      </c>
      <c r="B1175" s="55" t="s">
        <v>2116</v>
      </c>
      <c r="C1175" s="55" t="s">
        <v>164</v>
      </c>
      <c r="D1175" s="55" t="s">
        <v>184</v>
      </c>
      <c r="E1175" s="55"/>
      <c r="F1175" s="55" t="s">
        <v>218</v>
      </c>
      <c r="G1175" s="56" t="n">
        <v>31.84</v>
      </c>
      <c r="H1175" s="57" t="n">
        <f aca="false">MAX(0,IF(AND(Parameter!$B$21="Ja",ISNUMBER(Y1175)),Y1175,IF(Parameter!$B$20="Jahresanfang 2025 + Export",BL1175+BK1175,BK1175)))</f>
        <v>0</v>
      </c>
      <c r="I1175" s="57" t="n">
        <f aca="false">H1175*G1175</f>
        <v>0</v>
      </c>
      <c r="J1175" s="57" t="n">
        <f aca="false">BN1175*Parameter!$B$18</f>
        <v>10</v>
      </c>
      <c r="K1175" s="58" t="n">
        <v>6</v>
      </c>
      <c r="L1175" s="59" t="n">
        <v>1.66666666666667</v>
      </c>
      <c r="M1175" s="57" t="n">
        <v>0</v>
      </c>
      <c r="N1175" s="57" t="n">
        <v>10</v>
      </c>
      <c r="O1175" s="60" t="n">
        <v>14</v>
      </c>
      <c r="P1175" s="55" t="s">
        <v>168</v>
      </c>
      <c r="Q1175" s="57"/>
      <c r="R1175" s="60" t="n">
        <f aca="false">IF(BT1175=1,0,IFERROR(VLOOKUP(BR1175,'Gebinde-Kategorie'!$A$5:$M$45,13,0)+0,0))</f>
        <v>26</v>
      </c>
      <c r="S1175" s="61"/>
      <c r="T1175" s="62" t="s">
        <v>275</v>
      </c>
      <c r="U1175" s="62"/>
      <c r="V1175" s="62"/>
      <c r="W1175" s="55"/>
      <c r="X1175" s="57"/>
      <c r="Y1175" s="57"/>
      <c r="Z1175" s="55" t="n">
        <f aca="false">IF(A1175="","",IF(AND(Parameter!$B$21="Ja",ISNUMBER(W1175)),W1175,IF(BV1175="2+3",IF(ISNUMBER(SEARCH("grosser Artikel",BO1175)),2,IFERROR(VLOOKUP(BR1175,Parameter!$F$35:$G$64,2,0),2)),IF(OR(BV1175="Nein",BV1175=""),"-",BV1175))))</f>
        <v>3</v>
      </c>
      <c r="AA1175" s="62"/>
      <c r="AB1175" s="63"/>
      <c r="AC1175" s="57" t="n">
        <f aca="false">AR1175</f>
        <v>20</v>
      </c>
      <c r="AD1175" s="57" t="n">
        <f aca="false">MAX(AR1175,H1175)</f>
        <v>20</v>
      </c>
      <c r="AE1175" s="64"/>
      <c r="AF1175" s="57" t="n">
        <f aca="false">IF(LEFT(Cockpit!$C$5,1)="A",H1175,IF(CA1175=1,CB1175,IF(LEFT(Cockpit!$C$5,1)="B",AJ1175,MAX(AJ1175,H1175))))</f>
        <v>0</v>
      </c>
      <c r="AG1175" s="57" t="n">
        <f aca="false">IF(BT1175=1,0,ROUNDUP(AF1175/BS1175,0))</f>
        <v>0</v>
      </c>
      <c r="AH1175" s="59" t="n">
        <f aca="false">IF(CH1175&gt;0,CH1175*MAX(1,AF1175/X1175),IF(BT1175=1,IF(AF1175&lt;=0,0,BW1175*MAX(1,IF(H1175&gt;0,AF1175/H1175,1))),IF(R1175&gt;0,AG1175/R1175,0))/MAX(0.1,N(Parameter!$M$21)))</f>
        <v>0</v>
      </c>
      <c r="AI1175" s="57" t="n">
        <f aca="false">AF1175*G1175</f>
        <v>0</v>
      </c>
      <c r="AJ1175" s="57" t="n">
        <f aca="false">ROUNDUP(MAX(J1175/IF(BZ1175&gt;0,BZ1175,MAX(0.1,N(Cockpit!$C$6))),CC1175)/BS1175,0)*BS1175</f>
        <v>20</v>
      </c>
      <c r="AK1175" s="58" t="n">
        <f aca="false">IF(AH1175&gt;0,J1175/AH1175,-1)</f>
        <v>-1</v>
      </c>
      <c r="AL1175" s="58" t="str">
        <f aca="false">IF(AND(OR(BY1175="L1",BY1175="L23"),AH1175&gt;0),SUMIFS($AH$7:$AH$1843,$BY$7:$BY$1843,BY1175,$AK$7:$AK$1843,"&gt;"&amp;AK1175)+SUMIFS($AH$7:$AH$1843,$BY$7:$BY$1843,BY1175,$AK$7:$AK$1843,AK1175,$BQ$7:$BQ$1843,"&lt;="&amp;BQ1175),"")</f>
        <v/>
      </c>
      <c r="AM1175" s="65" t="n">
        <f aca="false">IF(AL1175="",0,MAX(0,MIN(1,(IF(BY1175="L1",Parameter!$E$5,Parameter!$E$6+Parameter!$E$7)-(AL1175-AH1175))/AH1175)))</f>
        <v>0</v>
      </c>
      <c r="AN1175" s="57" t="n">
        <f aca="false">IF(LEFT(Cockpit!$I$5,1)="A",H1175,IF(CA1175=1,CB1175,IF(LEFT(Cockpit!$I$5,1)="B",AR1175,MAX(AR1175,H1175))))</f>
        <v>20</v>
      </c>
      <c r="AO1175" s="57" t="n">
        <f aca="false">IF(BT1175=1,0,ROUNDUP(AN1175/BS1175,0))</f>
        <v>1</v>
      </c>
      <c r="AP1175" s="59" t="n">
        <f aca="false">IF(CH1175&gt;0,CH1175*MAX(1,AN1175/X1175),IF(BT1175=1,IF(AN1175&lt;=0,0,BW1175*MAX(1,IF(H1175&gt;0,AN1175/H1175,1))),IF(R1175&gt;0,AO1175/R1175,0))/MAX(0.1,N(Parameter!$M$21)))</f>
        <v>0.0384615384615385</v>
      </c>
      <c r="AQ1175" s="57" t="n">
        <f aca="false">AN1175*G1175</f>
        <v>636.8</v>
      </c>
      <c r="AR1175" s="57" t="n">
        <f aca="false">ROUNDUP(MAX(J1175/IF(BZ1175&gt;0,BZ1175,MAX(0.1,N(Cockpit!$I$6))),CC1175)/BS1175,0)*BS1175</f>
        <v>20</v>
      </c>
      <c r="AS1175" s="58" t="n">
        <f aca="false">IF(AP1175&gt;0,J1175/AP1175,-1)</f>
        <v>260</v>
      </c>
      <c r="AT1175" s="58" t="n">
        <f aca="false">IF(AND(OR(BY1175="L1",BY1175="L23"),AP1175&gt;0),SUMIFS($AP$7:$AP$1843,$BY$7:$BY$1843,BY1175,$AS$7:$AS$1843,"&gt;"&amp;AS1175)+SUMIFS($AP$7:$AP$1843,$BY$7:$BY$1843,BY1175,$AS$7:$AS$1843,AS1175,$BQ$7:$BQ$1843,"&lt;="&amp;BQ1175),"")</f>
        <v>42.5967112597547</v>
      </c>
      <c r="AU1175" s="65" t="n">
        <f aca="false">IF(AT1175="",0,MAX(0,MIN(1,(IF(BY1175="L1",Parameter!$E$5,Parameter!$E$6+Parameter!$E$7)-(AT1175-AP1175))/AP1175)))</f>
        <v>1</v>
      </c>
      <c r="AV1175" s="57" t="n">
        <f aca="false">IF(LEFT(Cockpit!$O$5,1)="A",H1175,IF(CA1175=1,CB1175,IF(LEFT(Cockpit!$O$5,1)="B",AZ1175,MAX(AZ1175,H1175))))</f>
        <v>20</v>
      </c>
      <c r="AW1175" s="57" t="n">
        <f aca="false">IF(BT1175=1,0,ROUNDUP(AV1175/BS1175,0))</f>
        <v>1</v>
      </c>
      <c r="AX1175" s="59" t="n">
        <f aca="false">IF(CH1175&gt;0,CH1175*MAX(1,AV1175/X1175),IF(BT1175=1,IF(AV1175&lt;=0,0,BW1175*MAX(1,IF(H1175&gt;0,AV1175/H1175,1))),IF(R1175&gt;0,AW1175/R1175,0))/MAX(0.1,N(Parameter!$M$21)))</f>
        <v>0.0384615384615385</v>
      </c>
      <c r="AY1175" s="57" t="n">
        <f aca="false">AV1175*G1175</f>
        <v>636.8</v>
      </c>
      <c r="AZ1175" s="57" t="n">
        <f aca="false">ROUNDUP(MAX(J1175/IF(BZ1175&gt;0,BZ1175,MAX(0.1,N(Cockpit!$O$6))),CC1175)/BS1175,0)*BS1175</f>
        <v>20</v>
      </c>
      <c r="BA1175" s="58" t="n">
        <f aca="false">IF(AX1175&gt;0,J1175/AX1175,-1)</f>
        <v>260</v>
      </c>
      <c r="BB1175" s="58" t="n">
        <f aca="false">IF(AND(OR(BY1175="L1",BY1175="L23"),AX1175&gt;0),SUMIFS($AX$7:$AX$1843,$BY$7:$BY$1843,BY1175,$BA$7:$BA$1843,"&gt;"&amp;BA1175)+SUMIFS($AX$7:$AX$1843,$BY$7:$BY$1843,BY1175,$BA$7:$BA$1843,BA1175,$BQ$7:$BQ$1843,"&lt;="&amp;BQ1175),"")</f>
        <v>38.9265480895916</v>
      </c>
      <c r="BC1175" s="65" t="n">
        <f aca="false">IF(BB1175="",0,MAX(0,MIN(1,(IF(BY1175="L1",Parameter!$E$5,Parameter!$E$6+Parameter!$E$7)-(BB1175-AX1175))/AX1175)))</f>
        <v>1</v>
      </c>
      <c r="BD1175" s="55" t="str">
        <f aca="false">IF(AH1175&lt;=0,"",IF(BY1175="Aussen","Aussenlager",IF(BY1175="-","Nicht im Lift",IF(AM1175&gt;=1,"Lift",IF(AM1175&lt;=0,"Aussenlager","teilweise")))))</f>
        <v/>
      </c>
      <c r="BE1175" s="55" t="str">
        <f aca="false">IF(AP1175&lt;=0,"",IF(BY1175="Aussen","Aussenlager",IF(BY1175="-","Nicht im Lift",IF(AU1175&gt;=1,"Lift",IF(AU1175&lt;=0,"Aussenlager","teilweise")))))</f>
        <v>Lift</v>
      </c>
      <c r="BF1175" s="55" t="str">
        <f aca="false">IF(AX1175&lt;=0,"",IF(BY1175="Aussen","Aussenlager",IF(BY1175="-","Nicht im Lift",IF(BC1175&gt;=1,"Lift",IF(BC1175&lt;=0,"Aussenlager","teilweise")))))</f>
        <v>Lift</v>
      </c>
      <c r="BG1175" s="55" t="str">
        <f aca="false">IF(A1175="","",IF(BP1175=1,"Neu; ","")&amp;IF(AND(BP1175=0,BK1175&lt;0),"negativer Bestand (Export "&amp;BK1175&amp;"); ","")&amp;IF(J1175&lt;=0,"Kein Verbrauch; ","")&amp;IF(CH1175&gt;0,"Lift "&amp;W1175&amp;" lt. Liftbericht (Fach "&amp;X1175&amp;" Stk); ",IF(BU1175=1,"Gebinde geschätzt ("&amp;T1175&amp;"); ",IF(BT1175=1,"Lose – Tablare geschätzt; ","")))&amp;IF(H1175&gt;AR1175,"Überbestand "&amp;ROUND(H1175-AR1175,0)&amp;" Stk / CHF "&amp;ROUND((H1175-AR1175)*G1175,0)&amp;"; ","")&amp;IF(AND(CA1175=1,CB1175&lt;CC1175),"MAX &lt; MB+LG; ","")&amp;IF(AND(CG1175&gt;0,CF1175*10&gt;CG1175),"zu hoch für Tablar; ","")&amp;IF(AND(BP1175=0,OR(CA1175=1,AA1175&lt;&gt;"",U1175&lt;&gt;"",V1175&lt;&gt;"",AB1175&lt;&gt;"")),"manuell übersteuert; ","")&amp;IF(AND(BT1175=0,R1175=0),"Gebinde unbekannt / Stellmass fehlt; ","")&amp;IF(AND(BT1175=0,N(V1175)&lt;=0,N(Q1175)&lt;=0),"Menge pro Gebinde fehlt (Ist = 1 Gebinde); ","")&amp;BO1175)</f>
        <v>negativer Bestand (Export -8); Gebinde geschätzt (Klein); Menge pro Gebinde fehlt (Ist = 1 Gebinde); </v>
      </c>
      <c r="BH1175" s="55"/>
      <c r="BI1175" s="55"/>
      <c r="BJ1175" s="62"/>
      <c r="BK1175" s="57" t="n">
        <v>-8</v>
      </c>
      <c r="BL1175" s="57" t="n">
        <v>8</v>
      </c>
      <c r="BM1175" s="56" t="n">
        <v>-369.36</v>
      </c>
      <c r="BN1175" s="57" t="n">
        <v>10</v>
      </c>
      <c r="BO1175" s="55"/>
      <c r="BP1175" s="60" t="n">
        <v>0</v>
      </c>
      <c r="BQ1175" s="60" t="n">
        <v>1175</v>
      </c>
      <c r="BR1175" s="55" t="str">
        <f aca="false">IF(U1175&lt;&gt;"",UPPER(TRIM(U1175)),IF(BU1175=1,UPPER(VLOOKUP(T1175,Parameter!$I$27:$K$29,2,0)),IF(P1175="","LOSE",P1175)))</f>
        <v>S51</v>
      </c>
      <c r="BS1175" s="57" t="n">
        <f aca="false">IF(BR1175="LOSE",1,IF(N(V1175)&gt;0,V1175,IF(BU1175=1,MAX(1,N(VLOOKUP(T1175,Parameter!$I$27:$K$29,3,0)),H1175,N(N1175)),IF(N(Q1175)&gt;0,Q1175,MAX(1,H1175)))))</f>
        <v>20</v>
      </c>
      <c r="BT1175" s="60" t="n">
        <f aca="false">IF(BR1175="LOSE",1,0)</f>
        <v>0</v>
      </c>
      <c r="BU1175" s="60" t="n">
        <f aca="false">IF(AND(U1175="",OR(P1175="",P1175="LOSE"),T1175&lt;&gt;"",N(S1175)&lt;=0,ISNUMBER(MATCH(T1175,Parameter!$I$27:$I$29,0))),1,0)</f>
        <v>1</v>
      </c>
      <c r="BV1175" s="55" t="str">
        <f aca="false">IF(AND(Parameter!$B$19="Ja",E1175&lt;&gt;"",ISNUMBER(MATCH(E1175,Parameter!$I$35:$I$52,0))),VLOOKUP(E1175,Parameter!$I$35:$J$52,2,0),IFERROR(VLOOKUP(D1175,Parameter!$A$35:$C$64,2,0),"Nein"))</f>
        <v>2+3</v>
      </c>
      <c r="BW1175" s="59" t="n">
        <f aca="false">IF(BT1175=0,0,IF(N(S1175)&gt;0,S1175,IFERROR(VLOOKUP(D1175,Parameter!$A$35:$C$64,3,0)+0,0)))</f>
        <v>0</v>
      </c>
      <c r="BX1175" s="55" t="n">
        <f aca="false">IF(AA1175&lt;&gt;"",AA1175,Z1175)</f>
        <v>3</v>
      </c>
      <c r="BY1175" s="55" t="str">
        <f aca="false">IF(BX1175=1,"L1",IF(OR(BX1175=2,BX1175=3),"L23",IF(BX1175="Aussen","Aussen","-")))</f>
        <v>L23</v>
      </c>
      <c r="BZ1175" s="66" t="n">
        <f aca="false">IF(N(AB1175)&gt;0,AB1175,0)</f>
        <v>0</v>
      </c>
      <c r="CA1175" s="60" t="n">
        <f aca="false">IF(ISNUMBER(AE1175),1,0)</f>
        <v>0</v>
      </c>
      <c r="CB1175" s="57" t="n">
        <f aca="false">N(AE1175)</f>
        <v>0</v>
      </c>
      <c r="CC1175" s="57" t="n">
        <f aca="false">N(M1175)+N(N1175)</f>
        <v>10</v>
      </c>
      <c r="CD1175" s="57" t="n">
        <f aca="false">ROUNDUP(H1175/BS1175,0)</f>
        <v>0</v>
      </c>
      <c r="CE1175" s="57" t="n">
        <f aca="false">ROUNDUP(CB1175/BS1175,0)</f>
        <v>0</v>
      </c>
      <c r="CF1175" s="60" t="n">
        <f aca="false">IF(BT1175=1,0,IFERROR(VLOOKUP(BR1175,'Gebinde-Kategorie'!$A$5:$M$45,5,0)+0,0))</f>
        <v>11</v>
      </c>
      <c r="CG1175" s="60" t="n">
        <f aca="false">IFERROR(IF(OR(BX1175=1,BX1175=2,BX1175=3),N(INDEX(Parameter!$I$5:$I$7,BX1175)),0),0)</f>
        <v>0</v>
      </c>
      <c r="CH1175" s="59" t="n">
        <f aca="false">IF(AND(Parameter!$B$21="Ja",ISNUMBER(W1175),N(X1175)&gt;0),IFERROR(N(INDEX(Parameter!$L$5:$L$7,W1175))*INDEX(Parameter!$E$5:$E$7,W1175)*X1175/SUMIFS($X$7:$X$1843,$W$7:$W$1843,W1175),0),0)</f>
        <v>0</v>
      </c>
    </row>
    <row r="1176" customFormat="false" ht="15" hidden="false" customHeight="false" outlineLevel="0" collapsed="false">
      <c r="A1176" s="55" t="s">
        <v>2117</v>
      </c>
      <c r="B1176" s="55" t="s">
        <v>2118</v>
      </c>
      <c r="C1176" s="55" t="s">
        <v>456</v>
      </c>
      <c r="D1176" s="55" t="s">
        <v>184</v>
      </c>
      <c r="E1176" s="55"/>
      <c r="F1176" s="55" t="s">
        <v>218</v>
      </c>
      <c r="G1176" s="56" t="n">
        <v>41.2</v>
      </c>
      <c r="H1176" s="57" t="n">
        <f aca="false">MAX(0,IF(AND(Parameter!$B$21="Ja",ISNUMBER(Y1176)),Y1176,IF(Parameter!$B$20="Jahresanfang 2025 + Export",BL1176+BK1176,BK1176)))</f>
        <v>9</v>
      </c>
      <c r="I1176" s="57" t="n">
        <f aca="false">H1176*G1176</f>
        <v>370.8</v>
      </c>
      <c r="J1176" s="57" t="n">
        <f aca="false">BN1176*Parameter!$B$18</f>
        <v>9</v>
      </c>
      <c r="K1176" s="58" t="n">
        <v>9</v>
      </c>
      <c r="L1176" s="59" t="n">
        <v>1</v>
      </c>
      <c r="M1176" s="57" t="n">
        <v>0</v>
      </c>
      <c r="N1176" s="57" t="n">
        <v>10</v>
      </c>
      <c r="O1176" s="60" t="n">
        <v>21</v>
      </c>
      <c r="P1176" s="55" t="s">
        <v>168</v>
      </c>
      <c r="Q1176" s="57"/>
      <c r="R1176" s="60" t="n">
        <f aca="false">IF(BT1176=1,0,IFERROR(VLOOKUP(BR1176,'Gebinde-Kategorie'!$A$5:$M$45,13,0)+0,0))</f>
        <v>12</v>
      </c>
      <c r="S1176" s="61"/>
      <c r="T1176" s="62" t="s">
        <v>179</v>
      </c>
      <c r="U1176" s="62"/>
      <c r="V1176" s="62"/>
      <c r="W1176" s="55"/>
      <c r="X1176" s="57"/>
      <c r="Y1176" s="57"/>
      <c r="Z1176" s="55" t="n">
        <f aca="false">IF(A1176="","",IF(AND(Parameter!$B$21="Ja",ISNUMBER(W1176)),W1176,IF(BV1176="2+3",IF(ISNUMBER(SEARCH("grosser Artikel",BO1176)),2,IFERROR(VLOOKUP(BR1176,Parameter!$F$35:$G$64,2,0),2)),IF(OR(BV1176="Nein",BV1176=""),"-",BV1176))))</f>
        <v>2</v>
      </c>
      <c r="AA1176" s="62"/>
      <c r="AB1176" s="63"/>
      <c r="AC1176" s="57" t="n">
        <f aca="false">AR1176</f>
        <v>10</v>
      </c>
      <c r="AD1176" s="57" t="n">
        <f aca="false">MAX(AR1176,H1176)</f>
        <v>10</v>
      </c>
      <c r="AE1176" s="64"/>
      <c r="AF1176" s="57" t="n">
        <f aca="false">IF(LEFT(Cockpit!$C$5,1)="A",H1176,IF(CA1176=1,CB1176,IF(LEFT(Cockpit!$C$5,1)="B",AJ1176,MAX(AJ1176,H1176))))</f>
        <v>9</v>
      </c>
      <c r="AG1176" s="57" t="n">
        <f aca="false">IF(BT1176=1,0,ROUNDUP(AF1176/BS1176,0))</f>
        <v>1</v>
      </c>
      <c r="AH1176" s="59" t="n">
        <f aca="false">IF(CH1176&gt;0,CH1176*MAX(1,AF1176/X1176),IF(BT1176=1,IF(AF1176&lt;=0,0,BW1176*MAX(1,IF(H1176&gt;0,AF1176/H1176,1))),IF(R1176&gt;0,AG1176/R1176,0))/MAX(0.1,N(Parameter!$M$21)))</f>
        <v>0.0833333333333333</v>
      </c>
      <c r="AI1176" s="57" t="n">
        <f aca="false">AF1176*G1176</f>
        <v>370.8</v>
      </c>
      <c r="AJ1176" s="57" t="n">
        <f aca="false">ROUNDUP(MAX(J1176/IF(BZ1176&gt;0,BZ1176,MAX(0.1,N(Cockpit!$C$6))),CC1176)/BS1176,0)*BS1176</f>
        <v>10</v>
      </c>
      <c r="AK1176" s="58" t="n">
        <f aca="false">IF(AH1176&gt;0,J1176/AH1176,-1)</f>
        <v>108</v>
      </c>
      <c r="AL1176" s="58" t="n">
        <f aca="false">IF(AND(OR(BY1176="L1",BY1176="L23"),AH1176&gt;0),SUMIFS($AH$7:$AH$1843,$BY$7:$BY$1843,BY1176,$AK$7:$AK$1843,"&gt;"&amp;AK1176)+SUMIFS($AH$7:$AH$1843,$BY$7:$BY$1843,BY1176,$AK$7:$AK$1843,AK1176,$BQ$7:$BQ$1843,"&lt;="&amp;BQ1176),"")</f>
        <v>38.123923178271</v>
      </c>
      <c r="AM1176" s="65" t="n">
        <f aca="false">IF(AL1176="",0,MAX(0,MIN(1,(IF(BY1176="L1",Parameter!$E$5,Parameter!$E$6+Parameter!$E$7)-(AL1176-AH1176))/AH1176)))</f>
        <v>1</v>
      </c>
      <c r="AN1176" s="57" t="n">
        <f aca="false">IF(LEFT(Cockpit!$I$5,1)="A",H1176,IF(CA1176=1,CB1176,IF(LEFT(Cockpit!$I$5,1)="B",AR1176,MAX(AR1176,H1176))))</f>
        <v>10</v>
      </c>
      <c r="AO1176" s="57" t="n">
        <f aca="false">IF(BT1176=1,0,ROUNDUP(AN1176/BS1176,0))</f>
        <v>1</v>
      </c>
      <c r="AP1176" s="59" t="n">
        <f aca="false">IF(CH1176&gt;0,CH1176*MAX(1,AN1176/X1176),IF(BT1176=1,IF(AN1176&lt;=0,0,BW1176*MAX(1,IF(H1176&gt;0,AN1176/H1176,1))),IF(R1176&gt;0,AO1176/R1176,0))/MAX(0.1,N(Parameter!$M$21)))</f>
        <v>0.0833333333333333</v>
      </c>
      <c r="AQ1176" s="57" t="n">
        <f aca="false">AN1176*G1176</f>
        <v>412</v>
      </c>
      <c r="AR1176" s="57" t="n">
        <f aca="false">ROUNDUP(MAX(J1176/IF(BZ1176&gt;0,BZ1176,MAX(0.1,N(Cockpit!$I$6))),CC1176)/BS1176,0)*BS1176</f>
        <v>10</v>
      </c>
      <c r="AS1176" s="58" t="n">
        <f aca="false">IF(AP1176&gt;0,J1176/AP1176,-1)</f>
        <v>108</v>
      </c>
      <c r="AT1176" s="58" t="n">
        <f aca="false">IF(AND(OR(BY1176="L1",BY1176="L23"),AP1176&gt;0),SUMIFS($AP$7:$AP$1843,$BY$7:$BY$1843,BY1176,$AS$7:$AS$1843,"&gt;"&amp;AS1176)+SUMIFS($AP$7:$AP$1843,$BY$7:$BY$1843,BY1176,$AS$7:$AS$1843,AS1176,$BQ$7:$BQ$1843,"&lt;="&amp;BQ1176),"")</f>
        <v>56.311450626668</v>
      </c>
      <c r="AU1176" s="65" t="n">
        <f aca="false">IF(AT1176="",0,MAX(0,MIN(1,(IF(BY1176="L1",Parameter!$E$5,Parameter!$E$6+Parameter!$E$7)-(AT1176-AP1176))/AP1176)))</f>
        <v>1</v>
      </c>
      <c r="AV1176" s="57" t="n">
        <f aca="false">IF(LEFT(Cockpit!$O$5,1)="A",H1176,IF(CA1176=1,CB1176,IF(LEFT(Cockpit!$O$5,1)="B",AZ1176,MAX(AZ1176,H1176))))</f>
        <v>10</v>
      </c>
      <c r="AW1176" s="57" t="n">
        <f aca="false">IF(BT1176=1,0,ROUNDUP(AV1176/BS1176,0))</f>
        <v>1</v>
      </c>
      <c r="AX1176" s="59" t="n">
        <f aca="false">IF(CH1176&gt;0,CH1176*MAX(1,AV1176/X1176),IF(BT1176=1,IF(AV1176&lt;=0,0,BW1176*MAX(1,IF(H1176&gt;0,AV1176/H1176,1))),IF(R1176&gt;0,AW1176/R1176,0))/MAX(0.1,N(Parameter!$M$21)))</f>
        <v>0.0833333333333333</v>
      </c>
      <c r="AY1176" s="57" t="n">
        <f aca="false">AV1176*G1176</f>
        <v>412</v>
      </c>
      <c r="AZ1176" s="57" t="n">
        <f aca="false">ROUNDUP(MAX(J1176/IF(BZ1176&gt;0,BZ1176,MAX(0.1,N(Cockpit!$O$6))),CC1176)/BS1176,0)*BS1176</f>
        <v>10</v>
      </c>
      <c r="BA1176" s="58" t="n">
        <f aca="false">IF(AX1176&gt;0,J1176/AX1176,-1)</f>
        <v>108</v>
      </c>
      <c r="BB1176" s="58" t="n">
        <f aca="false">IF(AND(OR(BY1176="L1",BY1176="L23"),AX1176&gt;0),SUMIFS($AX$7:$AX$1843,$BY$7:$BY$1843,BY1176,$BA$7:$BA$1843,"&gt;"&amp;BA1176)+SUMIFS($AX$7:$AX$1843,$BY$7:$BY$1843,BY1176,$BA$7:$BA$1843,BA1176,$BQ$7:$BQ$1843,"&lt;="&amp;BQ1176),"")</f>
        <v>54.1412874565049</v>
      </c>
      <c r="BC1176" s="65" t="n">
        <f aca="false">IF(BB1176="",0,MAX(0,MIN(1,(IF(BY1176="L1",Parameter!$E$5,Parameter!$E$6+Parameter!$E$7)-(BB1176-AX1176))/AX1176)))</f>
        <v>1</v>
      </c>
      <c r="BD1176" s="55" t="str">
        <f aca="false">IF(AH1176&lt;=0,"",IF(BY1176="Aussen","Aussenlager",IF(BY1176="-","Nicht im Lift",IF(AM1176&gt;=1,"Lift",IF(AM1176&lt;=0,"Aussenlager","teilweise")))))</f>
        <v>Lift</v>
      </c>
      <c r="BE1176" s="55" t="str">
        <f aca="false">IF(AP1176&lt;=0,"",IF(BY1176="Aussen","Aussenlager",IF(BY1176="-","Nicht im Lift",IF(AU1176&gt;=1,"Lift",IF(AU1176&lt;=0,"Aussenlager","teilweise")))))</f>
        <v>Lift</v>
      </c>
      <c r="BF1176" s="55" t="str">
        <f aca="false">IF(AX1176&lt;=0,"",IF(BY1176="Aussen","Aussenlager",IF(BY1176="-","Nicht im Lift",IF(BC1176&gt;=1,"Lift",IF(BC1176&lt;=0,"Aussenlager","teilweise")))))</f>
        <v>Lift</v>
      </c>
      <c r="BG1176" s="55" t="str">
        <f aca="false">IF(A1176="","",IF(BP1176=1,"Neu; ","")&amp;IF(AND(BP1176=0,BK1176&lt;0),"negativer Bestand (Export "&amp;BK1176&amp;"); ","")&amp;IF(J1176&lt;=0,"Kein Verbrauch; ","")&amp;IF(CH1176&gt;0,"Lift "&amp;W1176&amp;" lt. Liftbericht (Fach "&amp;X1176&amp;" Stk); ",IF(BU1176=1,"Gebinde geschätzt ("&amp;T1176&amp;"); ",IF(BT1176=1,"Lose – Tablare geschätzt; ","")))&amp;IF(H1176&gt;AR1176,"Überbestand "&amp;ROUND(H1176-AR1176,0)&amp;" Stk / CHF "&amp;ROUND((H1176-AR1176)*G1176,0)&amp;"; ","")&amp;IF(AND(CA1176=1,CB1176&lt;CC1176),"MAX &lt; MB+LG; ","")&amp;IF(AND(CG1176&gt;0,CF1176*10&gt;CG1176),"zu hoch für Tablar; ","")&amp;IF(AND(BP1176=0,OR(CA1176=1,AA1176&lt;&gt;"",U1176&lt;&gt;"",V1176&lt;&gt;"",AB1176&lt;&gt;"")),"manuell übersteuert; ","")&amp;IF(AND(BT1176=0,R1176=0),"Gebinde unbekannt / Stellmass fehlt; ","")&amp;IF(AND(BT1176=0,N(V1176)&lt;=0,N(Q1176)&lt;=0),"Menge pro Gebinde fehlt (Ist = 1 Gebinde); ","")&amp;BO1176)</f>
        <v>negativer Bestand (Export -9); Gebinde geschätzt (Mittel); Menge pro Gebinde fehlt (Ist = 1 Gebinde); </v>
      </c>
      <c r="BH1176" s="55"/>
      <c r="BI1176" s="55"/>
      <c r="BJ1176" s="62"/>
      <c r="BK1176" s="57" t="n">
        <v>-9</v>
      </c>
      <c r="BL1176" s="57" t="n">
        <v>18</v>
      </c>
      <c r="BM1176" s="56" t="n">
        <v>-370.8</v>
      </c>
      <c r="BN1176" s="57" t="n">
        <v>9</v>
      </c>
      <c r="BO1176" s="55"/>
      <c r="BP1176" s="60" t="n">
        <v>0</v>
      </c>
      <c r="BQ1176" s="60" t="n">
        <v>1176</v>
      </c>
      <c r="BR1176" s="55" t="str">
        <f aca="false">IF(U1176&lt;&gt;"",UPPER(TRIM(U1176)),IF(BU1176=1,UPPER(VLOOKUP(T1176,Parameter!$I$27:$K$29,2,0)),IF(P1176="","LOSE",P1176)))</f>
        <v>S61</v>
      </c>
      <c r="BS1176" s="57" t="n">
        <f aca="false">IF(BR1176="LOSE",1,IF(N(V1176)&gt;0,V1176,IF(BU1176=1,MAX(1,N(VLOOKUP(T1176,Parameter!$I$27:$K$29,3,0)),H1176,N(N1176)),IF(N(Q1176)&gt;0,Q1176,MAX(1,H1176)))))</f>
        <v>10</v>
      </c>
      <c r="BT1176" s="60" t="n">
        <f aca="false">IF(BR1176="LOSE",1,0)</f>
        <v>0</v>
      </c>
      <c r="BU1176" s="60" t="n">
        <f aca="false">IF(AND(U1176="",OR(P1176="",P1176="LOSE"),T1176&lt;&gt;"",N(S1176)&lt;=0,ISNUMBER(MATCH(T1176,Parameter!$I$27:$I$29,0))),1,0)</f>
        <v>1</v>
      </c>
      <c r="BV1176" s="55" t="str">
        <f aca="false">IF(AND(Parameter!$B$19="Ja",E1176&lt;&gt;"",ISNUMBER(MATCH(E1176,Parameter!$I$35:$I$52,0))),VLOOKUP(E1176,Parameter!$I$35:$J$52,2,0),IFERROR(VLOOKUP(D1176,Parameter!$A$35:$C$64,2,0),"Nein"))</f>
        <v>2+3</v>
      </c>
      <c r="BW1176" s="59" t="n">
        <f aca="false">IF(BT1176=0,0,IF(N(S1176)&gt;0,S1176,IFERROR(VLOOKUP(D1176,Parameter!$A$35:$C$64,3,0)+0,0)))</f>
        <v>0</v>
      </c>
      <c r="BX1176" s="55" t="n">
        <f aca="false">IF(AA1176&lt;&gt;"",AA1176,Z1176)</f>
        <v>2</v>
      </c>
      <c r="BY1176" s="55" t="str">
        <f aca="false">IF(BX1176=1,"L1",IF(OR(BX1176=2,BX1176=3),"L23",IF(BX1176="Aussen","Aussen","-")))</f>
        <v>L23</v>
      </c>
      <c r="BZ1176" s="66" t="n">
        <f aca="false">IF(N(AB1176)&gt;0,AB1176,0)</f>
        <v>0</v>
      </c>
      <c r="CA1176" s="60" t="n">
        <f aca="false">IF(ISNUMBER(AE1176),1,0)</f>
        <v>0</v>
      </c>
      <c r="CB1176" s="57" t="n">
        <f aca="false">N(AE1176)</f>
        <v>0</v>
      </c>
      <c r="CC1176" s="57" t="n">
        <f aca="false">N(M1176)+N(N1176)</f>
        <v>10</v>
      </c>
      <c r="CD1176" s="57" t="n">
        <f aca="false">ROUNDUP(H1176/BS1176,0)</f>
        <v>1</v>
      </c>
      <c r="CE1176" s="57" t="n">
        <f aca="false">ROUNDUP(CB1176/BS1176,0)</f>
        <v>0</v>
      </c>
      <c r="CF1176" s="60" t="n">
        <f aca="false">IF(BT1176=1,0,IFERROR(VLOOKUP(BR1176,'Gebinde-Kategorie'!$A$5:$M$45,5,0)+0,0))</f>
        <v>11</v>
      </c>
      <c r="CG1176" s="60" t="n">
        <f aca="false">IFERROR(IF(OR(BX1176=1,BX1176=2,BX1176=3),N(INDEX(Parameter!$I$5:$I$7,BX1176)),0),0)</f>
        <v>0</v>
      </c>
      <c r="CH1176" s="59" t="n">
        <f aca="false">IF(AND(Parameter!$B$21="Ja",ISNUMBER(W1176),N(X1176)&gt;0),IFERROR(N(INDEX(Parameter!$L$5:$L$7,W1176))*INDEX(Parameter!$E$5:$E$7,W1176)*X1176/SUMIFS($X$7:$X$1843,$W$7:$W$1843,W1176),0),0)</f>
        <v>0</v>
      </c>
    </row>
    <row r="1177" customFormat="false" ht="15" hidden="false" customHeight="false" outlineLevel="0" collapsed="false">
      <c r="A1177" s="55" t="s">
        <v>2119</v>
      </c>
      <c r="B1177" s="55" t="s">
        <v>2120</v>
      </c>
      <c r="C1177" s="55" t="s">
        <v>164</v>
      </c>
      <c r="D1177" s="55" t="s">
        <v>184</v>
      </c>
      <c r="E1177" s="55" t="s">
        <v>185</v>
      </c>
      <c r="F1177" s="55" t="s">
        <v>218</v>
      </c>
      <c r="G1177" s="56" t="n">
        <v>6.09</v>
      </c>
      <c r="H1177" s="57" t="n">
        <f aca="false">MAX(0,IF(AND(Parameter!$B$21="Ja",ISNUMBER(Y1177)),Y1177,IF(Parameter!$B$20="Jahresanfang 2025 + Export",BL1177+BK1177,BK1177)))</f>
        <v>106</v>
      </c>
      <c r="I1177" s="57" t="n">
        <f aca="false">H1177*G1177</f>
        <v>645.54</v>
      </c>
      <c r="J1177" s="57" t="n">
        <f aca="false">BN1177*Parameter!$B$18</f>
        <v>16</v>
      </c>
      <c r="K1177" s="58" t="n">
        <v>163</v>
      </c>
      <c r="L1177" s="59" t="n">
        <v>0.098159509202454</v>
      </c>
      <c r="M1177" s="57" t="n">
        <v>1</v>
      </c>
      <c r="N1177" s="57" t="n">
        <v>15</v>
      </c>
      <c r="O1177" s="60" t="n">
        <v>28</v>
      </c>
      <c r="P1177" s="55" t="s">
        <v>421</v>
      </c>
      <c r="Q1177" s="57" t="n">
        <v>104</v>
      </c>
      <c r="R1177" s="60" t="n">
        <f aca="false">IF(BT1177=1,0,IFERROR(VLOOKUP(BR1177,'Gebinde-Kategorie'!$A$5:$M$45,13,0)+0,0))</f>
        <v>132</v>
      </c>
      <c r="S1177" s="61"/>
      <c r="T1177" s="62"/>
      <c r="U1177" s="62"/>
      <c r="V1177" s="62"/>
      <c r="W1177" s="55"/>
      <c r="X1177" s="57"/>
      <c r="Y1177" s="57"/>
      <c r="Z1177" s="55" t="n">
        <f aca="false">IF(A1177="","",IF(AND(Parameter!$B$21="Ja",ISNUMBER(W1177)),W1177,IF(BV1177="2+3",IF(ISNUMBER(SEARCH("grosser Artikel",BO1177)),2,IFERROR(VLOOKUP(BR1177,Parameter!$F$35:$G$64,2,0),2)),IF(OR(BV1177="Nein",BV1177=""),"-",BV1177))))</f>
        <v>3</v>
      </c>
      <c r="AA1177" s="62"/>
      <c r="AB1177" s="63"/>
      <c r="AC1177" s="57" t="n">
        <f aca="false">AR1177</f>
        <v>104</v>
      </c>
      <c r="AD1177" s="57" t="n">
        <f aca="false">MAX(AR1177,H1177)</f>
        <v>106</v>
      </c>
      <c r="AE1177" s="64"/>
      <c r="AF1177" s="57" t="n">
        <f aca="false">IF(LEFT(Cockpit!$C$5,1)="A",H1177,IF(CA1177=1,CB1177,IF(LEFT(Cockpit!$C$5,1)="B",AJ1177,MAX(AJ1177,H1177))))</f>
        <v>106</v>
      </c>
      <c r="AG1177" s="57" t="n">
        <f aca="false">IF(BT1177=1,0,ROUNDUP(AF1177/BS1177,0))</f>
        <v>2</v>
      </c>
      <c r="AH1177" s="59" t="n">
        <f aca="false">IF(CH1177&gt;0,CH1177*MAX(1,AF1177/X1177),IF(BT1177=1,IF(AF1177&lt;=0,0,BW1177*MAX(1,IF(H1177&gt;0,AF1177/H1177,1))),IF(R1177&gt;0,AG1177/R1177,0))/MAX(0.1,N(Parameter!$M$21)))</f>
        <v>0.0151515151515152</v>
      </c>
      <c r="AI1177" s="57" t="n">
        <f aca="false">AF1177*G1177</f>
        <v>645.54</v>
      </c>
      <c r="AJ1177" s="57" t="n">
        <f aca="false">ROUNDUP(MAX(J1177/IF(BZ1177&gt;0,BZ1177,MAX(0.1,N(Cockpit!$C$6))),CC1177)/BS1177,0)*BS1177</f>
        <v>104</v>
      </c>
      <c r="AK1177" s="58" t="n">
        <f aca="false">IF(AH1177&gt;0,J1177/AH1177,-1)</f>
        <v>1056</v>
      </c>
      <c r="AL1177" s="58" t="n">
        <f aca="false">IF(AND(OR(BY1177="L1",BY1177="L23"),AH1177&gt;0),SUMIFS($AH$7:$AH$1843,$BY$7:$BY$1843,BY1177,$AK$7:$AK$1843,"&gt;"&amp;AK1177)+SUMIFS($AH$7:$AH$1843,$BY$7:$BY$1843,BY1177,$AK$7:$AK$1843,AK1177,$BQ$7:$BQ$1843,"&lt;="&amp;BQ1177),"")</f>
        <v>17.2626431539475</v>
      </c>
      <c r="AM1177" s="65" t="n">
        <f aca="false">IF(AL1177="",0,MAX(0,MIN(1,(IF(BY1177="L1",Parameter!$E$5,Parameter!$E$6+Parameter!$E$7)-(AL1177-AH1177))/AH1177)))</f>
        <v>1</v>
      </c>
      <c r="AN1177" s="57" t="n">
        <f aca="false">IF(LEFT(Cockpit!$I$5,1)="A",H1177,IF(CA1177=1,CB1177,IF(LEFT(Cockpit!$I$5,1)="B",AR1177,MAX(AR1177,H1177))))</f>
        <v>106</v>
      </c>
      <c r="AO1177" s="57" t="n">
        <f aca="false">IF(BT1177=1,0,ROUNDUP(AN1177/BS1177,0))</f>
        <v>2</v>
      </c>
      <c r="AP1177" s="59" t="n">
        <f aca="false">IF(CH1177&gt;0,CH1177*MAX(1,AN1177/X1177),IF(BT1177=1,IF(AN1177&lt;=0,0,BW1177*MAX(1,IF(H1177&gt;0,AN1177/H1177,1))),IF(R1177&gt;0,AO1177/R1177,0))/MAX(0.1,N(Parameter!$M$21)))</f>
        <v>0.0151515151515152</v>
      </c>
      <c r="AQ1177" s="57" t="n">
        <f aca="false">AN1177*G1177</f>
        <v>645.54</v>
      </c>
      <c r="AR1177" s="57" t="n">
        <f aca="false">ROUNDUP(MAX(J1177/IF(BZ1177&gt;0,BZ1177,MAX(0.1,N(Cockpit!$I$6))),CC1177)/BS1177,0)*BS1177</f>
        <v>104</v>
      </c>
      <c r="AS1177" s="58" t="n">
        <f aca="false">IF(AP1177&gt;0,J1177/AP1177,-1)</f>
        <v>1056</v>
      </c>
      <c r="AT1177" s="58" t="n">
        <f aca="false">IF(AND(OR(BY1177="L1",BY1177="L23"),AP1177&gt;0),SUMIFS($AP$7:$AP$1843,$BY$7:$BY$1843,BY1177,$AS$7:$AS$1843,"&gt;"&amp;AS1177)+SUMIFS($AP$7:$AP$1843,$BY$7:$BY$1843,BY1177,$AS$7:$AS$1843,AS1177,$BQ$7:$BQ$1843,"&lt;="&amp;BQ1177),"")</f>
        <v>23.4639792574575</v>
      </c>
      <c r="AU1177" s="65" t="n">
        <f aca="false">IF(AT1177="",0,MAX(0,MIN(1,(IF(BY1177="L1",Parameter!$E$5,Parameter!$E$6+Parameter!$E$7)-(AT1177-AP1177))/AP1177)))</f>
        <v>1</v>
      </c>
      <c r="AV1177" s="57" t="n">
        <f aca="false">IF(LEFT(Cockpit!$O$5,1)="A",H1177,IF(CA1177=1,CB1177,IF(LEFT(Cockpit!$O$5,1)="B",AZ1177,MAX(AZ1177,H1177))))</f>
        <v>106</v>
      </c>
      <c r="AW1177" s="57" t="n">
        <f aca="false">IF(BT1177=1,0,ROUNDUP(AV1177/BS1177,0))</f>
        <v>2</v>
      </c>
      <c r="AX1177" s="59" t="n">
        <f aca="false">IF(CH1177&gt;0,CH1177*MAX(1,AV1177/X1177),IF(BT1177=1,IF(AV1177&lt;=0,0,BW1177*MAX(1,IF(H1177&gt;0,AV1177/H1177,1))),IF(R1177&gt;0,AW1177/R1177,0))/MAX(0.1,N(Parameter!$M$21)))</f>
        <v>0.0151515151515152</v>
      </c>
      <c r="AY1177" s="57" t="n">
        <f aca="false">AV1177*G1177</f>
        <v>645.54</v>
      </c>
      <c r="AZ1177" s="57" t="n">
        <f aca="false">ROUNDUP(MAX(J1177/IF(BZ1177&gt;0,BZ1177,MAX(0.1,N(Cockpit!$O$6))),CC1177)/BS1177,0)*BS1177</f>
        <v>104</v>
      </c>
      <c r="BA1177" s="58" t="n">
        <f aca="false">IF(AX1177&gt;0,J1177/AX1177,-1)</f>
        <v>1056</v>
      </c>
      <c r="BB1177" s="58" t="n">
        <f aca="false">IF(AND(OR(BY1177="L1",BY1177="L23"),AX1177&gt;0),SUMIFS($AX$7:$AX$1843,$BY$7:$BY$1843,BY1177,$BA$7:$BA$1843,"&gt;"&amp;BA1177)+SUMIFS($AX$7:$AX$1843,$BY$7:$BY$1843,BY1177,$BA$7:$BA$1843,BA1177,$BQ$7:$BQ$1843,"&lt;="&amp;BQ1177),"")</f>
        <v>22.659200702679</v>
      </c>
      <c r="BC1177" s="65" t="n">
        <f aca="false">IF(BB1177="",0,MAX(0,MIN(1,(IF(BY1177="L1",Parameter!$E$5,Parameter!$E$6+Parameter!$E$7)-(BB1177-AX1177))/AX1177)))</f>
        <v>1</v>
      </c>
      <c r="BD1177" s="55" t="str">
        <f aca="false">IF(AH1177&lt;=0,"",IF(BY1177="Aussen","Aussenlager",IF(BY1177="-","Nicht im Lift",IF(AM1177&gt;=1,"Lift",IF(AM1177&lt;=0,"Aussenlager","teilweise")))))</f>
        <v>Lift</v>
      </c>
      <c r="BE1177" s="55" t="str">
        <f aca="false">IF(AP1177&lt;=0,"",IF(BY1177="Aussen","Aussenlager",IF(BY1177="-","Nicht im Lift",IF(AU1177&gt;=1,"Lift",IF(AU1177&lt;=0,"Aussenlager","teilweise")))))</f>
        <v>Lift</v>
      </c>
      <c r="BF1177" s="55" t="str">
        <f aca="false">IF(AX1177&lt;=0,"",IF(BY1177="Aussen","Aussenlager",IF(BY1177="-","Nicht im Lift",IF(BC1177&gt;=1,"Lift",IF(BC1177&lt;=0,"Aussenlager","teilweise")))))</f>
        <v>Lift</v>
      </c>
      <c r="BG1177" s="55" t="str">
        <f aca="false">IF(A1177="","",IF(BP1177=1,"Neu; ","")&amp;IF(AND(BP1177=0,BK1177&lt;0),"negativer Bestand (Export "&amp;BK1177&amp;"); ","")&amp;IF(J1177&lt;=0,"Kein Verbrauch; ","")&amp;IF(CH1177&gt;0,"Lift "&amp;W1177&amp;" lt. Liftbericht (Fach "&amp;X1177&amp;" Stk); ",IF(BU1177=1,"Gebinde geschätzt ("&amp;T1177&amp;"); ",IF(BT1177=1,"Lose – Tablare geschätzt; ","")))&amp;IF(H1177&gt;AR1177,"Überbestand "&amp;ROUND(H1177-AR1177,0)&amp;" Stk / CHF "&amp;ROUND((H1177-AR1177)*G1177,0)&amp;"; ","")&amp;IF(AND(CA1177=1,CB1177&lt;CC1177),"MAX &lt; MB+LG; ","")&amp;IF(AND(CG1177&gt;0,CF1177*10&gt;CG1177),"zu hoch für Tablar; ","")&amp;IF(AND(BP1177=0,OR(CA1177=1,AA1177&lt;&gt;"",U1177&lt;&gt;"",V1177&lt;&gt;"",AB1177&lt;&gt;"")),"manuell übersteuert; ","")&amp;IF(AND(BT1177=0,R1177=0),"Gebinde unbekannt / Stellmass fehlt; ","")&amp;IF(AND(BT1177=0,N(V1177)&lt;=0,N(Q1177)&lt;=0),"Menge pro Gebinde fehlt (Ist = 1 Gebinde); ","")&amp;BO1177)</f>
        <v>negativer Bestand (Export -61); Überbestand 2 Stk / CHF 12; </v>
      </c>
      <c r="BH1177" s="55"/>
      <c r="BI1177" s="55"/>
      <c r="BJ1177" s="62"/>
      <c r="BK1177" s="57" t="n">
        <v>-61</v>
      </c>
      <c r="BL1177" s="57" t="n">
        <v>167</v>
      </c>
      <c r="BM1177" s="56" t="n">
        <v>-371.49</v>
      </c>
      <c r="BN1177" s="57" t="n">
        <v>16</v>
      </c>
      <c r="BO1177" s="55"/>
      <c r="BP1177" s="60" t="n">
        <v>0</v>
      </c>
      <c r="BQ1177" s="60" t="n">
        <v>1177</v>
      </c>
      <c r="BR1177" s="55" t="str">
        <f aca="false">IF(U1177&lt;&gt;"",UPPER(TRIM(U1177)),IF(BU1177=1,UPPER(VLOOKUP(T1177,Parameter!$I$27:$K$29,2,0)),IF(P1177="","LOSE",P1177)))</f>
        <v>S32</v>
      </c>
      <c r="BS1177" s="57" t="n">
        <f aca="false">IF(BR1177="LOSE",1,IF(N(V1177)&gt;0,V1177,IF(BU1177=1,MAX(1,N(VLOOKUP(T1177,Parameter!$I$27:$K$29,3,0)),H1177,N(N1177)),IF(N(Q1177)&gt;0,Q1177,MAX(1,H1177)))))</f>
        <v>104</v>
      </c>
      <c r="BT1177" s="60" t="n">
        <f aca="false">IF(BR1177="LOSE",1,0)</f>
        <v>0</v>
      </c>
      <c r="BU1177" s="60" t="n">
        <f aca="false">IF(AND(U1177="",OR(P1177="",P1177="LOSE"),T1177&lt;&gt;"",N(S1177)&lt;=0,ISNUMBER(MATCH(T1177,Parameter!$I$27:$I$29,0))),1,0)</f>
        <v>0</v>
      </c>
      <c r="BV1177" s="55" t="str">
        <f aca="false">IF(AND(Parameter!$B$19="Ja",E1177&lt;&gt;"",ISNUMBER(MATCH(E1177,Parameter!$I$35:$I$52,0))),VLOOKUP(E1177,Parameter!$I$35:$J$52,2,0),IFERROR(VLOOKUP(D1177,Parameter!$A$35:$C$64,2,0),"Nein"))</f>
        <v>2+3</v>
      </c>
      <c r="BW1177" s="59" t="n">
        <f aca="false">IF(BT1177=0,0,IF(N(S1177)&gt;0,S1177,IFERROR(VLOOKUP(D1177,Parameter!$A$35:$C$64,3,0)+0,0)))</f>
        <v>0</v>
      </c>
      <c r="BX1177" s="55" t="n">
        <f aca="false">IF(AA1177&lt;&gt;"",AA1177,Z1177)</f>
        <v>3</v>
      </c>
      <c r="BY1177" s="55" t="str">
        <f aca="false">IF(BX1177=1,"L1",IF(OR(BX1177=2,BX1177=3),"L23",IF(BX1177="Aussen","Aussen","-")))</f>
        <v>L23</v>
      </c>
      <c r="BZ1177" s="66" t="n">
        <f aca="false">IF(N(AB1177)&gt;0,AB1177,0)</f>
        <v>0</v>
      </c>
      <c r="CA1177" s="60" t="n">
        <f aca="false">IF(ISNUMBER(AE1177),1,0)</f>
        <v>0</v>
      </c>
      <c r="CB1177" s="57" t="n">
        <f aca="false">N(AE1177)</f>
        <v>0</v>
      </c>
      <c r="CC1177" s="57" t="n">
        <f aca="false">N(M1177)+N(N1177)</f>
        <v>16</v>
      </c>
      <c r="CD1177" s="57" t="n">
        <f aca="false">ROUNDUP(H1177/BS1177,0)</f>
        <v>2</v>
      </c>
      <c r="CE1177" s="57" t="n">
        <f aca="false">ROUNDUP(CB1177/BS1177,0)</f>
        <v>0</v>
      </c>
      <c r="CF1177" s="60" t="n">
        <f aca="false">IF(BT1177=1,0,IFERROR(VLOOKUP(BR1177,'Gebinde-Kategorie'!$A$5:$M$45,5,0)+0,0))</f>
        <v>8</v>
      </c>
      <c r="CG1177" s="60" t="n">
        <f aca="false">IFERROR(IF(OR(BX1177=1,BX1177=2,BX1177=3),N(INDEX(Parameter!$I$5:$I$7,BX1177)),0),0)</f>
        <v>0</v>
      </c>
      <c r="CH1177" s="59" t="n">
        <f aca="false">IF(AND(Parameter!$B$21="Ja",ISNUMBER(W1177),N(X1177)&gt;0),IFERROR(N(INDEX(Parameter!$L$5:$L$7,W1177))*INDEX(Parameter!$E$5:$E$7,W1177)*X1177/SUMIFS($X$7:$X$1843,$W$7:$W$1843,W1177),0),0)</f>
        <v>0</v>
      </c>
    </row>
    <row r="1178" customFormat="false" ht="15" hidden="false" customHeight="false" outlineLevel="0" collapsed="false">
      <c r="A1178" s="55" t="s">
        <v>2121</v>
      </c>
      <c r="B1178" s="55" t="s">
        <v>2122</v>
      </c>
      <c r="C1178" s="55" t="s">
        <v>164</v>
      </c>
      <c r="D1178" s="55" t="s">
        <v>184</v>
      </c>
      <c r="E1178" s="55"/>
      <c r="F1178" s="55" t="s">
        <v>218</v>
      </c>
      <c r="G1178" s="56" t="n">
        <v>371.82</v>
      </c>
      <c r="H1178" s="57" t="n">
        <f aca="false">MAX(0,IF(AND(Parameter!$B$21="Ja",ISNUMBER(Y1178)),Y1178,IF(Parameter!$B$20="Jahresanfang 2025 + Export",BL1178+BK1178,BK1178)))</f>
        <v>1</v>
      </c>
      <c r="I1178" s="57" t="n">
        <f aca="false">H1178*G1178</f>
        <v>371.82</v>
      </c>
      <c r="J1178" s="57" t="n">
        <f aca="false">BN1178*Parameter!$B$18</f>
        <v>1</v>
      </c>
      <c r="K1178" s="58" t="n">
        <v>1.5</v>
      </c>
      <c r="L1178" s="59" t="n">
        <v>0.666666666666667</v>
      </c>
      <c r="M1178" s="57" t="n">
        <v>0</v>
      </c>
      <c r="N1178" s="57" t="n">
        <v>1</v>
      </c>
      <c r="O1178" s="60" t="n">
        <v>21</v>
      </c>
      <c r="P1178" s="55" t="s">
        <v>421</v>
      </c>
      <c r="Q1178" s="57" t="n">
        <v>1</v>
      </c>
      <c r="R1178" s="60" t="n">
        <f aca="false">IF(BT1178=1,0,IFERROR(VLOOKUP(BR1178,'Gebinde-Kategorie'!$A$5:$M$45,13,0)+0,0))</f>
        <v>132</v>
      </c>
      <c r="S1178" s="61"/>
      <c r="T1178" s="62"/>
      <c r="U1178" s="62"/>
      <c r="V1178" s="62"/>
      <c r="W1178" s="55"/>
      <c r="X1178" s="57"/>
      <c r="Y1178" s="57"/>
      <c r="Z1178" s="55" t="n">
        <f aca="false">IF(A1178="","",IF(AND(Parameter!$B$21="Ja",ISNUMBER(W1178)),W1178,IF(BV1178="2+3",IF(ISNUMBER(SEARCH("grosser Artikel",BO1178)),2,IFERROR(VLOOKUP(BR1178,Parameter!$F$35:$G$64,2,0),2)),IF(OR(BV1178="Nein",BV1178=""),"-",BV1178))))</f>
        <v>3</v>
      </c>
      <c r="AA1178" s="62"/>
      <c r="AB1178" s="63"/>
      <c r="AC1178" s="57" t="n">
        <f aca="false">AR1178</f>
        <v>1</v>
      </c>
      <c r="AD1178" s="57" t="n">
        <f aca="false">MAX(AR1178,H1178)</f>
        <v>1</v>
      </c>
      <c r="AE1178" s="64"/>
      <c r="AF1178" s="57" t="n">
        <f aca="false">IF(LEFT(Cockpit!$C$5,1)="A",H1178,IF(CA1178=1,CB1178,IF(LEFT(Cockpit!$C$5,1)="B",AJ1178,MAX(AJ1178,H1178))))</f>
        <v>1</v>
      </c>
      <c r="AG1178" s="57" t="n">
        <f aca="false">IF(BT1178=1,0,ROUNDUP(AF1178/BS1178,0))</f>
        <v>1</v>
      </c>
      <c r="AH1178" s="59" t="n">
        <f aca="false">IF(CH1178&gt;0,CH1178*MAX(1,AF1178/X1178),IF(BT1178=1,IF(AF1178&lt;=0,0,BW1178*MAX(1,IF(H1178&gt;0,AF1178/H1178,1))),IF(R1178&gt;0,AG1178/R1178,0))/MAX(0.1,N(Parameter!$M$21)))</f>
        <v>0.00757575757575758</v>
      </c>
      <c r="AI1178" s="57" t="n">
        <f aca="false">AF1178*G1178</f>
        <v>371.82</v>
      </c>
      <c r="AJ1178" s="57" t="n">
        <f aca="false">ROUNDUP(MAX(J1178/IF(BZ1178&gt;0,BZ1178,MAX(0.1,N(Cockpit!$C$6))),CC1178)/BS1178,0)*BS1178</f>
        <v>1</v>
      </c>
      <c r="AK1178" s="58" t="n">
        <f aca="false">IF(AH1178&gt;0,J1178/AH1178,-1)</f>
        <v>132</v>
      </c>
      <c r="AL1178" s="58" t="n">
        <f aca="false">IF(AND(OR(BY1178="L1",BY1178="L23"),AH1178&gt;0),SUMIFS($AH$7:$AH$1843,$BY$7:$BY$1843,BY1178,$AK$7:$AK$1843,"&gt;"&amp;AK1178)+SUMIFS($AH$7:$AH$1843,$BY$7:$BY$1843,BY1178,$AK$7:$AK$1843,AK1178,$BQ$7:$BQ$1843,"&lt;="&amp;BQ1178),"")</f>
        <v>36.3418718962197</v>
      </c>
      <c r="AM1178" s="65" t="n">
        <f aca="false">IF(AL1178="",0,MAX(0,MIN(1,(IF(BY1178="L1",Parameter!$E$5,Parameter!$E$6+Parameter!$E$7)-(AL1178-AH1178))/AH1178)))</f>
        <v>1</v>
      </c>
      <c r="AN1178" s="57" t="n">
        <f aca="false">IF(LEFT(Cockpit!$I$5,1)="A",H1178,IF(CA1178=1,CB1178,IF(LEFT(Cockpit!$I$5,1)="B",AR1178,MAX(AR1178,H1178))))</f>
        <v>1</v>
      </c>
      <c r="AO1178" s="57" t="n">
        <f aca="false">IF(BT1178=1,0,ROUNDUP(AN1178/BS1178,0))</f>
        <v>1</v>
      </c>
      <c r="AP1178" s="59" t="n">
        <f aca="false">IF(CH1178&gt;0,CH1178*MAX(1,AN1178/X1178),IF(BT1178=1,IF(AN1178&lt;=0,0,BW1178*MAX(1,IF(H1178&gt;0,AN1178/H1178,1))),IF(R1178&gt;0,AO1178/R1178,0))/MAX(0.1,N(Parameter!$M$21)))</f>
        <v>0.00757575757575758</v>
      </c>
      <c r="AQ1178" s="57" t="n">
        <f aca="false">AN1178*G1178</f>
        <v>371.82</v>
      </c>
      <c r="AR1178" s="57" t="n">
        <f aca="false">ROUNDUP(MAX(J1178/IF(BZ1178&gt;0,BZ1178,MAX(0.1,N(Cockpit!$I$6))),CC1178)/BS1178,0)*BS1178</f>
        <v>1</v>
      </c>
      <c r="AS1178" s="58" t="n">
        <f aca="false">IF(AP1178&gt;0,J1178/AP1178,-1)</f>
        <v>132</v>
      </c>
      <c r="AT1178" s="58" t="n">
        <f aca="false">IF(AND(OR(BY1178="L1",BY1178="L23"),AP1178&gt;0),SUMIFS($AP$7:$AP$1843,$BY$7:$BY$1843,BY1178,$AS$7:$AS$1843,"&gt;"&amp;AS1178)+SUMIFS($AP$7:$AP$1843,$BY$7:$BY$1843,BY1178,$AS$7:$AS$1843,AS1178,$BQ$7:$BQ$1843,"&lt;="&amp;BQ1178),"")</f>
        <v>52.0742711394885</v>
      </c>
      <c r="AU1178" s="65" t="n">
        <f aca="false">IF(AT1178="",0,MAX(0,MIN(1,(IF(BY1178="L1",Parameter!$E$5,Parameter!$E$6+Parameter!$E$7)-(AT1178-AP1178))/AP1178)))</f>
        <v>1</v>
      </c>
      <c r="AV1178" s="57" t="n">
        <f aca="false">IF(LEFT(Cockpit!$O$5,1)="A",H1178,IF(CA1178=1,CB1178,IF(LEFT(Cockpit!$O$5,1)="B",AZ1178,MAX(AZ1178,H1178))))</f>
        <v>1</v>
      </c>
      <c r="AW1178" s="57" t="n">
        <f aca="false">IF(BT1178=1,0,ROUNDUP(AV1178/BS1178,0))</f>
        <v>1</v>
      </c>
      <c r="AX1178" s="59" t="n">
        <f aca="false">IF(CH1178&gt;0,CH1178*MAX(1,AV1178/X1178),IF(BT1178=1,IF(AV1178&lt;=0,0,BW1178*MAX(1,IF(H1178&gt;0,AV1178/H1178,1))),IF(R1178&gt;0,AW1178/R1178,0))/MAX(0.1,N(Parameter!$M$21)))</f>
        <v>0.00757575757575758</v>
      </c>
      <c r="AY1178" s="57" t="n">
        <f aca="false">AV1178*G1178</f>
        <v>371.82</v>
      </c>
      <c r="AZ1178" s="57" t="n">
        <f aca="false">ROUNDUP(MAX(J1178/IF(BZ1178&gt;0,BZ1178,MAX(0.1,N(Cockpit!$O$6))),CC1178)/BS1178,0)*BS1178</f>
        <v>1</v>
      </c>
      <c r="BA1178" s="58" t="n">
        <f aca="false">IF(AX1178&gt;0,J1178/AX1178,-1)</f>
        <v>132</v>
      </c>
      <c r="BB1178" s="58" t="n">
        <f aca="false">IF(AND(OR(BY1178="L1",BY1178="L23"),AX1178&gt;0),SUMIFS($AX$7:$AX$1843,$BY$7:$BY$1843,BY1178,$BA$7:$BA$1843,"&gt;"&amp;BA1178)+SUMIFS($AX$7:$AX$1843,$BY$7:$BY$1843,BY1178,$BA$7:$BA$1843,BA1178,$BQ$7:$BQ$1843,"&lt;="&amp;BQ1178),"")</f>
        <v>48.6541079693254</v>
      </c>
      <c r="BC1178" s="65" t="n">
        <f aca="false">IF(BB1178="",0,MAX(0,MIN(1,(IF(BY1178="L1",Parameter!$E$5,Parameter!$E$6+Parameter!$E$7)-(BB1178-AX1178))/AX1178)))</f>
        <v>1</v>
      </c>
      <c r="BD1178" s="55" t="str">
        <f aca="false">IF(AH1178&lt;=0,"",IF(BY1178="Aussen","Aussenlager",IF(BY1178="-","Nicht im Lift",IF(AM1178&gt;=1,"Lift",IF(AM1178&lt;=0,"Aussenlager","teilweise")))))</f>
        <v>Lift</v>
      </c>
      <c r="BE1178" s="55" t="str">
        <f aca="false">IF(AP1178&lt;=0,"",IF(BY1178="Aussen","Aussenlager",IF(BY1178="-","Nicht im Lift",IF(AU1178&gt;=1,"Lift",IF(AU1178&lt;=0,"Aussenlager","teilweise")))))</f>
        <v>Lift</v>
      </c>
      <c r="BF1178" s="55" t="str">
        <f aca="false">IF(AX1178&lt;=0,"",IF(BY1178="Aussen","Aussenlager",IF(BY1178="-","Nicht im Lift",IF(BC1178&gt;=1,"Lift",IF(BC1178&lt;=0,"Aussenlager","teilweise")))))</f>
        <v>Lift</v>
      </c>
      <c r="BG1178" s="55" t="str">
        <f aca="false">IF(A1178="","",IF(BP1178=1,"Neu; ","")&amp;IF(AND(BP1178=0,BK1178&lt;0),"negativer Bestand (Export "&amp;BK1178&amp;"); ","")&amp;IF(J1178&lt;=0,"Kein Verbrauch; ","")&amp;IF(CH1178&gt;0,"Lift "&amp;W1178&amp;" lt. Liftbericht (Fach "&amp;X1178&amp;" Stk); ",IF(BU1178=1,"Gebinde geschätzt ("&amp;T1178&amp;"); ",IF(BT1178=1,"Lose – Tablare geschätzt; ","")))&amp;IF(H1178&gt;AR1178,"Überbestand "&amp;ROUND(H1178-AR1178,0)&amp;" Stk / CHF "&amp;ROUND((H1178-AR1178)*G1178,0)&amp;"; ","")&amp;IF(AND(CA1178=1,CB1178&lt;CC1178),"MAX &lt; MB+LG; ","")&amp;IF(AND(CG1178&gt;0,CF1178*10&gt;CG1178),"zu hoch für Tablar; ","")&amp;IF(AND(BP1178=0,OR(CA1178=1,AA1178&lt;&gt;"",U1178&lt;&gt;"",V1178&lt;&gt;"",AB1178&lt;&gt;"")),"manuell übersteuert; ","")&amp;IF(AND(BT1178=0,R1178=0),"Gebinde unbekannt / Stellmass fehlt; ","")&amp;IF(AND(BT1178=0,N(V1178)&lt;=0,N(Q1178)&lt;=0),"Menge pro Gebinde fehlt (Ist = 1 Gebinde); ","")&amp;BO1178)</f>
        <v>negativer Bestand (Export -1); </v>
      </c>
      <c r="BH1178" s="55"/>
      <c r="BI1178" s="55"/>
      <c r="BJ1178" s="62"/>
      <c r="BK1178" s="57" t="n">
        <v>-1</v>
      </c>
      <c r="BL1178" s="57" t="n">
        <v>2</v>
      </c>
      <c r="BM1178" s="56" t="n">
        <v>-371.82</v>
      </c>
      <c r="BN1178" s="57" t="n">
        <v>1</v>
      </c>
      <c r="BO1178" s="55"/>
      <c r="BP1178" s="60" t="n">
        <v>0</v>
      </c>
      <c r="BQ1178" s="60" t="n">
        <v>1178</v>
      </c>
      <c r="BR1178" s="55" t="str">
        <f aca="false">IF(U1178&lt;&gt;"",UPPER(TRIM(U1178)),IF(BU1178=1,UPPER(VLOOKUP(T1178,Parameter!$I$27:$K$29,2,0)),IF(P1178="","LOSE",P1178)))</f>
        <v>S32</v>
      </c>
      <c r="BS1178" s="57" t="n">
        <f aca="false">IF(BR1178="LOSE",1,IF(N(V1178)&gt;0,V1178,IF(BU1178=1,MAX(1,N(VLOOKUP(T1178,Parameter!$I$27:$K$29,3,0)),H1178,N(N1178)),IF(N(Q1178)&gt;0,Q1178,MAX(1,H1178)))))</f>
        <v>1</v>
      </c>
      <c r="BT1178" s="60" t="n">
        <f aca="false">IF(BR1178="LOSE",1,0)</f>
        <v>0</v>
      </c>
      <c r="BU1178" s="60" t="n">
        <f aca="false">IF(AND(U1178="",OR(P1178="",P1178="LOSE"),T1178&lt;&gt;"",N(S1178)&lt;=0,ISNUMBER(MATCH(T1178,Parameter!$I$27:$I$29,0))),1,0)</f>
        <v>0</v>
      </c>
      <c r="BV1178" s="55" t="str">
        <f aca="false">IF(AND(Parameter!$B$19="Ja",E1178&lt;&gt;"",ISNUMBER(MATCH(E1178,Parameter!$I$35:$I$52,0))),VLOOKUP(E1178,Parameter!$I$35:$J$52,2,0),IFERROR(VLOOKUP(D1178,Parameter!$A$35:$C$64,2,0),"Nein"))</f>
        <v>2+3</v>
      </c>
      <c r="BW1178" s="59" t="n">
        <f aca="false">IF(BT1178=0,0,IF(N(S1178)&gt;0,S1178,IFERROR(VLOOKUP(D1178,Parameter!$A$35:$C$64,3,0)+0,0)))</f>
        <v>0</v>
      </c>
      <c r="BX1178" s="55" t="n">
        <f aca="false">IF(AA1178&lt;&gt;"",AA1178,Z1178)</f>
        <v>3</v>
      </c>
      <c r="BY1178" s="55" t="str">
        <f aca="false">IF(BX1178=1,"L1",IF(OR(BX1178=2,BX1178=3),"L23",IF(BX1178="Aussen","Aussen","-")))</f>
        <v>L23</v>
      </c>
      <c r="BZ1178" s="66" t="n">
        <f aca="false">IF(N(AB1178)&gt;0,AB1178,0)</f>
        <v>0</v>
      </c>
      <c r="CA1178" s="60" t="n">
        <f aca="false">IF(ISNUMBER(AE1178),1,0)</f>
        <v>0</v>
      </c>
      <c r="CB1178" s="57" t="n">
        <f aca="false">N(AE1178)</f>
        <v>0</v>
      </c>
      <c r="CC1178" s="57" t="n">
        <f aca="false">N(M1178)+N(N1178)</f>
        <v>1</v>
      </c>
      <c r="CD1178" s="57" t="n">
        <f aca="false">ROUNDUP(H1178/BS1178,0)</f>
        <v>1</v>
      </c>
      <c r="CE1178" s="57" t="n">
        <f aca="false">ROUNDUP(CB1178/BS1178,0)</f>
        <v>0</v>
      </c>
      <c r="CF1178" s="60" t="n">
        <f aca="false">IF(BT1178=1,0,IFERROR(VLOOKUP(BR1178,'Gebinde-Kategorie'!$A$5:$M$45,5,0)+0,0))</f>
        <v>8</v>
      </c>
      <c r="CG1178" s="60" t="n">
        <f aca="false">IFERROR(IF(OR(BX1178=1,BX1178=2,BX1178=3),N(INDEX(Parameter!$I$5:$I$7,BX1178)),0),0)</f>
        <v>0</v>
      </c>
      <c r="CH1178" s="59" t="n">
        <f aca="false">IF(AND(Parameter!$B$21="Ja",ISNUMBER(W1178),N(X1178)&gt;0),IFERROR(N(INDEX(Parameter!$L$5:$L$7,W1178))*INDEX(Parameter!$E$5:$E$7,W1178)*X1178/SUMIFS($X$7:$X$1843,$W$7:$W$1843,W1178),0),0)</f>
        <v>0</v>
      </c>
    </row>
    <row r="1179" customFormat="false" ht="15" hidden="false" customHeight="false" outlineLevel="0" collapsed="false">
      <c r="A1179" s="55" t="s">
        <v>2123</v>
      </c>
      <c r="B1179" s="55" t="s">
        <v>407</v>
      </c>
      <c r="C1179" s="55" t="s">
        <v>164</v>
      </c>
      <c r="D1179" s="55" t="s">
        <v>184</v>
      </c>
      <c r="E1179" s="55" t="s">
        <v>185</v>
      </c>
      <c r="F1179" s="55" t="s">
        <v>218</v>
      </c>
      <c r="G1179" s="56" t="n">
        <v>0.59</v>
      </c>
      <c r="H1179" s="57" t="n">
        <f aca="false">MAX(0,IF(AND(Parameter!$B$21="Ja",ISNUMBER(Y1179)),Y1179,IF(Parameter!$B$20="Jahresanfang 2025 + Export",BL1179+BK1179,BK1179)))</f>
        <v>2306</v>
      </c>
      <c r="I1179" s="57" t="n">
        <f aca="false">H1179*G1179</f>
        <v>1360.54</v>
      </c>
      <c r="J1179" s="57" t="n">
        <f aca="false">BN1179*Parameter!$B$18</f>
        <v>15676</v>
      </c>
      <c r="K1179" s="58" t="n">
        <v>3733.5</v>
      </c>
      <c r="L1179" s="59" t="n">
        <v>4.19874112762823</v>
      </c>
      <c r="M1179" s="57" t="n">
        <v>914</v>
      </c>
      <c r="N1179" s="57" t="n">
        <v>1000</v>
      </c>
      <c r="O1179" s="60" t="n">
        <v>21</v>
      </c>
      <c r="P1179" s="55" t="s">
        <v>226</v>
      </c>
      <c r="Q1179" s="57" t="n">
        <v>20503</v>
      </c>
      <c r="R1179" s="60" t="n">
        <f aca="false">IF(BT1179=1,0,IFERROR(VLOOKUP(BR1179,'Gebinde-Kategorie'!$A$5:$M$45,13,0)+0,0))</f>
        <v>12</v>
      </c>
      <c r="S1179" s="61"/>
      <c r="T1179" s="62"/>
      <c r="U1179" s="62"/>
      <c r="V1179" s="62"/>
      <c r="W1179" s="55"/>
      <c r="X1179" s="57"/>
      <c r="Y1179" s="57"/>
      <c r="Z1179" s="55" t="n">
        <f aca="false">IF(A1179="","",IF(AND(Parameter!$B$21="Ja",ISNUMBER(W1179)),W1179,IF(BV1179="2+3",IF(ISNUMBER(SEARCH("grosser Artikel",BO1179)),2,IFERROR(VLOOKUP(BR1179,Parameter!$F$35:$G$64,2,0),2)),IF(OR(BV1179="Nein",BV1179=""),"-",BV1179))))</f>
        <v>2</v>
      </c>
      <c r="AA1179" s="62"/>
      <c r="AB1179" s="63"/>
      <c r="AC1179" s="57" t="n">
        <f aca="false">AR1179</f>
        <v>20503</v>
      </c>
      <c r="AD1179" s="57" t="n">
        <f aca="false">MAX(AR1179,H1179)</f>
        <v>20503</v>
      </c>
      <c r="AE1179" s="64"/>
      <c r="AF1179" s="57" t="n">
        <f aca="false">IF(LEFT(Cockpit!$C$5,1)="A",H1179,IF(CA1179=1,CB1179,IF(LEFT(Cockpit!$C$5,1)="B",AJ1179,MAX(AJ1179,H1179))))</f>
        <v>2306</v>
      </c>
      <c r="AG1179" s="57" t="n">
        <f aca="false">IF(BT1179=1,0,ROUNDUP(AF1179/BS1179,0))</f>
        <v>1</v>
      </c>
      <c r="AH1179" s="59" t="n">
        <f aca="false">IF(CH1179&gt;0,CH1179*MAX(1,AF1179/X1179),IF(BT1179=1,IF(AF1179&lt;=0,0,BW1179*MAX(1,IF(H1179&gt;0,AF1179/H1179,1))),IF(R1179&gt;0,AG1179/R1179,0))/MAX(0.1,N(Parameter!$M$21)))</f>
        <v>0.0833333333333333</v>
      </c>
      <c r="AI1179" s="57" t="n">
        <f aca="false">AF1179*G1179</f>
        <v>1360.54</v>
      </c>
      <c r="AJ1179" s="57" t="n">
        <f aca="false">ROUNDUP(MAX(J1179/IF(BZ1179&gt;0,BZ1179,MAX(0.1,N(Cockpit!$C$6))),CC1179)/BS1179,0)*BS1179</f>
        <v>20503</v>
      </c>
      <c r="AK1179" s="58" t="n">
        <f aca="false">IF(AH1179&gt;0,J1179/AH1179,-1)</f>
        <v>188112</v>
      </c>
      <c r="AL1179" s="58" t="n">
        <f aca="false">IF(AND(OR(BY1179="L1",BY1179="L23"),AH1179&gt;0),SUMIFS($AH$7:$AH$1843,$BY$7:$BY$1843,BY1179,$AK$7:$AK$1843,"&gt;"&amp;AK1179)+SUMIFS($AH$7:$AH$1843,$BY$7:$BY$1843,BY1179,$AK$7:$AK$1843,AK1179,$BQ$7:$BQ$1843,"&lt;="&amp;BQ1179),"")</f>
        <v>0.161008074051552</v>
      </c>
      <c r="AM1179" s="65" t="n">
        <f aca="false">IF(AL1179="",0,MAX(0,MIN(1,(IF(BY1179="L1",Parameter!$E$5,Parameter!$E$6+Parameter!$E$7)-(AL1179-AH1179))/AH1179)))</f>
        <v>1</v>
      </c>
      <c r="AN1179" s="57" t="n">
        <f aca="false">IF(LEFT(Cockpit!$I$5,1)="A",H1179,IF(CA1179=1,CB1179,IF(LEFT(Cockpit!$I$5,1)="B",AR1179,MAX(AR1179,H1179))))</f>
        <v>20503</v>
      </c>
      <c r="AO1179" s="57" t="n">
        <f aca="false">IF(BT1179=1,0,ROUNDUP(AN1179/BS1179,0))</f>
        <v>1</v>
      </c>
      <c r="AP1179" s="59" t="n">
        <f aca="false">IF(CH1179&gt;0,CH1179*MAX(1,AN1179/X1179),IF(BT1179=1,IF(AN1179&lt;=0,0,BW1179*MAX(1,IF(H1179&gt;0,AN1179/H1179,1))),IF(R1179&gt;0,AO1179/R1179,0))/MAX(0.1,N(Parameter!$M$21)))</f>
        <v>0.0833333333333333</v>
      </c>
      <c r="AQ1179" s="57" t="n">
        <f aca="false">AN1179*G1179</f>
        <v>12096.77</v>
      </c>
      <c r="AR1179" s="57" t="n">
        <f aca="false">ROUNDUP(MAX(J1179/IF(BZ1179&gt;0,BZ1179,MAX(0.1,N(Cockpit!$I$6))),CC1179)/BS1179,0)*BS1179</f>
        <v>20503</v>
      </c>
      <c r="AS1179" s="58" t="n">
        <f aca="false">IF(AP1179&gt;0,J1179/AP1179,-1)</f>
        <v>188112</v>
      </c>
      <c r="AT1179" s="58" t="n">
        <f aca="false">IF(AND(OR(BY1179="L1",BY1179="L23"),AP1179&gt;0),SUMIFS($AP$7:$AP$1843,$BY$7:$BY$1843,BY1179,$AS$7:$AS$1843,"&gt;"&amp;AS1179)+SUMIFS($AP$7:$AP$1843,$BY$7:$BY$1843,BY1179,$AS$7:$AS$1843,AS1179,$BQ$7:$BQ$1843,"&lt;="&amp;BQ1179),"")</f>
        <v>0.120131076652816</v>
      </c>
      <c r="AU1179" s="65" t="n">
        <f aca="false">IF(AT1179="",0,MAX(0,MIN(1,(IF(BY1179="L1",Parameter!$E$5,Parameter!$E$6+Parameter!$E$7)-(AT1179-AP1179))/AP1179)))</f>
        <v>1</v>
      </c>
      <c r="AV1179" s="57" t="n">
        <f aca="false">IF(LEFT(Cockpit!$O$5,1)="A",H1179,IF(CA1179=1,CB1179,IF(LEFT(Cockpit!$O$5,1)="B",AZ1179,MAX(AZ1179,H1179))))</f>
        <v>20503</v>
      </c>
      <c r="AW1179" s="57" t="n">
        <f aca="false">IF(BT1179=1,0,ROUNDUP(AV1179/BS1179,0))</f>
        <v>1</v>
      </c>
      <c r="AX1179" s="59" t="n">
        <f aca="false">IF(CH1179&gt;0,CH1179*MAX(1,AV1179/X1179),IF(BT1179=1,IF(AV1179&lt;=0,0,BW1179*MAX(1,IF(H1179&gt;0,AV1179/H1179,1))),IF(R1179&gt;0,AW1179/R1179,0))/MAX(0.1,N(Parameter!$M$21)))</f>
        <v>0.0833333333333333</v>
      </c>
      <c r="AY1179" s="57" t="n">
        <f aca="false">AV1179*G1179</f>
        <v>12096.77</v>
      </c>
      <c r="AZ1179" s="57" t="n">
        <f aca="false">ROUNDUP(MAX(J1179/IF(BZ1179&gt;0,BZ1179,MAX(0.1,N(Cockpit!$O$6))),CC1179)/BS1179,0)*BS1179</f>
        <v>20503</v>
      </c>
      <c r="BA1179" s="58" t="n">
        <f aca="false">IF(AX1179&gt;0,J1179/AX1179,-1)</f>
        <v>188112</v>
      </c>
      <c r="BB1179" s="58" t="n">
        <f aca="false">IF(AND(OR(BY1179="L1",BY1179="L23"),AX1179&gt;0),SUMIFS($AX$7:$AX$1843,$BY$7:$BY$1843,BY1179,$BA$7:$BA$1843,"&gt;"&amp;BA1179)+SUMIFS($AX$7:$AX$1843,$BY$7:$BY$1843,BY1179,$BA$7:$BA$1843,BA1179,$BQ$7:$BQ$1843,"&lt;="&amp;BQ1179),"")</f>
        <v>0.120131076652816</v>
      </c>
      <c r="BC1179" s="65" t="n">
        <f aca="false">IF(BB1179="",0,MAX(0,MIN(1,(IF(BY1179="L1",Parameter!$E$5,Parameter!$E$6+Parameter!$E$7)-(BB1179-AX1179))/AX1179)))</f>
        <v>1</v>
      </c>
      <c r="BD1179" s="55" t="str">
        <f aca="false">IF(AH1179&lt;=0,"",IF(BY1179="Aussen","Aussenlager",IF(BY1179="-","Nicht im Lift",IF(AM1179&gt;=1,"Lift",IF(AM1179&lt;=0,"Aussenlager","teilweise")))))</f>
        <v>Lift</v>
      </c>
      <c r="BE1179" s="55" t="str">
        <f aca="false">IF(AP1179&lt;=0,"",IF(BY1179="Aussen","Aussenlager",IF(BY1179="-","Nicht im Lift",IF(AU1179&gt;=1,"Lift",IF(AU1179&lt;=0,"Aussenlager","teilweise")))))</f>
        <v>Lift</v>
      </c>
      <c r="BF1179" s="55" t="str">
        <f aca="false">IF(AX1179&lt;=0,"",IF(BY1179="Aussen","Aussenlager",IF(BY1179="-","Nicht im Lift",IF(BC1179&gt;=1,"Lift",IF(BC1179&lt;=0,"Aussenlager","teilweise")))))</f>
        <v>Lift</v>
      </c>
      <c r="BG1179" s="55" t="str">
        <f aca="false">IF(A1179="","",IF(BP1179=1,"Neu; ","")&amp;IF(AND(BP1179=0,BK1179&lt;0),"negativer Bestand (Export "&amp;BK1179&amp;"); ","")&amp;IF(J1179&lt;=0,"Kein Verbrauch; ","")&amp;IF(CH1179&gt;0,"Lift "&amp;W1179&amp;" lt. Liftbericht (Fach "&amp;X1179&amp;" Stk); ",IF(BU1179=1,"Gebinde geschätzt ("&amp;T1179&amp;"); ",IF(BT1179=1,"Lose – Tablare geschätzt; ","")))&amp;IF(H1179&gt;AR1179,"Überbestand "&amp;ROUND(H1179-AR1179,0)&amp;" Stk / CHF "&amp;ROUND((H1179-AR1179)*G1179,0)&amp;"; ","")&amp;IF(AND(CA1179=1,CB1179&lt;CC1179),"MAX &lt; MB+LG; ","")&amp;IF(AND(CG1179&gt;0,CF1179*10&gt;CG1179),"zu hoch für Tablar; ","")&amp;IF(AND(BP1179=0,OR(CA1179=1,AA1179&lt;&gt;"",U1179&lt;&gt;"",V1179&lt;&gt;"",AB1179&lt;&gt;"")),"manuell übersteuert; ","")&amp;IF(AND(BT1179=0,R1179=0),"Gebinde unbekannt / Stellmass fehlt; ","")&amp;IF(AND(BT1179=0,N(V1179)&lt;=0,N(Q1179)&lt;=0),"Menge pro Gebinde fehlt (Ist = 1 Gebinde); ","")&amp;BO1179)</f>
        <v>negativer Bestand (Export -1436); </v>
      </c>
      <c r="BH1179" s="55"/>
      <c r="BI1179" s="55"/>
      <c r="BJ1179" s="62"/>
      <c r="BK1179" s="57" t="n">
        <v>-1436</v>
      </c>
      <c r="BL1179" s="57" t="n">
        <v>3742</v>
      </c>
      <c r="BM1179" s="56" t="n">
        <v>-371.960000000004</v>
      </c>
      <c r="BN1179" s="57" t="n">
        <v>15676</v>
      </c>
      <c r="BO1179" s="55"/>
      <c r="BP1179" s="60" t="n">
        <v>0</v>
      </c>
      <c r="BQ1179" s="60" t="n">
        <v>1179</v>
      </c>
      <c r="BR1179" s="55" t="str">
        <f aca="false">IF(U1179&lt;&gt;"",UPPER(TRIM(U1179)),IF(BU1179=1,UPPER(VLOOKUP(T1179,Parameter!$I$27:$K$29,2,0)),IF(P1179="","LOSE",P1179)))</f>
        <v>S63</v>
      </c>
      <c r="BS1179" s="57" t="n">
        <f aca="false">IF(BR1179="LOSE",1,IF(N(V1179)&gt;0,V1179,IF(BU1179=1,MAX(1,N(VLOOKUP(T1179,Parameter!$I$27:$K$29,3,0)),H1179,N(N1179)),IF(N(Q1179)&gt;0,Q1179,MAX(1,H1179)))))</f>
        <v>20503</v>
      </c>
      <c r="BT1179" s="60" t="n">
        <f aca="false">IF(BR1179="LOSE",1,0)</f>
        <v>0</v>
      </c>
      <c r="BU1179" s="60" t="n">
        <f aca="false">IF(AND(U1179="",OR(P1179="",P1179="LOSE"),T1179&lt;&gt;"",N(S1179)&lt;=0,ISNUMBER(MATCH(T1179,Parameter!$I$27:$I$29,0))),1,0)</f>
        <v>0</v>
      </c>
      <c r="BV1179" s="55" t="str">
        <f aca="false">IF(AND(Parameter!$B$19="Ja",E1179&lt;&gt;"",ISNUMBER(MATCH(E1179,Parameter!$I$35:$I$52,0))),VLOOKUP(E1179,Parameter!$I$35:$J$52,2,0),IFERROR(VLOOKUP(D1179,Parameter!$A$35:$C$64,2,0),"Nein"))</f>
        <v>2+3</v>
      </c>
      <c r="BW1179" s="59" t="n">
        <f aca="false">IF(BT1179=0,0,IF(N(S1179)&gt;0,S1179,IFERROR(VLOOKUP(D1179,Parameter!$A$35:$C$64,3,0)+0,0)))</f>
        <v>0</v>
      </c>
      <c r="BX1179" s="55" t="n">
        <f aca="false">IF(AA1179&lt;&gt;"",AA1179,Z1179)</f>
        <v>2</v>
      </c>
      <c r="BY1179" s="55" t="str">
        <f aca="false">IF(BX1179=1,"L1",IF(OR(BX1179=2,BX1179=3),"L23",IF(BX1179="Aussen","Aussen","-")))</f>
        <v>L23</v>
      </c>
      <c r="BZ1179" s="66" t="n">
        <f aca="false">IF(N(AB1179)&gt;0,AB1179,0)</f>
        <v>0</v>
      </c>
      <c r="CA1179" s="60" t="n">
        <f aca="false">IF(ISNUMBER(AE1179),1,0)</f>
        <v>0</v>
      </c>
      <c r="CB1179" s="57" t="n">
        <f aca="false">N(AE1179)</f>
        <v>0</v>
      </c>
      <c r="CC1179" s="57" t="n">
        <f aca="false">N(M1179)+N(N1179)</f>
        <v>1914</v>
      </c>
      <c r="CD1179" s="57" t="n">
        <f aca="false">ROUNDUP(H1179/BS1179,0)</f>
        <v>1</v>
      </c>
      <c r="CE1179" s="57" t="n">
        <f aca="false">ROUNDUP(CB1179/BS1179,0)</f>
        <v>0</v>
      </c>
      <c r="CF1179" s="60" t="n">
        <f aca="false">IF(BT1179=1,0,IFERROR(VLOOKUP(BR1179,'Gebinde-Kategorie'!$A$5:$M$45,5,0)+0,0))</f>
        <v>31</v>
      </c>
      <c r="CG1179" s="60" t="n">
        <f aca="false">IFERROR(IF(OR(BX1179=1,BX1179=2,BX1179=3),N(INDEX(Parameter!$I$5:$I$7,BX1179)),0),0)</f>
        <v>0</v>
      </c>
      <c r="CH1179" s="59" t="n">
        <f aca="false">IF(AND(Parameter!$B$21="Ja",ISNUMBER(W1179),N(X1179)&gt;0),IFERROR(N(INDEX(Parameter!$L$5:$L$7,W1179))*INDEX(Parameter!$E$5:$E$7,W1179)*X1179/SUMIFS($X$7:$X$1843,$W$7:$W$1843,W1179),0),0)</f>
        <v>0</v>
      </c>
    </row>
    <row r="1180" customFormat="false" ht="15" hidden="false" customHeight="false" outlineLevel="0" collapsed="false">
      <c r="A1180" s="55" t="s">
        <v>2124</v>
      </c>
      <c r="B1180" s="55" t="s">
        <v>1134</v>
      </c>
      <c r="C1180" s="55" t="s">
        <v>164</v>
      </c>
      <c r="D1180" s="55" t="s">
        <v>184</v>
      </c>
      <c r="E1180" s="55" t="s">
        <v>185</v>
      </c>
      <c r="F1180" s="55" t="s">
        <v>218</v>
      </c>
      <c r="G1180" s="56" t="n">
        <v>93.6</v>
      </c>
      <c r="H1180" s="57" t="n">
        <f aca="false">MAX(0,IF(AND(Parameter!$B$21="Ja",ISNUMBER(Y1180)),Y1180,IF(Parameter!$B$20="Jahresanfang 2025 + Export",BL1180+BK1180,BK1180)))</f>
        <v>3</v>
      </c>
      <c r="I1180" s="57" t="n">
        <f aca="false">H1180*G1180</f>
        <v>280.8</v>
      </c>
      <c r="J1180" s="57" t="n">
        <f aca="false">BN1180*Parameter!$B$18</f>
        <v>0</v>
      </c>
      <c r="K1180" s="58" t="n">
        <v>5</v>
      </c>
      <c r="L1180" s="59" t="n">
        <v>0</v>
      </c>
      <c r="M1180" s="57" t="n">
        <v>0</v>
      </c>
      <c r="N1180" s="57" t="n">
        <v>1</v>
      </c>
      <c r="O1180" s="60" t="n">
        <v>56</v>
      </c>
      <c r="P1180" s="55" t="s">
        <v>302</v>
      </c>
      <c r="Q1180" s="57" t="n">
        <v>3</v>
      </c>
      <c r="R1180" s="60" t="n">
        <f aca="false">IF(BT1180=1,0,IFERROR(VLOOKUP(BR1180,'Gebinde-Kategorie'!$A$5:$M$45,13,0)+0,0))</f>
        <v>26</v>
      </c>
      <c r="S1180" s="61"/>
      <c r="T1180" s="62"/>
      <c r="U1180" s="62"/>
      <c r="V1180" s="62"/>
      <c r="W1180" s="55"/>
      <c r="X1180" s="57"/>
      <c r="Y1180" s="57"/>
      <c r="Z1180" s="55" t="n">
        <f aca="false">IF(A1180="","",IF(AND(Parameter!$B$21="Ja",ISNUMBER(W1180)),W1180,IF(BV1180="2+3",IF(ISNUMBER(SEARCH("grosser Artikel",BO1180)),2,IFERROR(VLOOKUP(BR1180,Parameter!$F$35:$G$64,2,0),2)),IF(OR(BV1180="Nein",BV1180=""),"-",BV1180))))</f>
        <v>3</v>
      </c>
      <c r="AA1180" s="62"/>
      <c r="AB1180" s="63"/>
      <c r="AC1180" s="57" t="n">
        <f aca="false">AR1180</f>
        <v>3</v>
      </c>
      <c r="AD1180" s="57" t="n">
        <f aca="false">MAX(AR1180,H1180)</f>
        <v>3</v>
      </c>
      <c r="AE1180" s="64"/>
      <c r="AF1180" s="57" t="n">
        <f aca="false">IF(LEFT(Cockpit!$C$5,1)="A",H1180,IF(CA1180=1,CB1180,IF(LEFT(Cockpit!$C$5,1)="B",AJ1180,MAX(AJ1180,H1180))))</f>
        <v>3</v>
      </c>
      <c r="AG1180" s="57" t="n">
        <f aca="false">IF(BT1180=1,0,ROUNDUP(AF1180/BS1180,0))</f>
        <v>1</v>
      </c>
      <c r="AH1180" s="59" t="n">
        <f aca="false">IF(CH1180&gt;0,CH1180*MAX(1,AF1180/X1180),IF(BT1180=1,IF(AF1180&lt;=0,0,BW1180*MAX(1,IF(H1180&gt;0,AF1180/H1180,1))),IF(R1180&gt;0,AG1180/R1180,0))/MAX(0.1,N(Parameter!$M$21)))</f>
        <v>0.0384615384615385</v>
      </c>
      <c r="AI1180" s="57" t="n">
        <f aca="false">AF1180*G1180</f>
        <v>280.8</v>
      </c>
      <c r="AJ1180" s="57" t="n">
        <f aca="false">ROUNDUP(MAX(J1180/IF(BZ1180&gt;0,BZ1180,MAX(0.1,N(Cockpit!$C$6))),CC1180)/BS1180,0)*BS1180</f>
        <v>3</v>
      </c>
      <c r="AK1180" s="58" t="n">
        <f aca="false">IF(AH1180&gt;0,J1180/AH1180,-1)</f>
        <v>0</v>
      </c>
      <c r="AL1180" s="58" t="n">
        <f aca="false">IF(AND(OR(BY1180="L1",BY1180="L23"),AH1180&gt;0),SUMIFS($AH$7:$AH$1843,$BY$7:$BY$1843,BY1180,$AK$7:$AK$1843,"&gt;"&amp;AK1180)+SUMIFS($AH$7:$AH$1843,$BY$7:$BY$1843,BY1180,$AK$7:$AK$1843,AK1180,$BQ$7:$BQ$1843,"&lt;="&amp;BQ1180),"")</f>
        <v>80.5254721124286</v>
      </c>
      <c r="AM1180" s="65" t="n">
        <f aca="false">IF(AL1180="",0,MAX(0,MIN(1,(IF(BY1180="L1",Parameter!$E$5,Parameter!$E$6+Parameter!$E$7)-(AL1180-AH1180))/AH1180)))</f>
        <v>1</v>
      </c>
      <c r="AN1180" s="57" t="n">
        <f aca="false">IF(LEFT(Cockpit!$I$5,1)="A",H1180,IF(CA1180=1,CB1180,IF(LEFT(Cockpit!$I$5,1)="B",AR1180,MAX(AR1180,H1180))))</f>
        <v>3</v>
      </c>
      <c r="AO1180" s="57" t="n">
        <f aca="false">IF(BT1180=1,0,ROUNDUP(AN1180/BS1180,0))</f>
        <v>1</v>
      </c>
      <c r="AP1180" s="59" t="n">
        <f aca="false">IF(CH1180&gt;0,CH1180*MAX(1,AN1180/X1180),IF(BT1180=1,IF(AN1180&lt;=0,0,BW1180*MAX(1,IF(H1180&gt;0,AN1180/H1180,1))),IF(R1180&gt;0,AO1180/R1180,0))/MAX(0.1,N(Parameter!$M$21)))</f>
        <v>0.0384615384615385</v>
      </c>
      <c r="AQ1180" s="57" t="n">
        <f aca="false">AN1180*G1180</f>
        <v>280.8</v>
      </c>
      <c r="AR1180" s="57" t="n">
        <f aca="false">ROUNDUP(MAX(J1180/IF(BZ1180&gt;0,BZ1180,MAX(0.1,N(Cockpit!$I$6))),CC1180)/BS1180,0)*BS1180</f>
        <v>3</v>
      </c>
      <c r="AS1180" s="58" t="n">
        <f aca="false">IF(AP1180&gt;0,J1180/AP1180,-1)</f>
        <v>0</v>
      </c>
      <c r="AT1180" s="58" t="n">
        <f aca="false">IF(AND(OR(BY1180="L1",BY1180="L23"),AP1180&gt;0),SUMIFS($AP$7:$AP$1843,$BY$7:$BY$1843,BY1180,$AS$7:$AS$1843,"&gt;"&amp;AS1180)+SUMIFS($AP$7:$AP$1843,$BY$7:$BY$1843,BY1180,$AS$7:$AS$1843,AS1180,$BQ$7:$BQ$1843,"&lt;="&amp;BQ1180),"")</f>
        <v>122.582049592919</v>
      </c>
      <c r="AU1180" s="65" t="n">
        <f aca="false">IF(AT1180="",0,MAX(0,MIN(1,(IF(BY1180="L1",Parameter!$E$5,Parameter!$E$6+Parameter!$E$7)-(AT1180-AP1180))/AP1180)))</f>
        <v>0</v>
      </c>
      <c r="AV1180" s="57" t="n">
        <f aca="false">IF(LEFT(Cockpit!$O$5,1)="A",H1180,IF(CA1180=1,CB1180,IF(LEFT(Cockpit!$O$5,1)="B",AZ1180,MAX(AZ1180,H1180))))</f>
        <v>3</v>
      </c>
      <c r="AW1180" s="57" t="n">
        <f aca="false">IF(BT1180=1,0,ROUNDUP(AV1180/BS1180,0))</f>
        <v>1</v>
      </c>
      <c r="AX1180" s="59" t="n">
        <f aca="false">IF(CH1180&gt;0,CH1180*MAX(1,AV1180/X1180),IF(BT1180=1,IF(AV1180&lt;=0,0,BW1180*MAX(1,IF(H1180&gt;0,AV1180/H1180,1))),IF(R1180&gt;0,AW1180/R1180,0))/MAX(0.1,N(Parameter!$M$21)))</f>
        <v>0.0384615384615385</v>
      </c>
      <c r="AY1180" s="57" t="n">
        <f aca="false">AV1180*G1180</f>
        <v>280.8</v>
      </c>
      <c r="AZ1180" s="57" t="n">
        <f aca="false">ROUNDUP(MAX(J1180/IF(BZ1180&gt;0,BZ1180,MAX(0.1,N(Cockpit!$O$6))),CC1180)/BS1180,0)*BS1180</f>
        <v>3</v>
      </c>
      <c r="BA1180" s="58" t="n">
        <f aca="false">IF(AX1180&gt;0,J1180/AX1180,-1)</f>
        <v>0</v>
      </c>
      <c r="BB1180" s="58" t="n">
        <f aca="false">IF(AND(OR(BY1180="L1",BY1180="L23"),AX1180&gt;0),SUMIFS($AX$7:$AX$1843,$BY$7:$BY$1843,BY1180,$BA$7:$BA$1843,"&gt;"&amp;BA1180)+SUMIFS($AX$7:$AX$1843,$BY$7:$BY$1843,BY1180,$BA$7:$BA$1843,BA1180,$BQ$7:$BQ$1843,"&lt;="&amp;BQ1180),"")</f>
        <v>113.411886422756</v>
      </c>
      <c r="BC1180" s="65" t="n">
        <f aca="false">IF(BB1180="",0,MAX(0,MIN(1,(IF(BY1180="L1",Parameter!$E$5,Parameter!$E$6+Parameter!$E$7)-(BB1180-AX1180))/AX1180)))</f>
        <v>0</v>
      </c>
      <c r="BD1180" s="55" t="str">
        <f aca="false">IF(AH1180&lt;=0,"",IF(BY1180="Aussen","Aussenlager",IF(BY1180="-","Nicht im Lift",IF(AM1180&gt;=1,"Lift",IF(AM1180&lt;=0,"Aussenlager","teilweise")))))</f>
        <v>Lift</v>
      </c>
      <c r="BE1180" s="55" t="str">
        <f aca="false">IF(AP1180&lt;=0,"",IF(BY1180="Aussen","Aussenlager",IF(BY1180="-","Nicht im Lift",IF(AU1180&gt;=1,"Lift",IF(AU1180&lt;=0,"Aussenlager","teilweise")))))</f>
        <v>Aussenlager</v>
      </c>
      <c r="BF1180" s="55" t="str">
        <f aca="false">IF(AX1180&lt;=0,"",IF(BY1180="Aussen","Aussenlager",IF(BY1180="-","Nicht im Lift",IF(BC1180&gt;=1,"Lift",IF(BC1180&lt;=0,"Aussenlager","teilweise")))))</f>
        <v>Aussenlager</v>
      </c>
      <c r="BG1180" s="55" t="str">
        <f aca="false">IF(A1180="","",IF(BP1180=1,"Neu; ","")&amp;IF(AND(BP1180=0,BK1180&lt;0),"negativer Bestand (Export "&amp;BK1180&amp;"); ","")&amp;IF(J1180&lt;=0,"Kein Verbrauch; ","")&amp;IF(CH1180&gt;0,"Lift "&amp;W1180&amp;" lt. Liftbericht (Fach "&amp;X1180&amp;" Stk); ",IF(BU1180=1,"Gebinde geschätzt ("&amp;T1180&amp;"); ",IF(BT1180=1,"Lose – Tablare geschätzt; ","")))&amp;IF(H1180&gt;AR1180,"Überbestand "&amp;ROUND(H1180-AR1180,0)&amp;" Stk / CHF "&amp;ROUND((H1180-AR1180)*G1180,0)&amp;"; ","")&amp;IF(AND(CA1180=1,CB1180&lt;CC1180),"MAX &lt; MB+LG; ","")&amp;IF(AND(CG1180&gt;0,CF1180*10&gt;CG1180),"zu hoch für Tablar; ","")&amp;IF(AND(BP1180=0,OR(CA1180=1,AA1180&lt;&gt;"",U1180&lt;&gt;"",V1180&lt;&gt;"",AB1180&lt;&gt;"")),"manuell übersteuert; ","")&amp;IF(AND(BT1180=0,R1180=0),"Gebinde unbekannt / Stellmass fehlt; ","")&amp;IF(AND(BT1180=0,N(V1180)&lt;=0,N(Q1180)&lt;=0),"Menge pro Gebinde fehlt (Ist = 1 Gebinde); ","")&amp;BO1180)</f>
        <v>negativer Bestand (Export -4); Kein Verbrauch; </v>
      </c>
      <c r="BH1180" s="55"/>
      <c r="BI1180" s="55"/>
      <c r="BJ1180" s="62"/>
      <c r="BK1180" s="57" t="n">
        <v>-4</v>
      </c>
      <c r="BL1180" s="57" t="n">
        <v>7</v>
      </c>
      <c r="BM1180" s="56" t="n">
        <v>-374.4</v>
      </c>
      <c r="BN1180" s="57" t="n">
        <v>0</v>
      </c>
      <c r="BO1180" s="55"/>
      <c r="BP1180" s="60" t="n">
        <v>0</v>
      </c>
      <c r="BQ1180" s="60" t="n">
        <v>1180</v>
      </c>
      <c r="BR1180" s="55" t="str">
        <f aca="false">IF(U1180&lt;&gt;"",UPPER(TRIM(U1180)),IF(BU1180=1,UPPER(VLOOKUP(T1180,Parameter!$I$27:$K$29,2,0)),IF(P1180="","LOSE",P1180)))</f>
        <v>S51</v>
      </c>
      <c r="BS1180" s="57" t="n">
        <f aca="false">IF(BR1180="LOSE",1,IF(N(V1180)&gt;0,V1180,IF(BU1180=1,MAX(1,N(VLOOKUP(T1180,Parameter!$I$27:$K$29,3,0)),H1180,N(N1180)),IF(N(Q1180)&gt;0,Q1180,MAX(1,H1180)))))</f>
        <v>3</v>
      </c>
      <c r="BT1180" s="60" t="n">
        <f aca="false">IF(BR1180="LOSE",1,0)</f>
        <v>0</v>
      </c>
      <c r="BU1180" s="60" t="n">
        <f aca="false">IF(AND(U1180="",OR(P1180="",P1180="LOSE"),T1180&lt;&gt;"",N(S1180)&lt;=0,ISNUMBER(MATCH(T1180,Parameter!$I$27:$I$29,0))),1,0)</f>
        <v>0</v>
      </c>
      <c r="BV1180" s="55" t="str">
        <f aca="false">IF(AND(Parameter!$B$19="Ja",E1180&lt;&gt;"",ISNUMBER(MATCH(E1180,Parameter!$I$35:$I$52,0))),VLOOKUP(E1180,Parameter!$I$35:$J$52,2,0),IFERROR(VLOOKUP(D1180,Parameter!$A$35:$C$64,2,0),"Nein"))</f>
        <v>2+3</v>
      </c>
      <c r="BW1180" s="59" t="n">
        <f aca="false">IF(BT1180=0,0,IF(N(S1180)&gt;0,S1180,IFERROR(VLOOKUP(D1180,Parameter!$A$35:$C$64,3,0)+0,0)))</f>
        <v>0</v>
      </c>
      <c r="BX1180" s="55" t="n">
        <f aca="false">IF(AA1180&lt;&gt;"",AA1180,Z1180)</f>
        <v>3</v>
      </c>
      <c r="BY1180" s="55" t="str">
        <f aca="false">IF(BX1180=1,"L1",IF(OR(BX1180=2,BX1180=3),"L23",IF(BX1180="Aussen","Aussen","-")))</f>
        <v>L23</v>
      </c>
      <c r="BZ1180" s="66" t="n">
        <f aca="false">IF(N(AB1180)&gt;0,AB1180,0)</f>
        <v>0</v>
      </c>
      <c r="CA1180" s="60" t="n">
        <f aca="false">IF(ISNUMBER(AE1180),1,0)</f>
        <v>0</v>
      </c>
      <c r="CB1180" s="57" t="n">
        <f aca="false">N(AE1180)</f>
        <v>0</v>
      </c>
      <c r="CC1180" s="57" t="n">
        <f aca="false">N(M1180)+N(N1180)</f>
        <v>1</v>
      </c>
      <c r="CD1180" s="57" t="n">
        <f aca="false">ROUNDUP(H1180/BS1180,0)</f>
        <v>1</v>
      </c>
      <c r="CE1180" s="57" t="n">
        <f aca="false">ROUNDUP(CB1180/BS1180,0)</f>
        <v>0</v>
      </c>
      <c r="CF1180" s="60" t="n">
        <f aca="false">IF(BT1180=1,0,IFERROR(VLOOKUP(BR1180,'Gebinde-Kategorie'!$A$5:$M$45,5,0)+0,0))</f>
        <v>11</v>
      </c>
      <c r="CG1180" s="60" t="n">
        <f aca="false">IFERROR(IF(OR(BX1180=1,BX1180=2,BX1180=3),N(INDEX(Parameter!$I$5:$I$7,BX1180)),0),0)</f>
        <v>0</v>
      </c>
      <c r="CH1180" s="59" t="n">
        <f aca="false">IF(AND(Parameter!$B$21="Ja",ISNUMBER(W1180),N(X1180)&gt;0),IFERROR(N(INDEX(Parameter!$L$5:$L$7,W1180))*INDEX(Parameter!$E$5:$E$7,W1180)*X1180/SUMIFS($X$7:$X$1843,$W$7:$W$1843,W1180),0),0)</f>
        <v>0</v>
      </c>
    </row>
    <row r="1181" customFormat="false" ht="15" hidden="false" customHeight="false" outlineLevel="0" collapsed="false">
      <c r="A1181" s="55" t="s">
        <v>2125</v>
      </c>
      <c r="B1181" s="55" t="s">
        <v>468</v>
      </c>
      <c r="C1181" s="55" t="s">
        <v>164</v>
      </c>
      <c r="D1181" s="55" t="s">
        <v>184</v>
      </c>
      <c r="E1181" s="55" t="s">
        <v>185</v>
      </c>
      <c r="F1181" s="55" t="s">
        <v>218</v>
      </c>
      <c r="G1181" s="56" t="n">
        <v>7.34</v>
      </c>
      <c r="H1181" s="57" t="n">
        <f aca="false">MAX(0,IF(AND(Parameter!$B$21="Ja",ISNUMBER(Y1181)),Y1181,IF(Parameter!$B$20="Jahresanfang 2025 + Export",BL1181+BK1181,BK1181)))</f>
        <v>23</v>
      </c>
      <c r="I1181" s="57" t="n">
        <f aca="false">H1181*G1181</f>
        <v>168.82</v>
      </c>
      <c r="J1181" s="57" t="n">
        <f aca="false">BN1181*Parameter!$B$18</f>
        <v>24</v>
      </c>
      <c r="K1181" s="58" t="n">
        <v>57.5</v>
      </c>
      <c r="L1181" s="59" t="n">
        <v>0.417391304347826</v>
      </c>
      <c r="M1181" s="57" t="n">
        <v>0</v>
      </c>
      <c r="N1181" s="57" t="n">
        <v>25</v>
      </c>
      <c r="O1181" s="60" t="n">
        <v>14</v>
      </c>
      <c r="P1181" s="55" t="s">
        <v>302</v>
      </c>
      <c r="Q1181" s="57" t="n">
        <v>35</v>
      </c>
      <c r="R1181" s="60" t="n">
        <f aca="false">IF(BT1181=1,0,IFERROR(VLOOKUP(BR1181,'Gebinde-Kategorie'!$A$5:$M$45,13,0)+0,0))</f>
        <v>26</v>
      </c>
      <c r="S1181" s="61"/>
      <c r="T1181" s="62"/>
      <c r="U1181" s="62"/>
      <c r="V1181" s="62"/>
      <c r="W1181" s="55"/>
      <c r="X1181" s="57"/>
      <c r="Y1181" s="57"/>
      <c r="Z1181" s="55" t="n">
        <f aca="false">IF(A1181="","",IF(AND(Parameter!$B$21="Ja",ISNUMBER(W1181)),W1181,IF(BV1181="2+3",IF(ISNUMBER(SEARCH("grosser Artikel",BO1181)),2,IFERROR(VLOOKUP(BR1181,Parameter!$F$35:$G$64,2,0),2)),IF(OR(BV1181="Nein",BV1181=""),"-",BV1181))))</f>
        <v>3</v>
      </c>
      <c r="AA1181" s="62"/>
      <c r="AB1181" s="63"/>
      <c r="AC1181" s="57" t="n">
        <f aca="false">AR1181</f>
        <v>35</v>
      </c>
      <c r="AD1181" s="57" t="n">
        <f aca="false">MAX(AR1181,H1181)</f>
        <v>35</v>
      </c>
      <c r="AE1181" s="64"/>
      <c r="AF1181" s="57" t="n">
        <f aca="false">IF(LEFT(Cockpit!$C$5,1)="A",H1181,IF(CA1181=1,CB1181,IF(LEFT(Cockpit!$C$5,1)="B",AJ1181,MAX(AJ1181,H1181))))</f>
        <v>23</v>
      </c>
      <c r="AG1181" s="57" t="n">
        <f aca="false">IF(BT1181=1,0,ROUNDUP(AF1181/BS1181,0))</f>
        <v>1</v>
      </c>
      <c r="AH1181" s="59" t="n">
        <f aca="false">IF(CH1181&gt;0,CH1181*MAX(1,AF1181/X1181),IF(BT1181=1,IF(AF1181&lt;=0,0,BW1181*MAX(1,IF(H1181&gt;0,AF1181/H1181,1))),IF(R1181&gt;0,AG1181/R1181,0))/MAX(0.1,N(Parameter!$M$21)))</f>
        <v>0.0384615384615385</v>
      </c>
      <c r="AI1181" s="57" t="n">
        <f aca="false">AF1181*G1181</f>
        <v>168.82</v>
      </c>
      <c r="AJ1181" s="57" t="n">
        <f aca="false">ROUNDUP(MAX(J1181/IF(BZ1181&gt;0,BZ1181,MAX(0.1,N(Cockpit!$C$6))),CC1181)/BS1181,0)*BS1181</f>
        <v>35</v>
      </c>
      <c r="AK1181" s="58" t="n">
        <f aca="false">IF(AH1181&gt;0,J1181/AH1181,-1)</f>
        <v>624</v>
      </c>
      <c r="AL1181" s="58" t="n">
        <f aca="false">IF(AND(OR(BY1181="L1",BY1181="L23"),AH1181&gt;0),SUMIFS($AH$7:$AH$1843,$BY$7:$BY$1843,BY1181,$AK$7:$AK$1843,"&gt;"&amp;AK1181)+SUMIFS($AH$7:$AH$1843,$BY$7:$BY$1843,BY1181,$AK$7:$AK$1843,AK1181,$BQ$7:$BQ$1843,"&lt;="&amp;BQ1181),"")</f>
        <v>23.0386557886558</v>
      </c>
      <c r="AM1181" s="65" t="n">
        <f aca="false">IF(AL1181="",0,MAX(0,MIN(1,(IF(BY1181="L1",Parameter!$E$5,Parameter!$E$6+Parameter!$E$7)-(AL1181-AH1181))/AH1181)))</f>
        <v>1</v>
      </c>
      <c r="AN1181" s="57" t="n">
        <f aca="false">IF(LEFT(Cockpit!$I$5,1)="A",H1181,IF(CA1181=1,CB1181,IF(LEFT(Cockpit!$I$5,1)="B",AR1181,MAX(AR1181,H1181))))</f>
        <v>35</v>
      </c>
      <c r="AO1181" s="57" t="n">
        <f aca="false">IF(BT1181=1,0,ROUNDUP(AN1181/BS1181,0))</f>
        <v>1</v>
      </c>
      <c r="AP1181" s="59" t="n">
        <f aca="false">IF(CH1181&gt;0,CH1181*MAX(1,AN1181/X1181),IF(BT1181=1,IF(AN1181&lt;=0,0,BW1181*MAX(1,IF(H1181&gt;0,AN1181/H1181,1))),IF(R1181&gt;0,AO1181/R1181,0))/MAX(0.1,N(Parameter!$M$21)))</f>
        <v>0.0384615384615385</v>
      </c>
      <c r="AQ1181" s="57" t="n">
        <f aca="false">AN1181*G1181</f>
        <v>256.9</v>
      </c>
      <c r="AR1181" s="57" t="n">
        <f aca="false">ROUNDUP(MAX(J1181/IF(BZ1181&gt;0,BZ1181,MAX(0.1,N(Cockpit!$I$6))),CC1181)/BS1181,0)*BS1181</f>
        <v>35</v>
      </c>
      <c r="AS1181" s="58" t="n">
        <f aca="false">IF(AP1181&gt;0,J1181/AP1181,-1)</f>
        <v>624</v>
      </c>
      <c r="AT1181" s="58" t="n">
        <f aca="false">IF(AND(OR(BY1181="L1",BY1181="L23"),AP1181&gt;0),SUMIFS($AP$7:$AP$1843,$BY$7:$BY$1843,BY1181,$AS$7:$AS$1843,"&gt;"&amp;AS1181)+SUMIFS($AP$7:$AP$1843,$BY$7:$BY$1843,BY1181,$AS$7:$AS$1843,AS1181,$BQ$7:$BQ$1843,"&lt;="&amp;BQ1181),"")</f>
        <v>30.4477382520861</v>
      </c>
      <c r="AU1181" s="65" t="n">
        <f aca="false">IF(AT1181="",0,MAX(0,MIN(1,(IF(BY1181="L1",Parameter!$E$5,Parameter!$E$6+Parameter!$E$7)-(AT1181-AP1181))/AP1181)))</f>
        <v>1</v>
      </c>
      <c r="AV1181" s="57" t="n">
        <f aca="false">IF(LEFT(Cockpit!$O$5,1)="A",H1181,IF(CA1181=1,CB1181,IF(LEFT(Cockpit!$O$5,1)="B",AZ1181,MAX(AZ1181,H1181))))</f>
        <v>35</v>
      </c>
      <c r="AW1181" s="57" t="n">
        <f aca="false">IF(BT1181=1,0,ROUNDUP(AV1181/BS1181,0))</f>
        <v>1</v>
      </c>
      <c r="AX1181" s="59" t="n">
        <f aca="false">IF(CH1181&gt;0,CH1181*MAX(1,AV1181/X1181),IF(BT1181=1,IF(AV1181&lt;=0,0,BW1181*MAX(1,IF(H1181&gt;0,AV1181/H1181,1))),IF(R1181&gt;0,AW1181/R1181,0))/MAX(0.1,N(Parameter!$M$21)))</f>
        <v>0.0384615384615385</v>
      </c>
      <c r="AY1181" s="57" t="n">
        <f aca="false">AV1181*G1181</f>
        <v>256.9</v>
      </c>
      <c r="AZ1181" s="57" t="n">
        <f aca="false">ROUNDUP(MAX(J1181/IF(BZ1181&gt;0,BZ1181,MAX(0.1,N(Cockpit!$O$6))),CC1181)/BS1181,0)*BS1181</f>
        <v>35</v>
      </c>
      <c r="BA1181" s="58" t="n">
        <f aca="false">IF(AX1181&gt;0,J1181/AX1181,-1)</f>
        <v>624</v>
      </c>
      <c r="BB1181" s="58" t="n">
        <f aca="false">IF(AND(OR(BY1181="L1",BY1181="L23"),AX1181&gt;0),SUMIFS($AX$7:$AX$1843,$BY$7:$BY$1843,BY1181,$BA$7:$BA$1843,"&gt;"&amp;BA1181)+SUMIFS($AX$7:$AX$1843,$BY$7:$BY$1843,BY1181,$BA$7:$BA$1843,BA1181,$BQ$7:$BQ$1843,"&lt;="&amp;BQ1181),"")</f>
        <v>29.1493699537178</v>
      </c>
      <c r="BC1181" s="65" t="n">
        <f aca="false">IF(BB1181="",0,MAX(0,MIN(1,(IF(BY1181="L1",Parameter!$E$5,Parameter!$E$6+Parameter!$E$7)-(BB1181-AX1181))/AX1181)))</f>
        <v>1</v>
      </c>
      <c r="BD1181" s="55" t="str">
        <f aca="false">IF(AH1181&lt;=0,"",IF(BY1181="Aussen","Aussenlager",IF(BY1181="-","Nicht im Lift",IF(AM1181&gt;=1,"Lift",IF(AM1181&lt;=0,"Aussenlager","teilweise")))))</f>
        <v>Lift</v>
      </c>
      <c r="BE1181" s="55" t="str">
        <f aca="false">IF(AP1181&lt;=0,"",IF(BY1181="Aussen","Aussenlager",IF(BY1181="-","Nicht im Lift",IF(AU1181&gt;=1,"Lift",IF(AU1181&lt;=0,"Aussenlager","teilweise")))))</f>
        <v>Lift</v>
      </c>
      <c r="BF1181" s="55" t="str">
        <f aca="false">IF(AX1181&lt;=0,"",IF(BY1181="Aussen","Aussenlager",IF(BY1181="-","Nicht im Lift",IF(BC1181&gt;=1,"Lift",IF(BC1181&lt;=0,"Aussenlager","teilweise")))))</f>
        <v>Lift</v>
      </c>
      <c r="BG1181" s="55" t="str">
        <f aca="false">IF(A1181="","",IF(BP1181=1,"Neu; ","")&amp;IF(AND(BP1181=0,BK1181&lt;0),"negativer Bestand (Export "&amp;BK1181&amp;"); ","")&amp;IF(J1181&lt;=0,"Kein Verbrauch; ","")&amp;IF(CH1181&gt;0,"Lift "&amp;W1181&amp;" lt. Liftbericht (Fach "&amp;X1181&amp;" Stk); ",IF(BU1181=1,"Gebinde geschätzt ("&amp;T1181&amp;"); ",IF(BT1181=1,"Lose – Tablare geschätzt; ","")))&amp;IF(H1181&gt;AR1181,"Überbestand "&amp;ROUND(H1181-AR1181,0)&amp;" Stk / CHF "&amp;ROUND((H1181-AR1181)*G1181,0)&amp;"; ","")&amp;IF(AND(CA1181=1,CB1181&lt;CC1181),"MAX &lt; MB+LG; ","")&amp;IF(AND(CG1181&gt;0,CF1181*10&gt;CG1181),"zu hoch für Tablar; ","")&amp;IF(AND(BP1181=0,OR(CA1181=1,AA1181&lt;&gt;"",U1181&lt;&gt;"",V1181&lt;&gt;"",AB1181&lt;&gt;"")),"manuell übersteuert; ","")&amp;IF(AND(BT1181=0,R1181=0),"Gebinde unbekannt / Stellmass fehlt; ","")&amp;IF(AND(BT1181=0,N(V1181)&lt;=0,N(Q1181)&lt;=0),"Menge pro Gebinde fehlt (Ist = 1 Gebinde); ","")&amp;BO1181)</f>
        <v>negativer Bestand (Export -52); </v>
      </c>
      <c r="BH1181" s="55"/>
      <c r="BI1181" s="55"/>
      <c r="BJ1181" s="62"/>
      <c r="BK1181" s="57" t="n">
        <v>-52</v>
      </c>
      <c r="BL1181" s="57" t="n">
        <v>75</v>
      </c>
      <c r="BM1181" s="56" t="n">
        <v>-381.68</v>
      </c>
      <c r="BN1181" s="57" t="n">
        <v>24</v>
      </c>
      <c r="BO1181" s="55"/>
      <c r="BP1181" s="60" t="n">
        <v>0</v>
      </c>
      <c r="BQ1181" s="60" t="n">
        <v>1181</v>
      </c>
      <c r="BR1181" s="55" t="str">
        <f aca="false">IF(U1181&lt;&gt;"",UPPER(TRIM(U1181)),IF(BU1181=1,UPPER(VLOOKUP(T1181,Parameter!$I$27:$K$29,2,0)),IF(P1181="","LOSE",P1181)))</f>
        <v>S51</v>
      </c>
      <c r="BS1181" s="57" t="n">
        <f aca="false">IF(BR1181="LOSE",1,IF(N(V1181)&gt;0,V1181,IF(BU1181=1,MAX(1,N(VLOOKUP(T1181,Parameter!$I$27:$K$29,3,0)),H1181,N(N1181)),IF(N(Q1181)&gt;0,Q1181,MAX(1,H1181)))))</f>
        <v>35</v>
      </c>
      <c r="BT1181" s="60" t="n">
        <f aca="false">IF(BR1181="LOSE",1,0)</f>
        <v>0</v>
      </c>
      <c r="BU1181" s="60" t="n">
        <f aca="false">IF(AND(U1181="",OR(P1181="",P1181="LOSE"),T1181&lt;&gt;"",N(S1181)&lt;=0,ISNUMBER(MATCH(T1181,Parameter!$I$27:$I$29,0))),1,0)</f>
        <v>0</v>
      </c>
      <c r="BV1181" s="55" t="str">
        <f aca="false">IF(AND(Parameter!$B$19="Ja",E1181&lt;&gt;"",ISNUMBER(MATCH(E1181,Parameter!$I$35:$I$52,0))),VLOOKUP(E1181,Parameter!$I$35:$J$52,2,0),IFERROR(VLOOKUP(D1181,Parameter!$A$35:$C$64,2,0),"Nein"))</f>
        <v>2+3</v>
      </c>
      <c r="BW1181" s="59" t="n">
        <f aca="false">IF(BT1181=0,0,IF(N(S1181)&gt;0,S1181,IFERROR(VLOOKUP(D1181,Parameter!$A$35:$C$64,3,0)+0,0)))</f>
        <v>0</v>
      </c>
      <c r="BX1181" s="55" t="n">
        <f aca="false">IF(AA1181&lt;&gt;"",AA1181,Z1181)</f>
        <v>3</v>
      </c>
      <c r="BY1181" s="55" t="str">
        <f aca="false">IF(BX1181=1,"L1",IF(OR(BX1181=2,BX1181=3),"L23",IF(BX1181="Aussen","Aussen","-")))</f>
        <v>L23</v>
      </c>
      <c r="BZ1181" s="66" t="n">
        <f aca="false">IF(N(AB1181)&gt;0,AB1181,0)</f>
        <v>0</v>
      </c>
      <c r="CA1181" s="60" t="n">
        <f aca="false">IF(ISNUMBER(AE1181),1,0)</f>
        <v>0</v>
      </c>
      <c r="CB1181" s="57" t="n">
        <f aca="false">N(AE1181)</f>
        <v>0</v>
      </c>
      <c r="CC1181" s="57" t="n">
        <f aca="false">N(M1181)+N(N1181)</f>
        <v>25</v>
      </c>
      <c r="CD1181" s="57" t="n">
        <f aca="false">ROUNDUP(H1181/BS1181,0)</f>
        <v>1</v>
      </c>
      <c r="CE1181" s="57" t="n">
        <f aca="false">ROUNDUP(CB1181/BS1181,0)</f>
        <v>0</v>
      </c>
      <c r="CF1181" s="60" t="n">
        <f aca="false">IF(BT1181=1,0,IFERROR(VLOOKUP(BR1181,'Gebinde-Kategorie'!$A$5:$M$45,5,0)+0,0))</f>
        <v>11</v>
      </c>
      <c r="CG1181" s="60" t="n">
        <f aca="false">IFERROR(IF(OR(BX1181=1,BX1181=2,BX1181=3),N(INDEX(Parameter!$I$5:$I$7,BX1181)),0),0)</f>
        <v>0</v>
      </c>
      <c r="CH1181" s="59" t="n">
        <f aca="false">IF(AND(Parameter!$B$21="Ja",ISNUMBER(W1181),N(X1181)&gt;0),IFERROR(N(INDEX(Parameter!$L$5:$L$7,W1181))*INDEX(Parameter!$E$5:$E$7,W1181)*X1181/SUMIFS($X$7:$X$1843,$W$7:$W$1843,W1181),0),0)</f>
        <v>0</v>
      </c>
    </row>
    <row r="1182" customFormat="false" ht="15" hidden="false" customHeight="false" outlineLevel="0" collapsed="false">
      <c r="A1182" s="55" t="s">
        <v>2126</v>
      </c>
      <c r="B1182" s="55" t="s">
        <v>2127</v>
      </c>
      <c r="C1182" s="55" t="s">
        <v>164</v>
      </c>
      <c r="D1182" s="55" t="s">
        <v>184</v>
      </c>
      <c r="E1182" s="55" t="s">
        <v>185</v>
      </c>
      <c r="F1182" s="55" t="s">
        <v>218</v>
      </c>
      <c r="G1182" s="56" t="n">
        <v>63.61</v>
      </c>
      <c r="H1182" s="57" t="n">
        <f aca="false">MAX(0,IF(AND(Parameter!$B$21="Ja",ISNUMBER(Y1182)),Y1182,IF(Parameter!$B$20="Jahresanfang 2025 + Export",BL1182+BK1182,BK1182)))</f>
        <v>66</v>
      </c>
      <c r="I1182" s="57" t="n">
        <f aca="false">H1182*G1182</f>
        <v>4198.26</v>
      </c>
      <c r="J1182" s="57" t="n">
        <f aca="false">BN1182*Parameter!$B$18</f>
        <v>248</v>
      </c>
      <c r="K1182" s="58" t="n">
        <v>78</v>
      </c>
      <c r="L1182" s="59" t="n">
        <v>3.17948717948718</v>
      </c>
      <c r="M1182" s="57" t="n">
        <v>14</v>
      </c>
      <c r="N1182" s="57" t="n">
        <v>30</v>
      </c>
      <c r="O1182" s="60" t="n">
        <v>21</v>
      </c>
      <c r="P1182" s="55" t="s">
        <v>293</v>
      </c>
      <c r="Q1182" s="57" t="n">
        <v>27</v>
      </c>
      <c r="R1182" s="60" t="n">
        <f aca="false">IF(BT1182=1,0,IFERROR(VLOOKUP(BR1182,'Gebinde-Kategorie'!$A$5:$M$45,13,0)+0,0))</f>
        <v>12</v>
      </c>
      <c r="S1182" s="61"/>
      <c r="T1182" s="62"/>
      <c r="U1182" s="62"/>
      <c r="V1182" s="62"/>
      <c r="W1182" s="55"/>
      <c r="X1182" s="57"/>
      <c r="Y1182" s="57"/>
      <c r="Z1182" s="55" t="n">
        <f aca="false">IF(A1182="","",IF(AND(Parameter!$B$21="Ja",ISNUMBER(W1182)),W1182,IF(BV1182="2+3",IF(ISNUMBER(SEARCH("grosser Artikel",BO1182)),2,IFERROR(VLOOKUP(BR1182,Parameter!$F$35:$G$64,2,0),2)),IF(OR(BV1182="Nein",BV1182=""),"-",BV1182))))</f>
        <v>2</v>
      </c>
      <c r="AA1182" s="62"/>
      <c r="AB1182" s="63"/>
      <c r="AC1182" s="57" t="n">
        <f aca="false">AR1182</f>
        <v>135</v>
      </c>
      <c r="AD1182" s="57" t="n">
        <f aca="false">MAX(AR1182,H1182)</f>
        <v>135</v>
      </c>
      <c r="AE1182" s="64"/>
      <c r="AF1182" s="57" t="n">
        <f aca="false">IF(LEFT(Cockpit!$C$5,1)="A",H1182,IF(CA1182=1,CB1182,IF(LEFT(Cockpit!$C$5,1)="B",AJ1182,MAX(AJ1182,H1182))))</f>
        <v>66</v>
      </c>
      <c r="AG1182" s="57" t="n">
        <f aca="false">IF(BT1182=1,0,ROUNDUP(AF1182/BS1182,0))</f>
        <v>3</v>
      </c>
      <c r="AH1182" s="59" t="n">
        <f aca="false">IF(CH1182&gt;0,CH1182*MAX(1,AF1182/X1182),IF(BT1182=1,IF(AF1182&lt;=0,0,BW1182*MAX(1,IF(H1182&gt;0,AF1182/H1182,1))),IF(R1182&gt;0,AG1182/R1182,0))/MAX(0.1,N(Parameter!$M$21)))</f>
        <v>0.25</v>
      </c>
      <c r="AI1182" s="57" t="n">
        <f aca="false">AF1182*G1182</f>
        <v>4198.26</v>
      </c>
      <c r="AJ1182" s="57" t="n">
        <f aca="false">ROUNDUP(MAX(J1182/IF(BZ1182&gt;0,BZ1182,MAX(0.1,N(Cockpit!$C$6))),CC1182)/BS1182,0)*BS1182</f>
        <v>135</v>
      </c>
      <c r="AK1182" s="58" t="n">
        <f aca="false">IF(AH1182&gt;0,J1182/AH1182,-1)</f>
        <v>992</v>
      </c>
      <c r="AL1182" s="58" t="n">
        <f aca="false">IF(AND(OR(BY1182="L1",BY1182="L23"),AH1182&gt;0),SUMIFS($AH$7:$AH$1843,$BY$7:$BY$1843,BY1182,$AK$7:$AK$1843,"&gt;"&amp;AK1182)+SUMIFS($AH$7:$AH$1843,$BY$7:$BY$1843,BY1182,$AK$7:$AK$1843,AK1182,$BQ$7:$BQ$1843,"&lt;="&amp;BQ1182),"")</f>
        <v>18.051104692409</v>
      </c>
      <c r="AM1182" s="65" t="n">
        <f aca="false">IF(AL1182="",0,MAX(0,MIN(1,(IF(BY1182="L1",Parameter!$E$5,Parameter!$E$6+Parameter!$E$7)-(AL1182-AH1182))/AH1182)))</f>
        <v>1</v>
      </c>
      <c r="AN1182" s="57" t="n">
        <f aca="false">IF(LEFT(Cockpit!$I$5,1)="A",H1182,IF(CA1182=1,CB1182,IF(LEFT(Cockpit!$I$5,1)="B",AR1182,MAX(AR1182,H1182))))</f>
        <v>135</v>
      </c>
      <c r="AO1182" s="57" t="n">
        <f aca="false">IF(BT1182=1,0,ROUNDUP(AN1182/BS1182,0))</f>
        <v>5</v>
      </c>
      <c r="AP1182" s="59" t="n">
        <f aca="false">IF(CH1182&gt;0,CH1182*MAX(1,AN1182/X1182),IF(BT1182=1,IF(AN1182&lt;=0,0,BW1182*MAX(1,IF(H1182&gt;0,AN1182/H1182,1))),IF(R1182&gt;0,AO1182/R1182,0))/MAX(0.1,N(Parameter!$M$21)))</f>
        <v>0.416666666666667</v>
      </c>
      <c r="AQ1182" s="57" t="n">
        <f aca="false">AN1182*G1182</f>
        <v>8587.35</v>
      </c>
      <c r="AR1182" s="57" t="n">
        <f aca="false">ROUNDUP(MAX(J1182/IF(BZ1182&gt;0,BZ1182,MAX(0.1,N(Cockpit!$I$6))),CC1182)/BS1182,0)*BS1182</f>
        <v>135</v>
      </c>
      <c r="AS1182" s="58" t="n">
        <f aca="false">IF(AP1182&gt;0,J1182/AP1182,-1)</f>
        <v>595.2</v>
      </c>
      <c r="AT1182" s="58" t="n">
        <f aca="false">IF(AND(OR(BY1182="L1",BY1182="L23"),AP1182&gt;0),SUMIFS($AP$7:$AP$1843,$BY$7:$BY$1843,BY1182,$AS$7:$AS$1843,"&gt;"&amp;AS1182)+SUMIFS($AP$7:$AP$1843,$BY$7:$BY$1843,BY1182,$AS$7:$AS$1843,AS1182,$BQ$7:$BQ$1843,"&lt;="&amp;BQ1182),"")</f>
        <v>31.0246613290092</v>
      </c>
      <c r="AU1182" s="65" t="n">
        <f aca="false">IF(AT1182="",0,MAX(0,MIN(1,(IF(BY1182="L1",Parameter!$E$5,Parameter!$E$6+Parameter!$E$7)-(AT1182-AP1182))/AP1182)))</f>
        <v>1</v>
      </c>
      <c r="AV1182" s="57" t="n">
        <f aca="false">IF(LEFT(Cockpit!$O$5,1)="A",H1182,IF(CA1182=1,CB1182,IF(LEFT(Cockpit!$O$5,1)="B",AZ1182,MAX(AZ1182,H1182))))</f>
        <v>108</v>
      </c>
      <c r="AW1182" s="57" t="n">
        <f aca="false">IF(BT1182=1,0,ROUNDUP(AV1182/BS1182,0))</f>
        <v>4</v>
      </c>
      <c r="AX1182" s="59" t="n">
        <f aca="false">IF(CH1182&gt;0,CH1182*MAX(1,AV1182/X1182),IF(BT1182=1,IF(AV1182&lt;=0,0,BW1182*MAX(1,IF(H1182&gt;0,AV1182/H1182,1))),IF(R1182&gt;0,AW1182/R1182,0))/MAX(0.1,N(Parameter!$M$21)))</f>
        <v>0.333333333333333</v>
      </c>
      <c r="AY1182" s="57" t="n">
        <f aca="false">AV1182*G1182</f>
        <v>6869.88</v>
      </c>
      <c r="AZ1182" s="57" t="n">
        <f aca="false">ROUNDUP(MAX(J1182/IF(BZ1182&gt;0,BZ1182,MAX(0.1,N(Cockpit!$O$6))),CC1182)/BS1182,0)*BS1182</f>
        <v>108</v>
      </c>
      <c r="BA1182" s="58" t="n">
        <f aca="false">IF(AX1182&gt;0,J1182/AX1182,-1)</f>
        <v>744</v>
      </c>
      <c r="BB1182" s="58" t="n">
        <f aca="false">IF(AND(OR(BY1182="L1",BY1182="L23"),AX1182&gt;0),SUMIFS($AX$7:$AX$1843,$BY$7:$BY$1843,BY1182,$BA$7:$BA$1843,"&gt;"&amp;BA1182)+SUMIFS($AX$7:$AX$1843,$BY$7:$BY$1843,BY1182,$BA$7:$BA$1843,BA1182,$BQ$7:$BQ$1843,"&lt;="&amp;BQ1182),"")</f>
        <v>27.3329363872842</v>
      </c>
      <c r="BC1182" s="65" t="n">
        <f aca="false">IF(BB1182="",0,MAX(0,MIN(1,(IF(BY1182="L1",Parameter!$E$5,Parameter!$E$6+Parameter!$E$7)-(BB1182-AX1182))/AX1182)))</f>
        <v>1</v>
      </c>
      <c r="BD1182" s="55" t="str">
        <f aca="false">IF(AH1182&lt;=0,"",IF(BY1182="Aussen","Aussenlager",IF(BY1182="-","Nicht im Lift",IF(AM1182&gt;=1,"Lift",IF(AM1182&lt;=0,"Aussenlager","teilweise")))))</f>
        <v>Lift</v>
      </c>
      <c r="BE1182" s="55" t="str">
        <f aca="false">IF(AP1182&lt;=0,"",IF(BY1182="Aussen","Aussenlager",IF(BY1182="-","Nicht im Lift",IF(AU1182&gt;=1,"Lift",IF(AU1182&lt;=0,"Aussenlager","teilweise")))))</f>
        <v>Lift</v>
      </c>
      <c r="BF1182" s="55" t="str">
        <f aca="false">IF(AX1182&lt;=0,"",IF(BY1182="Aussen","Aussenlager",IF(BY1182="-","Nicht im Lift",IF(BC1182&gt;=1,"Lift",IF(BC1182&lt;=0,"Aussenlager","teilweise")))))</f>
        <v>Lift</v>
      </c>
      <c r="BG1182" s="55" t="str">
        <f aca="false">IF(A1182="","",IF(BP1182=1,"Neu; ","")&amp;IF(AND(BP1182=0,BK1182&lt;0),"negativer Bestand (Export "&amp;BK1182&amp;"); ","")&amp;IF(J1182&lt;=0,"Kein Verbrauch; ","")&amp;IF(CH1182&gt;0,"Lift "&amp;W1182&amp;" lt. Liftbericht (Fach "&amp;X1182&amp;" Stk); ",IF(BU1182=1,"Gebinde geschätzt ("&amp;T1182&amp;"); ",IF(BT1182=1,"Lose – Tablare geschätzt; ","")))&amp;IF(H1182&gt;AR1182,"Überbestand "&amp;ROUND(H1182-AR1182,0)&amp;" Stk / CHF "&amp;ROUND((H1182-AR1182)*G1182,0)&amp;"; ","")&amp;IF(AND(CA1182=1,CB1182&lt;CC1182),"MAX &lt; MB+LG; ","")&amp;IF(AND(CG1182&gt;0,CF1182*10&gt;CG1182),"zu hoch für Tablar; ","")&amp;IF(AND(BP1182=0,OR(CA1182=1,AA1182&lt;&gt;"",U1182&lt;&gt;"",V1182&lt;&gt;"",AB1182&lt;&gt;"")),"manuell übersteuert; ","")&amp;IF(AND(BT1182=0,R1182=0),"Gebinde unbekannt / Stellmass fehlt; ","")&amp;IF(AND(BT1182=0,N(V1182)&lt;=0,N(Q1182)&lt;=0),"Menge pro Gebinde fehlt (Ist = 1 Gebinde); ","")&amp;BO1182)</f>
        <v/>
      </c>
      <c r="BH1182" s="55"/>
      <c r="BI1182" s="55"/>
      <c r="BJ1182" s="62"/>
      <c r="BK1182" s="57" t="n">
        <v>15</v>
      </c>
      <c r="BL1182" s="57" t="n">
        <v>51</v>
      </c>
      <c r="BM1182" s="56" t="n">
        <v>-384.089999999989</v>
      </c>
      <c r="BN1182" s="57" t="n">
        <v>248</v>
      </c>
      <c r="BO1182" s="55"/>
      <c r="BP1182" s="60" t="n">
        <v>0</v>
      </c>
      <c r="BQ1182" s="60" t="n">
        <v>1182</v>
      </c>
      <c r="BR1182" s="55" t="str">
        <f aca="false">IF(U1182&lt;&gt;"",UPPER(TRIM(U1182)),IF(BU1182=1,UPPER(VLOOKUP(T1182,Parameter!$I$27:$K$29,2,0)),IF(P1182="","LOSE",P1182)))</f>
        <v>S62</v>
      </c>
      <c r="BS1182" s="57" t="n">
        <f aca="false">IF(BR1182="LOSE",1,IF(N(V1182)&gt;0,V1182,IF(BU1182=1,MAX(1,N(VLOOKUP(T1182,Parameter!$I$27:$K$29,3,0)),H1182,N(N1182)),IF(N(Q1182)&gt;0,Q1182,MAX(1,H1182)))))</f>
        <v>27</v>
      </c>
      <c r="BT1182" s="60" t="n">
        <f aca="false">IF(BR1182="LOSE",1,0)</f>
        <v>0</v>
      </c>
      <c r="BU1182" s="60" t="n">
        <f aca="false">IF(AND(U1182="",OR(P1182="",P1182="LOSE"),T1182&lt;&gt;"",N(S1182)&lt;=0,ISNUMBER(MATCH(T1182,Parameter!$I$27:$I$29,0))),1,0)</f>
        <v>0</v>
      </c>
      <c r="BV1182" s="55" t="str">
        <f aca="false">IF(AND(Parameter!$B$19="Ja",E1182&lt;&gt;"",ISNUMBER(MATCH(E1182,Parameter!$I$35:$I$52,0))),VLOOKUP(E1182,Parameter!$I$35:$J$52,2,0),IFERROR(VLOOKUP(D1182,Parameter!$A$35:$C$64,2,0),"Nein"))</f>
        <v>2+3</v>
      </c>
      <c r="BW1182" s="59" t="n">
        <f aca="false">IF(BT1182=0,0,IF(N(S1182)&gt;0,S1182,IFERROR(VLOOKUP(D1182,Parameter!$A$35:$C$64,3,0)+0,0)))</f>
        <v>0</v>
      </c>
      <c r="BX1182" s="55" t="n">
        <f aca="false">IF(AA1182&lt;&gt;"",AA1182,Z1182)</f>
        <v>2</v>
      </c>
      <c r="BY1182" s="55" t="str">
        <f aca="false">IF(BX1182=1,"L1",IF(OR(BX1182=2,BX1182=3),"L23",IF(BX1182="Aussen","Aussen","-")))</f>
        <v>L23</v>
      </c>
      <c r="BZ1182" s="66" t="n">
        <f aca="false">IF(N(AB1182)&gt;0,AB1182,0)</f>
        <v>0</v>
      </c>
      <c r="CA1182" s="60" t="n">
        <f aca="false">IF(ISNUMBER(AE1182),1,0)</f>
        <v>0</v>
      </c>
      <c r="CB1182" s="57" t="n">
        <f aca="false">N(AE1182)</f>
        <v>0</v>
      </c>
      <c r="CC1182" s="57" t="n">
        <f aca="false">N(M1182)+N(N1182)</f>
        <v>44</v>
      </c>
      <c r="CD1182" s="57" t="n">
        <f aca="false">ROUNDUP(H1182/BS1182,0)</f>
        <v>3</v>
      </c>
      <c r="CE1182" s="57" t="n">
        <f aca="false">ROUNDUP(CB1182/BS1182,0)</f>
        <v>0</v>
      </c>
      <c r="CF1182" s="60" t="n">
        <f aca="false">IF(BT1182=1,0,IFERROR(VLOOKUP(BR1182,'Gebinde-Kategorie'!$A$5:$M$45,5,0)+0,0))</f>
        <v>21</v>
      </c>
      <c r="CG1182" s="60" t="n">
        <f aca="false">IFERROR(IF(OR(BX1182=1,BX1182=2,BX1182=3),N(INDEX(Parameter!$I$5:$I$7,BX1182)),0),0)</f>
        <v>0</v>
      </c>
      <c r="CH1182" s="59" t="n">
        <f aca="false">IF(AND(Parameter!$B$21="Ja",ISNUMBER(W1182),N(X1182)&gt;0),IFERROR(N(INDEX(Parameter!$L$5:$L$7,W1182))*INDEX(Parameter!$E$5:$E$7,W1182)*X1182/SUMIFS($X$7:$X$1843,$W$7:$W$1843,W1182),0),0)</f>
        <v>0</v>
      </c>
    </row>
    <row r="1183" customFormat="false" ht="15" hidden="false" customHeight="false" outlineLevel="0" collapsed="false">
      <c r="A1183" s="55" t="s">
        <v>2128</v>
      </c>
      <c r="B1183" s="55" t="s">
        <v>2129</v>
      </c>
      <c r="C1183" s="55" t="s">
        <v>164</v>
      </c>
      <c r="D1183" s="55" t="s">
        <v>184</v>
      </c>
      <c r="E1183" s="55" t="s">
        <v>185</v>
      </c>
      <c r="F1183" s="55" t="s">
        <v>218</v>
      </c>
      <c r="G1183" s="56" t="n">
        <v>181.86</v>
      </c>
      <c r="H1183" s="57" t="n">
        <f aca="false">MAX(0,IF(AND(Parameter!$B$21="Ja",ISNUMBER(Y1183)),Y1183,IF(Parameter!$B$20="Jahresanfang 2025 + Export",BL1183+BK1183,BK1183)))</f>
        <v>8</v>
      </c>
      <c r="I1183" s="57" t="n">
        <f aca="false">H1183*G1183</f>
        <v>1454.88</v>
      </c>
      <c r="J1183" s="57" t="n">
        <f aca="false">BN1183*Parameter!$B$18</f>
        <v>20</v>
      </c>
      <c r="K1183" s="58" t="n">
        <v>8.5</v>
      </c>
      <c r="L1183" s="59" t="n">
        <v>2.35294117647059</v>
      </c>
      <c r="M1183" s="57" t="n">
        <v>1</v>
      </c>
      <c r="N1183" s="57" t="n">
        <v>15</v>
      </c>
      <c r="O1183" s="60" t="n">
        <v>28</v>
      </c>
      <c r="P1183" s="55" t="s">
        <v>233</v>
      </c>
      <c r="Q1183" s="57" t="n">
        <v>30</v>
      </c>
      <c r="R1183" s="60" t="n">
        <f aca="false">IF(BT1183=1,0,IFERROR(VLOOKUP(BR1183,'Gebinde-Kategorie'!$A$5:$M$45,13,0)+0,0))</f>
        <v>26</v>
      </c>
      <c r="S1183" s="61"/>
      <c r="T1183" s="62"/>
      <c r="U1183" s="62"/>
      <c r="V1183" s="62"/>
      <c r="W1183" s="55"/>
      <c r="X1183" s="57"/>
      <c r="Y1183" s="57"/>
      <c r="Z1183" s="55" t="n">
        <f aca="false">IF(A1183="","",IF(AND(Parameter!$B$21="Ja",ISNUMBER(W1183)),W1183,IF(BV1183="2+3",IF(ISNUMBER(SEARCH("grosser Artikel",BO1183)),2,IFERROR(VLOOKUP(BR1183,Parameter!$F$35:$G$64,2,0),2)),IF(OR(BV1183="Nein",BV1183=""),"-",BV1183))))</f>
        <v>3</v>
      </c>
      <c r="AA1183" s="62"/>
      <c r="AB1183" s="63"/>
      <c r="AC1183" s="57" t="n">
        <f aca="false">AR1183</f>
        <v>30</v>
      </c>
      <c r="AD1183" s="57" t="n">
        <f aca="false">MAX(AR1183,H1183)</f>
        <v>30</v>
      </c>
      <c r="AE1183" s="64"/>
      <c r="AF1183" s="57" t="n">
        <f aca="false">IF(LEFT(Cockpit!$C$5,1)="A",H1183,IF(CA1183=1,CB1183,IF(LEFT(Cockpit!$C$5,1)="B",AJ1183,MAX(AJ1183,H1183))))</f>
        <v>8</v>
      </c>
      <c r="AG1183" s="57" t="n">
        <f aca="false">IF(BT1183=1,0,ROUNDUP(AF1183/BS1183,0))</f>
        <v>1</v>
      </c>
      <c r="AH1183" s="59" t="n">
        <f aca="false">IF(CH1183&gt;0,CH1183*MAX(1,AF1183/X1183),IF(BT1183=1,IF(AF1183&lt;=0,0,BW1183*MAX(1,IF(H1183&gt;0,AF1183/H1183,1))),IF(R1183&gt;0,AG1183/R1183,0))/MAX(0.1,N(Parameter!$M$21)))</f>
        <v>0.0384615384615385</v>
      </c>
      <c r="AI1183" s="57" t="n">
        <f aca="false">AF1183*G1183</f>
        <v>1454.88</v>
      </c>
      <c r="AJ1183" s="57" t="n">
        <f aca="false">ROUNDUP(MAX(J1183/IF(BZ1183&gt;0,BZ1183,MAX(0.1,N(Cockpit!$C$6))),CC1183)/BS1183,0)*BS1183</f>
        <v>30</v>
      </c>
      <c r="AK1183" s="58" t="n">
        <f aca="false">IF(AH1183&gt;0,J1183/AH1183,-1)</f>
        <v>520</v>
      </c>
      <c r="AL1183" s="58" t="n">
        <f aca="false">IF(AND(OR(BY1183="L1",BY1183="L23"),AH1183&gt;0),SUMIFS($AH$7:$AH$1843,$BY$7:$BY$1843,BY1183,$AK$7:$AK$1843,"&gt;"&amp;AK1183)+SUMIFS($AH$7:$AH$1843,$BY$7:$BY$1843,BY1183,$AK$7:$AK$1843,AK1183,$BQ$7:$BQ$1843,"&lt;="&amp;BQ1183),"")</f>
        <v>23.9918414918415</v>
      </c>
      <c r="AM1183" s="65" t="n">
        <f aca="false">IF(AL1183="",0,MAX(0,MIN(1,(IF(BY1183="L1",Parameter!$E$5,Parameter!$E$6+Parameter!$E$7)-(AL1183-AH1183))/AH1183)))</f>
        <v>1</v>
      </c>
      <c r="AN1183" s="57" t="n">
        <f aca="false">IF(LEFT(Cockpit!$I$5,1)="A",H1183,IF(CA1183=1,CB1183,IF(LEFT(Cockpit!$I$5,1)="B",AR1183,MAX(AR1183,H1183))))</f>
        <v>30</v>
      </c>
      <c r="AO1183" s="57" t="n">
        <f aca="false">IF(BT1183=1,0,ROUNDUP(AN1183/BS1183,0))</f>
        <v>1</v>
      </c>
      <c r="AP1183" s="59" t="n">
        <f aca="false">IF(CH1183&gt;0,CH1183*MAX(1,AN1183/X1183),IF(BT1183=1,IF(AN1183&lt;=0,0,BW1183*MAX(1,IF(H1183&gt;0,AN1183/H1183,1))),IF(R1183&gt;0,AO1183/R1183,0))/MAX(0.1,N(Parameter!$M$21)))</f>
        <v>0.0384615384615385</v>
      </c>
      <c r="AQ1183" s="57" t="n">
        <f aca="false">AN1183*G1183</f>
        <v>5455.8</v>
      </c>
      <c r="AR1183" s="57" t="n">
        <f aca="false">ROUNDUP(MAX(J1183/IF(BZ1183&gt;0,BZ1183,MAX(0.1,N(Cockpit!$I$6))),CC1183)/BS1183,0)*BS1183</f>
        <v>30</v>
      </c>
      <c r="AS1183" s="58" t="n">
        <f aca="false">IF(AP1183&gt;0,J1183/AP1183,-1)</f>
        <v>520</v>
      </c>
      <c r="AT1183" s="58" t="n">
        <f aca="false">IF(AND(OR(BY1183="L1",BY1183="L23"),AP1183&gt;0),SUMIFS($AP$7:$AP$1843,$BY$7:$BY$1843,BY1183,$AS$7:$AS$1843,"&gt;"&amp;AS1183)+SUMIFS($AP$7:$AP$1843,$BY$7:$BY$1843,BY1183,$AS$7:$AS$1843,AS1183,$BQ$7:$BQ$1843,"&lt;="&amp;BQ1183),"")</f>
        <v>32.7330917874396</v>
      </c>
      <c r="AU1183" s="65" t="n">
        <f aca="false">IF(AT1183="",0,MAX(0,MIN(1,(IF(BY1183="L1",Parameter!$E$5,Parameter!$E$6+Parameter!$E$7)-(AT1183-AP1183))/AP1183)))</f>
        <v>1</v>
      </c>
      <c r="AV1183" s="57" t="n">
        <f aca="false">IF(LEFT(Cockpit!$O$5,1)="A",H1183,IF(CA1183=1,CB1183,IF(LEFT(Cockpit!$O$5,1)="B",AZ1183,MAX(AZ1183,H1183))))</f>
        <v>30</v>
      </c>
      <c r="AW1183" s="57" t="n">
        <f aca="false">IF(BT1183=1,0,ROUNDUP(AV1183/BS1183,0))</f>
        <v>1</v>
      </c>
      <c r="AX1183" s="59" t="n">
        <f aca="false">IF(CH1183&gt;0,CH1183*MAX(1,AV1183/X1183),IF(BT1183=1,IF(AV1183&lt;=0,0,BW1183*MAX(1,IF(H1183&gt;0,AV1183/H1183,1))),IF(R1183&gt;0,AW1183/R1183,0))/MAX(0.1,N(Parameter!$M$21)))</f>
        <v>0.0384615384615385</v>
      </c>
      <c r="AY1183" s="57" t="n">
        <f aca="false">AV1183*G1183</f>
        <v>5455.8</v>
      </c>
      <c r="AZ1183" s="57" t="n">
        <f aca="false">ROUNDUP(MAX(J1183/IF(BZ1183&gt;0,BZ1183,MAX(0.1,N(Cockpit!$O$6))),CC1183)/BS1183,0)*BS1183</f>
        <v>30</v>
      </c>
      <c r="BA1183" s="58" t="n">
        <f aca="false">IF(AX1183&gt;0,J1183/AX1183,-1)</f>
        <v>520</v>
      </c>
      <c r="BB1183" s="58" t="n">
        <f aca="false">IF(AND(OR(BY1183="L1",BY1183="L23"),AX1183&gt;0),SUMIFS($AX$7:$AX$1843,$BY$7:$BY$1843,BY1183,$BA$7:$BA$1843,"&gt;"&amp;BA1183)+SUMIFS($AX$7:$AX$1843,$BY$7:$BY$1843,BY1183,$BA$7:$BA$1843,BA1183,$BQ$7:$BQ$1843,"&lt;="&amp;BQ1183),"")</f>
        <v>30.3001081044559</v>
      </c>
      <c r="BC1183" s="65" t="n">
        <f aca="false">IF(BB1183="",0,MAX(0,MIN(1,(IF(BY1183="L1",Parameter!$E$5,Parameter!$E$6+Parameter!$E$7)-(BB1183-AX1183))/AX1183)))</f>
        <v>1</v>
      </c>
      <c r="BD1183" s="55" t="str">
        <f aca="false">IF(AH1183&lt;=0,"",IF(BY1183="Aussen","Aussenlager",IF(BY1183="-","Nicht im Lift",IF(AM1183&gt;=1,"Lift",IF(AM1183&lt;=0,"Aussenlager","teilweise")))))</f>
        <v>Lift</v>
      </c>
      <c r="BE1183" s="55" t="str">
        <f aca="false">IF(AP1183&lt;=0,"",IF(BY1183="Aussen","Aussenlager",IF(BY1183="-","Nicht im Lift",IF(AU1183&gt;=1,"Lift",IF(AU1183&lt;=0,"Aussenlager","teilweise")))))</f>
        <v>Lift</v>
      </c>
      <c r="BF1183" s="55" t="str">
        <f aca="false">IF(AX1183&lt;=0,"",IF(BY1183="Aussen","Aussenlager",IF(BY1183="-","Nicht im Lift",IF(BC1183&gt;=1,"Lift",IF(BC1183&lt;=0,"Aussenlager","teilweise")))))</f>
        <v>Lift</v>
      </c>
      <c r="BG1183" s="55" t="str">
        <f aca="false">IF(A1183="","",IF(BP1183=1,"Neu; ","")&amp;IF(AND(BP1183=0,BK1183&lt;0),"negativer Bestand (Export "&amp;BK1183&amp;"); ","")&amp;IF(J1183&lt;=0,"Kein Verbrauch; ","")&amp;IF(CH1183&gt;0,"Lift "&amp;W1183&amp;" lt. Liftbericht (Fach "&amp;X1183&amp;" Stk); ",IF(BU1183=1,"Gebinde geschätzt ("&amp;T1183&amp;"); ",IF(BT1183=1,"Lose – Tablare geschätzt; ","")))&amp;IF(H1183&gt;AR1183,"Überbestand "&amp;ROUND(H1183-AR1183,0)&amp;" Stk / CHF "&amp;ROUND((H1183-AR1183)*G1183,0)&amp;"; ","")&amp;IF(AND(CA1183=1,CB1183&lt;CC1183),"MAX &lt; MB+LG; ","")&amp;IF(AND(CG1183&gt;0,CF1183*10&gt;CG1183),"zu hoch für Tablar; ","")&amp;IF(AND(BP1183=0,OR(CA1183=1,AA1183&lt;&gt;"",U1183&lt;&gt;"",V1183&lt;&gt;"",AB1183&lt;&gt;"")),"manuell übersteuert; ","")&amp;IF(AND(BT1183=0,R1183=0),"Gebinde unbekannt / Stellmass fehlt; ","")&amp;IF(AND(BT1183=0,N(V1183)&lt;=0,N(Q1183)&lt;=0),"Menge pro Gebinde fehlt (Ist = 1 Gebinde); ","")&amp;BO1183)</f>
        <v>negativer Bestand (Export -2); </v>
      </c>
      <c r="BH1183" s="55"/>
      <c r="BI1183" s="55"/>
      <c r="BJ1183" s="62"/>
      <c r="BK1183" s="57" t="n">
        <v>-2</v>
      </c>
      <c r="BL1183" s="57" t="n">
        <v>10</v>
      </c>
      <c r="BM1183" s="56" t="n">
        <v>-385.72</v>
      </c>
      <c r="BN1183" s="57" t="n">
        <v>20</v>
      </c>
      <c r="BO1183" s="55"/>
      <c r="BP1183" s="60" t="n">
        <v>0</v>
      </c>
      <c r="BQ1183" s="60" t="n">
        <v>1183</v>
      </c>
      <c r="BR1183" s="55" t="str">
        <f aca="false">IF(U1183&lt;&gt;"",UPPER(TRIM(U1183)),IF(BU1183=1,UPPER(VLOOKUP(T1183,Parameter!$I$27:$K$29,2,0)),IF(P1183="","LOSE",P1183)))</f>
        <v>S52</v>
      </c>
      <c r="BS1183" s="57" t="n">
        <f aca="false">IF(BR1183="LOSE",1,IF(N(V1183)&gt;0,V1183,IF(BU1183=1,MAX(1,N(VLOOKUP(T1183,Parameter!$I$27:$K$29,3,0)),H1183,N(N1183)),IF(N(Q1183)&gt;0,Q1183,MAX(1,H1183)))))</f>
        <v>30</v>
      </c>
      <c r="BT1183" s="60" t="n">
        <f aca="false">IF(BR1183="LOSE",1,0)</f>
        <v>0</v>
      </c>
      <c r="BU1183" s="60" t="n">
        <f aca="false">IF(AND(U1183="",OR(P1183="",P1183="LOSE"),T1183&lt;&gt;"",N(S1183)&lt;=0,ISNUMBER(MATCH(T1183,Parameter!$I$27:$I$29,0))),1,0)</f>
        <v>0</v>
      </c>
      <c r="BV1183" s="55" t="str">
        <f aca="false">IF(AND(Parameter!$B$19="Ja",E1183&lt;&gt;"",ISNUMBER(MATCH(E1183,Parameter!$I$35:$I$52,0))),VLOOKUP(E1183,Parameter!$I$35:$J$52,2,0),IFERROR(VLOOKUP(D1183,Parameter!$A$35:$C$64,2,0),"Nein"))</f>
        <v>2+3</v>
      </c>
      <c r="BW1183" s="59" t="n">
        <f aca="false">IF(BT1183=0,0,IF(N(S1183)&gt;0,S1183,IFERROR(VLOOKUP(D1183,Parameter!$A$35:$C$64,3,0)+0,0)))</f>
        <v>0</v>
      </c>
      <c r="BX1183" s="55" t="n">
        <f aca="false">IF(AA1183&lt;&gt;"",AA1183,Z1183)</f>
        <v>3</v>
      </c>
      <c r="BY1183" s="55" t="str">
        <f aca="false">IF(BX1183=1,"L1",IF(OR(BX1183=2,BX1183=3),"L23",IF(BX1183="Aussen","Aussen","-")))</f>
        <v>L23</v>
      </c>
      <c r="BZ1183" s="66" t="n">
        <f aca="false">IF(N(AB1183)&gt;0,AB1183,0)</f>
        <v>0</v>
      </c>
      <c r="CA1183" s="60" t="n">
        <f aca="false">IF(ISNUMBER(AE1183),1,0)</f>
        <v>0</v>
      </c>
      <c r="CB1183" s="57" t="n">
        <f aca="false">N(AE1183)</f>
        <v>0</v>
      </c>
      <c r="CC1183" s="57" t="n">
        <f aca="false">N(M1183)+N(N1183)</f>
        <v>16</v>
      </c>
      <c r="CD1183" s="57" t="n">
        <f aca="false">ROUNDUP(H1183/BS1183,0)</f>
        <v>1</v>
      </c>
      <c r="CE1183" s="57" t="n">
        <f aca="false">ROUNDUP(CB1183/BS1183,0)</f>
        <v>0</v>
      </c>
      <c r="CF1183" s="60" t="n">
        <f aca="false">IF(BT1183=1,0,IFERROR(VLOOKUP(BR1183,'Gebinde-Kategorie'!$A$5:$M$45,5,0)+0,0))</f>
        <v>21</v>
      </c>
      <c r="CG1183" s="60" t="n">
        <f aca="false">IFERROR(IF(OR(BX1183=1,BX1183=2,BX1183=3),N(INDEX(Parameter!$I$5:$I$7,BX1183)),0),0)</f>
        <v>0</v>
      </c>
      <c r="CH1183" s="59" t="n">
        <f aca="false">IF(AND(Parameter!$B$21="Ja",ISNUMBER(W1183),N(X1183)&gt;0),IFERROR(N(INDEX(Parameter!$L$5:$L$7,W1183))*INDEX(Parameter!$E$5:$E$7,W1183)*X1183/SUMIFS($X$7:$X$1843,$W$7:$W$1843,W1183),0),0)</f>
        <v>0</v>
      </c>
    </row>
    <row r="1184" customFormat="false" ht="15" hidden="false" customHeight="false" outlineLevel="0" collapsed="false">
      <c r="A1184" s="55" t="s">
        <v>2130</v>
      </c>
      <c r="B1184" s="55" t="s">
        <v>2131</v>
      </c>
      <c r="C1184" s="55" t="s">
        <v>456</v>
      </c>
      <c r="D1184" s="55" t="s">
        <v>184</v>
      </c>
      <c r="E1184" s="55"/>
      <c r="F1184" s="55" t="s">
        <v>218</v>
      </c>
      <c r="G1184" s="56" t="n">
        <v>38.88</v>
      </c>
      <c r="H1184" s="57" t="n">
        <f aca="false">MAX(0,IF(AND(Parameter!$B$21="Ja",ISNUMBER(Y1184)),Y1184,IF(Parameter!$B$20="Jahresanfang 2025 + Export",BL1184+BK1184,BK1184)))</f>
        <v>0</v>
      </c>
      <c r="I1184" s="57" t="n">
        <f aca="false">H1184*G1184</f>
        <v>0</v>
      </c>
      <c r="J1184" s="57" t="n">
        <f aca="false">BN1184*Parameter!$B$18</f>
        <v>10</v>
      </c>
      <c r="K1184" s="58" t="n">
        <v>5</v>
      </c>
      <c r="L1184" s="59" t="n">
        <v>2</v>
      </c>
      <c r="M1184" s="57" t="n">
        <v>0</v>
      </c>
      <c r="N1184" s="57" t="n">
        <v>10</v>
      </c>
      <c r="O1184" s="60" t="n">
        <v>14</v>
      </c>
      <c r="P1184" s="55" t="s">
        <v>168</v>
      </c>
      <c r="Q1184" s="57"/>
      <c r="R1184" s="60" t="n">
        <f aca="false">IF(BT1184=1,0,IFERROR(VLOOKUP(BR1184,'Gebinde-Kategorie'!$A$5:$M$45,13,0)+0,0))</f>
        <v>26</v>
      </c>
      <c r="S1184" s="61"/>
      <c r="T1184" s="62" t="s">
        <v>275</v>
      </c>
      <c r="U1184" s="62"/>
      <c r="V1184" s="62"/>
      <c r="W1184" s="55"/>
      <c r="X1184" s="57"/>
      <c r="Y1184" s="57"/>
      <c r="Z1184" s="55" t="n">
        <f aca="false">IF(A1184="","",IF(AND(Parameter!$B$21="Ja",ISNUMBER(W1184)),W1184,IF(BV1184="2+3",IF(ISNUMBER(SEARCH("grosser Artikel",BO1184)),2,IFERROR(VLOOKUP(BR1184,Parameter!$F$35:$G$64,2,0),2)),IF(OR(BV1184="Nein",BV1184=""),"-",BV1184))))</f>
        <v>3</v>
      </c>
      <c r="AA1184" s="62"/>
      <c r="AB1184" s="63"/>
      <c r="AC1184" s="57" t="n">
        <f aca="false">AR1184</f>
        <v>20</v>
      </c>
      <c r="AD1184" s="57" t="n">
        <f aca="false">MAX(AR1184,H1184)</f>
        <v>20</v>
      </c>
      <c r="AE1184" s="64"/>
      <c r="AF1184" s="57" t="n">
        <f aca="false">IF(LEFT(Cockpit!$C$5,1)="A",H1184,IF(CA1184=1,CB1184,IF(LEFT(Cockpit!$C$5,1)="B",AJ1184,MAX(AJ1184,H1184))))</f>
        <v>0</v>
      </c>
      <c r="AG1184" s="57" t="n">
        <f aca="false">IF(BT1184=1,0,ROUNDUP(AF1184/BS1184,0))</f>
        <v>0</v>
      </c>
      <c r="AH1184" s="59" t="n">
        <f aca="false">IF(CH1184&gt;0,CH1184*MAX(1,AF1184/X1184),IF(BT1184=1,IF(AF1184&lt;=0,0,BW1184*MAX(1,IF(H1184&gt;0,AF1184/H1184,1))),IF(R1184&gt;0,AG1184/R1184,0))/MAX(0.1,N(Parameter!$M$21)))</f>
        <v>0</v>
      </c>
      <c r="AI1184" s="57" t="n">
        <f aca="false">AF1184*G1184</f>
        <v>0</v>
      </c>
      <c r="AJ1184" s="57" t="n">
        <f aca="false">ROUNDUP(MAX(J1184/IF(BZ1184&gt;0,BZ1184,MAX(0.1,N(Cockpit!$C$6))),CC1184)/BS1184,0)*BS1184</f>
        <v>20</v>
      </c>
      <c r="AK1184" s="58" t="n">
        <f aca="false">IF(AH1184&gt;0,J1184/AH1184,-1)</f>
        <v>-1</v>
      </c>
      <c r="AL1184" s="58" t="str">
        <f aca="false">IF(AND(OR(BY1184="L1",BY1184="L23"),AH1184&gt;0),SUMIFS($AH$7:$AH$1843,$BY$7:$BY$1843,BY1184,$AK$7:$AK$1843,"&gt;"&amp;AK1184)+SUMIFS($AH$7:$AH$1843,$BY$7:$BY$1843,BY1184,$AK$7:$AK$1843,AK1184,$BQ$7:$BQ$1843,"&lt;="&amp;BQ1184),"")</f>
        <v/>
      </c>
      <c r="AM1184" s="65" t="n">
        <f aca="false">IF(AL1184="",0,MAX(0,MIN(1,(IF(BY1184="L1",Parameter!$E$5,Parameter!$E$6+Parameter!$E$7)-(AL1184-AH1184))/AH1184)))</f>
        <v>0</v>
      </c>
      <c r="AN1184" s="57" t="n">
        <f aca="false">IF(LEFT(Cockpit!$I$5,1)="A",H1184,IF(CA1184=1,CB1184,IF(LEFT(Cockpit!$I$5,1)="B",AR1184,MAX(AR1184,H1184))))</f>
        <v>20</v>
      </c>
      <c r="AO1184" s="57" t="n">
        <f aca="false">IF(BT1184=1,0,ROUNDUP(AN1184/BS1184,0))</f>
        <v>1</v>
      </c>
      <c r="AP1184" s="59" t="n">
        <f aca="false">IF(CH1184&gt;0,CH1184*MAX(1,AN1184/X1184),IF(BT1184=1,IF(AN1184&lt;=0,0,BW1184*MAX(1,IF(H1184&gt;0,AN1184/H1184,1))),IF(R1184&gt;0,AO1184/R1184,0))/MAX(0.1,N(Parameter!$M$21)))</f>
        <v>0.0384615384615385</v>
      </c>
      <c r="AQ1184" s="57" t="n">
        <f aca="false">AN1184*G1184</f>
        <v>777.6</v>
      </c>
      <c r="AR1184" s="57" t="n">
        <f aca="false">ROUNDUP(MAX(J1184/IF(BZ1184&gt;0,BZ1184,MAX(0.1,N(Cockpit!$I$6))),CC1184)/BS1184,0)*BS1184</f>
        <v>20</v>
      </c>
      <c r="AS1184" s="58" t="n">
        <f aca="false">IF(AP1184&gt;0,J1184/AP1184,-1)</f>
        <v>260</v>
      </c>
      <c r="AT1184" s="58" t="n">
        <f aca="false">IF(AND(OR(BY1184="L1",BY1184="L23"),AP1184&gt;0),SUMIFS($AP$7:$AP$1843,$BY$7:$BY$1843,BY1184,$AS$7:$AS$1843,"&gt;"&amp;AS1184)+SUMIFS($AP$7:$AP$1843,$BY$7:$BY$1843,BY1184,$AS$7:$AS$1843,AS1184,$BQ$7:$BQ$1843,"&lt;="&amp;BQ1184),"")</f>
        <v>42.6351727982163</v>
      </c>
      <c r="AU1184" s="65" t="n">
        <f aca="false">IF(AT1184="",0,MAX(0,MIN(1,(IF(BY1184="L1",Parameter!$E$5,Parameter!$E$6+Parameter!$E$7)-(AT1184-AP1184))/AP1184)))</f>
        <v>1</v>
      </c>
      <c r="AV1184" s="57" t="n">
        <f aca="false">IF(LEFT(Cockpit!$O$5,1)="A",H1184,IF(CA1184=1,CB1184,IF(LEFT(Cockpit!$O$5,1)="B",AZ1184,MAX(AZ1184,H1184))))</f>
        <v>20</v>
      </c>
      <c r="AW1184" s="57" t="n">
        <f aca="false">IF(BT1184=1,0,ROUNDUP(AV1184/BS1184,0))</f>
        <v>1</v>
      </c>
      <c r="AX1184" s="59" t="n">
        <f aca="false">IF(CH1184&gt;0,CH1184*MAX(1,AV1184/X1184),IF(BT1184=1,IF(AV1184&lt;=0,0,BW1184*MAX(1,IF(H1184&gt;0,AV1184/H1184,1))),IF(R1184&gt;0,AW1184/R1184,0))/MAX(0.1,N(Parameter!$M$21)))</f>
        <v>0.0384615384615385</v>
      </c>
      <c r="AY1184" s="57" t="n">
        <f aca="false">AV1184*G1184</f>
        <v>777.6</v>
      </c>
      <c r="AZ1184" s="57" t="n">
        <f aca="false">ROUNDUP(MAX(J1184/IF(BZ1184&gt;0,BZ1184,MAX(0.1,N(Cockpit!$O$6))),CC1184)/BS1184,0)*BS1184</f>
        <v>20</v>
      </c>
      <c r="BA1184" s="58" t="n">
        <f aca="false">IF(AX1184&gt;0,J1184/AX1184,-1)</f>
        <v>260</v>
      </c>
      <c r="BB1184" s="58" t="n">
        <f aca="false">IF(AND(OR(BY1184="L1",BY1184="L23"),AX1184&gt;0),SUMIFS($AX$7:$AX$1843,$BY$7:$BY$1843,BY1184,$BA$7:$BA$1843,"&gt;"&amp;BA1184)+SUMIFS($AX$7:$AX$1843,$BY$7:$BY$1843,BY1184,$BA$7:$BA$1843,BA1184,$BQ$7:$BQ$1843,"&lt;="&amp;BQ1184),"")</f>
        <v>38.9650096280531</v>
      </c>
      <c r="BC1184" s="65" t="n">
        <f aca="false">IF(BB1184="",0,MAX(0,MIN(1,(IF(BY1184="L1",Parameter!$E$5,Parameter!$E$6+Parameter!$E$7)-(BB1184-AX1184))/AX1184)))</f>
        <v>1</v>
      </c>
      <c r="BD1184" s="55" t="str">
        <f aca="false">IF(AH1184&lt;=0,"",IF(BY1184="Aussen","Aussenlager",IF(BY1184="-","Nicht im Lift",IF(AM1184&gt;=1,"Lift",IF(AM1184&lt;=0,"Aussenlager","teilweise")))))</f>
        <v/>
      </c>
      <c r="BE1184" s="55" t="str">
        <f aca="false">IF(AP1184&lt;=0,"",IF(BY1184="Aussen","Aussenlager",IF(BY1184="-","Nicht im Lift",IF(AU1184&gt;=1,"Lift",IF(AU1184&lt;=0,"Aussenlager","teilweise")))))</f>
        <v>Lift</v>
      </c>
      <c r="BF1184" s="55" t="str">
        <f aca="false">IF(AX1184&lt;=0,"",IF(BY1184="Aussen","Aussenlager",IF(BY1184="-","Nicht im Lift",IF(BC1184&gt;=1,"Lift",IF(BC1184&lt;=0,"Aussenlager","teilweise")))))</f>
        <v>Lift</v>
      </c>
      <c r="BG1184" s="55" t="str">
        <f aca="false">IF(A1184="","",IF(BP1184=1,"Neu; ","")&amp;IF(AND(BP1184=0,BK1184&lt;0),"negativer Bestand (Export "&amp;BK1184&amp;"); ","")&amp;IF(J1184&lt;=0,"Kein Verbrauch; ","")&amp;IF(CH1184&gt;0,"Lift "&amp;W1184&amp;" lt. Liftbericht (Fach "&amp;X1184&amp;" Stk); ",IF(BU1184=1,"Gebinde geschätzt ("&amp;T1184&amp;"); ",IF(BT1184=1,"Lose – Tablare geschätzt; ","")))&amp;IF(H1184&gt;AR1184,"Überbestand "&amp;ROUND(H1184-AR1184,0)&amp;" Stk / CHF "&amp;ROUND((H1184-AR1184)*G1184,0)&amp;"; ","")&amp;IF(AND(CA1184=1,CB1184&lt;CC1184),"MAX &lt; MB+LG; ","")&amp;IF(AND(CG1184&gt;0,CF1184*10&gt;CG1184),"zu hoch für Tablar; ","")&amp;IF(AND(BP1184=0,OR(CA1184=1,AA1184&lt;&gt;"",U1184&lt;&gt;"",V1184&lt;&gt;"",AB1184&lt;&gt;"")),"manuell übersteuert; ","")&amp;IF(AND(BT1184=0,R1184=0),"Gebinde unbekannt / Stellmass fehlt; ","")&amp;IF(AND(BT1184=0,N(V1184)&lt;=0,N(Q1184)&lt;=0),"Menge pro Gebinde fehlt (Ist = 1 Gebinde); ","")&amp;BO1184)</f>
        <v>negativer Bestand (Export -10); Gebinde geschätzt (Klein); Menge pro Gebinde fehlt (Ist = 1 Gebinde); </v>
      </c>
      <c r="BH1184" s="55"/>
      <c r="BI1184" s="55"/>
      <c r="BJ1184" s="62"/>
      <c r="BK1184" s="57" t="n">
        <v>-10</v>
      </c>
      <c r="BL1184" s="57" t="n">
        <v>10</v>
      </c>
      <c r="BM1184" s="56" t="n">
        <v>-388.8</v>
      </c>
      <c r="BN1184" s="57" t="n">
        <v>10</v>
      </c>
      <c r="BO1184" s="55"/>
      <c r="BP1184" s="60" t="n">
        <v>0</v>
      </c>
      <c r="BQ1184" s="60" t="n">
        <v>1184</v>
      </c>
      <c r="BR1184" s="55" t="str">
        <f aca="false">IF(U1184&lt;&gt;"",UPPER(TRIM(U1184)),IF(BU1184=1,UPPER(VLOOKUP(T1184,Parameter!$I$27:$K$29,2,0)),IF(P1184="","LOSE",P1184)))</f>
        <v>S51</v>
      </c>
      <c r="BS1184" s="57" t="n">
        <f aca="false">IF(BR1184="LOSE",1,IF(N(V1184)&gt;0,V1184,IF(BU1184=1,MAX(1,N(VLOOKUP(T1184,Parameter!$I$27:$K$29,3,0)),H1184,N(N1184)),IF(N(Q1184)&gt;0,Q1184,MAX(1,H1184)))))</f>
        <v>20</v>
      </c>
      <c r="BT1184" s="60" t="n">
        <f aca="false">IF(BR1184="LOSE",1,0)</f>
        <v>0</v>
      </c>
      <c r="BU1184" s="60" t="n">
        <f aca="false">IF(AND(U1184="",OR(P1184="",P1184="LOSE"),T1184&lt;&gt;"",N(S1184)&lt;=0,ISNUMBER(MATCH(T1184,Parameter!$I$27:$I$29,0))),1,0)</f>
        <v>1</v>
      </c>
      <c r="BV1184" s="55" t="str">
        <f aca="false">IF(AND(Parameter!$B$19="Ja",E1184&lt;&gt;"",ISNUMBER(MATCH(E1184,Parameter!$I$35:$I$52,0))),VLOOKUP(E1184,Parameter!$I$35:$J$52,2,0),IFERROR(VLOOKUP(D1184,Parameter!$A$35:$C$64,2,0),"Nein"))</f>
        <v>2+3</v>
      </c>
      <c r="BW1184" s="59" t="n">
        <f aca="false">IF(BT1184=0,0,IF(N(S1184)&gt;0,S1184,IFERROR(VLOOKUP(D1184,Parameter!$A$35:$C$64,3,0)+0,0)))</f>
        <v>0</v>
      </c>
      <c r="BX1184" s="55" t="n">
        <f aca="false">IF(AA1184&lt;&gt;"",AA1184,Z1184)</f>
        <v>3</v>
      </c>
      <c r="BY1184" s="55" t="str">
        <f aca="false">IF(BX1184=1,"L1",IF(OR(BX1184=2,BX1184=3),"L23",IF(BX1184="Aussen","Aussen","-")))</f>
        <v>L23</v>
      </c>
      <c r="BZ1184" s="66" t="n">
        <f aca="false">IF(N(AB1184)&gt;0,AB1184,0)</f>
        <v>0</v>
      </c>
      <c r="CA1184" s="60" t="n">
        <f aca="false">IF(ISNUMBER(AE1184),1,0)</f>
        <v>0</v>
      </c>
      <c r="CB1184" s="57" t="n">
        <f aca="false">N(AE1184)</f>
        <v>0</v>
      </c>
      <c r="CC1184" s="57" t="n">
        <f aca="false">N(M1184)+N(N1184)</f>
        <v>10</v>
      </c>
      <c r="CD1184" s="57" t="n">
        <f aca="false">ROUNDUP(H1184/BS1184,0)</f>
        <v>0</v>
      </c>
      <c r="CE1184" s="57" t="n">
        <f aca="false">ROUNDUP(CB1184/BS1184,0)</f>
        <v>0</v>
      </c>
      <c r="CF1184" s="60" t="n">
        <f aca="false">IF(BT1184=1,0,IFERROR(VLOOKUP(BR1184,'Gebinde-Kategorie'!$A$5:$M$45,5,0)+0,0))</f>
        <v>11</v>
      </c>
      <c r="CG1184" s="60" t="n">
        <f aca="false">IFERROR(IF(OR(BX1184=1,BX1184=2,BX1184=3),N(INDEX(Parameter!$I$5:$I$7,BX1184)),0),0)</f>
        <v>0</v>
      </c>
      <c r="CH1184" s="59" t="n">
        <f aca="false">IF(AND(Parameter!$B$21="Ja",ISNUMBER(W1184),N(X1184)&gt;0),IFERROR(N(INDEX(Parameter!$L$5:$L$7,W1184))*INDEX(Parameter!$E$5:$E$7,W1184)*X1184/SUMIFS($X$7:$X$1843,$W$7:$W$1843,W1184),0),0)</f>
        <v>0</v>
      </c>
    </row>
    <row r="1185" customFormat="false" ht="15" hidden="false" customHeight="false" outlineLevel="0" collapsed="false">
      <c r="A1185" s="55" t="s">
        <v>2132</v>
      </c>
      <c r="B1185" s="55" t="s">
        <v>2133</v>
      </c>
      <c r="C1185" s="55" t="s">
        <v>164</v>
      </c>
      <c r="D1185" s="55" t="s">
        <v>173</v>
      </c>
      <c r="E1185" s="55"/>
      <c r="F1185" s="55" t="s">
        <v>218</v>
      </c>
      <c r="G1185" s="56" t="n">
        <v>393.01</v>
      </c>
      <c r="H1185" s="57" t="n">
        <f aca="false">MAX(0,IF(AND(Parameter!$B$21="Ja",ISNUMBER(Y1185)),Y1185,IF(Parameter!$B$20="Jahresanfang 2025 + Export",BL1185+BK1185,BK1185)))</f>
        <v>8</v>
      </c>
      <c r="I1185" s="57" t="n">
        <f aca="false">H1185*G1185</f>
        <v>3144.08</v>
      </c>
      <c r="J1185" s="57" t="n">
        <f aca="false">BN1185*Parameter!$B$18</f>
        <v>1</v>
      </c>
      <c r="K1185" s="58" t="n">
        <v>8.5</v>
      </c>
      <c r="L1185" s="59" t="n">
        <v>0.117647058823529</v>
      </c>
      <c r="M1185" s="57" t="n">
        <v>0</v>
      </c>
      <c r="N1185" s="57" t="n">
        <v>1</v>
      </c>
      <c r="O1185" s="60" t="n">
        <v>35</v>
      </c>
      <c r="P1185" s="55" t="s">
        <v>174</v>
      </c>
      <c r="Q1185" s="57" t="n">
        <v>10</v>
      </c>
      <c r="R1185" s="60" t="n">
        <f aca="false">IF(BT1185=1,0,IFERROR(VLOOKUP(BR1185,'Gebinde-Kategorie'!$A$5:$M$45,13,0)+0,0))</f>
        <v>6</v>
      </c>
      <c r="S1185" s="61"/>
      <c r="T1185" s="62"/>
      <c r="U1185" s="62"/>
      <c r="V1185" s="62"/>
      <c r="W1185" s="55"/>
      <c r="X1185" s="57"/>
      <c r="Y1185" s="57"/>
      <c r="Z1185" s="55" t="n">
        <f aca="false">IF(A1185="","",IF(AND(Parameter!$B$21="Ja",ISNUMBER(W1185)),W1185,IF(BV1185="2+3",IF(ISNUMBER(SEARCH("grosser Artikel",BO1185)),2,IFERROR(VLOOKUP(BR1185,Parameter!$F$35:$G$64,2,0),2)),IF(OR(BV1185="Nein",BV1185=""),"-",BV1185))))</f>
        <v>2</v>
      </c>
      <c r="AA1185" s="62"/>
      <c r="AB1185" s="63"/>
      <c r="AC1185" s="57" t="n">
        <f aca="false">AR1185</f>
        <v>10</v>
      </c>
      <c r="AD1185" s="57" t="n">
        <f aca="false">MAX(AR1185,H1185)</f>
        <v>10</v>
      </c>
      <c r="AE1185" s="64"/>
      <c r="AF1185" s="57" t="n">
        <f aca="false">IF(LEFT(Cockpit!$C$5,1)="A",H1185,IF(CA1185=1,CB1185,IF(LEFT(Cockpit!$C$5,1)="B",AJ1185,MAX(AJ1185,H1185))))</f>
        <v>8</v>
      </c>
      <c r="AG1185" s="57" t="n">
        <f aca="false">IF(BT1185=1,0,ROUNDUP(AF1185/BS1185,0))</f>
        <v>1</v>
      </c>
      <c r="AH1185" s="59" t="n">
        <f aca="false">IF(CH1185&gt;0,CH1185*MAX(1,AF1185/X1185),IF(BT1185=1,IF(AF1185&lt;=0,0,BW1185*MAX(1,IF(H1185&gt;0,AF1185/H1185,1))),IF(R1185&gt;0,AG1185/R1185,0))/MAX(0.1,N(Parameter!$M$21)))</f>
        <v>0.166666666666667</v>
      </c>
      <c r="AI1185" s="57" t="n">
        <f aca="false">AF1185*G1185</f>
        <v>3144.08</v>
      </c>
      <c r="AJ1185" s="57" t="n">
        <f aca="false">ROUNDUP(MAX(J1185/IF(BZ1185&gt;0,BZ1185,MAX(0.1,N(Cockpit!$C$6))),CC1185)/BS1185,0)*BS1185</f>
        <v>10</v>
      </c>
      <c r="AK1185" s="58" t="n">
        <f aca="false">IF(AH1185&gt;0,J1185/AH1185,-1)</f>
        <v>6</v>
      </c>
      <c r="AL1185" s="58" t="n">
        <f aca="false">IF(AND(OR(BY1185="L1",BY1185="L23"),AH1185&gt;0),SUMIFS($AH$7:$AH$1843,$BY$7:$BY$1843,BY1185,$AK$7:$AK$1843,"&gt;"&amp;AK1185)+SUMIFS($AH$7:$AH$1843,$BY$7:$BY$1843,BY1185,$AK$7:$AK$1843,AK1185,$BQ$7:$BQ$1843,"&lt;="&amp;BQ1185),"")</f>
        <v>57.3125401168879</v>
      </c>
      <c r="AM1185" s="65" t="n">
        <f aca="false">IF(AL1185="",0,MAX(0,MIN(1,(IF(BY1185="L1",Parameter!$E$5,Parameter!$E$6+Parameter!$E$7)-(AL1185-AH1185))/AH1185)))</f>
        <v>1</v>
      </c>
      <c r="AN1185" s="57" t="n">
        <f aca="false">IF(LEFT(Cockpit!$I$5,1)="A",H1185,IF(CA1185=1,CB1185,IF(LEFT(Cockpit!$I$5,1)="B",AR1185,MAX(AR1185,H1185))))</f>
        <v>10</v>
      </c>
      <c r="AO1185" s="57" t="n">
        <f aca="false">IF(BT1185=1,0,ROUNDUP(AN1185/BS1185,0))</f>
        <v>1</v>
      </c>
      <c r="AP1185" s="59" t="n">
        <f aca="false">IF(CH1185&gt;0,CH1185*MAX(1,AN1185/X1185),IF(BT1185=1,IF(AN1185&lt;=0,0,BW1185*MAX(1,IF(H1185&gt;0,AN1185/H1185,1))),IF(R1185&gt;0,AO1185/R1185,0))/MAX(0.1,N(Parameter!$M$21)))</f>
        <v>0.166666666666667</v>
      </c>
      <c r="AQ1185" s="57" t="n">
        <f aca="false">AN1185*G1185</f>
        <v>3930.1</v>
      </c>
      <c r="AR1185" s="57" t="n">
        <f aca="false">ROUNDUP(MAX(J1185/IF(BZ1185&gt;0,BZ1185,MAX(0.1,N(Cockpit!$I$6))),CC1185)/BS1185,0)*BS1185</f>
        <v>10</v>
      </c>
      <c r="AS1185" s="58" t="n">
        <f aca="false">IF(AP1185&gt;0,J1185/AP1185,-1)</f>
        <v>6</v>
      </c>
      <c r="AT1185" s="58" t="n">
        <f aca="false">IF(AND(OR(BY1185="L1",BY1185="L23"),AP1185&gt;0),SUMIFS($AP$7:$AP$1843,$BY$7:$BY$1843,BY1185,$AS$7:$AS$1843,"&gt;"&amp;AS1185)+SUMIFS($AP$7:$AP$1843,$BY$7:$BY$1843,BY1185,$AS$7:$AS$1843,AS1185,$BQ$7:$BQ$1843,"&lt;="&amp;BQ1185),"")</f>
        <v>94.7366643018817</v>
      </c>
      <c r="AU1185" s="65" t="n">
        <f aca="false">IF(AT1185="",0,MAX(0,MIN(1,(IF(BY1185="L1",Parameter!$E$5,Parameter!$E$6+Parameter!$E$7)-(AT1185-AP1185))/AP1185)))</f>
        <v>1</v>
      </c>
      <c r="AV1185" s="57" t="n">
        <f aca="false">IF(LEFT(Cockpit!$O$5,1)="A",H1185,IF(CA1185=1,CB1185,IF(LEFT(Cockpit!$O$5,1)="B",AZ1185,MAX(AZ1185,H1185))))</f>
        <v>10</v>
      </c>
      <c r="AW1185" s="57" t="n">
        <f aca="false">IF(BT1185=1,0,ROUNDUP(AV1185/BS1185,0))</f>
        <v>1</v>
      </c>
      <c r="AX1185" s="59" t="n">
        <f aca="false">IF(CH1185&gt;0,CH1185*MAX(1,AV1185/X1185),IF(BT1185=1,IF(AV1185&lt;=0,0,BW1185*MAX(1,IF(H1185&gt;0,AV1185/H1185,1))),IF(R1185&gt;0,AW1185/R1185,0))/MAX(0.1,N(Parameter!$M$21)))</f>
        <v>0.166666666666667</v>
      </c>
      <c r="AY1185" s="57" t="n">
        <f aca="false">AV1185*G1185</f>
        <v>3930.1</v>
      </c>
      <c r="AZ1185" s="57" t="n">
        <f aca="false">ROUNDUP(MAX(J1185/IF(BZ1185&gt;0,BZ1185,MAX(0.1,N(Cockpit!$O$6))),CC1185)/BS1185,0)*BS1185</f>
        <v>10</v>
      </c>
      <c r="BA1185" s="58" t="n">
        <f aca="false">IF(AX1185&gt;0,J1185/AX1185,-1)</f>
        <v>6</v>
      </c>
      <c r="BB1185" s="58" t="n">
        <f aca="false">IF(AND(OR(BY1185="L1",BY1185="L23"),AX1185&gt;0),SUMIFS($AX$7:$AX$1843,$BY$7:$BY$1843,BY1185,$BA$7:$BA$1843,"&gt;"&amp;BA1185)+SUMIFS($AX$7:$AX$1843,$BY$7:$BY$1843,BY1185,$BA$7:$BA$1843,BA1185,$BQ$7:$BQ$1843,"&lt;="&amp;BQ1185),"")</f>
        <v>85.5665011317185</v>
      </c>
      <c r="BC1185" s="65" t="n">
        <f aca="false">IF(BB1185="",0,MAX(0,MIN(1,(IF(BY1185="L1",Parameter!$E$5,Parameter!$E$6+Parameter!$E$7)-(BB1185-AX1185))/AX1185)))</f>
        <v>1</v>
      </c>
      <c r="BD1185" s="55" t="str">
        <f aca="false">IF(AH1185&lt;=0,"",IF(BY1185="Aussen","Aussenlager",IF(BY1185="-","Nicht im Lift",IF(AM1185&gt;=1,"Lift",IF(AM1185&lt;=0,"Aussenlager","teilweise")))))</f>
        <v>Lift</v>
      </c>
      <c r="BE1185" s="55" t="str">
        <f aca="false">IF(AP1185&lt;=0,"",IF(BY1185="Aussen","Aussenlager",IF(BY1185="-","Nicht im Lift",IF(AU1185&gt;=1,"Lift",IF(AU1185&lt;=0,"Aussenlager","teilweise")))))</f>
        <v>Lift</v>
      </c>
      <c r="BF1185" s="55" t="str">
        <f aca="false">IF(AX1185&lt;=0,"",IF(BY1185="Aussen","Aussenlager",IF(BY1185="-","Nicht im Lift",IF(BC1185&gt;=1,"Lift",IF(BC1185&lt;=0,"Aussenlager","teilweise")))))</f>
        <v>Lift</v>
      </c>
      <c r="BG1185" s="55" t="str">
        <f aca="false">IF(A1185="","",IF(BP1185=1,"Neu; ","")&amp;IF(AND(BP1185=0,BK1185&lt;0),"negativer Bestand (Export "&amp;BK1185&amp;"); ","")&amp;IF(J1185&lt;=0,"Kein Verbrauch; ","")&amp;IF(CH1185&gt;0,"Lift "&amp;W1185&amp;" lt. Liftbericht (Fach "&amp;X1185&amp;" Stk); ",IF(BU1185=1,"Gebinde geschätzt ("&amp;T1185&amp;"); ",IF(BT1185=1,"Lose – Tablare geschätzt; ","")))&amp;IF(H1185&gt;AR1185,"Überbestand "&amp;ROUND(H1185-AR1185,0)&amp;" Stk / CHF "&amp;ROUND((H1185-AR1185)*G1185,0)&amp;"; ","")&amp;IF(AND(CA1185=1,CB1185&lt;CC1185),"MAX &lt; MB+LG; ","")&amp;IF(AND(CG1185&gt;0,CF1185*10&gt;CG1185),"zu hoch für Tablar; ","")&amp;IF(AND(BP1185=0,OR(CA1185=1,AA1185&lt;&gt;"",U1185&lt;&gt;"",V1185&lt;&gt;"",AB1185&lt;&gt;"")),"manuell übersteuert; ","")&amp;IF(AND(BT1185=0,R1185=0),"Gebinde unbekannt / Stellmass fehlt; ","")&amp;IF(AND(BT1185=0,N(V1185)&lt;=0,N(Q1185)&lt;=0),"Menge pro Gebinde fehlt (Ist = 1 Gebinde); ","")&amp;BO1185)</f>
        <v>negativer Bestand (Export -1); </v>
      </c>
      <c r="BH1185" s="55"/>
      <c r="BI1185" s="55"/>
      <c r="BJ1185" s="62"/>
      <c r="BK1185" s="57" t="n">
        <v>-1</v>
      </c>
      <c r="BL1185" s="57" t="n">
        <v>9</v>
      </c>
      <c r="BM1185" s="56" t="n">
        <v>-393.01</v>
      </c>
      <c r="BN1185" s="57" t="n">
        <v>1</v>
      </c>
      <c r="BO1185" s="55"/>
      <c r="BP1185" s="60" t="n">
        <v>0</v>
      </c>
      <c r="BQ1185" s="60" t="n">
        <v>1185</v>
      </c>
      <c r="BR1185" s="55" t="str">
        <f aca="false">IF(U1185&lt;&gt;"",UPPER(TRIM(U1185)),IF(BU1185=1,UPPER(VLOOKUP(T1185,Parameter!$I$27:$K$29,2,0)),IF(P1185="","LOSE",P1185)))</f>
        <v>S71</v>
      </c>
      <c r="BS1185" s="57" t="n">
        <f aca="false">IF(BR1185="LOSE",1,IF(N(V1185)&gt;0,V1185,IF(BU1185=1,MAX(1,N(VLOOKUP(T1185,Parameter!$I$27:$K$29,3,0)),H1185,N(N1185)),IF(N(Q1185)&gt;0,Q1185,MAX(1,H1185)))))</f>
        <v>10</v>
      </c>
      <c r="BT1185" s="60" t="n">
        <f aca="false">IF(BR1185="LOSE",1,0)</f>
        <v>0</v>
      </c>
      <c r="BU1185" s="60" t="n">
        <f aca="false">IF(AND(U1185="",OR(P1185="",P1185="LOSE"),T1185&lt;&gt;"",N(S1185)&lt;=0,ISNUMBER(MATCH(T1185,Parameter!$I$27:$I$29,0))),1,0)</f>
        <v>0</v>
      </c>
      <c r="BV1185" s="55" t="str">
        <f aca="false">IF(AND(Parameter!$B$19="Ja",E1185&lt;&gt;"",ISNUMBER(MATCH(E1185,Parameter!$I$35:$I$52,0))),VLOOKUP(E1185,Parameter!$I$35:$J$52,2,0),IFERROR(VLOOKUP(D1185,Parameter!$A$35:$C$64,2,0),"Nein"))</f>
        <v>2+3</v>
      </c>
      <c r="BW1185" s="59" t="n">
        <f aca="false">IF(BT1185=0,0,IF(N(S1185)&gt;0,S1185,IFERROR(VLOOKUP(D1185,Parameter!$A$35:$C$64,3,0)+0,0)))</f>
        <v>0</v>
      </c>
      <c r="BX1185" s="55" t="n">
        <f aca="false">IF(AA1185&lt;&gt;"",AA1185,Z1185)</f>
        <v>2</v>
      </c>
      <c r="BY1185" s="55" t="str">
        <f aca="false">IF(BX1185=1,"L1",IF(OR(BX1185=2,BX1185=3),"L23",IF(BX1185="Aussen","Aussen","-")))</f>
        <v>L23</v>
      </c>
      <c r="BZ1185" s="66" t="n">
        <f aca="false">IF(N(AB1185)&gt;0,AB1185,0)</f>
        <v>0</v>
      </c>
      <c r="CA1185" s="60" t="n">
        <f aca="false">IF(ISNUMBER(AE1185),1,0)</f>
        <v>0</v>
      </c>
      <c r="CB1185" s="57" t="n">
        <f aca="false">N(AE1185)</f>
        <v>0</v>
      </c>
      <c r="CC1185" s="57" t="n">
        <f aca="false">N(M1185)+N(N1185)</f>
        <v>1</v>
      </c>
      <c r="CD1185" s="57" t="n">
        <f aca="false">ROUNDUP(H1185/BS1185,0)</f>
        <v>1</v>
      </c>
      <c r="CE1185" s="57" t="n">
        <f aca="false">ROUNDUP(CB1185/BS1185,0)</f>
        <v>0</v>
      </c>
      <c r="CF1185" s="60" t="n">
        <f aca="false">IF(BT1185=1,0,IFERROR(VLOOKUP(BR1185,'Gebinde-Kategorie'!$A$5:$M$45,5,0)+0,0))</f>
        <v>20</v>
      </c>
      <c r="CG1185" s="60" t="n">
        <f aca="false">IFERROR(IF(OR(BX1185=1,BX1185=2,BX1185=3),N(INDEX(Parameter!$I$5:$I$7,BX1185)),0),0)</f>
        <v>0</v>
      </c>
      <c r="CH1185" s="59" t="n">
        <f aca="false">IF(AND(Parameter!$B$21="Ja",ISNUMBER(W1185),N(X1185)&gt;0),IFERROR(N(INDEX(Parameter!$L$5:$L$7,W1185))*INDEX(Parameter!$E$5:$E$7,W1185)*X1185/SUMIFS($X$7:$X$1843,$W$7:$W$1843,W1185),0),0)</f>
        <v>0</v>
      </c>
    </row>
    <row r="1186" customFormat="false" ht="15" hidden="false" customHeight="false" outlineLevel="0" collapsed="false">
      <c r="A1186" s="55" t="s">
        <v>2134</v>
      </c>
      <c r="B1186" s="55" t="s">
        <v>2135</v>
      </c>
      <c r="C1186" s="55" t="s">
        <v>164</v>
      </c>
      <c r="D1186" s="55" t="s">
        <v>173</v>
      </c>
      <c r="E1186" s="55"/>
      <c r="F1186" s="55" t="s">
        <v>218</v>
      </c>
      <c r="G1186" s="56" t="n">
        <v>393.01</v>
      </c>
      <c r="H1186" s="57" t="n">
        <f aca="false">MAX(0,IF(AND(Parameter!$B$21="Ja",ISNUMBER(Y1186)),Y1186,IF(Parameter!$B$20="Jahresanfang 2025 + Export",BL1186+BK1186,BK1186)))</f>
        <v>8</v>
      </c>
      <c r="I1186" s="57" t="n">
        <f aca="false">H1186*G1186</f>
        <v>3144.08</v>
      </c>
      <c r="J1186" s="57" t="n">
        <f aca="false">BN1186*Parameter!$B$18</f>
        <v>1</v>
      </c>
      <c r="K1186" s="58" t="n">
        <v>8.5</v>
      </c>
      <c r="L1186" s="59" t="n">
        <v>0.117647058823529</v>
      </c>
      <c r="M1186" s="57" t="n">
        <v>0</v>
      </c>
      <c r="N1186" s="57" t="n">
        <v>1</v>
      </c>
      <c r="O1186" s="60" t="n">
        <v>35</v>
      </c>
      <c r="P1186" s="55" t="s">
        <v>168</v>
      </c>
      <c r="Q1186" s="57"/>
      <c r="R1186" s="60" t="n">
        <f aca="false">IF(BT1186=1,0,IFERROR(VLOOKUP(BR1186,'Gebinde-Kategorie'!$A$5:$M$45,13,0)+0,0))</f>
        <v>12</v>
      </c>
      <c r="S1186" s="61"/>
      <c r="T1186" s="62" t="s">
        <v>179</v>
      </c>
      <c r="U1186" s="62"/>
      <c r="V1186" s="62"/>
      <c r="W1186" s="55"/>
      <c r="X1186" s="57"/>
      <c r="Y1186" s="57"/>
      <c r="Z1186" s="55" t="n">
        <f aca="false">IF(A1186="","",IF(AND(Parameter!$B$21="Ja",ISNUMBER(W1186)),W1186,IF(BV1186="2+3",IF(ISNUMBER(SEARCH("grosser Artikel",BO1186)),2,IFERROR(VLOOKUP(BR1186,Parameter!$F$35:$G$64,2,0),2)),IF(OR(BV1186="Nein",BV1186=""),"-",BV1186))))</f>
        <v>2</v>
      </c>
      <c r="AA1186" s="62"/>
      <c r="AB1186" s="63"/>
      <c r="AC1186" s="57" t="n">
        <f aca="false">AR1186</f>
        <v>8</v>
      </c>
      <c r="AD1186" s="57" t="n">
        <f aca="false">MAX(AR1186,H1186)</f>
        <v>8</v>
      </c>
      <c r="AE1186" s="64"/>
      <c r="AF1186" s="57" t="n">
        <f aca="false">IF(LEFT(Cockpit!$C$5,1)="A",H1186,IF(CA1186=1,CB1186,IF(LEFT(Cockpit!$C$5,1)="B",AJ1186,MAX(AJ1186,H1186))))</f>
        <v>8</v>
      </c>
      <c r="AG1186" s="57" t="n">
        <f aca="false">IF(BT1186=1,0,ROUNDUP(AF1186/BS1186,0))</f>
        <v>1</v>
      </c>
      <c r="AH1186" s="59" t="n">
        <f aca="false">IF(CH1186&gt;0,CH1186*MAX(1,AF1186/X1186),IF(BT1186=1,IF(AF1186&lt;=0,0,BW1186*MAX(1,IF(H1186&gt;0,AF1186/H1186,1))),IF(R1186&gt;0,AG1186/R1186,0))/MAX(0.1,N(Parameter!$M$21)))</f>
        <v>0.0833333333333333</v>
      </c>
      <c r="AI1186" s="57" t="n">
        <f aca="false">AF1186*G1186</f>
        <v>3144.08</v>
      </c>
      <c r="AJ1186" s="57" t="n">
        <f aca="false">ROUNDUP(MAX(J1186/IF(BZ1186&gt;0,BZ1186,MAX(0.1,N(Cockpit!$C$6))),CC1186)/BS1186,0)*BS1186</f>
        <v>8</v>
      </c>
      <c r="AK1186" s="58" t="n">
        <f aca="false">IF(AH1186&gt;0,J1186/AH1186,-1)</f>
        <v>12</v>
      </c>
      <c r="AL1186" s="58" t="n">
        <f aca="false">IF(AND(OR(BY1186="L1",BY1186="L23"),AH1186&gt;0),SUMIFS($AH$7:$AH$1843,$BY$7:$BY$1843,BY1186,$AK$7:$AK$1843,"&gt;"&amp;AK1186)+SUMIFS($AH$7:$AH$1843,$BY$7:$BY$1843,BY1186,$AK$7:$AK$1843,AK1186,$BQ$7:$BQ$1843,"&lt;="&amp;BQ1186),"")</f>
        <v>54.6907452450931</v>
      </c>
      <c r="AM1186" s="65" t="n">
        <f aca="false">IF(AL1186="",0,MAX(0,MIN(1,(IF(BY1186="L1",Parameter!$E$5,Parameter!$E$6+Parameter!$E$7)-(AL1186-AH1186))/AH1186)))</f>
        <v>1</v>
      </c>
      <c r="AN1186" s="57" t="n">
        <f aca="false">IF(LEFT(Cockpit!$I$5,1)="A",H1186,IF(CA1186=1,CB1186,IF(LEFT(Cockpit!$I$5,1)="B",AR1186,MAX(AR1186,H1186))))</f>
        <v>8</v>
      </c>
      <c r="AO1186" s="57" t="n">
        <f aca="false">IF(BT1186=1,0,ROUNDUP(AN1186/BS1186,0))</f>
        <v>1</v>
      </c>
      <c r="AP1186" s="59" t="n">
        <f aca="false">IF(CH1186&gt;0,CH1186*MAX(1,AN1186/X1186),IF(BT1186=1,IF(AN1186&lt;=0,0,BW1186*MAX(1,IF(H1186&gt;0,AN1186/H1186,1))),IF(R1186&gt;0,AO1186/R1186,0))/MAX(0.1,N(Parameter!$M$21)))</f>
        <v>0.0833333333333333</v>
      </c>
      <c r="AQ1186" s="57" t="n">
        <f aca="false">AN1186*G1186</f>
        <v>3144.08</v>
      </c>
      <c r="AR1186" s="57" t="n">
        <f aca="false">ROUNDUP(MAX(J1186/IF(BZ1186&gt;0,BZ1186,MAX(0.1,N(Cockpit!$I$6))),CC1186)/BS1186,0)*BS1186</f>
        <v>8</v>
      </c>
      <c r="AS1186" s="58" t="n">
        <f aca="false">IF(AP1186&gt;0,J1186/AP1186,-1)</f>
        <v>12</v>
      </c>
      <c r="AT1186" s="58" t="n">
        <f aca="false">IF(AND(OR(BY1186="L1",BY1186="L23"),AP1186&gt;0),SUMIFS($AP$7:$AP$1843,$BY$7:$BY$1843,BY1186,$AS$7:$AS$1843,"&gt;"&amp;AS1186)+SUMIFS($AP$7:$AP$1843,$BY$7:$BY$1843,BY1186,$AS$7:$AS$1843,AS1186,$BQ$7:$BQ$1843,"&lt;="&amp;BQ1186),"")</f>
        <v>87.9482027634202</v>
      </c>
      <c r="AU1186" s="65" t="n">
        <f aca="false">IF(AT1186="",0,MAX(0,MIN(1,(IF(BY1186="L1",Parameter!$E$5,Parameter!$E$6+Parameter!$E$7)-(AT1186-AP1186))/AP1186)))</f>
        <v>1</v>
      </c>
      <c r="AV1186" s="57" t="n">
        <f aca="false">IF(LEFT(Cockpit!$O$5,1)="A",H1186,IF(CA1186=1,CB1186,IF(LEFT(Cockpit!$O$5,1)="B",AZ1186,MAX(AZ1186,H1186))))</f>
        <v>8</v>
      </c>
      <c r="AW1186" s="57" t="n">
        <f aca="false">IF(BT1186=1,0,ROUNDUP(AV1186/BS1186,0))</f>
        <v>1</v>
      </c>
      <c r="AX1186" s="59" t="n">
        <f aca="false">IF(CH1186&gt;0,CH1186*MAX(1,AV1186/X1186),IF(BT1186=1,IF(AV1186&lt;=0,0,BW1186*MAX(1,IF(H1186&gt;0,AV1186/H1186,1))),IF(R1186&gt;0,AW1186/R1186,0))/MAX(0.1,N(Parameter!$M$21)))</f>
        <v>0.0833333333333333</v>
      </c>
      <c r="AY1186" s="57" t="n">
        <f aca="false">AV1186*G1186</f>
        <v>3144.08</v>
      </c>
      <c r="AZ1186" s="57" t="n">
        <f aca="false">ROUNDUP(MAX(J1186/IF(BZ1186&gt;0,BZ1186,MAX(0.1,N(Cockpit!$O$6))),CC1186)/BS1186,0)*BS1186</f>
        <v>8</v>
      </c>
      <c r="BA1186" s="58" t="n">
        <f aca="false">IF(AX1186&gt;0,J1186/AX1186,-1)</f>
        <v>12</v>
      </c>
      <c r="BB1186" s="58" t="n">
        <f aca="false">IF(AND(OR(BY1186="L1",BY1186="L23"),AX1186&gt;0),SUMIFS($AX$7:$AX$1843,$BY$7:$BY$1843,BY1186,$BA$7:$BA$1843,"&gt;"&amp;BA1186)+SUMIFS($AX$7:$AX$1843,$BY$7:$BY$1843,BY1186,$BA$7:$BA$1843,BA1186,$BQ$7:$BQ$1843,"&lt;="&amp;BQ1186),"")</f>
        <v>81.4447062599237</v>
      </c>
      <c r="BC1186" s="65" t="n">
        <f aca="false">IF(BB1186="",0,MAX(0,MIN(1,(IF(BY1186="L1",Parameter!$E$5,Parameter!$E$6+Parameter!$E$7)-(BB1186-AX1186))/AX1186)))</f>
        <v>1</v>
      </c>
      <c r="BD1186" s="55" t="str">
        <f aca="false">IF(AH1186&lt;=0,"",IF(BY1186="Aussen","Aussenlager",IF(BY1186="-","Nicht im Lift",IF(AM1186&gt;=1,"Lift",IF(AM1186&lt;=0,"Aussenlager","teilweise")))))</f>
        <v>Lift</v>
      </c>
      <c r="BE1186" s="55" t="str">
        <f aca="false">IF(AP1186&lt;=0,"",IF(BY1186="Aussen","Aussenlager",IF(BY1186="-","Nicht im Lift",IF(AU1186&gt;=1,"Lift",IF(AU1186&lt;=0,"Aussenlager","teilweise")))))</f>
        <v>Lift</v>
      </c>
      <c r="BF1186" s="55" t="str">
        <f aca="false">IF(AX1186&lt;=0,"",IF(BY1186="Aussen","Aussenlager",IF(BY1186="-","Nicht im Lift",IF(BC1186&gt;=1,"Lift",IF(BC1186&lt;=0,"Aussenlager","teilweise")))))</f>
        <v>Lift</v>
      </c>
      <c r="BG1186" s="55" t="str">
        <f aca="false">IF(A1186="","",IF(BP1186=1,"Neu; ","")&amp;IF(AND(BP1186=0,BK1186&lt;0),"negativer Bestand (Export "&amp;BK1186&amp;"); ","")&amp;IF(J1186&lt;=0,"Kein Verbrauch; ","")&amp;IF(CH1186&gt;0,"Lift "&amp;W1186&amp;" lt. Liftbericht (Fach "&amp;X1186&amp;" Stk); ",IF(BU1186=1,"Gebinde geschätzt ("&amp;T1186&amp;"); ",IF(BT1186=1,"Lose – Tablare geschätzt; ","")))&amp;IF(H1186&gt;AR1186,"Überbestand "&amp;ROUND(H1186-AR1186,0)&amp;" Stk / CHF "&amp;ROUND((H1186-AR1186)*G1186,0)&amp;"; ","")&amp;IF(AND(CA1186=1,CB1186&lt;CC1186),"MAX &lt; MB+LG; ","")&amp;IF(AND(CG1186&gt;0,CF1186*10&gt;CG1186),"zu hoch für Tablar; ","")&amp;IF(AND(BP1186=0,OR(CA1186=1,AA1186&lt;&gt;"",U1186&lt;&gt;"",V1186&lt;&gt;"",AB1186&lt;&gt;"")),"manuell übersteuert; ","")&amp;IF(AND(BT1186=0,R1186=0),"Gebinde unbekannt / Stellmass fehlt; ","")&amp;IF(AND(BT1186=0,N(V1186)&lt;=0,N(Q1186)&lt;=0),"Menge pro Gebinde fehlt (Ist = 1 Gebinde); ","")&amp;BO1186)</f>
        <v>negativer Bestand (Export -1); Gebinde geschätzt (Mittel); Menge pro Gebinde fehlt (Ist = 1 Gebinde); </v>
      </c>
      <c r="BH1186" s="55"/>
      <c r="BI1186" s="55"/>
      <c r="BJ1186" s="62"/>
      <c r="BK1186" s="57" t="n">
        <v>-1</v>
      </c>
      <c r="BL1186" s="57" t="n">
        <v>9</v>
      </c>
      <c r="BM1186" s="56" t="n">
        <v>-393.01</v>
      </c>
      <c r="BN1186" s="57" t="n">
        <v>1</v>
      </c>
      <c r="BO1186" s="55"/>
      <c r="BP1186" s="60" t="n">
        <v>0</v>
      </c>
      <c r="BQ1186" s="60" t="n">
        <v>1186</v>
      </c>
      <c r="BR1186" s="55" t="str">
        <f aca="false">IF(U1186&lt;&gt;"",UPPER(TRIM(U1186)),IF(BU1186=1,UPPER(VLOOKUP(T1186,Parameter!$I$27:$K$29,2,0)),IF(P1186="","LOSE",P1186)))</f>
        <v>S61</v>
      </c>
      <c r="BS1186" s="57" t="n">
        <f aca="false">IF(BR1186="LOSE",1,IF(N(V1186)&gt;0,V1186,IF(BU1186=1,MAX(1,N(VLOOKUP(T1186,Parameter!$I$27:$K$29,3,0)),H1186,N(N1186)),IF(N(Q1186)&gt;0,Q1186,MAX(1,H1186)))))</f>
        <v>8</v>
      </c>
      <c r="BT1186" s="60" t="n">
        <f aca="false">IF(BR1186="LOSE",1,0)</f>
        <v>0</v>
      </c>
      <c r="BU1186" s="60" t="n">
        <f aca="false">IF(AND(U1186="",OR(P1186="",P1186="LOSE"),T1186&lt;&gt;"",N(S1186)&lt;=0,ISNUMBER(MATCH(T1186,Parameter!$I$27:$I$29,0))),1,0)</f>
        <v>1</v>
      </c>
      <c r="BV1186" s="55" t="str">
        <f aca="false">IF(AND(Parameter!$B$19="Ja",E1186&lt;&gt;"",ISNUMBER(MATCH(E1186,Parameter!$I$35:$I$52,0))),VLOOKUP(E1186,Parameter!$I$35:$J$52,2,0),IFERROR(VLOOKUP(D1186,Parameter!$A$35:$C$64,2,0),"Nein"))</f>
        <v>2+3</v>
      </c>
      <c r="BW1186" s="59" t="n">
        <f aca="false">IF(BT1186=0,0,IF(N(S1186)&gt;0,S1186,IFERROR(VLOOKUP(D1186,Parameter!$A$35:$C$64,3,0)+0,0)))</f>
        <v>0</v>
      </c>
      <c r="BX1186" s="55" t="n">
        <f aca="false">IF(AA1186&lt;&gt;"",AA1186,Z1186)</f>
        <v>2</v>
      </c>
      <c r="BY1186" s="55" t="str">
        <f aca="false">IF(BX1186=1,"L1",IF(OR(BX1186=2,BX1186=3),"L23",IF(BX1186="Aussen","Aussen","-")))</f>
        <v>L23</v>
      </c>
      <c r="BZ1186" s="66" t="n">
        <f aca="false">IF(N(AB1186)&gt;0,AB1186,0)</f>
        <v>0</v>
      </c>
      <c r="CA1186" s="60" t="n">
        <f aca="false">IF(ISNUMBER(AE1186),1,0)</f>
        <v>0</v>
      </c>
      <c r="CB1186" s="57" t="n">
        <f aca="false">N(AE1186)</f>
        <v>0</v>
      </c>
      <c r="CC1186" s="57" t="n">
        <f aca="false">N(M1186)+N(N1186)</f>
        <v>1</v>
      </c>
      <c r="CD1186" s="57" t="n">
        <f aca="false">ROUNDUP(H1186/BS1186,0)</f>
        <v>1</v>
      </c>
      <c r="CE1186" s="57" t="n">
        <f aca="false">ROUNDUP(CB1186/BS1186,0)</f>
        <v>0</v>
      </c>
      <c r="CF1186" s="60" t="n">
        <f aca="false">IF(BT1186=1,0,IFERROR(VLOOKUP(BR1186,'Gebinde-Kategorie'!$A$5:$M$45,5,0)+0,0))</f>
        <v>11</v>
      </c>
      <c r="CG1186" s="60" t="n">
        <f aca="false">IFERROR(IF(OR(BX1186=1,BX1186=2,BX1186=3),N(INDEX(Parameter!$I$5:$I$7,BX1186)),0),0)</f>
        <v>0</v>
      </c>
      <c r="CH1186" s="59" t="n">
        <f aca="false">IF(AND(Parameter!$B$21="Ja",ISNUMBER(W1186),N(X1186)&gt;0),IFERROR(N(INDEX(Parameter!$L$5:$L$7,W1186))*INDEX(Parameter!$E$5:$E$7,W1186)*X1186/SUMIFS($X$7:$X$1843,$W$7:$W$1843,W1186),0),0)</f>
        <v>0</v>
      </c>
    </row>
    <row r="1187" customFormat="false" ht="15" hidden="false" customHeight="false" outlineLevel="0" collapsed="false">
      <c r="A1187" s="55" t="s">
        <v>2136</v>
      </c>
      <c r="B1187" s="55" t="s">
        <v>2137</v>
      </c>
      <c r="C1187" s="55" t="s">
        <v>164</v>
      </c>
      <c r="D1187" s="55" t="s">
        <v>173</v>
      </c>
      <c r="E1187" s="55"/>
      <c r="F1187" s="55" t="s">
        <v>218</v>
      </c>
      <c r="G1187" s="56" t="n">
        <v>46.89</v>
      </c>
      <c r="H1187" s="57" t="n">
        <f aca="false">MAX(0,IF(AND(Parameter!$B$21="Ja",ISNUMBER(Y1187)),Y1187,IF(Parameter!$B$20="Jahresanfang 2025 + Export",BL1187+BK1187,BK1187)))</f>
        <v>7</v>
      </c>
      <c r="I1187" s="57" t="n">
        <f aca="false">H1187*G1187</f>
        <v>328.23</v>
      </c>
      <c r="J1187" s="57" t="n">
        <f aca="false">BN1187*Parameter!$B$18</f>
        <v>12</v>
      </c>
      <c r="K1187" s="58" t="n">
        <v>11.5</v>
      </c>
      <c r="L1187" s="59" t="n">
        <v>1.04347826086957</v>
      </c>
      <c r="M1187" s="57" t="n">
        <v>1</v>
      </c>
      <c r="N1187" s="57" t="n">
        <v>10</v>
      </c>
      <c r="O1187" s="60" t="n">
        <v>42</v>
      </c>
      <c r="P1187" s="55" t="s">
        <v>168</v>
      </c>
      <c r="Q1187" s="57"/>
      <c r="R1187" s="60" t="n">
        <f aca="false">IF(BT1187=1,0,IFERROR(VLOOKUP(BR1187,'Gebinde-Kategorie'!$A$5:$M$45,13,0)+0,0))</f>
        <v>12</v>
      </c>
      <c r="S1187" s="61"/>
      <c r="T1187" s="62" t="s">
        <v>179</v>
      </c>
      <c r="U1187" s="62"/>
      <c r="V1187" s="62"/>
      <c r="W1187" s="55"/>
      <c r="X1187" s="57"/>
      <c r="Y1187" s="57"/>
      <c r="Z1187" s="55" t="n">
        <f aca="false">IF(A1187="","",IF(AND(Parameter!$B$21="Ja",ISNUMBER(W1187)),W1187,IF(BV1187="2+3",IF(ISNUMBER(SEARCH("grosser Artikel",BO1187)),2,IFERROR(VLOOKUP(BR1187,Parameter!$F$35:$G$64,2,0),2)),IF(OR(BV1187="Nein",BV1187=""),"-",BV1187))))</f>
        <v>2</v>
      </c>
      <c r="AA1187" s="62"/>
      <c r="AB1187" s="63"/>
      <c r="AC1187" s="57" t="n">
        <f aca="false">AR1187</f>
        <v>20</v>
      </c>
      <c r="AD1187" s="57" t="n">
        <f aca="false">MAX(AR1187,H1187)</f>
        <v>20</v>
      </c>
      <c r="AE1187" s="64"/>
      <c r="AF1187" s="57" t="n">
        <f aca="false">IF(LEFT(Cockpit!$C$5,1)="A",H1187,IF(CA1187=1,CB1187,IF(LEFT(Cockpit!$C$5,1)="B",AJ1187,MAX(AJ1187,H1187))))</f>
        <v>7</v>
      </c>
      <c r="AG1187" s="57" t="n">
        <f aca="false">IF(BT1187=1,0,ROUNDUP(AF1187/BS1187,0))</f>
        <v>1</v>
      </c>
      <c r="AH1187" s="59" t="n">
        <f aca="false">IF(CH1187&gt;0,CH1187*MAX(1,AF1187/X1187),IF(BT1187=1,IF(AF1187&lt;=0,0,BW1187*MAX(1,IF(H1187&gt;0,AF1187/H1187,1))),IF(R1187&gt;0,AG1187/R1187,0))/MAX(0.1,N(Parameter!$M$21)))</f>
        <v>0.0833333333333333</v>
      </c>
      <c r="AI1187" s="57" t="n">
        <f aca="false">AF1187*G1187</f>
        <v>328.23</v>
      </c>
      <c r="AJ1187" s="57" t="n">
        <f aca="false">ROUNDUP(MAX(J1187/IF(BZ1187&gt;0,BZ1187,MAX(0.1,N(Cockpit!$C$6))),CC1187)/BS1187,0)*BS1187</f>
        <v>20</v>
      </c>
      <c r="AK1187" s="58" t="n">
        <f aca="false">IF(AH1187&gt;0,J1187/AH1187,-1)</f>
        <v>144</v>
      </c>
      <c r="AL1187" s="58" t="n">
        <f aca="false">IF(AND(OR(BY1187="L1",BY1187="L23"),AH1187&gt;0),SUMIFS($AH$7:$AH$1843,$BY$7:$BY$1843,BY1187,$AK$7:$AK$1843,"&gt;"&amp;AK1187)+SUMIFS($AH$7:$AH$1843,$BY$7:$BY$1843,BY1187,$AK$7:$AK$1843,AK1187,$BQ$7:$BQ$1843,"&lt;="&amp;BQ1187),"")</f>
        <v>35.1559744603223</v>
      </c>
      <c r="AM1187" s="65" t="n">
        <f aca="false">IF(AL1187="",0,MAX(0,MIN(1,(IF(BY1187="L1",Parameter!$E$5,Parameter!$E$6+Parameter!$E$7)-(AL1187-AH1187))/AH1187)))</f>
        <v>1</v>
      </c>
      <c r="AN1187" s="57" t="n">
        <f aca="false">IF(LEFT(Cockpit!$I$5,1)="A",H1187,IF(CA1187=1,CB1187,IF(LEFT(Cockpit!$I$5,1)="B",AR1187,MAX(AR1187,H1187))))</f>
        <v>20</v>
      </c>
      <c r="AO1187" s="57" t="n">
        <f aca="false">IF(BT1187=1,0,ROUNDUP(AN1187/BS1187,0))</f>
        <v>2</v>
      </c>
      <c r="AP1187" s="59" t="n">
        <f aca="false">IF(CH1187&gt;0,CH1187*MAX(1,AN1187/X1187),IF(BT1187=1,IF(AN1187&lt;=0,0,BW1187*MAX(1,IF(H1187&gt;0,AN1187/H1187,1))),IF(R1187&gt;0,AO1187/R1187,0))/MAX(0.1,N(Parameter!$M$21)))</f>
        <v>0.166666666666667</v>
      </c>
      <c r="AQ1187" s="57" t="n">
        <f aca="false">AN1187*G1187</f>
        <v>937.8</v>
      </c>
      <c r="AR1187" s="57" t="n">
        <f aca="false">ROUNDUP(MAX(J1187/IF(BZ1187&gt;0,BZ1187,MAX(0.1,N(Cockpit!$I$6))),CC1187)/BS1187,0)*BS1187</f>
        <v>20</v>
      </c>
      <c r="AS1187" s="58" t="n">
        <f aca="false">IF(AP1187&gt;0,J1187/AP1187,-1)</f>
        <v>72</v>
      </c>
      <c r="AT1187" s="58" t="n">
        <f aca="false">IF(AND(OR(BY1187="L1",BY1187="L23"),AP1187&gt;0),SUMIFS($AP$7:$AP$1843,$BY$7:$BY$1843,BY1187,$AS$7:$AS$1843,"&gt;"&amp;AS1187)+SUMIFS($AP$7:$AP$1843,$BY$7:$BY$1843,BY1187,$AS$7:$AS$1843,AS1187,$BQ$7:$BQ$1843,"&lt;="&amp;BQ1187),"")</f>
        <v>64.7191817843992</v>
      </c>
      <c r="AU1187" s="65" t="n">
        <f aca="false">IF(AT1187="",0,MAX(0,MIN(1,(IF(BY1187="L1",Parameter!$E$5,Parameter!$E$6+Parameter!$E$7)-(AT1187-AP1187))/AP1187)))</f>
        <v>1</v>
      </c>
      <c r="AV1187" s="57" t="n">
        <f aca="false">IF(LEFT(Cockpit!$O$5,1)="A",H1187,IF(CA1187=1,CB1187,IF(LEFT(Cockpit!$O$5,1)="B",AZ1187,MAX(AZ1187,H1187))))</f>
        <v>20</v>
      </c>
      <c r="AW1187" s="57" t="n">
        <f aca="false">IF(BT1187=1,0,ROUNDUP(AV1187/BS1187,0))</f>
        <v>2</v>
      </c>
      <c r="AX1187" s="59" t="n">
        <f aca="false">IF(CH1187&gt;0,CH1187*MAX(1,AV1187/X1187),IF(BT1187=1,IF(AV1187&lt;=0,0,BW1187*MAX(1,IF(H1187&gt;0,AV1187/H1187,1))),IF(R1187&gt;0,AW1187/R1187,0))/MAX(0.1,N(Parameter!$M$21)))</f>
        <v>0.166666666666667</v>
      </c>
      <c r="AY1187" s="57" t="n">
        <f aca="false">AV1187*G1187</f>
        <v>937.8</v>
      </c>
      <c r="AZ1187" s="57" t="n">
        <f aca="false">ROUNDUP(MAX(J1187/IF(BZ1187&gt;0,BZ1187,MAX(0.1,N(Cockpit!$O$6))),CC1187)/BS1187,0)*BS1187</f>
        <v>20</v>
      </c>
      <c r="BA1187" s="58" t="n">
        <f aca="false">IF(AX1187&gt;0,J1187/AX1187,-1)</f>
        <v>72</v>
      </c>
      <c r="BB1187" s="58" t="n">
        <f aca="false">IF(AND(OR(BY1187="L1",BY1187="L23"),AX1187&gt;0),SUMIFS($AX$7:$AX$1843,$BY$7:$BY$1843,BY1187,$BA$7:$BA$1843,"&gt;"&amp;BA1187)+SUMIFS($AX$7:$AX$1843,$BY$7:$BY$1843,BY1187,$BA$7:$BA$1843,BA1187,$BQ$7:$BQ$1843,"&lt;="&amp;BQ1187),"")</f>
        <v>59.2156852809027</v>
      </c>
      <c r="BC1187" s="65" t="n">
        <f aca="false">IF(BB1187="",0,MAX(0,MIN(1,(IF(BY1187="L1",Parameter!$E$5,Parameter!$E$6+Parameter!$E$7)-(BB1187-AX1187))/AX1187)))</f>
        <v>1</v>
      </c>
      <c r="BD1187" s="55" t="str">
        <f aca="false">IF(AH1187&lt;=0,"",IF(BY1187="Aussen","Aussenlager",IF(BY1187="-","Nicht im Lift",IF(AM1187&gt;=1,"Lift",IF(AM1187&lt;=0,"Aussenlager","teilweise")))))</f>
        <v>Lift</v>
      </c>
      <c r="BE1187" s="55" t="str">
        <f aca="false">IF(AP1187&lt;=0,"",IF(BY1187="Aussen","Aussenlager",IF(BY1187="-","Nicht im Lift",IF(AU1187&gt;=1,"Lift",IF(AU1187&lt;=0,"Aussenlager","teilweise")))))</f>
        <v>Lift</v>
      </c>
      <c r="BF1187" s="55" t="str">
        <f aca="false">IF(AX1187&lt;=0,"",IF(BY1187="Aussen","Aussenlager",IF(BY1187="-","Nicht im Lift",IF(BC1187&gt;=1,"Lift",IF(BC1187&lt;=0,"Aussenlager","teilweise")))))</f>
        <v>Lift</v>
      </c>
      <c r="BG1187" s="55" t="str">
        <f aca="false">IF(A1187="","",IF(BP1187=1,"Neu; ","")&amp;IF(AND(BP1187=0,BK1187&lt;0),"negativer Bestand (Export "&amp;BK1187&amp;"); ","")&amp;IF(J1187&lt;=0,"Kein Verbrauch; ","")&amp;IF(CH1187&gt;0,"Lift "&amp;W1187&amp;" lt. Liftbericht (Fach "&amp;X1187&amp;" Stk); ",IF(BU1187=1,"Gebinde geschätzt ("&amp;T1187&amp;"); ",IF(BT1187=1,"Lose – Tablare geschätzt; ","")))&amp;IF(H1187&gt;AR1187,"Überbestand "&amp;ROUND(H1187-AR1187,0)&amp;" Stk / CHF "&amp;ROUND((H1187-AR1187)*G1187,0)&amp;"; ","")&amp;IF(AND(CA1187=1,CB1187&lt;CC1187),"MAX &lt; MB+LG; ","")&amp;IF(AND(CG1187&gt;0,CF1187*10&gt;CG1187),"zu hoch für Tablar; ","")&amp;IF(AND(BP1187=0,OR(CA1187=1,AA1187&lt;&gt;"",U1187&lt;&gt;"",V1187&lt;&gt;"",AB1187&lt;&gt;"")),"manuell übersteuert; ","")&amp;IF(AND(BT1187=0,R1187=0),"Gebinde unbekannt / Stellmass fehlt; ","")&amp;IF(AND(BT1187=0,N(V1187)&lt;=0,N(Q1187)&lt;=0),"Menge pro Gebinde fehlt (Ist = 1 Gebinde); ","")&amp;BO1187)</f>
        <v>negativer Bestand (Export -7); Gebinde geschätzt (Mittel); Menge pro Gebinde fehlt (Ist = 1 Gebinde); </v>
      </c>
      <c r="BH1187" s="55"/>
      <c r="BI1187" s="55"/>
      <c r="BJ1187" s="62"/>
      <c r="BK1187" s="57" t="n">
        <v>-7</v>
      </c>
      <c r="BL1187" s="57" t="n">
        <v>14</v>
      </c>
      <c r="BM1187" s="56" t="n">
        <v>-410.27</v>
      </c>
      <c r="BN1187" s="57" t="n">
        <v>12</v>
      </c>
      <c r="BO1187" s="55"/>
      <c r="BP1187" s="60" t="n">
        <v>0</v>
      </c>
      <c r="BQ1187" s="60" t="n">
        <v>1187</v>
      </c>
      <c r="BR1187" s="55" t="str">
        <f aca="false">IF(U1187&lt;&gt;"",UPPER(TRIM(U1187)),IF(BU1187=1,UPPER(VLOOKUP(T1187,Parameter!$I$27:$K$29,2,0)),IF(P1187="","LOSE",P1187)))</f>
        <v>S61</v>
      </c>
      <c r="BS1187" s="57" t="n">
        <f aca="false">IF(BR1187="LOSE",1,IF(N(V1187)&gt;0,V1187,IF(BU1187=1,MAX(1,N(VLOOKUP(T1187,Parameter!$I$27:$K$29,3,0)),H1187,N(N1187)),IF(N(Q1187)&gt;0,Q1187,MAX(1,H1187)))))</f>
        <v>10</v>
      </c>
      <c r="BT1187" s="60" t="n">
        <f aca="false">IF(BR1187="LOSE",1,0)</f>
        <v>0</v>
      </c>
      <c r="BU1187" s="60" t="n">
        <f aca="false">IF(AND(U1187="",OR(P1187="",P1187="LOSE"),T1187&lt;&gt;"",N(S1187)&lt;=0,ISNUMBER(MATCH(T1187,Parameter!$I$27:$I$29,0))),1,0)</f>
        <v>1</v>
      </c>
      <c r="BV1187" s="55" t="str">
        <f aca="false">IF(AND(Parameter!$B$19="Ja",E1187&lt;&gt;"",ISNUMBER(MATCH(E1187,Parameter!$I$35:$I$52,0))),VLOOKUP(E1187,Parameter!$I$35:$J$52,2,0),IFERROR(VLOOKUP(D1187,Parameter!$A$35:$C$64,2,0),"Nein"))</f>
        <v>2+3</v>
      </c>
      <c r="BW1187" s="59" t="n">
        <f aca="false">IF(BT1187=0,0,IF(N(S1187)&gt;0,S1187,IFERROR(VLOOKUP(D1187,Parameter!$A$35:$C$64,3,0)+0,0)))</f>
        <v>0</v>
      </c>
      <c r="BX1187" s="55" t="n">
        <f aca="false">IF(AA1187&lt;&gt;"",AA1187,Z1187)</f>
        <v>2</v>
      </c>
      <c r="BY1187" s="55" t="str">
        <f aca="false">IF(BX1187=1,"L1",IF(OR(BX1187=2,BX1187=3),"L23",IF(BX1187="Aussen","Aussen","-")))</f>
        <v>L23</v>
      </c>
      <c r="BZ1187" s="66" t="n">
        <f aca="false">IF(N(AB1187)&gt;0,AB1187,0)</f>
        <v>0</v>
      </c>
      <c r="CA1187" s="60" t="n">
        <f aca="false">IF(ISNUMBER(AE1187),1,0)</f>
        <v>0</v>
      </c>
      <c r="CB1187" s="57" t="n">
        <f aca="false">N(AE1187)</f>
        <v>0</v>
      </c>
      <c r="CC1187" s="57" t="n">
        <f aca="false">N(M1187)+N(N1187)</f>
        <v>11</v>
      </c>
      <c r="CD1187" s="57" t="n">
        <f aca="false">ROUNDUP(H1187/BS1187,0)</f>
        <v>1</v>
      </c>
      <c r="CE1187" s="57" t="n">
        <f aca="false">ROUNDUP(CB1187/BS1187,0)</f>
        <v>0</v>
      </c>
      <c r="CF1187" s="60" t="n">
        <f aca="false">IF(BT1187=1,0,IFERROR(VLOOKUP(BR1187,'Gebinde-Kategorie'!$A$5:$M$45,5,0)+0,0))</f>
        <v>11</v>
      </c>
      <c r="CG1187" s="60" t="n">
        <f aca="false">IFERROR(IF(OR(BX1187=1,BX1187=2,BX1187=3),N(INDEX(Parameter!$I$5:$I$7,BX1187)),0),0)</f>
        <v>0</v>
      </c>
      <c r="CH1187" s="59" t="n">
        <f aca="false">IF(AND(Parameter!$B$21="Ja",ISNUMBER(W1187),N(X1187)&gt;0),IFERROR(N(INDEX(Parameter!$L$5:$L$7,W1187))*INDEX(Parameter!$E$5:$E$7,W1187)*X1187/SUMIFS($X$7:$X$1843,$W$7:$W$1843,W1187),0),0)</f>
        <v>0</v>
      </c>
    </row>
    <row r="1188" customFormat="false" ht="15" hidden="false" customHeight="false" outlineLevel="0" collapsed="false">
      <c r="A1188" s="55" t="s">
        <v>2138</v>
      </c>
      <c r="B1188" s="55" t="s">
        <v>2139</v>
      </c>
      <c r="C1188" s="55" t="s">
        <v>164</v>
      </c>
      <c r="D1188" s="55" t="s">
        <v>173</v>
      </c>
      <c r="E1188" s="55" t="s">
        <v>465</v>
      </c>
      <c r="F1188" s="55" t="s">
        <v>218</v>
      </c>
      <c r="G1188" s="56" t="n">
        <v>457</v>
      </c>
      <c r="H1188" s="57" t="n">
        <f aca="false">MAX(0,IF(AND(Parameter!$B$21="Ja",ISNUMBER(Y1188)),Y1188,IF(Parameter!$B$20="Jahresanfang 2025 + Export",BL1188+BK1188,BK1188)))</f>
        <v>1</v>
      </c>
      <c r="I1188" s="57" t="n">
        <f aca="false">H1188*G1188</f>
        <v>457</v>
      </c>
      <c r="J1188" s="57" t="n">
        <f aca="false">BN1188*Parameter!$B$18</f>
        <v>3</v>
      </c>
      <c r="K1188" s="58" t="n">
        <v>1.5</v>
      </c>
      <c r="L1188" s="59" t="n">
        <v>2</v>
      </c>
      <c r="M1188" s="57" t="n">
        <v>0</v>
      </c>
      <c r="N1188" s="57" t="n">
        <v>5</v>
      </c>
      <c r="O1188" s="60" t="n">
        <v>21</v>
      </c>
      <c r="P1188" s="55" t="s">
        <v>168</v>
      </c>
      <c r="Q1188" s="57"/>
      <c r="R1188" s="60" t="n">
        <f aca="false">IF(BT1188=1,0,IFERROR(VLOOKUP(BR1188,'Gebinde-Kategorie'!$A$5:$M$45,13,0)+0,0))</f>
        <v>12</v>
      </c>
      <c r="S1188" s="61"/>
      <c r="T1188" s="62" t="s">
        <v>179</v>
      </c>
      <c r="U1188" s="62"/>
      <c r="V1188" s="62"/>
      <c r="W1188" s="55"/>
      <c r="X1188" s="57"/>
      <c r="Y1188" s="57"/>
      <c r="Z1188" s="55" t="str">
        <f aca="false">IF(A1188="","",IF(AND(Parameter!$B$21="Ja",ISNUMBER(W1188)),W1188,IF(BV1188="2+3",IF(ISNUMBER(SEARCH("grosser Artikel",BO1188)),2,IFERROR(VLOOKUP(BR1188,Parameter!$F$35:$G$64,2,0),2)),IF(OR(BV1188="Nein",BV1188=""),"-",BV1188))))</f>
        <v>-</v>
      </c>
      <c r="AA1188" s="62"/>
      <c r="AB1188" s="63"/>
      <c r="AC1188" s="57" t="n">
        <f aca="false">AR1188</f>
        <v>5</v>
      </c>
      <c r="AD1188" s="57" t="n">
        <f aca="false">MAX(AR1188,H1188)</f>
        <v>5</v>
      </c>
      <c r="AE1188" s="64"/>
      <c r="AF1188" s="57" t="n">
        <f aca="false">IF(LEFT(Cockpit!$C$5,1)="A",H1188,IF(CA1188=1,CB1188,IF(LEFT(Cockpit!$C$5,1)="B",AJ1188,MAX(AJ1188,H1188))))</f>
        <v>1</v>
      </c>
      <c r="AG1188" s="57" t="n">
        <f aca="false">IF(BT1188=1,0,ROUNDUP(AF1188/BS1188,0))</f>
        <v>1</v>
      </c>
      <c r="AH1188" s="59" t="n">
        <f aca="false">IF(CH1188&gt;0,CH1188*MAX(1,AF1188/X1188),IF(BT1188=1,IF(AF1188&lt;=0,0,BW1188*MAX(1,IF(H1188&gt;0,AF1188/H1188,1))),IF(R1188&gt;0,AG1188/R1188,0))/MAX(0.1,N(Parameter!$M$21)))</f>
        <v>0.0833333333333333</v>
      </c>
      <c r="AI1188" s="57" t="n">
        <f aca="false">AF1188*G1188</f>
        <v>457</v>
      </c>
      <c r="AJ1188" s="57" t="n">
        <f aca="false">ROUNDUP(MAX(J1188/IF(BZ1188&gt;0,BZ1188,MAX(0.1,N(Cockpit!$C$6))),CC1188)/BS1188,0)*BS1188</f>
        <v>5</v>
      </c>
      <c r="AK1188" s="58" t="n">
        <f aca="false">IF(AH1188&gt;0,J1188/AH1188,-1)</f>
        <v>36</v>
      </c>
      <c r="AL1188" s="58" t="str">
        <f aca="false">IF(AND(OR(BY1188="L1",BY1188="L23"),AH1188&gt;0),SUMIFS($AH$7:$AH$1843,$BY$7:$BY$1843,BY1188,$AK$7:$AK$1843,"&gt;"&amp;AK1188)+SUMIFS($AH$7:$AH$1843,$BY$7:$BY$1843,BY1188,$AK$7:$AK$1843,AK1188,$BQ$7:$BQ$1843,"&lt;="&amp;BQ1188),"")</f>
        <v/>
      </c>
      <c r="AM1188" s="65" t="n">
        <f aca="false">IF(AL1188="",0,MAX(0,MIN(1,(IF(BY1188="L1",Parameter!$E$5,Parameter!$E$6+Parameter!$E$7)-(AL1188-AH1188))/AH1188)))</f>
        <v>0</v>
      </c>
      <c r="AN1188" s="57" t="n">
        <f aca="false">IF(LEFT(Cockpit!$I$5,1)="A",H1188,IF(CA1188=1,CB1188,IF(LEFT(Cockpit!$I$5,1)="B",AR1188,MAX(AR1188,H1188))))</f>
        <v>5</v>
      </c>
      <c r="AO1188" s="57" t="n">
        <f aca="false">IF(BT1188=1,0,ROUNDUP(AN1188/BS1188,0))</f>
        <v>1</v>
      </c>
      <c r="AP1188" s="59" t="n">
        <f aca="false">IF(CH1188&gt;0,CH1188*MAX(1,AN1188/X1188),IF(BT1188=1,IF(AN1188&lt;=0,0,BW1188*MAX(1,IF(H1188&gt;0,AN1188/H1188,1))),IF(R1188&gt;0,AO1188/R1188,0))/MAX(0.1,N(Parameter!$M$21)))</f>
        <v>0.0833333333333333</v>
      </c>
      <c r="AQ1188" s="57" t="n">
        <f aca="false">AN1188*G1188</f>
        <v>2285</v>
      </c>
      <c r="AR1188" s="57" t="n">
        <f aca="false">ROUNDUP(MAX(J1188/IF(BZ1188&gt;0,BZ1188,MAX(0.1,N(Cockpit!$I$6))),CC1188)/BS1188,0)*BS1188</f>
        <v>5</v>
      </c>
      <c r="AS1188" s="58" t="n">
        <f aca="false">IF(AP1188&gt;0,J1188/AP1188,-1)</f>
        <v>36</v>
      </c>
      <c r="AT1188" s="58" t="str">
        <f aca="false">IF(AND(OR(BY1188="L1",BY1188="L23"),AP1188&gt;0),SUMIFS($AP$7:$AP$1843,$BY$7:$BY$1843,BY1188,$AS$7:$AS$1843,"&gt;"&amp;AS1188)+SUMIFS($AP$7:$AP$1843,$BY$7:$BY$1843,BY1188,$AS$7:$AS$1843,AS1188,$BQ$7:$BQ$1843,"&lt;="&amp;BQ1188),"")</f>
        <v/>
      </c>
      <c r="AU1188" s="65" t="n">
        <f aca="false">IF(AT1188="",0,MAX(0,MIN(1,(IF(BY1188="L1",Parameter!$E$5,Parameter!$E$6+Parameter!$E$7)-(AT1188-AP1188))/AP1188)))</f>
        <v>0</v>
      </c>
      <c r="AV1188" s="57" t="n">
        <f aca="false">IF(LEFT(Cockpit!$O$5,1)="A",H1188,IF(CA1188=1,CB1188,IF(LEFT(Cockpit!$O$5,1)="B",AZ1188,MAX(AZ1188,H1188))))</f>
        <v>5</v>
      </c>
      <c r="AW1188" s="57" t="n">
        <f aca="false">IF(BT1188=1,0,ROUNDUP(AV1188/BS1188,0))</f>
        <v>1</v>
      </c>
      <c r="AX1188" s="59" t="n">
        <f aca="false">IF(CH1188&gt;0,CH1188*MAX(1,AV1188/X1188),IF(BT1188=1,IF(AV1188&lt;=0,0,BW1188*MAX(1,IF(H1188&gt;0,AV1188/H1188,1))),IF(R1188&gt;0,AW1188/R1188,0))/MAX(0.1,N(Parameter!$M$21)))</f>
        <v>0.0833333333333333</v>
      </c>
      <c r="AY1188" s="57" t="n">
        <f aca="false">AV1188*G1188</f>
        <v>2285</v>
      </c>
      <c r="AZ1188" s="57" t="n">
        <f aca="false">ROUNDUP(MAX(J1188/IF(BZ1188&gt;0,BZ1188,MAX(0.1,N(Cockpit!$O$6))),CC1188)/BS1188,0)*BS1188</f>
        <v>5</v>
      </c>
      <c r="BA1188" s="58" t="n">
        <f aca="false">IF(AX1188&gt;0,J1188/AX1188,-1)</f>
        <v>36</v>
      </c>
      <c r="BB1188" s="58" t="str">
        <f aca="false">IF(AND(OR(BY1188="L1",BY1188="L23"),AX1188&gt;0),SUMIFS($AX$7:$AX$1843,$BY$7:$BY$1843,BY1188,$BA$7:$BA$1843,"&gt;"&amp;BA1188)+SUMIFS($AX$7:$AX$1843,$BY$7:$BY$1843,BY1188,$BA$7:$BA$1843,BA1188,$BQ$7:$BQ$1843,"&lt;="&amp;BQ1188),"")</f>
        <v/>
      </c>
      <c r="BC1188" s="65" t="n">
        <f aca="false">IF(BB1188="",0,MAX(0,MIN(1,(IF(BY1188="L1",Parameter!$E$5,Parameter!$E$6+Parameter!$E$7)-(BB1188-AX1188))/AX1188)))</f>
        <v>0</v>
      </c>
      <c r="BD1188" s="55" t="str">
        <f aca="false">IF(AH1188&lt;=0,"",IF(BY1188="Aussen","Aussenlager",IF(BY1188="-","Nicht im Lift",IF(AM1188&gt;=1,"Lift",IF(AM1188&lt;=0,"Aussenlager","teilweise")))))</f>
        <v>Nicht im Lift</v>
      </c>
      <c r="BE1188" s="55" t="str">
        <f aca="false">IF(AP1188&lt;=0,"",IF(BY1188="Aussen","Aussenlager",IF(BY1188="-","Nicht im Lift",IF(AU1188&gt;=1,"Lift",IF(AU1188&lt;=0,"Aussenlager","teilweise")))))</f>
        <v>Nicht im Lift</v>
      </c>
      <c r="BF1188" s="55" t="str">
        <f aca="false">IF(AX1188&lt;=0,"",IF(BY1188="Aussen","Aussenlager",IF(BY1188="-","Nicht im Lift",IF(BC1188&gt;=1,"Lift",IF(BC1188&lt;=0,"Aussenlager","teilweise")))))</f>
        <v>Nicht im Lift</v>
      </c>
      <c r="BG1188" s="55" t="str">
        <f aca="false">IF(A1188="","",IF(BP1188=1,"Neu; ","")&amp;IF(AND(BP1188=0,BK1188&lt;0),"negativer Bestand (Export "&amp;BK1188&amp;"); ","")&amp;IF(J1188&lt;=0,"Kein Verbrauch; ","")&amp;IF(CH1188&gt;0,"Lift "&amp;W1188&amp;" lt. Liftbericht (Fach "&amp;X1188&amp;" Stk); ",IF(BU1188=1,"Gebinde geschätzt ("&amp;T1188&amp;"); ",IF(BT1188=1,"Lose – Tablare geschätzt; ","")))&amp;IF(H1188&gt;AR1188,"Überbestand "&amp;ROUND(H1188-AR1188,0)&amp;" Stk / CHF "&amp;ROUND((H1188-AR1188)*G1188,0)&amp;"; ","")&amp;IF(AND(CA1188=1,CB1188&lt;CC1188),"MAX &lt; MB+LG; ","")&amp;IF(AND(CG1188&gt;0,CF1188*10&gt;CG1188),"zu hoch für Tablar; ","")&amp;IF(AND(BP1188=0,OR(CA1188=1,AA1188&lt;&gt;"",U1188&lt;&gt;"",V1188&lt;&gt;"",AB1188&lt;&gt;"")),"manuell übersteuert; ","")&amp;IF(AND(BT1188=0,R1188=0),"Gebinde unbekannt / Stellmass fehlt; ","")&amp;IF(AND(BT1188=0,N(V1188)&lt;=0,N(Q1188)&lt;=0),"Menge pro Gebinde fehlt (Ist = 1 Gebinde); ","")&amp;BO1188)</f>
        <v>negativer Bestand (Export -1); Gebinde geschätzt (Mittel); Menge pro Gebinde fehlt (Ist = 1 Gebinde); </v>
      </c>
      <c r="BH1188" s="55"/>
      <c r="BI1188" s="55"/>
      <c r="BJ1188" s="62"/>
      <c r="BK1188" s="57" t="n">
        <v>-1</v>
      </c>
      <c r="BL1188" s="57" t="n">
        <v>2</v>
      </c>
      <c r="BM1188" s="56" t="n">
        <v>-412.34</v>
      </c>
      <c r="BN1188" s="57" t="n">
        <v>3</v>
      </c>
      <c r="BO1188" s="55"/>
      <c r="BP1188" s="60" t="n">
        <v>0</v>
      </c>
      <c r="BQ1188" s="60" t="n">
        <v>1188</v>
      </c>
      <c r="BR1188" s="55" t="str">
        <f aca="false">IF(U1188&lt;&gt;"",UPPER(TRIM(U1188)),IF(BU1188=1,UPPER(VLOOKUP(T1188,Parameter!$I$27:$K$29,2,0)),IF(P1188="","LOSE",P1188)))</f>
        <v>S61</v>
      </c>
      <c r="BS1188" s="57" t="n">
        <f aca="false">IF(BR1188="LOSE",1,IF(N(V1188)&gt;0,V1188,IF(BU1188=1,MAX(1,N(VLOOKUP(T1188,Parameter!$I$27:$K$29,3,0)),H1188,N(N1188)),IF(N(Q1188)&gt;0,Q1188,MAX(1,H1188)))))</f>
        <v>5</v>
      </c>
      <c r="BT1188" s="60" t="n">
        <f aca="false">IF(BR1188="LOSE",1,0)</f>
        <v>0</v>
      </c>
      <c r="BU1188" s="60" t="n">
        <f aca="false">IF(AND(U1188="",OR(P1188="",P1188="LOSE"),T1188&lt;&gt;"",N(S1188)&lt;=0,ISNUMBER(MATCH(T1188,Parameter!$I$27:$I$29,0))),1,0)</f>
        <v>1</v>
      </c>
      <c r="BV1188" s="55" t="str">
        <f aca="false">IF(AND(Parameter!$B$19="Ja",E1188&lt;&gt;"",ISNUMBER(MATCH(E1188,Parameter!$I$35:$I$52,0))),VLOOKUP(E1188,Parameter!$I$35:$J$52,2,0),IFERROR(VLOOKUP(D1188,Parameter!$A$35:$C$64,2,0),"Nein"))</f>
        <v>Nein</v>
      </c>
      <c r="BW1188" s="59" t="n">
        <f aca="false">IF(BT1188=0,0,IF(N(S1188)&gt;0,S1188,IFERROR(VLOOKUP(D1188,Parameter!$A$35:$C$64,3,0)+0,0)))</f>
        <v>0</v>
      </c>
      <c r="BX1188" s="55" t="str">
        <f aca="false">IF(AA1188&lt;&gt;"",AA1188,Z1188)</f>
        <v>-</v>
      </c>
      <c r="BY1188" s="55" t="str">
        <f aca="false">IF(BX1188=1,"L1",IF(OR(BX1188=2,BX1188=3),"L23",IF(BX1188="Aussen","Aussen","-")))</f>
        <v>-</v>
      </c>
      <c r="BZ1188" s="66" t="n">
        <f aca="false">IF(N(AB1188)&gt;0,AB1188,0)</f>
        <v>0</v>
      </c>
      <c r="CA1188" s="60" t="n">
        <f aca="false">IF(ISNUMBER(AE1188),1,0)</f>
        <v>0</v>
      </c>
      <c r="CB1188" s="57" t="n">
        <f aca="false">N(AE1188)</f>
        <v>0</v>
      </c>
      <c r="CC1188" s="57" t="n">
        <f aca="false">N(M1188)+N(N1188)</f>
        <v>5</v>
      </c>
      <c r="CD1188" s="57" t="n">
        <f aca="false">ROUNDUP(H1188/BS1188,0)</f>
        <v>1</v>
      </c>
      <c r="CE1188" s="57" t="n">
        <f aca="false">ROUNDUP(CB1188/BS1188,0)</f>
        <v>0</v>
      </c>
      <c r="CF1188" s="60" t="n">
        <f aca="false">IF(BT1188=1,0,IFERROR(VLOOKUP(BR1188,'Gebinde-Kategorie'!$A$5:$M$45,5,0)+0,0))</f>
        <v>11</v>
      </c>
      <c r="CG1188" s="60" t="n">
        <f aca="false">IFERROR(IF(OR(BX1188=1,BX1188=2,BX1188=3),N(INDEX(Parameter!$I$5:$I$7,BX1188)),0),0)</f>
        <v>0</v>
      </c>
      <c r="CH1188" s="59" t="n">
        <f aca="false">IF(AND(Parameter!$B$21="Ja",ISNUMBER(W1188),N(X1188)&gt;0),IFERROR(N(INDEX(Parameter!$L$5:$L$7,W1188))*INDEX(Parameter!$E$5:$E$7,W1188)*X1188/SUMIFS($X$7:$X$1843,$W$7:$W$1843,W1188),0),0)</f>
        <v>0</v>
      </c>
    </row>
    <row r="1189" customFormat="false" ht="15" hidden="false" customHeight="false" outlineLevel="0" collapsed="false">
      <c r="A1189" s="55" t="s">
        <v>2140</v>
      </c>
      <c r="B1189" s="55" t="s">
        <v>1495</v>
      </c>
      <c r="C1189" s="55" t="s">
        <v>164</v>
      </c>
      <c r="D1189" s="55" t="s">
        <v>184</v>
      </c>
      <c r="E1189" s="55"/>
      <c r="F1189" s="55" t="s">
        <v>218</v>
      </c>
      <c r="G1189" s="56" t="n">
        <v>2.2</v>
      </c>
      <c r="H1189" s="57" t="n">
        <f aca="false">MAX(0,IF(AND(Parameter!$B$21="Ja",ISNUMBER(Y1189)),Y1189,IF(Parameter!$B$20="Jahresanfang 2025 + Export",BL1189+BK1189,BK1189)))</f>
        <v>792</v>
      </c>
      <c r="I1189" s="57" t="n">
        <f aca="false">H1189*G1189</f>
        <v>1742.4</v>
      </c>
      <c r="J1189" s="57" t="n">
        <f aca="false">BN1189*Parameter!$B$18</f>
        <v>118</v>
      </c>
      <c r="K1189" s="58" t="n">
        <v>936</v>
      </c>
      <c r="L1189" s="59" t="n">
        <v>0.126068376068376</v>
      </c>
      <c r="M1189" s="57" t="n">
        <v>6</v>
      </c>
      <c r="N1189" s="57" t="n">
        <v>120</v>
      </c>
      <c r="O1189" s="60" t="n">
        <v>21</v>
      </c>
      <c r="P1189" s="55" t="s">
        <v>401</v>
      </c>
      <c r="Q1189" s="57" t="n">
        <v>800</v>
      </c>
      <c r="R1189" s="60" t="n">
        <f aca="false">IF(BT1189=1,0,IFERROR(VLOOKUP(BR1189,'Gebinde-Kategorie'!$A$5:$M$45,13,0)+0,0))</f>
        <v>414</v>
      </c>
      <c r="S1189" s="61"/>
      <c r="T1189" s="62"/>
      <c r="U1189" s="62"/>
      <c r="V1189" s="62"/>
      <c r="W1189" s="55"/>
      <c r="X1189" s="57"/>
      <c r="Y1189" s="57"/>
      <c r="Z1189" s="55" t="n">
        <f aca="false">IF(A1189="","",IF(AND(Parameter!$B$21="Ja",ISNUMBER(W1189)),W1189,IF(BV1189="2+3",IF(ISNUMBER(SEARCH("grosser Artikel",BO1189)),2,IFERROR(VLOOKUP(BR1189,Parameter!$F$35:$G$64,2,0),2)),IF(OR(BV1189="Nein",BV1189=""),"-",BV1189))))</f>
        <v>3</v>
      </c>
      <c r="AA1189" s="62"/>
      <c r="AB1189" s="63"/>
      <c r="AC1189" s="57" t="n">
        <f aca="false">AR1189</f>
        <v>800</v>
      </c>
      <c r="AD1189" s="57" t="n">
        <f aca="false">MAX(AR1189,H1189)</f>
        <v>800</v>
      </c>
      <c r="AE1189" s="64"/>
      <c r="AF1189" s="57" t="n">
        <f aca="false">IF(LEFT(Cockpit!$C$5,1)="A",H1189,IF(CA1189=1,CB1189,IF(LEFT(Cockpit!$C$5,1)="B",AJ1189,MAX(AJ1189,H1189))))</f>
        <v>792</v>
      </c>
      <c r="AG1189" s="57" t="n">
        <f aca="false">IF(BT1189=1,0,ROUNDUP(AF1189/BS1189,0))</f>
        <v>1</v>
      </c>
      <c r="AH1189" s="59" t="n">
        <f aca="false">IF(CH1189&gt;0,CH1189*MAX(1,AF1189/X1189),IF(BT1189=1,IF(AF1189&lt;=0,0,BW1189*MAX(1,IF(H1189&gt;0,AF1189/H1189,1))),IF(R1189&gt;0,AG1189/R1189,0))/MAX(0.1,N(Parameter!$M$21)))</f>
        <v>0.00241545893719807</v>
      </c>
      <c r="AI1189" s="57" t="n">
        <f aca="false">AF1189*G1189</f>
        <v>1742.4</v>
      </c>
      <c r="AJ1189" s="57" t="n">
        <f aca="false">ROUNDUP(MAX(J1189/IF(BZ1189&gt;0,BZ1189,MAX(0.1,N(Cockpit!$C$6))),CC1189)/BS1189,0)*BS1189</f>
        <v>800</v>
      </c>
      <c r="AK1189" s="58" t="n">
        <f aca="false">IF(AH1189&gt;0,J1189/AH1189,-1)</f>
        <v>48852</v>
      </c>
      <c r="AL1189" s="58" t="n">
        <f aca="false">IF(AND(OR(BY1189="L1",BY1189="L23"),AH1189&gt;0),SUMIFS($AH$7:$AH$1843,$BY$7:$BY$1843,BY1189,$AK$7:$AK$1843,"&gt;"&amp;AK1189)+SUMIFS($AH$7:$AH$1843,$BY$7:$BY$1843,BY1189,$AK$7:$AK$1843,AK1189,$BQ$7:$BQ$1843,"&lt;="&amp;BQ1189),"")</f>
        <v>1.41452146886929</v>
      </c>
      <c r="AM1189" s="65" t="n">
        <f aca="false">IF(AL1189="",0,MAX(0,MIN(1,(IF(BY1189="L1",Parameter!$E$5,Parameter!$E$6+Parameter!$E$7)-(AL1189-AH1189))/AH1189)))</f>
        <v>1</v>
      </c>
      <c r="AN1189" s="57" t="n">
        <f aca="false">IF(LEFT(Cockpit!$I$5,1)="A",H1189,IF(CA1189=1,CB1189,IF(LEFT(Cockpit!$I$5,1)="B",AR1189,MAX(AR1189,H1189))))</f>
        <v>800</v>
      </c>
      <c r="AO1189" s="57" t="n">
        <f aca="false">IF(BT1189=1,0,ROUNDUP(AN1189/BS1189,0))</f>
        <v>1</v>
      </c>
      <c r="AP1189" s="59" t="n">
        <f aca="false">IF(CH1189&gt;0,CH1189*MAX(1,AN1189/X1189),IF(BT1189=1,IF(AN1189&lt;=0,0,BW1189*MAX(1,IF(H1189&gt;0,AN1189/H1189,1))),IF(R1189&gt;0,AO1189/R1189,0))/MAX(0.1,N(Parameter!$M$21)))</f>
        <v>0.00241545893719807</v>
      </c>
      <c r="AQ1189" s="57" t="n">
        <f aca="false">AN1189*G1189</f>
        <v>1760</v>
      </c>
      <c r="AR1189" s="57" t="n">
        <f aca="false">ROUNDUP(MAX(J1189/IF(BZ1189&gt;0,BZ1189,MAX(0.1,N(Cockpit!$I$6))),CC1189)/BS1189,0)*BS1189</f>
        <v>800</v>
      </c>
      <c r="AS1189" s="58" t="n">
        <f aca="false">IF(AP1189&gt;0,J1189/AP1189,-1)</f>
        <v>48852</v>
      </c>
      <c r="AT1189" s="58" t="n">
        <f aca="false">IF(AND(OR(BY1189="L1",BY1189="L23"),AP1189&gt;0),SUMIFS($AP$7:$AP$1843,$BY$7:$BY$1843,BY1189,$AS$7:$AS$1843,"&gt;"&amp;AS1189)+SUMIFS($AP$7:$AP$1843,$BY$7:$BY$1843,BY1189,$AS$7:$AS$1843,AS1189,$BQ$7:$BQ$1843,"&lt;="&amp;BQ1189),"")</f>
        <v>1.51886760582413</v>
      </c>
      <c r="AU1189" s="65" t="n">
        <f aca="false">IF(AT1189="",0,MAX(0,MIN(1,(IF(BY1189="L1",Parameter!$E$5,Parameter!$E$6+Parameter!$E$7)-(AT1189-AP1189))/AP1189)))</f>
        <v>1</v>
      </c>
      <c r="AV1189" s="57" t="n">
        <f aca="false">IF(LEFT(Cockpit!$O$5,1)="A",H1189,IF(CA1189=1,CB1189,IF(LEFT(Cockpit!$O$5,1)="B",AZ1189,MAX(AZ1189,H1189))))</f>
        <v>800</v>
      </c>
      <c r="AW1189" s="57" t="n">
        <f aca="false">IF(BT1189=1,0,ROUNDUP(AV1189/BS1189,0))</f>
        <v>1</v>
      </c>
      <c r="AX1189" s="59" t="n">
        <f aca="false">IF(CH1189&gt;0,CH1189*MAX(1,AV1189/X1189),IF(BT1189=1,IF(AV1189&lt;=0,0,BW1189*MAX(1,IF(H1189&gt;0,AV1189/H1189,1))),IF(R1189&gt;0,AW1189/R1189,0))/MAX(0.1,N(Parameter!$M$21)))</f>
        <v>0.00241545893719807</v>
      </c>
      <c r="AY1189" s="57" t="n">
        <f aca="false">AV1189*G1189</f>
        <v>1760</v>
      </c>
      <c r="AZ1189" s="57" t="n">
        <f aca="false">ROUNDUP(MAX(J1189/IF(BZ1189&gt;0,BZ1189,MAX(0.1,N(Cockpit!$O$6))),CC1189)/BS1189,0)*BS1189</f>
        <v>800</v>
      </c>
      <c r="BA1189" s="58" t="n">
        <f aca="false">IF(AX1189&gt;0,J1189/AX1189,-1)</f>
        <v>48852</v>
      </c>
      <c r="BB1189" s="58" t="n">
        <f aca="false">IF(AND(OR(BY1189="L1",BY1189="L23"),AX1189&gt;0),SUMIFS($AX$7:$AX$1843,$BY$7:$BY$1843,BY1189,$BA$7:$BA$1843,"&gt;"&amp;BA1189)+SUMIFS($AX$7:$AX$1843,$BY$7:$BY$1843,BY1189,$BA$7:$BA$1843,BA1189,$BQ$7:$BQ$1843,"&lt;="&amp;BQ1189),"")</f>
        <v>1.80966014661667</v>
      </c>
      <c r="BC1189" s="65" t="n">
        <f aca="false">IF(BB1189="",0,MAX(0,MIN(1,(IF(BY1189="L1",Parameter!$E$5,Parameter!$E$6+Parameter!$E$7)-(BB1189-AX1189))/AX1189)))</f>
        <v>1</v>
      </c>
      <c r="BD1189" s="55" t="str">
        <f aca="false">IF(AH1189&lt;=0,"",IF(BY1189="Aussen","Aussenlager",IF(BY1189="-","Nicht im Lift",IF(AM1189&gt;=1,"Lift",IF(AM1189&lt;=0,"Aussenlager","teilweise")))))</f>
        <v>Lift</v>
      </c>
      <c r="BE1189" s="55" t="str">
        <f aca="false">IF(AP1189&lt;=0,"",IF(BY1189="Aussen","Aussenlager",IF(BY1189="-","Nicht im Lift",IF(AU1189&gt;=1,"Lift",IF(AU1189&lt;=0,"Aussenlager","teilweise")))))</f>
        <v>Lift</v>
      </c>
      <c r="BF1189" s="55" t="str">
        <f aca="false">IF(AX1189&lt;=0,"",IF(BY1189="Aussen","Aussenlager",IF(BY1189="-","Nicht im Lift",IF(BC1189&gt;=1,"Lift",IF(BC1189&lt;=0,"Aussenlager","teilweise")))))</f>
        <v>Lift</v>
      </c>
      <c r="BG1189" s="55" t="str">
        <f aca="false">IF(A1189="","",IF(BP1189=1,"Neu; ","")&amp;IF(AND(BP1189=0,BK1189&lt;0),"negativer Bestand (Export "&amp;BK1189&amp;"); ","")&amp;IF(J1189&lt;=0,"Kein Verbrauch; ","")&amp;IF(CH1189&gt;0,"Lift "&amp;W1189&amp;" lt. Liftbericht (Fach "&amp;X1189&amp;" Stk); ",IF(BU1189=1,"Gebinde geschätzt ("&amp;T1189&amp;"); ",IF(BT1189=1,"Lose – Tablare geschätzt; ","")))&amp;IF(H1189&gt;AR1189,"Überbestand "&amp;ROUND(H1189-AR1189,0)&amp;" Stk / CHF "&amp;ROUND((H1189-AR1189)*G1189,0)&amp;"; ","")&amp;IF(AND(CA1189=1,CB1189&lt;CC1189),"MAX &lt; MB+LG; ","")&amp;IF(AND(CG1189&gt;0,CF1189*10&gt;CG1189),"zu hoch für Tablar; ","")&amp;IF(AND(BP1189=0,OR(CA1189=1,AA1189&lt;&gt;"",U1189&lt;&gt;"",V1189&lt;&gt;"",AB1189&lt;&gt;"")),"manuell übersteuert; ","")&amp;IF(AND(BT1189=0,R1189=0),"Gebinde unbekannt / Stellmass fehlt; ","")&amp;IF(AND(BT1189=0,N(V1189)&lt;=0,N(Q1189)&lt;=0),"Menge pro Gebinde fehlt (Ist = 1 Gebinde); ","")&amp;BO1189)</f>
        <v>negativer Bestand (Export -188); </v>
      </c>
      <c r="BH1189" s="55"/>
      <c r="BI1189" s="55"/>
      <c r="BJ1189" s="62"/>
      <c r="BK1189" s="57" t="n">
        <v>-188</v>
      </c>
      <c r="BL1189" s="57" t="n">
        <v>980</v>
      </c>
      <c r="BM1189" s="56" t="n">
        <v>-413.6</v>
      </c>
      <c r="BN1189" s="57" t="n">
        <v>118</v>
      </c>
      <c r="BO1189" s="55"/>
      <c r="BP1189" s="60" t="n">
        <v>0</v>
      </c>
      <c r="BQ1189" s="60" t="n">
        <v>1189</v>
      </c>
      <c r="BR1189" s="55" t="str">
        <f aca="false">IF(U1189&lt;&gt;"",UPPER(TRIM(U1189)),IF(BU1189=1,UPPER(VLOOKUP(T1189,Parameter!$I$27:$K$29,2,0)),IF(P1189="","LOSE",P1189)))</f>
        <v>S21</v>
      </c>
      <c r="BS1189" s="57" t="n">
        <f aca="false">IF(BR1189="LOSE",1,IF(N(V1189)&gt;0,V1189,IF(BU1189=1,MAX(1,N(VLOOKUP(T1189,Parameter!$I$27:$K$29,3,0)),H1189,N(N1189)),IF(N(Q1189)&gt;0,Q1189,MAX(1,H1189)))))</f>
        <v>800</v>
      </c>
      <c r="BT1189" s="60" t="n">
        <f aca="false">IF(BR1189="LOSE",1,0)</f>
        <v>0</v>
      </c>
      <c r="BU1189" s="60" t="n">
        <f aca="false">IF(AND(U1189="",OR(P1189="",P1189="LOSE"),T1189&lt;&gt;"",N(S1189)&lt;=0,ISNUMBER(MATCH(T1189,Parameter!$I$27:$I$29,0))),1,0)</f>
        <v>0</v>
      </c>
      <c r="BV1189" s="55" t="str">
        <f aca="false">IF(AND(Parameter!$B$19="Ja",E1189&lt;&gt;"",ISNUMBER(MATCH(E1189,Parameter!$I$35:$I$52,0))),VLOOKUP(E1189,Parameter!$I$35:$J$52,2,0),IFERROR(VLOOKUP(D1189,Parameter!$A$35:$C$64,2,0),"Nein"))</f>
        <v>2+3</v>
      </c>
      <c r="BW1189" s="59" t="n">
        <f aca="false">IF(BT1189=0,0,IF(N(S1189)&gt;0,S1189,IFERROR(VLOOKUP(D1189,Parameter!$A$35:$C$64,3,0)+0,0)))</f>
        <v>0</v>
      </c>
      <c r="BX1189" s="55" t="n">
        <f aca="false">IF(AA1189&lt;&gt;"",AA1189,Z1189)</f>
        <v>3</v>
      </c>
      <c r="BY1189" s="55" t="str">
        <f aca="false">IF(BX1189=1,"L1",IF(OR(BX1189=2,BX1189=3),"L23",IF(BX1189="Aussen","Aussen","-")))</f>
        <v>L23</v>
      </c>
      <c r="BZ1189" s="66" t="n">
        <f aca="false">IF(N(AB1189)&gt;0,AB1189,0)</f>
        <v>0</v>
      </c>
      <c r="CA1189" s="60" t="n">
        <f aca="false">IF(ISNUMBER(AE1189),1,0)</f>
        <v>0</v>
      </c>
      <c r="CB1189" s="57" t="n">
        <f aca="false">N(AE1189)</f>
        <v>0</v>
      </c>
      <c r="CC1189" s="57" t="n">
        <f aca="false">N(M1189)+N(N1189)</f>
        <v>126</v>
      </c>
      <c r="CD1189" s="57" t="n">
        <f aca="false">ROUNDUP(H1189/BS1189,0)</f>
        <v>1</v>
      </c>
      <c r="CE1189" s="57" t="n">
        <f aca="false">ROUNDUP(CB1189/BS1189,0)</f>
        <v>0</v>
      </c>
      <c r="CF1189" s="60" t="n">
        <f aca="false">IF(BT1189=1,0,IFERROR(VLOOKUP(BR1189,'Gebinde-Kategorie'!$A$5:$M$45,5,0)+0,0))</f>
        <v>8</v>
      </c>
      <c r="CG1189" s="60" t="n">
        <f aca="false">IFERROR(IF(OR(BX1189=1,BX1189=2,BX1189=3),N(INDEX(Parameter!$I$5:$I$7,BX1189)),0),0)</f>
        <v>0</v>
      </c>
      <c r="CH1189" s="59" t="n">
        <f aca="false">IF(AND(Parameter!$B$21="Ja",ISNUMBER(W1189),N(X1189)&gt;0),IFERROR(N(INDEX(Parameter!$L$5:$L$7,W1189))*INDEX(Parameter!$E$5:$E$7,W1189)*X1189/SUMIFS($X$7:$X$1843,$W$7:$W$1843,W1189),0),0)</f>
        <v>0</v>
      </c>
    </row>
    <row r="1190" customFormat="false" ht="15" hidden="false" customHeight="false" outlineLevel="0" collapsed="false">
      <c r="A1190" s="55" t="s">
        <v>2141</v>
      </c>
      <c r="B1190" s="55" t="s">
        <v>2142</v>
      </c>
      <c r="C1190" s="55" t="s">
        <v>164</v>
      </c>
      <c r="D1190" s="55" t="s">
        <v>184</v>
      </c>
      <c r="E1190" s="55"/>
      <c r="F1190" s="55" t="s">
        <v>218</v>
      </c>
      <c r="G1190" s="56" t="n">
        <v>14.3</v>
      </c>
      <c r="H1190" s="57" t="n">
        <f aca="false">MAX(0,IF(AND(Parameter!$B$21="Ja",ISNUMBER(Y1190)),Y1190,IF(Parameter!$B$20="Jahresanfang 2025 + Export",BL1190+BK1190,BK1190)))</f>
        <v>0</v>
      </c>
      <c r="I1190" s="57" t="n">
        <f aca="false">H1190*G1190</f>
        <v>0</v>
      </c>
      <c r="J1190" s="57" t="n">
        <f aca="false">BN1190*Parameter!$B$18</f>
        <v>29</v>
      </c>
      <c r="K1190" s="58" t="n">
        <v>14.5</v>
      </c>
      <c r="L1190" s="59" t="n">
        <v>2</v>
      </c>
      <c r="M1190" s="57" t="n">
        <v>0</v>
      </c>
      <c r="N1190" s="57" t="n">
        <v>1</v>
      </c>
      <c r="O1190" s="60" t="n">
        <v>21</v>
      </c>
      <c r="P1190" s="55" t="s">
        <v>168</v>
      </c>
      <c r="Q1190" s="57"/>
      <c r="R1190" s="60" t="n">
        <f aca="false">IF(BT1190=1,0,IFERROR(VLOOKUP(BR1190,'Gebinde-Kategorie'!$A$5:$M$45,13,0)+0,0))</f>
        <v>3</v>
      </c>
      <c r="S1190" s="61"/>
      <c r="T1190" s="62" t="s">
        <v>189</v>
      </c>
      <c r="U1190" s="62"/>
      <c r="V1190" s="62"/>
      <c r="W1190" s="55"/>
      <c r="X1190" s="57"/>
      <c r="Y1190" s="57"/>
      <c r="Z1190" s="55" t="n">
        <f aca="false">IF(A1190="","",IF(AND(Parameter!$B$21="Ja",ISNUMBER(W1190)),W1190,IF(BV1190="2+3",IF(ISNUMBER(SEARCH("grosser Artikel",BO1190)),2,IFERROR(VLOOKUP(BR1190,Parameter!$F$35:$G$64,2,0),2)),IF(OR(BV1190="Nein",BV1190=""),"-",BV1190))))</f>
        <v>2</v>
      </c>
      <c r="AA1190" s="62"/>
      <c r="AB1190" s="63"/>
      <c r="AC1190" s="57" t="n">
        <f aca="false">AR1190</f>
        <v>16</v>
      </c>
      <c r="AD1190" s="57" t="n">
        <f aca="false">MAX(AR1190,H1190)</f>
        <v>16</v>
      </c>
      <c r="AE1190" s="64"/>
      <c r="AF1190" s="57" t="n">
        <f aca="false">IF(LEFT(Cockpit!$C$5,1)="A",H1190,IF(CA1190=1,CB1190,IF(LEFT(Cockpit!$C$5,1)="B",AJ1190,MAX(AJ1190,H1190))))</f>
        <v>0</v>
      </c>
      <c r="AG1190" s="57" t="n">
        <f aca="false">IF(BT1190=1,0,ROUNDUP(AF1190/BS1190,0))</f>
        <v>0</v>
      </c>
      <c r="AH1190" s="59" t="n">
        <f aca="false">IF(CH1190&gt;0,CH1190*MAX(1,AF1190/X1190),IF(BT1190=1,IF(AF1190&lt;=0,0,BW1190*MAX(1,IF(H1190&gt;0,AF1190/H1190,1))),IF(R1190&gt;0,AG1190/R1190,0))/MAX(0.1,N(Parameter!$M$21)))</f>
        <v>0</v>
      </c>
      <c r="AI1190" s="57" t="n">
        <f aca="false">AF1190*G1190</f>
        <v>0</v>
      </c>
      <c r="AJ1190" s="57" t="n">
        <f aca="false">ROUNDUP(MAX(J1190/IF(BZ1190&gt;0,BZ1190,MAX(0.1,N(Cockpit!$C$6))),CC1190)/BS1190,0)*BS1190</f>
        <v>16</v>
      </c>
      <c r="AK1190" s="58" t="n">
        <f aca="false">IF(AH1190&gt;0,J1190/AH1190,-1)</f>
        <v>-1</v>
      </c>
      <c r="AL1190" s="58" t="str">
        <f aca="false">IF(AND(OR(BY1190="L1",BY1190="L23"),AH1190&gt;0),SUMIFS($AH$7:$AH$1843,$BY$7:$BY$1843,BY1190,$AK$7:$AK$1843,"&gt;"&amp;AK1190)+SUMIFS($AH$7:$AH$1843,$BY$7:$BY$1843,BY1190,$AK$7:$AK$1843,AK1190,$BQ$7:$BQ$1843,"&lt;="&amp;BQ1190),"")</f>
        <v/>
      </c>
      <c r="AM1190" s="65" t="n">
        <f aca="false">IF(AL1190="",0,MAX(0,MIN(1,(IF(BY1190="L1",Parameter!$E$5,Parameter!$E$6+Parameter!$E$7)-(AL1190-AH1190))/AH1190)))</f>
        <v>0</v>
      </c>
      <c r="AN1190" s="57" t="n">
        <f aca="false">IF(LEFT(Cockpit!$I$5,1)="A",H1190,IF(CA1190=1,CB1190,IF(LEFT(Cockpit!$I$5,1)="B",AR1190,MAX(AR1190,H1190))))</f>
        <v>16</v>
      </c>
      <c r="AO1190" s="57" t="n">
        <f aca="false">IF(BT1190=1,0,ROUNDUP(AN1190/BS1190,0))</f>
        <v>8</v>
      </c>
      <c r="AP1190" s="59" t="n">
        <f aca="false">IF(CH1190&gt;0,CH1190*MAX(1,AN1190/X1190),IF(BT1190=1,IF(AN1190&lt;=0,0,BW1190*MAX(1,IF(H1190&gt;0,AN1190/H1190,1))),IF(R1190&gt;0,AO1190/R1190,0))/MAX(0.1,N(Parameter!$M$21)))</f>
        <v>2.66666666666667</v>
      </c>
      <c r="AQ1190" s="57" t="n">
        <f aca="false">AN1190*G1190</f>
        <v>228.8</v>
      </c>
      <c r="AR1190" s="57" t="n">
        <f aca="false">ROUNDUP(MAX(J1190/IF(BZ1190&gt;0,BZ1190,MAX(0.1,N(Cockpit!$I$6))),CC1190)/BS1190,0)*BS1190</f>
        <v>16</v>
      </c>
      <c r="AS1190" s="58" t="n">
        <f aca="false">IF(AP1190&gt;0,J1190/AP1190,-1)</f>
        <v>10.875</v>
      </c>
      <c r="AT1190" s="58" t="n">
        <f aca="false">IF(AND(OR(BY1190="L1",BY1190="L23"),AP1190&gt;0),SUMIFS($AP$7:$AP$1843,$BY$7:$BY$1843,BY1190,$AS$7:$AS$1843,"&gt;"&amp;AS1190)+SUMIFS($AP$7:$AP$1843,$BY$7:$BY$1843,BY1190,$AS$7:$AS$1843,AS1190,$BQ$7:$BQ$1843,"&lt;="&amp;BQ1190),"")</f>
        <v>91.0315360967535</v>
      </c>
      <c r="AU1190" s="65" t="n">
        <f aca="false">IF(AT1190="",0,MAX(0,MIN(1,(IF(BY1190="L1",Parameter!$E$5,Parameter!$E$6+Parameter!$E$7)-(AT1190-AP1190))/AP1190)))</f>
        <v>1</v>
      </c>
      <c r="AV1190" s="57" t="n">
        <f aca="false">IF(LEFT(Cockpit!$O$5,1)="A",H1190,IF(CA1190=1,CB1190,IF(LEFT(Cockpit!$O$5,1)="B",AZ1190,MAX(AZ1190,H1190))))</f>
        <v>10</v>
      </c>
      <c r="AW1190" s="57" t="n">
        <f aca="false">IF(BT1190=1,0,ROUNDUP(AV1190/BS1190,0))</f>
        <v>5</v>
      </c>
      <c r="AX1190" s="59" t="n">
        <f aca="false">IF(CH1190&gt;0,CH1190*MAX(1,AV1190/X1190),IF(BT1190=1,IF(AV1190&lt;=0,0,BW1190*MAX(1,IF(H1190&gt;0,AV1190/H1190,1))),IF(R1190&gt;0,AW1190/R1190,0))/MAX(0.1,N(Parameter!$M$21)))</f>
        <v>1.66666666666667</v>
      </c>
      <c r="AY1190" s="57" t="n">
        <f aca="false">AV1190*G1190</f>
        <v>143</v>
      </c>
      <c r="AZ1190" s="57" t="n">
        <f aca="false">ROUNDUP(MAX(J1190/IF(BZ1190&gt;0,BZ1190,MAX(0.1,N(Cockpit!$O$6))),CC1190)/BS1190,0)*BS1190</f>
        <v>10</v>
      </c>
      <c r="BA1190" s="58" t="n">
        <f aca="false">IF(AX1190&gt;0,J1190/AX1190,-1)</f>
        <v>17.4</v>
      </c>
      <c r="BB1190" s="58" t="n">
        <f aca="false">IF(AND(OR(BY1190="L1",BY1190="L23"),AX1190&gt;0),SUMIFS($AX$7:$AX$1843,$BY$7:$BY$1843,BY1190,$BA$7:$BA$1843,"&gt;"&amp;BA1190)+SUMIFS($AX$7:$AX$1843,$BY$7:$BY$1843,BY1190,$BA$7:$BA$1843,BA1190,$BQ$7:$BQ$1843,"&lt;="&amp;BQ1190),"")</f>
        <v>79.5088088240262</v>
      </c>
      <c r="BC1190" s="65" t="n">
        <f aca="false">IF(BB1190="",0,MAX(0,MIN(1,(IF(BY1190="L1",Parameter!$E$5,Parameter!$E$6+Parameter!$E$7)-(BB1190-AX1190))/AX1190)))</f>
        <v>1</v>
      </c>
      <c r="BD1190" s="55" t="str">
        <f aca="false">IF(AH1190&lt;=0,"",IF(BY1190="Aussen","Aussenlager",IF(BY1190="-","Nicht im Lift",IF(AM1190&gt;=1,"Lift",IF(AM1190&lt;=0,"Aussenlager","teilweise")))))</f>
        <v/>
      </c>
      <c r="BE1190" s="55" t="str">
        <f aca="false">IF(AP1190&lt;=0,"",IF(BY1190="Aussen","Aussenlager",IF(BY1190="-","Nicht im Lift",IF(AU1190&gt;=1,"Lift",IF(AU1190&lt;=0,"Aussenlager","teilweise")))))</f>
        <v>Lift</v>
      </c>
      <c r="BF1190" s="55" t="str">
        <f aca="false">IF(AX1190&lt;=0,"",IF(BY1190="Aussen","Aussenlager",IF(BY1190="-","Nicht im Lift",IF(BC1190&gt;=1,"Lift",IF(BC1190&lt;=0,"Aussenlager","teilweise")))))</f>
        <v>Lift</v>
      </c>
      <c r="BG1190" s="55" t="str">
        <f aca="false">IF(A1190="","",IF(BP1190=1,"Neu; ","")&amp;IF(AND(BP1190=0,BK1190&lt;0),"negativer Bestand (Export "&amp;BK1190&amp;"); ","")&amp;IF(J1190&lt;=0,"Kein Verbrauch; ","")&amp;IF(CH1190&gt;0,"Lift "&amp;W1190&amp;" lt. Liftbericht (Fach "&amp;X1190&amp;" Stk); ",IF(BU1190=1,"Gebinde geschätzt ("&amp;T1190&amp;"); ",IF(BT1190=1,"Lose – Tablare geschätzt; ","")))&amp;IF(H1190&gt;AR1190,"Überbestand "&amp;ROUND(H1190-AR1190,0)&amp;" Stk / CHF "&amp;ROUND((H1190-AR1190)*G1190,0)&amp;"; ","")&amp;IF(AND(CA1190=1,CB1190&lt;CC1190),"MAX &lt; MB+LG; ","")&amp;IF(AND(CG1190&gt;0,CF1190*10&gt;CG1190),"zu hoch für Tablar; ","")&amp;IF(AND(BP1190=0,OR(CA1190=1,AA1190&lt;&gt;"",U1190&lt;&gt;"",V1190&lt;&gt;"",AB1190&lt;&gt;"")),"manuell übersteuert; ","")&amp;IF(AND(BT1190=0,R1190=0),"Gebinde unbekannt / Stellmass fehlt; ","")&amp;IF(AND(BT1190=0,N(V1190)&lt;=0,N(Q1190)&lt;=0),"Menge pro Gebinde fehlt (Ist = 1 Gebinde); ","")&amp;BO1190)</f>
        <v>negativer Bestand (Export -29); Gebinde geschätzt (Gross); Menge pro Gebinde fehlt (Ist = 1 Gebinde); </v>
      </c>
      <c r="BH1190" s="55"/>
      <c r="BI1190" s="55"/>
      <c r="BJ1190" s="62"/>
      <c r="BK1190" s="57" t="n">
        <v>-29</v>
      </c>
      <c r="BL1190" s="57" t="n">
        <v>29</v>
      </c>
      <c r="BM1190" s="56" t="n">
        <v>-414.7</v>
      </c>
      <c r="BN1190" s="57" t="n">
        <v>29</v>
      </c>
      <c r="BO1190" s="55"/>
      <c r="BP1190" s="60" t="n">
        <v>0</v>
      </c>
      <c r="BQ1190" s="60" t="n">
        <v>1190</v>
      </c>
      <c r="BR1190" s="55" t="str">
        <f aca="false">IF(U1190&lt;&gt;"",UPPER(TRIM(U1190)),IF(BU1190=1,UPPER(VLOOKUP(T1190,Parameter!$I$27:$K$29,2,0)),IF(P1190="","LOSE",P1190)))</f>
        <v>S81</v>
      </c>
      <c r="BS1190" s="57" t="n">
        <f aca="false">IF(BR1190="LOSE",1,IF(N(V1190)&gt;0,V1190,IF(BU1190=1,MAX(1,N(VLOOKUP(T1190,Parameter!$I$27:$K$29,3,0)),H1190,N(N1190)),IF(N(Q1190)&gt;0,Q1190,MAX(1,H1190)))))</f>
        <v>2</v>
      </c>
      <c r="BT1190" s="60" t="n">
        <f aca="false">IF(BR1190="LOSE",1,0)</f>
        <v>0</v>
      </c>
      <c r="BU1190" s="60" t="n">
        <f aca="false">IF(AND(U1190="",OR(P1190="",P1190="LOSE"),T1190&lt;&gt;"",N(S1190)&lt;=0,ISNUMBER(MATCH(T1190,Parameter!$I$27:$I$29,0))),1,0)</f>
        <v>1</v>
      </c>
      <c r="BV1190" s="55" t="str">
        <f aca="false">IF(AND(Parameter!$B$19="Ja",E1190&lt;&gt;"",ISNUMBER(MATCH(E1190,Parameter!$I$35:$I$52,0))),VLOOKUP(E1190,Parameter!$I$35:$J$52,2,0),IFERROR(VLOOKUP(D1190,Parameter!$A$35:$C$64,2,0),"Nein"))</f>
        <v>2+3</v>
      </c>
      <c r="BW1190" s="59" t="n">
        <f aca="false">IF(BT1190=0,0,IF(N(S1190)&gt;0,S1190,IFERROR(VLOOKUP(D1190,Parameter!$A$35:$C$64,3,0)+0,0)))</f>
        <v>0</v>
      </c>
      <c r="BX1190" s="55" t="n">
        <f aca="false">IF(AA1190&lt;&gt;"",AA1190,Z1190)</f>
        <v>2</v>
      </c>
      <c r="BY1190" s="55" t="str">
        <f aca="false">IF(BX1190=1,"L1",IF(OR(BX1190=2,BX1190=3),"L23",IF(BX1190="Aussen","Aussen","-")))</f>
        <v>L23</v>
      </c>
      <c r="BZ1190" s="66" t="n">
        <f aca="false">IF(N(AB1190)&gt;0,AB1190,0)</f>
        <v>0</v>
      </c>
      <c r="CA1190" s="60" t="n">
        <f aca="false">IF(ISNUMBER(AE1190),1,0)</f>
        <v>0</v>
      </c>
      <c r="CB1190" s="57" t="n">
        <f aca="false">N(AE1190)</f>
        <v>0</v>
      </c>
      <c r="CC1190" s="57" t="n">
        <f aca="false">N(M1190)+N(N1190)</f>
        <v>1</v>
      </c>
      <c r="CD1190" s="57" t="n">
        <f aca="false">ROUNDUP(H1190/BS1190,0)</f>
        <v>0</v>
      </c>
      <c r="CE1190" s="57" t="n">
        <f aca="false">ROUNDUP(CB1190/BS1190,0)</f>
        <v>0</v>
      </c>
      <c r="CF1190" s="60" t="n">
        <f aca="false">IF(BT1190=1,0,IFERROR(VLOOKUP(BR1190,'Gebinde-Kategorie'!$A$5:$M$45,5,0)+0,0))</f>
        <v>20</v>
      </c>
      <c r="CG1190" s="60" t="n">
        <f aca="false">IFERROR(IF(OR(BX1190=1,BX1190=2,BX1190=3),N(INDEX(Parameter!$I$5:$I$7,BX1190)),0),0)</f>
        <v>0</v>
      </c>
      <c r="CH1190" s="59" t="n">
        <f aca="false">IF(AND(Parameter!$B$21="Ja",ISNUMBER(W1190),N(X1190)&gt;0),IFERROR(N(INDEX(Parameter!$L$5:$L$7,W1190))*INDEX(Parameter!$E$5:$E$7,W1190)*X1190/SUMIFS($X$7:$X$1843,$W$7:$W$1843,W1190),0),0)</f>
        <v>0</v>
      </c>
    </row>
    <row r="1191" customFormat="false" ht="15" hidden="false" customHeight="false" outlineLevel="0" collapsed="false">
      <c r="A1191" s="55" t="s">
        <v>2143</v>
      </c>
      <c r="B1191" s="55" t="s">
        <v>2144</v>
      </c>
      <c r="C1191" s="55" t="s">
        <v>164</v>
      </c>
      <c r="D1191" s="55" t="s">
        <v>184</v>
      </c>
      <c r="E1191" s="55"/>
      <c r="F1191" s="55" t="s">
        <v>218</v>
      </c>
      <c r="G1191" s="56" t="n">
        <v>142.18</v>
      </c>
      <c r="H1191" s="57" t="n">
        <f aca="false">MAX(0,IF(AND(Parameter!$B$21="Ja",ISNUMBER(Y1191)),Y1191,IF(Parameter!$B$20="Jahresanfang 2025 + Export",BL1191+BK1191,BK1191)))</f>
        <v>31</v>
      </c>
      <c r="I1191" s="57" t="n">
        <f aca="false">H1191*G1191</f>
        <v>4407.58</v>
      </c>
      <c r="J1191" s="57" t="n">
        <f aca="false">BN1191*Parameter!$B$18</f>
        <v>0</v>
      </c>
      <c r="K1191" s="58" t="n">
        <v>33.5</v>
      </c>
      <c r="L1191" s="59" t="n">
        <v>0</v>
      </c>
      <c r="M1191" s="57" t="n">
        <v>0</v>
      </c>
      <c r="N1191" s="57" t="n">
        <v>1</v>
      </c>
      <c r="O1191" s="60" t="n">
        <v>28</v>
      </c>
      <c r="P1191" s="55" t="s">
        <v>302</v>
      </c>
      <c r="Q1191" s="57" t="n">
        <v>35</v>
      </c>
      <c r="R1191" s="60" t="n">
        <f aca="false">IF(BT1191=1,0,IFERROR(VLOOKUP(BR1191,'Gebinde-Kategorie'!$A$5:$M$45,13,0)+0,0))</f>
        <v>26</v>
      </c>
      <c r="S1191" s="61"/>
      <c r="T1191" s="62"/>
      <c r="U1191" s="62"/>
      <c r="V1191" s="62"/>
      <c r="W1191" s="55"/>
      <c r="X1191" s="57"/>
      <c r="Y1191" s="57"/>
      <c r="Z1191" s="55" t="n">
        <f aca="false">IF(A1191="","",IF(AND(Parameter!$B$21="Ja",ISNUMBER(W1191)),W1191,IF(BV1191="2+3",IF(ISNUMBER(SEARCH("grosser Artikel",BO1191)),2,IFERROR(VLOOKUP(BR1191,Parameter!$F$35:$G$64,2,0),2)),IF(OR(BV1191="Nein",BV1191=""),"-",BV1191))))</f>
        <v>3</v>
      </c>
      <c r="AA1191" s="62"/>
      <c r="AB1191" s="63"/>
      <c r="AC1191" s="57" t="n">
        <f aca="false">AR1191</f>
        <v>35</v>
      </c>
      <c r="AD1191" s="57" t="n">
        <f aca="false">MAX(AR1191,H1191)</f>
        <v>35</v>
      </c>
      <c r="AE1191" s="64"/>
      <c r="AF1191" s="57" t="n">
        <f aca="false">IF(LEFT(Cockpit!$C$5,1)="A",H1191,IF(CA1191=1,CB1191,IF(LEFT(Cockpit!$C$5,1)="B",AJ1191,MAX(AJ1191,H1191))))</f>
        <v>31</v>
      </c>
      <c r="AG1191" s="57" t="n">
        <f aca="false">IF(BT1191=1,0,ROUNDUP(AF1191/BS1191,0))</f>
        <v>1</v>
      </c>
      <c r="AH1191" s="59" t="n">
        <f aca="false">IF(CH1191&gt;0,CH1191*MAX(1,AF1191/X1191),IF(BT1191=1,IF(AF1191&lt;=0,0,BW1191*MAX(1,IF(H1191&gt;0,AF1191/H1191,1))),IF(R1191&gt;0,AG1191/R1191,0))/MAX(0.1,N(Parameter!$M$21)))</f>
        <v>0.0384615384615385</v>
      </c>
      <c r="AI1191" s="57" t="n">
        <f aca="false">AF1191*G1191</f>
        <v>4407.58</v>
      </c>
      <c r="AJ1191" s="57" t="n">
        <f aca="false">ROUNDUP(MAX(J1191/IF(BZ1191&gt;0,BZ1191,MAX(0.1,N(Cockpit!$C$6))),CC1191)/BS1191,0)*BS1191</f>
        <v>35</v>
      </c>
      <c r="AK1191" s="58" t="n">
        <f aca="false">IF(AH1191&gt;0,J1191/AH1191,-1)</f>
        <v>0</v>
      </c>
      <c r="AL1191" s="58" t="n">
        <f aca="false">IF(AND(OR(BY1191="L1",BY1191="L23"),AH1191&gt;0),SUMIFS($AH$7:$AH$1843,$BY$7:$BY$1843,BY1191,$AK$7:$AK$1843,"&gt;"&amp;AK1191)+SUMIFS($AH$7:$AH$1843,$BY$7:$BY$1843,BY1191,$AK$7:$AK$1843,AK1191,$BQ$7:$BQ$1843,"&lt;="&amp;BQ1191),"")</f>
        <v>80.5639336508902</v>
      </c>
      <c r="AM1191" s="65" t="n">
        <f aca="false">IF(AL1191="",0,MAX(0,MIN(1,(IF(BY1191="L1",Parameter!$E$5,Parameter!$E$6+Parameter!$E$7)-(AL1191-AH1191))/AH1191)))</f>
        <v>1</v>
      </c>
      <c r="AN1191" s="57" t="n">
        <f aca="false">IF(LEFT(Cockpit!$I$5,1)="A",H1191,IF(CA1191=1,CB1191,IF(LEFT(Cockpit!$I$5,1)="B",AR1191,MAX(AR1191,H1191))))</f>
        <v>35</v>
      </c>
      <c r="AO1191" s="57" t="n">
        <f aca="false">IF(BT1191=1,0,ROUNDUP(AN1191/BS1191,0))</f>
        <v>1</v>
      </c>
      <c r="AP1191" s="59" t="n">
        <f aca="false">IF(CH1191&gt;0,CH1191*MAX(1,AN1191/X1191),IF(BT1191=1,IF(AN1191&lt;=0,0,BW1191*MAX(1,IF(H1191&gt;0,AN1191/H1191,1))),IF(R1191&gt;0,AO1191/R1191,0))/MAX(0.1,N(Parameter!$M$21)))</f>
        <v>0.0384615384615385</v>
      </c>
      <c r="AQ1191" s="57" t="n">
        <f aca="false">AN1191*G1191</f>
        <v>4976.3</v>
      </c>
      <c r="AR1191" s="57" t="n">
        <f aca="false">ROUNDUP(MAX(J1191/IF(BZ1191&gt;0,BZ1191,MAX(0.1,N(Cockpit!$I$6))),CC1191)/BS1191,0)*BS1191</f>
        <v>35</v>
      </c>
      <c r="AS1191" s="58" t="n">
        <f aca="false">IF(AP1191&gt;0,J1191/AP1191,-1)</f>
        <v>0</v>
      </c>
      <c r="AT1191" s="58" t="n">
        <f aca="false">IF(AND(OR(BY1191="L1",BY1191="L23"),AP1191&gt;0),SUMIFS($AP$7:$AP$1843,$BY$7:$BY$1843,BY1191,$AS$7:$AS$1843,"&gt;"&amp;AS1191)+SUMIFS($AP$7:$AP$1843,$BY$7:$BY$1843,BY1191,$AS$7:$AS$1843,AS1191,$BQ$7:$BQ$1843,"&lt;="&amp;BQ1191),"")</f>
        <v>122.620511131381</v>
      </c>
      <c r="AU1191" s="65" t="n">
        <f aca="false">IF(AT1191="",0,MAX(0,MIN(1,(IF(BY1191="L1",Parameter!$E$5,Parameter!$E$6+Parameter!$E$7)-(AT1191-AP1191))/AP1191)))</f>
        <v>0</v>
      </c>
      <c r="AV1191" s="57" t="n">
        <f aca="false">IF(LEFT(Cockpit!$O$5,1)="A",H1191,IF(CA1191=1,CB1191,IF(LEFT(Cockpit!$O$5,1)="B",AZ1191,MAX(AZ1191,H1191))))</f>
        <v>35</v>
      </c>
      <c r="AW1191" s="57" t="n">
        <f aca="false">IF(BT1191=1,0,ROUNDUP(AV1191/BS1191,0))</f>
        <v>1</v>
      </c>
      <c r="AX1191" s="59" t="n">
        <f aca="false">IF(CH1191&gt;0,CH1191*MAX(1,AV1191/X1191),IF(BT1191=1,IF(AV1191&lt;=0,0,BW1191*MAX(1,IF(H1191&gt;0,AV1191/H1191,1))),IF(R1191&gt;0,AW1191/R1191,0))/MAX(0.1,N(Parameter!$M$21)))</f>
        <v>0.0384615384615385</v>
      </c>
      <c r="AY1191" s="57" t="n">
        <f aca="false">AV1191*G1191</f>
        <v>4976.3</v>
      </c>
      <c r="AZ1191" s="57" t="n">
        <f aca="false">ROUNDUP(MAX(J1191/IF(BZ1191&gt;0,BZ1191,MAX(0.1,N(Cockpit!$O$6))),CC1191)/BS1191,0)*BS1191</f>
        <v>35</v>
      </c>
      <c r="BA1191" s="58" t="n">
        <f aca="false">IF(AX1191&gt;0,J1191/AX1191,-1)</f>
        <v>0</v>
      </c>
      <c r="BB1191" s="58" t="n">
        <f aca="false">IF(AND(OR(BY1191="L1",BY1191="L23"),AX1191&gt;0),SUMIFS($AX$7:$AX$1843,$BY$7:$BY$1843,BY1191,$BA$7:$BA$1843,"&gt;"&amp;BA1191)+SUMIFS($AX$7:$AX$1843,$BY$7:$BY$1843,BY1191,$BA$7:$BA$1843,BA1191,$BQ$7:$BQ$1843,"&lt;="&amp;BQ1191),"")</f>
        <v>113.450347961218</v>
      </c>
      <c r="BC1191" s="65" t="n">
        <f aca="false">IF(BB1191="",0,MAX(0,MIN(1,(IF(BY1191="L1",Parameter!$E$5,Parameter!$E$6+Parameter!$E$7)-(BB1191-AX1191))/AX1191)))</f>
        <v>0</v>
      </c>
      <c r="BD1191" s="55" t="str">
        <f aca="false">IF(AH1191&lt;=0,"",IF(BY1191="Aussen","Aussenlager",IF(BY1191="-","Nicht im Lift",IF(AM1191&gt;=1,"Lift",IF(AM1191&lt;=0,"Aussenlager","teilweise")))))</f>
        <v>Lift</v>
      </c>
      <c r="BE1191" s="55" t="str">
        <f aca="false">IF(AP1191&lt;=0,"",IF(BY1191="Aussen","Aussenlager",IF(BY1191="-","Nicht im Lift",IF(AU1191&gt;=1,"Lift",IF(AU1191&lt;=0,"Aussenlager","teilweise")))))</f>
        <v>Aussenlager</v>
      </c>
      <c r="BF1191" s="55" t="str">
        <f aca="false">IF(AX1191&lt;=0,"",IF(BY1191="Aussen","Aussenlager",IF(BY1191="-","Nicht im Lift",IF(BC1191&gt;=1,"Lift",IF(BC1191&lt;=0,"Aussenlager","teilweise")))))</f>
        <v>Aussenlager</v>
      </c>
      <c r="BG1191" s="55" t="str">
        <f aca="false">IF(A1191="","",IF(BP1191=1,"Neu; ","")&amp;IF(AND(BP1191=0,BK1191&lt;0),"negativer Bestand (Export "&amp;BK1191&amp;"); ","")&amp;IF(J1191&lt;=0,"Kein Verbrauch; ","")&amp;IF(CH1191&gt;0,"Lift "&amp;W1191&amp;" lt. Liftbericht (Fach "&amp;X1191&amp;" Stk); ",IF(BU1191=1,"Gebinde geschätzt ("&amp;T1191&amp;"); ",IF(BT1191=1,"Lose – Tablare geschätzt; ","")))&amp;IF(H1191&gt;AR1191,"Überbestand "&amp;ROUND(H1191-AR1191,0)&amp;" Stk / CHF "&amp;ROUND((H1191-AR1191)*G1191,0)&amp;"; ","")&amp;IF(AND(CA1191=1,CB1191&lt;CC1191),"MAX &lt; MB+LG; ","")&amp;IF(AND(CG1191&gt;0,CF1191*10&gt;CG1191),"zu hoch für Tablar; ","")&amp;IF(AND(BP1191=0,OR(CA1191=1,AA1191&lt;&gt;"",U1191&lt;&gt;"",V1191&lt;&gt;"",AB1191&lt;&gt;"")),"manuell übersteuert; ","")&amp;IF(AND(BT1191=0,R1191=0),"Gebinde unbekannt / Stellmass fehlt; ","")&amp;IF(AND(BT1191=0,N(V1191)&lt;=0,N(Q1191)&lt;=0),"Menge pro Gebinde fehlt (Ist = 1 Gebinde); ","")&amp;BO1191)</f>
        <v>negativer Bestand (Export -3); Kein Verbrauch; </v>
      </c>
      <c r="BH1191" s="55"/>
      <c r="BI1191" s="55"/>
      <c r="BJ1191" s="62"/>
      <c r="BK1191" s="57" t="n">
        <v>-3</v>
      </c>
      <c r="BL1191" s="57" t="n">
        <v>34</v>
      </c>
      <c r="BM1191" s="56" t="n">
        <v>-426.54</v>
      </c>
      <c r="BN1191" s="57" t="n">
        <v>0</v>
      </c>
      <c r="BO1191" s="55"/>
      <c r="BP1191" s="60" t="n">
        <v>0</v>
      </c>
      <c r="BQ1191" s="60" t="n">
        <v>1191</v>
      </c>
      <c r="BR1191" s="55" t="str">
        <f aca="false">IF(U1191&lt;&gt;"",UPPER(TRIM(U1191)),IF(BU1191=1,UPPER(VLOOKUP(T1191,Parameter!$I$27:$K$29,2,0)),IF(P1191="","LOSE",P1191)))</f>
        <v>S51</v>
      </c>
      <c r="BS1191" s="57" t="n">
        <f aca="false">IF(BR1191="LOSE",1,IF(N(V1191)&gt;0,V1191,IF(BU1191=1,MAX(1,N(VLOOKUP(T1191,Parameter!$I$27:$K$29,3,0)),H1191,N(N1191)),IF(N(Q1191)&gt;0,Q1191,MAX(1,H1191)))))</f>
        <v>35</v>
      </c>
      <c r="BT1191" s="60" t="n">
        <f aca="false">IF(BR1191="LOSE",1,0)</f>
        <v>0</v>
      </c>
      <c r="BU1191" s="60" t="n">
        <f aca="false">IF(AND(U1191="",OR(P1191="",P1191="LOSE"),T1191&lt;&gt;"",N(S1191)&lt;=0,ISNUMBER(MATCH(T1191,Parameter!$I$27:$I$29,0))),1,0)</f>
        <v>0</v>
      </c>
      <c r="BV1191" s="55" t="str">
        <f aca="false">IF(AND(Parameter!$B$19="Ja",E1191&lt;&gt;"",ISNUMBER(MATCH(E1191,Parameter!$I$35:$I$52,0))),VLOOKUP(E1191,Parameter!$I$35:$J$52,2,0),IFERROR(VLOOKUP(D1191,Parameter!$A$35:$C$64,2,0),"Nein"))</f>
        <v>2+3</v>
      </c>
      <c r="BW1191" s="59" t="n">
        <f aca="false">IF(BT1191=0,0,IF(N(S1191)&gt;0,S1191,IFERROR(VLOOKUP(D1191,Parameter!$A$35:$C$64,3,0)+0,0)))</f>
        <v>0</v>
      </c>
      <c r="BX1191" s="55" t="n">
        <f aca="false">IF(AA1191&lt;&gt;"",AA1191,Z1191)</f>
        <v>3</v>
      </c>
      <c r="BY1191" s="55" t="str">
        <f aca="false">IF(BX1191=1,"L1",IF(OR(BX1191=2,BX1191=3),"L23",IF(BX1191="Aussen","Aussen","-")))</f>
        <v>L23</v>
      </c>
      <c r="BZ1191" s="66" t="n">
        <f aca="false">IF(N(AB1191)&gt;0,AB1191,0)</f>
        <v>0</v>
      </c>
      <c r="CA1191" s="60" t="n">
        <f aca="false">IF(ISNUMBER(AE1191),1,0)</f>
        <v>0</v>
      </c>
      <c r="CB1191" s="57" t="n">
        <f aca="false">N(AE1191)</f>
        <v>0</v>
      </c>
      <c r="CC1191" s="57" t="n">
        <f aca="false">N(M1191)+N(N1191)</f>
        <v>1</v>
      </c>
      <c r="CD1191" s="57" t="n">
        <f aca="false">ROUNDUP(H1191/BS1191,0)</f>
        <v>1</v>
      </c>
      <c r="CE1191" s="57" t="n">
        <f aca="false">ROUNDUP(CB1191/BS1191,0)</f>
        <v>0</v>
      </c>
      <c r="CF1191" s="60" t="n">
        <f aca="false">IF(BT1191=1,0,IFERROR(VLOOKUP(BR1191,'Gebinde-Kategorie'!$A$5:$M$45,5,0)+0,0))</f>
        <v>11</v>
      </c>
      <c r="CG1191" s="60" t="n">
        <f aca="false">IFERROR(IF(OR(BX1191=1,BX1191=2,BX1191=3),N(INDEX(Parameter!$I$5:$I$7,BX1191)),0),0)</f>
        <v>0</v>
      </c>
      <c r="CH1191" s="59" t="n">
        <f aca="false">IF(AND(Parameter!$B$21="Ja",ISNUMBER(W1191),N(X1191)&gt;0),IFERROR(N(INDEX(Parameter!$L$5:$L$7,W1191))*INDEX(Parameter!$E$5:$E$7,W1191)*X1191/SUMIFS($X$7:$X$1843,$W$7:$W$1843,W1191),0),0)</f>
        <v>0</v>
      </c>
    </row>
    <row r="1192" customFormat="false" ht="15" hidden="false" customHeight="false" outlineLevel="0" collapsed="false">
      <c r="A1192" s="55" t="s">
        <v>2145</v>
      </c>
      <c r="B1192" s="55" t="s">
        <v>440</v>
      </c>
      <c r="C1192" s="55" t="s">
        <v>164</v>
      </c>
      <c r="D1192" s="55" t="s">
        <v>184</v>
      </c>
      <c r="E1192" s="55" t="s">
        <v>185</v>
      </c>
      <c r="F1192" s="55" t="s">
        <v>218</v>
      </c>
      <c r="G1192" s="56" t="n">
        <v>107</v>
      </c>
      <c r="H1192" s="57" t="n">
        <f aca="false">MAX(0,IF(AND(Parameter!$B$21="Ja",ISNUMBER(Y1192)),Y1192,IF(Parameter!$B$20="Jahresanfang 2025 + Export",BL1192+BK1192,BK1192)))</f>
        <v>13</v>
      </c>
      <c r="I1192" s="57" t="n">
        <f aca="false">H1192*G1192</f>
        <v>1391</v>
      </c>
      <c r="J1192" s="57" t="n">
        <f aca="false">BN1192*Parameter!$B$18</f>
        <v>4</v>
      </c>
      <c r="K1192" s="58" t="n">
        <v>17</v>
      </c>
      <c r="L1192" s="59" t="n">
        <v>0.235294117647059</v>
      </c>
      <c r="M1192" s="57" t="n">
        <v>0</v>
      </c>
      <c r="N1192" s="57" t="n">
        <v>5</v>
      </c>
      <c r="O1192" s="60" t="n">
        <v>84</v>
      </c>
      <c r="P1192" s="55" t="s">
        <v>293</v>
      </c>
      <c r="Q1192" s="57" t="n">
        <v>32</v>
      </c>
      <c r="R1192" s="60" t="n">
        <f aca="false">IF(BT1192=1,0,IFERROR(VLOOKUP(BR1192,'Gebinde-Kategorie'!$A$5:$M$45,13,0)+0,0))</f>
        <v>12</v>
      </c>
      <c r="S1192" s="61"/>
      <c r="T1192" s="62"/>
      <c r="U1192" s="62"/>
      <c r="V1192" s="62"/>
      <c r="W1192" s="55"/>
      <c r="X1192" s="57"/>
      <c r="Y1192" s="57"/>
      <c r="Z1192" s="55" t="n">
        <f aca="false">IF(A1192="","",IF(AND(Parameter!$B$21="Ja",ISNUMBER(W1192)),W1192,IF(BV1192="2+3",IF(ISNUMBER(SEARCH("grosser Artikel",BO1192)),2,IFERROR(VLOOKUP(BR1192,Parameter!$F$35:$G$64,2,0),2)),IF(OR(BV1192="Nein",BV1192=""),"-",BV1192))))</f>
        <v>2</v>
      </c>
      <c r="AA1192" s="62"/>
      <c r="AB1192" s="63"/>
      <c r="AC1192" s="57" t="n">
        <f aca="false">AR1192</f>
        <v>32</v>
      </c>
      <c r="AD1192" s="57" t="n">
        <f aca="false">MAX(AR1192,H1192)</f>
        <v>32</v>
      </c>
      <c r="AE1192" s="64"/>
      <c r="AF1192" s="57" t="n">
        <f aca="false">IF(LEFT(Cockpit!$C$5,1)="A",H1192,IF(CA1192=1,CB1192,IF(LEFT(Cockpit!$C$5,1)="B",AJ1192,MAX(AJ1192,H1192))))</f>
        <v>13</v>
      </c>
      <c r="AG1192" s="57" t="n">
        <f aca="false">IF(BT1192=1,0,ROUNDUP(AF1192/BS1192,0))</f>
        <v>1</v>
      </c>
      <c r="AH1192" s="59" t="n">
        <f aca="false">IF(CH1192&gt;0,CH1192*MAX(1,AF1192/X1192),IF(BT1192=1,IF(AF1192&lt;=0,0,BW1192*MAX(1,IF(H1192&gt;0,AF1192/H1192,1))),IF(R1192&gt;0,AG1192/R1192,0))/MAX(0.1,N(Parameter!$M$21)))</f>
        <v>0.0833333333333333</v>
      </c>
      <c r="AI1192" s="57" t="n">
        <f aca="false">AF1192*G1192</f>
        <v>1391</v>
      </c>
      <c r="AJ1192" s="57" t="n">
        <f aca="false">ROUNDUP(MAX(J1192/IF(BZ1192&gt;0,BZ1192,MAX(0.1,N(Cockpit!$C$6))),CC1192)/BS1192,0)*BS1192</f>
        <v>32</v>
      </c>
      <c r="AK1192" s="58" t="n">
        <f aca="false">IF(AH1192&gt;0,J1192/AH1192,-1)</f>
        <v>48</v>
      </c>
      <c r="AL1192" s="58" t="n">
        <f aca="false">IF(AND(OR(BY1192="L1",BY1192="L23"),AH1192&gt;0),SUMIFS($AH$7:$AH$1843,$BY$7:$BY$1843,BY1192,$AK$7:$AK$1843,"&gt;"&amp;AK1192)+SUMIFS($AH$7:$AH$1843,$BY$7:$BY$1843,BY1192,$AK$7:$AK$1843,AK1192,$BQ$7:$BQ$1843,"&lt;="&amp;BQ1192),"")</f>
        <v>45.6517009560488</v>
      </c>
      <c r="AM1192" s="65" t="n">
        <f aca="false">IF(AL1192="",0,MAX(0,MIN(1,(IF(BY1192="L1",Parameter!$E$5,Parameter!$E$6+Parameter!$E$7)-(AL1192-AH1192))/AH1192)))</f>
        <v>1</v>
      </c>
      <c r="AN1192" s="57" t="n">
        <f aca="false">IF(LEFT(Cockpit!$I$5,1)="A",H1192,IF(CA1192=1,CB1192,IF(LEFT(Cockpit!$I$5,1)="B",AR1192,MAX(AR1192,H1192))))</f>
        <v>32</v>
      </c>
      <c r="AO1192" s="57" t="n">
        <f aca="false">IF(BT1192=1,0,ROUNDUP(AN1192/BS1192,0))</f>
        <v>1</v>
      </c>
      <c r="AP1192" s="59" t="n">
        <f aca="false">IF(CH1192&gt;0,CH1192*MAX(1,AN1192/X1192),IF(BT1192=1,IF(AN1192&lt;=0,0,BW1192*MAX(1,IF(H1192&gt;0,AN1192/H1192,1))),IF(R1192&gt;0,AO1192/R1192,0))/MAX(0.1,N(Parameter!$M$21)))</f>
        <v>0.0833333333333333</v>
      </c>
      <c r="AQ1192" s="57" t="n">
        <f aca="false">AN1192*G1192</f>
        <v>3424</v>
      </c>
      <c r="AR1192" s="57" t="n">
        <f aca="false">ROUNDUP(MAX(J1192/IF(BZ1192&gt;0,BZ1192,MAX(0.1,N(Cockpit!$I$6))),CC1192)/BS1192,0)*BS1192</f>
        <v>32</v>
      </c>
      <c r="AS1192" s="58" t="n">
        <f aca="false">IF(AP1192&gt;0,J1192/AP1192,-1)</f>
        <v>48</v>
      </c>
      <c r="AT1192" s="58" t="n">
        <f aca="false">IF(AND(OR(BY1192="L1",BY1192="L23"),AP1192&gt;0),SUMIFS($AP$7:$AP$1843,$BY$7:$BY$1843,BY1192,$AS$7:$AS$1843,"&gt;"&amp;AS1192)+SUMIFS($AP$7:$AP$1843,$BY$7:$BY$1843,BY1192,$AS$7:$AS$1843,AS1192,$BQ$7:$BQ$1843,"&lt;="&amp;BQ1192),"")</f>
        <v>68.76172257694</v>
      </c>
      <c r="AU1192" s="65" t="n">
        <f aca="false">IF(AT1192="",0,MAX(0,MIN(1,(IF(BY1192="L1",Parameter!$E$5,Parameter!$E$6+Parameter!$E$7)-(AT1192-AP1192))/AP1192)))</f>
        <v>1</v>
      </c>
      <c r="AV1192" s="57" t="n">
        <f aca="false">IF(LEFT(Cockpit!$O$5,1)="A",H1192,IF(CA1192=1,CB1192,IF(LEFT(Cockpit!$O$5,1)="B",AZ1192,MAX(AZ1192,H1192))))</f>
        <v>32</v>
      </c>
      <c r="AW1192" s="57" t="n">
        <f aca="false">IF(BT1192=1,0,ROUNDUP(AV1192/BS1192,0))</f>
        <v>1</v>
      </c>
      <c r="AX1192" s="59" t="n">
        <f aca="false">IF(CH1192&gt;0,CH1192*MAX(1,AV1192/X1192),IF(BT1192=1,IF(AV1192&lt;=0,0,BW1192*MAX(1,IF(H1192&gt;0,AV1192/H1192,1))),IF(R1192&gt;0,AW1192/R1192,0))/MAX(0.1,N(Parameter!$M$21)))</f>
        <v>0.0833333333333333</v>
      </c>
      <c r="AY1192" s="57" t="n">
        <f aca="false">AV1192*G1192</f>
        <v>3424</v>
      </c>
      <c r="AZ1192" s="57" t="n">
        <f aca="false">ROUNDUP(MAX(J1192/IF(BZ1192&gt;0,BZ1192,MAX(0.1,N(Cockpit!$O$6))),CC1192)/BS1192,0)*BS1192</f>
        <v>32</v>
      </c>
      <c r="BA1192" s="58" t="n">
        <f aca="false">IF(AX1192&gt;0,J1192/AX1192,-1)</f>
        <v>48</v>
      </c>
      <c r="BB1192" s="58" t="n">
        <f aca="false">IF(AND(OR(BY1192="L1",BY1192="L23"),AX1192&gt;0),SUMIFS($AX$7:$AX$1843,$BY$7:$BY$1843,BY1192,$BA$7:$BA$1843,"&gt;"&amp;BA1192)+SUMIFS($AX$7:$AX$1843,$BY$7:$BY$1843,BY1192,$BA$7:$BA$1843,BA1192,$BQ$7:$BQ$1843,"&lt;="&amp;BQ1192),"")</f>
        <v>63.2582260734435</v>
      </c>
      <c r="BC1192" s="65" t="n">
        <f aca="false">IF(BB1192="",0,MAX(0,MIN(1,(IF(BY1192="L1",Parameter!$E$5,Parameter!$E$6+Parameter!$E$7)-(BB1192-AX1192))/AX1192)))</f>
        <v>1</v>
      </c>
      <c r="BD1192" s="55" t="str">
        <f aca="false">IF(AH1192&lt;=0,"",IF(BY1192="Aussen","Aussenlager",IF(BY1192="-","Nicht im Lift",IF(AM1192&gt;=1,"Lift",IF(AM1192&lt;=0,"Aussenlager","teilweise")))))</f>
        <v>Lift</v>
      </c>
      <c r="BE1192" s="55" t="str">
        <f aca="false">IF(AP1192&lt;=0,"",IF(BY1192="Aussen","Aussenlager",IF(BY1192="-","Nicht im Lift",IF(AU1192&gt;=1,"Lift",IF(AU1192&lt;=0,"Aussenlager","teilweise")))))</f>
        <v>Lift</v>
      </c>
      <c r="BF1192" s="55" t="str">
        <f aca="false">IF(AX1192&lt;=0,"",IF(BY1192="Aussen","Aussenlager",IF(BY1192="-","Nicht im Lift",IF(BC1192&gt;=1,"Lift",IF(BC1192&lt;=0,"Aussenlager","teilweise")))))</f>
        <v>Lift</v>
      </c>
      <c r="BG1192" s="55" t="str">
        <f aca="false">IF(A1192="","",IF(BP1192=1,"Neu; ","")&amp;IF(AND(BP1192=0,BK1192&lt;0),"negativer Bestand (Export "&amp;BK1192&amp;"); ","")&amp;IF(J1192&lt;=0,"Kein Verbrauch; ","")&amp;IF(CH1192&gt;0,"Lift "&amp;W1192&amp;" lt. Liftbericht (Fach "&amp;X1192&amp;" Stk); ",IF(BU1192=1,"Gebinde geschätzt ("&amp;T1192&amp;"); ",IF(BT1192=1,"Lose – Tablare geschätzt; ","")))&amp;IF(H1192&gt;AR1192,"Überbestand "&amp;ROUND(H1192-AR1192,0)&amp;" Stk / CHF "&amp;ROUND((H1192-AR1192)*G1192,0)&amp;"; ","")&amp;IF(AND(CA1192=1,CB1192&lt;CC1192),"MAX &lt; MB+LG; ","")&amp;IF(AND(CG1192&gt;0,CF1192*10&gt;CG1192),"zu hoch für Tablar; ","")&amp;IF(AND(BP1192=0,OR(CA1192=1,AA1192&lt;&gt;"",U1192&lt;&gt;"",V1192&lt;&gt;"",AB1192&lt;&gt;"")),"manuell übersteuert; ","")&amp;IF(AND(BT1192=0,R1192=0),"Gebinde unbekannt / Stellmass fehlt; ","")&amp;IF(AND(BT1192=0,N(V1192)&lt;=0,N(Q1192)&lt;=0),"Menge pro Gebinde fehlt (Ist = 1 Gebinde); ","")&amp;BO1192)</f>
        <v>negativer Bestand (Export -4); Überbestand</v>
      </c>
      <c r="BH1192" s="55"/>
      <c r="BI1192" s="55"/>
      <c r="BJ1192" s="62"/>
      <c r="BK1192" s="57" t="n">
        <v>-4</v>
      </c>
      <c r="BL1192" s="57" t="n">
        <v>17</v>
      </c>
      <c r="BM1192" s="56" t="n">
        <v>-428</v>
      </c>
      <c r="BN1192" s="57" t="n">
        <v>4</v>
      </c>
      <c r="BO1192" s="55" t="s">
        <v>392</v>
      </c>
      <c r="BP1192" s="60" t="n">
        <v>0</v>
      </c>
      <c r="BQ1192" s="60" t="n">
        <v>1192</v>
      </c>
      <c r="BR1192" s="55" t="str">
        <f aca="false">IF(U1192&lt;&gt;"",UPPER(TRIM(U1192)),IF(BU1192=1,UPPER(VLOOKUP(T1192,Parameter!$I$27:$K$29,2,0)),IF(P1192="","LOSE",P1192)))</f>
        <v>S62</v>
      </c>
      <c r="BS1192" s="57" t="n">
        <f aca="false">IF(BR1192="LOSE",1,IF(N(V1192)&gt;0,V1192,IF(BU1192=1,MAX(1,N(VLOOKUP(T1192,Parameter!$I$27:$K$29,3,0)),H1192,N(N1192)),IF(N(Q1192)&gt;0,Q1192,MAX(1,H1192)))))</f>
        <v>32</v>
      </c>
      <c r="BT1192" s="60" t="n">
        <f aca="false">IF(BR1192="LOSE",1,0)</f>
        <v>0</v>
      </c>
      <c r="BU1192" s="60" t="n">
        <f aca="false">IF(AND(U1192="",OR(P1192="",P1192="LOSE"),T1192&lt;&gt;"",N(S1192)&lt;=0,ISNUMBER(MATCH(T1192,Parameter!$I$27:$I$29,0))),1,0)</f>
        <v>0</v>
      </c>
      <c r="BV1192" s="55" t="str">
        <f aca="false">IF(AND(Parameter!$B$19="Ja",E1192&lt;&gt;"",ISNUMBER(MATCH(E1192,Parameter!$I$35:$I$52,0))),VLOOKUP(E1192,Parameter!$I$35:$J$52,2,0),IFERROR(VLOOKUP(D1192,Parameter!$A$35:$C$64,2,0),"Nein"))</f>
        <v>2+3</v>
      </c>
      <c r="BW1192" s="59" t="n">
        <f aca="false">IF(BT1192=0,0,IF(N(S1192)&gt;0,S1192,IFERROR(VLOOKUP(D1192,Parameter!$A$35:$C$64,3,0)+0,0)))</f>
        <v>0</v>
      </c>
      <c r="BX1192" s="55" t="n">
        <f aca="false">IF(AA1192&lt;&gt;"",AA1192,Z1192)</f>
        <v>2</v>
      </c>
      <c r="BY1192" s="55" t="str">
        <f aca="false">IF(BX1192=1,"L1",IF(OR(BX1192=2,BX1192=3),"L23",IF(BX1192="Aussen","Aussen","-")))</f>
        <v>L23</v>
      </c>
      <c r="BZ1192" s="66" t="n">
        <f aca="false">IF(N(AB1192)&gt;0,AB1192,0)</f>
        <v>0</v>
      </c>
      <c r="CA1192" s="60" t="n">
        <f aca="false">IF(ISNUMBER(AE1192),1,0)</f>
        <v>0</v>
      </c>
      <c r="CB1192" s="57" t="n">
        <f aca="false">N(AE1192)</f>
        <v>0</v>
      </c>
      <c r="CC1192" s="57" t="n">
        <f aca="false">N(M1192)+N(N1192)</f>
        <v>5</v>
      </c>
      <c r="CD1192" s="57" t="n">
        <f aca="false">ROUNDUP(H1192/BS1192,0)</f>
        <v>1</v>
      </c>
      <c r="CE1192" s="57" t="n">
        <f aca="false">ROUNDUP(CB1192/BS1192,0)</f>
        <v>0</v>
      </c>
      <c r="CF1192" s="60" t="n">
        <f aca="false">IF(BT1192=1,0,IFERROR(VLOOKUP(BR1192,'Gebinde-Kategorie'!$A$5:$M$45,5,0)+0,0))</f>
        <v>21</v>
      </c>
      <c r="CG1192" s="60" t="n">
        <f aca="false">IFERROR(IF(OR(BX1192=1,BX1192=2,BX1192=3),N(INDEX(Parameter!$I$5:$I$7,BX1192)),0),0)</f>
        <v>0</v>
      </c>
      <c r="CH1192" s="59" t="n">
        <f aca="false">IF(AND(Parameter!$B$21="Ja",ISNUMBER(W1192),N(X1192)&gt;0),IFERROR(N(INDEX(Parameter!$L$5:$L$7,W1192))*INDEX(Parameter!$E$5:$E$7,W1192)*X1192/SUMIFS($X$7:$X$1843,$W$7:$W$1843,W1192),0),0)</f>
        <v>0</v>
      </c>
    </row>
    <row r="1193" customFormat="false" ht="15" hidden="false" customHeight="false" outlineLevel="0" collapsed="false">
      <c r="A1193" s="55" t="s">
        <v>2146</v>
      </c>
      <c r="B1193" s="55" t="s">
        <v>2147</v>
      </c>
      <c r="C1193" s="55" t="s">
        <v>164</v>
      </c>
      <c r="D1193" s="55" t="s">
        <v>184</v>
      </c>
      <c r="E1193" s="55" t="s">
        <v>185</v>
      </c>
      <c r="F1193" s="55" t="s">
        <v>218</v>
      </c>
      <c r="G1193" s="56" t="n">
        <v>79.87</v>
      </c>
      <c r="H1193" s="57" t="n">
        <f aca="false">MAX(0,IF(AND(Parameter!$B$21="Ja",ISNUMBER(Y1193)),Y1193,IF(Parameter!$B$20="Jahresanfang 2025 + Export",BL1193+BK1193,BK1193)))</f>
        <v>6</v>
      </c>
      <c r="I1193" s="57" t="n">
        <f aca="false">H1193*G1193</f>
        <v>479.22</v>
      </c>
      <c r="J1193" s="57" t="n">
        <f aca="false">BN1193*Parameter!$B$18</f>
        <v>13</v>
      </c>
      <c r="K1193" s="58" t="n">
        <v>10</v>
      </c>
      <c r="L1193" s="59" t="n">
        <v>1.3</v>
      </c>
      <c r="M1193" s="57" t="n">
        <v>0</v>
      </c>
      <c r="N1193" s="57" t="n">
        <v>15</v>
      </c>
      <c r="O1193" s="60" t="n">
        <v>21</v>
      </c>
      <c r="P1193" s="55" t="s">
        <v>233</v>
      </c>
      <c r="Q1193" s="57" t="n">
        <v>4</v>
      </c>
      <c r="R1193" s="60" t="n">
        <f aca="false">IF(BT1193=1,0,IFERROR(VLOOKUP(BR1193,'Gebinde-Kategorie'!$A$5:$M$45,13,0)+0,0))</f>
        <v>26</v>
      </c>
      <c r="S1193" s="61"/>
      <c r="T1193" s="62"/>
      <c r="U1193" s="62"/>
      <c r="V1193" s="62"/>
      <c r="W1193" s="55"/>
      <c r="X1193" s="57"/>
      <c r="Y1193" s="57"/>
      <c r="Z1193" s="55" t="n">
        <f aca="false">IF(A1193="","",IF(AND(Parameter!$B$21="Ja",ISNUMBER(W1193)),W1193,IF(BV1193="2+3",IF(ISNUMBER(SEARCH("grosser Artikel",BO1193)),2,IFERROR(VLOOKUP(BR1193,Parameter!$F$35:$G$64,2,0),2)),IF(OR(BV1193="Nein",BV1193=""),"-",BV1193))))</f>
        <v>3</v>
      </c>
      <c r="AA1193" s="62"/>
      <c r="AB1193" s="63"/>
      <c r="AC1193" s="57" t="n">
        <f aca="false">AR1193</f>
        <v>16</v>
      </c>
      <c r="AD1193" s="57" t="n">
        <f aca="false">MAX(AR1193,H1193)</f>
        <v>16</v>
      </c>
      <c r="AE1193" s="64"/>
      <c r="AF1193" s="57" t="n">
        <f aca="false">IF(LEFT(Cockpit!$C$5,1)="A",H1193,IF(CA1193=1,CB1193,IF(LEFT(Cockpit!$C$5,1)="B",AJ1193,MAX(AJ1193,H1193))))</f>
        <v>6</v>
      </c>
      <c r="AG1193" s="57" t="n">
        <f aca="false">IF(BT1193=1,0,ROUNDUP(AF1193/BS1193,0))</f>
        <v>2</v>
      </c>
      <c r="AH1193" s="59" t="n">
        <f aca="false">IF(CH1193&gt;0,CH1193*MAX(1,AF1193/X1193),IF(BT1193=1,IF(AF1193&lt;=0,0,BW1193*MAX(1,IF(H1193&gt;0,AF1193/H1193,1))),IF(R1193&gt;0,AG1193/R1193,0))/MAX(0.1,N(Parameter!$M$21)))</f>
        <v>0.0769230769230769</v>
      </c>
      <c r="AI1193" s="57" t="n">
        <f aca="false">AF1193*G1193</f>
        <v>479.22</v>
      </c>
      <c r="AJ1193" s="57" t="n">
        <f aca="false">ROUNDUP(MAX(J1193/IF(BZ1193&gt;0,BZ1193,MAX(0.1,N(Cockpit!$C$6))),CC1193)/BS1193,0)*BS1193</f>
        <v>16</v>
      </c>
      <c r="AK1193" s="58" t="n">
        <f aca="false">IF(AH1193&gt;0,J1193/AH1193,-1)</f>
        <v>169</v>
      </c>
      <c r="AL1193" s="58" t="n">
        <f aca="false">IF(AND(OR(BY1193="L1",BY1193="L23"),AH1193&gt;0),SUMIFS($AH$7:$AH$1843,$BY$7:$BY$1843,BY1193,$AK$7:$AK$1843,"&gt;"&amp;AK1193)+SUMIFS($AH$7:$AH$1843,$BY$7:$BY$1843,BY1193,$AK$7:$AK$1843,AK1193,$BQ$7:$BQ$1843,"&lt;="&amp;BQ1193),"")</f>
        <v>34.1250886794365</v>
      </c>
      <c r="AM1193" s="65" t="n">
        <f aca="false">IF(AL1193="",0,MAX(0,MIN(1,(IF(BY1193="L1",Parameter!$E$5,Parameter!$E$6+Parameter!$E$7)-(AL1193-AH1193))/AH1193)))</f>
        <v>1</v>
      </c>
      <c r="AN1193" s="57" t="n">
        <f aca="false">IF(LEFT(Cockpit!$I$5,1)="A",H1193,IF(CA1193=1,CB1193,IF(LEFT(Cockpit!$I$5,1)="B",AR1193,MAX(AR1193,H1193))))</f>
        <v>16</v>
      </c>
      <c r="AO1193" s="57" t="n">
        <f aca="false">IF(BT1193=1,0,ROUNDUP(AN1193/BS1193,0))</f>
        <v>4</v>
      </c>
      <c r="AP1193" s="59" t="n">
        <f aca="false">IF(CH1193&gt;0,CH1193*MAX(1,AN1193/X1193),IF(BT1193=1,IF(AN1193&lt;=0,0,BW1193*MAX(1,IF(H1193&gt;0,AN1193/H1193,1))),IF(R1193&gt;0,AO1193/R1193,0))/MAX(0.1,N(Parameter!$M$21)))</f>
        <v>0.153846153846154</v>
      </c>
      <c r="AQ1193" s="57" t="n">
        <f aca="false">AN1193*G1193</f>
        <v>1277.92</v>
      </c>
      <c r="AR1193" s="57" t="n">
        <f aca="false">ROUNDUP(MAX(J1193/IF(BZ1193&gt;0,BZ1193,MAX(0.1,N(Cockpit!$I$6))),CC1193)/BS1193,0)*BS1193</f>
        <v>16</v>
      </c>
      <c r="AS1193" s="58" t="n">
        <f aca="false">IF(AP1193&gt;0,J1193/AP1193,-1)</f>
        <v>84.5</v>
      </c>
      <c r="AT1193" s="58" t="n">
        <f aca="false">IF(AND(OR(BY1193="L1",BY1193="L23"),AP1193&gt;0),SUMIFS($AP$7:$AP$1843,$BY$7:$BY$1843,BY1193,$AS$7:$AS$1843,"&gt;"&amp;AS1193)+SUMIFS($AP$7:$AP$1843,$BY$7:$BY$1843,BY1193,$AS$7:$AS$1843,AS1193,$BQ$7:$BQ$1843,"&lt;="&amp;BQ1193),"")</f>
        <v>62.7774568426742</v>
      </c>
      <c r="AU1193" s="65" t="n">
        <f aca="false">IF(AT1193="",0,MAX(0,MIN(1,(IF(BY1193="L1",Parameter!$E$5,Parameter!$E$6+Parameter!$E$7)-(AT1193-AP1193))/AP1193)))</f>
        <v>1</v>
      </c>
      <c r="AV1193" s="57" t="n">
        <f aca="false">IF(LEFT(Cockpit!$O$5,1)="A",H1193,IF(CA1193=1,CB1193,IF(LEFT(Cockpit!$O$5,1)="B",AZ1193,MAX(AZ1193,H1193))))</f>
        <v>16</v>
      </c>
      <c r="AW1193" s="57" t="n">
        <f aca="false">IF(BT1193=1,0,ROUNDUP(AV1193/BS1193,0))</f>
        <v>4</v>
      </c>
      <c r="AX1193" s="59" t="n">
        <f aca="false">IF(CH1193&gt;0,CH1193*MAX(1,AV1193/X1193),IF(BT1193=1,IF(AV1193&lt;=0,0,BW1193*MAX(1,IF(H1193&gt;0,AV1193/H1193,1))),IF(R1193&gt;0,AW1193/R1193,0))/MAX(0.1,N(Parameter!$M$21)))</f>
        <v>0.153846153846154</v>
      </c>
      <c r="AY1193" s="57" t="n">
        <f aca="false">AV1193*G1193</f>
        <v>1277.92</v>
      </c>
      <c r="AZ1193" s="57" t="n">
        <f aca="false">ROUNDUP(MAX(J1193/IF(BZ1193&gt;0,BZ1193,MAX(0.1,N(Cockpit!$O$6))),CC1193)/BS1193,0)*BS1193</f>
        <v>16</v>
      </c>
      <c r="BA1193" s="58" t="n">
        <f aca="false">IF(AX1193&gt;0,J1193/AX1193,-1)</f>
        <v>84.5</v>
      </c>
      <c r="BB1193" s="58" t="n">
        <f aca="false">IF(AND(OR(BY1193="L1",BY1193="L23"),AX1193&gt;0),SUMIFS($AX$7:$AX$1843,$BY$7:$BY$1843,BY1193,$BA$7:$BA$1843,"&gt;"&amp;BA1193)+SUMIFS($AX$7:$AX$1843,$BY$7:$BY$1843,BY1193,$BA$7:$BA$1843,BA1193,$BQ$7:$BQ$1843,"&lt;="&amp;BQ1193),"")</f>
        <v>57.2739603391777</v>
      </c>
      <c r="BC1193" s="65" t="n">
        <f aca="false">IF(BB1193="",0,MAX(0,MIN(1,(IF(BY1193="L1",Parameter!$E$5,Parameter!$E$6+Parameter!$E$7)-(BB1193-AX1193))/AX1193)))</f>
        <v>1</v>
      </c>
      <c r="BD1193" s="55" t="str">
        <f aca="false">IF(AH1193&lt;=0,"",IF(BY1193="Aussen","Aussenlager",IF(BY1193="-","Nicht im Lift",IF(AM1193&gt;=1,"Lift",IF(AM1193&lt;=0,"Aussenlager","teilweise")))))</f>
        <v>Lift</v>
      </c>
      <c r="BE1193" s="55" t="str">
        <f aca="false">IF(AP1193&lt;=0,"",IF(BY1193="Aussen","Aussenlager",IF(BY1193="-","Nicht im Lift",IF(AU1193&gt;=1,"Lift",IF(AU1193&lt;=0,"Aussenlager","teilweise")))))</f>
        <v>Lift</v>
      </c>
      <c r="BF1193" s="55" t="str">
        <f aca="false">IF(AX1193&lt;=0,"",IF(BY1193="Aussen","Aussenlager",IF(BY1193="-","Nicht im Lift",IF(BC1193&gt;=1,"Lift",IF(BC1193&lt;=0,"Aussenlager","teilweise")))))</f>
        <v>Lift</v>
      </c>
      <c r="BG1193" s="55" t="str">
        <f aca="false">IF(A1193="","",IF(BP1193=1,"Neu; ","")&amp;IF(AND(BP1193=0,BK1193&lt;0),"negativer Bestand (Export "&amp;BK1193&amp;"); ","")&amp;IF(J1193&lt;=0,"Kein Verbrauch; ","")&amp;IF(CH1193&gt;0,"Lift "&amp;W1193&amp;" lt. Liftbericht (Fach "&amp;X1193&amp;" Stk); ",IF(BU1193=1,"Gebinde geschätzt ("&amp;T1193&amp;"); ",IF(BT1193=1,"Lose – Tablare geschätzt; ","")))&amp;IF(H1193&gt;AR1193,"Überbestand "&amp;ROUND(H1193-AR1193,0)&amp;" Stk / CHF "&amp;ROUND((H1193-AR1193)*G1193,0)&amp;"; ","")&amp;IF(AND(CA1193=1,CB1193&lt;CC1193),"MAX &lt; MB+LG; ","")&amp;IF(AND(CG1193&gt;0,CF1193*10&gt;CG1193),"zu hoch für Tablar; ","")&amp;IF(AND(BP1193=0,OR(CA1193=1,AA1193&lt;&gt;"",U1193&lt;&gt;"",V1193&lt;&gt;"",AB1193&lt;&gt;"")),"manuell übersteuert; ","")&amp;IF(AND(BT1193=0,R1193=0),"Gebinde unbekannt / Stellmass fehlt; ","")&amp;IF(AND(BT1193=0,N(V1193)&lt;=0,N(Q1193)&lt;=0),"Menge pro Gebinde fehlt (Ist = 1 Gebinde); ","")&amp;BO1193)</f>
        <v>negativer Bestand (Export -6); </v>
      </c>
      <c r="BH1193" s="55"/>
      <c r="BI1193" s="55"/>
      <c r="BJ1193" s="62"/>
      <c r="BK1193" s="57" t="n">
        <v>-6</v>
      </c>
      <c r="BL1193" s="57" t="n">
        <v>12</v>
      </c>
      <c r="BM1193" s="56" t="n">
        <v>-435.78</v>
      </c>
      <c r="BN1193" s="57" t="n">
        <v>13</v>
      </c>
      <c r="BO1193" s="55"/>
      <c r="BP1193" s="60" t="n">
        <v>0</v>
      </c>
      <c r="BQ1193" s="60" t="n">
        <v>1193</v>
      </c>
      <c r="BR1193" s="55" t="str">
        <f aca="false">IF(U1193&lt;&gt;"",UPPER(TRIM(U1193)),IF(BU1193=1,UPPER(VLOOKUP(T1193,Parameter!$I$27:$K$29,2,0)),IF(P1193="","LOSE",P1193)))</f>
        <v>S52</v>
      </c>
      <c r="BS1193" s="57" t="n">
        <f aca="false">IF(BR1193="LOSE",1,IF(N(V1193)&gt;0,V1193,IF(BU1193=1,MAX(1,N(VLOOKUP(T1193,Parameter!$I$27:$K$29,3,0)),H1193,N(N1193)),IF(N(Q1193)&gt;0,Q1193,MAX(1,H1193)))))</f>
        <v>4</v>
      </c>
      <c r="BT1193" s="60" t="n">
        <f aca="false">IF(BR1193="LOSE",1,0)</f>
        <v>0</v>
      </c>
      <c r="BU1193" s="60" t="n">
        <f aca="false">IF(AND(U1193="",OR(P1193="",P1193="LOSE"),T1193&lt;&gt;"",N(S1193)&lt;=0,ISNUMBER(MATCH(T1193,Parameter!$I$27:$I$29,0))),1,0)</f>
        <v>0</v>
      </c>
      <c r="BV1193" s="55" t="str">
        <f aca="false">IF(AND(Parameter!$B$19="Ja",E1193&lt;&gt;"",ISNUMBER(MATCH(E1193,Parameter!$I$35:$I$52,0))),VLOOKUP(E1193,Parameter!$I$35:$J$52,2,0),IFERROR(VLOOKUP(D1193,Parameter!$A$35:$C$64,2,0),"Nein"))</f>
        <v>2+3</v>
      </c>
      <c r="BW1193" s="59" t="n">
        <f aca="false">IF(BT1193=0,0,IF(N(S1193)&gt;0,S1193,IFERROR(VLOOKUP(D1193,Parameter!$A$35:$C$64,3,0)+0,0)))</f>
        <v>0</v>
      </c>
      <c r="BX1193" s="55" t="n">
        <f aca="false">IF(AA1193&lt;&gt;"",AA1193,Z1193)</f>
        <v>3</v>
      </c>
      <c r="BY1193" s="55" t="str">
        <f aca="false">IF(BX1193=1,"L1",IF(OR(BX1193=2,BX1193=3),"L23",IF(BX1193="Aussen","Aussen","-")))</f>
        <v>L23</v>
      </c>
      <c r="BZ1193" s="66" t="n">
        <f aca="false">IF(N(AB1193)&gt;0,AB1193,0)</f>
        <v>0</v>
      </c>
      <c r="CA1193" s="60" t="n">
        <f aca="false">IF(ISNUMBER(AE1193),1,0)</f>
        <v>0</v>
      </c>
      <c r="CB1193" s="57" t="n">
        <f aca="false">N(AE1193)</f>
        <v>0</v>
      </c>
      <c r="CC1193" s="57" t="n">
        <f aca="false">N(M1193)+N(N1193)</f>
        <v>15</v>
      </c>
      <c r="CD1193" s="57" t="n">
        <f aca="false">ROUNDUP(H1193/BS1193,0)</f>
        <v>2</v>
      </c>
      <c r="CE1193" s="57" t="n">
        <f aca="false">ROUNDUP(CB1193/BS1193,0)</f>
        <v>0</v>
      </c>
      <c r="CF1193" s="60" t="n">
        <f aca="false">IF(BT1193=1,0,IFERROR(VLOOKUP(BR1193,'Gebinde-Kategorie'!$A$5:$M$45,5,0)+0,0))</f>
        <v>21</v>
      </c>
      <c r="CG1193" s="60" t="n">
        <f aca="false">IFERROR(IF(OR(BX1193=1,BX1193=2,BX1193=3),N(INDEX(Parameter!$I$5:$I$7,BX1193)),0),0)</f>
        <v>0</v>
      </c>
      <c r="CH1193" s="59" t="n">
        <f aca="false">IF(AND(Parameter!$B$21="Ja",ISNUMBER(W1193),N(X1193)&gt;0),IFERROR(N(INDEX(Parameter!$L$5:$L$7,W1193))*INDEX(Parameter!$E$5:$E$7,W1193)*X1193/SUMIFS($X$7:$X$1843,$W$7:$W$1843,W1193),0),0)</f>
        <v>0</v>
      </c>
    </row>
    <row r="1194" customFormat="false" ht="15" hidden="false" customHeight="false" outlineLevel="0" collapsed="false">
      <c r="A1194" s="55" t="s">
        <v>2148</v>
      </c>
      <c r="B1194" s="55" t="s">
        <v>1942</v>
      </c>
      <c r="C1194" s="55" t="s">
        <v>164</v>
      </c>
      <c r="D1194" s="55" t="s">
        <v>184</v>
      </c>
      <c r="E1194" s="55"/>
      <c r="F1194" s="55" t="s">
        <v>218</v>
      </c>
      <c r="G1194" s="56" t="n">
        <v>40.33</v>
      </c>
      <c r="H1194" s="57" t="n">
        <f aca="false">MAX(0,IF(AND(Parameter!$B$21="Ja",ISNUMBER(Y1194)),Y1194,IF(Parameter!$B$20="Jahresanfang 2025 + Export",BL1194+BK1194,BK1194)))</f>
        <v>18</v>
      </c>
      <c r="I1194" s="57" t="n">
        <f aca="false">H1194*G1194</f>
        <v>725.94</v>
      </c>
      <c r="J1194" s="57" t="n">
        <f aca="false">BN1194*Parameter!$B$18</f>
        <v>0</v>
      </c>
      <c r="K1194" s="58" t="n">
        <v>23.5</v>
      </c>
      <c r="L1194" s="59" t="n">
        <v>0</v>
      </c>
      <c r="M1194" s="57" t="n">
        <v>0</v>
      </c>
      <c r="N1194" s="57" t="n">
        <v>1</v>
      </c>
      <c r="O1194" s="60" t="n">
        <v>14</v>
      </c>
      <c r="P1194" s="55" t="s">
        <v>426</v>
      </c>
      <c r="Q1194" s="57" t="n">
        <v>20</v>
      </c>
      <c r="R1194" s="60" t="n">
        <f aca="false">IF(BT1194=1,0,IFERROR(VLOOKUP(BR1194,'Gebinde-Kategorie'!$A$5:$M$45,13,0)+0,0))</f>
        <v>198</v>
      </c>
      <c r="S1194" s="61"/>
      <c r="T1194" s="62"/>
      <c r="U1194" s="62"/>
      <c r="V1194" s="62"/>
      <c r="W1194" s="55"/>
      <c r="X1194" s="57"/>
      <c r="Y1194" s="57"/>
      <c r="Z1194" s="55" t="n">
        <f aca="false">IF(A1194="","",IF(AND(Parameter!$B$21="Ja",ISNUMBER(W1194)),W1194,IF(BV1194="2+3",IF(ISNUMBER(SEARCH("grosser Artikel",BO1194)),2,IFERROR(VLOOKUP(BR1194,Parameter!$F$35:$G$64,2,0),2)),IF(OR(BV1194="Nein",BV1194=""),"-",BV1194))))</f>
        <v>3</v>
      </c>
      <c r="AA1194" s="62"/>
      <c r="AB1194" s="63"/>
      <c r="AC1194" s="57" t="n">
        <f aca="false">AR1194</f>
        <v>20</v>
      </c>
      <c r="AD1194" s="57" t="n">
        <f aca="false">MAX(AR1194,H1194)</f>
        <v>20</v>
      </c>
      <c r="AE1194" s="64"/>
      <c r="AF1194" s="57" t="n">
        <f aca="false">IF(LEFT(Cockpit!$C$5,1)="A",H1194,IF(CA1194=1,CB1194,IF(LEFT(Cockpit!$C$5,1)="B",AJ1194,MAX(AJ1194,H1194))))</f>
        <v>18</v>
      </c>
      <c r="AG1194" s="57" t="n">
        <f aca="false">IF(BT1194=1,0,ROUNDUP(AF1194/BS1194,0))</f>
        <v>1</v>
      </c>
      <c r="AH1194" s="59" t="n">
        <f aca="false">IF(CH1194&gt;0,CH1194*MAX(1,AF1194/X1194),IF(BT1194=1,IF(AF1194&lt;=0,0,BW1194*MAX(1,IF(H1194&gt;0,AF1194/H1194,1))),IF(R1194&gt;0,AG1194/R1194,0))/MAX(0.1,N(Parameter!$M$21)))</f>
        <v>0.00505050505050505</v>
      </c>
      <c r="AI1194" s="57" t="n">
        <f aca="false">AF1194*G1194</f>
        <v>725.94</v>
      </c>
      <c r="AJ1194" s="57" t="n">
        <f aca="false">ROUNDUP(MAX(J1194/IF(BZ1194&gt;0,BZ1194,MAX(0.1,N(Cockpit!$C$6))),CC1194)/BS1194,0)*BS1194</f>
        <v>20</v>
      </c>
      <c r="AK1194" s="58" t="n">
        <f aca="false">IF(AH1194&gt;0,J1194/AH1194,-1)</f>
        <v>0</v>
      </c>
      <c r="AL1194" s="58" t="n">
        <f aca="false">IF(AND(OR(BY1194="L1",BY1194="L23"),AH1194&gt;0),SUMIFS($AH$7:$AH$1843,$BY$7:$BY$1843,BY1194,$AK$7:$AK$1843,"&gt;"&amp;AK1194)+SUMIFS($AH$7:$AH$1843,$BY$7:$BY$1843,BY1194,$AK$7:$AK$1843,AK1194,$BQ$7:$BQ$1843,"&lt;="&amp;BQ1194),"")</f>
        <v>80.5689841559407</v>
      </c>
      <c r="AM1194" s="65" t="n">
        <f aca="false">IF(AL1194="",0,MAX(0,MIN(1,(IF(BY1194="L1",Parameter!$E$5,Parameter!$E$6+Parameter!$E$7)-(AL1194-AH1194))/AH1194)))</f>
        <v>1</v>
      </c>
      <c r="AN1194" s="57" t="n">
        <f aca="false">IF(LEFT(Cockpit!$I$5,1)="A",H1194,IF(CA1194=1,CB1194,IF(LEFT(Cockpit!$I$5,1)="B",AR1194,MAX(AR1194,H1194))))</f>
        <v>20</v>
      </c>
      <c r="AO1194" s="57" t="n">
        <f aca="false">IF(BT1194=1,0,ROUNDUP(AN1194/BS1194,0))</f>
        <v>1</v>
      </c>
      <c r="AP1194" s="59" t="n">
        <f aca="false">IF(CH1194&gt;0,CH1194*MAX(1,AN1194/X1194),IF(BT1194=1,IF(AN1194&lt;=0,0,BW1194*MAX(1,IF(H1194&gt;0,AN1194/H1194,1))),IF(R1194&gt;0,AO1194/R1194,0))/MAX(0.1,N(Parameter!$M$21)))</f>
        <v>0.00505050505050505</v>
      </c>
      <c r="AQ1194" s="57" t="n">
        <f aca="false">AN1194*G1194</f>
        <v>806.6</v>
      </c>
      <c r="AR1194" s="57" t="n">
        <f aca="false">ROUNDUP(MAX(J1194/IF(BZ1194&gt;0,BZ1194,MAX(0.1,N(Cockpit!$I$6))),CC1194)/BS1194,0)*BS1194</f>
        <v>20</v>
      </c>
      <c r="AS1194" s="58" t="n">
        <f aca="false">IF(AP1194&gt;0,J1194/AP1194,-1)</f>
        <v>0</v>
      </c>
      <c r="AT1194" s="58" t="n">
        <f aca="false">IF(AND(OR(BY1194="L1",BY1194="L23"),AP1194&gt;0),SUMIFS($AP$7:$AP$1843,$BY$7:$BY$1843,BY1194,$AS$7:$AS$1843,"&gt;"&amp;AS1194)+SUMIFS($AP$7:$AP$1843,$BY$7:$BY$1843,BY1194,$AS$7:$AS$1843,AS1194,$BQ$7:$BQ$1843,"&lt;="&amp;BQ1194),"")</f>
        <v>122.625561636431</v>
      </c>
      <c r="AU1194" s="65" t="n">
        <f aca="false">IF(AT1194="",0,MAX(0,MIN(1,(IF(BY1194="L1",Parameter!$E$5,Parameter!$E$6+Parameter!$E$7)-(AT1194-AP1194))/AP1194)))</f>
        <v>0</v>
      </c>
      <c r="AV1194" s="57" t="n">
        <f aca="false">IF(LEFT(Cockpit!$O$5,1)="A",H1194,IF(CA1194=1,CB1194,IF(LEFT(Cockpit!$O$5,1)="B",AZ1194,MAX(AZ1194,H1194))))</f>
        <v>20</v>
      </c>
      <c r="AW1194" s="57" t="n">
        <f aca="false">IF(BT1194=1,0,ROUNDUP(AV1194/BS1194,0))</f>
        <v>1</v>
      </c>
      <c r="AX1194" s="59" t="n">
        <f aca="false">IF(CH1194&gt;0,CH1194*MAX(1,AV1194/X1194),IF(BT1194=1,IF(AV1194&lt;=0,0,BW1194*MAX(1,IF(H1194&gt;0,AV1194/H1194,1))),IF(R1194&gt;0,AW1194/R1194,0))/MAX(0.1,N(Parameter!$M$21)))</f>
        <v>0.00505050505050505</v>
      </c>
      <c r="AY1194" s="57" t="n">
        <f aca="false">AV1194*G1194</f>
        <v>806.6</v>
      </c>
      <c r="AZ1194" s="57" t="n">
        <f aca="false">ROUNDUP(MAX(J1194/IF(BZ1194&gt;0,BZ1194,MAX(0.1,N(Cockpit!$O$6))),CC1194)/BS1194,0)*BS1194</f>
        <v>20</v>
      </c>
      <c r="BA1194" s="58" t="n">
        <f aca="false">IF(AX1194&gt;0,J1194/AX1194,-1)</f>
        <v>0</v>
      </c>
      <c r="BB1194" s="58" t="n">
        <f aca="false">IF(AND(OR(BY1194="L1",BY1194="L23"),AX1194&gt;0),SUMIFS($AX$7:$AX$1843,$BY$7:$BY$1843,BY1194,$BA$7:$BA$1843,"&gt;"&amp;BA1194)+SUMIFS($AX$7:$AX$1843,$BY$7:$BY$1843,BY1194,$BA$7:$BA$1843,BA1194,$BQ$7:$BQ$1843,"&lt;="&amp;BQ1194),"")</f>
        <v>113.455398466268</v>
      </c>
      <c r="BC1194" s="65" t="n">
        <f aca="false">IF(BB1194="",0,MAX(0,MIN(1,(IF(BY1194="L1",Parameter!$E$5,Parameter!$E$6+Parameter!$E$7)-(BB1194-AX1194))/AX1194)))</f>
        <v>0</v>
      </c>
      <c r="BD1194" s="55" t="str">
        <f aca="false">IF(AH1194&lt;=0,"",IF(BY1194="Aussen","Aussenlager",IF(BY1194="-","Nicht im Lift",IF(AM1194&gt;=1,"Lift",IF(AM1194&lt;=0,"Aussenlager","teilweise")))))</f>
        <v>Lift</v>
      </c>
      <c r="BE1194" s="55" t="str">
        <f aca="false">IF(AP1194&lt;=0,"",IF(BY1194="Aussen","Aussenlager",IF(BY1194="-","Nicht im Lift",IF(AU1194&gt;=1,"Lift",IF(AU1194&lt;=0,"Aussenlager","teilweise")))))</f>
        <v>Aussenlager</v>
      </c>
      <c r="BF1194" s="55" t="str">
        <f aca="false">IF(AX1194&lt;=0,"",IF(BY1194="Aussen","Aussenlager",IF(BY1194="-","Nicht im Lift",IF(BC1194&gt;=1,"Lift",IF(BC1194&lt;=0,"Aussenlager","teilweise")))))</f>
        <v>Aussenlager</v>
      </c>
      <c r="BG1194" s="55" t="str">
        <f aca="false">IF(A1194="","",IF(BP1194=1,"Neu; ","")&amp;IF(AND(BP1194=0,BK1194&lt;0),"negativer Bestand (Export "&amp;BK1194&amp;"); ","")&amp;IF(J1194&lt;=0,"Kein Verbrauch; ","")&amp;IF(CH1194&gt;0,"Lift "&amp;W1194&amp;" lt. Liftbericht (Fach "&amp;X1194&amp;" Stk); ",IF(BU1194=1,"Gebinde geschätzt ("&amp;T1194&amp;"); ",IF(BT1194=1,"Lose – Tablare geschätzt; ","")))&amp;IF(H1194&gt;AR1194,"Überbestand "&amp;ROUND(H1194-AR1194,0)&amp;" Stk / CHF "&amp;ROUND((H1194-AR1194)*G1194,0)&amp;"; ","")&amp;IF(AND(CA1194=1,CB1194&lt;CC1194),"MAX &lt; MB+LG; ","")&amp;IF(AND(CG1194&gt;0,CF1194*10&gt;CG1194),"zu hoch für Tablar; ","")&amp;IF(AND(BP1194=0,OR(CA1194=1,AA1194&lt;&gt;"",U1194&lt;&gt;"",V1194&lt;&gt;"",AB1194&lt;&gt;"")),"manuell übersteuert; ","")&amp;IF(AND(BT1194=0,R1194=0),"Gebinde unbekannt / Stellmass fehlt; ","")&amp;IF(AND(BT1194=0,N(V1194)&lt;=0,N(Q1194)&lt;=0),"Menge pro Gebinde fehlt (Ist = 1 Gebinde); ","")&amp;BO1194)</f>
        <v>negativer Bestand (Export -11); Kein Verbrauch; Verb.Lager</v>
      </c>
      <c r="BH1194" s="55"/>
      <c r="BI1194" s="55"/>
      <c r="BJ1194" s="62"/>
      <c r="BK1194" s="57" t="n">
        <v>-11</v>
      </c>
      <c r="BL1194" s="57" t="n">
        <v>29</v>
      </c>
      <c r="BM1194" s="56" t="n">
        <v>-443.63</v>
      </c>
      <c r="BN1194" s="57" t="n">
        <v>0</v>
      </c>
      <c r="BO1194" s="55" t="s">
        <v>1030</v>
      </c>
      <c r="BP1194" s="60" t="n">
        <v>0</v>
      </c>
      <c r="BQ1194" s="60" t="n">
        <v>1194</v>
      </c>
      <c r="BR1194" s="55" t="str">
        <f aca="false">IF(U1194&lt;&gt;"",UPPER(TRIM(U1194)),IF(BU1194=1,UPPER(VLOOKUP(T1194,Parameter!$I$27:$K$29,2,0)),IF(P1194="","LOSE",P1194)))</f>
        <v>S22</v>
      </c>
      <c r="BS1194" s="57" t="n">
        <f aca="false">IF(BR1194="LOSE",1,IF(N(V1194)&gt;0,V1194,IF(BU1194=1,MAX(1,N(VLOOKUP(T1194,Parameter!$I$27:$K$29,3,0)),H1194,N(N1194)),IF(N(Q1194)&gt;0,Q1194,MAX(1,H1194)))))</f>
        <v>20</v>
      </c>
      <c r="BT1194" s="60" t="n">
        <f aca="false">IF(BR1194="LOSE",1,0)</f>
        <v>0</v>
      </c>
      <c r="BU1194" s="60" t="n">
        <f aca="false">IF(AND(U1194="",OR(P1194="",P1194="LOSE"),T1194&lt;&gt;"",N(S1194)&lt;=0,ISNUMBER(MATCH(T1194,Parameter!$I$27:$I$29,0))),1,0)</f>
        <v>0</v>
      </c>
      <c r="BV1194" s="55" t="str">
        <f aca="false">IF(AND(Parameter!$B$19="Ja",E1194&lt;&gt;"",ISNUMBER(MATCH(E1194,Parameter!$I$35:$I$52,0))),VLOOKUP(E1194,Parameter!$I$35:$J$52,2,0),IFERROR(VLOOKUP(D1194,Parameter!$A$35:$C$64,2,0),"Nein"))</f>
        <v>2+3</v>
      </c>
      <c r="BW1194" s="59" t="n">
        <f aca="false">IF(BT1194=0,0,IF(N(S1194)&gt;0,S1194,IFERROR(VLOOKUP(D1194,Parameter!$A$35:$C$64,3,0)+0,0)))</f>
        <v>0</v>
      </c>
      <c r="BX1194" s="55" t="n">
        <f aca="false">IF(AA1194&lt;&gt;"",AA1194,Z1194)</f>
        <v>3</v>
      </c>
      <c r="BY1194" s="55" t="str">
        <f aca="false">IF(BX1194=1,"L1",IF(OR(BX1194=2,BX1194=3),"L23",IF(BX1194="Aussen","Aussen","-")))</f>
        <v>L23</v>
      </c>
      <c r="BZ1194" s="66" t="n">
        <f aca="false">IF(N(AB1194)&gt;0,AB1194,0)</f>
        <v>0</v>
      </c>
      <c r="CA1194" s="60" t="n">
        <f aca="false">IF(ISNUMBER(AE1194),1,0)</f>
        <v>0</v>
      </c>
      <c r="CB1194" s="57" t="n">
        <f aca="false">N(AE1194)</f>
        <v>0</v>
      </c>
      <c r="CC1194" s="57" t="n">
        <f aca="false">N(M1194)+N(N1194)</f>
        <v>1</v>
      </c>
      <c r="CD1194" s="57" t="n">
        <f aca="false">ROUNDUP(H1194/BS1194,0)</f>
        <v>1</v>
      </c>
      <c r="CE1194" s="57" t="n">
        <f aca="false">ROUNDUP(CB1194/BS1194,0)</f>
        <v>0</v>
      </c>
      <c r="CF1194" s="60" t="n">
        <f aca="false">IF(BT1194=1,0,IFERROR(VLOOKUP(BR1194,'Gebinde-Kategorie'!$A$5:$M$45,5,0)+0,0))</f>
        <v>8</v>
      </c>
      <c r="CG1194" s="60" t="n">
        <f aca="false">IFERROR(IF(OR(BX1194=1,BX1194=2,BX1194=3),N(INDEX(Parameter!$I$5:$I$7,BX1194)),0),0)</f>
        <v>0</v>
      </c>
      <c r="CH1194" s="59" t="n">
        <f aca="false">IF(AND(Parameter!$B$21="Ja",ISNUMBER(W1194),N(X1194)&gt;0),IFERROR(N(INDEX(Parameter!$L$5:$L$7,W1194))*INDEX(Parameter!$E$5:$E$7,W1194)*X1194/SUMIFS($X$7:$X$1843,$W$7:$W$1843,W1194),0),0)</f>
        <v>0</v>
      </c>
    </row>
    <row r="1195" customFormat="false" ht="15" hidden="false" customHeight="false" outlineLevel="0" collapsed="false">
      <c r="A1195" s="55" t="s">
        <v>2149</v>
      </c>
      <c r="B1195" s="55" t="s">
        <v>2150</v>
      </c>
      <c r="C1195" s="55" t="s">
        <v>167</v>
      </c>
      <c r="D1195" s="55" t="s">
        <v>173</v>
      </c>
      <c r="E1195" s="55" t="s">
        <v>185</v>
      </c>
      <c r="F1195" s="55" t="s">
        <v>218</v>
      </c>
      <c r="G1195" s="56" t="n">
        <v>225.57</v>
      </c>
      <c r="H1195" s="57" t="n">
        <f aca="false">MAX(0,IF(AND(Parameter!$B$21="Ja",ISNUMBER(Y1195)),Y1195,IF(Parameter!$B$20="Jahresanfang 2025 + Export",BL1195+BK1195,BK1195)))</f>
        <v>13</v>
      </c>
      <c r="I1195" s="57" t="n">
        <f aca="false">H1195*G1195</f>
        <v>2932.41</v>
      </c>
      <c r="J1195" s="57" t="n">
        <f aca="false">BN1195*Parameter!$B$18</f>
        <v>2</v>
      </c>
      <c r="K1195" s="58" t="n">
        <v>14</v>
      </c>
      <c r="L1195" s="59" t="n">
        <v>0.142857142857143</v>
      </c>
      <c r="M1195" s="57" t="n">
        <v>0</v>
      </c>
      <c r="N1195" s="57" t="n">
        <v>1</v>
      </c>
      <c r="O1195" s="60" t="n">
        <v>77</v>
      </c>
      <c r="P1195" s="55" t="s">
        <v>293</v>
      </c>
      <c r="Q1195" s="57" t="n">
        <v>13</v>
      </c>
      <c r="R1195" s="60" t="n">
        <f aca="false">IF(BT1195=1,0,IFERROR(VLOOKUP(BR1195,'Gebinde-Kategorie'!$A$5:$M$45,13,0)+0,0))</f>
        <v>12</v>
      </c>
      <c r="S1195" s="61"/>
      <c r="T1195" s="62"/>
      <c r="U1195" s="62"/>
      <c r="V1195" s="62"/>
      <c r="W1195" s="55"/>
      <c r="X1195" s="57"/>
      <c r="Y1195" s="57"/>
      <c r="Z1195" s="55" t="n">
        <f aca="false">IF(A1195="","",IF(AND(Parameter!$B$21="Ja",ISNUMBER(W1195)),W1195,IF(BV1195="2+3",IF(ISNUMBER(SEARCH("grosser Artikel",BO1195)),2,IFERROR(VLOOKUP(BR1195,Parameter!$F$35:$G$64,2,0),2)),IF(OR(BV1195="Nein",BV1195=""),"-",BV1195))))</f>
        <v>2</v>
      </c>
      <c r="AA1195" s="62"/>
      <c r="AB1195" s="63"/>
      <c r="AC1195" s="57" t="n">
        <f aca="false">AR1195</f>
        <v>13</v>
      </c>
      <c r="AD1195" s="57" t="n">
        <f aca="false">MAX(AR1195,H1195)</f>
        <v>13</v>
      </c>
      <c r="AE1195" s="64"/>
      <c r="AF1195" s="57" t="n">
        <f aca="false">IF(LEFT(Cockpit!$C$5,1)="A",H1195,IF(CA1195=1,CB1195,IF(LEFT(Cockpit!$C$5,1)="B",AJ1195,MAX(AJ1195,H1195))))</f>
        <v>13</v>
      </c>
      <c r="AG1195" s="57" t="n">
        <f aca="false">IF(BT1195=1,0,ROUNDUP(AF1195/BS1195,0))</f>
        <v>1</v>
      </c>
      <c r="AH1195" s="59" t="n">
        <f aca="false">IF(CH1195&gt;0,CH1195*MAX(1,AF1195/X1195),IF(BT1195=1,IF(AF1195&lt;=0,0,BW1195*MAX(1,IF(H1195&gt;0,AF1195/H1195,1))),IF(R1195&gt;0,AG1195/R1195,0))/MAX(0.1,N(Parameter!$M$21)))</f>
        <v>0.0833333333333333</v>
      </c>
      <c r="AI1195" s="57" t="n">
        <f aca="false">AF1195*G1195</f>
        <v>2932.41</v>
      </c>
      <c r="AJ1195" s="57" t="n">
        <f aca="false">ROUNDUP(MAX(J1195/IF(BZ1195&gt;0,BZ1195,MAX(0.1,N(Cockpit!$C$6))),CC1195)/BS1195,0)*BS1195</f>
        <v>13</v>
      </c>
      <c r="AK1195" s="58" t="n">
        <f aca="false">IF(AH1195&gt;0,J1195/AH1195,-1)</f>
        <v>24</v>
      </c>
      <c r="AL1195" s="58" t="n">
        <f aca="false">IF(AND(OR(BY1195="L1",BY1195="L23"),AH1195&gt;0),SUMIFS($AH$7:$AH$1843,$BY$7:$BY$1843,BY1195,$AK$7:$AK$1843,"&gt;"&amp;AK1195)+SUMIFS($AH$7:$AH$1843,$BY$7:$BY$1843,BY1195,$AK$7:$AK$1843,AK1195,$BQ$7:$BQ$1843,"&lt;="&amp;BQ1195),"")</f>
        <v>50.4215144758623</v>
      </c>
      <c r="AM1195" s="65" t="n">
        <f aca="false">IF(AL1195="",0,MAX(0,MIN(1,(IF(BY1195="L1",Parameter!$E$5,Parameter!$E$6+Parameter!$E$7)-(AL1195-AH1195))/AH1195)))</f>
        <v>1</v>
      </c>
      <c r="AN1195" s="57" t="n">
        <f aca="false">IF(LEFT(Cockpit!$I$5,1)="A",H1195,IF(CA1195=1,CB1195,IF(LEFT(Cockpit!$I$5,1)="B",AR1195,MAX(AR1195,H1195))))</f>
        <v>13</v>
      </c>
      <c r="AO1195" s="57" t="n">
        <f aca="false">IF(BT1195=1,0,ROUNDUP(AN1195/BS1195,0))</f>
        <v>1</v>
      </c>
      <c r="AP1195" s="59" t="n">
        <f aca="false">IF(CH1195&gt;0,CH1195*MAX(1,AN1195/X1195),IF(BT1195=1,IF(AN1195&lt;=0,0,BW1195*MAX(1,IF(H1195&gt;0,AN1195/H1195,1))),IF(R1195&gt;0,AO1195/R1195,0))/MAX(0.1,N(Parameter!$M$21)))</f>
        <v>0.0833333333333333</v>
      </c>
      <c r="AQ1195" s="57" t="n">
        <f aca="false">AN1195*G1195</f>
        <v>2932.41</v>
      </c>
      <c r="AR1195" s="57" t="n">
        <f aca="false">ROUNDUP(MAX(J1195/IF(BZ1195&gt;0,BZ1195,MAX(0.1,N(Cockpit!$I$6))),CC1195)/BS1195,0)*BS1195</f>
        <v>13</v>
      </c>
      <c r="AS1195" s="58" t="n">
        <f aca="false">IF(AP1195&gt;0,J1195/AP1195,-1)</f>
        <v>24</v>
      </c>
      <c r="AT1195" s="58" t="n">
        <f aca="false">IF(AND(OR(BY1195="L1",BY1195="L23"),AP1195&gt;0),SUMIFS($AP$7:$AP$1843,$BY$7:$BY$1843,BY1195,$AS$7:$AS$1843,"&gt;"&amp;AS1195)+SUMIFS($AP$7:$AP$1843,$BY$7:$BY$1843,BY1195,$AS$7:$AS$1843,AS1195,$BQ$7:$BQ$1843,"&lt;="&amp;BQ1195),"")</f>
        <v>75.5956386608561</v>
      </c>
      <c r="AU1195" s="65" t="n">
        <f aca="false">IF(AT1195="",0,MAX(0,MIN(1,(IF(BY1195="L1",Parameter!$E$5,Parameter!$E$6+Parameter!$E$7)-(AT1195-AP1195))/AP1195)))</f>
        <v>1</v>
      </c>
      <c r="AV1195" s="57" t="n">
        <f aca="false">IF(LEFT(Cockpit!$O$5,1)="A",H1195,IF(CA1195=1,CB1195,IF(LEFT(Cockpit!$O$5,1)="B",AZ1195,MAX(AZ1195,H1195))))</f>
        <v>13</v>
      </c>
      <c r="AW1195" s="57" t="n">
        <f aca="false">IF(BT1195=1,0,ROUNDUP(AV1195/BS1195,0))</f>
        <v>1</v>
      </c>
      <c r="AX1195" s="59" t="n">
        <f aca="false">IF(CH1195&gt;0,CH1195*MAX(1,AV1195/X1195),IF(BT1195=1,IF(AV1195&lt;=0,0,BW1195*MAX(1,IF(H1195&gt;0,AV1195/H1195,1))),IF(R1195&gt;0,AW1195/R1195,0))/MAX(0.1,N(Parameter!$M$21)))</f>
        <v>0.0833333333333333</v>
      </c>
      <c r="AY1195" s="57" t="n">
        <f aca="false">AV1195*G1195</f>
        <v>2932.41</v>
      </c>
      <c r="AZ1195" s="57" t="n">
        <f aca="false">ROUNDUP(MAX(J1195/IF(BZ1195&gt;0,BZ1195,MAX(0.1,N(Cockpit!$O$6))),CC1195)/BS1195,0)*BS1195</f>
        <v>13</v>
      </c>
      <c r="BA1195" s="58" t="n">
        <f aca="false">IF(AX1195&gt;0,J1195/AX1195,-1)</f>
        <v>24</v>
      </c>
      <c r="BB1195" s="58" t="n">
        <f aca="false">IF(AND(OR(BY1195="L1",BY1195="L23"),AX1195&gt;0),SUMIFS($AX$7:$AX$1843,$BY$7:$BY$1843,BY1195,$BA$7:$BA$1843,"&gt;"&amp;BA1195)+SUMIFS($AX$7:$AX$1843,$BY$7:$BY$1843,BY1195,$BA$7:$BA$1843,BA1195,$BQ$7:$BQ$1843,"&lt;="&amp;BQ1195),"")</f>
        <v>71.0921421573596</v>
      </c>
      <c r="BC1195" s="65" t="n">
        <f aca="false">IF(BB1195="",0,MAX(0,MIN(1,(IF(BY1195="L1",Parameter!$E$5,Parameter!$E$6+Parameter!$E$7)-(BB1195-AX1195))/AX1195)))</f>
        <v>1</v>
      </c>
      <c r="BD1195" s="55" t="str">
        <f aca="false">IF(AH1195&lt;=0,"",IF(BY1195="Aussen","Aussenlager",IF(BY1195="-","Nicht im Lift",IF(AM1195&gt;=1,"Lift",IF(AM1195&lt;=0,"Aussenlager","teilweise")))))</f>
        <v>Lift</v>
      </c>
      <c r="BE1195" s="55" t="str">
        <f aca="false">IF(AP1195&lt;=0,"",IF(BY1195="Aussen","Aussenlager",IF(BY1195="-","Nicht im Lift",IF(AU1195&gt;=1,"Lift",IF(AU1195&lt;=0,"Aussenlager","teilweise")))))</f>
        <v>Lift</v>
      </c>
      <c r="BF1195" s="55" t="str">
        <f aca="false">IF(AX1195&lt;=0,"",IF(BY1195="Aussen","Aussenlager",IF(BY1195="-","Nicht im Lift",IF(BC1195&gt;=1,"Lift",IF(BC1195&lt;=0,"Aussenlager","teilweise")))))</f>
        <v>Lift</v>
      </c>
      <c r="BG1195" s="55" t="str">
        <f aca="false">IF(A1195="","",IF(BP1195=1,"Neu; ","")&amp;IF(AND(BP1195=0,BK1195&lt;0),"negativer Bestand (Export "&amp;BK1195&amp;"); ","")&amp;IF(J1195&lt;=0,"Kein Verbrauch; ","")&amp;IF(CH1195&gt;0,"Lift "&amp;W1195&amp;" lt. Liftbericht (Fach "&amp;X1195&amp;" Stk); ",IF(BU1195=1,"Gebinde geschätzt ("&amp;T1195&amp;"); ",IF(BT1195=1,"Lose – Tablare geschätzt; ","")))&amp;IF(H1195&gt;AR1195,"Überbestand "&amp;ROUND(H1195-AR1195,0)&amp;" Stk / CHF "&amp;ROUND((H1195-AR1195)*G1195,0)&amp;"; ","")&amp;IF(AND(CA1195=1,CB1195&lt;CC1195),"MAX &lt; MB+LG; ","")&amp;IF(AND(CG1195&gt;0,CF1195*10&gt;CG1195),"zu hoch für Tablar; ","")&amp;IF(AND(BP1195=0,OR(CA1195=1,AA1195&lt;&gt;"",U1195&lt;&gt;"",V1195&lt;&gt;"",AB1195&lt;&gt;"")),"manuell übersteuert; ","")&amp;IF(AND(BT1195=0,R1195=0),"Gebinde unbekannt / Stellmass fehlt; ","")&amp;IF(AND(BT1195=0,N(V1195)&lt;=0,N(Q1195)&lt;=0),"Menge pro Gebinde fehlt (Ist = 1 Gebinde); ","")&amp;BO1195)</f>
        <v>negativer Bestand (Export -2); grosser Artikel &amp; nicht im KTL</v>
      </c>
      <c r="BH1195" s="55"/>
      <c r="BI1195" s="55"/>
      <c r="BJ1195" s="62"/>
      <c r="BK1195" s="57" t="n">
        <v>-2</v>
      </c>
      <c r="BL1195" s="57" t="n">
        <v>15</v>
      </c>
      <c r="BM1195" s="56" t="n">
        <v>-451.14</v>
      </c>
      <c r="BN1195" s="57" t="n">
        <v>2</v>
      </c>
      <c r="BO1195" s="55" t="s">
        <v>261</v>
      </c>
      <c r="BP1195" s="60" t="n">
        <v>0</v>
      </c>
      <c r="BQ1195" s="60" t="n">
        <v>1195</v>
      </c>
      <c r="BR1195" s="55" t="str">
        <f aca="false">IF(U1195&lt;&gt;"",UPPER(TRIM(U1195)),IF(BU1195=1,UPPER(VLOOKUP(T1195,Parameter!$I$27:$K$29,2,0)),IF(P1195="","LOSE",P1195)))</f>
        <v>S62</v>
      </c>
      <c r="BS1195" s="57" t="n">
        <f aca="false">IF(BR1195="LOSE",1,IF(N(V1195)&gt;0,V1195,IF(BU1195=1,MAX(1,N(VLOOKUP(T1195,Parameter!$I$27:$K$29,3,0)),H1195,N(N1195)),IF(N(Q1195)&gt;0,Q1195,MAX(1,H1195)))))</f>
        <v>13</v>
      </c>
      <c r="BT1195" s="60" t="n">
        <f aca="false">IF(BR1195="LOSE",1,0)</f>
        <v>0</v>
      </c>
      <c r="BU1195" s="60" t="n">
        <f aca="false">IF(AND(U1195="",OR(P1195="",P1195="LOSE"),T1195&lt;&gt;"",N(S1195)&lt;=0,ISNUMBER(MATCH(T1195,Parameter!$I$27:$I$29,0))),1,0)</f>
        <v>0</v>
      </c>
      <c r="BV1195" s="55" t="str">
        <f aca="false">IF(AND(Parameter!$B$19="Ja",E1195&lt;&gt;"",ISNUMBER(MATCH(E1195,Parameter!$I$35:$I$52,0))),VLOOKUP(E1195,Parameter!$I$35:$J$52,2,0),IFERROR(VLOOKUP(D1195,Parameter!$A$35:$C$64,2,0),"Nein"))</f>
        <v>2+3</v>
      </c>
      <c r="BW1195" s="59" t="n">
        <f aca="false">IF(BT1195=0,0,IF(N(S1195)&gt;0,S1195,IFERROR(VLOOKUP(D1195,Parameter!$A$35:$C$64,3,0)+0,0)))</f>
        <v>0</v>
      </c>
      <c r="BX1195" s="55" t="n">
        <f aca="false">IF(AA1195&lt;&gt;"",AA1195,Z1195)</f>
        <v>2</v>
      </c>
      <c r="BY1195" s="55" t="str">
        <f aca="false">IF(BX1195=1,"L1",IF(OR(BX1195=2,BX1195=3),"L23",IF(BX1195="Aussen","Aussen","-")))</f>
        <v>L23</v>
      </c>
      <c r="BZ1195" s="66" t="n">
        <f aca="false">IF(N(AB1195)&gt;0,AB1195,0)</f>
        <v>0</v>
      </c>
      <c r="CA1195" s="60" t="n">
        <f aca="false">IF(ISNUMBER(AE1195),1,0)</f>
        <v>0</v>
      </c>
      <c r="CB1195" s="57" t="n">
        <f aca="false">N(AE1195)</f>
        <v>0</v>
      </c>
      <c r="CC1195" s="57" t="n">
        <f aca="false">N(M1195)+N(N1195)</f>
        <v>1</v>
      </c>
      <c r="CD1195" s="57" t="n">
        <f aca="false">ROUNDUP(H1195/BS1195,0)</f>
        <v>1</v>
      </c>
      <c r="CE1195" s="57" t="n">
        <f aca="false">ROUNDUP(CB1195/BS1195,0)</f>
        <v>0</v>
      </c>
      <c r="CF1195" s="60" t="n">
        <f aca="false">IF(BT1195=1,0,IFERROR(VLOOKUP(BR1195,'Gebinde-Kategorie'!$A$5:$M$45,5,0)+0,0))</f>
        <v>21</v>
      </c>
      <c r="CG1195" s="60" t="n">
        <f aca="false">IFERROR(IF(OR(BX1195=1,BX1195=2,BX1195=3),N(INDEX(Parameter!$I$5:$I$7,BX1195)),0),0)</f>
        <v>0</v>
      </c>
      <c r="CH1195" s="59" t="n">
        <f aca="false">IF(AND(Parameter!$B$21="Ja",ISNUMBER(W1195),N(X1195)&gt;0),IFERROR(N(INDEX(Parameter!$L$5:$L$7,W1195))*INDEX(Parameter!$E$5:$E$7,W1195)*X1195/SUMIFS($X$7:$X$1843,$W$7:$W$1843,W1195),0),0)</f>
        <v>0</v>
      </c>
    </row>
    <row r="1196" customFormat="false" ht="15" hidden="false" customHeight="false" outlineLevel="0" collapsed="false">
      <c r="A1196" s="55" t="s">
        <v>2151</v>
      </c>
      <c r="B1196" s="55" t="s">
        <v>2152</v>
      </c>
      <c r="C1196" s="55" t="s">
        <v>164</v>
      </c>
      <c r="D1196" s="55" t="s">
        <v>173</v>
      </c>
      <c r="E1196" s="55"/>
      <c r="F1196" s="55" t="s">
        <v>218</v>
      </c>
      <c r="G1196" s="56" t="n">
        <v>226</v>
      </c>
      <c r="H1196" s="57" t="n">
        <f aca="false">MAX(0,IF(AND(Parameter!$B$21="Ja",ISNUMBER(Y1196)),Y1196,IF(Parameter!$B$20="Jahresanfang 2025 + Export",BL1196+BK1196,BK1196)))</f>
        <v>0</v>
      </c>
      <c r="I1196" s="57" t="n">
        <f aca="false">H1196*G1196</f>
        <v>0</v>
      </c>
      <c r="J1196" s="57" t="n">
        <f aca="false">BN1196*Parameter!$B$18</f>
        <v>2</v>
      </c>
      <c r="K1196" s="58" t="n">
        <v>1</v>
      </c>
      <c r="L1196" s="59" t="n">
        <v>2</v>
      </c>
      <c r="M1196" s="57" t="n">
        <v>0</v>
      </c>
      <c r="N1196" s="57" t="n">
        <v>1</v>
      </c>
      <c r="O1196" s="60" t="n">
        <v>42</v>
      </c>
      <c r="P1196" s="55" t="s">
        <v>168</v>
      </c>
      <c r="Q1196" s="57"/>
      <c r="R1196" s="60" t="n">
        <f aca="false">IF(BT1196=1,0,IFERROR(VLOOKUP(BR1196,'Gebinde-Kategorie'!$A$5:$M$45,13,0)+0,0))</f>
        <v>12</v>
      </c>
      <c r="S1196" s="61"/>
      <c r="T1196" s="62" t="s">
        <v>179</v>
      </c>
      <c r="U1196" s="62"/>
      <c r="V1196" s="62"/>
      <c r="W1196" s="55"/>
      <c r="X1196" s="57"/>
      <c r="Y1196" s="57"/>
      <c r="Z1196" s="55" t="n">
        <f aca="false">IF(A1196="","",IF(AND(Parameter!$B$21="Ja",ISNUMBER(W1196)),W1196,IF(BV1196="2+3",IF(ISNUMBER(SEARCH("grosser Artikel",BO1196)),2,IFERROR(VLOOKUP(BR1196,Parameter!$F$35:$G$64,2,0),2)),IF(OR(BV1196="Nein",BV1196=""),"-",BV1196))))</f>
        <v>2</v>
      </c>
      <c r="AA1196" s="62"/>
      <c r="AB1196" s="63"/>
      <c r="AC1196" s="57" t="n">
        <f aca="false">AR1196</f>
        <v>4</v>
      </c>
      <c r="AD1196" s="57" t="n">
        <f aca="false">MAX(AR1196,H1196)</f>
        <v>4</v>
      </c>
      <c r="AE1196" s="64"/>
      <c r="AF1196" s="57" t="n">
        <f aca="false">IF(LEFT(Cockpit!$C$5,1)="A",H1196,IF(CA1196=1,CB1196,IF(LEFT(Cockpit!$C$5,1)="B",AJ1196,MAX(AJ1196,H1196))))</f>
        <v>0</v>
      </c>
      <c r="AG1196" s="57" t="n">
        <f aca="false">IF(BT1196=1,0,ROUNDUP(AF1196/BS1196,0))</f>
        <v>0</v>
      </c>
      <c r="AH1196" s="59" t="n">
        <f aca="false">IF(CH1196&gt;0,CH1196*MAX(1,AF1196/X1196),IF(BT1196=1,IF(AF1196&lt;=0,0,BW1196*MAX(1,IF(H1196&gt;0,AF1196/H1196,1))),IF(R1196&gt;0,AG1196/R1196,0))/MAX(0.1,N(Parameter!$M$21)))</f>
        <v>0</v>
      </c>
      <c r="AI1196" s="57" t="n">
        <f aca="false">AF1196*G1196</f>
        <v>0</v>
      </c>
      <c r="AJ1196" s="57" t="n">
        <f aca="false">ROUNDUP(MAX(J1196/IF(BZ1196&gt;0,BZ1196,MAX(0.1,N(Cockpit!$C$6))),CC1196)/BS1196,0)*BS1196</f>
        <v>4</v>
      </c>
      <c r="AK1196" s="58" t="n">
        <f aca="false">IF(AH1196&gt;0,J1196/AH1196,-1)</f>
        <v>-1</v>
      </c>
      <c r="AL1196" s="58" t="str">
        <f aca="false">IF(AND(OR(BY1196="L1",BY1196="L23"),AH1196&gt;0),SUMIFS($AH$7:$AH$1843,$BY$7:$BY$1843,BY1196,$AK$7:$AK$1843,"&gt;"&amp;AK1196)+SUMIFS($AH$7:$AH$1843,$BY$7:$BY$1843,BY1196,$AK$7:$AK$1843,AK1196,$BQ$7:$BQ$1843,"&lt;="&amp;BQ1196),"")</f>
        <v/>
      </c>
      <c r="AM1196" s="65" t="n">
        <f aca="false">IF(AL1196="",0,MAX(0,MIN(1,(IF(BY1196="L1",Parameter!$E$5,Parameter!$E$6+Parameter!$E$7)-(AL1196-AH1196))/AH1196)))</f>
        <v>0</v>
      </c>
      <c r="AN1196" s="57" t="n">
        <f aca="false">IF(LEFT(Cockpit!$I$5,1)="A",H1196,IF(CA1196=1,CB1196,IF(LEFT(Cockpit!$I$5,1)="B",AR1196,MAX(AR1196,H1196))))</f>
        <v>4</v>
      </c>
      <c r="AO1196" s="57" t="n">
        <f aca="false">IF(BT1196=1,0,ROUNDUP(AN1196/BS1196,0))</f>
        <v>1</v>
      </c>
      <c r="AP1196" s="59" t="n">
        <f aca="false">IF(CH1196&gt;0,CH1196*MAX(1,AN1196/X1196),IF(BT1196=1,IF(AN1196&lt;=0,0,BW1196*MAX(1,IF(H1196&gt;0,AN1196/H1196,1))),IF(R1196&gt;0,AO1196/R1196,0))/MAX(0.1,N(Parameter!$M$21)))</f>
        <v>0.0833333333333333</v>
      </c>
      <c r="AQ1196" s="57" t="n">
        <f aca="false">AN1196*G1196</f>
        <v>904</v>
      </c>
      <c r="AR1196" s="57" t="n">
        <f aca="false">ROUNDUP(MAX(J1196/IF(BZ1196&gt;0,BZ1196,MAX(0.1,N(Cockpit!$I$6))),CC1196)/BS1196,0)*BS1196</f>
        <v>4</v>
      </c>
      <c r="AS1196" s="58" t="n">
        <f aca="false">IF(AP1196&gt;0,J1196/AP1196,-1)</f>
        <v>24</v>
      </c>
      <c r="AT1196" s="58" t="n">
        <f aca="false">IF(AND(OR(BY1196="L1",BY1196="L23"),AP1196&gt;0),SUMIFS($AP$7:$AP$1843,$BY$7:$BY$1843,BY1196,$AS$7:$AS$1843,"&gt;"&amp;AS1196)+SUMIFS($AP$7:$AP$1843,$BY$7:$BY$1843,BY1196,$AS$7:$AS$1843,AS1196,$BQ$7:$BQ$1843,"&lt;="&amp;BQ1196),"")</f>
        <v>75.6789719941894</v>
      </c>
      <c r="AU1196" s="65" t="n">
        <f aca="false">IF(AT1196="",0,MAX(0,MIN(1,(IF(BY1196="L1",Parameter!$E$5,Parameter!$E$6+Parameter!$E$7)-(AT1196-AP1196))/AP1196)))</f>
        <v>1</v>
      </c>
      <c r="AV1196" s="57" t="n">
        <f aca="false">IF(LEFT(Cockpit!$O$5,1)="A",H1196,IF(CA1196=1,CB1196,IF(LEFT(Cockpit!$O$5,1)="B",AZ1196,MAX(AZ1196,H1196))))</f>
        <v>4</v>
      </c>
      <c r="AW1196" s="57" t="n">
        <f aca="false">IF(BT1196=1,0,ROUNDUP(AV1196/BS1196,0))</f>
        <v>1</v>
      </c>
      <c r="AX1196" s="59" t="n">
        <f aca="false">IF(CH1196&gt;0,CH1196*MAX(1,AV1196/X1196),IF(BT1196=1,IF(AV1196&lt;=0,0,BW1196*MAX(1,IF(H1196&gt;0,AV1196/H1196,1))),IF(R1196&gt;0,AW1196/R1196,0))/MAX(0.1,N(Parameter!$M$21)))</f>
        <v>0.0833333333333333</v>
      </c>
      <c r="AY1196" s="57" t="n">
        <f aca="false">AV1196*G1196</f>
        <v>904</v>
      </c>
      <c r="AZ1196" s="57" t="n">
        <f aca="false">ROUNDUP(MAX(J1196/IF(BZ1196&gt;0,BZ1196,MAX(0.1,N(Cockpit!$O$6))),CC1196)/BS1196,0)*BS1196</f>
        <v>4</v>
      </c>
      <c r="BA1196" s="58" t="n">
        <f aca="false">IF(AX1196&gt;0,J1196/AX1196,-1)</f>
        <v>24</v>
      </c>
      <c r="BB1196" s="58" t="n">
        <f aca="false">IF(AND(OR(BY1196="L1",BY1196="L23"),AX1196&gt;0),SUMIFS($AX$7:$AX$1843,$BY$7:$BY$1843,BY1196,$BA$7:$BA$1843,"&gt;"&amp;BA1196)+SUMIFS($AX$7:$AX$1843,$BY$7:$BY$1843,BY1196,$BA$7:$BA$1843,BA1196,$BQ$7:$BQ$1843,"&lt;="&amp;BQ1196),"")</f>
        <v>71.1754754906929</v>
      </c>
      <c r="BC1196" s="65" t="n">
        <f aca="false">IF(BB1196="",0,MAX(0,MIN(1,(IF(BY1196="L1",Parameter!$E$5,Parameter!$E$6+Parameter!$E$7)-(BB1196-AX1196))/AX1196)))</f>
        <v>1</v>
      </c>
      <c r="BD1196" s="55" t="str">
        <f aca="false">IF(AH1196&lt;=0,"",IF(BY1196="Aussen","Aussenlager",IF(BY1196="-","Nicht im Lift",IF(AM1196&gt;=1,"Lift",IF(AM1196&lt;=0,"Aussenlager","teilweise")))))</f>
        <v/>
      </c>
      <c r="BE1196" s="55" t="str">
        <f aca="false">IF(AP1196&lt;=0,"",IF(BY1196="Aussen","Aussenlager",IF(BY1196="-","Nicht im Lift",IF(AU1196&gt;=1,"Lift",IF(AU1196&lt;=0,"Aussenlager","teilweise")))))</f>
        <v>Lift</v>
      </c>
      <c r="BF1196" s="55" t="str">
        <f aca="false">IF(AX1196&lt;=0,"",IF(BY1196="Aussen","Aussenlager",IF(BY1196="-","Nicht im Lift",IF(BC1196&gt;=1,"Lift",IF(BC1196&lt;=0,"Aussenlager","teilweise")))))</f>
        <v>Lift</v>
      </c>
      <c r="BG1196" s="55" t="str">
        <f aca="false">IF(A1196="","",IF(BP1196=1,"Neu; ","")&amp;IF(AND(BP1196=0,BK1196&lt;0),"negativer Bestand (Export "&amp;BK1196&amp;"); ","")&amp;IF(J1196&lt;=0,"Kein Verbrauch; ","")&amp;IF(CH1196&gt;0,"Lift "&amp;W1196&amp;" lt. Liftbericht (Fach "&amp;X1196&amp;" Stk); ",IF(BU1196=1,"Gebinde geschätzt ("&amp;T1196&amp;"); ",IF(BT1196=1,"Lose – Tablare geschätzt; ","")))&amp;IF(H1196&gt;AR1196,"Überbestand "&amp;ROUND(H1196-AR1196,0)&amp;" Stk / CHF "&amp;ROUND((H1196-AR1196)*G1196,0)&amp;"; ","")&amp;IF(AND(CA1196=1,CB1196&lt;CC1196),"MAX &lt; MB+LG; ","")&amp;IF(AND(CG1196&gt;0,CF1196*10&gt;CG1196),"zu hoch für Tablar; ","")&amp;IF(AND(BP1196=0,OR(CA1196=1,AA1196&lt;&gt;"",U1196&lt;&gt;"",V1196&lt;&gt;"",AB1196&lt;&gt;"")),"manuell übersteuert; ","")&amp;IF(AND(BT1196=0,R1196=0),"Gebinde unbekannt / Stellmass fehlt; ","")&amp;IF(AND(BT1196=0,N(V1196)&lt;=0,N(Q1196)&lt;=0),"Menge pro Gebinde fehlt (Ist = 1 Gebinde); ","")&amp;BO1196)</f>
        <v>negativer Bestand (Export -2); Gebinde geschätzt (Mittel); Menge pro Gebinde fehlt (Ist = 1 Gebinde); </v>
      </c>
      <c r="BH1196" s="55"/>
      <c r="BI1196" s="55"/>
      <c r="BJ1196" s="62"/>
      <c r="BK1196" s="57" t="n">
        <v>-2</v>
      </c>
      <c r="BL1196" s="57" t="n">
        <v>2</v>
      </c>
      <c r="BM1196" s="56" t="n">
        <v>-452</v>
      </c>
      <c r="BN1196" s="57" t="n">
        <v>2</v>
      </c>
      <c r="BO1196" s="55"/>
      <c r="BP1196" s="60" t="n">
        <v>0</v>
      </c>
      <c r="BQ1196" s="60" t="n">
        <v>1196</v>
      </c>
      <c r="BR1196" s="55" t="str">
        <f aca="false">IF(U1196&lt;&gt;"",UPPER(TRIM(U1196)),IF(BU1196=1,UPPER(VLOOKUP(T1196,Parameter!$I$27:$K$29,2,0)),IF(P1196="","LOSE",P1196)))</f>
        <v>S61</v>
      </c>
      <c r="BS1196" s="57" t="n">
        <f aca="false">IF(BR1196="LOSE",1,IF(N(V1196)&gt;0,V1196,IF(BU1196=1,MAX(1,N(VLOOKUP(T1196,Parameter!$I$27:$K$29,3,0)),H1196,N(N1196)),IF(N(Q1196)&gt;0,Q1196,MAX(1,H1196)))))</f>
        <v>4</v>
      </c>
      <c r="BT1196" s="60" t="n">
        <f aca="false">IF(BR1196="LOSE",1,0)</f>
        <v>0</v>
      </c>
      <c r="BU1196" s="60" t="n">
        <f aca="false">IF(AND(U1196="",OR(P1196="",P1196="LOSE"),T1196&lt;&gt;"",N(S1196)&lt;=0,ISNUMBER(MATCH(T1196,Parameter!$I$27:$I$29,0))),1,0)</f>
        <v>1</v>
      </c>
      <c r="BV1196" s="55" t="str">
        <f aca="false">IF(AND(Parameter!$B$19="Ja",E1196&lt;&gt;"",ISNUMBER(MATCH(E1196,Parameter!$I$35:$I$52,0))),VLOOKUP(E1196,Parameter!$I$35:$J$52,2,0),IFERROR(VLOOKUP(D1196,Parameter!$A$35:$C$64,2,0),"Nein"))</f>
        <v>2+3</v>
      </c>
      <c r="BW1196" s="59" t="n">
        <f aca="false">IF(BT1196=0,0,IF(N(S1196)&gt;0,S1196,IFERROR(VLOOKUP(D1196,Parameter!$A$35:$C$64,3,0)+0,0)))</f>
        <v>0</v>
      </c>
      <c r="BX1196" s="55" t="n">
        <f aca="false">IF(AA1196&lt;&gt;"",AA1196,Z1196)</f>
        <v>2</v>
      </c>
      <c r="BY1196" s="55" t="str">
        <f aca="false">IF(BX1196=1,"L1",IF(OR(BX1196=2,BX1196=3),"L23",IF(BX1196="Aussen","Aussen","-")))</f>
        <v>L23</v>
      </c>
      <c r="BZ1196" s="66" t="n">
        <f aca="false">IF(N(AB1196)&gt;0,AB1196,0)</f>
        <v>0</v>
      </c>
      <c r="CA1196" s="60" t="n">
        <f aca="false">IF(ISNUMBER(AE1196),1,0)</f>
        <v>0</v>
      </c>
      <c r="CB1196" s="57" t="n">
        <f aca="false">N(AE1196)</f>
        <v>0</v>
      </c>
      <c r="CC1196" s="57" t="n">
        <f aca="false">N(M1196)+N(N1196)</f>
        <v>1</v>
      </c>
      <c r="CD1196" s="57" t="n">
        <f aca="false">ROUNDUP(H1196/BS1196,0)</f>
        <v>0</v>
      </c>
      <c r="CE1196" s="57" t="n">
        <f aca="false">ROUNDUP(CB1196/BS1196,0)</f>
        <v>0</v>
      </c>
      <c r="CF1196" s="60" t="n">
        <f aca="false">IF(BT1196=1,0,IFERROR(VLOOKUP(BR1196,'Gebinde-Kategorie'!$A$5:$M$45,5,0)+0,0))</f>
        <v>11</v>
      </c>
      <c r="CG1196" s="60" t="n">
        <f aca="false">IFERROR(IF(OR(BX1196=1,BX1196=2,BX1196=3),N(INDEX(Parameter!$I$5:$I$7,BX1196)),0),0)</f>
        <v>0</v>
      </c>
      <c r="CH1196" s="59" t="n">
        <f aca="false">IF(AND(Parameter!$B$21="Ja",ISNUMBER(W1196),N(X1196)&gt;0),IFERROR(N(INDEX(Parameter!$L$5:$L$7,W1196))*INDEX(Parameter!$E$5:$E$7,W1196)*X1196/SUMIFS($X$7:$X$1843,$W$7:$W$1843,W1196),0),0)</f>
        <v>0</v>
      </c>
    </row>
    <row r="1197" customFormat="false" ht="15" hidden="false" customHeight="false" outlineLevel="0" collapsed="false">
      <c r="A1197" s="55" t="s">
        <v>2153</v>
      </c>
      <c r="B1197" s="55" t="s">
        <v>1554</v>
      </c>
      <c r="C1197" s="55" t="s">
        <v>164</v>
      </c>
      <c r="D1197" s="55" t="s">
        <v>173</v>
      </c>
      <c r="E1197" s="55" t="s">
        <v>465</v>
      </c>
      <c r="F1197" s="55" t="s">
        <v>218</v>
      </c>
      <c r="G1197" s="56" t="n">
        <v>1.64</v>
      </c>
      <c r="H1197" s="57" t="n">
        <f aca="false">MAX(0,IF(AND(Parameter!$B$21="Ja",ISNUMBER(Y1197)),Y1197,IF(Parameter!$B$20="Jahresanfang 2025 + Export",BL1197+BK1197,BK1197)))</f>
        <v>43</v>
      </c>
      <c r="I1197" s="57" t="n">
        <f aca="false">H1197*G1197</f>
        <v>70.52</v>
      </c>
      <c r="J1197" s="57" t="n">
        <f aca="false">BN1197*Parameter!$B$18</f>
        <v>188</v>
      </c>
      <c r="K1197" s="58" t="n">
        <v>317</v>
      </c>
      <c r="L1197" s="59" t="n">
        <v>0.593059936908517</v>
      </c>
      <c r="M1197" s="57" t="n">
        <v>10</v>
      </c>
      <c r="N1197" s="57" t="n">
        <v>190</v>
      </c>
      <c r="O1197" s="60" t="n">
        <v>21</v>
      </c>
      <c r="P1197" s="55" t="s">
        <v>168</v>
      </c>
      <c r="Q1197" s="57"/>
      <c r="R1197" s="60" t="n">
        <f aca="false">IF(BT1197=1,0,IFERROR(VLOOKUP(BR1197,'Gebinde-Kategorie'!$A$5:$M$45,13,0)+0,0))</f>
        <v>3</v>
      </c>
      <c r="S1197" s="61"/>
      <c r="T1197" s="62" t="s">
        <v>189</v>
      </c>
      <c r="U1197" s="62"/>
      <c r="V1197" s="62"/>
      <c r="W1197" s="55"/>
      <c r="X1197" s="57"/>
      <c r="Y1197" s="57"/>
      <c r="Z1197" s="55" t="str">
        <f aca="false">IF(A1197="","",IF(AND(Parameter!$B$21="Ja",ISNUMBER(W1197)),W1197,IF(BV1197="2+3",IF(ISNUMBER(SEARCH("grosser Artikel",BO1197)),2,IFERROR(VLOOKUP(BR1197,Parameter!$F$35:$G$64,2,0),2)),IF(OR(BV1197="Nein",BV1197=""),"-",BV1197))))</f>
        <v>-</v>
      </c>
      <c r="AA1197" s="62"/>
      <c r="AB1197" s="63"/>
      <c r="AC1197" s="57" t="n">
        <f aca="false">AR1197</f>
        <v>380</v>
      </c>
      <c r="AD1197" s="57" t="n">
        <f aca="false">MAX(AR1197,H1197)</f>
        <v>380</v>
      </c>
      <c r="AE1197" s="64"/>
      <c r="AF1197" s="57" t="n">
        <f aca="false">IF(LEFT(Cockpit!$C$5,1)="A",H1197,IF(CA1197=1,CB1197,IF(LEFT(Cockpit!$C$5,1)="B",AJ1197,MAX(AJ1197,H1197))))</f>
        <v>43</v>
      </c>
      <c r="AG1197" s="57" t="n">
        <f aca="false">IF(BT1197=1,0,ROUNDUP(AF1197/BS1197,0))</f>
        <v>1</v>
      </c>
      <c r="AH1197" s="59" t="n">
        <f aca="false">IF(CH1197&gt;0,CH1197*MAX(1,AF1197/X1197),IF(BT1197=1,IF(AF1197&lt;=0,0,BW1197*MAX(1,IF(H1197&gt;0,AF1197/H1197,1))),IF(R1197&gt;0,AG1197/R1197,0))/MAX(0.1,N(Parameter!$M$21)))</f>
        <v>0.333333333333333</v>
      </c>
      <c r="AI1197" s="57" t="n">
        <f aca="false">AF1197*G1197</f>
        <v>70.52</v>
      </c>
      <c r="AJ1197" s="57" t="n">
        <f aca="false">ROUNDUP(MAX(J1197/IF(BZ1197&gt;0,BZ1197,MAX(0.1,N(Cockpit!$C$6))),CC1197)/BS1197,0)*BS1197</f>
        <v>380</v>
      </c>
      <c r="AK1197" s="58" t="n">
        <f aca="false">IF(AH1197&gt;0,J1197/AH1197,-1)</f>
        <v>564</v>
      </c>
      <c r="AL1197" s="58" t="str">
        <f aca="false">IF(AND(OR(BY1197="L1",BY1197="L23"),AH1197&gt;0),SUMIFS($AH$7:$AH$1843,$BY$7:$BY$1843,BY1197,$AK$7:$AK$1843,"&gt;"&amp;AK1197)+SUMIFS($AH$7:$AH$1843,$BY$7:$BY$1843,BY1197,$AK$7:$AK$1843,AK1197,$BQ$7:$BQ$1843,"&lt;="&amp;BQ1197),"")</f>
        <v/>
      </c>
      <c r="AM1197" s="65" t="n">
        <f aca="false">IF(AL1197="",0,MAX(0,MIN(1,(IF(BY1197="L1",Parameter!$E$5,Parameter!$E$6+Parameter!$E$7)-(AL1197-AH1197))/AH1197)))</f>
        <v>0</v>
      </c>
      <c r="AN1197" s="57" t="n">
        <f aca="false">IF(LEFT(Cockpit!$I$5,1)="A",H1197,IF(CA1197=1,CB1197,IF(LEFT(Cockpit!$I$5,1)="B",AR1197,MAX(AR1197,H1197))))</f>
        <v>380</v>
      </c>
      <c r="AO1197" s="57" t="n">
        <f aca="false">IF(BT1197=1,0,ROUNDUP(AN1197/BS1197,0))</f>
        <v>2</v>
      </c>
      <c r="AP1197" s="59" t="n">
        <f aca="false">IF(CH1197&gt;0,CH1197*MAX(1,AN1197/X1197),IF(BT1197=1,IF(AN1197&lt;=0,0,BW1197*MAX(1,IF(H1197&gt;0,AN1197/H1197,1))),IF(R1197&gt;0,AO1197/R1197,0))/MAX(0.1,N(Parameter!$M$21)))</f>
        <v>0.666666666666667</v>
      </c>
      <c r="AQ1197" s="57" t="n">
        <f aca="false">AN1197*G1197</f>
        <v>623.2</v>
      </c>
      <c r="AR1197" s="57" t="n">
        <f aca="false">ROUNDUP(MAX(J1197/IF(BZ1197&gt;0,BZ1197,MAX(0.1,N(Cockpit!$I$6))),CC1197)/BS1197,0)*BS1197</f>
        <v>380</v>
      </c>
      <c r="AS1197" s="58" t="n">
        <f aca="false">IF(AP1197&gt;0,J1197/AP1197,-1)</f>
        <v>282</v>
      </c>
      <c r="AT1197" s="58" t="str">
        <f aca="false">IF(AND(OR(BY1197="L1",BY1197="L23"),AP1197&gt;0),SUMIFS($AP$7:$AP$1843,$BY$7:$BY$1843,BY1197,$AS$7:$AS$1843,"&gt;"&amp;AS1197)+SUMIFS($AP$7:$AP$1843,$BY$7:$BY$1843,BY1197,$AS$7:$AS$1843,AS1197,$BQ$7:$BQ$1843,"&lt;="&amp;BQ1197),"")</f>
        <v/>
      </c>
      <c r="AU1197" s="65" t="n">
        <f aca="false">IF(AT1197="",0,MAX(0,MIN(1,(IF(BY1197="L1",Parameter!$E$5,Parameter!$E$6+Parameter!$E$7)-(AT1197-AP1197))/AP1197)))</f>
        <v>0</v>
      </c>
      <c r="AV1197" s="57" t="n">
        <f aca="false">IF(LEFT(Cockpit!$O$5,1)="A",H1197,IF(CA1197=1,CB1197,IF(LEFT(Cockpit!$O$5,1)="B",AZ1197,MAX(AZ1197,H1197))))</f>
        <v>380</v>
      </c>
      <c r="AW1197" s="57" t="n">
        <f aca="false">IF(BT1197=1,0,ROUNDUP(AV1197/BS1197,0))</f>
        <v>2</v>
      </c>
      <c r="AX1197" s="59" t="n">
        <f aca="false">IF(CH1197&gt;0,CH1197*MAX(1,AV1197/X1197),IF(BT1197=1,IF(AV1197&lt;=0,0,BW1197*MAX(1,IF(H1197&gt;0,AV1197/H1197,1))),IF(R1197&gt;0,AW1197/R1197,0))/MAX(0.1,N(Parameter!$M$21)))</f>
        <v>0.666666666666667</v>
      </c>
      <c r="AY1197" s="57" t="n">
        <f aca="false">AV1197*G1197</f>
        <v>623.2</v>
      </c>
      <c r="AZ1197" s="57" t="n">
        <f aca="false">ROUNDUP(MAX(J1197/IF(BZ1197&gt;0,BZ1197,MAX(0.1,N(Cockpit!$O$6))),CC1197)/BS1197,0)*BS1197</f>
        <v>380</v>
      </c>
      <c r="BA1197" s="58" t="n">
        <f aca="false">IF(AX1197&gt;0,J1197/AX1197,-1)</f>
        <v>282</v>
      </c>
      <c r="BB1197" s="58" t="str">
        <f aca="false">IF(AND(OR(BY1197="L1",BY1197="L23"),AX1197&gt;0),SUMIFS($AX$7:$AX$1843,$BY$7:$BY$1843,BY1197,$BA$7:$BA$1843,"&gt;"&amp;BA1197)+SUMIFS($AX$7:$AX$1843,$BY$7:$BY$1843,BY1197,$BA$7:$BA$1843,BA1197,$BQ$7:$BQ$1843,"&lt;="&amp;BQ1197),"")</f>
        <v/>
      </c>
      <c r="BC1197" s="65" t="n">
        <f aca="false">IF(BB1197="",0,MAX(0,MIN(1,(IF(BY1197="L1",Parameter!$E$5,Parameter!$E$6+Parameter!$E$7)-(BB1197-AX1197))/AX1197)))</f>
        <v>0</v>
      </c>
      <c r="BD1197" s="55" t="str">
        <f aca="false">IF(AH1197&lt;=0,"",IF(BY1197="Aussen","Aussenlager",IF(BY1197="-","Nicht im Lift",IF(AM1197&gt;=1,"Lift",IF(AM1197&lt;=0,"Aussenlager","teilweise")))))</f>
        <v>Nicht im Lift</v>
      </c>
      <c r="BE1197" s="55" t="str">
        <f aca="false">IF(AP1197&lt;=0,"",IF(BY1197="Aussen","Aussenlager",IF(BY1197="-","Nicht im Lift",IF(AU1197&gt;=1,"Lift",IF(AU1197&lt;=0,"Aussenlager","teilweise")))))</f>
        <v>Nicht im Lift</v>
      </c>
      <c r="BF1197" s="55" t="str">
        <f aca="false">IF(AX1197&lt;=0,"",IF(BY1197="Aussen","Aussenlager",IF(BY1197="-","Nicht im Lift",IF(BC1197&gt;=1,"Lift",IF(BC1197&lt;=0,"Aussenlager","teilweise")))))</f>
        <v>Nicht im Lift</v>
      </c>
      <c r="BG1197" s="55" t="str">
        <f aca="false">IF(A1197="","",IF(BP1197=1,"Neu; ","")&amp;IF(AND(BP1197=0,BK1197&lt;0),"negativer Bestand (Export "&amp;BK1197&amp;"); ","")&amp;IF(J1197&lt;=0,"Kein Verbrauch; ","")&amp;IF(CH1197&gt;0,"Lift "&amp;W1197&amp;" lt. Liftbericht (Fach "&amp;X1197&amp;" Stk); ",IF(BU1197=1,"Gebinde geschätzt ("&amp;T1197&amp;"); ",IF(BT1197=1,"Lose – Tablare geschätzt; ","")))&amp;IF(H1197&gt;AR1197,"Überbestand "&amp;ROUND(H1197-AR1197,0)&amp;" Stk / CHF "&amp;ROUND((H1197-AR1197)*G1197,0)&amp;"; ","")&amp;IF(AND(CA1197=1,CB1197&lt;CC1197),"MAX &lt; MB+LG; ","")&amp;IF(AND(CG1197&gt;0,CF1197*10&gt;CG1197),"zu hoch für Tablar; ","")&amp;IF(AND(BP1197=0,OR(CA1197=1,AA1197&lt;&gt;"",U1197&lt;&gt;"",V1197&lt;&gt;"",AB1197&lt;&gt;"")),"manuell übersteuert; ","")&amp;IF(AND(BT1197=0,R1197=0),"Gebinde unbekannt / Stellmass fehlt; ","")&amp;IF(AND(BT1197=0,N(V1197)&lt;=0,N(Q1197)&lt;=0),"Menge pro Gebinde fehlt (Ist = 1 Gebinde); ","")&amp;BO1197)</f>
        <v>negativer Bestand (Export -318); Gebinde geschätzt (Gross); Menge pro Gebinde fehlt (Ist = 1 Gebinde); </v>
      </c>
      <c r="BH1197" s="55"/>
      <c r="BI1197" s="55"/>
      <c r="BJ1197" s="62"/>
      <c r="BK1197" s="57" t="n">
        <v>-318</v>
      </c>
      <c r="BL1197" s="57" t="n">
        <v>361</v>
      </c>
      <c r="BM1197" s="56" t="n">
        <v>-467.37</v>
      </c>
      <c r="BN1197" s="57" t="n">
        <v>188</v>
      </c>
      <c r="BO1197" s="55"/>
      <c r="BP1197" s="60" t="n">
        <v>0</v>
      </c>
      <c r="BQ1197" s="60" t="n">
        <v>1197</v>
      </c>
      <c r="BR1197" s="55" t="str">
        <f aca="false">IF(U1197&lt;&gt;"",UPPER(TRIM(U1197)),IF(BU1197=1,UPPER(VLOOKUP(T1197,Parameter!$I$27:$K$29,2,0)),IF(P1197="","LOSE",P1197)))</f>
        <v>S81</v>
      </c>
      <c r="BS1197" s="57" t="n">
        <f aca="false">IF(BR1197="LOSE",1,IF(N(V1197)&gt;0,V1197,IF(BU1197=1,MAX(1,N(VLOOKUP(T1197,Parameter!$I$27:$K$29,3,0)),H1197,N(N1197)),IF(N(Q1197)&gt;0,Q1197,MAX(1,H1197)))))</f>
        <v>190</v>
      </c>
      <c r="BT1197" s="60" t="n">
        <f aca="false">IF(BR1197="LOSE",1,0)</f>
        <v>0</v>
      </c>
      <c r="BU1197" s="60" t="n">
        <f aca="false">IF(AND(U1197="",OR(P1197="",P1197="LOSE"),T1197&lt;&gt;"",N(S1197)&lt;=0,ISNUMBER(MATCH(T1197,Parameter!$I$27:$I$29,0))),1,0)</f>
        <v>1</v>
      </c>
      <c r="BV1197" s="55" t="str">
        <f aca="false">IF(AND(Parameter!$B$19="Ja",E1197&lt;&gt;"",ISNUMBER(MATCH(E1197,Parameter!$I$35:$I$52,0))),VLOOKUP(E1197,Parameter!$I$35:$J$52,2,0),IFERROR(VLOOKUP(D1197,Parameter!$A$35:$C$64,2,0),"Nein"))</f>
        <v>Nein</v>
      </c>
      <c r="BW1197" s="59" t="n">
        <f aca="false">IF(BT1197=0,0,IF(N(S1197)&gt;0,S1197,IFERROR(VLOOKUP(D1197,Parameter!$A$35:$C$64,3,0)+0,0)))</f>
        <v>0</v>
      </c>
      <c r="BX1197" s="55" t="str">
        <f aca="false">IF(AA1197&lt;&gt;"",AA1197,Z1197)</f>
        <v>-</v>
      </c>
      <c r="BY1197" s="55" t="str">
        <f aca="false">IF(BX1197=1,"L1",IF(OR(BX1197=2,BX1197=3),"L23",IF(BX1197="Aussen","Aussen","-")))</f>
        <v>-</v>
      </c>
      <c r="BZ1197" s="66" t="n">
        <f aca="false">IF(N(AB1197)&gt;0,AB1197,0)</f>
        <v>0</v>
      </c>
      <c r="CA1197" s="60" t="n">
        <f aca="false">IF(ISNUMBER(AE1197),1,0)</f>
        <v>0</v>
      </c>
      <c r="CB1197" s="57" t="n">
        <f aca="false">N(AE1197)</f>
        <v>0</v>
      </c>
      <c r="CC1197" s="57" t="n">
        <f aca="false">N(M1197)+N(N1197)</f>
        <v>200</v>
      </c>
      <c r="CD1197" s="57" t="n">
        <f aca="false">ROUNDUP(H1197/BS1197,0)</f>
        <v>1</v>
      </c>
      <c r="CE1197" s="57" t="n">
        <f aca="false">ROUNDUP(CB1197/BS1197,0)</f>
        <v>0</v>
      </c>
      <c r="CF1197" s="60" t="n">
        <f aca="false">IF(BT1197=1,0,IFERROR(VLOOKUP(BR1197,'Gebinde-Kategorie'!$A$5:$M$45,5,0)+0,0))</f>
        <v>20</v>
      </c>
      <c r="CG1197" s="60" t="n">
        <f aca="false">IFERROR(IF(OR(BX1197=1,BX1197=2,BX1197=3),N(INDEX(Parameter!$I$5:$I$7,BX1197)),0),0)</f>
        <v>0</v>
      </c>
      <c r="CH1197" s="59" t="n">
        <f aca="false">IF(AND(Parameter!$B$21="Ja",ISNUMBER(W1197),N(X1197)&gt;0),IFERROR(N(INDEX(Parameter!$L$5:$L$7,W1197))*INDEX(Parameter!$E$5:$E$7,W1197)*X1197/SUMIFS($X$7:$X$1843,$W$7:$W$1843,W1197),0),0)</f>
        <v>0</v>
      </c>
    </row>
    <row r="1198" customFormat="false" ht="15" hidden="false" customHeight="false" outlineLevel="0" collapsed="false">
      <c r="A1198" s="55" t="s">
        <v>2154</v>
      </c>
      <c r="B1198" s="55" t="s">
        <v>2155</v>
      </c>
      <c r="C1198" s="55" t="s">
        <v>456</v>
      </c>
      <c r="D1198" s="55" t="s">
        <v>173</v>
      </c>
      <c r="E1198" s="55" t="s">
        <v>1479</v>
      </c>
      <c r="F1198" s="55" t="s">
        <v>218</v>
      </c>
      <c r="G1198" s="56" t="n">
        <v>120.58</v>
      </c>
      <c r="H1198" s="57" t="n">
        <f aca="false">MAX(0,IF(AND(Parameter!$B$21="Ja",ISNUMBER(Y1198)),Y1198,IF(Parameter!$B$20="Jahresanfang 2025 + Export",BL1198+BK1198,BK1198)))</f>
        <v>0</v>
      </c>
      <c r="I1198" s="57" t="n">
        <f aca="false">H1198*G1198</f>
        <v>0</v>
      </c>
      <c r="J1198" s="57" t="n">
        <f aca="false">BN1198*Parameter!$B$18</f>
        <v>0</v>
      </c>
      <c r="K1198" s="58" t="n">
        <v>2</v>
      </c>
      <c r="L1198" s="59" t="n">
        <v>0</v>
      </c>
      <c r="M1198" s="57" t="n">
        <v>0</v>
      </c>
      <c r="N1198" s="57" t="n">
        <v>1</v>
      </c>
      <c r="O1198" s="60" t="n">
        <v>56</v>
      </c>
      <c r="P1198" s="55" t="s">
        <v>168</v>
      </c>
      <c r="Q1198" s="57"/>
      <c r="R1198" s="60" t="n">
        <f aca="false">IF(BT1198=1,0,IFERROR(VLOOKUP(BR1198,'Gebinde-Kategorie'!$A$5:$M$45,13,0)+0,0))</f>
        <v>3</v>
      </c>
      <c r="S1198" s="61"/>
      <c r="T1198" s="62" t="s">
        <v>189</v>
      </c>
      <c r="U1198" s="62"/>
      <c r="V1198" s="62"/>
      <c r="W1198" s="55"/>
      <c r="X1198" s="57"/>
      <c r="Y1198" s="57"/>
      <c r="Z1198" s="55" t="str">
        <f aca="false">IF(A1198="","",IF(AND(Parameter!$B$21="Ja",ISNUMBER(W1198)),W1198,IF(BV1198="2+3",IF(ISNUMBER(SEARCH("grosser Artikel",BO1198)),2,IFERROR(VLOOKUP(BR1198,Parameter!$F$35:$G$64,2,0),2)),IF(OR(BV1198="Nein",BV1198=""),"-",BV1198))))</f>
        <v>-</v>
      </c>
      <c r="AA1198" s="62"/>
      <c r="AB1198" s="63"/>
      <c r="AC1198" s="57" t="n">
        <f aca="false">AR1198</f>
        <v>2</v>
      </c>
      <c r="AD1198" s="57" t="n">
        <f aca="false">MAX(AR1198,H1198)</f>
        <v>2</v>
      </c>
      <c r="AE1198" s="64"/>
      <c r="AF1198" s="57" t="n">
        <f aca="false">IF(LEFT(Cockpit!$C$5,1)="A",H1198,IF(CA1198=1,CB1198,IF(LEFT(Cockpit!$C$5,1)="B",AJ1198,MAX(AJ1198,H1198))))</f>
        <v>0</v>
      </c>
      <c r="AG1198" s="57" t="n">
        <f aca="false">IF(BT1198=1,0,ROUNDUP(AF1198/BS1198,0))</f>
        <v>0</v>
      </c>
      <c r="AH1198" s="59" t="n">
        <f aca="false">IF(CH1198&gt;0,CH1198*MAX(1,AF1198/X1198),IF(BT1198=1,IF(AF1198&lt;=0,0,BW1198*MAX(1,IF(H1198&gt;0,AF1198/H1198,1))),IF(R1198&gt;0,AG1198/R1198,0))/MAX(0.1,N(Parameter!$M$21)))</f>
        <v>0</v>
      </c>
      <c r="AI1198" s="57" t="n">
        <f aca="false">AF1198*G1198</f>
        <v>0</v>
      </c>
      <c r="AJ1198" s="57" t="n">
        <f aca="false">ROUNDUP(MAX(J1198/IF(BZ1198&gt;0,BZ1198,MAX(0.1,N(Cockpit!$C$6))),CC1198)/BS1198,0)*BS1198</f>
        <v>2</v>
      </c>
      <c r="AK1198" s="58" t="n">
        <f aca="false">IF(AH1198&gt;0,J1198/AH1198,-1)</f>
        <v>-1</v>
      </c>
      <c r="AL1198" s="58" t="str">
        <f aca="false">IF(AND(OR(BY1198="L1",BY1198="L23"),AH1198&gt;0),SUMIFS($AH$7:$AH$1843,$BY$7:$BY$1843,BY1198,$AK$7:$AK$1843,"&gt;"&amp;AK1198)+SUMIFS($AH$7:$AH$1843,$BY$7:$BY$1843,BY1198,$AK$7:$AK$1843,AK1198,$BQ$7:$BQ$1843,"&lt;="&amp;BQ1198),"")</f>
        <v/>
      </c>
      <c r="AM1198" s="65" t="n">
        <f aca="false">IF(AL1198="",0,MAX(0,MIN(1,(IF(BY1198="L1",Parameter!$E$5,Parameter!$E$6+Parameter!$E$7)-(AL1198-AH1198))/AH1198)))</f>
        <v>0</v>
      </c>
      <c r="AN1198" s="57" t="n">
        <f aca="false">IF(LEFT(Cockpit!$I$5,1)="A",H1198,IF(CA1198=1,CB1198,IF(LEFT(Cockpit!$I$5,1)="B",AR1198,MAX(AR1198,H1198))))</f>
        <v>2</v>
      </c>
      <c r="AO1198" s="57" t="n">
        <f aca="false">IF(BT1198=1,0,ROUNDUP(AN1198/BS1198,0))</f>
        <v>1</v>
      </c>
      <c r="AP1198" s="59" t="n">
        <f aca="false">IF(CH1198&gt;0,CH1198*MAX(1,AN1198/X1198),IF(BT1198=1,IF(AN1198&lt;=0,0,BW1198*MAX(1,IF(H1198&gt;0,AN1198/H1198,1))),IF(R1198&gt;0,AO1198/R1198,0))/MAX(0.1,N(Parameter!$M$21)))</f>
        <v>0.333333333333333</v>
      </c>
      <c r="AQ1198" s="57" t="n">
        <f aca="false">AN1198*G1198</f>
        <v>241.16</v>
      </c>
      <c r="AR1198" s="57" t="n">
        <f aca="false">ROUNDUP(MAX(J1198/IF(BZ1198&gt;0,BZ1198,MAX(0.1,N(Cockpit!$I$6))),CC1198)/BS1198,0)*BS1198</f>
        <v>2</v>
      </c>
      <c r="AS1198" s="58" t="n">
        <f aca="false">IF(AP1198&gt;0,J1198/AP1198,-1)</f>
        <v>0</v>
      </c>
      <c r="AT1198" s="58" t="str">
        <f aca="false">IF(AND(OR(BY1198="L1",BY1198="L23"),AP1198&gt;0),SUMIFS($AP$7:$AP$1843,$BY$7:$BY$1843,BY1198,$AS$7:$AS$1843,"&gt;"&amp;AS1198)+SUMIFS($AP$7:$AP$1843,$BY$7:$BY$1843,BY1198,$AS$7:$AS$1843,AS1198,$BQ$7:$BQ$1843,"&lt;="&amp;BQ1198),"")</f>
        <v/>
      </c>
      <c r="AU1198" s="65" t="n">
        <f aca="false">IF(AT1198="",0,MAX(0,MIN(1,(IF(BY1198="L1",Parameter!$E$5,Parameter!$E$6+Parameter!$E$7)-(AT1198-AP1198))/AP1198)))</f>
        <v>0</v>
      </c>
      <c r="AV1198" s="57" t="n">
        <f aca="false">IF(LEFT(Cockpit!$O$5,1)="A",H1198,IF(CA1198=1,CB1198,IF(LEFT(Cockpit!$O$5,1)="B",AZ1198,MAX(AZ1198,H1198))))</f>
        <v>2</v>
      </c>
      <c r="AW1198" s="57" t="n">
        <f aca="false">IF(BT1198=1,0,ROUNDUP(AV1198/BS1198,0))</f>
        <v>1</v>
      </c>
      <c r="AX1198" s="59" t="n">
        <f aca="false">IF(CH1198&gt;0,CH1198*MAX(1,AV1198/X1198),IF(BT1198=1,IF(AV1198&lt;=0,0,BW1198*MAX(1,IF(H1198&gt;0,AV1198/H1198,1))),IF(R1198&gt;0,AW1198/R1198,0))/MAX(0.1,N(Parameter!$M$21)))</f>
        <v>0.333333333333333</v>
      </c>
      <c r="AY1198" s="57" t="n">
        <f aca="false">AV1198*G1198</f>
        <v>241.16</v>
      </c>
      <c r="AZ1198" s="57" t="n">
        <f aca="false">ROUNDUP(MAX(J1198/IF(BZ1198&gt;0,BZ1198,MAX(0.1,N(Cockpit!$O$6))),CC1198)/BS1198,0)*BS1198</f>
        <v>2</v>
      </c>
      <c r="BA1198" s="58" t="n">
        <f aca="false">IF(AX1198&gt;0,J1198/AX1198,-1)</f>
        <v>0</v>
      </c>
      <c r="BB1198" s="58" t="str">
        <f aca="false">IF(AND(OR(BY1198="L1",BY1198="L23"),AX1198&gt;0),SUMIFS($AX$7:$AX$1843,$BY$7:$BY$1843,BY1198,$BA$7:$BA$1843,"&gt;"&amp;BA1198)+SUMIFS($AX$7:$AX$1843,$BY$7:$BY$1843,BY1198,$BA$7:$BA$1843,BA1198,$BQ$7:$BQ$1843,"&lt;="&amp;BQ1198),"")</f>
        <v/>
      </c>
      <c r="BC1198" s="65" t="n">
        <f aca="false">IF(BB1198="",0,MAX(0,MIN(1,(IF(BY1198="L1",Parameter!$E$5,Parameter!$E$6+Parameter!$E$7)-(BB1198-AX1198))/AX1198)))</f>
        <v>0</v>
      </c>
      <c r="BD1198" s="55" t="str">
        <f aca="false">IF(AH1198&lt;=0,"",IF(BY1198="Aussen","Aussenlager",IF(BY1198="-","Nicht im Lift",IF(AM1198&gt;=1,"Lift",IF(AM1198&lt;=0,"Aussenlager","teilweise")))))</f>
        <v/>
      </c>
      <c r="BE1198" s="55" t="str">
        <f aca="false">IF(AP1198&lt;=0,"",IF(BY1198="Aussen","Aussenlager",IF(BY1198="-","Nicht im Lift",IF(AU1198&gt;=1,"Lift",IF(AU1198&lt;=0,"Aussenlager","teilweise")))))</f>
        <v>Nicht im Lift</v>
      </c>
      <c r="BF1198" s="55" t="str">
        <f aca="false">IF(AX1198&lt;=0,"",IF(BY1198="Aussen","Aussenlager",IF(BY1198="-","Nicht im Lift",IF(BC1198&gt;=1,"Lift",IF(BC1198&lt;=0,"Aussenlager","teilweise")))))</f>
        <v>Nicht im Lift</v>
      </c>
      <c r="BG1198" s="55" t="str">
        <f aca="false">IF(A1198="","",IF(BP1198=1,"Neu; ","")&amp;IF(AND(BP1198=0,BK1198&lt;0),"negativer Bestand (Export "&amp;BK1198&amp;"); ","")&amp;IF(J1198&lt;=0,"Kein Verbrauch; ","")&amp;IF(CH1198&gt;0,"Lift "&amp;W1198&amp;" lt. Liftbericht (Fach "&amp;X1198&amp;" Stk); ",IF(BU1198=1,"Gebinde geschätzt ("&amp;T1198&amp;"); ",IF(BT1198=1,"Lose – Tablare geschätzt; ","")))&amp;IF(H1198&gt;AR1198,"Überbestand "&amp;ROUND(H1198-AR1198,0)&amp;" Stk / CHF "&amp;ROUND((H1198-AR1198)*G1198,0)&amp;"; ","")&amp;IF(AND(CA1198=1,CB1198&lt;CC1198),"MAX &lt; MB+LG; ","")&amp;IF(AND(CG1198&gt;0,CF1198*10&gt;CG1198),"zu hoch für Tablar; ","")&amp;IF(AND(BP1198=0,OR(CA1198=1,AA1198&lt;&gt;"",U1198&lt;&gt;"",V1198&lt;&gt;"",AB1198&lt;&gt;"")),"manuell übersteuert; ","")&amp;IF(AND(BT1198=0,R1198=0),"Gebinde unbekannt / Stellmass fehlt; ","")&amp;IF(AND(BT1198=0,N(V1198)&lt;=0,N(Q1198)&lt;=0),"Menge pro Gebinde fehlt (Ist = 1 Gebinde); ","")&amp;BO1198)</f>
        <v>negativer Bestand (Export -4); Kein Verbrauch; Gebinde geschätzt (Gross); Menge pro Gebinde fehlt (Ist = 1 Gebinde); </v>
      </c>
      <c r="BH1198" s="55"/>
      <c r="BI1198" s="55"/>
      <c r="BJ1198" s="62"/>
      <c r="BK1198" s="57" t="n">
        <v>-4</v>
      </c>
      <c r="BL1198" s="57" t="n">
        <v>4</v>
      </c>
      <c r="BM1198" s="56" t="n">
        <v>-482.32</v>
      </c>
      <c r="BN1198" s="57" t="n">
        <v>0</v>
      </c>
      <c r="BO1198" s="55"/>
      <c r="BP1198" s="60" t="n">
        <v>0</v>
      </c>
      <c r="BQ1198" s="60" t="n">
        <v>1198</v>
      </c>
      <c r="BR1198" s="55" t="str">
        <f aca="false">IF(U1198&lt;&gt;"",UPPER(TRIM(U1198)),IF(BU1198=1,UPPER(VLOOKUP(T1198,Parameter!$I$27:$K$29,2,0)),IF(P1198="","LOSE",P1198)))</f>
        <v>S81</v>
      </c>
      <c r="BS1198" s="57" t="n">
        <f aca="false">IF(BR1198="LOSE",1,IF(N(V1198)&gt;0,V1198,IF(BU1198=1,MAX(1,N(VLOOKUP(T1198,Parameter!$I$27:$K$29,3,0)),H1198,N(N1198)),IF(N(Q1198)&gt;0,Q1198,MAX(1,H1198)))))</f>
        <v>2</v>
      </c>
      <c r="BT1198" s="60" t="n">
        <f aca="false">IF(BR1198="LOSE",1,0)</f>
        <v>0</v>
      </c>
      <c r="BU1198" s="60" t="n">
        <f aca="false">IF(AND(U1198="",OR(P1198="",P1198="LOSE"),T1198&lt;&gt;"",N(S1198)&lt;=0,ISNUMBER(MATCH(T1198,Parameter!$I$27:$I$29,0))),1,0)</f>
        <v>1</v>
      </c>
      <c r="BV1198" s="55" t="str">
        <f aca="false">IF(AND(Parameter!$B$19="Ja",E1198&lt;&gt;"",ISNUMBER(MATCH(E1198,Parameter!$I$35:$I$52,0))),VLOOKUP(E1198,Parameter!$I$35:$J$52,2,0),IFERROR(VLOOKUP(D1198,Parameter!$A$35:$C$64,2,0),"Nein"))</f>
        <v>Nein</v>
      </c>
      <c r="BW1198" s="59" t="n">
        <f aca="false">IF(BT1198=0,0,IF(N(S1198)&gt;0,S1198,IFERROR(VLOOKUP(D1198,Parameter!$A$35:$C$64,3,0)+0,0)))</f>
        <v>0</v>
      </c>
      <c r="BX1198" s="55" t="str">
        <f aca="false">IF(AA1198&lt;&gt;"",AA1198,Z1198)</f>
        <v>-</v>
      </c>
      <c r="BY1198" s="55" t="str">
        <f aca="false">IF(BX1198=1,"L1",IF(OR(BX1198=2,BX1198=3),"L23",IF(BX1198="Aussen","Aussen","-")))</f>
        <v>-</v>
      </c>
      <c r="BZ1198" s="66" t="n">
        <f aca="false">IF(N(AB1198)&gt;0,AB1198,0)</f>
        <v>0</v>
      </c>
      <c r="CA1198" s="60" t="n">
        <f aca="false">IF(ISNUMBER(AE1198),1,0)</f>
        <v>0</v>
      </c>
      <c r="CB1198" s="57" t="n">
        <f aca="false">N(AE1198)</f>
        <v>0</v>
      </c>
      <c r="CC1198" s="57" t="n">
        <f aca="false">N(M1198)+N(N1198)</f>
        <v>1</v>
      </c>
      <c r="CD1198" s="57" t="n">
        <f aca="false">ROUNDUP(H1198/BS1198,0)</f>
        <v>0</v>
      </c>
      <c r="CE1198" s="57" t="n">
        <f aca="false">ROUNDUP(CB1198/BS1198,0)</f>
        <v>0</v>
      </c>
      <c r="CF1198" s="60" t="n">
        <f aca="false">IF(BT1198=1,0,IFERROR(VLOOKUP(BR1198,'Gebinde-Kategorie'!$A$5:$M$45,5,0)+0,0))</f>
        <v>20</v>
      </c>
      <c r="CG1198" s="60" t="n">
        <f aca="false">IFERROR(IF(OR(BX1198=1,BX1198=2,BX1198=3),N(INDEX(Parameter!$I$5:$I$7,BX1198)),0),0)</f>
        <v>0</v>
      </c>
      <c r="CH1198" s="59" t="n">
        <f aca="false">IF(AND(Parameter!$B$21="Ja",ISNUMBER(W1198),N(X1198)&gt;0),IFERROR(N(INDEX(Parameter!$L$5:$L$7,W1198))*INDEX(Parameter!$E$5:$E$7,W1198)*X1198/SUMIFS($X$7:$X$1843,$W$7:$W$1843,W1198),0),0)</f>
        <v>0</v>
      </c>
    </row>
    <row r="1199" customFormat="false" ht="15" hidden="false" customHeight="false" outlineLevel="0" collapsed="false">
      <c r="A1199" s="55" t="s">
        <v>2156</v>
      </c>
      <c r="B1199" s="55" t="s">
        <v>507</v>
      </c>
      <c r="C1199" s="55" t="s">
        <v>164</v>
      </c>
      <c r="D1199" s="55" t="s">
        <v>184</v>
      </c>
      <c r="E1199" s="55" t="s">
        <v>185</v>
      </c>
      <c r="F1199" s="55" t="s">
        <v>218</v>
      </c>
      <c r="G1199" s="56" t="n">
        <v>2.22</v>
      </c>
      <c r="H1199" s="57" t="n">
        <f aca="false">MAX(0,IF(AND(Parameter!$B$21="Ja",ISNUMBER(Y1199)),Y1199,IF(Parameter!$B$20="Jahresanfang 2025 + Export",BL1199+BK1199,BK1199)))</f>
        <v>102</v>
      </c>
      <c r="I1199" s="57" t="n">
        <f aca="false">H1199*G1199</f>
        <v>226.44</v>
      </c>
      <c r="J1199" s="57" t="n">
        <f aca="false">BN1199*Parameter!$B$18</f>
        <v>361</v>
      </c>
      <c r="K1199" s="58" t="n">
        <v>284.5</v>
      </c>
      <c r="L1199" s="59" t="n">
        <v>1.2688927943761</v>
      </c>
      <c r="M1199" s="57" t="n">
        <v>21</v>
      </c>
      <c r="N1199" s="57" t="n">
        <v>360</v>
      </c>
      <c r="O1199" s="60" t="n">
        <v>21</v>
      </c>
      <c r="P1199" s="55" t="s">
        <v>302</v>
      </c>
      <c r="Q1199" s="57" t="n">
        <v>215</v>
      </c>
      <c r="R1199" s="60" t="n">
        <f aca="false">IF(BT1199=1,0,IFERROR(VLOOKUP(BR1199,'Gebinde-Kategorie'!$A$5:$M$45,13,0)+0,0))</f>
        <v>26</v>
      </c>
      <c r="S1199" s="61"/>
      <c r="T1199" s="62"/>
      <c r="U1199" s="62"/>
      <c r="V1199" s="62"/>
      <c r="W1199" s="55"/>
      <c r="X1199" s="57"/>
      <c r="Y1199" s="57"/>
      <c r="Z1199" s="55" t="n">
        <f aca="false">IF(A1199="","",IF(AND(Parameter!$B$21="Ja",ISNUMBER(W1199)),W1199,IF(BV1199="2+3",IF(ISNUMBER(SEARCH("grosser Artikel",BO1199)),2,IFERROR(VLOOKUP(BR1199,Parameter!$F$35:$G$64,2,0),2)),IF(OR(BV1199="Nein",BV1199=""),"-",BV1199))))</f>
        <v>3</v>
      </c>
      <c r="AA1199" s="62"/>
      <c r="AB1199" s="63"/>
      <c r="AC1199" s="57" t="n">
        <f aca="false">AR1199</f>
        <v>430</v>
      </c>
      <c r="AD1199" s="57" t="n">
        <f aca="false">MAX(AR1199,H1199)</f>
        <v>430</v>
      </c>
      <c r="AE1199" s="64"/>
      <c r="AF1199" s="57" t="n">
        <f aca="false">IF(LEFT(Cockpit!$C$5,1)="A",H1199,IF(CA1199=1,CB1199,IF(LEFT(Cockpit!$C$5,1)="B",AJ1199,MAX(AJ1199,H1199))))</f>
        <v>102</v>
      </c>
      <c r="AG1199" s="57" t="n">
        <f aca="false">IF(BT1199=1,0,ROUNDUP(AF1199/BS1199,0))</f>
        <v>1</v>
      </c>
      <c r="AH1199" s="59" t="n">
        <f aca="false">IF(CH1199&gt;0,CH1199*MAX(1,AF1199/X1199),IF(BT1199=1,IF(AF1199&lt;=0,0,BW1199*MAX(1,IF(H1199&gt;0,AF1199/H1199,1))),IF(R1199&gt;0,AG1199/R1199,0))/MAX(0.1,N(Parameter!$M$21)))</f>
        <v>0.0384615384615385</v>
      </c>
      <c r="AI1199" s="57" t="n">
        <f aca="false">AF1199*G1199</f>
        <v>226.44</v>
      </c>
      <c r="AJ1199" s="57" t="n">
        <f aca="false">ROUNDUP(MAX(J1199/IF(BZ1199&gt;0,BZ1199,MAX(0.1,N(Cockpit!$C$6))),CC1199)/BS1199,0)*BS1199</f>
        <v>430</v>
      </c>
      <c r="AK1199" s="58" t="n">
        <f aca="false">IF(AH1199&gt;0,J1199/AH1199,-1)</f>
        <v>9386</v>
      </c>
      <c r="AL1199" s="58" t="n">
        <f aca="false">IF(AND(OR(BY1199="L1",BY1199="L23"),AH1199&gt;0),SUMIFS($AH$7:$AH$1843,$BY$7:$BY$1843,BY1199,$AK$7:$AK$1843,"&gt;"&amp;AK1199)+SUMIFS($AH$7:$AH$1843,$BY$7:$BY$1843,BY1199,$AK$7:$AK$1843,AK1199,$BQ$7:$BQ$1843,"&lt;="&amp;BQ1199),"")</f>
        <v>5.6387622039796</v>
      </c>
      <c r="AM1199" s="65" t="n">
        <f aca="false">IF(AL1199="",0,MAX(0,MIN(1,(IF(BY1199="L1",Parameter!$E$5,Parameter!$E$6+Parameter!$E$7)-(AL1199-AH1199))/AH1199)))</f>
        <v>1</v>
      </c>
      <c r="AN1199" s="57" t="n">
        <f aca="false">IF(LEFT(Cockpit!$I$5,1)="A",H1199,IF(CA1199=1,CB1199,IF(LEFT(Cockpit!$I$5,1)="B",AR1199,MAX(AR1199,H1199))))</f>
        <v>430</v>
      </c>
      <c r="AO1199" s="57" t="n">
        <f aca="false">IF(BT1199=1,0,ROUNDUP(AN1199/BS1199,0))</f>
        <v>2</v>
      </c>
      <c r="AP1199" s="59" t="n">
        <f aca="false">IF(CH1199&gt;0,CH1199*MAX(1,AN1199/X1199),IF(BT1199=1,IF(AN1199&lt;=0,0,BW1199*MAX(1,IF(H1199&gt;0,AN1199/H1199,1))),IF(R1199&gt;0,AO1199/R1199,0))/MAX(0.1,N(Parameter!$M$21)))</f>
        <v>0.0769230769230769</v>
      </c>
      <c r="AQ1199" s="57" t="n">
        <f aca="false">AN1199*G1199</f>
        <v>954.6</v>
      </c>
      <c r="AR1199" s="57" t="n">
        <f aca="false">ROUNDUP(MAX(J1199/IF(BZ1199&gt;0,BZ1199,MAX(0.1,N(Cockpit!$I$6))),CC1199)/BS1199,0)*BS1199</f>
        <v>430</v>
      </c>
      <c r="AS1199" s="58" t="n">
        <f aca="false">IF(AP1199&gt;0,J1199/AP1199,-1)</f>
        <v>4693</v>
      </c>
      <c r="AT1199" s="58" t="n">
        <f aca="false">IF(AND(OR(BY1199="L1",BY1199="L23"),AP1199&gt;0),SUMIFS($AP$7:$AP$1843,$BY$7:$BY$1843,BY1199,$AS$7:$AS$1843,"&gt;"&amp;AS1199)+SUMIFS($AP$7:$AP$1843,$BY$7:$BY$1843,BY1199,$AS$7:$AS$1843,AS1199,$BQ$7:$BQ$1843,"&lt;="&amp;BQ1199),"")</f>
        <v>12.7293334684639</v>
      </c>
      <c r="AU1199" s="65" t="n">
        <f aca="false">IF(AT1199="",0,MAX(0,MIN(1,(IF(BY1199="L1",Parameter!$E$5,Parameter!$E$6+Parameter!$E$7)-(AT1199-AP1199))/AP1199)))</f>
        <v>1</v>
      </c>
      <c r="AV1199" s="57" t="n">
        <f aca="false">IF(LEFT(Cockpit!$O$5,1)="A",H1199,IF(CA1199=1,CB1199,IF(LEFT(Cockpit!$O$5,1)="B",AZ1199,MAX(AZ1199,H1199))))</f>
        <v>430</v>
      </c>
      <c r="AW1199" s="57" t="n">
        <f aca="false">IF(BT1199=1,0,ROUNDUP(AV1199/BS1199,0))</f>
        <v>2</v>
      </c>
      <c r="AX1199" s="59" t="n">
        <f aca="false">IF(CH1199&gt;0,CH1199*MAX(1,AV1199/X1199),IF(BT1199=1,IF(AV1199&lt;=0,0,BW1199*MAX(1,IF(H1199&gt;0,AV1199/H1199,1))),IF(R1199&gt;0,AW1199/R1199,0))/MAX(0.1,N(Parameter!$M$21)))</f>
        <v>0.0769230769230769</v>
      </c>
      <c r="AY1199" s="57" t="n">
        <f aca="false">AV1199*G1199</f>
        <v>954.6</v>
      </c>
      <c r="AZ1199" s="57" t="n">
        <f aca="false">ROUNDUP(MAX(J1199/IF(BZ1199&gt;0,BZ1199,MAX(0.1,N(Cockpit!$O$6))),CC1199)/BS1199,0)*BS1199</f>
        <v>430</v>
      </c>
      <c r="BA1199" s="58" t="n">
        <f aca="false">IF(AX1199&gt;0,J1199/AX1199,-1)</f>
        <v>4693</v>
      </c>
      <c r="BB1199" s="58" t="n">
        <f aca="false">IF(AND(OR(BY1199="L1",BY1199="L23"),AX1199&gt;0),SUMIFS($AX$7:$AX$1843,$BY$7:$BY$1843,BY1199,$BA$7:$BA$1843,"&gt;"&amp;BA1199)+SUMIFS($AX$7:$AX$1843,$BY$7:$BY$1843,BY1199,$BA$7:$BA$1843,BA1199,$BQ$7:$BQ$1843,"&lt;="&amp;BQ1199),"")</f>
        <v>11.2963497854802</v>
      </c>
      <c r="BC1199" s="65" t="n">
        <f aca="false">IF(BB1199="",0,MAX(0,MIN(1,(IF(BY1199="L1",Parameter!$E$5,Parameter!$E$6+Parameter!$E$7)-(BB1199-AX1199))/AX1199)))</f>
        <v>1</v>
      </c>
      <c r="BD1199" s="55" t="str">
        <f aca="false">IF(AH1199&lt;=0,"",IF(BY1199="Aussen","Aussenlager",IF(BY1199="-","Nicht im Lift",IF(AM1199&gt;=1,"Lift",IF(AM1199&lt;=0,"Aussenlager","teilweise")))))</f>
        <v>Lift</v>
      </c>
      <c r="BE1199" s="55" t="str">
        <f aca="false">IF(AP1199&lt;=0,"",IF(BY1199="Aussen","Aussenlager",IF(BY1199="-","Nicht im Lift",IF(AU1199&gt;=1,"Lift",IF(AU1199&lt;=0,"Aussenlager","teilweise")))))</f>
        <v>Lift</v>
      </c>
      <c r="BF1199" s="55" t="str">
        <f aca="false">IF(AX1199&lt;=0,"",IF(BY1199="Aussen","Aussenlager",IF(BY1199="-","Nicht im Lift",IF(BC1199&gt;=1,"Lift",IF(BC1199&lt;=0,"Aussenlager","teilweise")))))</f>
        <v>Lift</v>
      </c>
      <c r="BG1199" s="55" t="str">
        <f aca="false">IF(A1199="","",IF(BP1199=1,"Neu; ","")&amp;IF(AND(BP1199=0,BK1199&lt;0),"negativer Bestand (Export "&amp;BK1199&amp;"); ","")&amp;IF(J1199&lt;=0,"Kein Verbrauch; ","")&amp;IF(CH1199&gt;0,"Lift "&amp;W1199&amp;" lt. Liftbericht (Fach "&amp;X1199&amp;" Stk); ",IF(BU1199=1,"Gebinde geschätzt ("&amp;T1199&amp;"); ",IF(BT1199=1,"Lose – Tablare geschätzt; ","")))&amp;IF(H1199&gt;AR1199,"Überbestand "&amp;ROUND(H1199-AR1199,0)&amp;" Stk / CHF "&amp;ROUND((H1199-AR1199)*G1199,0)&amp;"; ","")&amp;IF(AND(CA1199=1,CB1199&lt;CC1199),"MAX &lt; MB+LG; ","")&amp;IF(AND(CG1199&gt;0,CF1199*10&gt;CG1199),"zu hoch für Tablar; ","")&amp;IF(AND(BP1199=0,OR(CA1199=1,AA1199&lt;&gt;"",U1199&lt;&gt;"",V1199&lt;&gt;"",AB1199&lt;&gt;"")),"manuell übersteuert; ","")&amp;IF(AND(BT1199=0,R1199=0),"Gebinde unbekannt / Stellmass fehlt; ","")&amp;IF(AND(BT1199=0,N(V1199)&lt;=0,N(Q1199)&lt;=0),"Menge pro Gebinde fehlt (Ist = 1 Gebinde); ","")&amp;BO1199)</f>
        <v>negativer Bestand (Export -209); </v>
      </c>
      <c r="BH1199" s="55"/>
      <c r="BI1199" s="55"/>
      <c r="BJ1199" s="62"/>
      <c r="BK1199" s="57" t="n">
        <v>-209</v>
      </c>
      <c r="BL1199" s="57" t="n">
        <v>311</v>
      </c>
      <c r="BM1199" s="56" t="n">
        <v>-485.539999999999</v>
      </c>
      <c r="BN1199" s="57" t="n">
        <v>361</v>
      </c>
      <c r="BO1199" s="55"/>
      <c r="BP1199" s="60" t="n">
        <v>0</v>
      </c>
      <c r="BQ1199" s="60" t="n">
        <v>1199</v>
      </c>
      <c r="BR1199" s="55" t="str">
        <f aca="false">IF(U1199&lt;&gt;"",UPPER(TRIM(U1199)),IF(BU1199=1,UPPER(VLOOKUP(T1199,Parameter!$I$27:$K$29,2,0)),IF(P1199="","LOSE",P1199)))</f>
        <v>S51</v>
      </c>
      <c r="BS1199" s="57" t="n">
        <f aca="false">IF(BR1199="LOSE",1,IF(N(V1199)&gt;0,V1199,IF(BU1199=1,MAX(1,N(VLOOKUP(T1199,Parameter!$I$27:$K$29,3,0)),H1199,N(N1199)),IF(N(Q1199)&gt;0,Q1199,MAX(1,H1199)))))</f>
        <v>215</v>
      </c>
      <c r="BT1199" s="60" t="n">
        <f aca="false">IF(BR1199="LOSE",1,0)</f>
        <v>0</v>
      </c>
      <c r="BU1199" s="60" t="n">
        <f aca="false">IF(AND(U1199="",OR(P1199="",P1199="LOSE"),T1199&lt;&gt;"",N(S1199)&lt;=0,ISNUMBER(MATCH(T1199,Parameter!$I$27:$I$29,0))),1,0)</f>
        <v>0</v>
      </c>
      <c r="BV1199" s="55" t="str">
        <f aca="false">IF(AND(Parameter!$B$19="Ja",E1199&lt;&gt;"",ISNUMBER(MATCH(E1199,Parameter!$I$35:$I$52,0))),VLOOKUP(E1199,Parameter!$I$35:$J$52,2,0),IFERROR(VLOOKUP(D1199,Parameter!$A$35:$C$64,2,0),"Nein"))</f>
        <v>2+3</v>
      </c>
      <c r="BW1199" s="59" t="n">
        <f aca="false">IF(BT1199=0,0,IF(N(S1199)&gt;0,S1199,IFERROR(VLOOKUP(D1199,Parameter!$A$35:$C$64,3,0)+0,0)))</f>
        <v>0</v>
      </c>
      <c r="BX1199" s="55" t="n">
        <f aca="false">IF(AA1199&lt;&gt;"",AA1199,Z1199)</f>
        <v>3</v>
      </c>
      <c r="BY1199" s="55" t="str">
        <f aca="false">IF(BX1199=1,"L1",IF(OR(BX1199=2,BX1199=3),"L23",IF(BX1199="Aussen","Aussen","-")))</f>
        <v>L23</v>
      </c>
      <c r="BZ1199" s="66" t="n">
        <f aca="false">IF(N(AB1199)&gt;0,AB1199,0)</f>
        <v>0</v>
      </c>
      <c r="CA1199" s="60" t="n">
        <f aca="false">IF(ISNUMBER(AE1199),1,0)</f>
        <v>0</v>
      </c>
      <c r="CB1199" s="57" t="n">
        <f aca="false">N(AE1199)</f>
        <v>0</v>
      </c>
      <c r="CC1199" s="57" t="n">
        <f aca="false">N(M1199)+N(N1199)</f>
        <v>381</v>
      </c>
      <c r="CD1199" s="57" t="n">
        <f aca="false">ROUNDUP(H1199/BS1199,0)</f>
        <v>1</v>
      </c>
      <c r="CE1199" s="57" t="n">
        <f aca="false">ROUNDUP(CB1199/BS1199,0)</f>
        <v>0</v>
      </c>
      <c r="CF1199" s="60" t="n">
        <f aca="false">IF(BT1199=1,0,IFERROR(VLOOKUP(BR1199,'Gebinde-Kategorie'!$A$5:$M$45,5,0)+0,0))</f>
        <v>11</v>
      </c>
      <c r="CG1199" s="60" t="n">
        <f aca="false">IFERROR(IF(OR(BX1199=1,BX1199=2,BX1199=3),N(INDEX(Parameter!$I$5:$I$7,BX1199)),0),0)</f>
        <v>0</v>
      </c>
      <c r="CH1199" s="59" t="n">
        <f aca="false">IF(AND(Parameter!$B$21="Ja",ISNUMBER(W1199),N(X1199)&gt;0),IFERROR(N(INDEX(Parameter!$L$5:$L$7,W1199))*INDEX(Parameter!$E$5:$E$7,W1199)*X1199/SUMIFS($X$7:$X$1843,$W$7:$W$1843,W1199),0),0)</f>
        <v>0</v>
      </c>
    </row>
    <row r="1200" customFormat="false" ht="15" hidden="false" customHeight="false" outlineLevel="0" collapsed="false">
      <c r="A1200" s="55" t="s">
        <v>2157</v>
      </c>
      <c r="B1200" s="55" t="s">
        <v>374</v>
      </c>
      <c r="C1200" s="55" t="s">
        <v>164</v>
      </c>
      <c r="D1200" s="55" t="s">
        <v>184</v>
      </c>
      <c r="E1200" s="55" t="s">
        <v>185</v>
      </c>
      <c r="F1200" s="55" t="s">
        <v>218</v>
      </c>
      <c r="G1200" s="56" t="n">
        <v>15.83</v>
      </c>
      <c r="H1200" s="57" t="n">
        <f aca="false">MAX(0,IF(AND(Parameter!$B$21="Ja",ISNUMBER(Y1200)),Y1200,IF(Parameter!$B$20="Jahresanfang 2025 + Export",BL1200+BK1200,BK1200)))</f>
        <v>22</v>
      </c>
      <c r="I1200" s="57" t="n">
        <f aca="false">H1200*G1200</f>
        <v>348.26</v>
      </c>
      <c r="J1200" s="57" t="n">
        <f aca="false">BN1200*Parameter!$B$18</f>
        <v>69</v>
      </c>
      <c r="K1200" s="58" t="n">
        <v>45</v>
      </c>
      <c r="L1200" s="59" t="n">
        <v>1.53333333333333</v>
      </c>
      <c r="M1200" s="57" t="n">
        <v>2</v>
      </c>
      <c r="N1200" s="57" t="n">
        <v>70</v>
      </c>
      <c r="O1200" s="60" t="n">
        <v>14</v>
      </c>
      <c r="P1200" s="55" t="s">
        <v>421</v>
      </c>
      <c r="Q1200" s="57" t="n">
        <v>30</v>
      </c>
      <c r="R1200" s="60" t="n">
        <f aca="false">IF(BT1200=1,0,IFERROR(VLOOKUP(BR1200,'Gebinde-Kategorie'!$A$5:$M$45,13,0)+0,0))</f>
        <v>132</v>
      </c>
      <c r="S1200" s="61"/>
      <c r="T1200" s="62"/>
      <c r="U1200" s="62"/>
      <c r="V1200" s="62"/>
      <c r="W1200" s="55"/>
      <c r="X1200" s="57"/>
      <c r="Y1200" s="57"/>
      <c r="Z1200" s="55" t="n">
        <f aca="false">IF(A1200="","",IF(AND(Parameter!$B$21="Ja",ISNUMBER(W1200)),W1200,IF(BV1200="2+3",IF(ISNUMBER(SEARCH("grosser Artikel",BO1200)),2,IFERROR(VLOOKUP(BR1200,Parameter!$F$35:$G$64,2,0),2)),IF(OR(BV1200="Nein",BV1200=""),"-",BV1200))))</f>
        <v>3</v>
      </c>
      <c r="AA1200" s="62"/>
      <c r="AB1200" s="63"/>
      <c r="AC1200" s="57" t="n">
        <f aca="false">AR1200</f>
        <v>90</v>
      </c>
      <c r="AD1200" s="57" t="n">
        <f aca="false">MAX(AR1200,H1200)</f>
        <v>90</v>
      </c>
      <c r="AE1200" s="64"/>
      <c r="AF1200" s="57" t="n">
        <f aca="false">IF(LEFT(Cockpit!$C$5,1)="A",H1200,IF(CA1200=1,CB1200,IF(LEFT(Cockpit!$C$5,1)="B",AJ1200,MAX(AJ1200,H1200))))</f>
        <v>22</v>
      </c>
      <c r="AG1200" s="57" t="n">
        <f aca="false">IF(BT1200=1,0,ROUNDUP(AF1200/BS1200,0))</f>
        <v>1</v>
      </c>
      <c r="AH1200" s="59" t="n">
        <f aca="false">IF(CH1200&gt;0,CH1200*MAX(1,AF1200/X1200),IF(BT1200=1,IF(AF1200&lt;=0,0,BW1200*MAX(1,IF(H1200&gt;0,AF1200/H1200,1))),IF(R1200&gt;0,AG1200/R1200,0))/MAX(0.1,N(Parameter!$M$21)))</f>
        <v>0.00757575757575758</v>
      </c>
      <c r="AI1200" s="57" t="n">
        <f aca="false">AF1200*G1200</f>
        <v>348.26</v>
      </c>
      <c r="AJ1200" s="57" t="n">
        <f aca="false">ROUNDUP(MAX(J1200/IF(BZ1200&gt;0,BZ1200,MAX(0.1,N(Cockpit!$C$6))),CC1200)/BS1200,0)*BS1200</f>
        <v>90</v>
      </c>
      <c r="AK1200" s="58" t="n">
        <f aca="false">IF(AH1200&gt;0,J1200/AH1200,-1)</f>
        <v>9108</v>
      </c>
      <c r="AL1200" s="58" t="n">
        <f aca="false">IF(AND(OR(BY1200="L1",BY1200="L23"),AH1200&gt;0),SUMIFS($AH$7:$AH$1843,$BY$7:$BY$1843,BY1200,$AK$7:$AK$1843,"&gt;"&amp;AK1200)+SUMIFS($AH$7:$AH$1843,$BY$7:$BY$1843,BY1200,$AK$7:$AK$1843,AK1200,$BQ$7:$BQ$1843,"&lt;="&amp;BQ1200),"")</f>
        <v>5.69936826458566</v>
      </c>
      <c r="AM1200" s="65" t="n">
        <f aca="false">IF(AL1200="",0,MAX(0,MIN(1,(IF(BY1200="L1",Parameter!$E$5,Parameter!$E$6+Parameter!$E$7)-(AL1200-AH1200))/AH1200)))</f>
        <v>1</v>
      </c>
      <c r="AN1200" s="57" t="n">
        <f aca="false">IF(LEFT(Cockpit!$I$5,1)="A",H1200,IF(CA1200=1,CB1200,IF(LEFT(Cockpit!$I$5,1)="B",AR1200,MAX(AR1200,H1200))))</f>
        <v>90</v>
      </c>
      <c r="AO1200" s="57" t="n">
        <f aca="false">IF(BT1200=1,0,ROUNDUP(AN1200/BS1200,0))</f>
        <v>3</v>
      </c>
      <c r="AP1200" s="59" t="n">
        <f aca="false">IF(CH1200&gt;0,CH1200*MAX(1,AN1200/X1200),IF(BT1200=1,IF(AN1200&lt;=0,0,BW1200*MAX(1,IF(H1200&gt;0,AN1200/H1200,1))),IF(R1200&gt;0,AO1200/R1200,0))/MAX(0.1,N(Parameter!$M$21)))</f>
        <v>0.0227272727272727</v>
      </c>
      <c r="AQ1200" s="57" t="n">
        <f aca="false">AN1200*G1200</f>
        <v>1424.7</v>
      </c>
      <c r="AR1200" s="57" t="n">
        <f aca="false">ROUNDUP(MAX(J1200/IF(BZ1200&gt;0,BZ1200,MAX(0.1,N(Cockpit!$I$6))),CC1200)/BS1200,0)*BS1200</f>
        <v>90</v>
      </c>
      <c r="AS1200" s="58" t="n">
        <f aca="false">IF(AP1200&gt;0,J1200/AP1200,-1)</f>
        <v>3036</v>
      </c>
      <c r="AT1200" s="58" t="n">
        <f aca="false">IF(AND(OR(BY1200="L1",BY1200="L23"),AP1200&gt;0),SUMIFS($AP$7:$AP$1843,$BY$7:$BY$1843,BY1200,$AS$7:$AS$1843,"&gt;"&amp;AS1200)+SUMIFS($AP$7:$AP$1843,$BY$7:$BY$1843,BY1200,$AS$7:$AS$1843,AS1200,$BQ$7:$BQ$1843,"&lt;="&amp;BQ1200),"")</f>
        <v>15.5058950711125</v>
      </c>
      <c r="AU1200" s="65" t="n">
        <f aca="false">IF(AT1200="",0,MAX(0,MIN(1,(IF(BY1200="L1",Parameter!$E$5,Parameter!$E$6+Parameter!$E$7)-(AT1200-AP1200))/AP1200)))</f>
        <v>1</v>
      </c>
      <c r="AV1200" s="57" t="n">
        <f aca="false">IF(LEFT(Cockpit!$O$5,1)="A",H1200,IF(CA1200=1,CB1200,IF(LEFT(Cockpit!$O$5,1)="B",AZ1200,MAX(AZ1200,H1200))))</f>
        <v>90</v>
      </c>
      <c r="AW1200" s="57" t="n">
        <f aca="false">IF(BT1200=1,0,ROUNDUP(AV1200/BS1200,0))</f>
        <v>3</v>
      </c>
      <c r="AX1200" s="59" t="n">
        <f aca="false">IF(CH1200&gt;0,CH1200*MAX(1,AV1200/X1200),IF(BT1200=1,IF(AV1200&lt;=0,0,BW1200*MAX(1,IF(H1200&gt;0,AV1200/H1200,1))),IF(R1200&gt;0,AW1200/R1200,0))/MAX(0.1,N(Parameter!$M$21)))</f>
        <v>0.0227272727272727</v>
      </c>
      <c r="AY1200" s="57" t="n">
        <f aca="false">AV1200*G1200</f>
        <v>1424.7</v>
      </c>
      <c r="AZ1200" s="57" t="n">
        <f aca="false">ROUNDUP(MAX(J1200/IF(BZ1200&gt;0,BZ1200,MAX(0.1,N(Cockpit!$O$6))),CC1200)/BS1200,0)*BS1200</f>
        <v>90</v>
      </c>
      <c r="BA1200" s="58" t="n">
        <f aca="false">IF(AX1200&gt;0,J1200/AX1200,-1)</f>
        <v>3036</v>
      </c>
      <c r="BB1200" s="58" t="n">
        <f aca="false">IF(AND(OR(BY1200="L1",BY1200="L23"),AX1200&gt;0),SUMIFS($AX$7:$AX$1843,$BY$7:$BY$1843,BY1200,$BA$7:$BA$1843,"&gt;"&amp;BA1200)+SUMIFS($AX$7:$AX$1843,$BY$7:$BY$1843,BY1200,$BA$7:$BA$1843,BA1200,$BQ$7:$BQ$1843,"&lt;="&amp;BQ1200),"")</f>
        <v>14.0729113881288</v>
      </c>
      <c r="BC1200" s="65" t="n">
        <f aca="false">IF(BB1200="",0,MAX(0,MIN(1,(IF(BY1200="L1",Parameter!$E$5,Parameter!$E$6+Parameter!$E$7)-(BB1200-AX1200))/AX1200)))</f>
        <v>1</v>
      </c>
      <c r="BD1200" s="55" t="str">
        <f aca="false">IF(AH1200&lt;=0,"",IF(BY1200="Aussen","Aussenlager",IF(BY1200="-","Nicht im Lift",IF(AM1200&gt;=1,"Lift",IF(AM1200&lt;=0,"Aussenlager","teilweise")))))</f>
        <v>Lift</v>
      </c>
      <c r="BE1200" s="55" t="str">
        <f aca="false">IF(AP1200&lt;=0,"",IF(BY1200="Aussen","Aussenlager",IF(BY1200="-","Nicht im Lift",IF(AU1200&gt;=1,"Lift",IF(AU1200&lt;=0,"Aussenlager","teilweise")))))</f>
        <v>Lift</v>
      </c>
      <c r="BF1200" s="55" t="str">
        <f aca="false">IF(AX1200&lt;=0,"",IF(BY1200="Aussen","Aussenlager",IF(BY1200="-","Nicht im Lift",IF(BC1200&gt;=1,"Lift",IF(BC1200&lt;=0,"Aussenlager","teilweise")))))</f>
        <v>Lift</v>
      </c>
      <c r="BG1200" s="55" t="str">
        <f aca="false">IF(A1200="","",IF(BP1200=1,"Neu; ","")&amp;IF(AND(BP1200=0,BK1200&lt;0),"negativer Bestand (Export "&amp;BK1200&amp;"); ","")&amp;IF(J1200&lt;=0,"Kein Verbrauch; ","")&amp;IF(CH1200&gt;0,"Lift "&amp;W1200&amp;" lt. Liftbericht (Fach "&amp;X1200&amp;" Stk); ",IF(BU1200=1,"Gebinde geschätzt ("&amp;T1200&amp;"); ",IF(BT1200=1,"Lose – Tablare geschätzt; ","")))&amp;IF(H1200&gt;AR1200,"Überbestand "&amp;ROUND(H1200-AR1200,0)&amp;" Stk / CHF "&amp;ROUND((H1200-AR1200)*G1200,0)&amp;"; ","")&amp;IF(AND(CA1200=1,CB1200&lt;CC1200),"MAX &lt; MB+LG; ","")&amp;IF(AND(CG1200&gt;0,CF1200*10&gt;CG1200),"zu hoch für Tablar; ","")&amp;IF(AND(BP1200=0,OR(CA1200=1,AA1200&lt;&gt;"",U1200&lt;&gt;"",V1200&lt;&gt;"",AB1200&lt;&gt;"")),"manuell übersteuert; ","")&amp;IF(AND(BT1200=0,R1200=0),"Gebinde unbekannt / Stellmass fehlt; ","")&amp;IF(AND(BT1200=0,N(V1200)&lt;=0,N(Q1200)&lt;=0),"Menge pro Gebinde fehlt (Ist = 1 Gebinde); ","")&amp;BO1200)</f>
        <v>negativer Bestand (Export -29); </v>
      </c>
      <c r="BH1200" s="55"/>
      <c r="BI1200" s="55"/>
      <c r="BJ1200" s="62"/>
      <c r="BK1200" s="57" t="n">
        <v>-29</v>
      </c>
      <c r="BL1200" s="57" t="n">
        <v>51</v>
      </c>
      <c r="BM1200" s="56" t="n">
        <v>-487.74</v>
      </c>
      <c r="BN1200" s="57" t="n">
        <v>69</v>
      </c>
      <c r="BO1200" s="55"/>
      <c r="BP1200" s="60" t="n">
        <v>0</v>
      </c>
      <c r="BQ1200" s="60" t="n">
        <v>1200</v>
      </c>
      <c r="BR1200" s="55" t="str">
        <f aca="false">IF(U1200&lt;&gt;"",UPPER(TRIM(U1200)),IF(BU1200=1,UPPER(VLOOKUP(T1200,Parameter!$I$27:$K$29,2,0)),IF(P1200="","LOSE",P1200)))</f>
        <v>S32</v>
      </c>
      <c r="BS1200" s="57" t="n">
        <f aca="false">IF(BR1200="LOSE",1,IF(N(V1200)&gt;0,V1200,IF(BU1200=1,MAX(1,N(VLOOKUP(T1200,Parameter!$I$27:$K$29,3,0)),H1200,N(N1200)),IF(N(Q1200)&gt;0,Q1200,MAX(1,H1200)))))</f>
        <v>30</v>
      </c>
      <c r="BT1200" s="60" t="n">
        <f aca="false">IF(BR1200="LOSE",1,0)</f>
        <v>0</v>
      </c>
      <c r="BU1200" s="60" t="n">
        <f aca="false">IF(AND(U1200="",OR(P1200="",P1200="LOSE"),T1200&lt;&gt;"",N(S1200)&lt;=0,ISNUMBER(MATCH(T1200,Parameter!$I$27:$I$29,0))),1,0)</f>
        <v>0</v>
      </c>
      <c r="BV1200" s="55" t="str">
        <f aca="false">IF(AND(Parameter!$B$19="Ja",E1200&lt;&gt;"",ISNUMBER(MATCH(E1200,Parameter!$I$35:$I$52,0))),VLOOKUP(E1200,Parameter!$I$35:$J$52,2,0),IFERROR(VLOOKUP(D1200,Parameter!$A$35:$C$64,2,0),"Nein"))</f>
        <v>2+3</v>
      </c>
      <c r="BW1200" s="59" t="n">
        <f aca="false">IF(BT1200=0,0,IF(N(S1200)&gt;0,S1200,IFERROR(VLOOKUP(D1200,Parameter!$A$35:$C$64,3,0)+0,0)))</f>
        <v>0</v>
      </c>
      <c r="BX1200" s="55" t="n">
        <f aca="false">IF(AA1200&lt;&gt;"",AA1200,Z1200)</f>
        <v>3</v>
      </c>
      <c r="BY1200" s="55" t="str">
        <f aca="false">IF(BX1200=1,"L1",IF(OR(BX1200=2,BX1200=3),"L23",IF(BX1200="Aussen","Aussen","-")))</f>
        <v>L23</v>
      </c>
      <c r="BZ1200" s="66" t="n">
        <f aca="false">IF(N(AB1200)&gt;0,AB1200,0)</f>
        <v>0</v>
      </c>
      <c r="CA1200" s="60" t="n">
        <f aca="false">IF(ISNUMBER(AE1200),1,0)</f>
        <v>0</v>
      </c>
      <c r="CB1200" s="57" t="n">
        <f aca="false">N(AE1200)</f>
        <v>0</v>
      </c>
      <c r="CC1200" s="57" t="n">
        <f aca="false">N(M1200)+N(N1200)</f>
        <v>72</v>
      </c>
      <c r="CD1200" s="57" t="n">
        <f aca="false">ROUNDUP(H1200/BS1200,0)</f>
        <v>1</v>
      </c>
      <c r="CE1200" s="57" t="n">
        <f aca="false">ROUNDUP(CB1200/BS1200,0)</f>
        <v>0</v>
      </c>
      <c r="CF1200" s="60" t="n">
        <f aca="false">IF(BT1200=1,0,IFERROR(VLOOKUP(BR1200,'Gebinde-Kategorie'!$A$5:$M$45,5,0)+0,0))</f>
        <v>8</v>
      </c>
      <c r="CG1200" s="60" t="n">
        <f aca="false">IFERROR(IF(OR(BX1200=1,BX1200=2,BX1200=3),N(INDEX(Parameter!$I$5:$I$7,BX1200)),0),0)</f>
        <v>0</v>
      </c>
      <c r="CH1200" s="59" t="n">
        <f aca="false">IF(AND(Parameter!$B$21="Ja",ISNUMBER(W1200),N(X1200)&gt;0),IFERROR(N(INDEX(Parameter!$L$5:$L$7,W1200))*INDEX(Parameter!$E$5:$E$7,W1200)*X1200/SUMIFS($X$7:$X$1843,$W$7:$W$1843,W1200),0),0)</f>
        <v>0</v>
      </c>
    </row>
    <row r="1201" customFormat="false" ht="15" hidden="false" customHeight="false" outlineLevel="0" collapsed="false">
      <c r="A1201" s="55" t="s">
        <v>2158</v>
      </c>
      <c r="B1201" s="55" t="s">
        <v>2159</v>
      </c>
      <c r="C1201" s="55" t="s">
        <v>164</v>
      </c>
      <c r="D1201" s="55" t="s">
        <v>173</v>
      </c>
      <c r="E1201" s="55" t="s">
        <v>173</v>
      </c>
      <c r="F1201" s="55" t="s">
        <v>218</v>
      </c>
      <c r="G1201" s="56" t="n">
        <v>490.5</v>
      </c>
      <c r="H1201" s="57" t="n">
        <f aca="false">MAX(0,IF(AND(Parameter!$B$21="Ja",ISNUMBER(Y1201)),Y1201,IF(Parameter!$B$20="Jahresanfang 2025 + Export",BL1201+BK1201,BK1201)))</f>
        <v>1</v>
      </c>
      <c r="I1201" s="57" t="n">
        <f aca="false">H1201*G1201</f>
        <v>490.5</v>
      </c>
      <c r="J1201" s="57" t="n">
        <f aca="false">BN1201*Parameter!$B$18</f>
        <v>0</v>
      </c>
      <c r="K1201" s="58" t="n">
        <v>1.5</v>
      </c>
      <c r="L1201" s="59" t="n">
        <v>0</v>
      </c>
      <c r="M1201" s="57" t="n">
        <v>0</v>
      </c>
      <c r="N1201" s="57" t="n">
        <v>1</v>
      </c>
      <c r="O1201" s="60" t="n">
        <v>28</v>
      </c>
      <c r="P1201" s="55" t="s">
        <v>168</v>
      </c>
      <c r="Q1201" s="57"/>
      <c r="R1201" s="60" t="n">
        <f aca="false">IF(BT1201=1,0,IFERROR(VLOOKUP(BR1201,'Gebinde-Kategorie'!$A$5:$M$45,13,0)+0,0))</f>
        <v>12</v>
      </c>
      <c r="S1201" s="61"/>
      <c r="T1201" s="62" t="s">
        <v>179</v>
      </c>
      <c r="U1201" s="62"/>
      <c r="V1201" s="62"/>
      <c r="W1201" s="55"/>
      <c r="X1201" s="57"/>
      <c r="Y1201" s="57"/>
      <c r="Z1201" s="55" t="str">
        <f aca="false">IF(A1201="","",IF(AND(Parameter!$B$21="Ja",ISNUMBER(W1201)),W1201,IF(BV1201="2+3",IF(ISNUMBER(SEARCH("grosser Artikel",BO1201)),2,IFERROR(VLOOKUP(BR1201,Parameter!$F$35:$G$64,2,0),2)),IF(OR(BV1201="Nein",BV1201=""),"-",BV1201))))</f>
        <v>-</v>
      </c>
      <c r="AA1201" s="62"/>
      <c r="AB1201" s="63"/>
      <c r="AC1201" s="57" t="n">
        <f aca="false">AR1201</f>
        <v>4</v>
      </c>
      <c r="AD1201" s="57" t="n">
        <f aca="false">MAX(AR1201,H1201)</f>
        <v>4</v>
      </c>
      <c r="AE1201" s="64"/>
      <c r="AF1201" s="57" t="n">
        <f aca="false">IF(LEFT(Cockpit!$C$5,1)="A",H1201,IF(CA1201=1,CB1201,IF(LEFT(Cockpit!$C$5,1)="B",AJ1201,MAX(AJ1201,H1201))))</f>
        <v>1</v>
      </c>
      <c r="AG1201" s="57" t="n">
        <f aca="false">IF(BT1201=1,0,ROUNDUP(AF1201/BS1201,0))</f>
        <v>1</v>
      </c>
      <c r="AH1201" s="59" t="n">
        <f aca="false">IF(CH1201&gt;0,CH1201*MAX(1,AF1201/X1201),IF(BT1201=1,IF(AF1201&lt;=0,0,BW1201*MAX(1,IF(H1201&gt;0,AF1201/H1201,1))),IF(R1201&gt;0,AG1201/R1201,0))/MAX(0.1,N(Parameter!$M$21)))</f>
        <v>0.0833333333333333</v>
      </c>
      <c r="AI1201" s="57" t="n">
        <f aca="false">AF1201*G1201</f>
        <v>490.5</v>
      </c>
      <c r="AJ1201" s="57" t="n">
        <f aca="false">ROUNDUP(MAX(J1201/IF(BZ1201&gt;0,BZ1201,MAX(0.1,N(Cockpit!$C$6))),CC1201)/BS1201,0)*BS1201</f>
        <v>4</v>
      </c>
      <c r="AK1201" s="58" t="n">
        <f aca="false">IF(AH1201&gt;0,J1201/AH1201,-1)</f>
        <v>0</v>
      </c>
      <c r="AL1201" s="58" t="str">
        <f aca="false">IF(AND(OR(BY1201="L1",BY1201="L23"),AH1201&gt;0),SUMIFS($AH$7:$AH$1843,$BY$7:$BY$1843,BY1201,$AK$7:$AK$1843,"&gt;"&amp;AK1201)+SUMIFS($AH$7:$AH$1843,$BY$7:$BY$1843,BY1201,$AK$7:$AK$1843,AK1201,$BQ$7:$BQ$1843,"&lt;="&amp;BQ1201),"")</f>
        <v/>
      </c>
      <c r="AM1201" s="65" t="n">
        <f aca="false">IF(AL1201="",0,MAX(0,MIN(1,(IF(BY1201="L1",Parameter!$E$5,Parameter!$E$6+Parameter!$E$7)-(AL1201-AH1201))/AH1201)))</f>
        <v>0</v>
      </c>
      <c r="AN1201" s="57" t="n">
        <f aca="false">IF(LEFT(Cockpit!$I$5,1)="A",H1201,IF(CA1201=1,CB1201,IF(LEFT(Cockpit!$I$5,1)="B",AR1201,MAX(AR1201,H1201))))</f>
        <v>4</v>
      </c>
      <c r="AO1201" s="57" t="n">
        <f aca="false">IF(BT1201=1,0,ROUNDUP(AN1201/BS1201,0))</f>
        <v>1</v>
      </c>
      <c r="AP1201" s="59" t="n">
        <f aca="false">IF(CH1201&gt;0,CH1201*MAX(1,AN1201/X1201),IF(BT1201=1,IF(AN1201&lt;=0,0,BW1201*MAX(1,IF(H1201&gt;0,AN1201/H1201,1))),IF(R1201&gt;0,AO1201/R1201,0))/MAX(0.1,N(Parameter!$M$21)))</f>
        <v>0.0833333333333333</v>
      </c>
      <c r="AQ1201" s="57" t="n">
        <f aca="false">AN1201*G1201</f>
        <v>1962</v>
      </c>
      <c r="AR1201" s="57" t="n">
        <f aca="false">ROUNDUP(MAX(J1201/IF(BZ1201&gt;0,BZ1201,MAX(0.1,N(Cockpit!$I$6))),CC1201)/BS1201,0)*BS1201</f>
        <v>4</v>
      </c>
      <c r="AS1201" s="58" t="n">
        <f aca="false">IF(AP1201&gt;0,J1201/AP1201,-1)</f>
        <v>0</v>
      </c>
      <c r="AT1201" s="58" t="str">
        <f aca="false">IF(AND(OR(BY1201="L1",BY1201="L23"),AP1201&gt;0),SUMIFS($AP$7:$AP$1843,$BY$7:$BY$1843,BY1201,$AS$7:$AS$1843,"&gt;"&amp;AS1201)+SUMIFS($AP$7:$AP$1843,$BY$7:$BY$1843,BY1201,$AS$7:$AS$1843,AS1201,$BQ$7:$BQ$1843,"&lt;="&amp;BQ1201),"")</f>
        <v/>
      </c>
      <c r="AU1201" s="65" t="n">
        <f aca="false">IF(AT1201="",0,MAX(0,MIN(1,(IF(BY1201="L1",Parameter!$E$5,Parameter!$E$6+Parameter!$E$7)-(AT1201-AP1201))/AP1201)))</f>
        <v>0</v>
      </c>
      <c r="AV1201" s="57" t="n">
        <f aca="false">IF(LEFT(Cockpit!$O$5,1)="A",H1201,IF(CA1201=1,CB1201,IF(LEFT(Cockpit!$O$5,1)="B",AZ1201,MAX(AZ1201,H1201))))</f>
        <v>4</v>
      </c>
      <c r="AW1201" s="57" t="n">
        <f aca="false">IF(BT1201=1,0,ROUNDUP(AV1201/BS1201,0))</f>
        <v>1</v>
      </c>
      <c r="AX1201" s="59" t="n">
        <f aca="false">IF(CH1201&gt;0,CH1201*MAX(1,AV1201/X1201),IF(BT1201=1,IF(AV1201&lt;=0,0,BW1201*MAX(1,IF(H1201&gt;0,AV1201/H1201,1))),IF(R1201&gt;0,AW1201/R1201,0))/MAX(0.1,N(Parameter!$M$21)))</f>
        <v>0.0833333333333333</v>
      </c>
      <c r="AY1201" s="57" t="n">
        <f aca="false">AV1201*G1201</f>
        <v>1962</v>
      </c>
      <c r="AZ1201" s="57" t="n">
        <f aca="false">ROUNDUP(MAX(J1201/IF(BZ1201&gt;0,BZ1201,MAX(0.1,N(Cockpit!$O$6))),CC1201)/BS1201,0)*BS1201</f>
        <v>4</v>
      </c>
      <c r="BA1201" s="58" t="n">
        <f aca="false">IF(AX1201&gt;0,J1201/AX1201,-1)</f>
        <v>0</v>
      </c>
      <c r="BB1201" s="58" t="str">
        <f aca="false">IF(AND(OR(BY1201="L1",BY1201="L23"),AX1201&gt;0),SUMIFS($AX$7:$AX$1843,$BY$7:$BY$1843,BY1201,$BA$7:$BA$1843,"&gt;"&amp;BA1201)+SUMIFS($AX$7:$AX$1843,$BY$7:$BY$1843,BY1201,$BA$7:$BA$1843,BA1201,$BQ$7:$BQ$1843,"&lt;="&amp;BQ1201),"")</f>
        <v/>
      </c>
      <c r="BC1201" s="65" t="n">
        <f aca="false">IF(BB1201="",0,MAX(0,MIN(1,(IF(BY1201="L1",Parameter!$E$5,Parameter!$E$6+Parameter!$E$7)-(BB1201-AX1201))/AX1201)))</f>
        <v>0</v>
      </c>
      <c r="BD1201" s="55" t="str">
        <f aca="false">IF(AH1201&lt;=0,"",IF(BY1201="Aussen","Aussenlager",IF(BY1201="-","Nicht im Lift",IF(AM1201&gt;=1,"Lift",IF(AM1201&lt;=0,"Aussenlager","teilweise")))))</f>
        <v>Nicht im Lift</v>
      </c>
      <c r="BE1201" s="55" t="str">
        <f aca="false">IF(AP1201&lt;=0,"",IF(BY1201="Aussen","Aussenlager",IF(BY1201="-","Nicht im Lift",IF(AU1201&gt;=1,"Lift",IF(AU1201&lt;=0,"Aussenlager","teilweise")))))</f>
        <v>Nicht im Lift</v>
      </c>
      <c r="BF1201" s="55" t="str">
        <f aca="false">IF(AX1201&lt;=0,"",IF(BY1201="Aussen","Aussenlager",IF(BY1201="-","Nicht im Lift",IF(BC1201&gt;=1,"Lift",IF(BC1201&lt;=0,"Aussenlager","teilweise")))))</f>
        <v>Nicht im Lift</v>
      </c>
      <c r="BG1201" s="55" t="str">
        <f aca="false">IF(A1201="","",IF(BP1201=1,"Neu; ","")&amp;IF(AND(BP1201=0,BK1201&lt;0),"negativer Bestand (Export "&amp;BK1201&amp;"); ","")&amp;IF(J1201&lt;=0,"Kein Verbrauch; ","")&amp;IF(CH1201&gt;0,"Lift "&amp;W1201&amp;" lt. Liftbericht (Fach "&amp;X1201&amp;" Stk); ",IF(BU1201=1,"Gebinde geschätzt ("&amp;T1201&amp;"); ",IF(BT1201=1,"Lose – Tablare geschätzt; ","")))&amp;IF(H1201&gt;AR1201,"Überbestand "&amp;ROUND(H1201-AR1201,0)&amp;" Stk / CHF "&amp;ROUND((H1201-AR1201)*G1201,0)&amp;"; ","")&amp;IF(AND(CA1201=1,CB1201&lt;CC1201),"MAX &lt; MB+LG; ","")&amp;IF(AND(CG1201&gt;0,CF1201*10&gt;CG1201),"zu hoch für Tablar; ","")&amp;IF(AND(BP1201=0,OR(CA1201=1,AA1201&lt;&gt;"",U1201&lt;&gt;"",V1201&lt;&gt;"",AB1201&lt;&gt;"")),"manuell übersteuert; ","")&amp;IF(AND(BT1201=0,R1201=0),"Gebinde unbekannt / Stellmass fehlt; ","")&amp;IF(AND(BT1201=0,N(V1201)&lt;=0,N(Q1201)&lt;=0),"Menge pro Gebinde fehlt (Ist = 1 Gebinde); ","")&amp;BO1201)</f>
        <v>negativer Bestand (Export -1); Kein Verbrauch; Gebinde geschätzt (Mittel); Menge pro Gebinde fehlt (Ist = 1 Gebinde); </v>
      </c>
      <c r="BH1201" s="55"/>
      <c r="BI1201" s="55"/>
      <c r="BJ1201" s="62"/>
      <c r="BK1201" s="57" t="n">
        <v>-1</v>
      </c>
      <c r="BL1201" s="57" t="n">
        <v>2</v>
      </c>
      <c r="BM1201" s="56" t="n">
        <v>-490.5</v>
      </c>
      <c r="BN1201" s="57" t="n">
        <v>0</v>
      </c>
      <c r="BO1201" s="55"/>
      <c r="BP1201" s="60" t="n">
        <v>0</v>
      </c>
      <c r="BQ1201" s="60" t="n">
        <v>1201</v>
      </c>
      <c r="BR1201" s="55" t="str">
        <f aca="false">IF(U1201&lt;&gt;"",UPPER(TRIM(U1201)),IF(BU1201=1,UPPER(VLOOKUP(T1201,Parameter!$I$27:$K$29,2,0)),IF(P1201="","LOSE",P1201)))</f>
        <v>S61</v>
      </c>
      <c r="BS1201" s="57" t="n">
        <f aca="false">IF(BR1201="LOSE",1,IF(N(V1201)&gt;0,V1201,IF(BU1201=1,MAX(1,N(VLOOKUP(T1201,Parameter!$I$27:$K$29,3,0)),H1201,N(N1201)),IF(N(Q1201)&gt;0,Q1201,MAX(1,H1201)))))</f>
        <v>4</v>
      </c>
      <c r="BT1201" s="60" t="n">
        <f aca="false">IF(BR1201="LOSE",1,0)</f>
        <v>0</v>
      </c>
      <c r="BU1201" s="60" t="n">
        <f aca="false">IF(AND(U1201="",OR(P1201="",P1201="LOSE"),T1201&lt;&gt;"",N(S1201)&lt;=0,ISNUMBER(MATCH(T1201,Parameter!$I$27:$I$29,0))),1,0)</f>
        <v>1</v>
      </c>
      <c r="BV1201" s="55" t="str">
        <f aca="false">IF(AND(Parameter!$B$19="Ja",E1201&lt;&gt;"",ISNUMBER(MATCH(E1201,Parameter!$I$35:$I$52,0))),VLOOKUP(E1201,Parameter!$I$35:$J$52,2,0),IFERROR(VLOOKUP(D1201,Parameter!$A$35:$C$64,2,0),"Nein"))</f>
        <v>Nein</v>
      </c>
      <c r="BW1201" s="59" t="n">
        <f aca="false">IF(BT1201=0,0,IF(N(S1201)&gt;0,S1201,IFERROR(VLOOKUP(D1201,Parameter!$A$35:$C$64,3,0)+0,0)))</f>
        <v>0</v>
      </c>
      <c r="BX1201" s="55" t="str">
        <f aca="false">IF(AA1201&lt;&gt;"",AA1201,Z1201)</f>
        <v>-</v>
      </c>
      <c r="BY1201" s="55" t="str">
        <f aca="false">IF(BX1201=1,"L1",IF(OR(BX1201=2,BX1201=3),"L23",IF(BX1201="Aussen","Aussen","-")))</f>
        <v>-</v>
      </c>
      <c r="BZ1201" s="66" t="n">
        <f aca="false">IF(N(AB1201)&gt;0,AB1201,0)</f>
        <v>0</v>
      </c>
      <c r="CA1201" s="60" t="n">
        <f aca="false">IF(ISNUMBER(AE1201),1,0)</f>
        <v>0</v>
      </c>
      <c r="CB1201" s="57" t="n">
        <f aca="false">N(AE1201)</f>
        <v>0</v>
      </c>
      <c r="CC1201" s="57" t="n">
        <f aca="false">N(M1201)+N(N1201)</f>
        <v>1</v>
      </c>
      <c r="CD1201" s="57" t="n">
        <f aca="false">ROUNDUP(H1201/BS1201,0)</f>
        <v>1</v>
      </c>
      <c r="CE1201" s="57" t="n">
        <f aca="false">ROUNDUP(CB1201/BS1201,0)</f>
        <v>0</v>
      </c>
      <c r="CF1201" s="60" t="n">
        <f aca="false">IF(BT1201=1,0,IFERROR(VLOOKUP(BR1201,'Gebinde-Kategorie'!$A$5:$M$45,5,0)+0,0))</f>
        <v>11</v>
      </c>
      <c r="CG1201" s="60" t="n">
        <f aca="false">IFERROR(IF(OR(BX1201=1,BX1201=2,BX1201=3),N(INDEX(Parameter!$I$5:$I$7,BX1201)),0),0)</f>
        <v>0</v>
      </c>
      <c r="CH1201" s="59" t="n">
        <f aca="false">IF(AND(Parameter!$B$21="Ja",ISNUMBER(W1201),N(X1201)&gt;0),IFERROR(N(INDEX(Parameter!$L$5:$L$7,W1201))*INDEX(Parameter!$E$5:$E$7,W1201)*X1201/SUMIFS($X$7:$X$1843,$W$7:$W$1843,W1201),0),0)</f>
        <v>0</v>
      </c>
    </row>
    <row r="1202" customFormat="false" ht="15" hidden="false" customHeight="false" outlineLevel="0" collapsed="false">
      <c r="A1202" s="55" t="s">
        <v>2160</v>
      </c>
      <c r="B1202" s="55" t="s">
        <v>407</v>
      </c>
      <c r="C1202" s="55" t="s">
        <v>164</v>
      </c>
      <c r="D1202" s="55" t="s">
        <v>184</v>
      </c>
      <c r="E1202" s="55" t="s">
        <v>185</v>
      </c>
      <c r="F1202" s="55" t="s">
        <v>218</v>
      </c>
      <c r="G1202" s="56" t="n">
        <v>0.34</v>
      </c>
      <c r="H1202" s="57" t="n">
        <f aca="false">MAX(0,IF(AND(Parameter!$B$21="Ja",ISNUMBER(Y1202)),Y1202,IF(Parameter!$B$20="Jahresanfang 2025 + Export",BL1202+BK1202,BK1202)))</f>
        <v>987</v>
      </c>
      <c r="I1202" s="57" t="n">
        <f aca="false">H1202*G1202</f>
        <v>335.58</v>
      </c>
      <c r="J1202" s="57" t="n">
        <f aca="false">BN1202*Parameter!$B$18</f>
        <v>6215</v>
      </c>
      <c r="K1202" s="58" t="n">
        <v>2301.5</v>
      </c>
      <c r="L1202" s="59" t="n">
        <v>2.70041277427765</v>
      </c>
      <c r="M1202" s="57" t="n">
        <v>242</v>
      </c>
      <c r="N1202" s="57" t="n">
        <v>2000</v>
      </c>
      <c r="O1202" s="60" t="n">
        <v>14</v>
      </c>
      <c r="P1202" s="55" t="s">
        <v>233</v>
      </c>
      <c r="Q1202" s="57" t="n">
        <v>1527</v>
      </c>
      <c r="R1202" s="60" t="n">
        <f aca="false">IF(BT1202=1,0,IFERROR(VLOOKUP(BR1202,'Gebinde-Kategorie'!$A$5:$M$45,13,0)+0,0))</f>
        <v>26</v>
      </c>
      <c r="S1202" s="61"/>
      <c r="T1202" s="62"/>
      <c r="U1202" s="62"/>
      <c r="V1202" s="62"/>
      <c r="W1202" s="55"/>
      <c r="X1202" s="57"/>
      <c r="Y1202" s="57"/>
      <c r="Z1202" s="55" t="n">
        <f aca="false">IF(A1202="","",IF(AND(Parameter!$B$21="Ja",ISNUMBER(W1202)),W1202,IF(BV1202="2+3",IF(ISNUMBER(SEARCH("grosser Artikel",BO1202)),2,IFERROR(VLOOKUP(BR1202,Parameter!$F$35:$G$64,2,0),2)),IF(OR(BV1202="Nein",BV1202=""),"-",BV1202))))</f>
        <v>3</v>
      </c>
      <c r="AA1202" s="62"/>
      <c r="AB1202" s="63"/>
      <c r="AC1202" s="57" t="n">
        <f aca="false">AR1202</f>
        <v>4581</v>
      </c>
      <c r="AD1202" s="57" t="n">
        <f aca="false">MAX(AR1202,H1202)</f>
        <v>4581</v>
      </c>
      <c r="AE1202" s="64"/>
      <c r="AF1202" s="57" t="n">
        <f aca="false">IF(LEFT(Cockpit!$C$5,1)="A",H1202,IF(CA1202=1,CB1202,IF(LEFT(Cockpit!$C$5,1)="B",AJ1202,MAX(AJ1202,H1202))))</f>
        <v>987</v>
      </c>
      <c r="AG1202" s="57" t="n">
        <f aca="false">IF(BT1202=1,0,ROUNDUP(AF1202/BS1202,0))</f>
        <v>1</v>
      </c>
      <c r="AH1202" s="59" t="n">
        <f aca="false">IF(CH1202&gt;0,CH1202*MAX(1,AF1202/X1202),IF(BT1202=1,IF(AF1202&lt;=0,0,BW1202*MAX(1,IF(H1202&gt;0,AF1202/H1202,1))),IF(R1202&gt;0,AG1202/R1202,0))/MAX(0.1,N(Parameter!$M$21)))</f>
        <v>0.0384615384615385</v>
      </c>
      <c r="AI1202" s="57" t="n">
        <f aca="false">AF1202*G1202</f>
        <v>335.58</v>
      </c>
      <c r="AJ1202" s="57" t="n">
        <f aca="false">ROUNDUP(MAX(J1202/IF(BZ1202&gt;0,BZ1202,MAX(0.1,N(Cockpit!$C$6))),CC1202)/BS1202,0)*BS1202</f>
        <v>4581</v>
      </c>
      <c r="AK1202" s="58" t="n">
        <f aca="false">IF(AH1202&gt;0,J1202/AH1202,-1)</f>
        <v>161590</v>
      </c>
      <c r="AL1202" s="58" t="n">
        <f aca="false">IF(AND(OR(BY1202="L1",BY1202="L23"),AH1202&gt;0),SUMIFS($AH$7:$AH$1843,$BY$7:$BY$1843,BY1202,$AK$7:$AK$1843,"&gt;"&amp;AK1202)+SUMIFS($AH$7:$AH$1843,$BY$7:$BY$1843,BY1202,$AK$7:$AK$1843,AK1202,$BQ$7:$BQ$1843,"&lt;="&amp;BQ1202),"")</f>
        <v>0.214621127664606</v>
      </c>
      <c r="AM1202" s="65" t="n">
        <f aca="false">IF(AL1202="",0,MAX(0,MIN(1,(IF(BY1202="L1",Parameter!$E$5,Parameter!$E$6+Parameter!$E$7)-(AL1202-AH1202))/AH1202)))</f>
        <v>1</v>
      </c>
      <c r="AN1202" s="57" t="n">
        <f aca="false">IF(LEFT(Cockpit!$I$5,1)="A",H1202,IF(CA1202=1,CB1202,IF(LEFT(Cockpit!$I$5,1)="B",AR1202,MAX(AR1202,H1202))))</f>
        <v>4581</v>
      </c>
      <c r="AO1202" s="57" t="n">
        <f aca="false">IF(BT1202=1,0,ROUNDUP(AN1202/BS1202,0))</f>
        <v>3</v>
      </c>
      <c r="AP1202" s="59" t="n">
        <f aca="false">IF(CH1202&gt;0,CH1202*MAX(1,AN1202/X1202),IF(BT1202=1,IF(AN1202&lt;=0,0,BW1202*MAX(1,IF(H1202&gt;0,AN1202/H1202,1))),IF(R1202&gt;0,AO1202/R1202,0))/MAX(0.1,N(Parameter!$M$21)))</f>
        <v>0.115384615384615</v>
      </c>
      <c r="AQ1202" s="57" t="n">
        <f aca="false">AN1202*G1202</f>
        <v>1557.54</v>
      </c>
      <c r="AR1202" s="57" t="n">
        <f aca="false">ROUNDUP(MAX(J1202/IF(BZ1202&gt;0,BZ1202,MAX(0.1,N(Cockpit!$I$6))),CC1202)/BS1202,0)*BS1202</f>
        <v>4581</v>
      </c>
      <c r="AS1202" s="58" t="n">
        <f aca="false">IF(AP1202&gt;0,J1202/AP1202,-1)</f>
        <v>53863.3333333333</v>
      </c>
      <c r="AT1202" s="58" t="n">
        <f aca="false">IF(AND(OR(BY1202="L1",BY1202="L23"),AP1202&gt;0),SUMIFS($AP$7:$AP$1843,$BY$7:$BY$1843,BY1202,$AS$7:$AS$1843,"&gt;"&amp;AS1202)+SUMIFS($AP$7:$AP$1843,$BY$7:$BY$1843,BY1202,$AS$7:$AS$1843,AS1202,$BQ$7:$BQ$1843,"&lt;="&amp;BQ1202),"")</f>
        <v>0.993530623965407</v>
      </c>
      <c r="AU1202" s="65" t="n">
        <f aca="false">IF(AT1202="",0,MAX(0,MIN(1,(IF(BY1202="L1",Parameter!$E$5,Parameter!$E$6+Parameter!$E$7)-(AT1202-AP1202))/AP1202)))</f>
        <v>1</v>
      </c>
      <c r="AV1202" s="57" t="n">
        <f aca="false">IF(LEFT(Cockpit!$O$5,1)="A",H1202,IF(CA1202=1,CB1202,IF(LEFT(Cockpit!$O$5,1)="B",AZ1202,MAX(AZ1202,H1202))))</f>
        <v>3054</v>
      </c>
      <c r="AW1202" s="57" t="n">
        <f aca="false">IF(BT1202=1,0,ROUNDUP(AV1202/BS1202,0))</f>
        <v>2</v>
      </c>
      <c r="AX1202" s="59" t="n">
        <f aca="false">IF(CH1202&gt;0,CH1202*MAX(1,AV1202/X1202),IF(BT1202=1,IF(AV1202&lt;=0,0,BW1202*MAX(1,IF(H1202&gt;0,AV1202/H1202,1))),IF(R1202&gt;0,AW1202/R1202,0))/MAX(0.1,N(Parameter!$M$21)))</f>
        <v>0.0769230769230769</v>
      </c>
      <c r="AY1202" s="57" t="n">
        <f aca="false">AV1202*G1202</f>
        <v>1038.36</v>
      </c>
      <c r="AZ1202" s="57" t="n">
        <f aca="false">ROUNDUP(MAX(J1202/IF(BZ1202&gt;0,BZ1202,MAX(0.1,N(Cockpit!$O$6))),CC1202)/BS1202,0)*BS1202</f>
        <v>3054</v>
      </c>
      <c r="BA1202" s="58" t="n">
        <f aca="false">IF(AX1202&gt;0,J1202/AX1202,-1)</f>
        <v>80795</v>
      </c>
      <c r="BB1202" s="58" t="n">
        <f aca="false">IF(AND(OR(BY1202="L1",BY1202="L23"),AX1202&gt;0),SUMIFS($AX$7:$AX$1843,$BY$7:$BY$1843,BY1202,$BA$7:$BA$1843,"&gt;"&amp;BA1202)+SUMIFS($AX$7:$AX$1843,$BY$7:$BY$1843,BY1202,$BA$7:$BA$1843,BA1202,$BQ$7:$BQ$1843,"&lt;="&amp;BQ1202),"")</f>
        <v>0.660433769129421</v>
      </c>
      <c r="BC1202" s="65" t="n">
        <f aca="false">IF(BB1202="",0,MAX(0,MIN(1,(IF(BY1202="L1",Parameter!$E$5,Parameter!$E$6+Parameter!$E$7)-(BB1202-AX1202))/AX1202)))</f>
        <v>1</v>
      </c>
      <c r="BD1202" s="55" t="str">
        <f aca="false">IF(AH1202&lt;=0,"",IF(BY1202="Aussen","Aussenlager",IF(BY1202="-","Nicht im Lift",IF(AM1202&gt;=1,"Lift",IF(AM1202&lt;=0,"Aussenlager","teilweise")))))</f>
        <v>Lift</v>
      </c>
      <c r="BE1202" s="55" t="str">
        <f aca="false">IF(AP1202&lt;=0,"",IF(BY1202="Aussen","Aussenlager",IF(BY1202="-","Nicht im Lift",IF(AU1202&gt;=1,"Lift",IF(AU1202&lt;=0,"Aussenlager","teilweise")))))</f>
        <v>Lift</v>
      </c>
      <c r="BF1202" s="55" t="str">
        <f aca="false">IF(AX1202&lt;=0,"",IF(BY1202="Aussen","Aussenlager",IF(BY1202="-","Nicht im Lift",IF(BC1202&gt;=1,"Lift",IF(BC1202&lt;=0,"Aussenlager","teilweise")))))</f>
        <v>Lift</v>
      </c>
      <c r="BG1202" s="55" t="str">
        <f aca="false">IF(A1202="","",IF(BP1202=1,"Neu; ","")&amp;IF(AND(BP1202=0,BK1202&lt;0),"negativer Bestand (Export "&amp;BK1202&amp;"); ","")&amp;IF(J1202&lt;=0,"Kein Verbrauch; ","")&amp;IF(CH1202&gt;0,"Lift "&amp;W1202&amp;" lt. Liftbericht (Fach "&amp;X1202&amp;" Stk); ",IF(BU1202=1,"Gebinde geschätzt ("&amp;T1202&amp;"); ",IF(BT1202=1,"Lose – Tablare geschätzt; ","")))&amp;IF(H1202&gt;AR1202,"Überbestand "&amp;ROUND(H1202-AR1202,0)&amp;" Stk / CHF "&amp;ROUND((H1202-AR1202)*G1202,0)&amp;"; ","")&amp;IF(AND(CA1202=1,CB1202&lt;CC1202),"MAX &lt; MB+LG; ","")&amp;IF(AND(CG1202&gt;0,CF1202*10&gt;CG1202),"zu hoch für Tablar; ","")&amp;IF(AND(BP1202=0,OR(CA1202=1,AA1202&lt;&gt;"",U1202&lt;&gt;"",V1202&lt;&gt;"",AB1202&lt;&gt;"")),"manuell übersteuert; ","")&amp;IF(AND(BT1202=0,R1202=0),"Gebinde unbekannt / Stellmass fehlt; ","")&amp;IF(AND(BT1202=0,N(V1202)&lt;=0,N(Q1202)&lt;=0),"Menge pro Gebinde fehlt (Ist = 1 Gebinde); ","")&amp;BO1202)</f>
        <v>negativer Bestand (Export -1519); </v>
      </c>
      <c r="BH1202" s="55"/>
      <c r="BI1202" s="55"/>
      <c r="BJ1202" s="62"/>
      <c r="BK1202" s="57" t="n">
        <v>-1519</v>
      </c>
      <c r="BL1202" s="57" t="n">
        <v>2506</v>
      </c>
      <c r="BM1202" s="56" t="n">
        <v>-492.019999999998</v>
      </c>
      <c r="BN1202" s="57" t="n">
        <v>6215</v>
      </c>
      <c r="BO1202" s="55"/>
      <c r="BP1202" s="60" t="n">
        <v>0</v>
      </c>
      <c r="BQ1202" s="60" t="n">
        <v>1202</v>
      </c>
      <c r="BR1202" s="55" t="str">
        <f aca="false">IF(U1202&lt;&gt;"",UPPER(TRIM(U1202)),IF(BU1202=1,UPPER(VLOOKUP(T1202,Parameter!$I$27:$K$29,2,0)),IF(P1202="","LOSE",P1202)))</f>
        <v>S52</v>
      </c>
      <c r="BS1202" s="57" t="n">
        <f aca="false">IF(BR1202="LOSE",1,IF(N(V1202)&gt;0,V1202,IF(BU1202=1,MAX(1,N(VLOOKUP(T1202,Parameter!$I$27:$K$29,3,0)),H1202,N(N1202)),IF(N(Q1202)&gt;0,Q1202,MAX(1,H1202)))))</f>
        <v>1527</v>
      </c>
      <c r="BT1202" s="60" t="n">
        <f aca="false">IF(BR1202="LOSE",1,0)</f>
        <v>0</v>
      </c>
      <c r="BU1202" s="60" t="n">
        <f aca="false">IF(AND(U1202="",OR(P1202="",P1202="LOSE"),T1202&lt;&gt;"",N(S1202)&lt;=0,ISNUMBER(MATCH(T1202,Parameter!$I$27:$I$29,0))),1,0)</f>
        <v>0</v>
      </c>
      <c r="BV1202" s="55" t="str">
        <f aca="false">IF(AND(Parameter!$B$19="Ja",E1202&lt;&gt;"",ISNUMBER(MATCH(E1202,Parameter!$I$35:$I$52,0))),VLOOKUP(E1202,Parameter!$I$35:$J$52,2,0),IFERROR(VLOOKUP(D1202,Parameter!$A$35:$C$64,2,0),"Nein"))</f>
        <v>2+3</v>
      </c>
      <c r="BW1202" s="59" t="n">
        <f aca="false">IF(BT1202=0,0,IF(N(S1202)&gt;0,S1202,IFERROR(VLOOKUP(D1202,Parameter!$A$35:$C$64,3,0)+0,0)))</f>
        <v>0</v>
      </c>
      <c r="BX1202" s="55" t="n">
        <f aca="false">IF(AA1202&lt;&gt;"",AA1202,Z1202)</f>
        <v>3</v>
      </c>
      <c r="BY1202" s="55" t="str">
        <f aca="false">IF(BX1202=1,"L1",IF(OR(BX1202=2,BX1202=3),"L23",IF(BX1202="Aussen","Aussen","-")))</f>
        <v>L23</v>
      </c>
      <c r="BZ1202" s="66" t="n">
        <f aca="false">IF(N(AB1202)&gt;0,AB1202,0)</f>
        <v>0</v>
      </c>
      <c r="CA1202" s="60" t="n">
        <f aca="false">IF(ISNUMBER(AE1202),1,0)</f>
        <v>0</v>
      </c>
      <c r="CB1202" s="57" t="n">
        <f aca="false">N(AE1202)</f>
        <v>0</v>
      </c>
      <c r="CC1202" s="57" t="n">
        <f aca="false">N(M1202)+N(N1202)</f>
        <v>2242</v>
      </c>
      <c r="CD1202" s="57" t="n">
        <f aca="false">ROUNDUP(H1202/BS1202,0)</f>
        <v>1</v>
      </c>
      <c r="CE1202" s="57" t="n">
        <f aca="false">ROUNDUP(CB1202/BS1202,0)</f>
        <v>0</v>
      </c>
      <c r="CF1202" s="60" t="n">
        <f aca="false">IF(BT1202=1,0,IFERROR(VLOOKUP(BR1202,'Gebinde-Kategorie'!$A$5:$M$45,5,0)+0,0))</f>
        <v>21</v>
      </c>
      <c r="CG1202" s="60" t="n">
        <f aca="false">IFERROR(IF(OR(BX1202=1,BX1202=2,BX1202=3),N(INDEX(Parameter!$I$5:$I$7,BX1202)),0),0)</f>
        <v>0</v>
      </c>
      <c r="CH1202" s="59" t="n">
        <f aca="false">IF(AND(Parameter!$B$21="Ja",ISNUMBER(W1202),N(X1202)&gt;0),IFERROR(N(INDEX(Parameter!$L$5:$L$7,W1202))*INDEX(Parameter!$E$5:$E$7,W1202)*X1202/SUMIFS($X$7:$X$1843,$W$7:$W$1843,W1202),0),0)</f>
        <v>0</v>
      </c>
    </row>
    <row r="1203" customFormat="false" ht="15" hidden="false" customHeight="false" outlineLevel="0" collapsed="false">
      <c r="A1203" s="55" t="s">
        <v>2161</v>
      </c>
      <c r="B1203" s="55" t="s">
        <v>1918</v>
      </c>
      <c r="C1203" s="55" t="s">
        <v>164</v>
      </c>
      <c r="D1203" s="55" t="s">
        <v>184</v>
      </c>
      <c r="E1203" s="55"/>
      <c r="F1203" s="55" t="s">
        <v>218</v>
      </c>
      <c r="G1203" s="56" t="n">
        <v>16.62</v>
      </c>
      <c r="H1203" s="57" t="n">
        <f aca="false">MAX(0,IF(AND(Parameter!$B$21="Ja",ISNUMBER(Y1203)),Y1203,IF(Parameter!$B$20="Jahresanfang 2025 + Export",BL1203+BK1203,BK1203)))</f>
        <v>0</v>
      </c>
      <c r="I1203" s="57" t="n">
        <f aca="false">H1203*G1203</f>
        <v>0</v>
      </c>
      <c r="J1203" s="57" t="n">
        <f aca="false">BN1203*Parameter!$B$18</f>
        <v>0</v>
      </c>
      <c r="K1203" s="58" t="n">
        <v>30</v>
      </c>
      <c r="L1203" s="59" t="n">
        <v>0</v>
      </c>
      <c r="M1203" s="57" t="n">
        <v>0</v>
      </c>
      <c r="N1203" s="57" t="n">
        <v>1</v>
      </c>
      <c r="O1203" s="60" t="n">
        <v>28</v>
      </c>
      <c r="P1203" s="55" t="s">
        <v>328</v>
      </c>
      <c r="Q1203" s="57" t="n">
        <v>15</v>
      </c>
      <c r="R1203" s="60" t="n">
        <f aca="false">IF(BT1203=1,0,IFERROR(VLOOKUP(BR1203,'Gebinde-Kategorie'!$A$5:$M$45,13,0)+0,0))</f>
        <v>52</v>
      </c>
      <c r="S1203" s="61"/>
      <c r="T1203" s="62"/>
      <c r="U1203" s="62"/>
      <c r="V1203" s="62"/>
      <c r="W1203" s="55"/>
      <c r="X1203" s="57"/>
      <c r="Y1203" s="57"/>
      <c r="Z1203" s="55" t="n">
        <f aca="false">IF(A1203="","",IF(AND(Parameter!$B$21="Ja",ISNUMBER(W1203)),W1203,IF(BV1203="2+3",IF(ISNUMBER(SEARCH("grosser Artikel",BO1203)),2,IFERROR(VLOOKUP(BR1203,Parameter!$F$35:$G$64,2,0),2)),IF(OR(BV1203="Nein",BV1203=""),"-",BV1203))))</f>
        <v>3</v>
      </c>
      <c r="AA1203" s="62"/>
      <c r="AB1203" s="63"/>
      <c r="AC1203" s="57" t="n">
        <f aca="false">AR1203</f>
        <v>15</v>
      </c>
      <c r="AD1203" s="57" t="n">
        <f aca="false">MAX(AR1203,H1203)</f>
        <v>15</v>
      </c>
      <c r="AE1203" s="64"/>
      <c r="AF1203" s="57" t="n">
        <f aca="false">IF(LEFT(Cockpit!$C$5,1)="A",H1203,IF(CA1203=1,CB1203,IF(LEFT(Cockpit!$C$5,1)="B",AJ1203,MAX(AJ1203,H1203))))</f>
        <v>0</v>
      </c>
      <c r="AG1203" s="57" t="n">
        <f aca="false">IF(BT1203=1,0,ROUNDUP(AF1203/BS1203,0))</f>
        <v>0</v>
      </c>
      <c r="AH1203" s="59" t="n">
        <f aca="false">IF(CH1203&gt;0,CH1203*MAX(1,AF1203/X1203),IF(BT1203=1,IF(AF1203&lt;=0,0,BW1203*MAX(1,IF(H1203&gt;0,AF1203/H1203,1))),IF(R1203&gt;0,AG1203/R1203,0))/MAX(0.1,N(Parameter!$M$21)))</f>
        <v>0</v>
      </c>
      <c r="AI1203" s="57" t="n">
        <f aca="false">AF1203*G1203</f>
        <v>0</v>
      </c>
      <c r="AJ1203" s="57" t="n">
        <f aca="false">ROUNDUP(MAX(J1203/IF(BZ1203&gt;0,BZ1203,MAX(0.1,N(Cockpit!$C$6))),CC1203)/BS1203,0)*BS1203</f>
        <v>15</v>
      </c>
      <c r="AK1203" s="58" t="n">
        <f aca="false">IF(AH1203&gt;0,J1203/AH1203,-1)</f>
        <v>-1</v>
      </c>
      <c r="AL1203" s="58" t="str">
        <f aca="false">IF(AND(OR(BY1203="L1",BY1203="L23"),AH1203&gt;0),SUMIFS($AH$7:$AH$1843,$BY$7:$BY$1843,BY1203,$AK$7:$AK$1843,"&gt;"&amp;AK1203)+SUMIFS($AH$7:$AH$1843,$BY$7:$BY$1843,BY1203,$AK$7:$AK$1843,AK1203,$BQ$7:$BQ$1843,"&lt;="&amp;BQ1203),"")</f>
        <v/>
      </c>
      <c r="AM1203" s="65" t="n">
        <f aca="false">IF(AL1203="",0,MAX(0,MIN(1,(IF(BY1203="L1",Parameter!$E$5,Parameter!$E$6+Parameter!$E$7)-(AL1203-AH1203))/AH1203)))</f>
        <v>0</v>
      </c>
      <c r="AN1203" s="57" t="n">
        <f aca="false">IF(LEFT(Cockpit!$I$5,1)="A",H1203,IF(CA1203=1,CB1203,IF(LEFT(Cockpit!$I$5,1)="B",AR1203,MAX(AR1203,H1203))))</f>
        <v>15</v>
      </c>
      <c r="AO1203" s="57" t="n">
        <f aca="false">IF(BT1203=1,0,ROUNDUP(AN1203/BS1203,0))</f>
        <v>1</v>
      </c>
      <c r="AP1203" s="59" t="n">
        <f aca="false">IF(CH1203&gt;0,CH1203*MAX(1,AN1203/X1203),IF(BT1203=1,IF(AN1203&lt;=0,0,BW1203*MAX(1,IF(H1203&gt;0,AN1203/H1203,1))),IF(R1203&gt;0,AO1203/R1203,0))/MAX(0.1,N(Parameter!$M$21)))</f>
        <v>0.0192307692307692</v>
      </c>
      <c r="AQ1203" s="57" t="n">
        <f aca="false">AN1203*G1203</f>
        <v>249.3</v>
      </c>
      <c r="AR1203" s="57" t="n">
        <f aca="false">ROUNDUP(MAX(J1203/IF(BZ1203&gt;0,BZ1203,MAX(0.1,N(Cockpit!$I$6))),CC1203)/BS1203,0)*BS1203</f>
        <v>15</v>
      </c>
      <c r="AS1203" s="58" t="n">
        <f aca="false">IF(AP1203&gt;0,J1203/AP1203,-1)</f>
        <v>0</v>
      </c>
      <c r="AT1203" s="58" t="n">
        <f aca="false">IF(AND(OR(BY1203="L1",BY1203="L23"),AP1203&gt;0),SUMIFS($AP$7:$AP$1843,$BY$7:$BY$1843,BY1203,$AS$7:$AS$1843,"&gt;"&amp;AS1203)+SUMIFS($AP$7:$AP$1843,$BY$7:$BY$1843,BY1203,$AS$7:$AS$1843,AS1203,$BQ$7:$BQ$1843,"&lt;="&amp;BQ1203),"")</f>
        <v>122.644792405662</v>
      </c>
      <c r="AU1203" s="65" t="n">
        <f aca="false">IF(AT1203="",0,MAX(0,MIN(1,(IF(BY1203="L1",Parameter!$E$5,Parameter!$E$6+Parameter!$E$7)-(AT1203-AP1203))/AP1203)))</f>
        <v>0</v>
      </c>
      <c r="AV1203" s="57" t="n">
        <f aca="false">IF(LEFT(Cockpit!$O$5,1)="A",H1203,IF(CA1203=1,CB1203,IF(LEFT(Cockpit!$O$5,1)="B",AZ1203,MAX(AZ1203,H1203))))</f>
        <v>15</v>
      </c>
      <c r="AW1203" s="57" t="n">
        <f aca="false">IF(BT1203=1,0,ROUNDUP(AV1203/BS1203,0))</f>
        <v>1</v>
      </c>
      <c r="AX1203" s="59" t="n">
        <f aca="false">IF(CH1203&gt;0,CH1203*MAX(1,AV1203/X1203),IF(BT1203=1,IF(AV1203&lt;=0,0,BW1203*MAX(1,IF(H1203&gt;0,AV1203/H1203,1))),IF(R1203&gt;0,AW1203/R1203,0))/MAX(0.1,N(Parameter!$M$21)))</f>
        <v>0.0192307692307692</v>
      </c>
      <c r="AY1203" s="57" t="n">
        <f aca="false">AV1203*G1203</f>
        <v>249.3</v>
      </c>
      <c r="AZ1203" s="57" t="n">
        <f aca="false">ROUNDUP(MAX(J1203/IF(BZ1203&gt;0,BZ1203,MAX(0.1,N(Cockpit!$O$6))),CC1203)/BS1203,0)*BS1203</f>
        <v>15</v>
      </c>
      <c r="BA1203" s="58" t="n">
        <f aca="false">IF(AX1203&gt;0,J1203/AX1203,-1)</f>
        <v>0</v>
      </c>
      <c r="BB1203" s="58" t="n">
        <f aca="false">IF(AND(OR(BY1203="L1",BY1203="L23"),AX1203&gt;0),SUMIFS($AX$7:$AX$1843,$BY$7:$BY$1843,BY1203,$BA$7:$BA$1843,"&gt;"&amp;BA1203)+SUMIFS($AX$7:$AX$1843,$BY$7:$BY$1843,BY1203,$BA$7:$BA$1843,BA1203,$BQ$7:$BQ$1843,"&lt;="&amp;BQ1203),"")</f>
        <v>113.474629235499</v>
      </c>
      <c r="BC1203" s="65" t="n">
        <f aca="false">IF(BB1203="",0,MAX(0,MIN(1,(IF(BY1203="L1",Parameter!$E$5,Parameter!$E$6+Parameter!$E$7)-(BB1203-AX1203))/AX1203)))</f>
        <v>0</v>
      </c>
      <c r="BD1203" s="55" t="str">
        <f aca="false">IF(AH1203&lt;=0,"",IF(BY1203="Aussen","Aussenlager",IF(BY1203="-","Nicht im Lift",IF(AM1203&gt;=1,"Lift",IF(AM1203&lt;=0,"Aussenlager","teilweise")))))</f>
        <v/>
      </c>
      <c r="BE1203" s="55" t="str">
        <f aca="false">IF(AP1203&lt;=0,"",IF(BY1203="Aussen","Aussenlager",IF(BY1203="-","Nicht im Lift",IF(AU1203&gt;=1,"Lift",IF(AU1203&lt;=0,"Aussenlager","teilweise")))))</f>
        <v>Aussenlager</v>
      </c>
      <c r="BF1203" s="55" t="str">
        <f aca="false">IF(AX1203&lt;=0,"",IF(BY1203="Aussen","Aussenlager",IF(BY1203="-","Nicht im Lift",IF(BC1203&gt;=1,"Lift",IF(BC1203&lt;=0,"Aussenlager","teilweise")))))</f>
        <v>Aussenlager</v>
      </c>
      <c r="BG1203" s="55" t="str">
        <f aca="false">IF(A1203="","",IF(BP1203=1,"Neu; ","")&amp;IF(AND(BP1203=0,BK1203&lt;0),"negativer Bestand (Export "&amp;BK1203&amp;"); ","")&amp;IF(J1203&lt;=0,"Kein Verbrauch; ","")&amp;IF(CH1203&gt;0,"Lift "&amp;W1203&amp;" lt. Liftbericht (Fach "&amp;X1203&amp;" Stk); ",IF(BU1203=1,"Gebinde geschätzt ("&amp;T1203&amp;"); ",IF(BT1203=1,"Lose – Tablare geschätzt; ","")))&amp;IF(H1203&gt;AR1203,"Überbestand "&amp;ROUND(H1203-AR1203,0)&amp;" Stk / CHF "&amp;ROUND((H1203-AR1203)*G1203,0)&amp;"; ","")&amp;IF(AND(CA1203=1,CB1203&lt;CC1203),"MAX &lt; MB+LG; ","")&amp;IF(AND(CG1203&gt;0,CF1203*10&gt;CG1203),"zu hoch für Tablar; ","")&amp;IF(AND(BP1203=0,OR(CA1203=1,AA1203&lt;&gt;"",U1203&lt;&gt;"",V1203&lt;&gt;"",AB1203&lt;&gt;"")),"manuell übersteuert; ","")&amp;IF(AND(BT1203=0,R1203=0),"Gebinde unbekannt / Stellmass fehlt; ","")&amp;IF(AND(BT1203=0,N(V1203)&lt;=0,N(Q1203)&lt;=0),"Menge pro Gebinde fehlt (Ist = 1 Gebinde); ","")&amp;BO1203)</f>
        <v>negativer Bestand (Export -30); Kein Verbrauch; </v>
      </c>
      <c r="BH1203" s="55"/>
      <c r="BI1203" s="55"/>
      <c r="BJ1203" s="62"/>
      <c r="BK1203" s="57" t="n">
        <v>-30</v>
      </c>
      <c r="BL1203" s="57" t="n">
        <v>30</v>
      </c>
      <c r="BM1203" s="56" t="n">
        <v>-498.6</v>
      </c>
      <c r="BN1203" s="57" t="n">
        <v>0</v>
      </c>
      <c r="BO1203" s="55"/>
      <c r="BP1203" s="60" t="n">
        <v>0</v>
      </c>
      <c r="BQ1203" s="60" t="n">
        <v>1203</v>
      </c>
      <c r="BR1203" s="55" t="str">
        <f aca="false">IF(U1203&lt;&gt;"",UPPER(TRIM(U1203)),IF(BU1203=1,UPPER(VLOOKUP(T1203,Parameter!$I$27:$K$29,2,0)),IF(P1203="","LOSE",P1203)))</f>
        <v>S41</v>
      </c>
      <c r="BS1203" s="57" t="n">
        <f aca="false">IF(BR1203="LOSE",1,IF(N(V1203)&gt;0,V1203,IF(BU1203=1,MAX(1,N(VLOOKUP(T1203,Parameter!$I$27:$K$29,3,0)),H1203,N(N1203)),IF(N(Q1203)&gt;0,Q1203,MAX(1,H1203)))))</f>
        <v>15</v>
      </c>
      <c r="BT1203" s="60" t="n">
        <f aca="false">IF(BR1203="LOSE",1,0)</f>
        <v>0</v>
      </c>
      <c r="BU1203" s="60" t="n">
        <f aca="false">IF(AND(U1203="",OR(P1203="",P1203="LOSE"),T1203&lt;&gt;"",N(S1203)&lt;=0,ISNUMBER(MATCH(T1203,Parameter!$I$27:$I$29,0))),1,0)</f>
        <v>0</v>
      </c>
      <c r="BV1203" s="55" t="str">
        <f aca="false">IF(AND(Parameter!$B$19="Ja",E1203&lt;&gt;"",ISNUMBER(MATCH(E1203,Parameter!$I$35:$I$52,0))),VLOOKUP(E1203,Parameter!$I$35:$J$52,2,0),IFERROR(VLOOKUP(D1203,Parameter!$A$35:$C$64,2,0),"Nein"))</f>
        <v>2+3</v>
      </c>
      <c r="BW1203" s="59" t="n">
        <f aca="false">IF(BT1203=0,0,IF(N(S1203)&gt;0,S1203,IFERROR(VLOOKUP(D1203,Parameter!$A$35:$C$64,3,0)+0,0)))</f>
        <v>0</v>
      </c>
      <c r="BX1203" s="55" t="n">
        <f aca="false">IF(AA1203&lt;&gt;"",AA1203,Z1203)</f>
        <v>3</v>
      </c>
      <c r="BY1203" s="55" t="str">
        <f aca="false">IF(BX1203=1,"L1",IF(OR(BX1203=2,BX1203=3),"L23",IF(BX1203="Aussen","Aussen","-")))</f>
        <v>L23</v>
      </c>
      <c r="BZ1203" s="66" t="n">
        <f aca="false">IF(N(AB1203)&gt;0,AB1203,0)</f>
        <v>0</v>
      </c>
      <c r="CA1203" s="60" t="n">
        <f aca="false">IF(ISNUMBER(AE1203),1,0)</f>
        <v>0</v>
      </c>
      <c r="CB1203" s="57" t="n">
        <f aca="false">N(AE1203)</f>
        <v>0</v>
      </c>
      <c r="CC1203" s="57" t="n">
        <f aca="false">N(M1203)+N(N1203)</f>
        <v>1</v>
      </c>
      <c r="CD1203" s="57" t="n">
        <f aca="false">ROUNDUP(H1203/BS1203,0)</f>
        <v>0</v>
      </c>
      <c r="CE1203" s="57" t="n">
        <f aca="false">ROUNDUP(CB1203/BS1203,0)</f>
        <v>0</v>
      </c>
      <c r="CF1203" s="60" t="n">
        <f aca="false">IF(BT1203=1,0,IFERROR(VLOOKUP(BR1203,'Gebinde-Kategorie'!$A$5:$M$45,5,0)+0,0))</f>
        <v>11</v>
      </c>
      <c r="CG1203" s="60" t="n">
        <f aca="false">IFERROR(IF(OR(BX1203=1,BX1203=2,BX1203=3),N(INDEX(Parameter!$I$5:$I$7,BX1203)),0),0)</f>
        <v>0</v>
      </c>
      <c r="CH1203" s="59" t="n">
        <f aca="false">IF(AND(Parameter!$B$21="Ja",ISNUMBER(W1203),N(X1203)&gt;0),IFERROR(N(INDEX(Parameter!$L$5:$L$7,W1203))*INDEX(Parameter!$E$5:$E$7,W1203)*X1203/SUMIFS($X$7:$X$1843,$W$7:$W$1843,W1203),0),0)</f>
        <v>0</v>
      </c>
    </row>
    <row r="1204" customFormat="false" ht="15" hidden="false" customHeight="false" outlineLevel="0" collapsed="false">
      <c r="A1204" s="55" t="s">
        <v>2162</v>
      </c>
      <c r="B1204" s="55" t="s">
        <v>2163</v>
      </c>
      <c r="C1204" s="55" t="s">
        <v>164</v>
      </c>
      <c r="D1204" s="55" t="s">
        <v>173</v>
      </c>
      <c r="E1204" s="55" t="s">
        <v>185</v>
      </c>
      <c r="F1204" s="55" t="s">
        <v>218</v>
      </c>
      <c r="G1204" s="56" t="n">
        <v>380.7</v>
      </c>
      <c r="H1204" s="57" t="n">
        <f aca="false">MAX(0,IF(AND(Parameter!$B$21="Ja",ISNUMBER(Y1204)),Y1204,IF(Parameter!$B$20="Jahresanfang 2025 + Export",BL1204+BK1204,BK1204)))</f>
        <v>2</v>
      </c>
      <c r="I1204" s="57" t="n">
        <f aca="false">H1204*G1204</f>
        <v>761.4</v>
      </c>
      <c r="J1204" s="57" t="n">
        <f aca="false">BN1204*Parameter!$B$18</f>
        <v>0</v>
      </c>
      <c r="K1204" s="58" t="n">
        <v>3.5</v>
      </c>
      <c r="L1204" s="59" t="n">
        <v>0</v>
      </c>
      <c r="M1204" s="57" t="n">
        <v>0</v>
      </c>
      <c r="N1204" s="57" t="n">
        <v>1</v>
      </c>
      <c r="O1204" s="60" t="n">
        <v>28</v>
      </c>
      <c r="P1204" s="55" t="s">
        <v>168</v>
      </c>
      <c r="Q1204" s="57"/>
      <c r="R1204" s="60" t="n">
        <f aca="false">IF(BT1204=1,0,IFERROR(VLOOKUP(BR1204,'Gebinde-Kategorie'!$A$5:$M$45,13,0)+0,0))</f>
        <v>12</v>
      </c>
      <c r="S1204" s="61"/>
      <c r="T1204" s="62" t="s">
        <v>179</v>
      </c>
      <c r="U1204" s="62"/>
      <c r="V1204" s="62"/>
      <c r="W1204" s="55"/>
      <c r="X1204" s="57"/>
      <c r="Y1204" s="57"/>
      <c r="Z1204" s="55" t="n">
        <f aca="false">IF(A1204="","",IF(AND(Parameter!$B$21="Ja",ISNUMBER(W1204)),W1204,IF(BV1204="2+3",IF(ISNUMBER(SEARCH("grosser Artikel",BO1204)),2,IFERROR(VLOOKUP(BR1204,Parameter!$F$35:$G$64,2,0),2)),IF(OR(BV1204="Nein",BV1204=""),"-",BV1204))))</f>
        <v>2</v>
      </c>
      <c r="AA1204" s="62"/>
      <c r="AB1204" s="63"/>
      <c r="AC1204" s="57" t="n">
        <f aca="false">AR1204</f>
        <v>4</v>
      </c>
      <c r="AD1204" s="57" t="n">
        <f aca="false">MAX(AR1204,H1204)</f>
        <v>4</v>
      </c>
      <c r="AE1204" s="64"/>
      <c r="AF1204" s="57" t="n">
        <f aca="false">IF(LEFT(Cockpit!$C$5,1)="A",H1204,IF(CA1204=1,CB1204,IF(LEFT(Cockpit!$C$5,1)="B",AJ1204,MAX(AJ1204,H1204))))</f>
        <v>2</v>
      </c>
      <c r="AG1204" s="57" t="n">
        <f aca="false">IF(BT1204=1,0,ROUNDUP(AF1204/BS1204,0))</f>
        <v>1</v>
      </c>
      <c r="AH1204" s="59" t="n">
        <f aca="false">IF(CH1204&gt;0,CH1204*MAX(1,AF1204/X1204),IF(BT1204=1,IF(AF1204&lt;=0,0,BW1204*MAX(1,IF(H1204&gt;0,AF1204/H1204,1))),IF(R1204&gt;0,AG1204/R1204,0))/MAX(0.1,N(Parameter!$M$21)))</f>
        <v>0.0833333333333333</v>
      </c>
      <c r="AI1204" s="57" t="n">
        <f aca="false">AF1204*G1204</f>
        <v>761.4</v>
      </c>
      <c r="AJ1204" s="57" t="n">
        <f aca="false">ROUNDUP(MAX(J1204/IF(BZ1204&gt;0,BZ1204,MAX(0.1,N(Cockpit!$C$6))),CC1204)/BS1204,0)*BS1204</f>
        <v>4</v>
      </c>
      <c r="AK1204" s="58" t="n">
        <f aca="false">IF(AH1204&gt;0,J1204/AH1204,-1)</f>
        <v>0</v>
      </c>
      <c r="AL1204" s="58" t="n">
        <f aca="false">IF(AND(OR(BY1204="L1",BY1204="L23"),AH1204&gt;0),SUMIFS($AH$7:$AH$1843,$BY$7:$BY$1843,BY1204,$AK$7:$AK$1843,"&gt;"&amp;AK1204)+SUMIFS($AH$7:$AH$1843,$BY$7:$BY$1843,BY1204,$AK$7:$AK$1843,AK1204,$BQ$7:$BQ$1843,"&lt;="&amp;BQ1204),"")</f>
        <v>80.652317489274</v>
      </c>
      <c r="AM1204" s="65" t="n">
        <f aca="false">IF(AL1204="",0,MAX(0,MIN(1,(IF(BY1204="L1",Parameter!$E$5,Parameter!$E$6+Parameter!$E$7)-(AL1204-AH1204))/AH1204)))</f>
        <v>1</v>
      </c>
      <c r="AN1204" s="57" t="n">
        <f aca="false">IF(LEFT(Cockpit!$I$5,1)="A",H1204,IF(CA1204=1,CB1204,IF(LEFT(Cockpit!$I$5,1)="B",AR1204,MAX(AR1204,H1204))))</f>
        <v>4</v>
      </c>
      <c r="AO1204" s="57" t="n">
        <f aca="false">IF(BT1204=1,0,ROUNDUP(AN1204/BS1204,0))</f>
        <v>1</v>
      </c>
      <c r="AP1204" s="59" t="n">
        <f aca="false">IF(CH1204&gt;0,CH1204*MAX(1,AN1204/X1204),IF(BT1204=1,IF(AN1204&lt;=0,0,BW1204*MAX(1,IF(H1204&gt;0,AN1204/H1204,1))),IF(R1204&gt;0,AO1204/R1204,0))/MAX(0.1,N(Parameter!$M$21)))</f>
        <v>0.0833333333333333</v>
      </c>
      <c r="AQ1204" s="57" t="n">
        <f aca="false">AN1204*G1204</f>
        <v>1522.8</v>
      </c>
      <c r="AR1204" s="57" t="n">
        <f aca="false">ROUNDUP(MAX(J1204/IF(BZ1204&gt;0,BZ1204,MAX(0.1,N(Cockpit!$I$6))),CC1204)/BS1204,0)*BS1204</f>
        <v>4</v>
      </c>
      <c r="AS1204" s="58" t="n">
        <f aca="false">IF(AP1204&gt;0,J1204/AP1204,-1)</f>
        <v>0</v>
      </c>
      <c r="AT1204" s="58" t="n">
        <f aca="false">IF(AND(OR(BY1204="L1",BY1204="L23"),AP1204&gt;0),SUMIFS($AP$7:$AP$1843,$BY$7:$BY$1843,BY1204,$AS$7:$AS$1843,"&gt;"&amp;AS1204)+SUMIFS($AP$7:$AP$1843,$BY$7:$BY$1843,BY1204,$AS$7:$AS$1843,AS1204,$BQ$7:$BQ$1843,"&lt;="&amp;BQ1204),"")</f>
        <v>122.728125738995</v>
      </c>
      <c r="AU1204" s="65" t="n">
        <f aca="false">IF(AT1204="",0,MAX(0,MIN(1,(IF(BY1204="L1",Parameter!$E$5,Parameter!$E$6+Parameter!$E$7)-(AT1204-AP1204))/AP1204)))</f>
        <v>0</v>
      </c>
      <c r="AV1204" s="57" t="n">
        <f aca="false">IF(LEFT(Cockpit!$O$5,1)="A",H1204,IF(CA1204=1,CB1204,IF(LEFT(Cockpit!$O$5,1)="B",AZ1204,MAX(AZ1204,H1204))))</f>
        <v>4</v>
      </c>
      <c r="AW1204" s="57" t="n">
        <f aca="false">IF(BT1204=1,0,ROUNDUP(AV1204/BS1204,0))</f>
        <v>1</v>
      </c>
      <c r="AX1204" s="59" t="n">
        <f aca="false">IF(CH1204&gt;0,CH1204*MAX(1,AV1204/X1204),IF(BT1204=1,IF(AV1204&lt;=0,0,BW1204*MAX(1,IF(H1204&gt;0,AV1204/H1204,1))),IF(R1204&gt;0,AW1204/R1204,0))/MAX(0.1,N(Parameter!$M$21)))</f>
        <v>0.0833333333333333</v>
      </c>
      <c r="AY1204" s="57" t="n">
        <f aca="false">AV1204*G1204</f>
        <v>1522.8</v>
      </c>
      <c r="AZ1204" s="57" t="n">
        <f aca="false">ROUNDUP(MAX(J1204/IF(BZ1204&gt;0,BZ1204,MAX(0.1,N(Cockpit!$O$6))),CC1204)/BS1204,0)*BS1204</f>
        <v>4</v>
      </c>
      <c r="BA1204" s="58" t="n">
        <f aca="false">IF(AX1204&gt;0,J1204/AX1204,-1)</f>
        <v>0</v>
      </c>
      <c r="BB1204" s="58" t="n">
        <f aca="false">IF(AND(OR(BY1204="L1",BY1204="L23"),AX1204&gt;0),SUMIFS($AX$7:$AX$1843,$BY$7:$BY$1843,BY1204,$BA$7:$BA$1843,"&gt;"&amp;BA1204)+SUMIFS($AX$7:$AX$1843,$BY$7:$BY$1843,BY1204,$BA$7:$BA$1843,BA1204,$BQ$7:$BQ$1843,"&lt;="&amp;BQ1204),"")</f>
        <v>113.557962568832</v>
      </c>
      <c r="BC1204" s="65" t="n">
        <f aca="false">IF(BB1204="",0,MAX(0,MIN(1,(IF(BY1204="L1",Parameter!$E$5,Parameter!$E$6+Parameter!$E$7)-(BB1204-AX1204))/AX1204)))</f>
        <v>0</v>
      </c>
      <c r="BD1204" s="55" t="str">
        <f aca="false">IF(AH1204&lt;=0,"",IF(BY1204="Aussen","Aussenlager",IF(BY1204="-","Nicht im Lift",IF(AM1204&gt;=1,"Lift",IF(AM1204&lt;=0,"Aussenlager","teilweise")))))</f>
        <v>Lift</v>
      </c>
      <c r="BE1204" s="55" t="str">
        <f aca="false">IF(AP1204&lt;=0,"",IF(BY1204="Aussen","Aussenlager",IF(BY1204="-","Nicht im Lift",IF(AU1204&gt;=1,"Lift",IF(AU1204&lt;=0,"Aussenlager","teilweise")))))</f>
        <v>Aussenlager</v>
      </c>
      <c r="BF1204" s="55" t="str">
        <f aca="false">IF(AX1204&lt;=0,"",IF(BY1204="Aussen","Aussenlager",IF(BY1204="-","Nicht im Lift",IF(BC1204&gt;=1,"Lift",IF(BC1204&lt;=0,"Aussenlager","teilweise")))))</f>
        <v>Aussenlager</v>
      </c>
      <c r="BG1204" s="55" t="str">
        <f aca="false">IF(A1204="","",IF(BP1204=1,"Neu; ","")&amp;IF(AND(BP1204=0,BK1204&lt;0),"negativer Bestand (Export "&amp;BK1204&amp;"); ","")&amp;IF(J1204&lt;=0,"Kein Verbrauch; ","")&amp;IF(CH1204&gt;0,"Lift "&amp;W1204&amp;" lt. Liftbericht (Fach "&amp;X1204&amp;" Stk); ",IF(BU1204=1,"Gebinde geschätzt ("&amp;T1204&amp;"); ",IF(BT1204=1,"Lose – Tablare geschätzt; ","")))&amp;IF(H1204&gt;AR1204,"Überbestand "&amp;ROUND(H1204-AR1204,0)&amp;" Stk / CHF "&amp;ROUND((H1204-AR1204)*G1204,0)&amp;"; ","")&amp;IF(AND(CA1204=1,CB1204&lt;CC1204),"MAX &lt; MB+LG; ","")&amp;IF(AND(CG1204&gt;0,CF1204*10&gt;CG1204),"zu hoch für Tablar; ","")&amp;IF(AND(BP1204=0,OR(CA1204=1,AA1204&lt;&gt;"",U1204&lt;&gt;"",V1204&lt;&gt;"",AB1204&lt;&gt;"")),"manuell übersteuert; ","")&amp;IF(AND(BT1204=0,R1204=0),"Gebinde unbekannt / Stellmass fehlt; ","")&amp;IF(AND(BT1204=0,N(V1204)&lt;=0,N(Q1204)&lt;=0),"Menge pro Gebinde fehlt (Ist = 1 Gebinde); ","")&amp;BO1204)</f>
        <v>negativer Bestand (Export -2); Kein Verbrauch; Gebinde geschätzt (Mittel); Menge pro Gebinde fehlt (Ist = 1 Gebinde); grosser Artikel &amp; nicht im KTL</v>
      </c>
      <c r="BH1204" s="55"/>
      <c r="BI1204" s="55"/>
      <c r="BJ1204" s="62"/>
      <c r="BK1204" s="57" t="n">
        <v>-2</v>
      </c>
      <c r="BL1204" s="57" t="n">
        <v>4</v>
      </c>
      <c r="BM1204" s="56" t="n">
        <v>-506.68</v>
      </c>
      <c r="BN1204" s="57" t="n">
        <v>0</v>
      </c>
      <c r="BO1204" s="55" t="s">
        <v>261</v>
      </c>
      <c r="BP1204" s="60" t="n">
        <v>0</v>
      </c>
      <c r="BQ1204" s="60" t="n">
        <v>1204</v>
      </c>
      <c r="BR1204" s="55" t="str">
        <f aca="false">IF(U1204&lt;&gt;"",UPPER(TRIM(U1204)),IF(BU1204=1,UPPER(VLOOKUP(T1204,Parameter!$I$27:$K$29,2,0)),IF(P1204="","LOSE",P1204)))</f>
        <v>S61</v>
      </c>
      <c r="BS1204" s="57" t="n">
        <f aca="false">IF(BR1204="LOSE",1,IF(N(V1204)&gt;0,V1204,IF(BU1204=1,MAX(1,N(VLOOKUP(T1204,Parameter!$I$27:$K$29,3,0)),H1204,N(N1204)),IF(N(Q1204)&gt;0,Q1204,MAX(1,H1204)))))</f>
        <v>4</v>
      </c>
      <c r="BT1204" s="60" t="n">
        <f aca="false">IF(BR1204="LOSE",1,0)</f>
        <v>0</v>
      </c>
      <c r="BU1204" s="60" t="n">
        <f aca="false">IF(AND(U1204="",OR(P1204="",P1204="LOSE"),T1204&lt;&gt;"",N(S1204)&lt;=0,ISNUMBER(MATCH(T1204,Parameter!$I$27:$I$29,0))),1,0)</f>
        <v>1</v>
      </c>
      <c r="BV1204" s="55" t="str">
        <f aca="false">IF(AND(Parameter!$B$19="Ja",E1204&lt;&gt;"",ISNUMBER(MATCH(E1204,Parameter!$I$35:$I$52,0))),VLOOKUP(E1204,Parameter!$I$35:$J$52,2,0),IFERROR(VLOOKUP(D1204,Parameter!$A$35:$C$64,2,0),"Nein"))</f>
        <v>2+3</v>
      </c>
      <c r="BW1204" s="59" t="n">
        <f aca="false">IF(BT1204=0,0,IF(N(S1204)&gt;0,S1204,IFERROR(VLOOKUP(D1204,Parameter!$A$35:$C$64,3,0)+0,0)))</f>
        <v>0</v>
      </c>
      <c r="BX1204" s="55" t="n">
        <f aca="false">IF(AA1204&lt;&gt;"",AA1204,Z1204)</f>
        <v>2</v>
      </c>
      <c r="BY1204" s="55" t="str">
        <f aca="false">IF(BX1204=1,"L1",IF(OR(BX1204=2,BX1204=3),"L23",IF(BX1204="Aussen","Aussen","-")))</f>
        <v>L23</v>
      </c>
      <c r="BZ1204" s="66" t="n">
        <f aca="false">IF(N(AB1204)&gt;0,AB1204,0)</f>
        <v>0</v>
      </c>
      <c r="CA1204" s="60" t="n">
        <f aca="false">IF(ISNUMBER(AE1204),1,0)</f>
        <v>0</v>
      </c>
      <c r="CB1204" s="57" t="n">
        <f aca="false">N(AE1204)</f>
        <v>0</v>
      </c>
      <c r="CC1204" s="57" t="n">
        <f aca="false">N(M1204)+N(N1204)</f>
        <v>1</v>
      </c>
      <c r="CD1204" s="57" t="n">
        <f aca="false">ROUNDUP(H1204/BS1204,0)</f>
        <v>1</v>
      </c>
      <c r="CE1204" s="57" t="n">
        <f aca="false">ROUNDUP(CB1204/BS1204,0)</f>
        <v>0</v>
      </c>
      <c r="CF1204" s="60" t="n">
        <f aca="false">IF(BT1204=1,0,IFERROR(VLOOKUP(BR1204,'Gebinde-Kategorie'!$A$5:$M$45,5,0)+0,0))</f>
        <v>11</v>
      </c>
      <c r="CG1204" s="60" t="n">
        <f aca="false">IFERROR(IF(OR(BX1204=1,BX1204=2,BX1204=3),N(INDEX(Parameter!$I$5:$I$7,BX1204)),0),0)</f>
        <v>0</v>
      </c>
      <c r="CH1204" s="59" t="n">
        <f aca="false">IF(AND(Parameter!$B$21="Ja",ISNUMBER(W1204),N(X1204)&gt;0),IFERROR(N(INDEX(Parameter!$L$5:$L$7,W1204))*INDEX(Parameter!$E$5:$E$7,W1204)*X1204/SUMIFS($X$7:$X$1843,$W$7:$W$1843,W1204),0),0)</f>
        <v>0</v>
      </c>
    </row>
    <row r="1205" customFormat="false" ht="15" hidden="false" customHeight="false" outlineLevel="0" collapsed="false">
      <c r="A1205" s="55" t="s">
        <v>2164</v>
      </c>
      <c r="B1205" s="55" t="s">
        <v>2165</v>
      </c>
      <c r="C1205" s="55" t="s">
        <v>164</v>
      </c>
      <c r="D1205" s="55" t="s">
        <v>173</v>
      </c>
      <c r="E1205" s="55" t="s">
        <v>185</v>
      </c>
      <c r="F1205" s="55" t="s">
        <v>218</v>
      </c>
      <c r="G1205" s="56" t="n">
        <v>65.23</v>
      </c>
      <c r="H1205" s="57" t="n">
        <f aca="false">MAX(0,IF(AND(Parameter!$B$21="Ja",ISNUMBER(Y1205)),Y1205,IF(Parameter!$B$20="Jahresanfang 2025 + Export",BL1205+BK1205,BK1205)))</f>
        <v>56</v>
      </c>
      <c r="I1205" s="57" t="n">
        <f aca="false">H1205*G1205</f>
        <v>3652.88</v>
      </c>
      <c r="J1205" s="57" t="n">
        <f aca="false">BN1205*Parameter!$B$18</f>
        <v>194</v>
      </c>
      <c r="K1205" s="58" t="n">
        <v>103</v>
      </c>
      <c r="L1205" s="59" t="n">
        <v>1.88349514563107</v>
      </c>
      <c r="M1205" s="57" t="n">
        <v>11</v>
      </c>
      <c r="N1205" s="57" t="n">
        <v>100</v>
      </c>
      <c r="O1205" s="60" t="n">
        <v>21</v>
      </c>
      <c r="P1205" s="55" t="s">
        <v>174</v>
      </c>
      <c r="Q1205" s="57" t="n">
        <v>140</v>
      </c>
      <c r="R1205" s="60" t="n">
        <f aca="false">IF(BT1205=1,0,IFERROR(VLOOKUP(BR1205,'Gebinde-Kategorie'!$A$5:$M$45,13,0)+0,0))</f>
        <v>6</v>
      </c>
      <c r="S1205" s="61"/>
      <c r="T1205" s="62"/>
      <c r="U1205" s="62"/>
      <c r="V1205" s="62"/>
      <c r="W1205" s="55"/>
      <c r="X1205" s="57"/>
      <c r="Y1205" s="57"/>
      <c r="Z1205" s="55" t="n">
        <f aca="false">IF(A1205="","",IF(AND(Parameter!$B$21="Ja",ISNUMBER(W1205)),W1205,IF(BV1205="2+3",IF(ISNUMBER(SEARCH("grosser Artikel",BO1205)),2,IFERROR(VLOOKUP(BR1205,Parameter!$F$35:$G$64,2,0),2)),IF(OR(BV1205="Nein",BV1205=""),"-",BV1205))))</f>
        <v>2</v>
      </c>
      <c r="AA1205" s="62"/>
      <c r="AB1205" s="63"/>
      <c r="AC1205" s="57" t="n">
        <f aca="false">AR1205</f>
        <v>140</v>
      </c>
      <c r="AD1205" s="57" t="n">
        <f aca="false">MAX(AR1205,H1205)</f>
        <v>140</v>
      </c>
      <c r="AE1205" s="64"/>
      <c r="AF1205" s="57" t="n">
        <f aca="false">IF(LEFT(Cockpit!$C$5,1)="A",H1205,IF(CA1205=1,CB1205,IF(LEFT(Cockpit!$C$5,1)="B",AJ1205,MAX(AJ1205,H1205))))</f>
        <v>56</v>
      </c>
      <c r="AG1205" s="57" t="n">
        <f aca="false">IF(BT1205=1,0,ROUNDUP(AF1205/BS1205,0))</f>
        <v>1</v>
      </c>
      <c r="AH1205" s="59" t="n">
        <f aca="false">IF(CH1205&gt;0,CH1205*MAX(1,AF1205/X1205),IF(BT1205=1,IF(AF1205&lt;=0,0,BW1205*MAX(1,IF(H1205&gt;0,AF1205/H1205,1))),IF(R1205&gt;0,AG1205/R1205,0))/MAX(0.1,N(Parameter!$M$21)))</f>
        <v>0.166666666666667</v>
      </c>
      <c r="AI1205" s="57" t="n">
        <f aca="false">AF1205*G1205</f>
        <v>3652.88</v>
      </c>
      <c r="AJ1205" s="57" t="n">
        <f aca="false">ROUNDUP(MAX(J1205/IF(BZ1205&gt;0,BZ1205,MAX(0.1,N(Cockpit!$C$6))),CC1205)/BS1205,0)*BS1205</f>
        <v>140</v>
      </c>
      <c r="AK1205" s="58" t="n">
        <f aca="false">IF(AH1205&gt;0,J1205/AH1205,-1)</f>
        <v>1164</v>
      </c>
      <c r="AL1205" s="58" t="n">
        <f aca="false">IF(AND(OR(BY1205="L1",BY1205="L23"),AH1205&gt;0),SUMIFS($AH$7:$AH$1843,$BY$7:$BY$1843,BY1205,$AK$7:$AK$1843,"&gt;"&amp;AK1205)+SUMIFS($AH$7:$AH$1843,$BY$7:$BY$1843,BY1205,$AK$7:$AK$1843,AK1205,$BQ$7:$BQ$1843,"&lt;="&amp;BQ1205),"")</f>
        <v>17.0143914056958</v>
      </c>
      <c r="AM1205" s="65" t="n">
        <f aca="false">IF(AL1205="",0,MAX(0,MIN(1,(IF(BY1205="L1",Parameter!$E$5,Parameter!$E$6+Parameter!$E$7)-(AL1205-AH1205))/AH1205)))</f>
        <v>1</v>
      </c>
      <c r="AN1205" s="57" t="n">
        <f aca="false">IF(LEFT(Cockpit!$I$5,1)="A",H1205,IF(CA1205=1,CB1205,IF(LEFT(Cockpit!$I$5,1)="B",AR1205,MAX(AR1205,H1205))))</f>
        <v>140</v>
      </c>
      <c r="AO1205" s="57" t="n">
        <f aca="false">IF(BT1205=1,0,ROUNDUP(AN1205/BS1205,0))</f>
        <v>1</v>
      </c>
      <c r="AP1205" s="59" t="n">
        <f aca="false">IF(CH1205&gt;0,CH1205*MAX(1,AN1205/X1205),IF(BT1205=1,IF(AN1205&lt;=0,0,BW1205*MAX(1,IF(H1205&gt;0,AN1205/H1205,1))),IF(R1205&gt;0,AO1205/R1205,0))/MAX(0.1,N(Parameter!$M$21)))</f>
        <v>0.166666666666667</v>
      </c>
      <c r="AQ1205" s="57" t="n">
        <f aca="false">AN1205*G1205</f>
        <v>9132.2</v>
      </c>
      <c r="AR1205" s="57" t="n">
        <f aca="false">ROUNDUP(MAX(J1205/IF(BZ1205&gt;0,BZ1205,MAX(0.1,N(Cockpit!$I$6))),CC1205)/BS1205,0)*BS1205</f>
        <v>140</v>
      </c>
      <c r="AS1205" s="58" t="n">
        <f aca="false">IF(AP1205&gt;0,J1205/AP1205,-1)</f>
        <v>1164</v>
      </c>
      <c r="AT1205" s="58" t="n">
        <f aca="false">IF(AND(OR(BY1205="L1",BY1205="L23"),AP1205&gt;0),SUMIFS($AP$7:$AP$1843,$BY$7:$BY$1843,BY1205,$AS$7:$AS$1843,"&gt;"&amp;AS1205)+SUMIFS($AP$7:$AP$1843,$BY$7:$BY$1843,BY1205,$AS$7:$AS$1843,AS1205,$BQ$7:$BQ$1843,"&lt;="&amp;BQ1205),"")</f>
        <v>22.9657275092058</v>
      </c>
      <c r="AU1205" s="65" t="n">
        <f aca="false">IF(AT1205="",0,MAX(0,MIN(1,(IF(BY1205="L1",Parameter!$E$5,Parameter!$E$6+Parameter!$E$7)-(AT1205-AP1205))/AP1205)))</f>
        <v>1</v>
      </c>
      <c r="AV1205" s="57" t="n">
        <f aca="false">IF(LEFT(Cockpit!$O$5,1)="A",H1205,IF(CA1205=1,CB1205,IF(LEFT(Cockpit!$O$5,1)="B",AZ1205,MAX(AZ1205,H1205))))</f>
        <v>140</v>
      </c>
      <c r="AW1205" s="57" t="n">
        <f aca="false">IF(BT1205=1,0,ROUNDUP(AV1205/BS1205,0))</f>
        <v>1</v>
      </c>
      <c r="AX1205" s="59" t="n">
        <f aca="false">IF(CH1205&gt;0,CH1205*MAX(1,AV1205/X1205),IF(BT1205=1,IF(AV1205&lt;=0,0,BW1205*MAX(1,IF(H1205&gt;0,AV1205/H1205,1))),IF(R1205&gt;0,AW1205/R1205,0))/MAX(0.1,N(Parameter!$M$21)))</f>
        <v>0.166666666666667</v>
      </c>
      <c r="AY1205" s="57" t="n">
        <f aca="false">AV1205*G1205</f>
        <v>9132.2</v>
      </c>
      <c r="AZ1205" s="57" t="n">
        <f aca="false">ROUNDUP(MAX(J1205/IF(BZ1205&gt;0,BZ1205,MAX(0.1,N(Cockpit!$O$6))),CC1205)/BS1205,0)*BS1205</f>
        <v>140</v>
      </c>
      <c r="BA1205" s="58" t="n">
        <f aca="false">IF(AX1205&gt;0,J1205/AX1205,-1)</f>
        <v>1164</v>
      </c>
      <c r="BB1205" s="58" t="n">
        <f aca="false">IF(AND(OR(BY1205="L1",BY1205="L23"),AX1205&gt;0),SUMIFS($AX$7:$AX$1843,$BY$7:$BY$1843,BY1205,$BA$7:$BA$1843,"&gt;"&amp;BA1205)+SUMIFS($AX$7:$AX$1843,$BY$7:$BY$1843,BY1205,$BA$7:$BA$1843,BA1205,$BQ$7:$BQ$1843,"&lt;="&amp;BQ1205),"")</f>
        <v>21.9109489544272</v>
      </c>
      <c r="BC1205" s="65" t="n">
        <f aca="false">IF(BB1205="",0,MAX(0,MIN(1,(IF(BY1205="L1",Parameter!$E$5,Parameter!$E$6+Parameter!$E$7)-(BB1205-AX1205))/AX1205)))</f>
        <v>1</v>
      </c>
      <c r="BD1205" s="55" t="str">
        <f aca="false">IF(AH1205&lt;=0,"",IF(BY1205="Aussen","Aussenlager",IF(BY1205="-","Nicht im Lift",IF(AM1205&gt;=1,"Lift",IF(AM1205&lt;=0,"Aussenlager","teilweise")))))</f>
        <v>Lift</v>
      </c>
      <c r="BE1205" s="55" t="str">
        <f aca="false">IF(AP1205&lt;=0,"",IF(BY1205="Aussen","Aussenlager",IF(BY1205="-","Nicht im Lift",IF(AU1205&gt;=1,"Lift",IF(AU1205&lt;=0,"Aussenlager","teilweise")))))</f>
        <v>Lift</v>
      </c>
      <c r="BF1205" s="55" t="str">
        <f aca="false">IF(AX1205&lt;=0,"",IF(BY1205="Aussen","Aussenlager",IF(BY1205="-","Nicht im Lift",IF(BC1205&gt;=1,"Lift",IF(BC1205&lt;=0,"Aussenlager","teilweise")))))</f>
        <v>Lift</v>
      </c>
      <c r="BG1205" s="55" t="str">
        <f aca="false">IF(A1205="","",IF(BP1205=1,"Neu; ","")&amp;IF(AND(BP1205=0,BK1205&lt;0),"negativer Bestand (Export "&amp;BK1205&amp;"); ","")&amp;IF(J1205&lt;=0,"Kein Verbrauch; ","")&amp;IF(CH1205&gt;0,"Lift "&amp;W1205&amp;" lt. Liftbericht (Fach "&amp;X1205&amp;" Stk); ",IF(BU1205=1,"Gebinde geschätzt ("&amp;T1205&amp;"); ",IF(BT1205=1,"Lose – Tablare geschätzt; ","")))&amp;IF(H1205&gt;AR1205,"Überbestand "&amp;ROUND(H1205-AR1205,0)&amp;" Stk / CHF "&amp;ROUND((H1205-AR1205)*G1205,0)&amp;"; ","")&amp;IF(AND(CA1205=1,CB1205&lt;CC1205),"MAX &lt; MB+LG; ","")&amp;IF(AND(CG1205&gt;0,CF1205*10&gt;CG1205),"zu hoch für Tablar; ","")&amp;IF(AND(BP1205=0,OR(CA1205=1,AA1205&lt;&gt;"",U1205&lt;&gt;"",V1205&lt;&gt;"",AB1205&lt;&gt;"")),"manuell übersteuert; ","")&amp;IF(AND(BT1205=0,R1205=0),"Gebinde unbekannt / Stellmass fehlt; ","")&amp;IF(AND(BT1205=0,N(V1205)&lt;=0,N(Q1205)&lt;=0),"Menge pro Gebinde fehlt (Ist = 1 Gebinde); ","")&amp;BO1205)</f>
        <v>grosser Artikel &amp; nicht im KTL</v>
      </c>
      <c r="BH1205" s="55"/>
      <c r="BI1205" s="55"/>
      <c r="BJ1205" s="62"/>
      <c r="BK1205" s="57" t="n">
        <v>6</v>
      </c>
      <c r="BL1205" s="57" t="n">
        <v>50</v>
      </c>
      <c r="BM1205" s="56" t="n">
        <v>-513.119999999997</v>
      </c>
      <c r="BN1205" s="57" t="n">
        <v>194</v>
      </c>
      <c r="BO1205" s="55" t="s">
        <v>261</v>
      </c>
      <c r="BP1205" s="60" t="n">
        <v>0</v>
      </c>
      <c r="BQ1205" s="60" t="n">
        <v>1205</v>
      </c>
      <c r="BR1205" s="55" t="str">
        <f aca="false">IF(U1205&lt;&gt;"",UPPER(TRIM(U1205)),IF(BU1205=1,UPPER(VLOOKUP(T1205,Parameter!$I$27:$K$29,2,0)),IF(P1205="","LOSE",P1205)))</f>
        <v>S71</v>
      </c>
      <c r="BS1205" s="57" t="n">
        <f aca="false">IF(BR1205="LOSE",1,IF(N(V1205)&gt;0,V1205,IF(BU1205=1,MAX(1,N(VLOOKUP(T1205,Parameter!$I$27:$K$29,3,0)),H1205,N(N1205)),IF(N(Q1205)&gt;0,Q1205,MAX(1,H1205)))))</f>
        <v>140</v>
      </c>
      <c r="BT1205" s="60" t="n">
        <f aca="false">IF(BR1205="LOSE",1,0)</f>
        <v>0</v>
      </c>
      <c r="BU1205" s="60" t="n">
        <f aca="false">IF(AND(U1205="",OR(P1205="",P1205="LOSE"),T1205&lt;&gt;"",N(S1205)&lt;=0,ISNUMBER(MATCH(T1205,Parameter!$I$27:$I$29,0))),1,0)</f>
        <v>0</v>
      </c>
      <c r="BV1205" s="55" t="str">
        <f aca="false">IF(AND(Parameter!$B$19="Ja",E1205&lt;&gt;"",ISNUMBER(MATCH(E1205,Parameter!$I$35:$I$52,0))),VLOOKUP(E1205,Parameter!$I$35:$J$52,2,0),IFERROR(VLOOKUP(D1205,Parameter!$A$35:$C$64,2,0),"Nein"))</f>
        <v>2+3</v>
      </c>
      <c r="BW1205" s="59" t="n">
        <f aca="false">IF(BT1205=0,0,IF(N(S1205)&gt;0,S1205,IFERROR(VLOOKUP(D1205,Parameter!$A$35:$C$64,3,0)+0,0)))</f>
        <v>0</v>
      </c>
      <c r="BX1205" s="55" t="n">
        <f aca="false">IF(AA1205&lt;&gt;"",AA1205,Z1205)</f>
        <v>2</v>
      </c>
      <c r="BY1205" s="55" t="str">
        <f aca="false">IF(BX1205=1,"L1",IF(OR(BX1205=2,BX1205=3),"L23",IF(BX1205="Aussen","Aussen","-")))</f>
        <v>L23</v>
      </c>
      <c r="BZ1205" s="66" t="n">
        <f aca="false">IF(N(AB1205)&gt;0,AB1205,0)</f>
        <v>0</v>
      </c>
      <c r="CA1205" s="60" t="n">
        <f aca="false">IF(ISNUMBER(AE1205),1,0)</f>
        <v>0</v>
      </c>
      <c r="CB1205" s="57" t="n">
        <f aca="false">N(AE1205)</f>
        <v>0</v>
      </c>
      <c r="CC1205" s="57" t="n">
        <f aca="false">N(M1205)+N(N1205)</f>
        <v>111</v>
      </c>
      <c r="CD1205" s="57" t="n">
        <f aca="false">ROUNDUP(H1205/BS1205,0)</f>
        <v>1</v>
      </c>
      <c r="CE1205" s="57" t="n">
        <f aca="false">ROUNDUP(CB1205/BS1205,0)</f>
        <v>0</v>
      </c>
      <c r="CF1205" s="60" t="n">
        <f aca="false">IF(BT1205=1,0,IFERROR(VLOOKUP(BR1205,'Gebinde-Kategorie'!$A$5:$M$45,5,0)+0,0))</f>
        <v>20</v>
      </c>
      <c r="CG1205" s="60" t="n">
        <f aca="false">IFERROR(IF(OR(BX1205=1,BX1205=2,BX1205=3),N(INDEX(Parameter!$I$5:$I$7,BX1205)),0),0)</f>
        <v>0</v>
      </c>
      <c r="CH1205" s="59" t="n">
        <f aca="false">IF(AND(Parameter!$B$21="Ja",ISNUMBER(W1205),N(X1205)&gt;0),IFERROR(N(INDEX(Parameter!$L$5:$L$7,W1205))*INDEX(Parameter!$E$5:$E$7,W1205)*X1205/SUMIFS($X$7:$X$1843,$W$7:$W$1843,W1205),0),0)</f>
        <v>0</v>
      </c>
    </row>
    <row r="1206" customFormat="false" ht="15" hidden="false" customHeight="false" outlineLevel="0" collapsed="false">
      <c r="A1206" s="55" t="s">
        <v>2166</v>
      </c>
      <c r="B1206" s="55" t="s">
        <v>2167</v>
      </c>
      <c r="C1206" s="55" t="s">
        <v>164</v>
      </c>
      <c r="D1206" s="55" t="s">
        <v>184</v>
      </c>
      <c r="E1206" s="55" t="s">
        <v>185</v>
      </c>
      <c r="F1206" s="55" t="s">
        <v>218</v>
      </c>
      <c r="G1206" s="56" t="n">
        <v>508.45</v>
      </c>
      <c r="H1206" s="57" t="n">
        <f aca="false">MAX(0,IF(AND(Parameter!$B$21="Ja",ISNUMBER(Y1206)),Y1206,IF(Parameter!$B$20="Jahresanfang 2025 + Export",BL1206+BK1206,BK1206)))</f>
        <v>4</v>
      </c>
      <c r="I1206" s="57" t="n">
        <f aca="false">H1206*G1206</f>
        <v>2033.8</v>
      </c>
      <c r="J1206" s="57" t="n">
        <f aca="false">BN1206*Parameter!$B$18</f>
        <v>5</v>
      </c>
      <c r="K1206" s="58" t="n">
        <v>4.5</v>
      </c>
      <c r="L1206" s="59" t="n">
        <v>1.11111111111111</v>
      </c>
      <c r="M1206" s="57" t="n">
        <v>0</v>
      </c>
      <c r="N1206" s="57" t="n">
        <v>5</v>
      </c>
      <c r="O1206" s="60" t="n">
        <v>21</v>
      </c>
      <c r="P1206" s="55" t="s">
        <v>226</v>
      </c>
      <c r="Q1206" s="57" t="n">
        <v>8</v>
      </c>
      <c r="R1206" s="60" t="n">
        <f aca="false">IF(BT1206=1,0,IFERROR(VLOOKUP(BR1206,'Gebinde-Kategorie'!$A$5:$M$45,13,0)+0,0))</f>
        <v>12</v>
      </c>
      <c r="S1206" s="61"/>
      <c r="T1206" s="62"/>
      <c r="U1206" s="62"/>
      <c r="V1206" s="62"/>
      <c r="W1206" s="55"/>
      <c r="X1206" s="57"/>
      <c r="Y1206" s="57"/>
      <c r="Z1206" s="55" t="n">
        <f aca="false">IF(A1206="","",IF(AND(Parameter!$B$21="Ja",ISNUMBER(W1206)),W1206,IF(BV1206="2+3",IF(ISNUMBER(SEARCH("grosser Artikel",BO1206)),2,IFERROR(VLOOKUP(BR1206,Parameter!$F$35:$G$64,2,0),2)),IF(OR(BV1206="Nein",BV1206=""),"-",BV1206))))</f>
        <v>2</v>
      </c>
      <c r="AA1206" s="62"/>
      <c r="AB1206" s="63"/>
      <c r="AC1206" s="57" t="n">
        <f aca="false">AR1206</f>
        <v>8</v>
      </c>
      <c r="AD1206" s="57" t="n">
        <f aca="false">MAX(AR1206,H1206)</f>
        <v>8</v>
      </c>
      <c r="AE1206" s="64"/>
      <c r="AF1206" s="57" t="n">
        <f aca="false">IF(LEFT(Cockpit!$C$5,1)="A",H1206,IF(CA1206=1,CB1206,IF(LEFT(Cockpit!$C$5,1)="B",AJ1206,MAX(AJ1206,H1206))))</f>
        <v>4</v>
      </c>
      <c r="AG1206" s="57" t="n">
        <f aca="false">IF(BT1206=1,0,ROUNDUP(AF1206/BS1206,0))</f>
        <v>1</v>
      </c>
      <c r="AH1206" s="59" t="n">
        <f aca="false">IF(CH1206&gt;0,CH1206*MAX(1,AF1206/X1206),IF(BT1206=1,IF(AF1206&lt;=0,0,BW1206*MAX(1,IF(H1206&gt;0,AF1206/H1206,1))),IF(R1206&gt;0,AG1206/R1206,0))/MAX(0.1,N(Parameter!$M$21)))</f>
        <v>0.0833333333333333</v>
      </c>
      <c r="AI1206" s="57" t="n">
        <f aca="false">AF1206*G1206</f>
        <v>2033.8</v>
      </c>
      <c r="AJ1206" s="57" t="n">
        <f aca="false">ROUNDUP(MAX(J1206/IF(BZ1206&gt;0,BZ1206,MAX(0.1,N(Cockpit!$C$6))),CC1206)/BS1206,0)*BS1206</f>
        <v>8</v>
      </c>
      <c r="AK1206" s="58" t="n">
        <f aca="false">IF(AH1206&gt;0,J1206/AH1206,-1)</f>
        <v>60</v>
      </c>
      <c r="AL1206" s="58" t="n">
        <f aca="false">IF(AND(OR(BY1206="L1",BY1206="L23"),AH1206&gt;0),SUMIFS($AH$7:$AH$1843,$BY$7:$BY$1843,BY1206,$AK$7:$AK$1843,"&gt;"&amp;AK1206)+SUMIFS($AH$7:$AH$1843,$BY$7:$BY$1843,BY1206,$AK$7:$AK$1843,AK1206,$BQ$7:$BQ$1843,"&lt;="&amp;BQ1206),"")</f>
        <v>43.2606753150231</v>
      </c>
      <c r="AM1206" s="65" t="n">
        <f aca="false">IF(AL1206="",0,MAX(0,MIN(1,(IF(BY1206="L1",Parameter!$E$5,Parameter!$E$6+Parameter!$E$7)-(AL1206-AH1206))/AH1206)))</f>
        <v>1</v>
      </c>
      <c r="AN1206" s="57" t="n">
        <f aca="false">IF(LEFT(Cockpit!$I$5,1)="A",H1206,IF(CA1206=1,CB1206,IF(LEFT(Cockpit!$I$5,1)="B",AR1206,MAX(AR1206,H1206))))</f>
        <v>8</v>
      </c>
      <c r="AO1206" s="57" t="n">
        <f aca="false">IF(BT1206=1,0,ROUNDUP(AN1206/BS1206,0))</f>
        <v>1</v>
      </c>
      <c r="AP1206" s="59" t="n">
        <f aca="false">IF(CH1206&gt;0,CH1206*MAX(1,AN1206/X1206),IF(BT1206=1,IF(AN1206&lt;=0,0,BW1206*MAX(1,IF(H1206&gt;0,AN1206/H1206,1))),IF(R1206&gt;0,AO1206/R1206,0))/MAX(0.1,N(Parameter!$M$21)))</f>
        <v>0.0833333333333333</v>
      </c>
      <c r="AQ1206" s="57" t="n">
        <f aca="false">AN1206*G1206</f>
        <v>4067.6</v>
      </c>
      <c r="AR1206" s="57" t="n">
        <f aca="false">ROUNDUP(MAX(J1206/IF(BZ1206&gt;0,BZ1206,MAX(0.1,N(Cockpit!$I$6))),CC1206)/BS1206,0)*BS1206</f>
        <v>8</v>
      </c>
      <c r="AS1206" s="58" t="n">
        <f aca="false">IF(AP1206&gt;0,J1206/AP1206,-1)</f>
        <v>60</v>
      </c>
      <c r="AT1206" s="58" t="n">
        <f aca="false">IF(AND(OR(BY1206="L1",BY1206="L23"),AP1206&gt;0),SUMIFS($AP$7:$AP$1843,$BY$7:$BY$1843,BY1206,$AS$7:$AS$1843,"&gt;"&amp;AS1206)+SUMIFS($AP$7:$AP$1843,$BY$7:$BY$1843,BY1206,$AS$7:$AS$1843,AS1206,$BQ$7:$BQ$1843,"&lt;="&amp;BQ1206),"")</f>
        <v>65.5501841154015</v>
      </c>
      <c r="AU1206" s="65" t="n">
        <f aca="false">IF(AT1206="",0,MAX(0,MIN(1,(IF(BY1206="L1",Parameter!$E$5,Parameter!$E$6+Parameter!$E$7)-(AT1206-AP1206))/AP1206)))</f>
        <v>1</v>
      </c>
      <c r="AV1206" s="57" t="n">
        <f aca="false">IF(LEFT(Cockpit!$O$5,1)="A",H1206,IF(CA1206=1,CB1206,IF(LEFT(Cockpit!$O$5,1)="B",AZ1206,MAX(AZ1206,H1206))))</f>
        <v>8</v>
      </c>
      <c r="AW1206" s="57" t="n">
        <f aca="false">IF(BT1206=1,0,ROUNDUP(AV1206/BS1206,0))</f>
        <v>1</v>
      </c>
      <c r="AX1206" s="59" t="n">
        <f aca="false">IF(CH1206&gt;0,CH1206*MAX(1,AV1206/X1206),IF(BT1206=1,IF(AV1206&lt;=0,0,BW1206*MAX(1,IF(H1206&gt;0,AV1206/H1206,1))),IF(R1206&gt;0,AW1206/R1206,0))/MAX(0.1,N(Parameter!$M$21)))</f>
        <v>0.0833333333333333</v>
      </c>
      <c r="AY1206" s="57" t="n">
        <f aca="false">AV1206*G1206</f>
        <v>4067.6</v>
      </c>
      <c r="AZ1206" s="57" t="n">
        <f aca="false">ROUNDUP(MAX(J1206/IF(BZ1206&gt;0,BZ1206,MAX(0.1,N(Cockpit!$O$6))),CC1206)/BS1206,0)*BS1206</f>
        <v>8</v>
      </c>
      <c r="BA1206" s="58" t="n">
        <f aca="false">IF(AX1206&gt;0,J1206/AX1206,-1)</f>
        <v>60</v>
      </c>
      <c r="BB1206" s="58" t="n">
        <f aca="false">IF(AND(OR(BY1206="L1",BY1206="L23"),AX1206&gt;0),SUMIFS($AX$7:$AX$1843,$BY$7:$BY$1843,BY1206,$BA$7:$BA$1843,"&gt;"&amp;BA1206)+SUMIFS($AX$7:$AX$1843,$BY$7:$BY$1843,BY1206,$BA$7:$BA$1843,BA1206,$BQ$7:$BQ$1843,"&lt;="&amp;BQ1206),"")</f>
        <v>60.046687611905</v>
      </c>
      <c r="BC1206" s="65" t="n">
        <f aca="false">IF(BB1206="",0,MAX(0,MIN(1,(IF(BY1206="L1",Parameter!$E$5,Parameter!$E$6+Parameter!$E$7)-(BB1206-AX1206))/AX1206)))</f>
        <v>1</v>
      </c>
      <c r="BD1206" s="55" t="str">
        <f aca="false">IF(AH1206&lt;=0,"",IF(BY1206="Aussen","Aussenlager",IF(BY1206="-","Nicht im Lift",IF(AM1206&gt;=1,"Lift",IF(AM1206&lt;=0,"Aussenlager","teilweise")))))</f>
        <v>Lift</v>
      </c>
      <c r="BE1206" s="55" t="str">
        <f aca="false">IF(AP1206&lt;=0,"",IF(BY1206="Aussen","Aussenlager",IF(BY1206="-","Nicht im Lift",IF(AU1206&gt;=1,"Lift",IF(AU1206&lt;=0,"Aussenlager","teilweise")))))</f>
        <v>Lift</v>
      </c>
      <c r="BF1206" s="55" t="str">
        <f aca="false">IF(AX1206&lt;=0,"",IF(BY1206="Aussen","Aussenlager",IF(BY1206="-","Nicht im Lift",IF(BC1206&gt;=1,"Lift",IF(BC1206&lt;=0,"Aussenlager","teilweise")))))</f>
        <v>Lift</v>
      </c>
      <c r="BG1206" s="55" t="str">
        <f aca="false">IF(A1206="","",IF(BP1206=1,"Neu; ","")&amp;IF(AND(BP1206=0,BK1206&lt;0),"negativer Bestand (Export "&amp;BK1206&amp;"); ","")&amp;IF(J1206&lt;=0,"Kein Verbrauch; ","")&amp;IF(CH1206&gt;0,"Lift "&amp;W1206&amp;" lt. Liftbericht (Fach "&amp;X1206&amp;" Stk); ",IF(BU1206=1,"Gebinde geschätzt ("&amp;T1206&amp;"); ",IF(BT1206=1,"Lose – Tablare geschätzt; ","")))&amp;IF(H1206&gt;AR1206,"Überbestand "&amp;ROUND(H1206-AR1206,0)&amp;" Stk / CHF "&amp;ROUND((H1206-AR1206)*G1206,0)&amp;"; ","")&amp;IF(AND(CA1206=1,CB1206&lt;CC1206),"MAX &lt; MB+LG; ","")&amp;IF(AND(CG1206&gt;0,CF1206*10&gt;CG1206),"zu hoch für Tablar; ","")&amp;IF(AND(BP1206=0,OR(CA1206=1,AA1206&lt;&gt;"",U1206&lt;&gt;"",V1206&lt;&gt;"",AB1206&lt;&gt;"")),"manuell übersteuert; ","")&amp;IF(AND(BT1206=0,R1206=0),"Gebinde unbekannt / Stellmass fehlt; ","")&amp;IF(AND(BT1206=0,N(V1206)&lt;=0,N(Q1206)&lt;=0),"Menge pro Gebinde fehlt (Ist = 1 Gebinde); ","")&amp;BO1206)</f>
        <v>negativer Bestand (Export -2); </v>
      </c>
      <c r="BH1206" s="55"/>
      <c r="BI1206" s="55"/>
      <c r="BJ1206" s="62"/>
      <c r="BK1206" s="57" t="n">
        <v>-2</v>
      </c>
      <c r="BL1206" s="57" t="n">
        <v>6</v>
      </c>
      <c r="BM1206" s="56" t="n">
        <v>-514.58</v>
      </c>
      <c r="BN1206" s="57" t="n">
        <v>5</v>
      </c>
      <c r="BO1206" s="55"/>
      <c r="BP1206" s="60" t="n">
        <v>0</v>
      </c>
      <c r="BQ1206" s="60" t="n">
        <v>1206</v>
      </c>
      <c r="BR1206" s="55" t="str">
        <f aca="false">IF(U1206&lt;&gt;"",UPPER(TRIM(U1206)),IF(BU1206=1,UPPER(VLOOKUP(T1206,Parameter!$I$27:$K$29,2,0)),IF(P1206="","LOSE",P1206)))</f>
        <v>S63</v>
      </c>
      <c r="BS1206" s="57" t="n">
        <f aca="false">IF(BR1206="LOSE",1,IF(N(V1206)&gt;0,V1206,IF(BU1206=1,MAX(1,N(VLOOKUP(T1206,Parameter!$I$27:$K$29,3,0)),H1206,N(N1206)),IF(N(Q1206)&gt;0,Q1206,MAX(1,H1206)))))</f>
        <v>8</v>
      </c>
      <c r="BT1206" s="60" t="n">
        <f aca="false">IF(BR1206="LOSE",1,0)</f>
        <v>0</v>
      </c>
      <c r="BU1206" s="60" t="n">
        <f aca="false">IF(AND(U1206="",OR(P1206="",P1206="LOSE"),T1206&lt;&gt;"",N(S1206)&lt;=0,ISNUMBER(MATCH(T1206,Parameter!$I$27:$I$29,0))),1,0)</f>
        <v>0</v>
      </c>
      <c r="BV1206" s="55" t="str">
        <f aca="false">IF(AND(Parameter!$B$19="Ja",E1206&lt;&gt;"",ISNUMBER(MATCH(E1206,Parameter!$I$35:$I$52,0))),VLOOKUP(E1206,Parameter!$I$35:$J$52,2,0),IFERROR(VLOOKUP(D1206,Parameter!$A$35:$C$64,2,0),"Nein"))</f>
        <v>2+3</v>
      </c>
      <c r="BW1206" s="59" t="n">
        <f aca="false">IF(BT1206=0,0,IF(N(S1206)&gt;0,S1206,IFERROR(VLOOKUP(D1206,Parameter!$A$35:$C$64,3,0)+0,0)))</f>
        <v>0</v>
      </c>
      <c r="BX1206" s="55" t="n">
        <f aca="false">IF(AA1206&lt;&gt;"",AA1206,Z1206)</f>
        <v>2</v>
      </c>
      <c r="BY1206" s="55" t="str">
        <f aca="false">IF(BX1206=1,"L1",IF(OR(BX1206=2,BX1206=3),"L23",IF(BX1206="Aussen","Aussen","-")))</f>
        <v>L23</v>
      </c>
      <c r="BZ1206" s="66" t="n">
        <f aca="false">IF(N(AB1206)&gt;0,AB1206,0)</f>
        <v>0</v>
      </c>
      <c r="CA1206" s="60" t="n">
        <f aca="false">IF(ISNUMBER(AE1206),1,0)</f>
        <v>0</v>
      </c>
      <c r="CB1206" s="57" t="n">
        <f aca="false">N(AE1206)</f>
        <v>0</v>
      </c>
      <c r="CC1206" s="57" t="n">
        <f aca="false">N(M1206)+N(N1206)</f>
        <v>5</v>
      </c>
      <c r="CD1206" s="57" t="n">
        <f aca="false">ROUNDUP(H1206/BS1206,0)</f>
        <v>1</v>
      </c>
      <c r="CE1206" s="57" t="n">
        <f aca="false">ROUNDUP(CB1206/BS1206,0)</f>
        <v>0</v>
      </c>
      <c r="CF1206" s="60" t="n">
        <f aca="false">IF(BT1206=1,0,IFERROR(VLOOKUP(BR1206,'Gebinde-Kategorie'!$A$5:$M$45,5,0)+0,0))</f>
        <v>31</v>
      </c>
      <c r="CG1206" s="60" t="n">
        <f aca="false">IFERROR(IF(OR(BX1206=1,BX1206=2,BX1206=3),N(INDEX(Parameter!$I$5:$I$7,BX1206)),0),0)</f>
        <v>0</v>
      </c>
      <c r="CH1206" s="59" t="n">
        <f aca="false">IF(AND(Parameter!$B$21="Ja",ISNUMBER(W1206),N(X1206)&gt;0),IFERROR(N(INDEX(Parameter!$L$5:$L$7,W1206))*INDEX(Parameter!$E$5:$E$7,W1206)*X1206/SUMIFS($X$7:$X$1843,$W$7:$W$1843,W1206),0),0)</f>
        <v>0</v>
      </c>
    </row>
    <row r="1207" customFormat="false" ht="15" hidden="false" customHeight="false" outlineLevel="0" collapsed="false">
      <c r="A1207" s="55" t="s">
        <v>2168</v>
      </c>
      <c r="B1207" s="55" t="s">
        <v>2169</v>
      </c>
      <c r="C1207" s="55" t="s">
        <v>164</v>
      </c>
      <c r="D1207" s="55" t="s">
        <v>184</v>
      </c>
      <c r="E1207" s="55"/>
      <c r="F1207" s="55" t="s">
        <v>218</v>
      </c>
      <c r="G1207" s="56" t="n">
        <v>103.28</v>
      </c>
      <c r="H1207" s="57" t="n">
        <f aca="false">MAX(0,IF(AND(Parameter!$B$21="Ja",ISNUMBER(Y1207)),Y1207,IF(Parameter!$B$20="Jahresanfang 2025 + Export",BL1207+BK1207,BK1207)))</f>
        <v>18</v>
      </c>
      <c r="I1207" s="57" t="n">
        <f aca="false">H1207*G1207</f>
        <v>1859.04</v>
      </c>
      <c r="J1207" s="57" t="n">
        <f aca="false">BN1207*Parameter!$B$18</f>
        <v>2</v>
      </c>
      <c r="K1207" s="58" t="n">
        <v>22</v>
      </c>
      <c r="L1207" s="59" t="n">
        <v>0.0909090909090909</v>
      </c>
      <c r="M1207" s="57" t="n">
        <v>0</v>
      </c>
      <c r="N1207" s="57" t="n">
        <v>1</v>
      </c>
      <c r="O1207" s="60" t="n">
        <v>21</v>
      </c>
      <c r="P1207" s="55" t="s">
        <v>328</v>
      </c>
      <c r="Q1207" s="57" t="n">
        <v>30</v>
      </c>
      <c r="R1207" s="60" t="n">
        <f aca="false">IF(BT1207=1,0,IFERROR(VLOOKUP(BR1207,'Gebinde-Kategorie'!$A$5:$M$45,13,0)+0,0))</f>
        <v>52</v>
      </c>
      <c r="S1207" s="61"/>
      <c r="T1207" s="62"/>
      <c r="U1207" s="62"/>
      <c r="V1207" s="62"/>
      <c r="W1207" s="55"/>
      <c r="X1207" s="57"/>
      <c r="Y1207" s="57"/>
      <c r="Z1207" s="55" t="n">
        <f aca="false">IF(A1207="","",IF(AND(Parameter!$B$21="Ja",ISNUMBER(W1207)),W1207,IF(BV1207="2+3",IF(ISNUMBER(SEARCH("grosser Artikel",BO1207)),2,IFERROR(VLOOKUP(BR1207,Parameter!$F$35:$G$64,2,0),2)),IF(OR(BV1207="Nein",BV1207=""),"-",BV1207))))</f>
        <v>3</v>
      </c>
      <c r="AA1207" s="62"/>
      <c r="AB1207" s="63"/>
      <c r="AC1207" s="57" t="n">
        <f aca="false">AR1207</f>
        <v>30</v>
      </c>
      <c r="AD1207" s="57" t="n">
        <f aca="false">MAX(AR1207,H1207)</f>
        <v>30</v>
      </c>
      <c r="AE1207" s="64"/>
      <c r="AF1207" s="57" t="n">
        <f aca="false">IF(LEFT(Cockpit!$C$5,1)="A",H1207,IF(CA1207=1,CB1207,IF(LEFT(Cockpit!$C$5,1)="B",AJ1207,MAX(AJ1207,H1207))))</f>
        <v>18</v>
      </c>
      <c r="AG1207" s="57" t="n">
        <f aca="false">IF(BT1207=1,0,ROUNDUP(AF1207/BS1207,0))</f>
        <v>1</v>
      </c>
      <c r="AH1207" s="59" t="n">
        <f aca="false">IF(CH1207&gt;0,CH1207*MAX(1,AF1207/X1207),IF(BT1207=1,IF(AF1207&lt;=0,0,BW1207*MAX(1,IF(H1207&gt;0,AF1207/H1207,1))),IF(R1207&gt;0,AG1207/R1207,0))/MAX(0.1,N(Parameter!$M$21)))</f>
        <v>0.0192307692307692</v>
      </c>
      <c r="AI1207" s="57" t="n">
        <f aca="false">AF1207*G1207</f>
        <v>1859.04</v>
      </c>
      <c r="AJ1207" s="57" t="n">
        <f aca="false">ROUNDUP(MAX(J1207/IF(BZ1207&gt;0,BZ1207,MAX(0.1,N(Cockpit!$C$6))),CC1207)/BS1207,0)*BS1207</f>
        <v>30</v>
      </c>
      <c r="AK1207" s="58" t="n">
        <f aca="false">IF(AH1207&gt;0,J1207/AH1207,-1)</f>
        <v>104</v>
      </c>
      <c r="AL1207" s="58" t="n">
        <f aca="false">IF(AND(OR(BY1207="L1",BY1207="L23"),AH1207&gt;0),SUMIFS($AH$7:$AH$1843,$BY$7:$BY$1843,BY1207,$AK$7:$AK$1843,"&gt;"&amp;AK1207)+SUMIFS($AH$7:$AH$1843,$BY$7:$BY$1843,BY1207,$AK$7:$AK$1843,AK1207,$BQ$7:$BQ$1843,"&lt;="&amp;BQ1207),"")</f>
        <v>38.7841795885274</v>
      </c>
      <c r="AM1207" s="65" t="n">
        <f aca="false">IF(AL1207="",0,MAX(0,MIN(1,(IF(BY1207="L1",Parameter!$E$5,Parameter!$E$6+Parameter!$E$7)-(AL1207-AH1207))/AH1207)))</f>
        <v>1</v>
      </c>
      <c r="AN1207" s="57" t="n">
        <f aca="false">IF(LEFT(Cockpit!$I$5,1)="A",H1207,IF(CA1207=1,CB1207,IF(LEFT(Cockpit!$I$5,1)="B",AR1207,MAX(AR1207,H1207))))</f>
        <v>30</v>
      </c>
      <c r="AO1207" s="57" t="n">
        <f aca="false">IF(BT1207=1,0,ROUNDUP(AN1207/BS1207,0))</f>
        <v>1</v>
      </c>
      <c r="AP1207" s="59" t="n">
        <f aca="false">IF(CH1207&gt;0,CH1207*MAX(1,AN1207/X1207),IF(BT1207=1,IF(AN1207&lt;=0,0,BW1207*MAX(1,IF(H1207&gt;0,AN1207/H1207,1))),IF(R1207&gt;0,AO1207/R1207,0))/MAX(0.1,N(Parameter!$M$21)))</f>
        <v>0.0192307692307692</v>
      </c>
      <c r="AQ1207" s="57" t="n">
        <f aca="false">AN1207*G1207</f>
        <v>3098.4</v>
      </c>
      <c r="AR1207" s="57" t="n">
        <f aca="false">ROUNDUP(MAX(J1207/IF(BZ1207&gt;0,BZ1207,MAX(0.1,N(Cockpit!$I$6))),CC1207)/BS1207,0)*BS1207</f>
        <v>30</v>
      </c>
      <c r="AS1207" s="58" t="n">
        <f aca="false">IF(AP1207&gt;0,J1207/AP1207,-1)</f>
        <v>104</v>
      </c>
      <c r="AT1207" s="58" t="n">
        <f aca="false">IF(AND(OR(BY1207="L1",BY1207="L23"),AP1207&gt;0),SUMIFS($AP$7:$AP$1843,$BY$7:$BY$1843,BY1207,$AS$7:$AS$1843,"&gt;"&amp;AS1207)+SUMIFS($AP$7:$AP$1843,$BY$7:$BY$1843,BY1207,$AS$7:$AS$1843,AS1207,$BQ$7:$BQ$1843,"&lt;="&amp;BQ1207),"")</f>
        <v>56.6383737035911</v>
      </c>
      <c r="AU1207" s="65" t="n">
        <f aca="false">IF(AT1207="",0,MAX(0,MIN(1,(IF(BY1207="L1",Parameter!$E$5,Parameter!$E$6+Parameter!$E$7)-(AT1207-AP1207))/AP1207)))</f>
        <v>1</v>
      </c>
      <c r="AV1207" s="57" t="n">
        <f aca="false">IF(LEFT(Cockpit!$O$5,1)="A",H1207,IF(CA1207=1,CB1207,IF(LEFT(Cockpit!$O$5,1)="B",AZ1207,MAX(AZ1207,H1207))))</f>
        <v>30</v>
      </c>
      <c r="AW1207" s="57" t="n">
        <f aca="false">IF(BT1207=1,0,ROUNDUP(AV1207/BS1207,0))</f>
        <v>1</v>
      </c>
      <c r="AX1207" s="59" t="n">
        <f aca="false">IF(CH1207&gt;0,CH1207*MAX(1,AV1207/X1207),IF(BT1207=1,IF(AV1207&lt;=0,0,BW1207*MAX(1,IF(H1207&gt;0,AV1207/H1207,1))),IF(R1207&gt;0,AW1207/R1207,0))/MAX(0.1,N(Parameter!$M$21)))</f>
        <v>0.0192307692307692</v>
      </c>
      <c r="AY1207" s="57" t="n">
        <f aca="false">AV1207*G1207</f>
        <v>3098.4</v>
      </c>
      <c r="AZ1207" s="57" t="n">
        <f aca="false">ROUNDUP(MAX(J1207/IF(BZ1207&gt;0,BZ1207,MAX(0.1,N(Cockpit!$O$6))),CC1207)/BS1207,0)*BS1207</f>
        <v>30</v>
      </c>
      <c r="BA1207" s="58" t="n">
        <f aca="false">IF(AX1207&gt;0,J1207/AX1207,-1)</f>
        <v>104</v>
      </c>
      <c r="BB1207" s="58" t="n">
        <f aca="false">IF(AND(OR(BY1207="L1",BY1207="L23"),AX1207&gt;0),SUMIFS($AX$7:$AX$1843,$BY$7:$BY$1843,BY1207,$BA$7:$BA$1843,"&gt;"&amp;BA1207)+SUMIFS($AX$7:$AX$1843,$BY$7:$BY$1843,BY1207,$BA$7:$BA$1843,BA1207,$BQ$7:$BQ$1843,"&lt;="&amp;BQ1207),"")</f>
        <v>54.4682105334279</v>
      </c>
      <c r="BC1207" s="65" t="n">
        <f aca="false">IF(BB1207="",0,MAX(0,MIN(1,(IF(BY1207="L1",Parameter!$E$5,Parameter!$E$6+Parameter!$E$7)-(BB1207-AX1207))/AX1207)))</f>
        <v>1</v>
      </c>
      <c r="BD1207" s="55" t="str">
        <f aca="false">IF(AH1207&lt;=0,"",IF(BY1207="Aussen","Aussenlager",IF(BY1207="-","Nicht im Lift",IF(AM1207&gt;=1,"Lift",IF(AM1207&lt;=0,"Aussenlager","teilweise")))))</f>
        <v>Lift</v>
      </c>
      <c r="BE1207" s="55" t="str">
        <f aca="false">IF(AP1207&lt;=0,"",IF(BY1207="Aussen","Aussenlager",IF(BY1207="-","Nicht im Lift",IF(AU1207&gt;=1,"Lift",IF(AU1207&lt;=0,"Aussenlager","teilweise")))))</f>
        <v>Lift</v>
      </c>
      <c r="BF1207" s="55" t="str">
        <f aca="false">IF(AX1207&lt;=0,"",IF(BY1207="Aussen","Aussenlager",IF(BY1207="-","Nicht im Lift",IF(BC1207&gt;=1,"Lift",IF(BC1207&lt;=0,"Aussenlager","teilweise")))))</f>
        <v>Lift</v>
      </c>
      <c r="BG1207" s="55" t="str">
        <f aca="false">IF(A1207="","",IF(BP1207=1,"Neu; ","")&amp;IF(AND(BP1207=0,BK1207&lt;0),"negativer Bestand (Export "&amp;BK1207&amp;"); ","")&amp;IF(J1207&lt;=0,"Kein Verbrauch; ","")&amp;IF(CH1207&gt;0,"Lift "&amp;W1207&amp;" lt. Liftbericht (Fach "&amp;X1207&amp;" Stk); ",IF(BU1207=1,"Gebinde geschätzt ("&amp;T1207&amp;"); ",IF(BT1207=1,"Lose – Tablare geschätzt; ","")))&amp;IF(H1207&gt;AR1207,"Überbestand "&amp;ROUND(H1207-AR1207,0)&amp;" Stk / CHF "&amp;ROUND((H1207-AR1207)*G1207,0)&amp;"; ","")&amp;IF(AND(CA1207=1,CB1207&lt;CC1207),"MAX &lt; MB+LG; ","")&amp;IF(AND(CG1207&gt;0,CF1207*10&gt;CG1207),"zu hoch für Tablar; ","")&amp;IF(AND(BP1207=0,OR(CA1207=1,AA1207&lt;&gt;"",U1207&lt;&gt;"",V1207&lt;&gt;"",AB1207&lt;&gt;"")),"manuell übersteuert; ","")&amp;IF(AND(BT1207=0,R1207=0),"Gebinde unbekannt / Stellmass fehlt; ","")&amp;IF(AND(BT1207=0,N(V1207)&lt;=0,N(Q1207)&lt;=0),"Menge pro Gebinde fehlt (Ist = 1 Gebinde); ","")&amp;BO1207)</f>
        <v>negativer Bestand (Export -5); </v>
      </c>
      <c r="BH1207" s="55"/>
      <c r="BI1207" s="55"/>
      <c r="BJ1207" s="62"/>
      <c r="BK1207" s="57" t="n">
        <v>-5</v>
      </c>
      <c r="BL1207" s="57" t="n">
        <v>23</v>
      </c>
      <c r="BM1207" s="56" t="n">
        <v>-516.4</v>
      </c>
      <c r="BN1207" s="57" t="n">
        <v>2</v>
      </c>
      <c r="BO1207" s="55"/>
      <c r="BP1207" s="60" t="n">
        <v>0</v>
      </c>
      <c r="BQ1207" s="60" t="n">
        <v>1207</v>
      </c>
      <c r="BR1207" s="55" t="str">
        <f aca="false">IF(U1207&lt;&gt;"",UPPER(TRIM(U1207)),IF(BU1207=1,UPPER(VLOOKUP(T1207,Parameter!$I$27:$K$29,2,0)),IF(P1207="","LOSE",P1207)))</f>
        <v>S41</v>
      </c>
      <c r="BS1207" s="57" t="n">
        <f aca="false">IF(BR1207="LOSE",1,IF(N(V1207)&gt;0,V1207,IF(BU1207=1,MAX(1,N(VLOOKUP(T1207,Parameter!$I$27:$K$29,3,0)),H1207,N(N1207)),IF(N(Q1207)&gt;0,Q1207,MAX(1,H1207)))))</f>
        <v>30</v>
      </c>
      <c r="BT1207" s="60" t="n">
        <f aca="false">IF(BR1207="LOSE",1,0)</f>
        <v>0</v>
      </c>
      <c r="BU1207" s="60" t="n">
        <f aca="false">IF(AND(U1207="",OR(P1207="",P1207="LOSE"),T1207&lt;&gt;"",N(S1207)&lt;=0,ISNUMBER(MATCH(T1207,Parameter!$I$27:$I$29,0))),1,0)</f>
        <v>0</v>
      </c>
      <c r="BV1207" s="55" t="str">
        <f aca="false">IF(AND(Parameter!$B$19="Ja",E1207&lt;&gt;"",ISNUMBER(MATCH(E1207,Parameter!$I$35:$I$52,0))),VLOOKUP(E1207,Parameter!$I$35:$J$52,2,0),IFERROR(VLOOKUP(D1207,Parameter!$A$35:$C$64,2,0),"Nein"))</f>
        <v>2+3</v>
      </c>
      <c r="BW1207" s="59" t="n">
        <f aca="false">IF(BT1207=0,0,IF(N(S1207)&gt;0,S1207,IFERROR(VLOOKUP(D1207,Parameter!$A$35:$C$64,3,0)+0,0)))</f>
        <v>0</v>
      </c>
      <c r="BX1207" s="55" t="n">
        <f aca="false">IF(AA1207&lt;&gt;"",AA1207,Z1207)</f>
        <v>3</v>
      </c>
      <c r="BY1207" s="55" t="str">
        <f aca="false">IF(BX1207=1,"L1",IF(OR(BX1207=2,BX1207=3),"L23",IF(BX1207="Aussen","Aussen","-")))</f>
        <v>L23</v>
      </c>
      <c r="BZ1207" s="66" t="n">
        <f aca="false">IF(N(AB1207)&gt;0,AB1207,0)</f>
        <v>0</v>
      </c>
      <c r="CA1207" s="60" t="n">
        <f aca="false">IF(ISNUMBER(AE1207),1,0)</f>
        <v>0</v>
      </c>
      <c r="CB1207" s="57" t="n">
        <f aca="false">N(AE1207)</f>
        <v>0</v>
      </c>
      <c r="CC1207" s="57" t="n">
        <f aca="false">N(M1207)+N(N1207)</f>
        <v>1</v>
      </c>
      <c r="CD1207" s="57" t="n">
        <f aca="false">ROUNDUP(H1207/BS1207,0)</f>
        <v>1</v>
      </c>
      <c r="CE1207" s="57" t="n">
        <f aca="false">ROUNDUP(CB1207/BS1207,0)</f>
        <v>0</v>
      </c>
      <c r="CF1207" s="60" t="n">
        <f aca="false">IF(BT1207=1,0,IFERROR(VLOOKUP(BR1207,'Gebinde-Kategorie'!$A$5:$M$45,5,0)+0,0))</f>
        <v>11</v>
      </c>
      <c r="CG1207" s="60" t="n">
        <f aca="false">IFERROR(IF(OR(BX1207=1,BX1207=2,BX1207=3),N(INDEX(Parameter!$I$5:$I$7,BX1207)),0),0)</f>
        <v>0</v>
      </c>
      <c r="CH1207" s="59" t="n">
        <f aca="false">IF(AND(Parameter!$B$21="Ja",ISNUMBER(W1207),N(X1207)&gt;0),IFERROR(N(INDEX(Parameter!$L$5:$L$7,W1207))*INDEX(Parameter!$E$5:$E$7,W1207)*X1207/SUMIFS($X$7:$X$1843,$W$7:$W$1843,W1207),0),0)</f>
        <v>0</v>
      </c>
    </row>
    <row r="1208" customFormat="false" ht="15" hidden="false" customHeight="false" outlineLevel="0" collapsed="false">
      <c r="A1208" s="55" t="s">
        <v>2170</v>
      </c>
      <c r="B1208" s="55" t="s">
        <v>297</v>
      </c>
      <c r="C1208" s="55" t="s">
        <v>164</v>
      </c>
      <c r="D1208" s="55" t="s">
        <v>165</v>
      </c>
      <c r="E1208" s="55" t="s">
        <v>166</v>
      </c>
      <c r="F1208" s="55" t="s">
        <v>218</v>
      </c>
      <c r="G1208" s="56" t="n">
        <v>257.76</v>
      </c>
      <c r="H1208" s="57" t="n">
        <f aca="false">MAX(0,IF(AND(Parameter!$B$21="Ja",ISNUMBER(Y1208)),Y1208,IF(Parameter!$B$20="Jahresanfang 2025 + Export",BL1208+BK1208,BK1208)))</f>
        <v>16</v>
      </c>
      <c r="I1208" s="57" t="n">
        <f aca="false">H1208*G1208</f>
        <v>4124.16</v>
      </c>
      <c r="J1208" s="57" t="n">
        <f aca="false">BN1208*Parameter!$B$18</f>
        <v>16</v>
      </c>
      <c r="K1208" s="58" t="n">
        <v>25.5</v>
      </c>
      <c r="L1208" s="59" t="n">
        <v>0.627450980392157</v>
      </c>
      <c r="M1208" s="57" t="n">
        <v>3</v>
      </c>
      <c r="N1208" s="57" t="n">
        <v>10</v>
      </c>
      <c r="O1208" s="60" t="n">
        <v>70</v>
      </c>
      <c r="P1208" s="55" t="s">
        <v>168</v>
      </c>
      <c r="Q1208" s="57"/>
      <c r="R1208" s="60" t="n">
        <f aca="false">IF(BT1208=1,0,IFERROR(VLOOKUP(BR1208,'Gebinde-Kategorie'!$A$5:$M$45,13,0)+0,0))</f>
        <v>0</v>
      </c>
      <c r="S1208" s="61"/>
      <c r="T1208" s="62"/>
      <c r="U1208" s="62"/>
      <c r="V1208" s="62"/>
      <c r="W1208" s="55" t="n">
        <v>1</v>
      </c>
      <c r="X1208" s="57" t="n">
        <v>35</v>
      </c>
      <c r="Y1208" s="57" t="n">
        <v>16</v>
      </c>
      <c r="Z1208" s="55" t="n">
        <f aca="false">IF(A1208="","",IF(AND(Parameter!$B$21="Ja",ISNUMBER(W1208)),W1208,IF(BV1208="2+3",IF(ISNUMBER(SEARCH("grosser Artikel",BO1208)),2,IFERROR(VLOOKUP(BR1208,Parameter!$F$35:$G$64,2,0),2)),IF(OR(BV1208="Nein",BV1208=""),"-",BV1208))))</f>
        <v>1</v>
      </c>
      <c r="AA1208" s="62"/>
      <c r="AB1208" s="63"/>
      <c r="AC1208" s="57" t="n">
        <f aca="false">AR1208</f>
        <v>13</v>
      </c>
      <c r="AD1208" s="57" t="n">
        <f aca="false">MAX(AR1208,H1208)</f>
        <v>16</v>
      </c>
      <c r="AE1208" s="64"/>
      <c r="AF1208" s="57" t="n">
        <f aca="false">IF(LEFT(Cockpit!$C$5,1)="A",H1208,IF(CA1208=1,CB1208,IF(LEFT(Cockpit!$C$5,1)="B",AJ1208,MAX(AJ1208,H1208))))</f>
        <v>16</v>
      </c>
      <c r="AG1208" s="57" t="n">
        <f aca="false">IF(BT1208=1,0,ROUNDUP(AF1208/BS1208,0))</f>
        <v>0</v>
      </c>
      <c r="AH1208" s="59" t="n">
        <f aca="false">IF(CH1208&gt;0,CH1208*MAX(1,AF1208/X1208),IF(BT1208=1,IF(AF1208&lt;=0,0,BW1208*MAX(1,IF(H1208&gt;0,AF1208/H1208,1))),IF(R1208&gt;0,AG1208/R1208,0))/MAX(0.1,N(Parameter!$M$21)))</f>
        <v>2.80131826741996</v>
      </c>
      <c r="AI1208" s="57" t="n">
        <f aca="false">AF1208*G1208</f>
        <v>4124.16</v>
      </c>
      <c r="AJ1208" s="57" t="n">
        <f aca="false">ROUNDUP(MAX(J1208/IF(BZ1208&gt;0,BZ1208,MAX(0.1,N(Cockpit!$C$6))),CC1208)/BS1208,0)*BS1208</f>
        <v>13</v>
      </c>
      <c r="AK1208" s="58" t="n">
        <f aca="false">IF(AH1208&gt;0,J1208/AH1208,-1)</f>
        <v>5.71159663865546</v>
      </c>
      <c r="AL1208" s="58" t="n">
        <f aca="false">IF(AND(OR(BY1208="L1",BY1208="L23"),AH1208&gt;0),SUMIFS($AH$7:$AH$1843,$BY$7:$BY$1843,BY1208,$AK$7:$AK$1843,"&gt;"&amp;AK1208)+SUMIFS($AH$7:$AH$1843,$BY$7:$BY$1843,BY1208,$AK$7:$AK$1843,AK1208,$BQ$7:$BQ$1843,"&lt;="&amp;BQ1208),"")</f>
        <v>41.0587457249211</v>
      </c>
      <c r="AM1208" s="65" t="n">
        <f aca="false">IF(AL1208="",0,MAX(0,MIN(1,(IF(BY1208="L1",Parameter!$E$5,Parameter!$E$6+Parameter!$E$7)-(AL1208-AH1208))/AH1208)))</f>
        <v>1</v>
      </c>
      <c r="AN1208" s="57" t="n">
        <f aca="false">IF(LEFT(Cockpit!$I$5,1)="A",H1208,IF(CA1208=1,CB1208,IF(LEFT(Cockpit!$I$5,1)="B",AR1208,MAX(AR1208,H1208))))</f>
        <v>16</v>
      </c>
      <c r="AO1208" s="57" t="n">
        <f aca="false">IF(BT1208=1,0,ROUNDUP(AN1208/BS1208,0))</f>
        <v>0</v>
      </c>
      <c r="AP1208" s="59" t="n">
        <f aca="false">IF(CH1208&gt;0,CH1208*MAX(1,AN1208/X1208),IF(BT1208=1,IF(AN1208&lt;=0,0,BW1208*MAX(1,IF(H1208&gt;0,AN1208/H1208,1))),IF(R1208&gt;0,AO1208/R1208,0))/MAX(0.1,N(Parameter!$M$21)))</f>
        <v>2.80131826741996</v>
      </c>
      <c r="AQ1208" s="57" t="n">
        <f aca="false">AN1208*G1208</f>
        <v>4124.16</v>
      </c>
      <c r="AR1208" s="57" t="n">
        <f aca="false">ROUNDUP(MAX(J1208/IF(BZ1208&gt;0,BZ1208,MAX(0.1,N(Cockpit!$I$6))),CC1208)/BS1208,0)*BS1208</f>
        <v>13</v>
      </c>
      <c r="AS1208" s="58" t="n">
        <f aca="false">IF(AP1208&gt;0,J1208/AP1208,-1)</f>
        <v>5.71159663865546</v>
      </c>
      <c r="AT1208" s="58" t="n">
        <f aca="false">IF(AND(OR(BY1208="L1",BY1208="L23"),AP1208&gt;0),SUMIFS($AP$7:$AP$1843,$BY$7:$BY$1843,BY1208,$AS$7:$AS$1843,"&gt;"&amp;AS1208)+SUMIFS($AP$7:$AP$1843,$BY$7:$BY$1843,BY1208,$AS$7:$AS$1843,AS1208,$BQ$7:$BQ$1843,"&lt;="&amp;BQ1208),"")</f>
        <v>56.4115633404506</v>
      </c>
      <c r="AU1208" s="65" t="n">
        <f aca="false">IF(AT1208="",0,MAX(0,MIN(1,(IF(BY1208="L1",Parameter!$E$5,Parameter!$E$6+Parameter!$E$7)-(AT1208-AP1208))/AP1208)))</f>
        <v>0</v>
      </c>
      <c r="AV1208" s="57" t="n">
        <f aca="false">IF(LEFT(Cockpit!$O$5,1)="A",H1208,IF(CA1208=1,CB1208,IF(LEFT(Cockpit!$O$5,1)="B",AZ1208,MAX(AZ1208,H1208))))</f>
        <v>16</v>
      </c>
      <c r="AW1208" s="57" t="n">
        <f aca="false">IF(BT1208=1,0,ROUNDUP(AV1208/BS1208,0))</f>
        <v>0</v>
      </c>
      <c r="AX1208" s="59" t="n">
        <f aca="false">IF(CH1208&gt;0,CH1208*MAX(1,AV1208/X1208),IF(BT1208=1,IF(AV1208&lt;=0,0,BW1208*MAX(1,IF(H1208&gt;0,AV1208/H1208,1))),IF(R1208&gt;0,AW1208/R1208,0))/MAX(0.1,N(Parameter!$M$21)))</f>
        <v>2.80131826741996</v>
      </c>
      <c r="AY1208" s="57" t="n">
        <f aca="false">AV1208*G1208</f>
        <v>4124.16</v>
      </c>
      <c r="AZ1208" s="57" t="n">
        <f aca="false">ROUNDUP(MAX(J1208/IF(BZ1208&gt;0,BZ1208,MAX(0.1,N(Cockpit!$O$6))),CC1208)/BS1208,0)*BS1208</f>
        <v>13</v>
      </c>
      <c r="BA1208" s="58" t="n">
        <f aca="false">IF(AX1208&gt;0,J1208/AX1208,-1)</f>
        <v>5.71159663865546</v>
      </c>
      <c r="BB1208" s="58" t="n">
        <f aca="false">IF(AND(OR(BY1208="L1",BY1208="L23"),AX1208&gt;0),SUMIFS($AX$7:$AX$1843,$BY$7:$BY$1843,BY1208,$BA$7:$BA$1843,"&gt;"&amp;BA1208)+SUMIFS($AX$7:$AX$1843,$BY$7:$BY$1843,BY1208,$BA$7:$BA$1843,BA1208,$BQ$7:$BQ$1843,"&lt;="&amp;BQ1208),"")</f>
        <v>50.0783748716689</v>
      </c>
      <c r="BC1208" s="65" t="n">
        <f aca="false">IF(BB1208="",0,MAX(0,MIN(1,(IF(BY1208="L1",Parameter!$E$5,Parameter!$E$6+Parameter!$E$7)-(BB1208-AX1208))/AX1208)))</f>
        <v>0.972022146651303</v>
      </c>
      <c r="BD1208" s="55" t="str">
        <f aca="false">IF(AH1208&lt;=0,"",IF(BY1208="Aussen","Aussenlager",IF(BY1208="-","Nicht im Lift",IF(AM1208&gt;=1,"Lift",IF(AM1208&lt;=0,"Aussenlager","teilweise")))))</f>
        <v>Lift</v>
      </c>
      <c r="BE1208" s="55" t="str">
        <f aca="false">IF(AP1208&lt;=0,"",IF(BY1208="Aussen","Aussenlager",IF(BY1208="-","Nicht im Lift",IF(AU1208&gt;=1,"Lift",IF(AU1208&lt;=0,"Aussenlager","teilweise")))))</f>
        <v>Aussenlager</v>
      </c>
      <c r="BF1208" s="55" t="str">
        <f aca="false">IF(AX1208&lt;=0,"",IF(BY1208="Aussen","Aussenlager",IF(BY1208="-","Nicht im Lift",IF(BC1208&gt;=1,"Lift",IF(BC1208&lt;=0,"Aussenlager","teilweise")))))</f>
        <v>teilweise</v>
      </c>
      <c r="BG1208" s="55" t="str">
        <f aca="false">IF(A1208="","",IF(BP1208=1,"Neu; ","")&amp;IF(AND(BP1208=0,BK1208&lt;0),"negativer Bestand (Export "&amp;BK1208&amp;"); ","")&amp;IF(J1208&lt;=0,"Kein Verbrauch; ","")&amp;IF(CH1208&gt;0,"Lift "&amp;W1208&amp;" lt. Liftbericht (Fach "&amp;X1208&amp;" Stk); ",IF(BU1208=1,"Gebinde geschätzt ("&amp;T1208&amp;"); ",IF(BT1208=1,"Lose – Tablare geschätzt; ","")))&amp;IF(H1208&gt;AR1208,"Überbestand "&amp;ROUND(H1208-AR1208,0)&amp;" Stk / CHF "&amp;ROUND((H1208-AR1208)*G1208,0)&amp;"; ","")&amp;IF(AND(CA1208=1,CB1208&lt;CC1208),"MAX &lt; MB+LG; ","")&amp;IF(AND(CG1208&gt;0,CF1208*10&gt;CG1208),"zu hoch für Tablar; ","")&amp;IF(AND(BP1208=0,OR(CA1208=1,AA1208&lt;&gt;"",U1208&lt;&gt;"",V1208&lt;&gt;"",AB1208&lt;&gt;"")),"manuell übersteuert; ","")&amp;IF(AND(BT1208=0,R1208=0),"Gebinde unbekannt / Stellmass fehlt; ","")&amp;IF(AND(BT1208=0,N(V1208)&lt;=0,N(Q1208)&lt;=0),"Menge pro Gebinde fehlt (Ist = 1 Gebinde); ","")&amp;BO1208)</f>
        <v>negativer Bestand (Export -3); Lift 1 lt. Liftbericht (Fach 35 Stk); Überbestand 3 Stk / CHF 773; </v>
      </c>
      <c r="BH1208" s="55"/>
      <c r="BI1208" s="55"/>
      <c r="BJ1208" s="62"/>
      <c r="BK1208" s="57" t="n">
        <v>-3</v>
      </c>
      <c r="BL1208" s="57" t="n">
        <v>21</v>
      </c>
      <c r="BM1208" s="56" t="n">
        <v>-516.87</v>
      </c>
      <c r="BN1208" s="57" t="n">
        <v>16</v>
      </c>
      <c r="BO1208" s="55"/>
      <c r="BP1208" s="60" t="n">
        <v>0</v>
      </c>
      <c r="BQ1208" s="60" t="n">
        <v>1208</v>
      </c>
      <c r="BR1208" s="55" t="str">
        <f aca="false">IF(U1208&lt;&gt;"",UPPER(TRIM(U1208)),IF(BU1208=1,UPPER(VLOOKUP(T1208,Parameter!$I$27:$K$29,2,0)),IF(P1208="","LOSE",P1208)))</f>
        <v>LOSE</v>
      </c>
      <c r="BS1208" s="57" t="n">
        <f aca="false">IF(BR1208="LOSE",1,IF(N(V1208)&gt;0,V1208,IF(BU1208=1,MAX(1,N(VLOOKUP(T1208,Parameter!$I$27:$K$29,3,0)),H1208,N(N1208)),IF(N(Q1208)&gt;0,Q1208,MAX(1,H1208)))))</f>
        <v>1</v>
      </c>
      <c r="BT1208" s="60" t="n">
        <f aca="false">IF(BR1208="LOSE",1,0)</f>
        <v>1</v>
      </c>
      <c r="BU1208" s="60" t="n">
        <f aca="false">IF(AND(U1208="",OR(P1208="",P1208="LOSE"),T1208&lt;&gt;"",N(S1208)&lt;=0,ISNUMBER(MATCH(T1208,Parameter!$I$27:$I$29,0))),1,0)</f>
        <v>0</v>
      </c>
      <c r="BV1208" s="55" t="n">
        <f aca="false">IF(AND(Parameter!$B$19="Ja",E1208&lt;&gt;"",ISNUMBER(MATCH(E1208,Parameter!$I$35:$I$52,0))),VLOOKUP(E1208,Parameter!$I$35:$J$52,2,0),IFERROR(VLOOKUP(D1208,Parameter!$A$35:$C$64,2,0),"Nein"))</f>
        <v>1</v>
      </c>
      <c r="BW1208" s="59" t="n">
        <f aca="false">IF(BT1208=0,0,IF(N(S1208)&gt;0,S1208,IFERROR(VLOOKUP(D1208,Parameter!$A$35:$C$64,3,0)+0,0)))</f>
        <v>1</v>
      </c>
      <c r="BX1208" s="55" t="n">
        <f aca="false">IF(AA1208&lt;&gt;"",AA1208,Z1208)</f>
        <v>1</v>
      </c>
      <c r="BY1208" s="55" t="str">
        <f aca="false">IF(BX1208=1,"L1",IF(OR(BX1208=2,BX1208=3),"L23",IF(BX1208="Aussen","Aussen","-")))</f>
        <v>L1</v>
      </c>
      <c r="BZ1208" s="66" t="n">
        <f aca="false">IF(N(AB1208)&gt;0,AB1208,0)</f>
        <v>0</v>
      </c>
      <c r="CA1208" s="60" t="n">
        <f aca="false">IF(ISNUMBER(AE1208),1,0)</f>
        <v>0</v>
      </c>
      <c r="CB1208" s="57" t="n">
        <f aca="false">N(AE1208)</f>
        <v>0</v>
      </c>
      <c r="CC1208" s="57" t="n">
        <f aca="false">N(M1208)+N(N1208)</f>
        <v>13</v>
      </c>
      <c r="CD1208" s="57" t="n">
        <f aca="false">ROUNDUP(H1208/BS1208,0)</f>
        <v>16</v>
      </c>
      <c r="CE1208" s="57" t="n">
        <f aca="false">ROUNDUP(CB1208/BS1208,0)</f>
        <v>0</v>
      </c>
      <c r="CF1208" s="60" t="n">
        <f aca="false">IF(BT1208=1,0,IFERROR(VLOOKUP(BR1208,'Gebinde-Kategorie'!$A$5:$M$45,5,0)+0,0))</f>
        <v>0</v>
      </c>
      <c r="CG1208" s="60" t="n">
        <f aca="false">IFERROR(IF(OR(BX1208=1,BX1208=2,BX1208=3),N(INDEX(Parameter!$I$5:$I$7,BX1208)),0),0)</f>
        <v>0</v>
      </c>
      <c r="CH1208" s="59" t="n">
        <f aca="false">IF(AND(Parameter!$B$21="Ja",ISNUMBER(W1208),N(X1208)&gt;0),IFERROR(N(INDEX(Parameter!$L$5:$L$7,W1208))*INDEX(Parameter!$E$5:$E$7,W1208)*X1208/SUMIFS($X$7:$X$1843,$W$7:$W$1843,W1208),0),0)</f>
        <v>2.80131826741996</v>
      </c>
    </row>
    <row r="1209" customFormat="false" ht="15" hidden="false" customHeight="false" outlineLevel="0" collapsed="false">
      <c r="A1209" s="55" t="s">
        <v>2171</v>
      </c>
      <c r="B1209" s="55" t="s">
        <v>2172</v>
      </c>
      <c r="C1209" s="55" t="s">
        <v>164</v>
      </c>
      <c r="D1209" s="55" t="s">
        <v>184</v>
      </c>
      <c r="E1209" s="55"/>
      <c r="F1209" s="55" t="s">
        <v>218</v>
      </c>
      <c r="G1209" s="56" t="n">
        <v>519.59</v>
      </c>
      <c r="H1209" s="57" t="n">
        <f aca="false">MAX(0,IF(AND(Parameter!$B$21="Ja",ISNUMBER(Y1209)),Y1209,IF(Parameter!$B$20="Jahresanfang 2025 + Export",BL1209+BK1209,BK1209)))</f>
        <v>7</v>
      </c>
      <c r="I1209" s="57" t="n">
        <f aca="false">H1209*G1209</f>
        <v>3637.13</v>
      </c>
      <c r="J1209" s="57" t="n">
        <f aca="false">BN1209*Parameter!$B$18</f>
        <v>0</v>
      </c>
      <c r="K1209" s="58" t="n">
        <v>7.5</v>
      </c>
      <c r="L1209" s="59" t="n">
        <v>0</v>
      </c>
      <c r="M1209" s="57" t="n">
        <v>0</v>
      </c>
      <c r="N1209" s="57" t="n">
        <v>1</v>
      </c>
      <c r="O1209" s="60" t="n">
        <v>70</v>
      </c>
      <c r="P1209" s="55" t="s">
        <v>328</v>
      </c>
      <c r="Q1209" s="57" t="n">
        <v>10</v>
      </c>
      <c r="R1209" s="60" t="n">
        <f aca="false">IF(BT1209=1,0,IFERROR(VLOOKUP(BR1209,'Gebinde-Kategorie'!$A$5:$M$45,13,0)+0,0))</f>
        <v>52</v>
      </c>
      <c r="S1209" s="61"/>
      <c r="T1209" s="62"/>
      <c r="U1209" s="62"/>
      <c r="V1209" s="62"/>
      <c r="W1209" s="55"/>
      <c r="X1209" s="57"/>
      <c r="Y1209" s="57"/>
      <c r="Z1209" s="55" t="n">
        <f aca="false">IF(A1209="","",IF(AND(Parameter!$B$21="Ja",ISNUMBER(W1209)),W1209,IF(BV1209="2+3",IF(ISNUMBER(SEARCH("grosser Artikel",BO1209)),2,IFERROR(VLOOKUP(BR1209,Parameter!$F$35:$G$64,2,0),2)),IF(OR(BV1209="Nein",BV1209=""),"-",BV1209))))</f>
        <v>3</v>
      </c>
      <c r="AA1209" s="62"/>
      <c r="AB1209" s="63"/>
      <c r="AC1209" s="57" t="n">
        <f aca="false">AR1209</f>
        <v>10</v>
      </c>
      <c r="AD1209" s="57" t="n">
        <f aca="false">MAX(AR1209,H1209)</f>
        <v>10</v>
      </c>
      <c r="AE1209" s="64"/>
      <c r="AF1209" s="57" t="n">
        <f aca="false">IF(LEFT(Cockpit!$C$5,1)="A",H1209,IF(CA1209=1,CB1209,IF(LEFT(Cockpit!$C$5,1)="B",AJ1209,MAX(AJ1209,H1209))))</f>
        <v>7</v>
      </c>
      <c r="AG1209" s="57" t="n">
        <f aca="false">IF(BT1209=1,0,ROUNDUP(AF1209/BS1209,0))</f>
        <v>1</v>
      </c>
      <c r="AH1209" s="59" t="n">
        <f aca="false">IF(CH1209&gt;0,CH1209*MAX(1,AF1209/X1209),IF(BT1209=1,IF(AF1209&lt;=0,0,BW1209*MAX(1,IF(H1209&gt;0,AF1209/H1209,1))),IF(R1209&gt;0,AG1209/R1209,0))/MAX(0.1,N(Parameter!$M$21)))</f>
        <v>0.0192307692307692</v>
      </c>
      <c r="AI1209" s="57" t="n">
        <f aca="false">AF1209*G1209</f>
        <v>3637.13</v>
      </c>
      <c r="AJ1209" s="57" t="n">
        <f aca="false">ROUNDUP(MAX(J1209/IF(BZ1209&gt;0,BZ1209,MAX(0.1,N(Cockpit!$C$6))),CC1209)/BS1209,0)*BS1209</f>
        <v>10</v>
      </c>
      <c r="AK1209" s="58" t="n">
        <f aca="false">IF(AH1209&gt;0,J1209/AH1209,-1)</f>
        <v>0</v>
      </c>
      <c r="AL1209" s="58" t="n">
        <f aca="false">IF(AND(OR(BY1209="L1",BY1209="L23"),AH1209&gt;0),SUMIFS($AH$7:$AH$1843,$BY$7:$BY$1843,BY1209,$AK$7:$AK$1843,"&gt;"&amp;AK1209)+SUMIFS($AH$7:$AH$1843,$BY$7:$BY$1843,BY1209,$AK$7:$AK$1843,AK1209,$BQ$7:$BQ$1843,"&lt;="&amp;BQ1209),"")</f>
        <v>80.6715482585048</v>
      </c>
      <c r="AM1209" s="65" t="n">
        <f aca="false">IF(AL1209="",0,MAX(0,MIN(1,(IF(BY1209="L1",Parameter!$E$5,Parameter!$E$6+Parameter!$E$7)-(AL1209-AH1209))/AH1209)))</f>
        <v>1</v>
      </c>
      <c r="AN1209" s="57" t="n">
        <f aca="false">IF(LEFT(Cockpit!$I$5,1)="A",H1209,IF(CA1209=1,CB1209,IF(LEFT(Cockpit!$I$5,1)="B",AR1209,MAX(AR1209,H1209))))</f>
        <v>10</v>
      </c>
      <c r="AO1209" s="57" t="n">
        <f aca="false">IF(BT1209=1,0,ROUNDUP(AN1209/BS1209,0))</f>
        <v>1</v>
      </c>
      <c r="AP1209" s="59" t="n">
        <f aca="false">IF(CH1209&gt;0,CH1209*MAX(1,AN1209/X1209),IF(BT1209=1,IF(AN1209&lt;=0,0,BW1209*MAX(1,IF(H1209&gt;0,AN1209/H1209,1))),IF(R1209&gt;0,AO1209/R1209,0))/MAX(0.1,N(Parameter!$M$21)))</f>
        <v>0.0192307692307692</v>
      </c>
      <c r="AQ1209" s="57" t="n">
        <f aca="false">AN1209*G1209</f>
        <v>5195.9</v>
      </c>
      <c r="AR1209" s="57" t="n">
        <f aca="false">ROUNDUP(MAX(J1209/IF(BZ1209&gt;0,BZ1209,MAX(0.1,N(Cockpit!$I$6))),CC1209)/BS1209,0)*BS1209</f>
        <v>10</v>
      </c>
      <c r="AS1209" s="58" t="n">
        <f aca="false">IF(AP1209&gt;0,J1209/AP1209,-1)</f>
        <v>0</v>
      </c>
      <c r="AT1209" s="58" t="n">
        <f aca="false">IF(AND(OR(BY1209="L1",BY1209="L23"),AP1209&gt;0),SUMIFS($AP$7:$AP$1843,$BY$7:$BY$1843,BY1209,$AS$7:$AS$1843,"&gt;"&amp;AS1209)+SUMIFS($AP$7:$AP$1843,$BY$7:$BY$1843,BY1209,$AS$7:$AS$1843,AS1209,$BQ$7:$BQ$1843,"&lt;="&amp;BQ1209),"")</f>
        <v>122.747356508226</v>
      </c>
      <c r="AU1209" s="65" t="n">
        <f aca="false">IF(AT1209="",0,MAX(0,MIN(1,(IF(BY1209="L1",Parameter!$E$5,Parameter!$E$6+Parameter!$E$7)-(AT1209-AP1209))/AP1209)))</f>
        <v>0</v>
      </c>
      <c r="AV1209" s="57" t="n">
        <f aca="false">IF(LEFT(Cockpit!$O$5,1)="A",H1209,IF(CA1209=1,CB1209,IF(LEFT(Cockpit!$O$5,1)="B",AZ1209,MAX(AZ1209,H1209))))</f>
        <v>10</v>
      </c>
      <c r="AW1209" s="57" t="n">
        <f aca="false">IF(BT1209=1,0,ROUNDUP(AV1209/BS1209,0))</f>
        <v>1</v>
      </c>
      <c r="AX1209" s="59" t="n">
        <f aca="false">IF(CH1209&gt;0,CH1209*MAX(1,AV1209/X1209),IF(BT1209=1,IF(AV1209&lt;=0,0,BW1209*MAX(1,IF(H1209&gt;0,AV1209/H1209,1))),IF(R1209&gt;0,AW1209/R1209,0))/MAX(0.1,N(Parameter!$M$21)))</f>
        <v>0.0192307692307692</v>
      </c>
      <c r="AY1209" s="57" t="n">
        <f aca="false">AV1209*G1209</f>
        <v>5195.9</v>
      </c>
      <c r="AZ1209" s="57" t="n">
        <f aca="false">ROUNDUP(MAX(J1209/IF(BZ1209&gt;0,BZ1209,MAX(0.1,N(Cockpit!$O$6))),CC1209)/BS1209,0)*BS1209</f>
        <v>10</v>
      </c>
      <c r="BA1209" s="58" t="n">
        <f aca="false">IF(AX1209&gt;0,J1209/AX1209,-1)</f>
        <v>0</v>
      </c>
      <c r="BB1209" s="58" t="n">
        <f aca="false">IF(AND(OR(BY1209="L1",BY1209="L23"),AX1209&gt;0),SUMIFS($AX$7:$AX$1843,$BY$7:$BY$1843,BY1209,$BA$7:$BA$1843,"&gt;"&amp;BA1209)+SUMIFS($AX$7:$AX$1843,$BY$7:$BY$1843,BY1209,$BA$7:$BA$1843,BA1209,$BQ$7:$BQ$1843,"&lt;="&amp;BQ1209),"")</f>
        <v>113.577193338063</v>
      </c>
      <c r="BC1209" s="65" t="n">
        <f aca="false">IF(BB1209="",0,MAX(0,MIN(1,(IF(BY1209="L1",Parameter!$E$5,Parameter!$E$6+Parameter!$E$7)-(BB1209-AX1209))/AX1209)))</f>
        <v>0</v>
      </c>
      <c r="BD1209" s="55" t="str">
        <f aca="false">IF(AH1209&lt;=0,"",IF(BY1209="Aussen","Aussenlager",IF(BY1209="-","Nicht im Lift",IF(AM1209&gt;=1,"Lift",IF(AM1209&lt;=0,"Aussenlager","teilweise")))))</f>
        <v>Lift</v>
      </c>
      <c r="BE1209" s="55" t="str">
        <f aca="false">IF(AP1209&lt;=0,"",IF(BY1209="Aussen","Aussenlager",IF(BY1209="-","Nicht im Lift",IF(AU1209&gt;=1,"Lift",IF(AU1209&lt;=0,"Aussenlager","teilweise")))))</f>
        <v>Aussenlager</v>
      </c>
      <c r="BF1209" s="55" t="str">
        <f aca="false">IF(AX1209&lt;=0,"",IF(BY1209="Aussen","Aussenlager",IF(BY1209="-","Nicht im Lift",IF(BC1209&gt;=1,"Lift",IF(BC1209&lt;=0,"Aussenlager","teilweise")))))</f>
        <v>Aussenlager</v>
      </c>
      <c r="BG1209" s="55" t="str">
        <f aca="false">IF(A1209="","",IF(BP1209=1,"Neu; ","")&amp;IF(AND(BP1209=0,BK1209&lt;0),"negativer Bestand (Export "&amp;BK1209&amp;"); ","")&amp;IF(J1209&lt;=0,"Kein Verbrauch; ","")&amp;IF(CH1209&gt;0,"Lift "&amp;W1209&amp;" lt. Liftbericht (Fach "&amp;X1209&amp;" Stk); ",IF(BU1209=1,"Gebinde geschätzt ("&amp;T1209&amp;"); ",IF(BT1209=1,"Lose – Tablare geschätzt; ","")))&amp;IF(H1209&gt;AR1209,"Überbestand "&amp;ROUND(H1209-AR1209,0)&amp;" Stk / CHF "&amp;ROUND((H1209-AR1209)*G1209,0)&amp;"; ","")&amp;IF(AND(CA1209=1,CB1209&lt;CC1209),"MAX &lt; MB+LG; ","")&amp;IF(AND(CG1209&gt;0,CF1209*10&gt;CG1209),"zu hoch für Tablar; ","")&amp;IF(AND(BP1209=0,OR(CA1209=1,AA1209&lt;&gt;"",U1209&lt;&gt;"",V1209&lt;&gt;"",AB1209&lt;&gt;"")),"manuell übersteuert; ","")&amp;IF(AND(BT1209=0,R1209=0),"Gebinde unbekannt / Stellmass fehlt; ","")&amp;IF(AND(BT1209=0,N(V1209)&lt;=0,N(Q1209)&lt;=0),"Menge pro Gebinde fehlt (Ist = 1 Gebinde); ","")&amp;BO1209)</f>
        <v>negativer Bestand (Export -1); Kein Verbrauch; </v>
      </c>
      <c r="BH1209" s="55"/>
      <c r="BI1209" s="55"/>
      <c r="BJ1209" s="62"/>
      <c r="BK1209" s="57" t="n">
        <v>-1</v>
      </c>
      <c r="BL1209" s="57" t="n">
        <v>8</v>
      </c>
      <c r="BM1209" s="56" t="n">
        <v>-519.59</v>
      </c>
      <c r="BN1209" s="57" t="n">
        <v>0</v>
      </c>
      <c r="BO1209" s="55"/>
      <c r="BP1209" s="60" t="n">
        <v>0</v>
      </c>
      <c r="BQ1209" s="60" t="n">
        <v>1209</v>
      </c>
      <c r="BR1209" s="55" t="str">
        <f aca="false">IF(U1209&lt;&gt;"",UPPER(TRIM(U1209)),IF(BU1209=1,UPPER(VLOOKUP(T1209,Parameter!$I$27:$K$29,2,0)),IF(P1209="","LOSE",P1209)))</f>
        <v>S41</v>
      </c>
      <c r="BS1209" s="57" t="n">
        <f aca="false">IF(BR1209="LOSE",1,IF(N(V1209)&gt;0,V1209,IF(BU1209=1,MAX(1,N(VLOOKUP(T1209,Parameter!$I$27:$K$29,3,0)),H1209,N(N1209)),IF(N(Q1209)&gt;0,Q1209,MAX(1,H1209)))))</f>
        <v>10</v>
      </c>
      <c r="BT1209" s="60" t="n">
        <f aca="false">IF(BR1209="LOSE",1,0)</f>
        <v>0</v>
      </c>
      <c r="BU1209" s="60" t="n">
        <f aca="false">IF(AND(U1209="",OR(P1209="",P1209="LOSE"),T1209&lt;&gt;"",N(S1209)&lt;=0,ISNUMBER(MATCH(T1209,Parameter!$I$27:$I$29,0))),1,0)</f>
        <v>0</v>
      </c>
      <c r="BV1209" s="55" t="str">
        <f aca="false">IF(AND(Parameter!$B$19="Ja",E1209&lt;&gt;"",ISNUMBER(MATCH(E1209,Parameter!$I$35:$I$52,0))),VLOOKUP(E1209,Parameter!$I$35:$J$52,2,0),IFERROR(VLOOKUP(D1209,Parameter!$A$35:$C$64,2,0),"Nein"))</f>
        <v>2+3</v>
      </c>
      <c r="BW1209" s="59" t="n">
        <f aca="false">IF(BT1209=0,0,IF(N(S1209)&gt;0,S1209,IFERROR(VLOOKUP(D1209,Parameter!$A$35:$C$64,3,0)+0,0)))</f>
        <v>0</v>
      </c>
      <c r="BX1209" s="55" t="n">
        <f aca="false">IF(AA1209&lt;&gt;"",AA1209,Z1209)</f>
        <v>3</v>
      </c>
      <c r="BY1209" s="55" t="str">
        <f aca="false">IF(BX1209=1,"L1",IF(OR(BX1209=2,BX1209=3),"L23",IF(BX1209="Aussen","Aussen","-")))</f>
        <v>L23</v>
      </c>
      <c r="BZ1209" s="66" t="n">
        <f aca="false">IF(N(AB1209)&gt;0,AB1209,0)</f>
        <v>0</v>
      </c>
      <c r="CA1209" s="60" t="n">
        <f aca="false">IF(ISNUMBER(AE1209),1,0)</f>
        <v>0</v>
      </c>
      <c r="CB1209" s="57" t="n">
        <f aca="false">N(AE1209)</f>
        <v>0</v>
      </c>
      <c r="CC1209" s="57" t="n">
        <f aca="false">N(M1209)+N(N1209)</f>
        <v>1</v>
      </c>
      <c r="CD1209" s="57" t="n">
        <f aca="false">ROUNDUP(H1209/BS1209,0)</f>
        <v>1</v>
      </c>
      <c r="CE1209" s="57" t="n">
        <f aca="false">ROUNDUP(CB1209/BS1209,0)</f>
        <v>0</v>
      </c>
      <c r="CF1209" s="60" t="n">
        <f aca="false">IF(BT1209=1,0,IFERROR(VLOOKUP(BR1209,'Gebinde-Kategorie'!$A$5:$M$45,5,0)+0,0))</f>
        <v>11</v>
      </c>
      <c r="CG1209" s="60" t="n">
        <f aca="false">IFERROR(IF(OR(BX1209=1,BX1209=2,BX1209=3),N(INDEX(Parameter!$I$5:$I$7,BX1209)),0),0)</f>
        <v>0</v>
      </c>
      <c r="CH1209" s="59" t="n">
        <f aca="false">IF(AND(Parameter!$B$21="Ja",ISNUMBER(W1209),N(X1209)&gt;0),IFERROR(N(INDEX(Parameter!$L$5:$L$7,W1209))*INDEX(Parameter!$E$5:$E$7,W1209)*X1209/SUMIFS($X$7:$X$1843,$W$7:$W$1843,W1209),0),0)</f>
        <v>0</v>
      </c>
    </row>
    <row r="1210" customFormat="false" ht="15" hidden="false" customHeight="false" outlineLevel="0" collapsed="false">
      <c r="A1210" s="55" t="s">
        <v>2173</v>
      </c>
      <c r="B1210" s="55" t="s">
        <v>2000</v>
      </c>
      <c r="C1210" s="55" t="s">
        <v>164</v>
      </c>
      <c r="D1210" s="55" t="s">
        <v>173</v>
      </c>
      <c r="E1210" s="55"/>
      <c r="F1210" s="55" t="s">
        <v>218</v>
      </c>
      <c r="G1210" s="56" t="n">
        <v>206.49</v>
      </c>
      <c r="H1210" s="57" t="n">
        <f aca="false">MAX(0,IF(AND(Parameter!$B$21="Ja",ISNUMBER(Y1210)),Y1210,IF(Parameter!$B$20="Jahresanfang 2025 + Export",BL1210+BK1210,BK1210)))</f>
        <v>5</v>
      </c>
      <c r="I1210" s="57" t="n">
        <f aca="false">H1210*G1210</f>
        <v>1032.45</v>
      </c>
      <c r="J1210" s="57" t="n">
        <f aca="false">BN1210*Parameter!$B$18</f>
        <v>18</v>
      </c>
      <c r="K1210" s="58" t="n">
        <v>14</v>
      </c>
      <c r="L1210" s="59" t="n">
        <v>1.28571428571429</v>
      </c>
      <c r="M1210" s="57" t="n">
        <v>2</v>
      </c>
      <c r="N1210" s="57" t="n">
        <v>15</v>
      </c>
      <c r="O1210" s="60" t="n">
        <v>28</v>
      </c>
      <c r="P1210" s="55" t="s">
        <v>174</v>
      </c>
      <c r="Q1210" s="57" t="n">
        <v>15</v>
      </c>
      <c r="R1210" s="60" t="n">
        <f aca="false">IF(BT1210=1,0,IFERROR(VLOOKUP(BR1210,'Gebinde-Kategorie'!$A$5:$M$45,13,0)+0,0))</f>
        <v>6</v>
      </c>
      <c r="S1210" s="61"/>
      <c r="T1210" s="62"/>
      <c r="U1210" s="62"/>
      <c r="V1210" s="62"/>
      <c r="W1210" s="55"/>
      <c r="X1210" s="57"/>
      <c r="Y1210" s="57"/>
      <c r="Z1210" s="55" t="n">
        <f aca="false">IF(A1210="","",IF(AND(Parameter!$B$21="Ja",ISNUMBER(W1210)),W1210,IF(BV1210="2+3",IF(ISNUMBER(SEARCH("grosser Artikel",BO1210)),2,IFERROR(VLOOKUP(BR1210,Parameter!$F$35:$G$64,2,0),2)),IF(OR(BV1210="Nein",BV1210=""),"-",BV1210))))</f>
        <v>2</v>
      </c>
      <c r="AA1210" s="62"/>
      <c r="AB1210" s="63"/>
      <c r="AC1210" s="57" t="n">
        <f aca="false">AR1210</f>
        <v>30</v>
      </c>
      <c r="AD1210" s="57" t="n">
        <f aca="false">MAX(AR1210,H1210)</f>
        <v>30</v>
      </c>
      <c r="AE1210" s="64"/>
      <c r="AF1210" s="57" t="n">
        <f aca="false">IF(LEFT(Cockpit!$C$5,1)="A",H1210,IF(CA1210=1,CB1210,IF(LEFT(Cockpit!$C$5,1)="B",AJ1210,MAX(AJ1210,H1210))))</f>
        <v>5</v>
      </c>
      <c r="AG1210" s="57" t="n">
        <f aca="false">IF(BT1210=1,0,ROUNDUP(AF1210/BS1210,0))</f>
        <v>1</v>
      </c>
      <c r="AH1210" s="59" t="n">
        <f aca="false">IF(CH1210&gt;0,CH1210*MAX(1,AF1210/X1210),IF(BT1210=1,IF(AF1210&lt;=0,0,BW1210*MAX(1,IF(H1210&gt;0,AF1210/H1210,1))),IF(R1210&gt;0,AG1210/R1210,0))/MAX(0.1,N(Parameter!$M$21)))</f>
        <v>0.166666666666667</v>
      </c>
      <c r="AI1210" s="57" t="n">
        <f aca="false">AF1210*G1210</f>
        <v>1032.45</v>
      </c>
      <c r="AJ1210" s="57" t="n">
        <f aca="false">ROUNDUP(MAX(J1210/IF(BZ1210&gt;0,BZ1210,MAX(0.1,N(Cockpit!$C$6))),CC1210)/BS1210,0)*BS1210</f>
        <v>30</v>
      </c>
      <c r="AK1210" s="58" t="n">
        <f aca="false">IF(AH1210&gt;0,J1210/AH1210,-1)</f>
        <v>108</v>
      </c>
      <c r="AL1210" s="58" t="n">
        <f aca="false">IF(AND(OR(BY1210="L1",BY1210="L23"),AH1210&gt;0),SUMIFS($AH$7:$AH$1843,$BY$7:$BY$1843,BY1210,$AK$7:$AK$1843,"&gt;"&amp;AK1210)+SUMIFS($AH$7:$AH$1843,$BY$7:$BY$1843,BY1210,$AK$7:$AK$1843,AK1210,$BQ$7:$BQ$1843,"&lt;="&amp;BQ1210),"")</f>
        <v>38.2905898449377</v>
      </c>
      <c r="AM1210" s="65" t="n">
        <f aca="false">IF(AL1210="",0,MAX(0,MIN(1,(IF(BY1210="L1",Parameter!$E$5,Parameter!$E$6+Parameter!$E$7)-(AL1210-AH1210))/AH1210)))</f>
        <v>1</v>
      </c>
      <c r="AN1210" s="57" t="n">
        <f aca="false">IF(LEFT(Cockpit!$I$5,1)="A",H1210,IF(CA1210=1,CB1210,IF(LEFT(Cockpit!$I$5,1)="B",AR1210,MAX(AR1210,H1210))))</f>
        <v>30</v>
      </c>
      <c r="AO1210" s="57" t="n">
        <f aca="false">IF(BT1210=1,0,ROUNDUP(AN1210/BS1210,0))</f>
        <v>2</v>
      </c>
      <c r="AP1210" s="59" t="n">
        <f aca="false">IF(CH1210&gt;0,CH1210*MAX(1,AN1210/X1210),IF(BT1210=1,IF(AN1210&lt;=0,0,BW1210*MAX(1,IF(H1210&gt;0,AN1210/H1210,1))),IF(R1210&gt;0,AO1210/R1210,0))/MAX(0.1,N(Parameter!$M$21)))</f>
        <v>0.333333333333333</v>
      </c>
      <c r="AQ1210" s="57" t="n">
        <f aca="false">AN1210*G1210</f>
        <v>6194.7</v>
      </c>
      <c r="AR1210" s="57" t="n">
        <f aca="false">ROUNDUP(MAX(J1210/IF(BZ1210&gt;0,BZ1210,MAX(0.1,N(Cockpit!$I$6))),CC1210)/BS1210,0)*BS1210</f>
        <v>30</v>
      </c>
      <c r="AS1210" s="58" t="n">
        <f aca="false">IF(AP1210&gt;0,J1210/AP1210,-1)</f>
        <v>54</v>
      </c>
      <c r="AT1210" s="58" t="n">
        <f aca="false">IF(AND(OR(BY1210="L1",BY1210="L23"),AP1210&gt;0),SUMIFS($AP$7:$AP$1843,$BY$7:$BY$1843,BY1210,$AS$7:$AS$1843,"&gt;"&amp;AS1210)+SUMIFS($AP$7:$AP$1843,$BY$7:$BY$1843,BY1210,$AS$7:$AS$1843,AS1210,$BQ$7:$BQ$1843,"&lt;="&amp;BQ1210),"")</f>
        <v>66.3001841154015</v>
      </c>
      <c r="AU1210" s="65" t="n">
        <f aca="false">IF(AT1210="",0,MAX(0,MIN(1,(IF(BY1210="L1",Parameter!$E$5,Parameter!$E$6+Parameter!$E$7)-(AT1210-AP1210))/AP1210)))</f>
        <v>1</v>
      </c>
      <c r="AV1210" s="57" t="n">
        <f aca="false">IF(LEFT(Cockpit!$O$5,1)="A",H1210,IF(CA1210=1,CB1210,IF(LEFT(Cockpit!$O$5,1)="B",AZ1210,MAX(AZ1210,H1210))))</f>
        <v>30</v>
      </c>
      <c r="AW1210" s="57" t="n">
        <f aca="false">IF(BT1210=1,0,ROUNDUP(AV1210/BS1210,0))</f>
        <v>2</v>
      </c>
      <c r="AX1210" s="59" t="n">
        <f aca="false">IF(CH1210&gt;0,CH1210*MAX(1,AV1210/X1210),IF(BT1210=1,IF(AV1210&lt;=0,0,BW1210*MAX(1,IF(H1210&gt;0,AV1210/H1210,1))),IF(R1210&gt;0,AW1210/R1210,0))/MAX(0.1,N(Parameter!$M$21)))</f>
        <v>0.333333333333333</v>
      </c>
      <c r="AY1210" s="57" t="n">
        <f aca="false">AV1210*G1210</f>
        <v>6194.7</v>
      </c>
      <c r="AZ1210" s="57" t="n">
        <f aca="false">ROUNDUP(MAX(J1210/IF(BZ1210&gt;0,BZ1210,MAX(0.1,N(Cockpit!$O$6))),CC1210)/BS1210,0)*BS1210</f>
        <v>30</v>
      </c>
      <c r="BA1210" s="58" t="n">
        <f aca="false">IF(AX1210&gt;0,J1210/AX1210,-1)</f>
        <v>54</v>
      </c>
      <c r="BB1210" s="58" t="n">
        <f aca="false">IF(AND(OR(BY1210="L1",BY1210="L23"),AX1210&gt;0),SUMIFS($AX$7:$AX$1843,$BY$7:$BY$1843,BY1210,$BA$7:$BA$1843,"&gt;"&amp;BA1210)+SUMIFS($AX$7:$AX$1843,$BY$7:$BY$1843,BY1210,$BA$7:$BA$1843,BA1210,$BQ$7:$BQ$1843,"&lt;="&amp;BQ1210),"")</f>
        <v>60.796687611905</v>
      </c>
      <c r="BC1210" s="65" t="n">
        <f aca="false">IF(BB1210="",0,MAX(0,MIN(1,(IF(BY1210="L1",Parameter!$E$5,Parameter!$E$6+Parameter!$E$7)-(BB1210-AX1210))/AX1210)))</f>
        <v>1</v>
      </c>
      <c r="BD1210" s="55" t="str">
        <f aca="false">IF(AH1210&lt;=0,"",IF(BY1210="Aussen","Aussenlager",IF(BY1210="-","Nicht im Lift",IF(AM1210&gt;=1,"Lift",IF(AM1210&lt;=0,"Aussenlager","teilweise")))))</f>
        <v>Lift</v>
      </c>
      <c r="BE1210" s="55" t="str">
        <f aca="false">IF(AP1210&lt;=0,"",IF(BY1210="Aussen","Aussenlager",IF(BY1210="-","Nicht im Lift",IF(AU1210&gt;=1,"Lift",IF(AU1210&lt;=0,"Aussenlager","teilweise")))))</f>
        <v>Lift</v>
      </c>
      <c r="BF1210" s="55" t="str">
        <f aca="false">IF(AX1210&lt;=0,"",IF(BY1210="Aussen","Aussenlager",IF(BY1210="-","Nicht im Lift",IF(BC1210&gt;=1,"Lift",IF(BC1210&lt;=0,"Aussenlager","teilweise")))))</f>
        <v>Lift</v>
      </c>
      <c r="BG1210" s="55" t="str">
        <f aca="false">IF(A1210="","",IF(BP1210=1,"Neu; ","")&amp;IF(AND(BP1210=0,BK1210&lt;0),"negativer Bestand (Export "&amp;BK1210&amp;"); ","")&amp;IF(J1210&lt;=0,"Kein Verbrauch; ","")&amp;IF(CH1210&gt;0,"Lift "&amp;W1210&amp;" lt. Liftbericht (Fach "&amp;X1210&amp;" Stk); ",IF(BU1210=1,"Gebinde geschätzt ("&amp;T1210&amp;"); ",IF(BT1210=1,"Lose – Tablare geschätzt; ","")))&amp;IF(H1210&gt;AR1210,"Überbestand "&amp;ROUND(H1210-AR1210,0)&amp;" Stk / CHF "&amp;ROUND((H1210-AR1210)*G1210,0)&amp;"; ","")&amp;IF(AND(CA1210=1,CB1210&lt;CC1210),"MAX &lt; MB+LG; ","")&amp;IF(AND(CG1210&gt;0,CF1210*10&gt;CG1210),"zu hoch für Tablar; ","")&amp;IF(AND(BP1210=0,OR(CA1210=1,AA1210&lt;&gt;"",U1210&lt;&gt;"",V1210&lt;&gt;"",AB1210&lt;&gt;"")),"manuell übersteuert; ","")&amp;IF(AND(BT1210=0,R1210=0),"Gebinde unbekannt / Stellmass fehlt; ","")&amp;IF(AND(BT1210=0,N(V1210)&lt;=0,N(Q1210)&lt;=0),"Menge pro Gebinde fehlt (Ist = 1 Gebinde); ","")&amp;BO1210)</f>
        <v>negativer Bestand (Export -3); </v>
      </c>
      <c r="BH1210" s="55"/>
      <c r="BI1210" s="55"/>
      <c r="BJ1210" s="62"/>
      <c r="BK1210" s="57" t="n">
        <v>-3</v>
      </c>
      <c r="BL1210" s="57" t="n">
        <v>8</v>
      </c>
      <c r="BM1210" s="56" t="n">
        <v>-527.629999999999</v>
      </c>
      <c r="BN1210" s="57" t="n">
        <v>18</v>
      </c>
      <c r="BO1210" s="55"/>
      <c r="BP1210" s="60" t="n">
        <v>0</v>
      </c>
      <c r="BQ1210" s="60" t="n">
        <v>1210</v>
      </c>
      <c r="BR1210" s="55" t="str">
        <f aca="false">IF(U1210&lt;&gt;"",UPPER(TRIM(U1210)),IF(BU1210=1,UPPER(VLOOKUP(T1210,Parameter!$I$27:$K$29,2,0)),IF(P1210="","LOSE",P1210)))</f>
        <v>S71</v>
      </c>
      <c r="BS1210" s="57" t="n">
        <f aca="false">IF(BR1210="LOSE",1,IF(N(V1210)&gt;0,V1210,IF(BU1210=1,MAX(1,N(VLOOKUP(T1210,Parameter!$I$27:$K$29,3,0)),H1210,N(N1210)),IF(N(Q1210)&gt;0,Q1210,MAX(1,H1210)))))</f>
        <v>15</v>
      </c>
      <c r="BT1210" s="60" t="n">
        <f aca="false">IF(BR1210="LOSE",1,0)</f>
        <v>0</v>
      </c>
      <c r="BU1210" s="60" t="n">
        <f aca="false">IF(AND(U1210="",OR(P1210="",P1210="LOSE"),T1210&lt;&gt;"",N(S1210)&lt;=0,ISNUMBER(MATCH(T1210,Parameter!$I$27:$I$29,0))),1,0)</f>
        <v>0</v>
      </c>
      <c r="BV1210" s="55" t="str">
        <f aca="false">IF(AND(Parameter!$B$19="Ja",E1210&lt;&gt;"",ISNUMBER(MATCH(E1210,Parameter!$I$35:$I$52,0))),VLOOKUP(E1210,Parameter!$I$35:$J$52,2,0),IFERROR(VLOOKUP(D1210,Parameter!$A$35:$C$64,2,0),"Nein"))</f>
        <v>2+3</v>
      </c>
      <c r="BW1210" s="59" t="n">
        <f aca="false">IF(BT1210=0,0,IF(N(S1210)&gt;0,S1210,IFERROR(VLOOKUP(D1210,Parameter!$A$35:$C$64,3,0)+0,0)))</f>
        <v>0</v>
      </c>
      <c r="BX1210" s="55" t="n">
        <f aca="false">IF(AA1210&lt;&gt;"",AA1210,Z1210)</f>
        <v>2</v>
      </c>
      <c r="BY1210" s="55" t="str">
        <f aca="false">IF(BX1210=1,"L1",IF(OR(BX1210=2,BX1210=3),"L23",IF(BX1210="Aussen","Aussen","-")))</f>
        <v>L23</v>
      </c>
      <c r="BZ1210" s="66" t="n">
        <f aca="false">IF(N(AB1210)&gt;0,AB1210,0)</f>
        <v>0</v>
      </c>
      <c r="CA1210" s="60" t="n">
        <f aca="false">IF(ISNUMBER(AE1210),1,0)</f>
        <v>0</v>
      </c>
      <c r="CB1210" s="57" t="n">
        <f aca="false">N(AE1210)</f>
        <v>0</v>
      </c>
      <c r="CC1210" s="57" t="n">
        <f aca="false">N(M1210)+N(N1210)</f>
        <v>17</v>
      </c>
      <c r="CD1210" s="57" t="n">
        <f aca="false">ROUNDUP(H1210/BS1210,0)</f>
        <v>1</v>
      </c>
      <c r="CE1210" s="57" t="n">
        <f aca="false">ROUNDUP(CB1210/BS1210,0)</f>
        <v>0</v>
      </c>
      <c r="CF1210" s="60" t="n">
        <f aca="false">IF(BT1210=1,0,IFERROR(VLOOKUP(BR1210,'Gebinde-Kategorie'!$A$5:$M$45,5,0)+0,0))</f>
        <v>20</v>
      </c>
      <c r="CG1210" s="60" t="n">
        <f aca="false">IFERROR(IF(OR(BX1210=1,BX1210=2,BX1210=3),N(INDEX(Parameter!$I$5:$I$7,BX1210)),0),0)</f>
        <v>0</v>
      </c>
      <c r="CH1210" s="59" t="n">
        <f aca="false">IF(AND(Parameter!$B$21="Ja",ISNUMBER(W1210),N(X1210)&gt;0),IFERROR(N(INDEX(Parameter!$L$5:$L$7,W1210))*INDEX(Parameter!$E$5:$E$7,W1210)*X1210/SUMIFS($X$7:$X$1843,$W$7:$W$1843,W1210),0),0)</f>
        <v>0</v>
      </c>
    </row>
    <row r="1211" customFormat="false" ht="15" hidden="false" customHeight="false" outlineLevel="0" collapsed="false">
      <c r="A1211" s="55" t="s">
        <v>2174</v>
      </c>
      <c r="B1211" s="55" t="s">
        <v>2175</v>
      </c>
      <c r="C1211" s="55" t="s">
        <v>164</v>
      </c>
      <c r="D1211" s="55" t="s">
        <v>184</v>
      </c>
      <c r="E1211" s="55" t="s">
        <v>185</v>
      </c>
      <c r="F1211" s="55" t="s">
        <v>218</v>
      </c>
      <c r="G1211" s="56" t="n">
        <v>48.12</v>
      </c>
      <c r="H1211" s="57" t="n">
        <f aca="false">MAX(0,IF(AND(Parameter!$B$21="Ja",ISNUMBER(Y1211)),Y1211,IF(Parameter!$B$20="Jahresanfang 2025 + Export",BL1211+BK1211,BK1211)))</f>
        <v>34</v>
      </c>
      <c r="I1211" s="57" t="n">
        <f aca="false">H1211*G1211</f>
        <v>1636.08</v>
      </c>
      <c r="J1211" s="57" t="n">
        <f aca="false">BN1211*Parameter!$B$18</f>
        <v>14</v>
      </c>
      <c r="K1211" s="58" t="n">
        <v>40.5</v>
      </c>
      <c r="L1211" s="59" t="n">
        <v>0.345679012345679</v>
      </c>
      <c r="M1211" s="57" t="n">
        <v>1</v>
      </c>
      <c r="N1211" s="57" t="n">
        <v>15</v>
      </c>
      <c r="O1211" s="60" t="n">
        <v>28</v>
      </c>
      <c r="P1211" s="55" t="s">
        <v>233</v>
      </c>
      <c r="Q1211" s="57" t="n">
        <v>38</v>
      </c>
      <c r="R1211" s="60" t="n">
        <f aca="false">IF(BT1211=1,0,IFERROR(VLOOKUP(BR1211,'Gebinde-Kategorie'!$A$5:$M$45,13,0)+0,0))</f>
        <v>26</v>
      </c>
      <c r="S1211" s="61"/>
      <c r="T1211" s="62"/>
      <c r="U1211" s="62"/>
      <c r="V1211" s="62"/>
      <c r="W1211" s="55"/>
      <c r="X1211" s="57"/>
      <c r="Y1211" s="57"/>
      <c r="Z1211" s="55" t="n">
        <f aca="false">IF(A1211="","",IF(AND(Parameter!$B$21="Ja",ISNUMBER(W1211)),W1211,IF(BV1211="2+3",IF(ISNUMBER(SEARCH("grosser Artikel",BO1211)),2,IFERROR(VLOOKUP(BR1211,Parameter!$F$35:$G$64,2,0),2)),IF(OR(BV1211="Nein",BV1211=""),"-",BV1211))))</f>
        <v>3</v>
      </c>
      <c r="AA1211" s="62"/>
      <c r="AB1211" s="63"/>
      <c r="AC1211" s="57" t="n">
        <f aca="false">AR1211</f>
        <v>38</v>
      </c>
      <c r="AD1211" s="57" t="n">
        <f aca="false">MAX(AR1211,H1211)</f>
        <v>38</v>
      </c>
      <c r="AE1211" s="64"/>
      <c r="AF1211" s="57" t="n">
        <f aca="false">IF(LEFT(Cockpit!$C$5,1)="A",H1211,IF(CA1211=1,CB1211,IF(LEFT(Cockpit!$C$5,1)="B",AJ1211,MAX(AJ1211,H1211))))</f>
        <v>34</v>
      </c>
      <c r="AG1211" s="57" t="n">
        <f aca="false">IF(BT1211=1,0,ROUNDUP(AF1211/BS1211,0))</f>
        <v>1</v>
      </c>
      <c r="AH1211" s="59" t="n">
        <f aca="false">IF(CH1211&gt;0,CH1211*MAX(1,AF1211/X1211),IF(BT1211=1,IF(AF1211&lt;=0,0,BW1211*MAX(1,IF(H1211&gt;0,AF1211/H1211,1))),IF(R1211&gt;0,AG1211/R1211,0))/MAX(0.1,N(Parameter!$M$21)))</f>
        <v>0.0384615384615385</v>
      </c>
      <c r="AI1211" s="57" t="n">
        <f aca="false">AF1211*G1211</f>
        <v>1636.08</v>
      </c>
      <c r="AJ1211" s="57" t="n">
        <f aca="false">ROUNDUP(MAX(J1211/IF(BZ1211&gt;0,BZ1211,MAX(0.1,N(Cockpit!$C$6))),CC1211)/BS1211,0)*BS1211</f>
        <v>38</v>
      </c>
      <c r="AK1211" s="58" t="n">
        <f aca="false">IF(AH1211&gt;0,J1211/AH1211,-1)</f>
        <v>364</v>
      </c>
      <c r="AL1211" s="58" t="n">
        <f aca="false">IF(AND(OR(BY1211="L1",BY1211="L23"),AH1211&gt;0),SUMIFS($AH$7:$AH$1843,$BY$7:$BY$1843,BY1211,$AK$7:$AK$1843,"&gt;"&amp;AK1211)+SUMIFS($AH$7:$AH$1843,$BY$7:$BY$1843,BY1211,$AK$7:$AK$1843,AK1211,$BQ$7:$BQ$1843,"&lt;="&amp;BQ1211),"")</f>
        <v>27.0082514104253</v>
      </c>
      <c r="AM1211" s="65" t="n">
        <f aca="false">IF(AL1211="",0,MAX(0,MIN(1,(IF(BY1211="L1",Parameter!$E$5,Parameter!$E$6+Parameter!$E$7)-(AL1211-AH1211))/AH1211)))</f>
        <v>1</v>
      </c>
      <c r="AN1211" s="57" t="n">
        <f aca="false">IF(LEFT(Cockpit!$I$5,1)="A",H1211,IF(CA1211=1,CB1211,IF(LEFT(Cockpit!$I$5,1)="B",AR1211,MAX(AR1211,H1211))))</f>
        <v>38</v>
      </c>
      <c r="AO1211" s="57" t="n">
        <f aca="false">IF(BT1211=1,0,ROUNDUP(AN1211/BS1211,0))</f>
        <v>1</v>
      </c>
      <c r="AP1211" s="59" t="n">
        <f aca="false">IF(CH1211&gt;0,CH1211*MAX(1,AN1211/X1211),IF(BT1211=1,IF(AN1211&lt;=0,0,BW1211*MAX(1,IF(H1211&gt;0,AN1211/H1211,1))),IF(R1211&gt;0,AO1211/R1211,0))/MAX(0.1,N(Parameter!$M$21)))</f>
        <v>0.0384615384615385</v>
      </c>
      <c r="AQ1211" s="57" t="n">
        <f aca="false">AN1211*G1211</f>
        <v>1828.56</v>
      </c>
      <c r="AR1211" s="57" t="n">
        <f aca="false">ROUNDUP(MAX(J1211/IF(BZ1211&gt;0,BZ1211,MAX(0.1,N(Cockpit!$I$6))),CC1211)/BS1211,0)*BS1211</f>
        <v>38</v>
      </c>
      <c r="AS1211" s="58" t="n">
        <f aca="false">IF(AP1211&gt;0,J1211/AP1211,-1)</f>
        <v>364</v>
      </c>
      <c r="AT1211" s="58" t="n">
        <f aca="false">IF(AND(OR(BY1211="L1",BY1211="L23"),AP1211&gt;0),SUMIFS($AP$7:$AP$1843,$BY$7:$BY$1843,BY1211,$AS$7:$AS$1843,"&gt;"&amp;AS1211)+SUMIFS($AP$7:$AP$1843,$BY$7:$BY$1843,BY1211,$AS$7:$AS$1843,AS1211,$BQ$7:$BQ$1843,"&lt;="&amp;BQ1211),"")</f>
        <v>36.5605807236242</v>
      </c>
      <c r="AU1211" s="65" t="n">
        <f aca="false">IF(AT1211="",0,MAX(0,MIN(1,(IF(BY1211="L1",Parameter!$E$5,Parameter!$E$6+Parameter!$E$7)-(AT1211-AP1211))/AP1211)))</f>
        <v>1</v>
      </c>
      <c r="AV1211" s="57" t="n">
        <f aca="false">IF(LEFT(Cockpit!$O$5,1)="A",H1211,IF(CA1211=1,CB1211,IF(LEFT(Cockpit!$O$5,1)="B",AZ1211,MAX(AZ1211,H1211))))</f>
        <v>38</v>
      </c>
      <c r="AW1211" s="57" t="n">
        <f aca="false">IF(BT1211=1,0,ROUNDUP(AV1211/BS1211,0))</f>
        <v>1</v>
      </c>
      <c r="AX1211" s="59" t="n">
        <f aca="false">IF(CH1211&gt;0,CH1211*MAX(1,AV1211/X1211),IF(BT1211=1,IF(AV1211&lt;=0,0,BW1211*MAX(1,IF(H1211&gt;0,AV1211/H1211,1))),IF(R1211&gt;0,AW1211/R1211,0))/MAX(0.1,N(Parameter!$M$21)))</f>
        <v>0.0384615384615385</v>
      </c>
      <c r="AY1211" s="57" t="n">
        <f aca="false">AV1211*G1211</f>
        <v>1828.56</v>
      </c>
      <c r="AZ1211" s="57" t="n">
        <f aca="false">ROUNDUP(MAX(J1211/IF(BZ1211&gt;0,BZ1211,MAX(0.1,N(Cockpit!$O$6))),CC1211)/BS1211,0)*BS1211</f>
        <v>38</v>
      </c>
      <c r="BA1211" s="58" t="n">
        <f aca="false">IF(AX1211&gt;0,J1211/AX1211,-1)</f>
        <v>364</v>
      </c>
      <c r="BB1211" s="58" t="n">
        <f aca="false">IF(AND(OR(BY1211="L1",BY1211="L23"),AX1211&gt;0),SUMIFS($AX$7:$AX$1843,$BY$7:$BY$1843,BY1211,$BA$7:$BA$1843,"&gt;"&amp;BA1211)+SUMIFS($AX$7:$AX$1843,$BY$7:$BY$1843,BY1211,$BA$7:$BA$1843,BA1211,$BQ$7:$BQ$1843,"&lt;="&amp;BQ1211),"")</f>
        <v>35.8070842201277</v>
      </c>
      <c r="BC1211" s="65" t="n">
        <f aca="false">IF(BB1211="",0,MAX(0,MIN(1,(IF(BY1211="L1",Parameter!$E$5,Parameter!$E$6+Parameter!$E$7)-(BB1211-AX1211))/AX1211)))</f>
        <v>1</v>
      </c>
      <c r="BD1211" s="55" t="str">
        <f aca="false">IF(AH1211&lt;=0,"",IF(BY1211="Aussen","Aussenlager",IF(BY1211="-","Nicht im Lift",IF(AM1211&gt;=1,"Lift",IF(AM1211&lt;=0,"Aussenlager","teilweise")))))</f>
        <v>Lift</v>
      </c>
      <c r="BE1211" s="55" t="str">
        <f aca="false">IF(AP1211&lt;=0,"",IF(BY1211="Aussen","Aussenlager",IF(BY1211="-","Nicht im Lift",IF(AU1211&gt;=1,"Lift",IF(AU1211&lt;=0,"Aussenlager","teilweise")))))</f>
        <v>Lift</v>
      </c>
      <c r="BF1211" s="55" t="str">
        <f aca="false">IF(AX1211&lt;=0,"",IF(BY1211="Aussen","Aussenlager",IF(BY1211="-","Nicht im Lift",IF(BC1211&gt;=1,"Lift",IF(BC1211&lt;=0,"Aussenlager","teilweise")))))</f>
        <v>Lift</v>
      </c>
      <c r="BG1211" s="55" t="str">
        <f aca="false">IF(A1211="","",IF(BP1211=1,"Neu; ","")&amp;IF(AND(BP1211=0,BK1211&lt;0),"negativer Bestand (Export "&amp;BK1211&amp;"); ","")&amp;IF(J1211&lt;=0,"Kein Verbrauch; ","")&amp;IF(CH1211&gt;0,"Lift "&amp;W1211&amp;" lt. Liftbericht (Fach "&amp;X1211&amp;" Stk); ",IF(BU1211=1,"Gebinde geschätzt ("&amp;T1211&amp;"); ",IF(BT1211=1,"Lose – Tablare geschätzt; ","")))&amp;IF(H1211&gt;AR1211,"Überbestand "&amp;ROUND(H1211-AR1211,0)&amp;" Stk / CHF "&amp;ROUND((H1211-AR1211)*G1211,0)&amp;"; ","")&amp;IF(AND(CA1211=1,CB1211&lt;CC1211),"MAX &lt; MB+LG; ","")&amp;IF(AND(CG1211&gt;0,CF1211*10&gt;CG1211),"zu hoch für Tablar; ","")&amp;IF(AND(BP1211=0,OR(CA1211=1,AA1211&lt;&gt;"",U1211&lt;&gt;"",V1211&lt;&gt;"",AB1211&lt;&gt;"")),"manuell übersteuert; ","")&amp;IF(AND(BT1211=0,R1211=0),"Gebinde unbekannt / Stellmass fehlt; ","")&amp;IF(AND(BT1211=0,N(V1211)&lt;=0,N(Q1211)&lt;=0),"Menge pro Gebinde fehlt (Ist = 1 Gebinde); ","")&amp;BO1211)</f>
        <v>negativer Bestand (Export -11); Neu</v>
      </c>
      <c r="BH1211" s="55"/>
      <c r="BI1211" s="55"/>
      <c r="BJ1211" s="62"/>
      <c r="BK1211" s="57" t="n">
        <v>-11</v>
      </c>
      <c r="BL1211" s="57" t="n">
        <v>45</v>
      </c>
      <c r="BM1211" s="56" t="n">
        <v>-529.32</v>
      </c>
      <c r="BN1211" s="57" t="n">
        <v>14</v>
      </c>
      <c r="BO1211" s="55" t="s">
        <v>626</v>
      </c>
      <c r="BP1211" s="60" t="n">
        <v>0</v>
      </c>
      <c r="BQ1211" s="60" t="n">
        <v>1211</v>
      </c>
      <c r="BR1211" s="55" t="str">
        <f aca="false">IF(U1211&lt;&gt;"",UPPER(TRIM(U1211)),IF(BU1211=1,UPPER(VLOOKUP(T1211,Parameter!$I$27:$K$29,2,0)),IF(P1211="","LOSE",P1211)))</f>
        <v>S52</v>
      </c>
      <c r="BS1211" s="57" t="n">
        <f aca="false">IF(BR1211="LOSE",1,IF(N(V1211)&gt;0,V1211,IF(BU1211=1,MAX(1,N(VLOOKUP(T1211,Parameter!$I$27:$K$29,3,0)),H1211,N(N1211)),IF(N(Q1211)&gt;0,Q1211,MAX(1,H1211)))))</f>
        <v>38</v>
      </c>
      <c r="BT1211" s="60" t="n">
        <f aca="false">IF(BR1211="LOSE",1,0)</f>
        <v>0</v>
      </c>
      <c r="BU1211" s="60" t="n">
        <f aca="false">IF(AND(U1211="",OR(P1211="",P1211="LOSE"),T1211&lt;&gt;"",N(S1211)&lt;=0,ISNUMBER(MATCH(T1211,Parameter!$I$27:$I$29,0))),1,0)</f>
        <v>0</v>
      </c>
      <c r="BV1211" s="55" t="str">
        <f aca="false">IF(AND(Parameter!$B$19="Ja",E1211&lt;&gt;"",ISNUMBER(MATCH(E1211,Parameter!$I$35:$I$52,0))),VLOOKUP(E1211,Parameter!$I$35:$J$52,2,0),IFERROR(VLOOKUP(D1211,Parameter!$A$35:$C$64,2,0),"Nein"))</f>
        <v>2+3</v>
      </c>
      <c r="BW1211" s="59" t="n">
        <f aca="false">IF(BT1211=0,0,IF(N(S1211)&gt;0,S1211,IFERROR(VLOOKUP(D1211,Parameter!$A$35:$C$64,3,0)+0,0)))</f>
        <v>0</v>
      </c>
      <c r="BX1211" s="55" t="n">
        <f aca="false">IF(AA1211&lt;&gt;"",AA1211,Z1211)</f>
        <v>3</v>
      </c>
      <c r="BY1211" s="55" t="str">
        <f aca="false">IF(BX1211=1,"L1",IF(OR(BX1211=2,BX1211=3),"L23",IF(BX1211="Aussen","Aussen","-")))</f>
        <v>L23</v>
      </c>
      <c r="BZ1211" s="66" t="n">
        <f aca="false">IF(N(AB1211)&gt;0,AB1211,0)</f>
        <v>0</v>
      </c>
      <c r="CA1211" s="60" t="n">
        <f aca="false">IF(ISNUMBER(AE1211),1,0)</f>
        <v>0</v>
      </c>
      <c r="CB1211" s="57" t="n">
        <f aca="false">N(AE1211)</f>
        <v>0</v>
      </c>
      <c r="CC1211" s="57" t="n">
        <f aca="false">N(M1211)+N(N1211)</f>
        <v>16</v>
      </c>
      <c r="CD1211" s="57" t="n">
        <f aca="false">ROUNDUP(H1211/BS1211,0)</f>
        <v>1</v>
      </c>
      <c r="CE1211" s="57" t="n">
        <f aca="false">ROUNDUP(CB1211/BS1211,0)</f>
        <v>0</v>
      </c>
      <c r="CF1211" s="60" t="n">
        <f aca="false">IF(BT1211=1,0,IFERROR(VLOOKUP(BR1211,'Gebinde-Kategorie'!$A$5:$M$45,5,0)+0,0))</f>
        <v>21</v>
      </c>
      <c r="CG1211" s="60" t="n">
        <f aca="false">IFERROR(IF(OR(BX1211=1,BX1211=2,BX1211=3),N(INDEX(Parameter!$I$5:$I$7,BX1211)),0),0)</f>
        <v>0</v>
      </c>
      <c r="CH1211" s="59" t="n">
        <f aca="false">IF(AND(Parameter!$B$21="Ja",ISNUMBER(W1211),N(X1211)&gt;0),IFERROR(N(INDEX(Parameter!$L$5:$L$7,W1211))*INDEX(Parameter!$E$5:$E$7,W1211)*X1211/SUMIFS($X$7:$X$1843,$W$7:$W$1843,W1211),0),0)</f>
        <v>0</v>
      </c>
    </row>
    <row r="1212" customFormat="false" ht="15" hidden="false" customHeight="false" outlineLevel="0" collapsed="false">
      <c r="A1212" s="55" t="s">
        <v>2176</v>
      </c>
      <c r="B1212" s="55" t="s">
        <v>2177</v>
      </c>
      <c r="C1212" s="55" t="s">
        <v>164</v>
      </c>
      <c r="D1212" s="55" t="s">
        <v>184</v>
      </c>
      <c r="E1212" s="55"/>
      <c r="F1212" s="55" t="s">
        <v>218</v>
      </c>
      <c r="G1212" s="56" t="n">
        <v>44.28</v>
      </c>
      <c r="H1212" s="57" t="n">
        <f aca="false">MAX(0,IF(AND(Parameter!$B$21="Ja",ISNUMBER(Y1212)),Y1212,IF(Parameter!$B$20="Jahresanfang 2025 + Export",BL1212+BK1212,BK1212)))</f>
        <v>385</v>
      </c>
      <c r="I1212" s="57" t="n">
        <f aca="false">H1212*G1212</f>
        <v>17047.8</v>
      </c>
      <c r="J1212" s="57" t="n">
        <f aca="false">BN1212*Parameter!$B$18</f>
        <v>9</v>
      </c>
      <c r="K1212" s="58" t="n">
        <v>394.5</v>
      </c>
      <c r="L1212" s="59" t="n">
        <v>0.0228136882129278</v>
      </c>
      <c r="M1212" s="57" t="n">
        <v>0</v>
      </c>
      <c r="N1212" s="57" t="n">
        <v>10</v>
      </c>
      <c r="O1212" s="60" t="n">
        <v>28</v>
      </c>
      <c r="P1212" s="55" t="s">
        <v>186</v>
      </c>
      <c r="Q1212" s="57" t="n">
        <v>150</v>
      </c>
      <c r="R1212" s="60" t="n">
        <f aca="false">IF(BT1212=1,0,IFERROR(VLOOKUP(BR1212,'Gebinde-Kategorie'!$A$5:$M$45,13,0)+0,0))</f>
        <v>12</v>
      </c>
      <c r="S1212" s="61"/>
      <c r="T1212" s="62"/>
      <c r="U1212" s="62"/>
      <c r="V1212" s="62"/>
      <c r="W1212" s="55"/>
      <c r="X1212" s="57"/>
      <c r="Y1212" s="57"/>
      <c r="Z1212" s="55" t="n">
        <f aca="false">IF(A1212="","",IF(AND(Parameter!$B$21="Ja",ISNUMBER(W1212)),W1212,IF(BV1212="2+3",IF(ISNUMBER(SEARCH("grosser Artikel",BO1212)),2,IFERROR(VLOOKUP(BR1212,Parameter!$F$35:$G$64,2,0),2)),IF(OR(BV1212="Nein",BV1212=""),"-",BV1212))))</f>
        <v>2</v>
      </c>
      <c r="AA1212" s="62"/>
      <c r="AB1212" s="63"/>
      <c r="AC1212" s="57" t="n">
        <f aca="false">AR1212</f>
        <v>150</v>
      </c>
      <c r="AD1212" s="57" t="n">
        <f aca="false">MAX(AR1212,H1212)</f>
        <v>385</v>
      </c>
      <c r="AE1212" s="64"/>
      <c r="AF1212" s="57" t="n">
        <f aca="false">IF(LEFT(Cockpit!$C$5,1)="A",H1212,IF(CA1212=1,CB1212,IF(LEFT(Cockpit!$C$5,1)="B",AJ1212,MAX(AJ1212,H1212))))</f>
        <v>385</v>
      </c>
      <c r="AG1212" s="57" t="n">
        <f aca="false">IF(BT1212=1,0,ROUNDUP(AF1212/BS1212,0))</f>
        <v>3</v>
      </c>
      <c r="AH1212" s="59" t="n">
        <f aca="false">IF(CH1212&gt;0,CH1212*MAX(1,AF1212/X1212),IF(BT1212=1,IF(AF1212&lt;=0,0,BW1212*MAX(1,IF(H1212&gt;0,AF1212/H1212,1))),IF(R1212&gt;0,AG1212/R1212,0))/MAX(0.1,N(Parameter!$M$21)))</f>
        <v>0.25</v>
      </c>
      <c r="AI1212" s="57" t="n">
        <f aca="false">AF1212*G1212</f>
        <v>17047.8</v>
      </c>
      <c r="AJ1212" s="57" t="n">
        <f aca="false">ROUNDUP(MAX(J1212/IF(BZ1212&gt;0,BZ1212,MAX(0.1,N(Cockpit!$C$6))),CC1212)/BS1212,0)*BS1212</f>
        <v>150</v>
      </c>
      <c r="AK1212" s="58" t="n">
        <f aca="false">IF(AH1212&gt;0,J1212/AH1212,-1)</f>
        <v>36</v>
      </c>
      <c r="AL1212" s="58" t="n">
        <f aca="false">IF(AND(OR(BY1212="L1",BY1212="L23"),AH1212&gt;0),SUMIFS($AH$7:$AH$1843,$BY$7:$BY$1843,BY1212,$AK$7:$AK$1843,"&gt;"&amp;AK1212)+SUMIFS($AH$7:$AH$1843,$BY$7:$BY$1843,BY1212,$AK$7:$AK$1843,AK1212,$BQ$7:$BQ$1843,"&lt;="&amp;BQ1212),"")</f>
        <v>46.6971555015033</v>
      </c>
      <c r="AM1212" s="65" t="n">
        <f aca="false">IF(AL1212="",0,MAX(0,MIN(1,(IF(BY1212="L1",Parameter!$E$5,Parameter!$E$6+Parameter!$E$7)-(AL1212-AH1212))/AH1212)))</f>
        <v>1</v>
      </c>
      <c r="AN1212" s="57" t="n">
        <f aca="false">IF(LEFT(Cockpit!$I$5,1)="A",H1212,IF(CA1212=1,CB1212,IF(LEFT(Cockpit!$I$5,1)="B",AR1212,MAX(AR1212,H1212))))</f>
        <v>385</v>
      </c>
      <c r="AO1212" s="57" t="n">
        <f aca="false">IF(BT1212=1,0,ROUNDUP(AN1212/BS1212,0))</f>
        <v>3</v>
      </c>
      <c r="AP1212" s="59" t="n">
        <f aca="false">IF(CH1212&gt;0,CH1212*MAX(1,AN1212/X1212),IF(BT1212=1,IF(AN1212&lt;=0,0,BW1212*MAX(1,IF(H1212&gt;0,AN1212/H1212,1))),IF(R1212&gt;0,AO1212/R1212,0))/MAX(0.1,N(Parameter!$M$21)))</f>
        <v>0.25</v>
      </c>
      <c r="AQ1212" s="57" t="n">
        <f aca="false">AN1212*G1212</f>
        <v>17047.8</v>
      </c>
      <c r="AR1212" s="57" t="n">
        <f aca="false">ROUNDUP(MAX(J1212/IF(BZ1212&gt;0,BZ1212,MAX(0.1,N(Cockpit!$I$6))),CC1212)/BS1212,0)*BS1212</f>
        <v>150</v>
      </c>
      <c r="AS1212" s="58" t="n">
        <f aca="false">IF(AP1212&gt;0,J1212/AP1212,-1)</f>
        <v>36</v>
      </c>
      <c r="AT1212" s="58" t="n">
        <f aca="false">IF(AND(OR(BY1212="L1",BY1212="L23"),AP1212&gt;0),SUMIFS($AP$7:$AP$1843,$BY$7:$BY$1843,BY1212,$AS$7:$AS$1843,"&gt;"&amp;AS1212)+SUMIFS($AP$7:$AP$1843,$BY$7:$BY$1843,BY1212,$AS$7:$AS$1843,AS1212,$BQ$7:$BQ$1843,"&lt;="&amp;BQ1212),"")</f>
        <v>71.1276899429073</v>
      </c>
      <c r="AU1212" s="65" t="n">
        <f aca="false">IF(AT1212="",0,MAX(0,MIN(1,(IF(BY1212="L1",Parameter!$E$5,Parameter!$E$6+Parameter!$E$7)-(AT1212-AP1212))/AP1212)))</f>
        <v>1</v>
      </c>
      <c r="AV1212" s="57" t="n">
        <f aca="false">IF(LEFT(Cockpit!$O$5,1)="A",H1212,IF(CA1212=1,CB1212,IF(LEFT(Cockpit!$O$5,1)="B",AZ1212,MAX(AZ1212,H1212))))</f>
        <v>385</v>
      </c>
      <c r="AW1212" s="57" t="n">
        <f aca="false">IF(BT1212=1,0,ROUNDUP(AV1212/BS1212,0))</f>
        <v>3</v>
      </c>
      <c r="AX1212" s="59" t="n">
        <f aca="false">IF(CH1212&gt;0,CH1212*MAX(1,AV1212/X1212),IF(BT1212=1,IF(AV1212&lt;=0,0,BW1212*MAX(1,IF(H1212&gt;0,AV1212/H1212,1))),IF(R1212&gt;0,AW1212/R1212,0))/MAX(0.1,N(Parameter!$M$21)))</f>
        <v>0.25</v>
      </c>
      <c r="AY1212" s="57" t="n">
        <f aca="false">AV1212*G1212</f>
        <v>17047.8</v>
      </c>
      <c r="AZ1212" s="57" t="n">
        <f aca="false">ROUNDUP(MAX(J1212/IF(BZ1212&gt;0,BZ1212,MAX(0.1,N(Cockpit!$O$6))),CC1212)/BS1212,0)*BS1212</f>
        <v>150</v>
      </c>
      <c r="BA1212" s="58" t="n">
        <f aca="false">IF(AX1212&gt;0,J1212/AX1212,-1)</f>
        <v>36</v>
      </c>
      <c r="BB1212" s="58" t="n">
        <f aca="false">IF(AND(OR(BY1212="L1",BY1212="L23"),AX1212&gt;0),SUMIFS($AX$7:$AX$1843,$BY$7:$BY$1843,BY1212,$BA$7:$BA$1843,"&gt;"&amp;BA1212)+SUMIFS($AX$7:$AX$1843,$BY$7:$BY$1843,BY1212,$BA$7:$BA$1843,BA1212,$BQ$7:$BQ$1843,"&lt;="&amp;BQ1212),"")</f>
        <v>65.6241934394108</v>
      </c>
      <c r="BC1212" s="65" t="n">
        <f aca="false">IF(BB1212="",0,MAX(0,MIN(1,(IF(BY1212="L1",Parameter!$E$5,Parameter!$E$6+Parameter!$E$7)-(BB1212-AX1212))/AX1212)))</f>
        <v>1</v>
      </c>
      <c r="BD1212" s="55" t="str">
        <f aca="false">IF(AH1212&lt;=0,"",IF(BY1212="Aussen","Aussenlager",IF(BY1212="-","Nicht im Lift",IF(AM1212&gt;=1,"Lift",IF(AM1212&lt;=0,"Aussenlager","teilweise")))))</f>
        <v>Lift</v>
      </c>
      <c r="BE1212" s="55" t="str">
        <f aca="false">IF(AP1212&lt;=0,"",IF(BY1212="Aussen","Aussenlager",IF(BY1212="-","Nicht im Lift",IF(AU1212&gt;=1,"Lift",IF(AU1212&lt;=0,"Aussenlager","teilweise")))))</f>
        <v>Lift</v>
      </c>
      <c r="BF1212" s="55" t="str">
        <f aca="false">IF(AX1212&lt;=0,"",IF(BY1212="Aussen","Aussenlager",IF(BY1212="-","Nicht im Lift",IF(BC1212&gt;=1,"Lift",IF(BC1212&lt;=0,"Aussenlager","teilweise")))))</f>
        <v>Lift</v>
      </c>
      <c r="BG1212" s="55" t="str">
        <f aca="false">IF(A1212="","",IF(BP1212=1,"Neu; ","")&amp;IF(AND(BP1212=0,BK1212&lt;0),"negativer Bestand (Export "&amp;BK1212&amp;"); ","")&amp;IF(J1212&lt;=0,"Kein Verbrauch; ","")&amp;IF(CH1212&gt;0,"Lift "&amp;W1212&amp;" lt. Liftbericht (Fach "&amp;X1212&amp;" Stk); ",IF(BU1212=1,"Gebinde geschätzt ("&amp;T1212&amp;"); ",IF(BT1212=1,"Lose – Tablare geschätzt; ","")))&amp;IF(H1212&gt;AR1212,"Überbestand "&amp;ROUND(H1212-AR1212,0)&amp;" Stk / CHF "&amp;ROUND((H1212-AR1212)*G1212,0)&amp;"; ","")&amp;IF(AND(CA1212=1,CB1212&lt;CC1212),"MAX &lt; MB+LG; ","")&amp;IF(AND(CG1212&gt;0,CF1212*10&gt;CG1212),"zu hoch für Tablar; ","")&amp;IF(AND(BP1212=0,OR(CA1212=1,AA1212&lt;&gt;"",U1212&lt;&gt;"",V1212&lt;&gt;"",AB1212&lt;&gt;"")),"manuell übersteuert; ","")&amp;IF(AND(BT1212=0,R1212=0),"Gebinde unbekannt / Stellmass fehlt; ","")&amp;IF(AND(BT1212=0,N(V1212)&lt;=0,N(Q1212)&lt;=0),"Menge pro Gebinde fehlt (Ist = 1 Gebinde); ","")&amp;BO1212)</f>
        <v>negativer Bestand (Export -12); Überbestand 235 Stk / CHF 10406; i.o</v>
      </c>
      <c r="BH1212" s="55"/>
      <c r="BI1212" s="55"/>
      <c r="BJ1212" s="62"/>
      <c r="BK1212" s="57" t="n">
        <v>-12</v>
      </c>
      <c r="BL1212" s="57" t="n">
        <v>397</v>
      </c>
      <c r="BM1212" s="56" t="n">
        <v>-531.36</v>
      </c>
      <c r="BN1212" s="57" t="n">
        <v>9</v>
      </c>
      <c r="BO1212" s="55" t="s">
        <v>536</v>
      </c>
      <c r="BP1212" s="60" t="n">
        <v>0</v>
      </c>
      <c r="BQ1212" s="60" t="n">
        <v>1212</v>
      </c>
      <c r="BR1212" s="55" t="str">
        <f aca="false">IF(U1212&lt;&gt;"",UPPER(TRIM(U1212)),IF(BU1212=1,UPPER(VLOOKUP(T1212,Parameter!$I$27:$K$29,2,0)),IF(P1212="","LOSE",P1212)))</f>
        <v>S61</v>
      </c>
      <c r="BS1212" s="57" t="n">
        <f aca="false">IF(BR1212="LOSE",1,IF(N(V1212)&gt;0,V1212,IF(BU1212=1,MAX(1,N(VLOOKUP(T1212,Parameter!$I$27:$K$29,3,0)),H1212,N(N1212)),IF(N(Q1212)&gt;0,Q1212,MAX(1,H1212)))))</f>
        <v>150</v>
      </c>
      <c r="BT1212" s="60" t="n">
        <f aca="false">IF(BR1212="LOSE",1,0)</f>
        <v>0</v>
      </c>
      <c r="BU1212" s="60" t="n">
        <f aca="false">IF(AND(U1212="",OR(P1212="",P1212="LOSE"),T1212&lt;&gt;"",N(S1212)&lt;=0,ISNUMBER(MATCH(T1212,Parameter!$I$27:$I$29,0))),1,0)</f>
        <v>0</v>
      </c>
      <c r="BV1212" s="55" t="str">
        <f aca="false">IF(AND(Parameter!$B$19="Ja",E1212&lt;&gt;"",ISNUMBER(MATCH(E1212,Parameter!$I$35:$I$52,0))),VLOOKUP(E1212,Parameter!$I$35:$J$52,2,0),IFERROR(VLOOKUP(D1212,Parameter!$A$35:$C$64,2,0),"Nein"))</f>
        <v>2+3</v>
      </c>
      <c r="BW1212" s="59" t="n">
        <f aca="false">IF(BT1212=0,0,IF(N(S1212)&gt;0,S1212,IFERROR(VLOOKUP(D1212,Parameter!$A$35:$C$64,3,0)+0,0)))</f>
        <v>0</v>
      </c>
      <c r="BX1212" s="55" t="n">
        <f aca="false">IF(AA1212&lt;&gt;"",AA1212,Z1212)</f>
        <v>2</v>
      </c>
      <c r="BY1212" s="55" t="str">
        <f aca="false">IF(BX1212=1,"L1",IF(OR(BX1212=2,BX1212=3),"L23",IF(BX1212="Aussen","Aussen","-")))</f>
        <v>L23</v>
      </c>
      <c r="BZ1212" s="66" t="n">
        <f aca="false">IF(N(AB1212)&gt;0,AB1212,0)</f>
        <v>0</v>
      </c>
      <c r="CA1212" s="60" t="n">
        <f aca="false">IF(ISNUMBER(AE1212),1,0)</f>
        <v>0</v>
      </c>
      <c r="CB1212" s="57" t="n">
        <f aca="false">N(AE1212)</f>
        <v>0</v>
      </c>
      <c r="CC1212" s="57" t="n">
        <f aca="false">N(M1212)+N(N1212)</f>
        <v>10</v>
      </c>
      <c r="CD1212" s="57" t="n">
        <f aca="false">ROUNDUP(H1212/BS1212,0)</f>
        <v>3</v>
      </c>
      <c r="CE1212" s="57" t="n">
        <f aca="false">ROUNDUP(CB1212/BS1212,0)</f>
        <v>0</v>
      </c>
      <c r="CF1212" s="60" t="n">
        <f aca="false">IF(BT1212=1,0,IFERROR(VLOOKUP(BR1212,'Gebinde-Kategorie'!$A$5:$M$45,5,0)+0,0))</f>
        <v>11</v>
      </c>
      <c r="CG1212" s="60" t="n">
        <f aca="false">IFERROR(IF(OR(BX1212=1,BX1212=2,BX1212=3),N(INDEX(Parameter!$I$5:$I$7,BX1212)),0),0)</f>
        <v>0</v>
      </c>
      <c r="CH1212" s="59" t="n">
        <f aca="false">IF(AND(Parameter!$B$21="Ja",ISNUMBER(W1212),N(X1212)&gt;0),IFERROR(N(INDEX(Parameter!$L$5:$L$7,W1212))*INDEX(Parameter!$E$5:$E$7,W1212)*X1212/SUMIFS($X$7:$X$1843,$W$7:$W$1843,W1212),0),0)</f>
        <v>0</v>
      </c>
    </row>
    <row r="1213" customFormat="false" ht="15" hidden="false" customHeight="false" outlineLevel="0" collapsed="false">
      <c r="A1213" s="55" t="s">
        <v>2178</v>
      </c>
      <c r="B1213" s="55" t="s">
        <v>1708</v>
      </c>
      <c r="C1213" s="55" t="s">
        <v>164</v>
      </c>
      <c r="D1213" s="55" t="s">
        <v>184</v>
      </c>
      <c r="E1213" s="55" t="s">
        <v>185</v>
      </c>
      <c r="F1213" s="55" t="s">
        <v>218</v>
      </c>
      <c r="G1213" s="56" t="n">
        <v>107</v>
      </c>
      <c r="H1213" s="57" t="n">
        <f aca="false">MAX(0,IF(AND(Parameter!$B$21="Ja",ISNUMBER(Y1213)),Y1213,IF(Parameter!$B$20="Jahresanfang 2025 + Export",BL1213+BK1213,BK1213)))</f>
        <v>16</v>
      </c>
      <c r="I1213" s="57" t="n">
        <f aca="false">H1213*G1213</f>
        <v>1712</v>
      </c>
      <c r="J1213" s="57" t="n">
        <f aca="false">BN1213*Parameter!$B$18</f>
        <v>14</v>
      </c>
      <c r="K1213" s="58" t="n">
        <v>23</v>
      </c>
      <c r="L1213" s="59" t="n">
        <v>0.608695652173913</v>
      </c>
      <c r="M1213" s="57" t="n">
        <v>3</v>
      </c>
      <c r="N1213" s="57" t="n">
        <v>15</v>
      </c>
      <c r="O1213" s="60" t="n">
        <v>84</v>
      </c>
      <c r="P1213" s="55" t="s">
        <v>233</v>
      </c>
      <c r="Q1213" s="57" t="n">
        <v>64</v>
      </c>
      <c r="R1213" s="60" t="n">
        <f aca="false">IF(BT1213=1,0,IFERROR(VLOOKUP(BR1213,'Gebinde-Kategorie'!$A$5:$M$45,13,0)+0,0))</f>
        <v>26</v>
      </c>
      <c r="S1213" s="61"/>
      <c r="T1213" s="62"/>
      <c r="U1213" s="62"/>
      <c r="V1213" s="62"/>
      <c r="W1213" s="55"/>
      <c r="X1213" s="57"/>
      <c r="Y1213" s="57"/>
      <c r="Z1213" s="55" t="n">
        <f aca="false">IF(A1213="","",IF(AND(Parameter!$B$21="Ja",ISNUMBER(W1213)),W1213,IF(BV1213="2+3",IF(ISNUMBER(SEARCH("grosser Artikel",BO1213)),2,IFERROR(VLOOKUP(BR1213,Parameter!$F$35:$G$64,2,0),2)),IF(OR(BV1213="Nein",BV1213=""),"-",BV1213))))</f>
        <v>3</v>
      </c>
      <c r="AA1213" s="62"/>
      <c r="AB1213" s="63"/>
      <c r="AC1213" s="57" t="n">
        <f aca="false">AR1213</f>
        <v>64</v>
      </c>
      <c r="AD1213" s="57" t="n">
        <f aca="false">MAX(AR1213,H1213)</f>
        <v>64</v>
      </c>
      <c r="AE1213" s="64"/>
      <c r="AF1213" s="57" t="n">
        <f aca="false">IF(LEFT(Cockpit!$C$5,1)="A",H1213,IF(CA1213=1,CB1213,IF(LEFT(Cockpit!$C$5,1)="B",AJ1213,MAX(AJ1213,H1213))))</f>
        <v>16</v>
      </c>
      <c r="AG1213" s="57" t="n">
        <f aca="false">IF(BT1213=1,0,ROUNDUP(AF1213/BS1213,0))</f>
        <v>1</v>
      </c>
      <c r="AH1213" s="59" t="n">
        <f aca="false">IF(CH1213&gt;0,CH1213*MAX(1,AF1213/X1213),IF(BT1213=1,IF(AF1213&lt;=0,0,BW1213*MAX(1,IF(H1213&gt;0,AF1213/H1213,1))),IF(R1213&gt;0,AG1213/R1213,0))/MAX(0.1,N(Parameter!$M$21)))</f>
        <v>0.0384615384615385</v>
      </c>
      <c r="AI1213" s="57" t="n">
        <f aca="false">AF1213*G1213</f>
        <v>1712</v>
      </c>
      <c r="AJ1213" s="57" t="n">
        <f aca="false">ROUNDUP(MAX(J1213/IF(BZ1213&gt;0,BZ1213,MAX(0.1,N(Cockpit!$C$6))),CC1213)/BS1213,0)*BS1213</f>
        <v>64</v>
      </c>
      <c r="AK1213" s="58" t="n">
        <f aca="false">IF(AH1213&gt;0,J1213/AH1213,-1)</f>
        <v>364</v>
      </c>
      <c r="AL1213" s="58" t="n">
        <f aca="false">IF(AND(OR(BY1213="L1",BY1213="L23"),AH1213&gt;0),SUMIFS($AH$7:$AH$1843,$BY$7:$BY$1843,BY1213,$AK$7:$AK$1843,"&gt;"&amp;AK1213)+SUMIFS($AH$7:$AH$1843,$BY$7:$BY$1843,BY1213,$AK$7:$AK$1843,AK1213,$BQ$7:$BQ$1843,"&lt;="&amp;BQ1213),"")</f>
        <v>27.0467129488869</v>
      </c>
      <c r="AM1213" s="65" t="n">
        <f aca="false">IF(AL1213="",0,MAX(0,MIN(1,(IF(BY1213="L1",Parameter!$E$5,Parameter!$E$6+Parameter!$E$7)-(AL1213-AH1213))/AH1213)))</f>
        <v>1</v>
      </c>
      <c r="AN1213" s="57" t="n">
        <f aca="false">IF(LEFT(Cockpit!$I$5,1)="A",H1213,IF(CA1213=1,CB1213,IF(LEFT(Cockpit!$I$5,1)="B",AR1213,MAX(AR1213,H1213))))</f>
        <v>64</v>
      </c>
      <c r="AO1213" s="57" t="n">
        <f aca="false">IF(BT1213=1,0,ROUNDUP(AN1213/BS1213,0))</f>
        <v>1</v>
      </c>
      <c r="AP1213" s="59" t="n">
        <f aca="false">IF(CH1213&gt;0,CH1213*MAX(1,AN1213/X1213),IF(BT1213=1,IF(AN1213&lt;=0,0,BW1213*MAX(1,IF(H1213&gt;0,AN1213/H1213,1))),IF(R1213&gt;0,AO1213/R1213,0))/MAX(0.1,N(Parameter!$M$21)))</f>
        <v>0.0384615384615385</v>
      </c>
      <c r="AQ1213" s="57" t="n">
        <f aca="false">AN1213*G1213</f>
        <v>6848</v>
      </c>
      <c r="AR1213" s="57" t="n">
        <f aca="false">ROUNDUP(MAX(J1213/IF(BZ1213&gt;0,BZ1213,MAX(0.1,N(Cockpit!$I$6))),CC1213)/BS1213,0)*BS1213</f>
        <v>64</v>
      </c>
      <c r="AS1213" s="58" t="n">
        <f aca="false">IF(AP1213&gt;0,J1213/AP1213,-1)</f>
        <v>364</v>
      </c>
      <c r="AT1213" s="58" t="n">
        <f aca="false">IF(AND(OR(BY1213="L1",BY1213="L23"),AP1213&gt;0),SUMIFS($AP$7:$AP$1843,$BY$7:$BY$1843,BY1213,$AS$7:$AS$1843,"&gt;"&amp;AS1213)+SUMIFS($AP$7:$AP$1843,$BY$7:$BY$1843,BY1213,$AS$7:$AS$1843,AS1213,$BQ$7:$BQ$1843,"&lt;="&amp;BQ1213),"")</f>
        <v>36.5990422620857</v>
      </c>
      <c r="AU1213" s="65" t="n">
        <f aca="false">IF(AT1213="",0,MAX(0,MIN(1,(IF(BY1213="L1",Parameter!$E$5,Parameter!$E$6+Parameter!$E$7)-(AT1213-AP1213))/AP1213)))</f>
        <v>1</v>
      </c>
      <c r="AV1213" s="57" t="n">
        <f aca="false">IF(LEFT(Cockpit!$O$5,1)="A",H1213,IF(CA1213=1,CB1213,IF(LEFT(Cockpit!$O$5,1)="B",AZ1213,MAX(AZ1213,H1213))))</f>
        <v>64</v>
      </c>
      <c r="AW1213" s="57" t="n">
        <f aca="false">IF(BT1213=1,0,ROUNDUP(AV1213/BS1213,0))</f>
        <v>1</v>
      </c>
      <c r="AX1213" s="59" t="n">
        <f aca="false">IF(CH1213&gt;0,CH1213*MAX(1,AV1213/X1213),IF(BT1213=1,IF(AV1213&lt;=0,0,BW1213*MAX(1,IF(H1213&gt;0,AV1213/H1213,1))),IF(R1213&gt;0,AW1213/R1213,0))/MAX(0.1,N(Parameter!$M$21)))</f>
        <v>0.0384615384615385</v>
      </c>
      <c r="AY1213" s="57" t="n">
        <f aca="false">AV1213*G1213</f>
        <v>6848</v>
      </c>
      <c r="AZ1213" s="57" t="n">
        <f aca="false">ROUNDUP(MAX(J1213/IF(BZ1213&gt;0,BZ1213,MAX(0.1,N(Cockpit!$O$6))),CC1213)/BS1213,0)*BS1213</f>
        <v>64</v>
      </c>
      <c r="BA1213" s="58" t="n">
        <f aca="false">IF(AX1213&gt;0,J1213/AX1213,-1)</f>
        <v>364</v>
      </c>
      <c r="BB1213" s="58" t="n">
        <f aca="false">IF(AND(OR(BY1213="L1",BY1213="L23"),AX1213&gt;0),SUMIFS($AX$7:$AX$1843,$BY$7:$BY$1843,BY1213,$BA$7:$BA$1843,"&gt;"&amp;BA1213)+SUMIFS($AX$7:$AX$1843,$BY$7:$BY$1843,BY1213,$BA$7:$BA$1843,BA1213,$BQ$7:$BQ$1843,"&lt;="&amp;BQ1213),"")</f>
        <v>35.8455457585892</v>
      </c>
      <c r="BC1213" s="65" t="n">
        <f aca="false">IF(BB1213="",0,MAX(0,MIN(1,(IF(BY1213="L1",Parameter!$E$5,Parameter!$E$6+Parameter!$E$7)-(BB1213-AX1213))/AX1213)))</f>
        <v>1</v>
      </c>
      <c r="BD1213" s="55" t="str">
        <f aca="false">IF(AH1213&lt;=0,"",IF(BY1213="Aussen","Aussenlager",IF(BY1213="-","Nicht im Lift",IF(AM1213&gt;=1,"Lift",IF(AM1213&lt;=0,"Aussenlager","teilweise")))))</f>
        <v>Lift</v>
      </c>
      <c r="BE1213" s="55" t="str">
        <f aca="false">IF(AP1213&lt;=0,"",IF(BY1213="Aussen","Aussenlager",IF(BY1213="-","Nicht im Lift",IF(AU1213&gt;=1,"Lift",IF(AU1213&lt;=0,"Aussenlager","teilweise")))))</f>
        <v>Lift</v>
      </c>
      <c r="BF1213" s="55" t="str">
        <f aca="false">IF(AX1213&lt;=0,"",IF(BY1213="Aussen","Aussenlager",IF(BY1213="-","Nicht im Lift",IF(BC1213&gt;=1,"Lift",IF(BC1213&lt;=0,"Aussenlager","teilweise")))))</f>
        <v>Lift</v>
      </c>
      <c r="BG1213" s="55" t="str">
        <f aca="false">IF(A1213="","",IF(BP1213=1,"Neu; ","")&amp;IF(AND(BP1213=0,BK1213&lt;0),"negativer Bestand (Export "&amp;BK1213&amp;"); ","")&amp;IF(J1213&lt;=0,"Kein Verbrauch; ","")&amp;IF(CH1213&gt;0,"Lift "&amp;W1213&amp;" lt. Liftbericht (Fach "&amp;X1213&amp;" Stk); ",IF(BU1213=1,"Gebinde geschätzt ("&amp;T1213&amp;"); ",IF(BT1213=1,"Lose – Tablare geschätzt; ","")))&amp;IF(H1213&gt;AR1213,"Überbestand "&amp;ROUND(H1213-AR1213,0)&amp;" Stk / CHF "&amp;ROUND((H1213-AR1213)*G1213,0)&amp;"; ","")&amp;IF(AND(CA1213=1,CB1213&lt;CC1213),"MAX &lt; MB+LG; ","")&amp;IF(AND(CG1213&gt;0,CF1213*10&gt;CG1213),"zu hoch für Tablar; ","")&amp;IF(AND(BP1213=0,OR(CA1213=1,AA1213&lt;&gt;"",U1213&lt;&gt;"",V1213&lt;&gt;"",AB1213&lt;&gt;"")),"manuell übersteuert; ","")&amp;IF(AND(BT1213=0,R1213=0),"Gebinde unbekannt / Stellmass fehlt; ","")&amp;IF(AND(BT1213=0,N(V1213)&lt;=0,N(Q1213)&lt;=0),"Menge pro Gebinde fehlt (Ist = 1 Gebinde); ","")&amp;BO1213)</f>
        <v>negativer Bestand (Export -5); </v>
      </c>
      <c r="BH1213" s="55"/>
      <c r="BI1213" s="55"/>
      <c r="BJ1213" s="62"/>
      <c r="BK1213" s="57" t="n">
        <v>-5</v>
      </c>
      <c r="BL1213" s="57" t="n">
        <v>21</v>
      </c>
      <c r="BM1213" s="56" t="n">
        <v>-535</v>
      </c>
      <c r="BN1213" s="57" t="n">
        <v>14</v>
      </c>
      <c r="BO1213" s="55"/>
      <c r="BP1213" s="60" t="n">
        <v>0</v>
      </c>
      <c r="BQ1213" s="60" t="n">
        <v>1213</v>
      </c>
      <c r="BR1213" s="55" t="str">
        <f aca="false">IF(U1213&lt;&gt;"",UPPER(TRIM(U1213)),IF(BU1213=1,UPPER(VLOOKUP(T1213,Parameter!$I$27:$K$29,2,0)),IF(P1213="","LOSE",P1213)))</f>
        <v>S52</v>
      </c>
      <c r="BS1213" s="57" t="n">
        <f aca="false">IF(BR1213="LOSE",1,IF(N(V1213)&gt;0,V1213,IF(BU1213=1,MAX(1,N(VLOOKUP(T1213,Parameter!$I$27:$K$29,3,0)),H1213,N(N1213)),IF(N(Q1213)&gt;0,Q1213,MAX(1,H1213)))))</f>
        <v>64</v>
      </c>
      <c r="BT1213" s="60" t="n">
        <f aca="false">IF(BR1213="LOSE",1,0)</f>
        <v>0</v>
      </c>
      <c r="BU1213" s="60" t="n">
        <f aca="false">IF(AND(U1213="",OR(P1213="",P1213="LOSE"),T1213&lt;&gt;"",N(S1213)&lt;=0,ISNUMBER(MATCH(T1213,Parameter!$I$27:$I$29,0))),1,0)</f>
        <v>0</v>
      </c>
      <c r="BV1213" s="55" t="str">
        <f aca="false">IF(AND(Parameter!$B$19="Ja",E1213&lt;&gt;"",ISNUMBER(MATCH(E1213,Parameter!$I$35:$I$52,0))),VLOOKUP(E1213,Parameter!$I$35:$J$52,2,0),IFERROR(VLOOKUP(D1213,Parameter!$A$35:$C$64,2,0),"Nein"))</f>
        <v>2+3</v>
      </c>
      <c r="BW1213" s="59" t="n">
        <f aca="false">IF(BT1213=0,0,IF(N(S1213)&gt;0,S1213,IFERROR(VLOOKUP(D1213,Parameter!$A$35:$C$64,3,0)+0,0)))</f>
        <v>0</v>
      </c>
      <c r="BX1213" s="55" t="n">
        <f aca="false">IF(AA1213&lt;&gt;"",AA1213,Z1213)</f>
        <v>3</v>
      </c>
      <c r="BY1213" s="55" t="str">
        <f aca="false">IF(BX1213=1,"L1",IF(OR(BX1213=2,BX1213=3),"L23",IF(BX1213="Aussen","Aussen","-")))</f>
        <v>L23</v>
      </c>
      <c r="BZ1213" s="66" t="n">
        <f aca="false">IF(N(AB1213)&gt;0,AB1213,0)</f>
        <v>0</v>
      </c>
      <c r="CA1213" s="60" t="n">
        <f aca="false">IF(ISNUMBER(AE1213),1,0)</f>
        <v>0</v>
      </c>
      <c r="CB1213" s="57" t="n">
        <f aca="false">N(AE1213)</f>
        <v>0</v>
      </c>
      <c r="CC1213" s="57" t="n">
        <f aca="false">N(M1213)+N(N1213)</f>
        <v>18</v>
      </c>
      <c r="CD1213" s="57" t="n">
        <f aca="false">ROUNDUP(H1213/BS1213,0)</f>
        <v>1</v>
      </c>
      <c r="CE1213" s="57" t="n">
        <f aca="false">ROUNDUP(CB1213/BS1213,0)</f>
        <v>0</v>
      </c>
      <c r="CF1213" s="60" t="n">
        <f aca="false">IF(BT1213=1,0,IFERROR(VLOOKUP(BR1213,'Gebinde-Kategorie'!$A$5:$M$45,5,0)+0,0))</f>
        <v>21</v>
      </c>
      <c r="CG1213" s="60" t="n">
        <f aca="false">IFERROR(IF(OR(BX1213=1,BX1213=2,BX1213=3),N(INDEX(Parameter!$I$5:$I$7,BX1213)),0),0)</f>
        <v>0</v>
      </c>
      <c r="CH1213" s="59" t="n">
        <f aca="false">IF(AND(Parameter!$B$21="Ja",ISNUMBER(W1213),N(X1213)&gt;0),IFERROR(N(INDEX(Parameter!$L$5:$L$7,W1213))*INDEX(Parameter!$E$5:$E$7,W1213)*X1213/SUMIFS($X$7:$X$1843,$W$7:$W$1843,W1213),0),0)</f>
        <v>0</v>
      </c>
    </row>
    <row r="1214" customFormat="false" ht="15" hidden="false" customHeight="false" outlineLevel="0" collapsed="false">
      <c r="A1214" s="55" t="s">
        <v>2179</v>
      </c>
      <c r="B1214" s="55" t="s">
        <v>2180</v>
      </c>
      <c r="C1214" s="55" t="s">
        <v>164</v>
      </c>
      <c r="D1214" s="55" t="s">
        <v>173</v>
      </c>
      <c r="E1214" s="55" t="s">
        <v>465</v>
      </c>
      <c r="F1214" s="55" t="s">
        <v>218</v>
      </c>
      <c r="G1214" s="56" t="n">
        <v>86</v>
      </c>
      <c r="H1214" s="57" t="n">
        <f aca="false">MAX(0,IF(AND(Parameter!$B$21="Ja",ISNUMBER(Y1214)),Y1214,IF(Parameter!$B$20="Jahresanfang 2025 + Export",BL1214+BK1214,BK1214)))</f>
        <v>2</v>
      </c>
      <c r="I1214" s="57" t="n">
        <f aca="false">H1214*G1214</f>
        <v>172</v>
      </c>
      <c r="J1214" s="57" t="n">
        <f aca="false">BN1214*Parameter!$B$18</f>
        <v>36</v>
      </c>
      <c r="K1214" s="58" t="n">
        <v>13</v>
      </c>
      <c r="L1214" s="59" t="n">
        <v>2.76923076923077</v>
      </c>
      <c r="M1214" s="57" t="n">
        <v>1</v>
      </c>
      <c r="N1214" s="57" t="n">
        <v>2</v>
      </c>
      <c r="O1214" s="60" t="n">
        <v>14</v>
      </c>
      <c r="P1214" s="55" t="s">
        <v>168</v>
      </c>
      <c r="Q1214" s="57"/>
      <c r="R1214" s="60" t="n">
        <f aca="false">IF(BT1214=1,0,IFERROR(VLOOKUP(BR1214,'Gebinde-Kategorie'!$A$5:$M$45,13,0)+0,0))</f>
        <v>3</v>
      </c>
      <c r="S1214" s="61"/>
      <c r="T1214" s="62" t="s">
        <v>189</v>
      </c>
      <c r="U1214" s="62"/>
      <c r="V1214" s="62"/>
      <c r="W1214" s="55"/>
      <c r="X1214" s="57"/>
      <c r="Y1214" s="57"/>
      <c r="Z1214" s="55" t="str">
        <f aca="false">IF(A1214="","",IF(AND(Parameter!$B$21="Ja",ISNUMBER(W1214)),W1214,IF(BV1214="2+3",IF(ISNUMBER(SEARCH("grosser Artikel",BO1214)),2,IFERROR(VLOOKUP(BR1214,Parameter!$F$35:$G$64,2,0),2)),IF(OR(BV1214="Nein",BV1214=""),"-",BV1214))))</f>
        <v>-</v>
      </c>
      <c r="AA1214" s="62"/>
      <c r="AB1214" s="63"/>
      <c r="AC1214" s="57" t="n">
        <f aca="false">AR1214</f>
        <v>18</v>
      </c>
      <c r="AD1214" s="57" t="n">
        <f aca="false">MAX(AR1214,H1214)</f>
        <v>18</v>
      </c>
      <c r="AE1214" s="64"/>
      <c r="AF1214" s="57" t="n">
        <f aca="false">IF(LEFT(Cockpit!$C$5,1)="A",H1214,IF(CA1214=1,CB1214,IF(LEFT(Cockpit!$C$5,1)="B",AJ1214,MAX(AJ1214,H1214))))</f>
        <v>2</v>
      </c>
      <c r="AG1214" s="57" t="n">
        <f aca="false">IF(BT1214=1,0,ROUNDUP(AF1214/BS1214,0))</f>
        <v>1</v>
      </c>
      <c r="AH1214" s="59" t="n">
        <f aca="false">IF(CH1214&gt;0,CH1214*MAX(1,AF1214/X1214),IF(BT1214=1,IF(AF1214&lt;=0,0,BW1214*MAX(1,IF(H1214&gt;0,AF1214/H1214,1))),IF(R1214&gt;0,AG1214/R1214,0))/MAX(0.1,N(Parameter!$M$21)))</f>
        <v>0.333333333333333</v>
      </c>
      <c r="AI1214" s="57" t="n">
        <f aca="false">AF1214*G1214</f>
        <v>172</v>
      </c>
      <c r="AJ1214" s="57" t="n">
        <f aca="false">ROUNDUP(MAX(J1214/IF(BZ1214&gt;0,BZ1214,MAX(0.1,N(Cockpit!$C$6))),CC1214)/BS1214,0)*BS1214</f>
        <v>18</v>
      </c>
      <c r="AK1214" s="58" t="n">
        <f aca="false">IF(AH1214&gt;0,J1214/AH1214,-1)</f>
        <v>108</v>
      </c>
      <c r="AL1214" s="58" t="str">
        <f aca="false">IF(AND(OR(BY1214="L1",BY1214="L23"),AH1214&gt;0),SUMIFS($AH$7:$AH$1843,$BY$7:$BY$1843,BY1214,$AK$7:$AK$1843,"&gt;"&amp;AK1214)+SUMIFS($AH$7:$AH$1843,$BY$7:$BY$1843,BY1214,$AK$7:$AK$1843,AK1214,$BQ$7:$BQ$1843,"&lt;="&amp;BQ1214),"")</f>
        <v/>
      </c>
      <c r="AM1214" s="65" t="n">
        <f aca="false">IF(AL1214="",0,MAX(0,MIN(1,(IF(BY1214="L1",Parameter!$E$5,Parameter!$E$6+Parameter!$E$7)-(AL1214-AH1214))/AH1214)))</f>
        <v>0</v>
      </c>
      <c r="AN1214" s="57" t="n">
        <f aca="false">IF(LEFT(Cockpit!$I$5,1)="A",H1214,IF(CA1214=1,CB1214,IF(LEFT(Cockpit!$I$5,1)="B",AR1214,MAX(AR1214,H1214))))</f>
        <v>18</v>
      </c>
      <c r="AO1214" s="57" t="n">
        <f aca="false">IF(BT1214=1,0,ROUNDUP(AN1214/BS1214,0))</f>
        <v>9</v>
      </c>
      <c r="AP1214" s="59" t="n">
        <f aca="false">IF(CH1214&gt;0,CH1214*MAX(1,AN1214/X1214),IF(BT1214=1,IF(AN1214&lt;=0,0,BW1214*MAX(1,IF(H1214&gt;0,AN1214/H1214,1))),IF(R1214&gt;0,AO1214/R1214,0))/MAX(0.1,N(Parameter!$M$21)))</f>
        <v>3</v>
      </c>
      <c r="AQ1214" s="57" t="n">
        <f aca="false">AN1214*G1214</f>
        <v>1548</v>
      </c>
      <c r="AR1214" s="57" t="n">
        <f aca="false">ROUNDUP(MAX(J1214/IF(BZ1214&gt;0,BZ1214,MAX(0.1,N(Cockpit!$I$6))),CC1214)/BS1214,0)*BS1214</f>
        <v>18</v>
      </c>
      <c r="AS1214" s="58" t="n">
        <f aca="false">IF(AP1214&gt;0,J1214/AP1214,-1)</f>
        <v>12</v>
      </c>
      <c r="AT1214" s="58" t="str">
        <f aca="false">IF(AND(OR(BY1214="L1",BY1214="L23"),AP1214&gt;0),SUMIFS($AP$7:$AP$1843,$BY$7:$BY$1843,BY1214,$AS$7:$AS$1843,"&gt;"&amp;AS1214)+SUMIFS($AP$7:$AP$1843,$BY$7:$BY$1843,BY1214,$AS$7:$AS$1843,AS1214,$BQ$7:$BQ$1843,"&lt;="&amp;BQ1214),"")</f>
        <v/>
      </c>
      <c r="AU1214" s="65" t="n">
        <f aca="false">IF(AT1214="",0,MAX(0,MIN(1,(IF(BY1214="L1",Parameter!$E$5,Parameter!$E$6+Parameter!$E$7)-(AT1214-AP1214))/AP1214)))</f>
        <v>0</v>
      </c>
      <c r="AV1214" s="57" t="n">
        <f aca="false">IF(LEFT(Cockpit!$O$5,1)="A",H1214,IF(CA1214=1,CB1214,IF(LEFT(Cockpit!$O$5,1)="B",AZ1214,MAX(AZ1214,H1214))))</f>
        <v>12</v>
      </c>
      <c r="AW1214" s="57" t="n">
        <f aca="false">IF(BT1214=1,0,ROUNDUP(AV1214/BS1214,0))</f>
        <v>6</v>
      </c>
      <c r="AX1214" s="59" t="n">
        <f aca="false">IF(CH1214&gt;0,CH1214*MAX(1,AV1214/X1214),IF(BT1214=1,IF(AV1214&lt;=0,0,BW1214*MAX(1,IF(H1214&gt;0,AV1214/H1214,1))),IF(R1214&gt;0,AW1214/R1214,0))/MAX(0.1,N(Parameter!$M$21)))</f>
        <v>2</v>
      </c>
      <c r="AY1214" s="57" t="n">
        <f aca="false">AV1214*G1214</f>
        <v>1032</v>
      </c>
      <c r="AZ1214" s="57" t="n">
        <f aca="false">ROUNDUP(MAX(J1214/IF(BZ1214&gt;0,BZ1214,MAX(0.1,N(Cockpit!$O$6))),CC1214)/BS1214,0)*BS1214</f>
        <v>12</v>
      </c>
      <c r="BA1214" s="58" t="n">
        <f aca="false">IF(AX1214&gt;0,J1214/AX1214,-1)</f>
        <v>18</v>
      </c>
      <c r="BB1214" s="58" t="str">
        <f aca="false">IF(AND(OR(BY1214="L1",BY1214="L23"),AX1214&gt;0),SUMIFS($AX$7:$AX$1843,$BY$7:$BY$1843,BY1214,$BA$7:$BA$1843,"&gt;"&amp;BA1214)+SUMIFS($AX$7:$AX$1843,$BY$7:$BY$1843,BY1214,$BA$7:$BA$1843,BA1214,$BQ$7:$BQ$1843,"&lt;="&amp;BQ1214),"")</f>
        <v/>
      </c>
      <c r="BC1214" s="65" t="n">
        <f aca="false">IF(BB1214="",0,MAX(0,MIN(1,(IF(BY1214="L1",Parameter!$E$5,Parameter!$E$6+Parameter!$E$7)-(BB1214-AX1214))/AX1214)))</f>
        <v>0</v>
      </c>
      <c r="BD1214" s="55" t="str">
        <f aca="false">IF(AH1214&lt;=0,"",IF(BY1214="Aussen","Aussenlager",IF(BY1214="-","Nicht im Lift",IF(AM1214&gt;=1,"Lift",IF(AM1214&lt;=0,"Aussenlager","teilweise")))))</f>
        <v>Nicht im Lift</v>
      </c>
      <c r="BE1214" s="55" t="str">
        <f aca="false">IF(AP1214&lt;=0,"",IF(BY1214="Aussen","Aussenlager",IF(BY1214="-","Nicht im Lift",IF(AU1214&gt;=1,"Lift",IF(AU1214&lt;=0,"Aussenlager","teilweise")))))</f>
        <v>Nicht im Lift</v>
      </c>
      <c r="BF1214" s="55" t="str">
        <f aca="false">IF(AX1214&lt;=0,"",IF(BY1214="Aussen","Aussenlager",IF(BY1214="-","Nicht im Lift",IF(BC1214&gt;=1,"Lift",IF(BC1214&lt;=0,"Aussenlager","teilweise")))))</f>
        <v>Nicht im Lift</v>
      </c>
      <c r="BG1214" s="55" t="str">
        <f aca="false">IF(A1214="","",IF(BP1214=1,"Neu; ","")&amp;IF(AND(BP1214=0,BK1214&lt;0),"negativer Bestand (Export "&amp;BK1214&amp;"); ","")&amp;IF(J1214&lt;=0,"Kein Verbrauch; ","")&amp;IF(CH1214&gt;0,"Lift "&amp;W1214&amp;" lt. Liftbericht (Fach "&amp;X1214&amp;" Stk); ",IF(BU1214=1,"Gebinde geschätzt ("&amp;T1214&amp;"); ",IF(BT1214=1,"Lose – Tablare geschätzt; ","")))&amp;IF(H1214&gt;AR1214,"Überbestand "&amp;ROUND(H1214-AR1214,0)&amp;" Stk / CHF "&amp;ROUND((H1214-AR1214)*G1214,0)&amp;"; ","")&amp;IF(AND(CA1214=1,CB1214&lt;CC1214),"MAX &lt; MB+LG; ","")&amp;IF(AND(CG1214&gt;0,CF1214*10&gt;CG1214),"zu hoch für Tablar; ","")&amp;IF(AND(BP1214=0,OR(CA1214=1,AA1214&lt;&gt;"",U1214&lt;&gt;"",V1214&lt;&gt;"",AB1214&lt;&gt;"")),"manuell übersteuert; ","")&amp;IF(AND(BT1214=0,R1214=0),"Gebinde unbekannt / Stellmass fehlt; ","")&amp;IF(AND(BT1214=0,N(V1214)&lt;=0,N(Q1214)&lt;=0),"Menge pro Gebinde fehlt (Ist = 1 Gebinde); ","")&amp;BO1214)</f>
        <v>negativer Bestand (Export -7); Gebinde geschätzt (Gross); Menge pro Gebinde fehlt (Ist = 1 Gebinde); </v>
      </c>
      <c r="BH1214" s="55"/>
      <c r="BI1214" s="55"/>
      <c r="BJ1214" s="62"/>
      <c r="BK1214" s="57" t="n">
        <v>-7</v>
      </c>
      <c r="BL1214" s="57" t="n">
        <v>9</v>
      </c>
      <c r="BM1214" s="56" t="n">
        <v>-544.22</v>
      </c>
      <c r="BN1214" s="57" t="n">
        <v>36</v>
      </c>
      <c r="BO1214" s="55"/>
      <c r="BP1214" s="60" t="n">
        <v>0</v>
      </c>
      <c r="BQ1214" s="60" t="n">
        <v>1214</v>
      </c>
      <c r="BR1214" s="55" t="str">
        <f aca="false">IF(U1214&lt;&gt;"",UPPER(TRIM(U1214)),IF(BU1214=1,UPPER(VLOOKUP(T1214,Parameter!$I$27:$K$29,2,0)),IF(P1214="","LOSE",P1214)))</f>
        <v>S81</v>
      </c>
      <c r="BS1214" s="57" t="n">
        <f aca="false">IF(BR1214="LOSE",1,IF(N(V1214)&gt;0,V1214,IF(BU1214=1,MAX(1,N(VLOOKUP(T1214,Parameter!$I$27:$K$29,3,0)),H1214,N(N1214)),IF(N(Q1214)&gt;0,Q1214,MAX(1,H1214)))))</f>
        <v>2</v>
      </c>
      <c r="BT1214" s="60" t="n">
        <f aca="false">IF(BR1214="LOSE",1,0)</f>
        <v>0</v>
      </c>
      <c r="BU1214" s="60" t="n">
        <f aca="false">IF(AND(U1214="",OR(P1214="",P1214="LOSE"),T1214&lt;&gt;"",N(S1214)&lt;=0,ISNUMBER(MATCH(T1214,Parameter!$I$27:$I$29,0))),1,0)</f>
        <v>1</v>
      </c>
      <c r="BV1214" s="55" t="str">
        <f aca="false">IF(AND(Parameter!$B$19="Ja",E1214&lt;&gt;"",ISNUMBER(MATCH(E1214,Parameter!$I$35:$I$52,0))),VLOOKUP(E1214,Parameter!$I$35:$J$52,2,0),IFERROR(VLOOKUP(D1214,Parameter!$A$35:$C$64,2,0),"Nein"))</f>
        <v>Nein</v>
      </c>
      <c r="BW1214" s="59" t="n">
        <f aca="false">IF(BT1214=0,0,IF(N(S1214)&gt;0,S1214,IFERROR(VLOOKUP(D1214,Parameter!$A$35:$C$64,3,0)+0,0)))</f>
        <v>0</v>
      </c>
      <c r="BX1214" s="55" t="str">
        <f aca="false">IF(AA1214&lt;&gt;"",AA1214,Z1214)</f>
        <v>-</v>
      </c>
      <c r="BY1214" s="55" t="str">
        <f aca="false">IF(BX1214=1,"L1",IF(OR(BX1214=2,BX1214=3),"L23",IF(BX1214="Aussen","Aussen","-")))</f>
        <v>-</v>
      </c>
      <c r="BZ1214" s="66" t="n">
        <f aca="false">IF(N(AB1214)&gt;0,AB1214,0)</f>
        <v>0</v>
      </c>
      <c r="CA1214" s="60" t="n">
        <f aca="false">IF(ISNUMBER(AE1214),1,0)</f>
        <v>0</v>
      </c>
      <c r="CB1214" s="57" t="n">
        <f aca="false">N(AE1214)</f>
        <v>0</v>
      </c>
      <c r="CC1214" s="57" t="n">
        <f aca="false">N(M1214)+N(N1214)</f>
        <v>3</v>
      </c>
      <c r="CD1214" s="57" t="n">
        <f aca="false">ROUNDUP(H1214/BS1214,0)</f>
        <v>1</v>
      </c>
      <c r="CE1214" s="57" t="n">
        <f aca="false">ROUNDUP(CB1214/BS1214,0)</f>
        <v>0</v>
      </c>
      <c r="CF1214" s="60" t="n">
        <f aca="false">IF(BT1214=1,0,IFERROR(VLOOKUP(BR1214,'Gebinde-Kategorie'!$A$5:$M$45,5,0)+0,0))</f>
        <v>20</v>
      </c>
      <c r="CG1214" s="60" t="n">
        <f aca="false">IFERROR(IF(OR(BX1214=1,BX1214=2,BX1214=3),N(INDEX(Parameter!$I$5:$I$7,BX1214)),0),0)</f>
        <v>0</v>
      </c>
      <c r="CH1214" s="59" t="n">
        <f aca="false">IF(AND(Parameter!$B$21="Ja",ISNUMBER(W1214),N(X1214)&gt;0),IFERROR(N(INDEX(Parameter!$L$5:$L$7,W1214))*INDEX(Parameter!$E$5:$E$7,W1214)*X1214/SUMIFS($X$7:$X$1843,$W$7:$W$1843,W1214),0),0)</f>
        <v>0</v>
      </c>
    </row>
    <row r="1215" customFormat="false" ht="15" hidden="false" customHeight="false" outlineLevel="0" collapsed="false">
      <c r="A1215" s="55" t="s">
        <v>2181</v>
      </c>
      <c r="B1215" s="55" t="s">
        <v>2182</v>
      </c>
      <c r="C1215" s="55" t="s">
        <v>456</v>
      </c>
      <c r="D1215" s="55" t="s">
        <v>173</v>
      </c>
      <c r="E1215" s="55" t="s">
        <v>1479</v>
      </c>
      <c r="F1215" s="55" t="s">
        <v>218</v>
      </c>
      <c r="G1215" s="56" t="n">
        <v>141.18</v>
      </c>
      <c r="H1215" s="57" t="n">
        <f aca="false">MAX(0,IF(AND(Parameter!$B$21="Ja",ISNUMBER(Y1215)),Y1215,IF(Parameter!$B$20="Jahresanfang 2025 + Export",BL1215+BK1215,BK1215)))</f>
        <v>0</v>
      </c>
      <c r="I1215" s="57" t="n">
        <f aca="false">H1215*G1215</f>
        <v>0</v>
      </c>
      <c r="J1215" s="57" t="n">
        <f aca="false">BN1215*Parameter!$B$18</f>
        <v>0</v>
      </c>
      <c r="K1215" s="58" t="n">
        <v>2</v>
      </c>
      <c r="L1215" s="59" t="n">
        <v>0</v>
      </c>
      <c r="M1215" s="57" t="n">
        <v>0</v>
      </c>
      <c r="N1215" s="57" t="n">
        <v>1</v>
      </c>
      <c r="O1215" s="60" t="n">
        <v>56</v>
      </c>
      <c r="P1215" s="55" t="s">
        <v>168</v>
      </c>
      <c r="Q1215" s="57"/>
      <c r="R1215" s="60" t="n">
        <f aca="false">IF(BT1215=1,0,IFERROR(VLOOKUP(BR1215,'Gebinde-Kategorie'!$A$5:$M$45,13,0)+0,0))</f>
        <v>3</v>
      </c>
      <c r="S1215" s="61"/>
      <c r="T1215" s="62" t="s">
        <v>189</v>
      </c>
      <c r="U1215" s="62"/>
      <c r="V1215" s="62"/>
      <c r="W1215" s="55"/>
      <c r="X1215" s="57"/>
      <c r="Y1215" s="57"/>
      <c r="Z1215" s="55" t="str">
        <f aca="false">IF(A1215="","",IF(AND(Parameter!$B$21="Ja",ISNUMBER(W1215)),W1215,IF(BV1215="2+3",IF(ISNUMBER(SEARCH("grosser Artikel",BO1215)),2,IFERROR(VLOOKUP(BR1215,Parameter!$F$35:$G$64,2,0),2)),IF(OR(BV1215="Nein",BV1215=""),"-",BV1215))))</f>
        <v>-</v>
      </c>
      <c r="AA1215" s="62"/>
      <c r="AB1215" s="63"/>
      <c r="AC1215" s="57" t="n">
        <f aca="false">AR1215</f>
        <v>2</v>
      </c>
      <c r="AD1215" s="57" t="n">
        <f aca="false">MAX(AR1215,H1215)</f>
        <v>2</v>
      </c>
      <c r="AE1215" s="64"/>
      <c r="AF1215" s="57" t="n">
        <f aca="false">IF(LEFT(Cockpit!$C$5,1)="A",H1215,IF(CA1215=1,CB1215,IF(LEFT(Cockpit!$C$5,1)="B",AJ1215,MAX(AJ1215,H1215))))</f>
        <v>0</v>
      </c>
      <c r="AG1215" s="57" t="n">
        <f aca="false">IF(BT1215=1,0,ROUNDUP(AF1215/BS1215,0))</f>
        <v>0</v>
      </c>
      <c r="AH1215" s="59" t="n">
        <f aca="false">IF(CH1215&gt;0,CH1215*MAX(1,AF1215/X1215),IF(BT1215=1,IF(AF1215&lt;=0,0,BW1215*MAX(1,IF(H1215&gt;0,AF1215/H1215,1))),IF(R1215&gt;0,AG1215/R1215,0))/MAX(0.1,N(Parameter!$M$21)))</f>
        <v>0</v>
      </c>
      <c r="AI1215" s="57" t="n">
        <f aca="false">AF1215*G1215</f>
        <v>0</v>
      </c>
      <c r="AJ1215" s="57" t="n">
        <f aca="false">ROUNDUP(MAX(J1215/IF(BZ1215&gt;0,BZ1215,MAX(0.1,N(Cockpit!$C$6))),CC1215)/BS1215,0)*BS1215</f>
        <v>2</v>
      </c>
      <c r="AK1215" s="58" t="n">
        <f aca="false">IF(AH1215&gt;0,J1215/AH1215,-1)</f>
        <v>-1</v>
      </c>
      <c r="AL1215" s="58" t="str">
        <f aca="false">IF(AND(OR(BY1215="L1",BY1215="L23"),AH1215&gt;0),SUMIFS($AH$7:$AH$1843,$BY$7:$BY$1843,BY1215,$AK$7:$AK$1843,"&gt;"&amp;AK1215)+SUMIFS($AH$7:$AH$1843,$BY$7:$BY$1843,BY1215,$AK$7:$AK$1843,AK1215,$BQ$7:$BQ$1843,"&lt;="&amp;BQ1215),"")</f>
        <v/>
      </c>
      <c r="AM1215" s="65" t="n">
        <f aca="false">IF(AL1215="",0,MAX(0,MIN(1,(IF(BY1215="L1",Parameter!$E$5,Parameter!$E$6+Parameter!$E$7)-(AL1215-AH1215))/AH1215)))</f>
        <v>0</v>
      </c>
      <c r="AN1215" s="57" t="n">
        <f aca="false">IF(LEFT(Cockpit!$I$5,1)="A",H1215,IF(CA1215=1,CB1215,IF(LEFT(Cockpit!$I$5,1)="B",AR1215,MAX(AR1215,H1215))))</f>
        <v>2</v>
      </c>
      <c r="AO1215" s="57" t="n">
        <f aca="false">IF(BT1215=1,0,ROUNDUP(AN1215/BS1215,0))</f>
        <v>1</v>
      </c>
      <c r="AP1215" s="59" t="n">
        <f aca="false">IF(CH1215&gt;0,CH1215*MAX(1,AN1215/X1215),IF(BT1215=1,IF(AN1215&lt;=0,0,BW1215*MAX(1,IF(H1215&gt;0,AN1215/H1215,1))),IF(R1215&gt;0,AO1215/R1215,0))/MAX(0.1,N(Parameter!$M$21)))</f>
        <v>0.333333333333333</v>
      </c>
      <c r="AQ1215" s="57" t="n">
        <f aca="false">AN1215*G1215</f>
        <v>282.36</v>
      </c>
      <c r="AR1215" s="57" t="n">
        <f aca="false">ROUNDUP(MAX(J1215/IF(BZ1215&gt;0,BZ1215,MAX(0.1,N(Cockpit!$I$6))),CC1215)/BS1215,0)*BS1215</f>
        <v>2</v>
      </c>
      <c r="AS1215" s="58" t="n">
        <f aca="false">IF(AP1215&gt;0,J1215/AP1215,-1)</f>
        <v>0</v>
      </c>
      <c r="AT1215" s="58" t="str">
        <f aca="false">IF(AND(OR(BY1215="L1",BY1215="L23"),AP1215&gt;0),SUMIFS($AP$7:$AP$1843,$BY$7:$BY$1843,BY1215,$AS$7:$AS$1843,"&gt;"&amp;AS1215)+SUMIFS($AP$7:$AP$1843,$BY$7:$BY$1843,BY1215,$AS$7:$AS$1843,AS1215,$BQ$7:$BQ$1843,"&lt;="&amp;BQ1215),"")</f>
        <v/>
      </c>
      <c r="AU1215" s="65" t="n">
        <f aca="false">IF(AT1215="",0,MAX(0,MIN(1,(IF(BY1215="L1",Parameter!$E$5,Parameter!$E$6+Parameter!$E$7)-(AT1215-AP1215))/AP1215)))</f>
        <v>0</v>
      </c>
      <c r="AV1215" s="57" t="n">
        <f aca="false">IF(LEFT(Cockpit!$O$5,1)="A",H1215,IF(CA1215=1,CB1215,IF(LEFT(Cockpit!$O$5,1)="B",AZ1215,MAX(AZ1215,H1215))))</f>
        <v>2</v>
      </c>
      <c r="AW1215" s="57" t="n">
        <f aca="false">IF(BT1215=1,0,ROUNDUP(AV1215/BS1215,0))</f>
        <v>1</v>
      </c>
      <c r="AX1215" s="59" t="n">
        <f aca="false">IF(CH1215&gt;0,CH1215*MAX(1,AV1215/X1215),IF(BT1215=1,IF(AV1215&lt;=0,0,BW1215*MAX(1,IF(H1215&gt;0,AV1215/H1215,1))),IF(R1215&gt;0,AW1215/R1215,0))/MAX(0.1,N(Parameter!$M$21)))</f>
        <v>0.333333333333333</v>
      </c>
      <c r="AY1215" s="57" t="n">
        <f aca="false">AV1215*G1215</f>
        <v>282.36</v>
      </c>
      <c r="AZ1215" s="57" t="n">
        <f aca="false">ROUNDUP(MAX(J1215/IF(BZ1215&gt;0,BZ1215,MAX(0.1,N(Cockpit!$O$6))),CC1215)/BS1215,0)*BS1215</f>
        <v>2</v>
      </c>
      <c r="BA1215" s="58" t="n">
        <f aca="false">IF(AX1215&gt;0,J1215/AX1215,-1)</f>
        <v>0</v>
      </c>
      <c r="BB1215" s="58" t="str">
        <f aca="false">IF(AND(OR(BY1215="L1",BY1215="L23"),AX1215&gt;0),SUMIFS($AX$7:$AX$1843,$BY$7:$BY$1843,BY1215,$BA$7:$BA$1843,"&gt;"&amp;BA1215)+SUMIFS($AX$7:$AX$1843,$BY$7:$BY$1843,BY1215,$BA$7:$BA$1843,BA1215,$BQ$7:$BQ$1843,"&lt;="&amp;BQ1215),"")</f>
        <v/>
      </c>
      <c r="BC1215" s="65" t="n">
        <f aca="false">IF(BB1215="",0,MAX(0,MIN(1,(IF(BY1215="L1",Parameter!$E$5,Parameter!$E$6+Parameter!$E$7)-(BB1215-AX1215))/AX1215)))</f>
        <v>0</v>
      </c>
      <c r="BD1215" s="55" t="str">
        <f aca="false">IF(AH1215&lt;=0,"",IF(BY1215="Aussen","Aussenlager",IF(BY1215="-","Nicht im Lift",IF(AM1215&gt;=1,"Lift",IF(AM1215&lt;=0,"Aussenlager","teilweise")))))</f>
        <v/>
      </c>
      <c r="BE1215" s="55" t="str">
        <f aca="false">IF(AP1215&lt;=0,"",IF(BY1215="Aussen","Aussenlager",IF(BY1215="-","Nicht im Lift",IF(AU1215&gt;=1,"Lift",IF(AU1215&lt;=0,"Aussenlager","teilweise")))))</f>
        <v>Nicht im Lift</v>
      </c>
      <c r="BF1215" s="55" t="str">
        <f aca="false">IF(AX1215&lt;=0,"",IF(BY1215="Aussen","Aussenlager",IF(BY1215="-","Nicht im Lift",IF(BC1215&gt;=1,"Lift",IF(BC1215&lt;=0,"Aussenlager","teilweise")))))</f>
        <v>Nicht im Lift</v>
      </c>
      <c r="BG1215" s="55" t="str">
        <f aca="false">IF(A1215="","",IF(BP1215=1,"Neu; ","")&amp;IF(AND(BP1215=0,BK1215&lt;0),"negativer Bestand (Export "&amp;BK1215&amp;"); ","")&amp;IF(J1215&lt;=0,"Kein Verbrauch; ","")&amp;IF(CH1215&gt;0,"Lift "&amp;W1215&amp;" lt. Liftbericht (Fach "&amp;X1215&amp;" Stk); ",IF(BU1215=1,"Gebinde geschätzt ("&amp;T1215&amp;"); ",IF(BT1215=1,"Lose – Tablare geschätzt; ","")))&amp;IF(H1215&gt;AR1215,"Überbestand "&amp;ROUND(H1215-AR1215,0)&amp;" Stk / CHF "&amp;ROUND((H1215-AR1215)*G1215,0)&amp;"; ","")&amp;IF(AND(CA1215=1,CB1215&lt;CC1215),"MAX &lt; MB+LG; ","")&amp;IF(AND(CG1215&gt;0,CF1215*10&gt;CG1215),"zu hoch für Tablar; ","")&amp;IF(AND(BP1215=0,OR(CA1215=1,AA1215&lt;&gt;"",U1215&lt;&gt;"",V1215&lt;&gt;"",AB1215&lt;&gt;"")),"manuell übersteuert; ","")&amp;IF(AND(BT1215=0,R1215=0),"Gebinde unbekannt / Stellmass fehlt; ","")&amp;IF(AND(BT1215=0,N(V1215)&lt;=0,N(Q1215)&lt;=0),"Menge pro Gebinde fehlt (Ist = 1 Gebinde); ","")&amp;BO1215)</f>
        <v>negativer Bestand (Export -4); Kein Verbrauch; Gebinde geschätzt (Gross); Menge pro Gebinde fehlt (Ist = 1 Gebinde); </v>
      </c>
      <c r="BH1215" s="55"/>
      <c r="BI1215" s="55"/>
      <c r="BJ1215" s="62"/>
      <c r="BK1215" s="57" t="n">
        <v>-4</v>
      </c>
      <c r="BL1215" s="57" t="n">
        <v>4</v>
      </c>
      <c r="BM1215" s="56" t="n">
        <v>-564.72</v>
      </c>
      <c r="BN1215" s="57" t="n">
        <v>0</v>
      </c>
      <c r="BO1215" s="55"/>
      <c r="BP1215" s="60" t="n">
        <v>0</v>
      </c>
      <c r="BQ1215" s="60" t="n">
        <v>1215</v>
      </c>
      <c r="BR1215" s="55" t="str">
        <f aca="false">IF(U1215&lt;&gt;"",UPPER(TRIM(U1215)),IF(BU1215=1,UPPER(VLOOKUP(T1215,Parameter!$I$27:$K$29,2,0)),IF(P1215="","LOSE",P1215)))</f>
        <v>S81</v>
      </c>
      <c r="BS1215" s="57" t="n">
        <f aca="false">IF(BR1215="LOSE",1,IF(N(V1215)&gt;0,V1215,IF(BU1215=1,MAX(1,N(VLOOKUP(T1215,Parameter!$I$27:$K$29,3,0)),H1215,N(N1215)),IF(N(Q1215)&gt;0,Q1215,MAX(1,H1215)))))</f>
        <v>2</v>
      </c>
      <c r="BT1215" s="60" t="n">
        <f aca="false">IF(BR1215="LOSE",1,0)</f>
        <v>0</v>
      </c>
      <c r="BU1215" s="60" t="n">
        <f aca="false">IF(AND(U1215="",OR(P1215="",P1215="LOSE"),T1215&lt;&gt;"",N(S1215)&lt;=0,ISNUMBER(MATCH(T1215,Parameter!$I$27:$I$29,0))),1,0)</f>
        <v>1</v>
      </c>
      <c r="BV1215" s="55" t="str">
        <f aca="false">IF(AND(Parameter!$B$19="Ja",E1215&lt;&gt;"",ISNUMBER(MATCH(E1215,Parameter!$I$35:$I$52,0))),VLOOKUP(E1215,Parameter!$I$35:$J$52,2,0),IFERROR(VLOOKUP(D1215,Parameter!$A$35:$C$64,2,0),"Nein"))</f>
        <v>Nein</v>
      </c>
      <c r="BW1215" s="59" t="n">
        <f aca="false">IF(BT1215=0,0,IF(N(S1215)&gt;0,S1215,IFERROR(VLOOKUP(D1215,Parameter!$A$35:$C$64,3,0)+0,0)))</f>
        <v>0</v>
      </c>
      <c r="BX1215" s="55" t="str">
        <f aca="false">IF(AA1215&lt;&gt;"",AA1215,Z1215)</f>
        <v>-</v>
      </c>
      <c r="BY1215" s="55" t="str">
        <f aca="false">IF(BX1215=1,"L1",IF(OR(BX1215=2,BX1215=3),"L23",IF(BX1215="Aussen","Aussen","-")))</f>
        <v>-</v>
      </c>
      <c r="BZ1215" s="66" t="n">
        <f aca="false">IF(N(AB1215)&gt;0,AB1215,0)</f>
        <v>0</v>
      </c>
      <c r="CA1215" s="60" t="n">
        <f aca="false">IF(ISNUMBER(AE1215),1,0)</f>
        <v>0</v>
      </c>
      <c r="CB1215" s="57" t="n">
        <f aca="false">N(AE1215)</f>
        <v>0</v>
      </c>
      <c r="CC1215" s="57" t="n">
        <f aca="false">N(M1215)+N(N1215)</f>
        <v>1</v>
      </c>
      <c r="CD1215" s="57" t="n">
        <f aca="false">ROUNDUP(H1215/BS1215,0)</f>
        <v>0</v>
      </c>
      <c r="CE1215" s="57" t="n">
        <f aca="false">ROUNDUP(CB1215/BS1215,0)</f>
        <v>0</v>
      </c>
      <c r="CF1215" s="60" t="n">
        <f aca="false">IF(BT1215=1,0,IFERROR(VLOOKUP(BR1215,'Gebinde-Kategorie'!$A$5:$M$45,5,0)+0,0))</f>
        <v>20</v>
      </c>
      <c r="CG1215" s="60" t="n">
        <f aca="false">IFERROR(IF(OR(BX1215=1,BX1215=2,BX1215=3),N(INDEX(Parameter!$I$5:$I$7,BX1215)),0),0)</f>
        <v>0</v>
      </c>
      <c r="CH1215" s="59" t="n">
        <f aca="false">IF(AND(Parameter!$B$21="Ja",ISNUMBER(W1215),N(X1215)&gt;0),IFERROR(N(INDEX(Parameter!$L$5:$L$7,W1215))*INDEX(Parameter!$E$5:$E$7,W1215)*X1215/SUMIFS($X$7:$X$1843,$W$7:$W$1843,W1215),0),0)</f>
        <v>0</v>
      </c>
    </row>
    <row r="1216" customFormat="false" ht="15" hidden="false" customHeight="false" outlineLevel="0" collapsed="false">
      <c r="A1216" s="55" t="s">
        <v>2183</v>
      </c>
      <c r="B1216" s="55" t="s">
        <v>1403</v>
      </c>
      <c r="C1216" s="55" t="s">
        <v>164</v>
      </c>
      <c r="D1216" s="55" t="s">
        <v>184</v>
      </c>
      <c r="E1216" s="55"/>
      <c r="F1216" s="55" t="s">
        <v>218</v>
      </c>
      <c r="G1216" s="56" t="n">
        <v>63.26</v>
      </c>
      <c r="H1216" s="57" t="n">
        <f aca="false">MAX(0,IF(AND(Parameter!$B$21="Ja",ISNUMBER(Y1216)),Y1216,IF(Parameter!$B$20="Jahresanfang 2025 + Export",BL1216+BK1216,BK1216)))</f>
        <v>18</v>
      </c>
      <c r="I1216" s="57" t="n">
        <f aca="false">H1216*G1216</f>
        <v>1138.68</v>
      </c>
      <c r="J1216" s="57" t="n">
        <f aca="false">BN1216*Parameter!$B$18</f>
        <v>2</v>
      </c>
      <c r="K1216" s="58" t="n">
        <v>25</v>
      </c>
      <c r="L1216" s="59" t="n">
        <v>0.08</v>
      </c>
      <c r="M1216" s="57" t="n">
        <v>0</v>
      </c>
      <c r="N1216" s="57" t="n">
        <v>1</v>
      </c>
      <c r="O1216" s="60" t="n">
        <v>35</v>
      </c>
      <c r="P1216" s="55" t="s">
        <v>168</v>
      </c>
      <c r="Q1216" s="57"/>
      <c r="R1216" s="60" t="n">
        <f aca="false">IF(BT1216=1,0,IFERROR(VLOOKUP(BR1216,'Gebinde-Kategorie'!$A$5:$M$45,13,0)+0,0))</f>
        <v>26</v>
      </c>
      <c r="S1216" s="61"/>
      <c r="T1216" s="62" t="s">
        <v>275</v>
      </c>
      <c r="U1216" s="62"/>
      <c r="V1216" s="62"/>
      <c r="W1216" s="55"/>
      <c r="X1216" s="57"/>
      <c r="Y1216" s="57"/>
      <c r="Z1216" s="55" t="n">
        <f aca="false">IF(A1216="","",IF(AND(Parameter!$B$21="Ja",ISNUMBER(W1216)),W1216,IF(BV1216="2+3",IF(ISNUMBER(SEARCH("grosser Artikel",BO1216)),2,IFERROR(VLOOKUP(BR1216,Parameter!$F$35:$G$64,2,0),2)),IF(OR(BV1216="Nein",BV1216=""),"-",BV1216))))</f>
        <v>3</v>
      </c>
      <c r="AA1216" s="62"/>
      <c r="AB1216" s="63"/>
      <c r="AC1216" s="57" t="n">
        <f aca="false">AR1216</f>
        <v>20</v>
      </c>
      <c r="AD1216" s="57" t="n">
        <f aca="false">MAX(AR1216,H1216)</f>
        <v>20</v>
      </c>
      <c r="AE1216" s="64"/>
      <c r="AF1216" s="57" t="n">
        <f aca="false">IF(LEFT(Cockpit!$C$5,1)="A",H1216,IF(CA1216=1,CB1216,IF(LEFT(Cockpit!$C$5,1)="B",AJ1216,MAX(AJ1216,H1216))))</f>
        <v>18</v>
      </c>
      <c r="AG1216" s="57" t="n">
        <f aca="false">IF(BT1216=1,0,ROUNDUP(AF1216/BS1216,0))</f>
        <v>1</v>
      </c>
      <c r="AH1216" s="59" t="n">
        <f aca="false">IF(CH1216&gt;0,CH1216*MAX(1,AF1216/X1216),IF(BT1216=1,IF(AF1216&lt;=0,0,BW1216*MAX(1,IF(H1216&gt;0,AF1216/H1216,1))),IF(R1216&gt;0,AG1216/R1216,0))/MAX(0.1,N(Parameter!$M$21)))</f>
        <v>0.0384615384615385</v>
      </c>
      <c r="AI1216" s="57" t="n">
        <f aca="false">AF1216*G1216</f>
        <v>1138.68</v>
      </c>
      <c r="AJ1216" s="57" t="n">
        <f aca="false">ROUNDUP(MAX(J1216/IF(BZ1216&gt;0,BZ1216,MAX(0.1,N(Cockpit!$C$6))),CC1216)/BS1216,0)*BS1216</f>
        <v>20</v>
      </c>
      <c r="AK1216" s="58" t="n">
        <f aca="false">IF(AH1216&gt;0,J1216/AH1216,-1)</f>
        <v>52</v>
      </c>
      <c r="AL1216" s="58" t="n">
        <f aca="false">IF(AND(OR(BY1216="L1",BY1216="L23"),AH1216&gt;0),SUMIFS($AH$7:$AH$1843,$BY$7:$BY$1843,BY1216,$AK$7:$AK$1843,"&gt;"&amp;AK1216)+SUMIFS($AH$7:$AH$1843,$BY$7:$BY$1843,BY1216,$AK$7:$AK$1843,AK1216,$BQ$7:$BQ$1843,"&lt;="&amp;BQ1216),"")</f>
        <v>44.7029830073308</v>
      </c>
      <c r="AM1216" s="65" t="n">
        <f aca="false">IF(AL1216="",0,MAX(0,MIN(1,(IF(BY1216="L1",Parameter!$E$5,Parameter!$E$6+Parameter!$E$7)-(AL1216-AH1216))/AH1216)))</f>
        <v>1</v>
      </c>
      <c r="AN1216" s="57" t="n">
        <f aca="false">IF(LEFT(Cockpit!$I$5,1)="A",H1216,IF(CA1216=1,CB1216,IF(LEFT(Cockpit!$I$5,1)="B",AR1216,MAX(AR1216,H1216))))</f>
        <v>20</v>
      </c>
      <c r="AO1216" s="57" t="n">
        <f aca="false">IF(BT1216=1,0,ROUNDUP(AN1216/BS1216,0))</f>
        <v>1</v>
      </c>
      <c r="AP1216" s="59" t="n">
        <f aca="false">IF(CH1216&gt;0,CH1216*MAX(1,AN1216/X1216),IF(BT1216=1,IF(AN1216&lt;=0,0,BW1216*MAX(1,IF(H1216&gt;0,AN1216/H1216,1))),IF(R1216&gt;0,AO1216/R1216,0))/MAX(0.1,N(Parameter!$M$21)))</f>
        <v>0.0384615384615385</v>
      </c>
      <c r="AQ1216" s="57" t="n">
        <f aca="false">AN1216*G1216</f>
        <v>1265.2</v>
      </c>
      <c r="AR1216" s="57" t="n">
        <f aca="false">ROUNDUP(MAX(J1216/IF(BZ1216&gt;0,BZ1216,MAX(0.1,N(Cockpit!$I$6))),CC1216)/BS1216,0)*BS1216</f>
        <v>20</v>
      </c>
      <c r="AS1216" s="58" t="n">
        <f aca="false">IF(AP1216&gt;0,J1216/AP1216,-1)</f>
        <v>52</v>
      </c>
      <c r="AT1216" s="58" t="n">
        <f aca="false">IF(AND(OR(BY1216="L1",BY1216="L23"),AP1216&gt;0),SUMIFS($AP$7:$AP$1843,$BY$7:$BY$1843,BY1216,$AS$7:$AS$1843,"&gt;"&amp;AS1216)+SUMIFS($AP$7:$AP$1843,$BY$7:$BY$1843,BY1216,$AS$7:$AS$1843,AS1216,$BQ$7:$BQ$1843,"&lt;="&amp;BQ1216),"")</f>
        <v>67.6463379615554</v>
      </c>
      <c r="AU1216" s="65" t="n">
        <f aca="false">IF(AT1216="",0,MAX(0,MIN(1,(IF(BY1216="L1",Parameter!$E$5,Parameter!$E$6+Parameter!$E$7)-(AT1216-AP1216))/AP1216)))</f>
        <v>1</v>
      </c>
      <c r="AV1216" s="57" t="n">
        <f aca="false">IF(LEFT(Cockpit!$O$5,1)="A",H1216,IF(CA1216=1,CB1216,IF(LEFT(Cockpit!$O$5,1)="B",AZ1216,MAX(AZ1216,H1216))))</f>
        <v>20</v>
      </c>
      <c r="AW1216" s="57" t="n">
        <f aca="false">IF(BT1216=1,0,ROUNDUP(AV1216/BS1216,0))</f>
        <v>1</v>
      </c>
      <c r="AX1216" s="59" t="n">
        <f aca="false">IF(CH1216&gt;0,CH1216*MAX(1,AV1216/X1216),IF(BT1216=1,IF(AV1216&lt;=0,0,BW1216*MAX(1,IF(H1216&gt;0,AV1216/H1216,1))),IF(R1216&gt;0,AW1216/R1216,0))/MAX(0.1,N(Parameter!$M$21)))</f>
        <v>0.0384615384615385</v>
      </c>
      <c r="AY1216" s="57" t="n">
        <f aca="false">AV1216*G1216</f>
        <v>1265.2</v>
      </c>
      <c r="AZ1216" s="57" t="n">
        <f aca="false">ROUNDUP(MAX(J1216/IF(BZ1216&gt;0,BZ1216,MAX(0.1,N(Cockpit!$O$6))),CC1216)/BS1216,0)*BS1216</f>
        <v>20</v>
      </c>
      <c r="BA1216" s="58" t="n">
        <f aca="false">IF(AX1216&gt;0,J1216/AX1216,-1)</f>
        <v>52</v>
      </c>
      <c r="BB1216" s="58" t="n">
        <f aca="false">IF(AND(OR(BY1216="L1",BY1216="L23"),AX1216&gt;0),SUMIFS($AX$7:$AX$1843,$BY$7:$BY$1843,BY1216,$BA$7:$BA$1843,"&gt;"&amp;BA1216)+SUMIFS($AX$7:$AX$1843,$BY$7:$BY$1843,BY1216,$BA$7:$BA$1843,BA1216,$BQ$7:$BQ$1843,"&lt;="&amp;BQ1216),"")</f>
        <v>62.1428414580589</v>
      </c>
      <c r="BC1216" s="65" t="n">
        <f aca="false">IF(BB1216="",0,MAX(0,MIN(1,(IF(BY1216="L1",Parameter!$E$5,Parameter!$E$6+Parameter!$E$7)-(BB1216-AX1216))/AX1216)))</f>
        <v>1</v>
      </c>
      <c r="BD1216" s="55" t="str">
        <f aca="false">IF(AH1216&lt;=0,"",IF(BY1216="Aussen","Aussenlager",IF(BY1216="-","Nicht im Lift",IF(AM1216&gt;=1,"Lift",IF(AM1216&lt;=0,"Aussenlager","teilweise")))))</f>
        <v>Lift</v>
      </c>
      <c r="BE1216" s="55" t="str">
        <f aca="false">IF(AP1216&lt;=0,"",IF(BY1216="Aussen","Aussenlager",IF(BY1216="-","Nicht im Lift",IF(AU1216&gt;=1,"Lift",IF(AU1216&lt;=0,"Aussenlager","teilweise")))))</f>
        <v>Lift</v>
      </c>
      <c r="BF1216" s="55" t="str">
        <f aca="false">IF(AX1216&lt;=0,"",IF(BY1216="Aussen","Aussenlager",IF(BY1216="-","Nicht im Lift",IF(BC1216&gt;=1,"Lift",IF(BC1216&lt;=0,"Aussenlager","teilweise")))))</f>
        <v>Lift</v>
      </c>
      <c r="BG1216" s="55" t="str">
        <f aca="false">IF(A1216="","",IF(BP1216=1,"Neu; ","")&amp;IF(AND(BP1216=0,BK1216&lt;0),"negativer Bestand (Export "&amp;BK1216&amp;"); ","")&amp;IF(J1216&lt;=0,"Kein Verbrauch; ","")&amp;IF(CH1216&gt;0,"Lift "&amp;W1216&amp;" lt. Liftbericht (Fach "&amp;X1216&amp;" Stk); ",IF(BU1216=1,"Gebinde geschätzt ("&amp;T1216&amp;"); ",IF(BT1216=1,"Lose – Tablare geschätzt; ","")))&amp;IF(H1216&gt;AR1216,"Überbestand "&amp;ROUND(H1216-AR1216,0)&amp;" Stk / CHF "&amp;ROUND((H1216-AR1216)*G1216,0)&amp;"; ","")&amp;IF(AND(CA1216=1,CB1216&lt;CC1216),"MAX &lt; MB+LG; ","")&amp;IF(AND(CG1216&gt;0,CF1216*10&gt;CG1216),"zu hoch für Tablar; ","")&amp;IF(AND(BP1216=0,OR(CA1216=1,AA1216&lt;&gt;"",U1216&lt;&gt;"",V1216&lt;&gt;"",AB1216&lt;&gt;"")),"manuell übersteuert; ","")&amp;IF(AND(BT1216=0,R1216=0),"Gebinde unbekannt / Stellmass fehlt; ","")&amp;IF(AND(BT1216=0,N(V1216)&lt;=0,N(Q1216)&lt;=0),"Menge pro Gebinde fehlt (Ist = 1 Gebinde); ","")&amp;BO1216)</f>
        <v>negativer Bestand (Export -9); Gebinde geschätzt (Klein); Menge pro Gebinde fehlt (Ist = 1 Gebinde); </v>
      </c>
      <c r="BH1216" s="55"/>
      <c r="BI1216" s="55"/>
      <c r="BJ1216" s="62"/>
      <c r="BK1216" s="57" t="n">
        <v>-9</v>
      </c>
      <c r="BL1216" s="57" t="n">
        <v>27</v>
      </c>
      <c r="BM1216" s="56" t="n">
        <v>-569.34</v>
      </c>
      <c r="BN1216" s="57" t="n">
        <v>2</v>
      </c>
      <c r="BO1216" s="55"/>
      <c r="BP1216" s="60" t="n">
        <v>0</v>
      </c>
      <c r="BQ1216" s="60" t="n">
        <v>1216</v>
      </c>
      <c r="BR1216" s="55" t="str">
        <f aca="false">IF(U1216&lt;&gt;"",UPPER(TRIM(U1216)),IF(BU1216=1,UPPER(VLOOKUP(T1216,Parameter!$I$27:$K$29,2,0)),IF(P1216="","LOSE",P1216)))</f>
        <v>S51</v>
      </c>
      <c r="BS1216" s="57" t="n">
        <f aca="false">IF(BR1216="LOSE",1,IF(N(V1216)&gt;0,V1216,IF(BU1216=1,MAX(1,N(VLOOKUP(T1216,Parameter!$I$27:$K$29,3,0)),H1216,N(N1216)),IF(N(Q1216)&gt;0,Q1216,MAX(1,H1216)))))</f>
        <v>20</v>
      </c>
      <c r="BT1216" s="60" t="n">
        <f aca="false">IF(BR1216="LOSE",1,0)</f>
        <v>0</v>
      </c>
      <c r="BU1216" s="60" t="n">
        <f aca="false">IF(AND(U1216="",OR(P1216="",P1216="LOSE"),T1216&lt;&gt;"",N(S1216)&lt;=0,ISNUMBER(MATCH(T1216,Parameter!$I$27:$I$29,0))),1,0)</f>
        <v>1</v>
      </c>
      <c r="BV1216" s="55" t="str">
        <f aca="false">IF(AND(Parameter!$B$19="Ja",E1216&lt;&gt;"",ISNUMBER(MATCH(E1216,Parameter!$I$35:$I$52,0))),VLOOKUP(E1216,Parameter!$I$35:$J$52,2,0),IFERROR(VLOOKUP(D1216,Parameter!$A$35:$C$64,2,0),"Nein"))</f>
        <v>2+3</v>
      </c>
      <c r="BW1216" s="59" t="n">
        <f aca="false">IF(BT1216=0,0,IF(N(S1216)&gt;0,S1216,IFERROR(VLOOKUP(D1216,Parameter!$A$35:$C$64,3,0)+0,0)))</f>
        <v>0</v>
      </c>
      <c r="BX1216" s="55" t="n">
        <f aca="false">IF(AA1216&lt;&gt;"",AA1216,Z1216)</f>
        <v>3</v>
      </c>
      <c r="BY1216" s="55" t="str">
        <f aca="false">IF(BX1216=1,"L1",IF(OR(BX1216=2,BX1216=3),"L23",IF(BX1216="Aussen","Aussen","-")))</f>
        <v>L23</v>
      </c>
      <c r="BZ1216" s="66" t="n">
        <f aca="false">IF(N(AB1216)&gt;0,AB1216,0)</f>
        <v>0</v>
      </c>
      <c r="CA1216" s="60" t="n">
        <f aca="false">IF(ISNUMBER(AE1216),1,0)</f>
        <v>0</v>
      </c>
      <c r="CB1216" s="57" t="n">
        <f aca="false">N(AE1216)</f>
        <v>0</v>
      </c>
      <c r="CC1216" s="57" t="n">
        <f aca="false">N(M1216)+N(N1216)</f>
        <v>1</v>
      </c>
      <c r="CD1216" s="57" t="n">
        <f aca="false">ROUNDUP(H1216/BS1216,0)</f>
        <v>1</v>
      </c>
      <c r="CE1216" s="57" t="n">
        <f aca="false">ROUNDUP(CB1216/BS1216,0)</f>
        <v>0</v>
      </c>
      <c r="CF1216" s="60" t="n">
        <f aca="false">IF(BT1216=1,0,IFERROR(VLOOKUP(BR1216,'Gebinde-Kategorie'!$A$5:$M$45,5,0)+0,0))</f>
        <v>11</v>
      </c>
      <c r="CG1216" s="60" t="n">
        <f aca="false">IFERROR(IF(OR(BX1216=1,BX1216=2,BX1216=3),N(INDEX(Parameter!$I$5:$I$7,BX1216)),0),0)</f>
        <v>0</v>
      </c>
      <c r="CH1216" s="59" t="n">
        <f aca="false">IF(AND(Parameter!$B$21="Ja",ISNUMBER(W1216),N(X1216)&gt;0),IFERROR(N(INDEX(Parameter!$L$5:$L$7,W1216))*INDEX(Parameter!$E$5:$E$7,W1216)*X1216/SUMIFS($X$7:$X$1843,$W$7:$W$1843,W1216),0),0)</f>
        <v>0</v>
      </c>
    </row>
    <row r="1217" customFormat="false" ht="15" hidden="false" customHeight="false" outlineLevel="0" collapsed="false">
      <c r="A1217" s="55" t="s">
        <v>2184</v>
      </c>
      <c r="B1217" s="55" t="s">
        <v>471</v>
      </c>
      <c r="C1217" s="55" t="s">
        <v>164</v>
      </c>
      <c r="D1217" s="55" t="s">
        <v>173</v>
      </c>
      <c r="E1217" s="55" t="s">
        <v>185</v>
      </c>
      <c r="F1217" s="55" t="s">
        <v>218</v>
      </c>
      <c r="G1217" s="56" t="n">
        <v>2.9</v>
      </c>
      <c r="H1217" s="57" t="n">
        <f aca="false">MAX(0,IF(AND(Parameter!$B$21="Ja",ISNUMBER(Y1217)),Y1217,IF(Parameter!$B$20="Jahresanfang 2025 + Export",BL1217+BK1217,BK1217)))</f>
        <v>119</v>
      </c>
      <c r="I1217" s="57" t="n">
        <f aca="false">H1217*G1217</f>
        <v>345.1</v>
      </c>
      <c r="J1217" s="57" t="n">
        <f aca="false">BN1217*Parameter!$B$18</f>
        <v>403</v>
      </c>
      <c r="K1217" s="58" t="n">
        <v>227</v>
      </c>
      <c r="L1217" s="59" t="n">
        <v>1.77533039647577</v>
      </c>
      <c r="M1217" s="57" t="n">
        <v>39</v>
      </c>
      <c r="N1217" s="57" t="n">
        <v>405</v>
      </c>
      <c r="O1217" s="60" t="n">
        <v>35</v>
      </c>
      <c r="P1217" s="55" t="s">
        <v>226</v>
      </c>
      <c r="Q1217" s="57" t="n">
        <v>196</v>
      </c>
      <c r="R1217" s="60" t="n">
        <f aca="false">IF(BT1217=1,0,IFERROR(VLOOKUP(BR1217,'Gebinde-Kategorie'!$A$5:$M$45,13,0)+0,0))</f>
        <v>12</v>
      </c>
      <c r="S1217" s="61"/>
      <c r="T1217" s="62"/>
      <c r="U1217" s="62"/>
      <c r="V1217" s="62"/>
      <c r="W1217" s="55"/>
      <c r="X1217" s="57"/>
      <c r="Y1217" s="57"/>
      <c r="Z1217" s="55" t="n">
        <f aca="false">IF(A1217="","",IF(AND(Parameter!$B$21="Ja",ISNUMBER(W1217)),W1217,IF(BV1217="2+3",IF(ISNUMBER(SEARCH("grosser Artikel",BO1217)),2,IFERROR(VLOOKUP(BR1217,Parameter!$F$35:$G$64,2,0),2)),IF(OR(BV1217="Nein",BV1217=""),"-",BV1217))))</f>
        <v>2</v>
      </c>
      <c r="AA1217" s="62"/>
      <c r="AB1217" s="63"/>
      <c r="AC1217" s="57" t="n">
        <f aca="false">AR1217</f>
        <v>588</v>
      </c>
      <c r="AD1217" s="57" t="n">
        <f aca="false">MAX(AR1217,H1217)</f>
        <v>588</v>
      </c>
      <c r="AE1217" s="64"/>
      <c r="AF1217" s="57" t="n">
        <f aca="false">IF(LEFT(Cockpit!$C$5,1)="A",H1217,IF(CA1217=1,CB1217,IF(LEFT(Cockpit!$C$5,1)="B",AJ1217,MAX(AJ1217,H1217))))</f>
        <v>119</v>
      </c>
      <c r="AG1217" s="57" t="n">
        <f aca="false">IF(BT1217=1,0,ROUNDUP(AF1217/BS1217,0))</f>
        <v>1</v>
      </c>
      <c r="AH1217" s="59" t="n">
        <f aca="false">IF(CH1217&gt;0,CH1217*MAX(1,AF1217/X1217),IF(BT1217=1,IF(AF1217&lt;=0,0,BW1217*MAX(1,IF(H1217&gt;0,AF1217/H1217,1))),IF(R1217&gt;0,AG1217/R1217,0))/MAX(0.1,N(Parameter!$M$21)))</f>
        <v>0.0833333333333333</v>
      </c>
      <c r="AI1217" s="57" t="n">
        <f aca="false">AF1217*G1217</f>
        <v>345.1</v>
      </c>
      <c r="AJ1217" s="57" t="n">
        <f aca="false">ROUNDUP(MAX(J1217/IF(BZ1217&gt;0,BZ1217,MAX(0.1,N(Cockpit!$C$6))),CC1217)/BS1217,0)*BS1217</f>
        <v>588</v>
      </c>
      <c r="AK1217" s="58" t="n">
        <f aca="false">IF(AH1217&gt;0,J1217/AH1217,-1)</f>
        <v>4836</v>
      </c>
      <c r="AL1217" s="58" t="n">
        <f aca="false">IF(AND(OR(BY1217="L1",BY1217="L23"),AH1217&gt;0),SUMIFS($AH$7:$AH$1843,$BY$7:$BY$1843,BY1217,$AK$7:$AK$1843,"&gt;"&amp;AK1217)+SUMIFS($AH$7:$AH$1843,$BY$7:$BY$1843,BY1217,$AK$7:$AK$1843,AK1217,$BQ$7:$BQ$1843,"&lt;="&amp;BQ1217),"")</f>
        <v>7.44316070403027</v>
      </c>
      <c r="AM1217" s="65" t="n">
        <f aca="false">IF(AL1217="",0,MAX(0,MIN(1,(IF(BY1217="L1",Parameter!$E$5,Parameter!$E$6+Parameter!$E$7)-(AL1217-AH1217))/AH1217)))</f>
        <v>1</v>
      </c>
      <c r="AN1217" s="57" t="n">
        <f aca="false">IF(LEFT(Cockpit!$I$5,1)="A",H1217,IF(CA1217=1,CB1217,IF(LEFT(Cockpit!$I$5,1)="B",AR1217,MAX(AR1217,H1217))))</f>
        <v>588</v>
      </c>
      <c r="AO1217" s="57" t="n">
        <f aca="false">IF(BT1217=1,0,ROUNDUP(AN1217/BS1217,0))</f>
        <v>3</v>
      </c>
      <c r="AP1217" s="59" t="n">
        <f aca="false">IF(CH1217&gt;0,CH1217*MAX(1,AN1217/X1217),IF(BT1217=1,IF(AN1217&lt;=0,0,BW1217*MAX(1,IF(H1217&gt;0,AN1217/H1217,1))),IF(R1217&gt;0,AO1217/R1217,0))/MAX(0.1,N(Parameter!$M$21)))</f>
        <v>0.25</v>
      </c>
      <c r="AQ1217" s="57" t="n">
        <f aca="false">AN1217*G1217</f>
        <v>1705.2</v>
      </c>
      <c r="AR1217" s="57" t="n">
        <f aca="false">ROUNDUP(MAX(J1217/IF(BZ1217&gt;0,BZ1217,MAX(0.1,N(Cockpit!$I$6))),CC1217)/BS1217,0)*BS1217</f>
        <v>588</v>
      </c>
      <c r="AS1217" s="58" t="n">
        <f aca="false">IF(AP1217&gt;0,J1217/AP1217,-1)</f>
        <v>1612</v>
      </c>
      <c r="AT1217" s="58" t="n">
        <f aca="false">IF(AND(OR(BY1217="L1",BY1217="L23"),AP1217&gt;0),SUMIFS($AP$7:$AP$1843,$BY$7:$BY$1843,BY1217,$AS$7:$AS$1843,"&gt;"&amp;AS1217)+SUMIFS($AP$7:$AP$1843,$BY$7:$BY$1843,BY1217,$AS$7:$AS$1843,AS1217,$BQ$7:$BQ$1843,"&lt;="&amp;BQ1217),"")</f>
        <v>20.23159690551</v>
      </c>
      <c r="AU1217" s="65" t="n">
        <f aca="false">IF(AT1217="",0,MAX(0,MIN(1,(IF(BY1217="L1",Parameter!$E$5,Parameter!$E$6+Parameter!$E$7)-(AT1217-AP1217))/AP1217)))</f>
        <v>1</v>
      </c>
      <c r="AV1217" s="57" t="n">
        <f aca="false">IF(LEFT(Cockpit!$O$5,1)="A",H1217,IF(CA1217=1,CB1217,IF(LEFT(Cockpit!$O$5,1)="B",AZ1217,MAX(AZ1217,H1217))))</f>
        <v>588</v>
      </c>
      <c r="AW1217" s="57" t="n">
        <f aca="false">IF(BT1217=1,0,ROUNDUP(AV1217/BS1217,0))</f>
        <v>3</v>
      </c>
      <c r="AX1217" s="59" t="n">
        <f aca="false">IF(CH1217&gt;0,CH1217*MAX(1,AV1217/X1217),IF(BT1217=1,IF(AV1217&lt;=0,0,BW1217*MAX(1,IF(H1217&gt;0,AV1217/H1217,1))),IF(R1217&gt;0,AW1217/R1217,0))/MAX(0.1,N(Parameter!$M$21)))</f>
        <v>0.25</v>
      </c>
      <c r="AY1217" s="57" t="n">
        <f aca="false">AV1217*G1217</f>
        <v>1705.2</v>
      </c>
      <c r="AZ1217" s="57" t="n">
        <f aca="false">ROUNDUP(MAX(J1217/IF(BZ1217&gt;0,BZ1217,MAX(0.1,N(Cockpit!$O$6))),CC1217)/BS1217,0)*BS1217</f>
        <v>588</v>
      </c>
      <c r="BA1217" s="58" t="n">
        <f aca="false">IF(AX1217&gt;0,J1217/AX1217,-1)</f>
        <v>1612</v>
      </c>
      <c r="BB1217" s="58" t="n">
        <f aca="false">IF(AND(OR(BY1217="L1",BY1217="L23"),AX1217&gt;0),SUMIFS($AX$7:$AX$1843,$BY$7:$BY$1843,BY1217,$BA$7:$BA$1843,"&gt;"&amp;BA1217)+SUMIFS($AX$7:$AX$1843,$BY$7:$BY$1843,BY1217,$BA$7:$BA$1843,BA1217,$BQ$7:$BQ$1843,"&lt;="&amp;BQ1217),"")</f>
        <v>19.0934850173981</v>
      </c>
      <c r="BC1217" s="65" t="n">
        <f aca="false">IF(BB1217="",0,MAX(0,MIN(1,(IF(BY1217="L1",Parameter!$E$5,Parameter!$E$6+Parameter!$E$7)-(BB1217-AX1217))/AX1217)))</f>
        <v>1</v>
      </c>
      <c r="BD1217" s="55" t="str">
        <f aca="false">IF(AH1217&lt;=0,"",IF(BY1217="Aussen","Aussenlager",IF(BY1217="-","Nicht im Lift",IF(AM1217&gt;=1,"Lift",IF(AM1217&lt;=0,"Aussenlager","teilweise")))))</f>
        <v>Lift</v>
      </c>
      <c r="BE1217" s="55" t="str">
        <f aca="false">IF(AP1217&lt;=0,"",IF(BY1217="Aussen","Aussenlager",IF(BY1217="-","Nicht im Lift",IF(AU1217&gt;=1,"Lift",IF(AU1217&lt;=0,"Aussenlager","teilweise")))))</f>
        <v>Lift</v>
      </c>
      <c r="BF1217" s="55" t="str">
        <f aca="false">IF(AX1217&lt;=0,"",IF(BY1217="Aussen","Aussenlager",IF(BY1217="-","Nicht im Lift",IF(BC1217&gt;=1,"Lift",IF(BC1217&lt;=0,"Aussenlager","teilweise")))))</f>
        <v>Lift</v>
      </c>
      <c r="BG1217" s="55" t="str">
        <f aca="false">IF(A1217="","",IF(BP1217=1,"Neu; ","")&amp;IF(AND(BP1217=0,BK1217&lt;0),"negativer Bestand (Export "&amp;BK1217&amp;"); ","")&amp;IF(J1217&lt;=0,"Kein Verbrauch; ","")&amp;IF(CH1217&gt;0,"Lift "&amp;W1217&amp;" lt. Liftbericht (Fach "&amp;X1217&amp;" Stk); ",IF(BU1217=1,"Gebinde geschätzt ("&amp;T1217&amp;"); ",IF(BT1217=1,"Lose – Tablare geschätzt; ","")))&amp;IF(H1217&gt;AR1217,"Überbestand "&amp;ROUND(H1217-AR1217,0)&amp;" Stk / CHF "&amp;ROUND((H1217-AR1217)*G1217,0)&amp;"; ","")&amp;IF(AND(CA1217=1,CB1217&lt;CC1217),"MAX &lt; MB+LG; ","")&amp;IF(AND(CG1217&gt;0,CF1217*10&gt;CG1217),"zu hoch für Tablar; ","")&amp;IF(AND(BP1217=0,OR(CA1217=1,AA1217&lt;&gt;"",U1217&lt;&gt;"",V1217&lt;&gt;"",AB1217&lt;&gt;"")),"manuell übersteuert; ","")&amp;IF(AND(BT1217=0,R1217=0),"Gebinde unbekannt / Stellmass fehlt; ","")&amp;IF(AND(BT1217=0,N(V1217)&lt;=0,N(Q1217)&lt;=0),"Menge pro Gebinde fehlt (Ist = 1 Gebinde); ","")&amp;BO1217)</f>
        <v>negativer Bestand (Export -133); gehört dieser Artikel ins KTL ?</v>
      </c>
      <c r="BH1217" s="55"/>
      <c r="BI1217" s="55"/>
      <c r="BJ1217" s="62"/>
      <c r="BK1217" s="57" t="n">
        <v>-133</v>
      </c>
      <c r="BL1217" s="57" t="n">
        <v>252</v>
      </c>
      <c r="BM1217" s="56" t="n">
        <v>-574.46</v>
      </c>
      <c r="BN1217" s="57" t="n">
        <v>403</v>
      </c>
      <c r="BO1217" s="55" t="s">
        <v>472</v>
      </c>
      <c r="BP1217" s="60" t="n">
        <v>0</v>
      </c>
      <c r="BQ1217" s="60" t="n">
        <v>1217</v>
      </c>
      <c r="BR1217" s="55" t="str">
        <f aca="false">IF(U1217&lt;&gt;"",UPPER(TRIM(U1217)),IF(BU1217=1,UPPER(VLOOKUP(T1217,Parameter!$I$27:$K$29,2,0)),IF(P1217="","LOSE",P1217)))</f>
        <v>S63</v>
      </c>
      <c r="BS1217" s="57" t="n">
        <f aca="false">IF(BR1217="LOSE",1,IF(N(V1217)&gt;0,V1217,IF(BU1217=1,MAX(1,N(VLOOKUP(T1217,Parameter!$I$27:$K$29,3,0)),H1217,N(N1217)),IF(N(Q1217)&gt;0,Q1217,MAX(1,H1217)))))</f>
        <v>196</v>
      </c>
      <c r="BT1217" s="60" t="n">
        <f aca="false">IF(BR1217="LOSE",1,0)</f>
        <v>0</v>
      </c>
      <c r="BU1217" s="60" t="n">
        <f aca="false">IF(AND(U1217="",OR(P1217="",P1217="LOSE"),T1217&lt;&gt;"",N(S1217)&lt;=0,ISNUMBER(MATCH(T1217,Parameter!$I$27:$I$29,0))),1,0)</f>
        <v>0</v>
      </c>
      <c r="BV1217" s="55" t="str">
        <f aca="false">IF(AND(Parameter!$B$19="Ja",E1217&lt;&gt;"",ISNUMBER(MATCH(E1217,Parameter!$I$35:$I$52,0))),VLOOKUP(E1217,Parameter!$I$35:$J$52,2,0),IFERROR(VLOOKUP(D1217,Parameter!$A$35:$C$64,2,0),"Nein"))</f>
        <v>2+3</v>
      </c>
      <c r="BW1217" s="59" t="n">
        <f aca="false">IF(BT1217=0,0,IF(N(S1217)&gt;0,S1217,IFERROR(VLOOKUP(D1217,Parameter!$A$35:$C$64,3,0)+0,0)))</f>
        <v>0</v>
      </c>
      <c r="BX1217" s="55" t="n">
        <f aca="false">IF(AA1217&lt;&gt;"",AA1217,Z1217)</f>
        <v>2</v>
      </c>
      <c r="BY1217" s="55" t="str">
        <f aca="false">IF(BX1217=1,"L1",IF(OR(BX1217=2,BX1217=3),"L23",IF(BX1217="Aussen","Aussen","-")))</f>
        <v>L23</v>
      </c>
      <c r="BZ1217" s="66" t="n">
        <f aca="false">IF(N(AB1217)&gt;0,AB1217,0)</f>
        <v>0</v>
      </c>
      <c r="CA1217" s="60" t="n">
        <f aca="false">IF(ISNUMBER(AE1217),1,0)</f>
        <v>0</v>
      </c>
      <c r="CB1217" s="57" t="n">
        <f aca="false">N(AE1217)</f>
        <v>0</v>
      </c>
      <c r="CC1217" s="57" t="n">
        <f aca="false">N(M1217)+N(N1217)</f>
        <v>444</v>
      </c>
      <c r="CD1217" s="57" t="n">
        <f aca="false">ROUNDUP(H1217/BS1217,0)</f>
        <v>1</v>
      </c>
      <c r="CE1217" s="57" t="n">
        <f aca="false">ROUNDUP(CB1217/BS1217,0)</f>
        <v>0</v>
      </c>
      <c r="CF1217" s="60" t="n">
        <f aca="false">IF(BT1217=1,0,IFERROR(VLOOKUP(BR1217,'Gebinde-Kategorie'!$A$5:$M$45,5,0)+0,0))</f>
        <v>31</v>
      </c>
      <c r="CG1217" s="60" t="n">
        <f aca="false">IFERROR(IF(OR(BX1217=1,BX1217=2,BX1217=3),N(INDEX(Parameter!$I$5:$I$7,BX1217)),0),0)</f>
        <v>0</v>
      </c>
      <c r="CH1217" s="59" t="n">
        <f aca="false">IF(AND(Parameter!$B$21="Ja",ISNUMBER(W1217),N(X1217)&gt;0),IFERROR(N(INDEX(Parameter!$L$5:$L$7,W1217))*INDEX(Parameter!$E$5:$E$7,W1217)*X1217/SUMIFS($X$7:$X$1843,$W$7:$W$1843,W1217),0),0)</f>
        <v>0</v>
      </c>
    </row>
    <row r="1218" customFormat="false" ht="15" hidden="false" customHeight="false" outlineLevel="0" collapsed="false">
      <c r="A1218" s="55" t="s">
        <v>2185</v>
      </c>
      <c r="B1218" s="55" t="s">
        <v>522</v>
      </c>
      <c r="C1218" s="55" t="s">
        <v>164</v>
      </c>
      <c r="D1218" s="55" t="s">
        <v>173</v>
      </c>
      <c r="E1218" s="55"/>
      <c r="F1218" s="55" t="s">
        <v>218</v>
      </c>
      <c r="G1218" s="56" t="n">
        <v>301.79</v>
      </c>
      <c r="H1218" s="57" t="n">
        <f aca="false">MAX(0,IF(AND(Parameter!$B$21="Ja",ISNUMBER(Y1218)),Y1218,IF(Parameter!$B$20="Jahresanfang 2025 + Export",BL1218+BK1218,BK1218)))</f>
        <v>1</v>
      </c>
      <c r="I1218" s="57" t="n">
        <f aca="false">H1218*G1218</f>
        <v>301.79</v>
      </c>
      <c r="J1218" s="57" t="n">
        <f aca="false">BN1218*Parameter!$B$18</f>
        <v>15</v>
      </c>
      <c r="K1218" s="58" t="n">
        <v>10</v>
      </c>
      <c r="L1218" s="59" t="n">
        <v>1.5</v>
      </c>
      <c r="M1218" s="57" t="n">
        <v>1</v>
      </c>
      <c r="N1218" s="57" t="n">
        <v>10</v>
      </c>
      <c r="O1218" s="60" t="n">
        <v>35</v>
      </c>
      <c r="P1218" s="55" t="s">
        <v>168</v>
      </c>
      <c r="Q1218" s="57"/>
      <c r="R1218" s="60" t="n">
        <f aca="false">IF(BT1218=1,0,IFERROR(VLOOKUP(BR1218,'Gebinde-Kategorie'!$A$5:$M$45,13,0)+0,0))</f>
        <v>12</v>
      </c>
      <c r="S1218" s="61"/>
      <c r="T1218" s="62" t="s">
        <v>179</v>
      </c>
      <c r="U1218" s="62"/>
      <c r="V1218" s="62"/>
      <c r="W1218" s="55"/>
      <c r="X1218" s="57"/>
      <c r="Y1218" s="57"/>
      <c r="Z1218" s="55" t="n">
        <f aca="false">IF(A1218="","",IF(AND(Parameter!$B$21="Ja",ISNUMBER(W1218)),W1218,IF(BV1218="2+3",IF(ISNUMBER(SEARCH("grosser Artikel",BO1218)),2,IFERROR(VLOOKUP(BR1218,Parameter!$F$35:$G$64,2,0),2)),IF(OR(BV1218="Nein",BV1218=""),"-",BV1218))))</f>
        <v>2</v>
      </c>
      <c r="AA1218" s="62"/>
      <c r="AB1218" s="63"/>
      <c r="AC1218" s="57" t="n">
        <f aca="false">AR1218</f>
        <v>20</v>
      </c>
      <c r="AD1218" s="57" t="n">
        <f aca="false">MAX(AR1218,H1218)</f>
        <v>20</v>
      </c>
      <c r="AE1218" s="64"/>
      <c r="AF1218" s="57" t="n">
        <f aca="false">IF(LEFT(Cockpit!$C$5,1)="A",H1218,IF(CA1218=1,CB1218,IF(LEFT(Cockpit!$C$5,1)="B",AJ1218,MAX(AJ1218,H1218))))</f>
        <v>1</v>
      </c>
      <c r="AG1218" s="57" t="n">
        <f aca="false">IF(BT1218=1,0,ROUNDUP(AF1218/BS1218,0))</f>
        <v>1</v>
      </c>
      <c r="AH1218" s="59" t="n">
        <f aca="false">IF(CH1218&gt;0,CH1218*MAX(1,AF1218/X1218),IF(BT1218=1,IF(AF1218&lt;=0,0,BW1218*MAX(1,IF(H1218&gt;0,AF1218/H1218,1))),IF(R1218&gt;0,AG1218/R1218,0))/MAX(0.1,N(Parameter!$M$21)))</f>
        <v>0.0833333333333333</v>
      </c>
      <c r="AI1218" s="57" t="n">
        <f aca="false">AF1218*G1218</f>
        <v>301.79</v>
      </c>
      <c r="AJ1218" s="57" t="n">
        <f aca="false">ROUNDUP(MAX(J1218/IF(BZ1218&gt;0,BZ1218,MAX(0.1,N(Cockpit!$C$6))),CC1218)/BS1218,0)*BS1218</f>
        <v>20</v>
      </c>
      <c r="AK1218" s="58" t="n">
        <f aca="false">IF(AH1218&gt;0,J1218/AH1218,-1)</f>
        <v>180</v>
      </c>
      <c r="AL1218" s="58" t="n">
        <f aca="false">IF(AND(OR(BY1218="L1",BY1218="L23"),AH1218&gt;0),SUMIFS($AH$7:$AH$1843,$BY$7:$BY$1843,BY1218,$AK$7:$AK$1843,"&gt;"&amp;AK1218)+SUMIFS($AH$7:$AH$1843,$BY$7:$BY$1843,BY1218,$AK$7:$AK$1843,AK1218,$BQ$7:$BQ$1843,"&lt;="&amp;BQ1218),"")</f>
        <v>33.8424546468025</v>
      </c>
      <c r="AM1218" s="65" t="n">
        <f aca="false">IF(AL1218="",0,MAX(0,MIN(1,(IF(BY1218="L1",Parameter!$E$5,Parameter!$E$6+Parameter!$E$7)-(AL1218-AH1218))/AH1218)))</f>
        <v>1</v>
      </c>
      <c r="AN1218" s="57" t="n">
        <f aca="false">IF(LEFT(Cockpit!$I$5,1)="A",H1218,IF(CA1218=1,CB1218,IF(LEFT(Cockpit!$I$5,1)="B",AR1218,MAX(AR1218,H1218))))</f>
        <v>20</v>
      </c>
      <c r="AO1218" s="57" t="n">
        <f aca="false">IF(BT1218=1,0,ROUNDUP(AN1218/BS1218,0))</f>
        <v>2</v>
      </c>
      <c r="AP1218" s="59" t="n">
        <f aca="false">IF(CH1218&gt;0,CH1218*MAX(1,AN1218/X1218),IF(BT1218=1,IF(AN1218&lt;=0,0,BW1218*MAX(1,IF(H1218&gt;0,AN1218/H1218,1))),IF(R1218&gt;0,AO1218/R1218,0))/MAX(0.1,N(Parameter!$M$21)))</f>
        <v>0.166666666666667</v>
      </c>
      <c r="AQ1218" s="57" t="n">
        <f aca="false">AN1218*G1218</f>
        <v>6035.8</v>
      </c>
      <c r="AR1218" s="57" t="n">
        <f aca="false">ROUNDUP(MAX(J1218/IF(BZ1218&gt;0,BZ1218,MAX(0.1,N(Cockpit!$I$6))),CC1218)/BS1218,0)*BS1218</f>
        <v>20</v>
      </c>
      <c r="AS1218" s="58" t="n">
        <f aca="false">IF(AP1218&gt;0,J1218/AP1218,-1)</f>
        <v>90</v>
      </c>
      <c r="AT1218" s="58" t="n">
        <f aca="false">IF(AND(OR(BY1218="L1",BY1218="L23"),AP1218&gt;0),SUMIFS($AP$7:$AP$1843,$BY$7:$BY$1843,BY1218,$AS$7:$AS$1843,"&gt;"&amp;AS1218)+SUMIFS($AP$7:$AP$1843,$BY$7:$BY$1843,BY1218,$AS$7:$AS$1843,AS1218,$BQ$7:$BQ$1843,"&lt;="&amp;BQ1218),"")</f>
        <v>61.6008834161008</v>
      </c>
      <c r="AU1218" s="65" t="n">
        <f aca="false">IF(AT1218="",0,MAX(0,MIN(1,(IF(BY1218="L1",Parameter!$E$5,Parameter!$E$6+Parameter!$E$7)-(AT1218-AP1218))/AP1218)))</f>
        <v>1</v>
      </c>
      <c r="AV1218" s="57" t="n">
        <f aca="false">IF(LEFT(Cockpit!$O$5,1)="A",H1218,IF(CA1218=1,CB1218,IF(LEFT(Cockpit!$O$5,1)="B",AZ1218,MAX(AZ1218,H1218))))</f>
        <v>20</v>
      </c>
      <c r="AW1218" s="57" t="n">
        <f aca="false">IF(BT1218=1,0,ROUNDUP(AV1218/BS1218,0))</f>
        <v>2</v>
      </c>
      <c r="AX1218" s="59" t="n">
        <f aca="false">IF(CH1218&gt;0,CH1218*MAX(1,AV1218/X1218),IF(BT1218=1,IF(AV1218&lt;=0,0,BW1218*MAX(1,IF(H1218&gt;0,AV1218/H1218,1))),IF(R1218&gt;0,AW1218/R1218,0))/MAX(0.1,N(Parameter!$M$21)))</f>
        <v>0.166666666666667</v>
      </c>
      <c r="AY1218" s="57" t="n">
        <f aca="false">AV1218*G1218</f>
        <v>6035.8</v>
      </c>
      <c r="AZ1218" s="57" t="n">
        <f aca="false">ROUNDUP(MAX(J1218/IF(BZ1218&gt;0,BZ1218,MAX(0.1,N(Cockpit!$O$6))),CC1218)/BS1218,0)*BS1218</f>
        <v>20</v>
      </c>
      <c r="BA1218" s="58" t="n">
        <f aca="false">IF(AX1218&gt;0,J1218/AX1218,-1)</f>
        <v>90</v>
      </c>
      <c r="BB1218" s="58" t="n">
        <f aca="false">IF(AND(OR(BY1218="L1",BY1218="L23"),AX1218&gt;0),SUMIFS($AX$7:$AX$1843,$BY$7:$BY$1843,BY1218,$BA$7:$BA$1843,"&gt;"&amp;BA1218)+SUMIFS($AX$7:$AX$1843,$BY$7:$BY$1843,BY1218,$BA$7:$BA$1843,BA1218,$BQ$7:$BQ$1843,"&lt;="&amp;BQ1218),"")</f>
        <v>56.6807202459376</v>
      </c>
      <c r="BC1218" s="65" t="n">
        <f aca="false">IF(BB1218="",0,MAX(0,MIN(1,(IF(BY1218="L1",Parameter!$E$5,Parameter!$E$6+Parameter!$E$7)-(BB1218-AX1218))/AX1218)))</f>
        <v>1</v>
      </c>
      <c r="BD1218" s="55" t="str">
        <f aca="false">IF(AH1218&lt;=0,"",IF(BY1218="Aussen","Aussenlager",IF(BY1218="-","Nicht im Lift",IF(AM1218&gt;=1,"Lift",IF(AM1218&lt;=0,"Aussenlager","teilweise")))))</f>
        <v>Lift</v>
      </c>
      <c r="BE1218" s="55" t="str">
        <f aca="false">IF(AP1218&lt;=0,"",IF(BY1218="Aussen","Aussenlager",IF(BY1218="-","Nicht im Lift",IF(AU1218&gt;=1,"Lift",IF(AU1218&lt;=0,"Aussenlager","teilweise")))))</f>
        <v>Lift</v>
      </c>
      <c r="BF1218" s="55" t="str">
        <f aca="false">IF(AX1218&lt;=0,"",IF(BY1218="Aussen","Aussenlager",IF(BY1218="-","Nicht im Lift",IF(BC1218&gt;=1,"Lift",IF(BC1218&lt;=0,"Aussenlager","teilweise")))))</f>
        <v>Lift</v>
      </c>
      <c r="BG1218" s="55" t="str">
        <f aca="false">IF(A1218="","",IF(BP1218=1,"Neu; ","")&amp;IF(AND(BP1218=0,BK1218&lt;0),"negativer Bestand (Export "&amp;BK1218&amp;"); ","")&amp;IF(J1218&lt;=0,"Kein Verbrauch; ","")&amp;IF(CH1218&gt;0,"Lift "&amp;W1218&amp;" lt. Liftbericht (Fach "&amp;X1218&amp;" Stk); ",IF(BU1218=1,"Gebinde geschätzt ("&amp;T1218&amp;"); ",IF(BT1218=1,"Lose – Tablare geschätzt; ","")))&amp;IF(H1218&gt;AR1218,"Überbestand "&amp;ROUND(H1218-AR1218,0)&amp;" Stk / CHF "&amp;ROUND((H1218-AR1218)*G1218,0)&amp;"; ","")&amp;IF(AND(CA1218=1,CB1218&lt;CC1218),"MAX &lt; MB+LG; ","")&amp;IF(AND(CG1218&gt;0,CF1218*10&gt;CG1218),"zu hoch für Tablar; ","")&amp;IF(AND(BP1218=0,OR(CA1218=1,AA1218&lt;&gt;"",U1218&lt;&gt;"",V1218&lt;&gt;"",AB1218&lt;&gt;"")),"manuell übersteuert; ","")&amp;IF(AND(BT1218=0,R1218=0),"Gebinde unbekannt / Stellmass fehlt; ","")&amp;IF(AND(BT1218=0,N(V1218)&lt;=0,N(Q1218)&lt;=0),"Menge pro Gebinde fehlt (Ist = 1 Gebinde); ","")&amp;BO1218)</f>
        <v>negativer Bestand (Export -2); Gebinde geschätzt (Mittel); Menge pro Gebinde fehlt (Ist = 1 Gebinde); </v>
      </c>
      <c r="BH1218" s="55"/>
      <c r="BI1218" s="55"/>
      <c r="BJ1218" s="62"/>
      <c r="BK1218" s="57" t="n">
        <v>-2</v>
      </c>
      <c r="BL1218" s="57" t="n">
        <v>3</v>
      </c>
      <c r="BM1218" s="56" t="n">
        <v>-580.570000000002</v>
      </c>
      <c r="BN1218" s="57" t="n">
        <v>15</v>
      </c>
      <c r="BO1218" s="55"/>
      <c r="BP1218" s="60" t="n">
        <v>0</v>
      </c>
      <c r="BQ1218" s="60" t="n">
        <v>1218</v>
      </c>
      <c r="BR1218" s="55" t="str">
        <f aca="false">IF(U1218&lt;&gt;"",UPPER(TRIM(U1218)),IF(BU1218=1,UPPER(VLOOKUP(T1218,Parameter!$I$27:$K$29,2,0)),IF(P1218="","LOSE",P1218)))</f>
        <v>S61</v>
      </c>
      <c r="BS1218" s="57" t="n">
        <f aca="false">IF(BR1218="LOSE",1,IF(N(V1218)&gt;0,V1218,IF(BU1218=1,MAX(1,N(VLOOKUP(T1218,Parameter!$I$27:$K$29,3,0)),H1218,N(N1218)),IF(N(Q1218)&gt;0,Q1218,MAX(1,H1218)))))</f>
        <v>10</v>
      </c>
      <c r="BT1218" s="60" t="n">
        <f aca="false">IF(BR1218="LOSE",1,0)</f>
        <v>0</v>
      </c>
      <c r="BU1218" s="60" t="n">
        <f aca="false">IF(AND(U1218="",OR(P1218="",P1218="LOSE"),T1218&lt;&gt;"",N(S1218)&lt;=0,ISNUMBER(MATCH(T1218,Parameter!$I$27:$I$29,0))),1,0)</f>
        <v>1</v>
      </c>
      <c r="BV1218" s="55" t="str">
        <f aca="false">IF(AND(Parameter!$B$19="Ja",E1218&lt;&gt;"",ISNUMBER(MATCH(E1218,Parameter!$I$35:$I$52,0))),VLOOKUP(E1218,Parameter!$I$35:$J$52,2,0),IFERROR(VLOOKUP(D1218,Parameter!$A$35:$C$64,2,0),"Nein"))</f>
        <v>2+3</v>
      </c>
      <c r="BW1218" s="59" t="n">
        <f aca="false">IF(BT1218=0,0,IF(N(S1218)&gt;0,S1218,IFERROR(VLOOKUP(D1218,Parameter!$A$35:$C$64,3,0)+0,0)))</f>
        <v>0</v>
      </c>
      <c r="BX1218" s="55" t="n">
        <f aca="false">IF(AA1218&lt;&gt;"",AA1218,Z1218)</f>
        <v>2</v>
      </c>
      <c r="BY1218" s="55" t="str">
        <f aca="false">IF(BX1218=1,"L1",IF(OR(BX1218=2,BX1218=3),"L23",IF(BX1218="Aussen","Aussen","-")))</f>
        <v>L23</v>
      </c>
      <c r="BZ1218" s="66" t="n">
        <f aca="false">IF(N(AB1218)&gt;0,AB1218,0)</f>
        <v>0</v>
      </c>
      <c r="CA1218" s="60" t="n">
        <f aca="false">IF(ISNUMBER(AE1218),1,0)</f>
        <v>0</v>
      </c>
      <c r="CB1218" s="57" t="n">
        <f aca="false">N(AE1218)</f>
        <v>0</v>
      </c>
      <c r="CC1218" s="57" t="n">
        <f aca="false">N(M1218)+N(N1218)</f>
        <v>11</v>
      </c>
      <c r="CD1218" s="57" t="n">
        <f aca="false">ROUNDUP(H1218/BS1218,0)</f>
        <v>1</v>
      </c>
      <c r="CE1218" s="57" t="n">
        <f aca="false">ROUNDUP(CB1218/BS1218,0)</f>
        <v>0</v>
      </c>
      <c r="CF1218" s="60" t="n">
        <f aca="false">IF(BT1218=1,0,IFERROR(VLOOKUP(BR1218,'Gebinde-Kategorie'!$A$5:$M$45,5,0)+0,0))</f>
        <v>11</v>
      </c>
      <c r="CG1218" s="60" t="n">
        <f aca="false">IFERROR(IF(OR(BX1218=1,BX1218=2,BX1218=3),N(INDEX(Parameter!$I$5:$I$7,BX1218)),0),0)</f>
        <v>0</v>
      </c>
      <c r="CH1218" s="59" t="n">
        <f aca="false">IF(AND(Parameter!$B$21="Ja",ISNUMBER(W1218),N(X1218)&gt;0),IFERROR(N(INDEX(Parameter!$L$5:$L$7,W1218))*INDEX(Parameter!$E$5:$E$7,W1218)*X1218/SUMIFS($X$7:$X$1843,$W$7:$W$1843,W1218),0),0)</f>
        <v>0</v>
      </c>
    </row>
    <row r="1219" customFormat="false" ht="15" hidden="false" customHeight="false" outlineLevel="0" collapsed="false">
      <c r="A1219" s="55" t="s">
        <v>2186</v>
      </c>
      <c r="B1219" s="55" t="s">
        <v>1578</v>
      </c>
      <c r="C1219" s="55" t="s">
        <v>164</v>
      </c>
      <c r="D1219" s="55" t="s">
        <v>184</v>
      </c>
      <c r="E1219" s="55" t="s">
        <v>185</v>
      </c>
      <c r="F1219" s="55" t="s">
        <v>218</v>
      </c>
      <c r="G1219" s="56" t="n">
        <v>7.16</v>
      </c>
      <c r="H1219" s="57" t="n">
        <f aca="false">MAX(0,IF(AND(Parameter!$B$21="Ja",ISNUMBER(Y1219)),Y1219,IF(Parameter!$B$20="Jahresanfang 2025 + Export",BL1219+BK1219,BK1219)))</f>
        <v>33</v>
      </c>
      <c r="I1219" s="57" t="n">
        <f aca="false">H1219*G1219</f>
        <v>236.28</v>
      </c>
      <c r="J1219" s="57" t="n">
        <f aca="false">BN1219*Parameter!$B$18</f>
        <v>0</v>
      </c>
      <c r="K1219" s="58" t="n">
        <v>74</v>
      </c>
      <c r="L1219" s="59" t="n">
        <v>0</v>
      </c>
      <c r="M1219" s="57" t="n">
        <v>0</v>
      </c>
      <c r="N1219" s="57" t="n">
        <v>1</v>
      </c>
      <c r="O1219" s="60" t="n">
        <v>63</v>
      </c>
      <c r="P1219" s="55" t="s">
        <v>233</v>
      </c>
      <c r="Q1219" s="57" t="n">
        <v>33</v>
      </c>
      <c r="R1219" s="60" t="n">
        <f aca="false">IF(BT1219=1,0,IFERROR(VLOOKUP(BR1219,'Gebinde-Kategorie'!$A$5:$M$45,13,0)+0,0))</f>
        <v>26</v>
      </c>
      <c r="S1219" s="61"/>
      <c r="T1219" s="62"/>
      <c r="U1219" s="62"/>
      <c r="V1219" s="62"/>
      <c r="W1219" s="55"/>
      <c r="X1219" s="57"/>
      <c r="Y1219" s="57"/>
      <c r="Z1219" s="55" t="n">
        <f aca="false">IF(A1219="","",IF(AND(Parameter!$B$21="Ja",ISNUMBER(W1219)),W1219,IF(BV1219="2+3",IF(ISNUMBER(SEARCH("grosser Artikel",BO1219)),2,IFERROR(VLOOKUP(BR1219,Parameter!$F$35:$G$64,2,0),2)),IF(OR(BV1219="Nein",BV1219=""),"-",BV1219))))</f>
        <v>3</v>
      </c>
      <c r="AA1219" s="62"/>
      <c r="AB1219" s="63"/>
      <c r="AC1219" s="57" t="n">
        <f aca="false">AR1219</f>
        <v>33</v>
      </c>
      <c r="AD1219" s="57" t="n">
        <f aca="false">MAX(AR1219,H1219)</f>
        <v>33</v>
      </c>
      <c r="AE1219" s="64"/>
      <c r="AF1219" s="57" t="n">
        <f aca="false">IF(LEFT(Cockpit!$C$5,1)="A",H1219,IF(CA1219=1,CB1219,IF(LEFT(Cockpit!$C$5,1)="B",AJ1219,MAX(AJ1219,H1219))))</f>
        <v>33</v>
      </c>
      <c r="AG1219" s="57" t="n">
        <f aca="false">IF(BT1219=1,0,ROUNDUP(AF1219/BS1219,0))</f>
        <v>1</v>
      </c>
      <c r="AH1219" s="59" t="n">
        <f aca="false">IF(CH1219&gt;0,CH1219*MAX(1,AF1219/X1219),IF(BT1219=1,IF(AF1219&lt;=0,0,BW1219*MAX(1,IF(H1219&gt;0,AF1219/H1219,1))),IF(R1219&gt;0,AG1219/R1219,0))/MAX(0.1,N(Parameter!$M$21)))</f>
        <v>0.0384615384615385</v>
      </c>
      <c r="AI1219" s="57" t="n">
        <f aca="false">AF1219*G1219</f>
        <v>236.28</v>
      </c>
      <c r="AJ1219" s="57" t="n">
        <f aca="false">ROUNDUP(MAX(J1219/IF(BZ1219&gt;0,BZ1219,MAX(0.1,N(Cockpit!$C$6))),CC1219)/BS1219,0)*BS1219</f>
        <v>33</v>
      </c>
      <c r="AK1219" s="58" t="n">
        <f aca="false">IF(AH1219&gt;0,J1219/AH1219,-1)</f>
        <v>0</v>
      </c>
      <c r="AL1219" s="58" t="n">
        <f aca="false">IF(AND(OR(BY1219="L1",BY1219="L23"),AH1219&gt;0),SUMIFS($AH$7:$AH$1843,$BY$7:$BY$1843,BY1219,$AK$7:$AK$1843,"&gt;"&amp;AK1219)+SUMIFS($AH$7:$AH$1843,$BY$7:$BY$1843,BY1219,$AK$7:$AK$1843,AK1219,$BQ$7:$BQ$1843,"&lt;="&amp;BQ1219),"")</f>
        <v>80.7100097969663</v>
      </c>
      <c r="AM1219" s="65" t="n">
        <f aca="false">IF(AL1219="",0,MAX(0,MIN(1,(IF(BY1219="L1",Parameter!$E$5,Parameter!$E$6+Parameter!$E$7)-(AL1219-AH1219))/AH1219)))</f>
        <v>1</v>
      </c>
      <c r="AN1219" s="57" t="n">
        <f aca="false">IF(LEFT(Cockpit!$I$5,1)="A",H1219,IF(CA1219=1,CB1219,IF(LEFT(Cockpit!$I$5,1)="B",AR1219,MAX(AR1219,H1219))))</f>
        <v>33</v>
      </c>
      <c r="AO1219" s="57" t="n">
        <f aca="false">IF(BT1219=1,0,ROUNDUP(AN1219/BS1219,0))</f>
        <v>1</v>
      </c>
      <c r="AP1219" s="59" t="n">
        <f aca="false">IF(CH1219&gt;0,CH1219*MAX(1,AN1219/X1219),IF(BT1219=1,IF(AN1219&lt;=0,0,BW1219*MAX(1,IF(H1219&gt;0,AN1219/H1219,1))),IF(R1219&gt;0,AO1219/R1219,0))/MAX(0.1,N(Parameter!$M$21)))</f>
        <v>0.0384615384615385</v>
      </c>
      <c r="AQ1219" s="57" t="n">
        <f aca="false">AN1219*G1219</f>
        <v>236.28</v>
      </c>
      <c r="AR1219" s="57" t="n">
        <f aca="false">ROUNDUP(MAX(J1219/IF(BZ1219&gt;0,BZ1219,MAX(0.1,N(Cockpit!$I$6))),CC1219)/BS1219,0)*BS1219</f>
        <v>33</v>
      </c>
      <c r="AS1219" s="58" t="n">
        <f aca="false">IF(AP1219&gt;0,J1219/AP1219,-1)</f>
        <v>0</v>
      </c>
      <c r="AT1219" s="58" t="n">
        <f aca="false">IF(AND(OR(BY1219="L1",BY1219="L23"),AP1219&gt;0),SUMIFS($AP$7:$AP$1843,$BY$7:$BY$1843,BY1219,$AS$7:$AS$1843,"&gt;"&amp;AS1219)+SUMIFS($AP$7:$AP$1843,$BY$7:$BY$1843,BY1219,$AS$7:$AS$1843,AS1219,$BQ$7:$BQ$1843,"&lt;="&amp;BQ1219),"")</f>
        <v>122.785818046688</v>
      </c>
      <c r="AU1219" s="65" t="n">
        <f aca="false">IF(AT1219="",0,MAX(0,MIN(1,(IF(BY1219="L1",Parameter!$E$5,Parameter!$E$6+Parameter!$E$7)-(AT1219-AP1219))/AP1219)))</f>
        <v>0</v>
      </c>
      <c r="AV1219" s="57" t="n">
        <f aca="false">IF(LEFT(Cockpit!$O$5,1)="A",H1219,IF(CA1219=1,CB1219,IF(LEFT(Cockpit!$O$5,1)="B",AZ1219,MAX(AZ1219,H1219))))</f>
        <v>33</v>
      </c>
      <c r="AW1219" s="57" t="n">
        <f aca="false">IF(BT1219=1,0,ROUNDUP(AV1219/BS1219,0))</f>
        <v>1</v>
      </c>
      <c r="AX1219" s="59" t="n">
        <f aca="false">IF(CH1219&gt;0,CH1219*MAX(1,AV1219/X1219),IF(BT1219=1,IF(AV1219&lt;=0,0,BW1219*MAX(1,IF(H1219&gt;0,AV1219/H1219,1))),IF(R1219&gt;0,AW1219/R1219,0))/MAX(0.1,N(Parameter!$M$21)))</f>
        <v>0.0384615384615385</v>
      </c>
      <c r="AY1219" s="57" t="n">
        <f aca="false">AV1219*G1219</f>
        <v>236.28</v>
      </c>
      <c r="AZ1219" s="57" t="n">
        <f aca="false">ROUNDUP(MAX(J1219/IF(BZ1219&gt;0,BZ1219,MAX(0.1,N(Cockpit!$O$6))),CC1219)/BS1219,0)*BS1219</f>
        <v>33</v>
      </c>
      <c r="BA1219" s="58" t="n">
        <f aca="false">IF(AX1219&gt;0,J1219/AX1219,-1)</f>
        <v>0</v>
      </c>
      <c r="BB1219" s="58" t="n">
        <f aca="false">IF(AND(OR(BY1219="L1",BY1219="L23"),AX1219&gt;0),SUMIFS($AX$7:$AX$1843,$BY$7:$BY$1843,BY1219,$BA$7:$BA$1843,"&gt;"&amp;BA1219)+SUMIFS($AX$7:$AX$1843,$BY$7:$BY$1843,BY1219,$BA$7:$BA$1843,BA1219,$BQ$7:$BQ$1843,"&lt;="&amp;BQ1219),"")</f>
        <v>113.615654876524</v>
      </c>
      <c r="BC1219" s="65" t="n">
        <f aca="false">IF(BB1219="",0,MAX(0,MIN(1,(IF(BY1219="L1",Parameter!$E$5,Parameter!$E$6+Parameter!$E$7)-(BB1219-AX1219))/AX1219)))</f>
        <v>0</v>
      </c>
      <c r="BD1219" s="55" t="str">
        <f aca="false">IF(AH1219&lt;=0,"",IF(BY1219="Aussen","Aussenlager",IF(BY1219="-","Nicht im Lift",IF(AM1219&gt;=1,"Lift",IF(AM1219&lt;=0,"Aussenlager","teilweise")))))</f>
        <v>Lift</v>
      </c>
      <c r="BE1219" s="55" t="str">
        <f aca="false">IF(AP1219&lt;=0,"",IF(BY1219="Aussen","Aussenlager",IF(BY1219="-","Nicht im Lift",IF(AU1219&gt;=1,"Lift",IF(AU1219&lt;=0,"Aussenlager","teilweise")))))</f>
        <v>Aussenlager</v>
      </c>
      <c r="BF1219" s="55" t="str">
        <f aca="false">IF(AX1219&lt;=0,"",IF(BY1219="Aussen","Aussenlager",IF(BY1219="-","Nicht im Lift",IF(BC1219&gt;=1,"Lift",IF(BC1219&lt;=0,"Aussenlager","teilweise")))))</f>
        <v>Aussenlager</v>
      </c>
      <c r="BG1219" s="55" t="str">
        <f aca="false">IF(A1219="","",IF(BP1219=1,"Neu; ","")&amp;IF(AND(BP1219=0,BK1219&lt;0),"negativer Bestand (Export "&amp;BK1219&amp;"); ","")&amp;IF(J1219&lt;=0,"Kein Verbrauch; ","")&amp;IF(CH1219&gt;0,"Lift "&amp;W1219&amp;" lt. Liftbericht (Fach "&amp;X1219&amp;" Stk); ",IF(BU1219=1,"Gebinde geschätzt ("&amp;T1219&amp;"); ",IF(BT1219=1,"Lose – Tablare geschätzt; ","")))&amp;IF(H1219&gt;AR1219,"Überbestand "&amp;ROUND(H1219-AR1219,0)&amp;" Stk / CHF "&amp;ROUND((H1219-AR1219)*G1219,0)&amp;"; ","")&amp;IF(AND(CA1219=1,CB1219&lt;CC1219),"MAX &lt; MB+LG; ","")&amp;IF(AND(CG1219&gt;0,CF1219*10&gt;CG1219),"zu hoch für Tablar; ","")&amp;IF(AND(BP1219=0,OR(CA1219=1,AA1219&lt;&gt;"",U1219&lt;&gt;"",V1219&lt;&gt;"",AB1219&lt;&gt;"")),"manuell übersteuert; ","")&amp;IF(AND(BT1219=0,R1219=0),"Gebinde unbekannt / Stellmass fehlt; ","")&amp;IF(AND(BT1219=0,N(V1219)&lt;=0,N(Q1219)&lt;=0),"Menge pro Gebinde fehlt (Ist = 1 Gebinde); ","")&amp;BO1219)</f>
        <v>negativer Bestand (Export -82); Kein Verbrauch; </v>
      </c>
      <c r="BH1219" s="55"/>
      <c r="BI1219" s="55"/>
      <c r="BJ1219" s="62"/>
      <c r="BK1219" s="57" t="n">
        <v>-82</v>
      </c>
      <c r="BL1219" s="57" t="n">
        <v>115</v>
      </c>
      <c r="BM1219" s="56" t="n">
        <v>-587.12</v>
      </c>
      <c r="BN1219" s="57" t="n">
        <v>0</v>
      </c>
      <c r="BO1219" s="55"/>
      <c r="BP1219" s="60" t="n">
        <v>0</v>
      </c>
      <c r="BQ1219" s="60" t="n">
        <v>1219</v>
      </c>
      <c r="BR1219" s="55" t="str">
        <f aca="false">IF(U1219&lt;&gt;"",UPPER(TRIM(U1219)),IF(BU1219=1,UPPER(VLOOKUP(T1219,Parameter!$I$27:$K$29,2,0)),IF(P1219="","LOSE",P1219)))</f>
        <v>S52</v>
      </c>
      <c r="BS1219" s="57" t="n">
        <f aca="false">IF(BR1219="LOSE",1,IF(N(V1219)&gt;0,V1219,IF(BU1219=1,MAX(1,N(VLOOKUP(T1219,Parameter!$I$27:$K$29,3,0)),H1219,N(N1219)),IF(N(Q1219)&gt;0,Q1219,MAX(1,H1219)))))</f>
        <v>33</v>
      </c>
      <c r="BT1219" s="60" t="n">
        <f aca="false">IF(BR1219="LOSE",1,0)</f>
        <v>0</v>
      </c>
      <c r="BU1219" s="60" t="n">
        <f aca="false">IF(AND(U1219="",OR(P1219="",P1219="LOSE"),T1219&lt;&gt;"",N(S1219)&lt;=0,ISNUMBER(MATCH(T1219,Parameter!$I$27:$I$29,0))),1,0)</f>
        <v>0</v>
      </c>
      <c r="BV1219" s="55" t="str">
        <f aca="false">IF(AND(Parameter!$B$19="Ja",E1219&lt;&gt;"",ISNUMBER(MATCH(E1219,Parameter!$I$35:$I$52,0))),VLOOKUP(E1219,Parameter!$I$35:$J$52,2,0),IFERROR(VLOOKUP(D1219,Parameter!$A$35:$C$64,2,0),"Nein"))</f>
        <v>2+3</v>
      </c>
      <c r="BW1219" s="59" t="n">
        <f aca="false">IF(BT1219=0,0,IF(N(S1219)&gt;0,S1219,IFERROR(VLOOKUP(D1219,Parameter!$A$35:$C$64,3,0)+0,0)))</f>
        <v>0</v>
      </c>
      <c r="BX1219" s="55" t="n">
        <f aca="false">IF(AA1219&lt;&gt;"",AA1219,Z1219)</f>
        <v>3</v>
      </c>
      <c r="BY1219" s="55" t="str">
        <f aca="false">IF(BX1219=1,"L1",IF(OR(BX1219=2,BX1219=3),"L23",IF(BX1219="Aussen","Aussen","-")))</f>
        <v>L23</v>
      </c>
      <c r="BZ1219" s="66" t="n">
        <f aca="false">IF(N(AB1219)&gt;0,AB1219,0)</f>
        <v>0</v>
      </c>
      <c r="CA1219" s="60" t="n">
        <f aca="false">IF(ISNUMBER(AE1219),1,0)</f>
        <v>0</v>
      </c>
      <c r="CB1219" s="57" t="n">
        <f aca="false">N(AE1219)</f>
        <v>0</v>
      </c>
      <c r="CC1219" s="57" t="n">
        <f aca="false">N(M1219)+N(N1219)</f>
        <v>1</v>
      </c>
      <c r="CD1219" s="57" t="n">
        <f aca="false">ROUNDUP(H1219/BS1219,0)</f>
        <v>1</v>
      </c>
      <c r="CE1219" s="57" t="n">
        <f aca="false">ROUNDUP(CB1219/BS1219,0)</f>
        <v>0</v>
      </c>
      <c r="CF1219" s="60" t="n">
        <f aca="false">IF(BT1219=1,0,IFERROR(VLOOKUP(BR1219,'Gebinde-Kategorie'!$A$5:$M$45,5,0)+0,0))</f>
        <v>21</v>
      </c>
      <c r="CG1219" s="60" t="n">
        <f aca="false">IFERROR(IF(OR(BX1219=1,BX1219=2,BX1219=3),N(INDEX(Parameter!$I$5:$I$7,BX1219)),0),0)</f>
        <v>0</v>
      </c>
      <c r="CH1219" s="59" t="n">
        <f aca="false">IF(AND(Parameter!$B$21="Ja",ISNUMBER(W1219),N(X1219)&gt;0),IFERROR(N(INDEX(Parameter!$L$5:$L$7,W1219))*INDEX(Parameter!$E$5:$E$7,W1219)*X1219/SUMIFS($X$7:$X$1843,$W$7:$W$1843,W1219),0),0)</f>
        <v>0</v>
      </c>
    </row>
    <row r="1220" customFormat="false" ht="15" hidden="false" customHeight="false" outlineLevel="0" collapsed="false">
      <c r="A1220" s="55" t="s">
        <v>2187</v>
      </c>
      <c r="B1220" s="55" t="s">
        <v>598</v>
      </c>
      <c r="C1220" s="55" t="s">
        <v>164</v>
      </c>
      <c r="D1220" s="55" t="s">
        <v>184</v>
      </c>
      <c r="E1220" s="55" t="s">
        <v>185</v>
      </c>
      <c r="F1220" s="55" t="s">
        <v>218</v>
      </c>
      <c r="G1220" s="56" t="n">
        <v>29.25</v>
      </c>
      <c r="H1220" s="57" t="n">
        <f aca="false">MAX(0,IF(AND(Parameter!$B$21="Ja",ISNUMBER(Y1220)),Y1220,IF(Parameter!$B$20="Jahresanfang 2025 + Export",BL1220+BK1220,BK1220)))</f>
        <v>27</v>
      </c>
      <c r="I1220" s="57" t="n">
        <f aca="false">H1220*G1220</f>
        <v>789.75</v>
      </c>
      <c r="J1220" s="57" t="n">
        <f aca="false">BN1220*Parameter!$B$18</f>
        <v>47</v>
      </c>
      <c r="K1220" s="58" t="n">
        <v>66</v>
      </c>
      <c r="L1220" s="59" t="n">
        <v>0.712121212121212</v>
      </c>
      <c r="M1220" s="57" t="n">
        <v>1</v>
      </c>
      <c r="N1220" s="57" t="n">
        <v>45</v>
      </c>
      <c r="O1220" s="60" t="n">
        <v>14</v>
      </c>
      <c r="P1220" s="55" t="s">
        <v>328</v>
      </c>
      <c r="Q1220" s="57" t="n">
        <v>124</v>
      </c>
      <c r="R1220" s="60" t="n">
        <f aca="false">IF(BT1220=1,0,IFERROR(VLOOKUP(BR1220,'Gebinde-Kategorie'!$A$5:$M$45,13,0)+0,0))</f>
        <v>52</v>
      </c>
      <c r="S1220" s="61"/>
      <c r="T1220" s="62"/>
      <c r="U1220" s="62"/>
      <c r="V1220" s="62"/>
      <c r="W1220" s="55"/>
      <c r="X1220" s="57"/>
      <c r="Y1220" s="57"/>
      <c r="Z1220" s="55" t="n">
        <f aca="false">IF(A1220="","",IF(AND(Parameter!$B$21="Ja",ISNUMBER(W1220)),W1220,IF(BV1220="2+3",IF(ISNUMBER(SEARCH("grosser Artikel",BO1220)),2,IFERROR(VLOOKUP(BR1220,Parameter!$F$35:$G$64,2,0),2)),IF(OR(BV1220="Nein",BV1220=""),"-",BV1220))))</f>
        <v>3</v>
      </c>
      <c r="AA1220" s="62"/>
      <c r="AB1220" s="63"/>
      <c r="AC1220" s="57" t="n">
        <f aca="false">AR1220</f>
        <v>124</v>
      </c>
      <c r="AD1220" s="57" t="n">
        <f aca="false">MAX(AR1220,H1220)</f>
        <v>124</v>
      </c>
      <c r="AE1220" s="64"/>
      <c r="AF1220" s="57" t="n">
        <f aca="false">IF(LEFT(Cockpit!$C$5,1)="A",H1220,IF(CA1220=1,CB1220,IF(LEFT(Cockpit!$C$5,1)="B",AJ1220,MAX(AJ1220,H1220))))</f>
        <v>27</v>
      </c>
      <c r="AG1220" s="57" t="n">
        <f aca="false">IF(BT1220=1,0,ROUNDUP(AF1220/BS1220,0))</f>
        <v>1</v>
      </c>
      <c r="AH1220" s="59" t="n">
        <f aca="false">IF(CH1220&gt;0,CH1220*MAX(1,AF1220/X1220),IF(BT1220=1,IF(AF1220&lt;=0,0,BW1220*MAX(1,IF(H1220&gt;0,AF1220/H1220,1))),IF(R1220&gt;0,AG1220/R1220,0))/MAX(0.1,N(Parameter!$M$21)))</f>
        <v>0.0192307692307692</v>
      </c>
      <c r="AI1220" s="57" t="n">
        <f aca="false">AF1220*G1220</f>
        <v>789.75</v>
      </c>
      <c r="AJ1220" s="57" t="n">
        <f aca="false">ROUNDUP(MAX(J1220/IF(BZ1220&gt;0,BZ1220,MAX(0.1,N(Cockpit!$C$6))),CC1220)/BS1220,0)*BS1220</f>
        <v>124</v>
      </c>
      <c r="AK1220" s="58" t="n">
        <f aca="false">IF(AH1220&gt;0,J1220/AH1220,-1)</f>
        <v>2444</v>
      </c>
      <c r="AL1220" s="58" t="n">
        <f aca="false">IF(AND(OR(BY1220="L1",BY1220="L23"),AH1220&gt;0),SUMIFS($AH$7:$AH$1843,$BY$7:$BY$1843,BY1220,$AK$7:$AK$1843,"&gt;"&amp;AK1220)+SUMIFS($AH$7:$AH$1843,$BY$7:$BY$1843,BY1220,$AK$7:$AK$1843,AK1220,$BQ$7:$BQ$1843,"&lt;="&amp;BQ1220),"")</f>
        <v>11.5841103341103</v>
      </c>
      <c r="AM1220" s="65" t="n">
        <f aca="false">IF(AL1220="",0,MAX(0,MIN(1,(IF(BY1220="L1",Parameter!$E$5,Parameter!$E$6+Parameter!$E$7)-(AL1220-AH1220))/AH1220)))</f>
        <v>1</v>
      </c>
      <c r="AN1220" s="57" t="n">
        <f aca="false">IF(LEFT(Cockpit!$I$5,1)="A",H1220,IF(CA1220=1,CB1220,IF(LEFT(Cockpit!$I$5,1)="B",AR1220,MAX(AR1220,H1220))))</f>
        <v>124</v>
      </c>
      <c r="AO1220" s="57" t="n">
        <f aca="false">IF(BT1220=1,0,ROUNDUP(AN1220/BS1220,0))</f>
        <v>1</v>
      </c>
      <c r="AP1220" s="59" t="n">
        <f aca="false">IF(CH1220&gt;0,CH1220*MAX(1,AN1220/X1220),IF(BT1220=1,IF(AN1220&lt;=0,0,BW1220*MAX(1,IF(H1220&gt;0,AN1220/H1220,1))),IF(R1220&gt;0,AO1220/R1220,0))/MAX(0.1,N(Parameter!$M$21)))</f>
        <v>0.0192307692307692</v>
      </c>
      <c r="AQ1220" s="57" t="n">
        <f aca="false">AN1220*G1220</f>
        <v>3627</v>
      </c>
      <c r="AR1220" s="57" t="n">
        <f aca="false">ROUNDUP(MAX(J1220/IF(BZ1220&gt;0,BZ1220,MAX(0.1,N(Cockpit!$I$6))),CC1220)/BS1220,0)*BS1220</f>
        <v>124</v>
      </c>
      <c r="AS1220" s="58" t="n">
        <f aca="false">IF(AP1220&gt;0,J1220/AP1220,-1)</f>
        <v>2444</v>
      </c>
      <c r="AT1220" s="58" t="n">
        <f aca="false">IF(AND(OR(BY1220="L1",BY1220="L23"),AP1220&gt;0),SUMIFS($AP$7:$AP$1843,$BY$7:$BY$1843,BY1220,$AS$7:$AS$1843,"&gt;"&amp;AS1220)+SUMIFS($AP$7:$AP$1843,$BY$7:$BY$1843,BY1220,$AS$7:$AS$1843,AS1220,$BQ$7:$BQ$1843,"&lt;="&amp;BQ1220),"")</f>
        <v>17.0241292523901</v>
      </c>
      <c r="AU1220" s="65" t="n">
        <f aca="false">IF(AT1220="",0,MAX(0,MIN(1,(IF(BY1220="L1",Parameter!$E$5,Parameter!$E$6+Parameter!$E$7)-(AT1220-AP1220))/AP1220)))</f>
        <v>1</v>
      </c>
      <c r="AV1220" s="57" t="n">
        <f aca="false">IF(LEFT(Cockpit!$O$5,1)="A",H1220,IF(CA1220=1,CB1220,IF(LEFT(Cockpit!$O$5,1)="B",AZ1220,MAX(AZ1220,H1220))))</f>
        <v>124</v>
      </c>
      <c r="AW1220" s="57" t="n">
        <f aca="false">IF(BT1220=1,0,ROUNDUP(AV1220/BS1220,0))</f>
        <v>1</v>
      </c>
      <c r="AX1220" s="59" t="n">
        <f aca="false">IF(CH1220&gt;0,CH1220*MAX(1,AV1220/X1220),IF(BT1220=1,IF(AV1220&lt;=0,0,BW1220*MAX(1,IF(H1220&gt;0,AV1220/H1220,1))),IF(R1220&gt;0,AW1220/R1220,0))/MAX(0.1,N(Parameter!$M$21)))</f>
        <v>0.0192307692307692</v>
      </c>
      <c r="AY1220" s="57" t="n">
        <f aca="false">AV1220*G1220</f>
        <v>3627</v>
      </c>
      <c r="AZ1220" s="57" t="n">
        <f aca="false">ROUNDUP(MAX(J1220/IF(BZ1220&gt;0,BZ1220,MAX(0.1,N(Cockpit!$O$6))),CC1220)/BS1220,0)*BS1220</f>
        <v>124</v>
      </c>
      <c r="BA1220" s="58" t="n">
        <f aca="false">IF(AX1220&gt;0,J1220/AX1220,-1)</f>
        <v>2444</v>
      </c>
      <c r="BB1220" s="58" t="n">
        <f aca="false">IF(AND(OR(BY1220="L1",BY1220="L23"),AX1220&gt;0),SUMIFS($AX$7:$AX$1843,$BY$7:$BY$1843,BY1220,$BA$7:$BA$1843,"&gt;"&amp;BA1220)+SUMIFS($AX$7:$AX$1843,$BY$7:$BY$1843,BY1220,$BA$7:$BA$1843,BA1220,$BQ$7:$BQ$1843,"&lt;="&amp;BQ1220),"")</f>
        <v>15.5975558258167</v>
      </c>
      <c r="BC1220" s="65" t="n">
        <f aca="false">IF(BB1220="",0,MAX(0,MIN(1,(IF(BY1220="L1",Parameter!$E$5,Parameter!$E$6+Parameter!$E$7)-(BB1220-AX1220))/AX1220)))</f>
        <v>1</v>
      </c>
      <c r="BD1220" s="55" t="str">
        <f aca="false">IF(AH1220&lt;=0,"",IF(BY1220="Aussen","Aussenlager",IF(BY1220="-","Nicht im Lift",IF(AM1220&gt;=1,"Lift",IF(AM1220&lt;=0,"Aussenlager","teilweise")))))</f>
        <v>Lift</v>
      </c>
      <c r="BE1220" s="55" t="str">
        <f aca="false">IF(AP1220&lt;=0,"",IF(BY1220="Aussen","Aussenlager",IF(BY1220="-","Nicht im Lift",IF(AU1220&gt;=1,"Lift",IF(AU1220&lt;=0,"Aussenlager","teilweise")))))</f>
        <v>Lift</v>
      </c>
      <c r="BF1220" s="55" t="str">
        <f aca="false">IF(AX1220&lt;=0,"",IF(BY1220="Aussen","Aussenlager",IF(BY1220="-","Nicht im Lift",IF(BC1220&gt;=1,"Lift",IF(BC1220&lt;=0,"Aussenlager","teilweise")))))</f>
        <v>Lift</v>
      </c>
      <c r="BG1220" s="55" t="str">
        <f aca="false">IF(A1220="","",IF(BP1220=1,"Neu; ","")&amp;IF(AND(BP1220=0,BK1220&lt;0),"negativer Bestand (Export "&amp;BK1220&amp;"); ","")&amp;IF(J1220&lt;=0,"Kein Verbrauch; ","")&amp;IF(CH1220&gt;0,"Lift "&amp;W1220&amp;" lt. Liftbericht (Fach "&amp;X1220&amp;" Stk); ",IF(BU1220=1,"Gebinde geschätzt ("&amp;T1220&amp;"); ",IF(BT1220=1,"Lose – Tablare geschätzt; ","")))&amp;IF(H1220&gt;AR1220,"Überbestand "&amp;ROUND(H1220-AR1220,0)&amp;" Stk / CHF "&amp;ROUND((H1220-AR1220)*G1220,0)&amp;"; ","")&amp;IF(AND(CA1220=1,CB1220&lt;CC1220),"MAX &lt; MB+LG; ","")&amp;IF(AND(CG1220&gt;0,CF1220*10&gt;CG1220),"zu hoch für Tablar; ","")&amp;IF(AND(BP1220=0,OR(CA1220=1,AA1220&lt;&gt;"",U1220&lt;&gt;"",V1220&lt;&gt;"",AB1220&lt;&gt;"")),"manuell übersteuert; ","")&amp;IF(AND(BT1220=0,R1220=0),"Gebinde unbekannt / Stellmass fehlt; ","")&amp;IF(AND(BT1220=0,N(V1220)&lt;=0,N(Q1220)&lt;=0),"Menge pro Gebinde fehlt (Ist = 1 Gebinde); ","")&amp;BO1220)</f>
        <v>negativer Bestand (Export -23); </v>
      </c>
      <c r="BH1220" s="55"/>
      <c r="BI1220" s="55"/>
      <c r="BJ1220" s="62"/>
      <c r="BK1220" s="57" t="n">
        <v>-23</v>
      </c>
      <c r="BL1220" s="57" t="n">
        <v>50</v>
      </c>
      <c r="BM1220" s="56" t="n">
        <v>-588.750000000001</v>
      </c>
      <c r="BN1220" s="57" t="n">
        <v>47</v>
      </c>
      <c r="BO1220" s="55"/>
      <c r="BP1220" s="60" t="n">
        <v>0</v>
      </c>
      <c r="BQ1220" s="60" t="n">
        <v>1220</v>
      </c>
      <c r="BR1220" s="55" t="str">
        <f aca="false">IF(U1220&lt;&gt;"",UPPER(TRIM(U1220)),IF(BU1220=1,UPPER(VLOOKUP(T1220,Parameter!$I$27:$K$29,2,0)),IF(P1220="","LOSE",P1220)))</f>
        <v>S41</v>
      </c>
      <c r="BS1220" s="57" t="n">
        <f aca="false">IF(BR1220="LOSE",1,IF(N(V1220)&gt;0,V1220,IF(BU1220=1,MAX(1,N(VLOOKUP(T1220,Parameter!$I$27:$K$29,3,0)),H1220,N(N1220)),IF(N(Q1220)&gt;0,Q1220,MAX(1,H1220)))))</f>
        <v>124</v>
      </c>
      <c r="BT1220" s="60" t="n">
        <f aca="false">IF(BR1220="LOSE",1,0)</f>
        <v>0</v>
      </c>
      <c r="BU1220" s="60" t="n">
        <f aca="false">IF(AND(U1220="",OR(P1220="",P1220="LOSE"),T1220&lt;&gt;"",N(S1220)&lt;=0,ISNUMBER(MATCH(T1220,Parameter!$I$27:$I$29,0))),1,0)</f>
        <v>0</v>
      </c>
      <c r="BV1220" s="55" t="str">
        <f aca="false">IF(AND(Parameter!$B$19="Ja",E1220&lt;&gt;"",ISNUMBER(MATCH(E1220,Parameter!$I$35:$I$52,0))),VLOOKUP(E1220,Parameter!$I$35:$J$52,2,0),IFERROR(VLOOKUP(D1220,Parameter!$A$35:$C$64,2,0),"Nein"))</f>
        <v>2+3</v>
      </c>
      <c r="BW1220" s="59" t="n">
        <f aca="false">IF(BT1220=0,0,IF(N(S1220)&gt;0,S1220,IFERROR(VLOOKUP(D1220,Parameter!$A$35:$C$64,3,0)+0,0)))</f>
        <v>0</v>
      </c>
      <c r="BX1220" s="55" t="n">
        <f aca="false">IF(AA1220&lt;&gt;"",AA1220,Z1220)</f>
        <v>3</v>
      </c>
      <c r="BY1220" s="55" t="str">
        <f aca="false">IF(BX1220=1,"L1",IF(OR(BX1220=2,BX1220=3),"L23",IF(BX1220="Aussen","Aussen","-")))</f>
        <v>L23</v>
      </c>
      <c r="BZ1220" s="66" t="n">
        <f aca="false">IF(N(AB1220)&gt;0,AB1220,0)</f>
        <v>0</v>
      </c>
      <c r="CA1220" s="60" t="n">
        <f aca="false">IF(ISNUMBER(AE1220),1,0)</f>
        <v>0</v>
      </c>
      <c r="CB1220" s="57" t="n">
        <f aca="false">N(AE1220)</f>
        <v>0</v>
      </c>
      <c r="CC1220" s="57" t="n">
        <f aca="false">N(M1220)+N(N1220)</f>
        <v>46</v>
      </c>
      <c r="CD1220" s="57" t="n">
        <f aca="false">ROUNDUP(H1220/BS1220,0)</f>
        <v>1</v>
      </c>
      <c r="CE1220" s="57" t="n">
        <f aca="false">ROUNDUP(CB1220/BS1220,0)</f>
        <v>0</v>
      </c>
      <c r="CF1220" s="60" t="n">
        <f aca="false">IF(BT1220=1,0,IFERROR(VLOOKUP(BR1220,'Gebinde-Kategorie'!$A$5:$M$45,5,0)+0,0))</f>
        <v>11</v>
      </c>
      <c r="CG1220" s="60" t="n">
        <f aca="false">IFERROR(IF(OR(BX1220=1,BX1220=2,BX1220=3),N(INDEX(Parameter!$I$5:$I$7,BX1220)),0),0)</f>
        <v>0</v>
      </c>
      <c r="CH1220" s="59" t="n">
        <f aca="false">IF(AND(Parameter!$B$21="Ja",ISNUMBER(W1220),N(X1220)&gt;0),IFERROR(N(INDEX(Parameter!$L$5:$L$7,W1220))*INDEX(Parameter!$E$5:$E$7,W1220)*X1220/SUMIFS($X$7:$X$1843,$W$7:$W$1843,W1220),0),0)</f>
        <v>0</v>
      </c>
    </row>
    <row r="1221" customFormat="false" ht="15" hidden="false" customHeight="false" outlineLevel="0" collapsed="false">
      <c r="A1221" s="55" t="s">
        <v>2188</v>
      </c>
      <c r="B1221" s="55" t="s">
        <v>576</v>
      </c>
      <c r="C1221" s="55" t="s">
        <v>164</v>
      </c>
      <c r="D1221" s="55" t="s">
        <v>173</v>
      </c>
      <c r="E1221" s="55" t="s">
        <v>185</v>
      </c>
      <c r="F1221" s="55" t="s">
        <v>218</v>
      </c>
      <c r="G1221" s="56" t="n">
        <v>800.37</v>
      </c>
      <c r="H1221" s="57" t="n">
        <f aca="false">MAX(0,IF(AND(Parameter!$B$21="Ja",ISNUMBER(Y1221)),Y1221,IF(Parameter!$B$20="Jahresanfang 2025 + Export",BL1221+BK1221,BK1221)))</f>
        <v>7</v>
      </c>
      <c r="I1221" s="57" t="n">
        <f aca="false">H1221*G1221</f>
        <v>5602.59</v>
      </c>
      <c r="J1221" s="57" t="n">
        <f aca="false">BN1221*Parameter!$B$18</f>
        <v>8</v>
      </c>
      <c r="K1221" s="58" t="n">
        <v>9.5</v>
      </c>
      <c r="L1221" s="59" t="n">
        <v>0.842105263157895</v>
      </c>
      <c r="M1221" s="57" t="n">
        <v>0</v>
      </c>
      <c r="N1221" s="57" t="n">
        <v>5</v>
      </c>
      <c r="O1221" s="60" t="n">
        <v>28</v>
      </c>
      <c r="P1221" s="55" t="s">
        <v>174</v>
      </c>
      <c r="Q1221" s="57" t="n">
        <v>4.5</v>
      </c>
      <c r="R1221" s="60" t="n">
        <f aca="false">IF(BT1221=1,0,IFERROR(VLOOKUP(BR1221,'Gebinde-Kategorie'!$A$5:$M$45,13,0)+0,0))</f>
        <v>6</v>
      </c>
      <c r="S1221" s="61"/>
      <c r="T1221" s="62"/>
      <c r="U1221" s="62"/>
      <c r="V1221" s="62"/>
      <c r="W1221" s="55"/>
      <c r="X1221" s="57"/>
      <c r="Y1221" s="57"/>
      <c r="Z1221" s="55" t="n">
        <f aca="false">IF(A1221="","",IF(AND(Parameter!$B$21="Ja",ISNUMBER(W1221)),W1221,IF(BV1221="2+3",IF(ISNUMBER(SEARCH("grosser Artikel",BO1221)),2,IFERROR(VLOOKUP(BR1221,Parameter!$F$35:$G$64,2,0),2)),IF(OR(BV1221="Nein",BV1221=""),"-",BV1221))))</f>
        <v>2</v>
      </c>
      <c r="AA1221" s="62"/>
      <c r="AB1221" s="63"/>
      <c r="AC1221" s="57" t="n">
        <f aca="false">AR1221</f>
        <v>9</v>
      </c>
      <c r="AD1221" s="57" t="n">
        <f aca="false">MAX(AR1221,H1221)</f>
        <v>9</v>
      </c>
      <c r="AE1221" s="64"/>
      <c r="AF1221" s="57" t="n">
        <f aca="false">IF(LEFT(Cockpit!$C$5,1)="A",H1221,IF(CA1221=1,CB1221,IF(LEFT(Cockpit!$C$5,1)="B",AJ1221,MAX(AJ1221,H1221))))</f>
        <v>7</v>
      </c>
      <c r="AG1221" s="57" t="n">
        <f aca="false">IF(BT1221=1,0,ROUNDUP(AF1221/BS1221,0))</f>
        <v>2</v>
      </c>
      <c r="AH1221" s="59" t="n">
        <f aca="false">IF(CH1221&gt;0,CH1221*MAX(1,AF1221/X1221),IF(BT1221=1,IF(AF1221&lt;=0,0,BW1221*MAX(1,IF(H1221&gt;0,AF1221/H1221,1))),IF(R1221&gt;0,AG1221/R1221,0))/MAX(0.1,N(Parameter!$M$21)))</f>
        <v>0.333333333333333</v>
      </c>
      <c r="AI1221" s="57" t="n">
        <f aca="false">AF1221*G1221</f>
        <v>5602.59</v>
      </c>
      <c r="AJ1221" s="57" t="n">
        <f aca="false">ROUNDUP(MAX(J1221/IF(BZ1221&gt;0,BZ1221,MAX(0.1,N(Cockpit!$C$6))),CC1221)/BS1221,0)*BS1221</f>
        <v>9</v>
      </c>
      <c r="AK1221" s="58" t="n">
        <f aca="false">IF(AH1221&gt;0,J1221/AH1221,-1)</f>
        <v>24</v>
      </c>
      <c r="AL1221" s="58" t="n">
        <f aca="false">IF(AND(OR(BY1221="L1",BY1221="L23"),AH1221&gt;0),SUMIFS($AH$7:$AH$1843,$BY$7:$BY$1843,BY1221,$AK$7:$AK$1843,"&gt;"&amp;AK1221)+SUMIFS($AH$7:$AH$1843,$BY$7:$BY$1843,BY1221,$AK$7:$AK$1843,AK1221,$BQ$7:$BQ$1843,"&lt;="&amp;BQ1221),"")</f>
        <v>50.7548478091956</v>
      </c>
      <c r="AM1221" s="65" t="n">
        <f aca="false">IF(AL1221="",0,MAX(0,MIN(1,(IF(BY1221="L1",Parameter!$E$5,Parameter!$E$6+Parameter!$E$7)-(AL1221-AH1221))/AH1221)))</f>
        <v>1</v>
      </c>
      <c r="AN1221" s="57" t="n">
        <f aca="false">IF(LEFT(Cockpit!$I$5,1)="A",H1221,IF(CA1221=1,CB1221,IF(LEFT(Cockpit!$I$5,1)="B",AR1221,MAX(AR1221,H1221))))</f>
        <v>9</v>
      </c>
      <c r="AO1221" s="57" t="n">
        <f aca="false">IF(BT1221=1,0,ROUNDUP(AN1221/BS1221,0))</f>
        <v>2</v>
      </c>
      <c r="AP1221" s="59" t="n">
        <f aca="false">IF(CH1221&gt;0,CH1221*MAX(1,AN1221/X1221),IF(BT1221=1,IF(AN1221&lt;=0,0,BW1221*MAX(1,IF(H1221&gt;0,AN1221/H1221,1))),IF(R1221&gt;0,AO1221/R1221,0))/MAX(0.1,N(Parameter!$M$21)))</f>
        <v>0.333333333333333</v>
      </c>
      <c r="AQ1221" s="57" t="n">
        <f aca="false">AN1221*G1221</f>
        <v>7203.33</v>
      </c>
      <c r="AR1221" s="57" t="n">
        <f aca="false">ROUNDUP(MAX(J1221/IF(BZ1221&gt;0,BZ1221,MAX(0.1,N(Cockpit!$I$6))),CC1221)/BS1221,0)*BS1221</f>
        <v>9</v>
      </c>
      <c r="AS1221" s="58" t="n">
        <f aca="false">IF(AP1221&gt;0,J1221/AP1221,-1)</f>
        <v>24</v>
      </c>
      <c r="AT1221" s="58" t="n">
        <f aca="false">IF(AND(OR(BY1221="L1",BY1221="L23"),AP1221&gt;0),SUMIFS($AP$7:$AP$1843,$BY$7:$BY$1843,BY1221,$AS$7:$AS$1843,"&gt;"&amp;AS1221)+SUMIFS($AP$7:$AP$1843,$BY$7:$BY$1843,BY1221,$AS$7:$AS$1843,AS1221,$BQ$7:$BQ$1843,"&lt;="&amp;BQ1221),"")</f>
        <v>76.0123053275227</v>
      </c>
      <c r="AU1221" s="65" t="n">
        <f aca="false">IF(AT1221="",0,MAX(0,MIN(1,(IF(BY1221="L1",Parameter!$E$5,Parameter!$E$6+Parameter!$E$7)-(AT1221-AP1221))/AP1221)))</f>
        <v>1</v>
      </c>
      <c r="AV1221" s="57" t="n">
        <f aca="false">IF(LEFT(Cockpit!$O$5,1)="A",H1221,IF(CA1221=1,CB1221,IF(LEFT(Cockpit!$O$5,1)="B",AZ1221,MAX(AZ1221,H1221))))</f>
        <v>9</v>
      </c>
      <c r="AW1221" s="57" t="n">
        <f aca="false">IF(BT1221=1,0,ROUNDUP(AV1221/BS1221,0))</f>
        <v>2</v>
      </c>
      <c r="AX1221" s="59" t="n">
        <f aca="false">IF(CH1221&gt;0,CH1221*MAX(1,AV1221/X1221),IF(BT1221=1,IF(AV1221&lt;=0,0,BW1221*MAX(1,IF(H1221&gt;0,AV1221/H1221,1))),IF(R1221&gt;0,AW1221/R1221,0))/MAX(0.1,N(Parameter!$M$21)))</f>
        <v>0.333333333333333</v>
      </c>
      <c r="AY1221" s="57" t="n">
        <f aca="false">AV1221*G1221</f>
        <v>7203.33</v>
      </c>
      <c r="AZ1221" s="57" t="n">
        <f aca="false">ROUNDUP(MAX(J1221/IF(BZ1221&gt;0,BZ1221,MAX(0.1,N(Cockpit!$O$6))),CC1221)/BS1221,0)*BS1221</f>
        <v>9</v>
      </c>
      <c r="BA1221" s="58" t="n">
        <f aca="false">IF(AX1221&gt;0,J1221/AX1221,-1)</f>
        <v>24</v>
      </c>
      <c r="BB1221" s="58" t="n">
        <f aca="false">IF(AND(OR(BY1221="L1",BY1221="L23"),AX1221&gt;0),SUMIFS($AX$7:$AX$1843,$BY$7:$BY$1843,BY1221,$BA$7:$BA$1843,"&gt;"&amp;BA1221)+SUMIFS($AX$7:$AX$1843,$BY$7:$BY$1843,BY1221,$BA$7:$BA$1843,BA1221,$BQ$7:$BQ$1843,"&lt;="&amp;BQ1221),"")</f>
        <v>71.5088088240262</v>
      </c>
      <c r="BC1221" s="65" t="n">
        <f aca="false">IF(BB1221="",0,MAX(0,MIN(1,(IF(BY1221="L1",Parameter!$E$5,Parameter!$E$6+Parameter!$E$7)-(BB1221-AX1221))/AX1221)))</f>
        <v>1</v>
      </c>
      <c r="BD1221" s="55" t="str">
        <f aca="false">IF(AH1221&lt;=0,"",IF(BY1221="Aussen","Aussenlager",IF(BY1221="-","Nicht im Lift",IF(AM1221&gt;=1,"Lift",IF(AM1221&lt;=0,"Aussenlager","teilweise")))))</f>
        <v>Lift</v>
      </c>
      <c r="BE1221" s="55" t="str">
        <f aca="false">IF(AP1221&lt;=0,"",IF(BY1221="Aussen","Aussenlager",IF(BY1221="-","Nicht im Lift",IF(AU1221&gt;=1,"Lift",IF(AU1221&lt;=0,"Aussenlager","teilweise")))))</f>
        <v>Lift</v>
      </c>
      <c r="BF1221" s="55" t="str">
        <f aca="false">IF(AX1221&lt;=0,"",IF(BY1221="Aussen","Aussenlager",IF(BY1221="-","Nicht im Lift",IF(BC1221&gt;=1,"Lift",IF(BC1221&lt;=0,"Aussenlager","teilweise")))))</f>
        <v>Lift</v>
      </c>
      <c r="BG1221" s="55" t="str">
        <f aca="false">IF(A1221="","",IF(BP1221=1,"Neu; ","")&amp;IF(AND(BP1221=0,BK1221&lt;0),"negativer Bestand (Export "&amp;BK1221&amp;"); ","")&amp;IF(J1221&lt;=0,"Kein Verbrauch; ","")&amp;IF(CH1221&gt;0,"Lift "&amp;W1221&amp;" lt. Liftbericht (Fach "&amp;X1221&amp;" Stk); ",IF(BU1221=1,"Gebinde geschätzt ("&amp;T1221&amp;"); ",IF(BT1221=1,"Lose – Tablare geschätzt; ","")))&amp;IF(H1221&gt;AR1221,"Überbestand "&amp;ROUND(H1221-AR1221,0)&amp;" Stk / CHF "&amp;ROUND((H1221-AR1221)*G1221,0)&amp;"; ","")&amp;IF(AND(CA1221=1,CB1221&lt;CC1221),"MAX &lt; MB+LG; ","")&amp;IF(AND(CG1221&gt;0,CF1221*10&gt;CG1221),"zu hoch für Tablar; ","")&amp;IF(AND(BP1221=0,OR(CA1221=1,AA1221&lt;&gt;"",U1221&lt;&gt;"",V1221&lt;&gt;"",AB1221&lt;&gt;"")),"manuell übersteuert; ","")&amp;IF(AND(BT1221=0,R1221=0),"Gebinde unbekannt / Stellmass fehlt; ","")&amp;IF(AND(BT1221=0,N(V1221)&lt;=0,N(Q1221)&lt;=0),"Menge pro Gebinde fehlt (Ist = 1 Gebinde); ","")&amp;BO1221)</f>
        <v>negativer Bestand (Export -1); nicht im KTL vorhanden</v>
      </c>
      <c r="BH1221" s="55"/>
      <c r="BI1221" s="55"/>
      <c r="BJ1221" s="62"/>
      <c r="BK1221" s="57" t="n">
        <v>-1</v>
      </c>
      <c r="BL1221" s="57" t="n">
        <v>8</v>
      </c>
      <c r="BM1221" s="56" t="n">
        <v>-591.01</v>
      </c>
      <c r="BN1221" s="57" t="n">
        <v>8</v>
      </c>
      <c r="BO1221" s="55" t="s">
        <v>230</v>
      </c>
      <c r="BP1221" s="60" t="n">
        <v>0</v>
      </c>
      <c r="BQ1221" s="60" t="n">
        <v>1221</v>
      </c>
      <c r="BR1221" s="55" t="str">
        <f aca="false">IF(U1221&lt;&gt;"",UPPER(TRIM(U1221)),IF(BU1221=1,UPPER(VLOOKUP(T1221,Parameter!$I$27:$K$29,2,0)),IF(P1221="","LOSE",P1221)))</f>
        <v>S71</v>
      </c>
      <c r="BS1221" s="57" t="n">
        <f aca="false">IF(BR1221="LOSE",1,IF(N(V1221)&gt;0,V1221,IF(BU1221=1,MAX(1,N(VLOOKUP(T1221,Parameter!$I$27:$K$29,3,0)),H1221,N(N1221)),IF(N(Q1221)&gt;0,Q1221,MAX(1,H1221)))))</f>
        <v>4.5</v>
      </c>
      <c r="BT1221" s="60" t="n">
        <f aca="false">IF(BR1221="LOSE",1,0)</f>
        <v>0</v>
      </c>
      <c r="BU1221" s="60" t="n">
        <f aca="false">IF(AND(U1221="",OR(P1221="",P1221="LOSE"),T1221&lt;&gt;"",N(S1221)&lt;=0,ISNUMBER(MATCH(T1221,Parameter!$I$27:$I$29,0))),1,0)</f>
        <v>0</v>
      </c>
      <c r="BV1221" s="55" t="str">
        <f aca="false">IF(AND(Parameter!$B$19="Ja",E1221&lt;&gt;"",ISNUMBER(MATCH(E1221,Parameter!$I$35:$I$52,0))),VLOOKUP(E1221,Parameter!$I$35:$J$52,2,0),IFERROR(VLOOKUP(D1221,Parameter!$A$35:$C$64,2,0),"Nein"))</f>
        <v>2+3</v>
      </c>
      <c r="BW1221" s="59" t="n">
        <f aca="false">IF(BT1221=0,0,IF(N(S1221)&gt;0,S1221,IFERROR(VLOOKUP(D1221,Parameter!$A$35:$C$64,3,0)+0,0)))</f>
        <v>0</v>
      </c>
      <c r="BX1221" s="55" t="n">
        <f aca="false">IF(AA1221&lt;&gt;"",AA1221,Z1221)</f>
        <v>2</v>
      </c>
      <c r="BY1221" s="55" t="str">
        <f aca="false">IF(BX1221=1,"L1",IF(OR(BX1221=2,BX1221=3),"L23",IF(BX1221="Aussen","Aussen","-")))</f>
        <v>L23</v>
      </c>
      <c r="BZ1221" s="66" t="n">
        <f aca="false">IF(N(AB1221)&gt;0,AB1221,0)</f>
        <v>0</v>
      </c>
      <c r="CA1221" s="60" t="n">
        <f aca="false">IF(ISNUMBER(AE1221),1,0)</f>
        <v>0</v>
      </c>
      <c r="CB1221" s="57" t="n">
        <f aca="false">N(AE1221)</f>
        <v>0</v>
      </c>
      <c r="CC1221" s="57" t="n">
        <f aca="false">N(M1221)+N(N1221)</f>
        <v>5</v>
      </c>
      <c r="CD1221" s="57" t="n">
        <f aca="false">ROUNDUP(H1221/BS1221,0)</f>
        <v>2</v>
      </c>
      <c r="CE1221" s="57" t="n">
        <f aca="false">ROUNDUP(CB1221/BS1221,0)</f>
        <v>0</v>
      </c>
      <c r="CF1221" s="60" t="n">
        <f aca="false">IF(BT1221=1,0,IFERROR(VLOOKUP(BR1221,'Gebinde-Kategorie'!$A$5:$M$45,5,0)+0,0))</f>
        <v>20</v>
      </c>
      <c r="CG1221" s="60" t="n">
        <f aca="false">IFERROR(IF(OR(BX1221=1,BX1221=2,BX1221=3),N(INDEX(Parameter!$I$5:$I$7,BX1221)),0),0)</f>
        <v>0</v>
      </c>
      <c r="CH1221" s="59" t="n">
        <f aca="false">IF(AND(Parameter!$B$21="Ja",ISNUMBER(W1221),N(X1221)&gt;0),IFERROR(N(INDEX(Parameter!$L$5:$L$7,W1221))*INDEX(Parameter!$E$5:$E$7,W1221)*X1221/SUMIFS($X$7:$X$1843,$W$7:$W$1843,W1221),0),0)</f>
        <v>0</v>
      </c>
    </row>
    <row r="1222" customFormat="false" ht="15" hidden="false" customHeight="false" outlineLevel="0" collapsed="false">
      <c r="A1222" s="55" t="s">
        <v>2189</v>
      </c>
      <c r="B1222" s="55" t="s">
        <v>2190</v>
      </c>
      <c r="C1222" s="55" t="s">
        <v>164</v>
      </c>
      <c r="D1222" s="55" t="s">
        <v>184</v>
      </c>
      <c r="E1222" s="55"/>
      <c r="F1222" s="55" t="s">
        <v>218</v>
      </c>
      <c r="G1222" s="56" t="n">
        <v>296.55</v>
      </c>
      <c r="H1222" s="57" t="n">
        <f aca="false">MAX(0,IF(AND(Parameter!$B$21="Ja",ISNUMBER(Y1222)),Y1222,IF(Parameter!$B$20="Jahresanfang 2025 + Export",BL1222+BK1222,BK1222)))</f>
        <v>32</v>
      </c>
      <c r="I1222" s="57" t="n">
        <f aca="false">H1222*G1222</f>
        <v>9489.6</v>
      </c>
      <c r="J1222" s="57" t="n">
        <f aca="false">BN1222*Parameter!$B$18</f>
        <v>1</v>
      </c>
      <c r="K1222" s="58" t="n">
        <v>33</v>
      </c>
      <c r="L1222" s="59" t="n">
        <v>0.0303030303030303</v>
      </c>
      <c r="M1222" s="57" t="n">
        <v>0</v>
      </c>
      <c r="N1222" s="57" t="n">
        <v>1</v>
      </c>
      <c r="O1222" s="60" t="n">
        <v>63</v>
      </c>
      <c r="P1222" s="55" t="s">
        <v>226</v>
      </c>
      <c r="Q1222" s="57" t="n">
        <v>35</v>
      </c>
      <c r="R1222" s="60" t="n">
        <f aca="false">IF(BT1222=1,0,IFERROR(VLOOKUP(BR1222,'Gebinde-Kategorie'!$A$5:$M$45,13,0)+0,0))</f>
        <v>12</v>
      </c>
      <c r="S1222" s="61"/>
      <c r="T1222" s="62"/>
      <c r="U1222" s="62"/>
      <c r="V1222" s="62"/>
      <c r="W1222" s="55"/>
      <c r="X1222" s="57"/>
      <c r="Y1222" s="57"/>
      <c r="Z1222" s="55" t="n">
        <f aca="false">IF(A1222="","",IF(AND(Parameter!$B$21="Ja",ISNUMBER(W1222)),W1222,IF(BV1222="2+3",IF(ISNUMBER(SEARCH("grosser Artikel",BO1222)),2,IFERROR(VLOOKUP(BR1222,Parameter!$F$35:$G$64,2,0),2)),IF(OR(BV1222="Nein",BV1222=""),"-",BV1222))))</f>
        <v>2</v>
      </c>
      <c r="AA1222" s="62"/>
      <c r="AB1222" s="63"/>
      <c r="AC1222" s="57" t="n">
        <f aca="false">AR1222</f>
        <v>35</v>
      </c>
      <c r="AD1222" s="57" t="n">
        <f aca="false">MAX(AR1222,H1222)</f>
        <v>35</v>
      </c>
      <c r="AE1222" s="64"/>
      <c r="AF1222" s="57" t="n">
        <f aca="false">IF(LEFT(Cockpit!$C$5,1)="A",H1222,IF(CA1222=1,CB1222,IF(LEFT(Cockpit!$C$5,1)="B",AJ1222,MAX(AJ1222,H1222))))</f>
        <v>32</v>
      </c>
      <c r="AG1222" s="57" t="n">
        <f aca="false">IF(BT1222=1,0,ROUNDUP(AF1222/BS1222,0))</f>
        <v>1</v>
      </c>
      <c r="AH1222" s="59" t="n">
        <f aca="false">IF(CH1222&gt;0,CH1222*MAX(1,AF1222/X1222),IF(BT1222=1,IF(AF1222&lt;=0,0,BW1222*MAX(1,IF(H1222&gt;0,AF1222/H1222,1))),IF(R1222&gt;0,AG1222/R1222,0))/MAX(0.1,N(Parameter!$M$21)))</f>
        <v>0.0833333333333333</v>
      </c>
      <c r="AI1222" s="57" t="n">
        <f aca="false">AF1222*G1222</f>
        <v>9489.6</v>
      </c>
      <c r="AJ1222" s="57" t="n">
        <f aca="false">ROUNDUP(MAX(J1222/IF(BZ1222&gt;0,BZ1222,MAX(0.1,N(Cockpit!$C$6))),CC1222)/BS1222,0)*BS1222</f>
        <v>35</v>
      </c>
      <c r="AK1222" s="58" t="n">
        <f aca="false">IF(AH1222&gt;0,J1222/AH1222,-1)</f>
        <v>12</v>
      </c>
      <c r="AL1222" s="58" t="n">
        <f aca="false">IF(AND(OR(BY1222="L1",BY1222="L23"),AH1222&gt;0),SUMIFS($AH$7:$AH$1843,$BY$7:$BY$1843,BY1222,$AK$7:$AK$1843,"&gt;"&amp;AK1222)+SUMIFS($AH$7:$AH$1843,$BY$7:$BY$1843,BY1222,$AK$7:$AK$1843,AK1222,$BQ$7:$BQ$1843,"&lt;="&amp;BQ1222),"")</f>
        <v>54.7740785784264</v>
      </c>
      <c r="AM1222" s="65" t="n">
        <f aca="false">IF(AL1222="",0,MAX(0,MIN(1,(IF(BY1222="L1",Parameter!$E$5,Parameter!$E$6+Parameter!$E$7)-(AL1222-AH1222))/AH1222)))</f>
        <v>1</v>
      </c>
      <c r="AN1222" s="57" t="n">
        <f aca="false">IF(LEFT(Cockpit!$I$5,1)="A",H1222,IF(CA1222=1,CB1222,IF(LEFT(Cockpit!$I$5,1)="B",AR1222,MAX(AR1222,H1222))))</f>
        <v>35</v>
      </c>
      <c r="AO1222" s="57" t="n">
        <f aca="false">IF(BT1222=1,0,ROUNDUP(AN1222/BS1222,0))</f>
        <v>1</v>
      </c>
      <c r="AP1222" s="59" t="n">
        <f aca="false">IF(CH1222&gt;0,CH1222*MAX(1,AN1222/X1222),IF(BT1222=1,IF(AN1222&lt;=0,0,BW1222*MAX(1,IF(H1222&gt;0,AN1222/H1222,1))),IF(R1222&gt;0,AO1222/R1222,0))/MAX(0.1,N(Parameter!$M$21)))</f>
        <v>0.0833333333333333</v>
      </c>
      <c r="AQ1222" s="57" t="n">
        <f aca="false">AN1222*G1222</f>
        <v>10379.25</v>
      </c>
      <c r="AR1222" s="57" t="n">
        <f aca="false">ROUNDUP(MAX(J1222/IF(BZ1222&gt;0,BZ1222,MAX(0.1,N(Cockpit!$I$6))),CC1222)/BS1222,0)*BS1222</f>
        <v>35</v>
      </c>
      <c r="AS1222" s="58" t="n">
        <f aca="false">IF(AP1222&gt;0,J1222/AP1222,-1)</f>
        <v>12</v>
      </c>
      <c r="AT1222" s="58" t="n">
        <f aca="false">IF(AND(OR(BY1222="L1",BY1222="L23"),AP1222&gt;0),SUMIFS($AP$7:$AP$1843,$BY$7:$BY$1843,BY1222,$AS$7:$AS$1843,"&gt;"&amp;AS1222)+SUMIFS($AP$7:$AP$1843,$BY$7:$BY$1843,BY1222,$AS$7:$AS$1843,AS1222,$BQ$7:$BQ$1843,"&lt;="&amp;BQ1222),"")</f>
        <v>88.0315360967535</v>
      </c>
      <c r="AU1222" s="65" t="n">
        <f aca="false">IF(AT1222="",0,MAX(0,MIN(1,(IF(BY1222="L1",Parameter!$E$5,Parameter!$E$6+Parameter!$E$7)-(AT1222-AP1222))/AP1222)))</f>
        <v>1</v>
      </c>
      <c r="AV1222" s="57" t="n">
        <f aca="false">IF(LEFT(Cockpit!$O$5,1)="A",H1222,IF(CA1222=1,CB1222,IF(LEFT(Cockpit!$O$5,1)="B",AZ1222,MAX(AZ1222,H1222))))</f>
        <v>35</v>
      </c>
      <c r="AW1222" s="57" t="n">
        <f aca="false">IF(BT1222=1,0,ROUNDUP(AV1222/BS1222,0))</f>
        <v>1</v>
      </c>
      <c r="AX1222" s="59" t="n">
        <f aca="false">IF(CH1222&gt;0,CH1222*MAX(1,AV1222/X1222),IF(BT1222=1,IF(AV1222&lt;=0,0,BW1222*MAX(1,IF(H1222&gt;0,AV1222/H1222,1))),IF(R1222&gt;0,AW1222/R1222,0))/MAX(0.1,N(Parameter!$M$21)))</f>
        <v>0.0833333333333333</v>
      </c>
      <c r="AY1222" s="57" t="n">
        <f aca="false">AV1222*G1222</f>
        <v>10379.25</v>
      </c>
      <c r="AZ1222" s="57" t="n">
        <f aca="false">ROUNDUP(MAX(J1222/IF(BZ1222&gt;0,BZ1222,MAX(0.1,N(Cockpit!$O$6))),CC1222)/BS1222,0)*BS1222</f>
        <v>35</v>
      </c>
      <c r="BA1222" s="58" t="n">
        <f aca="false">IF(AX1222&gt;0,J1222/AX1222,-1)</f>
        <v>12</v>
      </c>
      <c r="BB1222" s="58" t="n">
        <f aca="false">IF(AND(OR(BY1222="L1",BY1222="L23"),AX1222&gt;0),SUMIFS($AX$7:$AX$1843,$BY$7:$BY$1843,BY1222,$BA$7:$BA$1843,"&gt;"&amp;BA1222)+SUMIFS($AX$7:$AX$1843,$BY$7:$BY$1843,BY1222,$BA$7:$BA$1843,BA1222,$BQ$7:$BQ$1843,"&lt;="&amp;BQ1222),"")</f>
        <v>81.528039593257</v>
      </c>
      <c r="BC1222" s="65" t="n">
        <f aca="false">IF(BB1222="",0,MAX(0,MIN(1,(IF(BY1222="L1",Parameter!$E$5,Parameter!$E$6+Parameter!$E$7)-(BB1222-AX1222))/AX1222)))</f>
        <v>1</v>
      </c>
      <c r="BD1222" s="55" t="str">
        <f aca="false">IF(AH1222&lt;=0,"",IF(BY1222="Aussen","Aussenlager",IF(BY1222="-","Nicht im Lift",IF(AM1222&gt;=1,"Lift",IF(AM1222&lt;=0,"Aussenlager","teilweise")))))</f>
        <v>Lift</v>
      </c>
      <c r="BE1222" s="55" t="str">
        <f aca="false">IF(AP1222&lt;=0,"",IF(BY1222="Aussen","Aussenlager",IF(BY1222="-","Nicht im Lift",IF(AU1222&gt;=1,"Lift",IF(AU1222&lt;=0,"Aussenlager","teilweise")))))</f>
        <v>Lift</v>
      </c>
      <c r="BF1222" s="55" t="str">
        <f aca="false">IF(AX1222&lt;=0,"",IF(BY1222="Aussen","Aussenlager",IF(BY1222="-","Nicht im Lift",IF(BC1222&gt;=1,"Lift",IF(BC1222&lt;=0,"Aussenlager","teilweise")))))</f>
        <v>Lift</v>
      </c>
      <c r="BG1222" s="55" t="str">
        <f aca="false">IF(A1222="","",IF(BP1222=1,"Neu; ","")&amp;IF(AND(BP1222=0,BK1222&lt;0),"negativer Bestand (Export "&amp;BK1222&amp;"); ","")&amp;IF(J1222&lt;=0,"Kein Verbrauch; ","")&amp;IF(CH1222&gt;0,"Lift "&amp;W1222&amp;" lt. Liftbericht (Fach "&amp;X1222&amp;" Stk); ",IF(BU1222=1,"Gebinde geschätzt ("&amp;T1222&amp;"); ",IF(BT1222=1,"Lose – Tablare geschätzt; ","")))&amp;IF(H1222&gt;AR1222,"Überbestand "&amp;ROUND(H1222-AR1222,0)&amp;" Stk / CHF "&amp;ROUND((H1222-AR1222)*G1222,0)&amp;"; ","")&amp;IF(AND(CA1222=1,CB1222&lt;CC1222),"MAX &lt; MB+LG; ","")&amp;IF(AND(CG1222&gt;0,CF1222*10&gt;CG1222),"zu hoch für Tablar; ","")&amp;IF(AND(BP1222=0,OR(CA1222=1,AA1222&lt;&gt;"",U1222&lt;&gt;"",V1222&lt;&gt;"",AB1222&lt;&gt;"")),"manuell übersteuert; ","")&amp;IF(AND(BT1222=0,R1222=0),"Gebinde unbekannt / Stellmass fehlt; ","")&amp;IF(AND(BT1222=0,N(V1222)&lt;=0,N(Q1222)&lt;=0),"Menge pro Gebinde fehlt (Ist = 1 Gebinde); ","")&amp;BO1222)</f>
        <v>negativer Bestand (Export -2); </v>
      </c>
      <c r="BH1222" s="55"/>
      <c r="BI1222" s="55"/>
      <c r="BJ1222" s="62"/>
      <c r="BK1222" s="57" t="n">
        <v>-2</v>
      </c>
      <c r="BL1222" s="57" t="n">
        <v>34</v>
      </c>
      <c r="BM1222" s="56" t="n">
        <v>-593.1</v>
      </c>
      <c r="BN1222" s="57" t="n">
        <v>1</v>
      </c>
      <c r="BO1222" s="55"/>
      <c r="BP1222" s="60" t="n">
        <v>0</v>
      </c>
      <c r="BQ1222" s="60" t="n">
        <v>1222</v>
      </c>
      <c r="BR1222" s="55" t="str">
        <f aca="false">IF(U1222&lt;&gt;"",UPPER(TRIM(U1222)),IF(BU1222=1,UPPER(VLOOKUP(T1222,Parameter!$I$27:$K$29,2,0)),IF(P1222="","LOSE",P1222)))</f>
        <v>S63</v>
      </c>
      <c r="BS1222" s="57" t="n">
        <f aca="false">IF(BR1222="LOSE",1,IF(N(V1222)&gt;0,V1222,IF(BU1222=1,MAX(1,N(VLOOKUP(T1222,Parameter!$I$27:$K$29,3,0)),H1222,N(N1222)),IF(N(Q1222)&gt;0,Q1222,MAX(1,H1222)))))</f>
        <v>35</v>
      </c>
      <c r="BT1222" s="60" t="n">
        <f aca="false">IF(BR1222="LOSE",1,0)</f>
        <v>0</v>
      </c>
      <c r="BU1222" s="60" t="n">
        <f aca="false">IF(AND(U1222="",OR(P1222="",P1222="LOSE"),T1222&lt;&gt;"",N(S1222)&lt;=0,ISNUMBER(MATCH(T1222,Parameter!$I$27:$I$29,0))),1,0)</f>
        <v>0</v>
      </c>
      <c r="BV1222" s="55" t="str">
        <f aca="false">IF(AND(Parameter!$B$19="Ja",E1222&lt;&gt;"",ISNUMBER(MATCH(E1222,Parameter!$I$35:$I$52,0))),VLOOKUP(E1222,Parameter!$I$35:$J$52,2,0),IFERROR(VLOOKUP(D1222,Parameter!$A$35:$C$64,2,0),"Nein"))</f>
        <v>2+3</v>
      </c>
      <c r="BW1222" s="59" t="n">
        <f aca="false">IF(BT1222=0,0,IF(N(S1222)&gt;0,S1222,IFERROR(VLOOKUP(D1222,Parameter!$A$35:$C$64,3,0)+0,0)))</f>
        <v>0</v>
      </c>
      <c r="BX1222" s="55" t="n">
        <f aca="false">IF(AA1222&lt;&gt;"",AA1222,Z1222)</f>
        <v>2</v>
      </c>
      <c r="BY1222" s="55" t="str">
        <f aca="false">IF(BX1222=1,"L1",IF(OR(BX1222=2,BX1222=3),"L23",IF(BX1222="Aussen","Aussen","-")))</f>
        <v>L23</v>
      </c>
      <c r="BZ1222" s="66" t="n">
        <f aca="false">IF(N(AB1222)&gt;0,AB1222,0)</f>
        <v>0</v>
      </c>
      <c r="CA1222" s="60" t="n">
        <f aca="false">IF(ISNUMBER(AE1222),1,0)</f>
        <v>0</v>
      </c>
      <c r="CB1222" s="57" t="n">
        <f aca="false">N(AE1222)</f>
        <v>0</v>
      </c>
      <c r="CC1222" s="57" t="n">
        <f aca="false">N(M1222)+N(N1222)</f>
        <v>1</v>
      </c>
      <c r="CD1222" s="57" t="n">
        <f aca="false">ROUNDUP(H1222/BS1222,0)</f>
        <v>1</v>
      </c>
      <c r="CE1222" s="57" t="n">
        <f aca="false">ROUNDUP(CB1222/BS1222,0)</f>
        <v>0</v>
      </c>
      <c r="CF1222" s="60" t="n">
        <f aca="false">IF(BT1222=1,0,IFERROR(VLOOKUP(BR1222,'Gebinde-Kategorie'!$A$5:$M$45,5,0)+0,0))</f>
        <v>31</v>
      </c>
      <c r="CG1222" s="60" t="n">
        <f aca="false">IFERROR(IF(OR(BX1222=1,BX1222=2,BX1222=3),N(INDEX(Parameter!$I$5:$I$7,BX1222)),0),0)</f>
        <v>0</v>
      </c>
      <c r="CH1222" s="59" t="n">
        <f aca="false">IF(AND(Parameter!$B$21="Ja",ISNUMBER(W1222),N(X1222)&gt;0),IFERROR(N(INDEX(Parameter!$L$5:$L$7,W1222))*INDEX(Parameter!$E$5:$E$7,W1222)*X1222/SUMIFS($X$7:$X$1843,$W$7:$W$1843,W1222),0),0)</f>
        <v>0</v>
      </c>
    </row>
    <row r="1223" customFormat="false" ht="15" hidden="false" customHeight="false" outlineLevel="0" collapsed="false">
      <c r="A1223" s="55" t="s">
        <v>2191</v>
      </c>
      <c r="B1223" s="55" t="s">
        <v>609</v>
      </c>
      <c r="C1223" s="55" t="s">
        <v>164</v>
      </c>
      <c r="D1223" s="55" t="s">
        <v>173</v>
      </c>
      <c r="E1223" s="55"/>
      <c r="F1223" s="55" t="s">
        <v>218</v>
      </c>
      <c r="G1223" s="56" t="n">
        <v>35.5</v>
      </c>
      <c r="H1223" s="57" t="n">
        <f aca="false">MAX(0,IF(AND(Parameter!$B$21="Ja",ISNUMBER(Y1223)),Y1223,IF(Parameter!$B$20="Jahresanfang 2025 + Export",BL1223+BK1223,BK1223)))</f>
        <v>0</v>
      </c>
      <c r="I1223" s="57" t="n">
        <f aca="false">H1223*G1223</f>
        <v>0</v>
      </c>
      <c r="J1223" s="57" t="n">
        <f aca="false">BN1223*Parameter!$B$18</f>
        <v>0</v>
      </c>
      <c r="K1223" s="58" t="n">
        <v>8.5</v>
      </c>
      <c r="L1223" s="59" t="n">
        <v>0</v>
      </c>
      <c r="M1223" s="57" t="n">
        <v>0</v>
      </c>
      <c r="N1223" s="57" t="n">
        <v>1</v>
      </c>
      <c r="O1223" s="60" t="n">
        <v>42</v>
      </c>
      <c r="P1223" s="55" t="s">
        <v>168</v>
      </c>
      <c r="Q1223" s="57"/>
      <c r="R1223" s="60" t="n">
        <f aca="false">IF(BT1223=1,0,IFERROR(VLOOKUP(BR1223,'Gebinde-Kategorie'!$A$5:$M$45,13,0)+0,0))</f>
        <v>12</v>
      </c>
      <c r="S1223" s="61"/>
      <c r="T1223" s="62" t="s">
        <v>179</v>
      </c>
      <c r="U1223" s="62"/>
      <c r="V1223" s="62"/>
      <c r="W1223" s="55"/>
      <c r="X1223" s="57"/>
      <c r="Y1223" s="57"/>
      <c r="Z1223" s="55" t="n">
        <f aca="false">IF(A1223="","",IF(AND(Parameter!$B$21="Ja",ISNUMBER(W1223)),W1223,IF(BV1223="2+3",IF(ISNUMBER(SEARCH("grosser Artikel",BO1223)),2,IFERROR(VLOOKUP(BR1223,Parameter!$F$35:$G$64,2,0),2)),IF(OR(BV1223="Nein",BV1223=""),"-",BV1223))))</f>
        <v>2</v>
      </c>
      <c r="AA1223" s="62"/>
      <c r="AB1223" s="63"/>
      <c r="AC1223" s="57" t="n">
        <f aca="false">AR1223</f>
        <v>4</v>
      </c>
      <c r="AD1223" s="57" t="n">
        <f aca="false">MAX(AR1223,H1223)</f>
        <v>4</v>
      </c>
      <c r="AE1223" s="64"/>
      <c r="AF1223" s="57" t="n">
        <f aca="false">IF(LEFT(Cockpit!$C$5,1)="A",H1223,IF(CA1223=1,CB1223,IF(LEFT(Cockpit!$C$5,1)="B",AJ1223,MAX(AJ1223,H1223))))</f>
        <v>0</v>
      </c>
      <c r="AG1223" s="57" t="n">
        <f aca="false">IF(BT1223=1,0,ROUNDUP(AF1223/BS1223,0))</f>
        <v>0</v>
      </c>
      <c r="AH1223" s="59" t="n">
        <f aca="false">IF(CH1223&gt;0,CH1223*MAX(1,AF1223/X1223),IF(BT1223=1,IF(AF1223&lt;=0,0,BW1223*MAX(1,IF(H1223&gt;0,AF1223/H1223,1))),IF(R1223&gt;0,AG1223/R1223,0))/MAX(0.1,N(Parameter!$M$21)))</f>
        <v>0</v>
      </c>
      <c r="AI1223" s="57" t="n">
        <f aca="false">AF1223*G1223</f>
        <v>0</v>
      </c>
      <c r="AJ1223" s="57" t="n">
        <f aca="false">ROUNDUP(MAX(J1223/IF(BZ1223&gt;0,BZ1223,MAX(0.1,N(Cockpit!$C$6))),CC1223)/BS1223,0)*BS1223</f>
        <v>4</v>
      </c>
      <c r="AK1223" s="58" t="n">
        <f aca="false">IF(AH1223&gt;0,J1223/AH1223,-1)</f>
        <v>-1</v>
      </c>
      <c r="AL1223" s="58" t="str">
        <f aca="false">IF(AND(OR(BY1223="L1",BY1223="L23"),AH1223&gt;0),SUMIFS($AH$7:$AH$1843,$BY$7:$BY$1843,BY1223,$AK$7:$AK$1843,"&gt;"&amp;AK1223)+SUMIFS($AH$7:$AH$1843,$BY$7:$BY$1843,BY1223,$AK$7:$AK$1843,AK1223,$BQ$7:$BQ$1843,"&lt;="&amp;BQ1223),"")</f>
        <v/>
      </c>
      <c r="AM1223" s="65" t="n">
        <f aca="false">IF(AL1223="",0,MAX(0,MIN(1,(IF(BY1223="L1",Parameter!$E$5,Parameter!$E$6+Parameter!$E$7)-(AL1223-AH1223))/AH1223)))</f>
        <v>0</v>
      </c>
      <c r="AN1223" s="57" t="n">
        <f aca="false">IF(LEFT(Cockpit!$I$5,1)="A",H1223,IF(CA1223=1,CB1223,IF(LEFT(Cockpit!$I$5,1)="B",AR1223,MAX(AR1223,H1223))))</f>
        <v>4</v>
      </c>
      <c r="AO1223" s="57" t="n">
        <f aca="false">IF(BT1223=1,0,ROUNDUP(AN1223/BS1223,0))</f>
        <v>1</v>
      </c>
      <c r="AP1223" s="59" t="n">
        <f aca="false">IF(CH1223&gt;0,CH1223*MAX(1,AN1223/X1223),IF(BT1223=1,IF(AN1223&lt;=0,0,BW1223*MAX(1,IF(H1223&gt;0,AN1223/H1223,1))),IF(R1223&gt;0,AO1223/R1223,0))/MAX(0.1,N(Parameter!$M$21)))</f>
        <v>0.0833333333333333</v>
      </c>
      <c r="AQ1223" s="57" t="n">
        <f aca="false">AN1223*G1223</f>
        <v>142</v>
      </c>
      <c r="AR1223" s="57" t="n">
        <f aca="false">ROUNDUP(MAX(J1223/IF(BZ1223&gt;0,BZ1223,MAX(0.1,N(Cockpit!$I$6))),CC1223)/BS1223,0)*BS1223</f>
        <v>4</v>
      </c>
      <c r="AS1223" s="58" t="n">
        <f aca="false">IF(AP1223&gt;0,J1223/AP1223,-1)</f>
        <v>0</v>
      </c>
      <c r="AT1223" s="58" t="n">
        <f aca="false">IF(AND(OR(BY1223="L1",BY1223="L23"),AP1223&gt;0),SUMIFS($AP$7:$AP$1843,$BY$7:$BY$1843,BY1223,$AS$7:$AS$1843,"&gt;"&amp;AS1223)+SUMIFS($AP$7:$AP$1843,$BY$7:$BY$1843,BY1223,$AS$7:$AS$1843,AS1223,$BQ$7:$BQ$1843,"&lt;="&amp;BQ1223),"")</f>
        <v>122.869151380021</v>
      </c>
      <c r="AU1223" s="65" t="n">
        <f aca="false">IF(AT1223="",0,MAX(0,MIN(1,(IF(BY1223="L1",Parameter!$E$5,Parameter!$E$6+Parameter!$E$7)-(AT1223-AP1223))/AP1223)))</f>
        <v>0</v>
      </c>
      <c r="AV1223" s="57" t="n">
        <f aca="false">IF(LEFT(Cockpit!$O$5,1)="A",H1223,IF(CA1223=1,CB1223,IF(LEFT(Cockpit!$O$5,1)="B",AZ1223,MAX(AZ1223,H1223))))</f>
        <v>4</v>
      </c>
      <c r="AW1223" s="57" t="n">
        <f aca="false">IF(BT1223=1,0,ROUNDUP(AV1223/BS1223,0))</f>
        <v>1</v>
      </c>
      <c r="AX1223" s="59" t="n">
        <f aca="false">IF(CH1223&gt;0,CH1223*MAX(1,AV1223/X1223),IF(BT1223=1,IF(AV1223&lt;=0,0,BW1223*MAX(1,IF(H1223&gt;0,AV1223/H1223,1))),IF(R1223&gt;0,AW1223/R1223,0))/MAX(0.1,N(Parameter!$M$21)))</f>
        <v>0.0833333333333333</v>
      </c>
      <c r="AY1223" s="57" t="n">
        <f aca="false">AV1223*G1223</f>
        <v>142</v>
      </c>
      <c r="AZ1223" s="57" t="n">
        <f aca="false">ROUNDUP(MAX(J1223/IF(BZ1223&gt;0,BZ1223,MAX(0.1,N(Cockpit!$O$6))),CC1223)/BS1223,0)*BS1223</f>
        <v>4</v>
      </c>
      <c r="BA1223" s="58" t="n">
        <f aca="false">IF(AX1223&gt;0,J1223/AX1223,-1)</f>
        <v>0</v>
      </c>
      <c r="BB1223" s="58" t="n">
        <f aca="false">IF(AND(OR(BY1223="L1",BY1223="L23"),AX1223&gt;0),SUMIFS($AX$7:$AX$1843,$BY$7:$BY$1843,BY1223,$BA$7:$BA$1843,"&gt;"&amp;BA1223)+SUMIFS($AX$7:$AX$1843,$BY$7:$BY$1843,BY1223,$BA$7:$BA$1843,BA1223,$BQ$7:$BQ$1843,"&lt;="&amp;BQ1223),"")</f>
        <v>113.698988209858</v>
      </c>
      <c r="BC1223" s="65" t="n">
        <f aca="false">IF(BB1223="",0,MAX(0,MIN(1,(IF(BY1223="L1",Parameter!$E$5,Parameter!$E$6+Parameter!$E$7)-(BB1223-AX1223))/AX1223)))</f>
        <v>0</v>
      </c>
      <c r="BD1223" s="55" t="str">
        <f aca="false">IF(AH1223&lt;=0,"",IF(BY1223="Aussen","Aussenlager",IF(BY1223="-","Nicht im Lift",IF(AM1223&gt;=1,"Lift",IF(AM1223&lt;=0,"Aussenlager","teilweise")))))</f>
        <v/>
      </c>
      <c r="BE1223" s="55" t="str">
        <f aca="false">IF(AP1223&lt;=0,"",IF(BY1223="Aussen","Aussenlager",IF(BY1223="-","Nicht im Lift",IF(AU1223&gt;=1,"Lift",IF(AU1223&lt;=0,"Aussenlager","teilweise")))))</f>
        <v>Aussenlager</v>
      </c>
      <c r="BF1223" s="55" t="str">
        <f aca="false">IF(AX1223&lt;=0,"",IF(BY1223="Aussen","Aussenlager",IF(BY1223="-","Nicht im Lift",IF(BC1223&gt;=1,"Lift",IF(BC1223&lt;=0,"Aussenlager","teilweise")))))</f>
        <v>Aussenlager</v>
      </c>
      <c r="BG1223" s="55" t="str">
        <f aca="false">IF(A1223="","",IF(BP1223=1,"Neu; ","")&amp;IF(AND(BP1223=0,BK1223&lt;0),"negativer Bestand (Export "&amp;BK1223&amp;"); ","")&amp;IF(J1223&lt;=0,"Kein Verbrauch; ","")&amp;IF(CH1223&gt;0,"Lift "&amp;W1223&amp;" lt. Liftbericht (Fach "&amp;X1223&amp;" Stk); ",IF(BU1223=1,"Gebinde geschätzt ("&amp;T1223&amp;"); ",IF(BT1223=1,"Lose – Tablare geschätzt; ","")))&amp;IF(H1223&gt;AR1223,"Überbestand "&amp;ROUND(H1223-AR1223,0)&amp;" Stk / CHF "&amp;ROUND((H1223-AR1223)*G1223,0)&amp;"; ","")&amp;IF(AND(CA1223=1,CB1223&lt;CC1223),"MAX &lt; MB+LG; ","")&amp;IF(AND(CG1223&gt;0,CF1223*10&gt;CG1223),"zu hoch für Tablar; ","")&amp;IF(AND(BP1223=0,OR(CA1223=1,AA1223&lt;&gt;"",U1223&lt;&gt;"",V1223&lt;&gt;"",AB1223&lt;&gt;"")),"manuell übersteuert; ","")&amp;IF(AND(BT1223=0,R1223=0),"Gebinde unbekannt / Stellmass fehlt; ","")&amp;IF(AND(BT1223=0,N(V1223)&lt;=0,N(Q1223)&lt;=0),"Menge pro Gebinde fehlt (Ist = 1 Gebinde); ","")&amp;BO1223)</f>
        <v>negativer Bestand (Export -17); Kein Verbrauch; Gebinde geschätzt (Mittel); Menge pro Gebinde fehlt (Ist = 1 Gebinde); </v>
      </c>
      <c r="BH1223" s="55"/>
      <c r="BI1223" s="55"/>
      <c r="BJ1223" s="62"/>
      <c r="BK1223" s="57" t="n">
        <v>-17</v>
      </c>
      <c r="BL1223" s="57" t="n">
        <v>17</v>
      </c>
      <c r="BM1223" s="56" t="n">
        <v>-603.5</v>
      </c>
      <c r="BN1223" s="57" t="n">
        <v>0</v>
      </c>
      <c r="BO1223" s="55"/>
      <c r="BP1223" s="60" t="n">
        <v>0</v>
      </c>
      <c r="BQ1223" s="60" t="n">
        <v>1223</v>
      </c>
      <c r="BR1223" s="55" t="str">
        <f aca="false">IF(U1223&lt;&gt;"",UPPER(TRIM(U1223)),IF(BU1223=1,UPPER(VLOOKUP(T1223,Parameter!$I$27:$K$29,2,0)),IF(P1223="","LOSE",P1223)))</f>
        <v>S61</v>
      </c>
      <c r="BS1223" s="57" t="n">
        <f aca="false">IF(BR1223="LOSE",1,IF(N(V1223)&gt;0,V1223,IF(BU1223=1,MAX(1,N(VLOOKUP(T1223,Parameter!$I$27:$K$29,3,0)),H1223,N(N1223)),IF(N(Q1223)&gt;0,Q1223,MAX(1,H1223)))))</f>
        <v>4</v>
      </c>
      <c r="BT1223" s="60" t="n">
        <f aca="false">IF(BR1223="LOSE",1,0)</f>
        <v>0</v>
      </c>
      <c r="BU1223" s="60" t="n">
        <f aca="false">IF(AND(U1223="",OR(P1223="",P1223="LOSE"),T1223&lt;&gt;"",N(S1223)&lt;=0,ISNUMBER(MATCH(T1223,Parameter!$I$27:$I$29,0))),1,0)</f>
        <v>1</v>
      </c>
      <c r="BV1223" s="55" t="str">
        <f aca="false">IF(AND(Parameter!$B$19="Ja",E1223&lt;&gt;"",ISNUMBER(MATCH(E1223,Parameter!$I$35:$I$52,0))),VLOOKUP(E1223,Parameter!$I$35:$J$52,2,0),IFERROR(VLOOKUP(D1223,Parameter!$A$35:$C$64,2,0),"Nein"))</f>
        <v>2+3</v>
      </c>
      <c r="BW1223" s="59" t="n">
        <f aca="false">IF(BT1223=0,0,IF(N(S1223)&gt;0,S1223,IFERROR(VLOOKUP(D1223,Parameter!$A$35:$C$64,3,0)+0,0)))</f>
        <v>0</v>
      </c>
      <c r="BX1223" s="55" t="n">
        <f aca="false">IF(AA1223&lt;&gt;"",AA1223,Z1223)</f>
        <v>2</v>
      </c>
      <c r="BY1223" s="55" t="str">
        <f aca="false">IF(BX1223=1,"L1",IF(OR(BX1223=2,BX1223=3),"L23",IF(BX1223="Aussen","Aussen","-")))</f>
        <v>L23</v>
      </c>
      <c r="BZ1223" s="66" t="n">
        <f aca="false">IF(N(AB1223)&gt;0,AB1223,0)</f>
        <v>0</v>
      </c>
      <c r="CA1223" s="60" t="n">
        <f aca="false">IF(ISNUMBER(AE1223),1,0)</f>
        <v>0</v>
      </c>
      <c r="CB1223" s="57" t="n">
        <f aca="false">N(AE1223)</f>
        <v>0</v>
      </c>
      <c r="CC1223" s="57" t="n">
        <f aca="false">N(M1223)+N(N1223)</f>
        <v>1</v>
      </c>
      <c r="CD1223" s="57" t="n">
        <f aca="false">ROUNDUP(H1223/BS1223,0)</f>
        <v>0</v>
      </c>
      <c r="CE1223" s="57" t="n">
        <f aca="false">ROUNDUP(CB1223/BS1223,0)</f>
        <v>0</v>
      </c>
      <c r="CF1223" s="60" t="n">
        <f aca="false">IF(BT1223=1,0,IFERROR(VLOOKUP(BR1223,'Gebinde-Kategorie'!$A$5:$M$45,5,0)+0,0))</f>
        <v>11</v>
      </c>
      <c r="CG1223" s="60" t="n">
        <f aca="false">IFERROR(IF(OR(BX1223=1,BX1223=2,BX1223=3),N(INDEX(Parameter!$I$5:$I$7,BX1223)),0),0)</f>
        <v>0</v>
      </c>
      <c r="CH1223" s="59" t="n">
        <f aca="false">IF(AND(Parameter!$B$21="Ja",ISNUMBER(W1223),N(X1223)&gt;0),IFERROR(N(INDEX(Parameter!$L$5:$L$7,W1223))*INDEX(Parameter!$E$5:$E$7,W1223)*X1223/SUMIFS($X$7:$X$1843,$W$7:$W$1843,W1223),0),0)</f>
        <v>0</v>
      </c>
    </row>
    <row r="1224" customFormat="false" ht="15" hidden="false" customHeight="false" outlineLevel="0" collapsed="false">
      <c r="A1224" s="55" t="s">
        <v>2192</v>
      </c>
      <c r="B1224" s="55" t="s">
        <v>347</v>
      </c>
      <c r="C1224" s="55" t="s">
        <v>164</v>
      </c>
      <c r="D1224" s="55" t="s">
        <v>173</v>
      </c>
      <c r="E1224" s="55"/>
      <c r="F1224" s="55" t="s">
        <v>218</v>
      </c>
      <c r="G1224" s="56" t="n">
        <v>75.62</v>
      </c>
      <c r="H1224" s="57" t="n">
        <f aca="false">MAX(0,IF(AND(Parameter!$B$21="Ja",ISNUMBER(Y1224)),Y1224,IF(Parameter!$B$20="Jahresanfang 2025 + Export",BL1224+BK1224,BK1224)))</f>
        <v>128</v>
      </c>
      <c r="I1224" s="57" t="n">
        <f aca="false">H1224*G1224</f>
        <v>9679.36</v>
      </c>
      <c r="J1224" s="57" t="n">
        <f aca="false">BN1224*Parameter!$B$18</f>
        <v>3</v>
      </c>
      <c r="K1224" s="58" t="n">
        <v>134.5</v>
      </c>
      <c r="L1224" s="59" t="n">
        <v>0.0223048327137547</v>
      </c>
      <c r="M1224" s="57" t="n">
        <v>0</v>
      </c>
      <c r="N1224" s="57" t="n">
        <v>5</v>
      </c>
      <c r="O1224" s="60" t="n">
        <v>70</v>
      </c>
      <c r="P1224" s="55" t="s">
        <v>174</v>
      </c>
      <c r="Q1224" s="57" t="n">
        <v>10</v>
      </c>
      <c r="R1224" s="60" t="n">
        <f aca="false">IF(BT1224=1,0,IFERROR(VLOOKUP(BR1224,'Gebinde-Kategorie'!$A$5:$M$45,13,0)+0,0))</f>
        <v>6</v>
      </c>
      <c r="S1224" s="61"/>
      <c r="T1224" s="62"/>
      <c r="U1224" s="62"/>
      <c r="V1224" s="62"/>
      <c r="W1224" s="55"/>
      <c r="X1224" s="57"/>
      <c r="Y1224" s="57"/>
      <c r="Z1224" s="55" t="n">
        <f aca="false">IF(A1224="","",IF(AND(Parameter!$B$21="Ja",ISNUMBER(W1224)),W1224,IF(BV1224="2+3",IF(ISNUMBER(SEARCH("grosser Artikel",BO1224)),2,IFERROR(VLOOKUP(BR1224,Parameter!$F$35:$G$64,2,0),2)),IF(OR(BV1224="Nein",BV1224=""),"-",BV1224))))</f>
        <v>2</v>
      </c>
      <c r="AA1224" s="62"/>
      <c r="AB1224" s="63"/>
      <c r="AC1224" s="57" t="n">
        <f aca="false">AR1224</f>
        <v>10</v>
      </c>
      <c r="AD1224" s="57" t="n">
        <f aca="false">MAX(AR1224,H1224)</f>
        <v>128</v>
      </c>
      <c r="AE1224" s="64"/>
      <c r="AF1224" s="57" t="n">
        <f aca="false">IF(LEFT(Cockpit!$C$5,1)="A",H1224,IF(CA1224=1,CB1224,IF(LEFT(Cockpit!$C$5,1)="B",AJ1224,MAX(AJ1224,H1224))))</f>
        <v>128</v>
      </c>
      <c r="AG1224" s="57" t="n">
        <f aca="false">IF(BT1224=1,0,ROUNDUP(AF1224/BS1224,0))</f>
        <v>13</v>
      </c>
      <c r="AH1224" s="59" t="n">
        <f aca="false">IF(CH1224&gt;0,CH1224*MAX(1,AF1224/X1224),IF(BT1224=1,IF(AF1224&lt;=0,0,BW1224*MAX(1,IF(H1224&gt;0,AF1224/H1224,1))),IF(R1224&gt;0,AG1224/R1224,0))/MAX(0.1,N(Parameter!$M$21)))</f>
        <v>2.16666666666667</v>
      </c>
      <c r="AI1224" s="57" t="n">
        <f aca="false">AF1224*G1224</f>
        <v>9679.36</v>
      </c>
      <c r="AJ1224" s="57" t="n">
        <f aca="false">ROUNDUP(MAX(J1224/IF(BZ1224&gt;0,BZ1224,MAX(0.1,N(Cockpit!$C$6))),CC1224)/BS1224,0)*BS1224</f>
        <v>10</v>
      </c>
      <c r="AK1224" s="58" t="n">
        <f aca="false">IF(AH1224&gt;0,J1224/AH1224,-1)</f>
        <v>1.38461538461538</v>
      </c>
      <c r="AL1224" s="58" t="n">
        <f aca="false">IF(AND(OR(BY1224="L1",BY1224="L23"),AH1224&gt;0),SUMIFS($AH$7:$AH$1843,$BY$7:$BY$1843,BY1224,$AK$7:$AK$1843,"&gt;"&amp;AK1224)+SUMIFS($AH$7:$AH$1843,$BY$7:$BY$1843,BY1224,$AK$7:$AK$1843,AK1224,$BQ$7:$BQ$1843,"&lt;="&amp;BQ1224),"")</f>
        <v>62.8253606297085</v>
      </c>
      <c r="AM1224" s="65" t="n">
        <f aca="false">IF(AL1224="",0,MAX(0,MIN(1,(IF(BY1224="L1",Parameter!$E$5,Parameter!$E$6+Parameter!$E$7)-(AL1224-AH1224))/AH1224)))</f>
        <v>1</v>
      </c>
      <c r="AN1224" s="57" t="n">
        <f aca="false">IF(LEFT(Cockpit!$I$5,1)="A",H1224,IF(CA1224=1,CB1224,IF(LEFT(Cockpit!$I$5,1)="B",AR1224,MAX(AR1224,H1224))))</f>
        <v>128</v>
      </c>
      <c r="AO1224" s="57" t="n">
        <f aca="false">IF(BT1224=1,0,ROUNDUP(AN1224/BS1224,0))</f>
        <v>13</v>
      </c>
      <c r="AP1224" s="59" t="n">
        <f aca="false">IF(CH1224&gt;0,CH1224*MAX(1,AN1224/X1224),IF(BT1224=1,IF(AN1224&lt;=0,0,BW1224*MAX(1,IF(H1224&gt;0,AN1224/H1224,1))),IF(R1224&gt;0,AO1224/R1224,0))/MAX(0.1,N(Parameter!$M$21)))</f>
        <v>2.16666666666667</v>
      </c>
      <c r="AQ1224" s="57" t="n">
        <f aca="false">AN1224*G1224</f>
        <v>9679.36</v>
      </c>
      <c r="AR1224" s="57" t="n">
        <f aca="false">ROUNDUP(MAX(J1224/IF(BZ1224&gt;0,BZ1224,MAX(0.1,N(Cockpit!$I$6))),CC1224)/BS1224,0)*BS1224</f>
        <v>10</v>
      </c>
      <c r="AS1224" s="58" t="n">
        <f aca="false">IF(AP1224&gt;0,J1224/AP1224,-1)</f>
        <v>1.38461538461538</v>
      </c>
      <c r="AT1224" s="58" t="n">
        <f aca="false">IF(AND(OR(BY1224="L1",BY1224="L23"),AP1224&gt;0),SUMIFS($AP$7:$AP$1843,$BY$7:$BY$1843,BY1224,$AS$7:$AS$1843,"&gt;"&amp;AS1224)+SUMIFS($AP$7:$AP$1843,$BY$7:$BY$1843,BY1224,$AS$7:$AS$1843,AS1224,$BQ$7:$BQ$1843,"&lt;="&amp;BQ1224),"")</f>
        <v>101.916151481369</v>
      </c>
      <c r="AU1224" s="65" t="n">
        <f aca="false">IF(AT1224="",0,MAX(0,MIN(1,(IF(BY1224="L1",Parameter!$E$5,Parameter!$E$6+Parameter!$E$7)-(AT1224-AP1224))/AP1224)))</f>
        <v>0.115622393214369</v>
      </c>
      <c r="AV1224" s="57" t="n">
        <f aca="false">IF(LEFT(Cockpit!$O$5,1)="A",H1224,IF(CA1224=1,CB1224,IF(LEFT(Cockpit!$O$5,1)="B",AZ1224,MAX(AZ1224,H1224))))</f>
        <v>128</v>
      </c>
      <c r="AW1224" s="57" t="n">
        <f aca="false">IF(BT1224=1,0,ROUNDUP(AV1224/BS1224,0))</f>
        <v>13</v>
      </c>
      <c r="AX1224" s="59" t="n">
        <f aca="false">IF(CH1224&gt;0,CH1224*MAX(1,AV1224/X1224),IF(BT1224=1,IF(AV1224&lt;=0,0,BW1224*MAX(1,IF(H1224&gt;0,AV1224/H1224,1))),IF(R1224&gt;0,AW1224/R1224,0))/MAX(0.1,N(Parameter!$M$21)))</f>
        <v>2.16666666666667</v>
      </c>
      <c r="AY1224" s="57" t="n">
        <f aca="false">AV1224*G1224</f>
        <v>9679.36</v>
      </c>
      <c r="AZ1224" s="57" t="n">
        <f aca="false">ROUNDUP(MAX(J1224/IF(BZ1224&gt;0,BZ1224,MAX(0.1,N(Cockpit!$O$6))),CC1224)/BS1224,0)*BS1224</f>
        <v>10</v>
      </c>
      <c r="BA1224" s="58" t="n">
        <f aca="false">IF(AX1224&gt;0,J1224/AX1224,-1)</f>
        <v>1.38461538461538</v>
      </c>
      <c r="BB1224" s="58" t="n">
        <f aca="false">IF(AND(OR(BY1224="L1",BY1224="L23"),AX1224&gt;0),SUMIFS($AX$7:$AX$1843,$BY$7:$BY$1843,BY1224,$BA$7:$BA$1843,"&gt;"&amp;BA1224)+SUMIFS($AX$7:$AX$1843,$BY$7:$BY$1843,BY1224,$BA$7:$BA$1843,BA1224,$BQ$7:$BQ$1843,"&lt;="&amp;BQ1224),"")</f>
        <v>92.7459883112057</v>
      </c>
      <c r="BC1224" s="65" t="n">
        <f aca="false">IF(BB1224="",0,MAX(0,MIN(1,(IF(BY1224="L1",Parameter!$E$5,Parameter!$E$6+Parameter!$E$7)-(BB1224-AX1224))/AX1224)))</f>
        <v>1</v>
      </c>
      <c r="BD1224" s="55" t="str">
        <f aca="false">IF(AH1224&lt;=0,"",IF(BY1224="Aussen","Aussenlager",IF(BY1224="-","Nicht im Lift",IF(AM1224&gt;=1,"Lift",IF(AM1224&lt;=0,"Aussenlager","teilweise")))))</f>
        <v>Lift</v>
      </c>
      <c r="BE1224" s="55" t="str">
        <f aca="false">IF(AP1224&lt;=0,"",IF(BY1224="Aussen","Aussenlager",IF(BY1224="-","Nicht im Lift",IF(AU1224&gt;=1,"Lift",IF(AU1224&lt;=0,"Aussenlager","teilweise")))))</f>
        <v>teilweise</v>
      </c>
      <c r="BF1224" s="55" t="str">
        <f aca="false">IF(AX1224&lt;=0,"",IF(BY1224="Aussen","Aussenlager",IF(BY1224="-","Nicht im Lift",IF(BC1224&gt;=1,"Lift",IF(BC1224&lt;=0,"Aussenlager","teilweise")))))</f>
        <v>Lift</v>
      </c>
      <c r="BG1224" s="55" t="str">
        <f aca="false">IF(A1224="","",IF(BP1224=1,"Neu; ","")&amp;IF(AND(BP1224=0,BK1224&lt;0),"negativer Bestand (Export "&amp;BK1224&amp;"); ","")&amp;IF(J1224&lt;=0,"Kein Verbrauch; ","")&amp;IF(CH1224&gt;0,"Lift "&amp;W1224&amp;" lt. Liftbericht (Fach "&amp;X1224&amp;" Stk); ",IF(BU1224=1,"Gebinde geschätzt ("&amp;T1224&amp;"); ",IF(BT1224=1,"Lose – Tablare geschätzt; ","")))&amp;IF(H1224&gt;AR1224,"Überbestand "&amp;ROUND(H1224-AR1224,0)&amp;" Stk / CHF "&amp;ROUND((H1224-AR1224)*G1224,0)&amp;"; ","")&amp;IF(AND(CA1224=1,CB1224&lt;CC1224),"MAX &lt; MB+LG; ","")&amp;IF(AND(CG1224&gt;0,CF1224*10&gt;CG1224),"zu hoch für Tablar; ","")&amp;IF(AND(BP1224=0,OR(CA1224=1,AA1224&lt;&gt;"",U1224&lt;&gt;"",V1224&lt;&gt;"",AB1224&lt;&gt;"")),"manuell übersteuert; ","")&amp;IF(AND(BT1224=0,R1224=0),"Gebinde unbekannt / Stellmass fehlt; ","")&amp;IF(AND(BT1224=0,N(V1224)&lt;=0,N(Q1224)&lt;=0),"Menge pro Gebinde fehlt (Ist = 1 Gebinde); ","")&amp;BO1224)</f>
        <v>negativer Bestand (Export -8); Überbestand 118 Stk / CHF 8923; Bis auf 10stk?</v>
      </c>
      <c r="BH1224" s="55"/>
      <c r="BI1224" s="55"/>
      <c r="BJ1224" s="62"/>
      <c r="BK1224" s="57" t="n">
        <v>-8</v>
      </c>
      <c r="BL1224" s="57" t="n">
        <v>136</v>
      </c>
      <c r="BM1224" s="56" t="n">
        <v>-604.96</v>
      </c>
      <c r="BN1224" s="57" t="n">
        <v>3</v>
      </c>
      <c r="BO1224" s="55" t="s">
        <v>2193</v>
      </c>
      <c r="BP1224" s="60" t="n">
        <v>0</v>
      </c>
      <c r="BQ1224" s="60" t="n">
        <v>1224</v>
      </c>
      <c r="BR1224" s="55" t="str">
        <f aca="false">IF(U1224&lt;&gt;"",UPPER(TRIM(U1224)),IF(BU1224=1,UPPER(VLOOKUP(T1224,Parameter!$I$27:$K$29,2,0)),IF(P1224="","LOSE",P1224)))</f>
        <v>S71</v>
      </c>
      <c r="BS1224" s="57" t="n">
        <f aca="false">IF(BR1224="LOSE",1,IF(N(V1224)&gt;0,V1224,IF(BU1224=1,MAX(1,N(VLOOKUP(T1224,Parameter!$I$27:$K$29,3,0)),H1224,N(N1224)),IF(N(Q1224)&gt;0,Q1224,MAX(1,H1224)))))</f>
        <v>10</v>
      </c>
      <c r="BT1224" s="60" t="n">
        <f aca="false">IF(BR1224="LOSE",1,0)</f>
        <v>0</v>
      </c>
      <c r="BU1224" s="60" t="n">
        <f aca="false">IF(AND(U1224="",OR(P1224="",P1224="LOSE"),T1224&lt;&gt;"",N(S1224)&lt;=0,ISNUMBER(MATCH(T1224,Parameter!$I$27:$I$29,0))),1,0)</f>
        <v>0</v>
      </c>
      <c r="BV1224" s="55" t="str">
        <f aca="false">IF(AND(Parameter!$B$19="Ja",E1224&lt;&gt;"",ISNUMBER(MATCH(E1224,Parameter!$I$35:$I$52,0))),VLOOKUP(E1224,Parameter!$I$35:$J$52,2,0),IFERROR(VLOOKUP(D1224,Parameter!$A$35:$C$64,2,0),"Nein"))</f>
        <v>2+3</v>
      </c>
      <c r="BW1224" s="59" t="n">
        <f aca="false">IF(BT1224=0,0,IF(N(S1224)&gt;0,S1224,IFERROR(VLOOKUP(D1224,Parameter!$A$35:$C$64,3,0)+0,0)))</f>
        <v>0</v>
      </c>
      <c r="BX1224" s="55" t="n">
        <f aca="false">IF(AA1224&lt;&gt;"",AA1224,Z1224)</f>
        <v>2</v>
      </c>
      <c r="BY1224" s="55" t="str">
        <f aca="false">IF(BX1224=1,"L1",IF(OR(BX1224=2,BX1224=3),"L23",IF(BX1224="Aussen","Aussen","-")))</f>
        <v>L23</v>
      </c>
      <c r="BZ1224" s="66" t="n">
        <f aca="false">IF(N(AB1224)&gt;0,AB1224,0)</f>
        <v>0</v>
      </c>
      <c r="CA1224" s="60" t="n">
        <f aca="false">IF(ISNUMBER(AE1224),1,0)</f>
        <v>0</v>
      </c>
      <c r="CB1224" s="57" t="n">
        <f aca="false">N(AE1224)</f>
        <v>0</v>
      </c>
      <c r="CC1224" s="57" t="n">
        <f aca="false">N(M1224)+N(N1224)</f>
        <v>5</v>
      </c>
      <c r="CD1224" s="57" t="n">
        <f aca="false">ROUNDUP(H1224/BS1224,0)</f>
        <v>13</v>
      </c>
      <c r="CE1224" s="57" t="n">
        <f aca="false">ROUNDUP(CB1224/BS1224,0)</f>
        <v>0</v>
      </c>
      <c r="CF1224" s="60" t="n">
        <f aca="false">IF(BT1224=1,0,IFERROR(VLOOKUP(BR1224,'Gebinde-Kategorie'!$A$5:$M$45,5,0)+0,0))</f>
        <v>20</v>
      </c>
      <c r="CG1224" s="60" t="n">
        <f aca="false">IFERROR(IF(OR(BX1224=1,BX1224=2,BX1224=3),N(INDEX(Parameter!$I$5:$I$7,BX1224)),0),0)</f>
        <v>0</v>
      </c>
      <c r="CH1224" s="59" t="n">
        <f aca="false">IF(AND(Parameter!$B$21="Ja",ISNUMBER(W1224),N(X1224)&gt;0),IFERROR(N(INDEX(Parameter!$L$5:$L$7,W1224))*INDEX(Parameter!$E$5:$E$7,W1224)*X1224/SUMIFS($X$7:$X$1843,$W$7:$W$1843,W1224),0),0)</f>
        <v>0</v>
      </c>
    </row>
    <row r="1225" customFormat="false" ht="15" hidden="false" customHeight="false" outlineLevel="0" collapsed="false">
      <c r="A1225" s="55" t="s">
        <v>2194</v>
      </c>
      <c r="B1225" s="55" t="s">
        <v>771</v>
      </c>
      <c r="C1225" s="55" t="s">
        <v>164</v>
      </c>
      <c r="D1225" s="55" t="s">
        <v>184</v>
      </c>
      <c r="E1225" s="55"/>
      <c r="F1225" s="55" t="s">
        <v>218</v>
      </c>
      <c r="G1225" s="56" t="n">
        <v>55.29</v>
      </c>
      <c r="H1225" s="57" t="n">
        <f aca="false">MAX(0,IF(AND(Parameter!$B$21="Ja",ISNUMBER(Y1225)),Y1225,IF(Parameter!$B$20="Jahresanfang 2025 + Export",BL1225+BK1225,BK1225)))</f>
        <v>16</v>
      </c>
      <c r="I1225" s="57" t="n">
        <f aca="false">H1225*G1225</f>
        <v>884.64</v>
      </c>
      <c r="J1225" s="57" t="n">
        <f aca="false">BN1225*Parameter!$B$18</f>
        <v>6</v>
      </c>
      <c r="K1225" s="58" t="n">
        <v>24</v>
      </c>
      <c r="L1225" s="59" t="n">
        <v>0.25</v>
      </c>
      <c r="M1225" s="57" t="n">
        <v>0</v>
      </c>
      <c r="N1225" s="57" t="n">
        <v>5</v>
      </c>
      <c r="O1225" s="60" t="n">
        <v>14</v>
      </c>
      <c r="P1225" s="55" t="s">
        <v>421</v>
      </c>
      <c r="Q1225" s="57" t="n">
        <v>19</v>
      </c>
      <c r="R1225" s="60" t="n">
        <f aca="false">IF(BT1225=1,0,IFERROR(VLOOKUP(BR1225,'Gebinde-Kategorie'!$A$5:$M$45,13,0)+0,0))</f>
        <v>132</v>
      </c>
      <c r="S1225" s="61"/>
      <c r="T1225" s="62"/>
      <c r="U1225" s="62"/>
      <c r="V1225" s="62"/>
      <c r="W1225" s="55"/>
      <c r="X1225" s="57"/>
      <c r="Y1225" s="57"/>
      <c r="Z1225" s="55" t="n">
        <f aca="false">IF(A1225="","",IF(AND(Parameter!$B$21="Ja",ISNUMBER(W1225)),W1225,IF(BV1225="2+3",IF(ISNUMBER(SEARCH("grosser Artikel",BO1225)),2,IFERROR(VLOOKUP(BR1225,Parameter!$F$35:$G$64,2,0),2)),IF(OR(BV1225="Nein",BV1225=""),"-",BV1225))))</f>
        <v>3</v>
      </c>
      <c r="AA1225" s="62"/>
      <c r="AB1225" s="63"/>
      <c r="AC1225" s="57" t="n">
        <f aca="false">AR1225</f>
        <v>19</v>
      </c>
      <c r="AD1225" s="57" t="n">
        <f aca="false">MAX(AR1225,H1225)</f>
        <v>19</v>
      </c>
      <c r="AE1225" s="64"/>
      <c r="AF1225" s="57" t="n">
        <f aca="false">IF(LEFT(Cockpit!$C$5,1)="A",H1225,IF(CA1225=1,CB1225,IF(LEFT(Cockpit!$C$5,1)="B",AJ1225,MAX(AJ1225,H1225))))</f>
        <v>16</v>
      </c>
      <c r="AG1225" s="57" t="n">
        <f aca="false">IF(BT1225=1,0,ROUNDUP(AF1225/BS1225,0))</f>
        <v>1</v>
      </c>
      <c r="AH1225" s="59" t="n">
        <f aca="false">IF(CH1225&gt;0,CH1225*MAX(1,AF1225/X1225),IF(BT1225=1,IF(AF1225&lt;=0,0,BW1225*MAX(1,IF(H1225&gt;0,AF1225/H1225,1))),IF(R1225&gt;0,AG1225/R1225,0))/MAX(0.1,N(Parameter!$M$21)))</f>
        <v>0.00757575757575758</v>
      </c>
      <c r="AI1225" s="57" t="n">
        <f aca="false">AF1225*G1225</f>
        <v>884.64</v>
      </c>
      <c r="AJ1225" s="57" t="n">
        <f aca="false">ROUNDUP(MAX(J1225/IF(BZ1225&gt;0,BZ1225,MAX(0.1,N(Cockpit!$C$6))),CC1225)/BS1225,0)*BS1225</f>
        <v>19</v>
      </c>
      <c r="AK1225" s="58" t="n">
        <f aca="false">IF(AH1225&gt;0,J1225/AH1225,-1)</f>
        <v>792</v>
      </c>
      <c r="AL1225" s="58" t="n">
        <f aca="false">IF(AND(OR(BY1225="L1",BY1225="L23"),AH1225&gt;0),SUMIFS($AH$7:$AH$1843,$BY$7:$BY$1843,BY1225,$AK$7:$AK$1843,"&gt;"&amp;AK1225)+SUMIFS($AH$7:$AH$1843,$BY$7:$BY$1843,BY1225,$AK$7:$AK$1843,AK1225,$BQ$7:$BQ$1843,"&lt;="&amp;BQ1225),"")</f>
        <v>20.8684926184926</v>
      </c>
      <c r="AM1225" s="65" t="n">
        <f aca="false">IF(AL1225="",0,MAX(0,MIN(1,(IF(BY1225="L1",Parameter!$E$5,Parameter!$E$6+Parameter!$E$7)-(AL1225-AH1225))/AH1225)))</f>
        <v>1</v>
      </c>
      <c r="AN1225" s="57" t="n">
        <f aca="false">IF(LEFT(Cockpit!$I$5,1)="A",H1225,IF(CA1225=1,CB1225,IF(LEFT(Cockpit!$I$5,1)="B",AR1225,MAX(AR1225,H1225))))</f>
        <v>19</v>
      </c>
      <c r="AO1225" s="57" t="n">
        <f aca="false">IF(BT1225=1,0,ROUNDUP(AN1225/BS1225,0))</f>
        <v>1</v>
      </c>
      <c r="AP1225" s="59" t="n">
        <f aca="false">IF(CH1225&gt;0,CH1225*MAX(1,AN1225/X1225),IF(BT1225=1,IF(AN1225&lt;=0,0,BW1225*MAX(1,IF(H1225&gt;0,AN1225/H1225,1))),IF(R1225&gt;0,AO1225/R1225,0))/MAX(0.1,N(Parameter!$M$21)))</f>
        <v>0.00757575757575758</v>
      </c>
      <c r="AQ1225" s="57" t="n">
        <f aca="false">AN1225*G1225</f>
        <v>1050.51</v>
      </c>
      <c r="AR1225" s="57" t="n">
        <f aca="false">ROUNDUP(MAX(J1225/IF(BZ1225&gt;0,BZ1225,MAX(0.1,N(Cockpit!$I$6))),CC1225)/BS1225,0)*BS1225</f>
        <v>19</v>
      </c>
      <c r="AS1225" s="58" t="n">
        <f aca="false">IF(AP1225&gt;0,J1225/AP1225,-1)</f>
        <v>792</v>
      </c>
      <c r="AT1225" s="58" t="n">
        <f aca="false">IF(AND(OR(BY1225="L1",BY1225="L23"),AP1225&gt;0),SUMIFS($AP$7:$AP$1843,$BY$7:$BY$1843,BY1225,$AS$7:$AS$1843,"&gt;"&amp;AS1225)+SUMIFS($AP$7:$AP$1843,$BY$7:$BY$1843,BY1225,$AS$7:$AS$1843,AS1225,$BQ$7:$BQ$1843,"&lt;="&amp;BQ1225),"")</f>
        <v>26.6132394175872</v>
      </c>
      <c r="AU1225" s="65" t="n">
        <f aca="false">IF(AT1225="",0,MAX(0,MIN(1,(IF(BY1225="L1",Parameter!$E$5,Parameter!$E$6+Parameter!$E$7)-(AT1225-AP1225))/AP1225)))</f>
        <v>1</v>
      </c>
      <c r="AV1225" s="57" t="n">
        <f aca="false">IF(LEFT(Cockpit!$O$5,1)="A",H1225,IF(CA1225=1,CB1225,IF(LEFT(Cockpit!$O$5,1)="B",AZ1225,MAX(AZ1225,H1225))))</f>
        <v>19</v>
      </c>
      <c r="AW1225" s="57" t="n">
        <f aca="false">IF(BT1225=1,0,ROUNDUP(AV1225/BS1225,0))</f>
        <v>1</v>
      </c>
      <c r="AX1225" s="59" t="n">
        <f aca="false">IF(CH1225&gt;0,CH1225*MAX(1,AV1225/X1225),IF(BT1225=1,IF(AV1225&lt;=0,0,BW1225*MAX(1,IF(H1225&gt;0,AV1225/H1225,1))),IF(R1225&gt;0,AW1225/R1225,0))/MAX(0.1,N(Parameter!$M$21)))</f>
        <v>0.00757575757575758</v>
      </c>
      <c r="AY1225" s="57" t="n">
        <f aca="false">AV1225*G1225</f>
        <v>1050.51</v>
      </c>
      <c r="AZ1225" s="57" t="n">
        <f aca="false">ROUNDUP(MAX(J1225/IF(BZ1225&gt;0,BZ1225,MAX(0.1,N(Cockpit!$O$6))),CC1225)/BS1225,0)*BS1225</f>
        <v>19</v>
      </c>
      <c r="BA1225" s="58" t="n">
        <f aca="false">IF(AX1225&gt;0,J1225/AX1225,-1)</f>
        <v>792</v>
      </c>
      <c r="BB1225" s="58" t="n">
        <f aca="false">IF(AND(OR(BY1225="L1",BY1225="L23"),AX1225&gt;0),SUMIFS($AX$7:$AX$1843,$BY$7:$BY$1843,BY1225,$BA$7:$BA$1843,"&gt;"&amp;BA1225)+SUMIFS($AX$7:$AX$1843,$BY$7:$BY$1843,BY1225,$BA$7:$BA$1843,BA1225,$BQ$7:$BQ$1843,"&lt;="&amp;BQ1225),"")</f>
        <v>26.0648711192189</v>
      </c>
      <c r="BC1225" s="65" t="n">
        <f aca="false">IF(BB1225="",0,MAX(0,MIN(1,(IF(BY1225="L1",Parameter!$E$5,Parameter!$E$6+Parameter!$E$7)-(BB1225-AX1225))/AX1225)))</f>
        <v>1</v>
      </c>
      <c r="BD1225" s="55" t="str">
        <f aca="false">IF(AH1225&lt;=0,"",IF(BY1225="Aussen","Aussenlager",IF(BY1225="-","Nicht im Lift",IF(AM1225&gt;=1,"Lift",IF(AM1225&lt;=0,"Aussenlager","teilweise")))))</f>
        <v>Lift</v>
      </c>
      <c r="BE1225" s="55" t="str">
        <f aca="false">IF(AP1225&lt;=0,"",IF(BY1225="Aussen","Aussenlager",IF(BY1225="-","Nicht im Lift",IF(AU1225&gt;=1,"Lift",IF(AU1225&lt;=0,"Aussenlager","teilweise")))))</f>
        <v>Lift</v>
      </c>
      <c r="BF1225" s="55" t="str">
        <f aca="false">IF(AX1225&lt;=0,"",IF(BY1225="Aussen","Aussenlager",IF(BY1225="-","Nicht im Lift",IF(BC1225&gt;=1,"Lift",IF(BC1225&lt;=0,"Aussenlager","teilweise")))))</f>
        <v>Lift</v>
      </c>
      <c r="BG1225" s="55" t="str">
        <f aca="false">IF(A1225="","",IF(BP1225=1,"Neu; ","")&amp;IF(AND(BP1225=0,BK1225&lt;0),"negativer Bestand (Export "&amp;BK1225&amp;"); ","")&amp;IF(J1225&lt;=0,"Kein Verbrauch; ","")&amp;IF(CH1225&gt;0,"Lift "&amp;W1225&amp;" lt. Liftbericht (Fach "&amp;X1225&amp;" Stk); ",IF(BU1225=1,"Gebinde geschätzt ("&amp;T1225&amp;"); ",IF(BT1225=1,"Lose – Tablare geschätzt; ","")))&amp;IF(H1225&gt;AR1225,"Überbestand "&amp;ROUND(H1225-AR1225,0)&amp;" Stk / CHF "&amp;ROUND((H1225-AR1225)*G1225,0)&amp;"; ","")&amp;IF(AND(CA1225=1,CB1225&lt;CC1225),"MAX &lt; MB+LG; ","")&amp;IF(AND(CG1225&gt;0,CF1225*10&gt;CG1225),"zu hoch für Tablar; ","")&amp;IF(AND(BP1225=0,OR(CA1225=1,AA1225&lt;&gt;"",U1225&lt;&gt;"",V1225&lt;&gt;"",AB1225&lt;&gt;"")),"manuell übersteuert; ","")&amp;IF(AND(BT1225=0,R1225=0),"Gebinde unbekannt / Stellmass fehlt; ","")&amp;IF(AND(BT1225=0,N(V1225)&lt;=0,N(Q1225)&lt;=0),"Menge pro Gebinde fehlt (Ist = 1 Gebinde); ","")&amp;BO1225)</f>
        <v>negativer Bestand (Export -11); </v>
      </c>
      <c r="BH1225" s="55"/>
      <c r="BI1225" s="55"/>
      <c r="BJ1225" s="62"/>
      <c r="BK1225" s="57" t="n">
        <v>-11</v>
      </c>
      <c r="BL1225" s="57" t="n">
        <v>27</v>
      </c>
      <c r="BM1225" s="56" t="n">
        <v>-608.19</v>
      </c>
      <c r="BN1225" s="57" t="n">
        <v>6</v>
      </c>
      <c r="BO1225" s="55"/>
      <c r="BP1225" s="60" t="n">
        <v>0</v>
      </c>
      <c r="BQ1225" s="60" t="n">
        <v>1225</v>
      </c>
      <c r="BR1225" s="55" t="str">
        <f aca="false">IF(U1225&lt;&gt;"",UPPER(TRIM(U1225)),IF(BU1225=1,UPPER(VLOOKUP(T1225,Parameter!$I$27:$K$29,2,0)),IF(P1225="","LOSE",P1225)))</f>
        <v>S32</v>
      </c>
      <c r="BS1225" s="57" t="n">
        <f aca="false">IF(BR1225="LOSE",1,IF(N(V1225)&gt;0,V1225,IF(BU1225=1,MAX(1,N(VLOOKUP(T1225,Parameter!$I$27:$K$29,3,0)),H1225,N(N1225)),IF(N(Q1225)&gt;0,Q1225,MAX(1,H1225)))))</f>
        <v>19</v>
      </c>
      <c r="BT1225" s="60" t="n">
        <f aca="false">IF(BR1225="LOSE",1,0)</f>
        <v>0</v>
      </c>
      <c r="BU1225" s="60" t="n">
        <f aca="false">IF(AND(U1225="",OR(P1225="",P1225="LOSE"),T1225&lt;&gt;"",N(S1225)&lt;=0,ISNUMBER(MATCH(T1225,Parameter!$I$27:$I$29,0))),1,0)</f>
        <v>0</v>
      </c>
      <c r="BV1225" s="55" t="str">
        <f aca="false">IF(AND(Parameter!$B$19="Ja",E1225&lt;&gt;"",ISNUMBER(MATCH(E1225,Parameter!$I$35:$I$52,0))),VLOOKUP(E1225,Parameter!$I$35:$J$52,2,0),IFERROR(VLOOKUP(D1225,Parameter!$A$35:$C$64,2,0),"Nein"))</f>
        <v>2+3</v>
      </c>
      <c r="BW1225" s="59" t="n">
        <f aca="false">IF(BT1225=0,0,IF(N(S1225)&gt;0,S1225,IFERROR(VLOOKUP(D1225,Parameter!$A$35:$C$64,3,0)+0,0)))</f>
        <v>0</v>
      </c>
      <c r="BX1225" s="55" t="n">
        <f aca="false">IF(AA1225&lt;&gt;"",AA1225,Z1225)</f>
        <v>3</v>
      </c>
      <c r="BY1225" s="55" t="str">
        <f aca="false">IF(BX1225=1,"L1",IF(OR(BX1225=2,BX1225=3),"L23",IF(BX1225="Aussen","Aussen","-")))</f>
        <v>L23</v>
      </c>
      <c r="BZ1225" s="66" t="n">
        <f aca="false">IF(N(AB1225)&gt;0,AB1225,0)</f>
        <v>0</v>
      </c>
      <c r="CA1225" s="60" t="n">
        <f aca="false">IF(ISNUMBER(AE1225),1,0)</f>
        <v>0</v>
      </c>
      <c r="CB1225" s="57" t="n">
        <f aca="false">N(AE1225)</f>
        <v>0</v>
      </c>
      <c r="CC1225" s="57" t="n">
        <f aca="false">N(M1225)+N(N1225)</f>
        <v>5</v>
      </c>
      <c r="CD1225" s="57" t="n">
        <f aca="false">ROUNDUP(H1225/BS1225,0)</f>
        <v>1</v>
      </c>
      <c r="CE1225" s="57" t="n">
        <f aca="false">ROUNDUP(CB1225/BS1225,0)</f>
        <v>0</v>
      </c>
      <c r="CF1225" s="60" t="n">
        <f aca="false">IF(BT1225=1,0,IFERROR(VLOOKUP(BR1225,'Gebinde-Kategorie'!$A$5:$M$45,5,0)+0,0))</f>
        <v>8</v>
      </c>
      <c r="CG1225" s="60" t="n">
        <f aca="false">IFERROR(IF(OR(BX1225=1,BX1225=2,BX1225=3),N(INDEX(Parameter!$I$5:$I$7,BX1225)),0),0)</f>
        <v>0</v>
      </c>
      <c r="CH1225" s="59" t="n">
        <f aca="false">IF(AND(Parameter!$B$21="Ja",ISNUMBER(W1225),N(X1225)&gt;0),IFERROR(N(INDEX(Parameter!$L$5:$L$7,W1225))*INDEX(Parameter!$E$5:$E$7,W1225)*X1225/SUMIFS($X$7:$X$1843,$W$7:$W$1843,W1225),0),0)</f>
        <v>0</v>
      </c>
    </row>
    <row r="1226" customFormat="false" ht="15" hidden="false" customHeight="false" outlineLevel="0" collapsed="false">
      <c r="A1226" s="55" t="s">
        <v>2195</v>
      </c>
      <c r="B1226" s="55" t="s">
        <v>2196</v>
      </c>
      <c r="C1226" s="55" t="s">
        <v>164</v>
      </c>
      <c r="D1226" s="55" t="s">
        <v>184</v>
      </c>
      <c r="E1226" s="55" t="s">
        <v>185</v>
      </c>
      <c r="F1226" s="55" t="s">
        <v>218</v>
      </c>
      <c r="G1226" s="56" t="n">
        <v>688</v>
      </c>
      <c r="H1226" s="57" t="n">
        <f aca="false">MAX(0,IF(AND(Parameter!$B$21="Ja",ISNUMBER(Y1226)),Y1226,IF(Parameter!$B$20="Jahresanfang 2025 + Export",BL1226+BK1226,BK1226)))</f>
        <v>19</v>
      </c>
      <c r="I1226" s="57" t="n">
        <f aca="false">H1226*G1226</f>
        <v>13072</v>
      </c>
      <c r="J1226" s="57" t="n">
        <f aca="false">BN1226*Parameter!$B$18</f>
        <v>69</v>
      </c>
      <c r="K1226" s="58" t="n">
        <v>21</v>
      </c>
      <c r="L1226" s="59" t="n">
        <v>3.28571428571429</v>
      </c>
      <c r="M1226" s="57" t="n">
        <v>10</v>
      </c>
      <c r="N1226" s="57" t="n">
        <v>5</v>
      </c>
      <c r="O1226" s="60" t="n">
        <v>30</v>
      </c>
      <c r="P1226" s="55" t="s">
        <v>302</v>
      </c>
      <c r="Q1226" s="57" t="n">
        <v>11</v>
      </c>
      <c r="R1226" s="60" t="n">
        <f aca="false">IF(BT1226=1,0,IFERROR(VLOOKUP(BR1226,'Gebinde-Kategorie'!$A$5:$M$45,13,0)+0,0))</f>
        <v>26</v>
      </c>
      <c r="S1226" s="61"/>
      <c r="T1226" s="62"/>
      <c r="U1226" s="62"/>
      <c r="V1226" s="62"/>
      <c r="W1226" s="55"/>
      <c r="X1226" s="57"/>
      <c r="Y1226" s="57"/>
      <c r="Z1226" s="55" t="n">
        <f aca="false">IF(A1226="","",IF(AND(Parameter!$B$21="Ja",ISNUMBER(W1226)),W1226,IF(BV1226="2+3",IF(ISNUMBER(SEARCH("grosser Artikel",BO1226)),2,IFERROR(VLOOKUP(BR1226,Parameter!$F$35:$G$64,2,0),2)),IF(OR(BV1226="Nein",BV1226=""),"-",BV1226))))</f>
        <v>3</v>
      </c>
      <c r="AA1226" s="62"/>
      <c r="AB1226" s="63"/>
      <c r="AC1226" s="57" t="n">
        <f aca="false">AR1226</f>
        <v>44</v>
      </c>
      <c r="AD1226" s="57" t="n">
        <f aca="false">MAX(AR1226,H1226)</f>
        <v>44</v>
      </c>
      <c r="AE1226" s="64"/>
      <c r="AF1226" s="57" t="n">
        <f aca="false">IF(LEFT(Cockpit!$C$5,1)="A",H1226,IF(CA1226=1,CB1226,IF(LEFT(Cockpit!$C$5,1)="B",AJ1226,MAX(AJ1226,H1226))))</f>
        <v>19</v>
      </c>
      <c r="AG1226" s="57" t="n">
        <f aca="false">IF(BT1226=1,0,ROUNDUP(AF1226/BS1226,0))</f>
        <v>2</v>
      </c>
      <c r="AH1226" s="59" t="n">
        <f aca="false">IF(CH1226&gt;0,CH1226*MAX(1,AF1226/X1226),IF(BT1226=1,IF(AF1226&lt;=0,0,BW1226*MAX(1,IF(H1226&gt;0,AF1226/H1226,1))),IF(R1226&gt;0,AG1226/R1226,0))/MAX(0.1,N(Parameter!$M$21)))</f>
        <v>0.0769230769230769</v>
      </c>
      <c r="AI1226" s="57" t="n">
        <f aca="false">AF1226*G1226</f>
        <v>13072</v>
      </c>
      <c r="AJ1226" s="57" t="n">
        <f aca="false">ROUNDUP(MAX(J1226/IF(BZ1226&gt;0,BZ1226,MAX(0.1,N(Cockpit!$C$6))),CC1226)/BS1226,0)*BS1226</f>
        <v>44</v>
      </c>
      <c r="AK1226" s="58" t="n">
        <f aca="false">IF(AH1226&gt;0,J1226/AH1226,-1)</f>
        <v>897</v>
      </c>
      <c r="AL1226" s="58" t="n">
        <f aca="false">IF(AND(OR(BY1226="L1",BY1226="L23"),AH1226&gt;0),SUMIFS($AH$7:$AH$1843,$BY$7:$BY$1843,BY1226,$AK$7:$AK$1843,"&gt;"&amp;AK1226)+SUMIFS($AH$7:$AH$1843,$BY$7:$BY$1843,BY1226,$AK$7:$AK$1843,AK1226,$BQ$7:$BQ$1843,"&lt;="&amp;BQ1226),"")</f>
        <v>19.0264349177393</v>
      </c>
      <c r="AM1226" s="65" t="n">
        <f aca="false">IF(AL1226="",0,MAX(0,MIN(1,(IF(BY1226="L1",Parameter!$E$5,Parameter!$E$6+Parameter!$E$7)-(AL1226-AH1226))/AH1226)))</f>
        <v>1</v>
      </c>
      <c r="AN1226" s="57" t="n">
        <f aca="false">IF(LEFT(Cockpit!$I$5,1)="A",H1226,IF(CA1226=1,CB1226,IF(LEFT(Cockpit!$I$5,1)="B",AR1226,MAX(AR1226,H1226))))</f>
        <v>44</v>
      </c>
      <c r="AO1226" s="57" t="n">
        <f aca="false">IF(BT1226=1,0,ROUNDUP(AN1226/BS1226,0))</f>
        <v>4</v>
      </c>
      <c r="AP1226" s="59" t="n">
        <f aca="false">IF(CH1226&gt;0,CH1226*MAX(1,AN1226/X1226),IF(BT1226=1,IF(AN1226&lt;=0,0,BW1226*MAX(1,IF(H1226&gt;0,AN1226/H1226,1))),IF(R1226&gt;0,AO1226/R1226,0))/MAX(0.1,N(Parameter!$M$21)))</f>
        <v>0.153846153846154</v>
      </c>
      <c r="AQ1226" s="57" t="n">
        <f aca="false">AN1226*G1226</f>
        <v>30272</v>
      </c>
      <c r="AR1226" s="57" t="n">
        <f aca="false">ROUNDUP(MAX(J1226/IF(BZ1226&gt;0,BZ1226,MAX(0.1,N(Cockpit!$I$6))),CC1226)/BS1226,0)*BS1226</f>
        <v>44</v>
      </c>
      <c r="AS1226" s="58" t="n">
        <f aca="false">IF(AP1226&gt;0,J1226/AP1226,-1)</f>
        <v>448.5</v>
      </c>
      <c r="AT1226" s="58" t="n">
        <f aca="false">IF(AND(OR(BY1226="L1",BY1226="L23"),AP1226&gt;0),SUMIFS($AP$7:$AP$1843,$BY$7:$BY$1843,BY1226,$AS$7:$AS$1843,"&gt;"&amp;AS1226)+SUMIFS($AP$7:$AP$1843,$BY$7:$BY$1843,BY1226,$AS$7:$AS$1843,AS1226,$BQ$7:$BQ$1843,"&lt;="&amp;BQ1226),"")</f>
        <v>34.3706209249688</v>
      </c>
      <c r="AU1226" s="65" t="n">
        <f aca="false">IF(AT1226="",0,MAX(0,MIN(1,(IF(BY1226="L1",Parameter!$E$5,Parameter!$E$6+Parameter!$E$7)-(AT1226-AP1226))/AP1226)))</f>
        <v>1</v>
      </c>
      <c r="AV1226" s="57" t="n">
        <f aca="false">IF(LEFT(Cockpit!$O$5,1)="A",H1226,IF(CA1226=1,CB1226,IF(LEFT(Cockpit!$O$5,1)="B",AZ1226,MAX(AZ1226,H1226))))</f>
        <v>33</v>
      </c>
      <c r="AW1226" s="57" t="n">
        <f aca="false">IF(BT1226=1,0,ROUNDUP(AV1226/BS1226,0))</f>
        <v>3</v>
      </c>
      <c r="AX1226" s="59" t="n">
        <f aca="false">IF(CH1226&gt;0,CH1226*MAX(1,AV1226/X1226),IF(BT1226=1,IF(AV1226&lt;=0,0,BW1226*MAX(1,IF(H1226&gt;0,AV1226/H1226,1))),IF(R1226&gt;0,AW1226/R1226,0))/MAX(0.1,N(Parameter!$M$21)))</f>
        <v>0.115384615384615</v>
      </c>
      <c r="AY1226" s="57" t="n">
        <f aca="false">AV1226*G1226</f>
        <v>22704</v>
      </c>
      <c r="AZ1226" s="57" t="n">
        <f aca="false">ROUNDUP(MAX(J1226/IF(BZ1226&gt;0,BZ1226,MAX(0.1,N(Cockpit!$O$6))),CC1226)/BS1226,0)*BS1226</f>
        <v>33</v>
      </c>
      <c r="BA1226" s="58" t="n">
        <f aca="false">IF(AX1226&gt;0,J1226/AX1226,-1)</f>
        <v>598</v>
      </c>
      <c r="BB1226" s="58" t="n">
        <f aca="false">IF(AND(OR(BY1226="L1",BY1226="L23"),AX1226&gt;0),SUMIFS($AX$7:$AX$1843,$BY$7:$BY$1843,BY1226,$BA$7:$BA$1843,"&gt;"&amp;BA1226)+SUMIFS($AX$7:$AX$1843,$BY$7:$BY$1843,BY1226,$BA$7:$BA$1843,BA1226,$BQ$7:$BQ$1843,"&lt;="&amp;BQ1226),"")</f>
        <v>29.4250109793588</v>
      </c>
      <c r="BC1226" s="65" t="n">
        <f aca="false">IF(BB1226="",0,MAX(0,MIN(1,(IF(BY1226="L1",Parameter!$E$5,Parameter!$E$6+Parameter!$E$7)-(BB1226-AX1226))/AX1226)))</f>
        <v>1</v>
      </c>
      <c r="BD1226" s="55" t="str">
        <f aca="false">IF(AH1226&lt;=0,"",IF(BY1226="Aussen","Aussenlager",IF(BY1226="-","Nicht im Lift",IF(AM1226&gt;=1,"Lift",IF(AM1226&lt;=0,"Aussenlager","teilweise")))))</f>
        <v>Lift</v>
      </c>
      <c r="BE1226" s="55" t="str">
        <f aca="false">IF(AP1226&lt;=0,"",IF(BY1226="Aussen","Aussenlager",IF(BY1226="-","Nicht im Lift",IF(AU1226&gt;=1,"Lift",IF(AU1226&lt;=0,"Aussenlager","teilweise")))))</f>
        <v>Lift</v>
      </c>
      <c r="BF1226" s="55" t="str">
        <f aca="false">IF(AX1226&lt;=0,"",IF(BY1226="Aussen","Aussenlager",IF(BY1226="-","Nicht im Lift",IF(BC1226&gt;=1,"Lift",IF(BC1226&lt;=0,"Aussenlager","teilweise")))))</f>
        <v>Lift</v>
      </c>
      <c r="BG1226" s="55" t="str">
        <f aca="false">IF(A1226="","",IF(BP1226=1,"Neu; ","")&amp;IF(AND(BP1226=0,BK1226&lt;0),"negativer Bestand (Export "&amp;BK1226&amp;"); ","")&amp;IF(J1226&lt;=0,"Kein Verbrauch; ","")&amp;IF(CH1226&gt;0,"Lift "&amp;W1226&amp;" lt. Liftbericht (Fach "&amp;X1226&amp;" Stk); ",IF(BU1226=1,"Gebinde geschätzt ("&amp;T1226&amp;"); ",IF(BT1226=1,"Lose – Tablare geschätzt; ","")))&amp;IF(H1226&gt;AR1226,"Überbestand "&amp;ROUND(H1226-AR1226,0)&amp;" Stk / CHF "&amp;ROUND((H1226-AR1226)*G1226,0)&amp;"; ","")&amp;IF(AND(CA1226=1,CB1226&lt;CC1226),"MAX &lt; MB+LG; ","")&amp;IF(AND(CG1226&gt;0,CF1226*10&gt;CG1226),"zu hoch für Tablar; ","")&amp;IF(AND(BP1226=0,OR(CA1226=1,AA1226&lt;&gt;"",U1226&lt;&gt;"",V1226&lt;&gt;"",AB1226&lt;&gt;"")),"manuell übersteuert; ","")&amp;IF(AND(BT1226=0,R1226=0),"Gebinde unbekannt / Stellmass fehlt; ","")&amp;IF(AND(BT1226=0,N(V1226)&lt;=0,N(Q1226)&lt;=0),"Menge pro Gebinde fehlt (Ist = 1 Gebinde); ","")&amp;BO1226)</f>
        <v>negativer Bestand (Export -2); </v>
      </c>
      <c r="BH1226" s="55"/>
      <c r="BI1226" s="55"/>
      <c r="BJ1226" s="62"/>
      <c r="BK1226" s="57" t="n">
        <v>-2</v>
      </c>
      <c r="BL1226" s="57" t="n">
        <v>21</v>
      </c>
      <c r="BM1226" s="56" t="n">
        <v>-619.999999999998</v>
      </c>
      <c r="BN1226" s="57" t="n">
        <v>69</v>
      </c>
      <c r="BO1226" s="55"/>
      <c r="BP1226" s="60" t="n">
        <v>0</v>
      </c>
      <c r="BQ1226" s="60" t="n">
        <v>1226</v>
      </c>
      <c r="BR1226" s="55" t="str">
        <f aca="false">IF(U1226&lt;&gt;"",UPPER(TRIM(U1226)),IF(BU1226=1,UPPER(VLOOKUP(T1226,Parameter!$I$27:$K$29,2,0)),IF(P1226="","LOSE",P1226)))</f>
        <v>S51</v>
      </c>
      <c r="BS1226" s="57" t="n">
        <f aca="false">IF(BR1226="LOSE",1,IF(N(V1226)&gt;0,V1226,IF(BU1226=1,MAX(1,N(VLOOKUP(T1226,Parameter!$I$27:$K$29,3,0)),H1226,N(N1226)),IF(N(Q1226)&gt;0,Q1226,MAX(1,H1226)))))</f>
        <v>11</v>
      </c>
      <c r="BT1226" s="60" t="n">
        <f aca="false">IF(BR1226="LOSE",1,0)</f>
        <v>0</v>
      </c>
      <c r="BU1226" s="60" t="n">
        <f aca="false">IF(AND(U1226="",OR(P1226="",P1226="LOSE"),T1226&lt;&gt;"",N(S1226)&lt;=0,ISNUMBER(MATCH(T1226,Parameter!$I$27:$I$29,0))),1,0)</f>
        <v>0</v>
      </c>
      <c r="BV1226" s="55" t="str">
        <f aca="false">IF(AND(Parameter!$B$19="Ja",E1226&lt;&gt;"",ISNUMBER(MATCH(E1226,Parameter!$I$35:$I$52,0))),VLOOKUP(E1226,Parameter!$I$35:$J$52,2,0),IFERROR(VLOOKUP(D1226,Parameter!$A$35:$C$64,2,0),"Nein"))</f>
        <v>2+3</v>
      </c>
      <c r="BW1226" s="59" t="n">
        <f aca="false">IF(BT1226=0,0,IF(N(S1226)&gt;0,S1226,IFERROR(VLOOKUP(D1226,Parameter!$A$35:$C$64,3,0)+0,0)))</f>
        <v>0</v>
      </c>
      <c r="BX1226" s="55" t="n">
        <f aca="false">IF(AA1226&lt;&gt;"",AA1226,Z1226)</f>
        <v>3</v>
      </c>
      <c r="BY1226" s="55" t="str">
        <f aca="false">IF(BX1226=1,"L1",IF(OR(BX1226=2,BX1226=3),"L23",IF(BX1226="Aussen","Aussen","-")))</f>
        <v>L23</v>
      </c>
      <c r="BZ1226" s="66" t="n">
        <f aca="false">IF(N(AB1226)&gt;0,AB1226,0)</f>
        <v>0</v>
      </c>
      <c r="CA1226" s="60" t="n">
        <f aca="false">IF(ISNUMBER(AE1226),1,0)</f>
        <v>0</v>
      </c>
      <c r="CB1226" s="57" t="n">
        <f aca="false">N(AE1226)</f>
        <v>0</v>
      </c>
      <c r="CC1226" s="57" t="n">
        <f aca="false">N(M1226)+N(N1226)</f>
        <v>15</v>
      </c>
      <c r="CD1226" s="57" t="n">
        <f aca="false">ROUNDUP(H1226/BS1226,0)</f>
        <v>2</v>
      </c>
      <c r="CE1226" s="57" t="n">
        <f aca="false">ROUNDUP(CB1226/BS1226,0)</f>
        <v>0</v>
      </c>
      <c r="CF1226" s="60" t="n">
        <f aca="false">IF(BT1226=1,0,IFERROR(VLOOKUP(BR1226,'Gebinde-Kategorie'!$A$5:$M$45,5,0)+0,0))</f>
        <v>11</v>
      </c>
      <c r="CG1226" s="60" t="n">
        <f aca="false">IFERROR(IF(OR(BX1226=1,BX1226=2,BX1226=3),N(INDEX(Parameter!$I$5:$I$7,BX1226)),0),0)</f>
        <v>0</v>
      </c>
      <c r="CH1226" s="59" t="n">
        <f aca="false">IF(AND(Parameter!$B$21="Ja",ISNUMBER(W1226),N(X1226)&gt;0),IFERROR(N(INDEX(Parameter!$L$5:$L$7,W1226))*INDEX(Parameter!$E$5:$E$7,W1226)*X1226/SUMIFS($X$7:$X$1843,$W$7:$W$1843,W1226),0),0)</f>
        <v>0</v>
      </c>
    </row>
    <row r="1227" customFormat="false" ht="15" hidden="false" customHeight="false" outlineLevel="0" collapsed="false">
      <c r="A1227" s="55" t="s">
        <v>2197</v>
      </c>
      <c r="B1227" s="55" t="s">
        <v>2198</v>
      </c>
      <c r="C1227" s="55" t="s">
        <v>164</v>
      </c>
      <c r="D1227" s="55" t="s">
        <v>184</v>
      </c>
      <c r="E1227" s="55" t="s">
        <v>185</v>
      </c>
      <c r="F1227" s="55" t="s">
        <v>218</v>
      </c>
      <c r="G1227" s="56" t="n">
        <v>310.56</v>
      </c>
      <c r="H1227" s="57" t="n">
        <f aca="false">MAX(0,IF(AND(Parameter!$B$21="Ja",ISNUMBER(Y1227)),Y1227,IF(Parameter!$B$20="Jahresanfang 2025 + Export",BL1227+BK1227,BK1227)))</f>
        <v>8</v>
      </c>
      <c r="I1227" s="57" t="n">
        <f aca="false">H1227*G1227</f>
        <v>2484.48</v>
      </c>
      <c r="J1227" s="57" t="n">
        <f aca="false">BN1227*Parameter!$B$18</f>
        <v>1</v>
      </c>
      <c r="K1227" s="58" t="n">
        <v>9.5</v>
      </c>
      <c r="L1227" s="59" t="n">
        <v>0.105263157894737</v>
      </c>
      <c r="M1227" s="57" t="n">
        <v>0</v>
      </c>
      <c r="N1227" s="57" t="n">
        <v>1</v>
      </c>
      <c r="O1227" s="60" t="n">
        <v>35</v>
      </c>
      <c r="P1227" s="55" t="s">
        <v>233</v>
      </c>
      <c r="Q1227" s="57" t="n">
        <v>12</v>
      </c>
      <c r="R1227" s="60" t="n">
        <f aca="false">IF(BT1227=1,0,IFERROR(VLOOKUP(BR1227,'Gebinde-Kategorie'!$A$5:$M$45,13,0)+0,0))</f>
        <v>26</v>
      </c>
      <c r="S1227" s="61"/>
      <c r="T1227" s="62"/>
      <c r="U1227" s="62"/>
      <c r="V1227" s="62"/>
      <c r="W1227" s="55"/>
      <c r="X1227" s="57"/>
      <c r="Y1227" s="57"/>
      <c r="Z1227" s="55" t="n">
        <f aca="false">IF(A1227="","",IF(AND(Parameter!$B$21="Ja",ISNUMBER(W1227)),W1227,IF(BV1227="2+3",IF(ISNUMBER(SEARCH("grosser Artikel",BO1227)),2,IFERROR(VLOOKUP(BR1227,Parameter!$F$35:$G$64,2,0),2)),IF(OR(BV1227="Nein",BV1227=""),"-",BV1227))))</f>
        <v>3</v>
      </c>
      <c r="AA1227" s="62"/>
      <c r="AB1227" s="63"/>
      <c r="AC1227" s="57" t="n">
        <f aca="false">AR1227</f>
        <v>12</v>
      </c>
      <c r="AD1227" s="57" t="n">
        <f aca="false">MAX(AR1227,H1227)</f>
        <v>12</v>
      </c>
      <c r="AE1227" s="64"/>
      <c r="AF1227" s="57" t="n">
        <f aca="false">IF(LEFT(Cockpit!$C$5,1)="A",H1227,IF(CA1227=1,CB1227,IF(LEFT(Cockpit!$C$5,1)="B",AJ1227,MAX(AJ1227,H1227))))</f>
        <v>8</v>
      </c>
      <c r="AG1227" s="57" t="n">
        <f aca="false">IF(BT1227=1,0,ROUNDUP(AF1227/BS1227,0))</f>
        <v>1</v>
      </c>
      <c r="AH1227" s="59" t="n">
        <f aca="false">IF(CH1227&gt;0,CH1227*MAX(1,AF1227/X1227),IF(BT1227=1,IF(AF1227&lt;=0,0,BW1227*MAX(1,IF(H1227&gt;0,AF1227/H1227,1))),IF(R1227&gt;0,AG1227/R1227,0))/MAX(0.1,N(Parameter!$M$21)))</f>
        <v>0.0384615384615385</v>
      </c>
      <c r="AI1227" s="57" t="n">
        <f aca="false">AF1227*G1227</f>
        <v>2484.48</v>
      </c>
      <c r="AJ1227" s="57" t="n">
        <f aca="false">ROUNDUP(MAX(J1227/IF(BZ1227&gt;0,BZ1227,MAX(0.1,N(Cockpit!$C$6))),CC1227)/BS1227,0)*BS1227</f>
        <v>12</v>
      </c>
      <c r="AK1227" s="58" t="n">
        <f aca="false">IF(AH1227&gt;0,J1227/AH1227,-1)</f>
        <v>26</v>
      </c>
      <c r="AL1227" s="58" t="n">
        <f aca="false">IF(AND(OR(BY1227="L1",BY1227="L23"),AH1227&gt;0),SUMIFS($AH$7:$AH$1843,$BY$7:$BY$1843,BY1227,$AK$7:$AK$1843,"&gt;"&amp;AK1227)+SUMIFS($AH$7:$AH$1843,$BY$7:$BY$1843,BY1227,$AK$7:$AK$1843,AK1227,$BQ$7:$BQ$1843,"&lt;="&amp;BQ1227),"")</f>
        <v>48.8061298604777</v>
      </c>
      <c r="AM1227" s="65" t="n">
        <f aca="false">IF(AL1227="",0,MAX(0,MIN(1,(IF(BY1227="L1",Parameter!$E$5,Parameter!$E$6+Parameter!$E$7)-(AL1227-AH1227))/AH1227)))</f>
        <v>1</v>
      </c>
      <c r="AN1227" s="57" t="n">
        <f aca="false">IF(LEFT(Cockpit!$I$5,1)="A",H1227,IF(CA1227=1,CB1227,IF(LEFT(Cockpit!$I$5,1)="B",AR1227,MAX(AR1227,H1227))))</f>
        <v>12</v>
      </c>
      <c r="AO1227" s="57" t="n">
        <f aca="false">IF(BT1227=1,0,ROUNDUP(AN1227/BS1227,0))</f>
        <v>1</v>
      </c>
      <c r="AP1227" s="59" t="n">
        <f aca="false">IF(CH1227&gt;0,CH1227*MAX(1,AN1227/X1227),IF(BT1227=1,IF(AN1227&lt;=0,0,BW1227*MAX(1,IF(H1227&gt;0,AN1227/H1227,1))),IF(R1227&gt;0,AO1227/R1227,0))/MAX(0.1,N(Parameter!$M$21)))</f>
        <v>0.0384615384615385</v>
      </c>
      <c r="AQ1227" s="57" t="n">
        <f aca="false">AN1227*G1227</f>
        <v>3726.72</v>
      </c>
      <c r="AR1227" s="57" t="n">
        <f aca="false">ROUNDUP(MAX(J1227/IF(BZ1227&gt;0,BZ1227,MAX(0.1,N(Cockpit!$I$6))),CC1227)/BS1227,0)*BS1227</f>
        <v>12</v>
      </c>
      <c r="AS1227" s="58" t="n">
        <f aca="false">IF(AP1227&gt;0,J1227/AP1227,-1)</f>
        <v>26</v>
      </c>
      <c r="AT1227" s="58" t="n">
        <f aca="false">IF(AND(OR(BY1227="L1",BY1227="L23"),AP1227&gt;0),SUMIFS($AP$7:$AP$1843,$BY$7:$BY$1843,BY1227,$AS$7:$AS$1843,"&gt;"&amp;AS1227)+SUMIFS($AP$7:$AP$1843,$BY$7:$BY$1843,BY1227,$AS$7:$AS$1843,AS1227,$BQ$7:$BQ$1843,"&lt;="&amp;BQ1227),"")</f>
        <v>73.9802540454714</v>
      </c>
      <c r="AU1227" s="65" t="n">
        <f aca="false">IF(AT1227="",0,MAX(0,MIN(1,(IF(BY1227="L1",Parameter!$E$5,Parameter!$E$6+Parameter!$E$7)-(AT1227-AP1227))/AP1227)))</f>
        <v>1</v>
      </c>
      <c r="AV1227" s="57" t="n">
        <f aca="false">IF(LEFT(Cockpit!$O$5,1)="A",H1227,IF(CA1227=1,CB1227,IF(LEFT(Cockpit!$O$5,1)="B",AZ1227,MAX(AZ1227,H1227))))</f>
        <v>12</v>
      </c>
      <c r="AW1227" s="57" t="n">
        <f aca="false">IF(BT1227=1,0,ROUNDUP(AV1227/BS1227,0))</f>
        <v>1</v>
      </c>
      <c r="AX1227" s="59" t="n">
        <f aca="false">IF(CH1227&gt;0,CH1227*MAX(1,AV1227/X1227),IF(BT1227=1,IF(AV1227&lt;=0,0,BW1227*MAX(1,IF(H1227&gt;0,AV1227/H1227,1))),IF(R1227&gt;0,AW1227/R1227,0))/MAX(0.1,N(Parameter!$M$21)))</f>
        <v>0.0384615384615385</v>
      </c>
      <c r="AY1227" s="57" t="n">
        <f aca="false">AV1227*G1227</f>
        <v>3726.72</v>
      </c>
      <c r="AZ1227" s="57" t="n">
        <f aca="false">ROUNDUP(MAX(J1227/IF(BZ1227&gt;0,BZ1227,MAX(0.1,N(Cockpit!$O$6))),CC1227)/BS1227,0)*BS1227</f>
        <v>12</v>
      </c>
      <c r="BA1227" s="58" t="n">
        <f aca="false">IF(AX1227&gt;0,J1227/AX1227,-1)</f>
        <v>26</v>
      </c>
      <c r="BB1227" s="58" t="n">
        <f aca="false">IF(AND(OR(BY1227="L1",BY1227="L23"),AX1227&gt;0),SUMIFS($AX$7:$AX$1843,$BY$7:$BY$1843,BY1227,$BA$7:$BA$1843,"&gt;"&amp;BA1227)+SUMIFS($AX$7:$AX$1843,$BY$7:$BY$1843,BY1227,$BA$7:$BA$1843,BA1227,$BQ$7:$BQ$1843,"&lt;="&amp;BQ1227),"")</f>
        <v>69.4767575419749</v>
      </c>
      <c r="BC1227" s="65" t="n">
        <f aca="false">IF(BB1227="",0,MAX(0,MIN(1,(IF(BY1227="L1",Parameter!$E$5,Parameter!$E$6+Parameter!$E$7)-(BB1227-AX1227))/AX1227)))</f>
        <v>1</v>
      </c>
      <c r="BD1227" s="55" t="str">
        <f aca="false">IF(AH1227&lt;=0,"",IF(BY1227="Aussen","Aussenlager",IF(BY1227="-","Nicht im Lift",IF(AM1227&gt;=1,"Lift",IF(AM1227&lt;=0,"Aussenlager","teilweise")))))</f>
        <v>Lift</v>
      </c>
      <c r="BE1227" s="55" t="str">
        <f aca="false">IF(AP1227&lt;=0,"",IF(BY1227="Aussen","Aussenlager",IF(BY1227="-","Nicht im Lift",IF(AU1227&gt;=1,"Lift",IF(AU1227&lt;=0,"Aussenlager","teilweise")))))</f>
        <v>Lift</v>
      </c>
      <c r="BF1227" s="55" t="str">
        <f aca="false">IF(AX1227&lt;=0,"",IF(BY1227="Aussen","Aussenlager",IF(BY1227="-","Nicht im Lift",IF(BC1227&gt;=1,"Lift",IF(BC1227&lt;=0,"Aussenlager","teilweise")))))</f>
        <v>Lift</v>
      </c>
      <c r="BG1227" s="55" t="str">
        <f aca="false">IF(A1227="","",IF(BP1227=1,"Neu; ","")&amp;IF(AND(BP1227=0,BK1227&lt;0),"negativer Bestand (Export "&amp;BK1227&amp;"); ","")&amp;IF(J1227&lt;=0,"Kein Verbrauch; ","")&amp;IF(CH1227&gt;0,"Lift "&amp;W1227&amp;" lt. Liftbericht (Fach "&amp;X1227&amp;" Stk); ",IF(BU1227=1,"Gebinde geschätzt ("&amp;T1227&amp;"); ",IF(BT1227=1,"Lose – Tablare geschätzt; ","")))&amp;IF(H1227&gt;AR1227,"Überbestand "&amp;ROUND(H1227-AR1227,0)&amp;" Stk / CHF "&amp;ROUND((H1227-AR1227)*G1227,0)&amp;"; ","")&amp;IF(AND(CA1227=1,CB1227&lt;CC1227),"MAX &lt; MB+LG; ","")&amp;IF(AND(CG1227&gt;0,CF1227*10&gt;CG1227),"zu hoch für Tablar; ","")&amp;IF(AND(BP1227=0,OR(CA1227=1,AA1227&lt;&gt;"",U1227&lt;&gt;"",V1227&lt;&gt;"",AB1227&lt;&gt;"")),"manuell übersteuert; ","")&amp;IF(AND(BT1227=0,R1227=0),"Gebinde unbekannt / Stellmass fehlt; ","")&amp;IF(AND(BT1227=0,N(V1227)&lt;=0,N(Q1227)&lt;=0),"Menge pro Gebinde fehlt (Ist = 1 Gebinde); ","")&amp;BO1227)</f>
        <v>negativer Bestand (Export -2); </v>
      </c>
      <c r="BH1227" s="55"/>
      <c r="BI1227" s="55"/>
      <c r="BJ1227" s="62"/>
      <c r="BK1227" s="57" t="n">
        <v>-2</v>
      </c>
      <c r="BL1227" s="57" t="n">
        <v>10</v>
      </c>
      <c r="BM1227" s="56" t="n">
        <v>-621.12</v>
      </c>
      <c r="BN1227" s="57" t="n">
        <v>1</v>
      </c>
      <c r="BO1227" s="55"/>
      <c r="BP1227" s="60" t="n">
        <v>0</v>
      </c>
      <c r="BQ1227" s="60" t="n">
        <v>1227</v>
      </c>
      <c r="BR1227" s="55" t="str">
        <f aca="false">IF(U1227&lt;&gt;"",UPPER(TRIM(U1227)),IF(BU1227=1,UPPER(VLOOKUP(T1227,Parameter!$I$27:$K$29,2,0)),IF(P1227="","LOSE",P1227)))</f>
        <v>S52</v>
      </c>
      <c r="BS1227" s="57" t="n">
        <f aca="false">IF(BR1227="LOSE",1,IF(N(V1227)&gt;0,V1227,IF(BU1227=1,MAX(1,N(VLOOKUP(T1227,Parameter!$I$27:$K$29,3,0)),H1227,N(N1227)),IF(N(Q1227)&gt;0,Q1227,MAX(1,H1227)))))</f>
        <v>12</v>
      </c>
      <c r="BT1227" s="60" t="n">
        <f aca="false">IF(BR1227="LOSE",1,0)</f>
        <v>0</v>
      </c>
      <c r="BU1227" s="60" t="n">
        <f aca="false">IF(AND(U1227="",OR(P1227="",P1227="LOSE"),T1227&lt;&gt;"",N(S1227)&lt;=0,ISNUMBER(MATCH(T1227,Parameter!$I$27:$I$29,0))),1,0)</f>
        <v>0</v>
      </c>
      <c r="BV1227" s="55" t="str">
        <f aca="false">IF(AND(Parameter!$B$19="Ja",E1227&lt;&gt;"",ISNUMBER(MATCH(E1227,Parameter!$I$35:$I$52,0))),VLOOKUP(E1227,Parameter!$I$35:$J$52,2,0),IFERROR(VLOOKUP(D1227,Parameter!$A$35:$C$64,2,0),"Nein"))</f>
        <v>2+3</v>
      </c>
      <c r="BW1227" s="59" t="n">
        <f aca="false">IF(BT1227=0,0,IF(N(S1227)&gt;0,S1227,IFERROR(VLOOKUP(D1227,Parameter!$A$35:$C$64,3,0)+0,0)))</f>
        <v>0</v>
      </c>
      <c r="BX1227" s="55" t="n">
        <f aca="false">IF(AA1227&lt;&gt;"",AA1227,Z1227)</f>
        <v>3</v>
      </c>
      <c r="BY1227" s="55" t="str">
        <f aca="false">IF(BX1227=1,"L1",IF(OR(BX1227=2,BX1227=3),"L23",IF(BX1227="Aussen","Aussen","-")))</f>
        <v>L23</v>
      </c>
      <c r="BZ1227" s="66" t="n">
        <f aca="false">IF(N(AB1227)&gt;0,AB1227,0)</f>
        <v>0</v>
      </c>
      <c r="CA1227" s="60" t="n">
        <f aca="false">IF(ISNUMBER(AE1227),1,0)</f>
        <v>0</v>
      </c>
      <c r="CB1227" s="57" t="n">
        <f aca="false">N(AE1227)</f>
        <v>0</v>
      </c>
      <c r="CC1227" s="57" t="n">
        <f aca="false">N(M1227)+N(N1227)</f>
        <v>1</v>
      </c>
      <c r="CD1227" s="57" t="n">
        <f aca="false">ROUNDUP(H1227/BS1227,0)</f>
        <v>1</v>
      </c>
      <c r="CE1227" s="57" t="n">
        <f aca="false">ROUNDUP(CB1227/BS1227,0)</f>
        <v>0</v>
      </c>
      <c r="CF1227" s="60" t="n">
        <f aca="false">IF(BT1227=1,0,IFERROR(VLOOKUP(BR1227,'Gebinde-Kategorie'!$A$5:$M$45,5,0)+0,0))</f>
        <v>21</v>
      </c>
      <c r="CG1227" s="60" t="n">
        <f aca="false">IFERROR(IF(OR(BX1227=1,BX1227=2,BX1227=3),N(INDEX(Parameter!$I$5:$I$7,BX1227)),0),0)</f>
        <v>0</v>
      </c>
      <c r="CH1227" s="59" t="n">
        <f aca="false">IF(AND(Parameter!$B$21="Ja",ISNUMBER(W1227),N(X1227)&gt;0),IFERROR(N(INDEX(Parameter!$L$5:$L$7,W1227))*INDEX(Parameter!$E$5:$E$7,W1227)*X1227/SUMIFS($X$7:$X$1843,$W$7:$W$1843,W1227),0),0)</f>
        <v>0</v>
      </c>
    </row>
    <row r="1228" customFormat="false" ht="15" hidden="false" customHeight="false" outlineLevel="0" collapsed="false">
      <c r="A1228" s="55" t="s">
        <v>2199</v>
      </c>
      <c r="B1228" s="55" t="s">
        <v>505</v>
      </c>
      <c r="C1228" s="55" t="s">
        <v>164</v>
      </c>
      <c r="D1228" s="55" t="s">
        <v>184</v>
      </c>
      <c r="E1228" s="55" t="s">
        <v>185</v>
      </c>
      <c r="F1228" s="55" t="s">
        <v>218</v>
      </c>
      <c r="G1228" s="56" t="n">
        <v>24</v>
      </c>
      <c r="H1228" s="57" t="n">
        <f aca="false">MAX(0,IF(AND(Parameter!$B$21="Ja",ISNUMBER(Y1228)),Y1228,IF(Parameter!$B$20="Jahresanfang 2025 + Export",BL1228+BK1228,BK1228)))</f>
        <v>28</v>
      </c>
      <c r="I1228" s="57" t="n">
        <f aca="false">H1228*G1228</f>
        <v>672</v>
      </c>
      <c r="J1228" s="57" t="n">
        <f aca="false">BN1228*Parameter!$B$18</f>
        <v>43</v>
      </c>
      <c r="K1228" s="58" t="n">
        <v>32</v>
      </c>
      <c r="L1228" s="59" t="n">
        <v>1.34375</v>
      </c>
      <c r="M1228" s="57" t="n">
        <v>4</v>
      </c>
      <c r="N1228" s="57" t="n">
        <v>45</v>
      </c>
      <c r="O1228" s="60" t="n">
        <v>35</v>
      </c>
      <c r="P1228" s="55" t="s">
        <v>233</v>
      </c>
      <c r="Q1228" s="57" t="n">
        <v>40</v>
      </c>
      <c r="R1228" s="60" t="n">
        <f aca="false">IF(BT1228=1,0,IFERROR(VLOOKUP(BR1228,'Gebinde-Kategorie'!$A$5:$M$45,13,0)+0,0))</f>
        <v>26</v>
      </c>
      <c r="S1228" s="61"/>
      <c r="T1228" s="62"/>
      <c r="U1228" s="62"/>
      <c r="V1228" s="62"/>
      <c r="W1228" s="55"/>
      <c r="X1228" s="57"/>
      <c r="Y1228" s="57"/>
      <c r="Z1228" s="55" t="n">
        <f aca="false">IF(A1228="","",IF(AND(Parameter!$B$21="Ja",ISNUMBER(W1228)),W1228,IF(BV1228="2+3",IF(ISNUMBER(SEARCH("grosser Artikel",BO1228)),2,IFERROR(VLOOKUP(BR1228,Parameter!$F$35:$G$64,2,0),2)),IF(OR(BV1228="Nein",BV1228=""),"-",BV1228))))</f>
        <v>3</v>
      </c>
      <c r="AA1228" s="62"/>
      <c r="AB1228" s="63"/>
      <c r="AC1228" s="57" t="n">
        <f aca="false">AR1228</f>
        <v>80</v>
      </c>
      <c r="AD1228" s="57" t="n">
        <f aca="false">MAX(AR1228,H1228)</f>
        <v>80</v>
      </c>
      <c r="AE1228" s="64"/>
      <c r="AF1228" s="57" t="n">
        <f aca="false">IF(LEFT(Cockpit!$C$5,1)="A",H1228,IF(CA1228=1,CB1228,IF(LEFT(Cockpit!$C$5,1)="B",AJ1228,MAX(AJ1228,H1228))))</f>
        <v>28</v>
      </c>
      <c r="AG1228" s="57" t="n">
        <f aca="false">IF(BT1228=1,0,ROUNDUP(AF1228/BS1228,0))</f>
        <v>1</v>
      </c>
      <c r="AH1228" s="59" t="n">
        <f aca="false">IF(CH1228&gt;0,CH1228*MAX(1,AF1228/X1228),IF(BT1228=1,IF(AF1228&lt;=0,0,BW1228*MAX(1,IF(H1228&gt;0,AF1228/H1228,1))),IF(R1228&gt;0,AG1228/R1228,0))/MAX(0.1,N(Parameter!$M$21)))</f>
        <v>0.0384615384615385</v>
      </c>
      <c r="AI1228" s="57" t="n">
        <f aca="false">AF1228*G1228</f>
        <v>672</v>
      </c>
      <c r="AJ1228" s="57" t="n">
        <f aca="false">ROUNDUP(MAX(J1228/IF(BZ1228&gt;0,BZ1228,MAX(0.1,N(Cockpit!$C$6))),CC1228)/BS1228,0)*BS1228</f>
        <v>80</v>
      </c>
      <c r="AK1228" s="58" t="n">
        <f aca="false">IF(AH1228&gt;0,J1228/AH1228,-1)</f>
        <v>1118</v>
      </c>
      <c r="AL1228" s="58" t="n">
        <f aca="false">IF(AND(OR(BY1228="L1",BY1228="L23"),AH1228&gt;0),SUMIFS($AH$7:$AH$1843,$BY$7:$BY$1843,BY1228,$AK$7:$AK$1843,"&gt;"&amp;AK1228)+SUMIFS($AH$7:$AH$1843,$BY$7:$BY$1843,BY1228,$AK$7:$AK$1843,AK1228,$BQ$7:$BQ$1843,"&lt;="&amp;BQ1228),"")</f>
        <v>17.1458987872031</v>
      </c>
      <c r="AM1228" s="65" t="n">
        <f aca="false">IF(AL1228="",0,MAX(0,MIN(1,(IF(BY1228="L1",Parameter!$E$5,Parameter!$E$6+Parameter!$E$7)-(AL1228-AH1228))/AH1228)))</f>
        <v>1</v>
      </c>
      <c r="AN1228" s="57" t="n">
        <f aca="false">IF(LEFT(Cockpit!$I$5,1)="A",H1228,IF(CA1228=1,CB1228,IF(LEFT(Cockpit!$I$5,1)="B",AR1228,MAX(AR1228,H1228))))</f>
        <v>80</v>
      </c>
      <c r="AO1228" s="57" t="n">
        <f aca="false">IF(BT1228=1,0,ROUNDUP(AN1228/BS1228,0))</f>
        <v>2</v>
      </c>
      <c r="AP1228" s="59" t="n">
        <f aca="false">IF(CH1228&gt;0,CH1228*MAX(1,AN1228/X1228),IF(BT1228=1,IF(AN1228&lt;=0,0,BW1228*MAX(1,IF(H1228&gt;0,AN1228/H1228,1))),IF(R1228&gt;0,AO1228/R1228,0))/MAX(0.1,N(Parameter!$M$21)))</f>
        <v>0.0769230769230769</v>
      </c>
      <c r="AQ1228" s="57" t="n">
        <f aca="false">AN1228*G1228</f>
        <v>1920</v>
      </c>
      <c r="AR1228" s="57" t="n">
        <f aca="false">ROUNDUP(MAX(J1228/IF(BZ1228&gt;0,BZ1228,MAX(0.1,N(Cockpit!$I$6))),CC1228)/BS1228,0)*BS1228</f>
        <v>80</v>
      </c>
      <c r="AS1228" s="58" t="n">
        <f aca="false">IF(AP1228&gt;0,J1228/AP1228,-1)</f>
        <v>559</v>
      </c>
      <c r="AT1228" s="58" t="n">
        <f aca="false">IF(AND(OR(BY1228="L1",BY1228="L23"),AP1228&gt;0),SUMIFS($AP$7:$AP$1843,$BY$7:$BY$1843,BY1228,$AS$7:$AS$1843,"&gt;"&amp;AS1228)+SUMIFS($AP$7:$AP$1843,$BY$7:$BY$1843,BY1228,$AS$7:$AS$1843,AS1228,$BQ$7:$BQ$1843,"&lt;="&amp;BQ1228),"")</f>
        <v>31.4935812979291</v>
      </c>
      <c r="AU1228" s="65" t="n">
        <f aca="false">IF(AT1228="",0,MAX(0,MIN(1,(IF(BY1228="L1",Parameter!$E$5,Parameter!$E$6+Parameter!$E$7)-(AT1228-AP1228))/AP1228)))</f>
        <v>1</v>
      </c>
      <c r="AV1228" s="57" t="n">
        <f aca="false">IF(LEFT(Cockpit!$O$5,1)="A",H1228,IF(CA1228=1,CB1228,IF(LEFT(Cockpit!$O$5,1)="B",AZ1228,MAX(AZ1228,H1228))))</f>
        <v>80</v>
      </c>
      <c r="AW1228" s="57" t="n">
        <f aca="false">IF(BT1228=1,0,ROUNDUP(AV1228/BS1228,0))</f>
        <v>2</v>
      </c>
      <c r="AX1228" s="59" t="n">
        <f aca="false">IF(CH1228&gt;0,CH1228*MAX(1,AV1228/X1228),IF(BT1228=1,IF(AV1228&lt;=0,0,BW1228*MAX(1,IF(H1228&gt;0,AV1228/H1228,1))),IF(R1228&gt;0,AW1228/R1228,0))/MAX(0.1,N(Parameter!$M$21)))</f>
        <v>0.0769230769230769</v>
      </c>
      <c r="AY1228" s="57" t="n">
        <f aca="false">AV1228*G1228</f>
        <v>1920</v>
      </c>
      <c r="AZ1228" s="57" t="n">
        <f aca="false">ROUNDUP(MAX(J1228/IF(BZ1228&gt;0,BZ1228,MAX(0.1,N(Cockpit!$O$6))),CC1228)/BS1228,0)*BS1228</f>
        <v>80</v>
      </c>
      <c r="BA1228" s="58" t="n">
        <f aca="false">IF(AX1228&gt;0,J1228/AX1228,-1)</f>
        <v>559</v>
      </c>
      <c r="BB1228" s="58" t="n">
        <f aca="false">IF(AND(OR(BY1228="L1",BY1228="L23"),AX1228&gt;0),SUMIFS($AX$7:$AX$1843,$BY$7:$BY$1843,BY1228,$BA$7:$BA$1843,"&gt;"&amp;BA1228)+SUMIFS($AX$7:$AX$1843,$BY$7:$BY$1843,BY1228,$BA$7:$BA$1843,BA1228,$BQ$7:$BQ$1843,"&lt;="&amp;BQ1228),"")</f>
        <v>29.8939309482788</v>
      </c>
      <c r="BC1228" s="65" t="n">
        <f aca="false">IF(BB1228="",0,MAX(0,MIN(1,(IF(BY1228="L1",Parameter!$E$5,Parameter!$E$6+Parameter!$E$7)-(BB1228-AX1228))/AX1228)))</f>
        <v>1</v>
      </c>
      <c r="BD1228" s="55" t="str">
        <f aca="false">IF(AH1228&lt;=0,"",IF(BY1228="Aussen","Aussenlager",IF(BY1228="-","Nicht im Lift",IF(AM1228&gt;=1,"Lift",IF(AM1228&lt;=0,"Aussenlager","teilweise")))))</f>
        <v>Lift</v>
      </c>
      <c r="BE1228" s="55" t="str">
        <f aca="false">IF(AP1228&lt;=0,"",IF(BY1228="Aussen","Aussenlager",IF(BY1228="-","Nicht im Lift",IF(AU1228&gt;=1,"Lift",IF(AU1228&lt;=0,"Aussenlager","teilweise")))))</f>
        <v>Lift</v>
      </c>
      <c r="BF1228" s="55" t="str">
        <f aca="false">IF(AX1228&lt;=0,"",IF(BY1228="Aussen","Aussenlager",IF(BY1228="-","Nicht im Lift",IF(BC1228&gt;=1,"Lift",IF(BC1228&lt;=0,"Aussenlager","teilweise")))))</f>
        <v>Lift</v>
      </c>
      <c r="BG1228" s="55" t="str">
        <f aca="false">IF(A1228="","",IF(BP1228=1,"Neu; ","")&amp;IF(AND(BP1228=0,BK1228&lt;0),"negativer Bestand (Export "&amp;BK1228&amp;"); ","")&amp;IF(J1228&lt;=0,"Kein Verbrauch; ","")&amp;IF(CH1228&gt;0,"Lift "&amp;W1228&amp;" lt. Liftbericht (Fach "&amp;X1228&amp;" Stk); ",IF(BU1228=1,"Gebinde geschätzt ("&amp;T1228&amp;"); ",IF(BT1228=1,"Lose – Tablare geschätzt; ","")))&amp;IF(H1228&gt;AR1228,"Überbestand "&amp;ROUND(H1228-AR1228,0)&amp;" Stk / CHF "&amp;ROUND((H1228-AR1228)*G1228,0)&amp;"; ","")&amp;IF(AND(CA1228=1,CB1228&lt;CC1228),"MAX &lt; MB+LG; ","")&amp;IF(AND(CG1228&gt;0,CF1228*10&gt;CG1228),"zu hoch für Tablar; ","")&amp;IF(AND(BP1228=0,OR(CA1228=1,AA1228&lt;&gt;"",U1228&lt;&gt;"",V1228&lt;&gt;"",AB1228&lt;&gt;"")),"manuell übersteuert; ","")&amp;IF(AND(BT1228=0,R1228=0),"Gebinde unbekannt / Stellmass fehlt; ","")&amp;IF(AND(BT1228=0,N(V1228)&lt;=0,N(Q1228)&lt;=0),"Menge pro Gebinde fehlt (Ist = 1 Gebinde); ","")&amp;BO1228)</f>
        <v>negativer Bestand (Export -26); </v>
      </c>
      <c r="BH1228" s="55"/>
      <c r="BI1228" s="55"/>
      <c r="BJ1228" s="62"/>
      <c r="BK1228" s="57" t="n">
        <v>-26</v>
      </c>
      <c r="BL1228" s="57" t="n">
        <v>54</v>
      </c>
      <c r="BM1228" s="56" t="n">
        <v>-623.46</v>
      </c>
      <c r="BN1228" s="57" t="n">
        <v>43</v>
      </c>
      <c r="BO1228" s="55"/>
      <c r="BP1228" s="60" t="n">
        <v>0</v>
      </c>
      <c r="BQ1228" s="60" t="n">
        <v>1228</v>
      </c>
      <c r="BR1228" s="55" t="str">
        <f aca="false">IF(U1228&lt;&gt;"",UPPER(TRIM(U1228)),IF(BU1228=1,UPPER(VLOOKUP(T1228,Parameter!$I$27:$K$29,2,0)),IF(P1228="","LOSE",P1228)))</f>
        <v>S52</v>
      </c>
      <c r="BS1228" s="57" t="n">
        <f aca="false">IF(BR1228="LOSE",1,IF(N(V1228)&gt;0,V1228,IF(BU1228=1,MAX(1,N(VLOOKUP(T1228,Parameter!$I$27:$K$29,3,0)),H1228,N(N1228)),IF(N(Q1228)&gt;0,Q1228,MAX(1,H1228)))))</f>
        <v>40</v>
      </c>
      <c r="BT1228" s="60" t="n">
        <f aca="false">IF(BR1228="LOSE",1,0)</f>
        <v>0</v>
      </c>
      <c r="BU1228" s="60" t="n">
        <f aca="false">IF(AND(U1228="",OR(P1228="",P1228="LOSE"),T1228&lt;&gt;"",N(S1228)&lt;=0,ISNUMBER(MATCH(T1228,Parameter!$I$27:$I$29,0))),1,0)</f>
        <v>0</v>
      </c>
      <c r="BV1228" s="55" t="str">
        <f aca="false">IF(AND(Parameter!$B$19="Ja",E1228&lt;&gt;"",ISNUMBER(MATCH(E1228,Parameter!$I$35:$I$52,0))),VLOOKUP(E1228,Parameter!$I$35:$J$52,2,0),IFERROR(VLOOKUP(D1228,Parameter!$A$35:$C$64,2,0),"Nein"))</f>
        <v>2+3</v>
      </c>
      <c r="BW1228" s="59" t="n">
        <f aca="false">IF(BT1228=0,0,IF(N(S1228)&gt;0,S1228,IFERROR(VLOOKUP(D1228,Parameter!$A$35:$C$64,3,0)+0,0)))</f>
        <v>0</v>
      </c>
      <c r="BX1228" s="55" t="n">
        <f aca="false">IF(AA1228&lt;&gt;"",AA1228,Z1228)</f>
        <v>3</v>
      </c>
      <c r="BY1228" s="55" t="str">
        <f aca="false">IF(BX1228=1,"L1",IF(OR(BX1228=2,BX1228=3),"L23",IF(BX1228="Aussen","Aussen","-")))</f>
        <v>L23</v>
      </c>
      <c r="BZ1228" s="66" t="n">
        <f aca="false">IF(N(AB1228)&gt;0,AB1228,0)</f>
        <v>0</v>
      </c>
      <c r="CA1228" s="60" t="n">
        <f aca="false">IF(ISNUMBER(AE1228),1,0)</f>
        <v>0</v>
      </c>
      <c r="CB1228" s="57" t="n">
        <f aca="false">N(AE1228)</f>
        <v>0</v>
      </c>
      <c r="CC1228" s="57" t="n">
        <f aca="false">N(M1228)+N(N1228)</f>
        <v>49</v>
      </c>
      <c r="CD1228" s="57" t="n">
        <f aca="false">ROUNDUP(H1228/BS1228,0)</f>
        <v>1</v>
      </c>
      <c r="CE1228" s="57" t="n">
        <f aca="false">ROUNDUP(CB1228/BS1228,0)</f>
        <v>0</v>
      </c>
      <c r="CF1228" s="60" t="n">
        <f aca="false">IF(BT1228=1,0,IFERROR(VLOOKUP(BR1228,'Gebinde-Kategorie'!$A$5:$M$45,5,0)+0,0))</f>
        <v>21</v>
      </c>
      <c r="CG1228" s="60" t="n">
        <f aca="false">IFERROR(IF(OR(BX1228=1,BX1228=2,BX1228=3),N(INDEX(Parameter!$I$5:$I$7,BX1228)),0),0)</f>
        <v>0</v>
      </c>
      <c r="CH1228" s="59" t="n">
        <f aca="false">IF(AND(Parameter!$B$21="Ja",ISNUMBER(W1228),N(X1228)&gt;0),IFERROR(N(INDEX(Parameter!$L$5:$L$7,W1228))*INDEX(Parameter!$E$5:$E$7,W1228)*X1228/SUMIFS($X$7:$X$1843,$W$7:$W$1843,W1228),0),0)</f>
        <v>0</v>
      </c>
    </row>
    <row r="1229" customFormat="false" ht="15" hidden="false" customHeight="false" outlineLevel="0" collapsed="false">
      <c r="A1229" s="55" t="s">
        <v>2200</v>
      </c>
      <c r="B1229" s="55" t="s">
        <v>2201</v>
      </c>
      <c r="C1229" s="55" t="s">
        <v>456</v>
      </c>
      <c r="D1229" s="55" t="s">
        <v>173</v>
      </c>
      <c r="E1229" s="55" t="s">
        <v>1479</v>
      </c>
      <c r="F1229" s="55" t="s">
        <v>218</v>
      </c>
      <c r="G1229" s="56" t="n">
        <v>160.38</v>
      </c>
      <c r="H1229" s="57" t="n">
        <f aca="false">MAX(0,IF(AND(Parameter!$B$21="Ja",ISNUMBER(Y1229)),Y1229,IF(Parameter!$B$20="Jahresanfang 2025 + Export",BL1229+BK1229,BK1229)))</f>
        <v>0</v>
      </c>
      <c r="I1229" s="57" t="n">
        <f aca="false">H1229*G1229</f>
        <v>0</v>
      </c>
      <c r="J1229" s="57" t="n">
        <f aca="false">BN1229*Parameter!$B$18</f>
        <v>0</v>
      </c>
      <c r="K1229" s="58" t="n">
        <v>2</v>
      </c>
      <c r="L1229" s="59" t="n">
        <v>0</v>
      </c>
      <c r="M1229" s="57" t="n">
        <v>0</v>
      </c>
      <c r="N1229" s="57" t="n">
        <v>1</v>
      </c>
      <c r="O1229" s="60" t="n">
        <v>56</v>
      </c>
      <c r="P1229" s="55" t="s">
        <v>168</v>
      </c>
      <c r="Q1229" s="57"/>
      <c r="R1229" s="60" t="n">
        <f aca="false">IF(BT1229=1,0,IFERROR(VLOOKUP(BR1229,'Gebinde-Kategorie'!$A$5:$M$45,13,0)+0,0))</f>
        <v>3</v>
      </c>
      <c r="S1229" s="61"/>
      <c r="T1229" s="62" t="s">
        <v>189</v>
      </c>
      <c r="U1229" s="62"/>
      <c r="V1229" s="62"/>
      <c r="W1229" s="55"/>
      <c r="X1229" s="57"/>
      <c r="Y1229" s="57"/>
      <c r="Z1229" s="55" t="str">
        <f aca="false">IF(A1229="","",IF(AND(Parameter!$B$21="Ja",ISNUMBER(W1229)),W1229,IF(BV1229="2+3",IF(ISNUMBER(SEARCH("grosser Artikel",BO1229)),2,IFERROR(VLOOKUP(BR1229,Parameter!$F$35:$G$64,2,0),2)),IF(OR(BV1229="Nein",BV1229=""),"-",BV1229))))</f>
        <v>-</v>
      </c>
      <c r="AA1229" s="62"/>
      <c r="AB1229" s="63"/>
      <c r="AC1229" s="57" t="n">
        <f aca="false">AR1229</f>
        <v>2</v>
      </c>
      <c r="AD1229" s="57" t="n">
        <f aca="false">MAX(AR1229,H1229)</f>
        <v>2</v>
      </c>
      <c r="AE1229" s="64"/>
      <c r="AF1229" s="57" t="n">
        <f aca="false">IF(LEFT(Cockpit!$C$5,1)="A",H1229,IF(CA1229=1,CB1229,IF(LEFT(Cockpit!$C$5,1)="B",AJ1229,MAX(AJ1229,H1229))))</f>
        <v>0</v>
      </c>
      <c r="AG1229" s="57" t="n">
        <f aca="false">IF(BT1229=1,0,ROUNDUP(AF1229/BS1229,0))</f>
        <v>0</v>
      </c>
      <c r="AH1229" s="59" t="n">
        <f aca="false">IF(CH1229&gt;0,CH1229*MAX(1,AF1229/X1229),IF(BT1229=1,IF(AF1229&lt;=0,0,BW1229*MAX(1,IF(H1229&gt;0,AF1229/H1229,1))),IF(R1229&gt;0,AG1229/R1229,0))/MAX(0.1,N(Parameter!$M$21)))</f>
        <v>0</v>
      </c>
      <c r="AI1229" s="57" t="n">
        <f aca="false">AF1229*G1229</f>
        <v>0</v>
      </c>
      <c r="AJ1229" s="57" t="n">
        <f aca="false">ROUNDUP(MAX(J1229/IF(BZ1229&gt;0,BZ1229,MAX(0.1,N(Cockpit!$C$6))),CC1229)/BS1229,0)*BS1229</f>
        <v>2</v>
      </c>
      <c r="AK1229" s="58" t="n">
        <f aca="false">IF(AH1229&gt;0,J1229/AH1229,-1)</f>
        <v>-1</v>
      </c>
      <c r="AL1229" s="58" t="str">
        <f aca="false">IF(AND(OR(BY1229="L1",BY1229="L23"),AH1229&gt;0),SUMIFS($AH$7:$AH$1843,$BY$7:$BY$1843,BY1229,$AK$7:$AK$1843,"&gt;"&amp;AK1229)+SUMIFS($AH$7:$AH$1843,$BY$7:$BY$1843,BY1229,$AK$7:$AK$1843,AK1229,$BQ$7:$BQ$1843,"&lt;="&amp;BQ1229),"")</f>
        <v/>
      </c>
      <c r="AM1229" s="65" t="n">
        <f aca="false">IF(AL1229="",0,MAX(0,MIN(1,(IF(BY1229="L1",Parameter!$E$5,Parameter!$E$6+Parameter!$E$7)-(AL1229-AH1229))/AH1229)))</f>
        <v>0</v>
      </c>
      <c r="AN1229" s="57" t="n">
        <f aca="false">IF(LEFT(Cockpit!$I$5,1)="A",H1229,IF(CA1229=1,CB1229,IF(LEFT(Cockpit!$I$5,1)="B",AR1229,MAX(AR1229,H1229))))</f>
        <v>2</v>
      </c>
      <c r="AO1229" s="57" t="n">
        <f aca="false">IF(BT1229=1,0,ROUNDUP(AN1229/BS1229,0))</f>
        <v>1</v>
      </c>
      <c r="AP1229" s="59" t="n">
        <f aca="false">IF(CH1229&gt;0,CH1229*MAX(1,AN1229/X1229),IF(BT1229=1,IF(AN1229&lt;=0,0,BW1229*MAX(1,IF(H1229&gt;0,AN1229/H1229,1))),IF(R1229&gt;0,AO1229/R1229,0))/MAX(0.1,N(Parameter!$M$21)))</f>
        <v>0.333333333333333</v>
      </c>
      <c r="AQ1229" s="57" t="n">
        <f aca="false">AN1229*G1229</f>
        <v>320.76</v>
      </c>
      <c r="AR1229" s="57" t="n">
        <f aca="false">ROUNDUP(MAX(J1229/IF(BZ1229&gt;0,BZ1229,MAX(0.1,N(Cockpit!$I$6))),CC1229)/BS1229,0)*BS1229</f>
        <v>2</v>
      </c>
      <c r="AS1229" s="58" t="n">
        <f aca="false">IF(AP1229&gt;0,J1229/AP1229,-1)</f>
        <v>0</v>
      </c>
      <c r="AT1229" s="58" t="str">
        <f aca="false">IF(AND(OR(BY1229="L1",BY1229="L23"),AP1229&gt;0),SUMIFS($AP$7:$AP$1843,$BY$7:$BY$1843,BY1229,$AS$7:$AS$1843,"&gt;"&amp;AS1229)+SUMIFS($AP$7:$AP$1843,$BY$7:$BY$1843,BY1229,$AS$7:$AS$1843,AS1229,$BQ$7:$BQ$1843,"&lt;="&amp;BQ1229),"")</f>
        <v/>
      </c>
      <c r="AU1229" s="65" t="n">
        <f aca="false">IF(AT1229="",0,MAX(0,MIN(1,(IF(BY1229="L1",Parameter!$E$5,Parameter!$E$6+Parameter!$E$7)-(AT1229-AP1229))/AP1229)))</f>
        <v>0</v>
      </c>
      <c r="AV1229" s="57" t="n">
        <f aca="false">IF(LEFT(Cockpit!$O$5,1)="A",H1229,IF(CA1229=1,CB1229,IF(LEFT(Cockpit!$O$5,1)="B",AZ1229,MAX(AZ1229,H1229))))</f>
        <v>2</v>
      </c>
      <c r="AW1229" s="57" t="n">
        <f aca="false">IF(BT1229=1,0,ROUNDUP(AV1229/BS1229,0))</f>
        <v>1</v>
      </c>
      <c r="AX1229" s="59" t="n">
        <f aca="false">IF(CH1229&gt;0,CH1229*MAX(1,AV1229/X1229),IF(BT1229=1,IF(AV1229&lt;=0,0,BW1229*MAX(1,IF(H1229&gt;0,AV1229/H1229,1))),IF(R1229&gt;0,AW1229/R1229,0))/MAX(0.1,N(Parameter!$M$21)))</f>
        <v>0.333333333333333</v>
      </c>
      <c r="AY1229" s="57" t="n">
        <f aca="false">AV1229*G1229</f>
        <v>320.76</v>
      </c>
      <c r="AZ1229" s="57" t="n">
        <f aca="false">ROUNDUP(MAX(J1229/IF(BZ1229&gt;0,BZ1229,MAX(0.1,N(Cockpit!$O$6))),CC1229)/BS1229,0)*BS1229</f>
        <v>2</v>
      </c>
      <c r="BA1229" s="58" t="n">
        <f aca="false">IF(AX1229&gt;0,J1229/AX1229,-1)</f>
        <v>0</v>
      </c>
      <c r="BB1229" s="58" t="str">
        <f aca="false">IF(AND(OR(BY1229="L1",BY1229="L23"),AX1229&gt;0),SUMIFS($AX$7:$AX$1843,$BY$7:$BY$1843,BY1229,$BA$7:$BA$1843,"&gt;"&amp;BA1229)+SUMIFS($AX$7:$AX$1843,$BY$7:$BY$1843,BY1229,$BA$7:$BA$1843,BA1229,$BQ$7:$BQ$1843,"&lt;="&amp;BQ1229),"")</f>
        <v/>
      </c>
      <c r="BC1229" s="65" t="n">
        <f aca="false">IF(BB1229="",0,MAX(0,MIN(1,(IF(BY1229="L1",Parameter!$E$5,Parameter!$E$6+Parameter!$E$7)-(BB1229-AX1229))/AX1229)))</f>
        <v>0</v>
      </c>
      <c r="BD1229" s="55" t="str">
        <f aca="false">IF(AH1229&lt;=0,"",IF(BY1229="Aussen","Aussenlager",IF(BY1229="-","Nicht im Lift",IF(AM1229&gt;=1,"Lift",IF(AM1229&lt;=0,"Aussenlager","teilweise")))))</f>
        <v/>
      </c>
      <c r="BE1229" s="55" t="str">
        <f aca="false">IF(AP1229&lt;=0,"",IF(BY1229="Aussen","Aussenlager",IF(BY1229="-","Nicht im Lift",IF(AU1229&gt;=1,"Lift",IF(AU1229&lt;=0,"Aussenlager","teilweise")))))</f>
        <v>Nicht im Lift</v>
      </c>
      <c r="BF1229" s="55" t="str">
        <f aca="false">IF(AX1229&lt;=0,"",IF(BY1229="Aussen","Aussenlager",IF(BY1229="-","Nicht im Lift",IF(BC1229&gt;=1,"Lift",IF(BC1229&lt;=0,"Aussenlager","teilweise")))))</f>
        <v>Nicht im Lift</v>
      </c>
      <c r="BG1229" s="55" t="str">
        <f aca="false">IF(A1229="","",IF(BP1229=1,"Neu; ","")&amp;IF(AND(BP1229=0,BK1229&lt;0),"negativer Bestand (Export "&amp;BK1229&amp;"); ","")&amp;IF(J1229&lt;=0,"Kein Verbrauch; ","")&amp;IF(CH1229&gt;0,"Lift "&amp;W1229&amp;" lt. Liftbericht (Fach "&amp;X1229&amp;" Stk); ",IF(BU1229=1,"Gebinde geschätzt ("&amp;T1229&amp;"); ",IF(BT1229=1,"Lose – Tablare geschätzt; ","")))&amp;IF(H1229&gt;AR1229,"Überbestand "&amp;ROUND(H1229-AR1229,0)&amp;" Stk / CHF "&amp;ROUND((H1229-AR1229)*G1229,0)&amp;"; ","")&amp;IF(AND(CA1229=1,CB1229&lt;CC1229),"MAX &lt; MB+LG; ","")&amp;IF(AND(CG1229&gt;0,CF1229*10&gt;CG1229),"zu hoch für Tablar; ","")&amp;IF(AND(BP1229=0,OR(CA1229=1,AA1229&lt;&gt;"",U1229&lt;&gt;"",V1229&lt;&gt;"",AB1229&lt;&gt;"")),"manuell übersteuert; ","")&amp;IF(AND(BT1229=0,R1229=0),"Gebinde unbekannt / Stellmass fehlt; ","")&amp;IF(AND(BT1229=0,N(V1229)&lt;=0,N(Q1229)&lt;=0),"Menge pro Gebinde fehlt (Ist = 1 Gebinde); ","")&amp;BO1229)</f>
        <v>negativer Bestand (Export -4); Kein Verbrauch; Gebinde geschätzt (Gross); Menge pro Gebinde fehlt (Ist = 1 Gebinde); </v>
      </c>
      <c r="BH1229" s="55"/>
      <c r="BI1229" s="55"/>
      <c r="BJ1229" s="62"/>
      <c r="BK1229" s="57" t="n">
        <v>-4</v>
      </c>
      <c r="BL1229" s="57" t="n">
        <v>4</v>
      </c>
      <c r="BM1229" s="56" t="n">
        <v>-641.52</v>
      </c>
      <c r="BN1229" s="57" t="n">
        <v>0</v>
      </c>
      <c r="BO1229" s="55"/>
      <c r="BP1229" s="60" t="n">
        <v>0</v>
      </c>
      <c r="BQ1229" s="60" t="n">
        <v>1229</v>
      </c>
      <c r="BR1229" s="55" t="str">
        <f aca="false">IF(U1229&lt;&gt;"",UPPER(TRIM(U1229)),IF(BU1229=1,UPPER(VLOOKUP(T1229,Parameter!$I$27:$K$29,2,0)),IF(P1229="","LOSE",P1229)))</f>
        <v>S81</v>
      </c>
      <c r="BS1229" s="57" t="n">
        <f aca="false">IF(BR1229="LOSE",1,IF(N(V1229)&gt;0,V1229,IF(BU1229=1,MAX(1,N(VLOOKUP(T1229,Parameter!$I$27:$K$29,3,0)),H1229,N(N1229)),IF(N(Q1229)&gt;0,Q1229,MAX(1,H1229)))))</f>
        <v>2</v>
      </c>
      <c r="BT1229" s="60" t="n">
        <f aca="false">IF(BR1229="LOSE",1,0)</f>
        <v>0</v>
      </c>
      <c r="BU1229" s="60" t="n">
        <f aca="false">IF(AND(U1229="",OR(P1229="",P1229="LOSE"),T1229&lt;&gt;"",N(S1229)&lt;=0,ISNUMBER(MATCH(T1229,Parameter!$I$27:$I$29,0))),1,0)</f>
        <v>1</v>
      </c>
      <c r="BV1229" s="55" t="str">
        <f aca="false">IF(AND(Parameter!$B$19="Ja",E1229&lt;&gt;"",ISNUMBER(MATCH(E1229,Parameter!$I$35:$I$52,0))),VLOOKUP(E1229,Parameter!$I$35:$J$52,2,0),IFERROR(VLOOKUP(D1229,Parameter!$A$35:$C$64,2,0),"Nein"))</f>
        <v>Nein</v>
      </c>
      <c r="BW1229" s="59" t="n">
        <f aca="false">IF(BT1229=0,0,IF(N(S1229)&gt;0,S1229,IFERROR(VLOOKUP(D1229,Parameter!$A$35:$C$64,3,0)+0,0)))</f>
        <v>0</v>
      </c>
      <c r="BX1229" s="55" t="str">
        <f aca="false">IF(AA1229&lt;&gt;"",AA1229,Z1229)</f>
        <v>-</v>
      </c>
      <c r="BY1229" s="55" t="str">
        <f aca="false">IF(BX1229=1,"L1",IF(OR(BX1229=2,BX1229=3),"L23",IF(BX1229="Aussen","Aussen","-")))</f>
        <v>-</v>
      </c>
      <c r="BZ1229" s="66" t="n">
        <f aca="false">IF(N(AB1229)&gt;0,AB1229,0)</f>
        <v>0</v>
      </c>
      <c r="CA1229" s="60" t="n">
        <f aca="false">IF(ISNUMBER(AE1229),1,0)</f>
        <v>0</v>
      </c>
      <c r="CB1229" s="57" t="n">
        <f aca="false">N(AE1229)</f>
        <v>0</v>
      </c>
      <c r="CC1229" s="57" t="n">
        <f aca="false">N(M1229)+N(N1229)</f>
        <v>1</v>
      </c>
      <c r="CD1229" s="57" t="n">
        <f aca="false">ROUNDUP(H1229/BS1229,0)</f>
        <v>0</v>
      </c>
      <c r="CE1229" s="57" t="n">
        <f aca="false">ROUNDUP(CB1229/BS1229,0)</f>
        <v>0</v>
      </c>
      <c r="CF1229" s="60" t="n">
        <f aca="false">IF(BT1229=1,0,IFERROR(VLOOKUP(BR1229,'Gebinde-Kategorie'!$A$5:$M$45,5,0)+0,0))</f>
        <v>20</v>
      </c>
      <c r="CG1229" s="60" t="n">
        <f aca="false">IFERROR(IF(OR(BX1229=1,BX1229=2,BX1229=3),N(INDEX(Parameter!$I$5:$I$7,BX1229)),0),0)</f>
        <v>0</v>
      </c>
      <c r="CH1229" s="59" t="n">
        <f aca="false">IF(AND(Parameter!$B$21="Ja",ISNUMBER(W1229),N(X1229)&gt;0),IFERROR(N(INDEX(Parameter!$L$5:$L$7,W1229))*INDEX(Parameter!$E$5:$E$7,W1229)*X1229/SUMIFS($X$7:$X$1843,$W$7:$W$1843,W1229),0),0)</f>
        <v>0</v>
      </c>
    </row>
    <row r="1230" customFormat="false" ht="15" hidden="false" customHeight="false" outlineLevel="0" collapsed="false">
      <c r="A1230" s="55" t="s">
        <v>2202</v>
      </c>
      <c r="B1230" s="55" t="s">
        <v>2203</v>
      </c>
      <c r="C1230" s="55" t="s">
        <v>456</v>
      </c>
      <c r="D1230" s="55" t="s">
        <v>173</v>
      </c>
      <c r="E1230" s="55" t="s">
        <v>1479</v>
      </c>
      <c r="F1230" s="55" t="s">
        <v>218</v>
      </c>
      <c r="G1230" s="56" t="n">
        <v>160.8</v>
      </c>
      <c r="H1230" s="57" t="n">
        <f aca="false">MAX(0,IF(AND(Parameter!$B$21="Ja",ISNUMBER(Y1230)),Y1230,IF(Parameter!$B$20="Jahresanfang 2025 + Export",BL1230+BK1230,BK1230)))</f>
        <v>0</v>
      </c>
      <c r="I1230" s="57" t="n">
        <f aca="false">H1230*G1230</f>
        <v>0</v>
      </c>
      <c r="J1230" s="57" t="n">
        <f aca="false">BN1230*Parameter!$B$18</f>
        <v>0</v>
      </c>
      <c r="K1230" s="58" t="n">
        <v>2</v>
      </c>
      <c r="L1230" s="59" t="n">
        <v>0</v>
      </c>
      <c r="M1230" s="57" t="n">
        <v>0</v>
      </c>
      <c r="N1230" s="57" t="n">
        <v>1</v>
      </c>
      <c r="O1230" s="60" t="n">
        <v>56</v>
      </c>
      <c r="P1230" s="55" t="s">
        <v>168</v>
      </c>
      <c r="Q1230" s="57"/>
      <c r="R1230" s="60" t="n">
        <f aca="false">IF(BT1230=1,0,IFERROR(VLOOKUP(BR1230,'Gebinde-Kategorie'!$A$5:$M$45,13,0)+0,0))</f>
        <v>3</v>
      </c>
      <c r="S1230" s="61"/>
      <c r="T1230" s="62" t="s">
        <v>189</v>
      </c>
      <c r="U1230" s="62"/>
      <c r="V1230" s="62"/>
      <c r="W1230" s="55"/>
      <c r="X1230" s="57"/>
      <c r="Y1230" s="57"/>
      <c r="Z1230" s="55" t="str">
        <f aca="false">IF(A1230="","",IF(AND(Parameter!$B$21="Ja",ISNUMBER(W1230)),W1230,IF(BV1230="2+3",IF(ISNUMBER(SEARCH("grosser Artikel",BO1230)),2,IFERROR(VLOOKUP(BR1230,Parameter!$F$35:$G$64,2,0),2)),IF(OR(BV1230="Nein",BV1230=""),"-",BV1230))))</f>
        <v>-</v>
      </c>
      <c r="AA1230" s="62"/>
      <c r="AB1230" s="63"/>
      <c r="AC1230" s="57" t="n">
        <f aca="false">AR1230</f>
        <v>2</v>
      </c>
      <c r="AD1230" s="57" t="n">
        <f aca="false">MAX(AR1230,H1230)</f>
        <v>2</v>
      </c>
      <c r="AE1230" s="64"/>
      <c r="AF1230" s="57" t="n">
        <f aca="false">IF(LEFT(Cockpit!$C$5,1)="A",H1230,IF(CA1230=1,CB1230,IF(LEFT(Cockpit!$C$5,1)="B",AJ1230,MAX(AJ1230,H1230))))</f>
        <v>0</v>
      </c>
      <c r="AG1230" s="57" t="n">
        <f aca="false">IF(BT1230=1,0,ROUNDUP(AF1230/BS1230,0))</f>
        <v>0</v>
      </c>
      <c r="AH1230" s="59" t="n">
        <f aca="false">IF(CH1230&gt;0,CH1230*MAX(1,AF1230/X1230),IF(BT1230=1,IF(AF1230&lt;=0,0,BW1230*MAX(1,IF(H1230&gt;0,AF1230/H1230,1))),IF(R1230&gt;0,AG1230/R1230,0))/MAX(0.1,N(Parameter!$M$21)))</f>
        <v>0</v>
      </c>
      <c r="AI1230" s="57" t="n">
        <f aca="false">AF1230*G1230</f>
        <v>0</v>
      </c>
      <c r="AJ1230" s="57" t="n">
        <f aca="false">ROUNDUP(MAX(J1230/IF(BZ1230&gt;0,BZ1230,MAX(0.1,N(Cockpit!$C$6))),CC1230)/BS1230,0)*BS1230</f>
        <v>2</v>
      </c>
      <c r="AK1230" s="58" t="n">
        <f aca="false">IF(AH1230&gt;0,J1230/AH1230,-1)</f>
        <v>-1</v>
      </c>
      <c r="AL1230" s="58" t="str">
        <f aca="false">IF(AND(OR(BY1230="L1",BY1230="L23"),AH1230&gt;0),SUMIFS($AH$7:$AH$1843,$BY$7:$BY$1843,BY1230,$AK$7:$AK$1843,"&gt;"&amp;AK1230)+SUMIFS($AH$7:$AH$1843,$BY$7:$BY$1843,BY1230,$AK$7:$AK$1843,AK1230,$BQ$7:$BQ$1843,"&lt;="&amp;BQ1230),"")</f>
        <v/>
      </c>
      <c r="AM1230" s="65" t="n">
        <f aca="false">IF(AL1230="",0,MAX(0,MIN(1,(IF(BY1230="L1",Parameter!$E$5,Parameter!$E$6+Parameter!$E$7)-(AL1230-AH1230))/AH1230)))</f>
        <v>0</v>
      </c>
      <c r="AN1230" s="57" t="n">
        <f aca="false">IF(LEFT(Cockpit!$I$5,1)="A",H1230,IF(CA1230=1,CB1230,IF(LEFT(Cockpit!$I$5,1)="B",AR1230,MAX(AR1230,H1230))))</f>
        <v>2</v>
      </c>
      <c r="AO1230" s="57" t="n">
        <f aca="false">IF(BT1230=1,0,ROUNDUP(AN1230/BS1230,0))</f>
        <v>1</v>
      </c>
      <c r="AP1230" s="59" t="n">
        <f aca="false">IF(CH1230&gt;0,CH1230*MAX(1,AN1230/X1230),IF(BT1230=1,IF(AN1230&lt;=0,0,BW1230*MAX(1,IF(H1230&gt;0,AN1230/H1230,1))),IF(R1230&gt;0,AO1230/R1230,0))/MAX(0.1,N(Parameter!$M$21)))</f>
        <v>0.333333333333333</v>
      </c>
      <c r="AQ1230" s="57" t="n">
        <f aca="false">AN1230*G1230</f>
        <v>321.6</v>
      </c>
      <c r="AR1230" s="57" t="n">
        <f aca="false">ROUNDUP(MAX(J1230/IF(BZ1230&gt;0,BZ1230,MAX(0.1,N(Cockpit!$I$6))),CC1230)/BS1230,0)*BS1230</f>
        <v>2</v>
      </c>
      <c r="AS1230" s="58" t="n">
        <f aca="false">IF(AP1230&gt;0,J1230/AP1230,-1)</f>
        <v>0</v>
      </c>
      <c r="AT1230" s="58" t="str">
        <f aca="false">IF(AND(OR(BY1230="L1",BY1230="L23"),AP1230&gt;0),SUMIFS($AP$7:$AP$1843,$BY$7:$BY$1843,BY1230,$AS$7:$AS$1843,"&gt;"&amp;AS1230)+SUMIFS($AP$7:$AP$1843,$BY$7:$BY$1843,BY1230,$AS$7:$AS$1843,AS1230,$BQ$7:$BQ$1843,"&lt;="&amp;BQ1230),"")</f>
        <v/>
      </c>
      <c r="AU1230" s="65" t="n">
        <f aca="false">IF(AT1230="",0,MAX(0,MIN(1,(IF(BY1230="L1",Parameter!$E$5,Parameter!$E$6+Parameter!$E$7)-(AT1230-AP1230))/AP1230)))</f>
        <v>0</v>
      </c>
      <c r="AV1230" s="57" t="n">
        <f aca="false">IF(LEFT(Cockpit!$O$5,1)="A",H1230,IF(CA1230=1,CB1230,IF(LEFT(Cockpit!$O$5,1)="B",AZ1230,MAX(AZ1230,H1230))))</f>
        <v>2</v>
      </c>
      <c r="AW1230" s="57" t="n">
        <f aca="false">IF(BT1230=1,0,ROUNDUP(AV1230/BS1230,0))</f>
        <v>1</v>
      </c>
      <c r="AX1230" s="59" t="n">
        <f aca="false">IF(CH1230&gt;0,CH1230*MAX(1,AV1230/X1230),IF(BT1230=1,IF(AV1230&lt;=0,0,BW1230*MAX(1,IF(H1230&gt;0,AV1230/H1230,1))),IF(R1230&gt;0,AW1230/R1230,0))/MAX(0.1,N(Parameter!$M$21)))</f>
        <v>0.333333333333333</v>
      </c>
      <c r="AY1230" s="57" t="n">
        <f aca="false">AV1230*G1230</f>
        <v>321.6</v>
      </c>
      <c r="AZ1230" s="57" t="n">
        <f aca="false">ROUNDUP(MAX(J1230/IF(BZ1230&gt;0,BZ1230,MAX(0.1,N(Cockpit!$O$6))),CC1230)/BS1230,0)*BS1230</f>
        <v>2</v>
      </c>
      <c r="BA1230" s="58" t="n">
        <f aca="false">IF(AX1230&gt;0,J1230/AX1230,-1)</f>
        <v>0</v>
      </c>
      <c r="BB1230" s="58" t="str">
        <f aca="false">IF(AND(OR(BY1230="L1",BY1230="L23"),AX1230&gt;0),SUMIFS($AX$7:$AX$1843,$BY$7:$BY$1843,BY1230,$BA$7:$BA$1843,"&gt;"&amp;BA1230)+SUMIFS($AX$7:$AX$1843,$BY$7:$BY$1843,BY1230,$BA$7:$BA$1843,BA1230,$BQ$7:$BQ$1843,"&lt;="&amp;BQ1230),"")</f>
        <v/>
      </c>
      <c r="BC1230" s="65" t="n">
        <f aca="false">IF(BB1230="",0,MAX(0,MIN(1,(IF(BY1230="L1",Parameter!$E$5,Parameter!$E$6+Parameter!$E$7)-(BB1230-AX1230))/AX1230)))</f>
        <v>0</v>
      </c>
      <c r="BD1230" s="55" t="str">
        <f aca="false">IF(AH1230&lt;=0,"",IF(BY1230="Aussen","Aussenlager",IF(BY1230="-","Nicht im Lift",IF(AM1230&gt;=1,"Lift",IF(AM1230&lt;=0,"Aussenlager","teilweise")))))</f>
        <v/>
      </c>
      <c r="BE1230" s="55" t="str">
        <f aca="false">IF(AP1230&lt;=0,"",IF(BY1230="Aussen","Aussenlager",IF(BY1230="-","Nicht im Lift",IF(AU1230&gt;=1,"Lift",IF(AU1230&lt;=0,"Aussenlager","teilweise")))))</f>
        <v>Nicht im Lift</v>
      </c>
      <c r="BF1230" s="55" t="str">
        <f aca="false">IF(AX1230&lt;=0,"",IF(BY1230="Aussen","Aussenlager",IF(BY1230="-","Nicht im Lift",IF(BC1230&gt;=1,"Lift",IF(BC1230&lt;=0,"Aussenlager","teilweise")))))</f>
        <v>Nicht im Lift</v>
      </c>
      <c r="BG1230" s="55" t="str">
        <f aca="false">IF(A1230="","",IF(BP1230=1,"Neu; ","")&amp;IF(AND(BP1230=0,BK1230&lt;0),"negativer Bestand (Export "&amp;BK1230&amp;"); ","")&amp;IF(J1230&lt;=0,"Kein Verbrauch; ","")&amp;IF(CH1230&gt;0,"Lift "&amp;W1230&amp;" lt. Liftbericht (Fach "&amp;X1230&amp;" Stk); ",IF(BU1230=1,"Gebinde geschätzt ("&amp;T1230&amp;"); ",IF(BT1230=1,"Lose – Tablare geschätzt; ","")))&amp;IF(H1230&gt;AR1230,"Überbestand "&amp;ROUND(H1230-AR1230,0)&amp;" Stk / CHF "&amp;ROUND((H1230-AR1230)*G1230,0)&amp;"; ","")&amp;IF(AND(CA1230=1,CB1230&lt;CC1230),"MAX &lt; MB+LG; ","")&amp;IF(AND(CG1230&gt;0,CF1230*10&gt;CG1230),"zu hoch für Tablar; ","")&amp;IF(AND(BP1230=0,OR(CA1230=1,AA1230&lt;&gt;"",U1230&lt;&gt;"",V1230&lt;&gt;"",AB1230&lt;&gt;"")),"manuell übersteuert; ","")&amp;IF(AND(BT1230=0,R1230=0),"Gebinde unbekannt / Stellmass fehlt; ","")&amp;IF(AND(BT1230=0,N(V1230)&lt;=0,N(Q1230)&lt;=0),"Menge pro Gebinde fehlt (Ist = 1 Gebinde); ","")&amp;BO1230)</f>
        <v>negativer Bestand (Export -4); Kein Verbrauch; Gebinde geschätzt (Gross); Menge pro Gebinde fehlt (Ist = 1 Gebinde); </v>
      </c>
      <c r="BH1230" s="55"/>
      <c r="BI1230" s="55"/>
      <c r="BJ1230" s="62"/>
      <c r="BK1230" s="57" t="n">
        <v>-4</v>
      </c>
      <c r="BL1230" s="57" t="n">
        <v>4</v>
      </c>
      <c r="BM1230" s="56" t="n">
        <v>-643.2</v>
      </c>
      <c r="BN1230" s="57" t="n">
        <v>0</v>
      </c>
      <c r="BO1230" s="55"/>
      <c r="BP1230" s="60" t="n">
        <v>0</v>
      </c>
      <c r="BQ1230" s="60" t="n">
        <v>1230</v>
      </c>
      <c r="BR1230" s="55" t="str">
        <f aca="false">IF(U1230&lt;&gt;"",UPPER(TRIM(U1230)),IF(BU1230=1,UPPER(VLOOKUP(T1230,Parameter!$I$27:$K$29,2,0)),IF(P1230="","LOSE",P1230)))</f>
        <v>S81</v>
      </c>
      <c r="BS1230" s="57" t="n">
        <f aca="false">IF(BR1230="LOSE",1,IF(N(V1230)&gt;0,V1230,IF(BU1230=1,MAX(1,N(VLOOKUP(T1230,Parameter!$I$27:$K$29,3,0)),H1230,N(N1230)),IF(N(Q1230)&gt;0,Q1230,MAX(1,H1230)))))</f>
        <v>2</v>
      </c>
      <c r="BT1230" s="60" t="n">
        <f aca="false">IF(BR1230="LOSE",1,0)</f>
        <v>0</v>
      </c>
      <c r="BU1230" s="60" t="n">
        <f aca="false">IF(AND(U1230="",OR(P1230="",P1230="LOSE"),T1230&lt;&gt;"",N(S1230)&lt;=0,ISNUMBER(MATCH(T1230,Parameter!$I$27:$I$29,0))),1,0)</f>
        <v>1</v>
      </c>
      <c r="BV1230" s="55" t="str">
        <f aca="false">IF(AND(Parameter!$B$19="Ja",E1230&lt;&gt;"",ISNUMBER(MATCH(E1230,Parameter!$I$35:$I$52,0))),VLOOKUP(E1230,Parameter!$I$35:$J$52,2,0),IFERROR(VLOOKUP(D1230,Parameter!$A$35:$C$64,2,0),"Nein"))</f>
        <v>Nein</v>
      </c>
      <c r="BW1230" s="59" t="n">
        <f aca="false">IF(BT1230=0,0,IF(N(S1230)&gt;0,S1230,IFERROR(VLOOKUP(D1230,Parameter!$A$35:$C$64,3,0)+0,0)))</f>
        <v>0</v>
      </c>
      <c r="BX1230" s="55" t="str">
        <f aca="false">IF(AA1230&lt;&gt;"",AA1230,Z1230)</f>
        <v>-</v>
      </c>
      <c r="BY1230" s="55" t="str">
        <f aca="false">IF(BX1230=1,"L1",IF(OR(BX1230=2,BX1230=3),"L23",IF(BX1230="Aussen","Aussen","-")))</f>
        <v>-</v>
      </c>
      <c r="BZ1230" s="66" t="n">
        <f aca="false">IF(N(AB1230)&gt;0,AB1230,0)</f>
        <v>0</v>
      </c>
      <c r="CA1230" s="60" t="n">
        <f aca="false">IF(ISNUMBER(AE1230),1,0)</f>
        <v>0</v>
      </c>
      <c r="CB1230" s="57" t="n">
        <f aca="false">N(AE1230)</f>
        <v>0</v>
      </c>
      <c r="CC1230" s="57" t="n">
        <f aca="false">N(M1230)+N(N1230)</f>
        <v>1</v>
      </c>
      <c r="CD1230" s="57" t="n">
        <f aca="false">ROUNDUP(H1230/BS1230,0)</f>
        <v>0</v>
      </c>
      <c r="CE1230" s="57" t="n">
        <f aca="false">ROUNDUP(CB1230/BS1230,0)</f>
        <v>0</v>
      </c>
      <c r="CF1230" s="60" t="n">
        <f aca="false">IF(BT1230=1,0,IFERROR(VLOOKUP(BR1230,'Gebinde-Kategorie'!$A$5:$M$45,5,0)+0,0))</f>
        <v>20</v>
      </c>
      <c r="CG1230" s="60" t="n">
        <f aca="false">IFERROR(IF(OR(BX1230=1,BX1230=2,BX1230=3),N(INDEX(Parameter!$I$5:$I$7,BX1230)),0),0)</f>
        <v>0</v>
      </c>
      <c r="CH1230" s="59" t="n">
        <f aca="false">IF(AND(Parameter!$B$21="Ja",ISNUMBER(W1230),N(X1230)&gt;0),IFERROR(N(INDEX(Parameter!$L$5:$L$7,W1230))*INDEX(Parameter!$E$5:$E$7,W1230)*X1230/SUMIFS($X$7:$X$1843,$W$7:$W$1843,W1230),0),0)</f>
        <v>0</v>
      </c>
    </row>
    <row r="1231" customFormat="false" ht="15" hidden="false" customHeight="false" outlineLevel="0" collapsed="false">
      <c r="A1231" s="55" t="s">
        <v>2204</v>
      </c>
      <c r="B1231" s="55" t="s">
        <v>1118</v>
      </c>
      <c r="C1231" s="55" t="s">
        <v>164</v>
      </c>
      <c r="D1231" s="55" t="s">
        <v>184</v>
      </c>
      <c r="E1231" s="55" t="s">
        <v>185</v>
      </c>
      <c r="F1231" s="55" t="s">
        <v>218</v>
      </c>
      <c r="G1231" s="56" t="n">
        <v>36.02</v>
      </c>
      <c r="H1231" s="57" t="n">
        <f aca="false">MAX(0,IF(AND(Parameter!$B$21="Ja",ISNUMBER(Y1231)),Y1231,IF(Parameter!$B$20="Jahresanfang 2025 + Export",BL1231+BK1231,BK1231)))</f>
        <v>45</v>
      </c>
      <c r="I1231" s="57" t="n">
        <f aca="false">H1231*G1231</f>
        <v>1620.9</v>
      </c>
      <c r="J1231" s="57" t="n">
        <f aca="false">BN1231*Parameter!$B$18</f>
        <v>2</v>
      </c>
      <c r="K1231" s="58" t="n">
        <v>54.5</v>
      </c>
      <c r="L1231" s="59" t="n">
        <v>0.036697247706422</v>
      </c>
      <c r="M1231" s="57" t="n">
        <v>0</v>
      </c>
      <c r="N1231" s="57" t="n">
        <v>1</v>
      </c>
      <c r="O1231" s="60" t="n">
        <v>56</v>
      </c>
      <c r="P1231" s="55" t="s">
        <v>233</v>
      </c>
      <c r="Q1231" s="57" t="n">
        <v>13</v>
      </c>
      <c r="R1231" s="60" t="n">
        <f aca="false">IF(BT1231=1,0,IFERROR(VLOOKUP(BR1231,'Gebinde-Kategorie'!$A$5:$M$45,13,0)+0,0))</f>
        <v>26</v>
      </c>
      <c r="S1231" s="61"/>
      <c r="T1231" s="62"/>
      <c r="U1231" s="62"/>
      <c r="V1231" s="62"/>
      <c r="W1231" s="55"/>
      <c r="X1231" s="57"/>
      <c r="Y1231" s="57"/>
      <c r="Z1231" s="55" t="n">
        <f aca="false">IF(A1231="","",IF(AND(Parameter!$B$21="Ja",ISNUMBER(W1231)),W1231,IF(BV1231="2+3",IF(ISNUMBER(SEARCH("grosser Artikel",BO1231)),2,IFERROR(VLOOKUP(BR1231,Parameter!$F$35:$G$64,2,0),2)),IF(OR(BV1231="Nein",BV1231=""),"-",BV1231))))</f>
        <v>3</v>
      </c>
      <c r="AA1231" s="62"/>
      <c r="AB1231" s="63"/>
      <c r="AC1231" s="57" t="n">
        <f aca="false">AR1231</f>
        <v>13</v>
      </c>
      <c r="AD1231" s="57" t="n">
        <f aca="false">MAX(AR1231,H1231)</f>
        <v>45</v>
      </c>
      <c r="AE1231" s="64"/>
      <c r="AF1231" s="57" t="n">
        <f aca="false">IF(LEFT(Cockpit!$C$5,1)="A",H1231,IF(CA1231=1,CB1231,IF(LEFT(Cockpit!$C$5,1)="B",AJ1231,MAX(AJ1231,H1231))))</f>
        <v>45</v>
      </c>
      <c r="AG1231" s="57" t="n">
        <f aca="false">IF(BT1231=1,0,ROUNDUP(AF1231/BS1231,0))</f>
        <v>4</v>
      </c>
      <c r="AH1231" s="59" t="n">
        <f aca="false">IF(CH1231&gt;0,CH1231*MAX(1,AF1231/X1231),IF(BT1231=1,IF(AF1231&lt;=0,0,BW1231*MAX(1,IF(H1231&gt;0,AF1231/H1231,1))),IF(R1231&gt;0,AG1231/R1231,0))/MAX(0.1,N(Parameter!$M$21)))</f>
        <v>0.153846153846154</v>
      </c>
      <c r="AI1231" s="57" t="n">
        <f aca="false">AF1231*G1231</f>
        <v>1620.9</v>
      </c>
      <c r="AJ1231" s="57" t="n">
        <f aca="false">ROUNDUP(MAX(J1231/IF(BZ1231&gt;0,BZ1231,MAX(0.1,N(Cockpit!$C$6))),CC1231)/BS1231,0)*BS1231</f>
        <v>13</v>
      </c>
      <c r="AK1231" s="58" t="n">
        <f aca="false">IF(AH1231&gt;0,J1231/AH1231,-1)</f>
        <v>13</v>
      </c>
      <c r="AL1231" s="58" t="n">
        <f aca="false">IF(AND(OR(BY1231="L1",BY1231="L23"),AH1231&gt;0),SUMIFS($AH$7:$AH$1843,$BY$7:$BY$1843,BY1231,$AK$7:$AK$1843,"&gt;"&amp;AK1231)+SUMIFS($AH$7:$AH$1843,$BY$7:$BY$1843,BY1231,$AK$7:$AK$1843,AK1231,$BQ$7:$BQ$1843,"&lt;="&amp;BQ1231),"")</f>
        <v>53.8574119117597</v>
      </c>
      <c r="AM1231" s="65" t="n">
        <f aca="false">IF(AL1231="",0,MAX(0,MIN(1,(IF(BY1231="L1",Parameter!$E$5,Parameter!$E$6+Parameter!$E$7)-(AL1231-AH1231))/AH1231)))</f>
        <v>1</v>
      </c>
      <c r="AN1231" s="57" t="n">
        <f aca="false">IF(LEFT(Cockpit!$I$5,1)="A",H1231,IF(CA1231=1,CB1231,IF(LEFT(Cockpit!$I$5,1)="B",AR1231,MAX(AR1231,H1231))))</f>
        <v>45</v>
      </c>
      <c r="AO1231" s="57" t="n">
        <f aca="false">IF(BT1231=1,0,ROUNDUP(AN1231/BS1231,0))</f>
        <v>4</v>
      </c>
      <c r="AP1231" s="59" t="n">
        <f aca="false">IF(CH1231&gt;0,CH1231*MAX(1,AN1231/X1231),IF(BT1231=1,IF(AN1231&lt;=0,0,BW1231*MAX(1,IF(H1231&gt;0,AN1231/H1231,1))),IF(R1231&gt;0,AO1231/R1231,0))/MAX(0.1,N(Parameter!$M$21)))</f>
        <v>0.153846153846154</v>
      </c>
      <c r="AQ1231" s="57" t="n">
        <f aca="false">AN1231*G1231</f>
        <v>1620.9</v>
      </c>
      <c r="AR1231" s="57" t="n">
        <f aca="false">ROUNDUP(MAX(J1231/IF(BZ1231&gt;0,BZ1231,MAX(0.1,N(Cockpit!$I$6))),CC1231)/BS1231,0)*BS1231</f>
        <v>13</v>
      </c>
      <c r="AS1231" s="58" t="n">
        <f aca="false">IF(AP1231&gt;0,J1231/AP1231,-1)</f>
        <v>13</v>
      </c>
      <c r="AT1231" s="58" t="n">
        <f aca="false">IF(AND(OR(BY1231="L1",BY1231="L23"),AP1231&gt;0),SUMIFS($AP$7:$AP$1843,$BY$7:$BY$1843,BY1231,$AS$7:$AS$1843,"&gt;"&amp;AS1231)+SUMIFS($AP$7:$AP$1843,$BY$7:$BY$1843,BY1231,$AS$7:$AS$1843,AS1231,$BQ$7:$BQ$1843,"&lt;="&amp;BQ1231),"")</f>
        <v>80.8648694300868</v>
      </c>
      <c r="AU1231" s="65" t="n">
        <f aca="false">IF(AT1231="",0,MAX(0,MIN(1,(IF(BY1231="L1",Parameter!$E$5,Parameter!$E$6+Parameter!$E$7)-(AT1231-AP1231))/AP1231)))</f>
        <v>1</v>
      </c>
      <c r="AV1231" s="57" t="n">
        <f aca="false">IF(LEFT(Cockpit!$O$5,1)="A",H1231,IF(CA1231=1,CB1231,IF(LEFT(Cockpit!$O$5,1)="B",AZ1231,MAX(AZ1231,H1231))))</f>
        <v>45</v>
      </c>
      <c r="AW1231" s="57" t="n">
        <f aca="false">IF(BT1231=1,0,ROUNDUP(AV1231/BS1231,0))</f>
        <v>4</v>
      </c>
      <c r="AX1231" s="59" t="n">
        <f aca="false">IF(CH1231&gt;0,CH1231*MAX(1,AV1231/X1231),IF(BT1231=1,IF(AV1231&lt;=0,0,BW1231*MAX(1,IF(H1231&gt;0,AV1231/H1231,1))),IF(R1231&gt;0,AW1231/R1231,0))/MAX(0.1,N(Parameter!$M$21)))</f>
        <v>0.153846153846154</v>
      </c>
      <c r="AY1231" s="57" t="n">
        <f aca="false">AV1231*G1231</f>
        <v>1620.9</v>
      </c>
      <c r="AZ1231" s="57" t="n">
        <f aca="false">ROUNDUP(MAX(J1231/IF(BZ1231&gt;0,BZ1231,MAX(0.1,N(Cockpit!$O$6))),CC1231)/BS1231,0)*BS1231</f>
        <v>13</v>
      </c>
      <c r="BA1231" s="58" t="n">
        <f aca="false">IF(AX1231&gt;0,J1231/AX1231,-1)</f>
        <v>13</v>
      </c>
      <c r="BB1231" s="58" t="n">
        <f aca="false">IF(AND(OR(BY1231="L1",BY1231="L23"),AX1231&gt;0),SUMIFS($AX$7:$AX$1843,$BY$7:$BY$1843,BY1231,$BA$7:$BA$1843,"&gt;"&amp;BA1231)+SUMIFS($AX$7:$AX$1843,$BY$7:$BY$1843,BY1231,$BA$7:$BA$1843,BA1231,$BQ$7:$BQ$1843,"&lt;="&amp;BQ1231),"")</f>
        <v>80.3613729265903</v>
      </c>
      <c r="BC1231" s="65" t="n">
        <f aca="false">IF(BB1231="",0,MAX(0,MIN(1,(IF(BY1231="L1",Parameter!$E$5,Parameter!$E$6+Parameter!$E$7)-(BB1231-AX1231))/AX1231)))</f>
        <v>1</v>
      </c>
      <c r="BD1231" s="55" t="str">
        <f aca="false">IF(AH1231&lt;=0,"",IF(BY1231="Aussen","Aussenlager",IF(BY1231="-","Nicht im Lift",IF(AM1231&gt;=1,"Lift",IF(AM1231&lt;=0,"Aussenlager","teilweise")))))</f>
        <v>Lift</v>
      </c>
      <c r="BE1231" s="55" t="str">
        <f aca="false">IF(AP1231&lt;=0,"",IF(BY1231="Aussen","Aussenlager",IF(BY1231="-","Nicht im Lift",IF(AU1231&gt;=1,"Lift",IF(AU1231&lt;=0,"Aussenlager","teilweise")))))</f>
        <v>Lift</v>
      </c>
      <c r="BF1231" s="55" t="str">
        <f aca="false">IF(AX1231&lt;=0,"",IF(BY1231="Aussen","Aussenlager",IF(BY1231="-","Nicht im Lift",IF(BC1231&gt;=1,"Lift",IF(BC1231&lt;=0,"Aussenlager","teilweise")))))</f>
        <v>Lift</v>
      </c>
      <c r="BG1231" s="55" t="str">
        <f aca="false">IF(A1231="","",IF(BP1231=1,"Neu; ","")&amp;IF(AND(BP1231=0,BK1231&lt;0),"negativer Bestand (Export "&amp;BK1231&amp;"); ","")&amp;IF(J1231&lt;=0,"Kein Verbrauch; ","")&amp;IF(CH1231&gt;0,"Lift "&amp;W1231&amp;" lt. Liftbericht (Fach "&amp;X1231&amp;" Stk); ",IF(BU1231=1,"Gebinde geschätzt ("&amp;T1231&amp;"); ",IF(BT1231=1,"Lose – Tablare geschätzt; ","")))&amp;IF(H1231&gt;AR1231,"Überbestand "&amp;ROUND(H1231-AR1231,0)&amp;" Stk / CHF "&amp;ROUND((H1231-AR1231)*G1231,0)&amp;"; ","")&amp;IF(AND(CA1231=1,CB1231&lt;CC1231),"MAX &lt; MB+LG; ","")&amp;IF(AND(CG1231&gt;0,CF1231*10&gt;CG1231),"zu hoch für Tablar; ","")&amp;IF(AND(BP1231=0,OR(CA1231=1,AA1231&lt;&gt;"",U1231&lt;&gt;"",V1231&lt;&gt;"",AB1231&lt;&gt;"")),"manuell übersteuert; ","")&amp;IF(AND(BT1231=0,R1231=0),"Gebinde unbekannt / Stellmass fehlt; ","")&amp;IF(AND(BT1231=0,N(V1231)&lt;=0,N(Q1231)&lt;=0),"Menge pro Gebinde fehlt (Ist = 1 Gebinde); ","")&amp;BO1231)</f>
        <v>negativer Bestand (Export -18); Überbestand 32 Stk / CHF 1153; </v>
      </c>
      <c r="BH1231" s="55"/>
      <c r="BI1231" s="55"/>
      <c r="BJ1231" s="62"/>
      <c r="BK1231" s="57" t="n">
        <v>-18</v>
      </c>
      <c r="BL1231" s="57" t="n">
        <v>63</v>
      </c>
      <c r="BM1231" s="56" t="n">
        <v>-648.36</v>
      </c>
      <c r="BN1231" s="57" t="n">
        <v>2</v>
      </c>
      <c r="BO1231" s="55"/>
      <c r="BP1231" s="60" t="n">
        <v>0</v>
      </c>
      <c r="BQ1231" s="60" t="n">
        <v>1231</v>
      </c>
      <c r="BR1231" s="55" t="str">
        <f aca="false">IF(U1231&lt;&gt;"",UPPER(TRIM(U1231)),IF(BU1231=1,UPPER(VLOOKUP(T1231,Parameter!$I$27:$K$29,2,0)),IF(P1231="","LOSE",P1231)))</f>
        <v>S52</v>
      </c>
      <c r="BS1231" s="57" t="n">
        <f aca="false">IF(BR1231="LOSE",1,IF(N(V1231)&gt;0,V1231,IF(BU1231=1,MAX(1,N(VLOOKUP(T1231,Parameter!$I$27:$K$29,3,0)),H1231,N(N1231)),IF(N(Q1231)&gt;0,Q1231,MAX(1,H1231)))))</f>
        <v>13</v>
      </c>
      <c r="BT1231" s="60" t="n">
        <f aca="false">IF(BR1231="LOSE",1,0)</f>
        <v>0</v>
      </c>
      <c r="BU1231" s="60" t="n">
        <f aca="false">IF(AND(U1231="",OR(P1231="",P1231="LOSE"),T1231&lt;&gt;"",N(S1231)&lt;=0,ISNUMBER(MATCH(T1231,Parameter!$I$27:$I$29,0))),1,0)</f>
        <v>0</v>
      </c>
      <c r="BV1231" s="55" t="str">
        <f aca="false">IF(AND(Parameter!$B$19="Ja",E1231&lt;&gt;"",ISNUMBER(MATCH(E1231,Parameter!$I$35:$I$52,0))),VLOOKUP(E1231,Parameter!$I$35:$J$52,2,0),IFERROR(VLOOKUP(D1231,Parameter!$A$35:$C$64,2,0),"Nein"))</f>
        <v>2+3</v>
      </c>
      <c r="BW1231" s="59" t="n">
        <f aca="false">IF(BT1231=0,0,IF(N(S1231)&gt;0,S1231,IFERROR(VLOOKUP(D1231,Parameter!$A$35:$C$64,3,0)+0,0)))</f>
        <v>0</v>
      </c>
      <c r="BX1231" s="55" t="n">
        <f aca="false">IF(AA1231&lt;&gt;"",AA1231,Z1231)</f>
        <v>3</v>
      </c>
      <c r="BY1231" s="55" t="str">
        <f aca="false">IF(BX1231=1,"L1",IF(OR(BX1231=2,BX1231=3),"L23",IF(BX1231="Aussen","Aussen","-")))</f>
        <v>L23</v>
      </c>
      <c r="BZ1231" s="66" t="n">
        <f aca="false">IF(N(AB1231)&gt;0,AB1231,0)</f>
        <v>0</v>
      </c>
      <c r="CA1231" s="60" t="n">
        <f aca="false">IF(ISNUMBER(AE1231),1,0)</f>
        <v>0</v>
      </c>
      <c r="CB1231" s="57" t="n">
        <f aca="false">N(AE1231)</f>
        <v>0</v>
      </c>
      <c r="CC1231" s="57" t="n">
        <f aca="false">N(M1231)+N(N1231)</f>
        <v>1</v>
      </c>
      <c r="CD1231" s="57" t="n">
        <f aca="false">ROUNDUP(H1231/BS1231,0)</f>
        <v>4</v>
      </c>
      <c r="CE1231" s="57" t="n">
        <f aca="false">ROUNDUP(CB1231/BS1231,0)</f>
        <v>0</v>
      </c>
      <c r="CF1231" s="60" t="n">
        <f aca="false">IF(BT1231=1,0,IFERROR(VLOOKUP(BR1231,'Gebinde-Kategorie'!$A$5:$M$45,5,0)+0,0))</f>
        <v>21</v>
      </c>
      <c r="CG1231" s="60" t="n">
        <f aca="false">IFERROR(IF(OR(BX1231=1,BX1231=2,BX1231=3),N(INDEX(Parameter!$I$5:$I$7,BX1231)),0),0)</f>
        <v>0</v>
      </c>
      <c r="CH1231" s="59" t="n">
        <f aca="false">IF(AND(Parameter!$B$21="Ja",ISNUMBER(W1231),N(X1231)&gt;0),IFERROR(N(INDEX(Parameter!$L$5:$L$7,W1231))*INDEX(Parameter!$E$5:$E$7,W1231)*X1231/SUMIFS($X$7:$X$1843,$W$7:$W$1843,W1231),0),0)</f>
        <v>0</v>
      </c>
    </row>
    <row r="1232" customFormat="false" ht="15" hidden="false" customHeight="false" outlineLevel="0" collapsed="false">
      <c r="A1232" s="55" t="s">
        <v>2205</v>
      </c>
      <c r="B1232" s="55" t="s">
        <v>2206</v>
      </c>
      <c r="C1232" s="55" t="s">
        <v>456</v>
      </c>
      <c r="D1232" s="55" t="s">
        <v>173</v>
      </c>
      <c r="E1232" s="55"/>
      <c r="F1232" s="55" t="s">
        <v>218</v>
      </c>
      <c r="G1232" s="56" t="n">
        <v>93.59</v>
      </c>
      <c r="H1232" s="57" t="n">
        <f aca="false">MAX(0,IF(AND(Parameter!$B$21="Ja",ISNUMBER(Y1232)),Y1232,IF(Parameter!$B$20="Jahresanfang 2025 + Export",BL1232+BK1232,BK1232)))</f>
        <v>0</v>
      </c>
      <c r="I1232" s="57" t="n">
        <f aca="false">H1232*G1232</f>
        <v>0</v>
      </c>
      <c r="J1232" s="57" t="n">
        <f aca="false">BN1232*Parameter!$B$18</f>
        <v>0</v>
      </c>
      <c r="K1232" s="58" t="n">
        <v>3.5</v>
      </c>
      <c r="L1232" s="59" t="n">
        <v>0</v>
      </c>
      <c r="M1232" s="57" t="n">
        <v>0</v>
      </c>
      <c r="N1232" s="57" t="n">
        <v>1</v>
      </c>
      <c r="O1232" s="60" t="n">
        <v>56</v>
      </c>
      <c r="P1232" s="55" t="s">
        <v>168</v>
      </c>
      <c r="Q1232" s="57"/>
      <c r="R1232" s="60" t="n">
        <f aca="false">IF(BT1232=1,0,IFERROR(VLOOKUP(BR1232,'Gebinde-Kategorie'!$A$5:$M$45,13,0)+0,0))</f>
        <v>3</v>
      </c>
      <c r="S1232" s="61"/>
      <c r="T1232" s="62" t="s">
        <v>189</v>
      </c>
      <c r="U1232" s="62"/>
      <c r="V1232" s="62"/>
      <c r="W1232" s="55"/>
      <c r="X1232" s="57"/>
      <c r="Y1232" s="57"/>
      <c r="Z1232" s="55" t="n">
        <f aca="false">IF(A1232="","",IF(AND(Parameter!$B$21="Ja",ISNUMBER(W1232)),W1232,IF(BV1232="2+3",IF(ISNUMBER(SEARCH("grosser Artikel",BO1232)),2,IFERROR(VLOOKUP(BR1232,Parameter!$F$35:$G$64,2,0),2)),IF(OR(BV1232="Nein",BV1232=""),"-",BV1232))))</f>
        <v>2</v>
      </c>
      <c r="AA1232" s="62"/>
      <c r="AB1232" s="63"/>
      <c r="AC1232" s="57" t="n">
        <f aca="false">AR1232</f>
        <v>2</v>
      </c>
      <c r="AD1232" s="57" t="n">
        <f aca="false">MAX(AR1232,H1232)</f>
        <v>2</v>
      </c>
      <c r="AE1232" s="64"/>
      <c r="AF1232" s="57" t="n">
        <f aca="false">IF(LEFT(Cockpit!$C$5,1)="A",H1232,IF(CA1232=1,CB1232,IF(LEFT(Cockpit!$C$5,1)="B",AJ1232,MAX(AJ1232,H1232))))</f>
        <v>0</v>
      </c>
      <c r="AG1232" s="57" t="n">
        <f aca="false">IF(BT1232=1,0,ROUNDUP(AF1232/BS1232,0))</f>
        <v>0</v>
      </c>
      <c r="AH1232" s="59" t="n">
        <f aca="false">IF(CH1232&gt;0,CH1232*MAX(1,AF1232/X1232),IF(BT1232=1,IF(AF1232&lt;=0,0,BW1232*MAX(1,IF(H1232&gt;0,AF1232/H1232,1))),IF(R1232&gt;0,AG1232/R1232,0))/MAX(0.1,N(Parameter!$M$21)))</f>
        <v>0</v>
      </c>
      <c r="AI1232" s="57" t="n">
        <f aca="false">AF1232*G1232</f>
        <v>0</v>
      </c>
      <c r="AJ1232" s="57" t="n">
        <f aca="false">ROUNDUP(MAX(J1232/IF(BZ1232&gt;0,BZ1232,MAX(0.1,N(Cockpit!$C$6))),CC1232)/BS1232,0)*BS1232</f>
        <v>2</v>
      </c>
      <c r="AK1232" s="58" t="n">
        <f aca="false">IF(AH1232&gt;0,J1232/AH1232,-1)</f>
        <v>-1</v>
      </c>
      <c r="AL1232" s="58" t="str">
        <f aca="false">IF(AND(OR(BY1232="L1",BY1232="L23"),AH1232&gt;0),SUMIFS($AH$7:$AH$1843,$BY$7:$BY$1843,BY1232,$AK$7:$AK$1843,"&gt;"&amp;AK1232)+SUMIFS($AH$7:$AH$1843,$BY$7:$BY$1843,BY1232,$AK$7:$AK$1843,AK1232,$BQ$7:$BQ$1843,"&lt;="&amp;BQ1232),"")</f>
        <v/>
      </c>
      <c r="AM1232" s="65" t="n">
        <f aca="false">IF(AL1232="",0,MAX(0,MIN(1,(IF(BY1232="L1",Parameter!$E$5,Parameter!$E$6+Parameter!$E$7)-(AL1232-AH1232))/AH1232)))</f>
        <v>0</v>
      </c>
      <c r="AN1232" s="57" t="n">
        <f aca="false">IF(LEFT(Cockpit!$I$5,1)="A",H1232,IF(CA1232=1,CB1232,IF(LEFT(Cockpit!$I$5,1)="B",AR1232,MAX(AR1232,H1232))))</f>
        <v>2</v>
      </c>
      <c r="AO1232" s="57" t="n">
        <f aca="false">IF(BT1232=1,0,ROUNDUP(AN1232/BS1232,0))</f>
        <v>1</v>
      </c>
      <c r="AP1232" s="59" t="n">
        <f aca="false">IF(CH1232&gt;0,CH1232*MAX(1,AN1232/X1232),IF(BT1232=1,IF(AN1232&lt;=0,0,BW1232*MAX(1,IF(H1232&gt;0,AN1232/H1232,1))),IF(R1232&gt;0,AO1232/R1232,0))/MAX(0.1,N(Parameter!$M$21)))</f>
        <v>0.333333333333333</v>
      </c>
      <c r="AQ1232" s="57" t="n">
        <f aca="false">AN1232*G1232</f>
        <v>187.18</v>
      </c>
      <c r="AR1232" s="57" t="n">
        <f aca="false">ROUNDUP(MAX(J1232/IF(BZ1232&gt;0,BZ1232,MAX(0.1,N(Cockpit!$I$6))),CC1232)/BS1232,0)*BS1232</f>
        <v>2</v>
      </c>
      <c r="AS1232" s="58" t="n">
        <f aca="false">IF(AP1232&gt;0,J1232/AP1232,-1)</f>
        <v>0</v>
      </c>
      <c r="AT1232" s="58" t="n">
        <f aca="false">IF(AND(OR(BY1232="L1",BY1232="L23"),AP1232&gt;0),SUMIFS($AP$7:$AP$1843,$BY$7:$BY$1843,BY1232,$AS$7:$AS$1843,"&gt;"&amp;AS1232)+SUMIFS($AP$7:$AP$1843,$BY$7:$BY$1843,BY1232,$AS$7:$AS$1843,AS1232,$BQ$7:$BQ$1843,"&lt;="&amp;BQ1232),"")</f>
        <v>123.202484713354</v>
      </c>
      <c r="AU1232" s="65" t="n">
        <f aca="false">IF(AT1232="",0,MAX(0,MIN(1,(IF(BY1232="L1",Parameter!$E$5,Parameter!$E$6+Parameter!$E$7)-(AT1232-AP1232))/AP1232)))</f>
        <v>0</v>
      </c>
      <c r="AV1232" s="57" t="n">
        <f aca="false">IF(LEFT(Cockpit!$O$5,1)="A",H1232,IF(CA1232=1,CB1232,IF(LEFT(Cockpit!$O$5,1)="B",AZ1232,MAX(AZ1232,H1232))))</f>
        <v>2</v>
      </c>
      <c r="AW1232" s="57" t="n">
        <f aca="false">IF(BT1232=1,0,ROUNDUP(AV1232/BS1232,0))</f>
        <v>1</v>
      </c>
      <c r="AX1232" s="59" t="n">
        <f aca="false">IF(CH1232&gt;0,CH1232*MAX(1,AV1232/X1232),IF(BT1232=1,IF(AV1232&lt;=0,0,BW1232*MAX(1,IF(H1232&gt;0,AV1232/H1232,1))),IF(R1232&gt;0,AW1232/R1232,0))/MAX(0.1,N(Parameter!$M$21)))</f>
        <v>0.333333333333333</v>
      </c>
      <c r="AY1232" s="57" t="n">
        <f aca="false">AV1232*G1232</f>
        <v>187.18</v>
      </c>
      <c r="AZ1232" s="57" t="n">
        <f aca="false">ROUNDUP(MAX(J1232/IF(BZ1232&gt;0,BZ1232,MAX(0.1,N(Cockpit!$O$6))),CC1232)/BS1232,0)*BS1232</f>
        <v>2</v>
      </c>
      <c r="BA1232" s="58" t="n">
        <f aca="false">IF(AX1232&gt;0,J1232/AX1232,-1)</f>
        <v>0</v>
      </c>
      <c r="BB1232" s="58" t="n">
        <f aca="false">IF(AND(OR(BY1232="L1",BY1232="L23"),AX1232&gt;0),SUMIFS($AX$7:$AX$1843,$BY$7:$BY$1843,BY1232,$BA$7:$BA$1843,"&gt;"&amp;BA1232)+SUMIFS($AX$7:$AX$1843,$BY$7:$BY$1843,BY1232,$BA$7:$BA$1843,BA1232,$BQ$7:$BQ$1843,"&lt;="&amp;BQ1232),"")</f>
        <v>114.032321543191</v>
      </c>
      <c r="BC1232" s="65" t="n">
        <f aca="false">IF(BB1232="",0,MAX(0,MIN(1,(IF(BY1232="L1",Parameter!$E$5,Parameter!$E$6+Parameter!$E$7)-(BB1232-AX1232))/AX1232)))</f>
        <v>0</v>
      </c>
      <c r="BD1232" s="55" t="str">
        <f aca="false">IF(AH1232&lt;=0,"",IF(BY1232="Aussen","Aussenlager",IF(BY1232="-","Nicht im Lift",IF(AM1232&gt;=1,"Lift",IF(AM1232&lt;=0,"Aussenlager","teilweise")))))</f>
        <v/>
      </c>
      <c r="BE1232" s="55" t="str">
        <f aca="false">IF(AP1232&lt;=0,"",IF(BY1232="Aussen","Aussenlager",IF(BY1232="-","Nicht im Lift",IF(AU1232&gt;=1,"Lift",IF(AU1232&lt;=0,"Aussenlager","teilweise")))))</f>
        <v>Aussenlager</v>
      </c>
      <c r="BF1232" s="55" t="str">
        <f aca="false">IF(AX1232&lt;=0,"",IF(BY1232="Aussen","Aussenlager",IF(BY1232="-","Nicht im Lift",IF(BC1232&gt;=1,"Lift",IF(BC1232&lt;=0,"Aussenlager","teilweise")))))</f>
        <v>Aussenlager</v>
      </c>
      <c r="BG1232" s="55" t="str">
        <f aca="false">IF(A1232="","",IF(BP1232=1,"Neu; ","")&amp;IF(AND(BP1232=0,BK1232&lt;0),"negativer Bestand (Export "&amp;BK1232&amp;"); ","")&amp;IF(J1232&lt;=0,"Kein Verbrauch; ","")&amp;IF(CH1232&gt;0,"Lift "&amp;W1232&amp;" lt. Liftbericht (Fach "&amp;X1232&amp;" Stk); ",IF(BU1232=1,"Gebinde geschätzt ("&amp;T1232&amp;"); ",IF(BT1232=1,"Lose – Tablare geschätzt; ","")))&amp;IF(H1232&gt;AR1232,"Überbestand "&amp;ROUND(H1232-AR1232,0)&amp;" Stk / CHF "&amp;ROUND((H1232-AR1232)*G1232,0)&amp;"; ","")&amp;IF(AND(CA1232=1,CB1232&lt;CC1232),"MAX &lt; MB+LG; ","")&amp;IF(AND(CG1232&gt;0,CF1232*10&gt;CG1232),"zu hoch für Tablar; ","")&amp;IF(AND(BP1232=0,OR(CA1232=1,AA1232&lt;&gt;"",U1232&lt;&gt;"",V1232&lt;&gt;"",AB1232&lt;&gt;"")),"manuell übersteuert; ","")&amp;IF(AND(BT1232=0,R1232=0),"Gebinde unbekannt / Stellmass fehlt; ","")&amp;IF(AND(BT1232=0,N(V1232)&lt;=0,N(Q1232)&lt;=0),"Menge pro Gebinde fehlt (Ist = 1 Gebinde); ","")&amp;BO1232)</f>
        <v>negativer Bestand (Export -7); Kein Verbrauch; Gebinde geschätzt (Gross); Menge pro Gebinde fehlt (Ist = 1 Gebinde); Neuer Art.</v>
      </c>
      <c r="BH1232" s="55"/>
      <c r="BI1232" s="55"/>
      <c r="BJ1232" s="62"/>
      <c r="BK1232" s="57" t="n">
        <v>-7</v>
      </c>
      <c r="BL1232" s="57" t="n">
        <v>7</v>
      </c>
      <c r="BM1232" s="56" t="n">
        <v>-655.13</v>
      </c>
      <c r="BN1232" s="57" t="n">
        <v>0</v>
      </c>
      <c r="BO1232" s="55" t="s">
        <v>512</v>
      </c>
      <c r="BP1232" s="60" t="n">
        <v>0</v>
      </c>
      <c r="BQ1232" s="60" t="n">
        <v>1232</v>
      </c>
      <c r="BR1232" s="55" t="str">
        <f aca="false">IF(U1232&lt;&gt;"",UPPER(TRIM(U1232)),IF(BU1232=1,UPPER(VLOOKUP(T1232,Parameter!$I$27:$K$29,2,0)),IF(P1232="","LOSE",P1232)))</f>
        <v>S81</v>
      </c>
      <c r="BS1232" s="57" t="n">
        <f aca="false">IF(BR1232="LOSE",1,IF(N(V1232)&gt;0,V1232,IF(BU1232=1,MAX(1,N(VLOOKUP(T1232,Parameter!$I$27:$K$29,3,0)),H1232,N(N1232)),IF(N(Q1232)&gt;0,Q1232,MAX(1,H1232)))))</f>
        <v>2</v>
      </c>
      <c r="BT1232" s="60" t="n">
        <f aca="false">IF(BR1232="LOSE",1,0)</f>
        <v>0</v>
      </c>
      <c r="BU1232" s="60" t="n">
        <f aca="false">IF(AND(U1232="",OR(P1232="",P1232="LOSE"),T1232&lt;&gt;"",N(S1232)&lt;=0,ISNUMBER(MATCH(T1232,Parameter!$I$27:$I$29,0))),1,0)</f>
        <v>1</v>
      </c>
      <c r="BV1232" s="55" t="str">
        <f aca="false">IF(AND(Parameter!$B$19="Ja",E1232&lt;&gt;"",ISNUMBER(MATCH(E1232,Parameter!$I$35:$I$52,0))),VLOOKUP(E1232,Parameter!$I$35:$J$52,2,0),IFERROR(VLOOKUP(D1232,Parameter!$A$35:$C$64,2,0),"Nein"))</f>
        <v>2+3</v>
      </c>
      <c r="BW1232" s="59" t="n">
        <f aca="false">IF(BT1232=0,0,IF(N(S1232)&gt;0,S1232,IFERROR(VLOOKUP(D1232,Parameter!$A$35:$C$64,3,0)+0,0)))</f>
        <v>0</v>
      </c>
      <c r="BX1232" s="55" t="n">
        <f aca="false">IF(AA1232&lt;&gt;"",AA1232,Z1232)</f>
        <v>2</v>
      </c>
      <c r="BY1232" s="55" t="str">
        <f aca="false">IF(BX1232=1,"L1",IF(OR(BX1232=2,BX1232=3),"L23",IF(BX1232="Aussen","Aussen","-")))</f>
        <v>L23</v>
      </c>
      <c r="BZ1232" s="66" t="n">
        <f aca="false">IF(N(AB1232)&gt;0,AB1232,0)</f>
        <v>0</v>
      </c>
      <c r="CA1232" s="60" t="n">
        <f aca="false">IF(ISNUMBER(AE1232),1,0)</f>
        <v>0</v>
      </c>
      <c r="CB1232" s="57" t="n">
        <f aca="false">N(AE1232)</f>
        <v>0</v>
      </c>
      <c r="CC1232" s="57" t="n">
        <f aca="false">N(M1232)+N(N1232)</f>
        <v>1</v>
      </c>
      <c r="CD1232" s="57" t="n">
        <f aca="false">ROUNDUP(H1232/BS1232,0)</f>
        <v>0</v>
      </c>
      <c r="CE1232" s="57" t="n">
        <f aca="false">ROUNDUP(CB1232/BS1232,0)</f>
        <v>0</v>
      </c>
      <c r="CF1232" s="60" t="n">
        <f aca="false">IF(BT1232=1,0,IFERROR(VLOOKUP(BR1232,'Gebinde-Kategorie'!$A$5:$M$45,5,0)+0,0))</f>
        <v>20</v>
      </c>
      <c r="CG1232" s="60" t="n">
        <f aca="false">IFERROR(IF(OR(BX1232=1,BX1232=2,BX1232=3),N(INDEX(Parameter!$I$5:$I$7,BX1232)),0),0)</f>
        <v>0</v>
      </c>
      <c r="CH1232" s="59" t="n">
        <f aca="false">IF(AND(Parameter!$B$21="Ja",ISNUMBER(W1232),N(X1232)&gt;0),IFERROR(N(INDEX(Parameter!$L$5:$L$7,W1232))*INDEX(Parameter!$E$5:$E$7,W1232)*X1232/SUMIFS($X$7:$X$1843,$W$7:$W$1843,W1232),0),0)</f>
        <v>0</v>
      </c>
    </row>
    <row r="1233" customFormat="false" ht="15" hidden="false" customHeight="false" outlineLevel="0" collapsed="false">
      <c r="A1233" s="55" t="s">
        <v>2207</v>
      </c>
      <c r="B1233" s="55" t="s">
        <v>2208</v>
      </c>
      <c r="C1233" s="55" t="s">
        <v>164</v>
      </c>
      <c r="D1233" s="55" t="s">
        <v>173</v>
      </c>
      <c r="E1233" s="55" t="s">
        <v>185</v>
      </c>
      <c r="F1233" s="55" t="s">
        <v>218</v>
      </c>
      <c r="G1233" s="56" t="n">
        <v>131.25</v>
      </c>
      <c r="H1233" s="57" t="n">
        <f aca="false">MAX(0,IF(AND(Parameter!$B$21="Ja",ISNUMBER(Y1233)),Y1233,IF(Parameter!$B$20="Jahresanfang 2025 + Export",BL1233+BK1233,BK1233)))</f>
        <v>8</v>
      </c>
      <c r="I1233" s="57" t="n">
        <f aca="false">H1233*G1233</f>
        <v>1050</v>
      </c>
      <c r="J1233" s="57" t="n">
        <f aca="false">BN1233*Parameter!$B$18</f>
        <v>6</v>
      </c>
      <c r="K1233" s="58" t="n">
        <v>9.5</v>
      </c>
      <c r="L1233" s="59" t="n">
        <v>0.631578947368421</v>
      </c>
      <c r="M1233" s="57" t="n">
        <v>0</v>
      </c>
      <c r="N1233" s="57" t="n">
        <v>5</v>
      </c>
      <c r="O1233" s="60" t="n">
        <v>21</v>
      </c>
      <c r="P1233" s="55" t="s">
        <v>259</v>
      </c>
      <c r="Q1233" s="57" t="n">
        <v>6</v>
      </c>
      <c r="R1233" s="60" t="n">
        <f aca="false">IF(BT1233=1,0,IFERROR(VLOOKUP(BR1233,'Gebinde-Kategorie'!$A$5:$M$45,13,0)+0,0))</f>
        <v>6</v>
      </c>
      <c r="S1233" s="61"/>
      <c r="T1233" s="62"/>
      <c r="U1233" s="62"/>
      <c r="V1233" s="62"/>
      <c r="W1233" s="55"/>
      <c r="X1233" s="57"/>
      <c r="Y1233" s="57"/>
      <c r="Z1233" s="55" t="n">
        <f aca="false">IF(A1233="","",IF(AND(Parameter!$B$21="Ja",ISNUMBER(W1233)),W1233,IF(BV1233="2+3",IF(ISNUMBER(SEARCH("grosser Artikel",BO1233)),2,IFERROR(VLOOKUP(BR1233,Parameter!$F$35:$G$64,2,0),2)),IF(OR(BV1233="Nein",BV1233=""),"-",BV1233))))</f>
        <v>2</v>
      </c>
      <c r="AA1233" s="62"/>
      <c r="AB1233" s="63"/>
      <c r="AC1233" s="57" t="n">
        <f aca="false">AR1233</f>
        <v>6</v>
      </c>
      <c r="AD1233" s="57" t="n">
        <f aca="false">MAX(AR1233,H1233)</f>
        <v>8</v>
      </c>
      <c r="AE1233" s="64"/>
      <c r="AF1233" s="57" t="n">
        <f aca="false">IF(LEFT(Cockpit!$C$5,1)="A",H1233,IF(CA1233=1,CB1233,IF(LEFT(Cockpit!$C$5,1)="B",AJ1233,MAX(AJ1233,H1233))))</f>
        <v>8</v>
      </c>
      <c r="AG1233" s="57" t="n">
        <f aca="false">IF(BT1233=1,0,ROUNDUP(AF1233/BS1233,0))</f>
        <v>2</v>
      </c>
      <c r="AH1233" s="59" t="n">
        <f aca="false">IF(CH1233&gt;0,CH1233*MAX(1,AF1233/X1233),IF(BT1233=1,IF(AF1233&lt;=0,0,BW1233*MAX(1,IF(H1233&gt;0,AF1233/H1233,1))),IF(R1233&gt;0,AG1233/R1233,0))/MAX(0.1,N(Parameter!$M$21)))</f>
        <v>0.333333333333333</v>
      </c>
      <c r="AI1233" s="57" t="n">
        <f aca="false">AF1233*G1233</f>
        <v>1050</v>
      </c>
      <c r="AJ1233" s="57" t="n">
        <f aca="false">ROUNDUP(MAX(J1233/IF(BZ1233&gt;0,BZ1233,MAX(0.1,N(Cockpit!$C$6))),CC1233)/BS1233,0)*BS1233</f>
        <v>6</v>
      </c>
      <c r="AK1233" s="58" t="n">
        <f aca="false">IF(AH1233&gt;0,J1233/AH1233,-1)</f>
        <v>18</v>
      </c>
      <c r="AL1233" s="58" t="n">
        <f aca="false">IF(AND(OR(BY1233="L1",BY1233="L23"),AH1233&gt;0),SUMIFS($AH$7:$AH$1843,$BY$7:$BY$1843,BY1233,$AK$7:$AK$1843,"&gt;"&amp;AK1233)+SUMIFS($AH$7:$AH$1843,$BY$7:$BY$1843,BY1233,$AK$7:$AK$1843,AK1233,$BQ$7:$BQ$1843,"&lt;="&amp;BQ1233),"")</f>
        <v>53.0048478091956</v>
      </c>
      <c r="AM1233" s="65" t="n">
        <f aca="false">IF(AL1233="",0,MAX(0,MIN(1,(IF(BY1233="L1",Parameter!$E$5,Parameter!$E$6+Parameter!$E$7)-(AL1233-AH1233))/AH1233)))</f>
        <v>1</v>
      </c>
      <c r="AN1233" s="57" t="n">
        <f aca="false">IF(LEFT(Cockpit!$I$5,1)="A",H1233,IF(CA1233=1,CB1233,IF(LEFT(Cockpit!$I$5,1)="B",AR1233,MAX(AR1233,H1233))))</f>
        <v>8</v>
      </c>
      <c r="AO1233" s="57" t="n">
        <f aca="false">IF(BT1233=1,0,ROUNDUP(AN1233/BS1233,0))</f>
        <v>2</v>
      </c>
      <c r="AP1233" s="59" t="n">
        <f aca="false">IF(CH1233&gt;0,CH1233*MAX(1,AN1233/X1233),IF(BT1233=1,IF(AN1233&lt;=0,0,BW1233*MAX(1,IF(H1233&gt;0,AN1233/H1233,1))),IF(R1233&gt;0,AO1233/R1233,0))/MAX(0.1,N(Parameter!$M$21)))</f>
        <v>0.333333333333333</v>
      </c>
      <c r="AQ1233" s="57" t="n">
        <f aca="false">AN1233*G1233</f>
        <v>1050</v>
      </c>
      <c r="AR1233" s="57" t="n">
        <f aca="false">ROUNDUP(MAX(J1233/IF(BZ1233&gt;0,BZ1233,MAX(0.1,N(Cockpit!$I$6))),CC1233)/BS1233,0)*BS1233</f>
        <v>6</v>
      </c>
      <c r="AS1233" s="58" t="n">
        <f aca="false">IF(AP1233&gt;0,J1233/AP1233,-1)</f>
        <v>18</v>
      </c>
      <c r="AT1233" s="58" t="n">
        <f aca="false">IF(AND(OR(BY1233="L1",BY1233="L23"),AP1233&gt;0),SUMIFS($AP$7:$AP$1843,$BY$7:$BY$1843,BY1233,$AS$7:$AS$1843,"&gt;"&amp;AS1233)+SUMIFS($AP$7:$AP$1843,$BY$7:$BY$1843,BY1233,$AS$7:$AS$1843,AS1233,$BQ$7:$BQ$1843,"&lt;="&amp;BQ1233),"")</f>
        <v>78.3456386608561</v>
      </c>
      <c r="AU1233" s="65" t="n">
        <f aca="false">IF(AT1233="",0,MAX(0,MIN(1,(IF(BY1233="L1",Parameter!$E$5,Parameter!$E$6+Parameter!$E$7)-(AT1233-AP1233))/AP1233)))</f>
        <v>1</v>
      </c>
      <c r="AV1233" s="57" t="n">
        <f aca="false">IF(LEFT(Cockpit!$O$5,1)="A",H1233,IF(CA1233=1,CB1233,IF(LEFT(Cockpit!$O$5,1)="B",AZ1233,MAX(AZ1233,H1233))))</f>
        <v>8</v>
      </c>
      <c r="AW1233" s="57" t="n">
        <f aca="false">IF(BT1233=1,0,ROUNDUP(AV1233/BS1233,0))</f>
        <v>2</v>
      </c>
      <c r="AX1233" s="59" t="n">
        <f aca="false">IF(CH1233&gt;0,CH1233*MAX(1,AV1233/X1233),IF(BT1233=1,IF(AV1233&lt;=0,0,BW1233*MAX(1,IF(H1233&gt;0,AV1233/H1233,1))),IF(R1233&gt;0,AW1233/R1233,0))/MAX(0.1,N(Parameter!$M$21)))</f>
        <v>0.333333333333333</v>
      </c>
      <c r="AY1233" s="57" t="n">
        <f aca="false">AV1233*G1233</f>
        <v>1050</v>
      </c>
      <c r="AZ1233" s="57" t="n">
        <f aca="false">ROUNDUP(MAX(J1233/IF(BZ1233&gt;0,BZ1233,MAX(0.1,N(Cockpit!$O$6))),CC1233)/BS1233,0)*BS1233</f>
        <v>6</v>
      </c>
      <c r="BA1233" s="58" t="n">
        <f aca="false">IF(AX1233&gt;0,J1233/AX1233,-1)</f>
        <v>18</v>
      </c>
      <c r="BB1233" s="58" t="n">
        <f aca="false">IF(AND(OR(BY1233="L1",BY1233="L23"),AX1233&gt;0),SUMIFS($AX$7:$AX$1843,$BY$7:$BY$1843,BY1233,$BA$7:$BA$1843,"&gt;"&amp;BA1233)+SUMIFS($AX$7:$AX$1843,$BY$7:$BY$1843,BY1233,$BA$7:$BA$1843,BA1233,$BQ$7:$BQ$1843,"&lt;="&amp;BQ1233),"")</f>
        <v>77.8421421573596</v>
      </c>
      <c r="BC1233" s="65" t="n">
        <f aca="false">IF(BB1233="",0,MAX(0,MIN(1,(IF(BY1233="L1",Parameter!$E$5,Parameter!$E$6+Parameter!$E$7)-(BB1233-AX1233))/AX1233)))</f>
        <v>1</v>
      </c>
      <c r="BD1233" s="55" t="str">
        <f aca="false">IF(AH1233&lt;=0,"",IF(BY1233="Aussen","Aussenlager",IF(BY1233="-","Nicht im Lift",IF(AM1233&gt;=1,"Lift",IF(AM1233&lt;=0,"Aussenlager","teilweise")))))</f>
        <v>Lift</v>
      </c>
      <c r="BE1233" s="55" t="str">
        <f aca="false">IF(AP1233&lt;=0,"",IF(BY1233="Aussen","Aussenlager",IF(BY1233="-","Nicht im Lift",IF(AU1233&gt;=1,"Lift",IF(AU1233&lt;=0,"Aussenlager","teilweise")))))</f>
        <v>Lift</v>
      </c>
      <c r="BF1233" s="55" t="str">
        <f aca="false">IF(AX1233&lt;=0,"",IF(BY1233="Aussen","Aussenlager",IF(BY1233="-","Nicht im Lift",IF(BC1233&gt;=1,"Lift",IF(BC1233&lt;=0,"Aussenlager","teilweise")))))</f>
        <v>Lift</v>
      </c>
      <c r="BG1233" s="55" t="str">
        <f aca="false">IF(A1233="","",IF(BP1233=1,"Neu; ","")&amp;IF(AND(BP1233=0,BK1233&lt;0),"negativer Bestand (Export "&amp;BK1233&amp;"); ","")&amp;IF(J1233&lt;=0,"Kein Verbrauch; ","")&amp;IF(CH1233&gt;0,"Lift "&amp;W1233&amp;" lt. Liftbericht (Fach "&amp;X1233&amp;" Stk); ",IF(BU1233=1,"Gebinde geschätzt ("&amp;T1233&amp;"); ",IF(BT1233=1,"Lose – Tablare geschätzt; ","")))&amp;IF(H1233&gt;AR1233,"Überbestand "&amp;ROUND(H1233-AR1233,0)&amp;" Stk / CHF "&amp;ROUND((H1233-AR1233)*G1233,0)&amp;"; ","")&amp;IF(AND(CA1233=1,CB1233&lt;CC1233),"MAX &lt; MB+LG; ","")&amp;IF(AND(CG1233&gt;0,CF1233*10&gt;CG1233),"zu hoch für Tablar; ","")&amp;IF(AND(BP1233=0,OR(CA1233=1,AA1233&lt;&gt;"",U1233&lt;&gt;"",V1233&lt;&gt;"",AB1233&lt;&gt;"")),"manuell übersteuert; ","")&amp;IF(AND(BT1233=0,R1233=0),"Gebinde unbekannt / Stellmass fehlt; ","")&amp;IF(AND(BT1233=0,N(V1233)&lt;=0,N(Q1233)&lt;=0),"Menge pro Gebinde fehlt (Ist = 1 Gebinde); ","")&amp;BO1233)</f>
        <v>negativer Bestand (Export -5); Überbestand 2 Stk / CHF 263; grosser Artikel &amp; nicht im KTL</v>
      </c>
      <c r="BH1233" s="55"/>
      <c r="BI1233" s="55"/>
      <c r="BJ1233" s="62"/>
      <c r="BK1233" s="57" t="n">
        <v>-5</v>
      </c>
      <c r="BL1233" s="57" t="n">
        <v>13</v>
      </c>
      <c r="BM1233" s="56" t="n">
        <v>-656.25</v>
      </c>
      <c r="BN1233" s="57" t="n">
        <v>6</v>
      </c>
      <c r="BO1233" s="55" t="s">
        <v>261</v>
      </c>
      <c r="BP1233" s="60" t="n">
        <v>0</v>
      </c>
      <c r="BQ1233" s="60" t="n">
        <v>1233</v>
      </c>
      <c r="BR1233" s="55" t="str">
        <f aca="false">IF(U1233&lt;&gt;"",UPPER(TRIM(U1233)),IF(BU1233=1,UPPER(VLOOKUP(T1233,Parameter!$I$27:$K$29,2,0)),IF(P1233="","LOSE",P1233)))</f>
        <v>S72</v>
      </c>
      <c r="BS1233" s="57" t="n">
        <f aca="false">IF(BR1233="LOSE",1,IF(N(V1233)&gt;0,V1233,IF(BU1233=1,MAX(1,N(VLOOKUP(T1233,Parameter!$I$27:$K$29,3,0)),H1233,N(N1233)),IF(N(Q1233)&gt;0,Q1233,MAX(1,H1233)))))</f>
        <v>6</v>
      </c>
      <c r="BT1233" s="60" t="n">
        <f aca="false">IF(BR1233="LOSE",1,0)</f>
        <v>0</v>
      </c>
      <c r="BU1233" s="60" t="n">
        <f aca="false">IF(AND(U1233="",OR(P1233="",P1233="LOSE"),T1233&lt;&gt;"",N(S1233)&lt;=0,ISNUMBER(MATCH(T1233,Parameter!$I$27:$I$29,0))),1,0)</f>
        <v>0</v>
      </c>
      <c r="BV1233" s="55" t="str">
        <f aca="false">IF(AND(Parameter!$B$19="Ja",E1233&lt;&gt;"",ISNUMBER(MATCH(E1233,Parameter!$I$35:$I$52,0))),VLOOKUP(E1233,Parameter!$I$35:$J$52,2,0),IFERROR(VLOOKUP(D1233,Parameter!$A$35:$C$64,2,0),"Nein"))</f>
        <v>2+3</v>
      </c>
      <c r="BW1233" s="59" t="n">
        <f aca="false">IF(BT1233=0,0,IF(N(S1233)&gt;0,S1233,IFERROR(VLOOKUP(D1233,Parameter!$A$35:$C$64,3,0)+0,0)))</f>
        <v>0</v>
      </c>
      <c r="BX1233" s="55" t="n">
        <f aca="false">IF(AA1233&lt;&gt;"",AA1233,Z1233)</f>
        <v>2</v>
      </c>
      <c r="BY1233" s="55" t="str">
        <f aca="false">IF(BX1233=1,"L1",IF(OR(BX1233=2,BX1233=3),"L23",IF(BX1233="Aussen","Aussen","-")))</f>
        <v>L23</v>
      </c>
      <c r="BZ1233" s="66" t="n">
        <f aca="false">IF(N(AB1233)&gt;0,AB1233,0)</f>
        <v>0</v>
      </c>
      <c r="CA1233" s="60" t="n">
        <f aca="false">IF(ISNUMBER(AE1233),1,0)</f>
        <v>0</v>
      </c>
      <c r="CB1233" s="57" t="n">
        <f aca="false">N(AE1233)</f>
        <v>0</v>
      </c>
      <c r="CC1233" s="57" t="n">
        <f aca="false">N(M1233)+N(N1233)</f>
        <v>5</v>
      </c>
      <c r="CD1233" s="57" t="n">
        <f aca="false">ROUNDUP(H1233/BS1233,0)</f>
        <v>2</v>
      </c>
      <c r="CE1233" s="57" t="n">
        <f aca="false">ROUNDUP(CB1233/BS1233,0)</f>
        <v>0</v>
      </c>
      <c r="CF1233" s="60" t="n">
        <f aca="false">IF(BT1233=1,0,IFERROR(VLOOKUP(BR1233,'Gebinde-Kategorie'!$A$5:$M$45,5,0)+0,0))</f>
        <v>40</v>
      </c>
      <c r="CG1233" s="60" t="n">
        <f aca="false">IFERROR(IF(OR(BX1233=1,BX1233=2,BX1233=3),N(INDEX(Parameter!$I$5:$I$7,BX1233)),0),0)</f>
        <v>0</v>
      </c>
      <c r="CH1233" s="59" t="n">
        <f aca="false">IF(AND(Parameter!$B$21="Ja",ISNUMBER(W1233),N(X1233)&gt;0),IFERROR(N(INDEX(Parameter!$L$5:$L$7,W1233))*INDEX(Parameter!$E$5:$E$7,W1233)*X1233/SUMIFS($X$7:$X$1843,$W$7:$W$1843,W1233),0),0)</f>
        <v>0</v>
      </c>
    </row>
    <row r="1234" customFormat="false" ht="15" hidden="false" customHeight="false" outlineLevel="0" collapsed="false">
      <c r="A1234" s="55" t="s">
        <v>2209</v>
      </c>
      <c r="B1234" s="55" t="s">
        <v>2210</v>
      </c>
      <c r="C1234" s="55" t="s">
        <v>456</v>
      </c>
      <c r="D1234" s="55" t="s">
        <v>173</v>
      </c>
      <c r="E1234" s="55"/>
      <c r="F1234" s="55" t="s">
        <v>218</v>
      </c>
      <c r="G1234" s="56" t="n">
        <v>94.82</v>
      </c>
      <c r="H1234" s="57" t="n">
        <f aca="false">MAX(0,IF(AND(Parameter!$B$21="Ja",ISNUMBER(Y1234)),Y1234,IF(Parameter!$B$20="Jahresanfang 2025 + Export",BL1234+BK1234,BK1234)))</f>
        <v>0</v>
      </c>
      <c r="I1234" s="57" t="n">
        <f aca="false">H1234*G1234</f>
        <v>0</v>
      </c>
      <c r="J1234" s="57" t="n">
        <f aca="false">BN1234*Parameter!$B$18</f>
        <v>0</v>
      </c>
      <c r="K1234" s="58" t="n">
        <v>3.5</v>
      </c>
      <c r="L1234" s="59" t="n">
        <v>0</v>
      </c>
      <c r="M1234" s="57" t="n">
        <v>0</v>
      </c>
      <c r="N1234" s="57" t="n">
        <v>1</v>
      </c>
      <c r="O1234" s="60" t="n">
        <v>56</v>
      </c>
      <c r="P1234" s="55" t="s">
        <v>168</v>
      </c>
      <c r="Q1234" s="57"/>
      <c r="R1234" s="60" t="n">
        <f aca="false">IF(BT1234=1,0,IFERROR(VLOOKUP(BR1234,'Gebinde-Kategorie'!$A$5:$M$45,13,0)+0,0))</f>
        <v>3</v>
      </c>
      <c r="S1234" s="61"/>
      <c r="T1234" s="62" t="s">
        <v>189</v>
      </c>
      <c r="U1234" s="62"/>
      <c r="V1234" s="62"/>
      <c r="W1234" s="55"/>
      <c r="X1234" s="57"/>
      <c r="Y1234" s="57"/>
      <c r="Z1234" s="55" t="n">
        <f aca="false">IF(A1234="","",IF(AND(Parameter!$B$21="Ja",ISNUMBER(W1234)),W1234,IF(BV1234="2+3",IF(ISNUMBER(SEARCH("grosser Artikel",BO1234)),2,IFERROR(VLOOKUP(BR1234,Parameter!$F$35:$G$64,2,0),2)),IF(OR(BV1234="Nein",BV1234=""),"-",BV1234))))</f>
        <v>2</v>
      </c>
      <c r="AA1234" s="62"/>
      <c r="AB1234" s="63"/>
      <c r="AC1234" s="57" t="n">
        <f aca="false">AR1234</f>
        <v>2</v>
      </c>
      <c r="AD1234" s="57" t="n">
        <f aca="false">MAX(AR1234,H1234)</f>
        <v>2</v>
      </c>
      <c r="AE1234" s="64"/>
      <c r="AF1234" s="57" t="n">
        <f aca="false">IF(LEFT(Cockpit!$C$5,1)="A",H1234,IF(CA1234=1,CB1234,IF(LEFT(Cockpit!$C$5,1)="B",AJ1234,MAX(AJ1234,H1234))))</f>
        <v>0</v>
      </c>
      <c r="AG1234" s="57" t="n">
        <f aca="false">IF(BT1234=1,0,ROUNDUP(AF1234/BS1234,0))</f>
        <v>0</v>
      </c>
      <c r="AH1234" s="59" t="n">
        <f aca="false">IF(CH1234&gt;0,CH1234*MAX(1,AF1234/X1234),IF(BT1234=1,IF(AF1234&lt;=0,0,BW1234*MAX(1,IF(H1234&gt;0,AF1234/H1234,1))),IF(R1234&gt;0,AG1234/R1234,0))/MAX(0.1,N(Parameter!$M$21)))</f>
        <v>0</v>
      </c>
      <c r="AI1234" s="57" t="n">
        <f aca="false">AF1234*G1234</f>
        <v>0</v>
      </c>
      <c r="AJ1234" s="57" t="n">
        <f aca="false">ROUNDUP(MAX(J1234/IF(BZ1234&gt;0,BZ1234,MAX(0.1,N(Cockpit!$C$6))),CC1234)/BS1234,0)*BS1234</f>
        <v>2</v>
      </c>
      <c r="AK1234" s="58" t="n">
        <f aca="false">IF(AH1234&gt;0,J1234/AH1234,-1)</f>
        <v>-1</v>
      </c>
      <c r="AL1234" s="58" t="str">
        <f aca="false">IF(AND(OR(BY1234="L1",BY1234="L23"),AH1234&gt;0),SUMIFS($AH$7:$AH$1843,$BY$7:$BY$1843,BY1234,$AK$7:$AK$1843,"&gt;"&amp;AK1234)+SUMIFS($AH$7:$AH$1843,$BY$7:$BY$1843,BY1234,$AK$7:$AK$1843,AK1234,$BQ$7:$BQ$1843,"&lt;="&amp;BQ1234),"")</f>
        <v/>
      </c>
      <c r="AM1234" s="65" t="n">
        <f aca="false">IF(AL1234="",0,MAX(0,MIN(1,(IF(BY1234="L1",Parameter!$E$5,Parameter!$E$6+Parameter!$E$7)-(AL1234-AH1234))/AH1234)))</f>
        <v>0</v>
      </c>
      <c r="AN1234" s="57" t="n">
        <f aca="false">IF(LEFT(Cockpit!$I$5,1)="A",H1234,IF(CA1234=1,CB1234,IF(LEFT(Cockpit!$I$5,1)="B",AR1234,MAX(AR1234,H1234))))</f>
        <v>2</v>
      </c>
      <c r="AO1234" s="57" t="n">
        <f aca="false">IF(BT1234=1,0,ROUNDUP(AN1234/BS1234,0))</f>
        <v>1</v>
      </c>
      <c r="AP1234" s="59" t="n">
        <f aca="false">IF(CH1234&gt;0,CH1234*MAX(1,AN1234/X1234),IF(BT1234=1,IF(AN1234&lt;=0,0,BW1234*MAX(1,IF(H1234&gt;0,AN1234/H1234,1))),IF(R1234&gt;0,AO1234/R1234,0))/MAX(0.1,N(Parameter!$M$21)))</f>
        <v>0.333333333333333</v>
      </c>
      <c r="AQ1234" s="57" t="n">
        <f aca="false">AN1234*G1234</f>
        <v>189.64</v>
      </c>
      <c r="AR1234" s="57" t="n">
        <f aca="false">ROUNDUP(MAX(J1234/IF(BZ1234&gt;0,BZ1234,MAX(0.1,N(Cockpit!$I$6))),CC1234)/BS1234,0)*BS1234</f>
        <v>2</v>
      </c>
      <c r="AS1234" s="58" t="n">
        <f aca="false">IF(AP1234&gt;0,J1234/AP1234,-1)</f>
        <v>0</v>
      </c>
      <c r="AT1234" s="58" t="n">
        <f aca="false">IF(AND(OR(BY1234="L1",BY1234="L23"),AP1234&gt;0),SUMIFS($AP$7:$AP$1843,$BY$7:$BY$1843,BY1234,$AS$7:$AS$1843,"&gt;"&amp;AS1234)+SUMIFS($AP$7:$AP$1843,$BY$7:$BY$1843,BY1234,$AS$7:$AS$1843,AS1234,$BQ$7:$BQ$1843,"&lt;="&amp;BQ1234),"")</f>
        <v>123.535818046688</v>
      </c>
      <c r="AU1234" s="65" t="n">
        <f aca="false">IF(AT1234="",0,MAX(0,MIN(1,(IF(BY1234="L1",Parameter!$E$5,Parameter!$E$6+Parameter!$E$7)-(AT1234-AP1234))/AP1234)))</f>
        <v>0</v>
      </c>
      <c r="AV1234" s="57" t="n">
        <f aca="false">IF(LEFT(Cockpit!$O$5,1)="A",H1234,IF(CA1234=1,CB1234,IF(LEFT(Cockpit!$O$5,1)="B",AZ1234,MAX(AZ1234,H1234))))</f>
        <v>2</v>
      </c>
      <c r="AW1234" s="57" t="n">
        <f aca="false">IF(BT1234=1,0,ROUNDUP(AV1234/BS1234,0))</f>
        <v>1</v>
      </c>
      <c r="AX1234" s="59" t="n">
        <f aca="false">IF(CH1234&gt;0,CH1234*MAX(1,AV1234/X1234),IF(BT1234=1,IF(AV1234&lt;=0,0,BW1234*MAX(1,IF(H1234&gt;0,AV1234/H1234,1))),IF(R1234&gt;0,AW1234/R1234,0))/MAX(0.1,N(Parameter!$M$21)))</f>
        <v>0.333333333333333</v>
      </c>
      <c r="AY1234" s="57" t="n">
        <f aca="false">AV1234*G1234</f>
        <v>189.64</v>
      </c>
      <c r="AZ1234" s="57" t="n">
        <f aca="false">ROUNDUP(MAX(J1234/IF(BZ1234&gt;0,BZ1234,MAX(0.1,N(Cockpit!$O$6))),CC1234)/BS1234,0)*BS1234</f>
        <v>2</v>
      </c>
      <c r="BA1234" s="58" t="n">
        <f aca="false">IF(AX1234&gt;0,J1234/AX1234,-1)</f>
        <v>0</v>
      </c>
      <c r="BB1234" s="58" t="n">
        <f aca="false">IF(AND(OR(BY1234="L1",BY1234="L23"),AX1234&gt;0),SUMIFS($AX$7:$AX$1843,$BY$7:$BY$1843,BY1234,$BA$7:$BA$1843,"&gt;"&amp;BA1234)+SUMIFS($AX$7:$AX$1843,$BY$7:$BY$1843,BY1234,$BA$7:$BA$1843,BA1234,$BQ$7:$BQ$1843,"&lt;="&amp;BQ1234),"")</f>
        <v>114.365654876524</v>
      </c>
      <c r="BC1234" s="65" t="n">
        <f aca="false">IF(BB1234="",0,MAX(0,MIN(1,(IF(BY1234="L1",Parameter!$E$5,Parameter!$E$6+Parameter!$E$7)-(BB1234-AX1234))/AX1234)))</f>
        <v>0</v>
      </c>
      <c r="BD1234" s="55" t="str">
        <f aca="false">IF(AH1234&lt;=0,"",IF(BY1234="Aussen","Aussenlager",IF(BY1234="-","Nicht im Lift",IF(AM1234&gt;=1,"Lift",IF(AM1234&lt;=0,"Aussenlager","teilweise")))))</f>
        <v/>
      </c>
      <c r="BE1234" s="55" t="str">
        <f aca="false">IF(AP1234&lt;=0,"",IF(BY1234="Aussen","Aussenlager",IF(BY1234="-","Nicht im Lift",IF(AU1234&gt;=1,"Lift",IF(AU1234&lt;=0,"Aussenlager","teilweise")))))</f>
        <v>Aussenlager</v>
      </c>
      <c r="BF1234" s="55" t="str">
        <f aca="false">IF(AX1234&lt;=0,"",IF(BY1234="Aussen","Aussenlager",IF(BY1234="-","Nicht im Lift",IF(BC1234&gt;=1,"Lift",IF(BC1234&lt;=0,"Aussenlager","teilweise")))))</f>
        <v>Aussenlager</v>
      </c>
      <c r="BG1234" s="55" t="str">
        <f aca="false">IF(A1234="","",IF(BP1234=1,"Neu; ","")&amp;IF(AND(BP1234=0,BK1234&lt;0),"negativer Bestand (Export "&amp;BK1234&amp;"); ","")&amp;IF(J1234&lt;=0,"Kein Verbrauch; ","")&amp;IF(CH1234&gt;0,"Lift "&amp;W1234&amp;" lt. Liftbericht (Fach "&amp;X1234&amp;" Stk); ",IF(BU1234=1,"Gebinde geschätzt ("&amp;T1234&amp;"); ",IF(BT1234=1,"Lose – Tablare geschätzt; ","")))&amp;IF(H1234&gt;AR1234,"Überbestand "&amp;ROUND(H1234-AR1234,0)&amp;" Stk / CHF "&amp;ROUND((H1234-AR1234)*G1234,0)&amp;"; ","")&amp;IF(AND(CA1234=1,CB1234&lt;CC1234),"MAX &lt; MB+LG; ","")&amp;IF(AND(CG1234&gt;0,CF1234*10&gt;CG1234),"zu hoch für Tablar; ","")&amp;IF(AND(BP1234=0,OR(CA1234=1,AA1234&lt;&gt;"",U1234&lt;&gt;"",V1234&lt;&gt;"",AB1234&lt;&gt;"")),"manuell übersteuert; ","")&amp;IF(AND(BT1234=0,R1234=0),"Gebinde unbekannt / Stellmass fehlt; ","")&amp;IF(AND(BT1234=0,N(V1234)&lt;=0,N(Q1234)&lt;=0),"Menge pro Gebinde fehlt (Ist = 1 Gebinde); ","")&amp;BO1234)</f>
        <v>negativer Bestand (Export -7); Kein Verbrauch; Gebinde geschätzt (Gross); Menge pro Gebinde fehlt (Ist = 1 Gebinde); Neuer Art.</v>
      </c>
      <c r="BH1234" s="55"/>
      <c r="BI1234" s="55"/>
      <c r="BJ1234" s="62"/>
      <c r="BK1234" s="57" t="n">
        <v>-7</v>
      </c>
      <c r="BL1234" s="57" t="n">
        <v>7</v>
      </c>
      <c r="BM1234" s="56" t="n">
        <v>-663.74</v>
      </c>
      <c r="BN1234" s="57" t="n">
        <v>0</v>
      </c>
      <c r="BO1234" s="55" t="s">
        <v>512</v>
      </c>
      <c r="BP1234" s="60" t="n">
        <v>0</v>
      </c>
      <c r="BQ1234" s="60" t="n">
        <v>1234</v>
      </c>
      <c r="BR1234" s="55" t="str">
        <f aca="false">IF(U1234&lt;&gt;"",UPPER(TRIM(U1234)),IF(BU1234=1,UPPER(VLOOKUP(T1234,Parameter!$I$27:$K$29,2,0)),IF(P1234="","LOSE",P1234)))</f>
        <v>S81</v>
      </c>
      <c r="BS1234" s="57" t="n">
        <f aca="false">IF(BR1234="LOSE",1,IF(N(V1234)&gt;0,V1234,IF(BU1234=1,MAX(1,N(VLOOKUP(T1234,Parameter!$I$27:$K$29,3,0)),H1234,N(N1234)),IF(N(Q1234)&gt;0,Q1234,MAX(1,H1234)))))</f>
        <v>2</v>
      </c>
      <c r="BT1234" s="60" t="n">
        <f aca="false">IF(BR1234="LOSE",1,0)</f>
        <v>0</v>
      </c>
      <c r="BU1234" s="60" t="n">
        <f aca="false">IF(AND(U1234="",OR(P1234="",P1234="LOSE"),T1234&lt;&gt;"",N(S1234)&lt;=0,ISNUMBER(MATCH(T1234,Parameter!$I$27:$I$29,0))),1,0)</f>
        <v>1</v>
      </c>
      <c r="BV1234" s="55" t="str">
        <f aca="false">IF(AND(Parameter!$B$19="Ja",E1234&lt;&gt;"",ISNUMBER(MATCH(E1234,Parameter!$I$35:$I$52,0))),VLOOKUP(E1234,Parameter!$I$35:$J$52,2,0),IFERROR(VLOOKUP(D1234,Parameter!$A$35:$C$64,2,0),"Nein"))</f>
        <v>2+3</v>
      </c>
      <c r="BW1234" s="59" t="n">
        <f aca="false">IF(BT1234=0,0,IF(N(S1234)&gt;0,S1234,IFERROR(VLOOKUP(D1234,Parameter!$A$35:$C$64,3,0)+0,0)))</f>
        <v>0</v>
      </c>
      <c r="BX1234" s="55" t="n">
        <f aca="false">IF(AA1234&lt;&gt;"",AA1234,Z1234)</f>
        <v>2</v>
      </c>
      <c r="BY1234" s="55" t="str">
        <f aca="false">IF(BX1234=1,"L1",IF(OR(BX1234=2,BX1234=3),"L23",IF(BX1234="Aussen","Aussen","-")))</f>
        <v>L23</v>
      </c>
      <c r="BZ1234" s="66" t="n">
        <f aca="false">IF(N(AB1234)&gt;0,AB1234,0)</f>
        <v>0</v>
      </c>
      <c r="CA1234" s="60" t="n">
        <f aca="false">IF(ISNUMBER(AE1234),1,0)</f>
        <v>0</v>
      </c>
      <c r="CB1234" s="57" t="n">
        <f aca="false">N(AE1234)</f>
        <v>0</v>
      </c>
      <c r="CC1234" s="57" t="n">
        <f aca="false">N(M1234)+N(N1234)</f>
        <v>1</v>
      </c>
      <c r="CD1234" s="57" t="n">
        <f aca="false">ROUNDUP(H1234/BS1234,0)</f>
        <v>0</v>
      </c>
      <c r="CE1234" s="57" t="n">
        <f aca="false">ROUNDUP(CB1234/BS1234,0)</f>
        <v>0</v>
      </c>
      <c r="CF1234" s="60" t="n">
        <f aca="false">IF(BT1234=1,0,IFERROR(VLOOKUP(BR1234,'Gebinde-Kategorie'!$A$5:$M$45,5,0)+0,0))</f>
        <v>20</v>
      </c>
      <c r="CG1234" s="60" t="n">
        <f aca="false">IFERROR(IF(OR(BX1234=1,BX1234=2,BX1234=3),N(INDEX(Parameter!$I$5:$I$7,BX1234)),0),0)</f>
        <v>0</v>
      </c>
      <c r="CH1234" s="59" t="n">
        <f aca="false">IF(AND(Parameter!$B$21="Ja",ISNUMBER(W1234),N(X1234)&gt;0),IFERROR(N(INDEX(Parameter!$L$5:$L$7,W1234))*INDEX(Parameter!$E$5:$E$7,W1234)*X1234/SUMIFS($X$7:$X$1843,$W$7:$W$1843,W1234),0),0)</f>
        <v>0</v>
      </c>
    </row>
    <row r="1235" customFormat="false" ht="15" hidden="false" customHeight="false" outlineLevel="0" collapsed="false">
      <c r="A1235" s="55" t="s">
        <v>2211</v>
      </c>
      <c r="B1235" s="55" t="s">
        <v>2127</v>
      </c>
      <c r="C1235" s="55" t="s">
        <v>164</v>
      </c>
      <c r="D1235" s="55" t="s">
        <v>184</v>
      </c>
      <c r="E1235" s="55" t="s">
        <v>166</v>
      </c>
      <c r="F1235" s="55" t="s">
        <v>218</v>
      </c>
      <c r="G1235" s="56" t="n">
        <v>54.19</v>
      </c>
      <c r="H1235" s="57" t="n">
        <f aca="false">MAX(0,IF(AND(Parameter!$B$21="Ja",ISNUMBER(Y1235)),Y1235,IF(Parameter!$B$20="Jahresanfang 2025 + Export",BL1235+BK1235,BK1235)))</f>
        <v>64</v>
      </c>
      <c r="I1235" s="57" t="n">
        <f aca="false">H1235*G1235</f>
        <v>3468.16</v>
      </c>
      <c r="J1235" s="57" t="n">
        <f aca="false">BN1235*Parameter!$B$18</f>
        <v>254</v>
      </c>
      <c r="K1235" s="58" t="n">
        <v>77.5</v>
      </c>
      <c r="L1235" s="59" t="n">
        <v>3.27741935483871</v>
      </c>
      <c r="M1235" s="57" t="n">
        <v>14</v>
      </c>
      <c r="N1235" s="57" t="n">
        <v>30</v>
      </c>
      <c r="O1235" s="60" t="n">
        <v>21</v>
      </c>
      <c r="P1235" s="55" t="s">
        <v>302</v>
      </c>
      <c r="Q1235" s="57" t="n">
        <v>54</v>
      </c>
      <c r="R1235" s="60" t="n">
        <f aca="false">IF(BT1235=1,0,IFERROR(VLOOKUP(BR1235,'Gebinde-Kategorie'!$A$5:$M$45,13,0)+0,0))</f>
        <v>26</v>
      </c>
      <c r="S1235" s="61"/>
      <c r="T1235" s="62"/>
      <c r="U1235" s="62"/>
      <c r="V1235" s="62"/>
      <c r="W1235" s="55"/>
      <c r="X1235" s="57"/>
      <c r="Y1235" s="57"/>
      <c r="Z1235" s="55" t="n">
        <f aca="false">IF(A1235="","",IF(AND(Parameter!$B$21="Ja",ISNUMBER(W1235)),W1235,IF(BV1235="2+3",IF(ISNUMBER(SEARCH("grosser Artikel",BO1235)),2,IFERROR(VLOOKUP(BR1235,Parameter!$F$35:$G$64,2,0),2)),IF(OR(BV1235="Nein",BV1235=""),"-",BV1235))))</f>
        <v>1</v>
      </c>
      <c r="AA1235" s="62"/>
      <c r="AB1235" s="63"/>
      <c r="AC1235" s="57" t="n">
        <f aca="false">AR1235</f>
        <v>162</v>
      </c>
      <c r="AD1235" s="57" t="n">
        <f aca="false">MAX(AR1235,H1235)</f>
        <v>162</v>
      </c>
      <c r="AE1235" s="64"/>
      <c r="AF1235" s="57" t="n">
        <f aca="false">IF(LEFT(Cockpit!$C$5,1)="A",H1235,IF(CA1235=1,CB1235,IF(LEFT(Cockpit!$C$5,1)="B",AJ1235,MAX(AJ1235,H1235))))</f>
        <v>64</v>
      </c>
      <c r="AG1235" s="57" t="n">
        <f aca="false">IF(BT1235=1,0,ROUNDUP(AF1235/BS1235,0))</f>
        <v>2</v>
      </c>
      <c r="AH1235" s="59" t="n">
        <f aca="false">IF(CH1235&gt;0,CH1235*MAX(1,AF1235/X1235),IF(BT1235=1,IF(AF1235&lt;=0,0,BW1235*MAX(1,IF(H1235&gt;0,AF1235/H1235,1))),IF(R1235&gt;0,AG1235/R1235,0))/MAX(0.1,N(Parameter!$M$21)))</f>
        <v>0.0769230769230769</v>
      </c>
      <c r="AI1235" s="57" t="n">
        <f aca="false">AF1235*G1235</f>
        <v>3468.16</v>
      </c>
      <c r="AJ1235" s="57" t="n">
        <f aca="false">ROUNDUP(MAX(J1235/IF(BZ1235&gt;0,BZ1235,MAX(0.1,N(Cockpit!$C$6))),CC1235)/BS1235,0)*BS1235</f>
        <v>162</v>
      </c>
      <c r="AK1235" s="58" t="n">
        <f aca="false">IF(AH1235&gt;0,J1235/AH1235,-1)</f>
        <v>3302</v>
      </c>
      <c r="AL1235" s="58" t="n">
        <f aca="false">IF(AND(OR(BY1235="L1",BY1235="L23"),AH1235&gt;0),SUMIFS($AH$7:$AH$1843,$BY$7:$BY$1843,BY1235,$AK$7:$AK$1843,"&gt;"&amp;AK1235)+SUMIFS($AH$7:$AH$1843,$BY$7:$BY$1843,BY1235,$AK$7:$AK$1843,AK1235,$BQ$7:$BQ$1843,"&lt;="&amp;BQ1235),"")</f>
        <v>0.0841694537346711</v>
      </c>
      <c r="AM1235" s="65" t="n">
        <f aca="false">IF(AL1235="",0,MAX(0,MIN(1,(IF(BY1235="L1",Parameter!$E$5,Parameter!$E$6+Parameter!$E$7)-(AL1235-AH1235))/AH1235)))</f>
        <v>1</v>
      </c>
      <c r="AN1235" s="57" t="n">
        <f aca="false">IF(LEFT(Cockpit!$I$5,1)="A",H1235,IF(CA1235=1,CB1235,IF(LEFT(Cockpit!$I$5,1)="B",AR1235,MAX(AR1235,H1235))))</f>
        <v>162</v>
      </c>
      <c r="AO1235" s="57" t="n">
        <f aca="false">IF(BT1235=1,0,ROUNDUP(AN1235/BS1235,0))</f>
        <v>3</v>
      </c>
      <c r="AP1235" s="59" t="n">
        <f aca="false">IF(CH1235&gt;0,CH1235*MAX(1,AN1235/X1235),IF(BT1235=1,IF(AN1235&lt;=0,0,BW1235*MAX(1,IF(H1235&gt;0,AN1235/H1235,1))),IF(R1235&gt;0,AO1235/R1235,0))/MAX(0.1,N(Parameter!$M$21)))</f>
        <v>0.115384615384615</v>
      </c>
      <c r="AQ1235" s="57" t="n">
        <f aca="false">AN1235*G1235</f>
        <v>8778.78</v>
      </c>
      <c r="AR1235" s="57" t="n">
        <f aca="false">ROUNDUP(MAX(J1235/IF(BZ1235&gt;0,BZ1235,MAX(0.1,N(Cockpit!$I$6))),CC1235)/BS1235,0)*BS1235</f>
        <v>162</v>
      </c>
      <c r="AS1235" s="58" t="n">
        <f aca="false">IF(AP1235&gt;0,J1235/AP1235,-1)</f>
        <v>2201.33333333333</v>
      </c>
      <c r="AT1235" s="58" t="n">
        <f aca="false">IF(AND(OR(BY1235="L1",BY1235="L23"),AP1235&gt;0),SUMIFS($AP$7:$AP$1843,$BY$7:$BY$1843,BY1235,$AS$7:$AS$1843,"&gt;"&amp;AS1235)+SUMIFS($AP$7:$AP$1843,$BY$7:$BY$1843,BY1235,$AS$7:$AS$1843,AS1235,$BQ$7:$BQ$1843,"&lt;="&amp;BQ1235),"")</f>
        <v>0.12263099219621</v>
      </c>
      <c r="AU1235" s="65" t="n">
        <f aca="false">IF(AT1235="",0,MAX(0,MIN(1,(IF(BY1235="L1",Parameter!$E$5,Parameter!$E$6+Parameter!$E$7)-(AT1235-AP1235))/AP1235)))</f>
        <v>1</v>
      </c>
      <c r="AV1235" s="57" t="n">
        <f aca="false">IF(LEFT(Cockpit!$O$5,1)="A",H1235,IF(CA1235=1,CB1235,IF(LEFT(Cockpit!$O$5,1)="B",AZ1235,MAX(AZ1235,H1235))))</f>
        <v>108</v>
      </c>
      <c r="AW1235" s="57" t="n">
        <f aca="false">IF(BT1235=1,0,ROUNDUP(AV1235/BS1235,0))</f>
        <v>2</v>
      </c>
      <c r="AX1235" s="59" t="n">
        <f aca="false">IF(CH1235&gt;0,CH1235*MAX(1,AV1235/X1235),IF(BT1235=1,IF(AV1235&lt;=0,0,BW1235*MAX(1,IF(H1235&gt;0,AV1235/H1235,1))),IF(R1235&gt;0,AW1235/R1235,0))/MAX(0.1,N(Parameter!$M$21)))</f>
        <v>0.0769230769230769</v>
      </c>
      <c r="AY1235" s="57" t="n">
        <f aca="false">AV1235*G1235</f>
        <v>5852.52</v>
      </c>
      <c r="AZ1235" s="57" t="n">
        <f aca="false">ROUNDUP(MAX(J1235/IF(BZ1235&gt;0,BZ1235,MAX(0.1,N(Cockpit!$O$6))),CC1235)/BS1235,0)*BS1235</f>
        <v>108</v>
      </c>
      <c r="BA1235" s="58" t="n">
        <f aca="false">IF(AX1235&gt;0,J1235/AX1235,-1)</f>
        <v>3302</v>
      </c>
      <c r="BB1235" s="58" t="n">
        <f aca="false">IF(AND(OR(BY1235="L1",BY1235="L23"),AX1235&gt;0),SUMIFS($AX$7:$AX$1843,$BY$7:$BY$1843,BY1235,$BA$7:$BA$1843,"&gt;"&amp;BA1235)+SUMIFS($AX$7:$AX$1843,$BY$7:$BY$1843,BY1235,$BA$7:$BA$1843,BA1235,$BQ$7:$BQ$1843,"&lt;="&amp;BQ1235),"")</f>
        <v>0.0841694537346711</v>
      </c>
      <c r="BC1235" s="65" t="n">
        <f aca="false">IF(BB1235="",0,MAX(0,MIN(1,(IF(BY1235="L1",Parameter!$E$5,Parameter!$E$6+Parameter!$E$7)-(BB1235-AX1235))/AX1235)))</f>
        <v>1</v>
      </c>
      <c r="BD1235" s="55" t="str">
        <f aca="false">IF(AH1235&lt;=0,"",IF(BY1235="Aussen","Aussenlager",IF(BY1235="-","Nicht im Lift",IF(AM1235&gt;=1,"Lift",IF(AM1235&lt;=0,"Aussenlager","teilweise")))))</f>
        <v>Lift</v>
      </c>
      <c r="BE1235" s="55" t="str">
        <f aca="false">IF(AP1235&lt;=0,"",IF(BY1235="Aussen","Aussenlager",IF(BY1235="-","Nicht im Lift",IF(AU1235&gt;=1,"Lift",IF(AU1235&lt;=0,"Aussenlager","teilweise")))))</f>
        <v>Lift</v>
      </c>
      <c r="BF1235" s="55" t="str">
        <f aca="false">IF(AX1235&lt;=0,"",IF(BY1235="Aussen","Aussenlager",IF(BY1235="-","Nicht im Lift",IF(BC1235&gt;=1,"Lift",IF(BC1235&lt;=0,"Aussenlager","teilweise")))))</f>
        <v>Lift</v>
      </c>
      <c r="BG1235" s="55" t="str">
        <f aca="false">IF(A1235="","",IF(BP1235=1,"Neu; ","")&amp;IF(AND(BP1235=0,BK1235&lt;0),"negativer Bestand (Export "&amp;BK1235&amp;"); ","")&amp;IF(J1235&lt;=0,"Kein Verbrauch; ","")&amp;IF(CH1235&gt;0,"Lift "&amp;W1235&amp;" lt. Liftbericht (Fach "&amp;X1235&amp;" Stk); ",IF(BU1235=1,"Gebinde geschätzt ("&amp;T1235&amp;"); ",IF(BT1235=1,"Lose – Tablare geschätzt; ","")))&amp;IF(H1235&gt;AR1235,"Überbestand "&amp;ROUND(H1235-AR1235,0)&amp;" Stk / CHF "&amp;ROUND((H1235-AR1235)*G1235,0)&amp;"; ","")&amp;IF(AND(CA1235=1,CB1235&lt;CC1235),"MAX &lt; MB+LG; ","")&amp;IF(AND(CG1235&gt;0,CF1235*10&gt;CG1235),"zu hoch für Tablar; ","")&amp;IF(AND(BP1235=0,OR(CA1235=1,AA1235&lt;&gt;"",U1235&lt;&gt;"",V1235&lt;&gt;"",AB1235&lt;&gt;"")),"manuell übersteuert; ","")&amp;IF(AND(BT1235=0,R1235=0),"Gebinde unbekannt / Stellmass fehlt; ","")&amp;IF(AND(BT1235=0,N(V1235)&lt;=0,N(Q1235)&lt;=0),"Menge pro Gebinde fehlt (Ist = 1 Gebinde); ","")&amp;BO1235)</f>
        <v/>
      </c>
      <c r="BH1235" s="55"/>
      <c r="BI1235" s="55"/>
      <c r="BJ1235" s="62"/>
      <c r="BK1235" s="57" t="n">
        <v>8</v>
      </c>
      <c r="BL1235" s="57" t="n">
        <v>56</v>
      </c>
      <c r="BM1235" s="56" t="n">
        <v>-673.040000000002</v>
      </c>
      <c r="BN1235" s="57" t="n">
        <v>254</v>
      </c>
      <c r="BO1235" s="55"/>
      <c r="BP1235" s="60" t="n">
        <v>0</v>
      </c>
      <c r="BQ1235" s="60" t="n">
        <v>1235</v>
      </c>
      <c r="BR1235" s="55" t="str">
        <f aca="false">IF(U1235&lt;&gt;"",UPPER(TRIM(U1235)),IF(BU1235=1,UPPER(VLOOKUP(T1235,Parameter!$I$27:$K$29,2,0)),IF(P1235="","LOSE",P1235)))</f>
        <v>S51</v>
      </c>
      <c r="BS1235" s="57" t="n">
        <f aca="false">IF(BR1235="LOSE",1,IF(N(V1235)&gt;0,V1235,IF(BU1235=1,MAX(1,N(VLOOKUP(T1235,Parameter!$I$27:$K$29,3,0)),H1235,N(N1235)),IF(N(Q1235)&gt;0,Q1235,MAX(1,H1235)))))</f>
        <v>54</v>
      </c>
      <c r="BT1235" s="60" t="n">
        <f aca="false">IF(BR1235="LOSE",1,0)</f>
        <v>0</v>
      </c>
      <c r="BU1235" s="60" t="n">
        <f aca="false">IF(AND(U1235="",OR(P1235="",P1235="LOSE"),T1235&lt;&gt;"",N(S1235)&lt;=0,ISNUMBER(MATCH(T1235,Parameter!$I$27:$I$29,0))),1,0)</f>
        <v>0</v>
      </c>
      <c r="BV1235" s="55" t="n">
        <f aca="false">IF(AND(Parameter!$B$19="Ja",E1235&lt;&gt;"",ISNUMBER(MATCH(E1235,Parameter!$I$35:$I$52,0))),VLOOKUP(E1235,Parameter!$I$35:$J$52,2,0),IFERROR(VLOOKUP(D1235,Parameter!$A$35:$C$64,2,0),"Nein"))</f>
        <v>1</v>
      </c>
      <c r="BW1235" s="59" t="n">
        <f aca="false">IF(BT1235=0,0,IF(N(S1235)&gt;0,S1235,IFERROR(VLOOKUP(D1235,Parameter!$A$35:$C$64,3,0)+0,0)))</f>
        <v>0</v>
      </c>
      <c r="BX1235" s="55" t="n">
        <f aca="false">IF(AA1235&lt;&gt;"",AA1235,Z1235)</f>
        <v>1</v>
      </c>
      <c r="BY1235" s="55" t="str">
        <f aca="false">IF(BX1235=1,"L1",IF(OR(BX1235=2,BX1235=3),"L23",IF(BX1235="Aussen","Aussen","-")))</f>
        <v>L1</v>
      </c>
      <c r="BZ1235" s="66" t="n">
        <f aca="false">IF(N(AB1235)&gt;0,AB1235,0)</f>
        <v>0</v>
      </c>
      <c r="CA1235" s="60" t="n">
        <f aca="false">IF(ISNUMBER(AE1235),1,0)</f>
        <v>0</v>
      </c>
      <c r="CB1235" s="57" t="n">
        <f aca="false">N(AE1235)</f>
        <v>0</v>
      </c>
      <c r="CC1235" s="57" t="n">
        <f aca="false">N(M1235)+N(N1235)</f>
        <v>44</v>
      </c>
      <c r="CD1235" s="57" t="n">
        <f aca="false">ROUNDUP(H1235/BS1235,0)</f>
        <v>2</v>
      </c>
      <c r="CE1235" s="57" t="n">
        <f aca="false">ROUNDUP(CB1235/BS1235,0)</f>
        <v>0</v>
      </c>
      <c r="CF1235" s="60" t="n">
        <f aca="false">IF(BT1235=1,0,IFERROR(VLOOKUP(BR1235,'Gebinde-Kategorie'!$A$5:$M$45,5,0)+0,0))</f>
        <v>11</v>
      </c>
      <c r="CG1235" s="60" t="n">
        <f aca="false">IFERROR(IF(OR(BX1235=1,BX1235=2,BX1235=3),N(INDEX(Parameter!$I$5:$I$7,BX1235)),0),0)</f>
        <v>0</v>
      </c>
      <c r="CH1235" s="59" t="n">
        <f aca="false">IF(AND(Parameter!$B$21="Ja",ISNUMBER(W1235),N(X1235)&gt;0),IFERROR(N(INDEX(Parameter!$L$5:$L$7,W1235))*INDEX(Parameter!$E$5:$E$7,W1235)*X1235/SUMIFS($X$7:$X$1843,$W$7:$W$1843,W1235),0),0)</f>
        <v>0</v>
      </c>
    </row>
    <row r="1236" customFormat="false" ht="15" hidden="false" customHeight="false" outlineLevel="0" collapsed="false">
      <c r="A1236" s="55" t="s">
        <v>2212</v>
      </c>
      <c r="B1236" s="55" t="s">
        <v>2213</v>
      </c>
      <c r="C1236" s="55" t="s">
        <v>456</v>
      </c>
      <c r="D1236" s="55" t="s">
        <v>173</v>
      </c>
      <c r="E1236" s="55" t="s">
        <v>1479</v>
      </c>
      <c r="F1236" s="55" t="s">
        <v>218</v>
      </c>
      <c r="G1236" s="56" t="n">
        <v>67.89</v>
      </c>
      <c r="H1236" s="57" t="n">
        <f aca="false">MAX(0,IF(AND(Parameter!$B$21="Ja",ISNUMBER(Y1236)),Y1236,IF(Parameter!$B$20="Jahresanfang 2025 + Export",BL1236+BK1236,BK1236)))</f>
        <v>0</v>
      </c>
      <c r="I1236" s="57" t="n">
        <f aca="false">H1236*G1236</f>
        <v>0</v>
      </c>
      <c r="J1236" s="57" t="n">
        <f aca="false">BN1236*Parameter!$B$18</f>
        <v>0</v>
      </c>
      <c r="K1236" s="58" t="n">
        <v>5</v>
      </c>
      <c r="L1236" s="59" t="n">
        <v>0</v>
      </c>
      <c r="M1236" s="57" t="n">
        <v>0</v>
      </c>
      <c r="N1236" s="57" t="n">
        <v>1</v>
      </c>
      <c r="O1236" s="60" t="n">
        <v>56</v>
      </c>
      <c r="P1236" s="55" t="s">
        <v>168</v>
      </c>
      <c r="Q1236" s="57"/>
      <c r="R1236" s="60" t="n">
        <f aca="false">IF(BT1236=1,0,IFERROR(VLOOKUP(BR1236,'Gebinde-Kategorie'!$A$5:$M$45,13,0)+0,0))</f>
        <v>3</v>
      </c>
      <c r="S1236" s="61"/>
      <c r="T1236" s="62" t="s">
        <v>189</v>
      </c>
      <c r="U1236" s="62"/>
      <c r="V1236" s="62"/>
      <c r="W1236" s="55"/>
      <c r="X1236" s="57"/>
      <c r="Y1236" s="57"/>
      <c r="Z1236" s="55" t="str">
        <f aca="false">IF(A1236="","",IF(AND(Parameter!$B$21="Ja",ISNUMBER(W1236)),W1236,IF(BV1236="2+3",IF(ISNUMBER(SEARCH("grosser Artikel",BO1236)),2,IFERROR(VLOOKUP(BR1236,Parameter!$F$35:$G$64,2,0),2)),IF(OR(BV1236="Nein",BV1236=""),"-",BV1236))))</f>
        <v>-</v>
      </c>
      <c r="AA1236" s="62"/>
      <c r="AB1236" s="63"/>
      <c r="AC1236" s="57" t="n">
        <f aca="false">AR1236</f>
        <v>2</v>
      </c>
      <c r="AD1236" s="57" t="n">
        <f aca="false">MAX(AR1236,H1236)</f>
        <v>2</v>
      </c>
      <c r="AE1236" s="64"/>
      <c r="AF1236" s="57" t="n">
        <f aca="false">IF(LEFT(Cockpit!$C$5,1)="A",H1236,IF(CA1236=1,CB1236,IF(LEFT(Cockpit!$C$5,1)="B",AJ1236,MAX(AJ1236,H1236))))</f>
        <v>0</v>
      </c>
      <c r="AG1236" s="57" t="n">
        <f aca="false">IF(BT1236=1,0,ROUNDUP(AF1236/BS1236,0))</f>
        <v>0</v>
      </c>
      <c r="AH1236" s="59" t="n">
        <f aca="false">IF(CH1236&gt;0,CH1236*MAX(1,AF1236/X1236),IF(BT1236=1,IF(AF1236&lt;=0,0,BW1236*MAX(1,IF(H1236&gt;0,AF1236/H1236,1))),IF(R1236&gt;0,AG1236/R1236,0))/MAX(0.1,N(Parameter!$M$21)))</f>
        <v>0</v>
      </c>
      <c r="AI1236" s="57" t="n">
        <f aca="false">AF1236*G1236</f>
        <v>0</v>
      </c>
      <c r="AJ1236" s="57" t="n">
        <f aca="false">ROUNDUP(MAX(J1236/IF(BZ1236&gt;0,BZ1236,MAX(0.1,N(Cockpit!$C$6))),CC1236)/BS1236,0)*BS1236</f>
        <v>2</v>
      </c>
      <c r="AK1236" s="58" t="n">
        <f aca="false">IF(AH1236&gt;0,J1236/AH1236,-1)</f>
        <v>-1</v>
      </c>
      <c r="AL1236" s="58" t="str">
        <f aca="false">IF(AND(OR(BY1236="L1",BY1236="L23"),AH1236&gt;0),SUMIFS($AH$7:$AH$1843,$BY$7:$BY$1843,BY1236,$AK$7:$AK$1843,"&gt;"&amp;AK1236)+SUMIFS($AH$7:$AH$1843,$BY$7:$BY$1843,BY1236,$AK$7:$AK$1843,AK1236,$BQ$7:$BQ$1843,"&lt;="&amp;BQ1236),"")</f>
        <v/>
      </c>
      <c r="AM1236" s="65" t="n">
        <f aca="false">IF(AL1236="",0,MAX(0,MIN(1,(IF(BY1236="L1",Parameter!$E$5,Parameter!$E$6+Parameter!$E$7)-(AL1236-AH1236))/AH1236)))</f>
        <v>0</v>
      </c>
      <c r="AN1236" s="57" t="n">
        <f aca="false">IF(LEFT(Cockpit!$I$5,1)="A",H1236,IF(CA1236=1,CB1236,IF(LEFT(Cockpit!$I$5,1)="B",AR1236,MAX(AR1236,H1236))))</f>
        <v>2</v>
      </c>
      <c r="AO1236" s="57" t="n">
        <f aca="false">IF(BT1236=1,0,ROUNDUP(AN1236/BS1236,0))</f>
        <v>1</v>
      </c>
      <c r="AP1236" s="59" t="n">
        <f aca="false">IF(CH1236&gt;0,CH1236*MAX(1,AN1236/X1236),IF(BT1236=1,IF(AN1236&lt;=0,0,BW1236*MAX(1,IF(H1236&gt;0,AN1236/H1236,1))),IF(R1236&gt;0,AO1236/R1236,0))/MAX(0.1,N(Parameter!$M$21)))</f>
        <v>0.333333333333333</v>
      </c>
      <c r="AQ1236" s="57" t="n">
        <f aca="false">AN1236*G1236</f>
        <v>135.78</v>
      </c>
      <c r="AR1236" s="57" t="n">
        <f aca="false">ROUNDUP(MAX(J1236/IF(BZ1236&gt;0,BZ1236,MAX(0.1,N(Cockpit!$I$6))),CC1236)/BS1236,0)*BS1236</f>
        <v>2</v>
      </c>
      <c r="AS1236" s="58" t="n">
        <f aca="false">IF(AP1236&gt;0,J1236/AP1236,-1)</f>
        <v>0</v>
      </c>
      <c r="AT1236" s="58" t="str">
        <f aca="false">IF(AND(OR(BY1236="L1",BY1236="L23"),AP1236&gt;0),SUMIFS($AP$7:$AP$1843,$BY$7:$BY$1843,BY1236,$AS$7:$AS$1843,"&gt;"&amp;AS1236)+SUMIFS($AP$7:$AP$1843,$BY$7:$BY$1843,BY1236,$AS$7:$AS$1843,AS1236,$BQ$7:$BQ$1843,"&lt;="&amp;BQ1236),"")</f>
        <v/>
      </c>
      <c r="AU1236" s="65" t="n">
        <f aca="false">IF(AT1236="",0,MAX(0,MIN(1,(IF(BY1236="L1",Parameter!$E$5,Parameter!$E$6+Parameter!$E$7)-(AT1236-AP1236))/AP1236)))</f>
        <v>0</v>
      </c>
      <c r="AV1236" s="57" t="n">
        <f aca="false">IF(LEFT(Cockpit!$O$5,1)="A",H1236,IF(CA1236=1,CB1236,IF(LEFT(Cockpit!$O$5,1)="B",AZ1236,MAX(AZ1236,H1236))))</f>
        <v>2</v>
      </c>
      <c r="AW1236" s="57" t="n">
        <f aca="false">IF(BT1236=1,0,ROUNDUP(AV1236/BS1236,0))</f>
        <v>1</v>
      </c>
      <c r="AX1236" s="59" t="n">
        <f aca="false">IF(CH1236&gt;0,CH1236*MAX(1,AV1236/X1236),IF(BT1236=1,IF(AV1236&lt;=0,0,BW1236*MAX(1,IF(H1236&gt;0,AV1236/H1236,1))),IF(R1236&gt;0,AW1236/R1236,0))/MAX(0.1,N(Parameter!$M$21)))</f>
        <v>0.333333333333333</v>
      </c>
      <c r="AY1236" s="57" t="n">
        <f aca="false">AV1236*G1236</f>
        <v>135.78</v>
      </c>
      <c r="AZ1236" s="57" t="n">
        <f aca="false">ROUNDUP(MAX(J1236/IF(BZ1236&gt;0,BZ1236,MAX(0.1,N(Cockpit!$O$6))),CC1236)/BS1236,0)*BS1236</f>
        <v>2</v>
      </c>
      <c r="BA1236" s="58" t="n">
        <f aca="false">IF(AX1236&gt;0,J1236/AX1236,-1)</f>
        <v>0</v>
      </c>
      <c r="BB1236" s="58" t="str">
        <f aca="false">IF(AND(OR(BY1236="L1",BY1236="L23"),AX1236&gt;0),SUMIFS($AX$7:$AX$1843,$BY$7:$BY$1843,BY1236,$BA$7:$BA$1843,"&gt;"&amp;BA1236)+SUMIFS($AX$7:$AX$1843,$BY$7:$BY$1843,BY1236,$BA$7:$BA$1843,BA1236,$BQ$7:$BQ$1843,"&lt;="&amp;BQ1236),"")</f>
        <v/>
      </c>
      <c r="BC1236" s="65" t="n">
        <f aca="false">IF(BB1236="",0,MAX(0,MIN(1,(IF(BY1236="L1",Parameter!$E$5,Parameter!$E$6+Parameter!$E$7)-(BB1236-AX1236))/AX1236)))</f>
        <v>0</v>
      </c>
      <c r="BD1236" s="55" t="str">
        <f aca="false">IF(AH1236&lt;=0,"",IF(BY1236="Aussen","Aussenlager",IF(BY1236="-","Nicht im Lift",IF(AM1236&gt;=1,"Lift",IF(AM1236&lt;=0,"Aussenlager","teilweise")))))</f>
        <v/>
      </c>
      <c r="BE1236" s="55" t="str">
        <f aca="false">IF(AP1236&lt;=0,"",IF(BY1236="Aussen","Aussenlager",IF(BY1236="-","Nicht im Lift",IF(AU1236&gt;=1,"Lift",IF(AU1236&lt;=0,"Aussenlager","teilweise")))))</f>
        <v>Nicht im Lift</v>
      </c>
      <c r="BF1236" s="55" t="str">
        <f aca="false">IF(AX1236&lt;=0,"",IF(BY1236="Aussen","Aussenlager",IF(BY1236="-","Nicht im Lift",IF(BC1236&gt;=1,"Lift",IF(BC1236&lt;=0,"Aussenlager","teilweise")))))</f>
        <v>Nicht im Lift</v>
      </c>
      <c r="BG1236" s="55" t="str">
        <f aca="false">IF(A1236="","",IF(BP1236=1,"Neu; ","")&amp;IF(AND(BP1236=0,BK1236&lt;0),"negativer Bestand (Export "&amp;BK1236&amp;"); ","")&amp;IF(J1236&lt;=0,"Kein Verbrauch; ","")&amp;IF(CH1236&gt;0,"Lift "&amp;W1236&amp;" lt. Liftbericht (Fach "&amp;X1236&amp;" Stk); ",IF(BU1236=1,"Gebinde geschätzt ("&amp;T1236&amp;"); ",IF(BT1236=1,"Lose – Tablare geschätzt; ","")))&amp;IF(H1236&gt;AR1236,"Überbestand "&amp;ROUND(H1236-AR1236,0)&amp;" Stk / CHF "&amp;ROUND((H1236-AR1236)*G1236,0)&amp;"; ","")&amp;IF(AND(CA1236=1,CB1236&lt;CC1236),"MAX &lt; MB+LG; ","")&amp;IF(AND(CG1236&gt;0,CF1236*10&gt;CG1236),"zu hoch für Tablar; ","")&amp;IF(AND(BP1236=0,OR(CA1236=1,AA1236&lt;&gt;"",U1236&lt;&gt;"",V1236&lt;&gt;"",AB1236&lt;&gt;"")),"manuell übersteuert; ","")&amp;IF(AND(BT1236=0,R1236=0),"Gebinde unbekannt / Stellmass fehlt; ","")&amp;IF(AND(BT1236=0,N(V1236)&lt;=0,N(Q1236)&lt;=0),"Menge pro Gebinde fehlt (Ist = 1 Gebinde); ","")&amp;BO1236)</f>
        <v>negativer Bestand (Export -10); Kein Verbrauch; Gebinde geschätzt (Gross); Menge pro Gebinde fehlt (Ist = 1 Gebinde); </v>
      </c>
      <c r="BH1236" s="55"/>
      <c r="BI1236" s="55"/>
      <c r="BJ1236" s="62"/>
      <c r="BK1236" s="57" t="n">
        <v>-10</v>
      </c>
      <c r="BL1236" s="57" t="n">
        <v>10</v>
      </c>
      <c r="BM1236" s="56" t="n">
        <v>-678.9</v>
      </c>
      <c r="BN1236" s="57" t="n">
        <v>0</v>
      </c>
      <c r="BO1236" s="55"/>
      <c r="BP1236" s="60" t="n">
        <v>0</v>
      </c>
      <c r="BQ1236" s="60" t="n">
        <v>1236</v>
      </c>
      <c r="BR1236" s="55" t="str">
        <f aca="false">IF(U1236&lt;&gt;"",UPPER(TRIM(U1236)),IF(BU1236=1,UPPER(VLOOKUP(T1236,Parameter!$I$27:$K$29,2,0)),IF(P1236="","LOSE",P1236)))</f>
        <v>S81</v>
      </c>
      <c r="BS1236" s="57" t="n">
        <f aca="false">IF(BR1236="LOSE",1,IF(N(V1236)&gt;0,V1236,IF(BU1236=1,MAX(1,N(VLOOKUP(T1236,Parameter!$I$27:$K$29,3,0)),H1236,N(N1236)),IF(N(Q1236)&gt;0,Q1236,MAX(1,H1236)))))</f>
        <v>2</v>
      </c>
      <c r="BT1236" s="60" t="n">
        <f aca="false">IF(BR1236="LOSE",1,0)</f>
        <v>0</v>
      </c>
      <c r="BU1236" s="60" t="n">
        <f aca="false">IF(AND(U1236="",OR(P1236="",P1236="LOSE"),T1236&lt;&gt;"",N(S1236)&lt;=0,ISNUMBER(MATCH(T1236,Parameter!$I$27:$I$29,0))),1,0)</f>
        <v>1</v>
      </c>
      <c r="BV1236" s="55" t="str">
        <f aca="false">IF(AND(Parameter!$B$19="Ja",E1236&lt;&gt;"",ISNUMBER(MATCH(E1236,Parameter!$I$35:$I$52,0))),VLOOKUP(E1236,Parameter!$I$35:$J$52,2,0),IFERROR(VLOOKUP(D1236,Parameter!$A$35:$C$64,2,0),"Nein"))</f>
        <v>Nein</v>
      </c>
      <c r="BW1236" s="59" t="n">
        <f aca="false">IF(BT1236=0,0,IF(N(S1236)&gt;0,S1236,IFERROR(VLOOKUP(D1236,Parameter!$A$35:$C$64,3,0)+0,0)))</f>
        <v>0</v>
      </c>
      <c r="BX1236" s="55" t="str">
        <f aca="false">IF(AA1236&lt;&gt;"",AA1236,Z1236)</f>
        <v>-</v>
      </c>
      <c r="BY1236" s="55" t="str">
        <f aca="false">IF(BX1236=1,"L1",IF(OR(BX1236=2,BX1236=3),"L23",IF(BX1236="Aussen","Aussen","-")))</f>
        <v>-</v>
      </c>
      <c r="BZ1236" s="66" t="n">
        <f aca="false">IF(N(AB1236)&gt;0,AB1236,0)</f>
        <v>0</v>
      </c>
      <c r="CA1236" s="60" t="n">
        <f aca="false">IF(ISNUMBER(AE1236),1,0)</f>
        <v>0</v>
      </c>
      <c r="CB1236" s="57" t="n">
        <f aca="false">N(AE1236)</f>
        <v>0</v>
      </c>
      <c r="CC1236" s="57" t="n">
        <f aca="false">N(M1236)+N(N1236)</f>
        <v>1</v>
      </c>
      <c r="CD1236" s="57" t="n">
        <f aca="false">ROUNDUP(H1236/BS1236,0)</f>
        <v>0</v>
      </c>
      <c r="CE1236" s="57" t="n">
        <f aca="false">ROUNDUP(CB1236/BS1236,0)</f>
        <v>0</v>
      </c>
      <c r="CF1236" s="60" t="n">
        <f aca="false">IF(BT1236=1,0,IFERROR(VLOOKUP(BR1236,'Gebinde-Kategorie'!$A$5:$M$45,5,0)+0,0))</f>
        <v>20</v>
      </c>
      <c r="CG1236" s="60" t="n">
        <f aca="false">IFERROR(IF(OR(BX1236=1,BX1236=2,BX1236=3),N(INDEX(Parameter!$I$5:$I$7,BX1236)),0),0)</f>
        <v>0</v>
      </c>
      <c r="CH1236" s="59" t="n">
        <f aca="false">IF(AND(Parameter!$B$21="Ja",ISNUMBER(W1236),N(X1236)&gt;0),IFERROR(N(INDEX(Parameter!$L$5:$L$7,W1236))*INDEX(Parameter!$E$5:$E$7,W1236)*X1236/SUMIFS($X$7:$X$1843,$W$7:$W$1843,W1236),0),0)</f>
        <v>0</v>
      </c>
    </row>
    <row r="1237" customFormat="false" ht="15" hidden="false" customHeight="false" outlineLevel="0" collapsed="false">
      <c r="A1237" s="55" t="s">
        <v>2214</v>
      </c>
      <c r="B1237" s="55" t="s">
        <v>668</v>
      </c>
      <c r="C1237" s="55" t="s">
        <v>164</v>
      </c>
      <c r="D1237" s="55" t="s">
        <v>173</v>
      </c>
      <c r="E1237" s="55"/>
      <c r="F1237" s="55" t="s">
        <v>218</v>
      </c>
      <c r="G1237" s="56" t="n">
        <v>201.92</v>
      </c>
      <c r="H1237" s="57" t="n">
        <f aca="false">MAX(0,IF(AND(Parameter!$B$21="Ja",ISNUMBER(Y1237)),Y1237,IF(Parameter!$B$20="Jahresanfang 2025 + Export",BL1237+BK1237,BK1237)))</f>
        <v>8</v>
      </c>
      <c r="I1237" s="57" t="n">
        <f aca="false">H1237*G1237</f>
        <v>1615.36</v>
      </c>
      <c r="J1237" s="57" t="n">
        <f aca="false">BN1237*Parameter!$B$18</f>
        <v>55</v>
      </c>
      <c r="K1237" s="58" t="n">
        <v>17.5</v>
      </c>
      <c r="L1237" s="59" t="n">
        <v>3.14285714285714</v>
      </c>
      <c r="M1237" s="57" t="n">
        <v>5</v>
      </c>
      <c r="N1237" s="57" t="n">
        <v>10</v>
      </c>
      <c r="O1237" s="60" t="n">
        <v>28</v>
      </c>
      <c r="P1237" s="55" t="s">
        <v>168</v>
      </c>
      <c r="Q1237" s="57"/>
      <c r="R1237" s="60" t="n">
        <f aca="false">IF(BT1237=1,0,IFERROR(VLOOKUP(BR1237,'Gebinde-Kategorie'!$A$5:$M$45,13,0)+0,0))</f>
        <v>0</v>
      </c>
      <c r="S1237" s="61"/>
      <c r="T1237" s="62"/>
      <c r="U1237" s="62"/>
      <c r="V1237" s="62"/>
      <c r="W1237" s="55" t="n">
        <v>1</v>
      </c>
      <c r="X1237" s="57" t="n">
        <v>22</v>
      </c>
      <c r="Y1237" s="57" t="n">
        <v>8</v>
      </c>
      <c r="Z1237" s="55" t="n">
        <f aca="false">IF(A1237="","",IF(AND(Parameter!$B$21="Ja",ISNUMBER(W1237)),W1237,IF(BV1237="2+3",IF(ISNUMBER(SEARCH("grosser Artikel",BO1237)),2,IFERROR(VLOOKUP(BR1237,Parameter!$F$35:$G$64,2,0),2)),IF(OR(BV1237="Nein",BV1237=""),"-",BV1237))))</f>
        <v>1</v>
      </c>
      <c r="AA1237" s="62"/>
      <c r="AB1237" s="63"/>
      <c r="AC1237" s="57" t="n">
        <f aca="false">AR1237</f>
        <v>28</v>
      </c>
      <c r="AD1237" s="57" t="n">
        <f aca="false">MAX(AR1237,H1237)</f>
        <v>28</v>
      </c>
      <c r="AE1237" s="64"/>
      <c r="AF1237" s="57" t="n">
        <f aca="false">IF(LEFT(Cockpit!$C$5,1)="A",H1237,IF(CA1237=1,CB1237,IF(LEFT(Cockpit!$C$5,1)="B",AJ1237,MAX(AJ1237,H1237))))</f>
        <v>8</v>
      </c>
      <c r="AG1237" s="57" t="n">
        <f aca="false">IF(BT1237=1,0,ROUNDUP(AF1237/BS1237,0))</f>
        <v>0</v>
      </c>
      <c r="AH1237" s="59" t="n">
        <f aca="false">IF(CH1237&gt;0,CH1237*MAX(1,AF1237/X1237),IF(BT1237=1,IF(AF1237&lt;=0,0,BW1237*MAX(1,IF(H1237&gt;0,AF1237/H1237,1))),IF(R1237&gt;0,AG1237/R1237,0))/MAX(0.1,N(Parameter!$M$21)))</f>
        <v>1.7608286252354</v>
      </c>
      <c r="AI1237" s="57" t="n">
        <f aca="false">AF1237*G1237</f>
        <v>1615.36</v>
      </c>
      <c r="AJ1237" s="57" t="n">
        <f aca="false">ROUNDUP(MAX(J1237/IF(BZ1237&gt;0,BZ1237,MAX(0.1,N(Cockpit!$C$6))),CC1237)/BS1237,0)*BS1237</f>
        <v>28</v>
      </c>
      <c r="AK1237" s="58" t="n">
        <f aca="false">IF(AH1237&gt;0,J1237/AH1237,-1)</f>
        <v>31.2352941176471</v>
      </c>
      <c r="AL1237" s="58" t="n">
        <f aca="false">IF(AND(OR(BY1237="L1",BY1237="L23"),AH1237&gt;0),SUMIFS($AH$7:$AH$1843,$BY$7:$BY$1843,BY1237,$AK$7:$AK$1843,"&gt;"&amp;AK1237)+SUMIFS($AH$7:$AH$1843,$BY$7:$BY$1843,BY1237,$AK$7:$AK$1843,AK1237,$BQ$7:$BQ$1843,"&lt;="&amp;BQ1237),"")</f>
        <v>12.0126063652224</v>
      </c>
      <c r="AM1237" s="65" t="n">
        <f aca="false">IF(AL1237="",0,MAX(0,MIN(1,(IF(BY1237="L1",Parameter!$E$5,Parameter!$E$6+Parameter!$E$7)-(AL1237-AH1237))/AH1237)))</f>
        <v>1</v>
      </c>
      <c r="AN1237" s="57" t="n">
        <f aca="false">IF(LEFT(Cockpit!$I$5,1)="A",H1237,IF(CA1237=1,CB1237,IF(LEFT(Cockpit!$I$5,1)="B",AR1237,MAX(AR1237,H1237))))</f>
        <v>28</v>
      </c>
      <c r="AO1237" s="57" t="n">
        <f aca="false">IF(BT1237=1,0,ROUNDUP(AN1237/BS1237,0))</f>
        <v>0</v>
      </c>
      <c r="AP1237" s="59" t="n">
        <f aca="false">IF(CH1237&gt;0,CH1237*MAX(1,AN1237/X1237),IF(BT1237=1,IF(AN1237&lt;=0,0,BW1237*MAX(1,IF(H1237&gt;0,AN1237/H1237,1))),IF(R1237&gt;0,AO1237/R1237,0))/MAX(0.1,N(Parameter!$M$21)))</f>
        <v>2.24105461393597</v>
      </c>
      <c r="AQ1237" s="57" t="n">
        <f aca="false">AN1237*G1237</f>
        <v>5653.76</v>
      </c>
      <c r="AR1237" s="57" t="n">
        <f aca="false">ROUNDUP(MAX(J1237/IF(BZ1237&gt;0,BZ1237,MAX(0.1,N(Cockpit!$I$6))),CC1237)/BS1237,0)*BS1237</f>
        <v>28</v>
      </c>
      <c r="AS1237" s="58" t="n">
        <f aca="false">IF(AP1237&gt;0,J1237/AP1237,-1)</f>
        <v>24.5420168067227</v>
      </c>
      <c r="AT1237" s="58" t="n">
        <f aca="false">IF(AND(OR(BY1237="L1",BY1237="L23"),AP1237&gt;0),SUMIFS($AP$7:$AP$1843,$BY$7:$BY$1843,BY1237,$AS$7:$AS$1843,"&gt;"&amp;AS1237)+SUMIFS($AP$7:$AP$1843,$BY$7:$BY$1843,BY1237,$AS$7:$AS$1843,AS1237,$BQ$7:$BQ$1843,"&lt;="&amp;BQ1237),"")</f>
        <v>26.3786066549515</v>
      </c>
      <c r="AU1237" s="65" t="n">
        <f aca="false">IF(AT1237="",0,MAX(0,MIN(1,(IF(BY1237="L1",Parameter!$E$5,Parameter!$E$6+Parameter!$E$7)-(AT1237-AP1237))/AP1237)))</f>
        <v>1</v>
      </c>
      <c r="AV1237" s="57" t="n">
        <f aca="false">IF(LEFT(Cockpit!$O$5,1)="A",H1237,IF(CA1237=1,CB1237,IF(LEFT(Cockpit!$O$5,1)="B",AZ1237,MAX(AZ1237,H1237))))</f>
        <v>19</v>
      </c>
      <c r="AW1237" s="57" t="n">
        <f aca="false">IF(BT1237=1,0,ROUNDUP(AV1237/BS1237,0))</f>
        <v>0</v>
      </c>
      <c r="AX1237" s="59" t="n">
        <f aca="false">IF(CH1237&gt;0,CH1237*MAX(1,AV1237/X1237),IF(BT1237=1,IF(AV1237&lt;=0,0,BW1237*MAX(1,IF(H1237&gt;0,AV1237/H1237,1))),IF(R1237&gt;0,AW1237/R1237,0))/MAX(0.1,N(Parameter!$M$21)))</f>
        <v>1.7608286252354</v>
      </c>
      <c r="AY1237" s="57" t="n">
        <f aca="false">AV1237*G1237</f>
        <v>3836.48</v>
      </c>
      <c r="AZ1237" s="57" t="n">
        <f aca="false">ROUNDUP(MAX(J1237/IF(BZ1237&gt;0,BZ1237,MAX(0.1,N(Cockpit!$O$6))),CC1237)/BS1237,0)*BS1237</f>
        <v>19</v>
      </c>
      <c r="BA1237" s="58" t="n">
        <f aca="false">IF(AX1237&gt;0,J1237/AX1237,-1)</f>
        <v>31.2352941176471</v>
      </c>
      <c r="BB1237" s="58" t="n">
        <f aca="false">IF(AND(OR(BY1237="L1",BY1237="L23"),AX1237&gt;0),SUMIFS($AX$7:$AX$1843,$BY$7:$BY$1843,BY1237,$BA$7:$BA$1843,"&gt;"&amp;BA1237)+SUMIFS($AX$7:$AX$1843,$BY$7:$BY$1843,BY1237,$BA$7:$BA$1843,BA1237,$BQ$7:$BQ$1843,"&lt;="&amp;BQ1237),"")</f>
        <v>19.325079203119</v>
      </c>
      <c r="BC1237" s="65" t="n">
        <f aca="false">IF(BB1237="",0,MAX(0,MIN(1,(IF(BY1237="L1",Parameter!$E$5,Parameter!$E$6+Parameter!$E$7)-(BB1237-AX1237))/AX1237)))</f>
        <v>1</v>
      </c>
      <c r="BD1237" s="55" t="str">
        <f aca="false">IF(AH1237&lt;=0,"",IF(BY1237="Aussen","Aussenlager",IF(BY1237="-","Nicht im Lift",IF(AM1237&gt;=1,"Lift",IF(AM1237&lt;=0,"Aussenlager","teilweise")))))</f>
        <v>Lift</v>
      </c>
      <c r="BE1237" s="55" t="str">
        <f aca="false">IF(AP1237&lt;=0,"",IF(BY1237="Aussen","Aussenlager",IF(BY1237="-","Nicht im Lift",IF(AU1237&gt;=1,"Lift",IF(AU1237&lt;=0,"Aussenlager","teilweise")))))</f>
        <v>Lift</v>
      </c>
      <c r="BF1237" s="55" t="str">
        <f aca="false">IF(AX1237&lt;=0,"",IF(BY1237="Aussen","Aussenlager",IF(BY1237="-","Nicht im Lift",IF(BC1237&gt;=1,"Lift",IF(BC1237&lt;=0,"Aussenlager","teilweise")))))</f>
        <v>Lift</v>
      </c>
      <c r="BG1237" s="55" t="str">
        <f aca="false">IF(A1237="","",IF(BP1237=1,"Neu; ","")&amp;IF(AND(BP1237=0,BK1237&lt;0),"negativer Bestand (Export "&amp;BK1237&amp;"); ","")&amp;IF(J1237&lt;=0,"Kein Verbrauch; ","")&amp;IF(CH1237&gt;0,"Lift "&amp;W1237&amp;" lt. Liftbericht (Fach "&amp;X1237&amp;" Stk); ",IF(BU1237=1,"Gebinde geschätzt ("&amp;T1237&amp;"); ",IF(BT1237=1,"Lose – Tablare geschätzt; ","")))&amp;IF(H1237&gt;AR1237,"Überbestand "&amp;ROUND(H1237-AR1237,0)&amp;" Stk / CHF "&amp;ROUND((H1237-AR1237)*G1237,0)&amp;"; ","")&amp;IF(AND(CA1237=1,CB1237&lt;CC1237),"MAX &lt; MB+LG; ","")&amp;IF(AND(CG1237&gt;0,CF1237*10&gt;CG1237),"zu hoch für Tablar; ","")&amp;IF(AND(BP1237=0,OR(CA1237=1,AA1237&lt;&gt;"",U1237&lt;&gt;"",V1237&lt;&gt;"",AB1237&lt;&gt;"")),"manuell übersteuert; ","")&amp;IF(AND(BT1237=0,R1237=0),"Gebinde unbekannt / Stellmass fehlt; ","")&amp;IF(AND(BT1237=0,N(V1237)&lt;=0,N(Q1237)&lt;=0),"Menge pro Gebinde fehlt (Ist = 1 Gebinde); ","")&amp;BO1237)</f>
        <v>negativer Bestand (Export -3); Lift 1 lt. Liftbericht (Fach 22 Stk); </v>
      </c>
      <c r="BH1237" s="55"/>
      <c r="BI1237" s="55"/>
      <c r="BJ1237" s="62"/>
      <c r="BK1237" s="57" t="n">
        <v>-3</v>
      </c>
      <c r="BL1237" s="57" t="n">
        <v>15</v>
      </c>
      <c r="BM1237" s="56" t="n">
        <v>-687.960000000004</v>
      </c>
      <c r="BN1237" s="57" t="n">
        <v>55</v>
      </c>
      <c r="BO1237" s="55"/>
      <c r="BP1237" s="60" t="n">
        <v>0</v>
      </c>
      <c r="BQ1237" s="60" t="n">
        <v>1237</v>
      </c>
      <c r="BR1237" s="55" t="str">
        <f aca="false">IF(U1237&lt;&gt;"",UPPER(TRIM(U1237)),IF(BU1237=1,UPPER(VLOOKUP(T1237,Parameter!$I$27:$K$29,2,0)),IF(P1237="","LOSE",P1237)))</f>
        <v>LOSE</v>
      </c>
      <c r="BS1237" s="57" t="n">
        <f aca="false">IF(BR1237="LOSE",1,IF(N(V1237)&gt;0,V1237,IF(BU1237=1,MAX(1,N(VLOOKUP(T1237,Parameter!$I$27:$K$29,3,0)),H1237,N(N1237)),IF(N(Q1237)&gt;0,Q1237,MAX(1,H1237)))))</f>
        <v>1</v>
      </c>
      <c r="BT1237" s="60" t="n">
        <f aca="false">IF(BR1237="LOSE",1,0)</f>
        <v>1</v>
      </c>
      <c r="BU1237" s="60" t="n">
        <f aca="false">IF(AND(U1237="",OR(P1237="",P1237="LOSE"),T1237&lt;&gt;"",N(S1237)&lt;=0,ISNUMBER(MATCH(T1237,Parameter!$I$27:$I$29,0))),1,0)</f>
        <v>0</v>
      </c>
      <c r="BV1237" s="55" t="str">
        <f aca="false">IF(AND(Parameter!$B$19="Ja",E1237&lt;&gt;"",ISNUMBER(MATCH(E1237,Parameter!$I$35:$I$52,0))),VLOOKUP(E1237,Parameter!$I$35:$J$52,2,0),IFERROR(VLOOKUP(D1237,Parameter!$A$35:$C$64,2,0),"Nein"))</f>
        <v>2+3</v>
      </c>
      <c r="BW1237" s="59" t="n">
        <f aca="false">IF(BT1237=0,0,IF(N(S1237)&gt;0,S1237,IFERROR(VLOOKUP(D1237,Parameter!$A$35:$C$64,3,0)+0,0)))</f>
        <v>0.15</v>
      </c>
      <c r="BX1237" s="55" t="n">
        <f aca="false">IF(AA1237&lt;&gt;"",AA1237,Z1237)</f>
        <v>1</v>
      </c>
      <c r="BY1237" s="55" t="str">
        <f aca="false">IF(BX1237=1,"L1",IF(OR(BX1237=2,BX1237=3),"L23",IF(BX1237="Aussen","Aussen","-")))</f>
        <v>L1</v>
      </c>
      <c r="BZ1237" s="66" t="n">
        <f aca="false">IF(N(AB1237)&gt;0,AB1237,0)</f>
        <v>0</v>
      </c>
      <c r="CA1237" s="60" t="n">
        <f aca="false">IF(ISNUMBER(AE1237),1,0)</f>
        <v>0</v>
      </c>
      <c r="CB1237" s="57" t="n">
        <f aca="false">N(AE1237)</f>
        <v>0</v>
      </c>
      <c r="CC1237" s="57" t="n">
        <f aca="false">N(M1237)+N(N1237)</f>
        <v>15</v>
      </c>
      <c r="CD1237" s="57" t="n">
        <f aca="false">ROUNDUP(H1237/BS1237,0)</f>
        <v>8</v>
      </c>
      <c r="CE1237" s="57" t="n">
        <f aca="false">ROUNDUP(CB1237/BS1237,0)</f>
        <v>0</v>
      </c>
      <c r="CF1237" s="60" t="n">
        <f aca="false">IF(BT1237=1,0,IFERROR(VLOOKUP(BR1237,'Gebinde-Kategorie'!$A$5:$M$45,5,0)+0,0))</f>
        <v>0</v>
      </c>
      <c r="CG1237" s="60" t="n">
        <f aca="false">IFERROR(IF(OR(BX1237=1,BX1237=2,BX1237=3),N(INDEX(Parameter!$I$5:$I$7,BX1237)),0),0)</f>
        <v>0</v>
      </c>
      <c r="CH1237" s="59" t="n">
        <f aca="false">IF(AND(Parameter!$B$21="Ja",ISNUMBER(W1237),N(X1237)&gt;0),IFERROR(N(INDEX(Parameter!$L$5:$L$7,W1237))*INDEX(Parameter!$E$5:$E$7,W1237)*X1237/SUMIFS($X$7:$X$1843,$W$7:$W$1843,W1237),0),0)</f>
        <v>1.7608286252354</v>
      </c>
    </row>
    <row r="1238" customFormat="false" ht="15" hidden="false" customHeight="false" outlineLevel="0" collapsed="false">
      <c r="A1238" s="55" t="s">
        <v>2215</v>
      </c>
      <c r="B1238" s="55" t="s">
        <v>538</v>
      </c>
      <c r="C1238" s="55" t="s">
        <v>164</v>
      </c>
      <c r="D1238" s="55" t="s">
        <v>173</v>
      </c>
      <c r="E1238" s="55"/>
      <c r="F1238" s="55" t="s">
        <v>218</v>
      </c>
      <c r="G1238" s="56" t="n">
        <v>185.97</v>
      </c>
      <c r="H1238" s="57" t="n">
        <f aca="false">MAX(0,IF(AND(Parameter!$B$21="Ja",ISNUMBER(Y1238)),Y1238,IF(Parameter!$B$20="Jahresanfang 2025 + Export",BL1238+BK1238,BK1238)))</f>
        <v>2</v>
      </c>
      <c r="I1238" s="57" t="n">
        <f aca="false">H1238*G1238</f>
        <v>371.94</v>
      </c>
      <c r="J1238" s="57" t="n">
        <f aca="false">BN1238*Parameter!$B$18</f>
        <v>9</v>
      </c>
      <c r="K1238" s="58" t="n">
        <v>6</v>
      </c>
      <c r="L1238" s="59" t="n">
        <v>1.5</v>
      </c>
      <c r="M1238" s="57" t="n">
        <v>0</v>
      </c>
      <c r="N1238" s="57" t="n">
        <v>10</v>
      </c>
      <c r="O1238" s="60" t="n">
        <v>35</v>
      </c>
      <c r="P1238" s="55" t="s">
        <v>174</v>
      </c>
      <c r="Q1238" s="57" t="n">
        <v>10</v>
      </c>
      <c r="R1238" s="60" t="n">
        <f aca="false">IF(BT1238=1,0,IFERROR(VLOOKUP(BR1238,'Gebinde-Kategorie'!$A$5:$M$45,13,0)+0,0))</f>
        <v>6</v>
      </c>
      <c r="S1238" s="61"/>
      <c r="T1238" s="62"/>
      <c r="U1238" s="62"/>
      <c r="V1238" s="62"/>
      <c r="W1238" s="55"/>
      <c r="X1238" s="57"/>
      <c r="Y1238" s="57"/>
      <c r="Z1238" s="55" t="n">
        <f aca="false">IF(A1238="","",IF(AND(Parameter!$B$21="Ja",ISNUMBER(W1238)),W1238,IF(BV1238="2+3",IF(ISNUMBER(SEARCH("grosser Artikel",BO1238)),2,IFERROR(VLOOKUP(BR1238,Parameter!$F$35:$G$64,2,0),2)),IF(OR(BV1238="Nein",BV1238=""),"-",BV1238))))</f>
        <v>2</v>
      </c>
      <c r="AA1238" s="62"/>
      <c r="AB1238" s="63"/>
      <c r="AC1238" s="57" t="n">
        <f aca="false">AR1238</f>
        <v>10</v>
      </c>
      <c r="AD1238" s="57" t="n">
        <f aca="false">MAX(AR1238,H1238)</f>
        <v>10</v>
      </c>
      <c r="AE1238" s="64"/>
      <c r="AF1238" s="57" t="n">
        <f aca="false">IF(LEFT(Cockpit!$C$5,1)="A",H1238,IF(CA1238=1,CB1238,IF(LEFT(Cockpit!$C$5,1)="B",AJ1238,MAX(AJ1238,H1238))))</f>
        <v>2</v>
      </c>
      <c r="AG1238" s="57" t="n">
        <f aca="false">IF(BT1238=1,0,ROUNDUP(AF1238/BS1238,0))</f>
        <v>1</v>
      </c>
      <c r="AH1238" s="59" t="n">
        <f aca="false">IF(CH1238&gt;0,CH1238*MAX(1,AF1238/X1238),IF(BT1238=1,IF(AF1238&lt;=0,0,BW1238*MAX(1,IF(H1238&gt;0,AF1238/H1238,1))),IF(R1238&gt;0,AG1238/R1238,0))/MAX(0.1,N(Parameter!$M$21)))</f>
        <v>0.166666666666667</v>
      </c>
      <c r="AI1238" s="57" t="n">
        <f aca="false">AF1238*G1238</f>
        <v>371.94</v>
      </c>
      <c r="AJ1238" s="57" t="n">
        <f aca="false">ROUNDUP(MAX(J1238/IF(BZ1238&gt;0,BZ1238,MAX(0.1,N(Cockpit!$C$6))),CC1238)/BS1238,0)*BS1238</f>
        <v>10</v>
      </c>
      <c r="AK1238" s="58" t="n">
        <f aca="false">IF(AH1238&gt;0,J1238/AH1238,-1)</f>
        <v>54</v>
      </c>
      <c r="AL1238" s="58" t="n">
        <f aca="false">IF(AND(OR(BY1238="L1",BY1238="L23"),AH1238&gt;0),SUMIFS($AH$7:$AH$1843,$BY$7:$BY$1843,BY1238,$AK$7:$AK$1843,"&gt;"&amp;AK1238)+SUMIFS($AH$7:$AH$1843,$BY$7:$BY$1843,BY1238,$AK$7:$AK$1843,AK1238,$BQ$7:$BQ$1843,"&lt;="&amp;BQ1238),"")</f>
        <v>43.8440086483565</v>
      </c>
      <c r="AM1238" s="65" t="n">
        <f aca="false">IF(AL1238="",0,MAX(0,MIN(1,(IF(BY1238="L1",Parameter!$E$5,Parameter!$E$6+Parameter!$E$7)-(AL1238-AH1238))/AH1238)))</f>
        <v>1</v>
      </c>
      <c r="AN1238" s="57" t="n">
        <f aca="false">IF(LEFT(Cockpit!$I$5,1)="A",H1238,IF(CA1238=1,CB1238,IF(LEFT(Cockpit!$I$5,1)="B",AR1238,MAX(AR1238,H1238))))</f>
        <v>10</v>
      </c>
      <c r="AO1238" s="57" t="n">
        <f aca="false">IF(BT1238=1,0,ROUNDUP(AN1238/BS1238,0))</f>
        <v>1</v>
      </c>
      <c r="AP1238" s="59" t="n">
        <f aca="false">IF(CH1238&gt;0,CH1238*MAX(1,AN1238/X1238),IF(BT1238=1,IF(AN1238&lt;=0,0,BW1238*MAX(1,IF(H1238&gt;0,AN1238/H1238,1))),IF(R1238&gt;0,AO1238/R1238,0))/MAX(0.1,N(Parameter!$M$21)))</f>
        <v>0.166666666666667</v>
      </c>
      <c r="AQ1238" s="57" t="n">
        <f aca="false">AN1238*G1238</f>
        <v>1859.7</v>
      </c>
      <c r="AR1238" s="57" t="n">
        <f aca="false">ROUNDUP(MAX(J1238/IF(BZ1238&gt;0,BZ1238,MAX(0.1,N(Cockpit!$I$6))),CC1238)/BS1238,0)*BS1238</f>
        <v>10</v>
      </c>
      <c r="AS1238" s="58" t="n">
        <f aca="false">IF(AP1238&gt;0,J1238/AP1238,-1)</f>
        <v>54</v>
      </c>
      <c r="AT1238" s="58" t="n">
        <f aca="false">IF(AND(OR(BY1238="L1",BY1238="L23"),AP1238&gt;0),SUMIFS($AP$7:$AP$1843,$BY$7:$BY$1843,BY1238,$AS$7:$AS$1843,"&gt;"&amp;AS1238)+SUMIFS($AP$7:$AP$1843,$BY$7:$BY$1843,BY1238,$AS$7:$AS$1843,AS1238,$BQ$7:$BQ$1843,"&lt;="&amp;BQ1238),"")</f>
        <v>66.4668507820682</v>
      </c>
      <c r="AU1238" s="65" t="n">
        <f aca="false">IF(AT1238="",0,MAX(0,MIN(1,(IF(BY1238="L1",Parameter!$E$5,Parameter!$E$6+Parameter!$E$7)-(AT1238-AP1238))/AP1238)))</f>
        <v>1</v>
      </c>
      <c r="AV1238" s="57" t="n">
        <f aca="false">IF(LEFT(Cockpit!$O$5,1)="A",H1238,IF(CA1238=1,CB1238,IF(LEFT(Cockpit!$O$5,1)="B",AZ1238,MAX(AZ1238,H1238))))</f>
        <v>10</v>
      </c>
      <c r="AW1238" s="57" t="n">
        <f aca="false">IF(BT1238=1,0,ROUNDUP(AV1238/BS1238,0))</f>
        <v>1</v>
      </c>
      <c r="AX1238" s="59" t="n">
        <f aca="false">IF(CH1238&gt;0,CH1238*MAX(1,AV1238/X1238),IF(BT1238=1,IF(AV1238&lt;=0,0,BW1238*MAX(1,IF(H1238&gt;0,AV1238/H1238,1))),IF(R1238&gt;0,AW1238/R1238,0))/MAX(0.1,N(Parameter!$M$21)))</f>
        <v>0.166666666666667</v>
      </c>
      <c r="AY1238" s="57" t="n">
        <f aca="false">AV1238*G1238</f>
        <v>1859.7</v>
      </c>
      <c r="AZ1238" s="57" t="n">
        <f aca="false">ROUNDUP(MAX(J1238/IF(BZ1238&gt;0,BZ1238,MAX(0.1,N(Cockpit!$O$6))),CC1238)/BS1238,0)*BS1238</f>
        <v>10</v>
      </c>
      <c r="BA1238" s="58" t="n">
        <f aca="false">IF(AX1238&gt;0,J1238/AX1238,-1)</f>
        <v>54</v>
      </c>
      <c r="BB1238" s="58" t="n">
        <f aca="false">IF(AND(OR(BY1238="L1",BY1238="L23"),AX1238&gt;0),SUMIFS($AX$7:$AX$1843,$BY$7:$BY$1843,BY1238,$BA$7:$BA$1843,"&gt;"&amp;BA1238)+SUMIFS($AX$7:$AX$1843,$BY$7:$BY$1843,BY1238,$BA$7:$BA$1843,BA1238,$BQ$7:$BQ$1843,"&lt;="&amp;BQ1238),"")</f>
        <v>60.9633542785717</v>
      </c>
      <c r="BC1238" s="65" t="n">
        <f aca="false">IF(BB1238="",0,MAX(0,MIN(1,(IF(BY1238="L1",Parameter!$E$5,Parameter!$E$6+Parameter!$E$7)-(BB1238-AX1238))/AX1238)))</f>
        <v>1</v>
      </c>
      <c r="BD1238" s="55" t="str">
        <f aca="false">IF(AH1238&lt;=0,"",IF(BY1238="Aussen","Aussenlager",IF(BY1238="-","Nicht im Lift",IF(AM1238&gt;=1,"Lift",IF(AM1238&lt;=0,"Aussenlager","teilweise")))))</f>
        <v>Lift</v>
      </c>
      <c r="BE1238" s="55" t="str">
        <f aca="false">IF(AP1238&lt;=0,"",IF(BY1238="Aussen","Aussenlager",IF(BY1238="-","Nicht im Lift",IF(AU1238&gt;=1,"Lift",IF(AU1238&lt;=0,"Aussenlager","teilweise")))))</f>
        <v>Lift</v>
      </c>
      <c r="BF1238" s="55" t="str">
        <f aca="false">IF(AX1238&lt;=0,"",IF(BY1238="Aussen","Aussenlager",IF(BY1238="-","Nicht im Lift",IF(BC1238&gt;=1,"Lift",IF(BC1238&lt;=0,"Aussenlager","teilweise")))))</f>
        <v>Lift</v>
      </c>
      <c r="BG1238" s="55" t="str">
        <f aca="false">IF(A1238="","",IF(BP1238=1,"Neu; ","")&amp;IF(AND(BP1238=0,BK1238&lt;0),"negativer Bestand (Export "&amp;BK1238&amp;"); ","")&amp;IF(J1238&lt;=0,"Kein Verbrauch; ","")&amp;IF(CH1238&gt;0,"Lift "&amp;W1238&amp;" lt. Liftbericht (Fach "&amp;X1238&amp;" Stk); ",IF(BU1238=1,"Gebinde geschätzt ("&amp;T1238&amp;"); ",IF(BT1238=1,"Lose – Tablare geschätzt; ","")))&amp;IF(H1238&gt;AR1238,"Überbestand "&amp;ROUND(H1238-AR1238,0)&amp;" Stk / CHF "&amp;ROUND((H1238-AR1238)*G1238,0)&amp;"; ","")&amp;IF(AND(CA1238=1,CB1238&lt;CC1238),"MAX &lt; MB+LG; ","")&amp;IF(AND(CG1238&gt;0,CF1238*10&gt;CG1238),"zu hoch für Tablar; ","")&amp;IF(AND(BP1238=0,OR(CA1238=1,AA1238&lt;&gt;"",U1238&lt;&gt;"",V1238&lt;&gt;"",AB1238&lt;&gt;"")),"manuell übersteuert; ","")&amp;IF(AND(BT1238=0,R1238=0),"Gebinde unbekannt / Stellmass fehlt; ","")&amp;IF(AND(BT1238=0,N(V1238)&lt;=0,N(Q1238)&lt;=0),"Menge pro Gebinde fehlt (Ist = 1 Gebinde); ","")&amp;BO1238)</f>
        <v>negativer Bestand (Export -4); </v>
      </c>
      <c r="BH1238" s="55"/>
      <c r="BI1238" s="55"/>
      <c r="BJ1238" s="62"/>
      <c r="BK1238" s="57" t="n">
        <v>-4</v>
      </c>
      <c r="BL1238" s="57" t="n">
        <v>6</v>
      </c>
      <c r="BM1238" s="56" t="n">
        <v>-689.16</v>
      </c>
      <c r="BN1238" s="57" t="n">
        <v>9</v>
      </c>
      <c r="BO1238" s="55"/>
      <c r="BP1238" s="60" t="n">
        <v>0</v>
      </c>
      <c r="BQ1238" s="60" t="n">
        <v>1238</v>
      </c>
      <c r="BR1238" s="55" t="str">
        <f aca="false">IF(U1238&lt;&gt;"",UPPER(TRIM(U1238)),IF(BU1238=1,UPPER(VLOOKUP(T1238,Parameter!$I$27:$K$29,2,0)),IF(P1238="","LOSE",P1238)))</f>
        <v>S71</v>
      </c>
      <c r="BS1238" s="57" t="n">
        <f aca="false">IF(BR1238="LOSE",1,IF(N(V1238)&gt;0,V1238,IF(BU1238=1,MAX(1,N(VLOOKUP(T1238,Parameter!$I$27:$K$29,3,0)),H1238,N(N1238)),IF(N(Q1238)&gt;0,Q1238,MAX(1,H1238)))))</f>
        <v>10</v>
      </c>
      <c r="BT1238" s="60" t="n">
        <f aca="false">IF(BR1238="LOSE",1,0)</f>
        <v>0</v>
      </c>
      <c r="BU1238" s="60" t="n">
        <f aca="false">IF(AND(U1238="",OR(P1238="",P1238="LOSE"),T1238&lt;&gt;"",N(S1238)&lt;=0,ISNUMBER(MATCH(T1238,Parameter!$I$27:$I$29,0))),1,0)</f>
        <v>0</v>
      </c>
      <c r="BV1238" s="55" t="str">
        <f aca="false">IF(AND(Parameter!$B$19="Ja",E1238&lt;&gt;"",ISNUMBER(MATCH(E1238,Parameter!$I$35:$I$52,0))),VLOOKUP(E1238,Parameter!$I$35:$J$52,2,0),IFERROR(VLOOKUP(D1238,Parameter!$A$35:$C$64,2,0),"Nein"))</f>
        <v>2+3</v>
      </c>
      <c r="BW1238" s="59" t="n">
        <f aca="false">IF(BT1238=0,0,IF(N(S1238)&gt;0,S1238,IFERROR(VLOOKUP(D1238,Parameter!$A$35:$C$64,3,0)+0,0)))</f>
        <v>0</v>
      </c>
      <c r="BX1238" s="55" t="n">
        <f aca="false">IF(AA1238&lt;&gt;"",AA1238,Z1238)</f>
        <v>2</v>
      </c>
      <c r="BY1238" s="55" t="str">
        <f aca="false">IF(BX1238=1,"L1",IF(OR(BX1238=2,BX1238=3),"L23",IF(BX1238="Aussen","Aussen","-")))</f>
        <v>L23</v>
      </c>
      <c r="BZ1238" s="66" t="n">
        <f aca="false">IF(N(AB1238)&gt;0,AB1238,0)</f>
        <v>0</v>
      </c>
      <c r="CA1238" s="60" t="n">
        <f aca="false">IF(ISNUMBER(AE1238),1,0)</f>
        <v>0</v>
      </c>
      <c r="CB1238" s="57" t="n">
        <f aca="false">N(AE1238)</f>
        <v>0</v>
      </c>
      <c r="CC1238" s="57" t="n">
        <f aca="false">N(M1238)+N(N1238)</f>
        <v>10</v>
      </c>
      <c r="CD1238" s="57" t="n">
        <f aca="false">ROUNDUP(H1238/BS1238,0)</f>
        <v>1</v>
      </c>
      <c r="CE1238" s="57" t="n">
        <f aca="false">ROUNDUP(CB1238/BS1238,0)</f>
        <v>0</v>
      </c>
      <c r="CF1238" s="60" t="n">
        <f aca="false">IF(BT1238=1,0,IFERROR(VLOOKUP(BR1238,'Gebinde-Kategorie'!$A$5:$M$45,5,0)+0,0))</f>
        <v>20</v>
      </c>
      <c r="CG1238" s="60" t="n">
        <f aca="false">IFERROR(IF(OR(BX1238=1,BX1238=2,BX1238=3),N(INDEX(Parameter!$I$5:$I$7,BX1238)),0),0)</f>
        <v>0</v>
      </c>
      <c r="CH1238" s="59" t="n">
        <f aca="false">IF(AND(Parameter!$B$21="Ja",ISNUMBER(W1238),N(X1238)&gt;0),IFERROR(N(INDEX(Parameter!$L$5:$L$7,W1238))*INDEX(Parameter!$E$5:$E$7,W1238)*X1238/SUMIFS($X$7:$X$1843,$W$7:$W$1843,W1238),0),0)</f>
        <v>0</v>
      </c>
    </row>
    <row r="1239" customFormat="false" ht="15" hidden="false" customHeight="false" outlineLevel="0" collapsed="false">
      <c r="A1239" s="55" t="s">
        <v>2216</v>
      </c>
      <c r="B1239" s="55" t="s">
        <v>1868</v>
      </c>
      <c r="C1239" s="55" t="s">
        <v>164</v>
      </c>
      <c r="D1239" s="55" t="s">
        <v>184</v>
      </c>
      <c r="E1239" s="55" t="s">
        <v>185</v>
      </c>
      <c r="F1239" s="55" t="s">
        <v>218</v>
      </c>
      <c r="G1239" s="56" t="n">
        <v>63.53</v>
      </c>
      <c r="H1239" s="57" t="n">
        <f aca="false">MAX(0,IF(AND(Parameter!$B$21="Ja",ISNUMBER(Y1239)),Y1239,IF(Parameter!$B$20="Jahresanfang 2025 + Export",BL1239+BK1239,BK1239)))</f>
        <v>16</v>
      </c>
      <c r="I1239" s="57" t="n">
        <f aca="false">H1239*G1239</f>
        <v>1016.48</v>
      </c>
      <c r="J1239" s="57" t="n">
        <f aca="false">BN1239*Parameter!$B$18</f>
        <v>19</v>
      </c>
      <c r="K1239" s="58" t="n">
        <v>32.5</v>
      </c>
      <c r="L1239" s="59" t="n">
        <v>0.584615384615385</v>
      </c>
      <c r="M1239" s="57" t="n">
        <v>1</v>
      </c>
      <c r="N1239" s="57" t="n">
        <v>25</v>
      </c>
      <c r="O1239" s="60" t="n">
        <v>21</v>
      </c>
      <c r="P1239" s="55" t="s">
        <v>293</v>
      </c>
      <c r="Q1239" s="57" t="n">
        <v>60</v>
      </c>
      <c r="R1239" s="60" t="n">
        <f aca="false">IF(BT1239=1,0,IFERROR(VLOOKUP(BR1239,'Gebinde-Kategorie'!$A$5:$M$45,13,0)+0,0))</f>
        <v>12</v>
      </c>
      <c r="S1239" s="61"/>
      <c r="T1239" s="62"/>
      <c r="U1239" s="62"/>
      <c r="V1239" s="62"/>
      <c r="W1239" s="55"/>
      <c r="X1239" s="57"/>
      <c r="Y1239" s="57"/>
      <c r="Z1239" s="55" t="n">
        <f aca="false">IF(A1239="","",IF(AND(Parameter!$B$21="Ja",ISNUMBER(W1239)),W1239,IF(BV1239="2+3",IF(ISNUMBER(SEARCH("grosser Artikel",BO1239)),2,IFERROR(VLOOKUP(BR1239,Parameter!$F$35:$G$64,2,0),2)),IF(OR(BV1239="Nein",BV1239=""),"-",BV1239))))</f>
        <v>2</v>
      </c>
      <c r="AA1239" s="62"/>
      <c r="AB1239" s="63"/>
      <c r="AC1239" s="57" t="n">
        <f aca="false">AR1239</f>
        <v>60</v>
      </c>
      <c r="AD1239" s="57" t="n">
        <f aca="false">MAX(AR1239,H1239)</f>
        <v>60</v>
      </c>
      <c r="AE1239" s="64"/>
      <c r="AF1239" s="57" t="n">
        <f aca="false">IF(LEFT(Cockpit!$C$5,1)="A",H1239,IF(CA1239=1,CB1239,IF(LEFT(Cockpit!$C$5,1)="B",AJ1239,MAX(AJ1239,H1239))))</f>
        <v>16</v>
      </c>
      <c r="AG1239" s="57" t="n">
        <f aca="false">IF(BT1239=1,0,ROUNDUP(AF1239/BS1239,0))</f>
        <v>1</v>
      </c>
      <c r="AH1239" s="59" t="n">
        <f aca="false">IF(CH1239&gt;0,CH1239*MAX(1,AF1239/X1239),IF(BT1239=1,IF(AF1239&lt;=0,0,BW1239*MAX(1,IF(H1239&gt;0,AF1239/H1239,1))),IF(R1239&gt;0,AG1239/R1239,0))/MAX(0.1,N(Parameter!$M$21)))</f>
        <v>0.0833333333333333</v>
      </c>
      <c r="AI1239" s="57" t="n">
        <f aca="false">AF1239*G1239</f>
        <v>1016.48</v>
      </c>
      <c r="AJ1239" s="57" t="n">
        <f aca="false">ROUNDUP(MAX(J1239/IF(BZ1239&gt;0,BZ1239,MAX(0.1,N(Cockpit!$C$6))),CC1239)/BS1239,0)*BS1239</f>
        <v>60</v>
      </c>
      <c r="AK1239" s="58" t="n">
        <f aca="false">IF(AH1239&gt;0,J1239/AH1239,-1)</f>
        <v>228</v>
      </c>
      <c r="AL1239" s="58" t="n">
        <f aca="false">IF(AND(OR(BY1239="L1",BY1239="L23"),AH1239&gt;0),SUMIFS($AH$7:$AH$1843,$BY$7:$BY$1843,BY1239,$AK$7:$AK$1843,"&gt;"&amp;AK1239)+SUMIFS($AH$7:$AH$1843,$BY$7:$BY$1843,BY1239,$AK$7:$AK$1843,AK1239,$BQ$7:$BQ$1843,"&lt;="&amp;BQ1239),"")</f>
        <v>31.3281814803554</v>
      </c>
      <c r="AM1239" s="65" t="n">
        <f aca="false">IF(AL1239="",0,MAX(0,MIN(1,(IF(BY1239="L1",Parameter!$E$5,Parameter!$E$6+Parameter!$E$7)-(AL1239-AH1239))/AH1239)))</f>
        <v>1</v>
      </c>
      <c r="AN1239" s="57" t="n">
        <f aca="false">IF(LEFT(Cockpit!$I$5,1)="A",H1239,IF(CA1239=1,CB1239,IF(LEFT(Cockpit!$I$5,1)="B",AR1239,MAX(AR1239,H1239))))</f>
        <v>60</v>
      </c>
      <c r="AO1239" s="57" t="n">
        <f aca="false">IF(BT1239=1,0,ROUNDUP(AN1239/BS1239,0))</f>
        <v>1</v>
      </c>
      <c r="AP1239" s="59" t="n">
        <f aca="false">IF(CH1239&gt;0,CH1239*MAX(1,AN1239/X1239),IF(BT1239=1,IF(AN1239&lt;=0,0,BW1239*MAX(1,IF(H1239&gt;0,AN1239/H1239,1))),IF(R1239&gt;0,AO1239/R1239,0))/MAX(0.1,N(Parameter!$M$21)))</f>
        <v>0.0833333333333333</v>
      </c>
      <c r="AQ1239" s="57" t="n">
        <f aca="false">AN1239*G1239</f>
        <v>3811.8</v>
      </c>
      <c r="AR1239" s="57" t="n">
        <f aca="false">ROUNDUP(MAX(J1239/IF(BZ1239&gt;0,BZ1239,MAX(0.1,N(Cockpit!$I$6))),CC1239)/BS1239,0)*BS1239</f>
        <v>60</v>
      </c>
      <c r="AS1239" s="58" t="n">
        <f aca="false">IF(AP1239&gt;0,J1239/AP1239,-1)</f>
        <v>228</v>
      </c>
      <c r="AT1239" s="58" t="n">
        <f aca="false">IF(AND(OR(BY1239="L1",BY1239="L23"),AP1239&gt;0),SUMIFS($AP$7:$AP$1843,$BY$7:$BY$1843,BY1239,$AS$7:$AS$1843,"&gt;"&amp;AS1239)+SUMIFS($AP$7:$AP$1843,$BY$7:$BY$1843,BY1239,$AS$7:$AS$1843,AS1239,$BQ$7:$BQ$1843,"&lt;="&amp;BQ1239),"")</f>
        <v>44.7552194182629</v>
      </c>
      <c r="AU1239" s="65" t="n">
        <f aca="false">IF(AT1239="",0,MAX(0,MIN(1,(IF(BY1239="L1",Parameter!$E$5,Parameter!$E$6+Parameter!$E$7)-(AT1239-AP1239))/AP1239)))</f>
        <v>1</v>
      </c>
      <c r="AV1239" s="57" t="n">
        <f aca="false">IF(LEFT(Cockpit!$O$5,1)="A",H1239,IF(CA1239=1,CB1239,IF(LEFT(Cockpit!$O$5,1)="B",AZ1239,MAX(AZ1239,H1239))))</f>
        <v>60</v>
      </c>
      <c r="AW1239" s="57" t="n">
        <f aca="false">IF(BT1239=1,0,ROUNDUP(AV1239/BS1239,0))</f>
        <v>1</v>
      </c>
      <c r="AX1239" s="59" t="n">
        <f aca="false">IF(CH1239&gt;0,CH1239*MAX(1,AV1239/X1239),IF(BT1239=1,IF(AV1239&lt;=0,0,BW1239*MAX(1,IF(H1239&gt;0,AV1239/H1239,1))),IF(R1239&gt;0,AW1239/R1239,0))/MAX(0.1,N(Parameter!$M$21)))</f>
        <v>0.0833333333333333</v>
      </c>
      <c r="AY1239" s="57" t="n">
        <f aca="false">AV1239*G1239</f>
        <v>3811.8</v>
      </c>
      <c r="AZ1239" s="57" t="n">
        <f aca="false">ROUNDUP(MAX(J1239/IF(BZ1239&gt;0,BZ1239,MAX(0.1,N(Cockpit!$O$6))),CC1239)/BS1239,0)*BS1239</f>
        <v>60</v>
      </c>
      <c r="BA1239" s="58" t="n">
        <f aca="false">IF(AX1239&gt;0,J1239/AX1239,-1)</f>
        <v>228</v>
      </c>
      <c r="BB1239" s="58" t="n">
        <f aca="false">IF(AND(OR(BY1239="L1",BY1239="L23"),AX1239&gt;0),SUMIFS($AX$7:$AX$1843,$BY$7:$BY$1843,BY1239,$BA$7:$BA$1843,"&gt;"&amp;BA1239)+SUMIFS($AX$7:$AX$1843,$BY$7:$BY$1843,BY1239,$BA$7:$BA$1843,BA1239,$BQ$7:$BQ$1843,"&lt;="&amp;BQ1239),"")</f>
        <v>42.0017229147664</v>
      </c>
      <c r="BC1239" s="65" t="n">
        <f aca="false">IF(BB1239="",0,MAX(0,MIN(1,(IF(BY1239="L1",Parameter!$E$5,Parameter!$E$6+Parameter!$E$7)-(BB1239-AX1239))/AX1239)))</f>
        <v>1</v>
      </c>
      <c r="BD1239" s="55" t="str">
        <f aca="false">IF(AH1239&lt;=0,"",IF(BY1239="Aussen","Aussenlager",IF(BY1239="-","Nicht im Lift",IF(AM1239&gt;=1,"Lift",IF(AM1239&lt;=0,"Aussenlager","teilweise")))))</f>
        <v>Lift</v>
      </c>
      <c r="BE1239" s="55" t="str">
        <f aca="false">IF(AP1239&lt;=0,"",IF(BY1239="Aussen","Aussenlager",IF(BY1239="-","Nicht im Lift",IF(AU1239&gt;=1,"Lift",IF(AU1239&lt;=0,"Aussenlager","teilweise")))))</f>
        <v>Lift</v>
      </c>
      <c r="BF1239" s="55" t="str">
        <f aca="false">IF(AX1239&lt;=0,"",IF(BY1239="Aussen","Aussenlager",IF(BY1239="-","Nicht im Lift",IF(BC1239&gt;=1,"Lift",IF(BC1239&lt;=0,"Aussenlager","teilweise")))))</f>
        <v>Lift</v>
      </c>
      <c r="BG1239" s="55" t="str">
        <f aca="false">IF(A1239="","",IF(BP1239=1,"Neu; ","")&amp;IF(AND(BP1239=0,BK1239&lt;0),"negativer Bestand (Export "&amp;BK1239&amp;"); ","")&amp;IF(J1239&lt;=0,"Kein Verbrauch; ","")&amp;IF(CH1239&gt;0,"Lift "&amp;W1239&amp;" lt. Liftbericht (Fach "&amp;X1239&amp;" Stk); ",IF(BU1239=1,"Gebinde geschätzt ("&amp;T1239&amp;"); ",IF(BT1239=1,"Lose – Tablare geschätzt; ","")))&amp;IF(H1239&gt;AR1239,"Überbestand "&amp;ROUND(H1239-AR1239,0)&amp;" Stk / CHF "&amp;ROUND((H1239-AR1239)*G1239,0)&amp;"; ","")&amp;IF(AND(CA1239=1,CB1239&lt;CC1239),"MAX &lt; MB+LG; ","")&amp;IF(AND(CG1239&gt;0,CF1239*10&gt;CG1239),"zu hoch für Tablar; ","")&amp;IF(AND(BP1239=0,OR(CA1239=1,AA1239&lt;&gt;"",U1239&lt;&gt;"",V1239&lt;&gt;"",AB1239&lt;&gt;"")),"manuell übersteuert; ","")&amp;IF(AND(BT1239=0,R1239=0),"Gebinde unbekannt / Stellmass fehlt; ","")&amp;IF(AND(BT1239=0,N(V1239)&lt;=0,N(Q1239)&lt;=0),"Menge pro Gebinde fehlt (Ist = 1 Gebinde); ","")&amp;BO1239)</f>
        <v>negativer Bestand (Export -20); B&amp;R</v>
      </c>
      <c r="BH1239" s="55"/>
      <c r="BI1239" s="55"/>
      <c r="BJ1239" s="62"/>
      <c r="BK1239" s="57" t="n">
        <v>-20</v>
      </c>
      <c r="BL1239" s="57" t="n">
        <v>36</v>
      </c>
      <c r="BM1239" s="56" t="n">
        <v>-693.88</v>
      </c>
      <c r="BN1239" s="57" t="n">
        <v>19</v>
      </c>
      <c r="BO1239" s="55" t="s">
        <v>2217</v>
      </c>
      <c r="BP1239" s="60" t="n">
        <v>0</v>
      </c>
      <c r="BQ1239" s="60" t="n">
        <v>1239</v>
      </c>
      <c r="BR1239" s="55" t="str">
        <f aca="false">IF(U1239&lt;&gt;"",UPPER(TRIM(U1239)),IF(BU1239=1,UPPER(VLOOKUP(T1239,Parameter!$I$27:$K$29,2,0)),IF(P1239="","LOSE",P1239)))</f>
        <v>S62</v>
      </c>
      <c r="BS1239" s="57" t="n">
        <f aca="false">IF(BR1239="LOSE",1,IF(N(V1239)&gt;0,V1239,IF(BU1239=1,MAX(1,N(VLOOKUP(T1239,Parameter!$I$27:$K$29,3,0)),H1239,N(N1239)),IF(N(Q1239)&gt;0,Q1239,MAX(1,H1239)))))</f>
        <v>60</v>
      </c>
      <c r="BT1239" s="60" t="n">
        <f aca="false">IF(BR1239="LOSE",1,0)</f>
        <v>0</v>
      </c>
      <c r="BU1239" s="60" t="n">
        <f aca="false">IF(AND(U1239="",OR(P1239="",P1239="LOSE"),T1239&lt;&gt;"",N(S1239)&lt;=0,ISNUMBER(MATCH(T1239,Parameter!$I$27:$I$29,0))),1,0)</f>
        <v>0</v>
      </c>
      <c r="BV1239" s="55" t="str">
        <f aca="false">IF(AND(Parameter!$B$19="Ja",E1239&lt;&gt;"",ISNUMBER(MATCH(E1239,Parameter!$I$35:$I$52,0))),VLOOKUP(E1239,Parameter!$I$35:$J$52,2,0),IFERROR(VLOOKUP(D1239,Parameter!$A$35:$C$64,2,0),"Nein"))</f>
        <v>2+3</v>
      </c>
      <c r="BW1239" s="59" t="n">
        <f aca="false">IF(BT1239=0,0,IF(N(S1239)&gt;0,S1239,IFERROR(VLOOKUP(D1239,Parameter!$A$35:$C$64,3,0)+0,0)))</f>
        <v>0</v>
      </c>
      <c r="BX1239" s="55" t="n">
        <f aca="false">IF(AA1239&lt;&gt;"",AA1239,Z1239)</f>
        <v>2</v>
      </c>
      <c r="BY1239" s="55" t="str">
        <f aca="false">IF(BX1239=1,"L1",IF(OR(BX1239=2,BX1239=3),"L23",IF(BX1239="Aussen","Aussen","-")))</f>
        <v>L23</v>
      </c>
      <c r="BZ1239" s="66" t="n">
        <f aca="false">IF(N(AB1239)&gt;0,AB1239,0)</f>
        <v>0</v>
      </c>
      <c r="CA1239" s="60" t="n">
        <f aca="false">IF(ISNUMBER(AE1239),1,0)</f>
        <v>0</v>
      </c>
      <c r="CB1239" s="57" t="n">
        <f aca="false">N(AE1239)</f>
        <v>0</v>
      </c>
      <c r="CC1239" s="57" t="n">
        <f aca="false">N(M1239)+N(N1239)</f>
        <v>26</v>
      </c>
      <c r="CD1239" s="57" t="n">
        <f aca="false">ROUNDUP(H1239/BS1239,0)</f>
        <v>1</v>
      </c>
      <c r="CE1239" s="57" t="n">
        <f aca="false">ROUNDUP(CB1239/BS1239,0)</f>
        <v>0</v>
      </c>
      <c r="CF1239" s="60" t="n">
        <f aca="false">IF(BT1239=1,0,IFERROR(VLOOKUP(BR1239,'Gebinde-Kategorie'!$A$5:$M$45,5,0)+0,0))</f>
        <v>21</v>
      </c>
      <c r="CG1239" s="60" t="n">
        <f aca="false">IFERROR(IF(OR(BX1239=1,BX1239=2,BX1239=3),N(INDEX(Parameter!$I$5:$I$7,BX1239)),0),0)</f>
        <v>0</v>
      </c>
      <c r="CH1239" s="59" t="n">
        <f aca="false">IF(AND(Parameter!$B$21="Ja",ISNUMBER(W1239),N(X1239)&gt;0),IFERROR(N(INDEX(Parameter!$L$5:$L$7,W1239))*INDEX(Parameter!$E$5:$E$7,W1239)*X1239/SUMIFS($X$7:$X$1843,$W$7:$W$1843,W1239),0),0)</f>
        <v>0</v>
      </c>
    </row>
    <row r="1240" customFormat="false" ht="15" hidden="false" customHeight="false" outlineLevel="0" collapsed="false">
      <c r="A1240" s="55" t="s">
        <v>2218</v>
      </c>
      <c r="B1240" s="55" t="s">
        <v>2219</v>
      </c>
      <c r="C1240" s="55" t="s">
        <v>164</v>
      </c>
      <c r="D1240" s="55" t="s">
        <v>184</v>
      </c>
      <c r="E1240" s="55"/>
      <c r="F1240" s="55" t="s">
        <v>218</v>
      </c>
      <c r="G1240" s="56" t="n">
        <v>139.36</v>
      </c>
      <c r="H1240" s="57" t="n">
        <f aca="false">MAX(0,IF(AND(Parameter!$B$21="Ja",ISNUMBER(Y1240)),Y1240,IF(Parameter!$B$20="Jahresanfang 2025 + Export",BL1240+BK1240,BK1240)))</f>
        <v>107</v>
      </c>
      <c r="I1240" s="57" t="n">
        <f aca="false">H1240*G1240</f>
        <v>14911.52</v>
      </c>
      <c r="J1240" s="57" t="n">
        <f aca="false">BN1240*Parameter!$B$18</f>
        <v>3</v>
      </c>
      <c r="K1240" s="58" t="n">
        <v>110.5</v>
      </c>
      <c r="L1240" s="59" t="n">
        <v>0.0271493212669683</v>
      </c>
      <c r="M1240" s="57" t="n">
        <v>0</v>
      </c>
      <c r="N1240" s="57" t="n">
        <v>5</v>
      </c>
      <c r="O1240" s="60" t="n">
        <v>63</v>
      </c>
      <c r="P1240" s="55" t="s">
        <v>293</v>
      </c>
      <c r="Q1240" s="57" t="n">
        <v>110</v>
      </c>
      <c r="R1240" s="60" t="n">
        <f aca="false">IF(BT1240=1,0,IFERROR(VLOOKUP(BR1240,'Gebinde-Kategorie'!$A$5:$M$45,13,0)+0,0))</f>
        <v>12</v>
      </c>
      <c r="S1240" s="61"/>
      <c r="T1240" s="62"/>
      <c r="U1240" s="62"/>
      <c r="V1240" s="62"/>
      <c r="W1240" s="55"/>
      <c r="X1240" s="57"/>
      <c r="Y1240" s="57"/>
      <c r="Z1240" s="55" t="n">
        <f aca="false">IF(A1240="","",IF(AND(Parameter!$B$21="Ja",ISNUMBER(W1240)),W1240,IF(BV1240="2+3",IF(ISNUMBER(SEARCH("grosser Artikel",BO1240)),2,IFERROR(VLOOKUP(BR1240,Parameter!$F$35:$G$64,2,0),2)),IF(OR(BV1240="Nein",BV1240=""),"-",BV1240))))</f>
        <v>2</v>
      </c>
      <c r="AA1240" s="62"/>
      <c r="AB1240" s="63"/>
      <c r="AC1240" s="57" t="n">
        <f aca="false">AR1240</f>
        <v>110</v>
      </c>
      <c r="AD1240" s="57" t="n">
        <f aca="false">MAX(AR1240,H1240)</f>
        <v>110</v>
      </c>
      <c r="AE1240" s="64"/>
      <c r="AF1240" s="57" t="n">
        <f aca="false">IF(LEFT(Cockpit!$C$5,1)="A",H1240,IF(CA1240=1,CB1240,IF(LEFT(Cockpit!$C$5,1)="B",AJ1240,MAX(AJ1240,H1240))))</f>
        <v>107</v>
      </c>
      <c r="AG1240" s="57" t="n">
        <f aca="false">IF(BT1240=1,0,ROUNDUP(AF1240/BS1240,0))</f>
        <v>1</v>
      </c>
      <c r="AH1240" s="59" t="n">
        <f aca="false">IF(CH1240&gt;0,CH1240*MAX(1,AF1240/X1240),IF(BT1240=1,IF(AF1240&lt;=0,0,BW1240*MAX(1,IF(H1240&gt;0,AF1240/H1240,1))),IF(R1240&gt;0,AG1240/R1240,0))/MAX(0.1,N(Parameter!$M$21)))</f>
        <v>0.0833333333333333</v>
      </c>
      <c r="AI1240" s="57" t="n">
        <f aca="false">AF1240*G1240</f>
        <v>14911.52</v>
      </c>
      <c r="AJ1240" s="57" t="n">
        <f aca="false">ROUNDUP(MAX(J1240/IF(BZ1240&gt;0,BZ1240,MAX(0.1,N(Cockpit!$C$6))),CC1240)/BS1240,0)*BS1240</f>
        <v>110</v>
      </c>
      <c r="AK1240" s="58" t="n">
        <f aca="false">IF(AH1240&gt;0,J1240/AH1240,-1)</f>
        <v>36</v>
      </c>
      <c r="AL1240" s="58" t="n">
        <f aca="false">IF(AND(OR(BY1240="L1",BY1240="L23"),AH1240&gt;0),SUMIFS($AH$7:$AH$1843,$BY$7:$BY$1843,BY1240,$AK$7:$AK$1843,"&gt;"&amp;AK1240)+SUMIFS($AH$7:$AH$1843,$BY$7:$BY$1843,BY1240,$AK$7:$AK$1843,AK1240,$BQ$7:$BQ$1843,"&lt;="&amp;BQ1240),"")</f>
        <v>46.7804888348367</v>
      </c>
      <c r="AM1240" s="65" t="n">
        <f aca="false">IF(AL1240="",0,MAX(0,MIN(1,(IF(BY1240="L1",Parameter!$E$5,Parameter!$E$6+Parameter!$E$7)-(AL1240-AH1240))/AH1240)))</f>
        <v>1</v>
      </c>
      <c r="AN1240" s="57" t="n">
        <f aca="false">IF(LEFT(Cockpit!$I$5,1)="A",H1240,IF(CA1240=1,CB1240,IF(LEFT(Cockpit!$I$5,1)="B",AR1240,MAX(AR1240,H1240))))</f>
        <v>110</v>
      </c>
      <c r="AO1240" s="57" t="n">
        <f aca="false">IF(BT1240=1,0,ROUNDUP(AN1240/BS1240,0))</f>
        <v>1</v>
      </c>
      <c r="AP1240" s="59" t="n">
        <f aca="false">IF(CH1240&gt;0,CH1240*MAX(1,AN1240/X1240),IF(BT1240=1,IF(AN1240&lt;=0,0,BW1240*MAX(1,IF(H1240&gt;0,AN1240/H1240,1))),IF(R1240&gt;0,AO1240/R1240,0))/MAX(0.1,N(Parameter!$M$21)))</f>
        <v>0.0833333333333333</v>
      </c>
      <c r="AQ1240" s="57" t="n">
        <f aca="false">AN1240*G1240</f>
        <v>15329.6</v>
      </c>
      <c r="AR1240" s="57" t="n">
        <f aca="false">ROUNDUP(MAX(J1240/IF(BZ1240&gt;0,BZ1240,MAX(0.1,N(Cockpit!$I$6))),CC1240)/BS1240,0)*BS1240</f>
        <v>110</v>
      </c>
      <c r="AS1240" s="58" t="n">
        <f aca="false">IF(AP1240&gt;0,J1240/AP1240,-1)</f>
        <v>36</v>
      </c>
      <c r="AT1240" s="58" t="n">
        <f aca="false">IF(AND(OR(BY1240="L1",BY1240="L23"),AP1240&gt;0),SUMIFS($AP$7:$AP$1843,$BY$7:$BY$1843,BY1240,$AS$7:$AS$1843,"&gt;"&amp;AS1240)+SUMIFS($AP$7:$AP$1843,$BY$7:$BY$1843,BY1240,$AS$7:$AS$1843,AS1240,$BQ$7:$BQ$1843,"&lt;="&amp;BQ1240),"")</f>
        <v>71.2110232762407</v>
      </c>
      <c r="AU1240" s="65" t="n">
        <f aca="false">IF(AT1240="",0,MAX(0,MIN(1,(IF(BY1240="L1",Parameter!$E$5,Parameter!$E$6+Parameter!$E$7)-(AT1240-AP1240))/AP1240)))</f>
        <v>1</v>
      </c>
      <c r="AV1240" s="57" t="n">
        <f aca="false">IF(LEFT(Cockpit!$O$5,1)="A",H1240,IF(CA1240=1,CB1240,IF(LEFT(Cockpit!$O$5,1)="B",AZ1240,MAX(AZ1240,H1240))))</f>
        <v>110</v>
      </c>
      <c r="AW1240" s="57" t="n">
        <f aca="false">IF(BT1240=1,0,ROUNDUP(AV1240/BS1240,0))</f>
        <v>1</v>
      </c>
      <c r="AX1240" s="59" t="n">
        <f aca="false">IF(CH1240&gt;0,CH1240*MAX(1,AV1240/X1240),IF(BT1240=1,IF(AV1240&lt;=0,0,BW1240*MAX(1,IF(H1240&gt;0,AV1240/H1240,1))),IF(R1240&gt;0,AW1240/R1240,0))/MAX(0.1,N(Parameter!$M$21)))</f>
        <v>0.0833333333333333</v>
      </c>
      <c r="AY1240" s="57" t="n">
        <f aca="false">AV1240*G1240</f>
        <v>15329.6</v>
      </c>
      <c r="AZ1240" s="57" t="n">
        <f aca="false">ROUNDUP(MAX(J1240/IF(BZ1240&gt;0,BZ1240,MAX(0.1,N(Cockpit!$O$6))),CC1240)/BS1240,0)*BS1240</f>
        <v>110</v>
      </c>
      <c r="BA1240" s="58" t="n">
        <f aca="false">IF(AX1240&gt;0,J1240/AX1240,-1)</f>
        <v>36</v>
      </c>
      <c r="BB1240" s="58" t="n">
        <f aca="false">IF(AND(OR(BY1240="L1",BY1240="L23"),AX1240&gt;0),SUMIFS($AX$7:$AX$1843,$BY$7:$BY$1843,BY1240,$BA$7:$BA$1843,"&gt;"&amp;BA1240)+SUMIFS($AX$7:$AX$1843,$BY$7:$BY$1843,BY1240,$BA$7:$BA$1843,BA1240,$BQ$7:$BQ$1843,"&lt;="&amp;BQ1240),"")</f>
        <v>65.7075267727442</v>
      </c>
      <c r="BC1240" s="65" t="n">
        <f aca="false">IF(BB1240="",0,MAX(0,MIN(1,(IF(BY1240="L1",Parameter!$E$5,Parameter!$E$6+Parameter!$E$7)-(BB1240-AX1240))/AX1240)))</f>
        <v>1</v>
      </c>
      <c r="BD1240" s="55" t="str">
        <f aca="false">IF(AH1240&lt;=0,"",IF(BY1240="Aussen","Aussenlager",IF(BY1240="-","Nicht im Lift",IF(AM1240&gt;=1,"Lift",IF(AM1240&lt;=0,"Aussenlager","teilweise")))))</f>
        <v>Lift</v>
      </c>
      <c r="BE1240" s="55" t="str">
        <f aca="false">IF(AP1240&lt;=0,"",IF(BY1240="Aussen","Aussenlager",IF(BY1240="-","Nicht im Lift",IF(AU1240&gt;=1,"Lift",IF(AU1240&lt;=0,"Aussenlager","teilweise")))))</f>
        <v>Lift</v>
      </c>
      <c r="BF1240" s="55" t="str">
        <f aca="false">IF(AX1240&lt;=0,"",IF(BY1240="Aussen","Aussenlager",IF(BY1240="-","Nicht im Lift",IF(BC1240&gt;=1,"Lift",IF(BC1240&lt;=0,"Aussenlager","teilweise")))))</f>
        <v>Lift</v>
      </c>
      <c r="BG1240" s="55" t="str">
        <f aca="false">IF(A1240="","",IF(BP1240=1,"Neu; ","")&amp;IF(AND(BP1240=0,BK1240&lt;0),"negativer Bestand (Export "&amp;BK1240&amp;"); ","")&amp;IF(J1240&lt;=0,"Kein Verbrauch; ","")&amp;IF(CH1240&gt;0,"Lift "&amp;W1240&amp;" lt. Liftbericht (Fach "&amp;X1240&amp;" Stk); ",IF(BU1240=1,"Gebinde geschätzt ("&amp;T1240&amp;"); ",IF(BT1240=1,"Lose – Tablare geschätzt; ","")))&amp;IF(H1240&gt;AR1240,"Überbestand "&amp;ROUND(H1240-AR1240,0)&amp;" Stk / CHF "&amp;ROUND((H1240-AR1240)*G1240,0)&amp;"; ","")&amp;IF(AND(CA1240=1,CB1240&lt;CC1240),"MAX &lt; MB+LG; ","")&amp;IF(AND(CG1240&gt;0,CF1240*10&gt;CG1240),"zu hoch für Tablar; ","")&amp;IF(AND(BP1240=0,OR(CA1240=1,AA1240&lt;&gt;"",U1240&lt;&gt;"",V1240&lt;&gt;"",AB1240&lt;&gt;"")),"manuell übersteuert; ","")&amp;IF(AND(BT1240=0,R1240=0),"Gebinde unbekannt / Stellmass fehlt; ","")&amp;IF(AND(BT1240=0,N(V1240)&lt;=0,N(Q1240)&lt;=0),"Menge pro Gebinde fehlt (Ist = 1 Gebinde); ","")&amp;BO1240)</f>
        <v>negativer Bestand (Export -5); i.o</v>
      </c>
      <c r="BH1240" s="55"/>
      <c r="BI1240" s="55"/>
      <c r="BJ1240" s="62"/>
      <c r="BK1240" s="57" t="n">
        <v>-5</v>
      </c>
      <c r="BL1240" s="57" t="n">
        <v>112</v>
      </c>
      <c r="BM1240" s="56" t="n">
        <v>-696.8</v>
      </c>
      <c r="BN1240" s="57" t="n">
        <v>3</v>
      </c>
      <c r="BO1240" s="55" t="s">
        <v>536</v>
      </c>
      <c r="BP1240" s="60" t="n">
        <v>0</v>
      </c>
      <c r="BQ1240" s="60" t="n">
        <v>1240</v>
      </c>
      <c r="BR1240" s="55" t="str">
        <f aca="false">IF(U1240&lt;&gt;"",UPPER(TRIM(U1240)),IF(BU1240=1,UPPER(VLOOKUP(T1240,Parameter!$I$27:$K$29,2,0)),IF(P1240="","LOSE",P1240)))</f>
        <v>S62</v>
      </c>
      <c r="BS1240" s="57" t="n">
        <f aca="false">IF(BR1240="LOSE",1,IF(N(V1240)&gt;0,V1240,IF(BU1240=1,MAX(1,N(VLOOKUP(T1240,Parameter!$I$27:$K$29,3,0)),H1240,N(N1240)),IF(N(Q1240)&gt;0,Q1240,MAX(1,H1240)))))</f>
        <v>110</v>
      </c>
      <c r="BT1240" s="60" t="n">
        <f aca="false">IF(BR1240="LOSE",1,0)</f>
        <v>0</v>
      </c>
      <c r="BU1240" s="60" t="n">
        <f aca="false">IF(AND(U1240="",OR(P1240="",P1240="LOSE"),T1240&lt;&gt;"",N(S1240)&lt;=0,ISNUMBER(MATCH(T1240,Parameter!$I$27:$I$29,0))),1,0)</f>
        <v>0</v>
      </c>
      <c r="BV1240" s="55" t="str">
        <f aca="false">IF(AND(Parameter!$B$19="Ja",E1240&lt;&gt;"",ISNUMBER(MATCH(E1240,Parameter!$I$35:$I$52,0))),VLOOKUP(E1240,Parameter!$I$35:$J$52,2,0),IFERROR(VLOOKUP(D1240,Parameter!$A$35:$C$64,2,0),"Nein"))</f>
        <v>2+3</v>
      </c>
      <c r="BW1240" s="59" t="n">
        <f aca="false">IF(BT1240=0,0,IF(N(S1240)&gt;0,S1240,IFERROR(VLOOKUP(D1240,Parameter!$A$35:$C$64,3,0)+0,0)))</f>
        <v>0</v>
      </c>
      <c r="BX1240" s="55" t="n">
        <f aca="false">IF(AA1240&lt;&gt;"",AA1240,Z1240)</f>
        <v>2</v>
      </c>
      <c r="BY1240" s="55" t="str">
        <f aca="false">IF(BX1240=1,"L1",IF(OR(BX1240=2,BX1240=3),"L23",IF(BX1240="Aussen","Aussen","-")))</f>
        <v>L23</v>
      </c>
      <c r="BZ1240" s="66" t="n">
        <f aca="false">IF(N(AB1240)&gt;0,AB1240,0)</f>
        <v>0</v>
      </c>
      <c r="CA1240" s="60" t="n">
        <f aca="false">IF(ISNUMBER(AE1240),1,0)</f>
        <v>0</v>
      </c>
      <c r="CB1240" s="57" t="n">
        <f aca="false">N(AE1240)</f>
        <v>0</v>
      </c>
      <c r="CC1240" s="57" t="n">
        <f aca="false">N(M1240)+N(N1240)</f>
        <v>5</v>
      </c>
      <c r="CD1240" s="57" t="n">
        <f aca="false">ROUNDUP(H1240/BS1240,0)</f>
        <v>1</v>
      </c>
      <c r="CE1240" s="57" t="n">
        <f aca="false">ROUNDUP(CB1240/BS1240,0)</f>
        <v>0</v>
      </c>
      <c r="CF1240" s="60" t="n">
        <f aca="false">IF(BT1240=1,0,IFERROR(VLOOKUP(BR1240,'Gebinde-Kategorie'!$A$5:$M$45,5,0)+0,0))</f>
        <v>21</v>
      </c>
      <c r="CG1240" s="60" t="n">
        <f aca="false">IFERROR(IF(OR(BX1240=1,BX1240=2,BX1240=3),N(INDEX(Parameter!$I$5:$I$7,BX1240)),0),0)</f>
        <v>0</v>
      </c>
      <c r="CH1240" s="59" t="n">
        <f aca="false">IF(AND(Parameter!$B$21="Ja",ISNUMBER(W1240),N(X1240)&gt;0),IFERROR(N(INDEX(Parameter!$L$5:$L$7,W1240))*INDEX(Parameter!$E$5:$E$7,W1240)*X1240/SUMIFS($X$7:$X$1843,$W$7:$W$1843,W1240),0),0)</f>
        <v>0</v>
      </c>
    </row>
    <row r="1241" customFormat="false" ht="15" hidden="false" customHeight="false" outlineLevel="0" collapsed="false">
      <c r="A1241" s="55" t="s">
        <v>2220</v>
      </c>
      <c r="B1241" s="55" t="s">
        <v>522</v>
      </c>
      <c r="C1241" s="55" t="s">
        <v>164</v>
      </c>
      <c r="D1241" s="55" t="s">
        <v>173</v>
      </c>
      <c r="E1241" s="55"/>
      <c r="F1241" s="55" t="s">
        <v>218</v>
      </c>
      <c r="G1241" s="56" t="n">
        <v>348.62</v>
      </c>
      <c r="H1241" s="57" t="n">
        <f aca="false">MAX(0,IF(AND(Parameter!$B$21="Ja",ISNUMBER(Y1241)),Y1241,IF(Parameter!$B$20="Jahresanfang 2025 + Export",BL1241+BK1241,BK1241)))</f>
        <v>6</v>
      </c>
      <c r="I1241" s="57" t="n">
        <f aca="false">H1241*G1241</f>
        <v>2091.72</v>
      </c>
      <c r="J1241" s="57" t="n">
        <f aca="false">BN1241*Parameter!$B$18</f>
        <v>1</v>
      </c>
      <c r="K1241" s="58" t="n">
        <v>7.5</v>
      </c>
      <c r="L1241" s="59" t="n">
        <v>0.133333333333333</v>
      </c>
      <c r="M1241" s="57" t="n">
        <v>0</v>
      </c>
      <c r="N1241" s="57" t="n">
        <v>1</v>
      </c>
      <c r="O1241" s="60" t="n">
        <v>35</v>
      </c>
      <c r="P1241" s="55" t="s">
        <v>168</v>
      </c>
      <c r="Q1241" s="57"/>
      <c r="R1241" s="60" t="n">
        <f aca="false">IF(BT1241=1,0,IFERROR(VLOOKUP(BR1241,'Gebinde-Kategorie'!$A$5:$M$45,13,0)+0,0))</f>
        <v>12</v>
      </c>
      <c r="S1241" s="61"/>
      <c r="T1241" s="62" t="s">
        <v>179</v>
      </c>
      <c r="U1241" s="62"/>
      <c r="V1241" s="62"/>
      <c r="W1241" s="55"/>
      <c r="X1241" s="57"/>
      <c r="Y1241" s="57"/>
      <c r="Z1241" s="55" t="n">
        <f aca="false">IF(A1241="","",IF(AND(Parameter!$B$21="Ja",ISNUMBER(W1241)),W1241,IF(BV1241="2+3",IF(ISNUMBER(SEARCH("grosser Artikel",BO1241)),2,IFERROR(VLOOKUP(BR1241,Parameter!$F$35:$G$64,2,0),2)),IF(OR(BV1241="Nein",BV1241=""),"-",BV1241))))</f>
        <v>2</v>
      </c>
      <c r="AA1241" s="62"/>
      <c r="AB1241" s="63"/>
      <c r="AC1241" s="57" t="n">
        <f aca="false">AR1241</f>
        <v>6</v>
      </c>
      <c r="AD1241" s="57" t="n">
        <f aca="false">MAX(AR1241,H1241)</f>
        <v>6</v>
      </c>
      <c r="AE1241" s="64"/>
      <c r="AF1241" s="57" t="n">
        <f aca="false">IF(LEFT(Cockpit!$C$5,1)="A",H1241,IF(CA1241=1,CB1241,IF(LEFT(Cockpit!$C$5,1)="B",AJ1241,MAX(AJ1241,H1241))))</f>
        <v>6</v>
      </c>
      <c r="AG1241" s="57" t="n">
        <f aca="false">IF(BT1241=1,0,ROUNDUP(AF1241/BS1241,0))</f>
        <v>1</v>
      </c>
      <c r="AH1241" s="59" t="n">
        <f aca="false">IF(CH1241&gt;0,CH1241*MAX(1,AF1241/X1241),IF(BT1241=1,IF(AF1241&lt;=0,0,BW1241*MAX(1,IF(H1241&gt;0,AF1241/H1241,1))),IF(R1241&gt;0,AG1241/R1241,0))/MAX(0.1,N(Parameter!$M$21)))</f>
        <v>0.0833333333333333</v>
      </c>
      <c r="AI1241" s="57" t="n">
        <f aca="false">AF1241*G1241</f>
        <v>2091.72</v>
      </c>
      <c r="AJ1241" s="57" t="n">
        <f aca="false">ROUNDUP(MAX(J1241/IF(BZ1241&gt;0,BZ1241,MAX(0.1,N(Cockpit!$C$6))),CC1241)/BS1241,0)*BS1241</f>
        <v>6</v>
      </c>
      <c r="AK1241" s="58" t="n">
        <f aca="false">IF(AH1241&gt;0,J1241/AH1241,-1)</f>
        <v>12</v>
      </c>
      <c r="AL1241" s="58" t="n">
        <f aca="false">IF(AND(OR(BY1241="L1",BY1241="L23"),AH1241&gt;0),SUMIFS($AH$7:$AH$1843,$BY$7:$BY$1843,BY1241,$AK$7:$AK$1843,"&gt;"&amp;AK1241)+SUMIFS($AH$7:$AH$1843,$BY$7:$BY$1843,BY1241,$AK$7:$AK$1843,AK1241,$BQ$7:$BQ$1843,"&lt;="&amp;BQ1241),"")</f>
        <v>54.8574119117597</v>
      </c>
      <c r="AM1241" s="65" t="n">
        <f aca="false">IF(AL1241="",0,MAX(0,MIN(1,(IF(BY1241="L1",Parameter!$E$5,Parameter!$E$6+Parameter!$E$7)-(AL1241-AH1241))/AH1241)))</f>
        <v>1</v>
      </c>
      <c r="AN1241" s="57" t="n">
        <f aca="false">IF(LEFT(Cockpit!$I$5,1)="A",H1241,IF(CA1241=1,CB1241,IF(LEFT(Cockpit!$I$5,1)="B",AR1241,MAX(AR1241,H1241))))</f>
        <v>6</v>
      </c>
      <c r="AO1241" s="57" t="n">
        <f aca="false">IF(BT1241=1,0,ROUNDUP(AN1241/BS1241,0))</f>
        <v>1</v>
      </c>
      <c r="AP1241" s="59" t="n">
        <f aca="false">IF(CH1241&gt;0,CH1241*MAX(1,AN1241/X1241),IF(BT1241=1,IF(AN1241&lt;=0,0,BW1241*MAX(1,IF(H1241&gt;0,AN1241/H1241,1))),IF(R1241&gt;0,AO1241/R1241,0))/MAX(0.1,N(Parameter!$M$21)))</f>
        <v>0.0833333333333333</v>
      </c>
      <c r="AQ1241" s="57" t="n">
        <f aca="false">AN1241*G1241</f>
        <v>2091.72</v>
      </c>
      <c r="AR1241" s="57" t="n">
        <f aca="false">ROUNDUP(MAX(J1241/IF(BZ1241&gt;0,BZ1241,MAX(0.1,N(Cockpit!$I$6))),CC1241)/BS1241,0)*BS1241</f>
        <v>6</v>
      </c>
      <c r="AS1241" s="58" t="n">
        <f aca="false">IF(AP1241&gt;0,J1241/AP1241,-1)</f>
        <v>12</v>
      </c>
      <c r="AT1241" s="58" t="n">
        <f aca="false">IF(AND(OR(BY1241="L1",BY1241="L23"),AP1241&gt;0),SUMIFS($AP$7:$AP$1843,$BY$7:$BY$1843,BY1241,$AS$7:$AS$1843,"&gt;"&amp;AS1241)+SUMIFS($AP$7:$AP$1843,$BY$7:$BY$1843,BY1241,$AS$7:$AS$1843,AS1241,$BQ$7:$BQ$1843,"&lt;="&amp;BQ1241),"")</f>
        <v>88.1148694300868</v>
      </c>
      <c r="AU1241" s="65" t="n">
        <f aca="false">IF(AT1241="",0,MAX(0,MIN(1,(IF(BY1241="L1",Parameter!$E$5,Parameter!$E$6+Parameter!$E$7)-(AT1241-AP1241))/AP1241)))</f>
        <v>1</v>
      </c>
      <c r="AV1241" s="57" t="n">
        <f aca="false">IF(LEFT(Cockpit!$O$5,1)="A",H1241,IF(CA1241=1,CB1241,IF(LEFT(Cockpit!$O$5,1)="B",AZ1241,MAX(AZ1241,H1241))))</f>
        <v>6</v>
      </c>
      <c r="AW1241" s="57" t="n">
        <f aca="false">IF(BT1241=1,0,ROUNDUP(AV1241/BS1241,0))</f>
        <v>1</v>
      </c>
      <c r="AX1241" s="59" t="n">
        <f aca="false">IF(CH1241&gt;0,CH1241*MAX(1,AV1241/X1241),IF(BT1241=1,IF(AV1241&lt;=0,0,BW1241*MAX(1,IF(H1241&gt;0,AV1241/H1241,1))),IF(R1241&gt;0,AW1241/R1241,0))/MAX(0.1,N(Parameter!$M$21)))</f>
        <v>0.0833333333333333</v>
      </c>
      <c r="AY1241" s="57" t="n">
        <f aca="false">AV1241*G1241</f>
        <v>2091.72</v>
      </c>
      <c r="AZ1241" s="57" t="n">
        <f aca="false">ROUNDUP(MAX(J1241/IF(BZ1241&gt;0,BZ1241,MAX(0.1,N(Cockpit!$O$6))),CC1241)/BS1241,0)*BS1241</f>
        <v>6</v>
      </c>
      <c r="BA1241" s="58" t="n">
        <f aca="false">IF(AX1241&gt;0,J1241/AX1241,-1)</f>
        <v>12</v>
      </c>
      <c r="BB1241" s="58" t="n">
        <f aca="false">IF(AND(OR(BY1241="L1",BY1241="L23"),AX1241&gt;0),SUMIFS($AX$7:$AX$1843,$BY$7:$BY$1843,BY1241,$BA$7:$BA$1843,"&gt;"&amp;BA1241)+SUMIFS($AX$7:$AX$1843,$BY$7:$BY$1843,BY1241,$BA$7:$BA$1843,BA1241,$BQ$7:$BQ$1843,"&lt;="&amp;BQ1241),"")</f>
        <v>81.6113729265903</v>
      </c>
      <c r="BC1241" s="65" t="n">
        <f aca="false">IF(BB1241="",0,MAX(0,MIN(1,(IF(BY1241="L1",Parameter!$E$5,Parameter!$E$6+Parameter!$E$7)-(BB1241-AX1241))/AX1241)))</f>
        <v>1</v>
      </c>
      <c r="BD1241" s="55" t="str">
        <f aca="false">IF(AH1241&lt;=0,"",IF(BY1241="Aussen","Aussenlager",IF(BY1241="-","Nicht im Lift",IF(AM1241&gt;=1,"Lift",IF(AM1241&lt;=0,"Aussenlager","teilweise")))))</f>
        <v>Lift</v>
      </c>
      <c r="BE1241" s="55" t="str">
        <f aca="false">IF(AP1241&lt;=0,"",IF(BY1241="Aussen","Aussenlager",IF(BY1241="-","Nicht im Lift",IF(AU1241&gt;=1,"Lift",IF(AU1241&lt;=0,"Aussenlager","teilweise")))))</f>
        <v>Lift</v>
      </c>
      <c r="BF1241" s="55" t="str">
        <f aca="false">IF(AX1241&lt;=0,"",IF(BY1241="Aussen","Aussenlager",IF(BY1241="-","Nicht im Lift",IF(BC1241&gt;=1,"Lift",IF(BC1241&lt;=0,"Aussenlager","teilweise")))))</f>
        <v>Lift</v>
      </c>
      <c r="BG1241" s="55" t="str">
        <f aca="false">IF(A1241="","",IF(BP1241=1,"Neu; ","")&amp;IF(AND(BP1241=0,BK1241&lt;0),"negativer Bestand (Export "&amp;BK1241&amp;"); ","")&amp;IF(J1241&lt;=0,"Kein Verbrauch; ","")&amp;IF(CH1241&gt;0,"Lift "&amp;W1241&amp;" lt. Liftbericht (Fach "&amp;X1241&amp;" Stk); ",IF(BU1241=1,"Gebinde geschätzt ("&amp;T1241&amp;"); ",IF(BT1241=1,"Lose – Tablare geschätzt; ","")))&amp;IF(H1241&gt;AR1241,"Überbestand "&amp;ROUND(H1241-AR1241,0)&amp;" Stk / CHF "&amp;ROUND((H1241-AR1241)*G1241,0)&amp;"; ","")&amp;IF(AND(CA1241=1,CB1241&lt;CC1241),"MAX &lt; MB+LG; ","")&amp;IF(AND(CG1241&gt;0,CF1241*10&gt;CG1241),"zu hoch für Tablar; ","")&amp;IF(AND(BP1241=0,OR(CA1241=1,AA1241&lt;&gt;"",U1241&lt;&gt;"",V1241&lt;&gt;"",AB1241&lt;&gt;"")),"manuell übersteuert; ","")&amp;IF(AND(BT1241=0,R1241=0),"Gebinde unbekannt / Stellmass fehlt; ","")&amp;IF(AND(BT1241=0,N(V1241)&lt;=0,N(Q1241)&lt;=0),"Menge pro Gebinde fehlt (Ist = 1 Gebinde); ","")&amp;BO1241)</f>
        <v>negativer Bestand (Export -2); Gebinde geschätzt (Mittel); Menge pro Gebinde fehlt (Ist = 1 Gebinde); </v>
      </c>
      <c r="BH1241" s="55"/>
      <c r="BI1241" s="55"/>
      <c r="BJ1241" s="62"/>
      <c r="BK1241" s="57" t="n">
        <v>-2</v>
      </c>
      <c r="BL1241" s="57" t="n">
        <v>8</v>
      </c>
      <c r="BM1241" s="56" t="n">
        <v>-697.24</v>
      </c>
      <c r="BN1241" s="57" t="n">
        <v>1</v>
      </c>
      <c r="BO1241" s="55"/>
      <c r="BP1241" s="60" t="n">
        <v>0</v>
      </c>
      <c r="BQ1241" s="60" t="n">
        <v>1241</v>
      </c>
      <c r="BR1241" s="55" t="str">
        <f aca="false">IF(U1241&lt;&gt;"",UPPER(TRIM(U1241)),IF(BU1241=1,UPPER(VLOOKUP(T1241,Parameter!$I$27:$K$29,2,0)),IF(P1241="","LOSE",P1241)))</f>
        <v>S61</v>
      </c>
      <c r="BS1241" s="57" t="n">
        <f aca="false">IF(BR1241="LOSE",1,IF(N(V1241)&gt;0,V1241,IF(BU1241=1,MAX(1,N(VLOOKUP(T1241,Parameter!$I$27:$K$29,3,0)),H1241,N(N1241)),IF(N(Q1241)&gt;0,Q1241,MAX(1,H1241)))))</f>
        <v>6</v>
      </c>
      <c r="BT1241" s="60" t="n">
        <f aca="false">IF(BR1241="LOSE",1,0)</f>
        <v>0</v>
      </c>
      <c r="BU1241" s="60" t="n">
        <f aca="false">IF(AND(U1241="",OR(P1241="",P1241="LOSE"),T1241&lt;&gt;"",N(S1241)&lt;=0,ISNUMBER(MATCH(T1241,Parameter!$I$27:$I$29,0))),1,0)</f>
        <v>1</v>
      </c>
      <c r="BV1241" s="55" t="str">
        <f aca="false">IF(AND(Parameter!$B$19="Ja",E1241&lt;&gt;"",ISNUMBER(MATCH(E1241,Parameter!$I$35:$I$52,0))),VLOOKUP(E1241,Parameter!$I$35:$J$52,2,0),IFERROR(VLOOKUP(D1241,Parameter!$A$35:$C$64,2,0),"Nein"))</f>
        <v>2+3</v>
      </c>
      <c r="BW1241" s="59" t="n">
        <f aca="false">IF(BT1241=0,0,IF(N(S1241)&gt;0,S1241,IFERROR(VLOOKUP(D1241,Parameter!$A$35:$C$64,3,0)+0,0)))</f>
        <v>0</v>
      </c>
      <c r="BX1241" s="55" t="n">
        <f aca="false">IF(AA1241&lt;&gt;"",AA1241,Z1241)</f>
        <v>2</v>
      </c>
      <c r="BY1241" s="55" t="str">
        <f aca="false">IF(BX1241=1,"L1",IF(OR(BX1241=2,BX1241=3),"L23",IF(BX1241="Aussen","Aussen","-")))</f>
        <v>L23</v>
      </c>
      <c r="BZ1241" s="66" t="n">
        <f aca="false">IF(N(AB1241)&gt;0,AB1241,0)</f>
        <v>0</v>
      </c>
      <c r="CA1241" s="60" t="n">
        <f aca="false">IF(ISNUMBER(AE1241),1,0)</f>
        <v>0</v>
      </c>
      <c r="CB1241" s="57" t="n">
        <f aca="false">N(AE1241)</f>
        <v>0</v>
      </c>
      <c r="CC1241" s="57" t="n">
        <f aca="false">N(M1241)+N(N1241)</f>
        <v>1</v>
      </c>
      <c r="CD1241" s="57" t="n">
        <f aca="false">ROUNDUP(H1241/BS1241,0)</f>
        <v>1</v>
      </c>
      <c r="CE1241" s="57" t="n">
        <f aca="false">ROUNDUP(CB1241/BS1241,0)</f>
        <v>0</v>
      </c>
      <c r="CF1241" s="60" t="n">
        <f aca="false">IF(BT1241=1,0,IFERROR(VLOOKUP(BR1241,'Gebinde-Kategorie'!$A$5:$M$45,5,0)+0,0))</f>
        <v>11</v>
      </c>
      <c r="CG1241" s="60" t="n">
        <f aca="false">IFERROR(IF(OR(BX1241=1,BX1241=2,BX1241=3),N(INDEX(Parameter!$I$5:$I$7,BX1241)),0),0)</f>
        <v>0</v>
      </c>
      <c r="CH1241" s="59" t="n">
        <f aca="false">IF(AND(Parameter!$B$21="Ja",ISNUMBER(W1241),N(X1241)&gt;0),IFERROR(N(INDEX(Parameter!$L$5:$L$7,W1241))*INDEX(Parameter!$E$5:$E$7,W1241)*X1241/SUMIFS($X$7:$X$1843,$W$7:$W$1843,W1241),0),0)</f>
        <v>0</v>
      </c>
    </row>
    <row r="1242" customFormat="false" ht="15" hidden="false" customHeight="false" outlineLevel="0" collapsed="false">
      <c r="A1242" s="55" t="s">
        <v>2221</v>
      </c>
      <c r="B1242" s="55" t="s">
        <v>1403</v>
      </c>
      <c r="C1242" s="55" t="s">
        <v>164</v>
      </c>
      <c r="D1242" s="55" t="s">
        <v>184</v>
      </c>
      <c r="E1242" s="55"/>
      <c r="F1242" s="55" t="s">
        <v>218</v>
      </c>
      <c r="G1242" s="56" t="n">
        <v>77.59</v>
      </c>
      <c r="H1242" s="57" t="n">
        <f aca="false">MAX(0,IF(AND(Parameter!$B$21="Ja",ISNUMBER(Y1242)),Y1242,IF(Parameter!$B$20="Jahresanfang 2025 + Export",BL1242+BK1242,BK1242)))</f>
        <v>17</v>
      </c>
      <c r="I1242" s="57" t="n">
        <f aca="false">H1242*G1242</f>
        <v>1319.03</v>
      </c>
      <c r="J1242" s="57" t="n">
        <f aca="false">BN1242*Parameter!$B$18</f>
        <v>4</v>
      </c>
      <c r="K1242" s="58" t="n">
        <v>24</v>
      </c>
      <c r="L1242" s="59" t="n">
        <v>0.166666666666667</v>
      </c>
      <c r="M1242" s="57" t="n">
        <v>0</v>
      </c>
      <c r="N1242" s="57" t="n">
        <v>5</v>
      </c>
      <c r="O1242" s="60" t="n">
        <v>35</v>
      </c>
      <c r="P1242" s="55" t="s">
        <v>168</v>
      </c>
      <c r="Q1242" s="57"/>
      <c r="R1242" s="60" t="n">
        <f aca="false">IF(BT1242=1,0,IFERROR(VLOOKUP(BR1242,'Gebinde-Kategorie'!$A$5:$M$45,13,0)+0,0))</f>
        <v>26</v>
      </c>
      <c r="S1242" s="61"/>
      <c r="T1242" s="62" t="s">
        <v>275</v>
      </c>
      <c r="U1242" s="62"/>
      <c r="V1242" s="62"/>
      <c r="W1242" s="55"/>
      <c r="X1242" s="57"/>
      <c r="Y1242" s="57"/>
      <c r="Z1242" s="55" t="n">
        <f aca="false">IF(A1242="","",IF(AND(Parameter!$B$21="Ja",ISNUMBER(W1242)),W1242,IF(BV1242="2+3",IF(ISNUMBER(SEARCH("grosser Artikel",BO1242)),2,IFERROR(VLOOKUP(BR1242,Parameter!$F$35:$G$64,2,0),2)),IF(OR(BV1242="Nein",BV1242=""),"-",BV1242))))</f>
        <v>3</v>
      </c>
      <c r="AA1242" s="62"/>
      <c r="AB1242" s="63"/>
      <c r="AC1242" s="57" t="n">
        <f aca="false">AR1242</f>
        <v>20</v>
      </c>
      <c r="AD1242" s="57" t="n">
        <f aca="false">MAX(AR1242,H1242)</f>
        <v>20</v>
      </c>
      <c r="AE1242" s="64"/>
      <c r="AF1242" s="57" t="n">
        <f aca="false">IF(LEFT(Cockpit!$C$5,1)="A",H1242,IF(CA1242=1,CB1242,IF(LEFT(Cockpit!$C$5,1)="B",AJ1242,MAX(AJ1242,H1242))))</f>
        <v>17</v>
      </c>
      <c r="AG1242" s="57" t="n">
        <f aca="false">IF(BT1242=1,0,ROUNDUP(AF1242/BS1242,0))</f>
        <v>1</v>
      </c>
      <c r="AH1242" s="59" t="n">
        <f aca="false">IF(CH1242&gt;0,CH1242*MAX(1,AF1242/X1242),IF(BT1242=1,IF(AF1242&lt;=0,0,BW1242*MAX(1,IF(H1242&gt;0,AF1242/H1242,1))),IF(R1242&gt;0,AG1242/R1242,0))/MAX(0.1,N(Parameter!$M$21)))</f>
        <v>0.0384615384615385</v>
      </c>
      <c r="AI1242" s="57" t="n">
        <f aca="false">AF1242*G1242</f>
        <v>1319.03</v>
      </c>
      <c r="AJ1242" s="57" t="n">
        <f aca="false">ROUNDUP(MAX(J1242/IF(BZ1242&gt;0,BZ1242,MAX(0.1,N(Cockpit!$C$6))),CC1242)/BS1242,0)*BS1242</f>
        <v>20</v>
      </c>
      <c r="AK1242" s="58" t="n">
        <f aca="false">IF(AH1242&gt;0,J1242/AH1242,-1)</f>
        <v>104</v>
      </c>
      <c r="AL1242" s="58" t="n">
        <f aca="false">IF(AND(OR(BY1242="L1",BY1242="L23"),AH1242&gt;0),SUMIFS($AH$7:$AH$1843,$BY$7:$BY$1843,BY1242,$AK$7:$AK$1843,"&gt;"&amp;AK1242)+SUMIFS($AH$7:$AH$1843,$BY$7:$BY$1843,BY1242,$AK$7:$AK$1843,AK1242,$BQ$7:$BQ$1843,"&lt;="&amp;BQ1242),"")</f>
        <v>38.822641126989</v>
      </c>
      <c r="AM1242" s="65" t="n">
        <f aca="false">IF(AL1242="",0,MAX(0,MIN(1,(IF(BY1242="L1",Parameter!$E$5,Parameter!$E$6+Parameter!$E$7)-(AL1242-AH1242))/AH1242)))</f>
        <v>1</v>
      </c>
      <c r="AN1242" s="57" t="n">
        <f aca="false">IF(LEFT(Cockpit!$I$5,1)="A",H1242,IF(CA1242=1,CB1242,IF(LEFT(Cockpit!$I$5,1)="B",AR1242,MAX(AR1242,H1242))))</f>
        <v>20</v>
      </c>
      <c r="AO1242" s="57" t="n">
        <f aca="false">IF(BT1242=1,0,ROUNDUP(AN1242/BS1242,0))</f>
        <v>1</v>
      </c>
      <c r="AP1242" s="59" t="n">
        <f aca="false">IF(CH1242&gt;0,CH1242*MAX(1,AN1242/X1242),IF(BT1242=1,IF(AN1242&lt;=0,0,BW1242*MAX(1,IF(H1242&gt;0,AN1242/H1242,1))),IF(R1242&gt;0,AO1242/R1242,0))/MAX(0.1,N(Parameter!$M$21)))</f>
        <v>0.0384615384615385</v>
      </c>
      <c r="AQ1242" s="57" t="n">
        <f aca="false">AN1242*G1242</f>
        <v>1551.8</v>
      </c>
      <c r="AR1242" s="57" t="n">
        <f aca="false">ROUNDUP(MAX(J1242/IF(BZ1242&gt;0,BZ1242,MAX(0.1,N(Cockpit!$I$6))),CC1242)/BS1242,0)*BS1242</f>
        <v>20</v>
      </c>
      <c r="AS1242" s="58" t="n">
        <f aca="false">IF(AP1242&gt;0,J1242/AP1242,-1)</f>
        <v>104</v>
      </c>
      <c r="AT1242" s="58" t="n">
        <f aca="false">IF(AND(OR(BY1242="L1",BY1242="L23"),AP1242&gt;0),SUMIFS($AP$7:$AP$1843,$BY$7:$BY$1843,BY1242,$AS$7:$AS$1843,"&gt;"&amp;AS1242)+SUMIFS($AP$7:$AP$1843,$BY$7:$BY$1843,BY1242,$AS$7:$AS$1843,AS1242,$BQ$7:$BQ$1843,"&lt;="&amp;BQ1242),"")</f>
        <v>56.6768352420526</v>
      </c>
      <c r="AU1242" s="65" t="n">
        <f aca="false">IF(AT1242="",0,MAX(0,MIN(1,(IF(BY1242="L1",Parameter!$E$5,Parameter!$E$6+Parameter!$E$7)-(AT1242-AP1242))/AP1242)))</f>
        <v>1</v>
      </c>
      <c r="AV1242" s="57" t="n">
        <f aca="false">IF(LEFT(Cockpit!$O$5,1)="A",H1242,IF(CA1242=1,CB1242,IF(LEFT(Cockpit!$O$5,1)="B",AZ1242,MAX(AZ1242,H1242))))</f>
        <v>20</v>
      </c>
      <c r="AW1242" s="57" t="n">
        <f aca="false">IF(BT1242=1,0,ROUNDUP(AV1242/BS1242,0))</f>
        <v>1</v>
      </c>
      <c r="AX1242" s="59" t="n">
        <f aca="false">IF(CH1242&gt;0,CH1242*MAX(1,AV1242/X1242),IF(BT1242=1,IF(AV1242&lt;=0,0,BW1242*MAX(1,IF(H1242&gt;0,AV1242/H1242,1))),IF(R1242&gt;0,AW1242/R1242,0))/MAX(0.1,N(Parameter!$M$21)))</f>
        <v>0.0384615384615385</v>
      </c>
      <c r="AY1242" s="57" t="n">
        <f aca="false">AV1242*G1242</f>
        <v>1551.8</v>
      </c>
      <c r="AZ1242" s="57" t="n">
        <f aca="false">ROUNDUP(MAX(J1242/IF(BZ1242&gt;0,BZ1242,MAX(0.1,N(Cockpit!$O$6))),CC1242)/BS1242,0)*BS1242</f>
        <v>20</v>
      </c>
      <c r="BA1242" s="58" t="n">
        <f aca="false">IF(AX1242&gt;0,J1242/AX1242,-1)</f>
        <v>104</v>
      </c>
      <c r="BB1242" s="58" t="n">
        <f aca="false">IF(AND(OR(BY1242="L1",BY1242="L23"),AX1242&gt;0),SUMIFS($AX$7:$AX$1843,$BY$7:$BY$1843,BY1242,$BA$7:$BA$1843,"&gt;"&amp;BA1242)+SUMIFS($AX$7:$AX$1843,$BY$7:$BY$1843,BY1242,$BA$7:$BA$1843,BA1242,$BQ$7:$BQ$1843,"&lt;="&amp;BQ1242),"")</f>
        <v>54.5066720718895</v>
      </c>
      <c r="BC1242" s="65" t="n">
        <f aca="false">IF(BB1242="",0,MAX(0,MIN(1,(IF(BY1242="L1",Parameter!$E$5,Parameter!$E$6+Parameter!$E$7)-(BB1242-AX1242))/AX1242)))</f>
        <v>1</v>
      </c>
      <c r="BD1242" s="55" t="str">
        <f aca="false">IF(AH1242&lt;=0,"",IF(BY1242="Aussen","Aussenlager",IF(BY1242="-","Nicht im Lift",IF(AM1242&gt;=1,"Lift",IF(AM1242&lt;=0,"Aussenlager","teilweise")))))</f>
        <v>Lift</v>
      </c>
      <c r="BE1242" s="55" t="str">
        <f aca="false">IF(AP1242&lt;=0,"",IF(BY1242="Aussen","Aussenlager",IF(BY1242="-","Nicht im Lift",IF(AU1242&gt;=1,"Lift",IF(AU1242&lt;=0,"Aussenlager","teilweise")))))</f>
        <v>Lift</v>
      </c>
      <c r="BF1242" s="55" t="str">
        <f aca="false">IF(AX1242&lt;=0,"",IF(BY1242="Aussen","Aussenlager",IF(BY1242="-","Nicht im Lift",IF(BC1242&gt;=1,"Lift",IF(BC1242&lt;=0,"Aussenlager","teilweise")))))</f>
        <v>Lift</v>
      </c>
      <c r="BG1242" s="55" t="str">
        <f aca="false">IF(A1242="","",IF(BP1242=1,"Neu; ","")&amp;IF(AND(BP1242=0,BK1242&lt;0),"negativer Bestand (Export "&amp;BK1242&amp;"); ","")&amp;IF(J1242&lt;=0,"Kein Verbrauch; ","")&amp;IF(CH1242&gt;0,"Lift "&amp;W1242&amp;" lt. Liftbericht (Fach "&amp;X1242&amp;" Stk); ",IF(BU1242=1,"Gebinde geschätzt ("&amp;T1242&amp;"); ",IF(BT1242=1,"Lose – Tablare geschätzt; ","")))&amp;IF(H1242&gt;AR1242,"Überbestand "&amp;ROUND(H1242-AR1242,0)&amp;" Stk / CHF "&amp;ROUND((H1242-AR1242)*G1242,0)&amp;"; ","")&amp;IF(AND(CA1242=1,CB1242&lt;CC1242),"MAX &lt; MB+LG; ","")&amp;IF(AND(CG1242&gt;0,CF1242*10&gt;CG1242),"zu hoch für Tablar; ","")&amp;IF(AND(BP1242=0,OR(CA1242=1,AA1242&lt;&gt;"",U1242&lt;&gt;"",V1242&lt;&gt;"",AB1242&lt;&gt;"")),"manuell übersteuert; ","")&amp;IF(AND(BT1242=0,R1242=0),"Gebinde unbekannt / Stellmass fehlt; ","")&amp;IF(AND(BT1242=0,N(V1242)&lt;=0,N(Q1242)&lt;=0),"Menge pro Gebinde fehlt (Ist = 1 Gebinde); ","")&amp;BO1242)</f>
        <v>negativer Bestand (Export -9); Gebinde geschätzt (Klein); Menge pro Gebinde fehlt (Ist = 1 Gebinde); </v>
      </c>
      <c r="BH1242" s="55"/>
      <c r="BI1242" s="55"/>
      <c r="BJ1242" s="62"/>
      <c r="BK1242" s="57" t="n">
        <v>-9</v>
      </c>
      <c r="BL1242" s="57" t="n">
        <v>26</v>
      </c>
      <c r="BM1242" s="56" t="n">
        <v>-698.31</v>
      </c>
      <c r="BN1242" s="57" t="n">
        <v>4</v>
      </c>
      <c r="BO1242" s="55"/>
      <c r="BP1242" s="60" t="n">
        <v>0</v>
      </c>
      <c r="BQ1242" s="60" t="n">
        <v>1242</v>
      </c>
      <c r="BR1242" s="55" t="str">
        <f aca="false">IF(U1242&lt;&gt;"",UPPER(TRIM(U1242)),IF(BU1242=1,UPPER(VLOOKUP(T1242,Parameter!$I$27:$K$29,2,0)),IF(P1242="","LOSE",P1242)))</f>
        <v>S51</v>
      </c>
      <c r="BS1242" s="57" t="n">
        <f aca="false">IF(BR1242="LOSE",1,IF(N(V1242)&gt;0,V1242,IF(BU1242=1,MAX(1,N(VLOOKUP(T1242,Parameter!$I$27:$K$29,3,0)),H1242,N(N1242)),IF(N(Q1242)&gt;0,Q1242,MAX(1,H1242)))))</f>
        <v>20</v>
      </c>
      <c r="BT1242" s="60" t="n">
        <f aca="false">IF(BR1242="LOSE",1,0)</f>
        <v>0</v>
      </c>
      <c r="BU1242" s="60" t="n">
        <f aca="false">IF(AND(U1242="",OR(P1242="",P1242="LOSE"),T1242&lt;&gt;"",N(S1242)&lt;=0,ISNUMBER(MATCH(T1242,Parameter!$I$27:$I$29,0))),1,0)</f>
        <v>1</v>
      </c>
      <c r="BV1242" s="55" t="str">
        <f aca="false">IF(AND(Parameter!$B$19="Ja",E1242&lt;&gt;"",ISNUMBER(MATCH(E1242,Parameter!$I$35:$I$52,0))),VLOOKUP(E1242,Parameter!$I$35:$J$52,2,0),IFERROR(VLOOKUP(D1242,Parameter!$A$35:$C$64,2,0),"Nein"))</f>
        <v>2+3</v>
      </c>
      <c r="BW1242" s="59" t="n">
        <f aca="false">IF(BT1242=0,0,IF(N(S1242)&gt;0,S1242,IFERROR(VLOOKUP(D1242,Parameter!$A$35:$C$64,3,0)+0,0)))</f>
        <v>0</v>
      </c>
      <c r="BX1242" s="55" t="n">
        <f aca="false">IF(AA1242&lt;&gt;"",AA1242,Z1242)</f>
        <v>3</v>
      </c>
      <c r="BY1242" s="55" t="str">
        <f aca="false">IF(BX1242=1,"L1",IF(OR(BX1242=2,BX1242=3),"L23",IF(BX1242="Aussen","Aussen","-")))</f>
        <v>L23</v>
      </c>
      <c r="BZ1242" s="66" t="n">
        <f aca="false">IF(N(AB1242)&gt;0,AB1242,0)</f>
        <v>0</v>
      </c>
      <c r="CA1242" s="60" t="n">
        <f aca="false">IF(ISNUMBER(AE1242),1,0)</f>
        <v>0</v>
      </c>
      <c r="CB1242" s="57" t="n">
        <f aca="false">N(AE1242)</f>
        <v>0</v>
      </c>
      <c r="CC1242" s="57" t="n">
        <f aca="false">N(M1242)+N(N1242)</f>
        <v>5</v>
      </c>
      <c r="CD1242" s="57" t="n">
        <f aca="false">ROUNDUP(H1242/BS1242,0)</f>
        <v>1</v>
      </c>
      <c r="CE1242" s="57" t="n">
        <f aca="false">ROUNDUP(CB1242/BS1242,0)</f>
        <v>0</v>
      </c>
      <c r="CF1242" s="60" t="n">
        <f aca="false">IF(BT1242=1,0,IFERROR(VLOOKUP(BR1242,'Gebinde-Kategorie'!$A$5:$M$45,5,0)+0,0))</f>
        <v>11</v>
      </c>
      <c r="CG1242" s="60" t="n">
        <f aca="false">IFERROR(IF(OR(BX1242=1,BX1242=2,BX1242=3),N(INDEX(Parameter!$I$5:$I$7,BX1242)),0),0)</f>
        <v>0</v>
      </c>
      <c r="CH1242" s="59" t="n">
        <f aca="false">IF(AND(Parameter!$B$21="Ja",ISNUMBER(W1242),N(X1242)&gt;0),IFERROR(N(INDEX(Parameter!$L$5:$L$7,W1242))*INDEX(Parameter!$E$5:$E$7,W1242)*X1242/SUMIFS($X$7:$X$1843,$W$7:$W$1843,W1242),0),0)</f>
        <v>0</v>
      </c>
    </row>
    <row r="1243" customFormat="false" ht="15" hidden="false" customHeight="false" outlineLevel="0" collapsed="false">
      <c r="A1243" s="55" t="s">
        <v>2222</v>
      </c>
      <c r="B1243" s="55" t="s">
        <v>1051</v>
      </c>
      <c r="C1243" s="55" t="s">
        <v>164</v>
      </c>
      <c r="D1243" s="55" t="s">
        <v>184</v>
      </c>
      <c r="E1243" s="55"/>
      <c r="F1243" s="55" t="s">
        <v>218</v>
      </c>
      <c r="G1243" s="56" t="n">
        <v>16.2</v>
      </c>
      <c r="H1243" s="57" t="n">
        <f aca="false">MAX(0,IF(AND(Parameter!$B$21="Ja",ISNUMBER(Y1243)),Y1243,IF(Parameter!$B$20="Jahresanfang 2025 + Export",BL1243+BK1243,BK1243)))</f>
        <v>17</v>
      </c>
      <c r="I1243" s="57" t="n">
        <f aca="false">H1243*G1243</f>
        <v>275.4</v>
      </c>
      <c r="J1243" s="57" t="n">
        <f aca="false">BN1243*Parameter!$B$18</f>
        <v>2</v>
      </c>
      <c r="K1243" s="58" t="n">
        <v>59.5</v>
      </c>
      <c r="L1243" s="59" t="n">
        <v>0.0336134453781513</v>
      </c>
      <c r="M1243" s="57" t="n">
        <v>0</v>
      </c>
      <c r="N1243" s="57" t="n">
        <v>1</v>
      </c>
      <c r="O1243" s="60" t="n">
        <v>28</v>
      </c>
      <c r="P1243" s="55" t="s">
        <v>186</v>
      </c>
      <c r="Q1243" s="57" t="n">
        <v>40</v>
      </c>
      <c r="R1243" s="60" t="n">
        <f aca="false">IF(BT1243=1,0,IFERROR(VLOOKUP(BR1243,'Gebinde-Kategorie'!$A$5:$M$45,13,0)+0,0))</f>
        <v>12</v>
      </c>
      <c r="S1243" s="61"/>
      <c r="T1243" s="62"/>
      <c r="U1243" s="62"/>
      <c r="V1243" s="62"/>
      <c r="W1243" s="55"/>
      <c r="X1243" s="57"/>
      <c r="Y1243" s="57"/>
      <c r="Z1243" s="55" t="n">
        <f aca="false">IF(A1243="","",IF(AND(Parameter!$B$21="Ja",ISNUMBER(W1243)),W1243,IF(BV1243="2+3",IF(ISNUMBER(SEARCH("grosser Artikel",BO1243)),2,IFERROR(VLOOKUP(BR1243,Parameter!$F$35:$G$64,2,0),2)),IF(OR(BV1243="Nein",BV1243=""),"-",BV1243))))</f>
        <v>2</v>
      </c>
      <c r="AA1243" s="62"/>
      <c r="AB1243" s="63"/>
      <c r="AC1243" s="57" t="n">
        <f aca="false">AR1243</f>
        <v>40</v>
      </c>
      <c r="AD1243" s="57" t="n">
        <f aca="false">MAX(AR1243,H1243)</f>
        <v>40</v>
      </c>
      <c r="AE1243" s="64"/>
      <c r="AF1243" s="57" t="n">
        <f aca="false">IF(LEFT(Cockpit!$C$5,1)="A",H1243,IF(CA1243=1,CB1243,IF(LEFT(Cockpit!$C$5,1)="B",AJ1243,MAX(AJ1243,H1243))))</f>
        <v>17</v>
      </c>
      <c r="AG1243" s="57" t="n">
        <f aca="false">IF(BT1243=1,0,ROUNDUP(AF1243/BS1243,0))</f>
        <v>1</v>
      </c>
      <c r="AH1243" s="59" t="n">
        <f aca="false">IF(CH1243&gt;0,CH1243*MAX(1,AF1243/X1243),IF(BT1243=1,IF(AF1243&lt;=0,0,BW1243*MAX(1,IF(H1243&gt;0,AF1243/H1243,1))),IF(R1243&gt;0,AG1243/R1243,0))/MAX(0.1,N(Parameter!$M$21)))</f>
        <v>0.0833333333333333</v>
      </c>
      <c r="AI1243" s="57" t="n">
        <f aca="false">AF1243*G1243</f>
        <v>275.4</v>
      </c>
      <c r="AJ1243" s="57" t="n">
        <f aca="false">ROUNDUP(MAX(J1243/IF(BZ1243&gt;0,BZ1243,MAX(0.1,N(Cockpit!$C$6))),CC1243)/BS1243,0)*BS1243</f>
        <v>40</v>
      </c>
      <c r="AK1243" s="58" t="n">
        <f aca="false">IF(AH1243&gt;0,J1243/AH1243,-1)</f>
        <v>24</v>
      </c>
      <c r="AL1243" s="58" t="n">
        <f aca="false">IF(AND(OR(BY1243="L1",BY1243="L23"),AH1243&gt;0),SUMIFS($AH$7:$AH$1843,$BY$7:$BY$1843,BY1243,$AK$7:$AK$1843,"&gt;"&amp;AK1243)+SUMIFS($AH$7:$AH$1843,$BY$7:$BY$1843,BY1243,$AK$7:$AK$1843,AK1243,$BQ$7:$BQ$1843,"&lt;="&amp;BQ1243),"")</f>
        <v>50.838181142529</v>
      </c>
      <c r="AM1243" s="65" t="n">
        <f aca="false">IF(AL1243="",0,MAX(0,MIN(1,(IF(BY1243="L1",Parameter!$E$5,Parameter!$E$6+Parameter!$E$7)-(AL1243-AH1243))/AH1243)))</f>
        <v>1</v>
      </c>
      <c r="AN1243" s="57" t="n">
        <f aca="false">IF(LEFT(Cockpit!$I$5,1)="A",H1243,IF(CA1243=1,CB1243,IF(LEFT(Cockpit!$I$5,1)="B",AR1243,MAX(AR1243,H1243))))</f>
        <v>40</v>
      </c>
      <c r="AO1243" s="57" t="n">
        <f aca="false">IF(BT1243=1,0,ROUNDUP(AN1243/BS1243,0))</f>
        <v>1</v>
      </c>
      <c r="AP1243" s="59" t="n">
        <f aca="false">IF(CH1243&gt;0,CH1243*MAX(1,AN1243/X1243),IF(BT1243=1,IF(AN1243&lt;=0,0,BW1243*MAX(1,IF(H1243&gt;0,AN1243/H1243,1))),IF(R1243&gt;0,AO1243/R1243,0))/MAX(0.1,N(Parameter!$M$21)))</f>
        <v>0.0833333333333333</v>
      </c>
      <c r="AQ1243" s="57" t="n">
        <f aca="false">AN1243*G1243</f>
        <v>648</v>
      </c>
      <c r="AR1243" s="57" t="n">
        <f aca="false">ROUNDUP(MAX(J1243/IF(BZ1243&gt;0,BZ1243,MAX(0.1,N(Cockpit!$I$6))),CC1243)/BS1243,0)*BS1243</f>
        <v>40</v>
      </c>
      <c r="AS1243" s="58" t="n">
        <f aca="false">IF(AP1243&gt;0,J1243/AP1243,-1)</f>
        <v>24</v>
      </c>
      <c r="AT1243" s="58" t="n">
        <f aca="false">IF(AND(OR(BY1243="L1",BY1243="L23"),AP1243&gt;0),SUMIFS($AP$7:$AP$1843,$BY$7:$BY$1843,BY1243,$AS$7:$AS$1843,"&gt;"&amp;AS1243)+SUMIFS($AP$7:$AP$1843,$BY$7:$BY$1843,BY1243,$AS$7:$AS$1843,AS1243,$BQ$7:$BQ$1843,"&lt;="&amp;BQ1243),"")</f>
        <v>76.0956386608561</v>
      </c>
      <c r="AU1243" s="65" t="n">
        <f aca="false">IF(AT1243="",0,MAX(0,MIN(1,(IF(BY1243="L1",Parameter!$E$5,Parameter!$E$6+Parameter!$E$7)-(AT1243-AP1243))/AP1243)))</f>
        <v>1</v>
      </c>
      <c r="AV1243" s="57" t="n">
        <f aca="false">IF(LEFT(Cockpit!$O$5,1)="A",H1243,IF(CA1243=1,CB1243,IF(LEFT(Cockpit!$O$5,1)="B",AZ1243,MAX(AZ1243,H1243))))</f>
        <v>40</v>
      </c>
      <c r="AW1243" s="57" t="n">
        <f aca="false">IF(BT1243=1,0,ROUNDUP(AV1243/BS1243,0))</f>
        <v>1</v>
      </c>
      <c r="AX1243" s="59" t="n">
        <f aca="false">IF(CH1243&gt;0,CH1243*MAX(1,AV1243/X1243),IF(BT1243=1,IF(AV1243&lt;=0,0,BW1243*MAX(1,IF(H1243&gt;0,AV1243/H1243,1))),IF(R1243&gt;0,AW1243/R1243,0))/MAX(0.1,N(Parameter!$M$21)))</f>
        <v>0.0833333333333333</v>
      </c>
      <c r="AY1243" s="57" t="n">
        <f aca="false">AV1243*G1243</f>
        <v>648</v>
      </c>
      <c r="AZ1243" s="57" t="n">
        <f aca="false">ROUNDUP(MAX(J1243/IF(BZ1243&gt;0,BZ1243,MAX(0.1,N(Cockpit!$O$6))),CC1243)/BS1243,0)*BS1243</f>
        <v>40</v>
      </c>
      <c r="BA1243" s="58" t="n">
        <f aca="false">IF(AX1243&gt;0,J1243/AX1243,-1)</f>
        <v>24</v>
      </c>
      <c r="BB1243" s="58" t="n">
        <f aca="false">IF(AND(OR(BY1243="L1",BY1243="L23"),AX1243&gt;0),SUMIFS($AX$7:$AX$1843,$BY$7:$BY$1843,BY1243,$BA$7:$BA$1843,"&gt;"&amp;BA1243)+SUMIFS($AX$7:$AX$1843,$BY$7:$BY$1843,BY1243,$BA$7:$BA$1843,BA1243,$BQ$7:$BQ$1843,"&lt;="&amp;BQ1243),"")</f>
        <v>71.5921421573596</v>
      </c>
      <c r="BC1243" s="65" t="n">
        <f aca="false">IF(BB1243="",0,MAX(0,MIN(1,(IF(BY1243="L1",Parameter!$E$5,Parameter!$E$6+Parameter!$E$7)-(BB1243-AX1243))/AX1243)))</f>
        <v>1</v>
      </c>
      <c r="BD1243" s="55" t="str">
        <f aca="false">IF(AH1243&lt;=0,"",IF(BY1243="Aussen","Aussenlager",IF(BY1243="-","Nicht im Lift",IF(AM1243&gt;=1,"Lift",IF(AM1243&lt;=0,"Aussenlager","teilweise")))))</f>
        <v>Lift</v>
      </c>
      <c r="BE1243" s="55" t="str">
        <f aca="false">IF(AP1243&lt;=0,"",IF(BY1243="Aussen","Aussenlager",IF(BY1243="-","Nicht im Lift",IF(AU1243&gt;=1,"Lift",IF(AU1243&lt;=0,"Aussenlager","teilweise")))))</f>
        <v>Lift</v>
      </c>
      <c r="BF1243" s="55" t="str">
        <f aca="false">IF(AX1243&lt;=0,"",IF(BY1243="Aussen","Aussenlager",IF(BY1243="-","Nicht im Lift",IF(BC1243&gt;=1,"Lift",IF(BC1243&lt;=0,"Aussenlager","teilweise")))))</f>
        <v>Lift</v>
      </c>
      <c r="BG1243" s="55" t="str">
        <f aca="false">IF(A1243="","",IF(BP1243=1,"Neu; ","")&amp;IF(AND(BP1243=0,BK1243&lt;0),"negativer Bestand (Export "&amp;BK1243&amp;"); ","")&amp;IF(J1243&lt;=0,"Kein Verbrauch; ","")&amp;IF(CH1243&gt;0,"Lift "&amp;W1243&amp;" lt. Liftbericht (Fach "&amp;X1243&amp;" Stk); ",IF(BU1243=1,"Gebinde geschätzt ("&amp;T1243&amp;"); ",IF(BT1243=1,"Lose – Tablare geschätzt; ","")))&amp;IF(H1243&gt;AR1243,"Überbestand "&amp;ROUND(H1243-AR1243,0)&amp;" Stk / CHF "&amp;ROUND((H1243-AR1243)*G1243,0)&amp;"; ","")&amp;IF(AND(CA1243=1,CB1243&lt;CC1243),"MAX &lt; MB+LG; ","")&amp;IF(AND(CG1243&gt;0,CF1243*10&gt;CG1243),"zu hoch für Tablar; ","")&amp;IF(AND(BP1243=0,OR(CA1243=1,AA1243&lt;&gt;"",U1243&lt;&gt;"",V1243&lt;&gt;"",AB1243&lt;&gt;"")),"manuell übersteuert; ","")&amp;IF(AND(BT1243=0,R1243=0),"Gebinde unbekannt / Stellmass fehlt; ","")&amp;IF(AND(BT1243=0,N(V1243)&lt;=0,N(Q1243)&lt;=0),"Menge pro Gebinde fehlt (Ist = 1 Gebinde); ","")&amp;BO1243)</f>
        <v>negativer Bestand (Export -44); </v>
      </c>
      <c r="BH1243" s="55"/>
      <c r="BI1243" s="55"/>
      <c r="BJ1243" s="62"/>
      <c r="BK1243" s="57" t="n">
        <v>-44</v>
      </c>
      <c r="BL1243" s="57" t="n">
        <v>61</v>
      </c>
      <c r="BM1243" s="56" t="n">
        <v>-712.8</v>
      </c>
      <c r="BN1243" s="57" t="n">
        <v>2</v>
      </c>
      <c r="BO1243" s="55"/>
      <c r="BP1243" s="60" t="n">
        <v>0</v>
      </c>
      <c r="BQ1243" s="60" t="n">
        <v>1243</v>
      </c>
      <c r="BR1243" s="55" t="str">
        <f aca="false">IF(U1243&lt;&gt;"",UPPER(TRIM(U1243)),IF(BU1243=1,UPPER(VLOOKUP(T1243,Parameter!$I$27:$K$29,2,0)),IF(P1243="","LOSE",P1243)))</f>
        <v>S61</v>
      </c>
      <c r="BS1243" s="57" t="n">
        <f aca="false">IF(BR1243="LOSE",1,IF(N(V1243)&gt;0,V1243,IF(BU1243=1,MAX(1,N(VLOOKUP(T1243,Parameter!$I$27:$K$29,3,0)),H1243,N(N1243)),IF(N(Q1243)&gt;0,Q1243,MAX(1,H1243)))))</f>
        <v>40</v>
      </c>
      <c r="BT1243" s="60" t="n">
        <f aca="false">IF(BR1243="LOSE",1,0)</f>
        <v>0</v>
      </c>
      <c r="BU1243" s="60" t="n">
        <f aca="false">IF(AND(U1243="",OR(P1243="",P1243="LOSE"),T1243&lt;&gt;"",N(S1243)&lt;=0,ISNUMBER(MATCH(T1243,Parameter!$I$27:$I$29,0))),1,0)</f>
        <v>0</v>
      </c>
      <c r="BV1243" s="55" t="str">
        <f aca="false">IF(AND(Parameter!$B$19="Ja",E1243&lt;&gt;"",ISNUMBER(MATCH(E1243,Parameter!$I$35:$I$52,0))),VLOOKUP(E1243,Parameter!$I$35:$J$52,2,0),IFERROR(VLOOKUP(D1243,Parameter!$A$35:$C$64,2,0),"Nein"))</f>
        <v>2+3</v>
      </c>
      <c r="BW1243" s="59" t="n">
        <f aca="false">IF(BT1243=0,0,IF(N(S1243)&gt;0,S1243,IFERROR(VLOOKUP(D1243,Parameter!$A$35:$C$64,3,0)+0,0)))</f>
        <v>0</v>
      </c>
      <c r="BX1243" s="55" t="n">
        <f aca="false">IF(AA1243&lt;&gt;"",AA1243,Z1243)</f>
        <v>2</v>
      </c>
      <c r="BY1243" s="55" t="str">
        <f aca="false">IF(BX1243=1,"L1",IF(OR(BX1243=2,BX1243=3),"L23",IF(BX1243="Aussen","Aussen","-")))</f>
        <v>L23</v>
      </c>
      <c r="BZ1243" s="66" t="n">
        <f aca="false">IF(N(AB1243)&gt;0,AB1243,0)</f>
        <v>0</v>
      </c>
      <c r="CA1243" s="60" t="n">
        <f aca="false">IF(ISNUMBER(AE1243),1,0)</f>
        <v>0</v>
      </c>
      <c r="CB1243" s="57" t="n">
        <f aca="false">N(AE1243)</f>
        <v>0</v>
      </c>
      <c r="CC1243" s="57" t="n">
        <f aca="false">N(M1243)+N(N1243)</f>
        <v>1</v>
      </c>
      <c r="CD1243" s="57" t="n">
        <f aca="false">ROUNDUP(H1243/BS1243,0)</f>
        <v>1</v>
      </c>
      <c r="CE1243" s="57" t="n">
        <f aca="false">ROUNDUP(CB1243/BS1243,0)</f>
        <v>0</v>
      </c>
      <c r="CF1243" s="60" t="n">
        <f aca="false">IF(BT1243=1,0,IFERROR(VLOOKUP(BR1243,'Gebinde-Kategorie'!$A$5:$M$45,5,0)+0,0))</f>
        <v>11</v>
      </c>
      <c r="CG1243" s="60" t="n">
        <f aca="false">IFERROR(IF(OR(BX1243=1,BX1243=2,BX1243=3),N(INDEX(Parameter!$I$5:$I$7,BX1243)),0),0)</f>
        <v>0</v>
      </c>
      <c r="CH1243" s="59" t="n">
        <f aca="false">IF(AND(Parameter!$B$21="Ja",ISNUMBER(W1243),N(X1243)&gt;0),IFERROR(N(INDEX(Parameter!$L$5:$L$7,W1243))*INDEX(Parameter!$E$5:$E$7,W1243)*X1243/SUMIFS($X$7:$X$1843,$W$7:$W$1843,W1243),0),0)</f>
        <v>0</v>
      </c>
    </row>
    <row r="1244" customFormat="false" ht="15" hidden="false" customHeight="false" outlineLevel="0" collapsed="false">
      <c r="A1244" s="55" t="s">
        <v>2223</v>
      </c>
      <c r="B1244" s="55" t="s">
        <v>2224</v>
      </c>
      <c r="C1244" s="55" t="s">
        <v>164</v>
      </c>
      <c r="D1244" s="55" t="s">
        <v>184</v>
      </c>
      <c r="E1244" s="55"/>
      <c r="F1244" s="55" t="s">
        <v>218</v>
      </c>
      <c r="G1244" s="56" t="n">
        <v>79.39</v>
      </c>
      <c r="H1244" s="57" t="n">
        <f aca="false">MAX(0,IF(AND(Parameter!$B$21="Ja",ISNUMBER(Y1244)),Y1244,IF(Parameter!$B$20="Jahresanfang 2025 + Export",BL1244+BK1244,BK1244)))</f>
        <v>0</v>
      </c>
      <c r="I1244" s="57" t="n">
        <f aca="false">H1244*G1244</f>
        <v>0</v>
      </c>
      <c r="J1244" s="57" t="n">
        <f aca="false">BN1244*Parameter!$B$18</f>
        <v>3</v>
      </c>
      <c r="K1244" s="58" t="n">
        <v>6.5</v>
      </c>
      <c r="L1244" s="59" t="n">
        <v>0.461538461538462</v>
      </c>
      <c r="M1244" s="57" t="n">
        <v>0</v>
      </c>
      <c r="N1244" s="57" t="n">
        <v>5</v>
      </c>
      <c r="O1244" s="60" t="n">
        <v>35</v>
      </c>
      <c r="P1244" s="55" t="s">
        <v>168</v>
      </c>
      <c r="Q1244" s="57"/>
      <c r="R1244" s="60" t="n">
        <f aca="false">IF(BT1244=1,0,IFERROR(VLOOKUP(BR1244,'Gebinde-Kategorie'!$A$5:$M$45,13,0)+0,0))</f>
        <v>26</v>
      </c>
      <c r="S1244" s="61"/>
      <c r="T1244" s="62" t="s">
        <v>275</v>
      </c>
      <c r="U1244" s="62"/>
      <c r="V1244" s="62"/>
      <c r="W1244" s="55"/>
      <c r="X1244" s="57"/>
      <c r="Y1244" s="57"/>
      <c r="Z1244" s="55" t="n">
        <f aca="false">IF(A1244="","",IF(AND(Parameter!$B$21="Ja",ISNUMBER(W1244)),W1244,IF(BV1244="2+3",IF(ISNUMBER(SEARCH("grosser Artikel",BO1244)),2,IFERROR(VLOOKUP(BR1244,Parameter!$F$35:$G$64,2,0),2)),IF(OR(BV1244="Nein",BV1244=""),"-",BV1244))))</f>
        <v>3</v>
      </c>
      <c r="AA1244" s="62"/>
      <c r="AB1244" s="63"/>
      <c r="AC1244" s="57" t="n">
        <f aca="false">AR1244</f>
        <v>20</v>
      </c>
      <c r="AD1244" s="57" t="n">
        <f aca="false">MAX(AR1244,H1244)</f>
        <v>20</v>
      </c>
      <c r="AE1244" s="64"/>
      <c r="AF1244" s="57" t="n">
        <f aca="false">IF(LEFT(Cockpit!$C$5,1)="A",H1244,IF(CA1244=1,CB1244,IF(LEFT(Cockpit!$C$5,1)="B",AJ1244,MAX(AJ1244,H1244))))</f>
        <v>0</v>
      </c>
      <c r="AG1244" s="57" t="n">
        <f aca="false">IF(BT1244=1,0,ROUNDUP(AF1244/BS1244,0))</f>
        <v>0</v>
      </c>
      <c r="AH1244" s="59" t="n">
        <f aca="false">IF(CH1244&gt;0,CH1244*MAX(1,AF1244/X1244),IF(BT1244=1,IF(AF1244&lt;=0,0,BW1244*MAX(1,IF(H1244&gt;0,AF1244/H1244,1))),IF(R1244&gt;0,AG1244/R1244,0))/MAX(0.1,N(Parameter!$M$21)))</f>
        <v>0</v>
      </c>
      <c r="AI1244" s="57" t="n">
        <f aca="false">AF1244*G1244</f>
        <v>0</v>
      </c>
      <c r="AJ1244" s="57" t="n">
        <f aca="false">ROUNDUP(MAX(J1244/IF(BZ1244&gt;0,BZ1244,MAX(0.1,N(Cockpit!$C$6))),CC1244)/BS1244,0)*BS1244</f>
        <v>20</v>
      </c>
      <c r="AK1244" s="58" t="n">
        <f aca="false">IF(AH1244&gt;0,J1244/AH1244,-1)</f>
        <v>-1</v>
      </c>
      <c r="AL1244" s="58" t="str">
        <f aca="false">IF(AND(OR(BY1244="L1",BY1244="L23"),AH1244&gt;0),SUMIFS($AH$7:$AH$1843,$BY$7:$BY$1843,BY1244,$AK$7:$AK$1843,"&gt;"&amp;AK1244)+SUMIFS($AH$7:$AH$1843,$BY$7:$BY$1843,BY1244,$AK$7:$AK$1843,AK1244,$BQ$7:$BQ$1843,"&lt;="&amp;BQ1244),"")</f>
        <v/>
      </c>
      <c r="AM1244" s="65" t="n">
        <f aca="false">IF(AL1244="",0,MAX(0,MIN(1,(IF(BY1244="L1",Parameter!$E$5,Parameter!$E$6+Parameter!$E$7)-(AL1244-AH1244))/AH1244)))</f>
        <v>0</v>
      </c>
      <c r="AN1244" s="57" t="n">
        <f aca="false">IF(LEFT(Cockpit!$I$5,1)="A",H1244,IF(CA1244=1,CB1244,IF(LEFT(Cockpit!$I$5,1)="B",AR1244,MAX(AR1244,H1244))))</f>
        <v>20</v>
      </c>
      <c r="AO1244" s="57" t="n">
        <f aca="false">IF(BT1244=1,0,ROUNDUP(AN1244/BS1244,0))</f>
        <v>1</v>
      </c>
      <c r="AP1244" s="59" t="n">
        <f aca="false">IF(CH1244&gt;0,CH1244*MAX(1,AN1244/X1244),IF(BT1244=1,IF(AN1244&lt;=0,0,BW1244*MAX(1,IF(H1244&gt;0,AN1244/H1244,1))),IF(R1244&gt;0,AO1244/R1244,0))/MAX(0.1,N(Parameter!$M$21)))</f>
        <v>0.0384615384615385</v>
      </c>
      <c r="AQ1244" s="57" t="n">
        <f aca="false">AN1244*G1244</f>
        <v>1587.8</v>
      </c>
      <c r="AR1244" s="57" t="n">
        <f aca="false">ROUNDUP(MAX(J1244/IF(BZ1244&gt;0,BZ1244,MAX(0.1,N(Cockpit!$I$6))),CC1244)/BS1244,0)*BS1244</f>
        <v>20</v>
      </c>
      <c r="AS1244" s="58" t="n">
        <f aca="false">IF(AP1244&gt;0,J1244/AP1244,-1)</f>
        <v>78</v>
      </c>
      <c r="AT1244" s="58" t="n">
        <f aca="false">IF(AND(OR(BY1244="L1",BY1244="L23"),AP1244&gt;0),SUMIFS($AP$7:$AP$1843,$BY$7:$BY$1843,BY1244,$AS$7:$AS$1843,"&gt;"&amp;AS1244)+SUMIFS($AP$7:$AP$1843,$BY$7:$BY$1843,BY1244,$AS$7:$AS$1843,AS1244,$BQ$7:$BQ$1843,"&lt;="&amp;BQ1244),"")</f>
        <v>63.514053579271</v>
      </c>
      <c r="AU1244" s="65" t="n">
        <f aca="false">IF(AT1244="",0,MAX(0,MIN(1,(IF(BY1244="L1",Parameter!$E$5,Parameter!$E$6+Parameter!$E$7)-(AT1244-AP1244))/AP1244)))</f>
        <v>1</v>
      </c>
      <c r="AV1244" s="57" t="n">
        <f aca="false">IF(LEFT(Cockpit!$O$5,1)="A",H1244,IF(CA1244=1,CB1244,IF(LEFT(Cockpit!$O$5,1)="B",AZ1244,MAX(AZ1244,H1244))))</f>
        <v>20</v>
      </c>
      <c r="AW1244" s="57" t="n">
        <f aca="false">IF(BT1244=1,0,ROUNDUP(AV1244/BS1244,0))</f>
        <v>1</v>
      </c>
      <c r="AX1244" s="59" t="n">
        <f aca="false">IF(CH1244&gt;0,CH1244*MAX(1,AV1244/X1244),IF(BT1244=1,IF(AV1244&lt;=0,0,BW1244*MAX(1,IF(H1244&gt;0,AV1244/H1244,1))),IF(R1244&gt;0,AW1244/R1244,0))/MAX(0.1,N(Parameter!$M$21)))</f>
        <v>0.0384615384615385</v>
      </c>
      <c r="AY1244" s="57" t="n">
        <f aca="false">AV1244*G1244</f>
        <v>1587.8</v>
      </c>
      <c r="AZ1244" s="57" t="n">
        <f aca="false">ROUNDUP(MAX(J1244/IF(BZ1244&gt;0,BZ1244,MAX(0.1,N(Cockpit!$O$6))),CC1244)/BS1244,0)*BS1244</f>
        <v>20</v>
      </c>
      <c r="BA1244" s="58" t="n">
        <f aca="false">IF(AX1244&gt;0,J1244/AX1244,-1)</f>
        <v>78</v>
      </c>
      <c r="BB1244" s="58" t="n">
        <f aca="false">IF(AND(OR(BY1244="L1",BY1244="L23"),AX1244&gt;0),SUMIFS($AX$7:$AX$1843,$BY$7:$BY$1843,BY1244,$BA$7:$BA$1843,"&gt;"&amp;BA1244)+SUMIFS($AX$7:$AX$1843,$BY$7:$BY$1843,BY1244,$BA$7:$BA$1843,BA1244,$BQ$7:$BQ$1843,"&lt;="&amp;BQ1244),"")</f>
        <v>58.0105570757745</v>
      </c>
      <c r="BC1244" s="65" t="n">
        <f aca="false">IF(BB1244="",0,MAX(0,MIN(1,(IF(BY1244="L1",Parameter!$E$5,Parameter!$E$6+Parameter!$E$7)-(BB1244-AX1244))/AX1244)))</f>
        <v>1</v>
      </c>
      <c r="BD1244" s="55" t="str">
        <f aca="false">IF(AH1244&lt;=0,"",IF(BY1244="Aussen","Aussenlager",IF(BY1244="-","Nicht im Lift",IF(AM1244&gt;=1,"Lift",IF(AM1244&lt;=0,"Aussenlager","teilweise")))))</f>
        <v/>
      </c>
      <c r="BE1244" s="55" t="str">
        <f aca="false">IF(AP1244&lt;=0,"",IF(BY1244="Aussen","Aussenlager",IF(BY1244="-","Nicht im Lift",IF(AU1244&gt;=1,"Lift",IF(AU1244&lt;=0,"Aussenlager","teilweise")))))</f>
        <v>Lift</v>
      </c>
      <c r="BF1244" s="55" t="str">
        <f aca="false">IF(AX1244&lt;=0,"",IF(BY1244="Aussen","Aussenlager",IF(BY1244="-","Nicht im Lift",IF(BC1244&gt;=1,"Lift",IF(BC1244&lt;=0,"Aussenlager","teilweise")))))</f>
        <v>Lift</v>
      </c>
      <c r="BG1244" s="55" t="str">
        <f aca="false">IF(A1244="","",IF(BP1244=1,"Neu; ","")&amp;IF(AND(BP1244=0,BK1244&lt;0),"negativer Bestand (Export "&amp;BK1244&amp;"); ","")&amp;IF(J1244&lt;=0,"Kein Verbrauch; ","")&amp;IF(CH1244&gt;0,"Lift "&amp;W1244&amp;" lt. Liftbericht (Fach "&amp;X1244&amp;" Stk); ",IF(BU1244=1,"Gebinde geschätzt ("&amp;T1244&amp;"); ",IF(BT1244=1,"Lose – Tablare geschätzt; ","")))&amp;IF(H1244&gt;AR1244,"Überbestand "&amp;ROUND(H1244-AR1244,0)&amp;" Stk / CHF "&amp;ROUND((H1244-AR1244)*G1244,0)&amp;"; ","")&amp;IF(AND(CA1244=1,CB1244&lt;CC1244),"MAX &lt; MB+LG; ","")&amp;IF(AND(CG1244&gt;0,CF1244*10&gt;CG1244),"zu hoch für Tablar; ","")&amp;IF(AND(BP1244=0,OR(CA1244=1,AA1244&lt;&gt;"",U1244&lt;&gt;"",V1244&lt;&gt;"",AB1244&lt;&gt;"")),"manuell übersteuert; ","")&amp;IF(AND(BT1244=0,R1244=0),"Gebinde unbekannt / Stellmass fehlt; ","")&amp;IF(AND(BT1244=0,N(V1244)&lt;=0,N(Q1244)&lt;=0),"Menge pro Gebinde fehlt (Ist = 1 Gebinde); ","")&amp;BO1244)</f>
        <v>negativer Bestand (Export -9); Gebinde geschätzt (Klein); Menge pro Gebinde fehlt (Ist = 1 Gebinde); </v>
      </c>
      <c r="BH1244" s="55"/>
      <c r="BI1244" s="55"/>
      <c r="BJ1244" s="62"/>
      <c r="BK1244" s="57" t="n">
        <v>-9</v>
      </c>
      <c r="BL1244" s="57" t="n">
        <v>9</v>
      </c>
      <c r="BM1244" s="56" t="n">
        <v>-714.51</v>
      </c>
      <c r="BN1244" s="57" t="n">
        <v>3</v>
      </c>
      <c r="BO1244" s="55"/>
      <c r="BP1244" s="60" t="n">
        <v>0</v>
      </c>
      <c r="BQ1244" s="60" t="n">
        <v>1244</v>
      </c>
      <c r="BR1244" s="55" t="str">
        <f aca="false">IF(U1244&lt;&gt;"",UPPER(TRIM(U1244)),IF(BU1244=1,UPPER(VLOOKUP(T1244,Parameter!$I$27:$K$29,2,0)),IF(P1244="","LOSE",P1244)))</f>
        <v>S51</v>
      </c>
      <c r="BS1244" s="57" t="n">
        <f aca="false">IF(BR1244="LOSE",1,IF(N(V1244)&gt;0,V1244,IF(BU1244=1,MAX(1,N(VLOOKUP(T1244,Parameter!$I$27:$K$29,3,0)),H1244,N(N1244)),IF(N(Q1244)&gt;0,Q1244,MAX(1,H1244)))))</f>
        <v>20</v>
      </c>
      <c r="BT1244" s="60" t="n">
        <f aca="false">IF(BR1244="LOSE",1,0)</f>
        <v>0</v>
      </c>
      <c r="BU1244" s="60" t="n">
        <f aca="false">IF(AND(U1244="",OR(P1244="",P1244="LOSE"),T1244&lt;&gt;"",N(S1244)&lt;=0,ISNUMBER(MATCH(T1244,Parameter!$I$27:$I$29,0))),1,0)</f>
        <v>1</v>
      </c>
      <c r="BV1244" s="55" t="str">
        <f aca="false">IF(AND(Parameter!$B$19="Ja",E1244&lt;&gt;"",ISNUMBER(MATCH(E1244,Parameter!$I$35:$I$52,0))),VLOOKUP(E1244,Parameter!$I$35:$J$52,2,0),IFERROR(VLOOKUP(D1244,Parameter!$A$35:$C$64,2,0),"Nein"))</f>
        <v>2+3</v>
      </c>
      <c r="BW1244" s="59" t="n">
        <f aca="false">IF(BT1244=0,0,IF(N(S1244)&gt;0,S1244,IFERROR(VLOOKUP(D1244,Parameter!$A$35:$C$64,3,0)+0,0)))</f>
        <v>0</v>
      </c>
      <c r="BX1244" s="55" t="n">
        <f aca="false">IF(AA1244&lt;&gt;"",AA1244,Z1244)</f>
        <v>3</v>
      </c>
      <c r="BY1244" s="55" t="str">
        <f aca="false">IF(BX1244=1,"L1",IF(OR(BX1244=2,BX1244=3),"L23",IF(BX1244="Aussen","Aussen","-")))</f>
        <v>L23</v>
      </c>
      <c r="BZ1244" s="66" t="n">
        <f aca="false">IF(N(AB1244)&gt;0,AB1244,0)</f>
        <v>0</v>
      </c>
      <c r="CA1244" s="60" t="n">
        <f aca="false">IF(ISNUMBER(AE1244),1,0)</f>
        <v>0</v>
      </c>
      <c r="CB1244" s="57" t="n">
        <f aca="false">N(AE1244)</f>
        <v>0</v>
      </c>
      <c r="CC1244" s="57" t="n">
        <f aca="false">N(M1244)+N(N1244)</f>
        <v>5</v>
      </c>
      <c r="CD1244" s="57" t="n">
        <f aca="false">ROUNDUP(H1244/BS1244,0)</f>
        <v>0</v>
      </c>
      <c r="CE1244" s="57" t="n">
        <f aca="false">ROUNDUP(CB1244/BS1244,0)</f>
        <v>0</v>
      </c>
      <c r="CF1244" s="60" t="n">
        <f aca="false">IF(BT1244=1,0,IFERROR(VLOOKUP(BR1244,'Gebinde-Kategorie'!$A$5:$M$45,5,0)+0,0))</f>
        <v>11</v>
      </c>
      <c r="CG1244" s="60" t="n">
        <f aca="false">IFERROR(IF(OR(BX1244=1,BX1244=2,BX1244=3),N(INDEX(Parameter!$I$5:$I$7,BX1244)),0),0)</f>
        <v>0</v>
      </c>
      <c r="CH1244" s="59" t="n">
        <f aca="false">IF(AND(Parameter!$B$21="Ja",ISNUMBER(W1244),N(X1244)&gt;0),IFERROR(N(INDEX(Parameter!$L$5:$L$7,W1244))*INDEX(Parameter!$E$5:$E$7,W1244)*X1244/SUMIFS($X$7:$X$1843,$W$7:$W$1843,W1244),0),0)</f>
        <v>0</v>
      </c>
    </row>
    <row r="1245" customFormat="false" ht="15" hidden="false" customHeight="false" outlineLevel="0" collapsed="false">
      <c r="A1245" s="55" t="s">
        <v>2225</v>
      </c>
      <c r="B1245" s="55" t="s">
        <v>2226</v>
      </c>
      <c r="C1245" s="55" t="s">
        <v>164</v>
      </c>
      <c r="D1245" s="55" t="s">
        <v>184</v>
      </c>
      <c r="E1245" s="55" t="s">
        <v>185</v>
      </c>
      <c r="F1245" s="55" t="s">
        <v>218</v>
      </c>
      <c r="G1245" s="56" t="n">
        <v>51.08</v>
      </c>
      <c r="H1245" s="57" t="n">
        <f aca="false">MAX(0,IF(AND(Parameter!$B$21="Ja",ISNUMBER(Y1245)),Y1245,IF(Parameter!$B$20="Jahresanfang 2025 + Export",BL1245+BK1245,BK1245)))</f>
        <v>53</v>
      </c>
      <c r="I1245" s="57" t="n">
        <f aca="false">H1245*G1245</f>
        <v>2707.24</v>
      </c>
      <c r="J1245" s="57" t="n">
        <f aca="false">BN1245*Parameter!$B$18</f>
        <v>5</v>
      </c>
      <c r="K1245" s="58" t="n">
        <v>63.5</v>
      </c>
      <c r="L1245" s="59" t="n">
        <v>0.078740157480315</v>
      </c>
      <c r="M1245" s="57" t="n">
        <v>0</v>
      </c>
      <c r="N1245" s="57" t="n">
        <v>5</v>
      </c>
      <c r="O1245" s="60" t="n">
        <v>21</v>
      </c>
      <c r="P1245" s="55" t="s">
        <v>226</v>
      </c>
      <c r="Q1245" s="57" t="n">
        <v>71</v>
      </c>
      <c r="R1245" s="60" t="n">
        <f aca="false">IF(BT1245=1,0,IFERROR(VLOOKUP(BR1245,'Gebinde-Kategorie'!$A$5:$M$45,13,0)+0,0))</f>
        <v>12</v>
      </c>
      <c r="S1245" s="61"/>
      <c r="T1245" s="62"/>
      <c r="U1245" s="62"/>
      <c r="V1245" s="62"/>
      <c r="W1245" s="55"/>
      <c r="X1245" s="57"/>
      <c r="Y1245" s="57"/>
      <c r="Z1245" s="55" t="n">
        <f aca="false">IF(A1245="","",IF(AND(Parameter!$B$21="Ja",ISNUMBER(W1245)),W1245,IF(BV1245="2+3",IF(ISNUMBER(SEARCH("grosser Artikel",BO1245)),2,IFERROR(VLOOKUP(BR1245,Parameter!$F$35:$G$64,2,0),2)),IF(OR(BV1245="Nein",BV1245=""),"-",BV1245))))</f>
        <v>2</v>
      </c>
      <c r="AA1245" s="62"/>
      <c r="AB1245" s="63"/>
      <c r="AC1245" s="57" t="n">
        <f aca="false">AR1245</f>
        <v>71</v>
      </c>
      <c r="AD1245" s="57" t="n">
        <f aca="false">MAX(AR1245,H1245)</f>
        <v>71</v>
      </c>
      <c r="AE1245" s="64"/>
      <c r="AF1245" s="57" t="n">
        <f aca="false">IF(LEFT(Cockpit!$C$5,1)="A",H1245,IF(CA1245=1,CB1245,IF(LEFT(Cockpit!$C$5,1)="B",AJ1245,MAX(AJ1245,H1245))))</f>
        <v>53</v>
      </c>
      <c r="AG1245" s="57" t="n">
        <f aca="false">IF(BT1245=1,0,ROUNDUP(AF1245/BS1245,0))</f>
        <v>1</v>
      </c>
      <c r="AH1245" s="59" t="n">
        <f aca="false">IF(CH1245&gt;0,CH1245*MAX(1,AF1245/X1245),IF(BT1245=1,IF(AF1245&lt;=0,0,BW1245*MAX(1,IF(H1245&gt;0,AF1245/H1245,1))),IF(R1245&gt;0,AG1245/R1245,0))/MAX(0.1,N(Parameter!$M$21)))</f>
        <v>0.0833333333333333</v>
      </c>
      <c r="AI1245" s="57" t="n">
        <f aca="false">AF1245*G1245</f>
        <v>2707.24</v>
      </c>
      <c r="AJ1245" s="57" t="n">
        <f aca="false">ROUNDUP(MAX(J1245/IF(BZ1245&gt;0,BZ1245,MAX(0.1,N(Cockpit!$C$6))),CC1245)/BS1245,0)*BS1245</f>
        <v>71</v>
      </c>
      <c r="AK1245" s="58" t="n">
        <f aca="false">IF(AH1245&gt;0,J1245/AH1245,-1)</f>
        <v>60</v>
      </c>
      <c r="AL1245" s="58" t="n">
        <f aca="false">IF(AND(OR(BY1245="L1",BY1245="L23"),AH1245&gt;0),SUMIFS($AH$7:$AH$1843,$BY$7:$BY$1843,BY1245,$AK$7:$AK$1843,"&gt;"&amp;AK1245)+SUMIFS($AH$7:$AH$1843,$BY$7:$BY$1843,BY1245,$AK$7:$AK$1843,AK1245,$BQ$7:$BQ$1843,"&lt;="&amp;BQ1245),"")</f>
        <v>43.3440086483565</v>
      </c>
      <c r="AM1245" s="65" t="n">
        <f aca="false">IF(AL1245="",0,MAX(0,MIN(1,(IF(BY1245="L1",Parameter!$E$5,Parameter!$E$6+Parameter!$E$7)-(AL1245-AH1245))/AH1245)))</f>
        <v>1</v>
      </c>
      <c r="AN1245" s="57" t="n">
        <f aca="false">IF(LEFT(Cockpit!$I$5,1)="A",H1245,IF(CA1245=1,CB1245,IF(LEFT(Cockpit!$I$5,1)="B",AR1245,MAX(AR1245,H1245))))</f>
        <v>71</v>
      </c>
      <c r="AO1245" s="57" t="n">
        <f aca="false">IF(BT1245=1,0,ROUNDUP(AN1245/BS1245,0))</f>
        <v>1</v>
      </c>
      <c r="AP1245" s="59" t="n">
        <f aca="false">IF(CH1245&gt;0,CH1245*MAX(1,AN1245/X1245),IF(BT1245=1,IF(AN1245&lt;=0,0,BW1245*MAX(1,IF(H1245&gt;0,AN1245/H1245,1))),IF(R1245&gt;0,AO1245/R1245,0))/MAX(0.1,N(Parameter!$M$21)))</f>
        <v>0.0833333333333333</v>
      </c>
      <c r="AQ1245" s="57" t="n">
        <f aca="false">AN1245*G1245</f>
        <v>3626.68</v>
      </c>
      <c r="AR1245" s="57" t="n">
        <f aca="false">ROUNDUP(MAX(J1245/IF(BZ1245&gt;0,BZ1245,MAX(0.1,N(Cockpit!$I$6))),CC1245)/BS1245,0)*BS1245</f>
        <v>71</v>
      </c>
      <c r="AS1245" s="58" t="n">
        <f aca="false">IF(AP1245&gt;0,J1245/AP1245,-1)</f>
        <v>60</v>
      </c>
      <c r="AT1245" s="58" t="n">
        <f aca="false">IF(AND(OR(BY1245="L1",BY1245="L23"),AP1245&gt;0),SUMIFS($AP$7:$AP$1843,$BY$7:$BY$1843,BY1245,$AS$7:$AS$1843,"&gt;"&amp;AS1245)+SUMIFS($AP$7:$AP$1843,$BY$7:$BY$1843,BY1245,$AS$7:$AS$1843,AS1245,$BQ$7:$BQ$1843,"&lt;="&amp;BQ1245),"")</f>
        <v>65.6335174487348</v>
      </c>
      <c r="AU1245" s="65" t="n">
        <f aca="false">IF(AT1245="",0,MAX(0,MIN(1,(IF(BY1245="L1",Parameter!$E$5,Parameter!$E$6+Parameter!$E$7)-(AT1245-AP1245))/AP1245)))</f>
        <v>1</v>
      </c>
      <c r="AV1245" s="57" t="n">
        <f aca="false">IF(LEFT(Cockpit!$O$5,1)="A",H1245,IF(CA1245=1,CB1245,IF(LEFT(Cockpit!$O$5,1)="B",AZ1245,MAX(AZ1245,H1245))))</f>
        <v>71</v>
      </c>
      <c r="AW1245" s="57" t="n">
        <f aca="false">IF(BT1245=1,0,ROUNDUP(AV1245/BS1245,0))</f>
        <v>1</v>
      </c>
      <c r="AX1245" s="59" t="n">
        <f aca="false">IF(CH1245&gt;0,CH1245*MAX(1,AV1245/X1245),IF(BT1245=1,IF(AV1245&lt;=0,0,BW1245*MAX(1,IF(H1245&gt;0,AV1245/H1245,1))),IF(R1245&gt;0,AW1245/R1245,0))/MAX(0.1,N(Parameter!$M$21)))</f>
        <v>0.0833333333333333</v>
      </c>
      <c r="AY1245" s="57" t="n">
        <f aca="false">AV1245*G1245</f>
        <v>3626.68</v>
      </c>
      <c r="AZ1245" s="57" t="n">
        <f aca="false">ROUNDUP(MAX(J1245/IF(BZ1245&gt;0,BZ1245,MAX(0.1,N(Cockpit!$O$6))),CC1245)/BS1245,0)*BS1245</f>
        <v>71</v>
      </c>
      <c r="BA1245" s="58" t="n">
        <f aca="false">IF(AX1245&gt;0,J1245/AX1245,-1)</f>
        <v>60</v>
      </c>
      <c r="BB1245" s="58" t="n">
        <f aca="false">IF(AND(OR(BY1245="L1",BY1245="L23"),AX1245&gt;0),SUMIFS($AX$7:$AX$1843,$BY$7:$BY$1843,BY1245,$BA$7:$BA$1843,"&gt;"&amp;BA1245)+SUMIFS($AX$7:$AX$1843,$BY$7:$BY$1843,BY1245,$BA$7:$BA$1843,BA1245,$BQ$7:$BQ$1843,"&lt;="&amp;BQ1245),"")</f>
        <v>60.1300209452383</v>
      </c>
      <c r="BC1245" s="65" t="n">
        <f aca="false">IF(BB1245="",0,MAX(0,MIN(1,(IF(BY1245="L1",Parameter!$E$5,Parameter!$E$6+Parameter!$E$7)-(BB1245-AX1245))/AX1245)))</f>
        <v>1</v>
      </c>
      <c r="BD1245" s="55" t="str">
        <f aca="false">IF(AH1245&lt;=0,"",IF(BY1245="Aussen","Aussenlager",IF(BY1245="-","Nicht im Lift",IF(AM1245&gt;=1,"Lift",IF(AM1245&lt;=0,"Aussenlager","teilweise")))))</f>
        <v>Lift</v>
      </c>
      <c r="BE1245" s="55" t="str">
        <f aca="false">IF(AP1245&lt;=0,"",IF(BY1245="Aussen","Aussenlager",IF(BY1245="-","Nicht im Lift",IF(AU1245&gt;=1,"Lift",IF(AU1245&lt;=0,"Aussenlager","teilweise")))))</f>
        <v>Lift</v>
      </c>
      <c r="BF1245" s="55" t="str">
        <f aca="false">IF(AX1245&lt;=0,"",IF(BY1245="Aussen","Aussenlager",IF(BY1245="-","Nicht im Lift",IF(BC1245&gt;=1,"Lift",IF(BC1245&lt;=0,"Aussenlager","teilweise")))))</f>
        <v>Lift</v>
      </c>
      <c r="BG1245" s="55" t="str">
        <f aca="false">IF(A1245="","",IF(BP1245=1,"Neu; ","")&amp;IF(AND(BP1245=0,BK1245&lt;0),"negativer Bestand (Export "&amp;BK1245&amp;"); ","")&amp;IF(J1245&lt;=0,"Kein Verbrauch; ","")&amp;IF(CH1245&gt;0,"Lift "&amp;W1245&amp;" lt. Liftbericht (Fach "&amp;X1245&amp;" Stk); ",IF(BU1245=1,"Gebinde geschätzt ("&amp;T1245&amp;"); ",IF(BT1245=1,"Lose – Tablare geschätzt; ","")))&amp;IF(H1245&gt;AR1245,"Überbestand "&amp;ROUND(H1245-AR1245,0)&amp;" Stk / CHF "&amp;ROUND((H1245-AR1245)*G1245,0)&amp;"; ","")&amp;IF(AND(CA1245=1,CB1245&lt;CC1245),"MAX &lt; MB+LG; ","")&amp;IF(AND(CG1245&gt;0,CF1245*10&gt;CG1245),"zu hoch für Tablar; ","")&amp;IF(AND(BP1245=0,OR(CA1245=1,AA1245&lt;&gt;"",U1245&lt;&gt;"",V1245&lt;&gt;"",AB1245&lt;&gt;"")),"manuell übersteuert; ","")&amp;IF(AND(BT1245=0,R1245=0),"Gebinde unbekannt / Stellmass fehlt; ","")&amp;IF(AND(BT1245=0,N(V1245)&lt;=0,N(Q1245)&lt;=0),"Menge pro Gebinde fehlt (Ist = 1 Gebinde); ","")&amp;BO1245)</f>
        <v>negativer Bestand (Export -14); Überbestand; Braucht es diesen Artikel ?</v>
      </c>
      <c r="BH1245" s="55"/>
      <c r="BI1245" s="55"/>
      <c r="BJ1245" s="62"/>
      <c r="BK1245" s="57" t="n">
        <v>-14</v>
      </c>
      <c r="BL1245" s="57" t="n">
        <v>67</v>
      </c>
      <c r="BM1245" s="56" t="n">
        <v>-715.12</v>
      </c>
      <c r="BN1245" s="57" t="n">
        <v>5</v>
      </c>
      <c r="BO1245" s="55" t="s">
        <v>2227</v>
      </c>
      <c r="BP1245" s="60" t="n">
        <v>0</v>
      </c>
      <c r="BQ1245" s="60" t="n">
        <v>1245</v>
      </c>
      <c r="BR1245" s="55" t="str">
        <f aca="false">IF(U1245&lt;&gt;"",UPPER(TRIM(U1245)),IF(BU1245=1,UPPER(VLOOKUP(T1245,Parameter!$I$27:$K$29,2,0)),IF(P1245="","LOSE",P1245)))</f>
        <v>S63</v>
      </c>
      <c r="BS1245" s="57" t="n">
        <f aca="false">IF(BR1245="LOSE",1,IF(N(V1245)&gt;0,V1245,IF(BU1245=1,MAX(1,N(VLOOKUP(T1245,Parameter!$I$27:$K$29,3,0)),H1245,N(N1245)),IF(N(Q1245)&gt;0,Q1245,MAX(1,H1245)))))</f>
        <v>71</v>
      </c>
      <c r="BT1245" s="60" t="n">
        <f aca="false">IF(BR1245="LOSE",1,0)</f>
        <v>0</v>
      </c>
      <c r="BU1245" s="60" t="n">
        <f aca="false">IF(AND(U1245="",OR(P1245="",P1245="LOSE"),T1245&lt;&gt;"",N(S1245)&lt;=0,ISNUMBER(MATCH(T1245,Parameter!$I$27:$I$29,0))),1,0)</f>
        <v>0</v>
      </c>
      <c r="BV1245" s="55" t="str">
        <f aca="false">IF(AND(Parameter!$B$19="Ja",E1245&lt;&gt;"",ISNUMBER(MATCH(E1245,Parameter!$I$35:$I$52,0))),VLOOKUP(E1245,Parameter!$I$35:$J$52,2,0),IFERROR(VLOOKUP(D1245,Parameter!$A$35:$C$64,2,0),"Nein"))</f>
        <v>2+3</v>
      </c>
      <c r="BW1245" s="59" t="n">
        <f aca="false">IF(BT1245=0,0,IF(N(S1245)&gt;0,S1245,IFERROR(VLOOKUP(D1245,Parameter!$A$35:$C$64,3,0)+0,0)))</f>
        <v>0</v>
      </c>
      <c r="BX1245" s="55" t="n">
        <f aca="false">IF(AA1245&lt;&gt;"",AA1245,Z1245)</f>
        <v>2</v>
      </c>
      <c r="BY1245" s="55" t="str">
        <f aca="false">IF(BX1245=1,"L1",IF(OR(BX1245=2,BX1245=3),"L23",IF(BX1245="Aussen","Aussen","-")))</f>
        <v>L23</v>
      </c>
      <c r="BZ1245" s="66" t="n">
        <f aca="false">IF(N(AB1245)&gt;0,AB1245,0)</f>
        <v>0</v>
      </c>
      <c r="CA1245" s="60" t="n">
        <f aca="false">IF(ISNUMBER(AE1245),1,0)</f>
        <v>0</v>
      </c>
      <c r="CB1245" s="57" t="n">
        <f aca="false">N(AE1245)</f>
        <v>0</v>
      </c>
      <c r="CC1245" s="57" t="n">
        <f aca="false">N(M1245)+N(N1245)</f>
        <v>5</v>
      </c>
      <c r="CD1245" s="57" t="n">
        <f aca="false">ROUNDUP(H1245/BS1245,0)</f>
        <v>1</v>
      </c>
      <c r="CE1245" s="57" t="n">
        <f aca="false">ROUNDUP(CB1245/BS1245,0)</f>
        <v>0</v>
      </c>
      <c r="CF1245" s="60" t="n">
        <f aca="false">IF(BT1245=1,0,IFERROR(VLOOKUP(BR1245,'Gebinde-Kategorie'!$A$5:$M$45,5,0)+0,0))</f>
        <v>31</v>
      </c>
      <c r="CG1245" s="60" t="n">
        <f aca="false">IFERROR(IF(OR(BX1245=1,BX1245=2,BX1245=3),N(INDEX(Parameter!$I$5:$I$7,BX1245)),0),0)</f>
        <v>0</v>
      </c>
      <c r="CH1245" s="59" t="n">
        <f aca="false">IF(AND(Parameter!$B$21="Ja",ISNUMBER(W1245),N(X1245)&gt;0),IFERROR(N(INDEX(Parameter!$L$5:$L$7,W1245))*INDEX(Parameter!$E$5:$E$7,W1245)*X1245/SUMIFS($X$7:$X$1843,$W$7:$W$1843,W1245),0),0)</f>
        <v>0</v>
      </c>
    </row>
    <row r="1246" customFormat="false" ht="15" hidden="false" customHeight="false" outlineLevel="0" collapsed="false">
      <c r="A1246" s="55" t="s">
        <v>2228</v>
      </c>
      <c r="B1246" s="55" t="s">
        <v>2229</v>
      </c>
      <c r="C1246" s="55" t="s">
        <v>456</v>
      </c>
      <c r="D1246" s="55" t="s">
        <v>173</v>
      </c>
      <c r="E1246" s="55" t="s">
        <v>1479</v>
      </c>
      <c r="F1246" s="55" t="s">
        <v>218</v>
      </c>
      <c r="G1246" s="56" t="n">
        <v>72.6</v>
      </c>
      <c r="H1246" s="57" t="n">
        <f aca="false">MAX(0,IF(AND(Parameter!$B$21="Ja",ISNUMBER(Y1246)),Y1246,IF(Parameter!$B$20="Jahresanfang 2025 + Export",BL1246+BK1246,BK1246)))</f>
        <v>0</v>
      </c>
      <c r="I1246" s="57" t="n">
        <f aca="false">H1246*G1246</f>
        <v>0</v>
      </c>
      <c r="J1246" s="57" t="n">
        <f aca="false">BN1246*Parameter!$B$18</f>
        <v>0</v>
      </c>
      <c r="K1246" s="58" t="n">
        <v>5</v>
      </c>
      <c r="L1246" s="59" t="n">
        <v>0</v>
      </c>
      <c r="M1246" s="57" t="n">
        <v>0</v>
      </c>
      <c r="N1246" s="57" t="n">
        <v>1</v>
      </c>
      <c r="O1246" s="60" t="n">
        <v>56</v>
      </c>
      <c r="P1246" s="55" t="s">
        <v>168</v>
      </c>
      <c r="Q1246" s="57"/>
      <c r="R1246" s="60" t="n">
        <f aca="false">IF(BT1246=1,0,IFERROR(VLOOKUP(BR1246,'Gebinde-Kategorie'!$A$5:$M$45,13,0)+0,0))</f>
        <v>3</v>
      </c>
      <c r="S1246" s="61"/>
      <c r="T1246" s="62" t="s">
        <v>189</v>
      </c>
      <c r="U1246" s="62"/>
      <c r="V1246" s="62"/>
      <c r="W1246" s="55"/>
      <c r="X1246" s="57"/>
      <c r="Y1246" s="57"/>
      <c r="Z1246" s="55" t="str">
        <f aca="false">IF(A1246="","",IF(AND(Parameter!$B$21="Ja",ISNUMBER(W1246)),W1246,IF(BV1246="2+3",IF(ISNUMBER(SEARCH("grosser Artikel",BO1246)),2,IFERROR(VLOOKUP(BR1246,Parameter!$F$35:$G$64,2,0),2)),IF(OR(BV1246="Nein",BV1246=""),"-",BV1246))))</f>
        <v>-</v>
      </c>
      <c r="AA1246" s="62"/>
      <c r="AB1246" s="63"/>
      <c r="AC1246" s="57" t="n">
        <f aca="false">AR1246</f>
        <v>2</v>
      </c>
      <c r="AD1246" s="57" t="n">
        <f aca="false">MAX(AR1246,H1246)</f>
        <v>2</v>
      </c>
      <c r="AE1246" s="64"/>
      <c r="AF1246" s="57" t="n">
        <f aca="false">IF(LEFT(Cockpit!$C$5,1)="A",H1246,IF(CA1246=1,CB1246,IF(LEFT(Cockpit!$C$5,1)="B",AJ1246,MAX(AJ1246,H1246))))</f>
        <v>0</v>
      </c>
      <c r="AG1246" s="57" t="n">
        <f aca="false">IF(BT1246=1,0,ROUNDUP(AF1246/BS1246,0))</f>
        <v>0</v>
      </c>
      <c r="AH1246" s="59" t="n">
        <f aca="false">IF(CH1246&gt;0,CH1246*MAX(1,AF1246/X1246),IF(BT1246=1,IF(AF1246&lt;=0,0,BW1246*MAX(1,IF(H1246&gt;0,AF1246/H1246,1))),IF(R1246&gt;0,AG1246/R1246,0))/MAX(0.1,N(Parameter!$M$21)))</f>
        <v>0</v>
      </c>
      <c r="AI1246" s="57" t="n">
        <f aca="false">AF1246*G1246</f>
        <v>0</v>
      </c>
      <c r="AJ1246" s="57" t="n">
        <f aca="false">ROUNDUP(MAX(J1246/IF(BZ1246&gt;0,BZ1246,MAX(0.1,N(Cockpit!$C$6))),CC1246)/BS1246,0)*BS1246</f>
        <v>2</v>
      </c>
      <c r="AK1246" s="58" t="n">
        <f aca="false">IF(AH1246&gt;0,J1246/AH1246,-1)</f>
        <v>-1</v>
      </c>
      <c r="AL1246" s="58" t="str">
        <f aca="false">IF(AND(OR(BY1246="L1",BY1246="L23"),AH1246&gt;0),SUMIFS($AH$7:$AH$1843,$BY$7:$BY$1843,BY1246,$AK$7:$AK$1843,"&gt;"&amp;AK1246)+SUMIFS($AH$7:$AH$1843,$BY$7:$BY$1843,BY1246,$AK$7:$AK$1843,AK1246,$BQ$7:$BQ$1843,"&lt;="&amp;BQ1246),"")</f>
        <v/>
      </c>
      <c r="AM1246" s="65" t="n">
        <f aca="false">IF(AL1246="",0,MAX(0,MIN(1,(IF(BY1246="L1",Parameter!$E$5,Parameter!$E$6+Parameter!$E$7)-(AL1246-AH1246))/AH1246)))</f>
        <v>0</v>
      </c>
      <c r="AN1246" s="57" t="n">
        <f aca="false">IF(LEFT(Cockpit!$I$5,1)="A",H1246,IF(CA1246=1,CB1246,IF(LEFT(Cockpit!$I$5,1)="B",AR1246,MAX(AR1246,H1246))))</f>
        <v>2</v>
      </c>
      <c r="AO1246" s="57" t="n">
        <f aca="false">IF(BT1246=1,0,ROUNDUP(AN1246/BS1246,0))</f>
        <v>1</v>
      </c>
      <c r="AP1246" s="59" t="n">
        <f aca="false">IF(CH1246&gt;0,CH1246*MAX(1,AN1246/X1246),IF(BT1246=1,IF(AN1246&lt;=0,0,BW1246*MAX(1,IF(H1246&gt;0,AN1246/H1246,1))),IF(R1246&gt;0,AO1246/R1246,0))/MAX(0.1,N(Parameter!$M$21)))</f>
        <v>0.333333333333333</v>
      </c>
      <c r="AQ1246" s="57" t="n">
        <f aca="false">AN1246*G1246</f>
        <v>145.2</v>
      </c>
      <c r="AR1246" s="57" t="n">
        <f aca="false">ROUNDUP(MAX(J1246/IF(BZ1246&gt;0,BZ1246,MAX(0.1,N(Cockpit!$I$6))),CC1246)/BS1246,0)*BS1246</f>
        <v>2</v>
      </c>
      <c r="AS1246" s="58" t="n">
        <f aca="false">IF(AP1246&gt;0,J1246/AP1246,-1)</f>
        <v>0</v>
      </c>
      <c r="AT1246" s="58" t="str">
        <f aca="false">IF(AND(OR(BY1246="L1",BY1246="L23"),AP1246&gt;0),SUMIFS($AP$7:$AP$1843,$BY$7:$BY$1843,BY1246,$AS$7:$AS$1843,"&gt;"&amp;AS1246)+SUMIFS($AP$7:$AP$1843,$BY$7:$BY$1843,BY1246,$AS$7:$AS$1843,AS1246,$BQ$7:$BQ$1843,"&lt;="&amp;BQ1246),"")</f>
        <v/>
      </c>
      <c r="AU1246" s="65" t="n">
        <f aca="false">IF(AT1246="",0,MAX(0,MIN(1,(IF(BY1246="L1",Parameter!$E$5,Parameter!$E$6+Parameter!$E$7)-(AT1246-AP1246))/AP1246)))</f>
        <v>0</v>
      </c>
      <c r="AV1246" s="57" t="n">
        <f aca="false">IF(LEFT(Cockpit!$O$5,1)="A",H1246,IF(CA1246=1,CB1246,IF(LEFT(Cockpit!$O$5,1)="B",AZ1246,MAX(AZ1246,H1246))))</f>
        <v>2</v>
      </c>
      <c r="AW1246" s="57" t="n">
        <f aca="false">IF(BT1246=1,0,ROUNDUP(AV1246/BS1246,0))</f>
        <v>1</v>
      </c>
      <c r="AX1246" s="59" t="n">
        <f aca="false">IF(CH1246&gt;0,CH1246*MAX(1,AV1246/X1246),IF(BT1246=1,IF(AV1246&lt;=0,0,BW1246*MAX(1,IF(H1246&gt;0,AV1246/H1246,1))),IF(R1246&gt;0,AW1246/R1246,0))/MAX(0.1,N(Parameter!$M$21)))</f>
        <v>0.333333333333333</v>
      </c>
      <c r="AY1246" s="57" t="n">
        <f aca="false">AV1246*G1246</f>
        <v>145.2</v>
      </c>
      <c r="AZ1246" s="57" t="n">
        <f aca="false">ROUNDUP(MAX(J1246/IF(BZ1246&gt;0,BZ1246,MAX(0.1,N(Cockpit!$O$6))),CC1246)/BS1246,0)*BS1246</f>
        <v>2</v>
      </c>
      <c r="BA1246" s="58" t="n">
        <f aca="false">IF(AX1246&gt;0,J1246/AX1246,-1)</f>
        <v>0</v>
      </c>
      <c r="BB1246" s="58" t="str">
        <f aca="false">IF(AND(OR(BY1246="L1",BY1246="L23"),AX1246&gt;0),SUMIFS($AX$7:$AX$1843,$BY$7:$BY$1843,BY1246,$BA$7:$BA$1843,"&gt;"&amp;BA1246)+SUMIFS($AX$7:$AX$1843,$BY$7:$BY$1843,BY1246,$BA$7:$BA$1843,BA1246,$BQ$7:$BQ$1843,"&lt;="&amp;BQ1246),"")</f>
        <v/>
      </c>
      <c r="BC1246" s="65" t="n">
        <f aca="false">IF(BB1246="",0,MAX(0,MIN(1,(IF(BY1246="L1",Parameter!$E$5,Parameter!$E$6+Parameter!$E$7)-(BB1246-AX1246))/AX1246)))</f>
        <v>0</v>
      </c>
      <c r="BD1246" s="55" t="str">
        <f aca="false">IF(AH1246&lt;=0,"",IF(BY1246="Aussen","Aussenlager",IF(BY1246="-","Nicht im Lift",IF(AM1246&gt;=1,"Lift",IF(AM1246&lt;=0,"Aussenlager","teilweise")))))</f>
        <v/>
      </c>
      <c r="BE1246" s="55" t="str">
        <f aca="false">IF(AP1246&lt;=0,"",IF(BY1246="Aussen","Aussenlager",IF(BY1246="-","Nicht im Lift",IF(AU1246&gt;=1,"Lift",IF(AU1246&lt;=0,"Aussenlager","teilweise")))))</f>
        <v>Nicht im Lift</v>
      </c>
      <c r="BF1246" s="55" t="str">
        <f aca="false">IF(AX1246&lt;=0,"",IF(BY1246="Aussen","Aussenlager",IF(BY1246="-","Nicht im Lift",IF(BC1246&gt;=1,"Lift",IF(BC1246&lt;=0,"Aussenlager","teilweise")))))</f>
        <v>Nicht im Lift</v>
      </c>
      <c r="BG1246" s="55" t="str">
        <f aca="false">IF(A1246="","",IF(BP1246=1,"Neu; ","")&amp;IF(AND(BP1246=0,BK1246&lt;0),"negativer Bestand (Export "&amp;BK1246&amp;"); ","")&amp;IF(J1246&lt;=0,"Kein Verbrauch; ","")&amp;IF(CH1246&gt;0,"Lift "&amp;W1246&amp;" lt. Liftbericht (Fach "&amp;X1246&amp;" Stk); ",IF(BU1246=1,"Gebinde geschätzt ("&amp;T1246&amp;"); ",IF(BT1246=1,"Lose – Tablare geschätzt; ","")))&amp;IF(H1246&gt;AR1246,"Überbestand "&amp;ROUND(H1246-AR1246,0)&amp;" Stk / CHF "&amp;ROUND((H1246-AR1246)*G1246,0)&amp;"; ","")&amp;IF(AND(CA1246=1,CB1246&lt;CC1246),"MAX &lt; MB+LG; ","")&amp;IF(AND(CG1246&gt;0,CF1246*10&gt;CG1246),"zu hoch für Tablar; ","")&amp;IF(AND(BP1246=0,OR(CA1246=1,AA1246&lt;&gt;"",U1246&lt;&gt;"",V1246&lt;&gt;"",AB1246&lt;&gt;"")),"manuell übersteuert; ","")&amp;IF(AND(BT1246=0,R1246=0),"Gebinde unbekannt / Stellmass fehlt; ","")&amp;IF(AND(BT1246=0,N(V1246)&lt;=0,N(Q1246)&lt;=0),"Menge pro Gebinde fehlt (Ist = 1 Gebinde); ","")&amp;BO1246)</f>
        <v>negativer Bestand (Export -10); Kein Verbrauch; Gebinde geschätzt (Gross); Menge pro Gebinde fehlt (Ist = 1 Gebinde); Neu</v>
      </c>
      <c r="BH1246" s="55"/>
      <c r="BI1246" s="55"/>
      <c r="BJ1246" s="62"/>
      <c r="BK1246" s="57" t="n">
        <v>-10</v>
      </c>
      <c r="BL1246" s="57" t="n">
        <v>10</v>
      </c>
      <c r="BM1246" s="56" t="n">
        <v>-726</v>
      </c>
      <c r="BN1246" s="57" t="n">
        <v>0</v>
      </c>
      <c r="BO1246" s="55" t="s">
        <v>626</v>
      </c>
      <c r="BP1246" s="60" t="n">
        <v>0</v>
      </c>
      <c r="BQ1246" s="60" t="n">
        <v>1246</v>
      </c>
      <c r="BR1246" s="55" t="str">
        <f aca="false">IF(U1246&lt;&gt;"",UPPER(TRIM(U1246)),IF(BU1246=1,UPPER(VLOOKUP(T1246,Parameter!$I$27:$K$29,2,0)),IF(P1246="","LOSE",P1246)))</f>
        <v>S81</v>
      </c>
      <c r="BS1246" s="57" t="n">
        <f aca="false">IF(BR1246="LOSE",1,IF(N(V1246)&gt;0,V1246,IF(BU1246=1,MAX(1,N(VLOOKUP(T1246,Parameter!$I$27:$K$29,3,0)),H1246,N(N1246)),IF(N(Q1246)&gt;0,Q1246,MAX(1,H1246)))))</f>
        <v>2</v>
      </c>
      <c r="BT1246" s="60" t="n">
        <f aca="false">IF(BR1246="LOSE",1,0)</f>
        <v>0</v>
      </c>
      <c r="BU1246" s="60" t="n">
        <f aca="false">IF(AND(U1246="",OR(P1246="",P1246="LOSE"),T1246&lt;&gt;"",N(S1246)&lt;=0,ISNUMBER(MATCH(T1246,Parameter!$I$27:$I$29,0))),1,0)</f>
        <v>1</v>
      </c>
      <c r="BV1246" s="55" t="str">
        <f aca="false">IF(AND(Parameter!$B$19="Ja",E1246&lt;&gt;"",ISNUMBER(MATCH(E1246,Parameter!$I$35:$I$52,0))),VLOOKUP(E1246,Parameter!$I$35:$J$52,2,0),IFERROR(VLOOKUP(D1246,Parameter!$A$35:$C$64,2,0),"Nein"))</f>
        <v>Nein</v>
      </c>
      <c r="BW1246" s="59" t="n">
        <f aca="false">IF(BT1246=0,0,IF(N(S1246)&gt;0,S1246,IFERROR(VLOOKUP(D1246,Parameter!$A$35:$C$64,3,0)+0,0)))</f>
        <v>0</v>
      </c>
      <c r="BX1246" s="55" t="str">
        <f aca="false">IF(AA1246&lt;&gt;"",AA1246,Z1246)</f>
        <v>-</v>
      </c>
      <c r="BY1246" s="55" t="str">
        <f aca="false">IF(BX1246=1,"L1",IF(OR(BX1246=2,BX1246=3),"L23",IF(BX1246="Aussen","Aussen","-")))</f>
        <v>-</v>
      </c>
      <c r="BZ1246" s="66" t="n">
        <f aca="false">IF(N(AB1246)&gt;0,AB1246,0)</f>
        <v>0</v>
      </c>
      <c r="CA1246" s="60" t="n">
        <f aca="false">IF(ISNUMBER(AE1246),1,0)</f>
        <v>0</v>
      </c>
      <c r="CB1246" s="57" t="n">
        <f aca="false">N(AE1246)</f>
        <v>0</v>
      </c>
      <c r="CC1246" s="57" t="n">
        <f aca="false">N(M1246)+N(N1246)</f>
        <v>1</v>
      </c>
      <c r="CD1246" s="57" t="n">
        <f aca="false">ROUNDUP(H1246/BS1246,0)</f>
        <v>0</v>
      </c>
      <c r="CE1246" s="57" t="n">
        <f aca="false">ROUNDUP(CB1246/BS1246,0)</f>
        <v>0</v>
      </c>
      <c r="CF1246" s="60" t="n">
        <f aca="false">IF(BT1246=1,0,IFERROR(VLOOKUP(BR1246,'Gebinde-Kategorie'!$A$5:$M$45,5,0)+0,0))</f>
        <v>20</v>
      </c>
      <c r="CG1246" s="60" t="n">
        <f aca="false">IFERROR(IF(OR(BX1246=1,BX1246=2,BX1246=3),N(INDEX(Parameter!$I$5:$I$7,BX1246)),0),0)</f>
        <v>0</v>
      </c>
      <c r="CH1246" s="59" t="n">
        <f aca="false">IF(AND(Parameter!$B$21="Ja",ISNUMBER(W1246),N(X1246)&gt;0),IFERROR(N(INDEX(Parameter!$L$5:$L$7,W1246))*INDEX(Parameter!$E$5:$E$7,W1246)*X1246/SUMIFS($X$7:$X$1843,$W$7:$W$1843,W1246),0),0)</f>
        <v>0</v>
      </c>
    </row>
    <row r="1247" customFormat="false" ht="15" hidden="false" customHeight="false" outlineLevel="0" collapsed="false">
      <c r="A1247" s="55" t="s">
        <v>2230</v>
      </c>
      <c r="B1247" s="55" t="s">
        <v>2231</v>
      </c>
      <c r="C1247" s="55" t="s">
        <v>164</v>
      </c>
      <c r="D1247" s="55" t="s">
        <v>184</v>
      </c>
      <c r="E1247" s="55" t="s">
        <v>185</v>
      </c>
      <c r="F1247" s="55" t="s">
        <v>218</v>
      </c>
      <c r="G1247" s="56" t="n">
        <v>731.7</v>
      </c>
      <c r="H1247" s="57" t="n">
        <f aca="false">MAX(0,IF(AND(Parameter!$B$21="Ja",ISNUMBER(Y1247)),Y1247,IF(Parameter!$B$20="Jahresanfang 2025 + Export",BL1247+BK1247,BK1247)))</f>
        <v>4</v>
      </c>
      <c r="I1247" s="57" t="n">
        <f aca="false">H1247*G1247</f>
        <v>2926.8</v>
      </c>
      <c r="J1247" s="57" t="n">
        <f aca="false">BN1247*Parameter!$B$18</f>
        <v>0</v>
      </c>
      <c r="K1247" s="58" t="n">
        <v>5</v>
      </c>
      <c r="L1247" s="59" t="n">
        <v>0</v>
      </c>
      <c r="M1247" s="57" t="n">
        <v>0</v>
      </c>
      <c r="N1247" s="57" t="n">
        <v>1</v>
      </c>
      <c r="O1247" s="60" t="n">
        <v>14</v>
      </c>
      <c r="P1247" s="55" t="s">
        <v>233</v>
      </c>
      <c r="Q1247" s="57" t="n">
        <v>4</v>
      </c>
      <c r="R1247" s="60" t="n">
        <f aca="false">IF(BT1247=1,0,IFERROR(VLOOKUP(BR1247,'Gebinde-Kategorie'!$A$5:$M$45,13,0)+0,0))</f>
        <v>26</v>
      </c>
      <c r="S1247" s="61"/>
      <c r="T1247" s="62"/>
      <c r="U1247" s="62"/>
      <c r="V1247" s="62"/>
      <c r="W1247" s="55"/>
      <c r="X1247" s="57"/>
      <c r="Y1247" s="57"/>
      <c r="Z1247" s="55" t="n">
        <f aca="false">IF(A1247="","",IF(AND(Parameter!$B$21="Ja",ISNUMBER(W1247)),W1247,IF(BV1247="2+3",IF(ISNUMBER(SEARCH("grosser Artikel",BO1247)),2,IFERROR(VLOOKUP(BR1247,Parameter!$F$35:$G$64,2,0),2)),IF(OR(BV1247="Nein",BV1247=""),"-",BV1247))))</f>
        <v>3</v>
      </c>
      <c r="AA1247" s="62"/>
      <c r="AB1247" s="63"/>
      <c r="AC1247" s="57" t="n">
        <f aca="false">AR1247</f>
        <v>4</v>
      </c>
      <c r="AD1247" s="57" t="n">
        <f aca="false">MAX(AR1247,H1247)</f>
        <v>4</v>
      </c>
      <c r="AE1247" s="64"/>
      <c r="AF1247" s="57" t="n">
        <f aca="false">IF(LEFT(Cockpit!$C$5,1)="A",H1247,IF(CA1247=1,CB1247,IF(LEFT(Cockpit!$C$5,1)="B",AJ1247,MAX(AJ1247,H1247))))</f>
        <v>4</v>
      </c>
      <c r="AG1247" s="57" t="n">
        <f aca="false">IF(BT1247=1,0,ROUNDUP(AF1247/BS1247,0))</f>
        <v>1</v>
      </c>
      <c r="AH1247" s="59" t="n">
        <f aca="false">IF(CH1247&gt;0,CH1247*MAX(1,AF1247/X1247),IF(BT1247=1,IF(AF1247&lt;=0,0,BW1247*MAX(1,IF(H1247&gt;0,AF1247/H1247,1))),IF(R1247&gt;0,AG1247/R1247,0))/MAX(0.1,N(Parameter!$M$21)))</f>
        <v>0.0384615384615385</v>
      </c>
      <c r="AI1247" s="57" t="n">
        <f aca="false">AF1247*G1247</f>
        <v>2926.8</v>
      </c>
      <c r="AJ1247" s="57" t="n">
        <f aca="false">ROUNDUP(MAX(J1247/IF(BZ1247&gt;0,BZ1247,MAX(0.1,N(Cockpit!$C$6))),CC1247)/BS1247,0)*BS1247</f>
        <v>4</v>
      </c>
      <c r="AK1247" s="58" t="n">
        <f aca="false">IF(AH1247&gt;0,J1247/AH1247,-1)</f>
        <v>0</v>
      </c>
      <c r="AL1247" s="58" t="n">
        <f aca="false">IF(AND(OR(BY1247="L1",BY1247="L23"),AH1247&gt;0),SUMIFS($AH$7:$AH$1843,$BY$7:$BY$1843,BY1247,$AK$7:$AK$1843,"&gt;"&amp;AK1247)+SUMIFS($AH$7:$AH$1843,$BY$7:$BY$1843,BY1247,$AK$7:$AK$1843,AK1247,$BQ$7:$BQ$1843,"&lt;="&amp;BQ1247),"")</f>
        <v>80.7484713354279</v>
      </c>
      <c r="AM1247" s="65" t="n">
        <f aca="false">IF(AL1247="",0,MAX(0,MIN(1,(IF(BY1247="L1",Parameter!$E$5,Parameter!$E$6+Parameter!$E$7)-(AL1247-AH1247))/AH1247)))</f>
        <v>1</v>
      </c>
      <c r="AN1247" s="57" t="n">
        <f aca="false">IF(LEFT(Cockpit!$I$5,1)="A",H1247,IF(CA1247=1,CB1247,IF(LEFT(Cockpit!$I$5,1)="B",AR1247,MAX(AR1247,H1247))))</f>
        <v>4</v>
      </c>
      <c r="AO1247" s="57" t="n">
        <f aca="false">IF(BT1247=1,0,ROUNDUP(AN1247/BS1247,0))</f>
        <v>1</v>
      </c>
      <c r="AP1247" s="59" t="n">
        <f aca="false">IF(CH1247&gt;0,CH1247*MAX(1,AN1247/X1247),IF(BT1247=1,IF(AN1247&lt;=0,0,BW1247*MAX(1,IF(H1247&gt;0,AN1247/H1247,1))),IF(R1247&gt;0,AO1247/R1247,0))/MAX(0.1,N(Parameter!$M$21)))</f>
        <v>0.0384615384615385</v>
      </c>
      <c r="AQ1247" s="57" t="n">
        <f aca="false">AN1247*G1247</f>
        <v>2926.8</v>
      </c>
      <c r="AR1247" s="57" t="n">
        <f aca="false">ROUNDUP(MAX(J1247/IF(BZ1247&gt;0,BZ1247,MAX(0.1,N(Cockpit!$I$6))),CC1247)/BS1247,0)*BS1247</f>
        <v>4</v>
      </c>
      <c r="AS1247" s="58" t="n">
        <f aca="false">IF(AP1247&gt;0,J1247/AP1247,-1)</f>
        <v>0</v>
      </c>
      <c r="AT1247" s="58" t="n">
        <f aca="false">IF(AND(OR(BY1247="L1",BY1247="L23"),AP1247&gt;0),SUMIFS($AP$7:$AP$1843,$BY$7:$BY$1843,BY1247,$AS$7:$AS$1843,"&gt;"&amp;AS1247)+SUMIFS($AP$7:$AP$1843,$BY$7:$BY$1843,BY1247,$AS$7:$AS$1843,AS1247,$BQ$7:$BQ$1843,"&lt;="&amp;BQ1247),"")</f>
        <v>123.574279585149</v>
      </c>
      <c r="AU1247" s="65" t="n">
        <f aca="false">IF(AT1247="",0,MAX(0,MIN(1,(IF(BY1247="L1",Parameter!$E$5,Parameter!$E$6+Parameter!$E$7)-(AT1247-AP1247))/AP1247)))</f>
        <v>0</v>
      </c>
      <c r="AV1247" s="57" t="n">
        <f aca="false">IF(LEFT(Cockpit!$O$5,1)="A",H1247,IF(CA1247=1,CB1247,IF(LEFT(Cockpit!$O$5,1)="B",AZ1247,MAX(AZ1247,H1247))))</f>
        <v>4</v>
      </c>
      <c r="AW1247" s="57" t="n">
        <f aca="false">IF(BT1247=1,0,ROUNDUP(AV1247/BS1247,0))</f>
        <v>1</v>
      </c>
      <c r="AX1247" s="59" t="n">
        <f aca="false">IF(CH1247&gt;0,CH1247*MAX(1,AV1247/X1247),IF(BT1247=1,IF(AV1247&lt;=0,0,BW1247*MAX(1,IF(H1247&gt;0,AV1247/H1247,1))),IF(R1247&gt;0,AW1247/R1247,0))/MAX(0.1,N(Parameter!$M$21)))</f>
        <v>0.0384615384615385</v>
      </c>
      <c r="AY1247" s="57" t="n">
        <f aca="false">AV1247*G1247</f>
        <v>2926.8</v>
      </c>
      <c r="AZ1247" s="57" t="n">
        <f aca="false">ROUNDUP(MAX(J1247/IF(BZ1247&gt;0,BZ1247,MAX(0.1,N(Cockpit!$O$6))),CC1247)/BS1247,0)*BS1247</f>
        <v>4</v>
      </c>
      <c r="BA1247" s="58" t="n">
        <f aca="false">IF(AX1247&gt;0,J1247/AX1247,-1)</f>
        <v>0</v>
      </c>
      <c r="BB1247" s="58" t="n">
        <f aca="false">IF(AND(OR(BY1247="L1",BY1247="L23"),AX1247&gt;0),SUMIFS($AX$7:$AX$1843,$BY$7:$BY$1843,BY1247,$BA$7:$BA$1843,"&gt;"&amp;BA1247)+SUMIFS($AX$7:$AX$1843,$BY$7:$BY$1843,BY1247,$BA$7:$BA$1843,BA1247,$BQ$7:$BQ$1843,"&lt;="&amp;BQ1247),"")</f>
        <v>114.404116414986</v>
      </c>
      <c r="BC1247" s="65" t="n">
        <f aca="false">IF(BB1247="",0,MAX(0,MIN(1,(IF(BY1247="L1",Parameter!$E$5,Parameter!$E$6+Parameter!$E$7)-(BB1247-AX1247))/AX1247)))</f>
        <v>0</v>
      </c>
      <c r="BD1247" s="55" t="str">
        <f aca="false">IF(AH1247&lt;=0,"",IF(BY1247="Aussen","Aussenlager",IF(BY1247="-","Nicht im Lift",IF(AM1247&gt;=1,"Lift",IF(AM1247&lt;=0,"Aussenlager","teilweise")))))</f>
        <v>Lift</v>
      </c>
      <c r="BE1247" s="55" t="str">
        <f aca="false">IF(AP1247&lt;=0,"",IF(BY1247="Aussen","Aussenlager",IF(BY1247="-","Nicht im Lift",IF(AU1247&gt;=1,"Lift",IF(AU1247&lt;=0,"Aussenlager","teilweise")))))</f>
        <v>Aussenlager</v>
      </c>
      <c r="BF1247" s="55" t="str">
        <f aca="false">IF(AX1247&lt;=0,"",IF(BY1247="Aussen","Aussenlager",IF(BY1247="-","Nicht im Lift",IF(BC1247&gt;=1,"Lift",IF(BC1247&lt;=0,"Aussenlager","teilweise")))))</f>
        <v>Aussenlager</v>
      </c>
      <c r="BG1247" s="55" t="str">
        <f aca="false">IF(A1247="","",IF(BP1247=1,"Neu; ","")&amp;IF(AND(BP1247=0,BK1247&lt;0),"negativer Bestand (Export "&amp;BK1247&amp;"); ","")&amp;IF(J1247&lt;=0,"Kein Verbrauch; ","")&amp;IF(CH1247&gt;0,"Lift "&amp;W1247&amp;" lt. Liftbericht (Fach "&amp;X1247&amp;" Stk); ",IF(BU1247=1,"Gebinde geschätzt ("&amp;T1247&amp;"); ",IF(BT1247=1,"Lose – Tablare geschätzt; ","")))&amp;IF(H1247&gt;AR1247,"Überbestand "&amp;ROUND(H1247-AR1247,0)&amp;" Stk / CHF "&amp;ROUND((H1247-AR1247)*G1247,0)&amp;"; ","")&amp;IF(AND(CA1247=1,CB1247&lt;CC1247),"MAX &lt; MB+LG; ","")&amp;IF(AND(CG1247&gt;0,CF1247*10&gt;CG1247),"zu hoch für Tablar; ","")&amp;IF(AND(BP1247=0,OR(CA1247=1,AA1247&lt;&gt;"",U1247&lt;&gt;"",V1247&lt;&gt;"",AB1247&lt;&gt;"")),"manuell übersteuert; ","")&amp;IF(AND(BT1247=0,R1247=0),"Gebinde unbekannt / Stellmass fehlt; ","")&amp;IF(AND(BT1247=0,N(V1247)&lt;=0,N(Q1247)&lt;=0),"Menge pro Gebinde fehlt (Ist = 1 Gebinde); ","")&amp;BO1247)</f>
        <v>negativer Bestand (Export -1); Kein Verbrauch; </v>
      </c>
      <c r="BH1247" s="55"/>
      <c r="BI1247" s="55"/>
      <c r="BJ1247" s="62"/>
      <c r="BK1247" s="57" t="n">
        <v>-1</v>
      </c>
      <c r="BL1247" s="57" t="n">
        <v>5</v>
      </c>
      <c r="BM1247" s="56" t="n">
        <v>-731.7</v>
      </c>
      <c r="BN1247" s="57" t="n">
        <v>0</v>
      </c>
      <c r="BO1247" s="55"/>
      <c r="BP1247" s="60" t="n">
        <v>0</v>
      </c>
      <c r="BQ1247" s="60" t="n">
        <v>1247</v>
      </c>
      <c r="BR1247" s="55" t="str">
        <f aca="false">IF(U1247&lt;&gt;"",UPPER(TRIM(U1247)),IF(BU1247=1,UPPER(VLOOKUP(T1247,Parameter!$I$27:$K$29,2,0)),IF(P1247="","LOSE",P1247)))</f>
        <v>S52</v>
      </c>
      <c r="BS1247" s="57" t="n">
        <f aca="false">IF(BR1247="LOSE",1,IF(N(V1247)&gt;0,V1247,IF(BU1247=1,MAX(1,N(VLOOKUP(T1247,Parameter!$I$27:$K$29,3,0)),H1247,N(N1247)),IF(N(Q1247)&gt;0,Q1247,MAX(1,H1247)))))</f>
        <v>4</v>
      </c>
      <c r="BT1247" s="60" t="n">
        <f aca="false">IF(BR1247="LOSE",1,0)</f>
        <v>0</v>
      </c>
      <c r="BU1247" s="60" t="n">
        <f aca="false">IF(AND(U1247="",OR(P1247="",P1247="LOSE"),T1247&lt;&gt;"",N(S1247)&lt;=0,ISNUMBER(MATCH(T1247,Parameter!$I$27:$I$29,0))),1,0)</f>
        <v>0</v>
      </c>
      <c r="BV1247" s="55" t="str">
        <f aca="false">IF(AND(Parameter!$B$19="Ja",E1247&lt;&gt;"",ISNUMBER(MATCH(E1247,Parameter!$I$35:$I$52,0))),VLOOKUP(E1247,Parameter!$I$35:$J$52,2,0),IFERROR(VLOOKUP(D1247,Parameter!$A$35:$C$64,2,0),"Nein"))</f>
        <v>2+3</v>
      </c>
      <c r="BW1247" s="59" t="n">
        <f aca="false">IF(BT1247=0,0,IF(N(S1247)&gt;0,S1247,IFERROR(VLOOKUP(D1247,Parameter!$A$35:$C$64,3,0)+0,0)))</f>
        <v>0</v>
      </c>
      <c r="BX1247" s="55" t="n">
        <f aca="false">IF(AA1247&lt;&gt;"",AA1247,Z1247)</f>
        <v>3</v>
      </c>
      <c r="BY1247" s="55" t="str">
        <f aca="false">IF(BX1247=1,"L1",IF(OR(BX1247=2,BX1247=3),"L23",IF(BX1247="Aussen","Aussen","-")))</f>
        <v>L23</v>
      </c>
      <c r="BZ1247" s="66" t="n">
        <f aca="false">IF(N(AB1247)&gt;0,AB1247,0)</f>
        <v>0</v>
      </c>
      <c r="CA1247" s="60" t="n">
        <f aca="false">IF(ISNUMBER(AE1247),1,0)</f>
        <v>0</v>
      </c>
      <c r="CB1247" s="57" t="n">
        <f aca="false">N(AE1247)</f>
        <v>0</v>
      </c>
      <c r="CC1247" s="57" t="n">
        <f aca="false">N(M1247)+N(N1247)</f>
        <v>1</v>
      </c>
      <c r="CD1247" s="57" t="n">
        <f aca="false">ROUNDUP(H1247/BS1247,0)</f>
        <v>1</v>
      </c>
      <c r="CE1247" s="57" t="n">
        <f aca="false">ROUNDUP(CB1247/BS1247,0)</f>
        <v>0</v>
      </c>
      <c r="CF1247" s="60" t="n">
        <f aca="false">IF(BT1247=1,0,IFERROR(VLOOKUP(BR1247,'Gebinde-Kategorie'!$A$5:$M$45,5,0)+0,0))</f>
        <v>21</v>
      </c>
      <c r="CG1247" s="60" t="n">
        <f aca="false">IFERROR(IF(OR(BX1247=1,BX1247=2,BX1247=3),N(INDEX(Parameter!$I$5:$I$7,BX1247)),0),0)</f>
        <v>0</v>
      </c>
      <c r="CH1247" s="59" t="n">
        <f aca="false">IF(AND(Parameter!$B$21="Ja",ISNUMBER(W1247),N(X1247)&gt;0),IFERROR(N(INDEX(Parameter!$L$5:$L$7,W1247))*INDEX(Parameter!$E$5:$E$7,W1247)*X1247/SUMIFS($X$7:$X$1843,$W$7:$W$1843,W1247),0),0)</f>
        <v>0</v>
      </c>
    </row>
    <row r="1248" customFormat="false" ht="15" hidden="false" customHeight="false" outlineLevel="0" collapsed="false">
      <c r="A1248" s="55" t="s">
        <v>2232</v>
      </c>
      <c r="B1248" s="55" t="s">
        <v>1959</v>
      </c>
      <c r="C1248" s="55" t="s">
        <v>164</v>
      </c>
      <c r="D1248" s="55" t="s">
        <v>173</v>
      </c>
      <c r="E1248" s="55" t="s">
        <v>185</v>
      </c>
      <c r="F1248" s="55" t="s">
        <v>218</v>
      </c>
      <c r="G1248" s="56" t="n">
        <v>183.46</v>
      </c>
      <c r="H1248" s="57" t="n">
        <f aca="false">MAX(0,IF(AND(Parameter!$B$21="Ja",ISNUMBER(Y1248)),Y1248,IF(Parameter!$B$20="Jahresanfang 2025 + Export",BL1248+BK1248,BK1248)))</f>
        <v>7</v>
      </c>
      <c r="I1248" s="57" t="n">
        <f aca="false">H1248*G1248</f>
        <v>1284.22</v>
      </c>
      <c r="J1248" s="57" t="n">
        <f aca="false">BN1248*Parameter!$B$18</f>
        <v>67</v>
      </c>
      <c r="K1248" s="58" t="n">
        <v>18.5</v>
      </c>
      <c r="L1248" s="59" t="n">
        <v>3.62162162162162</v>
      </c>
      <c r="M1248" s="57" t="n">
        <v>10</v>
      </c>
      <c r="N1248" s="57" t="n">
        <v>30</v>
      </c>
      <c r="O1248" s="60" t="n">
        <v>44</v>
      </c>
      <c r="P1248" s="55" t="s">
        <v>174</v>
      </c>
      <c r="Q1248" s="57" t="n">
        <v>18</v>
      </c>
      <c r="R1248" s="60" t="n">
        <f aca="false">IF(BT1248=1,0,IFERROR(VLOOKUP(BR1248,'Gebinde-Kategorie'!$A$5:$M$45,13,0)+0,0))</f>
        <v>6</v>
      </c>
      <c r="S1248" s="61"/>
      <c r="T1248" s="62"/>
      <c r="U1248" s="62"/>
      <c r="V1248" s="62"/>
      <c r="W1248" s="55"/>
      <c r="X1248" s="57"/>
      <c r="Y1248" s="57"/>
      <c r="Z1248" s="55" t="n">
        <f aca="false">IF(A1248="","",IF(AND(Parameter!$B$21="Ja",ISNUMBER(W1248)),W1248,IF(BV1248="2+3",IF(ISNUMBER(SEARCH("grosser Artikel",BO1248)),2,IFERROR(VLOOKUP(BR1248,Parameter!$F$35:$G$64,2,0),2)),IF(OR(BV1248="Nein",BV1248=""),"-",BV1248))))</f>
        <v>2</v>
      </c>
      <c r="AA1248" s="62"/>
      <c r="AB1248" s="63"/>
      <c r="AC1248" s="57" t="n">
        <f aca="false">AR1248</f>
        <v>54</v>
      </c>
      <c r="AD1248" s="57" t="n">
        <f aca="false">MAX(AR1248,H1248)</f>
        <v>54</v>
      </c>
      <c r="AE1248" s="64"/>
      <c r="AF1248" s="57" t="n">
        <f aca="false">IF(LEFT(Cockpit!$C$5,1)="A",H1248,IF(CA1248=1,CB1248,IF(LEFT(Cockpit!$C$5,1)="B",AJ1248,MAX(AJ1248,H1248))))</f>
        <v>7</v>
      </c>
      <c r="AG1248" s="57" t="n">
        <f aca="false">IF(BT1248=1,0,ROUNDUP(AF1248/BS1248,0))</f>
        <v>1</v>
      </c>
      <c r="AH1248" s="59" t="n">
        <f aca="false">IF(CH1248&gt;0,CH1248*MAX(1,AF1248/X1248),IF(BT1248=1,IF(AF1248&lt;=0,0,BW1248*MAX(1,IF(H1248&gt;0,AF1248/H1248,1))),IF(R1248&gt;0,AG1248/R1248,0))/MAX(0.1,N(Parameter!$M$21)))</f>
        <v>0.166666666666667</v>
      </c>
      <c r="AI1248" s="57" t="n">
        <f aca="false">AF1248*G1248</f>
        <v>1284.22</v>
      </c>
      <c r="AJ1248" s="57" t="n">
        <f aca="false">ROUNDUP(MAX(J1248/IF(BZ1248&gt;0,BZ1248,MAX(0.1,N(Cockpit!$C$6))),CC1248)/BS1248,0)*BS1248</f>
        <v>54</v>
      </c>
      <c r="AK1248" s="58" t="n">
        <f aca="false">IF(AH1248&gt;0,J1248/AH1248,-1)</f>
        <v>402</v>
      </c>
      <c r="AL1248" s="58" t="n">
        <f aca="false">IF(AND(OR(BY1248="L1",BY1248="L23"),AH1248&gt;0),SUMIFS($AH$7:$AH$1843,$BY$7:$BY$1843,BY1248,$AK$7:$AK$1843,"&gt;"&amp;AK1248)+SUMIFS($AH$7:$AH$1843,$BY$7:$BY$1843,BY1248,$AK$7:$AK$1843,AK1248,$BQ$7:$BQ$1843,"&lt;="&amp;BQ1248),"")</f>
        <v>25.7640789162528</v>
      </c>
      <c r="AM1248" s="65" t="n">
        <f aca="false">IF(AL1248="",0,MAX(0,MIN(1,(IF(BY1248="L1",Parameter!$E$5,Parameter!$E$6+Parameter!$E$7)-(AL1248-AH1248))/AH1248)))</f>
        <v>1</v>
      </c>
      <c r="AN1248" s="57" t="n">
        <f aca="false">IF(LEFT(Cockpit!$I$5,1)="A",H1248,IF(CA1248=1,CB1248,IF(LEFT(Cockpit!$I$5,1)="B",AR1248,MAX(AR1248,H1248))))</f>
        <v>54</v>
      </c>
      <c r="AO1248" s="57" t="n">
        <f aca="false">IF(BT1248=1,0,ROUNDUP(AN1248/BS1248,0))</f>
        <v>3</v>
      </c>
      <c r="AP1248" s="59" t="n">
        <f aca="false">IF(CH1248&gt;0,CH1248*MAX(1,AN1248/X1248),IF(BT1248=1,IF(AN1248&lt;=0,0,BW1248*MAX(1,IF(H1248&gt;0,AN1248/H1248,1))),IF(R1248&gt;0,AO1248/R1248,0))/MAX(0.1,N(Parameter!$M$21)))</f>
        <v>0.5</v>
      </c>
      <c r="AQ1248" s="57" t="n">
        <f aca="false">AN1248*G1248</f>
        <v>9906.84</v>
      </c>
      <c r="AR1248" s="57" t="n">
        <f aca="false">ROUNDUP(MAX(J1248/IF(BZ1248&gt;0,BZ1248,MAX(0.1,N(Cockpit!$I$6))),CC1248)/BS1248,0)*BS1248</f>
        <v>54</v>
      </c>
      <c r="AS1248" s="58" t="n">
        <f aca="false">IF(AP1248&gt;0,J1248/AP1248,-1)</f>
        <v>134</v>
      </c>
      <c r="AT1248" s="58" t="n">
        <f aca="false">IF(AND(OR(BY1248="L1",BY1248="L23"),AP1248&gt;0),SUMIFS($AP$7:$AP$1843,$BY$7:$BY$1843,BY1248,$AS$7:$AS$1843,"&gt;"&amp;AS1248)+SUMIFS($AP$7:$AP$1843,$BY$7:$BY$1843,BY1248,$AS$7:$AS$1843,AS1248,$BQ$7:$BQ$1843,"&lt;="&amp;BQ1248),"")</f>
        <v>51.5742711394885</v>
      </c>
      <c r="AU1248" s="65" t="n">
        <f aca="false">IF(AT1248="",0,MAX(0,MIN(1,(IF(BY1248="L1",Parameter!$E$5,Parameter!$E$6+Parameter!$E$7)-(AT1248-AP1248))/AP1248)))</f>
        <v>1</v>
      </c>
      <c r="AV1248" s="57" t="n">
        <f aca="false">IF(LEFT(Cockpit!$O$5,1)="A",H1248,IF(CA1248=1,CB1248,IF(LEFT(Cockpit!$O$5,1)="B",AZ1248,MAX(AZ1248,H1248))))</f>
        <v>54</v>
      </c>
      <c r="AW1248" s="57" t="n">
        <f aca="false">IF(BT1248=1,0,ROUNDUP(AV1248/BS1248,0))</f>
        <v>3</v>
      </c>
      <c r="AX1248" s="59" t="n">
        <f aca="false">IF(CH1248&gt;0,CH1248*MAX(1,AV1248/X1248),IF(BT1248=1,IF(AV1248&lt;=0,0,BW1248*MAX(1,IF(H1248&gt;0,AV1248/H1248,1))),IF(R1248&gt;0,AW1248/R1248,0))/MAX(0.1,N(Parameter!$M$21)))</f>
        <v>0.5</v>
      </c>
      <c r="AY1248" s="57" t="n">
        <f aca="false">AV1248*G1248</f>
        <v>9906.84</v>
      </c>
      <c r="AZ1248" s="57" t="n">
        <f aca="false">ROUNDUP(MAX(J1248/IF(BZ1248&gt;0,BZ1248,MAX(0.1,N(Cockpit!$O$6))),CC1248)/BS1248,0)*BS1248</f>
        <v>54</v>
      </c>
      <c r="BA1248" s="58" t="n">
        <f aca="false">IF(AX1248&gt;0,J1248/AX1248,-1)</f>
        <v>134</v>
      </c>
      <c r="BB1248" s="58" t="n">
        <f aca="false">IF(AND(OR(BY1248="L1",BY1248="L23"),AX1248&gt;0),SUMIFS($AX$7:$AX$1843,$BY$7:$BY$1843,BY1248,$BA$7:$BA$1843,"&gt;"&amp;BA1248)+SUMIFS($AX$7:$AX$1843,$BY$7:$BY$1843,BY1248,$BA$7:$BA$1843,BA1248,$BQ$7:$BQ$1843,"&lt;="&amp;BQ1248),"")</f>
        <v>48.1541079693254</v>
      </c>
      <c r="BC1248" s="65" t="n">
        <f aca="false">IF(BB1248="",0,MAX(0,MIN(1,(IF(BY1248="L1",Parameter!$E$5,Parameter!$E$6+Parameter!$E$7)-(BB1248-AX1248))/AX1248)))</f>
        <v>1</v>
      </c>
      <c r="BD1248" s="55" t="str">
        <f aca="false">IF(AH1248&lt;=0,"",IF(BY1248="Aussen","Aussenlager",IF(BY1248="-","Nicht im Lift",IF(AM1248&gt;=1,"Lift",IF(AM1248&lt;=0,"Aussenlager","teilweise")))))</f>
        <v>Lift</v>
      </c>
      <c r="BE1248" s="55" t="str">
        <f aca="false">IF(AP1248&lt;=0,"",IF(BY1248="Aussen","Aussenlager",IF(BY1248="-","Nicht im Lift",IF(AU1248&gt;=1,"Lift",IF(AU1248&lt;=0,"Aussenlager","teilweise")))))</f>
        <v>Lift</v>
      </c>
      <c r="BF1248" s="55" t="str">
        <f aca="false">IF(AX1248&lt;=0,"",IF(BY1248="Aussen","Aussenlager",IF(BY1248="-","Nicht im Lift",IF(BC1248&gt;=1,"Lift",IF(BC1248&lt;=0,"Aussenlager","teilweise")))))</f>
        <v>Lift</v>
      </c>
      <c r="BG1248" s="55" t="str">
        <f aca="false">IF(A1248="","",IF(BP1248=1,"Neu; ","")&amp;IF(AND(BP1248=0,BK1248&lt;0),"negativer Bestand (Export "&amp;BK1248&amp;"); ","")&amp;IF(J1248&lt;=0,"Kein Verbrauch; ","")&amp;IF(CH1248&gt;0,"Lift "&amp;W1248&amp;" lt. Liftbericht (Fach "&amp;X1248&amp;" Stk); ",IF(BU1248=1,"Gebinde geschätzt ("&amp;T1248&amp;"); ",IF(BT1248=1,"Lose – Tablare geschätzt; ","")))&amp;IF(H1248&gt;AR1248,"Überbestand "&amp;ROUND(H1248-AR1248,0)&amp;" Stk / CHF "&amp;ROUND((H1248-AR1248)*G1248,0)&amp;"; ","")&amp;IF(AND(CA1248=1,CB1248&lt;CC1248),"MAX &lt; MB+LG; ","")&amp;IF(AND(CG1248&gt;0,CF1248*10&gt;CG1248),"zu hoch für Tablar; ","")&amp;IF(AND(BP1248=0,OR(CA1248=1,AA1248&lt;&gt;"",U1248&lt;&gt;"",V1248&lt;&gt;"",AB1248&lt;&gt;"")),"manuell übersteuert; ","")&amp;IF(AND(BT1248=0,R1248=0),"Gebinde unbekannt / Stellmass fehlt; ","")&amp;IF(AND(BT1248=0,N(V1248)&lt;=0,N(Q1248)&lt;=0),"Menge pro Gebinde fehlt (Ist = 1 Gebinde); ","")&amp;BO1248)</f>
        <v>negativer Bestand (Export -5); grosser Artikel &amp; nicht im KTL</v>
      </c>
      <c r="BH1248" s="55"/>
      <c r="BI1248" s="55"/>
      <c r="BJ1248" s="62"/>
      <c r="BK1248" s="57" t="n">
        <v>-5</v>
      </c>
      <c r="BL1248" s="57" t="n">
        <v>12</v>
      </c>
      <c r="BM1248" s="56" t="n">
        <v>-731.78</v>
      </c>
      <c r="BN1248" s="57" t="n">
        <v>67</v>
      </c>
      <c r="BO1248" s="55" t="s">
        <v>261</v>
      </c>
      <c r="BP1248" s="60" t="n">
        <v>0</v>
      </c>
      <c r="BQ1248" s="60" t="n">
        <v>1248</v>
      </c>
      <c r="BR1248" s="55" t="str">
        <f aca="false">IF(U1248&lt;&gt;"",UPPER(TRIM(U1248)),IF(BU1248=1,UPPER(VLOOKUP(T1248,Parameter!$I$27:$K$29,2,0)),IF(P1248="","LOSE",P1248)))</f>
        <v>S71</v>
      </c>
      <c r="BS1248" s="57" t="n">
        <f aca="false">IF(BR1248="LOSE",1,IF(N(V1248)&gt;0,V1248,IF(BU1248=1,MAX(1,N(VLOOKUP(T1248,Parameter!$I$27:$K$29,3,0)),H1248,N(N1248)),IF(N(Q1248)&gt;0,Q1248,MAX(1,H1248)))))</f>
        <v>18</v>
      </c>
      <c r="BT1248" s="60" t="n">
        <f aca="false">IF(BR1248="LOSE",1,0)</f>
        <v>0</v>
      </c>
      <c r="BU1248" s="60" t="n">
        <f aca="false">IF(AND(U1248="",OR(P1248="",P1248="LOSE"),T1248&lt;&gt;"",N(S1248)&lt;=0,ISNUMBER(MATCH(T1248,Parameter!$I$27:$I$29,0))),1,0)</f>
        <v>0</v>
      </c>
      <c r="BV1248" s="55" t="str">
        <f aca="false">IF(AND(Parameter!$B$19="Ja",E1248&lt;&gt;"",ISNUMBER(MATCH(E1248,Parameter!$I$35:$I$52,0))),VLOOKUP(E1248,Parameter!$I$35:$J$52,2,0),IFERROR(VLOOKUP(D1248,Parameter!$A$35:$C$64,2,0),"Nein"))</f>
        <v>2+3</v>
      </c>
      <c r="BW1248" s="59" t="n">
        <f aca="false">IF(BT1248=0,0,IF(N(S1248)&gt;0,S1248,IFERROR(VLOOKUP(D1248,Parameter!$A$35:$C$64,3,0)+0,0)))</f>
        <v>0</v>
      </c>
      <c r="BX1248" s="55" t="n">
        <f aca="false">IF(AA1248&lt;&gt;"",AA1248,Z1248)</f>
        <v>2</v>
      </c>
      <c r="BY1248" s="55" t="str">
        <f aca="false">IF(BX1248=1,"L1",IF(OR(BX1248=2,BX1248=3),"L23",IF(BX1248="Aussen","Aussen","-")))</f>
        <v>L23</v>
      </c>
      <c r="BZ1248" s="66" t="n">
        <f aca="false">IF(N(AB1248)&gt;0,AB1248,0)</f>
        <v>0</v>
      </c>
      <c r="CA1248" s="60" t="n">
        <f aca="false">IF(ISNUMBER(AE1248),1,0)</f>
        <v>0</v>
      </c>
      <c r="CB1248" s="57" t="n">
        <f aca="false">N(AE1248)</f>
        <v>0</v>
      </c>
      <c r="CC1248" s="57" t="n">
        <f aca="false">N(M1248)+N(N1248)</f>
        <v>40</v>
      </c>
      <c r="CD1248" s="57" t="n">
        <f aca="false">ROUNDUP(H1248/BS1248,0)</f>
        <v>1</v>
      </c>
      <c r="CE1248" s="57" t="n">
        <f aca="false">ROUNDUP(CB1248/BS1248,0)</f>
        <v>0</v>
      </c>
      <c r="CF1248" s="60" t="n">
        <f aca="false">IF(BT1248=1,0,IFERROR(VLOOKUP(BR1248,'Gebinde-Kategorie'!$A$5:$M$45,5,0)+0,0))</f>
        <v>20</v>
      </c>
      <c r="CG1248" s="60" t="n">
        <f aca="false">IFERROR(IF(OR(BX1248=1,BX1248=2,BX1248=3),N(INDEX(Parameter!$I$5:$I$7,BX1248)),0),0)</f>
        <v>0</v>
      </c>
      <c r="CH1248" s="59" t="n">
        <f aca="false">IF(AND(Parameter!$B$21="Ja",ISNUMBER(W1248),N(X1248)&gt;0),IFERROR(N(INDEX(Parameter!$L$5:$L$7,W1248))*INDEX(Parameter!$E$5:$E$7,W1248)*X1248/SUMIFS($X$7:$X$1843,$W$7:$W$1843,W1248),0),0)</f>
        <v>0</v>
      </c>
    </row>
    <row r="1249" customFormat="false" ht="15" hidden="false" customHeight="false" outlineLevel="0" collapsed="false">
      <c r="A1249" s="55" t="s">
        <v>2233</v>
      </c>
      <c r="B1249" s="55" t="s">
        <v>2234</v>
      </c>
      <c r="C1249" s="55" t="s">
        <v>456</v>
      </c>
      <c r="D1249" s="55" t="s">
        <v>173</v>
      </c>
      <c r="E1249" s="55"/>
      <c r="F1249" s="55" t="s">
        <v>218</v>
      </c>
      <c r="G1249" s="56" t="n">
        <v>104.82</v>
      </c>
      <c r="H1249" s="57" t="n">
        <f aca="false">MAX(0,IF(AND(Parameter!$B$21="Ja",ISNUMBER(Y1249)),Y1249,IF(Parameter!$B$20="Jahresanfang 2025 + Export",BL1249+BK1249,BK1249)))</f>
        <v>0</v>
      </c>
      <c r="I1249" s="57" t="n">
        <f aca="false">H1249*G1249</f>
        <v>0</v>
      </c>
      <c r="J1249" s="57" t="n">
        <f aca="false">BN1249*Parameter!$B$18</f>
        <v>0</v>
      </c>
      <c r="K1249" s="58" t="n">
        <v>3.5</v>
      </c>
      <c r="L1249" s="59" t="n">
        <v>0</v>
      </c>
      <c r="M1249" s="57" t="n">
        <v>0</v>
      </c>
      <c r="N1249" s="57" t="n">
        <v>1</v>
      </c>
      <c r="O1249" s="60" t="n">
        <v>56</v>
      </c>
      <c r="P1249" s="55" t="s">
        <v>168</v>
      </c>
      <c r="Q1249" s="57"/>
      <c r="R1249" s="60" t="n">
        <f aca="false">IF(BT1249=1,0,IFERROR(VLOOKUP(BR1249,'Gebinde-Kategorie'!$A$5:$M$45,13,0)+0,0))</f>
        <v>3</v>
      </c>
      <c r="S1249" s="61"/>
      <c r="T1249" s="62" t="s">
        <v>189</v>
      </c>
      <c r="U1249" s="62"/>
      <c r="V1249" s="62"/>
      <c r="W1249" s="55"/>
      <c r="X1249" s="57"/>
      <c r="Y1249" s="57"/>
      <c r="Z1249" s="55" t="n">
        <f aca="false">IF(A1249="","",IF(AND(Parameter!$B$21="Ja",ISNUMBER(W1249)),W1249,IF(BV1249="2+3",IF(ISNUMBER(SEARCH("grosser Artikel",BO1249)),2,IFERROR(VLOOKUP(BR1249,Parameter!$F$35:$G$64,2,0),2)),IF(OR(BV1249="Nein",BV1249=""),"-",BV1249))))</f>
        <v>2</v>
      </c>
      <c r="AA1249" s="62"/>
      <c r="AB1249" s="63"/>
      <c r="AC1249" s="57" t="n">
        <f aca="false">AR1249</f>
        <v>2</v>
      </c>
      <c r="AD1249" s="57" t="n">
        <f aca="false">MAX(AR1249,H1249)</f>
        <v>2</v>
      </c>
      <c r="AE1249" s="64"/>
      <c r="AF1249" s="57" t="n">
        <f aca="false">IF(LEFT(Cockpit!$C$5,1)="A",H1249,IF(CA1249=1,CB1249,IF(LEFT(Cockpit!$C$5,1)="B",AJ1249,MAX(AJ1249,H1249))))</f>
        <v>0</v>
      </c>
      <c r="AG1249" s="57" t="n">
        <f aca="false">IF(BT1249=1,0,ROUNDUP(AF1249/BS1249,0))</f>
        <v>0</v>
      </c>
      <c r="AH1249" s="59" t="n">
        <f aca="false">IF(CH1249&gt;0,CH1249*MAX(1,AF1249/X1249),IF(BT1249=1,IF(AF1249&lt;=0,0,BW1249*MAX(1,IF(H1249&gt;0,AF1249/H1249,1))),IF(R1249&gt;0,AG1249/R1249,0))/MAX(0.1,N(Parameter!$M$21)))</f>
        <v>0</v>
      </c>
      <c r="AI1249" s="57" t="n">
        <f aca="false">AF1249*G1249</f>
        <v>0</v>
      </c>
      <c r="AJ1249" s="57" t="n">
        <f aca="false">ROUNDUP(MAX(J1249/IF(BZ1249&gt;0,BZ1249,MAX(0.1,N(Cockpit!$C$6))),CC1249)/BS1249,0)*BS1249</f>
        <v>2</v>
      </c>
      <c r="AK1249" s="58" t="n">
        <f aca="false">IF(AH1249&gt;0,J1249/AH1249,-1)</f>
        <v>-1</v>
      </c>
      <c r="AL1249" s="58" t="str">
        <f aca="false">IF(AND(OR(BY1249="L1",BY1249="L23"),AH1249&gt;0),SUMIFS($AH$7:$AH$1843,$BY$7:$BY$1843,BY1249,$AK$7:$AK$1843,"&gt;"&amp;AK1249)+SUMIFS($AH$7:$AH$1843,$BY$7:$BY$1843,BY1249,$AK$7:$AK$1843,AK1249,$BQ$7:$BQ$1843,"&lt;="&amp;BQ1249),"")</f>
        <v/>
      </c>
      <c r="AM1249" s="65" t="n">
        <f aca="false">IF(AL1249="",0,MAX(0,MIN(1,(IF(BY1249="L1",Parameter!$E$5,Parameter!$E$6+Parameter!$E$7)-(AL1249-AH1249))/AH1249)))</f>
        <v>0</v>
      </c>
      <c r="AN1249" s="57" t="n">
        <f aca="false">IF(LEFT(Cockpit!$I$5,1)="A",H1249,IF(CA1249=1,CB1249,IF(LEFT(Cockpit!$I$5,1)="B",AR1249,MAX(AR1249,H1249))))</f>
        <v>2</v>
      </c>
      <c r="AO1249" s="57" t="n">
        <f aca="false">IF(BT1249=1,0,ROUNDUP(AN1249/BS1249,0))</f>
        <v>1</v>
      </c>
      <c r="AP1249" s="59" t="n">
        <f aca="false">IF(CH1249&gt;0,CH1249*MAX(1,AN1249/X1249),IF(BT1249=1,IF(AN1249&lt;=0,0,BW1249*MAX(1,IF(H1249&gt;0,AN1249/H1249,1))),IF(R1249&gt;0,AO1249/R1249,0))/MAX(0.1,N(Parameter!$M$21)))</f>
        <v>0.333333333333333</v>
      </c>
      <c r="AQ1249" s="57" t="n">
        <f aca="false">AN1249*G1249</f>
        <v>209.64</v>
      </c>
      <c r="AR1249" s="57" t="n">
        <f aca="false">ROUNDUP(MAX(J1249/IF(BZ1249&gt;0,BZ1249,MAX(0.1,N(Cockpit!$I$6))),CC1249)/BS1249,0)*BS1249</f>
        <v>2</v>
      </c>
      <c r="AS1249" s="58" t="n">
        <f aca="false">IF(AP1249&gt;0,J1249/AP1249,-1)</f>
        <v>0</v>
      </c>
      <c r="AT1249" s="58" t="n">
        <f aca="false">IF(AND(OR(BY1249="L1",BY1249="L23"),AP1249&gt;0),SUMIFS($AP$7:$AP$1843,$BY$7:$BY$1843,BY1249,$AS$7:$AS$1843,"&gt;"&amp;AS1249)+SUMIFS($AP$7:$AP$1843,$BY$7:$BY$1843,BY1249,$AS$7:$AS$1843,AS1249,$BQ$7:$BQ$1843,"&lt;="&amp;BQ1249),"")</f>
        <v>123.907612918482</v>
      </c>
      <c r="AU1249" s="65" t="n">
        <f aca="false">IF(AT1249="",0,MAX(0,MIN(1,(IF(BY1249="L1",Parameter!$E$5,Parameter!$E$6+Parameter!$E$7)-(AT1249-AP1249))/AP1249)))</f>
        <v>0</v>
      </c>
      <c r="AV1249" s="57" t="n">
        <f aca="false">IF(LEFT(Cockpit!$O$5,1)="A",H1249,IF(CA1249=1,CB1249,IF(LEFT(Cockpit!$O$5,1)="B",AZ1249,MAX(AZ1249,H1249))))</f>
        <v>2</v>
      </c>
      <c r="AW1249" s="57" t="n">
        <f aca="false">IF(BT1249=1,0,ROUNDUP(AV1249/BS1249,0))</f>
        <v>1</v>
      </c>
      <c r="AX1249" s="59" t="n">
        <f aca="false">IF(CH1249&gt;0,CH1249*MAX(1,AV1249/X1249),IF(BT1249=1,IF(AV1249&lt;=0,0,BW1249*MAX(1,IF(H1249&gt;0,AV1249/H1249,1))),IF(R1249&gt;0,AW1249/R1249,0))/MAX(0.1,N(Parameter!$M$21)))</f>
        <v>0.333333333333333</v>
      </c>
      <c r="AY1249" s="57" t="n">
        <f aca="false">AV1249*G1249</f>
        <v>209.64</v>
      </c>
      <c r="AZ1249" s="57" t="n">
        <f aca="false">ROUNDUP(MAX(J1249/IF(BZ1249&gt;0,BZ1249,MAX(0.1,N(Cockpit!$O$6))),CC1249)/BS1249,0)*BS1249</f>
        <v>2</v>
      </c>
      <c r="BA1249" s="58" t="n">
        <f aca="false">IF(AX1249&gt;0,J1249/AX1249,-1)</f>
        <v>0</v>
      </c>
      <c r="BB1249" s="58" t="n">
        <f aca="false">IF(AND(OR(BY1249="L1",BY1249="L23"),AX1249&gt;0),SUMIFS($AX$7:$AX$1843,$BY$7:$BY$1843,BY1249,$BA$7:$BA$1843,"&gt;"&amp;BA1249)+SUMIFS($AX$7:$AX$1843,$BY$7:$BY$1843,BY1249,$BA$7:$BA$1843,BA1249,$BQ$7:$BQ$1843,"&lt;="&amp;BQ1249),"")</f>
        <v>114.737449748319</v>
      </c>
      <c r="BC1249" s="65" t="n">
        <f aca="false">IF(BB1249="",0,MAX(0,MIN(1,(IF(BY1249="L1",Parameter!$E$5,Parameter!$E$6+Parameter!$E$7)-(BB1249-AX1249))/AX1249)))</f>
        <v>0</v>
      </c>
      <c r="BD1249" s="55" t="str">
        <f aca="false">IF(AH1249&lt;=0,"",IF(BY1249="Aussen","Aussenlager",IF(BY1249="-","Nicht im Lift",IF(AM1249&gt;=1,"Lift",IF(AM1249&lt;=0,"Aussenlager","teilweise")))))</f>
        <v/>
      </c>
      <c r="BE1249" s="55" t="str">
        <f aca="false">IF(AP1249&lt;=0,"",IF(BY1249="Aussen","Aussenlager",IF(BY1249="-","Nicht im Lift",IF(AU1249&gt;=1,"Lift",IF(AU1249&lt;=0,"Aussenlager","teilweise")))))</f>
        <v>Aussenlager</v>
      </c>
      <c r="BF1249" s="55" t="str">
        <f aca="false">IF(AX1249&lt;=0,"",IF(BY1249="Aussen","Aussenlager",IF(BY1249="-","Nicht im Lift",IF(BC1249&gt;=1,"Lift",IF(BC1249&lt;=0,"Aussenlager","teilweise")))))</f>
        <v>Aussenlager</v>
      </c>
      <c r="BG1249" s="55" t="str">
        <f aca="false">IF(A1249="","",IF(BP1249=1,"Neu; ","")&amp;IF(AND(BP1249=0,BK1249&lt;0),"negativer Bestand (Export "&amp;BK1249&amp;"); ","")&amp;IF(J1249&lt;=0,"Kein Verbrauch; ","")&amp;IF(CH1249&gt;0,"Lift "&amp;W1249&amp;" lt. Liftbericht (Fach "&amp;X1249&amp;" Stk); ",IF(BU1249=1,"Gebinde geschätzt ("&amp;T1249&amp;"); ",IF(BT1249=1,"Lose – Tablare geschätzt; ","")))&amp;IF(H1249&gt;AR1249,"Überbestand "&amp;ROUND(H1249-AR1249,0)&amp;" Stk / CHF "&amp;ROUND((H1249-AR1249)*G1249,0)&amp;"; ","")&amp;IF(AND(CA1249=1,CB1249&lt;CC1249),"MAX &lt; MB+LG; ","")&amp;IF(AND(CG1249&gt;0,CF1249*10&gt;CG1249),"zu hoch für Tablar; ","")&amp;IF(AND(BP1249=0,OR(CA1249=1,AA1249&lt;&gt;"",U1249&lt;&gt;"",V1249&lt;&gt;"",AB1249&lt;&gt;"")),"manuell übersteuert; ","")&amp;IF(AND(BT1249=0,R1249=0),"Gebinde unbekannt / Stellmass fehlt; ","")&amp;IF(AND(BT1249=0,N(V1249)&lt;=0,N(Q1249)&lt;=0),"Menge pro Gebinde fehlt (Ist = 1 Gebinde); ","")&amp;BO1249)</f>
        <v>negativer Bestand (Export -7); Kein Verbrauch; Gebinde geschätzt (Gross); Menge pro Gebinde fehlt (Ist = 1 Gebinde); Neuer Art.</v>
      </c>
      <c r="BH1249" s="55"/>
      <c r="BI1249" s="55"/>
      <c r="BJ1249" s="62"/>
      <c r="BK1249" s="57" t="n">
        <v>-7</v>
      </c>
      <c r="BL1249" s="57" t="n">
        <v>7</v>
      </c>
      <c r="BM1249" s="56" t="n">
        <v>-733.74</v>
      </c>
      <c r="BN1249" s="57" t="n">
        <v>0</v>
      </c>
      <c r="BO1249" s="55" t="s">
        <v>512</v>
      </c>
      <c r="BP1249" s="60" t="n">
        <v>0</v>
      </c>
      <c r="BQ1249" s="60" t="n">
        <v>1249</v>
      </c>
      <c r="BR1249" s="55" t="str">
        <f aca="false">IF(U1249&lt;&gt;"",UPPER(TRIM(U1249)),IF(BU1249=1,UPPER(VLOOKUP(T1249,Parameter!$I$27:$K$29,2,0)),IF(P1249="","LOSE",P1249)))</f>
        <v>S81</v>
      </c>
      <c r="BS1249" s="57" t="n">
        <f aca="false">IF(BR1249="LOSE",1,IF(N(V1249)&gt;0,V1249,IF(BU1249=1,MAX(1,N(VLOOKUP(T1249,Parameter!$I$27:$K$29,3,0)),H1249,N(N1249)),IF(N(Q1249)&gt;0,Q1249,MAX(1,H1249)))))</f>
        <v>2</v>
      </c>
      <c r="BT1249" s="60" t="n">
        <f aca="false">IF(BR1249="LOSE",1,0)</f>
        <v>0</v>
      </c>
      <c r="BU1249" s="60" t="n">
        <f aca="false">IF(AND(U1249="",OR(P1249="",P1249="LOSE"),T1249&lt;&gt;"",N(S1249)&lt;=0,ISNUMBER(MATCH(T1249,Parameter!$I$27:$I$29,0))),1,0)</f>
        <v>1</v>
      </c>
      <c r="BV1249" s="55" t="str">
        <f aca="false">IF(AND(Parameter!$B$19="Ja",E1249&lt;&gt;"",ISNUMBER(MATCH(E1249,Parameter!$I$35:$I$52,0))),VLOOKUP(E1249,Parameter!$I$35:$J$52,2,0),IFERROR(VLOOKUP(D1249,Parameter!$A$35:$C$64,2,0),"Nein"))</f>
        <v>2+3</v>
      </c>
      <c r="BW1249" s="59" t="n">
        <f aca="false">IF(BT1249=0,0,IF(N(S1249)&gt;0,S1249,IFERROR(VLOOKUP(D1249,Parameter!$A$35:$C$64,3,0)+0,0)))</f>
        <v>0</v>
      </c>
      <c r="BX1249" s="55" t="n">
        <f aca="false">IF(AA1249&lt;&gt;"",AA1249,Z1249)</f>
        <v>2</v>
      </c>
      <c r="BY1249" s="55" t="str">
        <f aca="false">IF(BX1249=1,"L1",IF(OR(BX1249=2,BX1249=3),"L23",IF(BX1249="Aussen","Aussen","-")))</f>
        <v>L23</v>
      </c>
      <c r="BZ1249" s="66" t="n">
        <f aca="false">IF(N(AB1249)&gt;0,AB1249,0)</f>
        <v>0</v>
      </c>
      <c r="CA1249" s="60" t="n">
        <f aca="false">IF(ISNUMBER(AE1249),1,0)</f>
        <v>0</v>
      </c>
      <c r="CB1249" s="57" t="n">
        <f aca="false">N(AE1249)</f>
        <v>0</v>
      </c>
      <c r="CC1249" s="57" t="n">
        <f aca="false">N(M1249)+N(N1249)</f>
        <v>1</v>
      </c>
      <c r="CD1249" s="57" t="n">
        <f aca="false">ROUNDUP(H1249/BS1249,0)</f>
        <v>0</v>
      </c>
      <c r="CE1249" s="57" t="n">
        <f aca="false">ROUNDUP(CB1249/BS1249,0)</f>
        <v>0</v>
      </c>
      <c r="CF1249" s="60" t="n">
        <f aca="false">IF(BT1249=1,0,IFERROR(VLOOKUP(BR1249,'Gebinde-Kategorie'!$A$5:$M$45,5,0)+0,0))</f>
        <v>20</v>
      </c>
      <c r="CG1249" s="60" t="n">
        <f aca="false">IFERROR(IF(OR(BX1249=1,BX1249=2,BX1249=3),N(INDEX(Parameter!$I$5:$I$7,BX1249)),0),0)</f>
        <v>0</v>
      </c>
      <c r="CH1249" s="59" t="n">
        <f aca="false">IF(AND(Parameter!$B$21="Ja",ISNUMBER(W1249),N(X1249)&gt;0),IFERROR(N(INDEX(Parameter!$L$5:$L$7,W1249))*INDEX(Parameter!$E$5:$E$7,W1249)*X1249/SUMIFS($X$7:$X$1843,$W$7:$W$1843,W1249),0),0)</f>
        <v>0</v>
      </c>
    </row>
    <row r="1250" customFormat="false" ht="15" hidden="false" customHeight="false" outlineLevel="0" collapsed="false">
      <c r="A1250" s="55" t="s">
        <v>2235</v>
      </c>
      <c r="B1250" s="55" t="s">
        <v>2236</v>
      </c>
      <c r="C1250" s="55" t="s">
        <v>164</v>
      </c>
      <c r="D1250" s="55" t="s">
        <v>184</v>
      </c>
      <c r="E1250" s="55" t="s">
        <v>185</v>
      </c>
      <c r="F1250" s="55" t="s">
        <v>218</v>
      </c>
      <c r="G1250" s="56" t="n">
        <v>148.8</v>
      </c>
      <c r="H1250" s="57" t="n">
        <f aca="false">MAX(0,IF(AND(Parameter!$B$21="Ja",ISNUMBER(Y1250)),Y1250,IF(Parameter!$B$20="Jahresanfang 2025 + Export",BL1250+BK1250,BK1250)))</f>
        <v>19</v>
      </c>
      <c r="I1250" s="57" t="n">
        <f aca="false">H1250*G1250</f>
        <v>2827.2</v>
      </c>
      <c r="J1250" s="57" t="n">
        <f aca="false">BN1250*Parameter!$B$18</f>
        <v>29</v>
      </c>
      <c r="K1250" s="58" t="n">
        <v>19</v>
      </c>
      <c r="L1250" s="59" t="n">
        <v>1.52631578947368</v>
      </c>
      <c r="M1250" s="57" t="n">
        <v>3</v>
      </c>
      <c r="N1250" s="57" t="n">
        <v>20</v>
      </c>
      <c r="O1250" s="60" t="n">
        <v>31</v>
      </c>
      <c r="P1250" s="55" t="s">
        <v>476</v>
      </c>
      <c r="Q1250" s="57" t="n">
        <v>37</v>
      </c>
      <c r="R1250" s="60" t="n">
        <f aca="false">IF(BT1250=1,0,IFERROR(VLOOKUP(BR1250,'Gebinde-Kategorie'!$A$5:$M$45,13,0)+0,0))</f>
        <v>66</v>
      </c>
      <c r="S1250" s="61"/>
      <c r="T1250" s="62"/>
      <c r="U1250" s="62"/>
      <c r="V1250" s="62"/>
      <c r="W1250" s="55"/>
      <c r="X1250" s="57"/>
      <c r="Y1250" s="57"/>
      <c r="Z1250" s="55" t="n">
        <f aca="false">IF(A1250="","",IF(AND(Parameter!$B$21="Ja",ISNUMBER(W1250)),W1250,IF(BV1250="2+3",IF(ISNUMBER(SEARCH("grosser Artikel",BO1250)),2,IFERROR(VLOOKUP(BR1250,Parameter!$F$35:$G$64,2,0),2)),IF(OR(BV1250="Nein",BV1250=""),"-",BV1250))))</f>
        <v>3</v>
      </c>
      <c r="AA1250" s="62"/>
      <c r="AB1250" s="63"/>
      <c r="AC1250" s="57" t="n">
        <f aca="false">AR1250</f>
        <v>37</v>
      </c>
      <c r="AD1250" s="57" t="n">
        <f aca="false">MAX(AR1250,H1250)</f>
        <v>37</v>
      </c>
      <c r="AE1250" s="64"/>
      <c r="AF1250" s="57" t="n">
        <f aca="false">IF(LEFT(Cockpit!$C$5,1)="A",H1250,IF(CA1250=1,CB1250,IF(LEFT(Cockpit!$C$5,1)="B",AJ1250,MAX(AJ1250,H1250))))</f>
        <v>19</v>
      </c>
      <c r="AG1250" s="57" t="n">
        <f aca="false">IF(BT1250=1,0,ROUNDUP(AF1250/BS1250,0))</f>
        <v>1</v>
      </c>
      <c r="AH1250" s="59" t="n">
        <f aca="false">IF(CH1250&gt;0,CH1250*MAX(1,AF1250/X1250),IF(BT1250=1,IF(AF1250&lt;=0,0,BW1250*MAX(1,IF(H1250&gt;0,AF1250/H1250,1))),IF(R1250&gt;0,AG1250/R1250,0))/MAX(0.1,N(Parameter!$M$21)))</f>
        <v>0.0151515151515152</v>
      </c>
      <c r="AI1250" s="57" t="n">
        <f aca="false">AF1250*G1250</f>
        <v>2827.2</v>
      </c>
      <c r="AJ1250" s="57" t="n">
        <f aca="false">ROUNDUP(MAX(J1250/IF(BZ1250&gt;0,BZ1250,MAX(0.1,N(Cockpit!$C$6))),CC1250)/BS1250,0)*BS1250</f>
        <v>37</v>
      </c>
      <c r="AK1250" s="58" t="n">
        <f aca="false">IF(AH1250&gt;0,J1250/AH1250,-1)</f>
        <v>1914</v>
      </c>
      <c r="AL1250" s="58" t="n">
        <f aca="false">IF(AND(OR(BY1250="L1",BY1250="L23"),AH1250&gt;0),SUMIFS($AH$7:$AH$1843,$BY$7:$BY$1843,BY1250,$AK$7:$AK$1843,"&gt;"&amp;AK1250)+SUMIFS($AH$7:$AH$1843,$BY$7:$BY$1843,BY1250,$AK$7:$AK$1843,AK1250,$BQ$7:$BQ$1843,"&lt;="&amp;BQ1250),"")</f>
        <v>13.6649521975609</v>
      </c>
      <c r="AM1250" s="65" t="n">
        <f aca="false">IF(AL1250="",0,MAX(0,MIN(1,(IF(BY1250="L1",Parameter!$E$5,Parameter!$E$6+Parameter!$E$7)-(AL1250-AH1250))/AH1250)))</f>
        <v>1</v>
      </c>
      <c r="AN1250" s="57" t="n">
        <f aca="false">IF(LEFT(Cockpit!$I$5,1)="A",H1250,IF(CA1250=1,CB1250,IF(LEFT(Cockpit!$I$5,1)="B",AR1250,MAX(AR1250,H1250))))</f>
        <v>37</v>
      </c>
      <c r="AO1250" s="57" t="n">
        <f aca="false">IF(BT1250=1,0,ROUNDUP(AN1250/BS1250,0))</f>
        <v>1</v>
      </c>
      <c r="AP1250" s="59" t="n">
        <f aca="false">IF(CH1250&gt;0,CH1250*MAX(1,AN1250/X1250),IF(BT1250=1,IF(AN1250&lt;=0,0,BW1250*MAX(1,IF(H1250&gt;0,AN1250/H1250,1))),IF(R1250&gt;0,AO1250/R1250,0))/MAX(0.1,N(Parameter!$M$21)))</f>
        <v>0.0151515151515152</v>
      </c>
      <c r="AQ1250" s="57" t="n">
        <f aca="false">AN1250*G1250</f>
        <v>5505.6</v>
      </c>
      <c r="AR1250" s="57" t="n">
        <f aca="false">ROUNDUP(MAX(J1250/IF(BZ1250&gt;0,BZ1250,MAX(0.1,N(Cockpit!$I$6))),CC1250)/BS1250,0)*BS1250</f>
        <v>37</v>
      </c>
      <c r="AS1250" s="58" t="n">
        <f aca="false">IF(AP1250&gt;0,J1250/AP1250,-1)</f>
        <v>1914</v>
      </c>
      <c r="AT1250" s="58" t="n">
        <f aca="false">IF(AND(OR(BY1250="L1",BY1250="L23"),AP1250&gt;0),SUMIFS($AP$7:$AP$1843,$BY$7:$BY$1843,BY1250,$AS$7:$AS$1843,"&gt;"&amp;AS1250)+SUMIFS($AP$7:$AP$1843,$BY$7:$BY$1843,BY1250,$AS$7:$AS$1843,AS1250,$BQ$7:$BQ$1843,"&lt;="&amp;BQ1250),"")</f>
        <v>18.9858112901591</v>
      </c>
      <c r="AU1250" s="65" t="n">
        <f aca="false">IF(AT1250="",0,MAX(0,MIN(1,(IF(BY1250="L1",Parameter!$E$5,Parameter!$E$6+Parameter!$E$7)-(AT1250-AP1250))/AP1250)))</f>
        <v>1</v>
      </c>
      <c r="AV1250" s="57" t="n">
        <f aca="false">IF(LEFT(Cockpit!$O$5,1)="A",H1250,IF(CA1250=1,CB1250,IF(LEFT(Cockpit!$O$5,1)="B",AZ1250,MAX(AZ1250,H1250))))</f>
        <v>37</v>
      </c>
      <c r="AW1250" s="57" t="n">
        <f aca="false">IF(BT1250=1,0,ROUNDUP(AV1250/BS1250,0))</f>
        <v>1</v>
      </c>
      <c r="AX1250" s="59" t="n">
        <f aca="false">IF(CH1250&gt;0,CH1250*MAX(1,AV1250/X1250),IF(BT1250=1,IF(AV1250&lt;=0,0,BW1250*MAX(1,IF(H1250&gt;0,AV1250/H1250,1))),IF(R1250&gt;0,AW1250/R1250,0))/MAX(0.1,N(Parameter!$M$21)))</f>
        <v>0.0151515151515152</v>
      </c>
      <c r="AY1250" s="57" t="n">
        <f aca="false">AV1250*G1250</f>
        <v>5505.6</v>
      </c>
      <c r="AZ1250" s="57" t="n">
        <f aca="false">ROUNDUP(MAX(J1250/IF(BZ1250&gt;0,BZ1250,MAX(0.1,N(Cockpit!$O$6))),CC1250)/BS1250,0)*BS1250</f>
        <v>37</v>
      </c>
      <c r="BA1250" s="58" t="n">
        <f aca="false">IF(AX1250&gt;0,J1250/AX1250,-1)</f>
        <v>1914</v>
      </c>
      <c r="BB1250" s="58" t="n">
        <f aca="false">IF(AND(OR(BY1250="L1",BY1250="L23"),AX1250&gt;0),SUMIFS($AX$7:$AX$1843,$BY$7:$BY$1843,BY1250,$BA$7:$BA$1843,"&gt;"&amp;BA1250)+SUMIFS($AX$7:$AX$1843,$BY$7:$BY$1843,BY1250,$BA$7:$BA$1843,BA1250,$BQ$7:$BQ$1843,"&lt;="&amp;BQ1250),"")</f>
        <v>17.6810327353806</v>
      </c>
      <c r="BC1250" s="65" t="n">
        <f aca="false">IF(BB1250="",0,MAX(0,MIN(1,(IF(BY1250="L1",Parameter!$E$5,Parameter!$E$6+Parameter!$E$7)-(BB1250-AX1250))/AX1250)))</f>
        <v>1</v>
      </c>
      <c r="BD1250" s="55" t="str">
        <f aca="false">IF(AH1250&lt;=0,"",IF(BY1250="Aussen","Aussenlager",IF(BY1250="-","Nicht im Lift",IF(AM1250&gt;=1,"Lift",IF(AM1250&lt;=0,"Aussenlager","teilweise")))))</f>
        <v>Lift</v>
      </c>
      <c r="BE1250" s="55" t="str">
        <f aca="false">IF(AP1250&lt;=0,"",IF(BY1250="Aussen","Aussenlager",IF(BY1250="-","Nicht im Lift",IF(AU1250&gt;=1,"Lift",IF(AU1250&lt;=0,"Aussenlager","teilweise")))))</f>
        <v>Lift</v>
      </c>
      <c r="BF1250" s="55" t="str">
        <f aca="false">IF(AX1250&lt;=0,"",IF(BY1250="Aussen","Aussenlager",IF(BY1250="-","Nicht im Lift",IF(BC1250&gt;=1,"Lift",IF(BC1250&lt;=0,"Aussenlager","teilweise")))))</f>
        <v>Lift</v>
      </c>
      <c r="BG1250" s="55" t="str">
        <f aca="false">IF(A1250="","",IF(BP1250=1,"Neu; ","")&amp;IF(AND(BP1250=0,BK1250&lt;0),"negativer Bestand (Export "&amp;BK1250&amp;"); ","")&amp;IF(J1250&lt;=0,"Kein Verbrauch; ","")&amp;IF(CH1250&gt;0,"Lift "&amp;W1250&amp;" lt. Liftbericht (Fach "&amp;X1250&amp;" Stk); ",IF(BU1250=1,"Gebinde geschätzt ("&amp;T1250&amp;"); ",IF(BT1250=1,"Lose – Tablare geschätzt; ","")))&amp;IF(H1250&gt;AR1250,"Überbestand "&amp;ROUND(H1250-AR1250,0)&amp;" Stk / CHF "&amp;ROUND((H1250-AR1250)*G1250,0)&amp;"; ","")&amp;IF(AND(CA1250=1,CB1250&lt;CC1250),"MAX &lt; MB+LG; ","")&amp;IF(AND(CG1250&gt;0,CF1250*10&gt;CG1250),"zu hoch für Tablar; ","")&amp;IF(AND(BP1250=0,OR(CA1250=1,AA1250&lt;&gt;"",U1250&lt;&gt;"",V1250&lt;&gt;"",AB1250&lt;&gt;"")),"manuell übersteuert; ","")&amp;IF(AND(BT1250=0,R1250=0),"Gebinde unbekannt / Stellmass fehlt; ","")&amp;IF(AND(BT1250=0,N(V1250)&lt;=0,N(Q1250)&lt;=0),"Menge pro Gebinde fehlt (Ist = 1 Gebinde); ","")&amp;BO1250)</f>
        <v>negativer Bestand (Export -5); </v>
      </c>
      <c r="BH1250" s="55"/>
      <c r="BI1250" s="55"/>
      <c r="BJ1250" s="62"/>
      <c r="BK1250" s="57" t="n">
        <v>-5</v>
      </c>
      <c r="BL1250" s="57" t="n">
        <v>24</v>
      </c>
      <c r="BM1250" s="56" t="n">
        <v>-738.000000000001</v>
      </c>
      <c r="BN1250" s="57" t="n">
        <v>29</v>
      </c>
      <c r="BO1250" s="55"/>
      <c r="BP1250" s="60" t="n">
        <v>0</v>
      </c>
      <c r="BQ1250" s="60" t="n">
        <v>1250</v>
      </c>
      <c r="BR1250" s="55" t="str">
        <f aca="false">IF(U1250&lt;&gt;"",UPPER(TRIM(U1250)),IF(BU1250=1,UPPER(VLOOKUP(T1250,Parameter!$I$27:$K$29,2,0)),IF(P1250="","LOSE",P1250)))</f>
        <v>S33</v>
      </c>
      <c r="BS1250" s="57" t="n">
        <f aca="false">IF(BR1250="LOSE",1,IF(N(V1250)&gt;0,V1250,IF(BU1250=1,MAX(1,N(VLOOKUP(T1250,Parameter!$I$27:$K$29,3,0)),H1250,N(N1250)),IF(N(Q1250)&gt;0,Q1250,MAX(1,H1250)))))</f>
        <v>37</v>
      </c>
      <c r="BT1250" s="60" t="n">
        <f aca="false">IF(BR1250="LOSE",1,0)</f>
        <v>0</v>
      </c>
      <c r="BU1250" s="60" t="n">
        <f aca="false">IF(AND(U1250="",OR(P1250="",P1250="LOSE"),T1250&lt;&gt;"",N(S1250)&lt;=0,ISNUMBER(MATCH(T1250,Parameter!$I$27:$I$29,0))),1,0)</f>
        <v>0</v>
      </c>
      <c r="BV1250" s="55" t="str">
        <f aca="false">IF(AND(Parameter!$B$19="Ja",E1250&lt;&gt;"",ISNUMBER(MATCH(E1250,Parameter!$I$35:$I$52,0))),VLOOKUP(E1250,Parameter!$I$35:$J$52,2,0),IFERROR(VLOOKUP(D1250,Parameter!$A$35:$C$64,2,0),"Nein"))</f>
        <v>2+3</v>
      </c>
      <c r="BW1250" s="59" t="n">
        <f aca="false">IF(BT1250=0,0,IF(N(S1250)&gt;0,S1250,IFERROR(VLOOKUP(D1250,Parameter!$A$35:$C$64,3,0)+0,0)))</f>
        <v>0</v>
      </c>
      <c r="BX1250" s="55" t="n">
        <f aca="false">IF(AA1250&lt;&gt;"",AA1250,Z1250)</f>
        <v>3</v>
      </c>
      <c r="BY1250" s="55" t="str">
        <f aca="false">IF(BX1250=1,"L1",IF(OR(BX1250=2,BX1250=3),"L23",IF(BX1250="Aussen","Aussen","-")))</f>
        <v>L23</v>
      </c>
      <c r="BZ1250" s="66" t="n">
        <f aca="false">IF(N(AB1250)&gt;0,AB1250,0)</f>
        <v>0</v>
      </c>
      <c r="CA1250" s="60" t="n">
        <f aca="false">IF(ISNUMBER(AE1250),1,0)</f>
        <v>0</v>
      </c>
      <c r="CB1250" s="57" t="n">
        <f aca="false">N(AE1250)</f>
        <v>0</v>
      </c>
      <c r="CC1250" s="57" t="n">
        <f aca="false">N(M1250)+N(N1250)</f>
        <v>23</v>
      </c>
      <c r="CD1250" s="57" t="n">
        <f aca="false">ROUNDUP(H1250/BS1250,0)</f>
        <v>1</v>
      </c>
      <c r="CE1250" s="57" t="n">
        <f aca="false">ROUNDUP(CB1250/BS1250,0)</f>
        <v>0</v>
      </c>
      <c r="CF1250" s="60" t="n">
        <f aca="false">IF(BT1250=1,0,IFERROR(VLOOKUP(BR1250,'Gebinde-Kategorie'!$A$5:$M$45,5,0)+0,0))</f>
        <v>8</v>
      </c>
      <c r="CG1250" s="60" t="n">
        <f aca="false">IFERROR(IF(OR(BX1250=1,BX1250=2,BX1250=3),N(INDEX(Parameter!$I$5:$I$7,BX1250)),0),0)</f>
        <v>0</v>
      </c>
      <c r="CH1250" s="59" t="n">
        <f aca="false">IF(AND(Parameter!$B$21="Ja",ISNUMBER(W1250),N(X1250)&gt;0),IFERROR(N(INDEX(Parameter!$L$5:$L$7,W1250))*INDEX(Parameter!$E$5:$E$7,W1250)*X1250/SUMIFS($X$7:$X$1843,$W$7:$W$1843,W1250),0),0)</f>
        <v>0</v>
      </c>
    </row>
    <row r="1251" customFormat="false" ht="15" hidden="false" customHeight="false" outlineLevel="0" collapsed="false">
      <c r="A1251" s="55" t="s">
        <v>2237</v>
      </c>
      <c r="B1251" s="55" t="s">
        <v>591</v>
      </c>
      <c r="C1251" s="55" t="s">
        <v>164</v>
      </c>
      <c r="D1251" s="55" t="s">
        <v>184</v>
      </c>
      <c r="E1251" s="55" t="s">
        <v>185</v>
      </c>
      <c r="F1251" s="55" t="s">
        <v>218</v>
      </c>
      <c r="G1251" s="56" t="n">
        <v>59.75</v>
      </c>
      <c r="H1251" s="57" t="n">
        <f aca="false">MAX(0,IF(AND(Parameter!$B$21="Ja",ISNUMBER(Y1251)),Y1251,IF(Parameter!$B$20="Jahresanfang 2025 + Export",BL1251+BK1251,BK1251)))</f>
        <v>70</v>
      </c>
      <c r="I1251" s="57" t="n">
        <f aca="false">H1251*G1251</f>
        <v>4182.5</v>
      </c>
      <c r="J1251" s="57" t="n">
        <f aca="false">BN1251*Parameter!$B$18</f>
        <v>29</v>
      </c>
      <c r="K1251" s="58" t="n">
        <v>77.5</v>
      </c>
      <c r="L1251" s="59" t="n">
        <v>0.374193548387097</v>
      </c>
      <c r="M1251" s="57" t="n">
        <v>4</v>
      </c>
      <c r="N1251" s="57" t="n">
        <v>30</v>
      </c>
      <c r="O1251" s="60" t="n">
        <v>21</v>
      </c>
      <c r="P1251" s="55" t="s">
        <v>233</v>
      </c>
      <c r="Q1251" s="57" t="n">
        <v>90</v>
      </c>
      <c r="R1251" s="60" t="n">
        <f aca="false">IF(BT1251=1,0,IFERROR(VLOOKUP(BR1251,'Gebinde-Kategorie'!$A$5:$M$45,13,0)+0,0))</f>
        <v>26</v>
      </c>
      <c r="S1251" s="61"/>
      <c r="T1251" s="62"/>
      <c r="U1251" s="62"/>
      <c r="V1251" s="62"/>
      <c r="W1251" s="55"/>
      <c r="X1251" s="57"/>
      <c r="Y1251" s="57"/>
      <c r="Z1251" s="55" t="n">
        <f aca="false">IF(A1251="","",IF(AND(Parameter!$B$21="Ja",ISNUMBER(W1251)),W1251,IF(BV1251="2+3",IF(ISNUMBER(SEARCH("grosser Artikel",BO1251)),2,IFERROR(VLOOKUP(BR1251,Parameter!$F$35:$G$64,2,0),2)),IF(OR(BV1251="Nein",BV1251=""),"-",BV1251))))</f>
        <v>3</v>
      </c>
      <c r="AA1251" s="62"/>
      <c r="AB1251" s="63"/>
      <c r="AC1251" s="57" t="n">
        <f aca="false">AR1251</f>
        <v>90</v>
      </c>
      <c r="AD1251" s="57" t="n">
        <f aca="false">MAX(AR1251,H1251)</f>
        <v>90</v>
      </c>
      <c r="AE1251" s="64"/>
      <c r="AF1251" s="57" t="n">
        <f aca="false">IF(LEFT(Cockpit!$C$5,1)="A",H1251,IF(CA1251=1,CB1251,IF(LEFT(Cockpit!$C$5,1)="B",AJ1251,MAX(AJ1251,H1251))))</f>
        <v>70</v>
      </c>
      <c r="AG1251" s="57" t="n">
        <f aca="false">IF(BT1251=1,0,ROUNDUP(AF1251/BS1251,0))</f>
        <v>1</v>
      </c>
      <c r="AH1251" s="59" t="n">
        <f aca="false">IF(CH1251&gt;0,CH1251*MAX(1,AF1251/X1251),IF(BT1251=1,IF(AF1251&lt;=0,0,BW1251*MAX(1,IF(H1251&gt;0,AF1251/H1251,1))),IF(R1251&gt;0,AG1251/R1251,0))/MAX(0.1,N(Parameter!$M$21)))</f>
        <v>0.0384615384615385</v>
      </c>
      <c r="AI1251" s="57" t="n">
        <f aca="false">AF1251*G1251</f>
        <v>4182.5</v>
      </c>
      <c r="AJ1251" s="57" t="n">
        <f aca="false">ROUNDUP(MAX(J1251/IF(BZ1251&gt;0,BZ1251,MAX(0.1,N(Cockpit!$C$6))),CC1251)/BS1251,0)*BS1251</f>
        <v>90</v>
      </c>
      <c r="AK1251" s="58" t="n">
        <f aca="false">IF(AH1251&gt;0,J1251/AH1251,-1)</f>
        <v>754</v>
      </c>
      <c r="AL1251" s="58" t="n">
        <f aca="false">IF(AND(OR(BY1251="L1",BY1251="L23"),AH1251&gt;0),SUMIFS($AH$7:$AH$1843,$BY$7:$BY$1843,BY1251,$AK$7:$AK$1843,"&gt;"&amp;AK1251)+SUMIFS($AH$7:$AH$1843,$BY$7:$BY$1843,BY1251,$AK$7:$AK$1843,AK1251,$BQ$7:$BQ$1843,"&lt;="&amp;BQ1251),"")</f>
        <v>21.3929681429681</v>
      </c>
      <c r="AM1251" s="65" t="n">
        <f aca="false">IF(AL1251="",0,MAX(0,MIN(1,(IF(BY1251="L1",Parameter!$E$5,Parameter!$E$6+Parameter!$E$7)-(AL1251-AH1251))/AH1251)))</f>
        <v>1</v>
      </c>
      <c r="AN1251" s="57" t="n">
        <f aca="false">IF(LEFT(Cockpit!$I$5,1)="A",H1251,IF(CA1251=1,CB1251,IF(LEFT(Cockpit!$I$5,1)="B",AR1251,MAX(AR1251,H1251))))</f>
        <v>90</v>
      </c>
      <c r="AO1251" s="57" t="n">
        <f aca="false">IF(BT1251=1,0,ROUNDUP(AN1251/BS1251,0))</f>
        <v>1</v>
      </c>
      <c r="AP1251" s="59" t="n">
        <f aca="false">IF(CH1251&gt;0,CH1251*MAX(1,AN1251/X1251),IF(BT1251=1,IF(AN1251&lt;=0,0,BW1251*MAX(1,IF(H1251&gt;0,AN1251/H1251,1))),IF(R1251&gt;0,AO1251/R1251,0))/MAX(0.1,N(Parameter!$M$21)))</f>
        <v>0.0384615384615385</v>
      </c>
      <c r="AQ1251" s="57" t="n">
        <f aca="false">AN1251*G1251</f>
        <v>5377.5</v>
      </c>
      <c r="AR1251" s="57" t="n">
        <f aca="false">ROUNDUP(MAX(J1251/IF(BZ1251&gt;0,BZ1251,MAX(0.1,N(Cockpit!$I$6))),CC1251)/BS1251,0)*BS1251</f>
        <v>90</v>
      </c>
      <c r="AS1251" s="58" t="n">
        <f aca="false">IF(AP1251&gt;0,J1251/AP1251,-1)</f>
        <v>754</v>
      </c>
      <c r="AT1251" s="58" t="n">
        <f aca="false">IF(AND(OR(BY1251="L1",BY1251="L23"),AP1251&gt;0),SUMIFS($AP$7:$AP$1843,$BY$7:$BY$1843,BY1251,$AS$7:$AS$1843,"&gt;"&amp;AS1251)+SUMIFS($AP$7:$AP$1843,$BY$7:$BY$1843,BY1251,$AS$7:$AS$1843,AS1251,$BQ$7:$BQ$1843,"&lt;="&amp;BQ1251),"")</f>
        <v>27.2979713523192</v>
      </c>
      <c r="AU1251" s="65" t="n">
        <f aca="false">IF(AT1251="",0,MAX(0,MIN(1,(IF(BY1251="L1",Parameter!$E$5,Parameter!$E$6+Parameter!$E$7)-(AT1251-AP1251))/AP1251)))</f>
        <v>1</v>
      </c>
      <c r="AV1251" s="57" t="n">
        <f aca="false">IF(LEFT(Cockpit!$O$5,1)="A",H1251,IF(CA1251=1,CB1251,IF(LEFT(Cockpit!$O$5,1)="B",AZ1251,MAX(AZ1251,H1251))))</f>
        <v>90</v>
      </c>
      <c r="AW1251" s="57" t="n">
        <f aca="false">IF(BT1251=1,0,ROUNDUP(AV1251/BS1251,0))</f>
        <v>1</v>
      </c>
      <c r="AX1251" s="59" t="n">
        <f aca="false">IF(CH1251&gt;0,CH1251*MAX(1,AV1251/X1251),IF(BT1251=1,IF(AV1251&lt;=0,0,BW1251*MAX(1,IF(H1251&gt;0,AV1251/H1251,1))),IF(R1251&gt;0,AW1251/R1251,0))/MAX(0.1,N(Parameter!$M$21)))</f>
        <v>0.0384615384615385</v>
      </c>
      <c r="AY1251" s="57" t="n">
        <f aca="false">AV1251*G1251</f>
        <v>5377.5</v>
      </c>
      <c r="AZ1251" s="57" t="n">
        <f aca="false">ROUNDUP(MAX(J1251/IF(BZ1251&gt;0,BZ1251,MAX(0.1,N(Cockpit!$O$6))),CC1251)/BS1251,0)*BS1251</f>
        <v>90</v>
      </c>
      <c r="BA1251" s="58" t="n">
        <f aca="false">IF(AX1251&gt;0,J1251/AX1251,-1)</f>
        <v>754</v>
      </c>
      <c r="BB1251" s="58" t="n">
        <f aca="false">IF(AND(OR(BY1251="L1",BY1251="L23"),AX1251&gt;0),SUMIFS($AX$7:$AX$1843,$BY$7:$BY$1843,BY1251,$BA$7:$BA$1843,"&gt;"&amp;BA1251)+SUMIFS($AX$7:$AX$1843,$BY$7:$BY$1843,BY1251,$BA$7:$BA$1843,BA1251,$BQ$7:$BQ$1843,"&lt;="&amp;BQ1251),"")</f>
        <v>26.7496030539509</v>
      </c>
      <c r="BC1251" s="65" t="n">
        <f aca="false">IF(BB1251="",0,MAX(0,MIN(1,(IF(BY1251="L1",Parameter!$E$5,Parameter!$E$6+Parameter!$E$7)-(BB1251-AX1251))/AX1251)))</f>
        <v>1</v>
      </c>
      <c r="BD1251" s="55" t="str">
        <f aca="false">IF(AH1251&lt;=0,"",IF(BY1251="Aussen","Aussenlager",IF(BY1251="-","Nicht im Lift",IF(AM1251&gt;=1,"Lift",IF(AM1251&lt;=0,"Aussenlager","teilweise")))))</f>
        <v>Lift</v>
      </c>
      <c r="BE1251" s="55" t="str">
        <f aca="false">IF(AP1251&lt;=0,"",IF(BY1251="Aussen","Aussenlager",IF(BY1251="-","Nicht im Lift",IF(AU1251&gt;=1,"Lift",IF(AU1251&lt;=0,"Aussenlager","teilweise")))))</f>
        <v>Lift</v>
      </c>
      <c r="BF1251" s="55" t="str">
        <f aca="false">IF(AX1251&lt;=0,"",IF(BY1251="Aussen","Aussenlager",IF(BY1251="-","Nicht im Lift",IF(BC1251&gt;=1,"Lift",IF(BC1251&lt;=0,"Aussenlager","teilweise")))))</f>
        <v>Lift</v>
      </c>
      <c r="BG1251" s="55" t="str">
        <f aca="false">IF(A1251="","",IF(BP1251=1,"Neu; ","")&amp;IF(AND(BP1251=0,BK1251&lt;0),"negativer Bestand (Export "&amp;BK1251&amp;"); ","")&amp;IF(J1251&lt;=0,"Kein Verbrauch; ","")&amp;IF(CH1251&gt;0,"Lift "&amp;W1251&amp;" lt. Liftbericht (Fach "&amp;X1251&amp;" Stk); ",IF(BU1251=1,"Gebinde geschätzt ("&amp;T1251&amp;"); ",IF(BT1251=1,"Lose – Tablare geschätzt; ","")))&amp;IF(H1251&gt;AR1251,"Überbestand "&amp;ROUND(H1251-AR1251,0)&amp;" Stk / CHF "&amp;ROUND((H1251-AR1251)*G1251,0)&amp;"; ","")&amp;IF(AND(CA1251=1,CB1251&lt;CC1251),"MAX &lt; MB+LG; ","")&amp;IF(AND(CG1251&gt;0,CF1251*10&gt;CG1251),"zu hoch für Tablar; ","")&amp;IF(AND(BP1251=0,OR(CA1251=1,AA1251&lt;&gt;"",U1251&lt;&gt;"",V1251&lt;&gt;"",AB1251&lt;&gt;"")),"manuell übersteuert; ","")&amp;IF(AND(BT1251=0,R1251=0),"Gebinde unbekannt / Stellmass fehlt; ","")&amp;IF(AND(BT1251=0,N(V1251)&lt;=0,N(Q1251)&lt;=0),"Menge pro Gebinde fehlt (Ist = 1 Gebinde); ","")&amp;BO1251)</f>
        <v>negativer Bestand (Export -13); </v>
      </c>
      <c r="BH1251" s="55"/>
      <c r="BI1251" s="55"/>
      <c r="BJ1251" s="62"/>
      <c r="BK1251" s="57" t="n">
        <v>-13</v>
      </c>
      <c r="BL1251" s="57" t="n">
        <v>83</v>
      </c>
      <c r="BM1251" s="56" t="n">
        <v>-750.190000000001</v>
      </c>
      <c r="BN1251" s="57" t="n">
        <v>29</v>
      </c>
      <c r="BO1251" s="55"/>
      <c r="BP1251" s="60" t="n">
        <v>0</v>
      </c>
      <c r="BQ1251" s="60" t="n">
        <v>1251</v>
      </c>
      <c r="BR1251" s="55" t="str">
        <f aca="false">IF(U1251&lt;&gt;"",UPPER(TRIM(U1251)),IF(BU1251=1,UPPER(VLOOKUP(T1251,Parameter!$I$27:$K$29,2,0)),IF(P1251="","LOSE",P1251)))</f>
        <v>S52</v>
      </c>
      <c r="BS1251" s="57" t="n">
        <f aca="false">IF(BR1251="LOSE",1,IF(N(V1251)&gt;0,V1251,IF(BU1251=1,MAX(1,N(VLOOKUP(T1251,Parameter!$I$27:$K$29,3,0)),H1251,N(N1251)),IF(N(Q1251)&gt;0,Q1251,MAX(1,H1251)))))</f>
        <v>90</v>
      </c>
      <c r="BT1251" s="60" t="n">
        <f aca="false">IF(BR1251="LOSE",1,0)</f>
        <v>0</v>
      </c>
      <c r="BU1251" s="60" t="n">
        <f aca="false">IF(AND(U1251="",OR(P1251="",P1251="LOSE"),T1251&lt;&gt;"",N(S1251)&lt;=0,ISNUMBER(MATCH(T1251,Parameter!$I$27:$I$29,0))),1,0)</f>
        <v>0</v>
      </c>
      <c r="BV1251" s="55" t="str">
        <f aca="false">IF(AND(Parameter!$B$19="Ja",E1251&lt;&gt;"",ISNUMBER(MATCH(E1251,Parameter!$I$35:$I$52,0))),VLOOKUP(E1251,Parameter!$I$35:$J$52,2,0),IFERROR(VLOOKUP(D1251,Parameter!$A$35:$C$64,2,0),"Nein"))</f>
        <v>2+3</v>
      </c>
      <c r="BW1251" s="59" t="n">
        <f aca="false">IF(BT1251=0,0,IF(N(S1251)&gt;0,S1251,IFERROR(VLOOKUP(D1251,Parameter!$A$35:$C$64,3,0)+0,0)))</f>
        <v>0</v>
      </c>
      <c r="BX1251" s="55" t="n">
        <f aca="false">IF(AA1251&lt;&gt;"",AA1251,Z1251)</f>
        <v>3</v>
      </c>
      <c r="BY1251" s="55" t="str">
        <f aca="false">IF(BX1251=1,"L1",IF(OR(BX1251=2,BX1251=3),"L23",IF(BX1251="Aussen","Aussen","-")))</f>
        <v>L23</v>
      </c>
      <c r="BZ1251" s="66" t="n">
        <f aca="false">IF(N(AB1251)&gt;0,AB1251,0)</f>
        <v>0</v>
      </c>
      <c r="CA1251" s="60" t="n">
        <f aca="false">IF(ISNUMBER(AE1251),1,0)</f>
        <v>0</v>
      </c>
      <c r="CB1251" s="57" t="n">
        <f aca="false">N(AE1251)</f>
        <v>0</v>
      </c>
      <c r="CC1251" s="57" t="n">
        <f aca="false">N(M1251)+N(N1251)</f>
        <v>34</v>
      </c>
      <c r="CD1251" s="57" t="n">
        <f aca="false">ROUNDUP(H1251/BS1251,0)</f>
        <v>1</v>
      </c>
      <c r="CE1251" s="57" t="n">
        <f aca="false">ROUNDUP(CB1251/BS1251,0)</f>
        <v>0</v>
      </c>
      <c r="CF1251" s="60" t="n">
        <f aca="false">IF(BT1251=1,0,IFERROR(VLOOKUP(BR1251,'Gebinde-Kategorie'!$A$5:$M$45,5,0)+0,0))</f>
        <v>21</v>
      </c>
      <c r="CG1251" s="60" t="n">
        <f aca="false">IFERROR(IF(OR(BX1251=1,BX1251=2,BX1251=3),N(INDEX(Parameter!$I$5:$I$7,BX1251)),0),0)</f>
        <v>0</v>
      </c>
      <c r="CH1251" s="59" t="n">
        <f aca="false">IF(AND(Parameter!$B$21="Ja",ISNUMBER(W1251),N(X1251)&gt;0),IFERROR(N(INDEX(Parameter!$L$5:$L$7,W1251))*INDEX(Parameter!$E$5:$E$7,W1251)*X1251/SUMIFS($X$7:$X$1843,$W$7:$W$1843,W1251),0),0)</f>
        <v>0</v>
      </c>
    </row>
    <row r="1252" customFormat="false" ht="15" hidden="false" customHeight="false" outlineLevel="0" collapsed="false">
      <c r="A1252" s="55" t="s">
        <v>2238</v>
      </c>
      <c r="B1252" s="55" t="s">
        <v>1525</v>
      </c>
      <c r="C1252" s="55" t="s">
        <v>164</v>
      </c>
      <c r="D1252" s="55" t="s">
        <v>184</v>
      </c>
      <c r="E1252" s="55"/>
      <c r="F1252" s="55" t="s">
        <v>218</v>
      </c>
      <c r="G1252" s="56" t="n">
        <v>1.67</v>
      </c>
      <c r="H1252" s="57" t="n">
        <f aca="false">MAX(0,IF(AND(Parameter!$B$21="Ja",ISNUMBER(Y1252)),Y1252,IF(Parameter!$B$20="Jahresanfang 2025 + Export",BL1252+BK1252,BK1252)))</f>
        <v>48</v>
      </c>
      <c r="I1252" s="57" t="n">
        <f aca="false">H1252*G1252</f>
        <v>80.16</v>
      </c>
      <c r="J1252" s="57" t="n">
        <f aca="false">BN1252*Parameter!$B$18</f>
        <v>206</v>
      </c>
      <c r="K1252" s="58" t="n">
        <v>397.5</v>
      </c>
      <c r="L1252" s="59" t="n">
        <v>0.518238993710692</v>
      </c>
      <c r="M1252" s="57" t="n">
        <v>12</v>
      </c>
      <c r="N1252" s="57" t="n">
        <v>250</v>
      </c>
      <c r="O1252" s="60" t="n">
        <v>105</v>
      </c>
      <c r="P1252" s="55" t="s">
        <v>168</v>
      </c>
      <c r="Q1252" s="57"/>
      <c r="R1252" s="60" t="n">
        <f aca="false">IF(BT1252=1,0,IFERROR(VLOOKUP(BR1252,'Gebinde-Kategorie'!$A$5:$M$45,13,0)+0,0))</f>
        <v>26</v>
      </c>
      <c r="S1252" s="61"/>
      <c r="T1252" s="62" t="s">
        <v>275</v>
      </c>
      <c r="U1252" s="62"/>
      <c r="V1252" s="62"/>
      <c r="W1252" s="55"/>
      <c r="X1252" s="57"/>
      <c r="Y1252" s="57"/>
      <c r="Z1252" s="55" t="n">
        <f aca="false">IF(A1252="","",IF(AND(Parameter!$B$21="Ja",ISNUMBER(W1252)),W1252,IF(BV1252="2+3",IF(ISNUMBER(SEARCH("grosser Artikel",BO1252)),2,IFERROR(VLOOKUP(BR1252,Parameter!$F$35:$G$64,2,0),2)),IF(OR(BV1252="Nein",BV1252=""),"-",BV1252))))</f>
        <v>3</v>
      </c>
      <c r="AA1252" s="62"/>
      <c r="AB1252" s="63"/>
      <c r="AC1252" s="57" t="n">
        <f aca="false">AR1252</f>
        <v>500</v>
      </c>
      <c r="AD1252" s="57" t="n">
        <f aca="false">MAX(AR1252,H1252)</f>
        <v>500</v>
      </c>
      <c r="AE1252" s="64"/>
      <c r="AF1252" s="57" t="n">
        <f aca="false">IF(LEFT(Cockpit!$C$5,1)="A",H1252,IF(CA1252=1,CB1252,IF(LEFT(Cockpit!$C$5,1)="B",AJ1252,MAX(AJ1252,H1252))))</f>
        <v>48</v>
      </c>
      <c r="AG1252" s="57" t="n">
        <f aca="false">IF(BT1252=1,0,ROUNDUP(AF1252/BS1252,0))</f>
        <v>1</v>
      </c>
      <c r="AH1252" s="59" t="n">
        <f aca="false">IF(CH1252&gt;0,CH1252*MAX(1,AF1252/X1252),IF(BT1252=1,IF(AF1252&lt;=0,0,BW1252*MAX(1,IF(H1252&gt;0,AF1252/H1252,1))),IF(R1252&gt;0,AG1252/R1252,0))/MAX(0.1,N(Parameter!$M$21)))</f>
        <v>0.0384615384615385</v>
      </c>
      <c r="AI1252" s="57" t="n">
        <f aca="false">AF1252*G1252</f>
        <v>80.16</v>
      </c>
      <c r="AJ1252" s="57" t="n">
        <f aca="false">ROUNDUP(MAX(J1252/IF(BZ1252&gt;0,BZ1252,MAX(0.1,N(Cockpit!$C$6))),CC1252)/BS1252,0)*BS1252</f>
        <v>500</v>
      </c>
      <c r="AK1252" s="58" t="n">
        <f aca="false">IF(AH1252&gt;0,J1252/AH1252,-1)</f>
        <v>5356</v>
      </c>
      <c r="AL1252" s="58" t="n">
        <f aca="false">IF(AND(OR(BY1252="L1",BY1252="L23"),AH1252&gt;0),SUMIFS($AH$7:$AH$1843,$BY$7:$BY$1843,BY1252,$AK$7:$AK$1843,"&gt;"&amp;AK1252)+SUMIFS($AH$7:$AH$1843,$BY$7:$BY$1843,BY1252,$AK$7:$AK$1843,AK1252,$BQ$7:$BQ$1843,"&lt;="&amp;BQ1252),"")</f>
        <v>6.88372014458971</v>
      </c>
      <c r="AM1252" s="65" t="n">
        <f aca="false">IF(AL1252="",0,MAX(0,MIN(1,(IF(BY1252="L1",Parameter!$E$5,Parameter!$E$6+Parameter!$E$7)-(AL1252-AH1252))/AH1252)))</f>
        <v>1</v>
      </c>
      <c r="AN1252" s="57" t="n">
        <f aca="false">IF(LEFT(Cockpit!$I$5,1)="A",H1252,IF(CA1252=1,CB1252,IF(LEFT(Cockpit!$I$5,1)="B",AR1252,MAX(AR1252,H1252))))</f>
        <v>500</v>
      </c>
      <c r="AO1252" s="57" t="n">
        <f aca="false">IF(BT1252=1,0,ROUNDUP(AN1252/BS1252,0))</f>
        <v>2</v>
      </c>
      <c r="AP1252" s="59" t="n">
        <f aca="false">IF(CH1252&gt;0,CH1252*MAX(1,AN1252/X1252),IF(BT1252=1,IF(AN1252&lt;=0,0,BW1252*MAX(1,IF(H1252&gt;0,AN1252/H1252,1))),IF(R1252&gt;0,AO1252/R1252,0))/MAX(0.1,N(Parameter!$M$21)))</f>
        <v>0.0769230769230769</v>
      </c>
      <c r="AQ1252" s="57" t="n">
        <f aca="false">AN1252*G1252</f>
        <v>835</v>
      </c>
      <c r="AR1252" s="57" t="n">
        <f aca="false">ROUNDUP(MAX(J1252/IF(BZ1252&gt;0,BZ1252,MAX(0.1,N(Cockpit!$I$6))),CC1252)/BS1252,0)*BS1252</f>
        <v>500</v>
      </c>
      <c r="AS1252" s="58" t="n">
        <f aca="false">IF(AP1252&gt;0,J1252/AP1252,-1)</f>
        <v>2678</v>
      </c>
      <c r="AT1252" s="58" t="n">
        <f aca="false">IF(AND(OR(BY1252="L1",BY1252="L23"),AP1252&gt;0),SUMIFS($AP$7:$AP$1843,$BY$7:$BY$1843,BY1252,$AS$7:$AS$1843,"&gt;"&amp;AS1252)+SUMIFS($AP$7:$AP$1843,$BY$7:$BY$1843,BY1252,$AS$7:$AS$1843,AS1252,$BQ$7:$BQ$1843,"&lt;="&amp;BQ1252),"")</f>
        <v>16.1750616533225</v>
      </c>
      <c r="AU1252" s="65" t="n">
        <f aca="false">IF(AT1252="",0,MAX(0,MIN(1,(IF(BY1252="L1",Parameter!$E$5,Parameter!$E$6+Parameter!$E$7)-(AT1252-AP1252))/AP1252)))</f>
        <v>1</v>
      </c>
      <c r="AV1252" s="57" t="n">
        <f aca="false">IF(LEFT(Cockpit!$O$5,1)="A",H1252,IF(CA1252=1,CB1252,IF(LEFT(Cockpit!$O$5,1)="B",AZ1252,MAX(AZ1252,H1252))))</f>
        <v>500</v>
      </c>
      <c r="AW1252" s="57" t="n">
        <f aca="false">IF(BT1252=1,0,ROUNDUP(AV1252/BS1252,0))</f>
        <v>2</v>
      </c>
      <c r="AX1252" s="59" t="n">
        <f aca="false">IF(CH1252&gt;0,CH1252*MAX(1,AV1252/X1252),IF(BT1252=1,IF(AV1252&lt;=0,0,BW1252*MAX(1,IF(H1252&gt;0,AV1252/H1252,1))),IF(R1252&gt;0,AW1252/R1252,0))/MAX(0.1,N(Parameter!$M$21)))</f>
        <v>0.0769230769230769</v>
      </c>
      <c r="AY1252" s="57" t="n">
        <f aca="false">AV1252*G1252</f>
        <v>835</v>
      </c>
      <c r="AZ1252" s="57" t="n">
        <f aca="false">ROUNDUP(MAX(J1252/IF(BZ1252&gt;0,BZ1252,MAX(0.1,N(Cockpit!$O$6))),CC1252)/BS1252,0)*BS1252</f>
        <v>500</v>
      </c>
      <c r="BA1252" s="58" t="n">
        <f aca="false">IF(AX1252&gt;0,J1252/AX1252,-1)</f>
        <v>2678</v>
      </c>
      <c r="BB1252" s="58" t="n">
        <f aca="false">IF(AND(OR(BY1252="L1",BY1252="L23"),AX1252&gt;0),SUMIFS($AX$7:$AX$1843,$BY$7:$BY$1843,BY1252,$BA$7:$BA$1843,"&gt;"&amp;BA1252)+SUMIFS($AX$7:$AX$1843,$BY$7:$BY$1843,BY1252,$BA$7:$BA$1843,BA1252,$BQ$7:$BQ$1843,"&lt;="&amp;BQ1252),"")</f>
        <v>14.7484882267491</v>
      </c>
      <c r="BC1252" s="65" t="n">
        <f aca="false">IF(BB1252="",0,MAX(0,MIN(1,(IF(BY1252="L1",Parameter!$E$5,Parameter!$E$6+Parameter!$E$7)-(BB1252-AX1252))/AX1252)))</f>
        <v>1</v>
      </c>
      <c r="BD1252" s="55" t="str">
        <f aca="false">IF(AH1252&lt;=0,"",IF(BY1252="Aussen","Aussenlager",IF(BY1252="-","Nicht im Lift",IF(AM1252&gt;=1,"Lift",IF(AM1252&lt;=0,"Aussenlager","teilweise")))))</f>
        <v>Lift</v>
      </c>
      <c r="BE1252" s="55" t="str">
        <f aca="false">IF(AP1252&lt;=0,"",IF(BY1252="Aussen","Aussenlager",IF(BY1252="-","Nicht im Lift",IF(AU1252&gt;=1,"Lift",IF(AU1252&lt;=0,"Aussenlager","teilweise")))))</f>
        <v>Lift</v>
      </c>
      <c r="BF1252" s="55" t="str">
        <f aca="false">IF(AX1252&lt;=0,"",IF(BY1252="Aussen","Aussenlager",IF(BY1252="-","Nicht im Lift",IF(BC1252&gt;=1,"Lift",IF(BC1252&lt;=0,"Aussenlager","teilweise")))))</f>
        <v>Lift</v>
      </c>
      <c r="BG1252" s="55" t="str">
        <f aca="false">IF(A1252="","",IF(BP1252=1,"Neu; ","")&amp;IF(AND(BP1252=0,BK1252&lt;0),"negativer Bestand (Export "&amp;BK1252&amp;"); ","")&amp;IF(J1252&lt;=0,"Kein Verbrauch; ","")&amp;IF(CH1252&gt;0,"Lift "&amp;W1252&amp;" lt. Liftbericht (Fach "&amp;X1252&amp;" Stk); ",IF(BU1252=1,"Gebinde geschätzt ("&amp;T1252&amp;"); ",IF(BT1252=1,"Lose – Tablare geschätzt; ","")))&amp;IF(H1252&gt;AR1252,"Überbestand "&amp;ROUND(H1252-AR1252,0)&amp;" Stk / CHF "&amp;ROUND((H1252-AR1252)*G1252,0)&amp;"; ","")&amp;IF(AND(CA1252=1,CB1252&lt;CC1252),"MAX &lt; MB+LG; ","")&amp;IF(AND(CG1252&gt;0,CF1252*10&gt;CG1252),"zu hoch für Tablar; ","")&amp;IF(AND(BP1252=0,OR(CA1252=1,AA1252&lt;&gt;"",U1252&lt;&gt;"",V1252&lt;&gt;"",AB1252&lt;&gt;"")),"manuell übersteuert; ","")&amp;IF(AND(BT1252=0,R1252=0),"Gebinde unbekannt / Stellmass fehlt; ","")&amp;IF(AND(BT1252=0,N(V1252)&lt;=0,N(Q1252)&lt;=0),"Menge pro Gebinde fehlt (Ist = 1 Gebinde); ","")&amp;BO1252)</f>
        <v>negativer Bestand (Export -452); Gebinde geschätzt (Klein); Menge pro Gebinde fehlt (Ist = 1 Gebinde); </v>
      </c>
      <c r="BH1252" s="55"/>
      <c r="BI1252" s="55"/>
      <c r="BJ1252" s="62"/>
      <c r="BK1252" s="57" t="n">
        <v>-452</v>
      </c>
      <c r="BL1252" s="57" t="n">
        <v>500</v>
      </c>
      <c r="BM1252" s="56" t="n">
        <v>-754.84</v>
      </c>
      <c r="BN1252" s="57" t="n">
        <v>206</v>
      </c>
      <c r="BO1252" s="55"/>
      <c r="BP1252" s="60" t="n">
        <v>0</v>
      </c>
      <c r="BQ1252" s="60" t="n">
        <v>1252</v>
      </c>
      <c r="BR1252" s="55" t="str">
        <f aca="false">IF(U1252&lt;&gt;"",UPPER(TRIM(U1252)),IF(BU1252=1,UPPER(VLOOKUP(T1252,Parameter!$I$27:$K$29,2,0)),IF(P1252="","LOSE",P1252)))</f>
        <v>S51</v>
      </c>
      <c r="BS1252" s="57" t="n">
        <f aca="false">IF(BR1252="LOSE",1,IF(N(V1252)&gt;0,V1252,IF(BU1252=1,MAX(1,N(VLOOKUP(T1252,Parameter!$I$27:$K$29,3,0)),H1252,N(N1252)),IF(N(Q1252)&gt;0,Q1252,MAX(1,H1252)))))</f>
        <v>250</v>
      </c>
      <c r="BT1252" s="60" t="n">
        <f aca="false">IF(BR1252="LOSE",1,0)</f>
        <v>0</v>
      </c>
      <c r="BU1252" s="60" t="n">
        <f aca="false">IF(AND(U1252="",OR(P1252="",P1252="LOSE"),T1252&lt;&gt;"",N(S1252)&lt;=0,ISNUMBER(MATCH(T1252,Parameter!$I$27:$I$29,0))),1,0)</f>
        <v>1</v>
      </c>
      <c r="BV1252" s="55" t="str">
        <f aca="false">IF(AND(Parameter!$B$19="Ja",E1252&lt;&gt;"",ISNUMBER(MATCH(E1252,Parameter!$I$35:$I$52,0))),VLOOKUP(E1252,Parameter!$I$35:$J$52,2,0),IFERROR(VLOOKUP(D1252,Parameter!$A$35:$C$64,2,0),"Nein"))</f>
        <v>2+3</v>
      </c>
      <c r="BW1252" s="59" t="n">
        <f aca="false">IF(BT1252=0,0,IF(N(S1252)&gt;0,S1252,IFERROR(VLOOKUP(D1252,Parameter!$A$35:$C$64,3,0)+0,0)))</f>
        <v>0</v>
      </c>
      <c r="BX1252" s="55" t="n">
        <f aca="false">IF(AA1252&lt;&gt;"",AA1252,Z1252)</f>
        <v>3</v>
      </c>
      <c r="BY1252" s="55" t="str">
        <f aca="false">IF(BX1252=1,"L1",IF(OR(BX1252=2,BX1252=3),"L23",IF(BX1252="Aussen","Aussen","-")))</f>
        <v>L23</v>
      </c>
      <c r="BZ1252" s="66" t="n">
        <f aca="false">IF(N(AB1252)&gt;0,AB1252,0)</f>
        <v>0</v>
      </c>
      <c r="CA1252" s="60" t="n">
        <f aca="false">IF(ISNUMBER(AE1252),1,0)</f>
        <v>0</v>
      </c>
      <c r="CB1252" s="57" t="n">
        <f aca="false">N(AE1252)</f>
        <v>0</v>
      </c>
      <c r="CC1252" s="57" t="n">
        <f aca="false">N(M1252)+N(N1252)</f>
        <v>262</v>
      </c>
      <c r="CD1252" s="57" t="n">
        <f aca="false">ROUNDUP(H1252/BS1252,0)</f>
        <v>1</v>
      </c>
      <c r="CE1252" s="57" t="n">
        <f aca="false">ROUNDUP(CB1252/BS1252,0)</f>
        <v>0</v>
      </c>
      <c r="CF1252" s="60" t="n">
        <f aca="false">IF(BT1252=1,0,IFERROR(VLOOKUP(BR1252,'Gebinde-Kategorie'!$A$5:$M$45,5,0)+0,0))</f>
        <v>11</v>
      </c>
      <c r="CG1252" s="60" t="n">
        <f aca="false">IFERROR(IF(OR(BX1252=1,BX1252=2,BX1252=3),N(INDEX(Parameter!$I$5:$I$7,BX1252)),0),0)</f>
        <v>0</v>
      </c>
      <c r="CH1252" s="59" t="n">
        <f aca="false">IF(AND(Parameter!$B$21="Ja",ISNUMBER(W1252),N(X1252)&gt;0),IFERROR(N(INDEX(Parameter!$L$5:$L$7,W1252))*INDEX(Parameter!$E$5:$E$7,W1252)*X1252/SUMIFS($X$7:$X$1843,$W$7:$W$1843,W1252),0),0)</f>
        <v>0</v>
      </c>
    </row>
    <row r="1253" customFormat="false" ht="15" hidden="false" customHeight="false" outlineLevel="0" collapsed="false">
      <c r="A1253" s="55" t="s">
        <v>2239</v>
      </c>
      <c r="B1253" s="55" t="s">
        <v>222</v>
      </c>
      <c r="C1253" s="55" t="s">
        <v>164</v>
      </c>
      <c r="D1253" s="55" t="s">
        <v>173</v>
      </c>
      <c r="E1253" s="55" t="s">
        <v>173</v>
      </c>
      <c r="F1253" s="55" t="s">
        <v>218</v>
      </c>
      <c r="G1253" s="56" t="n">
        <v>118.58</v>
      </c>
      <c r="H1253" s="57" t="n">
        <f aca="false">MAX(0,IF(AND(Parameter!$B$21="Ja",ISNUMBER(Y1253)),Y1253,IF(Parameter!$B$20="Jahresanfang 2025 + Export",BL1253+BK1253,BK1253)))</f>
        <v>16</v>
      </c>
      <c r="I1253" s="57" t="n">
        <f aca="false">H1253*G1253</f>
        <v>1897.28</v>
      </c>
      <c r="J1253" s="57" t="n">
        <f aca="false">BN1253*Parameter!$B$18</f>
        <v>17</v>
      </c>
      <c r="K1253" s="58" t="n">
        <v>18</v>
      </c>
      <c r="L1253" s="59" t="n">
        <v>0.944444444444444</v>
      </c>
      <c r="M1253" s="57" t="n">
        <v>0</v>
      </c>
      <c r="N1253" s="57" t="n">
        <v>15</v>
      </c>
      <c r="O1253" s="60" t="n">
        <v>21</v>
      </c>
      <c r="P1253" s="55" t="s">
        <v>223</v>
      </c>
      <c r="Q1253" s="57" t="n">
        <v>40</v>
      </c>
      <c r="R1253" s="60" t="n">
        <f aca="false">IF(BT1253=1,0,IFERROR(VLOOKUP(BR1253,'Gebinde-Kategorie'!$A$5:$M$45,13,0)+0,0))</f>
        <v>3</v>
      </c>
      <c r="S1253" s="61"/>
      <c r="T1253" s="62"/>
      <c r="U1253" s="62"/>
      <c r="V1253" s="62"/>
      <c r="W1253" s="55"/>
      <c r="X1253" s="57"/>
      <c r="Y1253" s="57"/>
      <c r="Z1253" s="55" t="str">
        <f aca="false">IF(A1253="","",IF(AND(Parameter!$B$21="Ja",ISNUMBER(W1253)),W1253,IF(BV1253="2+3",IF(ISNUMBER(SEARCH("grosser Artikel",BO1253)),2,IFERROR(VLOOKUP(BR1253,Parameter!$F$35:$G$64,2,0),2)),IF(OR(BV1253="Nein",BV1253=""),"-",BV1253))))</f>
        <v>-</v>
      </c>
      <c r="AA1253" s="62"/>
      <c r="AB1253" s="63"/>
      <c r="AC1253" s="57" t="n">
        <f aca="false">AR1253</f>
        <v>40</v>
      </c>
      <c r="AD1253" s="57" t="n">
        <f aca="false">MAX(AR1253,H1253)</f>
        <v>40</v>
      </c>
      <c r="AE1253" s="64"/>
      <c r="AF1253" s="57" t="n">
        <f aca="false">IF(LEFT(Cockpit!$C$5,1)="A",H1253,IF(CA1253=1,CB1253,IF(LEFT(Cockpit!$C$5,1)="B",AJ1253,MAX(AJ1253,H1253))))</f>
        <v>16</v>
      </c>
      <c r="AG1253" s="57" t="n">
        <f aca="false">IF(BT1253=1,0,ROUNDUP(AF1253/BS1253,0))</f>
        <v>1</v>
      </c>
      <c r="AH1253" s="59" t="n">
        <f aca="false">IF(CH1253&gt;0,CH1253*MAX(1,AF1253/X1253),IF(BT1253=1,IF(AF1253&lt;=0,0,BW1253*MAX(1,IF(H1253&gt;0,AF1253/H1253,1))),IF(R1253&gt;0,AG1253/R1253,0))/MAX(0.1,N(Parameter!$M$21)))</f>
        <v>0.333333333333333</v>
      </c>
      <c r="AI1253" s="57" t="n">
        <f aca="false">AF1253*G1253</f>
        <v>1897.28</v>
      </c>
      <c r="AJ1253" s="57" t="n">
        <f aca="false">ROUNDUP(MAX(J1253/IF(BZ1253&gt;0,BZ1253,MAX(0.1,N(Cockpit!$C$6))),CC1253)/BS1253,0)*BS1253</f>
        <v>40</v>
      </c>
      <c r="AK1253" s="58" t="n">
        <f aca="false">IF(AH1253&gt;0,J1253/AH1253,-1)</f>
        <v>51</v>
      </c>
      <c r="AL1253" s="58" t="str">
        <f aca="false">IF(AND(OR(BY1253="L1",BY1253="L23"),AH1253&gt;0),SUMIFS($AH$7:$AH$1843,$BY$7:$BY$1843,BY1253,$AK$7:$AK$1843,"&gt;"&amp;AK1253)+SUMIFS($AH$7:$AH$1843,$BY$7:$BY$1843,BY1253,$AK$7:$AK$1843,AK1253,$BQ$7:$BQ$1843,"&lt;="&amp;BQ1253),"")</f>
        <v/>
      </c>
      <c r="AM1253" s="65" t="n">
        <f aca="false">IF(AL1253="",0,MAX(0,MIN(1,(IF(BY1253="L1",Parameter!$E$5,Parameter!$E$6+Parameter!$E$7)-(AL1253-AH1253))/AH1253)))</f>
        <v>0</v>
      </c>
      <c r="AN1253" s="57" t="n">
        <f aca="false">IF(LEFT(Cockpit!$I$5,1)="A",H1253,IF(CA1253=1,CB1253,IF(LEFT(Cockpit!$I$5,1)="B",AR1253,MAX(AR1253,H1253))))</f>
        <v>40</v>
      </c>
      <c r="AO1253" s="57" t="n">
        <f aca="false">IF(BT1253=1,0,ROUNDUP(AN1253/BS1253,0))</f>
        <v>1</v>
      </c>
      <c r="AP1253" s="59" t="n">
        <f aca="false">IF(CH1253&gt;0,CH1253*MAX(1,AN1253/X1253),IF(BT1253=1,IF(AN1253&lt;=0,0,BW1253*MAX(1,IF(H1253&gt;0,AN1253/H1253,1))),IF(R1253&gt;0,AO1253/R1253,0))/MAX(0.1,N(Parameter!$M$21)))</f>
        <v>0.333333333333333</v>
      </c>
      <c r="AQ1253" s="57" t="n">
        <f aca="false">AN1253*G1253</f>
        <v>4743.2</v>
      </c>
      <c r="AR1253" s="57" t="n">
        <f aca="false">ROUNDUP(MAX(J1253/IF(BZ1253&gt;0,BZ1253,MAX(0.1,N(Cockpit!$I$6))),CC1253)/BS1253,0)*BS1253</f>
        <v>40</v>
      </c>
      <c r="AS1253" s="58" t="n">
        <f aca="false">IF(AP1253&gt;0,J1253/AP1253,-1)</f>
        <v>51</v>
      </c>
      <c r="AT1253" s="58" t="str">
        <f aca="false">IF(AND(OR(BY1253="L1",BY1253="L23"),AP1253&gt;0),SUMIFS($AP$7:$AP$1843,$BY$7:$BY$1843,BY1253,$AS$7:$AS$1843,"&gt;"&amp;AS1253)+SUMIFS($AP$7:$AP$1843,$BY$7:$BY$1843,BY1253,$AS$7:$AS$1843,AS1253,$BQ$7:$BQ$1843,"&lt;="&amp;BQ1253),"")</f>
        <v/>
      </c>
      <c r="AU1253" s="65" t="n">
        <f aca="false">IF(AT1253="",0,MAX(0,MIN(1,(IF(BY1253="L1",Parameter!$E$5,Parameter!$E$6+Parameter!$E$7)-(AT1253-AP1253))/AP1253)))</f>
        <v>0</v>
      </c>
      <c r="AV1253" s="57" t="n">
        <f aca="false">IF(LEFT(Cockpit!$O$5,1)="A",H1253,IF(CA1253=1,CB1253,IF(LEFT(Cockpit!$O$5,1)="B",AZ1253,MAX(AZ1253,H1253))))</f>
        <v>40</v>
      </c>
      <c r="AW1253" s="57" t="n">
        <f aca="false">IF(BT1253=1,0,ROUNDUP(AV1253/BS1253,0))</f>
        <v>1</v>
      </c>
      <c r="AX1253" s="59" t="n">
        <f aca="false">IF(CH1253&gt;0,CH1253*MAX(1,AV1253/X1253),IF(BT1253=1,IF(AV1253&lt;=0,0,BW1253*MAX(1,IF(H1253&gt;0,AV1253/H1253,1))),IF(R1253&gt;0,AW1253/R1253,0))/MAX(0.1,N(Parameter!$M$21)))</f>
        <v>0.333333333333333</v>
      </c>
      <c r="AY1253" s="57" t="n">
        <f aca="false">AV1253*G1253</f>
        <v>4743.2</v>
      </c>
      <c r="AZ1253" s="57" t="n">
        <f aca="false">ROUNDUP(MAX(J1253/IF(BZ1253&gt;0,BZ1253,MAX(0.1,N(Cockpit!$O$6))),CC1253)/BS1253,0)*BS1253</f>
        <v>40</v>
      </c>
      <c r="BA1253" s="58" t="n">
        <f aca="false">IF(AX1253&gt;0,J1253/AX1253,-1)</f>
        <v>51</v>
      </c>
      <c r="BB1253" s="58" t="str">
        <f aca="false">IF(AND(OR(BY1253="L1",BY1253="L23"),AX1253&gt;0),SUMIFS($AX$7:$AX$1843,$BY$7:$BY$1843,BY1253,$BA$7:$BA$1843,"&gt;"&amp;BA1253)+SUMIFS($AX$7:$AX$1843,$BY$7:$BY$1843,BY1253,$BA$7:$BA$1843,BA1253,$BQ$7:$BQ$1843,"&lt;="&amp;BQ1253),"")</f>
        <v/>
      </c>
      <c r="BC1253" s="65" t="n">
        <f aca="false">IF(BB1253="",0,MAX(0,MIN(1,(IF(BY1253="L1",Parameter!$E$5,Parameter!$E$6+Parameter!$E$7)-(BB1253-AX1253))/AX1253)))</f>
        <v>0</v>
      </c>
      <c r="BD1253" s="55" t="str">
        <f aca="false">IF(AH1253&lt;=0,"",IF(BY1253="Aussen","Aussenlager",IF(BY1253="-","Nicht im Lift",IF(AM1253&gt;=1,"Lift",IF(AM1253&lt;=0,"Aussenlager","teilweise")))))</f>
        <v>Nicht im Lift</v>
      </c>
      <c r="BE1253" s="55" t="str">
        <f aca="false">IF(AP1253&lt;=0,"",IF(BY1253="Aussen","Aussenlager",IF(BY1253="-","Nicht im Lift",IF(AU1253&gt;=1,"Lift",IF(AU1253&lt;=0,"Aussenlager","teilweise")))))</f>
        <v>Nicht im Lift</v>
      </c>
      <c r="BF1253" s="55" t="str">
        <f aca="false">IF(AX1253&lt;=0,"",IF(BY1253="Aussen","Aussenlager",IF(BY1253="-","Nicht im Lift",IF(BC1253&gt;=1,"Lift",IF(BC1253&lt;=0,"Aussenlager","teilweise")))))</f>
        <v>Nicht im Lift</v>
      </c>
      <c r="BG1253" s="55" t="str">
        <f aca="false">IF(A1253="","",IF(BP1253=1,"Neu; ","")&amp;IF(AND(BP1253=0,BK1253&lt;0),"negativer Bestand (Export "&amp;BK1253&amp;"); ","")&amp;IF(J1253&lt;=0,"Kein Verbrauch; ","")&amp;IF(CH1253&gt;0,"Lift "&amp;W1253&amp;" lt. Liftbericht (Fach "&amp;X1253&amp;" Stk); ",IF(BU1253=1,"Gebinde geschätzt ("&amp;T1253&amp;"); ",IF(BT1253=1,"Lose – Tablare geschätzt; ","")))&amp;IF(H1253&gt;AR1253,"Überbestand "&amp;ROUND(H1253-AR1253,0)&amp;" Stk / CHF "&amp;ROUND((H1253-AR1253)*G1253,0)&amp;"; ","")&amp;IF(AND(CA1253=1,CB1253&lt;CC1253),"MAX &lt; MB+LG; ","")&amp;IF(AND(CG1253&gt;0,CF1253*10&gt;CG1253),"zu hoch für Tablar; ","")&amp;IF(AND(BP1253=0,OR(CA1253=1,AA1253&lt;&gt;"",U1253&lt;&gt;"",V1253&lt;&gt;"",AB1253&lt;&gt;"")),"manuell übersteuert; ","")&amp;IF(AND(BT1253=0,R1253=0),"Gebinde unbekannt / Stellmass fehlt; ","")&amp;IF(AND(BT1253=0,N(V1253)&lt;=0,N(Q1253)&lt;=0),"Menge pro Gebinde fehlt (Ist = 1 Gebinde); ","")&amp;BO1253)</f>
        <v>negativer Bestand (Export -3); </v>
      </c>
      <c r="BH1253" s="55"/>
      <c r="BI1253" s="55"/>
      <c r="BJ1253" s="62"/>
      <c r="BK1253" s="57" t="n">
        <v>-3</v>
      </c>
      <c r="BL1253" s="57" t="n">
        <v>19</v>
      </c>
      <c r="BM1253" s="56" t="n">
        <v>-755.309999999999</v>
      </c>
      <c r="BN1253" s="57" t="n">
        <v>17</v>
      </c>
      <c r="BO1253" s="55"/>
      <c r="BP1253" s="60" t="n">
        <v>0</v>
      </c>
      <c r="BQ1253" s="60" t="n">
        <v>1253</v>
      </c>
      <c r="BR1253" s="55" t="str">
        <f aca="false">IF(U1253&lt;&gt;"",UPPER(TRIM(U1253)),IF(BU1253=1,UPPER(VLOOKUP(T1253,Parameter!$I$27:$K$29,2,0)),IF(P1253="","LOSE",P1253)))</f>
        <v>S81</v>
      </c>
      <c r="BS1253" s="57" t="n">
        <f aca="false">IF(BR1253="LOSE",1,IF(N(V1253)&gt;0,V1253,IF(BU1253=1,MAX(1,N(VLOOKUP(T1253,Parameter!$I$27:$K$29,3,0)),H1253,N(N1253)),IF(N(Q1253)&gt;0,Q1253,MAX(1,H1253)))))</f>
        <v>40</v>
      </c>
      <c r="BT1253" s="60" t="n">
        <f aca="false">IF(BR1253="LOSE",1,0)</f>
        <v>0</v>
      </c>
      <c r="BU1253" s="60" t="n">
        <f aca="false">IF(AND(U1253="",OR(P1253="",P1253="LOSE"),T1253&lt;&gt;"",N(S1253)&lt;=0,ISNUMBER(MATCH(T1253,Parameter!$I$27:$I$29,0))),1,0)</f>
        <v>0</v>
      </c>
      <c r="BV1253" s="55" t="str">
        <f aca="false">IF(AND(Parameter!$B$19="Ja",E1253&lt;&gt;"",ISNUMBER(MATCH(E1253,Parameter!$I$35:$I$52,0))),VLOOKUP(E1253,Parameter!$I$35:$J$52,2,0),IFERROR(VLOOKUP(D1253,Parameter!$A$35:$C$64,2,0),"Nein"))</f>
        <v>Nein</v>
      </c>
      <c r="BW1253" s="59" t="n">
        <f aca="false">IF(BT1253=0,0,IF(N(S1253)&gt;0,S1253,IFERROR(VLOOKUP(D1253,Parameter!$A$35:$C$64,3,0)+0,0)))</f>
        <v>0</v>
      </c>
      <c r="BX1253" s="55" t="str">
        <f aca="false">IF(AA1253&lt;&gt;"",AA1253,Z1253)</f>
        <v>-</v>
      </c>
      <c r="BY1253" s="55" t="str">
        <f aca="false">IF(BX1253=1,"L1",IF(OR(BX1253=2,BX1253=3),"L23",IF(BX1253="Aussen","Aussen","-")))</f>
        <v>-</v>
      </c>
      <c r="BZ1253" s="66" t="n">
        <f aca="false">IF(N(AB1253)&gt;0,AB1253,0)</f>
        <v>0</v>
      </c>
      <c r="CA1253" s="60" t="n">
        <f aca="false">IF(ISNUMBER(AE1253),1,0)</f>
        <v>0</v>
      </c>
      <c r="CB1253" s="57" t="n">
        <f aca="false">N(AE1253)</f>
        <v>0</v>
      </c>
      <c r="CC1253" s="57" t="n">
        <f aca="false">N(M1253)+N(N1253)</f>
        <v>15</v>
      </c>
      <c r="CD1253" s="57" t="n">
        <f aca="false">ROUNDUP(H1253/BS1253,0)</f>
        <v>1</v>
      </c>
      <c r="CE1253" s="57" t="n">
        <f aca="false">ROUNDUP(CB1253/BS1253,0)</f>
        <v>0</v>
      </c>
      <c r="CF1253" s="60" t="n">
        <f aca="false">IF(BT1253=1,0,IFERROR(VLOOKUP(BR1253,'Gebinde-Kategorie'!$A$5:$M$45,5,0)+0,0))</f>
        <v>20</v>
      </c>
      <c r="CG1253" s="60" t="n">
        <f aca="false">IFERROR(IF(OR(BX1253=1,BX1253=2,BX1253=3),N(INDEX(Parameter!$I$5:$I$7,BX1253)),0),0)</f>
        <v>0</v>
      </c>
      <c r="CH1253" s="59" t="n">
        <f aca="false">IF(AND(Parameter!$B$21="Ja",ISNUMBER(W1253),N(X1253)&gt;0),IFERROR(N(INDEX(Parameter!$L$5:$L$7,W1253))*INDEX(Parameter!$E$5:$E$7,W1253)*X1253/SUMIFS($X$7:$X$1843,$W$7:$W$1843,W1253),0),0)</f>
        <v>0</v>
      </c>
    </row>
    <row r="1254" customFormat="false" ht="15" hidden="false" customHeight="false" outlineLevel="0" collapsed="false">
      <c r="A1254" s="55" t="s">
        <v>2240</v>
      </c>
      <c r="B1254" s="55" t="s">
        <v>183</v>
      </c>
      <c r="C1254" s="55" t="s">
        <v>164</v>
      </c>
      <c r="D1254" s="55" t="s">
        <v>184</v>
      </c>
      <c r="E1254" s="55"/>
      <c r="F1254" s="55" t="s">
        <v>218</v>
      </c>
      <c r="G1254" s="56" t="n">
        <v>292.14</v>
      </c>
      <c r="H1254" s="57" t="n">
        <f aca="false">MAX(0,IF(AND(Parameter!$B$21="Ja",ISNUMBER(Y1254)),Y1254,IF(Parameter!$B$20="Jahresanfang 2025 + Export",BL1254+BK1254,BK1254)))</f>
        <v>1</v>
      </c>
      <c r="I1254" s="57" t="n">
        <f aca="false">H1254*G1254</f>
        <v>292.14</v>
      </c>
      <c r="J1254" s="57" t="n">
        <f aca="false">BN1254*Parameter!$B$18</f>
        <v>3</v>
      </c>
      <c r="K1254" s="58" t="n">
        <v>2.5</v>
      </c>
      <c r="L1254" s="59" t="n">
        <v>1.2</v>
      </c>
      <c r="M1254" s="57" t="n">
        <v>0</v>
      </c>
      <c r="N1254" s="57" t="n">
        <v>5</v>
      </c>
      <c r="O1254" s="60" t="n">
        <v>28</v>
      </c>
      <c r="P1254" s="55" t="s">
        <v>168</v>
      </c>
      <c r="Q1254" s="57"/>
      <c r="R1254" s="60" t="n">
        <f aca="false">IF(BT1254=1,0,IFERROR(VLOOKUP(BR1254,'Gebinde-Kategorie'!$A$5:$M$45,13,0)+0,0))</f>
        <v>12</v>
      </c>
      <c r="S1254" s="61"/>
      <c r="T1254" s="62" t="s">
        <v>179</v>
      </c>
      <c r="U1254" s="62"/>
      <c r="V1254" s="62"/>
      <c r="W1254" s="55"/>
      <c r="X1254" s="57"/>
      <c r="Y1254" s="57"/>
      <c r="Z1254" s="55" t="n">
        <f aca="false">IF(A1254="","",IF(AND(Parameter!$B$21="Ja",ISNUMBER(W1254)),W1254,IF(BV1254="2+3",IF(ISNUMBER(SEARCH("grosser Artikel",BO1254)),2,IFERROR(VLOOKUP(BR1254,Parameter!$F$35:$G$64,2,0),2)),IF(OR(BV1254="Nein",BV1254=""),"-",BV1254))))</f>
        <v>2</v>
      </c>
      <c r="AA1254" s="62"/>
      <c r="AB1254" s="63"/>
      <c r="AC1254" s="57" t="n">
        <f aca="false">AR1254</f>
        <v>5</v>
      </c>
      <c r="AD1254" s="57" t="n">
        <f aca="false">MAX(AR1254,H1254)</f>
        <v>5</v>
      </c>
      <c r="AE1254" s="64"/>
      <c r="AF1254" s="57" t="n">
        <f aca="false">IF(LEFT(Cockpit!$C$5,1)="A",H1254,IF(CA1254=1,CB1254,IF(LEFT(Cockpit!$C$5,1)="B",AJ1254,MAX(AJ1254,H1254))))</f>
        <v>1</v>
      </c>
      <c r="AG1254" s="57" t="n">
        <f aca="false">IF(BT1254=1,0,ROUNDUP(AF1254/BS1254,0))</f>
        <v>1</v>
      </c>
      <c r="AH1254" s="59" t="n">
        <f aca="false">IF(CH1254&gt;0,CH1254*MAX(1,AF1254/X1254),IF(BT1254=1,IF(AF1254&lt;=0,0,BW1254*MAX(1,IF(H1254&gt;0,AF1254/H1254,1))),IF(R1254&gt;0,AG1254/R1254,0))/MAX(0.1,N(Parameter!$M$21)))</f>
        <v>0.0833333333333333</v>
      </c>
      <c r="AI1254" s="57" t="n">
        <f aca="false">AF1254*G1254</f>
        <v>292.14</v>
      </c>
      <c r="AJ1254" s="57" t="n">
        <f aca="false">ROUNDUP(MAX(J1254/IF(BZ1254&gt;0,BZ1254,MAX(0.1,N(Cockpit!$C$6))),CC1254)/BS1254,0)*BS1254</f>
        <v>5</v>
      </c>
      <c r="AK1254" s="58" t="n">
        <f aca="false">IF(AH1254&gt;0,J1254/AH1254,-1)</f>
        <v>36</v>
      </c>
      <c r="AL1254" s="58" t="n">
        <f aca="false">IF(AND(OR(BY1254="L1",BY1254="L23"),AH1254&gt;0),SUMIFS($AH$7:$AH$1843,$BY$7:$BY$1843,BY1254,$AK$7:$AK$1843,"&gt;"&amp;AK1254)+SUMIFS($AH$7:$AH$1843,$BY$7:$BY$1843,BY1254,$AK$7:$AK$1843,AK1254,$BQ$7:$BQ$1843,"&lt;="&amp;BQ1254),"")</f>
        <v>46.86382216817</v>
      </c>
      <c r="AM1254" s="65" t="n">
        <f aca="false">IF(AL1254="",0,MAX(0,MIN(1,(IF(BY1254="L1",Parameter!$E$5,Parameter!$E$6+Parameter!$E$7)-(AL1254-AH1254))/AH1254)))</f>
        <v>1</v>
      </c>
      <c r="AN1254" s="57" t="n">
        <f aca="false">IF(LEFT(Cockpit!$I$5,1)="A",H1254,IF(CA1254=1,CB1254,IF(LEFT(Cockpit!$I$5,1)="B",AR1254,MAX(AR1254,H1254))))</f>
        <v>5</v>
      </c>
      <c r="AO1254" s="57" t="n">
        <f aca="false">IF(BT1254=1,0,ROUNDUP(AN1254/BS1254,0))</f>
        <v>1</v>
      </c>
      <c r="AP1254" s="59" t="n">
        <f aca="false">IF(CH1254&gt;0,CH1254*MAX(1,AN1254/X1254),IF(BT1254=1,IF(AN1254&lt;=0,0,BW1254*MAX(1,IF(H1254&gt;0,AN1254/H1254,1))),IF(R1254&gt;0,AO1254/R1254,0))/MAX(0.1,N(Parameter!$M$21)))</f>
        <v>0.0833333333333333</v>
      </c>
      <c r="AQ1254" s="57" t="n">
        <f aca="false">AN1254*G1254</f>
        <v>1460.7</v>
      </c>
      <c r="AR1254" s="57" t="n">
        <f aca="false">ROUNDUP(MAX(J1254/IF(BZ1254&gt;0,BZ1254,MAX(0.1,N(Cockpit!$I$6))),CC1254)/BS1254,0)*BS1254</f>
        <v>5</v>
      </c>
      <c r="AS1254" s="58" t="n">
        <f aca="false">IF(AP1254&gt;0,J1254/AP1254,-1)</f>
        <v>36</v>
      </c>
      <c r="AT1254" s="58" t="n">
        <f aca="false">IF(AND(OR(BY1254="L1",BY1254="L23"),AP1254&gt;0),SUMIFS($AP$7:$AP$1843,$BY$7:$BY$1843,BY1254,$AS$7:$AS$1843,"&gt;"&amp;AS1254)+SUMIFS($AP$7:$AP$1843,$BY$7:$BY$1843,BY1254,$AS$7:$AS$1843,AS1254,$BQ$7:$BQ$1843,"&lt;="&amp;BQ1254),"")</f>
        <v>71.294356609574</v>
      </c>
      <c r="AU1254" s="65" t="n">
        <f aca="false">IF(AT1254="",0,MAX(0,MIN(1,(IF(BY1254="L1",Parameter!$E$5,Parameter!$E$6+Parameter!$E$7)-(AT1254-AP1254))/AP1254)))</f>
        <v>1</v>
      </c>
      <c r="AV1254" s="57" t="n">
        <f aca="false">IF(LEFT(Cockpit!$O$5,1)="A",H1254,IF(CA1254=1,CB1254,IF(LEFT(Cockpit!$O$5,1)="B",AZ1254,MAX(AZ1254,H1254))))</f>
        <v>5</v>
      </c>
      <c r="AW1254" s="57" t="n">
        <f aca="false">IF(BT1254=1,0,ROUNDUP(AV1254/BS1254,0))</f>
        <v>1</v>
      </c>
      <c r="AX1254" s="59" t="n">
        <f aca="false">IF(CH1254&gt;0,CH1254*MAX(1,AV1254/X1254),IF(BT1254=1,IF(AV1254&lt;=0,0,BW1254*MAX(1,IF(H1254&gt;0,AV1254/H1254,1))),IF(R1254&gt;0,AW1254/R1254,0))/MAX(0.1,N(Parameter!$M$21)))</f>
        <v>0.0833333333333333</v>
      </c>
      <c r="AY1254" s="57" t="n">
        <f aca="false">AV1254*G1254</f>
        <v>1460.7</v>
      </c>
      <c r="AZ1254" s="57" t="n">
        <f aca="false">ROUNDUP(MAX(J1254/IF(BZ1254&gt;0,BZ1254,MAX(0.1,N(Cockpit!$O$6))),CC1254)/BS1254,0)*BS1254</f>
        <v>5</v>
      </c>
      <c r="BA1254" s="58" t="n">
        <f aca="false">IF(AX1254&gt;0,J1254/AX1254,-1)</f>
        <v>36</v>
      </c>
      <c r="BB1254" s="58" t="n">
        <f aca="false">IF(AND(OR(BY1254="L1",BY1254="L23"),AX1254&gt;0),SUMIFS($AX$7:$AX$1843,$BY$7:$BY$1843,BY1254,$BA$7:$BA$1843,"&gt;"&amp;BA1254)+SUMIFS($AX$7:$AX$1843,$BY$7:$BY$1843,BY1254,$BA$7:$BA$1843,BA1254,$BQ$7:$BQ$1843,"&lt;="&amp;BQ1254),"")</f>
        <v>65.7908601060775</v>
      </c>
      <c r="BC1254" s="65" t="n">
        <f aca="false">IF(BB1254="",0,MAX(0,MIN(1,(IF(BY1254="L1",Parameter!$E$5,Parameter!$E$6+Parameter!$E$7)-(BB1254-AX1254))/AX1254)))</f>
        <v>1</v>
      </c>
      <c r="BD1254" s="55" t="str">
        <f aca="false">IF(AH1254&lt;=0,"",IF(BY1254="Aussen","Aussenlager",IF(BY1254="-","Nicht im Lift",IF(AM1254&gt;=1,"Lift",IF(AM1254&lt;=0,"Aussenlager","teilweise")))))</f>
        <v>Lift</v>
      </c>
      <c r="BE1254" s="55" t="str">
        <f aca="false">IF(AP1254&lt;=0,"",IF(BY1254="Aussen","Aussenlager",IF(BY1254="-","Nicht im Lift",IF(AU1254&gt;=1,"Lift",IF(AU1254&lt;=0,"Aussenlager","teilweise")))))</f>
        <v>Lift</v>
      </c>
      <c r="BF1254" s="55" t="str">
        <f aca="false">IF(AX1254&lt;=0,"",IF(BY1254="Aussen","Aussenlager",IF(BY1254="-","Nicht im Lift",IF(BC1254&gt;=1,"Lift",IF(BC1254&lt;=0,"Aussenlager","teilweise")))))</f>
        <v>Lift</v>
      </c>
      <c r="BG1254" s="55" t="str">
        <f aca="false">IF(A1254="","",IF(BP1254=1,"Neu; ","")&amp;IF(AND(BP1254=0,BK1254&lt;0),"negativer Bestand (Export "&amp;BK1254&amp;"); ","")&amp;IF(J1254&lt;=0,"Kein Verbrauch; ","")&amp;IF(CH1254&gt;0,"Lift "&amp;W1254&amp;" lt. Liftbericht (Fach "&amp;X1254&amp;" Stk); ",IF(BU1254=1,"Gebinde geschätzt ("&amp;T1254&amp;"); ",IF(BT1254=1,"Lose – Tablare geschätzt; ","")))&amp;IF(H1254&gt;AR1254,"Überbestand "&amp;ROUND(H1254-AR1254,0)&amp;" Stk / CHF "&amp;ROUND((H1254-AR1254)*G1254,0)&amp;"; ","")&amp;IF(AND(CA1254=1,CB1254&lt;CC1254),"MAX &lt; MB+LG; ","")&amp;IF(AND(CG1254&gt;0,CF1254*10&gt;CG1254),"zu hoch für Tablar; ","")&amp;IF(AND(BP1254=0,OR(CA1254=1,AA1254&lt;&gt;"",U1254&lt;&gt;"",V1254&lt;&gt;"",AB1254&lt;&gt;"")),"manuell übersteuert; ","")&amp;IF(AND(BT1254=0,R1254=0),"Gebinde unbekannt / Stellmass fehlt; ","")&amp;IF(AND(BT1254=0,N(V1254)&lt;=0,N(Q1254)&lt;=0),"Menge pro Gebinde fehlt (Ist = 1 Gebinde); ","")&amp;BO1254)</f>
        <v>negativer Bestand (Export -3); Gebinde geschätzt (Mittel); Menge pro Gebinde fehlt (Ist = 1 Gebinde); </v>
      </c>
      <c r="BH1254" s="55"/>
      <c r="BI1254" s="55"/>
      <c r="BJ1254" s="62"/>
      <c r="BK1254" s="57" t="n">
        <v>-3</v>
      </c>
      <c r="BL1254" s="57" t="n">
        <v>4</v>
      </c>
      <c r="BM1254" s="56" t="n">
        <v>-758.74</v>
      </c>
      <c r="BN1254" s="57" t="n">
        <v>3</v>
      </c>
      <c r="BO1254" s="55"/>
      <c r="BP1254" s="60" t="n">
        <v>0</v>
      </c>
      <c r="BQ1254" s="60" t="n">
        <v>1254</v>
      </c>
      <c r="BR1254" s="55" t="str">
        <f aca="false">IF(U1254&lt;&gt;"",UPPER(TRIM(U1254)),IF(BU1254=1,UPPER(VLOOKUP(T1254,Parameter!$I$27:$K$29,2,0)),IF(P1254="","LOSE",P1254)))</f>
        <v>S61</v>
      </c>
      <c r="BS1254" s="57" t="n">
        <f aca="false">IF(BR1254="LOSE",1,IF(N(V1254)&gt;0,V1254,IF(BU1254=1,MAX(1,N(VLOOKUP(T1254,Parameter!$I$27:$K$29,3,0)),H1254,N(N1254)),IF(N(Q1254)&gt;0,Q1254,MAX(1,H1254)))))</f>
        <v>5</v>
      </c>
      <c r="BT1254" s="60" t="n">
        <f aca="false">IF(BR1254="LOSE",1,0)</f>
        <v>0</v>
      </c>
      <c r="BU1254" s="60" t="n">
        <f aca="false">IF(AND(U1254="",OR(P1254="",P1254="LOSE"),T1254&lt;&gt;"",N(S1254)&lt;=0,ISNUMBER(MATCH(T1254,Parameter!$I$27:$I$29,0))),1,0)</f>
        <v>1</v>
      </c>
      <c r="BV1254" s="55" t="str">
        <f aca="false">IF(AND(Parameter!$B$19="Ja",E1254&lt;&gt;"",ISNUMBER(MATCH(E1254,Parameter!$I$35:$I$52,0))),VLOOKUP(E1254,Parameter!$I$35:$J$52,2,0),IFERROR(VLOOKUP(D1254,Parameter!$A$35:$C$64,2,0),"Nein"))</f>
        <v>2+3</v>
      </c>
      <c r="BW1254" s="59" t="n">
        <f aca="false">IF(BT1254=0,0,IF(N(S1254)&gt;0,S1254,IFERROR(VLOOKUP(D1254,Parameter!$A$35:$C$64,3,0)+0,0)))</f>
        <v>0</v>
      </c>
      <c r="BX1254" s="55" t="n">
        <f aca="false">IF(AA1254&lt;&gt;"",AA1254,Z1254)</f>
        <v>2</v>
      </c>
      <c r="BY1254" s="55" t="str">
        <f aca="false">IF(BX1254=1,"L1",IF(OR(BX1254=2,BX1254=3),"L23",IF(BX1254="Aussen","Aussen","-")))</f>
        <v>L23</v>
      </c>
      <c r="BZ1254" s="66" t="n">
        <f aca="false">IF(N(AB1254)&gt;0,AB1254,0)</f>
        <v>0</v>
      </c>
      <c r="CA1254" s="60" t="n">
        <f aca="false">IF(ISNUMBER(AE1254),1,0)</f>
        <v>0</v>
      </c>
      <c r="CB1254" s="57" t="n">
        <f aca="false">N(AE1254)</f>
        <v>0</v>
      </c>
      <c r="CC1254" s="57" t="n">
        <f aca="false">N(M1254)+N(N1254)</f>
        <v>5</v>
      </c>
      <c r="CD1254" s="57" t="n">
        <f aca="false">ROUNDUP(H1254/BS1254,0)</f>
        <v>1</v>
      </c>
      <c r="CE1254" s="57" t="n">
        <f aca="false">ROUNDUP(CB1254/BS1254,0)</f>
        <v>0</v>
      </c>
      <c r="CF1254" s="60" t="n">
        <f aca="false">IF(BT1254=1,0,IFERROR(VLOOKUP(BR1254,'Gebinde-Kategorie'!$A$5:$M$45,5,0)+0,0))</f>
        <v>11</v>
      </c>
      <c r="CG1254" s="60" t="n">
        <f aca="false">IFERROR(IF(OR(BX1254=1,BX1254=2,BX1254=3),N(INDEX(Parameter!$I$5:$I$7,BX1254)),0),0)</f>
        <v>0</v>
      </c>
      <c r="CH1254" s="59" t="n">
        <f aca="false">IF(AND(Parameter!$B$21="Ja",ISNUMBER(W1254),N(X1254)&gt;0),IFERROR(N(INDEX(Parameter!$L$5:$L$7,W1254))*INDEX(Parameter!$E$5:$E$7,W1254)*X1254/SUMIFS($X$7:$X$1843,$W$7:$W$1843,W1254),0),0)</f>
        <v>0</v>
      </c>
    </row>
    <row r="1255" customFormat="false" ht="15" hidden="false" customHeight="false" outlineLevel="0" collapsed="false">
      <c r="A1255" s="55" t="s">
        <v>2241</v>
      </c>
      <c r="B1255" s="55" t="s">
        <v>2242</v>
      </c>
      <c r="C1255" s="55" t="s">
        <v>164</v>
      </c>
      <c r="D1255" s="55" t="s">
        <v>173</v>
      </c>
      <c r="E1255" s="55"/>
      <c r="F1255" s="55" t="s">
        <v>218</v>
      </c>
      <c r="G1255" s="56" t="n">
        <v>380</v>
      </c>
      <c r="H1255" s="57" t="n">
        <f aca="false">MAX(0,IF(AND(Parameter!$B$21="Ja",ISNUMBER(Y1255)),Y1255,IF(Parameter!$B$20="Jahresanfang 2025 + Export",BL1255+BK1255,BK1255)))</f>
        <v>9</v>
      </c>
      <c r="I1255" s="57" t="n">
        <f aca="false">H1255*G1255</f>
        <v>3420</v>
      </c>
      <c r="J1255" s="57" t="n">
        <f aca="false">BN1255*Parameter!$B$18</f>
        <v>2</v>
      </c>
      <c r="K1255" s="58" t="n">
        <v>10</v>
      </c>
      <c r="L1255" s="59" t="n">
        <v>0.2</v>
      </c>
      <c r="M1255" s="57" t="n">
        <v>0</v>
      </c>
      <c r="N1255" s="57" t="n">
        <v>1</v>
      </c>
      <c r="O1255" s="60" t="n">
        <v>35</v>
      </c>
      <c r="P1255" s="55" t="s">
        <v>233</v>
      </c>
      <c r="Q1255" s="57" t="n">
        <v>10</v>
      </c>
      <c r="R1255" s="60" t="n">
        <f aca="false">IF(BT1255=1,0,IFERROR(VLOOKUP(BR1255,'Gebinde-Kategorie'!$A$5:$M$45,13,0)+0,0))</f>
        <v>26</v>
      </c>
      <c r="S1255" s="61"/>
      <c r="T1255" s="62"/>
      <c r="U1255" s="62"/>
      <c r="V1255" s="62"/>
      <c r="W1255" s="55"/>
      <c r="X1255" s="57"/>
      <c r="Y1255" s="57"/>
      <c r="Z1255" s="55" t="n">
        <f aca="false">IF(A1255="","",IF(AND(Parameter!$B$21="Ja",ISNUMBER(W1255)),W1255,IF(BV1255="2+3",IF(ISNUMBER(SEARCH("grosser Artikel",BO1255)),2,IFERROR(VLOOKUP(BR1255,Parameter!$F$35:$G$64,2,0),2)),IF(OR(BV1255="Nein",BV1255=""),"-",BV1255))))</f>
        <v>3</v>
      </c>
      <c r="AA1255" s="62"/>
      <c r="AB1255" s="63"/>
      <c r="AC1255" s="57" t="n">
        <f aca="false">AR1255</f>
        <v>10</v>
      </c>
      <c r="AD1255" s="57" t="n">
        <f aca="false">MAX(AR1255,H1255)</f>
        <v>10</v>
      </c>
      <c r="AE1255" s="64"/>
      <c r="AF1255" s="57" t="n">
        <f aca="false">IF(LEFT(Cockpit!$C$5,1)="A",H1255,IF(CA1255=1,CB1255,IF(LEFT(Cockpit!$C$5,1)="B",AJ1255,MAX(AJ1255,H1255))))</f>
        <v>9</v>
      </c>
      <c r="AG1255" s="57" t="n">
        <f aca="false">IF(BT1255=1,0,ROUNDUP(AF1255/BS1255,0))</f>
        <v>1</v>
      </c>
      <c r="AH1255" s="59" t="n">
        <f aca="false">IF(CH1255&gt;0,CH1255*MAX(1,AF1255/X1255),IF(BT1255=1,IF(AF1255&lt;=0,0,BW1255*MAX(1,IF(H1255&gt;0,AF1255/H1255,1))),IF(R1255&gt;0,AG1255/R1255,0))/MAX(0.1,N(Parameter!$M$21)))</f>
        <v>0.0384615384615385</v>
      </c>
      <c r="AI1255" s="57" t="n">
        <f aca="false">AF1255*G1255</f>
        <v>3420</v>
      </c>
      <c r="AJ1255" s="57" t="n">
        <f aca="false">ROUNDUP(MAX(J1255/IF(BZ1255&gt;0,BZ1255,MAX(0.1,N(Cockpit!$C$6))),CC1255)/BS1255,0)*BS1255</f>
        <v>10</v>
      </c>
      <c r="AK1255" s="58" t="n">
        <f aca="false">IF(AH1255&gt;0,J1255/AH1255,-1)</f>
        <v>52</v>
      </c>
      <c r="AL1255" s="58" t="n">
        <f aca="false">IF(AND(OR(BY1255="L1",BY1255="L23"),AH1255&gt;0),SUMIFS($AH$7:$AH$1843,$BY$7:$BY$1843,BY1255,$AK$7:$AK$1843,"&gt;"&amp;AK1255)+SUMIFS($AH$7:$AH$1843,$BY$7:$BY$1843,BY1255,$AK$7:$AK$1843,AK1255,$BQ$7:$BQ$1843,"&lt;="&amp;BQ1255),"")</f>
        <v>44.7414445457924</v>
      </c>
      <c r="AM1255" s="65" t="n">
        <f aca="false">IF(AL1255="",0,MAX(0,MIN(1,(IF(BY1255="L1",Parameter!$E$5,Parameter!$E$6+Parameter!$E$7)-(AL1255-AH1255))/AH1255)))</f>
        <v>1</v>
      </c>
      <c r="AN1255" s="57" t="n">
        <f aca="false">IF(LEFT(Cockpit!$I$5,1)="A",H1255,IF(CA1255=1,CB1255,IF(LEFT(Cockpit!$I$5,1)="B",AR1255,MAX(AR1255,H1255))))</f>
        <v>10</v>
      </c>
      <c r="AO1255" s="57" t="n">
        <f aca="false">IF(BT1255=1,0,ROUNDUP(AN1255/BS1255,0))</f>
        <v>1</v>
      </c>
      <c r="AP1255" s="59" t="n">
        <f aca="false">IF(CH1255&gt;0,CH1255*MAX(1,AN1255/X1255),IF(BT1255=1,IF(AN1255&lt;=0,0,BW1255*MAX(1,IF(H1255&gt;0,AN1255/H1255,1))),IF(R1255&gt;0,AO1255/R1255,0))/MAX(0.1,N(Parameter!$M$21)))</f>
        <v>0.0384615384615385</v>
      </c>
      <c r="AQ1255" s="57" t="n">
        <f aca="false">AN1255*G1255</f>
        <v>3800</v>
      </c>
      <c r="AR1255" s="57" t="n">
        <f aca="false">ROUNDUP(MAX(J1255/IF(BZ1255&gt;0,BZ1255,MAX(0.1,N(Cockpit!$I$6))),CC1255)/BS1255,0)*BS1255</f>
        <v>10</v>
      </c>
      <c r="AS1255" s="58" t="n">
        <f aca="false">IF(AP1255&gt;0,J1255/AP1255,-1)</f>
        <v>52</v>
      </c>
      <c r="AT1255" s="58" t="n">
        <f aca="false">IF(AND(OR(BY1255="L1",BY1255="L23"),AP1255&gt;0),SUMIFS($AP$7:$AP$1843,$BY$7:$BY$1843,BY1255,$AS$7:$AS$1843,"&gt;"&amp;AS1255)+SUMIFS($AP$7:$AP$1843,$BY$7:$BY$1843,BY1255,$AS$7:$AS$1843,AS1255,$BQ$7:$BQ$1843,"&lt;="&amp;BQ1255),"")</f>
        <v>67.6847995000169</v>
      </c>
      <c r="AU1255" s="65" t="n">
        <f aca="false">IF(AT1255="",0,MAX(0,MIN(1,(IF(BY1255="L1",Parameter!$E$5,Parameter!$E$6+Parameter!$E$7)-(AT1255-AP1255))/AP1255)))</f>
        <v>1</v>
      </c>
      <c r="AV1255" s="57" t="n">
        <f aca="false">IF(LEFT(Cockpit!$O$5,1)="A",H1255,IF(CA1255=1,CB1255,IF(LEFT(Cockpit!$O$5,1)="B",AZ1255,MAX(AZ1255,H1255))))</f>
        <v>10</v>
      </c>
      <c r="AW1255" s="57" t="n">
        <f aca="false">IF(BT1255=1,0,ROUNDUP(AV1255/BS1255,0))</f>
        <v>1</v>
      </c>
      <c r="AX1255" s="59" t="n">
        <f aca="false">IF(CH1255&gt;0,CH1255*MAX(1,AV1255/X1255),IF(BT1255=1,IF(AV1255&lt;=0,0,BW1255*MAX(1,IF(H1255&gt;0,AV1255/H1255,1))),IF(R1255&gt;0,AW1255/R1255,0))/MAX(0.1,N(Parameter!$M$21)))</f>
        <v>0.0384615384615385</v>
      </c>
      <c r="AY1255" s="57" t="n">
        <f aca="false">AV1255*G1255</f>
        <v>3800</v>
      </c>
      <c r="AZ1255" s="57" t="n">
        <f aca="false">ROUNDUP(MAX(J1255/IF(BZ1255&gt;0,BZ1255,MAX(0.1,N(Cockpit!$O$6))),CC1255)/BS1255,0)*BS1255</f>
        <v>10</v>
      </c>
      <c r="BA1255" s="58" t="n">
        <f aca="false">IF(AX1255&gt;0,J1255/AX1255,-1)</f>
        <v>52</v>
      </c>
      <c r="BB1255" s="58" t="n">
        <f aca="false">IF(AND(OR(BY1255="L1",BY1255="L23"),AX1255&gt;0),SUMIFS($AX$7:$AX$1843,$BY$7:$BY$1843,BY1255,$BA$7:$BA$1843,"&gt;"&amp;BA1255)+SUMIFS($AX$7:$AX$1843,$BY$7:$BY$1843,BY1255,$BA$7:$BA$1843,BA1255,$BQ$7:$BQ$1843,"&lt;="&amp;BQ1255),"")</f>
        <v>62.1813029965204</v>
      </c>
      <c r="BC1255" s="65" t="n">
        <f aca="false">IF(BB1255="",0,MAX(0,MIN(1,(IF(BY1255="L1",Parameter!$E$5,Parameter!$E$6+Parameter!$E$7)-(BB1255-AX1255))/AX1255)))</f>
        <v>1</v>
      </c>
      <c r="BD1255" s="55" t="str">
        <f aca="false">IF(AH1255&lt;=0,"",IF(BY1255="Aussen","Aussenlager",IF(BY1255="-","Nicht im Lift",IF(AM1255&gt;=1,"Lift",IF(AM1255&lt;=0,"Aussenlager","teilweise")))))</f>
        <v>Lift</v>
      </c>
      <c r="BE1255" s="55" t="str">
        <f aca="false">IF(AP1255&lt;=0,"",IF(BY1255="Aussen","Aussenlager",IF(BY1255="-","Nicht im Lift",IF(AU1255&gt;=1,"Lift",IF(AU1255&lt;=0,"Aussenlager","teilweise")))))</f>
        <v>Lift</v>
      </c>
      <c r="BF1255" s="55" t="str">
        <f aca="false">IF(AX1255&lt;=0,"",IF(BY1255="Aussen","Aussenlager",IF(BY1255="-","Nicht im Lift",IF(BC1255&gt;=1,"Lift",IF(BC1255&lt;=0,"Aussenlager","teilweise")))))</f>
        <v>Lift</v>
      </c>
      <c r="BG1255" s="55" t="str">
        <f aca="false">IF(A1255="","",IF(BP1255=1,"Neu; ","")&amp;IF(AND(BP1255=0,BK1255&lt;0),"negativer Bestand (Export "&amp;BK1255&amp;"); ","")&amp;IF(J1255&lt;=0,"Kein Verbrauch; ","")&amp;IF(CH1255&gt;0,"Lift "&amp;W1255&amp;" lt. Liftbericht (Fach "&amp;X1255&amp;" Stk); ",IF(BU1255=1,"Gebinde geschätzt ("&amp;T1255&amp;"); ",IF(BT1255=1,"Lose – Tablare geschätzt; ","")))&amp;IF(H1255&gt;AR1255,"Überbestand "&amp;ROUND(H1255-AR1255,0)&amp;" Stk / CHF "&amp;ROUND((H1255-AR1255)*G1255,0)&amp;"; ","")&amp;IF(AND(CA1255=1,CB1255&lt;CC1255),"MAX &lt; MB+LG; ","")&amp;IF(AND(CG1255&gt;0,CF1255*10&gt;CG1255),"zu hoch für Tablar; ","")&amp;IF(AND(BP1255=0,OR(CA1255=1,AA1255&lt;&gt;"",U1255&lt;&gt;"",V1255&lt;&gt;"",AB1255&lt;&gt;"")),"manuell übersteuert; ","")&amp;IF(AND(BT1255=0,R1255=0),"Gebinde unbekannt / Stellmass fehlt; ","")&amp;IF(AND(BT1255=0,N(V1255)&lt;=0,N(Q1255)&lt;=0),"Menge pro Gebinde fehlt (Ist = 1 Gebinde); ","")&amp;BO1255)</f>
        <v>negativer Bestand (Export -2); </v>
      </c>
      <c r="BH1255" s="55"/>
      <c r="BI1255" s="55"/>
      <c r="BJ1255" s="62"/>
      <c r="BK1255" s="57" t="n">
        <v>-2</v>
      </c>
      <c r="BL1255" s="57" t="n">
        <v>11</v>
      </c>
      <c r="BM1255" s="56" t="n">
        <v>-760</v>
      </c>
      <c r="BN1255" s="57" t="n">
        <v>2</v>
      </c>
      <c r="BO1255" s="55"/>
      <c r="BP1255" s="60" t="n">
        <v>0</v>
      </c>
      <c r="BQ1255" s="60" t="n">
        <v>1255</v>
      </c>
      <c r="BR1255" s="55" t="str">
        <f aca="false">IF(U1255&lt;&gt;"",UPPER(TRIM(U1255)),IF(BU1255=1,UPPER(VLOOKUP(T1255,Parameter!$I$27:$K$29,2,0)),IF(P1255="","LOSE",P1255)))</f>
        <v>S52</v>
      </c>
      <c r="BS1255" s="57" t="n">
        <f aca="false">IF(BR1255="LOSE",1,IF(N(V1255)&gt;0,V1255,IF(BU1255=1,MAX(1,N(VLOOKUP(T1255,Parameter!$I$27:$K$29,3,0)),H1255,N(N1255)),IF(N(Q1255)&gt;0,Q1255,MAX(1,H1255)))))</f>
        <v>10</v>
      </c>
      <c r="BT1255" s="60" t="n">
        <f aca="false">IF(BR1255="LOSE",1,0)</f>
        <v>0</v>
      </c>
      <c r="BU1255" s="60" t="n">
        <f aca="false">IF(AND(U1255="",OR(P1255="",P1255="LOSE"),T1255&lt;&gt;"",N(S1255)&lt;=0,ISNUMBER(MATCH(T1255,Parameter!$I$27:$I$29,0))),1,0)</f>
        <v>0</v>
      </c>
      <c r="BV1255" s="55" t="str">
        <f aca="false">IF(AND(Parameter!$B$19="Ja",E1255&lt;&gt;"",ISNUMBER(MATCH(E1255,Parameter!$I$35:$I$52,0))),VLOOKUP(E1255,Parameter!$I$35:$J$52,2,0),IFERROR(VLOOKUP(D1255,Parameter!$A$35:$C$64,2,0),"Nein"))</f>
        <v>2+3</v>
      </c>
      <c r="BW1255" s="59" t="n">
        <f aca="false">IF(BT1255=0,0,IF(N(S1255)&gt;0,S1255,IFERROR(VLOOKUP(D1255,Parameter!$A$35:$C$64,3,0)+0,0)))</f>
        <v>0</v>
      </c>
      <c r="BX1255" s="55" t="n">
        <f aca="false">IF(AA1255&lt;&gt;"",AA1255,Z1255)</f>
        <v>3</v>
      </c>
      <c r="BY1255" s="55" t="str">
        <f aca="false">IF(BX1255=1,"L1",IF(OR(BX1255=2,BX1255=3),"L23",IF(BX1255="Aussen","Aussen","-")))</f>
        <v>L23</v>
      </c>
      <c r="BZ1255" s="66" t="n">
        <f aca="false">IF(N(AB1255)&gt;0,AB1255,0)</f>
        <v>0</v>
      </c>
      <c r="CA1255" s="60" t="n">
        <f aca="false">IF(ISNUMBER(AE1255),1,0)</f>
        <v>0</v>
      </c>
      <c r="CB1255" s="57" t="n">
        <f aca="false">N(AE1255)</f>
        <v>0</v>
      </c>
      <c r="CC1255" s="57" t="n">
        <f aca="false">N(M1255)+N(N1255)</f>
        <v>1</v>
      </c>
      <c r="CD1255" s="57" t="n">
        <f aca="false">ROUNDUP(H1255/BS1255,0)</f>
        <v>1</v>
      </c>
      <c r="CE1255" s="57" t="n">
        <f aca="false">ROUNDUP(CB1255/BS1255,0)</f>
        <v>0</v>
      </c>
      <c r="CF1255" s="60" t="n">
        <f aca="false">IF(BT1255=1,0,IFERROR(VLOOKUP(BR1255,'Gebinde-Kategorie'!$A$5:$M$45,5,0)+0,0))</f>
        <v>21</v>
      </c>
      <c r="CG1255" s="60" t="n">
        <f aca="false">IFERROR(IF(OR(BX1255=1,BX1255=2,BX1255=3),N(INDEX(Parameter!$I$5:$I$7,BX1255)),0),0)</f>
        <v>0</v>
      </c>
      <c r="CH1255" s="59" t="n">
        <f aca="false">IF(AND(Parameter!$B$21="Ja",ISNUMBER(W1255),N(X1255)&gt;0),IFERROR(N(INDEX(Parameter!$L$5:$L$7,W1255))*INDEX(Parameter!$E$5:$E$7,W1255)*X1255/SUMIFS($X$7:$X$1843,$W$7:$W$1843,W1255),0),0)</f>
        <v>0</v>
      </c>
    </row>
    <row r="1256" customFormat="false" ht="15" hidden="false" customHeight="false" outlineLevel="0" collapsed="false">
      <c r="A1256" s="55" t="s">
        <v>2243</v>
      </c>
      <c r="B1256" s="55" t="s">
        <v>431</v>
      </c>
      <c r="C1256" s="55" t="s">
        <v>164</v>
      </c>
      <c r="D1256" s="55" t="s">
        <v>184</v>
      </c>
      <c r="E1256" s="55" t="s">
        <v>185</v>
      </c>
      <c r="F1256" s="55" t="s">
        <v>218</v>
      </c>
      <c r="G1256" s="56" t="n">
        <v>104.71</v>
      </c>
      <c r="H1256" s="57" t="n">
        <f aca="false">MAX(0,IF(AND(Parameter!$B$21="Ja",ISNUMBER(Y1256)),Y1256,IF(Parameter!$B$20="Jahresanfang 2025 + Export",BL1256+BK1256,BK1256)))</f>
        <v>50</v>
      </c>
      <c r="I1256" s="57" t="n">
        <f aca="false">H1256*G1256</f>
        <v>5235.5</v>
      </c>
      <c r="J1256" s="57" t="n">
        <f aca="false">BN1256*Parameter!$B$18</f>
        <v>143</v>
      </c>
      <c r="K1256" s="58" t="n">
        <v>60</v>
      </c>
      <c r="L1256" s="59" t="n">
        <v>2.38333333333333</v>
      </c>
      <c r="M1256" s="57" t="n">
        <v>20</v>
      </c>
      <c r="N1256" s="57" t="n">
        <v>50</v>
      </c>
      <c r="O1256" s="60" t="n">
        <v>56</v>
      </c>
      <c r="P1256" s="55" t="s">
        <v>226</v>
      </c>
      <c r="Q1256" s="57" t="n">
        <v>154</v>
      </c>
      <c r="R1256" s="60" t="n">
        <f aca="false">IF(BT1256=1,0,IFERROR(VLOOKUP(BR1256,'Gebinde-Kategorie'!$A$5:$M$45,13,0)+0,0))</f>
        <v>12</v>
      </c>
      <c r="S1256" s="61"/>
      <c r="T1256" s="62"/>
      <c r="U1256" s="62"/>
      <c r="V1256" s="62"/>
      <c r="W1256" s="55"/>
      <c r="X1256" s="57"/>
      <c r="Y1256" s="57"/>
      <c r="Z1256" s="55" t="n">
        <f aca="false">IF(A1256="","",IF(AND(Parameter!$B$21="Ja",ISNUMBER(W1256)),W1256,IF(BV1256="2+3",IF(ISNUMBER(SEARCH("grosser Artikel",BO1256)),2,IFERROR(VLOOKUP(BR1256,Parameter!$F$35:$G$64,2,0),2)),IF(OR(BV1256="Nein",BV1256=""),"-",BV1256))))</f>
        <v>2</v>
      </c>
      <c r="AA1256" s="62"/>
      <c r="AB1256" s="63"/>
      <c r="AC1256" s="57" t="n">
        <f aca="false">AR1256</f>
        <v>154</v>
      </c>
      <c r="AD1256" s="57" t="n">
        <f aca="false">MAX(AR1256,H1256)</f>
        <v>154</v>
      </c>
      <c r="AE1256" s="64"/>
      <c r="AF1256" s="57" t="n">
        <f aca="false">IF(LEFT(Cockpit!$C$5,1)="A",H1256,IF(CA1256=1,CB1256,IF(LEFT(Cockpit!$C$5,1)="B",AJ1256,MAX(AJ1256,H1256))))</f>
        <v>50</v>
      </c>
      <c r="AG1256" s="57" t="n">
        <f aca="false">IF(BT1256=1,0,ROUNDUP(AF1256/BS1256,0))</f>
        <v>1</v>
      </c>
      <c r="AH1256" s="59" t="n">
        <f aca="false">IF(CH1256&gt;0,CH1256*MAX(1,AF1256/X1256),IF(BT1256=1,IF(AF1256&lt;=0,0,BW1256*MAX(1,IF(H1256&gt;0,AF1256/H1256,1))),IF(R1256&gt;0,AG1256/R1256,0))/MAX(0.1,N(Parameter!$M$21)))</f>
        <v>0.0833333333333333</v>
      </c>
      <c r="AI1256" s="57" t="n">
        <f aca="false">AF1256*G1256</f>
        <v>5235.5</v>
      </c>
      <c r="AJ1256" s="57" t="n">
        <f aca="false">ROUNDUP(MAX(J1256/IF(BZ1256&gt;0,BZ1256,MAX(0.1,N(Cockpit!$C$6))),CC1256)/BS1256,0)*BS1256</f>
        <v>154</v>
      </c>
      <c r="AK1256" s="58" t="n">
        <f aca="false">IF(AH1256&gt;0,J1256/AH1256,-1)</f>
        <v>1716</v>
      </c>
      <c r="AL1256" s="58" t="n">
        <f aca="false">IF(AND(OR(BY1256="L1",BY1256="L23"),AH1256&gt;0),SUMIFS($AH$7:$AH$1843,$BY$7:$BY$1843,BY1256,$AK$7:$AK$1843,"&gt;"&amp;AK1256)+SUMIFS($AH$7:$AH$1843,$BY$7:$BY$1843,BY1256,$AK$7:$AK$1843,AK1256,$BQ$7:$BQ$1843,"&lt;="&amp;BQ1256),"")</f>
        <v>15.1680602006689</v>
      </c>
      <c r="AM1256" s="65" t="n">
        <f aca="false">IF(AL1256="",0,MAX(0,MIN(1,(IF(BY1256="L1",Parameter!$E$5,Parameter!$E$6+Parameter!$E$7)-(AL1256-AH1256))/AH1256)))</f>
        <v>1</v>
      </c>
      <c r="AN1256" s="57" t="n">
        <f aca="false">IF(LEFT(Cockpit!$I$5,1)="A",H1256,IF(CA1256=1,CB1256,IF(LEFT(Cockpit!$I$5,1)="B",AR1256,MAX(AR1256,H1256))))</f>
        <v>154</v>
      </c>
      <c r="AO1256" s="57" t="n">
        <f aca="false">IF(BT1256=1,0,ROUNDUP(AN1256/BS1256,0))</f>
        <v>1</v>
      </c>
      <c r="AP1256" s="59" t="n">
        <f aca="false">IF(CH1256&gt;0,CH1256*MAX(1,AN1256/X1256),IF(BT1256=1,IF(AN1256&lt;=0,0,BW1256*MAX(1,IF(H1256&gt;0,AN1256/H1256,1))),IF(R1256&gt;0,AO1256/R1256,0))/MAX(0.1,N(Parameter!$M$21)))</f>
        <v>0.0833333333333333</v>
      </c>
      <c r="AQ1256" s="57" t="n">
        <f aca="false">AN1256*G1256</f>
        <v>16125.34</v>
      </c>
      <c r="AR1256" s="57" t="n">
        <f aca="false">ROUNDUP(MAX(J1256/IF(BZ1256&gt;0,BZ1256,MAX(0.1,N(Cockpit!$I$6))),CC1256)/BS1256,0)*BS1256</f>
        <v>154</v>
      </c>
      <c r="AS1256" s="58" t="n">
        <f aca="false">IF(AP1256&gt;0,J1256/AP1256,-1)</f>
        <v>1716</v>
      </c>
      <c r="AT1256" s="58" t="n">
        <f aca="false">IF(AND(OR(BY1256="L1",BY1256="L23"),AP1256&gt;0),SUMIFS($AP$7:$AP$1843,$BY$7:$BY$1843,BY1256,$AS$7:$AS$1843,"&gt;"&amp;AS1256)+SUMIFS($AP$7:$AP$1843,$BY$7:$BY$1843,BY1256,$AS$7:$AS$1843,AS1256,$BQ$7:$BQ$1843,"&lt;="&amp;BQ1256),"")</f>
        <v>19.7762153305632</v>
      </c>
      <c r="AU1256" s="65" t="n">
        <f aca="false">IF(AT1256="",0,MAX(0,MIN(1,(IF(BY1256="L1",Parameter!$E$5,Parameter!$E$6+Parameter!$E$7)-(AT1256-AP1256))/AP1256)))</f>
        <v>1</v>
      </c>
      <c r="AV1256" s="57" t="n">
        <f aca="false">IF(LEFT(Cockpit!$O$5,1)="A",H1256,IF(CA1256=1,CB1256,IF(LEFT(Cockpit!$O$5,1)="B",AZ1256,MAX(AZ1256,H1256))))</f>
        <v>154</v>
      </c>
      <c r="AW1256" s="57" t="n">
        <f aca="false">IF(BT1256=1,0,ROUNDUP(AV1256/BS1256,0))</f>
        <v>1</v>
      </c>
      <c r="AX1256" s="59" t="n">
        <f aca="false">IF(CH1256&gt;0,CH1256*MAX(1,AV1256/X1256),IF(BT1256=1,IF(AV1256&lt;=0,0,BW1256*MAX(1,IF(H1256&gt;0,AV1256/H1256,1))),IF(R1256&gt;0,AW1256/R1256,0))/MAX(0.1,N(Parameter!$M$21)))</f>
        <v>0.0833333333333333</v>
      </c>
      <c r="AY1256" s="57" t="n">
        <f aca="false">AV1256*G1256</f>
        <v>16125.34</v>
      </c>
      <c r="AZ1256" s="57" t="n">
        <f aca="false">ROUNDUP(MAX(J1256/IF(BZ1256&gt;0,BZ1256,MAX(0.1,N(Cockpit!$O$6))),CC1256)/BS1256,0)*BS1256</f>
        <v>154</v>
      </c>
      <c r="BA1256" s="58" t="n">
        <f aca="false">IF(AX1256&gt;0,J1256/AX1256,-1)</f>
        <v>1716</v>
      </c>
      <c r="BB1256" s="58" t="n">
        <f aca="false">IF(AND(OR(BY1256="L1",BY1256="L23"),AX1256&gt;0),SUMIFS($AX$7:$AX$1843,$BY$7:$BY$1843,BY1256,$BA$7:$BA$1843,"&gt;"&amp;BA1256)+SUMIFS($AX$7:$AX$1843,$BY$7:$BY$1843,BY1256,$BA$7:$BA$1843,BA1256,$BQ$7:$BQ$1843,"&lt;="&amp;BQ1256),"")</f>
        <v>18.6381034424513</v>
      </c>
      <c r="BC1256" s="65" t="n">
        <f aca="false">IF(BB1256="",0,MAX(0,MIN(1,(IF(BY1256="L1",Parameter!$E$5,Parameter!$E$6+Parameter!$E$7)-(BB1256-AX1256))/AX1256)))</f>
        <v>1</v>
      </c>
      <c r="BD1256" s="55" t="str">
        <f aca="false">IF(AH1256&lt;=0,"",IF(BY1256="Aussen","Aussenlager",IF(BY1256="-","Nicht im Lift",IF(AM1256&gt;=1,"Lift",IF(AM1256&lt;=0,"Aussenlager","teilweise")))))</f>
        <v>Lift</v>
      </c>
      <c r="BE1256" s="55" t="str">
        <f aca="false">IF(AP1256&lt;=0,"",IF(BY1256="Aussen","Aussenlager",IF(BY1256="-","Nicht im Lift",IF(AU1256&gt;=1,"Lift",IF(AU1256&lt;=0,"Aussenlager","teilweise")))))</f>
        <v>Lift</v>
      </c>
      <c r="BF1256" s="55" t="str">
        <f aca="false">IF(AX1256&lt;=0,"",IF(BY1256="Aussen","Aussenlager",IF(BY1256="-","Nicht im Lift",IF(BC1256&gt;=1,"Lift",IF(BC1256&lt;=0,"Aussenlager","teilweise")))))</f>
        <v>Lift</v>
      </c>
      <c r="BG1256" s="55" t="str">
        <f aca="false">IF(A1256="","",IF(BP1256=1,"Neu; ","")&amp;IF(AND(BP1256=0,BK1256&lt;0),"negativer Bestand (Export "&amp;BK1256&amp;"); ","")&amp;IF(J1256&lt;=0,"Kein Verbrauch; ","")&amp;IF(CH1256&gt;0,"Lift "&amp;W1256&amp;" lt. Liftbericht (Fach "&amp;X1256&amp;" Stk); ",IF(BU1256=1,"Gebinde geschätzt ("&amp;T1256&amp;"); ",IF(BT1256=1,"Lose – Tablare geschätzt; ","")))&amp;IF(H1256&gt;AR1256,"Überbestand "&amp;ROUND(H1256-AR1256,0)&amp;" Stk / CHF "&amp;ROUND((H1256-AR1256)*G1256,0)&amp;"; ","")&amp;IF(AND(CA1256=1,CB1256&lt;CC1256),"MAX &lt; MB+LG; ","")&amp;IF(AND(CG1256&gt;0,CF1256*10&gt;CG1256),"zu hoch für Tablar; ","")&amp;IF(AND(BP1256=0,OR(CA1256=1,AA1256&lt;&gt;"",U1256&lt;&gt;"",V1256&lt;&gt;"",AB1256&lt;&gt;"")),"manuell übersteuert; ","")&amp;IF(AND(BT1256=0,R1256=0),"Gebinde unbekannt / Stellmass fehlt; ","")&amp;IF(AND(BT1256=0,N(V1256)&lt;=0,N(Q1256)&lt;=0),"Menge pro Gebinde fehlt (Ist = 1 Gebinde); ","")&amp;BO1256)</f>
        <v>negativer Bestand (Export -27); </v>
      </c>
      <c r="BH1256" s="55"/>
      <c r="BI1256" s="55"/>
      <c r="BJ1256" s="62"/>
      <c r="BK1256" s="57" t="n">
        <v>-27</v>
      </c>
      <c r="BL1256" s="57" t="n">
        <v>77</v>
      </c>
      <c r="BM1256" s="56" t="n">
        <v>-762.8</v>
      </c>
      <c r="BN1256" s="57" t="n">
        <v>143</v>
      </c>
      <c r="BO1256" s="55"/>
      <c r="BP1256" s="60" t="n">
        <v>0</v>
      </c>
      <c r="BQ1256" s="60" t="n">
        <v>1256</v>
      </c>
      <c r="BR1256" s="55" t="str">
        <f aca="false">IF(U1256&lt;&gt;"",UPPER(TRIM(U1256)),IF(BU1256=1,UPPER(VLOOKUP(T1256,Parameter!$I$27:$K$29,2,0)),IF(P1256="","LOSE",P1256)))</f>
        <v>S63</v>
      </c>
      <c r="BS1256" s="57" t="n">
        <f aca="false">IF(BR1256="LOSE",1,IF(N(V1256)&gt;0,V1256,IF(BU1256=1,MAX(1,N(VLOOKUP(T1256,Parameter!$I$27:$K$29,3,0)),H1256,N(N1256)),IF(N(Q1256)&gt;0,Q1256,MAX(1,H1256)))))</f>
        <v>154</v>
      </c>
      <c r="BT1256" s="60" t="n">
        <f aca="false">IF(BR1256="LOSE",1,0)</f>
        <v>0</v>
      </c>
      <c r="BU1256" s="60" t="n">
        <f aca="false">IF(AND(U1256="",OR(P1256="",P1256="LOSE"),T1256&lt;&gt;"",N(S1256)&lt;=0,ISNUMBER(MATCH(T1256,Parameter!$I$27:$I$29,0))),1,0)</f>
        <v>0</v>
      </c>
      <c r="BV1256" s="55" t="str">
        <f aca="false">IF(AND(Parameter!$B$19="Ja",E1256&lt;&gt;"",ISNUMBER(MATCH(E1256,Parameter!$I$35:$I$52,0))),VLOOKUP(E1256,Parameter!$I$35:$J$52,2,0),IFERROR(VLOOKUP(D1256,Parameter!$A$35:$C$64,2,0),"Nein"))</f>
        <v>2+3</v>
      </c>
      <c r="BW1256" s="59" t="n">
        <f aca="false">IF(BT1256=0,0,IF(N(S1256)&gt;0,S1256,IFERROR(VLOOKUP(D1256,Parameter!$A$35:$C$64,3,0)+0,0)))</f>
        <v>0</v>
      </c>
      <c r="BX1256" s="55" t="n">
        <f aca="false">IF(AA1256&lt;&gt;"",AA1256,Z1256)</f>
        <v>2</v>
      </c>
      <c r="BY1256" s="55" t="str">
        <f aca="false">IF(BX1256=1,"L1",IF(OR(BX1256=2,BX1256=3),"L23",IF(BX1256="Aussen","Aussen","-")))</f>
        <v>L23</v>
      </c>
      <c r="BZ1256" s="66" t="n">
        <f aca="false">IF(N(AB1256)&gt;0,AB1256,0)</f>
        <v>0</v>
      </c>
      <c r="CA1256" s="60" t="n">
        <f aca="false">IF(ISNUMBER(AE1256),1,0)</f>
        <v>0</v>
      </c>
      <c r="CB1256" s="57" t="n">
        <f aca="false">N(AE1256)</f>
        <v>0</v>
      </c>
      <c r="CC1256" s="57" t="n">
        <f aca="false">N(M1256)+N(N1256)</f>
        <v>70</v>
      </c>
      <c r="CD1256" s="57" t="n">
        <f aca="false">ROUNDUP(H1256/BS1256,0)</f>
        <v>1</v>
      </c>
      <c r="CE1256" s="57" t="n">
        <f aca="false">ROUNDUP(CB1256/BS1256,0)</f>
        <v>0</v>
      </c>
      <c r="CF1256" s="60" t="n">
        <f aca="false">IF(BT1256=1,0,IFERROR(VLOOKUP(BR1256,'Gebinde-Kategorie'!$A$5:$M$45,5,0)+0,0))</f>
        <v>31</v>
      </c>
      <c r="CG1256" s="60" t="n">
        <f aca="false">IFERROR(IF(OR(BX1256=1,BX1256=2,BX1256=3),N(INDEX(Parameter!$I$5:$I$7,BX1256)),0),0)</f>
        <v>0</v>
      </c>
      <c r="CH1256" s="59" t="n">
        <f aca="false">IF(AND(Parameter!$B$21="Ja",ISNUMBER(W1256),N(X1256)&gt;0),IFERROR(N(INDEX(Parameter!$L$5:$L$7,W1256))*INDEX(Parameter!$E$5:$E$7,W1256)*X1256/SUMIFS($X$7:$X$1843,$W$7:$W$1843,W1256),0),0)</f>
        <v>0</v>
      </c>
    </row>
    <row r="1257" customFormat="false" ht="15" hidden="false" customHeight="false" outlineLevel="0" collapsed="false">
      <c r="A1257" s="55" t="s">
        <v>2244</v>
      </c>
      <c r="B1257" s="55" t="s">
        <v>2245</v>
      </c>
      <c r="C1257" s="55" t="s">
        <v>164</v>
      </c>
      <c r="D1257" s="55" t="s">
        <v>184</v>
      </c>
      <c r="E1257" s="55"/>
      <c r="F1257" s="55" t="s">
        <v>218</v>
      </c>
      <c r="G1257" s="56" t="n">
        <v>95.87</v>
      </c>
      <c r="H1257" s="57" t="n">
        <f aca="false">MAX(0,IF(AND(Parameter!$B$21="Ja",ISNUMBER(Y1257)),Y1257,IF(Parameter!$B$20="Jahresanfang 2025 + Export",BL1257+BK1257,BK1257)))</f>
        <v>6</v>
      </c>
      <c r="I1257" s="57" t="n">
        <f aca="false">H1257*G1257</f>
        <v>575.22</v>
      </c>
      <c r="J1257" s="57" t="n">
        <f aca="false">BN1257*Parameter!$B$18</f>
        <v>4</v>
      </c>
      <c r="K1257" s="58" t="n">
        <v>12</v>
      </c>
      <c r="L1257" s="59" t="n">
        <v>0.333333333333333</v>
      </c>
      <c r="M1257" s="57" t="n">
        <v>0</v>
      </c>
      <c r="N1257" s="57" t="n">
        <v>5</v>
      </c>
      <c r="O1257" s="60" t="n">
        <v>35</v>
      </c>
      <c r="P1257" s="55" t="s">
        <v>168</v>
      </c>
      <c r="Q1257" s="57"/>
      <c r="R1257" s="60" t="n">
        <f aca="false">IF(BT1257=1,0,IFERROR(VLOOKUP(BR1257,'Gebinde-Kategorie'!$A$5:$M$45,13,0)+0,0))</f>
        <v>26</v>
      </c>
      <c r="S1257" s="61"/>
      <c r="T1257" s="62" t="s">
        <v>275</v>
      </c>
      <c r="U1257" s="62"/>
      <c r="V1257" s="62"/>
      <c r="W1257" s="55"/>
      <c r="X1257" s="57"/>
      <c r="Y1257" s="57"/>
      <c r="Z1257" s="55" t="n">
        <f aca="false">IF(A1257="","",IF(AND(Parameter!$B$21="Ja",ISNUMBER(W1257)),W1257,IF(BV1257="2+3",IF(ISNUMBER(SEARCH("grosser Artikel",BO1257)),2,IFERROR(VLOOKUP(BR1257,Parameter!$F$35:$G$64,2,0),2)),IF(OR(BV1257="Nein",BV1257=""),"-",BV1257))))</f>
        <v>3</v>
      </c>
      <c r="AA1257" s="62"/>
      <c r="AB1257" s="63"/>
      <c r="AC1257" s="57" t="n">
        <f aca="false">AR1257</f>
        <v>20</v>
      </c>
      <c r="AD1257" s="57" t="n">
        <f aca="false">MAX(AR1257,H1257)</f>
        <v>20</v>
      </c>
      <c r="AE1257" s="64"/>
      <c r="AF1257" s="57" t="n">
        <f aca="false">IF(LEFT(Cockpit!$C$5,1)="A",H1257,IF(CA1257=1,CB1257,IF(LEFT(Cockpit!$C$5,1)="B",AJ1257,MAX(AJ1257,H1257))))</f>
        <v>6</v>
      </c>
      <c r="AG1257" s="57" t="n">
        <f aca="false">IF(BT1257=1,0,ROUNDUP(AF1257/BS1257,0))</f>
        <v>1</v>
      </c>
      <c r="AH1257" s="59" t="n">
        <f aca="false">IF(CH1257&gt;0,CH1257*MAX(1,AF1257/X1257),IF(BT1257=1,IF(AF1257&lt;=0,0,BW1257*MAX(1,IF(H1257&gt;0,AF1257/H1257,1))),IF(R1257&gt;0,AG1257/R1257,0))/MAX(0.1,N(Parameter!$M$21)))</f>
        <v>0.0384615384615385</v>
      </c>
      <c r="AI1257" s="57" t="n">
        <f aca="false">AF1257*G1257</f>
        <v>575.22</v>
      </c>
      <c r="AJ1257" s="57" t="n">
        <f aca="false">ROUNDUP(MAX(J1257/IF(BZ1257&gt;0,BZ1257,MAX(0.1,N(Cockpit!$C$6))),CC1257)/BS1257,0)*BS1257</f>
        <v>20</v>
      </c>
      <c r="AK1257" s="58" t="n">
        <f aca="false">IF(AH1257&gt;0,J1257/AH1257,-1)</f>
        <v>104</v>
      </c>
      <c r="AL1257" s="58" t="n">
        <f aca="false">IF(AND(OR(BY1257="L1",BY1257="L23"),AH1257&gt;0),SUMIFS($AH$7:$AH$1843,$BY$7:$BY$1843,BY1257,$AK$7:$AK$1843,"&gt;"&amp;AK1257)+SUMIFS($AH$7:$AH$1843,$BY$7:$BY$1843,BY1257,$AK$7:$AK$1843,AK1257,$BQ$7:$BQ$1843,"&lt;="&amp;BQ1257),"")</f>
        <v>38.8611026654505</v>
      </c>
      <c r="AM1257" s="65" t="n">
        <f aca="false">IF(AL1257="",0,MAX(0,MIN(1,(IF(BY1257="L1",Parameter!$E$5,Parameter!$E$6+Parameter!$E$7)-(AL1257-AH1257))/AH1257)))</f>
        <v>1</v>
      </c>
      <c r="AN1257" s="57" t="n">
        <f aca="false">IF(LEFT(Cockpit!$I$5,1)="A",H1257,IF(CA1257=1,CB1257,IF(LEFT(Cockpit!$I$5,1)="B",AR1257,MAX(AR1257,H1257))))</f>
        <v>20</v>
      </c>
      <c r="AO1257" s="57" t="n">
        <f aca="false">IF(BT1257=1,0,ROUNDUP(AN1257/BS1257,0))</f>
        <v>1</v>
      </c>
      <c r="AP1257" s="59" t="n">
        <f aca="false">IF(CH1257&gt;0,CH1257*MAX(1,AN1257/X1257),IF(BT1257=1,IF(AN1257&lt;=0,0,BW1257*MAX(1,IF(H1257&gt;0,AN1257/H1257,1))),IF(R1257&gt;0,AO1257/R1257,0))/MAX(0.1,N(Parameter!$M$21)))</f>
        <v>0.0384615384615385</v>
      </c>
      <c r="AQ1257" s="57" t="n">
        <f aca="false">AN1257*G1257</f>
        <v>1917.4</v>
      </c>
      <c r="AR1257" s="57" t="n">
        <f aca="false">ROUNDUP(MAX(J1257/IF(BZ1257&gt;0,BZ1257,MAX(0.1,N(Cockpit!$I$6))),CC1257)/BS1257,0)*BS1257</f>
        <v>20</v>
      </c>
      <c r="AS1257" s="58" t="n">
        <f aca="false">IF(AP1257&gt;0,J1257/AP1257,-1)</f>
        <v>104</v>
      </c>
      <c r="AT1257" s="58" t="n">
        <f aca="false">IF(AND(OR(BY1257="L1",BY1257="L23"),AP1257&gt;0),SUMIFS($AP$7:$AP$1843,$BY$7:$BY$1843,BY1257,$AS$7:$AS$1843,"&gt;"&amp;AS1257)+SUMIFS($AP$7:$AP$1843,$BY$7:$BY$1843,BY1257,$AS$7:$AS$1843,AS1257,$BQ$7:$BQ$1843,"&lt;="&amp;BQ1257),"")</f>
        <v>56.7152967805142</v>
      </c>
      <c r="AU1257" s="65" t="n">
        <f aca="false">IF(AT1257="",0,MAX(0,MIN(1,(IF(BY1257="L1",Parameter!$E$5,Parameter!$E$6+Parameter!$E$7)-(AT1257-AP1257))/AP1257)))</f>
        <v>1</v>
      </c>
      <c r="AV1257" s="57" t="n">
        <f aca="false">IF(LEFT(Cockpit!$O$5,1)="A",H1257,IF(CA1257=1,CB1257,IF(LEFT(Cockpit!$O$5,1)="B",AZ1257,MAX(AZ1257,H1257))))</f>
        <v>20</v>
      </c>
      <c r="AW1257" s="57" t="n">
        <f aca="false">IF(BT1257=1,0,ROUNDUP(AV1257/BS1257,0))</f>
        <v>1</v>
      </c>
      <c r="AX1257" s="59" t="n">
        <f aca="false">IF(CH1257&gt;0,CH1257*MAX(1,AV1257/X1257),IF(BT1257=1,IF(AV1257&lt;=0,0,BW1257*MAX(1,IF(H1257&gt;0,AV1257/H1257,1))),IF(R1257&gt;0,AW1257/R1257,0))/MAX(0.1,N(Parameter!$M$21)))</f>
        <v>0.0384615384615385</v>
      </c>
      <c r="AY1257" s="57" t="n">
        <f aca="false">AV1257*G1257</f>
        <v>1917.4</v>
      </c>
      <c r="AZ1257" s="57" t="n">
        <f aca="false">ROUNDUP(MAX(J1257/IF(BZ1257&gt;0,BZ1257,MAX(0.1,N(Cockpit!$O$6))),CC1257)/BS1257,0)*BS1257</f>
        <v>20</v>
      </c>
      <c r="BA1257" s="58" t="n">
        <f aca="false">IF(AX1257&gt;0,J1257/AX1257,-1)</f>
        <v>104</v>
      </c>
      <c r="BB1257" s="58" t="n">
        <f aca="false">IF(AND(OR(BY1257="L1",BY1257="L23"),AX1257&gt;0),SUMIFS($AX$7:$AX$1843,$BY$7:$BY$1843,BY1257,$BA$7:$BA$1843,"&gt;"&amp;BA1257)+SUMIFS($AX$7:$AX$1843,$BY$7:$BY$1843,BY1257,$BA$7:$BA$1843,BA1257,$BQ$7:$BQ$1843,"&lt;="&amp;BQ1257),"")</f>
        <v>54.545133610351</v>
      </c>
      <c r="BC1257" s="65" t="n">
        <f aca="false">IF(BB1257="",0,MAX(0,MIN(1,(IF(BY1257="L1",Parameter!$E$5,Parameter!$E$6+Parameter!$E$7)-(BB1257-AX1257))/AX1257)))</f>
        <v>1</v>
      </c>
      <c r="BD1257" s="55" t="str">
        <f aca="false">IF(AH1257&lt;=0,"",IF(BY1257="Aussen","Aussenlager",IF(BY1257="-","Nicht im Lift",IF(AM1257&gt;=1,"Lift",IF(AM1257&lt;=0,"Aussenlager","teilweise")))))</f>
        <v>Lift</v>
      </c>
      <c r="BE1257" s="55" t="str">
        <f aca="false">IF(AP1257&lt;=0,"",IF(BY1257="Aussen","Aussenlager",IF(BY1257="-","Nicht im Lift",IF(AU1257&gt;=1,"Lift",IF(AU1257&lt;=0,"Aussenlager","teilweise")))))</f>
        <v>Lift</v>
      </c>
      <c r="BF1257" s="55" t="str">
        <f aca="false">IF(AX1257&lt;=0,"",IF(BY1257="Aussen","Aussenlager",IF(BY1257="-","Nicht im Lift",IF(BC1257&gt;=1,"Lift",IF(BC1257&lt;=0,"Aussenlager","teilweise")))))</f>
        <v>Lift</v>
      </c>
      <c r="BG1257" s="55" t="str">
        <f aca="false">IF(A1257="","",IF(BP1257=1,"Neu; ","")&amp;IF(AND(BP1257=0,BK1257&lt;0),"negativer Bestand (Export "&amp;BK1257&amp;"); ","")&amp;IF(J1257&lt;=0,"Kein Verbrauch; ","")&amp;IF(CH1257&gt;0,"Lift "&amp;W1257&amp;" lt. Liftbericht (Fach "&amp;X1257&amp;" Stk); ",IF(BU1257=1,"Gebinde geschätzt ("&amp;T1257&amp;"); ",IF(BT1257=1,"Lose – Tablare geschätzt; ","")))&amp;IF(H1257&gt;AR1257,"Überbestand "&amp;ROUND(H1257-AR1257,0)&amp;" Stk / CHF "&amp;ROUND((H1257-AR1257)*G1257,0)&amp;"; ","")&amp;IF(AND(CA1257=1,CB1257&lt;CC1257),"MAX &lt; MB+LG; ","")&amp;IF(AND(CG1257&gt;0,CF1257*10&gt;CG1257),"zu hoch für Tablar; ","")&amp;IF(AND(BP1257=0,OR(CA1257=1,AA1257&lt;&gt;"",U1257&lt;&gt;"",V1257&lt;&gt;"",AB1257&lt;&gt;"")),"manuell übersteuert; ","")&amp;IF(AND(BT1257=0,R1257=0),"Gebinde unbekannt / Stellmass fehlt; ","")&amp;IF(AND(BT1257=0,N(V1257)&lt;=0,N(Q1257)&lt;=0),"Menge pro Gebinde fehlt (Ist = 1 Gebinde); ","")&amp;BO1257)</f>
        <v>negativer Bestand (Export -8); Gebinde geschätzt (Klein); Menge pro Gebinde fehlt (Ist = 1 Gebinde); </v>
      </c>
      <c r="BH1257" s="55"/>
      <c r="BI1257" s="55"/>
      <c r="BJ1257" s="62"/>
      <c r="BK1257" s="57" t="n">
        <v>-8</v>
      </c>
      <c r="BL1257" s="57" t="n">
        <v>14</v>
      </c>
      <c r="BM1257" s="56" t="n">
        <v>-766.96</v>
      </c>
      <c r="BN1257" s="57" t="n">
        <v>4</v>
      </c>
      <c r="BO1257" s="55"/>
      <c r="BP1257" s="60" t="n">
        <v>0</v>
      </c>
      <c r="BQ1257" s="60" t="n">
        <v>1257</v>
      </c>
      <c r="BR1257" s="55" t="str">
        <f aca="false">IF(U1257&lt;&gt;"",UPPER(TRIM(U1257)),IF(BU1257=1,UPPER(VLOOKUP(T1257,Parameter!$I$27:$K$29,2,0)),IF(P1257="","LOSE",P1257)))</f>
        <v>S51</v>
      </c>
      <c r="BS1257" s="57" t="n">
        <f aca="false">IF(BR1257="LOSE",1,IF(N(V1257)&gt;0,V1257,IF(BU1257=1,MAX(1,N(VLOOKUP(T1257,Parameter!$I$27:$K$29,3,0)),H1257,N(N1257)),IF(N(Q1257)&gt;0,Q1257,MAX(1,H1257)))))</f>
        <v>20</v>
      </c>
      <c r="BT1257" s="60" t="n">
        <f aca="false">IF(BR1257="LOSE",1,0)</f>
        <v>0</v>
      </c>
      <c r="BU1257" s="60" t="n">
        <f aca="false">IF(AND(U1257="",OR(P1257="",P1257="LOSE"),T1257&lt;&gt;"",N(S1257)&lt;=0,ISNUMBER(MATCH(T1257,Parameter!$I$27:$I$29,0))),1,0)</f>
        <v>1</v>
      </c>
      <c r="BV1257" s="55" t="str">
        <f aca="false">IF(AND(Parameter!$B$19="Ja",E1257&lt;&gt;"",ISNUMBER(MATCH(E1257,Parameter!$I$35:$I$52,0))),VLOOKUP(E1257,Parameter!$I$35:$J$52,2,0),IFERROR(VLOOKUP(D1257,Parameter!$A$35:$C$64,2,0),"Nein"))</f>
        <v>2+3</v>
      </c>
      <c r="BW1257" s="59" t="n">
        <f aca="false">IF(BT1257=0,0,IF(N(S1257)&gt;0,S1257,IFERROR(VLOOKUP(D1257,Parameter!$A$35:$C$64,3,0)+0,0)))</f>
        <v>0</v>
      </c>
      <c r="BX1257" s="55" t="n">
        <f aca="false">IF(AA1257&lt;&gt;"",AA1257,Z1257)</f>
        <v>3</v>
      </c>
      <c r="BY1257" s="55" t="str">
        <f aca="false">IF(BX1257=1,"L1",IF(OR(BX1257=2,BX1257=3),"L23",IF(BX1257="Aussen","Aussen","-")))</f>
        <v>L23</v>
      </c>
      <c r="BZ1257" s="66" t="n">
        <f aca="false">IF(N(AB1257)&gt;0,AB1257,0)</f>
        <v>0</v>
      </c>
      <c r="CA1257" s="60" t="n">
        <f aca="false">IF(ISNUMBER(AE1257),1,0)</f>
        <v>0</v>
      </c>
      <c r="CB1257" s="57" t="n">
        <f aca="false">N(AE1257)</f>
        <v>0</v>
      </c>
      <c r="CC1257" s="57" t="n">
        <f aca="false">N(M1257)+N(N1257)</f>
        <v>5</v>
      </c>
      <c r="CD1257" s="57" t="n">
        <f aca="false">ROUNDUP(H1257/BS1257,0)</f>
        <v>1</v>
      </c>
      <c r="CE1257" s="57" t="n">
        <f aca="false">ROUNDUP(CB1257/BS1257,0)</f>
        <v>0</v>
      </c>
      <c r="CF1257" s="60" t="n">
        <f aca="false">IF(BT1257=1,0,IFERROR(VLOOKUP(BR1257,'Gebinde-Kategorie'!$A$5:$M$45,5,0)+0,0))</f>
        <v>11</v>
      </c>
      <c r="CG1257" s="60" t="n">
        <f aca="false">IFERROR(IF(OR(BX1257=1,BX1257=2,BX1257=3),N(INDEX(Parameter!$I$5:$I$7,BX1257)),0),0)</f>
        <v>0</v>
      </c>
      <c r="CH1257" s="59" t="n">
        <f aca="false">IF(AND(Parameter!$B$21="Ja",ISNUMBER(W1257),N(X1257)&gt;0),IFERROR(N(INDEX(Parameter!$L$5:$L$7,W1257))*INDEX(Parameter!$E$5:$E$7,W1257)*X1257/SUMIFS($X$7:$X$1843,$W$7:$W$1843,W1257),0),0)</f>
        <v>0</v>
      </c>
    </row>
    <row r="1258" customFormat="false" ht="15" hidden="false" customHeight="false" outlineLevel="0" collapsed="false">
      <c r="A1258" s="55" t="s">
        <v>2246</v>
      </c>
      <c r="B1258" s="55" t="s">
        <v>1009</v>
      </c>
      <c r="C1258" s="55" t="s">
        <v>164</v>
      </c>
      <c r="D1258" s="55" t="s">
        <v>173</v>
      </c>
      <c r="E1258" s="55"/>
      <c r="F1258" s="55" t="s">
        <v>218</v>
      </c>
      <c r="G1258" s="56" t="n">
        <v>5.45</v>
      </c>
      <c r="H1258" s="57" t="n">
        <f aca="false">MAX(0,IF(AND(Parameter!$B$21="Ja",ISNUMBER(Y1258)),Y1258,IF(Parameter!$B$20="Jahresanfang 2025 + Export",BL1258+BK1258,BK1258)))</f>
        <v>50</v>
      </c>
      <c r="I1258" s="57" t="n">
        <f aca="false">H1258*G1258</f>
        <v>272.5</v>
      </c>
      <c r="J1258" s="57" t="n">
        <f aca="false">BN1258*Parameter!$B$18</f>
        <v>185</v>
      </c>
      <c r="K1258" s="58" t="n">
        <v>118.5</v>
      </c>
      <c r="L1258" s="59" t="n">
        <v>1.56118143459916</v>
      </c>
      <c r="M1258" s="57" t="n">
        <v>32</v>
      </c>
      <c r="N1258" s="57" t="n">
        <v>185</v>
      </c>
      <c r="O1258" s="60" t="n">
        <v>63</v>
      </c>
      <c r="P1258" s="55" t="s">
        <v>168</v>
      </c>
      <c r="Q1258" s="57"/>
      <c r="R1258" s="60" t="n">
        <f aca="false">IF(BT1258=1,0,IFERROR(VLOOKUP(BR1258,'Gebinde-Kategorie'!$A$5:$M$45,13,0)+0,0))</f>
        <v>26</v>
      </c>
      <c r="S1258" s="61"/>
      <c r="T1258" s="62" t="s">
        <v>275</v>
      </c>
      <c r="U1258" s="62"/>
      <c r="V1258" s="62"/>
      <c r="W1258" s="55"/>
      <c r="X1258" s="57"/>
      <c r="Y1258" s="57"/>
      <c r="Z1258" s="55" t="n">
        <f aca="false">IF(A1258="","",IF(AND(Parameter!$B$21="Ja",ISNUMBER(W1258)),W1258,IF(BV1258="2+3",IF(ISNUMBER(SEARCH("grosser Artikel",BO1258)),2,IFERROR(VLOOKUP(BR1258,Parameter!$F$35:$G$64,2,0),2)),IF(OR(BV1258="Nein",BV1258=""),"-",BV1258))))</f>
        <v>3</v>
      </c>
      <c r="AA1258" s="62"/>
      <c r="AB1258" s="63"/>
      <c r="AC1258" s="57" t="n">
        <f aca="false">AR1258</f>
        <v>370</v>
      </c>
      <c r="AD1258" s="57" t="n">
        <f aca="false">MAX(AR1258,H1258)</f>
        <v>370</v>
      </c>
      <c r="AE1258" s="64"/>
      <c r="AF1258" s="57" t="n">
        <f aca="false">IF(LEFT(Cockpit!$C$5,1)="A",H1258,IF(CA1258=1,CB1258,IF(LEFT(Cockpit!$C$5,1)="B",AJ1258,MAX(AJ1258,H1258))))</f>
        <v>50</v>
      </c>
      <c r="AG1258" s="57" t="n">
        <f aca="false">IF(BT1258=1,0,ROUNDUP(AF1258/BS1258,0))</f>
        <v>1</v>
      </c>
      <c r="AH1258" s="59" t="n">
        <f aca="false">IF(CH1258&gt;0,CH1258*MAX(1,AF1258/X1258),IF(BT1258=1,IF(AF1258&lt;=0,0,BW1258*MAX(1,IF(H1258&gt;0,AF1258/H1258,1))),IF(R1258&gt;0,AG1258/R1258,0))/MAX(0.1,N(Parameter!$M$21)))</f>
        <v>0.0384615384615385</v>
      </c>
      <c r="AI1258" s="57" t="n">
        <f aca="false">AF1258*G1258</f>
        <v>272.5</v>
      </c>
      <c r="AJ1258" s="57" t="n">
        <f aca="false">ROUNDUP(MAX(J1258/IF(BZ1258&gt;0,BZ1258,MAX(0.1,N(Cockpit!$C$6))),CC1258)/BS1258,0)*BS1258</f>
        <v>370</v>
      </c>
      <c r="AK1258" s="58" t="n">
        <f aca="false">IF(AH1258&gt;0,J1258/AH1258,-1)</f>
        <v>4810</v>
      </c>
      <c r="AL1258" s="58" t="n">
        <f aca="false">IF(AND(OR(BY1258="L1",BY1258="L23"),AH1258&gt;0),SUMIFS($AH$7:$AH$1843,$BY$7:$BY$1843,BY1258,$AK$7:$AK$1843,"&gt;"&amp;AK1258)+SUMIFS($AH$7:$AH$1843,$BY$7:$BY$1843,BY1258,$AK$7:$AK$1843,AK1258,$BQ$7:$BQ$1843,"&lt;="&amp;BQ1258),"")</f>
        <v>7.56495557582514</v>
      </c>
      <c r="AM1258" s="65" t="n">
        <f aca="false">IF(AL1258="",0,MAX(0,MIN(1,(IF(BY1258="L1",Parameter!$E$5,Parameter!$E$6+Parameter!$E$7)-(AL1258-AH1258))/AH1258)))</f>
        <v>1</v>
      </c>
      <c r="AN1258" s="57" t="n">
        <f aca="false">IF(LEFT(Cockpit!$I$5,1)="A",H1258,IF(CA1258=1,CB1258,IF(LEFT(Cockpit!$I$5,1)="B",AR1258,MAX(AR1258,H1258))))</f>
        <v>370</v>
      </c>
      <c r="AO1258" s="57" t="n">
        <f aca="false">IF(BT1258=1,0,ROUNDUP(AN1258/BS1258,0))</f>
        <v>2</v>
      </c>
      <c r="AP1258" s="59" t="n">
        <f aca="false">IF(CH1258&gt;0,CH1258*MAX(1,AN1258/X1258),IF(BT1258=1,IF(AN1258&lt;=0,0,BW1258*MAX(1,IF(H1258&gt;0,AN1258/H1258,1))),IF(R1258&gt;0,AO1258/R1258,0))/MAX(0.1,N(Parameter!$M$21)))</f>
        <v>0.0769230769230769</v>
      </c>
      <c r="AQ1258" s="57" t="n">
        <f aca="false">AN1258*G1258</f>
        <v>2016.5</v>
      </c>
      <c r="AR1258" s="57" t="n">
        <f aca="false">ROUNDUP(MAX(J1258/IF(BZ1258&gt;0,BZ1258,MAX(0.1,N(Cockpit!$I$6))),CC1258)/BS1258,0)*BS1258</f>
        <v>370</v>
      </c>
      <c r="AS1258" s="58" t="n">
        <f aca="false">IF(AP1258&gt;0,J1258/AP1258,-1)</f>
        <v>2405</v>
      </c>
      <c r="AT1258" s="58" t="n">
        <f aca="false">IF(AND(OR(BY1258="L1",BY1258="L23"),AP1258&gt;0),SUMIFS($AP$7:$AP$1843,$BY$7:$BY$1843,BY1258,$AS$7:$AS$1843,"&gt;"&amp;AS1258)+SUMIFS($AP$7:$AP$1843,$BY$7:$BY$1843,BY1258,$AS$7:$AS$1843,AS1258,$BQ$7:$BQ$1843,"&lt;="&amp;BQ1258),"")</f>
        <v>17.199537177798</v>
      </c>
      <c r="AU1258" s="65" t="n">
        <f aca="false">IF(AT1258="",0,MAX(0,MIN(1,(IF(BY1258="L1",Parameter!$E$5,Parameter!$E$6+Parameter!$E$7)-(AT1258-AP1258))/AP1258)))</f>
        <v>1</v>
      </c>
      <c r="AV1258" s="57" t="n">
        <f aca="false">IF(LEFT(Cockpit!$O$5,1)="A",H1258,IF(CA1258=1,CB1258,IF(LEFT(Cockpit!$O$5,1)="B",AZ1258,MAX(AZ1258,H1258))))</f>
        <v>370</v>
      </c>
      <c r="AW1258" s="57" t="n">
        <f aca="false">IF(BT1258=1,0,ROUNDUP(AV1258/BS1258,0))</f>
        <v>2</v>
      </c>
      <c r="AX1258" s="59" t="n">
        <f aca="false">IF(CH1258&gt;0,CH1258*MAX(1,AV1258/X1258),IF(BT1258=1,IF(AV1258&lt;=0,0,BW1258*MAX(1,IF(H1258&gt;0,AV1258/H1258,1))),IF(R1258&gt;0,AW1258/R1258,0))/MAX(0.1,N(Parameter!$M$21)))</f>
        <v>0.0769230769230769</v>
      </c>
      <c r="AY1258" s="57" t="n">
        <f aca="false">AV1258*G1258</f>
        <v>2016.5</v>
      </c>
      <c r="AZ1258" s="57" t="n">
        <f aca="false">ROUNDUP(MAX(J1258/IF(BZ1258&gt;0,BZ1258,MAX(0.1,N(Cockpit!$O$6))),CC1258)/BS1258,0)*BS1258</f>
        <v>370</v>
      </c>
      <c r="BA1258" s="58" t="n">
        <f aca="false">IF(AX1258&gt;0,J1258/AX1258,-1)</f>
        <v>2405</v>
      </c>
      <c r="BB1258" s="58" t="n">
        <f aca="false">IF(AND(OR(BY1258="L1",BY1258="L23"),AX1258&gt;0),SUMIFS($AX$7:$AX$1843,$BY$7:$BY$1843,BY1258,$BA$7:$BA$1843,"&gt;"&amp;BA1258)+SUMIFS($AX$7:$AX$1843,$BY$7:$BY$1843,BY1258,$BA$7:$BA$1843,BA1258,$BQ$7:$BQ$1843,"&lt;="&amp;BQ1258),"")</f>
        <v>15.7729637512246</v>
      </c>
      <c r="BC1258" s="65" t="n">
        <f aca="false">IF(BB1258="",0,MAX(0,MIN(1,(IF(BY1258="L1",Parameter!$E$5,Parameter!$E$6+Parameter!$E$7)-(BB1258-AX1258))/AX1258)))</f>
        <v>1</v>
      </c>
      <c r="BD1258" s="55" t="str">
        <f aca="false">IF(AH1258&lt;=0,"",IF(BY1258="Aussen","Aussenlager",IF(BY1258="-","Nicht im Lift",IF(AM1258&gt;=1,"Lift",IF(AM1258&lt;=0,"Aussenlager","teilweise")))))</f>
        <v>Lift</v>
      </c>
      <c r="BE1258" s="55" t="str">
        <f aca="false">IF(AP1258&lt;=0,"",IF(BY1258="Aussen","Aussenlager",IF(BY1258="-","Nicht im Lift",IF(AU1258&gt;=1,"Lift",IF(AU1258&lt;=0,"Aussenlager","teilweise")))))</f>
        <v>Lift</v>
      </c>
      <c r="BF1258" s="55" t="str">
        <f aca="false">IF(AX1258&lt;=0,"",IF(BY1258="Aussen","Aussenlager",IF(BY1258="-","Nicht im Lift",IF(BC1258&gt;=1,"Lift",IF(BC1258&lt;=0,"Aussenlager","teilweise")))))</f>
        <v>Lift</v>
      </c>
      <c r="BG1258" s="55" t="str">
        <f aca="false">IF(A1258="","",IF(BP1258=1,"Neu; ","")&amp;IF(AND(BP1258=0,BK1258&lt;0),"negativer Bestand (Export "&amp;BK1258&amp;"); ","")&amp;IF(J1258&lt;=0,"Kein Verbrauch; ","")&amp;IF(CH1258&gt;0,"Lift "&amp;W1258&amp;" lt. Liftbericht (Fach "&amp;X1258&amp;" Stk); ",IF(BU1258=1,"Gebinde geschätzt ("&amp;T1258&amp;"); ",IF(BT1258=1,"Lose – Tablare geschätzt; ","")))&amp;IF(H1258&gt;AR1258,"Überbestand "&amp;ROUND(H1258-AR1258,0)&amp;" Stk / CHF "&amp;ROUND((H1258-AR1258)*G1258,0)&amp;"; ","")&amp;IF(AND(CA1258=1,CB1258&lt;CC1258),"MAX &lt; MB+LG; ","")&amp;IF(AND(CG1258&gt;0,CF1258*10&gt;CG1258),"zu hoch für Tablar; ","")&amp;IF(AND(BP1258=0,OR(CA1258=1,AA1258&lt;&gt;"",U1258&lt;&gt;"",V1258&lt;&gt;"",AB1258&lt;&gt;"")),"manuell übersteuert; ","")&amp;IF(AND(BT1258=0,R1258=0),"Gebinde unbekannt / Stellmass fehlt; ","")&amp;IF(AND(BT1258=0,N(V1258)&lt;=0,N(Q1258)&lt;=0),"Menge pro Gebinde fehlt (Ist = 1 Gebinde); ","")&amp;BO1258)</f>
        <v>negativer Bestand (Export -147); Gebinde geschätzt (Klein); Menge pro Gebinde fehlt (Ist = 1 Gebinde); </v>
      </c>
      <c r="BH1258" s="55"/>
      <c r="BI1258" s="55"/>
      <c r="BJ1258" s="62"/>
      <c r="BK1258" s="57" t="n">
        <v>-147</v>
      </c>
      <c r="BL1258" s="57" t="n">
        <v>197</v>
      </c>
      <c r="BM1258" s="56" t="n">
        <v>-793.27</v>
      </c>
      <c r="BN1258" s="57" t="n">
        <v>185</v>
      </c>
      <c r="BO1258" s="55"/>
      <c r="BP1258" s="60" t="n">
        <v>0</v>
      </c>
      <c r="BQ1258" s="60" t="n">
        <v>1258</v>
      </c>
      <c r="BR1258" s="55" t="str">
        <f aca="false">IF(U1258&lt;&gt;"",UPPER(TRIM(U1258)),IF(BU1258=1,UPPER(VLOOKUP(T1258,Parameter!$I$27:$K$29,2,0)),IF(P1258="","LOSE",P1258)))</f>
        <v>S51</v>
      </c>
      <c r="BS1258" s="57" t="n">
        <f aca="false">IF(BR1258="LOSE",1,IF(N(V1258)&gt;0,V1258,IF(BU1258=1,MAX(1,N(VLOOKUP(T1258,Parameter!$I$27:$K$29,3,0)),H1258,N(N1258)),IF(N(Q1258)&gt;0,Q1258,MAX(1,H1258)))))</f>
        <v>185</v>
      </c>
      <c r="BT1258" s="60" t="n">
        <f aca="false">IF(BR1258="LOSE",1,0)</f>
        <v>0</v>
      </c>
      <c r="BU1258" s="60" t="n">
        <f aca="false">IF(AND(U1258="",OR(P1258="",P1258="LOSE"),T1258&lt;&gt;"",N(S1258)&lt;=0,ISNUMBER(MATCH(T1258,Parameter!$I$27:$I$29,0))),1,0)</f>
        <v>1</v>
      </c>
      <c r="BV1258" s="55" t="str">
        <f aca="false">IF(AND(Parameter!$B$19="Ja",E1258&lt;&gt;"",ISNUMBER(MATCH(E1258,Parameter!$I$35:$I$52,0))),VLOOKUP(E1258,Parameter!$I$35:$J$52,2,0),IFERROR(VLOOKUP(D1258,Parameter!$A$35:$C$64,2,0),"Nein"))</f>
        <v>2+3</v>
      </c>
      <c r="BW1258" s="59" t="n">
        <f aca="false">IF(BT1258=0,0,IF(N(S1258)&gt;0,S1258,IFERROR(VLOOKUP(D1258,Parameter!$A$35:$C$64,3,0)+0,0)))</f>
        <v>0</v>
      </c>
      <c r="BX1258" s="55" t="n">
        <f aca="false">IF(AA1258&lt;&gt;"",AA1258,Z1258)</f>
        <v>3</v>
      </c>
      <c r="BY1258" s="55" t="str">
        <f aca="false">IF(BX1258=1,"L1",IF(OR(BX1258=2,BX1258=3),"L23",IF(BX1258="Aussen","Aussen","-")))</f>
        <v>L23</v>
      </c>
      <c r="BZ1258" s="66" t="n">
        <f aca="false">IF(N(AB1258)&gt;0,AB1258,0)</f>
        <v>0</v>
      </c>
      <c r="CA1258" s="60" t="n">
        <f aca="false">IF(ISNUMBER(AE1258),1,0)</f>
        <v>0</v>
      </c>
      <c r="CB1258" s="57" t="n">
        <f aca="false">N(AE1258)</f>
        <v>0</v>
      </c>
      <c r="CC1258" s="57" t="n">
        <f aca="false">N(M1258)+N(N1258)</f>
        <v>217</v>
      </c>
      <c r="CD1258" s="57" t="n">
        <f aca="false">ROUNDUP(H1258/BS1258,0)</f>
        <v>1</v>
      </c>
      <c r="CE1258" s="57" t="n">
        <f aca="false">ROUNDUP(CB1258/BS1258,0)</f>
        <v>0</v>
      </c>
      <c r="CF1258" s="60" t="n">
        <f aca="false">IF(BT1258=1,0,IFERROR(VLOOKUP(BR1258,'Gebinde-Kategorie'!$A$5:$M$45,5,0)+0,0))</f>
        <v>11</v>
      </c>
      <c r="CG1258" s="60" t="n">
        <f aca="false">IFERROR(IF(OR(BX1258=1,BX1258=2,BX1258=3),N(INDEX(Parameter!$I$5:$I$7,BX1258)),0),0)</f>
        <v>0</v>
      </c>
      <c r="CH1258" s="59" t="n">
        <f aca="false">IF(AND(Parameter!$B$21="Ja",ISNUMBER(W1258),N(X1258)&gt;0),IFERROR(N(INDEX(Parameter!$L$5:$L$7,W1258))*INDEX(Parameter!$E$5:$E$7,W1258)*X1258/SUMIFS($X$7:$X$1843,$W$7:$W$1843,W1258),0),0)</f>
        <v>0</v>
      </c>
    </row>
    <row r="1259" customFormat="false" ht="15" hidden="false" customHeight="false" outlineLevel="0" collapsed="false">
      <c r="A1259" s="55" t="s">
        <v>2247</v>
      </c>
      <c r="B1259" s="55" t="s">
        <v>163</v>
      </c>
      <c r="C1259" s="55" t="s">
        <v>456</v>
      </c>
      <c r="D1259" s="55" t="s">
        <v>353</v>
      </c>
      <c r="E1259" s="55" t="s">
        <v>2248</v>
      </c>
      <c r="F1259" s="55" t="s">
        <v>218</v>
      </c>
      <c r="G1259" s="56" t="n">
        <v>401.72</v>
      </c>
      <c r="H1259" s="57" t="n">
        <f aca="false">MAX(0,IF(AND(Parameter!$B$21="Ja",ISNUMBER(Y1259)),Y1259,IF(Parameter!$B$20="Jahresanfang 2025 + Export",BL1259+BK1259,BK1259)))</f>
        <v>0</v>
      </c>
      <c r="I1259" s="57" t="n">
        <f aca="false">H1259*G1259</f>
        <v>0</v>
      </c>
      <c r="J1259" s="57" t="n">
        <f aca="false">BN1259*Parameter!$B$18</f>
        <v>0</v>
      </c>
      <c r="K1259" s="58" t="n">
        <v>1</v>
      </c>
      <c r="L1259" s="59" t="n">
        <v>0</v>
      </c>
      <c r="M1259" s="57" t="n">
        <v>0</v>
      </c>
      <c r="N1259" s="57" t="n">
        <v>0</v>
      </c>
      <c r="O1259" s="60" t="n">
        <v>35</v>
      </c>
      <c r="P1259" s="55" t="s">
        <v>168</v>
      </c>
      <c r="Q1259" s="57"/>
      <c r="R1259" s="60" t="n">
        <f aca="false">IF(BT1259=1,0,IFERROR(VLOOKUP(BR1259,'Gebinde-Kategorie'!$A$5:$M$45,13,0)+0,0))</f>
        <v>0</v>
      </c>
      <c r="S1259" s="61"/>
      <c r="T1259" s="62"/>
      <c r="U1259" s="62"/>
      <c r="V1259" s="62"/>
      <c r="W1259" s="55"/>
      <c r="X1259" s="57"/>
      <c r="Y1259" s="57"/>
      <c r="Z1259" s="55" t="str">
        <f aca="false">IF(A1259="","",IF(AND(Parameter!$B$21="Ja",ISNUMBER(W1259)),W1259,IF(BV1259="2+3",IF(ISNUMBER(SEARCH("grosser Artikel",BO1259)),2,IFERROR(VLOOKUP(BR1259,Parameter!$F$35:$G$64,2,0),2)),IF(OR(BV1259="Nein",BV1259=""),"-",BV1259))))</f>
        <v>-</v>
      </c>
      <c r="AA1259" s="62"/>
      <c r="AB1259" s="63"/>
      <c r="AC1259" s="57" t="n">
        <f aca="false">AR1259</f>
        <v>0</v>
      </c>
      <c r="AD1259" s="57" t="n">
        <f aca="false">MAX(AR1259,H1259)</f>
        <v>0</v>
      </c>
      <c r="AE1259" s="64"/>
      <c r="AF1259" s="57" t="n">
        <f aca="false">IF(LEFT(Cockpit!$C$5,1)="A",H1259,IF(CA1259=1,CB1259,IF(LEFT(Cockpit!$C$5,1)="B",AJ1259,MAX(AJ1259,H1259))))</f>
        <v>0</v>
      </c>
      <c r="AG1259" s="57" t="n">
        <f aca="false">IF(BT1259=1,0,ROUNDUP(AF1259/BS1259,0))</f>
        <v>0</v>
      </c>
      <c r="AH1259" s="59" t="n">
        <f aca="false">IF(CH1259&gt;0,CH1259*MAX(1,AF1259/X1259),IF(BT1259=1,IF(AF1259&lt;=0,0,BW1259*MAX(1,IF(H1259&gt;0,AF1259/H1259,1))),IF(R1259&gt;0,AG1259/R1259,0))/MAX(0.1,N(Parameter!$M$21)))</f>
        <v>0</v>
      </c>
      <c r="AI1259" s="57" t="n">
        <f aca="false">AF1259*G1259</f>
        <v>0</v>
      </c>
      <c r="AJ1259" s="57" t="n">
        <f aca="false">ROUNDUP(MAX(J1259/IF(BZ1259&gt;0,BZ1259,MAX(0.1,N(Cockpit!$C$6))),CC1259)/BS1259,0)*BS1259</f>
        <v>0</v>
      </c>
      <c r="AK1259" s="58" t="n">
        <f aca="false">IF(AH1259&gt;0,J1259/AH1259,-1)</f>
        <v>-1</v>
      </c>
      <c r="AL1259" s="58" t="str">
        <f aca="false">IF(AND(OR(BY1259="L1",BY1259="L23"),AH1259&gt;0),SUMIFS($AH$7:$AH$1843,$BY$7:$BY$1843,BY1259,$AK$7:$AK$1843,"&gt;"&amp;AK1259)+SUMIFS($AH$7:$AH$1843,$BY$7:$BY$1843,BY1259,$AK$7:$AK$1843,AK1259,$BQ$7:$BQ$1843,"&lt;="&amp;BQ1259),"")</f>
        <v/>
      </c>
      <c r="AM1259" s="65" t="n">
        <f aca="false">IF(AL1259="",0,MAX(0,MIN(1,(IF(BY1259="L1",Parameter!$E$5,Parameter!$E$6+Parameter!$E$7)-(AL1259-AH1259))/AH1259)))</f>
        <v>0</v>
      </c>
      <c r="AN1259" s="57" t="n">
        <f aca="false">IF(LEFT(Cockpit!$I$5,1)="A",H1259,IF(CA1259=1,CB1259,IF(LEFT(Cockpit!$I$5,1)="B",AR1259,MAX(AR1259,H1259))))</f>
        <v>0</v>
      </c>
      <c r="AO1259" s="57" t="n">
        <f aca="false">IF(BT1259=1,0,ROUNDUP(AN1259/BS1259,0))</f>
        <v>0</v>
      </c>
      <c r="AP1259" s="59" t="n">
        <f aca="false">IF(CH1259&gt;0,CH1259*MAX(1,AN1259/X1259),IF(BT1259=1,IF(AN1259&lt;=0,0,BW1259*MAX(1,IF(H1259&gt;0,AN1259/H1259,1))),IF(R1259&gt;0,AO1259/R1259,0))/MAX(0.1,N(Parameter!$M$21)))</f>
        <v>0</v>
      </c>
      <c r="AQ1259" s="57" t="n">
        <f aca="false">AN1259*G1259</f>
        <v>0</v>
      </c>
      <c r="AR1259" s="57" t="n">
        <f aca="false">ROUNDUP(MAX(J1259/IF(BZ1259&gt;0,BZ1259,MAX(0.1,N(Cockpit!$I$6))),CC1259)/BS1259,0)*BS1259</f>
        <v>0</v>
      </c>
      <c r="AS1259" s="58" t="n">
        <f aca="false">IF(AP1259&gt;0,J1259/AP1259,-1)</f>
        <v>-1</v>
      </c>
      <c r="AT1259" s="58" t="str">
        <f aca="false">IF(AND(OR(BY1259="L1",BY1259="L23"),AP1259&gt;0),SUMIFS($AP$7:$AP$1843,$BY$7:$BY$1843,BY1259,$AS$7:$AS$1843,"&gt;"&amp;AS1259)+SUMIFS($AP$7:$AP$1843,$BY$7:$BY$1843,BY1259,$AS$7:$AS$1843,AS1259,$BQ$7:$BQ$1843,"&lt;="&amp;BQ1259),"")</f>
        <v/>
      </c>
      <c r="AU1259" s="65" t="n">
        <f aca="false">IF(AT1259="",0,MAX(0,MIN(1,(IF(BY1259="L1",Parameter!$E$5,Parameter!$E$6+Parameter!$E$7)-(AT1259-AP1259))/AP1259)))</f>
        <v>0</v>
      </c>
      <c r="AV1259" s="57" t="n">
        <f aca="false">IF(LEFT(Cockpit!$O$5,1)="A",H1259,IF(CA1259=1,CB1259,IF(LEFT(Cockpit!$O$5,1)="B",AZ1259,MAX(AZ1259,H1259))))</f>
        <v>0</v>
      </c>
      <c r="AW1259" s="57" t="n">
        <f aca="false">IF(BT1259=1,0,ROUNDUP(AV1259/BS1259,0))</f>
        <v>0</v>
      </c>
      <c r="AX1259" s="59" t="n">
        <f aca="false">IF(CH1259&gt;0,CH1259*MAX(1,AV1259/X1259),IF(BT1259=1,IF(AV1259&lt;=0,0,BW1259*MAX(1,IF(H1259&gt;0,AV1259/H1259,1))),IF(R1259&gt;0,AW1259/R1259,0))/MAX(0.1,N(Parameter!$M$21)))</f>
        <v>0</v>
      </c>
      <c r="AY1259" s="57" t="n">
        <f aca="false">AV1259*G1259</f>
        <v>0</v>
      </c>
      <c r="AZ1259" s="57" t="n">
        <f aca="false">ROUNDUP(MAX(J1259/IF(BZ1259&gt;0,BZ1259,MAX(0.1,N(Cockpit!$O$6))),CC1259)/BS1259,0)*BS1259</f>
        <v>0</v>
      </c>
      <c r="BA1259" s="58" t="n">
        <f aca="false">IF(AX1259&gt;0,J1259/AX1259,-1)</f>
        <v>-1</v>
      </c>
      <c r="BB1259" s="58" t="str">
        <f aca="false">IF(AND(OR(BY1259="L1",BY1259="L23"),AX1259&gt;0),SUMIFS($AX$7:$AX$1843,$BY$7:$BY$1843,BY1259,$BA$7:$BA$1843,"&gt;"&amp;BA1259)+SUMIFS($AX$7:$AX$1843,$BY$7:$BY$1843,BY1259,$BA$7:$BA$1843,BA1259,$BQ$7:$BQ$1843,"&lt;="&amp;BQ1259),"")</f>
        <v/>
      </c>
      <c r="BC1259" s="65" t="n">
        <f aca="false">IF(BB1259="",0,MAX(0,MIN(1,(IF(BY1259="L1",Parameter!$E$5,Parameter!$E$6+Parameter!$E$7)-(BB1259-AX1259))/AX1259)))</f>
        <v>0</v>
      </c>
      <c r="BD1259" s="55" t="str">
        <f aca="false">IF(AH1259&lt;=0,"",IF(BY1259="Aussen","Aussenlager",IF(BY1259="-","Nicht im Lift",IF(AM1259&gt;=1,"Lift",IF(AM1259&lt;=0,"Aussenlager","teilweise")))))</f>
        <v/>
      </c>
      <c r="BE1259" s="55" t="str">
        <f aca="false">IF(AP1259&lt;=0,"",IF(BY1259="Aussen","Aussenlager",IF(BY1259="-","Nicht im Lift",IF(AU1259&gt;=1,"Lift",IF(AU1259&lt;=0,"Aussenlager","teilweise")))))</f>
        <v/>
      </c>
      <c r="BF1259" s="55" t="str">
        <f aca="false">IF(AX1259&lt;=0,"",IF(BY1259="Aussen","Aussenlager",IF(BY1259="-","Nicht im Lift",IF(BC1259&gt;=1,"Lift",IF(BC1259&lt;=0,"Aussenlager","teilweise")))))</f>
        <v/>
      </c>
      <c r="BG1259" s="55" t="str">
        <f aca="false">IF(A1259="","",IF(BP1259=1,"Neu; ","")&amp;IF(AND(BP1259=0,BK1259&lt;0),"negativer Bestand (Export "&amp;BK1259&amp;"); ","")&amp;IF(J1259&lt;=0,"Kein Verbrauch; ","")&amp;IF(CH1259&gt;0,"Lift "&amp;W1259&amp;" lt. Liftbericht (Fach "&amp;X1259&amp;" Stk); ",IF(BU1259=1,"Gebinde geschätzt ("&amp;T1259&amp;"); ",IF(BT1259=1,"Lose – Tablare geschätzt; ","")))&amp;IF(H1259&gt;AR1259,"Überbestand "&amp;ROUND(H1259-AR1259,0)&amp;" Stk / CHF "&amp;ROUND((H1259-AR1259)*G1259,0)&amp;"; ","")&amp;IF(AND(CA1259=1,CB1259&lt;CC1259),"MAX &lt; MB+LG; ","")&amp;IF(AND(CG1259&gt;0,CF1259*10&gt;CG1259),"zu hoch für Tablar; ","")&amp;IF(AND(BP1259=0,OR(CA1259=1,AA1259&lt;&gt;"",U1259&lt;&gt;"",V1259&lt;&gt;"",AB1259&lt;&gt;"")),"manuell übersteuert; ","")&amp;IF(AND(BT1259=0,R1259=0),"Gebinde unbekannt / Stellmass fehlt; ","")&amp;IF(AND(BT1259=0,N(V1259)&lt;=0,N(Q1259)&lt;=0),"Menge pro Gebinde fehlt (Ist = 1 Gebinde); ","")&amp;BO1259)</f>
        <v>negativer Bestand (Export -2); Kein Verbrauch; Lose – Tablare geschätzt; </v>
      </c>
      <c r="BH1259" s="55"/>
      <c r="BI1259" s="55"/>
      <c r="BJ1259" s="62"/>
      <c r="BK1259" s="57" t="n">
        <v>-2</v>
      </c>
      <c r="BL1259" s="57" t="n">
        <v>2</v>
      </c>
      <c r="BM1259" s="56" t="n">
        <v>-803.44</v>
      </c>
      <c r="BN1259" s="57" t="n">
        <v>0</v>
      </c>
      <c r="BO1259" s="55"/>
      <c r="BP1259" s="60" t="n">
        <v>0</v>
      </c>
      <c r="BQ1259" s="60" t="n">
        <v>1259</v>
      </c>
      <c r="BR1259" s="55" t="str">
        <f aca="false">IF(U1259&lt;&gt;"",UPPER(TRIM(U1259)),IF(BU1259=1,UPPER(VLOOKUP(T1259,Parameter!$I$27:$K$29,2,0)),IF(P1259="","LOSE",P1259)))</f>
        <v>LOSE</v>
      </c>
      <c r="BS1259" s="57" t="n">
        <f aca="false">IF(BR1259="LOSE",1,IF(N(V1259)&gt;0,V1259,IF(BU1259=1,MAX(1,N(VLOOKUP(T1259,Parameter!$I$27:$K$29,3,0)),H1259,N(N1259)),IF(N(Q1259)&gt;0,Q1259,MAX(1,H1259)))))</f>
        <v>1</v>
      </c>
      <c r="BT1259" s="60" t="n">
        <f aca="false">IF(BR1259="LOSE",1,0)</f>
        <v>1</v>
      </c>
      <c r="BU1259" s="60" t="n">
        <f aca="false">IF(AND(U1259="",OR(P1259="",P1259="LOSE"),T1259&lt;&gt;"",N(S1259)&lt;=0,ISNUMBER(MATCH(T1259,Parameter!$I$27:$I$29,0))),1,0)</f>
        <v>0</v>
      </c>
      <c r="BV1259" s="55" t="str">
        <f aca="false">IF(AND(Parameter!$B$19="Ja",E1259&lt;&gt;"",ISNUMBER(MATCH(E1259,Parameter!$I$35:$I$52,0))),VLOOKUP(E1259,Parameter!$I$35:$J$52,2,0),IFERROR(VLOOKUP(D1259,Parameter!$A$35:$C$64,2,0),"Nein"))</f>
        <v>Nein</v>
      </c>
      <c r="BW1259" s="59" t="n">
        <f aca="false">IF(BT1259=0,0,IF(N(S1259)&gt;0,S1259,IFERROR(VLOOKUP(D1259,Parameter!$A$35:$C$64,3,0)+0,0)))</f>
        <v>0.15</v>
      </c>
      <c r="BX1259" s="55" t="str">
        <f aca="false">IF(AA1259&lt;&gt;"",AA1259,Z1259)</f>
        <v>-</v>
      </c>
      <c r="BY1259" s="55" t="str">
        <f aca="false">IF(BX1259=1,"L1",IF(OR(BX1259=2,BX1259=3),"L23",IF(BX1259="Aussen","Aussen","-")))</f>
        <v>-</v>
      </c>
      <c r="BZ1259" s="66" t="n">
        <f aca="false">IF(N(AB1259)&gt;0,AB1259,0)</f>
        <v>0</v>
      </c>
      <c r="CA1259" s="60" t="n">
        <f aca="false">IF(ISNUMBER(AE1259),1,0)</f>
        <v>0</v>
      </c>
      <c r="CB1259" s="57" t="n">
        <f aca="false">N(AE1259)</f>
        <v>0</v>
      </c>
      <c r="CC1259" s="57" t="n">
        <f aca="false">N(M1259)+N(N1259)</f>
        <v>0</v>
      </c>
      <c r="CD1259" s="57" t="n">
        <f aca="false">ROUNDUP(H1259/BS1259,0)</f>
        <v>0</v>
      </c>
      <c r="CE1259" s="57" t="n">
        <f aca="false">ROUNDUP(CB1259/BS1259,0)</f>
        <v>0</v>
      </c>
      <c r="CF1259" s="60" t="n">
        <f aca="false">IF(BT1259=1,0,IFERROR(VLOOKUP(BR1259,'Gebinde-Kategorie'!$A$5:$M$45,5,0)+0,0))</f>
        <v>0</v>
      </c>
      <c r="CG1259" s="60" t="n">
        <f aca="false">IFERROR(IF(OR(BX1259=1,BX1259=2,BX1259=3),N(INDEX(Parameter!$I$5:$I$7,BX1259)),0),0)</f>
        <v>0</v>
      </c>
      <c r="CH1259" s="59" t="n">
        <f aca="false">IF(AND(Parameter!$B$21="Ja",ISNUMBER(W1259),N(X1259)&gt;0),IFERROR(N(INDEX(Parameter!$L$5:$L$7,W1259))*INDEX(Parameter!$E$5:$E$7,W1259)*X1259/SUMIFS($X$7:$X$1843,$W$7:$W$1843,W1259),0),0)</f>
        <v>0</v>
      </c>
    </row>
    <row r="1260" customFormat="false" ht="15" hidden="false" customHeight="false" outlineLevel="0" collapsed="false">
      <c r="A1260" s="55" t="s">
        <v>2249</v>
      </c>
      <c r="B1260" s="55" t="s">
        <v>2250</v>
      </c>
      <c r="C1260" s="55" t="s">
        <v>164</v>
      </c>
      <c r="D1260" s="55" t="s">
        <v>173</v>
      </c>
      <c r="E1260" s="55" t="s">
        <v>370</v>
      </c>
      <c r="F1260" s="55" t="s">
        <v>218</v>
      </c>
      <c r="G1260" s="56" t="n">
        <v>176.38</v>
      </c>
      <c r="H1260" s="57" t="n">
        <f aca="false">MAX(0,IF(AND(Parameter!$B$21="Ja",ISNUMBER(Y1260)),Y1260,IF(Parameter!$B$20="Jahresanfang 2025 + Export",BL1260+BK1260,BK1260)))</f>
        <v>0</v>
      </c>
      <c r="I1260" s="57" t="n">
        <f aca="false">H1260*G1260</f>
        <v>0</v>
      </c>
      <c r="J1260" s="57" t="n">
        <f aca="false">BN1260*Parameter!$B$18</f>
        <v>2</v>
      </c>
      <c r="K1260" s="58" t="n">
        <v>4</v>
      </c>
      <c r="L1260" s="59" t="n">
        <v>0.5</v>
      </c>
      <c r="M1260" s="57" t="n">
        <v>0</v>
      </c>
      <c r="N1260" s="57" t="n">
        <v>1</v>
      </c>
      <c r="O1260" s="60" t="n">
        <v>14</v>
      </c>
      <c r="P1260" s="55" t="s">
        <v>168</v>
      </c>
      <c r="Q1260" s="57"/>
      <c r="R1260" s="60" t="n">
        <f aca="false">IF(BT1260=1,0,IFERROR(VLOOKUP(BR1260,'Gebinde-Kategorie'!$A$5:$M$45,13,0)+0,0))</f>
        <v>3</v>
      </c>
      <c r="S1260" s="61"/>
      <c r="T1260" s="62" t="s">
        <v>189</v>
      </c>
      <c r="U1260" s="62"/>
      <c r="V1260" s="62"/>
      <c r="W1260" s="55"/>
      <c r="X1260" s="57"/>
      <c r="Y1260" s="57"/>
      <c r="Z1260" s="55" t="str">
        <f aca="false">IF(A1260="","",IF(AND(Parameter!$B$21="Ja",ISNUMBER(W1260)),W1260,IF(BV1260="2+3",IF(ISNUMBER(SEARCH("grosser Artikel",BO1260)),2,IFERROR(VLOOKUP(BR1260,Parameter!$F$35:$G$64,2,0),2)),IF(OR(BV1260="Nein",BV1260=""),"-",BV1260))))</f>
        <v>-</v>
      </c>
      <c r="AA1260" s="62"/>
      <c r="AB1260" s="63"/>
      <c r="AC1260" s="57" t="n">
        <f aca="false">AR1260</f>
        <v>2</v>
      </c>
      <c r="AD1260" s="57" t="n">
        <f aca="false">MAX(AR1260,H1260)</f>
        <v>2</v>
      </c>
      <c r="AE1260" s="64"/>
      <c r="AF1260" s="57" t="n">
        <f aca="false">IF(LEFT(Cockpit!$C$5,1)="A",H1260,IF(CA1260=1,CB1260,IF(LEFT(Cockpit!$C$5,1)="B",AJ1260,MAX(AJ1260,H1260))))</f>
        <v>0</v>
      </c>
      <c r="AG1260" s="57" t="n">
        <f aca="false">IF(BT1260=1,0,ROUNDUP(AF1260/BS1260,0))</f>
        <v>0</v>
      </c>
      <c r="AH1260" s="59" t="n">
        <f aca="false">IF(CH1260&gt;0,CH1260*MAX(1,AF1260/X1260),IF(BT1260=1,IF(AF1260&lt;=0,0,BW1260*MAX(1,IF(H1260&gt;0,AF1260/H1260,1))),IF(R1260&gt;0,AG1260/R1260,0))/MAX(0.1,N(Parameter!$M$21)))</f>
        <v>0</v>
      </c>
      <c r="AI1260" s="57" t="n">
        <f aca="false">AF1260*G1260</f>
        <v>0</v>
      </c>
      <c r="AJ1260" s="57" t="n">
        <f aca="false">ROUNDUP(MAX(J1260/IF(BZ1260&gt;0,BZ1260,MAX(0.1,N(Cockpit!$C$6))),CC1260)/BS1260,0)*BS1260</f>
        <v>2</v>
      </c>
      <c r="AK1260" s="58" t="n">
        <f aca="false">IF(AH1260&gt;0,J1260/AH1260,-1)</f>
        <v>-1</v>
      </c>
      <c r="AL1260" s="58" t="str">
        <f aca="false">IF(AND(OR(BY1260="L1",BY1260="L23"),AH1260&gt;0),SUMIFS($AH$7:$AH$1843,$BY$7:$BY$1843,BY1260,$AK$7:$AK$1843,"&gt;"&amp;AK1260)+SUMIFS($AH$7:$AH$1843,$BY$7:$BY$1843,BY1260,$AK$7:$AK$1843,AK1260,$BQ$7:$BQ$1843,"&lt;="&amp;BQ1260),"")</f>
        <v/>
      </c>
      <c r="AM1260" s="65" t="n">
        <f aca="false">IF(AL1260="",0,MAX(0,MIN(1,(IF(BY1260="L1",Parameter!$E$5,Parameter!$E$6+Parameter!$E$7)-(AL1260-AH1260))/AH1260)))</f>
        <v>0</v>
      </c>
      <c r="AN1260" s="57" t="n">
        <f aca="false">IF(LEFT(Cockpit!$I$5,1)="A",H1260,IF(CA1260=1,CB1260,IF(LEFT(Cockpit!$I$5,1)="B",AR1260,MAX(AR1260,H1260))))</f>
        <v>2</v>
      </c>
      <c r="AO1260" s="57" t="n">
        <f aca="false">IF(BT1260=1,0,ROUNDUP(AN1260/BS1260,0))</f>
        <v>1</v>
      </c>
      <c r="AP1260" s="59" t="n">
        <f aca="false">IF(CH1260&gt;0,CH1260*MAX(1,AN1260/X1260),IF(BT1260=1,IF(AN1260&lt;=0,0,BW1260*MAX(1,IF(H1260&gt;0,AN1260/H1260,1))),IF(R1260&gt;0,AO1260/R1260,0))/MAX(0.1,N(Parameter!$M$21)))</f>
        <v>0.333333333333333</v>
      </c>
      <c r="AQ1260" s="57" t="n">
        <f aca="false">AN1260*G1260</f>
        <v>352.76</v>
      </c>
      <c r="AR1260" s="57" t="n">
        <f aca="false">ROUNDUP(MAX(J1260/IF(BZ1260&gt;0,BZ1260,MAX(0.1,N(Cockpit!$I$6))),CC1260)/BS1260,0)*BS1260</f>
        <v>2</v>
      </c>
      <c r="AS1260" s="58" t="n">
        <f aca="false">IF(AP1260&gt;0,J1260/AP1260,-1)</f>
        <v>6</v>
      </c>
      <c r="AT1260" s="58" t="str">
        <f aca="false">IF(AND(OR(BY1260="L1",BY1260="L23"),AP1260&gt;0),SUMIFS($AP$7:$AP$1843,$BY$7:$BY$1843,BY1260,$AS$7:$AS$1843,"&gt;"&amp;AS1260)+SUMIFS($AP$7:$AP$1843,$BY$7:$BY$1843,BY1260,$AS$7:$AS$1843,AS1260,$BQ$7:$BQ$1843,"&lt;="&amp;BQ1260),"")</f>
        <v/>
      </c>
      <c r="AU1260" s="65" t="n">
        <f aca="false">IF(AT1260="",0,MAX(0,MIN(1,(IF(BY1260="L1",Parameter!$E$5,Parameter!$E$6+Parameter!$E$7)-(AT1260-AP1260))/AP1260)))</f>
        <v>0</v>
      </c>
      <c r="AV1260" s="57" t="n">
        <f aca="false">IF(LEFT(Cockpit!$O$5,1)="A",H1260,IF(CA1260=1,CB1260,IF(LEFT(Cockpit!$O$5,1)="B",AZ1260,MAX(AZ1260,H1260))))</f>
        <v>2</v>
      </c>
      <c r="AW1260" s="57" t="n">
        <f aca="false">IF(BT1260=1,0,ROUNDUP(AV1260/BS1260,0))</f>
        <v>1</v>
      </c>
      <c r="AX1260" s="59" t="n">
        <f aca="false">IF(CH1260&gt;0,CH1260*MAX(1,AV1260/X1260),IF(BT1260=1,IF(AV1260&lt;=0,0,BW1260*MAX(1,IF(H1260&gt;0,AV1260/H1260,1))),IF(R1260&gt;0,AW1260/R1260,0))/MAX(0.1,N(Parameter!$M$21)))</f>
        <v>0.333333333333333</v>
      </c>
      <c r="AY1260" s="57" t="n">
        <f aca="false">AV1260*G1260</f>
        <v>352.76</v>
      </c>
      <c r="AZ1260" s="57" t="n">
        <f aca="false">ROUNDUP(MAX(J1260/IF(BZ1260&gt;0,BZ1260,MAX(0.1,N(Cockpit!$O$6))),CC1260)/BS1260,0)*BS1260</f>
        <v>2</v>
      </c>
      <c r="BA1260" s="58" t="n">
        <f aca="false">IF(AX1260&gt;0,J1260/AX1260,-1)</f>
        <v>6</v>
      </c>
      <c r="BB1260" s="58" t="str">
        <f aca="false">IF(AND(OR(BY1260="L1",BY1260="L23"),AX1260&gt;0),SUMIFS($AX$7:$AX$1843,$BY$7:$BY$1843,BY1260,$BA$7:$BA$1843,"&gt;"&amp;BA1260)+SUMIFS($AX$7:$AX$1843,$BY$7:$BY$1843,BY1260,$BA$7:$BA$1843,BA1260,$BQ$7:$BQ$1843,"&lt;="&amp;BQ1260),"")</f>
        <v/>
      </c>
      <c r="BC1260" s="65" t="n">
        <f aca="false">IF(BB1260="",0,MAX(0,MIN(1,(IF(BY1260="L1",Parameter!$E$5,Parameter!$E$6+Parameter!$E$7)-(BB1260-AX1260))/AX1260)))</f>
        <v>0</v>
      </c>
      <c r="BD1260" s="55" t="str">
        <f aca="false">IF(AH1260&lt;=0,"",IF(BY1260="Aussen","Aussenlager",IF(BY1260="-","Nicht im Lift",IF(AM1260&gt;=1,"Lift",IF(AM1260&lt;=0,"Aussenlager","teilweise")))))</f>
        <v/>
      </c>
      <c r="BE1260" s="55" t="str">
        <f aca="false">IF(AP1260&lt;=0,"",IF(BY1260="Aussen","Aussenlager",IF(BY1260="-","Nicht im Lift",IF(AU1260&gt;=1,"Lift",IF(AU1260&lt;=0,"Aussenlager","teilweise")))))</f>
        <v>Nicht im Lift</v>
      </c>
      <c r="BF1260" s="55" t="str">
        <f aca="false">IF(AX1260&lt;=0,"",IF(BY1260="Aussen","Aussenlager",IF(BY1260="-","Nicht im Lift",IF(BC1260&gt;=1,"Lift",IF(BC1260&lt;=0,"Aussenlager","teilweise")))))</f>
        <v>Nicht im Lift</v>
      </c>
      <c r="BG1260" s="55" t="str">
        <f aca="false">IF(A1260="","",IF(BP1260=1,"Neu; ","")&amp;IF(AND(BP1260=0,BK1260&lt;0),"negativer Bestand (Export "&amp;BK1260&amp;"); ","")&amp;IF(J1260&lt;=0,"Kein Verbrauch; ","")&amp;IF(CH1260&gt;0,"Lift "&amp;W1260&amp;" lt. Liftbericht (Fach "&amp;X1260&amp;" Stk); ",IF(BU1260=1,"Gebinde geschätzt ("&amp;T1260&amp;"); ",IF(BT1260=1,"Lose – Tablare geschätzt; ","")))&amp;IF(H1260&gt;AR1260,"Überbestand "&amp;ROUND(H1260-AR1260,0)&amp;" Stk / CHF "&amp;ROUND((H1260-AR1260)*G1260,0)&amp;"; ","")&amp;IF(AND(CA1260=1,CB1260&lt;CC1260),"MAX &lt; MB+LG; ","")&amp;IF(AND(CG1260&gt;0,CF1260*10&gt;CG1260),"zu hoch für Tablar; ","")&amp;IF(AND(BP1260=0,OR(CA1260=1,AA1260&lt;&gt;"",U1260&lt;&gt;"",V1260&lt;&gt;"",AB1260&lt;&gt;"")),"manuell übersteuert; ","")&amp;IF(AND(BT1260=0,R1260=0),"Gebinde unbekannt / Stellmass fehlt; ","")&amp;IF(AND(BT1260=0,N(V1260)&lt;=0,N(Q1260)&lt;=0),"Menge pro Gebinde fehlt (Ist = 1 Gebinde); ","")&amp;BO1260)</f>
        <v>negativer Bestand (Export -8); Gebinde geschätzt (Gross); Menge pro Gebinde fehlt (Ist = 1 Gebinde); </v>
      </c>
      <c r="BH1260" s="55"/>
      <c r="BI1260" s="55"/>
      <c r="BJ1260" s="62"/>
      <c r="BK1260" s="57" t="n">
        <v>-8</v>
      </c>
      <c r="BL1260" s="57" t="n">
        <v>8</v>
      </c>
      <c r="BM1260" s="56" t="n">
        <v>-824.48</v>
      </c>
      <c r="BN1260" s="57" t="n">
        <v>2</v>
      </c>
      <c r="BO1260" s="55"/>
      <c r="BP1260" s="60" t="n">
        <v>0</v>
      </c>
      <c r="BQ1260" s="60" t="n">
        <v>1260</v>
      </c>
      <c r="BR1260" s="55" t="str">
        <f aca="false">IF(U1260&lt;&gt;"",UPPER(TRIM(U1260)),IF(BU1260=1,UPPER(VLOOKUP(T1260,Parameter!$I$27:$K$29,2,0)),IF(P1260="","LOSE",P1260)))</f>
        <v>S81</v>
      </c>
      <c r="BS1260" s="57" t="n">
        <f aca="false">IF(BR1260="LOSE",1,IF(N(V1260)&gt;0,V1260,IF(BU1260=1,MAX(1,N(VLOOKUP(T1260,Parameter!$I$27:$K$29,3,0)),H1260,N(N1260)),IF(N(Q1260)&gt;0,Q1260,MAX(1,H1260)))))</f>
        <v>2</v>
      </c>
      <c r="BT1260" s="60" t="n">
        <f aca="false">IF(BR1260="LOSE",1,0)</f>
        <v>0</v>
      </c>
      <c r="BU1260" s="60" t="n">
        <f aca="false">IF(AND(U1260="",OR(P1260="",P1260="LOSE"),T1260&lt;&gt;"",N(S1260)&lt;=0,ISNUMBER(MATCH(T1260,Parameter!$I$27:$I$29,0))),1,0)</f>
        <v>1</v>
      </c>
      <c r="BV1260" s="55" t="str">
        <f aca="false">IF(AND(Parameter!$B$19="Ja",E1260&lt;&gt;"",ISNUMBER(MATCH(E1260,Parameter!$I$35:$I$52,0))),VLOOKUP(E1260,Parameter!$I$35:$J$52,2,0),IFERROR(VLOOKUP(D1260,Parameter!$A$35:$C$64,2,0),"Nein"))</f>
        <v>Nein</v>
      </c>
      <c r="BW1260" s="59" t="n">
        <f aca="false">IF(BT1260=0,0,IF(N(S1260)&gt;0,S1260,IFERROR(VLOOKUP(D1260,Parameter!$A$35:$C$64,3,0)+0,0)))</f>
        <v>0</v>
      </c>
      <c r="BX1260" s="55" t="str">
        <f aca="false">IF(AA1260&lt;&gt;"",AA1260,Z1260)</f>
        <v>-</v>
      </c>
      <c r="BY1260" s="55" t="str">
        <f aca="false">IF(BX1260=1,"L1",IF(OR(BX1260=2,BX1260=3),"L23",IF(BX1260="Aussen","Aussen","-")))</f>
        <v>-</v>
      </c>
      <c r="BZ1260" s="66" t="n">
        <f aca="false">IF(N(AB1260)&gt;0,AB1260,0)</f>
        <v>0</v>
      </c>
      <c r="CA1260" s="60" t="n">
        <f aca="false">IF(ISNUMBER(AE1260),1,0)</f>
        <v>0</v>
      </c>
      <c r="CB1260" s="57" t="n">
        <f aca="false">N(AE1260)</f>
        <v>0</v>
      </c>
      <c r="CC1260" s="57" t="n">
        <f aca="false">N(M1260)+N(N1260)</f>
        <v>1</v>
      </c>
      <c r="CD1260" s="57" t="n">
        <f aca="false">ROUNDUP(H1260/BS1260,0)</f>
        <v>0</v>
      </c>
      <c r="CE1260" s="57" t="n">
        <f aca="false">ROUNDUP(CB1260/BS1260,0)</f>
        <v>0</v>
      </c>
      <c r="CF1260" s="60" t="n">
        <f aca="false">IF(BT1260=1,0,IFERROR(VLOOKUP(BR1260,'Gebinde-Kategorie'!$A$5:$M$45,5,0)+0,0))</f>
        <v>20</v>
      </c>
      <c r="CG1260" s="60" t="n">
        <f aca="false">IFERROR(IF(OR(BX1260=1,BX1260=2,BX1260=3),N(INDEX(Parameter!$I$5:$I$7,BX1260)),0),0)</f>
        <v>0</v>
      </c>
      <c r="CH1260" s="59" t="n">
        <f aca="false">IF(AND(Parameter!$B$21="Ja",ISNUMBER(W1260),N(X1260)&gt;0),IFERROR(N(INDEX(Parameter!$L$5:$L$7,W1260))*INDEX(Parameter!$E$5:$E$7,W1260)*X1260/SUMIFS($X$7:$X$1843,$W$7:$W$1843,W1260),0),0)</f>
        <v>0</v>
      </c>
    </row>
    <row r="1261" customFormat="false" ht="15" hidden="false" customHeight="false" outlineLevel="0" collapsed="false">
      <c r="A1261" s="55" t="s">
        <v>2251</v>
      </c>
      <c r="B1261" s="55" t="s">
        <v>2252</v>
      </c>
      <c r="C1261" s="55" t="s">
        <v>164</v>
      </c>
      <c r="D1261" s="55" t="s">
        <v>184</v>
      </c>
      <c r="E1261" s="55" t="s">
        <v>185</v>
      </c>
      <c r="F1261" s="55" t="s">
        <v>218</v>
      </c>
      <c r="G1261" s="56" t="n">
        <v>55.37</v>
      </c>
      <c r="H1261" s="57" t="n">
        <f aca="false">MAX(0,IF(AND(Parameter!$B$21="Ja",ISNUMBER(Y1261)),Y1261,IF(Parameter!$B$20="Jahresanfang 2025 + Export",BL1261+BK1261,BK1261)))</f>
        <v>21</v>
      </c>
      <c r="I1261" s="57" t="n">
        <f aca="false">H1261*G1261</f>
        <v>1162.77</v>
      </c>
      <c r="J1261" s="57" t="n">
        <f aca="false">BN1261*Parameter!$B$18</f>
        <v>12</v>
      </c>
      <c r="K1261" s="58" t="n">
        <v>29.5</v>
      </c>
      <c r="L1261" s="59" t="n">
        <v>0.406779661016949</v>
      </c>
      <c r="M1261" s="57" t="n">
        <v>5</v>
      </c>
      <c r="N1261" s="57" t="n">
        <v>5</v>
      </c>
      <c r="O1261" s="60" t="n">
        <v>14</v>
      </c>
      <c r="P1261" s="55" t="s">
        <v>421</v>
      </c>
      <c r="Q1261" s="57" t="n">
        <v>38</v>
      </c>
      <c r="R1261" s="60" t="n">
        <f aca="false">IF(BT1261=1,0,IFERROR(VLOOKUP(BR1261,'Gebinde-Kategorie'!$A$5:$M$45,13,0)+0,0))</f>
        <v>132</v>
      </c>
      <c r="S1261" s="61"/>
      <c r="T1261" s="62"/>
      <c r="U1261" s="62"/>
      <c r="V1261" s="62"/>
      <c r="W1261" s="55"/>
      <c r="X1261" s="57"/>
      <c r="Y1261" s="57"/>
      <c r="Z1261" s="55" t="n">
        <f aca="false">IF(A1261="","",IF(AND(Parameter!$B$21="Ja",ISNUMBER(W1261)),W1261,IF(BV1261="2+3",IF(ISNUMBER(SEARCH("grosser Artikel",BO1261)),2,IFERROR(VLOOKUP(BR1261,Parameter!$F$35:$G$64,2,0),2)),IF(OR(BV1261="Nein",BV1261=""),"-",BV1261))))</f>
        <v>3</v>
      </c>
      <c r="AA1261" s="62"/>
      <c r="AB1261" s="63"/>
      <c r="AC1261" s="57" t="n">
        <f aca="false">AR1261</f>
        <v>38</v>
      </c>
      <c r="AD1261" s="57" t="n">
        <f aca="false">MAX(AR1261,H1261)</f>
        <v>38</v>
      </c>
      <c r="AE1261" s="64"/>
      <c r="AF1261" s="57" t="n">
        <f aca="false">IF(LEFT(Cockpit!$C$5,1)="A",H1261,IF(CA1261=1,CB1261,IF(LEFT(Cockpit!$C$5,1)="B",AJ1261,MAX(AJ1261,H1261))))</f>
        <v>21</v>
      </c>
      <c r="AG1261" s="57" t="n">
        <f aca="false">IF(BT1261=1,0,ROUNDUP(AF1261/BS1261,0))</f>
        <v>1</v>
      </c>
      <c r="AH1261" s="59" t="n">
        <f aca="false">IF(CH1261&gt;0,CH1261*MAX(1,AF1261/X1261),IF(BT1261=1,IF(AF1261&lt;=0,0,BW1261*MAX(1,IF(H1261&gt;0,AF1261/H1261,1))),IF(R1261&gt;0,AG1261/R1261,0))/MAX(0.1,N(Parameter!$M$21)))</f>
        <v>0.00757575757575758</v>
      </c>
      <c r="AI1261" s="57" t="n">
        <f aca="false">AF1261*G1261</f>
        <v>1162.77</v>
      </c>
      <c r="AJ1261" s="57" t="n">
        <f aca="false">ROUNDUP(MAX(J1261/IF(BZ1261&gt;0,BZ1261,MAX(0.1,N(Cockpit!$C$6))),CC1261)/BS1261,0)*BS1261</f>
        <v>38</v>
      </c>
      <c r="AK1261" s="58" t="n">
        <f aca="false">IF(AH1261&gt;0,J1261/AH1261,-1)</f>
        <v>1584</v>
      </c>
      <c r="AL1261" s="58" t="n">
        <f aca="false">IF(AND(OR(BY1261="L1",BY1261="L23"),AH1261&gt;0),SUMIFS($AH$7:$AH$1843,$BY$7:$BY$1843,BY1261,$AK$7:$AK$1843,"&gt;"&amp;AK1261)+SUMIFS($AH$7:$AH$1843,$BY$7:$BY$1843,BY1261,$AK$7:$AK$1843,AK1261,$BQ$7:$BQ$1843,"&lt;="&amp;BQ1261),"")</f>
        <v>15.5716360933752</v>
      </c>
      <c r="AM1261" s="65" t="n">
        <f aca="false">IF(AL1261="",0,MAX(0,MIN(1,(IF(BY1261="L1",Parameter!$E$5,Parameter!$E$6+Parameter!$E$7)-(AL1261-AH1261))/AH1261)))</f>
        <v>1</v>
      </c>
      <c r="AN1261" s="57" t="n">
        <f aca="false">IF(LEFT(Cockpit!$I$5,1)="A",H1261,IF(CA1261=1,CB1261,IF(LEFT(Cockpit!$I$5,1)="B",AR1261,MAX(AR1261,H1261))))</f>
        <v>38</v>
      </c>
      <c r="AO1261" s="57" t="n">
        <f aca="false">IF(BT1261=1,0,ROUNDUP(AN1261/BS1261,0))</f>
        <v>1</v>
      </c>
      <c r="AP1261" s="59" t="n">
        <f aca="false">IF(CH1261&gt;0,CH1261*MAX(1,AN1261/X1261),IF(BT1261=1,IF(AN1261&lt;=0,0,BW1261*MAX(1,IF(H1261&gt;0,AN1261/H1261,1))),IF(R1261&gt;0,AO1261/R1261,0))/MAX(0.1,N(Parameter!$M$21)))</f>
        <v>0.00757575757575758</v>
      </c>
      <c r="AQ1261" s="57" t="n">
        <f aca="false">AN1261*G1261</f>
        <v>2104.06</v>
      </c>
      <c r="AR1261" s="57" t="n">
        <f aca="false">ROUNDUP(MAX(J1261/IF(BZ1261&gt;0,BZ1261,MAX(0.1,N(Cockpit!$I$6))),CC1261)/BS1261,0)*BS1261</f>
        <v>38</v>
      </c>
      <c r="AS1261" s="58" t="n">
        <f aca="false">IF(AP1261&gt;0,J1261/AP1261,-1)</f>
        <v>1584</v>
      </c>
      <c r="AT1261" s="58" t="n">
        <f aca="false">IF(AND(OR(BY1261="L1",BY1261="L23"),AP1261&gt;0),SUMIFS($AP$7:$AP$1843,$BY$7:$BY$1843,BY1261,$AS$7:$AS$1843,"&gt;"&amp;AS1261)+SUMIFS($AP$7:$AP$1843,$BY$7:$BY$1843,BY1261,$AS$7:$AS$1843,AS1261,$BQ$7:$BQ$1843,"&lt;="&amp;BQ1261),"")</f>
        <v>20.3479527718658</v>
      </c>
      <c r="AU1261" s="65" t="n">
        <f aca="false">IF(AT1261="",0,MAX(0,MIN(1,(IF(BY1261="L1",Parameter!$E$5,Parameter!$E$6+Parameter!$E$7)-(AT1261-AP1261))/AP1261)))</f>
        <v>1</v>
      </c>
      <c r="AV1261" s="57" t="n">
        <f aca="false">IF(LEFT(Cockpit!$O$5,1)="A",H1261,IF(CA1261=1,CB1261,IF(LEFT(Cockpit!$O$5,1)="B",AZ1261,MAX(AZ1261,H1261))))</f>
        <v>38</v>
      </c>
      <c r="AW1261" s="57" t="n">
        <f aca="false">IF(BT1261=1,0,ROUNDUP(AV1261/BS1261,0))</f>
        <v>1</v>
      </c>
      <c r="AX1261" s="59" t="n">
        <f aca="false">IF(CH1261&gt;0,CH1261*MAX(1,AV1261/X1261),IF(BT1261=1,IF(AV1261&lt;=0,0,BW1261*MAX(1,IF(H1261&gt;0,AV1261/H1261,1))),IF(R1261&gt;0,AW1261/R1261,0))/MAX(0.1,N(Parameter!$M$21)))</f>
        <v>0.00757575757575758</v>
      </c>
      <c r="AY1261" s="57" t="n">
        <f aca="false">AV1261*G1261</f>
        <v>2104.06</v>
      </c>
      <c r="AZ1261" s="57" t="n">
        <f aca="false">ROUNDUP(MAX(J1261/IF(BZ1261&gt;0,BZ1261,MAX(0.1,N(Cockpit!$O$6))),CC1261)/BS1261,0)*BS1261</f>
        <v>38</v>
      </c>
      <c r="BA1261" s="58" t="n">
        <f aca="false">IF(AX1261&gt;0,J1261/AX1261,-1)</f>
        <v>1584</v>
      </c>
      <c r="BB1261" s="58" t="n">
        <f aca="false">IF(AND(OR(BY1261="L1",BY1261="L23"),AX1261&gt;0),SUMIFS($AX$7:$AX$1843,$BY$7:$BY$1843,BY1261,$BA$7:$BA$1843,"&gt;"&amp;BA1261)+SUMIFS($AX$7:$AX$1843,$BY$7:$BY$1843,BY1261,$BA$7:$BA$1843,BA1261,$BQ$7:$BQ$1843,"&lt;="&amp;BQ1261),"")</f>
        <v>19.2098408837539</v>
      </c>
      <c r="BC1261" s="65" t="n">
        <f aca="false">IF(BB1261="",0,MAX(0,MIN(1,(IF(BY1261="L1",Parameter!$E$5,Parameter!$E$6+Parameter!$E$7)-(BB1261-AX1261))/AX1261)))</f>
        <v>1</v>
      </c>
      <c r="BD1261" s="55" t="str">
        <f aca="false">IF(AH1261&lt;=0,"",IF(BY1261="Aussen","Aussenlager",IF(BY1261="-","Nicht im Lift",IF(AM1261&gt;=1,"Lift",IF(AM1261&lt;=0,"Aussenlager","teilweise")))))</f>
        <v>Lift</v>
      </c>
      <c r="BE1261" s="55" t="str">
        <f aca="false">IF(AP1261&lt;=0,"",IF(BY1261="Aussen","Aussenlager",IF(BY1261="-","Nicht im Lift",IF(AU1261&gt;=1,"Lift",IF(AU1261&lt;=0,"Aussenlager","teilweise")))))</f>
        <v>Lift</v>
      </c>
      <c r="BF1261" s="55" t="str">
        <f aca="false">IF(AX1261&lt;=0,"",IF(BY1261="Aussen","Aussenlager",IF(BY1261="-","Nicht im Lift",IF(BC1261&gt;=1,"Lift",IF(BC1261&lt;=0,"Aussenlager","teilweise")))))</f>
        <v>Lift</v>
      </c>
      <c r="BG1261" s="55" t="str">
        <f aca="false">IF(A1261="","",IF(BP1261=1,"Neu; ","")&amp;IF(AND(BP1261=0,BK1261&lt;0),"negativer Bestand (Export "&amp;BK1261&amp;"); ","")&amp;IF(J1261&lt;=0,"Kein Verbrauch; ","")&amp;IF(CH1261&gt;0,"Lift "&amp;W1261&amp;" lt. Liftbericht (Fach "&amp;X1261&amp;" Stk); ",IF(BU1261=1,"Gebinde geschätzt ("&amp;T1261&amp;"); ",IF(BT1261=1,"Lose – Tablare geschätzt; ","")))&amp;IF(H1261&gt;AR1261,"Überbestand "&amp;ROUND(H1261-AR1261,0)&amp;" Stk / CHF "&amp;ROUND((H1261-AR1261)*G1261,0)&amp;"; ","")&amp;IF(AND(CA1261=1,CB1261&lt;CC1261),"MAX &lt; MB+LG; ","")&amp;IF(AND(CG1261&gt;0,CF1261*10&gt;CG1261),"zu hoch für Tablar; ","")&amp;IF(AND(BP1261=0,OR(CA1261=1,AA1261&lt;&gt;"",U1261&lt;&gt;"",V1261&lt;&gt;"",AB1261&lt;&gt;"")),"manuell übersteuert; ","")&amp;IF(AND(BT1261=0,R1261=0),"Gebinde unbekannt / Stellmass fehlt; ","")&amp;IF(AND(BT1261=0,N(V1261)&lt;=0,N(Q1261)&lt;=0),"Menge pro Gebinde fehlt (Ist = 1 Gebinde); ","")&amp;BO1261)</f>
        <v>negativer Bestand (Export -15); </v>
      </c>
      <c r="BH1261" s="55"/>
      <c r="BI1261" s="55"/>
      <c r="BJ1261" s="62"/>
      <c r="BK1261" s="57" t="n">
        <v>-15</v>
      </c>
      <c r="BL1261" s="57" t="n">
        <v>36</v>
      </c>
      <c r="BM1261" s="56" t="n">
        <v>-830.55</v>
      </c>
      <c r="BN1261" s="57" t="n">
        <v>12</v>
      </c>
      <c r="BO1261" s="55"/>
      <c r="BP1261" s="60" t="n">
        <v>0</v>
      </c>
      <c r="BQ1261" s="60" t="n">
        <v>1261</v>
      </c>
      <c r="BR1261" s="55" t="str">
        <f aca="false">IF(U1261&lt;&gt;"",UPPER(TRIM(U1261)),IF(BU1261=1,UPPER(VLOOKUP(T1261,Parameter!$I$27:$K$29,2,0)),IF(P1261="","LOSE",P1261)))</f>
        <v>S32</v>
      </c>
      <c r="BS1261" s="57" t="n">
        <f aca="false">IF(BR1261="LOSE",1,IF(N(V1261)&gt;0,V1261,IF(BU1261=1,MAX(1,N(VLOOKUP(T1261,Parameter!$I$27:$K$29,3,0)),H1261,N(N1261)),IF(N(Q1261)&gt;0,Q1261,MAX(1,H1261)))))</f>
        <v>38</v>
      </c>
      <c r="BT1261" s="60" t="n">
        <f aca="false">IF(BR1261="LOSE",1,0)</f>
        <v>0</v>
      </c>
      <c r="BU1261" s="60" t="n">
        <f aca="false">IF(AND(U1261="",OR(P1261="",P1261="LOSE"),T1261&lt;&gt;"",N(S1261)&lt;=0,ISNUMBER(MATCH(T1261,Parameter!$I$27:$I$29,0))),1,0)</f>
        <v>0</v>
      </c>
      <c r="BV1261" s="55" t="str">
        <f aca="false">IF(AND(Parameter!$B$19="Ja",E1261&lt;&gt;"",ISNUMBER(MATCH(E1261,Parameter!$I$35:$I$52,0))),VLOOKUP(E1261,Parameter!$I$35:$J$52,2,0),IFERROR(VLOOKUP(D1261,Parameter!$A$35:$C$64,2,0),"Nein"))</f>
        <v>2+3</v>
      </c>
      <c r="BW1261" s="59" t="n">
        <f aca="false">IF(BT1261=0,0,IF(N(S1261)&gt;0,S1261,IFERROR(VLOOKUP(D1261,Parameter!$A$35:$C$64,3,0)+0,0)))</f>
        <v>0</v>
      </c>
      <c r="BX1261" s="55" t="n">
        <f aca="false">IF(AA1261&lt;&gt;"",AA1261,Z1261)</f>
        <v>3</v>
      </c>
      <c r="BY1261" s="55" t="str">
        <f aca="false">IF(BX1261=1,"L1",IF(OR(BX1261=2,BX1261=3),"L23",IF(BX1261="Aussen","Aussen","-")))</f>
        <v>L23</v>
      </c>
      <c r="BZ1261" s="66" t="n">
        <f aca="false">IF(N(AB1261)&gt;0,AB1261,0)</f>
        <v>0</v>
      </c>
      <c r="CA1261" s="60" t="n">
        <f aca="false">IF(ISNUMBER(AE1261),1,0)</f>
        <v>0</v>
      </c>
      <c r="CB1261" s="57" t="n">
        <f aca="false">N(AE1261)</f>
        <v>0</v>
      </c>
      <c r="CC1261" s="57" t="n">
        <f aca="false">N(M1261)+N(N1261)</f>
        <v>10</v>
      </c>
      <c r="CD1261" s="57" t="n">
        <f aca="false">ROUNDUP(H1261/BS1261,0)</f>
        <v>1</v>
      </c>
      <c r="CE1261" s="57" t="n">
        <f aca="false">ROUNDUP(CB1261/BS1261,0)</f>
        <v>0</v>
      </c>
      <c r="CF1261" s="60" t="n">
        <f aca="false">IF(BT1261=1,0,IFERROR(VLOOKUP(BR1261,'Gebinde-Kategorie'!$A$5:$M$45,5,0)+0,0))</f>
        <v>8</v>
      </c>
      <c r="CG1261" s="60" t="n">
        <f aca="false">IFERROR(IF(OR(BX1261=1,BX1261=2,BX1261=3),N(INDEX(Parameter!$I$5:$I$7,BX1261)),0),0)</f>
        <v>0</v>
      </c>
      <c r="CH1261" s="59" t="n">
        <f aca="false">IF(AND(Parameter!$B$21="Ja",ISNUMBER(W1261),N(X1261)&gt;0),IFERROR(N(INDEX(Parameter!$L$5:$L$7,W1261))*INDEX(Parameter!$E$5:$E$7,W1261)*X1261/SUMIFS($X$7:$X$1843,$W$7:$W$1843,W1261),0),0)</f>
        <v>0</v>
      </c>
    </row>
    <row r="1262" customFormat="false" ht="15" hidden="false" customHeight="false" outlineLevel="0" collapsed="false">
      <c r="A1262" s="55" t="s">
        <v>2253</v>
      </c>
      <c r="B1262" s="55" t="s">
        <v>2254</v>
      </c>
      <c r="C1262" s="55" t="s">
        <v>164</v>
      </c>
      <c r="D1262" s="55" t="s">
        <v>173</v>
      </c>
      <c r="E1262" s="55" t="s">
        <v>173</v>
      </c>
      <c r="F1262" s="55" t="s">
        <v>218</v>
      </c>
      <c r="G1262" s="56" t="n">
        <v>65.63</v>
      </c>
      <c r="H1262" s="57" t="n">
        <f aca="false">MAX(0,IF(AND(Parameter!$B$21="Ja",ISNUMBER(Y1262)),Y1262,IF(Parameter!$B$20="Jahresanfang 2025 + Export",BL1262+BK1262,BK1262)))</f>
        <v>32</v>
      </c>
      <c r="I1262" s="57" t="n">
        <f aca="false">H1262*G1262</f>
        <v>2100.16</v>
      </c>
      <c r="J1262" s="57" t="n">
        <f aca="false">BN1262*Parameter!$B$18</f>
        <v>74</v>
      </c>
      <c r="K1262" s="58" t="n">
        <v>23.5</v>
      </c>
      <c r="L1262" s="59" t="n">
        <v>3.14893617021277</v>
      </c>
      <c r="M1262" s="57" t="n">
        <v>4</v>
      </c>
      <c r="N1262" s="57" t="n">
        <v>50</v>
      </c>
      <c r="O1262" s="60" t="n">
        <v>21</v>
      </c>
      <c r="P1262" s="55" t="s">
        <v>174</v>
      </c>
      <c r="Q1262" s="57" t="n">
        <v>60</v>
      </c>
      <c r="R1262" s="60" t="n">
        <f aca="false">IF(BT1262=1,0,IFERROR(VLOOKUP(BR1262,'Gebinde-Kategorie'!$A$5:$M$45,13,0)+0,0))</f>
        <v>6</v>
      </c>
      <c r="S1262" s="61"/>
      <c r="T1262" s="62"/>
      <c r="U1262" s="62"/>
      <c r="V1262" s="62"/>
      <c r="W1262" s="55"/>
      <c r="X1262" s="57"/>
      <c r="Y1262" s="57"/>
      <c r="Z1262" s="55" t="str">
        <f aca="false">IF(A1262="","",IF(AND(Parameter!$B$21="Ja",ISNUMBER(W1262)),W1262,IF(BV1262="2+3",IF(ISNUMBER(SEARCH("grosser Artikel",BO1262)),2,IFERROR(VLOOKUP(BR1262,Parameter!$F$35:$G$64,2,0),2)),IF(OR(BV1262="Nein",BV1262=""),"-",BV1262))))</f>
        <v>-</v>
      </c>
      <c r="AA1262" s="62"/>
      <c r="AB1262" s="63"/>
      <c r="AC1262" s="57" t="n">
        <f aca="false">AR1262</f>
        <v>60</v>
      </c>
      <c r="AD1262" s="57" t="n">
        <f aca="false">MAX(AR1262,H1262)</f>
        <v>60</v>
      </c>
      <c r="AE1262" s="64"/>
      <c r="AF1262" s="57" t="n">
        <f aca="false">IF(LEFT(Cockpit!$C$5,1)="A",H1262,IF(CA1262=1,CB1262,IF(LEFT(Cockpit!$C$5,1)="B",AJ1262,MAX(AJ1262,H1262))))</f>
        <v>32</v>
      </c>
      <c r="AG1262" s="57" t="n">
        <f aca="false">IF(BT1262=1,0,ROUNDUP(AF1262/BS1262,0))</f>
        <v>1</v>
      </c>
      <c r="AH1262" s="59" t="n">
        <f aca="false">IF(CH1262&gt;0,CH1262*MAX(1,AF1262/X1262),IF(BT1262=1,IF(AF1262&lt;=0,0,BW1262*MAX(1,IF(H1262&gt;0,AF1262/H1262,1))),IF(R1262&gt;0,AG1262/R1262,0))/MAX(0.1,N(Parameter!$M$21)))</f>
        <v>0.166666666666667</v>
      </c>
      <c r="AI1262" s="57" t="n">
        <f aca="false">AF1262*G1262</f>
        <v>2100.16</v>
      </c>
      <c r="AJ1262" s="57" t="n">
        <f aca="false">ROUNDUP(MAX(J1262/IF(BZ1262&gt;0,BZ1262,MAX(0.1,N(Cockpit!$C$6))),CC1262)/BS1262,0)*BS1262</f>
        <v>60</v>
      </c>
      <c r="AK1262" s="58" t="n">
        <f aca="false">IF(AH1262&gt;0,J1262/AH1262,-1)</f>
        <v>444</v>
      </c>
      <c r="AL1262" s="58" t="str">
        <f aca="false">IF(AND(OR(BY1262="L1",BY1262="L23"),AH1262&gt;0),SUMIFS($AH$7:$AH$1843,$BY$7:$BY$1843,BY1262,$AK$7:$AK$1843,"&gt;"&amp;AK1262)+SUMIFS($AH$7:$AH$1843,$BY$7:$BY$1843,BY1262,$AK$7:$AK$1843,AK1262,$BQ$7:$BQ$1843,"&lt;="&amp;BQ1262),"")</f>
        <v/>
      </c>
      <c r="AM1262" s="65" t="n">
        <f aca="false">IF(AL1262="",0,MAX(0,MIN(1,(IF(BY1262="L1",Parameter!$E$5,Parameter!$E$6+Parameter!$E$7)-(AL1262-AH1262))/AH1262)))</f>
        <v>0</v>
      </c>
      <c r="AN1262" s="57" t="n">
        <f aca="false">IF(LEFT(Cockpit!$I$5,1)="A",H1262,IF(CA1262=1,CB1262,IF(LEFT(Cockpit!$I$5,1)="B",AR1262,MAX(AR1262,H1262))))</f>
        <v>60</v>
      </c>
      <c r="AO1262" s="57" t="n">
        <f aca="false">IF(BT1262=1,0,ROUNDUP(AN1262/BS1262,0))</f>
        <v>1</v>
      </c>
      <c r="AP1262" s="59" t="n">
        <f aca="false">IF(CH1262&gt;0,CH1262*MAX(1,AN1262/X1262),IF(BT1262=1,IF(AN1262&lt;=0,0,BW1262*MAX(1,IF(H1262&gt;0,AN1262/H1262,1))),IF(R1262&gt;0,AO1262/R1262,0))/MAX(0.1,N(Parameter!$M$21)))</f>
        <v>0.166666666666667</v>
      </c>
      <c r="AQ1262" s="57" t="n">
        <f aca="false">AN1262*G1262</f>
        <v>3937.8</v>
      </c>
      <c r="AR1262" s="57" t="n">
        <f aca="false">ROUNDUP(MAX(J1262/IF(BZ1262&gt;0,BZ1262,MAX(0.1,N(Cockpit!$I$6))),CC1262)/BS1262,0)*BS1262</f>
        <v>60</v>
      </c>
      <c r="AS1262" s="58" t="n">
        <f aca="false">IF(AP1262&gt;0,J1262/AP1262,-1)</f>
        <v>444</v>
      </c>
      <c r="AT1262" s="58" t="str">
        <f aca="false">IF(AND(OR(BY1262="L1",BY1262="L23"),AP1262&gt;0),SUMIFS($AP$7:$AP$1843,$BY$7:$BY$1843,BY1262,$AS$7:$AS$1843,"&gt;"&amp;AS1262)+SUMIFS($AP$7:$AP$1843,$BY$7:$BY$1843,BY1262,$AS$7:$AS$1843,AS1262,$BQ$7:$BQ$1843,"&lt;="&amp;BQ1262),"")</f>
        <v/>
      </c>
      <c r="AU1262" s="65" t="n">
        <f aca="false">IF(AT1262="",0,MAX(0,MIN(1,(IF(BY1262="L1",Parameter!$E$5,Parameter!$E$6+Parameter!$E$7)-(AT1262-AP1262))/AP1262)))</f>
        <v>0</v>
      </c>
      <c r="AV1262" s="57" t="n">
        <f aca="false">IF(LEFT(Cockpit!$O$5,1)="A",H1262,IF(CA1262=1,CB1262,IF(LEFT(Cockpit!$O$5,1)="B",AZ1262,MAX(AZ1262,H1262))))</f>
        <v>60</v>
      </c>
      <c r="AW1262" s="57" t="n">
        <f aca="false">IF(BT1262=1,0,ROUNDUP(AV1262/BS1262,0))</f>
        <v>1</v>
      </c>
      <c r="AX1262" s="59" t="n">
        <f aca="false">IF(CH1262&gt;0,CH1262*MAX(1,AV1262/X1262),IF(BT1262=1,IF(AV1262&lt;=0,0,BW1262*MAX(1,IF(H1262&gt;0,AV1262/H1262,1))),IF(R1262&gt;0,AW1262/R1262,0))/MAX(0.1,N(Parameter!$M$21)))</f>
        <v>0.166666666666667</v>
      </c>
      <c r="AY1262" s="57" t="n">
        <f aca="false">AV1262*G1262</f>
        <v>3937.8</v>
      </c>
      <c r="AZ1262" s="57" t="n">
        <f aca="false">ROUNDUP(MAX(J1262/IF(BZ1262&gt;0,BZ1262,MAX(0.1,N(Cockpit!$O$6))),CC1262)/BS1262,0)*BS1262</f>
        <v>60</v>
      </c>
      <c r="BA1262" s="58" t="n">
        <f aca="false">IF(AX1262&gt;0,J1262/AX1262,-1)</f>
        <v>444</v>
      </c>
      <c r="BB1262" s="58" t="str">
        <f aca="false">IF(AND(OR(BY1262="L1",BY1262="L23"),AX1262&gt;0),SUMIFS($AX$7:$AX$1843,$BY$7:$BY$1843,BY1262,$BA$7:$BA$1843,"&gt;"&amp;BA1262)+SUMIFS($AX$7:$AX$1843,$BY$7:$BY$1843,BY1262,$BA$7:$BA$1843,BA1262,$BQ$7:$BQ$1843,"&lt;="&amp;BQ1262),"")</f>
        <v/>
      </c>
      <c r="BC1262" s="65" t="n">
        <f aca="false">IF(BB1262="",0,MAX(0,MIN(1,(IF(BY1262="L1",Parameter!$E$5,Parameter!$E$6+Parameter!$E$7)-(BB1262-AX1262))/AX1262)))</f>
        <v>0</v>
      </c>
      <c r="BD1262" s="55" t="str">
        <f aca="false">IF(AH1262&lt;=0,"",IF(BY1262="Aussen","Aussenlager",IF(BY1262="-","Nicht im Lift",IF(AM1262&gt;=1,"Lift",IF(AM1262&lt;=0,"Aussenlager","teilweise")))))</f>
        <v>Nicht im Lift</v>
      </c>
      <c r="BE1262" s="55" t="str">
        <f aca="false">IF(AP1262&lt;=0,"",IF(BY1262="Aussen","Aussenlager",IF(BY1262="-","Nicht im Lift",IF(AU1262&gt;=1,"Lift",IF(AU1262&lt;=0,"Aussenlager","teilweise")))))</f>
        <v>Nicht im Lift</v>
      </c>
      <c r="BF1262" s="55" t="str">
        <f aca="false">IF(AX1262&lt;=0,"",IF(BY1262="Aussen","Aussenlager",IF(BY1262="-","Nicht im Lift",IF(BC1262&gt;=1,"Lift",IF(BC1262&lt;=0,"Aussenlager","teilweise")))))</f>
        <v>Nicht im Lift</v>
      </c>
      <c r="BG1262" s="55" t="str">
        <f aca="false">IF(A1262="","",IF(BP1262=1,"Neu; ","")&amp;IF(AND(BP1262=0,BK1262&lt;0),"negativer Bestand (Export "&amp;BK1262&amp;"); ","")&amp;IF(J1262&lt;=0,"Kein Verbrauch; ","")&amp;IF(CH1262&gt;0,"Lift "&amp;W1262&amp;" lt. Liftbericht (Fach "&amp;X1262&amp;" Stk); ",IF(BU1262=1,"Gebinde geschätzt ("&amp;T1262&amp;"); ",IF(BT1262=1,"Lose – Tablare geschätzt; ","")))&amp;IF(H1262&gt;AR1262,"Überbestand "&amp;ROUND(H1262-AR1262,0)&amp;" Stk / CHF "&amp;ROUND((H1262-AR1262)*G1262,0)&amp;"; ","")&amp;IF(AND(CA1262=1,CB1262&lt;CC1262),"MAX &lt; MB+LG; ","")&amp;IF(AND(CG1262&gt;0,CF1262*10&gt;CG1262),"zu hoch für Tablar; ","")&amp;IF(AND(BP1262=0,OR(CA1262=1,AA1262&lt;&gt;"",U1262&lt;&gt;"",V1262&lt;&gt;"",AB1262&lt;&gt;"")),"manuell übersteuert; ","")&amp;IF(AND(BT1262=0,R1262=0),"Gebinde unbekannt / Stellmass fehlt; ","")&amp;IF(AND(BT1262=0,N(V1262)&lt;=0,N(Q1262)&lt;=0),"Menge pro Gebinde fehlt (Ist = 1 Gebinde); ","")&amp;BO1262)</f>
        <v>negativer Bestand (Export -3); </v>
      </c>
      <c r="BH1262" s="55"/>
      <c r="BI1262" s="55"/>
      <c r="BJ1262" s="62"/>
      <c r="BK1262" s="57" t="n">
        <v>-3</v>
      </c>
      <c r="BL1262" s="57" t="n">
        <v>35</v>
      </c>
      <c r="BM1262" s="56" t="n">
        <v>-834.590000000002</v>
      </c>
      <c r="BN1262" s="57" t="n">
        <v>74</v>
      </c>
      <c r="BO1262" s="55"/>
      <c r="BP1262" s="60" t="n">
        <v>0</v>
      </c>
      <c r="BQ1262" s="60" t="n">
        <v>1262</v>
      </c>
      <c r="BR1262" s="55" t="str">
        <f aca="false">IF(U1262&lt;&gt;"",UPPER(TRIM(U1262)),IF(BU1262=1,UPPER(VLOOKUP(T1262,Parameter!$I$27:$K$29,2,0)),IF(P1262="","LOSE",P1262)))</f>
        <v>S71</v>
      </c>
      <c r="BS1262" s="57" t="n">
        <f aca="false">IF(BR1262="LOSE",1,IF(N(V1262)&gt;0,V1262,IF(BU1262=1,MAX(1,N(VLOOKUP(T1262,Parameter!$I$27:$K$29,3,0)),H1262,N(N1262)),IF(N(Q1262)&gt;0,Q1262,MAX(1,H1262)))))</f>
        <v>60</v>
      </c>
      <c r="BT1262" s="60" t="n">
        <f aca="false">IF(BR1262="LOSE",1,0)</f>
        <v>0</v>
      </c>
      <c r="BU1262" s="60" t="n">
        <f aca="false">IF(AND(U1262="",OR(P1262="",P1262="LOSE"),T1262&lt;&gt;"",N(S1262)&lt;=0,ISNUMBER(MATCH(T1262,Parameter!$I$27:$I$29,0))),1,0)</f>
        <v>0</v>
      </c>
      <c r="BV1262" s="55" t="str">
        <f aca="false">IF(AND(Parameter!$B$19="Ja",E1262&lt;&gt;"",ISNUMBER(MATCH(E1262,Parameter!$I$35:$I$52,0))),VLOOKUP(E1262,Parameter!$I$35:$J$52,2,0),IFERROR(VLOOKUP(D1262,Parameter!$A$35:$C$64,2,0),"Nein"))</f>
        <v>Nein</v>
      </c>
      <c r="BW1262" s="59" t="n">
        <f aca="false">IF(BT1262=0,0,IF(N(S1262)&gt;0,S1262,IFERROR(VLOOKUP(D1262,Parameter!$A$35:$C$64,3,0)+0,0)))</f>
        <v>0</v>
      </c>
      <c r="BX1262" s="55" t="str">
        <f aca="false">IF(AA1262&lt;&gt;"",AA1262,Z1262)</f>
        <v>-</v>
      </c>
      <c r="BY1262" s="55" t="str">
        <f aca="false">IF(BX1262=1,"L1",IF(OR(BX1262=2,BX1262=3),"L23",IF(BX1262="Aussen","Aussen","-")))</f>
        <v>-</v>
      </c>
      <c r="BZ1262" s="66" t="n">
        <f aca="false">IF(N(AB1262)&gt;0,AB1262,0)</f>
        <v>0</v>
      </c>
      <c r="CA1262" s="60" t="n">
        <f aca="false">IF(ISNUMBER(AE1262),1,0)</f>
        <v>0</v>
      </c>
      <c r="CB1262" s="57" t="n">
        <f aca="false">N(AE1262)</f>
        <v>0</v>
      </c>
      <c r="CC1262" s="57" t="n">
        <f aca="false">N(M1262)+N(N1262)</f>
        <v>54</v>
      </c>
      <c r="CD1262" s="57" t="n">
        <f aca="false">ROUNDUP(H1262/BS1262,0)</f>
        <v>1</v>
      </c>
      <c r="CE1262" s="57" t="n">
        <f aca="false">ROUNDUP(CB1262/BS1262,0)</f>
        <v>0</v>
      </c>
      <c r="CF1262" s="60" t="n">
        <f aca="false">IF(BT1262=1,0,IFERROR(VLOOKUP(BR1262,'Gebinde-Kategorie'!$A$5:$M$45,5,0)+0,0))</f>
        <v>20</v>
      </c>
      <c r="CG1262" s="60" t="n">
        <f aca="false">IFERROR(IF(OR(BX1262=1,BX1262=2,BX1262=3),N(INDEX(Parameter!$I$5:$I$7,BX1262)),0),0)</f>
        <v>0</v>
      </c>
      <c r="CH1262" s="59" t="n">
        <f aca="false">IF(AND(Parameter!$B$21="Ja",ISNUMBER(W1262),N(X1262)&gt;0),IFERROR(N(INDEX(Parameter!$L$5:$L$7,W1262))*INDEX(Parameter!$E$5:$E$7,W1262)*X1262/SUMIFS($X$7:$X$1843,$W$7:$W$1843,W1262),0),0)</f>
        <v>0</v>
      </c>
    </row>
    <row r="1263" customFormat="false" ht="15" hidden="false" customHeight="false" outlineLevel="0" collapsed="false">
      <c r="A1263" s="55" t="s">
        <v>2255</v>
      </c>
      <c r="B1263" s="55" t="s">
        <v>2256</v>
      </c>
      <c r="C1263" s="55" t="s">
        <v>164</v>
      </c>
      <c r="D1263" s="55" t="s">
        <v>184</v>
      </c>
      <c r="E1263" s="55" t="s">
        <v>185</v>
      </c>
      <c r="F1263" s="55" t="s">
        <v>218</v>
      </c>
      <c r="G1263" s="56" t="n">
        <v>23.11</v>
      </c>
      <c r="H1263" s="57" t="n">
        <f aca="false">MAX(0,IF(AND(Parameter!$B$21="Ja",ISNUMBER(Y1263)),Y1263,IF(Parameter!$B$20="Jahresanfang 2025 + Export",BL1263+BK1263,BK1263)))</f>
        <v>132</v>
      </c>
      <c r="I1263" s="57" t="n">
        <f aca="false">H1263*G1263</f>
        <v>3050.52</v>
      </c>
      <c r="J1263" s="57" t="n">
        <f aca="false">BN1263*Parameter!$B$18</f>
        <v>153</v>
      </c>
      <c r="K1263" s="58" t="n">
        <v>150</v>
      </c>
      <c r="L1263" s="59" t="n">
        <v>1.02</v>
      </c>
      <c r="M1263" s="57" t="n">
        <v>10</v>
      </c>
      <c r="N1263" s="57" t="n">
        <v>130</v>
      </c>
      <c r="O1263" s="60" t="n">
        <v>14</v>
      </c>
      <c r="P1263" s="55" t="s">
        <v>233</v>
      </c>
      <c r="Q1263" s="57" t="n">
        <v>279</v>
      </c>
      <c r="R1263" s="60" t="n">
        <f aca="false">IF(BT1263=1,0,IFERROR(VLOOKUP(BR1263,'Gebinde-Kategorie'!$A$5:$M$45,13,0)+0,0))</f>
        <v>26</v>
      </c>
      <c r="S1263" s="61"/>
      <c r="T1263" s="62"/>
      <c r="U1263" s="62"/>
      <c r="V1263" s="62"/>
      <c r="W1263" s="55"/>
      <c r="X1263" s="57"/>
      <c r="Y1263" s="57"/>
      <c r="Z1263" s="55" t="n">
        <f aca="false">IF(A1263="","",IF(AND(Parameter!$B$21="Ja",ISNUMBER(W1263)),W1263,IF(BV1263="2+3",IF(ISNUMBER(SEARCH("grosser Artikel",BO1263)),2,IFERROR(VLOOKUP(BR1263,Parameter!$F$35:$G$64,2,0),2)),IF(OR(BV1263="Nein",BV1263=""),"-",BV1263))))</f>
        <v>3</v>
      </c>
      <c r="AA1263" s="62"/>
      <c r="AB1263" s="63"/>
      <c r="AC1263" s="57" t="n">
        <f aca="false">AR1263</f>
        <v>279</v>
      </c>
      <c r="AD1263" s="57" t="n">
        <f aca="false">MAX(AR1263,H1263)</f>
        <v>279</v>
      </c>
      <c r="AE1263" s="64"/>
      <c r="AF1263" s="57" t="n">
        <f aca="false">IF(LEFT(Cockpit!$C$5,1)="A",H1263,IF(CA1263=1,CB1263,IF(LEFT(Cockpit!$C$5,1)="B",AJ1263,MAX(AJ1263,H1263))))</f>
        <v>132</v>
      </c>
      <c r="AG1263" s="57" t="n">
        <f aca="false">IF(BT1263=1,0,ROUNDUP(AF1263/BS1263,0))</f>
        <v>1</v>
      </c>
      <c r="AH1263" s="59" t="n">
        <f aca="false">IF(CH1263&gt;0,CH1263*MAX(1,AF1263/X1263),IF(BT1263=1,IF(AF1263&lt;=0,0,BW1263*MAX(1,IF(H1263&gt;0,AF1263/H1263,1))),IF(R1263&gt;0,AG1263/R1263,0))/MAX(0.1,N(Parameter!$M$21)))</f>
        <v>0.0384615384615385</v>
      </c>
      <c r="AI1263" s="57" t="n">
        <f aca="false">AF1263*G1263</f>
        <v>3050.52</v>
      </c>
      <c r="AJ1263" s="57" t="n">
        <f aca="false">ROUNDUP(MAX(J1263/IF(BZ1263&gt;0,BZ1263,MAX(0.1,N(Cockpit!$C$6))),CC1263)/BS1263,0)*BS1263</f>
        <v>279</v>
      </c>
      <c r="AK1263" s="58" t="n">
        <f aca="false">IF(AH1263&gt;0,J1263/AH1263,-1)</f>
        <v>3978</v>
      </c>
      <c r="AL1263" s="58" t="n">
        <f aca="false">IF(AND(OR(BY1263="L1",BY1263="L23"),AH1263&gt;0),SUMIFS($AH$7:$AH$1843,$BY$7:$BY$1843,BY1263,$AK$7:$AK$1843,"&gt;"&amp;AK1263)+SUMIFS($AH$7:$AH$1843,$BY$7:$BY$1843,BY1263,$AK$7:$AK$1843,AK1263,$BQ$7:$BQ$1843,"&lt;="&amp;BQ1263),"")</f>
        <v>9.00820918212223</v>
      </c>
      <c r="AM1263" s="65" t="n">
        <f aca="false">IF(AL1263="",0,MAX(0,MIN(1,(IF(BY1263="L1",Parameter!$E$5,Parameter!$E$6+Parameter!$E$7)-(AL1263-AH1263))/AH1263)))</f>
        <v>1</v>
      </c>
      <c r="AN1263" s="57" t="n">
        <f aca="false">IF(LEFT(Cockpit!$I$5,1)="A",H1263,IF(CA1263=1,CB1263,IF(LEFT(Cockpit!$I$5,1)="B",AR1263,MAX(AR1263,H1263))))</f>
        <v>279</v>
      </c>
      <c r="AO1263" s="57" t="n">
        <f aca="false">IF(BT1263=1,0,ROUNDUP(AN1263/BS1263,0))</f>
        <v>1</v>
      </c>
      <c r="AP1263" s="59" t="n">
        <f aca="false">IF(CH1263&gt;0,CH1263*MAX(1,AN1263/X1263),IF(BT1263=1,IF(AN1263&lt;=0,0,BW1263*MAX(1,IF(H1263&gt;0,AN1263/H1263,1))),IF(R1263&gt;0,AO1263/R1263,0))/MAX(0.1,N(Parameter!$M$21)))</f>
        <v>0.0384615384615385</v>
      </c>
      <c r="AQ1263" s="57" t="n">
        <f aca="false">AN1263*G1263</f>
        <v>6447.69</v>
      </c>
      <c r="AR1263" s="57" t="n">
        <f aca="false">ROUNDUP(MAX(J1263/IF(BZ1263&gt;0,BZ1263,MAX(0.1,N(Cockpit!$I$6))),CC1263)/BS1263,0)*BS1263</f>
        <v>279</v>
      </c>
      <c r="AS1263" s="58" t="n">
        <f aca="false">IF(AP1263&gt;0,J1263/AP1263,-1)</f>
        <v>3978</v>
      </c>
      <c r="AT1263" s="58" t="n">
        <f aca="false">IF(AND(OR(BY1263="L1",BY1263="L23"),AP1263&gt;0),SUMIFS($AP$7:$AP$1843,$BY$7:$BY$1843,BY1263,$AS$7:$AS$1843,"&gt;"&amp;AS1263)+SUMIFS($AP$7:$AP$1843,$BY$7:$BY$1843,BY1263,$AS$7:$AS$1843,AS1263,$BQ$7:$BQ$1843,"&lt;="&amp;BQ1263),"")</f>
        <v>13.6096500118239</v>
      </c>
      <c r="AU1263" s="65" t="n">
        <f aca="false">IF(AT1263="",0,MAX(0,MIN(1,(IF(BY1263="L1",Parameter!$E$5,Parameter!$E$6+Parameter!$E$7)-(AT1263-AP1263))/AP1263)))</f>
        <v>1</v>
      </c>
      <c r="AV1263" s="57" t="n">
        <f aca="false">IF(LEFT(Cockpit!$O$5,1)="A",H1263,IF(CA1263=1,CB1263,IF(LEFT(Cockpit!$O$5,1)="B",AZ1263,MAX(AZ1263,H1263))))</f>
        <v>279</v>
      </c>
      <c r="AW1263" s="57" t="n">
        <f aca="false">IF(BT1263=1,0,ROUNDUP(AV1263/BS1263,0))</f>
        <v>1</v>
      </c>
      <c r="AX1263" s="59" t="n">
        <f aca="false">IF(CH1263&gt;0,CH1263*MAX(1,AV1263/X1263),IF(BT1263=1,IF(AV1263&lt;=0,0,BW1263*MAX(1,IF(H1263&gt;0,AV1263/H1263,1))),IF(R1263&gt;0,AW1263/R1263,0))/MAX(0.1,N(Parameter!$M$21)))</f>
        <v>0.0384615384615385</v>
      </c>
      <c r="AY1263" s="57" t="n">
        <f aca="false">AV1263*G1263</f>
        <v>6447.69</v>
      </c>
      <c r="AZ1263" s="57" t="n">
        <f aca="false">ROUNDUP(MAX(J1263/IF(BZ1263&gt;0,BZ1263,MAX(0.1,N(Cockpit!$O$6))),CC1263)/BS1263,0)*BS1263</f>
        <v>279</v>
      </c>
      <c r="BA1263" s="58" t="n">
        <f aca="false">IF(AX1263&gt;0,J1263/AX1263,-1)</f>
        <v>3978</v>
      </c>
      <c r="BB1263" s="58" t="n">
        <f aca="false">IF(AND(OR(BY1263="L1",BY1263="L23"),AX1263&gt;0),SUMIFS($AX$7:$AX$1843,$BY$7:$BY$1843,BY1263,$BA$7:$BA$1843,"&gt;"&amp;BA1263)+SUMIFS($AX$7:$AX$1843,$BY$7:$BY$1843,BY1263,$BA$7:$BA$1843,BA1263,$BQ$7:$BQ$1843,"&lt;="&amp;BQ1263),"")</f>
        <v>12.1766663288402</v>
      </c>
      <c r="BC1263" s="65" t="n">
        <f aca="false">IF(BB1263="",0,MAX(0,MIN(1,(IF(BY1263="L1",Parameter!$E$5,Parameter!$E$6+Parameter!$E$7)-(BB1263-AX1263))/AX1263)))</f>
        <v>1</v>
      </c>
      <c r="BD1263" s="55" t="str">
        <f aca="false">IF(AH1263&lt;=0,"",IF(BY1263="Aussen","Aussenlager",IF(BY1263="-","Nicht im Lift",IF(AM1263&gt;=1,"Lift",IF(AM1263&lt;=0,"Aussenlager","teilweise")))))</f>
        <v>Lift</v>
      </c>
      <c r="BE1263" s="55" t="str">
        <f aca="false">IF(AP1263&lt;=0,"",IF(BY1263="Aussen","Aussenlager",IF(BY1263="-","Nicht im Lift",IF(AU1263&gt;=1,"Lift",IF(AU1263&lt;=0,"Aussenlager","teilweise")))))</f>
        <v>Lift</v>
      </c>
      <c r="BF1263" s="55" t="str">
        <f aca="false">IF(AX1263&lt;=0,"",IF(BY1263="Aussen","Aussenlager",IF(BY1263="-","Nicht im Lift",IF(BC1263&gt;=1,"Lift",IF(BC1263&lt;=0,"Aussenlager","teilweise")))))</f>
        <v>Lift</v>
      </c>
      <c r="BG1263" s="55" t="str">
        <f aca="false">IF(A1263="","",IF(BP1263=1,"Neu; ","")&amp;IF(AND(BP1263=0,BK1263&lt;0),"negativer Bestand (Export "&amp;BK1263&amp;"); ","")&amp;IF(J1263&lt;=0,"Kein Verbrauch; ","")&amp;IF(CH1263&gt;0,"Lift "&amp;W1263&amp;" lt. Liftbericht (Fach "&amp;X1263&amp;" Stk); ",IF(BU1263=1,"Gebinde geschätzt ("&amp;T1263&amp;"); ",IF(BT1263=1,"Lose – Tablare geschätzt; ","")))&amp;IF(H1263&gt;AR1263,"Überbestand "&amp;ROUND(H1263-AR1263,0)&amp;" Stk / CHF "&amp;ROUND((H1263-AR1263)*G1263,0)&amp;"; ","")&amp;IF(AND(CA1263=1,CB1263&lt;CC1263),"MAX &lt; MB+LG; ","")&amp;IF(AND(CG1263&gt;0,CF1263*10&gt;CG1263),"zu hoch für Tablar; ","")&amp;IF(AND(BP1263=0,OR(CA1263=1,AA1263&lt;&gt;"",U1263&lt;&gt;"",V1263&lt;&gt;"",AB1263&lt;&gt;"")),"manuell übersteuert; ","")&amp;IF(AND(BT1263=0,R1263=0),"Gebinde unbekannt / Stellmass fehlt; ","")&amp;IF(AND(BT1263=0,N(V1263)&lt;=0,N(Q1263)&lt;=0),"Menge pro Gebinde fehlt (Ist = 1 Gebinde); ","")&amp;BO1263)</f>
        <v>negativer Bestand (Export -37); </v>
      </c>
      <c r="BH1263" s="55"/>
      <c r="BI1263" s="55"/>
      <c r="BJ1263" s="62"/>
      <c r="BK1263" s="57" t="n">
        <v>-37</v>
      </c>
      <c r="BL1263" s="57" t="n">
        <v>169</v>
      </c>
      <c r="BM1263" s="56" t="n">
        <v>-834.749999999999</v>
      </c>
      <c r="BN1263" s="57" t="n">
        <v>153</v>
      </c>
      <c r="BO1263" s="55"/>
      <c r="BP1263" s="60" t="n">
        <v>0</v>
      </c>
      <c r="BQ1263" s="60" t="n">
        <v>1263</v>
      </c>
      <c r="BR1263" s="55" t="str">
        <f aca="false">IF(U1263&lt;&gt;"",UPPER(TRIM(U1263)),IF(BU1263=1,UPPER(VLOOKUP(T1263,Parameter!$I$27:$K$29,2,0)),IF(P1263="","LOSE",P1263)))</f>
        <v>S52</v>
      </c>
      <c r="BS1263" s="57" t="n">
        <f aca="false">IF(BR1263="LOSE",1,IF(N(V1263)&gt;0,V1263,IF(BU1263=1,MAX(1,N(VLOOKUP(T1263,Parameter!$I$27:$K$29,3,0)),H1263,N(N1263)),IF(N(Q1263)&gt;0,Q1263,MAX(1,H1263)))))</f>
        <v>279</v>
      </c>
      <c r="BT1263" s="60" t="n">
        <f aca="false">IF(BR1263="LOSE",1,0)</f>
        <v>0</v>
      </c>
      <c r="BU1263" s="60" t="n">
        <f aca="false">IF(AND(U1263="",OR(P1263="",P1263="LOSE"),T1263&lt;&gt;"",N(S1263)&lt;=0,ISNUMBER(MATCH(T1263,Parameter!$I$27:$I$29,0))),1,0)</f>
        <v>0</v>
      </c>
      <c r="BV1263" s="55" t="str">
        <f aca="false">IF(AND(Parameter!$B$19="Ja",E1263&lt;&gt;"",ISNUMBER(MATCH(E1263,Parameter!$I$35:$I$52,0))),VLOOKUP(E1263,Parameter!$I$35:$J$52,2,0),IFERROR(VLOOKUP(D1263,Parameter!$A$35:$C$64,2,0),"Nein"))</f>
        <v>2+3</v>
      </c>
      <c r="BW1263" s="59" t="n">
        <f aca="false">IF(BT1263=0,0,IF(N(S1263)&gt;0,S1263,IFERROR(VLOOKUP(D1263,Parameter!$A$35:$C$64,3,0)+0,0)))</f>
        <v>0</v>
      </c>
      <c r="BX1263" s="55" t="n">
        <f aca="false">IF(AA1263&lt;&gt;"",AA1263,Z1263)</f>
        <v>3</v>
      </c>
      <c r="BY1263" s="55" t="str">
        <f aca="false">IF(BX1263=1,"L1",IF(OR(BX1263=2,BX1263=3),"L23",IF(BX1263="Aussen","Aussen","-")))</f>
        <v>L23</v>
      </c>
      <c r="BZ1263" s="66" t="n">
        <f aca="false">IF(N(AB1263)&gt;0,AB1263,0)</f>
        <v>0</v>
      </c>
      <c r="CA1263" s="60" t="n">
        <f aca="false">IF(ISNUMBER(AE1263),1,0)</f>
        <v>0</v>
      </c>
      <c r="CB1263" s="57" t="n">
        <f aca="false">N(AE1263)</f>
        <v>0</v>
      </c>
      <c r="CC1263" s="57" t="n">
        <f aca="false">N(M1263)+N(N1263)</f>
        <v>140</v>
      </c>
      <c r="CD1263" s="57" t="n">
        <f aca="false">ROUNDUP(H1263/BS1263,0)</f>
        <v>1</v>
      </c>
      <c r="CE1263" s="57" t="n">
        <f aca="false">ROUNDUP(CB1263/BS1263,0)</f>
        <v>0</v>
      </c>
      <c r="CF1263" s="60" t="n">
        <f aca="false">IF(BT1263=1,0,IFERROR(VLOOKUP(BR1263,'Gebinde-Kategorie'!$A$5:$M$45,5,0)+0,0))</f>
        <v>21</v>
      </c>
      <c r="CG1263" s="60" t="n">
        <f aca="false">IFERROR(IF(OR(BX1263=1,BX1263=2,BX1263=3),N(INDEX(Parameter!$I$5:$I$7,BX1263)),0),0)</f>
        <v>0</v>
      </c>
      <c r="CH1263" s="59" t="n">
        <f aca="false">IF(AND(Parameter!$B$21="Ja",ISNUMBER(W1263),N(X1263)&gt;0),IFERROR(N(INDEX(Parameter!$L$5:$L$7,W1263))*INDEX(Parameter!$E$5:$E$7,W1263)*X1263/SUMIFS($X$7:$X$1843,$W$7:$W$1843,W1263),0),0)</f>
        <v>0</v>
      </c>
    </row>
    <row r="1264" customFormat="false" ht="15" hidden="false" customHeight="false" outlineLevel="0" collapsed="false">
      <c r="A1264" s="55" t="s">
        <v>2257</v>
      </c>
      <c r="B1264" s="55" t="s">
        <v>2258</v>
      </c>
      <c r="C1264" s="55" t="s">
        <v>164</v>
      </c>
      <c r="D1264" s="55" t="s">
        <v>995</v>
      </c>
      <c r="E1264" s="55"/>
      <c r="F1264" s="55" t="s">
        <v>218</v>
      </c>
      <c r="G1264" s="56" t="n">
        <v>834.75</v>
      </c>
      <c r="H1264" s="57" t="n">
        <f aca="false">MAX(0,IF(AND(Parameter!$B$21="Ja",ISNUMBER(Y1264)),Y1264,IF(Parameter!$B$20="Jahresanfang 2025 + Export",BL1264+BK1264,BK1264)))</f>
        <v>3</v>
      </c>
      <c r="I1264" s="57" t="n">
        <f aca="false">H1264*G1264</f>
        <v>2504.25</v>
      </c>
      <c r="J1264" s="57" t="n">
        <f aca="false">BN1264*Parameter!$B$18</f>
        <v>0</v>
      </c>
      <c r="K1264" s="58" t="n">
        <v>2</v>
      </c>
      <c r="L1264" s="59" t="n">
        <v>0</v>
      </c>
      <c r="M1264" s="57" t="n">
        <v>1</v>
      </c>
      <c r="N1264" s="57" t="n">
        <v>1</v>
      </c>
      <c r="O1264" s="60" t="n">
        <v>7</v>
      </c>
      <c r="P1264" s="55" t="s">
        <v>168</v>
      </c>
      <c r="Q1264" s="57"/>
      <c r="R1264" s="60" t="n">
        <f aca="false">IF(BT1264=1,0,IFERROR(VLOOKUP(BR1264,'Gebinde-Kategorie'!$A$5:$M$45,13,0)+0,0))</f>
        <v>0</v>
      </c>
      <c r="S1264" s="61"/>
      <c r="T1264" s="62"/>
      <c r="U1264" s="62"/>
      <c r="V1264" s="62"/>
      <c r="W1264" s="55"/>
      <c r="X1264" s="57"/>
      <c r="Y1264" s="57"/>
      <c r="Z1264" s="55" t="str">
        <f aca="false">IF(A1264="","",IF(AND(Parameter!$B$21="Ja",ISNUMBER(W1264)),W1264,IF(BV1264="2+3",IF(ISNUMBER(SEARCH("grosser Artikel",BO1264)),2,IFERROR(VLOOKUP(BR1264,Parameter!$F$35:$G$64,2,0),2)),IF(OR(BV1264="Nein",BV1264=""),"-",BV1264))))</f>
        <v>-</v>
      </c>
      <c r="AA1264" s="62"/>
      <c r="AB1264" s="63"/>
      <c r="AC1264" s="57" t="n">
        <f aca="false">AR1264</f>
        <v>2</v>
      </c>
      <c r="AD1264" s="57" t="n">
        <f aca="false">MAX(AR1264,H1264)</f>
        <v>3</v>
      </c>
      <c r="AE1264" s="64"/>
      <c r="AF1264" s="57" t="n">
        <f aca="false">IF(LEFT(Cockpit!$C$5,1)="A",H1264,IF(CA1264=1,CB1264,IF(LEFT(Cockpit!$C$5,1)="B",AJ1264,MAX(AJ1264,H1264))))</f>
        <v>3</v>
      </c>
      <c r="AG1264" s="57" t="n">
        <f aca="false">IF(BT1264=1,0,ROUNDUP(AF1264/BS1264,0))</f>
        <v>0</v>
      </c>
      <c r="AH1264" s="59" t="n">
        <f aca="false">IF(CH1264&gt;0,CH1264*MAX(1,AF1264/X1264),IF(BT1264=1,IF(AF1264&lt;=0,0,BW1264*MAX(1,IF(H1264&gt;0,AF1264/H1264,1))),IF(R1264&gt;0,AG1264/R1264,0))/MAX(0.1,N(Parameter!$M$21)))</f>
        <v>0.15</v>
      </c>
      <c r="AI1264" s="57" t="n">
        <f aca="false">AF1264*G1264</f>
        <v>2504.25</v>
      </c>
      <c r="AJ1264" s="57" t="n">
        <f aca="false">ROUNDUP(MAX(J1264/IF(BZ1264&gt;0,BZ1264,MAX(0.1,N(Cockpit!$C$6))),CC1264)/BS1264,0)*BS1264</f>
        <v>2</v>
      </c>
      <c r="AK1264" s="58" t="n">
        <f aca="false">IF(AH1264&gt;0,J1264/AH1264,-1)</f>
        <v>0</v>
      </c>
      <c r="AL1264" s="58" t="str">
        <f aca="false">IF(AND(OR(BY1264="L1",BY1264="L23"),AH1264&gt;0),SUMIFS($AH$7:$AH$1843,$BY$7:$BY$1843,BY1264,$AK$7:$AK$1843,"&gt;"&amp;AK1264)+SUMIFS($AH$7:$AH$1843,$BY$7:$BY$1843,BY1264,$AK$7:$AK$1843,AK1264,$BQ$7:$BQ$1843,"&lt;="&amp;BQ1264),"")</f>
        <v/>
      </c>
      <c r="AM1264" s="65" t="n">
        <f aca="false">IF(AL1264="",0,MAX(0,MIN(1,(IF(BY1264="L1",Parameter!$E$5,Parameter!$E$6+Parameter!$E$7)-(AL1264-AH1264))/AH1264)))</f>
        <v>0</v>
      </c>
      <c r="AN1264" s="57" t="n">
        <f aca="false">IF(LEFT(Cockpit!$I$5,1)="A",H1264,IF(CA1264=1,CB1264,IF(LEFT(Cockpit!$I$5,1)="B",AR1264,MAX(AR1264,H1264))))</f>
        <v>3</v>
      </c>
      <c r="AO1264" s="57" t="n">
        <f aca="false">IF(BT1264=1,0,ROUNDUP(AN1264/BS1264,0))</f>
        <v>0</v>
      </c>
      <c r="AP1264" s="59" t="n">
        <f aca="false">IF(CH1264&gt;0,CH1264*MAX(1,AN1264/X1264),IF(BT1264=1,IF(AN1264&lt;=0,0,BW1264*MAX(1,IF(H1264&gt;0,AN1264/H1264,1))),IF(R1264&gt;0,AO1264/R1264,0))/MAX(0.1,N(Parameter!$M$21)))</f>
        <v>0.15</v>
      </c>
      <c r="AQ1264" s="57" t="n">
        <f aca="false">AN1264*G1264</f>
        <v>2504.25</v>
      </c>
      <c r="AR1264" s="57" t="n">
        <f aca="false">ROUNDUP(MAX(J1264/IF(BZ1264&gt;0,BZ1264,MAX(0.1,N(Cockpit!$I$6))),CC1264)/BS1264,0)*BS1264</f>
        <v>2</v>
      </c>
      <c r="AS1264" s="58" t="n">
        <f aca="false">IF(AP1264&gt;0,J1264/AP1264,-1)</f>
        <v>0</v>
      </c>
      <c r="AT1264" s="58" t="str">
        <f aca="false">IF(AND(OR(BY1264="L1",BY1264="L23"),AP1264&gt;0),SUMIFS($AP$7:$AP$1843,$BY$7:$BY$1843,BY1264,$AS$7:$AS$1843,"&gt;"&amp;AS1264)+SUMIFS($AP$7:$AP$1843,$BY$7:$BY$1843,BY1264,$AS$7:$AS$1843,AS1264,$BQ$7:$BQ$1843,"&lt;="&amp;BQ1264),"")</f>
        <v/>
      </c>
      <c r="AU1264" s="65" t="n">
        <f aca="false">IF(AT1264="",0,MAX(0,MIN(1,(IF(BY1264="L1",Parameter!$E$5,Parameter!$E$6+Parameter!$E$7)-(AT1264-AP1264))/AP1264)))</f>
        <v>0</v>
      </c>
      <c r="AV1264" s="57" t="n">
        <f aca="false">IF(LEFT(Cockpit!$O$5,1)="A",H1264,IF(CA1264=1,CB1264,IF(LEFT(Cockpit!$O$5,1)="B",AZ1264,MAX(AZ1264,H1264))))</f>
        <v>3</v>
      </c>
      <c r="AW1264" s="57" t="n">
        <f aca="false">IF(BT1264=1,0,ROUNDUP(AV1264/BS1264,0))</f>
        <v>0</v>
      </c>
      <c r="AX1264" s="59" t="n">
        <f aca="false">IF(CH1264&gt;0,CH1264*MAX(1,AV1264/X1264),IF(BT1264=1,IF(AV1264&lt;=0,0,BW1264*MAX(1,IF(H1264&gt;0,AV1264/H1264,1))),IF(R1264&gt;0,AW1264/R1264,0))/MAX(0.1,N(Parameter!$M$21)))</f>
        <v>0.15</v>
      </c>
      <c r="AY1264" s="57" t="n">
        <f aca="false">AV1264*G1264</f>
        <v>2504.25</v>
      </c>
      <c r="AZ1264" s="57" t="n">
        <f aca="false">ROUNDUP(MAX(J1264/IF(BZ1264&gt;0,BZ1264,MAX(0.1,N(Cockpit!$O$6))),CC1264)/BS1264,0)*BS1264</f>
        <v>2</v>
      </c>
      <c r="BA1264" s="58" t="n">
        <f aca="false">IF(AX1264&gt;0,J1264/AX1264,-1)</f>
        <v>0</v>
      </c>
      <c r="BB1264" s="58" t="str">
        <f aca="false">IF(AND(OR(BY1264="L1",BY1264="L23"),AX1264&gt;0),SUMIFS($AX$7:$AX$1843,$BY$7:$BY$1843,BY1264,$BA$7:$BA$1843,"&gt;"&amp;BA1264)+SUMIFS($AX$7:$AX$1843,$BY$7:$BY$1843,BY1264,$BA$7:$BA$1843,BA1264,$BQ$7:$BQ$1843,"&lt;="&amp;BQ1264),"")</f>
        <v/>
      </c>
      <c r="BC1264" s="65" t="n">
        <f aca="false">IF(BB1264="",0,MAX(0,MIN(1,(IF(BY1264="L1",Parameter!$E$5,Parameter!$E$6+Parameter!$E$7)-(BB1264-AX1264))/AX1264)))</f>
        <v>0</v>
      </c>
      <c r="BD1264" s="55" t="str">
        <f aca="false">IF(AH1264&lt;=0,"",IF(BY1264="Aussen","Aussenlager",IF(BY1264="-","Nicht im Lift",IF(AM1264&gt;=1,"Lift",IF(AM1264&lt;=0,"Aussenlager","teilweise")))))</f>
        <v>Nicht im Lift</v>
      </c>
      <c r="BE1264" s="55" t="str">
        <f aca="false">IF(AP1264&lt;=0,"",IF(BY1264="Aussen","Aussenlager",IF(BY1264="-","Nicht im Lift",IF(AU1264&gt;=1,"Lift",IF(AU1264&lt;=0,"Aussenlager","teilweise")))))</f>
        <v>Nicht im Lift</v>
      </c>
      <c r="BF1264" s="55" t="str">
        <f aca="false">IF(AX1264&lt;=0,"",IF(BY1264="Aussen","Aussenlager",IF(BY1264="-","Nicht im Lift",IF(BC1264&gt;=1,"Lift",IF(BC1264&lt;=0,"Aussenlager","teilweise")))))</f>
        <v>Nicht im Lift</v>
      </c>
      <c r="BG1264" s="55" t="str">
        <f aca="false">IF(A1264="","",IF(BP1264=1,"Neu; ","")&amp;IF(AND(BP1264=0,BK1264&lt;0),"negativer Bestand (Export "&amp;BK1264&amp;"); ","")&amp;IF(J1264&lt;=0,"Kein Verbrauch; ","")&amp;IF(CH1264&gt;0,"Lift "&amp;W1264&amp;" lt. Liftbericht (Fach "&amp;X1264&amp;" Stk); ",IF(BU1264=1,"Gebinde geschätzt ("&amp;T1264&amp;"); ",IF(BT1264=1,"Lose – Tablare geschätzt; ","")))&amp;IF(H1264&gt;AR1264,"Überbestand "&amp;ROUND(H1264-AR1264,0)&amp;" Stk / CHF "&amp;ROUND((H1264-AR1264)*G1264,0)&amp;"; ","")&amp;IF(AND(CA1264=1,CB1264&lt;CC1264),"MAX &lt; MB+LG; ","")&amp;IF(AND(CG1264&gt;0,CF1264*10&gt;CG1264),"zu hoch für Tablar; ","")&amp;IF(AND(BP1264=0,OR(CA1264=1,AA1264&lt;&gt;"",U1264&lt;&gt;"",V1264&lt;&gt;"",AB1264&lt;&gt;"")),"manuell übersteuert; ","")&amp;IF(AND(BT1264=0,R1264=0),"Gebinde unbekannt / Stellmass fehlt; ","")&amp;IF(AND(BT1264=0,N(V1264)&lt;=0,N(Q1264)&lt;=0),"Menge pro Gebinde fehlt (Ist = 1 Gebinde); ","")&amp;BO1264)</f>
        <v>Kein Verbrauch; Lose – Tablare geschätzt; Überbestand 1 Stk / CHF 835; </v>
      </c>
      <c r="BH1264" s="55"/>
      <c r="BI1264" s="55"/>
      <c r="BJ1264" s="62"/>
      <c r="BK1264" s="57" t="n">
        <v>1</v>
      </c>
      <c r="BL1264" s="57" t="n">
        <v>2</v>
      </c>
      <c r="BM1264" s="56" t="n">
        <v>-834.75</v>
      </c>
      <c r="BN1264" s="57" t="n">
        <v>0</v>
      </c>
      <c r="BO1264" s="55"/>
      <c r="BP1264" s="60" t="n">
        <v>0</v>
      </c>
      <c r="BQ1264" s="60" t="n">
        <v>1264</v>
      </c>
      <c r="BR1264" s="55" t="str">
        <f aca="false">IF(U1264&lt;&gt;"",UPPER(TRIM(U1264)),IF(BU1264=1,UPPER(VLOOKUP(T1264,Parameter!$I$27:$K$29,2,0)),IF(P1264="","LOSE",P1264)))</f>
        <v>LOSE</v>
      </c>
      <c r="BS1264" s="57" t="n">
        <f aca="false">IF(BR1264="LOSE",1,IF(N(V1264)&gt;0,V1264,IF(BU1264=1,MAX(1,N(VLOOKUP(T1264,Parameter!$I$27:$K$29,3,0)),H1264,N(N1264)),IF(N(Q1264)&gt;0,Q1264,MAX(1,H1264)))))</f>
        <v>1</v>
      </c>
      <c r="BT1264" s="60" t="n">
        <f aca="false">IF(BR1264="LOSE",1,0)</f>
        <v>1</v>
      </c>
      <c r="BU1264" s="60" t="n">
        <f aca="false">IF(AND(U1264="",OR(P1264="",P1264="LOSE"),T1264&lt;&gt;"",N(S1264)&lt;=0,ISNUMBER(MATCH(T1264,Parameter!$I$27:$I$29,0))),1,0)</f>
        <v>0</v>
      </c>
      <c r="BV1264" s="55" t="str">
        <f aca="false">IF(AND(Parameter!$B$19="Ja",E1264&lt;&gt;"",ISNUMBER(MATCH(E1264,Parameter!$I$35:$I$52,0))),VLOOKUP(E1264,Parameter!$I$35:$J$52,2,0),IFERROR(VLOOKUP(D1264,Parameter!$A$35:$C$64,2,0),"Nein"))</f>
        <v>Nein</v>
      </c>
      <c r="BW1264" s="59" t="n">
        <f aca="false">IF(BT1264=0,0,IF(N(S1264)&gt;0,S1264,IFERROR(VLOOKUP(D1264,Parameter!$A$35:$C$64,3,0)+0,0)))</f>
        <v>0.15</v>
      </c>
      <c r="BX1264" s="55" t="str">
        <f aca="false">IF(AA1264&lt;&gt;"",AA1264,Z1264)</f>
        <v>-</v>
      </c>
      <c r="BY1264" s="55" t="str">
        <f aca="false">IF(BX1264=1,"L1",IF(OR(BX1264=2,BX1264=3),"L23",IF(BX1264="Aussen","Aussen","-")))</f>
        <v>-</v>
      </c>
      <c r="BZ1264" s="66" t="n">
        <f aca="false">IF(N(AB1264)&gt;0,AB1264,0)</f>
        <v>0</v>
      </c>
      <c r="CA1264" s="60" t="n">
        <f aca="false">IF(ISNUMBER(AE1264),1,0)</f>
        <v>0</v>
      </c>
      <c r="CB1264" s="57" t="n">
        <f aca="false">N(AE1264)</f>
        <v>0</v>
      </c>
      <c r="CC1264" s="57" t="n">
        <f aca="false">N(M1264)+N(N1264)</f>
        <v>2</v>
      </c>
      <c r="CD1264" s="57" t="n">
        <f aca="false">ROUNDUP(H1264/BS1264,0)</f>
        <v>3</v>
      </c>
      <c r="CE1264" s="57" t="n">
        <f aca="false">ROUNDUP(CB1264/BS1264,0)</f>
        <v>0</v>
      </c>
      <c r="CF1264" s="60" t="n">
        <f aca="false">IF(BT1264=1,0,IFERROR(VLOOKUP(BR1264,'Gebinde-Kategorie'!$A$5:$M$45,5,0)+0,0))</f>
        <v>0</v>
      </c>
      <c r="CG1264" s="60" t="n">
        <f aca="false">IFERROR(IF(OR(BX1264=1,BX1264=2,BX1264=3),N(INDEX(Parameter!$I$5:$I$7,BX1264)),0),0)</f>
        <v>0</v>
      </c>
      <c r="CH1264" s="59" t="n">
        <f aca="false">IF(AND(Parameter!$B$21="Ja",ISNUMBER(W1264),N(X1264)&gt;0),IFERROR(N(INDEX(Parameter!$L$5:$L$7,W1264))*INDEX(Parameter!$E$5:$E$7,W1264)*X1264/SUMIFS($X$7:$X$1843,$W$7:$W$1843,W1264),0),0)</f>
        <v>0</v>
      </c>
    </row>
    <row r="1265" customFormat="false" ht="15" hidden="false" customHeight="false" outlineLevel="0" collapsed="false">
      <c r="A1265" s="55" t="s">
        <v>2259</v>
      </c>
      <c r="B1265" s="55" t="s">
        <v>2260</v>
      </c>
      <c r="C1265" s="55" t="s">
        <v>164</v>
      </c>
      <c r="D1265" s="55" t="s">
        <v>184</v>
      </c>
      <c r="E1265" s="55" t="s">
        <v>185</v>
      </c>
      <c r="F1265" s="55" t="s">
        <v>218</v>
      </c>
      <c r="G1265" s="56" t="n">
        <v>28.7</v>
      </c>
      <c r="H1265" s="57" t="n">
        <f aca="false">MAX(0,IF(AND(Parameter!$B$21="Ja",ISNUMBER(Y1265)),Y1265,IF(Parameter!$B$20="Jahresanfang 2025 + Export",BL1265+BK1265,BK1265)))</f>
        <v>110</v>
      </c>
      <c r="I1265" s="57" t="n">
        <f aca="false">H1265*G1265</f>
        <v>3157</v>
      </c>
      <c r="J1265" s="57" t="n">
        <f aca="false">BN1265*Parameter!$B$18</f>
        <v>19</v>
      </c>
      <c r="K1265" s="58" t="n">
        <v>130.5</v>
      </c>
      <c r="L1265" s="59" t="n">
        <v>0.145593869731801</v>
      </c>
      <c r="M1265" s="57" t="n">
        <v>1</v>
      </c>
      <c r="N1265" s="57" t="n">
        <v>20</v>
      </c>
      <c r="O1265" s="60" t="n">
        <v>28</v>
      </c>
      <c r="P1265" s="55" t="s">
        <v>226</v>
      </c>
      <c r="Q1265" s="57" t="n">
        <v>183</v>
      </c>
      <c r="R1265" s="60" t="n">
        <f aca="false">IF(BT1265=1,0,IFERROR(VLOOKUP(BR1265,'Gebinde-Kategorie'!$A$5:$M$45,13,0)+0,0))</f>
        <v>12</v>
      </c>
      <c r="S1265" s="61"/>
      <c r="T1265" s="62"/>
      <c r="U1265" s="62"/>
      <c r="V1265" s="62"/>
      <c r="W1265" s="55"/>
      <c r="X1265" s="57"/>
      <c r="Y1265" s="57"/>
      <c r="Z1265" s="55" t="n">
        <f aca="false">IF(A1265="","",IF(AND(Parameter!$B$21="Ja",ISNUMBER(W1265)),W1265,IF(BV1265="2+3",IF(ISNUMBER(SEARCH("grosser Artikel",BO1265)),2,IFERROR(VLOOKUP(BR1265,Parameter!$F$35:$G$64,2,0),2)),IF(OR(BV1265="Nein",BV1265=""),"-",BV1265))))</f>
        <v>2</v>
      </c>
      <c r="AA1265" s="62"/>
      <c r="AB1265" s="63"/>
      <c r="AC1265" s="57" t="n">
        <f aca="false">AR1265</f>
        <v>183</v>
      </c>
      <c r="AD1265" s="57" t="n">
        <f aca="false">MAX(AR1265,H1265)</f>
        <v>183</v>
      </c>
      <c r="AE1265" s="64"/>
      <c r="AF1265" s="57" t="n">
        <f aca="false">IF(LEFT(Cockpit!$C$5,1)="A",H1265,IF(CA1265=1,CB1265,IF(LEFT(Cockpit!$C$5,1)="B",AJ1265,MAX(AJ1265,H1265))))</f>
        <v>110</v>
      </c>
      <c r="AG1265" s="57" t="n">
        <f aca="false">IF(BT1265=1,0,ROUNDUP(AF1265/BS1265,0))</f>
        <v>1</v>
      </c>
      <c r="AH1265" s="59" t="n">
        <f aca="false">IF(CH1265&gt;0,CH1265*MAX(1,AF1265/X1265),IF(BT1265=1,IF(AF1265&lt;=0,0,BW1265*MAX(1,IF(H1265&gt;0,AF1265/H1265,1))),IF(R1265&gt;0,AG1265/R1265,0))/MAX(0.1,N(Parameter!$M$21)))</f>
        <v>0.0833333333333333</v>
      </c>
      <c r="AI1265" s="57" t="n">
        <f aca="false">AF1265*G1265</f>
        <v>3157</v>
      </c>
      <c r="AJ1265" s="57" t="n">
        <f aca="false">ROUNDUP(MAX(J1265/IF(BZ1265&gt;0,BZ1265,MAX(0.1,N(Cockpit!$C$6))),CC1265)/BS1265,0)*BS1265</f>
        <v>183</v>
      </c>
      <c r="AK1265" s="58" t="n">
        <f aca="false">IF(AH1265&gt;0,J1265/AH1265,-1)</f>
        <v>228</v>
      </c>
      <c r="AL1265" s="58" t="n">
        <f aca="false">IF(AND(OR(BY1265="L1",BY1265="L23"),AH1265&gt;0),SUMIFS($AH$7:$AH$1843,$BY$7:$BY$1843,BY1265,$AK$7:$AK$1843,"&gt;"&amp;AK1265)+SUMIFS($AH$7:$AH$1843,$BY$7:$BY$1843,BY1265,$AK$7:$AK$1843,AK1265,$BQ$7:$BQ$1843,"&lt;="&amp;BQ1265),"")</f>
        <v>31.4115148136887</v>
      </c>
      <c r="AM1265" s="65" t="n">
        <f aca="false">IF(AL1265="",0,MAX(0,MIN(1,(IF(BY1265="L1",Parameter!$E$5,Parameter!$E$6+Parameter!$E$7)-(AL1265-AH1265))/AH1265)))</f>
        <v>1</v>
      </c>
      <c r="AN1265" s="57" t="n">
        <f aca="false">IF(LEFT(Cockpit!$I$5,1)="A",H1265,IF(CA1265=1,CB1265,IF(LEFT(Cockpit!$I$5,1)="B",AR1265,MAX(AR1265,H1265))))</f>
        <v>183</v>
      </c>
      <c r="AO1265" s="57" t="n">
        <f aca="false">IF(BT1265=1,0,ROUNDUP(AN1265/BS1265,0))</f>
        <v>1</v>
      </c>
      <c r="AP1265" s="59" t="n">
        <f aca="false">IF(CH1265&gt;0,CH1265*MAX(1,AN1265/X1265),IF(BT1265=1,IF(AN1265&lt;=0,0,BW1265*MAX(1,IF(H1265&gt;0,AN1265/H1265,1))),IF(R1265&gt;0,AO1265/R1265,0))/MAX(0.1,N(Parameter!$M$21)))</f>
        <v>0.0833333333333333</v>
      </c>
      <c r="AQ1265" s="57" t="n">
        <f aca="false">AN1265*G1265</f>
        <v>5252.1</v>
      </c>
      <c r="AR1265" s="57" t="n">
        <f aca="false">ROUNDUP(MAX(J1265/IF(BZ1265&gt;0,BZ1265,MAX(0.1,N(Cockpit!$I$6))),CC1265)/BS1265,0)*BS1265</f>
        <v>183</v>
      </c>
      <c r="AS1265" s="58" t="n">
        <f aca="false">IF(AP1265&gt;0,J1265/AP1265,-1)</f>
        <v>228</v>
      </c>
      <c r="AT1265" s="58" t="n">
        <f aca="false">IF(AND(OR(BY1265="L1",BY1265="L23"),AP1265&gt;0),SUMIFS($AP$7:$AP$1843,$BY$7:$BY$1843,BY1265,$AS$7:$AS$1843,"&gt;"&amp;AS1265)+SUMIFS($AP$7:$AP$1843,$BY$7:$BY$1843,BY1265,$AS$7:$AS$1843,AS1265,$BQ$7:$BQ$1843,"&lt;="&amp;BQ1265),"")</f>
        <v>44.8385527515962</v>
      </c>
      <c r="AU1265" s="65" t="n">
        <f aca="false">IF(AT1265="",0,MAX(0,MIN(1,(IF(BY1265="L1",Parameter!$E$5,Parameter!$E$6+Parameter!$E$7)-(AT1265-AP1265))/AP1265)))</f>
        <v>1</v>
      </c>
      <c r="AV1265" s="57" t="n">
        <f aca="false">IF(LEFT(Cockpit!$O$5,1)="A",H1265,IF(CA1265=1,CB1265,IF(LEFT(Cockpit!$O$5,1)="B",AZ1265,MAX(AZ1265,H1265))))</f>
        <v>183</v>
      </c>
      <c r="AW1265" s="57" t="n">
        <f aca="false">IF(BT1265=1,0,ROUNDUP(AV1265/BS1265,0))</f>
        <v>1</v>
      </c>
      <c r="AX1265" s="59" t="n">
        <f aca="false">IF(CH1265&gt;0,CH1265*MAX(1,AV1265/X1265),IF(BT1265=1,IF(AV1265&lt;=0,0,BW1265*MAX(1,IF(H1265&gt;0,AV1265/H1265,1))),IF(R1265&gt;0,AW1265/R1265,0))/MAX(0.1,N(Parameter!$M$21)))</f>
        <v>0.0833333333333333</v>
      </c>
      <c r="AY1265" s="57" t="n">
        <f aca="false">AV1265*G1265</f>
        <v>5252.1</v>
      </c>
      <c r="AZ1265" s="57" t="n">
        <f aca="false">ROUNDUP(MAX(J1265/IF(BZ1265&gt;0,BZ1265,MAX(0.1,N(Cockpit!$O$6))),CC1265)/BS1265,0)*BS1265</f>
        <v>183</v>
      </c>
      <c r="BA1265" s="58" t="n">
        <f aca="false">IF(AX1265&gt;0,J1265/AX1265,-1)</f>
        <v>228</v>
      </c>
      <c r="BB1265" s="58" t="n">
        <f aca="false">IF(AND(OR(BY1265="L1",BY1265="L23"),AX1265&gt;0),SUMIFS($AX$7:$AX$1843,$BY$7:$BY$1843,BY1265,$BA$7:$BA$1843,"&gt;"&amp;BA1265)+SUMIFS($AX$7:$AX$1843,$BY$7:$BY$1843,BY1265,$BA$7:$BA$1843,BA1265,$BQ$7:$BQ$1843,"&lt;="&amp;BQ1265),"")</f>
        <v>42.0850562480997</v>
      </c>
      <c r="BC1265" s="65" t="n">
        <f aca="false">IF(BB1265="",0,MAX(0,MIN(1,(IF(BY1265="L1",Parameter!$E$5,Parameter!$E$6+Parameter!$E$7)-(BB1265-AX1265))/AX1265)))</f>
        <v>1</v>
      </c>
      <c r="BD1265" s="55" t="str">
        <f aca="false">IF(AH1265&lt;=0,"",IF(BY1265="Aussen","Aussenlager",IF(BY1265="-","Nicht im Lift",IF(AM1265&gt;=1,"Lift",IF(AM1265&lt;=0,"Aussenlager","teilweise")))))</f>
        <v>Lift</v>
      </c>
      <c r="BE1265" s="55" t="str">
        <f aca="false">IF(AP1265&lt;=0,"",IF(BY1265="Aussen","Aussenlager",IF(BY1265="-","Nicht im Lift",IF(AU1265&gt;=1,"Lift",IF(AU1265&lt;=0,"Aussenlager","teilweise")))))</f>
        <v>Lift</v>
      </c>
      <c r="BF1265" s="55" t="str">
        <f aca="false">IF(AX1265&lt;=0,"",IF(BY1265="Aussen","Aussenlager",IF(BY1265="-","Nicht im Lift",IF(BC1265&gt;=1,"Lift",IF(BC1265&lt;=0,"Aussenlager","teilweise")))))</f>
        <v>Lift</v>
      </c>
      <c r="BG1265" s="55" t="str">
        <f aca="false">IF(A1265="","",IF(BP1265=1,"Neu; ","")&amp;IF(AND(BP1265=0,BK1265&lt;0),"negativer Bestand (Export "&amp;BK1265&amp;"); ","")&amp;IF(J1265&lt;=0,"Kein Verbrauch; ","")&amp;IF(CH1265&gt;0,"Lift "&amp;W1265&amp;" lt. Liftbericht (Fach "&amp;X1265&amp;" Stk); ",IF(BU1265=1,"Gebinde geschätzt ("&amp;T1265&amp;"); ",IF(BT1265=1,"Lose – Tablare geschätzt; ","")))&amp;IF(H1265&gt;AR1265,"Überbestand "&amp;ROUND(H1265-AR1265,0)&amp;" Stk / CHF "&amp;ROUND((H1265-AR1265)*G1265,0)&amp;"; ","")&amp;IF(AND(CA1265=1,CB1265&lt;CC1265),"MAX &lt; MB+LG; ","")&amp;IF(AND(CG1265&gt;0,CF1265*10&gt;CG1265),"zu hoch für Tablar; ","")&amp;IF(AND(BP1265=0,OR(CA1265=1,AA1265&lt;&gt;"",U1265&lt;&gt;"",V1265&lt;&gt;"",AB1265&lt;&gt;"")),"manuell übersteuert; ","")&amp;IF(AND(BT1265=0,R1265=0),"Gebinde unbekannt / Stellmass fehlt; ","")&amp;IF(AND(BT1265=0,N(V1265)&lt;=0,N(Q1265)&lt;=0),"Menge pro Gebinde fehlt (Ist = 1 Gebinde); ","")&amp;BO1265)</f>
        <v>negativer Bestand (Export -30); Überbestand</v>
      </c>
      <c r="BH1265" s="55"/>
      <c r="BI1265" s="55"/>
      <c r="BJ1265" s="62"/>
      <c r="BK1265" s="57" t="n">
        <v>-30</v>
      </c>
      <c r="BL1265" s="57" t="n">
        <v>140</v>
      </c>
      <c r="BM1265" s="56" t="n">
        <v>-861</v>
      </c>
      <c r="BN1265" s="57" t="n">
        <v>19</v>
      </c>
      <c r="BO1265" s="55" t="s">
        <v>392</v>
      </c>
      <c r="BP1265" s="60" t="n">
        <v>0</v>
      </c>
      <c r="BQ1265" s="60" t="n">
        <v>1265</v>
      </c>
      <c r="BR1265" s="55" t="str">
        <f aca="false">IF(U1265&lt;&gt;"",UPPER(TRIM(U1265)),IF(BU1265=1,UPPER(VLOOKUP(T1265,Parameter!$I$27:$K$29,2,0)),IF(P1265="","LOSE",P1265)))</f>
        <v>S63</v>
      </c>
      <c r="BS1265" s="57" t="n">
        <f aca="false">IF(BR1265="LOSE",1,IF(N(V1265)&gt;0,V1265,IF(BU1265=1,MAX(1,N(VLOOKUP(T1265,Parameter!$I$27:$K$29,3,0)),H1265,N(N1265)),IF(N(Q1265)&gt;0,Q1265,MAX(1,H1265)))))</f>
        <v>183</v>
      </c>
      <c r="BT1265" s="60" t="n">
        <f aca="false">IF(BR1265="LOSE",1,0)</f>
        <v>0</v>
      </c>
      <c r="BU1265" s="60" t="n">
        <f aca="false">IF(AND(U1265="",OR(P1265="",P1265="LOSE"),T1265&lt;&gt;"",N(S1265)&lt;=0,ISNUMBER(MATCH(T1265,Parameter!$I$27:$I$29,0))),1,0)</f>
        <v>0</v>
      </c>
      <c r="BV1265" s="55" t="str">
        <f aca="false">IF(AND(Parameter!$B$19="Ja",E1265&lt;&gt;"",ISNUMBER(MATCH(E1265,Parameter!$I$35:$I$52,0))),VLOOKUP(E1265,Parameter!$I$35:$J$52,2,0),IFERROR(VLOOKUP(D1265,Parameter!$A$35:$C$64,2,0),"Nein"))</f>
        <v>2+3</v>
      </c>
      <c r="BW1265" s="59" t="n">
        <f aca="false">IF(BT1265=0,0,IF(N(S1265)&gt;0,S1265,IFERROR(VLOOKUP(D1265,Parameter!$A$35:$C$64,3,0)+0,0)))</f>
        <v>0</v>
      </c>
      <c r="BX1265" s="55" t="n">
        <f aca="false">IF(AA1265&lt;&gt;"",AA1265,Z1265)</f>
        <v>2</v>
      </c>
      <c r="BY1265" s="55" t="str">
        <f aca="false">IF(BX1265=1,"L1",IF(OR(BX1265=2,BX1265=3),"L23",IF(BX1265="Aussen","Aussen","-")))</f>
        <v>L23</v>
      </c>
      <c r="BZ1265" s="66" t="n">
        <f aca="false">IF(N(AB1265)&gt;0,AB1265,0)</f>
        <v>0</v>
      </c>
      <c r="CA1265" s="60" t="n">
        <f aca="false">IF(ISNUMBER(AE1265),1,0)</f>
        <v>0</v>
      </c>
      <c r="CB1265" s="57" t="n">
        <f aca="false">N(AE1265)</f>
        <v>0</v>
      </c>
      <c r="CC1265" s="57" t="n">
        <f aca="false">N(M1265)+N(N1265)</f>
        <v>21</v>
      </c>
      <c r="CD1265" s="57" t="n">
        <f aca="false">ROUNDUP(H1265/BS1265,0)</f>
        <v>1</v>
      </c>
      <c r="CE1265" s="57" t="n">
        <f aca="false">ROUNDUP(CB1265/BS1265,0)</f>
        <v>0</v>
      </c>
      <c r="CF1265" s="60" t="n">
        <f aca="false">IF(BT1265=1,0,IFERROR(VLOOKUP(BR1265,'Gebinde-Kategorie'!$A$5:$M$45,5,0)+0,0))</f>
        <v>31</v>
      </c>
      <c r="CG1265" s="60" t="n">
        <f aca="false">IFERROR(IF(OR(BX1265=1,BX1265=2,BX1265=3),N(INDEX(Parameter!$I$5:$I$7,BX1265)),0),0)</f>
        <v>0</v>
      </c>
      <c r="CH1265" s="59" t="n">
        <f aca="false">IF(AND(Parameter!$B$21="Ja",ISNUMBER(W1265),N(X1265)&gt;0),IFERROR(N(INDEX(Parameter!$L$5:$L$7,W1265))*INDEX(Parameter!$E$5:$E$7,W1265)*X1265/SUMIFS($X$7:$X$1843,$W$7:$W$1843,W1265),0),0)</f>
        <v>0</v>
      </c>
    </row>
    <row r="1266" customFormat="false" ht="15" hidden="false" customHeight="false" outlineLevel="0" collapsed="false">
      <c r="A1266" s="55" t="s">
        <v>2261</v>
      </c>
      <c r="B1266" s="55" t="s">
        <v>2262</v>
      </c>
      <c r="C1266" s="55" t="s">
        <v>164</v>
      </c>
      <c r="D1266" s="55" t="s">
        <v>184</v>
      </c>
      <c r="E1266" s="55"/>
      <c r="F1266" s="55" t="s">
        <v>218</v>
      </c>
      <c r="G1266" s="56" t="n">
        <v>2.98</v>
      </c>
      <c r="H1266" s="57" t="n">
        <f aca="false">MAX(0,IF(AND(Parameter!$B$21="Ja",ISNUMBER(Y1266)),Y1266,IF(Parameter!$B$20="Jahresanfang 2025 + Export",BL1266+BK1266,BK1266)))</f>
        <v>98</v>
      </c>
      <c r="I1266" s="57" t="n">
        <f aca="false">H1266*G1266</f>
        <v>292.04</v>
      </c>
      <c r="J1266" s="57" t="n">
        <f aca="false">BN1266*Parameter!$B$18</f>
        <v>370</v>
      </c>
      <c r="K1266" s="58" t="n">
        <v>236</v>
      </c>
      <c r="L1266" s="59" t="n">
        <v>1.56779661016949</v>
      </c>
      <c r="M1266" s="57" t="n">
        <v>28</v>
      </c>
      <c r="N1266" s="57" t="n">
        <v>370</v>
      </c>
      <c r="O1266" s="60" t="n">
        <v>28</v>
      </c>
      <c r="P1266" s="55" t="s">
        <v>302</v>
      </c>
      <c r="Q1266" s="57" t="n">
        <v>185</v>
      </c>
      <c r="R1266" s="60" t="n">
        <f aca="false">IF(BT1266=1,0,IFERROR(VLOOKUP(BR1266,'Gebinde-Kategorie'!$A$5:$M$45,13,0)+0,0))</f>
        <v>26</v>
      </c>
      <c r="S1266" s="61"/>
      <c r="T1266" s="62"/>
      <c r="U1266" s="62"/>
      <c r="V1266" s="62"/>
      <c r="W1266" s="55"/>
      <c r="X1266" s="57"/>
      <c r="Y1266" s="57"/>
      <c r="Z1266" s="55" t="n">
        <f aca="false">IF(A1266="","",IF(AND(Parameter!$B$21="Ja",ISNUMBER(W1266)),W1266,IF(BV1266="2+3",IF(ISNUMBER(SEARCH("grosser Artikel",BO1266)),2,IFERROR(VLOOKUP(BR1266,Parameter!$F$35:$G$64,2,0),2)),IF(OR(BV1266="Nein",BV1266=""),"-",BV1266))))</f>
        <v>3</v>
      </c>
      <c r="AA1266" s="62"/>
      <c r="AB1266" s="63"/>
      <c r="AC1266" s="57" t="n">
        <f aca="false">AR1266</f>
        <v>555</v>
      </c>
      <c r="AD1266" s="57" t="n">
        <f aca="false">MAX(AR1266,H1266)</f>
        <v>555</v>
      </c>
      <c r="AE1266" s="64"/>
      <c r="AF1266" s="57" t="n">
        <f aca="false">IF(LEFT(Cockpit!$C$5,1)="A",H1266,IF(CA1266=1,CB1266,IF(LEFT(Cockpit!$C$5,1)="B",AJ1266,MAX(AJ1266,H1266))))</f>
        <v>98</v>
      </c>
      <c r="AG1266" s="57" t="n">
        <f aca="false">IF(BT1266=1,0,ROUNDUP(AF1266/BS1266,0))</f>
        <v>1</v>
      </c>
      <c r="AH1266" s="59" t="n">
        <f aca="false">IF(CH1266&gt;0,CH1266*MAX(1,AF1266/X1266),IF(BT1266=1,IF(AF1266&lt;=0,0,BW1266*MAX(1,IF(H1266&gt;0,AF1266/H1266,1))),IF(R1266&gt;0,AG1266/R1266,0))/MAX(0.1,N(Parameter!$M$21)))</f>
        <v>0.0384615384615385</v>
      </c>
      <c r="AI1266" s="57" t="n">
        <f aca="false">AF1266*G1266</f>
        <v>292.04</v>
      </c>
      <c r="AJ1266" s="57" t="n">
        <f aca="false">ROUNDUP(MAX(J1266/IF(BZ1266&gt;0,BZ1266,MAX(0.1,N(Cockpit!$C$6))),CC1266)/BS1266,0)*BS1266</f>
        <v>555</v>
      </c>
      <c r="AK1266" s="58" t="n">
        <f aca="false">IF(AH1266&gt;0,J1266/AH1266,-1)</f>
        <v>9620</v>
      </c>
      <c r="AL1266" s="58" t="n">
        <f aca="false">IF(AND(OR(BY1266="L1",BY1266="L23"),AH1266&gt;0),SUMIFS($AH$7:$AH$1843,$BY$7:$BY$1843,BY1266,$AK$7:$AK$1843,"&gt;"&amp;AK1266)+SUMIFS($AH$7:$AH$1843,$BY$7:$BY$1843,BY1266,$AK$7:$AK$1843,AK1266,$BQ$7:$BQ$1843,"&lt;="&amp;BQ1266),"")</f>
        <v>5.48491605013344</v>
      </c>
      <c r="AM1266" s="65" t="n">
        <f aca="false">IF(AL1266="",0,MAX(0,MIN(1,(IF(BY1266="L1",Parameter!$E$5,Parameter!$E$6+Parameter!$E$7)-(AL1266-AH1266))/AH1266)))</f>
        <v>1</v>
      </c>
      <c r="AN1266" s="57" t="n">
        <f aca="false">IF(LEFT(Cockpit!$I$5,1)="A",H1266,IF(CA1266=1,CB1266,IF(LEFT(Cockpit!$I$5,1)="B",AR1266,MAX(AR1266,H1266))))</f>
        <v>555</v>
      </c>
      <c r="AO1266" s="57" t="n">
        <f aca="false">IF(BT1266=1,0,ROUNDUP(AN1266/BS1266,0))</f>
        <v>3</v>
      </c>
      <c r="AP1266" s="59" t="n">
        <f aca="false">IF(CH1266&gt;0,CH1266*MAX(1,AN1266/X1266),IF(BT1266=1,IF(AN1266&lt;=0,0,BW1266*MAX(1,IF(H1266&gt;0,AN1266/H1266,1))),IF(R1266&gt;0,AO1266/R1266,0))/MAX(0.1,N(Parameter!$M$21)))</f>
        <v>0.115384615384615</v>
      </c>
      <c r="AQ1266" s="57" t="n">
        <f aca="false">AN1266*G1266</f>
        <v>1653.9</v>
      </c>
      <c r="AR1266" s="57" t="n">
        <f aca="false">ROUNDUP(MAX(J1266/IF(BZ1266&gt;0,BZ1266,MAX(0.1,N(Cockpit!$I$6))),CC1266)/BS1266,0)*BS1266</f>
        <v>555</v>
      </c>
      <c r="AS1266" s="58" t="n">
        <f aca="false">IF(AP1266&gt;0,J1266/AP1266,-1)</f>
        <v>3206.66666666667</v>
      </c>
      <c r="AT1266" s="58" t="n">
        <f aca="false">IF(AND(OR(BY1266="L1",BY1266="L23"),AP1266&gt;0),SUMIFS($AP$7:$AP$1843,$BY$7:$BY$1843,BY1266,$AS$7:$AS$1843,"&gt;"&amp;AS1266)+SUMIFS($AP$7:$AP$1843,$BY$7:$BY$1843,BY1266,$AS$7:$AS$1843,AS1266,$BQ$7:$BQ$1843,"&lt;="&amp;BQ1266),"")</f>
        <v>15.4128492280666</v>
      </c>
      <c r="AU1266" s="65" t="n">
        <f aca="false">IF(AT1266="",0,MAX(0,MIN(1,(IF(BY1266="L1",Parameter!$E$5,Parameter!$E$6+Parameter!$E$7)-(AT1266-AP1266))/AP1266)))</f>
        <v>1</v>
      </c>
      <c r="AV1266" s="57" t="n">
        <f aca="false">IF(LEFT(Cockpit!$O$5,1)="A",H1266,IF(CA1266=1,CB1266,IF(LEFT(Cockpit!$O$5,1)="B",AZ1266,MAX(AZ1266,H1266))))</f>
        <v>555</v>
      </c>
      <c r="AW1266" s="57" t="n">
        <f aca="false">IF(BT1266=1,0,ROUNDUP(AV1266/BS1266,0))</f>
        <v>3</v>
      </c>
      <c r="AX1266" s="59" t="n">
        <f aca="false">IF(CH1266&gt;0,CH1266*MAX(1,AV1266/X1266),IF(BT1266=1,IF(AV1266&lt;=0,0,BW1266*MAX(1,IF(H1266&gt;0,AV1266/H1266,1))),IF(R1266&gt;0,AW1266/R1266,0))/MAX(0.1,N(Parameter!$M$21)))</f>
        <v>0.115384615384615</v>
      </c>
      <c r="AY1266" s="57" t="n">
        <f aca="false">AV1266*G1266</f>
        <v>1653.9</v>
      </c>
      <c r="AZ1266" s="57" t="n">
        <f aca="false">ROUNDUP(MAX(J1266/IF(BZ1266&gt;0,BZ1266,MAX(0.1,N(Cockpit!$O$6))),CC1266)/BS1266,0)*BS1266</f>
        <v>555</v>
      </c>
      <c r="BA1266" s="58" t="n">
        <f aca="false">IF(AX1266&gt;0,J1266/AX1266,-1)</f>
        <v>3206.66666666667</v>
      </c>
      <c r="BB1266" s="58" t="n">
        <f aca="false">IF(AND(OR(BY1266="L1",BY1266="L23"),AX1266&gt;0),SUMIFS($AX$7:$AX$1843,$BY$7:$BY$1843,BY1266,$BA$7:$BA$1843,"&gt;"&amp;BA1266)+SUMIFS($AX$7:$AX$1843,$BY$7:$BY$1843,BY1266,$BA$7:$BA$1843,BA1266,$BQ$7:$BQ$1843,"&lt;="&amp;BQ1266),"")</f>
        <v>13.9798655450829</v>
      </c>
      <c r="BC1266" s="65" t="n">
        <f aca="false">IF(BB1266="",0,MAX(0,MIN(1,(IF(BY1266="L1",Parameter!$E$5,Parameter!$E$6+Parameter!$E$7)-(BB1266-AX1266))/AX1266)))</f>
        <v>1</v>
      </c>
      <c r="BD1266" s="55" t="str">
        <f aca="false">IF(AH1266&lt;=0,"",IF(BY1266="Aussen","Aussenlager",IF(BY1266="-","Nicht im Lift",IF(AM1266&gt;=1,"Lift",IF(AM1266&lt;=0,"Aussenlager","teilweise")))))</f>
        <v>Lift</v>
      </c>
      <c r="BE1266" s="55" t="str">
        <f aca="false">IF(AP1266&lt;=0,"",IF(BY1266="Aussen","Aussenlager",IF(BY1266="-","Nicht im Lift",IF(AU1266&gt;=1,"Lift",IF(AU1266&lt;=0,"Aussenlager","teilweise")))))</f>
        <v>Lift</v>
      </c>
      <c r="BF1266" s="55" t="str">
        <f aca="false">IF(AX1266&lt;=0,"",IF(BY1266="Aussen","Aussenlager",IF(BY1266="-","Nicht im Lift",IF(BC1266&gt;=1,"Lift",IF(BC1266&lt;=0,"Aussenlager","teilweise")))))</f>
        <v>Lift</v>
      </c>
      <c r="BG1266" s="55" t="str">
        <f aca="false">IF(A1266="","",IF(BP1266=1,"Neu; ","")&amp;IF(AND(BP1266=0,BK1266&lt;0),"negativer Bestand (Export "&amp;BK1266&amp;"); ","")&amp;IF(J1266&lt;=0,"Kein Verbrauch; ","")&amp;IF(CH1266&gt;0,"Lift "&amp;W1266&amp;" lt. Liftbericht (Fach "&amp;X1266&amp;" Stk); ",IF(BU1266=1,"Gebinde geschätzt ("&amp;T1266&amp;"); ",IF(BT1266=1,"Lose – Tablare geschätzt; ","")))&amp;IF(H1266&gt;AR1266,"Überbestand "&amp;ROUND(H1266-AR1266,0)&amp;" Stk / CHF "&amp;ROUND((H1266-AR1266)*G1266,0)&amp;"; ","")&amp;IF(AND(CA1266=1,CB1266&lt;CC1266),"MAX &lt; MB+LG; ","")&amp;IF(AND(CG1266&gt;0,CF1266*10&gt;CG1266),"zu hoch für Tablar; ","")&amp;IF(AND(BP1266=0,OR(CA1266=1,AA1266&lt;&gt;"",U1266&lt;&gt;"",V1266&lt;&gt;"",AB1266&lt;&gt;"")),"manuell übersteuert; ","")&amp;IF(AND(BT1266=0,R1266=0),"Gebinde unbekannt / Stellmass fehlt; ","")&amp;IF(AND(BT1266=0,N(V1266)&lt;=0,N(Q1266)&lt;=0),"Menge pro Gebinde fehlt (Ist = 1 Gebinde); ","")&amp;BO1266)</f>
        <v>negativer Bestand (Export -296); </v>
      </c>
      <c r="BH1266" s="55"/>
      <c r="BI1266" s="55"/>
      <c r="BJ1266" s="62"/>
      <c r="BK1266" s="57" t="n">
        <v>-296</v>
      </c>
      <c r="BL1266" s="57" t="n">
        <v>394</v>
      </c>
      <c r="BM1266" s="56" t="n">
        <v>-874.2</v>
      </c>
      <c r="BN1266" s="57" t="n">
        <v>370</v>
      </c>
      <c r="BO1266" s="55"/>
      <c r="BP1266" s="60" t="n">
        <v>0</v>
      </c>
      <c r="BQ1266" s="60" t="n">
        <v>1266</v>
      </c>
      <c r="BR1266" s="55" t="str">
        <f aca="false">IF(U1266&lt;&gt;"",UPPER(TRIM(U1266)),IF(BU1266=1,UPPER(VLOOKUP(T1266,Parameter!$I$27:$K$29,2,0)),IF(P1266="","LOSE",P1266)))</f>
        <v>S51</v>
      </c>
      <c r="BS1266" s="57" t="n">
        <f aca="false">IF(BR1266="LOSE",1,IF(N(V1266)&gt;0,V1266,IF(BU1266=1,MAX(1,N(VLOOKUP(T1266,Parameter!$I$27:$K$29,3,0)),H1266,N(N1266)),IF(N(Q1266)&gt;0,Q1266,MAX(1,H1266)))))</f>
        <v>185</v>
      </c>
      <c r="BT1266" s="60" t="n">
        <f aca="false">IF(BR1266="LOSE",1,0)</f>
        <v>0</v>
      </c>
      <c r="BU1266" s="60" t="n">
        <f aca="false">IF(AND(U1266="",OR(P1266="",P1266="LOSE"),T1266&lt;&gt;"",N(S1266)&lt;=0,ISNUMBER(MATCH(T1266,Parameter!$I$27:$I$29,0))),1,0)</f>
        <v>0</v>
      </c>
      <c r="BV1266" s="55" t="str">
        <f aca="false">IF(AND(Parameter!$B$19="Ja",E1266&lt;&gt;"",ISNUMBER(MATCH(E1266,Parameter!$I$35:$I$52,0))),VLOOKUP(E1266,Parameter!$I$35:$J$52,2,0),IFERROR(VLOOKUP(D1266,Parameter!$A$35:$C$64,2,0),"Nein"))</f>
        <v>2+3</v>
      </c>
      <c r="BW1266" s="59" t="n">
        <f aca="false">IF(BT1266=0,0,IF(N(S1266)&gt;0,S1266,IFERROR(VLOOKUP(D1266,Parameter!$A$35:$C$64,3,0)+0,0)))</f>
        <v>0</v>
      </c>
      <c r="BX1266" s="55" t="n">
        <f aca="false">IF(AA1266&lt;&gt;"",AA1266,Z1266)</f>
        <v>3</v>
      </c>
      <c r="BY1266" s="55" t="str">
        <f aca="false">IF(BX1266=1,"L1",IF(OR(BX1266=2,BX1266=3),"L23",IF(BX1266="Aussen","Aussen","-")))</f>
        <v>L23</v>
      </c>
      <c r="BZ1266" s="66" t="n">
        <f aca="false">IF(N(AB1266)&gt;0,AB1266,0)</f>
        <v>0</v>
      </c>
      <c r="CA1266" s="60" t="n">
        <f aca="false">IF(ISNUMBER(AE1266),1,0)</f>
        <v>0</v>
      </c>
      <c r="CB1266" s="57" t="n">
        <f aca="false">N(AE1266)</f>
        <v>0</v>
      </c>
      <c r="CC1266" s="57" t="n">
        <f aca="false">N(M1266)+N(N1266)</f>
        <v>398</v>
      </c>
      <c r="CD1266" s="57" t="n">
        <f aca="false">ROUNDUP(H1266/BS1266,0)</f>
        <v>1</v>
      </c>
      <c r="CE1266" s="57" t="n">
        <f aca="false">ROUNDUP(CB1266/BS1266,0)</f>
        <v>0</v>
      </c>
      <c r="CF1266" s="60" t="n">
        <f aca="false">IF(BT1266=1,0,IFERROR(VLOOKUP(BR1266,'Gebinde-Kategorie'!$A$5:$M$45,5,0)+0,0))</f>
        <v>11</v>
      </c>
      <c r="CG1266" s="60" t="n">
        <f aca="false">IFERROR(IF(OR(BX1266=1,BX1266=2,BX1266=3),N(INDEX(Parameter!$I$5:$I$7,BX1266)),0),0)</f>
        <v>0</v>
      </c>
      <c r="CH1266" s="59" t="n">
        <f aca="false">IF(AND(Parameter!$B$21="Ja",ISNUMBER(W1266),N(X1266)&gt;0),IFERROR(N(INDEX(Parameter!$L$5:$L$7,W1266))*INDEX(Parameter!$E$5:$E$7,W1266)*X1266/SUMIFS($X$7:$X$1843,$W$7:$W$1843,W1266),0),0)</f>
        <v>0</v>
      </c>
    </row>
    <row r="1267" customFormat="false" ht="15" hidden="false" customHeight="false" outlineLevel="0" collapsed="false">
      <c r="A1267" s="55" t="s">
        <v>2263</v>
      </c>
      <c r="B1267" s="55" t="s">
        <v>2264</v>
      </c>
      <c r="C1267" s="55" t="s">
        <v>164</v>
      </c>
      <c r="D1267" s="55" t="s">
        <v>353</v>
      </c>
      <c r="E1267" s="55"/>
      <c r="F1267" s="55" t="s">
        <v>218</v>
      </c>
      <c r="G1267" s="56" t="n">
        <v>441.82</v>
      </c>
      <c r="H1267" s="57" t="n">
        <f aca="false">MAX(0,IF(AND(Parameter!$B$21="Ja",ISNUMBER(Y1267)),Y1267,IF(Parameter!$B$20="Jahresanfang 2025 + Export",BL1267+BK1267,BK1267)))</f>
        <v>0</v>
      </c>
      <c r="I1267" s="57" t="n">
        <f aca="false">H1267*G1267</f>
        <v>0</v>
      </c>
      <c r="J1267" s="57" t="n">
        <f aca="false">BN1267*Parameter!$B$18</f>
        <v>0</v>
      </c>
      <c r="K1267" s="58" t="n">
        <v>1</v>
      </c>
      <c r="L1267" s="59" t="n">
        <v>0</v>
      </c>
      <c r="M1267" s="57" t="n">
        <v>0</v>
      </c>
      <c r="N1267" s="57" t="n">
        <v>1</v>
      </c>
      <c r="O1267" s="60" t="n">
        <v>0</v>
      </c>
      <c r="P1267" s="55" t="s">
        <v>168</v>
      </c>
      <c r="Q1267" s="57"/>
      <c r="R1267" s="60" t="n">
        <f aca="false">IF(BT1267=1,0,IFERROR(VLOOKUP(BR1267,'Gebinde-Kategorie'!$A$5:$M$45,13,0)+0,0))</f>
        <v>0</v>
      </c>
      <c r="S1267" s="61"/>
      <c r="T1267" s="62"/>
      <c r="U1267" s="62"/>
      <c r="V1267" s="62"/>
      <c r="W1267" s="55"/>
      <c r="X1267" s="57"/>
      <c r="Y1267" s="57"/>
      <c r="Z1267" s="55" t="str">
        <f aca="false">IF(A1267="","",IF(AND(Parameter!$B$21="Ja",ISNUMBER(W1267)),W1267,IF(BV1267="2+3",IF(ISNUMBER(SEARCH("grosser Artikel",BO1267)),2,IFERROR(VLOOKUP(BR1267,Parameter!$F$35:$G$64,2,0),2)),IF(OR(BV1267="Nein",BV1267=""),"-",BV1267))))</f>
        <v>-</v>
      </c>
      <c r="AA1267" s="62"/>
      <c r="AB1267" s="63"/>
      <c r="AC1267" s="57" t="n">
        <f aca="false">AR1267</f>
        <v>1</v>
      </c>
      <c r="AD1267" s="57" t="n">
        <f aca="false">MAX(AR1267,H1267)</f>
        <v>1</v>
      </c>
      <c r="AE1267" s="64"/>
      <c r="AF1267" s="57" t="n">
        <f aca="false">IF(LEFT(Cockpit!$C$5,1)="A",H1267,IF(CA1267=1,CB1267,IF(LEFT(Cockpit!$C$5,1)="B",AJ1267,MAX(AJ1267,H1267))))</f>
        <v>0</v>
      </c>
      <c r="AG1267" s="57" t="n">
        <f aca="false">IF(BT1267=1,0,ROUNDUP(AF1267/BS1267,0))</f>
        <v>0</v>
      </c>
      <c r="AH1267" s="59" t="n">
        <f aca="false">IF(CH1267&gt;0,CH1267*MAX(1,AF1267/X1267),IF(BT1267=1,IF(AF1267&lt;=0,0,BW1267*MAX(1,IF(H1267&gt;0,AF1267/H1267,1))),IF(R1267&gt;0,AG1267/R1267,0))/MAX(0.1,N(Parameter!$M$21)))</f>
        <v>0</v>
      </c>
      <c r="AI1267" s="57" t="n">
        <f aca="false">AF1267*G1267</f>
        <v>0</v>
      </c>
      <c r="AJ1267" s="57" t="n">
        <f aca="false">ROUNDUP(MAX(J1267/IF(BZ1267&gt;0,BZ1267,MAX(0.1,N(Cockpit!$C$6))),CC1267)/BS1267,0)*BS1267</f>
        <v>1</v>
      </c>
      <c r="AK1267" s="58" t="n">
        <f aca="false">IF(AH1267&gt;0,J1267/AH1267,-1)</f>
        <v>-1</v>
      </c>
      <c r="AL1267" s="58" t="str">
        <f aca="false">IF(AND(OR(BY1267="L1",BY1267="L23"),AH1267&gt;0),SUMIFS($AH$7:$AH$1843,$BY$7:$BY$1843,BY1267,$AK$7:$AK$1843,"&gt;"&amp;AK1267)+SUMIFS($AH$7:$AH$1843,$BY$7:$BY$1843,BY1267,$AK$7:$AK$1843,AK1267,$BQ$7:$BQ$1843,"&lt;="&amp;BQ1267),"")</f>
        <v/>
      </c>
      <c r="AM1267" s="65" t="n">
        <f aca="false">IF(AL1267="",0,MAX(0,MIN(1,(IF(BY1267="L1",Parameter!$E$5,Parameter!$E$6+Parameter!$E$7)-(AL1267-AH1267))/AH1267)))</f>
        <v>0</v>
      </c>
      <c r="AN1267" s="57" t="n">
        <f aca="false">IF(LEFT(Cockpit!$I$5,1)="A",H1267,IF(CA1267=1,CB1267,IF(LEFT(Cockpit!$I$5,1)="B",AR1267,MAX(AR1267,H1267))))</f>
        <v>1</v>
      </c>
      <c r="AO1267" s="57" t="n">
        <f aca="false">IF(BT1267=1,0,ROUNDUP(AN1267/BS1267,0))</f>
        <v>0</v>
      </c>
      <c r="AP1267" s="59" t="n">
        <f aca="false">IF(CH1267&gt;0,CH1267*MAX(1,AN1267/X1267),IF(BT1267=1,IF(AN1267&lt;=0,0,BW1267*MAX(1,IF(H1267&gt;0,AN1267/H1267,1))),IF(R1267&gt;0,AO1267/R1267,0))/MAX(0.1,N(Parameter!$M$21)))</f>
        <v>0.15</v>
      </c>
      <c r="AQ1267" s="57" t="n">
        <f aca="false">AN1267*G1267</f>
        <v>441.82</v>
      </c>
      <c r="AR1267" s="57" t="n">
        <f aca="false">ROUNDUP(MAX(J1267/IF(BZ1267&gt;0,BZ1267,MAX(0.1,N(Cockpit!$I$6))),CC1267)/BS1267,0)*BS1267</f>
        <v>1</v>
      </c>
      <c r="AS1267" s="58" t="n">
        <f aca="false">IF(AP1267&gt;0,J1267/AP1267,-1)</f>
        <v>0</v>
      </c>
      <c r="AT1267" s="58" t="str">
        <f aca="false">IF(AND(OR(BY1267="L1",BY1267="L23"),AP1267&gt;0),SUMIFS($AP$7:$AP$1843,$BY$7:$BY$1843,BY1267,$AS$7:$AS$1843,"&gt;"&amp;AS1267)+SUMIFS($AP$7:$AP$1843,$BY$7:$BY$1843,BY1267,$AS$7:$AS$1843,AS1267,$BQ$7:$BQ$1843,"&lt;="&amp;BQ1267),"")</f>
        <v/>
      </c>
      <c r="AU1267" s="65" t="n">
        <f aca="false">IF(AT1267="",0,MAX(0,MIN(1,(IF(BY1267="L1",Parameter!$E$5,Parameter!$E$6+Parameter!$E$7)-(AT1267-AP1267))/AP1267)))</f>
        <v>0</v>
      </c>
      <c r="AV1267" s="57" t="n">
        <f aca="false">IF(LEFT(Cockpit!$O$5,1)="A",H1267,IF(CA1267=1,CB1267,IF(LEFT(Cockpit!$O$5,1)="B",AZ1267,MAX(AZ1267,H1267))))</f>
        <v>1</v>
      </c>
      <c r="AW1267" s="57" t="n">
        <f aca="false">IF(BT1267=1,0,ROUNDUP(AV1267/BS1267,0))</f>
        <v>0</v>
      </c>
      <c r="AX1267" s="59" t="n">
        <f aca="false">IF(CH1267&gt;0,CH1267*MAX(1,AV1267/X1267),IF(BT1267=1,IF(AV1267&lt;=0,0,BW1267*MAX(1,IF(H1267&gt;0,AV1267/H1267,1))),IF(R1267&gt;0,AW1267/R1267,0))/MAX(0.1,N(Parameter!$M$21)))</f>
        <v>0.15</v>
      </c>
      <c r="AY1267" s="57" t="n">
        <f aca="false">AV1267*G1267</f>
        <v>441.82</v>
      </c>
      <c r="AZ1267" s="57" t="n">
        <f aca="false">ROUNDUP(MAX(J1267/IF(BZ1267&gt;0,BZ1267,MAX(0.1,N(Cockpit!$O$6))),CC1267)/BS1267,0)*BS1267</f>
        <v>1</v>
      </c>
      <c r="BA1267" s="58" t="n">
        <f aca="false">IF(AX1267&gt;0,J1267/AX1267,-1)</f>
        <v>0</v>
      </c>
      <c r="BB1267" s="58" t="str">
        <f aca="false">IF(AND(OR(BY1267="L1",BY1267="L23"),AX1267&gt;0),SUMIFS($AX$7:$AX$1843,$BY$7:$BY$1843,BY1267,$BA$7:$BA$1843,"&gt;"&amp;BA1267)+SUMIFS($AX$7:$AX$1843,$BY$7:$BY$1843,BY1267,$BA$7:$BA$1843,BA1267,$BQ$7:$BQ$1843,"&lt;="&amp;BQ1267),"")</f>
        <v/>
      </c>
      <c r="BC1267" s="65" t="n">
        <f aca="false">IF(BB1267="",0,MAX(0,MIN(1,(IF(BY1267="L1",Parameter!$E$5,Parameter!$E$6+Parameter!$E$7)-(BB1267-AX1267))/AX1267)))</f>
        <v>0</v>
      </c>
      <c r="BD1267" s="55" t="str">
        <f aca="false">IF(AH1267&lt;=0,"",IF(BY1267="Aussen","Aussenlager",IF(BY1267="-","Nicht im Lift",IF(AM1267&gt;=1,"Lift",IF(AM1267&lt;=0,"Aussenlager","teilweise")))))</f>
        <v/>
      </c>
      <c r="BE1267" s="55" t="str">
        <f aca="false">IF(AP1267&lt;=0,"",IF(BY1267="Aussen","Aussenlager",IF(BY1267="-","Nicht im Lift",IF(AU1267&gt;=1,"Lift",IF(AU1267&lt;=0,"Aussenlager","teilweise")))))</f>
        <v>Nicht im Lift</v>
      </c>
      <c r="BF1267" s="55" t="str">
        <f aca="false">IF(AX1267&lt;=0,"",IF(BY1267="Aussen","Aussenlager",IF(BY1267="-","Nicht im Lift",IF(BC1267&gt;=1,"Lift",IF(BC1267&lt;=0,"Aussenlager","teilweise")))))</f>
        <v>Nicht im Lift</v>
      </c>
      <c r="BG1267" s="55" t="str">
        <f aca="false">IF(A1267="","",IF(BP1267=1,"Neu; ","")&amp;IF(AND(BP1267=0,BK1267&lt;0),"negativer Bestand (Export "&amp;BK1267&amp;"); ","")&amp;IF(J1267&lt;=0,"Kein Verbrauch; ","")&amp;IF(CH1267&gt;0,"Lift "&amp;W1267&amp;" lt. Liftbericht (Fach "&amp;X1267&amp;" Stk); ",IF(BU1267=1,"Gebinde geschätzt ("&amp;T1267&amp;"); ",IF(BT1267=1,"Lose – Tablare geschätzt; ","")))&amp;IF(H1267&gt;AR1267,"Überbestand "&amp;ROUND(H1267-AR1267,0)&amp;" Stk / CHF "&amp;ROUND((H1267-AR1267)*G1267,0)&amp;"; ","")&amp;IF(AND(CA1267=1,CB1267&lt;CC1267),"MAX &lt; MB+LG; ","")&amp;IF(AND(CG1267&gt;0,CF1267*10&gt;CG1267),"zu hoch für Tablar; ","")&amp;IF(AND(BP1267=0,OR(CA1267=1,AA1267&lt;&gt;"",U1267&lt;&gt;"",V1267&lt;&gt;"",AB1267&lt;&gt;"")),"manuell übersteuert; ","")&amp;IF(AND(BT1267=0,R1267=0),"Gebinde unbekannt / Stellmass fehlt; ","")&amp;IF(AND(BT1267=0,N(V1267)&lt;=0,N(Q1267)&lt;=0),"Menge pro Gebinde fehlt (Ist = 1 Gebinde); ","")&amp;BO1267)</f>
        <v>negativer Bestand (Export -2); Kein Verbrauch; Lose – Tablare geschätzt; </v>
      </c>
      <c r="BH1267" s="55"/>
      <c r="BI1267" s="55"/>
      <c r="BJ1267" s="62"/>
      <c r="BK1267" s="57" t="n">
        <v>-2</v>
      </c>
      <c r="BL1267" s="57" t="n">
        <v>2</v>
      </c>
      <c r="BM1267" s="56" t="n">
        <v>-883.64</v>
      </c>
      <c r="BN1267" s="57" t="n">
        <v>0</v>
      </c>
      <c r="BO1267" s="55"/>
      <c r="BP1267" s="60" t="n">
        <v>0</v>
      </c>
      <c r="BQ1267" s="60" t="n">
        <v>1267</v>
      </c>
      <c r="BR1267" s="55" t="str">
        <f aca="false">IF(U1267&lt;&gt;"",UPPER(TRIM(U1267)),IF(BU1267=1,UPPER(VLOOKUP(T1267,Parameter!$I$27:$K$29,2,0)),IF(P1267="","LOSE",P1267)))</f>
        <v>LOSE</v>
      </c>
      <c r="BS1267" s="57" t="n">
        <f aca="false">IF(BR1267="LOSE",1,IF(N(V1267)&gt;0,V1267,IF(BU1267=1,MAX(1,N(VLOOKUP(T1267,Parameter!$I$27:$K$29,3,0)),H1267,N(N1267)),IF(N(Q1267)&gt;0,Q1267,MAX(1,H1267)))))</f>
        <v>1</v>
      </c>
      <c r="BT1267" s="60" t="n">
        <f aca="false">IF(BR1267="LOSE",1,0)</f>
        <v>1</v>
      </c>
      <c r="BU1267" s="60" t="n">
        <f aca="false">IF(AND(U1267="",OR(P1267="",P1267="LOSE"),T1267&lt;&gt;"",N(S1267)&lt;=0,ISNUMBER(MATCH(T1267,Parameter!$I$27:$I$29,0))),1,0)</f>
        <v>0</v>
      </c>
      <c r="BV1267" s="55" t="str">
        <f aca="false">IF(AND(Parameter!$B$19="Ja",E1267&lt;&gt;"",ISNUMBER(MATCH(E1267,Parameter!$I$35:$I$52,0))),VLOOKUP(E1267,Parameter!$I$35:$J$52,2,0),IFERROR(VLOOKUP(D1267,Parameter!$A$35:$C$64,2,0),"Nein"))</f>
        <v>Nein</v>
      </c>
      <c r="BW1267" s="59" t="n">
        <f aca="false">IF(BT1267=0,0,IF(N(S1267)&gt;0,S1267,IFERROR(VLOOKUP(D1267,Parameter!$A$35:$C$64,3,0)+0,0)))</f>
        <v>0.15</v>
      </c>
      <c r="BX1267" s="55" t="str">
        <f aca="false">IF(AA1267&lt;&gt;"",AA1267,Z1267)</f>
        <v>-</v>
      </c>
      <c r="BY1267" s="55" t="str">
        <f aca="false">IF(BX1267=1,"L1",IF(OR(BX1267=2,BX1267=3),"L23",IF(BX1267="Aussen","Aussen","-")))</f>
        <v>-</v>
      </c>
      <c r="BZ1267" s="66" t="n">
        <f aca="false">IF(N(AB1267)&gt;0,AB1267,0)</f>
        <v>0</v>
      </c>
      <c r="CA1267" s="60" t="n">
        <f aca="false">IF(ISNUMBER(AE1267),1,0)</f>
        <v>0</v>
      </c>
      <c r="CB1267" s="57" t="n">
        <f aca="false">N(AE1267)</f>
        <v>0</v>
      </c>
      <c r="CC1267" s="57" t="n">
        <f aca="false">N(M1267)+N(N1267)</f>
        <v>1</v>
      </c>
      <c r="CD1267" s="57" t="n">
        <f aca="false">ROUNDUP(H1267/BS1267,0)</f>
        <v>0</v>
      </c>
      <c r="CE1267" s="57" t="n">
        <f aca="false">ROUNDUP(CB1267/BS1267,0)</f>
        <v>0</v>
      </c>
      <c r="CF1267" s="60" t="n">
        <f aca="false">IF(BT1267=1,0,IFERROR(VLOOKUP(BR1267,'Gebinde-Kategorie'!$A$5:$M$45,5,0)+0,0))</f>
        <v>0</v>
      </c>
      <c r="CG1267" s="60" t="n">
        <f aca="false">IFERROR(IF(OR(BX1267=1,BX1267=2,BX1267=3),N(INDEX(Parameter!$I$5:$I$7,BX1267)),0),0)</f>
        <v>0</v>
      </c>
      <c r="CH1267" s="59" t="n">
        <f aca="false">IF(AND(Parameter!$B$21="Ja",ISNUMBER(W1267),N(X1267)&gt;0),IFERROR(N(INDEX(Parameter!$L$5:$L$7,W1267))*INDEX(Parameter!$E$5:$E$7,W1267)*X1267/SUMIFS($X$7:$X$1843,$W$7:$W$1843,W1267),0),0)</f>
        <v>0</v>
      </c>
    </row>
    <row r="1268" customFormat="false" ht="15" hidden="false" customHeight="false" outlineLevel="0" collapsed="false">
      <c r="A1268" s="55" t="s">
        <v>2265</v>
      </c>
      <c r="B1268" s="55" t="s">
        <v>2266</v>
      </c>
      <c r="C1268" s="55" t="s">
        <v>456</v>
      </c>
      <c r="D1268" s="55" t="s">
        <v>173</v>
      </c>
      <c r="E1268" s="55"/>
      <c r="F1268" s="55" t="s">
        <v>218</v>
      </c>
      <c r="G1268" s="56" t="n">
        <v>132.27</v>
      </c>
      <c r="H1268" s="57" t="n">
        <f aca="false">MAX(0,IF(AND(Parameter!$B$21="Ja",ISNUMBER(Y1268)),Y1268,IF(Parameter!$B$20="Jahresanfang 2025 + Export",BL1268+BK1268,BK1268)))</f>
        <v>0</v>
      </c>
      <c r="I1268" s="57" t="n">
        <f aca="false">H1268*G1268</f>
        <v>0</v>
      </c>
      <c r="J1268" s="57" t="n">
        <f aca="false">BN1268*Parameter!$B$18</f>
        <v>0</v>
      </c>
      <c r="K1268" s="58" t="n">
        <v>3.5</v>
      </c>
      <c r="L1268" s="59" t="n">
        <v>0</v>
      </c>
      <c r="M1268" s="57" t="n">
        <v>0</v>
      </c>
      <c r="N1268" s="57" t="n">
        <v>1</v>
      </c>
      <c r="O1268" s="60" t="n">
        <v>56</v>
      </c>
      <c r="P1268" s="55" t="s">
        <v>168</v>
      </c>
      <c r="Q1268" s="57"/>
      <c r="R1268" s="60" t="n">
        <f aca="false">IF(BT1268=1,0,IFERROR(VLOOKUP(BR1268,'Gebinde-Kategorie'!$A$5:$M$45,13,0)+0,0))</f>
        <v>3</v>
      </c>
      <c r="S1268" s="61"/>
      <c r="T1268" s="62" t="s">
        <v>189</v>
      </c>
      <c r="U1268" s="62"/>
      <c r="V1268" s="62"/>
      <c r="W1268" s="55"/>
      <c r="X1268" s="57"/>
      <c r="Y1268" s="57"/>
      <c r="Z1268" s="55" t="n">
        <f aca="false">IF(A1268="","",IF(AND(Parameter!$B$21="Ja",ISNUMBER(W1268)),W1268,IF(BV1268="2+3",IF(ISNUMBER(SEARCH("grosser Artikel",BO1268)),2,IFERROR(VLOOKUP(BR1268,Parameter!$F$35:$G$64,2,0),2)),IF(OR(BV1268="Nein",BV1268=""),"-",BV1268))))</f>
        <v>2</v>
      </c>
      <c r="AA1268" s="62"/>
      <c r="AB1268" s="63"/>
      <c r="AC1268" s="57" t="n">
        <f aca="false">AR1268</f>
        <v>2</v>
      </c>
      <c r="AD1268" s="57" t="n">
        <f aca="false">MAX(AR1268,H1268)</f>
        <v>2</v>
      </c>
      <c r="AE1268" s="64"/>
      <c r="AF1268" s="57" t="n">
        <f aca="false">IF(LEFT(Cockpit!$C$5,1)="A",H1268,IF(CA1268=1,CB1268,IF(LEFT(Cockpit!$C$5,1)="B",AJ1268,MAX(AJ1268,H1268))))</f>
        <v>0</v>
      </c>
      <c r="AG1268" s="57" t="n">
        <f aca="false">IF(BT1268=1,0,ROUNDUP(AF1268/BS1268,0))</f>
        <v>0</v>
      </c>
      <c r="AH1268" s="59" t="n">
        <f aca="false">IF(CH1268&gt;0,CH1268*MAX(1,AF1268/X1268),IF(BT1268=1,IF(AF1268&lt;=0,0,BW1268*MAX(1,IF(H1268&gt;0,AF1268/H1268,1))),IF(R1268&gt;0,AG1268/R1268,0))/MAX(0.1,N(Parameter!$M$21)))</f>
        <v>0</v>
      </c>
      <c r="AI1268" s="57" t="n">
        <f aca="false">AF1268*G1268</f>
        <v>0</v>
      </c>
      <c r="AJ1268" s="57" t="n">
        <f aca="false">ROUNDUP(MAX(J1268/IF(BZ1268&gt;0,BZ1268,MAX(0.1,N(Cockpit!$C$6))),CC1268)/BS1268,0)*BS1268</f>
        <v>2</v>
      </c>
      <c r="AK1268" s="58" t="n">
        <f aca="false">IF(AH1268&gt;0,J1268/AH1268,-1)</f>
        <v>-1</v>
      </c>
      <c r="AL1268" s="58" t="str">
        <f aca="false">IF(AND(OR(BY1268="L1",BY1268="L23"),AH1268&gt;0),SUMIFS($AH$7:$AH$1843,$BY$7:$BY$1843,BY1268,$AK$7:$AK$1843,"&gt;"&amp;AK1268)+SUMIFS($AH$7:$AH$1843,$BY$7:$BY$1843,BY1268,$AK$7:$AK$1843,AK1268,$BQ$7:$BQ$1843,"&lt;="&amp;BQ1268),"")</f>
        <v/>
      </c>
      <c r="AM1268" s="65" t="n">
        <f aca="false">IF(AL1268="",0,MAX(0,MIN(1,(IF(BY1268="L1",Parameter!$E$5,Parameter!$E$6+Parameter!$E$7)-(AL1268-AH1268))/AH1268)))</f>
        <v>0</v>
      </c>
      <c r="AN1268" s="57" t="n">
        <f aca="false">IF(LEFT(Cockpit!$I$5,1)="A",H1268,IF(CA1268=1,CB1268,IF(LEFT(Cockpit!$I$5,1)="B",AR1268,MAX(AR1268,H1268))))</f>
        <v>2</v>
      </c>
      <c r="AO1268" s="57" t="n">
        <f aca="false">IF(BT1268=1,0,ROUNDUP(AN1268/BS1268,0))</f>
        <v>1</v>
      </c>
      <c r="AP1268" s="59" t="n">
        <f aca="false">IF(CH1268&gt;0,CH1268*MAX(1,AN1268/X1268),IF(BT1268=1,IF(AN1268&lt;=0,0,BW1268*MAX(1,IF(H1268&gt;0,AN1268/H1268,1))),IF(R1268&gt;0,AO1268/R1268,0))/MAX(0.1,N(Parameter!$M$21)))</f>
        <v>0.333333333333333</v>
      </c>
      <c r="AQ1268" s="57" t="n">
        <f aca="false">AN1268*G1268</f>
        <v>264.54</v>
      </c>
      <c r="AR1268" s="57" t="n">
        <f aca="false">ROUNDUP(MAX(J1268/IF(BZ1268&gt;0,BZ1268,MAX(0.1,N(Cockpit!$I$6))),CC1268)/BS1268,0)*BS1268</f>
        <v>2</v>
      </c>
      <c r="AS1268" s="58" t="n">
        <f aca="false">IF(AP1268&gt;0,J1268/AP1268,-1)</f>
        <v>0</v>
      </c>
      <c r="AT1268" s="58" t="n">
        <f aca="false">IF(AND(OR(BY1268="L1",BY1268="L23"),AP1268&gt;0),SUMIFS($AP$7:$AP$1843,$BY$7:$BY$1843,BY1268,$AS$7:$AS$1843,"&gt;"&amp;AS1268)+SUMIFS($AP$7:$AP$1843,$BY$7:$BY$1843,BY1268,$AS$7:$AS$1843,AS1268,$BQ$7:$BQ$1843,"&lt;="&amp;BQ1268),"")</f>
        <v>124.240946251816</v>
      </c>
      <c r="AU1268" s="65" t="n">
        <f aca="false">IF(AT1268="",0,MAX(0,MIN(1,(IF(BY1268="L1",Parameter!$E$5,Parameter!$E$6+Parameter!$E$7)-(AT1268-AP1268))/AP1268)))</f>
        <v>0</v>
      </c>
      <c r="AV1268" s="57" t="n">
        <f aca="false">IF(LEFT(Cockpit!$O$5,1)="A",H1268,IF(CA1268=1,CB1268,IF(LEFT(Cockpit!$O$5,1)="B",AZ1268,MAX(AZ1268,H1268))))</f>
        <v>2</v>
      </c>
      <c r="AW1268" s="57" t="n">
        <f aca="false">IF(BT1268=1,0,ROUNDUP(AV1268/BS1268,0))</f>
        <v>1</v>
      </c>
      <c r="AX1268" s="59" t="n">
        <f aca="false">IF(CH1268&gt;0,CH1268*MAX(1,AV1268/X1268),IF(BT1268=1,IF(AV1268&lt;=0,0,BW1268*MAX(1,IF(H1268&gt;0,AV1268/H1268,1))),IF(R1268&gt;0,AW1268/R1268,0))/MAX(0.1,N(Parameter!$M$21)))</f>
        <v>0.333333333333333</v>
      </c>
      <c r="AY1268" s="57" t="n">
        <f aca="false">AV1268*G1268</f>
        <v>264.54</v>
      </c>
      <c r="AZ1268" s="57" t="n">
        <f aca="false">ROUNDUP(MAX(J1268/IF(BZ1268&gt;0,BZ1268,MAX(0.1,N(Cockpit!$O$6))),CC1268)/BS1268,0)*BS1268</f>
        <v>2</v>
      </c>
      <c r="BA1268" s="58" t="n">
        <f aca="false">IF(AX1268&gt;0,J1268/AX1268,-1)</f>
        <v>0</v>
      </c>
      <c r="BB1268" s="58" t="n">
        <f aca="false">IF(AND(OR(BY1268="L1",BY1268="L23"),AX1268&gt;0),SUMIFS($AX$7:$AX$1843,$BY$7:$BY$1843,BY1268,$BA$7:$BA$1843,"&gt;"&amp;BA1268)+SUMIFS($AX$7:$AX$1843,$BY$7:$BY$1843,BY1268,$BA$7:$BA$1843,BA1268,$BQ$7:$BQ$1843,"&lt;="&amp;BQ1268),"")</f>
        <v>115.070783081653</v>
      </c>
      <c r="BC1268" s="65" t="n">
        <f aca="false">IF(BB1268="",0,MAX(0,MIN(1,(IF(BY1268="L1",Parameter!$E$5,Parameter!$E$6+Parameter!$E$7)-(BB1268-AX1268))/AX1268)))</f>
        <v>0</v>
      </c>
      <c r="BD1268" s="55" t="str">
        <f aca="false">IF(AH1268&lt;=0,"",IF(BY1268="Aussen","Aussenlager",IF(BY1268="-","Nicht im Lift",IF(AM1268&gt;=1,"Lift",IF(AM1268&lt;=0,"Aussenlager","teilweise")))))</f>
        <v/>
      </c>
      <c r="BE1268" s="55" t="str">
        <f aca="false">IF(AP1268&lt;=0,"",IF(BY1268="Aussen","Aussenlager",IF(BY1268="-","Nicht im Lift",IF(AU1268&gt;=1,"Lift",IF(AU1268&lt;=0,"Aussenlager","teilweise")))))</f>
        <v>Aussenlager</v>
      </c>
      <c r="BF1268" s="55" t="str">
        <f aca="false">IF(AX1268&lt;=0,"",IF(BY1268="Aussen","Aussenlager",IF(BY1268="-","Nicht im Lift",IF(BC1268&gt;=1,"Lift",IF(BC1268&lt;=0,"Aussenlager","teilweise")))))</f>
        <v>Aussenlager</v>
      </c>
      <c r="BG1268" s="55" t="str">
        <f aca="false">IF(A1268="","",IF(BP1268=1,"Neu; ","")&amp;IF(AND(BP1268=0,BK1268&lt;0),"negativer Bestand (Export "&amp;BK1268&amp;"); ","")&amp;IF(J1268&lt;=0,"Kein Verbrauch; ","")&amp;IF(CH1268&gt;0,"Lift "&amp;W1268&amp;" lt. Liftbericht (Fach "&amp;X1268&amp;" Stk); ",IF(BU1268=1,"Gebinde geschätzt ("&amp;T1268&amp;"); ",IF(BT1268=1,"Lose – Tablare geschätzt; ","")))&amp;IF(H1268&gt;AR1268,"Überbestand "&amp;ROUND(H1268-AR1268,0)&amp;" Stk / CHF "&amp;ROUND((H1268-AR1268)*G1268,0)&amp;"; ","")&amp;IF(AND(CA1268=1,CB1268&lt;CC1268),"MAX &lt; MB+LG; ","")&amp;IF(AND(CG1268&gt;0,CF1268*10&gt;CG1268),"zu hoch für Tablar; ","")&amp;IF(AND(BP1268=0,OR(CA1268=1,AA1268&lt;&gt;"",U1268&lt;&gt;"",V1268&lt;&gt;"",AB1268&lt;&gt;"")),"manuell übersteuert; ","")&amp;IF(AND(BT1268=0,R1268=0),"Gebinde unbekannt / Stellmass fehlt; ","")&amp;IF(AND(BT1268=0,N(V1268)&lt;=0,N(Q1268)&lt;=0),"Menge pro Gebinde fehlt (Ist = 1 Gebinde); ","")&amp;BO1268)</f>
        <v>negativer Bestand (Export -7); Kein Verbrauch; Gebinde geschätzt (Gross); Menge pro Gebinde fehlt (Ist = 1 Gebinde); Neuer Art.</v>
      </c>
      <c r="BH1268" s="55"/>
      <c r="BI1268" s="55"/>
      <c r="BJ1268" s="62"/>
      <c r="BK1268" s="57" t="n">
        <v>-7</v>
      </c>
      <c r="BL1268" s="57" t="n">
        <v>7</v>
      </c>
      <c r="BM1268" s="56" t="n">
        <v>-925.89</v>
      </c>
      <c r="BN1268" s="57" t="n">
        <v>0</v>
      </c>
      <c r="BO1268" s="55" t="s">
        <v>512</v>
      </c>
      <c r="BP1268" s="60" t="n">
        <v>0</v>
      </c>
      <c r="BQ1268" s="60" t="n">
        <v>1268</v>
      </c>
      <c r="BR1268" s="55" t="str">
        <f aca="false">IF(U1268&lt;&gt;"",UPPER(TRIM(U1268)),IF(BU1268=1,UPPER(VLOOKUP(T1268,Parameter!$I$27:$K$29,2,0)),IF(P1268="","LOSE",P1268)))</f>
        <v>S81</v>
      </c>
      <c r="BS1268" s="57" t="n">
        <f aca="false">IF(BR1268="LOSE",1,IF(N(V1268)&gt;0,V1268,IF(BU1268=1,MAX(1,N(VLOOKUP(T1268,Parameter!$I$27:$K$29,3,0)),H1268,N(N1268)),IF(N(Q1268)&gt;0,Q1268,MAX(1,H1268)))))</f>
        <v>2</v>
      </c>
      <c r="BT1268" s="60" t="n">
        <f aca="false">IF(BR1268="LOSE",1,0)</f>
        <v>0</v>
      </c>
      <c r="BU1268" s="60" t="n">
        <f aca="false">IF(AND(U1268="",OR(P1268="",P1268="LOSE"),T1268&lt;&gt;"",N(S1268)&lt;=0,ISNUMBER(MATCH(T1268,Parameter!$I$27:$I$29,0))),1,0)</f>
        <v>1</v>
      </c>
      <c r="BV1268" s="55" t="str">
        <f aca="false">IF(AND(Parameter!$B$19="Ja",E1268&lt;&gt;"",ISNUMBER(MATCH(E1268,Parameter!$I$35:$I$52,0))),VLOOKUP(E1268,Parameter!$I$35:$J$52,2,0),IFERROR(VLOOKUP(D1268,Parameter!$A$35:$C$64,2,0),"Nein"))</f>
        <v>2+3</v>
      </c>
      <c r="BW1268" s="59" t="n">
        <f aca="false">IF(BT1268=0,0,IF(N(S1268)&gt;0,S1268,IFERROR(VLOOKUP(D1268,Parameter!$A$35:$C$64,3,0)+0,0)))</f>
        <v>0</v>
      </c>
      <c r="BX1268" s="55" t="n">
        <f aca="false">IF(AA1268&lt;&gt;"",AA1268,Z1268)</f>
        <v>2</v>
      </c>
      <c r="BY1268" s="55" t="str">
        <f aca="false">IF(BX1268=1,"L1",IF(OR(BX1268=2,BX1268=3),"L23",IF(BX1268="Aussen","Aussen","-")))</f>
        <v>L23</v>
      </c>
      <c r="BZ1268" s="66" t="n">
        <f aca="false">IF(N(AB1268)&gt;0,AB1268,0)</f>
        <v>0</v>
      </c>
      <c r="CA1268" s="60" t="n">
        <f aca="false">IF(ISNUMBER(AE1268),1,0)</f>
        <v>0</v>
      </c>
      <c r="CB1268" s="57" t="n">
        <f aca="false">N(AE1268)</f>
        <v>0</v>
      </c>
      <c r="CC1268" s="57" t="n">
        <f aca="false">N(M1268)+N(N1268)</f>
        <v>1</v>
      </c>
      <c r="CD1268" s="57" t="n">
        <f aca="false">ROUNDUP(H1268/BS1268,0)</f>
        <v>0</v>
      </c>
      <c r="CE1268" s="57" t="n">
        <f aca="false">ROUNDUP(CB1268/BS1268,0)</f>
        <v>0</v>
      </c>
      <c r="CF1268" s="60" t="n">
        <f aca="false">IF(BT1268=1,0,IFERROR(VLOOKUP(BR1268,'Gebinde-Kategorie'!$A$5:$M$45,5,0)+0,0))</f>
        <v>20</v>
      </c>
      <c r="CG1268" s="60" t="n">
        <f aca="false">IFERROR(IF(OR(BX1268=1,BX1268=2,BX1268=3),N(INDEX(Parameter!$I$5:$I$7,BX1268)),0),0)</f>
        <v>0</v>
      </c>
      <c r="CH1268" s="59" t="n">
        <f aca="false">IF(AND(Parameter!$B$21="Ja",ISNUMBER(W1268),N(X1268)&gt;0),IFERROR(N(INDEX(Parameter!$L$5:$L$7,W1268))*INDEX(Parameter!$E$5:$E$7,W1268)*X1268/SUMIFS($X$7:$X$1843,$W$7:$W$1843,W1268),0),0)</f>
        <v>0</v>
      </c>
    </row>
    <row r="1269" customFormat="false" ht="15" hidden="false" customHeight="false" outlineLevel="0" collapsed="false">
      <c r="A1269" s="55" t="s">
        <v>2267</v>
      </c>
      <c r="B1269" s="55" t="s">
        <v>2268</v>
      </c>
      <c r="C1269" s="55" t="s">
        <v>164</v>
      </c>
      <c r="D1269" s="55" t="s">
        <v>184</v>
      </c>
      <c r="E1269" s="55"/>
      <c r="F1269" s="55" t="s">
        <v>218</v>
      </c>
      <c r="G1269" s="56" t="n">
        <v>5.02</v>
      </c>
      <c r="H1269" s="57" t="n">
        <f aca="false">MAX(0,IF(AND(Parameter!$B$21="Ja",ISNUMBER(Y1269)),Y1269,IF(Parameter!$B$20="Jahresanfang 2025 + Export",BL1269+BK1269,BK1269)))</f>
        <v>0</v>
      </c>
      <c r="I1269" s="57" t="n">
        <f aca="false">H1269*G1269</f>
        <v>0</v>
      </c>
      <c r="J1269" s="57" t="n">
        <f aca="false">BN1269*Parameter!$B$18</f>
        <v>331</v>
      </c>
      <c r="K1269" s="58" t="n">
        <v>83</v>
      </c>
      <c r="L1269" s="59" t="n">
        <v>3.98795180722892</v>
      </c>
      <c r="M1269" s="57" t="n">
        <v>0</v>
      </c>
      <c r="N1269" s="57" t="n">
        <v>330</v>
      </c>
      <c r="O1269" s="60" t="n">
        <v>28</v>
      </c>
      <c r="P1269" s="55" t="s">
        <v>168</v>
      </c>
      <c r="Q1269" s="57"/>
      <c r="R1269" s="60" t="n">
        <f aca="false">IF(BT1269=1,0,IFERROR(VLOOKUP(BR1269,'Gebinde-Kategorie'!$A$5:$M$45,13,0)+0,0))</f>
        <v>26</v>
      </c>
      <c r="S1269" s="61"/>
      <c r="T1269" s="62" t="s">
        <v>275</v>
      </c>
      <c r="U1269" s="62"/>
      <c r="V1269" s="62"/>
      <c r="W1269" s="55"/>
      <c r="X1269" s="57"/>
      <c r="Y1269" s="57"/>
      <c r="Z1269" s="55" t="n">
        <f aca="false">IF(A1269="","",IF(AND(Parameter!$B$21="Ja",ISNUMBER(W1269)),W1269,IF(BV1269="2+3",IF(ISNUMBER(SEARCH("grosser Artikel",BO1269)),2,IFERROR(VLOOKUP(BR1269,Parameter!$F$35:$G$64,2,0),2)),IF(OR(BV1269="Nein",BV1269=""),"-",BV1269))))</f>
        <v>3</v>
      </c>
      <c r="AA1269" s="62"/>
      <c r="AB1269" s="63"/>
      <c r="AC1269" s="57" t="n">
        <f aca="false">AR1269</f>
        <v>330</v>
      </c>
      <c r="AD1269" s="57" t="n">
        <f aca="false">MAX(AR1269,H1269)</f>
        <v>330</v>
      </c>
      <c r="AE1269" s="64"/>
      <c r="AF1269" s="57" t="n">
        <f aca="false">IF(LEFT(Cockpit!$C$5,1)="A",H1269,IF(CA1269=1,CB1269,IF(LEFT(Cockpit!$C$5,1)="B",AJ1269,MAX(AJ1269,H1269))))</f>
        <v>0</v>
      </c>
      <c r="AG1269" s="57" t="n">
        <f aca="false">IF(BT1269=1,0,ROUNDUP(AF1269/BS1269,0))</f>
        <v>0</v>
      </c>
      <c r="AH1269" s="59" t="n">
        <f aca="false">IF(CH1269&gt;0,CH1269*MAX(1,AF1269/X1269),IF(BT1269=1,IF(AF1269&lt;=0,0,BW1269*MAX(1,IF(H1269&gt;0,AF1269/H1269,1))),IF(R1269&gt;0,AG1269/R1269,0))/MAX(0.1,N(Parameter!$M$21)))</f>
        <v>0</v>
      </c>
      <c r="AI1269" s="57" t="n">
        <f aca="false">AF1269*G1269</f>
        <v>0</v>
      </c>
      <c r="AJ1269" s="57" t="n">
        <f aca="false">ROUNDUP(MAX(J1269/IF(BZ1269&gt;0,BZ1269,MAX(0.1,N(Cockpit!$C$6))),CC1269)/BS1269,0)*BS1269</f>
        <v>330</v>
      </c>
      <c r="AK1269" s="58" t="n">
        <f aca="false">IF(AH1269&gt;0,J1269/AH1269,-1)</f>
        <v>-1</v>
      </c>
      <c r="AL1269" s="58" t="str">
        <f aca="false">IF(AND(OR(BY1269="L1",BY1269="L23"),AH1269&gt;0),SUMIFS($AH$7:$AH$1843,$BY$7:$BY$1843,BY1269,$AK$7:$AK$1843,"&gt;"&amp;AK1269)+SUMIFS($AH$7:$AH$1843,$BY$7:$BY$1843,BY1269,$AK$7:$AK$1843,AK1269,$BQ$7:$BQ$1843,"&lt;="&amp;BQ1269),"")</f>
        <v/>
      </c>
      <c r="AM1269" s="65" t="n">
        <f aca="false">IF(AL1269="",0,MAX(0,MIN(1,(IF(BY1269="L1",Parameter!$E$5,Parameter!$E$6+Parameter!$E$7)-(AL1269-AH1269))/AH1269)))</f>
        <v>0</v>
      </c>
      <c r="AN1269" s="57" t="n">
        <f aca="false">IF(LEFT(Cockpit!$I$5,1)="A",H1269,IF(CA1269=1,CB1269,IF(LEFT(Cockpit!$I$5,1)="B",AR1269,MAX(AR1269,H1269))))</f>
        <v>330</v>
      </c>
      <c r="AO1269" s="57" t="n">
        <f aca="false">IF(BT1269=1,0,ROUNDUP(AN1269/BS1269,0))</f>
        <v>1</v>
      </c>
      <c r="AP1269" s="59" t="n">
        <f aca="false">IF(CH1269&gt;0,CH1269*MAX(1,AN1269/X1269),IF(BT1269=1,IF(AN1269&lt;=0,0,BW1269*MAX(1,IF(H1269&gt;0,AN1269/H1269,1))),IF(R1269&gt;0,AO1269/R1269,0))/MAX(0.1,N(Parameter!$M$21)))</f>
        <v>0.0384615384615385</v>
      </c>
      <c r="AQ1269" s="57" t="n">
        <f aca="false">AN1269*G1269</f>
        <v>1656.6</v>
      </c>
      <c r="AR1269" s="57" t="n">
        <f aca="false">ROUNDUP(MAX(J1269/IF(BZ1269&gt;0,BZ1269,MAX(0.1,N(Cockpit!$I$6))),CC1269)/BS1269,0)*BS1269</f>
        <v>330</v>
      </c>
      <c r="AS1269" s="58" t="n">
        <f aca="false">IF(AP1269&gt;0,J1269/AP1269,-1)</f>
        <v>8606</v>
      </c>
      <c r="AT1269" s="58" t="n">
        <f aca="false">IF(AND(OR(BY1269="L1",BY1269="L23"),AP1269&gt;0),SUMIFS($AP$7:$AP$1843,$BY$7:$BY$1843,BY1269,$AS$7:$AS$1843,"&gt;"&amp;AS1269)+SUMIFS($AP$7:$AP$1843,$BY$7:$BY$1843,BY1269,$AS$7:$AS$1843,AS1269,$BQ$7:$BQ$1843,"&lt;="&amp;BQ1269),"")</f>
        <v>8.86463295158947</v>
      </c>
      <c r="AU1269" s="65" t="n">
        <f aca="false">IF(AT1269="",0,MAX(0,MIN(1,(IF(BY1269="L1",Parameter!$E$5,Parameter!$E$6+Parameter!$E$7)-(AT1269-AP1269))/AP1269)))</f>
        <v>1</v>
      </c>
      <c r="AV1269" s="57" t="n">
        <f aca="false">IF(LEFT(Cockpit!$O$5,1)="A",H1269,IF(CA1269=1,CB1269,IF(LEFT(Cockpit!$O$5,1)="B",AZ1269,MAX(AZ1269,H1269))))</f>
        <v>330</v>
      </c>
      <c r="AW1269" s="57" t="n">
        <f aca="false">IF(BT1269=1,0,ROUNDUP(AV1269/BS1269,0))</f>
        <v>1</v>
      </c>
      <c r="AX1269" s="59" t="n">
        <f aca="false">IF(CH1269&gt;0,CH1269*MAX(1,AV1269/X1269),IF(BT1269=1,IF(AV1269&lt;=0,0,BW1269*MAX(1,IF(H1269&gt;0,AV1269/H1269,1))),IF(R1269&gt;0,AW1269/R1269,0))/MAX(0.1,N(Parameter!$M$21)))</f>
        <v>0.0384615384615385</v>
      </c>
      <c r="AY1269" s="57" t="n">
        <f aca="false">AV1269*G1269</f>
        <v>1656.6</v>
      </c>
      <c r="AZ1269" s="57" t="n">
        <f aca="false">ROUNDUP(MAX(J1269/IF(BZ1269&gt;0,BZ1269,MAX(0.1,N(Cockpit!$O$6))),CC1269)/BS1269,0)*BS1269</f>
        <v>330</v>
      </c>
      <c r="BA1269" s="58" t="n">
        <f aca="false">IF(AX1269&gt;0,J1269/AX1269,-1)</f>
        <v>8606</v>
      </c>
      <c r="BB1269" s="58" t="n">
        <f aca="false">IF(AND(OR(BY1269="L1",BY1269="L23"),AX1269&gt;0),SUMIFS($AX$7:$AX$1843,$BY$7:$BY$1843,BY1269,$BA$7:$BA$1843,"&gt;"&amp;BA1269)+SUMIFS($AX$7:$AX$1843,$BY$7:$BY$1843,BY1269,$BA$7:$BA$1843,BA1269,$BQ$7:$BQ$1843,"&lt;="&amp;BQ1269),"")</f>
        <v>8.59831593527246</v>
      </c>
      <c r="BC1269" s="65" t="n">
        <f aca="false">IF(BB1269="",0,MAX(0,MIN(1,(IF(BY1269="L1",Parameter!$E$5,Parameter!$E$6+Parameter!$E$7)-(BB1269-AX1269))/AX1269)))</f>
        <v>1</v>
      </c>
      <c r="BD1269" s="55" t="str">
        <f aca="false">IF(AH1269&lt;=0,"",IF(BY1269="Aussen","Aussenlager",IF(BY1269="-","Nicht im Lift",IF(AM1269&gt;=1,"Lift",IF(AM1269&lt;=0,"Aussenlager","teilweise")))))</f>
        <v/>
      </c>
      <c r="BE1269" s="55" t="str">
        <f aca="false">IF(AP1269&lt;=0,"",IF(BY1269="Aussen","Aussenlager",IF(BY1269="-","Nicht im Lift",IF(AU1269&gt;=1,"Lift",IF(AU1269&lt;=0,"Aussenlager","teilweise")))))</f>
        <v>Lift</v>
      </c>
      <c r="BF1269" s="55" t="str">
        <f aca="false">IF(AX1269&lt;=0,"",IF(BY1269="Aussen","Aussenlager",IF(BY1269="-","Nicht im Lift",IF(BC1269&gt;=1,"Lift",IF(BC1269&lt;=0,"Aussenlager","teilweise")))))</f>
        <v>Lift</v>
      </c>
      <c r="BG1269" s="55" t="str">
        <f aca="false">IF(A1269="","",IF(BP1269=1,"Neu; ","")&amp;IF(AND(BP1269=0,BK1269&lt;0),"negativer Bestand (Export "&amp;BK1269&amp;"); ","")&amp;IF(J1269&lt;=0,"Kein Verbrauch; ","")&amp;IF(CH1269&gt;0,"Lift "&amp;W1269&amp;" lt. Liftbericht (Fach "&amp;X1269&amp;" Stk); ",IF(BU1269=1,"Gebinde geschätzt ("&amp;T1269&amp;"); ",IF(BT1269=1,"Lose – Tablare geschätzt; ","")))&amp;IF(H1269&gt;AR1269,"Überbestand "&amp;ROUND(H1269-AR1269,0)&amp;" Stk / CHF "&amp;ROUND((H1269-AR1269)*G1269,0)&amp;"; ","")&amp;IF(AND(CA1269=1,CB1269&lt;CC1269),"MAX &lt; MB+LG; ","")&amp;IF(AND(CG1269&gt;0,CF1269*10&gt;CG1269),"zu hoch für Tablar; ","")&amp;IF(AND(BP1269=0,OR(CA1269=1,AA1269&lt;&gt;"",U1269&lt;&gt;"",V1269&lt;&gt;"",AB1269&lt;&gt;"")),"manuell übersteuert; ","")&amp;IF(AND(BT1269=0,R1269=0),"Gebinde unbekannt / Stellmass fehlt; ","")&amp;IF(AND(BT1269=0,N(V1269)&lt;=0,N(Q1269)&lt;=0),"Menge pro Gebinde fehlt (Ist = 1 Gebinde); ","")&amp;BO1269)</f>
        <v>negativer Bestand (Export -166); Gebinde geschätzt (Klein); Menge pro Gebinde fehlt (Ist = 1 Gebinde); BEI MARIO</v>
      </c>
      <c r="BH1269" s="55"/>
      <c r="BI1269" s="55"/>
      <c r="BJ1269" s="62"/>
      <c r="BK1269" s="57" t="n">
        <v>-166</v>
      </c>
      <c r="BL1269" s="57" t="n">
        <v>166</v>
      </c>
      <c r="BM1269" s="56" t="n">
        <v>-929.6</v>
      </c>
      <c r="BN1269" s="57" t="n">
        <v>331</v>
      </c>
      <c r="BO1269" s="55" t="s">
        <v>2269</v>
      </c>
      <c r="BP1269" s="60" t="n">
        <v>0</v>
      </c>
      <c r="BQ1269" s="60" t="n">
        <v>1269</v>
      </c>
      <c r="BR1269" s="55" t="str">
        <f aca="false">IF(U1269&lt;&gt;"",UPPER(TRIM(U1269)),IF(BU1269=1,UPPER(VLOOKUP(T1269,Parameter!$I$27:$K$29,2,0)),IF(P1269="","LOSE",P1269)))</f>
        <v>S51</v>
      </c>
      <c r="BS1269" s="57" t="n">
        <f aca="false">IF(BR1269="LOSE",1,IF(N(V1269)&gt;0,V1269,IF(BU1269=1,MAX(1,N(VLOOKUP(T1269,Parameter!$I$27:$K$29,3,0)),H1269,N(N1269)),IF(N(Q1269)&gt;0,Q1269,MAX(1,H1269)))))</f>
        <v>330</v>
      </c>
      <c r="BT1269" s="60" t="n">
        <f aca="false">IF(BR1269="LOSE",1,0)</f>
        <v>0</v>
      </c>
      <c r="BU1269" s="60" t="n">
        <f aca="false">IF(AND(U1269="",OR(P1269="",P1269="LOSE"),T1269&lt;&gt;"",N(S1269)&lt;=0,ISNUMBER(MATCH(T1269,Parameter!$I$27:$I$29,0))),1,0)</f>
        <v>1</v>
      </c>
      <c r="BV1269" s="55" t="str">
        <f aca="false">IF(AND(Parameter!$B$19="Ja",E1269&lt;&gt;"",ISNUMBER(MATCH(E1269,Parameter!$I$35:$I$52,0))),VLOOKUP(E1269,Parameter!$I$35:$J$52,2,0),IFERROR(VLOOKUP(D1269,Parameter!$A$35:$C$64,2,0),"Nein"))</f>
        <v>2+3</v>
      </c>
      <c r="BW1269" s="59" t="n">
        <f aca="false">IF(BT1269=0,0,IF(N(S1269)&gt;0,S1269,IFERROR(VLOOKUP(D1269,Parameter!$A$35:$C$64,3,0)+0,0)))</f>
        <v>0</v>
      </c>
      <c r="BX1269" s="55" t="n">
        <f aca="false">IF(AA1269&lt;&gt;"",AA1269,Z1269)</f>
        <v>3</v>
      </c>
      <c r="BY1269" s="55" t="str">
        <f aca="false">IF(BX1269=1,"L1",IF(OR(BX1269=2,BX1269=3),"L23",IF(BX1269="Aussen","Aussen","-")))</f>
        <v>L23</v>
      </c>
      <c r="BZ1269" s="66" t="n">
        <f aca="false">IF(N(AB1269)&gt;0,AB1269,0)</f>
        <v>0</v>
      </c>
      <c r="CA1269" s="60" t="n">
        <f aca="false">IF(ISNUMBER(AE1269),1,0)</f>
        <v>0</v>
      </c>
      <c r="CB1269" s="57" t="n">
        <f aca="false">N(AE1269)</f>
        <v>0</v>
      </c>
      <c r="CC1269" s="57" t="n">
        <f aca="false">N(M1269)+N(N1269)</f>
        <v>330</v>
      </c>
      <c r="CD1269" s="57" t="n">
        <f aca="false">ROUNDUP(H1269/BS1269,0)</f>
        <v>0</v>
      </c>
      <c r="CE1269" s="57" t="n">
        <f aca="false">ROUNDUP(CB1269/BS1269,0)</f>
        <v>0</v>
      </c>
      <c r="CF1269" s="60" t="n">
        <f aca="false">IF(BT1269=1,0,IFERROR(VLOOKUP(BR1269,'Gebinde-Kategorie'!$A$5:$M$45,5,0)+0,0))</f>
        <v>11</v>
      </c>
      <c r="CG1269" s="60" t="n">
        <f aca="false">IFERROR(IF(OR(BX1269=1,BX1269=2,BX1269=3),N(INDEX(Parameter!$I$5:$I$7,BX1269)),0),0)</f>
        <v>0</v>
      </c>
      <c r="CH1269" s="59" t="n">
        <f aca="false">IF(AND(Parameter!$B$21="Ja",ISNUMBER(W1269),N(X1269)&gt;0),IFERROR(N(INDEX(Parameter!$L$5:$L$7,W1269))*INDEX(Parameter!$E$5:$E$7,W1269)*X1269/SUMIFS($X$7:$X$1843,$W$7:$W$1843,W1269),0),0)</f>
        <v>0</v>
      </c>
    </row>
    <row r="1270" customFormat="false" ht="15" hidden="false" customHeight="false" outlineLevel="0" collapsed="false">
      <c r="A1270" s="55" t="s">
        <v>2270</v>
      </c>
      <c r="B1270" s="55" t="s">
        <v>270</v>
      </c>
      <c r="C1270" s="55" t="s">
        <v>164</v>
      </c>
      <c r="D1270" s="55" t="s">
        <v>173</v>
      </c>
      <c r="E1270" s="55"/>
      <c r="F1270" s="55" t="s">
        <v>218</v>
      </c>
      <c r="G1270" s="56" t="n">
        <v>643.09</v>
      </c>
      <c r="H1270" s="57" t="n">
        <f aca="false">MAX(0,IF(AND(Parameter!$B$21="Ja",ISNUMBER(Y1270)),Y1270,IF(Parameter!$B$20="Jahresanfang 2025 + Export",BL1270+BK1270,BK1270)))</f>
        <v>1</v>
      </c>
      <c r="I1270" s="57" t="n">
        <f aca="false">H1270*G1270</f>
        <v>643.09</v>
      </c>
      <c r="J1270" s="57" t="n">
        <f aca="false">BN1270*Parameter!$B$18</f>
        <v>5</v>
      </c>
      <c r="K1270" s="58" t="n">
        <v>4</v>
      </c>
      <c r="L1270" s="59" t="n">
        <v>1.25</v>
      </c>
      <c r="M1270" s="57" t="n">
        <v>0</v>
      </c>
      <c r="N1270" s="57" t="n">
        <v>5</v>
      </c>
      <c r="O1270" s="60" t="n">
        <v>56</v>
      </c>
      <c r="P1270" s="55" t="s">
        <v>168</v>
      </c>
      <c r="Q1270" s="57"/>
      <c r="R1270" s="60" t="n">
        <f aca="false">IF(BT1270=1,0,IFERROR(VLOOKUP(BR1270,'Gebinde-Kategorie'!$A$5:$M$45,13,0)+0,0))</f>
        <v>3</v>
      </c>
      <c r="S1270" s="61"/>
      <c r="T1270" s="62" t="s">
        <v>189</v>
      </c>
      <c r="U1270" s="62"/>
      <c r="V1270" s="62"/>
      <c r="W1270" s="55"/>
      <c r="X1270" s="57"/>
      <c r="Y1270" s="57"/>
      <c r="Z1270" s="55" t="n">
        <f aca="false">IF(A1270="","",IF(AND(Parameter!$B$21="Ja",ISNUMBER(W1270)),W1270,IF(BV1270="2+3",IF(ISNUMBER(SEARCH("grosser Artikel",BO1270)),2,IFERROR(VLOOKUP(BR1270,Parameter!$F$35:$G$64,2,0),2)),IF(OR(BV1270="Nein",BV1270=""),"-",BV1270))))</f>
        <v>2</v>
      </c>
      <c r="AA1270" s="62"/>
      <c r="AB1270" s="63"/>
      <c r="AC1270" s="57" t="n">
        <f aca="false">AR1270</f>
        <v>5</v>
      </c>
      <c r="AD1270" s="57" t="n">
        <f aca="false">MAX(AR1270,H1270)</f>
        <v>5</v>
      </c>
      <c r="AE1270" s="64"/>
      <c r="AF1270" s="57" t="n">
        <f aca="false">IF(LEFT(Cockpit!$C$5,1)="A",H1270,IF(CA1270=1,CB1270,IF(LEFT(Cockpit!$C$5,1)="B",AJ1270,MAX(AJ1270,H1270))))</f>
        <v>1</v>
      </c>
      <c r="AG1270" s="57" t="n">
        <f aca="false">IF(BT1270=1,0,ROUNDUP(AF1270/BS1270,0))</f>
        <v>1</v>
      </c>
      <c r="AH1270" s="59" t="n">
        <f aca="false">IF(CH1270&gt;0,CH1270*MAX(1,AF1270/X1270),IF(BT1270=1,IF(AF1270&lt;=0,0,BW1270*MAX(1,IF(H1270&gt;0,AF1270/H1270,1))),IF(R1270&gt;0,AG1270/R1270,0))/MAX(0.1,N(Parameter!$M$21)))</f>
        <v>0.333333333333333</v>
      </c>
      <c r="AI1270" s="57" t="n">
        <f aca="false">AF1270*G1270</f>
        <v>643.09</v>
      </c>
      <c r="AJ1270" s="57" t="n">
        <f aca="false">ROUNDUP(MAX(J1270/IF(BZ1270&gt;0,BZ1270,MAX(0.1,N(Cockpit!$C$6))),CC1270)/BS1270,0)*BS1270</f>
        <v>5</v>
      </c>
      <c r="AK1270" s="58" t="n">
        <f aca="false">IF(AH1270&gt;0,J1270/AH1270,-1)</f>
        <v>15</v>
      </c>
      <c r="AL1270" s="58" t="n">
        <f aca="false">IF(AND(OR(BY1270="L1",BY1270="L23"),AH1270&gt;0),SUMIFS($AH$7:$AH$1843,$BY$7:$BY$1843,BY1270,$AK$7:$AK$1843,"&gt;"&amp;AK1270)+SUMIFS($AH$7:$AH$1843,$BY$7:$BY$1843,BY1270,$AK$7:$AK$1843,AK1270,$BQ$7:$BQ$1843,"&lt;="&amp;BQ1270),"")</f>
        <v>53.5304888348367</v>
      </c>
      <c r="AM1270" s="65" t="n">
        <f aca="false">IF(AL1270="",0,MAX(0,MIN(1,(IF(BY1270="L1",Parameter!$E$5,Parameter!$E$6+Parameter!$E$7)-(AL1270-AH1270))/AH1270)))</f>
        <v>1</v>
      </c>
      <c r="AN1270" s="57" t="n">
        <f aca="false">IF(LEFT(Cockpit!$I$5,1)="A",H1270,IF(CA1270=1,CB1270,IF(LEFT(Cockpit!$I$5,1)="B",AR1270,MAX(AR1270,H1270))))</f>
        <v>5</v>
      </c>
      <c r="AO1270" s="57" t="n">
        <f aca="false">IF(BT1270=1,0,ROUNDUP(AN1270/BS1270,0))</f>
        <v>1</v>
      </c>
      <c r="AP1270" s="59" t="n">
        <f aca="false">IF(CH1270&gt;0,CH1270*MAX(1,AN1270/X1270),IF(BT1270=1,IF(AN1270&lt;=0,0,BW1270*MAX(1,IF(H1270&gt;0,AN1270/H1270,1))),IF(R1270&gt;0,AO1270/R1270,0))/MAX(0.1,N(Parameter!$M$21)))</f>
        <v>0.333333333333333</v>
      </c>
      <c r="AQ1270" s="57" t="n">
        <f aca="false">AN1270*G1270</f>
        <v>3215.45</v>
      </c>
      <c r="AR1270" s="57" t="n">
        <f aca="false">ROUNDUP(MAX(J1270/IF(BZ1270&gt;0,BZ1270,MAX(0.1,N(Cockpit!$I$6))),CC1270)/BS1270,0)*BS1270</f>
        <v>5</v>
      </c>
      <c r="AS1270" s="58" t="n">
        <f aca="false">IF(AP1270&gt;0,J1270/AP1270,-1)</f>
        <v>15</v>
      </c>
      <c r="AT1270" s="58" t="n">
        <f aca="false">IF(AND(OR(BY1270="L1",BY1270="L23"),AP1270&gt;0),SUMIFS($AP$7:$AP$1843,$BY$7:$BY$1843,BY1270,$AS$7:$AS$1843,"&gt;"&amp;AS1270)+SUMIFS($AP$7:$AP$1843,$BY$7:$BY$1843,BY1270,$AS$7:$AS$1843,AS1270,$BQ$7:$BQ$1843,"&lt;="&amp;BQ1270),"")</f>
        <v>80.5379463531637</v>
      </c>
      <c r="AU1270" s="65" t="n">
        <f aca="false">IF(AT1270="",0,MAX(0,MIN(1,(IF(BY1270="L1",Parameter!$E$5,Parameter!$E$6+Parameter!$E$7)-(AT1270-AP1270))/AP1270)))</f>
        <v>1</v>
      </c>
      <c r="AV1270" s="57" t="n">
        <f aca="false">IF(LEFT(Cockpit!$O$5,1)="A",H1270,IF(CA1270=1,CB1270,IF(LEFT(Cockpit!$O$5,1)="B",AZ1270,MAX(AZ1270,H1270))))</f>
        <v>5</v>
      </c>
      <c r="AW1270" s="57" t="n">
        <f aca="false">IF(BT1270=1,0,ROUNDUP(AV1270/BS1270,0))</f>
        <v>1</v>
      </c>
      <c r="AX1270" s="59" t="n">
        <f aca="false">IF(CH1270&gt;0,CH1270*MAX(1,AV1270/X1270),IF(BT1270=1,IF(AV1270&lt;=0,0,BW1270*MAX(1,IF(H1270&gt;0,AV1270/H1270,1))),IF(R1270&gt;0,AW1270/R1270,0))/MAX(0.1,N(Parameter!$M$21)))</f>
        <v>0.333333333333333</v>
      </c>
      <c r="AY1270" s="57" t="n">
        <f aca="false">AV1270*G1270</f>
        <v>3215.45</v>
      </c>
      <c r="AZ1270" s="57" t="n">
        <f aca="false">ROUNDUP(MAX(J1270/IF(BZ1270&gt;0,BZ1270,MAX(0.1,N(Cockpit!$O$6))),CC1270)/BS1270,0)*BS1270</f>
        <v>5</v>
      </c>
      <c r="BA1270" s="58" t="n">
        <f aca="false">IF(AX1270&gt;0,J1270/AX1270,-1)</f>
        <v>15</v>
      </c>
      <c r="BB1270" s="58" t="n">
        <f aca="false">IF(AND(OR(BY1270="L1",BY1270="L23"),AX1270&gt;0),SUMIFS($AX$7:$AX$1843,$BY$7:$BY$1843,BY1270,$BA$7:$BA$1843,"&gt;"&amp;BA1270)+SUMIFS($AX$7:$AX$1843,$BY$7:$BY$1843,BY1270,$BA$7:$BA$1843,BA1270,$BQ$7:$BQ$1843,"&lt;="&amp;BQ1270),"")</f>
        <v>80.0344498496672</v>
      </c>
      <c r="BC1270" s="65" t="n">
        <f aca="false">IF(BB1270="",0,MAX(0,MIN(1,(IF(BY1270="L1",Parameter!$E$5,Parameter!$E$6+Parameter!$E$7)-(BB1270-AX1270))/AX1270)))</f>
        <v>1</v>
      </c>
      <c r="BD1270" s="55" t="str">
        <f aca="false">IF(AH1270&lt;=0,"",IF(BY1270="Aussen","Aussenlager",IF(BY1270="-","Nicht im Lift",IF(AM1270&gt;=1,"Lift",IF(AM1270&lt;=0,"Aussenlager","teilweise")))))</f>
        <v>Lift</v>
      </c>
      <c r="BE1270" s="55" t="str">
        <f aca="false">IF(AP1270&lt;=0,"",IF(BY1270="Aussen","Aussenlager",IF(BY1270="-","Nicht im Lift",IF(AU1270&gt;=1,"Lift",IF(AU1270&lt;=0,"Aussenlager","teilweise")))))</f>
        <v>Lift</v>
      </c>
      <c r="BF1270" s="55" t="str">
        <f aca="false">IF(AX1270&lt;=0,"",IF(BY1270="Aussen","Aussenlager",IF(BY1270="-","Nicht im Lift",IF(BC1270&gt;=1,"Lift",IF(BC1270&lt;=0,"Aussenlager","teilweise")))))</f>
        <v>Lift</v>
      </c>
      <c r="BG1270" s="55" t="str">
        <f aca="false">IF(A1270="","",IF(BP1270=1,"Neu; ","")&amp;IF(AND(BP1270=0,BK1270&lt;0),"negativer Bestand (Export "&amp;BK1270&amp;"); ","")&amp;IF(J1270&lt;=0,"Kein Verbrauch; ","")&amp;IF(CH1270&gt;0,"Lift "&amp;W1270&amp;" lt. Liftbericht (Fach "&amp;X1270&amp;" Stk); ",IF(BU1270=1,"Gebinde geschätzt ("&amp;T1270&amp;"); ",IF(BT1270=1,"Lose – Tablare geschätzt; ","")))&amp;IF(H1270&gt;AR1270,"Überbestand "&amp;ROUND(H1270-AR1270,0)&amp;" Stk / CHF "&amp;ROUND((H1270-AR1270)*G1270,0)&amp;"; ","")&amp;IF(AND(CA1270=1,CB1270&lt;CC1270),"MAX &lt; MB+LG; ","")&amp;IF(AND(CG1270&gt;0,CF1270*10&gt;CG1270),"zu hoch für Tablar; ","")&amp;IF(AND(BP1270=0,OR(CA1270=1,AA1270&lt;&gt;"",U1270&lt;&gt;"",V1270&lt;&gt;"",AB1270&lt;&gt;"")),"manuell übersteuert; ","")&amp;IF(AND(BT1270=0,R1270=0),"Gebinde unbekannt / Stellmass fehlt; ","")&amp;IF(AND(BT1270=0,N(V1270)&lt;=0,N(Q1270)&lt;=0),"Menge pro Gebinde fehlt (Ist = 1 Gebinde); ","")&amp;BO1270)</f>
        <v>negativer Bestand (Export -1); Gebinde geschätzt (Gross); Menge pro Gebinde fehlt (Ist = 1 Gebinde); </v>
      </c>
      <c r="BH1270" s="55"/>
      <c r="BI1270" s="55"/>
      <c r="BJ1270" s="62"/>
      <c r="BK1270" s="57" t="n">
        <v>-1</v>
      </c>
      <c r="BL1270" s="57" t="n">
        <v>2</v>
      </c>
      <c r="BM1270" s="56" t="n">
        <v>-936.91</v>
      </c>
      <c r="BN1270" s="57" t="n">
        <v>5</v>
      </c>
      <c r="BO1270" s="55"/>
      <c r="BP1270" s="60" t="n">
        <v>0</v>
      </c>
      <c r="BQ1270" s="60" t="n">
        <v>1270</v>
      </c>
      <c r="BR1270" s="55" t="str">
        <f aca="false">IF(U1270&lt;&gt;"",UPPER(TRIM(U1270)),IF(BU1270=1,UPPER(VLOOKUP(T1270,Parameter!$I$27:$K$29,2,0)),IF(P1270="","LOSE",P1270)))</f>
        <v>S81</v>
      </c>
      <c r="BS1270" s="57" t="n">
        <f aca="false">IF(BR1270="LOSE",1,IF(N(V1270)&gt;0,V1270,IF(BU1270=1,MAX(1,N(VLOOKUP(T1270,Parameter!$I$27:$K$29,3,0)),H1270,N(N1270)),IF(N(Q1270)&gt;0,Q1270,MAX(1,H1270)))))</f>
        <v>5</v>
      </c>
      <c r="BT1270" s="60" t="n">
        <f aca="false">IF(BR1270="LOSE",1,0)</f>
        <v>0</v>
      </c>
      <c r="BU1270" s="60" t="n">
        <f aca="false">IF(AND(U1270="",OR(P1270="",P1270="LOSE"),T1270&lt;&gt;"",N(S1270)&lt;=0,ISNUMBER(MATCH(T1270,Parameter!$I$27:$I$29,0))),1,0)</f>
        <v>1</v>
      </c>
      <c r="BV1270" s="55" t="str">
        <f aca="false">IF(AND(Parameter!$B$19="Ja",E1270&lt;&gt;"",ISNUMBER(MATCH(E1270,Parameter!$I$35:$I$52,0))),VLOOKUP(E1270,Parameter!$I$35:$J$52,2,0),IFERROR(VLOOKUP(D1270,Parameter!$A$35:$C$64,2,0),"Nein"))</f>
        <v>2+3</v>
      </c>
      <c r="BW1270" s="59" t="n">
        <f aca="false">IF(BT1270=0,0,IF(N(S1270)&gt;0,S1270,IFERROR(VLOOKUP(D1270,Parameter!$A$35:$C$64,3,0)+0,0)))</f>
        <v>0</v>
      </c>
      <c r="BX1270" s="55" t="n">
        <f aca="false">IF(AA1270&lt;&gt;"",AA1270,Z1270)</f>
        <v>2</v>
      </c>
      <c r="BY1270" s="55" t="str">
        <f aca="false">IF(BX1270=1,"L1",IF(OR(BX1270=2,BX1270=3),"L23",IF(BX1270="Aussen","Aussen","-")))</f>
        <v>L23</v>
      </c>
      <c r="BZ1270" s="66" t="n">
        <f aca="false">IF(N(AB1270)&gt;0,AB1270,0)</f>
        <v>0</v>
      </c>
      <c r="CA1270" s="60" t="n">
        <f aca="false">IF(ISNUMBER(AE1270),1,0)</f>
        <v>0</v>
      </c>
      <c r="CB1270" s="57" t="n">
        <f aca="false">N(AE1270)</f>
        <v>0</v>
      </c>
      <c r="CC1270" s="57" t="n">
        <f aca="false">N(M1270)+N(N1270)</f>
        <v>5</v>
      </c>
      <c r="CD1270" s="57" t="n">
        <f aca="false">ROUNDUP(H1270/BS1270,0)</f>
        <v>1</v>
      </c>
      <c r="CE1270" s="57" t="n">
        <f aca="false">ROUNDUP(CB1270/BS1270,0)</f>
        <v>0</v>
      </c>
      <c r="CF1270" s="60" t="n">
        <f aca="false">IF(BT1270=1,0,IFERROR(VLOOKUP(BR1270,'Gebinde-Kategorie'!$A$5:$M$45,5,0)+0,0))</f>
        <v>20</v>
      </c>
      <c r="CG1270" s="60" t="n">
        <f aca="false">IFERROR(IF(OR(BX1270=1,BX1270=2,BX1270=3),N(INDEX(Parameter!$I$5:$I$7,BX1270)),0),0)</f>
        <v>0</v>
      </c>
      <c r="CH1270" s="59" t="n">
        <f aca="false">IF(AND(Parameter!$B$21="Ja",ISNUMBER(W1270),N(X1270)&gt;0),IFERROR(N(INDEX(Parameter!$L$5:$L$7,W1270))*INDEX(Parameter!$E$5:$E$7,W1270)*X1270/SUMIFS($X$7:$X$1843,$W$7:$W$1843,W1270),0),0)</f>
        <v>0</v>
      </c>
    </row>
    <row r="1271" customFormat="false" ht="15" hidden="false" customHeight="false" outlineLevel="0" collapsed="false">
      <c r="A1271" s="55" t="s">
        <v>2271</v>
      </c>
      <c r="B1271" s="55" t="s">
        <v>2272</v>
      </c>
      <c r="C1271" s="55" t="s">
        <v>164</v>
      </c>
      <c r="D1271" s="55" t="s">
        <v>184</v>
      </c>
      <c r="E1271" s="55" t="s">
        <v>185</v>
      </c>
      <c r="F1271" s="55" t="s">
        <v>218</v>
      </c>
      <c r="G1271" s="56" t="n">
        <v>315.61</v>
      </c>
      <c r="H1271" s="57" t="n">
        <f aca="false">MAX(0,IF(AND(Parameter!$B$21="Ja",ISNUMBER(Y1271)),Y1271,IF(Parameter!$B$20="Jahresanfang 2025 + Export",BL1271+BK1271,BK1271)))</f>
        <v>4</v>
      </c>
      <c r="I1271" s="57" t="n">
        <f aca="false">H1271*G1271</f>
        <v>1262.44</v>
      </c>
      <c r="J1271" s="57" t="n">
        <f aca="false">BN1271*Parameter!$B$18</f>
        <v>1</v>
      </c>
      <c r="K1271" s="58" t="n">
        <v>6.5</v>
      </c>
      <c r="L1271" s="59" t="n">
        <v>0.153846153846154</v>
      </c>
      <c r="M1271" s="57" t="n">
        <v>0</v>
      </c>
      <c r="N1271" s="57" t="n">
        <v>1</v>
      </c>
      <c r="O1271" s="60" t="n">
        <v>21</v>
      </c>
      <c r="P1271" s="55" t="s">
        <v>302</v>
      </c>
      <c r="Q1271" s="57" t="n">
        <v>4</v>
      </c>
      <c r="R1271" s="60" t="n">
        <f aca="false">IF(BT1271=1,0,IFERROR(VLOOKUP(BR1271,'Gebinde-Kategorie'!$A$5:$M$45,13,0)+0,0))</f>
        <v>26</v>
      </c>
      <c r="S1271" s="61"/>
      <c r="T1271" s="62"/>
      <c r="U1271" s="62"/>
      <c r="V1271" s="62"/>
      <c r="W1271" s="55"/>
      <c r="X1271" s="57"/>
      <c r="Y1271" s="57"/>
      <c r="Z1271" s="55" t="n">
        <f aca="false">IF(A1271="","",IF(AND(Parameter!$B$21="Ja",ISNUMBER(W1271)),W1271,IF(BV1271="2+3",IF(ISNUMBER(SEARCH("grosser Artikel",BO1271)),2,IFERROR(VLOOKUP(BR1271,Parameter!$F$35:$G$64,2,0),2)),IF(OR(BV1271="Nein",BV1271=""),"-",BV1271))))</f>
        <v>3</v>
      </c>
      <c r="AA1271" s="62"/>
      <c r="AB1271" s="63"/>
      <c r="AC1271" s="57" t="n">
        <f aca="false">AR1271</f>
        <v>4</v>
      </c>
      <c r="AD1271" s="57" t="n">
        <f aca="false">MAX(AR1271,H1271)</f>
        <v>4</v>
      </c>
      <c r="AE1271" s="64"/>
      <c r="AF1271" s="57" t="n">
        <f aca="false">IF(LEFT(Cockpit!$C$5,1)="A",H1271,IF(CA1271=1,CB1271,IF(LEFT(Cockpit!$C$5,1)="B",AJ1271,MAX(AJ1271,H1271))))</f>
        <v>4</v>
      </c>
      <c r="AG1271" s="57" t="n">
        <f aca="false">IF(BT1271=1,0,ROUNDUP(AF1271/BS1271,0))</f>
        <v>1</v>
      </c>
      <c r="AH1271" s="59" t="n">
        <f aca="false">IF(CH1271&gt;0,CH1271*MAX(1,AF1271/X1271),IF(BT1271=1,IF(AF1271&lt;=0,0,BW1271*MAX(1,IF(H1271&gt;0,AF1271/H1271,1))),IF(R1271&gt;0,AG1271/R1271,0))/MAX(0.1,N(Parameter!$M$21)))</f>
        <v>0.0384615384615385</v>
      </c>
      <c r="AI1271" s="57" t="n">
        <f aca="false">AF1271*G1271</f>
        <v>1262.44</v>
      </c>
      <c r="AJ1271" s="57" t="n">
        <f aca="false">ROUNDUP(MAX(J1271/IF(BZ1271&gt;0,BZ1271,MAX(0.1,N(Cockpit!$C$6))),CC1271)/BS1271,0)*BS1271</f>
        <v>4</v>
      </c>
      <c r="AK1271" s="58" t="n">
        <f aca="false">IF(AH1271&gt;0,J1271/AH1271,-1)</f>
        <v>26</v>
      </c>
      <c r="AL1271" s="58" t="n">
        <f aca="false">IF(AND(OR(BY1271="L1",BY1271="L23"),AH1271&gt;0),SUMIFS($AH$7:$AH$1843,$BY$7:$BY$1843,BY1271,$AK$7:$AK$1843,"&gt;"&amp;AK1271)+SUMIFS($AH$7:$AH$1843,$BY$7:$BY$1843,BY1271,$AK$7:$AK$1843,AK1271,$BQ$7:$BQ$1843,"&lt;="&amp;BQ1271),"")</f>
        <v>48.8445913989392</v>
      </c>
      <c r="AM1271" s="65" t="n">
        <f aca="false">IF(AL1271="",0,MAX(0,MIN(1,(IF(BY1271="L1",Parameter!$E$5,Parameter!$E$6+Parameter!$E$7)-(AL1271-AH1271))/AH1271)))</f>
        <v>1</v>
      </c>
      <c r="AN1271" s="57" t="n">
        <f aca="false">IF(LEFT(Cockpit!$I$5,1)="A",H1271,IF(CA1271=1,CB1271,IF(LEFT(Cockpit!$I$5,1)="B",AR1271,MAX(AR1271,H1271))))</f>
        <v>4</v>
      </c>
      <c r="AO1271" s="57" t="n">
        <f aca="false">IF(BT1271=1,0,ROUNDUP(AN1271/BS1271,0))</f>
        <v>1</v>
      </c>
      <c r="AP1271" s="59" t="n">
        <f aca="false">IF(CH1271&gt;0,CH1271*MAX(1,AN1271/X1271),IF(BT1271=1,IF(AN1271&lt;=0,0,BW1271*MAX(1,IF(H1271&gt;0,AN1271/H1271,1))),IF(R1271&gt;0,AO1271/R1271,0))/MAX(0.1,N(Parameter!$M$21)))</f>
        <v>0.0384615384615385</v>
      </c>
      <c r="AQ1271" s="57" t="n">
        <f aca="false">AN1271*G1271</f>
        <v>1262.44</v>
      </c>
      <c r="AR1271" s="57" t="n">
        <f aca="false">ROUNDUP(MAX(J1271/IF(BZ1271&gt;0,BZ1271,MAX(0.1,N(Cockpit!$I$6))),CC1271)/BS1271,0)*BS1271</f>
        <v>4</v>
      </c>
      <c r="AS1271" s="58" t="n">
        <f aca="false">IF(AP1271&gt;0,J1271/AP1271,-1)</f>
        <v>26</v>
      </c>
      <c r="AT1271" s="58" t="n">
        <f aca="false">IF(AND(OR(BY1271="L1",BY1271="L23"),AP1271&gt;0),SUMIFS($AP$7:$AP$1843,$BY$7:$BY$1843,BY1271,$AS$7:$AS$1843,"&gt;"&amp;AS1271)+SUMIFS($AP$7:$AP$1843,$BY$7:$BY$1843,BY1271,$AS$7:$AS$1843,AS1271,$BQ$7:$BQ$1843,"&lt;="&amp;BQ1271),"")</f>
        <v>74.018715583933</v>
      </c>
      <c r="AU1271" s="65" t="n">
        <f aca="false">IF(AT1271="",0,MAX(0,MIN(1,(IF(BY1271="L1",Parameter!$E$5,Parameter!$E$6+Parameter!$E$7)-(AT1271-AP1271))/AP1271)))</f>
        <v>1</v>
      </c>
      <c r="AV1271" s="57" t="n">
        <f aca="false">IF(LEFT(Cockpit!$O$5,1)="A",H1271,IF(CA1271=1,CB1271,IF(LEFT(Cockpit!$O$5,1)="B",AZ1271,MAX(AZ1271,H1271))))</f>
        <v>4</v>
      </c>
      <c r="AW1271" s="57" t="n">
        <f aca="false">IF(BT1271=1,0,ROUNDUP(AV1271/BS1271,0))</f>
        <v>1</v>
      </c>
      <c r="AX1271" s="59" t="n">
        <f aca="false">IF(CH1271&gt;0,CH1271*MAX(1,AV1271/X1271),IF(BT1271=1,IF(AV1271&lt;=0,0,BW1271*MAX(1,IF(H1271&gt;0,AV1271/H1271,1))),IF(R1271&gt;0,AW1271/R1271,0))/MAX(0.1,N(Parameter!$M$21)))</f>
        <v>0.0384615384615385</v>
      </c>
      <c r="AY1271" s="57" t="n">
        <f aca="false">AV1271*G1271</f>
        <v>1262.44</v>
      </c>
      <c r="AZ1271" s="57" t="n">
        <f aca="false">ROUNDUP(MAX(J1271/IF(BZ1271&gt;0,BZ1271,MAX(0.1,N(Cockpit!$O$6))),CC1271)/BS1271,0)*BS1271</f>
        <v>4</v>
      </c>
      <c r="BA1271" s="58" t="n">
        <f aca="false">IF(AX1271&gt;0,J1271/AX1271,-1)</f>
        <v>26</v>
      </c>
      <c r="BB1271" s="58" t="n">
        <f aca="false">IF(AND(OR(BY1271="L1",BY1271="L23"),AX1271&gt;0),SUMIFS($AX$7:$AX$1843,$BY$7:$BY$1843,BY1271,$BA$7:$BA$1843,"&gt;"&amp;BA1271)+SUMIFS($AX$7:$AX$1843,$BY$7:$BY$1843,BY1271,$BA$7:$BA$1843,BA1271,$BQ$7:$BQ$1843,"&lt;="&amp;BQ1271),"")</f>
        <v>69.5152190804365</v>
      </c>
      <c r="BC1271" s="65" t="n">
        <f aca="false">IF(BB1271="",0,MAX(0,MIN(1,(IF(BY1271="L1",Parameter!$E$5,Parameter!$E$6+Parameter!$E$7)-(BB1271-AX1271))/AX1271)))</f>
        <v>1</v>
      </c>
      <c r="BD1271" s="55" t="str">
        <f aca="false">IF(AH1271&lt;=0,"",IF(BY1271="Aussen","Aussenlager",IF(BY1271="-","Nicht im Lift",IF(AM1271&gt;=1,"Lift",IF(AM1271&lt;=0,"Aussenlager","teilweise")))))</f>
        <v>Lift</v>
      </c>
      <c r="BE1271" s="55" t="str">
        <f aca="false">IF(AP1271&lt;=0,"",IF(BY1271="Aussen","Aussenlager",IF(BY1271="-","Nicht im Lift",IF(AU1271&gt;=1,"Lift",IF(AU1271&lt;=0,"Aussenlager","teilweise")))))</f>
        <v>Lift</v>
      </c>
      <c r="BF1271" s="55" t="str">
        <f aca="false">IF(AX1271&lt;=0,"",IF(BY1271="Aussen","Aussenlager",IF(BY1271="-","Nicht im Lift",IF(BC1271&gt;=1,"Lift",IF(BC1271&lt;=0,"Aussenlager","teilweise")))))</f>
        <v>Lift</v>
      </c>
      <c r="BG1271" s="55" t="str">
        <f aca="false">IF(A1271="","",IF(BP1271=1,"Neu; ","")&amp;IF(AND(BP1271=0,BK1271&lt;0),"negativer Bestand (Export "&amp;BK1271&amp;"); ","")&amp;IF(J1271&lt;=0,"Kein Verbrauch; ","")&amp;IF(CH1271&gt;0,"Lift "&amp;W1271&amp;" lt. Liftbericht (Fach "&amp;X1271&amp;" Stk); ",IF(BU1271=1,"Gebinde geschätzt ("&amp;T1271&amp;"); ",IF(BT1271=1,"Lose – Tablare geschätzt; ","")))&amp;IF(H1271&gt;AR1271,"Überbestand "&amp;ROUND(H1271-AR1271,0)&amp;" Stk / CHF "&amp;ROUND((H1271-AR1271)*G1271,0)&amp;"; ","")&amp;IF(AND(CA1271=1,CB1271&lt;CC1271),"MAX &lt; MB+LG; ","")&amp;IF(AND(CG1271&gt;0,CF1271*10&gt;CG1271),"zu hoch für Tablar; ","")&amp;IF(AND(BP1271=0,OR(CA1271=1,AA1271&lt;&gt;"",U1271&lt;&gt;"",V1271&lt;&gt;"",AB1271&lt;&gt;"")),"manuell übersteuert; ","")&amp;IF(AND(BT1271=0,R1271=0),"Gebinde unbekannt / Stellmass fehlt; ","")&amp;IF(AND(BT1271=0,N(V1271)&lt;=0,N(Q1271)&lt;=0),"Menge pro Gebinde fehlt (Ist = 1 Gebinde); ","")&amp;BO1271)</f>
        <v>negativer Bestand (Export -3); Neu</v>
      </c>
      <c r="BH1271" s="55"/>
      <c r="BI1271" s="55"/>
      <c r="BJ1271" s="62"/>
      <c r="BK1271" s="57" t="n">
        <v>-3</v>
      </c>
      <c r="BL1271" s="57" t="n">
        <v>7</v>
      </c>
      <c r="BM1271" s="56" t="n">
        <v>-946.83</v>
      </c>
      <c r="BN1271" s="57" t="n">
        <v>1</v>
      </c>
      <c r="BO1271" s="55" t="s">
        <v>626</v>
      </c>
      <c r="BP1271" s="60" t="n">
        <v>0</v>
      </c>
      <c r="BQ1271" s="60" t="n">
        <v>1271</v>
      </c>
      <c r="BR1271" s="55" t="str">
        <f aca="false">IF(U1271&lt;&gt;"",UPPER(TRIM(U1271)),IF(BU1271=1,UPPER(VLOOKUP(T1271,Parameter!$I$27:$K$29,2,0)),IF(P1271="","LOSE",P1271)))</f>
        <v>S51</v>
      </c>
      <c r="BS1271" s="57" t="n">
        <f aca="false">IF(BR1271="LOSE",1,IF(N(V1271)&gt;0,V1271,IF(BU1271=1,MAX(1,N(VLOOKUP(T1271,Parameter!$I$27:$K$29,3,0)),H1271,N(N1271)),IF(N(Q1271)&gt;0,Q1271,MAX(1,H1271)))))</f>
        <v>4</v>
      </c>
      <c r="BT1271" s="60" t="n">
        <f aca="false">IF(BR1271="LOSE",1,0)</f>
        <v>0</v>
      </c>
      <c r="BU1271" s="60" t="n">
        <f aca="false">IF(AND(U1271="",OR(P1271="",P1271="LOSE"),T1271&lt;&gt;"",N(S1271)&lt;=0,ISNUMBER(MATCH(T1271,Parameter!$I$27:$I$29,0))),1,0)</f>
        <v>0</v>
      </c>
      <c r="BV1271" s="55" t="str">
        <f aca="false">IF(AND(Parameter!$B$19="Ja",E1271&lt;&gt;"",ISNUMBER(MATCH(E1271,Parameter!$I$35:$I$52,0))),VLOOKUP(E1271,Parameter!$I$35:$J$52,2,0),IFERROR(VLOOKUP(D1271,Parameter!$A$35:$C$64,2,0),"Nein"))</f>
        <v>2+3</v>
      </c>
      <c r="BW1271" s="59" t="n">
        <f aca="false">IF(BT1271=0,0,IF(N(S1271)&gt;0,S1271,IFERROR(VLOOKUP(D1271,Parameter!$A$35:$C$64,3,0)+0,0)))</f>
        <v>0</v>
      </c>
      <c r="BX1271" s="55" t="n">
        <f aca="false">IF(AA1271&lt;&gt;"",AA1271,Z1271)</f>
        <v>3</v>
      </c>
      <c r="BY1271" s="55" t="str">
        <f aca="false">IF(BX1271=1,"L1",IF(OR(BX1271=2,BX1271=3),"L23",IF(BX1271="Aussen","Aussen","-")))</f>
        <v>L23</v>
      </c>
      <c r="BZ1271" s="66" t="n">
        <f aca="false">IF(N(AB1271)&gt;0,AB1271,0)</f>
        <v>0</v>
      </c>
      <c r="CA1271" s="60" t="n">
        <f aca="false">IF(ISNUMBER(AE1271),1,0)</f>
        <v>0</v>
      </c>
      <c r="CB1271" s="57" t="n">
        <f aca="false">N(AE1271)</f>
        <v>0</v>
      </c>
      <c r="CC1271" s="57" t="n">
        <f aca="false">N(M1271)+N(N1271)</f>
        <v>1</v>
      </c>
      <c r="CD1271" s="57" t="n">
        <f aca="false">ROUNDUP(H1271/BS1271,0)</f>
        <v>1</v>
      </c>
      <c r="CE1271" s="57" t="n">
        <f aca="false">ROUNDUP(CB1271/BS1271,0)</f>
        <v>0</v>
      </c>
      <c r="CF1271" s="60" t="n">
        <f aca="false">IF(BT1271=1,0,IFERROR(VLOOKUP(BR1271,'Gebinde-Kategorie'!$A$5:$M$45,5,0)+0,0))</f>
        <v>11</v>
      </c>
      <c r="CG1271" s="60" t="n">
        <f aca="false">IFERROR(IF(OR(BX1271=1,BX1271=2,BX1271=3),N(INDEX(Parameter!$I$5:$I$7,BX1271)),0),0)</f>
        <v>0</v>
      </c>
      <c r="CH1271" s="59" t="n">
        <f aca="false">IF(AND(Parameter!$B$21="Ja",ISNUMBER(W1271),N(X1271)&gt;0),IFERROR(N(INDEX(Parameter!$L$5:$L$7,W1271))*INDEX(Parameter!$E$5:$E$7,W1271)*X1271/SUMIFS($X$7:$X$1843,$W$7:$W$1843,W1271),0),0)</f>
        <v>0</v>
      </c>
    </row>
    <row r="1272" customFormat="false" ht="15" hidden="false" customHeight="false" outlineLevel="0" collapsed="false">
      <c r="A1272" s="55" t="s">
        <v>2273</v>
      </c>
      <c r="B1272" s="55" t="s">
        <v>2274</v>
      </c>
      <c r="C1272" s="55" t="s">
        <v>164</v>
      </c>
      <c r="D1272" s="55" t="s">
        <v>173</v>
      </c>
      <c r="E1272" s="55"/>
      <c r="F1272" s="55" t="s">
        <v>218</v>
      </c>
      <c r="G1272" s="56" t="n">
        <v>317.25</v>
      </c>
      <c r="H1272" s="57" t="n">
        <f aca="false">MAX(0,IF(AND(Parameter!$B$21="Ja",ISNUMBER(Y1272)),Y1272,IF(Parameter!$B$20="Jahresanfang 2025 + Export",BL1272+BK1272,BK1272)))</f>
        <v>7</v>
      </c>
      <c r="I1272" s="57" t="n">
        <f aca="false">H1272*G1272</f>
        <v>2220.75</v>
      </c>
      <c r="J1272" s="57" t="n">
        <f aca="false">BN1272*Parameter!$B$18</f>
        <v>2</v>
      </c>
      <c r="K1272" s="58" t="n">
        <v>9</v>
      </c>
      <c r="L1272" s="59" t="n">
        <v>0.222222222222222</v>
      </c>
      <c r="M1272" s="57" t="n">
        <v>0</v>
      </c>
      <c r="N1272" s="57" t="n">
        <v>1</v>
      </c>
      <c r="O1272" s="60" t="n">
        <v>35</v>
      </c>
      <c r="P1272" s="55" t="s">
        <v>174</v>
      </c>
      <c r="Q1272" s="57" t="n">
        <v>10</v>
      </c>
      <c r="R1272" s="60" t="n">
        <f aca="false">IF(BT1272=1,0,IFERROR(VLOOKUP(BR1272,'Gebinde-Kategorie'!$A$5:$M$45,13,0)+0,0))</f>
        <v>6</v>
      </c>
      <c r="S1272" s="61"/>
      <c r="T1272" s="62"/>
      <c r="U1272" s="62"/>
      <c r="V1272" s="62"/>
      <c r="W1272" s="55"/>
      <c r="X1272" s="57"/>
      <c r="Y1272" s="57"/>
      <c r="Z1272" s="55" t="n">
        <f aca="false">IF(A1272="","",IF(AND(Parameter!$B$21="Ja",ISNUMBER(W1272)),W1272,IF(BV1272="2+3",IF(ISNUMBER(SEARCH("grosser Artikel",BO1272)),2,IFERROR(VLOOKUP(BR1272,Parameter!$F$35:$G$64,2,0),2)),IF(OR(BV1272="Nein",BV1272=""),"-",BV1272))))</f>
        <v>2</v>
      </c>
      <c r="AA1272" s="62"/>
      <c r="AB1272" s="63"/>
      <c r="AC1272" s="57" t="n">
        <f aca="false">AR1272</f>
        <v>10</v>
      </c>
      <c r="AD1272" s="57" t="n">
        <f aca="false">MAX(AR1272,H1272)</f>
        <v>10</v>
      </c>
      <c r="AE1272" s="64"/>
      <c r="AF1272" s="57" t="n">
        <f aca="false">IF(LEFT(Cockpit!$C$5,1)="A",H1272,IF(CA1272=1,CB1272,IF(LEFT(Cockpit!$C$5,1)="B",AJ1272,MAX(AJ1272,H1272))))</f>
        <v>7</v>
      </c>
      <c r="AG1272" s="57" t="n">
        <f aca="false">IF(BT1272=1,0,ROUNDUP(AF1272/BS1272,0))</f>
        <v>1</v>
      </c>
      <c r="AH1272" s="59" t="n">
        <f aca="false">IF(CH1272&gt;0,CH1272*MAX(1,AF1272/X1272),IF(BT1272=1,IF(AF1272&lt;=0,0,BW1272*MAX(1,IF(H1272&gt;0,AF1272/H1272,1))),IF(R1272&gt;0,AG1272/R1272,0))/MAX(0.1,N(Parameter!$M$21)))</f>
        <v>0.166666666666667</v>
      </c>
      <c r="AI1272" s="57" t="n">
        <f aca="false">AF1272*G1272</f>
        <v>2220.75</v>
      </c>
      <c r="AJ1272" s="57" t="n">
        <f aca="false">ROUNDUP(MAX(J1272/IF(BZ1272&gt;0,BZ1272,MAX(0.1,N(Cockpit!$C$6))),CC1272)/BS1272,0)*BS1272</f>
        <v>10</v>
      </c>
      <c r="AK1272" s="58" t="n">
        <f aca="false">IF(AH1272&gt;0,J1272/AH1272,-1)</f>
        <v>12</v>
      </c>
      <c r="AL1272" s="58" t="n">
        <f aca="false">IF(AND(OR(BY1272="L1",BY1272="L23"),AH1272&gt;0),SUMIFS($AH$7:$AH$1843,$BY$7:$BY$1843,BY1272,$AK$7:$AK$1843,"&gt;"&amp;AK1272)+SUMIFS($AH$7:$AH$1843,$BY$7:$BY$1843,BY1272,$AK$7:$AK$1843,AK1272,$BQ$7:$BQ$1843,"&lt;="&amp;BQ1272),"")</f>
        <v>55.0240785784264</v>
      </c>
      <c r="AM1272" s="65" t="n">
        <f aca="false">IF(AL1272="",0,MAX(0,MIN(1,(IF(BY1272="L1",Parameter!$E$5,Parameter!$E$6+Parameter!$E$7)-(AL1272-AH1272))/AH1272)))</f>
        <v>1</v>
      </c>
      <c r="AN1272" s="57" t="n">
        <f aca="false">IF(LEFT(Cockpit!$I$5,1)="A",H1272,IF(CA1272=1,CB1272,IF(LEFT(Cockpit!$I$5,1)="B",AR1272,MAX(AR1272,H1272))))</f>
        <v>10</v>
      </c>
      <c r="AO1272" s="57" t="n">
        <f aca="false">IF(BT1272=1,0,ROUNDUP(AN1272/BS1272,0))</f>
        <v>1</v>
      </c>
      <c r="AP1272" s="59" t="n">
        <f aca="false">IF(CH1272&gt;0,CH1272*MAX(1,AN1272/X1272),IF(BT1272=1,IF(AN1272&lt;=0,0,BW1272*MAX(1,IF(H1272&gt;0,AN1272/H1272,1))),IF(R1272&gt;0,AO1272/R1272,0))/MAX(0.1,N(Parameter!$M$21)))</f>
        <v>0.166666666666667</v>
      </c>
      <c r="AQ1272" s="57" t="n">
        <f aca="false">AN1272*G1272</f>
        <v>3172.5</v>
      </c>
      <c r="AR1272" s="57" t="n">
        <f aca="false">ROUNDUP(MAX(J1272/IF(BZ1272&gt;0,BZ1272,MAX(0.1,N(Cockpit!$I$6))),CC1272)/BS1272,0)*BS1272</f>
        <v>10</v>
      </c>
      <c r="AS1272" s="58" t="n">
        <f aca="false">IF(AP1272&gt;0,J1272/AP1272,-1)</f>
        <v>12</v>
      </c>
      <c r="AT1272" s="58" t="n">
        <f aca="false">IF(AND(OR(BY1272="L1",BY1272="L23"),AP1272&gt;0),SUMIFS($AP$7:$AP$1843,$BY$7:$BY$1843,BY1272,$AS$7:$AS$1843,"&gt;"&amp;AS1272)+SUMIFS($AP$7:$AP$1843,$BY$7:$BY$1843,BY1272,$AS$7:$AS$1843,AS1272,$BQ$7:$BQ$1843,"&lt;="&amp;BQ1272),"")</f>
        <v>88.2815360967535</v>
      </c>
      <c r="AU1272" s="65" t="n">
        <f aca="false">IF(AT1272="",0,MAX(0,MIN(1,(IF(BY1272="L1",Parameter!$E$5,Parameter!$E$6+Parameter!$E$7)-(AT1272-AP1272))/AP1272)))</f>
        <v>1</v>
      </c>
      <c r="AV1272" s="57" t="n">
        <f aca="false">IF(LEFT(Cockpit!$O$5,1)="A",H1272,IF(CA1272=1,CB1272,IF(LEFT(Cockpit!$O$5,1)="B",AZ1272,MAX(AZ1272,H1272))))</f>
        <v>10</v>
      </c>
      <c r="AW1272" s="57" t="n">
        <f aca="false">IF(BT1272=1,0,ROUNDUP(AV1272/BS1272,0))</f>
        <v>1</v>
      </c>
      <c r="AX1272" s="59" t="n">
        <f aca="false">IF(CH1272&gt;0,CH1272*MAX(1,AV1272/X1272),IF(BT1272=1,IF(AV1272&lt;=0,0,BW1272*MAX(1,IF(H1272&gt;0,AV1272/H1272,1))),IF(R1272&gt;0,AW1272/R1272,0))/MAX(0.1,N(Parameter!$M$21)))</f>
        <v>0.166666666666667</v>
      </c>
      <c r="AY1272" s="57" t="n">
        <f aca="false">AV1272*G1272</f>
        <v>3172.5</v>
      </c>
      <c r="AZ1272" s="57" t="n">
        <f aca="false">ROUNDUP(MAX(J1272/IF(BZ1272&gt;0,BZ1272,MAX(0.1,N(Cockpit!$O$6))),CC1272)/BS1272,0)*BS1272</f>
        <v>10</v>
      </c>
      <c r="BA1272" s="58" t="n">
        <f aca="false">IF(AX1272&gt;0,J1272/AX1272,-1)</f>
        <v>12</v>
      </c>
      <c r="BB1272" s="58" t="n">
        <f aca="false">IF(AND(OR(BY1272="L1",BY1272="L23"),AX1272&gt;0),SUMIFS($AX$7:$AX$1843,$BY$7:$BY$1843,BY1272,$BA$7:$BA$1843,"&gt;"&amp;BA1272)+SUMIFS($AX$7:$AX$1843,$BY$7:$BY$1843,BY1272,$BA$7:$BA$1843,BA1272,$BQ$7:$BQ$1843,"&lt;="&amp;BQ1272),"")</f>
        <v>81.778039593257</v>
      </c>
      <c r="BC1272" s="65" t="n">
        <f aca="false">IF(BB1272="",0,MAX(0,MIN(1,(IF(BY1272="L1",Parameter!$E$5,Parameter!$E$6+Parameter!$E$7)-(BB1272-AX1272))/AX1272)))</f>
        <v>1</v>
      </c>
      <c r="BD1272" s="55" t="str">
        <f aca="false">IF(AH1272&lt;=0,"",IF(BY1272="Aussen","Aussenlager",IF(BY1272="-","Nicht im Lift",IF(AM1272&gt;=1,"Lift",IF(AM1272&lt;=0,"Aussenlager","teilweise")))))</f>
        <v>Lift</v>
      </c>
      <c r="BE1272" s="55" t="str">
        <f aca="false">IF(AP1272&lt;=0,"",IF(BY1272="Aussen","Aussenlager",IF(BY1272="-","Nicht im Lift",IF(AU1272&gt;=1,"Lift",IF(AU1272&lt;=0,"Aussenlager","teilweise")))))</f>
        <v>Lift</v>
      </c>
      <c r="BF1272" s="55" t="str">
        <f aca="false">IF(AX1272&lt;=0,"",IF(BY1272="Aussen","Aussenlager",IF(BY1272="-","Nicht im Lift",IF(BC1272&gt;=1,"Lift",IF(BC1272&lt;=0,"Aussenlager","teilweise")))))</f>
        <v>Lift</v>
      </c>
      <c r="BG1272" s="55" t="str">
        <f aca="false">IF(A1272="","",IF(BP1272=1,"Neu; ","")&amp;IF(AND(BP1272=0,BK1272&lt;0),"negativer Bestand (Export "&amp;BK1272&amp;"); ","")&amp;IF(J1272&lt;=0,"Kein Verbrauch; ","")&amp;IF(CH1272&gt;0,"Lift "&amp;W1272&amp;" lt. Liftbericht (Fach "&amp;X1272&amp;" Stk); ",IF(BU1272=1,"Gebinde geschätzt ("&amp;T1272&amp;"); ",IF(BT1272=1,"Lose – Tablare geschätzt; ","")))&amp;IF(H1272&gt;AR1272,"Überbestand "&amp;ROUND(H1272-AR1272,0)&amp;" Stk / CHF "&amp;ROUND((H1272-AR1272)*G1272,0)&amp;"; ","")&amp;IF(AND(CA1272=1,CB1272&lt;CC1272),"MAX &lt; MB+LG; ","")&amp;IF(AND(CG1272&gt;0,CF1272*10&gt;CG1272),"zu hoch für Tablar; ","")&amp;IF(AND(BP1272=0,OR(CA1272=1,AA1272&lt;&gt;"",U1272&lt;&gt;"",V1272&lt;&gt;"",AB1272&lt;&gt;"")),"manuell übersteuert; ","")&amp;IF(AND(BT1272=0,R1272=0),"Gebinde unbekannt / Stellmass fehlt; ","")&amp;IF(AND(BT1272=0,N(V1272)&lt;=0,N(Q1272)&lt;=0),"Menge pro Gebinde fehlt (Ist = 1 Gebinde); ","")&amp;BO1272)</f>
        <v>negativer Bestand (Export -3); </v>
      </c>
      <c r="BH1272" s="55"/>
      <c r="BI1272" s="55"/>
      <c r="BJ1272" s="62"/>
      <c r="BK1272" s="57" t="n">
        <v>-3</v>
      </c>
      <c r="BL1272" s="57" t="n">
        <v>10</v>
      </c>
      <c r="BM1272" s="56" t="n">
        <v>-951.75</v>
      </c>
      <c r="BN1272" s="57" t="n">
        <v>2</v>
      </c>
      <c r="BO1272" s="55"/>
      <c r="BP1272" s="60" t="n">
        <v>0</v>
      </c>
      <c r="BQ1272" s="60" t="n">
        <v>1272</v>
      </c>
      <c r="BR1272" s="55" t="str">
        <f aca="false">IF(U1272&lt;&gt;"",UPPER(TRIM(U1272)),IF(BU1272=1,UPPER(VLOOKUP(T1272,Parameter!$I$27:$K$29,2,0)),IF(P1272="","LOSE",P1272)))</f>
        <v>S71</v>
      </c>
      <c r="BS1272" s="57" t="n">
        <f aca="false">IF(BR1272="LOSE",1,IF(N(V1272)&gt;0,V1272,IF(BU1272=1,MAX(1,N(VLOOKUP(T1272,Parameter!$I$27:$K$29,3,0)),H1272,N(N1272)),IF(N(Q1272)&gt;0,Q1272,MAX(1,H1272)))))</f>
        <v>10</v>
      </c>
      <c r="BT1272" s="60" t="n">
        <f aca="false">IF(BR1272="LOSE",1,0)</f>
        <v>0</v>
      </c>
      <c r="BU1272" s="60" t="n">
        <f aca="false">IF(AND(U1272="",OR(P1272="",P1272="LOSE"),T1272&lt;&gt;"",N(S1272)&lt;=0,ISNUMBER(MATCH(T1272,Parameter!$I$27:$I$29,0))),1,0)</f>
        <v>0</v>
      </c>
      <c r="BV1272" s="55" t="str">
        <f aca="false">IF(AND(Parameter!$B$19="Ja",E1272&lt;&gt;"",ISNUMBER(MATCH(E1272,Parameter!$I$35:$I$52,0))),VLOOKUP(E1272,Parameter!$I$35:$J$52,2,0),IFERROR(VLOOKUP(D1272,Parameter!$A$35:$C$64,2,0),"Nein"))</f>
        <v>2+3</v>
      </c>
      <c r="BW1272" s="59" t="n">
        <f aca="false">IF(BT1272=0,0,IF(N(S1272)&gt;0,S1272,IFERROR(VLOOKUP(D1272,Parameter!$A$35:$C$64,3,0)+0,0)))</f>
        <v>0</v>
      </c>
      <c r="BX1272" s="55" t="n">
        <f aca="false">IF(AA1272&lt;&gt;"",AA1272,Z1272)</f>
        <v>2</v>
      </c>
      <c r="BY1272" s="55" t="str">
        <f aca="false">IF(BX1272=1,"L1",IF(OR(BX1272=2,BX1272=3),"L23",IF(BX1272="Aussen","Aussen","-")))</f>
        <v>L23</v>
      </c>
      <c r="BZ1272" s="66" t="n">
        <f aca="false">IF(N(AB1272)&gt;0,AB1272,0)</f>
        <v>0</v>
      </c>
      <c r="CA1272" s="60" t="n">
        <f aca="false">IF(ISNUMBER(AE1272),1,0)</f>
        <v>0</v>
      </c>
      <c r="CB1272" s="57" t="n">
        <f aca="false">N(AE1272)</f>
        <v>0</v>
      </c>
      <c r="CC1272" s="57" t="n">
        <f aca="false">N(M1272)+N(N1272)</f>
        <v>1</v>
      </c>
      <c r="CD1272" s="57" t="n">
        <f aca="false">ROUNDUP(H1272/BS1272,0)</f>
        <v>1</v>
      </c>
      <c r="CE1272" s="57" t="n">
        <f aca="false">ROUNDUP(CB1272/BS1272,0)</f>
        <v>0</v>
      </c>
      <c r="CF1272" s="60" t="n">
        <f aca="false">IF(BT1272=1,0,IFERROR(VLOOKUP(BR1272,'Gebinde-Kategorie'!$A$5:$M$45,5,0)+0,0))</f>
        <v>20</v>
      </c>
      <c r="CG1272" s="60" t="n">
        <f aca="false">IFERROR(IF(OR(BX1272=1,BX1272=2,BX1272=3),N(INDEX(Parameter!$I$5:$I$7,BX1272)),0),0)</f>
        <v>0</v>
      </c>
      <c r="CH1272" s="59" t="n">
        <f aca="false">IF(AND(Parameter!$B$21="Ja",ISNUMBER(W1272),N(X1272)&gt;0),IFERROR(N(INDEX(Parameter!$L$5:$L$7,W1272))*INDEX(Parameter!$E$5:$E$7,W1272)*X1272/SUMIFS($X$7:$X$1843,$W$7:$W$1843,W1272),0),0)</f>
        <v>0</v>
      </c>
    </row>
    <row r="1273" customFormat="false" ht="15" hidden="false" customHeight="false" outlineLevel="0" collapsed="false">
      <c r="A1273" s="55" t="s">
        <v>2275</v>
      </c>
      <c r="B1273" s="55" t="s">
        <v>2276</v>
      </c>
      <c r="C1273" s="55" t="s">
        <v>164</v>
      </c>
      <c r="D1273" s="55" t="s">
        <v>184</v>
      </c>
      <c r="E1273" s="55"/>
      <c r="F1273" s="55" t="s">
        <v>218</v>
      </c>
      <c r="G1273" s="56" t="n">
        <v>87.04</v>
      </c>
      <c r="H1273" s="57" t="n">
        <f aca="false">MAX(0,IF(AND(Parameter!$B$21="Ja",ISNUMBER(Y1273)),Y1273,IF(Parameter!$B$20="Jahresanfang 2025 + Export",BL1273+BK1273,BK1273)))</f>
        <v>46</v>
      </c>
      <c r="I1273" s="57" t="n">
        <f aca="false">H1273*G1273</f>
        <v>4003.84</v>
      </c>
      <c r="J1273" s="57" t="n">
        <f aca="false">BN1273*Parameter!$B$18</f>
        <v>1</v>
      </c>
      <c r="K1273" s="58" t="n">
        <v>52</v>
      </c>
      <c r="L1273" s="59" t="n">
        <v>0.0192307692307692</v>
      </c>
      <c r="M1273" s="57" t="n">
        <v>0</v>
      </c>
      <c r="N1273" s="57" t="n">
        <v>1</v>
      </c>
      <c r="O1273" s="60" t="n">
        <v>28</v>
      </c>
      <c r="P1273" s="55" t="s">
        <v>259</v>
      </c>
      <c r="Q1273" s="57" t="n">
        <v>50</v>
      </c>
      <c r="R1273" s="60" t="n">
        <f aca="false">IF(BT1273=1,0,IFERROR(VLOOKUP(BR1273,'Gebinde-Kategorie'!$A$5:$M$45,13,0)+0,0))</f>
        <v>6</v>
      </c>
      <c r="S1273" s="61"/>
      <c r="T1273" s="62"/>
      <c r="U1273" s="62"/>
      <c r="V1273" s="62"/>
      <c r="W1273" s="55"/>
      <c r="X1273" s="57"/>
      <c r="Y1273" s="57"/>
      <c r="Z1273" s="55" t="n">
        <f aca="false">IF(A1273="","",IF(AND(Parameter!$B$21="Ja",ISNUMBER(W1273)),W1273,IF(BV1273="2+3",IF(ISNUMBER(SEARCH("grosser Artikel",BO1273)),2,IFERROR(VLOOKUP(BR1273,Parameter!$F$35:$G$64,2,0),2)),IF(OR(BV1273="Nein",BV1273=""),"-",BV1273))))</f>
        <v>2</v>
      </c>
      <c r="AA1273" s="62"/>
      <c r="AB1273" s="63"/>
      <c r="AC1273" s="57" t="n">
        <f aca="false">AR1273</f>
        <v>50</v>
      </c>
      <c r="AD1273" s="57" t="n">
        <f aca="false">MAX(AR1273,H1273)</f>
        <v>50</v>
      </c>
      <c r="AE1273" s="64"/>
      <c r="AF1273" s="57" t="n">
        <f aca="false">IF(LEFT(Cockpit!$C$5,1)="A",H1273,IF(CA1273=1,CB1273,IF(LEFT(Cockpit!$C$5,1)="B",AJ1273,MAX(AJ1273,H1273))))</f>
        <v>46</v>
      </c>
      <c r="AG1273" s="57" t="n">
        <f aca="false">IF(BT1273=1,0,ROUNDUP(AF1273/BS1273,0))</f>
        <v>1</v>
      </c>
      <c r="AH1273" s="59" t="n">
        <f aca="false">IF(CH1273&gt;0,CH1273*MAX(1,AF1273/X1273),IF(BT1273=1,IF(AF1273&lt;=0,0,BW1273*MAX(1,IF(H1273&gt;0,AF1273/H1273,1))),IF(R1273&gt;0,AG1273/R1273,0))/MAX(0.1,N(Parameter!$M$21)))</f>
        <v>0.166666666666667</v>
      </c>
      <c r="AI1273" s="57" t="n">
        <f aca="false">AF1273*G1273</f>
        <v>4003.84</v>
      </c>
      <c r="AJ1273" s="57" t="n">
        <f aca="false">ROUNDUP(MAX(J1273/IF(BZ1273&gt;0,BZ1273,MAX(0.1,N(Cockpit!$C$6))),CC1273)/BS1273,0)*BS1273</f>
        <v>50</v>
      </c>
      <c r="AK1273" s="58" t="n">
        <f aca="false">IF(AH1273&gt;0,J1273/AH1273,-1)</f>
        <v>6</v>
      </c>
      <c r="AL1273" s="58" t="n">
        <f aca="false">IF(AND(OR(BY1273="L1",BY1273="L23"),AH1273&gt;0),SUMIFS($AH$7:$AH$1843,$BY$7:$BY$1843,BY1273,$AK$7:$AK$1843,"&gt;"&amp;AK1273)+SUMIFS($AH$7:$AH$1843,$BY$7:$BY$1843,BY1273,$AK$7:$AK$1843,AK1273,$BQ$7:$BQ$1843,"&lt;="&amp;BQ1273),"")</f>
        <v>57.4792067835546</v>
      </c>
      <c r="AM1273" s="65" t="n">
        <f aca="false">IF(AL1273="",0,MAX(0,MIN(1,(IF(BY1273="L1",Parameter!$E$5,Parameter!$E$6+Parameter!$E$7)-(AL1273-AH1273))/AH1273)))</f>
        <v>1</v>
      </c>
      <c r="AN1273" s="57" t="n">
        <f aca="false">IF(LEFT(Cockpit!$I$5,1)="A",H1273,IF(CA1273=1,CB1273,IF(LEFT(Cockpit!$I$5,1)="B",AR1273,MAX(AR1273,H1273))))</f>
        <v>50</v>
      </c>
      <c r="AO1273" s="57" t="n">
        <f aca="false">IF(BT1273=1,0,ROUNDUP(AN1273/BS1273,0))</f>
        <v>1</v>
      </c>
      <c r="AP1273" s="59" t="n">
        <f aca="false">IF(CH1273&gt;0,CH1273*MAX(1,AN1273/X1273),IF(BT1273=1,IF(AN1273&lt;=0,0,BW1273*MAX(1,IF(H1273&gt;0,AN1273/H1273,1))),IF(R1273&gt;0,AO1273/R1273,0))/MAX(0.1,N(Parameter!$M$21)))</f>
        <v>0.166666666666667</v>
      </c>
      <c r="AQ1273" s="57" t="n">
        <f aca="false">AN1273*G1273</f>
        <v>4352</v>
      </c>
      <c r="AR1273" s="57" t="n">
        <f aca="false">ROUNDUP(MAX(J1273/IF(BZ1273&gt;0,BZ1273,MAX(0.1,N(Cockpit!$I$6))),CC1273)/BS1273,0)*BS1273</f>
        <v>50</v>
      </c>
      <c r="AS1273" s="58" t="n">
        <f aca="false">IF(AP1273&gt;0,J1273/AP1273,-1)</f>
        <v>6</v>
      </c>
      <c r="AT1273" s="58" t="n">
        <f aca="false">IF(AND(OR(BY1273="L1",BY1273="L23"),AP1273&gt;0),SUMIFS($AP$7:$AP$1843,$BY$7:$BY$1843,BY1273,$AS$7:$AS$1843,"&gt;"&amp;AS1273)+SUMIFS($AP$7:$AP$1843,$BY$7:$BY$1843,BY1273,$AS$7:$AS$1843,AS1273,$BQ$7:$BQ$1843,"&lt;="&amp;BQ1273),"")</f>
        <v>94.9033309685484</v>
      </c>
      <c r="AU1273" s="65" t="n">
        <f aca="false">IF(AT1273="",0,MAX(0,MIN(1,(IF(BY1273="L1",Parameter!$E$5,Parameter!$E$6+Parameter!$E$7)-(AT1273-AP1273))/AP1273)))</f>
        <v>1</v>
      </c>
      <c r="AV1273" s="57" t="n">
        <f aca="false">IF(LEFT(Cockpit!$O$5,1)="A",H1273,IF(CA1273=1,CB1273,IF(LEFT(Cockpit!$O$5,1)="B",AZ1273,MAX(AZ1273,H1273))))</f>
        <v>50</v>
      </c>
      <c r="AW1273" s="57" t="n">
        <f aca="false">IF(BT1273=1,0,ROUNDUP(AV1273/BS1273,0))</f>
        <v>1</v>
      </c>
      <c r="AX1273" s="59" t="n">
        <f aca="false">IF(CH1273&gt;0,CH1273*MAX(1,AV1273/X1273),IF(BT1273=1,IF(AV1273&lt;=0,0,BW1273*MAX(1,IF(H1273&gt;0,AV1273/H1273,1))),IF(R1273&gt;0,AW1273/R1273,0))/MAX(0.1,N(Parameter!$M$21)))</f>
        <v>0.166666666666667</v>
      </c>
      <c r="AY1273" s="57" t="n">
        <f aca="false">AV1273*G1273</f>
        <v>4352</v>
      </c>
      <c r="AZ1273" s="57" t="n">
        <f aca="false">ROUNDUP(MAX(J1273/IF(BZ1273&gt;0,BZ1273,MAX(0.1,N(Cockpit!$O$6))),CC1273)/BS1273,0)*BS1273</f>
        <v>50</v>
      </c>
      <c r="BA1273" s="58" t="n">
        <f aca="false">IF(AX1273&gt;0,J1273/AX1273,-1)</f>
        <v>6</v>
      </c>
      <c r="BB1273" s="58" t="n">
        <f aca="false">IF(AND(OR(BY1273="L1",BY1273="L23"),AX1273&gt;0),SUMIFS($AX$7:$AX$1843,$BY$7:$BY$1843,BY1273,$BA$7:$BA$1843,"&gt;"&amp;BA1273)+SUMIFS($AX$7:$AX$1843,$BY$7:$BY$1843,BY1273,$BA$7:$BA$1843,BA1273,$BQ$7:$BQ$1843,"&lt;="&amp;BQ1273),"")</f>
        <v>85.7331677983852</v>
      </c>
      <c r="BC1273" s="65" t="n">
        <f aca="false">IF(BB1273="",0,MAX(0,MIN(1,(IF(BY1273="L1",Parameter!$E$5,Parameter!$E$6+Parameter!$E$7)-(BB1273-AX1273))/AX1273)))</f>
        <v>1</v>
      </c>
      <c r="BD1273" s="55" t="str">
        <f aca="false">IF(AH1273&lt;=0,"",IF(BY1273="Aussen","Aussenlager",IF(BY1273="-","Nicht im Lift",IF(AM1273&gt;=1,"Lift",IF(AM1273&lt;=0,"Aussenlager","teilweise")))))</f>
        <v>Lift</v>
      </c>
      <c r="BE1273" s="55" t="str">
        <f aca="false">IF(AP1273&lt;=0,"",IF(BY1273="Aussen","Aussenlager",IF(BY1273="-","Nicht im Lift",IF(AU1273&gt;=1,"Lift",IF(AU1273&lt;=0,"Aussenlager","teilweise")))))</f>
        <v>Lift</v>
      </c>
      <c r="BF1273" s="55" t="str">
        <f aca="false">IF(AX1273&lt;=0,"",IF(BY1273="Aussen","Aussenlager",IF(BY1273="-","Nicht im Lift",IF(BC1273&gt;=1,"Lift",IF(BC1273&lt;=0,"Aussenlager","teilweise")))))</f>
        <v>Lift</v>
      </c>
      <c r="BG1273" s="55" t="str">
        <f aca="false">IF(A1273="","",IF(BP1273=1,"Neu; ","")&amp;IF(AND(BP1273=0,BK1273&lt;0),"negativer Bestand (Export "&amp;BK1273&amp;"); ","")&amp;IF(J1273&lt;=0,"Kein Verbrauch; ","")&amp;IF(CH1273&gt;0,"Lift "&amp;W1273&amp;" lt. Liftbericht (Fach "&amp;X1273&amp;" Stk); ",IF(BU1273=1,"Gebinde geschätzt ("&amp;T1273&amp;"); ",IF(BT1273=1,"Lose – Tablare geschätzt; ","")))&amp;IF(H1273&gt;AR1273,"Überbestand "&amp;ROUND(H1273-AR1273,0)&amp;" Stk / CHF "&amp;ROUND((H1273-AR1273)*G1273,0)&amp;"; ","")&amp;IF(AND(CA1273=1,CB1273&lt;CC1273),"MAX &lt; MB+LG; ","")&amp;IF(AND(CG1273&gt;0,CF1273*10&gt;CG1273),"zu hoch für Tablar; ","")&amp;IF(AND(BP1273=0,OR(CA1273=1,AA1273&lt;&gt;"",U1273&lt;&gt;"",V1273&lt;&gt;"",AB1273&lt;&gt;"")),"manuell übersteuert; ","")&amp;IF(AND(BT1273=0,R1273=0),"Gebinde unbekannt / Stellmass fehlt; ","")&amp;IF(AND(BT1273=0,N(V1273)&lt;=0,N(Q1273)&lt;=0),"Menge pro Gebinde fehlt (Ist = 1 Gebinde); ","")&amp;BO1273)</f>
        <v>negativer Bestand (Export -11); überbestand</v>
      </c>
      <c r="BH1273" s="55"/>
      <c r="BI1273" s="55"/>
      <c r="BJ1273" s="62"/>
      <c r="BK1273" s="57" t="n">
        <v>-11</v>
      </c>
      <c r="BL1273" s="57" t="n">
        <v>57</v>
      </c>
      <c r="BM1273" s="56" t="n">
        <v>-957.44</v>
      </c>
      <c r="BN1273" s="57" t="n">
        <v>1</v>
      </c>
      <c r="BO1273" s="55" t="s">
        <v>1250</v>
      </c>
      <c r="BP1273" s="60" t="n">
        <v>0</v>
      </c>
      <c r="BQ1273" s="60" t="n">
        <v>1273</v>
      </c>
      <c r="BR1273" s="55" t="str">
        <f aca="false">IF(U1273&lt;&gt;"",UPPER(TRIM(U1273)),IF(BU1273=1,UPPER(VLOOKUP(T1273,Parameter!$I$27:$K$29,2,0)),IF(P1273="","LOSE",P1273)))</f>
        <v>S72</v>
      </c>
      <c r="BS1273" s="57" t="n">
        <f aca="false">IF(BR1273="LOSE",1,IF(N(V1273)&gt;0,V1273,IF(BU1273=1,MAX(1,N(VLOOKUP(T1273,Parameter!$I$27:$K$29,3,0)),H1273,N(N1273)),IF(N(Q1273)&gt;0,Q1273,MAX(1,H1273)))))</f>
        <v>50</v>
      </c>
      <c r="BT1273" s="60" t="n">
        <f aca="false">IF(BR1273="LOSE",1,0)</f>
        <v>0</v>
      </c>
      <c r="BU1273" s="60" t="n">
        <f aca="false">IF(AND(U1273="",OR(P1273="",P1273="LOSE"),T1273&lt;&gt;"",N(S1273)&lt;=0,ISNUMBER(MATCH(T1273,Parameter!$I$27:$I$29,0))),1,0)</f>
        <v>0</v>
      </c>
      <c r="BV1273" s="55" t="str">
        <f aca="false">IF(AND(Parameter!$B$19="Ja",E1273&lt;&gt;"",ISNUMBER(MATCH(E1273,Parameter!$I$35:$I$52,0))),VLOOKUP(E1273,Parameter!$I$35:$J$52,2,0),IFERROR(VLOOKUP(D1273,Parameter!$A$35:$C$64,2,0),"Nein"))</f>
        <v>2+3</v>
      </c>
      <c r="BW1273" s="59" t="n">
        <f aca="false">IF(BT1273=0,0,IF(N(S1273)&gt;0,S1273,IFERROR(VLOOKUP(D1273,Parameter!$A$35:$C$64,3,0)+0,0)))</f>
        <v>0</v>
      </c>
      <c r="BX1273" s="55" t="n">
        <f aca="false">IF(AA1273&lt;&gt;"",AA1273,Z1273)</f>
        <v>2</v>
      </c>
      <c r="BY1273" s="55" t="str">
        <f aca="false">IF(BX1273=1,"L1",IF(OR(BX1273=2,BX1273=3),"L23",IF(BX1273="Aussen","Aussen","-")))</f>
        <v>L23</v>
      </c>
      <c r="BZ1273" s="66" t="n">
        <f aca="false">IF(N(AB1273)&gt;0,AB1273,0)</f>
        <v>0</v>
      </c>
      <c r="CA1273" s="60" t="n">
        <f aca="false">IF(ISNUMBER(AE1273),1,0)</f>
        <v>0</v>
      </c>
      <c r="CB1273" s="57" t="n">
        <f aca="false">N(AE1273)</f>
        <v>0</v>
      </c>
      <c r="CC1273" s="57" t="n">
        <f aca="false">N(M1273)+N(N1273)</f>
        <v>1</v>
      </c>
      <c r="CD1273" s="57" t="n">
        <f aca="false">ROUNDUP(H1273/BS1273,0)</f>
        <v>1</v>
      </c>
      <c r="CE1273" s="57" t="n">
        <f aca="false">ROUNDUP(CB1273/BS1273,0)</f>
        <v>0</v>
      </c>
      <c r="CF1273" s="60" t="n">
        <f aca="false">IF(BT1273=1,0,IFERROR(VLOOKUP(BR1273,'Gebinde-Kategorie'!$A$5:$M$45,5,0)+0,0))</f>
        <v>40</v>
      </c>
      <c r="CG1273" s="60" t="n">
        <f aca="false">IFERROR(IF(OR(BX1273=1,BX1273=2,BX1273=3),N(INDEX(Parameter!$I$5:$I$7,BX1273)),0),0)</f>
        <v>0</v>
      </c>
      <c r="CH1273" s="59" t="n">
        <f aca="false">IF(AND(Parameter!$B$21="Ja",ISNUMBER(W1273),N(X1273)&gt;0),IFERROR(N(INDEX(Parameter!$L$5:$L$7,W1273))*INDEX(Parameter!$E$5:$E$7,W1273)*X1273/SUMIFS($X$7:$X$1843,$W$7:$W$1843,W1273),0),0)</f>
        <v>0</v>
      </c>
    </row>
    <row r="1274" customFormat="false" ht="15" hidden="false" customHeight="false" outlineLevel="0" collapsed="false">
      <c r="A1274" s="55" t="s">
        <v>2277</v>
      </c>
      <c r="B1274" s="55" t="s">
        <v>1708</v>
      </c>
      <c r="C1274" s="55" t="s">
        <v>164</v>
      </c>
      <c r="D1274" s="55" t="s">
        <v>184</v>
      </c>
      <c r="E1274" s="55" t="s">
        <v>185</v>
      </c>
      <c r="F1274" s="55" t="s">
        <v>218</v>
      </c>
      <c r="G1274" s="56" t="n">
        <v>107</v>
      </c>
      <c r="H1274" s="57" t="n">
        <f aca="false">MAX(0,IF(AND(Parameter!$B$21="Ja",ISNUMBER(Y1274)),Y1274,IF(Parameter!$B$20="Jahresanfang 2025 + Export",BL1274+BK1274,BK1274)))</f>
        <v>24</v>
      </c>
      <c r="I1274" s="57" t="n">
        <f aca="false">H1274*G1274</f>
        <v>2568</v>
      </c>
      <c r="J1274" s="57" t="n">
        <f aca="false">BN1274*Parameter!$B$18</f>
        <v>56</v>
      </c>
      <c r="K1274" s="58" t="n">
        <v>34</v>
      </c>
      <c r="L1274" s="59" t="n">
        <v>1.64705882352941</v>
      </c>
      <c r="M1274" s="57" t="n">
        <v>2</v>
      </c>
      <c r="N1274" s="57" t="n">
        <v>10</v>
      </c>
      <c r="O1274" s="60" t="n">
        <v>14</v>
      </c>
      <c r="P1274" s="55" t="s">
        <v>233</v>
      </c>
      <c r="Q1274" s="57" t="n">
        <v>52</v>
      </c>
      <c r="R1274" s="60" t="n">
        <f aca="false">IF(BT1274=1,0,IFERROR(VLOOKUP(BR1274,'Gebinde-Kategorie'!$A$5:$M$45,13,0)+0,0))</f>
        <v>26</v>
      </c>
      <c r="S1274" s="61"/>
      <c r="T1274" s="62"/>
      <c r="U1274" s="62"/>
      <c r="V1274" s="62"/>
      <c r="W1274" s="55"/>
      <c r="X1274" s="57"/>
      <c r="Y1274" s="57"/>
      <c r="Z1274" s="55" t="n">
        <f aca="false">IF(A1274="","",IF(AND(Parameter!$B$21="Ja",ISNUMBER(W1274)),W1274,IF(BV1274="2+3",IF(ISNUMBER(SEARCH("grosser Artikel",BO1274)),2,IFERROR(VLOOKUP(BR1274,Parameter!$F$35:$G$64,2,0),2)),IF(OR(BV1274="Nein",BV1274=""),"-",BV1274))))</f>
        <v>3</v>
      </c>
      <c r="AA1274" s="62"/>
      <c r="AB1274" s="63"/>
      <c r="AC1274" s="57" t="n">
        <f aca="false">AR1274</f>
        <v>52</v>
      </c>
      <c r="AD1274" s="57" t="n">
        <f aca="false">MAX(AR1274,H1274)</f>
        <v>52</v>
      </c>
      <c r="AE1274" s="64"/>
      <c r="AF1274" s="57" t="n">
        <f aca="false">IF(LEFT(Cockpit!$C$5,1)="A",H1274,IF(CA1274=1,CB1274,IF(LEFT(Cockpit!$C$5,1)="B",AJ1274,MAX(AJ1274,H1274))))</f>
        <v>24</v>
      </c>
      <c r="AG1274" s="57" t="n">
        <f aca="false">IF(BT1274=1,0,ROUNDUP(AF1274/BS1274,0))</f>
        <v>1</v>
      </c>
      <c r="AH1274" s="59" t="n">
        <f aca="false">IF(CH1274&gt;0,CH1274*MAX(1,AF1274/X1274),IF(BT1274=1,IF(AF1274&lt;=0,0,BW1274*MAX(1,IF(H1274&gt;0,AF1274/H1274,1))),IF(R1274&gt;0,AG1274/R1274,0))/MAX(0.1,N(Parameter!$M$21)))</f>
        <v>0.0384615384615385</v>
      </c>
      <c r="AI1274" s="57" t="n">
        <f aca="false">AF1274*G1274</f>
        <v>2568</v>
      </c>
      <c r="AJ1274" s="57" t="n">
        <f aca="false">ROUNDUP(MAX(J1274/IF(BZ1274&gt;0,BZ1274,MAX(0.1,N(Cockpit!$C$6))),CC1274)/BS1274,0)*BS1274</f>
        <v>52</v>
      </c>
      <c r="AK1274" s="58" t="n">
        <f aca="false">IF(AH1274&gt;0,J1274/AH1274,-1)</f>
        <v>1456</v>
      </c>
      <c r="AL1274" s="58" t="n">
        <f aca="false">IF(AND(OR(BY1274="L1",BY1274="L23"),AH1274&gt;0),SUMIFS($AH$7:$AH$1843,$BY$7:$BY$1843,BY1274,$AK$7:$AK$1843,"&gt;"&amp;AK1274)+SUMIFS($AH$7:$AH$1843,$BY$7:$BY$1843,BY1274,$AK$7:$AK$1843,AK1274,$BQ$7:$BQ$1843,"&lt;="&amp;BQ1274),"")</f>
        <v>15.9714029931421</v>
      </c>
      <c r="AM1274" s="65" t="n">
        <f aca="false">IF(AL1274="",0,MAX(0,MIN(1,(IF(BY1274="L1",Parameter!$E$5,Parameter!$E$6+Parameter!$E$7)-(AL1274-AH1274))/AH1274)))</f>
        <v>1</v>
      </c>
      <c r="AN1274" s="57" t="n">
        <f aca="false">IF(LEFT(Cockpit!$I$5,1)="A",H1274,IF(CA1274=1,CB1274,IF(LEFT(Cockpit!$I$5,1)="B",AR1274,MAX(AR1274,H1274))))</f>
        <v>52</v>
      </c>
      <c r="AO1274" s="57" t="n">
        <f aca="false">IF(BT1274=1,0,ROUNDUP(AN1274/BS1274,0))</f>
        <v>1</v>
      </c>
      <c r="AP1274" s="59" t="n">
        <f aca="false">IF(CH1274&gt;0,CH1274*MAX(1,AN1274/X1274),IF(BT1274=1,IF(AN1274&lt;=0,0,BW1274*MAX(1,IF(H1274&gt;0,AN1274/H1274,1))),IF(R1274&gt;0,AO1274/R1274,0))/MAX(0.1,N(Parameter!$M$21)))</f>
        <v>0.0384615384615385</v>
      </c>
      <c r="AQ1274" s="57" t="n">
        <f aca="false">AN1274*G1274</f>
        <v>5564</v>
      </c>
      <c r="AR1274" s="57" t="n">
        <f aca="false">ROUNDUP(MAX(J1274/IF(BZ1274&gt;0,BZ1274,MAX(0.1,N(Cockpit!$I$6))),CC1274)/BS1274,0)*BS1274</f>
        <v>52</v>
      </c>
      <c r="AS1274" s="58" t="n">
        <f aca="false">IF(AP1274&gt;0,J1274/AP1274,-1)</f>
        <v>1456</v>
      </c>
      <c r="AT1274" s="58" t="n">
        <f aca="false">IF(AND(OR(BY1274="L1",BY1274="L23"),AP1274&gt;0),SUMIFS($AP$7:$AP$1843,$BY$7:$BY$1843,BY1274,$AS$7:$AS$1843,"&gt;"&amp;AS1274)+SUMIFS($AP$7:$AP$1843,$BY$7:$BY$1843,BY1274,$AS$7:$AS$1843,AS1274,$BQ$7:$BQ$1843,"&lt;="&amp;BQ1274),"")</f>
        <v>20.9116668355799</v>
      </c>
      <c r="AU1274" s="65" t="n">
        <f aca="false">IF(AT1274="",0,MAX(0,MIN(1,(IF(BY1274="L1",Parameter!$E$5,Parameter!$E$6+Parameter!$E$7)-(AT1274-AP1274))/AP1274)))</f>
        <v>1</v>
      </c>
      <c r="AV1274" s="57" t="n">
        <f aca="false">IF(LEFT(Cockpit!$O$5,1)="A",H1274,IF(CA1274=1,CB1274,IF(LEFT(Cockpit!$O$5,1)="B",AZ1274,MAX(AZ1274,H1274))))</f>
        <v>52</v>
      </c>
      <c r="AW1274" s="57" t="n">
        <f aca="false">IF(BT1274=1,0,ROUNDUP(AV1274/BS1274,0))</f>
        <v>1</v>
      </c>
      <c r="AX1274" s="59" t="n">
        <f aca="false">IF(CH1274&gt;0,CH1274*MAX(1,AV1274/X1274),IF(BT1274=1,IF(AV1274&lt;=0,0,BW1274*MAX(1,IF(H1274&gt;0,AV1274/H1274,1))),IF(R1274&gt;0,AW1274/R1274,0))/MAX(0.1,N(Parameter!$M$21)))</f>
        <v>0.0384615384615385</v>
      </c>
      <c r="AY1274" s="57" t="n">
        <f aca="false">AV1274*G1274</f>
        <v>5564</v>
      </c>
      <c r="AZ1274" s="57" t="n">
        <f aca="false">ROUNDUP(MAX(J1274/IF(BZ1274&gt;0,BZ1274,MAX(0.1,N(Cockpit!$O$6))),CC1274)/BS1274,0)*BS1274</f>
        <v>52</v>
      </c>
      <c r="BA1274" s="58" t="n">
        <f aca="false">IF(AX1274&gt;0,J1274/AX1274,-1)</f>
        <v>1456</v>
      </c>
      <c r="BB1274" s="58" t="n">
        <f aca="false">IF(AND(OR(BY1274="L1",BY1274="L23"),AX1274&gt;0),SUMIFS($AX$7:$AX$1843,$BY$7:$BY$1843,BY1274,$BA$7:$BA$1843,"&gt;"&amp;BA1274)+SUMIFS($AX$7:$AX$1843,$BY$7:$BY$1843,BY1274,$BA$7:$BA$1843,BA1274,$BQ$7:$BQ$1843,"&lt;="&amp;BQ1274),"")</f>
        <v>19.773554947468</v>
      </c>
      <c r="BC1274" s="65" t="n">
        <f aca="false">IF(BB1274="",0,MAX(0,MIN(1,(IF(BY1274="L1",Parameter!$E$5,Parameter!$E$6+Parameter!$E$7)-(BB1274-AX1274))/AX1274)))</f>
        <v>1</v>
      </c>
      <c r="BD1274" s="55" t="str">
        <f aca="false">IF(AH1274&lt;=0,"",IF(BY1274="Aussen","Aussenlager",IF(BY1274="-","Nicht im Lift",IF(AM1274&gt;=1,"Lift",IF(AM1274&lt;=0,"Aussenlager","teilweise")))))</f>
        <v>Lift</v>
      </c>
      <c r="BE1274" s="55" t="str">
        <f aca="false">IF(AP1274&lt;=0,"",IF(BY1274="Aussen","Aussenlager",IF(BY1274="-","Nicht im Lift",IF(AU1274&gt;=1,"Lift",IF(AU1274&lt;=0,"Aussenlager","teilweise")))))</f>
        <v>Lift</v>
      </c>
      <c r="BF1274" s="55" t="str">
        <f aca="false">IF(AX1274&lt;=0,"",IF(BY1274="Aussen","Aussenlager",IF(BY1274="-","Nicht im Lift",IF(BC1274&gt;=1,"Lift",IF(BC1274&lt;=0,"Aussenlager","teilweise")))))</f>
        <v>Lift</v>
      </c>
      <c r="BG1274" s="55" t="str">
        <f aca="false">IF(A1274="","",IF(BP1274=1,"Neu; ","")&amp;IF(AND(BP1274=0,BK1274&lt;0),"negativer Bestand (Export "&amp;BK1274&amp;"); ","")&amp;IF(J1274&lt;=0,"Kein Verbrauch; ","")&amp;IF(CH1274&gt;0,"Lift "&amp;W1274&amp;" lt. Liftbericht (Fach "&amp;X1274&amp;" Stk); ",IF(BU1274=1,"Gebinde geschätzt ("&amp;T1274&amp;"); ",IF(BT1274=1,"Lose – Tablare geschätzt; ","")))&amp;IF(H1274&gt;AR1274,"Überbestand "&amp;ROUND(H1274-AR1274,0)&amp;" Stk / CHF "&amp;ROUND((H1274-AR1274)*G1274,0)&amp;"; ","")&amp;IF(AND(CA1274=1,CB1274&lt;CC1274),"MAX &lt; MB+LG; ","")&amp;IF(AND(CG1274&gt;0,CF1274*10&gt;CG1274),"zu hoch für Tablar; ","")&amp;IF(AND(BP1274=0,OR(CA1274=1,AA1274&lt;&gt;"",U1274&lt;&gt;"",V1274&lt;&gt;"",AB1274&lt;&gt;"")),"manuell übersteuert; ","")&amp;IF(AND(BT1274=0,R1274=0),"Gebinde unbekannt / Stellmass fehlt; ","")&amp;IF(AND(BT1274=0,N(V1274)&lt;=0,N(Q1274)&lt;=0),"Menge pro Gebinde fehlt (Ist = 1 Gebinde); ","")&amp;BO1274)</f>
        <v>negativer Bestand (Export -9); </v>
      </c>
      <c r="BH1274" s="55"/>
      <c r="BI1274" s="55"/>
      <c r="BJ1274" s="62"/>
      <c r="BK1274" s="57" t="n">
        <v>-9</v>
      </c>
      <c r="BL1274" s="57" t="n">
        <v>33</v>
      </c>
      <c r="BM1274" s="56" t="n">
        <v>-963</v>
      </c>
      <c r="BN1274" s="57" t="n">
        <v>56</v>
      </c>
      <c r="BO1274" s="55"/>
      <c r="BP1274" s="60" t="n">
        <v>0</v>
      </c>
      <c r="BQ1274" s="60" t="n">
        <v>1274</v>
      </c>
      <c r="BR1274" s="55" t="str">
        <f aca="false">IF(U1274&lt;&gt;"",UPPER(TRIM(U1274)),IF(BU1274=1,UPPER(VLOOKUP(T1274,Parameter!$I$27:$K$29,2,0)),IF(P1274="","LOSE",P1274)))</f>
        <v>S52</v>
      </c>
      <c r="BS1274" s="57" t="n">
        <f aca="false">IF(BR1274="LOSE",1,IF(N(V1274)&gt;0,V1274,IF(BU1274=1,MAX(1,N(VLOOKUP(T1274,Parameter!$I$27:$K$29,3,0)),H1274,N(N1274)),IF(N(Q1274)&gt;0,Q1274,MAX(1,H1274)))))</f>
        <v>52</v>
      </c>
      <c r="BT1274" s="60" t="n">
        <f aca="false">IF(BR1274="LOSE",1,0)</f>
        <v>0</v>
      </c>
      <c r="BU1274" s="60" t="n">
        <f aca="false">IF(AND(U1274="",OR(P1274="",P1274="LOSE"),T1274&lt;&gt;"",N(S1274)&lt;=0,ISNUMBER(MATCH(T1274,Parameter!$I$27:$I$29,0))),1,0)</f>
        <v>0</v>
      </c>
      <c r="BV1274" s="55" t="str">
        <f aca="false">IF(AND(Parameter!$B$19="Ja",E1274&lt;&gt;"",ISNUMBER(MATCH(E1274,Parameter!$I$35:$I$52,0))),VLOOKUP(E1274,Parameter!$I$35:$J$52,2,0),IFERROR(VLOOKUP(D1274,Parameter!$A$35:$C$64,2,0),"Nein"))</f>
        <v>2+3</v>
      </c>
      <c r="BW1274" s="59" t="n">
        <f aca="false">IF(BT1274=0,0,IF(N(S1274)&gt;0,S1274,IFERROR(VLOOKUP(D1274,Parameter!$A$35:$C$64,3,0)+0,0)))</f>
        <v>0</v>
      </c>
      <c r="BX1274" s="55" t="n">
        <f aca="false">IF(AA1274&lt;&gt;"",AA1274,Z1274)</f>
        <v>3</v>
      </c>
      <c r="BY1274" s="55" t="str">
        <f aca="false">IF(BX1274=1,"L1",IF(OR(BX1274=2,BX1274=3),"L23",IF(BX1274="Aussen","Aussen","-")))</f>
        <v>L23</v>
      </c>
      <c r="BZ1274" s="66" t="n">
        <f aca="false">IF(N(AB1274)&gt;0,AB1274,0)</f>
        <v>0</v>
      </c>
      <c r="CA1274" s="60" t="n">
        <f aca="false">IF(ISNUMBER(AE1274),1,0)</f>
        <v>0</v>
      </c>
      <c r="CB1274" s="57" t="n">
        <f aca="false">N(AE1274)</f>
        <v>0</v>
      </c>
      <c r="CC1274" s="57" t="n">
        <f aca="false">N(M1274)+N(N1274)</f>
        <v>12</v>
      </c>
      <c r="CD1274" s="57" t="n">
        <f aca="false">ROUNDUP(H1274/BS1274,0)</f>
        <v>1</v>
      </c>
      <c r="CE1274" s="57" t="n">
        <f aca="false">ROUNDUP(CB1274/BS1274,0)</f>
        <v>0</v>
      </c>
      <c r="CF1274" s="60" t="n">
        <f aca="false">IF(BT1274=1,0,IFERROR(VLOOKUP(BR1274,'Gebinde-Kategorie'!$A$5:$M$45,5,0)+0,0))</f>
        <v>21</v>
      </c>
      <c r="CG1274" s="60" t="n">
        <f aca="false">IFERROR(IF(OR(BX1274=1,BX1274=2,BX1274=3),N(INDEX(Parameter!$I$5:$I$7,BX1274)),0),0)</f>
        <v>0</v>
      </c>
      <c r="CH1274" s="59" t="n">
        <f aca="false">IF(AND(Parameter!$B$21="Ja",ISNUMBER(W1274),N(X1274)&gt;0),IFERROR(N(INDEX(Parameter!$L$5:$L$7,W1274))*INDEX(Parameter!$E$5:$E$7,W1274)*X1274/SUMIFS($X$7:$X$1843,$W$7:$W$1843,W1274),0),0)</f>
        <v>0</v>
      </c>
    </row>
    <row r="1275" customFormat="false" ht="15" hidden="false" customHeight="false" outlineLevel="0" collapsed="false">
      <c r="A1275" s="55" t="s">
        <v>2278</v>
      </c>
      <c r="B1275" s="55" t="s">
        <v>2279</v>
      </c>
      <c r="C1275" s="55" t="s">
        <v>164</v>
      </c>
      <c r="D1275" s="55" t="s">
        <v>184</v>
      </c>
      <c r="E1275" s="55" t="s">
        <v>185</v>
      </c>
      <c r="F1275" s="55" t="s">
        <v>218</v>
      </c>
      <c r="G1275" s="56" t="n">
        <v>165.85</v>
      </c>
      <c r="H1275" s="57" t="n">
        <f aca="false">MAX(0,IF(AND(Parameter!$B$21="Ja",ISNUMBER(Y1275)),Y1275,IF(Parameter!$B$20="Jahresanfang 2025 + Export",BL1275+BK1275,BK1275)))</f>
        <v>2</v>
      </c>
      <c r="I1275" s="57" t="n">
        <f aca="false">H1275*G1275</f>
        <v>331.7</v>
      </c>
      <c r="J1275" s="57" t="n">
        <f aca="false">BN1275*Parameter!$B$18</f>
        <v>6</v>
      </c>
      <c r="K1275" s="58" t="n">
        <v>7.5</v>
      </c>
      <c r="L1275" s="59" t="n">
        <v>0.8</v>
      </c>
      <c r="M1275" s="57" t="n">
        <v>0</v>
      </c>
      <c r="N1275" s="57" t="n">
        <v>5</v>
      </c>
      <c r="O1275" s="60" t="n">
        <v>28</v>
      </c>
      <c r="P1275" s="55" t="s">
        <v>186</v>
      </c>
      <c r="Q1275" s="57" t="n">
        <v>7</v>
      </c>
      <c r="R1275" s="60" t="n">
        <f aca="false">IF(BT1275=1,0,IFERROR(VLOOKUP(BR1275,'Gebinde-Kategorie'!$A$5:$M$45,13,0)+0,0))</f>
        <v>12</v>
      </c>
      <c r="S1275" s="61"/>
      <c r="T1275" s="62"/>
      <c r="U1275" s="62"/>
      <c r="V1275" s="62"/>
      <c r="W1275" s="55"/>
      <c r="X1275" s="57"/>
      <c r="Y1275" s="57"/>
      <c r="Z1275" s="55" t="n">
        <f aca="false">IF(A1275="","",IF(AND(Parameter!$B$21="Ja",ISNUMBER(W1275)),W1275,IF(BV1275="2+3",IF(ISNUMBER(SEARCH("grosser Artikel",BO1275)),2,IFERROR(VLOOKUP(BR1275,Parameter!$F$35:$G$64,2,0),2)),IF(OR(BV1275="Nein",BV1275=""),"-",BV1275))))</f>
        <v>2</v>
      </c>
      <c r="AA1275" s="62"/>
      <c r="AB1275" s="63"/>
      <c r="AC1275" s="57" t="n">
        <f aca="false">AR1275</f>
        <v>7</v>
      </c>
      <c r="AD1275" s="57" t="n">
        <f aca="false">MAX(AR1275,H1275)</f>
        <v>7</v>
      </c>
      <c r="AE1275" s="64"/>
      <c r="AF1275" s="57" t="n">
        <f aca="false">IF(LEFT(Cockpit!$C$5,1)="A",H1275,IF(CA1275=1,CB1275,IF(LEFT(Cockpit!$C$5,1)="B",AJ1275,MAX(AJ1275,H1275))))</f>
        <v>2</v>
      </c>
      <c r="AG1275" s="57" t="n">
        <f aca="false">IF(BT1275=1,0,ROUNDUP(AF1275/BS1275,0))</f>
        <v>1</v>
      </c>
      <c r="AH1275" s="59" t="n">
        <f aca="false">IF(CH1275&gt;0,CH1275*MAX(1,AF1275/X1275),IF(BT1275=1,IF(AF1275&lt;=0,0,BW1275*MAX(1,IF(H1275&gt;0,AF1275/H1275,1))),IF(R1275&gt;0,AG1275/R1275,0))/MAX(0.1,N(Parameter!$M$21)))</f>
        <v>0.0833333333333333</v>
      </c>
      <c r="AI1275" s="57" t="n">
        <f aca="false">AF1275*G1275</f>
        <v>331.7</v>
      </c>
      <c r="AJ1275" s="57" t="n">
        <f aca="false">ROUNDUP(MAX(J1275/IF(BZ1275&gt;0,BZ1275,MAX(0.1,N(Cockpit!$C$6))),CC1275)/BS1275,0)*BS1275</f>
        <v>7</v>
      </c>
      <c r="AK1275" s="58" t="n">
        <f aca="false">IF(AH1275&gt;0,J1275/AH1275,-1)</f>
        <v>72</v>
      </c>
      <c r="AL1275" s="58" t="n">
        <f aca="false">IF(AND(OR(BY1275="L1",BY1275="L23"),AH1275&gt;0),SUMIFS($AH$7:$AH$1843,$BY$7:$BY$1843,BY1275,$AK$7:$AK$1843,"&gt;"&amp;AK1275)+SUMIFS($AH$7:$AH$1843,$BY$7:$BY$1843,BY1275,$AK$7:$AK$1843,AK1275,$BQ$7:$BQ$1843,"&lt;="&amp;BQ1275),"")</f>
        <v>42.5963396506875</v>
      </c>
      <c r="AM1275" s="65" t="n">
        <f aca="false">IF(AL1275="",0,MAX(0,MIN(1,(IF(BY1275="L1",Parameter!$E$5,Parameter!$E$6+Parameter!$E$7)-(AL1275-AH1275))/AH1275)))</f>
        <v>1</v>
      </c>
      <c r="AN1275" s="57" t="n">
        <f aca="false">IF(LEFT(Cockpit!$I$5,1)="A",H1275,IF(CA1275=1,CB1275,IF(LEFT(Cockpit!$I$5,1)="B",AR1275,MAX(AR1275,H1275))))</f>
        <v>7</v>
      </c>
      <c r="AO1275" s="57" t="n">
        <f aca="false">IF(BT1275=1,0,ROUNDUP(AN1275/BS1275,0))</f>
        <v>1</v>
      </c>
      <c r="AP1275" s="59" t="n">
        <f aca="false">IF(CH1275&gt;0,CH1275*MAX(1,AN1275/X1275),IF(BT1275=1,IF(AN1275&lt;=0,0,BW1275*MAX(1,IF(H1275&gt;0,AN1275/H1275,1))),IF(R1275&gt;0,AO1275/R1275,0))/MAX(0.1,N(Parameter!$M$21)))</f>
        <v>0.0833333333333333</v>
      </c>
      <c r="AQ1275" s="57" t="n">
        <f aca="false">AN1275*G1275</f>
        <v>1160.95</v>
      </c>
      <c r="AR1275" s="57" t="n">
        <f aca="false">ROUNDUP(MAX(J1275/IF(BZ1275&gt;0,BZ1275,MAX(0.1,N(Cockpit!$I$6))),CC1275)/BS1275,0)*BS1275</f>
        <v>7</v>
      </c>
      <c r="AS1275" s="58" t="n">
        <f aca="false">IF(AP1275&gt;0,J1275/AP1275,-1)</f>
        <v>72</v>
      </c>
      <c r="AT1275" s="58" t="n">
        <f aca="false">IF(AND(OR(BY1275="L1",BY1275="L23"),AP1275&gt;0),SUMIFS($AP$7:$AP$1843,$BY$7:$BY$1843,BY1275,$AS$7:$AS$1843,"&gt;"&amp;AS1275)+SUMIFS($AP$7:$AP$1843,$BY$7:$BY$1843,BY1275,$AS$7:$AS$1843,AS1275,$BQ$7:$BQ$1843,"&lt;="&amp;BQ1275),"")</f>
        <v>64.8025151177325</v>
      </c>
      <c r="AU1275" s="65" t="n">
        <f aca="false">IF(AT1275="",0,MAX(0,MIN(1,(IF(BY1275="L1",Parameter!$E$5,Parameter!$E$6+Parameter!$E$7)-(AT1275-AP1275))/AP1275)))</f>
        <v>1</v>
      </c>
      <c r="AV1275" s="57" t="n">
        <f aca="false">IF(LEFT(Cockpit!$O$5,1)="A",H1275,IF(CA1275=1,CB1275,IF(LEFT(Cockpit!$O$5,1)="B",AZ1275,MAX(AZ1275,H1275))))</f>
        <v>7</v>
      </c>
      <c r="AW1275" s="57" t="n">
        <f aca="false">IF(BT1275=1,0,ROUNDUP(AV1275/BS1275,0))</f>
        <v>1</v>
      </c>
      <c r="AX1275" s="59" t="n">
        <f aca="false">IF(CH1275&gt;0,CH1275*MAX(1,AV1275/X1275),IF(BT1275=1,IF(AV1275&lt;=0,0,BW1275*MAX(1,IF(H1275&gt;0,AV1275/H1275,1))),IF(R1275&gt;0,AW1275/R1275,0))/MAX(0.1,N(Parameter!$M$21)))</f>
        <v>0.0833333333333333</v>
      </c>
      <c r="AY1275" s="57" t="n">
        <f aca="false">AV1275*G1275</f>
        <v>1160.95</v>
      </c>
      <c r="AZ1275" s="57" t="n">
        <f aca="false">ROUNDUP(MAX(J1275/IF(BZ1275&gt;0,BZ1275,MAX(0.1,N(Cockpit!$O$6))),CC1275)/BS1275,0)*BS1275</f>
        <v>7</v>
      </c>
      <c r="BA1275" s="58" t="n">
        <f aca="false">IF(AX1275&gt;0,J1275/AX1275,-1)</f>
        <v>72</v>
      </c>
      <c r="BB1275" s="58" t="n">
        <f aca="false">IF(AND(OR(BY1275="L1",BY1275="L23"),AX1275&gt;0),SUMIFS($AX$7:$AX$1843,$BY$7:$BY$1843,BY1275,$BA$7:$BA$1843,"&gt;"&amp;BA1275)+SUMIFS($AX$7:$AX$1843,$BY$7:$BY$1843,BY1275,$BA$7:$BA$1843,BA1275,$BQ$7:$BQ$1843,"&lt;="&amp;BQ1275),"")</f>
        <v>59.299018614236</v>
      </c>
      <c r="BC1275" s="65" t="n">
        <f aca="false">IF(BB1275="",0,MAX(0,MIN(1,(IF(BY1275="L1",Parameter!$E$5,Parameter!$E$6+Parameter!$E$7)-(BB1275-AX1275))/AX1275)))</f>
        <v>1</v>
      </c>
      <c r="BD1275" s="55" t="str">
        <f aca="false">IF(AH1275&lt;=0,"",IF(BY1275="Aussen","Aussenlager",IF(BY1275="-","Nicht im Lift",IF(AM1275&gt;=1,"Lift",IF(AM1275&lt;=0,"Aussenlager","teilweise")))))</f>
        <v>Lift</v>
      </c>
      <c r="BE1275" s="55" t="str">
        <f aca="false">IF(AP1275&lt;=0,"",IF(BY1275="Aussen","Aussenlager",IF(BY1275="-","Nicht im Lift",IF(AU1275&gt;=1,"Lift",IF(AU1275&lt;=0,"Aussenlager","teilweise")))))</f>
        <v>Lift</v>
      </c>
      <c r="BF1275" s="55" t="str">
        <f aca="false">IF(AX1275&lt;=0,"",IF(BY1275="Aussen","Aussenlager",IF(BY1275="-","Nicht im Lift",IF(BC1275&gt;=1,"Lift",IF(BC1275&lt;=0,"Aussenlager","teilweise")))))</f>
        <v>Lift</v>
      </c>
      <c r="BG1275" s="55" t="str">
        <f aca="false">IF(A1275="","",IF(BP1275=1,"Neu; ","")&amp;IF(AND(BP1275=0,BK1275&lt;0),"negativer Bestand (Export "&amp;BK1275&amp;"); ","")&amp;IF(J1275&lt;=0,"Kein Verbrauch; ","")&amp;IF(CH1275&gt;0,"Lift "&amp;W1275&amp;" lt. Liftbericht (Fach "&amp;X1275&amp;" Stk); ",IF(BU1275=1,"Gebinde geschätzt ("&amp;T1275&amp;"); ",IF(BT1275=1,"Lose – Tablare geschätzt; ","")))&amp;IF(H1275&gt;AR1275,"Überbestand "&amp;ROUND(H1275-AR1275,0)&amp;" Stk / CHF "&amp;ROUND((H1275-AR1275)*G1275,0)&amp;"; ","")&amp;IF(AND(CA1275=1,CB1275&lt;CC1275),"MAX &lt; MB+LG; ","")&amp;IF(AND(CG1275&gt;0,CF1275*10&gt;CG1275),"zu hoch für Tablar; ","")&amp;IF(AND(BP1275=0,OR(CA1275=1,AA1275&lt;&gt;"",U1275&lt;&gt;"",V1275&lt;&gt;"",AB1275&lt;&gt;"")),"manuell übersteuert; ","")&amp;IF(AND(BT1275=0,R1275=0),"Gebinde unbekannt / Stellmass fehlt; ","")&amp;IF(AND(BT1275=0,N(V1275)&lt;=0,N(Q1275)&lt;=0),"Menge pro Gebinde fehlt (Ist = 1 Gebinde); ","")&amp;BO1275)</f>
        <v>negativer Bestand (Export -6); </v>
      </c>
      <c r="BH1275" s="55"/>
      <c r="BI1275" s="55"/>
      <c r="BJ1275" s="62"/>
      <c r="BK1275" s="57" t="n">
        <v>-6</v>
      </c>
      <c r="BL1275" s="57" t="n">
        <v>8</v>
      </c>
      <c r="BM1275" s="56" t="n">
        <v>-967.26</v>
      </c>
      <c r="BN1275" s="57" t="n">
        <v>6</v>
      </c>
      <c r="BO1275" s="55"/>
      <c r="BP1275" s="60" t="n">
        <v>0</v>
      </c>
      <c r="BQ1275" s="60" t="n">
        <v>1275</v>
      </c>
      <c r="BR1275" s="55" t="str">
        <f aca="false">IF(U1275&lt;&gt;"",UPPER(TRIM(U1275)),IF(BU1275=1,UPPER(VLOOKUP(T1275,Parameter!$I$27:$K$29,2,0)),IF(P1275="","LOSE",P1275)))</f>
        <v>S61</v>
      </c>
      <c r="BS1275" s="57" t="n">
        <f aca="false">IF(BR1275="LOSE",1,IF(N(V1275)&gt;0,V1275,IF(BU1275=1,MAX(1,N(VLOOKUP(T1275,Parameter!$I$27:$K$29,3,0)),H1275,N(N1275)),IF(N(Q1275)&gt;0,Q1275,MAX(1,H1275)))))</f>
        <v>7</v>
      </c>
      <c r="BT1275" s="60" t="n">
        <f aca="false">IF(BR1275="LOSE",1,0)</f>
        <v>0</v>
      </c>
      <c r="BU1275" s="60" t="n">
        <f aca="false">IF(AND(U1275="",OR(P1275="",P1275="LOSE"),T1275&lt;&gt;"",N(S1275)&lt;=0,ISNUMBER(MATCH(T1275,Parameter!$I$27:$I$29,0))),1,0)</f>
        <v>0</v>
      </c>
      <c r="BV1275" s="55" t="str">
        <f aca="false">IF(AND(Parameter!$B$19="Ja",E1275&lt;&gt;"",ISNUMBER(MATCH(E1275,Parameter!$I$35:$I$52,0))),VLOOKUP(E1275,Parameter!$I$35:$J$52,2,0),IFERROR(VLOOKUP(D1275,Parameter!$A$35:$C$64,2,0),"Nein"))</f>
        <v>2+3</v>
      </c>
      <c r="BW1275" s="59" t="n">
        <f aca="false">IF(BT1275=0,0,IF(N(S1275)&gt;0,S1275,IFERROR(VLOOKUP(D1275,Parameter!$A$35:$C$64,3,0)+0,0)))</f>
        <v>0</v>
      </c>
      <c r="BX1275" s="55" t="n">
        <f aca="false">IF(AA1275&lt;&gt;"",AA1275,Z1275)</f>
        <v>2</v>
      </c>
      <c r="BY1275" s="55" t="str">
        <f aca="false">IF(BX1275=1,"L1",IF(OR(BX1275=2,BX1275=3),"L23",IF(BX1275="Aussen","Aussen","-")))</f>
        <v>L23</v>
      </c>
      <c r="BZ1275" s="66" t="n">
        <f aca="false">IF(N(AB1275)&gt;0,AB1275,0)</f>
        <v>0</v>
      </c>
      <c r="CA1275" s="60" t="n">
        <f aca="false">IF(ISNUMBER(AE1275),1,0)</f>
        <v>0</v>
      </c>
      <c r="CB1275" s="57" t="n">
        <f aca="false">N(AE1275)</f>
        <v>0</v>
      </c>
      <c r="CC1275" s="57" t="n">
        <f aca="false">N(M1275)+N(N1275)</f>
        <v>5</v>
      </c>
      <c r="CD1275" s="57" t="n">
        <f aca="false">ROUNDUP(H1275/BS1275,0)</f>
        <v>1</v>
      </c>
      <c r="CE1275" s="57" t="n">
        <f aca="false">ROUNDUP(CB1275/BS1275,0)</f>
        <v>0</v>
      </c>
      <c r="CF1275" s="60" t="n">
        <f aca="false">IF(BT1275=1,0,IFERROR(VLOOKUP(BR1275,'Gebinde-Kategorie'!$A$5:$M$45,5,0)+0,0))</f>
        <v>11</v>
      </c>
      <c r="CG1275" s="60" t="n">
        <f aca="false">IFERROR(IF(OR(BX1275=1,BX1275=2,BX1275=3),N(INDEX(Parameter!$I$5:$I$7,BX1275)),0),0)</f>
        <v>0</v>
      </c>
      <c r="CH1275" s="59" t="n">
        <f aca="false">IF(AND(Parameter!$B$21="Ja",ISNUMBER(W1275),N(X1275)&gt;0),IFERROR(N(INDEX(Parameter!$L$5:$L$7,W1275))*INDEX(Parameter!$E$5:$E$7,W1275)*X1275/SUMIFS($X$7:$X$1843,$W$7:$W$1843,W1275),0),0)</f>
        <v>0</v>
      </c>
    </row>
    <row r="1276" customFormat="false" ht="15" hidden="false" customHeight="false" outlineLevel="0" collapsed="false">
      <c r="A1276" s="55" t="s">
        <v>2280</v>
      </c>
      <c r="B1276" s="55" t="s">
        <v>2281</v>
      </c>
      <c r="C1276" s="55" t="s">
        <v>164</v>
      </c>
      <c r="D1276" s="55" t="s">
        <v>184</v>
      </c>
      <c r="E1276" s="55"/>
      <c r="F1276" s="55" t="s">
        <v>218</v>
      </c>
      <c r="G1276" s="56" t="n">
        <v>329.39</v>
      </c>
      <c r="H1276" s="57" t="n">
        <f aca="false">MAX(0,IF(AND(Parameter!$B$21="Ja",ISNUMBER(Y1276)),Y1276,IF(Parameter!$B$20="Jahresanfang 2025 + Export",BL1276+BK1276,BK1276)))</f>
        <v>9</v>
      </c>
      <c r="I1276" s="57" t="n">
        <f aca="false">H1276*G1276</f>
        <v>2964.51</v>
      </c>
      <c r="J1276" s="57" t="n">
        <f aca="false">BN1276*Parameter!$B$18</f>
        <v>2</v>
      </c>
      <c r="K1276" s="58" t="n">
        <v>11</v>
      </c>
      <c r="L1276" s="59" t="n">
        <v>0.181818181818182</v>
      </c>
      <c r="M1276" s="57" t="n">
        <v>0</v>
      </c>
      <c r="N1276" s="57" t="n">
        <v>1</v>
      </c>
      <c r="O1276" s="60" t="n">
        <v>28</v>
      </c>
      <c r="P1276" s="55" t="s">
        <v>421</v>
      </c>
      <c r="Q1276" s="57" t="n">
        <v>10</v>
      </c>
      <c r="R1276" s="60" t="n">
        <f aca="false">IF(BT1276=1,0,IFERROR(VLOOKUP(BR1276,'Gebinde-Kategorie'!$A$5:$M$45,13,0)+0,0))</f>
        <v>132</v>
      </c>
      <c r="S1276" s="61"/>
      <c r="T1276" s="62"/>
      <c r="U1276" s="62"/>
      <c r="V1276" s="62"/>
      <c r="W1276" s="55"/>
      <c r="X1276" s="57"/>
      <c r="Y1276" s="57"/>
      <c r="Z1276" s="55" t="n">
        <f aca="false">IF(A1276="","",IF(AND(Parameter!$B$21="Ja",ISNUMBER(W1276)),W1276,IF(BV1276="2+3",IF(ISNUMBER(SEARCH("grosser Artikel",BO1276)),2,IFERROR(VLOOKUP(BR1276,Parameter!$F$35:$G$64,2,0),2)),IF(OR(BV1276="Nein",BV1276=""),"-",BV1276))))</f>
        <v>3</v>
      </c>
      <c r="AA1276" s="62"/>
      <c r="AB1276" s="63"/>
      <c r="AC1276" s="57" t="n">
        <f aca="false">AR1276</f>
        <v>10</v>
      </c>
      <c r="AD1276" s="57" t="n">
        <f aca="false">MAX(AR1276,H1276)</f>
        <v>10</v>
      </c>
      <c r="AE1276" s="64"/>
      <c r="AF1276" s="57" t="n">
        <f aca="false">IF(LEFT(Cockpit!$C$5,1)="A",H1276,IF(CA1276=1,CB1276,IF(LEFT(Cockpit!$C$5,1)="B",AJ1276,MAX(AJ1276,H1276))))</f>
        <v>9</v>
      </c>
      <c r="AG1276" s="57" t="n">
        <f aca="false">IF(BT1276=1,0,ROUNDUP(AF1276/BS1276,0))</f>
        <v>1</v>
      </c>
      <c r="AH1276" s="59" t="n">
        <f aca="false">IF(CH1276&gt;0,CH1276*MAX(1,AF1276/X1276),IF(BT1276=1,IF(AF1276&lt;=0,0,BW1276*MAX(1,IF(H1276&gt;0,AF1276/H1276,1))),IF(R1276&gt;0,AG1276/R1276,0))/MAX(0.1,N(Parameter!$M$21)))</f>
        <v>0.00757575757575758</v>
      </c>
      <c r="AI1276" s="57" t="n">
        <f aca="false">AF1276*G1276</f>
        <v>2964.51</v>
      </c>
      <c r="AJ1276" s="57" t="n">
        <f aca="false">ROUNDUP(MAX(J1276/IF(BZ1276&gt;0,BZ1276,MAX(0.1,N(Cockpit!$C$6))),CC1276)/BS1276,0)*BS1276</f>
        <v>10</v>
      </c>
      <c r="AK1276" s="58" t="n">
        <f aca="false">IF(AH1276&gt;0,J1276/AH1276,-1)</f>
        <v>264</v>
      </c>
      <c r="AL1276" s="58" t="n">
        <f aca="false">IF(AND(OR(BY1276="L1",BY1276="L23"),AH1276&gt;0),SUMIFS($AH$7:$AH$1843,$BY$7:$BY$1843,BY1276,$AK$7:$AK$1843,"&gt;"&amp;AK1276)+SUMIFS($AH$7:$AH$1843,$BY$7:$BY$1843,BY1276,$AK$7:$AK$1843,AK1276,$BQ$7:$BQ$1843,"&lt;="&amp;BQ1276),"")</f>
        <v>29.149277051451</v>
      </c>
      <c r="AM1276" s="65" t="n">
        <f aca="false">IF(AL1276="",0,MAX(0,MIN(1,(IF(BY1276="L1",Parameter!$E$5,Parameter!$E$6+Parameter!$E$7)-(AL1276-AH1276))/AH1276)))</f>
        <v>1</v>
      </c>
      <c r="AN1276" s="57" t="n">
        <f aca="false">IF(LEFT(Cockpit!$I$5,1)="A",H1276,IF(CA1276=1,CB1276,IF(LEFT(Cockpit!$I$5,1)="B",AR1276,MAX(AR1276,H1276))))</f>
        <v>10</v>
      </c>
      <c r="AO1276" s="57" t="n">
        <f aca="false">IF(BT1276=1,0,ROUNDUP(AN1276/BS1276,0))</f>
        <v>1</v>
      </c>
      <c r="AP1276" s="59" t="n">
        <f aca="false">IF(CH1276&gt;0,CH1276*MAX(1,AN1276/X1276),IF(BT1276=1,IF(AN1276&lt;=0,0,BW1276*MAX(1,IF(H1276&gt;0,AN1276/H1276,1))),IF(R1276&gt;0,AO1276/R1276,0))/MAX(0.1,N(Parameter!$M$21)))</f>
        <v>0.00757575757575758</v>
      </c>
      <c r="AQ1276" s="57" t="n">
        <f aca="false">AN1276*G1276</f>
        <v>3293.9</v>
      </c>
      <c r="AR1276" s="57" t="n">
        <f aca="false">ROUNDUP(MAX(J1276/IF(BZ1276&gt;0,BZ1276,MAX(0.1,N(Cockpit!$I$6))),CC1276)/BS1276,0)*BS1276</f>
        <v>10</v>
      </c>
      <c r="AS1276" s="58" t="n">
        <f aca="false">IF(AP1276&gt;0,J1276/AP1276,-1)</f>
        <v>264</v>
      </c>
      <c r="AT1276" s="58" t="n">
        <f aca="false">IF(AND(OR(BY1276="L1",BY1276="L23"),AP1276&gt;0),SUMIFS($AP$7:$AP$1843,$BY$7:$BY$1843,BY1276,$AS$7:$AS$1843,"&gt;"&amp;AS1276)+SUMIFS($AP$7:$AP$1843,$BY$7:$BY$1843,BY1276,$AS$7:$AS$1843,AS1276,$BQ$7:$BQ$1843,"&lt;="&amp;BQ1276),"")</f>
        <v>42.3583662714098</v>
      </c>
      <c r="AU1276" s="65" t="n">
        <f aca="false">IF(AT1276="",0,MAX(0,MIN(1,(IF(BY1276="L1",Parameter!$E$5,Parameter!$E$6+Parameter!$E$7)-(AT1276-AP1276))/AP1276)))</f>
        <v>1</v>
      </c>
      <c r="AV1276" s="57" t="n">
        <f aca="false">IF(LEFT(Cockpit!$O$5,1)="A",H1276,IF(CA1276=1,CB1276,IF(LEFT(Cockpit!$O$5,1)="B",AZ1276,MAX(AZ1276,H1276))))</f>
        <v>10</v>
      </c>
      <c r="AW1276" s="57" t="n">
        <f aca="false">IF(BT1276=1,0,ROUNDUP(AV1276/BS1276,0))</f>
        <v>1</v>
      </c>
      <c r="AX1276" s="59" t="n">
        <f aca="false">IF(CH1276&gt;0,CH1276*MAX(1,AV1276/X1276),IF(BT1276=1,IF(AV1276&lt;=0,0,BW1276*MAX(1,IF(H1276&gt;0,AV1276/H1276,1))),IF(R1276&gt;0,AW1276/R1276,0))/MAX(0.1,N(Parameter!$M$21)))</f>
        <v>0.00757575757575758</v>
      </c>
      <c r="AY1276" s="57" t="n">
        <f aca="false">AV1276*G1276</f>
        <v>3293.9</v>
      </c>
      <c r="AZ1276" s="57" t="n">
        <f aca="false">ROUNDUP(MAX(J1276/IF(BZ1276&gt;0,BZ1276,MAX(0.1,N(Cockpit!$O$6))),CC1276)/BS1276,0)*BS1276</f>
        <v>10</v>
      </c>
      <c r="BA1276" s="58" t="n">
        <f aca="false">IF(AX1276&gt;0,J1276/AX1276,-1)</f>
        <v>264</v>
      </c>
      <c r="BB1276" s="58" t="n">
        <f aca="false">IF(AND(OR(BY1276="L1",BY1276="L23"),AX1276&gt;0),SUMIFS($AX$7:$AX$1843,$BY$7:$BY$1843,BY1276,$BA$7:$BA$1843,"&gt;"&amp;BA1276)+SUMIFS($AX$7:$AX$1843,$BY$7:$BY$1843,BY1276,$BA$7:$BA$1843,BA1276,$BQ$7:$BQ$1843,"&lt;="&amp;BQ1276),"")</f>
        <v>38.6882031012466</v>
      </c>
      <c r="BC1276" s="65" t="n">
        <f aca="false">IF(BB1276="",0,MAX(0,MIN(1,(IF(BY1276="L1",Parameter!$E$5,Parameter!$E$6+Parameter!$E$7)-(BB1276-AX1276))/AX1276)))</f>
        <v>1</v>
      </c>
      <c r="BD1276" s="55" t="str">
        <f aca="false">IF(AH1276&lt;=0,"",IF(BY1276="Aussen","Aussenlager",IF(BY1276="-","Nicht im Lift",IF(AM1276&gt;=1,"Lift",IF(AM1276&lt;=0,"Aussenlager","teilweise")))))</f>
        <v>Lift</v>
      </c>
      <c r="BE1276" s="55" t="str">
        <f aca="false">IF(AP1276&lt;=0,"",IF(BY1276="Aussen","Aussenlager",IF(BY1276="-","Nicht im Lift",IF(AU1276&gt;=1,"Lift",IF(AU1276&lt;=0,"Aussenlager","teilweise")))))</f>
        <v>Lift</v>
      </c>
      <c r="BF1276" s="55" t="str">
        <f aca="false">IF(AX1276&lt;=0,"",IF(BY1276="Aussen","Aussenlager",IF(BY1276="-","Nicht im Lift",IF(BC1276&gt;=1,"Lift",IF(BC1276&lt;=0,"Aussenlager","teilweise")))))</f>
        <v>Lift</v>
      </c>
      <c r="BG1276" s="55" t="str">
        <f aca="false">IF(A1276="","",IF(BP1276=1,"Neu; ","")&amp;IF(AND(BP1276=0,BK1276&lt;0),"negativer Bestand (Export "&amp;BK1276&amp;"); ","")&amp;IF(J1276&lt;=0,"Kein Verbrauch; ","")&amp;IF(CH1276&gt;0,"Lift "&amp;W1276&amp;" lt. Liftbericht (Fach "&amp;X1276&amp;" Stk); ",IF(BU1276=1,"Gebinde geschätzt ("&amp;T1276&amp;"); ",IF(BT1276=1,"Lose – Tablare geschätzt; ","")))&amp;IF(H1276&gt;AR1276,"Überbestand "&amp;ROUND(H1276-AR1276,0)&amp;" Stk / CHF "&amp;ROUND((H1276-AR1276)*G1276,0)&amp;"; ","")&amp;IF(AND(CA1276=1,CB1276&lt;CC1276),"MAX &lt; MB+LG; ","")&amp;IF(AND(CG1276&gt;0,CF1276*10&gt;CG1276),"zu hoch für Tablar; ","")&amp;IF(AND(BP1276=0,OR(CA1276=1,AA1276&lt;&gt;"",U1276&lt;&gt;"",V1276&lt;&gt;"",AB1276&lt;&gt;"")),"manuell übersteuert; ","")&amp;IF(AND(BT1276=0,R1276=0),"Gebinde unbekannt / Stellmass fehlt; ","")&amp;IF(AND(BT1276=0,N(V1276)&lt;=0,N(Q1276)&lt;=0),"Menge pro Gebinde fehlt (Ist = 1 Gebinde); ","")&amp;BO1276)</f>
        <v>negativer Bestand (Export -3); Neuer Art.</v>
      </c>
      <c r="BH1276" s="55"/>
      <c r="BI1276" s="55"/>
      <c r="BJ1276" s="62"/>
      <c r="BK1276" s="57" t="n">
        <v>-3</v>
      </c>
      <c r="BL1276" s="57" t="n">
        <v>12</v>
      </c>
      <c r="BM1276" s="56" t="n">
        <v>-988.17</v>
      </c>
      <c r="BN1276" s="57" t="n">
        <v>2</v>
      </c>
      <c r="BO1276" s="55" t="s">
        <v>512</v>
      </c>
      <c r="BP1276" s="60" t="n">
        <v>0</v>
      </c>
      <c r="BQ1276" s="60" t="n">
        <v>1276</v>
      </c>
      <c r="BR1276" s="55" t="str">
        <f aca="false">IF(U1276&lt;&gt;"",UPPER(TRIM(U1276)),IF(BU1276=1,UPPER(VLOOKUP(T1276,Parameter!$I$27:$K$29,2,0)),IF(P1276="","LOSE",P1276)))</f>
        <v>S32</v>
      </c>
      <c r="BS1276" s="57" t="n">
        <f aca="false">IF(BR1276="LOSE",1,IF(N(V1276)&gt;0,V1276,IF(BU1276=1,MAX(1,N(VLOOKUP(T1276,Parameter!$I$27:$K$29,3,0)),H1276,N(N1276)),IF(N(Q1276)&gt;0,Q1276,MAX(1,H1276)))))</f>
        <v>10</v>
      </c>
      <c r="BT1276" s="60" t="n">
        <f aca="false">IF(BR1276="LOSE",1,0)</f>
        <v>0</v>
      </c>
      <c r="BU1276" s="60" t="n">
        <f aca="false">IF(AND(U1276="",OR(P1276="",P1276="LOSE"),T1276&lt;&gt;"",N(S1276)&lt;=0,ISNUMBER(MATCH(T1276,Parameter!$I$27:$I$29,0))),1,0)</f>
        <v>0</v>
      </c>
      <c r="BV1276" s="55" t="str">
        <f aca="false">IF(AND(Parameter!$B$19="Ja",E1276&lt;&gt;"",ISNUMBER(MATCH(E1276,Parameter!$I$35:$I$52,0))),VLOOKUP(E1276,Parameter!$I$35:$J$52,2,0),IFERROR(VLOOKUP(D1276,Parameter!$A$35:$C$64,2,0),"Nein"))</f>
        <v>2+3</v>
      </c>
      <c r="BW1276" s="59" t="n">
        <f aca="false">IF(BT1276=0,0,IF(N(S1276)&gt;0,S1276,IFERROR(VLOOKUP(D1276,Parameter!$A$35:$C$64,3,0)+0,0)))</f>
        <v>0</v>
      </c>
      <c r="BX1276" s="55" t="n">
        <f aca="false">IF(AA1276&lt;&gt;"",AA1276,Z1276)</f>
        <v>3</v>
      </c>
      <c r="BY1276" s="55" t="str">
        <f aca="false">IF(BX1276=1,"L1",IF(OR(BX1276=2,BX1276=3),"L23",IF(BX1276="Aussen","Aussen","-")))</f>
        <v>L23</v>
      </c>
      <c r="BZ1276" s="66" t="n">
        <f aca="false">IF(N(AB1276)&gt;0,AB1276,0)</f>
        <v>0</v>
      </c>
      <c r="CA1276" s="60" t="n">
        <f aca="false">IF(ISNUMBER(AE1276),1,0)</f>
        <v>0</v>
      </c>
      <c r="CB1276" s="57" t="n">
        <f aca="false">N(AE1276)</f>
        <v>0</v>
      </c>
      <c r="CC1276" s="57" t="n">
        <f aca="false">N(M1276)+N(N1276)</f>
        <v>1</v>
      </c>
      <c r="CD1276" s="57" t="n">
        <f aca="false">ROUNDUP(H1276/BS1276,0)</f>
        <v>1</v>
      </c>
      <c r="CE1276" s="57" t="n">
        <f aca="false">ROUNDUP(CB1276/BS1276,0)</f>
        <v>0</v>
      </c>
      <c r="CF1276" s="60" t="n">
        <f aca="false">IF(BT1276=1,0,IFERROR(VLOOKUP(BR1276,'Gebinde-Kategorie'!$A$5:$M$45,5,0)+0,0))</f>
        <v>8</v>
      </c>
      <c r="CG1276" s="60" t="n">
        <f aca="false">IFERROR(IF(OR(BX1276=1,BX1276=2,BX1276=3),N(INDEX(Parameter!$I$5:$I$7,BX1276)),0),0)</f>
        <v>0</v>
      </c>
      <c r="CH1276" s="59" t="n">
        <f aca="false">IF(AND(Parameter!$B$21="Ja",ISNUMBER(W1276),N(X1276)&gt;0),IFERROR(N(INDEX(Parameter!$L$5:$L$7,W1276))*INDEX(Parameter!$E$5:$E$7,W1276)*X1276/SUMIFS($X$7:$X$1843,$W$7:$W$1843,W1276),0),0)</f>
        <v>0</v>
      </c>
    </row>
    <row r="1277" customFormat="false" ht="15" hidden="false" customHeight="false" outlineLevel="0" collapsed="false">
      <c r="A1277" s="55" t="s">
        <v>2282</v>
      </c>
      <c r="B1277" s="55" t="s">
        <v>2283</v>
      </c>
      <c r="C1277" s="55" t="s">
        <v>164</v>
      </c>
      <c r="D1277" s="55" t="s">
        <v>173</v>
      </c>
      <c r="E1277" s="55"/>
      <c r="F1277" s="55" t="s">
        <v>218</v>
      </c>
      <c r="G1277" s="56" t="n">
        <v>498</v>
      </c>
      <c r="H1277" s="57" t="n">
        <f aca="false">MAX(0,IF(AND(Parameter!$B$21="Ja",ISNUMBER(Y1277)),Y1277,IF(Parameter!$B$20="Jahresanfang 2025 + Export",BL1277+BK1277,BK1277)))</f>
        <v>0</v>
      </c>
      <c r="I1277" s="57" t="n">
        <f aca="false">H1277*G1277</f>
        <v>0</v>
      </c>
      <c r="J1277" s="57" t="n">
        <f aca="false">BN1277*Parameter!$B$18</f>
        <v>2</v>
      </c>
      <c r="K1277" s="58" t="n">
        <v>1</v>
      </c>
      <c r="L1277" s="59" t="n">
        <v>2</v>
      </c>
      <c r="M1277" s="57" t="n">
        <v>0</v>
      </c>
      <c r="N1277" s="57" t="n">
        <v>1</v>
      </c>
      <c r="O1277" s="60" t="n">
        <v>42</v>
      </c>
      <c r="P1277" s="55" t="s">
        <v>168</v>
      </c>
      <c r="Q1277" s="57"/>
      <c r="R1277" s="60" t="n">
        <f aca="false">IF(BT1277=1,0,IFERROR(VLOOKUP(BR1277,'Gebinde-Kategorie'!$A$5:$M$45,13,0)+0,0))</f>
        <v>12</v>
      </c>
      <c r="S1277" s="61"/>
      <c r="T1277" s="62" t="s">
        <v>179</v>
      </c>
      <c r="U1277" s="62"/>
      <c r="V1277" s="62"/>
      <c r="W1277" s="55"/>
      <c r="X1277" s="57"/>
      <c r="Y1277" s="57"/>
      <c r="Z1277" s="55" t="n">
        <f aca="false">IF(A1277="","",IF(AND(Parameter!$B$21="Ja",ISNUMBER(W1277)),W1277,IF(BV1277="2+3",IF(ISNUMBER(SEARCH("grosser Artikel",BO1277)),2,IFERROR(VLOOKUP(BR1277,Parameter!$F$35:$G$64,2,0),2)),IF(OR(BV1277="Nein",BV1277=""),"-",BV1277))))</f>
        <v>2</v>
      </c>
      <c r="AA1277" s="62"/>
      <c r="AB1277" s="63"/>
      <c r="AC1277" s="57" t="n">
        <f aca="false">AR1277</f>
        <v>4</v>
      </c>
      <c r="AD1277" s="57" t="n">
        <f aca="false">MAX(AR1277,H1277)</f>
        <v>4</v>
      </c>
      <c r="AE1277" s="64"/>
      <c r="AF1277" s="57" t="n">
        <f aca="false">IF(LEFT(Cockpit!$C$5,1)="A",H1277,IF(CA1277=1,CB1277,IF(LEFT(Cockpit!$C$5,1)="B",AJ1277,MAX(AJ1277,H1277))))</f>
        <v>0</v>
      </c>
      <c r="AG1277" s="57" t="n">
        <f aca="false">IF(BT1277=1,0,ROUNDUP(AF1277/BS1277,0))</f>
        <v>0</v>
      </c>
      <c r="AH1277" s="59" t="n">
        <f aca="false">IF(CH1277&gt;0,CH1277*MAX(1,AF1277/X1277),IF(BT1277=1,IF(AF1277&lt;=0,0,BW1277*MAX(1,IF(H1277&gt;0,AF1277/H1277,1))),IF(R1277&gt;0,AG1277/R1277,0))/MAX(0.1,N(Parameter!$M$21)))</f>
        <v>0</v>
      </c>
      <c r="AI1277" s="57" t="n">
        <f aca="false">AF1277*G1277</f>
        <v>0</v>
      </c>
      <c r="AJ1277" s="57" t="n">
        <f aca="false">ROUNDUP(MAX(J1277/IF(BZ1277&gt;0,BZ1277,MAX(0.1,N(Cockpit!$C$6))),CC1277)/BS1277,0)*BS1277</f>
        <v>4</v>
      </c>
      <c r="AK1277" s="58" t="n">
        <f aca="false">IF(AH1277&gt;0,J1277/AH1277,-1)</f>
        <v>-1</v>
      </c>
      <c r="AL1277" s="58" t="str">
        <f aca="false">IF(AND(OR(BY1277="L1",BY1277="L23"),AH1277&gt;0),SUMIFS($AH$7:$AH$1843,$BY$7:$BY$1843,BY1277,$AK$7:$AK$1843,"&gt;"&amp;AK1277)+SUMIFS($AH$7:$AH$1843,$BY$7:$BY$1843,BY1277,$AK$7:$AK$1843,AK1277,$BQ$7:$BQ$1843,"&lt;="&amp;BQ1277),"")</f>
        <v/>
      </c>
      <c r="AM1277" s="65" t="n">
        <f aca="false">IF(AL1277="",0,MAX(0,MIN(1,(IF(BY1277="L1",Parameter!$E$5,Parameter!$E$6+Parameter!$E$7)-(AL1277-AH1277))/AH1277)))</f>
        <v>0</v>
      </c>
      <c r="AN1277" s="57" t="n">
        <f aca="false">IF(LEFT(Cockpit!$I$5,1)="A",H1277,IF(CA1277=1,CB1277,IF(LEFT(Cockpit!$I$5,1)="B",AR1277,MAX(AR1277,H1277))))</f>
        <v>4</v>
      </c>
      <c r="AO1277" s="57" t="n">
        <f aca="false">IF(BT1277=1,0,ROUNDUP(AN1277/BS1277,0))</f>
        <v>1</v>
      </c>
      <c r="AP1277" s="59" t="n">
        <f aca="false">IF(CH1277&gt;0,CH1277*MAX(1,AN1277/X1277),IF(BT1277=1,IF(AN1277&lt;=0,0,BW1277*MAX(1,IF(H1277&gt;0,AN1277/H1277,1))),IF(R1277&gt;0,AO1277/R1277,0))/MAX(0.1,N(Parameter!$M$21)))</f>
        <v>0.0833333333333333</v>
      </c>
      <c r="AQ1277" s="57" t="n">
        <f aca="false">AN1277*G1277</f>
        <v>1992</v>
      </c>
      <c r="AR1277" s="57" t="n">
        <f aca="false">ROUNDUP(MAX(J1277/IF(BZ1277&gt;0,BZ1277,MAX(0.1,N(Cockpit!$I$6))),CC1277)/BS1277,0)*BS1277</f>
        <v>4</v>
      </c>
      <c r="AS1277" s="58" t="n">
        <f aca="false">IF(AP1277&gt;0,J1277/AP1277,-1)</f>
        <v>24</v>
      </c>
      <c r="AT1277" s="58" t="n">
        <f aca="false">IF(AND(OR(BY1277="L1",BY1277="L23"),AP1277&gt;0),SUMIFS($AP$7:$AP$1843,$BY$7:$BY$1843,BY1277,$AS$7:$AS$1843,"&gt;"&amp;AS1277)+SUMIFS($AP$7:$AP$1843,$BY$7:$BY$1843,BY1277,$AS$7:$AS$1843,AS1277,$BQ$7:$BQ$1843,"&lt;="&amp;BQ1277),"")</f>
        <v>76.1789719941894</v>
      </c>
      <c r="AU1277" s="65" t="n">
        <f aca="false">IF(AT1277="",0,MAX(0,MIN(1,(IF(BY1277="L1",Parameter!$E$5,Parameter!$E$6+Parameter!$E$7)-(AT1277-AP1277))/AP1277)))</f>
        <v>1</v>
      </c>
      <c r="AV1277" s="57" t="n">
        <f aca="false">IF(LEFT(Cockpit!$O$5,1)="A",H1277,IF(CA1277=1,CB1277,IF(LEFT(Cockpit!$O$5,1)="B",AZ1277,MAX(AZ1277,H1277))))</f>
        <v>4</v>
      </c>
      <c r="AW1277" s="57" t="n">
        <f aca="false">IF(BT1277=1,0,ROUNDUP(AV1277/BS1277,0))</f>
        <v>1</v>
      </c>
      <c r="AX1277" s="59" t="n">
        <f aca="false">IF(CH1277&gt;0,CH1277*MAX(1,AV1277/X1277),IF(BT1277=1,IF(AV1277&lt;=0,0,BW1277*MAX(1,IF(H1277&gt;0,AV1277/H1277,1))),IF(R1277&gt;0,AW1277/R1277,0))/MAX(0.1,N(Parameter!$M$21)))</f>
        <v>0.0833333333333333</v>
      </c>
      <c r="AY1277" s="57" t="n">
        <f aca="false">AV1277*G1277</f>
        <v>1992</v>
      </c>
      <c r="AZ1277" s="57" t="n">
        <f aca="false">ROUNDUP(MAX(J1277/IF(BZ1277&gt;0,BZ1277,MAX(0.1,N(Cockpit!$O$6))),CC1277)/BS1277,0)*BS1277</f>
        <v>4</v>
      </c>
      <c r="BA1277" s="58" t="n">
        <f aca="false">IF(AX1277&gt;0,J1277/AX1277,-1)</f>
        <v>24</v>
      </c>
      <c r="BB1277" s="58" t="n">
        <f aca="false">IF(AND(OR(BY1277="L1",BY1277="L23"),AX1277&gt;0),SUMIFS($AX$7:$AX$1843,$BY$7:$BY$1843,BY1277,$BA$7:$BA$1843,"&gt;"&amp;BA1277)+SUMIFS($AX$7:$AX$1843,$BY$7:$BY$1843,BY1277,$BA$7:$BA$1843,BA1277,$BQ$7:$BQ$1843,"&lt;="&amp;BQ1277),"")</f>
        <v>71.6754754906929</v>
      </c>
      <c r="BC1277" s="65" t="n">
        <f aca="false">IF(BB1277="",0,MAX(0,MIN(1,(IF(BY1277="L1",Parameter!$E$5,Parameter!$E$6+Parameter!$E$7)-(BB1277-AX1277))/AX1277)))</f>
        <v>1</v>
      </c>
      <c r="BD1277" s="55" t="str">
        <f aca="false">IF(AH1277&lt;=0,"",IF(BY1277="Aussen","Aussenlager",IF(BY1277="-","Nicht im Lift",IF(AM1277&gt;=1,"Lift",IF(AM1277&lt;=0,"Aussenlager","teilweise")))))</f>
        <v/>
      </c>
      <c r="BE1277" s="55" t="str">
        <f aca="false">IF(AP1277&lt;=0,"",IF(BY1277="Aussen","Aussenlager",IF(BY1277="-","Nicht im Lift",IF(AU1277&gt;=1,"Lift",IF(AU1277&lt;=0,"Aussenlager","teilweise")))))</f>
        <v>Lift</v>
      </c>
      <c r="BF1277" s="55" t="str">
        <f aca="false">IF(AX1277&lt;=0,"",IF(BY1277="Aussen","Aussenlager",IF(BY1277="-","Nicht im Lift",IF(BC1277&gt;=1,"Lift",IF(BC1277&lt;=0,"Aussenlager","teilweise")))))</f>
        <v>Lift</v>
      </c>
      <c r="BG1277" s="55" t="str">
        <f aca="false">IF(A1277="","",IF(BP1277=1,"Neu; ","")&amp;IF(AND(BP1277=0,BK1277&lt;0),"negativer Bestand (Export "&amp;BK1277&amp;"); ","")&amp;IF(J1277&lt;=0,"Kein Verbrauch; ","")&amp;IF(CH1277&gt;0,"Lift "&amp;W1277&amp;" lt. Liftbericht (Fach "&amp;X1277&amp;" Stk); ",IF(BU1277=1,"Gebinde geschätzt ("&amp;T1277&amp;"); ",IF(BT1277=1,"Lose – Tablare geschätzt; ","")))&amp;IF(H1277&gt;AR1277,"Überbestand "&amp;ROUND(H1277-AR1277,0)&amp;" Stk / CHF "&amp;ROUND((H1277-AR1277)*G1277,0)&amp;"; ","")&amp;IF(AND(CA1277=1,CB1277&lt;CC1277),"MAX &lt; MB+LG; ","")&amp;IF(AND(CG1277&gt;0,CF1277*10&gt;CG1277),"zu hoch für Tablar; ","")&amp;IF(AND(BP1277=0,OR(CA1277=1,AA1277&lt;&gt;"",U1277&lt;&gt;"",V1277&lt;&gt;"",AB1277&lt;&gt;"")),"manuell übersteuert; ","")&amp;IF(AND(BT1277=0,R1277=0),"Gebinde unbekannt / Stellmass fehlt; ","")&amp;IF(AND(BT1277=0,N(V1277)&lt;=0,N(Q1277)&lt;=0),"Menge pro Gebinde fehlt (Ist = 1 Gebinde); ","")&amp;BO1277)</f>
        <v>negativer Bestand (Export -2); Gebinde geschätzt (Mittel); Menge pro Gebinde fehlt (Ist = 1 Gebinde); </v>
      </c>
      <c r="BH1277" s="55"/>
      <c r="BI1277" s="55"/>
      <c r="BJ1277" s="62"/>
      <c r="BK1277" s="57" t="n">
        <v>-2</v>
      </c>
      <c r="BL1277" s="57" t="n">
        <v>2</v>
      </c>
      <c r="BM1277" s="56" t="n">
        <v>-996</v>
      </c>
      <c r="BN1277" s="57" t="n">
        <v>2</v>
      </c>
      <c r="BO1277" s="55"/>
      <c r="BP1277" s="60" t="n">
        <v>0</v>
      </c>
      <c r="BQ1277" s="60" t="n">
        <v>1277</v>
      </c>
      <c r="BR1277" s="55" t="str">
        <f aca="false">IF(U1277&lt;&gt;"",UPPER(TRIM(U1277)),IF(BU1277=1,UPPER(VLOOKUP(T1277,Parameter!$I$27:$K$29,2,0)),IF(P1277="","LOSE",P1277)))</f>
        <v>S61</v>
      </c>
      <c r="BS1277" s="57" t="n">
        <f aca="false">IF(BR1277="LOSE",1,IF(N(V1277)&gt;0,V1277,IF(BU1277=1,MAX(1,N(VLOOKUP(T1277,Parameter!$I$27:$K$29,3,0)),H1277,N(N1277)),IF(N(Q1277)&gt;0,Q1277,MAX(1,H1277)))))</f>
        <v>4</v>
      </c>
      <c r="BT1277" s="60" t="n">
        <f aca="false">IF(BR1277="LOSE",1,0)</f>
        <v>0</v>
      </c>
      <c r="BU1277" s="60" t="n">
        <f aca="false">IF(AND(U1277="",OR(P1277="",P1277="LOSE"),T1277&lt;&gt;"",N(S1277)&lt;=0,ISNUMBER(MATCH(T1277,Parameter!$I$27:$I$29,0))),1,0)</f>
        <v>1</v>
      </c>
      <c r="BV1277" s="55" t="str">
        <f aca="false">IF(AND(Parameter!$B$19="Ja",E1277&lt;&gt;"",ISNUMBER(MATCH(E1277,Parameter!$I$35:$I$52,0))),VLOOKUP(E1277,Parameter!$I$35:$J$52,2,0),IFERROR(VLOOKUP(D1277,Parameter!$A$35:$C$64,2,0),"Nein"))</f>
        <v>2+3</v>
      </c>
      <c r="BW1277" s="59" t="n">
        <f aca="false">IF(BT1277=0,0,IF(N(S1277)&gt;0,S1277,IFERROR(VLOOKUP(D1277,Parameter!$A$35:$C$64,3,0)+0,0)))</f>
        <v>0</v>
      </c>
      <c r="BX1277" s="55" t="n">
        <f aca="false">IF(AA1277&lt;&gt;"",AA1277,Z1277)</f>
        <v>2</v>
      </c>
      <c r="BY1277" s="55" t="str">
        <f aca="false">IF(BX1277=1,"L1",IF(OR(BX1277=2,BX1277=3),"L23",IF(BX1277="Aussen","Aussen","-")))</f>
        <v>L23</v>
      </c>
      <c r="BZ1277" s="66" t="n">
        <f aca="false">IF(N(AB1277)&gt;0,AB1277,0)</f>
        <v>0</v>
      </c>
      <c r="CA1277" s="60" t="n">
        <f aca="false">IF(ISNUMBER(AE1277),1,0)</f>
        <v>0</v>
      </c>
      <c r="CB1277" s="57" t="n">
        <f aca="false">N(AE1277)</f>
        <v>0</v>
      </c>
      <c r="CC1277" s="57" t="n">
        <f aca="false">N(M1277)+N(N1277)</f>
        <v>1</v>
      </c>
      <c r="CD1277" s="57" t="n">
        <f aca="false">ROUNDUP(H1277/BS1277,0)</f>
        <v>0</v>
      </c>
      <c r="CE1277" s="57" t="n">
        <f aca="false">ROUNDUP(CB1277/BS1277,0)</f>
        <v>0</v>
      </c>
      <c r="CF1277" s="60" t="n">
        <f aca="false">IF(BT1277=1,0,IFERROR(VLOOKUP(BR1277,'Gebinde-Kategorie'!$A$5:$M$45,5,0)+0,0))</f>
        <v>11</v>
      </c>
      <c r="CG1277" s="60" t="n">
        <f aca="false">IFERROR(IF(OR(BX1277=1,BX1277=2,BX1277=3),N(INDEX(Parameter!$I$5:$I$7,BX1277)),0),0)</f>
        <v>0</v>
      </c>
      <c r="CH1277" s="59" t="n">
        <f aca="false">IF(AND(Parameter!$B$21="Ja",ISNUMBER(W1277),N(X1277)&gt;0),IFERROR(N(INDEX(Parameter!$L$5:$L$7,W1277))*INDEX(Parameter!$E$5:$E$7,W1277)*X1277/SUMIFS($X$7:$X$1843,$W$7:$W$1843,W1277),0),0)</f>
        <v>0</v>
      </c>
    </row>
    <row r="1278" customFormat="false" ht="15" hidden="false" customHeight="false" outlineLevel="0" collapsed="false">
      <c r="A1278" s="55" t="s">
        <v>2284</v>
      </c>
      <c r="B1278" s="55" t="s">
        <v>1959</v>
      </c>
      <c r="C1278" s="55" t="s">
        <v>164</v>
      </c>
      <c r="D1278" s="55" t="s">
        <v>173</v>
      </c>
      <c r="E1278" s="55" t="s">
        <v>185</v>
      </c>
      <c r="F1278" s="55" t="s">
        <v>218</v>
      </c>
      <c r="G1278" s="56" t="n">
        <v>168</v>
      </c>
      <c r="H1278" s="57" t="n">
        <f aca="false">MAX(0,IF(AND(Parameter!$B$21="Ja",ISNUMBER(Y1278)),Y1278,IF(Parameter!$B$20="Jahresanfang 2025 + Export",BL1278+BK1278,BK1278)))</f>
        <v>18</v>
      </c>
      <c r="I1278" s="57" t="n">
        <f aca="false">H1278*G1278</f>
        <v>3024</v>
      </c>
      <c r="J1278" s="57" t="n">
        <f aca="false">BN1278*Parameter!$B$18</f>
        <v>2</v>
      </c>
      <c r="K1278" s="58" t="n">
        <v>22.5</v>
      </c>
      <c r="L1278" s="59" t="n">
        <v>0.0888888888888889</v>
      </c>
      <c r="M1278" s="57" t="n">
        <v>0</v>
      </c>
      <c r="N1278" s="57" t="n">
        <v>1</v>
      </c>
      <c r="O1278" s="60" t="n">
        <v>84</v>
      </c>
      <c r="P1278" s="55" t="s">
        <v>174</v>
      </c>
      <c r="Q1278" s="57" t="n">
        <v>12</v>
      </c>
      <c r="R1278" s="60" t="n">
        <f aca="false">IF(BT1278=1,0,IFERROR(VLOOKUP(BR1278,'Gebinde-Kategorie'!$A$5:$M$45,13,0)+0,0))</f>
        <v>6</v>
      </c>
      <c r="S1278" s="61"/>
      <c r="T1278" s="62"/>
      <c r="U1278" s="62"/>
      <c r="V1278" s="62"/>
      <c r="W1278" s="55"/>
      <c r="X1278" s="57"/>
      <c r="Y1278" s="57"/>
      <c r="Z1278" s="55" t="n">
        <f aca="false">IF(A1278="","",IF(AND(Parameter!$B$21="Ja",ISNUMBER(W1278)),W1278,IF(BV1278="2+3",IF(ISNUMBER(SEARCH("grosser Artikel",BO1278)),2,IFERROR(VLOOKUP(BR1278,Parameter!$F$35:$G$64,2,0),2)),IF(OR(BV1278="Nein",BV1278=""),"-",BV1278))))</f>
        <v>2</v>
      </c>
      <c r="AA1278" s="62"/>
      <c r="AB1278" s="63"/>
      <c r="AC1278" s="57" t="n">
        <f aca="false">AR1278</f>
        <v>12</v>
      </c>
      <c r="AD1278" s="57" t="n">
        <f aca="false">MAX(AR1278,H1278)</f>
        <v>18</v>
      </c>
      <c r="AE1278" s="64"/>
      <c r="AF1278" s="57" t="n">
        <f aca="false">IF(LEFT(Cockpit!$C$5,1)="A",H1278,IF(CA1278=1,CB1278,IF(LEFT(Cockpit!$C$5,1)="B",AJ1278,MAX(AJ1278,H1278))))</f>
        <v>18</v>
      </c>
      <c r="AG1278" s="57" t="n">
        <f aca="false">IF(BT1278=1,0,ROUNDUP(AF1278/BS1278,0))</f>
        <v>2</v>
      </c>
      <c r="AH1278" s="59" t="n">
        <f aca="false">IF(CH1278&gt;0,CH1278*MAX(1,AF1278/X1278),IF(BT1278=1,IF(AF1278&lt;=0,0,BW1278*MAX(1,IF(H1278&gt;0,AF1278/H1278,1))),IF(R1278&gt;0,AG1278/R1278,0))/MAX(0.1,N(Parameter!$M$21)))</f>
        <v>0.333333333333333</v>
      </c>
      <c r="AI1278" s="57" t="n">
        <f aca="false">AF1278*G1278</f>
        <v>3024</v>
      </c>
      <c r="AJ1278" s="57" t="n">
        <f aca="false">ROUNDUP(MAX(J1278/IF(BZ1278&gt;0,BZ1278,MAX(0.1,N(Cockpit!$C$6))),CC1278)/BS1278,0)*BS1278</f>
        <v>12</v>
      </c>
      <c r="AK1278" s="58" t="n">
        <f aca="false">IF(AH1278&gt;0,J1278/AH1278,-1)</f>
        <v>6</v>
      </c>
      <c r="AL1278" s="58" t="n">
        <f aca="false">IF(AND(OR(BY1278="L1",BY1278="L23"),AH1278&gt;0),SUMIFS($AH$7:$AH$1843,$BY$7:$BY$1843,BY1278,$AK$7:$AK$1843,"&gt;"&amp;AK1278)+SUMIFS($AH$7:$AH$1843,$BY$7:$BY$1843,BY1278,$AK$7:$AK$1843,AK1278,$BQ$7:$BQ$1843,"&lt;="&amp;BQ1278),"")</f>
        <v>57.8125401168879</v>
      </c>
      <c r="AM1278" s="65" t="n">
        <f aca="false">IF(AL1278="",0,MAX(0,MIN(1,(IF(BY1278="L1",Parameter!$E$5,Parameter!$E$6+Parameter!$E$7)-(AL1278-AH1278))/AH1278)))</f>
        <v>1</v>
      </c>
      <c r="AN1278" s="57" t="n">
        <f aca="false">IF(LEFT(Cockpit!$I$5,1)="A",H1278,IF(CA1278=1,CB1278,IF(LEFT(Cockpit!$I$5,1)="B",AR1278,MAX(AR1278,H1278))))</f>
        <v>18</v>
      </c>
      <c r="AO1278" s="57" t="n">
        <f aca="false">IF(BT1278=1,0,ROUNDUP(AN1278/BS1278,0))</f>
        <v>2</v>
      </c>
      <c r="AP1278" s="59" t="n">
        <f aca="false">IF(CH1278&gt;0,CH1278*MAX(1,AN1278/X1278),IF(BT1278=1,IF(AN1278&lt;=0,0,BW1278*MAX(1,IF(H1278&gt;0,AN1278/H1278,1))),IF(R1278&gt;0,AO1278/R1278,0))/MAX(0.1,N(Parameter!$M$21)))</f>
        <v>0.333333333333333</v>
      </c>
      <c r="AQ1278" s="57" t="n">
        <f aca="false">AN1278*G1278</f>
        <v>3024</v>
      </c>
      <c r="AR1278" s="57" t="n">
        <f aca="false">ROUNDUP(MAX(J1278/IF(BZ1278&gt;0,BZ1278,MAX(0.1,N(Cockpit!$I$6))),CC1278)/BS1278,0)*BS1278</f>
        <v>12</v>
      </c>
      <c r="AS1278" s="58" t="n">
        <f aca="false">IF(AP1278&gt;0,J1278/AP1278,-1)</f>
        <v>6</v>
      </c>
      <c r="AT1278" s="58" t="n">
        <f aca="false">IF(AND(OR(BY1278="L1",BY1278="L23"),AP1278&gt;0),SUMIFS($AP$7:$AP$1843,$BY$7:$BY$1843,BY1278,$AS$7:$AS$1843,"&gt;"&amp;AS1278)+SUMIFS($AP$7:$AP$1843,$BY$7:$BY$1843,BY1278,$AS$7:$AS$1843,AS1278,$BQ$7:$BQ$1843,"&lt;="&amp;BQ1278),"")</f>
        <v>95.2366643018817</v>
      </c>
      <c r="AU1278" s="65" t="n">
        <f aca="false">IF(AT1278="",0,MAX(0,MIN(1,(IF(BY1278="L1",Parameter!$E$5,Parameter!$E$6+Parameter!$E$7)-(AT1278-AP1278))/AP1278)))</f>
        <v>1</v>
      </c>
      <c r="AV1278" s="57" t="n">
        <f aca="false">IF(LEFT(Cockpit!$O$5,1)="A",H1278,IF(CA1278=1,CB1278,IF(LEFT(Cockpit!$O$5,1)="B",AZ1278,MAX(AZ1278,H1278))))</f>
        <v>18</v>
      </c>
      <c r="AW1278" s="57" t="n">
        <f aca="false">IF(BT1278=1,0,ROUNDUP(AV1278/BS1278,0))</f>
        <v>2</v>
      </c>
      <c r="AX1278" s="59" t="n">
        <f aca="false">IF(CH1278&gt;0,CH1278*MAX(1,AV1278/X1278),IF(BT1278=1,IF(AV1278&lt;=0,0,BW1278*MAX(1,IF(H1278&gt;0,AV1278/H1278,1))),IF(R1278&gt;0,AW1278/R1278,0))/MAX(0.1,N(Parameter!$M$21)))</f>
        <v>0.333333333333333</v>
      </c>
      <c r="AY1278" s="57" t="n">
        <f aca="false">AV1278*G1278</f>
        <v>3024</v>
      </c>
      <c r="AZ1278" s="57" t="n">
        <f aca="false">ROUNDUP(MAX(J1278/IF(BZ1278&gt;0,BZ1278,MAX(0.1,N(Cockpit!$O$6))),CC1278)/BS1278,0)*BS1278</f>
        <v>12</v>
      </c>
      <c r="BA1278" s="58" t="n">
        <f aca="false">IF(AX1278&gt;0,J1278/AX1278,-1)</f>
        <v>6</v>
      </c>
      <c r="BB1278" s="58" t="n">
        <f aca="false">IF(AND(OR(BY1278="L1",BY1278="L23"),AX1278&gt;0),SUMIFS($AX$7:$AX$1843,$BY$7:$BY$1843,BY1278,$BA$7:$BA$1843,"&gt;"&amp;BA1278)+SUMIFS($AX$7:$AX$1843,$BY$7:$BY$1843,BY1278,$BA$7:$BA$1843,BA1278,$BQ$7:$BQ$1843,"&lt;="&amp;BQ1278),"")</f>
        <v>86.0665011317185</v>
      </c>
      <c r="BC1278" s="65" t="n">
        <f aca="false">IF(BB1278="",0,MAX(0,MIN(1,(IF(BY1278="L1",Parameter!$E$5,Parameter!$E$6+Parameter!$E$7)-(BB1278-AX1278))/AX1278)))</f>
        <v>1</v>
      </c>
      <c r="BD1278" s="55" t="str">
        <f aca="false">IF(AH1278&lt;=0,"",IF(BY1278="Aussen","Aussenlager",IF(BY1278="-","Nicht im Lift",IF(AM1278&gt;=1,"Lift",IF(AM1278&lt;=0,"Aussenlager","teilweise")))))</f>
        <v>Lift</v>
      </c>
      <c r="BE1278" s="55" t="str">
        <f aca="false">IF(AP1278&lt;=0,"",IF(BY1278="Aussen","Aussenlager",IF(BY1278="-","Nicht im Lift",IF(AU1278&gt;=1,"Lift",IF(AU1278&lt;=0,"Aussenlager","teilweise")))))</f>
        <v>Lift</v>
      </c>
      <c r="BF1278" s="55" t="str">
        <f aca="false">IF(AX1278&lt;=0,"",IF(BY1278="Aussen","Aussenlager",IF(BY1278="-","Nicht im Lift",IF(BC1278&gt;=1,"Lift",IF(BC1278&lt;=0,"Aussenlager","teilweise")))))</f>
        <v>Lift</v>
      </c>
      <c r="BG1278" s="55" t="str">
        <f aca="false">IF(A1278="","",IF(BP1278=1,"Neu; ","")&amp;IF(AND(BP1278=0,BK1278&lt;0),"negativer Bestand (Export "&amp;BK1278&amp;"); ","")&amp;IF(J1278&lt;=0,"Kein Verbrauch; ","")&amp;IF(CH1278&gt;0,"Lift "&amp;W1278&amp;" lt. Liftbericht (Fach "&amp;X1278&amp;" Stk); ",IF(BU1278=1,"Gebinde geschätzt ("&amp;T1278&amp;"); ",IF(BT1278=1,"Lose – Tablare geschätzt; ","")))&amp;IF(H1278&gt;AR1278,"Überbestand "&amp;ROUND(H1278-AR1278,0)&amp;" Stk / CHF "&amp;ROUND((H1278-AR1278)*G1278,0)&amp;"; ","")&amp;IF(AND(CA1278=1,CB1278&lt;CC1278),"MAX &lt; MB+LG; ","")&amp;IF(AND(CG1278&gt;0,CF1278*10&gt;CG1278),"zu hoch für Tablar; ","")&amp;IF(AND(BP1278=0,OR(CA1278=1,AA1278&lt;&gt;"",U1278&lt;&gt;"",V1278&lt;&gt;"",AB1278&lt;&gt;"")),"manuell übersteuert; ","")&amp;IF(AND(BT1278=0,R1278=0),"Gebinde unbekannt / Stellmass fehlt; ","")&amp;IF(AND(BT1278=0,N(V1278)&lt;=0,N(Q1278)&lt;=0),"Menge pro Gebinde fehlt (Ist = 1 Gebinde); ","")&amp;BO1278)</f>
        <v>negativer Bestand (Export -6); Überbestand 6 Stk / CHF 1008; Überbestand; grosser Artikel &amp; nicht im KTL</v>
      </c>
      <c r="BH1278" s="55"/>
      <c r="BI1278" s="55"/>
      <c r="BJ1278" s="62"/>
      <c r="BK1278" s="57" t="n">
        <v>-6</v>
      </c>
      <c r="BL1278" s="57" t="n">
        <v>24</v>
      </c>
      <c r="BM1278" s="56" t="n">
        <v>-1008</v>
      </c>
      <c r="BN1278" s="57" t="n">
        <v>2</v>
      </c>
      <c r="BO1278" s="55" t="s">
        <v>359</v>
      </c>
      <c r="BP1278" s="60" t="n">
        <v>0</v>
      </c>
      <c r="BQ1278" s="60" t="n">
        <v>1278</v>
      </c>
      <c r="BR1278" s="55" t="str">
        <f aca="false">IF(U1278&lt;&gt;"",UPPER(TRIM(U1278)),IF(BU1278=1,UPPER(VLOOKUP(T1278,Parameter!$I$27:$K$29,2,0)),IF(P1278="","LOSE",P1278)))</f>
        <v>S71</v>
      </c>
      <c r="BS1278" s="57" t="n">
        <f aca="false">IF(BR1278="LOSE",1,IF(N(V1278)&gt;0,V1278,IF(BU1278=1,MAX(1,N(VLOOKUP(T1278,Parameter!$I$27:$K$29,3,0)),H1278,N(N1278)),IF(N(Q1278)&gt;0,Q1278,MAX(1,H1278)))))</f>
        <v>12</v>
      </c>
      <c r="BT1278" s="60" t="n">
        <f aca="false">IF(BR1278="LOSE",1,0)</f>
        <v>0</v>
      </c>
      <c r="BU1278" s="60" t="n">
        <f aca="false">IF(AND(U1278="",OR(P1278="",P1278="LOSE"),T1278&lt;&gt;"",N(S1278)&lt;=0,ISNUMBER(MATCH(T1278,Parameter!$I$27:$I$29,0))),1,0)</f>
        <v>0</v>
      </c>
      <c r="BV1278" s="55" t="str">
        <f aca="false">IF(AND(Parameter!$B$19="Ja",E1278&lt;&gt;"",ISNUMBER(MATCH(E1278,Parameter!$I$35:$I$52,0))),VLOOKUP(E1278,Parameter!$I$35:$J$52,2,0),IFERROR(VLOOKUP(D1278,Parameter!$A$35:$C$64,2,0),"Nein"))</f>
        <v>2+3</v>
      </c>
      <c r="BW1278" s="59" t="n">
        <f aca="false">IF(BT1278=0,0,IF(N(S1278)&gt;0,S1278,IFERROR(VLOOKUP(D1278,Parameter!$A$35:$C$64,3,0)+0,0)))</f>
        <v>0</v>
      </c>
      <c r="BX1278" s="55" t="n">
        <f aca="false">IF(AA1278&lt;&gt;"",AA1278,Z1278)</f>
        <v>2</v>
      </c>
      <c r="BY1278" s="55" t="str">
        <f aca="false">IF(BX1278=1,"L1",IF(OR(BX1278=2,BX1278=3),"L23",IF(BX1278="Aussen","Aussen","-")))</f>
        <v>L23</v>
      </c>
      <c r="BZ1278" s="66" t="n">
        <f aca="false">IF(N(AB1278)&gt;0,AB1278,0)</f>
        <v>0</v>
      </c>
      <c r="CA1278" s="60" t="n">
        <f aca="false">IF(ISNUMBER(AE1278),1,0)</f>
        <v>0</v>
      </c>
      <c r="CB1278" s="57" t="n">
        <f aca="false">N(AE1278)</f>
        <v>0</v>
      </c>
      <c r="CC1278" s="57" t="n">
        <f aca="false">N(M1278)+N(N1278)</f>
        <v>1</v>
      </c>
      <c r="CD1278" s="57" t="n">
        <f aca="false">ROUNDUP(H1278/BS1278,0)</f>
        <v>2</v>
      </c>
      <c r="CE1278" s="57" t="n">
        <f aca="false">ROUNDUP(CB1278/BS1278,0)</f>
        <v>0</v>
      </c>
      <c r="CF1278" s="60" t="n">
        <f aca="false">IF(BT1278=1,0,IFERROR(VLOOKUP(BR1278,'Gebinde-Kategorie'!$A$5:$M$45,5,0)+0,0))</f>
        <v>20</v>
      </c>
      <c r="CG1278" s="60" t="n">
        <f aca="false">IFERROR(IF(OR(BX1278=1,BX1278=2,BX1278=3),N(INDEX(Parameter!$I$5:$I$7,BX1278)),0),0)</f>
        <v>0</v>
      </c>
      <c r="CH1278" s="59" t="n">
        <f aca="false">IF(AND(Parameter!$B$21="Ja",ISNUMBER(W1278),N(X1278)&gt;0),IFERROR(N(INDEX(Parameter!$L$5:$L$7,W1278))*INDEX(Parameter!$E$5:$E$7,W1278)*X1278/SUMIFS($X$7:$X$1843,$W$7:$W$1843,W1278),0),0)</f>
        <v>0</v>
      </c>
    </row>
    <row r="1279" customFormat="false" ht="15" hidden="false" customHeight="false" outlineLevel="0" collapsed="false">
      <c r="A1279" s="55" t="s">
        <v>2285</v>
      </c>
      <c r="B1279" s="55" t="s">
        <v>743</v>
      </c>
      <c r="C1279" s="55" t="s">
        <v>164</v>
      </c>
      <c r="D1279" s="55" t="s">
        <v>184</v>
      </c>
      <c r="E1279" s="55" t="s">
        <v>185</v>
      </c>
      <c r="F1279" s="55" t="s">
        <v>218</v>
      </c>
      <c r="G1279" s="56" t="n">
        <v>29.07</v>
      </c>
      <c r="H1279" s="57" t="n">
        <f aca="false">MAX(0,IF(AND(Parameter!$B$21="Ja",ISNUMBER(Y1279)),Y1279,IF(Parameter!$B$20="Jahresanfang 2025 + Export",BL1279+BK1279,BK1279)))</f>
        <v>33</v>
      </c>
      <c r="I1279" s="57" t="n">
        <f aca="false">H1279*G1279</f>
        <v>959.31</v>
      </c>
      <c r="J1279" s="57" t="n">
        <f aca="false">BN1279*Parameter!$B$18</f>
        <v>72</v>
      </c>
      <c r="K1279" s="58" t="n">
        <v>66.5</v>
      </c>
      <c r="L1279" s="59" t="n">
        <v>1.08270676691729</v>
      </c>
      <c r="M1279" s="57" t="n">
        <v>5</v>
      </c>
      <c r="N1279" s="57" t="n">
        <v>70</v>
      </c>
      <c r="O1279" s="60" t="n">
        <v>28</v>
      </c>
      <c r="P1279" s="55" t="s">
        <v>302</v>
      </c>
      <c r="Q1279" s="57" t="n">
        <v>12</v>
      </c>
      <c r="R1279" s="60" t="n">
        <f aca="false">IF(BT1279=1,0,IFERROR(VLOOKUP(BR1279,'Gebinde-Kategorie'!$A$5:$M$45,13,0)+0,0))</f>
        <v>26</v>
      </c>
      <c r="S1279" s="61"/>
      <c r="T1279" s="62"/>
      <c r="U1279" s="62"/>
      <c r="V1279" s="62"/>
      <c r="W1279" s="55"/>
      <c r="X1279" s="57"/>
      <c r="Y1279" s="57"/>
      <c r="Z1279" s="55" t="n">
        <f aca="false">IF(A1279="","",IF(AND(Parameter!$B$21="Ja",ISNUMBER(W1279)),W1279,IF(BV1279="2+3",IF(ISNUMBER(SEARCH("grosser Artikel",BO1279)),2,IFERROR(VLOOKUP(BR1279,Parameter!$F$35:$G$64,2,0),2)),IF(OR(BV1279="Nein",BV1279=""),"-",BV1279))))</f>
        <v>3</v>
      </c>
      <c r="AA1279" s="62"/>
      <c r="AB1279" s="63"/>
      <c r="AC1279" s="57" t="n">
        <f aca="false">AR1279</f>
        <v>84</v>
      </c>
      <c r="AD1279" s="57" t="n">
        <f aca="false">MAX(AR1279,H1279)</f>
        <v>84</v>
      </c>
      <c r="AE1279" s="64"/>
      <c r="AF1279" s="57" t="n">
        <f aca="false">IF(LEFT(Cockpit!$C$5,1)="A",H1279,IF(CA1279=1,CB1279,IF(LEFT(Cockpit!$C$5,1)="B",AJ1279,MAX(AJ1279,H1279))))</f>
        <v>33</v>
      </c>
      <c r="AG1279" s="57" t="n">
        <f aca="false">IF(BT1279=1,0,ROUNDUP(AF1279/BS1279,0))</f>
        <v>3</v>
      </c>
      <c r="AH1279" s="59" t="n">
        <f aca="false">IF(CH1279&gt;0,CH1279*MAX(1,AF1279/X1279),IF(BT1279=1,IF(AF1279&lt;=0,0,BW1279*MAX(1,IF(H1279&gt;0,AF1279/H1279,1))),IF(R1279&gt;0,AG1279/R1279,0))/MAX(0.1,N(Parameter!$M$21)))</f>
        <v>0.115384615384615</v>
      </c>
      <c r="AI1279" s="57" t="n">
        <f aca="false">AF1279*G1279</f>
        <v>959.31</v>
      </c>
      <c r="AJ1279" s="57" t="n">
        <f aca="false">ROUNDUP(MAX(J1279/IF(BZ1279&gt;0,BZ1279,MAX(0.1,N(Cockpit!$C$6))),CC1279)/BS1279,0)*BS1279</f>
        <v>84</v>
      </c>
      <c r="AK1279" s="58" t="n">
        <f aca="false">IF(AH1279&gt;0,J1279/AH1279,-1)</f>
        <v>624</v>
      </c>
      <c r="AL1279" s="58" t="n">
        <f aca="false">IF(AND(OR(BY1279="L1",BY1279="L23"),AH1279&gt;0),SUMIFS($AH$7:$AH$1843,$BY$7:$BY$1843,BY1279,$AK$7:$AK$1843,"&gt;"&amp;AK1279)+SUMIFS($AH$7:$AH$1843,$BY$7:$BY$1843,BY1279,$AK$7:$AK$1843,AK1279,$BQ$7:$BQ$1843,"&lt;="&amp;BQ1279),"")</f>
        <v>23.1540404040404</v>
      </c>
      <c r="AM1279" s="65" t="n">
        <f aca="false">IF(AL1279="",0,MAX(0,MIN(1,(IF(BY1279="L1",Parameter!$E$5,Parameter!$E$6+Parameter!$E$7)-(AL1279-AH1279))/AH1279)))</f>
        <v>1</v>
      </c>
      <c r="AN1279" s="57" t="n">
        <f aca="false">IF(LEFT(Cockpit!$I$5,1)="A",H1279,IF(CA1279=1,CB1279,IF(LEFT(Cockpit!$I$5,1)="B",AR1279,MAX(AR1279,H1279))))</f>
        <v>84</v>
      </c>
      <c r="AO1279" s="57" t="n">
        <f aca="false">IF(BT1279=1,0,ROUNDUP(AN1279/BS1279,0))</f>
        <v>7</v>
      </c>
      <c r="AP1279" s="59" t="n">
        <f aca="false">IF(CH1279&gt;0,CH1279*MAX(1,AN1279/X1279),IF(BT1279=1,IF(AN1279&lt;=0,0,BW1279*MAX(1,IF(H1279&gt;0,AN1279/H1279,1))),IF(R1279&gt;0,AO1279/R1279,0))/MAX(0.1,N(Parameter!$M$21)))</f>
        <v>0.269230769230769</v>
      </c>
      <c r="AQ1279" s="57" t="n">
        <f aca="false">AN1279*G1279</f>
        <v>2441.88</v>
      </c>
      <c r="AR1279" s="57" t="n">
        <f aca="false">ROUNDUP(MAX(J1279/IF(BZ1279&gt;0,BZ1279,MAX(0.1,N(Cockpit!$I$6))),CC1279)/BS1279,0)*BS1279</f>
        <v>84</v>
      </c>
      <c r="AS1279" s="58" t="n">
        <f aca="false">IF(AP1279&gt;0,J1279/AP1279,-1)</f>
        <v>267.428571428571</v>
      </c>
      <c r="AT1279" s="58" t="n">
        <f aca="false">IF(AND(OR(BY1279="L1",BY1279="L23"),AP1279&gt;0),SUMIFS($AP$7:$AP$1843,$BY$7:$BY$1843,BY1279,$AS$7:$AS$1843,"&gt;"&amp;AS1279)+SUMIFS($AP$7:$AP$1843,$BY$7:$BY$1843,BY1279,$AS$7:$AS$1843,AS1279,$BQ$7:$BQ$1843,"&lt;="&amp;BQ1279),"")</f>
        <v>42.1765480895916</v>
      </c>
      <c r="AU1279" s="65" t="n">
        <f aca="false">IF(AT1279="",0,MAX(0,MIN(1,(IF(BY1279="L1",Parameter!$E$5,Parameter!$E$6+Parameter!$E$7)-(AT1279-AP1279))/AP1279)))</f>
        <v>1</v>
      </c>
      <c r="AV1279" s="57" t="n">
        <f aca="false">IF(LEFT(Cockpit!$O$5,1)="A",H1279,IF(CA1279=1,CB1279,IF(LEFT(Cockpit!$O$5,1)="B",AZ1279,MAX(AZ1279,H1279))))</f>
        <v>84</v>
      </c>
      <c r="AW1279" s="57" t="n">
        <f aca="false">IF(BT1279=1,0,ROUNDUP(AV1279/BS1279,0))</f>
        <v>7</v>
      </c>
      <c r="AX1279" s="59" t="n">
        <f aca="false">IF(CH1279&gt;0,CH1279*MAX(1,AV1279/X1279),IF(BT1279=1,IF(AV1279&lt;=0,0,BW1279*MAX(1,IF(H1279&gt;0,AV1279/H1279,1))),IF(R1279&gt;0,AW1279/R1279,0))/MAX(0.1,N(Parameter!$M$21)))</f>
        <v>0.269230769230769</v>
      </c>
      <c r="AY1279" s="57" t="n">
        <f aca="false">AV1279*G1279</f>
        <v>2441.88</v>
      </c>
      <c r="AZ1279" s="57" t="n">
        <f aca="false">ROUNDUP(MAX(J1279/IF(BZ1279&gt;0,BZ1279,MAX(0.1,N(Cockpit!$O$6))),CC1279)/BS1279,0)*BS1279</f>
        <v>84</v>
      </c>
      <c r="BA1279" s="58" t="n">
        <f aca="false">IF(AX1279&gt;0,J1279/AX1279,-1)</f>
        <v>267.428571428571</v>
      </c>
      <c r="BB1279" s="58" t="n">
        <f aca="false">IF(AND(OR(BY1279="L1",BY1279="L23"),AX1279&gt;0),SUMIFS($AX$7:$AX$1843,$BY$7:$BY$1843,BY1279,$BA$7:$BA$1843,"&gt;"&amp;BA1279)+SUMIFS($AX$7:$AX$1843,$BY$7:$BY$1843,BY1279,$BA$7:$BA$1843,BA1279,$BQ$7:$BQ$1843,"&lt;="&amp;BQ1279),"")</f>
        <v>38.5063849194284</v>
      </c>
      <c r="BC1279" s="65" t="n">
        <f aca="false">IF(BB1279="",0,MAX(0,MIN(1,(IF(BY1279="L1",Parameter!$E$5,Parameter!$E$6+Parameter!$E$7)-(BB1279-AX1279))/AX1279)))</f>
        <v>1</v>
      </c>
      <c r="BD1279" s="55" t="str">
        <f aca="false">IF(AH1279&lt;=0,"",IF(BY1279="Aussen","Aussenlager",IF(BY1279="-","Nicht im Lift",IF(AM1279&gt;=1,"Lift",IF(AM1279&lt;=0,"Aussenlager","teilweise")))))</f>
        <v>Lift</v>
      </c>
      <c r="BE1279" s="55" t="str">
        <f aca="false">IF(AP1279&lt;=0,"",IF(BY1279="Aussen","Aussenlager",IF(BY1279="-","Nicht im Lift",IF(AU1279&gt;=1,"Lift",IF(AU1279&lt;=0,"Aussenlager","teilweise")))))</f>
        <v>Lift</v>
      </c>
      <c r="BF1279" s="55" t="str">
        <f aca="false">IF(AX1279&lt;=0,"",IF(BY1279="Aussen","Aussenlager",IF(BY1279="-","Nicht im Lift",IF(BC1279&gt;=1,"Lift",IF(BC1279&lt;=0,"Aussenlager","teilweise")))))</f>
        <v>Lift</v>
      </c>
      <c r="BG1279" s="55" t="str">
        <f aca="false">IF(A1279="","",IF(BP1279=1,"Neu; ","")&amp;IF(AND(BP1279=0,BK1279&lt;0),"negativer Bestand (Export "&amp;BK1279&amp;"); ","")&amp;IF(J1279&lt;=0,"Kein Verbrauch; ","")&amp;IF(CH1279&gt;0,"Lift "&amp;W1279&amp;" lt. Liftbericht (Fach "&amp;X1279&amp;" Stk); ",IF(BU1279=1,"Gebinde geschätzt ("&amp;T1279&amp;"); ",IF(BT1279=1,"Lose – Tablare geschätzt; ","")))&amp;IF(H1279&gt;AR1279,"Überbestand "&amp;ROUND(H1279-AR1279,0)&amp;" Stk / CHF "&amp;ROUND((H1279-AR1279)*G1279,0)&amp;"; ","")&amp;IF(AND(CA1279=1,CB1279&lt;CC1279),"MAX &lt; MB+LG; ","")&amp;IF(AND(CG1279&gt;0,CF1279*10&gt;CG1279),"zu hoch für Tablar; ","")&amp;IF(AND(BP1279=0,OR(CA1279=1,AA1279&lt;&gt;"",U1279&lt;&gt;"",V1279&lt;&gt;"",AB1279&lt;&gt;"")),"manuell übersteuert; ","")&amp;IF(AND(BT1279=0,R1279=0),"Gebinde unbekannt / Stellmass fehlt; ","")&amp;IF(AND(BT1279=0,N(V1279)&lt;=0,N(Q1279)&lt;=0),"Menge pro Gebinde fehlt (Ist = 1 Gebinde); ","")&amp;BO1279)</f>
        <v>negativer Bestand (Export -34); </v>
      </c>
      <c r="BH1279" s="55"/>
      <c r="BI1279" s="55"/>
      <c r="BJ1279" s="62"/>
      <c r="BK1279" s="57" t="n">
        <v>-34</v>
      </c>
      <c r="BL1279" s="57" t="n">
        <v>67</v>
      </c>
      <c r="BM1279" s="56" t="n">
        <v>-1008.48</v>
      </c>
      <c r="BN1279" s="57" t="n">
        <v>72</v>
      </c>
      <c r="BO1279" s="55"/>
      <c r="BP1279" s="60" t="n">
        <v>0</v>
      </c>
      <c r="BQ1279" s="60" t="n">
        <v>1279</v>
      </c>
      <c r="BR1279" s="55" t="str">
        <f aca="false">IF(U1279&lt;&gt;"",UPPER(TRIM(U1279)),IF(BU1279=1,UPPER(VLOOKUP(T1279,Parameter!$I$27:$K$29,2,0)),IF(P1279="","LOSE",P1279)))</f>
        <v>S51</v>
      </c>
      <c r="BS1279" s="57" t="n">
        <f aca="false">IF(BR1279="LOSE",1,IF(N(V1279)&gt;0,V1279,IF(BU1279=1,MAX(1,N(VLOOKUP(T1279,Parameter!$I$27:$K$29,3,0)),H1279,N(N1279)),IF(N(Q1279)&gt;0,Q1279,MAX(1,H1279)))))</f>
        <v>12</v>
      </c>
      <c r="BT1279" s="60" t="n">
        <f aca="false">IF(BR1279="LOSE",1,0)</f>
        <v>0</v>
      </c>
      <c r="BU1279" s="60" t="n">
        <f aca="false">IF(AND(U1279="",OR(P1279="",P1279="LOSE"),T1279&lt;&gt;"",N(S1279)&lt;=0,ISNUMBER(MATCH(T1279,Parameter!$I$27:$I$29,0))),1,0)</f>
        <v>0</v>
      </c>
      <c r="BV1279" s="55" t="str">
        <f aca="false">IF(AND(Parameter!$B$19="Ja",E1279&lt;&gt;"",ISNUMBER(MATCH(E1279,Parameter!$I$35:$I$52,0))),VLOOKUP(E1279,Parameter!$I$35:$J$52,2,0),IFERROR(VLOOKUP(D1279,Parameter!$A$35:$C$64,2,0),"Nein"))</f>
        <v>2+3</v>
      </c>
      <c r="BW1279" s="59" t="n">
        <f aca="false">IF(BT1279=0,0,IF(N(S1279)&gt;0,S1279,IFERROR(VLOOKUP(D1279,Parameter!$A$35:$C$64,3,0)+0,0)))</f>
        <v>0</v>
      </c>
      <c r="BX1279" s="55" t="n">
        <f aca="false">IF(AA1279&lt;&gt;"",AA1279,Z1279)</f>
        <v>3</v>
      </c>
      <c r="BY1279" s="55" t="str">
        <f aca="false">IF(BX1279=1,"L1",IF(OR(BX1279=2,BX1279=3),"L23",IF(BX1279="Aussen","Aussen","-")))</f>
        <v>L23</v>
      </c>
      <c r="BZ1279" s="66" t="n">
        <f aca="false">IF(N(AB1279)&gt;0,AB1279,0)</f>
        <v>0</v>
      </c>
      <c r="CA1279" s="60" t="n">
        <f aca="false">IF(ISNUMBER(AE1279),1,0)</f>
        <v>0</v>
      </c>
      <c r="CB1279" s="57" t="n">
        <f aca="false">N(AE1279)</f>
        <v>0</v>
      </c>
      <c r="CC1279" s="57" t="n">
        <f aca="false">N(M1279)+N(N1279)</f>
        <v>75</v>
      </c>
      <c r="CD1279" s="57" t="n">
        <f aca="false">ROUNDUP(H1279/BS1279,0)</f>
        <v>3</v>
      </c>
      <c r="CE1279" s="57" t="n">
        <f aca="false">ROUNDUP(CB1279/BS1279,0)</f>
        <v>0</v>
      </c>
      <c r="CF1279" s="60" t="n">
        <f aca="false">IF(BT1279=1,0,IFERROR(VLOOKUP(BR1279,'Gebinde-Kategorie'!$A$5:$M$45,5,0)+0,0))</f>
        <v>11</v>
      </c>
      <c r="CG1279" s="60" t="n">
        <f aca="false">IFERROR(IF(OR(BX1279=1,BX1279=2,BX1279=3),N(INDEX(Parameter!$I$5:$I$7,BX1279)),0),0)</f>
        <v>0</v>
      </c>
      <c r="CH1279" s="59" t="n">
        <f aca="false">IF(AND(Parameter!$B$21="Ja",ISNUMBER(W1279),N(X1279)&gt;0),IFERROR(N(INDEX(Parameter!$L$5:$L$7,W1279))*INDEX(Parameter!$E$5:$E$7,W1279)*X1279/SUMIFS($X$7:$X$1843,$W$7:$W$1843,W1279),0),0)</f>
        <v>0</v>
      </c>
    </row>
    <row r="1280" customFormat="false" ht="15" hidden="false" customHeight="false" outlineLevel="0" collapsed="false">
      <c r="A1280" s="55" t="s">
        <v>2286</v>
      </c>
      <c r="B1280" s="55" t="s">
        <v>598</v>
      </c>
      <c r="C1280" s="55" t="s">
        <v>164</v>
      </c>
      <c r="D1280" s="55" t="s">
        <v>184</v>
      </c>
      <c r="E1280" s="55" t="s">
        <v>185</v>
      </c>
      <c r="F1280" s="55" t="s">
        <v>218</v>
      </c>
      <c r="G1280" s="56" t="n">
        <v>36.23</v>
      </c>
      <c r="H1280" s="57" t="n">
        <f aca="false">MAX(0,IF(AND(Parameter!$B$21="Ja",ISNUMBER(Y1280)),Y1280,IF(Parameter!$B$20="Jahresanfang 2025 + Export",BL1280+BK1280,BK1280)))</f>
        <v>9</v>
      </c>
      <c r="I1280" s="57" t="n">
        <f aca="false">H1280*G1280</f>
        <v>326.07</v>
      </c>
      <c r="J1280" s="57" t="n">
        <f aca="false">BN1280*Parameter!$B$18</f>
        <v>37</v>
      </c>
      <c r="K1280" s="58" t="n">
        <v>40.5</v>
      </c>
      <c r="L1280" s="59" t="n">
        <v>0.91358024691358</v>
      </c>
      <c r="M1280" s="57" t="n">
        <v>1</v>
      </c>
      <c r="N1280" s="57" t="n">
        <v>35</v>
      </c>
      <c r="O1280" s="60" t="n">
        <v>14</v>
      </c>
      <c r="P1280" s="55" t="s">
        <v>476</v>
      </c>
      <c r="Q1280" s="57" t="n">
        <v>64</v>
      </c>
      <c r="R1280" s="60" t="n">
        <f aca="false">IF(BT1280=1,0,IFERROR(VLOOKUP(BR1280,'Gebinde-Kategorie'!$A$5:$M$45,13,0)+0,0))</f>
        <v>66</v>
      </c>
      <c r="S1280" s="61"/>
      <c r="T1280" s="62"/>
      <c r="U1280" s="62"/>
      <c r="V1280" s="62"/>
      <c r="W1280" s="55"/>
      <c r="X1280" s="57"/>
      <c r="Y1280" s="57"/>
      <c r="Z1280" s="55" t="n">
        <f aca="false">IF(A1280="","",IF(AND(Parameter!$B$21="Ja",ISNUMBER(W1280)),W1280,IF(BV1280="2+3",IF(ISNUMBER(SEARCH("grosser Artikel",BO1280)),2,IFERROR(VLOOKUP(BR1280,Parameter!$F$35:$G$64,2,0),2)),IF(OR(BV1280="Nein",BV1280=""),"-",BV1280))))</f>
        <v>3</v>
      </c>
      <c r="AA1280" s="62"/>
      <c r="AB1280" s="63"/>
      <c r="AC1280" s="57" t="n">
        <f aca="false">AR1280</f>
        <v>64</v>
      </c>
      <c r="AD1280" s="57" t="n">
        <f aca="false">MAX(AR1280,H1280)</f>
        <v>64</v>
      </c>
      <c r="AE1280" s="64"/>
      <c r="AF1280" s="57" t="n">
        <f aca="false">IF(LEFT(Cockpit!$C$5,1)="A",H1280,IF(CA1280=1,CB1280,IF(LEFT(Cockpit!$C$5,1)="B",AJ1280,MAX(AJ1280,H1280))))</f>
        <v>9</v>
      </c>
      <c r="AG1280" s="57" t="n">
        <f aca="false">IF(BT1280=1,0,ROUNDUP(AF1280/BS1280,0))</f>
        <v>1</v>
      </c>
      <c r="AH1280" s="59" t="n">
        <f aca="false">IF(CH1280&gt;0,CH1280*MAX(1,AF1280/X1280),IF(BT1280=1,IF(AF1280&lt;=0,0,BW1280*MAX(1,IF(H1280&gt;0,AF1280/H1280,1))),IF(R1280&gt;0,AG1280/R1280,0))/MAX(0.1,N(Parameter!$M$21)))</f>
        <v>0.0151515151515152</v>
      </c>
      <c r="AI1280" s="57" t="n">
        <f aca="false">AF1280*G1280</f>
        <v>326.07</v>
      </c>
      <c r="AJ1280" s="57" t="n">
        <f aca="false">ROUNDUP(MAX(J1280/IF(BZ1280&gt;0,BZ1280,MAX(0.1,N(Cockpit!$C$6))),CC1280)/BS1280,0)*BS1280</f>
        <v>64</v>
      </c>
      <c r="AK1280" s="58" t="n">
        <f aca="false">IF(AH1280&gt;0,J1280/AH1280,-1)</f>
        <v>2442</v>
      </c>
      <c r="AL1280" s="58" t="n">
        <f aca="false">IF(AND(OR(BY1280="L1",BY1280="L23"),AH1280&gt;0),SUMIFS($AH$7:$AH$1843,$BY$7:$BY$1843,BY1280,$AK$7:$AK$1843,"&gt;"&amp;AK1280)+SUMIFS($AH$7:$AH$1843,$BY$7:$BY$1843,BY1280,$AK$7:$AK$1843,AK1280,$BQ$7:$BQ$1843,"&lt;="&amp;BQ1280),"")</f>
        <v>11.5992618492619</v>
      </c>
      <c r="AM1280" s="65" t="n">
        <f aca="false">IF(AL1280="",0,MAX(0,MIN(1,(IF(BY1280="L1",Parameter!$E$5,Parameter!$E$6+Parameter!$E$7)-(AL1280-AH1280))/AH1280)))</f>
        <v>1</v>
      </c>
      <c r="AN1280" s="57" t="n">
        <f aca="false">IF(LEFT(Cockpit!$I$5,1)="A",H1280,IF(CA1280=1,CB1280,IF(LEFT(Cockpit!$I$5,1)="B",AR1280,MAX(AR1280,H1280))))</f>
        <v>64</v>
      </c>
      <c r="AO1280" s="57" t="n">
        <f aca="false">IF(BT1280=1,0,ROUNDUP(AN1280/BS1280,0))</f>
        <v>1</v>
      </c>
      <c r="AP1280" s="59" t="n">
        <f aca="false">IF(CH1280&gt;0,CH1280*MAX(1,AN1280/X1280),IF(BT1280=1,IF(AN1280&lt;=0,0,BW1280*MAX(1,IF(H1280&gt;0,AN1280/H1280,1))),IF(R1280&gt;0,AO1280/R1280,0))/MAX(0.1,N(Parameter!$M$21)))</f>
        <v>0.0151515151515152</v>
      </c>
      <c r="AQ1280" s="57" t="n">
        <f aca="false">AN1280*G1280</f>
        <v>2318.72</v>
      </c>
      <c r="AR1280" s="57" t="n">
        <f aca="false">ROUNDUP(MAX(J1280/IF(BZ1280&gt;0,BZ1280,MAX(0.1,N(Cockpit!$I$6))),CC1280)/BS1280,0)*BS1280</f>
        <v>64</v>
      </c>
      <c r="AS1280" s="58" t="n">
        <f aca="false">IF(AP1280&gt;0,J1280/AP1280,-1)</f>
        <v>2442</v>
      </c>
      <c r="AT1280" s="58" t="n">
        <f aca="false">IF(AND(OR(BY1280="L1",BY1280="L23"),AP1280&gt;0),SUMIFS($AP$7:$AP$1843,$BY$7:$BY$1843,BY1280,$AS$7:$AS$1843,"&gt;"&amp;AS1280)+SUMIFS($AP$7:$AP$1843,$BY$7:$BY$1843,BY1280,$AS$7:$AS$1843,AS1280,$BQ$7:$BQ$1843,"&lt;="&amp;BQ1280),"")</f>
        <v>17.0392807675416</v>
      </c>
      <c r="AU1280" s="65" t="n">
        <f aca="false">IF(AT1280="",0,MAX(0,MIN(1,(IF(BY1280="L1",Parameter!$E$5,Parameter!$E$6+Parameter!$E$7)-(AT1280-AP1280))/AP1280)))</f>
        <v>1</v>
      </c>
      <c r="AV1280" s="57" t="n">
        <f aca="false">IF(LEFT(Cockpit!$O$5,1)="A",H1280,IF(CA1280=1,CB1280,IF(LEFT(Cockpit!$O$5,1)="B",AZ1280,MAX(AZ1280,H1280))))</f>
        <v>64</v>
      </c>
      <c r="AW1280" s="57" t="n">
        <f aca="false">IF(BT1280=1,0,ROUNDUP(AV1280/BS1280,0))</f>
        <v>1</v>
      </c>
      <c r="AX1280" s="59" t="n">
        <f aca="false">IF(CH1280&gt;0,CH1280*MAX(1,AV1280/X1280),IF(BT1280=1,IF(AV1280&lt;=0,0,BW1280*MAX(1,IF(H1280&gt;0,AV1280/H1280,1))),IF(R1280&gt;0,AW1280/R1280,0))/MAX(0.1,N(Parameter!$M$21)))</f>
        <v>0.0151515151515152</v>
      </c>
      <c r="AY1280" s="57" t="n">
        <f aca="false">AV1280*G1280</f>
        <v>2318.72</v>
      </c>
      <c r="AZ1280" s="57" t="n">
        <f aca="false">ROUNDUP(MAX(J1280/IF(BZ1280&gt;0,BZ1280,MAX(0.1,N(Cockpit!$O$6))),CC1280)/BS1280,0)*BS1280</f>
        <v>64</v>
      </c>
      <c r="BA1280" s="58" t="n">
        <f aca="false">IF(AX1280&gt;0,J1280/AX1280,-1)</f>
        <v>2442</v>
      </c>
      <c r="BB1280" s="58" t="n">
        <f aca="false">IF(AND(OR(BY1280="L1",BY1280="L23"),AX1280&gt;0),SUMIFS($AX$7:$AX$1843,$BY$7:$BY$1843,BY1280,$BA$7:$BA$1843,"&gt;"&amp;BA1280)+SUMIFS($AX$7:$AX$1843,$BY$7:$BY$1843,BY1280,$BA$7:$BA$1843,BA1280,$BQ$7:$BQ$1843,"&lt;="&amp;BQ1280),"")</f>
        <v>15.6127073409682</v>
      </c>
      <c r="BC1280" s="65" t="n">
        <f aca="false">IF(BB1280="",0,MAX(0,MIN(1,(IF(BY1280="L1",Parameter!$E$5,Parameter!$E$6+Parameter!$E$7)-(BB1280-AX1280))/AX1280)))</f>
        <v>1</v>
      </c>
      <c r="BD1280" s="55" t="str">
        <f aca="false">IF(AH1280&lt;=0,"",IF(BY1280="Aussen","Aussenlager",IF(BY1280="-","Nicht im Lift",IF(AM1280&gt;=1,"Lift",IF(AM1280&lt;=0,"Aussenlager","teilweise")))))</f>
        <v>Lift</v>
      </c>
      <c r="BE1280" s="55" t="str">
        <f aca="false">IF(AP1280&lt;=0,"",IF(BY1280="Aussen","Aussenlager",IF(BY1280="-","Nicht im Lift",IF(AU1280&gt;=1,"Lift",IF(AU1280&lt;=0,"Aussenlager","teilweise")))))</f>
        <v>Lift</v>
      </c>
      <c r="BF1280" s="55" t="str">
        <f aca="false">IF(AX1280&lt;=0,"",IF(BY1280="Aussen","Aussenlager",IF(BY1280="-","Nicht im Lift",IF(BC1280&gt;=1,"Lift",IF(BC1280&lt;=0,"Aussenlager","teilweise")))))</f>
        <v>Lift</v>
      </c>
      <c r="BG1280" s="55" t="str">
        <f aca="false">IF(A1280="","",IF(BP1280=1,"Neu; ","")&amp;IF(AND(BP1280=0,BK1280&lt;0),"negativer Bestand (Export "&amp;BK1280&amp;"); ","")&amp;IF(J1280&lt;=0,"Kein Verbrauch; ","")&amp;IF(CH1280&gt;0,"Lift "&amp;W1280&amp;" lt. Liftbericht (Fach "&amp;X1280&amp;" Stk); ",IF(BU1280=1,"Gebinde geschätzt ("&amp;T1280&amp;"); ",IF(BT1280=1,"Lose – Tablare geschätzt; ","")))&amp;IF(H1280&gt;AR1280,"Überbestand "&amp;ROUND(H1280-AR1280,0)&amp;" Stk / CHF "&amp;ROUND((H1280-AR1280)*G1280,0)&amp;"; ","")&amp;IF(AND(CA1280=1,CB1280&lt;CC1280),"MAX &lt; MB+LG; ","")&amp;IF(AND(CG1280&gt;0,CF1280*10&gt;CG1280),"zu hoch für Tablar; ","")&amp;IF(AND(BP1280=0,OR(CA1280=1,AA1280&lt;&gt;"",U1280&lt;&gt;"",V1280&lt;&gt;"",AB1280&lt;&gt;"")),"manuell übersteuert; ","")&amp;IF(AND(BT1280=0,R1280=0),"Gebinde unbekannt / Stellmass fehlt; ","")&amp;IF(AND(BT1280=0,N(V1280)&lt;=0,N(Q1280)&lt;=0),"Menge pro Gebinde fehlt (Ist = 1 Gebinde); ","")&amp;BO1280)</f>
        <v>negativer Bestand (Export -30); </v>
      </c>
      <c r="BH1280" s="55"/>
      <c r="BI1280" s="55"/>
      <c r="BJ1280" s="62"/>
      <c r="BK1280" s="57" t="n">
        <v>-30</v>
      </c>
      <c r="BL1280" s="57" t="n">
        <v>39</v>
      </c>
      <c r="BM1280" s="56" t="n">
        <v>-1026.84</v>
      </c>
      <c r="BN1280" s="57" t="n">
        <v>37</v>
      </c>
      <c r="BO1280" s="55"/>
      <c r="BP1280" s="60" t="n">
        <v>0</v>
      </c>
      <c r="BQ1280" s="60" t="n">
        <v>1280</v>
      </c>
      <c r="BR1280" s="55" t="str">
        <f aca="false">IF(U1280&lt;&gt;"",UPPER(TRIM(U1280)),IF(BU1280=1,UPPER(VLOOKUP(T1280,Parameter!$I$27:$K$29,2,0)),IF(P1280="","LOSE",P1280)))</f>
        <v>S33</v>
      </c>
      <c r="BS1280" s="57" t="n">
        <f aca="false">IF(BR1280="LOSE",1,IF(N(V1280)&gt;0,V1280,IF(BU1280=1,MAX(1,N(VLOOKUP(T1280,Parameter!$I$27:$K$29,3,0)),H1280,N(N1280)),IF(N(Q1280)&gt;0,Q1280,MAX(1,H1280)))))</f>
        <v>64</v>
      </c>
      <c r="BT1280" s="60" t="n">
        <f aca="false">IF(BR1280="LOSE",1,0)</f>
        <v>0</v>
      </c>
      <c r="BU1280" s="60" t="n">
        <f aca="false">IF(AND(U1280="",OR(P1280="",P1280="LOSE"),T1280&lt;&gt;"",N(S1280)&lt;=0,ISNUMBER(MATCH(T1280,Parameter!$I$27:$I$29,0))),1,0)</f>
        <v>0</v>
      </c>
      <c r="BV1280" s="55" t="str">
        <f aca="false">IF(AND(Parameter!$B$19="Ja",E1280&lt;&gt;"",ISNUMBER(MATCH(E1280,Parameter!$I$35:$I$52,0))),VLOOKUP(E1280,Parameter!$I$35:$J$52,2,0),IFERROR(VLOOKUP(D1280,Parameter!$A$35:$C$64,2,0),"Nein"))</f>
        <v>2+3</v>
      </c>
      <c r="BW1280" s="59" t="n">
        <f aca="false">IF(BT1280=0,0,IF(N(S1280)&gt;0,S1280,IFERROR(VLOOKUP(D1280,Parameter!$A$35:$C$64,3,0)+0,0)))</f>
        <v>0</v>
      </c>
      <c r="BX1280" s="55" t="n">
        <f aca="false">IF(AA1280&lt;&gt;"",AA1280,Z1280)</f>
        <v>3</v>
      </c>
      <c r="BY1280" s="55" t="str">
        <f aca="false">IF(BX1280=1,"L1",IF(OR(BX1280=2,BX1280=3),"L23",IF(BX1280="Aussen","Aussen","-")))</f>
        <v>L23</v>
      </c>
      <c r="BZ1280" s="66" t="n">
        <f aca="false">IF(N(AB1280)&gt;0,AB1280,0)</f>
        <v>0</v>
      </c>
      <c r="CA1280" s="60" t="n">
        <f aca="false">IF(ISNUMBER(AE1280),1,0)</f>
        <v>0</v>
      </c>
      <c r="CB1280" s="57" t="n">
        <f aca="false">N(AE1280)</f>
        <v>0</v>
      </c>
      <c r="CC1280" s="57" t="n">
        <f aca="false">N(M1280)+N(N1280)</f>
        <v>36</v>
      </c>
      <c r="CD1280" s="57" t="n">
        <f aca="false">ROUNDUP(H1280/BS1280,0)</f>
        <v>1</v>
      </c>
      <c r="CE1280" s="57" t="n">
        <f aca="false">ROUNDUP(CB1280/BS1280,0)</f>
        <v>0</v>
      </c>
      <c r="CF1280" s="60" t="n">
        <f aca="false">IF(BT1280=1,0,IFERROR(VLOOKUP(BR1280,'Gebinde-Kategorie'!$A$5:$M$45,5,0)+0,0))</f>
        <v>8</v>
      </c>
      <c r="CG1280" s="60" t="n">
        <f aca="false">IFERROR(IF(OR(BX1280=1,BX1280=2,BX1280=3),N(INDEX(Parameter!$I$5:$I$7,BX1280)),0),0)</f>
        <v>0</v>
      </c>
      <c r="CH1280" s="59" t="n">
        <f aca="false">IF(AND(Parameter!$B$21="Ja",ISNUMBER(W1280),N(X1280)&gt;0),IFERROR(N(INDEX(Parameter!$L$5:$L$7,W1280))*INDEX(Parameter!$E$5:$E$7,W1280)*X1280/SUMIFS($X$7:$X$1843,$W$7:$W$1843,W1280),0),0)</f>
        <v>0</v>
      </c>
    </row>
    <row r="1281" customFormat="false" ht="15" hidden="false" customHeight="false" outlineLevel="0" collapsed="false">
      <c r="A1281" s="55" t="s">
        <v>2287</v>
      </c>
      <c r="B1281" s="55" t="s">
        <v>2005</v>
      </c>
      <c r="C1281" s="55" t="s">
        <v>164</v>
      </c>
      <c r="D1281" s="55" t="s">
        <v>184</v>
      </c>
      <c r="E1281" s="55"/>
      <c r="F1281" s="55" t="s">
        <v>218</v>
      </c>
      <c r="G1281" s="56" t="n">
        <v>148.35</v>
      </c>
      <c r="H1281" s="57" t="n">
        <f aca="false">MAX(0,IF(AND(Parameter!$B$21="Ja",ISNUMBER(Y1281)),Y1281,IF(Parameter!$B$20="Jahresanfang 2025 + Export",BL1281+BK1281,BK1281)))</f>
        <v>169</v>
      </c>
      <c r="I1281" s="57" t="n">
        <f aca="false">H1281*G1281</f>
        <v>25071.15</v>
      </c>
      <c r="J1281" s="57" t="n">
        <f aca="false">BN1281*Parameter!$B$18</f>
        <v>4</v>
      </c>
      <c r="K1281" s="58" t="n">
        <v>174</v>
      </c>
      <c r="L1281" s="59" t="n">
        <v>0.0229885057471264</v>
      </c>
      <c r="M1281" s="57" t="n">
        <v>0</v>
      </c>
      <c r="N1281" s="57" t="n">
        <v>5</v>
      </c>
      <c r="O1281" s="60" t="n">
        <v>63</v>
      </c>
      <c r="P1281" s="55" t="s">
        <v>293</v>
      </c>
      <c r="Q1281" s="57" t="n">
        <v>180</v>
      </c>
      <c r="R1281" s="60" t="n">
        <f aca="false">IF(BT1281=1,0,IFERROR(VLOOKUP(BR1281,'Gebinde-Kategorie'!$A$5:$M$45,13,0)+0,0))</f>
        <v>12</v>
      </c>
      <c r="S1281" s="61"/>
      <c r="T1281" s="62"/>
      <c r="U1281" s="62"/>
      <c r="V1281" s="62"/>
      <c r="W1281" s="55"/>
      <c r="X1281" s="57"/>
      <c r="Y1281" s="57"/>
      <c r="Z1281" s="55" t="n">
        <f aca="false">IF(A1281="","",IF(AND(Parameter!$B$21="Ja",ISNUMBER(W1281)),W1281,IF(BV1281="2+3",IF(ISNUMBER(SEARCH("grosser Artikel",BO1281)),2,IFERROR(VLOOKUP(BR1281,Parameter!$F$35:$G$64,2,0),2)),IF(OR(BV1281="Nein",BV1281=""),"-",BV1281))))</f>
        <v>2</v>
      </c>
      <c r="AA1281" s="62"/>
      <c r="AB1281" s="63"/>
      <c r="AC1281" s="57" t="n">
        <f aca="false">AR1281</f>
        <v>180</v>
      </c>
      <c r="AD1281" s="57" t="n">
        <f aca="false">MAX(AR1281,H1281)</f>
        <v>180</v>
      </c>
      <c r="AE1281" s="64"/>
      <c r="AF1281" s="57" t="n">
        <f aca="false">IF(LEFT(Cockpit!$C$5,1)="A",H1281,IF(CA1281=1,CB1281,IF(LEFT(Cockpit!$C$5,1)="B",AJ1281,MAX(AJ1281,H1281))))</f>
        <v>169</v>
      </c>
      <c r="AG1281" s="57" t="n">
        <f aca="false">IF(BT1281=1,0,ROUNDUP(AF1281/BS1281,0))</f>
        <v>1</v>
      </c>
      <c r="AH1281" s="59" t="n">
        <f aca="false">IF(CH1281&gt;0,CH1281*MAX(1,AF1281/X1281),IF(BT1281=1,IF(AF1281&lt;=0,0,BW1281*MAX(1,IF(H1281&gt;0,AF1281/H1281,1))),IF(R1281&gt;0,AG1281/R1281,0))/MAX(0.1,N(Parameter!$M$21)))</f>
        <v>0.0833333333333333</v>
      </c>
      <c r="AI1281" s="57" t="n">
        <f aca="false">AF1281*G1281</f>
        <v>25071.15</v>
      </c>
      <c r="AJ1281" s="57" t="n">
        <f aca="false">ROUNDUP(MAX(J1281/IF(BZ1281&gt;0,BZ1281,MAX(0.1,N(Cockpit!$C$6))),CC1281)/BS1281,0)*BS1281</f>
        <v>180</v>
      </c>
      <c r="AK1281" s="58" t="n">
        <f aca="false">IF(AH1281&gt;0,J1281/AH1281,-1)</f>
        <v>48</v>
      </c>
      <c r="AL1281" s="58" t="n">
        <f aca="false">IF(AND(OR(BY1281="L1",BY1281="L23"),AH1281&gt;0),SUMIFS($AH$7:$AH$1843,$BY$7:$BY$1843,BY1281,$AK$7:$AK$1843,"&gt;"&amp;AK1281)+SUMIFS($AH$7:$AH$1843,$BY$7:$BY$1843,BY1281,$AK$7:$AK$1843,AK1281,$BQ$7:$BQ$1843,"&lt;="&amp;BQ1281),"")</f>
        <v>45.7350342893821</v>
      </c>
      <c r="AM1281" s="65" t="n">
        <f aca="false">IF(AL1281="",0,MAX(0,MIN(1,(IF(BY1281="L1",Parameter!$E$5,Parameter!$E$6+Parameter!$E$7)-(AL1281-AH1281))/AH1281)))</f>
        <v>1</v>
      </c>
      <c r="AN1281" s="57" t="n">
        <f aca="false">IF(LEFT(Cockpit!$I$5,1)="A",H1281,IF(CA1281=1,CB1281,IF(LEFT(Cockpit!$I$5,1)="B",AR1281,MAX(AR1281,H1281))))</f>
        <v>180</v>
      </c>
      <c r="AO1281" s="57" t="n">
        <f aca="false">IF(BT1281=1,0,ROUNDUP(AN1281/BS1281,0))</f>
        <v>1</v>
      </c>
      <c r="AP1281" s="59" t="n">
        <f aca="false">IF(CH1281&gt;0,CH1281*MAX(1,AN1281/X1281),IF(BT1281=1,IF(AN1281&lt;=0,0,BW1281*MAX(1,IF(H1281&gt;0,AN1281/H1281,1))),IF(R1281&gt;0,AO1281/R1281,0))/MAX(0.1,N(Parameter!$M$21)))</f>
        <v>0.0833333333333333</v>
      </c>
      <c r="AQ1281" s="57" t="n">
        <f aca="false">AN1281*G1281</f>
        <v>26703</v>
      </c>
      <c r="AR1281" s="57" t="n">
        <f aca="false">ROUNDUP(MAX(J1281/IF(BZ1281&gt;0,BZ1281,MAX(0.1,N(Cockpit!$I$6))),CC1281)/BS1281,0)*BS1281</f>
        <v>180</v>
      </c>
      <c r="AS1281" s="58" t="n">
        <f aca="false">IF(AP1281&gt;0,J1281/AP1281,-1)</f>
        <v>48</v>
      </c>
      <c r="AT1281" s="58" t="n">
        <f aca="false">IF(AND(OR(BY1281="L1",BY1281="L23"),AP1281&gt;0),SUMIFS($AP$7:$AP$1843,$BY$7:$BY$1843,BY1281,$AS$7:$AS$1843,"&gt;"&amp;AS1281)+SUMIFS($AP$7:$AP$1843,$BY$7:$BY$1843,BY1281,$AS$7:$AS$1843,AS1281,$BQ$7:$BQ$1843,"&lt;="&amp;BQ1281),"")</f>
        <v>68.8450559102733</v>
      </c>
      <c r="AU1281" s="65" t="n">
        <f aca="false">IF(AT1281="",0,MAX(0,MIN(1,(IF(BY1281="L1",Parameter!$E$5,Parameter!$E$6+Parameter!$E$7)-(AT1281-AP1281))/AP1281)))</f>
        <v>1</v>
      </c>
      <c r="AV1281" s="57" t="n">
        <f aca="false">IF(LEFT(Cockpit!$O$5,1)="A",H1281,IF(CA1281=1,CB1281,IF(LEFT(Cockpit!$O$5,1)="B",AZ1281,MAX(AZ1281,H1281))))</f>
        <v>180</v>
      </c>
      <c r="AW1281" s="57" t="n">
        <f aca="false">IF(BT1281=1,0,ROUNDUP(AV1281/BS1281,0))</f>
        <v>1</v>
      </c>
      <c r="AX1281" s="59" t="n">
        <f aca="false">IF(CH1281&gt;0,CH1281*MAX(1,AV1281/X1281),IF(BT1281=1,IF(AV1281&lt;=0,0,BW1281*MAX(1,IF(H1281&gt;0,AV1281/H1281,1))),IF(R1281&gt;0,AW1281/R1281,0))/MAX(0.1,N(Parameter!$M$21)))</f>
        <v>0.0833333333333333</v>
      </c>
      <c r="AY1281" s="57" t="n">
        <f aca="false">AV1281*G1281</f>
        <v>26703</v>
      </c>
      <c r="AZ1281" s="57" t="n">
        <f aca="false">ROUNDUP(MAX(J1281/IF(BZ1281&gt;0,BZ1281,MAX(0.1,N(Cockpit!$O$6))),CC1281)/BS1281,0)*BS1281</f>
        <v>180</v>
      </c>
      <c r="BA1281" s="58" t="n">
        <f aca="false">IF(AX1281&gt;0,J1281/AX1281,-1)</f>
        <v>48</v>
      </c>
      <c r="BB1281" s="58" t="n">
        <f aca="false">IF(AND(OR(BY1281="L1",BY1281="L23"),AX1281&gt;0),SUMIFS($AX$7:$AX$1843,$BY$7:$BY$1843,BY1281,$BA$7:$BA$1843,"&gt;"&amp;BA1281)+SUMIFS($AX$7:$AX$1843,$BY$7:$BY$1843,BY1281,$BA$7:$BA$1843,BA1281,$BQ$7:$BQ$1843,"&lt;="&amp;BQ1281),"")</f>
        <v>63.3415594067768</v>
      </c>
      <c r="BC1281" s="65" t="n">
        <f aca="false">IF(BB1281="",0,MAX(0,MIN(1,(IF(BY1281="L1",Parameter!$E$5,Parameter!$E$6+Parameter!$E$7)-(BB1281-AX1281))/AX1281)))</f>
        <v>1</v>
      </c>
      <c r="BD1281" s="55" t="str">
        <f aca="false">IF(AH1281&lt;=0,"",IF(BY1281="Aussen","Aussenlager",IF(BY1281="-","Nicht im Lift",IF(AM1281&gt;=1,"Lift",IF(AM1281&lt;=0,"Aussenlager","teilweise")))))</f>
        <v>Lift</v>
      </c>
      <c r="BE1281" s="55" t="str">
        <f aca="false">IF(AP1281&lt;=0,"",IF(BY1281="Aussen","Aussenlager",IF(BY1281="-","Nicht im Lift",IF(AU1281&gt;=1,"Lift",IF(AU1281&lt;=0,"Aussenlager","teilweise")))))</f>
        <v>Lift</v>
      </c>
      <c r="BF1281" s="55" t="str">
        <f aca="false">IF(AX1281&lt;=0,"",IF(BY1281="Aussen","Aussenlager",IF(BY1281="-","Nicht im Lift",IF(BC1281&gt;=1,"Lift",IF(BC1281&lt;=0,"Aussenlager","teilweise")))))</f>
        <v>Lift</v>
      </c>
      <c r="BG1281" s="55" t="str">
        <f aca="false">IF(A1281="","",IF(BP1281=1,"Neu; ","")&amp;IF(AND(BP1281=0,BK1281&lt;0),"negativer Bestand (Export "&amp;BK1281&amp;"); ","")&amp;IF(J1281&lt;=0,"Kein Verbrauch; ","")&amp;IF(CH1281&gt;0,"Lift "&amp;W1281&amp;" lt. Liftbericht (Fach "&amp;X1281&amp;" Stk); ",IF(BU1281=1,"Gebinde geschätzt ("&amp;T1281&amp;"); ",IF(BT1281=1,"Lose – Tablare geschätzt; ","")))&amp;IF(H1281&gt;AR1281,"Überbestand "&amp;ROUND(H1281-AR1281,0)&amp;" Stk / CHF "&amp;ROUND((H1281-AR1281)*G1281,0)&amp;"; ","")&amp;IF(AND(CA1281=1,CB1281&lt;CC1281),"MAX &lt; MB+LG; ","")&amp;IF(AND(CG1281&gt;0,CF1281*10&gt;CG1281),"zu hoch für Tablar; ","")&amp;IF(AND(BP1281=0,OR(CA1281=1,AA1281&lt;&gt;"",U1281&lt;&gt;"",V1281&lt;&gt;"",AB1281&lt;&gt;"")),"manuell übersteuert; ","")&amp;IF(AND(BT1281=0,R1281=0),"Gebinde unbekannt / Stellmass fehlt; ","")&amp;IF(AND(BT1281=0,N(V1281)&lt;=0,N(Q1281)&lt;=0),"Menge pro Gebinde fehlt (Ist = 1 Gebinde); ","")&amp;BO1281)</f>
        <v>negativer Bestand (Export -7); i.o</v>
      </c>
      <c r="BH1281" s="55"/>
      <c r="BI1281" s="55"/>
      <c r="BJ1281" s="62"/>
      <c r="BK1281" s="57" t="n">
        <v>-7</v>
      </c>
      <c r="BL1281" s="57" t="n">
        <v>176</v>
      </c>
      <c r="BM1281" s="56" t="n">
        <v>-1038.45</v>
      </c>
      <c r="BN1281" s="57" t="n">
        <v>4</v>
      </c>
      <c r="BO1281" s="55" t="s">
        <v>536</v>
      </c>
      <c r="BP1281" s="60" t="n">
        <v>0</v>
      </c>
      <c r="BQ1281" s="60" t="n">
        <v>1281</v>
      </c>
      <c r="BR1281" s="55" t="str">
        <f aca="false">IF(U1281&lt;&gt;"",UPPER(TRIM(U1281)),IF(BU1281=1,UPPER(VLOOKUP(T1281,Parameter!$I$27:$K$29,2,0)),IF(P1281="","LOSE",P1281)))</f>
        <v>S62</v>
      </c>
      <c r="BS1281" s="57" t="n">
        <f aca="false">IF(BR1281="LOSE",1,IF(N(V1281)&gt;0,V1281,IF(BU1281=1,MAX(1,N(VLOOKUP(T1281,Parameter!$I$27:$K$29,3,0)),H1281,N(N1281)),IF(N(Q1281)&gt;0,Q1281,MAX(1,H1281)))))</f>
        <v>180</v>
      </c>
      <c r="BT1281" s="60" t="n">
        <f aca="false">IF(BR1281="LOSE",1,0)</f>
        <v>0</v>
      </c>
      <c r="BU1281" s="60" t="n">
        <f aca="false">IF(AND(U1281="",OR(P1281="",P1281="LOSE"),T1281&lt;&gt;"",N(S1281)&lt;=0,ISNUMBER(MATCH(T1281,Parameter!$I$27:$I$29,0))),1,0)</f>
        <v>0</v>
      </c>
      <c r="BV1281" s="55" t="str">
        <f aca="false">IF(AND(Parameter!$B$19="Ja",E1281&lt;&gt;"",ISNUMBER(MATCH(E1281,Parameter!$I$35:$I$52,0))),VLOOKUP(E1281,Parameter!$I$35:$J$52,2,0),IFERROR(VLOOKUP(D1281,Parameter!$A$35:$C$64,2,0),"Nein"))</f>
        <v>2+3</v>
      </c>
      <c r="BW1281" s="59" t="n">
        <f aca="false">IF(BT1281=0,0,IF(N(S1281)&gt;0,S1281,IFERROR(VLOOKUP(D1281,Parameter!$A$35:$C$64,3,0)+0,0)))</f>
        <v>0</v>
      </c>
      <c r="BX1281" s="55" t="n">
        <f aca="false">IF(AA1281&lt;&gt;"",AA1281,Z1281)</f>
        <v>2</v>
      </c>
      <c r="BY1281" s="55" t="str">
        <f aca="false">IF(BX1281=1,"L1",IF(OR(BX1281=2,BX1281=3),"L23",IF(BX1281="Aussen","Aussen","-")))</f>
        <v>L23</v>
      </c>
      <c r="BZ1281" s="66" t="n">
        <f aca="false">IF(N(AB1281)&gt;0,AB1281,0)</f>
        <v>0</v>
      </c>
      <c r="CA1281" s="60" t="n">
        <f aca="false">IF(ISNUMBER(AE1281),1,0)</f>
        <v>0</v>
      </c>
      <c r="CB1281" s="57" t="n">
        <f aca="false">N(AE1281)</f>
        <v>0</v>
      </c>
      <c r="CC1281" s="57" t="n">
        <f aca="false">N(M1281)+N(N1281)</f>
        <v>5</v>
      </c>
      <c r="CD1281" s="57" t="n">
        <f aca="false">ROUNDUP(H1281/BS1281,0)</f>
        <v>1</v>
      </c>
      <c r="CE1281" s="57" t="n">
        <f aca="false">ROUNDUP(CB1281/BS1281,0)</f>
        <v>0</v>
      </c>
      <c r="CF1281" s="60" t="n">
        <f aca="false">IF(BT1281=1,0,IFERROR(VLOOKUP(BR1281,'Gebinde-Kategorie'!$A$5:$M$45,5,0)+0,0))</f>
        <v>21</v>
      </c>
      <c r="CG1281" s="60" t="n">
        <f aca="false">IFERROR(IF(OR(BX1281=1,BX1281=2,BX1281=3),N(INDEX(Parameter!$I$5:$I$7,BX1281)),0),0)</f>
        <v>0</v>
      </c>
      <c r="CH1281" s="59" t="n">
        <f aca="false">IF(AND(Parameter!$B$21="Ja",ISNUMBER(W1281),N(X1281)&gt;0),IFERROR(N(INDEX(Parameter!$L$5:$L$7,W1281))*INDEX(Parameter!$E$5:$E$7,W1281)*X1281/SUMIFS($X$7:$X$1843,$W$7:$W$1843,W1281),0),0)</f>
        <v>0</v>
      </c>
    </row>
    <row r="1282" customFormat="false" ht="15" hidden="false" customHeight="false" outlineLevel="0" collapsed="false">
      <c r="A1282" s="55" t="s">
        <v>2288</v>
      </c>
      <c r="B1282" s="55" t="s">
        <v>2289</v>
      </c>
      <c r="C1282" s="55" t="s">
        <v>456</v>
      </c>
      <c r="D1282" s="55" t="s">
        <v>173</v>
      </c>
      <c r="E1282" s="55"/>
      <c r="F1282" s="55" t="s">
        <v>218</v>
      </c>
      <c r="G1282" s="56" t="n">
        <v>52</v>
      </c>
      <c r="H1282" s="57" t="n">
        <f aca="false">MAX(0,IF(AND(Parameter!$B$21="Ja",ISNUMBER(Y1282)),Y1282,IF(Parameter!$B$20="Jahresanfang 2025 + Export",BL1282+BK1282,BK1282)))</f>
        <v>0</v>
      </c>
      <c r="I1282" s="57" t="n">
        <f aca="false">H1282*G1282</f>
        <v>0</v>
      </c>
      <c r="J1282" s="57" t="n">
        <f aca="false">BN1282*Parameter!$B$18</f>
        <v>0</v>
      </c>
      <c r="K1282" s="58" t="n">
        <v>10</v>
      </c>
      <c r="L1282" s="59" t="n">
        <v>0</v>
      </c>
      <c r="M1282" s="57" t="n">
        <v>0</v>
      </c>
      <c r="N1282" s="57" t="n">
        <v>1</v>
      </c>
      <c r="O1282" s="60" t="n">
        <v>56</v>
      </c>
      <c r="P1282" s="55" t="s">
        <v>168</v>
      </c>
      <c r="Q1282" s="57"/>
      <c r="R1282" s="60" t="n">
        <f aca="false">IF(BT1282=1,0,IFERROR(VLOOKUP(BR1282,'Gebinde-Kategorie'!$A$5:$M$45,13,0)+0,0))</f>
        <v>12</v>
      </c>
      <c r="S1282" s="61"/>
      <c r="T1282" s="62" t="s">
        <v>179</v>
      </c>
      <c r="U1282" s="62"/>
      <c r="V1282" s="62"/>
      <c r="W1282" s="55"/>
      <c r="X1282" s="57"/>
      <c r="Y1282" s="57"/>
      <c r="Z1282" s="55" t="n">
        <f aca="false">IF(A1282="","",IF(AND(Parameter!$B$21="Ja",ISNUMBER(W1282)),W1282,IF(BV1282="2+3",IF(ISNUMBER(SEARCH("grosser Artikel",BO1282)),2,IFERROR(VLOOKUP(BR1282,Parameter!$F$35:$G$64,2,0),2)),IF(OR(BV1282="Nein",BV1282=""),"-",BV1282))))</f>
        <v>2</v>
      </c>
      <c r="AA1282" s="62"/>
      <c r="AB1282" s="63"/>
      <c r="AC1282" s="57" t="n">
        <f aca="false">AR1282</f>
        <v>4</v>
      </c>
      <c r="AD1282" s="57" t="n">
        <f aca="false">MAX(AR1282,H1282)</f>
        <v>4</v>
      </c>
      <c r="AE1282" s="64"/>
      <c r="AF1282" s="57" t="n">
        <f aca="false">IF(LEFT(Cockpit!$C$5,1)="A",H1282,IF(CA1282=1,CB1282,IF(LEFT(Cockpit!$C$5,1)="B",AJ1282,MAX(AJ1282,H1282))))</f>
        <v>0</v>
      </c>
      <c r="AG1282" s="57" t="n">
        <f aca="false">IF(BT1282=1,0,ROUNDUP(AF1282/BS1282,0))</f>
        <v>0</v>
      </c>
      <c r="AH1282" s="59" t="n">
        <f aca="false">IF(CH1282&gt;0,CH1282*MAX(1,AF1282/X1282),IF(BT1282=1,IF(AF1282&lt;=0,0,BW1282*MAX(1,IF(H1282&gt;0,AF1282/H1282,1))),IF(R1282&gt;0,AG1282/R1282,0))/MAX(0.1,N(Parameter!$M$21)))</f>
        <v>0</v>
      </c>
      <c r="AI1282" s="57" t="n">
        <f aca="false">AF1282*G1282</f>
        <v>0</v>
      </c>
      <c r="AJ1282" s="57" t="n">
        <f aca="false">ROUNDUP(MAX(J1282/IF(BZ1282&gt;0,BZ1282,MAX(0.1,N(Cockpit!$C$6))),CC1282)/BS1282,0)*BS1282</f>
        <v>4</v>
      </c>
      <c r="AK1282" s="58" t="n">
        <f aca="false">IF(AH1282&gt;0,J1282/AH1282,-1)</f>
        <v>-1</v>
      </c>
      <c r="AL1282" s="58" t="str">
        <f aca="false">IF(AND(OR(BY1282="L1",BY1282="L23"),AH1282&gt;0),SUMIFS($AH$7:$AH$1843,$BY$7:$BY$1843,BY1282,$AK$7:$AK$1843,"&gt;"&amp;AK1282)+SUMIFS($AH$7:$AH$1843,$BY$7:$BY$1843,BY1282,$AK$7:$AK$1843,AK1282,$BQ$7:$BQ$1843,"&lt;="&amp;BQ1282),"")</f>
        <v/>
      </c>
      <c r="AM1282" s="65" t="n">
        <f aca="false">IF(AL1282="",0,MAX(0,MIN(1,(IF(BY1282="L1",Parameter!$E$5,Parameter!$E$6+Parameter!$E$7)-(AL1282-AH1282))/AH1282)))</f>
        <v>0</v>
      </c>
      <c r="AN1282" s="57" t="n">
        <f aca="false">IF(LEFT(Cockpit!$I$5,1)="A",H1282,IF(CA1282=1,CB1282,IF(LEFT(Cockpit!$I$5,1)="B",AR1282,MAX(AR1282,H1282))))</f>
        <v>4</v>
      </c>
      <c r="AO1282" s="57" t="n">
        <f aca="false">IF(BT1282=1,0,ROUNDUP(AN1282/BS1282,0))</f>
        <v>1</v>
      </c>
      <c r="AP1282" s="59" t="n">
        <f aca="false">IF(CH1282&gt;0,CH1282*MAX(1,AN1282/X1282),IF(BT1282=1,IF(AN1282&lt;=0,0,BW1282*MAX(1,IF(H1282&gt;0,AN1282/H1282,1))),IF(R1282&gt;0,AO1282/R1282,0))/MAX(0.1,N(Parameter!$M$21)))</f>
        <v>0.0833333333333333</v>
      </c>
      <c r="AQ1282" s="57" t="n">
        <f aca="false">AN1282*G1282</f>
        <v>208</v>
      </c>
      <c r="AR1282" s="57" t="n">
        <f aca="false">ROUNDUP(MAX(J1282/IF(BZ1282&gt;0,BZ1282,MAX(0.1,N(Cockpit!$I$6))),CC1282)/BS1282,0)*BS1282</f>
        <v>4</v>
      </c>
      <c r="AS1282" s="58" t="n">
        <f aca="false">IF(AP1282&gt;0,J1282/AP1282,-1)</f>
        <v>0</v>
      </c>
      <c r="AT1282" s="58" t="n">
        <f aca="false">IF(AND(OR(BY1282="L1",BY1282="L23"),AP1282&gt;0),SUMIFS($AP$7:$AP$1843,$BY$7:$BY$1843,BY1282,$AS$7:$AS$1843,"&gt;"&amp;AS1282)+SUMIFS($AP$7:$AP$1843,$BY$7:$BY$1843,BY1282,$AS$7:$AS$1843,AS1282,$BQ$7:$BQ$1843,"&lt;="&amp;BQ1282),"")</f>
        <v>124.324279585149</v>
      </c>
      <c r="AU1282" s="65" t="n">
        <f aca="false">IF(AT1282="",0,MAX(0,MIN(1,(IF(BY1282="L1",Parameter!$E$5,Parameter!$E$6+Parameter!$E$7)-(AT1282-AP1282))/AP1282)))</f>
        <v>0</v>
      </c>
      <c r="AV1282" s="57" t="n">
        <f aca="false">IF(LEFT(Cockpit!$O$5,1)="A",H1282,IF(CA1282=1,CB1282,IF(LEFT(Cockpit!$O$5,1)="B",AZ1282,MAX(AZ1282,H1282))))</f>
        <v>4</v>
      </c>
      <c r="AW1282" s="57" t="n">
        <f aca="false">IF(BT1282=1,0,ROUNDUP(AV1282/BS1282,0))</f>
        <v>1</v>
      </c>
      <c r="AX1282" s="59" t="n">
        <f aca="false">IF(CH1282&gt;0,CH1282*MAX(1,AV1282/X1282),IF(BT1282=1,IF(AV1282&lt;=0,0,BW1282*MAX(1,IF(H1282&gt;0,AV1282/H1282,1))),IF(R1282&gt;0,AW1282/R1282,0))/MAX(0.1,N(Parameter!$M$21)))</f>
        <v>0.0833333333333333</v>
      </c>
      <c r="AY1282" s="57" t="n">
        <f aca="false">AV1282*G1282</f>
        <v>208</v>
      </c>
      <c r="AZ1282" s="57" t="n">
        <f aca="false">ROUNDUP(MAX(J1282/IF(BZ1282&gt;0,BZ1282,MAX(0.1,N(Cockpit!$O$6))),CC1282)/BS1282,0)*BS1282</f>
        <v>4</v>
      </c>
      <c r="BA1282" s="58" t="n">
        <f aca="false">IF(AX1282&gt;0,J1282/AX1282,-1)</f>
        <v>0</v>
      </c>
      <c r="BB1282" s="58" t="n">
        <f aca="false">IF(AND(OR(BY1282="L1",BY1282="L23"),AX1282&gt;0),SUMIFS($AX$7:$AX$1843,$BY$7:$BY$1843,BY1282,$BA$7:$BA$1843,"&gt;"&amp;BA1282)+SUMIFS($AX$7:$AX$1843,$BY$7:$BY$1843,BY1282,$BA$7:$BA$1843,BA1282,$BQ$7:$BQ$1843,"&lt;="&amp;BQ1282),"")</f>
        <v>115.154116414986</v>
      </c>
      <c r="BC1282" s="65" t="n">
        <f aca="false">IF(BB1282="",0,MAX(0,MIN(1,(IF(BY1282="L1",Parameter!$E$5,Parameter!$E$6+Parameter!$E$7)-(BB1282-AX1282))/AX1282)))</f>
        <v>0</v>
      </c>
      <c r="BD1282" s="55" t="str">
        <f aca="false">IF(AH1282&lt;=0,"",IF(BY1282="Aussen","Aussenlager",IF(BY1282="-","Nicht im Lift",IF(AM1282&gt;=1,"Lift",IF(AM1282&lt;=0,"Aussenlager","teilweise")))))</f>
        <v/>
      </c>
      <c r="BE1282" s="55" t="str">
        <f aca="false">IF(AP1282&lt;=0,"",IF(BY1282="Aussen","Aussenlager",IF(BY1282="-","Nicht im Lift",IF(AU1282&gt;=1,"Lift",IF(AU1282&lt;=0,"Aussenlager","teilweise")))))</f>
        <v>Aussenlager</v>
      </c>
      <c r="BF1282" s="55" t="str">
        <f aca="false">IF(AX1282&lt;=0,"",IF(BY1282="Aussen","Aussenlager",IF(BY1282="-","Nicht im Lift",IF(BC1282&gt;=1,"Lift",IF(BC1282&lt;=0,"Aussenlager","teilweise")))))</f>
        <v>Aussenlager</v>
      </c>
      <c r="BG1282" s="55" t="str">
        <f aca="false">IF(A1282="","",IF(BP1282=1,"Neu; ","")&amp;IF(AND(BP1282=0,BK1282&lt;0),"negativer Bestand (Export "&amp;BK1282&amp;"); ","")&amp;IF(J1282&lt;=0,"Kein Verbrauch; ","")&amp;IF(CH1282&gt;0,"Lift "&amp;W1282&amp;" lt. Liftbericht (Fach "&amp;X1282&amp;" Stk); ",IF(BU1282=1,"Gebinde geschätzt ("&amp;T1282&amp;"); ",IF(BT1282=1,"Lose – Tablare geschätzt; ","")))&amp;IF(H1282&gt;AR1282,"Überbestand "&amp;ROUND(H1282-AR1282,0)&amp;" Stk / CHF "&amp;ROUND((H1282-AR1282)*G1282,0)&amp;"; ","")&amp;IF(AND(CA1282=1,CB1282&lt;CC1282),"MAX &lt; MB+LG; ","")&amp;IF(AND(CG1282&gt;0,CF1282*10&gt;CG1282),"zu hoch für Tablar; ","")&amp;IF(AND(BP1282=0,OR(CA1282=1,AA1282&lt;&gt;"",U1282&lt;&gt;"",V1282&lt;&gt;"",AB1282&lt;&gt;"")),"manuell übersteuert; ","")&amp;IF(AND(BT1282=0,R1282=0),"Gebinde unbekannt / Stellmass fehlt; ","")&amp;IF(AND(BT1282=0,N(V1282)&lt;=0,N(Q1282)&lt;=0),"Menge pro Gebinde fehlt (Ist = 1 Gebinde); ","")&amp;BO1282)</f>
        <v>negativer Bestand (Export -20); Kein Verbrauch; Gebinde geschätzt (Mittel); Menge pro Gebinde fehlt (Ist = 1 Gebinde); </v>
      </c>
      <c r="BH1282" s="55"/>
      <c r="BI1282" s="55"/>
      <c r="BJ1282" s="62"/>
      <c r="BK1282" s="57" t="n">
        <v>-20</v>
      </c>
      <c r="BL1282" s="57" t="n">
        <v>20</v>
      </c>
      <c r="BM1282" s="56" t="n">
        <v>-1040</v>
      </c>
      <c r="BN1282" s="57" t="n">
        <v>0</v>
      </c>
      <c r="BO1282" s="55"/>
      <c r="BP1282" s="60" t="n">
        <v>0</v>
      </c>
      <c r="BQ1282" s="60" t="n">
        <v>1282</v>
      </c>
      <c r="BR1282" s="55" t="str">
        <f aca="false">IF(U1282&lt;&gt;"",UPPER(TRIM(U1282)),IF(BU1282=1,UPPER(VLOOKUP(T1282,Parameter!$I$27:$K$29,2,0)),IF(P1282="","LOSE",P1282)))</f>
        <v>S61</v>
      </c>
      <c r="BS1282" s="57" t="n">
        <f aca="false">IF(BR1282="LOSE",1,IF(N(V1282)&gt;0,V1282,IF(BU1282=1,MAX(1,N(VLOOKUP(T1282,Parameter!$I$27:$K$29,3,0)),H1282,N(N1282)),IF(N(Q1282)&gt;0,Q1282,MAX(1,H1282)))))</f>
        <v>4</v>
      </c>
      <c r="BT1282" s="60" t="n">
        <f aca="false">IF(BR1282="LOSE",1,0)</f>
        <v>0</v>
      </c>
      <c r="BU1282" s="60" t="n">
        <f aca="false">IF(AND(U1282="",OR(P1282="",P1282="LOSE"),T1282&lt;&gt;"",N(S1282)&lt;=0,ISNUMBER(MATCH(T1282,Parameter!$I$27:$I$29,0))),1,0)</f>
        <v>1</v>
      </c>
      <c r="BV1282" s="55" t="str">
        <f aca="false">IF(AND(Parameter!$B$19="Ja",E1282&lt;&gt;"",ISNUMBER(MATCH(E1282,Parameter!$I$35:$I$52,0))),VLOOKUP(E1282,Parameter!$I$35:$J$52,2,0),IFERROR(VLOOKUP(D1282,Parameter!$A$35:$C$64,2,0),"Nein"))</f>
        <v>2+3</v>
      </c>
      <c r="BW1282" s="59" t="n">
        <f aca="false">IF(BT1282=0,0,IF(N(S1282)&gt;0,S1282,IFERROR(VLOOKUP(D1282,Parameter!$A$35:$C$64,3,0)+0,0)))</f>
        <v>0</v>
      </c>
      <c r="BX1282" s="55" t="n">
        <f aca="false">IF(AA1282&lt;&gt;"",AA1282,Z1282)</f>
        <v>2</v>
      </c>
      <c r="BY1282" s="55" t="str">
        <f aca="false">IF(BX1282=1,"L1",IF(OR(BX1282=2,BX1282=3),"L23",IF(BX1282="Aussen","Aussen","-")))</f>
        <v>L23</v>
      </c>
      <c r="BZ1282" s="66" t="n">
        <f aca="false">IF(N(AB1282)&gt;0,AB1282,0)</f>
        <v>0</v>
      </c>
      <c r="CA1282" s="60" t="n">
        <f aca="false">IF(ISNUMBER(AE1282),1,0)</f>
        <v>0</v>
      </c>
      <c r="CB1282" s="57" t="n">
        <f aca="false">N(AE1282)</f>
        <v>0</v>
      </c>
      <c r="CC1282" s="57" t="n">
        <f aca="false">N(M1282)+N(N1282)</f>
        <v>1</v>
      </c>
      <c r="CD1282" s="57" t="n">
        <f aca="false">ROUNDUP(H1282/BS1282,0)</f>
        <v>0</v>
      </c>
      <c r="CE1282" s="57" t="n">
        <f aca="false">ROUNDUP(CB1282/BS1282,0)</f>
        <v>0</v>
      </c>
      <c r="CF1282" s="60" t="n">
        <f aca="false">IF(BT1282=1,0,IFERROR(VLOOKUP(BR1282,'Gebinde-Kategorie'!$A$5:$M$45,5,0)+0,0))</f>
        <v>11</v>
      </c>
      <c r="CG1282" s="60" t="n">
        <f aca="false">IFERROR(IF(OR(BX1282=1,BX1282=2,BX1282=3),N(INDEX(Parameter!$I$5:$I$7,BX1282)),0),0)</f>
        <v>0</v>
      </c>
      <c r="CH1282" s="59" t="n">
        <f aca="false">IF(AND(Parameter!$B$21="Ja",ISNUMBER(W1282),N(X1282)&gt;0),IFERROR(N(INDEX(Parameter!$L$5:$L$7,W1282))*INDEX(Parameter!$E$5:$E$7,W1282)*X1282/SUMIFS($X$7:$X$1843,$W$7:$W$1843,W1282),0),0)</f>
        <v>0</v>
      </c>
    </row>
    <row r="1283" customFormat="false" ht="15" hidden="false" customHeight="false" outlineLevel="0" collapsed="false">
      <c r="A1283" s="55" t="s">
        <v>2290</v>
      </c>
      <c r="B1283" s="55" t="s">
        <v>2150</v>
      </c>
      <c r="C1283" s="55" t="s">
        <v>456</v>
      </c>
      <c r="D1283" s="55" t="s">
        <v>173</v>
      </c>
      <c r="E1283" s="55" t="s">
        <v>173</v>
      </c>
      <c r="F1283" s="55" t="s">
        <v>218</v>
      </c>
      <c r="G1283" s="56" t="n">
        <v>522</v>
      </c>
      <c r="H1283" s="57" t="n">
        <f aca="false">MAX(0,IF(AND(Parameter!$B$21="Ja",ISNUMBER(Y1283)),Y1283,IF(Parameter!$B$20="Jahresanfang 2025 + Export",BL1283+BK1283,BK1283)))</f>
        <v>0</v>
      </c>
      <c r="I1283" s="57" t="n">
        <f aca="false">H1283*G1283</f>
        <v>0</v>
      </c>
      <c r="J1283" s="57" t="n">
        <f aca="false">BN1283*Parameter!$B$18</f>
        <v>0</v>
      </c>
      <c r="K1283" s="58" t="n">
        <v>2</v>
      </c>
      <c r="L1283" s="59" t="n">
        <v>0</v>
      </c>
      <c r="M1283" s="57" t="n">
        <v>0</v>
      </c>
      <c r="N1283" s="57" t="n">
        <v>1</v>
      </c>
      <c r="O1283" s="60" t="n">
        <v>35</v>
      </c>
      <c r="P1283" s="55" t="s">
        <v>168</v>
      </c>
      <c r="Q1283" s="57"/>
      <c r="R1283" s="60" t="n">
        <f aca="false">IF(BT1283=1,0,IFERROR(VLOOKUP(BR1283,'Gebinde-Kategorie'!$A$5:$M$45,13,0)+0,0))</f>
        <v>12</v>
      </c>
      <c r="S1283" s="61"/>
      <c r="T1283" s="62" t="s">
        <v>179</v>
      </c>
      <c r="U1283" s="62"/>
      <c r="V1283" s="62"/>
      <c r="W1283" s="55"/>
      <c r="X1283" s="57"/>
      <c r="Y1283" s="57"/>
      <c r="Z1283" s="55" t="str">
        <f aca="false">IF(A1283="","",IF(AND(Parameter!$B$21="Ja",ISNUMBER(W1283)),W1283,IF(BV1283="2+3",IF(ISNUMBER(SEARCH("grosser Artikel",BO1283)),2,IFERROR(VLOOKUP(BR1283,Parameter!$F$35:$G$64,2,0),2)),IF(OR(BV1283="Nein",BV1283=""),"-",BV1283))))</f>
        <v>-</v>
      </c>
      <c r="AA1283" s="62"/>
      <c r="AB1283" s="63"/>
      <c r="AC1283" s="57" t="n">
        <f aca="false">AR1283</f>
        <v>4</v>
      </c>
      <c r="AD1283" s="57" t="n">
        <f aca="false">MAX(AR1283,H1283)</f>
        <v>4</v>
      </c>
      <c r="AE1283" s="64"/>
      <c r="AF1283" s="57" t="n">
        <f aca="false">IF(LEFT(Cockpit!$C$5,1)="A",H1283,IF(CA1283=1,CB1283,IF(LEFT(Cockpit!$C$5,1)="B",AJ1283,MAX(AJ1283,H1283))))</f>
        <v>0</v>
      </c>
      <c r="AG1283" s="57" t="n">
        <f aca="false">IF(BT1283=1,0,ROUNDUP(AF1283/BS1283,0))</f>
        <v>0</v>
      </c>
      <c r="AH1283" s="59" t="n">
        <f aca="false">IF(CH1283&gt;0,CH1283*MAX(1,AF1283/X1283),IF(BT1283=1,IF(AF1283&lt;=0,0,BW1283*MAX(1,IF(H1283&gt;0,AF1283/H1283,1))),IF(R1283&gt;0,AG1283/R1283,0))/MAX(0.1,N(Parameter!$M$21)))</f>
        <v>0</v>
      </c>
      <c r="AI1283" s="57" t="n">
        <f aca="false">AF1283*G1283</f>
        <v>0</v>
      </c>
      <c r="AJ1283" s="57" t="n">
        <f aca="false">ROUNDUP(MAX(J1283/IF(BZ1283&gt;0,BZ1283,MAX(0.1,N(Cockpit!$C$6))),CC1283)/BS1283,0)*BS1283</f>
        <v>4</v>
      </c>
      <c r="AK1283" s="58" t="n">
        <f aca="false">IF(AH1283&gt;0,J1283/AH1283,-1)</f>
        <v>-1</v>
      </c>
      <c r="AL1283" s="58" t="str">
        <f aca="false">IF(AND(OR(BY1283="L1",BY1283="L23"),AH1283&gt;0),SUMIFS($AH$7:$AH$1843,$BY$7:$BY$1843,BY1283,$AK$7:$AK$1843,"&gt;"&amp;AK1283)+SUMIFS($AH$7:$AH$1843,$BY$7:$BY$1843,BY1283,$AK$7:$AK$1843,AK1283,$BQ$7:$BQ$1843,"&lt;="&amp;BQ1283),"")</f>
        <v/>
      </c>
      <c r="AM1283" s="65" t="n">
        <f aca="false">IF(AL1283="",0,MAX(0,MIN(1,(IF(BY1283="L1",Parameter!$E$5,Parameter!$E$6+Parameter!$E$7)-(AL1283-AH1283))/AH1283)))</f>
        <v>0</v>
      </c>
      <c r="AN1283" s="57" t="n">
        <f aca="false">IF(LEFT(Cockpit!$I$5,1)="A",H1283,IF(CA1283=1,CB1283,IF(LEFT(Cockpit!$I$5,1)="B",AR1283,MAX(AR1283,H1283))))</f>
        <v>4</v>
      </c>
      <c r="AO1283" s="57" t="n">
        <f aca="false">IF(BT1283=1,0,ROUNDUP(AN1283/BS1283,0))</f>
        <v>1</v>
      </c>
      <c r="AP1283" s="59" t="n">
        <f aca="false">IF(CH1283&gt;0,CH1283*MAX(1,AN1283/X1283),IF(BT1283=1,IF(AN1283&lt;=0,0,BW1283*MAX(1,IF(H1283&gt;0,AN1283/H1283,1))),IF(R1283&gt;0,AO1283/R1283,0))/MAX(0.1,N(Parameter!$M$21)))</f>
        <v>0.0833333333333333</v>
      </c>
      <c r="AQ1283" s="57" t="n">
        <f aca="false">AN1283*G1283</f>
        <v>2088</v>
      </c>
      <c r="AR1283" s="57" t="n">
        <f aca="false">ROUNDUP(MAX(J1283/IF(BZ1283&gt;0,BZ1283,MAX(0.1,N(Cockpit!$I$6))),CC1283)/BS1283,0)*BS1283</f>
        <v>4</v>
      </c>
      <c r="AS1283" s="58" t="n">
        <f aca="false">IF(AP1283&gt;0,J1283/AP1283,-1)</f>
        <v>0</v>
      </c>
      <c r="AT1283" s="58" t="str">
        <f aca="false">IF(AND(OR(BY1283="L1",BY1283="L23"),AP1283&gt;0),SUMIFS($AP$7:$AP$1843,$BY$7:$BY$1843,BY1283,$AS$7:$AS$1843,"&gt;"&amp;AS1283)+SUMIFS($AP$7:$AP$1843,$BY$7:$BY$1843,BY1283,$AS$7:$AS$1843,AS1283,$BQ$7:$BQ$1843,"&lt;="&amp;BQ1283),"")</f>
        <v/>
      </c>
      <c r="AU1283" s="65" t="n">
        <f aca="false">IF(AT1283="",0,MAX(0,MIN(1,(IF(BY1283="L1",Parameter!$E$5,Parameter!$E$6+Parameter!$E$7)-(AT1283-AP1283))/AP1283)))</f>
        <v>0</v>
      </c>
      <c r="AV1283" s="57" t="n">
        <f aca="false">IF(LEFT(Cockpit!$O$5,1)="A",H1283,IF(CA1283=1,CB1283,IF(LEFT(Cockpit!$O$5,1)="B",AZ1283,MAX(AZ1283,H1283))))</f>
        <v>4</v>
      </c>
      <c r="AW1283" s="57" t="n">
        <f aca="false">IF(BT1283=1,0,ROUNDUP(AV1283/BS1283,0))</f>
        <v>1</v>
      </c>
      <c r="AX1283" s="59" t="n">
        <f aca="false">IF(CH1283&gt;0,CH1283*MAX(1,AV1283/X1283),IF(BT1283=1,IF(AV1283&lt;=0,0,BW1283*MAX(1,IF(H1283&gt;0,AV1283/H1283,1))),IF(R1283&gt;0,AW1283/R1283,0))/MAX(0.1,N(Parameter!$M$21)))</f>
        <v>0.0833333333333333</v>
      </c>
      <c r="AY1283" s="57" t="n">
        <f aca="false">AV1283*G1283</f>
        <v>2088</v>
      </c>
      <c r="AZ1283" s="57" t="n">
        <f aca="false">ROUNDUP(MAX(J1283/IF(BZ1283&gt;0,BZ1283,MAX(0.1,N(Cockpit!$O$6))),CC1283)/BS1283,0)*BS1283</f>
        <v>4</v>
      </c>
      <c r="BA1283" s="58" t="n">
        <f aca="false">IF(AX1283&gt;0,J1283/AX1283,-1)</f>
        <v>0</v>
      </c>
      <c r="BB1283" s="58" t="str">
        <f aca="false">IF(AND(OR(BY1283="L1",BY1283="L23"),AX1283&gt;0),SUMIFS($AX$7:$AX$1843,$BY$7:$BY$1843,BY1283,$BA$7:$BA$1843,"&gt;"&amp;BA1283)+SUMIFS($AX$7:$AX$1843,$BY$7:$BY$1843,BY1283,$BA$7:$BA$1843,BA1283,$BQ$7:$BQ$1843,"&lt;="&amp;BQ1283),"")</f>
        <v/>
      </c>
      <c r="BC1283" s="65" t="n">
        <f aca="false">IF(BB1283="",0,MAX(0,MIN(1,(IF(BY1283="L1",Parameter!$E$5,Parameter!$E$6+Parameter!$E$7)-(BB1283-AX1283))/AX1283)))</f>
        <v>0</v>
      </c>
      <c r="BD1283" s="55" t="str">
        <f aca="false">IF(AH1283&lt;=0,"",IF(BY1283="Aussen","Aussenlager",IF(BY1283="-","Nicht im Lift",IF(AM1283&gt;=1,"Lift",IF(AM1283&lt;=0,"Aussenlager","teilweise")))))</f>
        <v/>
      </c>
      <c r="BE1283" s="55" t="str">
        <f aca="false">IF(AP1283&lt;=0,"",IF(BY1283="Aussen","Aussenlager",IF(BY1283="-","Nicht im Lift",IF(AU1283&gt;=1,"Lift",IF(AU1283&lt;=0,"Aussenlager","teilweise")))))</f>
        <v>Nicht im Lift</v>
      </c>
      <c r="BF1283" s="55" t="str">
        <f aca="false">IF(AX1283&lt;=0,"",IF(BY1283="Aussen","Aussenlager",IF(BY1283="-","Nicht im Lift",IF(BC1283&gt;=1,"Lift",IF(BC1283&lt;=0,"Aussenlager","teilweise")))))</f>
        <v>Nicht im Lift</v>
      </c>
      <c r="BG1283" s="55" t="str">
        <f aca="false">IF(A1283="","",IF(BP1283=1,"Neu; ","")&amp;IF(AND(BP1283=0,BK1283&lt;0),"negativer Bestand (Export "&amp;BK1283&amp;"); ","")&amp;IF(J1283&lt;=0,"Kein Verbrauch; ","")&amp;IF(CH1283&gt;0,"Lift "&amp;W1283&amp;" lt. Liftbericht (Fach "&amp;X1283&amp;" Stk); ",IF(BU1283=1,"Gebinde geschätzt ("&amp;T1283&amp;"); ",IF(BT1283=1,"Lose – Tablare geschätzt; ","")))&amp;IF(H1283&gt;AR1283,"Überbestand "&amp;ROUND(H1283-AR1283,0)&amp;" Stk / CHF "&amp;ROUND((H1283-AR1283)*G1283,0)&amp;"; ","")&amp;IF(AND(CA1283=1,CB1283&lt;CC1283),"MAX &lt; MB+LG; ","")&amp;IF(AND(CG1283&gt;0,CF1283*10&gt;CG1283),"zu hoch für Tablar; ","")&amp;IF(AND(BP1283=0,OR(CA1283=1,AA1283&lt;&gt;"",U1283&lt;&gt;"",V1283&lt;&gt;"",AB1283&lt;&gt;"")),"manuell übersteuert; ","")&amp;IF(AND(BT1283=0,R1283=0),"Gebinde unbekannt / Stellmass fehlt; ","")&amp;IF(AND(BT1283=0,N(V1283)&lt;=0,N(Q1283)&lt;=0),"Menge pro Gebinde fehlt (Ist = 1 Gebinde); ","")&amp;BO1283)</f>
        <v>negativer Bestand (Export -2); Kein Verbrauch; Gebinde geschätzt (Mittel); Menge pro Gebinde fehlt (Ist = 1 Gebinde); </v>
      </c>
      <c r="BH1283" s="55"/>
      <c r="BI1283" s="55"/>
      <c r="BJ1283" s="62"/>
      <c r="BK1283" s="57" t="n">
        <v>-2</v>
      </c>
      <c r="BL1283" s="57" t="n">
        <v>2</v>
      </c>
      <c r="BM1283" s="56" t="n">
        <v>-1044</v>
      </c>
      <c r="BN1283" s="57" t="n">
        <v>0</v>
      </c>
      <c r="BO1283" s="55"/>
      <c r="BP1283" s="60" t="n">
        <v>0</v>
      </c>
      <c r="BQ1283" s="60" t="n">
        <v>1283</v>
      </c>
      <c r="BR1283" s="55" t="str">
        <f aca="false">IF(U1283&lt;&gt;"",UPPER(TRIM(U1283)),IF(BU1283=1,UPPER(VLOOKUP(T1283,Parameter!$I$27:$K$29,2,0)),IF(P1283="","LOSE",P1283)))</f>
        <v>S61</v>
      </c>
      <c r="BS1283" s="57" t="n">
        <f aca="false">IF(BR1283="LOSE",1,IF(N(V1283)&gt;0,V1283,IF(BU1283=1,MAX(1,N(VLOOKUP(T1283,Parameter!$I$27:$K$29,3,0)),H1283,N(N1283)),IF(N(Q1283)&gt;0,Q1283,MAX(1,H1283)))))</f>
        <v>4</v>
      </c>
      <c r="BT1283" s="60" t="n">
        <f aca="false">IF(BR1283="LOSE",1,0)</f>
        <v>0</v>
      </c>
      <c r="BU1283" s="60" t="n">
        <f aca="false">IF(AND(U1283="",OR(P1283="",P1283="LOSE"),T1283&lt;&gt;"",N(S1283)&lt;=0,ISNUMBER(MATCH(T1283,Parameter!$I$27:$I$29,0))),1,0)</f>
        <v>1</v>
      </c>
      <c r="BV1283" s="55" t="str">
        <f aca="false">IF(AND(Parameter!$B$19="Ja",E1283&lt;&gt;"",ISNUMBER(MATCH(E1283,Parameter!$I$35:$I$52,0))),VLOOKUP(E1283,Parameter!$I$35:$J$52,2,0),IFERROR(VLOOKUP(D1283,Parameter!$A$35:$C$64,2,0),"Nein"))</f>
        <v>Nein</v>
      </c>
      <c r="BW1283" s="59" t="n">
        <f aca="false">IF(BT1283=0,0,IF(N(S1283)&gt;0,S1283,IFERROR(VLOOKUP(D1283,Parameter!$A$35:$C$64,3,0)+0,0)))</f>
        <v>0</v>
      </c>
      <c r="BX1283" s="55" t="str">
        <f aca="false">IF(AA1283&lt;&gt;"",AA1283,Z1283)</f>
        <v>-</v>
      </c>
      <c r="BY1283" s="55" t="str">
        <f aca="false">IF(BX1283=1,"L1",IF(OR(BX1283=2,BX1283=3),"L23",IF(BX1283="Aussen","Aussen","-")))</f>
        <v>-</v>
      </c>
      <c r="BZ1283" s="66" t="n">
        <f aca="false">IF(N(AB1283)&gt;0,AB1283,0)</f>
        <v>0</v>
      </c>
      <c r="CA1283" s="60" t="n">
        <f aca="false">IF(ISNUMBER(AE1283),1,0)</f>
        <v>0</v>
      </c>
      <c r="CB1283" s="57" t="n">
        <f aca="false">N(AE1283)</f>
        <v>0</v>
      </c>
      <c r="CC1283" s="57" t="n">
        <f aca="false">N(M1283)+N(N1283)</f>
        <v>1</v>
      </c>
      <c r="CD1283" s="57" t="n">
        <f aca="false">ROUNDUP(H1283/BS1283,0)</f>
        <v>0</v>
      </c>
      <c r="CE1283" s="57" t="n">
        <f aca="false">ROUNDUP(CB1283/BS1283,0)</f>
        <v>0</v>
      </c>
      <c r="CF1283" s="60" t="n">
        <f aca="false">IF(BT1283=1,0,IFERROR(VLOOKUP(BR1283,'Gebinde-Kategorie'!$A$5:$M$45,5,0)+0,0))</f>
        <v>11</v>
      </c>
      <c r="CG1283" s="60" t="n">
        <f aca="false">IFERROR(IF(OR(BX1283=1,BX1283=2,BX1283=3),N(INDEX(Parameter!$I$5:$I$7,BX1283)),0),0)</f>
        <v>0</v>
      </c>
      <c r="CH1283" s="59" t="n">
        <f aca="false">IF(AND(Parameter!$B$21="Ja",ISNUMBER(W1283),N(X1283)&gt;0),IFERROR(N(INDEX(Parameter!$L$5:$L$7,W1283))*INDEX(Parameter!$E$5:$E$7,W1283)*X1283/SUMIFS($X$7:$X$1843,$W$7:$W$1843,W1283),0),0)</f>
        <v>0</v>
      </c>
    </row>
    <row r="1284" customFormat="false" ht="15" hidden="false" customHeight="false" outlineLevel="0" collapsed="false">
      <c r="A1284" s="55" t="s">
        <v>2291</v>
      </c>
      <c r="B1284" s="55" t="s">
        <v>206</v>
      </c>
      <c r="C1284" s="55" t="s">
        <v>456</v>
      </c>
      <c r="D1284" s="55" t="s">
        <v>353</v>
      </c>
      <c r="E1284" s="55"/>
      <c r="F1284" s="55" t="s">
        <v>218</v>
      </c>
      <c r="G1284" s="56" t="n">
        <v>548</v>
      </c>
      <c r="H1284" s="57" t="n">
        <f aca="false">MAX(0,IF(AND(Parameter!$B$21="Ja",ISNUMBER(Y1284)),Y1284,IF(Parameter!$B$20="Jahresanfang 2025 + Export",BL1284+BK1284,BK1284)))</f>
        <v>0</v>
      </c>
      <c r="I1284" s="57" t="n">
        <f aca="false">H1284*G1284</f>
        <v>0</v>
      </c>
      <c r="J1284" s="57" t="n">
        <f aca="false">BN1284*Parameter!$B$18</f>
        <v>0</v>
      </c>
      <c r="K1284" s="58" t="n">
        <v>1</v>
      </c>
      <c r="L1284" s="59" t="n">
        <v>0</v>
      </c>
      <c r="M1284" s="57" t="n">
        <v>0</v>
      </c>
      <c r="N1284" s="57" t="n">
        <v>1</v>
      </c>
      <c r="O1284" s="60" t="n">
        <v>0</v>
      </c>
      <c r="P1284" s="55" t="s">
        <v>168</v>
      </c>
      <c r="Q1284" s="57"/>
      <c r="R1284" s="60" t="n">
        <f aca="false">IF(BT1284=1,0,IFERROR(VLOOKUP(BR1284,'Gebinde-Kategorie'!$A$5:$M$45,13,0)+0,0))</f>
        <v>0</v>
      </c>
      <c r="S1284" s="61"/>
      <c r="T1284" s="62"/>
      <c r="U1284" s="62"/>
      <c r="V1284" s="62"/>
      <c r="W1284" s="55"/>
      <c r="X1284" s="57"/>
      <c r="Y1284" s="57"/>
      <c r="Z1284" s="55" t="str">
        <f aca="false">IF(A1284="","",IF(AND(Parameter!$B$21="Ja",ISNUMBER(W1284)),W1284,IF(BV1284="2+3",IF(ISNUMBER(SEARCH("grosser Artikel",BO1284)),2,IFERROR(VLOOKUP(BR1284,Parameter!$F$35:$G$64,2,0),2)),IF(OR(BV1284="Nein",BV1284=""),"-",BV1284))))</f>
        <v>-</v>
      </c>
      <c r="AA1284" s="62"/>
      <c r="AB1284" s="63"/>
      <c r="AC1284" s="57" t="n">
        <f aca="false">AR1284</f>
        <v>1</v>
      </c>
      <c r="AD1284" s="57" t="n">
        <f aca="false">MAX(AR1284,H1284)</f>
        <v>1</v>
      </c>
      <c r="AE1284" s="64"/>
      <c r="AF1284" s="57" t="n">
        <f aca="false">IF(LEFT(Cockpit!$C$5,1)="A",H1284,IF(CA1284=1,CB1284,IF(LEFT(Cockpit!$C$5,1)="B",AJ1284,MAX(AJ1284,H1284))))</f>
        <v>0</v>
      </c>
      <c r="AG1284" s="57" t="n">
        <f aca="false">IF(BT1284=1,0,ROUNDUP(AF1284/BS1284,0))</f>
        <v>0</v>
      </c>
      <c r="AH1284" s="59" t="n">
        <f aca="false">IF(CH1284&gt;0,CH1284*MAX(1,AF1284/X1284),IF(BT1284=1,IF(AF1284&lt;=0,0,BW1284*MAX(1,IF(H1284&gt;0,AF1284/H1284,1))),IF(R1284&gt;0,AG1284/R1284,0))/MAX(0.1,N(Parameter!$M$21)))</f>
        <v>0</v>
      </c>
      <c r="AI1284" s="57" t="n">
        <f aca="false">AF1284*G1284</f>
        <v>0</v>
      </c>
      <c r="AJ1284" s="57" t="n">
        <f aca="false">ROUNDUP(MAX(J1284/IF(BZ1284&gt;0,BZ1284,MAX(0.1,N(Cockpit!$C$6))),CC1284)/BS1284,0)*BS1284</f>
        <v>1</v>
      </c>
      <c r="AK1284" s="58" t="n">
        <f aca="false">IF(AH1284&gt;0,J1284/AH1284,-1)</f>
        <v>-1</v>
      </c>
      <c r="AL1284" s="58" t="str">
        <f aca="false">IF(AND(OR(BY1284="L1",BY1284="L23"),AH1284&gt;0),SUMIFS($AH$7:$AH$1843,$BY$7:$BY$1843,BY1284,$AK$7:$AK$1843,"&gt;"&amp;AK1284)+SUMIFS($AH$7:$AH$1843,$BY$7:$BY$1843,BY1284,$AK$7:$AK$1843,AK1284,$BQ$7:$BQ$1843,"&lt;="&amp;BQ1284),"")</f>
        <v/>
      </c>
      <c r="AM1284" s="65" t="n">
        <f aca="false">IF(AL1284="",0,MAX(0,MIN(1,(IF(BY1284="L1",Parameter!$E$5,Parameter!$E$6+Parameter!$E$7)-(AL1284-AH1284))/AH1284)))</f>
        <v>0</v>
      </c>
      <c r="AN1284" s="57" t="n">
        <f aca="false">IF(LEFT(Cockpit!$I$5,1)="A",H1284,IF(CA1284=1,CB1284,IF(LEFT(Cockpit!$I$5,1)="B",AR1284,MAX(AR1284,H1284))))</f>
        <v>1</v>
      </c>
      <c r="AO1284" s="57" t="n">
        <f aca="false">IF(BT1284=1,0,ROUNDUP(AN1284/BS1284,0))</f>
        <v>0</v>
      </c>
      <c r="AP1284" s="59" t="n">
        <f aca="false">IF(CH1284&gt;0,CH1284*MAX(1,AN1284/X1284),IF(BT1284=1,IF(AN1284&lt;=0,0,BW1284*MAX(1,IF(H1284&gt;0,AN1284/H1284,1))),IF(R1284&gt;0,AO1284/R1284,0))/MAX(0.1,N(Parameter!$M$21)))</f>
        <v>0.15</v>
      </c>
      <c r="AQ1284" s="57" t="n">
        <f aca="false">AN1284*G1284</f>
        <v>548</v>
      </c>
      <c r="AR1284" s="57" t="n">
        <f aca="false">ROUNDUP(MAX(J1284/IF(BZ1284&gt;0,BZ1284,MAX(0.1,N(Cockpit!$I$6))),CC1284)/BS1284,0)*BS1284</f>
        <v>1</v>
      </c>
      <c r="AS1284" s="58" t="n">
        <f aca="false">IF(AP1284&gt;0,J1284/AP1284,-1)</f>
        <v>0</v>
      </c>
      <c r="AT1284" s="58" t="str">
        <f aca="false">IF(AND(OR(BY1284="L1",BY1284="L23"),AP1284&gt;0),SUMIFS($AP$7:$AP$1843,$BY$7:$BY$1843,BY1284,$AS$7:$AS$1843,"&gt;"&amp;AS1284)+SUMIFS($AP$7:$AP$1843,$BY$7:$BY$1843,BY1284,$AS$7:$AS$1843,AS1284,$BQ$7:$BQ$1843,"&lt;="&amp;BQ1284),"")</f>
        <v/>
      </c>
      <c r="AU1284" s="65" t="n">
        <f aca="false">IF(AT1284="",0,MAX(0,MIN(1,(IF(BY1284="L1",Parameter!$E$5,Parameter!$E$6+Parameter!$E$7)-(AT1284-AP1284))/AP1284)))</f>
        <v>0</v>
      </c>
      <c r="AV1284" s="57" t="n">
        <f aca="false">IF(LEFT(Cockpit!$O$5,1)="A",H1284,IF(CA1284=1,CB1284,IF(LEFT(Cockpit!$O$5,1)="B",AZ1284,MAX(AZ1284,H1284))))</f>
        <v>1</v>
      </c>
      <c r="AW1284" s="57" t="n">
        <f aca="false">IF(BT1284=1,0,ROUNDUP(AV1284/BS1284,0))</f>
        <v>0</v>
      </c>
      <c r="AX1284" s="59" t="n">
        <f aca="false">IF(CH1284&gt;0,CH1284*MAX(1,AV1284/X1284),IF(BT1284=1,IF(AV1284&lt;=0,0,BW1284*MAX(1,IF(H1284&gt;0,AV1284/H1284,1))),IF(R1284&gt;0,AW1284/R1284,0))/MAX(0.1,N(Parameter!$M$21)))</f>
        <v>0.15</v>
      </c>
      <c r="AY1284" s="57" t="n">
        <f aca="false">AV1284*G1284</f>
        <v>548</v>
      </c>
      <c r="AZ1284" s="57" t="n">
        <f aca="false">ROUNDUP(MAX(J1284/IF(BZ1284&gt;0,BZ1284,MAX(0.1,N(Cockpit!$O$6))),CC1284)/BS1284,0)*BS1284</f>
        <v>1</v>
      </c>
      <c r="BA1284" s="58" t="n">
        <f aca="false">IF(AX1284&gt;0,J1284/AX1284,-1)</f>
        <v>0</v>
      </c>
      <c r="BB1284" s="58" t="str">
        <f aca="false">IF(AND(OR(BY1284="L1",BY1284="L23"),AX1284&gt;0),SUMIFS($AX$7:$AX$1843,$BY$7:$BY$1843,BY1284,$BA$7:$BA$1843,"&gt;"&amp;BA1284)+SUMIFS($AX$7:$AX$1843,$BY$7:$BY$1843,BY1284,$BA$7:$BA$1843,BA1284,$BQ$7:$BQ$1843,"&lt;="&amp;BQ1284),"")</f>
        <v/>
      </c>
      <c r="BC1284" s="65" t="n">
        <f aca="false">IF(BB1284="",0,MAX(0,MIN(1,(IF(BY1284="L1",Parameter!$E$5,Parameter!$E$6+Parameter!$E$7)-(BB1284-AX1284))/AX1284)))</f>
        <v>0</v>
      </c>
      <c r="BD1284" s="55" t="str">
        <f aca="false">IF(AH1284&lt;=0,"",IF(BY1284="Aussen","Aussenlager",IF(BY1284="-","Nicht im Lift",IF(AM1284&gt;=1,"Lift",IF(AM1284&lt;=0,"Aussenlager","teilweise")))))</f>
        <v/>
      </c>
      <c r="BE1284" s="55" t="str">
        <f aca="false">IF(AP1284&lt;=0,"",IF(BY1284="Aussen","Aussenlager",IF(BY1284="-","Nicht im Lift",IF(AU1284&gt;=1,"Lift",IF(AU1284&lt;=0,"Aussenlager","teilweise")))))</f>
        <v>Nicht im Lift</v>
      </c>
      <c r="BF1284" s="55" t="str">
        <f aca="false">IF(AX1284&lt;=0,"",IF(BY1284="Aussen","Aussenlager",IF(BY1284="-","Nicht im Lift",IF(BC1284&gt;=1,"Lift",IF(BC1284&lt;=0,"Aussenlager","teilweise")))))</f>
        <v>Nicht im Lift</v>
      </c>
      <c r="BG1284" s="55" t="str">
        <f aca="false">IF(A1284="","",IF(BP1284=1,"Neu; ","")&amp;IF(AND(BP1284=0,BK1284&lt;0),"negativer Bestand (Export "&amp;BK1284&amp;"); ","")&amp;IF(J1284&lt;=0,"Kein Verbrauch; ","")&amp;IF(CH1284&gt;0,"Lift "&amp;W1284&amp;" lt. Liftbericht (Fach "&amp;X1284&amp;" Stk); ",IF(BU1284=1,"Gebinde geschätzt ("&amp;T1284&amp;"); ",IF(BT1284=1,"Lose – Tablare geschätzt; ","")))&amp;IF(H1284&gt;AR1284,"Überbestand "&amp;ROUND(H1284-AR1284,0)&amp;" Stk / CHF "&amp;ROUND((H1284-AR1284)*G1284,0)&amp;"; ","")&amp;IF(AND(CA1284=1,CB1284&lt;CC1284),"MAX &lt; MB+LG; ","")&amp;IF(AND(CG1284&gt;0,CF1284*10&gt;CG1284),"zu hoch für Tablar; ","")&amp;IF(AND(BP1284=0,OR(CA1284=1,AA1284&lt;&gt;"",U1284&lt;&gt;"",V1284&lt;&gt;"",AB1284&lt;&gt;"")),"manuell übersteuert; ","")&amp;IF(AND(BT1284=0,R1284=0),"Gebinde unbekannt / Stellmass fehlt; ","")&amp;IF(AND(BT1284=0,N(V1284)&lt;=0,N(Q1284)&lt;=0),"Menge pro Gebinde fehlt (Ist = 1 Gebinde); ","")&amp;BO1284)</f>
        <v>negativer Bestand (Export -2); Kein Verbrauch; Lose – Tablare geschätzt; </v>
      </c>
      <c r="BH1284" s="55"/>
      <c r="BI1284" s="55"/>
      <c r="BJ1284" s="62"/>
      <c r="BK1284" s="57" t="n">
        <v>-2</v>
      </c>
      <c r="BL1284" s="57" t="n">
        <v>2</v>
      </c>
      <c r="BM1284" s="56" t="n">
        <v>-1096</v>
      </c>
      <c r="BN1284" s="57" t="n">
        <v>0</v>
      </c>
      <c r="BO1284" s="55"/>
      <c r="BP1284" s="60" t="n">
        <v>0</v>
      </c>
      <c r="BQ1284" s="60" t="n">
        <v>1284</v>
      </c>
      <c r="BR1284" s="55" t="str">
        <f aca="false">IF(U1284&lt;&gt;"",UPPER(TRIM(U1284)),IF(BU1284=1,UPPER(VLOOKUP(T1284,Parameter!$I$27:$K$29,2,0)),IF(P1284="","LOSE",P1284)))</f>
        <v>LOSE</v>
      </c>
      <c r="BS1284" s="57" t="n">
        <f aca="false">IF(BR1284="LOSE",1,IF(N(V1284)&gt;0,V1284,IF(BU1284=1,MAX(1,N(VLOOKUP(T1284,Parameter!$I$27:$K$29,3,0)),H1284,N(N1284)),IF(N(Q1284)&gt;0,Q1284,MAX(1,H1284)))))</f>
        <v>1</v>
      </c>
      <c r="BT1284" s="60" t="n">
        <f aca="false">IF(BR1284="LOSE",1,0)</f>
        <v>1</v>
      </c>
      <c r="BU1284" s="60" t="n">
        <f aca="false">IF(AND(U1284="",OR(P1284="",P1284="LOSE"),T1284&lt;&gt;"",N(S1284)&lt;=0,ISNUMBER(MATCH(T1284,Parameter!$I$27:$I$29,0))),1,0)</f>
        <v>0</v>
      </c>
      <c r="BV1284" s="55" t="str">
        <f aca="false">IF(AND(Parameter!$B$19="Ja",E1284&lt;&gt;"",ISNUMBER(MATCH(E1284,Parameter!$I$35:$I$52,0))),VLOOKUP(E1284,Parameter!$I$35:$J$52,2,0),IFERROR(VLOOKUP(D1284,Parameter!$A$35:$C$64,2,0),"Nein"))</f>
        <v>Nein</v>
      </c>
      <c r="BW1284" s="59" t="n">
        <f aca="false">IF(BT1284=0,0,IF(N(S1284)&gt;0,S1284,IFERROR(VLOOKUP(D1284,Parameter!$A$35:$C$64,3,0)+0,0)))</f>
        <v>0.15</v>
      </c>
      <c r="BX1284" s="55" t="str">
        <f aca="false">IF(AA1284&lt;&gt;"",AA1284,Z1284)</f>
        <v>-</v>
      </c>
      <c r="BY1284" s="55" t="str">
        <f aca="false">IF(BX1284=1,"L1",IF(OR(BX1284=2,BX1284=3),"L23",IF(BX1284="Aussen","Aussen","-")))</f>
        <v>-</v>
      </c>
      <c r="BZ1284" s="66" t="n">
        <f aca="false">IF(N(AB1284)&gt;0,AB1284,0)</f>
        <v>0</v>
      </c>
      <c r="CA1284" s="60" t="n">
        <f aca="false">IF(ISNUMBER(AE1284),1,0)</f>
        <v>0</v>
      </c>
      <c r="CB1284" s="57" t="n">
        <f aca="false">N(AE1284)</f>
        <v>0</v>
      </c>
      <c r="CC1284" s="57" t="n">
        <f aca="false">N(M1284)+N(N1284)</f>
        <v>1</v>
      </c>
      <c r="CD1284" s="57" t="n">
        <f aca="false">ROUNDUP(H1284/BS1284,0)</f>
        <v>0</v>
      </c>
      <c r="CE1284" s="57" t="n">
        <f aca="false">ROUNDUP(CB1284/BS1284,0)</f>
        <v>0</v>
      </c>
      <c r="CF1284" s="60" t="n">
        <f aca="false">IF(BT1284=1,0,IFERROR(VLOOKUP(BR1284,'Gebinde-Kategorie'!$A$5:$M$45,5,0)+0,0))</f>
        <v>0</v>
      </c>
      <c r="CG1284" s="60" t="n">
        <f aca="false">IFERROR(IF(OR(BX1284=1,BX1284=2,BX1284=3),N(INDEX(Parameter!$I$5:$I$7,BX1284)),0),0)</f>
        <v>0</v>
      </c>
      <c r="CH1284" s="59" t="n">
        <f aca="false">IF(AND(Parameter!$B$21="Ja",ISNUMBER(W1284),N(X1284)&gt;0),IFERROR(N(INDEX(Parameter!$L$5:$L$7,W1284))*INDEX(Parameter!$E$5:$E$7,W1284)*X1284/SUMIFS($X$7:$X$1843,$W$7:$W$1843,W1284),0),0)</f>
        <v>0</v>
      </c>
    </row>
    <row r="1285" customFormat="false" ht="15" hidden="false" customHeight="false" outlineLevel="0" collapsed="false">
      <c r="A1285" s="55" t="s">
        <v>2292</v>
      </c>
      <c r="B1285" s="55" t="s">
        <v>2293</v>
      </c>
      <c r="C1285" s="55" t="s">
        <v>164</v>
      </c>
      <c r="D1285" s="55" t="s">
        <v>184</v>
      </c>
      <c r="E1285" s="55" t="s">
        <v>185</v>
      </c>
      <c r="F1285" s="55" t="s">
        <v>218</v>
      </c>
      <c r="G1285" s="56" t="n">
        <v>114.41</v>
      </c>
      <c r="H1285" s="57" t="n">
        <f aca="false">MAX(0,IF(AND(Parameter!$B$21="Ja",ISNUMBER(Y1285)),Y1285,IF(Parameter!$B$20="Jahresanfang 2025 + Export",BL1285+BK1285,BK1285)))</f>
        <v>2</v>
      </c>
      <c r="I1285" s="57" t="n">
        <f aca="false">H1285*G1285</f>
        <v>228.82</v>
      </c>
      <c r="J1285" s="57" t="n">
        <f aca="false">BN1285*Parameter!$B$18</f>
        <v>5</v>
      </c>
      <c r="K1285" s="58" t="n">
        <v>11.5</v>
      </c>
      <c r="L1285" s="59" t="n">
        <v>0.434782608695652</v>
      </c>
      <c r="M1285" s="57" t="n">
        <v>0</v>
      </c>
      <c r="N1285" s="57" t="n">
        <v>5</v>
      </c>
      <c r="O1285" s="60" t="n">
        <v>56</v>
      </c>
      <c r="P1285" s="55" t="s">
        <v>421</v>
      </c>
      <c r="Q1285" s="57" t="n">
        <v>8</v>
      </c>
      <c r="R1285" s="60" t="n">
        <f aca="false">IF(BT1285=1,0,IFERROR(VLOOKUP(BR1285,'Gebinde-Kategorie'!$A$5:$M$45,13,0)+0,0))</f>
        <v>132</v>
      </c>
      <c r="S1285" s="61"/>
      <c r="T1285" s="62"/>
      <c r="U1285" s="62"/>
      <c r="V1285" s="62"/>
      <c r="W1285" s="55"/>
      <c r="X1285" s="57"/>
      <c r="Y1285" s="57"/>
      <c r="Z1285" s="55" t="n">
        <f aca="false">IF(A1285="","",IF(AND(Parameter!$B$21="Ja",ISNUMBER(W1285)),W1285,IF(BV1285="2+3",IF(ISNUMBER(SEARCH("grosser Artikel",BO1285)),2,IFERROR(VLOOKUP(BR1285,Parameter!$F$35:$G$64,2,0),2)),IF(OR(BV1285="Nein",BV1285=""),"-",BV1285))))</f>
        <v>3</v>
      </c>
      <c r="AA1285" s="62"/>
      <c r="AB1285" s="63"/>
      <c r="AC1285" s="57" t="n">
        <f aca="false">AR1285</f>
        <v>8</v>
      </c>
      <c r="AD1285" s="57" t="n">
        <f aca="false">MAX(AR1285,H1285)</f>
        <v>8</v>
      </c>
      <c r="AE1285" s="64"/>
      <c r="AF1285" s="57" t="n">
        <f aca="false">IF(LEFT(Cockpit!$C$5,1)="A",H1285,IF(CA1285=1,CB1285,IF(LEFT(Cockpit!$C$5,1)="B",AJ1285,MAX(AJ1285,H1285))))</f>
        <v>2</v>
      </c>
      <c r="AG1285" s="57" t="n">
        <f aca="false">IF(BT1285=1,0,ROUNDUP(AF1285/BS1285,0))</f>
        <v>1</v>
      </c>
      <c r="AH1285" s="59" t="n">
        <f aca="false">IF(CH1285&gt;0,CH1285*MAX(1,AF1285/X1285),IF(BT1285=1,IF(AF1285&lt;=0,0,BW1285*MAX(1,IF(H1285&gt;0,AF1285/H1285,1))),IF(R1285&gt;0,AG1285/R1285,0))/MAX(0.1,N(Parameter!$M$21)))</f>
        <v>0.00757575757575758</v>
      </c>
      <c r="AI1285" s="57" t="n">
        <f aca="false">AF1285*G1285</f>
        <v>228.82</v>
      </c>
      <c r="AJ1285" s="57" t="n">
        <f aca="false">ROUNDUP(MAX(J1285/IF(BZ1285&gt;0,BZ1285,MAX(0.1,N(Cockpit!$C$6))),CC1285)/BS1285,0)*BS1285</f>
        <v>8</v>
      </c>
      <c r="AK1285" s="58" t="n">
        <f aca="false">IF(AH1285&gt;0,J1285/AH1285,-1)</f>
        <v>660</v>
      </c>
      <c r="AL1285" s="58" t="n">
        <f aca="false">IF(AND(OR(BY1285="L1",BY1285="L23"),AH1285&gt;0),SUMIFS($AH$7:$AH$1843,$BY$7:$BY$1843,BY1285,$AK$7:$AK$1843,"&gt;"&amp;AK1285)+SUMIFS($AH$7:$AH$1843,$BY$7:$BY$1843,BY1285,$AK$7:$AK$1843,AK1285,$BQ$7:$BQ$1843,"&lt;="&amp;BQ1285),"")</f>
        <v>22.3737373737374</v>
      </c>
      <c r="AM1285" s="65" t="n">
        <f aca="false">IF(AL1285="",0,MAX(0,MIN(1,(IF(BY1285="L1",Parameter!$E$5,Parameter!$E$6+Parameter!$E$7)-(AL1285-AH1285))/AH1285)))</f>
        <v>1</v>
      </c>
      <c r="AN1285" s="57" t="n">
        <f aca="false">IF(LEFT(Cockpit!$I$5,1)="A",H1285,IF(CA1285=1,CB1285,IF(LEFT(Cockpit!$I$5,1)="B",AR1285,MAX(AR1285,H1285))))</f>
        <v>8</v>
      </c>
      <c r="AO1285" s="57" t="n">
        <f aca="false">IF(BT1285=1,0,ROUNDUP(AN1285/BS1285,0))</f>
        <v>1</v>
      </c>
      <c r="AP1285" s="59" t="n">
        <f aca="false">IF(CH1285&gt;0,CH1285*MAX(1,AN1285/X1285),IF(BT1285=1,IF(AN1285&lt;=0,0,BW1285*MAX(1,IF(H1285&gt;0,AN1285/H1285,1))),IF(R1285&gt;0,AO1285/R1285,0))/MAX(0.1,N(Parameter!$M$21)))</f>
        <v>0.00757575757575758</v>
      </c>
      <c r="AQ1285" s="57" t="n">
        <f aca="false">AN1285*G1285</f>
        <v>915.28</v>
      </c>
      <c r="AR1285" s="57" t="n">
        <f aca="false">ROUNDUP(MAX(J1285/IF(BZ1285&gt;0,BZ1285,MAX(0.1,N(Cockpit!$I$6))),CC1285)/BS1285,0)*BS1285</f>
        <v>8</v>
      </c>
      <c r="AS1285" s="58" t="n">
        <f aca="false">IF(AP1285&gt;0,J1285/AP1285,-1)</f>
        <v>660</v>
      </c>
      <c r="AT1285" s="58" t="n">
        <f aca="false">IF(AND(OR(BY1285="L1",BY1285="L23"),AP1285&gt;0),SUMIFS($AP$7:$AP$1843,$BY$7:$BY$1843,BY1285,$AS$7:$AS$1843,"&gt;"&amp;AS1285)+SUMIFS($AP$7:$AP$1843,$BY$7:$BY$1843,BY1285,$AS$7:$AS$1843,AS1285,$BQ$7:$BQ$1843,"&lt;="&amp;BQ1285),"")</f>
        <v>29.9943582987061</v>
      </c>
      <c r="AU1285" s="65" t="n">
        <f aca="false">IF(AT1285="",0,MAX(0,MIN(1,(IF(BY1285="L1",Parameter!$E$5,Parameter!$E$6+Parameter!$E$7)-(AT1285-AP1285))/AP1285)))</f>
        <v>1</v>
      </c>
      <c r="AV1285" s="57" t="n">
        <f aca="false">IF(LEFT(Cockpit!$O$5,1)="A",H1285,IF(CA1285=1,CB1285,IF(LEFT(Cockpit!$O$5,1)="B",AZ1285,MAX(AZ1285,H1285))))</f>
        <v>8</v>
      </c>
      <c r="AW1285" s="57" t="n">
        <f aca="false">IF(BT1285=1,0,ROUNDUP(AV1285/BS1285,0))</f>
        <v>1</v>
      </c>
      <c r="AX1285" s="59" t="n">
        <f aca="false">IF(CH1285&gt;0,CH1285*MAX(1,AV1285/X1285),IF(BT1285=1,IF(AV1285&lt;=0,0,BW1285*MAX(1,IF(H1285&gt;0,AV1285/H1285,1))),IF(R1285&gt;0,AW1285/R1285,0))/MAX(0.1,N(Parameter!$M$21)))</f>
        <v>0.00757575757575758</v>
      </c>
      <c r="AY1285" s="57" t="n">
        <f aca="false">AV1285*G1285</f>
        <v>915.28</v>
      </c>
      <c r="AZ1285" s="57" t="n">
        <f aca="false">ROUNDUP(MAX(J1285/IF(BZ1285&gt;0,BZ1285,MAX(0.1,N(Cockpit!$O$6))),CC1285)/BS1285,0)*BS1285</f>
        <v>8</v>
      </c>
      <c r="BA1285" s="58" t="n">
        <f aca="false">IF(AX1285&gt;0,J1285/AX1285,-1)</f>
        <v>660</v>
      </c>
      <c r="BB1285" s="58" t="n">
        <f aca="false">IF(AND(OR(BY1285="L1",BY1285="L23"),AX1285&gt;0),SUMIFS($AX$7:$AX$1843,$BY$7:$BY$1843,BY1285,$BA$7:$BA$1843,"&gt;"&amp;BA1285)+SUMIFS($AX$7:$AX$1843,$BY$7:$BY$1843,BY1285,$BA$7:$BA$1843,BA1285,$BQ$7:$BQ$1843,"&lt;="&amp;BQ1285),"")</f>
        <v>28.6959900003378</v>
      </c>
      <c r="BC1285" s="65" t="n">
        <f aca="false">IF(BB1285="",0,MAX(0,MIN(1,(IF(BY1285="L1",Parameter!$E$5,Parameter!$E$6+Parameter!$E$7)-(BB1285-AX1285))/AX1285)))</f>
        <v>1</v>
      </c>
      <c r="BD1285" s="55" t="str">
        <f aca="false">IF(AH1285&lt;=0,"",IF(BY1285="Aussen","Aussenlager",IF(BY1285="-","Nicht im Lift",IF(AM1285&gt;=1,"Lift",IF(AM1285&lt;=0,"Aussenlager","teilweise")))))</f>
        <v>Lift</v>
      </c>
      <c r="BE1285" s="55" t="str">
        <f aca="false">IF(AP1285&lt;=0,"",IF(BY1285="Aussen","Aussenlager",IF(BY1285="-","Nicht im Lift",IF(AU1285&gt;=1,"Lift",IF(AU1285&lt;=0,"Aussenlager","teilweise")))))</f>
        <v>Lift</v>
      </c>
      <c r="BF1285" s="55" t="str">
        <f aca="false">IF(AX1285&lt;=0,"",IF(BY1285="Aussen","Aussenlager",IF(BY1285="-","Nicht im Lift",IF(BC1285&gt;=1,"Lift",IF(BC1285&lt;=0,"Aussenlager","teilweise")))))</f>
        <v>Lift</v>
      </c>
      <c r="BG1285" s="55" t="str">
        <f aca="false">IF(A1285="","",IF(BP1285=1,"Neu; ","")&amp;IF(AND(BP1285=0,BK1285&lt;0),"negativer Bestand (Export "&amp;BK1285&amp;"); ","")&amp;IF(J1285&lt;=0,"Kein Verbrauch; ","")&amp;IF(CH1285&gt;0,"Lift "&amp;W1285&amp;" lt. Liftbericht (Fach "&amp;X1285&amp;" Stk); ",IF(BU1285=1,"Gebinde geschätzt ("&amp;T1285&amp;"); ",IF(BT1285=1,"Lose – Tablare geschätzt; ","")))&amp;IF(H1285&gt;AR1285,"Überbestand "&amp;ROUND(H1285-AR1285,0)&amp;" Stk / CHF "&amp;ROUND((H1285-AR1285)*G1285,0)&amp;"; ","")&amp;IF(AND(CA1285=1,CB1285&lt;CC1285),"MAX &lt; MB+LG; ","")&amp;IF(AND(CG1285&gt;0,CF1285*10&gt;CG1285),"zu hoch für Tablar; ","")&amp;IF(AND(BP1285=0,OR(CA1285=1,AA1285&lt;&gt;"",U1285&lt;&gt;"",V1285&lt;&gt;"",AB1285&lt;&gt;"")),"manuell übersteuert; ","")&amp;IF(AND(BT1285=0,R1285=0),"Gebinde unbekannt / Stellmass fehlt; ","")&amp;IF(AND(BT1285=0,N(V1285)&lt;=0,N(Q1285)&lt;=0),"Menge pro Gebinde fehlt (Ist = 1 Gebinde); ","")&amp;BO1285)</f>
        <v>negativer Bestand (Export -10); nicht im KTL vorhanden</v>
      </c>
      <c r="BH1285" s="55"/>
      <c r="BI1285" s="55"/>
      <c r="BJ1285" s="62"/>
      <c r="BK1285" s="57" t="n">
        <v>-10</v>
      </c>
      <c r="BL1285" s="57" t="n">
        <v>12</v>
      </c>
      <c r="BM1285" s="56" t="n">
        <v>-1113.96</v>
      </c>
      <c r="BN1285" s="57" t="n">
        <v>5</v>
      </c>
      <c r="BO1285" s="55" t="s">
        <v>230</v>
      </c>
      <c r="BP1285" s="60" t="n">
        <v>0</v>
      </c>
      <c r="BQ1285" s="60" t="n">
        <v>1285</v>
      </c>
      <c r="BR1285" s="55" t="str">
        <f aca="false">IF(U1285&lt;&gt;"",UPPER(TRIM(U1285)),IF(BU1285=1,UPPER(VLOOKUP(T1285,Parameter!$I$27:$K$29,2,0)),IF(P1285="","LOSE",P1285)))</f>
        <v>S32</v>
      </c>
      <c r="BS1285" s="57" t="n">
        <f aca="false">IF(BR1285="LOSE",1,IF(N(V1285)&gt;0,V1285,IF(BU1285=1,MAX(1,N(VLOOKUP(T1285,Parameter!$I$27:$K$29,3,0)),H1285,N(N1285)),IF(N(Q1285)&gt;0,Q1285,MAX(1,H1285)))))</f>
        <v>8</v>
      </c>
      <c r="BT1285" s="60" t="n">
        <f aca="false">IF(BR1285="LOSE",1,0)</f>
        <v>0</v>
      </c>
      <c r="BU1285" s="60" t="n">
        <f aca="false">IF(AND(U1285="",OR(P1285="",P1285="LOSE"),T1285&lt;&gt;"",N(S1285)&lt;=0,ISNUMBER(MATCH(T1285,Parameter!$I$27:$I$29,0))),1,0)</f>
        <v>0</v>
      </c>
      <c r="BV1285" s="55" t="str">
        <f aca="false">IF(AND(Parameter!$B$19="Ja",E1285&lt;&gt;"",ISNUMBER(MATCH(E1285,Parameter!$I$35:$I$52,0))),VLOOKUP(E1285,Parameter!$I$35:$J$52,2,0),IFERROR(VLOOKUP(D1285,Parameter!$A$35:$C$64,2,0),"Nein"))</f>
        <v>2+3</v>
      </c>
      <c r="BW1285" s="59" t="n">
        <f aca="false">IF(BT1285=0,0,IF(N(S1285)&gt;0,S1285,IFERROR(VLOOKUP(D1285,Parameter!$A$35:$C$64,3,0)+0,0)))</f>
        <v>0</v>
      </c>
      <c r="BX1285" s="55" t="n">
        <f aca="false">IF(AA1285&lt;&gt;"",AA1285,Z1285)</f>
        <v>3</v>
      </c>
      <c r="BY1285" s="55" t="str">
        <f aca="false">IF(BX1285=1,"L1",IF(OR(BX1285=2,BX1285=3),"L23",IF(BX1285="Aussen","Aussen","-")))</f>
        <v>L23</v>
      </c>
      <c r="BZ1285" s="66" t="n">
        <f aca="false">IF(N(AB1285)&gt;0,AB1285,0)</f>
        <v>0</v>
      </c>
      <c r="CA1285" s="60" t="n">
        <f aca="false">IF(ISNUMBER(AE1285),1,0)</f>
        <v>0</v>
      </c>
      <c r="CB1285" s="57" t="n">
        <f aca="false">N(AE1285)</f>
        <v>0</v>
      </c>
      <c r="CC1285" s="57" t="n">
        <f aca="false">N(M1285)+N(N1285)</f>
        <v>5</v>
      </c>
      <c r="CD1285" s="57" t="n">
        <f aca="false">ROUNDUP(H1285/BS1285,0)</f>
        <v>1</v>
      </c>
      <c r="CE1285" s="57" t="n">
        <f aca="false">ROUNDUP(CB1285/BS1285,0)</f>
        <v>0</v>
      </c>
      <c r="CF1285" s="60" t="n">
        <f aca="false">IF(BT1285=1,0,IFERROR(VLOOKUP(BR1285,'Gebinde-Kategorie'!$A$5:$M$45,5,0)+0,0))</f>
        <v>8</v>
      </c>
      <c r="CG1285" s="60" t="n">
        <f aca="false">IFERROR(IF(OR(BX1285=1,BX1285=2,BX1285=3),N(INDEX(Parameter!$I$5:$I$7,BX1285)),0),0)</f>
        <v>0</v>
      </c>
      <c r="CH1285" s="59" t="n">
        <f aca="false">IF(AND(Parameter!$B$21="Ja",ISNUMBER(W1285),N(X1285)&gt;0),IFERROR(N(INDEX(Parameter!$L$5:$L$7,W1285))*INDEX(Parameter!$E$5:$E$7,W1285)*X1285/SUMIFS($X$7:$X$1843,$W$7:$W$1843,W1285),0),0)</f>
        <v>0</v>
      </c>
    </row>
    <row r="1286" customFormat="false" ht="15" hidden="false" customHeight="false" outlineLevel="0" collapsed="false">
      <c r="A1286" s="55" t="s">
        <v>2294</v>
      </c>
      <c r="B1286" s="55" t="s">
        <v>2219</v>
      </c>
      <c r="C1286" s="55" t="s">
        <v>164</v>
      </c>
      <c r="D1286" s="55" t="s">
        <v>173</v>
      </c>
      <c r="E1286" s="55"/>
      <c r="F1286" s="55" t="s">
        <v>218</v>
      </c>
      <c r="G1286" s="56" t="n">
        <v>279.59</v>
      </c>
      <c r="H1286" s="57" t="n">
        <f aca="false">MAX(0,IF(AND(Parameter!$B$21="Ja",ISNUMBER(Y1286)),Y1286,IF(Parameter!$B$20="Jahresanfang 2025 + Export",BL1286+BK1286,BK1286)))</f>
        <v>108</v>
      </c>
      <c r="I1286" s="57" t="n">
        <f aca="false">H1286*G1286</f>
        <v>30195.72</v>
      </c>
      <c r="J1286" s="57" t="n">
        <f aca="false">BN1286*Parameter!$B$18</f>
        <v>2</v>
      </c>
      <c r="K1286" s="58" t="n">
        <v>111</v>
      </c>
      <c r="L1286" s="59" t="n">
        <v>0.018018018018018</v>
      </c>
      <c r="M1286" s="57" t="n">
        <v>0</v>
      </c>
      <c r="N1286" s="57" t="n">
        <v>1</v>
      </c>
      <c r="O1286" s="60" t="n">
        <v>28</v>
      </c>
      <c r="P1286" s="55" t="s">
        <v>168</v>
      </c>
      <c r="Q1286" s="57"/>
      <c r="R1286" s="60" t="n">
        <f aca="false">IF(BT1286=1,0,IFERROR(VLOOKUP(BR1286,'Gebinde-Kategorie'!$A$5:$M$45,13,0)+0,0))</f>
        <v>12</v>
      </c>
      <c r="S1286" s="61"/>
      <c r="T1286" s="62" t="s">
        <v>179</v>
      </c>
      <c r="U1286" s="62"/>
      <c r="V1286" s="62"/>
      <c r="W1286" s="55"/>
      <c r="X1286" s="57"/>
      <c r="Y1286" s="57"/>
      <c r="Z1286" s="55" t="n">
        <f aca="false">IF(A1286="","",IF(AND(Parameter!$B$21="Ja",ISNUMBER(W1286)),W1286,IF(BV1286="2+3",IF(ISNUMBER(SEARCH("grosser Artikel",BO1286)),2,IFERROR(VLOOKUP(BR1286,Parameter!$F$35:$G$64,2,0),2)),IF(OR(BV1286="Nein",BV1286=""),"-",BV1286))))</f>
        <v>2</v>
      </c>
      <c r="AA1286" s="62"/>
      <c r="AB1286" s="63"/>
      <c r="AC1286" s="57" t="n">
        <f aca="false">AR1286</f>
        <v>108</v>
      </c>
      <c r="AD1286" s="57" t="n">
        <f aca="false">MAX(AR1286,H1286)</f>
        <v>108</v>
      </c>
      <c r="AE1286" s="64"/>
      <c r="AF1286" s="57" t="n">
        <f aca="false">IF(LEFT(Cockpit!$C$5,1)="A",H1286,IF(CA1286=1,CB1286,IF(LEFT(Cockpit!$C$5,1)="B",AJ1286,MAX(AJ1286,H1286))))</f>
        <v>108</v>
      </c>
      <c r="AG1286" s="57" t="n">
        <f aca="false">IF(BT1286=1,0,ROUNDUP(AF1286/BS1286,0))</f>
        <v>1</v>
      </c>
      <c r="AH1286" s="59" t="n">
        <f aca="false">IF(CH1286&gt;0,CH1286*MAX(1,AF1286/X1286),IF(BT1286=1,IF(AF1286&lt;=0,0,BW1286*MAX(1,IF(H1286&gt;0,AF1286/H1286,1))),IF(R1286&gt;0,AG1286/R1286,0))/MAX(0.1,N(Parameter!$M$21)))</f>
        <v>0.0833333333333333</v>
      </c>
      <c r="AI1286" s="57" t="n">
        <f aca="false">AF1286*G1286</f>
        <v>30195.72</v>
      </c>
      <c r="AJ1286" s="57" t="n">
        <f aca="false">ROUNDUP(MAX(J1286/IF(BZ1286&gt;0,BZ1286,MAX(0.1,N(Cockpit!$C$6))),CC1286)/BS1286,0)*BS1286</f>
        <v>108</v>
      </c>
      <c r="AK1286" s="58" t="n">
        <f aca="false">IF(AH1286&gt;0,J1286/AH1286,-1)</f>
        <v>24</v>
      </c>
      <c r="AL1286" s="58" t="n">
        <f aca="false">IF(AND(OR(BY1286="L1",BY1286="L23"),AH1286&gt;0),SUMIFS($AH$7:$AH$1843,$BY$7:$BY$1843,BY1286,$AK$7:$AK$1843,"&gt;"&amp;AK1286)+SUMIFS($AH$7:$AH$1843,$BY$7:$BY$1843,BY1286,$AK$7:$AK$1843,AK1286,$BQ$7:$BQ$1843,"&lt;="&amp;BQ1286),"")</f>
        <v>50.9215144758623</v>
      </c>
      <c r="AM1286" s="65" t="n">
        <f aca="false">IF(AL1286="",0,MAX(0,MIN(1,(IF(BY1286="L1",Parameter!$E$5,Parameter!$E$6+Parameter!$E$7)-(AL1286-AH1286))/AH1286)))</f>
        <v>1</v>
      </c>
      <c r="AN1286" s="57" t="n">
        <f aca="false">IF(LEFT(Cockpit!$I$5,1)="A",H1286,IF(CA1286=1,CB1286,IF(LEFT(Cockpit!$I$5,1)="B",AR1286,MAX(AR1286,H1286))))</f>
        <v>108</v>
      </c>
      <c r="AO1286" s="57" t="n">
        <f aca="false">IF(BT1286=1,0,ROUNDUP(AN1286/BS1286,0))</f>
        <v>1</v>
      </c>
      <c r="AP1286" s="59" t="n">
        <f aca="false">IF(CH1286&gt;0,CH1286*MAX(1,AN1286/X1286),IF(BT1286=1,IF(AN1286&lt;=0,0,BW1286*MAX(1,IF(H1286&gt;0,AN1286/H1286,1))),IF(R1286&gt;0,AO1286/R1286,0))/MAX(0.1,N(Parameter!$M$21)))</f>
        <v>0.0833333333333333</v>
      </c>
      <c r="AQ1286" s="57" t="n">
        <f aca="false">AN1286*G1286</f>
        <v>30195.72</v>
      </c>
      <c r="AR1286" s="57" t="n">
        <f aca="false">ROUNDUP(MAX(J1286/IF(BZ1286&gt;0,BZ1286,MAX(0.1,N(Cockpit!$I$6))),CC1286)/BS1286,0)*BS1286</f>
        <v>108</v>
      </c>
      <c r="AS1286" s="58" t="n">
        <f aca="false">IF(AP1286&gt;0,J1286/AP1286,-1)</f>
        <v>24</v>
      </c>
      <c r="AT1286" s="58" t="n">
        <f aca="false">IF(AND(OR(BY1286="L1",BY1286="L23"),AP1286&gt;0),SUMIFS($AP$7:$AP$1843,$BY$7:$BY$1843,BY1286,$AS$7:$AS$1843,"&gt;"&amp;AS1286)+SUMIFS($AP$7:$AP$1843,$BY$7:$BY$1843,BY1286,$AS$7:$AS$1843,AS1286,$BQ$7:$BQ$1843,"&lt;="&amp;BQ1286),"")</f>
        <v>76.2623053275227</v>
      </c>
      <c r="AU1286" s="65" t="n">
        <f aca="false">IF(AT1286="",0,MAX(0,MIN(1,(IF(BY1286="L1",Parameter!$E$5,Parameter!$E$6+Parameter!$E$7)-(AT1286-AP1286))/AP1286)))</f>
        <v>1</v>
      </c>
      <c r="AV1286" s="57" t="n">
        <f aca="false">IF(LEFT(Cockpit!$O$5,1)="A",H1286,IF(CA1286=1,CB1286,IF(LEFT(Cockpit!$O$5,1)="B",AZ1286,MAX(AZ1286,H1286))))</f>
        <v>108</v>
      </c>
      <c r="AW1286" s="57" t="n">
        <f aca="false">IF(BT1286=1,0,ROUNDUP(AV1286/BS1286,0))</f>
        <v>1</v>
      </c>
      <c r="AX1286" s="59" t="n">
        <f aca="false">IF(CH1286&gt;0,CH1286*MAX(1,AV1286/X1286),IF(BT1286=1,IF(AV1286&lt;=0,0,BW1286*MAX(1,IF(H1286&gt;0,AV1286/H1286,1))),IF(R1286&gt;0,AW1286/R1286,0))/MAX(0.1,N(Parameter!$M$21)))</f>
        <v>0.0833333333333333</v>
      </c>
      <c r="AY1286" s="57" t="n">
        <f aca="false">AV1286*G1286</f>
        <v>30195.72</v>
      </c>
      <c r="AZ1286" s="57" t="n">
        <f aca="false">ROUNDUP(MAX(J1286/IF(BZ1286&gt;0,BZ1286,MAX(0.1,N(Cockpit!$O$6))),CC1286)/BS1286,0)*BS1286</f>
        <v>108</v>
      </c>
      <c r="BA1286" s="58" t="n">
        <f aca="false">IF(AX1286&gt;0,J1286/AX1286,-1)</f>
        <v>24</v>
      </c>
      <c r="BB1286" s="58" t="n">
        <f aca="false">IF(AND(OR(BY1286="L1",BY1286="L23"),AX1286&gt;0),SUMIFS($AX$7:$AX$1843,$BY$7:$BY$1843,BY1286,$BA$7:$BA$1843,"&gt;"&amp;BA1286)+SUMIFS($AX$7:$AX$1843,$BY$7:$BY$1843,BY1286,$BA$7:$BA$1843,BA1286,$BQ$7:$BQ$1843,"&lt;="&amp;BQ1286),"")</f>
        <v>71.7588088240262</v>
      </c>
      <c r="BC1286" s="65" t="n">
        <f aca="false">IF(BB1286="",0,MAX(0,MIN(1,(IF(BY1286="L1",Parameter!$E$5,Parameter!$E$6+Parameter!$E$7)-(BB1286-AX1286))/AX1286)))</f>
        <v>1</v>
      </c>
      <c r="BD1286" s="55" t="str">
        <f aca="false">IF(AH1286&lt;=0,"",IF(BY1286="Aussen","Aussenlager",IF(BY1286="-","Nicht im Lift",IF(AM1286&gt;=1,"Lift",IF(AM1286&lt;=0,"Aussenlager","teilweise")))))</f>
        <v>Lift</v>
      </c>
      <c r="BE1286" s="55" t="str">
        <f aca="false">IF(AP1286&lt;=0,"",IF(BY1286="Aussen","Aussenlager",IF(BY1286="-","Nicht im Lift",IF(AU1286&gt;=1,"Lift",IF(AU1286&lt;=0,"Aussenlager","teilweise")))))</f>
        <v>Lift</v>
      </c>
      <c r="BF1286" s="55" t="str">
        <f aca="false">IF(AX1286&lt;=0,"",IF(BY1286="Aussen","Aussenlager",IF(BY1286="-","Nicht im Lift",IF(BC1286&gt;=1,"Lift",IF(BC1286&lt;=0,"Aussenlager","teilweise")))))</f>
        <v>Lift</v>
      </c>
      <c r="BG1286" s="55" t="str">
        <f aca="false">IF(A1286="","",IF(BP1286=1,"Neu; ","")&amp;IF(AND(BP1286=0,BK1286&lt;0),"negativer Bestand (Export "&amp;BK1286&amp;"); ","")&amp;IF(J1286&lt;=0,"Kein Verbrauch; ","")&amp;IF(CH1286&gt;0,"Lift "&amp;W1286&amp;" lt. Liftbericht (Fach "&amp;X1286&amp;" Stk); ",IF(BU1286=1,"Gebinde geschätzt ("&amp;T1286&amp;"); ",IF(BT1286=1,"Lose – Tablare geschätzt; ","")))&amp;IF(H1286&gt;AR1286,"Überbestand "&amp;ROUND(H1286-AR1286,0)&amp;" Stk / CHF "&amp;ROUND((H1286-AR1286)*G1286,0)&amp;"; ","")&amp;IF(AND(CA1286=1,CB1286&lt;CC1286),"MAX &lt; MB+LG; ","")&amp;IF(AND(CG1286&gt;0,CF1286*10&gt;CG1286),"zu hoch für Tablar; ","")&amp;IF(AND(BP1286=0,OR(CA1286=1,AA1286&lt;&gt;"",U1286&lt;&gt;"",V1286&lt;&gt;"",AB1286&lt;&gt;"")),"manuell übersteuert; ","")&amp;IF(AND(BT1286=0,R1286=0),"Gebinde unbekannt / Stellmass fehlt; ","")&amp;IF(AND(BT1286=0,N(V1286)&lt;=0,N(Q1286)&lt;=0),"Menge pro Gebinde fehlt (Ist = 1 Gebinde); ","")&amp;BO1286)</f>
        <v>negativer Bestand (Export -4); Gebinde geschätzt (Mittel); Menge pro Gebinde fehlt (Ist = 1 Gebinde); </v>
      </c>
      <c r="BH1286" s="55"/>
      <c r="BI1286" s="55"/>
      <c r="BJ1286" s="62"/>
      <c r="BK1286" s="57" t="n">
        <v>-4</v>
      </c>
      <c r="BL1286" s="57" t="n">
        <v>112</v>
      </c>
      <c r="BM1286" s="56" t="n">
        <v>-1118.36</v>
      </c>
      <c r="BN1286" s="57" t="n">
        <v>2</v>
      </c>
      <c r="BO1286" s="55"/>
      <c r="BP1286" s="60" t="n">
        <v>0</v>
      </c>
      <c r="BQ1286" s="60" t="n">
        <v>1286</v>
      </c>
      <c r="BR1286" s="55" t="str">
        <f aca="false">IF(U1286&lt;&gt;"",UPPER(TRIM(U1286)),IF(BU1286=1,UPPER(VLOOKUP(T1286,Parameter!$I$27:$K$29,2,0)),IF(P1286="","LOSE",P1286)))</f>
        <v>S61</v>
      </c>
      <c r="BS1286" s="57" t="n">
        <f aca="false">IF(BR1286="LOSE",1,IF(N(V1286)&gt;0,V1286,IF(BU1286=1,MAX(1,N(VLOOKUP(T1286,Parameter!$I$27:$K$29,3,0)),H1286,N(N1286)),IF(N(Q1286)&gt;0,Q1286,MAX(1,H1286)))))</f>
        <v>108</v>
      </c>
      <c r="BT1286" s="60" t="n">
        <f aca="false">IF(BR1286="LOSE",1,0)</f>
        <v>0</v>
      </c>
      <c r="BU1286" s="60" t="n">
        <f aca="false">IF(AND(U1286="",OR(P1286="",P1286="LOSE"),T1286&lt;&gt;"",N(S1286)&lt;=0,ISNUMBER(MATCH(T1286,Parameter!$I$27:$I$29,0))),1,0)</f>
        <v>1</v>
      </c>
      <c r="BV1286" s="55" t="str">
        <f aca="false">IF(AND(Parameter!$B$19="Ja",E1286&lt;&gt;"",ISNUMBER(MATCH(E1286,Parameter!$I$35:$I$52,0))),VLOOKUP(E1286,Parameter!$I$35:$J$52,2,0),IFERROR(VLOOKUP(D1286,Parameter!$A$35:$C$64,2,0),"Nein"))</f>
        <v>2+3</v>
      </c>
      <c r="BW1286" s="59" t="n">
        <f aca="false">IF(BT1286=0,0,IF(N(S1286)&gt;0,S1286,IFERROR(VLOOKUP(D1286,Parameter!$A$35:$C$64,3,0)+0,0)))</f>
        <v>0</v>
      </c>
      <c r="BX1286" s="55" t="n">
        <f aca="false">IF(AA1286&lt;&gt;"",AA1286,Z1286)</f>
        <v>2</v>
      </c>
      <c r="BY1286" s="55" t="str">
        <f aca="false">IF(BX1286=1,"L1",IF(OR(BX1286=2,BX1286=3),"L23",IF(BX1286="Aussen","Aussen","-")))</f>
        <v>L23</v>
      </c>
      <c r="BZ1286" s="66" t="n">
        <f aca="false">IF(N(AB1286)&gt;0,AB1286,0)</f>
        <v>0</v>
      </c>
      <c r="CA1286" s="60" t="n">
        <f aca="false">IF(ISNUMBER(AE1286),1,0)</f>
        <v>0</v>
      </c>
      <c r="CB1286" s="57" t="n">
        <f aca="false">N(AE1286)</f>
        <v>0</v>
      </c>
      <c r="CC1286" s="57" t="n">
        <f aca="false">N(M1286)+N(N1286)</f>
        <v>1</v>
      </c>
      <c r="CD1286" s="57" t="n">
        <f aca="false">ROUNDUP(H1286/BS1286,0)</f>
        <v>1</v>
      </c>
      <c r="CE1286" s="57" t="n">
        <f aca="false">ROUNDUP(CB1286/BS1286,0)</f>
        <v>0</v>
      </c>
      <c r="CF1286" s="60" t="n">
        <f aca="false">IF(BT1286=1,0,IFERROR(VLOOKUP(BR1286,'Gebinde-Kategorie'!$A$5:$M$45,5,0)+0,0))</f>
        <v>11</v>
      </c>
      <c r="CG1286" s="60" t="n">
        <f aca="false">IFERROR(IF(OR(BX1286=1,BX1286=2,BX1286=3),N(INDEX(Parameter!$I$5:$I$7,BX1286)),0),0)</f>
        <v>0</v>
      </c>
      <c r="CH1286" s="59" t="n">
        <f aca="false">IF(AND(Parameter!$B$21="Ja",ISNUMBER(W1286),N(X1286)&gt;0),IFERROR(N(INDEX(Parameter!$L$5:$L$7,W1286))*INDEX(Parameter!$E$5:$E$7,W1286)*X1286/SUMIFS($X$7:$X$1843,$W$7:$W$1843,W1286),0),0)</f>
        <v>0</v>
      </c>
    </row>
    <row r="1287" customFormat="false" ht="15" hidden="false" customHeight="false" outlineLevel="0" collapsed="false">
      <c r="A1287" s="55" t="s">
        <v>2295</v>
      </c>
      <c r="B1287" s="55" t="s">
        <v>2296</v>
      </c>
      <c r="C1287" s="55" t="s">
        <v>164</v>
      </c>
      <c r="D1287" s="55" t="s">
        <v>184</v>
      </c>
      <c r="E1287" s="55" t="s">
        <v>185</v>
      </c>
      <c r="F1287" s="55" t="s">
        <v>218</v>
      </c>
      <c r="G1287" s="56" t="n">
        <v>112.45</v>
      </c>
      <c r="H1287" s="57" t="n">
        <f aca="false">MAX(0,IF(AND(Parameter!$B$21="Ja",ISNUMBER(Y1287)),Y1287,IF(Parameter!$B$20="Jahresanfang 2025 + Export",BL1287+BK1287,BK1287)))</f>
        <v>4</v>
      </c>
      <c r="I1287" s="57" t="n">
        <f aca="false">H1287*G1287</f>
        <v>449.8</v>
      </c>
      <c r="J1287" s="57" t="n">
        <f aca="false">BN1287*Parameter!$B$18</f>
        <v>2</v>
      </c>
      <c r="K1287" s="58" t="n">
        <v>13</v>
      </c>
      <c r="L1287" s="59" t="n">
        <v>0.153846153846154</v>
      </c>
      <c r="M1287" s="57" t="n">
        <v>0</v>
      </c>
      <c r="N1287" s="57" t="n">
        <v>1</v>
      </c>
      <c r="O1287" s="60" t="n">
        <v>56</v>
      </c>
      <c r="P1287" s="55" t="s">
        <v>421</v>
      </c>
      <c r="Q1287" s="57" t="n">
        <v>6</v>
      </c>
      <c r="R1287" s="60" t="n">
        <f aca="false">IF(BT1287=1,0,IFERROR(VLOOKUP(BR1287,'Gebinde-Kategorie'!$A$5:$M$45,13,0)+0,0))</f>
        <v>132</v>
      </c>
      <c r="S1287" s="61"/>
      <c r="T1287" s="62"/>
      <c r="U1287" s="62"/>
      <c r="V1287" s="62"/>
      <c r="W1287" s="55"/>
      <c r="X1287" s="57"/>
      <c r="Y1287" s="57"/>
      <c r="Z1287" s="55" t="n">
        <f aca="false">IF(A1287="","",IF(AND(Parameter!$B$21="Ja",ISNUMBER(W1287)),W1287,IF(BV1287="2+3",IF(ISNUMBER(SEARCH("grosser Artikel",BO1287)),2,IFERROR(VLOOKUP(BR1287,Parameter!$F$35:$G$64,2,0),2)),IF(OR(BV1287="Nein",BV1287=""),"-",BV1287))))</f>
        <v>3</v>
      </c>
      <c r="AA1287" s="62"/>
      <c r="AB1287" s="63"/>
      <c r="AC1287" s="57" t="n">
        <f aca="false">AR1287</f>
        <v>6</v>
      </c>
      <c r="AD1287" s="57" t="n">
        <f aca="false">MAX(AR1287,H1287)</f>
        <v>6</v>
      </c>
      <c r="AE1287" s="64"/>
      <c r="AF1287" s="57" t="n">
        <f aca="false">IF(LEFT(Cockpit!$C$5,1)="A",H1287,IF(CA1287=1,CB1287,IF(LEFT(Cockpit!$C$5,1)="B",AJ1287,MAX(AJ1287,H1287))))</f>
        <v>4</v>
      </c>
      <c r="AG1287" s="57" t="n">
        <f aca="false">IF(BT1287=1,0,ROUNDUP(AF1287/BS1287,0))</f>
        <v>1</v>
      </c>
      <c r="AH1287" s="59" t="n">
        <f aca="false">IF(CH1287&gt;0,CH1287*MAX(1,AF1287/X1287),IF(BT1287=1,IF(AF1287&lt;=0,0,BW1287*MAX(1,IF(H1287&gt;0,AF1287/H1287,1))),IF(R1287&gt;0,AG1287/R1287,0))/MAX(0.1,N(Parameter!$M$21)))</f>
        <v>0.00757575757575758</v>
      </c>
      <c r="AI1287" s="57" t="n">
        <f aca="false">AF1287*G1287</f>
        <v>449.8</v>
      </c>
      <c r="AJ1287" s="57" t="n">
        <f aca="false">ROUNDUP(MAX(J1287/IF(BZ1287&gt;0,BZ1287,MAX(0.1,N(Cockpit!$C$6))),CC1287)/BS1287,0)*BS1287</f>
        <v>6</v>
      </c>
      <c r="AK1287" s="58" t="n">
        <f aca="false">IF(AH1287&gt;0,J1287/AH1287,-1)</f>
        <v>264</v>
      </c>
      <c r="AL1287" s="58" t="n">
        <f aca="false">IF(AND(OR(BY1287="L1",BY1287="L23"),AH1287&gt;0),SUMIFS($AH$7:$AH$1843,$BY$7:$BY$1843,BY1287,$AK$7:$AK$1843,"&gt;"&amp;AK1287)+SUMIFS($AH$7:$AH$1843,$BY$7:$BY$1843,BY1287,$AK$7:$AK$1843,AK1287,$BQ$7:$BQ$1843,"&lt;="&amp;BQ1287),"")</f>
        <v>29.1568528090267</v>
      </c>
      <c r="AM1287" s="65" t="n">
        <f aca="false">IF(AL1287="",0,MAX(0,MIN(1,(IF(BY1287="L1",Parameter!$E$5,Parameter!$E$6+Parameter!$E$7)-(AL1287-AH1287))/AH1287)))</f>
        <v>1</v>
      </c>
      <c r="AN1287" s="57" t="n">
        <f aca="false">IF(LEFT(Cockpit!$I$5,1)="A",H1287,IF(CA1287=1,CB1287,IF(LEFT(Cockpit!$I$5,1)="B",AR1287,MAX(AR1287,H1287))))</f>
        <v>6</v>
      </c>
      <c r="AO1287" s="57" t="n">
        <f aca="false">IF(BT1287=1,0,ROUNDUP(AN1287/BS1287,0))</f>
        <v>1</v>
      </c>
      <c r="AP1287" s="59" t="n">
        <f aca="false">IF(CH1287&gt;0,CH1287*MAX(1,AN1287/X1287),IF(BT1287=1,IF(AN1287&lt;=0,0,BW1287*MAX(1,IF(H1287&gt;0,AN1287/H1287,1))),IF(R1287&gt;0,AO1287/R1287,0))/MAX(0.1,N(Parameter!$M$21)))</f>
        <v>0.00757575757575758</v>
      </c>
      <c r="AQ1287" s="57" t="n">
        <f aca="false">AN1287*G1287</f>
        <v>674.7</v>
      </c>
      <c r="AR1287" s="57" t="n">
        <f aca="false">ROUNDUP(MAX(J1287/IF(BZ1287&gt;0,BZ1287,MAX(0.1,N(Cockpit!$I$6))),CC1287)/BS1287,0)*BS1287</f>
        <v>6</v>
      </c>
      <c r="AS1287" s="58" t="n">
        <f aca="false">IF(AP1287&gt;0,J1287/AP1287,-1)</f>
        <v>264</v>
      </c>
      <c r="AT1287" s="58" t="n">
        <f aca="false">IF(AND(OR(BY1287="L1",BY1287="L23"),AP1287&gt;0),SUMIFS($AP$7:$AP$1843,$BY$7:$BY$1843,BY1287,$AS$7:$AS$1843,"&gt;"&amp;AS1287)+SUMIFS($AP$7:$AP$1843,$BY$7:$BY$1843,BY1287,$AS$7:$AS$1843,AS1287,$BQ$7:$BQ$1843,"&lt;="&amp;BQ1287),"")</f>
        <v>42.3659420289855</v>
      </c>
      <c r="AU1287" s="65" t="n">
        <f aca="false">IF(AT1287="",0,MAX(0,MIN(1,(IF(BY1287="L1",Parameter!$E$5,Parameter!$E$6+Parameter!$E$7)-(AT1287-AP1287))/AP1287)))</f>
        <v>1</v>
      </c>
      <c r="AV1287" s="57" t="n">
        <f aca="false">IF(LEFT(Cockpit!$O$5,1)="A",H1287,IF(CA1287=1,CB1287,IF(LEFT(Cockpit!$O$5,1)="B",AZ1287,MAX(AZ1287,H1287))))</f>
        <v>6</v>
      </c>
      <c r="AW1287" s="57" t="n">
        <f aca="false">IF(BT1287=1,0,ROUNDUP(AV1287/BS1287,0))</f>
        <v>1</v>
      </c>
      <c r="AX1287" s="59" t="n">
        <f aca="false">IF(CH1287&gt;0,CH1287*MAX(1,AV1287/X1287),IF(BT1287=1,IF(AV1287&lt;=0,0,BW1287*MAX(1,IF(H1287&gt;0,AV1287/H1287,1))),IF(R1287&gt;0,AW1287/R1287,0))/MAX(0.1,N(Parameter!$M$21)))</f>
        <v>0.00757575757575758</v>
      </c>
      <c r="AY1287" s="57" t="n">
        <f aca="false">AV1287*G1287</f>
        <v>674.7</v>
      </c>
      <c r="AZ1287" s="57" t="n">
        <f aca="false">ROUNDUP(MAX(J1287/IF(BZ1287&gt;0,BZ1287,MAX(0.1,N(Cockpit!$O$6))),CC1287)/BS1287,0)*BS1287</f>
        <v>6</v>
      </c>
      <c r="BA1287" s="58" t="n">
        <f aca="false">IF(AX1287&gt;0,J1287/AX1287,-1)</f>
        <v>264</v>
      </c>
      <c r="BB1287" s="58" t="n">
        <f aca="false">IF(AND(OR(BY1287="L1",BY1287="L23"),AX1287&gt;0),SUMIFS($AX$7:$AX$1843,$BY$7:$BY$1843,BY1287,$BA$7:$BA$1843,"&gt;"&amp;BA1287)+SUMIFS($AX$7:$AX$1843,$BY$7:$BY$1843,BY1287,$BA$7:$BA$1843,BA1287,$BQ$7:$BQ$1843,"&lt;="&amp;BQ1287),"")</f>
        <v>38.6957788588223</v>
      </c>
      <c r="BC1287" s="65" t="n">
        <f aca="false">IF(BB1287="",0,MAX(0,MIN(1,(IF(BY1287="L1",Parameter!$E$5,Parameter!$E$6+Parameter!$E$7)-(BB1287-AX1287))/AX1287)))</f>
        <v>1</v>
      </c>
      <c r="BD1287" s="55" t="str">
        <f aca="false">IF(AH1287&lt;=0,"",IF(BY1287="Aussen","Aussenlager",IF(BY1287="-","Nicht im Lift",IF(AM1287&gt;=1,"Lift",IF(AM1287&lt;=0,"Aussenlager","teilweise")))))</f>
        <v>Lift</v>
      </c>
      <c r="BE1287" s="55" t="str">
        <f aca="false">IF(AP1287&lt;=0,"",IF(BY1287="Aussen","Aussenlager",IF(BY1287="-","Nicht im Lift",IF(AU1287&gt;=1,"Lift",IF(AU1287&lt;=0,"Aussenlager","teilweise")))))</f>
        <v>Lift</v>
      </c>
      <c r="BF1287" s="55" t="str">
        <f aca="false">IF(AX1287&lt;=0,"",IF(BY1287="Aussen","Aussenlager",IF(BY1287="-","Nicht im Lift",IF(BC1287&gt;=1,"Lift",IF(BC1287&lt;=0,"Aussenlager","teilweise")))))</f>
        <v>Lift</v>
      </c>
      <c r="BG1287" s="55" t="str">
        <f aca="false">IF(A1287="","",IF(BP1287=1,"Neu; ","")&amp;IF(AND(BP1287=0,BK1287&lt;0),"negativer Bestand (Export "&amp;BK1287&amp;"); ","")&amp;IF(J1287&lt;=0,"Kein Verbrauch; ","")&amp;IF(CH1287&gt;0,"Lift "&amp;W1287&amp;" lt. Liftbericht (Fach "&amp;X1287&amp;" Stk); ",IF(BU1287=1,"Gebinde geschätzt ("&amp;T1287&amp;"); ",IF(BT1287=1,"Lose – Tablare geschätzt; ","")))&amp;IF(H1287&gt;AR1287,"Überbestand "&amp;ROUND(H1287-AR1287,0)&amp;" Stk / CHF "&amp;ROUND((H1287-AR1287)*G1287,0)&amp;"; ","")&amp;IF(AND(CA1287=1,CB1287&lt;CC1287),"MAX &lt; MB+LG; ","")&amp;IF(AND(CG1287&gt;0,CF1287*10&gt;CG1287),"zu hoch für Tablar; ","")&amp;IF(AND(BP1287=0,OR(CA1287=1,AA1287&lt;&gt;"",U1287&lt;&gt;"",V1287&lt;&gt;"",AB1287&lt;&gt;"")),"manuell übersteuert; ","")&amp;IF(AND(BT1287=0,R1287=0),"Gebinde unbekannt / Stellmass fehlt; ","")&amp;IF(AND(BT1287=0,N(V1287)&lt;=0,N(Q1287)&lt;=0),"Menge pro Gebinde fehlt (Ist = 1 Gebinde); ","")&amp;BO1287)</f>
        <v>negativer Bestand (Export -10); nicht im KTL vorhanden</v>
      </c>
      <c r="BH1287" s="55"/>
      <c r="BI1287" s="55"/>
      <c r="BJ1287" s="62"/>
      <c r="BK1287" s="57" t="n">
        <v>-10</v>
      </c>
      <c r="BL1287" s="57" t="n">
        <v>14</v>
      </c>
      <c r="BM1287" s="56" t="n">
        <v>-1124.5</v>
      </c>
      <c r="BN1287" s="57" t="n">
        <v>2</v>
      </c>
      <c r="BO1287" s="55" t="s">
        <v>230</v>
      </c>
      <c r="BP1287" s="60" t="n">
        <v>0</v>
      </c>
      <c r="BQ1287" s="60" t="n">
        <v>1287</v>
      </c>
      <c r="BR1287" s="55" t="str">
        <f aca="false">IF(U1287&lt;&gt;"",UPPER(TRIM(U1287)),IF(BU1287=1,UPPER(VLOOKUP(T1287,Parameter!$I$27:$K$29,2,0)),IF(P1287="","LOSE",P1287)))</f>
        <v>S32</v>
      </c>
      <c r="BS1287" s="57" t="n">
        <f aca="false">IF(BR1287="LOSE",1,IF(N(V1287)&gt;0,V1287,IF(BU1287=1,MAX(1,N(VLOOKUP(T1287,Parameter!$I$27:$K$29,3,0)),H1287,N(N1287)),IF(N(Q1287)&gt;0,Q1287,MAX(1,H1287)))))</f>
        <v>6</v>
      </c>
      <c r="BT1287" s="60" t="n">
        <f aca="false">IF(BR1287="LOSE",1,0)</f>
        <v>0</v>
      </c>
      <c r="BU1287" s="60" t="n">
        <f aca="false">IF(AND(U1287="",OR(P1287="",P1287="LOSE"),T1287&lt;&gt;"",N(S1287)&lt;=0,ISNUMBER(MATCH(T1287,Parameter!$I$27:$I$29,0))),1,0)</f>
        <v>0</v>
      </c>
      <c r="BV1287" s="55" t="str">
        <f aca="false">IF(AND(Parameter!$B$19="Ja",E1287&lt;&gt;"",ISNUMBER(MATCH(E1287,Parameter!$I$35:$I$52,0))),VLOOKUP(E1287,Parameter!$I$35:$J$52,2,0),IFERROR(VLOOKUP(D1287,Parameter!$A$35:$C$64,2,0),"Nein"))</f>
        <v>2+3</v>
      </c>
      <c r="BW1287" s="59" t="n">
        <f aca="false">IF(BT1287=0,0,IF(N(S1287)&gt;0,S1287,IFERROR(VLOOKUP(D1287,Parameter!$A$35:$C$64,3,0)+0,0)))</f>
        <v>0</v>
      </c>
      <c r="BX1287" s="55" t="n">
        <f aca="false">IF(AA1287&lt;&gt;"",AA1287,Z1287)</f>
        <v>3</v>
      </c>
      <c r="BY1287" s="55" t="str">
        <f aca="false">IF(BX1287=1,"L1",IF(OR(BX1287=2,BX1287=3),"L23",IF(BX1287="Aussen","Aussen","-")))</f>
        <v>L23</v>
      </c>
      <c r="BZ1287" s="66" t="n">
        <f aca="false">IF(N(AB1287)&gt;0,AB1287,0)</f>
        <v>0</v>
      </c>
      <c r="CA1287" s="60" t="n">
        <f aca="false">IF(ISNUMBER(AE1287),1,0)</f>
        <v>0</v>
      </c>
      <c r="CB1287" s="57" t="n">
        <f aca="false">N(AE1287)</f>
        <v>0</v>
      </c>
      <c r="CC1287" s="57" t="n">
        <f aca="false">N(M1287)+N(N1287)</f>
        <v>1</v>
      </c>
      <c r="CD1287" s="57" t="n">
        <f aca="false">ROUNDUP(H1287/BS1287,0)</f>
        <v>1</v>
      </c>
      <c r="CE1287" s="57" t="n">
        <f aca="false">ROUNDUP(CB1287/BS1287,0)</f>
        <v>0</v>
      </c>
      <c r="CF1287" s="60" t="n">
        <f aca="false">IF(BT1287=1,0,IFERROR(VLOOKUP(BR1287,'Gebinde-Kategorie'!$A$5:$M$45,5,0)+0,0))</f>
        <v>8</v>
      </c>
      <c r="CG1287" s="60" t="n">
        <f aca="false">IFERROR(IF(OR(BX1287=1,BX1287=2,BX1287=3),N(INDEX(Parameter!$I$5:$I$7,BX1287)),0),0)</f>
        <v>0</v>
      </c>
      <c r="CH1287" s="59" t="n">
        <f aca="false">IF(AND(Parameter!$B$21="Ja",ISNUMBER(W1287),N(X1287)&gt;0),IFERROR(N(INDEX(Parameter!$L$5:$L$7,W1287))*INDEX(Parameter!$E$5:$E$7,W1287)*X1287/SUMIFS($X$7:$X$1843,$W$7:$W$1843,W1287),0),0)</f>
        <v>0</v>
      </c>
    </row>
    <row r="1288" customFormat="false" ht="15" hidden="false" customHeight="false" outlineLevel="0" collapsed="false">
      <c r="A1288" s="55" t="s">
        <v>2297</v>
      </c>
      <c r="B1288" s="55" t="s">
        <v>1829</v>
      </c>
      <c r="C1288" s="55" t="s">
        <v>164</v>
      </c>
      <c r="D1288" s="55" t="s">
        <v>184</v>
      </c>
      <c r="E1288" s="55" t="s">
        <v>185</v>
      </c>
      <c r="F1288" s="55" t="s">
        <v>218</v>
      </c>
      <c r="G1288" s="56" t="n">
        <v>30.9</v>
      </c>
      <c r="H1288" s="57" t="n">
        <f aca="false">MAX(0,IF(AND(Parameter!$B$21="Ja",ISNUMBER(Y1288)),Y1288,IF(Parameter!$B$20="Jahresanfang 2025 + Export",BL1288+BK1288,BK1288)))</f>
        <v>111</v>
      </c>
      <c r="I1288" s="57" t="n">
        <f aca="false">H1288*G1288</f>
        <v>3429.9</v>
      </c>
      <c r="J1288" s="57" t="n">
        <f aca="false">BN1288*Parameter!$B$18</f>
        <v>42</v>
      </c>
      <c r="K1288" s="58" t="n">
        <v>132.5</v>
      </c>
      <c r="L1288" s="59" t="n">
        <v>0.316981132075472</v>
      </c>
      <c r="M1288" s="57" t="n">
        <v>8</v>
      </c>
      <c r="N1288" s="57" t="n">
        <v>40</v>
      </c>
      <c r="O1288" s="60" t="n">
        <v>70</v>
      </c>
      <c r="P1288" s="55" t="s">
        <v>302</v>
      </c>
      <c r="Q1288" s="57" t="n">
        <v>113</v>
      </c>
      <c r="R1288" s="60" t="n">
        <f aca="false">IF(BT1288=1,0,IFERROR(VLOOKUP(BR1288,'Gebinde-Kategorie'!$A$5:$M$45,13,0)+0,0))</f>
        <v>26</v>
      </c>
      <c r="S1288" s="61"/>
      <c r="T1288" s="62"/>
      <c r="U1288" s="62"/>
      <c r="V1288" s="62"/>
      <c r="W1288" s="55"/>
      <c r="X1288" s="57"/>
      <c r="Y1288" s="57"/>
      <c r="Z1288" s="55" t="n">
        <f aca="false">IF(A1288="","",IF(AND(Parameter!$B$21="Ja",ISNUMBER(W1288)),W1288,IF(BV1288="2+3",IF(ISNUMBER(SEARCH("grosser Artikel",BO1288)),2,IFERROR(VLOOKUP(BR1288,Parameter!$F$35:$G$64,2,0),2)),IF(OR(BV1288="Nein",BV1288=""),"-",BV1288))))</f>
        <v>3</v>
      </c>
      <c r="AA1288" s="62"/>
      <c r="AB1288" s="63"/>
      <c r="AC1288" s="57" t="n">
        <f aca="false">AR1288</f>
        <v>113</v>
      </c>
      <c r="AD1288" s="57" t="n">
        <f aca="false">MAX(AR1288,H1288)</f>
        <v>113</v>
      </c>
      <c r="AE1288" s="64"/>
      <c r="AF1288" s="57" t="n">
        <f aca="false">IF(LEFT(Cockpit!$C$5,1)="A",H1288,IF(CA1288=1,CB1288,IF(LEFT(Cockpit!$C$5,1)="B",AJ1288,MAX(AJ1288,H1288))))</f>
        <v>111</v>
      </c>
      <c r="AG1288" s="57" t="n">
        <f aca="false">IF(BT1288=1,0,ROUNDUP(AF1288/BS1288,0))</f>
        <v>1</v>
      </c>
      <c r="AH1288" s="59" t="n">
        <f aca="false">IF(CH1288&gt;0,CH1288*MAX(1,AF1288/X1288),IF(BT1288=1,IF(AF1288&lt;=0,0,BW1288*MAX(1,IF(H1288&gt;0,AF1288/H1288,1))),IF(R1288&gt;0,AG1288/R1288,0))/MAX(0.1,N(Parameter!$M$21)))</f>
        <v>0.0384615384615385</v>
      </c>
      <c r="AI1288" s="57" t="n">
        <f aca="false">AF1288*G1288</f>
        <v>3429.9</v>
      </c>
      <c r="AJ1288" s="57" t="n">
        <f aca="false">ROUNDUP(MAX(J1288/IF(BZ1288&gt;0,BZ1288,MAX(0.1,N(Cockpit!$C$6))),CC1288)/BS1288,0)*BS1288</f>
        <v>113</v>
      </c>
      <c r="AK1288" s="58" t="n">
        <f aca="false">IF(AH1288&gt;0,J1288/AH1288,-1)</f>
        <v>1092</v>
      </c>
      <c r="AL1288" s="58" t="n">
        <f aca="false">IF(AND(OR(BY1288="L1",BY1288="L23"),AH1288&gt;0),SUMIFS($AH$7:$AH$1843,$BY$7:$BY$1843,BY1288,$AK$7:$AK$1843,"&gt;"&amp;AK1288)+SUMIFS($AH$7:$AH$1843,$BY$7:$BY$1843,BY1288,$AK$7:$AK$1843,AK1288,$BQ$7:$BQ$1843,"&lt;="&amp;BQ1288),"")</f>
        <v>17.1843603256647</v>
      </c>
      <c r="AM1288" s="65" t="n">
        <f aca="false">IF(AL1288="",0,MAX(0,MIN(1,(IF(BY1288="L1",Parameter!$E$5,Parameter!$E$6+Parameter!$E$7)-(AL1288-AH1288))/AH1288)))</f>
        <v>1</v>
      </c>
      <c r="AN1288" s="57" t="n">
        <f aca="false">IF(LEFT(Cockpit!$I$5,1)="A",H1288,IF(CA1288=1,CB1288,IF(LEFT(Cockpit!$I$5,1)="B",AR1288,MAX(AR1288,H1288))))</f>
        <v>113</v>
      </c>
      <c r="AO1288" s="57" t="n">
        <f aca="false">IF(BT1288=1,0,ROUNDUP(AN1288/BS1288,0))</f>
        <v>1</v>
      </c>
      <c r="AP1288" s="59" t="n">
        <f aca="false">IF(CH1288&gt;0,CH1288*MAX(1,AN1288/X1288),IF(BT1288=1,IF(AN1288&lt;=0,0,BW1288*MAX(1,IF(H1288&gt;0,AN1288/H1288,1))),IF(R1288&gt;0,AO1288/R1288,0))/MAX(0.1,N(Parameter!$M$21)))</f>
        <v>0.0384615384615385</v>
      </c>
      <c r="AQ1288" s="57" t="n">
        <f aca="false">AN1288*G1288</f>
        <v>3491.7</v>
      </c>
      <c r="AR1288" s="57" t="n">
        <f aca="false">ROUNDUP(MAX(J1288/IF(BZ1288&gt;0,BZ1288,MAX(0.1,N(Cockpit!$I$6))),CC1288)/BS1288,0)*BS1288</f>
        <v>113</v>
      </c>
      <c r="AS1288" s="58" t="n">
        <f aca="false">IF(AP1288&gt;0,J1288/AP1288,-1)</f>
        <v>1092</v>
      </c>
      <c r="AT1288" s="58" t="n">
        <f aca="false">IF(AND(OR(BY1288="L1",BY1288="L23"),AP1288&gt;0),SUMIFS($AP$7:$AP$1843,$BY$7:$BY$1843,BY1288,$AS$7:$AS$1843,"&gt;"&amp;AS1288)+SUMIFS($AP$7:$AP$1843,$BY$7:$BY$1843,BY1288,$AS$7:$AS$1843,AS1288,$BQ$7:$BQ$1843,"&lt;="&amp;BQ1288),"")</f>
        <v>23.3856964291747</v>
      </c>
      <c r="AU1288" s="65" t="n">
        <f aca="false">IF(AT1288="",0,MAX(0,MIN(1,(IF(BY1288="L1",Parameter!$E$5,Parameter!$E$6+Parameter!$E$7)-(AT1288-AP1288))/AP1288)))</f>
        <v>1</v>
      </c>
      <c r="AV1288" s="57" t="n">
        <f aca="false">IF(LEFT(Cockpit!$O$5,1)="A",H1288,IF(CA1288=1,CB1288,IF(LEFT(Cockpit!$O$5,1)="B",AZ1288,MAX(AZ1288,H1288))))</f>
        <v>113</v>
      </c>
      <c r="AW1288" s="57" t="n">
        <f aca="false">IF(BT1288=1,0,ROUNDUP(AV1288/BS1288,0))</f>
        <v>1</v>
      </c>
      <c r="AX1288" s="59" t="n">
        <f aca="false">IF(CH1288&gt;0,CH1288*MAX(1,AV1288/X1288),IF(BT1288=1,IF(AV1288&lt;=0,0,BW1288*MAX(1,IF(H1288&gt;0,AV1288/H1288,1))),IF(R1288&gt;0,AW1288/R1288,0))/MAX(0.1,N(Parameter!$M$21)))</f>
        <v>0.0384615384615385</v>
      </c>
      <c r="AY1288" s="57" t="n">
        <f aca="false">AV1288*G1288</f>
        <v>3491.7</v>
      </c>
      <c r="AZ1288" s="57" t="n">
        <f aca="false">ROUNDUP(MAX(J1288/IF(BZ1288&gt;0,BZ1288,MAX(0.1,N(Cockpit!$O$6))),CC1288)/BS1288,0)*BS1288</f>
        <v>113</v>
      </c>
      <c r="BA1288" s="58" t="n">
        <f aca="false">IF(AX1288&gt;0,J1288/AX1288,-1)</f>
        <v>1092</v>
      </c>
      <c r="BB1288" s="58" t="n">
        <f aca="false">IF(AND(OR(BY1288="L1",BY1288="L23"),AX1288&gt;0),SUMIFS($AX$7:$AX$1843,$BY$7:$BY$1843,BY1288,$BA$7:$BA$1843,"&gt;"&amp;BA1288)+SUMIFS($AX$7:$AX$1843,$BY$7:$BY$1843,BY1288,$BA$7:$BA$1843,BA1288,$BQ$7:$BQ$1843,"&lt;="&amp;BQ1288),"")</f>
        <v>22.5809178743961</v>
      </c>
      <c r="BC1288" s="65" t="n">
        <f aca="false">IF(BB1288="",0,MAX(0,MIN(1,(IF(BY1288="L1",Parameter!$E$5,Parameter!$E$6+Parameter!$E$7)-(BB1288-AX1288))/AX1288)))</f>
        <v>1</v>
      </c>
      <c r="BD1288" s="55" t="str">
        <f aca="false">IF(AH1288&lt;=0,"",IF(BY1288="Aussen","Aussenlager",IF(BY1288="-","Nicht im Lift",IF(AM1288&gt;=1,"Lift",IF(AM1288&lt;=0,"Aussenlager","teilweise")))))</f>
        <v>Lift</v>
      </c>
      <c r="BE1288" s="55" t="str">
        <f aca="false">IF(AP1288&lt;=0,"",IF(BY1288="Aussen","Aussenlager",IF(BY1288="-","Nicht im Lift",IF(AU1288&gt;=1,"Lift",IF(AU1288&lt;=0,"Aussenlager","teilweise")))))</f>
        <v>Lift</v>
      </c>
      <c r="BF1288" s="55" t="str">
        <f aca="false">IF(AX1288&lt;=0,"",IF(BY1288="Aussen","Aussenlager",IF(BY1288="-","Nicht im Lift",IF(BC1288&gt;=1,"Lift",IF(BC1288&lt;=0,"Aussenlager","teilweise")))))</f>
        <v>Lift</v>
      </c>
      <c r="BG1288" s="55" t="str">
        <f aca="false">IF(A1288="","",IF(BP1288=1,"Neu; ","")&amp;IF(AND(BP1288=0,BK1288&lt;0),"negativer Bestand (Export "&amp;BK1288&amp;"); ","")&amp;IF(J1288&lt;=0,"Kein Verbrauch; ","")&amp;IF(CH1288&gt;0,"Lift "&amp;W1288&amp;" lt. Liftbericht (Fach "&amp;X1288&amp;" Stk); ",IF(BU1288=1,"Gebinde geschätzt ("&amp;T1288&amp;"); ",IF(BT1288=1,"Lose – Tablare geschätzt; ","")))&amp;IF(H1288&gt;AR1288,"Überbestand "&amp;ROUND(H1288-AR1288,0)&amp;" Stk / CHF "&amp;ROUND((H1288-AR1288)*G1288,0)&amp;"; ","")&amp;IF(AND(CA1288=1,CB1288&lt;CC1288),"MAX &lt; MB+LG; ","")&amp;IF(AND(CG1288&gt;0,CF1288*10&gt;CG1288),"zu hoch für Tablar; ","")&amp;IF(AND(BP1288=0,OR(CA1288=1,AA1288&lt;&gt;"",U1288&lt;&gt;"",V1288&lt;&gt;"",AB1288&lt;&gt;"")),"manuell übersteuert; ","")&amp;IF(AND(BT1288=0,R1288=0),"Gebinde unbekannt / Stellmass fehlt; ","")&amp;IF(AND(BT1288=0,N(V1288)&lt;=0,N(Q1288)&lt;=0),"Menge pro Gebinde fehlt (Ist = 1 Gebinde); ","")&amp;BO1288)</f>
        <v>negativer Bestand (Export -43); </v>
      </c>
      <c r="BH1288" s="55"/>
      <c r="BI1288" s="55"/>
      <c r="BJ1288" s="62"/>
      <c r="BK1288" s="57" t="n">
        <v>-43</v>
      </c>
      <c r="BL1288" s="57" t="n">
        <v>154</v>
      </c>
      <c r="BM1288" s="56" t="n">
        <v>-1126.96</v>
      </c>
      <c r="BN1288" s="57" t="n">
        <v>42</v>
      </c>
      <c r="BO1288" s="55"/>
      <c r="BP1288" s="60" t="n">
        <v>0</v>
      </c>
      <c r="BQ1288" s="60" t="n">
        <v>1288</v>
      </c>
      <c r="BR1288" s="55" t="str">
        <f aca="false">IF(U1288&lt;&gt;"",UPPER(TRIM(U1288)),IF(BU1288=1,UPPER(VLOOKUP(T1288,Parameter!$I$27:$K$29,2,0)),IF(P1288="","LOSE",P1288)))</f>
        <v>S51</v>
      </c>
      <c r="BS1288" s="57" t="n">
        <f aca="false">IF(BR1288="LOSE",1,IF(N(V1288)&gt;0,V1288,IF(BU1288=1,MAX(1,N(VLOOKUP(T1288,Parameter!$I$27:$K$29,3,0)),H1288,N(N1288)),IF(N(Q1288)&gt;0,Q1288,MAX(1,H1288)))))</f>
        <v>113</v>
      </c>
      <c r="BT1288" s="60" t="n">
        <f aca="false">IF(BR1288="LOSE",1,0)</f>
        <v>0</v>
      </c>
      <c r="BU1288" s="60" t="n">
        <f aca="false">IF(AND(U1288="",OR(P1288="",P1288="LOSE"),T1288&lt;&gt;"",N(S1288)&lt;=0,ISNUMBER(MATCH(T1288,Parameter!$I$27:$I$29,0))),1,0)</f>
        <v>0</v>
      </c>
      <c r="BV1288" s="55" t="str">
        <f aca="false">IF(AND(Parameter!$B$19="Ja",E1288&lt;&gt;"",ISNUMBER(MATCH(E1288,Parameter!$I$35:$I$52,0))),VLOOKUP(E1288,Parameter!$I$35:$J$52,2,0),IFERROR(VLOOKUP(D1288,Parameter!$A$35:$C$64,2,0),"Nein"))</f>
        <v>2+3</v>
      </c>
      <c r="BW1288" s="59" t="n">
        <f aca="false">IF(BT1288=0,0,IF(N(S1288)&gt;0,S1288,IFERROR(VLOOKUP(D1288,Parameter!$A$35:$C$64,3,0)+0,0)))</f>
        <v>0</v>
      </c>
      <c r="BX1288" s="55" t="n">
        <f aca="false">IF(AA1288&lt;&gt;"",AA1288,Z1288)</f>
        <v>3</v>
      </c>
      <c r="BY1288" s="55" t="str">
        <f aca="false">IF(BX1288=1,"L1",IF(OR(BX1288=2,BX1288=3),"L23",IF(BX1288="Aussen","Aussen","-")))</f>
        <v>L23</v>
      </c>
      <c r="BZ1288" s="66" t="n">
        <f aca="false">IF(N(AB1288)&gt;0,AB1288,0)</f>
        <v>0</v>
      </c>
      <c r="CA1288" s="60" t="n">
        <f aca="false">IF(ISNUMBER(AE1288),1,0)</f>
        <v>0</v>
      </c>
      <c r="CB1288" s="57" t="n">
        <f aca="false">N(AE1288)</f>
        <v>0</v>
      </c>
      <c r="CC1288" s="57" t="n">
        <f aca="false">N(M1288)+N(N1288)</f>
        <v>48</v>
      </c>
      <c r="CD1288" s="57" t="n">
        <f aca="false">ROUNDUP(H1288/BS1288,0)</f>
        <v>1</v>
      </c>
      <c r="CE1288" s="57" t="n">
        <f aca="false">ROUNDUP(CB1288/BS1288,0)</f>
        <v>0</v>
      </c>
      <c r="CF1288" s="60" t="n">
        <f aca="false">IF(BT1288=1,0,IFERROR(VLOOKUP(BR1288,'Gebinde-Kategorie'!$A$5:$M$45,5,0)+0,0))</f>
        <v>11</v>
      </c>
      <c r="CG1288" s="60" t="n">
        <f aca="false">IFERROR(IF(OR(BX1288=1,BX1288=2,BX1288=3),N(INDEX(Parameter!$I$5:$I$7,BX1288)),0),0)</f>
        <v>0</v>
      </c>
      <c r="CH1288" s="59" t="n">
        <f aca="false">IF(AND(Parameter!$B$21="Ja",ISNUMBER(W1288),N(X1288)&gt;0),IFERROR(N(INDEX(Parameter!$L$5:$L$7,W1288))*INDEX(Parameter!$E$5:$E$7,W1288)*X1288/SUMIFS($X$7:$X$1843,$W$7:$W$1843,W1288),0),0)</f>
        <v>0</v>
      </c>
    </row>
    <row r="1289" customFormat="false" ht="15" hidden="false" customHeight="false" outlineLevel="0" collapsed="false">
      <c r="A1289" s="55" t="s">
        <v>2298</v>
      </c>
      <c r="B1289" s="55" t="s">
        <v>405</v>
      </c>
      <c r="C1289" s="55" t="s">
        <v>164</v>
      </c>
      <c r="D1289" s="55" t="s">
        <v>184</v>
      </c>
      <c r="E1289" s="55" t="s">
        <v>185</v>
      </c>
      <c r="F1289" s="55" t="s">
        <v>218</v>
      </c>
      <c r="G1289" s="56" t="n">
        <v>0.14</v>
      </c>
      <c r="H1289" s="57" t="n">
        <f aca="false">MAX(0,IF(AND(Parameter!$B$21="Ja",ISNUMBER(Y1289)),Y1289,IF(Parameter!$B$20="Jahresanfang 2025 + Export",BL1289+BK1289,BK1289)))</f>
        <v>673</v>
      </c>
      <c r="I1289" s="57" t="n">
        <f aca="false">H1289*G1289</f>
        <v>94.22</v>
      </c>
      <c r="J1289" s="57" t="n">
        <f aca="false">BN1289*Parameter!$B$18</f>
        <v>2173</v>
      </c>
      <c r="K1289" s="58" t="n">
        <v>1861.5</v>
      </c>
      <c r="L1289" s="59" t="n">
        <v>1.16733816814397</v>
      </c>
      <c r="M1289" s="57" t="n">
        <v>127</v>
      </c>
      <c r="N1289" s="57" t="n">
        <v>1000</v>
      </c>
      <c r="O1289" s="60" t="n">
        <v>21</v>
      </c>
      <c r="P1289" s="55" t="s">
        <v>302</v>
      </c>
      <c r="Q1289" s="57" t="n">
        <v>1238</v>
      </c>
      <c r="R1289" s="60" t="n">
        <f aca="false">IF(BT1289=1,0,IFERROR(VLOOKUP(BR1289,'Gebinde-Kategorie'!$A$5:$M$45,13,0)+0,0))</f>
        <v>26</v>
      </c>
      <c r="S1289" s="61"/>
      <c r="T1289" s="62"/>
      <c r="U1289" s="62"/>
      <c r="V1289" s="62"/>
      <c r="W1289" s="55"/>
      <c r="X1289" s="57"/>
      <c r="Y1289" s="57"/>
      <c r="Z1289" s="55" t="n">
        <f aca="false">IF(A1289="","",IF(AND(Parameter!$B$21="Ja",ISNUMBER(W1289)),W1289,IF(BV1289="2+3",IF(ISNUMBER(SEARCH("grosser Artikel",BO1289)),2,IFERROR(VLOOKUP(BR1289,Parameter!$F$35:$G$64,2,0),2)),IF(OR(BV1289="Nein",BV1289=""),"-",BV1289))))</f>
        <v>3</v>
      </c>
      <c r="AA1289" s="62"/>
      <c r="AB1289" s="63"/>
      <c r="AC1289" s="57" t="n">
        <f aca="false">AR1289</f>
        <v>1238</v>
      </c>
      <c r="AD1289" s="57" t="n">
        <f aca="false">MAX(AR1289,H1289)</f>
        <v>1238</v>
      </c>
      <c r="AE1289" s="64"/>
      <c r="AF1289" s="57" t="n">
        <f aca="false">IF(LEFT(Cockpit!$C$5,1)="A",H1289,IF(CA1289=1,CB1289,IF(LEFT(Cockpit!$C$5,1)="B",AJ1289,MAX(AJ1289,H1289))))</f>
        <v>673</v>
      </c>
      <c r="AG1289" s="57" t="n">
        <f aca="false">IF(BT1289=1,0,ROUNDUP(AF1289/BS1289,0))</f>
        <v>1</v>
      </c>
      <c r="AH1289" s="59" t="n">
        <f aca="false">IF(CH1289&gt;0,CH1289*MAX(1,AF1289/X1289),IF(BT1289=1,IF(AF1289&lt;=0,0,BW1289*MAX(1,IF(H1289&gt;0,AF1289/H1289,1))),IF(R1289&gt;0,AG1289/R1289,0))/MAX(0.1,N(Parameter!$M$21)))</f>
        <v>0.0384615384615385</v>
      </c>
      <c r="AI1289" s="57" t="n">
        <f aca="false">AF1289*G1289</f>
        <v>94.22</v>
      </c>
      <c r="AJ1289" s="57" t="n">
        <f aca="false">ROUNDUP(MAX(J1289/IF(BZ1289&gt;0,BZ1289,MAX(0.1,N(Cockpit!$C$6))),CC1289)/BS1289,0)*BS1289</f>
        <v>1238</v>
      </c>
      <c r="AK1289" s="58" t="n">
        <f aca="false">IF(AH1289&gt;0,J1289/AH1289,-1)</f>
        <v>56498</v>
      </c>
      <c r="AL1289" s="58" t="n">
        <f aca="false">IF(AND(OR(BY1289="L1",BY1289="L23"),AH1289&gt;0),SUMIFS($AH$7:$AH$1843,$BY$7:$BY$1843,BY1289,$AK$7:$AK$1843,"&gt;"&amp;AK1289)+SUMIFS($AH$7:$AH$1843,$BY$7:$BY$1843,BY1289,$AK$7:$AK$1843,AK1289,$BQ$7:$BQ$1843,"&lt;="&amp;BQ1289),"")</f>
        <v>1.15541704672139</v>
      </c>
      <c r="AM1289" s="65" t="n">
        <f aca="false">IF(AL1289="",0,MAX(0,MIN(1,(IF(BY1289="L1",Parameter!$E$5,Parameter!$E$6+Parameter!$E$7)-(AL1289-AH1289))/AH1289)))</f>
        <v>1</v>
      </c>
      <c r="AN1289" s="57" t="n">
        <f aca="false">IF(LEFT(Cockpit!$I$5,1)="A",H1289,IF(CA1289=1,CB1289,IF(LEFT(Cockpit!$I$5,1)="B",AR1289,MAX(AR1289,H1289))))</f>
        <v>1238</v>
      </c>
      <c r="AO1289" s="57" t="n">
        <f aca="false">IF(BT1289=1,0,ROUNDUP(AN1289/BS1289,0))</f>
        <v>1</v>
      </c>
      <c r="AP1289" s="59" t="n">
        <f aca="false">IF(CH1289&gt;0,CH1289*MAX(1,AN1289/X1289),IF(BT1289=1,IF(AN1289&lt;=0,0,BW1289*MAX(1,IF(H1289&gt;0,AN1289/H1289,1))),IF(R1289&gt;0,AO1289/R1289,0))/MAX(0.1,N(Parameter!$M$21)))</f>
        <v>0.0384615384615385</v>
      </c>
      <c r="AQ1289" s="57" t="n">
        <f aca="false">AN1289*G1289</f>
        <v>173.32</v>
      </c>
      <c r="AR1289" s="57" t="n">
        <f aca="false">ROUNDUP(MAX(J1289/IF(BZ1289&gt;0,BZ1289,MAX(0.1,N(Cockpit!$I$6))),CC1289)/BS1289,0)*BS1289</f>
        <v>1238</v>
      </c>
      <c r="AS1289" s="58" t="n">
        <f aca="false">IF(AP1289&gt;0,J1289/AP1289,-1)</f>
        <v>56498</v>
      </c>
      <c r="AT1289" s="58" t="n">
        <f aca="false">IF(AND(OR(BY1289="L1",BY1289="L23"),AP1289&gt;0),SUMIFS($AP$7:$AP$1843,$BY$7:$BY$1843,BY1289,$AS$7:$AS$1843,"&gt;"&amp;AS1289)+SUMIFS($AP$7:$AP$1843,$BY$7:$BY$1843,BY1289,$AS$7:$AS$1843,AS1289,$BQ$7:$BQ$1843,"&lt;="&amp;BQ1289),"")</f>
        <v>0.762761393196176</v>
      </c>
      <c r="AU1289" s="65" t="n">
        <f aca="false">IF(AT1289="",0,MAX(0,MIN(1,(IF(BY1289="L1",Parameter!$E$5,Parameter!$E$6+Parameter!$E$7)-(AT1289-AP1289))/AP1289)))</f>
        <v>1</v>
      </c>
      <c r="AV1289" s="57" t="n">
        <f aca="false">IF(LEFT(Cockpit!$O$5,1)="A",H1289,IF(CA1289=1,CB1289,IF(LEFT(Cockpit!$O$5,1)="B",AZ1289,MAX(AZ1289,H1289))))</f>
        <v>1238</v>
      </c>
      <c r="AW1289" s="57" t="n">
        <f aca="false">IF(BT1289=1,0,ROUNDUP(AV1289/BS1289,0))</f>
        <v>1</v>
      </c>
      <c r="AX1289" s="59" t="n">
        <f aca="false">IF(CH1289&gt;0,CH1289*MAX(1,AV1289/X1289),IF(BT1289=1,IF(AV1289&lt;=0,0,BW1289*MAX(1,IF(H1289&gt;0,AV1289/H1289,1))),IF(R1289&gt;0,AW1289/R1289,0))/MAX(0.1,N(Parameter!$M$21)))</f>
        <v>0.0384615384615385</v>
      </c>
      <c r="AY1289" s="57" t="n">
        <f aca="false">AV1289*G1289</f>
        <v>173.32</v>
      </c>
      <c r="AZ1289" s="57" t="n">
        <f aca="false">ROUNDUP(MAX(J1289/IF(BZ1289&gt;0,BZ1289,MAX(0.1,N(Cockpit!$O$6))),CC1289)/BS1289,0)*BS1289</f>
        <v>1238</v>
      </c>
      <c r="BA1289" s="58" t="n">
        <f aca="false">IF(AX1289&gt;0,J1289/AX1289,-1)</f>
        <v>56498</v>
      </c>
      <c r="BB1289" s="58" t="n">
        <f aca="false">IF(AND(OR(BY1289="L1",BY1289="L23"),AX1289&gt;0),SUMIFS($AX$7:$AX$1843,$BY$7:$BY$1843,BY1289,$BA$7:$BA$1843,"&gt;"&amp;BA1289)+SUMIFS($AX$7:$AX$1843,$BY$7:$BY$1843,BY1289,$BA$7:$BA$1843,BA1289,$BQ$7:$BQ$1843,"&lt;="&amp;BQ1289),"")</f>
        <v>0.912528292963076</v>
      </c>
      <c r="BC1289" s="65" t="n">
        <f aca="false">IF(BB1289="",0,MAX(0,MIN(1,(IF(BY1289="L1",Parameter!$E$5,Parameter!$E$6+Parameter!$E$7)-(BB1289-AX1289))/AX1289)))</f>
        <v>1</v>
      </c>
      <c r="BD1289" s="55" t="str">
        <f aca="false">IF(AH1289&lt;=0,"",IF(BY1289="Aussen","Aussenlager",IF(BY1289="-","Nicht im Lift",IF(AM1289&gt;=1,"Lift",IF(AM1289&lt;=0,"Aussenlager","teilweise")))))</f>
        <v>Lift</v>
      </c>
      <c r="BE1289" s="55" t="str">
        <f aca="false">IF(AP1289&lt;=0,"",IF(BY1289="Aussen","Aussenlager",IF(BY1289="-","Nicht im Lift",IF(AU1289&gt;=1,"Lift",IF(AU1289&lt;=0,"Aussenlager","teilweise")))))</f>
        <v>Lift</v>
      </c>
      <c r="BF1289" s="55" t="str">
        <f aca="false">IF(AX1289&lt;=0,"",IF(BY1289="Aussen","Aussenlager",IF(BY1289="-","Nicht im Lift",IF(BC1289&gt;=1,"Lift",IF(BC1289&lt;=0,"Aussenlager","teilweise")))))</f>
        <v>Lift</v>
      </c>
      <c r="BG1289" s="55" t="str">
        <f aca="false">IF(A1289="","",IF(BP1289=1,"Neu; ","")&amp;IF(AND(BP1289=0,BK1289&lt;0),"negativer Bestand (Export "&amp;BK1289&amp;"); ","")&amp;IF(J1289&lt;=0,"Kein Verbrauch; ","")&amp;IF(CH1289&gt;0,"Lift "&amp;W1289&amp;" lt. Liftbericht (Fach "&amp;X1289&amp;" Stk); ",IF(BU1289=1,"Gebinde geschätzt ("&amp;T1289&amp;"); ",IF(BT1289=1,"Lose – Tablare geschätzt; ","")))&amp;IF(H1289&gt;AR1289,"Überbestand "&amp;ROUND(H1289-AR1289,0)&amp;" Stk / CHF "&amp;ROUND((H1289-AR1289)*G1289,0)&amp;"; ","")&amp;IF(AND(CA1289=1,CB1289&lt;CC1289),"MAX &lt; MB+LG; ","")&amp;IF(AND(CG1289&gt;0,CF1289*10&gt;CG1289),"zu hoch für Tablar; ","")&amp;IF(AND(BP1289=0,OR(CA1289=1,AA1289&lt;&gt;"",U1289&lt;&gt;"",V1289&lt;&gt;"",AB1289&lt;&gt;"")),"manuell übersteuert; ","")&amp;IF(AND(BT1289=0,R1289=0),"Gebinde unbekannt / Stellmass fehlt; ","")&amp;IF(AND(BT1289=0,N(V1289)&lt;=0,N(Q1289)&lt;=0),"Menge pro Gebinde fehlt (Ist = 1 Gebinde); ","")&amp;BO1289)</f>
        <v>negativer Bestand (Export -2641); </v>
      </c>
      <c r="BH1289" s="55"/>
      <c r="BI1289" s="55"/>
      <c r="BJ1289" s="62"/>
      <c r="BK1289" s="57" t="n">
        <v>-2641</v>
      </c>
      <c r="BL1289" s="57" t="n">
        <v>3314</v>
      </c>
      <c r="BM1289" s="56" t="n">
        <v>-1130.58</v>
      </c>
      <c r="BN1289" s="57" t="n">
        <v>2173</v>
      </c>
      <c r="BO1289" s="55"/>
      <c r="BP1289" s="60" t="n">
        <v>0</v>
      </c>
      <c r="BQ1289" s="60" t="n">
        <v>1289</v>
      </c>
      <c r="BR1289" s="55" t="str">
        <f aca="false">IF(U1289&lt;&gt;"",UPPER(TRIM(U1289)),IF(BU1289=1,UPPER(VLOOKUP(T1289,Parameter!$I$27:$K$29,2,0)),IF(P1289="","LOSE",P1289)))</f>
        <v>S51</v>
      </c>
      <c r="BS1289" s="57" t="n">
        <f aca="false">IF(BR1289="LOSE",1,IF(N(V1289)&gt;0,V1289,IF(BU1289=1,MAX(1,N(VLOOKUP(T1289,Parameter!$I$27:$K$29,3,0)),H1289,N(N1289)),IF(N(Q1289)&gt;0,Q1289,MAX(1,H1289)))))</f>
        <v>1238</v>
      </c>
      <c r="BT1289" s="60" t="n">
        <f aca="false">IF(BR1289="LOSE",1,0)</f>
        <v>0</v>
      </c>
      <c r="BU1289" s="60" t="n">
        <f aca="false">IF(AND(U1289="",OR(P1289="",P1289="LOSE"),T1289&lt;&gt;"",N(S1289)&lt;=0,ISNUMBER(MATCH(T1289,Parameter!$I$27:$I$29,0))),1,0)</f>
        <v>0</v>
      </c>
      <c r="BV1289" s="55" t="str">
        <f aca="false">IF(AND(Parameter!$B$19="Ja",E1289&lt;&gt;"",ISNUMBER(MATCH(E1289,Parameter!$I$35:$I$52,0))),VLOOKUP(E1289,Parameter!$I$35:$J$52,2,0),IFERROR(VLOOKUP(D1289,Parameter!$A$35:$C$64,2,0),"Nein"))</f>
        <v>2+3</v>
      </c>
      <c r="BW1289" s="59" t="n">
        <f aca="false">IF(BT1289=0,0,IF(N(S1289)&gt;0,S1289,IFERROR(VLOOKUP(D1289,Parameter!$A$35:$C$64,3,0)+0,0)))</f>
        <v>0</v>
      </c>
      <c r="BX1289" s="55" t="n">
        <f aca="false">IF(AA1289&lt;&gt;"",AA1289,Z1289)</f>
        <v>3</v>
      </c>
      <c r="BY1289" s="55" t="str">
        <f aca="false">IF(BX1289=1,"L1",IF(OR(BX1289=2,BX1289=3),"L23",IF(BX1289="Aussen","Aussen","-")))</f>
        <v>L23</v>
      </c>
      <c r="BZ1289" s="66" t="n">
        <f aca="false">IF(N(AB1289)&gt;0,AB1289,0)</f>
        <v>0</v>
      </c>
      <c r="CA1289" s="60" t="n">
        <f aca="false">IF(ISNUMBER(AE1289),1,0)</f>
        <v>0</v>
      </c>
      <c r="CB1289" s="57" t="n">
        <f aca="false">N(AE1289)</f>
        <v>0</v>
      </c>
      <c r="CC1289" s="57" t="n">
        <f aca="false">N(M1289)+N(N1289)</f>
        <v>1127</v>
      </c>
      <c r="CD1289" s="57" t="n">
        <f aca="false">ROUNDUP(H1289/BS1289,0)</f>
        <v>1</v>
      </c>
      <c r="CE1289" s="57" t="n">
        <f aca="false">ROUNDUP(CB1289/BS1289,0)</f>
        <v>0</v>
      </c>
      <c r="CF1289" s="60" t="n">
        <f aca="false">IF(BT1289=1,0,IFERROR(VLOOKUP(BR1289,'Gebinde-Kategorie'!$A$5:$M$45,5,0)+0,0))</f>
        <v>11</v>
      </c>
      <c r="CG1289" s="60" t="n">
        <f aca="false">IFERROR(IF(OR(BX1289=1,BX1289=2,BX1289=3),N(INDEX(Parameter!$I$5:$I$7,BX1289)),0),0)</f>
        <v>0</v>
      </c>
      <c r="CH1289" s="59" t="n">
        <f aca="false">IF(AND(Parameter!$B$21="Ja",ISNUMBER(W1289),N(X1289)&gt;0),IFERROR(N(INDEX(Parameter!$L$5:$L$7,W1289))*INDEX(Parameter!$E$5:$E$7,W1289)*X1289/SUMIFS($X$7:$X$1843,$W$7:$W$1843,W1289),0),0)</f>
        <v>0</v>
      </c>
    </row>
    <row r="1290" customFormat="false" ht="15" hidden="false" customHeight="false" outlineLevel="0" collapsed="false">
      <c r="A1290" s="55" t="s">
        <v>2299</v>
      </c>
      <c r="B1290" s="55" t="s">
        <v>206</v>
      </c>
      <c r="C1290" s="55" t="s">
        <v>456</v>
      </c>
      <c r="D1290" s="55" t="s">
        <v>353</v>
      </c>
      <c r="E1290" s="55"/>
      <c r="F1290" s="55" t="s">
        <v>218</v>
      </c>
      <c r="G1290" s="56" t="n">
        <v>1133.33</v>
      </c>
      <c r="H1290" s="57" t="n">
        <f aca="false">MAX(0,IF(AND(Parameter!$B$21="Ja",ISNUMBER(Y1290)),Y1290,IF(Parameter!$B$20="Jahresanfang 2025 + Export",BL1290+BK1290,BK1290)))</f>
        <v>0</v>
      </c>
      <c r="I1290" s="57" t="n">
        <f aca="false">H1290*G1290</f>
        <v>0</v>
      </c>
      <c r="J1290" s="57" t="n">
        <f aca="false">BN1290*Parameter!$B$18</f>
        <v>0</v>
      </c>
      <c r="K1290" s="58" t="n">
        <v>0.5</v>
      </c>
      <c r="L1290" s="59" t="n">
        <v>0</v>
      </c>
      <c r="M1290" s="57" t="n">
        <v>0</v>
      </c>
      <c r="N1290" s="57" t="n">
        <v>0</v>
      </c>
      <c r="O1290" s="60" t="n">
        <v>70</v>
      </c>
      <c r="P1290" s="55" t="s">
        <v>168</v>
      </c>
      <c r="Q1290" s="57"/>
      <c r="R1290" s="60" t="n">
        <f aca="false">IF(BT1290=1,0,IFERROR(VLOOKUP(BR1290,'Gebinde-Kategorie'!$A$5:$M$45,13,0)+0,0))</f>
        <v>0</v>
      </c>
      <c r="S1290" s="61"/>
      <c r="T1290" s="62"/>
      <c r="U1290" s="62"/>
      <c r="V1290" s="62"/>
      <c r="W1290" s="55"/>
      <c r="X1290" s="57"/>
      <c r="Y1290" s="57"/>
      <c r="Z1290" s="55" t="str">
        <f aca="false">IF(A1290="","",IF(AND(Parameter!$B$21="Ja",ISNUMBER(W1290)),W1290,IF(BV1290="2+3",IF(ISNUMBER(SEARCH("grosser Artikel",BO1290)),2,IFERROR(VLOOKUP(BR1290,Parameter!$F$35:$G$64,2,0),2)),IF(OR(BV1290="Nein",BV1290=""),"-",BV1290))))</f>
        <v>-</v>
      </c>
      <c r="AA1290" s="62"/>
      <c r="AB1290" s="63"/>
      <c r="AC1290" s="57" t="n">
        <f aca="false">AR1290</f>
        <v>0</v>
      </c>
      <c r="AD1290" s="57" t="n">
        <f aca="false">MAX(AR1290,H1290)</f>
        <v>0</v>
      </c>
      <c r="AE1290" s="64"/>
      <c r="AF1290" s="57" t="n">
        <f aca="false">IF(LEFT(Cockpit!$C$5,1)="A",H1290,IF(CA1290=1,CB1290,IF(LEFT(Cockpit!$C$5,1)="B",AJ1290,MAX(AJ1290,H1290))))</f>
        <v>0</v>
      </c>
      <c r="AG1290" s="57" t="n">
        <f aca="false">IF(BT1290=1,0,ROUNDUP(AF1290/BS1290,0))</f>
        <v>0</v>
      </c>
      <c r="AH1290" s="59" t="n">
        <f aca="false">IF(CH1290&gt;0,CH1290*MAX(1,AF1290/X1290),IF(BT1290=1,IF(AF1290&lt;=0,0,BW1290*MAX(1,IF(H1290&gt;0,AF1290/H1290,1))),IF(R1290&gt;0,AG1290/R1290,0))/MAX(0.1,N(Parameter!$M$21)))</f>
        <v>0</v>
      </c>
      <c r="AI1290" s="57" t="n">
        <f aca="false">AF1290*G1290</f>
        <v>0</v>
      </c>
      <c r="AJ1290" s="57" t="n">
        <f aca="false">ROUNDUP(MAX(J1290/IF(BZ1290&gt;0,BZ1290,MAX(0.1,N(Cockpit!$C$6))),CC1290)/BS1290,0)*BS1290</f>
        <v>0</v>
      </c>
      <c r="AK1290" s="58" t="n">
        <f aca="false">IF(AH1290&gt;0,J1290/AH1290,-1)</f>
        <v>-1</v>
      </c>
      <c r="AL1290" s="58" t="str">
        <f aca="false">IF(AND(OR(BY1290="L1",BY1290="L23"),AH1290&gt;0),SUMIFS($AH$7:$AH$1843,$BY$7:$BY$1843,BY1290,$AK$7:$AK$1843,"&gt;"&amp;AK1290)+SUMIFS($AH$7:$AH$1843,$BY$7:$BY$1843,BY1290,$AK$7:$AK$1843,AK1290,$BQ$7:$BQ$1843,"&lt;="&amp;BQ1290),"")</f>
        <v/>
      </c>
      <c r="AM1290" s="65" t="n">
        <f aca="false">IF(AL1290="",0,MAX(0,MIN(1,(IF(BY1290="L1",Parameter!$E$5,Parameter!$E$6+Parameter!$E$7)-(AL1290-AH1290))/AH1290)))</f>
        <v>0</v>
      </c>
      <c r="AN1290" s="57" t="n">
        <f aca="false">IF(LEFT(Cockpit!$I$5,1)="A",H1290,IF(CA1290=1,CB1290,IF(LEFT(Cockpit!$I$5,1)="B",AR1290,MAX(AR1290,H1290))))</f>
        <v>0</v>
      </c>
      <c r="AO1290" s="57" t="n">
        <f aca="false">IF(BT1290=1,0,ROUNDUP(AN1290/BS1290,0))</f>
        <v>0</v>
      </c>
      <c r="AP1290" s="59" t="n">
        <f aca="false">IF(CH1290&gt;0,CH1290*MAX(1,AN1290/X1290),IF(BT1290=1,IF(AN1290&lt;=0,0,BW1290*MAX(1,IF(H1290&gt;0,AN1290/H1290,1))),IF(R1290&gt;0,AO1290/R1290,0))/MAX(0.1,N(Parameter!$M$21)))</f>
        <v>0</v>
      </c>
      <c r="AQ1290" s="57" t="n">
        <f aca="false">AN1290*G1290</f>
        <v>0</v>
      </c>
      <c r="AR1290" s="57" t="n">
        <f aca="false">ROUNDUP(MAX(J1290/IF(BZ1290&gt;0,BZ1290,MAX(0.1,N(Cockpit!$I$6))),CC1290)/BS1290,0)*BS1290</f>
        <v>0</v>
      </c>
      <c r="AS1290" s="58" t="n">
        <f aca="false">IF(AP1290&gt;0,J1290/AP1290,-1)</f>
        <v>-1</v>
      </c>
      <c r="AT1290" s="58" t="str">
        <f aca="false">IF(AND(OR(BY1290="L1",BY1290="L23"),AP1290&gt;0),SUMIFS($AP$7:$AP$1843,$BY$7:$BY$1843,BY1290,$AS$7:$AS$1843,"&gt;"&amp;AS1290)+SUMIFS($AP$7:$AP$1843,$BY$7:$BY$1843,BY1290,$AS$7:$AS$1843,AS1290,$BQ$7:$BQ$1843,"&lt;="&amp;BQ1290),"")</f>
        <v/>
      </c>
      <c r="AU1290" s="65" t="n">
        <f aca="false">IF(AT1290="",0,MAX(0,MIN(1,(IF(BY1290="L1",Parameter!$E$5,Parameter!$E$6+Parameter!$E$7)-(AT1290-AP1290))/AP1290)))</f>
        <v>0</v>
      </c>
      <c r="AV1290" s="57" t="n">
        <f aca="false">IF(LEFT(Cockpit!$O$5,1)="A",H1290,IF(CA1290=1,CB1290,IF(LEFT(Cockpit!$O$5,1)="B",AZ1290,MAX(AZ1290,H1290))))</f>
        <v>0</v>
      </c>
      <c r="AW1290" s="57" t="n">
        <f aca="false">IF(BT1290=1,0,ROUNDUP(AV1290/BS1290,0))</f>
        <v>0</v>
      </c>
      <c r="AX1290" s="59" t="n">
        <f aca="false">IF(CH1290&gt;0,CH1290*MAX(1,AV1290/X1290),IF(BT1290=1,IF(AV1290&lt;=0,0,BW1290*MAX(1,IF(H1290&gt;0,AV1290/H1290,1))),IF(R1290&gt;0,AW1290/R1290,0))/MAX(0.1,N(Parameter!$M$21)))</f>
        <v>0</v>
      </c>
      <c r="AY1290" s="57" t="n">
        <f aca="false">AV1290*G1290</f>
        <v>0</v>
      </c>
      <c r="AZ1290" s="57" t="n">
        <f aca="false">ROUNDUP(MAX(J1290/IF(BZ1290&gt;0,BZ1290,MAX(0.1,N(Cockpit!$O$6))),CC1290)/BS1290,0)*BS1290</f>
        <v>0</v>
      </c>
      <c r="BA1290" s="58" t="n">
        <f aca="false">IF(AX1290&gt;0,J1290/AX1290,-1)</f>
        <v>-1</v>
      </c>
      <c r="BB1290" s="58" t="str">
        <f aca="false">IF(AND(OR(BY1290="L1",BY1290="L23"),AX1290&gt;0),SUMIFS($AX$7:$AX$1843,$BY$7:$BY$1843,BY1290,$BA$7:$BA$1843,"&gt;"&amp;BA1290)+SUMIFS($AX$7:$AX$1843,$BY$7:$BY$1843,BY1290,$BA$7:$BA$1843,BA1290,$BQ$7:$BQ$1843,"&lt;="&amp;BQ1290),"")</f>
        <v/>
      </c>
      <c r="BC1290" s="65" t="n">
        <f aca="false">IF(BB1290="",0,MAX(0,MIN(1,(IF(BY1290="L1",Parameter!$E$5,Parameter!$E$6+Parameter!$E$7)-(BB1290-AX1290))/AX1290)))</f>
        <v>0</v>
      </c>
      <c r="BD1290" s="55" t="str">
        <f aca="false">IF(AH1290&lt;=0,"",IF(BY1290="Aussen","Aussenlager",IF(BY1290="-","Nicht im Lift",IF(AM1290&gt;=1,"Lift",IF(AM1290&lt;=0,"Aussenlager","teilweise")))))</f>
        <v/>
      </c>
      <c r="BE1290" s="55" t="str">
        <f aca="false">IF(AP1290&lt;=0,"",IF(BY1290="Aussen","Aussenlager",IF(BY1290="-","Nicht im Lift",IF(AU1290&gt;=1,"Lift",IF(AU1290&lt;=0,"Aussenlager","teilweise")))))</f>
        <v/>
      </c>
      <c r="BF1290" s="55" t="str">
        <f aca="false">IF(AX1290&lt;=0,"",IF(BY1290="Aussen","Aussenlager",IF(BY1290="-","Nicht im Lift",IF(BC1290&gt;=1,"Lift",IF(BC1290&lt;=0,"Aussenlager","teilweise")))))</f>
        <v/>
      </c>
      <c r="BG1290" s="55" t="str">
        <f aca="false">IF(A1290="","",IF(BP1290=1,"Neu; ","")&amp;IF(AND(BP1290=0,BK1290&lt;0),"negativer Bestand (Export "&amp;BK1290&amp;"); ","")&amp;IF(J1290&lt;=0,"Kein Verbrauch; ","")&amp;IF(CH1290&gt;0,"Lift "&amp;W1290&amp;" lt. Liftbericht (Fach "&amp;X1290&amp;" Stk); ",IF(BU1290=1,"Gebinde geschätzt ("&amp;T1290&amp;"); ",IF(BT1290=1,"Lose – Tablare geschätzt; ","")))&amp;IF(H1290&gt;AR1290,"Überbestand "&amp;ROUND(H1290-AR1290,0)&amp;" Stk / CHF "&amp;ROUND((H1290-AR1290)*G1290,0)&amp;"; ","")&amp;IF(AND(CA1290=1,CB1290&lt;CC1290),"MAX &lt; MB+LG; ","")&amp;IF(AND(CG1290&gt;0,CF1290*10&gt;CG1290),"zu hoch für Tablar; ","")&amp;IF(AND(BP1290=0,OR(CA1290=1,AA1290&lt;&gt;"",U1290&lt;&gt;"",V1290&lt;&gt;"",AB1290&lt;&gt;"")),"manuell übersteuert; ","")&amp;IF(AND(BT1290=0,R1290=0),"Gebinde unbekannt / Stellmass fehlt; ","")&amp;IF(AND(BT1290=0,N(V1290)&lt;=0,N(Q1290)&lt;=0),"Menge pro Gebinde fehlt (Ist = 1 Gebinde); ","")&amp;BO1290)</f>
        <v>negativer Bestand (Export -1); Kein Verbrauch; Lose – Tablare geschätzt; </v>
      </c>
      <c r="BH1290" s="55"/>
      <c r="BI1290" s="55"/>
      <c r="BJ1290" s="62"/>
      <c r="BK1290" s="57" t="n">
        <v>-1</v>
      </c>
      <c r="BL1290" s="57" t="n">
        <v>1</v>
      </c>
      <c r="BM1290" s="56" t="n">
        <v>-1133.33</v>
      </c>
      <c r="BN1290" s="57" t="n">
        <v>0</v>
      </c>
      <c r="BO1290" s="55"/>
      <c r="BP1290" s="60" t="n">
        <v>0</v>
      </c>
      <c r="BQ1290" s="60" t="n">
        <v>1290</v>
      </c>
      <c r="BR1290" s="55" t="str">
        <f aca="false">IF(U1290&lt;&gt;"",UPPER(TRIM(U1290)),IF(BU1290=1,UPPER(VLOOKUP(T1290,Parameter!$I$27:$K$29,2,0)),IF(P1290="","LOSE",P1290)))</f>
        <v>LOSE</v>
      </c>
      <c r="BS1290" s="57" t="n">
        <f aca="false">IF(BR1290="LOSE",1,IF(N(V1290)&gt;0,V1290,IF(BU1290=1,MAX(1,N(VLOOKUP(T1290,Parameter!$I$27:$K$29,3,0)),H1290,N(N1290)),IF(N(Q1290)&gt;0,Q1290,MAX(1,H1290)))))</f>
        <v>1</v>
      </c>
      <c r="BT1290" s="60" t="n">
        <f aca="false">IF(BR1290="LOSE",1,0)</f>
        <v>1</v>
      </c>
      <c r="BU1290" s="60" t="n">
        <f aca="false">IF(AND(U1290="",OR(P1290="",P1290="LOSE"),T1290&lt;&gt;"",N(S1290)&lt;=0,ISNUMBER(MATCH(T1290,Parameter!$I$27:$I$29,0))),1,0)</f>
        <v>0</v>
      </c>
      <c r="BV1290" s="55" t="str">
        <f aca="false">IF(AND(Parameter!$B$19="Ja",E1290&lt;&gt;"",ISNUMBER(MATCH(E1290,Parameter!$I$35:$I$52,0))),VLOOKUP(E1290,Parameter!$I$35:$J$52,2,0),IFERROR(VLOOKUP(D1290,Parameter!$A$35:$C$64,2,0),"Nein"))</f>
        <v>Nein</v>
      </c>
      <c r="BW1290" s="59" t="n">
        <f aca="false">IF(BT1290=0,0,IF(N(S1290)&gt;0,S1290,IFERROR(VLOOKUP(D1290,Parameter!$A$35:$C$64,3,0)+0,0)))</f>
        <v>0.15</v>
      </c>
      <c r="BX1290" s="55" t="str">
        <f aca="false">IF(AA1290&lt;&gt;"",AA1290,Z1290)</f>
        <v>-</v>
      </c>
      <c r="BY1290" s="55" t="str">
        <f aca="false">IF(BX1290=1,"L1",IF(OR(BX1290=2,BX1290=3),"L23",IF(BX1290="Aussen","Aussen","-")))</f>
        <v>-</v>
      </c>
      <c r="BZ1290" s="66" t="n">
        <f aca="false">IF(N(AB1290)&gt;0,AB1290,0)</f>
        <v>0</v>
      </c>
      <c r="CA1290" s="60" t="n">
        <f aca="false">IF(ISNUMBER(AE1290),1,0)</f>
        <v>0</v>
      </c>
      <c r="CB1290" s="57" t="n">
        <f aca="false">N(AE1290)</f>
        <v>0</v>
      </c>
      <c r="CC1290" s="57" t="n">
        <f aca="false">N(M1290)+N(N1290)</f>
        <v>0</v>
      </c>
      <c r="CD1290" s="57" t="n">
        <f aca="false">ROUNDUP(H1290/BS1290,0)</f>
        <v>0</v>
      </c>
      <c r="CE1290" s="57" t="n">
        <f aca="false">ROUNDUP(CB1290/BS1290,0)</f>
        <v>0</v>
      </c>
      <c r="CF1290" s="60" t="n">
        <f aca="false">IF(BT1290=1,0,IFERROR(VLOOKUP(BR1290,'Gebinde-Kategorie'!$A$5:$M$45,5,0)+0,0))</f>
        <v>0</v>
      </c>
      <c r="CG1290" s="60" t="n">
        <f aca="false">IFERROR(IF(OR(BX1290=1,BX1290=2,BX1290=3),N(INDEX(Parameter!$I$5:$I$7,BX1290)),0),0)</f>
        <v>0</v>
      </c>
      <c r="CH1290" s="59" t="n">
        <f aca="false">IF(AND(Parameter!$B$21="Ja",ISNUMBER(W1290),N(X1290)&gt;0),IFERROR(N(INDEX(Parameter!$L$5:$L$7,W1290))*INDEX(Parameter!$E$5:$E$7,W1290)*X1290/SUMIFS($X$7:$X$1843,$W$7:$W$1843,W1290),0),0)</f>
        <v>0</v>
      </c>
    </row>
    <row r="1291" customFormat="false" ht="15" hidden="false" customHeight="false" outlineLevel="0" collapsed="false">
      <c r="A1291" s="55" t="s">
        <v>2300</v>
      </c>
      <c r="B1291" s="55" t="s">
        <v>270</v>
      </c>
      <c r="C1291" s="55" t="s">
        <v>164</v>
      </c>
      <c r="D1291" s="55" t="s">
        <v>173</v>
      </c>
      <c r="E1291" s="55"/>
      <c r="F1291" s="55" t="s">
        <v>218</v>
      </c>
      <c r="G1291" s="56" t="n">
        <v>1160</v>
      </c>
      <c r="H1291" s="57" t="n">
        <f aca="false">MAX(0,IF(AND(Parameter!$B$21="Ja",ISNUMBER(Y1291)),Y1291,IF(Parameter!$B$20="Jahresanfang 2025 + Export",BL1291+BK1291,BK1291)))</f>
        <v>0</v>
      </c>
      <c r="I1291" s="57" t="n">
        <f aca="false">H1291*G1291</f>
        <v>0</v>
      </c>
      <c r="J1291" s="57" t="n">
        <f aca="false">BN1291*Parameter!$B$18</f>
        <v>0</v>
      </c>
      <c r="K1291" s="58" t="n">
        <v>1</v>
      </c>
      <c r="L1291" s="59" t="n">
        <v>0</v>
      </c>
      <c r="M1291" s="57" t="n">
        <v>0</v>
      </c>
      <c r="N1291" s="57" t="n">
        <v>1</v>
      </c>
      <c r="O1291" s="60" t="n">
        <v>35</v>
      </c>
      <c r="P1291" s="55" t="s">
        <v>168</v>
      </c>
      <c r="Q1291" s="57"/>
      <c r="R1291" s="60" t="n">
        <f aca="false">IF(BT1291=1,0,IFERROR(VLOOKUP(BR1291,'Gebinde-Kategorie'!$A$5:$M$45,13,0)+0,0))</f>
        <v>3</v>
      </c>
      <c r="S1291" s="61"/>
      <c r="T1291" s="62" t="s">
        <v>189</v>
      </c>
      <c r="U1291" s="62"/>
      <c r="V1291" s="62"/>
      <c r="W1291" s="55"/>
      <c r="X1291" s="57"/>
      <c r="Y1291" s="57"/>
      <c r="Z1291" s="55" t="n">
        <f aca="false">IF(A1291="","",IF(AND(Parameter!$B$21="Ja",ISNUMBER(W1291)),W1291,IF(BV1291="2+3",IF(ISNUMBER(SEARCH("grosser Artikel",BO1291)),2,IFERROR(VLOOKUP(BR1291,Parameter!$F$35:$G$64,2,0),2)),IF(OR(BV1291="Nein",BV1291=""),"-",BV1291))))</f>
        <v>2</v>
      </c>
      <c r="AA1291" s="62"/>
      <c r="AB1291" s="63"/>
      <c r="AC1291" s="57" t="n">
        <f aca="false">AR1291</f>
        <v>2</v>
      </c>
      <c r="AD1291" s="57" t="n">
        <f aca="false">MAX(AR1291,H1291)</f>
        <v>2</v>
      </c>
      <c r="AE1291" s="64"/>
      <c r="AF1291" s="57" t="n">
        <f aca="false">IF(LEFT(Cockpit!$C$5,1)="A",H1291,IF(CA1291=1,CB1291,IF(LEFT(Cockpit!$C$5,1)="B",AJ1291,MAX(AJ1291,H1291))))</f>
        <v>0</v>
      </c>
      <c r="AG1291" s="57" t="n">
        <f aca="false">IF(BT1291=1,0,ROUNDUP(AF1291/BS1291,0))</f>
        <v>0</v>
      </c>
      <c r="AH1291" s="59" t="n">
        <f aca="false">IF(CH1291&gt;0,CH1291*MAX(1,AF1291/X1291),IF(BT1291=1,IF(AF1291&lt;=0,0,BW1291*MAX(1,IF(H1291&gt;0,AF1291/H1291,1))),IF(R1291&gt;0,AG1291/R1291,0))/MAX(0.1,N(Parameter!$M$21)))</f>
        <v>0</v>
      </c>
      <c r="AI1291" s="57" t="n">
        <f aca="false">AF1291*G1291</f>
        <v>0</v>
      </c>
      <c r="AJ1291" s="57" t="n">
        <f aca="false">ROUNDUP(MAX(J1291/IF(BZ1291&gt;0,BZ1291,MAX(0.1,N(Cockpit!$C$6))),CC1291)/BS1291,0)*BS1291</f>
        <v>2</v>
      </c>
      <c r="AK1291" s="58" t="n">
        <f aca="false">IF(AH1291&gt;0,J1291/AH1291,-1)</f>
        <v>-1</v>
      </c>
      <c r="AL1291" s="58" t="str">
        <f aca="false">IF(AND(OR(BY1291="L1",BY1291="L23"),AH1291&gt;0),SUMIFS($AH$7:$AH$1843,$BY$7:$BY$1843,BY1291,$AK$7:$AK$1843,"&gt;"&amp;AK1291)+SUMIFS($AH$7:$AH$1843,$BY$7:$BY$1843,BY1291,$AK$7:$AK$1843,AK1291,$BQ$7:$BQ$1843,"&lt;="&amp;BQ1291),"")</f>
        <v/>
      </c>
      <c r="AM1291" s="65" t="n">
        <f aca="false">IF(AL1291="",0,MAX(0,MIN(1,(IF(BY1291="L1",Parameter!$E$5,Parameter!$E$6+Parameter!$E$7)-(AL1291-AH1291))/AH1291)))</f>
        <v>0</v>
      </c>
      <c r="AN1291" s="57" t="n">
        <f aca="false">IF(LEFT(Cockpit!$I$5,1)="A",H1291,IF(CA1291=1,CB1291,IF(LEFT(Cockpit!$I$5,1)="B",AR1291,MAX(AR1291,H1291))))</f>
        <v>2</v>
      </c>
      <c r="AO1291" s="57" t="n">
        <f aca="false">IF(BT1291=1,0,ROUNDUP(AN1291/BS1291,0))</f>
        <v>1</v>
      </c>
      <c r="AP1291" s="59" t="n">
        <f aca="false">IF(CH1291&gt;0,CH1291*MAX(1,AN1291/X1291),IF(BT1291=1,IF(AN1291&lt;=0,0,BW1291*MAX(1,IF(H1291&gt;0,AN1291/H1291,1))),IF(R1291&gt;0,AO1291/R1291,0))/MAX(0.1,N(Parameter!$M$21)))</f>
        <v>0.333333333333333</v>
      </c>
      <c r="AQ1291" s="57" t="n">
        <f aca="false">AN1291*G1291</f>
        <v>2320</v>
      </c>
      <c r="AR1291" s="57" t="n">
        <f aca="false">ROUNDUP(MAX(J1291/IF(BZ1291&gt;0,BZ1291,MAX(0.1,N(Cockpit!$I$6))),CC1291)/BS1291,0)*BS1291</f>
        <v>2</v>
      </c>
      <c r="AS1291" s="58" t="n">
        <f aca="false">IF(AP1291&gt;0,J1291/AP1291,-1)</f>
        <v>0</v>
      </c>
      <c r="AT1291" s="58" t="n">
        <f aca="false">IF(AND(OR(BY1291="L1",BY1291="L23"),AP1291&gt;0),SUMIFS($AP$7:$AP$1843,$BY$7:$BY$1843,BY1291,$AS$7:$AS$1843,"&gt;"&amp;AS1291)+SUMIFS($AP$7:$AP$1843,$BY$7:$BY$1843,BY1291,$AS$7:$AS$1843,AS1291,$BQ$7:$BQ$1843,"&lt;="&amp;BQ1291),"")</f>
        <v>124.657612918482</v>
      </c>
      <c r="AU1291" s="65" t="n">
        <f aca="false">IF(AT1291="",0,MAX(0,MIN(1,(IF(BY1291="L1",Parameter!$E$5,Parameter!$E$6+Parameter!$E$7)-(AT1291-AP1291))/AP1291)))</f>
        <v>0</v>
      </c>
      <c r="AV1291" s="57" t="n">
        <f aca="false">IF(LEFT(Cockpit!$O$5,1)="A",H1291,IF(CA1291=1,CB1291,IF(LEFT(Cockpit!$O$5,1)="B",AZ1291,MAX(AZ1291,H1291))))</f>
        <v>2</v>
      </c>
      <c r="AW1291" s="57" t="n">
        <f aca="false">IF(BT1291=1,0,ROUNDUP(AV1291/BS1291,0))</f>
        <v>1</v>
      </c>
      <c r="AX1291" s="59" t="n">
        <f aca="false">IF(CH1291&gt;0,CH1291*MAX(1,AV1291/X1291),IF(BT1291=1,IF(AV1291&lt;=0,0,BW1291*MAX(1,IF(H1291&gt;0,AV1291/H1291,1))),IF(R1291&gt;0,AW1291/R1291,0))/MAX(0.1,N(Parameter!$M$21)))</f>
        <v>0.333333333333333</v>
      </c>
      <c r="AY1291" s="57" t="n">
        <f aca="false">AV1291*G1291</f>
        <v>2320</v>
      </c>
      <c r="AZ1291" s="57" t="n">
        <f aca="false">ROUNDUP(MAX(J1291/IF(BZ1291&gt;0,BZ1291,MAX(0.1,N(Cockpit!$O$6))),CC1291)/BS1291,0)*BS1291</f>
        <v>2</v>
      </c>
      <c r="BA1291" s="58" t="n">
        <f aca="false">IF(AX1291&gt;0,J1291/AX1291,-1)</f>
        <v>0</v>
      </c>
      <c r="BB1291" s="58" t="n">
        <f aca="false">IF(AND(OR(BY1291="L1",BY1291="L23"),AX1291&gt;0),SUMIFS($AX$7:$AX$1843,$BY$7:$BY$1843,BY1291,$BA$7:$BA$1843,"&gt;"&amp;BA1291)+SUMIFS($AX$7:$AX$1843,$BY$7:$BY$1843,BY1291,$BA$7:$BA$1843,BA1291,$BQ$7:$BQ$1843,"&lt;="&amp;BQ1291),"")</f>
        <v>115.487449748319</v>
      </c>
      <c r="BC1291" s="65" t="n">
        <f aca="false">IF(BB1291="",0,MAX(0,MIN(1,(IF(BY1291="L1",Parameter!$E$5,Parameter!$E$6+Parameter!$E$7)-(BB1291-AX1291))/AX1291)))</f>
        <v>0</v>
      </c>
      <c r="BD1291" s="55" t="str">
        <f aca="false">IF(AH1291&lt;=0,"",IF(BY1291="Aussen","Aussenlager",IF(BY1291="-","Nicht im Lift",IF(AM1291&gt;=1,"Lift",IF(AM1291&lt;=0,"Aussenlager","teilweise")))))</f>
        <v/>
      </c>
      <c r="BE1291" s="55" t="str">
        <f aca="false">IF(AP1291&lt;=0,"",IF(BY1291="Aussen","Aussenlager",IF(BY1291="-","Nicht im Lift",IF(AU1291&gt;=1,"Lift",IF(AU1291&lt;=0,"Aussenlager","teilweise")))))</f>
        <v>Aussenlager</v>
      </c>
      <c r="BF1291" s="55" t="str">
        <f aca="false">IF(AX1291&lt;=0,"",IF(BY1291="Aussen","Aussenlager",IF(BY1291="-","Nicht im Lift",IF(BC1291&gt;=1,"Lift",IF(BC1291&lt;=0,"Aussenlager","teilweise")))))</f>
        <v>Aussenlager</v>
      </c>
      <c r="BG1291" s="55" t="str">
        <f aca="false">IF(A1291="","",IF(BP1291=1,"Neu; ","")&amp;IF(AND(BP1291=0,BK1291&lt;0),"negativer Bestand (Export "&amp;BK1291&amp;"); ","")&amp;IF(J1291&lt;=0,"Kein Verbrauch; ","")&amp;IF(CH1291&gt;0,"Lift "&amp;W1291&amp;" lt. Liftbericht (Fach "&amp;X1291&amp;" Stk); ",IF(BU1291=1,"Gebinde geschätzt ("&amp;T1291&amp;"); ",IF(BT1291=1,"Lose – Tablare geschätzt; ","")))&amp;IF(H1291&gt;AR1291,"Überbestand "&amp;ROUND(H1291-AR1291,0)&amp;" Stk / CHF "&amp;ROUND((H1291-AR1291)*G1291,0)&amp;"; ","")&amp;IF(AND(CA1291=1,CB1291&lt;CC1291),"MAX &lt; MB+LG; ","")&amp;IF(AND(CG1291&gt;0,CF1291*10&gt;CG1291),"zu hoch für Tablar; ","")&amp;IF(AND(BP1291=0,OR(CA1291=1,AA1291&lt;&gt;"",U1291&lt;&gt;"",V1291&lt;&gt;"",AB1291&lt;&gt;"")),"manuell übersteuert; ","")&amp;IF(AND(BT1291=0,R1291=0),"Gebinde unbekannt / Stellmass fehlt; ","")&amp;IF(AND(BT1291=0,N(V1291)&lt;=0,N(Q1291)&lt;=0),"Menge pro Gebinde fehlt (Ist = 1 Gebinde); ","")&amp;BO1291)</f>
        <v>negativer Bestand (Export -1); Kein Verbrauch; Gebinde geschätzt (Gross); Menge pro Gebinde fehlt (Ist = 1 Gebinde); </v>
      </c>
      <c r="BH1291" s="55"/>
      <c r="BI1291" s="55"/>
      <c r="BJ1291" s="62"/>
      <c r="BK1291" s="57" t="n">
        <v>-1</v>
      </c>
      <c r="BL1291" s="57" t="n">
        <v>1</v>
      </c>
      <c r="BM1291" s="56" t="n">
        <v>-1160</v>
      </c>
      <c r="BN1291" s="57" t="n">
        <v>0</v>
      </c>
      <c r="BO1291" s="55"/>
      <c r="BP1291" s="60" t="n">
        <v>0</v>
      </c>
      <c r="BQ1291" s="60" t="n">
        <v>1291</v>
      </c>
      <c r="BR1291" s="55" t="str">
        <f aca="false">IF(U1291&lt;&gt;"",UPPER(TRIM(U1291)),IF(BU1291=1,UPPER(VLOOKUP(T1291,Parameter!$I$27:$K$29,2,0)),IF(P1291="","LOSE",P1291)))</f>
        <v>S81</v>
      </c>
      <c r="BS1291" s="57" t="n">
        <f aca="false">IF(BR1291="LOSE",1,IF(N(V1291)&gt;0,V1291,IF(BU1291=1,MAX(1,N(VLOOKUP(T1291,Parameter!$I$27:$K$29,3,0)),H1291,N(N1291)),IF(N(Q1291)&gt;0,Q1291,MAX(1,H1291)))))</f>
        <v>2</v>
      </c>
      <c r="BT1291" s="60" t="n">
        <f aca="false">IF(BR1291="LOSE",1,0)</f>
        <v>0</v>
      </c>
      <c r="BU1291" s="60" t="n">
        <f aca="false">IF(AND(U1291="",OR(P1291="",P1291="LOSE"),T1291&lt;&gt;"",N(S1291)&lt;=0,ISNUMBER(MATCH(T1291,Parameter!$I$27:$I$29,0))),1,0)</f>
        <v>1</v>
      </c>
      <c r="BV1291" s="55" t="str">
        <f aca="false">IF(AND(Parameter!$B$19="Ja",E1291&lt;&gt;"",ISNUMBER(MATCH(E1291,Parameter!$I$35:$I$52,0))),VLOOKUP(E1291,Parameter!$I$35:$J$52,2,0),IFERROR(VLOOKUP(D1291,Parameter!$A$35:$C$64,2,0),"Nein"))</f>
        <v>2+3</v>
      </c>
      <c r="BW1291" s="59" t="n">
        <f aca="false">IF(BT1291=0,0,IF(N(S1291)&gt;0,S1291,IFERROR(VLOOKUP(D1291,Parameter!$A$35:$C$64,3,0)+0,0)))</f>
        <v>0</v>
      </c>
      <c r="BX1291" s="55" t="n">
        <f aca="false">IF(AA1291&lt;&gt;"",AA1291,Z1291)</f>
        <v>2</v>
      </c>
      <c r="BY1291" s="55" t="str">
        <f aca="false">IF(BX1291=1,"L1",IF(OR(BX1291=2,BX1291=3),"L23",IF(BX1291="Aussen","Aussen","-")))</f>
        <v>L23</v>
      </c>
      <c r="BZ1291" s="66" t="n">
        <f aca="false">IF(N(AB1291)&gt;0,AB1291,0)</f>
        <v>0</v>
      </c>
      <c r="CA1291" s="60" t="n">
        <f aca="false">IF(ISNUMBER(AE1291),1,0)</f>
        <v>0</v>
      </c>
      <c r="CB1291" s="57" t="n">
        <f aca="false">N(AE1291)</f>
        <v>0</v>
      </c>
      <c r="CC1291" s="57" t="n">
        <f aca="false">N(M1291)+N(N1291)</f>
        <v>1</v>
      </c>
      <c r="CD1291" s="57" t="n">
        <f aca="false">ROUNDUP(H1291/BS1291,0)</f>
        <v>0</v>
      </c>
      <c r="CE1291" s="57" t="n">
        <f aca="false">ROUNDUP(CB1291/BS1291,0)</f>
        <v>0</v>
      </c>
      <c r="CF1291" s="60" t="n">
        <f aca="false">IF(BT1291=1,0,IFERROR(VLOOKUP(BR1291,'Gebinde-Kategorie'!$A$5:$M$45,5,0)+0,0))</f>
        <v>20</v>
      </c>
      <c r="CG1291" s="60" t="n">
        <f aca="false">IFERROR(IF(OR(BX1291=1,BX1291=2,BX1291=3),N(INDEX(Parameter!$I$5:$I$7,BX1291)),0),0)</f>
        <v>0</v>
      </c>
      <c r="CH1291" s="59" t="n">
        <f aca="false">IF(AND(Parameter!$B$21="Ja",ISNUMBER(W1291),N(X1291)&gt;0),IFERROR(N(INDEX(Parameter!$L$5:$L$7,W1291))*INDEX(Parameter!$E$5:$E$7,W1291)*X1291/SUMIFS($X$7:$X$1843,$W$7:$W$1843,W1291),0),0)</f>
        <v>0</v>
      </c>
    </row>
    <row r="1292" customFormat="false" ht="15" hidden="false" customHeight="false" outlineLevel="0" collapsed="false">
      <c r="A1292" s="55" t="s">
        <v>2301</v>
      </c>
      <c r="B1292" s="55" t="s">
        <v>600</v>
      </c>
      <c r="C1292" s="55" t="s">
        <v>164</v>
      </c>
      <c r="D1292" s="55" t="s">
        <v>184</v>
      </c>
      <c r="E1292" s="55" t="s">
        <v>185</v>
      </c>
      <c r="F1292" s="55" t="s">
        <v>218</v>
      </c>
      <c r="G1292" s="56" t="n">
        <v>16.14</v>
      </c>
      <c r="H1292" s="57" t="n">
        <f aca="false">MAX(0,IF(AND(Parameter!$B$21="Ja",ISNUMBER(Y1292)),Y1292,IF(Parameter!$B$20="Jahresanfang 2025 + Export",BL1292+BK1292,BK1292)))</f>
        <v>10</v>
      </c>
      <c r="I1292" s="57" t="n">
        <f aca="false">H1292*G1292</f>
        <v>161.4</v>
      </c>
      <c r="J1292" s="57" t="n">
        <f aca="false">BN1292*Parameter!$B$18</f>
        <v>53</v>
      </c>
      <c r="K1292" s="58" t="n">
        <v>61.5</v>
      </c>
      <c r="L1292" s="59" t="n">
        <v>0.861788617886179</v>
      </c>
      <c r="M1292" s="57" t="n">
        <v>3</v>
      </c>
      <c r="N1292" s="57" t="n">
        <v>55</v>
      </c>
      <c r="O1292" s="60" t="n">
        <v>21</v>
      </c>
      <c r="P1292" s="55" t="s">
        <v>302</v>
      </c>
      <c r="Q1292" s="57" t="n">
        <v>58</v>
      </c>
      <c r="R1292" s="60" t="n">
        <f aca="false">IF(BT1292=1,0,IFERROR(VLOOKUP(BR1292,'Gebinde-Kategorie'!$A$5:$M$45,13,0)+0,0))</f>
        <v>26</v>
      </c>
      <c r="S1292" s="61"/>
      <c r="T1292" s="62"/>
      <c r="U1292" s="62"/>
      <c r="V1292" s="62"/>
      <c r="W1292" s="55"/>
      <c r="X1292" s="57"/>
      <c r="Y1292" s="57"/>
      <c r="Z1292" s="55" t="n">
        <f aca="false">IF(A1292="","",IF(AND(Parameter!$B$21="Ja",ISNUMBER(W1292)),W1292,IF(BV1292="2+3",IF(ISNUMBER(SEARCH("grosser Artikel",BO1292)),2,IFERROR(VLOOKUP(BR1292,Parameter!$F$35:$G$64,2,0),2)),IF(OR(BV1292="Nein",BV1292=""),"-",BV1292))))</f>
        <v>3</v>
      </c>
      <c r="AA1292" s="62"/>
      <c r="AB1292" s="63"/>
      <c r="AC1292" s="57" t="n">
        <f aca="false">AR1292</f>
        <v>58</v>
      </c>
      <c r="AD1292" s="57" t="n">
        <f aca="false">MAX(AR1292,H1292)</f>
        <v>58</v>
      </c>
      <c r="AE1292" s="64"/>
      <c r="AF1292" s="57" t="n">
        <f aca="false">IF(LEFT(Cockpit!$C$5,1)="A",H1292,IF(CA1292=1,CB1292,IF(LEFT(Cockpit!$C$5,1)="B",AJ1292,MAX(AJ1292,H1292))))</f>
        <v>10</v>
      </c>
      <c r="AG1292" s="57" t="n">
        <f aca="false">IF(BT1292=1,0,ROUNDUP(AF1292/BS1292,0))</f>
        <v>1</v>
      </c>
      <c r="AH1292" s="59" t="n">
        <f aca="false">IF(CH1292&gt;0,CH1292*MAX(1,AF1292/X1292),IF(BT1292=1,IF(AF1292&lt;=0,0,BW1292*MAX(1,IF(H1292&gt;0,AF1292/H1292,1))),IF(R1292&gt;0,AG1292/R1292,0))/MAX(0.1,N(Parameter!$M$21)))</f>
        <v>0.0384615384615385</v>
      </c>
      <c r="AI1292" s="57" t="n">
        <f aca="false">AF1292*G1292</f>
        <v>161.4</v>
      </c>
      <c r="AJ1292" s="57" t="n">
        <f aca="false">ROUNDUP(MAX(J1292/IF(BZ1292&gt;0,BZ1292,MAX(0.1,N(Cockpit!$C$6))),CC1292)/BS1292,0)*BS1292</f>
        <v>58</v>
      </c>
      <c r="AK1292" s="58" t="n">
        <f aca="false">IF(AH1292&gt;0,J1292/AH1292,-1)</f>
        <v>1378</v>
      </c>
      <c r="AL1292" s="58" t="n">
        <f aca="false">IF(AND(OR(BY1292="L1",BY1292="L23"),AH1292&gt;0),SUMIFS($AH$7:$AH$1843,$BY$7:$BY$1843,BY1292,$AK$7:$AK$1843,"&gt;"&amp;AK1292)+SUMIFS($AH$7:$AH$1843,$BY$7:$BY$1843,BY1292,$AK$7:$AK$1843,AK1292,$BQ$7:$BQ$1843,"&lt;="&amp;BQ1292),"")</f>
        <v>16.1378754096145</v>
      </c>
      <c r="AM1292" s="65" t="n">
        <f aca="false">IF(AL1292="",0,MAX(0,MIN(1,(IF(BY1292="L1",Parameter!$E$5,Parameter!$E$6+Parameter!$E$7)-(AL1292-AH1292))/AH1292)))</f>
        <v>1</v>
      </c>
      <c r="AN1292" s="57" t="n">
        <f aca="false">IF(LEFT(Cockpit!$I$5,1)="A",H1292,IF(CA1292=1,CB1292,IF(LEFT(Cockpit!$I$5,1)="B",AR1292,MAX(AR1292,H1292))))</f>
        <v>58</v>
      </c>
      <c r="AO1292" s="57" t="n">
        <f aca="false">IF(BT1292=1,0,ROUNDUP(AN1292/BS1292,0))</f>
        <v>1</v>
      </c>
      <c r="AP1292" s="59" t="n">
        <f aca="false">IF(CH1292&gt;0,CH1292*MAX(1,AN1292/X1292),IF(BT1292=1,IF(AN1292&lt;=0,0,BW1292*MAX(1,IF(H1292&gt;0,AN1292/H1292,1))),IF(R1292&gt;0,AO1292/R1292,0))/MAX(0.1,N(Parameter!$M$21)))</f>
        <v>0.0384615384615385</v>
      </c>
      <c r="AQ1292" s="57" t="n">
        <f aca="false">AN1292*G1292</f>
        <v>936.12</v>
      </c>
      <c r="AR1292" s="57" t="n">
        <f aca="false">ROUNDUP(MAX(J1292/IF(BZ1292&gt;0,BZ1292,MAX(0.1,N(Cockpit!$I$6))),CC1292)/BS1292,0)*BS1292</f>
        <v>58</v>
      </c>
      <c r="AS1292" s="58" t="n">
        <f aca="false">IF(AP1292&gt;0,J1292/AP1292,-1)</f>
        <v>1378</v>
      </c>
      <c r="AT1292" s="58" t="n">
        <f aca="false">IF(AND(OR(BY1292="L1",BY1292="L23"),AP1292&gt;0),SUMIFS($AP$7:$AP$1843,$BY$7:$BY$1843,BY1292,$AS$7:$AS$1843,"&gt;"&amp;AS1292)+SUMIFS($AP$7:$AP$1843,$BY$7:$BY$1843,BY1292,$AS$7:$AS$1843,AS1292,$BQ$7:$BQ$1843,"&lt;="&amp;BQ1292),"")</f>
        <v>21.2832674571805</v>
      </c>
      <c r="AU1292" s="65" t="n">
        <f aca="false">IF(AT1292="",0,MAX(0,MIN(1,(IF(BY1292="L1",Parameter!$E$5,Parameter!$E$6+Parameter!$E$7)-(AT1292-AP1292))/AP1292)))</f>
        <v>1</v>
      </c>
      <c r="AV1292" s="57" t="n">
        <f aca="false">IF(LEFT(Cockpit!$O$5,1)="A",H1292,IF(CA1292=1,CB1292,IF(LEFT(Cockpit!$O$5,1)="B",AZ1292,MAX(AZ1292,H1292))))</f>
        <v>58</v>
      </c>
      <c r="AW1292" s="57" t="n">
        <f aca="false">IF(BT1292=1,0,ROUNDUP(AV1292/BS1292,0))</f>
        <v>1</v>
      </c>
      <c r="AX1292" s="59" t="n">
        <f aca="false">IF(CH1292&gt;0,CH1292*MAX(1,AV1292/X1292),IF(BT1292=1,IF(AV1292&lt;=0,0,BW1292*MAX(1,IF(H1292&gt;0,AV1292/H1292,1))),IF(R1292&gt;0,AW1292/R1292,0))/MAX(0.1,N(Parameter!$M$21)))</f>
        <v>0.0384615384615385</v>
      </c>
      <c r="AY1292" s="57" t="n">
        <f aca="false">AV1292*G1292</f>
        <v>936.12</v>
      </c>
      <c r="AZ1292" s="57" t="n">
        <f aca="false">ROUNDUP(MAX(J1292/IF(BZ1292&gt;0,BZ1292,MAX(0.1,N(Cockpit!$O$6))),CC1292)/BS1292,0)*BS1292</f>
        <v>58</v>
      </c>
      <c r="BA1292" s="58" t="n">
        <f aca="false">IF(AX1292&gt;0,J1292/AX1292,-1)</f>
        <v>1378</v>
      </c>
      <c r="BB1292" s="58" t="n">
        <f aca="false">IF(AND(OR(BY1292="L1",BY1292="L23"),AX1292&gt;0),SUMIFS($AX$7:$AX$1843,$BY$7:$BY$1843,BY1292,$BA$7:$BA$1843,"&gt;"&amp;BA1292)+SUMIFS($AX$7:$AX$1843,$BY$7:$BY$1843,BY1292,$BA$7:$BA$1843,BA1292,$BQ$7:$BQ$1843,"&lt;="&amp;BQ1292),"")</f>
        <v>19.9784889024019</v>
      </c>
      <c r="BC1292" s="65" t="n">
        <f aca="false">IF(BB1292="",0,MAX(0,MIN(1,(IF(BY1292="L1",Parameter!$E$5,Parameter!$E$6+Parameter!$E$7)-(BB1292-AX1292))/AX1292)))</f>
        <v>1</v>
      </c>
      <c r="BD1292" s="55" t="str">
        <f aca="false">IF(AH1292&lt;=0,"",IF(BY1292="Aussen","Aussenlager",IF(BY1292="-","Nicht im Lift",IF(AM1292&gt;=1,"Lift",IF(AM1292&lt;=0,"Aussenlager","teilweise")))))</f>
        <v>Lift</v>
      </c>
      <c r="BE1292" s="55" t="str">
        <f aca="false">IF(AP1292&lt;=0,"",IF(BY1292="Aussen","Aussenlager",IF(BY1292="-","Nicht im Lift",IF(AU1292&gt;=1,"Lift",IF(AU1292&lt;=0,"Aussenlager","teilweise")))))</f>
        <v>Lift</v>
      </c>
      <c r="BF1292" s="55" t="str">
        <f aca="false">IF(AX1292&lt;=0,"",IF(BY1292="Aussen","Aussenlager",IF(BY1292="-","Nicht im Lift",IF(BC1292&gt;=1,"Lift",IF(BC1292&lt;=0,"Aussenlager","teilweise")))))</f>
        <v>Lift</v>
      </c>
      <c r="BG1292" s="55" t="str">
        <f aca="false">IF(A1292="","",IF(BP1292=1,"Neu; ","")&amp;IF(AND(BP1292=0,BK1292&lt;0),"negativer Bestand (Export "&amp;BK1292&amp;"); ","")&amp;IF(J1292&lt;=0,"Kein Verbrauch; ","")&amp;IF(CH1292&gt;0,"Lift "&amp;W1292&amp;" lt. Liftbericht (Fach "&amp;X1292&amp;" Stk); ",IF(BU1292=1,"Gebinde geschätzt ("&amp;T1292&amp;"); ",IF(BT1292=1,"Lose – Tablare geschätzt; ","")))&amp;IF(H1292&gt;AR1292,"Überbestand "&amp;ROUND(H1292-AR1292,0)&amp;" Stk / CHF "&amp;ROUND((H1292-AR1292)*G1292,0)&amp;"; ","")&amp;IF(AND(CA1292=1,CB1292&lt;CC1292),"MAX &lt; MB+LG; ","")&amp;IF(AND(CG1292&gt;0,CF1292*10&gt;CG1292),"zu hoch für Tablar; ","")&amp;IF(AND(BP1292=0,OR(CA1292=1,AA1292&lt;&gt;"",U1292&lt;&gt;"",V1292&lt;&gt;"",AB1292&lt;&gt;"")),"manuell übersteuert; ","")&amp;IF(AND(BT1292=0,R1292=0),"Gebinde unbekannt / Stellmass fehlt; ","")&amp;IF(AND(BT1292=0,N(V1292)&lt;=0,N(Q1292)&lt;=0),"Menge pro Gebinde fehlt (Ist = 1 Gebinde); ","")&amp;BO1292)</f>
        <v>negativer Bestand (Export -66); </v>
      </c>
      <c r="BH1292" s="55"/>
      <c r="BI1292" s="55"/>
      <c r="BJ1292" s="62"/>
      <c r="BK1292" s="57" t="n">
        <v>-66</v>
      </c>
      <c r="BL1292" s="57" t="n">
        <v>76</v>
      </c>
      <c r="BM1292" s="56" t="n">
        <v>-1160.7</v>
      </c>
      <c r="BN1292" s="57" t="n">
        <v>53</v>
      </c>
      <c r="BO1292" s="55"/>
      <c r="BP1292" s="60" t="n">
        <v>0</v>
      </c>
      <c r="BQ1292" s="60" t="n">
        <v>1292</v>
      </c>
      <c r="BR1292" s="55" t="str">
        <f aca="false">IF(U1292&lt;&gt;"",UPPER(TRIM(U1292)),IF(BU1292=1,UPPER(VLOOKUP(T1292,Parameter!$I$27:$K$29,2,0)),IF(P1292="","LOSE",P1292)))</f>
        <v>S51</v>
      </c>
      <c r="BS1292" s="57" t="n">
        <f aca="false">IF(BR1292="LOSE",1,IF(N(V1292)&gt;0,V1292,IF(BU1292=1,MAX(1,N(VLOOKUP(T1292,Parameter!$I$27:$K$29,3,0)),H1292,N(N1292)),IF(N(Q1292)&gt;0,Q1292,MAX(1,H1292)))))</f>
        <v>58</v>
      </c>
      <c r="BT1292" s="60" t="n">
        <f aca="false">IF(BR1292="LOSE",1,0)</f>
        <v>0</v>
      </c>
      <c r="BU1292" s="60" t="n">
        <f aca="false">IF(AND(U1292="",OR(P1292="",P1292="LOSE"),T1292&lt;&gt;"",N(S1292)&lt;=0,ISNUMBER(MATCH(T1292,Parameter!$I$27:$I$29,0))),1,0)</f>
        <v>0</v>
      </c>
      <c r="BV1292" s="55" t="str">
        <f aca="false">IF(AND(Parameter!$B$19="Ja",E1292&lt;&gt;"",ISNUMBER(MATCH(E1292,Parameter!$I$35:$I$52,0))),VLOOKUP(E1292,Parameter!$I$35:$J$52,2,0),IFERROR(VLOOKUP(D1292,Parameter!$A$35:$C$64,2,0),"Nein"))</f>
        <v>2+3</v>
      </c>
      <c r="BW1292" s="59" t="n">
        <f aca="false">IF(BT1292=0,0,IF(N(S1292)&gt;0,S1292,IFERROR(VLOOKUP(D1292,Parameter!$A$35:$C$64,3,0)+0,0)))</f>
        <v>0</v>
      </c>
      <c r="BX1292" s="55" t="n">
        <f aca="false">IF(AA1292&lt;&gt;"",AA1292,Z1292)</f>
        <v>3</v>
      </c>
      <c r="BY1292" s="55" t="str">
        <f aca="false">IF(BX1292=1,"L1",IF(OR(BX1292=2,BX1292=3),"L23",IF(BX1292="Aussen","Aussen","-")))</f>
        <v>L23</v>
      </c>
      <c r="BZ1292" s="66" t="n">
        <f aca="false">IF(N(AB1292)&gt;0,AB1292,0)</f>
        <v>0</v>
      </c>
      <c r="CA1292" s="60" t="n">
        <f aca="false">IF(ISNUMBER(AE1292),1,0)</f>
        <v>0</v>
      </c>
      <c r="CB1292" s="57" t="n">
        <f aca="false">N(AE1292)</f>
        <v>0</v>
      </c>
      <c r="CC1292" s="57" t="n">
        <f aca="false">N(M1292)+N(N1292)</f>
        <v>58</v>
      </c>
      <c r="CD1292" s="57" t="n">
        <f aca="false">ROUNDUP(H1292/BS1292,0)</f>
        <v>1</v>
      </c>
      <c r="CE1292" s="57" t="n">
        <f aca="false">ROUNDUP(CB1292/BS1292,0)</f>
        <v>0</v>
      </c>
      <c r="CF1292" s="60" t="n">
        <f aca="false">IF(BT1292=1,0,IFERROR(VLOOKUP(BR1292,'Gebinde-Kategorie'!$A$5:$M$45,5,0)+0,0))</f>
        <v>11</v>
      </c>
      <c r="CG1292" s="60" t="n">
        <f aca="false">IFERROR(IF(OR(BX1292=1,BX1292=2,BX1292=3),N(INDEX(Parameter!$I$5:$I$7,BX1292)),0),0)</f>
        <v>0</v>
      </c>
      <c r="CH1292" s="59" t="n">
        <f aca="false">IF(AND(Parameter!$B$21="Ja",ISNUMBER(W1292),N(X1292)&gt;0),IFERROR(N(INDEX(Parameter!$L$5:$L$7,W1292))*INDEX(Parameter!$E$5:$E$7,W1292)*X1292/SUMIFS($X$7:$X$1843,$W$7:$W$1843,W1292),0),0)</f>
        <v>0</v>
      </c>
    </row>
    <row r="1293" customFormat="false" ht="15" hidden="false" customHeight="false" outlineLevel="0" collapsed="false">
      <c r="A1293" s="55" t="s">
        <v>2302</v>
      </c>
      <c r="B1293" s="55" t="s">
        <v>998</v>
      </c>
      <c r="C1293" s="55" t="s">
        <v>164</v>
      </c>
      <c r="D1293" s="55" t="s">
        <v>184</v>
      </c>
      <c r="E1293" s="55" t="s">
        <v>185</v>
      </c>
      <c r="F1293" s="55" t="s">
        <v>218</v>
      </c>
      <c r="G1293" s="56" t="n">
        <v>116.83</v>
      </c>
      <c r="H1293" s="57" t="n">
        <f aca="false">MAX(0,IF(AND(Parameter!$B$21="Ja",ISNUMBER(Y1293)),Y1293,IF(Parameter!$B$20="Jahresanfang 2025 + Export",BL1293+BK1293,BK1293)))</f>
        <v>28.7910000000001</v>
      </c>
      <c r="I1293" s="57" t="n">
        <f aca="false">H1293*G1293</f>
        <v>3363.65253000001</v>
      </c>
      <c r="J1293" s="57" t="n">
        <f aca="false">BN1293*Parameter!$B$18</f>
        <v>148.173</v>
      </c>
      <c r="K1293" s="58" t="n">
        <v>35.0785</v>
      </c>
      <c r="L1293" s="59" t="n">
        <v>4.22404036660633</v>
      </c>
      <c r="M1293" s="57" t="n">
        <v>15</v>
      </c>
      <c r="N1293" s="57" t="n">
        <v>45</v>
      </c>
      <c r="O1293" s="60" t="n">
        <v>42</v>
      </c>
      <c r="P1293" s="55" t="s">
        <v>293</v>
      </c>
      <c r="Q1293" s="57" t="n">
        <v>17.887</v>
      </c>
      <c r="R1293" s="60" t="n">
        <f aca="false">IF(BT1293=1,0,IFERROR(VLOOKUP(BR1293,'Gebinde-Kategorie'!$A$5:$M$45,13,0)+0,0))</f>
        <v>12</v>
      </c>
      <c r="S1293" s="61"/>
      <c r="T1293" s="62"/>
      <c r="U1293" s="62"/>
      <c r="V1293" s="62"/>
      <c r="W1293" s="55"/>
      <c r="X1293" s="57"/>
      <c r="Y1293" s="57"/>
      <c r="Z1293" s="55" t="n">
        <f aca="false">IF(A1293="","",IF(AND(Parameter!$B$21="Ja",ISNUMBER(W1293)),W1293,IF(BV1293="2+3",IF(ISNUMBER(SEARCH("grosser Artikel",BO1293)),2,IFERROR(VLOOKUP(BR1293,Parameter!$F$35:$G$64,2,0),2)),IF(OR(BV1293="Nein",BV1293=""),"-",BV1293))))</f>
        <v>2</v>
      </c>
      <c r="AA1293" s="62"/>
      <c r="AB1293" s="63"/>
      <c r="AC1293" s="57" t="n">
        <f aca="false">AR1293</f>
        <v>89.435</v>
      </c>
      <c r="AD1293" s="57" t="n">
        <f aca="false">MAX(AR1293,H1293)</f>
        <v>89.435</v>
      </c>
      <c r="AE1293" s="64"/>
      <c r="AF1293" s="57" t="n">
        <f aca="false">IF(LEFT(Cockpit!$C$5,1)="A",H1293,IF(CA1293=1,CB1293,IF(LEFT(Cockpit!$C$5,1)="B",AJ1293,MAX(AJ1293,H1293))))</f>
        <v>28.7910000000001</v>
      </c>
      <c r="AG1293" s="57" t="n">
        <f aca="false">IF(BT1293=1,0,ROUNDUP(AF1293/BS1293,0))</f>
        <v>2</v>
      </c>
      <c r="AH1293" s="59" t="n">
        <f aca="false">IF(CH1293&gt;0,CH1293*MAX(1,AF1293/X1293),IF(BT1293=1,IF(AF1293&lt;=0,0,BW1293*MAX(1,IF(H1293&gt;0,AF1293/H1293,1))),IF(R1293&gt;0,AG1293/R1293,0))/MAX(0.1,N(Parameter!$M$21)))</f>
        <v>0.166666666666667</v>
      </c>
      <c r="AI1293" s="57" t="n">
        <f aca="false">AF1293*G1293</f>
        <v>3363.65253000001</v>
      </c>
      <c r="AJ1293" s="57" t="n">
        <f aca="false">ROUNDUP(MAX(J1293/IF(BZ1293&gt;0,BZ1293,MAX(0.1,N(Cockpit!$C$6))),CC1293)/BS1293,0)*BS1293</f>
        <v>89.435</v>
      </c>
      <c r="AK1293" s="58" t="n">
        <f aca="false">IF(AH1293&gt;0,J1293/AH1293,-1)</f>
        <v>889.038</v>
      </c>
      <c r="AL1293" s="58" t="n">
        <f aca="false">IF(AND(OR(BY1293="L1",BY1293="L23"),AH1293&gt;0),SUMIFS($AH$7:$AH$1843,$BY$7:$BY$1843,BY1293,$AK$7:$AK$1843,"&gt;"&amp;AK1293)+SUMIFS($AH$7:$AH$1843,$BY$7:$BY$1843,BY1293,$AK$7:$AK$1843,AK1293,$BQ$7:$BQ$1843,"&lt;="&amp;BQ1293),"")</f>
        <v>19.3469477382521</v>
      </c>
      <c r="AM1293" s="65" t="n">
        <f aca="false">IF(AL1293="",0,MAX(0,MIN(1,(IF(BY1293="L1",Parameter!$E$5,Parameter!$E$6+Parameter!$E$7)-(AL1293-AH1293))/AH1293)))</f>
        <v>1</v>
      </c>
      <c r="AN1293" s="57" t="n">
        <f aca="false">IF(LEFT(Cockpit!$I$5,1)="A",H1293,IF(CA1293=1,CB1293,IF(LEFT(Cockpit!$I$5,1)="B",AR1293,MAX(AR1293,H1293))))</f>
        <v>89.435</v>
      </c>
      <c r="AO1293" s="57" t="n">
        <f aca="false">IF(BT1293=1,0,ROUNDUP(AN1293/BS1293,0))</f>
        <v>5</v>
      </c>
      <c r="AP1293" s="59" t="n">
        <f aca="false">IF(CH1293&gt;0,CH1293*MAX(1,AN1293/X1293),IF(BT1293=1,IF(AN1293&lt;=0,0,BW1293*MAX(1,IF(H1293&gt;0,AN1293/H1293,1))),IF(R1293&gt;0,AO1293/R1293,0))/MAX(0.1,N(Parameter!$M$21)))</f>
        <v>0.416666666666667</v>
      </c>
      <c r="AQ1293" s="57" t="n">
        <f aca="false">AN1293*G1293</f>
        <v>10448.69105</v>
      </c>
      <c r="AR1293" s="57" t="n">
        <f aca="false">ROUNDUP(MAX(J1293/IF(BZ1293&gt;0,BZ1293,MAX(0.1,N(Cockpit!$I$6))),CC1293)/BS1293,0)*BS1293</f>
        <v>89.435</v>
      </c>
      <c r="AS1293" s="58" t="n">
        <f aca="false">IF(AP1293&gt;0,J1293/AP1293,-1)</f>
        <v>355.6152</v>
      </c>
      <c r="AT1293" s="58" t="n">
        <f aca="false">IF(AND(OR(BY1293="L1",BY1293="L23"),AP1293&gt;0),SUMIFS($AP$7:$AP$1843,$BY$7:$BY$1843,BY1293,$AS$7:$AS$1843,"&gt;"&amp;AS1293)+SUMIFS($AP$7:$AP$1843,$BY$7:$BY$1843,BY1293,$AS$7:$AS$1843,AS1293,$BQ$7:$BQ$1843,"&lt;="&amp;BQ1293),"")</f>
        <v>37.1375038005473</v>
      </c>
      <c r="AU1293" s="65" t="n">
        <f aca="false">IF(AT1293="",0,MAX(0,MIN(1,(IF(BY1293="L1",Parameter!$E$5,Parameter!$E$6+Parameter!$E$7)-(AT1293-AP1293))/AP1293)))</f>
        <v>1</v>
      </c>
      <c r="AV1293" s="57" t="n">
        <f aca="false">IF(LEFT(Cockpit!$O$5,1)="A",H1293,IF(CA1293=1,CB1293,IF(LEFT(Cockpit!$O$5,1)="B",AZ1293,MAX(AZ1293,H1293))))</f>
        <v>71.548</v>
      </c>
      <c r="AW1293" s="57" t="n">
        <f aca="false">IF(BT1293=1,0,ROUNDUP(AV1293/BS1293,0))</f>
        <v>4</v>
      </c>
      <c r="AX1293" s="59" t="n">
        <f aca="false">IF(CH1293&gt;0,CH1293*MAX(1,AV1293/X1293),IF(BT1293=1,IF(AV1293&lt;=0,0,BW1293*MAX(1,IF(H1293&gt;0,AV1293/H1293,1))),IF(R1293&gt;0,AW1293/R1293,0))/MAX(0.1,N(Parameter!$M$21)))</f>
        <v>0.333333333333333</v>
      </c>
      <c r="AY1293" s="57" t="n">
        <f aca="false">AV1293*G1293</f>
        <v>8358.95284</v>
      </c>
      <c r="AZ1293" s="57" t="n">
        <f aca="false">ROUNDUP(MAX(J1293/IF(BZ1293&gt;0,BZ1293,MAX(0.1,N(Cockpit!$O$6))),CC1293)/BS1293,0)*BS1293</f>
        <v>71.548</v>
      </c>
      <c r="BA1293" s="58" t="n">
        <f aca="false">IF(AX1293&gt;0,J1293/AX1293,-1)</f>
        <v>444.519</v>
      </c>
      <c r="BB1293" s="58" t="n">
        <f aca="false">IF(AND(OR(BY1293="L1",BY1293="L23"),AX1293&gt;0),SUMIFS($AX$7:$AX$1843,$BY$7:$BY$1843,BY1293,$BA$7:$BA$1843,"&gt;"&amp;BA1293)+SUMIFS($AX$7:$AX$1843,$BY$7:$BY$1843,BY1293,$BA$7:$BA$1843,BA1293,$BQ$7:$BQ$1843,"&lt;="&amp;BQ1293),"")</f>
        <v>33.4504577548056</v>
      </c>
      <c r="BC1293" s="65" t="n">
        <f aca="false">IF(BB1293="",0,MAX(0,MIN(1,(IF(BY1293="L1",Parameter!$E$5,Parameter!$E$6+Parameter!$E$7)-(BB1293-AX1293))/AX1293)))</f>
        <v>1</v>
      </c>
      <c r="BD1293" s="55" t="str">
        <f aca="false">IF(AH1293&lt;=0,"",IF(BY1293="Aussen","Aussenlager",IF(BY1293="-","Nicht im Lift",IF(AM1293&gt;=1,"Lift",IF(AM1293&lt;=0,"Aussenlager","teilweise")))))</f>
        <v>Lift</v>
      </c>
      <c r="BE1293" s="55" t="str">
        <f aca="false">IF(AP1293&lt;=0,"",IF(BY1293="Aussen","Aussenlager",IF(BY1293="-","Nicht im Lift",IF(AU1293&gt;=1,"Lift",IF(AU1293&lt;=0,"Aussenlager","teilweise")))))</f>
        <v>Lift</v>
      </c>
      <c r="BF1293" s="55" t="str">
        <f aca="false">IF(AX1293&lt;=0,"",IF(BY1293="Aussen","Aussenlager",IF(BY1293="-","Nicht im Lift",IF(BC1293&gt;=1,"Lift",IF(BC1293&lt;=0,"Aussenlager","teilweise")))))</f>
        <v>Lift</v>
      </c>
      <c r="BG1293" s="55" t="str">
        <f aca="false">IF(A1293="","",IF(BP1293=1,"Neu; ","")&amp;IF(AND(BP1293=0,BK1293&lt;0),"negativer Bestand (Export "&amp;BK1293&amp;"); ","")&amp;IF(J1293&lt;=0,"Kein Verbrauch; ","")&amp;IF(CH1293&gt;0,"Lift "&amp;W1293&amp;" lt. Liftbericht (Fach "&amp;X1293&amp;" Stk); ",IF(BU1293=1,"Gebinde geschätzt ("&amp;T1293&amp;"); ",IF(BT1293=1,"Lose – Tablare geschätzt; ","")))&amp;IF(H1293&gt;AR1293,"Überbestand "&amp;ROUND(H1293-AR1293,0)&amp;" Stk / CHF "&amp;ROUND((H1293-AR1293)*G1293,0)&amp;"; ","")&amp;IF(AND(CA1293=1,CB1293&lt;CC1293),"MAX &lt; MB+LG; ","")&amp;IF(AND(CG1293&gt;0,CF1293*10&gt;CG1293),"zu hoch für Tablar; ","")&amp;IF(AND(BP1293=0,OR(CA1293=1,AA1293&lt;&gt;"",U1293&lt;&gt;"",V1293&lt;&gt;"",AB1293&lt;&gt;"")),"manuell übersteuert; ","")&amp;IF(AND(BT1293=0,R1293=0),"Gebinde unbekannt / Stellmass fehlt; ","")&amp;IF(AND(BT1293=0,N(V1293)&lt;=0,N(Q1293)&lt;=0),"Menge pro Gebinde fehlt (Ist = 1 Gebinde); ","")&amp;BO1293)</f>
        <v>negativer Bestand (Export -10.0179999999999); </v>
      </c>
      <c r="BH1293" s="55"/>
      <c r="BI1293" s="55"/>
      <c r="BJ1293" s="62"/>
      <c r="BK1293" s="57" t="n">
        <v>-10.0179999999999</v>
      </c>
      <c r="BL1293" s="57" t="n">
        <v>38.809</v>
      </c>
      <c r="BM1293" s="56" t="n">
        <v>-1172.3</v>
      </c>
      <c r="BN1293" s="57" t="n">
        <v>148.173</v>
      </c>
      <c r="BO1293" s="55"/>
      <c r="BP1293" s="60" t="n">
        <v>0</v>
      </c>
      <c r="BQ1293" s="60" t="n">
        <v>1293</v>
      </c>
      <c r="BR1293" s="55" t="str">
        <f aca="false">IF(U1293&lt;&gt;"",UPPER(TRIM(U1293)),IF(BU1293=1,UPPER(VLOOKUP(T1293,Parameter!$I$27:$K$29,2,0)),IF(P1293="","LOSE",P1293)))</f>
        <v>S62</v>
      </c>
      <c r="BS1293" s="57" t="n">
        <f aca="false">IF(BR1293="LOSE",1,IF(N(V1293)&gt;0,V1293,IF(BU1293=1,MAX(1,N(VLOOKUP(T1293,Parameter!$I$27:$K$29,3,0)),H1293,N(N1293)),IF(N(Q1293)&gt;0,Q1293,MAX(1,H1293)))))</f>
        <v>17.887</v>
      </c>
      <c r="BT1293" s="60" t="n">
        <f aca="false">IF(BR1293="LOSE",1,0)</f>
        <v>0</v>
      </c>
      <c r="BU1293" s="60" t="n">
        <f aca="false">IF(AND(U1293="",OR(P1293="",P1293="LOSE"),T1293&lt;&gt;"",N(S1293)&lt;=0,ISNUMBER(MATCH(T1293,Parameter!$I$27:$I$29,0))),1,0)</f>
        <v>0</v>
      </c>
      <c r="BV1293" s="55" t="str">
        <f aca="false">IF(AND(Parameter!$B$19="Ja",E1293&lt;&gt;"",ISNUMBER(MATCH(E1293,Parameter!$I$35:$I$52,0))),VLOOKUP(E1293,Parameter!$I$35:$J$52,2,0),IFERROR(VLOOKUP(D1293,Parameter!$A$35:$C$64,2,0),"Nein"))</f>
        <v>2+3</v>
      </c>
      <c r="BW1293" s="59" t="n">
        <f aca="false">IF(BT1293=0,0,IF(N(S1293)&gt;0,S1293,IFERROR(VLOOKUP(D1293,Parameter!$A$35:$C$64,3,0)+0,0)))</f>
        <v>0</v>
      </c>
      <c r="BX1293" s="55" t="n">
        <f aca="false">IF(AA1293&lt;&gt;"",AA1293,Z1293)</f>
        <v>2</v>
      </c>
      <c r="BY1293" s="55" t="str">
        <f aca="false">IF(BX1293=1,"L1",IF(OR(BX1293=2,BX1293=3),"L23",IF(BX1293="Aussen","Aussen","-")))</f>
        <v>L23</v>
      </c>
      <c r="BZ1293" s="66" t="n">
        <f aca="false">IF(N(AB1293)&gt;0,AB1293,0)</f>
        <v>0</v>
      </c>
      <c r="CA1293" s="60" t="n">
        <f aca="false">IF(ISNUMBER(AE1293),1,0)</f>
        <v>0</v>
      </c>
      <c r="CB1293" s="57" t="n">
        <f aca="false">N(AE1293)</f>
        <v>0</v>
      </c>
      <c r="CC1293" s="57" t="n">
        <f aca="false">N(M1293)+N(N1293)</f>
        <v>60</v>
      </c>
      <c r="CD1293" s="57" t="n">
        <f aca="false">ROUNDUP(H1293/BS1293,0)</f>
        <v>2</v>
      </c>
      <c r="CE1293" s="57" t="n">
        <f aca="false">ROUNDUP(CB1293/BS1293,0)</f>
        <v>0</v>
      </c>
      <c r="CF1293" s="60" t="n">
        <f aca="false">IF(BT1293=1,0,IFERROR(VLOOKUP(BR1293,'Gebinde-Kategorie'!$A$5:$M$45,5,0)+0,0))</f>
        <v>21</v>
      </c>
      <c r="CG1293" s="60" t="n">
        <f aca="false">IFERROR(IF(OR(BX1293=1,BX1293=2,BX1293=3),N(INDEX(Parameter!$I$5:$I$7,BX1293)),0),0)</f>
        <v>0</v>
      </c>
      <c r="CH1293" s="59" t="n">
        <f aca="false">IF(AND(Parameter!$B$21="Ja",ISNUMBER(W1293),N(X1293)&gt;0),IFERROR(N(INDEX(Parameter!$L$5:$L$7,W1293))*INDEX(Parameter!$E$5:$E$7,W1293)*X1293/SUMIFS($X$7:$X$1843,$W$7:$W$1843,W1293),0),0)</f>
        <v>0</v>
      </c>
    </row>
    <row r="1294" customFormat="false" ht="15" hidden="false" customHeight="false" outlineLevel="0" collapsed="false">
      <c r="A1294" s="55" t="s">
        <v>2303</v>
      </c>
      <c r="B1294" s="55" t="s">
        <v>343</v>
      </c>
      <c r="C1294" s="55" t="s">
        <v>164</v>
      </c>
      <c r="D1294" s="55" t="s">
        <v>173</v>
      </c>
      <c r="E1294" s="55" t="s">
        <v>166</v>
      </c>
      <c r="F1294" s="55" t="s">
        <v>218</v>
      </c>
      <c r="G1294" s="56" t="n">
        <v>186.4</v>
      </c>
      <c r="H1294" s="57" t="n">
        <f aca="false">MAX(0,IF(AND(Parameter!$B$21="Ja",ISNUMBER(Y1294)),Y1294,IF(Parameter!$B$20="Jahresanfang 2025 + Export",BL1294+BK1294,BK1294)))</f>
        <v>10</v>
      </c>
      <c r="I1294" s="57" t="n">
        <f aca="false">H1294*G1294</f>
        <v>1864</v>
      </c>
      <c r="J1294" s="57" t="n">
        <f aca="false">BN1294*Parameter!$B$18</f>
        <v>25</v>
      </c>
      <c r="K1294" s="58" t="n">
        <v>13</v>
      </c>
      <c r="L1294" s="59" t="n">
        <v>1.92307692307692</v>
      </c>
      <c r="M1294" s="57" t="n">
        <v>1</v>
      </c>
      <c r="N1294" s="57" t="n">
        <v>10</v>
      </c>
      <c r="O1294" s="60" t="n">
        <v>21</v>
      </c>
      <c r="P1294" s="55" t="s">
        <v>174</v>
      </c>
      <c r="Q1294" s="57" t="n">
        <v>15</v>
      </c>
      <c r="R1294" s="60" t="n">
        <f aca="false">IF(BT1294=1,0,IFERROR(VLOOKUP(BR1294,'Gebinde-Kategorie'!$A$5:$M$45,13,0)+0,0))</f>
        <v>6</v>
      </c>
      <c r="S1294" s="61"/>
      <c r="T1294" s="62"/>
      <c r="U1294" s="62"/>
      <c r="V1294" s="62"/>
      <c r="W1294" s="55"/>
      <c r="X1294" s="57"/>
      <c r="Y1294" s="57"/>
      <c r="Z1294" s="55" t="n">
        <f aca="false">IF(A1294="","",IF(AND(Parameter!$B$21="Ja",ISNUMBER(W1294)),W1294,IF(BV1294="2+3",IF(ISNUMBER(SEARCH("grosser Artikel",BO1294)),2,IFERROR(VLOOKUP(BR1294,Parameter!$F$35:$G$64,2,0),2)),IF(OR(BV1294="Nein",BV1294=""),"-",BV1294))))</f>
        <v>1</v>
      </c>
      <c r="AA1294" s="62"/>
      <c r="AB1294" s="63"/>
      <c r="AC1294" s="57" t="n">
        <f aca="false">AR1294</f>
        <v>15</v>
      </c>
      <c r="AD1294" s="57" t="n">
        <f aca="false">MAX(AR1294,H1294)</f>
        <v>15</v>
      </c>
      <c r="AE1294" s="64"/>
      <c r="AF1294" s="57" t="n">
        <f aca="false">IF(LEFT(Cockpit!$C$5,1)="A",H1294,IF(CA1294=1,CB1294,IF(LEFT(Cockpit!$C$5,1)="B",AJ1294,MAX(AJ1294,H1294))))</f>
        <v>10</v>
      </c>
      <c r="AG1294" s="57" t="n">
        <f aca="false">IF(BT1294=1,0,ROUNDUP(AF1294/BS1294,0))</f>
        <v>1</v>
      </c>
      <c r="AH1294" s="59" t="n">
        <f aca="false">IF(CH1294&gt;0,CH1294*MAX(1,AF1294/X1294),IF(BT1294=1,IF(AF1294&lt;=0,0,BW1294*MAX(1,IF(H1294&gt;0,AF1294/H1294,1))),IF(R1294&gt;0,AG1294/R1294,0))/MAX(0.1,N(Parameter!$M$21)))</f>
        <v>0.166666666666667</v>
      </c>
      <c r="AI1294" s="57" t="n">
        <f aca="false">AF1294*G1294</f>
        <v>1864</v>
      </c>
      <c r="AJ1294" s="57" t="n">
        <f aca="false">ROUNDUP(MAX(J1294/IF(BZ1294&gt;0,BZ1294,MAX(0.1,N(Cockpit!$C$6))),CC1294)/BS1294,0)*BS1294</f>
        <v>15</v>
      </c>
      <c r="AK1294" s="58" t="n">
        <f aca="false">IF(AH1294&gt;0,J1294/AH1294,-1)</f>
        <v>150</v>
      </c>
      <c r="AL1294" s="58" t="n">
        <f aca="false">IF(AND(OR(BY1294="L1",BY1294="L23"),AH1294&gt;0),SUMIFS($AH$7:$AH$1843,$BY$7:$BY$1843,BY1294,$AK$7:$AK$1843,"&gt;"&amp;AK1294)+SUMIFS($AH$7:$AH$1843,$BY$7:$BY$1843,BY1294,$AK$7:$AK$1843,AK1294,$BQ$7:$BQ$1843,"&lt;="&amp;BQ1294),"")</f>
        <v>3.58416945373467</v>
      </c>
      <c r="AM1294" s="65" t="n">
        <f aca="false">IF(AL1294="",0,MAX(0,MIN(1,(IF(BY1294="L1",Parameter!$E$5,Parameter!$E$6+Parameter!$E$7)-(AL1294-AH1294))/AH1294)))</f>
        <v>1</v>
      </c>
      <c r="AN1294" s="57" t="n">
        <f aca="false">IF(LEFT(Cockpit!$I$5,1)="A",H1294,IF(CA1294=1,CB1294,IF(LEFT(Cockpit!$I$5,1)="B",AR1294,MAX(AR1294,H1294))))</f>
        <v>15</v>
      </c>
      <c r="AO1294" s="57" t="n">
        <f aca="false">IF(BT1294=1,0,ROUNDUP(AN1294/BS1294,0))</f>
        <v>1</v>
      </c>
      <c r="AP1294" s="59" t="n">
        <f aca="false">IF(CH1294&gt;0,CH1294*MAX(1,AN1294/X1294),IF(BT1294=1,IF(AN1294&lt;=0,0,BW1294*MAX(1,IF(H1294&gt;0,AN1294/H1294,1))),IF(R1294&gt;0,AO1294/R1294,0))/MAX(0.1,N(Parameter!$M$21)))</f>
        <v>0.166666666666667</v>
      </c>
      <c r="AQ1294" s="57" t="n">
        <f aca="false">AN1294*G1294</f>
        <v>2796</v>
      </c>
      <c r="AR1294" s="57" t="n">
        <f aca="false">ROUNDUP(MAX(J1294/IF(BZ1294&gt;0,BZ1294,MAX(0.1,N(Cockpit!$I$6))),CC1294)/BS1294,0)*BS1294</f>
        <v>15</v>
      </c>
      <c r="AS1294" s="58" t="n">
        <f aca="false">IF(AP1294&gt;0,J1294/AP1294,-1)</f>
        <v>150</v>
      </c>
      <c r="AT1294" s="58" t="n">
        <f aca="false">IF(AND(OR(BY1294="L1",BY1294="L23"),AP1294&gt;0),SUMIFS($AP$7:$AP$1843,$BY$7:$BY$1843,BY1294,$AS$7:$AS$1843,"&gt;"&amp;AS1294)+SUMIFS($AP$7:$AP$1843,$BY$7:$BY$1843,BY1294,$AS$7:$AS$1843,AS1294,$BQ$7:$BQ$1843,"&lt;="&amp;BQ1294),"")</f>
        <v>4.41109253065775</v>
      </c>
      <c r="AU1294" s="65" t="n">
        <f aca="false">IF(AT1294="",0,MAX(0,MIN(1,(IF(BY1294="L1",Parameter!$E$5,Parameter!$E$6+Parameter!$E$7)-(AT1294-AP1294))/AP1294)))</f>
        <v>1</v>
      </c>
      <c r="AV1294" s="57" t="n">
        <f aca="false">IF(LEFT(Cockpit!$O$5,1)="A",H1294,IF(CA1294=1,CB1294,IF(LEFT(Cockpit!$O$5,1)="B",AZ1294,MAX(AZ1294,H1294))))</f>
        <v>15</v>
      </c>
      <c r="AW1294" s="57" t="n">
        <f aca="false">IF(BT1294=1,0,ROUNDUP(AV1294/BS1294,0))</f>
        <v>1</v>
      </c>
      <c r="AX1294" s="59" t="n">
        <f aca="false">IF(CH1294&gt;0,CH1294*MAX(1,AV1294/X1294),IF(BT1294=1,IF(AV1294&lt;=0,0,BW1294*MAX(1,IF(H1294&gt;0,AV1294/H1294,1))),IF(R1294&gt;0,AW1294/R1294,0))/MAX(0.1,N(Parameter!$M$21)))</f>
        <v>0.166666666666667</v>
      </c>
      <c r="AY1294" s="57" t="n">
        <f aca="false">AV1294*G1294</f>
        <v>2796</v>
      </c>
      <c r="AZ1294" s="57" t="n">
        <f aca="false">ROUNDUP(MAX(J1294/IF(BZ1294&gt;0,BZ1294,MAX(0.1,N(Cockpit!$O$6))),CC1294)/BS1294,0)*BS1294</f>
        <v>15</v>
      </c>
      <c r="BA1294" s="58" t="n">
        <f aca="false">IF(AX1294&gt;0,J1294/AX1294,-1)</f>
        <v>150</v>
      </c>
      <c r="BB1294" s="58" t="n">
        <f aca="false">IF(AND(OR(BY1294="L1",BY1294="L23"),AX1294&gt;0),SUMIFS($AX$7:$AX$1843,$BY$7:$BY$1843,BY1294,$BA$7:$BA$1843,"&gt;"&amp;BA1294)+SUMIFS($AX$7:$AX$1843,$BY$7:$BY$1843,BY1294,$BA$7:$BA$1843,BA1294,$BQ$7:$BQ$1843,"&lt;="&amp;BQ1294),"")</f>
        <v>4.12263099219621</v>
      </c>
      <c r="BC1294" s="65" t="n">
        <f aca="false">IF(BB1294="",0,MAX(0,MIN(1,(IF(BY1294="L1",Parameter!$E$5,Parameter!$E$6+Parameter!$E$7)-(BB1294-AX1294))/AX1294)))</f>
        <v>1</v>
      </c>
      <c r="BD1294" s="55" t="str">
        <f aca="false">IF(AH1294&lt;=0,"",IF(BY1294="Aussen","Aussenlager",IF(BY1294="-","Nicht im Lift",IF(AM1294&gt;=1,"Lift",IF(AM1294&lt;=0,"Aussenlager","teilweise")))))</f>
        <v>Lift</v>
      </c>
      <c r="BE1294" s="55" t="str">
        <f aca="false">IF(AP1294&lt;=0,"",IF(BY1294="Aussen","Aussenlager",IF(BY1294="-","Nicht im Lift",IF(AU1294&gt;=1,"Lift",IF(AU1294&lt;=0,"Aussenlager","teilweise")))))</f>
        <v>Lift</v>
      </c>
      <c r="BF1294" s="55" t="str">
        <f aca="false">IF(AX1294&lt;=0,"",IF(BY1294="Aussen","Aussenlager",IF(BY1294="-","Nicht im Lift",IF(BC1294&gt;=1,"Lift",IF(BC1294&lt;=0,"Aussenlager","teilweise")))))</f>
        <v>Lift</v>
      </c>
      <c r="BG1294" s="55" t="str">
        <f aca="false">IF(A1294="","",IF(BP1294=1,"Neu; ","")&amp;IF(AND(BP1294=0,BK1294&lt;0),"negativer Bestand (Export "&amp;BK1294&amp;"); ","")&amp;IF(J1294&lt;=0,"Kein Verbrauch; ","")&amp;IF(CH1294&gt;0,"Lift "&amp;W1294&amp;" lt. Liftbericht (Fach "&amp;X1294&amp;" Stk); ",IF(BU1294=1,"Gebinde geschätzt ("&amp;T1294&amp;"); ",IF(BT1294=1,"Lose – Tablare geschätzt; ","")))&amp;IF(H1294&gt;AR1294,"Überbestand "&amp;ROUND(H1294-AR1294,0)&amp;" Stk / CHF "&amp;ROUND((H1294-AR1294)*G1294,0)&amp;"; ","")&amp;IF(AND(CA1294=1,CB1294&lt;CC1294),"MAX &lt; MB+LG; ","")&amp;IF(AND(CG1294&gt;0,CF1294*10&gt;CG1294),"zu hoch für Tablar; ","")&amp;IF(AND(BP1294=0,OR(CA1294=1,AA1294&lt;&gt;"",U1294&lt;&gt;"",V1294&lt;&gt;"",AB1294&lt;&gt;"")),"manuell übersteuert; ","")&amp;IF(AND(BT1294=0,R1294=0),"Gebinde unbekannt / Stellmass fehlt; ","")&amp;IF(AND(BT1294=0,N(V1294)&lt;=0,N(Q1294)&lt;=0),"Menge pro Gebinde fehlt (Ist = 1 Gebinde); ","")&amp;BO1294)</f>
        <v>negativer Bestand (Export -5); </v>
      </c>
      <c r="BH1294" s="55"/>
      <c r="BI1294" s="55"/>
      <c r="BJ1294" s="62"/>
      <c r="BK1294" s="57" t="n">
        <v>-5</v>
      </c>
      <c r="BL1294" s="57" t="n">
        <v>15</v>
      </c>
      <c r="BM1294" s="56" t="n">
        <v>-1177.7</v>
      </c>
      <c r="BN1294" s="57" t="n">
        <v>25</v>
      </c>
      <c r="BO1294" s="55"/>
      <c r="BP1294" s="60" t="n">
        <v>0</v>
      </c>
      <c r="BQ1294" s="60" t="n">
        <v>1294</v>
      </c>
      <c r="BR1294" s="55" t="str">
        <f aca="false">IF(U1294&lt;&gt;"",UPPER(TRIM(U1294)),IF(BU1294=1,UPPER(VLOOKUP(T1294,Parameter!$I$27:$K$29,2,0)),IF(P1294="","LOSE",P1294)))</f>
        <v>S71</v>
      </c>
      <c r="BS1294" s="57" t="n">
        <f aca="false">IF(BR1294="LOSE",1,IF(N(V1294)&gt;0,V1294,IF(BU1294=1,MAX(1,N(VLOOKUP(T1294,Parameter!$I$27:$K$29,3,0)),H1294,N(N1294)),IF(N(Q1294)&gt;0,Q1294,MAX(1,H1294)))))</f>
        <v>15</v>
      </c>
      <c r="BT1294" s="60" t="n">
        <f aca="false">IF(BR1294="LOSE",1,0)</f>
        <v>0</v>
      </c>
      <c r="BU1294" s="60" t="n">
        <f aca="false">IF(AND(U1294="",OR(P1294="",P1294="LOSE"),T1294&lt;&gt;"",N(S1294)&lt;=0,ISNUMBER(MATCH(T1294,Parameter!$I$27:$I$29,0))),1,0)</f>
        <v>0</v>
      </c>
      <c r="BV1294" s="55" t="n">
        <f aca="false">IF(AND(Parameter!$B$19="Ja",E1294&lt;&gt;"",ISNUMBER(MATCH(E1294,Parameter!$I$35:$I$52,0))),VLOOKUP(E1294,Parameter!$I$35:$J$52,2,0),IFERROR(VLOOKUP(D1294,Parameter!$A$35:$C$64,2,0),"Nein"))</f>
        <v>1</v>
      </c>
      <c r="BW1294" s="59" t="n">
        <f aca="false">IF(BT1294=0,0,IF(N(S1294)&gt;0,S1294,IFERROR(VLOOKUP(D1294,Parameter!$A$35:$C$64,3,0)+0,0)))</f>
        <v>0</v>
      </c>
      <c r="BX1294" s="55" t="n">
        <f aca="false">IF(AA1294&lt;&gt;"",AA1294,Z1294)</f>
        <v>1</v>
      </c>
      <c r="BY1294" s="55" t="str">
        <f aca="false">IF(BX1294=1,"L1",IF(OR(BX1294=2,BX1294=3),"L23",IF(BX1294="Aussen","Aussen","-")))</f>
        <v>L1</v>
      </c>
      <c r="BZ1294" s="66" t="n">
        <f aca="false">IF(N(AB1294)&gt;0,AB1294,0)</f>
        <v>0</v>
      </c>
      <c r="CA1294" s="60" t="n">
        <f aca="false">IF(ISNUMBER(AE1294),1,0)</f>
        <v>0</v>
      </c>
      <c r="CB1294" s="57" t="n">
        <f aca="false">N(AE1294)</f>
        <v>0</v>
      </c>
      <c r="CC1294" s="57" t="n">
        <f aca="false">N(M1294)+N(N1294)</f>
        <v>11</v>
      </c>
      <c r="CD1294" s="57" t="n">
        <f aca="false">ROUNDUP(H1294/BS1294,0)</f>
        <v>1</v>
      </c>
      <c r="CE1294" s="57" t="n">
        <f aca="false">ROUNDUP(CB1294/BS1294,0)</f>
        <v>0</v>
      </c>
      <c r="CF1294" s="60" t="n">
        <f aca="false">IF(BT1294=1,0,IFERROR(VLOOKUP(BR1294,'Gebinde-Kategorie'!$A$5:$M$45,5,0)+0,0))</f>
        <v>20</v>
      </c>
      <c r="CG1294" s="60" t="n">
        <f aca="false">IFERROR(IF(OR(BX1294=1,BX1294=2,BX1294=3),N(INDEX(Parameter!$I$5:$I$7,BX1294)),0),0)</f>
        <v>0</v>
      </c>
      <c r="CH1294" s="59" t="n">
        <f aca="false">IF(AND(Parameter!$B$21="Ja",ISNUMBER(W1294),N(X1294)&gt;0),IFERROR(N(INDEX(Parameter!$L$5:$L$7,W1294))*INDEX(Parameter!$E$5:$E$7,W1294)*X1294/SUMIFS($X$7:$X$1843,$W$7:$W$1843,W1294),0),0)</f>
        <v>0</v>
      </c>
    </row>
    <row r="1295" customFormat="false" ht="15" hidden="false" customHeight="false" outlineLevel="0" collapsed="false">
      <c r="A1295" s="55" t="s">
        <v>2304</v>
      </c>
      <c r="B1295" s="55" t="s">
        <v>1039</v>
      </c>
      <c r="C1295" s="55" t="s">
        <v>164</v>
      </c>
      <c r="D1295" s="55" t="s">
        <v>184</v>
      </c>
      <c r="E1295" s="55"/>
      <c r="F1295" s="55" t="s">
        <v>218</v>
      </c>
      <c r="G1295" s="56" t="n">
        <v>48.23</v>
      </c>
      <c r="H1295" s="57" t="n">
        <f aca="false">MAX(0,IF(AND(Parameter!$B$21="Ja",ISNUMBER(Y1295)),Y1295,IF(Parameter!$B$20="Jahresanfang 2025 + Export",BL1295+BK1295,BK1295)))</f>
        <v>72</v>
      </c>
      <c r="I1295" s="57" t="n">
        <f aca="false">H1295*G1295</f>
        <v>3472.56</v>
      </c>
      <c r="J1295" s="57" t="n">
        <f aca="false">BN1295*Parameter!$B$18</f>
        <v>308</v>
      </c>
      <c r="K1295" s="58" t="n">
        <v>83.5</v>
      </c>
      <c r="L1295" s="59" t="n">
        <v>3.68862275449102</v>
      </c>
      <c r="M1295" s="57" t="n">
        <v>17</v>
      </c>
      <c r="N1295" s="57" t="n">
        <v>100</v>
      </c>
      <c r="O1295" s="60" t="n">
        <v>21</v>
      </c>
      <c r="P1295" s="55" t="s">
        <v>293</v>
      </c>
      <c r="Q1295" s="57" t="n">
        <v>180</v>
      </c>
      <c r="R1295" s="60" t="n">
        <f aca="false">IF(BT1295=1,0,IFERROR(VLOOKUP(BR1295,'Gebinde-Kategorie'!$A$5:$M$45,13,0)+0,0))</f>
        <v>12</v>
      </c>
      <c r="S1295" s="61"/>
      <c r="T1295" s="62"/>
      <c r="U1295" s="62"/>
      <c r="V1295" s="62"/>
      <c r="W1295" s="55"/>
      <c r="X1295" s="57"/>
      <c r="Y1295" s="57"/>
      <c r="Z1295" s="55" t="n">
        <f aca="false">IF(A1295="","",IF(AND(Parameter!$B$21="Ja",ISNUMBER(W1295)),W1295,IF(BV1295="2+3",IF(ISNUMBER(SEARCH("grosser Artikel",BO1295)),2,IFERROR(VLOOKUP(BR1295,Parameter!$F$35:$G$64,2,0),2)),IF(OR(BV1295="Nein",BV1295=""),"-",BV1295))))</f>
        <v>2</v>
      </c>
      <c r="AA1295" s="62"/>
      <c r="AB1295" s="63"/>
      <c r="AC1295" s="57" t="n">
        <f aca="false">AR1295</f>
        <v>180</v>
      </c>
      <c r="AD1295" s="57" t="n">
        <f aca="false">MAX(AR1295,H1295)</f>
        <v>180</v>
      </c>
      <c r="AE1295" s="64"/>
      <c r="AF1295" s="57" t="n">
        <f aca="false">IF(LEFT(Cockpit!$C$5,1)="A",H1295,IF(CA1295=1,CB1295,IF(LEFT(Cockpit!$C$5,1)="B",AJ1295,MAX(AJ1295,H1295))))</f>
        <v>72</v>
      </c>
      <c r="AG1295" s="57" t="n">
        <f aca="false">IF(BT1295=1,0,ROUNDUP(AF1295/BS1295,0))</f>
        <v>1</v>
      </c>
      <c r="AH1295" s="59" t="n">
        <f aca="false">IF(CH1295&gt;0,CH1295*MAX(1,AF1295/X1295),IF(BT1295=1,IF(AF1295&lt;=0,0,BW1295*MAX(1,IF(H1295&gt;0,AF1295/H1295,1))),IF(R1295&gt;0,AG1295/R1295,0))/MAX(0.1,N(Parameter!$M$21)))</f>
        <v>0.0833333333333333</v>
      </c>
      <c r="AI1295" s="57" t="n">
        <f aca="false">AF1295*G1295</f>
        <v>3472.56</v>
      </c>
      <c r="AJ1295" s="57" t="n">
        <f aca="false">ROUNDUP(MAX(J1295/IF(BZ1295&gt;0,BZ1295,MAX(0.1,N(Cockpit!$C$6))),CC1295)/BS1295,0)*BS1295</f>
        <v>180</v>
      </c>
      <c r="AK1295" s="58" t="n">
        <f aca="false">IF(AH1295&gt;0,J1295/AH1295,-1)</f>
        <v>3696</v>
      </c>
      <c r="AL1295" s="58" t="n">
        <f aca="false">IF(AND(OR(BY1295="L1",BY1295="L23"),AH1295&gt;0),SUMIFS($AH$7:$AH$1843,$BY$7:$BY$1843,BY1295,$AK$7:$AK$1843,"&gt;"&amp;AK1295)+SUMIFS($AH$7:$AH$1843,$BY$7:$BY$1843,BY1295,$AK$7:$AK$1843,AK1295,$BQ$7:$BQ$1843,"&lt;="&amp;BQ1295),"")</f>
        <v>9.16019729063208</v>
      </c>
      <c r="AM1295" s="65" t="n">
        <f aca="false">IF(AL1295="",0,MAX(0,MIN(1,(IF(BY1295="L1",Parameter!$E$5,Parameter!$E$6+Parameter!$E$7)-(AL1295-AH1295))/AH1295)))</f>
        <v>1</v>
      </c>
      <c r="AN1295" s="57" t="n">
        <f aca="false">IF(LEFT(Cockpit!$I$5,1)="A",H1295,IF(CA1295=1,CB1295,IF(LEFT(Cockpit!$I$5,1)="B",AR1295,MAX(AR1295,H1295))))</f>
        <v>180</v>
      </c>
      <c r="AO1295" s="57" t="n">
        <f aca="false">IF(BT1295=1,0,ROUNDUP(AN1295/BS1295,0))</f>
        <v>1</v>
      </c>
      <c r="AP1295" s="59" t="n">
        <f aca="false">IF(CH1295&gt;0,CH1295*MAX(1,AN1295/X1295),IF(BT1295=1,IF(AN1295&lt;=0,0,BW1295*MAX(1,IF(H1295&gt;0,AN1295/H1295,1))),IF(R1295&gt;0,AO1295/R1295,0))/MAX(0.1,N(Parameter!$M$21)))</f>
        <v>0.0833333333333333</v>
      </c>
      <c r="AQ1295" s="57" t="n">
        <f aca="false">AN1295*G1295</f>
        <v>8681.4</v>
      </c>
      <c r="AR1295" s="57" t="n">
        <f aca="false">ROUNDUP(MAX(J1295/IF(BZ1295&gt;0,BZ1295,MAX(0.1,N(Cockpit!$I$6))),CC1295)/BS1295,0)*BS1295</f>
        <v>180</v>
      </c>
      <c r="AS1295" s="58" t="n">
        <f aca="false">IF(AP1295&gt;0,J1295/AP1295,-1)</f>
        <v>3696</v>
      </c>
      <c r="AT1295" s="58" t="n">
        <f aca="false">IF(AND(OR(BY1295="L1",BY1295="L23"),AP1295&gt;0),SUMIFS($AP$7:$AP$1843,$BY$7:$BY$1843,BY1295,$AS$7:$AS$1843,"&gt;"&amp;AS1295)+SUMIFS($AP$7:$AP$1843,$BY$7:$BY$1843,BY1295,$AS$7:$AS$1843,AS1295,$BQ$7:$BQ$1843,"&lt;="&amp;BQ1295),"")</f>
        <v>13.972205330901</v>
      </c>
      <c r="AU1295" s="65" t="n">
        <f aca="false">IF(AT1295="",0,MAX(0,MIN(1,(IF(BY1295="L1",Parameter!$E$5,Parameter!$E$6+Parameter!$E$7)-(AT1295-AP1295))/AP1295)))</f>
        <v>1</v>
      </c>
      <c r="AV1295" s="57" t="n">
        <f aca="false">IF(LEFT(Cockpit!$O$5,1)="A",H1295,IF(CA1295=1,CB1295,IF(LEFT(Cockpit!$O$5,1)="B",AZ1295,MAX(AZ1295,H1295))))</f>
        <v>180</v>
      </c>
      <c r="AW1295" s="57" t="n">
        <f aca="false">IF(BT1295=1,0,ROUNDUP(AV1295/BS1295,0))</f>
        <v>1</v>
      </c>
      <c r="AX1295" s="59" t="n">
        <f aca="false">IF(CH1295&gt;0,CH1295*MAX(1,AV1295/X1295),IF(BT1295=1,IF(AV1295&lt;=0,0,BW1295*MAX(1,IF(H1295&gt;0,AV1295/H1295,1))),IF(R1295&gt;0,AW1295/R1295,0))/MAX(0.1,N(Parameter!$M$21)))</f>
        <v>0.0833333333333333</v>
      </c>
      <c r="AY1295" s="57" t="n">
        <f aca="false">AV1295*G1295</f>
        <v>8681.4</v>
      </c>
      <c r="AZ1295" s="57" t="n">
        <f aca="false">ROUNDUP(MAX(J1295/IF(BZ1295&gt;0,BZ1295,MAX(0.1,N(Cockpit!$O$6))),CC1295)/BS1295,0)*BS1295</f>
        <v>180</v>
      </c>
      <c r="BA1295" s="58" t="n">
        <f aca="false">IF(AX1295&gt;0,J1295/AX1295,-1)</f>
        <v>3696</v>
      </c>
      <c r="BB1295" s="58" t="n">
        <f aca="false">IF(AND(OR(BY1295="L1",BY1295="L23"),AX1295&gt;0),SUMIFS($AX$7:$AX$1843,$BY$7:$BY$1843,BY1295,$BA$7:$BA$1843,"&gt;"&amp;BA1295)+SUMIFS($AX$7:$AX$1843,$BY$7:$BY$1843,BY1295,$BA$7:$BA$1843,BA1295,$BQ$7:$BQ$1843,"&lt;="&amp;BQ1295),"")</f>
        <v>12.5392216479173</v>
      </c>
      <c r="BC1295" s="65" t="n">
        <f aca="false">IF(BB1295="",0,MAX(0,MIN(1,(IF(BY1295="L1",Parameter!$E$5,Parameter!$E$6+Parameter!$E$7)-(BB1295-AX1295))/AX1295)))</f>
        <v>1</v>
      </c>
      <c r="BD1295" s="55" t="str">
        <f aca="false">IF(AH1295&lt;=0,"",IF(BY1295="Aussen","Aussenlager",IF(BY1295="-","Nicht im Lift",IF(AM1295&gt;=1,"Lift",IF(AM1295&lt;=0,"Aussenlager","teilweise")))))</f>
        <v>Lift</v>
      </c>
      <c r="BE1295" s="55" t="str">
        <f aca="false">IF(AP1295&lt;=0,"",IF(BY1295="Aussen","Aussenlager",IF(BY1295="-","Nicht im Lift",IF(AU1295&gt;=1,"Lift",IF(AU1295&lt;=0,"Aussenlager","teilweise")))))</f>
        <v>Lift</v>
      </c>
      <c r="BF1295" s="55" t="str">
        <f aca="false">IF(AX1295&lt;=0,"",IF(BY1295="Aussen","Aussenlager",IF(BY1295="-","Nicht im Lift",IF(BC1295&gt;=1,"Lift",IF(BC1295&lt;=0,"Aussenlager","teilweise")))))</f>
        <v>Lift</v>
      </c>
      <c r="BG1295" s="55" t="str">
        <f aca="false">IF(A1295="","",IF(BP1295=1,"Neu; ","")&amp;IF(AND(BP1295=0,BK1295&lt;0),"negativer Bestand (Export "&amp;BK1295&amp;"); ","")&amp;IF(J1295&lt;=0,"Kein Verbrauch; ","")&amp;IF(CH1295&gt;0,"Lift "&amp;W1295&amp;" lt. Liftbericht (Fach "&amp;X1295&amp;" Stk); ",IF(BU1295=1,"Gebinde geschätzt ("&amp;T1295&amp;"); ",IF(BT1295=1,"Lose – Tablare geschätzt; ","")))&amp;IF(H1295&gt;AR1295,"Überbestand "&amp;ROUND(H1295-AR1295,0)&amp;" Stk / CHF "&amp;ROUND((H1295-AR1295)*G1295,0)&amp;"; ","")&amp;IF(AND(CA1295=1,CB1295&lt;CC1295),"MAX &lt; MB+LG; ","")&amp;IF(AND(CG1295&gt;0,CF1295*10&gt;CG1295),"zu hoch für Tablar; ","")&amp;IF(AND(BP1295=0,OR(CA1295=1,AA1295&lt;&gt;"",U1295&lt;&gt;"",V1295&lt;&gt;"",AB1295&lt;&gt;"")),"manuell übersteuert; ","")&amp;IF(AND(BT1295=0,R1295=0),"Gebinde unbekannt / Stellmass fehlt; ","")&amp;IF(AND(BT1295=0,N(V1295)&lt;=0,N(Q1295)&lt;=0),"Menge pro Gebinde fehlt (Ist = 1 Gebinde); ","")&amp;BO1295)</f>
        <v>negativer Bestand (Export -23); </v>
      </c>
      <c r="BH1295" s="55"/>
      <c r="BI1295" s="55"/>
      <c r="BJ1295" s="62"/>
      <c r="BK1295" s="57" t="n">
        <v>-23</v>
      </c>
      <c r="BL1295" s="57" t="n">
        <v>95</v>
      </c>
      <c r="BM1295" s="56" t="n">
        <v>-1179.59</v>
      </c>
      <c r="BN1295" s="57" t="n">
        <v>308</v>
      </c>
      <c r="BO1295" s="55"/>
      <c r="BP1295" s="60" t="n">
        <v>0</v>
      </c>
      <c r="BQ1295" s="60" t="n">
        <v>1295</v>
      </c>
      <c r="BR1295" s="55" t="str">
        <f aca="false">IF(U1295&lt;&gt;"",UPPER(TRIM(U1295)),IF(BU1295=1,UPPER(VLOOKUP(T1295,Parameter!$I$27:$K$29,2,0)),IF(P1295="","LOSE",P1295)))</f>
        <v>S62</v>
      </c>
      <c r="BS1295" s="57" t="n">
        <f aca="false">IF(BR1295="LOSE",1,IF(N(V1295)&gt;0,V1295,IF(BU1295=1,MAX(1,N(VLOOKUP(T1295,Parameter!$I$27:$K$29,3,0)),H1295,N(N1295)),IF(N(Q1295)&gt;0,Q1295,MAX(1,H1295)))))</f>
        <v>180</v>
      </c>
      <c r="BT1295" s="60" t="n">
        <f aca="false">IF(BR1295="LOSE",1,0)</f>
        <v>0</v>
      </c>
      <c r="BU1295" s="60" t="n">
        <f aca="false">IF(AND(U1295="",OR(P1295="",P1295="LOSE"),T1295&lt;&gt;"",N(S1295)&lt;=0,ISNUMBER(MATCH(T1295,Parameter!$I$27:$I$29,0))),1,0)</f>
        <v>0</v>
      </c>
      <c r="BV1295" s="55" t="str">
        <f aca="false">IF(AND(Parameter!$B$19="Ja",E1295&lt;&gt;"",ISNUMBER(MATCH(E1295,Parameter!$I$35:$I$52,0))),VLOOKUP(E1295,Parameter!$I$35:$J$52,2,0),IFERROR(VLOOKUP(D1295,Parameter!$A$35:$C$64,2,0),"Nein"))</f>
        <v>2+3</v>
      </c>
      <c r="BW1295" s="59" t="n">
        <f aca="false">IF(BT1295=0,0,IF(N(S1295)&gt;0,S1295,IFERROR(VLOOKUP(D1295,Parameter!$A$35:$C$64,3,0)+0,0)))</f>
        <v>0</v>
      </c>
      <c r="BX1295" s="55" t="n">
        <f aca="false">IF(AA1295&lt;&gt;"",AA1295,Z1295)</f>
        <v>2</v>
      </c>
      <c r="BY1295" s="55" t="str">
        <f aca="false">IF(BX1295=1,"L1",IF(OR(BX1295=2,BX1295=3),"L23",IF(BX1295="Aussen","Aussen","-")))</f>
        <v>L23</v>
      </c>
      <c r="BZ1295" s="66" t="n">
        <f aca="false">IF(N(AB1295)&gt;0,AB1295,0)</f>
        <v>0</v>
      </c>
      <c r="CA1295" s="60" t="n">
        <f aca="false">IF(ISNUMBER(AE1295),1,0)</f>
        <v>0</v>
      </c>
      <c r="CB1295" s="57" t="n">
        <f aca="false">N(AE1295)</f>
        <v>0</v>
      </c>
      <c r="CC1295" s="57" t="n">
        <f aca="false">N(M1295)+N(N1295)</f>
        <v>117</v>
      </c>
      <c r="CD1295" s="57" t="n">
        <f aca="false">ROUNDUP(H1295/BS1295,0)</f>
        <v>1</v>
      </c>
      <c r="CE1295" s="57" t="n">
        <f aca="false">ROUNDUP(CB1295/BS1295,0)</f>
        <v>0</v>
      </c>
      <c r="CF1295" s="60" t="n">
        <f aca="false">IF(BT1295=1,0,IFERROR(VLOOKUP(BR1295,'Gebinde-Kategorie'!$A$5:$M$45,5,0)+0,0))</f>
        <v>21</v>
      </c>
      <c r="CG1295" s="60" t="n">
        <f aca="false">IFERROR(IF(OR(BX1295=1,BX1295=2,BX1295=3),N(INDEX(Parameter!$I$5:$I$7,BX1295)),0),0)</f>
        <v>0</v>
      </c>
      <c r="CH1295" s="59" t="n">
        <f aca="false">IF(AND(Parameter!$B$21="Ja",ISNUMBER(W1295),N(X1295)&gt;0),IFERROR(N(INDEX(Parameter!$L$5:$L$7,W1295))*INDEX(Parameter!$E$5:$E$7,W1295)*X1295/SUMIFS($X$7:$X$1843,$W$7:$W$1843,W1295),0),0)</f>
        <v>0</v>
      </c>
    </row>
    <row r="1296" customFormat="false" ht="15" hidden="false" customHeight="false" outlineLevel="0" collapsed="false">
      <c r="A1296" s="55" t="s">
        <v>2305</v>
      </c>
      <c r="B1296" s="55" t="s">
        <v>814</v>
      </c>
      <c r="C1296" s="55" t="s">
        <v>164</v>
      </c>
      <c r="D1296" s="55" t="s">
        <v>184</v>
      </c>
      <c r="E1296" s="55" t="s">
        <v>185</v>
      </c>
      <c r="F1296" s="55" t="s">
        <v>218</v>
      </c>
      <c r="G1296" s="56" t="n">
        <v>107.44</v>
      </c>
      <c r="H1296" s="57" t="n">
        <f aca="false">MAX(0,IF(AND(Parameter!$B$21="Ja",ISNUMBER(Y1296)),Y1296,IF(Parameter!$B$20="Jahresanfang 2025 + Export",BL1296+BK1296,BK1296)))</f>
        <v>79</v>
      </c>
      <c r="I1296" s="57" t="n">
        <f aca="false">H1296*G1296</f>
        <v>8487.76</v>
      </c>
      <c r="J1296" s="57" t="n">
        <f aca="false">BN1296*Parameter!$B$18</f>
        <v>9</v>
      </c>
      <c r="K1296" s="58" t="n">
        <v>85</v>
      </c>
      <c r="L1296" s="59" t="n">
        <v>0.105882352941177</v>
      </c>
      <c r="M1296" s="57" t="n">
        <v>3</v>
      </c>
      <c r="N1296" s="57" t="n">
        <v>10</v>
      </c>
      <c r="O1296" s="60" t="n">
        <v>126</v>
      </c>
      <c r="P1296" s="55" t="s">
        <v>421</v>
      </c>
      <c r="Q1296" s="57" t="n">
        <v>32</v>
      </c>
      <c r="R1296" s="60" t="n">
        <f aca="false">IF(BT1296=1,0,IFERROR(VLOOKUP(BR1296,'Gebinde-Kategorie'!$A$5:$M$45,13,0)+0,0))</f>
        <v>132</v>
      </c>
      <c r="S1296" s="61"/>
      <c r="T1296" s="62"/>
      <c r="U1296" s="62"/>
      <c r="V1296" s="62"/>
      <c r="W1296" s="55"/>
      <c r="X1296" s="57"/>
      <c r="Y1296" s="57"/>
      <c r="Z1296" s="55" t="n">
        <f aca="false">IF(A1296="","",IF(AND(Parameter!$B$21="Ja",ISNUMBER(W1296)),W1296,IF(BV1296="2+3",IF(ISNUMBER(SEARCH("grosser Artikel",BO1296)),2,IFERROR(VLOOKUP(BR1296,Parameter!$F$35:$G$64,2,0),2)),IF(OR(BV1296="Nein",BV1296=""),"-",BV1296))))</f>
        <v>3</v>
      </c>
      <c r="AA1296" s="62"/>
      <c r="AB1296" s="63"/>
      <c r="AC1296" s="57" t="n">
        <f aca="false">AR1296</f>
        <v>32</v>
      </c>
      <c r="AD1296" s="57" t="n">
        <f aca="false">MAX(AR1296,H1296)</f>
        <v>79</v>
      </c>
      <c r="AE1296" s="64"/>
      <c r="AF1296" s="57" t="n">
        <f aca="false">IF(LEFT(Cockpit!$C$5,1)="A",H1296,IF(CA1296=1,CB1296,IF(LEFT(Cockpit!$C$5,1)="B",AJ1296,MAX(AJ1296,H1296))))</f>
        <v>79</v>
      </c>
      <c r="AG1296" s="57" t="n">
        <f aca="false">IF(BT1296=1,0,ROUNDUP(AF1296/BS1296,0))</f>
        <v>3</v>
      </c>
      <c r="AH1296" s="59" t="n">
        <f aca="false">IF(CH1296&gt;0,CH1296*MAX(1,AF1296/X1296),IF(BT1296=1,IF(AF1296&lt;=0,0,BW1296*MAX(1,IF(H1296&gt;0,AF1296/H1296,1))),IF(R1296&gt;0,AG1296/R1296,0))/MAX(0.1,N(Parameter!$M$21)))</f>
        <v>0.0227272727272727</v>
      </c>
      <c r="AI1296" s="57" t="n">
        <f aca="false">AF1296*G1296</f>
        <v>8487.76</v>
      </c>
      <c r="AJ1296" s="57" t="n">
        <f aca="false">ROUNDUP(MAX(J1296/IF(BZ1296&gt;0,BZ1296,MAX(0.1,N(Cockpit!$C$6))),CC1296)/BS1296,0)*BS1296</f>
        <v>32</v>
      </c>
      <c r="AK1296" s="58" t="n">
        <f aca="false">IF(AH1296&gt;0,J1296/AH1296,-1)</f>
        <v>396</v>
      </c>
      <c r="AL1296" s="58" t="n">
        <f aca="false">IF(AND(OR(BY1296="L1",BY1296="L23"),AH1296&gt;0),SUMIFS($AH$7:$AH$1843,$BY$7:$BY$1843,BY1296,$AK$7:$AK$1843,"&gt;"&amp;AK1296)+SUMIFS($AH$7:$AH$1843,$BY$7:$BY$1843,BY1296,$AK$7:$AK$1843,AK1296,$BQ$7:$BQ$1843,"&lt;="&amp;BQ1296),"")</f>
        <v>26.1020742542482</v>
      </c>
      <c r="AM1296" s="65" t="n">
        <f aca="false">IF(AL1296="",0,MAX(0,MIN(1,(IF(BY1296="L1",Parameter!$E$5,Parameter!$E$6+Parameter!$E$7)-(AL1296-AH1296))/AH1296)))</f>
        <v>1</v>
      </c>
      <c r="AN1296" s="57" t="n">
        <f aca="false">IF(LEFT(Cockpit!$I$5,1)="A",H1296,IF(CA1296=1,CB1296,IF(LEFT(Cockpit!$I$5,1)="B",AR1296,MAX(AR1296,H1296))))</f>
        <v>79</v>
      </c>
      <c r="AO1296" s="57" t="n">
        <f aca="false">IF(BT1296=1,0,ROUNDUP(AN1296/BS1296,0))</f>
        <v>3</v>
      </c>
      <c r="AP1296" s="59" t="n">
        <f aca="false">IF(CH1296&gt;0,CH1296*MAX(1,AN1296/X1296),IF(BT1296=1,IF(AN1296&lt;=0,0,BW1296*MAX(1,IF(H1296&gt;0,AN1296/H1296,1))),IF(R1296&gt;0,AO1296/R1296,0))/MAX(0.1,N(Parameter!$M$21)))</f>
        <v>0.0227272727272727</v>
      </c>
      <c r="AQ1296" s="57" t="n">
        <f aca="false">AN1296*G1296</f>
        <v>8487.76</v>
      </c>
      <c r="AR1296" s="57" t="n">
        <f aca="false">ROUNDUP(MAX(J1296/IF(BZ1296&gt;0,BZ1296,MAX(0.1,N(Cockpit!$I$6))),CC1296)/BS1296,0)*BS1296</f>
        <v>32</v>
      </c>
      <c r="AS1296" s="58" t="n">
        <f aca="false">IF(AP1296&gt;0,J1296/AP1296,-1)</f>
        <v>396</v>
      </c>
      <c r="AT1296" s="58" t="n">
        <f aca="false">IF(AND(OR(BY1296="L1",BY1296="L23"),AP1296&gt;0),SUMIFS($AP$7:$AP$1843,$BY$7:$BY$1843,BY1296,$AS$7:$AS$1843,"&gt;"&amp;AS1296)+SUMIFS($AP$7:$AP$1843,$BY$7:$BY$1843,BY1296,$AS$7:$AS$1843,AS1296,$BQ$7:$BQ$1843,"&lt;="&amp;BQ1296),"")</f>
        <v>35.5454292084727</v>
      </c>
      <c r="AU1296" s="65" t="n">
        <f aca="false">IF(AT1296="",0,MAX(0,MIN(1,(IF(BY1296="L1",Parameter!$E$5,Parameter!$E$6+Parameter!$E$7)-(AT1296-AP1296))/AP1296)))</f>
        <v>1</v>
      </c>
      <c r="AV1296" s="57" t="n">
        <f aca="false">IF(LEFT(Cockpit!$O$5,1)="A",H1296,IF(CA1296=1,CB1296,IF(LEFT(Cockpit!$O$5,1)="B",AZ1296,MAX(AZ1296,H1296))))</f>
        <v>79</v>
      </c>
      <c r="AW1296" s="57" t="n">
        <f aca="false">IF(BT1296=1,0,ROUNDUP(AV1296/BS1296,0))</f>
        <v>3</v>
      </c>
      <c r="AX1296" s="59" t="n">
        <f aca="false">IF(CH1296&gt;0,CH1296*MAX(1,AV1296/X1296),IF(BT1296=1,IF(AV1296&lt;=0,0,BW1296*MAX(1,IF(H1296&gt;0,AV1296/H1296,1))),IF(R1296&gt;0,AW1296/R1296,0))/MAX(0.1,N(Parameter!$M$21)))</f>
        <v>0.0227272727272727</v>
      </c>
      <c r="AY1296" s="57" t="n">
        <f aca="false">AV1296*G1296</f>
        <v>8487.76</v>
      </c>
      <c r="AZ1296" s="57" t="n">
        <f aca="false">ROUNDUP(MAX(J1296/IF(BZ1296&gt;0,BZ1296,MAX(0.1,N(Cockpit!$O$6))),CC1296)/BS1296,0)*BS1296</f>
        <v>32</v>
      </c>
      <c r="BA1296" s="58" t="n">
        <f aca="false">IF(AX1296&gt;0,J1296/AX1296,-1)</f>
        <v>396</v>
      </c>
      <c r="BB1296" s="58" t="n">
        <f aca="false">IF(AND(OR(BY1296="L1",BY1296="L23"),AX1296&gt;0),SUMIFS($AX$7:$AX$1843,$BY$7:$BY$1843,BY1296,$BA$7:$BA$1843,"&gt;"&amp;BA1296)+SUMIFS($AX$7:$AX$1843,$BY$7:$BY$1843,BY1296,$BA$7:$BA$1843,BA1296,$BQ$7:$BQ$1843,"&lt;="&amp;BQ1296),"")</f>
        <v>34.7919327049762</v>
      </c>
      <c r="BC1296" s="65" t="n">
        <f aca="false">IF(BB1296="",0,MAX(0,MIN(1,(IF(BY1296="L1",Parameter!$E$5,Parameter!$E$6+Parameter!$E$7)-(BB1296-AX1296))/AX1296)))</f>
        <v>1</v>
      </c>
      <c r="BD1296" s="55" t="str">
        <f aca="false">IF(AH1296&lt;=0,"",IF(BY1296="Aussen","Aussenlager",IF(BY1296="-","Nicht im Lift",IF(AM1296&gt;=1,"Lift",IF(AM1296&lt;=0,"Aussenlager","teilweise")))))</f>
        <v>Lift</v>
      </c>
      <c r="BE1296" s="55" t="str">
        <f aca="false">IF(AP1296&lt;=0,"",IF(BY1296="Aussen","Aussenlager",IF(BY1296="-","Nicht im Lift",IF(AU1296&gt;=1,"Lift",IF(AU1296&lt;=0,"Aussenlager","teilweise")))))</f>
        <v>Lift</v>
      </c>
      <c r="BF1296" s="55" t="str">
        <f aca="false">IF(AX1296&lt;=0,"",IF(BY1296="Aussen","Aussenlager",IF(BY1296="-","Nicht im Lift",IF(BC1296&gt;=1,"Lift",IF(BC1296&lt;=0,"Aussenlager","teilweise")))))</f>
        <v>Lift</v>
      </c>
      <c r="BG1296" s="55" t="str">
        <f aca="false">IF(A1296="","",IF(BP1296=1,"Neu; ","")&amp;IF(AND(BP1296=0,BK1296&lt;0),"negativer Bestand (Export "&amp;BK1296&amp;"); ","")&amp;IF(J1296&lt;=0,"Kein Verbrauch; ","")&amp;IF(CH1296&gt;0,"Lift "&amp;W1296&amp;" lt. Liftbericht (Fach "&amp;X1296&amp;" Stk); ",IF(BU1296=1,"Gebinde geschätzt ("&amp;T1296&amp;"); ",IF(BT1296=1,"Lose – Tablare geschätzt; ","")))&amp;IF(H1296&gt;AR1296,"Überbestand "&amp;ROUND(H1296-AR1296,0)&amp;" Stk / CHF "&amp;ROUND((H1296-AR1296)*G1296,0)&amp;"; ","")&amp;IF(AND(CA1296=1,CB1296&lt;CC1296),"MAX &lt; MB+LG; ","")&amp;IF(AND(CG1296&gt;0,CF1296*10&gt;CG1296),"zu hoch für Tablar; ","")&amp;IF(AND(BP1296=0,OR(CA1296=1,AA1296&lt;&gt;"",U1296&lt;&gt;"",V1296&lt;&gt;"",AB1296&lt;&gt;"")),"manuell übersteuert; ","")&amp;IF(AND(BT1296=0,R1296=0),"Gebinde unbekannt / Stellmass fehlt; ","")&amp;IF(AND(BT1296=0,N(V1296)&lt;=0,N(Q1296)&lt;=0),"Menge pro Gebinde fehlt (Ist = 1 Gebinde); ","")&amp;BO1296)</f>
        <v>negativer Bestand (Export -11); Überbestand 47 Stk / CHF 5050; </v>
      </c>
      <c r="BH1296" s="55"/>
      <c r="BI1296" s="55"/>
      <c r="BJ1296" s="62"/>
      <c r="BK1296" s="57" t="n">
        <v>-11</v>
      </c>
      <c r="BL1296" s="57" t="n">
        <v>90</v>
      </c>
      <c r="BM1296" s="56" t="n">
        <v>-1181.84</v>
      </c>
      <c r="BN1296" s="57" t="n">
        <v>9</v>
      </c>
      <c r="BO1296" s="55"/>
      <c r="BP1296" s="60" t="n">
        <v>0</v>
      </c>
      <c r="BQ1296" s="60" t="n">
        <v>1296</v>
      </c>
      <c r="BR1296" s="55" t="str">
        <f aca="false">IF(U1296&lt;&gt;"",UPPER(TRIM(U1296)),IF(BU1296=1,UPPER(VLOOKUP(T1296,Parameter!$I$27:$K$29,2,0)),IF(P1296="","LOSE",P1296)))</f>
        <v>S32</v>
      </c>
      <c r="BS1296" s="57" t="n">
        <f aca="false">IF(BR1296="LOSE",1,IF(N(V1296)&gt;0,V1296,IF(BU1296=1,MAX(1,N(VLOOKUP(T1296,Parameter!$I$27:$K$29,3,0)),H1296,N(N1296)),IF(N(Q1296)&gt;0,Q1296,MAX(1,H1296)))))</f>
        <v>32</v>
      </c>
      <c r="BT1296" s="60" t="n">
        <f aca="false">IF(BR1296="LOSE",1,0)</f>
        <v>0</v>
      </c>
      <c r="BU1296" s="60" t="n">
        <f aca="false">IF(AND(U1296="",OR(P1296="",P1296="LOSE"),T1296&lt;&gt;"",N(S1296)&lt;=0,ISNUMBER(MATCH(T1296,Parameter!$I$27:$I$29,0))),1,0)</f>
        <v>0</v>
      </c>
      <c r="BV1296" s="55" t="str">
        <f aca="false">IF(AND(Parameter!$B$19="Ja",E1296&lt;&gt;"",ISNUMBER(MATCH(E1296,Parameter!$I$35:$I$52,0))),VLOOKUP(E1296,Parameter!$I$35:$J$52,2,0),IFERROR(VLOOKUP(D1296,Parameter!$A$35:$C$64,2,0),"Nein"))</f>
        <v>2+3</v>
      </c>
      <c r="BW1296" s="59" t="n">
        <f aca="false">IF(BT1296=0,0,IF(N(S1296)&gt;0,S1296,IFERROR(VLOOKUP(D1296,Parameter!$A$35:$C$64,3,0)+0,0)))</f>
        <v>0</v>
      </c>
      <c r="BX1296" s="55" t="n">
        <f aca="false">IF(AA1296&lt;&gt;"",AA1296,Z1296)</f>
        <v>3</v>
      </c>
      <c r="BY1296" s="55" t="str">
        <f aca="false">IF(BX1296=1,"L1",IF(OR(BX1296=2,BX1296=3),"L23",IF(BX1296="Aussen","Aussen","-")))</f>
        <v>L23</v>
      </c>
      <c r="BZ1296" s="66" t="n">
        <f aca="false">IF(N(AB1296)&gt;0,AB1296,0)</f>
        <v>0</v>
      </c>
      <c r="CA1296" s="60" t="n">
        <f aca="false">IF(ISNUMBER(AE1296),1,0)</f>
        <v>0</v>
      </c>
      <c r="CB1296" s="57" t="n">
        <f aca="false">N(AE1296)</f>
        <v>0</v>
      </c>
      <c r="CC1296" s="57" t="n">
        <f aca="false">N(M1296)+N(N1296)</f>
        <v>13</v>
      </c>
      <c r="CD1296" s="57" t="n">
        <f aca="false">ROUNDUP(H1296/BS1296,0)</f>
        <v>3</v>
      </c>
      <c r="CE1296" s="57" t="n">
        <f aca="false">ROUNDUP(CB1296/BS1296,0)</f>
        <v>0</v>
      </c>
      <c r="CF1296" s="60" t="n">
        <f aca="false">IF(BT1296=1,0,IFERROR(VLOOKUP(BR1296,'Gebinde-Kategorie'!$A$5:$M$45,5,0)+0,0))</f>
        <v>8</v>
      </c>
      <c r="CG1296" s="60" t="n">
        <f aca="false">IFERROR(IF(OR(BX1296=1,BX1296=2,BX1296=3),N(INDEX(Parameter!$I$5:$I$7,BX1296)),0),0)</f>
        <v>0</v>
      </c>
      <c r="CH1296" s="59" t="n">
        <f aca="false">IF(AND(Parameter!$B$21="Ja",ISNUMBER(W1296),N(X1296)&gt;0),IFERROR(N(INDEX(Parameter!$L$5:$L$7,W1296))*INDEX(Parameter!$E$5:$E$7,W1296)*X1296/SUMIFS($X$7:$X$1843,$W$7:$W$1843,W1296),0),0)</f>
        <v>0</v>
      </c>
    </row>
    <row r="1297" customFormat="false" ht="15" hidden="false" customHeight="false" outlineLevel="0" collapsed="false">
      <c r="A1297" s="55" t="s">
        <v>2306</v>
      </c>
      <c r="B1297" s="55" t="s">
        <v>2307</v>
      </c>
      <c r="C1297" s="55" t="s">
        <v>456</v>
      </c>
      <c r="D1297" s="55" t="s">
        <v>173</v>
      </c>
      <c r="E1297" s="55"/>
      <c r="F1297" s="55" t="s">
        <v>218</v>
      </c>
      <c r="G1297" s="56" t="n">
        <v>49.41</v>
      </c>
      <c r="H1297" s="57" t="n">
        <f aca="false">MAX(0,IF(AND(Parameter!$B$21="Ja",ISNUMBER(Y1297)),Y1297,IF(Parameter!$B$20="Jahresanfang 2025 + Export",BL1297+BK1297,BK1297)))</f>
        <v>0</v>
      </c>
      <c r="I1297" s="57" t="n">
        <f aca="false">H1297*G1297</f>
        <v>0</v>
      </c>
      <c r="J1297" s="57" t="n">
        <f aca="false">BN1297*Parameter!$B$18</f>
        <v>0</v>
      </c>
      <c r="K1297" s="58" t="n">
        <v>12</v>
      </c>
      <c r="L1297" s="59" t="n">
        <v>0</v>
      </c>
      <c r="M1297" s="57" t="n">
        <v>0</v>
      </c>
      <c r="N1297" s="57" t="n">
        <v>1</v>
      </c>
      <c r="O1297" s="60" t="n">
        <v>56</v>
      </c>
      <c r="P1297" s="55" t="s">
        <v>168</v>
      </c>
      <c r="Q1297" s="57"/>
      <c r="R1297" s="60" t="n">
        <f aca="false">IF(BT1297=1,0,IFERROR(VLOOKUP(BR1297,'Gebinde-Kategorie'!$A$5:$M$45,13,0)+0,0))</f>
        <v>3</v>
      </c>
      <c r="S1297" s="61"/>
      <c r="T1297" s="62" t="s">
        <v>189</v>
      </c>
      <c r="U1297" s="62"/>
      <c r="V1297" s="62"/>
      <c r="W1297" s="55"/>
      <c r="X1297" s="57"/>
      <c r="Y1297" s="57"/>
      <c r="Z1297" s="55" t="n">
        <f aca="false">IF(A1297="","",IF(AND(Parameter!$B$21="Ja",ISNUMBER(W1297)),W1297,IF(BV1297="2+3",IF(ISNUMBER(SEARCH("grosser Artikel",BO1297)),2,IFERROR(VLOOKUP(BR1297,Parameter!$F$35:$G$64,2,0),2)),IF(OR(BV1297="Nein",BV1297=""),"-",BV1297))))</f>
        <v>2</v>
      </c>
      <c r="AA1297" s="62"/>
      <c r="AB1297" s="63"/>
      <c r="AC1297" s="57" t="n">
        <f aca="false">AR1297</f>
        <v>2</v>
      </c>
      <c r="AD1297" s="57" t="n">
        <f aca="false">MAX(AR1297,H1297)</f>
        <v>2</v>
      </c>
      <c r="AE1297" s="64"/>
      <c r="AF1297" s="57" t="n">
        <f aca="false">IF(LEFT(Cockpit!$C$5,1)="A",H1297,IF(CA1297=1,CB1297,IF(LEFT(Cockpit!$C$5,1)="B",AJ1297,MAX(AJ1297,H1297))))</f>
        <v>0</v>
      </c>
      <c r="AG1297" s="57" t="n">
        <f aca="false">IF(BT1297=1,0,ROUNDUP(AF1297/BS1297,0))</f>
        <v>0</v>
      </c>
      <c r="AH1297" s="59" t="n">
        <f aca="false">IF(CH1297&gt;0,CH1297*MAX(1,AF1297/X1297),IF(BT1297=1,IF(AF1297&lt;=0,0,BW1297*MAX(1,IF(H1297&gt;0,AF1297/H1297,1))),IF(R1297&gt;0,AG1297/R1297,0))/MAX(0.1,N(Parameter!$M$21)))</f>
        <v>0</v>
      </c>
      <c r="AI1297" s="57" t="n">
        <f aca="false">AF1297*G1297</f>
        <v>0</v>
      </c>
      <c r="AJ1297" s="57" t="n">
        <f aca="false">ROUNDUP(MAX(J1297/IF(BZ1297&gt;0,BZ1297,MAX(0.1,N(Cockpit!$C$6))),CC1297)/BS1297,0)*BS1297</f>
        <v>2</v>
      </c>
      <c r="AK1297" s="58" t="n">
        <f aca="false">IF(AH1297&gt;0,J1297/AH1297,-1)</f>
        <v>-1</v>
      </c>
      <c r="AL1297" s="58" t="str">
        <f aca="false">IF(AND(OR(BY1297="L1",BY1297="L23"),AH1297&gt;0),SUMIFS($AH$7:$AH$1843,$BY$7:$BY$1843,BY1297,$AK$7:$AK$1843,"&gt;"&amp;AK1297)+SUMIFS($AH$7:$AH$1843,$BY$7:$BY$1843,BY1297,$AK$7:$AK$1843,AK1297,$BQ$7:$BQ$1843,"&lt;="&amp;BQ1297),"")</f>
        <v/>
      </c>
      <c r="AM1297" s="65" t="n">
        <f aca="false">IF(AL1297="",0,MAX(0,MIN(1,(IF(BY1297="L1",Parameter!$E$5,Parameter!$E$6+Parameter!$E$7)-(AL1297-AH1297))/AH1297)))</f>
        <v>0</v>
      </c>
      <c r="AN1297" s="57" t="n">
        <f aca="false">IF(LEFT(Cockpit!$I$5,1)="A",H1297,IF(CA1297=1,CB1297,IF(LEFT(Cockpit!$I$5,1)="B",AR1297,MAX(AR1297,H1297))))</f>
        <v>2</v>
      </c>
      <c r="AO1297" s="57" t="n">
        <f aca="false">IF(BT1297=1,0,ROUNDUP(AN1297/BS1297,0))</f>
        <v>1</v>
      </c>
      <c r="AP1297" s="59" t="n">
        <f aca="false">IF(CH1297&gt;0,CH1297*MAX(1,AN1297/X1297),IF(BT1297=1,IF(AN1297&lt;=0,0,BW1297*MAX(1,IF(H1297&gt;0,AN1297/H1297,1))),IF(R1297&gt;0,AO1297/R1297,0))/MAX(0.1,N(Parameter!$M$21)))</f>
        <v>0.333333333333333</v>
      </c>
      <c r="AQ1297" s="57" t="n">
        <f aca="false">AN1297*G1297</f>
        <v>98.82</v>
      </c>
      <c r="AR1297" s="57" t="n">
        <f aca="false">ROUNDUP(MAX(J1297/IF(BZ1297&gt;0,BZ1297,MAX(0.1,N(Cockpit!$I$6))),CC1297)/BS1297,0)*BS1297</f>
        <v>2</v>
      </c>
      <c r="AS1297" s="58" t="n">
        <f aca="false">IF(AP1297&gt;0,J1297/AP1297,-1)</f>
        <v>0</v>
      </c>
      <c r="AT1297" s="58" t="n">
        <f aca="false">IF(AND(OR(BY1297="L1",BY1297="L23"),AP1297&gt;0),SUMIFS($AP$7:$AP$1843,$BY$7:$BY$1843,BY1297,$AS$7:$AS$1843,"&gt;"&amp;AS1297)+SUMIFS($AP$7:$AP$1843,$BY$7:$BY$1843,BY1297,$AS$7:$AS$1843,AS1297,$BQ$7:$BQ$1843,"&lt;="&amp;BQ1297),"")</f>
        <v>124.990946251816</v>
      </c>
      <c r="AU1297" s="65" t="n">
        <f aca="false">IF(AT1297="",0,MAX(0,MIN(1,(IF(BY1297="L1",Parameter!$E$5,Parameter!$E$6+Parameter!$E$7)-(AT1297-AP1297))/AP1297)))</f>
        <v>0</v>
      </c>
      <c r="AV1297" s="57" t="n">
        <f aca="false">IF(LEFT(Cockpit!$O$5,1)="A",H1297,IF(CA1297=1,CB1297,IF(LEFT(Cockpit!$O$5,1)="B",AZ1297,MAX(AZ1297,H1297))))</f>
        <v>2</v>
      </c>
      <c r="AW1297" s="57" t="n">
        <f aca="false">IF(BT1297=1,0,ROUNDUP(AV1297/BS1297,0))</f>
        <v>1</v>
      </c>
      <c r="AX1297" s="59" t="n">
        <f aca="false">IF(CH1297&gt;0,CH1297*MAX(1,AV1297/X1297),IF(BT1297=1,IF(AV1297&lt;=0,0,BW1297*MAX(1,IF(H1297&gt;0,AV1297/H1297,1))),IF(R1297&gt;0,AW1297/R1297,0))/MAX(0.1,N(Parameter!$M$21)))</f>
        <v>0.333333333333333</v>
      </c>
      <c r="AY1297" s="57" t="n">
        <f aca="false">AV1297*G1297</f>
        <v>98.82</v>
      </c>
      <c r="AZ1297" s="57" t="n">
        <f aca="false">ROUNDUP(MAX(J1297/IF(BZ1297&gt;0,BZ1297,MAX(0.1,N(Cockpit!$O$6))),CC1297)/BS1297,0)*BS1297</f>
        <v>2</v>
      </c>
      <c r="BA1297" s="58" t="n">
        <f aca="false">IF(AX1297&gt;0,J1297/AX1297,-1)</f>
        <v>0</v>
      </c>
      <c r="BB1297" s="58" t="n">
        <f aca="false">IF(AND(OR(BY1297="L1",BY1297="L23"),AX1297&gt;0),SUMIFS($AX$7:$AX$1843,$BY$7:$BY$1843,BY1297,$BA$7:$BA$1843,"&gt;"&amp;BA1297)+SUMIFS($AX$7:$AX$1843,$BY$7:$BY$1843,BY1297,$BA$7:$BA$1843,BA1297,$BQ$7:$BQ$1843,"&lt;="&amp;BQ1297),"")</f>
        <v>115.820783081653</v>
      </c>
      <c r="BC1297" s="65" t="n">
        <f aca="false">IF(BB1297="",0,MAX(0,MIN(1,(IF(BY1297="L1",Parameter!$E$5,Parameter!$E$6+Parameter!$E$7)-(BB1297-AX1297))/AX1297)))</f>
        <v>0</v>
      </c>
      <c r="BD1297" s="55" t="str">
        <f aca="false">IF(AH1297&lt;=0,"",IF(BY1297="Aussen","Aussenlager",IF(BY1297="-","Nicht im Lift",IF(AM1297&gt;=1,"Lift",IF(AM1297&lt;=0,"Aussenlager","teilweise")))))</f>
        <v/>
      </c>
      <c r="BE1297" s="55" t="str">
        <f aca="false">IF(AP1297&lt;=0,"",IF(BY1297="Aussen","Aussenlager",IF(BY1297="-","Nicht im Lift",IF(AU1297&gt;=1,"Lift",IF(AU1297&lt;=0,"Aussenlager","teilweise")))))</f>
        <v>Aussenlager</v>
      </c>
      <c r="BF1297" s="55" t="str">
        <f aca="false">IF(AX1297&lt;=0,"",IF(BY1297="Aussen","Aussenlager",IF(BY1297="-","Nicht im Lift",IF(BC1297&gt;=1,"Lift",IF(BC1297&lt;=0,"Aussenlager","teilweise")))))</f>
        <v>Aussenlager</v>
      </c>
      <c r="BG1297" s="55" t="str">
        <f aca="false">IF(A1297="","",IF(BP1297=1,"Neu; ","")&amp;IF(AND(BP1297=0,BK1297&lt;0),"negativer Bestand (Export "&amp;BK1297&amp;"); ","")&amp;IF(J1297&lt;=0,"Kein Verbrauch; ","")&amp;IF(CH1297&gt;0,"Lift "&amp;W1297&amp;" lt. Liftbericht (Fach "&amp;X1297&amp;" Stk); ",IF(BU1297=1,"Gebinde geschätzt ("&amp;T1297&amp;"); ",IF(BT1297=1,"Lose – Tablare geschätzt; ","")))&amp;IF(H1297&gt;AR1297,"Überbestand "&amp;ROUND(H1297-AR1297,0)&amp;" Stk / CHF "&amp;ROUND((H1297-AR1297)*G1297,0)&amp;"; ","")&amp;IF(AND(CA1297=1,CB1297&lt;CC1297),"MAX &lt; MB+LG; ","")&amp;IF(AND(CG1297&gt;0,CF1297*10&gt;CG1297),"zu hoch für Tablar; ","")&amp;IF(AND(BP1297=0,OR(CA1297=1,AA1297&lt;&gt;"",U1297&lt;&gt;"",V1297&lt;&gt;"",AB1297&lt;&gt;"")),"manuell übersteuert; ","")&amp;IF(AND(BT1297=0,R1297=0),"Gebinde unbekannt / Stellmass fehlt; ","")&amp;IF(AND(BT1297=0,N(V1297)&lt;=0,N(Q1297)&lt;=0),"Menge pro Gebinde fehlt (Ist = 1 Gebinde); ","")&amp;BO1297)</f>
        <v>negativer Bestand (Export -24); Kein Verbrauch; Gebinde geschätzt (Gross); Menge pro Gebinde fehlt (Ist = 1 Gebinde); Neuer Art.</v>
      </c>
      <c r="BH1297" s="55"/>
      <c r="BI1297" s="55"/>
      <c r="BJ1297" s="62"/>
      <c r="BK1297" s="57" t="n">
        <v>-24</v>
      </c>
      <c r="BL1297" s="57" t="n">
        <v>24</v>
      </c>
      <c r="BM1297" s="56" t="n">
        <v>-1185.84</v>
      </c>
      <c r="BN1297" s="57" t="n">
        <v>0</v>
      </c>
      <c r="BO1297" s="55" t="s">
        <v>512</v>
      </c>
      <c r="BP1297" s="60" t="n">
        <v>0</v>
      </c>
      <c r="BQ1297" s="60" t="n">
        <v>1297</v>
      </c>
      <c r="BR1297" s="55" t="str">
        <f aca="false">IF(U1297&lt;&gt;"",UPPER(TRIM(U1297)),IF(BU1297=1,UPPER(VLOOKUP(T1297,Parameter!$I$27:$K$29,2,0)),IF(P1297="","LOSE",P1297)))</f>
        <v>S81</v>
      </c>
      <c r="BS1297" s="57" t="n">
        <f aca="false">IF(BR1297="LOSE",1,IF(N(V1297)&gt;0,V1297,IF(BU1297=1,MAX(1,N(VLOOKUP(T1297,Parameter!$I$27:$K$29,3,0)),H1297,N(N1297)),IF(N(Q1297)&gt;0,Q1297,MAX(1,H1297)))))</f>
        <v>2</v>
      </c>
      <c r="BT1297" s="60" t="n">
        <f aca="false">IF(BR1297="LOSE",1,0)</f>
        <v>0</v>
      </c>
      <c r="BU1297" s="60" t="n">
        <f aca="false">IF(AND(U1297="",OR(P1297="",P1297="LOSE"),T1297&lt;&gt;"",N(S1297)&lt;=0,ISNUMBER(MATCH(T1297,Parameter!$I$27:$I$29,0))),1,0)</f>
        <v>1</v>
      </c>
      <c r="BV1297" s="55" t="str">
        <f aca="false">IF(AND(Parameter!$B$19="Ja",E1297&lt;&gt;"",ISNUMBER(MATCH(E1297,Parameter!$I$35:$I$52,0))),VLOOKUP(E1297,Parameter!$I$35:$J$52,2,0),IFERROR(VLOOKUP(D1297,Parameter!$A$35:$C$64,2,0),"Nein"))</f>
        <v>2+3</v>
      </c>
      <c r="BW1297" s="59" t="n">
        <f aca="false">IF(BT1297=0,0,IF(N(S1297)&gt;0,S1297,IFERROR(VLOOKUP(D1297,Parameter!$A$35:$C$64,3,0)+0,0)))</f>
        <v>0</v>
      </c>
      <c r="BX1297" s="55" t="n">
        <f aca="false">IF(AA1297&lt;&gt;"",AA1297,Z1297)</f>
        <v>2</v>
      </c>
      <c r="BY1297" s="55" t="str">
        <f aca="false">IF(BX1297=1,"L1",IF(OR(BX1297=2,BX1297=3),"L23",IF(BX1297="Aussen","Aussen","-")))</f>
        <v>L23</v>
      </c>
      <c r="BZ1297" s="66" t="n">
        <f aca="false">IF(N(AB1297)&gt;0,AB1297,0)</f>
        <v>0</v>
      </c>
      <c r="CA1297" s="60" t="n">
        <f aca="false">IF(ISNUMBER(AE1297),1,0)</f>
        <v>0</v>
      </c>
      <c r="CB1297" s="57" t="n">
        <f aca="false">N(AE1297)</f>
        <v>0</v>
      </c>
      <c r="CC1297" s="57" t="n">
        <f aca="false">N(M1297)+N(N1297)</f>
        <v>1</v>
      </c>
      <c r="CD1297" s="57" t="n">
        <f aca="false">ROUNDUP(H1297/BS1297,0)</f>
        <v>0</v>
      </c>
      <c r="CE1297" s="57" t="n">
        <f aca="false">ROUNDUP(CB1297/BS1297,0)</f>
        <v>0</v>
      </c>
      <c r="CF1297" s="60" t="n">
        <f aca="false">IF(BT1297=1,0,IFERROR(VLOOKUP(BR1297,'Gebinde-Kategorie'!$A$5:$M$45,5,0)+0,0))</f>
        <v>20</v>
      </c>
      <c r="CG1297" s="60" t="n">
        <f aca="false">IFERROR(IF(OR(BX1297=1,BX1297=2,BX1297=3),N(INDEX(Parameter!$I$5:$I$7,BX1297)),0),0)</f>
        <v>0</v>
      </c>
      <c r="CH1297" s="59" t="n">
        <f aca="false">IF(AND(Parameter!$B$21="Ja",ISNUMBER(W1297),N(X1297)&gt;0),IFERROR(N(INDEX(Parameter!$L$5:$L$7,W1297))*INDEX(Parameter!$E$5:$E$7,W1297)*X1297/SUMIFS($X$7:$X$1843,$W$7:$W$1843,W1297),0),0)</f>
        <v>0</v>
      </c>
    </row>
    <row r="1298" customFormat="false" ht="15" hidden="false" customHeight="false" outlineLevel="0" collapsed="false">
      <c r="A1298" s="55" t="s">
        <v>2308</v>
      </c>
      <c r="B1298" s="55" t="s">
        <v>2309</v>
      </c>
      <c r="C1298" s="55" t="s">
        <v>456</v>
      </c>
      <c r="D1298" s="55" t="s">
        <v>173</v>
      </c>
      <c r="E1298" s="55"/>
      <c r="F1298" s="55" t="s">
        <v>218</v>
      </c>
      <c r="G1298" s="56" t="n">
        <v>59.5</v>
      </c>
      <c r="H1298" s="57" t="n">
        <f aca="false">MAX(0,IF(AND(Parameter!$B$21="Ja",ISNUMBER(Y1298)),Y1298,IF(Parameter!$B$20="Jahresanfang 2025 + Export",BL1298+BK1298,BK1298)))</f>
        <v>0</v>
      </c>
      <c r="I1298" s="57" t="n">
        <f aca="false">H1298*G1298</f>
        <v>0</v>
      </c>
      <c r="J1298" s="57" t="n">
        <f aca="false">BN1298*Parameter!$B$18</f>
        <v>0</v>
      </c>
      <c r="K1298" s="58" t="n">
        <v>10</v>
      </c>
      <c r="L1298" s="59" t="n">
        <v>0</v>
      </c>
      <c r="M1298" s="57" t="n">
        <v>0</v>
      </c>
      <c r="N1298" s="57" t="n">
        <v>1</v>
      </c>
      <c r="O1298" s="60" t="n">
        <v>56</v>
      </c>
      <c r="P1298" s="55" t="s">
        <v>168</v>
      </c>
      <c r="Q1298" s="57"/>
      <c r="R1298" s="60" t="n">
        <f aca="false">IF(BT1298=1,0,IFERROR(VLOOKUP(BR1298,'Gebinde-Kategorie'!$A$5:$M$45,13,0)+0,0))</f>
        <v>12</v>
      </c>
      <c r="S1298" s="61"/>
      <c r="T1298" s="62" t="s">
        <v>179</v>
      </c>
      <c r="U1298" s="62"/>
      <c r="V1298" s="62"/>
      <c r="W1298" s="55"/>
      <c r="X1298" s="57"/>
      <c r="Y1298" s="57"/>
      <c r="Z1298" s="55" t="n">
        <f aca="false">IF(A1298="","",IF(AND(Parameter!$B$21="Ja",ISNUMBER(W1298)),W1298,IF(BV1298="2+3",IF(ISNUMBER(SEARCH("grosser Artikel",BO1298)),2,IFERROR(VLOOKUP(BR1298,Parameter!$F$35:$G$64,2,0),2)),IF(OR(BV1298="Nein",BV1298=""),"-",BV1298))))</f>
        <v>2</v>
      </c>
      <c r="AA1298" s="62"/>
      <c r="AB1298" s="63"/>
      <c r="AC1298" s="57" t="n">
        <f aca="false">AR1298</f>
        <v>4</v>
      </c>
      <c r="AD1298" s="57" t="n">
        <f aca="false">MAX(AR1298,H1298)</f>
        <v>4</v>
      </c>
      <c r="AE1298" s="64"/>
      <c r="AF1298" s="57" t="n">
        <f aca="false">IF(LEFT(Cockpit!$C$5,1)="A",H1298,IF(CA1298=1,CB1298,IF(LEFT(Cockpit!$C$5,1)="B",AJ1298,MAX(AJ1298,H1298))))</f>
        <v>0</v>
      </c>
      <c r="AG1298" s="57" t="n">
        <f aca="false">IF(BT1298=1,0,ROUNDUP(AF1298/BS1298,0))</f>
        <v>0</v>
      </c>
      <c r="AH1298" s="59" t="n">
        <f aca="false">IF(CH1298&gt;0,CH1298*MAX(1,AF1298/X1298),IF(BT1298=1,IF(AF1298&lt;=0,0,BW1298*MAX(1,IF(H1298&gt;0,AF1298/H1298,1))),IF(R1298&gt;0,AG1298/R1298,0))/MAX(0.1,N(Parameter!$M$21)))</f>
        <v>0</v>
      </c>
      <c r="AI1298" s="57" t="n">
        <f aca="false">AF1298*G1298</f>
        <v>0</v>
      </c>
      <c r="AJ1298" s="57" t="n">
        <f aca="false">ROUNDUP(MAX(J1298/IF(BZ1298&gt;0,BZ1298,MAX(0.1,N(Cockpit!$C$6))),CC1298)/BS1298,0)*BS1298</f>
        <v>4</v>
      </c>
      <c r="AK1298" s="58" t="n">
        <f aca="false">IF(AH1298&gt;0,J1298/AH1298,-1)</f>
        <v>-1</v>
      </c>
      <c r="AL1298" s="58" t="str">
        <f aca="false">IF(AND(OR(BY1298="L1",BY1298="L23"),AH1298&gt;0),SUMIFS($AH$7:$AH$1843,$BY$7:$BY$1843,BY1298,$AK$7:$AK$1843,"&gt;"&amp;AK1298)+SUMIFS($AH$7:$AH$1843,$BY$7:$BY$1843,BY1298,$AK$7:$AK$1843,AK1298,$BQ$7:$BQ$1843,"&lt;="&amp;BQ1298),"")</f>
        <v/>
      </c>
      <c r="AM1298" s="65" t="n">
        <f aca="false">IF(AL1298="",0,MAX(0,MIN(1,(IF(BY1298="L1",Parameter!$E$5,Parameter!$E$6+Parameter!$E$7)-(AL1298-AH1298))/AH1298)))</f>
        <v>0</v>
      </c>
      <c r="AN1298" s="57" t="n">
        <f aca="false">IF(LEFT(Cockpit!$I$5,1)="A",H1298,IF(CA1298=1,CB1298,IF(LEFT(Cockpit!$I$5,1)="B",AR1298,MAX(AR1298,H1298))))</f>
        <v>4</v>
      </c>
      <c r="AO1298" s="57" t="n">
        <f aca="false">IF(BT1298=1,0,ROUNDUP(AN1298/BS1298,0))</f>
        <v>1</v>
      </c>
      <c r="AP1298" s="59" t="n">
        <f aca="false">IF(CH1298&gt;0,CH1298*MAX(1,AN1298/X1298),IF(BT1298=1,IF(AN1298&lt;=0,0,BW1298*MAX(1,IF(H1298&gt;0,AN1298/H1298,1))),IF(R1298&gt;0,AO1298/R1298,0))/MAX(0.1,N(Parameter!$M$21)))</f>
        <v>0.0833333333333333</v>
      </c>
      <c r="AQ1298" s="57" t="n">
        <f aca="false">AN1298*G1298</f>
        <v>238</v>
      </c>
      <c r="AR1298" s="57" t="n">
        <f aca="false">ROUNDUP(MAX(J1298/IF(BZ1298&gt;0,BZ1298,MAX(0.1,N(Cockpit!$I$6))),CC1298)/BS1298,0)*BS1298</f>
        <v>4</v>
      </c>
      <c r="AS1298" s="58" t="n">
        <f aca="false">IF(AP1298&gt;0,J1298/AP1298,-1)</f>
        <v>0</v>
      </c>
      <c r="AT1298" s="58" t="n">
        <f aca="false">IF(AND(OR(BY1298="L1",BY1298="L23"),AP1298&gt;0),SUMIFS($AP$7:$AP$1843,$BY$7:$BY$1843,BY1298,$AS$7:$AS$1843,"&gt;"&amp;AS1298)+SUMIFS($AP$7:$AP$1843,$BY$7:$BY$1843,BY1298,$AS$7:$AS$1843,AS1298,$BQ$7:$BQ$1843,"&lt;="&amp;BQ1298),"")</f>
        <v>125.074279585149</v>
      </c>
      <c r="AU1298" s="65" t="n">
        <f aca="false">IF(AT1298="",0,MAX(0,MIN(1,(IF(BY1298="L1",Parameter!$E$5,Parameter!$E$6+Parameter!$E$7)-(AT1298-AP1298))/AP1298)))</f>
        <v>0</v>
      </c>
      <c r="AV1298" s="57" t="n">
        <f aca="false">IF(LEFT(Cockpit!$O$5,1)="A",H1298,IF(CA1298=1,CB1298,IF(LEFT(Cockpit!$O$5,1)="B",AZ1298,MAX(AZ1298,H1298))))</f>
        <v>4</v>
      </c>
      <c r="AW1298" s="57" t="n">
        <f aca="false">IF(BT1298=1,0,ROUNDUP(AV1298/BS1298,0))</f>
        <v>1</v>
      </c>
      <c r="AX1298" s="59" t="n">
        <f aca="false">IF(CH1298&gt;0,CH1298*MAX(1,AV1298/X1298),IF(BT1298=1,IF(AV1298&lt;=0,0,BW1298*MAX(1,IF(H1298&gt;0,AV1298/H1298,1))),IF(R1298&gt;0,AW1298/R1298,0))/MAX(0.1,N(Parameter!$M$21)))</f>
        <v>0.0833333333333333</v>
      </c>
      <c r="AY1298" s="57" t="n">
        <f aca="false">AV1298*G1298</f>
        <v>238</v>
      </c>
      <c r="AZ1298" s="57" t="n">
        <f aca="false">ROUNDUP(MAX(J1298/IF(BZ1298&gt;0,BZ1298,MAX(0.1,N(Cockpit!$O$6))),CC1298)/BS1298,0)*BS1298</f>
        <v>4</v>
      </c>
      <c r="BA1298" s="58" t="n">
        <f aca="false">IF(AX1298&gt;0,J1298/AX1298,-1)</f>
        <v>0</v>
      </c>
      <c r="BB1298" s="58" t="n">
        <f aca="false">IF(AND(OR(BY1298="L1",BY1298="L23"),AX1298&gt;0),SUMIFS($AX$7:$AX$1843,$BY$7:$BY$1843,BY1298,$BA$7:$BA$1843,"&gt;"&amp;BA1298)+SUMIFS($AX$7:$AX$1843,$BY$7:$BY$1843,BY1298,$BA$7:$BA$1843,BA1298,$BQ$7:$BQ$1843,"&lt;="&amp;BQ1298),"")</f>
        <v>115.904116414986</v>
      </c>
      <c r="BC1298" s="65" t="n">
        <f aca="false">IF(BB1298="",0,MAX(0,MIN(1,(IF(BY1298="L1",Parameter!$E$5,Parameter!$E$6+Parameter!$E$7)-(BB1298-AX1298))/AX1298)))</f>
        <v>0</v>
      </c>
      <c r="BD1298" s="55" t="str">
        <f aca="false">IF(AH1298&lt;=0,"",IF(BY1298="Aussen","Aussenlager",IF(BY1298="-","Nicht im Lift",IF(AM1298&gt;=1,"Lift",IF(AM1298&lt;=0,"Aussenlager","teilweise")))))</f>
        <v/>
      </c>
      <c r="BE1298" s="55" t="str">
        <f aca="false">IF(AP1298&lt;=0,"",IF(BY1298="Aussen","Aussenlager",IF(BY1298="-","Nicht im Lift",IF(AU1298&gt;=1,"Lift",IF(AU1298&lt;=0,"Aussenlager","teilweise")))))</f>
        <v>Aussenlager</v>
      </c>
      <c r="BF1298" s="55" t="str">
        <f aca="false">IF(AX1298&lt;=0,"",IF(BY1298="Aussen","Aussenlager",IF(BY1298="-","Nicht im Lift",IF(BC1298&gt;=1,"Lift",IF(BC1298&lt;=0,"Aussenlager","teilweise")))))</f>
        <v>Aussenlager</v>
      </c>
      <c r="BG1298" s="55" t="str">
        <f aca="false">IF(A1298="","",IF(BP1298=1,"Neu; ","")&amp;IF(AND(BP1298=0,BK1298&lt;0),"negativer Bestand (Export "&amp;BK1298&amp;"); ","")&amp;IF(J1298&lt;=0,"Kein Verbrauch; ","")&amp;IF(CH1298&gt;0,"Lift "&amp;W1298&amp;" lt. Liftbericht (Fach "&amp;X1298&amp;" Stk); ",IF(BU1298=1,"Gebinde geschätzt ("&amp;T1298&amp;"); ",IF(BT1298=1,"Lose – Tablare geschätzt; ","")))&amp;IF(H1298&gt;AR1298,"Überbestand "&amp;ROUND(H1298-AR1298,0)&amp;" Stk / CHF "&amp;ROUND((H1298-AR1298)*G1298,0)&amp;"; ","")&amp;IF(AND(CA1298=1,CB1298&lt;CC1298),"MAX &lt; MB+LG; ","")&amp;IF(AND(CG1298&gt;0,CF1298*10&gt;CG1298),"zu hoch für Tablar; ","")&amp;IF(AND(BP1298=0,OR(CA1298=1,AA1298&lt;&gt;"",U1298&lt;&gt;"",V1298&lt;&gt;"",AB1298&lt;&gt;"")),"manuell übersteuert; ","")&amp;IF(AND(BT1298=0,R1298=0),"Gebinde unbekannt / Stellmass fehlt; ","")&amp;IF(AND(BT1298=0,N(V1298)&lt;=0,N(Q1298)&lt;=0),"Menge pro Gebinde fehlt (Ist = 1 Gebinde); ","")&amp;BO1298)</f>
        <v>negativer Bestand (Export -20); Kein Verbrauch; Gebinde geschätzt (Mittel); Menge pro Gebinde fehlt (Ist = 1 Gebinde); </v>
      </c>
      <c r="BH1298" s="55"/>
      <c r="BI1298" s="55"/>
      <c r="BJ1298" s="62"/>
      <c r="BK1298" s="57" t="n">
        <v>-20</v>
      </c>
      <c r="BL1298" s="57" t="n">
        <v>20</v>
      </c>
      <c r="BM1298" s="56" t="n">
        <v>-1190</v>
      </c>
      <c r="BN1298" s="57" t="n">
        <v>0</v>
      </c>
      <c r="BO1298" s="55"/>
      <c r="BP1298" s="60" t="n">
        <v>0</v>
      </c>
      <c r="BQ1298" s="60" t="n">
        <v>1298</v>
      </c>
      <c r="BR1298" s="55" t="str">
        <f aca="false">IF(U1298&lt;&gt;"",UPPER(TRIM(U1298)),IF(BU1298=1,UPPER(VLOOKUP(T1298,Parameter!$I$27:$K$29,2,0)),IF(P1298="","LOSE",P1298)))</f>
        <v>S61</v>
      </c>
      <c r="BS1298" s="57" t="n">
        <f aca="false">IF(BR1298="LOSE",1,IF(N(V1298)&gt;0,V1298,IF(BU1298=1,MAX(1,N(VLOOKUP(T1298,Parameter!$I$27:$K$29,3,0)),H1298,N(N1298)),IF(N(Q1298)&gt;0,Q1298,MAX(1,H1298)))))</f>
        <v>4</v>
      </c>
      <c r="BT1298" s="60" t="n">
        <f aca="false">IF(BR1298="LOSE",1,0)</f>
        <v>0</v>
      </c>
      <c r="BU1298" s="60" t="n">
        <f aca="false">IF(AND(U1298="",OR(P1298="",P1298="LOSE"),T1298&lt;&gt;"",N(S1298)&lt;=0,ISNUMBER(MATCH(T1298,Parameter!$I$27:$I$29,0))),1,0)</f>
        <v>1</v>
      </c>
      <c r="BV1298" s="55" t="str">
        <f aca="false">IF(AND(Parameter!$B$19="Ja",E1298&lt;&gt;"",ISNUMBER(MATCH(E1298,Parameter!$I$35:$I$52,0))),VLOOKUP(E1298,Parameter!$I$35:$J$52,2,0),IFERROR(VLOOKUP(D1298,Parameter!$A$35:$C$64,2,0),"Nein"))</f>
        <v>2+3</v>
      </c>
      <c r="BW1298" s="59" t="n">
        <f aca="false">IF(BT1298=0,0,IF(N(S1298)&gt;0,S1298,IFERROR(VLOOKUP(D1298,Parameter!$A$35:$C$64,3,0)+0,0)))</f>
        <v>0</v>
      </c>
      <c r="BX1298" s="55" t="n">
        <f aca="false">IF(AA1298&lt;&gt;"",AA1298,Z1298)</f>
        <v>2</v>
      </c>
      <c r="BY1298" s="55" t="str">
        <f aca="false">IF(BX1298=1,"L1",IF(OR(BX1298=2,BX1298=3),"L23",IF(BX1298="Aussen","Aussen","-")))</f>
        <v>L23</v>
      </c>
      <c r="BZ1298" s="66" t="n">
        <f aca="false">IF(N(AB1298)&gt;0,AB1298,0)</f>
        <v>0</v>
      </c>
      <c r="CA1298" s="60" t="n">
        <f aca="false">IF(ISNUMBER(AE1298),1,0)</f>
        <v>0</v>
      </c>
      <c r="CB1298" s="57" t="n">
        <f aca="false">N(AE1298)</f>
        <v>0</v>
      </c>
      <c r="CC1298" s="57" t="n">
        <f aca="false">N(M1298)+N(N1298)</f>
        <v>1</v>
      </c>
      <c r="CD1298" s="57" t="n">
        <f aca="false">ROUNDUP(H1298/BS1298,0)</f>
        <v>0</v>
      </c>
      <c r="CE1298" s="57" t="n">
        <f aca="false">ROUNDUP(CB1298/BS1298,0)</f>
        <v>0</v>
      </c>
      <c r="CF1298" s="60" t="n">
        <f aca="false">IF(BT1298=1,0,IFERROR(VLOOKUP(BR1298,'Gebinde-Kategorie'!$A$5:$M$45,5,0)+0,0))</f>
        <v>11</v>
      </c>
      <c r="CG1298" s="60" t="n">
        <f aca="false">IFERROR(IF(OR(BX1298=1,BX1298=2,BX1298=3),N(INDEX(Parameter!$I$5:$I$7,BX1298)),0),0)</f>
        <v>0</v>
      </c>
      <c r="CH1298" s="59" t="n">
        <f aca="false">IF(AND(Parameter!$B$21="Ja",ISNUMBER(W1298),N(X1298)&gt;0),IFERROR(N(INDEX(Parameter!$L$5:$L$7,W1298))*INDEX(Parameter!$E$5:$E$7,W1298)*X1298/SUMIFS($X$7:$X$1843,$W$7:$W$1843,W1298),0),0)</f>
        <v>0</v>
      </c>
    </row>
    <row r="1299" customFormat="false" ht="15" hidden="false" customHeight="false" outlineLevel="0" collapsed="false">
      <c r="A1299" s="55" t="s">
        <v>2310</v>
      </c>
      <c r="B1299" s="55" t="s">
        <v>405</v>
      </c>
      <c r="C1299" s="55" t="s">
        <v>164</v>
      </c>
      <c r="D1299" s="55" t="s">
        <v>173</v>
      </c>
      <c r="E1299" s="55" t="s">
        <v>185</v>
      </c>
      <c r="F1299" s="55" t="s">
        <v>218</v>
      </c>
      <c r="G1299" s="56" t="n">
        <v>1.59</v>
      </c>
      <c r="H1299" s="57" t="n">
        <f aca="false">MAX(0,IF(AND(Parameter!$B$21="Ja",ISNUMBER(Y1299)),Y1299,IF(Parameter!$B$20="Jahresanfang 2025 + Export",BL1299+BK1299,BK1299)))</f>
        <v>1109</v>
      </c>
      <c r="I1299" s="57" t="n">
        <f aca="false">H1299*G1299</f>
        <v>1763.31</v>
      </c>
      <c r="J1299" s="57" t="n">
        <f aca="false">BN1299*Parameter!$B$18</f>
        <v>5534</v>
      </c>
      <c r="K1299" s="58" t="n">
        <v>1501.5</v>
      </c>
      <c r="L1299" s="59" t="n">
        <v>3.68564768564769</v>
      </c>
      <c r="M1299" s="57" t="n">
        <v>322</v>
      </c>
      <c r="N1299" s="57" t="n">
        <v>600</v>
      </c>
      <c r="O1299" s="60" t="n">
        <v>21</v>
      </c>
      <c r="P1299" s="55" t="s">
        <v>226</v>
      </c>
      <c r="Q1299" s="57" t="n">
        <v>300</v>
      </c>
      <c r="R1299" s="60" t="n">
        <f aca="false">IF(BT1299=1,0,IFERROR(VLOOKUP(BR1299,'Gebinde-Kategorie'!$A$5:$M$45,13,0)+0,0))</f>
        <v>12</v>
      </c>
      <c r="S1299" s="61"/>
      <c r="T1299" s="62"/>
      <c r="U1299" s="62"/>
      <c r="V1299" s="62"/>
      <c r="W1299" s="55"/>
      <c r="X1299" s="57"/>
      <c r="Y1299" s="57"/>
      <c r="Z1299" s="55" t="n">
        <f aca="false">IF(A1299="","",IF(AND(Parameter!$B$21="Ja",ISNUMBER(W1299)),W1299,IF(BV1299="2+3",IF(ISNUMBER(SEARCH("grosser Artikel",BO1299)),2,IFERROR(VLOOKUP(BR1299,Parameter!$F$35:$G$64,2,0),2)),IF(OR(BV1299="Nein",BV1299=""),"-",BV1299))))</f>
        <v>2</v>
      </c>
      <c r="AA1299" s="62"/>
      <c r="AB1299" s="63"/>
      <c r="AC1299" s="57" t="n">
        <f aca="false">AR1299</f>
        <v>3000</v>
      </c>
      <c r="AD1299" s="57" t="n">
        <f aca="false">MAX(AR1299,H1299)</f>
        <v>3000</v>
      </c>
      <c r="AE1299" s="64"/>
      <c r="AF1299" s="57" t="n">
        <f aca="false">IF(LEFT(Cockpit!$C$5,1)="A",H1299,IF(CA1299=1,CB1299,IF(LEFT(Cockpit!$C$5,1)="B",AJ1299,MAX(AJ1299,H1299))))</f>
        <v>1109</v>
      </c>
      <c r="AG1299" s="57" t="n">
        <f aca="false">IF(BT1299=1,0,ROUNDUP(AF1299/BS1299,0))</f>
        <v>4</v>
      </c>
      <c r="AH1299" s="59" t="n">
        <f aca="false">IF(CH1299&gt;0,CH1299*MAX(1,AF1299/X1299),IF(BT1299=1,IF(AF1299&lt;=0,0,BW1299*MAX(1,IF(H1299&gt;0,AF1299/H1299,1))),IF(R1299&gt;0,AG1299/R1299,0))/MAX(0.1,N(Parameter!$M$21)))</f>
        <v>0.333333333333333</v>
      </c>
      <c r="AI1299" s="57" t="n">
        <f aca="false">AF1299*G1299</f>
        <v>1763.31</v>
      </c>
      <c r="AJ1299" s="57" t="n">
        <f aca="false">ROUNDUP(MAX(J1299/IF(BZ1299&gt;0,BZ1299,MAX(0.1,N(Cockpit!$C$6))),CC1299)/BS1299,0)*BS1299</f>
        <v>3000</v>
      </c>
      <c r="AK1299" s="58" t="n">
        <f aca="false">IF(AH1299&gt;0,J1299/AH1299,-1)</f>
        <v>16602</v>
      </c>
      <c r="AL1299" s="58" t="n">
        <f aca="false">IF(AND(OR(BY1299="L1",BY1299="L23"),AH1299&gt;0),SUMIFS($AH$7:$AH$1843,$BY$7:$BY$1843,BY1299,$AK$7:$AK$1843,"&gt;"&amp;AK1299)+SUMIFS($AH$7:$AH$1843,$BY$7:$BY$1843,BY1299,$AK$7:$AK$1843,AK1299,$BQ$7:$BQ$1843,"&lt;="&amp;BQ1299),"")</f>
        <v>4.30079220296612</v>
      </c>
      <c r="AM1299" s="65" t="n">
        <f aca="false">IF(AL1299="",0,MAX(0,MIN(1,(IF(BY1299="L1",Parameter!$E$5,Parameter!$E$6+Parameter!$E$7)-(AL1299-AH1299))/AH1299)))</f>
        <v>1</v>
      </c>
      <c r="AN1299" s="57" t="n">
        <f aca="false">IF(LEFT(Cockpit!$I$5,1)="A",H1299,IF(CA1299=1,CB1299,IF(LEFT(Cockpit!$I$5,1)="B",AR1299,MAX(AR1299,H1299))))</f>
        <v>3000</v>
      </c>
      <c r="AO1299" s="57" t="n">
        <f aca="false">IF(BT1299=1,0,ROUNDUP(AN1299/BS1299,0))</f>
        <v>10</v>
      </c>
      <c r="AP1299" s="59" t="n">
        <f aca="false">IF(CH1299&gt;0,CH1299*MAX(1,AN1299/X1299),IF(BT1299=1,IF(AN1299&lt;=0,0,BW1299*MAX(1,IF(H1299&gt;0,AN1299/H1299,1))),IF(R1299&gt;0,AO1299/R1299,0))/MAX(0.1,N(Parameter!$M$21)))</f>
        <v>0.833333333333333</v>
      </c>
      <c r="AQ1299" s="57" t="n">
        <f aca="false">AN1299*G1299</f>
        <v>4770</v>
      </c>
      <c r="AR1299" s="57" t="n">
        <f aca="false">ROUNDUP(MAX(J1299/IF(BZ1299&gt;0,BZ1299,MAX(0.1,N(Cockpit!$I$6))),CC1299)/BS1299,0)*BS1299</f>
        <v>3000</v>
      </c>
      <c r="AS1299" s="58" t="n">
        <f aca="false">IF(AP1299&gt;0,J1299/AP1299,-1)</f>
        <v>6640.8</v>
      </c>
      <c r="AT1299" s="58" t="n">
        <f aca="false">IF(AND(OR(BY1299="L1",BY1299="L23"),AP1299&gt;0),SUMIFS($AP$7:$AP$1843,$BY$7:$BY$1843,BY1299,$AS$7:$AS$1843,"&gt;"&amp;AS1299)+SUMIFS($AP$7:$AP$1843,$BY$7:$BY$1843,BY1299,$AS$7:$AS$1843,AS1299,$BQ$7:$BQ$1843,"&lt;="&amp;BQ1299),"")</f>
        <v>10.8635012330665</v>
      </c>
      <c r="AU1299" s="65" t="n">
        <f aca="false">IF(AT1299="",0,MAX(0,MIN(1,(IF(BY1299="L1",Parameter!$E$5,Parameter!$E$6+Parameter!$E$7)-(AT1299-AP1299))/AP1299)))</f>
        <v>1</v>
      </c>
      <c r="AV1299" s="57" t="n">
        <f aca="false">IF(LEFT(Cockpit!$O$5,1)="A",H1299,IF(CA1299=1,CB1299,IF(LEFT(Cockpit!$O$5,1)="B",AZ1299,MAX(AZ1299,H1299))))</f>
        <v>2100</v>
      </c>
      <c r="AW1299" s="57" t="n">
        <f aca="false">IF(BT1299=1,0,ROUNDUP(AV1299/BS1299,0))</f>
        <v>7</v>
      </c>
      <c r="AX1299" s="59" t="n">
        <f aca="false">IF(CH1299&gt;0,CH1299*MAX(1,AV1299/X1299),IF(BT1299=1,IF(AV1299&lt;=0,0,BW1299*MAX(1,IF(H1299&gt;0,AV1299/H1299,1))),IF(R1299&gt;0,AW1299/R1299,0))/MAX(0.1,N(Parameter!$M$21)))</f>
        <v>0.583333333333333</v>
      </c>
      <c r="AY1299" s="57" t="n">
        <f aca="false">AV1299*G1299</f>
        <v>3339</v>
      </c>
      <c r="AZ1299" s="57" t="n">
        <f aca="false">ROUNDUP(MAX(J1299/IF(BZ1299&gt;0,BZ1299,MAX(0.1,N(Cockpit!$O$6))),CC1299)/BS1299,0)*BS1299</f>
        <v>2100</v>
      </c>
      <c r="BA1299" s="58" t="n">
        <f aca="false">IF(AX1299&gt;0,J1299/AX1299,-1)</f>
        <v>9486.85714285714</v>
      </c>
      <c r="BB1299" s="58" t="n">
        <f aca="false">IF(AND(OR(BY1299="L1",BY1299="L23"),AX1299&gt;0),SUMIFS($AX$7:$AX$1843,$BY$7:$BY$1843,BY1299,$BA$7:$BA$1843,"&gt;"&amp;BA1299)+SUMIFS($AX$7:$AX$1843,$BY$7:$BY$1843,BY1299,$BA$7:$BA$1843,BA1299,$BQ$7:$BQ$1843,"&lt;="&amp;BQ1299),"")</f>
        <v>8.21777980473633</v>
      </c>
      <c r="BC1299" s="65" t="n">
        <f aca="false">IF(BB1299="",0,MAX(0,MIN(1,(IF(BY1299="L1",Parameter!$E$5,Parameter!$E$6+Parameter!$E$7)-(BB1299-AX1299))/AX1299)))</f>
        <v>1</v>
      </c>
      <c r="BD1299" s="55" t="str">
        <f aca="false">IF(AH1299&lt;=0,"",IF(BY1299="Aussen","Aussenlager",IF(BY1299="-","Nicht im Lift",IF(AM1299&gt;=1,"Lift",IF(AM1299&lt;=0,"Aussenlager","teilweise")))))</f>
        <v>Lift</v>
      </c>
      <c r="BE1299" s="55" t="str">
        <f aca="false">IF(AP1299&lt;=0,"",IF(BY1299="Aussen","Aussenlager",IF(BY1299="-","Nicht im Lift",IF(AU1299&gt;=1,"Lift",IF(AU1299&lt;=0,"Aussenlager","teilweise")))))</f>
        <v>Lift</v>
      </c>
      <c r="BF1299" s="55" t="str">
        <f aca="false">IF(AX1299&lt;=0,"",IF(BY1299="Aussen","Aussenlager",IF(BY1299="-","Nicht im Lift",IF(BC1299&gt;=1,"Lift",IF(BC1299&lt;=0,"Aussenlager","teilweise")))))</f>
        <v>Lift</v>
      </c>
      <c r="BG1299" s="55" t="str">
        <f aca="false">IF(A1299="","",IF(BP1299=1,"Neu; ","")&amp;IF(AND(BP1299=0,BK1299&lt;0),"negativer Bestand (Export "&amp;BK1299&amp;"); ","")&amp;IF(J1299&lt;=0,"Kein Verbrauch; ","")&amp;IF(CH1299&gt;0,"Lift "&amp;W1299&amp;" lt. Liftbericht (Fach "&amp;X1299&amp;" Stk); ",IF(BU1299=1,"Gebinde geschätzt ("&amp;T1299&amp;"); ",IF(BT1299=1,"Lose – Tablare geschätzt; ","")))&amp;IF(H1299&gt;AR1299,"Überbestand "&amp;ROUND(H1299-AR1299,0)&amp;" Stk / CHF "&amp;ROUND((H1299-AR1299)*G1299,0)&amp;"; ","")&amp;IF(AND(CA1299=1,CB1299&lt;CC1299),"MAX &lt; MB+LG; ","")&amp;IF(AND(CG1299&gt;0,CF1299*10&gt;CG1299),"zu hoch für Tablar; ","")&amp;IF(AND(BP1299=0,OR(CA1299=1,AA1299&lt;&gt;"",U1299&lt;&gt;"",V1299&lt;&gt;"",AB1299&lt;&gt;"")),"manuell übersteuert; ","")&amp;IF(AND(BT1299=0,R1299=0),"Gebinde unbekannt / Stellmass fehlt; ","")&amp;IF(AND(BT1299=0,N(V1299)&lt;=0,N(Q1299)&lt;=0),"Menge pro Gebinde fehlt (Ist = 1 Gebinde); ","")&amp;BO1299)</f>
        <v>negativer Bestand (Export -641); grosse  Artikelmenge</v>
      </c>
      <c r="BH1299" s="55"/>
      <c r="BI1299" s="55"/>
      <c r="BJ1299" s="62"/>
      <c r="BK1299" s="57" t="n">
        <v>-641</v>
      </c>
      <c r="BL1299" s="57" t="n">
        <v>1750</v>
      </c>
      <c r="BM1299" s="56" t="n">
        <v>-1191.49</v>
      </c>
      <c r="BN1299" s="57" t="n">
        <v>5534</v>
      </c>
      <c r="BO1299" s="55" t="s">
        <v>1607</v>
      </c>
      <c r="BP1299" s="60" t="n">
        <v>0</v>
      </c>
      <c r="BQ1299" s="60" t="n">
        <v>1299</v>
      </c>
      <c r="BR1299" s="55" t="str">
        <f aca="false">IF(U1299&lt;&gt;"",UPPER(TRIM(U1299)),IF(BU1299=1,UPPER(VLOOKUP(T1299,Parameter!$I$27:$K$29,2,0)),IF(P1299="","LOSE",P1299)))</f>
        <v>S63</v>
      </c>
      <c r="BS1299" s="57" t="n">
        <f aca="false">IF(BR1299="LOSE",1,IF(N(V1299)&gt;0,V1299,IF(BU1299=1,MAX(1,N(VLOOKUP(T1299,Parameter!$I$27:$K$29,3,0)),H1299,N(N1299)),IF(N(Q1299)&gt;0,Q1299,MAX(1,H1299)))))</f>
        <v>300</v>
      </c>
      <c r="BT1299" s="60" t="n">
        <f aca="false">IF(BR1299="LOSE",1,0)</f>
        <v>0</v>
      </c>
      <c r="BU1299" s="60" t="n">
        <f aca="false">IF(AND(U1299="",OR(P1299="",P1299="LOSE"),T1299&lt;&gt;"",N(S1299)&lt;=0,ISNUMBER(MATCH(T1299,Parameter!$I$27:$I$29,0))),1,0)</f>
        <v>0</v>
      </c>
      <c r="BV1299" s="55" t="str">
        <f aca="false">IF(AND(Parameter!$B$19="Ja",E1299&lt;&gt;"",ISNUMBER(MATCH(E1299,Parameter!$I$35:$I$52,0))),VLOOKUP(E1299,Parameter!$I$35:$J$52,2,0),IFERROR(VLOOKUP(D1299,Parameter!$A$35:$C$64,2,0),"Nein"))</f>
        <v>2+3</v>
      </c>
      <c r="BW1299" s="59" t="n">
        <f aca="false">IF(BT1299=0,0,IF(N(S1299)&gt;0,S1299,IFERROR(VLOOKUP(D1299,Parameter!$A$35:$C$64,3,0)+0,0)))</f>
        <v>0</v>
      </c>
      <c r="BX1299" s="55" t="n">
        <f aca="false">IF(AA1299&lt;&gt;"",AA1299,Z1299)</f>
        <v>2</v>
      </c>
      <c r="BY1299" s="55" t="str">
        <f aca="false">IF(BX1299=1,"L1",IF(OR(BX1299=2,BX1299=3),"L23",IF(BX1299="Aussen","Aussen","-")))</f>
        <v>L23</v>
      </c>
      <c r="BZ1299" s="66" t="n">
        <f aca="false">IF(N(AB1299)&gt;0,AB1299,0)</f>
        <v>0</v>
      </c>
      <c r="CA1299" s="60" t="n">
        <f aca="false">IF(ISNUMBER(AE1299),1,0)</f>
        <v>0</v>
      </c>
      <c r="CB1299" s="57" t="n">
        <f aca="false">N(AE1299)</f>
        <v>0</v>
      </c>
      <c r="CC1299" s="57" t="n">
        <f aca="false">N(M1299)+N(N1299)</f>
        <v>922</v>
      </c>
      <c r="CD1299" s="57" t="n">
        <f aca="false">ROUNDUP(H1299/BS1299,0)</f>
        <v>4</v>
      </c>
      <c r="CE1299" s="57" t="n">
        <f aca="false">ROUNDUP(CB1299/BS1299,0)</f>
        <v>0</v>
      </c>
      <c r="CF1299" s="60" t="n">
        <f aca="false">IF(BT1299=1,0,IFERROR(VLOOKUP(BR1299,'Gebinde-Kategorie'!$A$5:$M$45,5,0)+0,0))</f>
        <v>31</v>
      </c>
      <c r="CG1299" s="60" t="n">
        <f aca="false">IFERROR(IF(OR(BX1299=1,BX1299=2,BX1299=3),N(INDEX(Parameter!$I$5:$I$7,BX1299)),0),0)</f>
        <v>0</v>
      </c>
      <c r="CH1299" s="59" t="n">
        <f aca="false">IF(AND(Parameter!$B$21="Ja",ISNUMBER(W1299),N(X1299)&gt;0),IFERROR(N(INDEX(Parameter!$L$5:$L$7,W1299))*INDEX(Parameter!$E$5:$E$7,W1299)*X1299/SUMIFS($X$7:$X$1843,$W$7:$W$1843,W1299),0),0)</f>
        <v>0</v>
      </c>
    </row>
    <row r="1300" customFormat="false" ht="15" hidden="false" customHeight="false" outlineLevel="0" collapsed="false">
      <c r="A1300" s="55" t="s">
        <v>2311</v>
      </c>
      <c r="B1300" s="55" t="s">
        <v>2312</v>
      </c>
      <c r="C1300" s="55" t="s">
        <v>164</v>
      </c>
      <c r="D1300" s="55" t="s">
        <v>173</v>
      </c>
      <c r="E1300" s="55" t="s">
        <v>370</v>
      </c>
      <c r="F1300" s="55" t="s">
        <v>218</v>
      </c>
      <c r="G1300" s="56" t="n">
        <v>659.54</v>
      </c>
      <c r="H1300" s="57" t="n">
        <f aca="false">MAX(0,IF(AND(Parameter!$B$21="Ja",ISNUMBER(Y1300)),Y1300,IF(Parameter!$B$20="Jahresanfang 2025 + Export",BL1300+BK1300,BK1300)))</f>
        <v>0</v>
      </c>
      <c r="I1300" s="57" t="n">
        <f aca="false">H1300*G1300</f>
        <v>0</v>
      </c>
      <c r="J1300" s="57" t="n">
        <f aca="false">BN1300*Parameter!$B$18</f>
        <v>8</v>
      </c>
      <c r="K1300" s="58" t="n">
        <v>1</v>
      </c>
      <c r="L1300" s="59" t="n">
        <v>8</v>
      </c>
      <c r="M1300" s="57" t="n">
        <v>0</v>
      </c>
      <c r="N1300" s="57" t="n">
        <v>2</v>
      </c>
      <c r="O1300" s="60" t="n">
        <v>14</v>
      </c>
      <c r="P1300" s="55" t="s">
        <v>168</v>
      </c>
      <c r="Q1300" s="57"/>
      <c r="R1300" s="60" t="n">
        <f aca="false">IF(BT1300=1,0,IFERROR(VLOOKUP(BR1300,'Gebinde-Kategorie'!$A$5:$M$45,13,0)+0,0))</f>
        <v>3</v>
      </c>
      <c r="S1300" s="61"/>
      <c r="T1300" s="62" t="s">
        <v>189</v>
      </c>
      <c r="U1300" s="62"/>
      <c r="V1300" s="62"/>
      <c r="W1300" s="55"/>
      <c r="X1300" s="57"/>
      <c r="Y1300" s="57"/>
      <c r="Z1300" s="55" t="str">
        <f aca="false">IF(A1300="","",IF(AND(Parameter!$B$21="Ja",ISNUMBER(W1300)),W1300,IF(BV1300="2+3",IF(ISNUMBER(SEARCH("grosser Artikel",BO1300)),2,IFERROR(VLOOKUP(BR1300,Parameter!$F$35:$G$64,2,0),2)),IF(OR(BV1300="Nein",BV1300=""),"-",BV1300))))</f>
        <v>-</v>
      </c>
      <c r="AA1300" s="62"/>
      <c r="AB1300" s="63"/>
      <c r="AC1300" s="57" t="n">
        <f aca="false">AR1300</f>
        <v>4</v>
      </c>
      <c r="AD1300" s="57" t="n">
        <f aca="false">MAX(AR1300,H1300)</f>
        <v>4</v>
      </c>
      <c r="AE1300" s="64"/>
      <c r="AF1300" s="57" t="n">
        <f aca="false">IF(LEFT(Cockpit!$C$5,1)="A",H1300,IF(CA1300=1,CB1300,IF(LEFT(Cockpit!$C$5,1)="B",AJ1300,MAX(AJ1300,H1300))))</f>
        <v>0</v>
      </c>
      <c r="AG1300" s="57" t="n">
        <f aca="false">IF(BT1300=1,0,ROUNDUP(AF1300/BS1300,0))</f>
        <v>0</v>
      </c>
      <c r="AH1300" s="59" t="n">
        <f aca="false">IF(CH1300&gt;0,CH1300*MAX(1,AF1300/X1300),IF(BT1300=1,IF(AF1300&lt;=0,0,BW1300*MAX(1,IF(H1300&gt;0,AF1300/H1300,1))),IF(R1300&gt;0,AG1300/R1300,0))/MAX(0.1,N(Parameter!$M$21)))</f>
        <v>0</v>
      </c>
      <c r="AI1300" s="57" t="n">
        <f aca="false">AF1300*G1300</f>
        <v>0</v>
      </c>
      <c r="AJ1300" s="57" t="n">
        <f aca="false">ROUNDUP(MAX(J1300/IF(BZ1300&gt;0,BZ1300,MAX(0.1,N(Cockpit!$C$6))),CC1300)/BS1300,0)*BS1300</f>
        <v>4</v>
      </c>
      <c r="AK1300" s="58" t="n">
        <f aca="false">IF(AH1300&gt;0,J1300/AH1300,-1)</f>
        <v>-1</v>
      </c>
      <c r="AL1300" s="58" t="str">
        <f aca="false">IF(AND(OR(BY1300="L1",BY1300="L23"),AH1300&gt;0),SUMIFS($AH$7:$AH$1843,$BY$7:$BY$1843,BY1300,$AK$7:$AK$1843,"&gt;"&amp;AK1300)+SUMIFS($AH$7:$AH$1843,$BY$7:$BY$1843,BY1300,$AK$7:$AK$1843,AK1300,$BQ$7:$BQ$1843,"&lt;="&amp;BQ1300),"")</f>
        <v/>
      </c>
      <c r="AM1300" s="65" t="n">
        <f aca="false">IF(AL1300="",0,MAX(0,MIN(1,(IF(BY1300="L1",Parameter!$E$5,Parameter!$E$6+Parameter!$E$7)-(AL1300-AH1300))/AH1300)))</f>
        <v>0</v>
      </c>
      <c r="AN1300" s="57" t="n">
        <f aca="false">IF(LEFT(Cockpit!$I$5,1)="A",H1300,IF(CA1300=1,CB1300,IF(LEFT(Cockpit!$I$5,1)="B",AR1300,MAX(AR1300,H1300))))</f>
        <v>4</v>
      </c>
      <c r="AO1300" s="57" t="n">
        <f aca="false">IF(BT1300=1,0,ROUNDUP(AN1300/BS1300,0))</f>
        <v>2</v>
      </c>
      <c r="AP1300" s="59" t="n">
        <f aca="false">IF(CH1300&gt;0,CH1300*MAX(1,AN1300/X1300),IF(BT1300=1,IF(AN1300&lt;=0,0,BW1300*MAX(1,IF(H1300&gt;0,AN1300/H1300,1))),IF(R1300&gt;0,AO1300/R1300,0))/MAX(0.1,N(Parameter!$M$21)))</f>
        <v>0.666666666666667</v>
      </c>
      <c r="AQ1300" s="57" t="n">
        <f aca="false">AN1300*G1300</f>
        <v>2638.16</v>
      </c>
      <c r="AR1300" s="57" t="n">
        <f aca="false">ROUNDUP(MAX(J1300/IF(BZ1300&gt;0,BZ1300,MAX(0.1,N(Cockpit!$I$6))),CC1300)/BS1300,0)*BS1300</f>
        <v>4</v>
      </c>
      <c r="AS1300" s="58" t="n">
        <f aca="false">IF(AP1300&gt;0,J1300/AP1300,-1)</f>
        <v>12</v>
      </c>
      <c r="AT1300" s="58" t="str">
        <f aca="false">IF(AND(OR(BY1300="L1",BY1300="L23"),AP1300&gt;0),SUMIFS($AP$7:$AP$1843,$BY$7:$BY$1843,BY1300,$AS$7:$AS$1843,"&gt;"&amp;AS1300)+SUMIFS($AP$7:$AP$1843,$BY$7:$BY$1843,BY1300,$AS$7:$AS$1843,AS1300,$BQ$7:$BQ$1843,"&lt;="&amp;BQ1300),"")</f>
        <v/>
      </c>
      <c r="AU1300" s="65" t="n">
        <f aca="false">IF(AT1300="",0,MAX(0,MIN(1,(IF(BY1300="L1",Parameter!$E$5,Parameter!$E$6+Parameter!$E$7)-(AT1300-AP1300))/AP1300)))</f>
        <v>0</v>
      </c>
      <c r="AV1300" s="57" t="n">
        <f aca="false">IF(LEFT(Cockpit!$O$5,1)="A",H1300,IF(CA1300=1,CB1300,IF(LEFT(Cockpit!$O$5,1)="B",AZ1300,MAX(AZ1300,H1300))))</f>
        <v>4</v>
      </c>
      <c r="AW1300" s="57" t="n">
        <f aca="false">IF(BT1300=1,0,ROUNDUP(AV1300/BS1300,0))</f>
        <v>2</v>
      </c>
      <c r="AX1300" s="59" t="n">
        <f aca="false">IF(CH1300&gt;0,CH1300*MAX(1,AV1300/X1300),IF(BT1300=1,IF(AV1300&lt;=0,0,BW1300*MAX(1,IF(H1300&gt;0,AV1300/H1300,1))),IF(R1300&gt;0,AW1300/R1300,0))/MAX(0.1,N(Parameter!$M$21)))</f>
        <v>0.666666666666667</v>
      </c>
      <c r="AY1300" s="57" t="n">
        <f aca="false">AV1300*G1300</f>
        <v>2638.16</v>
      </c>
      <c r="AZ1300" s="57" t="n">
        <f aca="false">ROUNDUP(MAX(J1300/IF(BZ1300&gt;0,BZ1300,MAX(0.1,N(Cockpit!$O$6))),CC1300)/BS1300,0)*BS1300</f>
        <v>4</v>
      </c>
      <c r="BA1300" s="58" t="n">
        <f aca="false">IF(AX1300&gt;0,J1300/AX1300,-1)</f>
        <v>12</v>
      </c>
      <c r="BB1300" s="58" t="str">
        <f aca="false">IF(AND(OR(BY1300="L1",BY1300="L23"),AX1300&gt;0),SUMIFS($AX$7:$AX$1843,$BY$7:$BY$1843,BY1300,$BA$7:$BA$1843,"&gt;"&amp;BA1300)+SUMIFS($AX$7:$AX$1843,$BY$7:$BY$1843,BY1300,$BA$7:$BA$1843,BA1300,$BQ$7:$BQ$1843,"&lt;="&amp;BQ1300),"")</f>
        <v/>
      </c>
      <c r="BC1300" s="65" t="n">
        <f aca="false">IF(BB1300="",0,MAX(0,MIN(1,(IF(BY1300="L1",Parameter!$E$5,Parameter!$E$6+Parameter!$E$7)-(BB1300-AX1300))/AX1300)))</f>
        <v>0</v>
      </c>
      <c r="BD1300" s="55" t="str">
        <f aca="false">IF(AH1300&lt;=0,"",IF(BY1300="Aussen","Aussenlager",IF(BY1300="-","Nicht im Lift",IF(AM1300&gt;=1,"Lift",IF(AM1300&lt;=0,"Aussenlager","teilweise")))))</f>
        <v/>
      </c>
      <c r="BE1300" s="55" t="str">
        <f aca="false">IF(AP1300&lt;=0,"",IF(BY1300="Aussen","Aussenlager",IF(BY1300="-","Nicht im Lift",IF(AU1300&gt;=1,"Lift",IF(AU1300&lt;=0,"Aussenlager","teilweise")))))</f>
        <v>Nicht im Lift</v>
      </c>
      <c r="BF1300" s="55" t="str">
        <f aca="false">IF(AX1300&lt;=0,"",IF(BY1300="Aussen","Aussenlager",IF(BY1300="-","Nicht im Lift",IF(BC1300&gt;=1,"Lift",IF(BC1300&lt;=0,"Aussenlager","teilweise")))))</f>
        <v>Nicht im Lift</v>
      </c>
      <c r="BG1300" s="55" t="str">
        <f aca="false">IF(A1300="","",IF(BP1300=1,"Neu; ","")&amp;IF(AND(BP1300=0,BK1300&lt;0),"negativer Bestand (Export "&amp;BK1300&amp;"); ","")&amp;IF(J1300&lt;=0,"Kein Verbrauch; ","")&amp;IF(CH1300&gt;0,"Lift "&amp;W1300&amp;" lt. Liftbericht (Fach "&amp;X1300&amp;" Stk); ",IF(BU1300=1,"Gebinde geschätzt ("&amp;T1300&amp;"); ",IF(BT1300=1,"Lose – Tablare geschätzt; ","")))&amp;IF(H1300&gt;AR1300,"Überbestand "&amp;ROUND(H1300-AR1300,0)&amp;" Stk / CHF "&amp;ROUND((H1300-AR1300)*G1300,0)&amp;"; ","")&amp;IF(AND(CA1300=1,CB1300&lt;CC1300),"MAX &lt; MB+LG; ","")&amp;IF(AND(CG1300&gt;0,CF1300*10&gt;CG1300),"zu hoch für Tablar; ","")&amp;IF(AND(BP1300=0,OR(CA1300=1,AA1300&lt;&gt;"",U1300&lt;&gt;"",V1300&lt;&gt;"",AB1300&lt;&gt;"")),"manuell übersteuert; ","")&amp;IF(AND(BT1300=0,R1300=0),"Gebinde unbekannt / Stellmass fehlt; ","")&amp;IF(AND(BT1300=0,N(V1300)&lt;=0,N(Q1300)&lt;=0),"Menge pro Gebinde fehlt (Ist = 1 Gebinde); ","")&amp;BO1300)</f>
        <v>negativer Bestand (Export -2); Gebinde geschätzt (Gross); Menge pro Gebinde fehlt (Ist = 1 Gebinde); </v>
      </c>
      <c r="BH1300" s="55"/>
      <c r="BI1300" s="55"/>
      <c r="BJ1300" s="62"/>
      <c r="BK1300" s="57" t="n">
        <v>-2</v>
      </c>
      <c r="BL1300" s="57" t="n">
        <v>2</v>
      </c>
      <c r="BM1300" s="56" t="n">
        <v>-1191.98</v>
      </c>
      <c r="BN1300" s="57" t="n">
        <v>8</v>
      </c>
      <c r="BO1300" s="55"/>
      <c r="BP1300" s="60" t="n">
        <v>0</v>
      </c>
      <c r="BQ1300" s="60" t="n">
        <v>1300</v>
      </c>
      <c r="BR1300" s="55" t="str">
        <f aca="false">IF(U1300&lt;&gt;"",UPPER(TRIM(U1300)),IF(BU1300=1,UPPER(VLOOKUP(T1300,Parameter!$I$27:$K$29,2,0)),IF(P1300="","LOSE",P1300)))</f>
        <v>S81</v>
      </c>
      <c r="BS1300" s="57" t="n">
        <f aca="false">IF(BR1300="LOSE",1,IF(N(V1300)&gt;0,V1300,IF(BU1300=1,MAX(1,N(VLOOKUP(T1300,Parameter!$I$27:$K$29,3,0)),H1300,N(N1300)),IF(N(Q1300)&gt;0,Q1300,MAX(1,H1300)))))</f>
        <v>2</v>
      </c>
      <c r="BT1300" s="60" t="n">
        <f aca="false">IF(BR1300="LOSE",1,0)</f>
        <v>0</v>
      </c>
      <c r="BU1300" s="60" t="n">
        <f aca="false">IF(AND(U1300="",OR(P1300="",P1300="LOSE"),T1300&lt;&gt;"",N(S1300)&lt;=0,ISNUMBER(MATCH(T1300,Parameter!$I$27:$I$29,0))),1,0)</f>
        <v>1</v>
      </c>
      <c r="BV1300" s="55" t="str">
        <f aca="false">IF(AND(Parameter!$B$19="Ja",E1300&lt;&gt;"",ISNUMBER(MATCH(E1300,Parameter!$I$35:$I$52,0))),VLOOKUP(E1300,Parameter!$I$35:$J$52,2,0),IFERROR(VLOOKUP(D1300,Parameter!$A$35:$C$64,2,0),"Nein"))</f>
        <v>Nein</v>
      </c>
      <c r="BW1300" s="59" t="n">
        <f aca="false">IF(BT1300=0,0,IF(N(S1300)&gt;0,S1300,IFERROR(VLOOKUP(D1300,Parameter!$A$35:$C$64,3,0)+0,0)))</f>
        <v>0</v>
      </c>
      <c r="BX1300" s="55" t="str">
        <f aca="false">IF(AA1300&lt;&gt;"",AA1300,Z1300)</f>
        <v>-</v>
      </c>
      <c r="BY1300" s="55" t="str">
        <f aca="false">IF(BX1300=1,"L1",IF(OR(BX1300=2,BX1300=3),"L23",IF(BX1300="Aussen","Aussen","-")))</f>
        <v>-</v>
      </c>
      <c r="BZ1300" s="66" t="n">
        <f aca="false">IF(N(AB1300)&gt;0,AB1300,0)</f>
        <v>0</v>
      </c>
      <c r="CA1300" s="60" t="n">
        <f aca="false">IF(ISNUMBER(AE1300),1,0)</f>
        <v>0</v>
      </c>
      <c r="CB1300" s="57" t="n">
        <f aca="false">N(AE1300)</f>
        <v>0</v>
      </c>
      <c r="CC1300" s="57" t="n">
        <f aca="false">N(M1300)+N(N1300)</f>
        <v>2</v>
      </c>
      <c r="CD1300" s="57" t="n">
        <f aca="false">ROUNDUP(H1300/BS1300,0)</f>
        <v>0</v>
      </c>
      <c r="CE1300" s="57" t="n">
        <f aca="false">ROUNDUP(CB1300/BS1300,0)</f>
        <v>0</v>
      </c>
      <c r="CF1300" s="60" t="n">
        <f aca="false">IF(BT1300=1,0,IFERROR(VLOOKUP(BR1300,'Gebinde-Kategorie'!$A$5:$M$45,5,0)+0,0))</f>
        <v>20</v>
      </c>
      <c r="CG1300" s="60" t="n">
        <f aca="false">IFERROR(IF(OR(BX1300=1,BX1300=2,BX1300=3),N(INDEX(Parameter!$I$5:$I$7,BX1300)),0),0)</f>
        <v>0</v>
      </c>
      <c r="CH1300" s="59" t="n">
        <f aca="false">IF(AND(Parameter!$B$21="Ja",ISNUMBER(W1300),N(X1300)&gt;0),IFERROR(N(INDEX(Parameter!$L$5:$L$7,W1300))*INDEX(Parameter!$E$5:$E$7,W1300)*X1300/SUMIFS($X$7:$X$1843,$W$7:$W$1843,W1300),0),0)</f>
        <v>0</v>
      </c>
    </row>
    <row r="1301" customFormat="false" ht="15" hidden="false" customHeight="false" outlineLevel="0" collapsed="false">
      <c r="A1301" s="55" t="s">
        <v>2313</v>
      </c>
      <c r="B1301" s="55" t="s">
        <v>535</v>
      </c>
      <c r="C1301" s="55" t="s">
        <v>164</v>
      </c>
      <c r="D1301" s="55" t="s">
        <v>184</v>
      </c>
      <c r="E1301" s="55"/>
      <c r="F1301" s="55" t="s">
        <v>218</v>
      </c>
      <c r="G1301" s="56" t="n">
        <v>28.42</v>
      </c>
      <c r="H1301" s="57" t="n">
        <f aca="false">MAX(0,IF(AND(Parameter!$B$21="Ja",ISNUMBER(Y1301)),Y1301,IF(Parameter!$B$20="Jahresanfang 2025 + Export",BL1301+BK1301,BK1301)))</f>
        <v>18</v>
      </c>
      <c r="I1301" s="57" t="n">
        <f aca="false">H1301*G1301</f>
        <v>511.56</v>
      </c>
      <c r="J1301" s="57" t="n">
        <f aca="false">BN1301*Parameter!$B$18</f>
        <v>11</v>
      </c>
      <c r="K1301" s="58" t="n">
        <v>41</v>
      </c>
      <c r="L1301" s="59" t="n">
        <v>0.268292682926829</v>
      </c>
      <c r="M1301" s="57" t="n">
        <v>1</v>
      </c>
      <c r="N1301" s="57" t="n">
        <v>15</v>
      </c>
      <c r="O1301" s="60" t="n">
        <v>28</v>
      </c>
      <c r="P1301" s="55" t="s">
        <v>302</v>
      </c>
      <c r="Q1301" s="57" t="n">
        <v>50</v>
      </c>
      <c r="R1301" s="60" t="n">
        <f aca="false">IF(BT1301=1,0,IFERROR(VLOOKUP(BR1301,'Gebinde-Kategorie'!$A$5:$M$45,13,0)+0,0))</f>
        <v>26</v>
      </c>
      <c r="S1301" s="61"/>
      <c r="T1301" s="62"/>
      <c r="U1301" s="62"/>
      <c r="V1301" s="62"/>
      <c r="W1301" s="55"/>
      <c r="X1301" s="57"/>
      <c r="Y1301" s="57"/>
      <c r="Z1301" s="55" t="n">
        <f aca="false">IF(A1301="","",IF(AND(Parameter!$B$21="Ja",ISNUMBER(W1301)),W1301,IF(BV1301="2+3",IF(ISNUMBER(SEARCH("grosser Artikel",BO1301)),2,IFERROR(VLOOKUP(BR1301,Parameter!$F$35:$G$64,2,0),2)),IF(OR(BV1301="Nein",BV1301=""),"-",BV1301))))</f>
        <v>3</v>
      </c>
      <c r="AA1301" s="62"/>
      <c r="AB1301" s="63"/>
      <c r="AC1301" s="57" t="n">
        <f aca="false">AR1301</f>
        <v>50</v>
      </c>
      <c r="AD1301" s="57" t="n">
        <f aca="false">MAX(AR1301,H1301)</f>
        <v>50</v>
      </c>
      <c r="AE1301" s="64"/>
      <c r="AF1301" s="57" t="n">
        <f aca="false">IF(LEFT(Cockpit!$C$5,1)="A",H1301,IF(CA1301=1,CB1301,IF(LEFT(Cockpit!$C$5,1)="B",AJ1301,MAX(AJ1301,H1301))))</f>
        <v>18</v>
      </c>
      <c r="AG1301" s="57" t="n">
        <f aca="false">IF(BT1301=1,0,ROUNDUP(AF1301/BS1301,0))</f>
        <v>1</v>
      </c>
      <c r="AH1301" s="59" t="n">
        <f aca="false">IF(CH1301&gt;0,CH1301*MAX(1,AF1301/X1301),IF(BT1301=1,IF(AF1301&lt;=0,0,BW1301*MAX(1,IF(H1301&gt;0,AF1301/H1301,1))),IF(R1301&gt;0,AG1301/R1301,0))/MAX(0.1,N(Parameter!$M$21)))</f>
        <v>0.0384615384615385</v>
      </c>
      <c r="AI1301" s="57" t="n">
        <f aca="false">AF1301*G1301</f>
        <v>511.56</v>
      </c>
      <c r="AJ1301" s="57" t="n">
        <f aca="false">ROUNDUP(MAX(J1301/IF(BZ1301&gt;0,BZ1301,MAX(0.1,N(Cockpit!$C$6))),CC1301)/BS1301,0)*BS1301</f>
        <v>50</v>
      </c>
      <c r="AK1301" s="58" t="n">
        <f aca="false">IF(AH1301&gt;0,J1301/AH1301,-1)</f>
        <v>286</v>
      </c>
      <c r="AL1301" s="58" t="n">
        <f aca="false">IF(AND(OR(BY1301="L1",BY1301="L23"),AH1301&gt;0),SUMIFS($AH$7:$AH$1843,$BY$7:$BY$1843,BY1301,$AK$7:$AK$1843,"&gt;"&amp;AK1301)+SUMIFS($AH$7:$AH$1843,$BY$7:$BY$1843,BY1301,$AK$7:$AK$1843,AK1301,$BQ$7:$BQ$1843,"&lt;="&amp;BQ1301),"")</f>
        <v>28.6644285666025</v>
      </c>
      <c r="AM1301" s="65" t="n">
        <f aca="false">IF(AL1301="",0,MAX(0,MIN(1,(IF(BY1301="L1",Parameter!$E$5,Parameter!$E$6+Parameter!$E$7)-(AL1301-AH1301))/AH1301)))</f>
        <v>1</v>
      </c>
      <c r="AN1301" s="57" t="n">
        <f aca="false">IF(LEFT(Cockpit!$I$5,1)="A",H1301,IF(CA1301=1,CB1301,IF(LEFT(Cockpit!$I$5,1)="B",AR1301,MAX(AR1301,H1301))))</f>
        <v>50</v>
      </c>
      <c r="AO1301" s="57" t="n">
        <f aca="false">IF(BT1301=1,0,ROUNDUP(AN1301/BS1301,0))</f>
        <v>1</v>
      </c>
      <c r="AP1301" s="59" t="n">
        <f aca="false">IF(CH1301&gt;0,CH1301*MAX(1,AN1301/X1301),IF(BT1301=1,IF(AN1301&lt;=0,0,BW1301*MAX(1,IF(H1301&gt;0,AN1301/H1301,1))),IF(R1301&gt;0,AO1301/R1301,0))/MAX(0.1,N(Parameter!$M$21)))</f>
        <v>0.0384615384615385</v>
      </c>
      <c r="AQ1301" s="57" t="n">
        <f aca="false">AN1301*G1301</f>
        <v>1421</v>
      </c>
      <c r="AR1301" s="57" t="n">
        <f aca="false">ROUNDUP(MAX(J1301/IF(BZ1301&gt;0,BZ1301,MAX(0.1,N(Cockpit!$I$6))),CC1301)/BS1301,0)*BS1301</f>
        <v>50</v>
      </c>
      <c r="AS1301" s="58" t="n">
        <f aca="false">IF(AP1301&gt;0,J1301/AP1301,-1)</f>
        <v>286</v>
      </c>
      <c r="AT1301" s="58" t="n">
        <f aca="false">IF(AND(OR(BY1301="L1",BY1301="L23"),AP1301&gt;0),SUMIFS($AP$7:$AP$1843,$BY$7:$BY$1843,BY1301,$AS$7:$AS$1843,"&gt;"&amp;AS1301)+SUMIFS($AP$7:$AP$1843,$BY$7:$BY$1843,BY1301,$AS$7:$AS$1843,AS1301,$BQ$7:$BQ$1843,"&lt;="&amp;BQ1301),"")</f>
        <v>41.7085993716429</v>
      </c>
      <c r="AU1301" s="65" t="n">
        <f aca="false">IF(AT1301="",0,MAX(0,MIN(1,(IF(BY1301="L1",Parameter!$E$5,Parameter!$E$6+Parameter!$E$7)-(AT1301-AP1301))/AP1301)))</f>
        <v>1</v>
      </c>
      <c r="AV1301" s="57" t="n">
        <f aca="false">IF(LEFT(Cockpit!$O$5,1)="A",H1301,IF(CA1301=1,CB1301,IF(LEFT(Cockpit!$O$5,1)="B",AZ1301,MAX(AZ1301,H1301))))</f>
        <v>50</v>
      </c>
      <c r="AW1301" s="57" t="n">
        <f aca="false">IF(BT1301=1,0,ROUNDUP(AV1301/BS1301,0))</f>
        <v>1</v>
      </c>
      <c r="AX1301" s="59" t="n">
        <f aca="false">IF(CH1301&gt;0,CH1301*MAX(1,AV1301/X1301),IF(BT1301=1,IF(AV1301&lt;=0,0,BW1301*MAX(1,IF(H1301&gt;0,AV1301/H1301,1))),IF(R1301&gt;0,AW1301/R1301,0))/MAX(0.1,N(Parameter!$M$21)))</f>
        <v>0.0384615384615385</v>
      </c>
      <c r="AY1301" s="57" t="n">
        <f aca="false">AV1301*G1301</f>
        <v>1421</v>
      </c>
      <c r="AZ1301" s="57" t="n">
        <f aca="false">ROUNDUP(MAX(J1301/IF(BZ1301&gt;0,BZ1301,MAX(0.1,N(Cockpit!$O$6))),CC1301)/BS1301,0)*BS1301</f>
        <v>50</v>
      </c>
      <c r="BA1301" s="58" t="n">
        <f aca="false">IF(AX1301&gt;0,J1301/AX1301,-1)</f>
        <v>286</v>
      </c>
      <c r="BB1301" s="58" t="n">
        <f aca="false">IF(AND(OR(BY1301="L1",BY1301="L23"),AX1301&gt;0),SUMIFS($AX$7:$AX$1843,$BY$7:$BY$1843,BY1301,$BA$7:$BA$1843,"&gt;"&amp;BA1301)+SUMIFS($AX$7:$AX$1843,$BY$7:$BY$1843,BY1301,$BA$7:$BA$1843,BA1301,$BQ$7:$BQ$1843,"&lt;="&amp;BQ1301),"")</f>
        <v>38.0384362014797</v>
      </c>
      <c r="BC1301" s="65" t="n">
        <f aca="false">IF(BB1301="",0,MAX(0,MIN(1,(IF(BY1301="L1",Parameter!$E$5,Parameter!$E$6+Parameter!$E$7)-(BB1301-AX1301))/AX1301)))</f>
        <v>1</v>
      </c>
      <c r="BD1301" s="55" t="str">
        <f aca="false">IF(AH1301&lt;=0,"",IF(BY1301="Aussen","Aussenlager",IF(BY1301="-","Nicht im Lift",IF(AM1301&gt;=1,"Lift",IF(AM1301&lt;=0,"Aussenlager","teilweise")))))</f>
        <v>Lift</v>
      </c>
      <c r="BE1301" s="55" t="str">
        <f aca="false">IF(AP1301&lt;=0,"",IF(BY1301="Aussen","Aussenlager",IF(BY1301="-","Nicht im Lift",IF(AU1301&gt;=1,"Lift",IF(AU1301&lt;=0,"Aussenlager","teilweise")))))</f>
        <v>Lift</v>
      </c>
      <c r="BF1301" s="55" t="str">
        <f aca="false">IF(AX1301&lt;=0,"",IF(BY1301="Aussen","Aussenlager",IF(BY1301="-","Nicht im Lift",IF(BC1301&gt;=1,"Lift",IF(BC1301&lt;=0,"Aussenlager","teilweise")))))</f>
        <v>Lift</v>
      </c>
      <c r="BG1301" s="55" t="str">
        <f aca="false">IF(A1301="","",IF(BP1301=1,"Neu; ","")&amp;IF(AND(BP1301=0,BK1301&lt;0),"negativer Bestand (Export "&amp;BK1301&amp;"); ","")&amp;IF(J1301&lt;=0,"Kein Verbrauch; ","")&amp;IF(CH1301&gt;0,"Lift "&amp;W1301&amp;" lt. Liftbericht (Fach "&amp;X1301&amp;" Stk); ",IF(BU1301=1,"Gebinde geschätzt ("&amp;T1301&amp;"); ",IF(BT1301=1,"Lose – Tablare geschätzt; ","")))&amp;IF(H1301&gt;AR1301,"Überbestand "&amp;ROUND(H1301-AR1301,0)&amp;" Stk / CHF "&amp;ROUND((H1301-AR1301)*G1301,0)&amp;"; ","")&amp;IF(AND(CA1301=1,CB1301&lt;CC1301),"MAX &lt; MB+LG; ","")&amp;IF(AND(CG1301&gt;0,CF1301*10&gt;CG1301),"zu hoch für Tablar; ","")&amp;IF(AND(BP1301=0,OR(CA1301=1,AA1301&lt;&gt;"",U1301&lt;&gt;"",V1301&lt;&gt;"",AB1301&lt;&gt;"")),"manuell übersteuert; ","")&amp;IF(AND(BT1301=0,R1301=0),"Gebinde unbekannt / Stellmass fehlt; ","")&amp;IF(AND(BT1301=0,N(V1301)&lt;=0,N(Q1301)&lt;=0),"Menge pro Gebinde fehlt (Ist = 1 Gebinde); ","")&amp;BO1301)</f>
        <v>negativer Bestand (Export -29); </v>
      </c>
      <c r="BH1301" s="55"/>
      <c r="BI1301" s="55"/>
      <c r="BJ1301" s="62"/>
      <c r="BK1301" s="57" t="n">
        <v>-29</v>
      </c>
      <c r="BL1301" s="57" t="n">
        <v>47</v>
      </c>
      <c r="BM1301" s="56" t="n">
        <v>-1194.54</v>
      </c>
      <c r="BN1301" s="57" t="n">
        <v>11</v>
      </c>
      <c r="BO1301" s="55"/>
      <c r="BP1301" s="60" t="n">
        <v>0</v>
      </c>
      <c r="BQ1301" s="60" t="n">
        <v>1301</v>
      </c>
      <c r="BR1301" s="55" t="str">
        <f aca="false">IF(U1301&lt;&gt;"",UPPER(TRIM(U1301)),IF(BU1301=1,UPPER(VLOOKUP(T1301,Parameter!$I$27:$K$29,2,0)),IF(P1301="","LOSE",P1301)))</f>
        <v>S51</v>
      </c>
      <c r="BS1301" s="57" t="n">
        <f aca="false">IF(BR1301="LOSE",1,IF(N(V1301)&gt;0,V1301,IF(BU1301=1,MAX(1,N(VLOOKUP(T1301,Parameter!$I$27:$K$29,3,0)),H1301,N(N1301)),IF(N(Q1301)&gt;0,Q1301,MAX(1,H1301)))))</f>
        <v>50</v>
      </c>
      <c r="BT1301" s="60" t="n">
        <f aca="false">IF(BR1301="LOSE",1,0)</f>
        <v>0</v>
      </c>
      <c r="BU1301" s="60" t="n">
        <f aca="false">IF(AND(U1301="",OR(P1301="",P1301="LOSE"),T1301&lt;&gt;"",N(S1301)&lt;=0,ISNUMBER(MATCH(T1301,Parameter!$I$27:$I$29,0))),1,0)</f>
        <v>0</v>
      </c>
      <c r="BV1301" s="55" t="str">
        <f aca="false">IF(AND(Parameter!$B$19="Ja",E1301&lt;&gt;"",ISNUMBER(MATCH(E1301,Parameter!$I$35:$I$52,0))),VLOOKUP(E1301,Parameter!$I$35:$J$52,2,0),IFERROR(VLOOKUP(D1301,Parameter!$A$35:$C$64,2,0),"Nein"))</f>
        <v>2+3</v>
      </c>
      <c r="BW1301" s="59" t="n">
        <f aca="false">IF(BT1301=0,0,IF(N(S1301)&gt;0,S1301,IFERROR(VLOOKUP(D1301,Parameter!$A$35:$C$64,3,0)+0,0)))</f>
        <v>0</v>
      </c>
      <c r="BX1301" s="55" t="n">
        <f aca="false">IF(AA1301&lt;&gt;"",AA1301,Z1301)</f>
        <v>3</v>
      </c>
      <c r="BY1301" s="55" t="str">
        <f aca="false">IF(BX1301=1,"L1",IF(OR(BX1301=2,BX1301=3),"L23",IF(BX1301="Aussen","Aussen","-")))</f>
        <v>L23</v>
      </c>
      <c r="BZ1301" s="66" t="n">
        <f aca="false">IF(N(AB1301)&gt;0,AB1301,0)</f>
        <v>0</v>
      </c>
      <c r="CA1301" s="60" t="n">
        <f aca="false">IF(ISNUMBER(AE1301),1,0)</f>
        <v>0</v>
      </c>
      <c r="CB1301" s="57" t="n">
        <f aca="false">N(AE1301)</f>
        <v>0</v>
      </c>
      <c r="CC1301" s="57" t="n">
        <f aca="false">N(M1301)+N(N1301)</f>
        <v>16</v>
      </c>
      <c r="CD1301" s="57" t="n">
        <f aca="false">ROUNDUP(H1301/BS1301,0)</f>
        <v>1</v>
      </c>
      <c r="CE1301" s="57" t="n">
        <f aca="false">ROUNDUP(CB1301/BS1301,0)</f>
        <v>0</v>
      </c>
      <c r="CF1301" s="60" t="n">
        <f aca="false">IF(BT1301=1,0,IFERROR(VLOOKUP(BR1301,'Gebinde-Kategorie'!$A$5:$M$45,5,0)+0,0))</f>
        <v>11</v>
      </c>
      <c r="CG1301" s="60" t="n">
        <f aca="false">IFERROR(IF(OR(BX1301=1,BX1301=2,BX1301=3),N(INDEX(Parameter!$I$5:$I$7,BX1301)),0),0)</f>
        <v>0</v>
      </c>
      <c r="CH1301" s="59" t="n">
        <f aca="false">IF(AND(Parameter!$B$21="Ja",ISNUMBER(W1301),N(X1301)&gt;0),IFERROR(N(INDEX(Parameter!$L$5:$L$7,W1301))*INDEX(Parameter!$E$5:$E$7,W1301)*X1301/SUMIFS($X$7:$X$1843,$W$7:$W$1843,W1301),0),0)</f>
        <v>0</v>
      </c>
    </row>
    <row r="1302" customFormat="false" ht="15" hidden="false" customHeight="false" outlineLevel="0" collapsed="false">
      <c r="A1302" s="55" t="s">
        <v>2314</v>
      </c>
      <c r="B1302" s="55" t="s">
        <v>405</v>
      </c>
      <c r="C1302" s="55" t="s">
        <v>164</v>
      </c>
      <c r="D1302" s="55" t="s">
        <v>173</v>
      </c>
      <c r="E1302" s="55" t="s">
        <v>185</v>
      </c>
      <c r="F1302" s="55" t="s">
        <v>218</v>
      </c>
      <c r="G1302" s="56" t="n">
        <v>0.19</v>
      </c>
      <c r="H1302" s="57" t="n">
        <f aca="false">MAX(0,IF(AND(Parameter!$B$21="Ja",ISNUMBER(Y1302)),Y1302,IF(Parameter!$B$20="Jahresanfang 2025 + Export",BL1302+BK1302,BK1302)))</f>
        <v>1061</v>
      </c>
      <c r="I1302" s="57" t="n">
        <f aca="false">H1302*G1302</f>
        <v>201.59</v>
      </c>
      <c r="J1302" s="57" t="n">
        <f aca="false">BN1302*Parameter!$B$18</f>
        <v>3712</v>
      </c>
      <c r="K1302" s="58" t="n">
        <v>5621.5</v>
      </c>
      <c r="L1302" s="59" t="n">
        <v>0.660321978119719</v>
      </c>
      <c r="M1302" s="57" t="n">
        <v>216</v>
      </c>
      <c r="N1302" s="57" t="n">
        <v>2000</v>
      </c>
      <c r="O1302" s="60" t="n">
        <v>21</v>
      </c>
      <c r="P1302" s="55" t="s">
        <v>226</v>
      </c>
      <c r="Q1302" s="57" t="n">
        <v>2200</v>
      </c>
      <c r="R1302" s="60" t="n">
        <f aca="false">IF(BT1302=1,0,IFERROR(VLOOKUP(BR1302,'Gebinde-Kategorie'!$A$5:$M$45,13,0)+0,0))</f>
        <v>12</v>
      </c>
      <c r="S1302" s="61"/>
      <c r="T1302" s="62"/>
      <c r="U1302" s="62"/>
      <c r="V1302" s="62"/>
      <c r="W1302" s="55"/>
      <c r="X1302" s="57"/>
      <c r="Y1302" s="57"/>
      <c r="Z1302" s="55" t="n">
        <f aca="false">IF(A1302="","",IF(AND(Parameter!$B$21="Ja",ISNUMBER(W1302)),W1302,IF(BV1302="2+3",IF(ISNUMBER(SEARCH("grosser Artikel",BO1302)),2,IFERROR(VLOOKUP(BR1302,Parameter!$F$35:$G$64,2,0),2)),IF(OR(BV1302="Nein",BV1302=""),"-",BV1302))))</f>
        <v>2</v>
      </c>
      <c r="AA1302" s="62"/>
      <c r="AB1302" s="63"/>
      <c r="AC1302" s="57" t="n">
        <f aca="false">AR1302</f>
        <v>4400</v>
      </c>
      <c r="AD1302" s="57" t="n">
        <f aca="false">MAX(AR1302,H1302)</f>
        <v>4400</v>
      </c>
      <c r="AE1302" s="64"/>
      <c r="AF1302" s="57" t="n">
        <f aca="false">IF(LEFT(Cockpit!$C$5,1)="A",H1302,IF(CA1302=1,CB1302,IF(LEFT(Cockpit!$C$5,1)="B",AJ1302,MAX(AJ1302,H1302))))</f>
        <v>1061</v>
      </c>
      <c r="AG1302" s="57" t="n">
        <f aca="false">IF(BT1302=1,0,ROUNDUP(AF1302/BS1302,0))</f>
        <v>1</v>
      </c>
      <c r="AH1302" s="59" t="n">
        <f aca="false">IF(CH1302&gt;0,CH1302*MAX(1,AF1302/X1302),IF(BT1302=1,IF(AF1302&lt;=0,0,BW1302*MAX(1,IF(H1302&gt;0,AF1302/H1302,1))),IF(R1302&gt;0,AG1302/R1302,0))/MAX(0.1,N(Parameter!$M$21)))</f>
        <v>0.0833333333333333</v>
      </c>
      <c r="AI1302" s="57" t="n">
        <f aca="false">AF1302*G1302</f>
        <v>201.59</v>
      </c>
      <c r="AJ1302" s="57" t="n">
        <f aca="false">ROUNDUP(MAX(J1302/IF(BZ1302&gt;0,BZ1302,MAX(0.1,N(Cockpit!$C$6))),CC1302)/BS1302,0)*BS1302</f>
        <v>4400</v>
      </c>
      <c r="AK1302" s="58" t="n">
        <f aca="false">IF(AH1302&gt;0,J1302/AH1302,-1)</f>
        <v>44544</v>
      </c>
      <c r="AL1302" s="58" t="n">
        <f aca="false">IF(AND(OR(BY1302="L1",BY1302="L23"),AH1302&gt;0),SUMIFS($AH$7:$AH$1843,$BY$7:$BY$1843,BY1302,$AK$7:$AK$1843,"&gt;"&amp;AK1302)+SUMIFS($AH$7:$AH$1843,$BY$7:$BY$1843,BY1302,$AK$7:$AK$1843,AK1302,$BQ$7:$BQ$1843,"&lt;="&amp;BQ1302),"")</f>
        <v>1.78415425154556</v>
      </c>
      <c r="AM1302" s="65" t="n">
        <f aca="false">IF(AL1302="",0,MAX(0,MIN(1,(IF(BY1302="L1",Parameter!$E$5,Parameter!$E$6+Parameter!$E$7)-(AL1302-AH1302))/AH1302)))</f>
        <v>1</v>
      </c>
      <c r="AN1302" s="57" t="n">
        <f aca="false">IF(LEFT(Cockpit!$I$5,1)="A",H1302,IF(CA1302=1,CB1302,IF(LEFT(Cockpit!$I$5,1)="B",AR1302,MAX(AR1302,H1302))))</f>
        <v>4400</v>
      </c>
      <c r="AO1302" s="57" t="n">
        <f aca="false">IF(BT1302=1,0,ROUNDUP(AN1302/BS1302,0))</f>
        <v>2</v>
      </c>
      <c r="AP1302" s="59" t="n">
        <f aca="false">IF(CH1302&gt;0,CH1302*MAX(1,AN1302/X1302),IF(BT1302=1,IF(AN1302&lt;=0,0,BW1302*MAX(1,IF(H1302&gt;0,AN1302/H1302,1))),IF(R1302&gt;0,AO1302/R1302,0))/MAX(0.1,N(Parameter!$M$21)))</f>
        <v>0.166666666666667</v>
      </c>
      <c r="AQ1302" s="57" t="n">
        <f aca="false">AN1302*G1302</f>
        <v>836</v>
      </c>
      <c r="AR1302" s="57" t="n">
        <f aca="false">ROUNDUP(MAX(J1302/IF(BZ1302&gt;0,BZ1302,MAX(0.1,N(Cockpit!$I$6))),CC1302)/BS1302,0)*BS1302</f>
        <v>4400</v>
      </c>
      <c r="AS1302" s="58" t="n">
        <f aca="false">IF(AP1302&gt;0,J1302/AP1302,-1)</f>
        <v>22272</v>
      </c>
      <c r="AT1302" s="58" t="n">
        <f aca="false">IF(AND(OR(BY1302="L1",BY1302="L23"),AP1302&gt;0),SUMIFS($AP$7:$AP$1843,$BY$7:$BY$1843,BY1302,$AS$7:$AS$1843,"&gt;"&amp;AS1302)+SUMIFS($AP$7:$AP$1843,$BY$7:$BY$1843,BY1302,$AS$7:$AS$1843,AS1302,$BQ$7:$BQ$1843,"&lt;="&amp;BQ1302),"")</f>
        <v>3.98247525421438</v>
      </c>
      <c r="AU1302" s="65" t="n">
        <f aca="false">IF(AT1302="",0,MAX(0,MIN(1,(IF(BY1302="L1",Parameter!$E$5,Parameter!$E$6+Parameter!$E$7)-(AT1302-AP1302))/AP1302)))</f>
        <v>1</v>
      </c>
      <c r="AV1302" s="57" t="n">
        <f aca="false">IF(LEFT(Cockpit!$O$5,1)="A",H1302,IF(CA1302=1,CB1302,IF(LEFT(Cockpit!$O$5,1)="B",AZ1302,MAX(AZ1302,H1302))))</f>
        <v>4400</v>
      </c>
      <c r="AW1302" s="57" t="n">
        <f aca="false">IF(BT1302=1,0,ROUNDUP(AV1302/BS1302,0))</f>
        <v>2</v>
      </c>
      <c r="AX1302" s="59" t="n">
        <f aca="false">IF(CH1302&gt;0,CH1302*MAX(1,AV1302/X1302),IF(BT1302=1,IF(AV1302&lt;=0,0,BW1302*MAX(1,IF(H1302&gt;0,AV1302/H1302,1))),IF(R1302&gt;0,AW1302/R1302,0))/MAX(0.1,N(Parameter!$M$21)))</f>
        <v>0.166666666666667</v>
      </c>
      <c r="AY1302" s="57" t="n">
        <f aca="false">AV1302*G1302</f>
        <v>836</v>
      </c>
      <c r="AZ1302" s="57" t="n">
        <f aca="false">ROUNDUP(MAX(J1302/IF(BZ1302&gt;0,BZ1302,MAX(0.1,N(Cockpit!$O$6))),CC1302)/BS1302,0)*BS1302</f>
        <v>4400</v>
      </c>
      <c r="BA1302" s="58" t="n">
        <f aca="false">IF(AX1302&gt;0,J1302/AX1302,-1)</f>
        <v>22272</v>
      </c>
      <c r="BB1302" s="58" t="n">
        <f aca="false">IF(AND(OR(BY1302="L1",BY1302="L23"),AX1302&gt;0),SUMIFS($AX$7:$AX$1843,$BY$7:$BY$1843,BY1302,$BA$7:$BA$1843,"&gt;"&amp;BA1302)+SUMIFS($AX$7:$AX$1843,$BY$7:$BY$1843,BY1302,$BA$7:$BA$1843,BA1302,$BQ$7:$BQ$1843,"&lt;="&amp;BQ1302),"")</f>
        <v>3.63515590689504</v>
      </c>
      <c r="BC1302" s="65" t="n">
        <f aca="false">IF(BB1302="",0,MAX(0,MIN(1,(IF(BY1302="L1",Parameter!$E$5,Parameter!$E$6+Parameter!$E$7)-(BB1302-AX1302))/AX1302)))</f>
        <v>1</v>
      </c>
      <c r="BD1302" s="55" t="str">
        <f aca="false">IF(AH1302&lt;=0,"",IF(BY1302="Aussen","Aussenlager",IF(BY1302="-","Nicht im Lift",IF(AM1302&gt;=1,"Lift",IF(AM1302&lt;=0,"Aussenlager","teilweise")))))</f>
        <v>Lift</v>
      </c>
      <c r="BE1302" s="55" t="str">
        <f aca="false">IF(AP1302&lt;=0,"",IF(BY1302="Aussen","Aussenlager",IF(BY1302="-","Nicht im Lift",IF(AU1302&gt;=1,"Lift",IF(AU1302&lt;=0,"Aussenlager","teilweise")))))</f>
        <v>Lift</v>
      </c>
      <c r="BF1302" s="55" t="str">
        <f aca="false">IF(AX1302&lt;=0,"",IF(BY1302="Aussen","Aussenlager",IF(BY1302="-","Nicht im Lift",IF(BC1302&gt;=1,"Lift",IF(BC1302&lt;=0,"Aussenlager","teilweise")))))</f>
        <v>Lift</v>
      </c>
      <c r="BG1302" s="55" t="str">
        <f aca="false">IF(A1302="","",IF(BP1302=1,"Neu; ","")&amp;IF(AND(BP1302=0,BK1302&lt;0),"negativer Bestand (Export "&amp;BK1302&amp;"); ","")&amp;IF(J1302&lt;=0,"Kein Verbrauch; ","")&amp;IF(CH1302&gt;0,"Lift "&amp;W1302&amp;" lt. Liftbericht (Fach "&amp;X1302&amp;" Stk); ",IF(BU1302=1,"Gebinde geschätzt ("&amp;T1302&amp;"); ",IF(BT1302=1,"Lose – Tablare geschätzt; ","")))&amp;IF(H1302&gt;AR1302,"Überbestand "&amp;ROUND(H1302-AR1302,0)&amp;" Stk / CHF "&amp;ROUND((H1302-AR1302)*G1302,0)&amp;"; ","")&amp;IF(AND(CA1302=1,CB1302&lt;CC1302),"MAX &lt; MB+LG; ","")&amp;IF(AND(CG1302&gt;0,CF1302*10&gt;CG1302),"zu hoch für Tablar; ","")&amp;IF(AND(BP1302=0,OR(CA1302=1,AA1302&lt;&gt;"",U1302&lt;&gt;"",V1302&lt;&gt;"",AB1302&lt;&gt;"")),"manuell übersteuert; ","")&amp;IF(AND(BT1302=0,R1302=0),"Gebinde unbekannt / Stellmass fehlt; ","")&amp;IF(AND(BT1302=0,N(V1302)&lt;=0,N(Q1302)&lt;=0),"Menge pro Gebinde fehlt (Ist = 1 Gebinde); ","")&amp;BO1302)</f>
        <v>negativer Bestand (Export -6299); grosse  Artikelmenge</v>
      </c>
      <c r="BH1302" s="55"/>
      <c r="BI1302" s="55"/>
      <c r="BJ1302" s="62"/>
      <c r="BK1302" s="57" t="n">
        <v>-6299</v>
      </c>
      <c r="BL1302" s="57" t="n">
        <v>7360</v>
      </c>
      <c r="BM1302" s="56" t="n">
        <v>-1196.81</v>
      </c>
      <c r="BN1302" s="57" t="n">
        <v>3712</v>
      </c>
      <c r="BO1302" s="55" t="s">
        <v>1607</v>
      </c>
      <c r="BP1302" s="60" t="n">
        <v>0</v>
      </c>
      <c r="BQ1302" s="60" t="n">
        <v>1302</v>
      </c>
      <c r="BR1302" s="55" t="str">
        <f aca="false">IF(U1302&lt;&gt;"",UPPER(TRIM(U1302)),IF(BU1302=1,UPPER(VLOOKUP(T1302,Parameter!$I$27:$K$29,2,0)),IF(P1302="","LOSE",P1302)))</f>
        <v>S63</v>
      </c>
      <c r="BS1302" s="57" t="n">
        <f aca="false">IF(BR1302="LOSE",1,IF(N(V1302)&gt;0,V1302,IF(BU1302=1,MAX(1,N(VLOOKUP(T1302,Parameter!$I$27:$K$29,3,0)),H1302,N(N1302)),IF(N(Q1302)&gt;0,Q1302,MAX(1,H1302)))))</f>
        <v>2200</v>
      </c>
      <c r="BT1302" s="60" t="n">
        <f aca="false">IF(BR1302="LOSE",1,0)</f>
        <v>0</v>
      </c>
      <c r="BU1302" s="60" t="n">
        <f aca="false">IF(AND(U1302="",OR(P1302="",P1302="LOSE"),T1302&lt;&gt;"",N(S1302)&lt;=0,ISNUMBER(MATCH(T1302,Parameter!$I$27:$I$29,0))),1,0)</f>
        <v>0</v>
      </c>
      <c r="BV1302" s="55" t="str">
        <f aca="false">IF(AND(Parameter!$B$19="Ja",E1302&lt;&gt;"",ISNUMBER(MATCH(E1302,Parameter!$I$35:$I$52,0))),VLOOKUP(E1302,Parameter!$I$35:$J$52,2,0),IFERROR(VLOOKUP(D1302,Parameter!$A$35:$C$64,2,0),"Nein"))</f>
        <v>2+3</v>
      </c>
      <c r="BW1302" s="59" t="n">
        <f aca="false">IF(BT1302=0,0,IF(N(S1302)&gt;0,S1302,IFERROR(VLOOKUP(D1302,Parameter!$A$35:$C$64,3,0)+0,0)))</f>
        <v>0</v>
      </c>
      <c r="BX1302" s="55" t="n">
        <f aca="false">IF(AA1302&lt;&gt;"",AA1302,Z1302)</f>
        <v>2</v>
      </c>
      <c r="BY1302" s="55" t="str">
        <f aca="false">IF(BX1302=1,"L1",IF(OR(BX1302=2,BX1302=3),"L23",IF(BX1302="Aussen","Aussen","-")))</f>
        <v>L23</v>
      </c>
      <c r="BZ1302" s="66" t="n">
        <f aca="false">IF(N(AB1302)&gt;0,AB1302,0)</f>
        <v>0</v>
      </c>
      <c r="CA1302" s="60" t="n">
        <f aca="false">IF(ISNUMBER(AE1302),1,0)</f>
        <v>0</v>
      </c>
      <c r="CB1302" s="57" t="n">
        <f aca="false">N(AE1302)</f>
        <v>0</v>
      </c>
      <c r="CC1302" s="57" t="n">
        <f aca="false">N(M1302)+N(N1302)</f>
        <v>2216</v>
      </c>
      <c r="CD1302" s="57" t="n">
        <f aca="false">ROUNDUP(H1302/BS1302,0)</f>
        <v>1</v>
      </c>
      <c r="CE1302" s="57" t="n">
        <f aca="false">ROUNDUP(CB1302/BS1302,0)</f>
        <v>0</v>
      </c>
      <c r="CF1302" s="60" t="n">
        <f aca="false">IF(BT1302=1,0,IFERROR(VLOOKUP(BR1302,'Gebinde-Kategorie'!$A$5:$M$45,5,0)+0,0))</f>
        <v>31</v>
      </c>
      <c r="CG1302" s="60" t="n">
        <f aca="false">IFERROR(IF(OR(BX1302=1,BX1302=2,BX1302=3),N(INDEX(Parameter!$I$5:$I$7,BX1302)),0),0)</f>
        <v>0</v>
      </c>
      <c r="CH1302" s="59" t="n">
        <f aca="false">IF(AND(Parameter!$B$21="Ja",ISNUMBER(W1302),N(X1302)&gt;0),IFERROR(N(INDEX(Parameter!$L$5:$L$7,W1302))*INDEX(Parameter!$E$5:$E$7,W1302)*X1302/SUMIFS($X$7:$X$1843,$W$7:$W$1843,W1302),0),0)</f>
        <v>0</v>
      </c>
    </row>
    <row r="1303" customFormat="false" ht="15" hidden="false" customHeight="false" outlineLevel="0" collapsed="false">
      <c r="A1303" s="55" t="s">
        <v>2315</v>
      </c>
      <c r="B1303" s="55" t="s">
        <v>2316</v>
      </c>
      <c r="C1303" s="55" t="s">
        <v>164</v>
      </c>
      <c r="D1303" s="55" t="s">
        <v>184</v>
      </c>
      <c r="E1303" s="55" t="s">
        <v>185</v>
      </c>
      <c r="F1303" s="55" t="s">
        <v>218</v>
      </c>
      <c r="G1303" s="56" t="n">
        <v>983.67</v>
      </c>
      <c r="H1303" s="57" t="n">
        <f aca="false">MAX(0,IF(AND(Parameter!$B$21="Ja",ISNUMBER(Y1303)),Y1303,IF(Parameter!$B$20="Jahresanfang 2025 + Export",BL1303+BK1303,BK1303)))</f>
        <v>13</v>
      </c>
      <c r="I1303" s="57" t="n">
        <f aca="false">H1303*G1303</f>
        <v>12787.71</v>
      </c>
      <c r="J1303" s="57" t="n">
        <f aca="false">BN1303*Parameter!$B$18</f>
        <v>12</v>
      </c>
      <c r="K1303" s="58" t="n">
        <v>14</v>
      </c>
      <c r="L1303" s="59" t="n">
        <v>0.857142857142857</v>
      </c>
      <c r="M1303" s="57" t="n">
        <v>1</v>
      </c>
      <c r="N1303" s="57" t="n">
        <v>5</v>
      </c>
      <c r="O1303" s="60" t="n">
        <v>28</v>
      </c>
      <c r="P1303" s="55" t="s">
        <v>293</v>
      </c>
      <c r="Q1303" s="57" t="n">
        <v>35</v>
      </c>
      <c r="R1303" s="60" t="n">
        <f aca="false">IF(BT1303=1,0,IFERROR(VLOOKUP(BR1303,'Gebinde-Kategorie'!$A$5:$M$45,13,0)+0,0))</f>
        <v>12</v>
      </c>
      <c r="S1303" s="61"/>
      <c r="T1303" s="62"/>
      <c r="U1303" s="62"/>
      <c r="V1303" s="62"/>
      <c r="W1303" s="55"/>
      <c r="X1303" s="57"/>
      <c r="Y1303" s="57"/>
      <c r="Z1303" s="55" t="n">
        <f aca="false">IF(A1303="","",IF(AND(Parameter!$B$21="Ja",ISNUMBER(W1303)),W1303,IF(BV1303="2+3",IF(ISNUMBER(SEARCH("grosser Artikel",BO1303)),2,IFERROR(VLOOKUP(BR1303,Parameter!$F$35:$G$64,2,0),2)),IF(OR(BV1303="Nein",BV1303=""),"-",BV1303))))</f>
        <v>2</v>
      </c>
      <c r="AA1303" s="62"/>
      <c r="AB1303" s="63"/>
      <c r="AC1303" s="57" t="n">
        <f aca="false">AR1303</f>
        <v>35</v>
      </c>
      <c r="AD1303" s="57" t="n">
        <f aca="false">MAX(AR1303,H1303)</f>
        <v>35</v>
      </c>
      <c r="AE1303" s="64"/>
      <c r="AF1303" s="57" t="n">
        <f aca="false">IF(LEFT(Cockpit!$C$5,1)="A",H1303,IF(CA1303=1,CB1303,IF(LEFT(Cockpit!$C$5,1)="B",AJ1303,MAX(AJ1303,H1303))))</f>
        <v>13</v>
      </c>
      <c r="AG1303" s="57" t="n">
        <f aca="false">IF(BT1303=1,0,ROUNDUP(AF1303/BS1303,0))</f>
        <v>1</v>
      </c>
      <c r="AH1303" s="59" t="n">
        <f aca="false">IF(CH1303&gt;0,CH1303*MAX(1,AF1303/X1303),IF(BT1303=1,IF(AF1303&lt;=0,0,BW1303*MAX(1,IF(H1303&gt;0,AF1303/H1303,1))),IF(R1303&gt;0,AG1303/R1303,0))/MAX(0.1,N(Parameter!$M$21)))</f>
        <v>0.0833333333333333</v>
      </c>
      <c r="AI1303" s="57" t="n">
        <f aca="false">AF1303*G1303</f>
        <v>12787.71</v>
      </c>
      <c r="AJ1303" s="57" t="n">
        <f aca="false">ROUNDUP(MAX(J1303/IF(BZ1303&gt;0,BZ1303,MAX(0.1,N(Cockpit!$C$6))),CC1303)/BS1303,0)*BS1303</f>
        <v>35</v>
      </c>
      <c r="AK1303" s="58" t="n">
        <f aca="false">IF(AH1303&gt;0,J1303/AH1303,-1)</f>
        <v>144</v>
      </c>
      <c r="AL1303" s="58" t="n">
        <f aca="false">IF(AND(OR(BY1303="L1",BY1303="L23"),AH1303&gt;0),SUMIFS($AH$7:$AH$1843,$BY$7:$BY$1843,BY1303,$AK$7:$AK$1843,"&gt;"&amp;AK1303)+SUMIFS($AH$7:$AH$1843,$BY$7:$BY$1843,BY1303,$AK$7:$AK$1843,AK1303,$BQ$7:$BQ$1843,"&lt;="&amp;BQ1303),"")</f>
        <v>35.2393077936556</v>
      </c>
      <c r="AM1303" s="65" t="n">
        <f aca="false">IF(AL1303="",0,MAX(0,MIN(1,(IF(BY1303="L1",Parameter!$E$5,Parameter!$E$6+Parameter!$E$7)-(AL1303-AH1303))/AH1303)))</f>
        <v>1</v>
      </c>
      <c r="AN1303" s="57" t="n">
        <f aca="false">IF(LEFT(Cockpit!$I$5,1)="A",H1303,IF(CA1303=1,CB1303,IF(LEFT(Cockpit!$I$5,1)="B",AR1303,MAX(AR1303,H1303))))</f>
        <v>35</v>
      </c>
      <c r="AO1303" s="57" t="n">
        <f aca="false">IF(BT1303=1,0,ROUNDUP(AN1303/BS1303,0))</f>
        <v>1</v>
      </c>
      <c r="AP1303" s="59" t="n">
        <f aca="false">IF(CH1303&gt;0,CH1303*MAX(1,AN1303/X1303),IF(BT1303=1,IF(AN1303&lt;=0,0,BW1303*MAX(1,IF(H1303&gt;0,AN1303/H1303,1))),IF(R1303&gt;0,AO1303/R1303,0))/MAX(0.1,N(Parameter!$M$21)))</f>
        <v>0.0833333333333333</v>
      </c>
      <c r="AQ1303" s="57" t="n">
        <f aca="false">AN1303*G1303</f>
        <v>34428.45</v>
      </c>
      <c r="AR1303" s="57" t="n">
        <f aca="false">ROUNDUP(MAX(J1303/IF(BZ1303&gt;0,BZ1303,MAX(0.1,N(Cockpit!$I$6))),CC1303)/BS1303,0)*BS1303</f>
        <v>35</v>
      </c>
      <c r="AS1303" s="58" t="n">
        <f aca="false">IF(AP1303&gt;0,J1303/AP1303,-1)</f>
        <v>144</v>
      </c>
      <c r="AT1303" s="58" t="n">
        <f aca="false">IF(AND(OR(BY1303="L1",BY1303="L23"),AP1303&gt;0),SUMIFS($AP$7:$AP$1843,$BY$7:$BY$1843,BY1303,$AS$7:$AS$1843,"&gt;"&amp;AS1303)+SUMIFS($AP$7:$AP$1843,$BY$7:$BY$1843,BY1303,$AS$7:$AS$1843,AS1303,$BQ$7:$BQ$1843,"&lt;="&amp;BQ1303),"")</f>
        <v>49.5550403702578</v>
      </c>
      <c r="AU1303" s="65" t="n">
        <f aca="false">IF(AT1303="",0,MAX(0,MIN(1,(IF(BY1303="L1",Parameter!$E$5,Parameter!$E$6+Parameter!$E$7)-(AT1303-AP1303))/AP1303)))</f>
        <v>1</v>
      </c>
      <c r="AV1303" s="57" t="n">
        <f aca="false">IF(LEFT(Cockpit!$O$5,1)="A",H1303,IF(CA1303=1,CB1303,IF(LEFT(Cockpit!$O$5,1)="B",AZ1303,MAX(AZ1303,H1303))))</f>
        <v>35</v>
      </c>
      <c r="AW1303" s="57" t="n">
        <f aca="false">IF(BT1303=1,0,ROUNDUP(AV1303/BS1303,0))</f>
        <v>1</v>
      </c>
      <c r="AX1303" s="59" t="n">
        <f aca="false">IF(CH1303&gt;0,CH1303*MAX(1,AV1303/X1303),IF(BT1303=1,IF(AV1303&lt;=0,0,BW1303*MAX(1,IF(H1303&gt;0,AV1303/H1303,1))),IF(R1303&gt;0,AW1303/R1303,0))/MAX(0.1,N(Parameter!$M$21)))</f>
        <v>0.0833333333333333</v>
      </c>
      <c r="AY1303" s="57" t="n">
        <f aca="false">AV1303*G1303</f>
        <v>34428.45</v>
      </c>
      <c r="AZ1303" s="57" t="n">
        <f aca="false">ROUNDUP(MAX(J1303/IF(BZ1303&gt;0,BZ1303,MAX(0.1,N(Cockpit!$O$6))),CC1303)/BS1303,0)*BS1303</f>
        <v>35</v>
      </c>
      <c r="BA1303" s="58" t="n">
        <f aca="false">IF(AX1303&gt;0,J1303/AX1303,-1)</f>
        <v>144</v>
      </c>
      <c r="BB1303" s="58" t="n">
        <f aca="false">IF(AND(OR(BY1303="L1",BY1303="L23"),AX1303&gt;0),SUMIFS($AX$7:$AX$1843,$BY$7:$BY$1843,BY1303,$BA$7:$BA$1843,"&gt;"&amp;BA1303)+SUMIFS($AX$7:$AX$1843,$BY$7:$BY$1843,BY1303,$BA$7:$BA$1843,BA1303,$BQ$7:$BQ$1843,"&lt;="&amp;BQ1303),"")</f>
        <v>45.1348772000946</v>
      </c>
      <c r="BC1303" s="65" t="n">
        <f aca="false">IF(BB1303="",0,MAX(0,MIN(1,(IF(BY1303="L1",Parameter!$E$5,Parameter!$E$6+Parameter!$E$7)-(BB1303-AX1303))/AX1303)))</f>
        <v>1</v>
      </c>
      <c r="BD1303" s="55" t="str">
        <f aca="false">IF(AH1303&lt;=0,"",IF(BY1303="Aussen","Aussenlager",IF(BY1303="-","Nicht im Lift",IF(AM1303&gt;=1,"Lift",IF(AM1303&lt;=0,"Aussenlager","teilweise")))))</f>
        <v>Lift</v>
      </c>
      <c r="BE1303" s="55" t="str">
        <f aca="false">IF(AP1303&lt;=0,"",IF(BY1303="Aussen","Aussenlager",IF(BY1303="-","Nicht im Lift",IF(AU1303&gt;=1,"Lift",IF(AU1303&lt;=0,"Aussenlager","teilweise")))))</f>
        <v>Lift</v>
      </c>
      <c r="BF1303" s="55" t="str">
        <f aca="false">IF(AX1303&lt;=0,"",IF(BY1303="Aussen","Aussenlager",IF(BY1303="-","Nicht im Lift",IF(BC1303&gt;=1,"Lift",IF(BC1303&lt;=0,"Aussenlager","teilweise")))))</f>
        <v>Lift</v>
      </c>
      <c r="BG1303" s="55" t="str">
        <f aca="false">IF(A1303="","",IF(BP1303=1,"Neu; ","")&amp;IF(AND(BP1303=0,BK1303&lt;0),"negativer Bestand (Export "&amp;BK1303&amp;"); ","")&amp;IF(J1303&lt;=0,"Kein Verbrauch; ","")&amp;IF(CH1303&gt;0,"Lift "&amp;W1303&amp;" lt. Liftbericht (Fach "&amp;X1303&amp;" Stk); ",IF(BU1303=1,"Gebinde geschätzt ("&amp;T1303&amp;"); ",IF(BT1303=1,"Lose – Tablare geschätzt; ","")))&amp;IF(H1303&gt;AR1303,"Überbestand "&amp;ROUND(H1303-AR1303,0)&amp;" Stk / CHF "&amp;ROUND((H1303-AR1303)*G1303,0)&amp;"; ","")&amp;IF(AND(CA1303=1,CB1303&lt;CC1303),"MAX &lt; MB+LG; ","")&amp;IF(AND(CG1303&gt;0,CF1303*10&gt;CG1303),"zu hoch für Tablar; ","")&amp;IF(AND(BP1303=0,OR(CA1303=1,AA1303&lt;&gt;"",U1303&lt;&gt;"",V1303&lt;&gt;"",AB1303&lt;&gt;"")),"manuell übersteuert; ","")&amp;IF(AND(BT1303=0,R1303=0),"Gebinde unbekannt / Stellmass fehlt; ","")&amp;IF(AND(BT1303=0,N(V1303)&lt;=0,N(Q1303)&lt;=0),"Menge pro Gebinde fehlt (Ist = 1 Gebinde); ","")&amp;BO1303)</f>
        <v>negativer Bestand (Export -4); </v>
      </c>
      <c r="BH1303" s="55"/>
      <c r="BI1303" s="55"/>
      <c r="BJ1303" s="62"/>
      <c r="BK1303" s="57" t="n">
        <v>-4</v>
      </c>
      <c r="BL1303" s="57" t="n">
        <v>17</v>
      </c>
      <c r="BM1303" s="56" t="n">
        <v>-1203.92</v>
      </c>
      <c r="BN1303" s="57" t="n">
        <v>12</v>
      </c>
      <c r="BO1303" s="55"/>
      <c r="BP1303" s="60" t="n">
        <v>0</v>
      </c>
      <c r="BQ1303" s="60" t="n">
        <v>1303</v>
      </c>
      <c r="BR1303" s="55" t="str">
        <f aca="false">IF(U1303&lt;&gt;"",UPPER(TRIM(U1303)),IF(BU1303=1,UPPER(VLOOKUP(T1303,Parameter!$I$27:$K$29,2,0)),IF(P1303="","LOSE",P1303)))</f>
        <v>S62</v>
      </c>
      <c r="BS1303" s="57" t="n">
        <f aca="false">IF(BR1303="LOSE",1,IF(N(V1303)&gt;0,V1303,IF(BU1303=1,MAX(1,N(VLOOKUP(T1303,Parameter!$I$27:$K$29,3,0)),H1303,N(N1303)),IF(N(Q1303)&gt;0,Q1303,MAX(1,H1303)))))</f>
        <v>35</v>
      </c>
      <c r="BT1303" s="60" t="n">
        <f aca="false">IF(BR1303="LOSE",1,0)</f>
        <v>0</v>
      </c>
      <c r="BU1303" s="60" t="n">
        <f aca="false">IF(AND(U1303="",OR(P1303="",P1303="LOSE"),T1303&lt;&gt;"",N(S1303)&lt;=0,ISNUMBER(MATCH(T1303,Parameter!$I$27:$I$29,0))),1,0)</f>
        <v>0</v>
      </c>
      <c r="BV1303" s="55" t="str">
        <f aca="false">IF(AND(Parameter!$B$19="Ja",E1303&lt;&gt;"",ISNUMBER(MATCH(E1303,Parameter!$I$35:$I$52,0))),VLOOKUP(E1303,Parameter!$I$35:$J$52,2,0),IFERROR(VLOOKUP(D1303,Parameter!$A$35:$C$64,2,0),"Nein"))</f>
        <v>2+3</v>
      </c>
      <c r="BW1303" s="59" t="n">
        <f aca="false">IF(BT1303=0,0,IF(N(S1303)&gt;0,S1303,IFERROR(VLOOKUP(D1303,Parameter!$A$35:$C$64,3,0)+0,0)))</f>
        <v>0</v>
      </c>
      <c r="BX1303" s="55" t="n">
        <f aca="false">IF(AA1303&lt;&gt;"",AA1303,Z1303)</f>
        <v>2</v>
      </c>
      <c r="BY1303" s="55" t="str">
        <f aca="false">IF(BX1303=1,"L1",IF(OR(BX1303=2,BX1303=3),"L23",IF(BX1303="Aussen","Aussen","-")))</f>
        <v>L23</v>
      </c>
      <c r="BZ1303" s="66" t="n">
        <f aca="false">IF(N(AB1303)&gt;0,AB1303,0)</f>
        <v>0</v>
      </c>
      <c r="CA1303" s="60" t="n">
        <f aca="false">IF(ISNUMBER(AE1303),1,0)</f>
        <v>0</v>
      </c>
      <c r="CB1303" s="57" t="n">
        <f aca="false">N(AE1303)</f>
        <v>0</v>
      </c>
      <c r="CC1303" s="57" t="n">
        <f aca="false">N(M1303)+N(N1303)</f>
        <v>6</v>
      </c>
      <c r="CD1303" s="57" t="n">
        <f aca="false">ROUNDUP(H1303/BS1303,0)</f>
        <v>1</v>
      </c>
      <c r="CE1303" s="57" t="n">
        <f aca="false">ROUNDUP(CB1303/BS1303,0)</f>
        <v>0</v>
      </c>
      <c r="CF1303" s="60" t="n">
        <f aca="false">IF(BT1303=1,0,IFERROR(VLOOKUP(BR1303,'Gebinde-Kategorie'!$A$5:$M$45,5,0)+0,0))</f>
        <v>21</v>
      </c>
      <c r="CG1303" s="60" t="n">
        <f aca="false">IFERROR(IF(OR(BX1303=1,BX1303=2,BX1303=3),N(INDEX(Parameter!$I$5:$I$7,BX1303)),0),0)</f>
        <v>0</v>
      </c>
      <c r="CH1303" s="59" t="n">
        <f aca="false">IF(AND(Parameter!$B$21="Ja",ISNUMBER(W1303),N(X1303)&gt;0),IFERROR(N(INDEX(Parameter!$L$5:$L$7,W1303))*INDEX(Parameter!$E$5:$E$7,W1303)*X1303/SUMIFS($X$7:$X$1843,$W$7:$W$1843,W1303),0),0)</f>
        <v>0</v>
      </c>
    </row>
    <row r="1304" customFormat="false" ht="15" hidden="false" customHeight="false" outlineLevel="0" collapsed="false">
      <c r="A1304" s="55" t="s">
        <v>2317</v>
      </c>
      <c r="B1304" s="55" t="s">
        <v>2318</v>
      </c>
      <c r="C1304" s="55" t="s">
        <v>164</v>
      </c>
      <c r="D1304" s="55" t="s">
        <v>184</v>
      </c>
      <c r="E1304" s="55" t="s">
        <v>185</v>
      </c>
      <c r="F1304" s="55" t="s">
        <v>218</v>
      </c>
      <c r="G1304" s="56" t="n">
        <v>64.57</v>
      </c>
      <c r="H1304" s="57" t="n">
        <f aca="false">MAX(0,IF(AND(Parameter!$B$21="Ja",ISNUMBER(Y1304)),Y1304,IF(Parameter!$B$20="Jahresanfang 2025 + Export",BL1304+BK1304,BK1304)))</f>
        <v>26</v>
      </c>
      <c r="I1304" s="57" t="n">
        <f aca="false">H1304*G1304</f>
        <v>1678.82</v>
      </c>
      <c r="J1304" s="57" t="n">
        <f aca="false">BN1304*Parameter!$B$18</f>
        <v>71</v>
      </c>
      <c r="K1304" s="58" t="n">
        <v>29.5</v>
      </c>
      <c r="L1304" s="59" t="n">
        <v>2.40677966101695</v>
      </c>
      <c r="M1304" s="57" t="n">
        <v>4</v>
      </c>
      <c r="N1304" s="57" t="n">
        <v>20</v>
      </c>
      <c r="O1304" s="60" t="n">
        <v>21</v>
      </c>
      <c r="P1304" s="55" t="s">
        <v>302</v>
      </c>
      <c r="Q1304" s="57" t="n">
        <v>64</v>
      </c>
      <c r="R1304" s="60" t="n">
        <f aca="false">IF(BT1304=1,0,IFERROR(VLOOKUP(BR1304,'Gebinde-Kategorie'!$A$5:$M$45,13,0)+0,0))</f>
        <v>26</v>
      </c>
      <c r="S1304" s="61"/>
      <c r="T1304" s="62"/>
      <c r="U1304" s="62"/>
      <c r="V1304" s="62"/>
      <c r="W1304" s="55"/>
      <c r="X1304" s="57"/>
      <c r="Y1304" s="57"/>
      <c r="Z1304" s="55" t="n">
        <f aca="false">IF(A1304="","",IF(AND(Parameter!$B$21="Ja",ISNUMBER(W1304)),W1304,IF(BV1304="2+3",IF(ISNUMBER(SEARCH("grosser Artikel",BO1304)),2,IFERROR(VLOOKUP(BR1304,Parameter!$F$35:$G$64,2,0),2)),IF(OR(BV1304="Nein",BV1304=""),"-",BV1304))))</f>
        <v>3</v>
      </c>
      <c r="AA1304" s="62"/>
      <c r="AB1304" s="63"/>
      <c r="AC1304" s="57" t="n">
        <f aca="false">AR1304</f>
        <v>64</v>
      </c>
      <c r="AD1304" s="57" t="n">
        <f aca="false">MAX(AR1304,H1304)</f>
        <v>64</v>
      </c>
      <c r="AE1304" s="64"/>
      <c r="AF1304" s="57" t="n">
        <f aca="false">IF(LEFT(Cockpit!$C$5,1)="A",H1304,IF(CA1304=1,CB1304,IF(LEFT(Cockpit!$C$5,1)="B",AJ1304,MAX(AJ1304,H1304))))</f>
        <v>26</v>
      </c>
      <c r="AG1304" s="57" t="n">
        <f aca="false">IF(BT1304=1,0,ROUNDUP(AF1304/BS1304,0))</f>
        <v>1</v>
      </c>
      <c r="AH1304" s="59" t="n">
        <f aca="false">IF(CH1304&gt;0,CH1304*MAX(1,AF1304/X1304),IF(BT1304=1,IF(AF1304&lt;=0,0,BW1304*MAX(1,IF(H1304&gt;0,AF1304/H1304,1))),IF(R1304&gt;0,AG1304/R1304,0))/MAX(0.1,N(Parameter!$M$21)))</f>
        <v>0.0384615384615385</v>
      </c>
      <c r="AI1304" s="57" t="n">
        <f aca="false">AF1304*G1304</f>
        <v>1678.82</v>
      </c>
      <c r="AJ1304" s="57" t="n">
        <f aca="false">ROUNDUP(MAX(J1304/IF(BZ1304&gt;0,BZ1304,MAX(0.1,N(Cockpit!$C$6))),CC1304)/BS1304,0)*BS1304</f>
        <v>64</v>
      </c>
      <c r="AK1304" s="58" t="n">
        <f aca="false">IF(AH1304&gt;0,J1304/AH1304,-1)</f>
        <v>1846</v>
      </c>
      <c r="AL1304" s="58" t="n">
        <f aca="false">IF(AND(OR(BY1304="L1",BY1304="L23"),AH1304&gt;0),SUMIFS($AH$7:$AH$1843,$BY$7:$BY$1843,BY1304,$AK$7:$AK$1843,"&gt;"&amp;AK1304)+SUMIFS($AH$7:$AH$1843,$BY$7:$BY$1843,BY1304,$AK$7:$AK$1843,AK1304,$BQ$7:$BQ$1843,"&lt;="&amp;BQ1304),"")</f>
        <v>14.0031417857505</v>
      </c>
      <c r="AM1304" s="65" t="n">
        <f aca="false">IF(AL1304="",0,MAX(0,MIN(1,(IF(BY1304="L1",Parameter!$E$5,Parameter!$E$6+Parameter!$E$7)-(AL1304-AH1304))/AH1304)))</f>
        <v>1</v>
      </c>
      <c r="AN1304" s="57" t="n">
        <f aca="false">IF(LEFT(Cockpit!$I$5,1)="A",H1304,IF(CA1304=1,CB1304,IF(LEFT(Cockpit!$I$5,1)="B",AR1304,MAX(AR1304,H1304))))</f>
        <v>64</v>
      </c>
      <c r="AO1304" s="57" t="n">
        <f aca="false">IF(BT1304=1,0,ROUNDUP(AN1304/BS1304,0))</f>
        <v>1</v>
      </c>
      <c r="AP1304" s="59" t="n">
        <f aca="false">IF(CH1304&gt;0,CH1304*MAX(1,AN1304/X1304),IF(BT1304=1,IF(AN1304&lt;=0,0,BW1304*MAX(1,IF(H1304&gt;0,AN1304/H1304,1))),IF(R1304&gt;0,AO1304/R1304,0))/MAX(0.1,N(Parameter!$M$21)))</f>
        <v>0.0384615384615385</v>
      </c>
      <c r="AQ1304" s="57" t="n">
        <f aca="false">AN1304*G1304</f>
        <v>4132.48</v>
      </c>
      <c r="AR1304" s="57" t="n">
        <f aca="false">ROUNDUP(MAX(J1304/IF(BZ1304&gt;0,BZ1304,MAX(0.1,N(Cockpit!$I$6))),CC1304)/BS1304,0)*BS1304</f>
        <v>64</v>
      </c>
      <c r="AS1304" s="58" t="n">
        <f aca="false">IF(AP1304&gt;0,J1304/AP1304,-1)</f>
        <v>1846</v>
      </c>
      <c r="AT1304" s="58" t="n">
        <f aca="false">IF(AND(OR(BY1304="L1",BY1304="L23"),AP1304&gt;0),SUMIFS($AP$7:$AP$1843,$BY$7:$BY$1843,BY1304,$AS$7:$AS$1843,"&gt;"&amp;AS1304)+SUMIFS($AP$7:$AP$1843,$BY$7:$BY$1843,BY1304,$AS$7:$AS$1843,AS1304,$BQ$7:$BQ$1843,"&lt;="&amp;BQ1304),"")</f>
        <v>19.157334211682</v>
      </c>
      <c r="AU1304" s="65" t="n">
        <f aca="false">IF(AT1304="",0,MAX(0,MIN(1,(IF(BY1304="L1",Parameter!$E$5,Parameter!$E$6+Parameter!$E$7)-(AT1304-AP1304))/AP1304)))</f>
        <v>1</v>
      </c>
      <c r="AV1304" s="57" t="n">
        <f aca="false">IF(LEFT(Cockpit!$O$5,1)="A",H1304,IF(CA1304=1,CB1304,IF(LEFT(Cockpit!$O$5,1)="B",AZ1304,MAX(AZ1304,H1304))))</f>
        <v>64</v>
      </c>
      <c r="AW1304" s="57" t="n">
        <f aca="false">IF(BT1304=1,0,ROUNDUP(AV1304/BS1304,0))</f>
        <v>1</v>
      </c>
      <c r="AX1304" s="59" t="n">
        <f aca="false">IF(CH1304&gt;0,CH1304*MAX(1,AV1304/X1304),IF(BT1304=1,IF(AV1304&lt;=0,0,BW1304*MAX(1,IF(H1304&gt;0,AV1304/H1304,1))),IF(R1304&gt;0,AW1304/R1304,0))/MAX(0.1,N(Parameter!$M$21)))</f>
        <v>0.0384615384615385</v>
      </c>
      <c r="AY1304" s="57" t="n">
        <f aca="false">AV1304*G1304</f>
        <v>4132.48</v>
      </c>
      <c r="AZ1304" s="57" t="n">
        <f aca="false">ROUNDUP(MAX(J1304/IF(BZ1304&gt;0,BZ1304,MAX(0.1,N(Cockpit!$O$6))),CC1304)/BS1304,0)*BS1304</f>
        <v>64</v>
      </c>
      <c r="BA1304" s="58" t="n">
        <f aca="false">IF(AX1304&gt;0,J1304/AX1304,-1)</f>
        <v>1846</v>
      </c>
      <c r="BB1304" s="58" t="n">
        <f aca="false">IF(AND(OR(BY1304="L1",BY1304="L23"),AX1304&gt;0),SUMIFS($AX$7:$AX$1843,$BY$7:$BY$1843,BY1304,$BA$7:$BA$1843,"&gt;"&amp;BA1304)+SUMIFS($AX$7:$AX$1843,$BY$7:$BY$1843,BY1304,$BA$7:$BA$1843,BA1304,$BQ$7:$BQ$1843,"&lt;="&amp;BQ1304),"")</f>
        <v>18.0192223235702</v>
      </c>
      <c r="BC1304" s="65" t="n">
        <f aca="false">IF(BB1304="",0,MAX(0,MIN(1,(IF(BY1304="L1",Parameter!$E$5,Parameter!$E$6+Parameter!$E$7)-(BB1304-AX1304))/AX1304)))</f>
        <v>1</v>
      </c>
      <c r="BD1304" s="55" t="str">
        <f aca="false">IF(AH1304&lt;=0,"",IF(BY1304="Aussen","Aussenlager",IF(BY1304="-","Nicht im Lift",IF(AM1304&gt;=1,"Lift",IF(AM1304&lt;=0,"Aussenlager","teilweise")))))</f>
        <v>Lift</v>
      </c>
      <c r="BE1304" s="55" t="str">
        <f aca="false">IF(AP1304&lt;=0,"",IF(BY1304="Aussen","Aussenlager",IF(BY1304="-","Nicht im Lift",IF(AU1304&gt;=1,"Lift",IF(AU1304&lt;=0,"Aussenlager","teilweise")))))</f>
        <v>Lift</v>
      </c>
      <c r="BF1304" s="55" t="str">
        <f aca="false">IF(AX1304&lt;=0,"",IF(BY1304="Aussen","Aussenlager",IF(BY1304="-","Nicht im Lift",IF(BC1304&gt;=1,"Lift",IF(BC1304&lt;=0,"Aussenlager","teilweise")))))</f>
        <v>Lift</v>
      </c>
      <c r="BG1304" s="55" t="str">
        <f aca="false">IF(A1304="","",IF(BP1304=1,"Neu; ","")&amp;IF(AND(BP1304=0,BK1304&lt;0),"negativer Bestand (Export "&amp;BK1304&amp;"); ","")&amp;IF(J1304&lt;=0,"Kein Verbrauch; ","")&amp;IF(CH1304&gt;0,"Lift "&amp;W1304&amp;" lt. Liftbericht (Fach "&amp;X1304&amp;" Stk); ",IF(BU1304=1,"Gebinde geschätzt ("&amp;T1304&amp;"); ",IF(BT1304=1,"Lose – Tablare geschätzt; ","")))&amp;IF(H1304&gt;AR1304,"Überbestand "&amp;ROUND(H1304-AR1304,0)&amp;" Stk / CHF "&amp;ROUND((H1304-AR1304)*G1304,0)&amp;"; ","")&amp;IF(AND(CA1304=1,CB1304&lt;CC1304),"MAX &lt; MB+LG; ","")&amp;IF(AND(CG1304&gt;0,CF1304*10&gt;CG1304),"zu hoch für Tablar; ","")&amp;IF(AND(BP1304=0,OR(CA1304=1,AA1304&lt;&gt;"",U1304&lt;&gt;"",V1304&lt;&gt;"",AB1304&lt;&gt;"")),"manuell übersteuert; ","")&amp;IF(AND(BT1304=0,R1304=0),"Gebinde unbekannt / Stellmass fehlt; ","")&amp;IF(AND(BT1304=0,N(V1304)&lt;=0,N(Q1304)&lt;=0),"Menge pro Gebinde fehlt (Ist = 1 Gebinde); ","")&amp;BO1304)</f>
        <v>negativer Bestand (Export -9); </v>
      </c>
      <c r="BH1304" s="55"/>
      <c r="BI1304" s="55"/>
      <c r="BJ1304" s="62"/>
      <c r="BK1304" s="57" t="n">
        <v>-9</v>
      </c>
      <c r="BL1304" s="57" t="n">
        <v>35</v>
      </c>
      <c r="BM1304" s="56" t="n">
        <v>-1206.58</v>
      </c>
      <c r="BN1304" s="57" t="n">
        <v>71</v>
      </c>
      <c r="BO1304" s="55"/>
      <c r="BP1304" s="60" t="n">
        <v>0</v>
      </c>
      <c r="BQ1304" s="60" t="n">
        <v>1304</v>
      </c>
      <c r="BR1304" s="55" t="str">
        <f aca="false">IF(U1304&lt;&gt;"",UPPER(TRIM(U1304)),IF(BU1304=1,UPPER(VLOOKUP(T1304,Parameter!$I$27:$K$29,2,0)),IF(P1304="","LOSE",P1304)))</f>
        <v>S51</v>
      </c>
      <c r="BS1304" s="57" t="n">
        <f aca="false">IF(BR1304="LOSE",1,IF(N(V1304)&gt;0,V1304,IF(BU1304=1,MAX(1,N(VLOOKUP(T1304,Parameter!$I$27:$K$29,3,0)),H1304,N(N1304)),IF(N(Q1304)&gt;0,Q1304,MAX(1,H1304)))))</f>
        <v>64</v>
      </c>
      <c r="BT1304" s="60" t="n">
        <f aca="false">IF(BR1304="LOSE",1,0)</f>
        <v>0</v>
      </c>
      <c r="BU1304" s="60" t="n">
        <f aca="false">IF(AND(U1304="",OR(P1304="",P1304="LOSE"),T1304&lt;&gt;"",N(S1304)&lt;=0,ISNUMBER(MATCH(T1304,Parameter!$I$27:$I$29,0))),1,0)</f>
        <v>0</v>
      </c>
      <c r="BV1304" s="55" t="str">
        <f aca="false">IF(AND(Parameter!$B$19="Ja",E1304&lt;&gt;"",ISNUMBER(MATCH(E1304,Parameter!$I$35:$I$52,0))),VLOOKUP(E1304,Parameter!$I$35:$J$52,2,0),IFERROR(VLOOKUP(D1304,Parameter!$A$35:$C$64,2,0),"Nein"))</f>
        <v>2+3</v>
      </c>
      <c r="BW1304" s="59" t="n">
        <f aca="false">IF(BT1304=0,0,IF(N(S1304)&gt;0,S1304,IFERROR(VLOOKUP(D1304,Parameter!$A$35:$C$64,3,0)+0,0)))</f>
        <v>0</v>
      </c>
      <c r="BX1304" s="55" t="n">
        <f aca="false">IF(AA1304&lt;&gt;"",AA1304,Z1304)</f>
        <v>3</v>
      </c>
      <c r="BY1304" s="55" t="str">
        <f aca="false">IF(BX1304=1,"L1",IF(OR(BX1304=2,BX1304=3),"L23",IF(BX1304="Aussen","Aussen","-")))</f>
        <v>L23</v>
      </c>
      <c r="BZ1304" s="66" t="n">
        <f aca="false">IF(N(AB1304)&gt;0,AB1304,0)</f>
        <v>0</v>
      </c>
      <c r="CA1304" s="60" t="n">
        <f aca="false">IF(ISNUMBER(AE1304),1,0)</f>
        <v>0</v>
      </c>
      <c r="CB1304" s="57" t="n">
        <f aca="false">N(AE1304)</f>
        <v>0</v>
      </c>
      <c r="CC1304" s="57" t="n">
        <f aca="false">N(M1304)+N(N1304)</f>
        <v>24</v>
      </c>
      <c r="CD1304" s="57" t="n">
        <f aca="false">ROUNDUP(H1304/BS1304,0)</f>
        <v>1</v>
      </c>
      <c r="CE1304" s="57" t="n">
        <f aca="false">ROUNDUP(CB1304/BS1304,0)</f>
        <v>0</v>
      </c>
      <c r="CF1304" s="60" t="n">
        <f aca="false">IF(BT1304=1,0,IFERROR(VLOOKUP(BR1304,'Gebinde-Kategorie'!$A$5:$M$45,5,0)+0,0))</f>
        <v>11</v>
      </c>
      <c r="CG1304" s="60" t="n">
        <f aca="false">IFERROR(IF(OR(BX1304=1,BX1304=2,BX1304=3),N(INDEX(Parameter!$I$5:$I$7,BX1304)),0),0)</f>
        <v>0</v>
      </c>
      <c r="CH1304" s="59" t="n">
        <f aca="false">IF(AND(Parameter!$B$21="Ja",ISNUMBER(W1304),N(X1304)&gt;0),IFERROR(N(INDEX(Parameter!$L$5:$L$7,W1304))*INDEX(Parameter!$E$5:$E$7,W1304)*X1304/SUMIFS($X$7:$X$1843,$W$7:$W$1843,W1304),0),0)</f>
        <v>0</v>
      </c>
    </row>
    <row r="1305" customFormat="false" ht="15" hidden="false" customHeight="false" outlineLevel="0" collapsed="false">
      <c r="A1305" s="55" t="s">
        <v>2319</v>
      </c>
      <c r="B1305" s="55" t="s">
        <v>1151</v>
      </c>
      <c r="C1305" s="55" t="s">
        <v>164</v>
      </c>
      <c r="D1305" s="55" t="s">
        <v>184</v>
      </c>
      <c r="E1305" s="55" t="s">
        <v>185</v>
      </c>
      <c r="F1305" s="55" t="s">
        <v>218</v>
      </c>
      <c r="G1305" s="56" t="n">
        <v>108.99</v>
      </c>
      <c r="H1305" s="57" t="n">
        <f aca="false">MAX(0,IF(AND(Parameter!$B$21="Ja",ISNUMBER(Y1305)),Y1305,IF(Parameter!$B$20="Jahresanfang 2025 + Export",BL1305+BK1305,BK1305)))</f>
        <v>20</v>
      </c>
      <c r="I1305" s="57" t="n">
        <f aca="false">H1305*G1305</f>
        <v>2179.8</v>
      </c>
      <c r="J1305" s="57" t="n">
        <f aca="false">BN1305*Parameter!$B$18</f>
        <v>68</v>
      </c>
      <c r="K1305" s="58" t="n">
        <v>22</v>
      </c>
      <c r="L1305" s="59" t="n">
        <v>3.09090909090909</v>
      </c>
      <c r="M1305" s="57" t="n">
        <v>4</v>
      </c>
      <c r="N1305" s="57" t="n">
        <v>35</v>
      </c>
      <c r="O1305" s="60" t="n">
        <v>21</v>
      </c>
      <c r="P1305" s="55" t="s">
        <v>302</v>
      </c>
      <c r="Q1305" s="57" t="n">
        <v>56</v>
      </c>
      <c r="R1305" s="60" t="n">
        <f aca="false">IF(BT1305=1,0,IFERROR(VLOOKUP(BR1305,'Gebinde-Kategorie'!$A$5:$M$45,13,0)+0,0))</f>
        <v>26</v>
      </c>
      <c r="S1305" s="61"/>
      <c r="T1305" s="62"/>
      <c r="U1305" s="62"/>
      <c r="V1305" s="62"/>
      <c r="W1305" s="55"/>
      <c r="X1305" s="57"/>
      <c r="Y1305" s="57"/>
      <c r="Z1305" s="55" t="n">
        <f aca="false">IF(A1305="","",IF(AND(Parameter!$B$21="Ja",ISNUMBER(W1305)),W1305,IF(BV1305="2+3",IF(ISNUMBER(SEARCH("grosser Artikel",BO1305)),2,IFERROR(VLOOKUP(BR1305,Parameter!$F$35:$G$64,2,0),2)),IF(OR(BV1305="Nein",BV1305=""),"-",BV1305))))</f>
        <v>3</v>
      </c>
      <c r="AA1305" s="62"/>
      <c r="AB1305" s="63"/>
      <c r="AC1305" s="57" t="n">
        <f aca="false">AR1305</f>
        <v>56</v>
      </c>
      <c r="AD1305" s="57" t="n">
        <f aca="false">MAX(AR1305,H1305)</f>
        <v>56</v>
      </c>
      <c r="AE1305" s="64"/>
      <c r="AF1305" s="57" t="n">
        <f aca="false">IF(LEFT(Cockpit!$C$5,1)="A",H1305,IF(CA1305=1,CB1305,IF(LEFT(Cockpit!$C$5,1)="B",AJ1305,MAX(AJ1305,H1305))))</f>
        <v>20</v>
      </c>
      <c r="AG1305" s="57" t="n">
        <f aca="false">IF(BT1305=1,0,ROUNDUP(AF1305/BS1305,0))</f>
        <v>1</v>
      </c>
      <c r="AH1305" s="59" t="n">
        <f aca="false">IF(CH1305&gt;0,CH1305*MAX(1,AF1305/X1305),IF(BT1305=1,IF(AF1305&lt;=0,0,BW1305*MAX(1,IF(H1305&gt;0,AF1305/H1305,1))),IF(R1305&gt;0,AG1305/R1305,0))/MAX(0.1,N(Parameter!$M$21)))</f>
        <v>0.0384615384615385</v>
      </c>
      <c r="AI1305" s="57" t="n">
        <f aca="false">AF1305*G1305</f>
        <v>2179.8</v>
      </c>
      <c r="AJ1305" s="57" t="n">
        <f aca="false">ROUNDUP(MAX(J1305/IF(BZ1305&gt;0,BZ1305,MAX(0.1,N(Cockpit!$C$6))),CC1305)/BS1305,0)*BS1305</f>
        <v>56</v>
      </c>
      <c r="AK1305" s="58" t="n">
        <f aca="false">IF(AH1305&gt;0,J1305/AH1305,-1)</f>
        <v>1768</v>
      </c>
      <c r="AL1305" s="58" t="n">
        <f aca="false">IF(AND(OR(BY1305="L1",BY1305="L23"),AH1305&gt;0),SUMIFS($AH$7:$AH$1843,$BY$7:$BY$1843,BY1305,$AK$7:$AK$1843,"&gt;"&amp;AK1305)+SUMIFS($AH$7:$AH$1843,$BY$7:$BY$1843,BY1305,$AK$7:$AK$1843,AK1305,$BQ$7:$BQ$1843,"&lt;="&amp;BQ1305),"")</f>
        <v>14.9710905036992</v>
      </c>
      <c r="AM1305" s="65" t="n">
        <f aca="false">IF(AL1305="",0,MAX(0,MIN(1,(IF(BY1305="L1",Parameter!$E$5,Parameter!$E$6+Parameter!$E$7)-(AL1305-AH1305))/AH1305)))</f>
        <v>1</v>
      </c>
      <c r="AN1305" s="57" t="n">
        <f aca="false">IF(LEFT(Cockpit!$I$5,1)="A",H1305,IF(CA1305=1,CB1305,IF(LEFT(Cockpit!$I$5,1)="B",AR1305,MAX(AR1305,H1305))))</f>
        <v>56</v>
      </c>
      <c r="AO1305" s="57" t="n">
        <f aca="false">IF(BT1305=1,0,ROUNDUP(AN1305/BS1305,0))</f>
        <v>1</v>
      </c>
      <c r="AP1305" s="59" t="n">
        <f aca="false">IF(CH1305&gt;0,CH1305*MAX(1,AN1305/X1305),IF(BT1305=1,IF(AN1305&lt;=0,0,BW1305*MAX(1,IF(H1305&gt;0,AN1305/H1305,1))),IF(R1305&gt;0,AO1305/R1305,0))/MAX(0.1,N(Parameter!$M$21)))</f>
        <v>0.0384615384615385</v>
      </c>
      <c r="AQ1305" s="57" t="n">
        <f aca="false">AN1305*G1305</f>
        <v>6103.44</v>
      </c>
      <c r="AR1305" s="57" t="n">
        <f aca="false">ROUNDUP(MAX(J1305/IF(BZ1305&gt;0,BZ1305,MAX(0.1,N(Cockpit!$I$6))),CC1305)/BS1305,0)*BS1305</f>
        <v>56</v>
      </c>
      <c r="AS1305" s="58" t="n">
        <f aca="false">IF(AP1305&gt;0,J1305/AP1305,-1)</f>
        <v>1768</v>
      </c>
      <c r="AT1305" s="58" t="n">
        <f aca="false">IF(AND(OR(BY1305="L1",BY1305="L23"),AP1305&gt;0),SUMIFS($AP$7:$AP$1843,$BY$7:$BY$1843,BY1305,$AS$7:$AS$1843,"&gt;"&amp;AS1305)+SUMIFS($AP$7:$AP$1843,$BY$7:$BY$1843,BY1305,$AS$7:$AS$1843,AS1305,$BQ$7:$BQ$1843,"&lt;="&amp;BQ1305),"")</f>
        <v>19.5868213911692</v>
      </c>
      <c r="AU1305" s="65" t="n">
        <f aca="false">IF(AT1305="",0,MAX(0,MIN(1,(IF(BY1305="L1",Parameter!$E$5,Parameter!$E$6+Parameter!$E$7)-(AT1305-AP1305))/AP1305)))</f>
        <v>1</v>
      </c>
      <c r="AV1305" s="57" t="n">
        <f aca="false">IF(LEFT(Cockpit!$O$5,1)="A",H1305,IF(CA1305=1,CB1305,IF(LEFT(Cockpit!$O$5,1)="B",AZ1305,MAX(AZ1305,H1305))))</f>
        <v>56</v>
      </c>
      <c r="AW1305" s="57" t="n">
        <f aca="false">IF(BT1305=1,0,ROUNDUP(AV1305/BS1305,0))</f>
        <v>1</v>
      </c>
      <c r="AX1305" s="59" t="n">
        <f aca="false">IF(CH1305&gt;0,CH1305*MAX(1,AV1305/X1305),IF(BT1305=1,IF(AV1305&lt;=0,0,BW1305*MAX(1,IF(H1305&gt;0,AV1305/H1305,1))),IF(R1305&gt;0,AW1305/R1305,0))/MAX(0.1,N(Parameter!$M$21)))</f>
        <v>0.0384615384615385</v>
      </c>
      <c r="AY1305" s="57" t="n">
        <f aca="false">AV1305*G1305</f>
        <v>6103.44</v>
      </c>
      <c r="AZ1305" s="57" t="n">
        <f aca="false">ROUNDUP(MAX(J1305/IF(BZ1305&gt;0,BZ1305,MAX(0.1,N(Cockpit!$O$6))),CC1305)/BS1305,0)*BS1305</f>
        <v>56</v>
      </c>
      <c r="BA1305" s="58" t="n">
        <f aca="false">IF(AX1305&gt;0,J1305/AX1305,-1)</f>
        <v>1768</v>
      </c>
      <c r="BB1305" s="58" t="n">
        <f aca="false">IF(AND(OR(BY1305="L1",BY1305="L23"),AX1305&gt;0),SUMIFS($AX$7:$AX$1843,$BY$7:$BY$1843,BY1305,$BA$7:$BA$1843,"&gt;"&amp;BA1305)+SUMIFS($AX$7:$AX$1843,$BY$7:$BY$1843,BY1305,$BA$7:$BA$1843,BA1305,$BQ$7:$BQ$1843,"&lt;="&amp;BQ1305),"")</f>
        <v>18.4487095030573</v>
      </c>
      <c r="BC1305" s="65" t="n">
        <f aca="false">IF(BB1305="",0,MAX(0,MIN(1,(IF(BY1305="L1",Parameter!$E$5,Parameter!$E$6+Parameter!$E$7)-(BB1305-AX1305))/AX1305)))</f>
        <v>1</v>
      </c>
      <c r="BD1305" s="55" t="str">
        <f aca="false">IF(AH1305&lt;=0,"",IF(BY1305="Aussen","Aussenlager",IF(BY1305="-","Nicht im Lift",IF(AM1305&gt;=1,"Lift",IF(AM1305&lt;=0,"Aussenlager","teilweise")))))</f>
        <v>Lift</v>
      </c>
      <c r="BE1305" s="55" t="str">
        <f aca="false">IF(AP1305&lt;=0,"",IF(BY1305="Aussen","Aussenlager",IF(BY1305="-","Nicht im Lift",IF(AU1305&gt;=1,"Lift",IF(AU1305&lt;=0,"Aussenlager","teilweise")))))</f>
        <v>Lift</v>
      </c>
      <c r="BF1305" s="55" t="str">
        <f aca="false">IF(AX1305&lt;=0,"",IF(BY1305="Aussen","Aussenlager",IF(BY1305="-","Nicht im Lift",IF(BC1305&gt;=1,"Lift",IF(BC1305&lt;=0,"Aussenlager","teilweise")))))</f>
        <v>Lift</v>
      </c>
      <c r="BG1305" s="55" t="str">
        <f aca="false">IF(A1305="","",IF(BP1305=1,"Neu; ","")&amp;IF(AND(BP1305=0,BK1305&lt;0),"negativer Bestand (Export "&amp;BK1305&amp;"); ","")&amp;IF(J1305&lt;=0,"Kein Verbrauch; ","")&amp;IF(CH1305&gt;0,"Lift "&amp;W1305&amp;" lt. Liftbericht (Fach "&amp;X1305&amp;" Stk); ",IF(BU1305=1,"Gebinde geschätzt ("&amp;T1305&amp;"); ",IF(BT1305=1,"Lose – Tablare geschätzt; ","")))&amp;IF(H1305&gt;AR1305,"Überbestand "&amp;ROUND(H1305-AR1305,0)&amp;" Stk / CHF "&amp;ROUND((H1305-AR1305)*G1305,0)&amp;"; ","")&amp;IF(AND(CA1305=1,CB1305&lt;CC1305),"MAX &lt; MB+LG; ","")&amp;IF(AND(CG1305&gt;0,CF1305*10&gt;CG1305),"zu hoch für Tablar; ","")&amp;IF(AND(BP1305=0,OR(CA1305=1,AA1305&lt;&gt;"",U1305&lt;&gt;"",V1305&lt;&gt;"",AB1305&lt;&gt;"")),"manuell übersteuert; ","")&amp;IF(AND(BT1305=0,R1305=0),"Gebinde unbekannt / Stellmass fehlt; ","")&amp;IF(AND(BT1305=0,N(V1305)&lt;=0,N(Q1305)&lt;=0),"Menge pro Gebinde fehlt (Ist = 1 Gebinde); ","")&amp;BO1305)</f>
        <v>negativer Bestand (Export -6); </v>
      </c>
      <c r="BH1305" s="55"/>
      <c r="BI1305" s="55"/>
      <c r="BJ1305" s="62"/>
      <c r="BK1305" s="57" t="n">
        <v>-6</v>
      </c>
      <c r="BL1305" s="57" t="n">
        <v>26</v>
      </c>
      <c r="BM1305" s="56" t="n">
        <v>-1221</v>
      </c>
      <c r="BN1305" s="57" t="n">
        <v>68</v>
      </c>
      <c r="BO1305" s="55"/>
      <c r="BP1305" s="60" t="n">
        <v>0</v>
      </c>
      <c r="BQ1305" s="60" t="n">
        <v>1305</v>
      </c>
      <c r="BR1305" s="55" t="str">
        <f aca="false">IF(U1305&lt;&gt;"",UPPER(TRIM(U1305)),IF(BU1305=1,UPPER(VLOOKUP(T1305,Parameter!$I$27:$K$29,2,0)),IF(P1305="","LOSE",P1305)))</f>
        <v>S51</v>
      </c>
      <c r="BS1305" s="57" t="n">
        <f aca="false">IF(BR1305="LOSE",1,IF(N(V1305)&gt;0,V1305,IF(BU1305=1,MAX(1,N(VLOOKUP(T1305,Parameter!$I$27:$K$29,3,0)),H1305,N(N1305)),IF(N(Q1305)&gt;0,Q1305,MAX(1,H1305)))))</f>
        <v>56</v>
      </c>
      <c r="BT1305" s="60" t="n">
        <f aca="false">IF(BR1305="LOSE",1,0)</f>
        <v>0</v>
      </c>
      <c r="BU1305" s="60" t="n">
        <f aca="false">IF(AND(U1305="",OR(P1305="",P1305="LOSE"),T1305&lt;&gt;"",N(S1305)&lt;=0,ISNUMBER(MATCH(T1305,Parameter!$I$27:$I$29,0))),1,0)</f>
        <v>0</v>
      </c>
      <c r="BV1305" s="55" t="str">
        <f aca="false">IF(AND(Parameter!$B$19="Ja",E1305&lt;&gt;"",ISNUMBER(MATCH(E1305,Parameter!$I$35:$I$52,0))),VLOOKUP(E1305,Parameter!$I$35:$J$52,2,0),IFERROR(VLOOKUP(D1305,Parameter!$A$35:$C$64,2,0),"Nein"))</f>
        <v>2+3</v>
      </c>
      <c r="BW1305" s="59" t="n">
        <f aca="false">IF(BT1305=0,0,IF(N(S1305)&gt;0,S1305,IFERROR(VLOOKUP(D1305,Parameter!$A$35:$C$64,3,0)+0,0)))</f>
        <v>0</v>
      </c>
      <c r="BX1305" s="55" t="n">
        <f aca="false">IF(AA1305&lt;&gt;"",AA1305,Z1305)</f>
        <v>3</v>
      </c>
      <c r="BY1305" s="55" t="str">
        <f aca="false">IF(BX1305=1,"L1",IF(OR(BX1305=2,BX1305=3),"L23",IF(BX1305="Aussen","Aussen","-")))</f>
        <v>L23</v>
      </c>
      <c r="BZ1305" s="66" t="n">
        <f aca="false">IF(N(AB1305)&gt;0,AB1305,0)</f>
        <v>0</v>
      </c>
      <c r="CA1305" s="60" t="n">
        <f aca="false">IF(ISNUMBER(AE1305),1,0)</f>
        <v>0</v>
      </c>
      <c r="CB1305" s="57" t="n">
        <f aca="false">N(AE1305)</f>
        <v>0</v>
      </c>
      <c r="CC1305" s="57" t="n">
        <f aca="false">N(M1305)+N(N1305)</f>
        <v>39</v>
      </c>
      <c r="CD1305" s="57" t="n">
        <f aca="false">ROUNDUP(H1305/BS1305,0)</f>
        <v>1</v>
      </c>
      <c r="CE1305" s="57" t="n">
        <f aca="false">ROUNDUP(CB1305/BS1305,0)</f>
        <v>0</v>
      </c>
      <c r="CF1305" s="60" t="n">
        <f aca="false">IF(BT1305=1,0,IFERROR(VLOOKUP(BR1305,'Gebinde-Kategorie'!$A$5:$M$45,5,0)+0,0))</f>
        <v>11</v>
      </c>
      <c r="CG1305" s="60" t="n">
        <f aca="false">IFERROR(IF(OR(BX1305=1,BX1305=2,BX1305=3),N(INDEX(Parameter!$I$5:$I$7,BX1305)),0),0)</f>
        <v>0</v>
      </c>
      <c r="CH1305" s="59" t="n">
        <f aca="false">IF(AND(Parameter!$B$21="Ja",ISNUMBER(W1305),N(X1305)&gt;0),IFERROR(N(INDEX(Parameter!$L$5:$L$7,W1305))*INDEX(Parameter!$E$5:$E$7,W1305)*X1305/SUMIFS($X$7:$X$1843,$W$7:$W$1843,W1305),0),0)</f>
        <v>0</v>
      </c>
    </row>
    <row r="1306" customFormat="false" ht="15" hidden="false" customHeight="false" outlineLevel="0" collapsed="false">
      <c r="A1306" s="55" t="s">
        <v>2320</v>
      </c>
      <c r="B1306" s="55" t="s">
        <v>405</v>
      </c>
      <c r="C1306" s="55" t="s">
        <v>164</v>
      </c>
      <c r="D1306" s="55" t="s">
        <v>173</v>
      </c>
      <c r="E1306" s="55" t="s">
        <v>185</v>
      </c>
      <c r="F1306" s="55" t="s">
        <v>218</v>
      </c>
      <c r="G1306" s="56" t="n">
        <v>0.6</v>
      </c>
      <c r="H1306" s="57" t="n">
        <f aca="false">MAX(0,IF(AND(Parameter!$B$21="Ja",ISNUMBER(Y1306)),Y1306,IF(Parameter!$B$20="Jahresanfang 2025 + Export",BL1306+BK1306,BK1306)))</f>
        <v>1207</v>
      </c>
      <c r="I1306" s="57" t="n">
        <f aca="false">H1306*G1306</f>
        <v>724.2</v>
      </c>
      <c r="J1306" s="57" t="n">
        <f aca="false">BN1306*Parameter!$B$18</f>
        <v>2375</v>
      </c>
      <c r="K1306" s="58" t="n">
        <v>2079</v>
      </c>
      <c r="L1306" s="59" t="n">
        <v>1.14237614237614</v>
      </c>
      <c r="M1306" s="57" t="n">
        <v>600</v>
      </c>
      <c r="N1306" s="57" t="n">
        <v>500</v>
      </c>
      <c r="O1306" s="60" t="n">
        <v>91</v>
      </c>
      <c r="P1306" s="55" t="s">
        <v>174</v>
      </c>
      <c r="Q1306" s="57" t="n">
        <v>750</v>
      </c>
      <c r="R1306" s="60" t="n">
        <f aca="false">IF(BT1306=1,0,IFERROR(VLOOKUP(BR1306,'Gebinde-Kategorie'!$A$5:$M$45,13,0)+0,0))</f>
        <v>6</v>
      </c>
      <c r="S1306" s="61"/>
      <c r="T1306" s="62"/>
      <c r="U1306" s="62"/>
      <c r="V1306" s="62"/>
      <c r="W1306" s="55"/>
      <c r="X1306" s="57"/>
      <c r="Y1306" s="57"/>
      <c r="Z1306" s="55" t="n">
        <f aca="false">IF(A1306="","",IF(AND(Parameter!$B$21="Ja",ISNUMBER(W1306)),W1306,IF(BV1306="2+3",IF(ISNUMBER(SEARCH("grosser Artikel",BO1306)),2,IFERROR(VLOOKUP(BR1306,Parameter!$F$35:$G$64,2,0),2)),IF(OR(BV1306="Nein",BV1306=""),"-",BV1306))))</f>
        <v>2</v>
      </c>
      <c r="AA1306" s="62"/>
      <c r="AB1306" s="63"/>
      <c r="AC1306" s="57" t="n">
        <f aca="false">AR1306</f>
        <v>1500</v>
      </c>
      <c r="AD1306" s="57" t="n">
        <f aca="false">MAX(AR1306,H1306)</f>
        <v>1500</v>
      </c>
      <c r="AE1306" s="64"/>
      <c r="AF1306" s="57" t="n">
        <f aca="false">IF(LEFT(Cockpit!$C$5,1)="A",H1306,IF(CA1306=1,CB1306,IF(LEFT(Cockpit!$C$5,1)="B",AJ1306,MAX(AJ1306,H1306))))</f>
        <v>1207</v>
      </c>
      <c r="AG1306" s="57" t="n">
        <f aca="false">IF(BT1306=1,0,ROUNDUP(AF1306/BS1306,0))</f>
        <v>2</v>
      </c>
      <c r="AH1306" s="59" t="n">
        <f aca="false">IF(CH1306&gt;0,CH1306*MAX(1,AF1306/X1306),IF(BT1306=1,IF(AF1306&lt;=0,0,BW1306*MAX(1,IF(H1306&gt;0,AF1306/H1306,1))),IF(R1306&gt;0,AG1306/R1306,0))/MAX(0.1,N(Parameter!$M$21)))</f>
        <v>0.333333333333333</v>
      </c>
      <c r="AI1306" s="57" t="n">
        <f aca="false">AF1306*G1306</f>
        <v>724.2</v>
      </c>
      <c r="AJ1306" s="57" t="n">
        <f aca="false">ROUNDUP(MAX(J1306/IF(BZ1306&gt;0,BZ1306,MAX(0.1,N(Cockpit!$C$6))),CC1306)/BS1306,0)*BS1306</f>
        <v>1500</v>
      </c>
      <c r="AK1306" s="58" t="n">
        <f aca="false">IF(AH1306&gt;0,J1306/AH1306,-1)</f>
        <v>7125</v>
      </c>
      <c r="AL1306" s="58" t="n">
        <f aca="false">IF(AND(OR(BY1306="L1",BY1306="L23"),AH1306&gt;0),SUMIFS($AH$7:$AH$1843,$BY$7:$BY$1843,BY1306,$AK$7:$AK$1843,"&gt;"&amp;AK1306)+SUMIFS($AH$7:$AH$1843,$BY$7:$BY$1843,BY1306,$AK$7:$AK$1843,AK1306,$BQ$7:$BQ$1843,"&lt;="&amp;BQ1306),"")</f>
        <v>6.27196716327151</v>
      </c>
      <c r="AM1306" s="65" t="n">
        <f aca="false">IF(AL1306="",0,MAX(0,MIN(1,(IF(BY1306="L1",Parameter!$E$5,Parameter!$E$6+Parameter!$E$7)-(AL1306-AH1306))/AH1306)))</f>
        <v>1</v>
      </c>
      <c r="AN1306" s="57" t="n">
        <f aca="false">IF(LEFT(Cockpit!$I$5,1)="A",H1306,IF(CA1306=1,CB1306,IF(LEFT(Cockpit!$I$5,1)="B",AR1306,MAX(AR1306,H1306))))</f>
        <v>1500</v>
      </c>
      <c r="AO1306" s="57" t="n">
        <f aca="false">IF(BT1306=1,0,ROUNDUP(AN1306/BS1306,0))</f>
        <v>2</v>
      </c>
      <c r="AP1306" s="59" t="n">
        <f aca="false">IF(CH1306&gt;0,CH1306*MAX(1,AN1306/X1306),IF(BT1306=1,IF(AN1306&lt;=0,0,BW1306*MAX(1,IF(H1306&gt;0,AN1306/H1306,1))),IF(R1306&gt;0,AO1306/R1306,0))/MAX(0.1,N(Parameter!$M$21)))</f>
        <v>0.333333333333333</v>
      </c>
      <c r="AQ1306" s="57" t="n">
        <f aca="false">AN1306*G1306</f>
        <v>900</v>
      </c>
      <c r="AR1306" s="57" t="n">
        <f aca="false">ROUNDUP(MAX(J1306/IF(BZ1306&gt;0,BZ1306,MAX(0.1,N(Cockpit!$I$6))),CC1306)/BS1306,0)*BS1306</f>
        <v>1500</v>
      </c>
      <c r="AS1306" s="58" t="n">
        <f aca="false">IF(AP1306&gt;0,J1306/AP1306,-1)</f>
        <v>7125</v>
      </c>
      <c r="AT1306" s="58" t="n">
        <f aca="false">IF(AND(OR(BY1306="L1",BY1306="L23"),AP1306&gt;0),SUMIFS($AP$7:$AP$1843,$BY$7:$BY$1843,BY1306,$AS$7:$AS$1843,"&gt;"&amp;AS1306)+SUMIFS($AP$7:$AP$1843,$BY$7:$BY$1843,BY1306,$AS$7:$AS$1843,AS1306,$BQ$7:$BQ$1843,"&lt;="&amp;BQ1306),"")</f>
        <v>9.7618239248674</v>
      </c>
      <c r="AU1306" s="65" t="n">
        <f aca="false">IF(AT1306="",0,MAX(0,MIN(1,(IF(BY1306="L1",Parameter!$E$5,Parameter!$E$6+Parameter!$E$7)-(AT1306-AP1306))/AP1306)))</f>
        <v>1</v>
      </c>
      <c r="AV1306" s="57" t="n">
        <f aca="false">IF(LEFT(Cockpit!$O$5,1)="A",H1306,IF(CA1306=1,CB1306,IF(LEFT(Cockpit!$O$5,1)="B",AZ1306,MAX(AZ1306,H1306))))</f>
        <v>1500</v>
      </c>
      <c r="AW1306" s="57" t="n">
        <f aca="false">IF(BT1306=1,0,ROUNDUP(AV1306/BS1306,0))</f>
        <v>2</v>
      </c>
      <c r="AX1306" s="59" t="n">
        <f aca="false">IF(CH1306&gt;0,CH1306*MAX(1,AV1306/X1306),IF(BT1306=1,IF(AV1306&lt;=0,0,BW1306*MAX(1,IF(H1306&gt;0,AV1306/H1306,1))),IF(R1306&gt;0,AW1306/R1306,0))/MAX(0.1,N(Parameter!$M$21)))</f>
        <v>0.333333333333333</v>
      </c>
      <c r="AY1306" s="57" t="n">
        <f aca="false">AV1306*G1306</f>
        <v>900</v>
      </c>
      <c r="AZ1306" s="57" t="n">
        <f aca="false">ROUNDUP(MAX(J1306/IF(BZ1306&gt;0,BZ1306,MAX(0.1,N(Cockpit!$O$6))),CC1306)/BS1306,0)*BS1306</f>
        <v>1500</v>
      </c>
      <c r="BA1306" s="58" t="n">
        <f aca="false">IF(AX1306&gt;0,J1306/AX1306,-1)</f>
        <v>7125</v>
      </c>
      <c r="BB1306" s="58" t="n">
        <f aca="false">IF(AND(OR(BY1306="L1",BY1306="L23"),AX1306&gt;0),SUMIFS($AX$7:$AX$1843,$BY$7:$BY$1843,BY1306,$BA$7:$BA$1843,"&gt;"&amp;BA1306)+SUMIFS($AX$7:$AX$1843,$BY$7:$BY$1843,BY1306,$BA$7:$BA$1843,BA1306,$BQ$7:$BQ$1843,"&lt;="&amp;BQ1306),"")</f>
        <v>9.16217357521705</v>
      </c>
      <c r="BC1306" s="65" t="n">
        <f aca="false">IF(BB1306="",0,MAX(0,MIN(1,(IF(BY1306="L1",Parameter!$E$5,Parameter!$E$6+Parameter!$E$7)-(BB1306-AX1306))/AX1306)))</f>
        <v>1</v>
      </c>
      <c r="BD1306" s="55" t="str">
        <f aca="false">IF(AH1306&lt;=0,"",IF(BY1306="Aussen","Aussenlager",IF(BY1306="-","Nicht im Lift",IF(AM1306&gt;=1,"Lift",IF(AM1306&lt;=0,"Aussenlager","teilweise")))))</f>
        <v>Lift</v>
      </c>
      <c r="BE1306" s="55" t="str">
        <f aca="false">IF(AP1306&lt;=0,"",IF(BY1306="Aussen","Aussenlager",IF(BY1306="-","Nicht im Lift",IF(AU1306&gt;=1,"Lift",IF(AU1306&lt;=0,"Aussenlager","teilweise")))))</f>
        <v>Lift</v>
      </c>
      <c r="BF1306" s="55" t="str">
        <f aca="false">IF(AX1306&lt;=0,"",IF(BY1306="Aussen","Aussenlager",IF(BY1306="-","Nicht im Lift",IF(BC1306&gt;=1,"Lift",IF(BC1306&lt;=0,"Aussenlager","teilweise")))))</f>
        <v>Lift</v>
      </c>
      <c r="BG1306" s="55" t="str">
        <f aca="false">IF(A1306="","",IF(BP1306=1,"Neu; ","")&amp;IF(AND(BP1306=0,BK1306&lt;0),"negativer Bestand (Export "&amp;BK1306&amp;"); ","")&amp;IF(J1306&lt;=0,"Kein Verbrauch; ","")&amp;IF(CH1306&gt;0,"Lift "&amp;W1306&amp;" lt. Liftbericht (Fach "&amp;X1306&amp;" Stk); ",IF(BU1306=1,"Gebinde geschätzt ("&amp;T1306&amp;"); ",IF(BT1306=1,"Lose – Tablare geschätzt; ","")))&amp;IF(H1306&gt;AR1306,"Überbestand "&amp;ROUND(H1306-AR1306,0)&amp;" Stk / CHF "&amp;ROUND((H1306-AR1306)*G1306,0)&amp;"; ","")&amp;IF(AND(CA1306=1,CB1306&lt;CC1306),"MAX &lt; MB+LG; ","")&amp;IF(AND(CG1306&gt;0,CF1306*10&gt;CG1306),"zu hoch für Tablar; ","")&amp;IF(AND(BP1306=0,OR(CA1306=1,AA1306&lt;&gt;"",U1306&lt;&gt;"",V1306&lt;&gt;"",AB1306&lt;&gt;"")),"manuell übersteuert; ","")&amp;IF(AND(BT1306=0,R1306=0),"Gebinde unbekannt / Stellmass fehlt; ","")&amp;IF(AND(BT1306=0,N(V1306)&lt;=0,N(Q1306)&lt;=0),"Menge pro Gebinde fehlt (Ist = 1 Gebinde); ","")&amp;BO1306)</f>
        <v>negativer Bestand (Export -1973); grosse  Artikelmenge</v>
      </c>
      <c r="BH1306" s="55"/>
      <c r="BI1306" s="55"/>
      <c r="BJ1306" s="62"/>
      <c r="BK1306" s="57" t="n">
        <v>-1973</v>
      </c>
      <c r="BL1306" s="57" t="n">
        <v>3180</v>
      </c>
      <c r="BM1306" s="56" t="n">
        <v>-1221.58</v>
      </c>
      <c r="BN1306" s="57" t="n">
        <v>2375</v>
      </c>
      <c r="BO1306" s="55" t="s">
        <v>1607</v>
      </c>
      <c r="BP1306" s="60" t="n">
        <v>0</v>
      </c>
      <c r="BQ1306" s="60" t="n">
        <v>1306</v>
      </c>
      <c r="BR1306" s="55" t="str">
        <f aca="false">IF(U1306&lt;&gt;"",UPPER(TRIM(U1306)),IF(BU1306=1,UPPER(VLOOKUP(T1306,Parameter!$I$27:$K$29,2,0)),IF(P1306="","LOSE",P1306)))</f>
        <v>S71</v>
      </c>
      <c r="BS1306" s="57" t="n">
        <f aca="false">IF(BR1306="LOSE",1,IF(N(V1306)&gt;0,V1306,IF(BU1306=1,MAX(1,N(VLOOKUP(T1306,Parameter!$I$27:$K$29,3,0)),H1306,N(N1306)),IF(N(Q1306)&gt;0,Q1306,MAX(1,H1306)))))</f>
        <v>750</v>
      </c>
      <c r="BT1306" s="60" t="n">
        <f aca="false">IF(BR1306="LOSE",1,0)</f>
        <v>0</v>
      </c>
      <c r="BU1306" s="60" t="n">
        <f aca="false">IF(AND(U1306="",OR(P1306="",P1306="LOSE"),T1306&lt;&gt;"",N(S1306)&lt;=0,ISNUMBER(MATCH(T1306,Parameter!$I$27:$I$29,0))),1,0)</f>
        <v>0</v>
      </c>
      <c r="BV1306" s="55" t="str">
        <f aca="false">IF(AND(Parameter!$B$19="Ja",E1306&lt;&gt;"",ISNUMBER(MATCH(E1306,Parameter!$I$35:$I$52,0))),VLOOKUP(E1306,Parameter!$I$35:$J$52,2,0),IFERROR(VLOOKUP(D1306,Parameter!$A$35:$C$64,2,0),"Nein"))</f>
        <v>2+3</v>
      </c>
      <c r="BW1306" s="59" t="n">
        <f aca="false">IF(BT1306=0,0,IF(N(S1306)&gt;0,S1306,IFERROR(VLOOKUP(D1306,Parameter!$A$35:$C$64,3,0)+0,0)))</f>
        <v>0</v>
      </c>
      <c r="BX1306" s="55" t="n">
        <f aca="false">IF(AA1306&lt;&gt;"",AA1306,Z1306)</f>
        <v>2</v>
      </c>
      <c r="BY1306" s="55" t="str">
        <f aca="false">IF(BX1306=1,"L1",IF(OR(BX1306=2,BX1306=3),"L23",IF(BX1306="Aussen","Aussen","-")))</f>
        <v>L23</v>
      </c>
      <c r="BZ1306" s="66" t="n">
        <f aca="false">IF(N(AB1306)&gt;0,AB1306,0)</f>
        <v>0</v>
      </c>
      <c r="CA1306" s="60" t="n">
        <f aca="false">IF(ISNUMBER(AE1306),1,0)</f>
        <v>0</v>
      </c>
      <c r="CB1306" s="57" t="n">
        <f aca="false">N(AE1306)</f>
        <v>0</v>
      </c>
      <c r="CC1306" s="57" t="n">
        <f aca="false">N(M1306)+N(N1306)</f>
        <v>1100</v>
      </c>
      <c r="CD1306" s="57" t="n">
        <f aca="false">ROUNDUP(H1306/BS1306,0)</f>
        <v>2</v>
      </c>
      <c r="CE1306" s="57" t="n">
        <f aca="false">ROUNDUP(CB1306/BS1306,0)</f>
        <v>0</v>
      </c>
      <c r="CF1306" s="60" t="n">
        <f aca="false">IF(BT1306=1,0,IFERROR(VLOOKUP(BR1306,'Gebinde-Kategorie'!$A$5:$M$45,5,0)+0,0))</f>
        <v>20</v>
      </c>
      <c r="CG1306" s="60" t="n">
        <f aca="false">IFERROR(IF(OR(BX1306=1,BX1306=2,BX1306=3),N(INDEX(Parameter!$I$5:$I$7,BX1306)),0),0)</f>
        <v>0</v>
      </c>
      <c r="CH1306" s="59" t="n">
        <f aca="false">IF(AND(Parameter!$B$21="Ja",ISNUMBER(W1306),N(X1306)&gt;0),IFERROR(N(INDEX(Parameter!$L$5:$L$7,W1306))*INDEX(Parameter!$E$5:$E$7,W1306)*X1306/SUMIFS($X$7:$X$1843,$W$7:$W$1843,W1306),0),0)</f>
        <v>0</v>
      </c>
    </row>
    <row r="1307" customFormat="false" ht="15" hidden="false" customHeight="false" outlineLevel="0" collapsed="false">
      <c r="A1307" s="55" t="s">
        <v>2321</v>
      </c>
      <c r="B1307" s="55" t="s">
        <v>2180</v>
      </c>
      <c r="C1307" s="55" t="s">
        <v>456</v>
      </c>
      <c r="D1307" s="55" t="s">
        <v>173</v>
      </c>
      <c r="E1307" s="55" t="s">
        <v>465</v>
      </c>
      <c r="F1307" s="55" t="s">
        <v>218</v>
      </c>
      <c r="G1307" s="56" t="n">
        <v>50.01</v>
      </c>
      <c r="H1307" s="57" t="n">
        <f aca="false">MAX(0,IF(AND(Parameter!$B$21="Ja",ISNUMBER(Y1307)),Y1307,IF(Parameter!$B$20="Jahresanfang 2025 + Export",BL1307+BK1307,BK1307)))</f>
        <v>0</v>
      </c>
      <c r="I1307" s="57" t="n">
        <f aca="false">H1307*G1307</f>
        <v>0</v>
      </c>
      <c r="J1307" s="57" t="n">
        <f aca="false">BN1307*Parameter!$B$18</f>
        <v>33</v>
      </c>
      <c r="K1307" s="58" t="n">
        <v>20.5</v>
      </c>
      <c r="L1307" s="59" t="n">
        <v>1.60975609756098</v>
      </c>
      <c r="M1307" s="57" t="n">
        <v>1</v>
      </c>
      <c r="N1307" s="57" t="n">
        <v>20</v>
      </c>
      <c r="O1307" s="60" t="n">
        <v>21</v>
      </c>
      <c r="P1307" s="55" t="s">
        <v>168</v>
      </c>
      <c r="Q1307" s="57"/>
      <c r="R1307" s="60" t="n">
        <f aca="false">IF(BT1307=1,0,IFERROR(VLOOKUP(BR1307,'Gebinde-Kategorie'!$A$5:$M$45,13,0)+0,0))</f>
        <v>3</v>
      </c>
      <c r="S1307" s="61"/>
      <c r="T1307" s="62" t="s">
        <v>189</v>
      </c>
      <c r="U1307" s="62"/>
      <c r="V1307" s="62"/>
      <c r="W1307" s="55"/>
      <c r="X1307" s="57"/>
      <c r="Y1307" s="57"/>
      <c r="Z1307" s="55" t="str">
        <f aca="false">IF(A1307="","",IF(AND(Parameter!$B$21="Ja",ISNUMBER(W1307)),W1307,IF(BV1307="2+3",IF(ISNUMBER(SEARCH("grosser Artikel",BO1307)),2,IFERROR(VLOOKUP(BR1307,Parameter!$F$35:$G$64,2,0),2)),IF(OR(BV1307="Nein",BV1307=""),"-",BV1307))))</f>
        <v>-</v>
      </c>
      <c r="AA1307" s="62"/>
      <c r="AB1307" s="63"/>
      <c r="AC1307" s="57" t="n">
        <f aca="false">AR1307</f>
        <v>40</v>
      </c>
      <c r="AD1307" s="57" t="n">
        <f aca="false">MAX(AR1307,H1307)</f>
        <v>40</v>
      </c>
      <c r="AE1307" s="64"/>
      <c r="AF1307" s="57" t="n">
        <f aca="false">IF(LEFT(Cockpit!$C$5,1)="A",H1307,IF(CA1307=1,CB1307,IF(LEFT(Cockpit!$C$5,1)="B",AJ1307,MAX(AJ1307,H1307))))</f>
        <v>0</v>
      </c>
      <c r="AG1307" s="57" t="n">
        <f aca="false">IF(BT1307=1,0,ROUNDUP(AF1307/BS1307,0))</f>
        <v>0</v>
      </c>
      <c r="AH1307" s="59" t="n">
        <f aca="false">IF(CH1307&gt;0,CH1307*MAX(1,AF1307/X1307),IF(BT1307=1,IF(AF1307&lt;=0,0,BW1307*MAX(1,IF(H1307&gt;0,AF1307/H1307,1))),IF(R1307&gt;0,AG1307/R1307,0))/MAX(0.1,N(Parameter!$M$21)))</f>
        <v>0</v>
      </c>
      <c r="AI1307" s="57" t="n">
        <f aca="false">AF1307*G1307</f>
        <v>0</v>
      </c>
      <c r="AJ1307" s="57" t="n">
        <f aca="false">ROUNDUP(MAX(J1307/IF(BZ1307&gt;0,BZ1307,MAX(0.1,N(Cockpit!$C$6))),CC1307)/BS1307,0)*BS1307</f>
        <v>40</v>
      </c>
      <c r="AK1307" s="58" t="n">
        <f aca="false">IF(AH1307&gt;0,J1307/AH1307,-1)</f>
        <v>-1</v>
      </c>
      <c r="AL1307" s="58" t="str">
        <f aca="false">IF(AND(OR(BY1307="L1",BY1307="L23"),AH1307&gt;0),SUMIFS($AH$7:$AH$1843,$BY$7:$BY$1843,BY1307,$AK$7:$AK$1843,"&gt;"&amp;AK1307)+SUMIFS($AH$7:$AH$1843,$BY$7:$BY$1843,BY1307,$AK$7:$AK$1843,AK1307,$BQ$7:$BQ$1843,"&lt;="&amp;BQ1307),"")</f>
        <v/>
      </c>
      <c r="AM1307" s="65" t="n">
        <f aca="false">IF(AL1307="",0,MAX(0,MIN(1,(IF(BY1307="L1",Parameter!$E$5,Parameter!$E$6+Parameter!$E$7)-(AL1307-AH1307))/AH1307)))</f>
        <v>0</v>
      </c>
      <c r="AN1307" s="57" t="n">
        <f aca="false">IF(LEFT(Cockpit!$I$5,1)="A",H1307,IF(CA1307=1,CB1307,IF(LEFT(Cockpit!$I$5,1)="B",AR1307,MAX(AR1307,H1307))))</f>
        <v>40</v>
      </c>
      <c r="AO1307" s="57" t="n">
        <f aca="false">IF(BT1307=1,0,ROUNDUP(AN1307/BS1307,0))</f>
        <v>2</v>
      </c>
      <c r="AP1307" s="59" t="n">
        <f aca="false">IF(CH1307&gt;0,CH1307*MAX(1,AN1307/X1307),IF(BT1307=1,IF(AN1307&lt;=0,0,BW1307*MAX(1,IF(H1307&gt;0,AN1307/H1307,1))),IF(R1307&gt;0,AO1307/R1307,0))/MAX(0.1,N(Parameter!$M$21)))</f>
        <v>0.666666666666667</v>
      </c>
      <c r="AQ1307" s="57" t="n">
        <f aca="false">AN1307*G1307</f>
        <v>2000.4</v>
      </c>
      <c r="AR1307" s="57" t="n">
        <f aca="false">ROUNDUP(MAX(J1307/IF(BZ1307&gt;0,BZ1307,MAX(0.1,N(Cockpit!$I$6))),CC1307)/BS1307,0)*BS1307</f>
        <v>40</v>
      </c>
      <c r="AS1307" s="58" t="n">
        <f aca="false">IF(AP1307&gt;0,J1307/AP1307,-1)</f>
        <v>49.5</v>
      </c>
      <c r="AT1307" s="58" t="str">
        <f aca="false">IF(AND(OR(BY1307="L1",BY1307="L23"),AP1307&gt;0),SUMIFS($AP$7:$AP$1843,$BY$7:$BY$1843,BY1307,$AS$7:$AS$1843,"&gt;"&amp;AS1307)+SUMIFS($AP$7:$AP$1843,$BY$7:$BY$1843,BY1307,$AS$7:$AS$1843,AS1307,$BQ$7:$BQ$1843,"&lt;="&amp;BQ1307),"")</f>
        <v/>
      </c>
      <c r="AU1307" s="65" t="n">
        <f aca="false">IF(AT1307="",0,MAX(0,MIN(1,(IF(BY1307="L1",Parameter!$E$5,Parameter!$E$6+Parameter!$E$7)-(AT1307-AP1307))/AP1307)))</f>
        <v>0</v>
      </c>
      <c r="AV1307" s="57" t="n">
        <f aca="false">IF(LEFT(Cockpit!$O$5,1)="A",H1307,IF(CA1307=1,CB1307,IF(LEFT(Cockpit!$O$5,1)="B",AZ1307,MAX(AZ1307,H1307))))</f>
        <v>40</v>
      </c>
      <c r="AW1307" s="57" t="n">
        <f aca="false">IF(BT1307=1,0,ROUNDUP(AV1307/BS1307,0))</f>
        <v>2</v>
      </c>
      <c r="AX1307" s="59" t="n">
        <f aca="false">IF(CH1307&gt;0,CH1307*MAX(1,AV1307/X1307),IF(BT1307=1,IF(AV1307&lt;=0,0,BW1307*MAX(1,IF(H1307&gt;0,AV1307/H1307,1))),IF(R1307&gt;0,AW1307/R1307,0))/MAX(0.1,N(Parameter!$M$21)))</f>
        <v>0.666666666666667</v>
      </c>
      <c r="AY1307" s="57" t="n">
        <f aca="false">AV1307*G1307</f>
        <v>2000.4</v>
      </c>
      <c r="AZ1307" s="57" t="n">
        <f aca="false">ROUNDUP(MAX(J1307/IF(BZ1307&gt;0,BZ1307,MAX(0.1,N(Cockpit!$O$6))),CC1307)/BS1307,0)*BS1307</f>
        <v>40</v>
      </c>
      <c r="BA1307" s="58" t="n">
        <f aca="false">IF(AX1307&gt;0,J1307/AX1307,-1)</f>
        <v>49.5</v>
      </c>
      <c r="BB1307" s="58" t="str">
        <f aca="false">IF(AND(OR(BY1307="L1",BY1307="L23"),AX1307&gt;0),SUMIFS($AX$7:$AX$1843,$BY$7:$BY$1843,BY1307,$BA$7:$BA$1843,"&gt;"&amp;BA1307)+SUMIFS($AX$7:$AX$1843,$BY$7:$BY$1843,BY1307,$BA$7:$BA$1843,BA1307,$BQ$7:$BQ$1843,"&lt;="&amp;BQ1307),"")</f>
        <v/>
      </c>
      <c r="BC1307" s="65" t="n">
        <f aca="false">IF(BB1307="",0,MAX(0,MIN(1,(IF(BY1307="L1",Parameter!$E$5,Parameter!$E$6+Parameter!$E$7)-(BB1307-AX1307))/AX1307)))</f>
        <v>0</v>
      </c>
      <c r="BD1307" s="55" t="str">
        <f aca="false">IF(AH1307&lt;=0,"",IF(BY1307="Aussen","Aussenlager",IF(BY1307="-","Nicht im Lift",IF(AM1307&gt;=1,"Lift",IF(AM1307&lt;=0,"Aussenlager","teilweise")))))</f>
        <v/>
      </c>
      <c r="BE1307" s="55" t="str">
        <f aca="false">IF(AP1307&lt;=0,"",IF(BY1307="Aussen","Aussenlager",IF(BY1307="-","Nicht im Lift",IF(AU1307&gt;=1,"Lift",IF(AU1307&lt;=0,"Aussenlager","teilweise")))))</f>
        <v>Nicht im Lift</v>
      </c>
      <c r="BF1307" s="55" t="str">
        <f aca="false">IF(AX1307&lt;=0,"",IF(BY1307="Aussen","Aussenlager",IF(BY1307="-","Nicht im Lift",IF(BC1307&gt;=1,"Lift",IF(BC1307&lt;=0,"Aussenlager","teilweise")))))</f>
        <v>Nicht im Lift</v>
      </c>
      <c r="BG1307" s="55" t="str">
        <f aca="false">IF(A1307="","",IF(BP1307=1,"Neu; ","")&amp;IF(AND(BP1307=0,BK1307&lt;0),"negativer Bestand (Export "&amp;BK1307&amp;"); ","")&amp;IF(J1307&lt;=0,"Kein Verbrauch; ","")&amp;IF(CH1307&gt;0,"Lift "&amp;W1307&amp;" lt. Liftbericht (Fach "&amp;X1307&amp;" Stk); ",IF(BU1307=1,"Gebinde geschätzt ("&amp;T1307&amp;"); ",IF(BT1307=1,"Lose – Tablare geschätzt; ","")))&amp;IF(H1307&gt;AR1307,"Überbestand "&amp;ROUND(H1307-AR1307,0)&amp;" Stk / CHF "&amp;ROUND((H1307-AR1307)*G1307,0)&amp;"; ","")&amp;IF(AND(CA1307=1,CB1307&lt;CC1307),"MAX &lt; MB+LG; ","")&amp;IF(AND(CG1307&gt;0,CF1307*10&gt;CG1307),"zu hoch für Tablar; ","")&amp;IF(AND(BP1307=0,OR(CA1307=1,AA1307&lt;&gt;"",U1307&lt;&gt;"",V1307&lt;&gt;"",AB1307&lt;&gt;"")),"manuell übersteuert; ","")&amp;IF(AND(BT1307=0,R1307=0),"Gebinde unbekannt / Stellmass fehlt; ","")&amp;IF(AND(BT1307=0,N(V1307)&lt;=0,N(Q1307)&lt;=0),"Menge pro Gebinde fehlt (Ist = 1 Gebinde); ","")&amp;BO1307)</f>
        <v>negativer Bestand (Export -25); Gebinde geschätzt (Gross); Menge pro Gebinde fehlt (Ist = 1 Gebinde); </v>
      </c>
      <c r="BH1307" s="55"/>
      <c r="BI1307" s="55"/>
      <c r="BJ1307" s="62"/>
      <c r="BK1307" s="57" t="n">
        <v>-25</v>
      </c>
      <c r="BL1307" s="57" t="n">
        <v>25</v>
      </c>
      <c r="BM1307" s="56" t="n">
        <v>-1239.5</v>
      </c>
      <c r="BN1307" s="57" t="n">
        <v>33</v>
      </c>
      <c r="BO1307" s="55"/>
      <c r="BP1307" s="60" t="n">
        <v>0</v>
      </c>
      <c r="BQ1307" s="60" t="n">
        <v>1307</v>
      </c>
      <c r="BR1307" s="55" t="str">
        <f aca="false">IF(U1307&lt;&gt;"",UPPER(TRIM(U1307)),IF(BU1307=1,UPPER(VLOOKUP(T1307,Parameter!$I$27:$K$29,2,0)),IF(P1307="","LOSE",P1307)))</f>
        <v>S81</v>
      </c>
      <c r="BS1307" s="57" t="n">
        <f aca="false">IF(BR1307="LOSE",1,IF(N(V1307)&gt;0,V1307,IF(BU1307=1,MAX(1,N(VLOOKUP(T1307,Parameter!$I$27:$K$29,3,0)),H1307,N(N1307)),IF(N(Q1307)&gt;0,Q1307,MAX(1,H1307)))))</f>
        <v>20</v>
      </c>
      <c r="BT1307" s="60" t="n">
        <f aca="false">IF(BR1307="LOSE",1,0)</f>
        <v>0</v>
      </c>
      <c r="BU1307" s="60" t="n">
        <f aca="false">IF(AND(U1307="",OR(P1307="",P1307="LOSE"),T1307&lt;&gt;"",N(S1307)&lt;=0,ISNUMBER(MATCH(T1307,Parameter!$I$27:$I$29,0))),1,0)</f>
        <v>1</v>
      </c>
      <c r="BV1307" s="55" t="str">
        <f aca="false">IF(AND(Parameter!$B$19="Ja",E1307&lt;&gt;"",ISNUMBER(MATCH(E1307,Parameter!$I$35:$I$52,0))),VLOOKUP(E1307,Parameter!$I$35:$J$52,2,0),IFERROR(VLOOKUP(D1307,Parameter!$A$35:$C$64,2,0),"Nein"))</f>
        <v>Nein</v>
      </c>
      <c r="BW1307" s="59" t="n">
        <f aca="false">IF(BT1307=0,0,IF(N(S1307)&gt;0,S1307,IFERROR(VLOOKUP(D1307,Parameter!$A$35:$C$64,3,0)+0,0)))</f>
        <v>0</v>
      </c>
      <c r="BX1307" s="55" t="str">
        <f aca="false">IF(AA1307&lt;&gt;"",AA1307,Z1307)</f>
        <v>-</v>
      </c>
      <c r="BY1307" s="55" t="str">
        <f aca="false">IF(BX1307=1,"L1",IF(OR(BX1307=2,BX1307=3),"L23",IF(BX1307="Aussen","Aussen","-")))</f>
        <v>-</v>
      </c>
      <c r="BZ1307" s="66" t="n">
        <f aca="false">IF(N(AB1307)&gt;0,AB1307,0)</f>
        <v>0</v>
      </c>
      <c r="CA1307" s="60" t="n">
        <f aca="false">IF(ISNUMBER(AE1307),1,0)</f>
        <v>0</v>
      </c>
      <c r="CB1307" s="57" t="n">
        <f aca="false">N(AE1307)</f>
        <v>0</v>
      </c>
      <c r="CC1307" s="57" t="n">
        <f aca="false">N(M1307)+N(N1307)</f>
        <v>21</v>
      </c>
      <c r="CD1307" s="57" t="n">
        <f aca="false">ROUNDUP(H1307/BS1307,0)</f>
        <v>0</v>
      </c>
      <c r="CE1307" s="57" t="n">
        <f aca="false">ROUNDUP(CB1307/BS1307,0)</f>
        <v>0</v>
      </c>
      <c r="CF1307" s="60" t="n">
        <f aca="false">IF(BT1307=1,0,IFERROR(VLOOKUP(BR1307,'Gebinde-Kategorie'!$A$5:$M$45,5,0)+0,0))</f>
        <v>20</v>
      </c>
      <c r="CG1307" s="60" t="n">
        <f aca="false">IFERROR(IF(OR(BX1307=1,BX1307=2,BX1307=3),N(INDEX(Parameter!$I$5:$I$7,BX1307)),0),0)</f>
        <v>0</v>
      </c>
      <c r="CH1307" s="59" t="n">
        <f aca="false">IF(AND(Parameter!$B$21="Ja",ISNUMBER(W1307),N(X1307)&gt;0),IFERROR(N(INDEX(Parameter!$L$5:$L$7,W1307))*INDEX(Parameter!$E$5:$E$7,W1307)*X1307/SUMIFS($X$7:$X$1843,$W$7:$W$1843,W1307),0),0)</f>
        <v>0</v>
      </c>
    </row>
    <row r="1308" customFormat="false" ht="15" hidden="false" customHeight="false" outlineLevel="0" collapsed="false">
      <c r="A1308" s="55" t="s">
        <v>2322</v>
      </c>
      <c r="B1308" s="55" t="s">
        <v>2323</v>
      </c>
      <c r="C1308" s="55" t="s">
        <v>164</v>
      </c>
      <c r="D1308" s="55" t="s">
        <v>184</v>
      </c>
      <c r="E1308" s="55" t="s">
        <v>185</v>
      </c>
      <c r="F1308" s="55" t="s">
        <v>218</v>
      </c>
      <c r="G1308" s="56" t="n">
        <v>28.8</v>
      </c>
      <c r="H1308" s="57" t="n">
        <f aca="false">MAX(0,IF(AND(Parameter!$B$21="Ja",ISNUMBER(Y1308)),Y1308,IF(Parameter!$B$20="Jahresanfang 2025 + Export",BL1308+BK1308,BK1308)))</f>
        <v>79</v>
      </c>
      <c r="I1308" s="57" t="n">
        <f aca="false">H1308*G1308</f>
        <v>2275.2</v>
      </c>
      <c r="J1308" s="57" t="n">
        <f aca="false">BN1308*Parameter!$B$18</f>
        <v>180</v>
      </c>
      <c r="K1308" s="58" t="n">
        <v>93</v>
      </c>
      <c r="L1308" s="59" t="n">
        <v>1.93548387096774</v>
      </c>
      <c r="M1308" s="57" t="n">
        <v>4</v>
      </c>
      <c r="N1308" s="57" t="n">
        <v>130</v>
      </c>
      <c r="O1308" s="60" t="n">
        <v>7</v>
      </c>
      <c r="P1308" s="55" t="s">
        <v>233</v>
      </c>
      <c r="Q1308" s="57" t="n">
        <v>87</v>
      </c>
      <c r="R1308" s="60" t="n">
        <f aca="false">IF(BT1308=1,0,IFERROR(VLOOKUP(BR1308,'Gebinde-Kategorie'!$A$5:$M$45,13,0)+0,0))</f>
        <v>26</v>
      </c>
      <c r="S1308" s="61"/>
      <c r="T1308" s="62"/>
      <c r="U1308" s="62"/>
      <c r="V1308" s="62"/>
      <c r="W1308" s="55"/>
      <c r="X1308" s="57"/>
      <c r="Y1308" s="57"/>
      <c r="Z1308" s="55" t="n">
        <f aca="false">IF(A1308="","",IF(AND(Parameter!$B$21="Ja",ISNUMBER(W1308)),W1308,IF(BV1308="2+3",IF(ISNUMBER(SEARCH("grosser Artikel",BO1308)),2,IFERROR(VLOOKUP(BR1308,Parameter!$F$35:$G$64,2,0),2)),IF(OR(BV1308="Nein",BV1308=""),"-",BV1308))))</f>
        <v>3</v>
      </c>
      <c r="AA1308" s="62"/>
      <c r="AB1308" s="63"/>
      <c r="AC1308" s="57" t="n">
        <f aca="false">AR1308</f>
        <v>174</v>
      </c>
      <c r="AD1308" s="57" t="n">
        <f aca="false">MAX(AR1308,H1308)</f>
        <v>174</v>
      </c>
      <c r="AE1308" s="64"/>
      <c r="AF1308" s="57" t="n">
        <f aca="false">IF(LEFT(Cockpit!$C$5,1)="A",H1308,IF(CA1308=1,CB1308,IF(LEFT(Cockpit!$C$5,1)="B",AJ1308,MAX(AJ1308,H1308))))</f>
        <v>79</v>
      </c>
      <c r="AG1308" s="57" t="n">
        <f aca="false">IF(BT1308=1,0,ROUNDUP(AF1308/BS1308,0))</f>
        <v>1</v>
      </c>
      <c r="AH1308" s="59" t="n">
        <f aca="false">IF(CH1308&gt;0,CH1308*MAX(1,AF1308/X1308),IF(BT1308=1,IF(AF1308&lt;=0,0,BW1308*MAX(1,IF(H1308&gt;0,AF1308/H1308,1))),IF(R1308&gt;0,AG1308/R1308,0))/MAX(0.1,N(Parameter!$M$21)))</f>
        <v>0.0384615384615385</v>
      </c>
      <c r="AI1308" s="57" t="n">
        <f aca="false">AF1308*G1308</f>
        <v>2275.2</v>
      </c>
      <c r="AJ1308" s="57" t="n">
        <f aca="false">ROUNDUP(MAX(J1308/IF(BZ1308&gt;0,BZ1308,MAX(0.1,N(Cockpit!$C$6))),CC1308)/BS1308,0)*BS1308</f>
        <v>174</v>
      </c>
      <c r="AK1308" s="58" t="n">
        <f aca="false">IF(AH1308&gt;0,J1308/AH1308,-1)</f>
        <v>4680</v>
      </c>
      <c r="AL1308" s="58" t="n">
        <f aca="false">IF(AND(OR(BY1308="L1",BY1308="L23"),AH1308&gt;0),SUMIFS($AH$7:$AH$1843,$BY$7:$BY$1843,BY1308,$AK$7:$AK$1843,"&gt;"&amp;AK1308)+SUMIFS($AH$7:$AH$1843,$BY$7:$BY$1843,BY1308,$AK$7:$AK$1843,AK1308,$BQ$7:$BQ$1843,"&lt;="&amp;BQ1308),"")</f>
        <v>8.01367352454309</v>
      </c>
      <c r="AM1308" s="65" t="n">
        <f aca="false">IF(AL1308="",0,MAX(0,MIN(1,(IF(BY1308="L1",Parameter!$E$5,Parameter!$E$6+Parameter!$E$7)-(AL1308-AH1308))/AH1308)))</f>
        <v>1</v>
      </c>
      <c r="AN1308" s="57" t="n">
        <f aca="false">IF(LEFT(Cockpit!$I$5,1)="A",H1308,IF(CA1308=1,CB1308,IF(LEFT(Cockpit!$I$5,1)="B",AR1308,MAX(AR1308,H1308))))</f>
        <v>174</v>
      </c>
      <c r="AO1308" s="57" t="n">
        <f aca="false">IF(BT1308=1,0,ROUNDUP(AN1308/BS1308,0))</f>
        <v>2</v>
      </c>
      <c r="AP1308" s="59" t="n">
        <f aca="false">IF(CH1308&gt;0,CH1308*MAX(1,AN1308/X1308),IF(BT1308=1,IF(AN1308&lt;=0,0,BW1308*MAX(1,IF(H1308&gt;0,AN1308/H1308,1))),IF(R1308&gt;0,AO1308/R1308,0))/MAX(0.1,N(Parameter!$M$21)))</f>
        <v>0.0769230769230769</v>
      </c>
      <c r="AQ1308" s="57" t="n">
        <f aca="false">AN1308*G1308</f>
        <v>5011.2</v>
      </c>
      <c r="AR1308" s="57" t="n">
        <f aca="false">ROUNDUP(MAX(J1308/IF(BZ1308&gt;0,BZ1308,MAX(0.1,N(Cockpit!$I$6))),CC1308)/BS1308,0)*BS1308</f>
        <v>174</v>
      </c>
      <c r="AS1308" s="58" t="n">
        <f aca="false">IF(AP1308&gt;0,J1308/AP1308,-1)</f>
        <v>2340</v>
      </c>
      <c r="AT1308" s="58" t="n">
        <f aca="false">IF(AND(OR(BY1308="L1",BY1308="L23"),AP1308&gt;0),SUMIFS($AP$7:$AP$1843,$BY$7:$BY$1843,BY1308,$AS$7:$AS$1843,"&gt;"&amp;AS1308)+SUMIFS($AP$7:$AP$1843,$BY$7:$BY$1843,BY1308,$AS$7:$AS$1843,AS1308,$BQ$7:$BQ$1843,"&lt;="&amp;BQ1308),"")</f>
        <v>17.923896152157</v>
      </c>
      <c r="AU1308" s="65" t="n">
        <f aca="false">IF(AT1308="",0,MAX(0,MIN(1,(IF(BY1308="L1",Parameter!$E$5,Parameter!$E$6+Parameter!$E$7)-(AT1308-AP1308))/AP1308)))</f>
        <v>1</v>
      </c>
      <c r="AV1308" s="57" t="n">
        <f aca="false">IF(LEFT(Cockpit!$O$5,1)="A",H1308,IF(CA1308=1,CB1308,IF(LEFT(Cockpit!$O$5,1)="B",AZ1308,MAX(AZ1308,H1308))))</f>
        <v>174</v>
      </c>
      <c r="AW1308" s="57" t="n">
        <f aca="false">IF(BT1308=1,0,ROUNDUP(AV1308/BS1308,0))</f>
        <v>2</v>
      </c>
      <c r="AX1308" s="59" t="n">
        <f aca="false">IF(CH1308&gt;0,CH1308*MAX(1,AV1308/X1308),IF(BT1308=1,IF(AV1308&lt;=0,0,BW1308*MAX(1,IF(H1308&gt;0,AV1308/H1308,1))),IF(R1308&gt;0,AW1308/R1308,0))/MAX(0.1,N(Parameter!$M$21)))</f>
        <v>0.0769230769230769</v>
      </c>
      <c r="AY1308" s="57" t="n">
        <f aca="false">AV1308*G1308</f>
        <v>5011.2</v>
      </c>
      <c r="AZ1308" s="57" t="n">
        <f aca="false">ROUNDUP(MAX(J1308/IF(BZ1308&gt;0,BZ1308,MAX(0.1,N(Cockpit!$O$6))),CC1308)/BS1308,0)*BS1308</f>
        <v>174</v>
      </c>
      <c r="BA1308" s="58" t="n">
        <f aca="false">IF(AX1308&gt;0,J1308/AX1308,-1)</f>
        <v>2340</v>
      </c>
      <c r="BB1308" s="58" t="n">
        <f aca="false">IF(AND(OR(BY1308="L1",BY1308="L23"),AX1308&gt;0),SUMIFS($AX$7:$AX$1843,$BY$7:$BY$1843,BY1308,$BA$7:$BA$1843,"&gt;"&amp;BA1308)+SUMIFS($AX$7:$AX$1843,$BY$7:$BY$1843,BY1308,$BA$7:$BA$1843,BA1308,$BQ$7:$BQ$1843,"&lt;="&amp;BQ1308),"")</f>
        <v>16.4973227255836</v>
      </c>
      <c r="BC1308" s="65" t="n">
        <f aca="false">IF(BB1308="",0,MAX(0,MIN(1,(IF(BY1308="L1",Parameter!$E$5,Parameter!$E$6+Parameter!$E$7)-(BB1308-AX1308))/AX1308)))</f>
        <v>1</v>
      </c>
      <c r="BD1308" s="55" t="str">
        <f aca="false">IF(AH1308&lt;=0,"",IF(BY1308="Aussen","Aussenlager",IF(BY1308="-","Nicht im Lift",IF(AM1308&gt;=1,"Lift",IF(AM1308&lt;=0,"Aussenlager","teilweise")))))</f>
        <v>Lift</v>
      </c>
      <c r="BE1308" s="55" t="str">
        <f aca="false">IF(AP1308&lt;=0,"",IF(BY1308="Aussen","Aussenlager",IF(BY1308="-","Nicht im Lift",IF(AU1308&gt;=1,"Lift",IF(AU1308&lt;=0,"Aussenlager","teilweise")))))</f>
        <v>Lift</v>
      </c>
      <c r="BF1308" s="55" t="str">
        <f aca="false">IF(AX1308&lt;=0,"",IF(BY1308="Aussen","Aussenlager",IF(BY1308="-","Nicht im Lift",IF(BC1308&gt;=1,"Lift",IF(BC1308&lt;=0,"Aussenlager","teilweise")))))</f>
        <v>Lift</v>
      </c>
      <c r="BG1308" s="55" t="str">
        <f aca="false">IF(A1308="","",IF(BP1308=1,"Neu; ","")&amp;IF(AND(BP1308=0,BK1308&lt;0),"negativer Bestand (Export "&amp;BK1308&amp;"); ","")&amp;IF(J1308&lt;=0,"Kein Verbrauch; ","")&amp;IF(CH1308&gt;0,"Lift "&amp;W1308&amp;" lt. Liftbericht (Fach "&amp;X1308&amp;" Stk); ",IF(BU1308=1,"Gebinde geschätzt ("&amp;T1308&amp;"); ",IF(BT1308=1,"Lose – Tablare geschätzt; ","")))&amp;IF(H1308&gt;AR1308,"Überbestand "&amp;ROUND(H1308-AR1308,0)&amp;" Stk / CHF "&amp;ROUND((H1308-AR1308)*G1308,0)&amp;"; ","")&amp;IF(AND(CA1308=1,CB1308&lt;CC1308),"MAX &lt; MB+LG; ","")&amp;IF(AND(CG1308&gt;0,CF1308*10&gt;CG1308),"zu hoch für Tablar; ","")&amp;IF(AND(BP1308=0,OR(CA1308=1,AA1308&lt;&gt;"",U1308&lt;&gt;"",V1308&lt;&gt;"",AB1308&lt;&gt;"")),"manuell übersteuert; ","")&amp;IF(AND(BT1308=0,R1308=0),"Gebinde unbekannt / Stellmass fehlt; ","")&amp;IF(AND(BT1308=0,N(V1308)&lt;=0,N(Q1308)&lt;=0),"Menge pro Gebinde fehlt (Ist = 1 Gebinde); ","")&amp;BO1308)</f>
        <v>negativer Bestand (Export -44); </v>
      </c>
      <c r="BH1308" s="55"/>
      <c r="BI1308" s="55"/>
      <c r="BJ1308" s="62"/>
      <c r="BK1308" s="57" t="n">
        <v>-44</v>
      </c>
      <c r="BL1308" s="57" t="n">
        <v>123</v>
      </c>
      <c r="BM1308" s="56" t="n">
        <v>-1264.74</v>
      </c>
      <c r="BN1308" s="57" t="n">
        <v>180</v>
      </c>
      <c r="BO1308" s="55"/>
      <c r="BP1308" s="60" t="n">
        <v>0</v>
      </c>
      <c r="BQ1308" s="60" t="n">
        <v>1308</v>
      </c>
      <c r="BR1308" s="55" t="str">
        <f aca="false">IF(U1308&lt;&gt;"",UPPER(TRIM(U1308)),IF(BU1308=1,UPPER(VLOOKUP(T1308,Parameter!$I$27:$K$29,2,0)),IF(P1308="","LOSE",P1308)))</f>
        <v>S52</v>
      </c>
      <c r="BS1308" s="57" t="n">
        <f aca="false">IF(BR1308="LOSE",1,IF(N(V1308)&gt;0,V1308,IF(BU1308=1,MAX(1,N(VLOOKUP(T1308,Parameter!$I$27:$K$29,3,0)),H1308,N(N1308)),IF(N(Q1308)&gt;0,Q1308,MAX(1,H1308)))))</f>
        <v>87</v>
      </c>
      <c r="BT1308" s="60" t="n">
        <f aca="false">IF(BR1308="LOSE",1,0)</f>
        <v>0</v>
      </c>
      <c r="BU1308" s="60" t="n">
        <f aca="false">IF(AND(U1308="",OR(P1308="",P1308="LOSE"),T1308&lt;&gt;"",N(S1308)&lt;=0,ISNUMBER(MATCH(T1308,Parameter!$I$27:$I$29,0))),1,0)</f>
        <v>0</v>
      </c>
      <c r="BV1308" s="55" t="str">
        <f aca="false">IF(AND(Parameter!$B$19="Ja",E1308&lt;&gt;"",ISNUMBER(MATCH(E1308,Parameter!$I$35:$I$52,0))),VLOOKUP(E1308,Parameter!$I$35:$J$52,2,0),IFERROR(VLOOKUP(D1308,Parameter!$A$35:$C$64,2,0),"Nein"))</f>
        <v>2+3</v>
      </c>
      <c r="BW1308" s="59" t="n">
        <f aca="false">IF(BT1308=0,0,IF(N(S1308)&gt;0,S1308,IFERROR(VLOOKUP(D1308,Parameter!$A$35:$C$64,3,0)+0,0)))</f>
        <v>0</v>
      </c>
      <c r="BX1308" s="55" t="n">
        <f aca="false">IF(AA1308&lt;&gt;"",AA1308,Z1308)</f>
        <v>3</v>
      </c>
      <c r="BY1308" s="55" t="str">
        <f aca="false">IF(BX1308=1,"L1",IF(OR(BX1308=2,BX1308=3),"L23",IF(BX1308="Aussen","Aussen","-")))</f>
        <v>L23</v>
      </c>
      <c r="BZ1308" s="66" t="n">
        <f aca="false">IF(N(AB1308)&gt;0,AB1308,0)</f>
        <v>0</v>
      </c>
      <c r="CA1308" s="60" t="n">
        <f aca="false">IF(ISNUMBER(AE1308),1,0)</f>
        <v>0</v>
      </c>
      <c r="CB1308" s="57" t="n">
        <f aca="false">N(AE1308)</f>
        <v>0</v>
      </c>
      <c r="CC1308" s="57" t="n">
        <f aca="false">N(M1308)+N(N1308)</f>
        <v>134</v>
      </c>
      <c r="CD1308" s="57" t="n">
        <f aca="false">ROUNDUP(H1308/BS1308,0)</f>
        <v>1</v>
      </c>
      <c r="CE1308" s="57" t="n">
        <f aca="false">ROUNDUP(CB1308/BS1308,0)</f>
        <v>0</v>
      </c>
      <c r="CF1308" s="60" t="n">
        <f aca="false">IF(BT1308=1,0,IFERROR(VLOOKUP(BR1308,'Gebinde-Kategorie'!$A$5:$M$45,5,0)+0,0))</f>
        <v>21</v>
      </c>
      <c r="CG1308" s="60" t="n">
        <f aca="false">IFERROR(IF(OR(BX1308=1,BX1308=2,BX1308=3),N(INDEX(Parameter!$I$5:$I$7,BX1308)),0),0)</f>
        <v>0</v>
      </c>
      <c r="CH1308" s="59" t="n">
        <f aca="false">IF(AND(Parameter!$B$21="Ja",ISNUMBER(W1308),N(X1308)&gt;0),IFERROR(N(INDEX(Parameter!$L$5:$L$7,W1308))*INDEX(Parameter!$E$5:$E$7,W1308)*X1308/SUMIFS($X$7:$X$1843,$W$7:$W$1843,W1308),0),0)</f>
        <v>0</v>
      </c>
    </row>
    <row r="1309" customFormat="false" ht="15" hidden="false" customHeight="false" outlineLevel="0" collapsed="false">
      <c r="A1309" s="55" t="s">
        <v>2324</v>
      </c>
      <c r="B1309" s="55" t="s">
        <v>425</v>
      </c>
      <c r="C1309" s="55" t="s">
        <v>164</v>
      </c>
      <c r="D1309" s="55" t="s">
        <v>184</v>
      </c>
      <c r="E1309" s="55" t="s">
        <v>185</v>
      </c>
      <c r="F1309" s="55" t="s">
        <v>218</v>
      </c>
      <c r="G1309" s="56" t="n">
        <v>24.31</v>
      </c>
      <c r="H1309" s="57" t="n">
        <f aca="false">MAX(0,IF(AND(Parameter!$B$21="Ja",ISNUMBER(Y1309)),Y1309,IF(Parameter!$B$20="Jahresanfang 2025 + Export",BL1309+BK1309,BK1309)))</f>
        <v>37</v>
      </c>
      <c r="I1309" s="57" t="n">
        <f aca="false">H1309*G1309</f>
        <v>899.47</v>
      </c>
      <c r="J1309" s="57" t="n">
        <f aca="false">BN1309*Parameter!$B$18</f>
        <v>77</v>
      </c>
      <c r="K1309" s="58" t="n">
        <v>57.5</v>
      </c>
      <c r="L1309" s="59" t="n">
        <v>1.33913043478261</v>
      </c>
      <c r="M1309" s="57" t="n">
        <v>2</v>
      </c>
      <c r="N1309" s="57" t="n">
        <v>75</v>
      </c>
      <c r="O1309" s="60" t="n">
        <v>14</v>
      </c>
      <c r="P1309" s="55" t="s">
        <v>302</v>
      </c>
      <c r="Q1309" s="57" t="n">
        <v>164</v>
      </c>
      <c r="R1309" s="60" t="n">
        <f aca="false">IF(BT1309=1,0,IFERROR(VLOOKUP(BR1309,'Gebinde-Kategorie'!$A$5:$M$45,13,0)+0,0))</f>
        <v>26</v>
      </c>
      <c r="S1309" s="61"/>
      <c r="T1309" s="62"/>
      <c r="U1309" s="62"/>
      <c r="V1309" s="62"/>
      <c r="W1309" s="55"/>
      <c r="X1309" s="57"/>
      <c r="Y1309" s="57"/>
      <c r="Z1309" s="55" t="n">
        <f aca="false">IF(A1309="","",IF(AND(Parameter!$B$21="Ja",ISNUMBER(W1309)),W1309,IF(BV1309="2+3",IF(ISNUMBER(SEARCH("grosser Artikel",BO1309)),2,IFERROR(VLOOKUP(BR1309,Parameter!$F$35:$G$64,2,0),2)),IF(OR(BV1309="Nein",BV1309=""),"-",BV1309))))</f>
        <v>3</v>
      </c>
      <c r="AA1309" s="62"/>
      <c r="AB1309" s="63"/>
      <c r="AC1309" s="57" t="n">
        <f aca="false">AR1309</f>
        <v>164</v>
      </c>
      <c r="AD1309" s="57" t="n">
        <f aca="false">MAX(AR1309,H1309)</f>
        <v>164</v>
      </c>
      <c r="AE1309" s="64"/>
      <c r="AF1309" s="57" t="n">
        <f aca="false">IF(LEFT(Cockpit!$C$5,1)="A",H1309,IF(CA1309=1,CB1309,IF(LEFT(Cockpit!$C$5,1)="B",AJ1309,MAX(AJ1309,H1309))))</f>
        <v>37</v>
      </c>
      <c r="AG1309" s="57" t="n">
        <f aca="false">IF(BT1309=1,0,ROUNDUP(AF1309/BS1309,0))</f>
        <v>1</v>
      </c>
      <c r="AH1309" s="59" t="n">
        <f aca="false">IF(CH1309&gt;0,CH1309*MAX(1,AF1309/X1309),IF(BT1309=1,IF(AF1309&lt;=0,0,BW1309*MAX(1,IF(H1309&gt;0,AF1309/H1309,1))),IF(R1309&gt;0,AG1309/R1309,0))/MAX(0.1,N(Parameter!$M$21)))</f>
        <v>0.0384615384615385</v>
      </c>
      <c r="AI1309" s="57" t="n">
        <f aca="false">AF1309*G1309</f>
        <v>899.47</v>
      </c>
      <c r="AJ1309" s="57" t="n">
        <f aca="false">ROUNDUP(MAX(J1309/IF(BZ1309&gt;0,BZ1309,MAX(0.1,N(Cockpit!$C$6))),CC1309)/BS1309,0)*BS1309</f>
        <v>164</v>
      </c>
      <c r="AK1309" s="58" t="n">
        <f aca="false">IF(AH1309&gt;0,J1309/AH1309,-1)</f>
        <v>2002</v>
      </c>
      <c r="AL1309" s="58" t="n">
        <f aca="false">IF(AND(OR(BY1309="L1",BY1309="L23"),AH1309&gt;0),SUMIFS($AH$7:$AH$1843,$BY$7:$BY$1843,BY1309,$AK$7:$AK$1843,"&gt;"&amp;AK1309)+SUMIFS($AH$7:$AH$1843,$BY$7:$BY$1843,BY1309,$AK$7:$AK$1843,AK1309,$BQ$7:$BQ$1843,"&lt;="&amp;BQ1309),"")</f>
        <v>13.0670500996588</v>
      </c>
      <c r="AM1309" s="65" t="n">
        <f aca="false">IF(AL1309="",0,MAX(0,MIN(1,(IF(BY1309="L1",Parameter!$E$5,Parameter!$E$6+Parameter!$E$7)-(AL1309-AH1309))/AH1309)))</f>
        <v>1</v>
      </c>
      <c r="AN1309" s="57" t="n">
        <f aca="false">IF(LEFT(Cockpit!$I$5,1)="A",H1309,IF(CA1309=1,CB1309,IF(LEFT(Cockpit!$I$5,1)="B",AR1309,MAX(AR1309,H1309))))</f>
        <v>164</v>
      </c>
      <c r="AO1309" s="57" t="n">
        <f aca="false">IF(BT1309=1,0,ROUNDUP(AN1309/BS1309,0))</f>
        <v>1</v>
      </c>
      <c r="AP1309" s="59" t="n">
        <f aca="false">IF(CH1309&gt;0,CH1309*MAX(1,AN1309/X1309),IF(BT1309=1,IF(AN1309&lt;=0,0,BW1309*MAX(1,IF(H1309&gt;0,AN1309/H1309,1))),IF(R1309&gt;0,AO1309/R1309,0))/MAX(0.1,N(Parameter!$M$21)))</f>
        <v>0.0384615384615385</v>
      </c>
      <c r="AQ1309" s="57" t="n">
        <f aca="false">AN1309*G1309</f>
        <v>3986.84</v>
      </c>
      <c r="AR1309" s="57" t="n">
        <f aca="false">ROUNDUP(MAX(J1309/IF(BZ1309&gt;0,BZ1309,MAX(0.1,N(Cockpit!$I$6))),CC1309)/BS1309,0)*BS1309</f>
        <v>164</v>
      </c>
      <c r="AS1309" s="58" t="n">
        <f aca="false">IF(AP1309&gt;0,J1309/AP1309,-1)</f>
        <v>2002</v>
      </c>
      <c r="AT1309" s="58" t="n">
        <f aca="false">IF(AND(OR(BY1309="L1",BY1309="L23"),AP1309&gt;0),SUMIFS($AP$7:$AP$1843,$BY$7:$BY$1843,BY1309,$AS$7:$AS$1843,"&gt;"&amp;AS1309)+SUMIFS($AP$7:$AP$1843,$BY$7:$BY$1843,BY1309,$AS$7:$AS$1843,AS1309,$BQ$7:$BQ$1843,"&lt;="&amp;BQ1309),"")</f>
        <v>18.620038174386</v>
      </c>
      <c r="AU1309" s="65" t="n">
        <f aca="false">IF(AT1309="",0,MAX(0,MIN(1,(IF(BY1309="L1",Parameter!$E$5,Parameter!$E$6+Parameter!$E$7)-(AT1309-AP1309))/AP1309)))</f>
        <v>1</v>
      </c>
      <c r="AV1309" s="57" t="n">
        <f aca="false">IF(LEFT(Cockpit!$O$5,1)="A",H1309,IF(CA1309=1,CB1309,IF(LEFT(Cockpit!$O$5,1)="B",AZ1309,MAX(AZ1309,H1309))))</f>
        <v>164</v>
      </c>
      <c r="AW1309" s="57" t="n">
        <f aca="false">IF(BT1309=1,0,ROUNDUP(AV1309/BS1309,0))</f>
        <v>1</v>
      </c>
      <c r="AX1309" s="59" t="n">
        <f aca="false">IF(CH1309&gt;0,CH1309*MAX(1,AV1309/X1309),IF(BT1309=1,IF(AV1309&lt;=0,0,BW1309*MAX(1,IF(H1309&gt;0,AV1309/H1309,1))),IF(R1309&gt;0,AW1309/R1309,0))/MAX(0.1,N(Parameter!$M$21)))</f>
        <v>0.0384615384615385</v>
      </c>
      <c r="AY1309" s="57" t="n">
        <f aca="false">AV1309*G1309</f>
        <v>3986.84</v>
      </c>
      <c r="AZ1309" s="57" t="n">
        <f aca="false">ROUNDUP(MAX(J1309/IF(BZ1309&gt;0,BZ1309,MAX(0.1,N(Cockpit!$O$6))),CC1309)/BS1309,0)*BS1309</f>
        <v>164</v>
      </c>
      <c r="BA1309" s="58" t="n">
        <f aca="false">IF(AX1309&gt;0,J1309/AX1309,-1)</f>
        <v>2002</v>
      </c>
      <c r="BB1309" s="58" t="n">
        <f aca="false">IF(AND(OR(BY1309="L1",BY1309="L23"),AX1309&gt;0),SUMIFS($AX$7:$AX$1843,$BY$7:$BY$1843,BY1309,$BA$7:$BA$1843,"&gt;"&amp;BA1309)+SUMIFS($AX$7:$AX$1843,$BY$7:$BY$1843,BY1309,$BA$7:$BA$1843,BA1309,$BQ$7:$BQ$1843,"&lt;="&amp;BQ1309),"")</f>
        <v>17.2319262862741</v>
      </c>
      <c r="BC1309" s="65" t="n">
        <f aca="false">IF(BB1309="",0,MAX(0,MIN(1,(IF(BY1309="L1",Parameter!$E$5,Parameter!$E$6+Parameter!$E$7)-(BB1309-AX1309))/AX1309)))</f>
        <v>1</v>
      </c>
      <c r="BD1309" s="55" t="str">
        <f aca="false">IF(AH1309&lt;=0,"",IF(BY1309="Aussen","Aussenlager",IF(BY1309="-","Nicht im Lift",IF(AM1309&gt;=1,"Lift",IF(AM1309&lt;=0,"Aussenlager","teilweise")))))</f>
        <v>Lift</v>
      </c>
      <c r="BE1309" s="55" t="str">
        <f aca="false">IF(AP1309&lt;=0,"",IF(BY1309="Aussen","Aussenlager",IF(BY1309="-","Nicht im Lift",IF(AU1309&gt;=1,"Lift",IF(AU1309&lt;=0,"Aussenlager","teilweise")))))</f>
        <v>Lift</v>
      </c>
      <c r="BF1309" s="55" t="str">
        <f aca="false">IF(AX1309&lt;=0,"",IF(BY1309="Aussen","Aussenlager",IF(BY1309="-","Nicht im Lift",IF(BC1309&gt;=1,"Lift",IF(BC1309&lt;=0,"Aussenlager","teilweise")))))</f>
        <v>Lift</v>
      </c>
      <c r="BG1309" s="55" t="str">
        <f aca="false">IF(A1309="","",IF(BP1309=1,"Neu; ","")&amp;IF(AND(BP1309=0,BK1309&lt;0),"negativer Bestand (Export "&amp;BK1309&amp;"); ","")&amp;IF(J1309&lt;=0,"Kein Verbrauch; ","")&amp;IF(CH1309&gt;0,"Lift "&amp;W1309&amp;" lt. Liftbericht (Fach "&amp;X1309&amp;" Stk); ",IF(BU1309=1,"Gebinde geschätzt ("&amp;T1309&amp;"); ",IF(BT1309=1,"Lose – Tablare geschätzt; ","")))&amp;IF(H1309&gt;AR1309,"Überbestand "&amp;ROUND(H1309-AR1309,0)&amp;" Stk / CHF "&amp;ROUND((H1309-AR1309)*G1309,0)&amp;"; ","")&amp;IF(AND(CA1309=1,CB1309&lt;CC1309),"MAX &lt; MB+LG; ","")&amp;IF(AND(CG1309&gt;0,CF1309*10&gt;CG1309),"zu hoch für Tablar; ","")&amp;IF(AND(BP1309=0,OR(CA1309=1,AA1309&lt;&gt;"",U1309&lt;&gt;"",V1309&lt;&gt;"",AB1309&lt;&gt;"")),"manuell übersteuert; ","")&amp;IF(AND(BT1309=0,R1309=0),"Gebinde unbekannt / Stellmass fehlt; ","")&amp;IF(AND(BT1309=0,N(V1309)&lt;=0,N(Q1309)&lt;=0),"Menge pro Gebinde fehlt (Ist = 1 Gebinde); ","")&amp;BO1309)</f>
        <v>negativer Bestand (Export -34); </v>
      </c>
      <c r="BH1309" s="55"/>
      <c r="BI1309" s="55"/>
      <c r="BJ1309" s="62"/>
      <c r="BK1309" s="57" t="n">
        <v>-34</v>
      </c>
      <c r="BL1309" s="57" t="n">
        <v>71</v>
      </c>
      <c r="BM1309" s="56" t="n">
        <v>-1282.14</v>
      </c>
      <c r="BN1309" s="57" t="n">
        <v>77</v>
      </c>
      <c r="BO1309" s="55"/>
      <c r="BP1309" s="60" t="n">
        <v>0</v>
      </c>
      <c r="BQ1309" s="60" t="n">
        <v>1309</v>
      </c>
      <c r="BR1309" s="55" t="str">
        <f aca="false">IF(U1309&lt;&gt;"",UPPER(TRIM(U1309)),IF(BU1309=1,UPPER(VLOOKUP(T1309,Parameter!$I$27:$K$29,2,0)),IF(P1309="","LOSE",P1309)))</f>
        <v>S51</v>
      </c>
      <c r="BS1309" s="57" t="n">
        <f aca="false">IF(BR1309="LOSE",1,IF(N(V1309)&gt;0,V1309,IF(BU1309=1,MAX(1,N(VLOOKUP(T1309,Parameter!$I$27:$K$29,3,0)),H1309,N(N1309)),IF(N(Q1309)&gt;0,Q1309,MAX(1,H1309)))))</f>
        <v>164</v>
      </c>
      <c r="BT1309" s="60" t="n">
        <f aca="false">IF(BR1309="LOSE",1,0)</f>
        <v>0</v>
      </c>
      <c r="BU1309" s="60" t="n">
        <f aca="false">IF(AND(U1309="",OR(P1309="",P1309="LOSE"),T1309&lt;&gt;"",N(S1309)&lt;=0,ISNUMBER(MATCH(T1309,Parameter!$I$27:$I$29,0))),1,0)</f>
        <v>0</v>
      </c>
      <c r="BV1309" s="55" t="str">
        <f aca="false">IF(AND(Parameter!$B$19="Ja",E1309&lt;&gt;"",ISNUMBER(MATCH(E1309,Parameter!$I$35:$I$52,0))),VLOOKUP(E1309,Parameter!$I$35:$J$52,2,0),IFERROR(VLOOKUP(D1309,Parameter!$A$35:$C$64,2,0),"Nein"))</f>
        <v>2+3</v>
      </c>
      <c r="BW1309" s="59" t="n">
        <f aca="false">IF(BT1309=0,0,IF(N(S1309)&gt;0,S1309,IFERROR(VLOOKUP(D1309,Parameter!$A$35:$C$64,3,0)+0,0)))</f>
        <v>0</v>
      </c>
      <c r="BX1309" s="55" t="n">
        <f aca="false">IF(AA1309&lt;&gt;"",AA1309,Z1309)</f>
        <v>3</v>
      </c>
      <c r="BY1309" s="55" t="str">
        <f aca="false">IF(BX1309=1,"L1",IF(OR(BX1309=2,BX1309=3),"L23",IF(BX1309="Aussen","Aussen","-")))</f>
        <v>L23</v>
      </c>
      <c r="BZ1309" s="66" t="n">
        <f aca="false">IF(N(AB1309)&gt;0,AB1309,0)</f>
        <v>0</v>
      </c>
      <c r="CA1309" s="60" t="n">
        <f aca="false">IF(ISNUMBER(AE1309),1,0)</f>
        <v>0</v>
      </c>
      <c r="CB1309" s="57" t="n">
        <f aca="false">N(AE1309)</f>
        <v>0</v>
      </c>
      <c r="CC1309" s="57" t="n">
        <f aca="false">N(M1309)+N(N1309)</f>
        <v>77</v>
      </c>
      <c r="CD1309" s="57" t="n">
        <f aca="false">ROUNDUP(H1309/BS1309,0)</f>
        <v>1</v>
      </c>
      <c r="CE1309" s="57" t="n">
        <f aca="false">ROUNDUP(CB1309/BS1309,0)</f>
        <v>0</v>
      </c>
      <c r="CF1309" s="60" t="n">
        <f aca="false">IF(BT1309=1,0,IFERROR(VLOOKUP(BR1309,'Gebinde-Kategorie'!$A$5:$M$45,5,0)+0,0))</f>
        <v>11</v>
      </c>
      <c r="CG1309" s="60" t="n">
        <f aca="false">IFERROR(IF(OR(BX1309=1,BX1309=2,BX1309=3),N(INDEX(Parameter!$I$5:$I$7,BX1309)),0),0)</f>
        <v>0</v>
      </c>
      <c r="CH1309" s="59" t="n">
        <f aca="false">IF(AND(Parameter!$B$21="Ja",ISNUMBER(W1309),N(X1309)&gt;0),IFERROR(N(INDEX(Parameter!$L$5:$L$7,W1309))*INDEX(Parameter!$E$5:$E$7,W1309)*X1309/SUMIFS($X$7:$X$1843,$W$7:$W$1843,W1309),0),0)</f>
        <v>0</v>
      </c>
    </row>
    <row r="1310" customFormat="false" ht="15" hidden="false" customHeight="false" outlineLevel="0" collapsed="false">
      <c r="A1310" s="55" t="s">
        <v>2325</v>
      </c>
      <c r="B1310" s="55" t="s">
        <v>425</v>
      </c>
      <c r="C1310" s="55" t="s">
        <v>164</v>
      </c>
      <c r="D1310" s="55" t="s">
        <v>184</v>
      </c>
      <c r="E1310" s="55" t="s">
        <v>185</v>
      </c>
      <c r="F1310" s="55" t="s">
        <v>218</v>
      </c>
      <c r="G1310" s="56" t="n">
        <v>47.59</v>
      </c>
      <c r="H1310" s="57" t="n">
        <f aca="false">MAX(0,IF(AND(Parameter!$B$21="Ja",ISNUMBER(Y1310)),Y1310,IF(Parameter!$B$20="Jahresanfang 2025 + Export",BL1310+BK1310,BK1310)))</f>
        <v>137</v>
      </c>
      <c r="I1310" s="57" t="n">
        <f aca="false">H1310*G1310</f>
        <v>6519.83</v>
      </c>
      <c r="J1310" s="57" t="n">
        <f aca="false">BN1310*Parameter!$B$18</f>
        <v>0</v>
      </c>
      <c r="K1310" s="58" t="n">
        <v>147.5</v>
      </c>
      <c r="L1310" s="59" t="n">
        <v>0</v>
      </c>
      <c r="M1310" s="57" t="n">
        <v>0</v>
      </c>
      <c r="N1310" s="57" t="n">
        <v>1</v>
      </c>
      <c r="O1310" s="60" t="n">
        <v>28</v>
      </c>
      <c r="P1310" s="55" t="s">
        <v>233</v>
      </c>
      <c r="Q1310" s="57" t="n">
        <v>246</v>
      </c>
      <c r="R1310" s="60" t="n">
        <f aca="false">IF(BT1310=1,0,IFERROR(VLOOKUP(BR1310,'Gebinde-Kategorie'!$A$5:$M$45,13,0)+0,0))</f>
        <v>26</v>
      </c>
      <c r="S1310" s="61"/>
      <c r="T1310" s="62"/>
      <c r="U1310" s="62"/>
      <c r="V1310" s="62"/>
      <c r="W1310" s="55"/>
      <c r="X1310" s="57"/>
      <c r="Y1310" s="57"/>
      <c r="Z1310" s="55" t="n">
        <f aca="false">IF(A1310="","",IF(AND(Parameter!$B$21="Ja",ISNUMBER(W1310)),W1310,IF(BV1310="2+3",IF(ISNUMBER(SEARCH("grosser Artikel",BO1310)),2,IFERROR(VLOOKUP(BR1310,Parameter!$F$35:$G$64,2,0),2)),IF(OR(BV1310="Nein",BV1310=""),"-",BV1310))))</f>
        <v>3</v>
      </c>
      <c r="AA1310" s="62"/>
      <c r="AB1310" s="63"/>
      <c r="AC1310" s="57" t="n">
        <f aca="false">AR1310</f>
        <v>246</v>
      </c>
      <c r="AD1310" s="57" t="n">
        <f aca="false">MAX(AR1310,H1310)</f>
        <v>246</v>
      </c>
      <c r="AE1310" s="64"/>
      <c r="AF1310" s="57" t="n">
        <f aca="false">IF(LEFT(Cockpit!$C$5,1)="A",H1310,IF(CA1310=1,CB1310,IF(LEFT(Cockpit!$C$5,1)="B",AJ1310,MAX(AJ1310,H1310))))</f>
        <v>137</v>
      </c>
      <c r="AG1310" s="57" t="n">
        <f aca="false">IF(BT1310=1,0,ROUNDUP(AF1310/BS1310,0))</f>
        <v>1</v>
      </c>
      <c r="AH1310" s="59" t="n">
        <f aca="false">IF(CH1310&gt;0,CH1310*MAX(1,AF1310/X1310),IF(BT1310=1,IF(AF1310&lt;=0,0,BW1310*MAX(1,IF(H1310&gt;0,AF1310/H1310,1))),IF(R1310&gt;0,AG1310/R1310,0))/MAX(0.1,N(Parameter!$M$21)))</f>
        <v>0.0384615384615385</v>
      </c>
      <c r="AI1310" s="57" t="n">
        <f aca="false">AF1310*G1310</f>
        <v>6519.83</v>
      </c>
      <c r="AJ1310" s="57" t="n">
        <f aca="false">ROUNDUP(MAX(J1310/IF(BZ1310&gt;0,BZ1310,MAX(0.1,N(Cockpit!$C$6))),CC1310)/BS1310,0)*BS1310</f>
        <v>246</v>
      </c>
      <c r="AK1310" s="58" t="n">
        <f aca="false">IF(AH1310&gt;0,J1310/AH1310,-1)</f>
        <v>0</v>
      </c>
      <c r="AL1310" s="58" t="n">
        <f aca="false">IF(AND(OR(BY1310="L1",BY1310="L23"),AH1310&gt;0),SUMIFS($AH$7:$AH$1843,$BY$7:$BY$1843,BY1310,$AK$7:$AK$1843,"&gt;"&amp;AK1310)+SUMIFS($AH$7:$AH$1843,$BY$7:$BY$1843,BY1310,$AK$7:$AK$1843,AK1310,$BQ$7:$BQ$1843,"&lt;="&amp;BQ1310),"")</f>
        <v>80.7869328738894</v>
      </c>
      <c r="AM1310" s="65" t="n">
        <f aca="false">IF(AL1310="",0,MAX(0,MIN(1,(IF(BY1310="L1",Parameter!$E$5,Parameter!$E$6+Parameter!$E$7)-(AL1310-AH1310))/AH1310)))</f>
        <v>1</v>
      </c>
      <c r="AN1310" s="57" t="n">
        <f aca="false">IF(LEFT(Cockpit!$I$5,1)="A",H1310,IF(CA1310=1,CB1310,IF(LEFT(Cockpit!$I$5,1)="B",AR1310,MAX(AR1310,H1310))))</f>
        <v>246</v>
      </c>
      <c r="AO1310" s="57" t="n">
        <f aca="false">IF(BT1310=1,0,ROUNDUP(AN1310/BS1310,0))</f>
        <v>1</v>
      </c>
      <c r="AP1310" s="59" t="n">
        <f aca="false">IF(CH1310&gt;0,CH1310*MAX(1,AN1310/X1310),IF(BT1310=1,IF(AN1310&lt;=0,0,BW1310*MAX(1,IF(H1310&gt;0,AN1310/H1310,1))),IF(R1310&gt;0,AO1310/R1310,0))/MAX(0.1,N(Parameter!$M$21)))</f>
        <v>0.0384615384615385</v>
      </c>
      <c r="AQ1310" s="57" t="n">
        <f aca="false">AN1310*G1310</f>
        <v>11707.14</v>
      </c>
      <c r="AR1310" s="57" t="n">
        <f aca="false">ROUNDUP(MAX(J1310/IF(BZ1310&gt;0,BZ1310,MAX(0.1,N(Cockpit!$I$6))),CC1310)/BS1310,0)*BS1310</f>
        <v>246</v>
      </c>
      <c r="AS1310" s="58" t="n">
        <f aca="false">IF(AP1310&gt;0,J1310/AP1310,-1)</f>
        <v>0</v>
      </c>
      <c r="AT1310" s="58" t="n">
        <f aca="false">IF(AND(OR(BY1310="L1",BY1310="L23"),AP1310&gt;0),SUMIFS($AP$7:$AP$1843,$BY$7:$BY$1843,BY1310,$AS$7:$AS$1843,"&gt;"&amp;AS1310)+SUMIFS($AP$7:$AP$1843,$BY$7:$BY$1843,BY1310,$AS$7:$AS$1843,AS1310,$BQ$7:$BQ$1843,"&lt;="&amp;BQ1310),"")</f>
        <v>125.112741123611</v>
      </c>
      <c r="AU1310" s="65" t="n">
        <f aca="false">IF(AT1310="",0,MAX(0,MIN(1,(IF(BY1310="L1",Parameter!$E$5,Parameter!$E$6+Parameter!$E$7)-(AT1310-AP1310))/AP1310)))</f>
        <v>0</v>
      </c>
      <c r="AV1310" s="57" t="n">
        <f aca="false">IF(LEFT(Cockpit!$O$5,1)="A",H1310,IF(CA1310=1,CB1310,IF(LEFT(Cockpit!$O$5,1)="B",AZ1310,MAX(AZ1310,H1310))))</f>
        <v>246</v>
      </c>
      <c r="AW1310" s="57" t="n">
        <f aca="false">IF(BT1310=1,0,ROUNDUP(AV1310/BS1310,0))</f>
        <v>1</v>
      </c>
      <c r="AX1310" s="59" t="n">
        <f aca="false">IF(CH1310&gt;0,CH1310*MAX(1,AV1310/X1310),IF(BT1310=1,IF(AV1310&lt;=0,0,BW1310*MAX(1,IF(H1310&gt;0,AV1310/H1310,1))),IF(R1310&gt;0,AW1310/R1310,0))/MAX(0.1,N(Parameter!$M$21)))</f>
        <v>0.0384615384615385</v>
      </c>
      <c r="AY1310" s="57" t="n">
        <f aca="false">AV1310*G1310</f>
        <v>11707.14</v>
      </c>
      <c r="AZ1310" s="57" t="n">
        <f aca="false">ROUNDUP(MAX(J1310/IF(BZ1310&gt;0,BZ1310,MAX(0.1,N(Cockpit!$O$6))),CC1310)/BS1310,0)*BS1310</f>
        <v>246</v>
      </c>
      <c r="BA1310" s="58" t="n">
        <f aca="false">IF(AX1310&gt;0,J1310/AX1310,-1)</f>
        <v>0</v>
      </c>
      <c r="BB1310" s="58" t="n">
        <f aca="false">IF(AND(OR(BY1310="L1",BY1310="L23"),AX1310&gt;0),SUMIFS($AX$7:$AX$1843,$BY$7:$BY$1843,BY1310,$BA$7:$BA$1843,"&gt;"&amp;BA1310)+SUMIFS($AX$7:$AX$1843,$BY$7:$BY$1843,BY1310,$BA$7:$BA$1843,BA1310,$BQ$7:$BQ$1843,"&lt;="&amp;BQ1310),"")</f>
        <v>115.942577953448</v>
      </c>
      <c r="BC1310" s="65" t="n">
        <f aca="false">IF(BB1310="",0,MAX(0,MIN(1,(IF(BY1310="L1",Parameter!$E$5,Parameter!$E$6+Parameter!$E$7)-(BB1310-AX1310))/AX1310)))</f>
        <v>0</v>
      </c>
      <c r="BD1310" s="55" t="str">
        <f aca="false">IF(AH1310&lt;=0,"",IF(BY1310="Aussen","Aussenlager",IF(BY1310="-","Nicht im Lift",IF(AM1310&gt;=1,"Lift",IF(AM1310&lt;=0,"Aussenlager","teilweise")))))</f>
        <v>Lift</v>
      </c>
      <c r="BE1310" s="55" t="str">
        <f aca="false">IF(AP1310&lt;=0,"",IF(BY1310="Aussen","Aussenlager",IF(BY1310="-","Nicht im Lift",IF(AU1310&gt;=1,"Lift",IF(AU1310&lt;=0,"Aussenlager","teilweise")))))</f>
        <v>Aussenlager</v>
      </c>
      <c r="BF1310" s="55" t="str">
        <f aca="false">IF(AX1310&lt;=0,"",IF(BY1310="Aussen","Aussenlager",IF(BY1310="-","Nicht im Lift",IF(BC1310&gt;=1,"Lift",IF(BC1310&lt;=0,"Aussenlager","teilweise")))))</f>
        <v>Aussenlager</v>
      </c>
      <c r="BG1310" s="55" t="str">
        <f aca="false">IF(A1310="","",IF(BP1310=1,"Neu; ","")&amp;IF(AND(BP1310=0,BK1310&lt;0),"negativer Bestand (Export "&amp;BK1310&amp;"); ","")&amp;IF(J1310&lt;=0,"Kein Verbrauch; ","")&amp;IF(CH1310&gt;0,"Lift "&amp;W1310&amp;" lt. Liftbericht (Fach "&amp;X1310&amp;" Stk); ",IF(BU1310=1,"Gebinde geschätzt ("&amp;T1310&amp;"); ",IF(BT1310=1,"Lose – Tablare geschätzt; ","")))&amp;IF(H1310&gt;AR1310,"Überbestand "&amp;ROUND(H1310-AR1310,0)&amp;" Stk / CHF "&amp;ROUND((H1310-AR1310)*G1310,0)&amp;"; ","")&amp;IF(AND(CA1310=1,CB1310&lt;CC1310),"MAX &lt; MB+LG; ","")&amp;IF(AND(CG1310&gt;0,CF1310*10&gt;CG1310),"zu hoch für Tablar; ","")&amp;IF(AND(BP1310=0,OR(CA1310=1,AA1310&lt;&gt;"",U1310&lt;&gt;"",V1310&lt;&gt;"",AB1310&lt;&gt;"")),"manuell übersteuert; ","")&amp;IF(AND(BT1310=0,R1310=0),"Gebinde unbekannt / Stellmass fehlt; ","")&amp;IF(AND(BT1310=0,N(V1310)&lt;=0,N(Q1310)&lt;=0),"Menge pro Gebinde fehlt (Ist = 1 Gebinde); ","")&amp;BO1310)</f>
        <v>negativer Bestand (Export -27); Kein Verbrauch; </v>
      </c>
      <c r="BH1310" s="55"/>
      <c r="BI1310" s="55"/>
      <c r="BJ1310" s="62"/>
      <c r="BK1310" s="57" t="n">
        <v>-27</v>
      </c>
      <c r="BL1310" s="57" t="n">
        <v>164</v>
      </c>
      <c r="BM1310" s="56" t="n">
        <v>-1284.93</v>
      </c>
      <c r="BN1310" s="57" t="n">
        <v>0</v>
      </c>
      <c r="BO1310" s="55"/>
      <c r="BP1310" s="60" t="n">
        <v>0</v>
      </c>
      <c r="BQ1310" s="60" t="n">
        <v>1310</v>
      </c>
      <c r="BR1310" s="55" t="str">
        <f aca="false">IF(U1310&lt;&gt;"",UPPER(TRIM(U1310)),IF(BU1310=1,UPPER(VLOOKUP(T1310,Parameter!$I$27:$K$29,2,0)),IF(P1310="","LOSE",P1310)))</f>
        <v>S52</v>
      </c>
      <c r="BS1310" s="57" t="n">
        <f aca="false">IF(BR1310="LOSE",1,IF(N(V1310)&gt;0,V1310,IF(BU1310=1,MAX(1,N(VLOOKUP(T1310,Parameter!$I$27:$K$29,3,0)),H1310,N(N1310)),IF(N(Q1310)&gt;0,Q1310,MAX(1,H1310)))))</f>
        <v>246</v>
      </c>
      <c r="BT1310" s="60" t="n">
        <f aca="false">IF(BR1310="LOSE",1,0)</f>
        <v>0</v>
      </c>
      <c r="BU1310" s="60" t="n">
        <f aca="false">IF(AND(U1310="",OR(P1310="",P1310="LOSE"),T1310&lt;&gt;"",N(S1310)&lt;=0,ISNUMBER(MATCH(T1310,Parameter!$I$27:$I$29,0))),1,0)</f>
        <v>0</v>
      </c>
      <c r="BV1310" s="55" t="str">
        <f aca="false">IF(AND(Parameter!$B$19="Ja",E1310&lt;&gt;"",ISNUMBER(MATCH(E1310,Parameter!$I$35:$I$52,0))),VLOOKUP(E1310,Parameter!$I$35:$J$52,2,0),IFERROR(VLOOKUP(D1310,Parameter!$A$35:$C$64,2,0),"Nein"))</f>
        <v>2+3</v>
      </c>
      <c r="BW1310" s="59" t="n">
        <f aca="false">IF(BT1310=0,0,IF(N(S1310)&gt;0,S1310,IFERROR(VLOOKUP(D1310,Parameter!$A$35:$C$64,3,0)+0,0)))</f>
        <v>0</v>
      </c>
      <c r="BX1310" s="55" t="n">
        <f aca="false">IF(AA1310&lt;&gt;"",AA1310,Z1310)</f>
        <v>3</v>
      </c>
      <c r="BY1310" s="55" t="str">
        <f aca="false">IF(BX1310=1,"L1",IF(OR(BX1310=2,BX1310=3),"L23",IF(BX1310="Aussen","Aussen","-")))</f>
        <v>L23</v>
      </c>
      <c r="BZ1310" s="66" t="n">
        <f aca="false">IF(N(AB1310)&gt;0,AB1310,0)</f>
        <v>0</v>
      </c>
      <c r="CA1310" s="60" t="n">
        <f aca="false">IF(ISNUMBER(AE1310),1,0)</f>
        <v>0</v>
      </c>
      <c r="CB1310" s="57" t="n">
        <f aca="false">N(AE1310)</f>
        <v>0</v>
      </c>
      <c r="CC1310" s="57" t="n">
        <f aca="false">N(M1310)+N(N1310)</f>
        <v>1</v>
      </c>
      <c r="CD1310" s="57" t="n">
        <f aca="false">ROUNDUP(H1310/BS1310,0)</f>
        <v>1</v>
      </c>
      <c r="CE1310" s="57" t="n">
        <f aca="false">ROUNDUP(CB1310/BS1310,0)</f>
        <v>0</v>
      </c>
      <c r="CF1310" s="60" t="n">
        <f aca="false">IF(BT1310=1,0,IFERROR(VLOOKUP(BR1310,'Gebinde-Kategorie'!$A$5:$M$45,5,0)+0,0))</f>
        <v>21</v>
      </c>
      <c r="CG1310" s="60" t="n">
        <f aca="false">IFERROR(IF(OR(BX1310=1,BX1310=2,BX1310=3),N(INDEX(Parameter!$I$5:$I$7,BX1310)),0),0)</f>
        <v>0</v>
      </c>
      <c r="CH1310" s="59" t="n">
        <f aca="false">IF(AND(Parameter!$B$21="Ja",ISNUMBER(W1310),N(X1310)&gt;0),IFERROR(N(INDEX(Parameter!$L$5:$L$7,W1310))*INDEX(Parameter!$E$5:$E$7,W1310)*X1310/SUMIFS($X$7:$X$1843,$W$7:$W$1843,W1310),0),0)</f>
        <v>0</v>
      </c>
    </row>
    <row r="1311" customFormat="false" ht="15" hidden="false" customHeight="false" outlineLevel="0" collapsed="false">
      <c r="A1311" s="55" t="s">
        <v>2326</v>
      </c>
      <c r="B1311" s="55" t="s">
        <v>2327</v>
      </c>
      <c r="C1311" s="55" t="s">
        <v>456</v>
      </c>
      <c r="D1311" s="55" t="s">
        <v>173</v>
      </c>
      <c r="E1311" s="55"/>
      <c r="F1311" s="55" t="s">
        <v>218</v>
      </c>
      <c r="G1311" s="56" t="n">
        <v>65</v>
      </c>
      <c r="H1311" s="57" t="n">
        <f aca="false">MAX(0,IF(AND(Parameter!$B$21="Ja",ISNUMBER(Y1311)),Y1311,IF(Parameter!$B$20="Jahresanfang 2025 + Export",BL1311+BK1311,BK1311)))</f>
        <v>0</v>
      </c>
      <c r="I1311" s="57" t="n">
        <f aca="false">H1311*G1311</f>
        <v>0</v>
      </c>
      <c r="J1311" s="57" t="n">
        <f aca="false">BN1311*Parameter!$B$18</f>
        <v>0</v>
      </c>
      <c r="K1311" s="58" t="n">
        <v>10</v>
      </c>
      <c r="L1311" s="59" t="n">
        <v>0</v>
      </c>
      <c r="M1311" s="57" t="n">
        <v>0</v>
      </c>
      <c r="N1311" s="57" t="n">
        <v>1</v>
      </c>
      <c r="O1311" s="60" t="n">
        <v>56</v>
      </c>
      <c r="P1311" s="55" t="s">
        <v>168</v>
      </c>
      <c r="Q1311" s="57"/>
      <c r="R1311" s="60" t="n">
        <f aca="false">IF(BT1311=1,0,IFERROR(VLOOKUP(BR1311,'Gebinde-Kategorie'!$A$5:$M$45,13,0)+0,0))</f>
        <v>12</v>
      </c>
      <c r="S1311" s="61"/>
      <c r="T1311" s="62" t="s">
        <v>179</v>
      </c>
      <c r="U1311" s="62"/>
      <c r="V1311" s="62"/>
      <c r="W1311" s="55"/>
      <c r="X1311" s="57"/>
      <c r="Y1311" s="57"/>
      <c r="Z1311" s="55" t="n">
        <f aca="false">IF(A1311="","",IF(AND(Parameter!$B$21="Ja",ISNUMBER(W1311)),W1311,IF(BV1311="2+3",IF(ISNUMBER(SEARCH("grosser Artikel",BO1311)),2,IFERROR(VLOOKUP(BR1311,Parameter!$F$35:$G$64,2,0),2)),IF(OR(BV1311="Nein",BV1311=""),"-",BV1311))))</f>
        <v>2</v>
      </c>
      <c r="AA1311" s="62"/>
      <c r="AB1311" s="63"/>
      <c r="AC1311" s="57" t="n">
        <f aca="false">AR1311</f>
        <v>4</v>
      </c>
      <c r="AD1311" s="57" t="n">
        <f aca="false">MAX(AR1311,H1311)</f>
        <v>4</v>
      </c>
      <c r="AE1311" s="64"/>
      <c r="AF1311" s="57" t="n">
        <f aca="false">IF(LEFT(Cockpit!$C$5,1)="A",H1311,IF(CA1311=1,CB1311,IF(LEFT(Cockpit!$C$5,1)="B",AJ1311,MAX(AJ1311,H1311))))</f>
        <v>0</v>
      </c>
      <c r="AG1311" s="57" t="n">
        <f aca="false">IF(BT1311=1,0,ROUNDUP(AF1311/BS1311,0))</f>
        <v>0</v>
      </c>
      <c r="AH1311" s="59" t="n">
        <f aca="false">IF(CH1311&gt;0,CH1311*MAX(1,AF1311/X1311),IF(BT1311=1,IF(AF1311&lt;=0,0,BW1311*MAX(1,IF(H1311&gt;0,AF1311/H1311,1))),IF(R1311&gt;0,AG1311/R1311,0))/MAX(0.1,N(Parameter!$M$21)))</f>
        <v>0</v>
      </c>
      <c r="AI1311" s="57" t="n">
        <f aca="false">AF1311*G1311</f>
        <v>0</v>
      </c>
      <c r="AJ1311" s="57" t="n">
        <f aca="false">ROUNDUP(MAX(J1311/IF(BZ1311&gt;0,BZ1311,MAX(0.1,N(Cockpit!$C$6))),CC1311)/BS1311,0)*BS1311</f>
        <v>4</v>
      </c>
      <c r="AK1311" s="58" t="n">
        <f aca="false">IF(AH1311&gt;0,J1311/AH1311,-1)</f>
        <v>-1</v>
      </c>
      <c r="AL1311" s="58" t="str">
        <f aca="false">IF(AND(OR(BY1311="L1",BY1311="L23"),AH1311&gt;0),SUMIFS($AH$7:$AH$1843,$BY$7:$BY$1843,BY1311,$AK$7:$AK$1843,"&gt;"&amp;AK1311)+SUMIFS($AH$7:$AH$1843,$BY$7:$BY$1843,BY1311,$AK$7:$AK$1843,AK1311,$BQ$7:$BQ$1843,"&lt;="&amp;BQ1311),"")</f>
        <v/>
      </c>
      <c r="AM1311" s="65" t="n">
        <f aca="false">IF(AL1311="",0,MAX(0,MIN(1,(IF(BY1311="L1",Parameter!$E$5,Parameter!$E$6+Parameter!$E$7)-(AL1311-AH1311))/AH1311)))</f>
        <v>0</v>
      </c>
      <c r="AN1311" s="57" t="n">
        <f aca="false">IF(LEFT(Cockpit!$I$5,1)="A",H1311,IF(CA1311=1,CB1311,IF(LEFT(Cockpit!$I$5,1)="B",AR1311,MAX(AR1311,H1311))))</f>
        <v>4</v>
      </c>
      <c r="AO1311" s="57" t="n">
        <f aca="false">IF(BT1311=1,0,ROUNDUP(AN1311/BS1311,0))</f>
        <v>1</v>
      </c>
      <c r="AP1311" s="59" t="n">
        <f aca="false">IF(CH1311&gt;0,CH1311*MAX(1,AN1311/X1311),IF(BT1311=1,IF(AN1311&lt;=0,0,BW1311*MAX(1,IF(H1311&gt;0,AN1311/H1311,1))),IF(R1311&gt;0,AO1311/R1311,0))/MAX(0.1,N(Parameter!$M$21)))</f>
        <v>0.0833333333333333</v>
      </c>
      <c r="AQ1311" s="57" t="n">
        <f aca="false">AN1311*G1311</f>
        <v>260</v>
      </c>
      <c r="AR1311" s="57" t="n">
        <f aca="false">ROUNDUP(MAX(J1311/IF(BZ1311&gt;0,BZ1311,MAX(0.1,N(Cockpit!$I$6))),CC1311)/BS1311,0)*BS1311</f>
        <v>4</v>
      </c>
      <c r="AS1311" s="58" t="n">
        <f aca="false">IF(AP1311&gt;0,J1311/AP1311,-1)</f>
        <v>0</v>
      </c>
      <c r="AT1311" s="58" t="n">
        <f aca="false">IF(AND(OR(BY1311="L1",BY1311="L23"),AP1311&gt;0),SUMIFS($AP$7:$AP$1843,$BY$7:$BY$1843,BY1311,$AS$7:$AS$1843,"&gt;"&amp;AS1311)+SUMIFS($AP$7:$AP$1843,$BY$7:$BY$1843,BY1311,$AS$7:$AS$1843,AS1311,$BQ$7:$BQ$1843,"&lt;="&amp;BQ1311),"")</f>
        <v>125.196074456944</v>
      </c>
      <c r="AU1311" s="65" t="n">
        <f aca="false">IF(AT1311="",0,MAX(0,MIN(1,(IF(BY1311="L1",Parameter!$E$5,Parameter!$E$6+Parameter!$E$7)-(AT1311-AP1311))/AP1311)))</f>
        <v>0</v>
      </c>
      <c r="AV1311" s="57" t="n">
        <f aca="false">IF(LEFT(Cockpit!$O$5,1)="A",H1311,IF(CA1311=1,CB1311,IF(LEFT(Cockpit!$O$5,1)="B",AZ1311,MAX(AZ1311,H1311))))</f>
        <v>4</v>
      </c>
      <c r="AW1311" s="57" t="n">
        <f aca="false">IF(BT1311=1,0,ROUNDUP(AV1311/BS1311,0))</f>
        <v>1</v>
      </c>
      <c r="AX1311" s="59" t="n">
        <f aca="false">IF(CH1311&gt;0,CH1311*MAX(1,AV1311/X1311),IF(BT1311=1,IF(AV1311&lt;=0,0,BW1311*MAX(1,IF(H1311&gt;0,AV1311/H1311,1))),IF(R1311&gt;0,AW1311/R1311,0))/MAX(0.1,N(Parameter!$M$21)))</f>
        <v>0.0833333333333333</v>
      </c>
      <c r="AY1311" s="57" t="n">
        <f aca="false">AV1311*G1311</f>
        <v>260</v>
      </c>
      <c r="AZ1311" s="57" t="n">
        <f aca="false">ROUNDUP(MAX(J1311/IF(BZ1311&gt;0,BZ1311,MAX(0.1,N(Cockpit!$O$6))),CC1311)/BS1311,0)*BS1311</f>
        <v>4</v>
      </c>
      <c r="BA1311" s="58" t="n">
        <f aca="false">IF(AX1311&gt;0,J1311/AX1311,-1)</f>
        <v>0</v>
      </c>
      <c r="BB1311" s="58" t="n">
        <f aca="false">IF(AND(OR(BY1311="L1",BY1311="L23"),AX1311&gt;0),SUMIFS($AX$7:$AX$1843,$BY$7:$BY$1843,BY1311,$BA$7:$BA$1843,"&gt;"&amp;BA1311)+SUMIFS($AX$7:$AX$1843,$BY$7:$BY$1843,BY1311,$BA$7:$BA$1843,BA1311,$BQ$7:$BQ$1843,"&lt;="&amp;BQ1311),"")</f>
        <v>116.025911286781</v>
      </c>
      <c r="BC1311" s="65" t="n">
        <f aca="false">IF(BB1311="",0,MAX(0,MIN(1,(IF(BY1311="L1",Parameter!$E$5,Parameter!$E$6+Parameter!$E$7)-(BB1311-AX1311))/AX1311)))</f>
        <v>0</v>
      </c>
      <c r="BD1311" s="55" t="str">
        <f aca="false">IF(AH1311&lt;=0,"",IF(BY1311="Aussen","Aussenlager",IF(BY1311="-","Nicht im Lift",IF(AM1311&gt;=1,"Lift",IF(AM1311&lt;=0,"Aussenlager","teilweise")))))</f>
        <v/>
      </c>
      <c r="BE1311" s="55" t="str">
        <f aca="false">IF(AP1311&lt;=0,"",IF(BY1311="Aussen","Aussenlager",IF(BY1311="-","Nicht im Lift",IF(AU1311&gt;=1,"Lift",IF(AU1311&lt;=0,"Aussenlager","teilweise")))))</f>
        <v>Aussenlager</v>
      </c>
      <c r="BF1311" s="55" t="str">
        <f aca="false">IF(AX1311&lt;=0,"",IF(BY1311="Aussen","Aussenlager",IF(BY1311="-","Nicht im Lift",IF(BC1311&gt;=1,"Lift",IF(BC1311&lt;=0,"Aussenlager","teilweise")))))</f>
        <v>Aussenlager</v>
      </c>
      <c r="BG1311" s="55" t="str">
        <f aca="false">IF(A1311="","",IF(BP1311=1,"Neu; ","")&amp;IF(AND(BP1311=0,BK1311&lt;0),"negativer Bestand (Export "&amp;BK1311&amp;"); ","")&amp;IF(J1311&lt;=0,"Kein Verbrauch; ","")&amp;IF(CH1311&gt;0,"Lift "&amp;W1311&amp;" lt. Liftbericht (Fach "&amp;X1311&amp;" Stk); ",IF(BU1311=1,"Gebinde geschätzt ("&amp;T1311&amp;"); ",IF(BT1311=1,"Lose – Tablare geschätzt; ","")))&amp;IF(H1311&gt;AR1311,"Überbestand "&amp;ROUND(H1311-AR1311,0)&amp;" Stk / CHF "&amp;ROUND((H1311-AR1311)*G1311,0)&amp;"; ","")&amp;IF(AND(CA1311=1,CB1311&lt;CC1311),"MAX &lt; MB+LG; ","")&amp;IF(AND(CG1311&gt;0,CF1311*10&gt;CG1311),"zu hoch für Tablar; ","")&amp;IF(AND(BP1311=0,OR(CA1311=1,AA1311&lt;&gt;"",U1311&lt;&gt;"",V1311&lt;&gt;"",AB1311&lt;&gt;"")),"manuell übersteuert; ","")&amp;IF(AND(BT1311=0,R1311=0),"Gebinde unbekannt / Stellmass fehlt; ","")&amp;IF(AND(BT1311=0,N(V1311)&lt;=0,N(Q1311)&lt;=0),"Menge pro Gebinde fehlt (Ist = 1 Gebinde); ","")&amp;BO1311)</f>
        <v>negativer Bestand (Export -20); Kein Verbrauch; Gebinde geschätzt (Mittel); Menge pro Gebinde fehlt (Ist = 1 Gebinde); </v>
      </c>
      <c r="BH1311" s="55"/>
      <c r="BI1311" s="55"/>
      <c r="BJ1311" s="62"/>
      <c r="BK1311" s="57" t="n">
        <v>-20</v>
      </c>
      <c r="BL1311" s="57" t="n">
        <v>20</v>
      </c>
      <c r="BM1311" s="56" t="n">
        <v>-1300</v>
      </c>
      <c r="BN1311" s="57" t="n">
        <v>0</v>
      </c>
      <c r="BO1311" s="55"/>
      <c r="BP1311" s="60" t="n">
        <v>0</v>
      </c>
      <c r="BQ1311" s="60" t="n">
        <v>1311</v>
      </c>
      <c r="BR1311" s="55" t="str">
        <f aca="false">IF(U1311&lt;&gt;"",UPPER(TRIM(U1311)),IF(BU1311=1,UPPER(VLOOKUP(T1311,Parameter!$I$27:$K$29,2,0)),IF(P1311="","LOSE",P1311)))</f>
        <v>S61</v>
      </c>
      <c r="BS1311" s="57" t="n">
        <f aca="false">IF(BR1311="LOSE",1,IF(N(V1311)&gt;0,V1311,IF(BU1311=1,MAX(1,N(VLOOKUP(T1311,Parameter!$I$27:$K$29,3,0)),H1311,N(N1311)),IF(N(Q1311)&gt;0,Q1311,MAX(1,H1311)))))</f>
        <v>4</v>
      </c>
      <c r="BT1311" s="60" t="n">
        <f aca="false">IF(BR1311="LOSE",1,0)</f>
        <v>0</v>
      </c>
      <c r="BU1311" s="60" t="n">
        <f aca="false">IF(AND(U1311="",OR(P1311="",P1311="LOSE"),T1311&lt;&gt;"",N(S1311)&lt;=0,ISNUMBER(MATCH(T1311,Parameter!$I$27:$I$29,0))),1,0)</f>
        <v>1</v>
      </c>
      <c r="BV1311" s="55" t="str">
        <f aca="false">IF(AND(Parameter!$B$19="Ja",E1311&lt;&gt;"",ISNUMBER(MATCH(E1311,Parameter!$I$35:$I$52,0))),VLOOKUP(E1311,Parameter!$I$35:$J$52,2,0),IFERROR(VLOOKUP(D1311,Parameter!$A$35:$C$64,2,0),"Nein"))</f>
        <v>2+3</v>
      </c>
      <c r="BW1311" s="59" t="n">
        <f aca="false">IF(BT1311=0,0,IF(N(S1311)&gt;0,S1311,IFERROR(VLOOKUP(D1311,Parameter!$A$35:$C$64,3,0)+0,0)))</f>
        <v>0</v>
      </c>
      <c r="BX1311" s="55" t="n">
        <f aca="false">IF(AA1311&lt;&gt;"",AA1311,Z1311)</f>
        <v>2</v>
      </c>
      <c r="BY1311" s="55" t="str">
        <f aca="false">IF(BX1311=1,"L1",IF(OR(BX1311=2,BX1311=3),"L23",IF(BX1311="Aussen","Aussen","-")))</f>
        <v>L23</v>
      </c>
      <c r="BZ1311" s="66" t="n">
        <f aca="false">IF(N(AB1311)&gt;0,AB1311,0)</f>
        <v>0</v>
      </c>
      <c r="CA1311" s="60" t="n">
        <f aca="false">IF(ISNUMBER(AE1311),1,0)</f>
        <v>0</v>
      </c>
      <c r="CB1311" s="57" t="n">
        <f aca="false">N(AE1311)</f>
        <v>0</v>
      </c>
      <c r="CC1311" s="57" t="n">
        <f aca="false">N(M1311)+N(N1311)</f>
        <v>1</v>
      </c>
      <c r="CD1311" s="57" t="n">
        <f aca="false">ROUNDUP(H1311/BS1311,0)</f>
        <v>0</v>
      </c>
      <c r="CE1311" s="57" t="n">
        <f aca="false">ROUNDUP(CB1311/BS1311,0)</f>
        <v>0</v>
      </c>
      <c r="CF1311" s="60" t="n">
        <f aca="false">IF(BT1311=1,0,IFERROR(VLOOKUP(BR1311,'Gebinde-Kategorie'!$A$5:$M$45,5,0)+0,0))</f>
        <v>11</v>
      </c>
      <c r="CG1311" s="60" t="n">
        <f aca="false">IFERROR(IF(OR(BX1311=1,BX1311=2,BX1311=3),N(INDEX(Parameter!$I$5:$I$7,BX1311)),0),0)</f>
        <v>0</v>
      </c>
      <c r="CH1311" s="59" t="n">
        <f aca="false">IF(AND(Parameter!$B$21="Ja",ISNUMBER(W1311),N(X1311)&gt;0),IFERROR(N(INDEX(Parameter!$L$5:$L$7,W1311))*INDEX(Parameter!$E$5:$E$7,W1311)*X1311/SUMIFS($X$7:$X$1843,$W$7:$W$1843,W1311),0),0)</f>
        <v>0</v>
      </c>
    </row>
    <row r="1312" customFormat="false" ht="15" hidden="false" customHeight="false" outlineLevel="0" collapsed="false">
      <c r="A1312" s="55" t="s">
        <v>2328</v>
      </c>
      <c r="B1312" s="55" t="s">
        <v>2329</v>
      </c>
      <c r="C1312" s="55" t="s">
        <v>456</v>
      </c>
      <c r="D1312" s="55" t="s">
        <v>173</v>
      </c>
      <c r="E1312" s="55"/>
      <c r="F1312" s="55" t="s">
        <v>218</v>
      </c>
      <c r="G1312" s="56" t="n">
        <v>65</v>
      </c>
      <c r="H1312" s="57" t="n">
        <f aca="false">MAX(0,IF(AND(Parameter!$B$21="Ja",ISNUMBER(Y1312)),Y1312,IF(Parameter!$B$20="Jahresanfang 2025 + Export",BL1312+BK1312,BK1312)))</f>
        <v>0</v>
      </c>
      <c r="I1312" s="57" t="n">
        <f aca="false">H1312*G1312</f>
        <v>0</v>
      </c>
      <c r="J1312" s="57" t="n">
        <f aca="false">BN1312*Parameter!$B$18</f>
        <v>0</v>
      </c>
      <c r="K1312" s="58" t="n">
        <v>10</v>
      </c>
      <c r="L1312" s="59" t="n">
        <v>0</v>
      </c>
      <c r="M1312" s="57" t="n">
        <v>0</v>
      </c>
      <c r="N1312" s="57" t="n">
        <v>1</v>
      </c>
      <c r="O1312" s="60" t="n">
        <v>56</v>
      </c>
      <c r="P1312" s="55" t="s">
        <v>168</v>
      </c>
      <c r="Q1312" s="57"/>
      <c r="R1312" s="60" t="n">
        <f aca="false">IF(BT1312=1,0,IFERROR(VLOOKUP(BR1312,'Gebinde-Kategorie'!$A$5:$M$45,13,0)+0,0))</f>
        <v>12</v>
      </c>
      <c r="S1312" s="61"/>
      <c r="T1312" s="62" t="s">
        <v>179</v>
      </c>
      <c r="U1312" s="62"/>
      <c r="V1312" s="62"/>
      <c r="W1312" s="55"/>
      <c r="X1312" s="57"/>
      <c r="Y1312" s="57"/>
      <c r="Z1312" s="55" t="n">
        <f aca="false">IF(A1312="","",IF(AND(Parameter!$B$21="Ja",ISNUMBER(W1312)),W1312,IF(BV1312="2+3",IF(ISNUMBER(SEARCH("grosser Artikel",BO1312)),2,IFERROR(VLOOKUP(BR1312,Parameter!$F$35:$G$64,2,0),2)),IF(OR(BV1312="Nein",BV1312=""),"-",BV1312))))</f>
        <v>2</v>
      </c>
      <c r="AA1312" s="62"/>
      <c r="AB1312" s="63"/>
      <c r="AC1312" s="57" t="n">
        <f aca="false">AR1312</f>
        <v>4</v>
      </c>
      <c r="AD1312" s="57" t="n">
        <f aca="false">MAX(AR1312,H1312)</f>
        <v>4</v>
      </c>
      <c r="AE1312" s="64"/>
      <c r="AF1312" s="57" t="n">
        <f aca="false">IF(LEFT(Cockpit!$C$5,1)="A",H1312,IF(CA1312=1,CB1312,IF(LEFT(Cockpit!$C$5,1)="B",AJ1312,MAX(AJ1312,H1312))))</f>
        <v>0</v>
      </c>
      <c r="AG1312" s="57" t="n">
        <f aca="false">IF(BT1312=1,0,ROUNDUP(AF1312/BS1312,0))</f>
        <v>0</v>
      </c>
      <c r="AH1312" s="59" t="n">
        <f aca="false">IF(CH1312&gt;0,CH1312*MAX(1,AF1312/X1312),IF(BT1312=1,IF(AF1312&lt;=0,0,BW1312*MAX(1,IF(H1312&gt;0,AF1312/H1312,1))),IF(R1312&gt;0,AG1312/R1312,0))/MAX(0.1,N(Parameter!$M$21)))</f>
        <v>0</v>
      </c>
      <c r="AI1312" s="57" t="n">
        <f aca="false">AF1312*G1312</f>
        <v>0</v>
      </c>
      <c r="AJ1312" s="57" t="n">
        <f aca="false">ROUNDUP(MAX(J1312/IF(BZ1312&gt;0,BZ1312,MAX(0.1,N(Cockpit!$C$6))),CC1312)/BS1312,0)*BS1312</f>
        <v>4</v>
      </c>
      <c r="AK1312" s="58" t="n">
        <f aca="false">IF(AH1312&gt;0,J1312/AH1312,-1)</f>
        <v>-1</v>
      </c>
      <c r="AL1312" s="58" t="str">
        <f aca="false">IF(AND(OR(BY1312="L1",BY1312="L23"),AH1312&gt;0),SUMIFS($AH$7:$AH$1843,$BY$7:$BY$1843,BY1312,$AK$7:$AK$1843,"&gt;"&amp;AK1312)+SUMIFS($AH$7:$AH$1843,$BY$7:$BY$1843,BY1312,$AK$7:$AK$1843,AK1312,$BQ$7:$BQ$1843,"&lt;="&amp;BQ1312),"")</f>
        <v/>
      </c>
      <c r="AM1312" s="65" t="n">
        <f aca="false">IF(AL1312="",0,MAX(0,MIN(1,(IF(BY1312="L1",Parameter!$E$5,Parameter!$E$6+Parameter!$E$7)-(AL1312-AH1312))/AH1312)))</f>
        <v>0</v>
      </c>
      <c r="AN1312" s="57" t="n">
        <f aca="false">IF(LEFT(Cockpit!$I$5,1)="A",H1312,IF(CA1312=1,CB1312,IF(LEFT(Cockpit!$I$5,1)="B",AR1312,MAX(AR1312,H1312))))</f>
        <v>4</v>
      </c>
      <c r="AO1312" s="57" t="n">
        <f aca="false">IF(BT1312=1,0,ROUNDUP(AN1312/BS1312,0))</f>
        <v>1</v>
      </c>
      <c r="AP1312" s="59" t="n">
        <f aca="false">IF(CH1312&gt;0,CH1312*MAX(1,AN1312/X1312),IF(BT1312=1,IF(AN1312&lt;=0,0,BW1312*MAX(1,IF(H1312&gt;0,AN1312/H1312,1))),IF(R1312&gt;0,AO1312/R1312,0))/MAX(0.1,N(Parameter!$M$21)))</f>
        <v>0.0833333333333333</v>
      </c>
      <c r="AQ1312" s="57" t="n">
        <f aca="false">AN1312*G1312</f>
        <v>260</v>
      </c>
      <c r="AR1312" s="57" t="n">
        <f aca="false">ROUNDUP(MAX(J1312/IF(BZ1312&gt;0,BZ1312,MAX(0.1,N(Cockpit!$I$6))),CC1312)/BS1312,0)*BS1312</f>
        <v>4</v>
      </c>
      <c r="AS1312" s="58" t="n">
        <f aca="false">IF(AP1312&gt;0,J1312/AP1312,-1)</f>
        <v>0</v>
      </c>
      <c r="AT1312" s="58" t="n">
        <f aca="false">IF(AND(OR(BY1312="L1",BY1312="L23"),AP1312&gt;0),SUMIFS($AP$7:$AP$1843,$BY$7:$BY$1843,BY1312,$AS$7:$AS$1843,"&gt;"&amp;AS1312)+SUMIFS($AP$7:$AP$1843,$BY$7:$BY$1843,BY1312,$AS$7:$AS$1843,AS1312,$BQ$7:$BQ$1843,"&lt;="&amp;BQ1312),"")</f>
        <v>125.279407790277</v>
      </c>
      <c r="AU1312" s="65" t="n">
        <f aca="false">IF(AT1312="",0,MAX(0,MIN(1,(IF(BY1312="L1",Parameter!$E$5,Parameter!$E$6+Parameter!$E$7)-(AT1312-AP1312))/AP1312)))</f>
        <v>0</v>
      </c>
      <c r="AV1312" s="57" t="n">
        <f aca="false">IF(LEFT(Cockpit!$O$5,1)="A",H1312,IF(CA1312=1,CB1312,IF(LEFT(Cockpit!$O$5,1)="B",AZ1312,MAX(AZ1312,H1312))))</f>
        <v>4</v>
      </c>
      <c r="AW1312" s="57" t="n">
        <f aca="false">IF(BT1312=1,0,ROUNDUP(AV1312/BS1312,0))</f>
        <v>1</v>
      </c>
      <c r="AX1312" s="59" t="n">
        <f aca="false">IF(CH1312&gt;0,CH1312*MAX(1,AV1312/X1312),IF(BT1312=1,IF(AV1312&lt;=0,0,BW1312*MAX(1,IF(H1312&gt;0,AV1312/H1312,1))),IF(R1312&gt;0,AW1312/R1312,0))/MAX(0.1,N(Parameter!$M$21)))</f>
        <v>0.0833333333333333</v>
      </c>
      <c r="AY1312" s="57" t="n">
        <f aca="false">AV1312*G1312</f>
        <v>260</v>
      </c>
      <c r="AZ1312" s="57" t="n">
        <f aca="false">ROUNDUP(MAX(J1312/IF(BZ1312&gt;0,BZ1312,MAX(0.1,N(Cockpit!$O$6))),CC1312)/BS1312,0)*BS1312</f>
        <v>4</v>
      </c>
      <c r="BA1312" s="58" t="n">
        <f aca="false">IF(AX1312&gt;0,J1312/AX1312,-1)</f>
        <v>0</v>
      </c>
      <c r="BB1312" s="58" t="n">
        <f aca="false">IF(AND(OR(BY1312="L1",BY1312="L23"),AX1312&gt;0),SUMIFS($AX$7:$AX$1843,$BY$7:$BY$1843,BY1312,$BA$7:$BA$1843,"&gt;"&amp;BA1312)+SUMIFS($AX$7:$AX$1843,$BY$7:$BY$1843,BY1312,$BA$7:$BA$1843,BA1312,$BQ$7:$BQ$1843,"&lt;="&amp;BQ1312),"")</f>
        <v>116.109244620114</v>
      </c>
      <c r="BC1312" s="65" t="n">
        <f aca="false">IF(BB1312="",0,MAX(0,MIN(1,(IF(BY1312="L1",Parameter!$E$5,Parameter!$E$6+Parameter!$E$7)-(BB1312-AX1312))/AX1312)))</f>
        <v>0</v>
      </c>
      <c r="BD1312" s="55" t="str">
        <f aca="false">IF(AH1312&lt;=0,"",IF(BY1312="Aussen","Aussenlager",IF(BY1312="-","Nicht im Lift",IF(AM1312&gt;=1,"Lift",IF(AM1312&lt;=0,"Aussenlager","teilweise")))))</f>
        <v/>
      </c>
      <c r="BE1312" s="55" t="str">
        <f aca="false">IF(AP1312&lt;=0,"",IF(BY1312="Aussen","Aussenlager",IF(BY1312="-","Nicht im Lift",IF(AU1312&gt;=1,"Lift",IF(AU1312&lt;=0,"Aussenlager","teilweise")))))</f>
        <v>Aussenlager</v>
      </c>
      <c r="BF1312" s="55" t="str">
        <f aca="false">IF(AX1312&lt;=0,"",IF(BY1312="Aussen","Aussenlager",IF(BY1312="-","Nicht im Lift",IF(BC1312&gt;=1,"Lift",IF(BC1312&lt;=0,"Aussenlager","teilweise")))))</f>
        <v>Aussenlager</v>
      </c>
      <c r="BG1312" s="55" t="str">
        <f aca="false">IF(A1312="","",IF(BP1312=1,"Neu; ","")&amp;IF(AND(BP1312=0,BK1312&lt;0),"negativer Bestand (Export "&amp;BK1312&amp;"); ","")&amp;IF(J1312&lt;=0,"Kein Verbrauch; ","")&amp;IF(CH1312&gt;0,"Lift "&amp;W1312&amp;" lt. Liftbericht (Fach "&amp;X1312&amp;" Stk); ",IF(BU1312=1,"Gebinde geschätzt ("&amp;T1312&amp;"); ",IF(BT1312=1,"Lose – Tablare geschätzt; ","")))&amp;IF(H1312&gt;AR1312,"Überbestand "&amp;ROUND(H1312-AR1312,0)&amp;" Stk / CHF "&amp;ROUND((H1312-AR1312)*G1312,0)&amp;"; ","")&amp;IF(AND(CA1312=1,CB1312&lt;CC1312),"MAX &lt; MB+LG; ","")&amp;IF(AND(CG1312&gt;0,CF1312*10&gt;CG1312),"zu hoch für Tablar; ","")&amp;IF(AND(BP1312=0,OR(CA1312=1,AA1312&lt;&gt;"",U1312&lt;&gt;"",V1312&lt;&gt;"",AB1312&lt;&gt;"")),"manuell übersteuert; ","")&amp;IF(AND(BT1312=0,R1312=0),"Gebinde unbekannt / Stellmass fehlt; ","")&amp;IF(AND(BT1312=0,N(V1312)&lt;=0,N(Q1312)&lt;=0),"Menge pro Gebinde fehlt (Ist = 1 Gebinde); ","")&amp;BO1312)</f>
        <v>negativer Bestand (Export -20); Kein Verbrauch; Gebinde geschätzt (Mittel); Menge pro Gebinde fehlt (Ist = 1 Gebinde); </v>
      </c>
      <c r="BH1312" s="55"/>
      <c r="BI1312" s="55"/>
      <c r="BJ1312" s="62"/>
      <c r="BK1312" s="57" t="n">
        <v>-20</v>
      </c>
      <c r="BL1312" s="57" t="n">
        <v>20</v>
      </c>
      <c r="BM1312" s="56" t="n">
        <v>-1300</v>
      </c>
      <c r="BN1312" s="57" t="n">
        <v>0</v>
      </c>
      <c r="BO1312" s="55"/>
      <c r="BP1312" s="60" t="n">
        <v>0</v>
      </c>
      <c r="BQ1312" s="60" t="n">
        <v>1312</v>
      </c>
      <c r="BR1312" s="55" t="str">
        <f aca="false">IF(U1312&lt;&gt;"",UPPER(TRIM(U1312)),IF(BU1312=1,UPPER(VLOOKUP(T1312,Parameter!$I$27:$K$29,2,0)),IF(P1312="","LOSE",P1312)))</f>
        <v>S61</v>
      </c>
      <c r="BS1312" s="57" t="n">
        <f aca="false">IF(BR1312="LOSE",1,IF(N(V1312)&gt;0,V1312,IF(BU1312=1,MAX(1,N(VLOOKUP(T1312,Parameter!$I$27:$K$29,3,0)),H1312,N(N1312)),IF(N(Q1312)&gt;0,Q1312,MAX(1,H1312)))))</f>
        <v>4</v>
      </c>
      <c r="BT1312" s="60" t="n">
        <f aca="false">IF(BR1312="LOSE",1,0)</f>
        <v>0</v>
      </c>
      <c r="BU1312" s="60" t="n">
        <f aca="false">IF(AND(U1312="",OR(P1312="",P1312="LOSE"),T1312&lt;&gt;"",N(S1312)&lt;=0,ISNUMBER(MATCH(T1312,Parameter!$I$27:$I$29,0))),1,0)</f>
        <v>1</v>
      </c>
      <c r="BV1312" s="55" t="str">
        <f aca="false">IF(AND(Parameter!$B$19="Ja",E1312&lt;&gt;"",ISNUMBER(MATCH(E1312,Parameter!$I$35:$I$52,0))),VLOOKUP(E1312,Parameter!$I$35:$J$52,2,0),IFERROR(VLOOKUP(D1312,Parameter!$A$35:$C$64,2,0),"Nein"))</f>
        <v>2+3</v>
      </c>
      <c r="BW1312" s="59" t="n">
        <f aca="false">IF(BT1312=0,0,IF(N(S1312)&gt;0,S1312,IFERROR(VLOOKUP(D1312,Parameter!$A$35:$C$64,3,0)+0,0)))</f>
        <v>0</v>
      </c>
      <c r="BX1312" s="55" t="n">
        <f aca="false">IF(AA1312&lt;&gt;"",AA1312,Z1312)</f>
        <v>2</v>
      </c>
      <c r="BY1312" s="55" t="str">
        <f aca="false">IF(BX1312=1,"L1",IF(OR(BX1312=2,BX1312=3),"L23",IF(BX1312="Aussen","Aussen","-")))</f>
        <v>L23</v>
      </c>
      <c r="BZ1312" s="66" t="n">
        <f aca="false">IF(N(AB1312)&gt;0,AB1312,0)</f>
        <v>0</v>
      </c>
      <c r="CA1312" s="60" t="n">
        <f aca="false">IF(ISNUMBER(AE1312),1,0)</f>
        <v>0</v>
      </c>
      <c r="CB1312" s="57" t="n">
        <f aca="false">N(AE1312)</f>
        <v>0</v>
      </c>
      <c r="CC1312" s="57" t="n">
        <f aca="false">N(M1312)+N(N1312)</f>
        <v>1</v>
      </c>
      <c r="CD1312" s="57" t="n">
        <f aca="false">ROUNDUP(H1312/BS1312,0)</f>
        <v>0</v>
      </c>
      <c r="CE1312" s="57" t="n">
        <f aca="false">ROUNDUP(CB1312/BS1312,0)</f>
        <v>0</v>
      </c>
      <c r="CF1312" s="60" t="n">
        <f aca="false">IF(BT1312=1,0,IFERROR(VLOOKUP(BR1312,'Gebinde-Kategorie'!$A$5:$M$45,5,0)+0,0))</f>
        <v>11</v>
      </c>
      <c r="CG1312" s="60" t="n">
        <f aca="false">IFERROR(IF(OR(BX1312=1,BX1312=2,BX1312=3),N(INDEX(Parameter!$I$5:$I$7,BX1312)),0),0)</f>
        <v>0</v>
      </c>
      <c r="CH1312" s="59" t="n">
        <f aca="false">IF(AND(Parameter!$B$21="Ja",ISNUMBER(W1312),N(X1312)&gt;0),IFERROR(N(INDEX(Parameter!$L$5:$L$7,W1312))*INDEX(Parameter!$E$5:$E$7,W1312)*X1312/SUMIFS($X$7:$X$1843,$W$7:$W$1843,W1312),0),0)</f>
        <v>0</v>
      </c>
    </row>
    <row r="1313" customFormat="false" ht="15" hidden="false" customHeight="false" outlineLevel="0" collapsed="false">
      <c r="A1313" s="55" t="s">
        <v>2330</v>
      </c>
      <c r="B1313" s="55" t="s">
        <v>2331</v>
      </c>
      <c r="C1313" s="55" t="s">
        <v>164</v>
      </c>
      <c r="D1313" s="55" t="s">
        <v>353</v>
      </c>
      <c r="E1313" s="55"/>
      <c r="F1313" s="55" t="s">
        <v>218</v>
      </c>
      <c r="G1313" s="56" t="n">
        <v>1309.41</v>
      </c>
      <c r="H1313" s="57" t="n">
        <f aca="false">MAX(0,IF(AND(Parameter!$B$21="Ja",ISNUMBER(Y1313)),Y1313,IF(Parameter!$B$20="Jahresanfang 2025 + Export",BL1313+BK1313,BK1313)))</f>
        <v>0</v>
      </c>
      <c r="I1313" s="57" t="n">
        <f aca="false">H1313*G1313</f>
        <v>0</v>
      </c>
      <c r="J1313" s="57" t="n">
        <f aca="false">BN1313*Parameter!$B$18</f>
        <v>0</v>
      </c>
      <c r="K1313" s="58" t="n">
        <v>0.5</v>
      </c>
      <c r="L1313" s="59" t="n">
        <v>0</v>
      </c>
      <c r="M1313" s="57" t="n">
        <v>0</v>
      </c>
      <c r="N1313" s="57" t="n">
        <v>1</v>
      </c>
      <c r="O1313" s="60" t="n">
        <v>77</v>
      </c>
      <c r="P1313" s="55" t="s">
        <v>168</v>
      </c>
      <c r="Q1313" s="57"/>
      <c r="R1313" s="60" t="n">
        <f aca="false">IF(BT1313=1,0,IFERROR(VLOOKUP(BR1313,'Gebinde-Kategorie'!$A$5:$M$45,13,0)+0,0))</f>
        <v>0</v>
      </c>
      <c r="S1313" s="61"/>
      <c r="T1313" s="62"/>
      <c r="U1313" s="62"/>
      <c r="V1313" s="62"/>
      <c r="W1313" s="55"/>
      <c r="X1313" s="57"/>
      <c r="Y1313" s="57"/>
      <c r="Z1313" s="55" t="str">
        <f aca="false">IF(A1313="","",IF(AND(Parameter!$B$21="Ja",ISNUMBER(W1313)),W1313,IF(BV1313="2+3",IF(ISNUMBER(SEARCH("grosser Artikel",BO1313)),2,IFERROR(VLOOKUP(BR1313,Parameter!$F$35:$G$64,2,0),2)),IF(OR(BV1313="Nein",BV1313=""),"-",BV1313))))</f>
        <v>-</v>
      </c>
      <c r="AA1313" s="62"/>
      <c r="AB1313" s="63"/>
      <c r="AC1313" s="57" t="n">
        <f aca="false">AR1313</f>
        <v>1</v>
      </c>
      <c r="AD1313" s="57" t="n">
        <f aca="false">MAX(AR1313,H1313)</f>
        <v>1</v>
      </c>
      <c r="AE1313" s="64"/>
      <c r="AF1313" s="57" t="n">
        <f aca="false">IF(LEFT(Cockpit!$C$5,1)="A",H1313,IF(CA1313=1,CB1313,IF(LEFT(Cockpit!$C$5,1)="B",AJ1313,MAX(AJ1313,H1313))))</f>
        <v>0</v>
      </c>
      <c r="AG1313" s="57" t="n">
        <f aca="false">IF(BT1313=1,0,ROUNDUP(AF1313/BS1313,0))</f>
        <v>0</v>
      </c>
      <c r="AH1313" s="59" t="n">
        <f aca="false">IF(CH1313&gt;0,CH1313*MAX(1,AF1313/X1313),IF(BT1313=1,IF(AF1313&lt;=0,0,BW1313*MAX(1,IF(H1313&gt;0,AF1313/H1313,1))),IF(R1313&gt;0,AG1313/R1313,0))/MAX(0.1,N(Parameter!$M$21)))</f>
        <v>0</v>
      </c>
      <c r="AI1313" s="57" t="n">
        <f aca="false">AF1313*G1313</f>
        <v>0</v>
      </c>
      <c r="AJ1313" s="57" t="n">
        <f aca="false">ROUNDUP(MAX(J1313/IF(BZ1313&gt;0,BZ1313,MAX(0.1,N(Cockpit!$C$6))),CC1313)/BS1313,0)*BS1313</f>
        <v>1</v>
      </c>
      <c r="AK1313" s="58" t="n">
        <f aca="false">IF(AH1313&gt;0,J1313/AH1313,-1)</f>
        <v>-1</v>
      </c>
      <c r="AL1313" s="58" t="str">
        <f aca="false">IF(AND(OR(BY1313="L1",BY1313="L23"),AH1313&gt;0),SUMIFS($AH$7:$AH$1843,$BY$7:$BY$1843,BY1313,$AK$7:$AK$1843,"&gt;"&amp;AK1313)+SUMIFS($AH$7:$AH$1843,$BY$7:$BY$1843,BY1313,$AK$7:$AK$1843,AK1313,$BQ$7:$BQ$1843,"&lt;="&amp;BQ1313),"")</f>
        <v/>
      </c>
      <c r="AM1313" s="65" t="n">
        <f aca="false">IF(AL1313="",0,MAX(0,MIN(1,(IF(BY1313="L1",Parameter!$E$5,Parameter!$E$6+Parameter!$E$7)-(AL1313-AH1313))/AH1313)))</f>
        <v>0</v>
      </c>
      <c r="AN1313" s="57" t="n">
        <f aca="false">IF(LEFT(Cockpit!$I$5,1)="A",H1313,IF(CA1313=1,CB1313,IF(LEFT(Cockpit!$I$5,1)="B",AR1313,MAX(AR1313,H1313))))</f>
        <v>1</v>
      </c>
      <c r="AO1313" s="57" t="n">
        <f aca="false">IF(BT1313=1,0,ROUNDUP(AN1313/BS1313,0))</f>
        <v>0</v>
      </c>
      <c r="AP1313" s="59" t="n">
        <f aca="false">IF(CH1313&gt;0,CH1313*MAX(1,AN1313/X1313),IF(BT1313=1,IF(AN1313&lt;=0,0,BW1313*MAX(1,IF(H1313&gt;0,AN1313/H1313,1))),IF(R1313&gt;0,AO1313/R1313,0))/MAX(0.1,N(Parameter!$M$21)))</f>
        <v>0.15</v>
      </c>
      <c r="AQ1313" s="57" t="n">
        <f aca="false">AN1313*G1313</f>
        <v>1309.41</v>
      </c>
      <c r="AR1313" s="57" t="n">
        <f aca="false">ROUNDUP(MAX(J1313/IF(BZ1313&gt;0,BZ1313,MAX(0.1,N(Cockpit!$I$6))),CC1313)/BS1313,0)*BS1313</f>
        <v>1</v>
      </c>
      <c r="AS1313" s="58" t="n">
        <f aca="false">IF(AP1313&gt;0,J1313/AP1313,-1)</f>
        <v>0</v>
      </c>
      <c r="AT1313" s="58" t="str">
        <f aca="false">IF(AND(OR(BY1313="L1",BY1313="L23"),AP1313&gt;0),SUMIFS($AP$7:$AP$1843,$BY$7:$BY$1843,BY1313,$AS$7:$AS$1843,"&gt;"&amp;AS1313)+SUMIFS($AP$7:$AP$1843,$BY$7:$BY$1843,BY1313,$AS$7:$AS$1843,AS1313,$BQ$7:$BQ$1843,"&lt;="&amp;BQ1313),"")</f>
        <v/>
      </c>
      <c r="AU1313" s="65" t="n">
        <f aca="false">IF(AT1313="",0,MAX(0,MIN(1,(IF(BY1313="L1",Parameter!$E$5,Parameter!$E$6+Parameter!$E$7)-(AT1313-AP1313))/AP1313)))</f>
        <v>0</v>
      </c>
      <c r="AV1313" s="57" t="n">
        <f aca="false">IF(LEFT(Cockpit!$O$5,1)="A",H1313,IF(CA1313=1,CB1313,IF(LEFT(Cockpit!$O$5,1)="B",AZ1313,MAX(AZ1313,H1313))))</f>
        <v>1</v>
      </c>
      <c r="AW1313" s="57" t="n">
        <f aca="false">IF(BT1313=1,0,ROUNDUP(AV1313/BS1313,0))</f>
        <v>0</v>
      </c>
      <c r="AX1313" s="59" t="n">
        <f aca="false">IF(CH1313&gt;0,CH1313*MAX(1,AV1313/X1313),IF(BT1313=1,IF(AV1313&lt;=0,0,BW1313*MAX(1,IF(H1313&gt;0,AV1313/H1313,1))),IF(R1313&gt;0,AW1313/R1313,0))/MAX(0.1,N(Parameter!$M$21)))</f>
        <v>0.15</v>
      </c>
      <c r="AY1313" s="57" t="n">
        <f aca="false">AV1313*G1313</f>
        <v>1309.41</v>
      </c>
      <c r="AZ1313" s="57" t="n">
        <f aca="false">ROUNDUP(MAX(J1313/IF(BZ1313&gt;0,BZ1313,MAX(0.1,N(Cockpit!$O$6))),CC1313)/BS1313,0)*BS1313</f>
        <v>1</v>
      </c>
      <c r="BA1313" s="58" t="n">
        <f aca="false">IF(AX1313&gt;0,J1313/AX1313,-1)</f>
        <v>0</v>
      </c>
      <c r="BB1313" s="58" t="str">
        <f aca="false">IF(AND(OR(BY1313="L1",BY1313="L23"),AX1313&gt;0),SUMIFS($AX$7:$AX$1843,$BY$7:$BY$1843,BY1313,$BA$7:$BA$1843,"&gt;"&amp;BA1313)+SUMIFS($AX$7:$AX$1843,$BY$7:$BY$1843,BY1313,$BA$7:$BA$1843,BA1313,$BQ$7:$BQ$1843,"&lt;="&amp;BQ1313),"")</f>
        <v/>
      </c>
      <c r="BC1313" s="65" t="n">
        <f aca="false">IF(BB1313="",0,MAX(0,MIN(1,(IF(BY1313="L1",Parameter!$E$5,Parameter!$E$6+Parameter!$E$7)-(BB1313-AX1313))/AX1313)))</f>
        <v>0</v>
      </c>
      <c r="BD1313" s="55" t="str">
        <f aca="false">IF(AH1313&lt;=0,"",IF(BY1313="Aussen","Aussenlager",IF(BY1313="-","Nicht im Lift",IF(AM1313&gt;=1,"Lift",IF(AM1313&lt;=0,"Aussenlager","teilweise")))))</f>
        <v/>
      </c>
      <c r="BE1313" s="55" t="str">
        <f aca="false">IF(AP1313&lt;=0,"",IF(BY1313="Aussen","Aussenlager",IF(BY1313="-","Nicht im Lift",IF(AU1313&gt;=1,"Lift",IF(AU1313&lt;=0,"Aussenlager","teilweise")))))</f>
        <v>Nicht im Lift</v>
      </c>
      <c r="BF1313" s="55" t="str">
        <f aca="false">IF(AX1313&lt;=0,"",IF(BY1313="Aussen","Aussenlager",IF(BY1313="-","Nicht im Lift",IF(BC1313&gt;=1,"Lift",IF(BC1313&lt;=0,"Aussenlager","teilweise")))))</f>
        <v>Nicht im Lift</v>
      </c>
      <c r="BG1313" s="55" t="str">
        <f aca="false">IF(A1313="","",IF(BP1313=1,"Neu; ","")&amp;IF(AND(BP1313=0,BK1313&lt;0),"negativer Bestand (Export "&amp;BK1313&amp;"); ","")&amp;IF(J1313&lt;=0,"Kein Verbrauch; ","")&amp;IF(CH1313&gt;0,"Lift "&amp;W1313&amp;" lt. Liftbericht (Fach "&amp;X1313&amp;" Stk); ",IF(BU1313=1,"Gebinde geschätzt ("&amp;T1313&amp;"); ",IF(BT1313=1,"Lose – Tablare geschätzt; ","")))&amp;IF(H1313&gt;AR1313,"Überbestand "&amp;ROUND(H1313-AR1313,0)&amp;" Stk / CHF "&amp;ROUND((H1313-AR1313)*G1313,0)&amp;"; ","")&amp;IF(AND(CA1313=1,CB1313&lt;CC1313),"MAX &lt; MB+LG; ","")&amp;IF(AND(CG1313&gt;0,CF1313*10&gt;CG1313),"zu hoch für Tablar; ","")&amp;IF(AND(BP1313=0,OR(CA1313=1,AA1313&lt;&gt;"",U1313&lt;&gt;"",V1313&lt;&gt;"",AB1313&lt;&gt;"")),"manuell übersteuert; ","")&amp;IF(AND(BT1313=0,R1313=0),"Gebinde unbekannt / Stellmass fehlt; ","")&amp;IF(AND(BT1313=0,N(V1313)&lt;=0,N(Q1313)&lt;=0),"Menge pro Gebinde fehlt (Ist = 1 Gebinde); ","")&amp;BO1313)</f>
        <v>negativer Bestand (Export -1); Kein Verbrauch; Lose – Tablare geschätzt; </v>
      </c>
      <c r="BH1313" s="55"/>
      <c r="BI1313" s="55"/>
      <c r="BJ1313" s="62"/>
      <c r="BK1313" s="57" t="n">
        <v>-1</v>
      </c>
      <c r="BL1313" s="57" t="n">
        <v>1</v>
      </c>
      <c r="BM1313" s="56" t="n">
        <v>-1309.41</v>
      </c>
      <c r="BN1313" s="57" t="n">
        <v>0</v>
      </c>
      <c r="BO1313" s="55"/>
      <c r="BP1313" s="60" t="n">
        <v>0</v>
      </c>
      <c r="BQ1313" s="60" t="n">
        <v>1313</v>
      </c>
      <c r="BR1313" s="55" t="str">
        <f aca="false">IF(U1313&lt;&gt;"",UPPER(TRIM(U1313)),IF(BU1313=1,UPPER(VLOOKUP(T1313,Parameter!$I$27:$K$29,2,0)),IF(P1313="","LOSE",P1313)))</f>
        <v>LOSE</v>
      </c>
      <c r="BS1313" s="57" t="n">
        <f aca="false">IF(BR1313="LOSE",1,IF(N(V1313)&gt;0,V1313,IF(BU1313=1,MAX(1,N(VLOOKUP(T1313,Parameter!$I$27:$K$29,3,0)),H1313,N(N1313)),IF(N(Q1313)&gt;0,Q1313,MAX(1,H1313)))))</f>
        <v>1</v>
      </c>
      <c r="BT1313" s="60" t="n">
        <f aca="false">IF(BR1313="LOSE",1,0)</f>
        <v>1</v>
      </c>
      <c r="BU1313" s="60" t="n">
        <f aca="false">IF(AND(U1313="",OR(P1313="",P1313="LOSE"),T1313&lt;&gt;"",N(S1313)&lt;=0,ISNUMBER(MATCH(T1313,Parameter!$I$27:$I$29,0))),1,0)</f>
        <v>0</v>
      </c>
      <c r="BV1313" s="55" t="str">
        <f aca="false">IF(AND(Parameter!$B$19="Ja",E1313&lt;&gt;"",ISNUMBER(MATCH(E1313,Parameter!$I$35:$I$52,0))),VLOOKUP(E1313,Parameter!$I$35:$J$52,2,0),IFERROR(VLOOKUP(D1313,Parameter!$A$35:$C$64,2,0),"Nein"))</f>
        <v>Nein</v>
      </c>
      <c r="BW1313" s="59" t="n">
        <f aca="false">IF(BT1313=0,0,IF(N(S1313)&gt;0,S1313,IFERROR(VLOOKUP(D1313,Parameter!$A$35:$C$64,3,0)+0,0)))</f>
        <v>0.15</v>
      </c>
      <c r="BX1313" s="55" t="str">
        <f aca="false">IF(AA1313&lt;&gt;"",AA1313,Z1313)</f>
        <v>-</v>
      </c>
      <c r="BY1313" s="55" t="str">
        <f aca="false">IF(BX1313=1,"L1",IF(OR(BX1313=2,BX1313=3),"L23",IF(BX1313="Aussen","Aussen","-")))</f>
        <v>-</v>
      </c>
      <c r="BZ1313" s="66" t="n">
        <f aca="false">IF(N(AB1313)&gt;0,AB1313,0)</f>
        <v>0</v>
      </c>
      <c r="CA1313" s="60" t="n">
        <f aca="false">IF(ISNUMBER(AE1313),1,0)</f>
        <v>0</v>
      </c>
      <c r="CB1313" s="57" t="n">
        <f aca="false">N(AE1313)</f>
        <v>0</v>
      </c>
      <c r="CC1313" s="57" t="n">
        <f aca="false">N(M1313)+N(N1313)</f>
        <v>1</v>
      </c>
      <c r="CD1313" s="57" t="n">
        <f aca="false">ROUNDUP(H1313/BS1313,0)</f>
        <v>0</v>
      </c>
      <c r="CE1313" s="57" t="n">
        <f aca="false">ROUNDUP(CB1313/BS1313,0)</f>
        <v>0</v>
      </c>
      <c r="CF1313" s="60" t="n">
        <f aca="false">IF(BT1313=1,0,IFERROR(VLOOKUP(BR1313,'Gebinde-Kategorie'!$A$5:$M$45,5,0)+0,0))</f>
        <v>0</v>
      </c>
      <c r="CG1313" s="60" t="n">
        <f aca="false">IFERROR(IF(OR(BX1313=1,BX1313=2,BX1313=3),N(INDEX(Parameter!$I$5:$I$7,BX1313)),0),0)</f>
        <v>0</v>
      </c>
      <c r="CH1313" s="59" t="n">
        <f aca="false">IF(AND(Parameter!$B$21="Ja",ISNUMBER(W1313),N(X1313)&gt;0),IFERROR(N(INDEX(Parameter!$L$5:$L$7,W1313))*INDEX(Parameter!$E$5:$E$7,W1313)*X1313/SUMIFS($X$7:$X$1843,$W$7:$W$1843,W1313),0),0)</f>
        <v>0</v>
      </c>
    </row>
    <row r="1314" customFormat="false" ht="15" hidden="false" customHeight="false" outlineLevel="0" collapsed="false">
      <c r="A1314" s="55" t="s">
        <v>2332</v>
      </c>
      <c r="B1314" s="55" t="s">
        <v>2333</v>
      </c>
      <c r="C1314" s="55" t="s">
        <v>164</v>
      </c>
      <c r="D1314" s="55" t="s">
        <v>184</v>
      </c>
      <c r="E1314" s="55"/>
      <c r="F1314" s="55" t="s">
        <v>218</v>
      </c>
      <c r="G1314" s="56" t="n">
        <v>1.9</v>
      </c>
      <c r="H1314" s="57" t="n">
        <f aca="false">MAX(0,IF(AND(Parameter!$B$21="Ja",ISNUMBER(Y1314)),Y1314,IF(Parameter!$B$20="Jahresanfang 2025 + Export",BL1314+BK1314,BK1314)))</f>
        <v>244</v>
      </c>
      <c r="I1314" s="57" t="n">
        <f aca="false">H1314*G1314</f>
        <v>463.6</v>
      </c>
      <c r="J1314" s="57" t="n">
        <f aca="false">BN1314*Parameter!$B$18</f>
        <v>320</v>
      </c>
      <c r="K1314" s="58" t="n">
        <v>708</v>
      </c>
      <c r="L1314" s="59" t="n">
        <v>0.451977401129944</v>
      </c>
      <c r="M1314" s="57" t="n">
        <v>49</v>
      </c>
      <c r="N1314" s="57" t="n">
        <v>320</v>
      </c>
      <c r="O1314" s="60" t="n">
        <v>56</v>
      </c>
      <c r="P1314" s="55" t="s">
        <v>328</v>
      </c>
      <c r="Q1314" s="57" t="n">
        <v>360</v>
      </c>
      <c r="R1314" s="60" t="n">
        <f aca="false">IF(BT1314=1,0,IFERROR(VLOOKUP(BR1314,'Gebinde-Kategorie'!$A$5:$M$45,13,0)+0,0))</f>
        <v>52</v>
      </c>
      <c r="S1314" s="61"/>
      <c r="T1314" s="62"/>
      <c r="U1314" s="62"/>
      <c r="V1314" s="62"/>
      <c r="W1314" s="55"/>
      <c r="X1314" s="57"/>
      <c r="Y1314" s="57"/>
      <c r="Z1314" s="55" t="n">
        <f aca="false">IF(A1314="","",IF(AND(Parameter!$B$21="Ja",ISNUMBER(W1314)),W1314,IF(BV1314="2+3",IF(ISNUMBER(SEARCH("grosser Artikel",BO1314)),2,IFERROR(VLOOKUP(BR1314,Parameter!$F$35:$G$64,2,0),2)),IF(OR(BV1314="Nein",BV1314=""),"-",BV1314))))</f>
        <v>3</v>
      </c>
      <c r="AA1314" s="62"/>
      <c r="AB1314" s="63"/>
      <c r="AC1314" s="57" t="n">
        <f aca="false">AR1314</f>
        <v>720</v>
      </c>
      <c r="AD1314" s="57" t="n">
        <f aca="false">MAX(AR1314,H1314)</f>
        <v>720</v>
      </c>
      <c r="AE1314" s="64"/>
      <c r="AF1314" s="57" t="n">
        <f aca="false">IF(LEFT(Cockpit!$C$5,1)="A",H1314,IF(CA1314=1,CB1314,IF(LEFT(Cockpit!$C$5,1)="B",AJ1314,MAX(AJ1314,H1314))))</f>
        <v>244</v>
      </c>
      <c r="AG1314" s="57" t="n">
        <f aca="false">IF(BT1314=1,0,ROUNDUP(AF1314/BS1314,0))</f>
        <v>1</v>
      </c>
      <c r="AH1314" s="59" t="n">
        <f aca="false">IF(CH1314&gt;0,CH1314*MAX(1,AF1314/X1314),IF(BT1314=1,IF(AF1314&lt;=0,0,BW1314*MAX(1,IF(H1314&gt;0,AF1314/H1314,1))),IF(R1314&gt;0,AG1314/R1314,0))/MAX(0.1,N(Parameter!$M$21)))</f>
        <v>0.0192307692307692</v>
      </c>
      <c r="AI1314" s="57" t="n">
        <f aca="false">AF1314*G1314</f>
        <v>463.6</v>
      </c>
      <c r="AJ1314" s="57" t="n">
        <f aca="false">ROUNDUP(MAX(J1314/IF(BZ1314&gt;0,BZ1314,MAX(0.1,N(Cockpit!$C$6))),CC1314)/BS1314,0)*BS1314</f>
        <v>720</v>
      </c>
      <c r="AK1314" s="58" t="n">
        <f aca="false">IF(AH1314&gt;0,J1314/AH1314,-1)</f>
        <v>16640</v>
      </c>
      <c r="AL1314" s="58" t="n">
        <f aca="false">IF(AND(OR(BY1314="L1",BY1314="L23"),AH1314&gt;0),SUMIFS($AH$7:$AH$1843,$BY$7:$BY$1843,BY1314,$AK$7:$AK$1843,"&gt;"&amp;AK1314)+SUMIFS($AH$7:$AH$1843,$BY$7:$BY$1843,BY1314,$AK$7:$AK$1843,AK1314,$BQ$7:$BQ$1843,"&lt;="&amp;BQ1314),"")</f>
        <v>3.96745886963278</v>
      </c>
      <c r="AM1314" s="65" t="n">
        <f aca="false">IF(AL1314="",0,MAX(0,MIN(1,(IF(BY1314="L1",Parameter!$E$5,Parameter!$E$6+Parameter!$E$7)-(AL1314-AH1314))/AH1314)))</f>
        <v>1</v>
      </c>
      <c r="AN1314" s="57" t="n">
        <f aca="false">IF(LEFT(Cockpit!$I$5,1)="A",H1314,IF(CA1314=1,CB1314,IF(LEFT(Cockpit!$I$5,1)="B",AR1314,MAX(AR1314,H1314))))</f>
        <v>720</v>
      </c>
      <c r="AO1314" s="57" t="n">
        <f aca="false">IF(BT1314=1,0,ROUNDUP(AN1314/BS1314,0))</f>
        <v>2</v>
      </c>
      <c r="AP1314" s="59" t="n">
        <f aca="false">IF(CH1314&gt;0,CH1314*MAX(1,AN1314/X1314),IF(BT1314=1,IF(AN1314&lt;=0,0,BW1314*MAX(1,IF(H1314&gt;0,AN1314/H1314,1))),IF(R1314&gt;0,AO1314/R1314,0))/MAX(0.1,N(Parameter!$M$21)))</f>
        <v>0.0384615384615385</v>
      </c>
      <c r="AQ1314" s="57" t="n">
        <f aca="false">AN1314*G1314</f>
        <v>1368</v>
      </c>
      <c r="AR1314" s="57" t="n">
        <f aca="false">ROUNDUP(MAX(J1314/IF(BZ1314&gt;0,BZ1314,MAX(0.1,N(Cockpit!$I$6))),CC1314)/BS1314,0)*BS1314</f>
        <v>720</v>
      </c>
      <c r="AS1314" s="58" t="n">
        <f aca="false">IF(AP1314&gt;0,J1314/AP1314,-1)</f>
        <v>8320</v>
      </c>
      <c r="AT1314" s="58" t="n">
        <f aca="false">IF(AND(OR(BY1314="L1",BY1314="L23"),AP1314&gt;0),SUMIFS($AP$7:$AP$1843,$BY$7:$BY$1843,BY1314,$AS$7:$AS$1843,"&gt;"&amp;AS1314)+SUMIFS($AP$7:$AP$1843,$BY$7:$BY$1843,BY1314,$AS$7:$AS$1843,AS1314,$BQ$7:$BQ$1843,"&lt;="&amp;BQ1314),"")</f>
        <v>9.00915509611162</v>
      </c>
      <c r="AU1314" s="65" t="n">
        <f aca="false">IF(AT1314="",0,MAX(0,MIN(1,(IF(BY1314="L1",Parameter!$E$5,Parameter!$E$6+Parameter!$E$7)-(AT1314-AP1314))/AP1314)))</f>
        <v>1</v>
      </c>
      <c r="AV1314" s="57" t="n">
        <f aca="false">IF(LEFT(Cockpit!$O$5,1)="A",H1314,IF(CA1314=1,CB1314,IF(LEFT(Cockpit!$O$5,1)="B",AZ1314,MAX(AZ1314,H1314))))</f>
        <v>720</v>
      </c>
      <c r="AW1314" s="57" t="n">
        <f aca="false">IF(BT1314=1,0,ROUNDUP(AV1314/BS1314,0))</f>
        <v>2</v>
      </c>
      <c r="AX1314" s="59" t="n">
        <f aca="false">IF(CH1314&gt;0,CH1314*MAX(1,AV1314/X1314),IF(BT1314=1,IF(AV1314&lt;=0,0,BW1314*MAX(1,IF(H1314&gt;0,AV1314/H1314,1))),IF(R1314&gt;0,AW1314/R1314,0))/MAX(0.1,N(Parameter!$M$21)))</f>
        <v>0.0384615384615385</v>
      </c>
      <c r="AY1314" s="57" t="n">
        <f aca="false">AV1314*G1314</f>
        <v>1368</v>
      </c>
      <c r="AZ1314" s="57" t="n">
        <f aca="false">ROUNDUP(MAX(J1314/IF(BZ1314&gt;0,BZ1314,MAX(0.1,N(Cockpit!$O$6))),CC1314)/BS1314,0)*BS1314</f>
        <v>720</v>
      </c>
      <c r="BA1314" s="58" t="n">
        <f aca="false">IF(AX1314&gt;0,J1314/AX1314,-1)</f>
        <v>8320</v>
      </c>
      <c r="BB1314" s="58" t="n">
        <f aca="false">IF(AND(OR(BY1314="L1",BY1314="L23"),AX1314&gt;0),SUMIFS($AX$7:$AX$1843,$BY$7:$BY$1843,BY1314,$BA$7:$BA$1843,"&gt;"&amp;BA1314)+SUMIFS($AX$7:$AX$1843,$BY$7:$BY$1843,BY1314,$BA$7:$BA$1843,BA1314,$BQ$7:$BQ$1843,"&lt;="&amp;BQ1314),"")</f>
        <v>8.7428380797946</v>
      </c>
      <c r="BC1314" s="65" t="n">
        <f aca="false">IF(BB1314="",0,MAX(0,MIN(1,(IF(BY1314="L1",Parameter!$E$5,Parameter!$E$6+Parameter!$E$7)-(BB1314-AX1314))/AX1314)))</f>
        <v>1</v>
      </c>
      <c r="BD1314" s="55" t="str">
        <f aca="false">IF(AH1314&lt;=0,"",IF(BY1314="Aussen","Aussenlager",IF(BY1314="-","Nicht im Lift",IF(AM1314&gt;=1,"Lift",IF(AM1314&lt;=0,"Aussenlager","teilweise")))))</f>
        <v>Lift</v>
      </c>
      <c r="BE1314" s="55" t="str">
        <f aca="false">IF(AP1314&lt;=0,"",IF(BY1314="Aussen","Aussenlager",IF(BY1314="-","Nicht im Lift",IF(AU1314&gt;=1,"Lift",IF(AU1314&lt;=0,"Aussenlager","teilweise")))))</f>
        <v>Lift</v>
      </c>
      <c r="BF1314" s="55" t="str">
        <f aca="false">IF(AX1314&lt;=0,"",IF(BY1314="Aussen","Aussenlager",IF(BY1314="-","Nicht im Lift",IF(BC1314&gt;=1,"Lift",IF(BC1314&lt;=0,"Aussenlager","teilweise")))))</f>
        <v>Lift</v>
      </c>
      <c r="BG1314" s="55" t="str">
        <f aca="false">IF(A1314="","",IF(BP1314=1,"Neu; ","")&amp;IF(AND(BP1314=0,BK1314&lt;0),"negativer Bestand (Export "&amp;BK1314&amp;"); ","")&amp;IF(J1314&lt;=0,"Kein Verbrauch; ","")&amp;IF(CH1314&gt;0,"Lift "&amp;W1314&amp;" lt. Liftbericht (Fach "&amp;X1314&amp;" Stk); ",IF(BU1314=1,"Gebinde geschätzt ("&amp;T1314&amp;"); ",IF(BT1314=1,"Lose – Tablare geschätzt; ","")))&amp;IF(H1314&gt;AR1314,"Überbestand "&amp;ROUND(H1314-AR1314,0)&amp;" Stk / CHF "&amp;ROUND((H1314-AR1314)*G1314,0)&amp;"; ","")&amp;IF(AND(CA1314=1,CB1314&lt;CC1314),"MAX &lt; MB+LG; ","")&amp;IF(AND(CG1314&gt;0,CF1314*10&gt;CG1314),"zu hoch für Tablar; ","")&amp;IF(AND(BP1314=0,OR(CA1314=1,AA1314&lt;&gt;"",U1314&lt;&gt;"",V1314&lt;&gt;"",AB1314&lt;&gt;"")),"manuell übersteuert; ","")&amp;IF(AND(BT1314=0,R1314=0),"Gebinde unbekannt / Stellmass fehlt; ","")&amp;IF(AND(BT1314=0,N(V1314)&lt;=0,N(Q1314)&lt;=0),"Menge pro Gebinde fehlt (Ist = 1 Gebinde); ","")&amp;BO1314)</f>
        <v>negativer Bestand (Export -695); </v>
      </c>
      <c r="BH1314" s="55"/>
      <c r="BI1314" s="55"/>
      <c r="BJ1314" s="62"/>
      <c r="BK1314" s="57" t="n">
        <v>-695</v>
      </c>
      <c r="BL1314" s="57" t="n">
        <v>939</v>
      </c>
      <c r="BM1314" s="56" t="n">
        <v>-1320.5</v>
      </c>
      <c r="BN1314" s="57" t="n">
        <v>320</v>
      </c>
      <c r="BO1314" s="55"/>
      <c r="BP1314" s="60" t="n">
        <v>0</v>
      </c>
      <c r="BQ1314" s="60" t="n">
        <v>1314</v>
      </c>
      <c r="BR1314" s="55" t="str">
        <f aca="false">IF(U1314&lt;&gt;"",UPPER(TRIM(U1314)),IF(BU1314=1,UPPER(VLOOKUP(T1314,Parameter!$I$27:$K$29,2,0)),IF(P1314="","LOSE",P1314)))</f>
        <v>S41</v>
      </c>
      <c r="BS1314" s="57" t="n">
        <f aca="false">IF(BR1314="LOSE",1,IF(N(V1314)&gt;0,V1314,IF(BU1314=1,MAX(1,N(VLOOKUP(T1314,Parameter!$I$27:$K$29,3,0)),H1314,N(N1314)),IF(N(Q1314)&gt;0,Q1314,MAX(1,H1314)))))</f>
        <v>360</v>
      </c>
      <c r="BT1314" s="60" t="n">
        <f aca="false">IF(BR1314="LOSE",1,0)</f>
        <v>0</v>
      </c>
      <c r="BU1314" s="60" t="n">
        <f aca="false">IF(AND(U1314="",OR(P1314="",P1314="LOSE"),T1314&lt;&gt;"",N(S1314)&lt;=0,ISNUMBER(MATCH(T1314,Parameter!$I$27:$I$29,0))),1,0)</f>
        <v>0</v>
      </c>
      <c r="BV1314" s="55" t="str">
        <f aca="false">IF(AND(Parameter!$B$19="Ja",E1314&lt;&gt;"",ISNUMBER(MATCH(E1314,Parameter!$I$35:$I$52,0))),VLOOKUP(E1314,Parameter!$I$35:$J$52,2,0),IFERROR(VLOOKUP(D1314,Parameter!$A$35:$C$64,2,0),"Nein"))</f>
        <v>2+3</v>
      </c>
      <c r="BW1314" s="59" t="n">
        <f aca="false">IF(BT1314=0,0,IF(N(S1314)&gt;0,S1314,IFERROR(VLOOKUP(D1314,Parameter!$A$35:$C$64,3,0)+0,0)))</f>
        <v>0</v>
      </c>
      <c r="BX1314" s="55" t="n">
        <f aca="false">IF(AA1314&lt;&gt;"",AA1314,Z1314)</f>
        <v>3</v>
      </c>
      <c r="BY1314" s="55" t="str">
        <f aca="false">IF(BX1314=1,"L1",IF(OR(BX1314=2,BX1314=3),"L23",IF(BX1314="Aussen","Aussen","-")))</f>
        <v>L23</v>
      </c>
      <c r="BZ1314" s="66" t="n">
        <f aca="false">IF(N(AB1314)&gt;0,AB1314,0)</f>
        <v>0</v>
      </c>
      <c r="CA1314" s="60" t="n">
        <f aca="false">IF(ISNUMBER(AE1314),1,0)</f>
        <v>0</v>
      </c>
      <c r="CB1314" s="57" t="n">
        <f aca="false">N(AE1314)</f>
        <v>0</v>
      </c>
      <c r="CC1314" s="57" t="n">
        <f aca="false">N(M1314)+N(N1314)</f>
        <v>369</v>
      </c>
      <c r="CD1314" s="57" t="n">
        <f aca="false">ROUNDUP(H1314/BS1314,0)</f>
        <v>1</v>
      </c>
      <c r="CE1314" s="57" t="n">
        <f aca="false">ROUNDUP(CB1314/BS1314,0)</f>
        <v>0</v>
      </c>
      <c r="CF1314" s="60" t="n">
        <f aca="false">IF(BT1314=1,0,IFERROR(VLOOKUP(BR1314,'Gebinde-Kategorie'!$A$5:$M$45,5,0)+0,0))</f>
        <v>11</v>
      </c>
      <c r="CG1314" s="60" t="n">
        <f aca="false">IFERROR(IF(OR(BX1314=1,BX1314=2,BX1314=3),N(INDEX(Parameter!$I$5:$I$7,BX1314)),0),0)</f>
        <v>0</v>
      </c>
      <c r="CH1314" s="59" t="n">
        <f aca="false">IF(AND(Parameter!$B$21="Ja",ISNUMBER(W1314),N(X1314)&gt;0),IFERROR(N(INDEX(Parameter!$L$5:$L$7,W1314))*INDEX(Parameter!$E$5:$E$7,W1314)*X1314/SUMIFS($X$7:$X$1843,$W$7:$W$1843,W1314),0),0)</f>
        <v>0</v>
      </c>
    </row>
    <row r="1315" customFormat="false" ht="15" hidden="false" customHeight="false" outlineLevel="0" collapsed="false">
      <c r="A1315" s="55" t="s">
        <v>2334</v>
      </c>
      <c r="B1315" s="55" t="s">
        <v>2335</v>
      </c>
      <c r="C1315" s="55" t="s">
        <v>164</v>
      </c>
      <c r="D1315" s="55" t="s">
        <v>184</v>
      </c>
      <c r="E1315" s="55" t="s">
        <v>185</v>
      </c>
      <c r="F1315" s="55" t="s">
        <v>218</v>
      </c>
      <c r="G1315" s="56" t="n">
        <v>148.68</v>
      </c>
      <c r="H1315" s="57" t="n">
        <f aca="false">MAX(0,IF(AND(Parameter!$B$21="Ja",ISNUMBER(Y1315)),Y1315,IF(Parameter!$B$20="Jahresanfang 2025 + Export",BL1315+BK1315,BK1315)))</f>
        <v>12</v>
      </c>
      <c r="I1315" s="57" t="n">
        <f aca="false">H1315*G1315</f>
        <v>1784.16</v>
      </c>
      <c r="J1315" s="57" t="n">
        <f aca="false">BN1315*Parameter!$B$18</f>
        <v>33</v>
      </c>
      <c r="K1315" s="58" t="n">
        <v>20</v>
      </c>
      <c r="L1315" s="59" t="n">
        <v>1.65</v>
      </c>
      <c r="M1315" s="57" t="n">
        <v>2</v>
      </c>
      <c r="N1315" s="57" t="n">
        <v>25</v>
      </c>
      <c r="O1315" s="60" t="n">
        <v>30</v>
      </c>
      <c r="P1315" s="55" t="s">
        <v>476</v>
      </c>
      <c r="Q1315" s="57" t="n">
        <v>37</v>
      </c>
      <c r="R1315" s="60" t="n">
        <f aca="false">IF(BT1315=1,0,IFERROR(VLOOKUP(BR1315,'Gebinde-Kategorie'!$A$5:$M$45,13,0)+0,0))</f>
        <v>66</v>
      </c>
      <c r="S1315" s="61"/>
      <c r="T1315" s="62"/>
      <c r="U1315" s="62"/>
      <c r="V1315" s="62"/>
      <c r="W1315" s="55"/>
      <c r="X1315" s="57"/>
      <c r="Y1315" s="57"/>
      <c r="Z1315" s="55" t="n">
        <f aca="false">IF(A1315="","",IF(AND(Parameter!$B$21="Ja",ISNUMBER(W1315)),W1315,IF(BV1315="2+3",IF(ISNUMBER(SEARCH("grosser Artikel",BO1315)),2,IFERROR(VLOOKUP(BR1315,Parameter!$F$35:$G$64,2,0),2)),IF(OR(BV1315="Nein",BV1315=""),"-",BV1315))))</f>
        <v>3</v>
      </c>
      <c r="AA1315" s="62"/>
      <c r="AB1315" s="63"/>
      <c r="AC1315" s="57" t="n">
        <f aca="false">AR1315</f>
        <v>37</v>
      </c>
      <c r="AD1315" s="57" t="n">
        <f aca="false">MAX(AR1315,H1315)</f>
        <v>37</v>
      </c>
      <c r="AE1315" s="64"/>
      <c r="AF1315" s="57" t="n">
        <f aca="false">IF(LEFT(Cockpit!$C$5,1)="A",H1315,IF(CA1315=1,CB1315,IF(LEFT(Cockpit!$C$5,1)="B",AJ1315,MAX(AJ1315,H1315))))</f>
        <v>12</v>
      </c>
      <c r="AG1315" s="57" t="n">
        <f aca="false">IF(BT1315=1,0,ROUNDUP(AF1315/BS1315,0))</f>
        <v>1</v>
      </c>
      <c r="AH1315" s="59" t="n">
        <f aca="false">IF(CH1315&gt;0,CH1315*MAX(1,AF1315/X1315),IF(BT1315=1,IF(AF1315&lt;=0,0,BW1315*MAX(1,IF(H1315&gt;0,AF1315/H1315,1))),IF(R1315&gt;0,AG1315/R1315,0))/MAX(0.1,N(Parameter!$M$21)))</f>
        <v>0.0151515151515152</v>
      </c>
      <c r="AI1315" s="57" t="n">
        <f aca="false">AF1315*G1315</f>
        <v>1784.16</v>
      </c>
      <c r="AJ1315" s="57" t="n">
        <f aca="false">ROUNDUP(MAX(J1315/IF(BZ1315&gt;0,BZ1315,MAX(0.1,N(Cockpit!$C$6))),CC1315)/BS1315,0)*BS1315</f>
        <v>37</v>
      </c>
      <c r="AK1315" s="58" t="n">
        <f aca="false">IF(AH1315&gt;0,J1315/AH1315,-1)</f>
        <v>2178</v>
      </c>
      <c r="AL1315" s="58" t="n">
        <f aca="false">IF(AND(OR(BY1315="L1",BY1315="L23"),AH1315&gt;0),SUMIFS($AH$7:$AH$1843,$BY$7:$BY$1843,BY1315,$AK$7:$AK$1843,"&gt;"&amp;AK1315)+SUMIFS($AH$7:$AH$1843,$BY$7:$BY$1843,BY1315,$AK$7:$AK$1843,AK1315,$BQ$7:$BQ$1843,"&lt;="&amp;BQ1315),"")</f>
        <v>12.6833468463903</v>
      </c>
      <c r="AM1315" s="65" t="n">
        <f aca="false">IF(AL1315="",0,MAX(0,MIN(1,(IF(BY1315="L1",Parameter!$E$5,Parameter!$E$6+Parameter!$E$7)-(AL1315-AH1315))/AH1315)))</f>
        <v>1</v>
      </c>
      <c r="AN1315" s="57" t="n">
        <f aca="false">IF(LEFT(Cockpit!$I$5,1)="A",H1315,IF(CA1315=1,CB1315,IF(LEFT(Cockpit!$I$5,1)="B",AR1315,MAX(AR1315,H1315))))</f>
        <v>37</v>
      </c>
      <c r="AO1315" s="57" t="n">
        <f aca="false">IF(BT1315=1,0,ROUNDUP(AN1315/BS1315,0))</f>
        <v>1</v>
      </c>
      <c r="AP1315" s="59" t="n">
        <f aca="false">IF(CH1315&gt;0,CH1315*MAX(1,AN1315/X1315),IF(BT1315=1,IF(AN1315&lt;=0,0,BW1315*MAX(1,IF(H1315&gt;0,AN1315/H1315,1))),IF(R1315&gt;0,AO1315/R1315,0))/MAX(0.1,N(Parameter!$M$21)))</f>
        <v>0.0151515151515152</v>
      </c>
      <c r="AQ1315" s="57" t="n">
        <f aca="false">AN1315*G1315</f>
        <v>5501.16</v>
      </c>
      <c r="AR1315" s="57" t="n">
        <f aca="false">ROUNDUP(MAX(J1315/IF(BZ1315&gt;0,BZ1315,MAX(0.1,N(Cockpit!$I$6))),CC1315)/BS1315,0)*BS1315</f>
        <v>37</v>
      </c>
      <c r="AS1315" s="58" t="n">
        <f aca="false">IF(AP1315&gt;0,J1315/AP1315,-1)</f>
        <v>2178</v>
      </c>
      <c r="AT1315" s="58" t="n">
        <f aca="false">IF(AND(OR(BY1315="L1",BY1315="L23"),AP1315&gt;0),SUMIFS($AP$7:$AP$1843,$BY$7:$BY$1843,BY1315,$AS$7:$AS$1843,"&gt;"&amp;AS1315)+SUMIFS($AP$7:$AP$1843,$BY$7:$BY$1843,BY1315,$AS$7:$AS$1843,AS1315,$BQ$7:$BQ$1843,"&lt;="&amp;BQ1315),"")</f>
        <v>18.3156734569778</v>
      </c>
      <c r="AU1315" s="65" t="n">
        <f aca="false">IF(AT1315="",0,MAX(0,MIN(1,(IF(BY1315="L1",Parameter!$E$5,Parameter!$E$6+Parameter!$E$7)-(AT1315-AP1315))/AP1315)))</f>
        <v>1</v>
      </c>
      <c r="AV1315" s="57" t="n">
        <f aca="false">IF(LEFT(Cockpit!$O$5,1)="A",H1315,IF(CA1315=1,CB1315,IF(LEFT(Cockpit!$O$5,1)="B",AZ1315,MAX(AZ1315,H1315))))</f>
        <v>37</v>
      </c>
      <c r="AW1315" s="57" t="n">
        <f aca="false">IF(BT1315=1,0,ROUNDUP(AV1315/BS1315,0))</f>
        <v>1</v>
      </c>
      <c r="AX1315" s="59" t="n">
        <f aca="false">IF(CH1315&gt;0,CH1315*MAX(1,AV1315/X1315),IF(BT1315=1,IF(AV1315&lt;=0,0,BW1315*MAX(1,IF(H1315&gt;0,AV1315/H1315,1))),IF(R1315&gt;0,AW1315/R1315,0))/MAX(0.1,N(Parameter!$M$21)))</f>
        <v>0.0151515151515152</v>
      </c>
      <c r="AY1315" s="57" t="n">
        <f aca="false">AV1315*G1315</f>
        <v>5501.16</v>
      </c>
      <c r="AZ1315" s="57" t="n">
        <f aca="false">ROUNDUP(MAX(J1315/IF(BZ1315&gt;0,BZ1315,MAX(0.1,N(Cockpit!$O$6))),CC1315)/BS1315,0)*BS1315</f>
        <v>37</v>
      </c>
      <c r="BA1315" s="58" t="n">
        <f aca="false">IF(AX1315&gt;0,J1315/AX1315,-1)</f>
        <v>2178</v>
      </c>
      <c r="BB1315" s="58" t="n">
        <f aca="false">IF(AND(OR(BY1315="L1",BY1315="L23"),AX1315&gt;0),SUMIFS($AX$7:$AX$1843,$BY$7:$BY$1843,BY1315,$BA$7:$BA$1843,"&gt;"&amp;BA1315)+SUMIFS($AX$7:$AX$1843,$BY$7:$BY$1843,BY1315,$BA$7:$BA$1843,BA1315,$BQ$7:$BQ$1843,"&lt;="&amp;BQ1315),"")</f>
        <v>16.8891000304044</v>
      </c>
      <c r="BC1315" s="65" t="n">
        <f aca="false">IF(BB1315="",0,MAX(0,MIN(1,(IF(BY1315="L1",Parameter!$E$5,Parameter!$E$6+Parameter!$E$7)-(BB1315-AX1315))/AX1315)))</f>
        <v>1</v>
      </c>
      <c r="BD1315" s="55" t="str">
        <f aca="false">IF(AH1315&lt;=0,"",IF(BY1315="Aussen","Aussenlager",IF(BY1315="-","Nicht im Lift",IF(AM1315&gt;=1,"Lift",IF(AM1315&lt;=0,"Aussenlager","teilweise")))))</f>
        <v>Lift</v>
      </c>
      <c r="BE1315" s="55" t="str">
        <f aca="false">IF(AP1315&lt;=0,"",IF(BY1315="Aussen","Aussenlager",IF(BY1315="-","Nicht im Lift",IF(AU1315&gt;=1,"Lift",IF(AU1315&lt;=0,"Aussenlager","teilweise")))))</f>
        <v>Lift</v>
      </c>
      <c r="BF1315" s="55" t="str">
        <f aca="false">IF(AX1315&lt;=0,"",IF(BY1315="Aussen","Aussenlager",IF(BY1315="-","Nicht im Lift",IF(BC1315&gt;=1,"Lift",IF(BC1315&lt;=0,"Aussenlager","teilweise")))))</f>
        <v>Lift</v>
      </c>
      <c r="BG1315" s="55" t="str">
        <f aca="false">IF(A1315="","",IF(BP1315=1,"Neu; ","")&amp;IF(AND(BP1315=0,BK1315&lt;0),"negativer Bestand (Export "&amp;BK1315&amp;"); ","")&amp;IF(J1315&lt;=0,"Kein Verbrauch; ","")&amp;IF(CH1315&gt;0,"Lift "&amp;W1315&amp;" lt. Liftbericht (Fach "&amp;X1315&amp;" Stk); ",IF(BU1315=1,"Gebinde geschätzt ("&amp;T1315&amp;"); ",IF(BT1315=1,"Lose – Tablare geschätzt; ","")))&amp;IF(H1315&gt;AR1315,"Überbestand "&amp;ROUND(H1315-AR1315,0)&amp;" Stk / CHF "&amp;ROUND((H1315-AR1315)*G1315,0)&amp;"; ","")&amp;IF(AND(CA1315=1,CB1315&lt;CC1315),"MAX &lt; MB+LG; ","")&amp;IF(AND(CG1315&gt;0,CF1315*10&gt;CG1315),"zu hoch für Tablar; ","")&amp;IF(AND(BP1315=0,OR(CA1315=1,AA1315&lt;&gt;"",U1315&lt;&gt;"",V1315&lt;&gt;"",AB1315&lt;&gt;"")),"manuell übersteuert; ","")&amp;IF(AND(BT1315=0,R1315=0),"Gebinde unbekannt / Stellmass fehlt; ","")&amp;IF(AND(BT1315=0,N(V1315)&lt;=0,N(Q1315)&lt;=0),"Menge pro Gebinde fehlt (Ist = 1 Gebinde); ","")&amp;BO1315)</f>
        <v>negativer Bestand (Export -9); </v>
      </c>
      <c r="BH1315" s="55"/>
      <c r="BI1315" s="55"/>
      <c r="BJ1315" s="62"/>
      <c r="BK1315" s="57" t="n">
        <v>-9</v>
      </c>
      <c r="BL1315" s="57" t="n">
        <v>21</v>
      </c>
      <c r="BM1315" s="56" t="n">
        <v>-1335.06</v>
      </c>
      <c r="BN1315" s="57" t="n">
        <v>33</v>
      </c>
      <c r="BO1315" s="55"/>
      <c r="BP1315" s="60" t="n">
        <v>0</v>
      </c>
      <c r="BQ1315" s="60" t="n">
        <v>1315</v>
      </c>
      <c r="BR1315" s="55" t="str">
        <f aca="false">IF(U1315&lt;&gt;"",UPPER(TRIM(U1315)),IF(BU1315=1,UPPER(VLOOKUP(T1315,Parameter!$I$27:$K$29,2,0)),IF(P1315="","LOSE",P1315)))</f>
        <v>S33</v>
      </c>
      <c r="BS1315" s="57" t="n">
        <f aca="false">IF(BR1315="LOSE",1,IF(N(V1315)&gt;0,V1315,IF(BU1315=1,MAX(1,N(VLOOKUP(T1315,Parameter!$I$27:$K$29,3,0)),H1315,N(N1315)),IF(N(Q1315)&gt;0,Q1315,MAX(1,H1315)))))</f>
        <v>37</v>
      </c>
      <c r="BT1315" s="60" t="n">
        <f aca="false">IF(BR1315="LOSE",1,0)</f>
        <v>0</v>
      </c>
      <c r="BU1315" s="60" t="n">
        <f aca="false">IF(AND(U1315="",OR(P1315="",P1315="LOSE"),T1315&lt;&gt;"",N(S1315)&lt;=0,ISNUMBER(MATCH(T1315,Parameter!$I$27:$I$29,0))),1,0)</f>
        <v>0</v>
      </c>
      <c r="BV1315" s="55" t="str">
        <f aca="false">IF(AND(Parameter!$B$19="Ja",E1315&lt;&gt;"",ISNUMBER(MATCH(E1315,Parameter!$I$35:$I$52,0))),VLOOKUP(E1315,Parameter!$I$35:$J$52,2,0),IFERROR(VLOOKUP(D1315,Parameter!$A$35:$C$64,2,0),"Nein"))</f>
        <v>2+3</v>
      </c>
      <c r="BW1315" s="59" t="n">
        <f aca="false">IF(BT1315=0,0,IF(N(S1315)&gt;0,S1315,IFERROR(VLOOKUP(D1315,Parameter!$A$35:$C$64,3,0)+0,0)))</f>
        <v>0</v>
      </c>
      <c r="BX1315" s="55" t="n">
        <f aca="false">IF(AA1315&lt;&gt;"",AA1315,Z1315)</f>
        <v>3</v>
      </c>
      <c r="BY1315" s="55" t="str">
        <f aca="false">IF(BX1315=1,"L1",IF(OR(BX1315=2,BX1315=3),"L23",IF(BX1315="Aussen","Aussen","-")))</f>
        <v>L23</v>
      </c>
      <c r="BZ1315" s="66" t="n">
        <f aca="false">IF(N(AB1315)&gt;0,AB1315,0)</f>
        <v>0</v>
      </c>
      <c r="CA1315" s="60" t="n">
        <f aca="false">IF(ISNUMBER(AE1315),1,0)</f>
        <v>0</v>
      </c>
      <c r="CB1315" s="57" t="n">
        <f aca="false">N(AE1315)</f>
        <v>0</v>
      </c>
      <c r="CC1315" s="57" t="n">
        <f aca="false">N(M1315)+N(N1315)</f>
        <v>27</v>
      </c>
      <c r="CD1315" s="57" t="n">
        <f aca="false">ROUNDUP(H1315/BS1315,0)</f>
        <v>1</v>
      </c>
      <c r="CE1315" s="57" t="n">
        <f aca="false">ROUNDUP(CB1315/BS1315,0)</f>
        <v>0</v>
      </c>
      <c r="CF1315" s="60" t="n">
        <f aca="false">IF(BT1315=1,0,IFERROR(VLOOKUP(BR1315,'Gebinde-Kategorie'!$A$5:$M$45,5,0)+0,0))</f>
        <v>8</v>
      </c>
      <c r="CG1315" s="60" t="n">
        <f aca="false">IFERROR(IF(OR(BX1315=1,BX1315=2,BX1315=3),N(INDEX(Parameter!$I$5:$I$7,BX1315)),0),0)</f>
        <v>0</v>
      </c>
      <c r="CH1315" s="59" t="n">
        <f aca="false">IF(AND(Parameter!$B$21="Ja",ISNUMBER(W1315),N(X1315)&gt;0),IFERROR(N(INDEX(Parameter!$L$5:$L$7,W1315))*INDEX(Parameter!$E$5:$E$7,W1315)*X1315/SUMIFS($X$7:$X$1843,$W$7:$W$1843,W1315),0),0)</f>
        <v>0</v>
      </c>
    </row>
    <row r="1316" customFormat="false" ht="15" hidden="false" customHeight="false" outlineLevel="0" collapsed="false">
      <c r="A1316" s="55" t="s">
        <v>2336</v>
      </c>
      <c r="B1316" s="55" t="s">
        <v>2337</v>
      </c>
      <c r="C1316" s="55" t="s">
        <v>164</v>
      </c>
      <c r="D1316" s="55" t="s">
        <v>184</v>
      </c>
      <c r="E1316" s="55" t="s">
        <v>185</v>
      </c>
      <c r="F1316" s="55" t="s">
        <v>218</v>
      </c>
      <c r="G1316" s="56" t="n">
        <v>31.25</v>
      </c>
      <c r="H1316" s="57" t="n">
        <f aca="false">MAX(0,IF(AND(Parameter!$B$21="Ja",ISNUMBER(Y1316)),Y1316,IF(Parameter!$B$20="Jahresanfang 2025 + Export",BL1316+BK1316,BK1316)))</f>
        <v>25</v>
      </c>
      <c r="I1316" s="57" t="n">
        <f aca="false">H1316*G1316</f>
        <v>781.25</v>
      </c>
      <c r="J1316" s="57" t="n">
        <f aca="false">BN1316*Parameter!$B$18</f>
        <v>29</v>
      </c>
      <c r="K1316" s="58" t="n">
        <v>17</v>
      </c>
      <c r="L1316" s="59" t="n">
        <v>1.70588235294118</v>
      </c>
      <c r="M1316" s="57" t="n">
        <v>1</v>
      </c>
      <c r="N1316" s="57" t="n">
        <v>30</v>
      </c>
      <c r="O1316" s="60" t="n">
        <v>14</v>
      </c>
      <c r="P1316" s="55" t="s">
        <v>226</v>
      </c>
      <c r="Q1316" s="57" t="n">
        <v>39</v>
      </c>
      <c r="R1316" s="60" t="n">
        <f aca="false">IF(BT1316=1,0,IFERROR(VLOOKUP(BR1316,'Gebinde-Kategorie'!$A$5:$M$45,13,0)+0,0))</f>
        <v>12</v>
      </c>
      <c r="S1316" s="61"/>
      <c r="T1316" s="62"/>
      <c r="U1316" s="62"/>
      <c r="V1316" s="62"/>
      <c r="W1316" s="55"/>
      <c r="X1316" s="57"/>
      <c r="Y1316" s="57"/>
      <c r="Z1316" s="55" t="n">
        <f aca="false">IF(A1316="","",IF(AND(Parameter!$B$21="Ja",ISNUMBER(W1316)),W1316,IF(BV1316="2+3",IF(ISNUMBER(SEARCH("grosser Artikel",BO1316)),2,IFERROR(VLOOKUP(BR1316,Parameter!$F$35:$G$64,2,0),2)),IF(OR(BV1316="Nein",BV1316=""),"-",BV1316))))</f>
        <v>2</v>
      </c>
      <c r="AA1316" s="62"/>
      <c r="AB1316" s="63"/>
      <c r="AC1316" s="57" t="n">
        <f aca="false">AR1316</f>
        <v>39</v>
      </c>
      <c r="AD1316" s="57" t="n">
        <f aca="false">MAX(AR1316,H1316)</f>
        <v>39</v>
      </c>
      <c r="AE1316" s="64"/>
      <c r="AF1316" s="57" t="n">
        <f aca="false">IF(LEFT(Cockpit!$C$5,1)="A",H1316,IF(CA1316=1,CB1316,IF(LEFT(Cockpit!$C$5,1)="B",AJ1316,MAX(AJ1316,H1316))))</f>
        <v>25</v>
      </c>
      <c r="AG1316" s="57" t="n">
        <f aca="false">IF(BT1316=1,0,ROUNDUP(AF1316/BS1316,0))</f>
        <v>1</v>
      </c>
      <c r="AH1316" s="59" t="n">
        <f aca="false">IF(CH1316&gt;0,CH1316*MAX(1,AF1316/X1316),IF(BT1316=1,IF(AF1316&lt;=0,0,BW1316*MAX(1,IF(H1316&gt;0,AF1316/H1316,1))),IF(R1316&gt;0,AG1316/R1316,0))/MAX(0.1,N(Parameter!$M$21)))</f>
        <v>0.0833333333333333</v>
      </c>
      <c r="AI1316" s="57" t="n">
        <f aca="false">AF1316*G1316</f>
        <v>781.25</v>
      </c>
      <c r="AJ1316" s="57" t="n">
        <f aca="false">ROUNDUP(MAX(J1316/IF(BZ1316&gt;0,BZ1316,MAX(0.1,N(Cockpit!$C$6))),CC1316)/BS1316,0)*BS1316</f>
        <v>39</v>
      </c>
      <c r="AK1316" s="58" t="n">
        <f aca="false">IF(AH1316&gt;0,J1316/AH1316,-1)</f>
        <v>348</v>
      </c>
      <c r="AL1316" s="58" t="n">
        <f aca="false">IF(AND(OR(BY1316="L1",BY1316="L23"),AH1316&gt;0),SUMIFS($AH$7:$AH$1843,$BY$7:$BY$1843,BY1316,$AK$7:$AK$1843,"&gt;"&amp;AK1316)+SUMIFS($AH$7:$AH$1843,$BY$7:$BY$1843,BY1316,$AK$7:$AK$1843,AK1316,$BQ$7:$BQ$1843,"&lt;="&amp;BQ1316),"")</f>
        <v>27.5018411540151</v>
      </c>
      <c r="AM1316" s="65" t="n">
        <f aca="false">IF(AL1316="",0,MAX(0,MIN(1,(IF(BY1316="L1",Parameter!$E$5,Parameter!$E$6+Parameter!$E$7)-(AL1316-AH1316))/AH1316)))</f>
        <v>1</v>
      </c>
      <c r="AN1316" s="57" t="n">
        <f aca="false">IF(LEFT(Cockpit!$I$5,1)="A",H1316,IF(CA1316=1,CB1316,IF(LEFT(Cockpit!$I$5,1)="B",AR1316,MAX(AR1316,H1316))))</f>
        <v>39</v>
      </c>
      <c r="AO1316" s="57" t="n">
        <f aca="false">IF(BT1316=1,0,ROUNDUP(AN1316/BS1316,0))</f>
        <v>1</v>
      </c>
      <c r="AP1316" s="59" t="n">
        <f aca="false">IF(CH1316&gt;0,CH1316*MAX(1,AN1316/X1316),IF(BT1316=1,IF(AN1316&lt;=0,0,BW1316*MAX(1,IF(H1316&gt;0,AN1316/H1316,1))),IF(R1316&gt;0,AO1316/R1316,0))/MAX(0.1,N(Parameter!$M$21)))</f>
        <v>0.0833333333333333</v>
      </c>
      <c r="AQ1316" s="57" t="n">
        <f aca="false">AN1316*G1316</f>
        <v>1218.75</v>
      </c>
      <c r="AR1316" s="57" t="n">
        <f aca="false">ROUNDUP(MAX(J1316/IF(BZ1316&gt;0,BZ1316,MAX(0.1,N(Cockpit!$I$6))),CC1316)/BS1316,0)*BS1316</f>
        <v>39</v>
      </c>
      <c r="AS1316" s="58" t="n">
        <f aca="false">IF(AP1316&gt;0,J1316/AP1316,-1)</f>
        <v>348</v>
      </c>
      <c r="AT1316" s="58" t="n">
        <f aca="false">IF(AND(OR(BY1316="L1",BY1316="L23"),AP1316&gt;0),SUMIFS($AP$7:$AP$1843,$BY$7:$BY$1843,BY1316,$AS$7:$AS$1843,"&gt;"&amp;AS1316)+SUMIFS($AP$7:$AP$1843,$BY$7:$BY$1843,BY1316,$AS$7:$AS$1843,AS1316,$BQ$7:$BQ$1843,"&lt;="&amp;BQ1316),"")</f>
        <v>37.3041704672139</v>
      </c>
      <c r="AU1316" s="65" t="n">
        <f aca="false">IF(AT1316="",0,MAX(0,MIN(1,(IF(BY1316="L1",Parameter!$E$5,Parameter!$E$6+Parameter!$E$7)-(AT1316-AP1316))/AP1316)))</f>
        <v>1</v>
      </c>
      <c r="AV1316" s="57" t="n">
        <f aca="false">IF(LEFT(Cockpit!$O$5,1)="A",H1316,IF(CA1316=1,CB1316,IF(LEFT(Cockpit!$O$5,1)="B",AZ1316,MAX(AZ1316,H1316))))</f>
        <v>39</v>
      </c>
      <c r="AW1316" s="57" t="n">
        <f aca="false">IF(BT1316=1,0,ROUNDUP(AV1316/BS1316,0))</f>
        <v>1</v>
      </c>
      <c r="AX1316" s="59" t="n">
        <f aca="false">IF(CH1316&gt;0,CH1316*MAX(1,AV1316/X1316),IF(BT1316=1,IF(AV1316&lt;=0,0,BW1316*MAX(1,IF(H1316&gt;0,AV1316/H1316,1))),IF(R1316&gt;0,AW1316/R1316,0))/MAX(0.1,N(Parameter!$M$21)))</f>
        <v>0.0833333333333333</v>
      </c>
      <c r="AY1316" s="57" t="n">
        <f aca="false">AV1316*G1316</f>
        <v>1218.75</v>
      </c>
      <c r="AZ1316" s="57" t="n">
        <f aca="false">ROUNDUP(MAX(J1316/IF(BZ1316&gt;0,BZ1316,MAX(0.1,N(Cockpit!$O$6))),CC1316)/BS1316,0)*BS1316</f>
        <v>39</v>
      </c>
      <c r="BA1316" s="58" t="n">
        <f aca="false">IF(AX1316&gt;0,J1316/AX1316,-1)</f>
        <v>348</v>
      </c>
      <c r="BB1316" s="58" t="n">
        <f aca="false">IF(AND(OR(BY1316="L1",BY1316="L23"),AX1316&gt;0),SUMIFS($AX$7:$AX$1843,$BY$7:$BY$1843,BY1316,$BA$7:$BA$1843,"&gt;"&amp;BA1316)+SUMIFS($AX$7:$AX$1843,$BY$7:$BY$1843,BY1316,$BA$7:$BA$1843,BA1316,$BQ$7:$BQ$1843,"&lt;="&amp;BQ1316),"")</f>
        <v>36.1340072970508</v>
      </c>
      <c r="BC1316" s="65" t="n">
        <f aca="false">IF(BB1316="",0,MAX(0,MIN(1,(IF(BY1316="L1",Parameter!$E$5,Parameter!$E$6+Parameter!$E$7)-(BB1316-AX1316))/AX1316)))</f>
        <v>1</v>
      </c>
      <c r="BD1316" s="55" t="str">
        <f aca="false">IF(AH1316&lt;=0,"",IF(BY1316="Aussen","Aussenlager",IF(BY1316="-","Nicht im Lift",IF(AM1316&gt;=1,"Lift",IF(AM1316&lt;=0,"Aussenlager","teilweise")))))</f>
        <v>Lift</v>
      </c>
      <c r="BE1316" s="55" t="str">
        <f aca="false">IF(AP1316&lt;=0,"",IF(BY1316="Aussen","Aussenlager",IF(BY1316="-","Nicht im Lift",IF(AU1316&gt;=1,"Lift",IF(AU1316&lt;=0,"Aussenlager","teilweise")))))</f>
        <v>Lift</v>
      </c>
      <c r="BF1316" s="55" t="str">
        <f aca="false">IF(AX1316&lt;=0,"",IF(BY1316="Aussen","Aussenlager",IF(BY1316="-","Nicht im Lift",IF(BC1316&gt;=1,"Lift",IF(BC1316&lt;=0,"Aussenlager","teilweise")))))</f>
        <v>Lift</v>
      </c>
      <c r="BG1316" s="55" t="str">
        <f aca="false">IF(A1316="","",IF(BP1316=1,"Neu; ","")&amp;IF(AND(BP1316=0,BK1316&lt;0),"negativer Bestand (Export "&amp;BK1316&amp;"); ","")&amp;IF(J1316&lt;=0,"Kein Verbrauch; ","")&amp;IF(CH1316&gt;0,"Lift "&amp;W1316&amp;" lt. Liftbericht (Fach "&amp;X1316&amp;" Stk); ",IF(BU1316=1,"Gebinde geschätzt ("&amp;T1316&amp;"); ",IF(BT1316=1,"Lose – Tablare geschätzt; ","")))&amp;IF(H1316&gt;AR1316,"Überbestand "&amp;ROUND(H1316-AR1316,0)&amp;" Stk / CHF "&amp;ROUND((H1316-AR1316)*G1316,0)&amp;"; ","")&amp;IF(AND(CA1316=1,CB1316&lt;CC1316),"MAX &lt; MB+LG; ","")&amp;IF(AND(CG1316&gt;0,CF1316*10&gt;CG1316),"zu hoch für Tablar; ","")&amp;IF(AND(BP1316=0,OR(CA1316=1,AA1316&lt;&gt;"",U1316&lt;&gt;"",V1316&lt;&gt;"",AB1316&lt;&gt;"")),"manuell übersteuert; ","")&amp;IF(AND(BT1316=0,R1316=0),"Gebinde unbekannt / Stellmass fehlt; ","")&amp;IF(AND(BT1316=0,N(V1316)&lt;=0,N(Q1316)&lt;=0),"Menge pro Gebinde fehlt (Ist = 1 Gebinde); ","")&amp;BO1316)</f>
        <v/>
      </c>
      <c r="BH1316" s="55"/>
      <c r="BI1316" s="55"/>
      <c r="BJ1316" s="62"/>
      <c r="BK1316" s="57" t="n">
        <v>6</v>
      </c>
      <c r="BL1316" s="57" t="n">
        <v>19</v>
      </c>
      <c r="BM1316" s="56" t="n">
        <v>-1346.56</v>
      </c>
      <c r="BN1316" s="57" t="n">
        <v>29</v>
      </c>
      <c r="BO1316" s="55"/>
      <c r="BP1316" s="60" t="n">
        <v>0</v>
      </c>
      <c r="BQ1316" s="60" t="n">
        <v>1316</v>
      </c>
      <c r="BR1316" s="55" t="str">
        <f aca="false">IF(U1316&lt;&gt;"",UPPER(TRIM(U1316)),IF(BU1316=1,UPPER(VLOOKUP(T1316,Parameter!$I$27:$K$29,2,0)),IF(P1316="","LOSE",P1316)))</f>
        <v>S63</v>
      </c>
      <c r="BS1316" s="57" t="n">
        <f aca="false">IF(BR1316="LOSE",1,IF(N(V1316)&gt;0,V1316,IF(BU1316=1,MAX(1,N(VLOOKUP(T1316,Parameter!$I$27:$K$29,3,0)),H1316,N(N1316)),IF(N(Q1316)&gt;0,Q1316,MAX(1,H1316)))))</f>
        <v>39</v>
      </c>
      <c r="BT1316" s="60" t="n">
        <f aca="false">IF(BR1316="LOSE",1,0)</f>
        <v>0</v>
      </c>
      <c r="BU1316" s="60" t="n">
        <f aca="false">IF(AND(U1316="",OR(P1316="",P1316="LOSE"),T1316&lt;&gt;"",N(S1316)&lt;=0,ISNUMBER(MATCH(T1316,Parameter!$I$27:$I$29,0))),1,0)</f>
        <v>0</v>
      </c>
      <c r="BV1316" s="55" t="str">
        <f aca="false">IF(AND(Parameter!$B$19="Ja",E1316&lt;&gt;"",ISNUMBER(MATCH(E1316,Parameter!$I$35:$I$52,0))),VLOOKUP(E1316,Parameter!$I$35:$J$52,2,0),IFERROR(VLOOKUP(D1316,Parameter!$A$35:$C$64,2,0),"Nein"))</f>
        <v>2+3</v>
      </c>
      <c r="BW1316" s="59" t="n">
        <f aca="false">IF(BT1316=0,0,IF(N(S1316)&gt;0,S1316,IFERROR(VLOOKUP(D1316,Parameter!$A$35:$C$64,3,0)+0,0)))</f>
        <v>0</v>
      </c>
      <c r="BX1316" s="55" t="n">
        <f aca="false">IF(AA1316&lt;&gt;"",AA1316,Z1316)</f>
        <v>2</v>
      </c>
      <c r="BY1316" s="55" t="str">
        <f aca="false">IF(BX1316=1,"L1",IF(OR(BX1316=2,BX1316=3),"L23",IF(BX1316="Aussen","Aussen","-")))</f>
        <v>L23</v>
      </c>
      <c r="BZ1316" s="66" t="n">
        <f aca="false">IF(N(AB1316)&gt;0,AB1316,0)</f>
        <v>0</v>
      </c>
      <c r="CA1316" s="60" t="n">
        <f aca="false">IF(ISNUMBER(AE1316),1,0)</f>
        <v>0</v>
      </c>
      <c r="CB1316" s="57" t="n">
        <f aca="false">N(AE1316)</f>
        <v>0</v>
      </c>
      <c r="CC1316" s="57" t="n">
        <f aca="false">N(M1316)+N(N1316)</f>
        <v>31</v>
      </c>
      <c r="CD1316" s="57" t="n">
        <f aca="false">ROUNDUP(H1316/BS1316,0)</f>
        <v>1</v>
      </c>
      <c r="CE1316" s="57" t="n">
        <f aca="false">ROUNDUP(CB1316/BS1316,0)</f>
        <v>0</v>
      </c>
      <c r="CF1316" s="60" t="n">
        <f aca="false">IF(BT1316=1,0,IFERROR(VLOOKUP(BR1316,'Gebinde-Kategorie'!$A$5:$M$45,5,0)+0,0))</f>
        <v>31</v>
      </c>
      <c r="CG1316" s="60" t="n">
        <f aca="false">IFERROR(IF(OR(BX1316=1,BX1316=2,BX1316=3),N(INDEX(Parameter!$I$5:$I$7,BX1316)),0),0)</f>
        <v>0</v>
      </c>
      <c r="CH1316" s="59" t="n">
        <f aca="false">IF(AND(Parameter!$B$21="Ja",ISNUMBER(W1316),N(X1316)&gt;0),IFERROR(N(INDEX(Parameter!$L$5:$L$7,W1316))*INDEX(Parameter!$E$5:$E$7,W1316)*X1316/SUMIFS($X$7:$X$1843,$W$7:$W$1843,W1316),0),0)</f>
        <v>0</v>
      </c>
    </row>
    <row r="1317" customFormat="false" ht="15" hidden="false" customHeight="false" outlineLevel="0" collapsed="false">
      <c r="A1317" s="55" t="s">
        <v>2338</v>
      </c>
      <c r="B1317" s="55" t="s">
        <v>253</v>
      </c>
      <c r="C1317" s="55" t="s">
        <v>167</v>
      </c>
      <c r="D1317" s="55" t="s">
        <v>173</v>
      </c>
      <c r="E1317" s="55"/>
      <c r="F1317" s="55" t="s">
        <v>218</v>
      </c>
      <c r="G1317" s="56" t="n">
        <v>1415.42</v>
      </c>
      <c r="H1317" s="57" t="n">
        <f aca="false">MAX(0,IF(AND(Parameter!$B$21="Ja",ISNUMBER(Y1317)),Y1317,IF(Parameter!$B$20="Jahresanfang 2025 + Export",BL1317+BK1317,BK1317)))</f>
        <v>1</v>
      </c>
      <c r="I1317" s="57" t="n">
        <f aca="false">H1317*G1317</f>
        <v>1415.42</v>
      </c>
      <c r="J1317" s="57" t="n">
        <f aca="false">BN1317*Parameter!$B$18</f>
        <v>12</v>
      </c>
      <c r="K1317" s="58" t="n">
        <v>1.5</v>
      </c>
      <c r="L1317" s="59" t="n">
        <v>8</v>
      </c>
      <c r="M1317" s="57" t="n">
        <v>0</v>
      </c>
      <c r="N1317" s="57" t="n">
        <v>5</v>
      </c>
      <c r="O1317" s="60" t="n">
        <v>70</v>
      </c>
      <c r="P1317" s="55" t="s">
        <v>168</v>
      </c>
      <c r="Q1317" s="57"/>
      <c r="R1317" s="60" t="n">
        <f aca="false">IF(BT1317=1,0,IFERROR(VLOOKUP(BR1317,'Gebinde-Kategorie'!$A$5:$M$45,13,0)+0,0))</f>
        <v>0</v>
      </c>
      <c r="S1317" s="61"/>
      <c r="T1317" s="62"/>
      <c r="U1317" s="62"/>
      <c r="V1317" s="62"/>
      <c r="W1317" s="55" t="n">
        <v>1</v>
      </c>
      <c r="X1317" s="57" t="n">
        <v>1</v>
      </c>
      <c r="Y1317" s="57" t="n">
        <v>1</v>
      </c>
      <c r="Z1317" s="55" t="n">
        <f aca="false">IF(A1317="","",IF(AND(Parameter!$B$21="Ja",ISNUMBER(W1317)),W1317,IF(BV1317="2+3",IF(ISNUMBER(SEARCH("grosser Artikel",BO1317)),2,IFERROR(VLOOKUP(BR1317,Parameter!$F$35:$G$64,2,0),2)),IF(OR(BV1317="Nein",BV1317=""),"-",BV1317))))</f>
        <v>1</v>
      </c>
      <c r="AA1317" s="62"/>
      <c r="AB1317" s="63"/>
      <c r="AC1317" s="57" t="n">
        <f aca="false">AR1317</f>
        <v>6</v>
      </c>
      <c r="AD1317" s="57" t="n">
        <f aca="false">MAX(AR1317,H1317)</f>
        <v>6</v>
      </c>
      <c r="AE1317" s="64"/>
      <c r="AF1317" s="57" t="n">
        <f aca="false">IF(LEFT(Cockpit!$C$5,1)="A",H1317,IF(CA1317=1,CB1317,IF(LEFT(Cockpit!$C$5,1)="B",AJ1317,MAX(AJ1317,H1317))))</f>
        <v>1</v>
      </c>
      <c r="AG1317" s="57" t="n">
        <f aca="false">IF(BT1317=1,0,ROUNDUP(AF1317/BS1317,0))</f>
        <v>0</v>
      </c>
      <c r="AH1317" s="59" t="n">
        <f aca="false">IF(CH1317&gt;0,CH1317*MAX(1,AF1317/X1317),IF(BT1317=1,IF(AF1317&lt;=0,0,BW1317*MAX(1,IF(H1317&gt;0,AF1317/H1317,1))),IF(R1317&gt;0,AG1317/R1317,0))/MAX(0.1,N(Parameter!$M$21)))</f>
        <v>0.0800376647834275</v>
      </c>
      <c r="AI1317" s="57" t="n">
        <f aca="false">AF1317*G1317</f>
        <v>1415.42</v>
      </c>
      <c r="AJ1317" s="57" t="n">
        <f aca="false">ROUNDUP(MAX(J1317/IF(BZ1317&gt;0,BZ1317,MAX(0.1,N(Cockpit!$C$6))),CC1317)/BS1317,0)*BS1317</f>
        <v>6</v>
      </c>
      <c r="AK1317" s="58" t="n">
        <f aca="false">IF(AH1317&gt;0,J1317/AH1317,-1)</f>
        <v>149.929411764706</v>
      </c>
      <c r="AL1317" s="58" t="n">
        <f aca="false">IF(AND(OR(BY1317="L1",BY1317="L23"),AH1317&gt;0),SUMIFS($AH$7:$AH$1843,$BY$7:$BY$1843,BY1317,$AK$7:$AK$1843,"&gt;"&amp;AK1317)+SUMIFS($AH$7:$AH$1843,$BY$7:$BY$1843,BY1317,$AK$7:$AK$1843,AK1317,$BQ$7:$BQ$1843,"&lt;="&amp;BQ1317),"")</f>
        <v>3.83087378518476</v>
      </c>
      <c r="AM1317" s="65" t="n">
        <f aca="false">IF(AL1317="",0,MAX(0,MIN(1,(IF(BY1317="L1",Parameter!$E$5,Parameter!$E$6+Parameter!$E$7)-(AL1317-AH1317))/AH1317)))</f>
        <v>1</v>
      </c>
      <c r="AN1317" s="57" t="n">
        <f aca="false">IF(LEFT(Cockpit!$I$5,1)="A",H1317,IF(CA1317=1,CB1317,IF(LEFT(Cockpit!$I$5,1)="B",AR1317,MAX(AR1317,H1317))))</f>
        <v>6</v>
      </c>
      <c r="AO1317" s="57" t="n">
        <f aca="false">IF(BT1317=1,0,ROUNDUP(AN1317/BS1317,0))</f>
        <v>0</v>
      </c>
      <c r="AP1317" s="59" t="n">
        <f aca="false">IF(CH1317&gt;0,CH1317*MAX(1,AN1317/X1317),IF(BT1317=1,IF(AN1317&lt;=0,0,BW1317*MAX(1,IF(H1317&gt;0,AN1317/H1317,1))),IF(R1317&gt;0,AO1317/R1317,0))/MAX(0.1,N(Parameter!$M$21)))</f>
        <v>0.480225988700565</v>
      </c>
      <c r="AQ1317" s="57" t="n">
        <f aca="false">AN1317*G1317</f>
        <v>8492.52</v>
      </c>
      <c r="AR1317" s="57" t="n">
        <f aca="false">ROUNDUP(MAX(J1317/IF(BZ1317&gt;0,BZ1317,MAX(0.1,N(Cockpit!$I$6))),CC1317)/BS1317,0)*BS1317</f>
        <v>6</v>
      </c>
      <c r="AS1317" s="58" t="n">
        <f aca="false">IF(AP1317&gt;0,J1317/AP1317,-1)</f>
        <v>24.9882352941176</v>
      </c>
      <c r="AT1317" s="58" t="n">
        <f aca="false">IF(AND(OR(BY1317="L1",BY1317="L23"),AP1317&gt;0),SUMIFS($AP$7:$AP$1843,$BY$7:$BY$1843,BY1317,$AS$7:$AS$1843,"&gt;"&amp;AS1317)+SUMIFS($AP$7:$AP$1843,$BY$7:$BY$1843,BY1317,$AS$7:$AS$1843,AS1317,$BQ$7:$BQ$1843,"&lt;="&amp;BQ1317),"")</f>
        <v>20.0556311370608</v>
      </c>
      <c r="AU1317" s="65" t="n">
        <f aca="false">IF(AT1317="",0,MAX(0,MIN(1,(IF(BY1317="L1",Parameter!$E$5,Parameter!$E$6+Parameter!$E$7)-(AT1317-AP1317))/AP1317)))</f>
        <v>1</v>
      </c>
      <c r="AV1317" s="57" t="n">
        <f aca="false">IF(LEFT(Cockpit!$O$5,1)="A",H1317,IF(CA1317=1,CB1317,IF(LEFT(Cockpit!$O$5,1)="B",AZ1317,MAX(AZ1317,H1317))))</f>
        <v>5</v>
      </c>
      <c r="AW1317" s="57" t="n">
        <f aca="false">IF(BT1317=1,0,ROUNDUP(AV1317/BS1317,0))</f>
        <v>0</v>
      </c>
      <c r="AX1317" s="59" t="n">
        <f aca="false">IF(CH1317&gt;0,CH1317*MAX(1,AV1317/X1317),IF(BT1317=1,IF(AV1317&lt;=0,0,BW1317*MAX(1,IF(H1317&gt;0,AV1317/H1317,1))),IF(R1317&gt;0,AW1317/R1317,0))/MAX(0.1,N(Parameter!$M$21)))</f>
        <v>0.400188323917138</v>
      </c>
      <c r="AY1317" s="57" t="n">
        <f aca="false">AV1317*G1317</f>
        <v>7077.1</v>
      </c>
      <c r="AZ1317" s="57" t="n">
        <f aca="false">ROUNDUP(MAX(J1317/IF(BZ1317&gt;0,BZ1317,MAX(0.1,N(Cockpit!$O$6))),CC1317)/BS1317,0)*BS1317</f>
        <v>5</v>
      </c>
      <c r="BA1317" s="58" t="n">
        <f aca="false">IF(AX1317&gt;0,J1317/AX1317,-1)</f>
        <v>29.9858823529412</v>
      </c>
      <c r="BB1317" s="58" t="n">
        <f aca="false">IF(AND(OR(BY1317="L1",BY1317="L23"),AX1317&gt;0),SUMIFS($AX$7:$AX$1843,$BY$7:$BY$1843,BY1317,$BA$7:$BA$1843,"&gt;"&amp;BA1317)+SUMIFS($AX$7:$AX$1843,$BY$7:$BY$1843,BY1317,$BA$7:$BA$1843,BA1317,$BQ$7:$BQ$1843,"&lt;="&amp;BQ1317),"")</f>
        <v>21.005870163571</v>
      </c>
      <c r="BC1317" s="65" t="n">
        <f aca="false">IF(BB1317="",0,MAX(0,MIN(1,(IF(BY1317="L1",Parameter!$E$5,Parameter!$E$6+Parameter!$E$7)-(BB1317-AX1317))/AX1317)))</f>
        <v>1</v>
      </c>
      <c r="BD1317" s="55" t="str">
        <f aca="false">IF(AH1317&lt;=0,"",IF(BY1317="Aussen","Aussenlager",IF(BY1317="-","Nicht im Lift",IF(AM1317&gt;=1,"Lift",IF(AM1317&lt;=0,"Aussenlager","teilweise")))))</f>
        <v>Lift</v>
      </c>
      <c r="BE1317" s="55" t="str">
        <f aca="false">IF(AP1317&lt;=0,"",IF(BY1317="Aussen","Aussenlager",IF(BY1317="-","Nicht im Lift",IF(AU1317&gt;=1,"Lift",IF(AU1317&lt;=0,"Aussenlager","teilweise")))))</f>
        <v>Lift</v>
      </c>
      <c r="BF1317" s="55" t="str">
        <f aca="false">IF(AX1317&lt;=0,"",IF(BY1317="Aussen","Aussenlager",IF(BY1317="-","Nicht im Lift",IF(BC1317&gt;=1,"Lift",IF(BC1317&lt;=0,"Aussenlager","teilweise")))))</f>
        <v>Lift</v>
      </c>
      <c r="BG1317" s="55" t="str">
        <f aca="false">IF(A1317="","",IF(BP1317=1,"Neu; ","")&amp;IF(AND(BP1317=0,BK1317&lt;0),"negativer Bestand (Export "&amp;BK1317&amp;"); ","")&amp;IF(J1317&lt;=0,"Kein Verbrauch; ","")&amp;IF(CH1317&gt;0,"Lift "&amp;W1317&amp;" lt. Liftbericht (Fach "&amp;X1317&amp;" Stk); ",IF(BU1317=1,"Gebinde geschätzt ("&amp;T1317&amp;"); ",IF(BT1317=1,"Lose – Tablare geschätzt; ","")))&amp;IF(H1317&gt;AR1317,"Überbestand "&amp;ROUND(H1317-AR1317,0)&amp;" Stk / CHF "&amp;ROUND((H1317-AR1317)*G1317,0)&amp;"; ","")&amp;IF(AND(CA1317=1,CB1317&lt;CC1317),"MAX &lt; MB+LG; ","")&amp;IF(AND(CG1317&gt;0,CF1317*10&gt;CG1317),"zu hoch für Tablar; ","")&amp;IF(AND(BP1317=0,OR(CA1317=1,AA1317&lt;&gt;"",U1317&lt;&gt;"",V1317&lt;&gt;"",AB1317&lt;&gt;"")),"manuell übersteuert; ","")&amp;IF(AND(BT1317=0,R1317=0),"Gebinde unbekannt / Stellmass fehlt; ","")&amp;IF(AND(BT1317=0,N(V1317)&lt;=0,N(Q1317)&lt;=0),"Menge pro Gebinde fehlt (Ist = 1 Gebinde); ","")&amp;BO1317)</f>
        <v>negativer Bestand (Export -1); Lift 1 lt. Liftbericht (Fach 1 Stk); Twin</v>
      </c>
      <c r="BH1317" s="55"/>
      <c r="BI1317" s="55"/>
      <c r="BJ1317" s="62"/>
      <c r="BK1317" s="57" t="n">
        <v>-1</v>
      </c>
      <c r="BL1317" s="57" t="n">
        <v>2</v>
      </c>
      <c r="BM1317" s="56" t="n">
        <v>-1350.54</v>
      </c>
      <c r="BN1317" s="57" t="n">
        <v>12</v>
      </c>
      <c r="BO1317" s="55" t="s">
        <v>214</v>
      </c>
      <c r="BP1317" s="60" t="n">
        <v>0</v>
      </c>
      <c r="BQ1317" s="60" t="n">
        <v>1317</v>
      </c>
      <c r="BR1317" s="55" t="str">
        <f aca="false">IF(U1317&lt;&gt;"",UPPER(TRIM(U1317)),IF(BU1317=1,UPPER(VLOOKUP(T1317,Parameter!$I$27:$K$29,2,0)),IF(P1317="","LOSE",P1317)))</f>
        <v>LOSE</v>
      </c>
      <c r="BS1317" s="57" t="n">
        <f aca="false">IF(BR1317="LOSE",1,IF(N(V1317)&gt;0,V1317,IF(BU1317=1,MAX(1,N(VLOOKUP(T1317,Parameter!$I$27:$K$29,3,0)),H1317,N(N1317)),IF(N(Q1317)&gt;0,Q1317,MAX(1,H1317)))))</f>
        <v>1</v>
      </c>
      <c r="BT1317" s="60" t="n">
        <f aca="false">IF(BR1317="LOSE",1,0)</f>
        <v>1</v>
      </c>
      <c r="BU1317" s="60" t="n">
        <f aca="false">IF(AND(U1317="",OR(P1317="",P1317="LOSE"),T1317&lt;&gt;"",N(S1317)&lt;=0,ISNUMBER(MATCH(T1317,Parameter!$I$27:$I$29,0))),1,0)</f>
        <v>0</v>
      </c>
      <c r="BV1317" s="55" t="str">
        <f aca="false">IF(AND(Parameter!$B$19="Ja",E1317&lt;&gt;"",ISNUMBER(MATCH(E1317,Parameter!$I$35:$I$52,0))),VLOOKUP(E1317,Parameter!$I$35:$J$52,2,0),IFERROR(VLOOKUP(D1317,Parameter!$A$35:$C$64,2,0),"Nein"))</f>
        <v>2+3</v>
      </c>
      <c r="BW1317" s="59" t="n">
        <f aca="false">IF(BT1317=0,0,IF(N(S1317)&gt;0,S1317,IFERROR(VLOOKUP(D1317,Parameter!$A$35:$C$64,3,0)+0,0)))</f>
        <v>0.15</v>
      </c>
      <c r="BX1317" s="55" t="n">
        <f aca="false">IF(AA1317&lt;&gt;"",AA1317,Z1317)</f>
        <v>1</v>
      </c>
      <c r="BY1317" s="55" t="str">
        <f aca="false">IF(BX1317=1,"L1",IF(OR(BX1317=2,BX1317=3),"L23",IF(BX1317="Aussen","Aussen","-")))</f>
        <v>L1</v>
      </c>
      <c r="BZ1317" s="66" t="n">
        <f aca="false">IF(N(AB1317)&gt;0,AB1317,0)</f>
        <v>0</v>
      </c>
      <c r="CA1317" s="60" t="n">
        <f aca="false">IF(ISNUMBER(AE1317),1,0)</f>
        <v>0</v>
      </c>
      <c r="CB1317" s="57" t="n">
        <f aca="false">N(AE1317)</f>
        <v>0</v>
      </c>
      <c r="CC1317" s="57" t="n">
        <f aca="false">N(M1317)+N(N1317)</f>
        <v>5</v>
      </c>
      <c r="CD1317" s="57" t="n">
        <f aca="false">ROUNDUP(H1317/BS1317,0)</f>
        <v>1</v>
      </c>
      <c r="CE1317" s="57" t="n">
        <f aca="false">ROUNDUP(CB1317/BS1317,0)</f>
        <v>0</v>
      </c>
      <c r="CF1317" s="60" t="n">
        <f aca="false">IF(BT1317=1,0,IFERROR(VLOOKUP(BR1317,'Gebinde-Kategorie'!$A$5:$M$45,5,0)+0,0))</f>
        <v>0</v>
      </c>
      <c r="CG1317" s="60" t="n">
        <f aca="false">IFERROR(IF(OR(BX1317=1,BX1317=2,BX1317=3),N(INDEX(Parameter!$I$5:$I$7,BX1317)),0),0)</f>
        <v>0</v>
      </c>
      <c r="CH1317" s="59" t="n">
        <f aca="false">IF(AND(Parameter!$B$21="Ja",ISNUMBER(W1317),N(X1317)&gt;0),IFERROR(N(INDEX(Parameter!$L$5:$L$7,W1317))*INDEX(Parameter!$E$5:$E$7,W1317)*X1317/SUMIFS($X$7:$X$1843,$W$7:$W$1843,W1317),0),0)</f>
        <v>0.0800376647834275</v>
      </c>
    </row>
    <row r="1318" customFormat="false" ht="15" hidden="false" customHeight="false" outlineLevel="0" collapsed="false">
      <c r="A1318" s="55" t="s">
        <v>2339</v>
      </c>
      <c r="B1318" s="55" t="s">
        <v>2340</v>
      </c>
      <c r="C1318" s="55" t="s">
        <v>164</v>
      </c>
      <c r="D1318" s="55" t="s">
        <v>173</v>
      </c>
      <c r="E1318" s="55" t="s">
        <v>166</v>
      </c>
      <c r="F1318" s="55" t="s">
        <v>218</v>
      </c>
      <c r="G1318" s="56" t="n">
        <v>724.26</v>
      </c>
      <c r="H1318" s="57" t="n">
        <f aca="false">MAX(0,IF(AND(Parameter!$B$21="Ja",ISNUMBER(Y1318)),Y1318,IF(Parameter!$B$20="Jahresanfang 2025 + Export",BL1318+BK1318,BK1318)))</f>
        <v>9</v>
      </c>
      <c r="I1318" s="57" t="n">
        <f aca="false">H1318*G1318</f>
        <v>6518.34</v>
      </c>
      <c r="J1318" s="57" t="n">
        <f aca="false">BN1318*Parameter!$B$18</f>
        <v>24</v>
      </c>
      <c r="K1318" s="58" t="n">
        <v>11.5</v>
      </c>
      <c r="L1318" s="59" t="n">
        <v>2.08695652173913</v>
      </c>
      <c r="M1318" s="57" t="n">
        <v>5</v>
      </c>
      <c r="N1318" s="57" t="n">
        <v>10</v>
      </c>
      <c r="O1318" s="60" t="n">
        <v>70</v>
      </c>
      <c r="P1318" s="55" t="s">
        <v>174</v>
      </c>
      <c r="Q1318" s="57" t="n">
        <v>9</v>
      </c>
      <c r="R1318" s="60" t="n">
        <f aca="false">IF(BT1318=1,0,IFERROR(VLOOKUP(BR1318,'Gebinde-Kategorie'!$A$5:$M$45,13,0)+0,0))</f>
        <v>6</v>
      </c>
      <c r="S1318" s="61"/>
      <c r="T1318" s="62"/>
      <c r="U1318" s="62"/>
      <c r="V1318" s="62"/>
      <c r="W1318" s="55"/>
      <c r="X1318" s="57"/>
      <c r="Y1318" s="57"/>
      <c r="Z1318" s="55" t="n">
        <f aca="false">IF(A1318="","",IF(AND(Parameter!$B$21="Ja",ISNUMBER(W1318)),W1318,IF(BV1318="2+3",IF(ISNUMBER(SEARCH("grosser Artikel",BO1318)),2,IFERROR(VLOOKUP(BR1318,Parameter!$F$35:$G$64,2,0),2)),IF(OR(BV1318="Nein",BV1318=""),"-",BV1318))))</f>
        <v>1</v>
      </c>
      <c r="AA1318" s="62"/>
      <c r="AB1318" s="63"/>
      <c r="AC1318" s="57" t="n">
        <f aca="false">AR1318</f>
        <v>18</v>
      </c>
      <c r="AD1318" s="57" t="n">
        <f aca="false">MAX(AR1318,H1318)</f>
        <v>18</v>
      </c>
      <c r="AE1318" s="64"/>
      <c r="AF1318" s="57" t="n">
        <f aca="false">IF(LEFT(Cockpit!$C$5,1)="A",H1318,IF(CA1318=1,CB1318,IF(LEFT(Cockpit!$C$5,1)="B",AJ1318,MAX(AJ1318,H1318))))</f>
        <v>9</v>
      </c>
      <c r="AG1318" s="57" t="n">
        <f aca="false">IF(BT1318=1,0,ROUNDUP(AF1318/BS1318,0))</f>
        <v>1</v>
      </c>
      <c r="AH1318" s="59" t="n">
        <f aca="false">IF(CH1318&gt;0,CH1318*MAX(1,AF1318/X1318),IF(BT1318=1,IF(AF1318&lt;=0,0,BW1318*MAX(1,IF(H1318&gt;0,AF1318/H1318,1))),IF(R1318&gt;0,AG1318/R1318,0))/MAX(0.1,N(Parameter!$M$21)))</f>
        <v>0.166666666666667</v>
      </c>
      <c r="AI1318" s="57" t="n">
        <f aca="false">AF1318*G1318</f>
        <v>6518.34</v>
      </c>
      <c r="AJ1318" s="57" t="n">
        <f aca="false">ROUNDUP(MAX(J1318/IF(BZ1318&gt;0,BZ1318,MAX(0.1,N(Cockpit!$C$6))),CC1318)/BS1318,0)*BS1318</f>
        <v>18</v>
      </c>
      <c r="AK1318" s="58" t="n">
        <f aca="false">IF(AH1318&gt;0,J1318/AH1318,-1)</f>
        <v>144</v>
      </c>
      <c r="AL1318" s="58" t="n">
        <f aca="false">IF(AND(OR(BY1318="L1",BY1318="L23"),AH1318&gt;0),SUMIFS($AH$7:$AH$1843,$BY$7:$BY$1843,BY1318,$AK$7:$AK$1843,"&gt;"&amp;AK1318)+SUMIFS($AH$7:$AH$1843,$BY$7:$BY$1843,BY1318,$AK$7:$AK$1843,AK1318,$BQ$7:$BQ$1843,"&lt;="&amp;BQ1318),"")</f>
        <v>4.1642071185181</v>
      </c>
      <c r="AM1318" s="65" t="n">
        <f aca="false">IF(AL1318="",0,MAX(0,MIN(1,(IF(BY1318="L1",Parameter!$E$5,Parameter!$E$6+Parameter!$E$7)-(AL1318-AH1318))/AH1318)))</f>
        <v>1</v>
      </c>
      <c r="AN1318" s="57" t="n">
        <f aca="false">IF(LEFT(Cockpit!$I$5,1)="A",H1318,IF(CA1318=1,CB1318,IF(LEFT(Cockpit!$I$5,1)="B",AR1318,MAX(AR1318,H1318))))</f>
        <v>18</v>
      </c>
      <c r="AO1318" s="57" t="n">
        <f aca="false">IF(BT1318=1,0,ROUNDUP(AN1318/BS1318,0))</f>
        <v>2</v>
      </c>
      <c r="AP1318" s="59" t="n">
        <f aca="false">IF(CH1318&gt;0,CH1318*MAX(1,AN1318/X1318),IF(BT1318=1,IF(AN1318&lt;=0,0,BW1318*MAX(1,IF(H1318&gt;0,AN1318/H1318,1))),IF(R1318&gt;0,AO1318/R1318,0))/MAX(0.1,N(Parameter!$M$21)))</f>
        <v>0.333333333333333</v>
      </c>
      <c r="AQ1318" s="57" t="n">
        <f aca="false">AN1318*G1318</f>
        <v>13036.68</v>
      </c>
      <c r="AR1318" s="57" t="n">
        <f aca="false">ROUNDUP(MAX(J1318/IF(BZ1318&gt;0,BZ1318,MAX(0.1,N(Cockpit!$I$6))),CC1318)/BS1318,0)*BS1318</f>
        <v>18</v>
      </c>
      <c r="AS1318" s="58" t="n">
        <f aca="false">IF(AP1318&gt;0,J1318/AP1318,-1)</f>
        <v>72</v>
      </c>
      <c r="AT1318" s="58" t="n">
        <f aca="false">IF(AND(OR(BY1318="L1",BY1318="L23"),AP1318&gt;0),SUMIFS($AP$7:$AP$1843,$BY$7:$BY$1843,BY1318,$AS$7:$AS$1843,"&gt;"&amp;AS1318)+SUMIFS($AP$7:$AP$1843,$BY$7:$BY$1843,BY1318,$AS$7:$AS$1843,AS1318,$BQ$7:$BQ$1843,"&lt;="&amp;BQ1318),"")</f>
        <v>11.1610925306577</v>
      </c>
      <c r="AU1318" s="65" t="n">
        <f aca="false">IF(AT1318="",0,MAX(0,MIN(1,(IF(BY1318="L1",Parameter!$E$5,Parameter!$E$6+Parameter!$E$7)-(AT1318-AP1318))/AP1318)))</f>
        <v>1</v>
      </c>
      <c r="AV1318" s="57" t="n">
        <f aca="false">IF(LEFT(Cockpit!$O$5,1)="A",H1318,IF(CA1318=1,CB1318,IF(LEFT(Cockpit!$O$5,1)="B",AZ1318,MAX(AZ1318,H1318))))</f>
        <v>18</v>
      </c>
      <c r="AW1318" s="57" t="n">
        <f aca="false">IF(BT1318=1,0,ROUNDUP(AV1318/BS1318,0))</f>
        <v>2</v>
      </c>
      <c r="AX1318" s="59" t="n">
        <f aca="false">IF(CH1318&gt;0,CH1318*MAX(1,AV1318/X1318),IF(BT1318=1,IF(AV1318&lt;=0,0,BW1318*MAX(1,IF(H1318&gt;0,AV1318/H1318,1))),IF(R1318&gt;0,AW1318/R1318,0))/MAX(0.1,N(Parameter!$M$21)))</f>
        <v>0.333333333333333</v>
      </c>
      <c r="AY1318" s="57" t="n">
        <f aca="false">AV1318*G1318</f>
        <v>13036.68</v>
      </c>
      <c r="AZ1318" s="57" t="n">
        <f aca="false">ROUNDUP(MAX(J1318/IF(BZ1318&gt;0,BZ1318,MAX(0.1,N(Cockpit!$O$6))),CC1318)/BS1318,0)*BS1318</f>
        <v>18</v>
      </c>
      <c r="BA1318" s="58" t="n">
        <f aca="false">IF(AX1318&gt;0,J1318/AX1318,-1)</f>
        <v>72</v>
      </c>
      <c r="BB1318" s="58" t="n">
        <f aca="false">IF(AND(OR(BY1318="L1",BY1318="L23"),AX1318&gt;0),SUMIFS($AX$7:$AX$1843,$BY$7:$BY$1843,BY1318,$BA$7:$BA$1843,"&gt;"&amp;BA1318)+SUMIFS($AX$7:$AX$1843,$BY$7:$BY$1843,BY1318,$BA$7:$BA$1843,BA1318,$BQ$7:$BQ$1843,"&lt;="&amp;BQ1318),"")</f>
        <v>11.6226309921962</v>
      </c>
      <c r="BC1318" s="65" t="n">
        <f aca="false">IF(BB1318="",0,MAX(0,MIN(1,(IF(BY1318="L1",Parameter!$E$5,Parameter!$E$6+Parameter!$E$7)-(BB1318-AX1318))/AX1318)))</f>
        <v>1</v>
      </c>
      <c r="BD1318" s="55" t="str">
        <f aca="false">IF(AH1318&lt;=0,"",IF(BY1318="Aussen","Aussenlager",IF(BY1318="-","Nicht im Lift",IF(AM1318&gt;=1,"Lift",IF(AM1318&lt;=0,"Aussenlager","teilweise")))))</f>
        <v>Lift</v>
      </c>
      <c r="BE1318" s="55" t="str">
        <f aca="false">IF(AP1318&lt;=0,"",IF(BY1318="Aussen","Aussenlager",IF(BY1318="-","Nicht im Lift",IF(AU1318&gt;=1,"Lift",IF(AU1318&lt;=0,"Aussenlager","teilweise")))))</f>
        <v>Lift</v>
      </c>
      <c r="BF1318" s="55" t="str">
        <f aca="false">IF(AX1318&lt;=0,"",IF(BY1318="Aussen","Aussenlager",IF(BY1318="-","Nicht im Lift",IF(BC1318&gt;=1,"Lift",IF(BC1318&lt;=0,"Aussenlager","teilweise")))))</f>
        <v>Lift</v>
      </c>
      <c r="BG1318" s="55" t="str">
        <f aca="false">IF(A1318="","",IF(BP1318=1,"Neu; ","")&amp;IF(AND(BP1318=0,BK1318&lt;0),"negativer Bestand (Export "&amp;BK1318&amp;"); ","")&amp;IF(J1318&lt;=0,"Kein Verbrauch; ","")&amp;IF(CH1318&gt;0,"Lift "&amp;W1318&amp;" lt. Liftbericht (Fach "&amp;X1318&amp;" Stk); ",IF(BU1318=1,"Gebinde geschätzt ("&amp;T1318&amp;"); ",IF(BT1318=1,"Lose – Tablare geschätzt; ","")))&amp;IF(H1318&gt;AR1318,"Überbestand "&amp;ROUND(H1318-AR1318,0)&amp;" Stk / CHF "&amp;ROUND((H1318-AR1318)*G1318,0)&amp;"; ","")&amp;IF(AND(CA1318=1,CB1318&lt;CC1318),"MAX &lt; MB+LG; ","")&amp;IF(AND(CG1318&gt;0,CF1318*10&gt;CG1318),"zu hoch für Tablar; ","")&amp;IF(AND(BP1318=0,OR(CA1318=1,AA1318&lt;&gt;"",U1318&lt;&gt;"",V1318&lt;&gt;"",AB1318&lt;&gt;"")),"manuell übersteuert; ","")&amp;IF(AND(BT1318=0,R1318=0),"Gebinde unbekannt / Stellmass fehlt; ","")&amp;IF(AND(BT1318=0,N(V1318)&lt;=0,N(Q1318)&lt;=0),"Menge pro Gebinde fehlt (Ist = 1 Gebinde); ","")&amp;BO1318)</f>
        <v>negativer Bestand (Export -7); </v>
      </c>
      <c r="BH1318" s="55"/>
      <c r="BI1318" s="55"/>
      <c r="BJ1318" s="62"/>
      <c r="BK1318" s="57" t="n">
        <v>-7</v>
      </c>
      <c r="BL1318" s="57" t="n">
        <v>16</v>
      </c>
      <c r="BM1318" s="56" t="n">
        <v>-1388.67000000001</v>
      </c>
      <c r="BN1318" s="57" t="n">
        <v>24</v>
      </c>
      <c r="BO1318" s="55"/>
      <c r="BP1318" s="60" t="n">
        <v>0</v>
      </c>
      <c r="BQ1318" s="60" t="n">
        <v>1318</v>
      </c>
      <c r="BR1318" s="55" t="str">
        <f aca="false">IF(U1318&lt;&gt;"",UPPER(TRIM(U1318)),IF(BU1318=1,UPPER(VLOOKUP(T1318,Parameter!$I$27:$K$29,2,0)),IF(P1318="","LOSE",P1318)))</f>
        <v>S71</v>
      </c>
      <c r="BS1318" s="57" t="n">
        <f aca="false">IF(BR1318="LOSE",1,IF(N(V1318)&gt;0,V1318,IF(BU1318=1,MAX(1,N(VLOOKUP(T1318,Parameter!$I$27:$K$29,3,0)),H1318,N(N1318)),IF(N(Q1318)&gt;0,Q1318,MAX(1,H1318)))))</f>
        <v>9</v>
      </c>
      <c r="BT1318" s="60" t="n">
        <f aca="false">IF(BR1318="LOSE",1,0)</f>
        <v>0</v>
      </c>
      <c r="BU1318" s="60" t="n">
        <f aca="false">IF(AND(U1318="",OR(P1318="",P1318="LOSE"),T1318&lt;&gt;"",N(S1318)&lt;=0,ISNUMBER(MATCH(T1318,Parameter!$I$27:$I$29,0))),1,0)</f>
        <v>0</v>
      </c>
      <c r="BV1318" s="55" t="n">
        <f aca="false">IF(AND(Parameter!$B$19="Ja",E1318&lt;&gt;"",ISNUMBER(MATCH(E1318,Parameter!$I$35:$I$52,0))),VLOOKUP(E1318,Parameter!$I$35:$J$52,2,0),IFERROR(VLOOKUP(D1318,Parameter!$A$35:$C$64,2,0),"Nein"))</f>
        <v>1</v>
      </c>
      <c r="BW1318" s="59" t="n">
        <f aca="false">IF(BT1318=0,0,IF(N(S1318)&gt;0,S1318,IFERROR(VLOOKUP(D1318,Parameter!$A$35:$C$64,3,0)+0,0)))</f>
        <v>0</v>
      </c>
      <c r="BX1318" s="55" t="n">
        <f aca="false">IF(AA1318&lt;&gt;"",AA1318,Z1318)</f>
        <v>1</v>
      </c>
      <c r="BY1318" s="55" t="str">
        <f aca="false">IF(BX1318=1,"L1",IF(OR(BX1318=2,BX1318=3),"L23",IF(BX1318="Aussen","Aussen","-")))</f>
        <v>L1</v>
      </c>
      <c r="BZ1318" s="66" t="n">
        <f aca="false">IF(N(AB1318)&gt;0,AB1318,0)</f>
        <v>0</v>
      </c>
      <c r="CA1318" s="60" t="n">
        <f aca="false">IF(ISNUMBER(AE1318),1,0)</f>
        <v>0</v>
      </c>
      <c r="CB1318" s="57" t="n">
        <f aca="false">N(AE1318)</f>
        <v>0</v>
      </c>
      <c r="CC1318" s="57" t="n">
        <f aca="false">N(M1318)+N(N1318)</f>
        <v>15</v>
      </c>
      <c r="CD1318" s="57" t="n">
        <f aca="false">ROUNDUP(H1318/BS1318,0)</f>
        <v>1</v>
      </c>
      <c r="CE1318" s="57" t="n">
        <f aca="false">ROUNDUP(CB1318/BS1318,0)</f>
        <v>0</v>
      </c>
      <c r="CF1318" s="60" t="n">
        <f aca="false">IF(BT1318=1,0,IFERROR(VLOOKUP(BR1318,'Gebinde-Kategorie'!$A$5:$M$45,5,0)+0,0))</f>
        <v>20</v>
      </c>
      <c r="CG1318" s="60" t="n">
        <f aca="false">IFERROR(IF(OR(BX1318=1,BX1318=2,BX1318=3),N(INDEX(Parameter!$I$5:$I$7,BX1318)),0),0)</f>
        <v>0</v>
      </c>
      <c r="CH1318" s="59" t="n">
        <f aca="false">IF(AND(Parameter!$B$21="Ja",ISNUMBER(W1318),N(X1318)&gt;0),IFERROR(N(INDEX(Parameter!$L$5:$L$7,W1318))*INDEX(Parameter!$E$5:$E$7,W1318)*X1318/SUMIFS($X$7:$X$1843,$W$7:$W$1843,W1318),0),0)</f>
        <v>0</v>
      </c>
    </row>
    <row r="1319" customFormat="false" ht="15" hidden="false" customHeight="false" outlineLevel="0" collapsed="false">
      <c r="A1319" s="55" t="s">
        <v>2341</v>
      </c>
      <c r="B1319" s="55" t="s">
        <v>2342</v>
      </c>
      <c r="C1319" s="55" t="s">
        <v>164</v>
      </c>
      <c r="D1319" s="55" t="s">
        <v>173</v>
      </c>
      <c r="E1319" s="55" t="s">
        <v>465</v>
      </c>
      <c r="F1319" s="55" t="s">
        <v>218</v>
      </c>
      <c r="G1319" s="56" t="n">
        <v>701.08</v>
      </c>
      <c r="H1319" s="57" t="n">
        <f aca="false">MAX(0,IF(AND(Parameter!$B$21="Ja",ISNUMBER(Y1319)),Y1319,IF(Parameter!$B$20="Jahresanfang 2025 + Export",BL1319+BK1319,BK1319)))</f>
        <v>0</v>
      </c>
      <c r="I1319" s="57" t="n">
        <f aca="false">H1319*G1319</f>
        <v>0</v>
      </c>
      <c r="J1319" s="57" t="n">
        <f aca="false">BN1319*Parameter!$B$18</f>
        <v>2</v>
      </c>
      <c r="K1319" s="58" t="n">
        <v>3</v>
      </c>
      <c r="L1319" s="59" t="n">
        <v>0.666666666666667</v>
      </c>
      <c r="M1319" s="57" t="n">
        <v>0</v>
      </c>
      <c r="N1319" s="57" t="n">
        <v>1</v>
      </c>
      <c r="O1319" s="60" t="n">
        <v>14</v>
      </c>
      <c r="P1319" s="55" t="s">
        <v>168</v>
      </c>
      <c r="Q1319" s="57"/>
      <c r="R1319" s="60" t="n">
        <f aca="false">IF(BT1319=1,0,IFERROR(VLOOKUP(BR1319,'Gebinde-Kategorie'!$A$5:$M$45,13,0)+0,0))</f>
        <v>3</v>
      </c>
      <c r="S1319" s="61"/>
      <c r="T1319" s="62" t="s">
        <v>189</v>
      </c>
      <c r="U1319" s="62"/>
      <c r="V1319" s="62"/>
      <c r="W1319" s="55"/>
      <c r="X1319" s="57"/>
      <c r="Y1319" s="57"/>
      <c r="Z1319" s="55" t="str">
        <f aca="false">IF(A1319="","",IF(AND(Parameter!$B$21="Ja",ISNUMBER(W1319)),W1319,IF(BV1319="2+3",IF(ISNUMBER(SEARCH("grosser Artikel",BO1319)),2,IFERROR(VLOOKUP(BR1319,Parameter!$F$35:$G$64,2,0),2)),IF(OR(BV1319="Nein",BV1319=""),"-",BV1319))))</f>
        <v>-</v>
      </c>
      <c r="AA1319" s="62"/>
      <c r="AB1319" s="63"/>
      <c r="AC1319" s="57" t="n">
        <f aca="false">AR1319</f>
        <v>2</v>
      </c>
      <c r="AD1319" s="57" t="n">
        <f aca="false">MAX(AR1319,H1319)</f>
        <v>2</v>
      </c>
      <c r="AE1319" s="64"/>
      <c r="AF1319" s="57" t="n">
        <f aca="false">IF(LEFT(Cockpit!$C$5,1)="A",H1319,IF(CA1319=1,CB1319,IF(LEFT(Cockpit!$C$5,1)="B",AJ1319,MAX(AJ1319,H1319))))</f>
        <v>0</v>
      </c>
      <c r="AG1319" s="57" t="n">
        <f aca="false">IF(BT1319=1,0,ROUNDUP(AF1319/BS1319,0))</f>
        <v>0</v>
      </c>
      <c r="AH1319" s="59" t="n">
        <f aca="false">IF(CH1319&gt;0,CH1319*MAX(1,AF1319/X1319),IF(BT1319=1,IF(AF1319&lt;=0,0,BW1319*MAX(1,IF(H1319&gt;0,AF1319/H1319,1))),IF(R1319&gt;0,AG1319/R1319,0))/MAX(0.1,N(Parameter!$M$21)))</f>
        <v>0</v>
      </c>
      <c r="AI1319" s="57" t="n">
        <f aca="false">AF1319*G1319</f>
        <v>0</v>
      </c>
      <c r="AJ1319" s="57" t="n">
        <f aca="false">ROUNDUP(MAX(J1319/IF(BZ1319&gt;0,BZ1319,MAX(0.1,N(Cockpit!$C$6))),CC1319)/BS1319,0)*BS1319</f>
        <v>2</v>
      </c>
      <c r="AK1319" s="58" t="n">
        <f aca="false">IF(AH1319&gt;0,J1319/AH1319,-1)</f>
        <v>-1</v>
      </c>
      <c r="AL1319" s="58" t="str">
        <f aca="false">IF(AND(OR(BY1319="L1",BY1319="L23"),AH1319&gt;0),SUMIFS($AH$7:$AH$1843,$BY$7:$BY$1843,BY1319,$AK$7:$AK$1843,"&gt;"&amp;AK1319)+SUMIFS($AH$7:$AH$1843,$BY$7:$BY$1843,BY1319,$AK$7:$AK$1843,AK1319,$BQ$7:$BQ$1843,"&lt;="&amp;BQ1319),"")</f>
        <v/>
      </c>
      <c r="AM1319" s="65" t="n">
        <f aca="false">IF(AL1319="",0,MAX(0,MIN(1,(IF(BY1319="L1",Parameter!$E$5,Parameter!$E$6+Parameter!$E$7)-(AL1319-AH1319))/AH1319)))</f>
        <v>0</v>
      </c>
      <c r="AN1319" s="57" t="n">
        <f aca="false">IF(LEFT(Cockpit!$I$5,1)="A",H1319,IF(CA1319=1,CB1319,IF(LEFT(Cockpit!$I$5,1)="B",AR1319,MAX(AR1319,H1319))))</f>
        <v>2</v>
      </c>
      <c r="AO1319" s="57" t="n">
        <f aca="false">IF(BT1319=1,0,ROUNDUP(AN1319/BS1319,0))</f>
        <v>1</v>
      </c>
      <c r="AP1319" s="59" t="n">
        <f aca="false">IF(CH1319&gt;0,CH1319*MAX(1,AN1319/X1319),IF(BT1319=1,IF(AN1319&lt;=0,0,BW1319*MAX(1,IF(H1319&gt;0,AN1319/H1319,1))),IF(R1319&gt;0,AO1319/R1319,0))/MAX(0.1,N(Parameter!$M$21)))</f>
        <v>0.333333333333333</v>
      </c>
      <c r="AQ1319" s="57" t="n">
        <f aca="false">AN1319*G1319</f>
        <v>1402.16</v>
      </c>
      <c r="AR1319" s="57" t="n">
        <f aca="false">ROUNDUP(MAX(J1319/IF(BZ1319&gt;0,BZ1319,MAX(0.1,N(Cockpit!$I$6))),CC1319)/BS1319,0)*BS1319</f>
        <v>2</v>
      </c>
      <c r="AS1319" s="58" t="n">
        <f aca="false">IF(AP1319&gt;0,J1319/AP1319,-1)</f>
        <v>6</v>
      </c>
      <c r="AT1319" s="58" t="str">
        <f aca="false">IF(AND(OR(BY1319="L1",BY1319="L23"),AP1319&gt;0),SUMIFS($AP$7:$AP$1843,$BY$7:$BY$1843,BY1319,$AS$7:$AS$1843,"&gt;"&amp;AS1319)+SUMIFS($AP$7:$AP$1843,$BY$7:$BY$1843,BY1319,$AS$7:$AS$1843,AS1319,$BQ$7:$BQ$1843,"&lt;="&amp;BQ1319),"")</f>
        <v/>
      </c>
      <c r="AU1319" s="65" t="n">
        <f aca="false">IF(AT1319="",0,MAX(0,MIN(1,(IF(BY1319="L1",Parameter!$E$5,Parameter!$E$6+Parameter!$E$7)-(AT1319-AP1319))/AP1319)))</f>
        <v>0</v>
      </c>
      <c r="AV1319" s="57" t="n">
        <f aca="false">IF(LEFT(Cockpit!$O$5,1)="A",H1319,IF(CA1319=1,CB1319,IF(LEFT(Cockpit!$O$5,1)="B",AZ1319,MAX(AZ1319,H1319))))</f>
        <v>2</v>
      </c>
      <c r="AW1319" s="57" t="n">
        <f aca="false">IF(BT1319=1,0,ROUNDUP(AV1319/BS1319,0))</f>
        <v>1</v>
      </c>
      <c r="AX1319" s="59" t="n">
        <f aca="false">IF(CH1319&gt;0,CH1319*MAX(1,AV1319/X1319),IF(BT1319=1,IF(AV1319&lt;=0,0,BW1319*MAX(1,IF(H1319&gt;0,AV1319/H1319,1))),IF(R1319&gt;0,AW1319/R1319,0))/MAX(0.1,N(Parameter!$M$21)))</f>
        <v>0.333333333333333</v>
      </c>
      <c r="AY1319" s="57" t="n">
        <f aca="false">AV1319*G1319</f>
        <v>1402.16</v>
      </c>
      <c r="AZ1319" s="57" t="n">
        <f aca="false">ROUNDUP(MAX(J1319/IF(BZ1319&gt;0,BZ1319,MAX(0.1,N(Cockpit!$O$6))),CC1319)/BS1319,0)*BS1319</f>
        <v>2</v>
      </c>
      <c r="BA1319" s="58" t="n">
        <f aca="false">IF(AX1319&gt;0,J1319/AX1319,-1)</f>
        <v>6</v>
      </c>
      <c r="BB1319" s="58" t="str">
        <f aca="false">IF(AND(OR(BY1319="L1",BY1319="L23"),AX1319&gt;0),SUMIFS($AX$7:$AX$1843,$BY$7:$BY$1843,BY1319,$BA$7:$BA$1843,"&gt;"&amp;BA1319)+SUMIFS($AX$7:$AX$1843,$BY$7:$BY$1843,BY1319,$BA$7:$BA$1843,BA1319,$BQ$7:$BQ$1843,"&lt;="&amp;BQ1319),"")</f>
        <v/>
      </c>
      <c r="BC1319" s="65" t="n">
        <f aca="false">IF(BB1319="",0,MAX(0,MIN(1,(IF(BY1319="L1",Parameter!$E$5,Parameter!$E$6+Parameter!$E$7)-(BB1319-AX1319))/AX1319)))</f>
        <v>0</v>
      </c>
      <c r="BD1319" s="55" t="str">
        <f aca="false">IF(AH1319&lt;=0,"",IF(BY1319="Aussen","Aussenlager",IF(BY1319="-","Nicht im Lift",IF(AM1319&gt;=1,"Lift",IF(AM1319&lt;=0,"Aussenlager","teilweise")))))</f>
        <v/>
      </c>
      <c r="BE1319" s="55" t="str">
        <f aca="false">IF(AP1319&lt;=0,"",IF(BY1319="Aussen","Aussenlager",IF(BY1319="-","Nicht im Lift",IF(AU1319&gt;=1,"Lift",IF(AU1319&lt;=0,"Aussenlager","teilweise")))))</f>
        <v>Nicht im Lift</v>
      </c>
      <c r="BF1319" s="55" t="str">
        <f aca="false">IF(AX1319&lt;=0,"",IF(BY1319="Aussen","Aussenlager",IF(BY1319="-","Nicht im Lift",IF(BC1319&gt;=1,"Lift",IF(BC1319&lt;=0,"Aussenlager","teilweise")))))</f>
        <v>Nicht im Lift</v>
      </c>
      <c r="BG1319" s="55" t="str">
        <f aca="false">IF(A1319="","",IF(BP1319=1,"Neu; ","")&amp;IF(AND(BP1319=0,BK1319&lt;0),"negativer Bestand (Export "&amp;BK1319&amp;"); ","")&amp;IF(J1319&lt;=0,"Kein Verbrauch; ","")&amp;IF(CH1319&gt;0,"Lift "&amp;W1319&amp;" lt. Liftbericht (Fach "&amp;X1319&amp;" Stk); ",IF(BU1319=1,"Gebinde geschätzt ("&amp;T1319&amp;"); ",IF(BT1319=1,"Lose – Tablare geschätzt; ","")))&amp;IF(H1319&gt;AR1319,"Überbestand "&amp;ROUND(H1319-AR1319,0)&amp;" Stk / CHF "&amp;ROUND((H1319-AR1319)*G1319,0)&amp;"; ","")&amp;IF(AND(CA1319=1,CB1319&lt;CC1319),"MAX &lt; MB+LG; ","")&amp;IF(AND(CG1319&gt;0,CF1319*10&gt;CG1319),"zu hoch für Tablar; ","")&amp;IF(AND(BP1319=0,OR(CA1319=1,AA1319&lt;&gt;"",U1319&lt;&gt;"",V1319&lt;&gt;"",AB1319&lt;&gt;"")),"manuell übersteuert; ","")&amp;IF(AND(BT1319=0,R1319=0),"Gebinde unbekannt / Stellmass fehlt; ","")&amp;IF(AND(BT1319=0,N(V1319)&lt;=0,N(Q1319)&lt;=0),"Menge pro Gebinde fehlt (Ist = 1 Gebinde); ","")&amp;BO1319)</f>
        <v>negativer Bestand (Export -2); Gebinde geschätzt (Gross); Menge pro Gebinde fehlt (Ist = 1 Gebinde); </v>
      </c>
      <c r="BH1319" s="55"/>
      <c r="BI1319" s="55"/>
      <c r="BJ1319" s="62"/>
      <c r="BK1319" s="57" t="n">
        <v>-2</v>
      </c>
      <c r="BL1319" s="57" t="n">
        <v>2</v>
      </c>
      <c r="BM1319" s="56" t="n">
        <v>-1402.16</v>
      </c>
      <c r="BN1319" s="57" t="n">
        <v>2</v>
      </c>
      <c r="BO1319" s="55"/>
      <c r="BP1319" s="60" t="n">
        <v>0</v>
      </c>
      <c r="BQ1319" s="60" t="n">
        <v>1319</v>
      </c>
      <c r="BR1319" s="55" t="str">
        <f aca="false">IF(U1319&lt;&gt;"",UPPER(TRIM(U1319)),IF(BU1319=1,UPPER(VLOOKUP(T1319,Parameter!$I$27:$K$29,2,0)),IF(P1319="","LOSE",P1319)))</f>
        <v>S81</v>
      </c>
      <c r="BS1319" s="57" t="n">
        <f aca="false">IF(BR1319="LOSE",1,IF(N(V1319)&gt;0,V1319,IF(BU1319=1,MAX(1,N(VLOOKUP(T1319,Parameter!$I$27:$K$29,3,0)),H1319,N(N1319)),IF(N(Q1319)&gt;0,Q1319,MAX(1,H1319)))))</f>
        <v>2</v>
      </c>
      <c r="BT1319" s="60" t="n">
        <f aca="false">IF(BR1319="LOSE",1,0)</f>
        <v>0</v>
      </c>
      <c r="BU1319" s="60" t="n">
        <f aca="false">IF(AND(U1319="",OR(P1319="",P1319="LOSE"),T1319&lt;&gt;"",N(S1319)&lt;=0,ISNUMBER(MATCH(T1319,Parameter!$I$27:$I$29,0))),1,0)</f>
        <v>1</v>
      </c>
      <c r="BV1319" s="55" t="str">
        <f aca="false">IF(AND(Parameter!$B$19="Ja",E1319&lt;&gt;"",ISNUMBER(MATCH(E1319,Parameter!$I$35:$I$52,0))),VLOOKUP(E1319,Parameter!$I$35:$J$52,2,0),IFERROR(VLOOKUP(D1319,Parameter!$A$35:$C$64,2,0),"Nein"))</f>
        <v>Nein</v>
      </c>
      <c r="BW1319" s="59" t="n">
        <f aca="false">IF(BT1319=0,0,IF(N(S1319)&gt;0,S1319,IFERROR(VLOOKUP(D1319,Parameter!$A$35:$C$64,3,0)+0,0)))</f>
        <v>0</v>
      </c>
      <c r="BX1319" s="55" t="str">
        <f aca="false">IF(AA1319&lt;&gt;"",AA1319,Z1319)</f>
        <v>-</v>
      </c>
      <c r="BY1319" s="55" t="str">
        <f aca="false">IF(BX1319=1,"L1",IF(OR(BX1319=2,BX1319=3),"L23",IF(BX1319="Aussen","Aussen","-")))</f>
        <v>-</v>
      </c>
      <c r="BZ1319" s="66" t="n">
        <f aca="false">IF(N(AB1319)&gt;0,AB1319,0)</f>
        <v>0</v>
      </c>
      <c r="CA1319" s="60" t="n">
        <f aca="false">IF(ISNUMBER(AE1319),1,0)</f>
        <v>0</v>
      </c>
      <c r="CB1319" s="57" t="n">
        <f aca="false">N(AE1319)</f>
        <v>0</v>
      </c>
      <c r="CC1319" s="57" t="n">
        <f aca="false">N(M1319)+N(N1319)</f>
        <v>1</v>
      </c>
      <c r="CD1319" s="57" t="n">
        <f aca="false">ROUNDUP(H1319/BS1319,0)</f>
        <v>0</v>
      </c>
      <c r="CE1319" s="57" t="n">
        <f aca="false">ROUNDUP(CB1319/BS1319,0)</f>
        <v>0</v>
      </c>
      <c r="CF1319" s="60" t="n">
        <f aca="false">IF(BT1319=1,0,IFERROR(VLOOKUP(BR1319,'Gebinde-Kategorie'!$A$5:$M$45,5,0)+0,0))</f>
        <v>20</v>
      </c>
      <c r="CG1319" s="60" t="n">
        <f aca="false">IFERROR(IF(OR(BX1319=1,BX1319=2,BX1319=3),N(INDEX(Parameter!$I$5:$I$7,BX1319)),0),0)</f>
        <v>0</v>
      </c>
      <c r="CH1319" s="59" t="n">
        <f aca="false">IF(AND(Parameter!$B$21="Ja",ISNUMBER(W1319),N(X1319)&gt;0),IFERROR(N(INDEX(Parameter!$L$5:$L$7,W1319))*INDEX(Parameter!$E$5:$E$7,W1319)*X1319/SUMIFS($X$7:$X$1843,$W$7:$W$1843,W1319),0),0)</f>
        <v>0</v>
      </c>
    </row>
    <row r="1320" customFormat="false" ht="15" hidden="false" customHeight="false" outlineLevel="0" collapsed="false">
      <c r="A1320" s="55" t="s">
        <v>2343</v>
      </c>
      <c r="B1320" s="55" t="s">
        <v>2344</v>
      </c>
      <c r="C1320" s="55" t="s">
        <v>164</v>
      </c>
      <c r="D1320" s="55" t="s">
        <v>184</v>
      </c>
      <c r="E1320" s="55" t="s">
        <v>185</v>
      </c>
      <c r="F1320" s="55" t="s">
        <v>218</v>
      </c>
      <c r="G1320" s="56" t="n">
        <v>564.84</v>
      </c>
      <c r="H1320" s="57" t="n">
        <f aca="false">MAX(0,IF(AND(Parameter!$B$21="Ja",ISNUMBER(Y1320)),Y1320,IF(Parameter!$B$20="Jahresanfang 2025 + Export",BL1320+BK1320,BK1320)))</f>
        <v>1</v>
      </c>
      <c r="I1320" s="57" t="n">
        <f aca="false">H1320*G1320</f>
        <v>564.84</v>
      </c>
      <c r="J1320" s="57" t="n">
        <f aca="false">BN1320*Parameter!$B$18</f>
        <v>15</v>
      </c>
      <c r="K1320" s="58" t="n">
        <v>3.5</v>
      </c>
      <c r="L1320" s="59" t="n">
        <v>4.28571428571429</v>
      </c>
      <c r="M1320" s="57" t="n">
        <v>0</v>
      </c>
      <c r="N1320" s="57" t="n">
        <v>10</v>
      </c>
      <c r="O1320" s="60" t="n">
        <v>21</v>
      </c>
      <c r="P1320" s="55" t="s">
        <v>226</v>
      </c>
      <c r="Q1320" s="57" t="n">
        <v>8</v>
      </c>
      <c r="R1320" s="60" t="n">
        <f aca="false">IF(BT1320=1,0,IFERROR(VLOOKUP(BR1320,'Gebinde-Kategorie'!$A$5:$M$45,13,0)+0,0))</f>
        <v>12</v>
      </c>
      <c r="S1320" s="61"/>
      <c r="T1320" s="62"/>
      <c r="U1320" s="62"/>
      <c r="V1320" s="62"/>
      <c r="W1320" s="55"/>
      <c r="X1320" s="57"/>
      <c r="Y1320" s="57"/>
      <c r="Z1320" s="55" t="n">
        <f aca="false">IF(A1320="","",IF(AND(Parameter!$B$21="Ja",ISNUMBER(W1320)),W1320,IF(BV1320="2+3",IF(ISNUMBER(SEARCH("grosser Artikel",BO1320)),2,IFERROR(VLOOKUP(BR1320,Parameter!$F$35:$G$64,2,0),2)),IF(OR(BV1320="Nein",BV1320=""),"-",BV1320))))</f>
        <v>2</v>
      </c>
      <c r="AA1320" s="62"/>
      <c r="AB1320" s="63"/>
      <c r="AC1320" s="57" t="n">
        <f aca="false">AR1320</f>
        <v>16</v>
      </c>
      <c r="AD1320" s="57" t="n">
        <f aca="false">MAX(AR1320,H1320)</f>
        <v>16</v>
      </c>
      <c r="AE1320" s="64"/>
      <c r="AF1320" s="57" t="n">
        <f aca="false">IF(LEFT(Cockpit!$C$5,1)="A",H1320,IF(CA1320=1,CB1320,IF(LEFT(Cockpit!$C$5,1)="B",AJ1320,MAX(AJ1320,H1320))))</f>
        <v>1</v>
      </c>
      <c r="AG1320" s="57" t="n">
        <f aca="false">IF(BT1320=1,0,ROUNDUP(AF1320/BS1320,0))</f>
        <v>1</v>
      </c>
      <c r="AH1320" s="59" t="n">
        <f aca="false">IF(CH1320&gt;0,CH1320*MAX(1,AF1320/X1320),IF(BT1320=1,IF(AF1320&lt;=0,0,BW1320*MAX(1,IF(H1320&gt;0,AF1320/H1320,1))),IF(R1320&gt;0,AG1320/R1320,0))/MAX(0.1,N(Parameter!$M$21)))</f>
        <v>0.0833333333333333</v>
      </c>
      <c r="AI1320" s="57" t="n">
        <f aca="false">AF1320*G1320</f>
        <v>564.84</v>
      </c>
      <c r="AJ1320" s="57" t="n">
        <f aca="false">ROUNDUP(MAX(J1320/IF(BZ1320&gt;0,BZ1320,MAX(0.1,N(Cockpit!$C$6))),CC1320)/BS1320,0)*BS1320</f>
        <v>16</v>
      </c>
      <c r="AK1320" s="58" t="n">
        <f aca="false">IF(AH1320&gt;0,J1320/AH1320,-1)</f>
        <v>180</v>
      </c>
      <c r="AL1320" s="58" t="n">
        <f aca="false">IF(AND(OR(BY1320="L1",BY1320="L23"),AH1320&gt;0),SUMIFS($AH$7:$AH$1843,$BY$7:$BY$1843,BY1320,$AK$7:$AK$1843,"&gt;"&amp;AK1320)+SUMIFS($AH$7:$AH$1843,$BY$7:$BY$1843,BY1320,$AK$7:$AK$1843,AK1320,$BQ$7:$BQ$1843,"&lt;="&amp;BQ1320),"")</f>
        <v>33.9257879801358</v>
      </c>
      <c r="AM1320" s="65" t="n">
        <f aca="false">IF(AL1320="",0,MAX(0,MIN(1,(IF(BY1320="L1",Parameter!$E$5,Parameter!$E$6+Parameter!$E$7)-(AL1320-AH1320))/AH1320)))</f>
        <v>1</v>
      </c>
      <c r="AN1320" s="57" t="n">
        <f aca="false">IF(LEFT(Cockpit!$I$5,1)="A",H1320,IF(CA1320=1,CB1320,IF(LEFT(Cockpit!$I$5,1)="B",AR1320,MAX(AR1320,H1320))))</f>
        <v>16</v>
      </c>
      <c r="AO1320" s="57" t="n">
        <f aca="false">IF(BT1320=1,0,ROUNDUP(AN1320/BS1320,0))</f>
        <v>2</v>
      </c>
      <c r="AP1320" s="59" t="n">
        <f aca="false">IF(CH1320&gt;0,CH1320*MAX(1,AN1320/X1320),IF(BT1320=1,IF(AN1320&lt;=0,0,BW1320*MAX(1,IF(H1320&gt;0,AN1320/H1320,1))),IF(R1320&gt;0,AO1320/R1320,0))/MAX(0.1,N(Parameter!$M$21)))</f>
        <v>0.166666666666667</v>
      </c>
      <c r="AQ1320" s="57" t="n">
        <f aca="false">AN1320*G1320</f>
        <v>9037.44</v>
      </c>
      <c r="AR1320" s="57" t="n">
        <f aca="false">ROUNDUP(MAX(J1320/IF(BZ1320&gt;0,BZ1320,MAX(0.1,N(Cockpit!$I$6))),CC1320)/BS1320,0)*BS1320</f>
        <v>16</v>
      </c>
      <c r="AS1320" s="58" t="n">
        <f aca="false">IF(AP1320&gt;0,J1320/AP1320,-1)</f>
        <v>90</v>
      </c>
      <c r="AT1320" s="58" t="n">
        <f aca="false">IF(AND(OR(BY1320="L1",BY1320="L23"),AP1320&gt;0),SUMIFS($AP$7:$AP$1843,$BY$7:$BY$1843,BY1320,$AS$7:$AS$1843,"&gt;"&amp;AS1320)+SUMIFS($AP$7:$AP$1843,$BY$7:$BY$1843,BY1320,$AS$7:$AS$1843,AS1320,$BQ$7:$BQ$1843,"&lt;="&amp;BQ1320),"")</f>
        <v>61.7675500827675</v>
      </c>
      <c r="AU1320" s="65" t="n">
        <f aca="false">IF(AT1320="",0,MAX(0,MIN(1,(IF(BY1320="L1",Parameter!$E$5,Parameter!$E$6+Parameter!$E$7)-(AT1320-AP1320))/AP1320)))</f>
        <v>1</v>
      </c>
      <c r="AV1320" s="57" t="n">
        <f aca="false">IF(LEFT(Cockpit!$O$5,1)="A",H1320,IF(CA1320=1,CB1320,IF(LEFT(Cockpit!$O$5,1)="B",AZ1320,MAX(AZ1320,H1320))))</f>
        <v>16</v>
      </c>
      <c r="AW1320" s="57" t="n">
        <f aca="false">IF(BT1320=1,0,ROUNDUP(AV1320/BS1320,0))</f>
        <v>2</v>
      </c>
      <c r="AX1320" s="59" t="n">
        <f aca="false">IF(CH1320&gt;0,CH1320*MAX(1,AV1320/X1320),IF(BT1320=1,IF(AV1320&lt;=0,0,BW1320*MAX(1,IF(H1320&gt;0,AV1320/H1320,1))),IF(R1320&gt;0,AW1320/R1320,0))/MAX(0.1,N(Parameter!$M$21)))</f>
        <v>0.166666666666667</v>
      </c>
      <c r="AY1320" s="57" t="n">
        <f aca="false">AV1320*G1320</f>
        <v>9037.44</v>
      </c>
      <c r="AZ1320" s="57" t="n">
        <f aca="false">ROUNDUP(MAX(J1320/IF(BZ1320&gt;0,BZ1320,MAX(0.1,N(Cockpit!$O$6))),CC1320)/BS1320,0)*BS1320</f>
        <v>16</v>
      </c>
      <c r="BA1320" s="58" t="n">
        <f aca="false">IF(AX1320&gt;0,J1320/AX1320,-1)</f>
        <v>90</v>
      </c>
      <c r="BB1320" s="58" t="n">
        <f aca="false">IF(AND(OR(BY1320="L1",BY1320="L23"),AX1320&gt;0),SUMIFS($AX$7:$AX$1843,$BY$7:$BY$1843,BY1320,$BA$7:$BA$1843,"&gt;"&amp;BA1320)+SUMIFS($AX$7:$AX$1843,$BY$7:$BY$1843,BY1320,$BA$7:$BA$1843,BA1320,$BQ$7:$BQ$1843,"&lt;="&amp;BQ1320),"")</f>
        <v>56.8473869126043</v>
      </c>
      <c r="BC1320" s="65" t="n">
        <f aca="false">IF(BB1320="",0,MAX(0,MIN(1,(IF(BY1320="L1",Parameter!$E$5,Parameter!$E$6+Parameter!$E$7)-(BB1320-AX1320))/AX1320)))</f>
        <v>1</v>
      </c>
      <c r="BD1320" s="55" t="str">
        <f aca="false">IF(AH1320&lt;=0,"",IF(BY1320="Aussen","Aussenlager",IF(BY1320="-","Nicht im Lift",IF(AM1320&gt;=1,"Lift",IF(AM1320&lt;=0,"Aussenlager","teilweise")))))</f>
        <v>Lift</v>
      </c>
      <c r="BE1320" s="55" t="str">
        <f aca="false">IF(AP1320&lt;=0,"",IF(BY1320="Aussen","Aussenlager",IF(BY1320="-","Nicht im Lift",IF(AU1320&gt;=1,"Lift",IF(AU1320&lt;=0,"Aussenlager","teilweise")))))</f>
        <v>Lift</v>
      </c>
      <c r="BF1320" s="55" t="str">
        <f aca="false">IF(AX1320&lt;=0,"",IF(BY1320="Aussen","Aussenlager",IF(BY1320="-","Nicht im Lift",IF(BC1320&gt;=1,"Lift",IF(BC1320&lt;=0,"Aussenlager","teilweise")))))</f>
        <v>Lift</v>
      </c>
      <c r="BG1320" s="55" t="str">
        <f aca="false">IF(A1320="","",IF(BP1320=1,"Neu; ","")&amp;IF(AND(BP1320=0,BK1320&lt;0),"negativer Bestand (Export "&amp;BK1320&amp;"); ","")&amp;IF(J1320&lt;=0,"Kein Verbrauch; ","")&amp;IF(CH1320&gt;0,"Lift "&amp;W1320&amp;" lt. Liftbericht (Fach "&amp;X1320&amp;" Stk); ",IF(BU1320=1,"Gebinde geschätzt ("&amp;T1320&amp;"); ",IF(BT1320=1,"Lose – Tablare geschätzt; ","")))&amp;IF(H1320&gt;AR1320,"Überbestand "&amp;ROUND(H1320-AR1320,0)&amp;" Stk / CHF "&amp;ROUND((H1320-AR1320)*G1320,0)&amp;"; ","")&amp;IF(AND(CA1320=1,CB1320&lt;CC1320),"MAX &lt; MB+LG; ","")&amp;IF(AND(CG1320&gt;0,CF1320*10&gt;CG1320),"zu hoch für Tablar; ","")&amp;IF(AND(BP1320=0,OR(CA1320=1,AA1320&lt;&gt;"",U1320&lt;&gt;"",V1320&lt;&gt;"",AB1320&lt;&gt;"")),"manuell übersteuert; ","")&amp;IF(AND(BT1320=0,R1320=0),"Gebinde unbekannt / Stellmass fehlt; ","")&amp;IF(AND(BT1320=0,N(V1320)&lt;=0,N(Q1320)&lt;=0),"Menge pro Gebinde fehlt (Ist = 1 Gebinde); ","")&amp;BO1320)</f>
        <v>negativer Bestand (Export -3); </v>
      </c>
      <c r="BH1320" s="55"/>
      <c r="BI1320" s="55"/>
      <c r="BJ1320" s="62"/>
      <c r="BK1320" s="57" t="n">
        <v>-3</v>
      </c>
      <c r="BL1320" s="57" t="n">
        <v>4</v>
      </c>
      <c r="BM1320" s="56" t="n">
        <v>-1424.6</v>
      </c>
      <c r="BN1320" s="57" t="n">
        <v>15</v>
      </c>
      <c r="BO1320" s="55"/>
      <c r="BP1320" s="60" t="n">
        <v>0</v>
      </c>
      <c r="BQ1320" s="60" t="n">
        <v>1320</v>
      </c>
      <c r="BR1320" s="55" t="str">
        <f aca="false">IF(U1320&lt;&gt;"",UPPER(TRIM(U1320)),IF(BU1320=1,UPPER(VLOOKUP(T1320,Parameter!$I$27:$K$29,2,0)),IF(P1320="","LOSE",P1320)))</f>
        <v>S63</v>
      </c>
      <c r="BS1320" s="57" t="n">
        <f aca="false">IF(BR1320="LOSE",1,IF(N(V1320)&gt;0,V1320,IF(BU1320=1,MAX(1,N(VLOOKUP(T1320,Parameter!$I$27:$K$29,3,0)),H1320,N(N1320)),IF(N(Q1320)&gt;0,Q1320,MAX(1,H1320)))))</f>
        <v>8</v>
      </c>
      <c r="BT1320" s="60" t="n">
        <f aca="false">IF(BR1320="LOSE",1,0)</f>
        <v>0</v>
      </c>
      <c r="BU1320" s="60" t="n">
        <f aca="false">IF(AND(U1320="",OR(P1320="",P1320="LOSE"),T1320&lt;&gt;"",N(S1320)&lt;=0,ISNUMBER(MATCH(T1320,Parameter!$I$27:$I$29,0))),1,0)</f>
        <v>0</v>
      </c>
      <c r="BV1320" s="55" t="str">
        <f aca="false">IF(AND(Parameter!$B$19="Ja",E1320&lt;&gt;"",ISNUMBER(MATCH(E1320,Parameter!$I$35:$I$52,0))),VLOOKUP(E1320,Parameter!$I$35:$J$52,2,0),IFERROR(VLOOKUP(D1320,Parameter!$A$35:$C$64,2,0),"Nein"))</f>
        <v>2+3</v>
      </c>
      <c r="BW1320" s="59" t="n">
        <f aca="false">IF(BT1320=0,0,IF(N(S1320)&gt;0,S1320,IFERROR(VLOOKUP(D1320,Parameter!$A$35:$C$64,3,0)+0,0)))</f>
        <v>0</v>
      </c>
      <c r="BX1320" s="55" t="n">
        <f aca="false">IF(AA1320&lt;&gt;"",AA1320,Z1320)</f>
        <v>2</v>
      </c>
      <c r="BY1320" s="55" t="str">
        <f aca="false">IF(BX1320=1,"L1",IF(OR(BX1320=2,BX1320=3),"L23",IF(BX1320="Aussen","Aussen","-")))</f>
        <v>L23</v>
      </c>
      <c r="BZ1320" s="66" t="n">
        <f aca="false">IF(N(AB1320)&gt;0,AB1320,0)</f>
        <v>0</v>
      </c>
      <c r="CA1320" s="60" t="n">
        <f aca="false">IF(ISNUMBER(AE1320),1,0)</f>
        <v>0</v>
      </c>
      <c r="CB1320" s="57" t="n">
        <f aca="false">N(AE1320)</f>
        <v>0</v>
      </c>
      <c r="CC1320" s="57" t="n">
        <f aca="false">N(M1320)+N(N1320)</f>
        <v>10</v>
      </c>
      <c r="CD1320" s="57" t="n">
        <f aca="false">ROUNDUP(H1320/BS1320,0)</f>
        <v>1</v>
      </c>
      <c r="CE1320" s="57" t="n">
        <f aca="false">ROUNDUP(CB1320/BS1320,0)</f>
        <v>0</v>
      </c>
      <c r="CF1320" s="60" t="n">
        <f aca="false">IF(BT1320=1,0,IFERROR(VLOOKUP(BR1320,'Gebinde-Kategorie'!$A$5:$M$45,5,0)+0,0))</f>
        <v>31</v>
      </c>
      <c r="CG1320" s="60" t="n">
        <f aca="false">IFERROR(IF(OR(BX1320=1,BX1320=2,BX1320=3),N(INDEX(Parameter!$I$5:$I$7,BX1320)),0),0)</f>
        <v>0</v>
      </c>
      <c r="CH1320" s="59" t="n">
        <f aca="false">IF(AND(Parameter!$B$21="Ja",ISNUMBER(W1320),N(X1320)&gt;0),IFERROR(N(INDEX(Parameter!$L$5:$L$7,W1320))*INDEX(Parameter!$E$5:$E$7,W1320)*X1320/SUMIFS($X$7:$X$1843,$W$7:$W$1843,W1320),0),0)</f>
        <v>0</v>
      </c>
    </row>
    <row r="1321" customFormat="false" ht="15" hidden="false" customHeight="false" outlineLevel="0" collapsed="false">
      <c r="A1321" s="55" t="s">
        <v>2345</v>
      </c>
      <c r="B1321" s="55" t="s">
        <v>580</v>
      </c>
      <c r="C1321" s="55" t="s">
        <v>164</v>
      </c>
      <c r="D1321" s="55" t="s">
        <v>173</v>
      </c>
      <c r="E1321" s="55" t="s">
        <v>166</v>
      </c>
      <c r="F1321" s="55" t="s">
        <v>218</v>
      </c>
      <c r="G1321" s="56" t="n">
        <v>189.21</v>
      </c>
      <c r="H1321" s="57" t="n">
        <f aca="false">MAX(0,IF(AND(Parameter!$B$21="Ja",ISNUMBER(Y1321)),Y1321,IF(Parameter!$B$20="Jahresanfang 2025 + Export",BL1321+BK1321,BK1321)))</f>
        <v>8</v>
      </c>
      <c r="I1321" s="57" t="n">
        <f aca="false">H1321*G1321</f>
        <v>1513.68</v>
      </c>
      <c r="J1321" s="57" t="n">
        <f aca="false">BN1321*Parameter!$B$18</f>
        <v>25</v>
      </c>
      <c r="K1321" s="58" t="n">
        <v>12</v>
      </c>
      <c r="L1321" s="59" t="n">
        <v>2.08333333333333</v>
      </c>
      <c r="M1321" s="57" t="n">
        <v>2</v>
      </c>
      <c r="N1321" s="57" t="n">
        <v>10</v>
      </c>
      <c r="O1321" s="60" t="n">
        <v>21</v>
      </c>
      <c r="P1321" s="55" t="s">
        <v>174</v>
      </c>
      <c r="Q1321" s="57" t="n">
        <v>13</v>
      </c>
      <c r="R1321" s="60" t="n">
        <f aca="false">IF(BT1321=1,0,IFERROR(VLOOKUP(BR1321,'Gebinde-Kategorie'!$A$5:$M$45,13,0)+0,0))</f>
        <v>6</v>
      </c>
      <c r="S1321" s="61"/>
      <c r="T1321" s="62"/>
      <c r="U1321" s="62"/>
      <c r="V1321" s="62"/>
      <c r="W1321" s="55"/>
      <c r="X1321" s="57"/>
      <c r="Y1321" s="57"/>
      <c r="Z1321" s="55" t="n">
        <f aca="false">IF(A1321="","",IF(AND(Parameter!$B$21="Ja",ISNUMBER(W1321)),W1321,IF(BV1321="2+3",IF(ISNUMBER(SEARCH("grosser Artikel",BO1321)),2,IFERROR(VLOOKUP(BR1321,Parameter!$F$35:$G$64,2,0),2)),IF(OR(BV1321="Nein",BV1321=""),"-",BV1321))))</f>
        <v>1</v>
      </c>
      <c r="AA1321" s="62"/>
      <c r="AB1321" s="63"/>
      <c r="AC1321" s="57" t="n">
        <f aca="false">AR1321</f>
        <v>13</v>
      </c>
      <c r="AD1321" s="57" t="n">
        <f aca="false">MAX(AR1321,H1321)</f>
        <v>13</v>
      </c>
      <c r="AE1321" s="64"/>
      <c r="AF1321" s="57" t="n">
        <f aca="false">IF(LEFT(Cockpit!$C$5,1)="A",H1321,IF(CA1321=1,CB1321,IF(LEFT(Cockpit!$C$5,1)="B",AJ1321,MAX(AJ1321,H1321))))</f>
        <v>8</v>
      </c>
      <c r="AG1321" s="57" t="n">
        <f aca="false">IF(BT1321=1,0,ROUNDUP(AF1321/BS1321,0))</f>
        <v>1</v>
      </c>
      <c r="AH1321" s="59" t="n">
        <f aca="false">IF(CH1321&gt;0,CH1321*MAX(1,AF1321/X1321),IF(BT1321=1,IF(AF1321&lt;=0,0,BW1321*MAX(1,IF(H1321&gt;0,AF1321/H1321,1))),IF(R1321&gt;0,AG1321/R1321,0))/MAX(0.1,N(Parameter!$M$21)))</f>
        <v>0.166666666666667</v>
      </c>
      <c r="AI1321" s="57" t="n">
        <f aca="false">AF1321*G1321</f>
        <v>1513.68</v>
      </c>
      <c r="AJ1321" s="57" t="n">
        <f aca="false">ROUNDUP(MAX(J1321/IF(BZ1321&gt;0,BZ1321,MAX(0.1,N(Cockpit!$C$6))),CC1321)/BS1321,0)*BS1321</f>
        <v>13</v>
      </c>
      <c r="AK1321" s="58" t="n">
        <f aca="false">IF(AH1321&gt;0,J1321/AH1321,-1)</f>
        <v>150</v>
      </c>
      <c r="AL1321" s="58" t="n">
        <f aca="false">IF(AND(OR(BY1321="L1",BY1321="L23"),AH1321&gt;0),SUMIFS($AH$7:$AH$1843,$BY$7:$BY$1843,BY1321,$AK$7:$AK$1843,"&gt;"&amp;AK1321)+SUMIFS($AH$7:$AH$1843,$BY$7:$BY$1843,BY1321,$AK$7:$AK$1843,AK1321,$BQ$7:$BQ$1843,"&lt;="&amp;BQ1321),"")</f>
        <v>3.75083612040134</v>
      </c>
      <c r="AM1321" s="65" t="n">
        <f aca="false">IF(AL1321="",0,MAX(0,MIN(1,(IF(BY1321="L1",Parameter!$E$5,Parameter!$E$6+Parameter!$E$7)-(AL1321-AH1321))/AH1321)))</f>
        <v>1</v>
      </c>
      <c r="AN1321" s="57" t="n">
        <f aca="false">IF(LEFT(Cockpit!$I$5,1)="A",H1321,IF(CA1321=1,CB1321,IF(LEFT(Cockpit!$I$5,1)="B",AR1321,MAX(AR1321,H1321))))</f>
        <v>13</v>
      </c>
      <c r="AO1321" s="57" t="n">
        <f aca="false">IF(BT1321=1,0,ROUNDUP(AN1321/BS1321,0))</f>
        <v>1</v>
      </c>
      <c r="AP1321" s="59" t="n">
        <f aca="false">IF(CH1321&gt;0,CH1321*MAX(1,AN1321/X1321),IF(BT1321=1,IF(AN1321&lt;=0,0,BW1321*MAX(1,IF(H1321&gt;0,AN1321/H1321,1))),IF(R1321&gt;0,AO1321/R1321,0))/MAX(0.1,N(Parameter!$M$21)))</f>
        <v>0.166666666666667</v>
      </c>
      <c r="AQ1321" s="57" t="n">
        <f aca="false">AN1321*G1321</f>
        <v>2459.73</v>
      </c>
      <c r="AR1321" s="57" t="n">
        <f aca="false">ROUNDUP(MAX(J1321/IF(BZ1321&gt;0,BZ1321,MAX(0.1,N(Cockpit!$I$6))),CC1321)/BS1321,0)*BS1321</f>
        <v>13</v>
      </c>
      <c r="AS1321" s="58" t="n">
        <f aca="false">IF(AP1321&gt;0,J1321/AP1321,-1)</f>
        <v>150</v>
      </c>
      <c r="AT1321" s="58" t="n">
        <f aca="false">IF(AND(OR(BY1321="L1",BY1321="L23"),AP1321&gt;0),SUMIFS($AP$7:$AP$1843,$BY$7:$BY$1843,BY1321,$AS$7:$AS$1843,"&gt;"&amp;AS1321)+SUMIFS($AP$7:$AP$1843,$BY$7:$BY$1843,BY1321,$AS$7:$AS$1843,AS1321,$BQ$7:$BQ$1843,"&lt;="&amp;BQ1321),"")</f>
        <v>4.57775919732441</v>
      </c>
      <c r="AU1321" s="65" t="n">
        <f aca="false">IF(AT1321="",0,MAX(0,MIN(1,(IF(BY1321="L1",Parameter!$E$5,Parameter!$E$6+Parameter!$E$7)-(AT1321-AP1321))/AP1321)))</f>
        <v>1</v>
      </c>
      <c r="AV1321" s="57" t="n">
        <f aca="false">IF(LEFT(Cockpit!$O$5,1)="A",H1321,IF(CA1321=1,CB1321,IF(LEFT(Cockpit!$O$5,1)="B",AZ1321,MAX(AZ1321,H1321))))</f>
        <v>13</v>
      </c>
      <c r="AW1321" s="57" t="n">
        <f aca="false">IF(BT1321=1,0,ROUNDUP(AV1321/BS1321,0))</f>
        <v>1</v>
      </c>
      <c r="AX1321" s="59" t="n">
        <f aca="false">IF(CH1321&gt;0,CH1321*MAX(1,AV1321/X1321),IF(BT1321=1,IF(AV1321&lt;=0,0,BW1321*MAX(1,IF(H1321&gt;0,AV1321/H1321,1))),IF(R1321&gt;0,AW1321/R1321,0))/MAX(0.1,N(Parameter!$M$21)))</f>
        <v>0.166666666666667</v>
      </c>
      <c r="AY1321" s="57" t="n">
        <f aca="false">AV1321*G1321</f>
        <v>2459.73</v>
      </c>
      <c r="AZ1321" s="57" t="n">
        <f aca="false">ROUNDUP(MAX(J1321/IF(BZ1321&gt;0,BZ1321,MAX(0.1,N(Cockpit!$O$6))),CC1321)/BS1321,0)*BS1321</f>
        <v>13</v>
      </c>
      <c r="BA1321" s="58" t="n">
        <f aca="false">IF(AX1321&gt;0,J1321/AX1321,-1)</f>
        <v>150</v>
      </c>
      <c r="BB1321" s="58" t="n">
        <f aca="false">IF(AND(OR(BY1321="L1",BY1321="L23"),AX1321&gt;0),SUMIFS($AX$7:$AX$1843,$BY$7:$BY$1843,BY1321,$BA$7:$BA$1843,"&gt;"&amp;BA1321)+SUMIFS($AX$7:$AX$1843,$BY$7:$BY$1843,BY1321,$BA$7:$BA$1843,BA1321,$BQ$7:$BQ$1843,"&lt;="&amp;BQ1321),"")</f>
        <v>4.28929765886288</v>
      </c>
      <c r="BC1321" s="65" t="n">
        <f aca="false">IF(BB1321="",0,MAX(0,MIN(1,(IF(BY1321="L1",Parameter!$E$5,Parameter!$E$6+Parameter!$E$7)-(BB1321-AX1321))/AX1321)))</f>
        <v>1</v>
      </c>
      <c r="BD1321" s="55" t="str">
        <f aca="false">IF(AH1321&lt;=0,"",IF(BY1321="Aussen","Aussenlager",IF(BY1321="-","Nicht im Lift",IF(AM1321&gt;=1,"Lift",IF(AM1321&lt;=0,"Aussenlager","teilweise")))))</f>
        <v>Lift</v>
      </c>
      <c r="BE1321" s="55" t="str">
        <f aca="false">IF(AP1321&lt;=0,"",IF(BY1321="Aussen","Aussenlager",IF(BY1321="-","Nicht im Lift",IF(AU1321&gt;=1,"Lift",IF(AU1321&lt;=0,"Aussenlager","teilweise")))))</f>
        <v>Lift</v>
      </c>
      <c r="BF1321" s="55" t="str">
        <f aca="false">IF(AX1321&lt;=0,"",IF(BY1321="Aussen","Aussenlager",IF(BY1321="-","Nicht im Lift",IF(BC1321&gt;=1,"Lift",IF(BC1321&lt;=0,"Aussenlager","teilweise")))))</f>
        <v>Lift</v>
      </c>
      <c r="BG1321" s="55" t="str">
        <f aca="false">IF(A1321="","",IF(BP1321=1,"Neu; ","")&amp;IF(AND(BP1321=0,BK1321&lt;0),"negativer Bestand (Export "&amp;BK1321&amp;"); ","")&amp;IF(J1321&lt;=0,"Kein Verbrauch; ","")&amp;IF(CH1321&gt;0,"Lift "&amp;W1321&amp;" lt. Liftbericht (Fach "&amp;X1321&amp;" Stk); ",IF(BU1321=1,"Gebinde geschätzt ("&amp;T1321&amp;"); ",IF(BT1321=1,"Lose – Tablare geschätzt; ","")))&amp;IF(H1321&gt;AR1321,"Überbestand "&amp;ROUND(H1321-AR1321,0)&amp;" Stk / CHF "&amp;ROUND((H1321-AR1321)*G1321,0)&amp;"; ","")&amp;IF(AND(CA1321=1,CB1321&lt;CC1321),"MAX &lt; MB+LG; ","")&amp;IF(AND(CG1321&gt;0,CF1321*10&gt;CG1321),"zu hoch für Tablar; ","")&amp;IF(AND(BP1321=0,OR(CA1321=1,AA1321&lt;&gt;"",U1321&lt;&gt;"",V1321&lt;&gt;"",AB1321&lt;&gt;"")),"manuell übersteuert; ","")&amp;IF(AND(BT1321=0,R1321=0),"Gebinde unbekannt / Stellmass fehlt; ","")&amp;IF(AND(BT1321=0,N(V1321)&lt;=0,N(Q1321)&lt;=0),"Menge pro Gebinde fehlt (Ist = 1 Gebinde); ","")&amp;BO1321)</f>
        <v>negativer Bestand (Export -6); </v>
      </c>
      <c r="BH1321" s="55"/>
      <c r="BI1321" s="55"/>
      <c r="BJ1321" s="62"/>
      <c r="BK1321" s="57" t="n">
        <v>-6</v>
      </c>
      <c r="BL1321" s="57" t="n">
        <v>14</v>
      </c>
      <c r="BM1321" s="56" t="n">
        <v>-1429.68</v>
      </c>
      <c r="BN1321" s="57" t="n">
        <v>25</v>
      </c>
      <c r="BO1321" s="55"/>
      <c r="BP1321" s="60" t="n">
        <v>0</v>
      </c>
      <c r="BQ1321" s="60" t="n">
        <v>1321</v>
      </c>
      <c r="BR1321" s="55" t="str">
        <f aca="false">IF(U1321&lt;&gt;"",UPPER(TRIM(U1321)),IF(BU1321=1,UPPER(VLOOKUP(T1321,Parameter!$I$27:$K$29,2,0)),IF(P1321="","LOSE",P1321)))</f>
        <v>S71</v>
      </c>
      <c r="BS1321" s="57" t="n">
        <f aca="false">IF(BR1321="LOSE",1,IF(N(V1321)&gt;0,V1321,IF(BU1321=1,MAX(1,N(VLOOKUP(T1321,Parameter!$I$27:$K$29,3,0)),H1321,N(N1321)),IF(N(Q1321)&gt;0,Q1321,MAX(1,H1321)))))</f>
        <v>13</v>
      </c>
      <c r="BT1321" s="60" t="n">
        <f aca="false">IF(BR1321="LOSE",1,0)</f>
        <v>0</v>
      </c>
      <c r="BU1321" s="60" t="n">
        <f aca="false">IF(AND(U1321="",OR(P1321="",P1321="LOSE"),T1321&lt;&gt;"",N(S1321)&lt;=0,ISNUMBER(MATCH(T1321,Parameter!$I$27:$I$29,0))),1,0)</f>
        <v>0</v>
      </c>
      <c r="BV1321" s="55" t="n">
        <f aca="false">IF(AND(Parameter!$B$19="Ja",E1321&lt;&gt;"",ISNUMBER(MATCH(E1321,Parameter!$I$35:$I$52,0))),VLOOKUP(E1321,Parameter!$I$35:$J$52,2,0),IFERROR(VLOOKUP(D1321,Parameter!$A$35:$C$64,2,0),"Nein"))</f>
        <v>1</v>
      </c>
      <c r="BW1321" s="59" t="n">
        <f aca="false">IF(BT1321=0,0,IF(N(S1321)&gt;0,S1321,IFERROR(VLOOKUP(D1321,Parameter!$A$35:$C$64,3,0)+0,0)))</f>
        <v>0</v>
      </c>
      <c r="BX1321" s="55" t="n">
        <f aca="false">IF(AA1321&lt;&gt;"",AA1321,Z1321)</f>
        <v>1</v>
      </c>
      <c r="BY1321" s="55" t="str">
        <f aca="false">IF(BX1321=1,"L1",IF(OR(BX1321=2,BX1321=3),"L23",IF(BX1321="Aussen","Aussen","-")))</f>
        <v>L1</v>
      </c>
      <c r="BZ1321" s="66" t="n">
        <f aca="false">IF(N(AB1321)&gt;0,AB1321,0)</f>
        <v>0</v>
      </c>
      <c r="CA1321" s="60" t="n">
        <f aca="false">IF(ISNUMBER(AE1321),1,0)</f>
        <v>0</v>
      </c>
      <c r="CB1321" s="57" t="n">
        <f aca="false">N(AE1321)</f>
        <v>0</v>
      </c>
      <c r="CC1321" s="57" t="n">
        <f aca="false">N(M1321)+N(N1321)</f>
        <v>12</v>
      </c>
      <c r="CD1321" s="57" t="n">
        <f aca="false">ROUNDUP(H1321/BS1321,0)</f>
        <v>1</v>
      </c>
      <c r="CE1321" s="57" t="n">
        <f aca="false">ROUNDUP(CB1321/BS1321,0)</f>
        <v>0</v>
      </c>
      <c r="CF1321" s="60" t="n">
        <f aca="false">IF(BT1321=1,0,IFERROR(VLOOKUP(BR1321,'Gebinde-Kategorie'!$A$5:$M$45,5,0)+0,0))</f>
        <v>20</v>
      </c>
      <c r="CG1321" s="60" t="n">
        <f aca="false">IFERROR(IF(OR(BX1321=1,BX1321=2,BX1321=3),N(INDEX(Parameter!$I$5:$I$7,BX1321)),0),0)</f>
        <v>0</v>
      </c>
      <c r="CH1321" s="59" t="n">
        <f aca="false">IF(AND(Parameter!$B$21="Ja",ISNUMBER(W1321),N(X1321)&gt;0),IFERROR(N(INDEX(Parameter!$L$5:$L$7,W1321))*INDEX(Parameter!$E$5:$E$7,W1321)*X1321/SUMIFS($X$7:$X$1843,$W$7:$W$1843,W1321),0),0)</f>
        <v>0</v>
      </c>
    </row>
    <row r="1322" customFormat="false" ht="15" hidden="false" customHeight="false" outlineLevel="0" collapsed="false">
      <c r="A1322" s="55" t="s">
        <v>2346</v>
      </c>
      <c r="B1322" s="55" t="s">
        <v>2347</v>
      </c>
      <c r="C1322" s="55" t="s">
        <v>164</v>
      </c>
      <c r="D1322" s="55" t="s">
        <v>184</v>
      </c>
      <c r="E1322" s="55"/>
      <c r="F1322" s="55" t="s">
        <v>218</v>
      </c>
      <c r="G1322" s="56" t="n">
        <v>1433.79</v>
      </c>
      <c r="H1322" s="57" t="n">
        <f aca="false">MAX(0,IF(AND(Parameter!$B$21="Ja",ISNUMBER(Y1322)),Y1322,IF(Parameter!$B$20="Jahresanfang 2025 + Export",BL1322+BK1322,BK1322)))</f>
        <v>6</v>
      </c>
      <c r="I1322" s="57" t="n">
        <f aca="false">H1322*G1322</f>
        <v>8602.74</v>
      </c>
      <c r="J1322" s="57" t="n">
        <f aca="false">BN1322*Parameter!$B$18</f>
        <v>0</v>
      </c>
      <c r="K1322" s="58" t="n">
        <v>7</v>
      </c>
      <c r="L1322" s="59" t="n">
        <v>0</v>
      </c>
      <c r="M1322" s="57" t="n">
        <v>1</v>
      </c>
      <c r="N1322" s="57" t="n">
        <v>1</v>
      </c>
      <c r="O1322" s="60" t="n">
        <v>14</v>
      </c>
      <c r="P1322" s="55" t="s">
        <v>226</v>
      </c>
      <c r="Q1322" s="57" t="n">
        <v>6</v>
      </c>
      <c r="R1322" s="60" t="n">
        <f aca="false">IF(BT1322=1,0,IFERROR(VLOOKUP(BR1322,'Gebinde-Kategorie'!$A$5:$M$45,13,0)+0,0))</f>
        <v>12</v>
      </c>
      <c r="S1322" s="61"/>
      <c r="T1322" s="62"/>
      <c r="U1322" s="62"/>
      <c r="V1322" s="62"/>
      <c r="W1322" s="55"/>
      <c r="X1322" s="57"/>
      <c r="Y1322" s="57"/>
      <c r="Z1322" s="55" t="n">
        <f aca="false">IF(A1322="","",IF(AND(Parameter!$B$21="Ja",ISNUMBER(W1322)),W1322,IF(BV1322="2+3",IF(ISNUMBER(SEARCH("grosser Artikel",BO1322)),2,IFERROR(VLOOKUP(BR1322,Parameter!$F$35:$G$64,2,0),2)),IF(OR(BV1322="Nein",BV1322=""),"-",BV1322))))</f>
        <v>2</v>
      </c>
      <c r="AA1322" s="62"/>
      <c r="AB1322" s="63"/>
      <c r="AC1322" s="57" t="n">
        <f aca="false">AR1322</f>
        <v>6</v>
      </c>
      <c r="AD1322" s="57" t="n">
        <f aca="false">MAX(AR1322,H1322)</f>
        <v>6</v>
      </c>
      <c r="AE1322" s="64"/>
      <c r="AF1322" s="57" t="n">
        <f aca="false">IF(LEFT(Cockpit!$C$5,1)="A",H1322,IF(CA1322=1,CB1322,IF(LEFT(Cockpit!$C$5,1)="B",AJ1322,MAX(AJ1322,H1322))))</f>
        <v>6</v>
      </c>
      <c r="AG1322" s="57" t="n">
        <f aca="false">IF(BT1322=1,0,ROUNDUP(AF1322/BS1322,0))</f>
        <v>1</v>
      </c>
      <c r="AH1322" s="59" t="n">
        <f aca="false">IF(CH1322&gt;0,CH1322*MAX(1,AF1322/X1322),IF(BT1322=1,IF(AF1322&lt;=0,0,BW1322*MAX(1,IF(H1322&gt;0,AF1322/H1322,1))),IF(R1322&gt;0,AG1322/R1322,0))/MAX(0.1,N(Parameter!$M$21)))</f>
        <v>0.0833333333333333</v>
      </c>
      <c r="AI1322" s="57" t="n">
        <f aca="false">AF1322*G1322</f>
        <v>8602.74</v>
      </c>
      <c r="AJ1322" s="57" t="n">
        <f aca="false">ROUNDUP(MAX(J1322/IF(BZ1322&gt;0,BZ1322,MAX(0.1,N(Cockpit!$C$6))),CC1322)/BS1322,0)*BS1322</f>
        <v>6</v>
      </c>
      <c r="AK1322" s="58" t="n">
        <f aca="false">IF(AH1322&gt;0,J1322/AH1322,-1)</f>
        <v>0</v>
      </c>
      <c r="AL1322" s="58" t="n">
        <f aca="false">IF(AND(OR(BY1322="L1",BY1322="L23"),AH1322&gt;0),SUMIFS($AH$7:$AH$1843,$BY$7:$BY$1843,BY1322,$AK$7:$AK$1843,"&gt;"&amp;AK1322)+SUMIFS($AH$7:$AH$1843,$BY$7:$BY$1843,BY1322,$AK$7:$AK$1843,AK1322,$BQ$7:$BQ$1843,"&lt;="&amp;BQ1322),"")</f>
        <v>80.8702662072227</v>
      </c>
      <c r="AM1322" s="65" t="n">
        <f aca="false">IF(AL1322="",0,MAX(0,MIN(1,(IF(BY1322="L1",Parameter!$E$5,Parameter!$E$6+Parameter!$E$7)-(AL1322-AH1322))/AH1322)))</f>
        <v>1</v>
      </c>
      <c r="AN1322" s="57" t="n">
        <f aca="false">IF(LEFT(Cockpit!$I$5,1)="A",H1322,IF(CA1322=1,CB1322,IF(LEFT(Cockpit!$I$5,1)="B",AR1322,MAX(AR1322,H1322))))</f>
        <v>6</v>
      </c>
      <c r="AO1322" s="57" t="n">
        <f aca="false">IF(BT1322=1,0,ROUNDUP(AN1322/BS1322,0))</f>
        <v>1</v>
      </c>
      <c r="AP1322" s="59" t="n">
        <f aca="false">IF(CH1322&gt;0,CH1322*MAX(1,AN1322/X1322),IF(BT1322=1,IF(AN1322&lt;=0,0,BW1322*MAX(1,IF(H1322&gt;0,AN1322/H1322,1))),IF(R1322&gt;0,AO1322/R1322,0))/MAX(0.1,N(Parameter!$M$21)))</f>
        <v>0.0833333333333333</v>
      </c>
      <c r="AQ1322" s="57" t="n">
        <f aca="false">AN1322*G1322</f>
        <v>8602.74</v>
      </c>
      <c r="AR1322" s="57" t="n">
        <f aca="false">ROUNDUP(MAX(J1322/IF(BZ1322&gt;0,BZ1322,MAX(0.1,N(Cockpit!$I$6))),CC1322)/BS1322,0)*BS1322</f>
        <v>6</v>
      </c>
      <c r="AS1322" s="58" t="n">
        <f aca="false">IF(AP1322&gt;0,J1322/AP1322,-1)</f>
        <v>0</v>
      </c>
      <c r="AT1322" s="58" t="n">
        <f aca="false">IF(AND(OR(BY1322="L1",BY1322="L23"),AP1322&gt;0),SUMIFS($AP$7:$AP$1843,$BY$7:$BY$1843,BY1322,$AS$7:$AS$1843,"&gt;"&amp;AS1322)+SUMIFS($AP$7:$AP$1843,$BY$7:$BY$1843,BY1322,$AS$7:$AS$1843,AS1322,$BQ$7:$BQ$1843,"&lt;="&amp;BQ1322),"")</f>
        <v>125.362741123611</v>
      </c>
      <c r="AU1322" s="65" t="n">
        <f aca="false">IF(AT1322="",0,MAX(0,MIN(1,(IF(BY1322="L1",Parameter!$E$5,Parameter!$E$6+Parameter!$E$7)-(AT1322-AP1322))/AP1322)))</f>
        <v>0</v>
      </c>
      <c r="AV1322" s="57" t="n">
        <f aca="false">IF(LEFT(Cockpit!$O$5,1)="A",H1322,IF(CA1322=1,CB1322,IF(LEFT(Cockpit!$O$5,1)="B",AZ1322,MAX(AZ1322,H1322))))</f>
        <v>6</v>
      </c>
      <c r="AW1322" s="57" t="n">
        <f aca="false">IF(BT1322=1,0,ROUNDUP(AV1322/BS1322,0))</f>
        <v>1</v>
      </c>
      <c r="AX1322" s="59" t="n">
        <f aca="false">IF(CH1322&gt;0,CH1322*MAX(1,AV1322/X1322),IF(BT1322=1,IF(AV1322&lt;=0,0,BW1322*MAX(1,IF(H1322&gt;0,AV1322/H1322,1))),IF(R1322&gt;0,AW1322/R1322,0))/MAX(0.1,N(Parameter!$M$21)))</f>
        <v>0.0833333333333333</v>
      </c>
      <c r="AY1322" s="57" t="n">
        <f aca="false">AV1322*G1322</f>
        <v>8602.74</v>
      </c>
      <c r="AZ1322" s="57" t="n">
        <f aca="false">ROUNDUP(MAX(J1322/IF(BZ1322&gt;0,BZ1322,MAX(0.1,N(Cockpit!$O$6))),CC1322)/BS1322,0)*BS1322</f>
        <v>6</v>
      </c>
      <c r="BA1322" s="58" t="n">
        <f aca="false">IF(AX1322&gt;0,J1322/AX1322,-1)</f>
        <v>0</v>
      </c>
      <c r="BB1322" s="58" t="n">
        <f aca="false">IF(AND(OR(BY1322="L1",BY1322="L23"),AX1322&gt;0),SUMIFS($AX$7:$AX$1843,$BY$7:$BY$1843,BY1322,$BA$7:$BA$1843,"&gt;"&amp;BA1322)+SUMIFS($AX$7:$AX$1843,$BY$7:$BY$1843,BY1322,$BA$7:$BA$1843,BA1322,$BQ$7:$BQ$1843,"&lt;="&amp;BQ1322),"")</f>
        <v>116.192577953448</v>
      </c>
      <c r="BC1322" s="65" t="n">
        <f aca="false">IF(BB1322="",0,MAX(0,MIN(1,(IF(BY1322="L1",Parameter!$E$5,Parameter!$E$6+Parameter!$E$7)-(BB1322-AX1322))/AX1322)))</f>
        <v>0</v>
      </c>
      <c r="BD1322" s="55" t="str">
        <f aca="false">IF(AH1322&lt;=0,"",IF(BY1322="Aussen","Aussenlager",IF(BY1322="-","Nicht im Lift",IF(AM1322&gt;=1,"Lift",IF(AM1322&lt;=0,"Aussenlager","teilweise")))))</f>
        <v>Lift</v>
      </c>
      <c r="BE1322" s="55" t="str">
        <f aca="false">IF(AP1322&lt;=0,"",IF(BY1322="Aussen","Aussenlager",IF(BY1322="-","Nicht im Lift",IF(AU1322&gt;=1,"Lift",IF(AU1322&lt;=0,"Aussenlager","teilweise")))))</f>
        <v>Aussenlager</v>
      </c>
      <c r="BF1322" s="55" t="str">
        <f aca="false">IF(AX1322&lt;=0,"",IF(BY1322="Aussen","Aussenlager",IF(BY1322="-","Nicht im Lift",IF(BC1322&gt;=1,"Lift",IF(BC1322&lt;=0,"Aussenlager","teilweise")))))</f>
        <v>Aussenlager</v>
      </c>
      <c r="BG1322" s="55" t="str">
        <f aca="false">IF(A1322="","",IF(BP1322=1,"Neu; ","")&amp;IF(AND(BP1322=0,BK1322&lt;0),"negativer Bestand (Export "&amp;BK1322&amp;"); ","")&amp;IF(J1322&lt;=0,"Kein Verbrauch; ","")&amp;IF(CH1322&gt;0,"Lift "&amp;W1322&amp;" lt. Liftbericht (Fach "&amp;X1322&amp;" Stk); ",IF(BU1322=1,"Gebinde geschätzt ("&amp;T1322&amp;"); ",IF(BT1322=1,"Lose – Tablare geschätzt; ","")))&amp;IF(H1322&gt;AR1322,"Überbestand "&amp;ROUND(H1322-AR1322,0)&amp;" Stk / CHF "&amp;ROUND((H1322-AR1322)*G1322,0)&amp;"; ","")&amp;IF(AND(CA1322=1,CB1322&lt;CC1322),"MAX &lt; MB+LG; ","")&amp;IF(AND(CG1322&gt;0,CF1322*10&gt;CG1322),"zu hoch für Tablar; ","")&amp;IF(AND(BP1322=0,OR(CA1322=1,AA1322&lt;&gt;"",U1322&lt;&gt;"",V1322&lt;&gt;"",AB1322&lt;&gt;"")),"manuell übersteuert; ","")&amp;IF(AND(BT1322=0,R1322=0),"Gebinde unbekannt / Stellmass fehlt; ","")&amp;IF(AND(BT1322=0,N(V1322)&lt;=0,N(Q1322)&lt;=0),"Menge pro Gebinde fehlt (Ist = 1 Gebinde); ","")&amp;BO1322)</f>
        <v>negativer Bestand (Export -1); Kein Verbrauch; </v>
      </c>
      <c r="BH1322" s="55"/>
      <c r="BI1322" s="55"/>
      <c r="BJ1322" s="62"/>
      <c r="BK1322" s="57" t="n">
        <v>-1</v>
      </c>
      <c r="BL1322" s="57" t="n">
        <v>7</v>
      </c>
      <c r="BM1322" s="56" t="n">
        <v>-1433.79</v>
      </c>
      <c r="BN1322" s="57" t="n">
        <v>0</v>
      </c>
      <c r="BO1322" s="55"/>
      <c r="BP1322" s="60" t="n">
        <v>0</v>
      </c>
      <c r="BQ1322" s="60" t="n">
        <v>1322</v>
      </c>
      <c r="BR1322" s="55" t="str">
        <f aca="false">IF(U1322&lt;&gt;"",UPPER(TRIM(U1322)),IF(BU1322=1,UPPER(VLOOKUP(T1322,Parameter!$I$27:$K$29,2,0)),IF(P1322="","LOSE",P1322)))</f>
        <v>S63</v>
      </c>
      <c r="BS1322" s="57" t="n">
        <f aca="false">IF(BR1322="LOSE",1,IF(N(V1322)&gt;0,V1322,IF(BU1322=1,MAX(1,N(VLOOKUP(T1322,Parameter!$I$27:$K$29,3,0)),H1322,N(N1322)),IF(N(Q1322)&gt;0,Q1322,MAX(1,H1322)))))</f>
        <v>6</v>
      </c>
      <c r="BT1322" s="60" t="n">
        <f aca="false">IF(BR1322="LOSE",1,0)</f>
        <v>0</v>
      </c>
      <c r="BU1322" s="60" t="n">
        <f aca="false">IF(AND(U1322="",OR(P1322="",P1322="LOSE"),T1322&lt;&gt;"",N(S1322)&lt;=0,ISNUMBER(MATCH(T1322,Parameter!$I$27:$I$29,0))),1,0)</f>
        <v>0</v>
      </c>
      <c r="BV1322" s="55" t="str">
        <f aca="false">IF(AND(Parameter!$B$19="Ja",E1322&lt;&gt;"",ISNUMBER(MATCH(E1322,Parameter!$I$35:$I$52,0))),VLOOKUP(E1322,Parameter!$I$35:$J$52,2,0),IFERROR(VLOOKUP(D1322,Parameter!$A$35:$C$64,2,0),"Nein"))</f>
        <v>2+3</v>
      </c>
      <c r="BW1322" s="59" t="n">
        <f aca="false">IF(BT1322=0,0,IF(N(S1322)&gt;0,S1322,IFERROR(VLOOKUP(D1322,Parameter!$A$35:$C$64,3,0)+0,0)))</f>
        <v>0</v>
      </c>
      <c r="BX1322" s="55" t="n">
        <f aca="false">IF(AA1322&lt;&gt;"",AA1322,Z1322)</f>
        <v>2</v>
      </c>
      <c r="BY1322" s="55" t="str">
        <f aca="false">IF(BX1322=1,"L1",IF(OR(BX1322=2,BX1322=3),"L23",IF(BX1322="Aussen","Aussen","-")))</f>
        <v>L23</v>
      </c>
      <c r="BZ1322" s="66" t="n">
        <f aca="false">IF(N(AB1322)&gt;0,AB1322,0)</f>
        <v>0</v>
      </c>
      <c r="CA1322" s="60" t="n">
        <f aca="false">IF(ISNUMBER(AE1322),1,0)</f>
        <v>0</v>
      </c>
      <c r="CB1322" s="57" t="n">
        <f aca="false">N(AE1322)</f>
        <v>0</v>
      </c>
      <c r="CC1322" s="57" t="n">
        <f aca="false">N(M1322)+N(N1322)</f>
        <v>2</v>
      </c>
      <c r="CD1322" s="57" t="n">
        <f aca="false">ROUNDUP(H1322/BS1322,0)</f>
        <v>1</v>
      </c>
      <c r="CE1322" s="57" t="n">
        <f aca="false">ROUNDUP(CB1322/BS1322,0)</f>
        <v>0</v>
      </c>
      <c r="CF1322" s="60" t="n">
        <f aca="false">IF(BT1322=1,0,IFERROR(VLOOKUP(BR1322,'Gebinde-Kategorie'!$A$5:$M$45,5,0)+0,0))</f>
        <v>31</v>
      </c>
      <c r="CG1322" s="60" t="n">
        <f aca="false">IFERROR(IF(OR(BX1322=1,BX1322=2,BX1322=3),N(INDEX(Parameter!$I$5:$I$7,BX1322)),0),0)</f>
        <v>0</v>
      </c>
      <c r="CH1322" s="59" t="n">
        <f aca="false">IF(AND(Parameter!$B$21="Ja",ISNUMBER(W1322),N(X1322)&gt;0),IFERROR(N(INDEX(Parameter!$L$5:$L$7,W1322))*INDEX(Parameter!$E$5:$E$7,W1322)*X1322/SUMIFS($X$7:$X$1843,$W$7:$W$1843,W1322),0),0)</f>
        <v>0</v>
      </c>
    </row>
    <row r="1323" customFormat="false" ht="15" hidden="false" customHeight="false" outlineLevel="0" collapsed="false">
      <c r="A1323" s="55" t="s">
        <v>2348</v>
      </c>
      <c r="B1323" s="55" t="s">
        <v>2349</v>
      </c>
      <c r="C1323" s="55" t="s">
        <v>164</v>
      </c>
      <c r="D1323" s="55" t="s">
        <v>184</v>
      </c>
      <c r="E1323" s="55" t="s">
        <v>185</v>
      </c>
      <c r="F1323" s="55" t="s">
        <v>218</v>
      </c>
      <c r="G1323" s="56" t="n">
        <v>516.55</v>
      </c>
      <c r="H1323" s="57" t="n">
        <f aca="false">MAX(0,IF(AND(Parameter!$B$21="Ja",ISNUMBER(Y1323)),Y1323,IF(Parameter!$B$20="Jahresanfang 2025 + Export",BL1323+BK1323,BK1323)))</f>
        <v>7</v>
      </c>
      <c r="I1323" s="57" t="n">
        <f aca="false">H1323*G1323</f>
        <v>3615.85</v>
      </c>
      <c r="J1323" s="57" t="n">
        <f aca="false">BN1323*Parameter!$B$18</f>
        <v>18</v>
      </c>
      <c r="K1323" s="58" t="n">
        <v>12.5</v>
      </c>
      <c r="L1323" s="59" t="n">
        <v>1.44</v>
      </c>
      <c r="M1323" s="57" t="n">
        <v>1</v>
      </c>
      <c r="N1323" s="57" t="n">
        <v>10</v>
      </c>
      <c r="O1323" s="60" t="n">
        <v>21</v>
      </c>
      <c r="P1323" s="55" t="s">
        <v>293</v>
      </c>
      <c r="Q1323" s="57" t="n">
        <v>38</v>
      </c>
      <c r="R1323" s="60" t="n">
        <f aca="false">IF(BT1323=1,0,IFERROR(VLOOKUP(BR1323,'Gebinde-Kategorie'!$A$5:$M$45,13,0)+0,0))</f>
        <v>12</v>
      </c>
      <c r="S1323" s="61"/>
      <c r="T1323" s="62"/>
      <c r="U1323" s="62"/>
      <c r="V1323" s="62"/>
      <c r="W1323" s="55"/>
      <c r="X1323" s="57"/>
      <c r="Y1323" s="57"/>
      <c r="Z1323" s="55" t="n">
        <f aca="false">IF(A1323="","",IF(AND(Parameter!$B$21="Ja",ISNUMBER(W1323)),W1323,IF(BV1323="2+3",IF(ISNUMBER(SEARCH("grosser Artikel",BO1323)),2,IFERROR(VLOOKUP(BR1323,Parameter!$F$35:$G$64,2,0),2)),IF(OR(BV1323="Nein",BV1323=""),"-",BV1323))))</f>
        <v>2</v>
      </c>
      <c r="AA1323" s="62"/>
      <c r="AB1323" s="63"/>
      <c r="AC1323" s="57" t="n">
        <f aca="false">AR1323</f>
        <v>38</v>
      </c>
      <c r="AD1323" s="57" t="n">
        <f aca="false">MAX(AR1323,H1323)</f>
        <v>38</v>
      </c>
      <c r="AE1323" s="64"/>
      <c r="AF1323" s="57" t="n">
        <f aca="false">IF(LEFT(Cockpit!$C$5,1)="A",H1323,IF(CA1323=1,CB1323,IF(LEFT(Cockpit!$C$5,1)="B",AJ1323,MAX(AJ1323,H1323))))</f>
        <v>7</v>
      </c>
      <c r="AG1323" s="57" t="n">
        <f aca="false">IF(BT1323=1,0,ROUNDUP(AF1323/BS1323,0))</f>
        <v>1</v>
      </c>
      <c r="AH1323" s="59" t="n">
        <f aca="false">IF(CH1323&gt;0,CH1323*MAX(1,AF1323/X1323),IF(BT1323=1,IF(AF1323&lt;=0,0,BW1323*MAX(1,IF(H1323&gt;0,AF1323/H1323,1))),IF(R1323&gt;0,AG1323/R1323,0))/MAX(0.1,N(Parameter!$M$21)))</f>
        <v>0.0833333333333333</v>
      </c>
      <c r="AI1323" s="57" t="n">
        <f aca="false">AF1323*G1323</f>
        <v>3615.85</v>
      </c>
      <c r="AJ1323" s="57" t="n">
        <f aca="false">ROUNDUP(MAX(J1323/IF(BZ1323&gt;0,BZ1323,MAX(0.1,N(Cockpit!$C$6))),CC1323)/BS1323,0)*BS1323</f>
        <v>38</v>
      </c>
      <c r="AK1323" s="58" t="n">
        <f aca="false">IF(AH1323&gt;0,J1323/AH1323,-1)</f>
        <v>216</v>
      </c>
      <c r="AL1323" s="58" t="n">
        <f aca="false">IF(AND(OR(BY1323="L1",BY1323="L23"),AH1323&gt;0),SUMIFS($AH$7:$AH$1843,$BY$7:$BY$1843,BY1323,$AK$7:$AK$1843,"&gt;"&amp;AK1323)+SUMIFS($AH$7:$AH$1843,$BY$7:$BY$1843,BY1323,$AK$7:$AK$1843,AK1323,$BQ$7:$BQ$1843,"&lt;="&amp;BQ1323),"")</f>
        <v>31.5403026924766</v>
      </c>
      <c r="AM1323" s="65" t="n">
        <f aca="false">IF(AL1323="",0,MAX(0,MIN(1,(IF(BY1323="L1",Parameter!$E$5,Parameter!$E$6+Parameter!$E$7)-(AL1323-AH1323))/AH1323)))</f>
        <v>1</v>
      </c>
      <c r="AN1323" s="57" t="n">
        <f aca="false">IF(LEFT(Cockpit!$I$5,1)="A",H1323,IF(CA1323=1,CB1323,IF(LEFT(Cockpit!$I$5,1)="B",AR1323,MAX(AR1323,H1323))))</f>
        <v>38</v>
      </c>
      <c r="AO1323" s="57" t="n">
        <f aca="false">IF(BT1323=1,0,ROUNDUP(AN1323/BS1323,0))</f>
        <v>1</v>
      </c>
      <c r="AP1323" s="59" t="n">
        <f aca="false">IF(CH1323&gt;0,CH1323*MAX(1,AN1323/X1323),IF(BT1323=1,IF(AN1323&lt;=0,0,BW1323*MAX(1,IF(H1323&gt;0,AN1323/H1323,1))),IF(R1323&gt;0,AO1323/R1323,0))/MAX(0.1,N(Parameter!$M$21)))</f>
        <v>0.0833333333333333</v>
      </c>
      <c r="AQ1323" s="57" t="n">
        <f aca="false">AN1323*G1323</f>
        <v>19628.9</v>
      </c>
      <c r="AR1323" s="57" t="n">
        <f aca="false">ROUNDUP(MAX(J1323/IF(BZ1323&gt;0,BZ1323,MAX(0.1,N(Cockpit!$I$6))),CC1323)/BS1323,0)*BS1323</f>
        <v>38</v>
      </c>
      <c r="AS1323" s="58" t="n">
        <f aca="false">IF(AP1323&gt;0,J1323/AP1323,-1)</f>
        <v>216</v>
      </c>
      <c r="AT1323" s="58" t="n">
        <f aca="false">IF(AND(OR(BY1323="L1",BY1323="L23"),AP1323&gt;0),SUMIFS($AP$7:$AP$1843,$BY$7:$BY$1843,BY1323,$AS$7:$AS$1843,"&gt;"&amp;AS1323)+SUMIFS($AP$7:$AP$1843,$BY$7:$BY$1843,BY1323,$AS$7:$AS$1843,AS1323,$BQ$7:$BQ$1843,"&lt;="&amp;BQ1323),"")</f>
        <v>44.9673406303841</v>
      </c>
      <c r="AU1323" s="65" t="n">
        <f aca="false">IF(AT1323="",0,MAX(0,MIN(1,(IF(BY1323="L1",Parameter!$E$5,Parameter!$E$6+Parameter!$E$7)-(AT1323-AP1323))/AP1323)))</f>
        <v>1</v>
      </c>
      <c r="AV1323" s="57" t="n">
        <f aca="false">IF(LEFT(Cockpit!$O$5,1)="A",H1323,IF(CA1323=1,CB1323,IF(LEFT(Cockpit!$O$5,1)="B",AZ1323,MAX(AZ1323,H1323))))</f>
        <v>38</v>
      </c>
      <c r="AW1323" s="57" t="n">
        <f aca="false">IF(BT1323=1,0,ROUNDUP(AV1323/BS1323,0))</f>
        <v>1</v>
      </c>
      <c r="AX1323" s="59" t="n">
        <f aca="false">IF(CH1323&gt;0,CH1323*MAX(1,AV1323/X1323),IF(BT1323=1,IF(AV1323&lt;=0,0,BW1323*MAX(1,IF(H1323&gt;0,AV1323/H1323,1))),IF(R1323&gt;0,AW1323/R1323,0))/MAX(0.1,N(Parameter!$M$21)))</f>
        <v>0.0833333333333333</v>
      </c>
      <c r="AY1323" s="57" t="n">
        <f aca="false">AV1323*G1323</f>
        <v>19628.9</v>
      </c>
      <c r="AZ1323" s="57" t="n">
        <f aca="false">ROUNDUP(MAX(J1323/IF(BZ1323&gt;0,BZ1323,MAX(0.1,N(Cockpit!$O$6))),CC1323)/BS1323,0)*BS1323</f>
        <v>38</v>
      </c>
      <c r="BA1323" s="58" t="n">
        <f aca="false">IF(AX1323&gt;0,J1323/AX1323,-1)</f>
        <v>216</v>
      </c>
      <c r="BB1323" s="58" t="n">
        <f aca="false">IF(AND(OR(BY1323="L1",BY1323="L23"),AX1323&gt;0),SUMIFS($AX$7:$AX$1843,$BY$7:$BY$1843,BY1323,$BA$7:$BA$1843,"&gt;"&amp;BA1323)+SUMIFS($AX$7:$AX$1843,$BY$7:$BY$1843,BY1323,$BA$7:$BA$1843,BA1323,$BQ$7:$BQ$1843,"&lt;="&amp;BQ1323),"")</f>
        <v>42.2138441268876</v>
      </c>
      <c r="BC1323" s="65" t="n">
        <f aca="false">IF(BB1323="",0,MAX(0,MIN(1,(IF(BY1323="L1",Parameter!$E$5,Parameter!$E$6+Parameter!$E$7)-(BB1323-AX1323))/AX1323)))</f>
        <v>1</v>
      </c>
      <c r="BD1323" s="55" t="str">
        <f aca="false">IF(AH1323&lt;=0,"",IF(BY1323="Aussen","Aussenlager",IF(BY1323="-","Nicht im Lift",IF(AM1323&gt;=1,"Lift",IF(AM1323&lt;=0,"Aussenlager","teilweise")))))</f>
        <v>Lift</v>
      </c>
      <c r="BE1323" s="55" t="str">
        <f aca="false">IF(AP1323&lt;=0,"",IF(BY1323="Aussen","Aussenlager",IF(BY1323="-","Nicht im Lift",IF(AU1323&gt;=1,"Lift",IF(AU1323&lt;=0,"Aussenlager","teilweise")))))</f>
        <v>Lift</v>
      </c>
      <c r="BF1323" s="55" t="str">
        <f aca="false">IF(AX1323&lt;=0,"",IF(BY1323="Aussen","Aussenlager",IF(BY1323="-","Nicht im Lift",IF(BC1323&gt;=1,"Lift",IF(BC1323&lt;=0,"Aussenlager","teilweise")))))</f>
        <v>Lift</v>
      </c>
      <c r="BG1323" s="55" t="str">
        <f aca="false">IF(A1323="","",IF(BP1323=1,"Neu; ","")&amp;IF(AND(BP1323=0,BK1323&lt;0),"negativer Bestand (Export "&amp;BK1323&amp;"); ","")&amp;IF(J1323&lt;=0,"Kein Verbrauch; ","")&amp;IF(CH1323&gt;0,"Lift "&amp;W1323&amp;" lt. Liftbericht (Fach "&amp;X1323&amp;" Stk); ",IF(BU1323=1,"Gebinde geschätzt ("&amp;T1323&amp;"); ",IF(BT1323=1,"Lose – Tablare geschätzt; ","")))&amp;IF(H1323&gt;AR1323,"Überbestand "&amp;ROUND(H1323-AR1323,0)&amp;" Stk / CHF "&amp;ROUND((H1323-AR1323)*G1323,0)&amp;"; ","")&amp;IF(AND(CA1323=1,CB1323&lt;CC1323),"MAX &lt; MB+LG; ","")&amp;IF(AND(CG1323&gt;0,CF1323*10&gt;CG1323),"zu hoch für Tablar; ","")&amp;IF(AND(BP1323=0,OR(CA1323=1,AA1323&lt;&gt;"",U1323&lt;&gt;"",V1323&lt;&gt;"",AB1323&lt;&gt;"")),"manuell übersteuert; ","")&amp;IF(AND(BT1323=0,R1323=0),"Gebinde unbekannt / Stellmass fehlt; ","")&amp;IF(AND(BT1323=0,N(V1323)&lt;=0,N(Q1323)&lt;=0),"Menge pro Gebinde fehlt (Ist = 1 Gebinde); ","")&amp;BO1323)</f>
        <v>negativer Bestand (Export -3); </v>
      </c>
      <c r="BH1323" s="55"/>
      <c r="BI1323" s="55"/>
      <c r="BJ1323" s="62"/>
      <c r="BK1323" s="57" t="n">
        <v>-3</v>
      </c>
      <c r="BL1323" s="57" t="n">
        <v>10</v>
      </c>
      <c r="BM1323" s="56" t="n">
        <v>-1450.15</v>
      </c>
      <c r="BN1323" s="57" t="n">
        <v>18</v>
      </c>
      <c r="BO1323" s="55"/>
      <c r="BP1323" s="60" t="n">
        <v>0</v>
      </c>
      <c r="BQ1323" s="60" t="n">
        <v>1323</v>
      </c>
      <c r="BR1323" s="55" t="str">
        <f aca="false">IF(U1323&lt;&gt;"",UPPER(TRIM(U1323)),IF(BU1323=1,UPPER(VLOOKUP(T1323,Parameter!$I$27:$K$29,2,0)),IF(P1323="","LOSE",P1323)))</f>
        <v>S62</v>
      </c>
      <c r="BS1323" s="57" t="n">
        <f aca="false">IF(BR1323="LOSE",1,IF(N(V1323)&gt;0,V1323,IF(BU1323=1,MAX(1,N(VLOOKUP(T1323,Parameter!$I$27:$K$29,3,0)),H1323,N(N1323)),IF(N(Q1323)&gt;0,Q1323,MAX(1,H1323)))))</f>
        <v>38</v>
      </c>
      <c r="BT1323" s="60" t="n">
        <f aca="false">IF(BR1323="LOSE",1,0)</f>
        <v>0</v>
      </c>
      <c r="BU1323" s="60" t="n">
        <f aca="false">IF(AND(U1323="",OR(P1323="",P1323="LOSE"),T1323&lt;&gt;"",N(S1323)&lt;=0,ISNUMBER(MATCH(T1323,Parameter!$I$27:$I$29,0))),1,0)</f>
        <v>0</v>
      </c>
      <c r="BV1323" s="55" t="str">
        <f aca="false">IF(AND(Parameter!$B$19="Ja",E1323&lt;&gt;"",ISNUMBER(MATCH(E1323,Parameter!$I$35:$I$52,0))),VLOOKUP(E1323,Parameter!$I$35:$J$52,2,0),IFERROR(VLOOKUP(D1323,Parameter!$A$35:$C$64,2,0),"Nein"))</f>
        <v>2+3</v>
      </c>
      <c r="BW1323" s="59" t="n">
        <f aca="false">IF(BT1323=0,0,IF(N(S1323)&gt;0,S1323,IFERROR(VLOOKUP(D1323,Parameter!$A$35:$C$64,3,0)+0,0)))</f>
        <v>0</v>
      </c>
      <c r="BX1323" s="55" t="n">
        <f aca="false">IF(AA1323&lt;&gt;"",AA1323,Z1323)</f>
        <v>2</v>
      </c>
      <c r="BY1323" s="55" t="str">
        <f aca="false">IF(BX1323=1,"L1",IF(OR(BX1323=2,BX1323=3),"L23",IF(BX1323="Aussen","Aussen","-")))</f>
        <v>L23</v>
      </c>
      <c r="BZ1323" s="66" t="n">
        <f aca="false">IF(N(AB1323)&gt;0,AB1323,0)</f>
        <v>0</v>
      </c>
      <c r="CA1323" s="60" t="n">
        <f aca="false">IF(ISNUMBER(AE1323),1,0)</f>
        <v>0</v>
      </c>
      <c r="CB1323" s="57" t="n">
        <f aca="false">N(AE1323)</f>
        <v>0</v>
      </c>
      <c r="CC1323" s="57" t="n">
        <f aca="false">N(M1323)+N(N1323)</f>
        <v>11</v>
      </c>
      <c r="CD1323" s="57" t="n">
        <f aca="false">ROUNDUP(H1323/BS1323,0)</f>
        <v>1</v>
      </c>
      <c r="CE1323" s="57" t="n">
        <f aca="false">ROUNDUP(CB1323/BS1323,0)</f>
        <v>0</v>
      </c>
      <c r="CF1323" s="60" t="n">
        <f aca="false">IF(BT1323=1,0,IFERROR(VLOOKUP(BR1323,'Gebinde-Kategorie'!$A$5:$M$45,5,0)+0,0))</f>
        <v>21</v>
      </c>
      <c r="CG1323" s="60" t="n">
        <f aca="false">IFERROR(IF(OR(BX1323=1,BX1323=2,BX1323=3),N(INDEX(Parameter!$I$5:$I$7,BX1323)),0),0)</f>
        <v>0</v>
      </c>
      <c r="CH1323" s="59" t="n">
        <f aca="false">IF(AND(Parameter!$B$21="Ja",ISNUMBER(W1323),N(X1323)&gt;0),IFERROR(N(INDEX(Parameter!$L$5:$L$7,W1323))*INDEX(Parameter!$E$5:$E$7,W1323)*X1323/SUMIFS($X$7:$X$1843,$W$7:$W$1843,W1323),0),0)</f>
        <v>0</v>
      </c>
    </row>
    <row r="1324" customFormat="false" ht="15" hidden="false" customHeight="false" outlineLevel="0" collapsed="false">
      <c r="A1324" s="55" t="s">
        <v>2350</v>
      </c>
      <c r="B1324" s="55" t="s">
        <v>598</v>
      </c>
      <c r="C1324" s="55" t="s">
        <v>164</v>
      </c>
      <c r="D1324" s="55" t="s">
        <v>184</v>
      </c>
      <c r="E1324" s="55" t="s">
        <v>185</v>
      </c>
      <c r="F1324" s="55" t="s">
        <v>218</v>
      </c>
      <c r="G1324" s="56" t="n">
        <v>29.61</v>
      </c>
      <c r="H1324" s="57" t="n">
        <f aca="false">MAX(0,IF(AND(Parameter!$B$21="Ja",ISNUMBER(Y1324)),Y1324,IF(Parameter!$B$20="Jahresanfang 2025 + Export",BL1324+BK1324,BK1324)))</f>
        <v>28</v>
      </c>
      <c r="I1324" s="57" t="n">
        <f aca="false">H1324*G1324</f>
        <v>829.08</v>
      </c>
      <c r="J1324" s="57" t="n">
        <f aca="false">BN1324*Parameter!$B$18</f>
        <v>75</v>
      </c>
      <c r="K1324" s="58" t="n">
        <v>83.5</v>
      </c>
      <c r="L1324" s="59" t="n">
        <v>0.898203592814371</v>
      </c>
      <c r="M1324" s="57" t="n">
        <v>2</v>
      </c>
      <c r="N1324" s="57" t="n">
        <v>75</v>
      </c>
      <c r="O1324" s="60" t="n">
        <v>14</v>
      </c>
      <c r="P1324" s="55" t="s">
        <v>302</v>
      </c>
      <c r="Q1324" s="57" t="n">
        <v>109</v>
      </c>
      <c r="R1324" s="60" t="n">
        <f aca="false">IF(BT1324=1,0,IFERROR(VLOOKUP(BR1324,'Gebinde-Kategorie'!$A$5:$M$45,13,0)+0,0))</f>
        <v>26</v>
      </c>
      <c r="S1324" s="61"/>
      <c r="T1324" s="62"/>
      <c r="U1324" s="62"/>
      <c r="V1324" s="62"/>
      <c r="W1324" s="55"/>
      <c r="X1324" s="57"/>
      <c r="Y1324" s="57"/>
      <c r="Z1324" s="55" t="n">
        <f aca="false">IF(A1324="","",IF(AND(Parameter!$B$21="Ja",ISNUMBER(W1324)),W1324,IF(BV1324="2+3",IF(ISNUMBER(SEARCH("grosser Artikel",BO1324)),2,IFERROR(VLOOKUP(BR1324,Parameter!$F$35:$G$64,2,0),2)),IF(OR(BV1324="Nein",BV1324=""),"-",BV1324))))</f>
        <v>3</v>
      </c>
      <c r="AA1324" s="62"/>
      <c r="AB1324" s="63"/>
      <c r="AC1324" s="57" t="n">
        <f aca="false">AR1324</f>
        <v>109</v>
      </c>
      <c r="AD1324" s="57" t="n">
        <f aca="false">MAX(AR1324,H1324)</f>
        <v>109</v>
      </c>
      <c r="AE1324" s="64"/>
      <c r="AF1324" s="57" t="n">
        <f aca="false">IF(LEFT(Cockpit!$C$5,1)="A",H1324,IF(CA1324=1,CB1324,IF(LEFT(Cockpit!$C$5,1)="B",AJ1324,MAX(AJ1324,H1324))))</f>
        <v>28</v>
      </c>
      <c r="AG1324" s="57" t="n">
        <f aca="false">IF(BT1324=1,0,ROUNDUP(AF1324/BS1324,0))</f>
        <v>1</v>
      </c>
      <c r="AH1324" s="59" t="n">
        <f aca="false">IF(CH1324&gt;0,CH1324*MAX(1,AF1324/X1324),IF(BT1324=1,IF(AF1324&lt;=0,0,BW1324*MAX(1,IF(H1324&gt;0,AF1324/H1324,1))),IF(R1324&gt;0,AG1324/R1324,0))/MAX(0.1,N(Parameter!$M$21)))</f>
        <v>0.0384615384615385</v>
      </c>
      <c r="AI1324" s="57" t="n">
        <f aca="false">AF1324*G1324</f>
        <v>829.08</v>
      </c>
      <c r="AJ1324" s="57" t="n">
        <f aca="false">ROUNDUP(MAX(J1324/IF(BZ1324&gt;0,BZ1324,MAX(0.1,N(Cockpit!$C$6))),CC1324)/BS1324,0)*BS1324</f>
        <v>109</v>
      </c>
      <c r="AK1324" s="58" t="n">
        <f aca="false">IF(AH1324&gt;0,J1324/AH1324,-1)</f>
        <v>1950</v>
      </c>
      <c r="AL1324" s="58" t="n">
        <f aca="false">IF(AND(OR(BY1324="L1",BY1324="L23"),AH1324&gt;0),SUMIFS($AH$7:$AH$1843,$BY$7:$BY$1843,BY1324,$AK$7:$AK$1843,"&gt;"&amp;AK1324)+SUMIFS($AH$7:$AH$1843,$BY$7:$BY$1843,BY1324,$AK$7:$AK$1843,AK1324,$BQ$7:$BQ$1843,"&lt;="&amp;BQ1324),"")</f>
        <v>13.4574929901017</v>
      </c>
      <c r="AM1324" s="65" t="n">
        <f aca="false">IF(AL1324="",0,MAX(0,MIN(1,(IF(BY1324="L1",Parameter!$E$5,Parameter!$E$6+Parameter!$E$7)-(AL1324-AH1324))/AH1324)))</f>
        <v>1</v>
      </c>
      <c r="AN1324" s="57" t="n">
        <f aca="false">IF(LEFT(Cockpit!$I$5,1)="A",H1324,IF(CA1324=1,CB1324,IF(LEFT(Cockpit!$I$5,1)="B",AR1324,MAX(AR1324,H1324))))</f>
        <v>109</v>
      </c>
      <c r="AO1324" s="57" t="n">
        <f aca="false">IF(BT1324=1,0,ROUNDUP(AN1324/BS1324,0))</f>
        <v>1</v>
      </c>
      <c r="AP1324" s="59" t="n">
        <f aca="false">IF(CH1324&gt;0,CH1324*MAX(1,AN1324/X1324),IF(BT1324=1,IF(AN1324&lt;=0,0,BW1324*MAX(1,IF(H1324&gt;0,AN1324/H1324,1))),IF(R1324&gt;0,AO1324/R1324,0))/MAX(0.1,N(Parameter!$M$21)))</f>
        <v>0.0384615384615385</v>
      </c>
      <c r="AQ1324" s="57" t="n">
        <f aca="false">AN1324*G1324</f>
        <v>3227.49</v>
      </c>
      <c r="AR1324" s="57" t="n">
        <f aca="false">ROUNDUP(MAX(J1324/IF(BZ1324&gt;0,BZ1324,MAX(0.1,N(Cockpit!$I$6))),CC1324)/BS1324,0)*BS1324</f>
        <v>109</v>
      </c>
      <c r="AS1324" s="58" t="n">
        <f aca="false">IF(AP1324&gt;0,J1324/AP1324,-1)</f>
        <v>1950</v>
      </c>
      <c r="AT1324" s="58" t="n">
        <f aca="false">IF(AND(OR(BY1324="L1",BY1324="L23"),AP1324&gt;0),SUMIFS($AP$7:$AP$1843,$BY$7:$BY$1843,BY1324,$AS$7:$AS$1843,"&gt;"&amp;AS1324)+SUMIFS($AP$7:$AP$1843,$BY$7:$BY$1843,BY1324,$AS$7:$AS$1843,AS1324,$BQ$7:$BQ$1843,"&lt;="&amp;BQ1324),"")</f>
        <v>18.855275159623</v>
      </c>
      <c r="AU1324" s="65" t="n">
        <f aca="false">IF(AT1324="",0,MAX(0,MIN(1,(IF(BY1324="L1",Parameter!$E$5,Parameter!$E$6+Parameter!$E$7)-(AT1324-AP1324))/AP1324)))</f>
        <v>1</v>
      </c>
      <c r="AV1324" s="57" t="n">
        <f aca="false">IF(LEFT(Cockpit!$O$5,1)="A",H1324,IF(CA1324=1,CB1324,IF(LEFT(Cockpit!$O$5,1)="B",AZ1324,MAX(AZ1324,H1324))))</f>
        <v>109</v>
      </c>
      <c r="AW1324" s="57" t="n">
        <f aca="false">IF(BT1324=1,0,ROUNDUP(AV1324/BS1324,0))</f>
        <v>1</v>
      </c>
      <c r="AX1324" s="59" t="n">
        <f aca="false">IF(CH1324&gt;0,CH1324*MAX(1,AV1324/X1324),IF(BT1324=1,IF(AV1324&lt;=0,0,BW1324*MAX(1,IF(H1324&gt;0,AV1324/H1324,1))),IF(R1324&gt;0,AW1324/R1324,0))/MAX(0.1,N(Parameter!$M$21)))</f>
        <v>0.0384615384615385</v>
      </c>
      <c r="AY1324" s="57" t="n">
        <f aca="false">AV1324*G1324</f>
        <v>3227.49</v>
      </c>
      <c r="AZ1324" s="57" t="n">
        <f aca="false">ROUNDUP(MAX(J1324/IF(BZ1324&gt;0,BZ1324,MAX(0.1,N(Cockpit!$O$6))),CC1324)/BS1324,0)*BS1324</f>
        <v>109</v>
      </c>
      <c r="BA1324" s="58" t="n">
        <f aca="false">IF(AX1324&gt;0,J1324/AX1324,-1)</f>
        <v>1950</v>
      </c>
      <c r="BB1324" s="58" t="n">
        <f aca="false">IF(AND(OR(BY1324="L1",BY1324="L23"),AX1324&gt;0),SUMIFS($AX$7:$AX$1843,$BY$7:$BY$1843,BY1324,$BA$7:$BA$1843,"&gt;"&amp;BA1324)+SUMIFS($AX$7:$AX$1843,$BY$7:$BY$1843,BY1324,$BA$7:$BA$1843,BA1324,$BQ$7:$BQ$1843,"&lt;="&amp;BQ1324),"")</f>
        <v>17.5504966048444</v>
      </c>
      <c r="BC1324" s="65" t="n">
        <f aca="false">IF(BB1324="",0,MAX(0,MIN(1,(IF(BY1324="L1",Parameter!$E$5,Parameter!$E$6+Parameter!$E$7)-(BB1324-AX1324))/AX1324)))</f>
        <v>1</v>
      </c>
      <c r="BD1324" s="55" t="str">
        <f aca="false">IF(AH1324&lt;=0,"",IF(BY1324="Aussen","Aussenlager",IF(BY1324="-","Nicht im Lift",IF(AM1324&gt;=1,"Lift",IF(AM1324&lt;=0,"Aussenlager","teilweise")))))</f>
        <v>Lift</v>
      </c>
      <c r="BE1324" s="55" t="str">
        <f aca="false">IF(AP1324&lt;=0,"",IF(BY1324="Aussen","Aussenlager",IF(BY1324="-","Nicht im Lift",IF(AU1324&gt;=1,"Lift",IF(AU1324&lt;=0,"Aussenlager","teilweise")))))</f>
        <v>Lift</v>
      </c>
      <c r="BF1324" s="55" t="str">
        <f aca="false">IF(AX1324&lt;=0,"",IF(BY1324="Aussen","Aussenlager",IF(BY1324="-","Nicht im Lift",IF(BC1324&gt;=1,"Lift",IF(BC1324&lt;=0,"Aussenlager","teilweise")))))</f>
        <v>Lift</v>
      </c>
      <c r="BG1324" s="55" t="str">
        <f aca="false">IF(A1324="","",IF(BP1324=1,"Neu; ","")&amp;IF(AND(BP1324=0,BK1324&lt;0),"negativer Bestand (Export "&amp;BK1324&amp;"); ","")&amp;IF(J1324&lt;=0,"Kein Verbrauch; ","")&amp;IF(CH1324&gt;0,"Lift "&amp;W1324&amp;" lt. Liftbericht (Fach "&amp;X1324&amp;" Stk); ",IF(BU1324=1,"Gebinde geschätzt ("&amp;T1324&amp;"); ",IF(BT1324=1,"Lose – Tablare geschätzt; ","")))&amp;IF(H1324&gt;AR1324,"Überbestand "&amp;ROUND(H1324-AR1324,0)&amp;" Stk / CHF "&amp;ROUND((H1324-AR1324)*G1324,0)&amp;"; ","")&amp;IF(AND(CA1324=1,CB1324&lt;CC1324),"MAX &lt; MB+LG; ","")&amp;IF(AND(CG1324&gt;0,CF1324*10&gt;CG1324),"zu hoch für Tablar; ","")&amp;IF(AND(BP1324=0,OR(CA1324=1,AA1324&lt;&gt;"",U1324&lt;&gt;"",V1324&lt;&gt;"",AB1324&lt;&gt;"")),"manuell übersteuert; ","")&amp;IF(AND(BT1324=0,R1324=0),"Gebinde unbekannt / Stellmass fehlt; ","")&amp;IF(AND(BT1324=0,N(V1324)&lt;=0,N(Q1324)&lt;=0),"Menge pro Gebinde fehlt (Ist = 1 Gebinde); ","")&amp;BO1324)</f>
        <v>negativer Bestand (Export -53); </v>
      </c>
      <c r="BH1324" s="55"/>
      <c r="BI1324" s="55"/>
      <c r="BJ1324" s="62"/>
      <c r="BK1324" s="57" t="n">
        <v>-53</v>
      </c>
      <c r="BL1324" s="57" t="n">
        <v>81</v>
      </c>
      <c r="BM1324" s="56" t="n">
        <v>-1451.88</v>
      </c>
      <c r="BN1324" s="57" t="n">
        <v>75</v>
      </c>
      <c r="BO1324" s="55"/>
      <c r="BP1324" s="60" t="n">
        <v>0</v>
      </c>
      <c r="BQ1324" s="60" t="n">
        <v>1324</v>
      </c>
      <c r="BR1324" s="55" t="str">
        <f aca="false">IF(U1324&lt;&gt;"",UPPER(TRIM(U1324)),IF(BU1324=1,UPPER(VLOOKUP(T1324,Parameter!$I$27:$K$29,2,0)),IF(P1324="","LOSE",P1324)))</f>
        <v>S51</v>
      </c>
      <c r="BS1324" s="57" t="n">
        <f aca="false">IF(BR1324="LOSE",1,IF(N(V1324)&gt;0,V1324,IF(BU1324=1,MAX(1,N(VLOOKUP(T1324,Parameter!$I$27:$K$29,3,0)),H1324,N(N1324)),IF(N(Q1324)&gt;0,Q1324,MAX(1,H1324)))))</f>
        <v>109</v>
      </c>
      <c r="BT1324" s="60" t="n">
        <f aca="false">IF(BR1324="LOSE",1,0)</f>
        <v>0</v>
      </c>
      <c r="BU1324" s="60" t="n">
        <f aca="false">IF(AND(U1324="",OR(P1324="",P1324="LOSE"),T1324&lt;&gt;"",N(S1324)&lt;=0,ISNUMBER(MATCH(T1324,Parameter!$I$27:$I$29,0))),1,0)</f>
        <v>0</v>
      </c>
      <c r="BV1324" s="55" t="str">
        <f aca="false">IF(AND(Parameter!$B$19="Ja",E1324&lt;&gt;"",ISNUMBER(MATCH(E1324,Parameter!$I$35:$I$52,0))),VLOOKUP(E1324,Parameter!$I$35:$J$52,2,0),IFERROR(VLOOKUP(D1324,Parameter!$A$35:$C$64,2,0),"Nein"))</f>
        <v>2+3</v>
      </c>
      <c r="BW1324" s="59" t="n">
        <f aca="false">IF(BT1324=0,0,IF(N(S1324)&gt;0,S1324,IFERROR(VLOOKUP(D1324,Parameter!$A$35:$C$64,3,0)+0,0)))</f>
        <v>0</v>
      </c>
      <c r="BX1324" s="55" t="n">
        <f aca="false">IF(AA1324&lt;&gt;"",AA1324,Z1324)</f>
        <v>3</v>
      </c>
      <c r="BY1324" s="55" t="str">
        <f aca="false">IF(BX1324=1,"L1",IF(OR(BX1324=2,BX1324=3),"L23",IF(BX1324="Aussen","Aussen","-")))</f>
        <v>L23</v>
      </c>
      <c r="BZ1324" s="66" t="n">
        <f aca="false">IF(N(AB1324)&gt;0,AB1324,0)</f>
        <v>0</v>
      </c>
      <c r="CA1324" s="60" t="n">
        <f aca="false">IF(ISNUMBER(AE1324),1,0)</f>
        <v>0</v>
      </c>
      <c r="CB1324" s="57" t="n">
        <f aca="false">N(AE1324)</f>
        <v>0</v>
      </c>
      <c r="CC1324" s="57" t="n">
        <f aca="false">N(M1324)+N(N1324)</f>
        <v>77</v>
      </c>
      <c r="CD1324" s="57" t="n">
        <f aca="false">ROUNDUP(H1324/BS1324,0)</f>
        <v>1</v>
      </c>
      <c r="CE1324" s="57" t="n">
        <f aca="false">ROUNDUP(CB1324/BS1324,0)</f>
        <v>0</v>
      </c>
      <c r="CF1324" s="60" t="n">
        <f aca="false">IF(BT1324=1,0,IFERROR(VLOOKUP(BR1324,'Gebinde-Kategorie'!$A$5:$M$45,5,0)+0,0))</f>
        <v>11</v>
      </c>
      <c r="CG1324" s="60" t="n">
        <f aca="false">IFERROR(IF(OR(BX1324=1,BX1324=2,BX1324=3),N(INDEX(Parameter!$I$5:$I$7,BX1324)),0),0)</f>
        <v>0</v>
      </c>
      <c r="CH1324" s="59" t="n">
        <f aca="false">IF(AND(Parameter!$B$21="Ja",ISNUMBER(W1324),N(X1324)&gt;0),IFERROR(N(INDEX(Parameter!$L$5:$L$7,W1324))*INDEX(Parameter!$E$5:$E$7,W1324)*X1324/SUMIFS($X$7:$X$1843,$W$7:$W$1843,W1324),0),0)</f>
        <v>0</v>
      </c>
    </row>
    <row r="1325" customFormat="false" ht="15" hidden="false" customHeight="false" outlineLevel="0" collapsed="false">
      <c r="A1325" s="55" t="s">
        <v>2351</v>
      </c>
      <c r="B1325" s="55" t="s">
        <v>2352</v>
      </c>
      <c r="C1325" s="55" t="s">
        <v>164</v>
      </c>
      <c r="D1325" s="55" t="s">
        <v>184</v>
      </c>
      <c r="E1325" s="55" t="s">
        <v>185</v>
      </c>
      <c r="F1325" s="55" t="s">
        <v>218</v>
      </c>
      <c r="G1325" s="56" t="n">
        <v>8.87</v>
      </c>
      <c r="H1325" s="57" t="n">
        <f aca="false">MAX(0,IF(AND(Parameter!$B$21="Ja",ISNUMBER(Y1325)),Y1325,IF(Parameter!$B$20="Jahresanfang 2025 + Export",BL1325+BK1325,BK1325)))</f>
        <v>377</v>
      </c>
      <c r="I1325" s="57" t="n">
        <f aca="false">H1325*G1325</f>
        <v>3343.99</v>
      </c>
      <c r="J1325" s="57" t="n">
        <f aca="false">BN1325*Parameter!$B$18</f>
        <v>1312</v>
      </c>
      <c r="K1325" s="58" t="n">
        <v>657.5</v>
      </c>
      <c r="L1325" s="59" t="n">
        <v>1.99543726235741</v>
      </c>
      <c r="M1325" s="57" t="n">
        <v>206</v>
      </c>
      <c r="N1325" s="57" t="n">
        <v>600</v>
      </c>
      <c r="O1325" s="60" t="n">
        <v>56</v>
      </c>
      <c r="P1325" s="55" t="s">
        <v>302</v>
      </c>
      <c r="Q1325" s="57" t="n">
        <v>881</v>
      </c>
      <c r="R1325" s="60" t="n">
        <f aca="false">IF(BT1325=1,0,IFERROR(VLOOKUP(BR1325,'Gebinde-Kategorie'!$A$5:$M$45,13,0)+0,0))</f>
        <v>26</v>
      </c>
      <c r="S1325" s="61"/>
      <c r="T1325" s="62"/>
      <c r="U1325" s="62"/>
      <c r="V1325" s="62"/>
      <c r="W1325" s="55"/>
      <c r="X1325" s="57"/>
      <c r="Y1325" s="57"/>
      <c r="Z1325" s="55" t="n">
        <f aca="false">IF(A1325="","",IF(AND(Parameter!$B$21="Ja",ISNUMBER(W1325)),W1325,IF(BV1325="2+3",IF(ISNUMBER(SEARCH("grosser Artikel",BO1325)),2,IFERROR(VLOOKUP(BR1325,Parameter!$F$35:$G$64,2,0),2)),IF(OR(BV1325="Nein",BV1325=""),"-",BV1325))))</f>
        <v>3</v>
      </c>
      <c r="AA1325" s="62"/>
      <c r="AB1325" s="63"/>
      <c r="AC1325" s="57" t="n">
        <f aca="false">AR1325</f>
        <v>881</v>
      </c>
      <c r="AD1325" s="57" t="n">
        <f aca="false">MAX(AR1325,H1325)</f>
        <v>881</v>
      </c>
      <c r="AE1325" s="64"/>
      <c r="AF1325" s="57" t="n">
        <f aca="false">IF(LEFT(Cockpit!$C$5,1)="A",H1325,IF(CA1325=1,CB1325,IF(LEFT(Cockpit!$C$5,1)="B",AJ1325,MAX(AJ1325,H1325))))</f>
        <v>377</v>
      </c>
      <c r="AG1325" s="57" t="n">
        <f aca="false">IF(BT1325=1,0,ROUNDUP(AF1325/BS1325,0))</f>
        <v>1</v>
      </c>
      <c r="AH1325" s="59" t="n">
        <f aca="false">IF(CH1325&gt;0,CH1325*MAX(1,AF1325/X1325),IF(BT1325=1,IF(AF1325&lt;=0,0,BW1325*MAX(1,IF(H1325&gt;0,AF1325/H1325,1))),IF(R1325&gt;0,AG1325/R1325,0))/MAX(0.1,N(Parameter!$M$21)))</f>
        <v>0.0384615384615385</v>
      </c>
      <c r="AI1325" s="57" t="n">
        <f aca="false">AF1325*G1325</f>
        <v>3343.99</v>
      </c>
      <c r="AJ1325" s="57" t="n">
        <f aca="false">ROUNDUP(MAX(J1325/IF(BZ1325&gt;0,BZ1325,MAX(0.1,N(Cockpit!$C$6))),CC1325)/BS1325,0)*BS1325</f>
        <v>881</v>
      </c>
      <c r="AK1325" s="58" t="n">
        <f aca="false">IF(AH1325&gt;0,J1325/AH1325,-1)</f>
        <v>34112</v>
      </c>
      <c r="AL1325" s="58" t="n">
        <f aca="false">IF(AND(OR(BY1325="L1",BY1325="L23"),AH1325&gt;0),SUMIFS($AH$7:$AH$1843,$BY$7:$BY$1843,BY1325,$AK$7:$AK$1843,"&gt;"&amp;AK1325)+SUMIFS($AH$7:$AH$1843,$BY$7:$BY$1843,BY1325,$AK$7:$AK$1843,AK1325,$BQ$7:$BQ$1843,"&lt;="&amp;BQ1325),"")</f>
        <v>2.22200263504611</v>
      </c>
      <c r="AM1325" s="65" t="n">
        <f aca="false">IF(AL1325="",0,MAX(0,MIN(1,(IF(BY1325="L1",Parameter!$E$5,Parameter!$E$6+Parameter!$E$7)-(AL1325-AH1325))/AH1325)))</f>
        <v>1</v>
      </c>
      <c r="AN1325" s="57" t="n">
        <f aca="false">IF(LEFT(Cockpit!$I$5,1)="A",H1325,IF(CA1325=1,CB1325,IF(LEFT(Cockpit!$I$5,1)="B",AR1325,MAX(AR1325,H1325))))</f>
        <v>881</v>
      </c>
      <c r="AO1325" s="57" t="n">
        <f aca="false">IF(BT1325=1,0,ROUNDUP(AN1325/BS1325,0))</f>
        <v>1</v>
      </c>
      <c r="AP1325" s="59" t="n">
        <f aca="false">IF(CH1325&gt;0,CH1325*MAX(1,AN1325/X1325),IF(BT1325=1,IF(AN1325&lt;=0,0,BW1325*MAX(1,IF(H1325&gt;0,AN1325/H1325,1))),IF(R1325&gt;0,AO1325/R1325,0))/MAX(0.1,N(Parameter!$M$21)))</f>
        <v>0.0384615384615385</v>
      </c>
      <c r="AQ1325" s="57" t="n">
        <f aca="false">AN1325*G1325</f>
        <v>7814.47</v>
      </c>
      <c r="AR1325" s="57" t="n">
        <f aca="false">ROUNDUP(MAX(J1325/IF(BZ1325&gt;0,BZ1325,MAX(0.1,N(Cockpit!$I$6))),CC1325)/BS1325,0)*BS1325</f>
        <v>881</v>
      </c>
      <c r="AS1325" s="58" t="n">
        <f aca="false">IF(AP1325&gt;0,J1325/AP1325,-1)</f>
        <v>34112</v>
      </c>
      <c r="AT1325" s="58" t="n">
        <f aca="false">IF(AND(OR(BY1325="L1",BY1325="L23"),AP1325&gt;0),SUMIFS($AP$7:$AP$1843,$BY$7:$BY$1843,BY1325,$AS$7:$AS$1843,"&gt;"&amp;AS1325)+SUMIFS($AP$7:$AP$1843,$BY$7:$BY$1843,BY1325,$AS$7:$AS$1843,AS1325,$BQ$7:$BQ$1843,"&lt;="&amp;BQ1325),"")</f>
        <v>2.78444140400662</v>
      </c>
      <c r="AU1325" s="65" t="n">
        <f aca="false">IF(AT1325="",0,MAX(0,MIN(1,(IF(BY1325="L1",Parameter!$E$5,Parameter!$E$6+Parameter!$E$7)-(AT1325-AP1325))/AP1325)))</f>
        <v>1</v>
      </c>
      <c r="AV1325" s="57" t="n">
        <f aca="false">IF(LEFT(Cockpit!$O$5,1)="A",H1325,IF(CA1325=1,CB1325,IF(LEFT(Cockpit!$O$5,1)="B",AZ1325,MAX(AZ1325,H1325))))</f>
        <v>881</v>
      </c>
      <c r="AW1325" s="57" t="n">
        <f aca="false">IF(BT1325=1,0,ROUNDUP(AV1325/BS1325,0))</f>
        <v>1</v>
      </c>
      <c r="AX1325" s="59" t="n">
        <f aca="false">IF(CH1325&gt;0,CH1325*MAX(1,AV1325/X1325),IF(BT1325=1,IF(AV1325&lt;=0,0,BW1325*MAX(1,IF(H1325&gt;0,AV1325/H1325,1))),IF(R1325&gt;0,AW1325/R1325,0))/MAX(0.1,N(Parameter!$M$21)))</f>
        <v>0.0384615384615385</v>
      </c>
      <c r="AY1325" s="57" t="n">
        <f aca="false">AV1325*G1325</f>
        <v>7814.47</v>
      </c>
      <c r="AZ1325" s="57" t="n">
        <f aca="false">ROUNDUP(MAX(J1325/IF(BZ1325&gt;0,BZ1325,MAX(0.1,N(Cockpit!$O$6))),CC1325)/BS1325,0)*BS1325</f>
        <v>881</v>
      </c>
      <c r="BA1325" s="58" t="n">
        <f aca="false">IF(AX1325&gt;0,J1325/AX1325,-1)</f>
        <v>34112</v>
      </c>
      <c r="BB1325" s="58" t="n">
        <f aca="false">IF(AND(OR(BY1325="L1",BY1325="L23"),AX1325&gt;0),SUMIFS($AX$7:$AX$1843,$BY$7:$BY$1843,BY1325,$BA$7:$BA$1843,"&gt;"&amp;BA1325)+SUMIFS($AX$7:$AX$1843,$BY$7:$BY$1843,BY1325,$BA$7:$BA$1843,BA1325,$BQ$7:$BQ$1843,"&lt;="&amp;BQ1325),"")</f>
        <v>2.55250667207189</v>
      </c>
      <c r="BC1325" s="65" t="n">
        <f aca="false">IF(BB1325="",0,MAX(0,MIN(1,(IF(BY1325="L1",Parameter!$E$5,Parameter!$E$6+Parameter!$E$7)-(BB1325-AX1325))/AX1325)))</f>
        <v>1</v>
      </c>
      <c r="BD1325" s="55" t="str">
        <f aca="false">IF(AH1325&lt;=0,"",IF(BY1325="Aussen","Aussenlager",IF(BY1325="-","Nicht im Lift",IF(AM1325&gt;=1,"Lift",IF(AM1325&lt;=0,"Aussenlager","teilweise")))))</f>
        <v>Lift</v>
      </c>
      <c r="BE1325" s="55" t="str">
        <f aca="false">IF(AP1325&lt;=0,"",IF(BY1325="Aussen","Aussenlager",IF(BY1325="-","Nicht im Lift",IF(AU1325&gt;=1,"Lift",IF(AU1325&lt;=0,"Aussenlager","teilweise")))))</f>
        <v>Lift</v>
      </c>
      <c r="BF1325" s="55" t="str">
        <f aca="false">IF(AX1325&lt;=0,"",IF(BY1325="Aussen","Aussenlager",IF(BY1325="-","Nicht im Lift",IF(BC1325&gt;=1,"Lift",IF(BC1325&lt;=0,"Aussenlager","teilweise")))))</f>
        <v>Lift</v>
      </c>
      <c r="BG1325" s="55" t="str">
        <f aca="false">IF(A1325="","",IF(BP1325=1,"Neu; ","")&amp;IF(AND(BP1325=0,BK1325&lt;0),"negativer Bestand (Export "&amp;BK1325&amp;"); ","")&amp;IF(J1325&lt;=0,"Kein Verbrauch; ","")&amp;IF(CH1325&gt;0,"Lift "&amp;W1325&amp;" lt. Liftbericht (Fach "&amp;X1325&amp;" Stk); ",IF(BU1325=1,"Gebinde geschätzt ("&amp;T1325&amp;"); ",IF(BT1325=1,"Lose – Tablare geschätzt; ","")))&amp;IF(H1325&gt;AR1325,"Überbestand "&amp;ROUND(H1325-AR1325,0)&amp;" Stk / CHF "&amp;ROUND((H1325-AR1325)*G1325,0)&amp;"; ","")&amp;IF(AND(CA1325=1,CB1325&lt;CC1325),"MAX &lt; MB+LG; ","")&amp;IF(AND(CG1325&gt;0,CF1325*10&gt;CG1325),"zu hoch für Tablar; ","")&amp;IF(AND(BP1325=0,OR(CA1325=1,AA1325&lt;&gt;"",U1325&lt;&gt;"",V1325&lt;&gt;"",AB1325&lt;&gt;"")),"manuell übersteuert; ","")&amp;IF(AND(BT1325=0,R1325=0),"Gebinde unbekannt / Stellmass fehlt; ","")&amp;IF(AND(BT1325=0,N(V1325)&lt;=0,N(Q1325)&lt;=0),"Menge pro Gebinde fehlt (Ist = 1 Gebinde); ","")&amp;BO1325)</f>
        <v>negativer Bestand (Export -179); </v>
      </c>
      <c r="BH1325" s="55"/>
      <c r="BI1325" s="55"/>
      <c r="BJ1325" s="62"/>
      <c r="BK1325" s="57" t="n">
        <v>-179</v>
      </c>
      <c r="BL1325" s="57" t="n">
        <v>556</v>
      </c>
      <c r="BM1325" s="56" t="n">
        <v>-1484.94000000002</v>
      </c>
      <c r="BN1325" s="57" t="n">
        <v>1312</v>
      </c>
      <c r="BO1325" s="55"/>
      <c r="BP1325" s="60" t="n">
        <v>0</v>
      </c>
      <c r="BQ1325" s="60" t="n">
        <v>1325</v>
      </c>
      <c r="BR1325" s="55" t="str">
        <f aca="false">IF(U1325&lt;&gt;"",UPPER(TRIM(U1325)),IF(BU1325=1,UPPER(VLOOKUP(T1325,Parameter!$I$27:$K$29,2,0)),IF(P1325="","LOSE",P1325)))</f>
        <v>S51</v>
      </c>
      <c r="BS1325" s="57" t="n">
        <f aca="false">IF(BR1325="LOSE",1,IF(N(V1325)&gt;0,V1325,IF(BU1325=1,MAX(1,N(VLOOKUP(T1325,Parameter!$I$27:$K$29,3,0)),H1325,N(N1325)),IF(N(Q1325)&gt;0,Q1325,MAX(1,H1325)))))</f>
        <v>881</v>
      </c>
      <c r="BT1325" s="60" t="n">
        <f aca="false">IF(BR1325="LOSE",1,0)</f>
        <v>0</v>
      </c>
      <c r="BU1325" s="60" t="n">
        <f aca="false">IF(AND(U1325="",OR(P1325="",P1325="LOSE"),T1325&lt;&gt;"",N(S1325)&lt;=0,ISNUMBER(MATCH(T1325,Parameter!$I$27:$I$29,0))),1,0)</f>
        <v>0</v>
      </c>
      <c r="BV1325" s="55" t="str">
        <f aca="false">IF(AND(Parameter!$B$19="Ja",E1325&lt;&gt;"",ISNUMBER(MATCH(E1325,Parameter!$I$35:$I$52,0))),VLOOKUP(E1325,Parameter!$I$35:$J$52,2,0),IFERROR(VLOOKUP(D1325,Parameter!$A$35:$C$64,2,0),"Nein"))</f>
        <v>2+3</v>
      </c>
      <c r="BW1325" s="59" t="n">
        <f aca="false">IF(BT1325=0,0,IF(N(S1325)&gt;0,S1325,IFERROR(VLOOKUP(D1325,Parameter!$A$35:$C$64,3,0)+0,0)))</f>
        <v>0</v>
      </c>
      <c r="BX1325" s="55" t="n">
        <f aca="false">IF(AA1325&lt;&gt;"",AA1325,Z1325)</f>
        <v>3</v>
      </c>
      <c r="BY1325" s="55" t="str">
        <f aca="false">IF(BX1325=1,"L1",IF(OR(BX1325=2,BX1325=3),"L23",IF(BX1325="Aussen","Aussen","-")))</f>
        <v>L23</v>
      </c>
      <c r="BZ1325" s="66" t="n">
        <f aca="false">IF(N(AB1325)&gt;0,AB1325,0)</f>
        <v>0</v>
      </c>
      <c r="CA1325" s="60" t="n">
        <f aca="false">IF(ISNUMBER(AE1325),1,0)</f>
        <v>0</v>
      </c>
      <c r="CB1325" s="57" t="n">
        <f aca="false">N(AE1325)</f>
        <v>0</v>
      </c>
      <c r="CC1325" s="57" t="n">
        <f aca="false">N(M1325)+N(N1325)</f>
        <v>806</v>
      </c>
      <c r="CD1325" s="57" t="n">
        <f aca="false">ROUNDUP(H1325/BS1325,0)</f>
        <v>1</v>
      </c>
      <c r="CE1325" s="57" t="n">
        <f aca="false">ROUNDUP(CB1325/BS1325,0)</f>
        <v>0</v>
      </c>
      <c r="CF1325" s="60" t="n">
        <f aca="false">IF(BT1325=1,0,IFERROR(VLOOKUP(BR1325,'Gebinde-Kategorie'!$A$5:$M$45,5,0)+0,0))</f>
        <v>11</v>
      </c>
      <c r="CG1325" s="60" t="n">
        <f aca="false">IFERROR(IF(OR(BX1325=1,BX1325=2,BX1325=3),N(INDEX(Parameter!$I$5:$I$7,BX1325)),0),0)</f>
        <v>0</v>
      </c>
      <c r="CH1325" s="59" t="n">
        <f aca="false">IF(AND(Parameter!$B$21="Ja",ISNUMBER(W1325),N(X1325)&gt;0),IFERROR(N(INDEX(Parameter!$L$5:$L$7,W1325))*INDEX(Parameter!$E$5:$E$7,W1325)*X1325/SUMIFS($X$7:$X$1843,$W$7:$W$1843,W1325),0),0)</f>
        <v>0</v>
      </c>
    </row>
    <row r="1326" customFormat="false" ht="15" hidden="false" customHeight="false" outlineLevel="0" collapsed="false">
      <c r="A1326" s="55" t="s">
        <v>2353</v>
      </c>
      <c r="B1326" s="55" t="s">
        <v>2354</v>
      </c>
      <c r="C1326" s="55" t="s">
        <v>164</v>
      </c>
      <c r="D1326" s="55" t="s">
        <v>184</v>
      </c>
      <c r="E1326" s="55"/>
      <c r="F1326" s="55" t="s">
        <v>218</v>
      </c>
      <c r="G1326" s="56" t="n">
        <v>55.4</v>
      </c>
      <c r="H1326" s="57" t="n">
        <f aca="false">MAX(0,IF(AND(Parameter!$B$21="Ja",ISNUMBER(Y1326)),Y1326,IF(Parameter!$B$20="Jahresanfang 2025 + Export",BL1326+BK1326,BK1326)))</f>
        <v>71</v>
      </c>
      <c r="I1326" s="57" t="n">
        <f aca="false">H1326*G1326</f>
        <v>3933.4</v>
      </c>
      <c r="J1326" s="57" t="n">
        <f aca="false">BN1326*Parameter!$B$18</f>
        <v>12</v>
      </c>
      <c r="K1326" s="58" t="n">
        <v>92</v>
      </c>
      <c r="L1326" s="59" t="n">
        <v>0.130434782608696</v>
      </c>
      <c r="M1326" s="57" t="n">
        <v>1</v>
      </c>
      <c r="N1326" s="57" t="n">
        <v>10</v>
      </c>
      <c r="O1326" s="60" t="n">
        <v>42</v>
      </c>
      <c r="P1326" s="55" t="s">
        <v>168</v>
      </c>
      <c r="Q1326" s="57"/>
      <c r="R1326" s="60" t="n">
        <f aca="false">IF(BT1326=1,0,IFERROR(VLOOKUP(BR1326,'Gebinde-Kategorie'!$A$5:$M$45,13,0)+0,0))</f>
        <v>12</v>
      </c>
      <c r="S1326" s="61"/>
      <c r="T1326" s="62" t="s">
        <v>179</v>
      </c>
      <c r="U1326" s="62"/>
      <c r="V1326" s="62"/>
      <c r="W1326" s="55"/>
      <c r="X1326" s="57"/>
      <c r="Y1326" s="57"/>
      <c r="Z1326" s="55" t="n">
        <f aca="false">IF(A1326="","",IF(AND(Parameter!$B$21="Ja",ISNUMBER(W1326)),W1326,IF(BV1326="2+3",IF(ISNUMBER(SEARCH("grosser Artikel",BO1326)),2,IFERROR(VLOOKUP(BR1326,Parameter!$F$35:$G$64,2,0),2)),IF(OR(BV1326="Nein",BV1326=""),"-",BV1326))))</f>
        <v>2</v>
      </c>
      <c r="AA1326" s="62"/>
      <c r="AB1326" s="63"/>
      <c r="AC1326" s="57" t="n">
        <f aca="false">AR1326</f>
        <v>71</v>
      </c>
      <c r="AD1326" s="57" t="n">
        <f aca="false">MAX(AR1326,H1326)</f>
        <v>71</v>
      </c>
      <c r="AE1326" s="64"/>
      <c r="AF1326" s="57" t="n">
        <f aca="false">IF(LEFT(Cockpit!$C$5,1)="A",H1326,IF(CA1326=1,CB1326,IF(LEFT(Cockpit!$C$5,1)="B",AJ1326,MAX(AJ1326,H1326))))</f>
        <v>71</v>
      </c>
      <c r="AG1326" s="57" t="n">
        <f aca="false">IF(BT1326=1,0,ROUNDUP(AF1326/BS1326,0))</f>
        <v>1</v>
      </c>
      <c r="AH1326" s="59" t="n">
        <f aca="false">IF(CH1326&gt;0,CH1326*MAX(1,AF1326/X1326),IF(BT1326=1,IF(AF1326&lt;=0,0,BW1326*MAX(1,IF(H1326&gt;0,AF1326/H1326,1))),IF(R1326&gt;0,AG1326/R1326,0))/MAX(0.1,N(Parameter!$M$21)))</f>
        <v>0.0833333333333333</v>
      </c>
      <c r="AI1326" s="57" t="n">
        <f aca="false">AF1326*G1326</f>
        <v>3933.4</v>
      </c>
      <c r="AJ1326" s="57" t="n">
        <f aca="false">ROUNDUP(MAX(J1326/IF(BZ1326&gt;0,BZ1326,MAX(0.1,N(Cockpit!$C$6))),CC1326)/BS1326,0)*BS1326</f>
        <v>71</v>
      </c>
      <c r="AK1326" s="58" t="n">
        <f aca="false">IF(AH1326&gt;0,J1326/AH1326,-1)</f>
        <v>144</v>
      </c>
      <c r="AL1326" s="58" t="n">
        <f aca="false">IF(AND(OR(BY1326="L1",BY1326="L23"),AH1326&gt;0),SUMIFS($AH$7:$AH$1843,$BY$7:$BY$1843,BY1326,$AK$7:$AK$1843,"&gt;"&amp;AK1326)+SUMIFS($AH$7:$AH$1843,$BY$7:$BY$1843,BY1326,$AK$7:$AK$1843,AK1326,$BQ$7:$BQ$1843,"&lt;="&amp;BQ1326),"")</f>
        <v>35.322641126989</v>
      </c>
      <c r="AM1326" s="65" t="n">
        <f aca="false">IF(AL1326="",0,MAX(0,MIN(1,(IF(BY1326="L1",Parameter!$E$5,Parameter!$E$6+Parameter!$E$7)-(AL1326-AH1326))/AH1326)))</f>
        <v>1</v>
      </c>
      <c r="AN1326" s="57" t="n">
        <f aca="false">IF(LEFT(Cockpit!$I$5,1)="A",H1326,IF(CA1326=1,CB1326,IF(LEFT(Cockpit!$I$5,1)="B",AR1326,MAX(AR1326,H1326))))</f>
        <v>71</v>
      </c>
      <c r="AO1326" s="57" t="n">
        <f aca="false">IF(BT1326=1,0,ROUNDUP(AN1326/BS1326,0))</f>
        <v>1</v>
      </c>
      <c r="AP1326" s="59" t="n">
        <f aca="false">IF(CH1326&gt;0,CH1326*MAX(1,AN1326/X1326),IF(BT1326=1,IF(AN1326&lt;=0,0,BW1326*MAX(1,IF(H1326&gt;0,AN1326/H1326,1))),IF(R1326&gt;0,AO1326/R1326,0))/MAX(0.1,N(Parameter!$M$21)))</f>
        <v>0.0833333333333333</v>
      </c>
      <c r="AQ1326" s="57" t="n">
        <f aca="false">AN1326*G1326</f>
        <v>3933.4</v>
      </c>
      <c r="AR1326" s="57" t="n">
        <f aca="false">ROUNDUP(MAX(J1326/IF(BZ1326&gt;0,BZ1326,MAX(0.1,N(Cockpit!$I$6))),CC1326)/BS1326,0)*BS1326</f>
        <v>71</v>
      </c>
      <c r="AS1326" s="58" t="n">
        <f aca="false">IF(AP1326&gt;0,J1326/AP1326,-1)</f>
        <v>144</v>
      </c>
      <c r="AT1326" s="58" t="n">
        <f aca="false">IF(AND(OR(BY1326="L1",BY1326="L23"),AP1326&gt;0),SUMIFS($AP$7:$AP$1843,$BY$7:$BY$1843,BY1326,$AS$7:$AS$1843,"&gt;"&amp;AS1326)+SUMIFS($AP$7:$AP$1843,$BY$7:$BY$1843,BY1326,$AS$7:$AS$1843,AS1326,$BQ$7:$BQ$1843,"&lt;="&amp;BQ1326),"")</f>
        <v>49.6383737035911</v>
      </c>
      <c r="AU1326" s="65" t="n">
        <f aca="false">IF(AT1326="",0,MAX(0,MIN(1,(IF(BY1326="L1",Parameter!$E$5,Parameter!$E$6+Parameter!$E$7)-(AT1326-AP1326))/AP1326)))</f>
        <v>1</v>
      </c>
      <c r="AV1326" s="57" t="n">
        <f aca="false">IF(LEFT(Cockpit!$O$5,1)="A",H1326,IF(CA1326=1,CB1326,IF(LEFT(Cockpit!$O$5,1)="B",AZ1326,MAX(AZ1326,H1326))))</f>
        <v>71</v>
      </c>
      <c r="AW1326" s="57" t="n">
        <f aca="false">IF(BT1326=1,0,ROUNDUP(AV1326/BS1326,0))</f>
        <v>1</v>
      </c>
      <c r="AX1326" s="59" t="n">
        <f aca="false">IF(CH1326&gt;0,CH1326*MAX(1,AV1326/X1326),IF(BT1326=1,IF(AV1326&lt;=0,0,BW1326*MAX(1,IF(H1326&gt;0,AV1326/H1326,1))),IF(R1326&gt;0,AW1326/R1326,0))/MAX(0.1,N(Parameter!$M$21)))</f>
        <v>0.0833333333333333</v>
      </c>
      <c r="AY1326" s="57" t="n">
        <f aca="false">AV1326*G1326</f>
        <v>3933.4</v>
      </c>
      <c r="AZ1326" s="57" t="n">
        <f aca="false">ROUNDUP(MAX(J1326/IF(BZ1326&gt;0,BZ1326,MAX(0.1,N(Cockpit!$O$6))),CC1326)/BS1326,0)*BS1326</f>
        <v>71</v>
      </c>
      <c r="BA1326" s="58" t="n">
        <f aca="false">IF(AX1326&gt;0,J1326/AX1326,-1)</f>
        <v>144</v>
      </c>
      <c r="BB1326" s="58" t="n">
        <f aca="false">IF(AND(OR(BY1326="L1",BY1326="L23"),AX1326&gt;0),SUMIFS($AX$7:$AX$1843,$BY$7:$BY$1843,BY1326,$BA$7:$BA$1843,"&gt;"&amp;BA1326)+SUMIFS($AX$7:$AX$1843,$BY$7:$BY$1843,BY1326,$BA$7:$BA$1843,BA1326,$BQ$7:$BQ$1843,"&lt;="&amp;BQ1326),"")</f>
        <v>45.2182105334279</v>
      </c>
      <c r="BC1326" s="65" t="n">
        <f aca="false">IF(BB1326="",0,MAX(0,MIN(1,(IF(BY1326="L1",Parameter!$E$5,Parameter!$E$6+Parameter!$E$7)-(BB1326-AX1326))/AX1326)))</f>
        <v>1</v>
      </c>
      <c r="BD1326" s="55" t="str">
        <f aca="false">IF(AH1326&lt;=0,"",IF(BY1326="Aussen","Aussenlager",IF(BY1326="-","Nicht im Lift",IF(AM1326&gt;=1,"Lift",IF(AM1326&lt;=0,"Aussenlager","teilweise")))))</f>
        <v>Lift</v>
      </c>
      <c r="BE1326" s="55" t="str">
        <f aca="false">IF(AP1326&lt;=0,"",IF(BY1326="Aussen","Aussenlager",IF(BY1326="-","Nicht im Lift",IF(AU1326&gt;=1,"Lift",IF(AU1326&lt;=0,"Aussenlager","teilweise")))))</f>
        <v>Lift</v>
      </c>
      <c r="BF1326" s="55" t="str">
        <f aca="false">IF(AX1326&lt;=0,"",IF(BY1326="Aussen","Aussenlager",IF(BY1326="-","Nicht im Lift",IF(BC1326&gt;=1,"Lift",IF(BC1326&lt;=0,"Aussenlager","teilweise")))))</f>
        <v>Lift</v>
      </c>
      <c r="BG1326" s="55" t="str">
        <f aca="false">IF(A1326="","",IF(BP1326=1,"Neu; ","")&amp;IF(AND(BP1326=0,BK1326&lt;0),"negativer Bestand (Export "&amp;BK1326&amp;"); ","")&amp;IF(J1326&lt;=0,"Kein Verbrauch; ","")&amp;IF(CH1326&gt;0,"Lift "&amp;W1326&amp;" lt. Liftbericht (Fach "&amp;X1326&amp;" Stk); ",IF(BU1326=1,"Gebinde geschätzt ("&amp;T1326&amp;"); ",IF(BT1326=1,"Lose – Tablare geschätzt; ","")))&amp;IF(H1326&gt;AR1326,"Überbestand "&amp;ROUND(H1326-AR1326,0)&amp;" Stk / CHF "&amp;ROUND((H1326-AR1326)*G1326,0)&amp;"; ","")&amp;IF(AND(CA1326=1,CB1326&lt;CC1326),"MAX &lt; MB+LG; ","")&amp;IF(AND(CG1326&gt;0,CF1326*10&gt;CG1326),"zu hoch für Tablar; ","")&amp;IF(AND(BP1326=0,OR(CA1326=1,AA1326&lt;&gt;"",U1326&lt;&gt;"",V1326&lt;&gt;"",AB1326&lt;&gt;"")),"manuell übersteuert; ","")&amp;IF(AND(BT1326=0,R1326=0),"Gebinde unbekannt / Stellmass fehlt; ","")&amp;IF(AND(BT1326=0,N(V1326)&lt;=0,N(Q1326)&lt;=0),"Menge pro Gebinde fehlt (Ist = 1 Gebinde); ","")&amp;BO1326)</f>
        <v>negativer Bestand (Export -27); Gebinde geschätzt (Mittel); Menge pro Gebinde fehlt (Ist = 1 Gebinde); </v>
      </c>
      <c r="BH1326" s="55"/>
      <c r="BI1326" s="55"/>
      <c r="BJ1326" s="62"/>
      <c r="BK1326" s="57" t="n">
        <v>-27</v>
      </c>
      <c r="BL1326" s="57" t="n">
        <v>98</v>
      </c>
      <c r="BM1326" s="56" t="n">
        <v>-1495.8</v>
      </c>
      <c r="BN1326" s="57" t="n">
        <v>12</v>
      </c>
      <c r="BO1326" s="55"/>
      <c r="BP1326" s="60" t="n">
        <v>0</v>
      </c>
      <c r="BQ1326" s="60" t="n">
        <v>1326</v>
      </c>
      <c r="BR1326" s="55" t="str">
        <f aca="false">IF(U1326&lt;&gt;"",UPPER(TRIM(U1326)),IF(BU1326=1,UPPER(VLOOKUP(T1326,Parameter!$I$27:$K$29,2,0)),IF(P1326="","LOSE",P1326)))</f>
        <v>S61</v>
      </c>
      <c r="BS1326" s="57" t="n">
        <f aca="false">IF(BR1326="LOSE",1,IF(N(V1326)&gt;0,V1326,IF(BU1326=1,MAX(1,N(VLOOKUP(T1326,Parameter!$I$27:$K$29,3,0)),H1326,N(N1326)),IF(N(Q1326)&gt;0,Q1326,MAX(1,H1326)))))</f>
        <v>71</v>
      </c>
      <c r="BT1326" s="60" t="n">
        <f aca="false">IF(BR1326="LOSE",1,0)</f>
        <v>0</v>
      </c>
      <c r="BU1326" s="60" t="n">
        <f aca="false">IF(AND(U1326="",OR(P1326="",P1326="LOSE"),T1326&lt;&gt;"",N(S1326)&lt;=0,ISNUMBER(MATCH(T1326,Parameter!$I$27:$I$29,0))),1,0)</f>
        <v>1</v>
      </c>
      <c r="BV1326" s="55" t="str">
        <f aca="false">IF(AND(Parameter!$B$19="Ja",E1326&lt;&gt;"",ISNUMBER(MATCH(E1326,Parameter!$I$35:$I$52,0))),VLOOKUP(E1326,Parameter!$I$35:$J$52,2,0),IFERROR(VLOOKUP(D1326,Parameter!$A$35:$C$64,2,0),"Nein"))</f>
        <v>2+3</v>
      </c>
      <c r="BW1326" s="59" t="n">
        <f aca="false">IF(BT1326=0,0,IF(N(S1326)&gt;0,S1326,IFERROR(VLOOKUP(D1326,Parameter!$A$35:$C$64,3,0)+0,0)))</f>
        <v>0</v>
      </c>
      <c r="BX1326" s="55" t="n">
        <f aca="false">IF(AA1326&lt;&gt;"",AA1326,Z1326)</f>
        <v>2</v>
      </c>
      <c r="BY1326" s="55" t="str">
        <f aca="false">IF(BX1326=1,"L1",IF(OR(BX1326=2,BX1326=3),"L23",IF(BX1326="Aussen","Aussen","-")))</f>
        <v>L23</v>
      </c>
      <c r="BZ1326" s="66" t="n">
        <f aca="false">IF(N(AB1326)&gt;0,AB1326,0)</f>
        <v>0</v>
      </c>
      <c r="CA1326" s="60" t="n">
        <f aca="false">IF(ISNUMBER(AE1326),1,0)</f>
        <v>0</v>
      </c>
      <c r="CB1326" s="57" t="n">
        <f aca="false">N(AE1326)</f>
        <v>0</v>
      </c>
      <c r="CC1326" s="57" t="n">
        <f aca="false">N(M1326)+N(N1326)</f>
        <v>11</v>
      </c>
      <c r="CD1326" s="57" t="n">
        <f aca="false">ROUNDUP(H1326/BS1326,0)</f>
        <v>1</v>
      </c>
      <c r="CE1326" s="57" t="n">
        <f aca="false">ROUNDUP(CB1326/BS1326,0)</f>
        <v>0</v>
      </c>
      <c r="CF1326" s="60" t="n">
        <f aca="false">IF(BT1326=1,0,IFERROR(VLOOKUP(BR1326,'Gebinde-Kategorie'!$A$5:$M$45,5,0)+0,0))</f>
        <v>11</v>
      </c>
      <c r="CG1326" s="60" t="n">
        <f aca="false">IFERROR(IF(OR(BX1326=1,BX1326=2,BX1326=3),N(INDEX(Parameter!$I$5:$I$7,BX1326)),0),0)</f>
        <v>0</v>
      </c>
      <c r="CH1326" s="59" t="n">
        <f aca="false">IF(AND(Parameter!$B$21="Ja",ISNUMBER(W1326),N(X1326)&gt;0),IFERROR(N(INDEX(Parameter!$L$5:$L$7,W1326))*INDEX(Parameter!$E$5:$E$7,W1326)*X1326/SUMIFS($X$7:$X$1843,$W$7:$W$1843,W1326),0),0)</f>
        <v>0</v>
      </c>
    </row>
    <row r="1327" customFormat="false" ht="15" hidden="false" customHeight="false" outlineLevel="0" collapsed="false">
      <c r="A1327" s="55" t="s">
        <v>2355</v>
      </c>
      <c r="B1327" s="55" t="s">
        <v>2356</v>
      </c>
      <c r="C1327" s="55" t="s">
        <v>164</v>
      </c>
      <c r="D1327" s="55" t="s">
        <v>173</v>
      </c>
      <c r="E1327" s="55" t="s">
        <v>185</v>
      </c>
      <c r="F1327" s="55" t="s">
        <v>218</v>
      </c>
      <c r="G1327" s="56" t="n">
        <v>107.09</v>
      </c>
      <c r="H1327" s="57" t="n">
        <f aca="false">MAX(0,IF(AND(Parameter!$B$21="Ja",ISNUMBER(Y1327)),Y1327,IF(Parameter!$B$20="Jahresanfang 2025 + Export",BL1327+BK1327,BK1327)))</f>
        <v>40</v>
      </c>
      <c r="I1327" s="57" t="n">
        <f aca="false">H1327*G1327</f>
        <v>4283.6</v>
      </c>
      <c r="J1327" s="57" t="n">
        <f aca="false">BN1327*Parameter!$B$18</f>
        <v>95</v>
      </c>
      <c r="K1327" s="58" t="n">
        <v>45</v>
      </c>
      <c r="L1327" s="59" t="n">
        <v>2.11111111111111</v>
      </c>
      <c r="M1327" s="57" t="n">
        <v>5</v>
      </c>
      <c r="N1327" s="57" t="n">
        <v>40</v>
      </c>
      <c r="O1327" s="60" t="n">
        <v>21</v>
      </c>
      <c r="P1327" s="55" t="s">
        <v>174</v>
      </c>
      <c r="Q1327" s="57" t="n">
        <v>60</v>
      </c>
      <c r="R1327" s="60" t="n">
        <f aca="false">IF(BT1327=1,0,IFERROR(VLOOKUP(BR1327,'Gebinde-Kategorie'!$A$5:$M$45,13,0)+0,0))</f>
        <v>6</v>
      </c>
      <c r="S1327" s="61"/>
      <c r="T1327" s="62"/>
      <c r="U1327" s="62"/>
      <c r="V1327" s="62"/>
      <c r="W1327" s="55"/>
      <c r="X1327" s="57"/>
      <c r="Y1327" s="57"/>
      <c r="Z1327" s="55" t="n">
        <f aca="false">IF(A1327="","",IF(AND(Parameter!$B$21="Ja",ISNUMBER(W1327)),W1327,IF(BV1327="2+3",IF(ISNUMBER(SEARCH("grosser Artikel",BO1327)),2,IFERROR(VLOOKUP(BR1327,Parameter!$F$35:$G$64,2,0),2)),IF(OR(BV1327="Nein",BV1327=""),"-",BV1327))))</f>
        <v>2</v>
      </c>
      <c r="AA1327" s="62"/>
      <c r="AB1327" s="63"/>
      <c r="AC1327" s="57" t="n">
        <f aca="false">AR1327</f>
        <v>60</v>
      </c>
      <c r="AD1327" s="57" t="n">
        <f aca="false">MAX(AR1327,H1327)</f>
        <v>60</v>
      </c>
      <c r="AE1327" s="64"/>
      <c r="AF1327" s="57" t="n">
        <f aca="false">IF(LEFT(Cockpit!$C$5,1)="A",H1327,IF(CA1327=1,CB1327,IF(LEFT(Cockpit!$C$5,1)="B",AJ1327,MAX(AJ1327,H1327))))</f>
        <v>40</v>
      </c>
      <c r="AG1327" s="57" t="n">
        <f aca="false">IF(BT1327=1,0,ROUNDUP(AF1327/BS1327,0))</f>
        <v>1</v>
      </c>
      <c r="AH1327" s="59" t="n">
        <f aca="false">IF(CH1327&gt;0,CH1327*MAX(1,AF1327/X1327),IF(BT1327=1,IF(AF1327&lt;=0,0,BW1327*MAX(1,IF(H1327&gt;0,AF1327/H1327,1))),IF(R1327&gt;0,AG1327/R1327,0))/MAX(0.1,N(Parameter!$M$21)))</f>
        <v>0.166666666666667</v>
      </c>
      <c r="AI1327" s="57" t="n">
        <f aca="false">AF1327*G1327</f>
        <v>4283.6</v>
      </c>
      <c r="AJ1327" s="57" t="n">
        <f aca="false">ROUNDUP(MAX(J1327/IF(BZ1327&gt;0,BZ1327,MAX(0.1,N(Cockpit!$C$6))),CC1327)/BS1327,0)*BS1327</f>
        <v>60</v>
      </c>
      <c r="AK1327" s="58" t="n">
        <f aca="false">IF(AH1327&gt;0,J1327/AH1327,-1)</f>
        <v>570</v>
      </c>
      <c r="AL1327" s="58" t="n">
        <f aca="false">IF(AND(OR(BY1327="L1",BY1327="L23"),AH1327&gt;0),SUMIFS($AH$7:$AH$1843,$BY$7:$BY$1843,BY1327,$AK$7:$AK$1843,"&gt;"&amp;AK1327)+SUMIFS($AH$7:$AH$1843,$BY$7:$BY$1843,BY1327,$AK$7:$AK$1843,AK1327,$BQ$7:$BQ$1843,"&lt;="&amp;BQ1327),"")</f>
        <v>23.5780885780886</v>
      </c>
      <c r="AM1327" s="65" t="n">
        <f aca="false">IF(AL1327="",0,MAX(0,MIN(1,(IF(BY1327="L1",Parameter!$E$5,Parameter!$E$6+Parameter!$E$7)-(AL1327-AH1327))/AH1327)))</f>
        <v>1</v>
      </c>
      <c r="AN1327" s="57" t="n">
        <f aca="false">IF(LEFT(Cockpit!$I$5,1)="A",H1327,IF(CA1327=1,CB1327,IF(LEFT(Cockpit!$I$5,1)="B",AR1327,MAX(AR1327,H1327))))</f>
        <v>60</v>
      </c>
      <c r="AO1327" s="57" t="n">
        <f aca="false">IF(BT1327=1,0,ROUNDUP(AN1327/BS1327,0))</f>
        <v>1</v>
      </c>
      <c r="AP1327" s="59" t="n">
        <f aca="false">IF(CH1327&gt;0,CH1327*MAX(1,AN1327/X1327),IF(BT1327=1,IF(AN1327&lt;=0,0,BW1327*MAX(1,IF(H1327&gt;0,AN1327/H1327,1))),IF(R1327&gt;0,AO1327/R1327,0))/MAX(0.1,N(Parameter!$M$21)))</f>
        <v>0.166666666666667</v>
      </c>
      <c r="AQ1327" s="57" t="n">
        <f aca="false">AN1327*G1327</f>
        <v>6425.4</v>
      </c>
      <c r="AR1327" s="57" t="n">
        <f aca="false">ROUNDUP(MAX(J1327/IF(BZ1327&gt;0,BZ1327,MAX(0.1,N(Cockpit!$I$6))),CC1327)/BS1327,0)*BS1327</f>
        <v>60</v>
      </c>
      <c r="AS1327" s="58" t="n">
        <f aca="false">IF(AP1327&gt;0,J1327/AP1327,-1)</f>
        <v>570</v>
      </c>
      <c r="AT1327" s="58" t="n">
        <f aca="false">IF(AND(OR(BY1327="L1",BY1327="L23"),AP1327&gt;0),SUMIFS($AP$7:$AP$1843,$BY$7:$BY$1843,BY1327,$AS$7:$AS$1843,"&gt;"&amp;AS1327)+SUMIFS($AP$7:$AP$1843,$BY$7:$BY$1843,BY1327,$AS$7:$AS$1843,AS1327,$BQ$7:$BQ$1843,"&lt;="&amp;BQ1327),"")</f>
        <v>31.4166582210061</v>
      </c>
      <c r="AU1327" s="65" t="n">
        <f aca="false">IF(AT1327="",0,MAX(0,MIN(1,(IF(BY1327="L1",Parameter!$E$5,Parameter!$E$6+Parameter!$E$7)-(AT1327-AP1327))/AP1327)))</f>
        <v>1</v>
      </c>
      <c r="AV1327" s="57" t="n">
        <f aca="false">IF(LEFT(Cockpit!$O$5,1)="A",H1327,IF(CA1327=1,CB1327,IF(LEFT(Cockpit!$O$5,1)="B",AZ1327,MAX(AZ1327,H1327))))</f>
        <v>60</v>
      </c>
      <c r="AW1327" s="57" t="n">
        <f aca="false">IF(BT1327=1,0,ROUNDUP(AV1327/BS1327,0))</f>
        <v>1</v>
      </c>
      <c r="AX1327" s="59" t="n">
        <f aca="false">IF(CH1327&gt;0,CH1327*MAX(1,AV1327/X1327),IF(BT1327=1,IF(AV1327&lt;=0,0,BW1327*MAX(1,IF(H1327&gt;0,AV1327/H1327,1))),IF(R1327&gt;0,AW1327/R1327,0))/MAX(0.1,N(Parameter!$M$21)))</f>
        <v>0.166666666666667</v>
      </c>
      <c r="AY1327" s="57" t="n">
        <f aca="false">AV1327*G1327</f>
        <v>6425.4</v>
      </c>
      <c r="AZ1327" s="57" t="n">
        <f aca="false">ROUNDUP(MAX(J1327/IF(BZ1327&gt;0,BZ1327,MAX(0.1,N(Cockpit!$O$6))),CC1327)/BS1327,0)*BS1327</f>
        <v>60</v>
      </c>
      <c r="BA1327" s="58" t="n">
        <f aca="false">IF(AX1327&gt;0,J1327/AX1327,-1)</f>
        <v>570</v>
      </c>
      <c r="BB1327" s="58" t="n">
        <f aca="false">IF(AND(OR(BY1327="L1",BY1327="L23"),AX1327&gt;0),SUMIFS($AX$7:$AX$1843,$BY$7:$BY$1843,BY1327,$BA$7:$BA$1843,"&gt;"&amp;BA1327)+SUMIFS($AX$7:$AX$1843,$BY$7:$BY$1843,BY1327,$BA$7:$BA$1843,BA1327,$BQ$7:$BQ$1843,"&lt;="&amp;BQ1327),"")</f>
        <v>29.8170078713557</v>
      </c>
      <c r="BC1327" s="65" t="n">
        <f aca="false">IF(BB1327="",0,MAX(0,MIN(1,(IF(BY1327="L1",Parameter!$E$5,Parameter!$E$6+Parameter!$E$7)-(BB1327-AX1327))/AX1327)))</f>
        <v>1</v>
      </c>
      <c r="BD1327" s="55" t="str">
        <f aca="false">IF(AH1327&lt;=0,"",IF(BY1327="Aussen","Aussenlager",IF(BY1327="-","Nicht im Lift",IF(AM1327&gt;=1,"Lift",IF(AM1327&lt;=0,"Aussenlager","teilweise")))))</f>
        <v>Lift</v>
      </c>
      <c r="BE1327" s="55" t="str">
        <f aca="false">IF(AP1327&lt;=0,"",IF(BY1327="Aussen","Aussenlager",IF(BY1327="-","Nicht im Lift",IF(AU1327&gt;=1,"Lift",IF(AU1327&lt;=0,"Aussenlager","teilweise")))))</f>
        <v>Lift</v>
      </c>
      <c r="BF1327" s="55" t="str">
        <f aca="false">IF(AX1327&lt;=0,"",IF(BY1327="Aussen","Aussenlager",IF(BY1327="-","Nicht im Lift",IF(BC1327&gt;=1,"Lift",IF(BC1327&lt;=0,"Aussenlager","teilweise")))))</f>
        <v>Lift</v>
      </c>
      <c r="BG1327" s="55" t="str">
        <f aca="false">IF(A1327="","",IF(BP1327=1,"Neu; ","")&amp;IF(AND(BP1327=0,BK1327&lt;0),"negativer Bestand (Export "&amp;BK1327&amp;"); ","")&amp;IF(J1327&lt;=0,"Kein Verbrauch; ","")&amp;IF(CH1327&gt;0,"Lift "&amp;W1327&amp;" lt. Liftbericht (Fach "&amp;X1327&amp;" Stk); ",IF(BU1327=1,"Gebinde geschätzt ("&amp;T1327&amp;"); ",IF(BT1327=1,"Lose – Tablare geschätzt; ","")))&amp;IF(H1327&gt;AR1327,"Überbestand "&amp;ROUND(H1327-AR1327,0)&amp;" Stk / CHF "&amp;ROUND((H1327-AR1327)*G1327,0)&amp;"; ","")&amp;IF(AND(CA1327=1,CB1327&lt;CC1327),"MAX &lt; MB+LG; ","")&amp;IF(AND(CG1327&gt;0,CF1327*10&gt;CG1327),"zu hoch für Tablar; ","")&amp;IF(AND(BP1327=0,OR(CA1327=1,AA1327&lt;&gt;"",U1327&lt;&gt;"",V1327&lt;&gt;"",AB1327&lt;&gt;"")),"manuell übersteuert; ","")&amp;IF(AND(BT1327=0,R1327=0),"Gebinde unbekannt / Stellmass fehlt; ","")&amp;IF(AND(BT1327=0,N(V1327)&lt;=0,N(Q1327)&lt;=0),"Menge pro Gebinde fehlt (Ist = 1 Gebinde); ","")&amp;BO1327)</f>
        <v>negativer Bestand (Export -12); grosser Artikel &amp; nicht im KTL</v>
      </c>
      <c r="BH1327" s="55"/>
      <c r="BI1327" s="55"/>
      <c r="BJ1327" s="62"/>
      <c r="BK1327" s="57" t="n">
        <v>-12</v>
      </c>
      <c r="BL1327" s="57" t="n">
        <v>52</v>
      </c>
      <c r="BM1327" s="56" t="n">
        <v>-1519.08</v>
      </c>
      <c r="BN1327" s="57" t="n">
        <v>95</v>
      </c>
      <c r="BO1327" s="55" t="s">
        <v>261</v>
      </c>
      <c r="BP1327" s="60" t="n">
        <v>0</v>
      </c>
      <c r="BQ1327" s="60" t="n">
        <v>1327</v>
      </c>
      <c r="BR1327" s="55" t="str">
        <f aca="false">IF(U1327&lt;&gt;"",UPPER(TRIM(U1327)),IF(BU1327=1,UPPER(VLOOKUP(T1327,Parameter!$I$27:$K$29,2,0)),IF(P1327="","LOSE",P1327)))</f>
        <v>S71</v>
      </c>
      <c r="BS1327" s="57" t="n">
        <f aca="false">IF(BR1327="LOSE",1,IF(N(V1327)&gt;0,V1327,IF(BU1327=1,MAX(1,N(VLOOKUP(T1327,Parameter!$I$27:$K$29,3,0)),H1327,N(N1327)),IF(N(Q1327)&gt;0,Q1327,MAX(1,H1327)))))</f>
        <v>60</v>
      </c>
      <c r="BT1327" s="60" t="n">
        <f aca="false">IF(BR1327="LOSE",1,0)</f>
        <v>0</v>
      </c>
      <c r="BU1327" s="60" t="n">
        <f aca="false">IF(AND(U1327="",OR(P1327="",P1327="LOSE"),T1327&lt;&gt;"",N(S1327)&lt;=0,ISNUMBER(MATCH(T1327,Parameter!$I$27:$I$29,0))),1,0)</f>
        <v>0</v>
      </c>
      <c r="BV1327" s="55" t="str">
        <f aca="false">IF(AND(Parameter!$B$19="Ja",E1327&lt;&gt;"",ISNUMBER(MATCH(E1327,Parameter!$I$35:$I$52,0))),VLOOKUP(E1327,Parameter!$I$35:$J$52,2,0),IFERROR(VLOOKUP(D1327,Parameter!$A$35:$C$64,2,0),"Nein"))</f>
        <v>2+3</v>
      </c>
      <c r="BW1327" s="59" t="n">
        <f aca="false">IF(BT1327=0,0,IF(N(S1327)&gt;0,S1327,IFERROR(VLOOKUP(D1327,Parameter!$A$35:$C$64,3,0)+0,0)))</f>
        <v>0</v>
      </c>
      <c r="BX1327" s="55" t="n">
        <f aca="false">IF(AA1327&lt;&gt;"",AA1327,Z1327)</f>
        <v>2</v>
      </c>
      <c r="BY1327" s="55" t="str">
        <f aca="false">IF(BX1327=1,"L1",IF(OR(BX1327=2,BX1327=3),"L23",IF(BX1327="Aussen","Aussen","-")))</f>
        <v>L23</v>
      </c>
      <c r="BZ1327" s="66" t="n">
        <f aca="false">IF(N(AB1327)&gt;0,AB1327,0)</f>
        <v>0</v>
      </c>
      <c r="CA1327" s="60" t="n">
        <f aca="false">IF(ISNUMBER(AE1327),1,0)</f>
        <v>0</v>
      </c>
      <c r="CB1327" s="57" t="n">
        <f aca="false">N(AE1327)</f>
        <v>0</v>
      </c>
      <c r="CC1327" s="57" t="n">
        <f aca="false">N(M1327)+N(N1327)</f>
        <v>45</v>
      </c>
      <c r="CD1327" s="57" t="n">
        <f aca="false">ROUNDUP(H1327/BS1327,0)</f>
        <v>1</v>
      </c>
      <c r="CE1327" s="57" t="n">
        <f aca="false">ROUNDUP(CB1327/BS1327,0)</f>
        <v>0</v>
      </c>
      <c r="CF1327" s="60" t="n">
        <f aca="false">IF(BT1327=1,0,IFERROR(VLOOKUP(BR1327,'Gebinde-Kategorie'!$A$5:$M$45,5,0)+0,0))</f>
        <v>20</v>
      </c>
      <c r="CG1327" s="60" t="n">
        <f aca="false">IFERROR(IF(OR(BX1327=1,BX1327=2,BX1327=3),N(INDEX(Parameter!$I$5:$I$7,BX1327)),0),0)</f>
        <v>0</v>
      </c>
      <c r="CH1327" s="59" t="n">
        <f aca="false">IF(AND(Parameter!$B$21="Ja",ISNUMBER(W1327),N(X1327)&gt;0),IFERROR(N(INDEX(Parameter!$L$5:$L$7,W1327))*INDEX(Parameter!$E$5:$E$7,W1327)*X1327/SUMIFS($X$7:$X$1843,$W$7:$W$1843,W1327),0),0)</f>
        <v>0</v>
      </c>
    </row>
    <row r="1328" customFormat="false" ht="15" hidden="false" customHeight="false" outlineLevel="0" collapsed="false">
      <c r="A1328" s="55" t="s">
        <v>2357</v>
      </c>
      <c r="B1328" s="55" t="s">
        <v>2358</v>
      </c>
      <c r="C1328" s="55" t="s">
        <v>164</v>
      </c>
      <c r="D1328" s="55" t="s">
        <v>353</v>
      </c>
      <c r="E1328" s="55"/>
      <c r="F1328" s="55" t="s">
        <v>218</v>
      </c>
      <c r="G1328" s="56" t="n">
        <v>1537.04</v>
      </c>
      <c r="H1328" s="57" t="n">
        <f aca="false">MAX(0,IF(AND(Parameter!$B$21="Ja",ISNUMBER(Y1328)),Y1328,IF(Parameter!$B$20="Jahresanfang 2025 + Export",BL1328+BK1328,BK1328)))</f>
        <v>0</v>
      </c>
      <c r="I1328" s="57" t="n">
        <f aca="false">H1328*G1328</f>
        <v>0</v>
      </c>
      <c r="J1328" s="57" t="n">
        <f aca="false">BN1328*Parameter!$B$18</f>
        <v>0</v>
      </c>
      <c r="K1328" s="58" t="n">
        <v>0.5</v>
      </c>
      <c r="L1328" s="59" t="n">
        <v>0</v>
      </c>
      <c r="M1328" s="57" t="n">
        <v>0</v>
      </c>
      <c r="N1328" s="57" t="n">
        <v>1</v>
      </c>
      <c r="O1328" s="60" t="n">
        <v>90</v>
      </c>
      <c r="P1328" s="55" t="s">
        <v>168</v>
      </c>
      <c r="Q1328" s="57"/>
      <c r="R1328" s="60" t="n">
        <f aca="false">IF(BT1328=1,0,IFERROR(VLOOKUP(BR1328,'Gebinde-Kategorie'!$A$5:$M$45,13,0)+0,0))</f>
        <v>0</v>
      </c>
      <c r="S1328" s="61"/>
      <c r="T1328" s="62"/>
      <c r="U1328" s="62"/>
      <c r="V1328" s="62"/>
      <c r="W1328" s="55"/>
      <c r="X1328" s="57"/>
      <c r="Y1328" s="57"/>
      <c r="Z1328" s="55" t="str">
        <f aca="false">IF(A1328="","",IF(AND(Parameter!$B$21="Ja",ISNUMBER(W1328)),W1328,IF(BV1328="2+3",IF(ISNUMBER(SEARCH("grosser Artikel",BO1328)),2,IFERROR(VLOOKUP(BR1328,Parameter!$F$35:$G$64,2,0),2)),IF(OR(BV1328="Nein",BV1328=""),"-",BV1328))))</f>
        <v>-</v>
      </c>
      <c r="AA1328" s="62"/>
      <c r="AB1328" s="63"/>
      <c r="AC1328" s="57" t="n">
        <f aca="false">AR1328</f>
        <v>1</v>
      </c>
      <c r="AD1328" s="57" t="n">
        <f aca="false">MAX(AR1328,H1328)</f>
        <v>1</v>
      </c>
      <c r="AE1328" s="64"/>
      <c r="AF1328" s="57" t="n">
        <f aca="false">IF(LEFT(Cockpit!$C$5,1)="A",H1328,IF(CA1328=1,CB1328,IF(LEFT(Cockpit!$C$5,1)="B",AJ1328,MAX(AJ1328,H1328))))</f>
        <v>0</v>
      </c>
      <c r="AG1328" s="57" t="n">
        <f aca="false">IF(BT1328=1,0,ROUNDUP(AF1328/BS1328,0))</f>
        <v>0</v>
      </c>
      <c r="AH1328" s="59" t="n">
        <f aca="false">IF(CH1328&gt;0,CH1328*MAX(1,AF1328/X1328),IF(BT1328=1,IF(AF1328&lt;=0,0,BW1328*MAX(1,IF(H1328&gt;0,AF1328/H1328,1))),IF(R1328&gt;0,AG1328/R1328,0))/MAX(0.1,N(Parameter!$M$21)))</f>
        <v>0</v>
      </c>
      <c r="AI1328" s="57" t="n">
        <f aca="false">AF1328*G1328</f>
        <v>0</v>
      </c>
      <c r="AJ1328" s="57" t="n">
        <f aca="false">ROUNDUP(MAX(J1328/IF(BZ1328&gt;0,BZ1328,MAX(0.1,N(Cockpit!$C$6))),CC1328)/BS1328,0)*BS1328</f>
        <v>1</v>
      </c>
      <c r="AK1328" s="58" t="n">
        <f aca="false">IF(AH1328&gt;0,J1328/AH1328,-1)</f>
        <v>-1</v>
      </c>
      <c r="AL1328" s="58" t="str">
        <f aca="false">IF(AND(OR(BY1328="L1",BY1328="L23"),AH1328&gt;0),SUMIFS($AH$7:$AH$1843,$BY$7:$BY$1843,BY1328,$AK$7:$AK$1843,"&gt;"&amp;AK1328)+SUMIFS($AH$7:$AH$1843,$BY$7:$BY$1843,BY1328,$AK$7:$AK$1843,AK1328,$BQ$7:$BQ$1843,"&lt;="&amp;BQ1328),"")</f>
        <v/>
      </c>
      <c r="AM1328" s="65" t="n">
        <f aca="false">IF(AL1328="",0,MAX(0,MIN(1,(IF(BY1328="L1",Parameter!$E$5,Parameter!$E$6+Parameter!$E$7)-(AL1328-AH1328))/AH1328)))</f>
        <v>0</v>
      </c>
      <c r="AN1328" s="57" t="n">
        <f aca="false">IF(LEFT(Cockpit!$I$5,1)="A",H1328,IF(CA1328=1,CB1328,IF(LEFT(Cockpit!$I$5,1)="B",AR1328,MAX(AR1328,H1328))))</f>
        <v>1</v>
      </c>
      <c r="AO1328" s="57" t="n">
        <f aca="false">IF(BT1328=1,0,ROUNDUP(AN1328/BS1328,0))</f>
        <v>0</v>
      </c>
      <c r="AP1328" s="59" t="n">
        <f aca="false">IF(CH1328&gt;0,CH1328*MAX(1,AN1328/X1328),IF(BT1328=1,IF(AN1328&lt;=0,0,BW1328*MAX(1,IF(H1328&gt;0,AN1328/H1328,1))),IF(R1328&gt;0,AO1328/R1328,0))/MAX(0.1,N(Parameter!$M$21)))</f>
        <v>0.15</v>
      </c>
      <c r="AQ1328" s="57" t="n">
        <f aca="false">AN1328*G1328</f>
        <v>1537.04</v>
      </c>
      <c r="AR1328" s="57" t="n">
        <f aca="false">ROUNDUP(MAX(J1328/IF(BZ1328&gt;0,BZ1328,MAX(0.1,N(Cockpit!$I$6))),CC1328)/BS1328,0)*BS1328</f>
        <v>1</v>
      </c>
      <c r="AS1328" s="58" t="n">
        <f aca="false">IF(AP1328&gt;0,J1328/AP1328,-1)</f>
        <v>0</v>
      </c>
      <c r="AT1328" s="58" t="str">
        <f aca="false">IF(AND(OR(BY1328="L1",BY1328="L23"),AP1328&gt;0),SUMIFS($AP$7:$AP$1843,$BY$7:$BY$1843,BY1328,$AS$7:$AS$1843,"&gt;"&amp;AS1328)+SUMIFS($AP$7:$AP$1843,$BY$7:$BY$1843,BY1328,$AS$7:$AS$1843,AS1328,$BQ$7:$BQ$1843,"&lt;="&amp;BQ1328),"")</f>
        <v/>
      </c>
      <c r="AU1328" s="65" t="n">
        <f aca="false">IF(AT1328="",0,MAX(0,MIN(1,(IF(BY1328="L1",Parameter!$E$5,Parameter!$E$6+Parameter!$E$7)-(AT1328-AP1328))/AP1328)))</f>
        <v>0</v>
      </c>
      <c r="AV1328" s="57" t="n">
        <f aca="false">IF(LEFT(Cockpit!$O$5,1)="A",H1328,IF(CA1328=1,CB1328,IF(LEFT(Cockpit!$O$5,1)="B",AZ1328,MAX(AZ1328,H1328))))</f>
        <v>1</v>
      </c>
      <c r="AW1328" s="57" t="n">
        <f aca="false">IF(BT1328=1,0,ROUNDUP(AV1328/BS1328,0))</f>
        <v>0</v>
      </c>
      <c r="AX1328" s="59" t="n">
        <f aca="false">IF(CH1328&gt;0,CH1328*MAX(1,AV1328/X1328),IF(BT1328=1,IF(AV1328&lt;=0,0,BW1328*MAX(1,IF(H1328&gt;0,AV1328/H1328,1))),IF(R1328&gt;0,AW1328/R1328,0))/MAX(0.1,N(Parameter!$M$21)))</f>
        <v>0.15</v>
      </c>
      <c r="AY1328" s="57" t="n">
        <f aca="false">AV1328*G1328</f>
        <v>1537.04</v>
      </c>
      <c r="AZ1328" s="57" t="n">
        <f aca="false">ROUNDUP(MAX(J1328/IF(BZ1328&gt;0,BZ1328,MAX(0.1,N(Cockpit!$O$6))),CC1328)/BS1328,0)*BS1328</f>
        <v>1</v>
      </c>
      <c r="BA1328" s="58" t="n">
        <f aca="false">IF(AX1328&gt;0,J1328/AX1328,-1)</f>
        <v>0</v>
      </c>
      <c r="BB1328" s="58" t="str">
        <f aca="false">IF(AND(OR(BY1328="L1",BY1328="L23"),AX1328&gt;0),SUMIFS($AX$7:$AX$1843,$BY$7:$BY$1843,BY1328,$BA$7:$BA$1843,"&gt;"&amp;BA1328)+SUMIFS($AX$7:$AX$1843,$BY$7:$BY$1843,BY1328,$BA$7:$BA$1843,BA1328,$BQ$7:$BQ$1843,"&lt;="&amp;BQ1328),"")</f>
        <v/>
      </c>
      <c r="BC1328" s="65" t="n">
        <f aca="false">IF(BB1328="",0,MAX(0,MIN(1,(IF(BY1328="L1",Parameter!$E$5,Parameter!$E$6+Parameter!$E$7)-(BB1328-AX1328))/AX1328)))</f>
        <v>0</v>
      </c>
      <c r="BD1328" s="55" t="str">
        <f aca="false">IF(AH1328&lt;=0,"",IF(BY1328="Aussen","Aussenlager",IF(BY1328="-","Nicht im Lift",IF(AM1328&gt;=1,"Lift",IF(AM1328&lt;=0,"Aussenlager","teilweise")))))</f>
        <v/>
      </c>
      <c r="BE1328" s="55" t="str">
        <f aca="false">IF(AP1328&lt;=0,"",IF(BY1328="Aussen","Aussenlager",IF(BY1328="-","Nicht im Lift",IF(AU1328&gt;=1,"Lift",IF(AU1328&lt;=0,"Aussenlager","teilweise")))))</f>
        <v>Nicht im Lift</v>
      </c>
      <c r="BF1328" s="55" t="str">
        <f aca="false">IF(AX1328&lt;=0,"",IF(BY1328="Aussen","Aussenlager",IF(BY1328="-","Nicht im Lift",IF(BC1328&gt;=1,"Lift",IF(BC1328&lt;=0,"Aussenlager","teilweise")))))</f>
        <v>Nicht im Lift</v>
      </c>
      <c r="BG1328" s="55" t="str">
        <f aca="false">IF(A1328="","",IF(BP1328=1,"Neu; ","")&amp;IF(AND(BP1328=0,BK1328&lt;0),"negativer Bestand (Export "&amp;BK1328&amp;"); ","")&amp;IF(J1328&lt;=0,"Kein Verbrauch; ","")&amp;IF(CH1328&gt;0,"Lift "&amp;W1328&amp;" lt. Liftbericht (Fach "&amp;X1328&amp;" Stk); ",IF(BU1328=1,"Gebinde geschätzt ("&amp;T1328&amp;"); ",IF(BT1328=1,"Lose – Tablare geschätzt; ","")))&amp;IF(H1328&gt;AR1328,"Überbestand "&amp;ROUND(H1328-AR1328,0)&amp;" Stk / CHF "&amp;ROUND((H1328-AR1328)*G1328,0)&amp;"; ","")&amp;IF(AND(CA1328=1,CB1328&lt;CC1328),"MAX &lt; MB+LG; ","")&amp;IF(AND(CG1328&gt;0,CF1328*10&gt;CG1328),"zu hoch für Tablar; ","")&amp;IF(AND(BP1328=0,OR(CA1328=1,AA1328&lt;&gt;"",U1328&lt;&gt;"",V1328&lt;&gt;"",AB1328&lt;&gt;"")),"manuell übersteuert; ","")&amp;IF(AND(BT1328=0,R1328=0),"Gebinde unbekannt / Stellmass fehlt; ","")&amp;IF(AND(BT1328=0,N(V1328)&lt;=0,N(Q1328)&lt;=0),"Menge pro Gebinde fehlt (Ist = 1 Gebinde); ","")&amp;BO1328)</f>
        <v>negativer Bestand (Export -1); Kein Verbrauch; Lose – Tablare geschätzt; </v>
      </c>
      <c r="BH1328" s="55"/>
      <c r="BI1328" s="55"/>
      <c r="BJ1328" s="62"/>
      <c r="BK1328" s="57" t="n">
        <v>-1</v>
      </c>
      <c r="BL1328" s="57" t="n">
        <v>1</v>
      </c>
      <c r="BM1328" s="56" t="n">
        <v>-1537.04</v>
      </c>
      <c r="BN1328" s="57" t="n">
        <v>0</v>
      </c>
      <c r="BO1328" s="55"/>
      <c r="BP1328" s="60" t="n">
        <v>0</v>
      </c>
      <c r="BQ1328" s="60" t="n">
        <v>1328</v>
      </c>
      <c r="BR1328" s="55" t="str">
        <f aca="false">IF(U1328&lt;&gt;"",UPPER(TRIM(U1328)),IF(BU1328=1,UPPER(VLOOKUP(T1328,Parameter!$I$27:$K$29,2,0)),IF(P1328="","LOSE",P1328)))</f>
        <v>LOSE</v>
      </c>
      <c r="BS1328" s="57" t="n">
        <f aca="false">IF(BR1328="LOSE",1,IF(N(V1328)&gt;0,V1328,IF(BU1328=1,MAX(1,N(VLOOKUP(T1328,Parameter!$I$27:$K$29,3,0)),H1328,N(N1328)),IF(N(Q1328)&gt;0,Q1328,MAX(1,H1328)))))</f>
        <v>1</v>
      </c>
      <c r="BT1328" s="60" t="n">
        <f aca="false">IF(BR1328="LOSE",1,0)</f>
        <v>1</v>
      </c>
      <c r="BU1328" s="60" t="n">
        <f aca="false">IF(AND(U1328="",OR(P1328="",P1328="LOSE"),T1328&lt;&gt;"",N(S1328)&lt;=0,ISNUMBER(MATCH(T1328,Parameter!$I$27:$I$29,0))),1,0)</f>
        <v>0</v>
      </c>
      <c r="BV1328" s="55" t="str">
        <f aca="false">IF(AND(Parameter!$B$19="Ja",E1328&lt;&gt;"",ISNUMBER(MATCH(E1328,Parameter!$I$35:$I$52,0))),VLOOKUP(E1328,Parameter!$I$35:$J$52,2,0),IFERROR(VLOOKUP(D1328,Parameter!$A$35:$C$64,2,0),"Nein"))</f>
        <v>Nein</v>
      </c>
      <c r="BW1328" s="59" t="n">
        <f aca="false">IF(BT1328=0,0,IF(N(S1328)&gt;0,S1328,IFERROR(VLOOKUP(D1328,Parameter!$A$35:$C$64,3,0)+0,0)))</f>
        <v>0.15</v>
      </c>
      <c r="BX1328" s="55" t="str">
        <f aca="false">IF(AA1328&lt;&gt;"",AA1328,Z1328)</f>
        <v>-</v>
      </c>
      <c r="BY1328" s="55" t="str">
        <f aca="false">IF(BX1328=1,"L1",IF(OR(BX1328=2,BX1328=3),"L23",IF(BX1328="Aussen","Aussen","-")))</f>
        <v>-</v>
      </c>
      <c r="BZ1328" s="66" t="n">
        <f aca="false">IF(N(AB1328)&gt;0,AB1328,0)</f>
        <v>0</v>
      </c>
      <c r="CA1328" s="60" t="n">
        <f aca="false">IF(ISNUMBER(AE1328),1,0)</f>
        <v>0</v>
      </c>
      <c r="CB1328" s="57" t="n">
        <f aca="false">N(AE1328)</f>
        <v>0</v>
      </c>
      <c r="CC1328" s="57" t="n">
        <f aca="false">N(M1328)+N(N1328)</f>
        <v>1</v>
      </c>
      <c r="CD1328" s="57" t="n">
        <f aca="false">ROUNDUP(H1328/BS1328,0)</f>
        <v>0</v>
      </c>
      <c r="CE1328" s="57" t="n">
        <f aca="false">ROUNDUP(CB1328/BS1328,0)</f>
        <v>0</v>
      </c>
      <c r="CF1328" s="60" t="n">
        <f aca="false">IF(BT1328=1,0,IFERROR(VLOOKUP(BR1328,'Gebinde-Kategorie'!$A$5:$M$45,5,0)+0,0))</f>
        <v>0</v>
      </c>
      <c r="CG1328" s="60" t="n">
        <f aca="false">IFERROR(IF(OR(BX1328=1,BX1328=2,BX1328=3),N(INDEX(Parameter!$I$5:$I$7,BX1328)),0),0)</f>
        <v>0</v>
      </c>
      <c r="CH1328" s="59" t="n">
        <f aca="false">IF(AND(Parameter!$B$21="Ja",ISNUMBER(W1328),N(X1328)&gt;0),IFERROR(N(INDEX(Parameter!$L$5:$L$7,W1328))*INDEX(Parameter!$E$5:$E$7,W1328)*X1328/SUMIFS($X$7:$X$1843,$W$7:$W$1843,W1328),0),0)</f>
        <v>0</v>
      </c>
    </row>
    <row r="1329" customFormat="false" ht="15" hidden="false" customHeight="false" outlineLevel="0" collapsed="false">
      <c r="A1329" s="55" t="s">
        <v>2359</v>
      </c>
      <c r="B1329" s="55" t="s">
        <v>405</v>
      </c>
      <c r="C1329" s="55" t="s">
        <v>164</v>
      </c>
      <c r="D1329" s="55" t="s">
        <v>173</v>
      </c>
      <c r="E1329" s="55" t="s">
        <v>185</v>
      </c>
      <c r="F1329" s="55" t="s">
        <v>218</v>
      </c>
      <c r="G1329" s="56" t="n">
        <v>0.24</v>
      </c>
      <c r="H1329" s="57" t="n">
        <f aca="false">MAX(0,IF(AND(Parameter!$B$21="Ja",ISNUMBER(Y1329)),Y1329,IF(Parameter!$B$20="Jahresanfang 2025 + Export",BL1329+BK1329,BK1329)))</f>
        <v>2423</v>
      </c>
      <c r="I1329" s="57" t="n">
        <f aca="false">H1329*G1329</f>
        <v>581.52</v>
      </c>
      <c r="J1329" s="57" t="n">
        <f aca="false">BN1329*Parameter!$B$18</f>
        <v>17893</v>
      </c>
      <c r="K1329" s="58" t="n">
        <v>6601.5</v>
      </c>
      <c r="L1329" s="59" t="n">
        <v>2.71044459592517</v>
      </c>
      <c r="M1329" s="57" t="n">
        <v>1043</v>
      </c>
      <c r="N1329" s="57" t="n">
        <v>2000</v>
      </c>
      <c r="O1329" s="60" t="n">
        <v>21</v>
      </c>
      <c r="P1329" s="55" t="s">
        <v>174</v>
      </c>
      <c r="Q1329" s="57" t="n">
        <v>3500</v>
      </c>
      <c r="R1329" s="60" t="n">
        <f aca="false">IF(BT1329=1,0,IFERROR(VLOOKUP(BR1329,'Gebinde-Kategorie'!$A$5:$M$45,13,0)+0,0))</f>
        <v>6</v>
      </c>
      <c r="S1329" s="61"/>
      <c r="T1329" s="62"/>
      <c r="U1329" s="62"/>
      <c r="V1329" s="62"/>
      <c r="W1329" s="55"/>
      <c r="X1329" s="57"/>
      <c r="Y1329" s="57"/>
      <c r="Z1329" s="55" t="n">
        <f aca="false">IF(A1329="","",IF(AND(Parameter!$B$21="Ja",ISNUMBER(W1329)),W1329,IF(BV1329="2+3",IF(ISNUMBER(SEARCH("grosser Artikel",BO1329)),2,IFERROR(VLOOKUP(BR1329,Parameter!$F$35:$G$64,2,0),2)),IF(OR(BV1329="Nein",BV1329=""),"-",BV1329))))</f>
        <v>2</v>
      </c>
      <c r="AA1329" s="62"/>
      <c r="AB1329" s="63"/>
      <c r="AC1329" s="57" t="n">
        <f aca="false">AR1329</f>
        <v>10500</v>
      </c>
      <c r="AD1329" s="57" t="n">
        <f aca="false">MAX(AR1329,H1329)</f>
        <v>10500</v>
      </c>
      <c r="AE1329" s="64"/>
      <c r="AF1329" s="57" t="n">
        <f aca="false">IF(LEFT(Cockpit!$C$5,1)="A",H1329,IF(CA1329=1,CB1329,IF(LEFT(Cockpit!$C$5,1)="B",AJ1329,MAX(AJ1329,H1329))))</f>
        <v>2423</v>
      </c>
      <c r="AG1329" s="57" t="n">
        <f aca="false">IF(BT1329=1,0,ROUNDUP(AF1329/BS1329,0))</f>
        <v>1</v>
      </c>
      <c r="AH1329" s="59" t="n">
        <f aca="false">IF(CH1329&gt;0,CH1329*MAX(1,AF1329/X1329),IF(BT1329=1,IF(AF1329&lt;=0,0,BW1329*MAX(1,IF(H1329&gt;0,AF1329/H1329,1))),IF(R1329&gt;0,AG1329/R1329,0))/MAX(0.1,N(Parameter!$M$21)))</f>
        <v>0.166666666666667</v>
      </c>
      <c r="AI1329" s="57" t="n">
        <f aca="false">AF1329*G1329</f>
        <v>581.52</v>
      </c>
      <c r="AJ1329" s="57" t="n">
        <f aca="false">ROUNDUP(MAX(J1329/IF(BZ1329&gt;0,BZ1329,MAX(0.1,N(Cockpit!$C$6))),CC1329)/BS1329,0)*BS1329</f>
        <v>10500</v>
      </c>
      <c r="AK1329" s="58" t="n">
        <f aca="false">IF(AH1329&gt;0,J1329/AH1329,-1)</f>
        <v>107358</v>
      </c>
      <c r="AL1329" s="58" t="n">
        <f aca="false">IF(AND(OR(BY1329="L1",BY1329="L23"),AH1329&gt;0),SUMIFS($AH$7:$AH$1843,$BY$7:$BY$1843,BY1329,$AK$7:$AK$1843,"&gt;"&amp;AK1329)+SUMIFS($AH$7:$AH$1843,$BY$7:$BY$1843,BY1329,$AK$7:$AK$1843,AK1329,$BQ$7:$BQ$1843,"&lt;="&amp;BQ1329),"")</f>
        <v>0.473565082260734</v>
      </c>
      <c r="AM1329" s="65" t="n">
        <f aca="false">IF(AL1329="",0,MAX(0,MIN(1,(IF(BY1329="L1",Parameter!$E$5,Parameter!$E$6+Parameter!$E$7)-(AL1329-AH1329))/AH1329)))</f>
        <v>1</v>
      </c>
      <c r="AN1329" s="57" t="n">
        <f aca="false">IF(LEFT(Cockpit!$I$5,1)="A",H1329,IF(CA1329=1,CB1329,IF(LEFT(Cockpit!$I$5,1)="B",AR1329,MAX(AR1329,H1329))))</f>
        <v>10500</v>
      </c>
      <c r="AO1329" s="57" t="n">
        <f aca="false">IF(BT1329=1,0,ROUNDUP(AN1329/BS1329,0))</f>
        <v>3</v>
      </c>
      <c r="AP1329" s="59" t="n">
        <f aca="false">IF(CH1329&gt;0,CH1329*MAX(1,AN1329/X1329),IF(BT1329=1,IF(AN1329&lt;=0,0,BW1329*MAX(1,IF(H1329&gt;0,AN1329/H1329,1))),IF(R1329&gt;0,AO1329/R1329,0))/MAX(0.1,N(Parameter!$M$21)))</f>
        <v>0.5</v>
      </c>
      <c r="AQ1329" s="57" t="n">
        <f aca="false">AN1329*G1329</f>
        <v>2520</v>
      </c>
      <c r="AR1329" s="57" t="n">
        <f aca="false">ROUNDUP(MAX(J1329/IF(BZ1329&gt;0,BZ1329,MAX(0.1,N(Cockpit!$I$6))),CC1329)/BS1329,0)*BS1329</f>
        <v>10500</v>
      </c>
      <c r="AS1329" s="58" t="n">
        <f aca="false">IF(AP1329&gt;0,J1329/AP1329,-1)</f>
        <v>35786</v>
      </c>
      <c r="AT1329" s="58" t="n">
        <f aca="false">IF(AND(OR(BY1329="L1",BY1329="L23"),AP1329&gt;0),SUMIFS($AP$7:$AP$1843,$BY$7:$BY$1843,BY1329,$AS$7:$AS$1843,"&gt;"&amp;AS1329)+SUMIFS($AP$7:$AP$1843,$BY$7:$BY$1843,BY1329,$AS$7:$AS$1843,AS1329,$BQ$7:$BQ$1843,"&lt;="&amp;BQ1329),"")</f>
        <v>2.57503969460491</v>
      </c>
      <c r="AU1329" s="65" t="n">
        <f aca="false">IF(AT1329="",0,MAX(0,MIN(1,(IF(BY1329="L1",Parameter!$E$5,Parameter!$E$6+Parameter!$E$7)-(AT1329-AP1329))/AP1329)))</f>
        <v>1</v>
      </c>
      <c r="AV1329" s="57" t="n">
        <f aca="false">IF(LEFT(Cockpit!$O$5,1)="A",H1329,IF(CA1329=1,CB1329,IF(LEFT(Cockpit!$O$5,1)="B",AZ1329,MAX(AZ1329,H1329))))</f>
        <v>7000</v>
      </c>
      <c r="AW1329" s="57" t="n">
        <f aca="false">IF(BT1329=1,0,ROUNDUP(AV1329/BS1329,0))</f>
        <v>2</v>
      </c>
      <c r="AX1329" s="59" t="n">
        <f aca="false">IF(CH1329&gt;0,CH1329*MAX(1,AV1329/X1329),IF(BT1329=1,IF(AV1329&lt;=0,0,BW1329*MAX(1,IF(H1329&gt;0,AV1329/H1329,1))),IF(R1329&gt;0,AW1329/R1329,0))/MAX(0.1,N(Parameter!$M$21)))</f>
        <v>0.333333333333333</v>
      </c>
      <c r="AY1329" s="57" t="n">
        <f aca="false">AV1329*G1329</f>
        <v>1680</v>
      </c>
      <c r="AZ1329" s="57" t="n">
        <f aca="false">ROUNDUP(MAX(J1329/IF(BZ1329&gt;0,BZ1329,MAX(0.1,N(Cockpit!$O$6))),CC1329)/BS1329,0)*BS1329</f>
        <v>7000</v>
      </c>
      <c r="BA1329" s="58" t="n">
        <f aca="false">IF(AX1329&gt;0,J1329/AX1329,-1)</f>
        <v>53679</v>
      </c>
      <c r="BB1329" s="58" t="n">
        <f aca="false">IF(AND(OR(BY1329="L1",BY1329="L23"),AX1329&gt;0),SUMIFS($AX$7:$AX$1843,$BY$7:$BY$1843,BY1329,$BA$7:$BA$1843,"&gt;"&amp;BA1329)+SUMIFS($AX$7:$AX$1843,$BY$7:$BY$1843,BY1329,$BA$7:$BA$1843,BA1329,$BQ$7:$BQ$1843,"&lt;="&amp;BQ1329),"")</f>
        <v>1.24586162629641</v>
      </c>
      <c r="BC1329" s="65" t="n">
        <f aca="false">IF(BB1329="",0,MAX(0,MIN(1,(IF(BY1329="L1",Parameter!$E$5,Parameter!$E$6+Parameter!$E$7)-(BB1329-AX1329))/AX1329)))</f>
        <v>1</v>
      </c>
      <c r="BD1329" s="55" t="str">
        <f aca="false">IF(AH1329&lt;=0,"",IF(BY1329="Aussen","Aussenlager",IF(BY1329="-","Nicht im Lift",IF(AM1329&gt;=1,"Lift",IF(AM1329&lt;=0,"Aussenlager","teilweise")))))</f>
        <v>Lift</v>
      </c>
      <c r="BE1329" s="55" t="str">
        <f aca="false">IF(AP1329&lt;=0,"",IF(BY1329="Aussen","Aussenlager",IF(BY1329="-","Nicht im Lift",IF(AU1329&gt;=1,"Lift",IF(AU1329&lt;=0,"Aussenlager","teilweise")))))</f>
        <v>Lift</v>
      </c>
      <c r="BF1329" s="55" t="str">
        <f aca="false">IF(AX1329&lt;=0,"",IF(BY1329="Aussen","Aussenlager",IF(BY1329="-","Nicht im Lift",IF(BC1329&gt;=1,"Lift",IF(BC1329&lt;=0,"Aussenlager","teilweise")))))</f>
        <v>Lift</v>
      </c>
      <c r="BG1329" s="55" t="str">
        <f aca="false">IF(A1329="","",IF(BP1329=1,"Neu; ","")&amp;IF(AND(BP1329=0,BK1329&lt;0),"negativer Bestand (Export "&amp;BK1329&amp;"); ","")&amp;IF(J1329&lt;=0,"Kein Verbrauch; ","")&amp;IF(CH1329&gt;0,"Lift "&amp;W1329&amp;" lt. Liftbericht (Fach "&amp;X1329&amp;" Stk); ",IF(BU1329=1,"Gebinde geschätzt ("&amp;T1329&amp;"); ",IF(BT1329=1,"Lose – Tablare geschätzt; ","")))&amp;IF(H1329&gt;AR1329,"Überbestand "&amp;ROUND(H1329-AR1329,0)&amp;" Stk / CHF "&amp;ROUND((H1329-AR1329)*G1329,0)&amp;"; ","")&amp;IF(AND(CA1329=1,CB1329&lt;CC1329),"MAX &lt; MB+LG; ","")&amp;IF(AND(CG1329&gt;0,CF1329*10&gt;CG1329),"zu hoch für Tablar; ","")&amp;IF(AND(BP1329=0,OR(CA1329=1,AA1329&lt;&gt;"",U1329&lt;&gt;"",V1329&lt;&gt;"",AB1329&lt;&gt;"")),"manuell übersteuert; ","")&amp;IF(AND(BT1329=0,R1329=0),"Gebinde unbekannt / Stellmass fehlt; ","")&amp;IF(AND(BT1329=0,N(V1329)&lt;=0,N(Q1329)&lt;=0),"Menge pro Gebinde fehlt (Ist = 1 Gebinde); ","")&amp;BO1329)</f>
        <v>negativer Bestand (Export -6796); grosse  Artikelmenge</v>
      </c>
      <c r="BH1329" s="55"/>
      <c r="BI1329" s="55"/>
      <c r="BJ1329" s="62"/>
      <c r="BK1329" s="57" t="n">
        <v>-6796</v>
      </c>
      <c r="BL1329" s="57" t="n">
        <v>9219</v>
      </c>
      <c r="BM1329" s="56" t="n">
        <v>-1539.39</v>
      </c>
      <c r="BN1329" s="57" t="n">
        <v>17893</v>
      </c>
      <c r="BO1329" s="55" t="s">
        <v>1607</v>
      </c>
      <c r="BP1329" s="60" t="n">
        <v>0</v>
      </c>
      <c r="BQ1329" s="60" t="n">
        <v>1329</v>
      </c>
      <c r="BR1329" s="55" t="str">
        <f aca="false">IF(U1329&lt;&gt;"",UPPER(TRIM(U1329)),IF(BU1329=1,UPPER(VLOOKUP(T1329,Parameter!$I$27:$K$29,2,0)),IF(P1329="","LOSE",P1329)))</f>
        <v>S71</v>
      </c>
      <c r="BS1329" s="57" t="n">
        <f aca="false">IF(BR1329="LOSE",1,IF(N(V1329)&gt;0,V1329,IF(BU1329=1,MAX(1,N(VLOOKUP(T1329,Parameter!$I$27:$K$29,3,0)),H1329,N(N1329)),IF(N(Q1329)&gt;0,Q1329,MAX(1,H1329)))))</f>
        <v>3500</v>
      </c>
      <c r="BT1329" s="60" t="n">
        <f aca="false">IF(BR1329="LOSE",1,0)</f>
        <v>0</v>
      </c>
      <c r="BU1329" s="60" t="n">
        <f aca="false">IF(AND(U1329="",OR(P1329="",P1329="LOSE"),T1329&lt;&gt;"",N(S1329)&lt;=0,ISNUMBER(MATCH(T1329,Parameter!$I$27:$I$29,0))),1,0)</f>
        <v>0</v>
      </c>
      <c r="BV1329" s="55" t="str">
        <f aca="false">IF(AND(Parameter!$B$19="Ja",E1329&lt;&gt;"",ISNUMBER(MATCH(E1329,Parameter!$I$35:$I$52,0))),VLOOKUP(E1329,Parameter!$I$35:$J$52,2,0),IFERROR(VLOOKUP(D1329,Parameter!$A$35:$C$64,2,0),"Nein"))</f>
        <v>2+3</v>
      </c>
      <c r="BW1329" s="59" t="n">
        <f aca="false">IF(BT1329=0,0,IF(N(S1329)&gt;0,S1329,IFERROR(VLOOKUP(D1329,Parameter!$A$35:$C$64,3,0)+0,0)))</f>
        <v>0</v>
      </c>
      <c r="BX1329" s="55" t="n">
        <f aca="false">IF(AA1329&lt;&gt;"",AA1329,Z1329)</f>
        <v>2</v>
      </c>
      <c r="BY1329" s="55" t="str">
        <f aca="false">IF(BX1329=1,"L1",IF(OR(BX1329=2,BX1329=3),"L23",IF(BX1329="Aussen","Aussen","-")))</f>
        <v>L23</v>
      </c>
      <c r="BZ1329" s="66" t="n">
        <f aca="false">IF(N(AB1329)&gt;0,AB1329,0)</f>
        <v>0</v>
      </c>
      <c r="CA1329" s="60" t="n">
        <f aca="false">IF(ISNUMBER(AE1329),1,0)</f>
        <v>0</v>
      </c>
      <c r="CB1329" s="57" t="n">
        <f aca="false">N(AE1329)</f>
        <v>0</v>
      </c>
      <c r="CC1329" s="57" t="n">
        <f aca="false">N(M1329)+N(N1329)</f>
        <v>3043</v>
      </c>
      <c r="CD1329" s="57" t="n">
        <f aca="false">ROUNDUP(H1329/BS1329,0)</f>
        <v>1</v>
      </c>
      <c r="CE1329" s="57" t="n">
        <f aca="false">ROUNDUP(CB1329/BS1329,0)</f>
        <v>0</v>
      </c>
      <c r="CF1329" s="60" t="n">
        <f aca="false">IF(BT1329=1,0,IFERROR(VLOOKUP(BR1329,'Gebinde-Kategorie'!$A$5:$M$45,5,0)+0,0))</f>
        <v>20</v>
      </c>
      <c r="CG1329" s="60" t="n">
        <f aca="false">IFERROR(IF(OR(BX1329=1,BX1329=2,BX1329=3),N(INDEX(Parameter!$I$5:$I$7,BX1329)),0),0)</f>
        <v>0</v>
      </c>
      <c r="CH1329" s="59" t="n">
        <f aca="false">IF(AND(Parameter!$B$21="Ja",ISNUMBER(W1329),N(X1329)&gt;0),IFERROR(N(INDEX(Parameter!$L$5:$L$7,W1329))*INDEX(Parameter!$E$5:$E$7,W1329)*X1329/SUMIFS($X$7:$X$1843,$W$7:$W$1843,W1329),0),0)</f>
        <v>0</v>
      </c>
    </row>
    <row r="1330" customFormat="false" ht="15" hidden="false" customHeight="false" outlineLevel="0" collapsed="false">
      <c r="A1330" s="55" t="s">
        <v>2360</v>
      </c>
      <c r="B1330" s="55" t="s">
        <v>405</v>
      </c>
      <c r="C1330" s="55" t="s">
        <v>164</v>
      </c>
      <c r="D1330" s="55" t="s">
        <v>173</v>
      </c>
      <c r="E1330" s="55"/>
      <c r="F1330" s="55" t="s">
        <v>218</v>
      </c>
      <c r="G1330" s="56" t="n">
        <v>0.42</v>
      </c>
      <c r="H1330" s="57" t="n">
        <f aca="false">MAX(0,IF(AND(Parameter!$B$21="Ja",ISNUMBER(Y1330)),Y1330,IF(Parameter!$B$20="Jahresanfang 2025 + Export",BL1330+BK1330,BK1330)))</f>
        <v>0</v>
      </c>
      <c r="I1330" s="57" t="n">
        <f aca="false">H1330*G1330</f>
        <v>0</v>
      </c>
      <c r="J1330" s="57" t="n">
        <f aca="false">BN1330*Parameter!$B$18</f>
        <v>18000</v>
      </c>
      <c r="K1330" s="58" t="n">
        <v>3000</v>
      </c>
      <c r="L1330" s="59" t="n">
        <v>6</v>
      </c>
      <c r="M1330" s="57" t="n">
        <v>0</v>
      </c>
      <c r="N1330" s="57" t="n">
        <v>200</v>
      </c>
      <c r="O1330" s="60" t="n">
        <v>21</v>
      </c>
      <c r="P1330" s="55" t="s">
        <v>168</v>
      </c>
      <c r="Q1330" s="57"/>
      <c r="R1330" s="60" t="n">
        <f aca="false">IF(BT1330=1,0,IFERROR(VLOOKUP(BR1330,'Gebinde-Kategorie'!$A$5:$M$45,13,0)+0,0))</f>
        <v>26</v>
      </c>
      <c r="S1330" s="61"/>
      <c r="T1330" s="62" t="s">
        <v>275</v>
      </c>
      <c r="U1330" s="62"/>
      <c r="V1330" s="62"/>
      <c r="W1330" s="55"/>
      <c r="X1330" s="57"/>
      <c r="Y1330" s="57"/>
      <c r="Z1330" s="55" t="n">
        <f aca="false">IF(A1330="","",IF(AND(Parameter!$B$21="Ja",ISNUMBER(W1330)),W1330,IF(BV1330="2+3",IF(ISNUMBER(SEARCH("grosser Artikel",BO1330)),2,IFERROR(VLOOKUP(BR1330,Parameter!$F$35:$G$64,2,0),2)),IF(OR(BV1330="Nein",BV1330=""),"-",BV1330))))</f>
        <v>3</v>
      </c>
      <c r="AA1330" s="62"/>
      <c r="AB1330" s="63"/>
      <c r="AC1330" s="57" t="n">
        <f aca="false">AR1330</f>
        <v>9000</v>
      </c>
      <c r="AD1330" s="57" t="n">
        <f aca="false">MAX(AR1330,H1330)</f>
        <v>9000</v>
      </c>
      <c r="AE1330" s="64"/>
      <c r="AF1330" s="57" t="n">
        <f aca="false">IF(LEFT(Cockpit!$C$5,1)="A",H1330,IF(CA1330=1,CB1330,IF(LEFT(Cockpit!$C$5,1)="B",AJ1330,MAX(AJ1330,H1330))))</f>
        <v>0</v>
      </c>
      <c r="AG1330" s="57" t="n">
        <f aca="false">IF(BT1330=1,0,ROUNDUP(AF1330/BS1330,0))</f>
        <v>0</v>
      </c>
      <c r="AH1330" s="59" t="n">
        <f aca="false">IF(CH1330&gt;0,CH1330*MAX(1,AF1330/X1330),IF(BT1330=1,IF(AF1330&lt;=0,0,BW1330*MAX(1,IF(H1330&gt;0,AF1330/H1330,1))),IF(R1330&gt;0,AG1330/R1330,0))/MAX(0.1,N(Parameter!$M$21)))</f>
        <v>0</v>
      </c>
      <c r="AI1330" s="57" t="n">
        <f aca="false">AF1330*G1330</f>
        <v>0</v>
      </c>
      <c r="AJ1330" s="57" t="n">
        <f aca="false">ROUNDUP(MAX(J1330/IF(BZ1330&gt;0,BZ1330,MAX(0.1,N(Cockpit!$C$6))),CC1330)/BS1330,0)*BS1330</f>
        <v>9000</v>
      </c>
      <c r="AK1330" s="58" t="n">
        <f aca="false">IF(AH1330&gt;0,J1330/AH1330,-1)</f>
        <v>-1</v>
      </c>
      <c r="AL1330" s="58" t="str">
        <f aca="false">IF(AND(OR(BY1330="L1",BY1330="L23"),AH1330&gt;0),SUMIFS($AH$7:$AH$1843,$BY$7:$BY$1843,BY1330,$AK$7:$AK$1843,"&gt;"&amp;AK1330)+SUMIFS($AH$7:$AH$1843,$BY$7:$BY$1843,BY1330,$AK$7:$AK$1843,AK1330,$BQ$7:$BQ$1843,"&lt;="&amp;BQ1330),"")</f>
        <v/>
      </c>
      <c r="AM1330" s="65" t="n">
        <f aca="false">IF(AL1330="",0,MAX(0,MIN(1,(IF(BY1330="L1",Parameter!$E$5,Parameter!$E$6+Parameter!$E$7)-(AL1330-AH1330))/AH1330)))</f>
        <v>0</v>
      </c>
      <c r="AN1330" s="57" t="n">
        <f aca="false">IF(LEFT(Cockpit!$I$5,1)="A",H1330,IF(CA1330=1,CB1330,IF(LEFT(Cockpit!$I$5,1)="B",AR1330,MAX(AR1330,H1330))))</f>
        <v>9000</v>
      </c>
      <c r="AO1330" s="57" t="n">
        <f aca="false">IF(BT1330=1,0,ROUNDUP(AN1330/BS1330,0))</f>
        <v>45</v>
      </c>
      <c r="AP1330" s="59" t="n">
        <f aca="false">IF(CH1330&gt;0,CH1330*MAX(1,AN1330/X1330),IF(BT1330=1,IF(AN1330&lt;=0,0,BW1330*MAX(1,IF(H1330&gt;0,AN1330/H1330,1))),IF(R1330&gt;0,AO1330/R1330,0))/MAX(0.1,N(Parameter!$M$21)))</f>
        <v>1.73076923076923</v>
      </c>
      <c r="AQ1330" s="57" t="n">
        <f aca="false">AN1330*G1330</f>
        <v>3780</v>
      </c>
      <c r="AR1330" s="57" t="n">
        <f aca="false">ROUNDUP(MAX(J1330/IF(BZ1330&gt;0,BZ1330,MAX(0.1,N(Cockpit!$I$6))),CC1330)/BS1330,0)*BS1330</f>
        <v>9000</v>
      </c>
      <c r="AS1330" s="58" t="n">
        <f aca="false">IF(AP1330&gt;0,J1330/AP1330,-1)</f>
        <v>10400</v>
      </c>
      <c r="AT1330" s="58" t="n">
        <f aca="false">IF(AND(OR(BY1330="L1",BY1330="L23"),AP1330&gt;0),SUMIFS($AP$7:$AP$1843,$BY$7:$BY$1843,BY1330,$AS$7:$AS$1843,"&gt;"&amp;AS1330)+SUMIFS($AP$7:$AP$1843,$BY$7:$BY$1843,BY1330,$AS$7:$AS$1843,AS1330,$BQ$7:$BQ$1843,"&lt;="&amp;BQ1330),"")</f>
        <v>7.97740785784264</v>
      </c>
      <c r="AU1330" s="65" t="n">
        <f aca="false">IF(AT1330="",0,MAX(0,MIN(1,(IF(BY1330="L1",Parameter!$E$5,Parameter!$E$6+Parameter!$E$7)-(AT1330-AP1330))/AP1330)))</f>
        <v>1</v>
      </c>
      <c r="AV1330" s="57" t="n">
        <f aca="false">IF(LEFT(Cockpit!$O$5,1)="A",H1330,IF(CA1330=1,CB1330,IF(LEFT(Cockpit!$O$5,1)="B",AZ1330,MAX(AZ1330,H1330))))</f>
        <v>6000</v>
      </c>
      <c r="AW1330" s="57" t="n">
        <f aca="false">IF(BT1330=1,0,ROUNDUP(AV1330/BS1330,0))</f>
        <v>30</v>
      </c>
      <c r="AX1330" s="59" t="n">
        <f aca="false">IF(CH1330&gt;0,CH1330*MAX(1,AV1330/X1330),IF(BT1330=1,IF(AV1330&lt;=0,0,BW1330*MAX(1,IF(H1330&gt;0,AV1330/H1330,1))),IF(R1330&gt;0,AW1330/R1330,0))/MAX(0.1,N(Parameter!$M$21)))</f>
        <v>1.15384615384615</v>
      </c>
      <c r="AY1330" s="57" t="n">
        <f aca="false">AV1330*G1330</f>
        <v>2520</v>
      </c>
      <c r="AZ1330" s="57" t="n">
        <f aca="false">ROUNDUP(MAX(J1330/IF(BZ1330&gt;0,BZ1330,MAX(0.1,N(Cockpit!$O$6))),CC1330)/BS1330,0)*BS1330</f>
        <v>6000</v>
      </c>
      <c r="BA1330" s="58" t="n">
        <f aca="false">IF(AX1330&gt;0,J1330/AX1330,-1)</f>
        <v>15600</v>
      </c>
      <c r="BB1330" s="58" t="n">
        <f aca="false">IF(AND(OR(BY1330="L1",BY1330="L23"),AX1330&gt;0),SUMIFS($AX$7:$AX$1843,$BY$7:$BY$1843,BY1330,$BA$7:$BA$1843,"&gt;"&amp;BA1330)+SUMIFS($AX$7:$AX$1843,$BY$7:$BY$1843,BY1330,$BA$7:$BA$1843,BA1330,$BQ$7:$BQ$1843,"&lt;="&amp;BQ1330),"")</f>
        <v>5.66019729063207</v>
      </c>
      <c r="BC1330" s="65" t="n">
        <f aca="false">IF(BB1330="",0,MAX(0,MIN(1,(IF(BY1330="L1",Parameter!$E$5,Parameter!$E$6+Parameter!$E$7)-(BB1330-AX1330))/AX1330)))</f>
        <v>1</v>
      </c>
      <c r="BD1330" s="55" t="str">
        <f aca="false">IF(AH1330&lt;=0,"",IF(BY1330="Aussen","Aussenlager",IF(BY1330="-","Nicht im Lift",IF(AM1330&gt;=1,"Lift",IF(AM1330&lt;=0,"Aussenlager","teilweise")))))</f>
        <v/>
      </c>
      <c r="BE1330" s="55" t="str">
        <f aca="false">IF(AP1330&lt;=0,"",IF(BY1330="Aussen","Aussenlager",IF(BY1330="-","Nicht im Lift",IF(AU1330&gt;=1,"Lift",IF(AU1330&lt;=0,"Aussenlager","teilweise")))))</f>
        <v>Lift</v>
      </c>
      <c r="BF1330" s="55" t="str">
        <f aca="false">IF(AX1330&lt;=0,"",IF(BY1330="Aussen","Aussenlager",IF(BY1330="-","Nicht im Lift",IF(BC1330&gt;=1,"Lift",IF(BC1330&lt;=0,"Aussenlager","teilweise")))))</f>
        <v>Lift</v>
      </c>
      <c r="BG1330" s="55" t="str">
        <f aca="false">IF(A1330="","",IF(BP1330=1,"Neu; ","")&amp;IF(AND(BP1330=0,BK1330&lt;0),"negativer Bestand (Export "&amp;BK1330&amp;"); ","")&amp;IF(J1330&lt;=0,"Kein Verbrauch; ","")&amp;IF(CH1330&gt;0,"Lift "&amp;W1330&amp;" lt. Liftbericht (Fach "&amp;X1330&amp;" Stk); ",IF(BU1330=1,"Gebinde geschätzt ("&amp;T1330&amp;"); ",IF(BT1330=1,"Lose – Tablare geschätzt; ","")))&amp;IF(H1330&gt;AR1330,"Überbestand "&amp;ROUND(H1330-AR1330,0)&amp;" Stk / CHF "&amp;ROUND((H1330-AR1330)*G1330,0)&amp;"; ","")&amp;IF(AND(CA1330=1,CB1330&lt;CC1330),"MAX &lt; MB+LG; ","")&amp;IF(AND(CG1330&gt;0,CF1330*10&gt;CG1330),"zu hoch für Tablar; ","")&amp;IF(AND(BP1330=0,OR(CA1330=1,AA1330&lt;&gt;"",U1330&lt;&gt;"",V1330&lt;&gt;"",AB1330&lt;&gt;"")),"manuell übersteuert; ","")&amp;IF(AND(BT1330=0,R1330=0),"Gebinde unbekannt / Stellmass fehlt; ","")&amp;IF(AND(BT1330=0,N(V1330)&lt;=0,N(Q1330)&lt;=0),"Menge pro Gebinde fehlt (Ist = 1 Gebinde); ","")&amp;BO1330)</f>
        <v>negativer Bestand (Export -4000); Gebinde geschätzt (Klein); Menge pro Gebinde fehlt (Ist = 1 Gebinde); </v>
      </c>
      <c r="BH1330" s="55"/>
      <c r="BI1330" s="55"/>
      <c r="BJ1330" s="62"/>
      <c r="BK1330" s="57" t="n">
        <v>-4000</v>
      </c>
      <c r="BL1330" s="57" t="n">
        <v>4000</v>
      </c>
      <c r="BM1330" s="56" t="n">
        <v>-1560</v>
      </c>
      <c r="BN1330" s="57" t="n">
        <v>18000</v>
      </c>
      <c r="BO1330" s="55"/>
      <c r="BP1330" s="60" t="n">
        <v>0</v>
      </c>
      <c r="BQ1330" s="60" t="n">
        <v>1330</v>
      </c>
      <c r="BR1330" s="55" t="str">
        <f aca="false">IF(U1330&lt;&gt;"",UPPER(TRIM(U1330)),IF(BU1330=1,UPPER(VLOOKUP(T1330,Parameter!$I$27:$K$29,2,0)),IF(P1330="","LOSE",P1330)))</f>
        <v>S51</v>
      </c>
      <c r="BS1330" s="57" t="n">
        <f aca="false">IF(BR1330="LOSE",1,IF(N(V1330)&gt;0,V1330,IF(BU1330=1,MAX(1,N(VLOOKUP(T1330,Parameter!$I$27:$K$29,3,0)),H1330,N(N1330)),IF(N(Q1330)&gt;0,Q1330,MAX(1,H1330)))))</f>
        <v>200</v>
      </c>
      <c r="BT1330" s="60" t="n">
        <f aca="false">IF(BR1330="LOSE",1,0)</f>
        <v>0</v>
      </c>
      <c r="BU1330" s="60" t="n">
        <f aca="false">IF(AND(U1330="",OR(P1330="",P1330="LOSE"),T1330&lt;&gt;"",N(S1330)&lt;=0,ISNUMBER(MATCH(T1330,Parameter!$I$27:$I$29,0))),1,0)</f>
        <v>1</v>
      </c>
      <c r="BV1330" s="55" t="str">
        <f aca="false">IF(AND(Parameter!$B$19="Ja",E1330&lt;&gt;"",ISNUMBER(MATCH(E1330,Parameter!$I$35:$I$52,0))),VLOOKUP(E1330,Parameter!$I$35:$J$52,2,0),IFERROR(VLOOKUP(D1330,Parameter!$A$35:$C$64,2,0),"Nein"))</f>
        <v>2+3</v>
      </c>
      <c r="BW1330" s="59" t="n">
        <f aca="false">IF(BT1330=0,0,IF(N(S1330)&gt;0,S1330,IFERROR(VLOOKUP(D1330,Parameter!$A$35:$C$64,3,0)+0,0)))</f>
        <v>0</v>
      </c>
      <c r="BX1330" s="55" t="n">
        <f aca="false">IF(AA1330&lt;&gt;"",AA1330,Z1330)</f>
        <v>3</v>
      </c>
      <c r="BY1330" s="55" t="str">
        <f aca="false">IF(BX1330=1,"L1",IF(OR(BX1330=2,BX1330=3),"L23",IF(BX1330="Aussen","Aussen","-")))</f>
        <v>L23</v>
      </c>
      <c r="BZ1330" s="66" t="n">
        <f aca="false">IF(N(AB1330)&gt;0,AB1330,0)</f>
        <v>0</v>
      </c>
      <c r="CA1330" s="60" t="n">
        <f aca="false">IF(ISNUMBER(AE1330),1,0)</f>
        <v>0</v>
      </c>
      <c r="CB1330" s="57" t="n">
        <f aca="false">N(AE1330)</f>
        <v>0</v>
      </c>
      <c r="CC1330" s="57" t="n">
        <f aca="false">N(M1330)+N(N1330)</f>
        <v>200</v>
      </c>
      <c r="CD1330" s="57" t="n">
        <f aca="false">ROUNDUP(H1330/BS1330,0)</f>
        <v>0</v>
      </c>
      <c r="CE1330" s="57" t="n">
        <f aca="false">ROUNDUP(CB1330/BS1330,0)</f>
        <v>0</v>
      </c>
      <c r="CF1330" s="60" t="n">
        <f aca="false">IF(BT1330=1,0,IFERROR(VLOOKUP(BR1330,'Gebinde-Kategorie'!$A$5:$M$45,5,0)+0,0))</f>
        <v>11</v>
      </c>
      <c r="CG1330" s="60" t="n">
        <f aca="false">IFERROR(IF(OR(BX1330=1,BX1330=2,BX1330=3),N(INDEX(Parameter!$I$5:$I$7,BX1330)),0),0)</f>
        <v>0</v>
      </c>
      <c r="CH1330" s="59" t="n">
        <f aca="false">IF(AND(Parameter!$B$21="Ja",ISNUMBER(W1330),N(X1330)&gt;0),IFERROR(N(INDEX(Parameter!$L$5:$L$7,W1330))*INDEX(Parameter!$E$5:$E$7,W1330)*X1330/SUMIFS($X$7:$X$1843,$W$7:$W$1843,W1330),0),0)</f>
        <v>0</v>
      </c>
    </row>
    <row r="1331" customFormat="false" ht="15" hidden="false" customHeight="false" outlineLevel="0" collapsed="false">
      <c r="A1331" s="55" t="s">
        <v>2361</v>
      </c>
      <c r="B1331" s="55" t="s">
        <v>2362</v>
      </c>
      <c r="C1331" s="55" t="s">
        <v>164</v>
      </c>
      <c r="D1331" s="55" t="s">
        <v>184</v>
      </c>
      <c r="E1331" s="55"/>
      <c r="F1331" s="55" t="s">
        <v>218</v>
      </c>
      <c r="G1331" s="56" t="n">
        <v>29.51</v>
      </c>
      <c r="H1331" s="57" t="n">
        <f aca="false">MAX(0,IF(AND(Parameter!$B$21="Ja",ISNUMBER(Y1331)),Y1331,IF(Parameter!$B$20="Jahresanfang 2025 + Export",BL1331+BK1331,BK1331)))</f>
        <v>4</v>
      </c>
      <c r="I1331" s="57" t="n">
        <f aca="false">H1331*G1331</f>
        <v>118.04</v>
      </c>
      <c r="J1331" s="57" t="n">
        <f aca="false">BN1331*Parameter!$B$18</f>
        <v>3</v>
      </c>
      <c r="K1331" s="58" t="n">
        <v>56</v>
      </c>
      <c r="L1331" s="59" t="n">
        <v>0.0535714285714286</v>
      </c>
      <c r="M1331" s="57" t="n">
        <v>0</v>
      </c>
      <c r="N1331" s="57" t="n">
        <v>5</v>
      </c>
      <c r="O1331" s="60" t="n">
        <v>28</v>
      </c>
      <c r="P1331" s="55" t="s">
        <v>302</v>
      </c>
      <c r="Q1331" s="57" t="n">
        <v>25</v>
      </c>
      <c r="R1331" s="60" t="n">
        <f aca="false">IF(BT1331=1,0,IFERROR(VLOOKUP(BR1331,'Gebinde-Kategorie'!$A$5:$M$45,13,0)+0,0))</f>
        <v>26</v>
      </c>
      <c r="S1331" s="61"/>
      <c r="T1331" s="62"/>
      <c r="U1331" s="62"/>
      <c r="V1331" s="62"/>
      <c r="W1331" s="55"/>
      <c r="X1331" s="57"/>
      <c r="Y1331" s="57"/>
      <c r="Z1331" s="55" t="n">
        <f aca="false">IF(A1331="","",IF(AND(Parameter!$B$21="Ja",ISNUMBER(W1331)),W1331,IF(BV1331="2+3",IF(ISNUMBER(SEARCH("grosser Artikel",BO1331)),2,IFERROR(VLOOKUP(BR1331,Parameter!$F$35:$G$64,2,0),2)),IF(OR(BV1331="Nein",BV1331=""),"-",BV1331))))</f>
        <v>3</v>
      </c>
      <c r="AA1331" s="62"/>
      <c r="AB1331" s="63"/>
      <c r="AC1331" s="57" t="n">
        <f aca="false">AR1331</f>
        <v>25</v>
      </c>
      <c r="AD1331" s="57" t="n">
        <f aca="false">MAX(AR1331,H1331)</f>
        <v>25</v>
      </c>
      <c r="AE1331" s="64"/>
      <c r="AF1331" s="57" t="n">
        <f aca="false">IF(LEFT(Cockpit!$C$5,1)="A",H1331,IF(CA1331=1,CB1331,IF(LEFT(Cockpit!$C$5,1)="B",AJ1331,MAX(AJ1331,H1331))))</f>
        <v>4</v>
      </c>
      <c r="AG1331" s="57" t="n">
        <f aca="false">IF(BT1331=1,0,ROUNDUP(AF1331/BS1331,0))</f>
        <v>1</v>
      </c>
      <c r="AH1331" s="59" t="n">
        <f aca="false">IF(CH1331&gt;0,CH1331*MAX(1,AF1331/X1331),IF(BT1331=1,IF(AF1331&lt;=0,0,BW1331*MAX(1,IF(H1331&gt;0,AF1331/H1331,1))),IF(R1331&gt;0,AG1331/R1331,0))/MAX(0.1,N(Parameter!$M$21)))</f>
        <v>0.0384615384615385</v>
      </c>
      <c r="AI1331" s="57" t="n">
        <f aca="false">AF1331*G1331</f>
        <v>118.04</v>
      </c>
      <c r="AJ1331" s="57" t="n">
        <f aca="false">ROUNDUP(MAX(J1331/IF(BZ1331&gt;0,BZ1331,MAX(0.1,N(Cockpit!$C$6))),CC1331)/BS1331,0)*BS1331</f>
        <v>25</v>
      </c>
      <c r="AK1331" s="58" t="n">
        <f aca="false">IF(AH1331&gt;0,J1331/AH1331,-1)</f>
        <v>78</v>
      </c>
      <c r="AL1331" s="58" t="n">
        <f aca="false">IF(AND(OR(BY1331="L1",BY1331="L23"),AH1331&gt;0),SUMIFS($AH$7:$AH$1843,$BY$7:$BY$1843,BY1331,$AK$7:$AK$1843,"&gt;"&amp;AK1331)+SUMIFS($AH$7:$AH$1843,$BY$7:$BY$1843,BY1331,$AK$7:$AK$1843,AK1331,$BQ$7:$BQ$1843,"&lt;="&amp;BQ1331),"")</f>
        <v>41.4745447788926</v>
      </c>
      <c r="AM1331" s="65" t="n">
        <f aca="false">IF(AL1331="",0,MAX(0,MIN(1,(IF(BY1331="L1",Parameter!$E$5,Parameter!$E$6+Parameter!$E$7)-(AL1331-AH1331))/AH1331)))</f>
        <v>1</v>
      </c>
      <c r="AN1331" s="57" t="n">
        <f aca="false">IF(LEFT(Cockpit!$I$5,1)="A",H1331,IF(CA1331=1,CB1331,IF(LEFT(Cockpit!$I$5,1)="B",AR1331,MAX(AR1331,H1331))))</f>
        <v>25</v>
      </c>
      <c r="AO1331" s="57" t="n">
        <f aca="false">IF(BT1331=1,0,ROUNDUP(AN1331/BS1331,0))</f>
        <v>1</v>
      </c>
      <c r="AP1331" s="59" t="n">
        <f aca="false">IF(CH1331&gt;0,CH1331*MAX(1,AN1331/X1331),IF(BT1331=1,IF(AN1331&lt;=0,0,BW1331*MAX(1,IF(H1331&gt;0,AN1331/H1331,1))),IF(R1331&gt;0,AO1331/R1331,0))/MAX(0.1,N(Parameter!$M$21)))</f>
        <v>0.0384615384615385</v>
      </c>
      <c r="AQ1331" s="57" t="n">
        <f aca="false">AN1331*G1331</f>
        <v>737.75</v>
      </c>
      <c r="AR1331" s="57" t="n">
        <f aca="false">ROUNDUP(MAX(J1331/IF(BZ1331&gt;0,BZ1331,MAX(0.1,N(Cockpit!$I$6))),CC1331)/BS1331,0)*BS1331</f>
        <v>25</v>
      </c>
      <c r="AS1331" s="58" t="n">
        <f aca="false">IF(AP1331&gt;0,J1331/AP1331,-1)</f>
        <v>78</v>
      </c>
      <c r="AT1331" s="58" t="n">
        <f aca="false">IF(AND(OR(BY1331="L1",BY1331="L23"),AP1331&gt;0),SUMIFS($AP$7:$AP$1843,$BY$7:$BY$1843,BY1331,$AS$7:$AS$1843,"&gt;"&amp;AS1331)+SUMIFS($AP$7:$AP$1843,$BY$7:$BY$1843,BY1331,$AS$7:$AS$1843,AS1331,$BQ$7:$BQ$1843,"&lt;="&amp;BQ1331),"")</f>
        <v>63.5525151177325</v>
      </c>
      <c r="AU1331" s="65" t="n">
        <f aca="false">IF(AT1331="",0,MAX(0,MIN(1,(IF(BY1331="L1",Parameter!$E$5,Parameter!$E$6+Parameter!$E$7)-(AT1331-AP1331))/AP1331)))</f>
        <v>1</v>
      </c>
      <c r="AV1331" s="57" t="n">
        <f aca="false">IF(LEFT(Cockpit!$O$5,1)="A",H1331,IF(CA1331=1,CB1331,IF(LEFT(Cockpit!$O$5,1)="B",AZ1331,MAX(AZ1331,H1331))))</f>
        <v>25</v>
      </c>
      <c r="AW1331" s="57" t="n">
        <f aca="false">IF(BT1331=1,0,ROUNDUP(AV1331/BS1331,0))</f>
        <v>1</v>
      </c>
      <c r="AX1331" s="59" t="n">
        <f aca="false">IF(CH1331&gt;0,CH1331*MAX(1,AV1331/X1331),IF(BT1331=1,IF(AV1331&lt;=0,0,BW1331*MAX(1,IF(H1331&gt;0,AV1331/H1331,1))),IF(R1331&gt;0,AW1331/R1331,0))/MAX(0.1,N(Parameter!$M$21)))</f>
        <v>0.0384615384615385</v>
      </c>
      <c r="AY1331" s="57" t="n">
        <f aca="false">AV1331*G1331</f>
        <v>737.75</v>
      </c>
      <c r="AZ1331" s="57" t="n">
        <f aca="false">ROUNDUP(MAX(J1331/IF(BZ1331&gt;0,BZ1331,MAX(0.1,N(Cockpit!$O$6))),CC1331)/BS1331,0)*BS1331</f>
        <v>25</v>
      </c>
      <c r="BA1331" s="58" t="n">
        <f aca="false">IF(AX1331&gt;0,J1331/AX1331,-1)</f>
        <v>78</v>
      </c>
      <c r="BB1331" s="58" t="n">
        <f aca="false">IF(AND(OR(BY1331="L1",BY1331="L23"),AX1331&gt;0),SUMIFS($AX$7:$AX$1843,$BY$7:$BY$1843,BY1331,$BA$7:$BA$1843,"&gt;"&amp;BA1331)+SUMIFS($AX$7:$AX$1843,$BY$7:$BY$1843,BY1331,$BA$7:$BA$1843,BA1331,$BQ$7:$BQ$1843,"&lt;="&amp;BQ1331),"")</f>
        <v>58.049018614236</v>
      </c>
      <c r="BC1331" s="65" t="n">
        <f aca="false">IF(BB1331="",0,MAX(0,MIN(1,(IF(BY1331="L1",Parameter!$E$5,Parameter!$E$6+Parameter!$E$7)-(BB1331-AX1331))/AX1331)))</f>
        <v>1</v>
      </c>
      <c r="BD1331" s="55" t="str">
        <f aca="false">IF(AH1331&lt;=0,"",IF(BY1331="Aussen","Aussenlager",IF(BY1331="-","Nicht im Lift",IF(AM1331&gt;=1,"Lift",IF(AM1331&lt;=0,"Aussenlager","teilweise")))))</f>
        <v>Lift</v>
      </c>
      <c r="BE1331" s="55" t="str">
        <f aca="false">IF(AP1331&lt;=0,"",IF(BY1331="Aussen","Aussenlager",IF(BY1331="-","Nicht im Lift",IF(AU1331&gt;=1,"Lift",IF(AU1331&lt;=0,"Aussenlager","teilweise")))))</f>
        <v>Lift</v>
      </c>
      <c r="BF1331" s="55" t="str">
        <f aca="false">IF(AX1331&lt;=0,"",IF(BY1331="Aussen","Aussenlager",IF(BY1331="-","Nicht im Lift",IF(BC1331&gt;=1,"Lift",IF(BC1331&lt;=0,"Aussenlager","teilweise")))))</f>
        <v>Lift</v>
      </c>
      <c r="BG1331" s="55" t="str">
        <f aca="false">IF(A1331="","",IF(BP1331=1,"Neu; ","")&amp;IF(AND(BP1331=0,BK1331&lt;0),"negativer Bestand (Export "&amp;BK1331&amp;"); ","")&amp;IF(J1331&lt;=0,"Kein Verbrauch; ","")&amp;IF(CH1331&gt;0,"Lift "&amp;W1331&amp;" lt. Liftbericht (Fach "&amp;X1331&amp;" Stk); ",IF(BU1331=1,"Gebinde geschätzt ("&amp;T1331&amp;"); ",IF(BT1331=1,"Lose – Tablare geschätzt; ","")))&amp;IF(H1331&gt;AR1331,"Überbestand "&amp;ROUND(H1331-AR1331,0)&amp;" Stk / CHF "&amp;ROUND((H1331-AR1331)*G1331,0)&amp;"; ","")&amp;IF(AND(CA1331=1,CB1331&lt;CC1331),"MAX &lt; MB+LG; ","")&amp;IF(AND(CG1331&gt;0,CF1331*10&gt;CG1331),"zu hoch für Tablar; ","")&amp;IF(AND(BP1331=0,OR(CA1331=1,AA1331&lt;&gt;"",U1331&lt;&gt;"",V1331&lt;&gt;"",AB1331&lt;&gt;"")),"manuell übersteuert; ","")&amp;IF(AND(BT1331=0,R1331=0),"Gebinde unbekannt / Stellmass fehlt; ","")&amp;IF(AND(BT1331=0,N(V1331)&lt;=0,N(Q1331)&lt;=0),"Menge pro Gebinde fehlt (Ist = 1 Gebinde); ","")&amp;BO1331)</f>
        <v>negativer Bestand (Export -54); i.o</v>
      </c>
      <c r="BH1331" s="55"/>
      <c r="BI1331" s="55"/>
      <c r="BJ1331" s="62"/>
      <c r="BK1331" s="57" t="n">
        <v>-54</v>
      </c>
      <c r="BL1331" s="57" t="n">
        <v>58</v>
      </c>
      <c r="BM1331" s="56" t="n">
        <v>-1593.54</v>
      </c>
      <c r="BN1331" s="57" t="n">
        <v>3</v>
      </c>
      <c r="BO1331" s="55" t="s">
        <v>536</v>
      </c>
      <c r="BP1331" s="60" t="n">
        <v>0</v>
      </c>
      <c r="BQ1331" s="60" t="n">
        <v>1331</v>
      </c>
      <c r="BR1331" s="55" t="str">
        <f aca="false">IF(U1331&lt;&gt;"",UPPER(TRIM(U1331)),IF(BU1331=1,UPPER(VLOOKUP(T1331,Parameter!$I$27:$K$29,2,0)),IF(P1331="","LOSE",P1331)))</f>
        <v>S51</v>
      </c>
      <c r="BS1331" s="57" t="n">
        <f aca="false">IF(BR1331="LOSE",1,IF(N(V1331)&gt;0,V1331,IF(BU1331=1,MAX(1,N(VLOOKUP(T1331,Parameter!$I$27:$K$29,3,0)),H1331,N(N1331)),IF(N(Q1331)&gt;0,Q1331,MAX(1,H1331)))))</f>
        <v>25</v>
      </c>
      <c r="BT1331" s="60" t="n">
        <f aca="false">IF(BR1331="LOSE",1,0)</f>
        <v>0</v>
      </c>
      <c r="BU1331" s="60" t="n">
        <f aca="false">IF(AND(U1331="",OR(P1331="",P1331="LOSE"),T1331&lt;&gt;"",N(S1331)&lt;=0,ISNUMBER(MATCH(T1331,Parameter!$I$27:$I$29,0))),1,0)</f>
        <v>0</v>
      </c>
      <c r="BV1331" s="55" t="str">
        <f aca="false">IF(AND(Parameter!$B$19="Ja",E1331&lt;&gt;"",ISNUMBER(MATCH(E1331,Parameter!$I$35:$I$52,0))),VLOOKUP(E1331,Parameter!$I$35:$J$52,2,0),IFERROR(VLOOKUP(D1331,Parameter!$A$35:$C$64,2,0),"Nein"))</f>
        <v>2+3</v>
      </c>
      <c r="BW1331" s="59" t="n">
        <f aca="false">IF(BT1331=0,0,IF(N(S1331)&gt;0,S1331,IFERROR(VLOOKUP(D1331,Parameter!$A$35:$C$64,3,0)+0,0)))</f>
        <v>0</v>
      </c>
      <c r="BX1331" s="55" t="n">
        <f aca="false">IF(AA1331&lt;&gt;"",AA1331,Z1331)</f>
        <v>3</v>
      </c>
      <c r="BY1331" s="55" t="str">
        <f aca="false">IF(BX1331=1,"L1",IF(OR(BX1331=2,BX1331=3),"L23",IF(BX1331="Aussen","Aussen","-")))</f>
        <v>L23</v>
      </c>
      <c r="BZ1331" s="66" t="n">
        <f aca="false">IF(N(AB1331)&gt;0,AB1331,0)</f>
        <v>0</v>
      </c>
      <c r="CA1331" s="60" t="n">
        <f aca="false">IF(ISNUMBER(AE1331),1,0)</f>
        <v>0</v>
      </c>
      <c r="CB1331" s="57" t="n">
        <f aca="false">N(AE1331)</f>
        <v>0</v>
      </c>
      <c r="CC1331" s="57" t="n">
        <f aca="false">N(M1331)+N(N1331)</f>
        <v>5</v>
      </c>
      <c r="CD1331" s="57" t="n">
        <f aca="false">ROUNDUP(H1331/BS1331,0)</f>
        <v>1</v>
      </c>
      <c r="CE1331" s="57" t="n">
        <f aca="false">ROUNDUP(CB1331/BS1331,0)</f>
        <v>0</v>
      </c>
      <c r="CF1331" s="60" t="n">
        <f aca="false">IF(BT1331=1,0,IFERROR(VLOOKUP(BR1331,'Gebinde-Kategorie'!$A$5:$M$45,5,0)+0,0))</f>
        <v>11</v>
      </c>
      <c r="CG1331" s="60" t="n">
        <f aca="false">IFERROR(IF(OR(BX1331=1,BX1331=2,BX1331=3),N(INDEX(Parameter!$I$5:$I$7,BX1331)),0),0)</f>
        <v>0</v>
      </c>
      <c r="CH1331" s="59" t="n">
        <f aca="false">IF(AND(Parameter!$B$21="Ja",ISNUMBER(W1331),N(X1331)&gt;0),IFERROR(N(INDEX(Parameter!$L$5:$L$7,W1331))*INDEX(Parameter!$E$5:$E$7,W1331)*X1331/SUMIFS($X$7:$X$1843,$W$7:$W$1843,W1331),0),0)</f>
        <v>0</v>
      </c>
    </row>
    <row r="1332" customFormat="false" ht="15" hidden="false" customHeight="false" outlineLevel="0" collapsed="false">
      <c r="A1332" s="55" t="s">
        <v>2363</v>
      </c>
      <c r="B1332" s="55" t="s">
        <v>405</v>
      </c>
      <c r="C1332" s="55" t="s">
        <v>164</v>
      </c>
      <c r="D1332" s="55" t="s">
        <v>173</v>
      </c>
      <c r="E1332" s="55" t="s">
        <v>185</v>
      </c>
      <c r="F1332" s="55" t="s">
        <v>218</v>
      </c>
      <c r="G1332" s="56" t="n">
        <v>0.57</v>
      </c>
      <c r="H1332" s="57" t="n">
        <f aca="false">MAX(0,IF(AND(Parameter!$B$21="Ja",ISNUMBER(Y1332)),Y1332,IF(Parameter!$B$20="Jahresanfang 2025 + Export",BL1332+BK1332,BK1332)))</f>
        <v>467</v>
      </c>
      <c r="I1332" s="57" t="n">
        <f aca="false">H1332*G1332</f>
        <v>266.19</v>
      </c>
      <c r="J1332" s="57" t="n">
        <f aca="false">BN1332*Parameter!$B$18</f>
        <v>4436</v>
      </c>
      <c r="K1332" s="58" t="n">
        <v>2976</v>
      </c>
      <c r="L1332" s="59" t="n">
        <v>1.49059139784946</v>
      </c>
      <c r="M1332" s="57" t="n">
        <v>258</v>
      </c>
      <c r="N1332" s="57" t="n">
        <v>1000</v>
      </c>
      <c r="O1332" s="60" t="n">
        <v>21</v>
      </c>
      <c r="P1332" s="55" t="s">
        <v>174</v>
      </c>
      <c r="Q1332" s="57" t="n">
        <v>1109</v>
      </c>
      <c r="R1332" s="60" t="n">
        <f aca="false">IF(BT1332=1,0,IFERROR(VLOOKUP(BR1332,'Gebinde-Kategorie'!$A$5:$M$45,13,0)+0,0))</f>
        <v>6</v>
      </c>
      <c r="S1332" s="61"/>
      <c r="T1332" s="62"/>
      <c r="U1332" s="62"/>
      <c r="V1332" s="62"/>
      <c r="W1332" s="55"/>
      <c r="X1332" s="57"/>
      <c r="Y1332" s="57"/>
      <c r="Z1332" s="55" t="n">
        <f aca="false">IF(A1332="","",IF(AND(Parameter!$B$21="Ja",ISNUMBER(W1332)),W1332,IF(BV1332="2+3",IF(ISNUMBER(SEARCH("grosser Artikel",BO1332)),2,IFERROR(VLOOKUP(BR1332,Parameter!$F$35:$G$64,2,0),2)),IF(OR(BV1332="Nein",BV1332=""),"-",BV1332))))</f>
        <v>2</v>
      </c>
      <c r="AA1332" s="62"/>
      <c r="AB1332" s="63"/>
      <c r="AC1332" s="57" t="n">
        <f aca="false">AR1332</f>
        <v>2218</v>
      </c>
      <c r="AD1332" s="57" t="n">
        <f aca="false">MAX(AR1332,H1332)</f>
        <v>2218</v>
      </c>
      <c r="AE1332" s="64"/>
      <c r="AF1332" s="57" t="n">
        <f aca="false">IF(LEFT(Cockpit!$C$5,1)="A",H1332,IF(CA1332=1,CB1332,IF(LEFT(Cockpit!$C$5,1)="B",AJ1332,MAX(AJ1332,H1332))))</f>
        <v>467</v>
      </c>
      <c r="AG1332" s="57" t="n">
        <f aca="false">IF(BT1332=1,0,ROUNDUP(AF1332/BS1332,0))</f>
        <v>1</v>
      </c>
      <c r="AH1332" s="59" t="n">
        <f aca="false">IF(CH1332&gt;0,CH1332*MAX(1,AF1332/X1332),IF(BT1332=1,IF(AF1332&lt;=0,0,BW1332*MAX(1,IF(H1332&gt;0,AF1332/H1332,1))),IF(R1332&gt;0,AG1332/R1332,0))/MAX(0.1,N(Parameter!$M$21)))</f>
        <v>0.166666666666667</v>
      </c>
      <c r="AI1332" s="57" t="n">
        <f aca="false">AF1332*G1332</f>
        <v>266.19</v>
      </c>
      <c r="AJ1332" s="57" t="n">
        <f aca="false">ROUNDUP(MAX(J1332/IF(BZ1332&gt;0,BZ1332,MAX(0.1,N(Cockpit!$C$6))),CC1332)/BS1332,0)*BS1332</f>
        <v>2218</v>
      </c>
      <c r="AK1332" s="58" t="n">
        <f aca="false">IF(AH1332&gt;0,J1332/AH1332,-1)</f>
        <v>26616</v>
      </c>
      <c r="AL1332" s="58" t="n">
        <f aca="false">IF(AND(OR(BY1332="L1",BY1332="L23"),AH1332&gt;0),SUMIFS($AH$7:$AH$1843,$BY$7:$BY$1843,BY1332,$AK$7:$AK$1843,"&gt;"&amp;AK1332)+SUMIFS($AH$7:$AH$1843,$BY$7:$BY$1843,BY1332,$AK$7:$AK$1843,AK1332,$BQ$7:$BQ$1843,"&lt;="&amp;BQ1332),"")</f>
        <v>2.74267761224283</v>
      </c>
      <c r="AM1332" s="65" t="n">
        <f aca="false">IF(AL1332="",0,MAX(0,MIN(1,(IF(BY1332="L1",Parameter!$E$5,Parameter!$E$6+Parameter!$E$7)-(AL1332-AH1332))/AH1332)))</f>
        <v>1</v>
      </c>
      <c r="AN1332" s="57" t="n">
        <f aca="false">IF(LEFT(Cockpit!$I$5,1)="A",H1332,IF(CA1332=1,CB1332,IF(LEFT(Cockpit!$I$5,1)="B",AR1332,MAX(AR1332,H1332))))</f>
        <v>2218</v>
      </c>
      <c r="AO1332" s="57" t="n">
        <f aca="false">IF(BT1332=1,0,ROUNDUP(AN1332/BS1332,0))</f>
        <v>2</v>
      </c>
      <c r="AP1332" s="59" t="n">
        <f aca="false">IF(CH1332&gt;0,CH1332*MAX(1,AN1332/X1332),IF(BT1332=1,IF(AN1332&lt;=0,0,BW1332*MAX(1,IF(H1332&gt;0,AN1332/H1332,1))),IF(R1332&gt;0,AO1332/R1332,0))/MAX(0.1,N(Parameter!$M$21)))</f>
        <v>0.333333333333333</v>
      </c>
      <c r="AQ1332" s="57" t="n">
        <f aca="false">AN1332*G1332</f>
        <v>1264.26</v>
      </c>
      <c r="AR1332" s="57" t="n">
        <f aca="false">ROUNDUP(MAX(J1332/IF(BZ1332&gt;0,BZ1332,MAX(0.1,N(Cockpit!$I$6))),CC1332)/BS1332,0)*BS1332</f>
        <v>2218</v>
      </c>
      <c r="AS1332" s="58" t="n">
        <f aca="false">IF(AP1332&gt;0,J1332/AP1332,-1)</f>
        <v>13308</v>
      </c>
      <c r="AT1332" s="58" t="n">
        <f aca="false">IF(AND(OR(BY1332="L1",BY1332="L23"),AP1332&gt;0),SUMIFS($AP$7:$AP$1843,$BY$7:$BY$1843,BY1332,$AS$7:$AS$1843,"&gt;"&amp;AS1332)+SUMIFS($AP$7:$AP$1843,$BY$7:$BY$1843,BY1332,$AS$7:$AS$1843,AS1332,$BQ$7:$BQ$1843,"&lt;="&amp;BQ1332),"")</f>
        <v>5.29364717408196</v>
      </c>
      <c r="AU1332" s="65" t="n">
        <f aca="false">IF(AT1332="",0,MAX(0,MIN(1,(IF(BY1332="L1",Parameter!$E$5,Parameter!$E$6+Parameter!$E$7)-(AT1332-AP1332))/AP1332)))</f>
        <v>1</v>
      </c>
      <c r="AV1332" s="57" t="n">
        <f aca="false">IF(LEFT(Cockpit!$O$5,1)="A",H1332,IF(CA1332=1,CB1332,IF(LEFT(Cockpit!$O$5,1)="B",AZ1332,MAX(AZ1332,H1332))))</f>
        <v>2218</v>
      </c>
      <c r="AW1332" s="57" t="n">
        <f aca="false">IF(BT1332=1,0,ROUNDUP(AV1332/BS1332,0))</f>
        <v>2</v>
      </c>
      <c r="AX1332" s="59" t="n">
        <f aca="false">IF(CH1332&gt;0,CH1332*MAX(1,AV1332/X1332),IF(BT1332=1,IF(AV1332&lt;=0,0,BW1332*MAX(1,IF(H1332&gt;0,AV1332/H1332,1))),IF(R1332&gt;0,AW1332/R1332,0))/MAX(0.1,N(Parameter!$M$21)))</f>
        <v>0.333333333333333</v>
      </c>
      <c r="AY1332" s="57" t="n">
        <f aca="false">AV1332*G1332</f>
        <v>1264.26</v>
      </c>
      <c r="AZ1332" s="57" t="n">
        <f aca="false">ROUNDUP(MAX(J1332/IF(BZ1332&gt;0,BZ1332,MAX(0.1,N(Cockpit!$O$6))),CC1332)/BS1332,0)*BS1332</f>
        <v>2218</v>
      </c>
      <c r="BA1332" s="58" t="n">
        <f aca="false">IF(AX1332&gt;0,J1332/AX1332,-1)</f>
        <v>13308</v>
      </c>
      <c r="BB1332" s="58" t="n">
        <f aca="false">IF(AND(OR(BY1332="L1",BY1332="L23"),AX1332&gt;0),SUMIFS($AX$7:$AX$1843,$BY$7:$BY$1843,BY1332,$BA$7:$BA$1843,"&gt;"&amp;BA1332)+SUMIFS($AX$7:$AX$1843,$BY$7:$BY$1843,BY1332,$BA$7:$BA$1843,BA1332,$BQ$7:$BQ$1843,"&lt;="&amp;BQ1332),"")</f>
        <v>6.29015067058545</v>
      </c>
      <c r="BC1332" s="65" t="n">
        <f aca="false">IF(BB1332="",0,MAX(0,MIN(1,(IF(BY1332="L1",Parameter!$E$5,Parameter!$E$6+Parameter!$E$7)-(BB1332-AX1332))/AX1332)))</f>
        <v>1</v>
      </c>
      <c r="BD1332" s="55" t="str">
        <f aca="false">IF(AH1332&lt;=0,"",IF(BY1332="Aussen","Aussenlager",IF(BY1332="-","Nicht im Lift",IF(AM1332&gt;=1,"Lift",IF(AM1332&lt;=0,"Aussenlager","teilweise")))))</f>
        <v>Lift</v>
      </c>
      <c r="BE1332" s="55" t="str">
        <f aca="false">IF(AP1332&lt;=0,"",IF(BY1332="Aussen","Aussenlager",IF(BY1332="-","Nicht im Lift",IF(AU1332&gt;=1,"Lift",IF(AU1332&lt;=0,"Aussenlager","teilweise")))))</f>
        <v>Lift</v>
      </c>
      <c r="BF1332" s="55" t="str">
        <f aca="false">IF(AX1332&lt;=0,"",IF(BY1332="Aussen","Aussenlager",IF(BY1332="-","Nicht im Lift",IF(BC1332&gt;=1,"Lift",IF(BC1332&lt;=0,"Aussenlager","teilweise")))))</f>
        <v>Lift</v>
      </c>
      <c r="BG1332" s="55" t="str">
        <f aca="false">IF(A1332="","",IF(BP1332=1,"Neu; ","")&amp;IF(AND(BP1332=0,BK1332&lt;0),"negativer Bestand (Export "&amp;BK1332&amp;"); ","")&amp;IF(J1332&lt;=0,"Kein Verbrauch; ","")&amp;IF(CH1332&gt;0,"Lift "&amp;W1332&amp;" lt. Liftbericht (Fach "&amp;X1332&amp;" Stk); ",IF(BU1332=1,"Gebinde geschätzt ("&amp;T1332&amp;"); ",IF(BT1332=1,"Lose – Tablare geschätzt; ","")))&amp;IF(H1332&gt;AR1332,"Überbestand "&amp;ROUND(H1332-AR1332,0)&amp;" Stk / CHF "&amp;ROUND((H1332-AR1332)*G1332,0)&amp;"; ","")&amp;IF(AND(CA1332=1,CB1332&lt;CC1332),"MAX &lt; MB+LG; ","")&amp;IF(AND(CG1332&gt;0,CF1332*10&gt;CG1332),"zu hoch für Tablar; ","")&amp;IF(AND(BP1332=0,OR(CA1332=1,AA1332&lt;&gt;"",U1332&lt;&gt;"",V1332&lt;&gt;"",AB1332&lt;&gt;"")),"manuell übersteuert; ","")&amp;IF(AND(BT1332=0,R1332=0),"Gebinde unbekannt / Stellmass fehlt; ","")&amp;IF(AND(BT1332=0,N(V1332)&lt;=0,N(Q1332)&lt;=0),"Menge pro Gebinde fehlt (Ist = 1 Gebinde); ","")&amp;BO1332)</f>
        <v>negativer Bestand (Export -2649); grosse  Artikelmenge</v>
      </c>
      <c r="BH1332" s="55"/>
      <c r="BI1332" s="55"/>
      <c r="BJ1332" s="62"/>
      <c r="BK1332" s="57" t="n">
        <v>-2649</v>
      </c>
      <c r="BL1332" s="57" t="n">
        <v>3116</v>
      </c>
      <c r="BM1332" s="56" t="n">
        <v>-1602.66</v>
      </c>
      <c r="BN1332" s="57" t="n">
        <v>4436</v>
      </c>
      <c r="BO1332" s="55" t="s">
        <v>1607</v>
      </c>
      <c r="BP1332" s="60" t="n">
        <v>0</v>
      </c>
      <c r="BQ1332" s="60" t="n">
        <v>1332</v>
      </c>
      <c r="BR1332" s="55" t="str">
        <f aca="false">IF(U1332&lt;&gt;"",UPPER(TRIM(U1332)),IF(BU1332=1,UPPER(VLOOKUP(T1332,Parameter!$I$27:$K$29,2,0)),IF(P1332="","LOSE",P1332)))</f>
        <v>S71</v>
      </c>
      <c r="BS1332" s="57" t="n">
        <f aca="false">IF(BR1332="LOSE",1,IF(N(V1332)&gt;0,V1332,IF(BU1332=1,MAX(1,N(VLOOKUP(T1332,Parameter!$I$27:$K$29,3,0)),H1332,N(N1332)),IF(N(Q1332)&gt;0,Q1332,MAX(1,H1332)))))</f>
        <v>1109</v>
      </c>
      <c r="BT1332" s="60" t="n">
        <f aca="false">IF(BR1332="LOSE",1,0)</f>
        <v>0</v>
      </c>
      <c r="BU1332" s="60" t="n">
        <f aca="false">IF(AND(U1332="",OR(P1332="",P1332="LOSE"),T1332&lt;&gt;"",N(S1332)&lt;=0,ISNUMBER(MATCH(T1332,Parameter!$I$27:$I$29,0))),1,0)</f>
        <v>0</v>
      </c>
      <c r="BV1332" s="55" t="str">
        <f aca="false">IF(AND(Parameter!$B$19="Ja",E1332&lt;&gt;"",ISNUMBER(MATCH(E1332,Parameter!$I$35:$I$52,0))),VLOOKUP(E1332,Parameter!$I$35:$J$52,2,0),IFERROR(VLOOKUP(D1332,Parameter!$A$35:$C$64,2,0),"Nein"))</f>
        <v>2+3</v>
      </c>
      <c r="BW1332" s="59" t="n">
        <f aca="false">IF(BT1332=0,0,IF(N(S1332)&gt;0,S1332,IFERROR(VLOOKUP(D1332,Parameter!$A$35:$C$64,3,0)+0,0)))</f>
        <v>0</v>
      </c>
      <c r="BX1332" s="55" t="n">
        <f aca="false">IF(AA1332&lt;&gt;"",AA1332,Z1332)</f>
        <v>2</v>
      </c>
      <c r="BY1332" s="55" t="str">
        <f aca="false">IF(BX1332=1,"L1",IF(OR(BX1332=2,BX1332=3),"L23",IF(BX1332="Aussen","Aussen","-")))</f>
        <v>L23</v>
      </c>
      <c r="BZ1332" s="66" t="n">
        <f aca="false">IF(N(AB1332)&gt;0,AB1332,0)</f>
        <v>0</v>
      </c>
      <c r="CA1332" s="60" t="n">
        <f aca="false">IF(ISNUMBER(AE1332),1,0)</f>
        <v>0</v>
      </c>
      <c r="CB1332" s="57" t="n">
        <f aca="false">N(AE1332)</f>
        <v>0</v>
      </c>
      <c r="CC1332" s="57" t="n">
        <f aca="false">N(M1332)+N(N1332)</f>
        <v>1258</v>
      </c>
      <c r="CD1332" s="57" t="n">
        <f aca="false">ROUNDUP(H1332/BS1332,0)</f>
        <v>1</v>
      </c>
      <c r="CE1332" s="57" t="n">
        <f aca="false">ROUNDUP(CB1332/BS1332,0)</f>
        <v>0</v>
      </c>
      <c r="CF1332" s="60" t="n">
        <f aca="false">IF(BT1332=1,0,IFERROR(VLOOKUP(BR1332,'Gebinde-Kategorie'!$A$5:$M$45,5,0)+0,0))</f>
        <v>20</v>
      </c>
      <c r="CG1332" s="60" t="n">
        <f aca="false">IFERROR(IF(OR(BX1332=1,BX1332=2,BX1332=3),N(INDEX(Parameter!$I$5:$I$7,BX1332)),0),0)</f>
        <v>0</v>
      </c>
      <c r="CH1332" s="59" t="n">
        <f aca="false">IF(AND(Parameter!$B$21="Ja",ISNUMBER(W1332),N(X1332)&gt;0),IFERROR(N(INDEX(Parameter!$L$5:$L$7,W1332))*INDEX(Parameter!$E$5:$E$7,W1332)*X1332/SUMIFS($X$7:$X$1843,$W$7:$W$1843,W1332),0),0)</f>
        <v>0</v>
      </c>
    </row>
    <row r="1333" customFormat="false" ht="15" hidden="false" customHeight="false" outlineLevel="0" collapsed="false">
      <c r="A1333" s="55" t="s">
        <v>2364</v>
      </c>
      <c r="B1333" s="55" t="s">
        <v>1009</v>
      </c>
      <c r="C1333" s="55" t="s">
        <v>164</v>
      </c>
      <c r="D1333" s="55" t="s">
        <v>184</v>
      </c>
      <c r="E1333" s="55" t="s">
        <v>185</v>
      </c>
      <c r="F1333" s="55" t="s">
        <v>218</v>
      </c>
      <c r="G1333" s="56" t="n">
        <v>4.38</v>
      </c>
      <c r="H1333" s="57" t="n">
        <f aca="false">MAX(0,IF(AND(Parameter!$B$21="Ja",ISNUMBER(Y1333)),Y1333,IF(Parameter!$B$20="Jahresanfang 2025 + Export",BL1333+BK1333,BK1333)))</f>
        <v>281</v>
      </c>
      <c r="I1333" s="57" t="n">
        <f aca="false">H1333*G1333</f>
        <v>1230.78</v>
      </c>
      <c r="J1333" s="57" t="n">
        <f aca="false">BN1333*Parameter!$B$18</f>
        <v>415</v>
      </c>
      <c r="K1333" s="58" t="n">
        <v>465.5</v>
      </c>
      <c r="L1333" s="59" t="n">
        <v>0.891514500537057</v>
      </c>
      <c r="M1333" s="57" t="n">
        <v>32</v>
      </c>
      <c r="N1333" s="57" t="n">
        <v>415</v>
      </c>
      <c r="O1333" s="60" t="n">
        <v>28</v>
      </c>
      <c r="P1333" s="55" t="s">
        <v>476</v>
      </c>
      <c r="Q1333" s="57" t="n">
        <v>139</v>
      </c>
      <c r="R1333" s="60" t="n">
        <f aca="false">IF(BT1333=1,0,IFERROR(VLOOKUP(BR1333,'Gebinde-Kategorie'!$A$5:$M$45,13,0)+0,0))</f>
        <v>66</v>
      </c>
      <c r="S1333" s="61"/>
      <c r="T1333" s="62"/>
      <c r="U1333" s="62"/>
      <c r="V1333" s="62"/>
      <c r="W1333" s="55"/>
      <c r="X1333" s="57"/>
      <c r="Y1333" s="57"/>
      <c r="Z1333" s="55" t="n">
        <f aca="false">IF(A1333="","",IF(AND(Parameter!$B$21="Ja",ISNUMBER(W1333)),W1333,IF(BV1333="2+3",IF(ISNUMBER(SEARCH("grosser Artikel",BO1333)),2,IFERROR(VLOOKUP(BR1333,Parameter!$F$35:$G$64,2,0),2)),IF(OR(BV1333="Nein",BV1333=""),"-",BV1333))))</f>
        <v>3</v>
      </c>
      <c r="AA1333" s="62"/>
      <c r="AB1333" s="63"/>
      <c r="AC1333" s="57" t="n">
        <f aca="false">AR1333</f>
        <v>556</v>
      </c>
      <c r="AD1333" s="57" t="n">
        <f aca="false">MAX(AR1333,H1333)</f>
        <v>556</v>
      </c>
      <c r="AE1333" s="64"/>
      <c r="AF1333" s="57" t="n">
        <f aca="false">IF(LEFT(Cockpit!$C$5,1)="A",H1333,IF(CA1333=1,CB1333,IF(LEFT(Cockpit!$C$5,1)="B",AJ1333,MAX(AJ1333,H1333))))</f>
        <v>281</v>
      </c>
      <c r="AG1333" s="57" t="n">
        <f aca="false">IF(BT1333=1,0,ROUNDUP(AF1333/BS1333,0))</f>
        <v>3</v>
      </c>
      <c r="AH1333" s="59" t="n">
        <f aca="false">IF(CH1333&gt;0,CH1333*MAX(1,AF1333/X1333),IF(BT1333=1,IF(AF1333&lt;=0,0,BW1333*MAX(1,IF(H1333&gt;0,AF1333/H1333,1))),IF(R1333&gt;0,AG1333/R1333,0))/MAX(0.1,N(Parameter!$M$21)))</f>
        <v>0.0454545454545455</v>
      </c>
      <c r="AI1333" s="57" t="n">
        <f aca="false">AF1333*G1333</f>
        <v>1230.78</v>
      </c>
      <c r="AJ1333" s="57" t="n">
        <f aca="false">ROUNDUP(MAX(J1333/IF(BZ1333&gt;0,BZ1333,MAX(0.1,N(Cockpit!$C$6))),CC1333)/BS1333,0)*BS1333</f>
        <v>556</v>
      </c>
      <c r="AK1333" s="58" t="n">
        <f aca="false">IF(AH1333&gt;0,J1333/AH1333,-1)</f>
        <v>9130</v>
      </c>
      <c r="AL1333" s="58" t="n">
        <f aca="false">IF(AND(OR(BY1333="L1",BY1333="L23"),AH1333&gt;0),SUMIFS($AH$7:$AH$1843,$BY$7:$BY$1843,BY1333,$AK$7:$AK$1843,"&gt;"&amp;AK1333)+SUMIFS($AH$7:$AH$1843,$BY$7:$BY$1843,BY1333,$AK$7:$AK$1843,AK1333,$BQ$7:$BQ$1843,"&lt;="&amp;BQ1333),"")</f>
        <v>5.68421674943414</v>
      </c>
      <c r="AM1333" s="65" t="n">
        <f aca="false">IF(AL1333="",0,MAX(0,MIN(1,(IF(BY1333="L1",Parameter!$E$5,Parameter!$E$6+Parameter!$E$7)-(AL1333-AH1333))/AH1333)))</f>
        <v>1</v>
      </c>
      <c r="AN1333" s="57" t="n">
        <f aca="false">IF(LEFT(Cockpit!$I$5,1)="A",H1333,IF(CA1333=1,CB1333,IF(LEFT(Cockpit!$I$5,1)="B",AR1333,MAX(AR1333,H1333))))</f>
        <v>556</v>
      </c>
      <c r="AO1333" s="57" t="n">
        <f aca="false">IF(BT1333=1,0,ROUNDUP(AN1333/BS1333,0))</f>
        <v>4</v>
      </c>
      <c r="AP1333" s="59" t="n">
        <f aca="false">IF(CH1333&gt;0,CH1333*MAX(1,AN1333/X1333),IF(BT1333=1,IF(AN1333&lt;=0,0,BW1333*MAX(1,IF(H1333&gt;0,AN1333/H1333,1))),IF(R1333&gt;0,AO1333/R1333,0))/MAX(0.1,N(Parameter!$M$21)))</f>
        <v>0.0606060606060606</v>
      </c>
      <c r="AQ1333" s="57" t="n">
        <f aca="false">AN1333*G1333</f>
        <v>2435.28</v>
      </c>
      <c r="AR1333" s="57" t="n">
        <f aca="false">ROUNDUP(MAX(J1333/IF(BZ1333&gt;0,BZ1333,MAX(0.1,N(Cockpit!$I$6))),CC1333)/BS1333,0)*BS1333</f>
        <v>556</v>
      </c>
      <c r="AS1333" s="58" t="n">
        <f aca="false">IF(AP1333&gt;0,J1333/AP1333,-1)</f>
        <v>6847.5</v>
      </c>
      <c r="AT1333" s="58" t="n">
        <f aca="false">IF(AND(OR(BY1333="L1",BY1333="L23"),AP1333&gt;0),SUMIFS($AP$7:$AP$1843,$BY$7:$BY$1843,BY1333,$AS$7:$AS$1843,"&gt;"&amp;AS1333)+SUMIFS($AP$7:$AP$1843,$BY$7:$BY$1843,BY1333,$AS$7:$AS$1843,AS1333,$BQ$7:$BQ$1843,"&lt;="&amp;BQ1333),"")</f>
        <v>9.83494645451167</v>
      </c>
      <c r="AU1333" s="65" t="n">
        <f aca="false">IF(AT1333="",0,MAX(0,MIN(1,(IF(BY1333="L1",Parameter!$E$5,Parameter!$E$6+Parameter!$E$7)-(AT1333-AP1333))/AP1333)))</f>
        <v>1</v>
      </c>
      <c r="AV1333" s="57" t="n">
        <f aca="false">IF(LEFT(Cockpit!$O$5,1)="A",H1333,IF(CA1333=1,CB1333,IF(LEFT(Cockpit!$O$5,1)="B",AZ1333,MAX(AZ1333,H1333))))</f>
        <v>556</v>
      </c>
      <c r="AW1333" s="57" t="n">
        <f aca="false">IF(BT1333=1,0,ROUNDUP(AV1333/BS1333,0))</f>
        <v>4</v>
      </c>
      <c r="AX1333" s="59" t="n">
        <f aca="false">IF(CH1333&gt;0,CH1333*MAX(1,AV1333/X1333),IF(BT1333=1,IF(AV1333&lt;=0,0,BW1333*MAX(1,IF(H1333&gt;0,AV1333/H1333,1))),IF(R1333&gt;0,AW1333/R1333,0))/MAX(0.1,N(Parameter!$M$21)))</f>
        <v>0.0606060606060606</v>
      </c>
      <c r="AY1333" s="57" t="n">
        <f aca="false">AV1333*G1333</f>
        <v>2435.28</v>
      </c>
      <c r="AZ1333" s="57" t="n">
        <f aca="false">ROUNDUP(MAX(J1333/IF(BZ1333&gt;0,BZ1333,MAX(0.1,N(Cockpit!$O$6))),CC1333)/BS1333,0)*BS1333</f>
        <v>556</v>
      </c>
      <c r="BA1333" s="58" t="n">
        <f aca="false">IF(AX1333&gt;0,J1333/AX1333,-1)</f>
        <v>6847.5</v>
      </c>
      <c r="BB1333" s="58" t="n">
        <f aca="false">IF(AND(OR(BY1333="L1",BY1333="L23"),AX1333&gt;0),SUMIFS($AX$7:$AX$1843,$BY$7:$BY$1843,BY1333,$BA$7:$BA$1843,"&gt;"&amp;BA1333)+SUMIFS($AX$7:$AX$1843,$BY$7:$BY$1843,BY1333,$BA$7:$BA$1843,BA1333,$BQ$7:$BQ$1843,"&lt;="&amp;BQ1333),"")</f>
        <v>9.23529610486132</v>
      </c>
      <c r="BC1333" s="65" t="n">
        <f aca="false">IF(BB1333="",0,MAX(0,MIN(1,(IF(BY1333="L1",Parameter!$E$5,Parameter!$E$6+Parameter!$E$7)-(BB1333-AX1333))/AX1333)))</f>
        <v>1</v>
      </c>
      <c r="BD1333" s="55" t="str">
        <f aca="false">IF(AH1333&lt;=0,"",IF(BY1333="Aussen","Aussenlager",IF(BY1333="-","Nicht im Lift",IF(AM1333&gt;=1,"Lift",IF(AM1333&lt;=0,"Aussenlager","teilweise")))))</f>
        <v>Lift</v>
      </c>
      <c r="BE1333" s="55" t="str">
        <f aca="false">IF(AP1333&lt;=0,"",IF(BY1333="Aussen","Aussenlager",IF(BY1333="-","Nicht im Lift",IF(AU1333&gt;=1,"Lift",IF(AU1333&lt;=0,"Aussenlager","teilweise")))))</f>
        <v>Lift</v>
      </c>
      <c r="BF1333" s="55" t="str">
        <f aca="false">IF(AX1333&lt;=0,"",IF(BY1333="Aussen","Aussenlager",IF(BY1333="-","Nicht im Lift",IF(BC1333&gt;=1,"Lift",IF(BC1333&lt;=0,"Aussenlager","teilweise")))))</f>
        <v>Lift</v>
      </c>
      <c r="BG1333" s="55" t="str">
        <f aca="false">IF(A1333="","",IF(BP1333=1,"Neu; ","")&amp;IF(AND(BP1333=0,BK1333&lt;0),"negativer Bestand (Export "&amp;BK1333&amp;"); ","")&amp;IF(J1333&lt;=0,"Kein Verbrauch; ","")&amp;IF(CH1333&gt;0,"Lift "&amp;W1333&amp;" lt. Liftbericht (Fach "&amp;X1333&amp;" Stk); ",IF(BU1333=1,"Gebinde geschätzt ("&amp;T1333&amp;"); ",IF(BT1333=1,"Lose – Tablare geschätzt; ","")))&amp;IF(H1333&gt;AR1333,"Überbestand "&amp;ROUND(H1333-AR1333,0)&amp;" Stk / CHF "&amp;ROUND((H1333-AR1333)*G1333,0)&amp;"; ","")&amp;IF(AND(CA1333=1,CB1333&lt;CC1333),"MAX &lt; MB+LG; ","")&amp;IF(AND(CG1333&gt;0,CF1333*10&gt;CG1333),"zu hoch für Tablar; ","")&amp;IF(AND(BP1333=0,OR(CA1333=1,AA1333&lt;&gt;"",U1333&lt;&gt;"",V1333&lt;&gt;"",AB1333&lt;&gt;"")),"manuell übersteuert; ","")&amp;IF(AND(BT1333=0,R1333=0),"Gebinde unbekannt / Stellmass fehlt; ","")&amp;IF(AND(BT1333=0,N(V1333)&lt;=0,N(Q1333)&lt;=0),"Menge pro Gebinde fehlt (Ist = 1 Gebinde); ","")&amp;BO1333)</f>
        <v>negativer Bestand (Export -367); B&amp;R</v>
      </c>
      <c r="BH1333" s="55"/>
      <c r="BI1333" s="55"/>
      <c r="BJ1333" s="62"/>
      <c r="BK1333" s="57" t="n">
        <v>-367</v>
      </c>
      <c r="BL1333" s="57" t="n">
        <v>648</v>
      </c>
      <c r="BM1333" s="56" t="n">
        <v>-1607.46</v>
      </c>
      <c r="BN1333" s="57" t="n">
        <v>415</v>
      </c>
      <c r="BO1333" s="55" t="s">
        <v>2217</v>
      </c>
      <c r="BP1333" s="60" t="n">
        <v>0</v>
      </c>
      <c r="BQ1333" s="60" t="n">
        <v>1333</v>
      </c>
      <c r="BR1333" s="55" t="str">
        <f aca="false">IF(U1333&lt;&gt;"",UPPER(TRIM(U1333)),IF(BU1333=1,UPPER(VLOOKUP(T1333,Parameter!$I$27:$K$29,2,0)),IF(P1333="","LOSE",P1333)))</f>
        <v>S33</v>
      </c>
      <c r="BS1333" s="57" t="n">
        <f aca="false">IF(BR1333="LOSE",1,IF(N(V1333)&gt;0,V1333,IF(BU1333=1,MAX(1,N(VLOOKUP(T1333,Parameter!$I$27:$K$29,3,0)),H1333,N(N1333)),IF(N(Q1333)&gt;0,Q1333,MAX(1,H1333)))))</f>
        <v>139</v>
      </c>
      <c r="BT1333" s="60" t="n">
        <f aca="false">IF(BR1333="LOSE",1,0)</f>
        <v>0</v>
      </c>
      <c r="BU1333" s="60" t="n">
        <f aca="false">IF(AND(U1333="",OR(P1333="",P1333="LOSE"),T1333&lt;&gt;"",N(S1333)&lt;=0,ISNUMBER(MATCH(T1333,Parameter!$I$27:$I$29,0))),1,0)</f>
        <v>0</v>
      </c>
      <c r="BV1333" s="55" t="str">
        <f aca="false">IF(AND(Parameter!$B$19="Ja",E1333&lt;&gt;"",ISNUMBER(MATCH(E1333,Parameter!$I$35:$I$52,0))),VLOOKUP(E1333,Parameter!$I$35:$J$52,2,0),IFERROR(VLOOKUP(D1333,Parameter!$A$35:$C$64,2,0),"Nein"))</f>
        <v>2+3</v>
      </c>
      <c r="BW1333" s="59" t="n">
        <f aca="false">IF(BT1333=0,0,IF(N(S1333)&gt;0,S1333,IFERROR(VLOOKUP(D1333,Parameter!$A$35:$C$64,3,0)+0,0)))</f>
        <v>0</v>
      </c>
      <c r="BX1333" s="55" t="n">
        <f aca="false">IF(AA1333&lt;&gt;"",AA1333,Z1333)</f>
        <v>3</v>
      </c>
      <c r="BY1333" s="55" t="str">
        <f aca="false">IF(BX1333=1,"L1",IF(OR(BX1333=2,BX1333=3),"L23",IF(BX1333="Aussen","Aussen","-")))</f>
        <v>L23</v>
      </c>
      <c r="BZ1333" s="66" t="n">
        <f aca="false">IF(N(AB1333)&gt;0,AB1333,0)</f>
        <v>0</v>
      </c>
      <c r="CA1333" s="60" t="n">
        <f aca="false">IF(ISNUMBER(AE1333),1,0)</f>
        <v>0</v>
      </c>
      <c r="CB1333" s="57" t="n">
        <f aca="false">N(AE1333)</f>
        <v>0</v>
      </c>
      <c r="CC1333" s="57" t="n">
        <f aca="false">N(M1333)+N(N1333)</f>
        <v>447</v>
      </c>
      <c r="CD1333" s="57" t="n">
        <f aca="false">ROUNDUP(H1333/BS1333,0)</f>
        <v>3</v>
      </c>
      <c r="CE1333" s="57" t="n">
        <f aca="false">ROUNDUP(CB1333/BS1333,0)</f>
        <v>0</v>
      </c>
      <c r="CF1333" s="60" t="n">
        <f aca="false">IF(BT1333=1,0,IFERROR(VLOOKUP(BR1333,'Gebinde-Kategorie'!$A$5:$M$45,5,0)+0,0))</f>
        <v>8</v>
      </c>
      <c r="CG1333" s="60" t="n">
        <f aca="false">IFERROR(IF(OR(BX1333=1,BX1333=2,BX1333=3),N(INDEX(Parameter!$I$5:$I$7,BX1333)),0),0)</f>
        <v>0</v>
      </c>
      <c r="CH1333" s="59" t="n">
        <f aca="false">IF(AND(Parameter!$B$21="Ja",ISNUMBER(W1333),N(X1333)&gt;0),IFERROR(N(INDEX(Parameter!$L$5:$L$7,W1333))*INDEX(Parameter!$E$5:$E$7,W1333)*X1333/SUMIFS($X$7:$X$1843,$W$7:$W$1843,W1333),0),0)</f>
        <v>0</v>
      </c>
    </row>
    <row r="1334" customFormat="false" ht="15" hidden="false" customHeight="false" outlineLevel="0" collapsed="false">
      <c r="A1334" s="55" t="s">
        <v>2365</v>
      </c>
      <c r="B1334" s="55" t="s">
        <v>407</v>
      </c>
      <c r="C1334" s="55" t="s">
        <v>164</v>
      </c>
      <c r="D1334" s="55" t="s">
        <v>184</v>
      </c>
      <c r="E1334" s="55" t="s">
        <v>185</v>
      </c>
      <c r="F1334" s="55" t="s">
        <v>218</v>
      </c>
      <c r="G1334" s="56" t="n">
        <v>0.73</v>
      </c>
      <c r="H1334" s="57" t="n">
        <f aca="false">MAX(0,IF(AND(Parameter!$B$21="Ja",ISNUMBER(Y1334)),Y1334,IF(Parameter!$B$20="Jahresanfang 2025 + Export",BL1334+BK1334,BK1334)))</f>
        <v>4470</v>
      </c>
      <c r="I1334" s="57" t="n">
        <f aca="false">H1334*G1334</f>
        <v>3263.1</v>
      </c>
      <c r="J1334" s="57" t="n">
        <f aca="false">BN1334*Parameter!$B$18</f>
        <v>7948</v>
      </c>
      <c r="K1334" s="58" t="n">
        <v>5515</v>
      </c>
      <c r="L1334" s="59" t="n">
        <v>1.44116047144152</v>
      </c>
      <c r="M1334" s="57" t="n">
        <v>1786</v>
      </c>
      <c r="N1334" s="57" t="n">
        <v>2000</v>
      </c>
      <c r="O1334" s="60" t="n">
        <v>80</v>
      </c>
      <c r="P1334" s="55" t="s">
        <v>293</v>
      </c>
      <c r="Q1334" s="57" t="n">
        <v>9495</v>
      </c>
      <c r="R1334" s="60" t="n">
        <f aca="false">IF(BT1334=1,0,IFERROR(VLOOKUP(BR1334,'Gebinde-Kategorie'!$A$5:$M$45,13,0)+0,0))</f>
        <v>12</v>
      </c>
      <c r="S1334" s="61"/>
      <c r="T1334" s="62"/>
      <c r="U1334" s="62"/>
      <c r="V1334" s="62"/>
      <c r="W1334" s="55"/>
      <c r="X1334" s="57"/>
      <c r="Y1334" s="57"/>
      <c r="Z1334" s="55" t="n">
        <f aca="false">IF(A1334="","",IF(AND(Parameter!$B$21="Ja",ISNUMBER(W1334)),W1334,IF(BV1334="2+3",IF(ISNUMBER(SEARCH("grosser Artikel",BO1334)),2,IFERROR(VLOOKUP(BR1334,Parameter!$F$35:$G$64,2,0),2)),IF(OR(BV1334="Nein",BV1334=""),"-",BV1334))))</f>
        <v>2</v>
      </c>
      <c r="AA1334" s="62"/>
      <c r="AB1334" s="63"/>
      <c r="AC1334" s="57" t="n">
        <f aca="false">AR1334</f>
        <v>9495</v>
      </c>
      <c r="AD1334" s="57" t="n">
        <f aca="false">MAX(AR1334,H1334)</f>
        <v>9495</v>
      </c>
      <c r="AE1334" s="64"/>
      <c r="AF1334" s="57" t="n">
        <f aca="false">IF(LEFT(Cockpit!$C$5,1)="A",H1334,IF(CA1334=1,CB1334,IF(LEFT(Cockpit!$C$5,1)="B",AJ1334,MAX(AJ1334,H1334))))</f>
        <v>4470</v>
      </c>
      <c r="AG1334" s="57" t="n">
        <f aca="false">IF(BT1334=1,0,ROUNDUP(AF1334/BS1334,0))</f>
        <v>1</v>
      </c>
      <c r="AH1334" s="59" t="n">
        <f aca="false">IF(CH1334&gt;0,CH1334*MAX(1,AF1334/X1334),IF(BT1334=1,IF(AF1334&lt;=0,0,BW1334*MAX(1,IF(H1334&gt;0,AF1334/H1334,1))),IF(R1334&gt;0,AG1334/R1334,0))/MAX(0.1,N(Parameter!$M$21)))</f>
        <v>0.0833333333333333</v>
      </c>
      <c r="AI1334" s="57" t="n">
        <f aca="false">AF1334*G1334</f>
        <v>3263.1</v>
      </c>
      <c r="AJ1334" s="57" t="n">
        <f aca="false">ROUNDUP(MAX(J1334/IF(BZ1334&gt;0,BZ1334,MAX(0.1,N(Cockpit!$C$6))),CC1334)/BS1334,0)*BS1334</f>
        <v>9495</v>
      </c>
      <c r="AK1334" s="58" t="n">
        <f aca="false">IF(AH1334&gt;0,J1334/AH1334,-1)</f>
        <v>95376</v>
      </c>
      <c r="AL1334" s="58" t="n">
        <f aca="false">IF(AND(OR(BY1334="L1",BY1334="L23"),AH1334&gt;0),SUMIFS($AH$7:$AH$1843,$BY$7:$BY$1843,BY1334,$AK$7:$AK$1843,"&gt;"&amp;AK1334)+SUMIFS($AH$7:$AH$1843,$BY$7:$BY$1843,BY1334,$AK$7:$AK$1843,AK1334,$BQ$7:$BQ$1843,"&lt;="&amp;BQ1334),"")</f>
        <v>0.723565082260735</v>
      </c>
      <c r="AM1334" s="65" t="n">
        <f aca="false">IF(AL1334="",0,MAX(0,MIN(1,(IF(BY1334="L1",Parameter!$E$5,Parameter!$E$6+Parameter!$E$7)-(AL1334-AH1334))/AH1334)))</f>
        <v>1</v>
      </c>
      <c r="AN1334" s="57" t="n">
        <f aca="false">IF(LEFT(Cockpit!$I$5,1)="A",H1334,IF(CA1334=1,CB1334,IF(LEFT(Cockpit!$I$5,1)="B",AR1334,MAX(AR1334,H1334))))</f>
        <v>9495</v>
      </c>
      <c r="AO1334" s="57" t="n">
        <f aca="false">IF(BT1334=1,0,ROUNDUP(AN1334/BS1334,0))</f>
        <v>1</v>
      </c>
      <c r="AP1334" s="59" t="n">
        <f aca="false">IF(CH1334&gt;0,CH1334*MAX(1,AN1334/X1334),IF(BT1334=1,IF(AN1334&lt;=0,0,BW1334*MAX(1,IF(H1334&gt;0,AN1334/H1334,1))),IF(R1334&gt;0,AO1334/R1334,0))/MAX(0.1,N(Parameter!$M$21)))</f>
        <v>0.0833333333333333</v>
      </c>
      <c r="AQ1334" s="57" t="n">
        <f aca="false">AN1334*G1334</f>
        <v>6931.35</v>
      </c>
      <c r="AR1334" s="57" t="n">
        <f aca="false">ROUNDUP(MAX(J1334/IF(BZ1334&gt;0,BZ1334,MAX(0.1,N(Cockpit!$I$6))),CC1334)/BS1334,0)*BS1334</f>
        <v>9495</v>
      </c>
      <c r="AS1334" s="58" t="n">
        <f aca="false">IF(AP1334&gt;0,J1334/AP1334,-1)</f>
        <v>95376</v>
      </c>
      <c r="AT1334" s="58" t="n">
        <f aca="false">IF(AND(OR(BY1334="L1",BY1334="L23"),AP1334&gt;0),SUMIFS($AP$7:$AP$1843,$BY$7:$BY$1843,BY1334,$AS$7:$AS$1843,"&gt;"&amp;AS1334)+SUMIFS($AP$7:$AP$1843,$BY$7:$BY$1843,BY1334,$AS$7:$AS$1843,AS1334,$BQ$7:$BQ$1843,"&lt;="&amp;BQ1334),"")</f>
        <v>0.282000608087565</v>
      </c>
      <c r="AU1334" s="65" t="n">
        <f aca="false">IF(AT1334="",0,MAX(0,MIN(1,(IF(BY1334="L1",Parameter!$E$5,Parameter!$E$6+Parameter!$E$7)-(AT1334-AP1334))/AP1334)))</f>
        <v>1</v>
      </c>
      <c r="AV1334" s="57" t="n">
        <f aca="false">IF(LEFT(Cockpit!$O$5,1)="A",H1334,IF(CA1334=1,CB1334,IF(LEFT(Cockpit!$O$5,1)="B",AZ1334,MAX(AZ1334,H1334))))</f>
        <v>9495</v>
      </c>
      <c r="AW1334" s="57" t="n">
        <f aca="false">IF(BT1334=1,0,ROUNDUP(AV1334/BS1334,0))</f>
        <v>1</v>
      </c>
      <c r="AX1334" s="59" t="n">
        <f aca="false">IF(CH1334&gt;0,CH1334*MAX(1,AV1334/X1334),IF(BT1334=1,IF(AV1334&lt;=0,0,BW1334*MAX(1,IF(H1334&gt;0,AV1334/H1334,1))),IF(R1334&gt;0,AW1334/R1334,0))/MAX(0.1,N(Parameter!$M$21)))</f>
        <v>0.0833333333333333</v>
      </c>
      <c r="AY1334" s="57" t="n">
        <f aca="false">AV1334*G1334</f>
        <v>6931.35</v>
      </c>
      <c r="AZ1334" s="57" t="n">
        <f aca="false">ROUNDUP(MAX(J1334/IF(BZ1334&gt;0,BZ1334,MAX(0.1,N(Cockpit!$O$6))),CC1334)/BS1334,0)*BS1334</f>
        <v>9495</v>
      </c>
      <c r="BA1334" s="58" t="n">
        <f aca="false">IF(AX1334&gt;0,J1334/AX1334,-1)</f>
        <v>95376</v>
      </c>
      <c r="BB1334" s="58" t="n">
        <f aca="false">IF(AND(OR(BY1334="L1",BY1334="L23"),AX1334&gt;0),SUMIFS($AX$7:$AX$1843,$BY$7:$BY$1843,BY1334,$BA$7:$BA$1843,"&gt;"&amp;BA1334)+SUMIFS($AX$7:$AX$1843,$BY$7:$BY$1843,BY1334,$BA$7:$BA$1843,BA1334,$BQ$7:$BQ$1843,"&lt;="&amp;BQ1334),"")</f>
        <v>0.282000608087565</v>
      </c>
      <c r="BC1334" s="65" t="n">
        <f aca="false">IF(BB1334="",0,MAX(0,MIN(1,(IF(BY1334="L1",Parameter!$E$5,Parameter!$E$6+Parameter!$E$7)-(BB1334-AX1334))/AX1334)))</f>
        <v>1</v>
      </c>
      <c r="BD1334" s="55" t="str">
        <f aca="false">IF(AH1334&lt;=0,"",IF(BY1334="Aussen","Aussenlager",IF(BY1334="-","Nicht im Lift",IF(AM1334&gt;=1,"Lift",IF(AM1334&lt;=0,"Aussenlager","teilweise")))))</f>
        <v>Lift</v>
      </c>
      <c r="BE1334" s="55" t="str">
        <f aca="false">IF(AP1334&lt;=0,"",IF(BY1334="Aussen","Aussenlager",IF(BY1334="-","Nicht im Lift",IF(AU1334&gt;=1,"Lift",IF(AU1334&lt;=0,"Aussenlager","teilweise")))))</f>
        <v>Lift</v>
      </c>
      <c r="BF1334" s="55" t="str">
        <f aca="false">IF(AX1334&lt;=0,"",IF(BY1334="Aussen","Aussenlager",IF(BY1334="-","Nicht im Lift",IF(BC1334&gt;=1,"Lift",IF(BC1334&lt;=0,"Aussenlager","teilweise")))))</f>
        <v>Lift</v>
      </c>
      <c r="BG1334" s="55" t="str">
        <f aca="false">IF(A1334="","",IF(BP1334=1,"Neu; ","")&amp;IF(AND(BP1334=0,BK1334&lt;0),"negativer Bestand (Export "&amp;BK1334&amp;"); ","")&amp;IF(J1334&lt;=0,"Kein Verbrauch; ","")&amp;IF(CH1334&gt;0,"Lift "&amp;W1334&amp;" lt. Liftbericht (Fach "&amp;X1334&amp;" Stk); ",IF(BU1334=1,"Gebinde geschätzt ("&amp;T1334&amp;"); ",IF(BT1334=1,"Lose – Tablare geschätzt; ","")))&amp;IF(H1334&gt;AR1334,"Überbestand "&amp;ROUND(H1334-AR1334,0)&amp;" Stk / CHF "&amp;ROUND((H1334-AR1334)*G1334,0)&amp;"; ","")&amp;IF(AND(CA1334=1,CB1334&lt;CC1334),"MAX &lt; MB+LG; ","")&amp;IF(AND(CG1334&gt;0,CF1334*10&gt;CG1334),"zu hoch für Tablar; ","")&amp;IF(AND(BP1334=0,OR(CA1334=1,AA1334&lt;&gt;"",U1334&lt;&gt;"",V1334&lt;&gt;"",AB1334&lt;&gt;"")),"manuell übersteuert; ","")&amp;IF(AND(BT1334=0,R1334=0),"Gebinde unbekannt / Stellmass fehlt; ","")&amp;IF(AND(BT1334=0,N(V1334)&lt;=0,N(Q1334)&lt;=0),"Menge pro Gebinde fehlt (Ist = 1 Gebinde); ","")&amp;BO1334)</f>
        <v>negativer Bestand (Export -3141); </v>
      </c>
      <c r="BH1334" s="55"/>
      <c r="BI1334" s="55"/>
      <c r="BJ1334" s="62"/>
      <c r="BK1334" s="57" t="n">
        <v>-3141</v>
      </c>
      <c r="BL1334" s="57" t="n">
        <v>7611</v>
      </c>
      <c r="BM1334" s="56" t="n">
        <v>-1613.34</v>
      </c>
      <c r="BN1334" s="57" t="n">
        <v>7948</v>
      </c>
      <c r="BO1334" s="55"/>
      <c r="BP1334" s="60" t="n">
        <v>0</v>
      </c>
      <c r="BQ1334" s="60" t="n">
        <v>1334</v>
      </c>
      <c r="BR1334" s="55" t="str">
        <f aca="false">IF(U1334&lt;&gt;"",UPPER(TRIM(U1334)),IF(BU1334=1,UPPER(VLOOKUP(T1334,Parameter!$I$27:$K$29,2,0)),IF(P1334="","LOSE",P1334)))</f>
        <v>S62</v>
      </c>
      <c r="BS1334" s="57" t="n">
        <f aca="false">IF(BR1334="LOSE",1,IF(N(V1334)&gt;0,V1334,IF(BU1334=1,MAX(1,N(VLOOKUP(T1334,Parameter!$I$27:$K$29,3,0)),H1334,N(N1334)),IF(N(Q1334)&gt;0,Q1334,MAX(1,H1334)))))</f>
        <v>9495</v>
      </c>
      <c r="BT1334" s="60" t="n">
        <f aca="false">IF(BR1334="LOSE",1,0)</f>
        <v>0</v>
      </c>
      <c r="BU1334" s="60" t="n">
        <f aca="false">IF(AND(U1334="",OR(P1334="",P1334="LOSE"),T1334&lt;&gt;"",N(S1334)&lt;=0,ISNUMBER(MATCH(T1334,Parameter!$I$27:$I$29,0))),1,0)</f>
        <v>0</v>
      </c>
      <c r="BV1334" s="55" t="str">
        <f aca="false">IF(AND(Parameter!$B$19="Ja",E1334&lt;&gt;"",ISNUMBER(MATCH(E1334,Parameter!$I$35:$I$52,0))),VLOOKUP(E1334,Parameter!$I$35:$J$52,2,0),IFERROR(VLOOKUP(D1334,Parameter!$A$35:$C$64,2,0),"Nein"))</f>
        <v>2+3</v>
      </c>
      <c r="BW1334" s="59" t="n">
        <f aca="false">IF(BT1334=0,0,IF(N(S1334)&gt;0,S1334,IFERROR(VLOOKUP(D1334,Parameter!$A$35:$C$64,3,0)+0,0)))</f>
        <v>0</v>
      </c>
      <c r="BX1334" s="55" t="n">
        <f aca="false">IF(AA1334&lt;&gt;"",AA1334,Z1334)</f>
        <v>2</v>
      </c>
      <c r="BY1334" s="55" t="str">
        <f aca="false">IF(BX1334=1,"L1",IF(OR(BX1334=2,BX1334=3),"L23",IF(BX1334="Aussen","Aussen","-")))</f>
        <v>L23</v>
      </c>
      <c r="BZ1334" s="66" t="n">
        <f aca="false">IF(N(AB1334)&gt;0,AB1334,0)</f>
        <v>0</v>
      </c>
      <c r="CA1334" s="60" t="n">
        <f aca="false">IF(ISNUMBER(AE1334),1,0)</f>
        <v>0</v>
      </c>
      <c r="CB1334" s="57" t="n">
        <f aca="false">N(AE1334)</f>
        <v>0</v>
      </c>
      <c r="CC1334" s="57" t="n">
        <f aca="false">N(M1334)+N(N1334)</f>
        <v>3786</v>
      </c>
      <c r="CD1334" s="57" t="n">
        <f aca="false">ROUNDUP(H1334/BS1334,0)</f>
        <v>1</v>
      </c>
      <c r="CE1334" s="57" t="n">
        <f aca="false">ROUNDUP(CB1334/BS1334,0)</f>
        <v>0</v>
      </c>
      <c r="CF1334" s="60" t="n">
        <f aca="false">IF(BT1334=1,0,IFERROR(VLOOKUP(BR1334,'Gebinde-Kategorie'!$A$5:$M$45,5,0)+0,0))</f>
        <v>21</v>
      </c>
      <c r="CG1334" s="60" t="n">
        <f aca="false">IFERROR(IF(OR(BX1334=1,BX1334=2,BX1334=3),N(INDEX(Parameter!$I$5:$I$7,BX1334)),0),0)</f>
        <v>0</v>
      </c>
      <c r="CH1334" s="59" t="n">
        <f aca="false">IF(AND(Parameter!$B$21="Ja",ISNUMBER(W1334),N(X1334)&gt;0),IFERROR(N(INDEX(Parameter!$L$5:$L$7,W1334))*INDEX(Parameter!$E$5:$E$7,W1334)*X1334/SUMIFS($X$7:$X$1843,$W$7:$W$1843,W1334),0),0)</f>
        <v>0</v>
      </c>
    </row>
    <row r="1335" customFormat="false" ht="15" hidden="false" customHeight="false" outlineLevel="0" collapsed="false">
      <c r="A1335" s="55" t="s">
        <v>2366</v>
      </c>
      <c r="B1335" s="55" t="s">
        <v>566</v>
      </c>
      <c r="C1335" s="55" t="s">
        <v>164</v>
      </c>
      <c r="D1335" s="55" t="s">
        <v>184</v>
      </c>
      <c r="E1335" s="55" t="s">
        <v>185</v>
      </c>
      <c r="F1335" s="55" t="s">
        <v>218</v>
      </c>
      <c r="G1335" s="56" t="n">
        <v>46.69</v>
      </c>
      <c r="H1335" s="57" t="n">
        <f aca="false">MAX(0,IF(AND(Parameter!$B$21="Ja",ISNUMBER(Y1335)),Y1335,IF(Parameter!$B$20="Jahresanfang 2025 + Export",BL1335+BK1335,BK1335)))</f>
        <v>59</v>
      </c>
      <c r="I1335" s="57" t="n">
        <f aca="false">H1335*G1335</f>
        <v>2754.71</v>
      </c>
      <c r="J1335" s="57" t="n">
        <f aca="false">BN1335*Parameter!$B$18</f>
        <v>27</v>
      </c>
      <c r="K1335" s="58" t="n">
        <v>80.5</v>
      </c>
      <c r="L1335" s="59" t="n">
        <v>0.335403726708075</v>
      </c>
      <c r="M1335" s="57" t="n">
        <v>1</v>
      </c>
      <c r="N1335" s="57" t="n">
        <v>25</v>
      </c>
      <c r="O1335" s="60" t="n">
        <v>14</v>
      </c>
      <c r="P1335" s="55" t="s">
        <v>226</v>
      </c>
      <c r="Q1335" s="57" t="n">
        <v>58</v>
      </c>
      <c r="R1335" s="60" t="n">
        <f aca="false">IF(BT1335=1,0,IFERROR(VLOOKUP(BR1335,'Gebinde-Kategorie'!$A$5:$M$45,13,0)+0,0))</f>
        <v>12</v>
      </c>
      <c r="S1335" s="61"/>
      <c r="T1335" s="62"/>
      <c r="U1335" s="62"/>
      <c r="V1335" s="62"/>
      <c r="W1335" s="55"/>
      <c r="X1335" s="57"/>
      <c r="Y1335" s="57"/>
      <c r="Z1335" s="55" t="n">
        <f aca="false">IF(A1335="","",IF(AND(Parameter!$B$21="Ja",ISNUMBER(W1335)),W1335,IF(BV1335="2+3",IF(ISNUMBER(SEARCH("grosser Artikel",BO1335)),2,IFERROR(VLOOKUP(BR1335,Parameter!$F$35:$G$64,2,0),2)),IF(OR(BV1335="Nein",BV1335=""),"-",BV1335))))</f>
        <v>2</v>
      </c>
      <c r="AA1335" s="62"/>
      <c r="AB1335" s="63"/>
      <c r="AC1335" s="57" t="n">
        <f aca="false">AR1335</f>
        <v>58</v>
      </c>
      <c r="AD1335" s="57" t="n">
        <f aca="false">MAX(AR1335,H1335)</f>
        <v>59</v>
      </c>
      <c r="AE1335" s="64"/>
      <c r="AF1335" s="57" t="n">
        <f aca="false">IF(LEFT(Cockpit!$C$5,1)="A",H1335,IF(CA1335=1,CB1335,IF(LEFT(Cockpit!$C$5,1)="B",AJ1335,MAX(AJ1335,H1335))))</f>
        <v>59</v>
      </c>
      <c r="AG1335" s="57" t="n">
        <f aca="false">IF(BT1335=1,0,ROUNDUP(AF1335/BS1335,0))</f>
        <v>2</v>
      </c>
      <c r="AH1335" s="59" t="n">
        <f aca="false">IF(CH1335&gt;0,CH1335*MAX(1,AF1335/X1335),IF(BT1335=1,IF(AF1335&lt;=0,0,BW1335*MAX(1,IF(H1335&gt;0,AF1335/H1335,1))),IF(R1335&gt;0,AG1335/R1335,0))/MAX(0.1,N(Parameter!$M$21)))</f>
        <v>0.166666666666667</v>
      </c>
      <c r="AI1335" s="57" t="n">
        <f aca="false">AF1335*G1335</f>
        <v>2754.71</v>
      </c>
      <c r="AJ1335" s="57" t="n">
        <f aca="false">ROUNDUP(MAX(J1335/IF(BZ1335&gt;0,BZ1335,MAX(0.1,N(Cockpit!$C$6))),CC1335)/BS1335,0)*BS1335</f>
        <v>58</v>
      </c>
      <c r="AK1335" s="58" t="n">
        <f aca="false">IF(AH1335&gt;0,J1335/AH1335,-1)</f>
        <v>162</v>
      </c>
      <c r="AL1335" s="58" t="n">
        <f aca="false">IF(AND(OR(BY1335="L1",BY1335="L23"),AH1335&gt;0),SUMIFS($AH$7:$AH$1843,$BY$7:$BY$1843,BY1335,$AK$7:$AK$1843,"&gt;"&amp;AK1335)+SUMIFS($AH$7:$AH$1843,$BY$7:$BY$1843,BY1335,$AK$7:$AK$1843,AK1335,$BQ$7:$BQ$1843,"&lt;="&amp;BQ1335),"")</f>
        <v>34.3220583764062</v>
      </c>
      <c r="AM1335" s="65" t="n">
        <f aca="false">IF(AL1335="",0,MAX(0,MIN(1,(IF(BY1335="L1",Parameter!$E$5,Parameter!$E$6+Parameter!$E$7)-(AL1335-AH1335))/AH1335)))</f>
        <v>1</v>
      </c>
      <c r="AN1335" s="57" t="n">
        <f aca="false">IF(LEFT(Cockpit!$I$5,1)="A",H1335,IF(CA1335=1,CB1335,IF(LEFT(Cockpit!$I$5,1)="B",AR1335,MAX(AR1335,H1335))))</f>
        <v>59</v>
      </c>
      <c r="AO1335" s="57" t="n">
        <f aca="false">IF(BT1335=1,0,ROUNDUP(AN1335/BS1335,0))</f>
        <v>2</v>
      </c>
      <c r="AP1335" s="59" t="n">
        <f aca="false">IF(CH1335&gt;0,CH1335*MAX(1,AN1335/X1335),IF(BT1335=1,IF(AN1335&lt;=0,0,BW1335*MAX(1,IF(H1335&gt;0,AN1335/H1335,1))),IF(R1335&gt;0,AO1335/R1335,0))/MAX(0.1,N(Parameter!$M$21)))</f>
        <v>0.166666666666667</v>
      </c>
      <c r="AQ1335" s="57" t="n">
        <f aca="false">AN1335*G1335</f>
        <v>2754.71</v>
      </c>
      <c r="AR1335" s="57" t="n">
        <f aca="false">ROUNDUP(MAX(J1335/IF(BZ1335&gt;0,BZ1335,MAX(0.1,N(Cockpit!$I$6))),CC1335)/BS1335,0)*BS1335</f>
        <v>58</v>
      </c>
      <c r="AS1335" s="58" t="n">
        <f aca="false">IF(AP1335&gt;0,J1335/AP1335,-1)</f>
        <v>162</v>
      </c>
      <c r="AT1335" s="58" t="n">
        <f aca="false">IF(AND(OR(BY1335="L1",BY1335="L23"),AP1335&gt;0),SUMIFS($AP$7:$AP$1843,$BY$7:$BY$1843,BY1335,$AS$7:$AS$1843,"&gt;"&amp;AS1335)+SUMIFS($AP$7:$AP$1843,$BY$7:$BY$1843,BY1335,$AS$7:$AS$1843,AS1335,$BQ$7:$BQ$1843,"&lt;="&amp;BQ1335),"")</f>
        <v>48.6121499273673</v>
      </c>
      <c r="AU1335" s="65" t="n">
        <f aca="false">IF(AT1335="",0,MAX(0,MIN(1,(IF(BY1335="L1",Parameter!$E$5,Parameter!$E$6+Parameter!$E$7)-(AT1335-AP1335))/AP1335)))</f>
        <v>1</v>
      </c>
      <c r="AV1335" s="57" t="n">
        <f aca="false">IF(LEFT(Cockpit!$O$5,1)="A",H1335,IF(CA1335=1,CB1335,IF(LEFT(Cockpit!$O$5,1)="B",AZ1335,MAX(AZ1335,H1335))))</f>
        <v>59</v>
      </c>
      <c r="AW1335" s="57" t="n">
        <f aca="false">IF(BT1335=1,0,ROUNDUP(AV1335/BS1335,0))</f>
        <v>2</v>
      </c>
      <c r="AX1335" s="59" t="n">
        <f aca="false">IF(CH1335&gt;0,CH1335*MAX(1,AV1335/X1335),IF(BT1335=1,IF(AV1335&lt;=0,0,BW1335*MAX(1,IF(H1335&gt;0,AV1335/H1335,1))),IF(R1335&gt;0,AW1335/R1335,0))/MAX(0.1,N(Parameter!$M$21)))</f>
        <v>0.166666666666667</v>
      </c>
      <c r="AY1335" s="57" t="n">
        <f aca="false">AV1335*G1335</f>
        <v>2754.71</v>
      </c>
      <c r="AZ1335" s="57" t="n">
        <f aca="false">ROUNDUP(MAX(J1335/IF(BZ1335&gt;0,BZ1335,MAX(0.1,N(Cockpit!$O$6))),CC1335)/BS1335,0)*BS1335</f>
        <v>58</v>
      </c>
      <c r="BA1335" s="58" t="n">
        <f aca="false">IF(AX1335&gt;0,J1335/AX1335,-1)</f>
        <v>162</v>
      </c>
      <c r="BB1335" s="58" t="n">
        <f aca="false">IF(AND(OR(BY1335="L1",BY1335="L23"),AX1335&gt;0),SUMIFS($AX$7:$AX$1843,$BY$7:$BY$1843,BY1335,$BA$7:$BA$1843,"&gt;"&amp;BA1335)+SUMIFS($AX$7:$AX$1843,$BY$7:$BY$1843,BY1335,$BA$7:$BA$1843,BA1335,$BQ$7:$BQ$1843,"&lt;="&amp;BQ1335),"")</f>
        <v>44.1919867572042</v>
      </c>
      <c r="BC1335" s="65" t="n">
        <f aca="false">IF(BB1335="",0,MAX(0,MIN(1,(IF(BY1335="L1",Parameter!$E$5,Parameter!$E$6+Parameter!$E$7)-(BB1335-AX1335))/AX1335)))</f>
        <v>1</v>
      </c>
      <c r="BD1335" s="55" t="str">
        <f aca="false">IF(AH1335&lt;=0,"",IF(BY1335="Aussen","Aussenlager",IF(BY1335="-","Nicht im Lift",IF(AM1335&gt;=1,"Lift",IF(AM1335&lt;=0,"Aussenlager","teilweise")))))</f>
        <v>Lift</v>
      </c>
      <c r="BE1335" s="55" t="str">
        <f aca="false">IF(AP1335&lt;=0,"",IF(BY1335="Aussen","Aussenlager",IF(BY1335="-","Nicht im Lift",IF(AU1335&gt;=1,"Lift",IF(AU1335&lt;=0,"Aussenlager","teilweise")))))</f>
        <v>Lift</v>
      </c>
      <c r="BF1335" s="55" t="str">
        <f aca="false">IF(AX1335&lt;=0,"",IF(BY1335="Aussen","Aussenlager",IF(BY1335="-","Nicht im Lift",IF(BC1335&gt;=1,"Lift",IF(BC1335&lt;=0,"Aussenlager","teilweise")))))</f>
        <v>Lift</v>
      </c>
      <c r="BG1335" s="55" t="str">
        <f aca="false">IF(A1335="","",IF(BP1335=1,"Neu; ","")&amp;IF(AND(BP1335=0,BK1335&lt;0),"negativer Bestand (Export "&amp;BK1335&amp;"); ","")&amp;IF(J1335&lt;=0,"Kein Verbrauch; ","")&amp;IF(CH1335&gt;0,"Lift "&amp;W1335&amp;" lt. Liftbericht (Fach "&amp;X1335&amp;" Stk); ",IF(BU1335=1,"Gebinde geschätzt ("&amp;T1335&amp;"); ",IF(BT1335=1,"Lose – Tablare geschätzt; ","")))&amp;IF(H1335&gt;AR1335,"Überbestand "&amp;ROUND(H1335-AR1335,0)&amp;" Stk / CHF "&amp;ROUND((H1335-AR1335)*G1335,0)&amp;"; ","")&amp;IF(AND(CA1335=1,CB1335&lt;CC1335),"MAX &lt; MB+LG; ","")&amp;IF(AND(CG1335&gt;0,CF1335*10&gt;CG1335),"zu hoch für Tablar; ","")&amp;IF(AND(BP1335=0,OR(CA1335=1,AA1335&lt;&gt;"",U1335&lt;&gt;"",V1335&lt;&gt;"",AB1335&lt;&gt;"")),"manuell übersteuert; ","")&amp;IF(AND(BT1335=0,R1335=0),"Gebinde unbekannt / Stellmass fehlt; ","")&amp;IF(AND(BT1335=0,N(V1335)&lt;=0,N(Q1335)&lt;=0),"Menge pro Gebinde fehlt (Ist = 1 Gebinde); ","")&amp;BO1335)</f>
        <v>negativer Bestand (Export -35); Überbestand 1 Stk / CHF 47; </v>
      </c>
      <c r="BH1335" s="55"/>
      <c r="BI1335" s="55"/>
      <c r="BJ1335" s="62"/>
      <c r="BK1335" s="57" t="n">
        <v>-35</v>
      </c>
      <c r="BL1335" s="57" t="n">
        <v>94</v>
      </c>
      <c r="BM1335" s="56" t="n">
        <v>-1634.15</v>
      </c>
      <c r="BN1335" s="57" t="n">
        <v>27</v>
      </c>
      <c r="BO1335" s="55"/>
      <c r="BP1335" s="60" t="n">
        <v>0</v>
      </c>
      <c r="BQ1335" s="60" t="n">
        <v>1335</v>
      </c>
      <c r="BR1335" s="55" t="str">
        <f aca="false">IF(U1335&lt;&gt;"",UPPER(TRIM(U1335)),IF(BU1335=1,UPPER(VLOOKUP(T1335,Parameter!$I$27:$K$29,2,0)),IF(P1335="","LOSE",P1335)))</f>
        <v>S63</v>
      </c>
      <c r="BS1335" s="57" t="n">
        <f aca="false">IF(BR1335="LOSE",1,IF(N(V1335)&gt;0,V1335,IF(BU1335=1,MAX(1,N(VLOOKUP(T1335,Parameter!$I$27:$K$29,3,0)),H1335,N(N1335)),IF(N(Q1335)&gt;0,Q1335,MAX(1,H1335)))))</f>
        <v>58</v>
      </c>
      <c r="BT1335" s="60" t="n">
        <f aca="false">IF(BR1335="LOSE",1,0)</f>
        <v>0</v>
      </c>
      <c r="BU1335" s="60" t="n">
        <f aca="false">IF(AND(U1335="",OR(P1335="",P1335="LOSE"),T1335&lt;&gt;"",N(S1335)&lt;=0,ISNUMBER(MATCH(T1335,Parameter!$I$27:$I$29,0))),1,0)</f>
        <v>0</v>
      </c>
      <c r="BV1335" s="55" t="str">
        <f aca="false">IF(AND(Parameter!$B$19="Ja",E1335&lt;&gt;"",ISNUMBER(MATCH(E1335,Parameter!$I$35:$I$52,0))),VLOOKUP(E1335,Parameter!$I$35:$J$52,2,0),IFERROR(VLOOKUP(D1335,Parameter!$A$35:$C$64,2,0),"Nein"))</f>
        <v>2+3</v>
      </c>
      <c r="BW1335" s="59" t="n">
        <f aca="false">IF(BT1335=0,0,IF(N(S1335)&gt;0,S1335,IFERROR(VLOOKUP(D1335,Parameter!$A$35:$C$64,3,0)+0,0)))</f>
        <v>0</v>
      </c>
      <c r="BX1335" s="55" t="n">
        <f aca="false">IF(AA1335&lt;&gt;"",AA1335,Z1335)</f>
        <v>2</v>
      </c>
      <c r="BY1335" s="55" t="str">
        <f aca="false">IF(BX1335=1,"L1",IF(OR(BX1335=2,BX1335=3),"L23",IF(BX1335="Aussen","Aussen","-")))</f>
        <v>L23</v>
      </c>
      <c r="BZ1335" s="66" t="n">
        <f aca="false">IF(N(AB1335)&gt;0,AB1335,0)</f>
        <v>0</v>
      </c>
      <c r="CA1335" s="60" t="n">
        <f aca="false">IF(ISNUMBER(AE1335),1,0)</f>
        <v>0</v>
      </c>
      <c r="CB1335" s="57" t="n">
        <f aca="false">N(AE1335)</f>
        <v>0</v>
      </c>
      <c r="CC1335" s="57" t="n">
        <f aca="false">N(M1335)+N(N1335)</f>
        <v>26</v>
      </c>
      <c r="CD1335" s="57" t="n">
        <f aca="false">ROUNDUP(H1335/BS1335,0)</f>
        <v>2</v>
      </c>
      <c r="CE1335" s="57" t="n">
        <f aca="false">ROUNDUP(CB1335/BS1335,0)</f>
        <v>0</v>
      </c>
      <c r="CF1335" s="60" t="n">
        <f aca="false">IF(BT1335=1,0,IFERROR(VLOOKUP(BR1335,'Gebinde-Kategorie'!$A$5:$M$45,5,0)+0,0))</f>
        <v>31</v>
      </c>
      <c r="CG1335" s="60" t="n">
        <f aca="false">IFERROR(IF(OR(BX1335=1,BX1335=2,BX1335=3),N(INDEX(Parameter!$I$5:$I$7,BX1335)),0),0)</f>
        <v>0</v>
      </c>
      <c r="CH1335" s="59" t="n">
        <f aca="false">IF(AND(Parameter!$B$21="Ja",ISNUMBER(W1335),N(X1335)&gt;0),IFERROR(N(INDEX(Parameter!$L$5:$L$7,W1335))*INDEX(Parameter!$E$5:$E$7,W1335)*X1335/SUMIFS($X$7:$X$1843,$W$7:$W$1843,W1335),0),0)</f>
        <v>0</v>
      </c>
    </row>
    <row r="1336" customFormat="false" ht="15" hidden="false" customHeight="false" outlineLevel="0" collapsed="false">
      <c r="A1336" s="55" t="s">
        <v>2367</v>
      </c>
      <c r="B1336" s="55" t="s">
        <v>480</v>
      </c>
      <c r="C1336" s="55" t="s">
        <v>456</v>
      </c>
      <c r="D1336" s="55" t="s">
        <v>173</v>
      </c>
      <c r="E1336" s="55" t="s">
        <v>185</v>
      </c>
      <c r="F1336" s="55" t="s">
        <v>218</v>
      </c>
      <c r="G1336" s="56" t="n">
        <v>103.25</v>
      </c>
      <c r="H1336" s="57" t="n">
        <f aca="false">MAX(0,IF(AND(Parameter!$B$21="Ja",ISNUMBER(Y1336)),Y1336,IF(Parameter!$B$20="Jahresanfang 2025 + Export",BL1336+BK1336,BK1336)))</f>
        <v>0</v>
      </c>
      <c r="I1336" s="57" t="n">
        <f aca="false">H1336*G1336</f>
        <v>0</v>
      </c>
      <c r="J1336" s="57" t="n">
        <f aca="false">BN1336*Parameter!$B$18</f>
        <v>0</v>
      </c>
      <c r="K1336" s="58" t="n">
        <v>16</v>
      </c>
      <c r="L1336" s="59" t="n">
        <v>0</v>
      </c>
      <c r="M1336" s="57" t="n">
        <v>0</v>
      </c>
      <c r="N1336" s="57" t="n">
        <v>1</v>
      </c>
      <c r="O1336" s="60" t="n">
        <v>56</v>
      </c>
      <c r="P1336" s="55" t="s">
        <v>168</v>
      </c>
      <c r="Q1336" s="57"/>
      <c r="R1336" s="60" t="n">
        <f aca="false">IF(BT1336=1,0,IFERROR(VLOOKUP(BR1336,'Gebinde-Kategorie'!$A$5:$M$45,13,0)+0,0))</f>
        <v>12</v>
      </c>
      <c r="S1336" s="61"/>
      <c r="T1336" s="62" t="s">
        <v>179</v>
      </c>
      <c r="U1336" s="62"/>
      <c r="V1336" s="62"/>
      <c r="W1336" s="55"/>
      <c r="X1336" s="57"/>
      <c r="Y1336" s="57"/>
      <c r="Z1336" s="55" t="n">
        <f aca="false">IF(A1336="","",IF(AND(Parameter!$B$21="Ja",ISNUMBER(W1336)),W1336,IF(BV1336="2+3",IF(ISNUMBER(SEARCH("grosser Artikel",BO1336)),2,IFERROR(VLOOKUP(BR1336,Parameter!$F$35:$G$64,2,0),2)),IF(OR(BV1336="Nein",BV1336=""),"-",BV1336))))</f>
        <v>2</v>
      </c>
      <c r="AA1336" s="62"/>
      <c r="AB1336" s="63"/>
      <c r="AC1336" s="57" t="n">
        <f aca="false">AR1336</f>
        <v>4</v>
      </c>
      <c r="AD1336" s="57" t="n">
        <f aca="false">MAX(AR1336,H1336)</f>
        <v>4</v>
      </c>
      <c r="AE1336" s="64"/>
      <c r="AF1336" s="57" t="n">
        <f aca="false">IF(LEFT(Cockpit!$C$5,1)="A",H1336,IF(CA1336=1,CB1336,IF(LEFT(Cockpit!$C$5,1)="B",AJ1336,MAX(AJ1336,H1336))))</f>
        <v>0</v>
      </c>
      <c r="AG1336" s="57" t="n">
        <f aca="false">IF(BT1336=1,0,ROUNDUP(AF1336/BS1336,0))</f>
        <v>0</v>
      </c>
      <c r="AH1336" s="59" t="n">
        <f aca="false">IF(CH1336&gt;0,CH1336*MAX(1,AF1336/X1336),IF(BT1336=1,IF(AF1336&lt;=0,0,BW1336*MAX(1,IF(H1336&gt;0,AF1336/H1336,1))),IF(R1336&gt;0,AG1336/R1336,0))/MAX(0.1,N(Parameter!$M$21)))</f>
        <v>0</v>
      </c>
      <c r="AI1336" s="57" t="n">
        <f aca="false">AF1336*G1336</f>
        <v>0</v>
      </c>
      <c r="AJ1336" s="57" t="n">
        <f aca="false">ROUNDUP(MAX(J1336/IF(BZ1336&gt;0,BZ1336,MAX(0.1,N(Cockpit!$C$6))),CC1336)/BS1336,0)*BS1336</f>
        <v>4</v>
      </c>
      <c r="AK1336" s="58" t="n">
        <f aca="false">IF(AH1336&gt;0,J1336/AH1336,-1)</f>
        <v>-1</v>
      </c>
      <c r="AL1336" s="58" t="str">
        <f aca="false">IF(AND(OR(BY1336="L1",BY1336="L23"),AH1336&gt;0),SUMIFS($AH$7:$AH$1843,$BY$7:$BY$1843,BY1336,$AK$7:$AK$1843,"&gt;"&amp;AK1336)+SUMIFS($AH$7:$AH$1843,$BY$7:$BY$1843,BY1336,$AK$7:$AK$1843,AK1336,$BQ$7:$BQ$1843,"&lt;="&amp;BQ1336),"")</f>
        <v/>
      </c>
      <c r="AM1336" s="65" t="n">
        <f aca="false">IF(AL1336="",0,MAX(0,MIN(1,(IF(BY1336="L1",Parameter!$E$5,Parameter!$E$6+Parameter!$E$7)-(AL1336-AH1336))/AH1336)))</f>
        <v>0</v>
      </c>
      <c r="AN1336" s="57" t="n">
        <f aca="false">IF(LEFT(Cockpit!$I$5,1)="A",H1336,IF(CA1336=1,CB1336,IF(LEFT(Cockpit!$I$5,1)="B",AR1336,MAX(AR1336,H1336))))</f>
        <v>4</v>
      </c>
      <c r="AO1336" s="57" t="n">
        <f aca="false">IF(BT1336=1,0,ROUNDUP(AN1336/BS1336,0))</f>
        <v>1</v>
      </c>
      <c r="AP1336" s="59" t="n">
        <f aca="false">IF(CH1336&gt;0,CH1336*MAX(1,AN1336/X1336),IF(BT1336=1,IF(AN1336&lt;=0,0,BW1336*MAX(1,IF(H1336&gt;0,AN1336/H1336,1))),IF(R1336&gt;0,AO1336/R1336,0))/MAX(0.1,N(Parameter!$M$21)))</f>
        <v>0.0833333333333333</v>
      </c>
      <c r="AQ1336" s="57" t="n">
        <f aca="false">AN1336*G1336</f>
        <v>413</v>
      </c>
      <c r="AR1336" s="57" t="n">
        <f aca="false">ROUNDUP(MAX(J1336/IF(BZ1336&gt;0,BZ1336,MAX(0.1,N(Cockpit!$I$6))),CC1336)/BS1336,0)*BS1336</f>
        <v>4</v>
      </c>
      <c r="AS1336" s="58" t="n">
        <f aca="false">IF(AP1336&gt;0,J1336/AP1336,-1)</f>
        <v>0</v>
      </c>
      <c r="AT1336" s="58" t="n">
        <f aca="false">IF(AND(OR(BY1336="L1",BY1336="L23"),AP1336&gt;0),SUMIFS($AP$7:$AP$1843,$BY$7:$BY$1843,BY1336,$AS$7:$AS$1843,"&gt;"&amp;AS1336)+SUMIFS($AP$7:$AP$1843,$BY$7:$BY$1843,BY1336,$AS$7:$AS$1843,AS1336,$BQ$7:$BQ$1843,"&lt;="&amp;BQ1336),"")</f>
        <v>125.446074456944</v>
      </c>
      <c r="AU1336" s="65" t="n">
        <f aca="false">IF(AT1336="",0,MAX(0,MIN(1,(IF(BY1336="L1",Parameter!$E$5,Parameter!$E$6+Parameter!$E$7)-(AT1336-AP1336))/AP1336)))</f>
        <v>0</v>
      </c>
      <c r="AV1336" s="57" t="n">
        <f aca="false">IF(LEFT(Cockpit!$O$5,1)="A",H1336,IF(CA1336=1,CB1336,IF(LEFT(Cockpit!$O$5,1)="B",AZ1336,MAX(AZ1336,H1336))))</f>
        <v>4</v>
      </c>
      <c r="AW1336" s="57" t="n">
        <f aca="false">IF(BT1336=1,0,ROUNDUP(AV1336/BS1336,0))</f>
        <v>1</v>
      </c>
      <c r="AX1336" s="59" t="n">
        <f aca="false">IF(CH1336&gt;0,CH1336*MAX(1,AV1336/X1336),IF(BT1336=1,IF(AV1336&lt;=0,0,BW1336*MAX(1,IF(H1336&gt;0,AV1336/H1336,1))),IF(R1336&gt;0,AW1336/R1336,0))/MAX(0.1,N(Parameter!$M$21)))</f>
        <v>0.0833333333333333</v>
      </c>
      <c r="AY1336" s="57" t="n">
        <f aca="false">AV1336*G1336</f>
        <v>413</v>
      </c>
      <c r="AZ1336" s="57" t="n">
        <f aca="false">ROUNDUP(MAX(J1336/IF(BZ1336&gt;0,BZ1336,MAX(0.1,N(Cockpit!$O$6))),CC1336)/BS1336,0)*BS1336</f>
        <v>4</v>
      </c>
      <c r="BA1336" s="58" t="n">
        <f aca="false">IF(AX1336&gt;0,J1336/AX1336,-1)</f>
        <v>0</v>
      </c>
      <c r="BB1336" s="58" t="n">
        <f aca="false">IF(AND(OR(BY1336="L1",BY1336="L23"),AX1336&gt;0),SUMIFS($AX$7:$AX$1843,$BY$7:$BY$1843,BY1336,$BA$7:$BA$1843,"&gt;"&amp;BA1336)+SUMIFS($AX$7:$AX$1843,$BY$7:$BY$1843,BY1336,$BA$7:$BA$1843,BA1336,$BQ$7:$BQ$1843,"&lt;="&amp;BQ1336),"")</f>
        <v>116.275911286781</v>
      </c>
      <c r="BC1336" s="65" t="n">
        <f aca="false">IF(BB1336="",0,MAX(0,MIN(1,(IF(BY1336="L1",Parameter!$E$5,Parameter!$E$6+Parameter!$E$7)-(BB1336-AX1336))/AX1336)))</f>
        <v>0</v>
      </c>
      <c r="BD1336" s="55" t="str">
        <f aca="false">IF(AH1336&lt;=0,"",IF(BY1336="Aussen","Aussenlager",IF(BY1336="-","Nicht im Lift",IF(AM1336&gt;=1,"Lift",IF(AM1336&lt;=0,"Aussenlager","teilweise")))))</f>
        <v/>
      </c>
      <c r="BE1336" s="55" t="str">
        <f aca="false">IF(AP1336&lt;=0,"",IF(BY1336="Aussen","Aussenlager",IF(BY1336="-","Nicht im Lift",IF(AU1336&gt;=1,"Lift",IF(AU1336&lt;=0,"Aussenlager","teilweise")))))</f>
        <v>Aussenlager</v>
      </c>
      <c r="BF1336" s="55" t="str">
        <f aca="false">IF(AX1336&lt;=0,"",IF(BY1336="Aussen","Aussenlager",IF(BY1336="-","Nicht im Lift",IF(BC1336&gt;=1,"Lift",IF(BC1336&lt;=0,"Aussenlager","teilweise")))))</f>
        <v>Aussenlager</v>
      </c>
      <c r="BG1336" s="55" t="str">
        <f aca="false">IF(A1336="","",IF(BP1336=1,"Neu; ","")&amp;IF(AND(BP1336=0,BK1336&lt;0),"negativer Bestand (Export "&amp;BK1336&amp;"); ","")&amp;IF(J1336&lt;=0,"Kein Verbrauch; ","")&amp;IF(CH1336&gt;0,"Lift "&amp;W1336&amp;" lt. Liftbericht (Fach "&amp;X1336&amp;" Stk); ",IF(BU1336=1,"Gebinde geschätzt ("&amp;T1336&amp;"); ",IF(BT1336=1,"Lose – Tablare geschätzt; ","")))&amp;IF(H1336&gt;AR1336,"Überbestand "&amp;ROUND(H1336-AR1336,0)&amp;" Stk / CHF "&amp;ROUND((H1336-AR1336)*G1336,0)&amp;"; ","")&amp;IF(AND(CA1336=1,CB1336&lt;CC1336),"MAX &lt; MB+LG; ","")&amp;IF(AND(CG1336&gt;0,CF1336*10&gt;CG1336),"zu hoch für Tablar; ","")&amp;IF(AND(BP1336=0,OR(CA1336=1,AA1336&lt;&gt;"",U1336&lt;&gt;"",V1336&lt;&gt;"",AB1336&lt;&gt;"")),"manuell übersteuert; ","")&amp;IF(AND(BT1336=0,R1336=0),"Gebinde unbekannt / Stellmass fehlt; ","")&amp;IF(AND(BT1336=0,N(V1336)&lt;=0,N(Q1336)&lt;=0),"Menge pro Gebinde fehlt (Ist = 1 Gebinde); ","")&amp;BO1336)</f>
        <v>negativer Bestand (Export -16); Kein Verbrauch; Gebinde geschätzt (Mittel); Menge pro Gebinde fehlt (Ist = 1 Gebinde); grosser Artikel &amp; nicht im KTL</v>
      </c>
      <c r="BH1336" s="55"/>
      <c r="BI1336" s="55"/>
      <c r="BJ1336" s="62"/>
      <c r="BK1336" s="57" t="n">
        <v>-16</v>
      </c>
      <c r="BL1336" s="57" t="n">
        <v>16</v>
      </c>
      <c r="BM1336" s="56" t="n">
        <v>-1652</v>
      </c>
      <c r="BN1336" s="57" t="n">
        <v>0</v>
      </c>
      <c r="BO1336" s="55" t="s">
        <v>261</v>
      </c>
      <c r="BP1336" s="60" t="n">
        <v>0</v>
      </c>
      <c r="BQ1336" s="60" t="n">
        <v>1336</v>
      </c>
      <c r="BR1336" s="55" t="str">
        <f aca="false">IF(U1336&lt;&gt;"",UPPER(TRIM(U1336)),IF(BU1336=1,UPPER(VLOOKUP(T1336,Parameter!$I$27:$K$29,2,0)),IF(P1336="","LOSE",P1336)))</f>
        <v>S61</v>
      </c>
      <c r="BS1336" s="57" t="n">
        <f aca="false">IF(BR1336="LOSE",1,IF(N(V1336)&gt;0,V1336,IF(BU1336=1,MAX(1,N(VLOOKUP(T1336,Parameter!$I$27:$K$29,3,0)),H1336,N(N1336)),IF(N(Q1336)&gt;0,Q1336,MAX(1,H1336)))))</f>
        <v>4</v>
      </c>
      <c r="BT1336" s="60" t="n">
        <f aca="false">IF(BR1336="LOSE",1,0)</f>
        <v>0</v>
      </c>
      <c r="BU1336" s="60" t="n">
        <f aca="false">IF(AND(U1336="",OR(P1336="",P1336="LOSE"),T1336&lt;&gt;"",N(S1336)&lt;=0,ISNUMBER(MATCH(T1336,Parameter!$I$27:$I$29,0))),1,0)</f>
        <v>1</v>
      </c>
      <c r="BV1336" s="55" t="str">
        <f aca="false">IF(AND(Parameter!$B$19="Ja",E1336&lt;&gt;"",ISNUMBER(MATCH(E1336,Parameter!$I$35:$I$52,0))),VLOOKUP(E1336,Parameter!$I$35:$J$52,2,0),IFERROR(VLOOKUP(D1336,Parameter!$A$35:$C$64,2,0),"Nein"))</f>
        <v>2+3</v>
      </c>
      <c r="BW1336" s="59" t="n">
        <f aca="false">IF(BT1336=0,0,IF(N(S1336)&gt;0,S1336,IFERROR(VLOOKUP(D1336,Parameter!$A$35:$C$64,3,0)+0,0)))</f>
        <v>0</v>
      </c>
      <c r="BX1336" s="55" t="n">
        <f aca="false">IF(AA1336&lt;&gt;"",AA1336,Z1336)</f>
        <v>2</v>
      </c>
      <c r="BY1336" s="55" t="str">
        <f aca="false">IF(BX1336=1,"L1",IF(OR(BX1336=2,BX1336=3),"L23",IF(BX1336="Aussen","Aussen","-")))</f>
        <v>L23</v>
      </c>
      <c r="BZ1336" s="66" t="n">
        <f aca="false">IF(N(AB1336)&gt;0,AB1336,0)</f>
        <v>0</v>
      </c>
      <c r="CA1336" s="60" t="n">
        <f aca="false">IF(ISNUMBER(AE1336),1,0)</f>
        <v>0</v>
      </c>
      <c r="CB1336" s="57" t="n">
        <f aca="false">N(AE1336)</f>
        <v>0</v>
      </c>
      <c r="CC1336" s="57" t="n">
        <f aca="false">N(M1336)+N(N1336)</f>
        <v>1</v>
      </c>
      <c r="CD1336" s="57" t="n">
        <f aca="false">ROUNDUP(H1336/BS1336,0)</f>
        <v>0</v>
      </c>
      <c r="CE1336" s="57" t="n">
        <f aca="false">ROUNDUP(CB1336/BS1336,0)</f>
        <v>0</v>
      </c>
      <c r="CF1336" s="60" t="n">
        <f aca="false">IF(BT1336=1,0,IFERROR(VLOOKUP(BR1336,'Gebinde-Kategorie'!$A$5:$M$45,5,0)+0,0))</f>
        <v>11</v>
      </c>
      <c r="CG1336" s="60" t="n">
        <f aca="false">IFERROR(IF(OR(BX1336=1,BX1336=2,BX1336=3),N(INDEX(Parameter!$I$5:$I$7,BX1336)),0),0)</f>
        <v>0</v>
      </c>
      <c r="CH1336" s="59" t="n">
        <f aca="false">IF(AND(Parameter!$B$21="Ja",ISNUMBER(W1336),N(X1336)&gt;0),IFERROR(N(INDEX(Parameter!$L$5:$L$7,W1336))*INDEX(Parameter!$E$5:$E$7,W1336)*X1336/SUMIFS($X$7:$X$1843,$W$7:$W$1843,W1336),0),0)</f>
        <v>0</v>
      </c>
    </row>
    <row r="1337" customFormat="false" ht="15" hidden="false" customHeight="false" outlineLevel="0" collapsed="false">
      <c r="A1337" s="55" t="s">
        <v>2368</v>
      </c>
      <c r="B1337" s="55" t="s">
        <v>598</v>
      </c>
      <c r="C1337" s="55" t="s">
        <v>164</v>
      </c>
      <c r="D1337" s="55" t="s">
        <v>184</v>
      </c>
      <c r="E1337" s="55" t="s">
        <v>185</v>
      </c>
      <c r="F1337" s="55" t="s">
        <v>218</v>
      </c>
      <c r="G1337" s="56" t="n">
        <v>15.91</v>
      </c>
      <c r="H1337" s="57" t="n">
        <f aca="false">MAX(0,IF(AND(Parameter!$B$21="Ja",ISNUMBER(Y1337)),Y1337,IF(Parameter!$B$20="Jahresanfang 2025 + Export",BL1337+BK1337,BK1337)))</f>
        <v>31</v>
      </c>
      <c r="I1337" s="57" t="n">
        <f aca="false">H1337*G1337</f>
        <v>493.21</v>
      </c>
      <c r="J1337" s="57" t="n">
        <f aca="false">BN1337*Parameter!$B$18</f>
        <v>69</v>
      </c>
      <c r="K1337" s="58" t="n">
        <v>101.5</v>
      </c>
      <c r="L1337" s="59" t="n">
        <v>0.679802955665025</v>
      </c>
      <c r="M1337" s="57" t="n">
        <v>2</v>
      </c>
      <c r="N1337" s="57" t="n">
        <v>70</v>
      </c>
      <c r="O1337" s="60" t="n">
        <v>14</v>
      </c>
      <c r="P1337" s="55" t="s">
        <v>476</v>
      </c>
      <c r="Q1337" s="57" t="n">
        <v>86</v>
      </c>
      <c r="R1337" s="60" t="n">
        <f aca="false">IF(BT1337=1,0,IFERROR(VLOOKUP(BR1337,'Gebinde-Kategorie'!$A$5:$M$45,13,0)+0,0))</f>
        <v>66</v>
      </c>
      <c r="S1337" s="61"/>
      <c r="T1337" s="62"/>
      <c r="U1337" s="62"/>
      <c r="V1337" s="62"/>
      <c r="W1337" s="55"/>
      <c r="X1337" s="57"/>
      <c r="Y1337" s="57"/>
      <c r="Z1337" s="55" t="n">
        <f aca="false">IF(A1337="","",IF(AND(Parameter!$B$21="Ja",ISNUMBER(W1337)),W1337,IF(BV1337="2+3",IF(ISNUMBER(SEARCH("grosser Artikel",BO1337)),2,IFERROR(VLOOKUP(BR1337,Parameter!$F$35:$G$64,2,0),2)),IF(OR(BV1337="Nein",BV1337=""),"-",BV1337))))</f>
        <v>3</v>
      </c>
      <c r="AA1337" s="62"/>
      <c r="AB1337" s="63"/>
      <c r="AC1337" s="57" t="n">
        <f aca="false">AR1337</f>
        <v>86</v>
      </c>
      <c r="AD1337" s="57" t="n">
        <f aca="false">MAX(AR1337,H1337)</f>
        <v>86</v>
      </c>
      <c r="AE1337" s="64"/>
      <c r="AF1337" s="57" t="n">
        <f aca="false">IF(LEFT(Cockpit!$C$5,1)="A",H1337,IF(CA1337=1,CB1337,IF(LEFT(Cockpit!$C$5,1)="B",AJ1337,MAX(AJ1337,H1337))))</f>
        <v>31</v>
      </c>
      <c r="AG1337" s="57" t="n">
        <f aca="false">IF(BT1337=1,0,ROUNDUP(AF1337/BS1337,0))</f>
        <v>1</v>
      </c>
      <c r="AH1337" s="59" t="n">
        <f aca="false">IF(CH1337&gt;0,CH1337*MAX(1,AF1337/X1337),IF(BT1337=1,IF(AF1337&lt;=0,0,BW1337*MAX(1,IF(H1337&gt;0,AF1337/H1337,1))),IF(R1337&gt;0,AG1337/R1337,0))/MAX(0.1,N(Parameter!$M$21)))</f>
        <v>0.0151515151515152</v>
      </c>
      <c r="AI1337" s="57" t="n">
        <f aca="false">AF1337*G1337</f>
        <v>493.21</v>
      </c>
      <c r="AJ1337" s="57" t="n">
        <f aca="false">ROUNDUP(MAX(J1337/IF(BZ1337&gt;0,BZ1337,MAX(0.1,N(Cockpit!$C$6))),CC1337)/BS1337,0)*BS1337</f>
        <v>86</v>
      </c>
      <c r="AK1337" s="58" t="n">
        <f aca="false">IF(AH1337&gt;0,J1337/AH1337,-1)</f>
        <v>4554</v>
      </c>
      <c r="AL1337" s="58" t="n">
        <f aca="false">IF(AND(OR(BY1337="L1",BY1337="L23"),AH1337&gt;0),SUMIFS($AH$7:$AH$1843,$BY$7:$BY$1843,BY1337,$AK$7:$AK$1843,"&gt;"&amp;AK1337)+SUMIFS($AH$7:$AH$1843,$BY$7:$BY$1843,BY1337,$AK$7:$AK$1843,AK1337,$BQ$7:$BQ$1843,"&lt;="&amp;BQ1337),"")</f>
        <v>8.12847538934495</v>
      </c>
      <c r="AM1337" s="65" t="n">
        <f aca="false">IF(AL1337="",0,MAX(0,MIN(1,(IF(BY1337="L1",Parameter!$E$5,Parameter!$E$6+Parameter!$E$7)-(AL1337-AH1337))/AH1337)))</f>
        <v>1</v>
      </c>
      <c r="AN1337" s="57" t="n">
        <f aca="false">IF(LEFT(Cockpit!$I$5,1)="A",H1337,IF(CA1337=1,CB1337,IF(LEFT(Cockpit!$I$5,1)="B",AR1337,MAX(AR1337,H1337))))</f>
        <v>86</v>
      </c>
      <c r="AO1337" s="57" t="n">
        <f aca="false">IF(BT1337=1,0,ROUNDUP(AN1337/BS1337,0))</f>
        <v>1</v>
      </c>
      <c r="AP1337" s="59" t="n">
        <f aca="false">IF(CH1337&gt;0,CH1337*MAX(1,AN1337/X1337),IF(BT1337=1,IF(AN1337&lt;=0,0,BW1337*MAX(1,IF(H1337&gt;0,AN1337/H1337,1))),IF(R1337&gt;0,AO1337/R1337,0))/MAX(0.1,N(Parameter!$M$21)))</f>
        <v>0.0151515151515152</v>
      </c>
      <c r="AQ1337" s="57" t="n">
        <f aca="false">AN1337*G1337</f>
        <v>1368.26</v>
      </c>
      <c r="AR1337" s="57" t="n">
        <f aca="false">ROUNDUP(MAX(J1337/IF(BZ1337&gt;0,BZ1337,MAX(0.1,N(Cockpit!$I$6))),CC1337)/BS1337,0)*BS1337</f>
        <v>86</v>
      </c>
      <c r="AS1337" s="58" t="n">
        <f aca="false">IF(AP1337&gt;0,J1337/AP1337,-1)</f>
        <v>4554</v>
      </c>
      <c r="AT1337" s="58" t="n">
        <f aca="false">IF(AND(OR(BY1337="L1",BY1337="L23"),AP1337&gt;0),SUMIFS($AP$7:$AP$1843,$BY$7:$BY$1843,BY1337,$AS$7:$AS$1843,"&gt;"&amp;AS1337)+SUMIFS($AP$7:$AP$1843,$BY$7:$BY$1843,BY1337,$AS$7:$AS$1843,AS1337,$BQ$7:$BQ$1843,"&lt;="&amp;BQ1337),"")</f>
        <v>12.8592868484173</v>
      </c>
      <c r="AU1337" s="65" t="n">
        <f aca="false">IF(AT1337="",0,MAX(0,MIN(1,(IF(BY1337="L1",Parameter!$E$5,Parameter!$E$6+Parameter!$E$7)-(AT1337-AP1337))/AP1337)))</f>
        <v>1</v>
      </c>
      <c r="AV1337" s="57" t="n">
        <f aca="false">IF(LEFT(Cockpit!$O$5,1)="A",H1337,IF(CA1337=1,CB1337,IF(LEFT(Cockpit!$O$5,1)="B",AZ1337,MAX(AZ1337,H1337))))</f>
        <v>86</v>
      </c>
      <c r="AW1337" s="57" t="n">
        <f aca="false">IF(BT1337=1,0,ROUNDUP(AV1337/BS1337,0))</f>
        <v>1</v>
      </c>
      <c r="AX1337" s="59" t="n">
        <f aca="false">IF(CH1337&gt;0,CH1337*MAX(1,AV1337/X1337),IF(BT1337=1,IF(AV1337&lt;=0,0,BW1337*MAX(1,IF(H1337&gt;0,AV1337/H1337,1))),IF(R1337&gt;0,AW1337/R1337,0))/MAX(0.1,N(Parameter!$M$21)))</f>
        <v>0.0151515151515152</v>
      </c>
      <c r="AY1337" s="57" t="n">
        <f aca="false">AV1337*G1337</f>
        <v>1368.26</v>
      </c>
      <c r="AZ1337" s="57" t="n">
        <f aca="false">ROUNDUP(MAX(J1337/IF(BZ1337&gt;0,BZ1337,MAX(0.1,N(Cockpit!$O$6))),CC1337)/BS1337,0)*BS1337</f>
        <v>86</v>
      </c>
      <c r="BA1337" s="58" t="n">
        <f aca="false">IF(AX1337&gt;0,J1337/AX1337,-1)</f>
        <v>4554</v>
      </c>
      <c r="BB1337" s="58" t="n">
        <f aca="false">IF(AND(OR(BY1337="L1",BY1337="L23"),AX1337&gt;0),SUMIFS($AX$7:$AX$1843,$BY$7:$BY$1843,BY1337,$BA$7:$BA$1843,"&gt;"&amp;BA1337)+SUMIFS($AX$7:$AX$1843,$BY$7:$BY$1843,BY1337,$BA$7:$BA$1843,BA1337,$BQ$7:$BQ$1843,"&lt;="&amp;BQ1337),"")</f>
        <v>11.4263031654336</v>
      </c>
      <c r="BC1337" s="65" t="n">
        <f aca="false">IF(BB1337="",0,MAX(0,MIN(1,(IF(BY1337="L1",Parameter!$E$5,Parameter!$E$6+Parameter!$E$7)-(BB1337-AX1337))/AX1337)))</f>
        <v>1</v>
      </c>
      <c r="BD1337" s="55" t="str">
        <f aca="false">IF(AH1337&lt;=0,"",IF(BY1337="Aussen","Aussenlager",IF(BY1337="-","Nicht im Lift",IF(AM1337&gt;=1,"Lift",IF(AM1337&lt;=0,"Aussenlager","teilweise")))))</f>
        <v>Lift</v>
      </c>
      <c r="BE1337" s="55" t="str">
        <f aca="false">IF(AP1337&lt;=0,"",IF(BY1337="Aussen","Aussenlager",IF(BY1337="-","Nicht im Lift",IF(AU1337&gt;=1,"Lift",IF(AU1337&lt;=0,"Aussenlager","teilweise")))))</f>
        <v>Lift</v>
      </c>
      <c r="BF1337" s="55" t="str">
        <f aca="false">IF(AX1337&lt;=0,"",IF(BY1337="Aussen","Aussenlager",IF(BY1337="-","Nicht im Lift",IF(BC1337&gt;=1,"Lift",IF(BC1337&lt;=0,"Aussenlager","teilweise")))))</f>
        <v>Lift</v>
      </c>
      <c r="BG1337" s="55" t="str">
        <f aca="false">IF(A1337="","",IF(BP1337=1,"Neu; ","")&amp;IF(AND(BP1337=0,BK1337&lt;0),"negativer Bestand (Export "&amp;BK1337&amp;"); ","")&amp;IF(J1337&lt;=0,"Kein Verbrauch; ","")&amp;IF(CH1337&gt;0,"Lift "&amp;W1337&amp;" lt. Liftbericht (Fach "&amp;X1337&amp;" Stk); ",IF(BU1337=1,"Gebinde geschätzt ("&amp;T1337&amp;"); ",IF(BT1337=1,"Lose – Tablare geschätzt; ","")))&amp;IF(H1337&gt;AR1337,"Überbestand "&amp;ROUND(H1337-AR1337,0)&amp;" Stk / CHF "&amp;ROUND((H1337-AR1337)*G1337,0)&amp;"; ","")&amp;IF(AND(CA1337=1,CB1337&lt;CC1337),"MAX &lt; MB+LG; ","")&amp;IF(AND(CG1337&gt;0,CF1337*10&gt;CG1337),"zu hoch für Tablar; ","")&amp;IF(AND(BP1337=0,OR(CA1337=1,AA1337&lt;&gt;"",U1337&lt;&gt;"",V1337&lt;&gt;"",AB1337&lt;&gt;"")),"manuell übersteuert; ","")&amp;IF(AND(BT1337=0,R1337=0),"Gebinde unbekannt / Stellmass fehlt; ","")&amp;IF(AND(BT1337=0,N(V1337)&lt;=0,N(Q1337)&lt;=0),"Menge pro Gebinde fehlt (Ist = 1 Gebinde); ","")&amp;BO1337)</f>
        <v>negativer Bestand (Export -104); </v>
      </c>
      <c r="BH1337" s="55"/>
      <c r="BI1337" s="55"/>
      <c r="BJ1337" s="62"/>
      <c r="BK1337" s="57" t="n">
        <v>-104</v>
      </c>
      <c r="BL1337" s="57" t="n">
        <v>135</v>
      </c>
      <c r="BM1337" s="56" t="n">
        <v>-1654.64</v>
      </c>
      <c r="BN1337" s="57" t="n">
        <v>69</v>
      </c>
      <c r="BO1337" s="55"/>
      <c r="BP1337" s="60" t="n">
        <v>0</v>
      </c>
      <c r="BQ1337" s="60" t="n">
        <v>1337</v>
      </c>
      <c r="BR1337" s="55" t="str">
        <f aca="false">IF(U1337&lt;&gt;"",UPPER(TRIM(U1337)),IF(BU1337=1,UPPER(VLOOKUP(T1337,Parameter!$I$27:$K$29,2,0)),IF(P1337="","LOSE",P1337)))</f>
        <v>S33</v>
      </c>
      <c r="BS1337" s="57" t="n">
        <f aca="false">IF(BR1337="LOSE",1,IF(N(V1337)&gt;0,V1337,IF(BU1337=1,MAX(1,N(VLOOKUP(T1337,Parameter!$I$27:$K$29,3,0)),H1337,N(N1337)),IF(N(Q1337)&gt;0,Q1337,MAX(1,H1337)))))</f>
        <v>86</v>
      </c>
      <c r="BT1337" s="60" t="n">
        <f aca="false">IF(BR1337="LOSE",1,0)</f>
        <v>0</v>
      </c>
      <c r="BU1337" s="60" t="n">
        <f aca="false">IF(AND(U1337="",OR(P1337="",P1337="LOSE"),T1337&lt;&gt;"",N(S1337)&lt;=0,ISNUMBER(MATCH(T1337,Parameter!$I$27:$I$29,0))),1,0)</f>
        <v>0</v>
      </c>
      <c r="BV1337" s="55" t="str">
        <f aca="false">IF(AND(Parameter!$B$19="Ja",E1337&lt;&gt;"",ISNUMBER(MATCH(E1337,Parameter!$I$35:$I$52,0))),VLOOKUP(E1337,Parameter!$I$35:$J$52,2,0),IFERROR(VLOOKUP(D1337,Parameter!$A$35:$C$64,2,0),"Nein"))</f>
        <v>2+3</v>
      </c>
      <c r="BW1337" s="59" t="n">
        <f aca="false">IF(BT1337=0,0,IF(N(S1337)&gt;0,S1337,IFERROR(VLOOKUP(D1337,Parameter!$A$35:$C$64,3,0)+0,0)))</f>
        <v>0</v>
      </c>
      <c r="BX1337" s="55" t="n">
        <f aca="false">IF(AA1337&lt;&gt;"",AA1337,Z1337)</f>
        <v>3</v>
      </c>
      <c r="BY1337" s="55" t="str">
        <f aca="false">IF(BX1337=1,"L1",IF(OR(BX1337=2,BX1337=3),"L23",IF(BX1337="Aussen","Aussen","-")))</f>
        <v>L23</v>
      </c>
      <c r="BZ1337" s="66" t="n">
        <f aca="false">IF(N(AB1337)&gt;0,AB1337,0)</f>
        <v>0</v>
      </c>
      <c r="CA1337" s="60" t="n">
        <f aca="false">IF(ISNUMBER(AE1337),1,0)</f>
        <v>0</v>
      </c>
      <c r="CB1337" s="57" t="n">
        <f aca="false">N(AE1337)</f>
        <v>0</v>
      </c>
      <c r="CC1337" s="57" t="n">
        <f aca="false">N(M1337)+N(N1337)</f>
        <v>72</v>
      </c>
      <c r="CD1337" s="57" t="n">
        <f aca="false">ROUNDUP(H1337/BS1337,0)</f>
        <v>1</v>
      </c>
      <c r="CE1337" s="57" t="n">
        <f aca="false">ROUNDUP(CB1337/BS1337,0)</f>
        <v>0</v>
      </c>
      <c r="CF1337" s="60" t="n">
        <f aca="false">IF(BT1337=1,0,IFERROR(VLOOKUP(BR1337,'Gebinde-Kategorie'!$A$5:$M$45,5,0)+0,0))</f>
        <v>8</v>
      </c>
      <c r="CG1337" s="60" t="n">
        <f aca="false">IFERROR(IF(OR(BX1337=1,BX1337=2,BX1337=3),N(INDEX(Parameter!$I$5:$I$7,BX1337)),0),0)</f>
        <v>0</v>
      </c>
      <c r="CH1337" s="59" t="n">
        <f aca="false">IF(AND(Parameter!$B$21="Ja",ISNUMBER(W1337),N(X1337)&gt;0),IFERROR(N(INDEX(Parameter!$L$5:$L$7,W1337))*INDEX(Parameter!$E$5:$E$7,W1337)*X1337/SUMIFS($X$7:$X$1843,$W$7:$W$1843,W1337),0),0)</f>
        <v>0</v>
      </c>
    </row>
    <row r="1338" customFormat="false" ht="15" hidden="false" customHeight="false" outlineLevel="0" collapsed="false">
      <c r="A1338" s="55" t="s">
        <v>2369</v>
      </c>
      <c r="B1338" s="55" t="s">
        <v>1365</v>
      </c>
      <c r="C1338" s="55" t="s">
        <v>164</v>
      </c>
      <c r="D1338" s="55" t="s">
        <v>184</v>
      </c>
      <c r="E1338" s="55"/>
      <c r="F1338" s="55" t="s">
        <v>218</v>
      </c>
      <c r="G1338" s="56" t="n">
        <v>84.96</v>
      </c>
      <c r="H1338" s="57" t="n">
        <f aca="false">MAX(0,IF(AND(Parameter!$B$21="Ja",ISNUMBER(Y1338)),Y1338,IF(Parameter!$B$20="Jahresanfang 2025 + Export",BL1338+BK1338,BK1338)))</f>
        <v>48</v>
      </c>
      <c r="I1338" s="57" t="n">
        <f aca="false">H1338*G1338</f>
        <v>4078.08</v>
      </c>
      <c r="J1338" s="57" t="n">
        <f aca="false">BN1338*Parameter!$B$18</f>
        <v>192</v>
      </c>
      <c r="K1338" s="58" t="n">
        <v>38</v>
      </c>
      <c r="L1338" s="59" t="n">
        <v>5.05263157894737</v>
      </c>
      <c r="M1338" s="57" t="n">
        <v>10</v>
      </c>
      <c r="N1338" s="57" t="n">
        <v>60</v>
      </c>
      <c r="O1338" s="60" t="n">
        <v>14</v>
      </c>
      <c r="P1338" s="55" t="s">
        <v>293</v>
      </c>
      <c r="Q1338" s="57" t="n">
        <v>100</v>
      </c>
      <c r="R1338" s="60" t="n">
        <f aca="false">IF(BT1338=1,0,IFERROR(VLOOKUP(BR1338,'Gebinde-Kategorie'!$A$5:$M$45,13,0)+0,0))</f>
        <v>12</v>
      </c>
      <c r="S1338" s="61"/>
      <c r="T1338" s="62"/>
      <c r="U1338" s="62"/>
      <c r="V1338" s="62"/>
      <c r="W1338" s="55"/>
      <c r="X1338" s="57"/>
      <c r="Y1338" s="57"/>
      <c r="Z1338" s="55" t="n">
        <f aca="false">IF(A1338="","",IF(AND(Parameter!$B$21="Ja",ISNUMBER(W1338)),W1338,IF(BV1338="2+3",IF(ISNUMBER(SEARCH("grosser Artikel",BO1338)),2,IFERROR(VLOOKUP(BR1338,Parameter!$F$35:$G$64,2,0),2)),IF(OR(BV1338="Nein",BV1338=""),"-",BV1338))))</f>
        <v>2</v>
      </c>
      <c r="AA1338" s="62"/>
      <c r="AB1338" s="63"/>
      <c r="AC1338" s="57" t="n">
        <f aca="false">AR1338</f>
        <v>100</v>
      </c>
      <c r="AD1338" s="57" t="n">
        <f aca="false">MAX(AR1338,H1338)</f>
        <v>100</v>
      </c>
      <c r="AE1338" s="64"/>
      <c r="AF1338" s="57" t="n">
        <f aca="false">IF(LEFT(Cockpit!$C$5,1)="A",H1338,IF(CA1338=1,CB1338,IF(LEFT(Cockpit!$C$5,1)="B",AJ1338,MAX(AJ1338,H1338))))</f>
        <v>48</v>
      </c>
      <c r="AG1338" s="57" t="n">
        <f aca="false">IF(BT1338=1,0,ROUNDUP(AF1338/BS1338,0))</f>
        <v>1</v>
      </c>
      <c r="AH1338" s="59" t="n">
        <f aca="false">IF(CH1338&gt;0,CH1338*MAX(1,AF1338/X1338),IF(BT1338=1,IF(AF1338&lt;=0,0,BW1338*MAX(1,IF(H1338&gt;0,AF1338/H1338,1))),IF(R1338&gt;0,AG1338/R1338,0))/MAX(0.1,N(Parameter!$M$21)))</f>
        <v>0.0833333333333333</v>
      </c>
      <c r="AI1338" s="57" t="n">
        <f aca="false">AF1338*G1338</f>
        <v>4078.08</v>
      </c>
      <c r="AJ1338" s="57" t="n">
        <f aca="false">ROUNDUP(MAX(J1338/IF(BZ1338&gt;0,BZ1338,MAX(0.1,N(Cockpit!$C$6))),CC1338)/BS1338,0)*BS1338</f>
        <v>100</v>
      </c>
      <c r="AK1338" s="58" t="n">
        <f aca="false">IF(AH1338&gt;0,J1338/AH1338,-1)</f>
        <v>2304</v>
      </c>
      <c r="AL1338" s="58" t="n">
        <f aca="false">IF(AND(OR(BY1338="L1",BY1338="L23"),AH1338&gt;0),SUMIFS($AH$7:$AH$1843,$BY$7:$BY$1843,BY1338,$AK$7:$AK$1843,"&gt;"&amp;AK1338)+SUMIFS($AH$7:$AH$1843,$BY$7:$BY$1843,BY1338,$AK$7:$AK$1843,AK1338,$BQ$7:$BQ$1843,"&lt;="&amp;BQ1338),"")</f>
        <v>12.4646464646465</v>
      </c>
      <c r="AM1338" s="65" t="n">
        <f aca="false">IF(AL1338="",0,MAX(0,MIN(1,(IF(BY1338="L1",Parameter!$E$5,Parameter!$E$6+Parameter!$E$7)-(AL1338-AH1338))/AH1338)))</f>
        <v>1</v>
      </c>
      <c r="AN1338" s="57" t="n">
        <f aca="false">IF(LEFT(Cockpit!$I$5,1)="A",H1338,IF(CA1338=1,CB1338,IF(LEFT(Cockpit!$I$5,1)="B",AR1338,MAX(AR1338,H1338))))</f>
        <v>100</v>
      </c>
      <c r="AO1338" s="57" t="n">
        <f aca="false">IF(BT1338=1,0,ROUNDUP(AN1338/BS1338,0))</f>
        <v>1</v>
      </c>
      <c r="AP1338" s="59" t="n">
        <f aca="false">IF(CH1338&gt;0,CH1338*MAX(1,AN1338/X1338),IF(BT1338=1,IF(AN1338&lt;=0,0,BW1338*MAX(1,IF(H1338&gt;0,AN1338/H1338,1))),IF(R1338&gt;0,AO1338/R1338,0))/MAX(0.1,N(Parameter!$M$21)))</f>
        <v>0.0833333333333333</v>
      </c>
      <c r="AQ1338" s="57" t="n">
        <f aca="false">AN1338*G1338</f>
        <v>8496</v>
      </c>
      <c r="AR1338" s="57" t="n">
        <f aca="false">ROUNDUP(MAX(J1338/IF(BZ1338&gt;0,BZ1338,MAX(0.1,N(Cockpit!$I$6))),CC1338)/BS1338,0)*BS1338</f>
        <v>100</v>
      </c>
      <c r="AS1338" s="58" t="n">
        <f aca="false">IF(AP1338&gt;0,J1338/AP1338,-1)</f>
        <v>2304</v>
      </c>
      <c r="AT1338" s="58" t="n">
        <f aca="false">IF(AND(OR(BY1338="L1",BY1338="L23"),AP1338&gt;0),SUMIFS($AP$7:$AP$1843,$BY$7:$BY$1843,BY1338,$AS$7:$AS$1843,"&gt;"&amp;AS1338)+SUMIFS($AP$7:$AP$1843,$BY$7:$BY$1843,BY1338,$AS$7:$AS$1843,AS1338,$BQ$7:$BQ$1843,"&lt;="&amp;BQ1338),"")</f>
        <v>18.0072294854904</v>
      </c>
      <c r="AU1338" s="65" t="n">
        <f aca="false">IF(AT1338="",0,MAX(0,MIN(1,(IF(BY1338="L1",Parameter!$E$5,Parameter!$E$6+Parameter!$E$7)-(AT1338-AP1338))/AP1338)))</f>
        <v>1</v>
      </c>
      <c r="AV1338" s="57" t="n">
        <f aca="false">IF(LEFT(Cockpit!$O$5,1)="A",H1338,IF(CA1338=1,CB1338,IF(LEFT(Cockpit!$O$5,1)="B",AZ1338,MAX(AZ1338,H1338))))</f>
        <v>100</v>
      </c>
      <c r="AW1338" s="57" t="n">
        <f aca="false">IF(BT1338=1,0,ROUNDUP(AV1338/BS1338,0))</f>
        <v>1</v>
      </c>
      <c r="AX1338" s="59" t="n">
        <f aca="false">IF(CH1338&gt;0,CH1338*MAX(1,AV1338/X1338),IF(BT1338=1,IF(AV1338&lt;=0,0,BW1338*MAX(1,IF(H1338&gt;0,AV1338/H1338,1))),IF(R1338&gt;0,AW1338/R1338,0))/MAX(0.1,N(Parameter!$M$21)))</f>
        <v>0.0833333333333333</v>
      </c>
      <c r="AY1338" s="57" t="n">
        <f aca="false">AV1338*G1338</f>
        <v>8496</v>
      </c>
      <c r="AZ1338" s="57" t="n">
        <f aca="false">ROUNDUP(MAX(J1338/IF(BZ1338&gt;0,BZ1338,MAX(0.1,N(Cockpit!$O$6))),CC1338)/BS1338,0)*BS1338</f>
        <v>100</v>
      </c>
      <c r="BA1338" s="58" t="n">
        <f aca="false">IF(AX1338&gt;0,J1338/AX1338,-1)</f>
        <v>2304</v>
      </c>
      <c r="BB1338" s="58" t="n">
        <f aca="false">IF(AND(OR(BY1338="L1",BY1338="L23"),AX1338&gt;0),SUMIFS($AX$7:$AX$1843,$BY$7:$BY$1843,BY1338,$BA$7:$BA$1843,"&gt;"&amp;BA1338)+SUMIFS($AX$7:$AX$1843,$BY$7:$BY$1843,BY1338,$BA$7:$BA$1843,BA1338,$BQ$7:$BQ$1843,"&lt;="&amp;BQ1338),"")</f>
        <v>16.5806560589169</v>
      </c>
      <c r="BC1338" s="65" t="n">
        <f aca="false">IF(BB1338="",0,MAX(0,MIN(1,(IF(BY1338="L1",Parameter!$E$5,Parameter!$E$6+Parameter!$E$7)-(BB1338-AX1338))/AX1338)))</f>
        <v>1</v>
      </c>
      <c r="BD1338" s="55" t="str">
        <f aca="false">IF(AH1338&lt;=0,"",IF(BY1338="Aussen","Aussenlager",IF(BY1338="-","Nicht im Lift",IF(AM1338&gt;=1,"Lift",IF(AM1338&lt;=0,"Aussenlager","teilweise")))))</f>
        <v>Lift</v>
      </c>
      <c r="BE1338" s="55" t="str">
        <f aca="false">IF(AP1338&lt;=0,"",IF(BY1338="Aussen","Aussenlager",IF(BY1338="-","Nicht im Lift",IF(AU1338&gt;=1,"Lift",IF(AU1338&lt;=0,"Aussenlager","teilweise")))))</f>
        <v>Lift</v>
      </c>
      <c r="BF1338" s="55" t="str">
        <f aca="false">IF(AX1338&lt;=0,"",IF(BY1338="Aussen","Aussenlager",IF(BY1338="-","Nicht im Lift",IF(BC1338&gt;=1,"Lift",IF(BC1338&lt;=0,"Aussenlager","teilweise")))))</f>
        <v>Lift</v>
      </c>
      <c r="BG1338" s="55" t="str">
        <f aca="false">IF(A1338="","",IF(BP1338=1,"Neu; ","")&amp;IF(AND(BP1338=0,BK1338&lt;0),"negativer Bestand (Export "&amp;BK1338&amp;"); ","")&amp;IF(J1338&lt;=0,"Kein Verbrauch; ","")&amp;IF(CH1338&gt;0,"Lift "&amp;W1338&amp;" lt. Liftbericht (Fach "&amp;X1338&amp;" Stk); ",IF(BU1338=1,"Gebinde geschätzt ("&amp;T1338&amp;"); ",IF(BT1338=1,"Lose – Tablare geschätzt; ","")))&amp;IF(H1338&gt;AR1338,"Überbestand "&amp;ROUND(H1338-AR1338,0)&amp;" Stk / CHF "&amp;ROUND((H1338-AR1338)*G1338,0)&amp;"; ","")&amp;IF(AND(CA1338=1,CB1338&lt;CC1338),"MAX &lt; MB+LG; ","")&amp;IF(AND(CG1338&gt;0,CF1338*10&gt;CG1338),"zu hoch für Tablar; ","")&amp;IF(AND(BP1338=0,OR(CA1338=1,AA1338&lt;&gt;"",U1338&lt;&gt;"",V1338&lt;&gt;"",AB1338&lt;&gt;"")),"manuell übersteuert; ","")&amp;IF(AND(BT1338=0,R1338=0),"Gebinde unbekannt / Stellmass fehlt; ","")&amp;IF(AND(BT1338=0,N(V1338)&lt;=0,N(Q1338)&lt;=0),"Menge pro Gebinde fehlt (Ist = 1 Gebinde); ","")&amp;BO1338)</f>
        <v/>
      </c>
      <c r="BH1338" s="55"/>
      <c r="BI1338" s="55"/>
      <c r="BJ1338" s="62"/>
      <c r="BK1338" s="57" t="n">
        <v>10</v>
      </c>
      <c r="BL1338" s="57" t="n">
        <v>38</v>
      </c>
      <c r="BM1338" s="56" t="n">
        <v>-1696.37000000001</v>
      </c>
      <c r="BN1338" s="57" t="n">
        <v>192</v>
      </c>
      <c r="BO1338" s="55"/>
      <c r="BP1338" s="60" t="n">
        <v>0</v>
      </c>
      <c r="BQ1338" s="60" t="n">
        <v>1338</v>
      </c>
      <c r="BR1338" s="55" t="str">
        <f aca="false">IF(U1338&lt;&gt;"",UPPER(TRIM(U1338)),IF(BU1338=1,UPPER(VLOOKUP(T1338,Parameter!$I$27:$K$29,2,0)),IF(P1338="","LOSE",P1338)))</f>
        <v>S62</v>
      </c>
      <c r="BS1338" s="57" t="n">
        <f aca="false">IF(BR1338="LOSE",1,IF(N(V1338)&gt;0,V1338,IF(BU1338=1,MAX(1,N(VLOOKUP(T1338,Parameter!$I$27:$K$29,3,0)),H1338,N(N1338)),IF(N(Q1338)&gt;0,Q1338,MAX(1,H1338)))))</f>
        <v>100</v>
      </c>
      <c r="BT1338" s="60" t="n">
        <f aca="false">IF(BR1338="LOSE",1,0)</f>
        <v>0</v>
      </c>
      <c r="BU1338" s="60" t="n">
        <f aca="false">IF(AND(U1338="",OR(P1338="",P1338="LOSE"),T1338&lt;&gt;"",N(S1338)&lt;=0,ISNUMBER(MATCH(T1338,Parameter!$I$27:$I$29,0))),1,0)</f>
        <v>0</v>
      </c>
      <c r="BV1338" s="55" t="str">
        <f aca="false">IF(AND(Parameter!$B$19="Ja",E1338&lt;&gt;"",ISNUMBER(MATCH(E1338,Parameter!$I$35:$I$52,0))),VLOOKUP(E1338,Parameter!$I$35:$J$52,2,0),IFERROR(VLOOKUP(D1338,Parameter!$A$35:$C$64,2,0),"Nein"))</f>
        <v>2+3</v>
      </c>
      <c r="BW1338" s="59" t="n">
        <f aca="false">IF(BT1338=0,0,IF(N(S1338)&gt;0,S1338,IFERROR(VLOOKUP(D1338,Parameter!$A$35:$C$64,3,0)+0,0)))</f>
        <v>0</v>
      </c>
      <c r="BX1338" s="55" t="n">
        <f aca="false">IF(AA1338&lt;&gt;"",AA1338,Z1338)</f>
        <v>2</v>
      </c>
      <c r="BY1338" s="55" t="str">
        <f aca="false">IF(BX1338=1,"L1",IF(OR(BX1338=2,BX1338=3),"L23",IF(BX1338="Aussen","Aussen","-")))</f>
        <v>L23</v>
      </c>
      <c r="BZ1338" s="66" t="n">
        <f aca="false">IF(N(AB1338)&gt;0,AB1338,0)</f>
        <v>0</v>
      </c>
      <c r="CA1338" s="60" t="n">
        <f aca="false">IF(ISNUMBER(AE1338),1,0)</f>
        <v>0</v>
      </c>
      <c r="CB1338" s="57" t="n">
        <f aca="false">N(AE1338)</f>
        <v>0</v>
      </c>
      <c r="CC1338" s="57" t="n">
        <f aca="false">N(M1338)+N(N1338)</f>
        <v>70</v>
      </c>
      <c r="CD1338" s="57" t="n">
        <f aca="false">ROUNDUP(H1338/BS1338,0)</f>
        <v>1</v>
      </c>
      <c r="CE1338" s="57" t="n">
        <f aca="false">ROUNDUP(CB1338/BS1338,0)</f>
        <v>0</v>
      </c>
      <c r="CF1338" s="60" t="n">
        <f aca="false">IF(BT1338=1,0,IFERROR(VLOOKUP(BR1338,'Gebinde-Kategorie'!$A$5:$M$45,5,0)+0,0))</f>
        <v>21</v>
      </c>
      <c r="CG1338" s="60" t="n">
        <f aca="false">IFERROR(IF(OR(BX1338=1,BX1338=2,BX1338=3),N(INDEX(Parameter!$I$5:$I$7,BX1338)),0),0)</f>
        <v>0</v>
      </c>
      <c r="CH1338" s="59" t="n">
        <f aca="false">IF(AND(Parameter!$B$21="Ja",ISNUMBER(W1338),N(X1338)&gt;0),IFERROR(N(INDEX(Parameter!$L$5:$L$7,W1338))*INDEX(Parameter!$E$5:$E$7,W1338)*X1338/SUMIFS($X$7:$X$1843,$W$7:$W$1843,W1338),0),0)</f>
        <v>0</v>
      </c>
    </row>
    <row r="1339" customFormat="false" ht="15" hidden="false" customHeight="false" outlineLevel="0" collapsed="false">
      <c r="A1339" s="55" t="s">
        <v>2370</v>
      </c>
      <c r="B1339" s="55" t="s">
        <v>814</v>
      </c>
      <c r="C1339" s="55" t="s">
        <v>164</v>
      </c>
      <c r="D1339" s="55" t="s">
        <v>184</v>
      </c>
      <c r="E1339" s="55" t="s">
        <v>185</v>
      </c>
      <c r="F1339" s="55" t="s">
        <v>218</v>
      </c>
      <c r="G1339" s="56" t="n">
        <v>90.07</v>
      </c>
      <c r="H1339" s="57" t="n">
        <f aca="false">MAX(0,IF(AND(Parameter!$B$21="Ja",ISNUMBER(Y1339)),Y1339,IF(Parameter!$B$20="Jahresanfang 2025 + Export",BL1339+BK1339,BK1339)))</f>
        <v>9</v>
      </c>
      <c r="I1339" s="57" t="n">
        <f aca="false">H1339*G1339</f>
        <v>810.63</v>
      </c>
      <c r="J1339" s="57" t="n">
        <f aca="false">BN1339*Parameter!$B$18</f>
        <v>20</v>
      </c>
      <c r="K1339" s="58" t="n">
        <v>24</v>
      </c>
      <c r="L1339" s="59" t="n">
        <v>0.833333333333333</v>
      </c>
      <c r="M1339" s="57" t="n">
        <v>7</v>
      </c>
      <c r="N1339" s="57" t="n">
        <v>50</v>
      </c>
      <c r="O1339" s="60" t="n">
        <v>126</v>
      </c>
      <c r="P1339" s="55" t="s">
        <v>328</v>
      </c>
      <c r="Q1339" s="57" t="n">
        <v>52</v>
      </c>
      <c r="R1339" s="60" t="n">
        <f aca="false">IF(BT1339=1,0,IFERROR(VLOOKUP(BR1339,'Gebinde-Kategorie'!$A$5:$M$45,13,0)+0,0))</f>
        <v>52</v>
      </c>
      <c r="S1339" s="61"/>
      <c r="T1339" s="62"/>
      <c r="U1339" s="62"/>
      <c r="V1339" s="62"/>
      <c r="W1339" s="55"/>
      <c r="X1339" s="57"/>
      <c r="Y1339" s="57"/>
      <c r="Z1339" s="55" t="n">
        <f aca="false">IF(A1339="","",IF(AND(Parameter!$B$21="Ja",ISNUMBER(W1339)),W1339,IF(BV1339="2+3",IF(ISNUMBER(SEARCH("grosser Artikel",BO1339)),2,IFERROR(VLOOKUP(BR1339,Parameter!$F$35:$G$64,2,0),2)),IF(OR(BV1339="Nein",BV1339=""),"-",BV1339))))</f>
        <v>3</v>
      </c>
      <c r="AA1339" s="62"/>
      <c r="AB1339" s="63"/>
      <c r="AC1339" s="57" t="n">
        <f aca="false">AR1339</f>
        <v>104</v>
      </c>
      <c r="AD1339" s="57" t="n">
        <f aca="false">MAX(AR1339,H1339)</f>
        <v>104</v>
      </c>
      <c r="AE1339" s="64"/>
      <c r="AF1339" s="57" t="n">
        <f aca="false">IF(LEFT(Cockpit!$C$5,1)="A",H1339,IF(CA1339=1,CB1339,IF(LEFT(Cockpit!$C$5,1)="B",AJ1339,MAX(AJ1339,H1339))))</f>
        <v>9</v>
      </c>
      <c r="AG1339" s="57" t="n">
        <f aca="false">IF(BT1339=1,0,ROUNDUP(AF1339/BS1339,0))</f>
        <v>1</v>
      </c>
      <c r="AH1339" s="59" t="n">
        <f aca="false">IF(CH1339&gt;0,CH1339*MAX(1,AF1339/X1339),IF(BT1339=1,IF(AF1339&lt;=0,0,BW1339*MAX(1,IF(H1339&gt;0,AF1339/H1339,1))),IF(R1339&gt;0,AG1339/R1339,0))/MAX(0.1,N(Parameter!$M$21)))</f>
        <v>0.0192307692307692</v>
      </c>
      <c r="AI1339" s="57" t="n">
        <f aca="false">AF1339*G1339</f>
        <v>810.63</v>
      </c>
      <c r="AJ1339" s="57" t="n">
        <f aca="false">ROUNDUP(MAX(J1339/IF(BZ1339&gt;0,BZ1339,MAX(0.1,N(Cockpit!$C$6))),CC1339)/BS1339,0)*BS1339</f>
        <v>104</v>
      </c>
      <c r="AK1339" s="58" t="n">
        <f aca="false">IF(AH1339&gt;0,J1339/AH1339,-1)</f>
        <v>1040</v>
      </c>
      <c r="AL1339" s="58" t="n">
        <f aca="false">IF(AND(OR(BY1339="L1",BY1339="L23"),AH1339&gt;0),SUMIFS($AH$7:$AH$1843,$BY$7:$BY$1843,BY1339,$AK$7:$AK$1843,"&gt;"&amp;AK1339)+SUMIFS($AH$7:$AH$1843,$BY$7:$BY$1843,BY1339,$AK$7:$AK$1843,AK1339,$BQ$7:$BQ$1843,"&lt;="&amp;BQ1339),"")</f>
        <v>17.3844380257424</v>
      </c>
      <c r="AM1339" s="65" t="n">
        <f aca="false">IF(AL1339="",0,MAX(0,MIN(1,(IF(BY1339="L1",Parameter!$E$5,Parameter!$E$6+Parameter!$E$7)-(AL1339-AH1339))/AH1339)))</f>
        <v>1</v>
      </c>
      <c r="AN1339" s="57" t="n">
        <f aca="false">IF(LEFT(Cockpit!$I$5,1)="A",H1339,IF(CA1339=1,CB1339,IF(LEFT(Cockpit!$I$5,1)="B",AR1339,MAX(AR1339,H1339))))</f>
        <v>104</v>
      </c>
      <c r="AO1339" s="57" t="n">
        <f aca="false">IF(BT1339=1,0,ROUNDUP(AN1339/BS1339,0))</f>
        <v>2</v>
      </c>
      <c r="AP1339" s="59" t="n">
        <f aca="false">IF(CH1339&gt;0,CH1339*MAX(1,AN1339/X1339),IF(BT1339=1,IF(AN1339&lt;=0,0,BW1339*MAX(1,IF(H1339&gt;0,AN1339/H1339,1))),IF(R1339&gt;0,AO1339/R1339,0))/MAX(0.1,N(Parameter!$M$21)))</f>
        <v>0.0384615384615385</v>
      </c>
      <c r="AQ1339" s="57" t="n">
        <f aca="false">AN1339*G1339</f>
        <v>9367.28</v>
      </c>
      <c r="AR1339" s="57" t="n">
        <f aca="false">ROUNDUP(MAX(J1339/IF(BZ1339&gt;0,BZ1339,MAX(0.1,N(Cockpit!$I$6))),CC1339)/BS1339,0)*BS1339</f>
        <v>104</v>
      </c>
      <c r="AS1339" s="58" t="n">
        <f aca="false">IF(AP1339&gt;0,J1339/AP1339,-1)</f>
        <v>520</v>
      </c>
      <c r="AT1339" s="58" t="n">
        <f aca="false">IF(AND(OR(BY1339="L1",BY1339="L23"),AP1339&gt;0),SUMIFS($AP$7:$AP$1843,$BY$7:$BY$1843,BY1339,$AS$7:$AS$1843,"&gt;"&amp;AS1339)+SUMIFS($AP$7:$AP$1843,$BY$7:$BY$1843,BY1339,$AS$7:$AS$1843,AS1339,$BQ$7:$BQ$1843,"&lt;="&amp;BQ1339),"")</f>
        <v>32.7715533259012</v>
      </c>
      <c r="AU1339" s="65" t="n">
        <f aca="false">IF(AT1339="",0,MAX(0,MIN(1,(IF(BY1339="L1",Parameter!$E$5,Parameter!$E$6+Parameter!$E$7)-(AT1339-AP1339))/AP1339)))</f>
        <v>1</v>
      </c>
      <c r="AV1339" s="57" t="n">
        <f aca="false">IF(LEFT(Cockpit!$O$5,1)="A",H1339,IF(CA1339=1,CB1339,IF(LEFT(Cockpit!$O$5,1)="B",AZ1339,MAX(AZ1339,H1339))))</f>
        <v>104</v>
      </c>
      <c r="AW1339" s="57" t="n">
        <f aca="false">IF(BT1339=1,0,ROUNDUP(AV1339/BS1339,0))</f>
        <v>2</v>
      </c>
      <c r="AX1339" s="59" t="n">
        <f aca="false">IF(CH1339&gt;0,CH1339*MAX(1,AV1339/X1339),IF(BT1339=1,IF(AV1339&lt;=0,0,BW1339*MAX(1,IF(H1339&gt;0,AV1339/H1339,1))),IF(R1339&gt;0,AW1339/R1339,0))/MAX(0.1,N(Parameter!$M$21)))</f>
        <v>0.0384615384615385</v>
      </c>
      <c r="AY1339" s="57" t="n">
        <f aca="false">AV1339*G1339</f>
        <v>9367.28</v>
      </c>
      <c r="AZ1339" s="57" t="n">
        <f aca="false">ROUNDUP(MAX(J1339/IF(BZ1339&gt;0,BZ1339,MAX(0.1,N(Cockpit!$O$6))),CC1339)/BS1339,0)*BS1339</f>
        <v>104</v>
      </c>
      <c r="BA1339" s="58" t="n">
        <f aca="false">IF(AX1339&gt;0,J1339/AX1339,-1)</f>
        <v>520</v>
      </c>
      <c r="BB1339" s="58" t="n">
        <f aca="false">IF(AND(OR(BY1339="L1",BY1339="L23"),AX1339&gt;0),SUMIFS($AX$7:$AX$1843,$BY$7:$BY$1843,BY1339,$BA$7:$BA$1843,"&gt;"&amp;BA1339)+SUMIFS($AX$7:$AX$1843,$BY$7:$BY$1843,BY1339,$BA$7:$BA$1843,BA1339,$BQ$7:$BQ$1843,"&lt;="&amp;BQ1339),"")</f>
        <v>30.3385696429175</v>
      </c>
      <c r="BC1339" s="65" t="n">
        <f aca="false">IF(BB1339="",0,MAX(0,MIN(1,(IF(BY1339="L1",Parameter!$E$5,Parameter!$E$6+Parameter!$E$7)-(BB1339-AX1339))/AX1339)))</f>
        <v>1</v>
      </c>
      <c r="BD1339" s="55" t="str">
        <f aca="false">IF(AH1339&lt;=0,"",IF(BY1339="Aussen","Aussenlager",IF(BY1339="-","Nicht im Lift",IF(AM1339&gt;=1,"Lift",IF(AM1339&lt;=0,"Aussenlager","teilweise")))))</f>
        <v>Lift</v>
      </c>
      <c r="BE1339" s="55" t="str">
        <f aca="false">IF(AP1339&lt;=0,"",IF(BY1339="Aussen","Aussenlager",IF(BY1339="-","Nicht im Lift",IF(AU1339&gt;=1,"Lift",IF(AU1339&lt;=0,"Aussenlager","teilweise")))))</f>
        <v>Lift</v>
      </c>
      <c r="BF1339" s="55" t="str">
        <f aca="false">IF(AX1339&lt;=0,"",IF(BY1339="Aussen","Aussenlager",IF(BY1339="-","Nicht im Lift",IF(BC1339&gt;=1,"Lift",IF(BC1339&lt;=0,"Aussenlager","teilweise")))))</f>
        <v>Lift</v>
      </c>
      <c r="BG1339" s="55" t="str">
        <f aca="false">IF(A1339="","",IF(BP1339=1,"Neu; ","")&amp;IF(AND(BP1339=0,BK1339&lt;0),"negativer Bestand (Export "&amp;BK1339&amp;"); ","")&amp;IF(J1339&lt;=0,"Kein Verbrauch; ","")&amp;IF(CH1339&gt;0,"Lift "&amp;W1339&amp;" lt. Liftbericht (Fach "&amp;X1339&amp;" Stk); ",IF(BU1339=1,"Gebinde geschätzt ("&amp;T1339&amp;"); ",IF(BT1339=1,"Lose – Tablare geschätzt; ","")))&amp;IF(H1339&gt;AR1339,"Überbestand "&amp;ROUND(H1339-AR1339,0)&amp;" Stk / CHF "&amp;ROUND((H1339-AR1339)*G1339,0)&amp;"; ","")&amp;IF(AND(CA1339=1,CB1339&lt;CC1339),"MAX &lt; MB+LG; ","")&amp;IF(AND(CG1339&gt;0,CF1339*10&gt;CG1339),"zu hoch für Tablar; ","")&amp;IF(AND(BP1339=0,OR(CA1339=1,AA1339&lt;&gt;"",U1339&lt;&gt;"",V1339&lt;&gt;"",AB1339&lt;&gt;"")),"manuell übersteuert; ","")&amp;IF(AND(BT1339=0,R1339=0),"Gebinde unbekannt / Stellmass fehlt; ","")&amp;IF(AND(BT1339=0,N(V1339)&lt;=0,N(Q1339)&lt;=0),"Menge pro Gebinde fehlt (Ist = 1 Gebinde); ","")&amp;BO1339)</f>
        <v>negativer Bestand (Export -15); </v>
      </c>
      <c r="BH1339" s="55"/>
      <c r="BI1339" s="55"/>
      <c r="BJ1339" s="62"/>
      <c r="BK1339" s="57" t="n">
        <v>-15</v>
      </c>
      <c r="BL1339" s="57" t="n">
        <v>24</v>
      </c>
      <c r="BM1339" s="56" t="n">
        <v>-1726.41</v>
      </c>
      <c r="BN1339" s="57" t="n">
        <v>20</v>
      </c>
      <c r="BO1339" s="55"/>
      <c r="BP1339" s="60" t="n">
        <v>0</v>
      </c>
      <c r="BQ1339" s="60" t="n">
        <v>1339</v>
      </c>
      <c r="BR1339" s="55" t="str">
        <f aca="false">IF(U1339&lt;&gt;"",UPPER(TRIM(U1339)),IF(BU1339=1,UPPER(VLOOKUP(T1339,Parameter!$I$27:$K$29,2,0)),IF(P1339="","LOSE",P1339)))</f>
        <v>S41</v>
      </c>
      <c r="BS1339" s="57" t="n">
        <f aca="false">IF(BR1339="LOSE",1,IF(N(V1339)&gt;0,V1339,IF(BU1339=1,MAX(1,N(VLOOKUP(T1339,Parameter!$I$27:$K$29,3,0)),H1339,N(N1339)),IF(N(Q1339)&gt;0,Q1339,MAX(1,H1339)))))</f>
        <v>52</v>
      </c>
      <c r="BT1339" s="60" t="n">
        <f aca="false">IF(BR1339="LOSE",1,0)</f>
        <v>0</v>
      </c>
      <c r="BU1339" s="60" t="n">
        <f aca="false">IF(AND(U1339="",OR(P1339="",P1339="LOSE"),T1339&lt;&gt;"",N(S1339)&lt;=0,ISNUMBER(MATCH(T1339,Parameter!$I$27:$I$29,0))),1,0)</f>
        <v>0</v>
      </c>
      <c r="BV1339" s="55" t="str">
        <f aca="false">IF(AND(Parameter!$B$19="Ja",E1339&lt;&gt;"",ISNUMBER(MATCH(E1339,Parameter!$I$35:$I$52,0))),VLOOKUP(E1339,Parameter!$I$35:$J$52,2,0),IFERROR(VLOOKUP(D1339,Parameter!$A$35:$C$64,2,0),"Nein"))</f>
        <v>2+3</v>
      </c>
      <c r="BW1339" s="59" t="n">
        <f aca="false">IF(BT1339=0,0,IF(N(S1339)&gt;0,S1339,IFERROR(VLOOKUP(D1339,Parameter!$A$35:$C$64,3,0)+0,0)))</f>
        <v>0</v>
      </c>
      <c r="BX1339" s="55" t="n">
        <f aca="false">IF(AA1339&lt;&gt;"",AA1339,Z1339)</f>
        <v>3</v>
      </c>
      <c r="BY1339" s="55" t="str">
        <f aca="false">IF(BX1339=1,"L1",IF(OR(BX1339=2,BX1339=3),"L23",IF(BX1339="Aussen","Aussen","-")))</f>
        <v>L23</v>
      </c>
      <c r="BZ1339" s="66" t="n">
        <f aca="false">IF(N(AB1339)&gt;0,AB1339,0)</f>
        <v>0</v>
      </c>
      <c r="CA1339" s="60" t="n">
        <f aca="false">IF(ISNUMBER(AE1339),1,0)</f>
        <v>0</v>
      </c>
      <c r="CB1339" s="57" t="n">
        <f aca="false">N(AE1339)</f>
        <v>0</v>
      </c>
      <c r="CC1339" s="57" t="n">
        <f aca="false">N(M1339)+N(N1339)</f>
        <v>57</v>
      </c>
      <c r="CD1339" s="57" t="n">
        <f aca="false">ROUNDUP(H1339/BS1339,0)</f>
        <v>1</v>
      </c>
      <c r="CE1339" s="57" t="n">
        <f aca="false">ROUNDUP(CB1339/BS1339,0)</f>
        <v>0</v>
      </c>
      <c r="CF1339" s="60" t="n">
        <f aca="false">IF(BT1339=1,0,IFERROR(VLOOKUP(BR1339,'Gebinde-Kategorie'!$A$5:$M$45,5,0)+0,0))</f>
        <v>11</v>
      </c>
      <c r="CG1339" s="60" t="n">
        <f aca="false">IFERROR(IF(OR(BX1339=1,BX1339=2,BX1339=3),N(INDEX(Parameter!$I$5:$I$7,BX1339)),0),0)</f>
        <v>0</v>
      </c>
      <c r="CH1339" s="59" t="n">
        <f aca="false">IF(AND(Parameter!$B$21="Ja",ISNUMBER(W1339),N(X1339)&gt;0),IFERROR(N(INDEX(Parameter!$L$5:$L$7,W1339))*INDEX(Parameter!$E$5:$E$7,W1339)*X1339/SUMIFS($X$7:$X$1843,$W$7:$W$1843,W1339),0),0)</f>
        <v>0</v>
      </c>
    </row>
    <row r="1340" customFormat="false" ht="15" hidden="false" customHeight="false" outlineLevel="0" collapsed="false">
      <c r="A1340" s="55" t="s">
        <v>2371</v>
      </c>
      <c r="B1340" s="55" t="s">
        <v>2372</v>
      </c>
      <c r="C1340" s="55" t="s">
        <v>164</v>
      </c>
      <c r="D1340" s="55" t="s">
        <v>165</v>
      </c>
      <c r="E1340" s="55" t="s">
        <v>185</v>
      </c>
      <c r="F1340" s="55" t="s">
        <v>218</v>
      </c>
      <c r="G1340" s="56" t="n">
        <v>2313.78</v>
      </c>
      <c r="H1340" s="57" t="n">
        <f aca="false">MAX(0,IF(AND(Parameter!$B$21="Ja",ISNUMBER(Y1340)),Y1340,IF(Parameter!$B$20="Jahresanfang 2025 + Export",BL1340+BK1340,BK1340)))</f>
        <v>7</v>
      </c>
      <c r="I1340" s="57" t="n">
        <f aca="false">H1340*G1340</f>
        <v>16196.46</v>
      </c>
      <c r="J1340" s="57" t="n">
        <f aca="false">BN1340*Parameter!$B$18</f>
        <v>29</v>
      </c>
      <c r="K1340" s="58" t="n">
        <v>28</v>
      </c>
      <c r="L1340" s="59" t="n">
        <v>1.03571428571429</v>
      </c>
      <c r="M1340" s="57" t="n">
        <v>3</v>
      </c>
      <c r="N1340" s="57" t="n">
        <v>10</v>
      </c>
      <c r="O1340" s="60" t="n">
        <v>21</v>
      </c>
      <c r="P1340" s="55" t="s">
        <v>168</v>
      </c>
      <c r="Q1340" s="57"/>
      <c r="R1340" s="60" t="n">
        <f aca="false">IF(BT1340=1,0,IFERROR(VLOOKUP(BR1340,'Gebinde-Kategorie'!$A$5:$M$45,13,0)+0,0))</f>
        <v>0</v>
      </c>
      <c r="S1340" s="61"/>
      <c r="T1340" s="62"/>
      <c r="U1340" s="62"/>
      <c r="V1340" s="62"/>
      <c r="W1340" s="55" t="n">
        <v>1</v>
      </c>
      <c r="X1340" s="57" t="n">
        <v>15</v>
      </c>
      <c r="Y1340" s="57" t="n">
        <v>7</v>
      </c>
      <c r="Z1340" s="55" t="n">
        <f aca="false">IF(A1340="","",IF(AND(Parameter!$B$21="Ja",ISNUMBER(W1340)),W1340,IF(BV1340="2+3",IF(ISNUMBER(SEARCH("grosser Artikel",BO1340)),2,IFERROR(VLOOKUP(BR1340,Parameter!$F$35:$G$64,2,0),2)),IF(OR(BV1340="Nein",BV1340=""),"-",BV1340))))</f>
        <v>1</v>
      </c>
      <c r="AA1340" s="62"/>
      <c r="AB1340" s="63"/>
      <c r="AC1340" s="57" t="n">
        <f aca="false">AR1340</f>
        <v>15</v>
      </c>
      <c r="AD1340" s="57" t="n">
        <f aca="false">MAX(AR1340,H1340)</f>
        <v>15</v>
      </c>
      <c r="AE1340" s="64"/>
      <c r="AF1340" s="57" t="n">
        <f aca="false">IF(LEFT(Cockpit!$C$5,1)="A",H1340,IF(CA1340=1,CB1340,IF(LEFT(Cockpit!$C$5,1)="B",AJ1340,MAX(AJ1340,H1340))))</f>
        <v>7</v>
      </c>
      <c r="AG1340" s="57" t="n">
        <f aca="false">IF(BT1340=1,0,ROUNDUP(AF1340/BS1340,0))</f>
        <v>0</v>
      </c>
      <c r="AH1340" s="59" t="n">
        <f aca="false">IF(CH1340&gt;0,CH1340*MAX(1,AF1340/X1340),IF(BT1340=1,IF(AF1340&lt;=0,0,BW1340*MAX(1,IF(H1340&gt;0,AF1340/H1340,1))),IF(R1340&gt;0,AG1340/R1340,0))/MAX(0.1,N(Parameter!$M$21)))</f>
        <v>1.20056497175141</v>
      </c>
      <c r="AI1340" s="57" t="n">
        <f aca="false">AF1340*G1340</f>
        <v>16196.46</v>
      </c>
      <c r="AJ1340" s="57" t="n">
        <f aca="false">ROUNDUP(MAX(J1340/IF(BZ1340&gt;0,BZ1340,MAX(0.1,N(Cockpit!$C$6))),CC1340)/BS1340,0)*BS1340</f>
        <v>15</v>
      </c>
      <c r="AK1340" s="58" t="n">
        <f aca="false">IF(AH1340&gt;0,J1340/AH1340,-1)</f>
        <v>24.1552941176471</v>
      </c>
      <c r="AL1340" s="58" t="n">
        <f aca="false">IF(AND(OR(BY1340="L1",BY1340="L23"),AH1340&gt;0),SUMIFS($AH$7:$AH$1843,$BY$7:$BY$1843,BY1340,$AK$7:$AK$1843,"&gt;"&amp;AK1340)+SUMIFS($AH$7:$AH$1843,$BY$7:$BY$1843,BY1340,$AK$7:$AK$1843,AK1340,$BQ$7:$BQ$1843,"&lt;="&amp;BQ1340),"")</f>
        <v>20.0163728435652</v>
      </c>
      <c r="AM1340" s="65" t="n">
        <f aca="false">IF(AL1340="",0,MAX(0,MIN(1,(IF(BY1340="L1",Parameter!$E$5,Parameter!$E$6+Parameter!$E$7)-(AL1340-AH1340))/AH1340)))</f>
        <v>1</v>
      </c>
      <c r="AN1340" s="57" t="n">
        <f aca="false">IF(LEFT(Cockpit!$I$5,1)="A",H1340,IF(CA1340=1,CB1340,IF(LEFT(Cockpit!$I$5,1)="B",AR1340,MAX(AR1340,H1340))))</f>
        <v>15</v>
      </c>
      <c r="AO1340" s="57" t="n">
        <f aca="false">IF(BT1340=1,0,ROUNDUP(AN1340/BS1340,0))</f>
        <v>0</v>
      </c>
      <c r="AP1340" s="59" t="n">
        <f aca="false">IF(CH1340&gt;0,CH1340*MAX(1,AN1340/X1340),IF(BT1340=1,IF(AN1340&lt;=0,0,BW1340*MAX(1,IF(H1340&gt;0,AN1340/H1340,1))),IF(R1340&gt;0,AO1340/R1340,0))/MAX(0.1,N(Parameter!$M$21)))</f>
        <v>1.20056497175141</v>
      </c>
      <c r="AQ1340" s="57" t="n">
        <f aca="false">AN1340*G1340</f>
        <v>34706.7</v>
      </c>
      <c r="AR1340" s="57" t="n">
        <f aca="false">ROUNDUP(MAX(J1340/IF(BZ1340&gt;0,BZ1340,MAX(0.1,N(Cockpit!$I$6))),CC1340)/BS1340,0)*BS1340</f>
        <v>15</v>
      </c>
      <c r="AS1340" s="58" t="n">
        <f aca="false">IF(AP1340&gt;0,J1340/AP1340,-1)</f>
        <v>24.1552941176471</v>
      </c>
      <c r="AT1340" s="58" t="n">
        <f aca="false">IF(AND(OR(BY1340="L1",BY1340="L23"),AP1340&gt;0),SUMIFS($AP$7:$AP$1843,$BY$7:$BY$1843,BY1340,$AS$7:$AS$1843,"&gt;"&amp;AS1340)+SUMIFS($AP$7:$AP$1843,$BY$7:$BY$1843,BY1340,$AS$7:$AS$1843,AS1340,$BQ$7:$BQ$1843,"&lt;="&amp;BQ1340),"")</f>
        <v>31.4209795363075</v>
      </c>
      <c r="AU1340" s="65" t="n">
        <f aca="false">IF(AT1340="",0,MAX(0,MIN(1,(IF(BY1340="L1",Parameter!$E$5,Parameter!$E$6+Parameter!$E$7)-(AT1340-AP1340))/AP1340)))</f>
        <v>1</v>
      </c>
      <c r="AV1340" s="57" t="n">
        <f aca="false">IF(LEFT(Cockpit!$O$5,1)="A",H1340,IF(CA1340=1,CB1340,IF(LEFT(Cockpit!$O$5,1)="B",AZ1340,MAX(AZ1340,H1340))))</f>
        <v>13</v>
      </c>
      <c r="AW1340" s="57" t="n">
        <f aca="false">IF(BT1340=1,0,ROUNDUP(AV1340/BS1340,0))</f>
        <v>0</v>
      </c>
      <c r="AX1340" s="59" t="n">
        <f aca="false">IF(CH1340&gt;0,CH1340*MAX(1,AV1340/X1340),IF(BT1340=1,IF(AV1340&lt;=0,0,BW1340*MAX(1,IF(H1340&gt;0,AV1340/H1340,1))),IF(R1340&gt;0,AW1340/R1340,0))/MAX(0.1,N(Parameter!$M$21)))</f>
        <v>1.20056497175141</v>
      </c>
      <c r="AY1340" s="57" t="n">
        <f aca="false">AV1340*G1340</f>
        <v>30079.14</v>
      </c>
      <c r="AZ1340" s="57" t="n">
        <f aca="false">ROUNDUP(MAX(J1340/IF(BZ1340&gt;0,BZ1340,MAX(0.1,N(Cockpit!$O$6))),CC1340)/BS1340,0)*BS1340</f>
        <v>13</v>
      </c>
      <c r="BA1340" s="58" t="n">
        <f aca="false">IF(AX1340&gt;0,J1340/AX1340,-1)</f>
        <v>24.1552941176471</v>
      </c>
      <c r="BB1340" s="58" t="n">
        <f aca="false">IF(AND(OR(BY1340="L1",BY1340="L23"),AX1340&gt;0),SUMIFS($AX$7:$AX$1843,$BY$7:$BY$1843,BY1340,$BA$7:$BA$1843,"&gt;"&amp;BA1340)+SUMIFS($AX$7:$AX$1843,$BY$7:$BY$1843,BY1340,$BA$7:$BA$1843,BA1340,$BQ$7:$BQ$1843,"&lt;="&amp;BQ1340),"")</f>
        <v>26.6085066984109</v>
      </c>
      <c r="BC1340" s="65" t="n">
        <f aca="false">IF(BB1340="",0,MAX(0,MIN(1,(IF(BY1340="L1",Parameter!$E$5,Parameter!$E$6+Parameter!$E$7)-(BB1340-AX1340))/AX1340)))</f>
        <v>1</v>
      </c>
      <c r="BD1340" s="55" t="str">
        <f aca="false">IF(AH1340&lt;=0,"",IF(BY1340="Aussen","Aussenlager",IF(BY1340="-","Nicht im Lift",IF(AM1340&gt;=1,"Lift",IF(AM1340&lt;=0,"Aussenlager","teilweise")))))</f>
        <v>Lift</v>
      </c>
      <c r="BE1340" s="55" t="str">
        <f aca="false">IF(AP1340&lt;=0,"",IF(BY1340="Aussen","Aussenlager",IF(BY1340="-","Nicht im Lift",IF(AU1340&gt;=1,"Lift",IF(AU1340&lt;=0,"Aussenlager","teilweise")))))</f>
        <v>Lift</v>
      </c>
      <c r="BF1340" s="55" t="str">
        <f aca="false">IF(AX1340&lt;=0,"",IF(BY1340="Aussen","Aussenlager",IF(BY1340="-","Nicht im Lift",IF(BC1340&gt;=1,"Lift",IF(BC1340&lt;=0,"Aussenlager","teilweise")))))</f>
        <v>Lift</v>
      </c>
      <c r="BG1340" s="55" t="str">
        <f aca="false">IF(A1340="","",IF(BP1340=1,"Neu; ","")&amp;IF(AND(BP1340=0,BK1340&lt;0),"negativer Bestand (Export "&amp;BK1340&amp;"); ","")&amp;IF(J1340&lt;=0,"Kein Verbrauch; ","")&amp;IF(CH1340&gt;0,"Lift "&amp;W1340&amp;" lt. Liftbericht (Fach "&amp;X1340&amp;" Stk); ",IF(BU1340=1,"Gebinde geschätzt ("&amp;T1340&amp;"); ",IF(BT1340=1,"Lose – Tablare geschätzt; ","")))&amp;IF(H1340&gt;AR1340,"Überbestand "&amp;ROUND(H1340-AR1340,0)&amp;" Stk / CHF "&amp;ROUND((H1340-AR1340)*G1340,0)&amp;"; ","")&amp;IF(AND(CA1340=1,CB1340&lt;CC1340),"MAX &lt; MB+LG; ","")&amp;IF(AND(CG1340&gt;0,CF1340*10&gt;CG1340),"zu hoch für Tablar; ","")&amp;IF(AND(BP1340=0,OR(CA1340=1,AA1340&lt;&gt;"",U1340&lt;&gt;"",V1340&lt;&gt;"",AB1340&lt;&gt;"")),"manuell übersteuert; ","")&amp;IF(AND(BT1340=0,R1340=0),"Gebinde unbekannt / Stellmass fehlt; ","")&amp;IF(AND(BT1340=0,N(V1340)&lt;=0,N(Q1340)&lt;=0),"Menge pro Gebinde fehlt (Ist = 1 Gebinde); ","")&amp;BO1340)</f>
        <v>Lift 1 lt. Liftbericht (Fach 15 Stk); grosser Artikel &amp; nicht im KTL</v>
      </c>
      <c r="BH1340" s="55"/>
      <c r="BI1340" s="55"/>
      <c r="BJ1340" s="62"/>
      <c r="BK1340" s="57" t="n">
        <v>0</v>
      </c>
      <c r="BL1340" s="57" t="n">
        <v>31</v>
      </c>
      <c r="BM1340" s="56" t="n">
        <v>-1735.11000000002</v>
      </c>
      <c r="BN1340" s="57" t="n">
        <v>29</v>
      </c>
      <c r="BO1340" s="55" t="s">
        <v>261</v>
      </c>
      <c r="BP1340" s="60" t="n">
        <v>0</v>
      </c>
      <c r="BQ1340" s="60" t="n">
        <v>1340</v>
      </c>
      <c r="BR1340" s="55" t="str">
        <f aca="false">IF(U1340&lt;&gt;"",UPPER(TRIM(U1340)),IF(BU1340=1,UPPER(VLOOKUP(T1340,Parameter!$I$27:$K$29,2,0)),IF(P1340="","LOSE",P1340)))</f>
        <v>LOSE</v>
      </c>
      <c r="BS1340" s="57" t="n">
        <f aca="false">IF(BR1340="LOSE",1,IF(N(V1340)&gt;0,V1340,IF(BU1340=1,MAX(1,N(VLOOKUP(T1340,Parameter!$I$27:$K$29,3,0)),H1340,N(N1340)),IF(N(Q1340)&gt;0,Q1340,MAX(1,H1340)))))</f>
        <v>1</v>
      </c>
      <c r="BT1340" s="60" t="n">
        <f aca="false">IF(BR1340="LOSE",1,0)</f>
        <v>1</v>
      </c>
      <c r="BU1340" s="60" t="n">
        <f aca="false">IF(AND(U1340="",OR(P1340="",P1340="LOSE"),T1340&lt;&gt;"",N(S1340)&lt;=0,ISNUMBER(MATCH(T1340,Parameter!$I$27:$I$29,0))),1,0)</f>
        <v>0</v>
      </c>
      <c r="BV1340" s="55" t="str">
        <f aca="false">IF(AND(Parameter!$B$19="Ja",E1340&lt;&gt;"",ISNUMBER(MATCH(E1340,Parameter!$I$35:$I$52,0))),VLOOKUP(E1340,Parameter!$I$35:$J$52,2,0),IFERROR(VLOOKUP(D1340,Parameter!$A$35:$C$64,2,0),"Nein"))</f>
        <v>2+3</v>
      </c>
      <c r="BW1340" s="59" t="n">
        <f aca="false">IF(BT1340=0,0,IF(N(S1340)&gt;0,S1340,IFERROR(VLOOKUP(D1340,Parameter!$A$35:$C$64,3,0)+0,0)))</f>
        <v>1</v>
      </c>
      <c r="BX1340" s="55" t="n">
        <f aca="false">IF(AA1340&lt;&gt;"",AA1340,Z1340)</f>
        <v>1</v>
      </c>
      <c r="BY1340" s="55" t="str">
        <f aca="false">IF(BX1340=1,"L1",IF(OR(BX1340=2,BX1340=3),"L23",IF(BX1340="Aussen","Aussen","-")))</f>
        <v>L1</v>
      </c>
      <c r="BZ1340" s="66" t="n">
        <f aca="false">IF(N(AB1340)&gt;0,AB1340,0)</f>
        <v>0</v>
      </c>
      <c r="CA1340" s="60" t="n">
        <f aca="false">IF(ISNUMBER(AE1340),1,0)</f>
        <v>0</v>
      </c>
      <c r="CB1340" s="57" t="n">
        <f aca="false">N(AE1340)</f>
        <v>0</v>
      </c>
      <c r="CC1340" s="57" t="n">
        <f aca="false">N(M1340)+N(N1340)</f>
        <v>13</v>
      </c>
      <c r="CD1340" s="57" t="n">
        <f aca="false">ROUNDUP(H1340/BS1340,0)</f>
        <v>7</v>
      </c>
      <c r="CE1340" s="57" t="n">
        <f aca="false">ROUNDUP(CB1340/BS1340,0)</f>
        <v>0</v>
      </c>
      <c r="CF1340" s="60" t="n">
        <f aca="false">IF(BT1340=1,0,IFERROR(VLOOKUP(BR1340,'Gebinde-Kategorie'!$A$5:$M$45,5,0)+0,0))</f>
        <v>0</v>
      </c>
      <c r="CG1340" s="60" t="n">
        <f aca="false">IFERROR(IF(OR(BX1340=1,BX1340=2,BX1340=3),N(INDEX(Parameter!$I$5:$I$7,BX1340)),0),0)</f>
        <v>0</v>
      </c>
      <c r="CH1340" s="59" t="n">
        <f aca="false">IF(AND(Parameter!$B$21="Ja",ISNUMBER(W1340),N(X1340)&gt;0),IFERROR(N(INDEX(Parameter!$L$5:$L$7,W1340))*INDEX(Parameter!$E$5:$E$7,W1340)*X1340/SUMIFS($X$7:$X$1843,$W$7:$W$1843,W1340),0),0)</f>
        <v>1.20056497175141</v>
      </c>
    </row>
    <row r="1341" customFormat="false" ht="15" hidden="false" customHeight="false" outlineLevel="0" collapsed="false">
      <c r="A1341" s="55" t="s">
        <v>2373</v>
      </c>
      <c r="B1341" s="55" t="s">
        <v>489</v>
      </c>
      <c r="C1341" s="55" t="s">
        <v>164</v>
      </c>
      <c r="D1341" s="55" t="s">
        <v>184</v>
      </c>
      <c r="E1341" s="55" t="s">
        <v>185</v>
      </c>
      <c r="F1341" s="55" t="s">
        <v>218</v>
      </c>
      <c r="G1341" s="56" t="n">
        <v>12.6</v>
      </c>
      <c r="H1341" s="57" t="n">
        <f aca="false">MAX(0,IF(AND(Parameter!$B$21="Ja",ISNUMBER(Y1341)),Y1341,IF(Parameter!$B$20="Jahresanfang 2025 + Export",BL1341+BK1341,BK1341)))</f>
        <v>35</v>
      </c>
      <c r="I1341" s="57" t="n">
        <f aca="false">H1341*G1341</f>
        <v>441</v>
      </c>
      <c r="J1341" s="57" t="n">
        <f aca="false">BN1341*Parameter!$B$18</f>
        <v>501</v>
      </c>
      <c r="K1341" s="58" t="n">
        <v>182</v>
      </c>
      <c r="L1341" s="59" t="n">
        <v>2.75274725274725</v>
      </c>
      <c r="M1341" s="57" t="n">
        <v>10</v>
      </c>
      <c r="N1341" s="57" t="n">
        <v>200</v>
      </c>
      <c r="O1341" s="60" t="n">
        <v>7</v>
      </c>
      <c r="P1341" s="55" t="s">
        <v>233</v>
      </c>
      <c r="Q1341" s="57" t="n">
        <v>179</v>
      </c>
      <c r="R1341" s="60" t="n">
        <f aca="false">IF(BT1341=1,0,IFERROR(VLOOKUP(BR1341,'Gebinde-Kategorie'!$A$5:$M$45,13,0)+0,0))</f>
        <v>26</v>
      </c>
      <c r="S1341" s="61"/>
      <c r="T1341" s="62"/>
      <c r="U1341" s="62"/>
      <c r="V1341" s="62"/>
      <c r="W1341" s="55"/>
      <c r="X1341" s="57"/>
      <c r="Y1341" s="57"/>
      <c r="Z1341" s="55" t="n">
        <f aca="false">IF(A1341="","",IF(AND(Parameter!$B$21="Ja",ISNUMBER(W1341)),W1341,IF(BV1341="2+3",IF(ISNUMBER(SEARCH("grosser Artikel",BO1341)),2,IFERROR(VLOOKUP(BR1341,Parameter!$F$35:$G$64,2,0),2)),IF(OR(BV1341="Nein",BV1341=""),"-",BV1341))))</f>
        <v>3</v>
      </c>
      <c r="AA1341" s="62"/>
      <c r="AB1341" s="63"/>
      <c r="AC1341" s="57" t="n">
        <f aca="false">AR1341</f>
        <v>358</v>
      </c>
      <c r="AD1341" s="57" t="n">
        <f aca="false">MAX(AR1341,H1341)</f>
        <v>358</v>
      </c>
      <c r="AE1341" s="64"/>
      <c r="AF1341" s="57" t="n">
        <f aca="false">IF(LEFT(Cockpit!$C$5,1)="A",H1341,IF(CA1341=1,CB1341,IF(LEFT(Cockpit!$C$5,1)="B",AJ1341,MAX(AJ1341,H1341))))</f>
        <v>35</v>
      </c>
      <c r="AG1341" s="57" t="n">
        <f aca="false">IF(BT1341=1,0,ROUNDUP(AF1341/BS1341,0))</f>
        <v>1</v>
      </c>
      <c r="AH1341" s="59" t="n">
        <f aca="false">IF(CH1341&gt;0,CH1341*MAX(1,AF1341/X1341),IF(BT1341=1,IF(AF1341&lt;=0,0,BW1341*MAX(1,IF(H1341&gt;0,AF1341/H1341,1))),IF(R1341&gt;0,AG1341/R1341,0))/MAX(0.1,N(Parameter!$M$21)))</f>
        <v>0.0384615384615385</v>
      </c>
      <c r="AI1341" s="57" t="n">
        <f aca="false">AF1341*G1341</f>
        <v>441</v>
      </c>
      <c r="AJ1341" s="57" t="n">
        <f aca="false">ROUNDUP(MAX(J1341/IF(BZ1341&gt;0,BZ1341,MAX(0.1,N(Cockpit!$C$6))),CC1341)/BS1341,0)*BS1341</f>
        <v>358</v>
      </c>
      <c r="AK1341" s="58" t="n">
        <f aca="false">IF(AH1341&gt;0,J1341/AH1341,-1)</f>
        <v>13026</v>
      </c>
      <c r="AL1341" s="58" t="n">
        <f aca="false">IF(AND(OR(BY1341="L1",BY1341="L23"),AH1341&gt;0),SUMIFS($AH$7:$AH$1843,$BY$7:$BY$1843,BY1341,$AK$7:$AK$1843,"&gt;"&amp;AK1341)+SUMIFS($AH$7:$AH$1843,$BY$7:$BY$1843,BY1341,$AK$7:$AK$1843,AK1341,$BQ$7:$BQ$1843,"&lt;="&amp;BQ1341),"")</f>
        <v>4.72531333400899</v>
      </c>
      <c r="AM1341" s="65" t="n">
        <f aca="false">IF(AL1341="",0,MAX(0,MIN(1,(IF(BY1341="L1",Parameter!$E$5,Parameter!$E$6+Parameter!$E$7)-(AL1341-AH1341))/AH1341)))</f>
        <v>1</v>
      </c>
      <c r="AN1341" s="57" t="n">
        <f aca="false">IF(LEFT(Cockpit!$I$5,1)="A",H1341,IF(CA1341=1,CB1341,IF(LEFT(Cockpit!$I$5,1)="B",AR1341,MAX(AR1341,H1341))))</f>
        <v>358</v>
      </c>
      <c r="AO1341" s="57" t="n">
        <f aca="false">IF(BT1341=1,0,ROUNDUP(AN1341/BS1341,0))</f>
        <v>2</v>
      </c>
      <c r="AP1341" s="59" t="n">
        <f aca="false">IF(CH1341&gt;0,CH1341*MAX(1,AN1341/X1341),IF(BT1341=1,IF(AN1341&lt;=0,0,BW1341*MAX(1,IF(H1341&gt;0,AN1341/H1341,1))),IF(R1341&gt;0,AO1341/R1341,0))/MAX(0.1,N(Parameter!$M$21)))</f>
        <v>0.0769230769230769</v>
      </c>
      <c r="AQ1341" s="57" t="n">
        <f aca="false">AN1341*G1341</f>
        <v>4510.8</v>
      </c>
      <c r="AR1341" s="57" t="n">
        <f aca="false">ROUNDUP(MAX(J1341/IF(BZ1341&gt;0,BZ1341,MAX(0.1,N(Cockpit!$I$6))),CC1341)/BS1341,0)*BS1341</f>
        <v>358</v>
      </c>
      <c r="AS1341" s="58" t="n">
        <f aca="false">IF(AP1341&gt;0,J1341/AP1341,-1)</f>
        <v>6513</v>
      </c>
      <c r="AT1341" s="58" t="n">
        <f aca="false">IF(AND(OR(BY1341="L1",BY1341="L23"),AP1341&gt;0),SUMIFS($AP$7:$AP$1843,$BY$7:$BY$1843,BY1341,$AS$7:$AS$1843,"&gt;"&amp;AS1341)+SUMIFS($AP$7:$AP$1843,$BY$7:$BY$1843,BY1341,$AS$7:$AS$1843,AS1341,$BQ$7:$BQ$1843,"&lt;="&amp;BQ1341),"")</f>
        <v>10.9858788554441</v>
      </c>
      <c r="AU1341" s="65" t="n">
        <f aca="false">IF(AT1341="",0,MAX(0,MIN(1,(IF(BY1341="L1",Parameter!$E$5,Parameter!$E$6+Parameter!$E$7)-(AT1341-AP1341))/AP1341)))</f>
        <v>1</v>
      </c>
      <c r="AV1341" s="57" t="n">
        <f aca="false">IF(LEFT(Cockpit!$O$5,1)="A",H1341,IF(CA1341=1,CB1341,IF(LEFT(Cockpit!$O$5,1)="B",AZ1341,MAX(AZ1341,H1341))))</f>
        <v>358</v>
      </c>
      <c r="AW1341" s="57" t="n">
        <f aca="false">IF(BT1341=1,0,ROUNDUP(AV1341/BS1341,0))</f>
        <v>2</v>
      </c>
      <c r="AX1341" s="59" t="n">
        <f aca="false">IF(CH1341&gt;0,CH1341*MAX(1,AV1341/X1341),IF(BT1341=1,IF(AV1341&lt;=0,0,BW1341*MAX(1,IF(H1341&gt;0,AV1341/H1341,1))),IF(R1341&gt;0,AW1341/R1341,0))/MAX(0.1,N(Parameter!$M$21)))</f>
        <v>0.0769230769230769</v>
      </c>
      <c r="AY1341" s="57" t="n">
        <f aca="false">AV1341*G1341</f>
        <v>4510.8</v>
      </c>
      <c r="AZ1341" s="57" t="n">
        <f aca="false">ROUNDUP(MAX(J1341/IF(BZ1341&gt;0,BZ1341,MAX(0.1,N(Cockpit!$O$6))),CC1341)/BS1341,0)*BS1341</f>
        <v>358</v>
      </c>
      <c r="BA1341" s="58" t="n">
        <f aca="false">IF(AX1341&gt;0,J1341/AX1341,-1)</f>
        <v>6513</v>
      </c>
      <c r="BB1341" s="58" t="n">
        <f aca="false">IF(AND(OR(BY1341="L1",BY1341="L23"),AX1341&gt;0),SUMIFS($AX$7:$AX$1843,$BY$7:$BY$1843,BY1341,$BA$7:$BA$1843,"&gt;"&amp;BA1341)+SUMIFS($AX$7:$AX$1843,$BY$7:$BY$1843,BY1341,$BA$7:$BA$1843,BA1341,$BQ$7:$BQ$1843,"&lt;="&amp;BQ1341),"")</f>
        <v>9.55289517246039</v>
      </c>
      <c r="BC1341" s="65" t="n">
        <f aca="false">IF(BB1341="",0,MAX(0,MIN(1,(IF(BY1341="L1",Parameter!$E$5,Parameter!$E$6+Parameter!$E$7)-(BB1341-AX1341))/AX1341)))</f>
        <v>1</v>
      </c>
      <c r="BD1341" s="55" t="str">
        <f aca="false">IF(AH1341&lt;=0,"",IF(BY1341="Aussen","Aussenlager",IF(BY1341="-","Nicht im Lift",IF(AM1341&gt;=1,"Lift",IF(AM1341&lt;=0,"Aussenlager","teilweise")))))</f>
        <v>Lift</v>
      </c>
      <c r="BE1341" s="55" t="str">
        <f aca="false">IF(AP1341&lt;=0,"",IF(BY1341="Aussen","Aussenlager",IF(BY1341="-","Nicht im Lift",IF(AU1341&gt;=1,"Lift",IF(AU1341&lt;=0,"Aussenlager","teilweise")))))</f>
        <v>Lift</v>
      </c>
      <c r="BF1341" s="55" t="str">
        <f aca="false">IF(AX1341&lt;=0,"",IF(BY1341="Aussen","Aussenlager",IF(BY1341="-","Nicht im Lift",IF(BC1341&gt;=1,"Lift",IF(BC1341&lt;=0,"Aussenlager","teilweise")))))</f>
        <v>Lift</v>
      </c>
      <c r="BG1341" s="55" t="str">
        <f aca="false">IF(A1341="","",IF(BP1341=1,"Neu; ","")&amp;IF(AND(BP1341=0,BK1341&lt;0),"negativer Bestand (Export "&amp;BK1341&amp;"); ","")&amp;IF(J1341&lt;=0,"Kein Verbrauch; ","")&amp;IF(CH1341&gt;0,"Lift "&amp;W1341&amp;" lt. Liftbericht (Fach "&amp;X1341&amp;" Stk); ",IF(BU1341=1,"Gebinde geschätzt ("&amp;T1341&amp;"); ",IF(BT1341=1,"Lose – Tablare geschätzt; ","")))&amp;IF(H1341&gt;AR1341,"Überbestand "&amp;ROUND(H1341-AR1341,0)&amp;" Stk / CHF "&amp;ROUND((H1341-AR1341)*G1341,0)&amp;"; ","")&amp;IF(AND(CA1341=1,CB1341&lt;CC1341),"MAX &lt; MB+LG; ","")&amp;IF(AND(CG1341&gt;0,CF1341*10&gt;CG1341),"zu hoch für Tablar; ","")&amp;IF(AND(BP1341=0,OR(CA1341=1,AA1341&lt;&gt;"",U1341&lt;&gt;"",V1341&lt;&gt;"",AB1341&lt;&gt;"")),"manuell übersteuert; ","")&amp;IF(AND(BT1341=0,R1341=0),"Gebinde unbekannt / Stellmass fehlt; ","")&amp;IF(AND(BT1341=0,N(V1341)&lt;=0,N(Q1341)&lt;=0),"Menge pro Gebinde fehlt (Ist = 1 Gebinde); ","")&amp;BO1341)</f>
        <v>negativer Bestand (Export -136); </v>
      </c>
      <c r="BH1341" s="55"/>
      <c r="BI1341" s="55"/>
      <c r="BJ1341" s="62"/>
      <c r="BK1341" s="57" t="n">
        <v>-136</v>
      </c>
      <c r="BL1341" s="57" t="n">
        <v>171</v>
      </c>
      <c r="BM1341" s="56" t="n">
        <v>-1772.05</v>
      </c>
      <c r="BN1341" s="57" t="n">
        <v>501</v>
      </c>
      <c r="BO1341" s="55"/>
      <c r="BP1341" s="60" t="n">
        <v>0</v>
      </c>
      <c r="BQ1341" s="60" t="n">
        <v>1341</v>
      </c>
      <c r="BR1341" s="55" t="str">
        <f aca="false">IF(U1341&lt;&gt;"",UPPER(TRIM(U1341)),IF(BU1341=1,UPPER(VLOOKUP(T1341,Parameter!$I$27:$K$29,2,0)),IF(P1341="","LOSE",P1341)))</f>
        <v>S52</v>
      </c>
      <c r="BS1341" s="57" t="n">
        <f aca="false">IF(BR1341="LOSE",1,IF(N(V1341)&gt;0,V1341,IF(BU1341=1,MAX(1,N(VLOOKUP(T1341,Parameter!$I$27:$K$29,3,0)),H1341,N(N1341)),IF(N(Q1341)&gt;0,Q1341,MAX(1,H1341)))))</f>
        <v>179</v>
      </c>
      <c r="BT1341" s="60" t="n">
        <f aca="false">IF(BR1341="LOSE",1,0)</f>
        <v>0</v>
      </c>
      <c r="BU1341" s="60" t="n">
        <f aca="false">IF(AND(U1341="",OR(P1341="",P1341="LOSE"),T1341&lt;&gt;"",N(S1341)&lt;=0,ISNUMBER(MATCH(T1341,Parameter!$I$27:$I$29,0))),1,0)</f>
        <v>0</v>
      </c>
      <c r="BV1341" s="55" t="str">
        <f aca="false">IF(AND(Parameter!$B$19="Ja",E1341&lt;&gt;"",ISNUMBER(MATCH(E1341,Parameter!$I$35:$I$52,0))),VLOOKUP(E1341,Parameter!$I$35:$J$52,2,0),IFERROR(VLOOKUP(D1341,Parameter!$A$35:$C$64,2,0),"Nein"))</f>
        <v>2+3</v>
      </c>
      <c r="BW1341" s="59" t="n">
        <f aca="false">IF(BT1341=0,0,IF(N(S1341)&gt;0,S1341,IFERROR(VLOOKUP(D1341,Parameter!$A$35:$C$64,3,0)+0,0)))</f>
        <v>0</v>
      </c>
      <c r="BX1341" s="55" t="n">
        <f aca="false">IF(AA1341&lt;&gt;"",AA1341,Z1341)</f>
        <v>3</v>
      </c>
      <c r="BY1341" s="55" t="str">
        <f aca="false">IF(BX1341=1,"L1",IF(OR(BX1341=2,BX1341=3),"L23",IF(BX1341="Aussen","Aussen","-")))</f>
        <v>L23</v>
      </c>
      <c r="BZ1341" s="66" t="n">
        <f aca="false">IF(N(AB1341)&gt;0,AB1341,0)</f>
        <v>0</v>
      </c>
      <c r="CA1341" s="60" t="n">
        <f aca="false">IF(ISNUMBER(AE1341),1,0)</f>
        <v>0</v>
      </c>
      <c r="CB1341" s="57" t="n">
        <f aca="false">N(AE1341)</f>
        <v>0</v>
      </c>
      <c r="CC1341" s="57" t="n">
        <f aca="false">N(M1341)+N(N1341)</f>
        <v>210</v>
      </c>
      <c r="CD1341" s="57" t="n">
        <f aca="false">ROUNDUP(H1341/BS1341,0)</f>
        <v>1</v>
      </c>
      <c r="CE1341" s="57" t="n">
        <f aca="false">ROUNDUP(CB1341/BS1341,0)</f>
        <v>0</v>
      </c>
      <c r="CF1341" s="60" t="n">
        <f aca="false">IF(BT1341=1,0,IFERROR(VLOOKUP(BR1341,'Gebinde-Kategorie'!$A$5:$M$45,5,0)+0,0))</f>
        <v>21</v>
      </c>
      <c r="CG1341" s="60" t="n">
        <f aca="false">IFERROR(IF(OR(BX1341=1,BX1341=2,BX1341=3),N(INDEX(Parameter!$I$5:$I$7,BX1341)),0),0)</f>
        <v>0</v>
      </c>
      <c r="CH1341" s="59" t="n">
        <f aca="false">IF(AND(Parameter!$B$21="Ja",ISNUMBER(W1341),N(X1341)&gt;0),IFERROR(N(INDEX(Parameter!$L$5:$L$7,W1341))*INDEX(Parameter!$E$5:$E$7,W1341)*X1341/SUMIFS($X$7:$X$1843,$W$7:$W$1843,W1341),0),0)</f>
        <v>0</v>
      </c>
    </row>
    <row r="1342" customFormat="false" ht="15" hidden="false" customHeight="false" outlineLevel="0" collapsed="false">
      <c r="A1342" s="55" t="s">
        <v>2374</v>
      </c>
      <c r="B1342" s="55" t="s">
        <v>2375</v>
      </c>
      <c r="C1342" s="55" t="s">
        <v>164</v>
      </c>
      <c r="D1342" s="55" t="s">
        <v>184</v>
      </c>
      <c r="E1342" s="55"/>
      <c r="F1342" s="55" t="s">
        <v>218</v>
      </c>
      <c r="G1342" s="56" t="n">
        <v>27.71</v>
      </c>
      <c r="H1342" s="57" t="n">
        <f aca="false">MAX(0,IF(AND(Parameter!$B$21="Ja",ISNUMBER(Y1342)),Y1342,IF(Parameter!$B$20="Jahresanfang 2025 + Export",BL1342+BK1342,BK1342)))</f>
        <v>11</v>
      </c>
      <c r="I1342" s="57" t="n">
        <f aca="false">H1342*G1342</f>
        <v>304.81</v>
      </c>
      <c r="J1342" s="57" t="n">
        <f aca="false">BN1342*Parameter!$B$18</f>
        <v>1</v>
      </c>
      <c r="K1342" s="58" t="n">
        <v>63.5</v>
      </c>
      <c r="L1342" s="59" t="n">
        <v>0.015748031496063</v>
      </c>
      <c r="M1342" s="57" t="n">
        <v>0</v>
      </c>
      <c r="N1342" s="57" t="n">
        <v>1</v>
      </c>
      <c r="O1342" s="60" t="n">
        <v>49</v>
      </c>
      <c r="P1342" s="55" t="s">
        <v>302</v>
      </c>
      <c r="Q1342" s="57" t="n">
        <v>35</v>
      </c>
      <c r="R1342" s="60" t="n">
        <f aca="false">IF(BT1342=1,0,IFERROR(VLOOKUP(BR1342,'Gebinde-Kategorie'!$A$5:$M$45,13,0)+0,0))</f>
        <v>26</v>
      </c>
      <c r="S1342" s="61"/>
      <c r="T1342" s="62"/>
      <c r="U1342" s="62"/>
      <c r="V1342" s="62"/>
      <c r="W1342" s="55"/>
      <c r="X1342" s="57"/>
      <c r="Y1342" s="57"/>
      <c r="Z1342" s="55" t="n">
        <f aca="false">IF(A1342="","",IF(AND(Parameter!$B$21="Ja",ISNUMBER(W1342)),W1342,IF(BV1342="2+3",IF(ISNUMBER(SEARCH("grosser Artikel",BO1342)),2,IFERROR(VLOOKUP(BR1342,Parameter!$F$35:$G$64,2,0),2)),IF(OR(BV1342="Nein",BV1342=""),"-",BV1342))))</f>
        <v>3</v>
      </c>
      <c r="AA1342" s="62"/>
      <c r="AB1342" s="63"/>
      <c r="AC1342" s="57" t="n">
        <f aca="false">AR1342</f>
        <v>35</v>
      </c>
      <c r="AD1342" s="57" t="n">
        <f aca="false">MAX(AR1342,H1342)</f>
        <v>35</v>
      </c>
      <c r="AE1342" s="64"/>
      <c r="AF1342" s="57" t="n">
        <f aca="false">IF(LEFT(Cockpit!$C$5,1)="A",H1342,IF(CA1342=1,CB1342,IF(LEFT(Cockpit!$C$5,1)="B",AJ1342,MAX(AJ1342,H1342))))</f>
        <v>11</v>
      </c>
      <c r="AG1342" s="57" t="n">
        <f aca="false">IF(BT1342=1,0,ROUNDUP(AF1342/BS1342,0))</f>
        <v>1</v>
      </c>
      <c r="AH1342" s="59" t="n">
        <f aca="false">IF(CH1342&gt;0,CH1342*MAX(1,AF1342/X1342),IF(BT1342=1,IF(AF1342&lt;=0,0,BW1342*MAX(1,IF(H1342&gt;0,AF1342/H1342,1))),IF(R1342&gt;0,AG1342/R1342,0))/MAX(0.1,N(Parameter!$M$21)))</f>
        <v>0.0384615384615385</v>
      </c>
      <c r="AI1342" s="57" t="n">
        <f aca="false">AF1342*G1342</f>
        <v>304.81</v>
      </c>
      <c r="AJ1342" s="57" t="n">
        <f aca="false">ROUNDUP(MAX(J1342/IF(BZ1342&gt;0,BZ1342,MAX(0.1,N(Cockpit!$C$6))),CC1342)/BS1342,0)*BS1342</f>
        <v>35</v>
      </c>
      <c r="AK1342" s="58" t="n">
        <f aca="false">IF(AH1342&gt;0,J1342/AH1342,-1)</f>
        <v>26</v>
      </c>
      <c r="AL1342" s="58" t="n">
        <f aca="false">IF(AND(OR(BY1342="L1",BY1342="L23"),AH1342&gt;0),SUMIFS($AH$7:$AH$1843,$BY$7:$BY$1843,BY1342,$AK$7:$AK$1843,"&gt;"&amp;AK1342)+SUMIFS($AH$7:$AH$1843,$BY$7:$BY$1843,BY1342,$AK$7:$AK$1843,AK1342,$BQ$7:$BQ$1843,"&lt;="&amp;BQ1342),"")</f>
        <v>48.8830529374008</v>
      </c>
      <c r="AM1342" s="65" t="n">
        <f aca="false">IF(AL1342="",0,MAX(0,MIN(1,(IF(BY1342="L1",Parameter!$E$5,Parameter!$E$6+Parameter!$E$7)-(AL1342-AH1342))/AH1342)))</f>
        <v>1</v>
      </c>
      <c r="AN1342" s="57" t="n">
        <f aca="false">IF(LEFT(Cockpit!$I$5,1)="A",H1342,IF(CA1342=1,CB1342,IF(LEFT(Cockpit!$I$5,1)="B",AR1342,MAX(AR1342,H1342))))</f>
        <v>35</v>
      </c>
      <c r="AO1342" s="57" t="n">
        <f aca="false">IF(BT1342=1,0,ROUNDUP(AN1342/BS1342,0))</f>
        <v>1</v>
      </c>
      <c r="AP1342" s="59" t="n">
        <f aca="false">IF(CH1342&gt;0,CH1342*MAX(1,AN1342/X1342),IF(BT1342=1,IF(AN1342&lt;=0,0,BW1342*MAX(1,IF(H1342&gt;0,AN1342/H1342,1))),IF(R1342&gt;0,AO1342/R1342,0))/MAX(0.1,N(Parameter!$M$21)))</f>
        <v>0.0384615384615385</v>
      </c>
      <c r="AQ1342" s="57" t="n">
        <f aca="false">AN1342*G1342</f>
        <v>969.85</v>
      </c>
      <c r="AR1342" s="57" t="n">
        <f aca="false">ROUNDUP(MAX(J1342/IF(BZ1342&gt;0,BZ1342,MAX(0.1,N(Cockpit!$I$6))),CC1342)/BS1342,0)*BS1342</f>
        <v>35</v>
      </c>
      <c r="AS1342" s="58" t="n">
        <f aca="false">IF(AP1342&gt;0,J1342/AP1342,-1)</f>
        <v>26</v>
      </c>
      <c r="AT1342" s="58" t="n">
        <f aca="false">IF(AND(OR(BY1342="L1",BY1342="L23"),AP1342&gt;0),SUMIFS($AP$7:$AP$1843,$BY$7:$BY$1843,BY1342,$AS$7:$AS$1843,"&gt;"&amp;AS1342)+SUMIFS($AP$7:$AP$1843,$BY$7:$BY$1843,BY1342,$AS$7:$AS$1843,AS1342,$BQ$7:$BQ$1843,"&lt;="&amp;BQ1342),"")</f>
        <v>74.0571771223945</v>
      </c>
      <c r="AU1342" s="65" t="n">
        <f aca="false">IF(AT1342="",0,MAX(0,MIN(1,(IF(BY1342="L1",Parameter!$E$5,Parameter!$E$6+Parameter!$E$7)-(AT1342-AP1342))/AP1342)))</f>
        <v>1</v>
      </c>
      <c r="AV1342" s="57" t="n">
        <f aca="false">IF(LEFT(Cockpit!$O$5,1)="A",H1342,IF(CA1342=1,CB1342,IF(LEFT(Cockpit!$O$5,1)="B",AZ1342,MAX(AZ1342,H1342))))</f>
        <v>35</v>
      </c>
      <c r="AW1342" s="57" t="n">
        <f aca="false">IF(BT1342=1,0,ROUNDUP(AV1342/BS1342,0))</f>
        <v>1</v>
      </c>
      <c r="AX1342" s="59" t="n">
        <f aca="false">IF(CH1342&gt;0,CH1342*MAX(1,AV1342/X1342),IF(BT1342=1,IF(AV1342&lt;=0,0,BW1342*MAX(1,IF(H1342&gt;0,AV1342/H1342,1))),IF(R1342&gt;0,AW1342/R1342,0))/MAX(0.1,N(Parameter!$M$21)))</f>
        <v>0.0384615384615385</v>
      </c>
      <c r="AY1342" s="57" t="n">
        <f aca="false">AV1342*G1342</f>
        <v>969.85</v>
      </c>
      <c r="AZ1342" s="57" t="n">
        <f aca="false">ROUNDUP(MAX(J1342/IF(BZ1342&gt;0,BZ1342,MAX(0.1,N(Cockpit!$O$6))),CC1342)/BS1342,0)*BS1342</f>
        <v>35</v>
      </c>
      <c r="BA1342" s="58" t="n">
        <f aca="false">IF(AX1342&gt;0,J1342/AX1342,-1)</f>
        <v>26</v>
      </c>
      <c r="BB1342" s="58" t="n">
        <f aca="false">IF(AND(OR(BY1342="L1",BY1342="L23"),AX1342&gt;0),SUMIFS($AX$7:$AX$1843,$BY$7:$BY$1843,BY1342,$BA$7:$BA$1843,"&gt;"&amp;BA1342)+SUMIFS($AX$7:$AX$1843,$BY$7:$BY$1843,BY1342,$BA$7:$BA$1843,BA1342,$BQ$7:$BQ$1843,"&lt;="&amp;BQ1342),"")</f>
        <v>69.553680618898</v>
      </c>
      <c r="BC1342" s="65" t="n">
        <f aca="false">IF(BB1342="",0,MAX(0,MIN(1,(IF(BY1342="L1",Parameter!$E$5,Parameter!$E$6+Parameter!$E$7)-(BB1342-AX1342))/AX1342)))</f>
        <v>1</v>
      </c>
      <c r="BD1342" s="55" t="str">
        <f aca="false">IF(AH1342&lt;=0,"",IF(BY1342="Aussen","Aussenlager",IF(BY1342="-","Nicht im Lift",IF(AM1342&gt;=1,"Lift",IF(AM1342&lt;=0,"Aussenlager","teilweise")))))</f>
        <v>Lift</v>
      </c>
      <c r="BE1342" s="55" t="str">
        <f aca="false">IF(AP1342&lt;=0,"",IF(BY1342="Aussen","Aussenlager",IF(BY1342="-","Nicht im Lift",IF(AU1342&gt;=1,"Lift",IF(AU1342&lt;=0,"Aussenlager","teilweise")))))</f>
        <v>Lift</v>
      </c>
      <c r="BF1342" s="55" t="str">
        <f aca="false">IF(AX1342&lt;=0,"",IF(BY1342="Aussen","Aussenlager",IF(BY1342="-","Nicht im Lift",IF(BC1342&gt;=1,"Lift",IF(BC1342&lt;=0,"Aussenlager","teilweise")))))</f>
        <v>Lift</v>
      </c>
      <c r="BG1342" s="55" t="str">
        <f aca="false">IF(A1342="","",IF(BP1342=1,"Neu; ","")&amp;IF(AND(BP1342=0,BK1342&lt;0),"negativer Bestand (Export "&amp;BK1342&amp;"); ","")&amp;IF(J1342&lt;=0,"Kein Verbrauch; ","")&amp;IF(CH1342&gt;0,"Lift "&amp;W1342&amp;" lt. Liftbericht (Fach "&amp;X1342&amp;" Stk); ",IF(BU1342=1,"Gebinde geschätzt ("&amp;T1342&amp;"); ",IF(BT1342=1,"Lose – Tablare geschätzt; ","")))&amp;IF(H1342&gt;AR1342,"Überbestand "&amp;ROUND(H1342-AR1342,0)&amp;" Stk / CHF "&amp;ROUND((H1342-AR1342)*G1342,0)&amp;"; ","")&amp;IF(AND(CA1342=1,CB1342&lt;CC1342),"MAX &lt; MB+LG; ","")&amp;IF(AND(CG1342&gt;0,CF1342*10&gt;CG1342),"zu hoch für Tablar; ","")&amp;IF(AND(BP1342=0,OR(CA1342=1,AA1342&lt;&gt;"",U1342&lt;&gt;"",V1342&lt;&gt;"",AB1342&lt;&gt;"")),"manuell übersteuert; ","")&amp;IF(AND(BT1342=0,R1342=0),"Gebinde unbekannt / Stellmass fehlt; ","")&amp;IF(AND(BT1342=0,N(V1342)&lt;=0,N(Q1342)&lt;=0),"Menge pro Gebinde fehlt (Ist = 1 Gebinde); ","")&amp;BO1342)</f>
        <v>negativer Bestand (Export -65); </v>
      </c>
      <c r="BH1342" s="55"/>
      <c r="BI1342" s="55"/>
      <c r="BJ1342" s="62"/>
      <c r="BK1342" s="57" t="n">
        <v>-65</v>
      </c>
      <c r="BL1342" s="57" t="n">
        <v>76</v>
      </c>
      <c r="BM1342" s="56" t="n">
        <v>-1801.15</v>
      </c>
      <c r="BN1342" s="57" t="n">
        <v>1</v>
      </c>
      <c r="BO1342" s="55"/>
      <c r="BP1342" s="60" t="n">
        <v>0</v>
      </c>
      <c r="BQ1342" s="60" t="n">
        <v>1342</v>
      </c>
      <c r="BR1342" s="55" t="str">
        <f aca="false">IF(U1342&lt;&gt;"",UPPER(TRIM(U1342)),IF(BU1342=1,UPPER(VLOOKUP(T1342,Parameter!$I$27:$K$29,2,0)),IF(P1342="","LOSE",P1342)))</f>
        <v>S51</v>
      </c>
      <c r="BS1342" s="57" t="n">
        <f aca="false">IF(BR1342="LOSE",1,IF(N(V1342)&gt;0,V1342,IF(BU1342=1,MAX(1,N(VLOOKUP(T1342,Parameter!$I$27:$K$29,3,0)),H1342,N(N1342)),IF(N(Q1342)&gt;0,Q1342,MAX(1,H1342)))))</f>
        <v>35</v>
      </c>
      <c r="BT1342" s="60" t="n">
        <f aca="false">IF(BR1342="LOSE",1,0)</f>
        <v>0</v>
      </c>
      <c r="BU1342" s="60" t="n">
        <f aca="false">IF(AND(U1342="",OR(P1342="",P1342="LOSE"),T1342&lt;&gt;"",N(S1342)&lt;=0,ISNUMBER(MATCH(T1342,Parameter!$I$27:$I$29,0))),1,0)</f>
        <v>0</v>
      </c>
      <c r="BV1342" s="55" t="str">
        <f aca="false">IF(AND(Parameter!$B$19="Ja",E1342&lt;&gt;"",ISNUMBER(MATCH(E1342,Parameter!$I$35:$I$52,0))),VLOOKUP(E1342,Parameter!$I$35:$J$52,2,0),IFERROR(VLOOKUP(D1342,Parameter!$A$35:$C$64,2,0),"Nein"))</f>
        <v>2+3</v>
      </c>
      <c r="BW1342" s="59" t="n">
        <f aca="false">IF(BT1342=0,0,IF(N(S1342)&gt;0,S1342,IFERROR(VLOOKUP(D1342,Parameter!$A$35:$C$64,3,0)+0,0)))</f>
        <v>0</v>
      </c>
      <c r="BX1342" s="55" t="n">
        <f aca="false">IF(AA1342&lt;&gt;"",AA1342,Z1342)</f>
        <v>3</v>
      </c>
      <c r="BY1342" s="55" t="str">
        <f aca="false">IF(BX1342=1,"L1",IF(OR(BX1342=2,BX1342=3),"L23",IF(BX1342="Aussen","Aussen","-")))</f>
        <v>L23</v>
      </c>
      <c r="BZ1342" s="66" t="n">
        <f aca="false">IF(N(AB1342)&gt;0,AB1342,0)</f>
        <v>0</v>
      </c>
      <c r="CA1342" s="60" t="n">
        <f aca="false">IF(ISNUMBER(AE1342),1,0)</f>
        <v>0</v>
      </c>
      <c r="CB1342" s="57" t="n">
        <f aca="false">N(AE1342)</f>
        <v>0</v>
      </c>
      <c r="CC1342" s="57" t="n">
        <f aca="false">N(M1342)+N(N1342)</f>
        <v>1</v>
      </c>
      <c r="CD1342" s="57" t="n">
        <f aca="false">ROUNDUP(H1342/BS1342,0)</f>
        <v>1</v>
      </c>
      <c r="CE1342" s="57" t="n">
        <f aca="false">ROUNDUP(CB1342/BS1342,0)</f>
        <v>0</v>
      </c>
      <c r="CF1342" s="60" t="n">
        <f aca="false">IF(BT1342=1,0,IFERROR(VLOOKUP(BR1342,'Gebinde-Kategorie'!$A$5:$M$45,5,0)+0,0))</f>
        <v>11</v>
      </c>
      <c r="CG1342" s="60" t="n">
        <f aca="false">IFERROR(IF(OR(BX1342=1,BX1342=2,BX1342=3),N(INDEX(Parameter!$I$5:$I$7,BX1342)),0),0)</f>
        <v>0</v>
      </c>
      <c r="CH1342" s="59" t="n">
        <f aca="false">IF(AND(Parameter!$B$21="Ja",ISNUMBER(W1342),N(X1342)&gt;0),IFERROR(N(INDEX(Parameter!$L$5:$L$7,W1342))*INDEX(Parameter!$E$5:$E$7,W1342)*X1342/SUMIFS($X$7:$X$1843,$W$7:$W$1843,W1342),0),0)</f>
        <v>0</v>
      </c>
    </row>
    <row r="1343" customFormat="false" ht="15" hidden="false" customHeight="false" outlineLevel="0" collapsed="false">
      <c r="A1343" s="55" t="s">
        <v>2376</v>
      </c>
      <c r="B1343" s="55" t="s">
        <v>1111</v>
      </c>
      <c r="C1343" s="55" t="s">
        <v>164</v>
      </c>
      <c r="D1343" s="55" t="s">
        <v>173</v>
      </c>
      <c r="E1343" s="55" t="s">
        <v>185</v>
      </c>
      <c r="F1343" s="55" t="s">
        <v>218</v>
      </c>
      <c r="G1343" s="56" t="n">
        <v>278.37</v>
      </c>
      <c r="H1343" s="57" t="n">
        <f aca="false">MAX(0,IF(AND(Parameter!$B$21="Ja",ISNUMBER(Y1343)),Y1343,IF(Parameter!$B$20="Jahresanfang 2025 + Export",BL1343+BK1343,BK1343)))</f>
        <v>4</v>
      </c>
      <c r="I1343" s="57" t="n">
        <f aca="false">H1343*G1343</f>
        <v>1113.48</v>
      </c>
      <c r="J1343" s="57" t="n">
        <f aca="false">BN1343*Parameter!$B$18</f>
        <v>44</v>
      </c>
      <c r="K1343" s="58" t="n">
        <v>9</v>
      </c>
      <c r="L1343" s="59" t="n">
        <v>4.88888888888889</v>
      </c>
      <c r="M1343" s="57" t="n">
        <v>2</v>
      </c>
      <c r="N1343" s="57" t="n">
        <v>10</v>
      </c>
      <c r="O1343" s="60" t="n">
        <v>21</v>
      </c>
      <c r="P1343" s="55" t="s">
        <v>174</v>
      </c>
      <c r="Q1343" s="57" t="n">
        <v>12</v>
      </c>
      <c r="R1343" s="60" t="n">
        <f aca="false">IF(BT1343=1,0,IFERROR(VLOOKUP(BR1343,'Gebinde-Kategorie'!$A$5:$M$45,13,0)+0,0))</f>
        <v>6</v>
      </c>
      <c r="S1343" s="61"/>
      <c r="T1343" s="62"/>
      <c r="U1343" s="62"/>
      <c r="V1343" s="62"/>
      <c r="W1343" s="55"/>
      <c r="X1343" s="57"/>
      <c r="Y1343" s="57"/>
      <c r="Z1343" s="55" t="n">
        <f aca="false">IF(A1343="","",IF(AND(Parameter!$B$21="Ja",ISNUMBER(W1343)),W1343,IF(BV1343="2+3",IF(ISNUMBER(SEARCH("grosser Artikel",BO1343)),2,IFERROR(VLOOKUP(BR1343,Parameter!$F$35:$G$64,2,0),2)),IF(OR(BV1343="Nein",BV1343=""),"-",BV1343))))</f>
        <v>2</v>
      </c>
      <c r="AA1343" s="62"/>
      <c r="AB1343" s="63"/>
      <c r="AC1343" s="57" t="n">
        <f aca="false">AR1343</f>
        <v>24</v>
      </c>
      <c r="AD1343" s="57" t="n">
        <f aca="false">MAX(AR1343,H1343)</f>
        <v>24</v>
      </c>
      <c r="AE1343" s="64"/>
      <c r="AF1343" s="57" t="n">
        <f aca="false">IF(LEFT(Cockpit!$C$5,1)="A",H1343,IF(CA1343=1,CB1343,IF(LEFT(Cockpit!$C$5,1)="B",AJ1343,MAX(AJ1343,H1343))))</f>
        <v>4</v>
      </c>
      <c r="AG1343" s="57" t="n">
        <f aca="false">IF(BT1343=1,0,ROUNDUP(AF1343/BS1343,0))</f>
        <v>1</v>
      </c>
      <c r="AH1343" s="59" t="n">
        <f aca="false">IF(CH1343&gt;0,CH1343*MAX(1,AF1343/X1343),IF(BT1343=1,IF(AF1343&lt;=0,0,BW1343*MAX(1,IF(H1343&gt;0,AF1343/H1343,1))),IF(R1343&gt;0,AG1343/R1343,0))/MAX(0.1,N(Parameter!$M$21)))</f>
        <v>0.166666666666667</v>
      </c>
      <c r="AI1343" s="57" t="n">
        <f aca="false">AF1343*G1343</f>
        <v>1113.48</v>
      </c>
      <c r="AJ1343" s="57" t="n">
        <f aca="false">ROUNDUP(MAX(J1343/IF(BZ1343&gt;0,BZ1343,MAX(0.1,N(Cockpit!$C$6))),CC1343)/BS1343,0)*BS1343</f>
        <v>24</v>
      </c>
      <c r="AK1343" s="58" t="n">
        <f aca="false">IF(AH1343&gt;0,J1343/AH1343,-1)</f>
        <v>264</v>
      </c>
      <c r="AL1343" s="58" t="n">
        <f aca="false">IF(AND(OR(BY1343="L1",BY1343="L23"),AH1343&gt;0),SUMIFS($AH$7:$AH$1843,$BY$7:$BY$1843,BY1343,$AK$7:$AK$1843,"&gt;"&amp;AK1343)+SUMIFS($AH$7:$AH$1843,$BY$7:$BY$1843,BY1343,$AK$7:$AK$1843,AK1343,$BQ$7:$BQ$1843,"&lt;="&amp;BQ1343),"")</f>
        <v>29.3235194756934</v>
      </c>
      <c r="AM1343" s="65" t="n">
        <f aca="false">IF(AL1343="",0,MAX(0,MIN(1,(IF(BY1343="L1",Parameter!$E$5,Parameter!$E$6+Parameter!$E$7)-(AL1343-AH1343))/AH1343)))</f>
        <v>1</v>
      </c>
      <c r="AN1343" s="57" t="n">
        <f aca="false">IF(LEFT(Cockpit!$I$5,1)="A",H1343,IF(CA1343=1,CB1343,IF(LEFT(Cockpit!$I$5,1)="B",AR1343,MAX(AR1343,H1343))))</f>
        <v>24</v>
      </c>
      <c r="AO1343" s="57" t="n">
        <f aca="false">IF(BT1343=1,0,ROUNDUP(AN1343/BS1343,0))</f>
        <v>2</v>
      </c>
      <c r="AP1343" s="59" t="n">
        <f aca="false">IF(CH1343&gt;0,CH1343*MAX(1,AN1343/X1343),IF(BT1343=1,IF(AN1343&lt;=0,0,BW1343*MAX(1,IF(H1343&gt;0,AN1343/H1343,1))),IF(R1343&gt;0,AO1343/R1343,0))/MAX(0.1,N(Parameter!$M$21)))</f>
        <v>0.333333333333333</v>
      </c>
      <c r="AQ1343" s="57" t="n">
        <f aca="false">AN1343*G1343</f>
        <v>6680.88</v>
      </c>
      <c r="AR1343" s="57" t="n">
        <f aca="false">ROUNDUP(MAX(J1343/IF(BZ1343&gt;0,BZ1343,MAX(0.1,N(Cockpit!$I$6))),CC1343)/BS1343,0)*BS1343</f>
        <v>24</v>
      </c>
      <c r="AS1343" s="58" t="n">
        <f aca="false">IF(AP1343&gt;0,J1343/AP1343,-1)</f>
        <v>132</v>
      </c>
      <c r="AT1343" s="58" t="n">
        <f aca="false">IF(AND(OR(BY1343="L1",BY1343="L23"),AP1343&gt;0),SUMIFS($AP$7:$AP$1843,$BY$7:$BY$1843,BY1343,$AS$7:$AS$1843,"&gt;"&amp;AS1343)+SUMIFS($AP$7:$AP$1843,$BY$7:$BY$1843,BY1343,$AS$7:$AS$1843,AS1343,$BQ$7:$BQ$1843,"&lt;="&amp;BQ1343),"")</f>
        <v>52.4076044728219</v>
      </c>
      <c r="AU1343" s="65" t="n">
        <f aca="false">IF(AT1343="",0,MAX(0,MIN(1,(IF(BY1343="L1",Parameter!$E$5,Parameter!$E$6+Parameter!$E$7)-(AT1343-AP1343))/AP1343)))</f>
        <v>1</v>
      </c>
      <c r="AV1343" s="57" t="n">
        <f aca="false">IF(LEFT(Cockpit!$O$5,1)="A",H1343,IF(CA1343=1,CB1343,IF(LEFT(Cockpit!$O$5,1)="B",AZ1343,MAX(AZ1343,H1343))))</f>
        <v>24</v>
      </c>
      <c r="AW1343" s="57" t="n">
        <f aca="false">IF(BT1343=1,0,ROUNDUP(AV1343/BS1343,0))</f>
        <v>2</v>
      </c>
      <c r="AX1343" s="59" t="n">
        <f aca="false">IF(CH1343&gt;0,CH1343*MAX(1,AV1343/X1343),IF(BT1343=1,IF(AV1343&lt;=0,0,BW1343*MAX(1,IF(H1343&gt;0,AV1343/H1343,1))),IF(R1343&gt;0,AW1343/R1343,0))/MAX(0.1,N(Parameter!$M$21)))</f>
        <v>0.333333333333333</v>
      </c>
      <c r="AY1343" s="57" t="n">
        <f aca="false">AV1343*G1343</f>
        <v>6680.88</v>
      </c>
      <c r="AZ1343" s="57" t="n">
        <f aca="false">ROUNDUP(MAX(J1343/IF(BZ1343&gt;0,BZ1343,MAX(0.1,N(Cockpit!$O$6))),CC1343)/BS1343,0)*BS1343</f>
        <v>24</v>
      </c>
      <c r="BA1343" s="58" t="n">
        <f aca="false">IF(AX1343&gt;0,J1343/AX1343,-1)</f>
        <v>132</v>
      </c>
      <c r="BB1343" s="58" t="n">
        <f aca="false">IF(AND(OR(BY1343="L1",BY1343="L23"),AX1343&gt;0),SUMIFS($AX$7:$AX$1843,$BY$7:$BY$1843,BY1343,$BA$7:$BA$1843,"&gt;"&amp;BA1343)+SUMIFS($AX$7:$AX$1843,$BY$7:$BY$1843,BY1343,$BA$7:$BA$1843,BA1343,$BQ$7:$BQ$1843,"&lt;="&amp;BQ1343),"")</f>
        <v>48.9874413026587</v>
      </c>
      <c r="BC1343" s="65" t="n">
        <f aca="false">IF(BB1343="",0,MAX(0,MIN(1,(IF(BY1343="L1",Parameter!$E$5,Parameter!$E$6+Parameter!$E$7)-(BB1343-AX1343))/AX1343)))</f>
        <v>1</v>
      </c>
      <c r="BD1343" s="55" t="str">
        <f aca="false">IF(AH1343&lt;=0,"",IF(BY1343="Aussen","Aussenlager",IF(BY1343="-","Nicht im Lift",IF(AM1343&gt;=1,"Lift",IF(AM1343&lt;=0,"Aussenlager","teilweise")))))</f>
        <v>Lift</v>
      </c>
      <c r="BE1343" s="55" t="str">
        <f aca="false">IF(AP1343&lt;=0,"",IF(BY1343="Aussen","Aussenlager",IF(BY1343="-","Nicht im Lift",IF(AU1343&gt;=1,"Lift",IF(AU1343&lt;=0,"Aussenlager","teilweise")))))</f>
        <v>Lift</v>
      </c>
      <c r="BF1343" s="55" t="str">
        <f aca="false">IF(AX1343&lt;=0,"",IF(BY1343="Aussen","Aussenlager",IF(BY1343="-","Nicht im Lift",IF(BC1343&gt;=1,"Lift",IF(BC1343&lt;=0,"Aussenlager","teilweise")))))</f>
        <v>Lift</v>
      </c>
      <c r="BG1343" s="55" t="str">
        <f aca="false">IF(A1343="","",IF(BP1343=1,"Neu; ","")&amp;IF(AND(BP1343=0,BK1343&lt;0),"negativer Bestand (Export "&amp;BK1343&amp;"); ","")&amp;IF(J1343&lt;=0,"Kein Verbrauch; ","")&amp;IF(CH1343&gt;0,"Lift "&amp;W1343&amp;" lt. Liftbericht (Fach "&amp;X1343&amp;" Stk); ",IF(BU1343=1,"Gebinde geschätzt ("&amp;T1343&amp;"); ",IF(BT1343=1,"Lose – Tablare geschätzt; ","")))&amp;IF(H1343&gt;AR1343,"Überbestand "&amp;ROUND(H1343-AR1343,0)&amp;" Stk / CHF "&amp;ROUND((H1343-AR1343)*G1343,0)&amp;"; ","")&amp;IF(AND(CA1343=1,CB1343&lt;CC1343),"MAX &lt; MB+LG; ","")&amp;IF(AND(CG1343&gt;0,CF1343*10&gt;CG1343),"zu hoch für Tablar; ","")&amp;IF(AND(BP1343=0,OR(CA1343=1,AA1343&lt;&gt;"",U1343&lt;&gt;"",V1343&lt;&gt;"",AB1343&lt;&gt;"")),"manuell übersteuert; ","")&amp;IF(AND(BT1343=0,R1343=0),"Gebinde unbekannt / Stellmass fehlt; ","")&amp;IF(AND(BT1343=0,N(V1343)&lt;=0,N(Q1343)&lt;=0),"Menge pro Gebinde fehlt (Ist = 1 Gebinde); ","")&amp;BO1343)</f>
        <v>negativer Bestand (Export -4); grosser Artikel &amp; nicht im KTL</v>
      </c>
      <c r="BH1343" s="55"/>
      <c r="BI1343" s="55"/>
      <c r="BJ1343" s="62"/>
      <c r="BK1343" s="57" t="n">
        <v>-4</v>
      </c>
      <c r="BL1343" s="57" t="n">
        <v>8</v>
      </c>
      <c r="BM1343" s="56" t="n">
        <v>-1807.16</v>
      </c>
      <c r="BN1343" s="57" t="n">
        <v>44</v>
      </c>
      <c r="BO1343" s="55" t="s">
        <v>261</v>
      </c>
      <c r="BP1343" s="60" t="n">
        <v>0</v>
      </c>
      <c r="BQ1343" s="60" t="n">
        <v>1343</v>
      </c>
      <c r="BR1343" s="55" t="str">
        <f aca="false">IF(U1343&lt;&gt;"",UPPER(TRIM(U1343)),IF(BU1343=1,UPPER(VLOOKUP(T1343,Parameter!$I$27:$K$29,2,0)),IF(P1343="","LOSE",P1343)))</f>
        <v>S71</v>
      </c>
      <c r="BS1343" s="57" t="n">
        <f aca="false">IF(BR1343="LOSE",1,IF(N(V1343)&gt;0,V1343,IF(BU1343=1,MAX(1,N(VLOOKUP(T1343,Parameter!$I$27:$K$29,3,0)),H1343,N(N1343)),IF(N(Q1343)&gt;0,Q1343,MAX(1,H1343)))))</f>
        <v>12</v>
      </c>
      <c r="BT1343" s="60" t="n">
        <f aca="false">IF(BR1343="LOSE",1,0)</f>
        <v>0</v>
      </c>
      <c r="BU1343" s="60" t="n">
        <f aca="false">IF(AND(U1343="",OR(P1343="",P1343="LOSE"),T1343&lt;&gt;"",N(S1343)&lt;=0,ISNUMBER(MATCH(T1343,Parameter!$I$27:$I$29,0))),1,0)</f>
        <v>0</v>
      </c>
      <c r="BV1343" s="55" t="str">
        <f aca="false">IF(AND(Parameter!$B$19="Ja",E1343&lt;&gt;"",ISNUMBER(MATCH(E1343,Parameter!$I$35:$I$52,0))),VLOOKUP(E1343,Parameter!$I$35:$J$52,2,0),IFERROR(VLOOKUP(D1343,Parameter!$A$35:$C$64,2,0),"Nein"))</f>
        <v>2+3</v>
      </c>
      <c r="BW1343" s="59" t="n">
        <f aca="false">IF(BT1343=0,0,IF(N(S1343)&gt;0,S1343,IFERROR(VLOOKUP(D1343,Parameter!$A$35:$C$64,3,0)+0,0)))</f>
        <v>0</v>
      </c>
      <c r="BX1343" s="55" t="n">
        <f aca="false">IF(AA1343&lt;&gt;"",AA1343,Z1343)</f>
        <v>2</v>
      </c>
      <c r="BY1343" s="55" t="str">
        <f aca="false">IF(BX1343=1,"L1",IF(OR(BX1343=2,BX1343=3),"L23",IF(BX1343="Aussen","Aussen","-")))</f>
        <v>L23</v>
      </c>
      <c r="BZ1343" s="66" t="n">
        <f aca="false">IF(N(AB1343)&gt;0,AB1343,0)</f>
        <v>0</v>
      </c>
      <c r="CA1343" s="60" t="n">
        <f aca="false">IF(ISNUMBER(AE1343),1,0)</f>
        <v>0</v>
      </c>
      <c r="CB1343" s="57" t="n">
        <f aca="false">N(AE1343)</f>
        <v>0</v>
      </c>
      <c r="CC1343" s="57" t="n">
        <f aca="false">N(M1343)+N(N1343)</f>
        <v>12</v>
      </c>
      <c r="CD1343" s="57" t="n">
        <f aca="false">ROUNDUP(H1343/BS1343,0)</f>
        <v>1</v>
      </c>
      <c r="CE1343" s="57" t="n">
        <f aca="false">ROUNDUP(CB1343/BS1343,0)</f>
        <v>0</v>
      </c>
      <c r="CF1343" s="60" t="n">
        <f aca="false">IF(BT1343=1,0,IFERROR(VLOOKUP(BR1343,'Gebinde-Kategorie'!$A$5:$M$45,5,0)+0,0))</f>
        <v>20</v>
      </c>
      <c r="CG1343" s="60" t="n">
        <f aca="false">IFERROR(IF(OR(BX1343=1,BX1343=2,BX1343=3),N(INDEX(Parameter!$I$5:$I$7,BX1343)),0),0)</f>
        <v>0</v>
      </c>
      <c r="CH1343" s="59" t="n">
        <f aca="false">IF(AND(Parameter!$B$21="Ja",ISNUMBER(W1343),N(X1343)&gt;0),IFERROR(N(INDEX(Parameter!$L$5:$L$7,W1343))*INDEX(Parameter!$E$5:$E$7,W1343)*X1343/SUMIFS($X$7:$X$1843,$W$7:$W$1843,W1343),0),0)</f>
        <v>0</v>
      </c>
    </row>
    <row r="1344" customFormat="false" ht="15" hidden="false" customHeight="false" outlineLevel="0" collapsed="false">
      <c r="A1344" s="55" t="s">
        <v>2377</v>
      </c>
      <c r="B1344" s="55" t="s">
        <v>2137</v>
      </c>
      <c r="C1344" s="55" t="s">
        <v>164</v>
      </c>
      <c r="D1344" s="55" t="s">
        <v>173</v>
      </c>
      <c r="E1344" s="55" t="s">
        <v>185</v>
      </c>
      <c r="F1344" s="55" t="s">
        <v>218</v>
      </c>
      <c r="G1344" s="56" t="n">
        <v>38.6</v>
      </c>
      <c r="H1344" s="57" t="n">
        <f aca="false">MAX(0,IF(AND(Parameter!$B$21="Ja",ISNUMBER(Y1344)),Y1344,IF(Parameter!$B$20="Jahresanfang 2025 + Export",BL1344+BK1344,BK1344)))</f>
        <v>47</v>
      </c>
      <c r="I1344" s="57" t="n">
        <f aca="false">H1344*G1344</f>
        <v>1814.2</v>
      </c>
      <c r="J1344" s="57" t="n">
        <f aca="false">BN1344*Parameter!$B$18</f>
        <v>158</v>
      </c>
      <c r="K1344" s="58" t="n">
        <v>79</v>
      </c>
      <c r="L1344" s="59" t="n">
        <v>2</v>
      </c>
      <c r="M1344" s="57" t="n">
        <v>20</v>
      </c>
      <c r="N1344" s="57" t="n">
        <v>100</v>
      </c>
      <c r="O1344" s="60" t="n">
        <v>42</v>
      </c>
      <c r="P1344" s="55" t="s">
        <v>293</v>
      </c>
      <c r="Q1344" s="57" t="n">
        <v>23</v>
      </c>
      <c r="R1344" s="60" t="n">
        <f aca="false">IF(BT1344=1,0,IFERROR(VLOOKUP(BR1344,'Gebinde-Kategorie'!$A$5:$M$45,13,0)+0,0))</f>
        <v>12</v>
      </c>
      <c r="S1344" s="61"/>
      <c r="T1344" s="62"/>
      <c r="U1344" s="62"/>
      <c r="V1344" s="62"/>
      <c r="W1344" s="55"/>
      <c r="X1344" s="57"/>
      <c r="Y1344" s="57"/>
      <c r="Z1344" s="55" t="n">
        <f aca="false">IF(A1344="","",IF(AND(Parameter!$B$21="Ja",ISNUMBER(W1344)),W1344,IF(BV1344="2+3",IF(ISNUMBER(SEARCH("grosser Artikel",BO1344)),2,IFERROR(VLOOKUP(BR1344,Parameter!$F$35:$G$64,2,0),2)),IF(OR(BV1344="Nein",BV1344=""),"-",BV1344))))</f>
        <v>2</v>
      </c>
      <c r="AA1344" s="62"/>
      <c r="AB1344" s="63"/>
      <c r="AC1344" s="57" t="n">
        <f aca="false">AR1344</f>
        <v>138</v>
      </c>
      <c r="AD1344" s="57" t="n">
        <f aca="false">MAX(AR1344,H1344)</f>
        <v>138</v>
      </c>
      <c r="AE1344" s="64"/>
      <c r="AF1344" s="57" t="n">
        <f aca="false">IF(LEFT(Cockpit!$C$5,1)="A",H1344,IF(CA1344=1,CB1344,IF(LEFT(Cockpit!$C$5,1)="B",AJ1344,MAX(AJ1344,H1344))))</f>
        <v>47</v>
      </c>
      <c r="AG1344" s="57" t="n">
        <f aca="false">IF(BT1344=1,0,ROUNDUP(AF1344/BS1344,0))</f>
        <v>3</v>
      </c>
      <c r="AH1344" s="59" t="n">
        <f aca="false">IF(CH1344&gt;0,CH1344*MAX(1,AF1344/X1344),IF(BT1344=1,IF(AF1344&lt;=0,0,BW1344*MAX(1,IF(H1344&gt;0,AF1344/H1344,1))),IF(R1344&gt;0,AG1344/R1344,0))/MAX(0.1,N(Parameter!$M$21)))</f>
        <v>0.25</v>
      </c>
      <c r="AI1344" s="57" t="n">
        <f aca="false">AF1344*G1344</f>
        <v>1814.2</v>
      </c>
      <c r="AJ1344" s="57" t="n">
        <f aca="false">ROUNDUP(MAX(J1344/IF(BZ1344&gt;0,BZ1344,MAX(0.1,N(Cockpit!$C$6))),CC1344)/BS1344,0)*BS1344</f>
        <v>138</v>
      </c>
      <c r="AK1344" s="58" t="n">
        <f aca="false">IF(AH1344&gt;0,J1344/AH1344,-1)</f>
        <v>632</v>
      </c>
      <c r="AL1344" s="58" t="n">
        <f aca="false">IF(AND(OR(BY1344="L1",BY1344="L23"),AH1344&gt;0),SUMIFS($AH$7:$AH$1843,$BY$7:$BY$1843,BY1344,$AK$7:$AK$1843,"&gt;"&amp;AK1344)+SUMIFS($AH$7:$AH$1843,$BY$7:$BY$1843,BY1344,$AK$7:$AK$1843,AK1344,$BQ$7:$BQ$1843,"&lt;="&amp;BQ1344),"")</f>
        <v>22.739121989122</v>
      </c>
      <c r="AM1344" s="65" t="n">
        <f aca="false">IF(AL1344="",0,MAX(0,MIN(1,(IF(BY1344="L1",Parameter!$E$5,Parameter!$E$6+Parameter!$E$7)-(AL1344-AH1344))/AH1344)))</f>
        <v>1</v>
      </c>
      <c r="AN1344" s="57" t="n">
        <f aca="false">IF(LEFT(Cockpit!$I$5,1)="A",H1344,IF(CA1344=1,CB1344,IF(LEFT(Cockpit!$I$5,1)="B",AR1344,MAX(AR1344,H1344))))</f>
        <v>138</v>
      </c>
      <c r="AO1344" s="57" t="n">
        <f aca="false">IF(BT1344=1,0,ROUNDUP(AN1344/BS1344,0))</f>
        <v>6</v>
      </c>
      <c r="AP1344" s="59" t="n">
        <f aca="false">IF(CH1344&gt;0,CH1344*MAX(1,AN1344/X1344),IF(BT1344=1,IF(AN1344&lt;=0,0,BW1344*MAX(1,IF(H1344&gt;0,AN1344/H1344,1))),IF(R1344&gt;0,AO1344/R1344,0))/MAX(0.1,N(Parameter!$M$21)))</f>
        <v>0.5</v>
      </c>
      <c r="AQ1344" s="57" t="n">
        <f aca="false">AN1344*G1344</f>
        <v>5326.8</v>
      </c>
      <c r="AR1344" s="57" t="n">
        <f aca="false">ROUNDUP(MAX(J1344/IF(BZ1344&gt;0,BZ1344,MAX(0.1,N(Cockpit!$I$6))),CC1344)/BS1344,0)*BS1344</f>
        <v>138</v>
      </c>
      <c r="AS1344" s="58" t="n">
        <f aca="false">IF(AP1344&gt;0,J1344/AP1344,-1)</f>
        <v>316</v>
      </c>
      <c r="AT1344" s="58" t="n">
        <f aca="false">IF(AND(OR(BY1344="L1",BY1344="L23"),AP1344&gt;0),SUMIFS($AP$7:$AP$1843,$BY$7:$BY$1843,BY1344,$AS$7:$AS$1843,"&gt;"&amp;AS1344)+SUMIFS($AP$7:$AP$1843,$BY$7:$BY$1843,BY1344,$AS$7:$AS$1843,AS1344,$BQ$7:$BQ$1843,"&lt;="&amp;BQ1344),"")</f>
        <v>40.6444968075403</v>
      </c>
      <c r="AU1344" s="65" t="n">
        <f aca="false">IF(AT1344="",0,MAX(0,MIN(1,(IF(BY1344="L1",Parameter!$E$5,Parameter!$E$6+Parameter!$E$7)-(AT1344-AP1344))/AP1344)))</f>
        <v>1</v>
      </c>
      <c r="AV1344" s="57" t="n">
        <f aca="false">IF(LEFT(Cockpit!$O$5,1)="A",H1344,IF(CA1344=1,CB1344,IF(LEFT(Cockpit!$O$5,1)="B",AZ1344,MAX(AZ1344,H1344))))</f>
        <v>138</v>
      </c>
      <c r="AW1344" s="57" t="n">
        <f aca="false">IF(BT1344=1,0,ROUNDUP(AV1344/BS1344,0))</f>
        <v>6</v>
      </c>
      <c r="AX1344" s="59" t="n">
        <f aca="false">IF(CH1344&gt;0,CH1344*MAX(1,AV1344/X1344),IF(BT1344=1,IF(AV1344&lt;=0,0,BW1344*MAX(1,IF(H1344&gt;0,AV1344/H1344,1))),IF(R1344&gt;0,AW1344/R1344,0))/MAX(0.1,N(Parameter!$M$21)))</f>
        <v>0.5</v>
      </c>
      <c r="AY1344" s="57" t="n">
        <f aca="false">AV1344*G1344</f>
        <v>5326.8</v>
      </c>
      <c r="AZ1344" s="57" t="n">
        <f aca="false">ROUNDUP(MAX(J1344/IF(BZ1344&gt;0,BZ1344,MAX(0.1,N(Cockpit!$O$6))),CC1344)/BS1344,0)*BS1344</f>
        <v>138</v>
      </c>
      <c r="BA1344" s="58" t="n">
        <f aca="false">IF(AX1344&gt;0,J1344/AX1344,-1)</f>
        <v>316</v>
      </c>
      <c r="BB1344" s="58" t="n">
        <f aca="false">IF(AND(OR(BY1344="L1",BY1344="L23"),AX1344&gt;0),SUMIFS($AX$7:$AX$1843,$BY$7:$BY$1843,BY1344,$BA$7:$BA$1843,"&gt;"&amp;BA1344)+SUMIFS($AX$7:$AX$1843,$BY$7:$BY$1843,BY1344,$BA$7:$BA$1843,BA1344,$BQ$7:$BQ$1843,"&lt;="&amp;BQ1344),"")</f>
        <v>36.9743336373771</v>
      </c>
      <c r="BC1344" s="65" t="n">
        <f aca="false">IF(BB1344="",0,MAX(0,MIN(1,(IF(BY1344="L1",Parameter!$E$5,Parameter!$E$6+Parameter!$E$7)-(BB1344-AX1344))/AX1344)))</f>
        <v>1</v>
      </c>
      <c r="BD1344" s="55" t="str">
        <f aca="false">IF(AH1344&lt;=0,"",IF(BY1344="Aussen","Aussenlager",IF(BY1344="-","Nicht im Lift",IF(AM1344&gt;=1,"Lift",IF(AM1344&lt;=0,"Aussenlager","teilweise")))))</f>
        <v>Lift</v>
      </c>
      <c r="BE1344" s="55" t="str">
        <f aca="false">IF(AP1344&lt;=0,"",IF(BY1344="Aussen","Aussenlager",IF(BY1344="-","Nicht im Lift",IF(AU1344&gt;=1,"Lift",IF(AU1344&lt;=0,"Aussenlager","teilweise")))))</f>
        <v>Lift</v>
      </c>
      <c r="BF1344" s="55" t="str">
        <f aca="false">IF(AX1344&lt;=0,"",IF(BY1344="Aussen","Aussenlager",IF(BY1344="-","Nicht im Lift",IF(BC1344&gt;=1,"Lift",IF(BC1344&lt;=0,"Aussenlager","teilweise")))))</f>
        <v>Lift</v>
      </c>
      <c r="BG1344" s="55" t="str">
        <f aca="false">IF(A1344="","",IF(BP1344=1,"Neu; ","")&amp;IF(AND(BP1344=0,BK1344&lt;0),"negativer Bestand (Export "&amp;BK1344&amp;"); ","")&amp;IF(J1344&lt;=0,"Kein Verbrauch; ","")&amp;IF(CH1344&gt;0,"Lift "&amp;W1344&amp;" lt. Liftbericht (Fach "&amp;X1344&amp;" Stk); ",IF(BU1344=1,"Gebinde geschätzt ("&amp;T1344&amp;"); ",IF(BT1344=1,"Lose – Tablare geschätzt; ","")))&amp;IF(H1344&gt;AR1344,"Überbestand "&amp;ROUND(H1344-AR1344,0)&amp;" Stk / CHF "&amp;ROUND((H1344-AR1344)*G1344,0)&amp;"; ","")&amp;IF(AND(CA1344=1,CB1344&lt;CC1344),"MAX &lt; MB+LG; ","")&amp;IF(AND(CG1344&gt;0,CF1344*10&gt;CG1344),"zu hoch für Tablar; ","")&amp;IF(AND(BP1344=0,OR(CA1344=1,AA1344&lt;&gt;"",U1344&lt;&gt;"",V1344&lt;&gt;"",AB1344&lt;&gt;"")),"manuell übersteuert; ","")&amp;IF(AND(BT1344=0,R1344=0),"Gebinde unbekannt / Stellmass fehlt; ","")&amp;IF(AND(BT1344=0,N(V1344)&lt;=0,N(Q1344)&lt;=0),"Menge pro Gebinde fehlt (Ist = 1 Gebinde); ","")&amp;BO1344)</f>
        <v>negativer Bestand (Export -36); </v>
      </c>
      <c r="BH1344" s="55"/>
      <c r="BI1344" s="55"/>
      <c r="BJ1344" s="62"/>
      <c r="BK1344" s="57" t="n">
        <v>-36</v>
      </c>
      <c r="BL1344" s="57" t="n">
        <v>83</v>
      </c>
      <c r="BM1344" s="56" t="n">
        <v>-1818.71</v>
      </c>
      <c r="BN1344" s="57" t="n">
        <v>158</v>
      </c>
      <c r="BO1344" s="55"/>
      <c r="BP1344" s="60" t="n">
        <v>0</v>
      </c>
      <c r="BQ1344" s="60" t="n">
        <v>1344</v>
      </c>
      <c r="BR1344" s="55" t="str">
        <f aca="false">IF(U1344&lt;&gt;"",UPPER(TRIM(U1344)),IF(BU1344=1,UPPER(VLOOKUP(T1344,Parameter!$I$27:$K$29,2,0)),IF(P1344="","LOSE",P1344)))</f>
        <v>S62</v>
      </c>
      <c r="BS1344" s="57" t="n">
        <f aca="false">IF(BR1344="LOSE",1,IF(N(V1344)&gt;0,V1344,IF(BU1344=1,MAX(1,N(VLOOKUP(T1344,Parameter!$I$27:$K$29,3,0)),H1344,N(N1344)),IF(N(Q1344)&gt;0,Q1344,MAX(1,H1344)))))</f>
        <v>23</v>
      </c>
      <c r="BT1344" s="60" t="n">
        <f aca="false">IF(BR1344="LOSE",1,0)</f>
        <v>0</v>
      </c>
      <c r="BU1344" s="60" t="n">
        <f aca="false">IF(AND(U1344="",OR(P1344="",P1344="LOSE"),T1344&lt;&gt;"",N(S1344)&lt;=0,ISNUMBER(MATCH(T1344,Parameter!$I$27:$I$29,0))),1,0)</f>
        <v>0</v>
      </c>
      <c r="BV1344" s="55" t="str">
        <f aca="false">IF(AND(Parameter!$B$19="Ja",E1344&lt;&gt;"",ISNUMBER(MATCH(E1344,Parameter!$I$35:$I$52,0))),VLOOKUP(E1344,Parameter!$I$35:$J$52,2,0),IFERROR(VLOOKUP(D1344,Parameter!$A$35:$C$64,2,0),"Nein"))</f>
        <v>2+3</v>
      </c>
      <c r="BW1344" s="59" t="n">
        <f aca="false">IF(BT1344=0,0,IF(N(S1344)&gt;0,S1344,IFERROR(VLOOKUP(D1344,Parameter!$A$35:$C$64,3,0)+0,0)))</f>
        <v>0</v>
      </c>
      <c r="BX1344" s="55" t="n">
        <f aca="false">IF(AA1344&lt;&gt;"",AA1344,Z1344)</f>
        <v>2</v>
      </c>
      <c r="BY1344" s="55" t="str">
        <f aca="false">IF(BX1344=1,"L1",IF(OR(BX1344=2,BX1344=3),"L23",IF(BX1344="Aussen","Aussen","-")))</f>
        <v>L23</v>
      </c>
      <c r="BZ1344" s="66" t="n">
        <f aca="false">IF(N(AB1344)&gt;0,AB1344,0)</f>
        <v>0</v>
      </c>
      <c r="CA1344" s="60" t="n">
        <f aca="false">IF(ISNUMBER(AE1344),1,0)</f>
        <v>0</v>
      </c>
      <c r="CB1344" s="57" t="n">
        <f aca="false">N(AE1344)</f>
        <v>0</v>
      </c>
      <c r="CC1344" s="57" t="n">
        <f aca="false">N(M1344)+N(N1344)</f>
        <v>120</v>
      </c>
      <c r="CD1344" s="57" t="n">
        <f aca="false">ROUNDUP(H1344/BS1344,0)</f>
        <v>3</v>
      </c>
      <c r="CE1344" s="57" t="n">
        <f aca="false">ROUNDUP(CB1344/BS1344,0)</f>
        <v>0</v>
      </c>
      <c r="CF1344" s="60" t="n">
        <f aca="false">IF(BT1344=1,0,IFERROR(VLOOKUP(BR1344,'Gebinde-Kategorie'!$A$5:$M$45,5,0)+0,0))</f>
        <v>21</v>
      </c>
      <c r="CG1344" s="60" t="n">
        <f aca="false">IFERROR(IF(OR(BX1344=1,BX1344=2,BX1344=3),N(INDEX(Parameter!$I$5:$I$7,BX1344)),0),0)</f>
        <v>0</v>
      </c>
      <c r="CH1344" s="59" t="n">
        <f aca="false">IF(AND(Parameter!$B$21="Ja",ISNUMBER(W1344),N(X1344)&gt;0),IFERROR(N(INDEX(Parameter!$L$5:$L$7,W1344))*INDEX(Parameter!$E$5:$E$7,W1344)*X1344/SUMIFS($X$7:$X$1843,$W$7:$W$1843,W1344),0),0)</f>
        <v>0</v>
      </c>
    </row>
    <row r="1345" customFormat="false" ht="15" hidden="false" customHeight="false" outlineLevel="0" collapsed="false">
      <c r="A1345" s="55" t="s">
        <v>2378</v>
      </c>
      <c r="B1345" s="55" t="s">
        <v>1902</v>
      </c>
      <c r="C1345" s="55" t="s">
        <v>167</v>
      </c>
      <c r="D1345" s="55" t="s">
        <v>184</v>
      </c>
      <c r="E1345" s="55" t="s">
        <v>185</v>
      </c>
      <c r="F1345" s="55" t="s">
        <v>218</v>
      </c>
      <c r="G1345" s="56" t="n">
        <v>21.45</v>
      </c>
      <c r="H1345" s="57" t="n">
        <f aca="false">MAX(0,IF(AND(Parameter!$B$21="Ja",ISNUMBER(Y1345)),Y1345,IF(Parameter!$B$20="Jahresanfang 2025 + Export",BL1345+BK1345,BK1345)))</f>
        <v>42</v>
      </c>
      <c r="I1345" s="57" t="n">
        <f aca="false">H1345*G1345</f>
        <v>900.9</v>
      </c>
      <c r="J1345" s="57" t="n">
        <f aca="false">BN1345*Parameter!$B$18</f>
        <v>384</v>
      </c>
      <c r="K1345" s="58" t="n">
        <v>122.5</v>
      </c>
      <c r="L1345" s="59" t="n">
        <v>3.13469387755102</v>
      </c>
      <c r="M1345" s="57" t="n">
        <v>0</v>
      </c>
      <c r="N1345" s="57" t="n">
        <v>210</v>
      </c>
      <c r="O1345" s="60" t="n">
        <v>21</v>
      </c>
      <c r="P1345" s="55" t="s">
        <v>302</v>
      </c>
      <c r="Q1345" s="57" t="n">
        <v>57</v>
      </c>
      <c r="R1345" s="60" t="n">
        <f aca="false">IF(BT1345=1,0,IFERROR(VLOOKUP(BR1345,'Gebinde-Kategorie'!$A$5:$M$45,13,0)+0,0))</f>
        <v>26</v>
      </c>
      <c r="S1345" s="61"/>
      <c r="T1345" s="62"/>
      <c r="U1345" s="62"/>
      <c r="V1345" s="62"/>
      <c r="W1345" s="55"/>
      <c r="X1345" s="57"/>
      <c r="Y1345" s="57"/>
      <c r="Z1345" s="55" t="n">
        <f aca="false">IF(A1345="","",IF(AND(Parameter!$B$21="Ja",ISNUMBER(W1345)),W1345,IF(BV1345="2+3",IF(ISNUMBER(SEARCH("grosser Artikel",BO1345)),2,IFERROR(VLOOKUP(BR1345,Parameter!$F$35:$G$64,2,0),2)),IF(OR(BV1345="Nein",BV1345=""),"-",BV1345))))</f>
        <v>3</v>
      </c>
      <c r="AA1345" s="62"/>
      <c r="AB1345" s="63"/>
      <c r="AC1345" s="57" t="n">
        <f aca="false">AR1345</f>
        <v>228</v>
      </c>
      <c r="AD1345" s="57" t="n">
        <f aca="false">MAX(AR1345,H1345)</f>
        <v>228</v>
      </c>
      <c r="AE1345" s="64"/>
      <c r="AF1345" s="57" t="n">
        <f aca="false">IF(LEFT(Cockpit!$C$5,1)="A",H1345,IF(CA1345=1,CB1345,IF(LEFT(Cockpit!$C$5,1)="B",AJ1345,MAX(AJ1345,H1345))))</f>
        <v>42</v>
      </c>
      <c r="AG1345" s="57" t="n">
        <f aca="false">IF(BT1345=1,0,ROUNDUP(AF1345/BS1345,0))</f>
        <v>1</v>
      </c>
      <c r="AH1345" s="59" t="n">
        <f aca="false">IF(CH1345&gt;0,CH1345*MAX(1,AF1345/X1345),IF(BT1345=1,IF(AF1345&lt;=0,0,BW1345*MAX(1,IF(H1345&gt;0,AF1345/H1345,1))),IF(R1345&gt;0,AG1345/R1345,0))/MAX(0.1,N(Parameter!$M$21)))</f>
        <v>0.0384615384615385</v>
      </c>
      <c r="AI1345" s="57" t="n">
        <f aca="false">AF1345*G1345</f>
        <v>900.9</v>
      </c>
      <c r="AJ1345" s="57" t="n">
        <f aca="false">ROUNDUP(MAX(J1345/IF(BZ1345&gt;0,BZ1345,MAX(0.1,N(Cockpit!$C$6))),CC1345)/BS1345,0)*BS1345</f>
        <v>228</v>
      </c>
      <c r="AK1345" s="58" t="n">
        <f aca="false">IF(AH1345&gt;0,J1345/AH1345,-1)</f>
        <v>9984</v>
      </c>
      <c r="AL1345" s="58" t="n">
        <f aca="false">IF(AND(OR(BY1345="L1",BY1345="L23"),AH1345&gt;0),SUMIFS($AH$7:$AH$1843,$BY$7:$BY$1843,BY1345,$AK$7:$AK$1843,"&gt;"&amp;AK1345)+SUMIFS($AH$7:$AH$1843,$BY$7:$BY$1843,BY1345,$AK$7:$AK$1843,AK1345,$BQ$7:$BQ$1843,"&lt;="&amp;BQ1345),"")</f>
        <v>5.35243741765481</v>
      </c>
      <c r="AM1345" s="65" t="n">
        <f aca="false">IF(AL1345="",0,MAX(0,MIN(1,(IF(BY1345="L1",Parameter!$E$5,Parameter!$E$6+Parameter!$E$7)-(AL1345-AH1345))/AH1345)))</f>
        <v>1</v>
      </c>
      <c r="AN1345" s="57" t="n">
        <f aca="false">IF(LEFT(Cockpit!$I$5,1)="A",H1345,IF(CA1345=1,CB1345,IF(LEFT(Cockpit!$I$5,1)="B",AR1345,MAX(AR1345,H1345))))</f>
        <v>228</v>
      </c>
      <c r="AO1345" s="57" t="n">
        <f aca="false">IF(BT1345=1,0,ROUNDUP(AN1345/BS1345,0))</f>
        <v>4</v>
      </c>
      <c r="AP1345" s="59" t="n">
        <f aca="false">IF(CH1345&gt;0,CH1345*MAX(1,AN1345/X1345),IF(BT1345=1,IF(AN1345&lt;=0,0,BW1345*MAX(1,IF(H1345&gt;0,AN1345/H1345,1))),IF(R1345&gt;0,AO1345/R1345,0))/MAX(0.1,N(Parameter!$M$21)))</f>
        <v>0.153846153846154</v>
      </c>
      <c r="AQ1345" s="57" t="n">
        <f aca="false">AN1345*G1345</f>
        <v>4890.6</v>
      </c>
      <c r="AR1345" s="57" t="n">
        <f aca="false">ROUNDUP(MAX(J1345/IF(BZ1345&gt;0,BZ1345,MAX(0.1,N(Cockpit!$I$6))),CC1345)/BS1345,0)*BS1345</f>
        <v>228</v>
      </c>
      <c r="AS1345" s="58" t="n">
        <f aca="false">IF(AP1345&gt;0,J1345/AP1345,-1)</f>
        <v>2496</v>
      </c>
      <c r="AT1345" s="58" t="n">
        <f aca="false">IF(AND(OR(BY1345="L1",BY1345="L23"),AP1345&gt;0),SUMIFS($AP$7:$AP$1843,$BY$7:$BY$1843,BY1345,$AS$7:$AS$1843,"&gt;"&amp;AS1345)+SUMIFS($AP$7:$AP$1843,$BY$7:$BY$1843,BY1345,$AS$7:$AS$1843,AS1345,$BQ$7:$BQ$1843,"&lt;="&amp;BQ1345),"")</f>
        <v>17.0048984831594</v>
      </c>
      <c r="AU1345" s="65" t="n">
        <f aca="false">IF(AT1345="",0,MAX(0,MIN(1,(IF(BY1345="L1",Parameter!$E$5,Parameter!$E$6+Parameter!$E$7)-(AT1345-AP1345))/AP1345)))</f>
        <v>1</v>
      </c>
      <c r="AV1345" s="57" t="n">
        <f aca="false">IF(LEFT(Cockpit!$O$5,1)="A",H1345,IF(CA1345=1,CB1345,IF(LEFT(Cockpit!$O$5,1)="B",AZ1345,MAX(AZ1345,H1345))))</f>
        <v>228</v>
      </c>
      <c r="AW1345" s="57" t="n">
        <f aca="false">IF(BT1345=1,0,ROUNDUP(AV1345/BS1345,0))</f>
        <v>4</v>
      </c>
      <c r="AX1345" s="59" t="n">
        <f aca="false">IF(CH1345&gt;0,CH1345*MAX(1,AV1345/X1345),IF(BT1345=1,IF(AV1345&lt;=0,0,BW1345*MAX(1,IF(H1345&gt;0,AV1345/H1345,1))),IF(R1345&gt;0,AW1345/R1345,0))/MAX(0.1,N(Parameter!$M$21)))</f>
        <v>0.153846153846154</v>
      </c>
      <c r="AY1345" s="57" t="n">
        <f aca="false">AV1345*G1345</f>
        <v>4890.6</v>
      </c>
      <c r="AZ1345" s="57" t="n">
        <f aca="false">ROUNDUP(MAX(J1345/IF(BZ1345&gt;0,BZ1345,MAX(0.1,N(Cockpit!$O$6))),CC1345)/BS1345,0)*BS1345</f>
        <v>228</v>
      </c>
      <c r="BA1345" s="58" t="n">
        <f aca="false">IF(AX1345&gt;0,J1345/AX1345,-1)</f>
        <v>2496</v>
      </c>
      <c r="BB1345" s="58" t="n">
        <f aca="false">IF(AND(OR(BY1345="L1",BY1345="L23"),AX1345&gt;0),SUMIFS($AX$7:$AX$1843,$BY$7:$BY$1843,BY1345,$BA$7:$BA$1843,"&gt;"&amp;BA1345)+SUMIFS($AX$7:$AX$1843,$BY$7:$BY$1843,BY1345,$BA$7:$BA$1843,BA1345,$BQ$7:$BQ$1843,"&lt;="&amp;BQ1345),"")</f>
        <v>15.5783250565859</v>
      </c>
      <c r="BC1345" s="65" t="n">
        <f aca="false">IF(BB1345="",0,MAX(0,MIN(1,(IF(BY1345="L1",Parameter!$E$5,Parameter!$E$6+Parameter!$E$7)-(BB1345-AX1345))/AX1345)))</f>
        <v>1</v>
      </c>
      <c r="BD1345" s="55" t="str">
        <f aca="false">IF(AH1345&lt;=0,"",IF(BY1345="Aussen","Aussenlager",IF(BY1345="-","Nicht im Lift",IF(AM1345&gt;=1,"Lift",IF(AM1345&lt;=0,"Aussenlager","teilweise")))))</f>
        <v>Lift</v>
      </c>
      <c r="BE1345" s="55" t="str">
        <f aca="false">IF(AP1345&lt;=0,"",IF(BY1345="Aussen","Aussenlager",IF(BY1345="-","Nicht im Lift",IF(AU1345&gt;=1,"Lift",IF(AU1345&lt;=0,"Aussenlager","teilweise")))))</f>
        <v>Lift</v>
      </c>
      <c r="BF1345" s="55" t="str">
        <f aca="false">IF(AX1345&lt;=0,"",IF(BY1345="Aussen","Aussenlager",IF(BY1345="-","Nicht im Lift",IF(BC1345&gt;=1,"Lift",IF(BC1345&lt;=0,"Aussenlager","teilweise")))))</f>
        <v>Lift</v>
      </c>
      <c r="BG1345" s="55" t="str">
        <f aca="false">IF(A1345="","",IF(BP1345=1,"Neu; ","")&amp;IF(AND(BP1345=0,BK1345&lt;0),"negativer Bestand (Export "&amp;BK1345&amp;"); ","")&amp;IF(J1345&lt;=0,"Kein Verbrauch; ","")&amp;IF(CH1345&gt;0,"Lift "&amp;W1345&amp;" lt. Liftbericht (Fach "&amp;X1345&amp;" Stk); ",IF(BU1345=1,"Gebinde geschätzt ("&amp;T1345&amp;"); ",IF(BT1345=1,"Lose – Tablare geschätzt; ","")))&amp;IF(H1345&gt;AR1345,"Überbestand "&amp;ROUND(H1345-AR1345,0)&amp;" Stk / CHF "&amp;ROUND((H1345-AR1345)*G1345,0)&amp;"; ","")&amp;IF(AND(CA1345=1,CB1345&lt;CC1345),"MAX &lt; MB+LG; ","")&amp;IF(AND(CG1345&gt;0,CF1345*10&gt;CG1345),"zu hoch für Tablar; ","")&amp;IF(AND(BP1345=0,OR(CA1345=1,AA1345&lt;&gt;"",U1345&lt;&gt;"",V1345&lt;&gt;"",AB1345&lt;&gt;"")),"manuell übersteuert; ","")&amp;IF(AND(BT1345=0,R1345=0),"Gebinde unbekannt / Stellmass fehlt; ","")&amp;IF(AND(BT1345=0,N(V1345)&lt;=0,N(Q1345)&lt;=0),"Menge pro Gebinde fehlt (Ist = 1 Gebinde); ","")&amp;BO1345)</f>
        <v>negativer Bestand (Export -165); </v>
      </c>
      <c r="BH1345" s="55"/>
      <c r="BI1345" s="55"/>
      <c r="BJ1345" s="62"/>
      <c r="BK1345" s="57" t="n">
        <v>-165</v>
      </c>
      <c r="BL1345" s="57" t="n">
        <v>207</v>
      </c>
      <c r="BM1345" s="56" t="n">
        <v>-1852.2</v>
      </c>
      <c r="BN1345" s="57" t="n">
        <v>384</v>
      </c>
      <c r="BO1345" s="55"/>
      <c r="BP1345" s="60" t="n">
        <v>0</v>
      </c>
      <c r="BQ1345" s="60" t="n">
        <v>1345</v>
      </c>
      <c r="BR1345" s="55" t="str">
        <f aca="false">IF(U1345&lt;&gt;"",UPPER(TRIM(U1345)),IF(BU1345=1,UPPER(VLOOKUP(T1345,Parameter!$I$27:$K$29,2,0)),IF(P1345="","LOSE",P1345)))</f>
        <v>S51</v>
      </c>
      <c r="BS1345" s="57" t="n">
        <f aca="false">IF(BR1345="LOSE",1,IF(N(V1345)&gt;0,V1345,IF(BU1345=1,MAX(1,N(VLOOKUP(T1345,Parameter!$I$27:$K$29,3,0)),H1345,N(N1345)),IF(N(Q1345)&gt;0,Q1345,MAX(1,H1345)))))</f>
        <v>57</v>
      </c>
      <c r="BT1345" s="60" t="n">
        <f aca="false">IF(BR1345="LOSE",1,0)</f>
        <v>0</v>
      </c>
      <c r="BU1345" s="60" t="n">
        <f aca="false">IF(AND(U1345="",OR(P1345="",P1345="LOSE"),T1345&lt;&gt;"",N(S1345)&lt;=0,ISNUMBER(MATCH(T1345,Parameter!$I$27:$I$29,0))),1,0)</f>
        <v>0</v>
      </c>
      <c r="BV1345" s="55" t="str">
        <f aca="false">IF(AND(Parameter!$B$19="Ja",E1345&lt;&gt;"",ISNUMBER(MATCH(E1345,Parameter!$I$35:$I$52,0))),VLOOKUP(E1345,Parameter!$I$35:$J$52,2,0),IFERROR(VLOOKUP(D1345,Parameter!$A$35:$C$64,2,0),"Nein"))</f>
        <v>2+3</v>
      </c>
      <c r="BW1345" s="59" t="n">
        <f aca="false">IF(BT1345=0,0,IF(N(S1345)&gt;0,S1345,IFERROR(VLOOKUP(D1345,Parameter!$A$35:$C$64,3,0)+0,0)))</f>
        <v>0</v>
      </c>
      <c r="BX1345" s="55" t="n">
        <f aca="false">IF(AA1345&lt;&gt;"",AA1345,Z1345)</f>
        <v>3</v>
      </c>
      <c r="BY1345" s="55" t="str">
        <f aca="false">IF(BX1345=1,"L1",IF(OR(BX1345=2,BX1345=3),"L23",IF(BX1345="Aussen","Aussen","-")))</f>
        <v>L23</v>
      </c>
      <c r="BZ1345" s="66" t="n">
        <f aca="false">IF(N(AB1345)&gt;0,AB1345,0)</f>
        <v>0</v>
      </c>
      <c r="CA1345" s="60" t="n">
        <f aca="false">IF(ISNUMBER(AE1345),1,0)</f>
        <v>0</v>
      </c>
      <c r="CB1345" s="57" t="n">
        <f aca="false">N(AE1345)</f>
        <v>0</v>
      </c>
      <c r="CC1345" s="57" t="n">
        <f aca="false">N(M1345)+N(N1345)</f>
        <v>210</v>
      </c>
      <c r="CD1345" s="57" t="n">
        <f aca="false">ROUNDUP(H1345/BS1345,0)</f>
        <v>1</v>
      </c>
      <c r="CE1345" s="57" t="n">
        <f aca="false">ROUNDUP(CB1345/BS1345,0)</f>
        <v>0</v>
      </c>
      <c r="CF1345" s="60" t="n">
        <f aca="false">IF(BT1345=1,0,IFERROR(VLOOKUP(BR1345,'Gebinde-Kategorie'!$A$5:$M$45,5,0)+0,0))</f>
        <v>11</v>
      </c>
      <c r="CG1345" s="60" t="n">
        <f aca="false">IFERROR(IF(OR(BX1345=1,BX1345=2,BX1345=3),N(INDEX(Parameter!$I$5:$I$7,BX1345)),0),0)</f>
        <v>0</v>
      </c>
      <c r="CH1345" s="59" t="n">
        <f aca="false">IF(AND(Parameter!$B$21="Ja",ISNUMBER(W1345),N(X1345)&gt;0),IFERROR(N(INDEX(Parameter!$L$5:$L$7,W1345))*INDEX(Parameter!$E$5:$E$7,W1345)*X1345/SUMIFS($X$7:$X$1843,$W$7:$W$1843,W1345),0),0)</f>
        <v>0</v>
      </c>
    </row>
    <row r="1346" customFormat="false" ht="15" hidden="false" customHeight="false" outlineLevel="0" collapsed="false">
      <c r="A1346" s="55" t="s">
        <v>2379</v>
      </c>
      <c r="B1346" s="55" t="s">
        <v>462</v>
      </c>
      <c r="C1346" s="55" t="s">
        <v>164</v>
      </c>
      <c r="D1346" s="55" t="s">
        <v>173</v>
      </c>
      <c r="E1346" s="55" t="s">
        <v>185</v>
      </c>
      <c r="F1346" s="55" t="s">
        <v>218</v>
      </c>
      <c r="G1346" s="56" t="n">
        <v>238.48</v>
      </c>
      <c r="H1346" s="57" t="n">
        <f aca="false">MAX(0,IF(AND(Parameter!$B$21="Ja",ISNUMBER(Y1346)),Y1346,IF(Parameter!$B$20="Jahresanfang 2025 + Export",BL1346+BK1346,BK1346)))</f>
        <v>11</v>
      </c>
      <c r="I1346" s="57" t="n">
        <f aca="false">H1346*G1346</f>
        <v>2623.28</v>
      </c>
      <c r="J1346" s="57" t="n">
        <f aca="false">BN1346*Parameter!$B$18</f>
        <v>39</v>
      </c>
      <c r="K1346" s="58" t="n">
        <v>14.5</v>
      </c>
      <c r="L1346" s="59" t="n">
        <v>2.68965517241379</v>
      </c>
      <c r="M1346" s="57" t="n">
        <v>3</v>
      </c>
      <c r="N1346" s="57" t="n">
        <v>10</v>
      </c>
      <c r="O1346" s="60" t="n">
        <v>28</v>
      </c>
      <c r="P1346" s="55" t="s">
        <v>168</v>
      </c>
      <c r="Q1346" s="57"/>
      <c r="R1346" s="60" t="n">
        <f aca="false">IF(BT1346=1,0,IFERROR(VLOOKUP(BR1346,'Gebinde-Kategorie'!$A$5:$M$45,13,0)+0,0))</f>
        <v>0</v>
      </c>
      <c r="S1346" s="61"/>
      <c r="T1346" s="62"/>
      <c r="U1346" s="62"/>
      <c r="V1346" s="62"/>
      <c r="W1346" s="55" t="n">
        <v>1</v>
      </c>
      <c r="X1346" s="57" t="n">
        <v>18</v>
      </c>
      <c r="Y1346" s="57" t="n">
        <v>11</v>
      </c>
      <c r="Z1346" s="55" t="n">
        <f aca="false">IF(A1346="","",IF(AND(Parameter!$B$21="Ja",ISNUMBER(W1346)),W1346,IF(BV1346="2+3",IF(ISNUMBER(SEARCH("grosser Artikel",BO1346)),2,IFERROR(VLOOKUP(BR1346,Parameter!$F$35:$G$64,2,0),2)),IF(OR(BV1346="Nein",BV1346=""),"-",BV1346))))</f>
        <v>1</v>
      </c>
      <c r="AA1346" s="62"/>
      <c r="AB1346" s="63"/>
      <c r="AC1346" s="57" t="n">
        <f aca="false">AR1346</f>
        <v>20</v>
      </c>
      <c r="AD1346" s="57" t="n">
        <f aca="false">MAX(AR1346,H1346)</f>
        <v>20</v>
      </c>
      <c r="AE1346" s="64"/>
      <c r="AF1346" s="57" t="n">
        <f aca="false">IF(LEFT(Cockpit!$C$5,1)="A",H1346,IF(CA1346=1,CB1346,IF(LEFT(Cockpit!$C$5,1)="B",AJ1346,MAX(AJ1346,H1346))))</f>
        <v>11</v>
      </c>
      <c r="AG1346" s="57" t="n">
        <f aca="false">IF(BT1346=1,0,ROUNDUP(AF1346/BS1346,0))</f>
        <v>0</v>
      </c>
      <c r="AH1346" s="59" t="n">
        <f aca="false">IF(CH1346&gt;0,CH1346*MAX(1,AF1346/X1346),IF(BT1346=1,IF(AF1346&lt;=0,0,BW1346*MAX(1,IF(H1346&gt;0,AF1346/H1346,1))),IF(R1346&gt;0,AG1346/R1346,0))/MAX(0.1,N(Parameter!$M$21)))</f>
        <v>1.44067796610169</v>
      </c>
      <c r="AI1346" s="57" t="n">
        <f aca="false">AF1346*G1346</f>
        <v>2623.28</v>
      </c>
      <c r="AJ1346" s="57" t="n">
        <f aca="false">ROUNDUP(MAX(J1346/IF(BZ1346&gt;0,BZ1346,MAX(0.1,N(Cockpit!$C$6))),CC1346)/BS1346,0)*BS1346</f>
        <v>20</v>
      </c>
      <c r="AK1346" s="58" t="n">
        <f aca="false">IF(AH1346&gt;0,J1346/AH1346,-1)</f>
        <v>27.0705882352941</v>
      </c>
      <c r="AL1346" s="58" t="n">
        <f aca="false">IF(AND(OR(BY1346="L1",BY1346="L23"),AH1346&gt;0),SUMIFS($AH$7:$AH$1843,$BY$7:$BY$1843,BY1346,$AK$7:$AK$1843,"&gt;"&amp;AK1346)+SUMIFS($AH$7:$AH$1843,$BY$7:$BY$1843,BY1346,$AK$7:$AK$1843,AK1346,$BQ$7:$BQ$1843,"&lt;="&amp;BQ1346),"")</f>
        <v>15.7743766100435</v>
      </c>
      <c r="AM1346" s="65" t="n">
        <f aca="false">IF(AL1346="",0,MAX(0,MIN(1,(IF(BY1346="L1",Parameter!$E$5,Parameter!$E$6+Parameter!$E$7)-(AL1346-AH1346))/AH1346)))</f>
        <v>1</v>
      </c>
      <c r="AN1346" s="57" t="n">
        <f aca="false">IF(LEFT(Cockpit!$I$5,1)="A",H1346,IF(CA1346=1,CB1346,IF(LEFT(Cockpit!$I$5,1)="B",AR1346,MAX(AR1346,H1346))))</f>
        <v>20</v>
      </c>
      <c r="AO1346" s="57" t="n">
        <f aca="false">IF(BT1346=1,0,ROUNDUP(AN1346/BS1346,0))</f>
        <v>0</v>
      </c>
      <c r="AP1346" s="59" t="n">
        <f aca="false">IF(CH1346&gt;0,CH1346*MAX(1,AN1346/X1346),IF(BT1346=1,IF(AN1346&lt;=0,0,BW1346*MAX(1,IF(H1346&gt;0,AN1346/H1346,1))),IF(R1346&gt;0,AO1346/R1346,0))/MAX(0.1,N(Parameter!$M$21)))</f>
        <v>1.60075329566855</v>
      </c>
      <c r="AQ1346" s="57" t="n">
        <f aca="false">AN1346*G1346</f>
        <v>4769.6</v>
      </c>
      <c r="AR1346" s="57" t="n">
        <f aca="false">ROUNDUP(MAX(J1346/IF(BZ1346&gt;0,BZ1346,MAX(0.1,N(Cockpit!$I$6))),CC1346)/BS1346,0)*BS1346</f>
        <v>20</v>
      </c>
      <c r="AS1346" s="58" t="n">
        <f aca="false">IF(AP1346&gt;0,J1346/AP1346,-1)</f>
        <v>24.3635294117647</v>
      </c>
      <c r="AT1346" s="58" t="n">
        <f aca="false">IF(AND(OR(BY1346="L1",BY1346="L23"),AP1346&gt;0),SUMIFS($AP$7:$AP$1843,$BY$7:$BY$1843,BY1346,$AS$7:$AS$1843,"&gt;"&amp;AS1346)+SUMIFS($AP$7:$AP$1843,$BY$7:$BY$1843,BY1346,$AS$7:$AS$1843,AS1346,$BQ$7:$BQ$1843,"&lt;="&amp;BQ1346),"")</f>
        <v>30.2204145645561</v>
      </c>
      <c r="AU1346" s="65" t="n">
        <f aca="false">IF(AT1346="",0,MAX(0,MIN(1,(IF(BY1346="L1",Parameter!$E$5,Parameter!$E$6+Parameter!$E$7)-(AT1346-AP1346))/AP1346)))</f>
        <v>1</v>
      </c>
      <c r="AV1346" s="57" t="n">
        <f aca="false">IF(LEFT(Cockpit!$O$5,1)="A",H1346,IF(CA1346=1,CB1346,IF(LEFT(Cockpit!$O$5,1)="B",AZ1346,MAX(AZ1346,H1346))))</f>
        <v>13</v>
      </c>
      <c r="AW1346" s="57" t="n">
        <f aca="false">IF(BT1346=1,0,ROUNDUP(AV1346/BS1346,0))</f>
        <v>0</v>
      </c>
      <c r="AX1346" s="59" t="n">
        <f aca="false">IF(CH1346&gt;0,CH1346*MAX(1,AV1346/X1346),IF(BT1346=1,IF(AV1346&lt;=0,0,BW1346*MAX(1,IF(H1346&gt;0,AV1346/H1346,1))),IF(R1346&gt;0,AW1346/R1346,0))/MAX(0.1,N(Parameter!$M$21)))</f>
        <v>1.44067796610169</v>
      </c>
      <c r="AY1346" s="57" t="n">
        <f aca="false">AV1346*G1346</f>
        <v>3100.24</v>
      </c>
      <c r="AZ1346" s="57" t="n">
        <f aca="false">ROUNDUP(MAX(J1346/IF(BZ1346&gt;0,BZ1346,MAX(0.1,N(Cockpit!$O$6))),CC1346)/BS1346,0)*BS1346</f>
        <v>13</v>
      </c>
      <c r="BA1346" s="58" t="n">
        <f aca="false">IF(AX1346&gt;0,J1346/AX1346,-1)</f>
        <v>27.0705882352941</v>
      </c>
      <c r="BB1346" s="58" t="n">
        <f aca="false">IF(AND(OR(BY1346="L1",BY1346="L23"),AX1346&gt;0),SUMIFS($AX$7:$AX$1843,$BY$7:$BY$1843,BY1346,$BA$7:$BA$1843,"&gt;"&amp;BA1346)+SUMIFS($AX$7:$AX$1843,$BY$7:$BY$1843,BY1346,$BA$7:$BA$1843,BA1346,$BQ$7:$BQ$1843,"&lt;="&amp;BQ1346),"")</f>
        <v>23.4870377718572</v>
      </c>
      <c r="BC1346" s="65" t="n">
        <f aca="false">IF(BB1346="",0,MAX(0,MIN(1,(IF(BY1346="L1",Parameter!$E$5,Parameter!$E$6+Parameter!$E$7)-(BB1346-AX1346))/AX1346)))</f>
        <v>1</v>
      </c>
      <c r="BD1346" s="55" t="str">
        <f aca="false">IF(AH1346&lt;=0,"",IF(BY1346="Aussen","Aussenlager",IF(BY1346="-","Nicht im Lift",IF(AM1346&gt;=1,"Lift",IF(AM1346&lt;=0,"Aussenlager","teilweise")))))</f>
        <v>Lift</v>
      </c>
      <c r="BE1346" s="55" t="str">
        <f aca="false">IF(AP1346&lt;=0,"",IF(BY1346="Aussen","Aussenlager",IF(BY1346="-","Nicht im Lift",IF(AU1346&gt;=1,"Lift",IF(AU1346&lt;=0,"Aussenlager","teilweise")))))</f>
        <v>Lift</v>
      </c>
      <c r="BF1346" s="55" t="str">
        <f aca="false">IF(AX1346&lt;=0,"",IF(BY1346="Aussen","Aussenlager",IF(BY1346="-","Nicht im Lift",IF(BC1346&gt;=1,"Lift",IF(BC1346&lt;=0,"Aussenlager","teilweise")))))</f>
        <v>Lift</v>
      </c>
      <c r="BG1346" s="55" t="str">
        <f aca="false">IF(A1346="","",IF(BP1346=1,"Neu; ","")&amp;IF(AND(BP1346=0,BK1346&lt;0),"negativer Bestand (Export "&amp;BK1346&amp;"); ","")&amp;IF(J1346&lt;=0,"Kein Verbrauch; ","")&amp;IF(CH1346&gt;0,"Lift "&amp;W1346&amp;" lt. Liftbericht (Fach "&amp;X1346&amp;" Stk); ",IF(BU1346=1,"Gebinde geschätzt ("&amp;T1346&amp;"); ",IF(BT1346=1,"Lose – Tablare geschätzt; ","")))&amp;IF(H1346&gt;AR1346,"Überbestand "&amp;ROUND(H1346-AR1346,0)&amp;" Stk / CHF "&amp;ROUND((H1346-AR1346)*G1346,0)&amp;"; ","")&amp;IF(AND(CA1346=1,CB1346&lt;CC1346),"MAX &lt; MB+LG; ","")&amp;IF(AND(CG1346&gt;0,CF1346*10&gt;CG1346),"zu hoch für Tablar; ","")&amp;IF(AND(BP1346=0,OR(CA1346=1,AA1346&lt;&gt;"",U1346&lt;&gt;"",V1346&lt;&gt;"",AB1346&lt;&gt;"")),"manuell übersteuert; ","")&amp;IF(AND(BT1346=0,R1346=0),"Gebinde unbekannt / Stellmass fehlt; ","")&amp;IF(AND(BT1346=0,N(V1346)&lt;=0,N(Q1346)&lt;=0),"Menge pro Gebinde fehlt (Ist = 1 Gebinde); ","")&amp;BO1346)</f>
        <v>negativer Bestand (Export -8); Lift 1 lt. Liftbericht (Fach 18 Stk); grosser Artikel &amp; nicht im KTL</v>
      </c>
      <c r="BH1346" s="55"/>
      <c r="BI1346" s="55"/>
      <c r="BJ1346" s="62"/>
      <c r="BK1346" s="57" t="n">
        <v>-8</v>
      </c>
      <c r="BL1346" s="57" t="n">
        <v>19</v>
      </c>
      <c r="BM1346" s="56" t="n">
        <v>-1918.86</v>
      </c>
      <c r="BN1346" s="57" t="n">
        <v>39</v>
      </c>
      <c r="BO1346" s="55" t="s">
        <v>261</v>
      </c>
      <c r="BP1346" s="60" t="n">
        <v>0</v>
      </c>
      <c r="BQ1346" s="60" t="n">
        <v>1346</v>
      </c>
      <c r="BR1346" s="55" t="str">
        <f aca="false">IF(U1346&lt;&gt;"",UPPER(TRIM(U1346)),IF(BU1346=1,UPPER(VLOOKUP(T1346,Parameter!$I$27:$K$29,2,0)),IF(P1346="","LOSE",P1346)))</f>
        <v>LOSE</v>
      </c>
      <c r="BS1346" s="57" t="n">
        <f aca="false">IF(BR1346="LOSE",1,IF(N(V1346)&gt;0,V1346,IF(BU1346=1,MAX(1,N(VLOOKUP(T1346,Parameter!$I$27:$K$29,3,0)),H1346,N(N1346)),IF(N(Q1346)&gt;0,Q1346,MAX(1,H1346)))))</f>
        <v>1</v>
      </c>
      <c r="BT1346" s="60" t="n">
        <f aca="false">IF(BR1346="LOSE",1,0)</f>
        <v>1</v>
      </c>
      <c r="BU1346" s="60" t="n">
        <f aca="false">IF(AND(U1346="",OR(P1346="",P1346="LOSE"),T1346&lt;&gt;"",N(S1346)&lt;=0,ISNUMBER(MATCH(T1346,Parameter!$I$27:$I$29,0))),1,0)</f>
        <v>0</v>
      </c>
      <c r="BV1346" s="55" t="str">
        <f aca="false">IF(AND(Parameter!$B$19="Ja",E1346&lt;&gt;"",ISNUMBER(MATCH(E1346,Parameter!$I$35:$I$52,0))),VLOOKUP(E1346,Parameter!$I$35:$J$52,2,0),IFERROR(VLOOKUP(D1346,Parameter!$A$35:$C$64,2,0),"Nein"))</f>
        <v>2+3</v>
      </c>
      <c r="BW1346" s="59" t="n">
        <f aca="false">IF(BT1346=0,0,IF(N(S1346)&gt;0,S1346,IFERROR(VLOOKUP(D1346,Parameter!$A$35:$C$64,3,0)+0,0)))</f>
        <v>0.15</v>
      </c>
      <c r="BX1346" s="55" t="n">
        <f aca="false">IF(AA1346&lt;&gt;"",AA1346,Z1346)</f>
        <v>1</v>
      </c>
      <c r="BY1346" s="55" t="str">
        <f aca="false">IF(BX1346=1,"L1",IF(OR(BX1346=2,BX1346=3),"L23",IF(BX1346="Aussen","Aussen","-")))</f>
        <v>L1</v>
      </c>
      <c r="BZ1346" s="66" t="n">
        <f aca="false">IF(N(AB1346)&gt;0,AB1346,0)</f>
        <v>0</v>
      </c>
      <c r="CA1346" s="60" t="n">
        <f aca="false">IF(ISNUMBER(AE1346),1,0)</f>
        <v>0</v>
      </c>
      <c r="CB1346" s="57" t="n">
        <f aca="false">N(AE1346)</f>
        <v>0</v>
      </c>
      <c r="CC1346" s="57" t="n">
        <f aca="false">N(M1346)+N(N1346)</f>
        <v>13</v>
      </c>
      <c r="CD1346" s="57" t="n">
        <f aca="false">ROUNDUP(H1346/BS1346,0)</f>
        <v>11</v>
      </c>
      <c r="CE1346" s="57" t="n">
        <f aca="false">ROUNDUP(CB1346/BS1346,0)</f>
        <v>0</v>
      </c>
      <c r="CF1346" s="60" t="n">
        <f aca="false">IF(BT1346=1,0,IFERROR(VLOOKUP(BR1346,'Gebinde-Kategorie'!$A$5:$M$45,5,0)+0,0))</f>
        <v>0</v>
      </c>
      <c r="CG1346" s="60" t="n">
        <f aca="false">IFERROR(IF(OR(BX1346=1,BX1346=2,BX1346=3),N(INDEX(Parameter!$I$5:$I$7,BX1346)),0),0)</f>
        <v>0</v>
      </c>
      <c r="CH1346" s="59" t="n">
        <f aca="false">IF(AND(Parameter!$B$21="Ja",ISNUMBER(W1346),N(X1346)&gt;0),IFERROR(N(INDEX(Parameter!$L$5:$L$7,W1346))*INDEX(Parameter!$E$5:$E$7,W1346)*X1346/SUMIFS($X$7:$X$1843,$W$7:$W$1843,W1346),0),0)</f>
        <v>1.44067796610169</v>
      </c>
    </row>
    <row r="1347" customFormat="false" ht="15" hidden="false" customHeight="false" outlineLevel="0" collapsed="false">
      <c r="A1347" s="55" t="s">
        <v>2380</v>
      </c>
      <c r="B1347" s="55" t="s">
        <v>526</v>
      </c>
      <c r="C1347" s="55" t="s">
        <v>456</v>
      </c>
      <c r="D1347" s="55" t="s">
        <v>173</v>
      </c>
      <c r="E1347" s="55" t="s">
        <v>185</v>
      </c>
      <c r="F1347" s="55" t="s">
        <v>218</v>
      </c>
      <c r="G1347" s="56" t="n">
        <v>115.06</v>
      </c>
      <c r="H1347" s="57" t="n">
        <f aca="false">MAX(0,IF(AND(Parameter!$B$21="Ja",ISNUMBER(Y1347)),Y1347,IF(Parameter!$B$20="Jahresanfang 2025 + Export",BL1347+BK1347,BK1347)))</f>
        <v>0</v>
      </c>
      <c r="I1347" s="57" t="n">
        <f aca="false">H1347*G1347</f>
        <v>0</v>
      </c>
      <c r="J1347" s="57" t="n">
        <f aca="false">BN1347*Parameter!$B$18</f>
        <v>0</v>
      </c>
      <c r="K1347" s="58" t="n">
        <v>16.5</v>
      </c>
      <c r="L1347" s="59" t="n">
        <v>0</v>
      </c>
      <c r="M1347" s="57" t="n">
        <v>0</v>
      </c>
      <c r="N1347" s="57" t="n">
        <v>1</v>
      </c>
      <c r="O1347" s="60" t="n">
        <v>56</v>
      </c>
      <c r="P1347" s="55" t="s">
        <v>168</v>
      </c>
      <c r="Q1347" s="57"/>
      <c r="R1347" s="60" t="n">
        <f aca="false">IF(BT1347=1,0,IFERROR(VLOOKUP(BR1347,'Gebinde-Kategorie'!$A$5:$M$45,13,0)+0,0))</f>
        <v>12</v>
      </c>
      <c r="S1347" s="61"/>
      <c r="T1347" s="62" t="s">
        <v>179</v>
      </c>
      <c r="U1347" s="62"/>
      <c r="V1347" s="62"/>
      <c r="W1347" s="55"/>
      <c r="X1347" s="57"/>
      <c r="Y1347" s="57"/>
      <c r="Z1347" s="55" t="n">
        <f aca="false">IF(A1347="","",IF(AND(Parameter!$B$21="Ja",ISNUMBER(W1347)),W1347,IF(BV1347="2+3",IF(ISNUMBER(SEARCH("grosser Artikel",BO1347)),2,IFERROR(VLOOKUP(BR1347,Parameter!$F$35:$G$64,2,0),2)),IF(OR(BV1347="Nein",BV1347=""),"-",BV1347))))</f>
        <v>2</v>
      </c>
      <c r="AA1347" s="62"/>
      <c r="AB1347" s="63"/>
      <c r="AC1347" s="57" t="n">
        <f aca="false">AR1347</f>
        <v>4</v>
      </c>
      <c r="AD1347" s="57" t="n">
        <f aca="false">MAX(AR1347,H1347)</f>
        <v>4</v>
      </c>
      <c r="AE1347" s="64"/>
      <c r="AF1347" s="57" t="n">
        <f aca="false">IF(LEFT(Cockpit!$C$5,1)="A",H1347,IF(CA1347=1,CB1347,IF(LEFT(Cockpit!$C$5,1)="B",AJ1347,MAX(AJ1347,H1347))))</f>
        <v>0</v>
      </c>
      <c r="AG1347" s="57" t="n">
        <f aca="false">IF(BT1347=1,0,ROUNDUP(AF1347/BS1347,0))</f>
        <v>0</v>
      </c>
      <c r="AH1347" s="59" t="n">
        <f aca="false">IF(CH1347&gt;0,CH1347*MAX(1,AF1347/X1347),IF(BT1347=1,IF(AF1347&lt;=0,0,BW1347*MAX(1,IF(H1347&gt;0,AF1347/H1347,1))),IF(R1347&gt;0,AG1347/R1347,0))/MAX(0.1,N(Parameter!$M$21)))</f>
        <v>0</v>
      </c>
      <c r="AI1347" s="57" t="n">
        <f aca="false">AF1347*G1347</f>
        <v>0</v>
      </c>
      <c r="AJ1347" s="57" t="n">
        <f aca="false">ROUNDUP(MAX(J1347/IF(BZ1347&gt;0,BZ1347,MAX(0.1,N(Cockpit!$C$6))),CC1347)/BS1347,0)*BS1347</f>
        <v>4</v>
      </c>
      <c r="AK1347" s="58" t="n">
        <f aca="false">IF(AH1347&gt;0,J1347/AH1347,-1)</f>
        <v>-1</v>
      </c>
      <c r="AL1347" s="58" t="str">
        <f aca="false">IF(AND(OR(BY1347="L1",BY1347="L23"),AH1347&gt;0),SUMIFS($AH$7:$AH$1843,$BY$7:$BY$1843,BY1347,$AK$7:$AK$1843,"&gt;"&amp;AK1347)+SUMIFS($AH$7:$AH$1843,$BY$7:$BY$1843,BY1347,$AK$7:$AK$1843,AK1347,$BQ$7:$BQ$1843,"&lt;="&amp;BQ1347),"")</f>
        <v/>
      </c>
      <c r="AM1347" s="65" t="n">
        <f aca="false">IF(AL1347="",0,MAX(0,MIN(1,(IF(BY1347="L1",Parameter!$E$5,Parameter!$E$6+Parameter!$E$7)-(AL1347-AH1347))/AH1347)))</f>
        <v>0</v>
      </c>
      <c r="AN1347" s="57" t="n">
        <f aca="false">IF(LEFT(Cockpit!$I$5,1)="A",H1347,IF(CA1347=1,CB1347,IF(LEFT(Cockpit!$I$5,1)="B",AR1347,MAX(AR1347,H1347))))</f>
        <v>4</v>
      </c>
      <c r="AO1347" s="57" t="n">
        <f aca="false">IF(BT1347=1,0,ROUNDUP(AN1347/BS1347,0))</f>
        <v>1</v>
      </c>
      <c r="AP1347" s="59" t="n">
        <f aca="false">IF(CH1347&gt;0,CH1347*MAX(1,AN1347/X1347),IF(BT1347=1,IF(AN1347&lt;=0,0,BW1347*MAX(1,IF(H1347&gt;0,AN1347/H1347,1))),IF(R1347&gt;0,AO1347/R1347,0))/MAX(0.1,N(Parameter!$M$21)))</f>
        <v>0.0833333333333333</v>
      </c>
      <c r="AQ1347" s="57" t="n">
        <f aca="false">AN1347*G1347</f>
        <v>460.24</v>
      </c>
      <c r="AR1347" s="57" t="n">
        <f aca="false">ROUNDUP(MAX(J1347/IF(BZ1347&gt;0,BZ1347,MAX(0.1,N(Cockpit!$I$6))),CC1347)/BS1347,0)*BS1347</f>
        <v>4</v>
      </c>
      <c r="AS1347" s="58" t="n">
        <f aca="false">IF(AP1347&gt;0,J1347/AP1347,-1)</f>
        <v>0</v>
      </c>
      <c r="AT1347" s="58" t="n">
        <f aca="false">IF(AND(OR(BY1347="L1",BY1347="L23"),AP1347&gt;0),SUMIFS($AP$7:$AP$1843,$BY$7:$BY$1843,BY1347,$AS$7:$AS$1843,"&gt;"&amp;AS1347)+SUMIFS($AP$7:$AP$1843,$BY$7:$BY$1843,BY1347,$AS$7:$AS$1843,AS1347,$BQ$7:$BQ$1843,"&lt;="&amp;BQ1347),"")</f>
        <v>125.529407790277</v>
      </c>
      <c r="AU1347" s="65" t="n">
        <f aca="false">IF(AT1347="",0,MAX(0,MIN(1,(IF(BY1347="L1",Parameter!$E$5,Parameter!$E$6+Parameter!$E$7)-(AT1347-AP1347))/AP1347)))</f>
        <v>0</v>
      </c>
      <c r="AV1347" s="57" t="n">
        <f aca="false">IF(LEFT(Cockpit!$O$5,1)="A",H1347,IF(CA1347=1,CB1347,IF(LEFT(Cockpit!$O$5,1)="B",AZ1347,MAX(AZ1347,H1347))))</f>
        <v>4</v>
      </c>
      <c r="AW1347" s="57" t="n">
        <f aca="false">IF(BT1347=1,0,ROUNDUP(AV1347/BS1347,0))</f>
        <v>1</v>
      </c>
      <c r="AX1347" s="59" t="n">
        <f aca="false">IF(CH1347&gt;0,CH1347*MAX(1,AV1347/X1347),IF(BT1347=1,IF(AV1347&lt;=0,0,BW1347*MAX(1,IF(H1347&gt;0,AV1347/H1347,1))),IF(R1347&gt;0,AW1347/R1347,0))/MAX(0.1,N(Parameter!$M$21)))</f>
        <v>0.0833333333333333</v>
      </c>
      <c r="AY1347" s="57" t="n">
        <f aca="false">AV1347*G1347</f>
        <v>460.24</v>
      </c>
      <c r="AZ1347" s="57" t="n">
        <f aca="false">ROUNDUP(MAX(J1347/IF(BZ1347&gt;0,BZ1347,MAX(0.1,N(Cockpit!$O$6))),CC1347)/BS1347,0)*BS1347</f>
        <v>4</v>
      </c>
      <c r="BA1347" s="58" t="n">
        <f aca="false">IF(AX1347&gt;0,J1347/AX1347,-1)</f>
        <v>0</v>
      </c>
      <c r="BB1347" s="58" t="n">
        <f aca="false">IF(AND(OR(BY1347="L1",BY1347="L23"),AX1347&gt;0),SUMIFS($AX$7:$AX$1843,$BY$7:$BY$1843,BY1347,$BA$7:$BA$1843,"&gt;"&amp;BA1347)+SUMIFS($AX$7:$AX$1843,$BY$7:$BY$1843,BY1347,$BA$7:$BA$1843,BA1347,$BQ$7:$BQ$1843,"&lt;="&amp;BQ1347),"")</f>
        <v>116.359244620114</v>
      </c>
      <c r="BC1347" s="65" t="n">
        <f aca="false">IF(BB1347="",0,MAX(0,MIN(1,(IF(BY1347="L1",Parameter!$E$5,Parameter!$E$6+Parameter!$E$7)-(BB1347-AX1347))/AX1347)))</f>
        <v>0</v>
      </c>
      <c r="BD1347" s="55" t="str">
        <f aca="false">IF(AH1347&lt;=0,"",IF(BY1347="Aussen","Aussenlager",IF(BY1347="-","Nicht im Lift",IF(AM1347&gt;=1,"Lift",IF(AM1347&lt;=0,"Aussenlager","teilweise")))))</f>
        <v/>
      </c>
      <c r="BE1347" s="55" t="str">
        <f aca="false">IF(AP1347&lt;=0,"",IF(BY1347="Aussen","Aussenlager",IF(BY1347="-","Nicht im Lift",IF(AU1347&gt;=1,"Lift",IF(AU1347&lt;=0,"Aussenlager","teilweise")))))</f>
        <v>Aussenlager</v>
      </c>
      <c r="BF1347" s="55" t="str">
        <f aca="false">IF(AX1347&lt;=0,"",IF(BY1347="Aussen","Aussenlager",IF(BY1347="-","Nicht im Lift",IF(BC1347&gt;=1,"Lift",IF(BC1347&lt;=0,"Aussenlager","teilweise")))))</f>
        <v>Aussenlager</v>
      </c>
      <c r="BG1347" s="55" t="str">
        <f aca="false">IF(A1347="","",IF(BP1347=1,"Neu; ","")&amp;IF(AND(BP1347=0,BK1347&lt;0),"negativer Bestand (Export "&amp;BK1347&amp;"); ","")&amp;IF(J1347&lt;=0,"Kein Verbrauch; ","")&amp;IF(CH1347&gt;0,"Lift "&amp;W1347&amp;" lt. Liftbericht (Fach "&amp;X1347&amp;" Stk); ",IF(BU1347=1,"Gebinde geschätzt ("&amp;T1347&amp;"); ",IF(BT1347=1,"Lose – Tablare geschätzt; ","")))&amp;IF(H1347&gt;AR1347,"Überbestand "&amp;ROUND(H1347-AR1347,0)&amp;" Stk / CHF "&amp;ROUND((H1347-AR1347)*G1347,0)&amp;"; ","")&amp;IF(AND(CA1347=1,CB1347&lt;CC1347),"MAX &lt; MB+LG; ","")&amp;IF(AND(CG1347&gt;0,CF1347*10&gt;CG1347),"zu hoch für Tablar; ","")&amp;IF(AND(BP1347=0,OR(CA1347=1,AA1347&lt;&gt;"",U1347&lt;&gt;"",V1347&lt;&gt;"",AB1347&lt;&gt;"")),"manuell übersteuert; ","")&amp;IF(AND(BT1347=0,R1347=0),"Gebinde unbekannt / Stellmass fehlt; ","")&amp;IF(AND(BT1347=0,N(V1347)&lt;=0,N(Q1347)&lt;=0),"Menge pro Gebinde fehlt (Ist = 1 Gebinde); ","")&amp;BO1347)</f>
        <v>negativer Bestand (Export -17); Kein Verbrauch; Gebinde geschätzt (Mittel); Menge pro Gebinde fehlt (Ist = 1 Gebinde); grosser Artikel &amp; nicht im KTL</v>
      </c>
      <c r="BH1347" s="55"/>
      <c r="BI1347" s="55"/>
      <c r="BJ1347" s="62"/>
      <c r="BK1347" s="57" t="n">
        <v>-17</v>
      </c>
      <c r="BL1347" s="57" t="n">
        <v>17</v>
      </c>
      <c r="BM1347" s="56" t="n">
        <v>-1956.02</v>
      </c>
      <c r="BN1347" s="57" t="n">
        <v>0</v>
      </c>
      <c r="BO1347" s="55" t="s">
        <v>261</v>
      </c>
      <c r="BP1347" s="60" t="n">
        <v>0</v>
      </c>
      <c r="BQ1347" s="60" t="n">
        <v>1347</v>
      </c>
      <c r="BR1347" s="55" t="str">
        <f aca="false">IF(U1347&lt;&gt;"",UPPER(TRIM(U1347)),IF(BU1347=1,UPPER(VLOOKUP(T1347,Parameter!$I$27:$K$29,2,0)),IF(P1347="","LOSE",P1347)))</f>
        <v>S61</v>
      </c>
      <c r="BS1347" s="57" t="n">
        <f aca="false">IF(BR1347="LOSE",1,IF(N(V1347)&gt;0,V1347,IF(BU1347=1,MAX(1,N(VLOOKUP(T1347,Parameter!$I$27:$K$29,3,0)),H1347,N(N1347)),IF(N(Q1347)&gt;0,Q1347,MAX(1,H1347)))))</f>
        <v>4</v>
      </c>
      <c r="BT1347" s="60" t="n">
        <f aca="false">IF(BR1347="LOSE",1,0)</f>
        <v>0</v>
      </c>
      <c r="BU1347" s="60" t="n">
        <f aca="false">IF(AND(U1347="",OR(P1347="",P1347="LOSE"),T1347&lt;&gt;"",N(S1347)&lt;=0,ISNUMBER(MATCH(T1347,Parameter!$I$27:$I$29,0))),1,0)</f>
        <v>1</v>
      </c>
      <c r="BV1347" s="55" t="str">
        <f aca="false">IF(AND(Parameter!$B$19="Ja",E1347&lt;&gt;"",ISNUMBER(MATCH(E1347,Parameter!$I$35:$I$52,0))),VLOOKUP(E1347,Parameter!$I$35:$J$52,2,0),IFERROR(VLOOKUP(D1347,Parameter!$A$35:$C$64,2,0),"Nein"))</f>
        <v>2+3</v>
      </c>
      <c r="BW1347" s="59" t="n">
        <f aca="false">IF(BT1347=0,0,IF(N(S1347)&gt;0,S1347,IFERROR(VLOOKUP(D1347,Parameter!$A$35:$C$64,3,0)+0,0)))</f>
        <v>0</v>
      </c>
      <c r="BX1347" s="55" t="n">
        <f aca="false">IF(AA1347&lt;&gt;"",AA1347,Z1347)</f>
        <v>2</v>
      </c>
      <c r="BY1347" s="55" t="str">
        <f aca="false">IF(BX1347=1,"L1",IF(OR(BX1347=2,BX1347=3),"L23",IF(BX1347="Aussen","Aussen","-")))</f>
        <v>L23</v>
      </c>
      <c r="BZ1347" s="66" t="n">
        <f aca="false">IF(N(AB1347)&gt;0,AB1347,0)</f>
        <v>0</v>
      </c>
      <c r="CA1347" s="60" t="n">
        <f aca="false">IF(ISNUMBER(AE1347),1,0)</f>
        <v>0</v>
      </c>
      <c r="CB1347" s="57" t="n">
        <f aca="false">N(AE1347)</f>
        <v>0</v>
      </c>
      <c r="CC1347" s="57" t="n">
        <f aca="false">N(M1347)+N(N1347)</f>
        <v>1</v>
      </c>
      <c r="CD1347" s="57" t="n">
        <f aca="false">ROUNDUP(H1347/BS1347,0)</f>
        <v>0</v>
      </c>
      <c r="CE1347" s="57" t="n">
        <f aca="false">ROUNDUP(CB1347/BS1347,0)</f>
        <v>0</v>
      </c>
      <c r="CF1347" s="60" t="n">
        <f aca="false">IF(BT1347=1,0,IFERROR(VLOOKUP(BR1347,'Gebinde-Kategorie'!$A$5:$M$45,5,0)+0,0))</f>
        <v>11</v>
      </c>
      <c r="CG1347" s="60" t="n">
        <f aca="false">IFERROR(IF(OR(BX1347=1,BX1347=2,BX1347=3),N(INDEX(Parameter!$I$5:$I$7,BX1347)),0),0)</f>
        <v>0</v>
      </c>
      <c r="CH1347" s="59" t="n">
        <f aca="false">IF(AND(Parameter!$B$21="Ja",ISNUMBER(W1347),N(X1347)&gt;0),IFERROR(N(INDEX(Parameter!$L$5:$L$7,W1347))*INDEX(Parameter!$E$5:$E$7,W1347)*X1347/SUMIFS($X$7:$X$1843,$W$7:$W$1843,W1347),0),0)</f>
        <v>0</v>
      </c>
    </row>
    <row r="1348" customFormat="false" ht="15" hidden="false" customHeight="false" outlineLevel="0" collapsed="false">
      <c r="A1348" s="55" t="s">
        <v>2381</v>
      </c>
      <c r="B1348" s="55" t="s">
        <v>2274</v>
      </c>
      <c r="C1348" s="55" t="s">
        <v>164</v>
      </c>
      <c r="D1348" s="55" t="s">
        <v>173</v>
      </c>
      <c r="E1348" s="55"/>
      <c r="F1348" s="55" t="s">
        <v>218</v>
      </c>
      <c r="G1348" s="56" t="n">
        <v>393.01</v>
      </c>
      <c r="H1348" s="57" t="n">
        <f aca="false">MAX(0,IF(AND(Parameter!$B$21="Ja",ISNUMBER(Y1348)),Y1348,IF(Parameter!$B$20="Jahresanfang 2025 + Export",BL1348+BK1348,BK1348)))</f>
        <v>4</v>
      </c>
      <c r="I1348" s="57" t="n">
        <f aca="false">H1348*G1348</f>
        <v>1572.04</v>
      </c>
      <c r="J1348" s="57" t="n">
        <f aca="false">BN1348*Parameter!$B$18</f>
        <v>1</v>
      </c>
      <c r="K1348" s="58" t="n">
        <v>6.5</v>
      </c>
      <c r="L1348" s="59" t="n">
        <v>0.153846153846154</v>
      </c>
      <c r="M1348" s="57" t="n">
        <v>0</v>
      </c>
      <c r="N1348" s="57" t="n">
        <v>1</v>
      </c>
      <c r="O1348" s="60" t="n">
        <v>35</v>
      </c>
      <c r="P1348" s="55" t="s">
        <v>174</v>
      </c>
      <c r="Q1348" s="57" t="n">
        <v>10</v>
      </c>
      <c r="R1348" s="60" t="n">
        <f aca="false">IF(BT1348=1,0,IFERROR(VLOOKUP(BR1348,'Gebinde-Kategorie'!$A$5:$M$45,13,0)+0,0))</f>
        <v>6</v>
      </c>
      <c r="S1348" s="61"/>
      <c r="T1348" s="62"/>
      <c r="U1348" s="62"/>
      <c r="V1348" s="62"/>
      <c r="W1348" s="55"/>
      <c r="X1348" s="57"/>
      <c r="Y1348" s="57"/>
      <c r="Z1348" s="55" t="n">
        <f aca="false">IF(A1348="","",IF(AND(Parameter!$B$21="Ja",ISNUMBER(W1348)),W1348,IF(BV1348="2+3",IF(ISNUMBER(SEARCH("grosser Artikel",BO1348)),2,IFERROR(VLOOKUP(BR1348,Parameter!$F$35:$G$64,2,0),2)),IF(OR(BV1348="Nein",BV1348=""),"-",BV1348))))</f>
        <v>2</v>
      </c>
      <c r="AA1348" s="62"/>
      <c r="AB1348" s="63"/>
      <c r="AC1348" s="57" t="n">
        <f aca="false">AR1348</f>
        <v>10</v>
      </c>
      <c r="AD1348" s="57" t="n">
        <f aca="false">MAX(AR1348,H1348)</f>
        <v>10</v>
      </c>
      <c r="AE1348" s="64"/>
      <c r="AF1348" s="57" t="n">
        <f aca="false">IF(LEFT(Cockpit!$C$5,1)="A",H1348,IF(CA1348=1,CB1348,IF(LEFT(Cockpit!$C$5,1)="B",AJ1348,MAX(AJ1348,H1348))))</f>
        <v>4</v>
      </c>
      <c r="AG1348" s="57" t="n">
        <f aca="false">IF(BT1348=1,0,ROUNDUP(AF1348/BS1348,0))</f>
        <v>1</v>
      </c>
      <c r="AH1348" s="59" t="n">
        <f aca="false">IF(CH1348&gt;0,CH1348*MAX(1,AF1348/X1348),IF(BT1348=1,IF(AF1348&lt;=0,0,BW1348*MAX(1,IF(H1348&gt;0,AF1348/H1348,1))),IF(R1348&gt;0,AG1348/R1348,0))/MAX(0.1,N(Parameter!$M$21)))</f>
        <v>0.166666666666667</v>
      </c>
      <c r="AI1348" s="57" t="n">
        <f aca="false">AF1348*G1348</f>
        <v>1572.04</v>
      </c>
      <c r="AJ1348" s="57" t="n">
        <f aca="false">ROUNDUP(MAX(J1348/IF(BZ1348&gt;0,BZ1348,MAX(0.1,N(Cockpit!$C$6))),CC1348)/BS1348,0)*BS1348</f>
        <v>10</v>
      </c>
      <c r="AK1348" s="58" t="n">
        <f aca="false">IF(AH1348&gt;0,J1348/AH1348,-1)</f>
        <v>6</v>
      </c>
      <c r="AL1348" s="58" t="n">
        <f aca="false">IF(AND(OR(BY1348="L1",BY1348="L23"),AH1348&gt;0),SUMIFS($AH$7:$AH$1843,$BY$7:$BY$1843,BY1348,$AK$7:$AK$1843,"&gt;"&amp;AK1348)+SUMIFS($AH$7:$AH$1843,$BY$7:$BY$1843,BY1348,$AK$7:$AK$1843,AK1348,$BQ$7:$BQ$1843,"&lt;="&amp;BQ1348),"")</f>
        <v>57.9792067835546</v>
      </c>
      <c r="AM1348" s="65" t="n">
        <f aca="false">IF(AL1348="",0,MAX(0,MIN(1,(IF(BY1348="L1",Parameter!$E$5,Parameter!$E$6+Parameter!$E$7)-(AL1348-AH1348))/AH1348)))</f>
        <v>1</v>
      </c>
      <c r="AN1348" s="57" t="n">
        <f aca="false">IF(LEFT(Cockpit!$I$5,1)="A",H1348,IF(CA1348=1,CB1348,IF(LEFT(Cockpit!$I$5,1)="B",AR1348,MAX(AR1348,H1348))))</f>
        <v>10</v>
      </c>
      <c r="AO1348" s="57" t="n">
        <f aca="false">IF(BT1348=1,0,ROUNDUP(AN1348/BS1348,0))</f>
        <v>1</v>
      </c>
      <c r="AP1348" s="59" t="n">
        <f aca="false">IF(CH1348&gt;0,CH1348*MAX(1,AN1348/X1348),IF(BT1348=1,IF(AN1348&lt;=0,0,BW1348*MAX(1,IF(H1348&gt;0,AN1348/H1348,1))),IF(R1348&gt;0,AO1348/R1348,0))/MAX(0.1,N(Parameter!$M$21)))</f>
        <v>0.166666666666667</v>
      </c>
      <c r="AQ1348" s="57" t="n">
        <f aca="false">AN1348*G1348</f>
        <v>3930.1</v>
      </c>
      <c r="AR1348" s="57" t="n">
        <f aca="false">ROUNDUP(MAX(J1348/IF(BZ1348&gt;0,BZ1348,MAX(0.1,N(Cockpit!$I$6))),CC1348)/BS1348,0)*BS1348</f>
        <v>10</v>
      </c>
      <c r="AS1348" s="58" t="n">
        <f aca="false">IF(AP1348&gt;0,J1348/AP1348,-1)</f>
        <v>6</v>
      </c>
      <c r="AT1348" s="58" t="n">
        <f aca="false">IF(AND(OR(BY1348="L1",BY1348="L23"),AP1348&gt;0),SUMIFS($AP$7:$AP$1843,$BY$7:$BY$1843,BY1348,$AS$7:$AS$1843,"&gt;"&amp;AS1348)+SUMIFS($AP$7:$AP$1843,$BY$7:$BY$1843,BY1348,$AS$7:$AS$1843,AS1348,$BQ$7:$BQ$1843,"&lt;="&amp;BQ1348),"")</f>
        <v>95.4033309685484</v>
      </c>
      <c r="AU1348" s="65" t="n">
        <f aca="false">IF(AT1348="",0,MAX(0,MIN(1,(IF(BY1348="L1",Parameter!$E$5,Parameter!$E$6+Parameter!$E$7)-(AT1348-AP1348))/AP1348)))</f>
        <v>1</v>
      </c>
      <c r="AV1348" s="57" t="n">
        <f aca="false">IF(LEFT(Cockpit!$O$5,1)="A",H1348,IF(CA1348=1,CB1348,IF(LEFT(Cockpit!$O$5,1)="B",AZ1348,MAX(AZ1348,H1348))))</f>
        <v>10</v>
      </c>
      <c r="AW1348" s="57" t="n">
        <f aca="false">IF(BT1348=1,0,ROUNDUP(AV1348/BS1348,0))</f>
        <v>1</v>
      </c>
      <c r="AX1348" s="59" t="n">
        <f aca="false">IF(CH1348&gt;0,CH1348*MAX(1,AV1348/X1348),IF(BT1348=1,IF(AV1348&lt;=0,0,BW1348*MAX(1,IF(H1348&gt;0,AV1348/H1348,1))),IF(R1348&gt;0,AW1348/R1348,0))/MAX(0.1,N(Parameter!$M$21)))</f>
        <v>0.166666666666667</v>
      </c>
      <c r="AY1348" s="57" t="n">
        <f aca="false">AV1348*G1348</f>
        <v>3930.1</v>
      </c>
      <c r="AZ1348" s="57" t="n">
        <f aca="false">ROUNDUP(MAX(J1348/IF(BZ1348&gt;0,BZ1348,MAX(0.1,N(Cockpit!$O$6))),CC1348)/BS1348,0)*BS1348</f>
        <v>10</v>
      </c>
      <c r="BA1348" s="58" t="n">
        <f aca="false">IF(AX1348&gt;0,J1348/AX1348,-1)</f>
        <v>6</v>
      </c>
      <c r="BB1348" s="58" t="n">
        <f aca="false">IF(AND(OR(BY1348="L1",BY1348="L23"),AX1348&gt;0),SUMIFS($AX$7:$AX$1843,$BY$7:$BY$1843,BY1348,$BA$7:$BA$1843,"&gt;"&amp;BA1348)+SUMIFS($AX$7:$AX$1843,$BY$7:$BY$1843,BY1348,$BA$7:$BA$1843,BA1348,$BQ$7:$BQ$1843,"&lt;="&amp;BQ1348),"")</f>
        <v>86.2331677983852</v>
      </c>
      <c r="BC1348" s="65" t="n">
        <f aca="false">IF(BB1348="",0,MAX(0,MIN(1,(IF(BY1348="L1",Parameter!$E$5,Parameter!$E$6+Parameter!$E$7)-(BB1348-AX1348))/AX1348)))</f>
        <v>1</v>
      </c>
      <c r="BD1348" s="55" t="str">
        <f aca="false">IF(AH1348&lt;=0,"",IF(BY1348="Aussen","Aussenlager",IF(BY1348="-","Nicht im Lift",IF(AM1348&gt;=1,"Lift",IF(AM1348&lt;=0,"Aussenlager","teilweise")))))</f>
        <v>Lift</v>
      </c>
      <c r="BE1348" s="55" t="str">
        <f aca="false">IF(AP1348&lt;=0,"",IF(BY1348="Aussen","Aussenlager",IF(BY1348="-","Nicht im Lift",IF(AU1348&gt;=1,"Lift",IF(AU1348&lt;=0,"Aussenlager","teilweise")))))</f>
        <v>Lift</v>
      </c>
      <c r="BF1348" s="55" t="str">
        <f aca="false">IF(AX1348&lt;=0,"",IF(BY1348="Aussen","Aussenlager",IF(BY1348="-","Nicht im Lift",IF(BC1348&gt;=1,"Lift",IF(BC1348&lt;=0,"Aussenlager","teilweise")))))</f>
        <v>Lift</v>
      </c>
      <c r="BG1348" s="55" t="str">
        <f aca="false">IF(A1348="","",IF(BP1348=1,"Neu; ","")&amp;IF(AND(BP1348=0,BK1348&lt;0),"negativer Bestand (Export "&amp;BK1348&amp;"); ","")&amp;IF(J1348&lt;=0,"Kein Verbrauch; ","")&amp;IF(CH1348&gt;0,"Lift "&amp;W1348&amp;" lt. Liftbericht (Fach "&amp;X1348&amp;" Stk); ",IF(BU1348=1,"Gebinde geschätzt ("&amp;T1348&amp;"); ",IF(BT1348=1,"Lose – Tablare geschätzt; ","")))&amp;IF(H1348&gt;AR1348,"Überbestand "&amp;ROUND(H1348-AR1348,0)&amp;" Stk / CHF "&amp;ROUND((H1348-AR1348)*G1348,0)&amp;"; ","")&amp;IF(AND(CA1348=1,CB1348&lt;CC1348),"MAX &lt; MB+LG; ","")&amp;IF(AND(CG1348&gt;0,CF1348*10&gt;CG1348),"zu hoch für Tablar; ","")&amp;IF(AND(BP1348=0,OR(CA1348=1,AA1348&lt;&gt;"",U1348&lt;&gt;"",V1348&lt;&gt;"",AB1348&lt;&gt;"")),"manuell übersteuert; ","")&amp;IF(AND(BT1348=0,R1348=0),"Gebinde unbekannt / Stellmass fehlt; ","")&amp;IF(AND(BT1348=0,N(V1348)&lt;=0,N(Q1348)&lt;=0),"Menge pro Gebinde fehlt (Ist = 1 Gebinde); ","")&amp;BO1348)</f>
        <v>negativer Bestand (Export -5); </v>
      </c>
      <c r="BH1348" s="55"/>
      <c r="BI1348" s="55"/>
      <c r="BJ1348" s="62"/>
      <c r="BK1348" s="57" t="n">
        <v>-5</v>
      </c>
      <c r="BL1348" s="57" t="n">
        <v>9</v>
      </c>
      <c r="BM1348" s="56" t="n">
        <v>-1965.05</v>
      </c>
      <c r="BN1348" s="57" t="n">
        <v>1</v>
      </c>
      <c r="BO1348" s="55"/>
      <c r="BP1348" s="60" t="n">
        <v>0</v>
      </c>
      <c r="BQ1348" s="60" t="n">
        <v>1348</v>
      </c>
      <c r="BR1348" s="55" t="str">
        <f aca="false">IF(U1348&lt;&gt;"",UPPER(TRIM(U1348)),IF(BU1348=1,UPPER(VLOOKUP(T1348,Parameter!$I$27:$K$29,2,0)),IF(P1348="","LOSE",P1348)))</f>
        <v>S71</v>
      </c>
      <c r="BS1348" s="57" t="n">
        <f aca="false">IF(BR1348="LOSE",1,IF(N(V1348)&gt;0,V1348,IF(BU1348=1,MAX(1,N(VLOOKUP(T1348,Parameter!$I$27:$K$29,3,0)),H1348,N(N1348)),IF(N(Q1348)&gt;0,Q1348,MAX(1,H1348)))))</f>
        <v>10</v>
      </c>
      <c r="BT1348" s="60" t="n">
        <f aca="false">IF(BR1348="LOSE",1,0)</f>
        <v>0</v>
      </c>
      <c r="BU1348" s="60" t="n">
        <f aca="false">IF(AND(U1348="",OR(P1348="",P1348="LOSE"),T1348&lt;&gt;"",N(S1348)&lt;=0,ISNUMBER(MATCH(T1348,Parameter!$I$27:$I$29,0))),1,0)</f>
        <v>0</v>
      </c>
      <c r="BV1348" s="55" t="str">
        <f aca="false">IF(AND(Parameter!$B$19="Ja",E1348&lt;&gt;"",ISNUMBER(MATCH(E1348,Parameter!$I$35:$I$52,0))),VLOOKUP(E1348,Parameter!$I$35:$J$52,2,0),IFERROR(VLOOKUP(D1348,Parameter!$A$35:$C$64,2,0),"Nein"))</f>
        <v>2+3</v>
      </c>
      <c r="BW1348" s="59" t="n">
        <f aca="false">IF(BT1348=0,0,IF(N(S1348)&gt;0,S1348,IFERROR(VLOOKUP(D1348,Parameter!$A$35:$C$64,3,0)+0,0)))</f>
        <v>0</v>
      </c>
      <c r="BX1348" s="55" t="n">
        <f aca="false">IF(AA1348&lt;&gt;"",AA1348,Z1348)</f>
        <v>2</v>
      </c>
      <c r="BY1348" s="55" t="str">
        <f aca="false">IF(BX1348=1,"L1",IF(OR(BX1348=2,BX1348=3),"L23",IF(BX1348="Aussen","Aussen","-")))</f>
        <v>L23</v>
      </c>
      <c r="BZ1348" s="66" t="n">
        <f aca="false">IF(N(AB1348)&gt;0,AB1348,0)</f>
        <v>0</v>
      </c>
      <c r="CA1348" s="60" t="n">
        <f aca="false">IF(ISNUMBER(AE1348),1,0)</f>
        <v>0</v>
      </c>
      <c r="CB1348" s="57" t="n">
        <f aca="false">N(AE1348)</f>
        <v>0</v>
      </c>
      <c r="CC1348" s="57" t="n">
        <f aca="false">N(M1348)+N(N1348)</f>
        <v>1</v>
      </c>
      <c r="CD1348" s="57" t="n">
        <f aca="false">ROUNDUP(H1348/BS1348,0)</f>
        <v>1</v>
      </c>
      <c r="CE1348" s="57" t="n">
        <f aca="false">ROUNDUP(CB1348/BS1348,0)</f>
        <v>0</v>
      </c>
      <c r="CF1348" s="60" t="n">
        <f aca="false">IF(BT1348=1,0,IFERROR(VLOOKUP(BR1348,'Gebinde-Kategorie'!$A$5:$M$45,5,0)+0,0))</f>
        <v>20</v>
      </c>
      <c r="CG1348" s="60" t="n">
        <f aca="false">IFERROR(IF(OR(BX1348=1,BX1348=2,BX1348=3),N(INDEX(Parameter!$I$5:$I$7,BX1348)),0),0)</f>
        <v>0</v>
      </c>
      <c r="CH1348" s="59" t="n">
        <f aca="false">IF(AND(Parameter!$B$21="Ja",ISNUMBER(W1348),N(X1348)&gt;0),IFERROR(N(INDEX(Parameter!$L$5:$L$7,W1348))*INDEX(Parameter!$E$5:$E$7,W1348)*X1348/SUMIFS($X$7:$X$1843,$W$7:$W$1843,W1348),0),0)</f>
        <v>0</v>
      </c>
    </row>
    <row r="1349" customFormat="false" ht="15" hidden="false" customHeight="false" outlineLevel="0" collapsed="false">
      <c r="A1349" s="55" t="s">
        <v>2382</v>
      </c>
      <c r="B1349" s="55" t="s">
        <v>1413</v>
      </c>
      <c r="C1349" s="55" t="s">
        <v>164</v>
      </c>
      <c r="D1349" s="55" t="s">
        <v>353</v>
      </c>
      <c r="E1349" s="55"/>
      <c r="F1349" s="55" t="s">
        <v>218</v>
      </c>
      <c r="G1349" s="56" t="n">
        <v>1997.24</v>
      </c>
      <c r="H1349" s="57" t="n">
        <f aca="false">MAX(0,IF(AND(Parameter!$B$21="Ja",ISNUMBER(Y1349)),Y1349,IF(Parameter!$B$20="Jahresanfang 2025 + Export",BL1349+BK1349,BK1349)))</f>
        <v>0</v>
      </c>
      <c r="I1349" s="57" t="n">
        <f aca="false">H1349*G1349</f>
        <v>0</v>
      </c>
      <c r="J1349" s="57" t="n">
        <f aca="false">BN1349*Parameter!$B$18</f>
        <v>1</v>
      </c>
      <c r="K1349" s="58" t="n">
        <v>0.5</v>
      </c>
      <c r="L1349" s="59" t="n">
        <v>2</v>
      </c>
      <c r="M1349" s="57" t="n">
        <v>0</v>
      </c>
      <c r="N1349" s="57" t="n">
        <v>1</v>
      </c>
      <c r="O1349" s="60" t="n">
        <v>0</v>
      </c>
      <c r="P1349" s="55" t="s">
        <v>168</v>
      </c>
      <c r="Q1349" s="57"/>
      <c r="R1349" s="60" t="n">
        <f aca="false">IF(BT1349=1,0,IFERROR(VLOOKUP(BR1349,'Gebinde-Kategorie'!$A$5:$M$45,13,0)+0,0))</f>
        <v>0</v>
      </c>
      <c r="S1349" s="61"/>
      <c r="T1349" s="62"/>
      <c r="U1349" s="62"/>
      <c r="V1349" s="62"/>
      <c r="W1349" s="55"/>
      <c r="X1349" s="57"/>
      <c r="Y1349" s="57"/>
      <c r="Z1349" s="55" t="str">
        <f aca="false">IF(A1349="","",IF(AND(Parameter!$B$21="Ja",ISNUMBER(W1349)),W1349,IF(BV1349="2+3",IF(ISNUMBER(SEARCH("grosser Artikel",BO1349)),2,IFERROR(VLOOKUP(BR1349,Parameter!$F$35:$G$64,2,0),2)),IF(OR(BV1349="Nein",BV1349=""),"-",BV1349))))</f>
        <v>-</v>
      </c>
      <c r="AA1349" s="62"/>
      <c r="AB1349" s="63"/>
      <c r="AC1349" s="57" t="n">
        <f aca="false">AR1349</f>
        <v>1</v>
      </c>
      <c r="AD1349" s="57" t="n">
        <f aca="false">MAX(AR1349,H1349)</f>
        <v>1</v>
      </c>
      <c r="AE1349" s="64"/>
      <c r="AF1349" s="57" t="n">
        <f aca="false">IF(LEFT(Cockpit!$C$5,1)="A",H1349,IF(CA1349=1,CB1349,IF(LEFT(Cockpit!$C$5,1)="B",AJ1349,MAX(AJ1349,H1349))))</f>
        <v>0</v>
      </c>
      <c r="AG1349" s="57" t="n">
        <f aca="false">IF(BT1349=1,0,ROUNDUP(AF1349/BS1349,0))</f>
        <v>0</v>
      </c>
      <c r="AH1349" s="59" t="n">
        <f aca="false">IF(CH1349&gt;0,CH1349*MAX(1,AF1349/X1349),IF(BT1349=1,IF(AF1349&lt;=0,0,BW1349*MAX(1,IF(H1349&gt;0,AF1349/H1349,1))),IF(R1349&gt;0,AG1349/R1349,0))/MAX(0.1,N(Parameter!$M$21)))</f>
        <v>0</v>
      </c>
      <c r="AI1349" s="57" t="n">
        <f aca="false">AF1349*G1349</f>
        <v>0</v>
      </c>
      <c r="AJ1349" s="57" t="n">
        <f aca="false">ROUNDUP(MAX(J1349/IF(BZ1349&gt;0,BZ1349,MAX(0.1,N(Cockpit!$C$6))),CC1349)/BS1349,0)*BS1349</f>
        <v>1</v>
      </c>
      <c r="AK1349" s="58" t="n">
        <f aca="false">IF(AH1349&gt;0,J1349/AH1349,-1)</f>
        <v>-1</v>
      </c>
      <c r="AL1349" s="58" t="str">
        <f aca="false">IF(AND(OR(BY1349="L1",BY1349="L23"),AH1349&gt;0),SUMIFS($AH$7:$AH$1843,$BY$7:$BY$1843,BY1349,$AK$7:$AK$1843,"&gt;"&amp;AK1349)+SUMIFS($AH$7:$AH$1843,$BY$7:$BY$1843,BY1349,$AK$7:$AK$1843,AK1349,$BQ$7:$BQ$1843,"&lt;="&amp;BQ1349),"")</f>
        <v/>
      </c>
      <c r="AM1349" s="65" t="n">
        <f aca="false">IF(AL1349="",0,MAX(0,MIN(1,(IF(BY1349="L1",Parameter!$E$5,Parameter!$E$6+Parameter!$E$7)-(AL1349-AH1349))/AH1349)))</f>
        <v>0</v>
      </c>
      <c r="AN1349" s="57" t="n">
        <f aca="false">IF(LEFT(Cockpit!$I$5,1)="A",H1349,IF(CA1349=1,CB1349,IF(LEFT(Cockpit!$I$5,1)="B",AR1349,MAX(AR1349,H1349))))</f>
        <v>1</v>
      </c>
      <c r="AO1349" s="57" t="n">
        <f aca="false">IF(BT1349=1,0,ROUNDUP(AN1349/BS1349,0))</f>
        <v>0</v>
      </c>
      <c r="AP1349" s="59" t="n">
        <f aca="false">IF(CH1349&gt;0,CH1349*MAX(1,AN1349/X1349),IF(BT1349=1,IF(AN1349&lt;=0,0,BW1349*MAX(1,IF(H1349&gt;0,AN1349/H1349,1))),IF(R1349&gt;0,AO1349/R1349,0))/MAX(0.1,N(Parameter!$M$21)))</f>
        <v>0.15</v>
      </c>
      <c r="AQ1349" s="57" t="n">
        <f aca="false">AN1349*G1349</f>
        <v>1997.24</v>
      </c>
      <c r="AR1349" s="57" t="n">
        <f aca="false">ROUNDUP(MAX(J1349/IF(BZ1349&gt;0,BZ1349,MAX(0.1,N(Cockpit!$I$6))),CC1349)/BS1349,0)*BS1349</f>
        <v>1</v>
      </c>
      <c r="AS1349" s="58" t="n">
        <f aca="false">IF(AP1349&gt;0,J1349/AP1349,-1)</f>
        <v>6.66666666666667</v>
      </c>
      <c r="AT1349" s="58" t="str">
        <f aca="false">IF(AND(OR(BY1349="L1",BY1349="L23"),AP1349&gt;0),SUMIFS($AP$7:$AP$1843,$BY$7:$BY$1843,BY1349,$AS$7:$AS$1843,"&gt;"&amp;AS1349)+SUMIFS($AP$7:$AP$1843,$BY$7:$BY$1843,BY1349,$AS$7:$AS$1843,AS1349,$BQ$7:$BQ$1843,"&lt;="&amp;BQ1349),"")</f>
        <v/>
      </c>
      <c r="AU1349" s="65" t="n">
        <f aca="false">IF(AT1349="",0,MAX(0,MIN(1,(IF(BY1349="L1",Parameter!$E$5,Parameter!$E$6+Parameter!$E$7)-(AT1349-AP1349))/AP1349)))</f>
        <v>0</v>
      </c>
      <c r="AV1349" s="57" t="n">
        <f aca="false">IF(LEFT(Cockpit!$O$5,1)="A",H1349,IF(CA1349=1,CB1349,IF(LEFT(Cockpit!$O$5,1)="B",AZ1349,MAX(AZ1349,H1349))))</f>
        <v>1</v>
      </c>
      <c r="AW1349" s="57" t="n">
        <f aca="false">IF(BT1349=1,0,ROUNDUP(AV1349/BS1349,0))</f>
        <v>0</v>
      </c>
      <c r="AX1349" s="59" t="n">
        <f aca="false">IF(CH1349&gt;0,CH1349*MAX(1,AV1349/X1349),IF(BT1349=1,IF(AV1349&lt;=0,0,BW1349*MAX(1,IF(H1349&gt;0,AV1349/H1349,1))),IF(R1349&gt;0,AW1349/R1349,0))/MAX(0.1,N(Parameter!$M$21)))</f>
        <v>0.15</v>
      </c>
      <c r="AY1349" s="57" t="n">
        <f aca="false">AV1349*G1349</f>
        <v>1997.24</v>
      </c>
      <c r="AZ1349" s="57" t="n">
        <f aca="false">ROUNDUP(MAX(J1349/IF(BZ1349&gt;0,BZ1349,MAX(0.1,N(Cockpit!$O$6))),CC1349)/BS1349,0)*BS1349</f>
        <v>1</v>
      </c>
      <c r="BA1349" s="58" t="n">
        <f aca="false">IF(AX1349&gt;0,J1349/AX1349,-1)</f>
        <v>6.66666666666667</v>
      </c>
      <c r="BB1349" s="58" t="str">
        <f aca="false">IF(AND(OR(BY1349="L1",BY1349="L23"),AX1349&gt;0),SUMIFS($AX$7:$AX$1843,$BY$7:$BY$1843,BY1349,$BA$7:$BA$1843,"&gt;"&amp;BA1349)+SUMIFS($AX$7:$AX$1843,$BY$7:$BY$1843,BY1349,$BA$7:$BA$1843,BA1349,$BQ$7:$BQ$1843,"&lt;="&amp;BQ1349),"")</f>
        <v/>
      </c>
      <c r="BC1349" s="65" t="n">
        <f aca="false">IF(BB1349="",0,MAX(0,MIN(1,(IF(BY1349="L1",Parameter!$E$5,Parameter!$E$6+Parameter!$E$7)-(BB1349-AX1349))/AX1349)))</f>
        <v>0</v>
      </c>
      <c r="BD1349" s="55" t="str">
        <f aca="false">IF(AH1349&lt;=0,"",IF(BY1349="Aussen","Aussenlager",IF(BY1349="-","Nicht im Lift",IF(AM1349&gt;=1,"Lift",IF(AM1349&lt;=0,"Aussenlager","teilweise")))))</f>
        <v/>
      </c>
      <c r="BE1349" s="55" t="str">
        <f aca="false">IF(AP1349&lt;=0,"",IF(BY1349="Aussen","Aussenlager",IF(BY1349="-","Nicht im Lift",IF(AU1349&gt;=1,"Lift",IF(AU1349&lt;=0,"Aussenlager","teilweise")))))</f>
        <v>Nicht im Lift</v>
      </c>
      <c r="BF1349" s="55" t="str">
        <f aca="false">IF(AX1349&lt;=0,"",IF(BY1349="Aussen","Aussenlager",IF(BY1349="-","Nicht im Lift",IF(BC1349&gt;=1,"Lift",IF(BC1349&lt;=0,"Aussenlager","teilweise")))))</f>
        <v>Nicht im Lift</v>
      </c>
      <c r="BG1349" s="55" t="str">
        <f aca="false">IF(A1349="","",IF(BP1349=1,"Neu; ","")&amp;IF(AND(BP1349=0,BK1349&lt;0),"negativer Bestand (Export "&amp;BK1349&amp;"); ","")&amp;IF(J1349&lt;=0,"Kein Verbrauch; ","")&amp;IF(CH1349&gt;0,"Lift "&amp;W1349&amp;" lt. Liftbericht (Fach "&amp;X1349&amp;" Stk); ",IF(BU1349=1,"Gebinde geschätzt ("&amp;T1349&amp;"); ",IF(BT1349=1,"Lose – Tablare geschätzt; ","")))&amp;IF(H1349&gt;AR1349,"Überbestand "&amp;ROUND(H1349-AR1349,0)&amp;" Stk / CHF "&amp;ROUND((H1349-AR1349)*G1349,0)&amp;"; ","")&amp;IF(AND(CA1349=1,CB1349&lt;CC1349),"MAX &lt; MB+LG; ","")&amp;IF(AND(CG1349&gt;0,CF1349*10&gt;CG1349),"zu hoch für Tablar; ","")&amp;IF(AND(BP1349=0,OR(CA1349=1,AA1349&lt;&gt;"",U1349&lt;&gt;"",V1349&lt;&gt;"",AB1349&lt;&gt;"")),"manuell übersteuert; ","")&amp;IF(AND(BT1349=0,R1349=0),"Gebinde unbekannt / Stellmass fehlt; ","")&amp;IF(AND(BT1349=0,N(V1349)&lt;=0,N(Q1349)&lt;=0),"Menge pro Gebinde fehlt (Ist = 1 Gebinde); ","")&amp;BO1349)</f>
        <v>negativer Bestand (Export -1); Lose – Tablare geschätzt; </v>
      </c>
      <c r="BH1349" s="55"/>
      <c r="BI1349" s="55"/>
      <c r="BJ1349" s="62"/>
      <c r="BK1349" s="57" t="n">
        <v>-1</v>
      </c>
      <c r="BL1349" s="57" t="n">
        <v>1</v>
      </c>
      <c r="BM1349" s="56" t="n">
        <v>-1997.24</v>
      </c>
      <c r="BN1349" s="57" t="n">
        <v>1</v>
      </c>
      <c r="BO1349" s="55"/>
      <c r="BP1349" s="60" t="n">
        <v>0</v>
      </c>
      <c r="BQ1349" s="60" t="n">
        <v>1349</v>
      </c>
      <c r="BR1349" s="55" t="str">
        <f aca="false">IF(U1349&lt;&gt;"",UPPER(TRIM(U1349)),IF(BU1349=1,UPPER(VLOOKUP(T1349,Parameter!$I$27:$K$29,2,0)),IF(P1349="","LOSE",P1349)))</f>
        <v>LOSE</v>
      </c>
      <c r="BS1349" s="57" t="n">
        <f aca="false">IF(BR1349="LOSE",1,IF(N(V1349)&gt;0,V1349,IF(BU1349=1,MAX(1,N(VLOOKUP(T1349,Parameter!$I$27:$K$29,3,0)),H1349,N(N1349)),IF(N(Q1349)&gt;0,Q1349,MAX(1,H1349)))))</f>
        <v>1</v>
      </c>
      <c r="BT1349" s="60" t="n">
        <f aca="false">IF(BR1349="LOSE",1,0)</f>
        <v>1</v>
      </c>
      <c r="BU1349" s="60" t="n">
        <f aca="false">IF(AND(U1349="",OR(P1349="",P1349="LOSE"),T1349&lt;&gt;"",N(S1349)&lt;=0,ISNUMBER(MATCH(T1349,Parameter!$I$27:$I$29,0))),1,0)</f>
        <v>0</v>
      </c>
      <c r="BV1349" s="55" t="str">
        <f aca="false">IF(AND(Parameter!$B$19="Ja",E1349&lt;&gt;"",ISNUMBER(MATCH(E1349,Parameter!$I$35:$I$52,0))),VLOOKUP(E1349,Parameter!$I$35:$J$52,2,0),IFERROR(VLOOKUP(D1349,Parameter!$A$35:$C$64,2,0),"Nein"))</f>
        <v>Nein</v>
      </c>
      <c r="BW1349" s="59" t="n">
        <f aca="false">IF(BT1349=0,0,IF(N(S1349)&gt;0,S1349,IFERROR(VLOOKUP(D1349,Parameter!$A$35:$C$64,3,0)+0,0)))</f>
        <v>0.15</v>
      </c>
      <c r="BX1349" s="55" t="str">
        <f aca="false">IF(AA1349&lt;&gt;"",AA1349,Z1349)</f>
        <v>-</v>
      </c>
      <c r="BY1349" s="55" t="str">
        <f aca="false">IF(BX1349=1,"L1",IF(OR(BX1349=2,BX1349=3),"L23",IF(BX1349="Aussen","Aussen","-")))</f>
        <v>-</v>
      </c>
      <c r="BZ1349" s="66" t="n">
        <f aca="false">IF(N(AB1349)&gt;0,AB1349,0)</f>
        <v>0</v>
      </c>
      <c r="CA1349" s="60" t="n">
        <f aca="false">IF(ISNUMBER(AE1349),1,0)</f>
        <v>0</v>
      </c>
      <c r="CB1349" s="57" t="n">
        <f aca="false">N(AE1349)</f>
        <v>0</v>
      </c>
      <c r="CC1349" s="57" t="n">
        <f aca="false">N(M1349)+N(N1349)</f>
        <v>1</v>
      </c>
      <c r="CD1349" s="57" t="n">
        <f aca="false">ROUNDUP(H1349/BS1349,0)</f>
        <v>0</v>
      </c>
      <c r="CE1349" s="57" t="n">
        <f aca="false">ROUNDUP(CB1349/BS1349,0)</f>
        <v>0</v>
      </c>
      <c r="CF1349" s="60" t="n">
        <f aca="false">IF(BT1349=1,0,IFERROR(VLOOKUP(BR1349,'Gebinde-Kategorie'!$A$5:$M$45,5,0)+0,0))</f>
        <v>0</v>
      </c>
      <c r="CG1349" s="60" t="n">
        <f aca="false">IFERROR(IF(OR(BX1349=1,BX1349=2,BX1349=3),N(INDEX(Parameter!$I$5:$I$7,BX1349)),0),0)</f>
        <v>0</v>
      </c>
      <c r="CH1349" s="59" t="n">
        <f aca="false">IF(AND(Parameter!$B$21="Ja",ISNUMBER(W1349),N(X1349)&gt;0),IFERROR(N(INDEX(Parameter!$L$5:$L$7,W1349))*INDEX(Parameter!$E$5:$E$7,W1349)*X1349/SUMIFS($X$7:$X$1843,$W$7:$W$1843,W1349),0),0)</f>
        <v>0</v>
      </c>
    </row>
    <row r="1350" customFormat="false" ht="15" hidden="false" customHeight="false" outlineLevel="0" collapsed="false">
      <c r="A1350" s="55" t="s">
        <v>2383</v>
      </c>
      <c r="B1350" s="55" t="s">
        <v>2384</v>
      </c>
      <c r="C1350" s="55" t="s">
        <v>456</v>
      </c>
      <c r="D1350" s="55" t="s">
        <v>165</v>
      </c>
      <c r="E1350" s="55"/>
      <c r="F1350" s="55" t="s">
        <v>218</v>
      </c>
      <c r="G1350" s="56" t="n">
        <v>1004.29</v>
      </c>
      <c r="H1350" s="57" t="n">
        <f aca="false">MAX(0,IF(AND(Parameter!$B$21="Ja",ISNUMBER(Y1350)),Y1350,IF(Parameter!$B$20="Jahresanfang 2025 + Export",BL1350+BK1350,BK1350)))</f>
        <v>0</v>
      </c>
      <c r="I1350" s="57" t="n">
        <f aca="false">H1350*G1350</f>
        <v>0</v>
      </c>
      <c r="J1350" s="57" t="n">
        <f aca="false">BN1350*Parameter!$B$18</f>
        <v>1</v>
      </c>
      <c r="K1350" s="58" t="n">
        <v>1.5</v>
      </c>
      <c r="L1350" s="59" t="n">
        <v>0.666666666666667</v>
      </c>
      <c r="M1350" s="57" t="n">
        <v>0</v>
      </c>
      <c r="N1350" s="57" t="n">
        <v>1</v>
      </c>
      <c r="O1350" s="60" t="n">
        <v>35</v>
      </c>
      <c r="P1350" s="55" t="s">
        <v>168</v>
      </c>
      <c r="Q1350" s="57"/>
      <c r="R1350" s="60" t="n">
        <f aca="false">IF(BT1350=1,0,IFERROR(VLOOKUP(BR1350,'Gebinde-Kategorie'!$A$5:$M$45,13,0)+0,0))</f>
        <v>0</v>
      </c>
      <c r="S1350" s="61"/>
      <c r="T1350" s="62"/>
      <c r="U1350" s="62"/>
      <c r="V1350" s="62"/>
      <c r="W1350" s="55" t="n">
        <v>1</v>
      </c>
      <c r="X1350" s="57" t="n">
        <v>1</v>
      </c>
      <c r="Y1350" s="57" t="n">
        <v>0</v>
      </c>
      <c r="Z1350" s="55" t="n">
        <f aca="false">IF(A1350="","",IF(AND(Parameter!$B$21="Ja",ISNUMBER(W1350)),W1350,IF(BV1350="2+3",IF(ISNUMBER(SEARCH("grosser Artikel",BO1350)),2,IFERROR(VLOOKUP(BR1350,Parameter!$F$35:$G$64,2,0),2)),IF(OR(BV1350="Nein",BV1350=""),"-",BV1350))))</f>
        <v>1</v>
      </c>
      <c r="AA1350" s="62"/>
      <c r="AB1350" s="63"/>
      <c r="AC1350" s="57" t="n">
        <f aca="false">AR1350</f>
        <v>1</v>
      </c>
      <c r="AD1350" s="57" t="n">
        <f aca="false">MAX(AR1350,H1350)</f>
        <v>1</v>
      </c>
      <c r="AE1350" s="64"/>
      <c r="AF1350" s="57" t="n">
        <f aca="false">IF(LEFT(Cockpit!$C$5,1)="A",H1350,IF(CA1350=1,CB1350,IF(LEFT(Cockpit!$C$5,1)="B",AJ1350,MAX(AJ1350,H1350))))</f>
        <v>0</v>
      </c>
      <c r="AG1350" s="57" t="n">
        <f aca="false">IF(BT1350=1,0,ROUNDUP(AF1350/BS1350,0))</f>
        <v>0</v>
      </c>
      <c r="AH1350" s="59" t="n">
        <f aca="false">IF(CH1350&gt;0,CH1350*MAX(1,AF1350/X1350),IF(BT1350=1,IF(AF1350&lt;=0,0,BW1350*MAX(1,IF(H1350&gt;0,AF1350/H1350,1))),IF(R1350&gt;0,AG1350/R1350,0))/MAX(0.1,N(Parameter!$M$21)))</f>
        <v>0.0800376647834275</v>
      </c>
      <c r="AI1350" s="57" t="n">
        <f aca="false">AF1350*G1350</f>
        <v>0</v>
      </c>
      <c r="AJ1350" s="57" t="n">
        <f aca="false">ROUNDUP(MAX(J1350/IF(BZ1350&gt;0,BZ1350,MAX(0.1,N(Cockpit!$C$6))),CC1350)/BS1350,0)*BS1350</f>
        <v>1</v>
      </c>
      <c r="AK1350" s="58" t="n">
        <f aca="false">IF(AH1350&gt;0,J1350/AH1350,-1)</f>
        <v>12.4941176470588</v>
      </c>
      <c r="AL1350" s="58" t="n">
        <f aca="false">IF(AND(OR(BY1350="L1",BY1350="L23"),AH1350&gt;0),SUMIFS($AH$7:$AH$1843,$BY$7:$BY$1843,BY1350,$AK$7:$AK$1843,"&gt;"&amp;AK1350)+SUMIFS($AH$7:$AH$1843,$BY$7:$BY$1843,BY1350,$AK$7:$AK$1843,AK1350,$BQ$7:$BQ$1843,"&lt;="&amp;BQ1350),"")</f>
        <v>30.0069566477083</v>
      </c>
      <c r="AM1350" s="65" t="n">
        <f aca="false">IF(AL1350="",0,MAX(0,MIN(1,(IF(BY1350="L1",Parameter!$E$5,Parameter!$E$6+Parameter!$E$7)-(AL1350-AH1350))/AH1350)))</f>
        <v>1</v>
      </c>
      <c r="AN1350" s="57" t="n">
        <f aca="false">IF(LEFT(Cockpit!$I$5,1)="A",H1350,IF(CA1350=1,CB1350,IF(LEFT(Cockpit!$I$5,1)="B",AR1350,MAX(AR1350,H1350))))</f>
        <v>1</v>
      </c>
      <c r="AO1350" s="57" t="n">
        <f aca="false">IF(BT1350=1,0,ROUNDUP(AN1350/BS1350,0))</f>
        <v>0</v>
      </c>
      <c r="AP1350" s="59" t="n">
        <f aca="false">IF(CH1350&gt;0,CH1350*MAX(1,AN1350/X1350),IF(BT1350=1,IF(AN1350&lt;=0,0,BW1350*MAX(1,IF(H1350&gt;0,AN1350/H1350,1))),IF(R1350&gt;0,AO1350/R1350,0))/MAX(0.1,N(Parameter!$M$21)))</f>
        <v>0.0800376647834275</v>
      </c>
      <c r="AQ1350" s="57" t="n">
        <f aca="false">AN1350*G1350</f>
        <v>1004.29</v>
      </c>
      <c r="AR1350" s="57" t="n">
        <f aca="false">ROUNDUP(MAX(J1350/IF(BZ1350&gt;0,BZ1350,MAX(0.1,N(Cockpit!$I$6))),CC1350)/BS1350,0)*BS1350</f>
        <v>1</v>
      </c>
      <c r="AS1350" s="58" t="n">
        <f aca="false">IF(AP1350&gt;0,J1350/AP1350,-1)</f>
        <v>12.4941176470588</v>
      </c>
      <c r="AT1350" s="58" t="n">
        <f aca="false">IF(AND(OR(BY1350="L1",BY1350="L23"),AP1350&gt;0),SUMIFS($AP$7:$AP$1843,$BY$7:$BY$1843,BY1350,$AS$7:$AS$1843,"&gt;"&amp;AS1350)+SUMIFS($AP$7:$AP$1843,$BY$7:$BY$1843,BY1350,$AS$7:$AS$1843,AS1350,$BQ$7:$BQ$1843,"&lt;="&amp;BQ1350),"")</f>
        <v>45.0264409299045</v>
      </c>
      <c r="AU1350" s="65" t="n">
        <f aca="false">IF(AT1350="",0,MAX(0,MIN(1,(IF(BY1350="L1",Parameter!$E$5,Parameter!$E$6+Parameter!$E$7)-(AT1350-AP1350))/AP1350)))</f>
        <v>1</v>
      </c>
      <c r="AV1350" s="57" t="n">
        <f aca="false">IF(LEFT(Cockpit!$O$5,1)="A",H1350,IF(CA1350=1,CB1350,IF(LEFT(Cockpit!$O$5,1)="B",AZ1350,MAX(AZ1350,H1350))))</f>
        <v>1</v>
      </c>
      <c r="AW1350" s="57" t="n">
        <f aca="false">IF(BT1350=1,0,ROUNDUP(AV1350/BS1350,0))</f>
        <v>0</v>
      </c>
      <c r="AX1350" s="59" t="n">
        <f aca="false">IF(CH1350&gt;0,CH1350*MAX(1,AV1350/X1350),IF(BT1350=1,IF(AV1350&lt;=0,0,BW1350*MAX(1,IF(H1350&gt;0,AV1350/H1350,1))),IF(R1350&gt;0,AW1350/R1350,0))/MAX(0.1,N(Parameter!$M$21)))</f>
        <v>0.0800376647834275</v>
      </c>
      <c r="AY1350" s="57" t="n">
        <f aca="false">AV1350*G1350</f>
        <v>1004.29</v>
      </c>
      <c r="AZ1350" s="57" t="n">
        <f aca="false">ROUNDUP(MAX(J1350/IF(BZ1350&gt;0,BZ1350,MAX(0.1,N(Cockpit!$O$6))),CC1350)/BS1350,0)*BS1350</f>
        <v>1</v>
      </c>
      <c r="BA1350" s="58" t="n">
        <f aca="false">IF(AX1350&gt;0,J1350/AX1350,-1)</f>
        <v>12.4941176470588</v>
      </c>
      <c r="BB1350" s="58" t="n">
        <f aca="false">IF(AND(OR(BY1350="L1",BY1350="L23"),AX1350&gt;0),SUMIFS($AX$7:$AX$1843,$BY$7:$BY$1843,BY1350,$BA$7:$BA$1843,"&gt;"&amp;BA1350)+SUMIFS($AX$7:$AX$1843,$BY$7:$BY$1843,BY1350,$BA$7:$BA$1843,BA1350,$BQ$7:$BQ$1843,"&lt;="&amp;BQ1350),"")</f>
        <v>38.6932524611228</v>
      </c>
      <c r="BC1350" s="65" t="n">
        <f aca="false">IF(BB1350="",0,MAX(0,MIN(1,(IF(BY1350="L1",Parameter!$E$5,Parameter!$E$6+Parameter!$E$7)-(BB1350-AX1350))/AX1350)))</f>
        <v>1</v>
      </c>
      <c r="BD1350" s="55" t="str">
        <f aca="false">IF(AH1350&lt;=0,"",IF(BY1350="Aussen","Aussenlager",IF(BY1350="-","Nicht im Lift",IF(AM1350&gt;=1,"Lift",IF(AM1350&lt;=0,"Aussenlager","teilweise")))))</f>
        <v>Lift</v>
      </c>
      <c r="BE1350" s="55" t="str">
        <f aca="false">IF(AP1350&lt;=0,"",IF(BY1350="Aussen","Aussenlager",IF(BY1350="-","Nicht im Lift",IF(AU1350&gt;=1,"Lift",IF(AU1350&lt;=0,"Aussenlager","teilweise")))))</f>
        <v>Lift</v>
      </c>
      <c r="BF1350" s="55" t="str">
        <f aca="false">IF(AX1350&lt;=0,"",IF(BY1350="Aussen","Aussenlager",IF(BY1350="-","Nicht im Lift",IF(BC1350&gt;=1,"Lift",IF(BC1350&lt;=0,"Aussenlager","teilweise")))))</f>
        <v>Lift</v>
      </c>
      <c r="BG1350" s="55" t="str">
        <f aca="false">IF(A1350="","",IF(BP1350=1,"Neu; ","")&amp;IF(AND(BP1350=0,BK1350&lt;0),"negativer Bestand (Export "&amp;BK1350&amp;"); ","")&amp;IF(J1350&lt;=0,"Kein Verbrauch; ","")&amp;IF(CH1350&gt;0,"Lift "&amp;W1350&amp;" lt. Liftbericht (Fach "&amp;X1350&amp;" Stk); ",IF(BU1350=1,"Gebinde geschätzt ("&amp;T1350&amp;"); ",IF(BT1350=1,"Lose – Tablare geschätzt; ","")))&amp;IF(H1350&gt;AR1350,"Überbestand "&amp;ROUND(H1350-AR1350,0)&amp;" Stk / CHF "&amp;ROUND((H1350-AR1350)*G1350,0)&amp;"; ","")&amp;IF(AND(CA1350=1,CB1350&lt;CC1350),"MAX &lt; MB+LG; ","")&amp;IF(AND(CG1350&gt;0,CF1350*10&gt;CG1350),"zu hoch für Tablar; ","")&amp;IF(AND(BP1350=0,OR(CA1350=1,AA1350&lt;&gt;"",U1350&lt;&gt;"",V1350&lt;&gt;"",AB1350&lt;&gt;"")),"manuell übersteuert; ","")&amp;IF(AND(BT1350=0,R1350=0),"Gebinde unbekannt / Stellmass fehlt; ","")&amp;IF(AND(BT1350=0,N(V1350)&lt;=0,N(Q1350)&lt;=0),"Menge pro Gebinde fehlt (Ist = 1 Gebinde); ","")&amp;BO1350)</f>
        <v>negativer Bestand (Export -2); Lift 1 lt. Liftbericht (Fach 1 Stk); Neuer Art.</v>
      </c>
      <c r="BH1350" s="55"/>
      <c r="BI1350" s="55"/>
      <c r="BJ1350" s="62"/>
      <c r="BK1350" s="57" t="n">
        <v>-2</v>
      </c>
      <c r="BL1350" s="57" t="n">
        <v>2</v>
      </c>
      <c r="BM1350" s="56" t="n">
        <v>-2008.58</v>
      </c>
      <c r="BN1350" s="57" t="n">
        <v>1</v>
      </c>
      <c r="BO1350" s="55" t="s">
        <v>512</v>
      </c>
      <c r="BP1350" s="60" t="n">
        <v>0</v>
      </c>
      <c r="BQ1350" s="60" t="n">
        <v>1350</v>
      </c>
      <c r="BR1350" s="55" t="str">
        <f aca="false">IF(U1350&lt;&gt;"",UPPER(TRIM(U1350)),IF(BU1350=1,UPPER(VLOOKUP(T1350,Parameter!$I$27:$K$29,2,0)),IF(P1350="","LOSE",P1350)))</f>
        <v>LOSE</v>
      </c>
      <c r="BS1350" s="57" t="n">
        <f aca="false">IF(BR1350="LOSE",1,IF(N(V1350)&gt;0,V1350,IF(BU1350=1,MAX(1,N(VLOOKUP(T1350,Parameter!$I$27:$K$29,3,0)),H1350,N(N1350)),IF(N(Q1350)&gt;0,Q1350,MAX(1,H1350)))))</f>
        <v>1</v>
      </c>
      <c r="BT1350" s="60" t="n">
        <f aca="false">IF(BR1350="LOSE",1,0)</f>
        <v>1</v>
      </c>
      <c r="BU1350" s="60" t="n">
        <f aca="false">IF(AND(U1350="",OR(P1350="",P1350="LOSE"),T1350&lt;&gt;"",N(S1350)&lt;=0,ISNUMBER(MATCH(T1350,Parameter!$I$27:$I$29,0))),1,0)</f>
        <v>0</v>
      </c>
      <c r="BV1350" s="55" t="n">
        <f aca="false">IF(AND(Parameter!$B$19="Ja",E1350&lt;&gt;"",ISNUMBER(MATCH(E1350,Parameter!$I$35:$I$52,0))),VLOOKUP(E1350,Parameter!$I$35:$J$52,2,0),IFERROR(VLOOKUP(D1350,Parameter!$A$35:$C$64,2,0),"Nein"))</f>
        <v>1</v>
      </c>
      <c r="BW1350" s="59" t="n">
        <f aca="false">IF(BT1350=0,0,IF(N(S1350)&gt;0,S1350,IFERROR(VLOOKUP(D1350,Parameter!$A$35:$C$64,3,0)+0,0)))</f>
        <v>1</v>
      </c>
      <c r="BX1350" s="55" t="n">
        <f aca="false">IF(AA1350&lt;&gt;"",AA1350,Z1350)</f>
        <v>1</v>
      </c>
      <c r="BY1350" s="55" t="str">
        <f aca="false">IF(BX1350=1,"L1",IF(OR(BX1350=2,BX1350=3),"L23",IF(BX1350="Aussen","Aussen","-")))</f>
        <v>L1</v>
      </c>
      <c r="BZ1350" s="66" t="n">
        <f aca="false">IF(N(AB1350)&gt;0,AB1350,0)</f>
        <v>0</v>
      </c>
      <c r="CA1350" s="60" t="n">
        <f aca="false">IF(ISNUMBER(AE1350),1,0)</f>
        <v>0</v>
      </c>
      <c r="CB1350" s="57" t="n">
        <f aca="false">N(AE1350)</f>
        <v>0</v>
      </c>
      <c r="CC1350" s="57" t="n">
        <f aca="false">N(M1350)+N(N1350)</f>
        <v>1</v>
      </c>
      <c r="CD1350" s="57" t="n">
        <f aca="false">ROUNDUP(H1350/BS1350,0)</f>
        <v>0</v>
      </c>
      <c r="CE1350" s="57" t="n">
        <f aca="false">ROUNDUP(CB1350/BS1350,0)</f>
        <v>0</v>
      </c>
      <c r="CF1350" s="60" t="n">
        <f aca="false">IF(BT1350=1,0,IFERROR(VLOOKUP(BR1350,'Gebinde-Kategorie'!$A$5:$M$45,5,0)+0,0))</f>
        <v>0</v>
      </c>
      <c r="CG1350" s="60" t="n">
        <f aca="false">IFERROR(IF(OR(BX1350=1,BX1350=2,BX1350=3),N(INDEX(Parameter!$I$5:$I$7,BX1350)),0),0)</f>
        <v>0</v>
      </c>
      <c r="CH1350" s="59" t="n">
        <f aca="false">IF(AND(Parameter!$B$21="Ja",ISNUMBER(W1350),N(X1350)&gt;0),IFERROR(N(INDEX(Parameter!$L$5:$L$7,W1350))*INDEX(Parameter!$E$5:$E$7,W1350)*X1350/SUMIFS($X$7:$X$1843,$W$7:$W$1843,W1350),0),0)</f>
        <v>0.0800376647834275</v>
      </c>
    </row>
    <row r="1351" customFormat="false" ht="15" hidden="false" customHeight="false" outlineLevel="0" collapsed="false">
      <c r="A1351" s="55" t="s">
        <v>2385</v>
      </c>
      <c r="B1351" s="55" t="s">
        <v>2384</v>
      </c>
      <c r="C1351" s="55" t="s">
        <v>164</v>
      </c>
      <c r="D1351" s="55" t="s">
        <v>165</v>
      </c>
      <c r="E1351" s="55" t="s">
        <v>166</v>
      </c>
      <c r="F1351" s="55" t="s">
        <v>218</v>
      </c>
      <c r="G1351" s="56" t="n">
        <v>2008.66</v>
      </c>
      <c r="H1351" s="57" t="n">
        <f aca="false">MAX(0,IF(AND(Parameter!$B$21="Ja",ISNUMBER(Y1351)),Y1351,IF(Parameter!$B$20="Jahresanfang 2025 + Export",BL1351+BK1351,BK1351)))</f>
        <v>9</v>
      </c>
      <c r="I1351" s="57" t="n">
        <f aca="false">H1351*G1351</f>
        <v>18077.94</v>
      </c>
      <c r="J1351" s="57" t="n">
        <f aca="false">BN1351*Parameter!$B$18</f>
        <v>0</v>
      </c>
      <c r="K1351" s="58" t="n">
        <v>10</v>
      </c>
      <c r="L1351" s="59" t="n">
        <v>0</v>
      </c>
      <c r="M1351" s="57" t="n">
        <v>0</v>
      </c>
      <c r="N1351" s="57" t="n">
        <v>5</v>
      </c>
      <c r="O1351" s="60" t="n">
        <v>86</v>
      </c>
      <c r="P1351" s="55" t="s">
        <v>168</v>
      </c>
      <c r="Q1351" s="57"/>
      <c r="R1351" s="60" t="n">
        <f aca="false">IF(BT1351=1,0,IFERROR(VLOOKUP(BR1351,'Gebinde-Kategorie'!$A$5:$M$45,13,0)+0,0))</f>
        <v>0</v>
      </c>
      <c r="S1351" s="61"/>
      <c r="T1351" s="62"/>
      <c r="U1351" s="62"/>
      <c r="V1351" s="62"/>
      <c r="W1351" s="55" t="n">
        <v>1</v>
      </c>
      <c r="X1351" s="57" t="n">
        <v>10</v>
      </c>
      <c r="Y1351" s="57" t="n">
        <v>9</v>
      </c>
      <c r="Z1351" s="55" t="n">
        <f aca="false">IF(A1351="","",IF(AND(Parameter!$B$21="Ja",ISNUMBER(W1351)),W1351,IF(BV1351="2+3",IF(ISNUMBER(SEARCH("grosser Artikel",BO1351)),2,IFERROR(VLOOKUP(BR1351,Parameter!$F$35:$G$64,2,0),2)),IF(OR(BV1351="Nein",BV1351=""),"-",BV1351))))</f>
        <v>1</v>
      </c>
      <c r="AA1351" s="62"/>
      <c r="AB1351" s="63"/>
      <c r="AC1351" s="57" t="n">
        <f aca="false">AR1351</f>
        <v>5</v>
      </c>
      <c r="AD1351" s="57" t="n">
        <f aca="false">MAX(AR1351,H1351)</f>
        <v>9</v>
      </c>
      <c r="AE1351" s="64"/>
      <c r="AF1351" s="57" t="n">
        <f aca="false">IF(LEFT(Cockpit!$C$5,1)="A",H1351,IF(CA1351=1,CB1351,IF(LEFT(Cockpit!$C$5,1)="B",AJ1351,MAX(AJ1351,H1351))))</f>
        <v>9</v>
      </c>
      <c r="AG1351" s="57" t="n">
        <f aca="false">IF(BT1351=1,0,ROUNDUP(AF1351/BS1351,0))</f>
        <v>0</v>
      </c>
      <c r="AH1351" s="59" t="n">
        <f aca="false">IF(CH1351&gt;0,CH1351*MAX(1,AF1351/X1351),IF(BT1351=1,IF(AF1351&lt;=0,0,BW1351*MAX(1,IF(H1351&gt;0,AF1351/H1351,1))),IF(R1351&gt;0,AG1351/R1351,0))/MAX(0.1,N(Parameter!$M$21)))</f>
        <v>0.800376647834275</v>
      </c>
      <c r="AI1351" s="57" t="n">
        <f aca="false">AF1351*G1351</f>
        <v>18077.94</v>
      </c>
      <c r="AJ1351" s="57" t="n">
        <f aca="false">ROUNDUP(MAX(J1351/IF(BZ1351&gt;0,BZ1351,MAX(0.1,N(Cockpit!$C$6))),CC1351)/BS1351,0)*BS1351</f>
        <v>5</v>
      </c>
      <c r="AK1351" s="58" t="n">
        <f aca="false">IF(AH1351&gt;0,J1351/AH1351,-1)</f>
        <v>0</v>
      </c>
      <c r="AL1351" s="58" t="n">
        <f aca="false">IF(AND(OR(BY1351="L1",BY1351="L23"),AH1351&gt;0),SUMIFS($AH$7:$AH$1843,$BY$7:$BY$1843,BY1351,$AK$7:$AK$1843,"&gt;"&amp;AK1351)+SUMIFS($AH$7:$AH$1843,$BY$7:$BY$1843,BY1351,$AK$7:$AK$1843,AK1351,$BQ$7:$BQ$1843,"&lt;="&amp;BQ1351),"")</f>
        <v>52.4955123481284</v>
      </c>
      <c r="AM1351" s="65" t="n">
        <f aca="false">IF(AL1351="",0,MAX(0,MIN(1,(IF(BY1351="L1",Parameter!$E$5,Parameter!$E$6+Parameter!$E$7)-(AL1351-AH1351))/AH1351)))</f>
        <v>0</v>
      </c>
      <c r="AN1351" s="57" t="n">
        <f aca="false">IF(LEFT(Cockpit!$I$5,1)="A",H1351,IF(CA1351=1,CB1351,IF(LEFT(Cockpit!$I$5,1)="B",AR1351,MAX(AR1351,H1351))))</f>
        <v>9</v>
      </c>
      <c r="AO1351" s="57" t="n">
        <f aca="false">IF(BT1351=1,0,ROUNDUP(AN1351/BS1351,0))</f>
        <v>0</v>
      </c>
      <c r="AP1351" s="59" t="n">
        <f aca="false">IF(CH1351&gt;0,CH1351*MAX(1,AN1351/X1351),IF(BT1351=1,IF(AN1351&lt;=0,0,BW1351*MAX(1,IF(H1351&gt;0,AN1351/H1351,1))),IF(R1351&gt;0,AO1351/R1351,0))/MAX(0.1,N(Parameter!$M$21)))</f>
        <v>0.800376647834275</v>
      </c>
      <c r="AQ1351" s="57" t="n">
        <f aca="false">AN1351*G1351</f>
        <v>18077.94</v>
      </c>
      <c r="AR1351" s="57" t="n">
        <f aca="false">ROUNDUP(MAX(J1351/IF(BZ1351&gt;0,BZ1351,MAX(0.1,N(Cockpit!$I$6))),CC1351)/BS1351,0)*BS1351</f>
        <v>5</v>
      </c>
      <c r="AS1351" s="58" t="n">
        <f aca="false">IF(AP1351&gt;0,J1351/AP1351,-1)</f>
        <v>0</v>
      </c>
      <c r="AT1351" s="58" t="n">
        <f aca="false">IF(AND(OR(BY1351="L1",BY1351="L23"),AP1351&gt;0),SUMIFS($AP$7:$AP$1843,$BY$7:$BY$1843,BY1351,$AS$7:$AS$1843,"&gt;"&amp;AS1351)+SUMIFS($AP$7:$AP$1843,$BY$7:$BY$1843,BY1351,$AS$7:$AS$1843,AS1351,$BQ$7:$BQ$1843,"&lt;="&amp;BQ1351),"")</f>
        <v>68.0084052932247</v>
      </c>
      <c r="AU1351" s="65" t="n">
        <f aca="false">IF(AT1351="",0,MAX(0,MIN(1,(IF(BY1351="L1",Parameter!$E$5,Parameter!$E$6+Parameter!$E$7)-(AT1351-AP1351))/AP1351)))</f>
        <v>0</v>
      </c>
      <c r="AV1351" s="57" t="n">
        <f aca="false">IF(LEFT(Cockpit!$O$5,1)="A",H1351,IF(CA1351=1,CB1351,IF(LEFT(Cockpit!$O$5,1)="B",AZ1351,MAX(AZ1351,H1351))))</f>
        <v>9</v>
      </c>
      <c r="AW1351" s="57" t="n">
        <f aca="false">IF(BT1351=1,0,ROUNDUP(AV1351/BS1351,0))</f>
        <v>0</v>
      </c>
      <c r="AX1351" s="59" t="n">
        <f aca="false">IF(CH1351&gt;0,CH1351*MAX(1,AV1351/X1351),IF(BT1351=1,IF(AV1351&lt;=0,0,BW1351*MAX(1,IF(H1351&gt;0,AV1351/H1351,1))),IF(R1351&gt;0,AW1351/R1351,0))/MAX(0.1,N(Parameter!$M$21)))</f>
        <v>0.800376647834275</v>
      </c>
      <c r="AY1351" s="57" t="n">
        <f aca="false">AV1351*G1351</f>
        <v>18077.94</v>
      </c>
      <c r="AZ1351" s="57" t="n">
        <f aca="false">ROUNDUP(MAX(J1351/IF(BZ1351&gt;0,BZ1351,MAX(0.1,N(Cockpit!$O$6))),CC1351)/BS1351,0)*BS1351</f>
        <v>5</v>
      </c>
      <c r="BA1351" s="58" t="n">
        <f aca="false">IF(AX1351&gt;0,J1351/AX1351,-1)</f>
        <v>0</v>
      </c>
      <c r="BB1351" s="58" t="n">
        <f aca="false">IF(AND(OR(BY1351="L1",BY1351="L23"),AX1351&gt;0),SUMIFS($AX$7:$AX$1843,$BY$7:$BY$1843,BY1351,$BA$7:$BA$1843,"&gt;"&amp;BA1351)+SUMIFS($AX$7:$AX$1843,$BY$7:$BY$1843,BY1351,$BA$7:$BA$1843,BA1351,$BQ$7:$BQ$1843,"&lt;="&amp;BQ1351),"")</f>
        <v>61.6752168244431</v>
      </c>
      <c r="BC1351" s="65" t="n">
        <f aca="false">IF(BB1351="",0,MAX(0,MIN(1,(IF(BY1351="L1",Parameter!$E$5,Parameter!$E$6+Parameter!$E$7)-(BB1351-AX1351))/AX1351)))</f>
        <v>0</v>
      </c>
      <c r="BD1351" s="55" t="str">
        <f aca="false">IF(AH1351&lt;=0,"",IF(BY1351="Aussen","Aussenlager",IF(BY1351="-","Nicht im Lift",IF(AM1351&gt;=1,"Lift",IF(AM1351&lt;=0,"Aussenlager","teilweise")))))</f>
        <v>Aussenlager</v>
      </c>
      <c r="BE1351" s="55" t="str">
        <f aca="false">IF(AP1351&lt;=0,"",IF(BY1351="Aussen","Aussenlager",IF(BY1351="-","Nicht im Lift",IF(AU1351&gt;=1,"Lift",IF(AU1351&lt;=0,"Aussenlager","teilweise")))))</f>
        <v>Aussenlager</v>
      </c>
      <c r="BF1351" s="55" t="str">
        <f aca="false">IF(AX1351&lt;=0,"",IF(BY1351="Aussen","Aussenlager",IF(BY1351="-","Nicht im Lift",IF(BC1351&gt;=1,"Lift",IF(BC1351&lt;=0,"Aussenlager","teilweise")))))</f>
        <v>Aussenlager</v>
      </c>
      <c r="BG1351" s="55" t="str">
        <f aca="false">IF(A1351="","",IF(BP1351=1,"Neu; ","")&amp;IF(AND(BP1351=0,BK1351&lt;0),"negativer Bestand (Export "&amp;BK1351&amp;"); ","")&amp;IF(J1351&lt;=0,"Kein Verbrauch; ","")&amp;IF(CH1351&gt;0,"Lift "&amp;W1351&amp;" lt. Liftbericht (Fach "&amp;X1351&amp;" Stk); ",IF(BU1351=1,"Gebinde geschätzt ("&amp;T1351&amp;"); ",IF(BT1351=1,"Lose – Tablare geschätzt; ","")))&amp;IF(H1351&gt;AR1351,"Überbestand "&amp;ROUND(H1351-AR1351,0)&amp;" Stk / CHF "&amp;ROUND((H1351-AR1351)*G1351,0)&amp;"; ","")&amp;IF(AND(CA1351=1,CB1351&lt;CC1351),"MAX &lt; MB+LG; ","")&amp;IF(AND(CG1351&gt;0,CF1351*10&gt;CG1351),"zu hoch für Tablar; ","")&amp;IF(AND(BP1351=0,OR(CA1351=1,AA1351&lt;&gt;"",U1351&lt;&gt;"",V1351&lt;&gt;"",AB1351&lt;&gt;"")),"manuell übersteuert; ","")&amp;IF(AND(BT1351=0,R1351=0),"Gebinde unbekannt / Stellmass fehlt; ","")&amp;IF(AND(BT1351=0,N(V1351)&lt;=0,N(Q1351)&lt;=0),"Menge pro Gebinde fehlt (Ist = 1 Gebinde); ","")&amp;BO1351)</f>
        <v>negativer Bestand (Export -1); Kein Verbrauch; Lift 1 lt. Liftbericht (Fach 10 Stk); Überbestand 4 Stk / CHF 8035; </v>
      </c>
      <c r="BH1351" s="55"/>
      <c r="BI1351" s="55"/>
      <c r="BJ1351" s="62"/>
      <c r="BK1351" s="57" t="n">
        <v>-1</v>
      </c>
      <c r="BL1351" s="57" t="n">
        <v>10</v>
      </c>
      <c r="BM1351" s="56" t="n">
        <v>-2008.66</v>
      </c>
      <c r="BN1351" s="57" t="n">
        <v>0</v>
      </c>
      <c r="BO1351" s="55"/>
      <c r="BP1351" s="60" t="n">
        <v>0</v>
      </c>
      <c r="BQ1351" s="60" t="n">
        <v>1351</v>
      </c>
      <c r="BR1351" s="55" t="str">
        <f aca="false">IF(U1351&lt;&gt;"",UPPER(TRIM(U1351)),IF(BU1351=1,UPPER(VLOOKUP(T1351,Parameter!$I$27:$K$29,2,0)),IF(P1351="","LOSE",P1351)))</f>
        <v>LOSE</v>
      </c>
      <c r="BS1351" s="57" t="n">
        <f aca="false">IF(BR1351="LOSE",1,IF(N(V1351)&gt;0,V1351,IF(BU1351=1,MAX(1,N(VLOOKUP(T1351,Parameter!$I$27:$K$29,3,0)),H1351,N(N1351)),IF(N(Q1351)&gt;0,Q1351,MAX(1,H1351)))))</f>
        <v>1</v>
      </c>
      <c r="BT1351" s="60" t="n">
        <f aca="false">IF(BR1351="LOSE",1,0)</f>
        <v>1</v>
      </c>
      <c r="BU1351" s="60" t="n">
        <f aca="false">IF(AND(U1351="",OR(P1351="",P1351="LOSE"),T1351&lt;&gt;"",N(S1351)&lt;=0,ISNUMBER(MATCH(T1351,Parameter!$I$27:$I$29,0))),1,0)</f>
        <v>0</v>
      </c>
      <c r="BV1351" s="55" t="n">
        <f aca="false">IF(AND(Parameter!$B$19="Ja",E1351&lt;&gt;"",ISNUMBER(MATCH(E1351,Parameter!$I$35:$I$52,0))),VLOOKUP(E1351,Parameter!$I$35:$J$52,2,0),IFERROR(VLOOKUP(D1351,Parameter!$A$35:$C$64,2,0),"Nein"))</f>
        <v>1</v>
      </c>
      <c r="BW1351" s="59" t="n">
        <f aca="false">IF(BT1351=0,0,IF(N(S1351)&gt;0,S1351,IFERROR(VLOOKUP(D1351,Parameter!$A$35:$C$64,3,0)+0,0)))</f>
        <v>1</v>
      </c>
      <c r="BX1351" s="55" t="n">
        <f aca="false">IF(AA1351&lt;&gt;"",AA1351,Z1351)</f>
        <v>1</v>
      </c>
      <c r="BY1351" s="55" t="str">
        <f aca="false">IF(BX1351=1,"L1",IF(OR(BX1351=2,BX1351=3),"L23",IF(BX1351="Aussen","Aussen","-")))</f>
        <v>L1</v>
      </c>
      <c r="BZ1351" s="66" t="n">
        <f aca="false">IF(N(AB1351)&gt;0,AB1351,0)</f>
        <v>0</v>
      </c>
      <c r="CA1351" s="60" t="n">
        <f aca="false">IF(ISNUMBER(AE1351),1,0)</f>
        <v>0</v>
      </c>
      <c r="CB1351" s="57" t="n">
        <f aca="false">N(AE1351)</f>
        <v>0</v>
      </c>
      <c r="CC1351" s="57" t="n">
        <f aca="false">N(M1351)+N(N1351)</f>
        <v>5</v>
      </c>
      <c r="CD1351" s="57" t="n">
        <f aca="false">ROUNDUP(H1351/BS1351,0)</f>
        <v>9</v>
      </c>
      <c r="CE1351" s="57" t="n">
        <f aca="false">ROUNDUP(CB1351/BS1351,0)</f>
        <v>0</v>
      </c>
      <c r="CF1351" s="60" t="n">
        <f aca="false">IF(BT1351=1,0,IFERROR(VLOOKUP(BR1351,'Gebinde-Kategorie'!$A$5:$M$45,5,0)+0,0))</f>
        <v>0</v>
      </c>
      <c r="CG1351" s="60" t="n">
        <f aca="false">IFERROR(IF(OR(BX1351=1,BX1351=2,BX1351=3),N(INDEX(Parameter!$I$5:$I$7,BX1351)),0),0)</f>
        <v>0</v>
      </c>
      <c r="CH1351" s="59" t="n">
        <f aca="false">IF(AND(Parameter!$B$21="Ja",ISNUMBER(W1351),N(X1351)&gt;0),IFERROR(N(INDEX(Parameter!$L$5:$L$7,W1351))*INDEX(Parameter!$E$5:$E$7,W1351)*X1351/SUMIFS($X$7:$X$1843,$W$7:$W$1843,W1351),0),0)</f>
        <v>0.800376647834275</v>
      </c>
    </row>
    <row r="1352" customFormat="false" ht="15" hidden="false" customHeight="false" outlineLevel="0" collapsed="false">
      <c r="A1352" s="55" t="s">
        <v>2386</v>
      </c>
      <c r="B1352" s="55" t="s">
        <v>676</v>
      </c>
      <c r="C1352" s="55" t="s">
        <v>164</v>
      </c>
      <c r="D1352" s="55" t="s">
        <v>184</v>
      </c>
      <c r="E1352" s="55"/>
      <c r="F1352" s="55" t="s">
        <v>218</v>
      </c>
      <c r="G1352" s="56" t="n">
        <v>14.73</v>
      </c>
      <c r="H1352" s="57" t="n">
        <f aca="false">MAX(0,IF(AND(Parameter!$B$21="Ja",ISNUMBER(Y1352)),Y1352,IF(Parameter!$B$20="Jahresanfang 2025 + Export",BL1352+BK1352,BK1352)))</f>
        <v>61</v>
      </c>
      <c r="I1352" s="57" t="n">
        <f aca="false">H1352*G1352</f>
        <v>898.53</v>
      </c>
      <c r="J1352" s="57" t="n">
        <f aca="false">BN1352*Parameter!$B$18</f>
        <v>188</v>
      </c>
      <c r="K1352" s="58" t="n">
        <v>126</v>
      </c>
      <c r="L1352" s="59" t="n">
        <v>1.49206349206349</v>
      </c>
      <c r="M1352" s="57" t="n">
        <v>35</v>
      </c>
      <c r="N1352" s="57" t="n">
        <v>190</v>
      </c>
      <c r="O1352" s="60" t="n">
        <v>63</v>
      </c>
      <c r="P1352" s="55" t="s">
        <v>226</v>
      </c>
      <c r="Q1352" s="57" t="n">
        <v>100</v>
      </c>
      <c r="R1352" s="60" t="n">
        <f aca="false">IF(BT1352=1,0,IFERROR(VLOOKUP(BR1352,'Gebinde-Kategorie'!$A$5:$M$45,13,0)+0,0))</f>
        <v>12</v>
      </c>
      <c r="S1352" s="61"/>
      <c r="T1352" s="62"/>
      <c r="U1352" s="62"/>
      <c r="V1352" s="62"/>
      <c r="W1352" s="55"/>
      <c r="X1352" s="57"/>
      <c r="Y1352" s="57"/>
      <c r="Z1352" s="55" t="n">
        <f aca="false">IF(A1352="","",IF(AND(Parameter!$B$21="Ja",ISNUMBER(W1352)),W1352,IF(BV1352="2+3",IF(ISNUMBER(SEARCH("grosser Artikel",BO1352)),2,IFERROR(VLOOKUP(BR1352,Parameter!$F$35:$G$64,2,0),2)),IF(OR(BV1352="Nein",BV1352=""),"-",BV1352))))</f>
        <v>2</v>
      </c>
      <c r="AA1352" s="62"/>
      <c r="AB1352" s="63"/>
      <c r="AC1352" s="57" t="n">
        <f aca="false">AR1352</f>
        <v>300</v>
      </c>
      <c r="AD1352" s="57" t="n">
        <f aca="false">MAX(AR1352,H1352)</f>
        <v>300</v>
      </c>
      <c r="AE1352" s="64"/>
      <c r="AF1352" s="57" t="n">
        <f aca="false">IF(LEFT(Cockpit!$C$5,1)="A",H1352,IF(CA1352=1,CB1352,IF(LEFT(Cockpit!$C$5,1)="B",AJ1352,MAX(AJ1352,H1352))))</f>
        <v>61</v>
      </c>
      <c r="AG1352" s="57" t="n">
        <f aca="false">IF(BT1352=1,0,ROUNDUP(AF1352/BS1352,0))</f>
        <v>1</v>
      </c>
      <c r="AH1352" s="59" t="n">
        <f aca="false">IF(CH1352&gt;0,CH1352*MAX(1,AF1352/X1352),IF(BT1352=1,IF(AF1352&lt;=0,0,BW1352*MAX(1,IF(H1352&gt;0,AF1352/H1352,1))),IF(R1352&gt;0,AG1352/R1352,0))/MAX(0.1,N(Parameter!$M$21)))</f>
        <v>0.0833333333333333</v>
      </c>
      <c r="AI1352" s="57" t="n">
        <f aca="false">AF1352*G1352</f>
        <v>898.53</v>
      </c>
      <c r="AJ1352" s="57" t="n">
        <f aca="false">ROUNDUP(MAX(J1352/IF(BZ1352&gt;0,BZ1352,MAX(0.1,N(Cockpit!$C$6))),CC1352)/BS1352,0)*BS1352</f>
        <v>300</v>
      </c>
      <c r="AK1352" s="58" t="n">
        <f aca="false">IF(AH1352&gt;0,J1352/AH1352,-1)</f>
        <v>2256</v>
      </c>
      <c r="AL1352" s="58" t="n">
        <f aca="false">IF(AND(OR(BY1352="L1",BY1352="L23"),AH1352&gt;0),SUMIFS($AH$7:$AH$1843,$BY$7:$BY$1843,BY1352,$AK$7:$AK$1843,"&gt;"&amp;AK1352)+SUMIFS($AH$7:$AH$1843,$BY$7:$BY$1843,BY1352,$AK$7:$AK$1843,AK1352,$BQ$7:$BQ$1843,"&lt;="&amp;BQ1352),"")</f>
        <v>12.572041485085</v>
      </c>
      <c r="AM1352" s="65" t="n">
        <f aca="false">IF(AL1352="",0,MAX(0,MIN(1,(IF(BY1352="L1",Parameter!$E$5,Parameter!$E$6+Parameter!$E$7)-(AL1352-AH1352))/AH1352)))</f>
        <v>1</v>
      </c>
      <c r="AN1352" s="57" t="n">
        <f aca="false">IF(LEFT(Cockpit!$I$5,1)="A",H1352,IF(CA1352=1,CB1352,IF(LEFT(Cockpit!$I$5,1)="B",AR1352,MAX(AR1352,H1352))))</f>
        <v>300</v>
      </c>
      <c r="AO1352" s="57" t="n">
        <f aca="false">IF(BT1352=1,0,ROUNDUP(AN1352/BS1352,0))</f>
        <v>3</v>
      </c>
      <c r="AP1352" s="59" t="n">
        <f aca="false">IF(CH1352&gt;0,CH1352*MAX(1,AN1352/X1352),IF(BT1352=1,IF(AN1352&lt;=0,0,BW1352*MAX(1,IF(H1352&gt;0,AN1352/H1352,1))),IF(R1352&gt;0,AO1352/R1352,0))/MAX(0.1,N(Parameter!$M$21)))</f>
        <v>0.25</v>
      </c>
      <c r="AQ1352" s="57" t="n">
        <f aca="false">AN1352*G1352</f>
        <v>4419</v>
      </c>
      <c r="AR1352" s="57" t="n">
        <f aca="false">ROUNDUP(MAX(J1352/IF(BZ1352&gt;0,BZ1352,MAX(0.1,N(Cockpit!$I$6))),CC1352)/BS1352,0)*BS1352</f>
        <v>300</v>
      </c>
      <c r="AS1352" s="58" t="n">
        <f aca="false">IF(AP1352&gt;0,J1352/AP1352,-1)</f>
        <v>752</v>
      </c>
      <c r="AT1352" s="58" t="n">
        <f aca="false">IF(AND(OR(BY1352="L1",BY1352="L23"),AP1352&gt;0),SUMIFS($AP$7:$AP$1843,$BY$7:$BY$1843,BY1352,$AS$7:$AS$1843,"&gt;"&amp;AS1352)+SUMIFS($AP$7:$AP$1843,$BY$7:$BY$1843,BY1352,$AS$7:$AS$1843,AS1352,$BQ$7:$BQ$1843,"&lt;="&amp;BQ1352),"")</f>
        <v>27.5479713523192</v>
      </c>
      <c r="AU1352" s="65" t="n">
        <f aca="false">IF(AT1352="",0,MAX(0,MIN(1,(IF(BY1352="L1",Parameter!$E$5,Parameter!$E$6+Parameter!$E$7)-(AT1352-AP1352))/AP1352)))</f>
        <v>1</v>
      </c>
      <c r="AV1352" s="57" t="n">
        <f aca="false">IF(LEFT(Cockpit!$O$5,1)="A",H1352,IF(CA1352=1,CB1352,IF(LEFT(Cockpit!$O$5,1)="B",AZ1352,MAX(AZ1352,H1352))))</f>
        <v>300</v>
      </c>
      <c r="AW1352" s="57" t="n">
        <f aca="false">IF(BT1352=1,0,ROUNDUP(AV1352/BS1352,0))</f>
        <v>3</v>
      </c>
      <c r="AX1352" s="59" t="n">
        <f aca="false">IF(CH1352&gt;0,CH1352*MAX(1,AV1352/X1352),IF(BT1352=1,IF(AV1352&lt;=0,0,BW1352*MAX(1,IF(H1352&gt;0,AV1352/H1352,1))),IF(R1352&gt;0,AW1352/R1352,0))/MAX(0.1,N(Parameter!$M$21)))</f>
        <v>0.25</v>
      </c>
      <c r="AY1352" s="57" t="n">
        <f aca="false">AV1352*G1352</f>
        <v>4419</v>
      </c>
      <c r="AZ1352" s="57" t="n">
        <f aca="false">ROUNDUP(MAX(J1352/IF(BZ1352&gt;0,BZ1352,MAX(0.1,N(Cockpit!$O$6))),CC1352)/BS1352,0)*BS1352</f>
        <v>300</v>
      </c>
      <c r="BA1352" s="58" t="n">
        <f aca="false">IF(AX1352&gt;0,J1352/AX1352,-1)</f>
        <v>752</v>
      </c>
      <c r="BB1352" s="58" t="n">
        <f aca="false">IF(AND(OR(BY1352="L1",BY1352="L23"),AX1352&gt;0),SUMIFS($AX$7:$AX$1843,$BY$7:$BY$1843,BY1352,$BA$7:$BA$1843,"&gt;"&amp;BA1352)+SUMIFS($AX$7:$AX$1843,$BY$7:$BY$1843,BY1352,$BA$7:$BA$1843,BA1352,$BQ$7:$BQ$1843,"&lt;="&amp;BQ1352),"")</f>
        <v>26.9996030539509</v>
      </c>
      <c r="BC1352" s="65" t="n">
        <f aca="false">IF(BB1352="",0,MAX(0,MIN(1,(IF(BY1352="L1",Parameter!$E$5,Parameter!$E$6+Parameter!$E$7)-(BB1352-AX1352))/AX1352)))</f>
        <v>1</v>
      </c>
      <c r="BD1352" s="55" t="str">
        <f aca="false">IF(AH1352&lt;=0,"",IF(BY1352="Aussen","Aussenlager",IF(BY1352="-","Nicht im Lift",IF(AM1352&gt;=1,"Lift",IF(AM1352&lt;=0,"Aussenlager","teilweise")))))</f>
        <v>Lift</v>
      </c>
      <c r="BE1352" s="55" t="str">
        <f aca="false">IF(AP1352&lt;=0,"",IF(BY1352="Aussen","Aussenlager",IF(BY1352="-","Nicht im Lift",IF(AU1352&gt;=1,"Lift",IF(AU1352&lt;=0,"Aussenlager","teilweise")))))</f>
        <v>Lift</v>
      </c>
      <c r="BF1352" s="55" t="str">
        <f aca="false">IF(AX1352&lt;=0,"",IF(BY1352="Aussen","Aussenlager",IF(BY1352="-","Nicht im Lift",IF(BC1352&gt;=1,"Lift",IF(BC1352&lt;=0,"Aussenlager","teilweise")))))</f>
        <v>Lift</v>
      </c>
      <c r="BG1352" s="55" t="str">
        <f aca="false">IF(A1352="","",IF(BP1352=1,"Neu; ","")&amp;IF(AND(BP1352=0,BK1352&lt;0),"negativer Bestand (Export "&amp;BK1352&amp;"); ","")&amp;IF(J1352&lt;=0,"Kein Verbrauch; ","")&amp;IF(CH1352&gt;0,"Lift "&amp;W1352&amp;" lt. Liftbericht (Fach "&amp;X1352&amp;" Stk); ",IF(BU1352=1,"Gebinde geschätzt ("&amp;T1352&amp;"); ",IF(BT1352=1,"Lose – Tablare geschätzt; ","")))&amp;IF(H1352&gt;AR1352,"Überbestand "&amp;ROUND(H1352-AR1352,0)&amp;" Stk / CHF "&amp;ROUND((H1352-AR1352)*G1352,0)&amp;"; ","")&amp;IF(AND(CA1352=1,CB1352&lt;CC1352),"MAX &lt; MB+LG; ","")&amp;IF(AND(CG1352&gt;0,CF1352*10&gt;CG1352),"zu hoch für Tablar; ","")&amp;IF(AND(BP1352=0,OR(CA1352=1,AA1352&lt;&gt;"",U1352&lt;&gt;"",V1352&lt;&gt;"",AB1352&lt;&gt;"")),"manuell übersteuert; ","")&amp;IF(AND(BT1352=0,R1352=0),"Gebinde unbekannt / Stellmass fehlt; ","")&amp;IF(AND(BT1352=0,N(V1352)&lt;=0,N(Q1352)&lt;=0),"Menge pro Gebinde fehlt (Ist = 1 Gebinde); ","")&amp;BO1352)</f>
        <v>negativer Bestand (Export -139); </v>
      </c>
      <c r="BH1352" s="55"/>
      <c r="BI1352" s="55"/>
      <c r="BJ1352" s="62"/>
      <c r="BK1352" s="57" t="n">
        <v>-139</v>
      </c>
      <c r="BL1352" s="57" t="n">
        <v>200</v>
      </c>
      <c r="BM1352" s="56" t="n">
        <v>-2015.47</v>
      </c>
      <c r="BN1352" s="57" t="n">
        <v>188</v>
      </c>
      <c r="BO1352" s="55"/>
      <c r="BP1352" s="60" t="n">
        <v>0</v>
      </c>
      <c r="BQ1352" s="60" t="n">
        <v>1352</v>
      </c>
      <c r="BR1352" s="55" t="str">
        <f aca="false">IF(U1352&lt;&gt;"",UPPER(TRIM(U1352)),IF(BU1352=1,UPPER(VLOOKUP(T1352,Parameter!$I$27:$K$29,2,0)),IF(P1352="","LOSE",P1352)))</f>
        <v>S63</v>
      </c>
      <c r="BS1352" s="57" t="n">
        <f aca="false">IF(BR1352="LOSE",1,IF(N(V1352)&gt;0,V1352,IF(BU1352=1,MAX(1,N(VLOOKUP(T1352,Parameter!$I$27:$K$29,3,0)),H1352,N(N1352)),IF(N(Q1352)&gt;0,Q1352,MAX(1,H1352)))))</f>
        <v>100</v>
      </c>
      <c r="BT1352" s="60" t="n">
        <f aca="false">IF(BR1352="LOSE",1,0)</f>
        <v>0</v>
      </c>
      <c r="BU1352" s="60" t="n">
        <f aca="false">IF(AND(U1352="",OR(P1352="",P1352="LOSE"),T1352&lt;&gt;"",N(S1352)&lt;=0,ISNUMBER(MATCH(T1352,Parameter!$I$27:$I$29,0))),1,0)</f>
        <v>0</v>
      </c>
      <c r="BV1352" s="55" t="str">
        <f aca="false">IF(AND(Parameter!$B$19="Ja",E1352&lt;&gt;"",ISNUMBER(MATCH(E1352,Parameter!$I$35:$I$52,0))),VLOOKUP(E1352,Parameter!$I$35:$J$52,2,0),IFERROR(VLOOKUP(D1352,Parameter!$A$35:$C$64,2,0),"Nein"))</f>
        <v>2+3</v>
      </c>
      <c r="BW1352" s="59" t="n">
        <f aca="false">IF(BT1352=0,0,IF(N(S1352)&gt;0,S1352,IFERROR(VLOOKUP(D1352,Parameter!$A$35:$C$64,3,0)+0,0)))</f>
        <v>0</v>
      </c>
      <c r="BX1352" s="55" t="n">
        <f aca="false">IF(AA1352&lt;&gt;"",AA1352,Z1352)</f>
        <v>2</v>
      </c>
      <c r="BY1352" s="55" t="str">
        <f aca="false">IF(BX1352=1,"L1",IF(OR(BX1352=2,BX1352=3),"L23",IF(BX1352="Aussen","Aussen","-")))</f>
        <v>L23</v>
      </c>
      <c r="BZ1352" s="66" t="n">
        <f aca="false">IF(N(AB1352)&gt;0,AB1352,0)</f>
        <v>0</v>
      </c>
      <c r="CA1352" s="60" t="n">
        <f aca="false">IF(ISNUMBER(AE1352),1,0)</f>
        <v>0</v>
      </c>
      <c r="CB1352" s="57" t="n">
        <f aca="false">N(AE1352)</f>
        <v>0</v>
      </c>
      <c r="CC1352" s="57" t="n">
        <f aca="false">N(M1352)+N(N1352)</f>
        <v>225</v>
      </c>
      <c r="CD1352" s="57" t="n">
        <f aca="false">ROUNDUP(H1352/BS1352,0)</f>
        <v>1</v>
      </c>
      <c r="CE1352" s="57" t="n">
        <f aca="false">ROUNDUP(CB1352/BS1352,0)</f>
        <v>0</v>
      </c>
      <c r="CF1352" s="60" t="n">
        <f aca="false">IF(BT1352=1,0,IFERROR(VLOOKUP(BR1352,'Gebinde-Kategorie'!$A$5:$M$45,5,0)+0,0))</f>
        <v>31</v>
      </c>
      <c r="CG1352" s="60" t="n">
        <f aca="false">IFERROR(IF(OR(BX1352=1,BX1352=2,BX1352=3),N(INDEX(Parameter!$I$5:$I$7,BX1352)),0),0)</f>
        <v>0</v>
      </c>
      <c r="CH1352" s="59" t="n">
        <f aca="false">IF(AND(Parameter!$B$21="Ja",ISNUMBER(W1352),N(X1352)&gt;0),IFERROR(N(INDEX(Parameter!$L$5:$L$7,W1352))*INDEX(Parameter!$E$5:$E$7,W1352)*X1352/SUMIFS($X$7:$X$1843,$W$7:$W$1843,W1352),0),0)</f>
        <v>0</v>
      </c>
    </row>
    <row r="1353" customFormat="false" ht="15" hidden="false" customHeight="false" outlineLevel="0" collapsed="false">
      <c r="A1353" s="55" t="s">
        <v>2387</v>
      </c>
      <c r="B1353" s="55" t="s">
        <v>717</v>
      </c>
      <c r="C1353" s="55" t="s">
        <v>164</v>
      </c>
      <c r="D1353" s="55" t="s">
        <v>173</v>
      </c>
      <c r="E1353" s="55" t="s">
        <v>166</v>
      </c>
      <c r="F1353" s="55" t="s">
        <v>218</v>
      </c>
      <c r="G1353" s="56" t="n">
        <v>107.1</v>
      </c>
      <c r="H1353" s="57" t="n">
        <f aca="false">MAX(0,IF(AND(Parameter!$B$21="Ja",ISNUMBER(Y1353)),Y1353,IF(Parameter!$B$20="Jahresanfang 2025 + Export",BL1353+BK1353,BK1353)))</f>
        <v>42</v>
      </c>
      <c r="I1353" s="57" t="n">
        <f aca="false">H1353*G1353</f>
        <v>4498.2</v>
      </c>
      <c r="J1353" s="57" t="n">
        <f aca="false">BN1353*Parameter!$B$18</f>
        <v>14</v>
      </c>
      <c r="K1353" s="58" t="n">
        <v>54</v>
      </c>
      <c r="L1353" s="59" t="n">
        <v>0.259259259259259</v>
      </c>
      <c r="M1353" s="57" t="n">
        <v>0</v>
      </c>
      <c r="N1353" s="57" t="n">
        <v>15</v>
      </c>
      <c r="O1353" s="60" t="n">
        <v>21</v>
      </c>
      <c r="P1353" s="55" t="s">
        <v>186</v>
      </c>
      <c r="Q1353" s="57" t="n">
        <v>56</v>
      </c>
      <c r="R1353" s="60" t="n">
        <f aca="false">IF(BT1353=1,0,IFERROR(VLOOKUP(BR1353,'Gebinde-Kategorie'!$A$5:$M$45,13,0)+0,0))</f>
        <v>12</v>
      </c>
      <c r="S1353" s="61"/>
      <c r="T1353" s="62"/>
      <c r="U1353" s="62"/>
      <c r="V1353" s="62"/>
      <c r="W1353" s="55"/>
      <c r="X1353" s="57"/>
      <c r="Y1353" s="57"/>
      <c r="Z1353" s="55" t="n">
        <f aca="false">IF(A1353="","",IF(AND(Parameter!$B$21="Ja",ISNUMBER(W1353)),W1353,IF(BV1353="2+3",IF(ISNUMBER(SEARCH("grosser Artikel",BO1353)),2,IFERROR(VLOOKUP(BR1353,Parameter!$F$35:$G$64,2,0),2)),IF(OR(BV1353="Nein",BV1353=""),"-",BV1353))))</f>
        <v>1</v>
      </c>
      <c r="AA1353" s="62"/>
      <c r="AB1353" s="63"/>
      <c r="AC1353" s="57" t="n">
        <f aca="false">AR1353</f>
        <v>56</v>
      </c>
      <c r="AD1353" s="57" t="n">
        <f aca="false">MAX(AR1353,H1353)</f>
        <v>56</v>
      </c>
      <c r="AE1353" s="64"/>
      <c r="AF1353" s="57" t="n">
        <f aca="false">IF(LEFT(Cockpit!$C$5,1)="A",H1353,IF(CA1353=1,CB1353,IF(LEFT(Cockpit!$C$5,1)="B",AJ1353,MAX(AJ1353,H1353))))</f>
        <v>42</v>
      </c>
      <c r="AG1353" s="57" t="n">
        <f aca="false">IF(BT1353=1,0,ROUNDUP(AF1353/BS1353,0))</f>
        <v>1</v>
      </c>
      <c r="AH1353" s="59" t="n">
        <f aca="false">IF(CH1353&gt;0,CH1353*MAX(1,AF1353/X1353),IF(BT1353=1,IF(AF1353&lt;=0,0,BW1353*MAX(1,IF(H1353&gt;0,AF1353/H1353,1))),IF(R1353&gt;0,AG1353/R1353,0))/MAX(0.1,N(Parameter!$M$21)))</f>
        <v>0.0833333333333333</v>
      </c>
      <c r="AI1353" s="57" t="n">
        <f aca="false">AF1353*G1353</f>
        <v>4498.2</v>
      </c>
      <c r="AJ1353" s="57" t="n">
        <f aca="false">ROUNDUP(MAX(J1353/IF(BZ1353&gt;0,BZ1353,MAX(0.1,N(Cockpit!$C$6))),CC1353)/BS1353,0)*BS1353</f>
        <v>56</v>
      </c>
      <c r="AK1353" s="58" t="n">
        <f aca="false">IF(AH1353&gt;0,J1353/AH1353,-1)</f>
        <v>168</v>
      </c>
      <c r="AL1353" s="58" t="n">
        <f aca="false">IF(AND(OR(BY1353="L1",BY1353="L23"),AH1353&gt;0),SUMIFS($AH$7:$AH$1843,$BY$7:$BY$1843,BY1353,$AK$7:$AK$1843,"&gt;"&amp;AK1353)+SUMIFS($AH$7:$AH$1843,$BY$7:$BY$1843,BY1353,$AK$7:$AK$1843,AK1353,$BQ$7:$BQ$1843,"&lt;="&amp;BQ1353),"")</f>
        <v>3.417502787068</v>
      </c>
      <c r="AM1353" s="65" t="n">
        <f aca="false">IF(AL1353="",0,MAX(0,MIN(1,(IF(BY1353="L1",Parameter!$E$5,Parameter!$E$6+Parameter!$E$7)-(AL1353-AH1353))/AH1353)))</f>
        <v>1</v>
      </c>
      <c r="AN1353" s="57" t="n">
        <f aca="false">IF(LEFT(Cockpit!$I$5,1)="A",H1353,IF(CA1353=1,CB1353,IF(LEFT(Cockpit!$I$5,1)="B",AR1353,MAX(AR1353,H1353))))</f>
        <v>56</v>
      </c>
      <c r="AO1353" s="57" t="n">
        <f aca="false">IF(BT1353=1,0,ROUNDUP(AN1353/BS1353,0))</f>
        <v>1</v>
      </c>
      <c r="AP1353" s="59" t="n">
        <f aca="false">IF(CH1353&gt;0,CH1353*MAX(1,AN1353/X1353),IF(BT1353=1,IF(AN1353&lt;=0,0,BW1353*MAX(1,IF(H1353&gt;0,AN1353/H1353,1))),IF(R1353&gt;0,AO1353/R1353,0))/MAX(0.1,N(Parameter!$M$21)))</f>
        <v>0.0833333333333333</v>
      </c>
      <c r="AQ1353" s="57" t="n">
        <f aca="false">AN1353*G1353</f>
        <v>5997.6</v>
      </c>
      <c r="AR1353" s="57" t="n">
        <f aca="false">ROUNDUP(MAX(J1353/IF(BZ1353&gt;0,BZ1353,MAX(0.1,N(Cockpit!$I$6))),CC1353)/BS1353,0)*BS1353</f>
        <v>56</v>
      </c>
      <c r="AS1353" s="58" t="n">
        <f aca="false">IF(AP1353&gt;0,J1353/AP1353,-1)</f>
        <v>168</v>
      </c>
      <c r="AT1353" s="58" t="n">
        <f aca="false">IF(AND(OR(BY1353="L1",BY1353="L23"),AP1353&gt;0),SUMIFS($AP$7:$AP$1843,$BY$7:$BY$1843,BY1353,$AS$7:$AS$1843,"&gt;"&amp;AS1353)+SUMIFS($AP$7:$AP$1843,$BY$7:$BY$1843,BY1353,$AS$7:$AS$1843,AS1353,$BQ$7:$BQ$1843,"&lt;="&amp;BQ1353),"")</f>
        <v>4.07775919732442</v>
      </c>
      <c r="AU1353" s="65" t="n">
        <f aca="false">IF(AT1353="",0,MAX(0,MIN(1,(IF(BY1353="L1",Parameter!$E$5,Parameter!$E$6+Parameter!$E$7)-(AT1353-AP1353))/AP1353)))</f>
        <v>1</v>
      </c>
      <c r="AV1353" s="57" t="n">
        <f aca="false">IF(LEFT(Cockpit!$O$5,1)="A",H1353,IF(CA1353=1,CB1353,IF(LEFT(Cockpit!$O$5,1)="B",AZ1353,MAX(AZ1353,H1353))))</f>
        <v>56</v>
      </c>
      <c r="AW1353" s="57" t="n">
        <f aca="false">IF(BT1353=1,0,ROUNDUP(AV1353/BS1353,0))</f>
        <v>1</v>
      </c>
      <c r="AX1353" s="59" t="n">
        <f aca="false">IF(CH1353&gt;0,CH1353*MAX(1,AV1353/X1353),IF(BT1353=1,IF(AV1353&lt;=0,0,BW1353*MAX(1,IF(H1353&gt;0,AV1353/H1353,1))),IF(R1353&gt;0,AW1353/R1353,0))/MAX(0.1,N(Parameter!$M$21)))</f>
        <v>0.0833333333333333</v>
      </c>
      <c r="AY1353" s="57" t="n">
        <f aca="false">AV1353*G1353</f>
        <v>5997.6</v>
      </c>
      <c r="AZ1353" s="57" t="n">
        <f aca="false">ROUNDUP(MAX(J1353/IF(BZ1353&gt;0,BZ1353,MAX(0.1,N(Cockpit!$O$6))),CC1353)/BS1353,0)*BS1353</f>
        <v>56</v>
      </c>
      <c r="BA1353" s="58" t="n">
        <f aca="false">IF(AX1353&gt;0,J1353/AX1353,-1)</f>
        <v>168</v>
      </c>
      <c r="BB1353" s="58" t="n">
        <f aca="false">IF(AND(OR(BY1353="L1",BY1353="L23"),AX1353&gt;0),SUMIFS($AX$7:$AX$1843,$BY$7:$BY$1843,BY1353,$BA$7:$BA$1843,"&gt;"&amp;BA1353)+SUMIFS($AX$7:$AX$1843,$BY$7:$BY$1843,BY1353,$BA$7:$BA$1843,BA1353,$BQ$7:$BQ$1843,"&lt;="&amp;BQ1353),"")</f>
        <v>3.78929765886288</v>
      </c>
      <c r="BC1353" s="65" t="n">
        <f aca="false">IF(BB1353="",0,MAX(0,MIN(1,(IF(BY1353="L1",Parameter!$E$5,Parameter!$E$6+Parameter!$E$7)-(BB1353-AX1353))/AX1353)))</f>
        <v>1</v>
      </c>
      <c r="BD1353" s="55" t="str">
        <f aca="false">IF(AH1353&lt;=0,"",IF(BY1353="Aussen","Aussenlager",IF(BY1353="-","Nicht im Lift",IF(AM1353&gt;=1,"Lift",IF(AM1353&lt;=0,"Aussenlager","teilweise")))))</f>
        <v>Lift</v>
      </c>
      <c r="BE1353" s="55" t="str">
        <f aca="false">IF(AP1353&lt;=0,"",IF(BY1353="Aussen","Aussenlager",IF(BY1353="-","Nicht im Lift",IF(AU1353&gt;=1,"Lift",IF(AU1353&lt;=0,"Aussenlager","teilweise")))))</f>
        <v>Lift</v>
      </c>
      <c r="BF1353" s="55" t="str">
        <f aca="false">IF(AX1353&lt;=0,"",IF(BY1353="Aussen","Aussenlager",IF(BY1353="-","Nicht im Lift",IF(BC1353&gt;=1,"Lift",IF(BC1353&lt;=0,"Aussenlager","teilweise")))))</f>
        <v>Lift</v>
      </c>
      <c r="BG1353" s="55" t="str">
        <f aca="false">IF(A1353="","",IF(BP1353=1,"Neu; ","")&amp;IF(AND(BP1353=0,BK1353&lt;0),"negativer Bestand (Export "&amp;BK1353&amp;"); ","")&amp;IF(J1353&lt;=0,"Kein Verbrauch; ","")&amp;IF(CH1353&gt;0,"Lift "&amp;W1353&amp;" lt. Liftbericht (Fach "&amp;X1353&amp;" Stk); ",IF(BU1353=1,"Gebinde geschätzt ("&amp;T1353&amp;"); ",IF(BT1353=1,"Lose – Tablare geschätzt; ","")))&amp;IF(H1353&gt;AR1353,"Überbestand "&amp;ROUND(H1353-AR1353,0)&amp;" Stk / CHF "&amp;ROUND((H1353-AR1353)*G1353,0)&amp;"; ","")&amp;IF(AND(CA1353=1,CB1353&lt;CC1353),"MAX &lt; MB+LG; ","")&amp;IF(AND(CG1353&gt;0,CF1353*10&gt;CG1353),"zu hoch für Tablar; ","")&amp;IF(AND(BP1353=0,OR(CA1353=1,AA1353&lt;&gt;"",U1353&lt;&gt;"",V1353&lt;&gt;"",AB1353&lt;&gt;"")),"manuell übersteuert; ","")&amp;IF(AND(BT1353=0,R1353=0),"Gebinde unbekannt / Stellmass fehlt; ","")&amp;IF(AND(BT1353=0,N(V1353)&lt;=0,N(Q1353)&lt;=0),"Menge pro Gebinde fehlt (Ist = 1 Gebinde); ","")&amp;BO1353)</f>
        <v>negativer Bestand (Export -19); Neu</v>
      </c>
      <c r="BH1353" s="55"/>
      <c r="BI1353" s="55"/>
      <c r="BJ1353" s="62"/>
      <c r="BK1353" s="57" t="n">
        <v>-19</v>
      </c>
      <c r="BL1353" s="57" t="n">
        <v>61</v>
      </c>
      <c r="BM1353" s="56" t="n">
        <v>-2034.9</v>
      </c>
      <c r="BN1353" s="57" t="n">
        <v>14</v>
      </c>
      <c r="BO1353" s="55" t="s">
        <v>626</v>
      </c>
      <c r="BP1353" s="60" t="n">
        <v>0</v>
      </c>
      <c r="BQ1353" s="60" t="n">
        <v>1353</v>
      </c>
      <c r="BR1353" s="55" t="str">
        <f aca="false">IF(U1353&lt;&gt;"",UPPER(TRIM(U1353)),IF(BU1353=1,UPPER(VLOOKUP(T1353,Parameter!$I$27:$K$29,2,0)),IF(P1353="","LOSE",P1353)))</f>
        <v>S61</v>
      </c>
      <c r="BS1353" s="57" t="n">
        <f aca="false">IF(BR1353="LOSE",1,IF(N(V1353)&gt;0,V1353,IF(BU1353=1,MAX(1,N(VLOOKUP(T1353,Parameter!$I$27:$K$29,3,0)),H1353,N(N1353)),IF(N(Q1353)&gt;0,Q1353,MAX(1,H1353)))))</f>
        <v>56</v>
      </c>
      <c r="BT1353" s="60" t="n">
        <f aca="false">IF(BR1353="LOSE",1,0)</f>
        <v>0</v>
      </c>
      <c r="BU1353" s="60" t="n">
        <f aca="false">IF(AND(U1353="",OR(P1353="",P1353="LOSE"),T1353&lt;&gt;"",N(S1353)&lt;=0,ISNUMBER(MATCH(T1353,Parameter!$I$27:$I$29,0))),1,0)</f>
        <v>0</v>
      </c>
      <c r="BV1353" s="55" t="n">
        <f aca="false">IF(AND(Parameter!$B$19="Ja",E1353&lt;&gt;"",ISNUMBER(MATCH(E1353,Parameter!$I$35:$I$52,0))),VLOOKUP(E1353,Parameter!$I$35:$J$52,2,0),IFERROR(VLOOKUP(D1353,Parameter!$A$35:$C$64,2,0),"Nein"))</f>
        <v>1</v>
      </c>
      <c r="BW1353" s="59" t="n">
        <f aca="false">IF(BT1353=0,0,IF(N(S1353)&gt;0,S1353,IFERROR(VLOOKUP(D1353,Parameter!$A$35:$C$64,3,0)+0,0)))</f>
        <v>0</v>
      </c>
      <c r="BX1353" s="55" t="n">
        <f aca="false">IF(AA1353&lt;&gt;"",AA1353,Z1353)</f>
        <v>1</v>
      </c>
      <c r="BY1353" s="55" t="str">
        <f aca="false">IF(BX1353=1,"L1",IF(OR(BX1353=2,BX1353=3),"L23",IF(BX1353="Aussen","Aussen","-")))</f>
        <v>L1</v>
      </c>
      <c r="BZ1353" s="66" t="n">
        <f aca="false">IF(N(AB1353)&gt;0,AB1353,0)</f>
        <v>0</v>
      </c>
      <c r="CA1353" s="60" t="n">
        <f aca="false">IF(ISNUMBER(AE1353),1,0)</f>
        <v>0</v>
      </c>
      <c r="CB1353" s="57" t="n">
        <f aca="false">N(AE1353)</f>
        <v>0</v>
      </c>
      <c r="CC1353" s="57" t="n">
        <f aca="false">N(M1353)+N(N1353)</f>
        <v>15</v>
      </c>
      <c r="CD1353" s="57" t="n">
        <f aca="false">ROUNDUP(H1353/BS1353,0)</f>
        <v>1</v>
      </c>
      <c r="CE1353" s="57" t="n">
        <f aca="false">ROUNDUP(CB1353/BS1353,0)</f>
        <v>0</v>
      </c>
      <c r="CF1353" s="60" t="n">
        <f aca="false">IF(BT1353=1,0,IFERROR(VLOOKUP(BR1353,'Gebinde-Kategorie'!$A$5:$M$45,5,0)+0,0))</f>
        <v>11</v>
      </c>
      <c r="CG1353" s="60" t="n">
        <f aca="false">IFERROR(IF(OR(BX1353=1,BX1353=2,BX1353=3),N(INDEX(Parameter!$I$5:$I$7,BX1353)),0),0)</f>
        <v>0</v>
      </c>
      <c r="CH1353" s="59" t="n">
        <f aca="false">IF(AND(Parameter!$B$21="Ja",ISNUMBER(W1353),N(X1353)&gt;0),IFERROR(N(INDEX(Parameter!$L$5:$L$7,W1353))*INDEX(Parameter!$E$5:$E$7,W1353)*X1353/SUMIFS($X$7:$X$1843,$W$7:$W$1843,W1353),0),0)</f>
        <v>0</v>
      </c>
    </row>
    <row r="1354" customFormat="false" ht="15" hidden="false" customHeight="false" outlineLevel="0" collapsed="false">
      <c r="A1354" s="55" t="s">
        <v>2388</v>
      </c>
      <c r="B1354" s="55" t="s">
        <v>2389</v>
      </c>
      <c r="C1354" s="55" t="s">
        <v>164</v>
      </c>
      <c r="D1354" s="55" t="s">
        <v>173</v>
      </c>
      <c r="E1354" s="55" t="s">
        <v>185</v>
      </c>
      <c r="F1354" s="55" t="s">
        <v>218</v>
      </c>
      <c r="G1354" s="56" t="n">
        <v>104.19</v>
      </c>
      <c r="H1354" s="57" t="n">
        <f aca="false">MAX(0,IF(AND(Parameter!$B$21="Ja",ISNUMBER(Y1354)),Y1354,IF(Parameter!$B$20="Jahresanfang 2025 + Export",BL1354+BK1354,BK1354)))</f>
        <v>147</v>
      </c>
      <c r="I1354" s="57" t="n">
        <f aca="false">H1354*G1354</f>
        <v>15315.93</v>
      </c>
      <c r="J1354" s="57" t="n">
        <f aca="false">BN1354*Parameter!$B$18</f>
        <v>458</v>
      </c>
      <c r="K1354" s="58" t="n">
        <v>140.5</v>
      </c>
      <c r="L1354" s="59" t="n">
        <v>3.25978647686833</v>
      </c>
      <c r="M1354" s="57" t="n">
        <v>26</v>
      </c>
      <c r="N1354" s="57" t="n">
        <v>110</v>
      </c>
      <c r="O1354" s="60" t="n">
        <v>21</v>
      </c>
      <c r="P1354" s="55" t="s">
        <v>174</v>
      </c>
      <c r="Q1354" s="57" t="n">
        <v>56</v>
      </c>
      <c r="R1354" s="60" t="n">
        <f aca="false">IF(BT1354=1,0,IFERROR(VLOOKUP(BR1354,'Gebinde-Kategorie'!$A$5:$M$45,13,0)+0,0))</f>
        <v>6</v>
      </c>
      <c r="S1354" s="61"/>
      <c r="T1354" s="62"/>
      <c r="U1354" s="62"/>
      <c r="V1354" s="62"/>
      <c r="W1354" s="55"/>
      <c r="X1354" s="57"/>
      <c r="Y1354" s="57"/>
      <c r="Z1354" s="55" t="n">
        <f aca="false">IF(A1354="","",IF(AND(Parameter!$B$21="Ja",ISNUMBER(W1354)),W1354,IF(BV1354="2+3",IF(ISNUMBER(SEARCH("grosser Artikel",BO1354)),2,IFERROR(VLOOKUP(BR1354,Parameter!$F$35:$G$64,2,0),2)),IF(OR(BV1354="Nein",BV1354=""),"-",BV1354))))</f>
        <v>2</v>
      </c>
      <c r="AA1354" s="62"/>
      <c r="AB1354" s="63"/>
      <c r="AC1354" s="57" t="n">
        <f aca="false">AR1354</f>
        <v>280</v>
      </c>
      <c r="AD1354" s="57" t="n">
        <f aca="false">MAX(AR1354,H1354)</f>
        <v>280</v>
      </c>
      <c r="AE1354" s="64"/>
      <c r="AF1354" s="57" t="n">
        <f aca="false">IF(LEFT(Cockpit!$C$5,1)="A",H1354,IF(CA1354=1,CB1354,IF(LEFT(Cockpit!$C$5,1)="B",AJ1354,MAX(AJ1354,H1354))))</f>
        <v>147</v>
      </c>
      <c r="AG1354" s="57" t="n">
        <f aca="false">IF(BT1354=1,0,ROUNDUP(AF1354/BS1354,0))</f>
        <v>3</v>
      </c>
      <c r="AH1354" s="59" t="n">
        <f aca="false">IF(CH1354&gt;0,CH1354*MAX(1,AF1354/X1354),IF(BT1354=1,IF(AF1354&lt;=0,0,BW1354*MAX(1,IF(H1354&gt;0,AF1354/H1354,1))),IF(R1354&gt;0,AG1354/R1354,0))/MAX(0.1,N(Parameter!$M$21)))</f>
        <v>0.5</v>
      </c>
      <c r="AI1354" s="57" t="n">
        <f aca="false">AF1354*G1354</f>
        <v>15315.93</v>
      </c>
      <c r="AJ1354" s="57" t="n">
        <f aca="false">ROUNDUP(MAX(J1354/IF(BZ1354&gt;0,BZ1354,MAX(0.1,N(Cockpit!$C$6))),CC1354)/BS1354,0)*BS1354</f>
        <v>280</v>
      </c>
      <c r="AK1354" s="58" t="n">
        <f aca="false">IF(AH1354&gt;0,J1354/AH1354,-1)</f>
        <v>916</v>
      </c>
      <c r="AL1354" s="58" t="n">
        <f aca="false">IF(AND(OR(BY1354="L1",BY1354="L23"),AH1354&gt;0),SUMIFS($AH$7:$AH$1843,$BY$7:$BY$1843,BY1354,$AK$7:$AK$1843,"&gt;"&amp;AK1354)+SUMIFS($AH$7:$AH$1843,$BY$7:$BY$1843,BY1354,$AK$7:$AK$1843,AK1354,$BQ$7:$BQ$1843,"&lt;="&amp;BQ1354),"")</f>
        <v>18.8725887638931</v>
      </c>
      <c r="AM1354" s="65" t="n">
        <f aca="false">IF(AL1354="",0,MAX(0,MIN(1,(IF(BY1354="L1",Parameter!$E$5,Parameter!$E$6+Parameter!$E$7)-(AL1354-AH1354))/AH1354)))</f>
        <v>1</v>
      </c>
      <c r="AN1354" s="57" t="n">
        <f aca="false">IF(LEFT(Cockpit!$I$5,1)="A",H1354,IF(CA1354=1,CB1354,IF(LEFT(Cockpit!$I$5,1)="B",AR1354,MAX(AR1354,H1354))))</f>
        <v>280</v>
      </c>
      <c r="AO1354" s="57" t="n">
        <f aca="false">IF(BT1354=1,0,ROUNDUP(AN1354/BS1354,0))</f>
        <v>5</v>
      </c>
      <c r="AP1354" s="59" t="n">
        <f aca="false">IF(CH1354&gt;0,CH1354*MAX(1,AN1354/X1354),IF(BT1354=1,IF(AN1354&lt;=0,0,BW1354*MAX(1,IF(H1354&gt;0,AN1354/H1354,1))),IF(R1354&gt;0,AO1354/R1354,0))/MAX(0.1,N(Parameter!$M$21)))</f>
        <v>0.833333333333333</v>
      </c>
      <c r="AQ1354" s="57" t="n">
        <f aca="false">AN1354*G1354</f>
        <v>29173.2</v>
      </c>
      <c r="AR1354" s="57" t="n">
        <f aca="false">ROUNDUP(MAX(J1354/IF(BZ1354&gt;0,BZ1354,MAX(0.1,N(Cockpit!$I$6))),CC1354)/BS1354,0)*BS1354</f>
        <v>280</v>
      </c>
      <c r="AS1354" s="58" t="n">
        <f aca="false">IF(AP1354&gt;0,J1354/AP1354,-1)</f>
        <v>549.6</v>
      </c>
      <c r="AT1354" s="58" t="n">
        <f aca="false">IF(AND(OR(BY1354="L1",BY1354="L23"),AP1354&gt;0),SUMIFS($AP$7:$AP$1843,$BY$7:$BY$1843,BY1354,$AS$7:$AS$1843,"&gt;"&amp;AS1354)+SUMIFS($AP$7:$AP$1843,$BY$7:$BY$1843,BY1354,$AS$7:$AS$1843,AS1354,$BQ$7:$BQ$1843,"&lt;="&amp;BQ1354),"")</f>
        <v>32.3269146312625</v>
      </c>
      <c r="AU1354" s="65" t="n">
        <f aca="false">IF(AT1354="",0,MAX(0,MIN(1,(IF(BY1354="L1",Parameter!$E$5,Parameter!$E$6+Parameter!$E$7)-(AT1354-AP1354))/AP1354)))</f>
        <v>1</v>
      </c>
      <c r="AV1354" s="57" t="n">
        <f aca="false">IF(LEFT(Cockpit!$O$5,1)="A",H1354,IF(CA1354=1,CB1354,IF(LEFT(Cockpit!$O$5,1)="B",AZ1354,MAX(AZ1354,H1354))))</f>
        <v>168</v>
      </c>
      <c r="AW1354" s="57" t="n">
        <f aca="false">IF(BT1354=1,0,ROUNDUP(AV1354/BS1354,0))</f>
        <v>3</v>
      </c>
      <c r="AX1354" s="59" t="n">
        <f aca="false">IF(CH1354&gt;0,CH1354*MAX(1,AV1354/X1354),IF(BT1354=1,IF(AV1354&lt;=0,0,BW1354*MAX(1,IF(H1354&gt;0,AV1354/H1354,1))),IF(R1354&gt;0,AW1354/R1354,0))/MAX(0.1,N(Parameter!$M$21)))</f>
        <v>0.5</v>
      </c>
      <c r="AY1354" s="57" t="n">
        <f aca="false">AV1354*G1354</f>
        <v>17503.92</v>
      </c>
      <c r="AZ1354" s="57" t="n">
        <f aca="false">ROUNDUP(MAX(J1354/IF(BZ1354&gt;0,BZ1354,MAX(0.1,N(Cockpit!$O$6))),CC1354)/BS1354,0)*BS1354</f>
        <v>168</v>
      </c>
      <c r="BA1354" s="58" t="n">
        <f aca="false">IF(AX1354&gt;0,J1354/AX1354,-1)</f>
        <v>916</v>
      </c>
      <c r="BB1354" s="58" t="n">
        <f aca="false">IF(AND(OR(BY1354="L1",BY1354="L23"),AX1354&gt;0),SUMIFS($AX$7:$AX$1843,$BY$7:$BY$1843,BY1354,$BA$7:$BA$1843,"&gt;"&amp;BA1354)+SUMIFS($AX$7:$AX$1843,$BY$7:$BY$1843,BY1354,$BA$7:$BA$1843,BA1354,$BQ$7:$BQ$1843,"&lt;="&amp;BQ1354),"")</f>
        <v>24.0533090098308</v>
      </c>
      <c r="BC1354" s="65" t="n">
        <f aca="false">IF(BB1354="",0,MAX(0,MIN(1,(IF(BY1354="L1",Parameter!$E$5,Parameter!$E$6+Parameter!$E$7)-(BB1354-AX1354))/AX1354)))</f>
        <v>1</v>
      </c>
      <c r="BD1354" s="55" t="str">
        <f aca="false">IF(AH1354&lt;=0,"",IF(BY1354="Aussen","Aussenlager",IF(BY1354="-","Nicht im Lift",IF(AM1354&gt;=1,"Lift",IF(AM1354&lt;=0,"Aussenlager","teilweise")))))</f>
        <v>Lift</v>
      </c>
      <c r="BE1354" s="55" t="str">
        <f aca="false">IF(AP1354&lt;=0,"",IF(BY1354="Aussen","Aussenlager",IF(BY1354="-","Nicht im Lift",IF(AU1354&gt;=1,"Lift",IF(AU1354&lt;=0,"Aussenlager","teilweise")))))</f>
        <v>Lift</v>
      </c>
      <c r="BF1354" s="55" t="str">
        <f aca="false">IF(AX1354&lt;=0,"",IF(BY1354="Aussen","Aussenlager",IF(BY1354="-","Nicht im Lift",IF(BC1354&gt;=1,"Lift",IF(BC1354&lt;=0,"Aussenlager","teilweise")))))</f>
        <v>Lift</v>
      </c>
      <c r="BG1354" s="55" t="str">
        <f aca="false">IF(A1354="","",IF(BP1354=1,"Neu; ","")&amp;IF(AND(BP1354=0,BK1354&lt;0),"negativer Bestand (Export "&amp;BK1354&amp;"); ","")&amp;IF(J1354&lt;=0,"Kein Verbrauch; ","")&amp;IF(CH1354&gt;0,"Lift "&amp;W1354&amp;" lt. Liftbericht (Fach "&amp;X1354&amp;" Stk); ",IF(BU1354=1,"Gebinde geschätzt ("&amp;T1354&amp;"); ",IF(BT1354=1,"Lose – Tablare geschätzt; ","")))&amp;IF(H1354&gt;AR1354,"Überbestand "&amp;ROUND(H1354-AR1354,0)&amp;" Stk / CHF "&amp;ROUND((H1354-AR1354)*G1354,0)&amp;"; ","")&amp;IF(AND(CA1354=1,CB1354&lt;CC1354),"MAX &lt; MB+LG; ","")&amp;IF(AND(CG1354&gt;0,CF1354*10&gt;CG1354),"zu hoch für Tablar; ","")&amp;IF(AND(BP1354=0,OR(CA1354=1,AA1354&lt;&gt;"",U1354&lt;&gt;"",V1354&lt;&gt;"",AB1354&lt;&gt;"")),"manuell übersteuert; ","")&amp;IF(AND(BT1354=0,R1354=0),"Gebinde unbekannt / Stellmass fehlt; ","")&amp;IF(AND(BT1354=0,N(V1354)&lt;=0,N(Q1354)&lt;=0),"Menge pro Gebinde fehlt (Ist = 1 Gebinde); ","")&amp;BO1354)</f>
        <v>negativer Bestand (Export -4); grosser Artikel &amp; nicht im KTL</v>
      </c>
      <c r="BH1354" s="55"/>
      <c r="BI1354" s="55"/>
      <c r="BJ1354" s="62"/>
      <c r="BK1354" s="57" t="n">
        <v>-4</v>
      </c>
      <c r="BL1354" s="57" t="n">
        <v>151</v>
      </c>
      <c r="BM1354" s="56" t="n">
        <v>-2108.76</v>
      </c>
      <c r="BN1354" s="57" t="n">
        <v>458</v>
      </c>
      <c r="BO1354" s="55" t="s">
        <v>261</v>
      </c>
      <c r="BP1354" s="60" t="n">
        <v>0</v>
      </c>
      <c r="BQ1354" s="60" t="n">
        <v>1354</v>
      </c>
      <c r="BR1354" s="55" t="str">
        <f aca="false">IF(U1354&lt;&gt;"",UPPER(TRIM(U1354)),IF(BU1354=1,UPPER(VLOOKUP(T1354,Parameter!$I$27:$K$29,2,0)),IF(P1354="","LOSE",P1354)))</f>
        <v>S71</v>
      </c>
      <c r="BS1354" s="57" t="n">
        <f aca="false">IF(BR1354="LOSE",1,IF(N(V1354)&gt;0,V1354,IF(BU1354=1,MAX(1,N(VLOOKUP(T1354,Parameter!$I$27:$K$29,3,0)),H1354,N(N1354)),IF(N(Q1354)&gt;0,Q1354,MAX(1,H1354)))))</f>
        <v>56</v>
      </c>
      <c r="BT1354" s="60" t="n">
        <f aca="false">IF(BR1354="LOSE",1,0)</f>
        <v>0</v>
      </c>
      <c r="BU1354" s="60" t="n">
        <f aca="false">IF(AND(U1354="",OR(P1354="",P1354="LOSE"),T1354&lt;&gt;"",N(S1354)&lt;=0,ISNUMBER(MATCH(T1354,Parameter!$I$27:$I$29,0))),1,0)</f>
        <v>0</v>
      </c>
      <c r="BV1354" s="55" t="str">
        <f aca="false">IF(AND(Parameter!$B$19="Ja",E1354&lt;&gt;"",ISNUMBER(MATCH(E1354,Parameter!$I$35:$I$52,0))),VLOOKUP(E1354,Parameter!$I$35:$J$52,2,0),IFERROR(VLOOKUP(D1354,Parameter!$A$35:$C$64,2,0),"Nein"))</f>
        <v>2+3</v>
      </c>
      <c r="BW1354" s="59" t="n">
        <f aca="false">IF(BT1354=0,0,IF(N(S1354)&gt;0,S1354,IFERROR(VLOOKUP(D1354,Parameter!$A$35:$C$64,3,0)+0,0)))</f>
        <v>0</v>
      </c>
      <c r="BX1354" s="55" t="n">
        <f aca="false">IF(AA1354&lt;&gt;"",AA1354,Z1354)</f>
        <v>2</v>
      </c>
      <c r="BY1354" s="55" t="str">
        <f aca="false">IF(BX1354=1,"L1",IF(OR(BX1354=2,BX1354=3),"L23",IF(BX1354="Aussen","Aussen","-")))</f>
        <v>L23</v>
      </c>
      <c r="BZ1354" s="66" t="n">
        <f aca="false">IF(N(AB1354)&gt;0,AB1354,0)</f>
        <v>0</v>
      </c>
      <c r="CA1354" s="60" t="n">
        <f aca="false">IF(ISNUMBER(AE1354),1,0)</f>
        <v>0</v>
      </c>
      <c r="CB1354" s="57" t="n">
        <f aca="false">N(AE1354)</f>
        <v>0</v>
      </c>
      <c r="CC1354" s="57" t="n">
        <f aca="false">N(M1354)+N(N1354)</f>
        <v>136</v>
      </c>
      <c r="CD1354" s="57" t="n">
        <f aca="false">ROUNDUP(H1354/BS1354,0)</f>
        <v>3</v>
      </c>
      <c r="CE1354" s="57" t="n">
        <f aca="false">ROUNDUP(CB1354/BS1354,0)</f>
        <v>0</v>
      </c>
      <c r="CF1354" s="60" t="n">
        <f aca="false">IF(BT1354=1,0,IFERROR(VLOOKUP(BR1354,'Gebinde-Kategorie'!$A$5:$M$45,5,0)+0,0))</f>
        <v>20</v>
      </c>
      <c r="CG1354" s="60" t="n">
        <f aca="false">IFERROR(IF(OR(BX1354=1,BX1354=2,BX1354=3),N(INDEX(Parameter!$I$5:$I$7,BX1354)),0),0)</f>
        <v>0</v>
      </c>
      <c r="CH1354" s="59" t="n">
        <f aca="false">IF(AND(Parameter!$B$21="Ja",ISNUMBER(W1354),N(X1354)&gt;0),IFERROR(N(INDEX(Parameter!$L$5:$L$7,W1354))*INDEX(Parameter!$E$5:$E$7,W1354)*X1354/SUMIFS($X$7:$X$1843,$W$7:$W$1843,W1354),0),0)</f>
        <v>0</v>
      </c>
    </row>
    <row r="1355" customFormat="false" ht="15" hidden="false" customHeight="false" outlineLevel="0" collapsed="false">
      <c r="A1355" s="55" t="s">
        <v>2390</v>
      </c>
      <c r="B1355" s="55" t="s">
        <v>576</v>
      </c>
      <c r="C1355" s="55" t="s">
        <v>164</v>
      </c>
      <c r="D1355" s="55" t="s">
        <v>184</v>
      </c>
      <c r="E1355" s="55" t="s">
        <v>185</v>
      </c>
      <c r="F1355" s="55" t="s">
        <v>218</v>
      </c>
      <c r="G1355" s="56" t="n">
        <v>440.01</v>
      </c>
      <c r="H1355" s="57" t="n">
        <f aca="false">MAX(0,IF(AND(Parameter!$B$21="Ja",ISNUMBER(Y1355)),Y1355,IF(Parameter!$B$20="Jahresanfang 2025 + Export",BL1355+BK1355,BK1355)))</f>
        <v>10</v>
      </c>
      <c r="I1355" s="57" t="n">
        <f aca="false">H1355*G1355</f>
        <v>4400.1</v>
      </c>
      <c r="J1355" s="57" t="n">
        <f aca="false">BN1355*Parameter!$B$18</f>
        <v>9</v>
      </c>
      <c r="K1355" s="58" t="n">
        <v>12.5</v>
      </c>
      <c r="L1355" s="59" t="n">
        <v>0.72</v>
      </c>
      <c r="M1355" s="57" t="n">
        <v>1</v>
      </c>
      <c r="N1355" s="57" t="n">
        <v>5</v>
      </c>
      <c r="O1355" s="60" t="n">
        <v>28</v>
      </c>
      <c r="P1355" s="55" t="s">
        <v>293</v>
      </c>
      <c r="Q1355" s="57" t="n">
        <v>4</v>
      </c>
      <c r="R1355" s="60" t="n">
        <f aca="false">IF(BT1355=1,0,IFERROR(VLOOKUP(BR1355,'Gebinde-Kategorie'!$A$5:$M$45,13,0)+0,0))</f>
        <v>12</v>
      </c>
      <c r="S1355" s="61"/>
      <c r="T1355" s="62"/>
      <c r="U1355" s="62"/>
      <c r="V1355" s="62"/>
      <c r="W1355" s="55"/>
      <c r="X1355" s="57"/>
      <c r="Y1355" s="57"/>
      <c r="Z1355" s="55" t="n">
        <f aca="false">IF(A1355="","",IF(AND(Parameter!$B$21="Ja",ISNUMBER(W1355)),W1355,IF(BV1355="2+3",IF(ISNUMBER(SEARCH("grosser Artikel",BO1355)),2,IFERROR(VLOOKUP(BR1355,Parameter!$F$35:$G$64,2,0),2)),IF(OR(BV1355="Nein",BV1355=""),"-",BV1355))))</f>
        <v>2</v>
      </c>
      <c r="AA1355" s="62"/>
      <c r="AB1355" s="63"/>
      <c r="AC1355" s="57" t="n">
        <f aca="false">AR1355</f>
        <v>8</v>
      </c>
      <c r="AD1355" s="57" t="n">
        <f aca="false">MAX(AR1355,H1355)</f>
        <v>10</v>
      </c>
      <c r="AE1355" s="64"/>
      <c r="AF1355" s="57" t="n">
        <f aca="false">IF(LEFT(Cockpit!$C$5,1)="A",H1355,IF(CA1355=1,CB1355,IF(LEFT(Cockpit!$C$5,1)="B",AJ1355,MAX(AJ1355,H1355))))</f>
        <v>10</v>
      </c>
      <c r="AG1355" s="57" t="n">
        <f aca="false">IF(BT1355=1,0,ROUNDUP(AF1355/BS1355,0))</f>
        <v>3</v>
      </c>
      <c r="AH1355" s="59" t="n">
        <f aca="false">IF(CH1355&gt;0,CH1355*MAX(1,AF1355/X1355),IF(BT1355=1,IF(AF1355&lt;=0,0,BW1355*MAX(1,IF(H1355&gt;0,AF1355/H1355,1))),IF(R1355&gt;0,AG1355/R1355,0))/MAX(0.1,N(Parameter!$M$21)))</f>
        <v>0.25</v>
      </c>
      <c r="AI1355" s="57" t="n">
        <f aca="false">AF1355*G1355</f>
        <v>4400.1</v>
      </c>
      <c r="AJ1355" s="57" t="n">
        <f aca="false">ROUNDUP(MAX(J1355/IF(BZ1355&gt;0,BZ1355,MAX(0.1,N(Cockpit!$C$6))),CC1355)/BS1355,0)*BS1355</f>
        <v>8</v>
      </c>
      <c r="AK1355" s="58" t="n">
        <f aca="false">IF(AH1355&gt;0,J1355/AH1355,-1)</f>
        <v>36</v>
      </c>
      <c r="AL1355" s="58" t="n">
        <f aca="false">IF(AND(OR(BY1355="L1",BY1355="L23"),AH1355&gt;0),SUMIFS($AH$7:$AH$1843,$BY$7:$BY$1843,BY1355,$AK$7:$AK$1843,"&gt;"&amp;AK1355)+SUMIFS($AH$7:$AH$1843,$BY$7:$BY$1843,BY1355,$AK$7:$AK$1843,AK1355,$BQ$7:$BQ$1843,"&lt;="&amp;BQ1355),"")</f>
        <v>47.11382216817</v>
      </c>
      <c r="AM1355" s="65" t="n">
        <f aca="false">IF(AL1355="",0,MAX(0,MIN(1,(IF(BY1355="L1",Parameter!$E$5,Parameter!$E$6+Parameter!$E$7)-(AL1355-AH1355))/AH1355)))</f>
        <v>1</v>
      </c>
      <c r="AN1355" s="57" t="n">
        <f aca="false">IF(LEFT(Cockpit!$I$5,1)="A",H1355,IF(CA1355=1,CB1355,IF(LEFT(Cockpit!$I$5,1)="B",AR1355,MAX(AR1355,H1355))))</f>
        <v>10</v>
      </c>
      <c r="AO1355" s="57" t="n">
        <f aca="false">IF(BT1355=1,0,ROUNDUP(AN1355/BS1355,0))</f>
        <v>3</v>
      </c>
      <c r="AP1355" s="59" t="n">
        <f aca="false">IF(CH1355&gt;0,CH1355*MAX(1,AN1355/X1355),IF(BT1355=1,IF(AN1355&lt;=0,0,BW1355*MAX(1,IF(H1355&gt;0,AN1355/H1355,1))),IF(R1355&gt;0,AO1355/R1355,0))/MAX(0.1,N(Parameter!$M$21)))</f>
        <v>0.25</v>
      </c>
      <c r="AQ1355" s="57" t="n">
        <f aca="false">AN1355*G1355</f>
        <v>4400.1</v>
      </c>
      <c r="AR1355" s="57" t="n">
        <f aca="false">ROUNDUP(MAX(J1355/IF(BZ1355&gt;0,BZ1355,MAX(0.1,N(Cockpit!$I$6))),CC1355)/BS1355,0)*BS1355</f>
        <v>8</v>
      </c>
      <c r="AS1355" s="58" t="n">
        <f aca="false">IF(AP1355&gt;0,J1355/AP1355,-1)</f>
        <v>36</v>
      </c>
      <c r="AT1355" s="58" t="n">
        <f aca="false">IF(AND(OR(BY1355="L1",BY1355="L23"),AP1355&gt;0),SUMIFS($AP$7:$AP$1843,$BY$7:$BY$1843,BY1355,$AS$7:$AS$1843,"&gt;"&amp;AS1355)+SUMIFS($AP$7:$AP$1843,$BY$7:$BY$1843,BY1355,$AS$7:$AS$1843,AS1355,$BQ$7:$BQ$1843,"&lt;="&amp;BQ1355),"")</f>
        <v>71.544356609574</v>
      </c>
      <c r="AU1355" s="65" t="n">
        <f aca="false">IF(AT1355="",0,MAX(0,MIN(1,(IF(BY1355="L1",Parameter!$E$5,Parameter!$E$6+Parameter!$E$7)-(AT1355-AP1355))/AP1355)))</f>
        <v>1</v>
      </c>
      <c r="AV1355" s="57" t="n">
        <f aca="false">IF(LEFT(Cockpit!$O$5,1)="A",H1355,IF(CA1355=1,CB1355,IF(LEFT(Cockpit!$O$5,1)="B",AZ1355,MAX(AZ1355,H1355))))</f>
        <v>10</v>
      </c>
      <c r="AW1355" s="57" t="n">
        <f aca="false">IF(BT1355=1,0,ROUNDUP(AV1355/BS1355,0))</f>
        <v>3</v>
      </c>
      <c r="AX1355" s="59" t="n">
        <f aca="false">IF(CH1355&gt;0,CH1355*MAX(1,AV1355/X1355),IF(BT1355=1,IF(AV1355&lt;=0,0,BW1355*MAX(1,IF(H1355&gt;0,AV1355/H1355,1))),IF(R1355&gt;0,AW1355/R1355,0))/MAX(0.1,N(Parameter!$M$21)))</f>
        <v>0.25</v>
      </c>
      <c r="AY1355" s="57" t="n">
        <f aca="false">AV1355*G1355</f>
        <v>4400.1</v>
      </c>
      <c r="AZ1355" s="57" t="n">
        <f aca="false">ROUNDUP(MAX(J1355/IF(BZ1355&gt;0,BZ1355,MAX(0.1,N(Cockpit!$O$6))),CC1355)/BS1355,0)*BS1355</f>
        <v>8</v>
      </c>
      <c r="BA1355" s="58" t="n">
        <f aca="false">IF(AX1355&gt;0,J1355/AX1355,-1)</f>
        <v>36</v>
      </c>
      <c r="BB1355" s="58" t="n">
        <f aca="false">IF(AND(OR(BY1355="L1",BY1355="L23"),AX1355&gt;0),SUMIFS($AX$7:$AX$1843,$BY$7:$BY$1843,BY1355,$BA$7:$BA$1843,"&gt;"&amp;BA1355)+SUMIFS($AX$7:$AX$1843,$BY$7:$BY$1843,BY1355,$BA$7:$BA$1843,BA1355,$BQ$7:$BQ$1843,"&lt;="&amp;BQ1355),"")</f>
        <v>66.0408601060775</v>
      </c>
      <c r="BC1355" s="65" t="n">
        <f aca="false">IF(BB1355="",0,MAX(0,MIN(1,(IF(BY1355="L1",Parameter!$E$5,Parameter!$E$6+Parameter!$E$7)-(BB1355-AX1355))/AX1355)))</f>
        <v>1</v>
      </c>
      <c r="BD1355" s="55" t="str">
        <f aca="false">IF(AH1355&lt;=0,"",IF(BY1355="Aussen","Aussenlager",IF(BY1355="-","Nicht im Lift",IF(AM1355&gt;=1,"Lift",IF(AM1355&lt;=0,"Aussenlager","teilweise")))))</f>
        <v>Lift</v>
      </c>
      <c r="BE1355" s="55" t="str">
        <f aca="false">IF(AP1355&lt;=0,"",IF(BY1355="Aussen","Aussenlager",IF(BY1355="-","Nicht im Lift",IF(AU1355&gt;=1,"Lift",IF(AU1355&lt;=0,"Aussenlager","teilweise")))))</f>
        <v>Lift</v>
      </c>
      <c r="BF1355" s="55" t="str">
        <f aca="false">IF(AX1355&lt;=0,"",IF(BY1355="Aussen","Aussenlager",IF(BY1355="-","Nicht im Lift",IF(BC1355&gt;=1,"Lift",IF(BC1355&lt;=0,"Aussenlager","teilweise")))))</f>
        <v>Lift</v>
      </c>
      <c r="BG1355" s="55" t="str">
        <f aca="false">IF(A1355="","",IF(BP1355=1,"Neu; ","")&amp;IF(AND(BP1355=0,BK1355&lt;0),"negativer Bestand (Export "&amp;BK1355&amp;"); ","")&amp;IF(J1355&lt;=0,"Kein Verbrauch; ","")&amp;IF(CH1355&gt;0,"Lift "&amp;W1355&amp;" lt. Liftbericht (Fach "&amp;X1355&amp;" Stk); ",IF(BU1355=1,"Gebinde geschätzt ("&amp;T1355&amp;"); ",IF(BT1355=1,"Lose – Tablare geschätzt; ","")))&amp;IF(H1355&gt;AR1355,"Überbestand "&amp;ROUND(H1355-AR1355,0)&amp;" Stk / CHF "&amp;ROUND((H1355-AR1355)*G1355,0)&amp;"; ","")&amp;IF(AND(CA1355=1,CB1355&lt;CC1355),"MAX &lt; MB+LG; ","")&amp;IF(AND(CG1355&gt;0,CF1355*10&gt;CG1355),"zu hoch für Tablar; ","")&amp;IF(AND(BP1355=0,OR(CA1355=1,AA1355&lt;&gt;"",U1355&lt;&gt;"",V1355&lt;&gt;"",AB1355&lt;&gt;"")),"manuell übersteuert; ","")&amp;IF(AND(BT1355=0,R1355=0),"Gebinde unbekannt / Stellmass fehlt; ","")&amp;IF(AND(BT1355=0,N(V1355)&lt;=0,N(Q1355)&lt;=0),"Menge pro Gebinde fehlt (Ist = 1 Gebinde); ","")&amp;BO1355)</f>
        <v>negativer Bestand (Export -5); Überbestand 2 Stk / CHF 880; </v>
      </c>
      <c r="BH1355" s="55"/>
      <c r="BI1355" s="55"/>
      <c r="BJ1355" s="62"/>
      <c r="BK1355" s="57" t="n">
        <v>-5</v>
      </c>
      <c r="BL1355" s="57" t="n">
        <v>15</v>
      </c>
      <c r="BM1355" s="56" t="n">
        <v>-2167.05</v>
      </c>
      <c r="BN1355" s="57" t="n">
        <v>9</v>
      </c>
      <c r="BO1355" s="55"/>
      <c r="BP1355" s="60" t="n">
        <v>0</v>
      </c>
      <c r="BQ1355" s="60" t="n">
        <v>1355</v>
      </c>
      <c r="BR1355" s="55" t="str">
        <f aca="false">IF(U1355&lt;&gt;"",UPPER(TRIM(U1355)),IF(BU1355=1,UPPER(VLOOKUP(T1355,Parameter!$I$27:$K$29,2,0)),IF(P1355="","LOSE",P1355)))</f>
        <v>S62</v>
      </c>
      <c r="BS1355" s="57" t="n">
        <f aca="false">IF(BR1355="LOSE",1,IF(N(V1355)&gt;0,V1355,IF(BU1355=1,MAX(1,N(VLOOKUP(T1355,Parameter!$I$27:$K$29,3,0)),H1355,N(N1355)),IF(N(Q1355)&gt;0,Q1355,MAX(1,H1355)))))</f>
        <v>4</v>
      </c>
      <c r="BT1355" s="60" t="n">
        <f aca="false">IF(BR1355="LOSE",1,0)</f>
        <v>0</v>
      </c>
      <c r="BU1355" s="60" t="n">
        <f aca="false">IF(AND(U1355="",OR(P1355="",P1355="LOSE"),T1355&lt;&gt;"",N(S1355)&lt;=0,ISNUMBER(MATCH(T1355,Parameter!$I$27:$I$29,0))),1,0)</f>
        <v>0</v>
      </c>
      <c r="BV1355" s="55" t="str">
        <f aca="false">IF(AND(Parameter!$B$19="Ja",E1355&lt;&gt;"",ISNUMBER(MATCH(E1355,Parameter!$I$35:$I$52,0))),VLOOKUP(E1355,Parameter!$I$35:$J$52,2,0),IFERROR(VLOOKUP(D1355,Parameter!$A$35:$C$64,2,0),"Nein"))</f>
        <v>2+3</v>
      </c>
      <c r="BW1355" s="59" t="n">
        <f aca="false">IF(BT1355=0,0,IF(N(S1355)&gt;0,S1355,IFERROR(VLOOKUP(D1355,Parameter!$A$35:$C$64,3,0)+0,0)))</f>
        <v>0</v>
      </c>
      <c r="BX1355" s="55" t="n">
        <f aca="false">IF(AA1355&lt;&gt;"",AA1355,Z1355)</f>
        <v>2</v>
      </c>
      <c r="BY1355" s="55" t="str">
        <f aca="false">IF(BX1355=1,"L1",IF(OR(BX1355=2,BX1355=3),"L23",IF(BX1355="Aussen","Aussen","-")))</f>
        <v>L23</v>
      </c>
      <c r="BZ1355" s="66" t="n">
        <f aca="false">IF(N(AB1355)&gt;0,AB1355,0)</f>
        <v>0</v>
      </c>
      <c r="CA1355" s="60" t="n">
        <f aca="false">IF(ISNUMBER(AE1355),1,0)</f>
        <v>0</v>
      </c>
      <c r="CB1355" s="57" t="n">
        <f aca="false">N(AE1355)</f>
        <v>0</v>
      </c>
      <c r="CC1355" s="57" t="n">
        <f aca="false">N(M1355)+N(N1355)</f>
        <v>6</v>
      </c>
      <c r="CD1355" s="57" t="n">
        <f aca="false">ROUNDUP(H1355/BS1355,0)</f>
        <v>3</v>
      </c>
      <c r="CE1355" s="57" t="n">
        <f aca="false">ROUNDUP(CB1355/BS1355,0)</f>
        <v>0</v>
      </c>
      <c r="CF1355" s="60" t="n">
        <f aca="false">IF(BT1355=1,0,IFERROR(VLOOKUP(BR1355,'Gebinde-Kategorie'!$A$5:$M$45,5,0)+0,0))</f>
        <v>21</v>
      </c>
      <c r="CG1355" s="60" t="n">
        <f aca="false">IFERROR(IF(OR(BX1355=1,BX1355=2,BX1355=3),N(INDEX(Parameter!$I$5:$I$7,BX1355)),0),0)</f>
        <v>0</v>
      </c>
      <c r="CH1355" s="59" t="n">
        <f aca="false">IF(AND(Parameter!$B$21="Ja",ISNUMBER(W1355),N(X1355)&gt;0),IFERROR(N(INDEX(Parameter!$L$5:$L$7,W1355))*INDEX(Parameter!$E$5:$E$7,W1355)*X1355/SUMIFS($X$7:$X$1843,$W$7:$W$1843,W1355),0),0)</f>
        <v>0</v>
      </c>
    </row>
    <row r="1356" customFormat="false" ht="15" hidden="false" customHeight="false" outlineLevel="0" collapsed="false">
      <c r="A1356" s="55" t="s">
        <v>2391</v>
      </c>
      <c r="B1356" s="55" t="s">
        <v>2392</v>
      </c>
      <c r="C1356" s="55" t="s">
        <v>164</v>
      </c>
      <c r="D1356" s="55" t="s">
        <v>173</v>
      </c>
      <c r="E1356" s="55" t="s">
        <v>173</v>
      </c>
      <c r="F1356" s="55" t="s">
        <v>218</v>
      </c>
      <c r="G1356" s="56" t="n">
        <v>2251.23</v>
      </c>
      <c r="H1356" s="57" t="n">
        <f aca="false">MAX(0,IF(AND(Parameter!$B$21="Ja",ISNUMBER(Y1356)),Y1356,IF(Parameter!$B$20="Jahresanfang 2025 + Export",BL1356+BK1356,BK1356)))</f>
        <v>1</v>
      </c>
      <c r="I1356" s="57" t="n">
        <f aca="false">H1356*G1356</f>
        <v>2251.23</v>
      </c>
      <c r="J1356" s="57" t="n">
        <f aca="false">BN1356*Parameter!$B$18</f>
        <v>2</v>
      </c>
      <c r="K1356" s="58" t="n">
        <v>2.5</v>
      </c>
      <c r="L1356" s="59" t="n">
        <v>0.8</v>
      </c>
      <c r="M1356" s="57" t="n">
        <v>1</v>
      </c>
      <c r="N1356" s="57" t="n">
        <v>1</v>
      </c>
      <c r="O1356" s="60" t="n">
        <v>56</v>
      </c>
      <c r="P1356" s="55" t="s">
        <v>168</v>
      </c>
      <c r="Q1356" s="57"/>
      <c r="R1356" s="60" t="n">
        <f aca="false">IF(BT1356=1,0,IFERROR(VLOOKUP(BR1356,'Gebinde-Kategorie'!$A$5:$M$45,13,0)+0,0))</f>
        <v>0</v>
      </c>
      <c r="S1356" s="61"/>
      <c r="T1356" s="62"/>
      <c r="U1356" s="62"/>
      <c r="V1356" s="62"/>
      <c r="W1356" s="55" t="n">
        <v>1</v>
      </c>
      <c r="X1356" s="57" t="n">
        <v>3</v>
      </c>
      <c r="Y1356" s="57" t="n">
        <v>1</v>
      </c>
      <c r="Z1356" s="55" t="n">
        <f aca="false">IF(A1356="","",IF(AND(Parameter!$B$21="Ja",ISNUMBER(W1356)),W1356,IF(BV1356="2+3",IF(ISNUMBER(SEARCH("grosser Artikel",BO1356)),2,IFERROR(VLOOKUP(BR1356,Parameter!$F$35:$G$64,2,0),2)),IF(OR(BV1356="Nein",BV1356=""),"-",BV1356))))</f>
        <v>1</v>
      </c>
      <c r="AA1356" s="62"/>
      <c r="AB1356" s="63"/>
      <c r="AC1356" s="57" t="n">
        <f aca="false">AR1356</f>
        <v>2</v>
      </c>
      <c r="AD1356" s="57" t="n">
        <f aca="false">MAX(AR1356,H1356)</f>
        <v>2</v>
      </c>
      <c r="AE1356" s="64"/>
      <c r="AF1356" s="57" t="n">
        <f aca="false">IF(LEFT(Cockpit!$C$5,1)="A",H1356,IF(CA1356=1,CB1356,IF(LEFT(Cockpit!$C$5,1)="B",AJ1356,MAX(AJ1356,H1356))))</f>
        <v>1</v>
      </c>
      <c r="AG1356" s="57" t="n">
        <f aca="false">IF(BT1356=1,0,ROUNDUP(AF1356/BS1356,0))</f>
        <v>0</v>
      </c>
      <c r="AH1356" s="59" t="n">
        <f aca="false">IF(CH1356&gt;0,CH1356*MAX(1,AF1356/X1356),IF(BT1356=1,IF(AF1356&lt;=0,0,BW1356*MAX(1,IF(H1356&gt;0,AF1356/H1356,1))),IF(R1356&gt;0,AG1356/R1356,0))/MAX(0.1,N(Parameter!$M$21)))</f>
        <v>0.240112994350283</v>
      </c>
      <c r="AI1356" s="57" t="n">
        <f aca="false">AF1356*G1356</f>
        <v>2251.23</v>
      </c>
      <c r="AJ1356" s="57" t="n">
        <f aca="false">ROUNDUP(MAX(J1356/IF(BZ1356&gt;0,BZ1356,MAX(0.1,N(Cockpit!$C$6))),CC1356)/BS1356,0)*BS1356</f>
        <v>2</v>
      </c>
      <c r="AK1356" s="58" t="n">
        <f aca="false">IF(AH1356&gt;0,J1356/AH1356,-1)</f>
        <v>8.32941176470588</v>
      </c>
      <c r="AL1356" s="58" t="n">
        <f aca="false">IF(AND(OR(BY1356="L1",BY1356="L23"),AH1356&gt;0),SUMIFS($AH$7:$AH$1843,$BY$7:$BY$1843,BY1356,$AK$7:$AK$1843,"&gt;"&amp;AK1356)+SUMIFS($AH$7:$AH$1843,$BY$7:$BY$1843,BY1356,$AK$7:$AK$1843,AK1356,$BQ$7:$BQ$1843,"&lt;="&amp;BQ1356),"")</f>
        <v>31.6943389452601</v>
      </c>
      <c r="AM1356" s="65" t="n">
        <f aca="false">IF(AL1356="",0,MAX(0,MIN(1,(IF(BY1356="L1",Parameter!$E$5,Parameter!$E$6+Parameter!$E$7)-(AL1356-AH1356))/AH1356)))</f>
        <v>1</v>
      </c>
      <c r="AN1356" s="57" t="n">
        <f aca="false">IF(LEFT(Cockpit!$I$5,1)="A",H1356,IF(CA1356=1,CB1356,IF(LEFT(Cockpit!$I$5,1)="B",AR1356,MAX(AR1356,H1356))))</f>
        <v>2</v>
      </c>
      <c r="AO1356" s="57" t="n">
        <f aca="false">IF(BT1356=1,0,ROUNDUP(AN1356/BS1356,0))</f>
        <v>0</v>
      </c>
      <c r="AP1356" s="59" t="n">
        <f aca="false">IF(CH1356&gt;0,CH1356*MAX(1,AN1356/X1356),IF(BT1356=1,IF(AN1356&lt;=0,0,BW1356*MAX(1,IF(H1356&gt;0,AN1356/H1356,1))),IF(R1356&gt;0,AO1356/R1356,0))/MAX(0.1,N(Parameter!$M$21)))</f>
        <v>0.240112994350283</v>
      </c>
      <c r="AQ1356" s="57" t="n">
        <f aca="false">AN1356*G1356</f>
        <v>4502.46</v>
      </c>
      <c r="AR1356" s="57" t="n">
        <f aca="false">ROUNDUP(MAX(J1356/IF(BZ1356&gt;0,BZ1356,MAX(0.1,N(Cockpit!$I$6))),CC1356)/BS1356,0)*BS1356</f>
        <v>2</v>
      </c>
      <c r="AS1356" s="58" t="n">
        <f aca="false">IF(AP1356&gt;0,J1356/AP1356,-1)</f>
        <v>8.32941176470588</v>
      </c>
      <c r="AT1356" s="58" t="n">
        <f aca="false">IF(AND(OR(BY1356="L1",BY1356="L23"),AP1356&gt;0),SUMIFS($AP$7:$AP$1843,$BY$7:$BY$1843,BY1356,$AS$7:$AS$1843,"&gt;"&amp;AS1356)+SUMIFS($AP$7:$AP$1843,$BY$7:$BY$1843,BY1356,$AS$7:$AS$1843,AS1356,$BQ$7:$BQ$1843,"&lt;="&amp;BQ1356),"")</f>
        <v>47.0471565607896</v>
      </c>
      <c r="AU1356" s="65" t="n">
        <f aca="false">IF(AT1356="",0,MAX(0,MIN(1,(IF(BY1356="L1",Parameter!$E$5,Parameter!$E$6+Parameter!$E$7)-(AT1356-AP1356))/AP1356)))</f>
        <v>1</v>
      </c>
      <c r="AV1356" s="57" t="n">
        <f aca="false">IF(LEFT(Cockpit!$O$5,1)="A",H1356,IF(CA1356=1,CB1356,IF(LEFT(Cockpit!$O$5,1)="B",AZ1356,MAX(AZ1356,H1356))))</f>
        <v>2</v>
      </c>
      <c r="AW1356" s="57" t="n">
        <f aca="false">IF(BT1356=1,0,ROUNDUP(AV1356/BS1356,0))</f>
        <v>0</v>
      </c>
      <c r="AX1356" s="59" t="n">
        <f aca="false">IF(CH1356&gt;0,CH1356*MAX(1,AV1356/X1356),IF(BT1356=1,IF(AV1356&lt;=0,0,BW1356*MAX(1,IF(H1356&gt;0,AV1356/H1356,1))),IF(R1356&gt;0,AW1356/R1356,0))/MAX(0.1,N(Parameter!$M$21)))</f>
        <v>0.240112994350283</v>
      </c>
      <c r="AY1356" s="57" t="n">
        <f aca="false">AV1356*G1356</f>
        <v>4502.46</v>
      </c>
      <c r="AZ1356" s="57" t="n">
        <f aca="false">ROUNDUP(MAX(J1356/IF(BZ1356&gt;0,BZ1356,MAX(0.1,N(Cockpit!$O$6))),CC1356)/BS1356,0)*BS1356</f>
        <v>2</v>
      </c>
      <c r="BA1356" s="58" t="n">
        <f aca="false">IF(AX1356&gt;0,J1356/AX1356,-1)</f>
        <v>8.32941176470588</v>
      </c>
      <c r="BB1356" s="58" t="n">
        <f aca="false">IF(AND(OR(BY1356="L1",BY1356="L23"),AX1356&gt;0),SUMIFS($AX$7:$AX$1843,$BY$7:$BY$1843,BY1356,$BA$7:$BA$1843,"&gt;"&amp;BA1356)+SUMIFS($AX$7:$AX$1843,$BY$7:$BY$1843,BY1356,$BA$7:$BA$1843,BA1356,$BQ$7:$BQ$1843,"&lt;="&amp;BQ1356),"")</f>
        <v>40.7139680920079</v>
      </c>
      <c r="BC1356" s="65" t="n">
        <f aca="false">IF(BB1356="",0,MAX(0,MIN(1,(IF(BY1356="L1",Parameter!$E$5,Parameter!$E$6+Parameter!$E$7)-(BB1356-AX1356))/AX1356)))</f>
        <v>1</v>
      </c>
      <c r="BD1356" s="55" t="str">
        <f aca="false">IF(AH1356&lt;=0,"",IF(BY1356="Aussen","Aussenlager",IF(BY1356="-","Nicht im Lift",IF(AM1356&gt;=1,"Lift",IF(AM1356&lt;=0,"Aussenlager","teilweise")))))</f>
        <v>Lift</v>
      </c>
      <c r="BE1356" s="55" t="str">
        <f aca="false">IF(AP1356&lt;=0,"",IF(BY1356="Aussen","Aussenlager",IF(BY1356="-","Nicht im Lift",IF(AU1356&gt;=1,"Lift",IF(AU1356&lt;=0,"Aussenlager","teilweise")))))</f>
        <v>Lift</v>
      </c>
      <c r="BF1356" s="55" t="str">
        <f aca="false">IF(AX1356&lt;=0,"",IF(BY1356="Aussen","Aussenlager",IF(BY1356="-","Nicht im Lift",IF(BC1356&gt;=1,"Lift",IF(BC1356&lt;=0,"Aussenlager","teilweise")))))</f>
        <v>Lift</v>
      </c>
      <c r="BG1356" s="55" t="str">
        <f aca="false">IF(A1356="","",IF(BP1356=1,"Neu; ","")&amp;IF(AND(BP1356=0,BK1356&lt;0),"negativer Bestand (Export "&amp;BK1356&amp;"); ","")&amp;IF(J1356&lt;=0,"Kein Verbrauch; ","")&amp;IF(CH1356&gt;0,"Lift "&amp;W1356&amp;" lt. Liftbericht (Fach "&amp;X1356&amp;" Stk); ",IF(BU1356=1,"Gebinde geschätzt ("&amp;T1356&amp;"); ",IF(BT1356=1,"Lose – Tablare geschätzt; ","")))&amp;IF(H1356&gt;AR1356,"Überbestand "&amp;ROUND(H1356-AR1356,0)&amp;" Stk / CHF "&amp;ROUND((H1356-AR1356)*G1356,0)&amp;"; ","")&amp;IF(AND(CA1356=1,CB1356&lt;CC1356),"MAX &lt; MB+LG; ","")&amp;IF(AND(CG1356&gt;0,CF1356*10&gt;CG1356),"zu hoch für Tablar; ","")&amp;IF(AND(BP1356=0,OR(CA1356=1,AA1356&lt;&gt;"",U1356&lt;&gt;"",V1356&lt;&gt;"",AB1356&lt;&gt;"")),"manuell übersteuert; ","")&amp;IF(AND(BT1356=0,R1356=0),"Gebinde unbekannt / Stellmass fehlt; ","")&amp;IF(AND(BT1356=0,N(V1356)&lt;=0,N(Q1356)&lt;=0),"Menge pro Gebinde fehlt (Ist = 1 Gebinde); ","")&amp;BO1356)</f>
        <v>negativer Bestand (Export -1); Lift 1 lt. Liftbericht (Fach 3 Stk); </v>
      </c>
      <c r="BH1356" s="55"/>
      <c r="BI1356" s="55"/>
      <c r="BJ1356" s="62"/>
      <c r="BK1356" s="57" t="n">
        <v>-1</v>
      </c>
      <c r="BL1356" s="57" t="n">
        <v>2</v>
      </c>
      <c r="BM1356" s="56" t="n">
        <v>-2169.73</v>
      </c>
      <c r="BN1356" s="57" t="n">
        <v>2</v>
      </c>
      <c r="BO1356" s="55"/>
      <c r="BP1356" s="60" t="n">
        <v>0</v>
      </c>
      <c r="BQ1356" s="60" t="n">
        <v>1356</v>
      </c>
      <c r="BR1356" s="55" t="str">
        <f aca="false">IF(U1356&lt;&gt;"",UPPER(TRIM(U1356)),IF(BU1356=1,UPPER(VLOOKUP(T1356,Parameter!$I$27:$K$29,2,0)),IF(P1356="","LOSE",P1356)))</f>
        <v>LOSE</v>
      </c>
      <c r="BS1356" s="57" t="n">
        <f aca="false">IF(BR1356="LOSE",1,IF(N(V1356)&gt;0,V1356,IF(BU1356=1,MAX(1,N(VLOOKUP(T1356,Parameter!$I$27:$K$29,3,0)),H1356,N(N1356)),IF(N(Q1356)&gt;0,Q1356,MAX(1,H1356)))))</f>
        <v>1</v>
      </c>
      <c r="BT1356" s="60" t="n">
        <f aca="false">IF(BR1356="LOSE",1,0)</f>
        <v>1</v>
      </c>
      <c r="BU1356" s="60" t="n">
        <f aca="false">IF(AND(U1356="",OR(P1356="",P1356="LOSE"),T1356&lt;&gt;"",N(S1356)&lt;=0,ISNUMBER(MATCH(T1356,Parameter!$I$27:$I$29,0))),1,0)</f>
        <v>0</v>
      </c>
      <c r="BV1356" s="55" t="str">
        <f aca="false">IF(AND(Parameter!$B$19="Ja",E1356&lt;&gt;"",ISNUMBER(MATCH(E1356,Parameter!$I$35:$I$52,0))),VLOOKUP(E1356,Parameter!$I$35:$J$52,2,0),IFERROR(VLOOKUP(D1356,Parameter!$A$35:$C$64,2,0),"Nein"))</f>
        <v>Nein</v>
      </c>
      <c r="BW1356" s="59" t="n">
        <f aca="false">IF(BT1356=0,0,IF(N(S1356)&gt;0,S1356,IFERROR(VLOOKUP(D1356,Parameter!$A$35:$C$64,3,0)+0,0)))</f>
        <v>0.15</v>
      </c>
      <c r="BX1356" s="55" t="n">
        <f aca="false">IF(AA1356&lt;&gt;"",AA1356,Z1356)</f>
        <v>1</v>
      </c>
      <c r="BY1356" s="55" t="str">
        <f aca="false">IF(BX1356=1,"L1",IF(OR(BX1356=2,BX1356=3),"L23",IF(BX1356="Aussen","Aussen","-")))</f>
        <v>L1</v>
      </c>
      <c r="BZ1356" s="66" t="n">
        <f aca="false">IF(N(AB1356)&gt;0,AB1356,0)</f>
        <v>0</v>
      </c>
      <c r="CA1356" s="60" t="n">
        <f aca="false">IF(ISNUMBER(AE1356),1,0)</f>
        <v>0</v>
      </c>
      <c r="CB1356" s="57" t="n">
        <f aca="false">N(AE1356)</f>
        <v>0</v>
      </c>
      <c r="CC1356" s="57" t="n">
        <f aca="false">N(M1356)+N(N1356)</f>
        <v>2</v>
      </c>
      <c r="CD1356" s="57" t="n">
        <f aca="false">ROUNDUP(H1356/BS1356,0)</f>
        <v>1</v>
      </c>
      <c r="CE1356" s="57" t="n">
        <f aca="false">ROUNDUP(CB1356/BS1356,0)</f>
        <v>0</v>
      </c>
      <c r="CF1356" s="60" t="n">
        <f aca="false">IF(BT1356=1,0,IFERROR(VLOOKUP(BR1356,'Gebinde-Kategorie'!$A$5:$M$45,5,0)+0,0))</f>
        <v>0</v>
      </c>
      <c r="CG1356" s="60" t="n">
        <f aca="false">IFERROR(IF(OR(BX1356=1,BX1356=2,BX1356=3),N(INDEX(Parameter!$I$5:$I$7,BX1356)),0),0)</f>
        <v>0</v>
      </c>
      <c r="CH1356" s="59" t="n">
        <f aca="false">IF(AND(Parameter!$B$21="Ja",ISNUMBER(W1356),N(X1356)&gt;0),IFERROR(N(INDEX(Parameter!$L$5:$L$7,W1356))*INDEX(Parameter!$E$5:$E$7,W1356)*X1356/SUMIFS($X$7:$X$1843,$W$7:$W$1843,W1356),0),0)</f>
        <v>0.240112994350283</v>
      </c>
    </row>
    <row r="1357" customFormat="false" ht="15" hidden="false" customHeight="false" outlineLevel="0" collapsed="false">
      <c r="A1357" s="55" t="s">
        <v>2393</v>
      </c>
      <c r="B1357" s="55" t="s">
        <v>2394</v>
      </c>
      <c r="C1357" s="55" t="s">
        <v>164</v>
      </c>
      <c r="D1357" s="55" t="s">
        <v>184</v>
      </c>
      <c r="E1357" s="55" t="s">
        <v>185</v>
      </c>
      <c r="F1357" s="55" t="s">
        <v>218</v>
      </c>
      <c r="G1357" s="56" t="n">
        <v>369.31</v>
      </c>
      <c r="H1357" s="57" t="n">
        <f aca="false">MAX(0,IF(AND(Parameter!$B$21="Ja",ISNUMBER(Y1357)),Y1357,IF(Parameter!$B$20="Jahresanfang 2025 + Export",BL1357+BK1357,BK1357)))</f>
        <v>1</v>
      </c>
      <c r="I1357" s="57" t="n">
        <f aca="false">H1357*G1357</f>
        <v>369.31</v>
      </c>
      <c r="J1357" s="57" t="n">
        <f aca="false">BN1357*Parameter!$B$18</f>
        <v>3</v>
      </c>
      <c r="K1357" s="58" t="n">
        <v>5.5</v>
      </c>
      <c r="L1357" s="59" t="n">
        <v>0.545454545454545</v>
      </c>
      <c r="M1357" s="57" t="n">
        <v>0</v>
      </c>
      <c r="N1357" s="57" t="n">
        <v>5</v>
      </c>
      <c r="O1357" s="60" t="n">
        <v>21</v>
      </c>
      <c r="P1357" s="55" t="s">
        <v>302</v>
      </c>
      <c r="Q1357" s="57" t="n">
        <v>4</v>
      </c>
      <c r="R1357" s="60" t="n">
        <f aca="false">IF(BT1357=1,0,IFERROR(VLOOKUP(BR1357,'Gebinde-Kategorie'!$A$5:$M$45,13,0)+0,0))</f>
        <v>26</v>
      </c>
      <c r="S1357" s="61"/>
      <c r="T1357" s="62"/>
      <c r="U1357" s="62"/>
      <c r="V1357" s="62"/>
      <c r="W1357" s="55"/>
      <c r="X1357" s="57"/>
      <c r="Y1357" s="57"/>
      <c r="Z1357" s="55" t="n">
        <f aca="false">IF(A1357="","",IF(AND(Parameter!$B$21="Ja",ISNUMBER(W1357)),W1357,IF(BV1357="2+3",IF(ISNUMBER(SEARCH("grosser Artikel",BO1357)),2,IFERROR(VLOOKUP(BR1357,Parameter!$F$35:$G$64,2,0),2)),IF(OR(BV1357="Nein",BV1357=""),"-",BV1357))))</f>
        <v>3</v>
      </c>
      <c r="AA1357" s="62"/>
      <c r="AB1357" s="63"/>
      <c r="AC1357" s="57" t="n">
        <f aca="false">AR1357</f>
        <v>8</v>
      </c>
      <c r="AD1357" s="57" t="n">
        <f aca="false">MAX(AR1357,H1357)</f>
        <v>8</v>
      </c>
      <c r="AE1357" s="64"/>
      <c r="AF1357" s="57" t="n">
        <f aca="false">IF(LEFT(Cockpit!$C$5,1)="A",H1357,IF(CA1357=1,CB1357,IF(LEFT(Cockpit!$C$5,1)="B",AJ1357,MAX(AJ1357,H1357))))</f>
        <v>1</v>
      </c>
      <c r="AG1357" s="57" t="n">
        <f aca="false">IF(BT1357=1,0,ROUNDUP(AF1357/BS1357,0))</f>
        <v>1</v>
      </c>
      <c r="AH1357" s="59" t="n">
        <f aca="false">IF(CH1357&gt;0,CH1357*MAX(1,AF1357/X1357),IF(BT1357=1,IF(AF1357&lt;=0,0,BW1357*MAX(1,IF(H1357&gt;0,AF1357/H1357,1))),IF(R1357&gt;0,AG1357/R1357,0))/MAX(0.1,N(Parameter!$M$21)))</f>
        <v>0.0384615384615385</v>
      </c>
      <c r="AI1357" s="57" t="n">
        <f aca="false">AF1357*G1357</f>
        <v>369.31</v>
      </c>
      <c r="AJ1357" s="57" t="n">
        <f aca="false">ROUNDUP(MAX(J1357/IF(BZ1357&gt;0,BZ1357,MAX(0.1,N(Cockpit!$C$6))),CC1357)/BS1357,0)*BS1357</f>
        <v>8</v>
      </c>
      <c r="AK1357" s="58" t="n">
        <f aca="false">IF(AH1357&gt;0,J1357/AH1357,-1)</f>
        <v>78</v>
      </c>
      <c r="AL1357" s="58" t="n">
        <f aca="false">IF(AND(OR(BY1357="L1",BY1357="L23"),AH1357&gt;0),SUMIFS($AH$7:$AH$1843,$BY$7:$BY$1843,BY1357,$AK$7:$AK$1843,"&gt;"&amp;AK1357)+SUMIFS($AH$7:$AH$1843,$BY$7:$BY$1843,BY1357,$AK$7:$AK$1843,AK1357,$BQ$7:$BQ$1843,"&lt;="&amp;BQ1357),"")</f>
        <v>41.5130063173541</v>
      </c>
      <c r="AM1357" s="65" t="n">
        <f aca="false">IF(AL1357="",0,MAX(0,MIN(1,(IF(BY1357="L1",Parameter!$E$5,Parameter!$E$6+Parameter!$E$7)-(AL1357-AH1357))/AH1357)))</f>
        <v>1</v>
      </c>
      <c r="AN1357" s="57" t="n">
        <f aca="false">IF(LEFT(Cockpit!$I$5,1)="A",H1357,IF(CA1357=1,CB1357,IF(LEFT(Cockpit!$I$5,1)="B",AR1357,MAX(AR1357,H1357))))</f>
        <v>8</v>
      </c>
      <c r="AO1357" s="57" t="n">
        <f aca="false">IF(BT1357=1,0,ROUNDUP(AN1357/BS1357,0))</f>
        <v>2</v>
      </c>
      <c r="AP1357" s="59" t="n">
        <f aca="false">IF(CH1357&gt;0,CH1357*MAX(1,AN1357/X1357),IF(BT1357=1,IF(AN1357&lt;=0,0,BW1357*MAX(1,IF(H1357&gt;0,AN1357/H1357,1))),IF(R1357&gt;0,AO1357/R1357,0))/MAX(0.1,N(Parameter!$M$21)))</f>
        <v>0.0769230769230769</v>
      </c>
      <c r="AQ1357" s="57" t="n">
        <f aca="false">AN1357*G1357</f>
        <v>2954.48</v>
      </c>
      <c r="AR1357" s="57" t="n">
        <f aca="false">ROUNDUP(MAX(J1357/IF(BZ1357&gt;0,BZ1357,MAX(0.1,N(Cockpit!$I$6))),CC1357)/BS1357,0)*BS1357</f>
        <v>8</v>
      </c>
      <c r="AS1357" s="58" t="n">
        <f aca="false">IF(AP1357&gt;0,J1357/AP1357,-1)</f>
        <v>39</v>
      </c>
      <c r="AT1357" s="58" t="n">
        <f aca="false">IF(AND(OR(BY1357="L1",BY1357="L23"),AP1357&gt;0),SUMIFS($AP$7:$AP$1843,$BY$7:$BY$1843,BY1357,$AS$7:$AS$1843,"&gt;"&amp;AS1357)+SUMIFS($AP$7:$AP$1843,$BY$7:$BY$1843,BY1357,$AS$7:$AS$1843,AS1357,$BQ$7:$BQ$1843,"&lt;="&amp;BQ1357),"")</f>
        <v>69.794356609574</v>
      </c>
      <c r="AU1357" s="65" t="n">
        <f aca="false">IF(AT1357="",0,MAX(0,MIN(1,(IF(BY1357="L1",Parameter!$E$5,Parameter!$E$6+Parameter!$E$7)-(AT1357-AP1357))/AP1357)))</f>
        <v>1</v>
      </c>
      <c r="AV1357" s="57" t="n">
        <f aca="false">IF(LEFT(Cockpit!$O$5,1)="A",H1357,IF(CA1357=1,CB1357,IF(LEFT(Cockpit!$O$5,1)="B",AZ1357,MAX(AZ1357,H1357))))</f>
        <v>8</v>
      </c>
      <c r="AW1357" s="57" t="n">
        <f aca="false">IF(BT1357=1,0,ROUNDUP(AV1357/BS1357,0))</f>
        <v>2</v>
      </c>
      <c r="AX1357" s="59" t="n">
        <f aca="false">IF(CH1357&gt;0,CH1357*MAX(1,AV1357/X1357),IF(BT1357=1,IF(AV1357&lt;=0,0,BW1357*MAX(1,IF(H1357&gt;0,AV1357/H1357,1))),IF(R1357&gt;0,AW1357/R1357,0))/MAX(0.1,N(Parameter!$M$21)))</f>
        <v>0.0769230769230769</v>
      </c>
      <c r="AY1357" s="57" t="n">
        <f aca="false">AV1357*G1357</f>
        <v>2954.48</v>
      </c>
      <c r="AZ1357" s="57" t="n">
        <f aca="false">ROUNDUP(MAX(J1357/IF(BZ1357&gt;0,BZ1357,MAX(0.1,N(Cockpit!$O$6))),CC1357)/BS1357,0)*BS1357</f>
        <v>8</v>
      </c>
      <c r="BA1357" s="58" t="n">
        <f aca="false">IF(AX1357&gt;0,J1357/AX1357,-1)</f>
        <v>39</v>
      </c>
      <c r="BB1357" s="58" t="n">
        <f aca="false">IF(AND(OR(BY1357="L1",BY1357="L23"),AX1357&gt;0),SUMIFS($AX$7:$AX$1843,$BY$7:$BY$1843,BY1357,$BA$7:$BA$1843,"&gt;"&amp;BA1357)+SUMIFS($AX$7:$AX$1843,$BY$7:$BY$1843,BY1357,$BA$7:$BA$1843,BA1357,$BQ$7:$BQ$1843,"&lt;="&amp;BQ1357),"")</f>
        <v>64.2908601060775</v>
      </c>
      <c r="BC1357" s="65" t="n">
        <f aca="false">IF(BB1357="",0,MAX(0,MIN(1,(IF(BY1357="L1",Parameter!$E$5,Parameter!$E$6+Parameter!$E$7)-(BB1357-AX1357))/AX1357)))</f>
        <v>1</v>
      </c>
      <c r="BD1357" s="55" t="str">
        <f aca="false">IF(AH1357&lt;=0,"",IF(BY1357="Aussen","Aussenlager",IF(BY1357="-","Nicht im Lift",IF(AM1357&gt;=1,"Lift",IF(AM1357&lt;=0,"Aussenlager","teilweise")))))</f>
        <v>Lift</v>
      </c>
      <c r="BE1357" s="55" t="str">
        <f aca="false">IF(AP1357&lt;=0,"",IF(BY1357="Aussen","Aussenlager",IF(BY1357="-","Nicht im Lift",IF(AU1357&gt;=1,"Lift",IF(AU1357&lt;=0,"Aussenlager","teilweise")))))</f>
        <v>Lift</v>
      </c>
      <c r="BF1357" s="55" t="str">
        <f aca="false">IF(AX1357&lt;=0,"",IF(BY1357="Aussen","Aussenlager",IF(BY1357="-","Nicht im Lift",IF(BC1357&gt;=1,"Lift",IF(BC1357&lt;=0,"Aussenlager","teilweise")))))</f>
        <v>Lift</v>
      </c>
      <c r="BG1357" s="55" t="str">
        <f aca="false">IF(A1357="","",IF(BP1357=1,"Neu; ","")&amp;IF(AND(BP1357=0,BK1357&lt;0),"negativer Bestand (Export "&amp;BK1357&amp;"); ","")&amp;IF(J1357&lt;=0,"Kein Verbrauch; ","")&amp;IF(CH1357&gt;0,"Lift "&amp;W1357&amp;" lt. Liftbericht (Fach "&amp;X1357&amp;" Stk); ",IF(BU1357=1,"Gebinde geschätzt ("&amp;T1357&amp;"); ",IF(BT1357=1,"Lose – Tablare geschätzt; ","")))&amp;IF(H1357&gt;AR1357,"Überbestand "&amp;ROUND(H1357-AR1357,0)&amp;" Stk / CHF "&amp;ROUND((H1357-AR1357)*G1357,0)&amp;"; ","")&amp;IF(AND(CA1357=1,CB1357&lt;CC1357),"MAX &lt; MB+LG; ","")&amp;IF(AND(CG1357&gt;0,CF1357*10&gt;CG1357),"zu hoch für Tablar; ","")&amp;IF(AND(BP1357=0,OR(CA1357=1,AA1357&lt;&gt;"",U1357&lt;&gt;"",V1357&lt;&gt;"",AB1357&lt;&gt;"")),"manuell übersteuert; ","")&amp;IF(AND(BT1357=0,R1357=0),"Gebinde unbekannt / Stellmass fehlt; ","")&amp;IF(AND(BT1357=0,N(V1357)&lt;=0,N(Q1357)&lt;=0),"Menge pro Gebinde fehlt (Ist = 1 Gebinde); ","")&amp;BO1357)</f>
        <v>negativer Bestand (Export -6); Neu</v>
      </c>
      <c r="BH1357" s="55"/>
      <c r="BI1357" s="55"/>
      <c r="BJ1357" s="62"/>
      <c r="BK1357" s="57" t="n">
        <v>-6</v>
      </c>
      <c r="BL1357" s="57" t="n">
        <v>7</v>
      </c>
      <c r="BM1357" s="56" t="n">
        <v>-2215.86</v>
      </c>
      <c r="BN1357" s="57" t="n">
        <v>3</v>
      </c>
      <c r="BO1357" s="55" t="s">
        <v>626</v>
      </c>
      <c r="BP1357" s="60" t="n">
        <v>0</v>
      </c>
      <c r="BQ1357" s="60" t="n">
        <v>1357</v>
      </c>
      <c r="BR1357" s="55" t="str">
        <f aca="false">IF(U1357&lt;&gt;"",UPPER(TRIM(U1357)),IF(BU1357=1,UPPER(VLOOKUP(T1357,Parameter!$I$27:$K$29,2,0)),IF(P1357="","LOSE",P1357)))</f>
        <v>S51</v>
      </c>
      <c r="BS1357" s="57" t="n">
        <f aca="false">IF(BR1357="LOSE",1,IF(N(V1357)&gt;0,V1357,IF(BU1357=1,MAX(1,N(VLOOKUP(T1357,Parameter!$I$27:$K$29,3,0)),H1357,N(N1357)),IF(N(Q1357)&gt;0,Q1357,MAX(1,H1357)))))</f>
        <v>4</v>
      </c>
      <c r="BT1357" s="60" t="n">
        <f aca="false">IF(BR1357="LOSE",1,0)</f>
        <v>0</v>
      </c>
      <c r="BU1357" s="60" t="n">
        <f aca="false">IF(AND(U1357="",OR(P1357="",P1357="LOSE"),T1357&lt;&gt;"",N(S1357)&lt;=0,ISNUMBER(MATCH(T1357,Parameter!$I$27:$I$29,0))),1,0)</f>
        <v>0</v>
      </c>
      <c r="BV1357" s="55" t="str">
        <f aca="false">IF(AND(Parameter!$B$19="Ja",E1357&lt;&gt;"",ISNUMBER(MATCH(E1357,Parameter!$I$35:$I$52,0))),VLOOKUP(E1357,Parameter!$I$35:$J$52,2,0),IFERROR(VLOOKUP(D1357,Parameter!$A$35:$C$64,2,0),"Nein"))</f>
        <v>2+3</v>
      </c>
      <c r="BW1357" s="59" t="n">
        <f aca="false">IF(BT1357=0,0,IF(N(S1357)&gt;0,S1357,IFERROR(VLOOKUP(D1357,Parameter!$A$35:$C$64,3,0)+0,0)))</f>
        <v>0</v>
      </c>
      <c r="BX1357" s="55" t="n">
        <f aca="false">IF(AA1357&lt;&gt;"",AA1357,Z1357)</f>
        <v>3</v>
      </c>
      <c r="BY1357" s="55" t="str">
        <f aca="false">IF(BX1357=1,"L1",IF(OR(BX1357=2,BX1357=3),"L23",IF(BX1357="Aussen","Aussen","-")))</f>
        <v>L23</v>
      </c>
      <c r="BZ1357" s="66" t="n">
        <f aca="false">IF(N(AB1357)&gt;0,AB1357,0)</f>
        <v>0</v>
      </c>
      <c r="CA1357" s="60" t="n">
        <f aca="false">IF(ISNUMBER(AE1357),1,0)</f>
        <v>0</v>
      </c>
      <c r="CB1357" s="57" t="n">
        <f aca="false">N(AE1357)</f>
        <v>0</v>
      </c>
      <c r="CC1357" s="57" t="n">
        <f aca="false">N(M1357)+N(N1357)</f>
        <v>5</v>
      </c>
      <c r="CD1357" s="57" t="n">
        <f aca="false">ROUNDUP(H1357/BS1357,0)</f>
        <v>1</v>
      </c>
      <c r="CE1357" s="57" t="n">
        <f aca="false">ROUNDUP(CB1357/BS1357,0)</f>
        <v>0</v>
      </c>
      <c r="CF1357" s="60" t="n">
        <f aca="false">IF(BT1357=1,0,IFERROR(VLOOKUP(BR1357,'Gebinde-Kategorie'!$A$5:$M$45,5,0)+0,0))</f>
        <v>11</v>
      </c>
      <c r="CG1357" s="60" t="n">
        <f aca="false">IFERROR(IF(OR(BX1357=1,BX1357=2,BX1357=3),N(INDEX(Parameter!$I$5:$I$7,BX1357)),0),0)</f>
        <v>0</v>
      </c>
      <c r="CH1357" s="59" t="n">
        <f aca="false">IF(AND(Parameter!$B$21="Ja",ISNUMBER(W1357),N(X1357)&gt;0),IFERROR(N(INDEX(Parameter!$L$5:$L$7,W1357))*INDEX(Parameter!$E$5:$E$7,W1357)*X1357/SUMIFS($X$7:$X$1843,$W$7:$W$1843,W1357),0),0)</f>
        <v>0</v>
      </c>
    </row>
    <row r="1358" customFormat="false" ht="15" hidden="false" customHeight="false" outlineLevel="0" collapsed="false">
      <c r="A1358" s="55" t="s">
        <v>2395</v>
      </c>
      <c r="B1358" s="55" t="s">
        <v>290</v>
      </c>
      <c r="C1358" s="55" t="s">
        <v>164</v>
      </c>
      <c r="D1358" s="55" t="s">
        <v>173</v>
      </c>
      <c r="E1358" s="55"/>
      <c r="F1358" s="55" t="s">
        <v>218</v>
      </c>
      <c r="G1358" s="56" t="n">
        <v>221.79</v>
      </c>
      <c r="H1358" s="57" t="n">
        <f aca="false">MAX(0,IF(AND(Parameter!$B$21="Ja",ISNUMBER(Y1358)),Y1358,IF(Parameter!$B$20="Jahresanfang 2025 + Export",BL1358+BK1358,BK1358)))</f>
        <v>20</v>
      </c>
      <c r="I1358" s="57" t="n">
        <f aca="false">H1358*G1358</f>
        <v>4435.8</v>
      </c>
      <c r="J1358" s="57" t="n">
        <f aca="false">BN1358*Parameter!$B$18</f>
        <v>5</v>
      </c>
      <c r="K1358" s="58" t="n">
        <v>26.5</v>
      </c>
      <c r="L1358" s="59" t="n">
        <v>0.188679245283019</v>
      </c>
      <c r="M1358" s="57" t="n">
        <v>0</v>
      </c>
      <c r="N1358" s="57" t="n">
        <v>5</v>
      </c>
      <c r="O1358" s="60" t="n">
        <v>56</v>
      </c>
      <c r="P1358" s="55" t="s">
        <v>174</v>
      </c>
      <c r="Q1358" s="57" t="n">
        <v>20</v>
      </c>
      <c r="R1358" s="60" t="n">
        <f aca="false">IF(BT1358=1,0,IFERROR(VLOOKUP(BR1358,'Gebinde-Kategorie'!$A$5:$M$45,13,0)+0,0))</f>
        <v>6</v>
      </c>
      <c r="S1358" s="61"/>
      <c r="T1358" s="62"/>
      <c r="U1358" s="62"/>
      <c r="V1358" s="62"/>
      <c r="W1358" s="55"/>
      <c r="X1358" s="57"/>
      <c r="Y1358" s="57"/>
      <c r="Z1358" s="55" t="n">
        <f aca="false">IF(A1358="","",IF(AND(Parameter!$B$21="Ja",ISNUMBER(W1358)),W1358,IF(BV1358="2+3",IF(ISNUMBER(SEARCH("grosser Artikel",BO1358)),2,IFERROR(VLOOKUP(BR1358,Parameter!$F$35:$G$64,2,0),2)),IF(OR(BV1358="Nein",BV1358=""),"-",BV1358))))</f>
        <v>2</v>
      </c>
      <c r="AA1358" s="62"/>
      <c r="AB1358" s="63"/>
      <c r="AC1358" s="57" t="n">
        <f aca="false">AR1358</f>
        <v>20</v>
      </c>
      <c r="AD1358" s="57" t="n">
        <f aca="false">MAX(AR1358,H1358)</f>
        <v>20</v>
      </c>
      <c r="AE1358" s="64"/>
      <c r="AF1358" s="57" t="n">
        <f aca="false">IF(LEFT(Cockpit!$C$5,1)="A",H1358,IF(CA1358=1,CB1358,IF(LEFT(Cockpit!$C$5,1)="B",AJ1358,MAX(AJ1358,H1358))))</f>
        <v>20</v>
      </c>
      <c r="AG1358" s="57" t="n">
        <f aca="false">IF(BT1358=1,0,ROUNDUP(AF1358/BS1358,0))</f>
        <v>1</v>
      </c>
      <c r="AH1358" s="59" t="n">
        <f aca="false">IF(CH1358&gt;0,CH1358*MAX(1,AF1358/X1358),IF(BT1358=1,IF(AF1358&lt;=0,0,BW1358*MAX(1,IF(H1358&gt;0,AF1358/H1358,1))),IF(R1358&gt;0,AG1358/R1358,0))/MAX(0.1,N(Parameter!$M$21)))</f>
        <v>0.166666666666667</v>
      </c>
      <c r="AI1358" s="57" t="n">
        <f aca="false">AF1358*G1358</f>
        <v>4435.8</v>
      </c>
      <c r="AJ1358" s="57" t="n">
        <f aca="false">ROUNDUP(MAX(J1358/IF(BZ1358&gt;0,BZ1358,MAX(0.1,N(Cockpit!$C$6))),CC1358)/BS1358,0)*BS1358</f>
        <v>20</v>
      </c>
      <c r="AK1358" s="58" t="n">
        <f aca="false">IF(AH1358&gt;0,J1358/AH1358,-1)</f>
        <v>30</v>
      </c>
      <c r="AL1358" s="58" t="n">
        <f aca="false">IF(AND(OR(BY1358="L1",BY1358="L23"),AH1358&gt;0),SUMIFS($AH$7:$AH$1843,$BY$7:$BY$1843,BY1358,$AK$7:$AK$1843,"&gt;"&amp;AK1358)+SUMIFS($AH$7:$AH$1843,$BY$7:$BY$1843,BY1358,$AK$7:$AK$1843,AK1358,$BQ$7:$BQ$1843,"&lt;="&amp;BQ1358),"")</f>
        <v>48.2292067835546</v>
      </c>
      <c r="AM1358" s="65" t="n">
        <f aca="false">IF(AL1358="",0,MAX(0,MIN(1,(IF(BY1358="L1",Parameter!$E$5,Parameter!$E$6+Parameter!$E$7)-(AL1358-AH1358))/AH1358)))</f>
        <v>1</v>
      </c>
      <c r="AN1358" s="57" t="n">
        <f aca="false">IF(LEFT(Cockpit!$I$5,1)="A",H1358,IF(CA1358=1,CB1358,IF(LEFT(Cockpit!$I$5,1)="B",AR1358,MAX(AR1358,H1358))))</f>
        <v>20</v>
      </c>
      <c r="AO1358" s="57" t="n">
        <f aca="false">IF(BT1358=1,0,ROUNDUP(AN1358/BS1358,0))</f>
        <v>1</v>
      </c>
      <c r="AP1358" s="59" t="n">
        <f aca="false">IF(CH1358&gt;0,CH1358*MAX(1,AN1358/X1358),IF(BT1358=1,IF(AN1358&lt;=0,0,BW1358*MAX(1,IF(H1358&gt;0,AN1358/H1358,1))),IF(R1358&gt;0,AO1358/R1358,0))/MAX(0.1,N(Parameter!$M$21)))</f>
        <v>0.166666666666667</v>
      </c>
      <c r="AQ1358" s="57" t="n">
        <f aca="false">AN1358*G1358</f>
        <v>4435.8</v>
      </c>
      <c r="AR1358" s="57" t="n">
        <f aca="false">ROUNDUP(MAX(J1358/IF(BZ1358&gt;0,BZ1358,MAX(0.1,N(Cockpit!$I$6))),CC1358)/BS1358,0)*BS1358</f>
        <v>20</v>
      </c>
      <c r="AS1358" s="58" t="n">
        <f aca="false">IF(AP1358&gt;0,J1358/AP1358,-1)</f>
        <v>30</v>
      </c>
      <c r="AT1358" s="58" t="n">
        <f aca="false">IF(AND(OR(BY1358="L1",BY1358="L23"),AP1358&gt;0),SUMIFS($AP$7:$AP$1843,$BY$7:$BY$1843,BY1358,$AS$7:$AS$1843,"&gt;"&amp;AS1358)+SUMIFS($AP$7:$AP$1843,$BY$7:$BY$1843,BY1358,$AS$7:$AS$1843,AS1358,$BQ$7:$BQ$1843,"&lt;="&amp;BQ1358),"")</f>
        <v>72.993074558292</v>
      </c>
      <c r="AU1358" s="65" t="n">
        <f aca="false">IF(AT1358="",0,MAX(0,MIN(1,(IF(BY1358="L1",Parameter!$E$5,Parameter!$E$6+Parameter!$E$7)-(AT1358-AP1358))/AP1358)))</f>
        <v>1</v>
      </c>
      <c r="AV1358" s="57" t="n">
        <f aca="false">IF(LEFT(Cockpit!$O$5,1)="A",H1358,IF(CA1358=1,CB1358,IF(LEFT(Cockpit!$O$5,1)="B",AZ1358,MAX(AZ1358,H1358))))</f>
        <v>20</v>
      </c>
      <c r="AW1358" s="57" t="n">
        <f aca="false">IF(BT1358=1,0,ROUNDUP(AV1358/BS1358,0))</f>
        <v>1</v>
      </c>
      <c r="AX1358" s="59" t="n">
        <f aca="false">IF(CH1358&gt;0,CH1358*MAX(1,AV1358/X1358),IF(BT1358=1,IF(AV1358&lt;=0,0,BW1358*MAX(1,IF(H1358&gt;0,AV1358/H1358,1))),IF(R1358&gt;0,AW1358/R1358,0))/MAX(0.1,N(Parameter!$M$21)))</f>
        <v>0.166666666666667</v>
      </c>
      <c r="AY1358" s="57" t="n">
        <f aca="false">AV1358*G1358</f>
        <v>4435.8</v>
      </c>
      <c r="AZ1358" s="57" t="n">
        <f aca="false">ROUNDUP(MAX(J1358/IF(BZ1358&gt;0,BZ1358,MAX(0.1,N(Cockpit!$O$6))),CC1358)/BS1358,0)*BS1358</f>
        <v>20</v>
      </c>
      <c r="BA1358" s="58" t="n">
        <f aca="false">IF(AX1358&gt;0,J1358/AX1358,-1)</f>
        <v>30</v>
      </c>
      <c r="BB1358" s="58" t="n">
        <f aca="false">IF(AND(OR(BY1358="L1",BY1358="L23"),AX1358&gt;0),SUMIFS($AX$7:$AX$1843,$BY$7:$BY$1843,BY1358,$BA$7:$BA$1843,"&gt;"&amp;BA1358)+SUMIFS($AX$7:$AX$1843,$BY$7:$BY$1843,BY1358,$BA$7:$BA$1843,BA1358,$BQ$7:$BQ$1843,"&lt;="&amp;BQ1358),"")</f>
        <v>67.4895780547954</v>
      </c>
      <c r="BC1358" s="65" t="n">
        <f aca="false">IF(BB1358="",0,MAX(0,MIN(1,(IF(BY1358="L1",Parameter!$E$5,Parameter!$E$6+Parameter!$E$7)-(BB1358-AX1358))/AX1358)))</f>
        <v>1</v>
      </c>
      <c r="BD1358" s="55" t="str">
        <f aca="false">IF(AH1358&lt;=0,"",IF(BY1358="Aussen","Aussenlager",IF(BY1358="-","Nicht im Lift",IF(AM1358&gt;=1,"Lift",IF(AM1358&lt;=0,"Aussenlager","teilweise")))))</f>
        <v>Lift</v>
      </c>
      <c r="BE1358" s="55" t="str">
        <f aca="false">IF(AP1358&lt;=0,"",IF(BY1358="Aussen","Aussenlager",IF(BY1358="-","Nicht im Lift",IF(AU1358&gt;=1,"Lift",IF(AU1358&lt;=0,"Aussenlager","teilweise")))))</f>
        <v>Lift</v>
      </c>
      <c r="BF1358" s="55" t="str">
        <f aca="false">IF(AX1358&lt;=0,"",IF(BY1358="Aussen","Aussenlager",IF(BY1358="-","Nicht im Lift",IF(BC1358&gt;=1,"Lift",IF(BC1358&lt;=0,"Aussenlager","teilweise")))))</f>
        <v>Lift</v>
      </c>
      <c r="BG1358" s="55" t="str">
        <f aca="false">IF(A1358="","",IF(BP1358=1,"Neu; ","")&amp;IF(AND(BP1358=0,BK1358&lt;0),"negativer Bestand (Export "&amp;BK1358&amp;"); ","")&amp;IF(J1358&lt;=0,"Kein Verbrauch; ","")&amp;IF(CH1358&gt;0,"Lift "&amp;W1358&amp;" lt. Liftbericht (Fach "&amp;X1358&amp;" Stk); ",IF(BU1358=1,"Gebinde geschätzt ("&amp;T1358&amp;"); ",IF(BT1358=1,"Lose – Tablare geschätzt; ","")))&amp;IF(H1358&gt;AR1358,"Überbestand "&amp;ROUND(H1358-AR1358,0)&amp;" Stk / CHF "&amp;ROUND((H1358-AR1358)*G1358,0)&amp;"; ","")&amp;IF(AND(CA1358=1,CB1358&lt;CC1358),"MAX &lt; MB+LG; ","")&amp;IF(AND(CG1358&gt;0,CF1358*10&gt;CG1358),"zu hoch für Tablar; ","")&amp;IF(AND(BP1358=0,OR(CA1358=1,AA1358&lt;&gt;"",U1358&lt;&gt;"",V1358&lt;&gt;"",AB1358&lt;&gt;"")),"manuell übersteuert; ","")&amp;IF(AND(BT1358=0,R1358=0),"Gebinde unbekannt / Stellmass fehlt; ","")&amp;IF(AND(BT1358=0,N(V1358)&lt;=0,N(Q1358)&lt;=0),"Menge pro Gebinde fehlt (Ist = 1 Gebinde); ","")&amp;BO1358)</f>
        <v>negativer Bestand (Export -10); </v>
      </c>
      <c r="BH1358" s="55"/>
      <c r="BI1358" s="55"/>
      <c r="BJ1358" s="62"/>
      <c r="BK1358" s="57" t="n">
        <v>-10</v>
      </c>
      <c r="BL1358" s="57" t="n">
        <v>30</v>
      </c>
      <c r="BM1358" s="56" t="n">
        <v>-2217.9</v>
      </c>
      <c r="BN1358" s="57" t="n">
        <v>5</v>
      </c>
      <c r="BO1358" s="55"/>
      <c r="BP1358" s="60" t="n">
        <v>0</v>
      </c>
      <c r="BQ1358" s="60" t="n">
        <v>1358</v>
      </c>
      <c r="BR1358" s="55" t="str">
        <f aca="false">IF(U1358&lt;&gt;"",UPPER(TRIM(U1358)),IF(BU1358=1,UPPER(VLOOKUP(T1358,Parameter!$I$27:$K$29,2,0)),IF(P1358="","LOSE",P1358)))</f>
        <v>S71</v>
      </c>
      <c r="BS1358" s="57" t="n">
        <f aca="false">IF(BR1358="LOSE",1,IF(N(V1358)&gt;0,V1358,IF(BU1358=1,MAX(1,N(VLOOKUP(T1358,Parameter!$I$27:$K$29,3,0)),H1358,N(N1358)),IF(N(Q1358)&gt;0,Q1358,MAX(1,H1358)))))</f>
        <v>20</v>
      </c>
      <c r="BT1358" s="60" t="n">
        <f aca="false">IF(BR1358="LOSE",1,0)</f>
        <v>0</v>
      </c>
      <c r="BU1358" s="60" t="n">
        <f aca="false">IF(AND(U1358="",OR(P1358="",P1358="LOSE"),T1358&lt;&gt;"",N(S1358)&lt;=0,ISNUMBER(MATCH(T1358,Parameter!$I$27:$I$29,0))),1,0)</f>
        <v>0</v>
      </c>
      <c r="BV1358" s="55" t="str">
        <f aca="false">IF(AND(Parameter!$B$19="Ja",E1358&lt;&gt;"",ISNUMBER(MATCH(E1358,Parameter!$I$35:$I$52,0))),VLOOKUP(E1358,Parameter!$I$35:$J$52,2,0),IFERROR(VLOOKUP(D1358,Parameter!$A$35:$C$64,2,0),"Nein"))</f>
        <v>2+3</v>
      </c>
      <c r="BW1358" s="59" t="n">
        <f aca="false">IF(BT1358=0,0,IF(N(S1358)&gt;0,S1358,IFERROR(VLOOKUP(D1358,Parameter!$A$35:$C$64,3,0)+0,0)))</f>
        <v>0</v>
      </c>
      <c r="BX1358" s="55" t="n">
        <f aca="false">IF(AA1358&lt;&gt;"",AA1358,Z1358)</f>
        <v>2</v>
      </c>
      <c r="BY1358" s="55" t="str">
        <f aca="false">IF(BX1358=1,"L1",IF(OR(BX1358=2,BX1358=3),"L23",IF(BX1358="Aussen","Aussen","-")))</f>
        <v>L23</v>
      </c>
      <c r="BZ1358" s="66" t="n">
        <f aca="false">IF(N(AB1358)&gt;0,AB1358,0)</f>
        <v>0</v>
      </c>
      <c r="CA1358" s="60" t="n">
        <f aca="false">IF(ISNUMBER(AE1358),1,0)</f>
        <v>0</v>
      </c>
      <c r="CB1358" s="57" t="n">
        <f aca="false">N(AE1358)</f>
        <v>0</v>
      </c>
      <c r="CC1358" s="57" t="n">
        <f aca="false">N(M1358)+N(N1358)</f>
        <v>5</v>
      </c>
      <c r="CD1358" s="57" t="n">
        <f aca="false">ROUNDUP(H1358/BS1358,0)</f>
        <v>1</v>
      </c>
      <c r="CE1358" s="57" t="n">
        <f aca="false">ROUNDUP(CB1358/BS1358,0)</f>
        <v>0</v>
      </c>
      <c r="CF1358" s="60" t="n">
        <f aca="false">IF(BT1358=1,0,IFERROR(VLOOKUP(BR1358,'Gebinde-Kategorie'!$A$5:$M$45,5,0)+0,0))</f>
        <v>20</v>
      </c>
      <c r="CG1358" s="60" t="n">
        <f aca="false">IFERROR(IF(OR(BX1358=1,BX1358=2,BX1358=3),N(INDEX(Parameter!$I$5:$I$7,BX1358)),0),0)</f>
        <v>0</v>
      </c>
      <c r="CH1358" s="59" t="n">
        <f aca="false">IF(AND(Parameter!$B$21="Ja",ISNUMBER(W1358),N(X1358)&gt;0),IFERROR(N(INDEX(Parameter!$L$5:$L$7,W1358))*INDEX(Parameter!$E$5:$E$7,W1358)*X1358/SUMIFS($X$7:$X$1843,$W$7:$W$1843,W1358),0),0)</f>
        <v>0</v>
      </c>
    </row>
    <row r="1359" customFormat="false" ht="15" hidden="false" customHeight="false" outlineLevel="0" collapsed="false">
      <c r="A1359" s="55" t="s">
        <v>2396</v>
      </c>
      <c r="B1359" s="55" t="s">
        <v>598</v>
      </c>
      <c r="C1359" s="55" t="s">
        <v>164</v>
      </c>
      <c r="D1359" s="55" t="s">
        <v>184</v>
      </c>
      <c r="E1359" s="55" t="s">
        <v>185</v>
      </c>
      <c r="F1359" s="55" t="s">
        <v>218</v>
      </c>
      <c r="G1359" s="56" t="n">
        <v>49.99</v>
      </c>
      <c r="H1359" s="57" t="n">
        <f aca="false">MAX(0,IF(AND(Parameter!$B$21="Ja",ISNUMBER(Y1359)),Y1359,IF(Parameter!$B$20="Jahresanfang 2025 + Export",BL1359+BK1359,BK1359)))</f>
        <v>63</v>
      </c>
      <c r="I1359" s="57" t="n">
        <f aca="false">H1359*G1359</f>
        <v>3149.37</v>
      </c>
      <c r="J1359" s="57" t="n">
        <f aca="false">BN1359*Parameter!$B$18</f>
        <v>30</v>
      </c>
      <c r="K1359" s="58" t="n">
        <v>92.5</v>
      </c>
      <c r="L1359" s="59" t="n">
        <v>0.324324324324324</v>
      </c>
      <c r="M1359" s="57" t="n">
        <v>2</v>
      </c>
      <c r="N1359" s="57" t="n">
        <v>30</v>
      </c>
      <c r="O1359" s="60" t="n">
        <v>28</v>
      </c>
      <c r="P1359" s="55" t="s">
        <v>302</v>
      </c>
      <c r="Q1359" s="57" t="n">
        <v>161</v>
      </c>
      <c r="R1359" s="60" t="n">
        <f aca="false">IF(BT1359=1,0,IFERROR(VLOOKUP(BR1359,'Gebinde-Kategorie'!$A$5:$M$45,13,0)+0,0))</f>
        <v>26</v>
      </c>
      <c r="S1359" s="61"/>
      <c r="T1359" s="62"/>
      <c r="U1359" s="62"/>
      <c r="V1359" s="62"/>
      <c r="W1359" s="55"/>
      <c r="X1359" s="57"/>
      <c r="Y1359" s="57"/>
      <c r="Z1359" s="55" t="n">
        <f aca="false">IF(A1359="","",IF(AND(Parameter!$B$21="Ja",ISNUMBER(W1359)),W1359,IF(BV1359="2+3",IF(ISNUMBER(SEARCH("grosser Artikel",BO1359)),2,IFERROR(VLOOKUP(BR1359,Parameter!$F$35:$G$64,2,0),2)),IF(OR(BV1359="Nein",BV1359=""),"-",BV1359))))</f>
        <v>3</v>
      </c>
      <c r="AA1359" s="62"/>
      <c r="AB1359" s="63"/>
      <c r="AC1359" s="57" t="n">
        <f aca="false">AR1359</f>
        <v>161</v>
      </c>
      <c r="AD1359" s="57" t="n">
        <f aca="false">MAX(AR1359,H1359)</f>
        <v>161</v>
      </c>
      <c r="AE1359" s="64"/>
      <c r="AF1359" s="57" t="n">
        <f aca="false">IF(LEFT(Cockpit!$C$5,1)="A",H1359,IF(CA1359=1,CB1359,IF(LEFT(Cockpit!$C$5,1)="B",AJ1359,MAX(AJ1359,H1359))))</f>
        <v>63</v>
      </c>
      <c r="AG1359" s="57" t="n">
        <f aca="false">IF(BT1359=1,0,ROUNDUP(AF1359/BS1359,0))</f>
        <v>1</v>
      </c>
      <c r="AH1359" s="59" t="n">
        <f aca="false">IF(CH1359&gt;0,CH1359*MAX(1,AF1359/X1359),IF(BT1359=1,IF(AF1359&lt;=0,0,BW1359*MAX(1,IF(H1359&gt;0,AF1359/H1359,1))),IF(R1359&gt;0,AG1359/R1359,0))/MAX(0.1,N(Parameter!$M$21)))</f>
        <v>0.0384615384615385</v>
      </c>
      <c r="AI1359" s="57" t="n">
        <f aca="false">AF1359*G1359</f>
        <v>3149.37</v>
      </c>
      <c r="AJ1359" s="57" t="n">
        <f aca="false">ROUNDUP(MAX(J1359/IF(BZ1359&gt;0,BZ1359,MAX(0.1,N(Cockpit!$C$6))),CC1359)/BS1359,0)*BS1359</f>
        <v>161</v>
      </c>
      <c r="AK1359" s="58" t="n">
        <f aca="false">IF(AH1359&gt;0,J1359/AH1359,-1)</f>
        <v>780</v>
      </c>
      <c r="AL1359" s="58" t="n">
        <f aca="false">IF(AND(OR(BY1359="L1",BY1359="L23"),AH1359&gt;0),SUMIFS($AH$7:$AH$1843,$BY$7:$BY$1843,BY1359,$AK$7:$AK$1843,"&gt;"&amp;AK1359)+SUMIFS($AH$7:$AH$1843,$BY$7:$BY$1843,BY1359,$AK$7:$AK$1843,AK1359,$BQ$7:$BQ$1843,"&lt;="&amp;BQ1359),"")</f>
        <v>20.9261849261849</v>
      </c>
      <c r="AM1359" s="65" t="n">
        <f aca="false">IF(AL1359="",0,MAX(0,MIN(1,(IF(BY1359="L1",Parameter!$E$5,Parameter!$E$6+Parameter!$E$7)-(AL1359-AH1359))/AH1359)))</f>
        <v>1</v>
      </c>
      <c r="AN1359" s="57" t="n">
        <f aca="false">IF(LEFT(Cockpit!$I$5,1)="A",H1359,IF(CA1359=1,CB1359,IF(LEFT(Cockpit!$I$5,1)="B",AR1359,MAX(AR1359,H1359))))</f>
        <v>161</v>
      </c>
      <c r="AO1359" s="57" t="n">
        <f aca="false">IF(BT1359=1,0,ROUNDUP(AN1359/BS1359,0))</f>
        <v>1</v>
      </c>
      <c r="AP1359" s="59" t="n">
        <f aca="false">IF(CH1359&gt;0,CH1359*MAX(1,AN1359/X1359),IF(BT1359=1,IF(AN1359&lt;=0,0,BW1359*MAX(1,IF(H1359&gt;0,AN1359/H1359,1))),IF(R1359&gt;0,AO1359/R1359,0))/MAX(0.1,N(Parameter!$M$21)))</f>
        <v>0.0384615384615385</v>
      </c>
      <c r="AQ1359" s="57" t="n">
        <f aca="false">AN1359*G1359</f>
        <v>8048.39</v>
      </c>
      <c r="AR1359" s="57" t="n">
        <f aca="false">ROUNDUP(MAX(J1359/IF(BZ1359&gt;0,BZ1359,MAX(0.1,N(Cockpit!$I$6))),CC1359)/BS1359,0)*BS1359</f>
        <v>161</v>
      </c>
      <c r="AS1359" s="58" t="n">
        <f aca="false">IF(AP1359&gt;0,J1359/AP1359,-1)</f>
        <v>780</v>
      </c>
      <c r="AT1359" s="58" t="n">
        <f aca="false">IF(AND(OR(BY1359="L1",BY1359="L23"),AP1359&gt;0),SUMIFS($AP$7:$AP$1843,$BY$7:$BY$1843,BY1359,$AS$7:$AS$1843,"&gt;"&amp;AS1359)+SUMIFS($AP$7:$AP$1843,$BY$7:$BY$1843,BY1359,$AS$7:$AS$1843,AS1359,$BQ$7:$BQ$1843,"&lt;="&amp;BQ1359),"")</f>
        <v>26.6517009560488</v>
      </c>
      <c r="AU1359" s="65" t="n">
        <f aca="false">IF(AT1359="",0,MAX(0,MIN(1,(IF(BY1359="L1",Parameter!$E$5,Parameter!$E$6+Parameter!$E$7)-(AT1359-AP1359))/AP1359)))</f>
        <v>1</v>
      </c>
      <c r="AV1359" s="57" t="n">
        <f aca="false">IF(LEFT(Cockpit!$O$5,1)="A",H1359,IF(CA1359=1,CB1359,IF(LEFT(Cockpit!$O$5,1)="B",AZ1359,MAX(AZ1359,H1359))))</f>
        <v>161</v>
      </c>
      <c r="AW1359" s="57" t="n">
        <f aca="false">IF(BT1359=1,0,ROUNDUP(AV1359/BS1359,0))</f>
        <v>1</v>
      </c>
      <c r="AX1359" s="59" t="n">
        <f aca="false">IF(CH1359&gt;0,CH1359*MAX(1,AV1359/X1359),IF(BT1359=1,IF(AV1359&lt;=0,0,BW1359*MAX(1,IF(H1359&gt;0,AV1359/H1359,1))),IF(R1359&gt;0,AW1359/R1359,0))/MAX(0.1,N(Parameter!$M$21)))</f>
        <v>0.0384615384615385</v>
      </c>
      <c r="AY1359" s="57" t="n">
        <f aca="false">AV1359*G1359</f>
        <v>8048.39</v>
      </c>
      <c r="AZ1359" s="57" t="n">
        <f aca="false">ROUNDUP(MAX(J1359/IF(BZ1359&gt;0,BZ1359,MAX(0.1,N(Cockpit!$O$6))),CC1359)/BS1359,0)*BS1359</f>
        <v>161</v>
      </c>
      <c r="BA1359" s="58" t="n">
        <f aca="false">IF(AX1359&gt;0,J1359/AX1359,-1)</f>
        <v>780</v>
      </c>
      <c r="BB1359" s="58" t="n">
        <f aca="false">IF(AND(OR(BY1359="L1",BY1359="L23"),AX1359&gt;0),SUMIFS($AX$7:$AX$1843,$BY$7:$BY$1843,BY1359,$BA$7:$BA$1843,"&gt;"&amp;BA1359)+SUMIFS($AX$7:$AX$1843,$BY$7:$BY$1843,BY1359,$BA$7:$BA$1843,BA1359,$BQ$7:$BQ$1843,"&lt;="&amp;BQ1359),"")</f>
        <v>26.1033326576805</v>
      </c>
      <c r="BC1359" s="65" t="n">
        <f aca="false">IF(BB1359="",0,MAX(0,MIN(1,(IF(BY1359="L1",Parameter!$E$5,Parameter!$E$6+Parameter!$E$7)-(BB1359-AX1359))/AX1359)))</f>
        <v>1</v>
      </c>
      <c r="BD1359" s="55" t="str">
        <f aca="false">IF(AH1359&lt;=0,"",IF(BY1359="Aussen","Aussenlager",IF(BY1359="-","Nicht im Lift",IF(AM1359&gt;=1,"Lift",IF(AM1359&lt;=0,"Aussenlager","teilweise")))))</f>
        <v>Lift</v>
      </c>
      <c r="BE1359" s="55" t="str">
        <f aca="false">IF(AP1359&lt;=0,"",IF(BY1359="Aussen","Aussenlager",IF(BY1359="-","Nicht im Lift",IF(AU1359&gt;=1,"Lift",IF(AU1359&lt;=0,"Aussenlager","teilweise")))))</f>
        <v>Lift</v>
      </c>
      <c r="BF1359" s="55" t="str">
        <f aca="false">IF(AX1359&lt;=0,"",IF(BY1359="Aussen","Aussenlager",IF(BY1359="-","Nicht im Lift",IF(BC1359&gt;=1,"Lift",IF(BC1359&lt;=0,"Aussenlager","teilweise")))))</f>
        <v>Lift</v>
      </c>
      <c r="BG1359" s="55" t="str">
        <f aca="false">IF(A1359="","",IF(BP1359=1,"Neu; ","")&amp;IF(AND(BP1359=0,BK1359&lt;0),"negativer Bestand (Export "&amp;BK1359&amp;"); ","")&amp;IF(J1359&lt;=0,"Kein Verbrauch; ","")&amp;IF(CH1359&gt;0,"Lift "&amp;W1359&amp;" lt. Liftbericht (Fach "&amp;X1359&amp;" Stk); ",IF(BU1359=1,"Gebinde geschätzt ("&amp;T1359&amp;"); ",IF(BT1359=1,"Lose – Tablare geschätzt; ","")))&amp;IF(H1359&gt;AR1359,"Überbestand "&amp;ROUND(H1359-AR1359,0)&amp;" Stk / CHF "&amp;ROUND((H1359-AR1359)*G1359,0)&amp;"; ","")&amp;IF(AND(CA1359=1,CB1359&lt;CC1359),"MAX &lt; MB+LG; ","")&amp;IF(AND(CG1359&gt;0,CF1359*10&gt;CG1359),"zu hoch für Tablar; ","")&amp;IF(AND(BP1359=0,OR(CA1359=1,AA1359&lt;&gt;"",U1359&lt;&gt;"",V1359&lt;&gt;"",AB1359&lt;&gt;"")),"manuell übersteuert; ","")&amp;IF(AND(BT1359=0,R1359=0),"Gebinde unbekannt / Stellmass fehlt; ","")&amp;IF(AND(BT1359=0,N(V1359)&lt;=0,N(Q1359)&lt;=0),"Menge pro Gebinde fehlt (Ist = 1 Gebinde); ","")&amp;BO1359)</f>
        <v>negativer Bestand (Export -45); </v>
      </c>
      <c r="BH1359" s="55"/>
      <c r="BI1359" s="55"/>
      <c r="BJ1359" s="62"/>
      <c r="BK1359" s="57" t="n">
        <v>-45</v>
      </c>
      <c r="BL1359" s="57" t="n">
        <v>108</v>
      </c>
      <c r="BM1359" s="56" t="n">
        <v>-2249.55</v>
      </c>
      <c r="BN1359" s="57" t="n">
        <v>30</v>
      </c>
      <c r="BO1359" s="55"/>
      <c r="BP1359" s="60" t="n">
        <v>0</v>
      </c>
      <c r="BQ1359" s="60" t="n">
        <v>1359</v>
      </c>
      <c r="BR1359" s="55" t="str">
        <f aca="false">IF(U1359&lt;&gt;"",UPPER(TRIM(U1359)),IF(BU1359=1,UPPER(VLOOKUP(T1359,Parameter!$I$27:$K$29,2,0)),IF(P1359="","LOSE",P1359)))</f>
        <v>S51</v>
      </c>
      <c r="BS1359" s="57" t="n">
        <f aca="false">IF(BR1359="LOSE",1,IF(N(V1359)&gt;0,V1359,IF(BU1359=1,MAX(1,N(VLOOKUP(T1359,Parameter!$I$27:$K$29,3,0)),H1359,N(N1359)),IF(N(Q1359)&gt;0,Q1359,MAX(1,H1359)))))</f>
        <v>161</v>
      </c>
      <c r="BT1359" s="60" t="n">
        <f aca="false">IF(BR1359="LOSE",1,0)</f>
        <v>0</v>
      </c>
      <c r="BU1359" s="60" t="n">
        <f aca="false">IF(AND(U1359="",OR(P1359="",P1359="LOSE"),T1359&lt;&gt;"",N(S1359)&lt;=0,ISNUMBER(MATCH(T1359,Parameter!$I$27:$I$29,0))),1,0)</f>
        <v>0</v>
      </c>
      <c r="BV1359" s="55" t="str">
        <f aca="false">IF(AND(Parameter!$B$19="Ja",E1359&lt;&gt;"",ISNUMBER(MATCH(E1359,Parameter!$I$35:$I$52,0))),VLOOKUP(E1359,Parameter!$I$35:$J$52,2,0),IFERROR(VLOOKUP(D1359,Parameter!$A$35:$C$64,2,0),"Nein"))</f>
        <v>2+3</v>
      </c>
      <c r="BW1359" s="59" t="n">
        <f aca="false">IF(BT1359=0,0,IF(N(S1359)&gt;0,S1359,IFERROR(VLOOKUP(D1359,Parameter!$A$35:$C$64,3,0)+0,0)))</f>
        <v>0</v>
      </c>
      <c r="BX1359" s="55" t="n">
        <f aca="false">IF(AA1359&lt;&gt;"",AA1359,Z1359)</f>
        <v>3</v>
      </c>
      <c r="BY1359" s="55" t="str">
        <f aca="false">IF(BX1359=1,"L1",IF(OR(BX1359=2,BX1359=3),"L23",IF(BX1359="Aussen","Aussen","-")))</f>
        <v>L23</v>
      </c>
      <c r="BZ1359" s="66" t="n">
        <f aca="false">IF(N(AB1359)&gt;0,AB1359,0)</f>
        <v>0</v>
      </c>
      <c r="CA1359" s="60" t="n">
        <f aca="false">IF(ISNUMBER(AE1359),1,0)</f>
        <v>0</v>
      </c>
      <c r="CB1359" s="57" t="n">
        <f aca="false">N(AE1359)</f>
        <v>0</v>
      </c>
      <c r="CC1359" s="57" t="n">
        <f aca="false">N(M1359)+N(N1359)</f>
        <v>32</v>
      </c>
      <c r="CD1359" s="57" t="n">
        <f aca="false">ROUNDUP(H1359/BS1359,0)</f>
        <v>1</v>
      </c>
      <c r="CE1359" s="57" t="n">
        <f aca="false">ROUNDUP(CB1359/BS1359,0)</f>
        <v>0</v>
      </c>
      <c r="CF1359" s="60" t="n">
        <f aca="false">IF(BT1359=1,0,IFERROR(VLOOKUP(BR1359,'Gebinde-Kategorie'!$A$5:$M$45,5,0)+0,0))</f>
        <v>11</v>
      </c>
      <c r="CG1359" s="60" t="n">
        <f aca="false">IFERROR(IF(OR(BX1359=1,BX1359=2,BX1359=3),N(INDEX(Parameter!$I$5:$I$7,BX1359)),0),0)</f>
        <v>0</v>
      </c>
      <c r="CH1359" s="59" t="n">
        <f aca="false">IF(AND(Parameter!$B$21="Ja",ISNUMBER(W1359),N(X1359)&gt;0),IFERROR(N(INDEX(Parameter!$L$5:$L$7,W1359))*INDEX(Parameter!$E$5:$E$7,W1359)*X1359/SUMIFS($X$7:$X$1843,$W$7:$W$1843,W1359),0),0)</f>
        <v>0</v>
      </c>
    </row>
    <row r="1360" customFormat="false" ht="15" hidden="false" customHeight="false" outlineLevel="0" collapsed="false">
      <c r="A1360" s="55" t="s">
        <v>2397</v>
      </c>
      <c r="B1360" s="55" t="s">
        <v>206</v>
      </c>
      <c r="C1360" s="55" t="s">
        <v>167</v>
      </c>
      <c r="D1360" s="55" t="s">
        <v>173</v>
      </c>
      <c r="E1360" s="55" t="s">
        <v>166</v>
      </c>
      <c r="F1360" s="55" t="s">
        <v>218</v>
      </c>
      <c r="G1360" s="56" t="n">
        <v>2326.66</v>
      </c>
      <c r="H1360" s="57" t="n">
        <f aca="false">MAX(0,IF(AND(Parameter!$B$21="Ja",ISNUMBER(Y1360)),Y1360,IF(Parameter!$B$20="Jahresanfang 2025 + Export",BL1360+BK1360,BK1360)))</f>
        <v>1</v>
      </c>
      <c r="I1360" s="57" t="n">
        <f aca="false">H1360*G1360</f>
        <v>2326.66</v>
      </c>
      <c r="J1360" s="57" t="n">
        <f aca="false">BN1360*Parameter!$B$18</f>
        <v>0</v>
      </c>
      <c r="K1360" s="58" t="n">
        <v>10</v>
      </c>
      <c r="L1360" s="59" t="n">
        <v>0</v>
      </c>
      <c r="M1360" s="57" t="n">
        <v>0</v>
      </c>
      <c r="N1360" s="57" t="n">
        <v>1</v>
      </c>
      <c r="O1360" s="60" t="n">
        <v>49</v>
      </c>
      <c r="P1360" s="55" t="s">
        <v>168</v>
      </c>
      <c r="Q1360" s="57"/>
      <c r="R1360" s="60" t="n">
        <f aca="false">IF(BT1360=1,0,IFERROR(VLOOKUP(BR1360,'Gebinde-Kategorie'!$A$5:$M$45,13,0)+0,0))</f>
        <v>0</v>
      </c>
      <c r="S1360" s="61"/>
      <c r="T1360" s="62"/>
      <c r="U1360" s="62"/>
      <c r="V1360" s="62"/>
      <c r="W1360" s="55" t="n">
        <v>1</v>
      </c>
      <c r="X1360" s="57" t="n">
        <v>1</v>
      </c>
      <c r="Y1360" s="57" t="n">
        <v>1</v>
      </c>
      <c r="Z1360" s="55" t="n">
        <f aca="false">IF(A1360="","",IF(AND(Parameter!$B$21="Ja",ISNUMBER(W1360)),W1360,IF(BV1360="2+3",IF(ISNUMBER(SEARCH("grosser Artikel",BO1360)),2,IFERROR(VLOOKUP(BR1360,Parameter!$F$35:$G$64,2,0),2)),IF(OR(BV1360="Nein",BV1360=""),"-",BV1360))))</f>
        <v>1</v>
      </c>
      <c r="AA1360" s="62"/>
      <c r="AB1360" s="63"/>
      <c r="AC1360" s="57" t="n">
        <f aca="false">AR1360</f>
        <v>1</v>
      </c>
      <c r="AD1360" s="57" t="n">
        <f aca="false">MAX(AR1360,H1360)</f>
        <v>1</v>
      </c>
      <c r="AE1360" s="64"/>
      <c r="AF1360" s="57" t="n">
        <f aca="false">IF(LEFT(Cockpit!$C$5,1)="A",H1360,IF(CA1360=1,CB1360,IF(LEFT(Cockpit!$C$5,1)="B",AJ1360,MAX(AJ1360,H1360))))</f>
        <v>1</v>
      </c>
      <c r="AG1360" s="57" t="n">
        <f aca="false">IF(BT1360=1,0,ROUNDUP(AF1360/BS1360,0))</f>
        <v>0</v>
      </c>
      <c r="AH1360" s="59" t="n">
        <f aca="false">IF(CH1360&gt;0,CH1360*MAX(1,AF1360/X1360),IF(BT1360=1,IF(AF1360&lt;=0,0,BW1360*MAX(1,IF(H1360&gt;0,AF1360/H1360,1))),IF(R1360&gt;0,AG1360/R1360,0))/MAX(0.1,N(Parameter!$M$21)))</f>
        <v>0.0800376647834275</v>
      </c>
      <c r="AI1360" s="57" t="n">
        <f aca="false">AF1360*G1360</f>
        <v>2326.66</v>
      </c>
      <c r="AJ1360" s="57" t="n">
        <f aca="false">ROUNDUP(MAX(J1360/IF(BZ1360&gt;0,BZ1360,MAX(0.1,N(Cockpit!$C$6))),CC1360)/BS1360,0)*BS1360</f>
        <v>1</v>
      </c>
      <c r="AK1360" s="58" t="n">
        <f aca="false">IF(AH1360&gt;0,J1360/AH1360,-1)</f>
        <v>0</v>
      </c>
      <c r="AL1360" s="58" t="n">
        <f aca="false">IF(AND(OR(BY1360="L1",BY1360="L23"),AH1360&gt;0),SUMIFS($AH$7:$AH$1843,$BY$7:$BY$1843,BY1360,$AK$7:$AK$1843,"&gt;"&amp;AK1360)+SUMIFS($AH$7:$AH$1843,$BY$7:$BY$1843,BY1360,$AK$7:$AK$1843,AK1360,$BQ$7:$BQ$1843,"&lt;="&amp;BQ1360),"")</f>
        <v>52.5755500129118</v>
      </c>
      <c r="AM1360" s="65" t="n">
        <f aca="false">IF(AL1360="",0,MAX(0,MIN(1,(IF(BY1360="L1",Parameter!$E$5,Parameter!$E$6+Parameter!$E$7)-(AL1360-AH1360))/AH1360)))</f>
        <v>0</v>
      </c>
      <c r="AN1360" s="57" t="n">
        <f aca="false">IF(LEFT(Cockpit!$I$5,1)="A",H1360,IF(CA1360=1,CB1360,IF(LEFT(Cockpit!$I$5,1)="B",AR1360,MAX(AR1360,H1360))))</f>
        <v>1</v>
      </c>
      <c r="AO1360" s="57" t="n">
        <f aca="false">IF(BT1360=1,0,ROUNDUP(AN1360/BS1360,0))</f>
        <v>0</v>
      </c>
      <c r="AP1360" s="59" t="n">
        <f aca="false">IF(CH1360&gt;0,CH1360*MAX(1,AN1360/X1360),IF(BT1360=1,IF(AN1360&lt;=0,0,BW1360*MAX(1,IF(H1360&gt;0,AN1360/H1360,1))),IF(R1360&gt;0,AO1360/R1360,0))/MAX(0.1,N(Parameter!$M$21)))</f>
        <v>0.0800376647834275</v>
      </c>
      <c r="AQ1360" s="57" t="n">
        <f aca="false">AN1360*G1360</f>
        <v>2326.66</v>
      </c>
      <c r="AR1360" s="57" t="n">
        <f aca="false">ROUNDUP(MAX(J1360/IF(BZ1360&gt;0,BZ1360,MAX(0.1,N(Cockpit!$I$6))),CC1360)/BS1360,0)*BS1360</f>
        <v>1</v>
      </c>
      <c r="AS1360" s="58" t="n">
        <f aca="false">IF(AP1360&gt;0,J1360/AP1360,-1)</f>
        <v>0</v>
      </c>
      <c r="AT1360" s="58" t="n">
        <f aca="false">IF(AND(OR(BY1360="L1",BY1360="L23"),AP1360&gt;0),SUMIFS($AP$7:$AP$1843,$BY$7:$BY$1843,BY1360,$AS$7:$AS$1843,"&gt;"&amp;AS1360)+SUMIFS($AP$7:$AP$1843,$BY$7:$BY$1843,BY1360,$AS$7:$AS$1843,AS1360,$BQ$7:$BQ$1843,"&lt;="&amp;BQ1360),"")</f>
        <v>68.0884429580082</v>
      </c>
      <c r="AU1360" s="65" t="n">
        <f aca="false">IF(AT1360="",0,MAX(0,MIN(1,(IF(BY1360="L1",Parameter!$E$5,Parameter!$E$6+Parameter!$E$7)-(AT1360-AP1360))/AP1360)))</f>
        <v>0</v>
      </c>
      <c r="AV1360" s="57" t="n">
        <f aca="false">IF(LEFT(Cockpit!$O$5,1)="A",H1360,IF(CA1360=1,CB1360,IF(LEFT(Cockpit!$O$5,1)="B",AZ1360,MAX(AZ1360,H1360))))</f>
        <v>1</v>
      </c>
      <c r="AW1360" s="57" t="n">
        <f aca="false">IF(BT1360=1,0,ROUNDUP(AV1360/BS1360,0))</f>
        <v>0</v>
      </c>
      <c r="AX1360" s="59" t="n">
        <f aca="false">IF(CH1360&gt;0,CH1360*MAX(1,AV1360/X1360),IF(BT1360=1,IF(AV1360&lt;=0,0,BW1360*MAX(1,IF(H1360&gt;0,AV1360/H1360,1))),IF(R1360&gt;0,AW1360/R1360,0))/MAX(0.1,N(Parameter!$M$21)))</f>
        <v>0.0800376647834275</v>
      </c>
      <c r="AY1360" s="57" t="n">
        <f aca="false">AV1360*G1360</f>
        <v>2326.66</v>
      </c>
      <c r="AZ1360" s="57" t="n">
        <f aca="false">ROUNDUP(MAX(J1360/IF(BZ1360&gt;0,BZ1360,MAX(0.1,N(Cockpit!$O$6))),CC1360)/BS1360,0)*BS1360</f>
        <v>1</v>
      </c>
      <c r="BA1360" s="58" t="n">
        <f aca="false">IF(AX1360&gt;0,J1360/AX1360,-1)</f>
        <v>0</v>
      </c>
      <c r="BB1360" s="58" t="n">
        <f aca="false">IF(AND(OR(BY1360="L1",BY1360="L23"),AX1360&gt;0),SUMIFS($AX$7:$AX$1843,$BY$7:$BY$1843,BY1360,$BA$7:$BA$1843,"&gt;"&amp;BA1360)+SUMIFS($AX$7:$AX$1843,$BY$7:$BY$1843,BY1360,$BA$7:$BA$1843,BA1360,$BQ$7:$BQ$1843,"&lt;="&amp;BQ1360),"")</f>
        <v>61.7552544892265</v>
      </c>
      <c r="BC1360" s="65" t="n">
        <f aca="false">IF(BB1360="",0,MAX(0,MIN(1,(IF(BY1360="L1",Parameter!$E$5,Parameter!$E$6+Parameter!$E$7)-(BB1360-AX1360))/AX1360)))</f>
        <v>0</v>
      </c>
      <c r="BD1360" s="55" t="str">
        <f aca="false">IF(AH1360&lt;=0,"",IF(BY1360="Aussen","Aussenlager",IF(BY1360="-","Nicht im Lift",IF(AM1360&gt;=1,"Lift",IF(AM1360&lt;=0,"Aussenlager","teilweise")))))</f>
        <v>Aussenlager</v>
      </c>
      <c r="BE1360" s="55" t="str">
        <f aca="false">IF(AP1360&lt;=0,"",IF(BY1360="Aussen","Aussenlager",IF(BY1360="-","Nicht im Lift",IF(AU1360&gt;=1,"Lift",IF(AU1360&lt;=0,"Aussenlager","teilweise")))))</f>
        <v>Aussenlager</v>
      </c>
      <c r="BF1360" s="55" t="str">
        <f aca="false">IF(AX1360&lt;=0,"",IF(BY1360="Aussen","Aussenlager",IF(BY1360="-","Nicht im Lift",IF(BC1360&gt;=1,"Lift",IF(BC1360&lt;=0,"Aussenlager","teilweise")))))</f>
        <v>Aussenlager</v>
      </c>
      <c r="BG1360" s="55" t="str">
        <f aca="false">IF(A1360="","",IF(BP1360=1,"Neu; ","")&amp;IF(AND(BP1360=0,BK1360&lt;0),"negativer Bestand (Export "&amp;BK1360&amp;"); ","")&amp;IF(J1360&lt;=0,"Kein Verbrauch; ","")&amp;IF(CH1360&gt;0,"Lift "&amp;W1360&amp;" lt. Liftbericht (Fach "&amp;X1360&amp;" Stk); ",IF(BU1360=1,"Gebinde geschätzt ("&amp;T1360&amp;"); ",IF(BT1360=1,"Lose – Tablare geschätzt; ","")))&amp;IF(H1360&gt;AR1360,"Überbestand "&amp;ROUND(H1360-AR1360,0)&amp;" Stk / CHF "&amp;ROUND((H1360-AR1360)*G1360,0)&amp;"; ","")&amp;IF(AND(CA1360=1,CB1360&lt;CC1360),"MAX &lt; MB+LG; ","")&amp;IF(AND(CG1360&gt;0,CF1360*10&gt;CG1360),"zu hoch für Tablar; ","")&amp;IF(AND(BP1360=0,OR(CA1360=1,AA1360&lt;&gt;"",U1360&lt;&gt;"",V1360&lt;&gt;"",AB1360&lt;&gt;"")),"manuell übersteuert; ","")&amp;IF(AND(BT1360=0,R1360=0),"Gebinde unbekannt / Stellmass fehlt; ","")&amp;IF(AND(BT1360=0,N(V1360)&lt;=0,N(Q1360)&lt;=0),"Menge pro Gebinde fehlt (Ist = 1 Gebinde); ","")&amp;BO1360)</f>
        <v>negativer Bestand (Export -1); Kein Verbrauch; Lift 1 lt. Liftbericht (Fach 1 Stk); Standartdüse</v>
      </c>
      <c r="BH1360" s="55"/>
      <c r="BI1360" s="55"/>
      <c r="BJ1360" s="62"/>
      <c r="BK1360" s="57" t="n">
        <v>-1</v>
      </c>
      <c r="BL1360" s="57" t="n">
        <v>10</v>
      </c>
      <c r="BM1360" s="56" t="n">
        <v>-2326.66</v>
      </c>
      <c r="BN1360" s="57" t="n">
        <v>0</v>
      </c>
      <c r="BO1360" s="55" t="s">
        <v>2398</v>
      </c>
      <c r="BP1360" s="60" t="n">
        <v>0</v>
      </c>
      <c r="BQ1360" s="60" t="n">
        <v>1360</v>
      </c>
      <c r="BR1360" s="55" t="str">
        <f aca="false">IF(U1360&lt;&gt;"",UPPER(TRIM(U1360)),IF(BU1360=1,UPPER(VLOOKUP(T1360,Parameter!$I$27:$K$29,2,0)),IF(P1360="","LOSE",P1360)))</f>
        <v>LOSE</v>
      </c>
      <c r="BS1360" s="57" t="n">
        <f aca="false">IF(BR1360="LOSE",1,IF(N(V1360)&gt;0,V1360,IF(BU1360=1,MAX(1,N(VLOOKUP(T1360,Parameter!$I$27:$K$29,3,0)),H1360,N(N1360)),IF(N(Q1360)&gt;0,Q1360,MAX(1,H1360)))))</f>
        <v>1</v>
      </c>
      <c r="BT1360" s="60" t="n">
        <f aca="false">IF(BR1360="LOSE",1,0)</f>
        <v>1</v>
      </c>
      <c r="BU1360" s="60" t="n">
        <f aca="false">IF(AND(U1360="",OR(P1360="",P1360="LOSE"),T1360&lt;&gt;"",N(S1360)&lt;=0,ISNUMBER(MATCH(T1360,Parameter!$I$27:$I$29,0))),1,0)</f>
        <v>0</v>
      </c>
      <c r="BV1360" s="55" t="n">
        <f aca="false">IF(AND(Parameter!$B$19="Ja",E1360&lt;&gt;"",ISNUMBER(MATCH(E1360,Parameter!$I$35:$I$52,0))),VLOOKUP(E1360,Parameter!$I$35:$J$52,2,0),IFERROR(VLOOKUP(D1360,Parameter!$A$35:$C$64,2,0),"Nein"))</f>
        <v>1</v>
      </c>
      <c r="BW1360" s="59" t="n">
        <f aca="false">IF(BT1360=0,0,IF(N(S1360)&gt;0,S1360,IFERROR(VLOOKUP(D1360,Parameter!$A$35:$C$64,3,0)+0,0)))</f>
        <v>0.15</v>
      </c>
      <c r="BX1360" s="55" t="n">
        <f aca="false">IF(AA1360&lt;&gt;"",AA1360,Z1360)</f>
        <v>1</v>
      </c>
      <c r="BY1360" s="55" t="str">
        <f aca="false">IF(BX1360=1,"L1",IF(OR(BX1360=2,BX1360=3),"L23",IF(BX1360="Aussen","Aussen","-")))</f>
        <v>L1</v>
      </c>
      <c r="BZ1360" s="66" t="n">
        <f aca="false">IF(N(AB1360)&gt;0,AB1360,0)</f>
        <v>0</v>
      </c>
      <c r="CA1360" s="60" t="n">
        <f aca="false">IF(ISNUMBER(AE1360),1,0)</f>
        <v>0</v>
      </c>
      <c r="CB1360" s="57" t="n">
        <f aca="false">N(AE1360)</f>
        <v>0</v>
      </c>
      <c r="CC1360" s="57" t="n">
        <f aca="false">N(M1360)+N(N1360)</f>
        <v>1</v>
      </c>
      <c r="CD1360" s="57" t="n">
        <f aca="false">ROUNDUP(H1360/BS1360,0)</f>
        <v>1</v>
      </c>
      <c r="CE1360" s="57" t="n">
        <f aca="false">ROUNDUP(CB1360/BS1360,0)</f>
        <v>0</v>
      </c>
      <c r="CF1360" s="60" t="n">
        <f aca="false">IF(BT1360=1,0,IFERROR(VLOOKUP(BR1360,'Gebinde-Kategorie'!$A$5:$M$45,5,0)+0,0))</f>
        <v>0</v>
      </c>
      <c r="CG1360" s="60" t="n">
        <f aca="false">IFERROR(IF(OR(BX1360=1,BX1360=2,BX1360=3),N(INDEX(Parameter!$I$5:$I$7,BX1360)),0),0)</f>
        <v>0</v>
      </c>
      <c r="CH1360" s="59" t="n">
        <f aca="false">IF(AND(Parameter!$B$21="Ja",ISNUMBER(W1360),N(X1360)&gt;0),IFERROR(N(INDEX(Parameter!$L$5:$L$7,W1360))*INDEX(Parameter!$E$5:$E$7,W1360)*X1360/SUMIFS($X$7:$X$1843,$W$7:$W$1843,W1360),0),0)</f>
        <v>0.0800376647834275</v>
      </c>
    </row>
    <row r="1361" customFormat="false" ht="15" hidden="false" customHeight="false" outlineLevel="0" collapsed="false">
      <c r="A1361" s="55" t="s">
        <v>2399</v>
      </c>
      <c r="B1361" s="55" t="s">
        <v>598</v>
      </c>
      <c r="C1361" s="55" t="s">
        <v>164</v>
      </c>
      <c r="D1361" s="55" t="s">
        <v>184</v>
      </c>
      <c r="E1361" s="55" t="s">
        <v>185</v>
      </c>
      <c r="F1361" s="55" t="s">
        <v>218</v>
      </c>
      <c r="G1361" s="56" t="n">
        <v>18.95</v>
      </c>
      <c r="H1361" s="57" t="n">
        <f aca="false">MAX(0,IF(AND(Parameter!$B$21="Ja",ISNUMBER(Y1361)),Y1361,IF(Parameter!$B$20="Jahresanfang 2025 + Export",BL1361+BK1361,BK1361)))</f>
        <v>50</v>
      </c>
      <c r="I1361" s="57" t="n">
        <f aca="false">H1361*G1361</f>
        <v>947.5</v>
      </c>
      <c r="J1361" s="57" t="n">
        <f aca="false">BN1361*Parameter!$B$18</f>
        <v>82</v>
      </c>
      <c r="K1361" s="58" t="n">
        <v>133</v>
      </c>
      <c r="L1361" s="59" t="n">
        <v>0.616541353383459</v>
      </c>
      <c r="M1361" s="57" t="n">
        <v>3</v>
      </c>
      <c r="N1361" s="57" t="n">
        <v>90</v>
      </c>
      <c r="O1361" s="60" t="n">
        <v>14</v>
      </c>
      <c r="P1361" s="55" t="s">
        <v>302</v>
      </c>
      <c r="Q1361" s="57" t="n">
        <v>123</v>
      </c>
      <c r="R1361" s="60" t="n">
        <f aca="false">IF(BT1361=1,0,IFERROR(VLOOKUP(BR1361,'Gebinde-Kategorie'!$A$5:$M$45,13,0)+0,0))</f>
        <v>26</v>
      </c>
      <c r="S1361" s="61"/>
      <c r="T1361" s="62"/>
      <c r="U1361" s="62"/>
      <c r="V1361" s="62"/>
      <c r="W1361" s="55"/>
      <c r="X1361" s="57"/>
      <c r="Y1361" s="57"/>
      <c r="Z1361" s="55" t="n">
        <f aca="false">IF(A1361="","",IF(AND(Parameter!$B$21="Ja",ISNUMBER(W1361)),W1361,IF(BV1361="2+3",IF(ISNUMBER(SEARCH("grosser Artikel",BO1361)),2,IFERROR(VLOOKUP(BR1361,Parameter!$F$35:$G$64,2,0),2)),IF(OR(BV1361="Nein",BV1361=""),"-",BV1361))))</f>
        <v>3</v>
      </c>
      <c r="AA1361" s="62"/>
      <c r="AB1361" s="63"/>
      <c r="AC1361" s="57" t="n">
        <f aca="false">AR1361</f>
        <v>123</v>
      </c>
      <c r="AD1361" s="57" t="n">
        <f aca="false">MAX(AR1361,H1361)</f>
        <v>123</v>
      </c>
      <c r="AE1361" s="64"/>
      <c r="AF1361" s="57" t="n">
        <f aca="false">IF(LEFT(Cockpit!$C$5,1)="A",H1361,IF(CA1361=1,CB1361,IF(LEFT(Cockpit!$C$5,1)="B",AJ1361,MAX(AJ1361,H1361))))</f>
        <v>50</v>
      </c>
      <c r="AG1361" s="57" t="n">
        <f aca="false">IF(BT1361=1,0,ROUNDUP(AF1361/BS1361,0))</f>
        <v>1</v>
      </c>
      <c r="AH1361" s="59" t="n">
        <f aca="false">IF(CH1361&gt;0,CH1361*MAX(1,AF1361/X1361),IF(BT1361=1,IF(AF1361&lt;=0,0,BW1361*MAX(1,IF(H1361&gt;0,AF1361/H1361,1))),IF(R1361&gt;0,AG1361/R1361,0))/MAX(0.1,N(Parameter!$M$21)))</f>
        <v>0.0384615384615385</v>
      </c>
      <c r="AI1361" s="57" t="n">
        <f aca="false">AF1361*G1361</f>
        <v>947.5</v>
      </c>
      <c r="AJ1361" s="57" t="n">
        <f aca="false">ROUNDUP(MAX(J1361/IF(BZ1361&gt;0,BZ1361,MAX(0.1,N(Cockpit!$C$6))),CC1361)/BS1361,0)*BS1361</f>
        <v>123</v>
      </c>
      <c r="AK1361" s="58" t="n">
        <f aca="false">IF(AH1361&gt;0,J1361/AH1361,-1)</f>
        <v>2132</v>
      </c>
      <c r="AL1361" s="58" t="n">
        <f aca="false">IF(AND(OR(BY1361="L1",BY1361="L23"),AH1361&gt;0),SUMIFS($AH$7:$AH$1843,$BY$7:$BY$1843,BY1361,$AK$7:$AK$1843,"&gt;"&amp;AK1361)+SUMIFS($AH$7:$AH$1843,$BY$7:$BY$1843,BY1361,$AK$7:$AK$1843,AK1361,$BQ$7:$BQ$1843,"&lt;="&amp;BQ1361),"")</f>
        <v>12.7602699233134</v>
      </c>
      <c r="AM1361" s="65" t="n">
        <f aca="false">IF(AL1361="",0,MAX(0,MIN(1,(IF(BY1361="L1",Parameter!$E$5,Parameter!$E$6+Parameter!$E$7)-(AL1361-AH1361))/AH1361)))</f>
        <v>1</v>
      </c>
      <c r="AN1361" s="57" t="n">
        <f aca="false">IF(LEFT(Cockpit!$I$5,1)="A",H1361,IF(CA1361=1,CB1361,IF(LEFT(Cockpit!$I$5,1)="B",AR1361,MAX(AR1361,H1361))))</f>
        <v>123</v>
      </c>
      <c r="AO1361" s="57" t="n">
        <f aca="false">IF(BT1361=1,0,ROUNDUP(AN1361/BS1361,0))</f>
        <v>1</v>
      </c>
      <c r="AP1361" s="59" t="n">
        <f aca="false">IF(CH1361&gt;0,CH1361*MAX(1,AN1361/X1361),IF(BT1361=1,IF(AN1361&lt;=0,0,BW1361*MAX(1,IF(H1361&gt;0,AN1361/H1361,1))),IF(R1361&gt;0,AO1361/R1361,0))/MAX(0.1,N(Parameter!$M$21)))</f>
        <v>0.0384615384615385</v>
      </c>
      <c r="AQ1361" s="57" t="n">
        <f aca="false">AN1361*G1361</f>
        <v>2330.85</v>
      </c>
      <c r="AR1361" s="57" t="n">
        <f aca="false">ROUNDUP(MAX(J1361/IF(BZ1361&gt;0,BZ1361,MAX(0.1,N(Cockpit!$I$6))),CC1361)/BS1361,0)*BS1361</f>
        <v>123</v>
      </c>
      <c r="AS1361" s="58" t="n">
        <f aca="false">IF(AP1361&gt;0,J1361/AP1361,-1)</f>
        <v>2132</v>
      </c>
      <c r="AT1361" s="58" t="n">
        <f aca="false">IF(AND(OR(BY1361="L1",BY1361="L23"),AP1361&gt;0),SUMIFS($AP$7:$AP$1843,$BY$7:$BY$1843,BY1361,$AS$7:$AS$1843,"&gt;"&amp;AS1361)+SUMIFS($AP$7:$AP$1843,$BY$7:$BY$1843,BY1361,$AS$7:$AS$1843,AS1361,$BQ$7:$BQ$1843,"&lt;="&amp;BQ1361),"")</f>
        <v>18.3925965339009</v>
      </c>
      <c r="AU1361" s="65" t="n">
        <f aca="false">IF(AT1361="",0,MAX(0,MIN(1,(IF(BY1361="L1",Parameter!$E$5,Parameter!$E$6+Parameter!$E$7)-(AT1361-AP1361))/AP1361)))</f>
        <v>1</v>
      </c>
      <c r="AV1361" s="57" t="n">
        <f aca="false">IF(LEFT(Cockpit!$O$5,1)="A",H1361,IF(CA1361=1,CB1361,IF(LEFT(Cockpit!$O$5,1)="B",AZ1361,MAX(AZ1361,H1361))))</f>
        <v>123</v>
      </c>
      <c r="AW1361" s="57" t="n">
        <f aca="false">IF(BT1361=1,0,ROUNDUP(AV1361/BS1361,0))</f>
        <v>1</v>
      </c>
      <c r="AX1361" s="59" t="n">
        <f aca="false">IF(CH1361&gt;0,CH1361*MAX(1,AV1361/X1361),IF(BT1361=1,IF(AV1361&lt;=0,0,BW1361*MAX(1,IF(H1361&gt;0,AV1361/H1361,1))),IF(R1361&gt;0,AW1361/R1361,0))/MAX(0.1,N(Parameter!$M$21)))</f>
        <v>0.0384615384615385</v>
      </c>
      <c r="AY1361" s="57" t="n">
        <f aca="false">AV1361*G1361</f>
        <v>2330.85</v>
      </c>
      <c r="AZ1361" s="57" t="n">
        <f aca="false">ROUNDUP(MAX(J1361/IF(BZ1361&gt;0,BZ1361,MAX(0.1,N(Cockpit!$O$6))),CC1361)/BS1361,0)*BS1361</f>
        <v>123</v>
      </c>
      <c r="BA1361" s="58" t="n">
        <f aca="false">IF(AX1361&gt;0,J1361/AX1361,-1)</f>
        <v>2132</v>
      </c>
      <c r="BB1361" s="58" t="n">
        <f aca="false">IF(AND(OR(BY1361="L1",BY1361="L23"),AX1361&gt;0),SUMIFS($AX$7:$AX$1843,$BY$7:$BY$1843,BY1361,$BA$7:$BA$1843,"&gt;"&amp;BA1361)+SUMIFS($AX$7:$AX$1843,$BY$7:$BY$1843,BY1361,$BA$7:$BA$1843,BA1361,$BQ$7:$BQ$1843,"&lt;="&amp;BQ1361),"")</f>
        <v>16.9660231073275</v>
      </c>
      <c r="BC1361" s="65" t="n">
        <f aca="false">IF(BB1361="",0,MAX(0,MIN(1,(IF(BY1361="L1",Parameter!$E$5,Parameter!$E$6+Parameter!$E$7)-(BB1361-AX1361))/AX1361)))</f>
        <v>1</v>
      </c>
      <c r="BD1361" s="55" t="str">
        <f aca="false">IF(AH1361&lt;=0,"",IF(BY1361="Aussen","Aussenlager",IF(BY1361="-","Nicht im Lift",IF(AM1361&gt;=1,"Lift",IF(AM1361&lt;=0,"Aussenlager","teilweise")))))</f>
        <v>Lift</v>
      </c>
      <c r="BE1361" s="55" t="str">
        <f aca="false">IF(AP1361&lt;=0,"",IF(BY1361="Aussen","Aussenlager",IF(BY1361="-","Nicht im Lift",IF(AU1361&gt;=1,"Lift",IF(AU1361&lt;=0,"Aussenlager","teilweise")))))</f>
        <v>Lift</v>
      </c>
      <c r="BF1361" s="55" t="str">
        <f aca="false">IF(AX1361&lt;=0,"",IF(BY1361="Aussen","Aussenlager",IF(BY1361="-","Nicht im Lift",IF(BC1361&gt;=1,"Lift",IF(BC1361&lt;=0,"Aussenlager","teilweise")))))</f>
        <v>Lift</v>
      </c>
      <c r="BG1361" s="55" t="str">
        <f aca="false">IF(A1361="","",IF(BP1361=1,"Neu; ","")&amp;IF(AND(BP1361=0,BK1361&lt;0),"negativer Bestand (Export "&amp;BK1361&amp;"); ","")&amp;IF(J1361&lt;=0,"Kein Verbrauch; ","")&amp;IF(CH1361&gt;0,"Lift "&amp;W1361&amp;" lt. Liftbericht (Fach "&amp;X1361&amp;" Stk); ",IF(BU1361=1,"Gebinde geschätzt ("&amp;T1361&amp;"); ",IF(BT1361=1,"Lose – Tablare geschätzt; ","")))&amp;IF(H1361&gt;AR1361,"Überbestand "&amp;ROUND(H1361-AR1361,0)&amp;" Stk / CHF "&amp;ROUND((H1361-AR1361)*G1361,0)&amp;"; ","")&amp;IF(AND(CA1361=1,CB1361&lt;CC1361),"MAX &lt; MB+LG; ","")&amp;IF(AND(CG1361&gt;0,CF1361*10&gt;CG1361),"zu hoch für Tablar; ","")&amp;IF(AND(BP1361=0,OR(CA1361=1,AA1361&lt;&gt;"",U1361&lt;&gt;"",V1361&lt;&gt;"",AB1361&lt;&gt;"")),"manuell übersteuert; ","")&amp;IF(AND(BT1361=0,R1361=0),"Gebinde unbekannt / Stellmass fehlt; ","")&amp;IF(AND(BT1361=0,N(V1361)&lt;=0,N(Q1361)&lt;=0),"Menge pro Gebinde fehlt (Ist = 1 Gebinde); ","")&amp;BO1361)</f>
        <v>negativer Bestand (Export -124); </v>
      </c>
      <c r="BH1361" s="55"/>
      <c r="BI1361" s="55"/>
      <c r="BJ1361" s="62"/>
      <c r="BK1361" s="57" t="n">
        <v>-124</v>
      </c>
      <c r="BL1361" s="57" t="n">
        <v>174</v>
      </c>
      <c r="BM1361" s="56" t="n">
        <v>-2349.8</v>
      </c>
      <c r="BN1361" s="57" t="n">
        <v>82</v>
      </c>
      <c r="BO1361" s="55"/>
      <c r="BP1361" s="60" t="n">
        <v>0</v>
      </c>
      <c r="BQ1361" s="60" t="n">
        <v>1361</v>
      </c>
      <c r="BR1361" s="55" t="str">
        <f aca="false">IF(U1361&lt;&gt;"",UPPER(TRIM(U1361)),IF(BU1361=1,UPPER(VLOOKUP(T1361,Parameter!$I$27:$K$29,2,0)),IF(P1361="","LOSE",P1361)))</f>
        <v>S51</v>
      </c>
      <c r="BS1361" s="57" t="n">
        <f aca="false">IF(BR1361="LOSE",1,IF(N(V1361)&gt;0,V1361,IF(BU1361=1,MAX(1,N(VLOOKUP(T1361,Parameter!$I$27:$K$29,3,0)),H1361,N(N1361)),IF(N(Q1361)&gt;0,Q1361,MAX(1,H1361)))))</f>
        <v>123</v>
      </c>
      <c r="BT1361" s="60" t="n">
        <f aca="false">IF(BR1361="LOSE",1,0)</f>
        <v>0</v>
      </c>
      <c r="BU1361" s="60" t="n">
        <f aca="false">IF(AND(U1361="",OR(P1361="",P1361="LOSE"),T1361&lt;&gt;"",N(S1361)&lt;=0,ISNUMBER(MATCH(T1361,Parameter!$I$27:$I$29,0))),1,0)</f>
        <v>0</v>
      </c>
      <c r="BV1361" s="55" t="str">
        <f aca="false">IF(AND(Parameter!$B$19="Ja",E1361&lt;&gt;"",ISNUMBER(MATCH(E1361,Parameter!$I$35:$I$52,0))),VLOOKUP(E1361,Parameter!$I$35:$J$52,2,0),IFERROR(VLOOKUP(D1361,Parameter!$A$35:$C$64,2,0),"Nein"))</f>
        <v>2+3</v>
      </c>
      <c r="BW1361" s="59" t="n">
        <f aca="false">IF(BT1361=0,0,IF(N(S1361)&gt;0,S1361,IFERROR(VLOOKUP(D1361,Parameter!$A$35:$C$64,3,0)+0,0)))</f>
        <v>0</v>
      </c>
      <c r="BX1361" s="55" t="n">
        <f aca="false">IF(AA1361&lt;&gt;"",AA1361,Z1361)</f>
        <v>3</v>
      </c>
      <c r="BY1361" s="55" t="str">
        <f aca="false">IF(BX1361=1,"L1",IF(OR(BX1361=2,BX1361=3),"L23",IF(BX1361="Aussen","Aussen","-")))</f>
        <v>L23</v>
      </c>
      <c r="BZ1361" s="66" t="n">
        <f aca="false">IF(N(AB1361)&gt;0,AB1361,0)</f>
        <v>0</v>
      </c>
      <c r="CA1361" s="60" t="n">
        <f aca="false">IF(ISNUMBER(AE1361),1,0)</f>
        <v>0</v>
      </c>
      <c r="CB1361" s="57" t="n">
        <f aca="false">N(AE1361)</f>
        <v>0</v>
      </c>
      <c r="CC1361" s="57" t="n">
        <f aca="false">N(M1361)+N(N1361)</f>
        <v>93</v>
      </c>
      <c r="CD1361" s="57" t="n">
        <f aca="false">ROUNDUP(H1361/BS1361,0)</f>
        <v>1</v>
      </c>
      <c r="CE1361" s="57" t="n">
        <f aca="false">ROUNDUP(CB1361/BS1361,0)</f>
        <v>0</v>
      </c>
      <c r="CF1361" s="60" t="n">
        <f aca="false">IF(BT1361=1,0,IFERROR(VLOOKUP(BR1361,'Gebinde-Kategorie'!$A$5:$M$45,5,0)+0,0))</f>
        <v>11</v>
      </c>
      <c r="CG1361" s="60" t="n">
        <f aca="false">IFERROR(IF(OR(BX1361=1,BX1361=2,BX1361=3),N(INDEX(Parameter!$I$5:$I$7,BX1361)),0),0)</f>
        <v>0</v>
      </c>
      <c r="CH1361" s="59" t="n">
        <f aca="false">IF(AND(Parameter!$B$21="Ja",ISNUMBER(W1361),N(X1361)&gt;0),IFERROR(N(INDEX(Parameter!$L$5:$L$7,W1361))*INDEX(Parameter!$E$5:$E$7,W1361)*X1361/SUMIFS($X$7:$X$1843,$W$7:$W$1843,W1361),0),0)</f>
        <v>0</v>
      </c>
    </row>
    <row r="1362" customFormat="false" ht="15" hidden="false" customHeight="false" outlineLevel="0" collapsed="false">
      <c r="A1362" s="55" t="s">
        <v>2400</v>
      </c>
      <c r="B1362" s="55" t="s">
        <v>580</v>
      </c>
      <c r="C1362" s="55" t="s">
        <v>164</v>
      </c>
      <c r="D1362" s="55" t="s">
        <v>173</v>
      </c>
      <c r="E1362" s="55" t="s">
        <v>166</v>
      </c>
      <c r="F1362" s="55" t="s">
        <v>218</v>
      </c>
      <c r="G1362" s="56" t="n">
        <v>133.49</v>
      </c>
      <c r="H1362" s="57" t="n">
        <f aca="false">MAX(0,IF(AND(Parameter!$B$21="Ja",ISNUMBER(Y1362)),Y1362,IF(Parameter!$B$20="Jahresanfang 2025 + Export",BL1362+BK1362,BK1362)))</f>
        <v>18</v>
      </c>
      <c r="I1362" s="57" t="n">
        <f aca="false">H1362*G1362</f>
        <v>2402.82</v>
      </c>
      <c r="J1362" s="57" t="n">
        <f aca="false">BN1362*Parameter!$B$18</f>
        <v>69</v>
      </c>
      <c r="K1362" s="58" t="n">
        <v>26</v>
      </c>
      <c r="L1362" s="59" t="n">
        <v>2.65384615384615</v>
      </c>
      <c r="M1362" s="57" t="n">
        <v>4</v>
      </c>
      <c r="N1362" s="57" t="n">
        <v>35</v>
      </c>
      <c r="O1362" s="60" t="n">
        <v>21</v>
      </c>
      <c r="P1362" s="55" t="s">
        <v>174</v>
      </c>
      <c r="Q1362" s="57" t="n">
        <v>35</v>
      </c>
      <c r="R1362" s="60" t="n">
        <f aca="false">IF(BT1362=1,0,IFERROR(VLOOKUP(BR1362,'Gebinde-Kategorie'!$A$5:$M$45,13,0)+0,0))</f>
        <v>6</v>
      </c>
      <c r="S1362" s="61"/>
      <c r="T1362" s="62"/>
      <c r="U1362" s="62"/>
      <c r="V1362" s="62"/>
      <c r="W1362" s="55"/>
      <c r="X1362" s="57"/>
      <c r="Y1362" s="57"/>
      <c r="Z1362" s="55" t="n">
        <f aca="false">IF(A1362="","",IF(AND(Parameter!$B$21="Ja",ISNUMBER(W1362)),W1362,IF(BV1362="2+3",IF(ISNUMBER(SEARCH("grosser Artikel",BO1362)),2,IFERROR(VLOOKUP(BR1362,Parameter!$F$35:$G$64,2,0),2)),IF(OR(BV1362="Nein",BV1362=""),"-",BV1362))))</f>
        <v>1</v>
      </c>
      <c r="AA1362" s="62"/>
      <c r="AB1362" s="63"/>
      <c r="AC1362" s="57" t="n">
        <f aca="false">AR1362</f>
        <v>70</v>
      </c>
      <c r="AD1362" s="57" t="n">
        <f aca="false">MAX(AR1362,H1362)</f>
        <v>70</v>
      </c>
      <c r="AE1362" s="64"/>
      <c r="AF1362" s="57" t="n">
        <f aca="false">IF(LEFT(Cockpit!$C$5,1)="A",H1362,IF(CA1362=1,CB1362,IF(LEFT(Cockpit!$C$5,1)="B",AJ1362,MAX(AJ1362,H1362))))</f>
        <v>18</v>
      </c>
      <c r="AG1362" s="57" t="n">
        <f aca="false">IF(BT1362=1,0,ROUNDUP(AF1362/BS1362,0))</f>
        <v>1</v>
      </c>
      <c r="AH1362" s="59" t="n">
        <f aca="false">IF(CH1362&gt;0,CH1362*MAX(1,AF1362/X1362),IF(BT1362=1,IF(AF1362&lt;=0,0,BW1362*MAX(1,IF(H1362&gt;0,AF1362/H1362,1))),IF(R1362&gt;0,AG1362/R1362,0))/MAX(0.1,N(Parameter!$M$21)))</f>
        <v>0.166666666666667</v>
      </c>
      <c r="AI1362" s="57" t="n">
        <f aca="false">AF1362*G1362</f>
        <v>2402.82</v>
      </c>
      <c r="AJ1362" s="57" t="n">
        <f aca="false">ROUNDUP(MAX(J1362/IF(BZ1362&gt;0,BZ1362,MAX(0.1,N(Cockpit!$C$6))),CC1362)/BS1362,0)*BS1362</f>
        <v>70</v>
      </c>
      <c r="AK1362" s="58" t="n">
        <f aca="false">IF(AH1362&gt;0,J1362/AH1362,-1)</f>
        <v>414</v>
      </c>
      <c r="AL1362" s="58" t="n">
        <f aca="false">IF(AND(OR(BY1362="L1",BY1362="L23"),AH1362&gt;0),SUMIFS($AH$7:$AH$1843,$BY$7:$BY$1843,BY1362,$AK$7:$AK$1843,"&gt;"&amp;AK1362)+SUMIFS($AH$7:$AH$1843,$BY$7:$BY$1843,BY1362,$AK$7:$AK$1843,AK1362,$BQ$7:$BQ$1843,"&lt;="&amp;BQ1362),"")</f>
        <v>1.50083612040134</v>
      </c>
      <c r="AM1362" s="65" t="n">
        <f aca="false">IF(AL1362="",0,MAX(0,MIN(1,(IF(BY1362="L1",Parameter!$E$5,Parameter!$E$6+Parameter!$E$7)-(AL1362-AH1362))/AH1362)))</f>
        <v>1</v>
      </c>
      <c r="AN1362" s="57" t="n">
        <f aca="false">IF(LEFT(Cockpit!$I$5,1)="A",H1362,IF(CA1362=1,CB1362,IF(LEFT(Cockpit!$I$5,1)="B",AR1362,MAX(AR1362,H1362))))</f>
        <v>70</v>
      </c>
      <c r="AO1362" s="57" t="n">
        <f aca="false">IF(BT1362=1,0,ROUNDUP(AN1362/BS1362,0))</f>
        <v>2</v>
      </c>
      <c r="AP1362" s="59" t="n">
        <f aca="false">IF(CH1362&gt;0,CH1362*MAX(1,AN1362/X1362),IF(BT1362=1,IF(AN1362&lt;=0,0,BW1362*MAX(1,IF(H1362&gt;0,AN1362/H1362,1))),IF(R1362&gt;0,AO1362/R1362,0))/MAX(0.1,N(Parameter!$M$21)))</f>
        <v>0.333333333333333</v>
      </c>
      <c r="AQ1362" s="57" t="n">
        <f aca="false">AN1362*G1362</f>
        <v>9344.3</v>
      </c>
      <c r="AR1362" s="57" t="n">
        <f aca="false">ROUNDUP(MAX(J1362/IF(BZ1362&gt;0,BZ1362,MAX(0.1,N(Cockpit!$I$6))),CC1362)/BS1362,0)*BS1362</f>
        <v>70</v>
      </c>
      <c r="AS1362" s="58" t="n">
        <f aca="false">IF(AP1362&gt;0,J1362/AP1362,-1)</f>
        <v>207</v>
      </c>
      <c r="AT1362" s="58" t="n">
        <f aca="false">IF(AND(OR(BY1362="L1",BY1362="L23"),AP1362&gt;0),SUMIFS($AP$7:$AP$1843,$BY$7:$BY$1843,BY1362,$AS$7:$AS$1843,"&gt;"&amp;AS1362)+SUMIFS($AP$7:$AP$1843,$BY$7:$BY$1843,BY1362,$AS$7:$AS$1843,AS1362,$BQ$7:$BQ$1843,"&lt;="&amp;BQ1362),"")</f>
        <v>3.49442586399108</v>
      </c>
      <c r="AU1362" s="65" t="n">
        <f aca="false">IF(AT1362="",0,MAX(0,MIN(1,(IF(BY1362="L1",Parameter!$E$5,Parameter!$E$6+Parameter!$E$7)-(AT1362-AP1362))/AP1362)))</f>
        <v>1</v>
      </c>
      <c r="AV1362" s="57" t="n">
        <f aca="false">IF(LEFT(Cockpit!$O$5,1)="A",H1362,IF(CA1362=1,CB1362,IF(LEFT(Cockpit!$O$5,1)="B",AZ1362,MAX(AZ1362,H1362))))</f>
        <v>70</v>
      </c>
      <c r="AW1362" s="57" t="n">
        <f aca="false">IF(BT1362=1,0,ROUNDUP(AV1362/BS1362,0))</f>
        <v>2</v>
      </c>
      <c r="AX1362" s="59" t="n">
        <f aca="false">IF(CH1362&gt;0,CH1362*MAX(1,AV1362/X1362),IF(BT1362=1,IF(AV1362&lt;=0,0,BW1362*MAX(1,IF(H1362&gt;0,AV1362/H1362,1))),IF(R1362&gt;0,AW1362/R1362,0))/MAX(0.1,N(Parameter!$M$21)))</f>
        <v>0.333333333333333</v>
      </c>
      <c r="AY1362" s="57" t="n">
        <f aca="false">AV1362*G1362</f>
        <v>9344.3</v>
      </c>
      <c r="AZ1362" s="57" t="n">
        <f aca="false">ROUNDUP(MAX(J1362/IF(BZ1362&gt;0,BZ1362,MAX(0.1,N(Cockpit!$O$6))),CC1362)/BS1362,0)*BS1362</f>
        <v>70</v>
      </c>
      <c r="BA1362" s="58" t="n">
        <f aca="false">IF(AX1362&gt;0,J1362/AX1362,-1)</f>
        <v>207</v>
      </c>
      <c r="BB1362" s="58" t="n">
        <f aca="false">IF(AND(OR(BY1362="L1",BY1362="L23"),AX1362&gt;0),SUMIFS($AX$7:$AX$1843,$BY$7:$BY$1843,BY1362,$BA$7:$BA$1843,"&gt;"&amp;BA1362)+SUMIFS($AX$7:$AX$1843,$BY$7:$BY$1843,BY1362,$BA$7:$BA$1843,BA1362,$BQ$7:$BQ$1843,"&lt;="&amp;BQ1362),"")</f>
        <v>2.70596432552954</v>
      </c>
      <c r="BC1362" s="65" t="n">
        <f aca="false">IF(BB1362="",0,MAX(0,MIN(1,(IF(BY1362="L1",Parameter!$E$5,Parameter!$E$6+Parameter!$E$7)-(BB1362-AX1362))/AX1362)))</f>
        <v>1</v>
      </c>
      <c r="BD1362" s="55" t="str">
        <f aca="false">IF(AH1362&lt;=0,"",IF(BY1362="Aussen","Aussenlager",IF(BY1362="-","Nicht im Lift",IF(AM1362&gt;=1,"Lift",IF(AM1362&lt;=0,"Aussenlager","teilweise")))))</f>
        <v>Lift</v>
      </c>
      <c r="BE1362" s="55" t="str">
        <f aca="false">IF(AP1362&lt;=0,"",IF(BY1362="Aussen","Aussenlager",IF(BY1362="-","Nicht im Lift",IF(AU1362&gt;=1,"Lift",IF(AU1362&lt;=0,"Aussenlager","teilweise")))))</f>
        <v>Lift</v>
      </c>
      <c r="BF1362" s="55" t="str">
        <f aca="false">IF(AX1362&lt;=0,"",IF(BY1362="Aussen","Aussenlager",IF(BY1362="-","Nicht im Lift",IF(BC1362&gt;=1,"Lift",IF(BC1362&lt;=0,"Aussenlager","teilweise")))))</f>
        <v>Lift</v>
      </c>
      <c r="BG1362" s="55" t="str">
        <f aca="false">IF(A1362="","",IF(BP1362=1,"Neu; ","")&amp;IF(AND(BP1362=0,BK1362&lt;0),"negativer Bestand (Export "&amp;BK1362&amp;"); ","")&amp;IF(J1362&lt;=0,"Kein Verbrauch; ","")&amp;IF(CH1362&gt;0,"Lift "&amp;W1362&amp;" lt. Liftbericht (Fach "&amp;X1362&amp;" Stk); ",IF(BU1362=1,"Gebinde geschätzt ("&amp;T1362&amp;"); ",IF(BT1362=1,"Lose – Tablare geschätzt; ","")))&amp;IF(H1362&gt;AR1362,"Überbestand "&amp;ROUND(H1362-AR1362,0)&amp;" Stk / CHF "&amp;ROUND((H1362-AR1362)*G1362,0)&amp;"; ","")&amp;IF(AND(CA1362=1,CB1362&lt;CC1362),"MAX &lt; MB+LG; ","")&amp;IF(AND(CG1362&gt;0,CF1362*10&gt;CG1362),"zu hoch für Tablar; ","")&amp;IF(AND(BP1362=0,OR(CA1362=1,AA1362&lt;&gt;"",U1362&lt;&gt;"",V1362&lt;&gt;"",AB1362&lt;&gt;"")),"manuell übersteuert; ","")&amp;IF(AND(BT1362=0,R1362=0),"Gebinde unbekannt / Stellmass fehlt; ","")&amp;IF(AND(BT1362=0,N(V1362)&lt;=0,N(Q1362)&lt;=0),"Menge pro Gebinde fehlt (Ist = 1 Gebinde); ","")&amp;BO1362)</f>
        <v>negativer Bestand (Export -18); 01C</v>
      </c>
      <c r="BH1362" s="55"/>
      <c r="BI1362" s="55"/>
      <c r="BJ1362" s="62"/>
      <c r="BK1362" s="57" t="n">
        <v>-18</v>
      </c>
      <c r="BL1362" s="57" t="n">
        <v>36</v>
      </c>
      <c r="BM1362" s="56" t="n">
        <v>-2395.98</v>
      </c>
      <c r="BN1362" s="57" t="n">
        <v>69</v>
      </c>
      <c r="BO1362" s="55" t="s">
        <v>2401</v>
      </c>
      <c r="BP1362" s="60" t="n">
        <v>0</v>
      </c>
      <c r="BQ1362" s="60" t="n">
        <v>1362</v>
      </c>
      <c r="BR1362" s="55" t="str">
        <f aca="false">IF(U1362&lt;&gt;"",UPPER(TRIM(U1362)),IF(BU1362=1,UPPER(VLOOKUP(T1362,Parameter!$I$27:$K$29,2,0)),IF(P1362="","LOSE",P1362)))</f>
        <v>S71</v>
      </c>
      <c r="BS1362" s="57" t="n">
        <f aca="false">IF(BR1362="LOSE",1,IF(N(V1362)&gt;0,V1362,IF(BU1362=1,MAX(1,N(VLOOKUP(T1362,Parameter!$I$27:$K$29,3,0)),H1362,N(N1362)),IF(N(Q1362)&gt;0,Q1362,MAX(1,H1362)))))</f>
        <v>35</v>
      </c>
      <c r="BT1362" s="60" t="n">
        <f aca="false">IF(BR1362="LOSE",1,0)</f>
        <v>0</v>
      </c>
      <c r="BU1362" s="60" t="n">
        <f aca="false">IF(AND(U1362="",OR(P1362="",P1362="LOSE"),T1362&lt;&gt;"",N(S1362)&lt;=0,ISNUMBER(MATCH(T1362,Parameter!$I$27:$I$29,0))),1,0)</f>
        <v>0</v>
      </c>
      <c r="BV1362" s="55" t="n">
        <f aca="false">IF(AND(Parameter!$B$19="Ja",E1362&lt;&gt;"",ISNUMBER(MATCH(E1362,Parameter!$I$35:$I$52,0))),VLOOKUP(E1362,Parameter!$I$35:$J$52,2,0),IFERROR(VLOOKUP(D1362,Parameter!$A$35:$C$64,2,0),"Nein"))</f>
        <v>1</v>
      </c>
      <c r="BW1362" s="59" t="n">
        <f aca="false">IF(BT1362=0,0,IF(N(S1362)&gt;0,S1362,IFERROR(VLOOKUP(D1362,Parameter!$A$35:$C$64,3,0)+0,0)))</f>
        <v>0</v>
      </c>
      <c r="BX1362" s="55" t="n">
        <f aca="false">IF(AA1362&lt;&gt;"",AA1362,Z1362)</f>
        <v>1</v>
      </c>
      <c r="BY1362" s="55" t="str">
        <f aca="false">IF(BX1362=1,"L1",IF(OR(BX1362=2,BX1362=3),"L23",IF(BX1362="Aussen","Aussen","-")))</f>
        <v>L1</v>
      </c>
      <c r="BZ1362" s="66" t="n">
        <f aca="false">IF(N(AB1362)&gt;0,AB1362,0)</f>
        <v>0</v>
      </c>
      <c r="CA1362" s="60" t="n">
        <f aca="false">IF(ISNUMBER(AE1362),1,0)</f>
        <v>0</v>
      </c>
      <c r="CB1362" s="57" t="n">
        <f aca="false">N(AE1362)</f>
        <v>0</v>
      </c>
      <c r="CC1362" s="57" t="n">
        <f aca="false">N(M1362)+N(N1362)</f>
        <v>39</v>
      </c>
      <c r="CD1362" s="57" t="n">
        <f aca="false">ROUNDUP(H1362/BS1362,0)</f>
        <v>1</v>
      </c>
      <c r="CE1362" s="57" t="n">
        <f aca="false">ROUNDUP(CB1362/BS1362,0)</f>
        <v>0</v>
      </c>
      <c r="CF1362" s="60" t="n">
        <f aca="false">IF(BT1362=1,0,IFERROR(VLOOKUP(BR1362,'Gebinde-Kategorie'!$A$5:$M$45,5,0)+0,0))</f>
        <v>20</v>
      </c>
      <c r="CG1362" s="60" t="n">
        <f aca="false">IFERROR(IF(OR(BX1362=1,BX1362=2,BX1362=3),N(INDEX(Parameter!$I$5:$I$7,BX1362)),0),0)</f>
        <v>0</v>
      </c>
      <c r="CH1362" s="59" t="n">
        <f aca="false">IF(AND(Parameter!$B$21="Ja",ISNUMBER(W1362),N(X1362)&gt;0),IFERROR(N(INDEX(Parameter!$L$5:$L$7,W1362))*INDEX(Parameter!$E$5:$E$7,W1362)*X1362/SUMIFS($X$7:$X$1843,$W$7:$W$1843,W1362),0),0)</f>
        <v>0</v>
      </c>
    </row>
    <row r="1363" customFormat="false" ht="15" hidden="false" customHeight="false" outlineLevel="0" collapsed="false">
      <c r="A1363" s="55" t="s">
        <v>2402</v>
      </c>
      <c r="B1363" s="55" t="s">
        <v>2403</v>
      </c>
      <c r="C1363" s="55" t="s">
        <v>164</v>
      </c>
      <c r="D1363" s="55" t="s">
        <v>173</v>
      </c>
      <c r="E1363" s="55" t="s">
        <v>185</v>
      </c>
      <c r="F1363" s="55" t="s">
        <v>218</v>
      </c>
      <c r="G1363" s="56" t="n">
        <v>280.07</v>
      </c>
      <c r="H1363" s="57" t="n">
        <f aca="false">MAX(0,IF(AND(Parameter!$B$21="Ja",ISNUMBER(Y1363)),Y1363,IF(Parameter!$B$20="Jahresanfang 2025 + Export",BL1363+BK1363,BK1363)))</f>
        <v>3</v>
      </c>
      <c r="I1363" s="57" t="n">
        <f aca="false">H1363*G1363</f>
        <v>840.21</v>
      </c>
      <c r="J1363" s="57" t="n">
        <f aca="false">BN1363*Parameter!$B$18</f>
        <v>46</v>
      </c>
      <c r="K1363" s="58" t="n">
        <v>9</v>
      </c>
      <c r="L1363" s="59" t="n">
        <v>5.11111111111111</v>
      </c>
      <c r="M1363" s="57" t="n">
        <v>2</v>
      </c>
      <c r="N1363" s="57" t="n">
        <v>10</v>
      </c>
      <c r="O1363" s="60" t="n">
        <v>21</v>
      </c>
      <c r="P1363" s="55" t="s">
        <v>174</v>
      </c>
      <c r="Q1363" s="57" t="n">
        <v>12</v>
      </c>
      <c r="R1363" s="60" t="n">
        <f aca="false">IF(BT1363=1,0,IFERROR(VLOOKUP(BR1363,'Gebinde-Kategorie'!$A$5:$M$45,13,0)+0,0))</f>
        <v>6</v>
      </c>
      <c r="S1363" s="61"/>
      <c r="T1363" s="62"/>
      <c r="U1363" s="62"/>
      <c r="V1363" s="62"/>
      <c r="W1363" s="55"/>
      <c r="X1363" s="57"/>
      <c r="Y1363" s="57"/>
      <c r="Z1363" s="55" t="n">
        <f aca="false">IF(A1363="","",IF(AND(Parameter!$B$21="Ja",ISNUMBER(W1363)),W1363,IF(BV1363="2+3",IF(ISNUMBER(SEARCH("grosser Artikel",BO1363)),2,IFERROR(VLOOKUP(BR1363,Parameter!$F$35:$G$64,2,0),2)),IF(OR(BV1363="Nein",BV1363=""),"-",BV1363))))</f>
        <v>2</v>
      </c>
      <c r="AA1363" s="62"/>
      <c r="AB1363" s="63"/>
      <c r="AC1363" s="57" t="n">
        <f aca="false">AR1363</f>
        <v>24</v>
      </c>
      <c r="AD1363" s="57" t="n">
        <f aca="false">MAX(AR1363,H1363)</f>
        <v>24</v>
      </c>
      <c r="AE1363" s="64"/>
      <c r="AF1363" s="57" t="n">
        <f aca="false">IF(LEFT(Cockpit!$C$5,1)="A",H1363,IF(CA1363=1,CB1363,IF(LEFT(Cockpit!$C$5,1)="B",AJ1363,MAX(AJ1363,H1363))))</f>
        <v>3</v>
      </c>
      <c r="AG1363" s="57" t="n">
        <f aca="false">IF(BT1363=1,0,ROUNDUP(AF1363/BS1363,0))</f>
        <v>1</v>
      </c>
      <c r="AH1363" s="59" t="n">
        <f aca="false">IF(CH1363&gt;0,CH1363*MAX(1,AF1363/X1363),IF(BT1363=1,IF(AF1363&lt;=0,0,BW1363*MAX(1,IF(H1363&gt;0,AF1363/H1363,1))),IF(R1363&gt;0,AG1363/R1363,0))/MAX(0.1,N(Parameter!$M$21)))</f>
        <v>0.166666666666667</v>
      </c>
      <c r="AI1363" s="57" t="n">
        <f aca="false">AF1363*G1363</f>
        <v>840.21</v>
      </c>
      <c r="AJ1363" s="57" t="n">
        <f aca="false">ROUNDUP(MAX(J1363/IF(BZ1363&gt;0,BZ1363,MAX(0.1,N(Cockpit!$C$6))),CC1363)/BS1363,0)*BS1363</f>
        <v>24</v>
      </c>
      <c r="AK1363" s="58" t="n">
        <f aca="false">IF(AH1363&gt;0,J1363/AH1363,-1)</f>
        <v>276</v>
      </c>
      <c r="AL1363" s="58" t="n">
        <f aca="false">IF(AND(OR(BY1363="L1",BY1363="L23"),AH1363&gt;0),SUMIFS($AH$7:$AH$1843,$BY$7:$BY$1843,BY1363,$AK$7:$AK$1843,"&gt;"&amp;AK1363)+SUMIFS($AH$7:$AH$1843,$BY$7:$BY$1843,BY1363,$AK$7:$AK$1843,AK1363,$BQ$7:$BQ$1843,"&lt;="&amp;BQ1363),"")</f>
        <v>28.9977618999358</v>
      </c>
      <c r="AM1363" s="65" t="n">
        <f aca="false">IF(AL1363="",0,MAX(0,MIN(1,(IF(BY1363="L1",Parameter!$E$5,Parameter!$E$6+Parameter!$E$7)-(AL1363-AH1363))/AH1363)))</f>
        <v>1</v>
      </c>
      <c r="AN1363" s="57" t="n">
        <f aca="false">IF(LEFT(Cockpit!$I$5,1)="A",H1363,IF(CA1363=1,CB1363,IF(LEFT(Cockpit!$I$5,1)="B",AR1363,MAX(AR1363,H1363))))</f>
        <v>24</v>
      </c>
      <c r="AO1363" s="57" t="n">
        <f aca="false">IF(BT1363=1,0,ROUNDUP(AN1363/BS1363,0))</f>
        <v>2</v>
      </c>
      <c r="AP1363" s="59" t="n">
        <f aca="false">IF(CH1363&gt;0,CH1363*MAX(1,AN1363/X1363),IF(BT1363=1,IF(AN1363&lt;=0,0,BW1363*MAX(1,IF(H1363&gt;0,AN1363/H1363,1))),IF(R1363&gt;0,AO1363/R1363,0))/MAX(0.1,N(Parameter!$M$21)))</f>
        <v>0.333333333333333</v>
      </c>
      <c r="AQ1363" s="57" t="n">
        <f aca="false">AN1363*G1363</f>
        <v>6721.68</v>
      </c>
      <c r="AR1363" s="57" t="n">
        <f aca="false">ROUNDUP(MAX(J1363/IF(BZ1363&gt;0,BZ1363,MAX(0.1,N(Cockpit!$I$6))),CC1363)/BS1363,0)*BS1363</f>
        <v>24</v>
      </c>
      <c r="AS1363" s="58" t="n">
        <f aca="false">IF(AP1363&gt;0,J1363/AP1363,-1)</f>
        <v>138</v>
      </c>
      <c r="AT1363" s="58" t="n">
        <f aca="false">IF(AND(OR(BY1363="L1",BY1363="L23"),AP1363&gt;0),SUMIFS($AP$7:$AP$1843,$BY$7:$BY$1843,BY1363,$AS$7:$AS$1843,"&gt;"&amp;AS1363)+SUMIFS($AP$7:$AP$1843,$BY$7:$BY$1843,BY1363,$AS$7:$AS$1843,AS1363,$BQ$7:$BQ$1843,"&lt;="&amp;BQ1363),"")</f>
        <v>50.5550403702578</v>
      </c>
      <c r="AU1363" s="65" t="n">
        <f aca="false">IF(AT1363="",0,MAX(0,MIN(1,(IF(BY1363="L1",Parameter!$E$5,Parameter!$E$6+Parameter!$E$7)-(AT1363-AP1363))/AP1363)))</f>
        <v>1</v>
      </c>
      <c r="AV1363" s="57" t="n">
        <f aca="false">IF(LEFT(Cockpit!$O$5,1)="A",H1363,IF(CA1363=1,CB1363,IF(LEFT(Cockpit!$O$5,1)="B",AZ1363,MAX(AZ1363,H1363))))</f>
        <v>24</v>
      </c>
      <c r="AW1363" s="57" t="n">
        <f aca="false">IF(BT1363=1,0,ROUNDUP(AV1363/BS1363,0))</f>
        <v>2</v>
      </c>
      <c r="AX1363" s="59" t="n">
        <f aca="false">IF(CH1363&gt;0,CH1363*MAX(1,AV1363/X1363),IF(BT1363=1,IF(AV1363&lt;=0,0,BW1363*MAX(1,IF(H1363&gt;0,AV1363/H1363,1))),IF(R1363&gt;0,AW1363/R1363,0))/MAX(0.1,N(Parameter!$M$21)))</f>
        <v>0.333333333333333</v>
      </c>
      <c r="AY1363" s="57" t="n">
        <f aca="false">AV1363*G1363</f>
        <v>6721.68</v>
      </c>
      <c r="AZ1363" s="57" t="n">
        <f aca="false">ROUNDUP(MAX(J1363/IF(BZ1363&gt;0,BZ1363,MAX(0.1,N(Cockpit!$O$6))),CC1363)/BS1363,0)*BS1363</f>
        <v>24</v>
      </c>
      <c r="BA1363" s="58" t="n">
        <f aca="false">IF(AX1363&gt;0,J1363/AX1363,-1)</f>
        <v>138</v>
      </c>
      <c r="BB1363" s="58" t="n">
        <f aca="false">IF(AND(OR(BY1363="L1",BY1363="L23"),AX1363&gt;0),SUMIFS($AX$7:$AX$1843,$BY$7:$BY$1843,BY1363,$BA$7:$BA$1843,"&gt;"&amp;BA1363)+SUMIFS($AX$7:$AX$1843,$BY$7:$BY$1843,BY1363,$BA$7:$BA$1843,BA1363,$BQ$7:$BQ$1843,"&lt;="&amp;BQ1363),"")</f>
        <v>46.1348772000946</v>
      </c>
      <c r="BC1363" s="65" t="n">
        <f aca="false">IF(BB1363="",0,MAX(0,MIN(1,(IF(BY1363="L1",Parameter!$E$5,Parameter!$E$6+Parameter!$E$7)-(BB1363-AX1363))/AX1363)))</f>
        <v>1</v>
      </c>
      <c r="BD1363" s="55" t="str">
        <f aca="false">IF(AH1363&lt;=0,"",IF(BY1363="Aussen","Aussenlager",IF(BY1363="-","Nicht im Lift",IF(AM1363&gt;=1,"Lift",IF(AM1363&lt;=0,"Aussenlager","teilweise")))))</f>
        <v>Lift</v>
      </c>
      <c r="BE1363" s="55" t="str">
        <f aca="false">IF(AP1363&lt;=0,"",IF(BY1363="Aussen","Aussenlager",IF(BY1363="-","Nicht im Lift",IF(AU1363&gt;=1,"Lift",IF(AU1363&lt;=0,"Aussenlager","teilweise")))))</f>
        <v>Lift</v>
      </c>
      <c r="BF1363" s="55" t="str">
        <f aca="false">IF(AX1363&lt;=0,"",IF(BY1363="Aussen","Aussenlager",IF(BY1363="-","Nicht im Lift",IF(BC1363&gt;=1,"Lift",IF(BC1363&lt;=0,"Aussenlager","teilweise")))))</f>
        <v>Lift</v>
      </c>
      <c r="BG1363" s="55" t="str">
        <f aca="false">IF(A1363="","",IF(BP1363=1,"Neu; ","")&amp;IF(AND(BP1363=0,BK1363&lt;0),"negativer Bestand (Export "&amp;BK1363&amp;"); ","")&amp;IF(J1363&lt;=0,"Kein Verbrauch; ","")&amp;IF(CH1363&gt;0,"Lift "&amp;W1363&amp;" lt. Liftbericht (Fach "&amp;X1363&amp;" Stk); ",IF(BU1363=1,"Gebinde geschätzt ("&amp;T1363&amp;"); ",IF(BT1363=1,"Lose – Tablare geschätzt; ","")))&amp;IF(H1363&gt;AR1363,"Überbestand "&amp;ROUND(H1363-AR1363,0)&amp;" Stk / CHF "&amp;ROUND((H1363-AR1363)*G1363,0)&amp;"; ","")&amp;IF(AND(CA1363=1,CB1363&lt;CC1363),"MAX &lt; MB+LG; ","")&amp;IF(AND(CG1363&gt;0,CF1363*10&gt;CG1363),"zu hoch für Tablar; ","")&amp;IF(AND(BP1363=0,OR(CA1363=1,AA1363&lt;&gt;"",U1363&lt;&gt;"",V1363&lt;&gt;"",AB1363&lt;&gt;"")),"manuell übersteuert; ","")&amp;IF(AND(BT1363=0,R1363=0),"Gebinde unbekannt / Stellmass fehlt; ","")&amp;IF(AND(BT1363=0,N(V1363)&lt;=0,N(Q1363)&lt;=0),"Menge pro Gebinde fehlt (Ist = 1 Gebinde); ","")&amp;BO1363)</f>
        <v>negativer Bestand (Export -6); grosser Artikel &amp; nicht im KTL</v>
      </c>
      <c r="BH1363" s="55"/>
      <c r="BI1363" s="55"/>
      <c r="BJ1363" s="62"/>
      <c r="BK1363" s="57" t="n">
        <v>-6</v>
      </c>
      <c r="BL1363" s="57" t="n">
        <v>9</v>
      </c>
      <c r="BM1363" s="56" t="n">
        <v>-2447.76</v>
      </c>
      <c r="BN1363" s="57" t="n">
        <v>46</v>
      </c>
      <c r="BO1363" s="55" t="s">
        <v>261</v>
      </c>
      <c r="BP1363" s="60" t="n">
        <v>0</v>
      </c>
      <c r="BQ1363" s="60" t="n">
        <v>1363</v>
      </c>
      <c r="BR1363" s="55" t="str">
        <f aca="false">IF(U1363&lt;&gt;"",UPPER(TRIM(U1363)),IF(BU1363=1,UPPER(VLOOKUP(T1363,Parameter!$I$27:$K$29,2,0)),IF(P1363="","LOSE",P1363)))</f>
        <v>S71</v>
      </c>
      <c r="BS1363" s="57" t="n">
        <f aca="false">IF(BR1363="LOSE",1,IF(N(V1363)&gt;0,V1363,IF(BU1363=1,MAX(1,N(VLOOKUP(T1363,Parameter!$I$27:$K$29,3,0)),H1363,N(N1363)),IF(N(Q1363)&gt;0,Q1363,MAX(1,H1363)))))</f>
        <v>12</v>
      </c>
      <c r="BT1363" s="60" t="n">
        <f aca="false">IF(BR1363="LOSE",1,0)</f>
        <v>0</v>
      </c>
      <c r="BU1363" s="60" t="n">
        <f aca="false">IF(AND(U1363="",OR(P1363="",P1363="LOSE"),T1363&lt;&gt;"",N(S1363)&lt;=0,ISNUMBER(MATCH(T1363,Parameter!$I$27:$I$29,0))),1,0)</f>
        <v>0</v>
      </c>
      <c r="BV1363" s="55" t="str">
        <f aca="false">IF(AND(Parameter!$B$19="Ja",E1363&lt;&gt;"",ISNUMBER(MATCH(E1363,Parameter!$I$35:$I$52,0))),VLOOKUP(E1363,Parameter!$I$35:$J$52,2,0),IFERROR(VLOOKUP(D1363,Parameter!$A$35:$C$64,2,0),"Nein"))</f>
        <v>2+3</v>
      </c>
      <c r="BW1363" s="59" t="n">
        <f aca="false">IF(BT1363=0,0,IF(N(S1363)&gt;0,S1363,IFERROR(VLOOKUP(D1363,Parameter!$A$35:$C$64,3,0)+0,0)))</f>
        <v>0</v>
      </c>
      <c r="BX1363" s="55" t="n">
        <f aca="false">IF(AA1363&lt;&gt;"",AA1363,Z1363)</f>
        <v>2</v>
      </c>
      <c r="BY1363" s="55" t="str">
        <f aca="false">IF(BX1363=1,"L1",IF(OR(BX1363=2,BX1363=3),"L23",IF(BX1363="Aussen","Aussen","-")))</f>
        <v>L23</v>
      </c>
      <c r="BZ1363" s="66" t="n">
        <f aca="false">IF(N(AB1363)&gt;0,AB1363,0)</f>
        <v>0</v>
      </c>
      <c r="CA1363" s="60" t="n">
        <f aca="false">IF(ISNUMBER(AE1363),1,0)</f>
        <v>0</v>
      </c>
      <c r="CB1363" s="57" t="n">
        <f aca="false">N(AE1363)</f>
        <v>0</v>
      </c>
      <c r="CC1363" s="57" t="n">
        <f aca="false">N(M1363)+N(N1363)</f>
        <v>12</v>
      </c>
      <c r="CD1363" s="57" t="n">
        <f aca="false">ROUNDUP(H1363/BS1363,0)</f>
        <v>1</v>
      </c>
      <c r="CE1363" s="57" t="n">
        <f aca="false">ROUNDUP(CB1363/BS1363,0)</f>
        <v>0</v>
      </c>
      <c r="CF1363" s="60" t="n">
        <f aca="false">IF(BT1363=1,0,IFERROR(VLOOKUP(BR1363,'Gebinde-Kategorie'!$A$5:$M$45,5,0)+0,0))</f>
        <v>20</v>
      </c>
      <c r="CG1363" s="60" t="n">
        <f aca="false">IFERROR(IF(OR(BX1363=1,BX1363=2,BX1363=3),N(INDEX(Parameter!$I$5:$I$7,BX1363)),0),0)</f>
        <v>0</v>
      </c>
      <c r="CH1363" s="59" t="n">
        <f aca="false">IF(AND(Parameter!$B$21="Ja",ISNUMBER(W1363),N(X1363)&gt;0),IFERROR(N(INDEX(Parameter!$L$5:$L$7,W1363))*INDEX(Parameter!$E$5:$E$7,W1363)*X1363/SUMIFS($X$7:$X$1843,$W$7:$W$1843,W1363),0),0)</f>
        <v>0</v>
      </c>
    </row>
    <row r="1364" customFormat="false" ht="15" hidden="false" customHeight="false" outlineLevel="0" collapsed="false">
      <c r="A1364" s="55" t="s">
        <v>2404</v>
      </c>
      <c r="B1364" s="55" t="s">
        <v>535</v>
      </c>
      <c r="C1364" s="55" t="s">
        <v>164</v>
      </c>
      <c r="D1364" s="55" t="s">
        <v>184</v>
      </c>
      <c r="E1364" s="55" t="s">
        <v>185</v>
      </c>
      <c r="F1364" s="55" t="s">
        <v>218</v>
      </c>
      <c r="G1364" s="56" t="n">
        <v>7.42</v>
      </c>
      <c r="H1364" s="57" t="n">
        <f aca="false">MAX(0,IF(AND(Parameter!$B$21="Ja",ISNUMBER(Y1364)),Y1364,IF(Parameter!$B$20="Jahresanfang 2025 + Export",BL1364+BK1364,BK1364)))</f>
        <v>122</v>
      </c>
      <c r="I1364" s="57" t="n">
        <f aca="false">H1364*G1364</f>
        <v>905.24</v>
      </c>
      <c r="J1364" s="57" t="n">
        <f aca="false">BN1364*Parameter!$B$18</f>
        <v>390</v>
      </c>
      <c r="K1364" s="58" t="n">
        <v>280.5</v>
      </c>
      <c r="L1364" s="59" t="n">
        <v>1.3903743315508</v>
      </c>
      <c r="M1364" s="57" t="n">
        <v>35</v>
      </c>
      <c r="N1364" s="57" t="n">
        <v>390</v>
      </c>
      <c r="O1364" s="60" t="n">
        <v>28</v>
      </c>
      <c r="P1364" s="55" t="s">
        <v>302</v>
      </c>
      <c r="Q1364" s="57" t="n">
        <v>30</v>
      </c>
      <c r="R1364" s="60" t="n">
        <f aca="false">IF(BT1364=1,0,IFERROR(VLOOKUP(BR1364,'Gebinde-Kategorie'!$A$5:$M$45,13,0)+0,0))</f>
        <v>26</v>
      </c>
      <c r="S1364" s="61"/>
      <c r="T1364" s="62"/>
      <c r="U1364" s="62"/>
      <c r="V1364" s="62"/>
      <c r="W1364" s="55"/>
      <c r="X1364" s="57"/>
      <c r="Y1364" s="57"/>
      <c r="Z1364" s="55" t="n">
        <f aca="false">IF(A1364="","",IF(AND(Parameter!$B$21="Ja",ISNUMBER(W1364)),W1364,IF(BV1364="2+3",IF(ISNUMBER(SEARCH("grosser Artikel",BO1364)),2,IFERROR(VLOOKUP(BR1364,Parameter!$F$35:$G$64,2,0),2)),IF(OR(BV1364="Nein",BV1364=""),"-",BV1364))))</f>
        <v>3</v>
      </c>
      <c r="AA1364" s="62"/>
      <c r="AB1364" s="63"/>
      <c r="AC1364" s="57" t="n">
        <f aca="false">AR1364</f>
        <v>450</v>
      </c>
      <c r="AD1364" s="57" t="n">
        <f aca="false">MAX(AR1364,H1364)</f>
        <v>450</v>
      </c>
      <c r="AE1364" s="64"/>
      <c r="AF1364" s="57" t="n">
        <f aca="false">IF(LEFT(Cockpit!$C$5,1)="A",H1364,IF(CA1364=1,CB1364,IF(LEFT(Cockpit!$C$5,1)="B",AJ1364,MAX(AJ1364,H1364))))</f>
        <v>122</v>
      </c>
      <c r="AG1364" s="57" t="n">
        <f aca="false">IF(BT1364=1,0,ROUNDUP(AF1364/BS1364,0))</f>
        <v>5</v>
      </c>
      <c r="AH1364" s="59" t="n">
        <f aca="false">IF(CH1364&gt;0,CH1364*MAX(1,AF1364/X1364),IF(BT1364=1,IF(AF1364&lt;=0,0,BW1364*MAX(1,IF(H1364&gt;0,AF1364/H1364,1))),IF(R1364&gt;0,AG1364/R1364,0))/MAX(0.1,N(Parameter!$M$21)))</f>
        <v>0.192307692307692</v>
      </c>
      <c r="AI1364" s="57" t="n">
        <f aca="false">AF1364*G1364</f>
        <v>905.24</v>
      </c>
      <c r="AJ1364" s="57" t="n">
        <f aca="false">ROUNDUP(MAX(J1364/IF(BZ1364&gt;0,BZ1364,MAX(0.1,N(Cockpit!$C$6))),CC1364)/BS1364,0)*BS1364</f>
        <v>450</v>
      </c>
      <c r="AK1364" s="58" t="n">
        <f aca="false">IF(AH1364&gt;0,J1364/AH1364,-1)</f>
        <v>2028</v>
      </c>
      <c r="AL1364" s="58" t="n">
        <f aca="false">IF(AND(OR(BY1364="L1",BY1364="L23"),AH1364&gt;0),SUMIFS($AH$7:$AH$1843,$BY$7:$BY$1843,BY1364,$AK$7:$AK$1843,"&gt;"&amp;AK1364)+SUMIFS($AH$7:$AH$1843,$BY$7:$BY$1843,BY1364,$AK$7:$AK$1843,AK1364,$BQ$7:$BQ$1843,"&lt;="&amp;BQ1364),"")</f>
        <v>12.9901270227357</v>
      </c>
      <c r="AM1364" s="65" t="n">
        <f aca="false">IF(AL1364="",0,MAX(0,MIN(1,(IF(BY1364="L1",Parameter!$E$5,Parameter!$E$6+Parameter!$E$7)-(AL1364-AH1364))/AH1364)))</f>
        <v>1</v>
      </c>
      <c r="AN1364" s="57" t="n">
        <f aca="false">IF(LEFT(Cockpit!$I$5,1)="A",H1364,IF(CA1364=1,CB1364,IF(LEFT(Cockpit!$I$5,1)="B",AR1364,MAX(AR1364,H1364))))</f>
        <v>450</v>
      </c>
      <c r="AO1364" s="57" t="n">
        <f aca="false">IF(BT1364=1,0,ROUNDUP(AN1364/BS1364,0))</f>
        <v>15</v>
      </c>
      <c r="AP1364" s="59" t="n">
        <f aca="false">IF(CH1364&gt;0,CH1364*MAX(1,AN1364/X1364),IF(BT1364=1,IF(AN1364&lt;=0,0,BW1364*MAX(1,IF(H1364&gt;0,AN1364/H1364,1))),IF(R1364&gt;0,AO1364/R1364,0))/MAX(0.1,N(Parameter!$M$21)))</f>
        <v>0.576923076923077</v>
      </c>
      <c r="AQ1364" s="57" t="n">
        <f aca="false">AN1364*G1364</f>
        <v>3339</v>
      </c>
      <c r="AR1364" s="57" t="n">
        <f aca="false">ROUNDUP(MAX(J1364/IF(BZ1364&gt;0,BZ1364,MAX(0.1,N(Cockpit!$I$6))),CC1364)/BS1364,0)*BS1364</f>
        <v>450</v>
      </c>
      <c r="AS1364" s="58" t="n">
        <f aca="false">IF(AP1364&gt;0,J1364/AP1364,-1)</f>
        <v>676</v>
      </c>
      <c r="AT1364" s="58" t="n">
        <f aca="false">IF(AND(OR(BY1364="L1",BY1364="L23"),AP1364&gt;0),SUMIFS($AP$7:$AP$1843,$BY$7:$BY$1843,BY1364,$AS$7:$AS$1843,"&gt;"&amp;AS1364)+SUMIFS($AP$7:$AP$1843,$BY$7:$BY$1843,BY1364,$AS$7:$AS$1843,AS1364,$BQ$7:$BQ$1843,"&lt;="&amp;BQ1364),"")</f>
        <v>29.1761764805243</v>
      </c>
      <c r="AU1364" s="65" t="n">
        <f aca="false">IF(AT1364="",0,MAX(0,MIN(1,(IF(BY1364="L1",Parameter!$E$5,Parameter!$E$6+Parameter!$E$7)-(AT1364-AP1364))/AP1364)))</f>
        <v>1</v>
      </c>
      <c r="AV1364" s="57" t="n">
        <f aca="false">IF(LEFT(Cockpit!$O$5,1)="A",H1364,IF(CA1364=1,CB1364,IF(LEFT(Cockpit!$O$5,1)="B",AZ1364,MAX(AZ1364,H1364))))</f>
        <v>450</v>
      </c>
      <c r="AW1364" s="57" t="n">
        <f aca="false">IF(BT1364=1,0,ROUNDUP(AV1364/BS1364,0))</f>
        <v>15</v>
      </c>
      <c r="AX1364" s="59" t="n">
        <f aca="false">IF(CH1364&gt;0,CH1364*MAX(1,AV1364/X1364),IF(BT1364=1,IF(AV1364&lt;=0,0,BW1364*MAX(1,IF(H1364&gt;0,AV1364/H1364,1))),IF(R1364&gt;0,AW1364/R1364,0))/MAX(0.1,N(Parameter!$M$21)))</f>
        <v>0.576923076923077</v>
      </c>
      <c r="AY1364" s="57" t="n">
        <f aca="false">AV1364*G1364</f>
        <v>3339</v>
      </c>
      <c r="AZ1364" s="57" t="n">
        <f aca="false">ROUNDUP(MAX(J1364/IF(BZ1364&gt;0,BZ1364,MAX(0.1,N(Cockpit!$O$6))),CC1364)/BS1364,0)*BS1364</f>
        <v>450</v>
      </c>
      <c r="BA1364" s="58" t="n">
        <f aca="false">IF(AX1364&gt;0,J1364/AX1364,-1)</f>
        <v>676</v>
      </c>
      <c r="BB1364" s="58" t="n">
        <f aca="false">IF(AND(OR(BY1364="L1",BY1364="L23"),AX1364&gt;0),SUMIFS($AX$7:$AX$1843,$BY$7:$BY$1843,BY1364,$BA$7:$BA$1843,"&gt;"&amp;BA1364)+SUMIFS($AX$7:$AX$1843,$BY$7:$BY$1843,BY1364,$BA$7:$BA$1843,BA1364,$BQ$7:$BQ$1843,"&lt;="&amp;BQ1364),"")</f>
        <v>28.5444748488227</v>
      </c>
      <c r="BC1364" s="65" t="n">
        <f aca="false">IF(BB1364="",0,MAX(0,MIN(1,(IF(BY1364="L1",Parameter!$E$5,Parameter!$E$6+Parameter!$E$7)-(BB1364-AX1364))/AX1364)))</f>
        <v>1</v>
      </c>
      <c r="BD1364" s="55" t="str">
        <f aca="false">IF(AH1364&lt;=0,"",IF(BY1364="Aussen","Aussenlager",IF(BY1364="-","Nicht im Lift",IF(AM1364&gt;=1,"Lift",IF(AM1364&lt;=0,"Aussenlager","teilweise")))))</f>
        <v>Lift</v>
      </c>
      <c r="BE1364" s="55" t="str">
        <f aca="false">IF(AP1364&lt;=0,"",IF(BY1364="Aussen","Aussenlager",IF(BY1364="-","Nicht im Lift",IF(AU1364&gt;=1,"Lift",IF(AU1364&lt;=0,"Aussenlager","teilweise")))))</f>
        <v>Lift</v>
      </c>
      <c r="BF1364" s="55" t="str">
        <f aca="false">IF(AX1364&lt;=0,"",IF(BY1364="Aussen","Aussenlager",IF(BY1364="-","Nicht im Lift",IF(BC1364&gt;=1,"Lift",IF(BC1364&lt;=0,"Aussenlager","teilweise")))))</f>
        <v>Lift</v>
      </c>
      <c r="BG1364" s="55" t="str">
        <f aca="false">IF(A1364="","",IF(BP1364=1,"Neu; ","")&amp;IF(AND(BP1364=0,BK1364&lt;0),"negativer Bestand (Export "&amp;BK1364&amp;"); ","")&amp;IF(J1364&lt;=0,"Kein Verbrauch; ","")&amp;IF(CH1364&gt;0,"Lift "&amp;W1364&amp;" lt. Liftbericht (Fach "&amp;X1364&amp;" Stk); ",IF(BU1364=1,"Gebinde geschätzt ("&amp;T1364&amp;"); ",IF(BT1364=1,"Lose – Tablare geschätzt; ","")))&amp;IF(H1364&gt;AR1364,"Überbestand "&amp;ROUND(H1364-AR1364,0)&amp;" Stk / CHF "&amp;ROUND((H1364-AR1364)*G1364,0)&amp;"; ","")&amp;IF(AND(CA1364=1,CB1364&lt;CC1364),"MAX &lt; MB+LG; ","")&amp;IF(AND(CG1364&gt;0,CF1364*10&gt;CG1364),"zu hoch für Tablar; ","")&amp;IF(AND(BP1364=0,OR(CA1364=1,AA1364&lt;&gt;"",U1364&lt;&gt;"",V1364&lt;&gt;"",AB1364&lt;&gt;"")),"manuell übersteuert; ","")&amp;IF(AND(BT1364=0,R1364=0),"Gebinde unbekannt / Stellmass fehlt; ","")&amp;IF(AND(BT1364=0,N(V1364)&lt;=0,N(Q1364)&lt;=0),"Menge pro Gebinde fehlt (Ist = 1 Gebinde); ","")&amp;BO1364)</f>
        <v>negativer Bestand (Export -334); B&amp;R</v>
      </c>
      <c r="BH1364" s="55"/>
      <c r="BI1364" s="55"/>
      <c r="BJ1364" s="62"/>
      <c r="BK1364" s="57" t="n">
        <v>-334</v>
      </c>
      <c r="BL1364" s="57" t="n">
        <v>456</v>
      </c>
      <c r="BM1364" s="56" t="n">
        <v>-2464.6</v>
      </c>
      <c r="BN1364" s="57" t="n">
        <v>390</v>
      </c>
      <c r="BO1364" s="55" t="s">
        <v>2217</v>
      </c>
      <c r="BP1364" s="60" t="n">
        <v>0</v>
      </c>
      <c r="BQ1364" s="60" t="n">
        <v>1364</v>
      </c>
      <c r="BR1364" s="55" t="str">
        <f aca="false">IF(U1364&lt;&gt;"",UPPER(TRIM(U1364)),IF(BU1364=1,UPPER(VLOOKUP(T1364,Parameter!$I$27:$K$29,2,0)),IF(P1364="","LOSE",P1364)))</f>
        <v>S51</v>
      </c>
      <c r="BS1364" s="57" t="n">
        <f aca="false">IF(BR1364="LOSE",1,IF(N(V1364)&gt;0,V1364,IF(BU1364=1,MAX(1,N(VLOOKUP(T1364,Parameter!$I$27:$K$29,3,0)),H1364,N(N1364)),IF(N(Q1364)&gt;0,Q1364,MAX(1,H1364)))))</f>
        <v>30</v>
      </c>
      <c r="BT1364" s="60" t="n">
        <f aca="false">IF(BR1364="LOSE",1,0)</f>
        <v>0</v>
      </c>
      <c r="BU1364" s="60" t="n">
        <f aca="false">IF(AND(U1364="",OR(P1364="",P1364="LOSE"),T1364&lt;&gt;"",N(S1364)&lt;=0,ISNUMBER(MATCH(T1364,Parameter!$I$27:$I$29,0))),1,0)</f>
        <v>0</v>
      </c>
      <c r="BV1364" s="55" t="str">
        <f aca="false">IF(AND(Parameter!$B$19="Ja",E1364&lt;&gt;"",ISNUMBER(MATCH(E1364,Parameter!$I$35:$I$52,0))),VLOOKUP(E1364,Parameter!$I$35:$J$52,2,0),IFERROR(VLOOKUP(D1364,Parameter!$A$35:$C$64,2,0),"Nein"))</f>
        <v>2+3</v>
      </c>
      <c r="BW1364" s="59" t="n">
        <f aca="false">IF(BT1364=0,0,IF(N(S1364)&gt;0,S1364,IFERROR(VLOOKUP(D1364,Parameter!$A$35:$C$64,3,0)+0,0)))</f>
        <v>0</v>
      </c>
      <c r="BX1364" s="55" t="n">
        <f aca="false">IF(AA1364&lt;&gt;"",AA1364,Z1364)</f>
        <v>3</v>
      </c>
      <c r="BY1364" s="55" t="str">
        <f aca="false">IF(BX1364=1,"L1",IF(OR(BX1364=2,BX1364=3),"L23",IF(BX1364="Aussen","Aussen","-")))</f>
        <v>L23</v>
      </c>
      <c r="BZ1364" s="66" t="n">
        <f aca="false">IF(N(AB1364)&gt;0,AB1364,0)</f>
        <v>0</v>
      </c>
      <c r="CA1364" s="60" t="n">
        <f aca="false">IF(ISNUMBER(AE1364),1,0)</f>
        <v>0</v>
      </c>
      <c r="CB1364" s="57" t="n">
        <f aca="false">N(AE1364)</f>
        <v>0</v>
      </c>
      <c r="CC1364" s="57" t="n">
        <f aca="false">N(M1364)+N(N1364)</f>
        <v>425</v>
      </c>
      <c r="CD1364" s="57" t="n">
        <f aca="false">ROUNDUP(H1364/BS1364,0)</f>
        <v>5</v>
      </c>
      <c r="CE1364" s="57" t="n">
        <f aca="false">ROUNDUP(CB1364/BS1364,0)</f>
        <v>0</v>
      </c>
      <c r="CF1364" s="60" t="n">
        <f aca="false">IF(BT1364=1,0,IFERROR(VLOOKUP(BR1364,'Gebinde-Kategorie'!$A$5:$M$45,5,0)+0,0))</f>
        <v>11</v>
      </c>
      <c r="CG1364" s="60" t="n">
        <f aca="false">IFERROR(IF(OR(BX1364=1,BX1364=2,BX1364=3),N(INDEX(Parameter!$I$5:$I$7,BX1364)),0),0)</f>
        <v>0</v>
      </c>
      <c r="CH1364" s="59" t="n">
        <f aca="false">IF(AND(Parameter!$B$21="Ja",ISNUMBER(W1364),N(X1364)&gt;0),IFERROR(N(INDEX(Parameter!$L$5:$L$7,W1364))*INDEX(Parameter!$E$5:$E$7,W1364)*X1364/SUMIFS($X$7:$X$1843,$W$7:$W$1843,W1364),0),0)</f>
        <v>0</v>
      </c>
    </row>
    <row r="1365" customFormat="false" ht="15" hidden="false" customHeight="false" outlineLevel="0" collapsed="false">
      <c r="A1365" s="55" t="s">
        <v>2405</v>
      </c>
      <c r="B1365" s="55" t="s">
        <v>2406</v>
      </c>
      <c r="C1365" s="55" t="s">
        <v>164</v>
      </c>
      <c r="D1365" s="55" t="s">
        <v>184</v>
      </c>
      <c r="E1365" s="55"/>
      <c r="F1365" s="55" t="s">
        <v>218</v>
      </c>
      <c r="G1365" s="56" t="n">
        <v>82.23</v>
      </c>
      <c r="H1365" s="57" t="n">
        <f aca="false">MAX(0,IF(AND(Parameter!$B$21="Ja",ISNUMBER(Y1365)),Y1365,IF(Parameter!$B$20="Jahresanfang 2025 + Export",BL1365+BK1365,BK1365)))</f>
        <v>4</v>
      </c>
      <c r="I1365" s="57" t="n">
        <f aca="false">H1365*G1365</f>
        <v>328.92</v>
      </c>
      <c r="J1365" s="57" t="n">
        <f aca="false">BN1365*Parameter!$B$18</f>
        <v>3</v>
      </c>
      <c r="K1365" s="58" t="n">
        <v>31.5</v>
      </c>
      <c r="L1365" s="59" t="n">
        <v>0.0952380952380952</v>
      </c>
      <c r="M1365" s="57" t="n">
        <v>0</v>
      </c>
      <c r="N1365" s="57" t="n">
        <v>5</v>
      </c>
      <c r="O1365" s="60" t="n">
        <v>28</v>
      </c>
      <c r="P1365" s="55" t="s">
        <v>476</v>
      </c>
      <c r="Q1365" s="57" t="n">
        <v>10</v>
      </c>
      <c r="R1365" s="60" t="n">
        <f aca="false">IF(BT1365=1,0,IFERROR(VLOOKUP(BR1365,'Gebinde-Kategorie'!$A$5:$M$45,13,0)+0,0))</f>
        <v>66</v>
      </c>
      <c r="S1365" s="61"/>
      <c r="T1365" s="62"/>
      <c r="U1365" s="62"/>
      <c r="V1365" s="62"/>
      <c r="W1365" s="55"/>
      <c r="X1365" s="57"/>
      <c r="Y1365" s="57"/>
      <c r="Z1365" s="55" t="n">
        <f aca="false">IF(A1365="","",IF(AND(Parameter!$B$21="Ja",ISNUMBER(W1365)),W1365,IF(BV1365="2+3",IF(ISNUMBER(SEARCH("grosser Artikel",BO1365)),2,IFERROR(VLOOKUP(BR1365,Parameter!$F$35:$G$64,2,0),2)),IF(OR(BV1365="Nein",BV1365=""),"-",BV1365))))</f>
        <v>3</v>
      </c>
      <c r="AA1365" s="62"/>
      <c r="AB1365" s="63"/>
      <c r="AC1365" s="57" t="n">
        <f aca="false">AR1365</f>
        <v>10</v>
      </c>
      <c r="AD1365" s="57" t="n">
        <f aca="false">MAX(AR1365,H1365)</f>
        <v>10</v>
      </c>
      <c r="AE1365" s="64"/>
      <c r="AF1365" s="57" t="n">
        <f aca="false">IF(LEFT(Cockpit!$C$5,1)="A",H1365,IF(CA1365=1,CB1365,IF(LEFT(Cockpit!$C$5,1)="B",AJ1365,MAX(AJ1365,H1365))))</f>
        <v>4</v>
      </c>
      <c r="AG1365" s="57" t="n">
        <f aca="false">IF(BT1365=1,0,ROUNDUP(AF1365/BS1365,0))</f>
        <v>1</v>
      </c>
      <c r="AH1365" s="59" t="n">
        <f aca="false">IF(CH1365&gt;0,CH1365*MAX(1,AF1365/X1365),IF(BT1365=1,IF(AF1365&lt;=0,0,BW1365*MAX(1,IF(H1365&gt;0,AF1365/H1365,1))),IF(R1365&gt;0,AG1365/R1365,0))/MAX(0.1,N(Parameter!$M$21)))</f>
        <v>0.0151515151515152</v>
      </c>
      <c r="AI1365" s="57" t="n">
        <f aca="false">AF1365*G1365</f>
        <v>328.92</v>
      </c>
      <c r="AJ1365" s="57" t="n">
        <f aca="false">ROUNDUP(MAX(J1365/IF(BZ1365&gt;0,BZ1365,MAX(0.1,N(Cockpit!$C$6))),CC1365)/BS1365,0)*BS1365</f>
        <v>10</v>
      </c>
      <c r="AK1365" s="58" t="n">
        <f aca="false">IF(AH1365&gt;0,J1365/AH1365,-1)</f>
        <v>198</v>
      </c>
      <c r="AL1365" s="58" t="n">
        <f aca="false">IF(AND(OR(BY1365="L1",BY1365="L23"),AH1365&gt;0),SUMIFS($AH$7:$AH$1843,$BY$7:$BY$1843,BY1365,$AK$7:$AK$1843,"&gt;"&amp;AK1365)+SUMIFS($AH$7:$AH$1843,$BY$7:$BY$1843,BY1365,$AK$7:$AK$1843,AK1365,$BQ$7:$BQ$1843,"&lt;="&amp;BQ1365),"")</f>
        <v>32.5668136211615</v>
      </c>
      <c r="AM1365" s="65" t="n">
        <f aca="false">IF(AL1365="",0,MAX(0,MIN(1,(IF(BY1365="L1",Parameter!$E$5,Parameter!$E$6+Parameter!$E$7)-(AL1365-AH1365))/AH1365)))</f>
        <v>1</v>
      </c>
      <c r="AN1365" s="57" t="n">
        <f aca="false">IF(LEFT(Cockpit!$I$5,1)="A",H1365,IF(CA1365=1,CB1365,IF(LEFT(Cockpit!$I$5,1)="B",AR1365,MAX(AR1365,H1365))))</f>
        <v>10</v>
      </c>
      <c r="AO1365" s="57" t="n">
        <f aca="false">IF(BT1365=1,0,ROUNDUP(AN1365/BS1365,0))</f>
        <v>1</v>
      </c>
      <c r="AP1365" s="59" t="n">
        <f aca="false">IF(CH1365&gt;0,CH1365*MAX(1,AN1365/X1365),IF(BT1365=1,IF(AN1365&lt;=0,0,BW1365*MAX(1,IF(H1365&gt;0,AN1365/H1365,1))),IF(R1365&gt;0,AO1365/R1365,0))/MAX(0.1,N(Parameter!$M$21)))</f>
        <v>0.0151515151515152</v>
      </c>
      <c r="AQ1365" s="57" t="n">
        <f aca="false">AN1365*G1365</f>
        <v>822.3</v>
      </c>
      <c r="AR1365" s="57" t="n">
        <f aca="false">ROUNDUP(MAX(J1365/IF(BZ1365&gt;0,BZ1365,MAX(0.1,N(Cockpit!$I$6))),CC1365)/BS1365,0)*BS1365</f>
        <v>10</v>
      </c>
      <c r="AS1365" s="58" t="n">
        <f aca="false">IF(AP1365&gt;0,J1365/AP1365,-1)</f>
        <v>198</v>
      </c>
      <c r="AT1365" s="58" t="n">
        <f aca="false">IF(AND(OR(BY1365="L1",BY1365="L23"),AP1365&gt;0),SUMIFS($AP$7:$AP$1843,$BY$7:$BY$1843,BY1365,$AS$7:$AS$1843,"&gt;"&amp;AS1365)+SUMIFS($AP$7:$AP$1843,$BY$7:$BY$1843,BY1365,$AS$7:$AS$1843,AS1365,$BQ$7:$BQ$1843,"&lt;="&amp;BQ1365),"")</f>
        <v>47.3504949157123</v>
      </c>
      <c r="AU1365" s="65" t="n">
        <f aca="false">IF(AT1365="",0,MAX(0,MIN(1,(IF(BY1365="L1",Parameter!$E$5,Parameter!$E$6+Parameter!$E$7)-(AT1365-AP1365))/AP1365)))</f>
        <v>1</v>
      </c>
      <c r="AV1365" s="57" t="n">
        <f aca="false">IF(LEFT(Cockpit!$O$5,1)="A",H1365,IF(CA1365=1,CB1365,IF(LEFT(Cockpit!$O$5,1)="B",AZ1365,MAX(AZ1365,H1365))))</f>
        <v>10</v>
      </c>
      <c r="AW1365" s="57" t="n">
        <f aca="false">IF(BT1365=1,0,ROUNDUP(AV1365/BS1365,0))</f>
        <v>1</v>
      </c>
      <c r="AX1365" s="59" t="n">
        <f aca="false">IF(CH1365&gt;0,CH1365*MAX(1,AV1365/X1365),IF(BT1365=1,IF(AV1365&lt;=0,0,BW1365*MAX(1,IF(H1365&gt;0,AV1365/H1365,1))),IF(R1365&gt;0,AW1365/R1365,0))/MAX(0.1,N(Parameter!$M$21)))</f>
        <v>0.0151515151515152</v>
      </c>
      <c r="AY1365" s="57" t="n">
        <f aca="false">AV1365*G1365</f>
        <v>822.3</v>
      </c>
      <c r="AZ1365" s="57" t="n">
        <f aca="false">ROUNDUP(MAX(J1365/IF(BZ1365&gt;0,BZ1365,MAX(0.1,N(Cockpit!$O$6))),CC1365)/BS1365,0)*BS1365</f>
        <v>10</v>
      </c>
      <c r="BA1365" s="58" t="n">
        <f aca="false">IF(AX1365&gt;0,J1365/AX1365,-1)</f>
        <v>198</v>
      </c>
      <c r="BB1365" s="58" t="n">
        <f aca="false">IF(AND(OR(BY1365="L1",BY1365="L23"),AX1365&gt;0),SUMIFS($AX$7:$AX$1843,$BY$7:$BY$1843,BY1365,$BA$7:$BA$1843,"&gt;"&amp;BA1365)+SUMIFS($AX$7:$AX$1843,$BY$7:$BY$1843,BY1365,$BA$7:$BA$1843,BA1365,$BQ$7:$BQ$1843,"&lt;="&amp;BQ1365),"")</f>
        <v>42.9303317455491</v>
      </c>
      <c r="BC1365" s="65" t="n">
        <f aca="false">IF(BB1365="",0,MAX(0,MIN(1,(IF(BY1365="L1",Parameter!$E$5,Parameter!$E$6+Parameter!$E$7)-(BB1365-AX1365))/AX1365)))</f>
        <v>1</v>
      </c>
      <c r="BD1365" s="55" t="str">
        <f aca="false">IF(AH1365&lt;=0,"",IF(BY1365="Aussen","Aussenlager",IF(BY1365="-","Nicht im Lift",IF(AM1365&gt;=1,"Lift",IF(AM1365&lt;=0,"Aussenlager","teilweise")))))</f>
        <v>Lift</v>
      </c>
      <c r="BE1365" s="55" t="str">
        <f aca="false">IF(AP1365&lt;=0,"",IF(BY1365="Aussen","Aussenlager",IF(BY1365="-","Nicht im Lift",IF(AU1365&gt;=1,"Lift",IF(AU1365&lt;=0,"Aussenlager","teilweise")))))</f>
        <v>Lift</v>
      </c>
      <c r="BF1365" s="55" t="str">
        <f aca="false">IF(AX1365&lt;=0,"",IF(BY1365="Aussen","Aussenlager",IF(BY1365="-","Nicht im Lift",IF(BC1365&gt;=1,"Lift",IF(BC1365&lt;=0,"Aussenlager","teilweise")))))</f>
        <v>Lift</v>
      </c>
      <c r="BG1365" s="55" t="str">
        <f aca="false">IF(A1365="","",IF(BP1365=1,"Neu; ","")&amp;IF(AND(BP1365=0,BK1365&lt;0),"negativer Bestand (Export "&amp;BK1365&amp;"); ","")&amp;IF(J1365&lt;=0,"Kein Verbrauch; ","")&amp;IF(CH1365&gt;0,"Lift "&amp;W1365&amp;" lt. Liftbericht (Fach "&amp;X1365&amp;" Stk); ",IF(BU1365=1,"Gebinde geschätzt ("&amp;T1365&amp;"); ",IF(BT1365=1,"Lose – Tablare geschätzt; ","")))&amp;IF(H1365&gt;AR1365,"Überbestand "&amp;ROUND(H1365-AR1365,0)&amp;" Stk / CHF "&amp;ROUND((H1365-AR1365)*G1365,0)&amp;"; ","")&amp;IF(AND(CA1365=1,CB1365&lt;CC1365),"MAX &lt; MB+LG; ","")&amp;IF(AND(CG1365&gt;0,CF1365*10&gt;CG1365),"zu hoch für Tablar; ","")&amp;IF(AND(BP1365=0,OR(CA1365=1,AA1365&lt;&gt;"",U1365&lt;&gt;"",V1365&lt;&gt;"",AB1365&lt;&gt;"")),"manuell übersteuert; ","")&amp;IF(AND(BT1365=0,R1365=0),"Gebinde unbekannt / Stellmass fehlt; ","")&amp;IF(AND(BT1365=0,N(V1365)&lt;=0,N(Q1365)&lt;=0),"Menge pro Gebinde fehlt (Ist = 1 Gebinde); ","")&amp;BO1365)</f>
        <v>negativer Bestand (Export -30); </v>
      </c>
      <c r="BH1365" s="55"/>
      <c r="BI1365" s="55"/>
      <c r="BJ1365" s="62"/>
      <c r="BK1365" s="57" t="n">
        <v>-30</v>
      </c>
      <c r="BL1365" s="57" t="n">
        <v>34</v>
      </c>
      <c r="BM1365" s="56" t="n">
        <v>-2466.9</v>
      </c>
      <c r="BN1365" s="57" t="n">
        <v>3</v>
      </c>
      <c r="BO1365" s="55"/>
      <c r="BP1365" s="60" t="n">
        <v>0</v>
      </c>
      <c r="BQ1365" s="60" t="n">
        <v>1365</v>
      </c>
      <c r="BR1365" s="55" t="str">
        <f aca="false">IF(U1365&lt;&gt;"",UPPER(TRIM(U1365)),IF(BU1365=1,UPPER(VLOOKUP(T1365,Parameter!$I$27:$K$29,2,0)),IF(P1365="","LOSE",P1365)))</f>
        <v>S33</v>
      </c>
      <c r="BS1365" s="57" t="n">
        <f aca="false">IF(BR1365="LOSE",1,IF(N(V1365)&gt;0,V1365,IF(BU1365=1,MAX(1,N(VLOOKUP(T1365,Parameter!$I$27:$K$29,3,0)),H1365,N(N1365)),IF(N(Q1365)&gt;0,Q1365,MAX(1,H1365)))))</f>
        <v>10</v>
      </c>
      <c r="BT1365" s="60" t="n">
        <f aca="false">IF(BR1365="LOSE",1,0)</f>
        <v>0</v>
      </c>
      <c r="BU1365" s="60" t="n">
        <f aca="false">IF(AND(U1365="",OR(P1365="",P1365="LOSE"),T1365&lt;&gt;"",N(S1365)&lt;=0,ISNUMBER(MATCH(T1365,Parameter!$I$27:$I$29,0))),1,0)</f>
        <v>0</v>
      </c>
      <c r="BV1365" s="55" t="str">
        <f aca="false">IF(AND(Parameter!$B$19="Ja",E1365&lt;&gt;"",ISNUMBER(MATCH(E1365,Parameter!$I$35:$I$52,0))),VLOOKUP(E1365,Parameter!$I$35:$J$52,2,0),IFERROR(VLOOKUP(D1365,Parameter!$A$35:$C$64,2,0),"Nein"))</f>
        <v>2+3</v>
      </c>
      <c r="BW1365" s="59" t="n">
        <f aca="false">IF(BT1365=0,0,IF(N(S1365)&gt;0,S1365,IFERROR(VLOOKUP(D1365,Parameter!$A$35:$C$64,3,0)+0,0)))</f>
        <v>0</v>
      </c>
      <c r="BX1365" s="55" t="n">
        <f aca="false">IF(AA1365&lt;&gt;"",AA1365,Z1365)</f>
        <v>3</v>
      </c>
      <c r="BY1365" s="55" t="str">
        <f aca="false">IF(BX1365=1,"L1",IF(OR(BX1365=2,BX1365=3),"L23",IF(BX1365="Aussen","Aussen","-")))</f>
        <v>L23</v>
      </c>
      <c r="BZ1365" s="66" t="n">
        <f aca="false">IF(N(AB1365)&gt;0,AB1365,0)</f>
        <v>0</v>
      </c>
      <c r="CA1365" s="60" t="n">
        <f aca="false">IF(ISNUMBER(AE1365),1,0)</f>
        <v>0</v>
      </c>
      <c r="CB1365" s="57" t="n">
        <f aca="false">N(AE1365)</f>
        <v>0</v>
      </c>
      <c r="CC1365" s="57" t="n">
        <f aca="false">N(M1365)+N(N1365)</f>
        <v>5</v>
      </c>
      <c r="CD1365" s="57" t="n">
        <f aca="false">ROUNDUP(H1365/BS1365,0)</f>
        <v>1</v>
      </c>
      <c r="CE1365" s="57" t="n">
        <f aca="false">ROUNDUP(CB1365/BS1365,0)</f>
        <v>0</v>
      </c>
      <c r="CF1365" s="60" t="n">
        <f aca="false">IF(BT1365=1,0,IFERROR(VLOOKUP(BR1365,'Gebinde-Kategorie'!$A$5:$M$45,5,0)+0,0))</f>
        <v>8</v>
      </c>
      <c r="CG1365" s="60" t="n">
        <f aca="false">IFERROR(IF(OR(BX1365=1,BX1365=2,BX1365=3),N(INDEX(Parameter!$I$5:$I$7,BX1365)),0),0)</f>
        <v>0</v>
      </c>
      <c r="CH1365" s="59" t="n">
        <f aca="false">IF(AND(Parameter!$B$21="Ja",ISNUMBER(W1365),N(X1365)&gt;0),IFERROR(N(INDEX(Parameter!$L$5:$L$7,W1365))*INDEX(Parameter!$E$5:$E$7,W1365)*X1365/SUMIFS($X$7:$X$1843,$W$7:$W$1843,W1365),0),0)</f>
        <v>0</v>
      </c>
    </row>
    <row r="1366" customFormat="false" ht="15" hidden="false" customHeight="false" outlineLevel="0" collapsed="false">
      <c r="A1366" s="55" t="s">
        <v>2407</v>
      </c>
      <c r="B1366" s="55" t="s">
        <v>703</v>
      </c>
      <c r="C1366" s="55" t="s">
        <v>164</v>
      </c>
      <c r="D1366" s="55" t="s">
        <v>173</v>
      </c>
      <c r="E1366" s="55" t="s">
        <v>166</v>
      </c>
      <c r="F1366" s="55" t="s">
        <v>218</v>
      </c>
      <c r="G1366" s="56" t="n">
        <v>362.99</v>
      </c>
      <c r="H1366" s="57" t="n">
        <f aca="false">MAX(0,IF(AND(Parameter!$B$21="Ja",ISNUMBER(Y1366)),Y1366,IF(Parameter!$B$20="Jahresanfang 2025 + Export",BL1366+BK1366,BK1366)))</f>
        <v>17</v>
      </c>
      <c r="I1366" s="57" t="n">
        <f aca="false">H1366*G1366</f>
        <v>6170.83</v>
      </c>
      <c r="J1366" s="57" t="n">
        <f aca="false">BN1366*Parameter!$B$18</f>
        <v>39</v>
      </c>
      <c r="K1366" s="58" t="n">
        <v>25.5</v>
      </c>
      <c r="L1366" s="59" t="n">
        <v>1.52941176470588</v>
      </c>
      <c r="M1366" s="57" t="n">
        <v>5</v>
      </c>
      <c r="N1366" s="57" t="n">
        <v>15</v>
      </c>
      <c r="O1366" s="60" t="n">
        <v>35</v>
      </c>
      <c r="P1366" s="55" t="s">
        <v>259</v>
      </c>
      <c r="Q1366" s="57" t="n">
        <v>10</v>
      </c>
      <c r="R1366" s="60" t="n">
        <f aca="false">IF(BT1366=1,0,IFERROR(VLOOKUP(BR1366,'Gebinde-Kategorie'!$A$5:$M$45,13,0)+0,0))</f>
        <v>6</v>
      </c>
      <c r="S1366" s="61"/>
      <c r="T1366" s="62"/>
      <c r="U1366" s="62"/>
      <c r="V1366" s="62"/>
      <c r="W1366" s="55"/>
      <c r="X1366" s="57"/>
      <c r="Y1366" s="57"/>
      <c r="Z1366" s="55" t="n">
        <f aca="false">IF(A1366="","",IF(AND(Parameter!$B$21="Ja",ISNUMBER(W1366)),W1366,IF(BV1366="2+3",IF(ISNUMBER(SEARCH("grosser Artikel",BO1366)),2,IFERROR(VLOOKUP(BR1366,Parameter!$F$35:$G$64,2,0),2)),IF(OR(BV1366="Nein",BV1366=""),"-",BV1366))))</f>
        <v>1</v>
      </c>
      <c r="AA1366" s="62"/>
      <c r="AB1366" s="63"/>
      <c r="AC1366" s="57" t="n">
        <f aca="false">AR1366</f>
        <v>20</v>
      </c>
      <c r="AD1366" s="57" t="n">
        <f aca="false">MAX(AR1366,H1366)</f>
        <v>20</v>
      </c>
      <c r="AE1366" s="64"/>
      <c r="AF1366" s="57" t="n">
        <f aca="false">IF(LEFT(Cockpit!$C$5,1)="A",H1366,IF(CA1366=1,CB1366,IF(LEFT(Cockpit!$C$5,1)="B",AJ1366,MAX(AJ1366,H1366))))</f>
        <v>17</v>
      </c>
      <c r="AG1366" s="57" t="n">
        <f aca="false">IF(BT1366=1,0,ROUNDUP(AF1366/BS1366,0))</f>
        <v>2</v>
      </c>
      <c r="AH1366" s="59" t="n">
        <f aca="false">IF(CH1366&gt;0,CH1366*MAX(1,AF1366/X1366),IF(BT1366=1,IF(AF1366&lt;=0,0,BW1366*MAX(1,IF(H1366&gt;0,AF1366/H1366,1))),IF(R1366&gt;0,AG1366/R1366,0))/MAX(0.1,N(Parameter!$M$21)))</f>
        <v>0.333333333333333</v>
      </c>
      <c r="AI1366" s="57" t="n">
        <f aca="false">AF1366*G1366</f>
        <v>6170.83</v>
      </c>
      <c r="AJ1366" s="57" t="n">
        <f aca="false">ROUNDUP(MAX(J1366/IF(BZ1366&gt;0,BZ1366,MAX(0.1,N(Cockpit!$C$6))),CC1366)/BS1366,0)*BS1366</f>
        <v>20</v>
      </c>
      <c r="AK1366" s="58" t="n">
        <f aca="false">IF(AH1366&gt;0,J1366/AH1366,-1)</f>
        <v>117</v>
      </c>
      <c r="AL1366" s="58" t="n">
        <f aca="false">IF(AND(OR(BY1366="L1",BY1366="L23"),AH1366&gt;0),SUMIFS($AH$7:$AH$1843,$BY$7:$BY$1843,BY1366,$AK$7:$AK$1843,"&gt;"&amp;AK1366)+SUMIFS($AH$7:$AH$1843,$BY$7:$BY$1843,BY1366,$AK$7:$AK$1843,AK1366,$BQ$7:$BQ$1843,"&lt;="&amp;BQ1366),"")</f>
        <v>5.1642071185181</v>
      </c>
      <c r="AM1366" s="65" t="n">
        <f aca="false">IF(AL1366="",0,MAX(0,MIN(1,(IF(BY1366="L1",Parameter!$E$5,Parameter!$E$6+Parameter!$E$7)-(AL1366-AH1366))/AH1366)))</f>
        <v>1</v>
      </c>
      <c r="AN1366" s="57" t="n">
        <f aca="false">IF(LEFT(Cockpit!$I$5,1)="A",H1366,IF(CA1366=1,CB1366,IF(LEFT(Cockpit!$I$5,1)="B",AR1366,MAX(AR1366,H1366))))</f>
        <v>20</v>
      </c>
      <c r="AO1366" s="57" t="n">
        <f aca="false">IF(BT1366=1,0,ROUNDUP(AN1366/BS1366,0))</f>
        <v>2</v>
      </c>
      <c r="AP1366" s="59" t="n">
        <f aca="false">IF(CH1366&gt;0,CH1366*MAX(1,AN1366/X1366),IF(BT1366=1,IF(AN1366&lt;=0,0,BW1366*MAX(1,IF(H1366&gt;0,AN1366/H1366,1))),IF(R1366&gt;0,AO1366/R1366,0))/MAX(0.1,N(Parameter!$M$21)))</f>
        <v>0.333333333333333</v>
      </c>
      <c r="AQ1366" s="57" t="n">
        <f aca="false">AN1366*G1366</f>
        <v>7259.8</v>
      </c>
      <c r="AR1366" s="57" t="n">
        <f aca="false">ROUNDUP(MAX(J1366/IF(BZ1366&gt;0,BZ1366,MAX(0.1,N(Cockpit!$I$6))),CC1366)/BS1366,0)*BS1366</f>
        <v>20</v>
      </c>
      <c r="AS1366" s="58" t="n">
        <f aca="false">IF(AP1366&gt;0,J1366/AP1366,-1)</f>
        <v>117</v>
      </c>
      <c r="AT1366" s="58" t="n">
        <f aca="false">IF(AND(OR(BY1366="L1",BY1366="L23"),AP1366&gt;0),SUMIFS($AP$7:$AP$1843,$BY$7:$BY$1843,BY1366,$AS$7:$AS$1843,"&gt;"&amp;AS1366)+SUMIFS($AP$7:$AP$1843,$BY$7:$BY$1843,BY1366,$AS$7:$AS$1843,AS1366,$BQ$7:$BQ$1843,"&lt;="&amp;BQ1366),"")</f>
        <v>6.74442586399108</v>
      </c>
      <c r="AU1366" s="65" t="n">
        <f aca="false">IF(AT1366="",0,MAX(0,MIN(1,(IF(BY1366="L1",Parameter!$E$5,Parameter!$E$6+Parameter!$E$7)-(AT1366-AP1366))/AP1366)))</f>
        <v>1</v>
      </c>
      <c r="AV1366" s="57" t="n">
        <f aca="false">IF(LEFT(Cockpit!$O$5,1)="A",H1366,IF(CA1366=1,CB1366,IF(LEFT(Cockpit!$O$5,1)="B",AZ1366,MAX(AZ1366,H1366))))</f>
        <v>20</v>
      </c>
      <c r="AW1366" s="57" t="n">
        <f aca="false">IF(BT1366=1,0,ROUNDUP(AV1366/BS1366,0))</f>
        <v>2</v>
      </c>
      <c r="AX1366" s="59" t="n">
        <f aca="false">IF(CH1366&gt;0,CH1366*MAX(1,AV1366/X1366),IF(BT1366=1,IF(AV1366&lt;=0,0,BW1366*MAX(1,IF(H1366&gt;0,AV1366/H1366,1))),IF(R1366&gt;0,AW1366/R1366,0))/MAX(0.1,N(Parameter!$M$21)))</f>
        <v>0.333333333333333</v>
      </c>
      <c r="AY1366" s="57" t="n">
        <f aca="false">AV1366*G1366</f>
        <v>7259.8</v>
      </c>
      <c r="AZ1366" s="57" t="n">
        <f aca="false">ROUNDUP(MAX(J1366/IF(BZ1366&gt;0,BZ1366,MAX(0.1,N(Cockpit!$O$6))),CC1366)/BS1366,0)*BS1366</f>
        <v>20</v>
      </c>
      <c r="BA1366" s="58" t="n">
        <f aca="false">IF(AX1366&gt;0,J1366/AX1366,-1)</f>
        <v>117</v>
      </c>
      <c r="BB1366" s="58" t="n">
        <f aca="false">IF(AND(OR(BY1366="L1",BY1366="L23"),AX1366&gt;0),SUMIFS($AX$7:$AX$1843,$BY$7:$BY$1843,BY1366,$BA$7:$BA$1843,"&gt;"&amp;BA1366)+SUMIFS($AX$7:$AX$1843,$BY$7:$BY$1843,BY1366,$BA$7:$BA$1843,BA1366,$BQ$7:$BQ$1843,"&lt;="&amp;BQ1366),"")</f>
        <v>7.03929765886288</v>
      </c>
      <c r="BC1366" s="65" t="n">
        <f aca="false">IF(BB1366="",0,MAX(0,MIN(1,(IF(BY1366="L1",Parameter!$E$5,Parameter!$E$6+Parameter!$E$7)-(BB1366-AX1366))/AX1366)))</f>
        <v>1</v>
      </c>
      <c r="BD1366" s="55" t="str">
        <f aca="false">IF(AH1366&lt;=0,"",IF(BY1366="Aussen","Aussenlager",IF(BY1366="-","Nicht im Lift",IF(AM1366&gt;=1,"Lift",IF(AM1366&lt;=0,"Aussenlager","teilweise")))))</f>
        <v>Lift</v>
      </c>
      <c r="BE1366" s="55" t="str">
        <f aca="false">IF(AP1366&lt;=0,"",IF(BY1366="Aussen","Aussenlager",IF(BY1366="-","Nicht im Lift",IF(AU1366&gt;=1,"Lift",IF(AU1366&lt;=0,"Aussenlager","teilweise")))))</f>
        <v>Lift</v>
      </c>
      <c r="BF1366" s="55" t="str">
        <f aca="false">IF(AX1366&lt;=0,"",IF(BY1366="Aussen","Aussenlager",IF(BY1366="-","Nicht im Lift",IF(BC1366&gt;=1,"Lift",IF(BC1366&lt;=0,"Aussenlager","teilweise")))))</f>
        <v>Lift</v>
      </c>
      <c r="BG1366" s="55" t="str">
        <f aca="false">IF(A1366="","",IF(BP1366=1,"Neu; ","")&amp;IF(AND(BP1366=0,BK1366&lt;0),"negativer Bestand (Export "&amp;BK1366&amp;"); ","")&amp;IF(J1366&lt;=0,"Kein Verbrauch; ","")&amp;IF(CH1366&gt;0,"Lift "&amp;W1366&amp;" lt. Liftbericht (Fach "&amp;X1366&amp;" Stk); ",IF(BU1366=1,"Gebinde geschätzt ("&amp;T1366&amp;"); ",IF(BT1366=1,"Lose – Tablare geschätzt; ","")))&amp;IF(H1366&gt;AR1366,"Überbestand "&amp;ROUND(H1366-AR1366,0)&amp;" Stk / CHF "&amp;ROUND((H1366-AR1366)*G1366,0)&amp;"; ","")&amp;IF(AND(CA1366=1,CB1366&lt;CC1366),"MAX &lt; MB+LG; ","")&amp;IF(AND(CG1366&gt;0,CF1366*10&gt;CG1366),"zu hoch für Tablar; ","")&amp;IF(AND(BP1366=0,OR(CA1366=1,AA1366&lt;&gt;"",U1366&lt;&gt;"",V1366&lt;&gt;"",AB1366&lt;&gt;"")),"manuell übersteuert; ","")&amp;IF(AND(BT1366=0,R1366=0),"Gebinde unbekannt / Stellmass fehlt; ","")&amp;IF(AND(BT1366=0,N(V1366)&lt;=0,N(Q1366)&lt;=0),"Menge pro Gebinde fehlt (Ist = 1 Gebinde); ","")&amp;BO1366)</f>
        <v>negativer Bestand (Export -7); </v>
      </c>
      <c r="BH1366" s="55"/>
      <c r="BI1366" s="55"/>
      <c r="BJ1366" s="62"/>
      <c r="BK1366" s="57" t="n">
        <v>-7</v>
      </c>
      <c r="BL1366" s="57" t="n">
        <v>24</v>
      </c>
      <c r="BM1366" s="56" t="n">
        <v>-2540.21000000001</v>
      </c>
      <c r="BN1366" s="57" t="n">
        <v>39</v>
      </c>
      <c r="BO1366" s="55"/>
      <c r="BP1366" s="60" t="n">
        <v>0</v>
      </c>
      <c r="BQ1366" s="60" t="n">
        <v>1366</v>
      </c>
      <c r="BR1366" s="55" t="str">
        <f aca="false">IF(U1366&lt;&gt;"",UPPER(TRIM(U1366)),IF(BU1366=1,UPPER(VLOOKUP(T1366,Parameter!$I$27:$K$29,2,0)),IF(P1366="","LOSE",P1366)))</f>
        <v>S72</v>
      </c>
      <c r="BS1366" s="57" t="n">
        <f aca="false">IF(BR1366="LOSE",1,IF(N(V1366)&gt;0,V1366,IF(BU1366=1,MAX(1,N(VLOOKUP(T1366,Parameter!$I$27:$K$29,3,0)),H1366,N(N1366)),IF(N(Q1366)&gt;0,Q1366,MAX(1,H1366)))))</f>
        <v>10</v>
      </c>
      <c r="BT1366" s="60" t="n">
        <f aca="false">IF(BR1366="LOSE",1,0)</f>
        <v>0</v>
      </c>
      <c r="BU1366" s="60" t="n">
        <f aca="false">IF(AND(U1366="",OR(P1366="",P1366="LOSE"),T1366&lt;&gt;"",N(S1366)&lt;=0,ISNUMBER(MATCH(T1366,Parameter!$I$27:$I$29,0))),1,0)</f>
        <v>0</v>
      </c>
      <c r="BV1366" s="55" t="n">
        <f aca="false">IF(AND(Parameter!$B$19="Ja",E1366&lt;&gt;"",ISNUMBER(MATCH(E1366,Parameter!$I$35:$I$52,0))),VLOOKUP(E1366,Parameter!$I$35:$J$52,2,0),IFERROR(VLOOKUP(D1366,Parameter!$A$35:$C$64,2,0),"Nein"))</f>
        <v>1</v>
      </c>
      <c r="BW1366" s="59" t="n">
        <f aca="false">IF(BT1366=0,0,IF(N(S1366)&gt;0,S1366,IFERROR(VLOOKUP(D1366,Parameter!$A$35:$C$64,3,0)+0,0)))</f>
        <v>0</v>
      </c>
      <c r="BX1366" s="55" t="n">
        <f aca="false">IF(AA1366&lt;&gt;"",AA1366,Z1366)</f>
        <v>1</v>
      </c>
      <c r="BY1366" s="55" t="str">
        <f aca="false">IF(BX1366=1,"L1",IF(OR(BX1366=2,BX1366=3),"L23",IF(BX1366="Aussen","Aussen","-")))</f>
        <v>L1</v>
      </c>
      <c r="BZ1366" s="66" t="n">
        <f aca="false">IF(N(AB1366)&gt;0,AB1366,0)</f>
        <v>0</v>
      </c>
      <c r="CA1366" s="60" t="n">
        <f aca="false">IF(ISNUMBER(AE1366),1,0)</f>
        <v>0</v>
      </c>
      <c r="CB1366" s="57" t="n">
        <f aca="false">N(AE1366)</f>
        <v>0</v>
      </c>
      <c r="CC1366" s="57" t="n">
        <f aca="false">N(M1366)+N(N1366)</f>
        <v>20</v>
      </c>
      <c r="CD1366" s="57" t="n">
        <f aca="false">ROUNDUP(H1366/BS1366,0)</f>
        <v>2</v>
      </c>
      <c r="CE1366" s="57" t="n">
        <f aca="false">ROUNDUP(CB1366/BS1366,0)</f>
        <v>0</v>
      </c>
      <c r="CF1366" s="60" t="n">
        <f aca="false">IF(BT1366=1,0,IFERROR(VLOOKUP(BR1366,'Gebinde-Kategorie'!$A$5:$M$45,5,0)+0,0))</f>
        <v>40</v>
      </c>
      <c r="CG1366" s="60" t="n">
        <f aca="false">IFERROR(IF(OR(BX1366=1,BX1366=2,BX1366=3),N(INDEX(Parameter!$I$5:$I$7,BX1366)),0),0)</f>
        <v>0</v>
      </c>
      <c r="CH1366" s="59" t="n">
        <f aca="false">IF(AND(Parameter!$B$21="Ja",ISNUMBER(W1366),N(X1366)&gt;0),IFERROR(N(INDEX(Parameter!$L$5:$L$7,W1366))*INDEX(Parameter!$E$5:$E$7,W1366)*X1366/SUMIFS($X$7:$X$1843,$W$7:$W$1843,W1366),0),0)</f>
        <v>0</v>
      </c>
    </row>
    <row r="1367" customFormat="false" ht="15" hidden="false" customHeight="false" outlineLevel="0" collapsed="false">
      <c r="A1367" s="55" t="s">
        <v>2408</v>
      </c>
      <c r="B1367" s="55" t="s">
        <v>2409</v>
      </c>
      <c r="C1367" s="55" t="s">
        <v>164</v>
      </c>
      <c r="D1367" s="55" t="s">
        <v>184</v>
      </c>
      <c r="E1367" s="55" t="s">
        <v>185</v>
      </c>
      <c r="F1367" s="55" t="s">
        <v>218</v>
      </c>
      <c r="G1367" s="56" t="n">
        <v>24.67</v>
      </c>
      <c r="H1367" s="57" t="n">
        <f aca="false">MAX(0,IF(AND(Parameter!$B$21="Ja",ISNUMBER(Y1367)),Y1367,IF(Parameter!$B$20="Jahresanfang 2025 + Export",BL1367+BK1367,BK1367)))</f>
        <v>32</v>
      </c>
      <c r="I1367" s="57" t="n">
        <f aca="false">H1367*G1367</f>
        <v>789.44</v>
      </c>
      <c r="J1367" s="57" t="n">
        <f aca="false">BN1367*Parameter!$B$18</f>
        <v>22</v>
      </c>
      <c r="K1367" s="58" t="n">
        <v>121</v>
      </c>
      <c r="L1367" s="59" t="n">
        <v>0.181818181818182</v>
      </c>
      <c r="M1367" s="57" t="n">
        <v>1</v>
      </c>
      <c r="N1367" s="57" t="n">
        <v>20</v>
      </c>
      <c r="O1367" s="60" t="n">
        <v>28</v>
      </c>
      <c r="P1367" s="55" t="s">
        <v>302</v>
      </c>
      <c r="Q1367" s="57" t="n">
        <v>60</v>
      </c>
      <c r="R1367" s="60" t="n">
        <f aca="false">IF(BT1367=1,0,IFERROR(VLOOKUP(BR1367,'Gebinde-Kategorie'!$A$5:$M$45,13,0)+0,0))</f>
        <v>26</v>
      </c>
      <c r="S1367" s="61"/>
      <c r="T1367" s="62"/>
      <c r="U1367" s="62"/>
      <c r="V1367" s="62"/>
      <c r="W1367" s="55"/>
      <c r="X1367" s="57"/>
      <c r="Y1367" s="57"/>
      <c r="Z1367" s="55" t="n">
        <f aca="false">IF(A1367="","",IF(AND(Parameter!$B$21="Ja",ISNUMBER(W1367)),W1367,IF(BV1367="2+3",IF(ISNUMBER(SEARCH("grosser Artikel",BO1367)),2,IFERROR(VLOOKUP(BR1367,Parameter!$F$35:$G$64,2,0),2)),IF(OR(BV1367="Nein",BV1367=""),"-",BV1367))))</f>
        <v>3</v>
      </c>
      <c r="AA1367" s="62"/>
      <c r="AB1367" s="63"/>
      <c r="AC1367" s="57" t="n">
        <f aca="false">AR1367</f>
        <v>60</v>
      </c>
      <c r="AD1367" s="57" t="n">
        <f aca="false">MAX(AR1367,H1367)</f>
        <v>60</v>
      </c>
      <c r="AE1367" s="64"/>
      <c r="AF1367" s="57" t="n">
        <f aca="false">IF(LEFT(Cockpit!$C$5,1)="A",H1367,IF(CA1367=1,CB1367,IF(LEFT(Cockpit!$C$5,1)="B",AJ1367,MAX(AJ1367,H1367))))</f>
        <v>32</v>
      </c>
      <c r="AG1367" s="57" t="n">
        <f aca="false">IF(BT1367=1,0,ROUNDUP(AF1367/BS1367,0))</f>
        <v>1</v>
      </c>
      <c r="AH1367" s="59" t="n">
        <f aca="false">IF(CH1367&gt;0,CH1367*MAX(1,AF1367/X1367),IF(BT1367=1,IF(AF1367&lt;=0,0,BW1367*MAX(1,IF(H1367&gt;0,AF1367/H1367,1))),IF(R1367&gt;0,AG1367/R1367,0))/MAX(0.1,N(Parameter!$M$21)))</f>
        <v>0.0384615384615385</v>
      </c>
      <c r="AI1367" s="57" t="n">
        <f aca="false">AF1367*G1367</f>
        <v>789.44</v>
      </c>
      <c r="AJ1367" s="57" t="n">
        <f aca="false">ROUNDUP(MAX(J1367/IF(BZ1367&gt;0,BZ1367,MAX(0.1,N(Cockpit!$C$6))),CC1367)/BS1367,0)*BS1367</f>
        <v>60</v>
      </c>
      <c r="AK1367" s="58" t="n">
        <f aca="false">IF(AH1367&gt;0,J1367/AH1367,-1)</f>
        <v>572</v>
      </c>
      <c r="AL1367" s="58" t="n">
        <f aca="false">IF(AND(OR(BY1367="L1",BY1367="L23"),AH1367&gt;0),SUMIFS($AH$7:$AH$1843,$BY$7:$BY$1843,BY1367,$AK$7:$AK$1843,"&gt;"&amp;AK1367)+SUMIFS($AH$7:$AH$1843,$BY$7:$BY$1843,BY1367,$AK$7:$AK$1843,AK1367,$BQ$7:$BQ$1843,"&lt;="&amp;BQ1367),"")</f>
        <v>23.4114219114219</v>
      </c>
      <c r="AM1367" s="65" t="n">
        <f aca="false">IF(AL1367="",0,MAX(0,MIN(1,(IF(BY1367="L1",Parameter!$E$5,Parameter!$E$6+Parameter!$E$7)-(AL1367-AH1367))/AH1367)))</f>
        <v>1</v>
      </c>
      <c r="AN1367" s="57" t="n">
        <f aca="false">IF(LEFT(Cockpit!$I$5,1)="A",H1367,IF(CA1367=1,CB1367,IF(LEFT(Cockpit!$I$5,1)="B",AR1367,MAX(AR1367,H1367))))</f>
        <v>60</v>
      </c>
      <c r="AO1367" s="57" t="n">
        <f aca="false">IF(BT1367=1,0,ROUNDUP(AN1367/BS1367,0))</f>
        <v>1</v>
      </c>
      <c r="AP1367" s="59" t="n">
        <f aca="false">IF(CH1367&gt;0,CH1367*MAX(1,AN1367/X1367),IF(BT1367=1,IF(AN1367&lt;=0,0,BW1367*MAX(1,IF(H1367&gt;0,AN1367/H1367,1))),IF(R1367&gt;0,AO1367/R1367,0))/MAX(0.1,N(Parameter!$M$21)))</f>
        <v>0.0384615384615385</v>
      </c>
      <c r="AQ1367" s="57" t="n">
        <f aca="false">AN1367*G1367</f>
        <v>1480.2</v>
      </c>
      <c r="AR1367" s="57" t="n">
        <f aca="false">ROUNDUP(MAX(J1367/IF(BZ1367&gt;0,BZ1367,MAX(0.1,N(Cockpit!$I$6))),CC1367)/BS1367,0)*BS1367</f>
        <v>60</v>
      </c>
      <c r="AS1367" s="58" t="n">
        <f aca="false">IF(AP1367&gt;0,J1367/AP1367,-1)</f>
        <v>572</v>
      </c>
      <c r="AT1367" s="58" t="n">
        <f aca="false">IF(AND(OR(BY1367="L1",BY1367="L23"),AP1367&gt;0),SUMIFS($AP$7:$AP$1843,$BY$7:$BY$1843,BY1367,$AS$7:$AS$1843,"&gt;"&amp;AS1367)+SUMIFS($AP$7:$AP$1843,$BY$7:$BY$1843,BY1367,$AS$7:$AS$1843,AS1367,$BQ$7:$BQ$1843,"&lt;="&amp;BQ1367),"")</f>
        <v>31.2499915543394</v>
      </c>
      <c r="AU1367" s="65" t="n">
        <f aca="false">IF(AT1367="",0,MAX(0,MIN(1,(IF(BY1367="L1",Parameter!$E$5,Parameter!$E$6+Parameter!$E$7)-(AT1367-AP1367))/AP1367)))</f>
        <v>1</v>
      </c>
      <c r="AV1367" s="57" t="n">
        <f aca="false">IF(LEFT(Cockpit!$O$5,1)="A",H1367,IF(CA1367=1,CB1367,IF(LEFT(Cockpit!$O$5,1)="B",AZ1367,MAX(AZ1367,H1367))))</f>
        <v>60</v>
      </c>
      <c r="AW1367" s="57" t="n">
        <f aca="false">IF(BT1367=1,0,ROUNDUP(AV1367/BS1367,0))</f>
        <v>1</v>
      </c>
      <c r="AX1367" s="59" t="n">
        <f aca="false">IF(CH1367&gt;0,CH1367*MAX(1,AV1367/X1367),IF(BT1367=1,IF(AV1367&lt;=0,0,BW1367*MAX(1,IF(H1367&gt;0,AV1367/H1367,1))),IF(R1367&gt;0,AW1367/R1367,0))/MAX(0.1,N(Parameter!$M$21)))</f>
        <v>0.0384615384615385</v>
      </c>
      <c r="AY1367" s="57" t="n">
        <f aca="false">AV1367*G1367</f>
        <v>1480.2</v>
      </c>
      <c r="AZ1367" s="57" t="n">
        <f aca="false">ROUNDUP(MAX(J1367/IF(BZ1367&gt;0,BZ1367,MAX(0.1,N(Cockpit!$O$6))),CC1367)/BS1367,0)*BS1367</f>
        <v>60</v>
      </c>
      <c r="BA1367" s="58" t="n">
        <f aca="false">IF(AX1367&gt;0,J1367/AX1367,-1)</f>
        <v>572</v>
      </c>
      <c r="BB1367" s="58" t="n">
        <f aca="false">IF(AND(OR(BY1367="L1",BY1367="L23"),AX1367&gt;0),SUMIFS($AX$7:$AX$1843,$BY$7:$BY$1843,BY1367,$BA$7:$BA$1843,"&gt;"&amp;BA1367)+SUMIFS($AX$7:$AX$1843,$BY$7:$BY$1843,BY1367,$BA$7:$BA$1843,BA1367,$BQ$7:$BQ$1843,"&lt;="&amp;BQ1367),"")</f>
        <v>29.650341204689</v>
      </c>
      <c r="BC1367" s="65" t="n">
        <f aca="false">IF(BB1367="",0,MAX(0,MIN(1,(IF(BY1367="L1",Parameter!$E$5,Parameter!$E$6+Parameter!$E$7)-(BB1367-AX1367))/AX1367)))</f>
        <v>1</v>
      </c>
      <c r="BD1367" s="55" t="str">
        <f aca="false">IF(AH1367&lt;=0,"",IF(BY1367="Aussen","Aussenlager",IF(BY1367="-","Nicht im Lift",IF(AM1367&gt;=1,"Lift",IF(AM1367&lt;=0,"Aussenlager","teilweise")))))</f>
        <v>Lift</v>
      </c>
      <c r="BE1367" s="55" t="str">
        <f aca="false">IF(AP1367&lt;=0,"",IF(BY1367="Aussen","Aussenlager",IF(BY1367="-","Nicht im Lift",IF(AU1367&gt;=1,"Lift",IF(AU1367&lt;=0,"Aussenlager","teilweise")))))</f>
        <v>Lift</v>
      </c>
      <c r="BF1367" s="55" t="str">
        <f aca="false">IF(AX1367&lt;=0,"",IF(BY1367="Aussen","Aussenlager",IF(BY1367="-","Nicht im Lift",IF(BC1367&gt;=1,"Lift",IF(BC1367&lt;=0,"Aussenlager","teilweise")))))</f>
        <v>Lift</v>
      </c>
      <c r="BG1367" s="55" t="str">
        <f aca="false">IF(A1367="","",IF(BP1367=1,"Neu; ","")&amp;IF(AND(BP1367=0,BK1367&lt;0),"negativer Bestand (Export "&amp;BK1367&amp;"); ","")&amp;IF(J1367&lt;=0,"Kein Verbrauch; ","")&amp;IF(CH1367&gt;0,"Lift "&amp;W1367&amp;" lt. Liftbericht (Fach "&amp;X1367&amp;" Stk); ",IF(BU1367=1,"Gebinde geschätzt ("&amp;T1367&amp;"); ",IF(BT1367=1,"Lose – Tablare geschätzt; ","")))&amp;IF(H1367&gt;AR1367,"Überbestand "&amp;ROUND(H1367-AR1367,0)&amp;" Stk / CHF "&amp;ROUND((H1367-AR1367)*G1367,0)&amp;"; ","")&amp;IF(AND(CA1367=1,CB1367&lt;CC1367),"MAX &lt; MB+LG; ","")&amp;IF(AND(CG1367&gt;0,CF1367*10&gt;CG1367),"zu hoch für Tablar; ","")&amp;IF(AND(BP1367=0,OR(CA1367=1,AA1367&lt;&gt;"",U1367&lt;&gt;"",V1367&lt;&gt;"",AB1367&lt;&gt;"")),"manuell übersteuert; ","")&amp;IF(AND(BT1367=0,R1367=0),"Gebinde unbekannt / Stellmass fehlt; ","")&amp;IF(AND(BT1367=0,N(V1367)&lt;=0,N(Q1367)&lt;=0),"Menge pro Gebinde fehlt (Ist = 1 Gebinde); ","")&amp;BO1367)</f>
        <v>negativer Bestand (Export -103); B&amp;R</v>
      </c>
      <c r="BH1367" s="55"/>
      <c r="BI1367" s="55"/>
      <c r="BJ1367" s="62"/>
      <c r="BK1367" s="57" t="n">
        <v>-103</v>
      </c>
      <c r="BL1367" s="57" t="n">
        <v>135</v>
      </c>
      <c r="BM1367" s="56" t="n">
        <v>-2541.01</v>
      </c>
      <c r="BN1367" s="57" t="n">
        <v>22</v>
      </c>
      <c r="BO1367" s="55" t="s">
        <v>2217</v>
      </c>
      <c r="BP1367" s="60" t="n">
        <v>0</v>
      </c>
      <c r="BQ1367" s="60" t="n">
        <v>1367</v>
      </c>
      <c r="BR1367" s="55" t="str">
        <f aca="false">IF(U1367&lt;&gt;"",UPPER(TRIM(U1367)),IF(BU1367=1,UPPER(VLOOKUP(T1367,Parameter!$I$27:$K$29,2,0)),IF(P1367="","LOSE",P1367)))</f>
        <v>S51</v>
      </c>
      <c r="BS1367" s="57" t="n">
        <f aca="false">IF(BR1367="LOSE",1,IF(N(V1367)&gt;0,V1367,IF(BU1367=1,MAX(1,N(VLOOKUP(T1367,Parameter!$I$27:$K$29,3,0)),H1367,N(N1367)),IF(N(Q1367)&gt;0,Q1367,MAX(1,H1367)))))</f>
        <v>60</v>
      </c>
      <c r="BT1367" s="60" t="n">
        <f aca="false">IF(BR1367="LOSE",1,0)</f>
        <v>0</v>
      </c>
      <c r="BU1367" s="60" t="n">
        <f aca="false">IF(AND(U1367="",OR(P1367="",P1367="LOSE"),T1367&lt;&gt;"",N(S1367)&lt;=0,ISNUMBER(MATCH(T1367,Parameter!$I$27:$I$29,0))),1,0)</f>
        <v>0</v>
      </c>
      <c r="BV1367" s="55" t="str">
        <f aca="false">IF(AND(Parameter!$B$19="Ja",E1367&lt;&gt;"",ISNUMBER(MATCH(E1367,Parameter!$I$35:$I$52,0))),VLOOKUP(E1367,Parameter!$I$35:$J$52,2,0),IFERROR(VLOOKUP(D1367,Parameter!$A$35:$C$64,2,0),"Nein"))</f>
        <v>2+3</v>
      </c>
      <c r="BW1367" s="59" t="n">
        <f aca="false">IF(BT1367=0,0,IF(N(S1367)&gt;0,S1367,IFERROR(VLOOKUP(D1367,Parameter!$A$35:$C$64,3,0)+0,0)))</f>
        <v>0</v>
      </c>
      <c r="BX1367" s="55" t="n">
        <f aca="false">IF(AA1367&lt;&gt;"",AA1367,Z1367)</f>
        <v>3</v>
      </c>
      <c r="BY1367" s="55" t="str">
        <f aca="false">IF(BX1367=1,"L1",IF(OR(BX1367=2,BX1367=3),"L23",IF(BX1367="Aussen","Aussen","-")))</f>
        <v>L23</v>
      </c>
      <c r="BZ1367" s="66" t="n">
        <f aca="false">IF(N(AB1367)&gt;0,AB1367,0)</f>
        <v>0</v>
      </c>
      <c r="CA1367" s="60" t="n">
        <f aca="false">IF(ISNUMBER(AE1367),1,0)</f>
        <v>0</v>
      </c>
      <c r="CB1367" s="57" t="n">
        <f aca="false">N(AE1367)</f>
        <v>0</v>
      </c>
      <c r="CC1367" s="57" t="n">
        <f aca="false">N(M1367)+N(N1367)</f>
        <v>21</v>
      </c>
      <c r="CD1367" s="57" t="n">
        <f aca="false">ROUNDUP(H1367/BS1367,0)</f>
        <v>1</v>
      </c>
      <c r="CE1367" s="57" t="n">
        <f aca="false">ROUNDUP(CB1367/BS1367,0)</f>
        <v>0</v>
      </c>
      <c r="CF1367" s="60" t="n">
        <f aca="false">IF(BT1367=1,0,IFERROR(VLOOKUP(BR1367,'Gebinde-Kategorie'!$A$5:$M$45,5,0)+0,0))</f>
        <v>11</v>
      </c>
      <c r="CG1367" s="60" t="n">
        <f aca="false">IFERROR(IF(OR(BX1367=1,BX1367=2,BX1367=3),N(INDEX(Parameter!$I$5:$I$7,BX1367)),0),0)</f>
        <v>0</v>
      </c>
      <c r="CH1367" s="59" t="n">
        <f aca="false">IF(AND(Parameter!$B$21="Ja",ISNUMBER(W1367),N(X1367)&gt;0),IFERROR(N(INDEX(Parameter!$L$5:$L$7,W1367))*INDEX(Parameter!$E$5:$E$7,W1367)*X1367/SUMIFS($X$7:$X$1843,$W$7:$W$1843,W1367),0),0)</f>
        <v>0</v>
      </c>
    </row>
    <row r="1368" customFormat="false" ht="15" hidden="false" customHeight="false" outlineLevel="0" collapsed="false">
      <c r="A1368" s="55" t="s">
        <v>2410</v>
      </c>
      <c r="B1368" s="55" t="s">
        <v>2172</v>
      </c>
      <c r="C1368" s="55" t="s">
        <v>164</v>
      </c>
      <c r="D1368" s="55" t="s">
        <v>184</v>
      </c>
      <c r="E1368" s="55"/>
      <c r="F1368" s="55" t="s">
        <v>218</v>
      </c>
      <c r="G1368" s="56" t="n">
        <v>1272.53</v>
      </c>
      <c r="H1368" s="57" t="n">
        <f aca="false">MAX(0,IF(AND(Parameter!$B$21="Ja",ISNUMBER(Y1368)),Y1368,IF(Parameter!$B$20="Jahresanfang 2025 + Export",BL1368+BK1368,BK1368)))</f>
        <v>2</v>
      </c>
      <c r="I1368" s="57" t="n">
        <f aca="false">H1368*G1368</f>
        <v>2545.06</v>
      </c>
      <c r="J1368" s="57" t="n">
        <f aca="false">BN1368*Parameter!$B$18</f>
        <v>1</v>
      </c>
      <c r="K1368" s="58" t="n">
        <v>3.5</v>
      </c>
      <c r="L1368" s="59" t="n">
        <v>0.285714285714286</v>
      </c>
      <c r="M1368" s="57" t="n">
        <v>0</v>
      </c>
      <c r="N1368" s="57" t="n">
        <v>1</v>
      </c>
      <c r="O1368" s="60" t="n">
        <v>70</v>
      </c>
      <c r="P1368" s="55" t="s">
        <v>302</v>
      </c>
      <c r="Q1368" s="57" t="n">
        <v>3</v>
      </c>
      <c r="R1368" s="60" t="n">
        <f aca="false">IF(BT1368=1,0,IFERROR(VLOOKUP(BR1368,'Gebinde-Kategorie'!$A$5:$M$45,13,0)+0,0))</f>
        <v>26</v>
      </c>
      <c r="S1368" s="61"/>
      <c r="T1368" s="62"/>
      <c r="U1368" s="62"/>
      <c r="V1368" s="62"/>
      <c r="W1368" s="55"/>
      <c r="X1368" s="57"/>
      <c r="Y1368" s="57"/>
      <c r="Z1368" s="55" t="n">
        <f aca="false">IF(A1368="","",IF(AND(Parameter!$B$21="Ja",ISNUMBER(W1368)),W1368,IF(BV1368="2+3",IF(ISNUMBER(SEARCH("grosser Artikel",BO1368)),2,IFERROR(VLOOKUP(BR1368,Parameter!$F$35:$G$64,2,0),2)),IF(OR(BV1368="Nein",BV1368=""),"-",BV1368))))</f>
        <v>3</v>
      </c>
      <c r="AA1368" s="62"/>
      <c r="AB1368" s="63"/>
      <c r="AC1368" s="57" t="n">
        <f aca="false">AR1368</f>
        <v>3</v>
      </c>
      <c r="AD1368" s="57" t="n">
        <f aca="false">MAX(AR1368,H1368)</f>
        <v>3</v>
      </c>
      <c r="AE1368" s="64"/>
      <c r="AF1368" s="57" t="n">
        <f aca="false">IF(LEFT(Cockpit!$C$5,1)="A",H1368,IF(CA1368=1,CB1368,IF(LEFT(Cockpit!$C$5,1)="B",AJ1368,MAX(AJ1368,H1368))))</f>
        <v>2</v>
      </c>
      <c r="AG1368" s="57" t="n">
        <f aca="false">IF(BT1368=1,0,ROUNDUP(AF1368/BS1368,0))</f>
        <v>1</v>
      </c>
      <c r="AH1368" s="59" t="n">
        <f aca="false">IF(CH1368&gt;0,CH1368*MAX(1,AF1368/X1368),IF(BT1368=1,IF(AF1368&lt;=0,0,BW1368*MAX(1,IF(H1368&gt;0,AF1368/H1368,1))),IF(R1368&gt;0,AG1368/R1368,0))/MAX(0.1,N(Parameter!$M$21)))</f>
        <v>0.0384615384615385</v>
      </c>
      <c r="AI1368" s="57" t="n">
        <f aca="false">AF1368*G1368</f>
        <v>2545.06</v>
      </c>
      <c r="AJ1368" s="57" t="n">
        <f aca="false">ROUNDUP(MAX(J1368/IF(BZ1368&gt;0,BZ1368,MAX(0.1,N(Cockpit!$C$6))),CC1368)/BS1368,0)*BS1368</f>
        <v>3</v>
      </c>
      <c r="AK1368" s="58" t="n">
        <f aca="false">IF(AH1368&gt;0,J1368/AH1368,-1)</f>
        <v>26</v>
      </c>
      <c r="AL1368" s="58" t="n">
        <f aca="false">IF(AND(OR(BY1368="L1",BY1368="L23"),AH1368&gt;0),SUMIFS($AH$7:$AH$1843,$BY$7:$BY$1843,BY1368,$AK$7:$AK$1843,"&gt;"&amp;AK1368)+SUMIFS($AH$7:$AH$1843,$BY$7:$BY$1843,BY1368,$AK$7:$AK$1843,AK1368,$BQ$7:$BQ$1843,"&lt;="&amp;BQ1368),"")</f>
        <v>48.9215144758623</v>
      </c>
      <c r="AM1368" s="65" t="n">
        <f aca="false">IF(AL1368="",0,MAX(0,MIN(1,(IF(BY1368="L1",Parameter!$E$5,Parameter!$E$6+Parameter!$E$7)-(AL1368-AH1368))/AH1368)))</f>
        <v>1</v>
      </c>
      <c r="AN1368" s="57" t="n">
        <f aca="false">IF(LEFT(Cockpit!$I$5,1)="A",H1368,IF(CA1368=1,CB1368,IF(LEFT(Cockpit!$I$5,1)="B",AR1368,MAX(AR1368,H1368))))</f>
        <v>3</v>
      </c>
      <c r="AO1368" s="57" t="n">
        <f aca="false">IF(BT1368=1,0,ROUNDUP(AN1368/BS1368,0))</f>
        <v>1</v>
      </c>
      <c r="AP1368" s="59" t="n">
        <f aca="false">IF(CH1368&gt;0,CH1368*MAX(1,AN1368/X1368),IF(BT1368=1,IF(AN1368&lt;=0,0,BW1368*MAX(1,IF(H1368&gt;0,AN1368/H1368,1))),IF(R1368&gt;0,AO1368/R1368,0))/MAX(0.1,N(Parameter!$M$21)))</f>
        <v>0.0384615384615385</v>
      </c>
      <c r="AQ1368" s="57" t="n">
        <f aca="false">AN1368*G1368</f>
        <v>3817.59</v>
      </c>
      <c r="AR1368" s="57" t="n">
        <f aca="false">ROUNDUP(MAX(J1368/IF(BZ1368&gt;0,BZ1368,MAX(0.1,N(Cockpit!$I$6))),CC1368)/BS1368,0)*BS1368</f>
        <v>3</v>
      </c>
      <c r="AS1368" s="58" t="n">
        <f aca="false">IF(AP1368&gt;0,J1368/AP1368,-1)</f>
        <v>26</v>
      </c>
      <c r="AT1368" s="58" t="n">
        <f aca="false">IF(AND(OR(BY1368="L1",BY1368="L23"),AP1368&gt;0),SUMIFS($AP$7:$AP$1843,$BY$7:$BY$1843,BY1368,$AS$7:$AS$1843,"&gt;"&amp;AS1368)+SUMIFS($AP$7:$AP$1843,$BY$7:$BY$1843,BY1368,$AS$7:$AS$1843,AS1368,$BQ$7:$BQ$1843,"&lt;="&amp;BQ1368),"")</f>
        <v>74.0956386608561</v>
      </c>
      <c r="AU1368" s="65" t="n">
        <f aca="false">IF(AT1368="",0,MAX(0,MIN(1,(IF(BY1368="L1",Parameter!$E$5,Parameter!$E$6+Parameter!$E$7)-(AT1368-AP1368))/AP1368)))</f>
        <v>1</v>
      </c>
      <c r="AV1368" s="57" t="n">
        <f aca="false">IF(LEFT(Cockpit!$O$5,1)="A",H1368,IF(CA1368=1,CB1368,IF(LEFT(Cockpit!$O$5,1)="B",AZ1368,MAX(AZ1368,H1368))))</f>
        <v>3</v>
      </c>
      <c r="AW1368" s="57" t="n">
        <f aca="false">IF(BT1368=1,0,ROUNDUP(AV1368/BS1368,0))</f>
        <v>1</v>
      </c>
      <c r="AX1368" s="59" t="n">
        <f aca="false">IF(CH1368&gt;0,CH1368*MAX(1,AV1368/X1368),IF(BT1368=1,IF(AV1368&lt;=0,0,BW1368*MAX(1,IF(H1368&gt;0,AV1368/H1368,1))),IF(R1368&gt;0,AW1368/R1368,0))/MAX(0.1,N(Parameter!$M$21)))</f>
        <v>0.0384615384615385</v>
      </c>
      <c r="AY1368" s="57" t="n">
        <f aca="false">AV1368*G1368</f>
        <v>3817.59</v>
      </c>
      <c r="AZ1368" s="57" t="n">
        <f aca="false">ROUNDUP(MAX(J1368/IF(BZ1368&gt;0,BZ1368,MAX(0.1,N(Cockpit!$O$6))),CC1368)/BS1368,0)*BS1368</f>
        <v>3</v>
      </c>
      <c r="BA1368" s="58" t="n">
        <f aca="false">IF(AX1368&gt;0,J1368/AX1368,-1)</f>
        <v>26</v>
      </c>
      <c r="BB1368" s="58" t="n">
        <f aca="false">IF(AND(OR(BY1368="L1",BY1368="L23"),AX1368&gt;0),SUMIFS($AX$7:$AX$1843,$BY$7:$BY$1843,BY1368,$BA$7:$BA$1843,"&gt;"&amp;BA1368)+SUMIFS($AX$7:$AX$1843,$BY$7:$BY$1843,BY1368,$BA$7:$BA$1843,BA1368,$BQ$7:$BQ$1843,"&lt;="&amp;BQ1368),"")</f>
        <v>69.5921421573596</v>
      </c>
      <c r="BC1368" s="65" t="n">
        <f aca="false">IF(BB1368="",0,MAX(0,MIN(1,(IF(BY1368="L1",Parameter!$E$5,Parameter!$E$6+Parameter!$E$7)-(BB1368-AX1368))/AX1368)))</f>
        <v>1</v>
      </c>
      <c r="BD1368" s="55" t="str">
        <f aca="false">IF(AH1368&lt;=0,"",IF(BY1368="Aussen","Aussenlager",IF(BY1368="-","Nicht im Lift",IF(AM1368&gt;=1,"Lift",IF(AM1368&lt;=0,"Aussenlager","teilweise")))))</f>
        <v>Lift</v>
      </c>
      <c r="BE1368" s="55" t="str">
        <f aca="false">IF(AP1368&lt;=0,"",IF(BY1368="Aussen","Aussenlager",IF(BY1368="-","Nicht im Lift",IF(AU1368&gt;=1,"Lift",IF(AU1368&lt;=0,"Aussenlager","teilweise")))))</f>
        <v>Lift</v>
      </c>
      <c r="BF1368" s="55" t="str">
        <f aca="false">IF(AX1368&lt;=0,"",IF(BY1368="Aussen","Aussenlager",IF(BY1368="-","Nicht im Lift",IF(BC1368&gt;=1,"Lift",IF(BC1368&lt;=0,"Aussenlager","teilweise")))))</f>
        <v>Lift</v>
      </c>
      <c r="BG1368" s="55" t="str">
        <f aca="false">IF(A1368="","",IF(BP1368=1,"Neu; ","")&amp;IF(AND(BP1368=0,BK1368&lt;0),"negativer Bestand (Export "&amp;BK1368&amp;"); ","")&amp;IF(J1368&lt;=0,"Kein Verbrauch; ","")&amp;IF(CH1368&gt;0,"Lift "&amp;W1368&amp;" lt. Liftbericht (Fach "&amp;X1368&amp;" Stk); ",IF(BU1368=1,"Gebinde geschätzt ("&amp;T1368&amp;"); ",IF(BT1368=1,"Lose – Tablare geschätzt; ","")))&amp;IF(H1368&gt;AR1368,"Überbestand "&amp;ROUND(H1368-AR1368,0)&amp;" Stk / CHF "&amp;ROUND((H1368-AR1368)*G1368,0)&amp;"; ","")&amp;IF(AND(CA1368=1,CB1368&lt;CC1368),"MAX &lt; MB+LG; ","")&amp;IF(AND(CG1368&gt;0,CF1368*10&gt;CG1368),"zu hoch für Tablar; ","")&amp;IF(AND(BP1368=0,OR(CA1368=1,AA1368&lt;&gt;"",U1368&lt;&gt;"",V1368&lt;&gt;"",AB1368&lt;&gt;"")),"manuell übersteuert; ","")&amp;IF(AND(BT1368=0,R1368=0),"Gebinde unbekannt / Stellmass fehlt; ","")&amp;IF(AND(BT1368=0,N(V1368)&lt;=0,N(Q1368)&lt;=0),"Menge pro Gebinde fehlt (Ist = 1 Gebinde); ","")&amp;BO1368)</f>
        <v>negativer Bestand (Export -2); </v>
      </c>
      <c r="BH1368" s="55"/>
      <c r="BI1368" s="55"/>
      <c r="BJ1368" s="62"/>
      <c r="BK1368" s="57" t="n">
        <v>-2</v>
      </c>
      <c r="BL1368" s="57" t="n">
        <v>4</v>
      </c>
      <c r="BM1368" s="56" t="n">
        <v>-2545.06</v>
      </c>
      <c r="BN1368" s="57" t="n">
        <v>1</v>
      </c>
      <c r="BO1368" s="55"/>
      <c r="BP1368" s="60" t="n">
        <v>0</v>
      </c>
      <c r="BQ1368" s="60" t="n">
        <v>1368</v>
      </c>
      <c r="BR1368" s="55" t="str">
        <f aca="false">IF(U1368&lt;&gt;"",UPPER(TRIM(U1368)),IF(BU1368=1,UPPER(VLOOKUP(T1368,Parameter!$I$27:$K$29,2,0)),IF(P1368="","LOSE",P1368)))</f>
        <v>S51</v>
      </c>
      <c r="BS1368" s="57" t="n">
        <f aca="false">IF(BR1368="LOSE",1,IF(N(V1368)&gt;0,V1368,IF(BU1368=1,MAX(1,N(VLOOKUP(T1368,Parameter!$I$27:$K$29,3,0)),H1368,N(N1368)),IF(N(Q1368)&gt;0,Q1368,MAX(1,H1368)))))</f>
        <v>3</v>
      </c>
      <c r="BT1368" s="60" t="n">
        <f aca="false">IF(BR1368="LOSE",1,0)</f>
        <v>0</v>
      </c>
      <c r="BU1368" s="60" t="n">
        <f aca="false">IF(AND(U1368="",OR(P1368="",P1368="LOSE"),T1368&lt;&gt;"",N(S1368)&lt;=0,ISNUMBER(MATCH(T1368,Parameter!$I$27:$I$29,0))),1,0)</f>
        <v>0</v>
      </c>
      <c r="BV1368" s="55" t="str">
        <f aca="false">IF(AND(Parameter!$B$19="Ja",E1368&lt;&gt;"",ISNUMBER(MATCH(E1368,Parameter!$I$35:$I$52,0))),VLOOKUP(E1368,Parameter!$I$35:$J$52,2,0),IFERROR(VLOOKUP(D1368,Parameter!$A$35:$C$64,2,0),"Nein"))</f>
        <v>2+3</v>
      </c>
      <c r="BW1368" s="59" t="n">
        <f aca="false">IF(BT1368=0,0,IF(N(S1368)&gt;0,S1368,IFERROR(VLOOKUP(D1368,Parameter!$A$35:$C$64,3,0)+0,0)))</f>
        <v>0</v>
      </c>
      <c r="BX1368" s="55" t="n">
        <f aca="false">IF(AA1368&lt;&gt;"",AA1368,Z1368)</f>
        <v>3</v>
      </c>
      <c r="BY1368" s="55" t="str">
        <f aca="false">IF(BX1368=1,"L1",IF(OR(BX1368=2,BX1368=3),"L23",IF(BX1368="Aussen","Aussen","-")))</f>
        <v>L23</v>
      </c>
      <c r="BZ1368" s="66" t="n">
        <f aca="false">IF(N(AB1368)&gt;0,AB1368,0)</f>
        <v>0</v>
      </c>
      <c r="CA1368" s="60" t="n">
        <f aca="false">IF(ISNUMBER(AE1368),1,0)</f>
        <v>0</v>
      </c>
      <c r="CB1368" s="57" t="n">
        <f aca="false">N(AE1368)</f>
        <v>0</v>
      </c>
      <c r="CC1368" s="57" t="n">
        <f aca="false">N(M1368)+N(N1368)</f>
        <v>1</v>
      </c>
      <c r="CD1368" s="57" t="n">
        <f aca="false">ROUNDUP(H1368/BS1368,0)</f>
        <v>1</v>
      </c>
      <c r="CE1368" s="57" t="n">
        <f aca="false">ROUNDUP(CB1368/BS1368,0)</f>
        <v>0</v>
      </c>
      <c r="CF1368" s="60" t="n">
        <f aca="false">IF(BT1368=1,0,IFERROR(VLOOKUP(BR1368,'Gebinde-Kategorie'!$A$5:$M$45,5,0)+0,0))</f>
        <v>11</v>
      </c>
      <c r="CG1368" s="60" t="n">
        <f aca="false">IFERROR(IF(OR(BX1368=1,BX1368=2,BX1368=3),N(INDEX(Parameter!$I$5:$I$7,BX1368)),0),0)</f>
        <v>0</v>
      </c>
      <c r="CH1368" s="59" t="n">
        <f aca="false">IF(AND(Parameter!$B$21="Ja",ISNUMBER(W1368),N(X1368)&gt;0),IFERROR(N(INDEX(Parameter!$L$5:$L$7,W1368))*INDEX(Parameter!$E$5:$E$7,W1368)*X1368/SUMIFS($X$7:$X$1843,$W$7:$W$1843,W1368),0),0)</f>
        <v>0</v>
      </c>
    </row>
    <row r="1369" customFormat="false" ht="15" hidden="false" customHeight="false" outlineLevel="0" collapsed="false">
      <c r="A1369" s="55" t="s">
        <v>2411</v>
      </c>
      <c r="B1369" s="55" t="s">
        <v>2358</v>
      </c>
      <c r="C1369" s="55" t="s">
        <v>456</v>
      </c>
      <c r="D1369" s="55" t="s">
        <v>353</v>
      </c>
      <c r="E1369" s="55" t="s">
        <v>2248</v>
      </c>
      <c r="F1369" s="55" t="s">
        <v>218</v>
      </c>
      <c r="G1369" s="56" t="n">
        <v>1275.67</v>
      </c>
      <c r="H1369" s="57" t="n">
        <f aca="false">MAX(0,IF(AND(Parameter!$B$21="Ja",ISNUMBER(Y1369)),Y1369,IF(Parameter!$B$20="Jahresanfang 2025 + Export",BL1369+BK1369,BK1369)))</f>
        <v>0</v>
      </c>
      <c r="I1369" s="57" t="n">
        <f aca="false">H1369*G1369</f>
        <v>0</v>
      </c>
      <c r="J1369" s="57" t="n">
        <f aca="false">BN1369*Parameter!$B$18</f>
        <v>0</v>
      </c>
      <c r="K1369" s="58" t="n">
        <v>1</v>
      </c>
      <c r="L1369" s="59" t="n">
        <v>0</v>
      </c>
      <c r="M1369" s="57" t="n">
        <v>0</v>
      </c>
      <c r="N1369" s="57" t="n">
        <v>1</v>
      </c>
      <c r="O1369" s="60" t="n">
        <v>0</v>
      </c>
      <c r="P1369" s="55" t="s">
        <v>168</v>
      </c>
      <c r="Q1369" s="57"/>
      <c r="R1369" s="60" t="n">
        <f aca="false">IF(BT1369=1,0,IFERROR(VLOOKUP(BR1369,'Gebinde-Kategorie'!$A$5:$M$45,13,0)+0,0))</f>
        <v>0</v>
      </c>
      <c r="S1369" s="61"/>
      <c r="T1369" s="62"/>
      <c r="U1369" s="62"/>
      <c r="V1369" s="62"/>
      <c r="W1369" s="55"/>
      <c r="X1369" s="57"/>
      <c r="Y1369" s="57"/>
      <c r="Z1369" s="55" t="str">
        <f aca="false">IF(A1369="","",IF(AND(Parameter!$B$21="Ja",ISNUMBER(W1369)),W1369,IF(BV1369="2+3",IF(ISNUMBER(SEARCH("grosser Artikel",BO1369)),2,IFERROR(VLOOKUP(BR1369,Parameter!$F$35:$G$64,2,0),2)),IF(OR(BV1369="Nein",BV1369=""),"-",BV1369))))</f>
        <v>-</v>
      </c>
      <c r="AA1369" s="62"/>
      <c r="AB1369" s="63"/>
      <c r="AC1369" s="57" t="n">
        <f aca="false">AR1369</f>
        <v>1</v>
      </c>
      <c r="AD1369" s="57" t="n">
        <f aca="false">MAX(AR1369,H1369)</f>
        <v>1</v>
      </c>
      <c r="AE1369" s="64"/>
      <c r="AF1369" s="57" t="n">
        <f aca="false">IF(LEFT(Cockpit!$C$5,1)="A",H1369,IF(CA1369=1,CB1369,IF(LEFT(Cockpit!$C$5,1)="B",AJ1369,MAX(AJ1369,H1369))))</f>
        <v>0</v>
      </c>
      <c r="AG1369" s="57" t="n">
        <f aca="false">IF(BT1369=1,0,ROUNDUP(AF1369/BS1369,0))</f>
        <v>0</v>
      </c>
      <c r="AH1369" s="59" t="n">
        <f aca="false">IF(CH1369&gt;0,CH1369*MAX(1,AF1369/X1369),IF(BT1369=1,IF(AF1369&lt;=0,0,BW1369*MAX(1,IF(H1369&gt;0,AF1369/H1369,1))),IF(R1369&gt;0,AG1369/R1369,0))/MAX(0.1,N(Parameter!$M$21)))</f>
        <v>0</v>
      </c>
      <c r="AI1369" s="57" t="n">
        <f aca="false">AF1369*G1369</f>
        <v>0</v>
      </c>
      <c r="AJ1369" s="57" t="n">
        <f aca="false">ROUNDUP(MAX(J1369/IF(BZ1369&gt;0,BZ1369,MAX(0.1,N(Cockpit!$C$6))),CC1369)/BS1369,0)*BS1369</f>
        <v>1</v>
      </c>
      <c r="AK1369" s="58" t="n">
        <f aca="false">IF(AH1369&gt;0,J1369/AH1369,-1)</f>
        <v>-1</v>
      </c>
      <c r="AL1369" s="58" t="str">
        <f aca="false">IF(AND(OR(BY1369="L1",BY1369="L23"),AH1369&gt;0),SUMIFS($AH$7:$AH$1843,$BY$7:$BY$1843,BY1369,$AK$7:$AK$1843,"&gt;"&amp;AK1369)+SUMIFS($AH$7:$AH$1843,$BY$7:$BY$1843,BY1369,$AK$7:$AK$1843,AK1369,$BQ$7:$BQ$1843,"&lt;="&amp;BQ1369),"")</f>
        <v/>
      </c>
      <c r="AM1369" s="65" t="n">
        <f aca="false">IF(AL1369="",0,MAX(0,MIN(1,(IF(BY1369="L1",Parameter!$E$5,Parameter!$E$6+Parameter!$E$7)-(AL1369-AH1369))/AH1369)))</f>
        <v>0</v>
      </c>
      <c r="AN1369" s="57" t="n">
        <f aca="false">IF(LEFT(Cockpit!$I$5,1)="A",H1369,IF(CA1369=1,CB1369,IF(LEFT(Cockpit!$I$5,1)="B",AR1369,MAX(AR1369,H1369))))</f>
        <v>1</v>
      </c>
      <c r="AO1369" s="57" t="n">
        <f aca="false">IF(BT1369=1,0,ROUNDUP(AN1369/BS1369,0))</f>
        <v>0</v>
      </c>
      <c r="AP1369" s="59" t="n">
        <f aca="false">IF(CH1369&gt;0,CH1369*MAX(1,AN1369/X1369),IF(BT1369=1,IF(AN1369&lt;=0,0,BW1369*MAX(1,IF(H1369&gt;0,AN1369/H1369,1))),IF(R1369&gt;0,AO1369/R1369,0))/MAX(0.1,N(Parameter!$M$21)))</f>
        <v>0.15</v>
      </c>
      <c r="AQ1369" s="57" t="n">
        <f aca="false">AN1369*G1369</f>
        <v>1275.67</v>
      </c>
      <c r="AR1369" s="57" t="n">
        <f aca="false">ROUNDUP(MAX(J1369/IF(BZ1369&gt;0,BZ1369,MAX(0.1,N(Cockpit!$I$6))),CC1369)/BS1369,0)*BS1369</f>
        <v>1</v>
      </c>
      <c r="AS1369" s="58" t="n">
        <f aca="false">IF(AP1369&gt;0,J1369/AP1369,-1)</f>
        <v>0</v>
      </c>
      <c r="AT1369" s="58" t="str">
        <f aca="false">IF(AND(OR(BY1369="L1",BY1369="L23"),AP1369&gt;0),SUMIFS($AP$7:$AP$1843,$BY$7:$BY$1843,BY1369,$AS$7:$AS$1843,"&gt;"&amp;AS1369)+SUMIFS($AP$7:$AP$1843,$BY$7:$BY$1843,BY1369,$AS$7:$AS$1843,AS1369,$BQ$7:$BQ$1843,"&lt;="&amp;BQ1369),"")</f>
        <v/>
      </c>
      <c r="AU1369" s="65" t="n">
        <f aca="false">IF(AT1369="",0,MAX(0,MIN(1,(IF(BY1369="L1",Parameter!$E$5,Parameter!$E$6+Parameter!$E$7)-(AT1369-AP1369))/AP1369)))</f>
        <v>0</v>
      </c>
      <c r="AV1369" s="57" t="n">
        <f aca="false">IF(LEFT(Cockpit!$O$5,1)="A",H1369,IF(CA1369=1,CB1369,IF(LEFT(Cockpit!$O$5,1)="B",AZ1369,MAX(AZ1369,H1369))))</f>
        <v>1</v>
      </c>
      <c r="AW1369" s="57" t="n">
        <f aca="false">IF(BT1369=1,0,ROUNDUP(AV1369/BS1369,0))</f>
        <v>0</v>
      </c>
      <c r="AX1369" s="59" t="n">
        <f aca="false">IF(CH1369&gt;0,CH1369*MAX(1,AV1369/X1369),IF(BT1369=1,IF(AV1369&lt;=0,0,BW1369*MAX(1,IF(H1369&gt;0,AV1369/H1369,1))),IF(R1369&gt;0,AW1369/R1369,0))/MAX(0.1,N(Parameter!$M$21)))</f>
        <v>0.15</v>
      </c>
      <c r="AY1369" s="57" t="n">
        <f aca="false">AV1369*G1369</f>
        <v>1275.67</v>
      </c>
      <c r="AZ1369" s="57" t="n">
        <f aca="false">ROUNDUP(MAX(J1369/IF(BZ1369&gt;0,BZ1369,MAX(0.1,N(Cockpit!$O$6))),CC1369)/BS1369,0)*BS1369</f>
        <v>1</v>
      </c>
      <c r="BA1369" s="58" t="n">
        <f aca="false">IF(AX1369&gt;0,J1369/AX1369,-1)</f>
        <v>0</v>
      </c>
      <c r="BB1369" s="58" t="str">
        <f aca="false">IF(AND(OR(BY1369="L1",BY1369="L23"),AX1369&gt;0),SUMIFS($AX$7:$AX$1843,$BY$7:$BY$1843,BY1369,$BA$7:$BA$1843,"&gt;"&amp;BA1369)+SUMIFS($AX$7:$AX$1843,$BY$7:$BY$1843,BY1369,$BA$7:$BA$1843,BA1369,$BQ$7:$BQ$1843,"&lt;="&amp;BQ1369),"")</f>
        <v/>
      </c>
      <c r="BC1369" s="65" t="n">
        <f aca="false">IF(BB1369="",0,MAX(0,MIN(1,(IF(BY1369="L1",Parameter!$E$5,Parameter!$E$6+Parameter!$E$7)-(BB1369-AX1369))/AX1369)))</f>
        <v>0</v>
      </c>
      <c r="BD1369" s="55" t="str">
        <f aca="false">IF(AH1369&lt;=0,"",IF(BY1369="Aussen","Aussenlager",IF(BY1369="-","Nicht im Lift",IF(AM1369&gt;=1,"Lift",IF(AM1369&lt;=0,"Aussenlager","teilweise")))))</f>
        <v/>
      </c>
      <c r="BE1369" s="55" t="str">
        <f aca="false">IF(AP1369&lt;=0,"",IF(BY1369="Aussen","Aussenlager",IF(BY1369="-","Nicht im Lift",IF(AU1369&gt;=1,"Lift",IF(AU1369&lt;=0,"Aussenlager","teilweise")))))</f>
        <v>Nicht im Lift</v>
      </c>
      <c r="BF1369" s="55" t="str">
        <f aca="false">IF(AX1369&lt;=0,"",IF(BY1369="Aussen","Aussenlager",IF(BY1369="-","Nicht im Lift",IF(BC1369&gt;=1,"Lift",IF(BC1369&lt;=0,"Aussenlager","teilweise")))))</f>
        <v>Nicht im Lift</v>
      </c>
      <c r="BG1369" s="55" t="str">
        <f aca="false">IF(A1369="","",IF(BP1369=1,"Neu; ","")&amp;IF(AND(BP1369=0,BK1369&lt;0),"negativer Bestand (Export "&amp;BK1369&amp;"); ","")&amp;IF(J1369&lt;=0,"Kein Verbrauch; ","")&amp;IF(CH1369&gt;0,"Lift "&amp;W1369&amp;" lt. Liftbericht (Fach "&amp;X1369&amp;" Stk); ",IF(BU1369=1,"Gebinde geschätzt ("&amp;T1369&amp;"); ",IF(BT1369=1,"Lose – Tablare geschätzt; ","")))&amp;IF(H1369&gt;AR1369,"Überbestand "&amp;ROUND(H1369-AR1369,0)&amp;" Stk / CHF "&amp;ROUND((H1369-AR1369)*G1369,0)&amp;"; ","")&amp;IF(AND(CA1369=1,CB1369&lt;CC1369),"MAX &lt; MB+LG; ","")&amp;IF(AND(CG1369&gt;0,CF1369*10&gt;CG1369),"zu hoch für Tablar; ","")&amp;IF(AND(BP1369=0,OR(CA1369=1,AA1369&lt;&gt;"",U1369&lt;&gt;"",V1369&lt;&gt;"",AB1369&lt;&gt;"")),"manuell übersteuert; ","")&amp;IF(AND(BT1369=0,R1369=0),"Gebinde unbekannt / Stellmass fehlt; ","")&amp;IF(AND(BT1369=0,N(V1369)&lt;=0,N(Q1369)&lt;=0),"Menge pro Gebinde fehlt (Ist = 1 Gebinde); ","")&amp;BO1369)</f>
        <v>negativer Bestand (Export -2); Kein Verbrauch; Lose – Tablare geschätzt; </v>
      </c>
      <c r="BH1369" s="55"/>
      <c r="BI1369" s="55"/>
      <c r="BJ1369" s="62"/>
      <c r="BK1369" s="57" t="n">
        <v>-2</v>
      </c>
      <c r="BL1369" s="57" t="n">
        <v>2</v>
      </c>
      <c r="BM1369" s="56" t="n">
        <v>-2551.34</v>
      </c>
      <c r="BN1369" s="57" t="n">
        <v>0</v>
      </c>
      <c r="BO1369" s="55"/>
      <c r="BP1369" s="60" t="n">
        <v>0</v>
      </c>
      <c r="BQ1369" s="60" t="n">
        <v>1369</v>
      </c>
      <c r="BR1369" s="55" t="str">
        <f aca="false">IF(U1369&lt;&gt;"",UPPER(TRIM(U1369)),IF(BU1369=1,UPPER(VLOOKUP(T1369,Parameter!$I$27:$K$29,2,0)),IF(P1369="","LOSE",P1369)))</f>
        <v>LOSE</v>
      </c>
      <c r="BS1369" s="57" t="n">
        <f aca="false">IF(BR1369="LOSE",1,IF(N(V1369)&gt;0,V1369,IF(BU1369=1,MAX(1,N(VLOOKUP(T1369,Parameter!$I$27:$K$29,3,0)),H1369,N(N1369)),IF(N(Q1369)&gt;0,Q1369,MAX(1,H1369)))))</f>
        <v>1</v>
      </c>
      <c r="BT1369" s="60" t="n">
        <f aca="false">IF(BR1369="LOSE",1,0)</f>
        <v>1</v>
      </c>
      <c r="BU1369" s="60" t="n">
        <f aca="false">IF(AND(U1369="",OR(P1369="",P1369="LOSE"),T1369&lt;&gt;"",N(S1369)&lt;=0,ISNUMBER(MATCH(T1369,Parameter!$I$27:$I$29,0))),1,0)</f>
        <v>0</v>
      </c>
      <c r="BV1369" s="55" t="str">
        <f aca="false">IF(AND(Parameter!$B$19="Ja",E1369&lt;&gt;"",ISNUMBER(MATCH(E1369,Parameter!$I$35:$I$52,0))),VLOOKUP(E1369,Parameter!$I$35:$J$52,2,0),IFERROR(VLOOKUP(D1369,Parameter!$A$35:$C$64,2,0),"Nein"))</f>
        <v>Nein</v>
      </c>
      <c r="BW1369" s="59" t="n">
        <f aca="false">IF(BT1369=0,0,IF(N(S1369)&gt;0,S1369,IFERROR(VLOOKUP(D1369,Parameter!$A$35:$C$64,3,0)+0,0)))</f>
        <v>0.15</v>
      </c>
      <c r="BX1369" s="55" t="str">
        <f aca="false">IF(AA1369&lt;&gt;"",AA1369,Z1369)</f>
        <v>-</v>
      </c>
      <c r="BY1369" s="55" t="str">
        <f aca="false">IF(BX1369=1,"L1",IF(OR(BX1369=2,BX1369=3),"L23",IF(BX1369="Aussen","Aussen","-")))</f>
        <v>-</v>
      </c>
      <c r="BZ1369" s="66" t="n">
        <f aca="false">IF(N(AB1369)&gt;0,AB1369,0)</f>
        <v>0</v>
      </c>
      <c r="CA1369" s="60" t="n">
        <f aca="false">IF(ISNUMBER(AE1369),1,0)</f>
        <v>0</v>
      </c>
      <c r="CB1369" s="57" t="n">
        <f aca="false">N(AE1369)</f>
        <v>0</v>
      </c>
      <c r="CC1369" s="57" t="n">
        <f aca="false">N(M1369)+N(N1369)</f>
        <v>1</v>
      </c>
      <c r="CD1369" s="57" t="n">
        <f aca="false">ROUNDUP(H1369/BS1369,0)</f>
        <v>0</v>
      </c>
      <c r="CE1369" s="57" t="n">
        <f aca="false">ROUNDUP(CB1369/BS1369,0)</f>
        <v>0</v>
      </c>
      <c r="CF1369" s="60" t="n">
        <f aca="false">IF(BT1369=1,0,IFERROR(VLOOKUP(BR1369,'Gebinde-Kategorie'!$A$5:$M$45,5,0)+0,0))</f>
        <v>0</v>
      </c>
      <c r="CG1369" s="60" t="n">
        <f aca="false">IFERROR(IF(OR(BX1369=1,BX1369=2,BX1369=3),N(INDEX(Parameter!$I$5:$I$7,BX1369)),0),0)</f>
        <v>0</v>
      </c>
      <c r="CH1369" s="59" t="n">
        <f aca="false">IF(AND(Parameter!$B$21="Ja",ISNUMBER(W1369),N(X1369)&gt;0),IFERROR(N(INDEX(Parameter!$L$5:$L$7,W1369))*INDEX(Parameter!$E$5:$E$7,W1369)*X1369/SUMIFS($X$7:$X$1843,$W$7:$W$1843,W1369),0),0)</f>
        <v>0</v>
      </c>
    </row>
    <row r="1370" customFormat="false" ht="15" hidden="false" customHeight="false" outlineLevel="0" collapsed="false">
      <c r="A1370" s="55" t="s">
        <v>2412</v>
      </c>
      <c r="B1370" s="55" t="s">
        <v>2413</v>
      </c>
      <c r="C1370" s="55" t="s">
        <v>456</v>
      </c>
      <c r="D1370" s="55" t="s">
        <v>173</v>
      </c>
      <c r="E1370" s="55" t="s">
        <v>1479</v>
      </c>
      <c r="F1370" s="55" t="s">
        <v>218</v>
      </c>
      <c r="G1370" s="56" t="n">
        <v>99.31</v>
      </c>
      <c r="H1370" s="57" t="n">
        <f aca="false">MAX(0,IF(AND(Parameter!$B$21="Ja",ISNUMBER(Y1370)),Y1370,IF(Parameter!$B$20="Jahresanfang 2025 + Export",BL1370+BK1370,BK1370)))</f>
        <v>0</v>
      </c>
      <c r="I1370" s="57" t="n">
        <f aca="false">H1370*G1370</f>
        <v>0</v>
      </c>
      <c r="J1370" s="57" t="n">
        <f aca="false">BN1370*Parameter!$B$18</f>
        <v>0</v>
      </c>
      <c r="K1370" s="58" t="n">
        <v>21</v>
      </c>
      <c r="L1370" s="59" t="n">
        <v>0</v>
      </c>
      <c r="M1370" s="57" t="n">
        <v>0</v>
      </c>
      <c r="N1370" s="57" t="n">
        <v>1</v>
      </c>
      <c r="O1370" s="60" t="n">
        <v>56</v>
      </c>
      <c r="P1370" s="55" t="s">
        <v>168</v>
      </c>
      <c r="Q1370" s="57"/>
      <c r="R1370" s="60" t="n">
        <f aca="false">IF(BT1370=1,0,IFERROR(VLOOKUP(BR1370,'Gebinde-Kategorie'!$A$5:$M$45,13,0)+0,0))</f>
        <v>3</v>
      </c>
      <c r="S1370" s="61"/>
      <c r="T1370" s="62" t="s">
        <v>189</v>
      </c>
      <c r="U1370" s="62"/>
      <c r="V1370" s="62"/>
      <c r="W1370" s="55"/>
      <c r="X1370" s="57"/>
      <c r="Y1370" s="57"/>
      <c r="Z1370" s="55" t="str">
        <f aca="false">IF(A1370="","",IF(AND(Parameter!$B$21="Ja",ISNUMBER(W1370)),W1370,IF(BV1370="2+3",IF(ISNUMBER(SEARCH("grosser Artikel",BO1370)),2,IFERROR(VLOOKUP(BR1370,Parameter!$F$35:$G$64,2,0),2)),IF(OR(BV1370="Nein",BV1370=""),"-",BV1370))))</f>
        <v>-</v>
      </c>
      <c r="AA1370" s="62"/>
      <c r="AB1370" s="63"/>
      <c r="AC1370" s="57" t="n">
        <f aca="false">AR1370</f>
        <v>2</v>
      </c>
      <c r="AD1370" s="57" t="n">
        <f aca="false">MAX(AR1370,H1370)</f>
        <v>2</v>
      </c>
      <c r="AE1370" s="64"/>
      <c r="AF1370" s="57" t="n">
        <f aca="false">IF(LEFT(Cockpit!$C$5,1)="A",H1370,IF(CA1370=1,CB1370,IF(LEFT(Cockpit!$C$5,1)="B",AJ1370,MAX(AJ1370,H1370))))</f>
        <v>0</v>
      </c>
      <c r="AG1370" s="57" t="n">
        <f aca="false">IF(BT1370=1,0,ROUNDUP(AF1370/BS1370,0))</f>
        <v>0</v>
      </c>
      <c r="AH1370" s="59" t="n">
        <f aca="false">IF(CH1370&gt;0,CH1370*MAX(1,AF1370/X1370),IF(BT1370=1,IF(AF1370&lt;=0,0,BW1370*MAX(1,IF(H1370&gt;0,AF1370/H1370,1))),IF(R1370&gt;0,AG1370/R1370,0))/MAX(0.1,N(Parameter!$M$21)))</f>
        <v>0</v>
      </c>
      <c r="AI1370" s="57" t="n">
        <f aca="false">AF1370*G1370</f>
        <v>0</v>
      </c>
      <c r="AJ1370" s="57" t="n">
        <f aca="false">ROUNDUP(MAX(J1370/IF(BZ1370&gt;0,BZ1370,MAX(0.1,N(Cockpit!$C$6))),CC1370)/BS1370,0)*BS1370</f>
        <v>2</v>
      </c>
      <c r="AK1370" s="58" t="n">
        <f aca="false">IF(AH1370&gt;0,J1370/AH1370,-1)</f>
        <v>-1</v>
      </c>
      <c r="AL1370" s="58" t="str">
        <f aca="false">IF(AND(OR(BY1370="L1",BY1370="L23"),AH1370&gt;0),SUMIFS($AH$7:$AH$1843,$BY$7:$BY$1843,BY1370,$AK$7:$AK$1843,"&gt;"&amp;AK1370)+SUMIFS($AH$7:$AH$1843,$BY$7:$BY$1843,BY1370,$AK$7:$AK$1843,AK1370,$BQ$7:$BQ$1843,"&lt;="&amp;BQ1370),"")</f>
        <v/>
      </c>
      <c r="AM1370" s="65" t="n">
        <f aca="false">IF(AL1370="",0,MAX(0,MIN(1,(IF(BY1370="L1",Parameter!$E$5,Parameter!$E$6+Parameter!$E$7)-(AL1370-AH1370))/AH1370)))</f>
        <v>0</v>
      </c>
      <c r="AN1370" s="57" t="n">
        <f aca="false">IF(LEFT(Cockpit!$I$5,1)="A",H1370,IF(CA1370=1,CB1370,IF(LEFT(Cockpit!$I$5,1)="B",AR1370,MAX(AR1370,H1370))))</f>
        <v>2</v>
      </c>
      <c r="AO1370" s="57" t="n">
        <f aca="false">IF(BT1370=1,0,ROUNDUP(AN1370/BS1370,0))</f>
        <v>1</v>
      </c>
      <c r="AP1370" s="59" t="n">
        <f aca="false">IF(CH1370&gt;0,CH1370*MAX(1,AN1370/X1370),IF(BT1370=1,IF(AN1370&lt;=0,0,BW1370*MAX(1,IF(H1370&gt;0,AN1370/H1370,1))),IF(R1370&gt;0,AO1370/R1370,0))/MAX(0.1,N(Parameter!$M$21)))</f>
        <v>0.333333333333333</v>
      </c>
      <c r="AQ1370" s="57" t="n">
        <f aca="false">AN1370*G1370</f>
        <v>198.62</v>
      </c>
      <c r="AR1370" s="57" t="n">
        <f aca="false">ROUNDUP(MAX(J1370/IF(BZ1370&gt;0,BZ1370,MAX(0.1,N(Cockpit!$I$6))),CC1370)/BS1370,0)*BS1370</f>
        <v>2</v>
      </c>
      <c r="AS1370" s="58" t="n">
        <f aca="false">IF(AP1370&gt;0,J1370/AP1370,-1)</f>
        <v>0</v>
      </c>
      <c r="AT1370" s="58" t="str">
        <f aca="false">IF(AND(OR(BY1370="L1",BY1370="L23"),AP1370&gt;0),SUMIFS($AP$7:$AP$1843,$BY$7:$BY$1843,BY1370,$AS$7:$AS$1843,"&gt;"&amp;AS1370)+SUMIFS($AP$7:$AP$1843,$BY$7:$BY$1843,BY1370,$AS$7:$AS$1843,AS1370,$BQ$7:$BQ$1843,"&lt;="&amp;BQ1370),"")</f>
        <v/>
      </c>
      <c r="AU1370" s="65" t="n">
        <f aca="false">IF(AT1370="",0,MAX(0,MIN(1,(IF(BY1370="L1",Parameter!$E$5,Parameter!$E$6+Parameter!$E$7)-(AT1370-AP1370))/AP1370)))</f>
        <v>0</v>
      </c>
      <c r="AV1370" s="57" t="n">
        <f aca="false">IF(LEFT(Cockpit!$O$5,1)="A",H1370,IF(CA1370=1,CB1370,IF(LEFT(Cockpit!$O$5,1)="B",AZ1370,MAX(AZ1370,H1370))))</f>
        <v>2</v>
      </c>
      <c r="AW1370" s="57" t="n">
        <f aca="false">IF(BT1370=1,0,ROUNDUP(AV1370/BS1370,0))</f>
        <v>1</v>
      </c>
      <c r="AX1370" s="59" t="n">
        <f aca="false">IF(CH1370&gt;0,CH1370*MAX(1,AV1370/X1370),IF(BT1370=1,IF(AV1370&lt;=0,0,BW1370*MAX(1,IF(H1370&gt;0,AV1370/H1370,1))),IF(R1370&gt;0,AW1370/R1370,0))/MAX(0.1,N(Parameter!$M$21)))</f>
        <v>0.333333333333333</v>
      </c>
      <c r="AY1370" s="57" t="n">
        <f aca="false">AV1370*G1370</f>
        <v>198.62</v>
      </c>
      <c r="AZ1370" s="57" t="n">
        <f aca="false">ROUNDUP(MAX(J1370/IF(BZ1370&gt;0,BZ1370,MAX(0.1,N(Cockpit!$O$6))),CC1370)/BS1370,0)*BS1370</f>
        <v>2</v>
      </c>
      <c r="BA1370" s="58" t="n">
        <f aca="false">IF(AX1370&gt;0,J1370/AX1370,-1)</f>
        <v>0</v>
      </c>
      <c r="BB1370" s="58" t="str">
        <f aca="false">IF(AND(OR(BY1370="L1",BY1370="L23"),AX1370&gt;0),SUMIFS($AX$7:$AX$1843,$BY$7:$BY$1843,BY1370,$BA$7:$BA$1843,"&gt;"&amp;BA1370)+SUMIFS($AX$7:$AX$1843,$BY$7:$BY$1843,BY1370,$BA$7:$BA$1843,BA1370,$BQ$7:$BQ$1843,"&lt;="&amp;BQ1370),"")</f>
        <v/>
      </c>
      <c r="BC1370" s="65" t="n">
        <f aca="false">IF(BB1370="",0,MAX(0,MIN(1,(IF(BY1370="L1",Parameter!$E$5,Parameter!$E$6+Parameter!$E$7)-(BB1370-AX1370))/AX1370)))</f>
        <v>0</v>
      </c>
      <c r="BD1370" s="55" t="str">
        <f aca="false">IF(AH1370&lt;=0,"",IF(BY1370="Aussen","Aussenlager",IF(BY1370="-","Nicht im Lift",IF(AM1370&gt;=1,"Lift",IF(AM1370&lt;=0,"Aussenlager","teilweise")))))</f>
        <v/>
      </c>
      <c r="BE1370" s="55" t="str">
        <f aca="false">IF(AP1370&lt;=0,"",IF(BY1370="Aussen","Aussenlager",IF(BY1370="-","Nicht im Lift",IF(AU1370&gt;=1,"Lift",IF(AU1370&lt;=0,"Aussenlager","teilweise")))))</f>
        <v>Nicht im Lift</v>
      </c>
      <c r="BF1370" s="55" t="str">
        <f aca="false">IF(AX1370&lt;=0,"",IF(BY1370="Aussen","Aussenlager",IF(BY1370="-","Nicht im Lift",IF(BC1370&gt;=1,"Lift",IF(BC1370&lt;=0,"Aussenlager","teilweise")))))</f>
        <v>Nicht im Lift</v>
      </c>
      <c r="BG1370" s="55" t="str">
        <f aca="false">IF(A1370="","",IF(BP1370=1,"Neu; ","")&amp;IF(AND(BP1370=0,BK1370&lt;0),"negativer Bestand (Export "&amp;BK1370&amp;"); ","")&amp;IF(J1370&lt;=0,"Kein Verbrauch; ","")&amp;IF(CH1370&gt;0,"Lift "&amp;W1370&amp;" lt. Liftbericht (Fach "&amp;X1370&amp;" Stk); ",IF(BU1370=1,"Gebinde geschätzt ("&amp;T1370&amp;"); ",IF(BT1370=1,"Lose – Tablare geschätzt; ","")))&amp;IF(H1370&gt;AR1370,"Überbestand "&amp;ROUND(H1370-AR1370,0)&amp;" Stk / CHF "&amp;ROUND((H1370-AR1370)*G1370,0)&amp;"; ","")&amp;IF(AND(CA1370=1,CB1370&lt;CC1370),"MAX &lt; MB+LG; ","")&amp;IF(AND(CG1370&gt;0,CF1370*10&gt;CG1370),"zu hoch für Tablar; ","")&amp;IF(AND(BP1370=0,OR(CA1370=1,AA1370&lt;&gt;"",U1370&lt;&gt;"",V1370&lt;&gt;"",AB1370&lt;&gt;"")),"manuell übersteuert; ","")&amp;IF(AND(BT1370=0,R1370=0),"Gebinde unbekannt / Stellmass fehlt; ","")&amp;IF(AND(BT1370=0,N(V1370)&lt;=0,N(Q1370)&lt;=0),"Menge pro Gebinde fehlt (Ist = 1 Gebinde); ","")&amp;BO1370)</f>
        <v>negativer Bestand (Export -26); Kein Verbrauch; Gebinde geschätzt (Gross); Menge pro Gebinde fehlt (Ist = 1 Gebinde); </v>
      </c>
      <c r="BH1370" s="55"/>
      <c r="BI1370" s="55"/>
      <c r="BJ1370" s="62"/>
      <c r="BK1370" s="57" t="n">
        <v>-26</v>
      </c>
      <c r="BL1370" s="57" t="n">
        <v>26</v>
      </c>
      <c r="BM1370" s="56" t="n">
        <v>-2582.06</v>
      </c>
      <c r="BN1370" s="57" t="n">
        <v>0</v>
      </c>
      <c r="BO1370" s="55"/>
      <c r="BP1370" s="60" t="n">
        <v>0</v>
      </c>
      <c r="BQ1370" s="60" t="n">
        <v>1370</v>
      </c>
      <c r="BR1370" s="55" t="str">
        <f aca="false">IF(U1370&lt;&gt;"",UPPER(TRIM(U1370)),IF(BU1370=1,UPPER(VLOOKUP(T1370,Parameter!$I$27:$K$29,2,0)),IF(P1370="","LOSE",P1370)))</f>
        <v>S81</v>
      </c>
      <c r="BS1370" s="57" t="n">
        <f aca="false">IF(BR1370="LOSE",1,IF(N(V1370)&gt;0,V1370,IF(BU1370=1,MAX(1,N(VLOOKUP(T1370,Parameter!$I$27:$K$29,3,0)),H1370,N(N1370)),IF(N(Q1370)&gt;0,Q1370,MAX(1,H1370)))))</f>
        <v>2</v>
      </c>
      <c r="BT1370" s="60" t="n">
        <f aca="false">IF(BR1370="LOSE",1,0)</f>
        <v>0</v>
      </c>
      <c r="BU1370" s="60" t="n">
        <f aca="false">IF(AND(U1370="",OR(P1370="",P1370="LOSE"),T1370&lt;&gt;"",N(S1370)&lt;=0,ISNUMBER(MATCH(T1370,Parameter!$I$27:$I$29,0))),1,0)</f>
        <v>1</v>
      </c>
      <c r="BV1370" s="55" t="str">
        <f aca="false">IF(AND(Parameter!$B$19="Ja",E1370&lt;&gt;"",ISNUMBER(MATCH(E1370,Parameter!$I$35:$I$52,0))),VLOOKUP(E1370,Parameter!$I$35:$J$52,2,0),IFERROR(VLOOKUP(D1370,Parameter!$A$35:$C$64,2,0),"Nein"))</f>
        <v>Nein</v>
      </c>
      <c r="BW1370" s="59" t="n">
        <f aca="false">IF(BT1370=0,0,IF(N(S1370)&gt;0,S1370,IFERROR(VLOOKUP(D1370,Parameter!$A$35:$C$64,3,0)+0,0)))</f>
        <v>0</v>
      </c>
      <c r="BX1370" s="55" t="str">
        <f aca="false">IF(AA1370&lt;&gt;"",AA1370,Z1370)</f>
        <v>-</v>
      </c>
      <c r="BY1370" s="55" t="str">
        <f aca="false">IF(BX1370=1,"L1",IF(OR(BX1370=2,BX1370=3),"L23",IF(BX1370="Aussen","Aussen","-")))</f>
        <v>-</v>
      </c>
      <c r="BZ1370" s="66" t="n">
        <f aca="false">IF(N(AB1370)&gt;0,AB1370,0)</f>
        <v>0</v>
      </c>
      <c r="CA1370" s="60" t="n">
        <f aca="false">IF(ISNUMBER(AE1370),1,0)</f>
        <v>0</v>
      </c>
      <c r="CB1370" s="57" t="n">
        <f aca="false">N(AE1370)</f>
        <v>0</v>
      </c>
      <c r="CC1370" s="57" t="n">
        <f aca="false">N(M1370)+N(N1370)</f>
        <v>1</v>
      </c>
      <c r="CD1370" s="57" t="n">
        <f aca="false">ROUNDUP(H1370/BS1370,0)</f>
        <v>0</v>
      </c>
      <c r="CE1370" s="57" t="n">
        <f aca="false">ROUNDUP(CB1370/BS1370,0)</f>
        <v>0</v>
      </c>
      <c r="CF1370" s="60" t="n">
        <f aca="false">IF(BT1370=1,0,IFERROR(VLOOKUP(BR1370,'Gebinde-Kategorie'!$A$5:$M$45,5,0)+0,0))</f>
        <v>20</v>
      </c>
      <c r="CG1370" s="60" t="n">
        <f aca="false">IFERROR(IF(OR(BX1370=1,BX1370=2,BX1370=3),N(INDEX(Parameter!$I$5:$I$7,BX1370)),0),0)</f>
        <v>0</v>
      </c>
      <c r="CH1370" s="59" t="n">
        <f aca="false">IF(AND(Parameter!$B$21="Ja",ISNUMBER(W1370),N(X1370)&gt;0),IFERROR(N(INDEX(Parameter!$L$5:$L$7,W1370))*INDEX(Parameter!$E$5:$E$7,W1370)*X1370/SUMIFS($X$7:$X$1843,$W$7:$W$1843,W1370),0),0)</f>
        <v>0</v>
      </c>
    </row>
    <row r="1371" customFormat="false" ht="15" hidden="false" customHeight="false" outlineLevel="0" collapsed="false">
      <c r="A1371" s="55" t="s">
        <v>2414</v>
      </c>
      <c r="B1371" s="55" t="s">
        <v>2415</v>
      </c>
      <c r="C1371" s="55" t="s">
        <v>164</v>
      </c>
      <c r="D1371" s="55" t="s">
        <v>184</v>
      </c>
      <c r="E1371" s="55" t="s">
        <v>185</v>
      </c>
      <c r="F1371" s="55" t="s">
        <v>218</v>
      </c>
      <c r="G1371" s="56" t="n">
        <v>525.8</v>
      </c>
      <c r="H1371" s="57" t="n">
        <f aca="false">MAX(0,IF(AND(Parameter!$B$21="Ja",ISNUMBER(Y1371)),Y1371,IF(Parameter!$B$20="Jahresanfang 2025 + Export",BL1371+BK1371,BK1371)))</f>
        <v>2</v>
      </c>
      <c r="I1371" s="57" t="n">
        <f aca="false">H1371*G1371</f>
        <v>1051.6</v>
      </c>
      <c r="J1371" s="57" t="n">
        <f aca="false">BN1371*Parameter!$B$18</f>
        <v>22</v>
      </c>
      <c r="K1371" s="58" t="n">
        <v>8</v>
      </c>
      <c r="L1371" s="59" t="n">
        <v>2.75</v>
      </c>
      <c r="M1371" s="57" t="n">
        <v>1</v>
      </c>
      <c r="N1371" s="57" t="n">
        <v>10</v>
      </c>
      <c r="O1371" s="60" t="n">
        <v>21</v>
      </c>
      <c r="P1371" s="55" t="s">
        <v>226</v>
      </c>
      <c r="Q1371" s="57" t="n">
        <v>8</v>
      </c>
      <c r="R1371" s="60" t="n">
        <f aca="false">IF(BT1371=1,0,IFERROR(VLOOKUP(BR1371,'Gebinde-Kategorie'!$A$5:$M$45,13,0)+0,0))</f>
        <v>12</v>
      </c>
      <c r="S1371" s="61"/>
      <c r="T1371" s="62"/>
      <c r="U1371" s="62"/>
      <c r="V1371" s="62"/>
      <c r="W1371" s="55"/>
      <c r="X1371" s="57"/>
      <c r="Y1371" s="57"/>
      <c r="Z1371" s="55" t="n">
        <f aca="false">IF(A1371="","",IF(AND(Parameter!$B$21="Ja",ISNUMBER(W1371)),W1371,IF(BV1371="2+3",IF(ISNUMBER(SEARCH("grosser Artikel",BO1371)),2,IFERROR(VLOOKUP(BR1371,Parameter!$F$35:$G$64,2,0),2)),IF(OR(BV1371="Nein",BV1371=""),"-",BV1371))))</f>
        <v>2</v>
      </c>
      <c r="AA1371" s="62"/>
      <c r="AB1371" s="63"/>
      <c r="AC1371" s="57" t="n">
        <f aca="false">AR1371</f>
        <v>16</v>
      </c>
      <c r="AD1371" s="57" t="n">
        <f aca="false">MAX(AR1371,H1371)</f>
        <v>16</v>
      </c>
      <c r="AE1371" s="64"/>
      <c r="AF1371" s="57" t="n">
        <f aca="false">IF(LEFT(Cockpit!$C$5,1)="A",H1371,IF(CA1371=1,CB1371,IF(LEFT(Cockpit!$C$5,1)="B",AJ1371,MAX(AJ1371,H1371))))</f>
        <v>2</v>
      </c>
      <c r="AG1371" s="57" t="n">
        <f aca="false">IF(BT1371=1,0,ROUNDUP(AF1371/BS1371,0))</f>
        <v>1</v>
      </c>
      <c r="AH1371" s="59" t="n">
        <f aca="false">IF(CH1371&gt;0,CH1371*MAX(1,AF1371/X1371),IF(BT1371=1,IF(AF1371&lt;=0,0,BW1371*MAX(1,IF(H1371&gt;0,AF1371/H1371,1))),IF(R1371&gt;0,AG1371/R1371,0))/MAX(0.1,N(Parameter!$M$21)))</f>
        <v>0.0833333333333333</v>
      </c>
      <c r="AI1371" s="57" t="n">
        <f aca="false">AF1371*G1371</f>
        <v>1051.6</v>
      </c>
      <c r="AJ1371" s="57" t="n">
        <f aca="false">ROUNDUP(MAX(J1371/IF(BZ1371&gt;0,BZ1371,MAX(0.1,N(Cockpit!$C$6))),CC1371)/BS1371,0)*BS1371</f>
        <v>16</v>
      </c>
      <c r="AK1371" s="58" t="n">
        <f aca="false">IF(AH1371&gt;0,J1371/AH1371,-1)</f>
        <v>264</v>
      </c>
      <c r="AL1371" s="58" t="n">
        <f aca="false">IF(AND(OR(BY1371="L1",BY1371="L23"),AH1371&gt;0),SUMIFS($AH$7:$AH$1843,$BY$7:$BY$1843,BY1371,$AK$7:$AK$1843,"&gt;"&amp;AK1371)+SUMIFS($AH$7:$AH$1843,$BY$7:$BY$1843,BY1371,$AK$7:$AK$1843,AK1371,$BQ$7:$BQ$1843,"&lt;="&amp;BQ1371),"")</f>
        <v>29.4068528090267</v>
      </c>
      <c r="AM1371" s="65" t="n">
        <f aca="false">IF(AL1371="",0,MAX(0,MIN(1,(IF(BY1371="L1",Parameter!$E$5,Parameter!$E$6+Parameter!$E$7)-(AL1371-AH1371))/AH1371)))</f>
        <v>1</v>
      </c>
      <c r="AN1371" s="57" t="n">
        <f aca="false">IF(LEFT(Cockpit!$I$5,1)="A",H1371,IF(CA1371=1,CB1371,IF(LEFT(Cockpit!$I$5,1)="B",AR1371,MAX(AR1371,H1371))))</f>
        <v>16</v>
      </c>
      <c r="AO1371" s="57" t="n">
        <f aca="false">IF(BT1371=1,0,ROUNDUP(AN1371/BS1371,0))</f>
        <v>2</v>
      </c>
      <c r="AP1371" s="59" t="n">
        <f aca="false">IF(CH1371&gt;0,CH1371*MAX(1,AN1371/X1371),IF(BT1371=1,IF(AN1371&lt;=0,0,BW1371*MAX(1,IF(H1371&gt;0,AN1371/H1371,1))),IF(R1371&gt;0,AO1371/R1371,0))/MAX(0.1,N(Parameter!$M$21)))</f>
        <v>0.166666666666667</v>
      </c>
      <c r="AQ1371" s="57" t="n">
        <f aca="false">AN1371*G1371</f>
        <v>8412.8</v>
      </c>
      <c r="AR1371" s="57" t="n">
        <f aca="false">ROUNDUP(MAX(J1371/IF(BZ1371&gt;0,BZ1371,MAX(0.1,N(Cockpit!$I$6))),CC1371)/BS1371,0)*BS1371</f>
        <v>16</v>
      </c>
      <c r="AS1371" s="58" t="n">
        <f aca="false">IF(AP1371&gt;0,J1371/AP1371,-1)</f>
        <v>132</v>
      </c>
      <c r="AT1371" s="58" t="n">
        <f aca="false">IF(AND(OR(BY1371="L1",BY1371="L23"),AP1371&gt;0),SUMIFS($AP$7:$AP$1843,$BY$7:$BY$1843,BY1371,$AS$7:$AS$1843,"&gt;"&amp;AS1371)+SUMIFS($AP$7:$AP$1843,$BY$7:$BY$1843,BY1371,$AS$7:$AS$1843,AS1371,$BQ$7:$BQ$1843,"&lt;="&amp;BQ1371),"")</f>
        <v>52.5742711394885</v>
      </c>
      <c r="AU1371" s="65" t="n">
        <f aca="false">IF(AT1371="",0,MAX(0,MIN(1,(IF(BY1371="L1",Parameter!$E$5,Parameter!$E$6+Parameter!$E$7)-(AT1371-AP1371))/AP1371)))</f>
        <v>1</v>
      </c>
      <c r="AV1371" s="57" t="n">
        <f aca="false">IF(LEFT(Cockpit!$O$5,1)="A",H1371,IF(CA1371=1,CB1371,IF(LEFT(Cockpit!$O$5,1)="B",AZ1371,MAX(AZ1371,H1371))))</f>
        <v>16</v>
      </c>
      <c r="AW1371" s="57" t="n">
        <f aca="false">IF(BT1371=1,0,ROUNDUP(AV1371/BS1371,0))</f>
        <v>2</v>
      </c>
      <c r="AX1371" s="59" t="n">
        <f aca="false">IF(CH1371&gt;0,CH1371*MAX(1,AV1371/X1371),IF(BT1371=1,IF(AV1371&lt;=0,0,BW1371*MAX(1,IF(H1371&gt;0,AV1371/H1371,1))),IF(R1371&gt;0,AW1371/R1371,0))/MAX(0.1,N(Parameter!$M$21)))</f>
        <v>0.166666666666667</v>
      </c>
      <c r="AY1371" s="57" t="n">
        <f aca="false">AV1371*G1371</f>
        <v>8412.8</v>
      </c>
      <c r="AZ1371" s="57" t="n">
        <f aca="false">ROUNDUP(MAX(J1371/IF(BZ1371&gt;0,BZ1371,MAX(0.1,N(Cockpit!$O$6))),CC1371)/BS1371,0)*BS1371</f>
        <v>16</v>
      </c>
      <c r="BA1371" s="58" t="n">
        <f aca="false">IF(AX1371&gt;0,J1371/AX1371,-1)</f>
        <v>132</v>
      </c>
      <c r="BB1371" s="58" t="n">
        <f aca="false">IF(AND(OR(BY1371="L1",BY1371="L23"),AX1371&gt;0),SUMIFS($AX$7:$AX$1843,$BY$7:$BY$1843,BY1371,$BA$7:$BA$1843,"&gt;"&amp;BA1371)+SUMIFS($AX$7:$AX$1843,$BY$7:$BY$1843,BY1371,$BA$7:$BA$1843,BA1371,$BQ$7:$BQ$1843,"&lt;="&amp;BQ1371),"")</f>
        <v>49.1541079693254</v>
      </c>
      <c r="BC1371" s="65" t="n">
        <f aca="false">IF(BB1371="",0,MAX(0,MIN(1,(IF(BY1371="L1",Parameter!$E$5,Parameter!$E$6+Parameter!$E$7)-(BB1371-AX1371))/AX1371)))</f>
        <v>1</v>
      </c>
      <c r="BD1371" s="55" t="str">
        <f aca="false">IF(AH1371&lt;=0,"",IF(BY1371="Aussen","Aussenlager",IF(BY1371="-","Nicht im Lift",IF(AM1371&gt;=1,"Lift",IF(AM1371&lt;=0,"Aussenlager","teilweise")))))</f>
        <v>Lift</v>
      </c>
      <c r="BE1371" s="55" t="str">
        <f aca="false">IF(AP1371&lt;=0,"",IF(BY1371="Aussen","Aussenlager",IF(BY1371="-","Nicht im Lift",IF(AU1371&gt;=1,"Lift",IF(AU1371&lt;=0,"Aussenlager","teilweise")))))</f>
        <v>Lift</v>
      </c>
      <c r="BF1371" s="55" t="str">
        <f aca="false">IF(AX1371&lt;=0,"",IF(BY1371="Aussen","Aussenlager",IF(BY1371="-","Nicht im Lift",IF(BC1371&gt;=1,"Lift",IF(BC1371&lt;=0,"Aussenlager","teilweise")))))</f>
        <v>Lift</v>
      </c>
      <c r="BG1371" s="55" t="str">
        <f aca="false">IF(A1371="","",IF(BP1371=1,"Neu; ","")&amp;IF(AND(BP1371=0,BK1371&lt;0),"negativer Bestand (Export "&amp;BK1371&amp;"); ","")&amp;IF(J1371&lt;=0,"Kein Verbrauch; ","")&amp;IF(CH1371&gt;0,"Lift "&amp;W1371&amp;" lt. Liftbericht (Fach "&amp;X1371&amp;" Stk); ",IF(BU1371=1,"Gebinde geschätzt ("&amp;T1371&amp;"); ",IF(BT1371=1,"Lose – Tablare geschätzt; ","")))&amp;IF(H1371&gt;AR1371,"Überbestand "&amp;ROUND(H1371-AR1371,0)&amp;" Stk / CHF "&amp;ROUND((H1371-AR1371)*G1371,0)&amp;"; ","")&amp;IF(AND(CA1371=1,CB1371&lt;CC1371),"MAX &lt; MB+LG; ","")&amp;IF(AND(CG1371&gt;0,CF1371*10&gt;CG1371),"zu hoch für Tablar; ","")&amp;IF(AND(BP1371=0,OR(CA1371=1,AA1371&lt;&gt;"",U1371&lt;&gt;"",V1371&lt;&gt;"",AB1371&lt;&gt;"")),"manuell übersteuert; ","")&amp;IF(AND(BT1371=0,R1371=0),"Gebinde unbekannt / Stellmass fehlt; ","")&amp;IF(AND(BT1371=0,N(V1371)&lt;=0,N(Q1371)&lt;=0),"Menge pro Gebinde fehlt (Ist = 1 Gebinde); ","")&amp;BO1371)</f>
        <v>negativer Bestand (Export -6); </v>
      </c>
      <c r="BH1371" s="55"/>
      <c r="BI1371" s="55"/>
      <c r="BJ1371" s="62"/>
      <c r="BK1371" s="57" t="n">
        <v>-6</v>
      </c>
      <c r="BL1371" s="57" t="n">
        <v>8</v>
      </c>
      <c r="BM1371" s="56" t="n">
        <v>-2622.8</v>
      </c>
      <c r="BN1371" s="57" t="n">
        <v>22</v>
      </c>
      <c r="BO1371" s="55"/>
      <c r="BP1371" s="60" t="n">
        <v>0</v>
      </c>
      <c r="BQ1371" s="60" t="n">
        <v>1371</v>
      </c>
      <c r="BR1371" s="55" t="str">
        <f aca="false">IF(U1371&lt;&gt;"",UPPER(TRIM(U1371)),IF(BU1371=1,UPPER(VLOOKUP(T1371,Parameter!$I$27:$K$29,2,0)),IF(P1371="","LOSE",P1371)))</f>
        <v>S63</v>
      </c>
      <c r="BS1371" s="57" t="n">
        <f aca="false">IF(BR1371="LOSE",1,IF(N(V1371)&gt;0,V1371,IF(BU1371=1,MAX(1,N(VLOOKUP(T1371,Parameter!$I$27:$K$29,3,0)),H1371,N(N1371)),IF(N(Q1371)&gt;0,Q1371,MAX(1,H1371)))))</f>
        <v>8</v>
      </c>
      <c r="BT1371" s="60" t="n">
        <f aca="false">IF(BR1371="LOSE",1,0)</f>
        <v>0</v>
      </c>
      <c r="BU1371" s="60" t="n">
        <f aca="false">IF(AND(U1371="",OR(P1371="",P1371="LOSE"),T1371&lt;&gt;"",N(S1371)&lt;=0,ISNUMBER(MATCH(T1371,Parameter!$I$27:$I$29,0))),1,0)</f>
        <v>0</v>
      </c>
      <c r="BV1371" s="55" t="str">
        <f aca="false">IF(AND(Parameter!$B$19="Ja",E1371&lt;&gt;"",ISNUMBER(MATCH(E1371,Parameter!$I$35:$I$52,0))),VLOOKUP(E1371,Parameter!$I$35:$J$52,2,0),IFERROR(VLOOKUP(D1371,Parameter!$A$35:$C$64,2,0),"Nein"))</f>
        <v>2+3</v>
      </c>
      <c r="BW1371" s="59" t="n">
        <f aca="false">IF(BT1371=0,0,IF(N(S1371)&gt;0,S1371,IFERROR(VLOOKUP(D1371,Parameter!$A$35:$C$64,3,0)+0,0)))</f>
        <v>0</v>
      </c>
      <c r="BX1371" s="55" t="n">
        <f aca="false">IF(AA1371&lt;&gt;"",AA1371,Z1371)</f>
        <v>2</v>
      </c>
      <c r="BY1371" s="55" t="str">
        <f aca="false">IF(BX1371=1,"L1",IF(OR(BX1371=2,BX1371=3),"L23",IF(BX1371="Aussen","Aussen","-")))</f>
        <v>L23</v>
      </c>
      <c r="BZ1371" s="66" t="n">
        <f aca="false">IF(N(AB1371)&gt;0,AB1371,0)</f>
        <v>0</v>
      </c>
      <c r="CA1371" s="60" t="n">
        <f aca="false">IF(ISNUMBER(AE1371),1,0)</f>
        <v>0</v>
      </c>
      <c r="CB1371" s="57" t="n">
        <f aca="false">N(AE1371)</f>
        <v>0</v>
      </c>
      <c r="CC1371" s="57" t="n">
        <f aca="false">N(M1371)+N(N1371)</f>
        <v>11</v>
      </c>
      <c r="CD1371" s="57" t="n">
        <f aca="false">ROUNDUP(H1371/BS1371,0)</f>
        <v>1</v>
      </c>
      <c r="CE1371" s="57" t="n">
        <f aca="false">ROUNDUP(CB1371/BS1371,0)</f>
        <v>0</v>
      </c>
      <c r="CF1371" s="60" t="n">
        <f aca="false">IF(BT1371=1,0,IFERROR(VLOOKUP(BR1371,'Gebinde-Kategorie'!$A$5:$M$45,5,0)+0,0))</f>
        <v>31</v>
      </c>
      <c r="CG1371" s="60" t="n">
        <f aca="false">IFERROR(IF(OR(BX1371=1,BX1371=2,BX1371=3),N(INDEX(Parameter!$I$5:$I$7,BX1371)),0),0)</f>
        <v>0</v>
      </c>
      <c r="CH1371" s="59" t="n">
        <f aca="false">IF(AND(Parameter!$B$21="Ja",ISNUMBER(W1371),N(X1371)&gt;0),IFERROR(N(INDEX(Parameter!$L$5:$L$7,W1371))*INDEX(Parameter!$E$5:$E$7,W1371)*X1371/SUMIFS($X$7:$X$1843,$W$7:$W$1843,W1371),0),0)</f>
        <v>0</v>
      </c>
    </row>
    <row r="1372" customFormat="false" ht="15" hidden="false" customHeight="false" outlineLevel="0" collapsed="false">
      <c r="A1372" s="55" t="s">
        <v>2416</v>
      </c>
      <c r="B1372" s="55" t="s">
        <v>2417</v>
      </c>
      <c r="C1372" s="55" t="s">
        <v>164</v>
      </c>
      <c r="D1372" s="55" t="s">
        <v>173</v>
      </c>
      <c r="E1372" s="55" t="s">
        <v>2418</v>
      </c>
      <c r="F1372" s="55" t="s">
        <v>218</v>
      </c>
      <c r="G1372" s="56" t="n">
        <v>3599.65</v>
      </c>
      <c r="H1372" s="57" t="n">
        <f aca="false">MAX(0,IF(AND(Parameter!$B$21="Ja",ISNUMBER(Y1372)),Y1372,IF(Parameter!$B$20="Jahresanfang 2025 + Export",BL1372+BK1372,BK1372)))</f>
        <v>6</v>
      </c>
      <c r="I1372" s="57" t="n">
        <f aca="false">H1372*G1372</f>
        <v>21597.9</v>
      </c>
      <c r="J1372" s="57" t="n">
        <f aca="false">BN1372*Parameter!$B$18</f>
        <v>13</v>
      </c>
      <c r="K1372" s="58" t="n">
        <v>8</v>
      </c>
      <c r="L1372" s="59" t="n">
        <v>1.625</v>
      </c>
      <c r="M1372" s="57" t="n">
        <v>0</v>
      </c>
      <c r="N1372" s="57" t="n">
        <v>1</v>
      </c>
      <c r="O1372" s="60" t="n">
        <v>60</v>
      </c>
      <c r="P1372" s="55" t="s">
        <v>168</v>
      </c>
      <c r="Q1372" s="57"/>
      <c r="R1372" s="60" t="n">
        <f aca="false">IF(BT1372=1,0,IFERROR(VLOOKUP(BR1372,'Gebinde-Kategorie'!$A$5:$M$45,13,0)+0,0))</f>
        <v>12</v>
      </c>
      <c r="S1372" s="61"/>
      <c r="T1372" s="62" t="s">
        <v>179</v>
      </c>
      <c r="U1372" s="62"/>
      <c r="V1372" s="62"/>
      <c r="W1372" s="55"/>
      <c r="X1372" s="57"/>
      <c r="Y1372" s="57"/>
      <c r="Z1372" s="55" t="str">
        <f aca="false">IF(A1372="","",IF(AND(Parameter!$B$21="Ja",ISNUMBER(W1372)),W1372,IF(BV1372="2+3",IF(ISNUMBER(SEARCH("grosser Artikel",BO1372)),2,IFERROR(VLOOKUP(BR1372,Parameter!$F$35:$G$64,2,0),2)),IF(OR(BV1372="Nein",BV1372=""),"-",BV1372))))</f>
        <v>-</v>
      </c>
      <c r="AA1372" s="62"/>
      <c r="AB1372" s="63"/>
      <c r="AC1372" s="57" t="n">
        <f aca="false">AR1372</f>
        <v>12</v>
      </c>
      <c r="AD1372" s="57" t="n">
        <f aca="false">MAX(AR1372,H1372)</f>
        <v>12</v>
      </c>
      <c r="AE1372" s="64"/>
      <c r="AF1372" s="57" t="n">
        <f aca="false">IF(LEFT(Cockpit!$C$5,1)="A",H1372,IF(CA1372=1,CB1372,IF(LEFT(Cockpit!$C$5,1)="B",AJ1372,MAX(AJ1372,H1372))))</f>
        <v>6</v>
      </c>
      <c r="AG1372" s="57" t="n">
        <f aca="false">IF(BT1372=1,0,ROUNDUP(AF1372/BS1372,0))</f>
        <v>1</v>
      </c>
      <c r="AH1372" s="59" t="n">
        <f aca="false">IF(CH1372&gt;0,CH1372*MAX(1,AF1372/X1372),IF(BT1372=1,IF(AF1372&lt;=0,0,BW1372*MAX(1,IF(H1372&gt;0,AF1372/H1372,1))),IF(R1372&gt;0,AG1372/R1372,0))/MAX(0.1,N(Parameter!$M$21)))</f>
        <v>0.0833333333333333</v>
      </c>
      <c r="AI1372" s="57" t="n">
        <f aca="false">AF1372*G1372</f>
        <v>21597.9</v>
      </c>
      <c r="AJ1372" s="57" t="n">
        <f aca="false">ROUNDUP(MAX(J1372/IF(BZ1372&gt;0,BZ1372,MAX(0.1,N(Cockpit!$C$6))),CC1372)/BS1372,0)*BS1372</f>
        <v>12</v>
      </c>
      <c r="AK1372" s="58" t="n">
        <f aca="false">IF(AH1372&gt;0,J1372/AH1372,-1)</f>
        <v>156</v>
      </c>
      <c r="AL1372" s="58" t="str">
        <f aca="false">IF(AND(OR(BY1372="L1",BY1372="L23"),AH1372&gt;0),SUMIFS($AH$7:$AH$1843,$BY$7:$BY$1843,BY1372,$AK$7:$AK$1843,"&gt;"&amp;AK1372)+SUMIFS($AH$7:$AH$1843,$BY$7:$BY$1843,BY1372,$AK$7:$AK$1843,AK1372,$BQ$7:$BQ$1843,"&lt;="&amp;BQ1372),"")</f>
        <v/>
      </c>
      <c r="AM1372" s="65" t="n">
        <f aca="false">IF(AL1372="",0,MAX(0,MIN(1,(IF(BY1372="L1",Parameter!$E$5,Parameter!$E$6+Parameter!$E$7)-(AL1372-AH1372))/AH1372)))</f>
        <v>0</v>
      </c>
      <c r="AN1372" s="57" t="n">
        <f aca="false">IF(LEFT(Cockpit!$I$5,1)="A",H1372,IF(CA1372=1,CB1372,IF(LEFT(Cockpit!$I$5,1)="B",AR1372,MAX(AR1372,H1372))))</f>
        <v>12</v>
      </c>
      <c r="AO1372" s="57" t="n">
        <f aca="false">IF(BT1372=1,0,ROUNDUP(AN1372/BS1372,0))</f>
        <v>2</v>
      </c>
      <c r="AP1372" s="59" t="n">
        <f aca="false">IF(CH1372&gt;0,CH1372*MAX(1,AN1372/X1372),IF(BT1372=1,IF(AN1372&lt;=0,0,BW1372*MAX(1,IF(H1372&gt;0,AN1372/H1372,1))),IF(R1372&gt;0,AO1372/R1372,0))/MAX(0.1,N(Parameter!$M$21)))</f>
        <v>0.166666666666667</v>
      </c>
      <c r="AQ1372" s="57" t="n">
        <f aca="false">AN1372*G1372</f>
        <v>43195.8</v>
      </c>
      <c r="AR1372" s="57" t="n">
        <f aca="false">ROUNDUP(MAX(J1372/IF(BZ1372&gt;0,BZ1372,MAX(0.1,N(Cockpit!$I$6))),CC1372)/BS1372,0)*BS1372</f>
        <v>12</v>
      </c>
      <c r="AS1372" s="58" t="n">
        <f aca="false">IF(AP1372&gt;0,J1372/AP1372,-1)</f>
        <v>78</v>
      </c>
      <c r="AT1372" s="58" t="str">
        <f aca="false">IF(AND(OR(BY1372="L1",BY1372="L23"),AP1372&gt;0),SUMIFS($AP$7:$AP$1843,$BY$7:$BY$1843,BY1372,$AS$7:$AS$1843,"&gt;"&amp;AS1372)+SUMIFS($AP$7:$AP$1843,$BY$7:$BY$1843,BY1372,$AS$7:$AS$1843,AS1372,$BQ$7:$BQ$1843,"&lt;="&amp;BQ1372),"")</f>
        <v/>
      </c>
      <c r="AU1372" s="65" t="n">
        <f aca="false">IF(AT1372="",0,MAX(0,MIN(1,(IF(BY1372="L1",Parameter!$E$5,Parameter!$E$6+Parameter!$E$7)-(AT1372-AP1372))/AP1372)))</f>
        <v>0</v>
      </c>
      <c r="AV1372" s="57" t="n">
        <f aca="false">IF(LEFT(Cockpit!$O$5,1)="A",H1372,IF(CA1372=1,CB1372,IF(LEFT(Cockpit!$O$5,1)="B",AZ1372,MAX(AZ1372,H1372))))</f>
        <v>6</v>
      </c>
      <c r="AW1372" s="57" t="n">
        <f aca="false">IF(BT1372=1,0,ROUNDUP(AV1372/BS1372,0))</f>
        <v>1</v>
      </c>
      <c r="AX1372" s="59" t="n">
        <f aca="false">IF(CH1372&gt;0,CH1372*MAX(1,AV1372/X1372),IF(BT1372=1,IF(AV1372&lt;=0,0,BW1372*MAX(1,IF(H1372&gt;0,AV1372/H1372,1))),IF(R1372&gt;0,AW1372/R1372,0))/MAX(0.1,N(Parameter!$M$21)))</f>
        <v>0.0833333333333333</v>
      </c>
      <c r="AY1372" s="57" t="n">
        <f aca="false">AV1372*G1372</f>
        <v>21597.9</v>
      </c>
      <c r="AZ1372" s="57" t="n">
        <f aca="false">ROUNDUP(MAX(J1372/IF(BZ1372&gt;0,BZ1372,MAX(0.1,N(Cockpit!$O$6))),CC1372)/BS1372,0)*BS1372</f>
        <v>6</v>
      </c>
      <c r="BA1372" s="58" t="n">
        <f aca="false">IF(AX1372&gt;0,J1372/AX1372,-1)</f>
        <v>156</v>
      </c>
      <c r="BB1372" s="58" t="str">
        <f aca="false">IF(AND(OR(BY1372="L1",BY1372="L23"),AX1372&gt;0),SUMIFS($AX$7:$AX$1843,$BY$7:$BY$1843,BY1372,$BA$7:$BA$1843,"&gt;"&amp;BA1372)+SUMIFS($AX$7:$AX$1843,$BY$7:$BY$1843,BY1372,$BA$7:$BA$1843,BA1372,$BQ$7:$BQ$1843,"&lt;="&amp;BQ1372),"")</f>
        <v/>
      </c>
      <c r="BC1372" s="65" t="n">
        <f aca="false">IF(BB1372="",0,MAX(0,MIN(1,(IF(BY1372="L1",Parameter!$E$5,Parameter!$E$6+Parameter!$E$7)-(BB1372-AX1372))/AX1372)))</f>
        <v>0</v>
      </c>
      <c r="BD1372" s="55" t="str">
        <f aca="false">IF(AH1372&lt;=0,"",IF(BY1372="Aussen","Aussenlager",IF(BY1372="-","Nicht im Lift",IF(AM1372&gt;=1,"Lift",IF(AM1372&lt;=0,"Aussenlager","teilweise")))))</f>
        <v>Nicht im Lift</v>
      </c>
      <c r="BE1372" s="55" t="str">
        <f aca="false">IF(AP1372&lt;=0,"",IF(BY1372="Aussen","Aussenlager",IF(BY1372="-","Nicht im Lift",IF(AU1372&gt;=1,"Lift",IF(AU1372&lt;=0,"Aussenlager","teilweise")))))</f>
        <v>Nicht im Lift</v>
      </c>
      <c r="BF1372" s="55" t="str">
        <f aca="false">IF(AX1372&lt;=0,"",IF(BY1372="Aussen","Aussenlager",IF(BY1372="-","Nicht im Lift",IF(BC1372&gt;=1,"Lift",IF(BC1372&lt;=0,"Aussenlager","teilweise")))))</f>
        <v>Nicht im Lift</v>
      </c>
      <c r="BG1372" s="55" t="str">
        <f aca="false">IF(A1372="","",IF(BP1372=1,"Neu; ","")&amp;IF(AND(BP1372=0,BK1372&lt;0),"negativer Bestand (Export "&amp;BK1372&amp;"); ","")&amp;IF(J1372&lt;=0,"Kein Verbrauch; ","")&amp;IF(CH1372&gt;0,"Lift "&amp;W1372&amp;" lt. Liftbericht (Fach "&amp;X1372&amp;" Stk); ",IF(BU1372=1,"Gebinde geschätzt ("&amp;T1372&amp;"); ",IF(BT1372=1,"Lose – Tablare geschätzt; ","")))&amp;IF(H1372&gt;AR1372,"Überbestand "&amp;ROUND(H1372-AR1372,0)&amp;" Stk / CHF "&amp;ROUND((H1372-AR1372)*G1372,0)&amp;"; ","")&amp;IF(AND(CA1372=1,CB1372&lt;CC1372),"MAX &lt; MB+LG; ","")&amp;IF(AND(CG1372&gt;0,CF1372*10&gt;CG1372),"zu hoch für Tablar; ","")&amp;IF(AND(BP1372=0,OR(CA1372=1,AA1372&lt;&gt;"",U1372&lt;&gt;"",V1372&lt;&gt;"",AB1372&lt;&gt;"")),"manuell übersteuert; ","")&amp;IF(AND(BT1372=0,R1372=0),"Gebinde unbekannt / Stellmass fehlt; ","")&amp;IF(AND(BT1372=0,N(V1372)&lt;=0,N(Q1372)&lt;=0),"Menge pro Gebinde fehlt (Ist = 1 Gebinde); ","")&amp;BO1372)</f>
        <v>negativer Bestand (Export -2); Gebinde geschätzt (Mittel); Menge pro Gebinde fehlt (Ist = 1 Gebinde); </v>
      </c>
      <c r="BH1372" s="55"/>
      <c r="BI1372" s="55"/>
      <c r="BJ1372" s="62"/>
      <c r="BK1372" s="57" t="n">
        <v>-2</v>
      </c>
      <c r="BL1372" s="57" t="n">
        <v>8</v>
      </c>
      <c r="BM1372" s="56" t="n">
        <v>-2698.84000000002</v>
      </c>
      <c r="BN1372" s="57" t="n">
        <v>13</v>
      </c>
      <c r="BO1372" s="55"/>
      <c r="BP1372" s="60" t="n">
        <v>0</v>
      </c>
      <c r="BQ1372" s="60" t="n">
        <v>1372</v>
      </c>
      <c r="BR1372" s="55" t="str">
        <f aca="false">IF(U1372&lt;&gt;"",UPPER(TRIM(U1372)),IF(BU1372=1,UPPER(VLOOKUP(T1372,Parameter!$I$27:$K$29,2,0)),IF(P1372="","LOSE",P1372)))</f>
        <v>S61</v>
      </c>
      <c r="BS1372" s="57" t="n">
        <f aca="false">IF(BR1372="LOSE",1,IF(N(V1372)&gt;0,V1372,IF(BU1372=1,MAX(1,N(VLOOKUP(T1372,Parameter!$I$27:$K$29,3,0)),H1372,N(N1372)),IF(N(Q1372)&gt;0,Q1372,MAX(1,H1372)))))</f>
        <v>6</v>
      </c>
      <c r="BT1372" s="60" t="n">
        <f aca="false">IF(BR1372="LOSE",1,0)</f>
        <v>0</v>
      </c>
      <c r="BU1372" s="60" t="n">
        <f aca="false">IF(AND(U1372="",OR(P1372="",P1372="LOSE"),T1372&lt;&gt;"",N(S1372)&lt;=0,ISNUMBER(MATCH(T1372,Parameter!$I$27:$I$29,0))),1,0)</f>
        <v>1</v>
      </c>
      <c r="BV1372" s="55" t="str">
        <f aca="false">IF(AND(Parameter!$B$19="Ja",E1372&lt;&gt;"",ISNUMBER(MATCH(E1372,Parameter!$I$35:$I$52,0))),VLOOKUP(E1372,Parameter!$I$35:$J$52,2,0),IFERROR(VLOOKUP(D1372,Parameter!$A$35:$C$64,2,0),"Nein"))</f>
        <v>Nein</v>
      </c>
      <c r="BW1372" s="59" t="n">
        <f aca="false">IF(BT1372=0,0,IF(N(S1372)&gt;0,S1372,IFERROR(VLOOKUP(D1372,Parameter!$A$35:$C$64,3,0)+0,0)))</f>
        <v>0</v>
      </c>
      <c r="BX1372" s="55" t="str">
        <f aca="false">IF(AA1372&lt;&gt;"",AA1372,Z1372)</f>
        <v>-</v>
      </c>
      <c r="BY1372" s="55" t="str">
        <f aca="false">IF(BX1372=1,"L1",IF(OR(BX1372=2,BX1372=3),"L23",IF(BX1372="Aussen","Aussen","-")))</f>
        <v>-</v>
      </c>
      <c r="BZ1372" s="66" t="n">
        <f aca="false">IF(N(AB1372)&gt;0,AB1372,0)</f>
        <v>0</v>
      </c>
      <c r="CA1372" s="60" t="n">
        <f aca="false">IF(ISNUMBER(AE1372),1,0)</f>
        <v>0</v>
      </c>
      <c r="CB1372" s="57" t="n">
        <f aca="false">N(AE1372)</f>
        <v>0</v>
      </c>
      <c r="CC1372" s="57" t="n">
        <f aca="false">N(M1372)+N(N1372)</f>
        <v>1</v>
      </c>
      <c r="CD1372" s="57" t="n">
        <f aca="false">ROUNDUP(H1372/BS1372,0)</f>
        <v>1</v>
      </c>
      <c r="CE1372" s="57" t="n">
        <f aca="false">ROUNDUP(CB1372/BS1372,0)</f>
        <v>0</v>
      </c>
      <c r="CF1372" s="60" t="n">
        <f aca="false">IF(BT1372=1,0,IFERROR(VLOOKUP(BR1372,'Gebinde-Kategorie'!$A$5:$M$45,5,0)+0,0))</f>
        <v>11</v>
      </c>
      <c r="CG1372" s="60" t="n">
        <f aca="false">IFERROR(IF(OR(BX1372=1,BX1372=2,BX1372=3),N(INDEX(Parameter!$I$5:$I$7,BX1372)),0),0)</f>
        <v>0</v>
      </c>
      <c r="CH1372" s="59" t="n">
        <f aca="false">IF(AND(Parameter!$B$21="Ja",ISNUMBER(W1372),N(X1372)&gt;0),IFERROR(N(INDEX(Parameter!$L$5:$L$7,W1372))*INDEX(Parameter!$E$5:$E$7,W1372)*X1372/SUMIFS($X$7:$X$1843,$W$7:$W$1843,W1372),0),0)</f>
        <v>0</v>
      </c>
    </row>
    <row r="1373" customFormat="false" ht="15" hidden="false" customHeight="false" outlineLevel="0" collapsed="false">
      <c r="A1373" s="55" t="s">
        <v>2419</v>
      </c>
      <c r="B1373" s="55" t="s">
        <v>2420</v>
      </c>
      <c r="C1373" s="55" t="s">
        <v>164</v>
      </c>
      <c r="D1373" s="55" t="s">
        <v>184</v>
      </c>
      <c r="E1373" s="55" t="s">
        <v>185</v>
      </c>
      <c r="F1373" s="55" t="s">
        <v>218</v>
      </c>
      <c r="G1373" s="56" t="n">
        <v>208.24</v>
      </c>
      <c r="H1373" s="57" t="n">
        <f aca="false">MAX(0,IF(AND(Parameter!$B$21="Ja",ISNUMBER(Y1373)),Y1373,IF(Parameter!$B$20="Jahresanfang 2025 + Export",BL1373+BK1373,BK1373)))</f>
        <v>1</v>
      </c>
      <c r="I1373" s="57" t="n">
        <f aca="false">H1373*G1373</f>
        <v>208.24</v>
      </c>
      <c r="J1373" s="57" t="n">
        <f aca="false">BN1373*Parameter!$B$18</f>
        <v>6</v>
      </c>
      <c r="K1373" s="58" t="n">
        <v>10</v>
      </c>
      <c r="L1373" s="59" t="n">
        <v>0.6</v>
      </c>
      <c r="M1373" s="57" t="n">
        <v>0</v>
      </c>
      <c r="N1373" s="57" t="n">
        <v>5</v>
      </c>
      <c r="O1373" s="60" t="n">
        <v>21</v>
      </c>
      <c r="P1373" s="55" t="s">
        <v>476</v>
      </c>
      <c r="Q1373" s="57" t="n">
        <v>17</v>
      </c>
      <c r="R1373" s="60" t="n">
        <f aca="false">IF(BT1373=1,0,IFERROR(VLOOKUP(BR1373,'Gebinde-Kategorie'!$A$5:$M$45,13,0)+0,0))</f>
        <v>66</v>
      </c>
      <c r="S1373" s="61"/>
      <c r="T1373" s="62"/>
      <c r="U1373" s="62"/>
      <c r="V1373" s="62"/>
      <c r="W1373" s="55"/>
      <c r="X1373" s="57"/>
      <c r="Y1373" s="57"/>
      <c r="Z1373" s="55" t="n">
        <f aca="false">IF(A1373="","",IF(AND(Parameter!$B$21="Ja",ISNUMBER(W1373)),W1373,IF(BV1373="2+3",IF(ISNUMBER(SEARCH("grosser Artikel",BO1373)),2,IFERROR(VLOOKUP(BR1373,Parameter!$F$35:$G$64,2,0),2)),IF(OR(BV1373="Nein",BV1373=""),"-",BV1373))))</f>
        <v>3</v>
      </c>
      <c r="AA1373" s="62"/>
      <c r="AB1373" s="63"/>
      <c r="AC1373" s="57" t="n">
        <f aca="false">AR1373</f>
        <v>17</v>
      </c>
      <c r="AD1373" s="57" t="n">
        <f aca="false">MAX(AR1373,H1373)</f>
        <v>17</v>
      </c>
      <c r="AE1373" s="64"/>
      <c r="AF1373" s="57" t="n">
        <f aca="false">IF(LEFT(Cockpit!$C$5,1)="A",H1373,IF(CA1373=1,CB1373,IF(LEFT(Cockpit!$C$5,1)="B",AJ1373,MAX(AJ1373,H1373))))</f>
        <v>1</v>
      </c>
      <c r="AG1373" s="57" t="n">
        <f aca="false">IF(BT1373=1,0,ROUNDUP(AF1373/BS1373,0))</f>
        <v>1</v>
      </c>
      <c r="AH1373" s="59" t="n">
        <f aca="false">IF(CH1373&gt;0,CH1373*MAX(1,AF1373/X1373),IF(BT1373=1,IF(AF1373&lt;=0,0,BW1373*MAX(1,IF(H1373&gt;0,AF1373/H1373,1))),IF(R1373&gt;0,AG1373/R1373,0))/MAX(0.1,N(Parameter!$M$21)))</f>
        <v>0.0151515151515152</v>
      </c>
      <c r="AI1373" s="57" t="n">
        <f aca="false">AF1373*G1373</f>
        <v>208.24</v>
      </c>
      <c r="AJ1373" s="57" t="n">
        <f aca="false">ROUNDUP(MAX(J1373/IF(BZ1373&gt;0,BZ1373,MAX(0.1,N(Cockpit!$C$6))),CC1373)/BS1373,0)*BS1373</f>
        <v>17</v>
      </c>
      <c r="AK1373" s="58" t="n">
        <f aca="false">IF(AH1373&gt;0,J1373/AH1373,-1)</f>
        <v>396</v>
      </c>
      <c r="AL1373" s="58" t="n">
        <f aca="false">IF(AND(OR(BY1373="L1",BY1373="L23"),AH1373&gt;0),SUMIFS($AH$7:$AH$1843,$BY$7:$BY$1843,BY1373,$AK$7:$AK$1843,"&gt;"&amp;AK1373)+SUMIFS($AH$7:$AH$1843,$BY$7:$BY$1843,BY1373,$AK$7:$AK$1843,AK1373,$BQ$7:$BQ$1843,"&lt;="&amp;BQ1373),"")</f>
        <v>26.1172257693997</v>
      </c>
      <c r="AM1373" s="65" t="n">
        <f aca="false">IF(AL1373="",0,MAX(0,MIN(1,(IF(BY1373="L1",Parameter!$E$5,Parameter!$E$6+Parameter!$E$7)-(AL1373-AH1373))/AH1373)))</f>
        <v>1</v>
      </c>
      <c r="AN1373" s="57" t="n">
        <f aca="false">IF(LEFT(Cockpit!$I$5,1)="A",H1373,IF(CA1373=1,CB1373,IF(LEFT(Cockpit!$I$5,1)="B",AR1373,MAX(AR1373,H1373))))</f>
        <v>17</v>
      </c>
      <c r="AO1373" s="57" t="n">
        <f aca="false">IF(BT1373=1,0,ROUNDUP(AN1373/BS1373,0))</f>
        <v>1</v>
      </c>
      <c r="AP1373" s="59" t="n">
        <f aca="false">IF(CH1373&gt;0,CH1373*MAX(1,AN1373/X1373),IF(BT1373=1,IF(AN1373&lt;=0,0,BW1373*MAX(1,IF(H1373&gt;0,AN1373/H1373,1))),IF(R1373&gt;0,AO1373/R1373,0))/MAX(0.1,N(Parameter!$M$21)))</f>
        <v>0.0151515151515152</v>
      </c>
      <c r="AQ1373" s="57" t="n">
        <f aca="false">AN1373*G1373</f>
        <v>3540.08</v>
      </c>
      <c r="AR1373" s="57" t="n">
        <f aca="false">ROUNDUP(MAX(J1373/IF(BZ1373&gt;0,BZ1373,MAX(0.1,N(Cockpit!$I$6))),CC1373)/BS1373,0)*BS1373</f>
        <v>17</v>
      </c>
      <c r="AS1373" s="58" t="n">
        <f aca="false">IF(AP1373&gt;0,J1373/AP1373,-1)</f>
        <v>396</v>
      </c>
      <c r="AT1373" s="58" t="n">
        <f aca="false">IF(AND(OR(BY1373="L1",BY1373="L23"),AP1373&gt;0),SUMIFS($AP$7:$AP$1843,$BY$7:$BY$1843,BY1373,$AS$7:$AS$1843,"&gt;"&amp;AS1373)+SUMIFS($AP$7:$AP$1843,$BY$7:$BY$1843,BY1373,$AS$7:$AS$1843,AS1373,$BQ$7:$BQ$1843,"&lt;="&amp;BQ1373),"")</f>
        <v>35.5605807236242</v>
      </c>
      <c r="AU1373" s="65" t="n">
        <f aca="false">IF(AT1373="",0,MAX(0,MIN(1,(IF(BY1373="L1",Parameter!$E$5,Parameter!$E$6+Parameter!$E$7)-(AT1373-AP1373))/AP1373)))</f>
        <v>1</v>
      </c>
      <c r="AV1373" s="57" t="n">
        <f aca="false">IF(LEFT(Cockpit!$O$5,1)="A",H1373,IF(CA1373=1,CB1373,IF(LEFT(Cockpit!$O$5,1)="B",AZ1373,MAX(AZ1373,H1373))))</f>
        <v>17</v>
      </c>
      <c r="AW1373" s="57" t="n">
        <f aca="false">IF(BT1373=1,0,ROUNDUP(AV1373/BS1373,0))</f>
        <v>1</v>
      </c>
      <c r="AX1373" s="59" t="n">
        <f aca="false">IF(CH1373&gt;0,CH1373*MAX(1,AV1373/X1373),IF(BT1373=1,IF(AV1373&lt;=0,0,BW1373*MAX(1,IF(H1373&gt;0,AV1373/H1373,1))),IF(R1373&gt;0,AW1373/R1373,0))/MAX(0.1,N(Parameter!$M$21)))</f>
        <v>0.0151515151515152</v>
      </c>
      <c r="AY1373" s="57" t="n">
        <f aca="false">AV1373*G1373</f>
        <v>3540.08</v>
      </c>
      <c r="AZ1373" s="57" t="n">
        <f aca="false">ROUNDUP(MAX(J1373/IF(BZ1373&gt;0,BZ1373,MAX(0.1,N(Cockpit!$O$6))),CC1373)/BS1373,0)*BS1373</f>
        <v>17</v>
      </c>
      <c r="BA1373" s="58" t="n">
        <f aca="false">IF(AX1373&gt;0,J1373/AX1373,-1)</f>
        <v>396</v>
      </c>
      <c r="BB1373" s="58" t="n">
        <f aca="false">IF(AND(OR(BY1373="L1",BY1373="L23"),AX1373&gt;0),SUMIFS($AX$7:$AX$1843,$BY$7:$BY$1843,BY1373,$BA$7:$BA$1843,"&gt;"&amp;BA1373)+SUMIFS($AX$7:$AX$1843,$BY$7:$BY$1843,BY1373,$BA$7:$BA$1843,BA1373,$BQ$7:$BQ$1843,"&lt;="&amp;BQ1373),"")</f>
        <v>34.8070842201277</v>
      </c>
      <c r="BC1373" s="65" t="n">
        <f aca="false">IF(BB1373="",0,MAX(0,MIN(1,(IF(BY1373="L1",Parameter!$E$5,Parameter!$E$6+Parameter!$E$7)-(BB1373-AX1373))/AX1373)))</f>
        <v>1</v>
      </c>
      <c r="BD1373" s="55" t="str">
        <f aca="false">IF(AH1373&lt;=0,"",IF(BY1373="Aussen","Aussenlager",IF(BY1373="-","Nicht im Lift",IF(AM1373&gt;=1,"Lift",IF(AM1373&lt;=0,"Aussenlager","teilweise")))))</f>
        <v>Lift</v>
      </c>
      <c r="BE1373" s="55" t="str">
        <f aca="false">IF(AP1373&lt;=0,"",IF(BY1373="Aussen","Aussenlager",IF(BY1373="-","Nicht im Lift",IF(AU1373&gt;=1,"Lift",IF(AU1373&lt;=0,"Aussenlager","teilweise")))))</f>
        <v>Lift</v>
      </c>
      <c r="BF1373" s="55" t="str">
        <f aca="false">IF(AX1373&lt;=0,"",IF(BY1373="Aussen","Aussenlager",IF(BY1373="-","Nicht im Lift",IF(BC1373&gt;=1,"Lift",IF(BC1373&lt;=0,"Aussenlager","teilweise")))))</f>
        <v>Lift</v>
      </c>
      <c r="BG1373" s="55" t="str">
        <f aca="false">IF(A1373="","",IF(BP1373=1,"Neu; ","")&amp;IF(AND(BP1373=0,BK1373&lt;0),"negativer Bestand (Export "&amp;BK1373&amp;"); ","")&amp;IF(J1373&lt;=0,"Kein Verbrauch; ","")&amp;IF(CH1373&gt;0,"Lift "&amp;W1373&amp;" lt. Liftbericht (Fach "&amp;X1373&amp;" Stk); ",IF(BU1373=1,"Gebinde geschätzt ("&amp;T1373&amp;"); ",IF(BT1373=1,"Lose – Tablare geschätzt; ","")))&amp;IF(H1373&gt;AR1373,"Überbestand "&amp;ROUND(H1373-AR1373,0)&amp;" Stk / CHF "&amp;ROUND((H1373-AR1373)*G1373,0)&amp;"; ","")&amp;IF(AND(CA1373=1,CB1373&lt;CC1373),"MAX &lt; MB+LG; ","")&amp;IF(AND(CG1373&gt;0,CF1373*10&gt;CG1373),"zu hoch für Tablar; ","")&amp;IF(AND(BP1373=0,OR(CA1373=1,AA1373&lt;&gt;"",U1373&lt;&gt;"",V1373&lt;&gt;"",AB1373&lt;&gt;"")),"manuell übersteuert; ","")&amp;IF(AND(BT1373=0,R1373=0),"Gebinde unbekannt / Stellmass fehlt; ","")&amp;IF(AND(BT1373=0,N(V1373)&lt;=0,N(Q1373)&lt;=0),"Menge pro Gebinde fehlt (Ist = 1 Gebinde); ","")&amp;BO1373)</f>
        <v>negativer Bestand (Export -13); </v>
      </c>
      <c r="BH1373" s="55"/>
      <c r="BI1373" s="55"/>
      <c r="BJ1373" s="62"/>
      <c r="BK1373" s="57" t="n">
        <v>-13</v>
      </c>
      <c r="BL1373" s="57" t="n">
        <v>14</v>
      </c>
      <c r="BM1373" s="56" t="n">
        <v>-2707.12</v>
      </c>
      <c r="BN1373" s="57" t="n">
        <v>6</v>
      </c>
      <c r="BO1373" s="55"/>
      <c r="BP1373" s="60" t="n">
        <v>0</v>
      </c>
      <c r="BQ1373" s="60" t="n">
        <v>1373</v>
      </c>
      <c r="BR1373" s="55" t="str">
        <f aca="false">IF(U1373&lt;&gt;"",UPPER(TRIM(U1373)),IF(BU1373=1,UPPER(VLOOKUP(T1373,Parameter!$I$27:$K$29,2,0)),IF(P1373="","LOSE",P1373)))</f>
        <v>S33</v>
      </c>
      <c r="BS1373" s="57" t="n">
        <f aca="false">IF(BR1373="LOSE",1,IF(N(V1373)&gt;0,V1373,IF(BU1373=1,MAX(1,N(VLOOKUP(T1373,Parameter!$I$27:$K$29,3,0)),H1373,N(N1373)),IF(N(Q1373)&gt;0,Q1373,MAX(1,H1373)))))</f>
        <v>17</v>
      </c>
      <c r="BT1373" s="60" t="n">
        <f aca="false">IF(BR1373="LOSE",1,0)</f>
        <v>0</v>
      </c>
      <c r="BU1373" s="60" t="n">
        <f aca="false">IF(AND(U1373="",OR(P1373="",P1373="LOSE"),T1373&lt;&gt;"",N(S1373)&lt;=0,ISNUMBER(MATCH(T1373,Parameter!$I$27:$I$29,0))),1,0)</f>
        <v>0</v>
      </c>
      <c r="BV1373" s="55" t="str">
        <f aca="false">IF(AND(Parameter!$B$19="Ja",E1373&lt;&gt;"",ISNUMBER(MATCH(E1373,Parameter!$I$35:$I$52,0))),VLOOKUP(E1373,Parameter!$I$35:$J$52,2,0),IFERROR(VLOOKUP(D1373,Parameter!$A$35:$C$64,2,0),"Nein"))</f>
        <v>2+3</v>
      </c>
      <c r="BW1373" s="59" t="n">
        <f aca="false">IF(BT1373=0,0,IF(N(S1373)&gt;0,S1373,IFERROR(VLOOKUP(D1373,Parameter!$A$35:$C$64,3,0)+0,0)))</f>
        <v>0</v>
      </c>
      <c r="BX1373" s="55" t="n">
        <f aca="false">IF(AA1373&lt;&gt;"",AA1373,Z1373)</f>
        <v>3</v>
      </c>
      <c r="BY1373" s="55" t="str">
        <f aca="false">IF(BX1373=1,"L1",IF(OR(BX1373=2,BX1373=3),"L23",IF(BX1373="Aussen","Aussen","-")))</f>
        <v>L23</v>
      </c>
      <c r="BZ1373" s="66" t="n">
        <f aca="false">IF(N(AB1373)&gt;0,AB1373,0)</f>
        <v>0</v>
      </c>
      <c r="CA1373" s="60" t="n">
        <f aca="false">IF(ISNUMBER(AE1373),1,0)</f>
        <v>0</v>
      </c>
      <c r="CB1373" s="57" t="n">
        <f aca="false">N(AE1373)</f>
        <v>0</v>
      </c>
      <c r="CC1373" s="57" t="n">
        <f aca="false">N(M1373)+N(N1373)</f>
        <v>5</v>
      </c>
      <c r="CD1373" s="57" t="n">
        <f aca="false">ROUNDUP(H1373/BS1373,0)</f>
        <v>1</v>
      </c>
      <c r="CE1373" s="57" t="n">
        <f aca="false">ROUNDUP(CB1373/BS1373,0)</f>
        <v>0</v>
      </c>
      <c r="CF1373" s="60" t="n">
        <f aca="false">IF(BT1373=1,0,IFERROR(VLOOKUP(BR1373,'Gebinde-Kategorie'!$A$5:$M$45,5,0)+0,0))</f>
        <v>8</v>
      </c>
      <c r="CG1373" s="60" t="n">
        <f aca="false">IFERROR(IF(OR(BX1373=1,BX1373=2,BX1373=3),N(INDEX(Parameter!$I$5:$I$7,BX1373)),0),0)</f>
        <v>0</v>
      </c>
      <c r="CH1373" s="59" t="n">
        <f aca="false">IF(AND(Parameter!$B$21="Ja",ISNUMBER(W1373),N(X1373)&gt;0),IFERROR(N(INDEX(Parameter!$L$5:$L$7,W1373))*INDEX(Parameter!$E$5:$E$7,W1373)*X1373/SUMIFS($X$7:$X$1843,$W$7:$W$1843,W1373),0),0)</f>
        <v>0</v>
      </c>
    </row>
    <row r="1374" customFormat="false" ht="15" hidden="false" customHeight="false" outlineLevel="0" collapsed="false">
      <c r="A1374" s="55" t="s">
        <v>2421</v>
      </c>
      <c r="B1374" s="55" t="s">
        <v>2422</v>
      </c>
      <c r="C1374" s="55" t="s">
        <v>164</v>
      </c>
      <c r="D1374" s="55" t="s">
        <v>173</v>
      </c>
      <c r="E1374" s="55" t="s">
        <v>166</v>
      </c>
      <c r="F1374" s="55" t="s">
        <v>218</v>
      </c>
      <c r="G1374" s="56" t="n">
        <v>1780.49</v>
      </c>
      <c r="H1374" s="57" t="n">
        <f aca="false">MAX(0,IF(AND(Parameter!$B$21="Ja",ISNUMBER(Y1374)),Y1374,IF(Parameter!$B$20="Jahresanfang 2025 + Export",BL1374+BK1374,BK1374)))</f>
        <v>10</v>
      </c>
      <c r="I1374" s="57" t="n">
        <f aca="false">H1374*G1374</f>
        <v>17804.9</v>
      </c>
      <c r="J1374" s="57" t="n">
        <f aca="false">BN1374*Parameter!$B$18</f>
        <v>87</v>
      </c>
      <c r="K1374" s="58" t="n">
        <v>11</v>
      </c>
      <c r="L1374" s="59" t="n">
        <v>7.90909090909091</v>
      </c>
      <c r="M1374" s="57" t="n">
        <v>5</v>
      </c>
      <c r="N1374" s="57" t="n">
        <v>15</v>
      </c>
      <c r="O1374" s="60" t="n">
        <v>21</v>
      </c>
      <c r="P1374" s="55" t="s">
        <v>174</v>
      </c>
      <c r="Q1374" s="57" t="n">
        <v>8</v>
      </c>
      <c r="R1374" s="60" t="n">
        <f aca="false">IF(BT1374=1,0,IFERROR(VLOOKUP(BR1374,'Gebinde-Kategorie'!$A$5:$M$45,13,0)+0,0))</f>
        <v>6</v>
      </c>
      <c r="S1374" s="61"/>
      <c r="T1374" s="62"/>
      <c r="U1374" s="62"/>
      <c r="V1374" s="62"/>
      <c r="W1374" s="55"/>
      <c r="X1374" s="57"/>
      <c r="Y1374" s="57"/>
      <c r="Z1374" s="55" t="n">
        <f aca="false">IF(A1374="","",IF(AND(Parameter!$B$21="Ja",ISNUMBER(W1374)),W1374,IF(BV1374="2+3",IF(ISNUMBER(SEARCH("grosser Artikel",BO1374)),2,IFERROR(VLOOKUP(BR1374,Parameter!$F$35:$G$64,2,0),2)),IF(OR(BV1374="Nein",BV1374=""),"-",BV1374))))</f>
        <v>1</v>
      </c>
      <c r="AA1374" s="62"/>
      <c r="AB1374" s="63"/>
      <c r="AC1374" s="57" t="n">
        <f aca="false">AR1374</f>
        <v>48</v>
      </c>
      <c r="AD1374" s="57" t="n">
        <f aca="false">MAX(AR1374,H1374)</f>
        <v>48</v>
      </c>
      <c r="AE1374" s="64"/>
      <c r="AF1374" s="57" t="n">
        <f aca="false">IF(LEFT(Cockpit!$C$5,1)="A",H1374,IF(CA1374=1,CB1374,IF(LEFT(Cockpit!$C$5,1)="B",AJ1374,MAX(AJ1374,H1374))))</f>
        <v>10</v>
      </c>
      <c r="AG1374" s="57" t="n">
        <f aca="false">IF(BT1374=1,0,ROUNDUP(AF1374/BS1374,0))</f>
        <v>2</v>
      </c>
      <c r="AH1374" s="59" t="n">
        <f aca="false">IF(CH1374&gt;0,CH1374*MAX(1,AF1374/X1374),IF(BT1374=1,IF(AF1374&lt;=0,0,BW1374*MAX(1,IF(H1374&gt;0,AF1374/H1374,1))),IF(R1374&gt;0,AG1374/R1374,0))/MAX(0.1,N(Parameter!$M$21)))</f>
        <v>0.333333333333333</v>
      </c>
      <c r="AI1374" s="57" t="n">
        <f aca="false">AF1374*G1374</f>
        <v>17804.9</v>
      </c>
      <c r="AJ1374" s="57" t="n">
        <f aca="false">ROUNDUP(MAX(J1374/IF(BZ1374&gt;0,BZ1374,MAX(0.1,N(Cockpit!$C$6))),CC1374)/BS1374,0)*BS1374</f>
        <v>48</v>
      </c>
      <c r="AK1374" s="58" t="n">
        <f aca="false">IF(AH1374&gt;0,J1374/AH1374,-1)</f>
        <v>261</v>
      </c>
      <c r="AL1374" s="58" t="n">
        <f aca="false">IF(AND(OR(BY1374="L1",BY1374="L23"),AH1374&gt;0),SUMIFS($AH$7:$AH$1843,$BY$7:$BY$1843,BY1374,$AK$7:$AK$1843,"&gt;"&amp;AK1374)+SUMIFS($AH$7:$AH$1843,$BY$7:$BY$1843,BY1374,$AK$7:$AK$1843,AK1374,$BQ$7:$BQ$1843,"&lt;="&amp;BQ1374),"")</f>
        <v>2.33416945373467</v>
      </c>
      <c r="AM1374" s="65" t="n">
        <f aca="false">IF(AL1374="",0,MAX(0,MIN(1,(IF(BY1374="L1",Parameter!$E$5,Parameter!$E$6+Parameter!$E$7)-(AL1374-AH1374))/AH1374)))</f>
        <v>1</v>
      </c>
      <c r="AN1374" s="57" t="n">
        <f aca="false">IF(LEFT(Cockpit!$I$5,1)="A",H1374,IF(CA1374=1,CB1374,IF(LEFT(Cockpit!$I$5,1)="B",AR1374,MAX(AR1374,H1374))))</f>
        <v>48</v>
      </c>
      <c r="AO1374" s="57" t="n">
        <f aca="false">IF(BT1374=1,0,ROUNDUP(AN1374/BS1374,0))</f>
        <v>6</v>
      </c>
      <c r="AP1374" s="59" t="n">
        <f aca="false">IF(CH1374&gt;0,CH1374*MAX(1,AN1374/X1374),IF(BT1374=1,IF(AN1374&lt;=0,0,BW1374*MAX(1,IF(H1374&gt;0,AN1374/H1374,1))),IF(R1374&gt;0,AO1374/R1374,0))/MAX(0.1,N(Parameter!$M$21)))</f>
        <v>1</v>
      </c>
      <c r="AQ1374" s="57" t="n">
        <f aca="false">AN1374*G1374</f>
        <v>85463.52</v>
      </c>
      <c r="AR1374" s="57" t="n">
        <f aca="false">ROUNDUP(MAX(J1374/IF(BZ1374&gt;0,BZ1374,MAX(0.1,N(Cockpit!$I$6))),CC1374)/BS1374,0)*BS1374</f>
        <v>48</v>
      </c>
      <c r="AS1374" s="58" t="n">
        <f aca="false">IF(AP1374&gt;0,J1374/AP1374,-1)</f>
        <v>87</v>
      </c>
      <c r="AT1374" s="58" t="n">
        <f aca="false">IF(AND(OR(BY1374="L1",BY1374="L23"),AP1374&gt;0),SUMIFS($AP$7:$AP$1843,$BY$7:$BY$1843,BY1374,$AS$7:$AS$1843,"&gt;"&amp;AS1374)+SUMIFS($AP$7:$AP$1843,$BY$7:$BY$1843,BY1374,$AS$7:$AS$1843,AS1374,$BQ$7:$BQ$1843,"&lt;="&amp;BQ1374),"")</f>
        <v>9.74442586399108</v>
      </c>
      <c r="AU1374" s="65" t="n">
        <f aca="false">IF(AT1374="",0,MAX(0,MIN(1,(IF(BY1374="L1",Parameter!$E$5,Parameter!$E$6+Parameter!$E$7)-(AT1374-AP1374))/AP1374)))</f>
        <v>1</v>
      </c>
      <c r="AV1374" s="57" t="n">
        <f aca="false">IF(LEFT(Cockpit!$O$5,1)="A",H1374,IF(CA1374=1,CB1374,IF(LEFT(Cockpit!$O$5,1)="B",AZ1374,MAX(AZ1374,H1374))))</f>
        <v>32</v>
      </c>
      <c r="AW1374" s="57" t="n">
        <f aca="false">IF(BT1374=1,0,ROUNDUP(AV1374/BS1374,0))</f>
        <v>4</v>
      </c>
      <c r="AX1374" s="59" t="n">
        <f aca="false">IF(CH1374&gt;0,CH1374*MAX(1,AV1374/X1374),IF(BT1374=1,IF(AV1374&lt;=0,0,BW1374*MAX(1,IF(H1374&gt;0,AV1374/H1374,1))),IF(R1374&gt;0,AW1374/R1374,0))/MAX(0.1,N(Parameter!$M$21)))</f>
        <v>0.666666666666667</v>
      </c>
      <c r="AY1374" s="57" t="n">
        <f aca="false">AV1374*G1374</f>
        <v>56975.68</v>
      </c>
      <c r="AZ1374" s="57" t="n">
        <f aca="false">ROUNDUP(MAX(J1374/IF(BZ1374&gt;0,BZ1374,MAX(0.1,N(Cockpit!$O$6))),CC1374)/BS1374,0)*BS1374</f>
        <v>32</v>
      </c>
      <c r="BA1374" s="58" t="n">
        <f aca="false">IF(AX1374&gt;0,J1374/AX1374,-1)</f>
        <v>130.5</v>
      </c>
      <c r="BB1374" s="58" t="n">
        <f aca="false">IF(AND(OR(BY1374="L1",BY1374="L23"),AX1374&gt;0),SUMIFS($AX$7:$AX$1843,$BY$7:$BY$1843,BY1374,$BA$7:$BA$1843,"&gt;"&amp;BA1374)+SUMIFS($AX$7:$AX$1843,$BY$7:$BY$1843,BY1374,$BA$7:$BA$1843,BA1374,$BQ$7:$BQ$1843,"&lt;="&amp;BQ1374),"")</f>
        <v>5.62263099219621</v>
      </c>
      <c r="BC1374" s="65" t="n">
        <f aca="false">IF(BB1374="",0,MAX(0,MIN(1,(IF(BY1374="L1",Parameter!$E$5,Parameter!$E$6+Parameter!$E$7)-(BB1374-AX1374))/AX1374)))</f>
        <v>1</v>
      </c>
      <c r="BD1374" s="55" t="str">
        <f aca="false">IF(AH1374&lt;=0,"",IF(BY1374="Aussen","Aussenlager",IF(BY1374="-","Nicht im Lift",IF(AM1374&gt;=1,"Lift",IF(AM1374&lt;=0,"Aussenlager","teilweise")))))</f>
        <v>Lift</v>
      </c>
      <c r="BE1374" s="55" t="str">
        <f aca="false">IF(AP1374&lt;=0,"",IF(BY1374="Aussen","Aussenlager",IF(BY1374="-","Nicht im Lift",IF(AU1374&gt;=1,"Lift",IF(AU1374&lt;=0,"Aussenlager","teilweise")))))</f>
        <v>Lift</v>
      </c>
      <c r="BF1374" s="55" t="str">
        <f aca="false">IF(AX1374&lt;=0,"",IF(BY1374="Aussen","Aussenlager",IF(BY1374="-","Nicht im Lift",IF(BC1374&gt;=1,"Lift",IF(BC1374&lt;=0,"Aussenlager","teilweise")))))</f>
        <v>Lift</v>
      </c>
      <c r="BG1374" s="55" t="str">
        <f aca="false">IF(A1374="","",IF(BP1374=1,"Neu; ","")&amp;IF(AND(BP1374=0,BK1374&lt;0),"negativer Bestand (Export "&amp;BK1374&amp;"); ","")&amp;IF(J1374&lt;=0,"Kein Verbrauch; ","")&amp;IF(CH1374&gt;0,"Lift "&amp;W1374&amp;" lt. Liftbericht (Fach "&amp;X1374&amp;" Stk); ",IF(BU1374=1,"Gebinde geschätzt ("&amp;T1374&amp;"); ",IF(BT1374=1,"Lose – Tablare geschätzt; ","")))&amp;IF(H1374&gt;AR1374,"Überbestand "&amp;ROUND(H1374-AR1374,0)&amp;" Stk / CHF "&amp;ROUND((H1374-AR1374)*G1374,0)&amp;"; ","")&amp;IF(AND(CA1374=1,CB1374&lt;CC1374),"MAX &lt; MB+LG; ","")&amp;IF(AND(CG1374&gt;0,CF1374*10&gt;CG1374),"zu hoch für Tablar; ","")&amp;IF(AND(BP1374=0,OR(CA1374=1,AA1374&lt;&gt;"",U1374&lt;&gt;"",V1374&lt;&gt;"",AB1374&lt;&gt;"")),"manuell übersteuert; ","")&amp;IF(AND(BT1374=0,R1374=0),"Gebinde unbekannt / Stellmass fehlt; ","")&amp;IF(AND(BT1374=0,N(V1374)&lt;=0,N(Q1374)&lt;=0),"Menge pro Gebinde fehlt (Ist = 1 Gebinde); ","")&amp;BO1374)</f>
        <v/>
      </c>
      <c r="BH1374" s="55"/>
      <c r="BI1374" s="55"/>
      <c r="BJ1374" s="62"/>
      <c r="BK1374" s="57" t="n">
        <v>0</v>
      </c>
      <c r="BL1374" s="57" t="n">
        <v>10</v>
      </c>
      <c r="BM1374" s="56" t="n">
        <v>-2746.34999999998</v>
      </c>
      <c r="BN1374" s="57" t="n">
        <v>87</v>
      </c>
      <c r="BO1374" s="55"/>
      <c r="BP1374" s="60" t="n">
        <v>0</v>
      </c>
      <c r="BQ1374" s="60" t="n">
        <v>1374</v>
      </c>
      <c r="BR1374" s="55" t="str">
        <f aca="false">IF(U1374&lt;&gt;"",UPPER(TRIM(U1374)),IF(BU1374=1,UPPER(VLOOKUP(T1374,Parameter!$I$27:$K$29,2,0)),IF(P1374="","LOSE",P1374)))</f>
        <v>S71</v>
      </c>
      <c r="BS1374" s="57" t="n">
        <f aca="false">IF(BR1374="LOSE",1,IF(N(V1374)&gt;0,V1374,IF(BU1374=1,MAX(1,N(VLOOKUP(T1374,Parameter!$I$27:$K$29,3,0)),H1374,N(N1374)),IF(N(Q1374)&gt;0,Q1374,MAX(1,H1374)))))</f>
        <v>8</v>
      </c>
      <c r="BT1374" s="60" t="n">
        <f aca="false">IF(BR1374="LOSE",1,0)</f>
        <v>0</v>
      </c>
      <c r="BU1374" s="60" t="n">
        <f aca="false">IF(AND(U1374="",OR(P1374="",P1374="LOSE"),T1374&lt;&gt;"",N(S1374)&lt;=0,ISNUMBER(MATCH(T1374,Parameter!$I$27:$I$29,0))),1,0)</f>
        <v>0</v>
      </c>
      <c r="BV1374" s="55" t="n">
        <f aca="false">IF(AND(Parameter!$B$19="Ja",E1374&lt;&gt;"",ISNUMBER(MATCH(E1374,Parameter!$I$35:$I$52,0))),VLOOKUP(E1374,Parameter!$I$35:$J$52,2,0),IFERROR(VLOOKUP(D1374,Parameter!$A$35:$C$64,2,0),"Nein"))</f>
        <v>1</v>
      </c>
      <c r="BW1374" s="59" t="n">
        <f aca="false">IF(BT1374=0,0,IF(N(S1374)&gt;0,S1374,IFERROR(VLOOKUP(D1374,Parameter!$A$35:$C$64,3,0)+0,0)))</f>
        <v>0</v>
      </c>
      <c r="BX1374" s="55" t="n">
        <f aca="false">IF(AA1374&lt;&gt;"",AA1374,Z1374)</f>
        <v>1</v>
      </c>
      <c r="BY1374" s="55" t="str">
        <f aca="false">IF(BX1374=1,"L1",IF(OR(BX1374=2,BX1374=3),"L23",IF(BX1374="Aussen","Aussen","-")))</f>
        <v>L1</v>
      </c>
      <c r="BZ1374" s="66" t="n">
        <f aca="false">IF(N(AB1374)&gt;0,AB1374,0)</f>
        <v>0</v>
      </c>
      <c r="CA1374" s="60" t="n">
        <f aca="false">IF(ISNUMBER(AE1374),1,0)</f>
        <v>0</v>
      </c>
      <c r="CB1374" s="57" t="n">
        <f aca="false">N(AE1374)</f>
        <v>0</v>
      </c>
      <c r="CC1374" s="57" t="n">
        <f aca="false">N(M1374)+N(N1374)</f>
        <v>20</v>
      </c>
      <c r="CD1374" s="57" t="n">
        <f aca="false">ROUNDUP(H1374/BS1374,0)</f>
        <v>2</v>
      </c>
      <c r="CE1374" s="57" t="n">
        <f aca="false">ROUNDUP(CB1374/BS1374,0)</f>
        <v>0</v>
      </c>
      <c r="CF1374" s="60" t="n">
        <f aca="false">IF(BT1374=1,0,IFERROR(VLOOKUP(BR1374,'Gebinde-Kategorie'!$A$5:$M$45,5,0)+0,0))</f>
        <v>20</v>
      </c>
      <c r="CG1374" s="60" t="n">
        <f aca="false">IFERROR(IF(OR(BX1374=1,BX1374=2,BX1374=3),N(INDEX(Parameter!$I$5:$I$7,BX1374)),0),0)</f>
        <v>0</v>
      </c>
      <c r="CH1374" s="59" t="n">
        <f aca="false">IF(AND(Parameter!$B$21="Ja",ISNUMBER(W1374),N(X1374)&gt;0),IFERROR(N(INDEX(Parameter!$L$5:$L$7,W1374))*INDEX(Parameter!$E$5:$E$7,W1374)*X1374/SUMIFS($X$7:$X$1843,$W$7:$W$1843,W1374),0),0)</f>
        <v>0</v>
      </c>
    </row>
    <row r="1375" customFormat="false" ht="15" hidden="false" customHeight="false" outlineLevel="0" collapsed="false">
      <c r="A1375" s="55" t="s">
        <v>2423</v>
      </c>
      <c r="B1375" s="55" t="s">
        <v>2424</v>
      </c>
      <c r="C1375" s="55" t="s">
        <v>164</v>
      </c>
      <c r="D1375" s="55" t="s">
        <v>165</v>
      </c>
      <c r="E1375" s="55"/>
      <c r="F1375" s="55" t="s">
        <v>218</v>
      </c>
      <c r="G1375" s="56" t="n">
        <v>1385.5</v>
      </c>
      <c r="H1375" s="57" t="n">
        <f aca="false">MAX(0,IF(AND(Parameter!$B$21="Ja",ISNUMBER(Y1375)),Y1375,IF(Parameter!$B$20="Jahresanfang 2025 + Export",BL1375+BK1375,BK1375)))</f>
        <v>1</v>
      </c>
      <c r="I1375" s="57" t="n">
        <f aca="false">H1375*G1375</f>
        <v>1385.5</v>
      </c>
      <c r="J1375" s="57" t="n">
        <f aca="false">BN1375*Parameter!$B$18</f>
        <v>1</v>
      </c>
      <c r="K1375" s="58" t="n">
        <v>2.5</v>
      </c>
      <c r="L1375" s="59" t="n">
        <v>0.4</v>
      </c>
      <c r="M1375" s="57" t="n">
        <v>0</v>
      </c>
      <c r="N1375" s="57" t="n">
        <v>1</v>
      </c>
      <c r="O1375" s="60" t="n">
        <v>14</v>
      </c>
      <c r="P1375" s="55" t="s">
        <v>168</v>
      </c>
      <c r="Q1375" s="57"/>
      <c r="R1375" s="60" t="n">
        <f aca="false">IF(BT1375=1,0,IFERROR(VLOOKUP(BR1375,'Gebinde-Kategorie'!$A$5:$M$45,13,0)+0,0))</f>
        <v>0</v>
      </c>
      <c r="S1375" s="61"/>
      <c r="T1375" s="62"/>
      <c r="U1375" s="62"/>
      <c r="V1375" s="62"/>
      <c r="W1375" s="55" t="n">
        <v>1</v>
      </c>
      <c r="X1375" s="57" t="n">
        <v>2</v>
      </c>
      <c r="Y1375" s="57" t="n">
        <v>1</v>
      </c>
      <c r="Z1375" s="55" t="n">
        <f aca="false">IF(A1375="","",IF(AND(Parameter!$B$21="Ja",ISNUMBER(W1375)),W1375,IF(BV1375="2+3",IF(ISNUMBER(SEARCH("grosser Artikel",BO1375)),2,IFERROR(VLOOKUP(BR1375,Parameter!$F$35:$G$64,2,0),2)),IF(OR(BV1375="Nein",BV1375=""),"-",BV1375))))</f>
        <v>1</v>
      </c>
      <c r="AA1375" s="62"/>
      <c r="AB1375" s="63"/>
      <c r="AC1375" s="57" t="n">
        <f aca="false">AR1375</f>
        <v>1</v>
      </c>
      <c r="AD1375" s="57" t="n">
        <f aca="false">MAX(AR1375,H1375)</f>
        <v>1</v>
      </c>
      <c r="AE1375" s="64"/>
      <c r="AF1375" s="57" t="n">
        <f aca="false">IF(LEFT(Cockpit!$C$5,1)="A",H1375,IF(CA1375=1,CB1375,IF(LEFT(Cockpit!$C$5,1)="B",AJ1375,MAX(AJ1375,H1375))))</f>
        <v>1</v>
      </c>
      <c r="AG1375" s="57" t="n">
        <f aca="false">IF(BT1375=1,0,ROUNDUP(AF1375/BS1375,0))</f>
        <v>0</v>
      </c>
      <c r="AH1375" s="59" t="n">
        <f aca="false">IF(CH1375&gt;0,CH1375*MAX(1,AF1375/X1375),IF(BT1375=1,IF(AF1375&lt;=0,0,BW1375*MAX(1,IF(H1375&gt;0,AF1375/H1375,1))),IF(R1375&gt;0,AG1375/R1375,0))/MAX(0.1,N(Parameter!$M$21)))</f>
        <v>0.160075329566855</v>
      </c>
      <c r="AI1375" s="57" t="n">
        <f aca="false">AF1375*G1375</f>
        <v>1385.5</v>
      </c>
      <c r="AJ1375" s="57" t="n">
        <f aca="false">ROUNDUP(MAX(J1375/IF(BZ1375&gt;0,BZ1375,MAX(0.1,N(Cockpit!$C$6))),CC1375)/BS1375,0)*BS1375</f>
        <v>1</v>
      </c>
      <c r="AK1375" s="58" t="n">
        <f aca="false">IF(AH1375&gt;0,J1375/AH1375,-1)</f>
        <v>6.24705882352941</v>
      </c>
      <c r="AL1375" s="58" t="n">
        <f aca="false">IF(AND(OR(BY1375="L1",BY1375="L23"),AH1375&gt;0),SUMIFS($AH$7:$AH$1843,$BY$7:$BY$1843,BY1375,$AK$7:$AK$1843,"&gt;"&amp;AK1375)+SUMIFS($AH$7:$AH$1843,$BY$7:$BY$1843,BY1375,$AK$7:$AK$1843,AK1375,$BQ$7:$BQ$1843,"&lt;="&amp;BQ1375),"")</f>
        <v>38.2574274575012</v>
      </c>
      <c r="AM1375" s="65" t="n">
        <f aca="false">IF(AL1375="",0,MAX(0,MIN(1,(IF(BY1375="L1",Parameter!$E$5,Parameter!$E$6+Parameter!$E$7)-(AL1375-AH1375))/AH1375)))</f>
        <v>1</v>
      </c>
      <c r="AN1375" s="57" t="n">
        <f aca="false">IF(LEFT(Cockpit!$I$5,1)="A",H1375,IF(CA1375=1,CB1375,IF(LEFT(Cockpit!$I$5,1)="B",AR1375,MAX(AR1375,H1375))))</f>
        <v>1</v>
      </c>
      <c r="AO1375" s="57" t="n">
        <f aca="false">IF(BT1375=1,0,ROUNDUP(AN1375/BS1375,0))</f>
        <v>0</v>
      </c>
      <c r="AP1375" s="59" t="n">
        <f aca="false">IF(CH1375&gt;0,CH1375*MAX(1,AN1375/X1375),IF(BT1375=1,IF(AN1375&lt;=0,0,BW1375*MAX(1,IF(H1375&gt;0,AN1375/H1375,1))),IF(R1375&gt;0,AO1375/R1375,0))/MAX(0.1,N(Parameter!$M$21)))</f>
        <v>0.160075329566855</v>
      </c>
      <c r="AQ1375" s="57" t="n">
        <f aca="false">AN1375*G1375</f>
        <v>1385.5</v>
      </c>
      <c r="AR1375" s="57" t="n">
        <f aca="false">ROUNDUP(MAX(J1375/IF(BZ1375&gt;0,BZ1375,MAX(0.1,N(Cockpit!$I$6))),CC1375)/BS1375,0)*BS1375</f>
        <v>1</v>
      </c>
      <c r="AS1375" s="58" t="n">
        <f aca="false">IF(AP1375&gt;0,J1375/AP1375,-1)</f>
        <v>6.24705882352941</v>
      </c>
      <c r="AT1375" s="58" t="n">
        <f aca="false">IF(AND(OR(BY1375="L1",BY1375="L23"),AP1375&gt;0),SUMIFS($AP$7:$AP$1843,$BY$7:$BY$1843,BY1375,$AS$7:$AS$1843,"&gt;"&amp;AS1375)+SUMIFS($AP$7:$AP$1843,$BY$7:$BY$1843,BY1375,$AS$7:$AS$1843,AS1375,$BQ$7:$BQ$1843,"&lt;="&amp;BQ1375),"")</f>
        <v>53.6102450730306</v>
      </c>
      <c r="AU1375" s="65" t="n">
        <f aca="false">IF(AT1375="",0,MAX(0,MIN(1,(IF(BY1375="L1",Parameter!$E$5,Parameter!$E$6+Parameter!$E$7)-(AT1375-AP1375))/AP1375)))</f>
        <v>0</v>
      </c>
      <c r="AV1375" s="57" t="n">
        <f aca="false">IF(LEFT(Cockpit!$O$5,1)="A",H1375,IF(CA1375=1,CB1375,IF(LEFT(Cockpit!$O$5,1)="B",AZ1375,MAX(AZ1375,H1375))))</f>
        <v>1</v>
      </c>
      <c r="AW1375" s="57" t="n">
        <f aca="false">IF(BT1375=1,0,ROUNDUP(AV1375/BS1375,0))</f>
        <v>0</v>
      </c>
      <c r="AX1375" s="59" t="n">
        <f aca="false">IF(CH1375&gt;0,CH1375*MAX(1,AV1375/X1375),IF(BT1375=1,IF(AV1375&lt;=0,0,BW1375*MAX(1,IF(H1375&gt;0,AV1375/H1375,1))),IF(R1375&gt;0,AW1375/R1375,0))/MAX(0.1,N(Parameter!$M$21)))</f>
        <v>0.160075329566855</v>
      </c>
      <c r="AY1375" s="57" t="n">
        <f aca="false">AV1375*G1375</f>
        <v>1385.5</v>
      </c>
      <c r="AZ1375" s="57" t="n">
        <f aca="false">ROUNDUP(MAX(J1375/IF(BZ1375&gt;0,BZ1375,MAX(0.1,N(Cockpit!$O$6))),CC1375)/BS1375,0)*BS1375</f>
        <v>1</v>
      </c>
      <c r="BA1375" s="58" t="n">
        <f aca="false">IF(AX1375&gt;0,J1375/AX1375,-1)</f>
        <v>6.24705882352941</v>
      </c>
      <c r="BB1375" s="58" t="n">
        <f aca="false">IF(AND(OR(BY1375="L1",BY1375="L23"),AX1375&gt;0),SUMIFS($AX$7:$AX$1843,$BY$7:$BY$1843,BY1375,$BA$7:$BA$1843,"&gt;"&amp;BA1375)+SUMIFS($AX$7:$AX$1843,$BY$7:$BY$1843,BY1375,$BA$7:$BA$1843,BA1375,$BQ$7:$BQ$1843,"&lt;="&amp;BQ1375),"")</f>
        <v>47.2770566042489</v>
      </c>
      <c r="BC1375" s="65" t="n">
        <f aca="false">IF(BB1375="",0,MAX(0,MIN(1,(IF(BY1375="L1",Parameter!$E$5,Parameter!$E$6+Parameter!$E$7)-(BB1375-AX1375))/AX1375)))</f>
        <v>1</v>
      </c>
      <c r="BD1375" s="55" t="str">
        <f aca="false">IF(AH1375&lt;=0,"",IF(BY1375="Aussen","Aussenlager",IF(BY1375="-","Nicht im Lift",IF(AM1375&gt;=1,"Lift",IF(AM1375&lt;=0,"Aussenlager","teilweise")))))</f>
        <v>Lift</v>
      </c>
      <c r="BE1375" s="55" t="str">
        <f aca="false">IF(AP1375&lt;=0,"",IF(BY1375="Aussen","Aussenlager",IF(BY1375="-","Nicht im Lift",IF(AU1375&gt;=1,"Lift",IF(AU1375&lt;=0,"Aussenlager","teilweise")))))</f>
        <v>Aussenlager</v>
      </c>
      <c r="BF1375" s="55" t="str">
        <f aca="false">IF(AX1375&lt;=0,"",IF(BY1375="Aussen","Aussenlager",IF(BY1375="-","Nicht im Lift",IF(BC1375&gt;=1,"Lift",IF(BC1375&lt;=0,"Aussenlager","teilweise")))))</f>
        <v>Lift</v>
      </c>
      <c r="BG1375" s="55" t="str">
        <f aca="false">IF(A1375="","",IF(BP1375=1,"Neu; ","")&amp;IF(AND(BP1375=0,BK1375&lt;0),"negativer Bestand (Export "&amp;BK1375&amp;"); ","")&amp;IF(J1375&lt;=0,"Kein Verbrauch; ","")&amp;IF(CH1375&gt;0,"Lift "&amp;W1375&amp;" lt. Liftbericht (Fach "&amp;X1375&amp;" Stk); ",IF(BU1375=1,"Gebinde geschätzt ("&amp;T1375&amp;"); ",IF(BT1375=1,"Lose – Tablare geschätzt; ","")))&amp;IF(H1375&gt;AR1375,"Überbestand "&amp;ROUND(H1375-AR1375,0)&amp;" Stk / CHF "&amp;ROUND((H1375-AR1375)*G1375,0)&amp;"; ","")&amp;IF(AND(CA1375=1,CB1375&lt;CC1375),"MAX &lt; MB+LG; ","")&amp;IF(AND(CG1375&gt;0,CF1375*10&gt;CG1375),"zu hoch für Tablar; ","")&amp;IF(AND(BP1375=0,OR(CA1375=1,AA1375&lt;&gt;"",U1375&lt;&gt;"",V1375&lt;&gt;"",AB1375&lt;&gt;"")),"manuell übersteuert; ","")&amp;IF(AND(BT1375=0,R1375=0),"Gebinde unbekannt / Stellmass fehlt; ","")&amp;IF(AND(BT1375=0,N(V1375)&lt;=0,N(Q1375)&lt;=0),"Menge pro Gebinde fehlt (Ist = 1 Gebinde); ","")&amp;BO1375)</f>
        <v>negativer Bestand (Export -2); Lift 1 lt. Liftbericht (Fach 2 Stk); </v>
      </c>
      <c r="BH1375" s="55"/>
      <c r="BI1375" s="55"/>
      <c r="BJ1375" s="62"/>
      <c r="BK1375" s="57" t="n">
        <v>-2</v>
      </c>
      <c r="BL1375" s="57" t="n">
        <v>3</v>
      </c>
      <c r="BM1375" s="56" t="n">
        <v>-2771</v>
      </c>
      <c r="BN1375" s="57" t="n">
        <v>1</v>
      </c>
      <c r="BO1375" s="55"/>
      <c r="BP1375" s="60" t="n">
        <v>0</v>
      </c>
      <c r="BQ1375" s="60" t="n">
        <v>1375</v>
      </c>
      <c r="BR1375" s="55" t="str">
        <f aca="false">IF(U1375&lt;&gt;"",UPPER(TRIM(U1375)),IF(BU1375=1,UPPER(VLOOKUP(T1375,Parameter!$I$27:$K$29,2,0)),IF(P1375="","LOSE",P1375)))</f>
        <v>LOSE</v>
      </c>
      <c r="BS1375" s="57" t="n">
        <f aca="false">IF(BR1375="LOSE",1,IF(N(V1375)&gt;0,V1375,IF(BU1375=1,MAX(1,N(VLOOKUP(T1375,Parameter!$I$27:$K$29,3,0)),H1375,N(N1375)),IF(N(Q1375)&gt;0,Q1375,MAX(1,H1375)))))</f>
        <v>1</v>
      </c>
      <c r="BT1375" s="60" t="n">
        <f aca="false">IF(BR1375="LOSE",1,0)</f>
        <v>1</v>
      </c>
      <c r="BU1375" s="60" t="n">
        <f aca="false">IF(AND(U1375="",OR(P1375="",P1375="LOSE"),T1375&lt;&gt;"",N(S1375)&lt;=0,ISNUMBER(MATCH(T1375,Parameter!$I$27:$I$29,0))),1,0)</f>
        <v>0</v>
      </c>
      <c r="BV1375" s="55" t="n">
        <f aca="false">IF(AND(Parameter!$B$19="Ja",E1375&lt;&gt;"",ISNUMBER(MATCH(E1375,Parameter!$I$35:$I$52,0))),VLOOKUP(E1375,Parameter!$I$35:$J$52,2,0),IFERROR(VLOOKUP(D1375,Parameter!$A$35:$C$64,2,0),"Nein"))</f>
        <v>1</v>
      </c>
      <c r="BW1375" s="59" t="n">
        <f aca="false">IF(BT1375=0,0,IF(N(S1375)&gt;0,S1375,IFERROR(VLOOKUP(D1375,Parameter!$A$35:$C$64,3,0)+0,0)))</f>
        <v>1</v>
      </c>
      <c r="BX1375" s="55" t="n">
        <f aca="false">IF(AA1375&lt;&gt;"",AA1375,Z1375)</f>
        <v>1</v>
      </c>
      <c r="BY1375" s="55" t="str">
        <f aca="false">IF(BX1375=1,"L1",IF(OR(BX1375=2,BX1375=3),"L23",IF(BX1375="Aussen","Aussen","-")))</f>
        <v>L1</v>
      </c>
      <c r="BZ1375" s="66" t="n">
        <f aca="false">IF(N(AB1375)&gt;0,AB1375,0)</f>
        <v>0</v>
      </c>
      <c r="CA1375" s="60" t="n">
        <f aca="false">IF(ISNUMBER(AE1375),1,0)</f>
        <v>0</v>
      </c>
      <c r="CB1375" s="57" t="n">
        <f aca="false">N(AE1375)</f>
        <v>0</v>
      </c>
      <c r="CC1375" s="57" t="n">
        <f aca="false">N(M1375)+N(N1375)</f>
        <v>1</v>
      </c>
      <c r="CD1375" s="57" t="n">
        <f aca="false">ROUNDUP(H1375/BS1375,0)</f>
        <v>1</v>
      </c>
      <c r="CE1375" s="57" t="n">
        <f aca="false">ROUNDUP(CB1375/BS1375,0)</f>
        <v>0</v>
      </c>
      <c r="CF1375" s="60" t="n">
        <f aca="false">IF(BT1375=1,0,IFERROR(VLOOKUP(BR1375,'Gebinde-Kategorie'!$A$5:$M$45,5,0)+0,0))</f>
        <v>0</v>
      </c>
      <c r="CG1375" s="60" t="n">
        <f aca="false">IFERROR(IF(OR(BX1375=1,BX1375=2,BX1375=3),N(INDEX(Parameter!$I$5:$I$7,BX1375)),0),0)</f>
        <v>0</v>
      </c>
      <c r="CH1375" s="59" t="n">
        <f aca="false">IF(AND(Parameter!$B$21="Ja",ISNUMBER(W1375),N(X1375)&gt;0),IFERROR(N(INDEX(Parameter!$L$5:$L$7,W1375))*INDEX(Parameter!$E$5:$E$7,W1375)*X1375/SUMIFS($X$7:$X$1843,$W$7:$W$1843,W1375),0),0)</f>
        <v>0.160075329566855</v>
      </c>
    </row>
    <row r="1376" customFormat="false" ht="15" hidden="false" customHeight="false" outlineLevel="0" collapsed="false">
      <c r="A1376" s="55" t="s">
        <v>2425</v>
      </c>
      <c r="B1376" s="55" t="s">
        <v>2426</v>
      </c>
      <c r="C1376" s="55" t="s">
        <v>164</v>
      </c>
      <c r="D1376" s="55" t="s">
        <v>173</v>
      </c>
      <c r="E1376" s="55" t="s">
        <v>166</v>
      </c>
      <c r="F1376" s="55" t="s">
        <v>218</v>
      </c>
      <c r="G1376" s="56" t="n">
        <v>91.4</v>
      </c>
      <c r="H1376" s="57" t="n">
        <f aca="false">MAX(0,IF(AND(Parameter!$B$21="Ja",ISNUMBER(Y1376)),Y1376,IF(Parameter!$B$20="Jahresanfang 2025 + Export",BL1376+BK1376,BK1376)))</f>
        <v>21</v>
      </c>
      <c r="I1376" s="57" t="n">
        <f aca="false">H1376*G1376</f>
        <v>1919.4</v>
      </c>
      <c r="J1376" s="57" t="n">
        <f aca="false">BN1376*Parameter!$B$18</f>
        <v>145</v>
      </c>
      <c r="K1376" s="58" t="n">
        <v>42</v>
      </c>
      <c r="L1376" s="59" t="n">
        <v>3.45238095238095</v>
      </c>
      <c r="M1376" s="57" t="n">
        <v>8</v>
      </c>
      <c r="N1376" s="57" t="n">
        <v>50</v>
      </c>
      <c r="O1376" s="60" t="n">
        <v>21</v>
      </c>
      <c r="P1376" s="55" t="s">
        <v>174</v>
      </c>
      <c r="Q1376" s="57" t="n">
        <v>80</v>
      </c>
      <c r="R1376" s="60" t="n">
        <f aca="false">IF(BT1376=1,0,IFERROR(VLOOKUP(BR1376,'Gebinde-Kategorie'!$A$5:$M$45,13,0)+0,0))</f>
        <v>6</v>
      </c>
      <c r="S1376" s="61"/>
      <c r="T1376" s="62"/>
      <c r="U1376" s="62"/>
      <c r="V1376" s="62"/>
      <c r="W1376" s="55"/>
      <c r="X1376" s="57"/>
      <c r="Y1376" s="57"/>
      <c r="Z1376" s="55" t="n">
        <f aca="false">IF(A1376="","",IF(AND(Parameter!$B$21="Ja",ISNUMBER(W1376)),W1376,IF(BV1376="2+3",IF(ISNUMBER(SEARCH("grosser Artikel",BO1376)),2,IFERROR(VLOOKUP(BR1376,Parameter!$F$35:$G$64,2,0),2)),IF(OR(BV1376="Nein",BV1376=""),"-",BV1376))))</f>
        <v>1</v>
      </c>
      <c r="AA1376" s="62"/>
      <c r="AB1376" s="63"/>
      <c r="AC1376" s="57" t="n">
        <f aca="false">AR1376</f>
        <v>80</v>
      </c>
      <c r="AD1376" s="57" t="n">
        <f aca="false">MAX(AR1376,H1376)</f>
        <v>80</v>
      </c>
      <c r="AE1376" s="64"/>
      <c r="AF1376" s="57" t="n">
        <f aca="false">IF(LEFT(Cockpit!$C$5,1)="A",H1376,IF(CA1376=1,CB1376,IF(LEFT(Cockpit!$C$5,1)="B",AJ1376,MAX(AJ1376,H1376))))</f>
        <v>21</v>
      </c>
      <c r="AG1376" s="57" t="n">
        <f aca="false">IF(BT1376=1,0,ROUNDUP(AF1376/BS1376,0))</f>
        <v>1</v>
      </c>
      <c r="AH1376" s="59" t="n">
        <f aca="false">IF(CH1376&gt;0,CH1376*MAX(1,AF1376/X1376),IF(BT1376=1,IF(AF1376&lt;=0,0,BW1376*MAX(1,IF(H1376&gt;0,AF1376/H1376,1))),IF(R1376&gt;0,AG1376/R1376,0))/MAX(0.1,N(Parameter!$M$21)))</f>
        <v>0.166666666666667</v>
      </c>
      <c r="AI1376" s="57" t="n">
        <f aca="false">AF1376*G1376</f>
        <v>1919.4</v>
      </c>
      <c r="AJ1376" s="57" t="n">
        <f aca="false">ROUNDUP(MAX(J1376/IF(BZ1376&gt;0,BZ1376,MAX(0.1,N(Cockpit!$C$6))),CC1376)/BS1376,0)*BS1376</f>
        <v>80</v>
      </c>
      <c r="AK1376" s="58" t="n">
        <f aca="false">IF(AH1376&gt;0,J1376/AH1376,-1)</f>
        <v>870</v>
      </c>
      <c r="AL1376" s="58" t="n">
        <f aca="false">IF(AND(OR(BY1376="L1",BY1376="L23"),AH1376&gt;0),SUMIFS($AH$7:$AH$1843,$BY$7:$BY$1843,BY1376,$AK$7:$AK$1843,"&gt;"&amp;AK1376)+SUMIFS($AH$7:$AH$1843,$BY$7:$BY$1843,BY1376,$AK$7:$AK$1843,AK1376,$BQ$7:$BQ$1843,"&lt;="&amp;BQ1376),"")</f>
        <v>0.667502787068004</v>
      </c>
      <c r="AM1376" s="65" t="n">
        <f aca="false">IF(AL1376="",0,MAX(0,MIN(1,(IF(BY1376="L1",Parameter!$E$5,Parameter!$E$6+Parameter!$E$7)-(AL1376-AH1376))/AH1376)))</f>
        <v>1</v>
      </c>
      <c r="AN1376" s="57" t="n">
        <f aca="false">IF(LEFT(Cockpit!$I$5,1)="A",H1376,IF(CA1376=1,CB1376,IF(LEFT(Cockpit!$I$5,1)="B",AR1376,MAX(AR1376,H1376))))</f>
        <v>80</v>
      </c>
      <c r="AO1376" s="57" t="n">
        <f aca="false">IF(BT1376=1,0,ROUNDUP(AN1376/BS1376,0))</f>
        <v>1</v>
      </c>
      <c r="AP1376" s="59" t="n">
        <f aca="false">IF(CH1376&gt;0,CH1376*MAX(1,AN1376/X1376),IF(BT1376=1,IF(AN1376&lt;=0,0,BW1376*MAX(1,IF(H1376&gt;0,AN1376/H1376,1))),IF(R1376&gt;0,AO1376/R1376,0))/MAX(0.1,N(Parameter!$M$21)))</f>
        <v>0.166666666666667</v>
      </c>
      <c r="AQ1376" s="57" t="n">
        <f aca="false">AN1376*G1376</f>
        <v>7312</v>
      </c>
      <c r="AR1376" s="57" t="n">
        <f aca="false">ROUNDUP(MAX(J1376/IF(BZ1376&gt;0,BZ1376,MAX(0.1,N(Cockpit!$I$6))),CC1376)/BS1376,0)*BS1376</f>
        <v>80</v>
      </c>
      <c r="AS1376" s="58" t="n">
        <f aca="false">IF(AP1376&gt;0,J1376/AP1376,-1)</f>
        <v>870</v>
      </c>
      <c r="AT1376" s="58" t="n">
        <f aca="false">IF(AND(OR(BY1376="L1",BY1376="L23"),AP1376&gt;0),SUMIFS($AP$7:$AP$1843,$BY$7:$BY$1843,BY1376,$AS$7:$AS$1843,"&gt;"&amp;AS1376)+SUMIFS($AP$7:$AP$1843,$BY$7:$BY$1843,BY1376,$AS$7:$AS$1843,AS1376,$BQ$7:$BQ$1843,"&lt;="&amp;BQ1376),"")</f>
        <v>0.289297658862876</v>
      </c>
      <c r="AU1376" s="65" t="n">
        <f aca="false">IF(AT1376="",0,MAX(0,MIN(1,(IF(BY1376="L1",Parameter!$E$5,Parameter!$E$6+Parameter!$E$7)-(AT1376-AP1376))/AP1376)))</f>
        <v>1</v>
      </c>
      <c r="AV1376" s="57" t="n">
        <f aca="false">IF(LEFT(Cockpit!$O$5,1)="A",H1376,IF(CA1376=1,CB1376,IF(LEFT(Cockpit!$O$5,1)="B",AZ1376,MAX(AZ1376,H1376))))</f>
        <v>80</v>
      </c>
      <c r="AW1376" s="57" t="n">
        <f aca="false">IF(BT1376=1,0,ROUNDUP(AV1376/BS1376,0))</f>
        <v>1</v>
      </c>
      <c r="AX1376" s="59" t="n">
        <f aca="false">IF(CH1376&gt;0,CH1376*MAX(1,AV1376/X1376),IF(BT1376=1,IF(AV1376&lt;=0,0,BW1376*MAX(1,IF(H1376&gt;0,AV1376/H1376,1))),IF(R1376&gt;0,AW1376/R1376,0))/MAX(0.1,N(Parameter!$M$21)))</f>
        <v>0.166666666666667</v>
      </c>
      <c r="AY1376" s="57" t="n">
        <f aca="false">AV1376*G1376</f>
        <v>7312</v>
      </c>
      <c r="AZ1376" s="57" t="n">
        <f aca="false">ROUNDUP(MAX(J1376/IF(BZ1376&gt;0,BZ1376,MAX(0.1,N(Cockpit!$O$6))),CC1376)/BS1376,0)*BS1376</f>
        <v>80</v>
      </c>
      <c r="BA1376" s="58" t="n">
        <f aca="false">IF(AX1376&gt;0,J1376/AX1376,-1)</f>
        <v>870</v>
      </c>
      <c r="BB1376" s="58" t="n">
        <f aca="false">IF(AND(OR(BY1376="L1",BY1376="L23"),AX1376&gt;0),SUMIFS($AX$7:$AX$1843,$BY$7:$BY$1843,BY1376,$BA$7:$BA$1843,"&gt;"&amp;BA1376)+SUMIFS($AX$7:$AX$1843,$BY$7:$BY$1843,BY1376,$BA$7:$BA$1843,BA1376,$BQ$7:$BQ$1843,"&lt;="&amp;BQ1376),"")</f>
        <v>0.250836120401338</v>
      </c>
      <c r="BC1376" s="65" t="n">
        <f aca="false">IF(BB1376="",0,MAX(0,MIN(1,(IF(BY1376="L1",Parameter!$E$5,Parameter!$E$6+Parameter!$E$7)-(BB1376-AX1376))/AX1376)))</f>
        <v>1</v>
      </c>
      <c r="BD1376" s="55" t="str">
        <f aca="false">IF(AH1376&lt;=0,"",IF(BY1376="Aussen","Aussenlager",IF(BY1376="-","Nicht im Lift",IF(AM1376&gt;=1,"Lift",IF(AM1376&lt;=0,"Aussenlager","teilweise")))))</f>
        <v>Lift</v>
      </c>
      <c r="BE1376" s="55" t="str">
        <f aca="false">IF(AP1376&lt;=0,"",IF(BY1376="Aussen","Aussenlager",IF(BY1376="-","Nicht im Lift",IF(AU1376&gt;=1,"Lift",IF(AU1376&lt;=0,"Aussenlager","teilweise")))))</f>
        <v>Lift</v>
      </c>
      <c r="BF1376" s="55" t="str">
        <f aca="false">IF(AX1376&lt;=0,"",IF(BY1376="Aussen","Aussenlager",IF(BY1376="-","Nicht im Lift",IF(BC1376&gt;=1,"Lift",IF(BC1376&lt;=0,"Aussenlager","teilweise")))))</f>
        <v>Lift</v>
      </c>
      <c r="BG1376" s="55" t="str">
        <f aca="false">IF(A1376="","",IF(BP1376=1,"Neu; ","")&amp;IF(AND(BP1376=0,BK1376&lt;0),"negativer Bestand (Export "&amp;BK1376&amp;"); ","")&amp;IF(J1376&lt;=0,"Kein Verbrauch; ","")&amp;IF(CH1376&gt;0,"Lift "&amp;W1376&amp;" lt. Liftbericht (Fach "&amp;X1376&amp;" Stk); ",IF(BU1376=1,"Gebinde geschätzt ("&amp;T1376&amp;"); ",IF(BT1376=1,"Lose – Tablare geschätzt; ","")))&amp;IF(H1376&gt;AR1376,"Überbestand "&amp;ROUND(H1376-AR1376,0)&amp;" Stk / CHF "&amp;ROUND((H1376-AR1376)*G1376,0)&amp;"; ","")&amp;IF(AND(CA1376=1,CB1376&lt;CC1376),"MAX &lt; MB+LG; ","")&amp;IF(AND(CG1376&gt;0,CF1376*10&gt;CG1376),"zu hoch für Tablar; ","")&amp;IF(AND(BP1376=0,OR(CA1376=1,AA1376&lt;&gt;"",U1376&lt;&gt;"",V1376&lt;&gt;"",AB1376&lt;&gt;"")),"manuell übersteuert; ","")&amp;IF(AND(BT1376=0,R1376=0),"Gebinde unbekannt / Stellmass fehlt; ","")&amp;IF(AND(BT1376=0,N(V1376)&lt;=0,N(Q1376)&lt;=0),"Menge pro Gebinde fehlt (Ist = 1 Gebinde); ","")&amp;BO1376)</f>
        <v>negativer Bestand (Export -19); </v>
      </c>
      <c r="BH1376" s="55"/>
      <c r="BI1376" s="55"/>
      <c r="BJ1376" s="62"/>
      <c r="BK1376" s="57" t="n">
        <v>-19</v>
      </c>
      <c r="BL1376" s="57" t="n">
        <v>40</v>
      </c>
      <c r="BM1376" s="56" t="n">
        <v>-2789.00000000001</v>
      </c>
      <c r="BN1376" s="57" t="n">
        <v>145</v>
      </c>
      <c r="BO1376" s="55"/>
      <c r="BP1376" s="60" t="n">
        <v>0</v>
      </c>
      <c r="BQ1376" s="60" t="n">
        <v>1376</v>
      </c>
      <c r="BR1376" s="55" t="str">
        <f aca="false">IF(U1376&lt;&gt;"",UPPER(TRIM(U1376)),IF(BU1376=1,UPPER(VLOOKUP(T1376,Parameter!$I$27:$K$29,2,0)),IF(P1376="","LOSE",P1376)))</f>
        <v>S71</v>
      </c>
      <c r="BS1376" s="57" t="n">
        <f aca="false">IF(BR1376="LOSE",1,IF(N(V1376)&gt;0,V1376,IF(BU1376=1,MAX(1,N(VLOOKUP(T1376,Parameter!$I$27:$K$29,3,0)),H1376,N(N1376)),IF(N(Q1376)&gt;0,Q1376,MAX(1,H1376)))))</f>
        <v>80</v>
      </c>
      <c r="BT1376" s="60" t="n">
        <f aca="false">IF(BR1376="LOSE",1,0)</f>
        <v>0</v>
      </c>
      <c r="BU1376" s="60" t="n">
        <f aca="false">IF(AND(U1376="",OR(P1376="",P1376="LOSE"),T1376&lt;&gt;"",N(S1376)&lt;=0,ISNUMBER(MATCH(T1376,Parameter!$I$27:$I$29,0))),1,0)</f>
        <v>0</v>
      </c>
      <c r="BV1376" s="55" t="n">
        <f aca="false">IF(AND(Parameter!$B$19="Ja",E1376&lt;&gt;"",ISNUMBER(MATCH(E1376,Parameter!$I$35:$I$52,0))),VLOOKUP(E1376,Parameter!$I$35:$J$52,2,0),IFERROR(VLOOKUP(D1376,Parameter!$A$35:$C$64,2,0),"Nein"))</f>
        <v>1</v>
      </c>
      <c r="BW1376" s="59" t="n">
        <f aca="false">IF(BT1376=0,0,IF(N(S1376)&gt;0,S1376,IFERROR(VLOOKUP(D1376,Parameter!$A$35:$C$64,3,0)+0,0)))</f>
        <v>0</v>
      </c>
      <c r="BX1376" s="55" t="n">
        <f aca="false">IF(AA1376&lt;&gt;"",AA1376,Z1376)</f>
        <v>1</v>
      </c>
      <c r="BY1376" s="55" t="str">
        <f aca="false">IF(BX1376=1,"L1",IF(OR(BX1376=2,BX1376=3),"L23",IF(BX1376="Aussen","Aussen","-")))</f>
        <v>L1</v>
      </c>
      <c r="BZ1376" s="66" t="n">
        <f aca="false">IF(N(AB1376)&gt;0,AB1376,0)</f>
        <v>0</v>
      </c>
      <c r="CA1376" s="60" t="n">
        <f aca="false">IF(ISNUMBER(AE1376),1,0)</f>
        <v>0</v>
      </c>
      <c r="CB1376" s="57" t="n">
        <f aca="false">N(AE1376)</f>
        <v>0</v>
      </c>
      <c r="CC1376" s="57" t="n">
        <f aca="false">N(M1376)+N(N1376)</f>
        <v>58</v>
      </c>
      <c r="CD1376" s="57" t="n">
        <f aca="false">ROUNDUP(H1376/BS1376,0)</f>
        <v>1</v>
      </c>
      <c r="CE1376" s="57" t="n">
        <f aca="false">ROUNDUP(CB1376/BS1376,0)</f>
        <v>0</v>
      </c>
      <c r="CF1376" s="60" t="n">
        <f aca="false">IF(BT1376=1,0,IFERROR(VLOOKUP(BR1376,'Gebinde-Kategorie'!$A$5:$M$45,5,0)+0,0))</f>
        <v>20</v>
      </c>
      <c r="CG1376" s="60" t="n">
        <f aca="false">IFERROR(IF(OR(BX1376=1,BX1376=2,BX1376=3),N(INDEX(Parameter!$I$5:$I$7,BX1376)),0),0)</f>
        <v>0</v>
      </c>
      <c r="CH1376" s="59" t="n">
        <f aca="false">IF(AND(Parameter!$B$21="Ja",ISNUMBER(W1376),N(X1376)&gt;0),IFERROR(N(INDEX(Parameter!$L$5:$L$7,W1376))*INDEX(Parameter!$E$5:$E$7,W1376)*X1376/SUMIFS($X$7:$X$1843,$W$7:$W$1843,W1376),0),0)</f>
        <v>0</v>
      </c>
    </row>
    <row r="1377" customFormat="false" ht="15" hidden="false" customHeight="false" outlineLevel="0" collapsed="false">
      <c r="A1377" s="55" t="s">
        <v>2427</v>
      </c>
      <c r="B1377" s="55" t="s">
        <v>2358</v>
      </c>
      <c r="C1377" s="55" t="s">
        <v>164</v>
      </c>
      <c r="D1377" s="55" t="s">
        <v>353</v>
      </c>
      <c r="E1377" s="55"/>
      <c r="F1377" s="55" t="s">
        <v>218</v>
      </c>
      <c r="G1377" s="56" t="n">
        <v>1410.11</v>
      </c>
      <c r="H1377" s="57" t="n">
        <f aca="false">MAX(0,IF(AND(Parameter!$B$21="Ja",ISNUMBER(Y1377)),Y1377,IF(Parameter!$B$20="Jahresanfang 2025 + Export",BL1377+BK1377,BK1377)))</f>
        <v>0</v>
      </c>
      <c r="I1377" s="57" t="n">
        <f aca="false">H1377*G1377</f>
        <v>0</v>
      </c>
      <c r="J1377" s="57" t="n">
        <f aca="false">BN1377*Parameter!$B$18</f>
        <v>0</v>
      </c>
      <c r="K1377" s="58" t="n">
        <v>1</v>
      </c>
      <c r="L1377" s="59" t="n">
        <v>0</v>
      </c>
      <c r="M1377" s="57" t="n">
        <v>0</v>
      </c>
      <c r="N1377" s="57" t="n">
        <v>1</v>
      </c>
      <c r="O1377" s="60" t="n">
        <v>0</v>
      </c>
      <c r="P1377" s="55" t="s">
        <v>168</v>
      </c>
      <c r="Q1377" s="57"/>
      <c r="R1377" s="60" t="n">
        <f aca="false">IF(BT1377=1,0,IFERROR(VLOOKUP(BR1377,'Gebinde-Kategorie'!$A$5:$M$45,13,0)+0,0))</f>
        <v>0</v>
      </c>
      <c r="S1377" s="61"/>
      <c r="T1377" s="62"/>
      <c r="U1377" s="62"/>
      <c r="V1377" s="62"/>
      <c r="W1377" s="55"/>
      <c r="X1377" s="57"/>
      <c r="Y1377" s="57"/>
      <c r="Z1377" s="55" t="str">
        <f aca="false">IF(A1377="","",IF(AND(Parameter!$B$21="Ja",ISNUMBER(W1377)),W1377,IF(BV1377="2+3",IF(ISNUMBER(SEARCH("grosser Artikel",BO1377)),2,IFERROR(VLOOKUP(BR1377,Parameter!$F$35:$G$64,2,0),2)),IF(OR(BV1377="Nein",BV1377=""),"-",BV1377))))</f>
        <v>-</v>
      </c>
      <c r="AA1377" s="62"/>
      <c r="AB1377" s="63"/>
      <c r="AC1377" s="57" t="n">
        <f aca="false">AR1377</f>
        <v>1</v>
      </c>
      <c r="AD1377" s="57" t="n">
        <f aca="false">MAX(AR1377,H1377)</f>
        <v>1</v>
      </c>
      <c r="AE1377" s="64"/>
      <c r="AF1377" s="57" t="n">
        <f aca="false">IF(LEFT(Cockpit!$C$5,1)="A",H1377,IF(CA1377=1,CB1377,IF(LEFT(Cockpit!$C$5,1)="B",AJ1377,MAX(AJ1377,H1377))))</f>
        <v>0</v>
      </c>
      <c r="AG1377" s="57" t="n">
        <f aca="false">IF(BT1377=1,0,ROUNDUP(AF1377/BS1377,0))</f>
        <v>0</v>
      </c>
      <c r="AH1377" s="59" t="n">
        <f aca="false">IF(CH1377&gt;0,CH1377*MAX(1,AF1377/X1377),IF(BT1377=1,IF(AF1377&lt;=0,0,BW1377*MAX(1,IF(H1377&gt;0,AF1377/H1377,1))),IF(R1377&gt;0,AG1377/R1377,0))/MAX(0.1,N(Parameter!$M$21)))</f>
        <v>0</v>
      </c>
      <c r="AI1377" s="57" t="n">
        <f aca="false">AF1377*G1377</f>
        <v>0</v>
      </c>
      <c r="AJ1377" s="57" t="n">
        <f aca="false">ROUNDUP(MAX(J1377/IF(BZ1377&gt;0,BZ1377,MAX(0.1,N(Cockpit!$C$6))),CC1377)/BS1377,0)*BS1377</f>
        <v>1</v>
      </c>
      <c r="AK1377" s="58" t="n">
        <f aca="false">IF(AH1377&gt;0,J1377/AH1377,-1)</f>
        <v>-1</v>
      </c>
      <c r="AL1377" s="58" t="str">
        <f aca="false">IF(AND(OR(BY1377="L1",BY1377="L23"),AH1377&gt;0),SUMIFS($AH$7:$AH$1843,$BY$7:$BY$1843,BY1377,$AK$7:$AK$1843,"&gt;"&amp;AK1377)+SUMIFS($AH$7:$AH$1843,$BY$7:$BY$1843,BY1377,$AK$7:$AK$1843,AK1377,$BQ$7:$BQ$1843,"&lt;="&amp;BQ1377),"")</f>
        <v/>
      </c>
      <c r="AM1377" s="65" t="n">
        <f aca="false">IF(AL1377="",0,MAX(0,MIN(1,(IF(BY1377="L1",Parameter!$E$5,Parameter!$E$6+Parameter!$E$7)-(AL1377-AH1377))/AH1377)))</f>
        <v>0</v>
      </c>
      <c r="AN1377" s="57" t="n">
        <f aca="false">IF(LEFT(Cockpit!$I$5,1)="A",H1377,IF(CA1377=1,CB1377,IF(LEFT(Cockpit!$I$5,1)="B",AR1377,MAX(AR1377,H1377))))</f>
        <v>1</v>
      </c>
      <c r="AO1377" s="57" t="n">
        <f aca="false">IF(BT1377=1,0,ROUNDUP(AN1377/BS1377,0))</f>
        <v>0</v>
      </c>
      <c r="AP1377" s="59" t="n">
        <f aca="false">IF(CH1377&gt;0,CH1377*MAX(1,AN1377/X1377),IF(BT1377=1,IF(AN1377&lt;=0,0,BW1377*MAX(1,IF(H1377&gt;0,AN1377/H1377,1))),IF(R1377&gt;0,AO1377/R1377,0))/MAX(0.1,N(Parameter!$M$21)))</f>
        <v>0.15</v>
      </c>
      <c r="AQ1377" s="57" t="n">
        <f aca="false">AN1377*G1377</f>
        <v>1410.11</v>
      </c>
      <c r="AR1377" s="57" t="n">
        <f aca="false">ROUNDUP(MAX(J1377/IF(BZ1377&gt;0,BZ1377,MAX(0.1,N(Cockpit!$I$6))),CC1377)/BS1377,0)*BS1377</f>
        <v>1</v>
      </c>
      <c r="AS1377" s="58" t="n">
        <f aca="false">IF(AP1377&gt;0,J1377/AP1377,-1)</f>
        <v>0</v>
      </c>
      <c r="AT1377" s="58" t="str">
        <f aca="false">IF(AND(OR(BY1377="L1",BY1377="L23"),AP1377&gt;0),SUMIFS($AP$7:$AP$1843,$BY$7:$BY$1843,BY1377,$AS$7:$AS$1843,"&gt;"&amp;AS1377)+SUMIFS($AP$7:$AP$1843,$BY$7:$BY$1843,BY1377,$AS$7:$AS$1843,AS1377,$BQ$7:$BQ$1843,"&lt;="&amp;BQ1377),"")</f>
        <v/>
      </c>
      <c r="AU1377" s="65" t="n">
        <f aca="false">IF(AT1377="",0,MAX(0,MIN(1,(IF(BY1377="L1",Parameter!$E$5,Parameter!$E$6+Parameter!$E$7)-(AT1377-AP1377))/AP1377)))</f>
        <v>0</v>
      </c>
      <c r="AV1377" s="57" t="n">
        <f aca="false">IF(LEFT(Cockpit!$O$5,1)="A",H1377,IF(CA1377=1,CB1377,IF(LEFT(Cockpit!$O$5,1)="B",AZ1377,MAX(AZ1377,H1377))))</f>
        <v>1</v>
      </c>
      <c r="AW1377" s="57" t="n">
        <f aca="false">IF(BT1377=1,0,ROUNDUP(AV1377/BS1377,0))</f>
        <v>0</v>
      </c>
      <c r="AX1377" s="59" t="n">
        <f aca="false">IF(CH1377&gt;0,CH1377*MAX(1,AV1377/X1377),IF(BT1377=1,IF(AV1377&lt;=0,0,BW1377*MAX(1,IF(H1377&gt;0,AV1377/H1377,1))),IF(R1377&gt;0,AW1377/R1377,0))/MAX(0.1,N(Parameter!$M$21)))</f>
        <v>0.15</v>
      </c>
      <c r="AY1377" s="57" t="n">
        <f aca="false">AV1377*G1377</f>
        <v>1410.11</v>
      </c>
      <c r="AZ1377" s="57" t="n">
        <f aca="false">ROUNDUP(MAX(J1377/IF(BZ1377&gt;0,BZ1377,MAX(0.1,N(Cockpit!$O$6))),CC1377)/BS1377,0)*BS1377</f>
        <v>1</v>
      </c>
      <c r="BA1377" s="58" t="n">
        <f aca="false">IF(AX1377&gt;0,J1377/AX1377,-1)</f>
        <v>0</v>
      </c>
      <c r="BB1377" s="58" t="str">
        <f aca="false">IF(AND(OR(BY1377="L1",BY1377="L23"),AX1377&gt;0),SUMIFS($AX$7:$AX$1843,$BY$7:$BY$1843,BY1377,$BA$7:$BA$1843,"&gt;"&amp;BA1377)+SUMIFS($AX$7:$AX$1843,$BY$7:$BY$1843,BY1377,$BA$7:$BA$1843,BA1377,$BQ$7:$BQ$1843,"&lt;="&amp;BQ1377),"")</f>
        <v/>
      </c>
      <c r="BC1377" s="65" t="n">
        <f aca="false">IF(BB1377="",0,MAX(0,MIN(1,(IF(BY1377="L1",Parameter!$E$5,Parameter!$E$6+Parameter!$E$7)-(BB1377-AX1377))/AX1377)))</f>
        <v>0</v>
      </c>
      <c r="BD1377" s="55" t="str">
        <f aca="false">IF(AH1377&lt;=0,"",IF(BY1377="Aussen","Aussenlager",IF(BY1377="-","Nicht im Lift",IF(AM1377&gt;=1,"Lift",IF(AM1377&lt;=0,"Aussenlager","teilweise")))))</f>
        <v/>
      </c>
      <c r="BE1377" s="55" t="str">
        <f aca="false">IF(AP1377&lt;=0,"",IF(BY1377="Aussen","Aussenlager",IF(BY1377="-","Nicht im Lift",IF(AU1377&gt;=1,"Lift",IF(AU1377&lt;=0,"Aussenlager","teilweise")))))</f>
        <v>Nicht im Lift</v>
      </c>
      <c r="BF1377" s="55" t="str">
        <f aca="false">IF(AX1377&lt;=0,"",IF(BY1377="Aussen","Aussenlager",IF(BY1377="-","Nicht im Lift",IF(BC1377&gt;=1,"Lift",IF(BC1377&lt;=0,"Aussenlager","teilweise")))))</f>
        <v>Nicht im Lift</v>
      </c>
      <c r="BG1377" s="55" t="str">
        <f aca="false">IF(A1377="","",IF(BP1377=1,"Neu; ","")&amp;IF(AND(BP1377=0,BK1377&lt;0),"negativer Bestand (Export "&amp;BK1377&amp;"); ","")&amp;IF(J1377&lt;=0,"Kein Verbrauch; ","")&amp;IF(CH1377&gt;0,"Lift "&amp;W1377&amp;" lt. Liftbericht (Fach "&amp;X1377&amp;" Stk); ",IF(BU1377=1,"Gebinde geschätzt ("&amp;T1377&amp;"); ",IF(BT1377=1,"Lose – Tablare geschätzt; ","")))&amp;IF(H1377&gt;AR1377,"Überbestand "&amp;ROUND(H1377-AR1377,0)&amp;" Stk / CHF "&amp;ROUND((H1377-AR1377)*G1377,0)&amp;"; ","")&amp;IF(AND(CA1377=1,CB1377&lt;CC1377),"MAX &lt; MB+LG; ","")&amp;IF(AND(CG1377&gt;0,CF1377*10&gt;CG1377),"zu hoch für Tablar; ","")&amp;IF(AND(BP1377=0,OR(CA1377=1,AA1377&lt;&gt;"",U1377&lt;&gt;"",V1377&lt;&gt;"",AB1377&lt;&gt;"")),"manuell übersteuert; ","")&amp;IF(AND(BT1377=0,R1377=0),"Gebinde unbekannt / Stellmass fehlt; ","")&amp;IF(AND(BT1377=0,N(V1377)&lt;=0,N(Q1377)&lt;=0),"Menge pro Gebinde fehlt (Ist = 1 Gebinde); ","")&amp;BO1377)</f>
        <v>negativer Bestand (Export -2); Kein Verbrauch; Lose – Tablare geschätzt; </v>
      </c>
      <c r="BH1377" s="55"/>
      <c r="BI1377" s="55"/>
      <c r="BJ1377" s="62"/>
      <c r="BK1377" s="57" t="n">
        <v>-2</v>
      </c>
      <c r="BL1377" s="57" t="n">
        <v>2</v>
      </c>
      <c r="BM1377" s="56" t="n">
        <v>-2820.22</v>
      </c>
      <c r="BN1377" s="57" t="n">
        <v>0</v>
      </c>
      <c r="BO1377" s="55"/>
      <c r="BP1377" s="60" t="n">
        <v>0</v>
      </c>
      <c r="BQ1377" s="60" t="n">
        <v>1377</v>
      </c>
      <c r="BR1377" s="55" t="str">
        <f aca="false">IF(U1377&lt;&gt;"",UPPER(TRIM(U1377)),IF(BU1377=1,UPPER(VLOOKUP(T1377,Parameter!$I$27:$K$29,2,0)),IF(P1377="","LOSE",P1377)))</f>
        <v>LOSE</v>
      </c>
      <c r="BS1377" s="57" t="n">
        <f aca="false">IF(BR1377="LOSE",1,IF(N(V1377)&gt;0,V1377,IF(BU1377=1,MAX(1,N(VLOOKUP(T1377,Parameter!$I$27:$K$29,3,0)),H1377,N(N1377)),IF(N(Q1377)&gt;0,Q1377,MAX(1,H1377)))))</f>
        <v>1</v>
      </c>
      <c r="BT1377" s="60" t="n">
        <f aca="false">IF(BR1377="LOSE",1,0)</f>
        <v>1</v>
      </c>
      <c r="BU1377" s="60" t="n">
        <f aca="false">IF(AND(U1377="",OR(P1377="",P1377="LOSE"),T1377&lt;&gt;"",N(S1377)&lt;=0,ISNUMBER(MATCH(T1377,Parameter!$I$27:$I$29,0))),1,0)</f>
        <v>0</v>
      </c>
      <c r="BV1377" s="55" t="str">
        <f aca="false">IF(AND(Parameter!$B$19="Ja",E1377&lt;&gt;"",ISNUMBER(MATCH(E1377,Parameter!$I$35:$I$52,0))),VLOOKUP(E1377,Parameter!$I$35:$J$52,2,0),IFERROR(VLOOKUP(D1377,Parameter!$A$35:$C$64,2,0),"Nein"))</f>
        <v>Nein</v>
      </c>
      <c r="BW1377" s="59" t="n">
        <f aca="false">IF(BT1377=0,0,IF(N(S1377)&gt;0,S1377,IFERROR(VLOOKUP(D1377,Parameter!$A$35:$C$64,3,0)+0,0)))</f>
        <v>0.15</v>
      </c>
      <c r="BX1377" s="55" t="str">
        <f aca="false">IF(AA1377&lt;&gt;"",AA1377,Z1377)</f>
        <v>-</v>
      </c>
      <c r="BY1377" s="55" t="str">
        <f aca="false">IF(BX1377=1,"L1",IF(OR(BX1377=2,BX1377=3),"L23",IF(BX1377="Aussen","Aussen","-")))</f>
        <v>-</v>
      </c>
      <c r="BZ1377" s="66" t="n">
        <f aca="false">IF(N(AB1377)&gt;0,AB1377,0)</f>
        <v>0</v>
      </c>
      <c r="CA1377" s="60" t="n">
        <f aca="false">IF(ISNUMBER(AE1377),1,0)</f>
        <v>0</v>
      </c>
      <c r="CB1377" s="57" t="n">
        <f aca="false">N(AE1377)</f>
        <v>0</v>
      </c>
      <c r="CC1377" s="57" t="n">
        <f aca="false">N(M1377)+N(N1377)</f>
        <v>1</v>
      </c>
      <c r="CD1377" s="57" t="n">
        <f aca="false">ROUNDUP(H1377/BS1377,0)</f>
        <v>0</v>
      </c>
      <c r="CE1377" s="57" t="n">
        <f aca="false">ROUNDUP(CB1377/BS1377,0)</f>
        <v>0</v>
      </c>
      <c r="CF1377" s="60" t="n">
        <f aca="false">IF(BT1377=1,0,IFERROR(VLOOKUP(BR1377,'Gebinde-Kategorie'!$A$5:$M$45,5,0)+0,0))</f>
        <v>0</v>
      </c>
      <c r="CG1377" s="60" t="n">
        <f aca="false">IFERROR(IF(OR(BX1377=1,BX1377=2,BX1377=3),N(INDEX(Parameter!$I$5:$I$7,BX1377)),0),0)</f>
        <v>0</v>
      </c>
      <c r="CH1377" s="59" t="n">
        <f aca="false">IF(AND(Parameter!$B$21="Ja",ISNUMBER(W1377),N(X1377)&gt;0),IFERROR(N(INDEX(Parameter!$L$5:$L$7,W1377))*INDEX(Parameter!$E$5:$E$7,W1377)*X1377/SUMIFS($X$7:$X$1843,$W$7:$W$1843,W1377),0),0)</f>
        <v>0</v>
      </c>
    </row>
    <row r="1378" customFormat="false" ht="15" hidden="false" customHeight="false" outlineLevel="0" collapsed="false">
      <c r="A1378" s="55" t="s">
        <v>2428</v>
      </c>
      <c r="B1378" s="55" t="s">
        <v>358</v>
      </c>
      <c r="C1378" s="55" t="s">
        <v>164</v>
      </c>
      <c r="D1378" s="55" t="s">
        <v>173</v>
      </c>
      <c r="E1378" s="55" t="s">
        <v>185</v>
      </c>
      <c r="F1378" s="55" t="s">
        <v>218</v>
      </c>
      <c r="G1378" s="56" t="n">
        <v>119.51</v>
      </c>
      <c r="H1378" s="57" t="n">
        <f aca="false">MAX(0,IF(AND(Parameter!$B$21="Ja",ISNUMBER(Y1378)),Y1378,IF(Parameter!$B$20="Jahresanfang 2025 + Export",BL1378+BK1378,BK1378)))</f>
        <v>20</v>
      </c>
      <c r="I1378" s="57" t="n">
        <f aca="false">H1378*G1378</f>
        <v>2390.2</v>
      </c>
      <c r="J1378" s="57" t="n">
        <f aca="false">BN1378*Parameter!$B$18</f>
        <v>19</v>
      </c>
      <c r="K1378" s="58" t="n">
        <v>47.5</v>
      </c>
      <c r="L1378" s="59" t="n">
        <v>0.4</v>
      </c>
      <c r="M1378" s="57" t="n">
        <v>2</v>
      </c>
      <c r="N1378" s="57" t="n">
        <v>30</v>
      </c>
      <c r="O1378" s="60" t="n">
        <v>49</v>
      </c>
      <c r="P1378" s="55" t="s">
        <v>174</v>
      </c>
      <c r="Q1378" s="57" t="n">
        <v>14</v>
      </c>
      <c r="R1378" s="60" t="n">
        <f aca="false">IF(BT1378=1,0,IFERROR(VLOOKUP(BR1378,'Gebinde-Kategorie'!$A$5:$M$45,13,0)+0,0))</f>
        <v>6</v>
      </c>
      <c r="S1378" s="61"/>
      <c r="T1378" s="62"/>
      <c r="U1378" s="62"/>
      <c r="V1378" s="62"/>
      <c r="W1378" s="55"/>
      <c r="X1378" s="57"/>
      <c r="Y1378" s="57"/>
      <c r="Z1378" s="55" t="n">
        <f aca="false">IF(A1378="","",IF(AND(Parameter!$B$21="Ja",ISNUMBER(W1378)),W1378,IF(BV1378="2+3",IF(ISNUMBER(SEARCH("grosser Artikel",BO1378)),2,IFERROR(VLOOKUP(BR1378,Parameter!$F$35:$G$64,2,0),2)),IF(OR(BV1378="Nein",BV1378=""),"-",BV1378))))</f>
        <v>2</v>
      </c>
      <c r="AA1378" s="62"/>
      <c r="AB1378" s="63"/>
      <c r="AC1378" s="57" t="n">
        <f aca="false">AR1378</f>
        <v>42</v>
      </c>
      <c r="AD1378" s="57" t="n">
        <f aca="false">MAX(AR1378,H1378)</f>
        <v>42</v>
      </c>
      <c r="AE1378" s="64"/>
      <c r="AF1378" s="57" t="n">
        <f aca="false">IF(LEFT(Cockpit!$C$5,1)="A",H1378,IF(CA1378=1,CB1378,IF(LEFT(Cockpit!$C$5,1)="B",AJ1378,MAX(AJ1378,H1378))))</f>
        <v>20</v>
      </c>
      <c r="AG1378" s="57" t="n">
        <f aca="false">IF(BT1378=1,0,ROUNDUP(AF1378/BS1378,0))</f>
        <v>2</v>
      </c>
      <c r="AH1378" s="59" t="n">
        <f aca="false">IF(CH1378&gt;0,CH1378*MAX(1,AF1378/X1378),IF(BT1378=1,IF(AF1378&lt;=0,0,BW1378*MAX(1,IF(H1378&gt;0,AF1378/H1378,1))),IF(R1378&gt;0,AG1378/R1378,0))/MAX(0.1,N(Parameter!$M$21)))</f>
        <v>0.333333333333333</v>
      </c>
      <c r="AI1378" s="57" t="n">
        <f aca="false">AF1378*G1378</f>
        <v>2390.2</v>
      </c>
      <c r="AJ1378" s="57" t="n">
        <f aca="false">ROUNDUP(MAX(J1378/IF(BZ1378&gt;0,BZ1378,MAX(0.1,N(Cockpit!$C$6))),CC1378)/BS1378,0)*BS1378</f>
        <v>42</v>
      </c>
      <c r="AK1378" s="58" t="n">
        <f aca="false">IF(AH1378&gt;0,J1378/AH1378,-1)</f>
        <v>57</v>
      </c>
      <c r="AL1378" s="58" t="n">
        <f aca="false">IF(AND(OR(BY1378="L1",BY1378="L23"),AH1378&gt;0),SUMIFS($AH$7:$AH$1843,$BY$7:$BY$1843,BY1378,$AK$7:$AK$1843,"&gt;"&amp;AK1378)+SUMIFS($AH$7:$AH$1843,$BY$7:$BY$1843,BY1378,$AK$7:$AK$1843,AK1378,$BQ$7:$BQ$1843,"&lt;="&amp;BQ1378),"")</f>
        <v>43.6773419816898</v>
      </c>
      <c r="AM1378" s="65" t="n">
        <f aca="false">IF(AL1378="",0,MAX(0,MIN(1,(IF(BY1378="L1",Parameter!$E$5,Parameter!$E$6+Parameter!$E$7)-(AL1378-AH1378))/AH1378)))</f>
        <v>1</v>
      </c>
      <c r="AN1378" s="57" t="n">
        <f aca="false">IF(LEFT(Cockpit!$I$5,1)="A",H1378,IF(CA1378=1,CB1378,IF(LEFT(Cockpit!$I$5,1)="B",AR1378,MAX(AR1378,H1378))))</f>
        <v>42</v>
      </c>
      <c r="AO1378" s="57" t="n">
        <f aca="false">IF(BT1378=1,0,ROUNDUP(AN1378/BS1378,0))</f>
        <v>3</v>
      </c>
      <c r="AP1378" s="59" t="n">
        <f aca="false">IF(CH1378&gt;0,CH1378*MAX(1,AN1378/X1378),IF(BT1378=1,IF(AN1378&lt;=0,0,BW1378*MAX(1,IF(H1378&gt;0,AN1378/H1378,1))),IF(R1378&gt;0,AO1378/R1378,0))/MAX(0.1,N(Parameter!$M$21)))</f>
        <v>0.5</v>
      </c>
      <c r="AQ1378" s="57" t="n">
        <f aca="false">AN1378*G1378</f>
        <v>5019.42</v>
      </c>
      <c r="AR1378" s="57" t="n">
        <f aca="false">ROUNDUP(MAX(J1378/IF(BZ1378&gt;0,BZ1378,MAX(0.1,N(Cockpit!$I$6))),CC1378)/BS1378,0)*BS1378</f>
        <v>42</v>
      </c>
      <c r="AS1378" s="58" t="n">
        <f aca="false">IF(AP1378&gt;0,J1378/AP1378,-1)</f>
        <v>38</v>
      </c>
      <c r="AT1378" s="58" t="n">
        <f aca="false">IF(AND(OR(BY1378="L1",BY1378="L23"),AP1378&gt;0),SUMIFS($AP$7:$AP$1843,$BY$7:$BY$1843,BY1378,$AS$7:$AS$1843,"&gt;"&amp;AS1378)+SUMIFS($AP$7:$AP$1843,$BY$7:$BY$1843,BY1378,$AS$7:$AS$1843,AS1378,$BQ$7:$BQ$1843,"&lt;="&amp;BQ1378),"")</f>
        <v>70.294356609574</v>
      </c>
      <c r="AU1378" s="65" t="n">
        <f aca="false">IF(AT1378="",0,MAX(0,MIN(1,(IF(BY1378="L1",Parameter!$E$5,Parameter!$E$6+Parameter!$E$7)-(AT1378-AP1378))/AP1378)))</f>
        <v>1</v>
      </c>
      <c r="AV1378" s="57" t="n">
        <f aca="false">IF(LEFT(Cockpit!$O$5,1)="A",H1378,IF(CA1378=1,CB1378,IF(LEFT(Cockpit!$O$5,1)="B",AZ1378,MAX(AZ1378,H1378))))</f>
        <v>42</v>
      </c>
      <c r="AW1378" s="57" t="n">
        <f aca="false">IF(BT1378=1,0,ROUNDUP(AV1378/BS1378,0))</f>
        <v>3</v>
      </c>
      <c r="AX1378" s="59" t="n">
        <f aca="false">IF(CH1378&gt;0,CH1378*MAX(1,AV1378/X1378),IF(BT1378=1,IF(AV1378&lt;=0,0,BW1378*MAX(1,IF(H1378&gt;0,AV1378/H1378,1))),IF(R1378&gt;0,AW1378/R1378,0))/MAX(0.1,N(Parameter!$M$21)))</f>
        <v>0.5</v>
      </c>
      <c r="AY1378" s="57" t="n">
        <f aca="false">AV1378*G1378</f>
        <v>5019.42</v>
      </c>
      <c r="AZ1378" s="57" t="n">
        <f aca="false">ROUNDUP(MAX(J1378/IF(BZ1378&gt;0,BZ1378,MAX(0.1,N(Cockpit!$O$6))),CC1378)/BS1378,0)*BS1378</f>
        <v>42</v>
      </c>
      <c r="BA1378" s="58" t="n">
        <f aca="false">IF(AX1378&gt;0,J1378/AX1378,-1)</f>
        <v>38</v>
      </c>
      <c r="BB1378" s="58" t="n">
        <f aca="false">IF(AND(OR(BY1378="L1",BY1378="L23"),AX1378&gt;0),SUMIFS($AX$7:$AX$1843,$BY$7:$BY$1843,BY1378,$BA$7:$BA$1843,"&gt;"&amp;BA1378)+SUMIFS($AX$7:$AX$1843,$BY$7:$BY$1843,BY1378,$BA$7:$BA$1843,BA1378,$BQ$7:$BQ$1843,"&lt;="&amp;BQ1378),"")</f>
        <v>64.7908601060775</v>
      </c>
      <c r="BC1378" s="65" t="n">
        <f aca="false">IF(BB1378="",0,MAX(0,MIN(1,(IF(BY1378="L1",Parameter!$E$5,Parameter!$E$6+Parameter!$E$7)-(BB1378-AX1378))/AX1378)))</f>
        <v>1</v>
      </c>
      <c r="BD1378" s="55" t="str">
        <f aca="false">IF(AH1378&lt;=0,"",IF(BY1378="Aussen","Aussenlager",IF(BY1378="-","Nicht im Lift",IF(AM1378&gt;=1,"Lift",IF(AM1378&lt;=0,"Aussenlager","teilweise")))))</f>
        <v>Lift</v>
      </c>
      <c r="BE1378" s="55" t="str">
        <f aca="false">IF(AP1378&lt;=0,"",IF(BY1378="Aussen","Aussenlager",IF(BY1378="-","Nicht im Lift",IF(AU1378&gt;=1,"Lift",IF(AU1378&lt;=0,"Aussenlager","teilweise")))))</f>
        <v>Lift</v>
      </c>
      <c r="BF1378" s="55" t="str">
        <f aca="false">IF(AX1378&lt;=0,"",IF(BY1378="Aussen","Aussenlager",IF(BY1378="-","Nicht im Lift",IF(BC1378&gt;=1,"Lift",IF(BC1378&lt;=0,"Aussenlager","teilweise")))))</f>
        <v>Lift</v>
      </c>
      <c r="BG1378" s="55" t="str">
        <f aca="false">IF(A1378="","",IF(BP1378=1,"Neu; ","")&amp;IF(AND(BP1378=0,BK1378&lt;0),"negativer Bestand (Export "&amp;BK1378&amp;"); ","")&amp;IF(J1378&lt;=0,"Kein Verbrauch; ","")&amp;IF(CH1378&gt;0,"Lift "&amp;W1378&amp;" lt. Liftbericht (Fach "&amp;X1378&amp;" Stk); ",IF(BU1378=1,"Gebinde geschätzt ("&amp;T1378&amp;"); ",IF(BT1378=1,"Lose – Tablare geschätzt; ","")))&amp;IF(H1378&gt;AR1378,"Überbestand "&amp;ROUND(H1378-AR1378,0)&amp;" Stk / CHF "&amp;ROUND((H1378-AR1378)*G1378,0)&amp;"; ","")&amp;IF(AND(CA1378=1,CB1378&lt;CC1378),"MAX &lt; MB+LG; ","")&amp;IF(AND(CG1378&gt;0,CF1378*10&gt;CG1378),"zu hoch für Tablar; ","")&amp;IF(AND(BP1378=0,OR(CA1378=1,AA1378&lt;&gt;"",U1378&lt;&gt;"",V1378&lt;&gt;"",AB1378&lt;&gt;"")),"manuell übersteuert; ","")&amp;IF(AND(BT1378=0,R1378=0),"Gebinde unbekannt / Stellmass fehlt; ","")&amp;IF(AND(BT1378=0,N(V1378)&lt;=0,N(Q1378)&lt;=0),"Menge pro Gebinde fehlt (Ist = 1 Gebinde); ","")&amp;BO1378)</f>
        <v>negativer Bestand (Export -24); grosser Artikel &amp; nicht im KTL</v>
      </c>
      <c r="BH1378" s="55"/>
      <c r="BI1378" s="55"/>
      <c r="BJ1378" s="62"/>
      <c r="BK1378" s="57" t="n">
        <v>-24</v>
      </c>
      <c r="BL1378" s="57" t="n">
        <v>44</v>
      </c>
      <c r="BM1378" s="56" t="n">
        <v>-2826.44</v>
      </c>
      <c r="BN1378" s="57" t="n">
        <v>19</v>
      </c>
      <c r="BO1378" s="55" t="s">
        <v>261</v>
      </c>
      <c r="BP1378" s="60" t="n">
        <v>0</v>
      </c>
      <c r="BQ1378" s="60" t="n">
        <v>1378</v>
      </c>
      <c r="BR1378" s="55" t="str">
        <f aca="false">IF(U1378&lt;&gt;"",UPPER(TRIM(U1378)),IF(BU1378=1,UPPER(VLOOKUP(T1378,Parameter!$I$27:$K$29,2,0)),IF(P1378="","LOSE",P1378)))</f>
        <v>S71</v>
      </c>
      <c r="BS1378" s="57" t="n">
        <f aca="false">IF(BR1378="LOSE",1,IF(N(V1378)&gt;0,V1378,IF(BU1378=1,MAX(1,N(VLOOKUP(T1378,Parameter!$I$27:$K$29,3,0)),H1378,N(N1378)),IF(N(Q1378)&gt;0,Q1378,MAX(1,H1378)))))</f>
        <v>14</v>
      </c>
      <c r="BT1378" s="60" t="n">
        <f aca="false">IF(BR1378="LOSE",1,0)</f>
        <v>0</v>
      </c>
      <c r="BU1378" s="60" t="n">
        <f aca="false">IF(AND(U1378="",OR(P1378="",P1378="LOSE"),T1378&lt;&gt;"",N(S1378)&lt;=0,ISNUMBER(MATCH(T1378,Parameter!$I$27:$I$29,0))),1,0)</f>
        <v>0</v>
      </c>
      <c r="BV1378" s="55" t="str">
        <f aca="false">IF(AND(Parameter!$B$19="Ja",E1378&lt;&gt;"",ISNUMBER(MATCH(E1378,Parameter!$I$35:$I$52,0))),VLOOKUP(E1378,Parameter!$I$35:$J$52,2,0),IFERROR(VLOOKUP(D1378,Parameter!$A$35:$C$64,2,0),"Nein"))</f>
        <v>2+3</v>
      </c>
      <c r="BW1378" s="59" t="n">
        <f aca="false">IF(BT1378=0,0,IF(N(S1378)&gt;0,S1378,IFERROR(VLOOKUP(D1378,Parameter!$A$35:$C$64,3,0)+0,0)))</f>
        <v>0</v>
      </c>
      <c r="BX1378" s="55" t="n">
        <f aca="false">IF(AA1378&lt;&gt;"",AA1378,Z1378)</f>
        <v>2</v>
      </c>
      <c r="BY1378" s="55" t="str">
        <f aca="false">IF(BX1378=1,"L1",IF(OR(BX1378=2,BX1378=3),"L23",IF(BX1378="Aussen","Aussen","-")))</f>
        <v>L23</v>
      </c>
      <c r="BZ1378" s="66" t="n">
        <f aca="false">IF(N(AB1378)&gt;0,AB1378,0)</f>
        <v>0</v>
      </c>
      <c r="CA1378" s="60" t="n">
        <f aca="false">IF(ISNUMBER(AE1378),1,0)</f>
        <v>0</v>
      </c>
      <c r="CB1378" s="57" t="n">
        <f aca="false">N(AE1378)</f>
        <v>0</v>
      </c>
      <c r="CC1378" s="57" t="n">
        <f aca="false">N(M1378)+N(N1378)</f>
        <v>32</v>
      </c>
      <c r="CD1378" s="57" t="n">
        <f aca="false">ROUNDUP(H1378/BS1378,0)</f>
        <v>2</v>
      </c>
      <c r="CE1378" s="57" t="n">
        <f aca="false">ROUNDUP(CB1378/BS1378,0)</f>
        <v>0</v>
      </c>
      <c r="CF1378" s="60" t="n">
        <f aca="false">IF(BT1378=1,0,IFERROR(VLOOKUP(BR1378,'Gebinde-Kategorie'!$A$5:$M$45,5,0)+0,0))</f>
        <v>20</v>
      </c>
      <c r="CG1378" s="60" t="n">
        <f aca="false">IFERROR(IF(OR(BX1378=1,BX1378=2,BX1378=3),N(INDEX(Parameter!$I$5:$I$7,BX1378)),0),0)</f>
        <v>0</v>
      </c>
      <c r="CH1378" s="59" t="n">
        <f aca="false">IF(AND(Parameter!$B$21="Ja",ISNUMBER(W1378),N(X1378)&gt;0),IFERROR(N(INDEX(Parameter!$L$5:$L$7,W1378))*INDEX(Parameter!$E$5:$E$7,W1378)*X1378/SUMIFS($X$7:$X$1843,$W$7:$W$1843,W1378),0),0)</f>
        <v>0</v>
      </c>
    </row>
    <row r="1379" customFormat="false" ht="15" hidden="false" customHeight="false" outlineLevel="0" collapsed="false">
      <c r="A1379" s="55" t="s">
        <v>2429</v>
      </c>
      <c r="B1379" s="55" t="s">
        <v>301</v>
      </c>
      <c r="C1379" s="55" t="s">
        <v>164</v>
      </c>
      <c r="D1379" s="55" t="s">
        <v>184</v>
      </c>
      <c r="E1379" s="55" t="s">
        <v>185</v>
      </c>
      <c r="F1379" s="55" t="s">
        <v>218</v>
      </c>
      <c r="G1379" s="56" t="n">
        <v>319</v>
      </c>
      <c r="H1379" s="57" t="n">
        <f aca="false">MAX(0,IF(AND(Parameter!$B$21="Ja",ISNUMBER(Y1379)),Y1379,IF(Parameter!$B$20="Jahresanfang 2025 + Export",BL1379+BK1379,BK1379)))</f>
        <v>7</v>
      </c>
      <c r="I1379" s="57" t="n">
        <f aca="false">H1379*G1379</f>
        <v>2233</v>
      </c>
      <c r="J1379" s="57" t="n">
        <f aca="false">BN1379*Parameter!$B$18</f>
        <v>14</v>
      </c>
      <c r="K1379" s="58" t="n">
        <v>12.5</v>
      </c>
      <c r="L1379" s="59" t="n">
        <v>1.12</v>
      </c>
      <c r="M1379" s="57" t="n">
        <v>1</v>
      </c>
      <c r="N1379" s="57" t="n">
        <v>10</v>
      </c>
      <c r="O1379" s="60" t="n">
        <v>31</v>
      </c>
      <c r="P1379" s="55" t="s">
        <v>233</v>
      </c>
      <c r="Q1379" s="57" t="n">
        <v>28</v>
      </c>
      <c r="R1379" s="60" t="n">
        <f aca="false">IF(BT1379=1,0,IFERROR(VLOOKUP(BR1379,'Gebinde-Kategorie'!$A$5:$M$45,13,0)+0,0))</f>
        <v>26</v>
      </c>
      <c r="S1379" s="61"/>
      <c r="T1379" s="62"/>
      <c r="U1379" s="62"/>
      <c r="V1379" s="62"/>
      <c r="W1379" s="55"/>
      <c r="X1379" s="57"/>
      <c r="Y1379" s="57"/>
      <c r="Z1379" s="55" t="n">
        <f aca="false">IF(A1379="","",IF(AND(Parameter!$B$21="Ja",ISNUMBER(W1379)),W1379,IF(BV1379="2+3",IF(ISNUMBER(SEARCH("grosser Artikel",BO1379)),2,IFERROR(VLOOKUP(BR1379,Parameter!$F$35:$G$64,2,0),2)),IF(OR(BV1379="Nein",BV1379=""),"-",BV1379))))</f>
        <v>3</v>
      </c>
      <c r="AA1379" s="62"/>
      <c r="AB1379" s="63"/>
      <c r="AC1379" s="57" t="n">
        <f aca="false">AR1379</f>
        <v>28</v>
      </c>
      <c r="AD1379" s="57" t="n">
        <f aca="false">MAX(AR1379,H1379)</f>
        <v>28</v>
      </c>
      <c r="AE1379" s="64"/>
      <c r="AF1379" s="57" t="n">
        <f aca="false">IF(LEFT(Cockpit!$C$5,1)="A",H1379,IF(CA1379=1,CB1379,IF(LEFT(Cockpit!$C$5,1)="B",AJ1379,MAX(AJ1379,H1379))))</f>
        <v>7</v>
      </c>
      <c r="AG1379" s="57" t="n">
        <f aca="false">IF(BT1379=1,0,ROUNDUP(AF1379/BS1379,0))</f>
        <v>1</v>
      </c>
      <c r="AH1379" s="59" t="n">
        <f aca="false">IF(CH1379&gt;0,CH1379*MAX(1,AF1379/X1379),IF(BT1379=1,IF(AF1379&lt;=0,0,BW1379*MAX(1,IF(H1379&gt;0,AF1379/H1379,1))),IF(R1379&gt;0,AG1379/R1379,0))/MAX(0.1,N(Parameter!$M$21)))</f>
        <v>0.0384615384615385</v>
      </c>
      <c r="AI1379" s="57" t="n">
        <f aca="false">AF1379*G1379</f>
        <v>2233</v>
      </c>
      <c r="AJ1379" s="57" t="n">
        <f aca="false">ROUNDUP(MAX(J1379/IF(BZ1379&gt;0,BZ1379,MAX(0.1,N(Cockpit!$C$6))),CC1379)/BS1379,0)*BS1379</f>
        <v>28</v>
      </c>
      <c r="AK1379" s="58" t="n">
        <f aca="false">IF(AH1379&gt;0,J1379/AH1379,-1)</f>
        <v>364</v>
      </c>
      <c r="AL1379" s="58" t="n">
        <f aca="false">IF(AND(OR(BY1379="L1",BY1379="L23"),AH1379&gt;0),SUMIFS($AH$7:$AH$1843,$BY$7:$BY$1843,BY1379,$AK$7:$AK$1843,"&gt;"&amp;AK1379)+SUMIFS($AH$7:$AH$1843,$BY$7:$BY$1843,BY1379,$AK$7:$AK$1843,AK1379,$BQ$7:$BQ$1843,"&lt;="&amp;BQ1379),"")</f>
        <v>27.0851744873484</v>
      </c>
      <c r="AM1379" s="65" t="n">
        <f aca="false">IF(AL1379="",0,MAX(0,MIN(1,(IF(BY1379="L1",Parameter!$E$5,Parameter!$E$6+Parameter!$E$7)-(AL1379-AH1379))/AH1379)))</f>
        <v>1</v>
      </c>
      <c r="AN1379" s="57" t="n">
        <f aca="false">IF(LEFT(Cockpit!$I$5,1)="A",H1379,IF(CA1379=1,CB1379,IF(LEFT(Cockpit!$I$5,1)="B",AR1379,MAX(AR1379,H1379))))</f>
        <v>28</v>
      </c>
      <c r="AO1379" s="57" t="n">
        <f aca="false">IF(BT1379=1,0,ROUNDUP(AN1379/BS1379,0))</f>
        <v>1</v>
      </c>
      <c r="AP1379" s="59" t="n">
        <f aca="false">IF(CH1379&gt;0,CH1379*MAX(1,AN1379/X1379),IF(BT1379=1,IF(AN1379&lt;=0,0,BW1379*MAX(1,IF(H1379&gt;0,AN1379/H1379,1))),IF(R1379&gt;0,AO1379/R1379,0))/MAX(0.1,N(Parameter!$M$21)))</f>
        <v>0.0384615384615385</v>
      </c>
      <c r="AQ1379" s="57" t="n">
        <f aca="false">AN1379*G1379</f>
        <v>8932</v>
      </c>
      <c r="AR1379" s="57" t="n">
        <f aca="false">ROUNDUP(MAX(J1379/IF(BZ1379&gt;0,BZ1379,MAX(0.1,N(Cockpit!$I$6))),CC1379)/BS1379,0)*BS1379</f>
        <v>28</v>
      </c>
      <c r="AS1379" s="58" t="n">
        <f aca="false">IF(AP1379&gt;0,J1379/AP1379,-1)</f>
        <v>364</v>
      </c>
      <c r="AT1379" s="58" t="n">
        <f aca="false">IF(AND(OR(BY1379="L1",BY1379="L23"),AP1379&gt;0),SUMIFS($AP$7:$AP$1843,$BY$7:$BY$1843,BY1379,$AS$7:$AS$1843,"&gt;"&amp;AS1379)+SUMIFS($AP$7:$AP$1843,$BY$7:$BY$1843,BY1379,$AS$7:$AS$1843,AS1379,$BQ$7:$BQ$1843,"&lt;="&amp;BQ1379),"")</f>
        <v>36.6375038005473</v>
      </c>
      <c r="AU1379" s="65" t="n">
        <f aca="false">IF(AT1379="",0,MAX(0,MIN(1,(IF(BY1379="L1",Parameter!$E$5,Parameter!$E$6+Parameter!$E$7)-(AT1379-AP1379))/AP1379)))</f>
        <v>1</v>
      </c>
      <c r="AV1379" s="57" t="n">
        <f aca="false">IF(LEFT(Cockpit!$O$5,1)="A",H1379,IF(CA1379=1,CB1379,IF(LEFT(Cockpit!$O$5,1)="B",AZ1379,MAX(AZ1379,H1379))))</f>
        <v>28</v>
      </c>
      <c r="AW1379" s="57" t="n">
        <f aca="false">IF(BT1379=1,0,ROUNDUP(AV1379/BS1379,0))</f>
        <v>1</v>
      </c>
      <c r="AX1379" s="59" t="n">
        <f aca="false">IF(CH1379&gt;0,CH1379*MAX(1,AV1379/X1379),IF(BT1379=1,IF(AV1379&lt;=0,0,BW1379*MAX(1,IF(H1379&gt;0,AV1379/H1379,1))),IF(R1379&gt;0,AW1379/R1379,0))/MAX(0.1,N(Parameter!$M$21)))</f>
        <v>0.0384615384615385</v>
      </c>
      <c r="AY1379" s="57" t="n">
        <f aca="false">AV1379*G1379</f>
        <v>8932</v>
      </c>
      <c r="AZ1379" s="57" t="n">
        <f aca="false">ROUNDUP(MAX(J1379/IF(BZ1379&gt;0,BZ1379,MAX(0.1,N(Cockpit!$O$6))),CC1379)/BS1379,0)*BS1379</f>
        <v>28</v>
      </c>
      <c r="BA1379" s="58" t="n">
        <f aca="false">IF(AX1379&gt;0,J1379/AX1379,-1)</f>
        <v>364</v>
      </c>
      <c r="BB1379" s="58" t="n">
        <f aca="false">IF(AND(OR(BY1379="L1",BY1379="L23"),AX1379&gt;0),SUMIFS($AX$7:$AX$1843,$BY$7:$BY$1843,BY1379,$BA$7:$BA$1843,"&gt;"&amp;BA1379)+SUMIFS($AX$7:$AX$1843,$BY$7:$BY$1843,BY1379,$BA$7:$BA$1843,BA1379,$BQ$7:$BQ$1843,"&lt;="&amp;BQ1379),"")</f>
        <v>35.8840072970508</v>
      </c>
      <c r="BC1379" s="65" t="n">
        <f aca="false">IF(BB1379="",0,MAX(0,MIN(1,(IF(BY1379="L1",Parameter!$E$5,Parameter!$E$6+Parameter!$E$7)-(BB1379-AX1379))/AX1379)))</f>
        <v>1</v>
      </c>
      <c r="BD1379" s="55" t="str">
        <f aca="false">IF(AH1379&lt;=0,"",IF(BY1379="Aussen","Aussenlager",IF(BY1379="-","Nicht im Lift",IF(AM1379&gt;=1,"Lift",IF(AM1379&lt;=0,"Aussenlager","teilweise")))))</f>
        <v>Lift</v>
      </c>
      <c r="BE1379" s="55" t="str">
        <f aca="false">IF(AP1379&lt;=0,"",IF(BY1379="Aussen","Aussenlager",IF(BY1379="-","Nicht im Lift",IF(AU1379&gt;=1,"Lift",IF(AU1379&lt;=0,"Aussenlager","teilweise")))))</f>
        <v>Lift</v>
      </c>
      <c r="BF1379" s="55" t="str">
        <f aca="false">IF(AX1379&lt;=0,"",IF(BY1379="Aussen","Aussenlager",IF(BY1379="-","Nicht im Lift",IF(BC1379&gt;=1,"Lift",IF(BC1379&lt;=0,"Aussenlager","teilweise")))))</f>
        <v>Lift</v>
      </c>
      <c r="BG1379" s="55" t="str">
        <f aca="false">IF(A1379="","",IF(BP1379=1,"Neu; ","")&amp;IF(AND(BP1379=0,BK1379&lt;0),"negativer Bestand (Export "&amp;BK1379&amp;"); ","")&amp;IF(J1379&lt;=0,"Kein Verbrauch; ","")&amp;IF(CH1379&gt;0,"Lift "&amp;W1379&amp;" lt. Liftbericht (Fach "&amp;X1379&amp;" Stk); ",IF(BU1379=1,"Gebinde geschätzt ("&amp;T1379&amp;"); ",IF(BT1379=1,"Lose – Tablare geschätzt; ","")))&amp;IF(H1379&gt;AR1379,"Überbestand "&amp;ROUND(H1379-AR1379,0)&amp;" Stk / CHF "&amp;ROUND((H1379-AR1379)*G1379,0)&amp;"; ","")&amp;IF(AND(CA1379=1,CB1379&lt;CC1379),"MAX &lt; MB+LG; ","")&amp;IF(AND(CG1379&gt;0,CF1379*10&gt;CG1379),"zu hoch für Tablar; ","")&amp;IF(AND(BP1379=0,OR(CA1379=1,AA1379&lt;&gt;"",U1379&lt;&gt;"",V1379&lt;&gt;"",AB1379&lt;&gt;"")),"manuell übersteuert; ","")&amp;IF(AND(BT1379=0,R1379=0),"Gebinde unbekannt / Stellmass fehlt; ","")&amp;IF(AND(BT1379=0,N(V1379)&lt;=0,N(Q1379)&lt;=0),"Menge pro Gebinde fehlt (Ist = 1 Gebinde); ","")&amp;BO1379)</f>
        <v>negativer Bestand (Export -9); Überbestand</v>
      </c>
      <c r="BH1379" s="55"/>
      <c r="BI1379" s="55"/>
      <c r="BJ1379" s="62"/>
      <c r="BK1379" s="57" t="n">
        <v>-9</v>
      </c>
      <c r="BL1379" s="57" t="n">
        <v>16</v>
      </c>
      <c r="BM1379" s="56" t="n">
        <v>-2871</v>
      </c>
      <c r="BN1379" s="57" t="n">
        <v>14</v>
      </c>
      <c r="BO1379" s="55" t="s">
        <v>392</v>
      </c>
      <c r="BP1379" s="60" t="n">
        <v>0</v>
      </c>
      <c r="BQ1379" s="60" t="n">
        <v>1379</v>
      </c>
      <c r="BR1379" s="55" t="str">
        <f aca="false">IF(U1379&lt;&gt;"",UPPER(TRIM(U1379)),IF(BU1379=1,UPPER(VLOOKUP(T1379,Parameter!$I$27:$K$29,2,0)),IF(P1379="","LOSE",P1379)))</f>
        <v>S52</v>
      </c>
      <c r="BS1379" s="57" t="n">
        <f aca="false">IF(BR1379="LOSE",1,IF(N(V1379)&gt;0,V1379,IF(BU1379=1,MAX(1,N(VLOOKUP(T1379,Parameter!$I$27:$K$29,3,0)),H1379,N(N1379)),IF(N(Q1379)&gt;0,Q1379,MAX(1,H1379)))))</f>
        <v>28</v>
      </c>
      <c r="BT1379" s="60" t="n">
        <f aca="false">IF(BR1379="LOSE",1,0)</f>
        <v>0</v>
      </c>
      <c r="BU1379" s="60" t="n">
        <f aca="false">IF(AND(U1379="",OR(P1379="",P1379="LOSE"),T1379&lt;&gt;"",N(S1379)&lt;=0,ISNUMBER(MATCH(T1379,Parameter!$I$27:$I$29,0))),1,0)</f>
        <v>0</v>
      </c>
      <c r="BV1379" s="55" t="str">
        <f aca="false">IF(AND(Parameter!$B$19="Ja",E1379&lt;&gt;"",ISNUMBER(MATCH(E1379,Parameter!$I$35:$I$52,0))),VLOOKUP(E1379,Parameter!$I$35:$J$52,2,0),IFERROR(VLOOKUP(D1379,Parameter!$A$35:$C$64,2,0),"Nein"))</f>
        <v>2+3</v>
      </c>
      <c r="BW1379" s="59" t="n">
        <f aca="false">IF(BT1379=0,0,IF(N(S1379)&gt;0,S1379,IFERROR(VLOOKUP(D1379,Parameter!$A$35:$C$64,3,0)+0,0)))</f>
        <v>0</v>
      </c>
      <c r="BX1379" s="55" t="n">
        <f aca="false">IF(AA1379&lt;&gt;"",AA1379,Z1379)</f>
        <v>3</v>
      </c>
      <c r="BY1379" s="55" t="str">
        <f aca="false">IF(BX1379=1,"L1",IF(OR(BX1379=2,BX1379=3),"L23",IF(BX1379="Aussen","Aussen","-")))</f>
        <v>L23</v>
      </c>
      <c r="BZ1379" s="66" t="n">
        <f aca="false">IF(N(AB1379)&gt;0,AB1379,0)</f>
        <v>0</v>
      </c>
      <c r="CA1379" s="60" t="n">
        <f aca="false">IF(ISNUMBER(AE1379),1,0)</f>
        <v>0</v>
      </c>
      <c r="CB1379" s="57" t="n">
        <f aca="false">N(AE1379)</f>
        <v>0</v>
      </c>
      <c r="CC1379" s="57" t="n">
        <f aca="false">N(M1379)+N(N1379)</f>
        <v>11</v>
      </c>
      <c r="CD1379" s="57" t="n">
        <f aca="false">ROUNDUP(H1379/BS1379,0)</f>
        <v>1</v>
      </c>
      <c r="CE1379" s="57" t="n">
        <f aca="false">ROUNDUP(CB1379/BS1379,0)</f>
        <v>0</v>
      </c>
      <c r="CF1379" s="60" t="n">
        <f aca="false">IF(BT1379=1,0,IFERROR(VLOOKUP(BR1379,'Gebinde-Kategorie'!$A$5:$M$45,5,0)+0,0))</f>
        <v>21</v>
      </c>
      <c r="CG1379" s="60" t="n">
        <f aca="false">IFERROR(IF(OR(BX1379=1,BX1379=2,BX1379=3),N(INDEX(Parameter!$I$5:$I$7,BX1379)),0),0)</f>
        <v>0</v>
      </c>
      <c r="CH1379" s="59" t="n">
        <f aca="false">IF(AND(Parameter!$B$21="Ja",ISNUMBER(W1379),N(X1379)&gt;0),IFERROR(N(INDEX(Parameter!$L$5:$L$7,W1379))*INDEX(Parameter!$E$5:$E$7,W1379)*X1379/SUMIFS($X$7:$X$1843,$W$7:$W$1843,W1379),0),0)</f>
        <v>0</v>
      </c>
    </row>
    <row r="1380" customFormat="false" ht="15" hidden="false" customHeight="false" outlineLevel="0" collapsed="false">
      <c r="A1380" s="55" t="s">
        <v>2430</v>
      </c>
      <c r="B1380" s="55" t="s">
        <v>2279</v>
      </c>
      <c r="C1380" s="55" t="s">
        <v>164</v>
      </c>
      <c r="D1380" s="55" t="s">
        <v>173</v>
      </c>
      <c r="E1380" s="55" t="s">
        <v>185</v>
      </c>
      <c r="F1380" s="55" t="s">
        <v>218</v>
      </c>
      <c r="G1380" s="56" t="n">
        <v>164.4</v>
      </c>
      <c r="H1380" s="57" t="n">
        <f aca="false">MAX(0,IF(AND(Parameter!$B$21="Ja",ISNUMBER(Y1380)),Y1380,IF(Parameter!$B$20="Jahresanfang 2025 + Export",BL1380+BK1380,BK1380)))</f>
        <v>13</v>
      </c>
      <c r="I1380" s="57" t="n">
        <f aca="false">H1380*G1380</f>
        <v>2137.2</v>
      </c>
      <c r="J1380" s="57" t="n">
        <f aca="false">BN1380*Parameter!$B$18</f>
        <v>31</v>
      </c>
      <c r="K1380" s="58" t="n">
        <v>29</v>
      </c>
      <c r="L1380" s="59" t="n">
        <v>1.06896551724138</v>
      </c>
      <c r="M1380" s="57" t="n">
        <v>5</v>
      </c>
      <c r="N1380" s="57" t="n">
        <v>20</v>
      </c>
      <c r="O1380" s="60" t="n">
        <v>49</v>
      </c>
      <c r="P1380" s="55" t="s">
        <v>226</v>
      </c>
      <c r="Q1380" s="57" t="n">
        <v>14</v>
      </c>
      <c r="R1380" s="60" t="n">
        <f aca="false">IF(BT1380=1,0,IFERROR(VLOOKUP(BR1380,'Gebinde-Kategorie'!$A$5:$M$45,13,0)+0,0))</f>
        <v>12</v>
      </c>
      <c r="S1380" s="61"/>
      <c r="T1380" s="62"/>
      <c r="U1380" s="62"/>
      <c r="V1380" s="62"/>
      <c r="W1380" s="55"/>
      <c r="X1380" s="57"/>
      <c r="Y1380" s="57"/>
      <c r="Z1380" s="55" t="n">
        <f aca="false">IF(A1380="","",IF(AND(Parameter!$B$21="Ja",ISNUMBER(W1380)),W1380,IF(BV1380="2+3",IF(ISNUMBER(SEARCH("grosser Artikel",BO1380)),2,IFERROR(VLOOKUP(BR1380,Parameter!$F$35:$G$64,2,0),2)),IF(OR(BV1380="Nein",BV1380=""),"-",BV1380))))</f>
        <v>2</v>
      </c>
      <c r="AA1380" s="62"/>
      <c r="AB1380" s="63"/>
      <c r="AC1380" s="57" t="n">
        <f aca="false">AR1380</f>
        <v>28</v>
      </c>
      <c r="AD1380" s="57" t="n">
        <f aca="false">MAX(AR1380,H1380)</f>
        <v>28</v>
      </c>
      <c r="AE1380" s="64"/>
      <c r="AF1380" s="57" t="n">
        <f aca="false">IF(LEFT(Cockpit!$C$5,1)="A",H1380,IF(CA1380=1,CB1380,IF(LEFT(Cockpit!$C$5,1)="B",AJ1380,MAX(AJ1380,H1380))))</f>
        <v>13</v>
      </c>
      <c r="AG1380" s="57" t="n">
        <f aca="false">IF(BT1380=1,0,ROUNDUP(AF1380/BS1380,0))</f>
        <v>1</v>
      </c>
      <c r="AH1380" s="59" t="n">
        <f aca="false">IF(CH1380&gt;0,CH1380*MAX(1,AF1380/X1380),IF(BT1380=1,IF(AF1380&lt;=0,0,BW1380*MAX(1,IF(H1380&gt;0,AF1380/H1380,1))),IF(R1380&gt;0,AG1380/R1380,0))/MAX(0.1,N(Parameter!$M$21)))</f>
        <v>0.0833333333333333</v>
      </c>
      <c r="AI1380" s="57" t="n">
        <f aca="false">AF1380*G1380</f>
        <v>2137.2</v>
      </c>
      <c r="AJ1380" s="57" t="n">
        <f aca="false">ROUNDUP(MAX(J1380/IF(BZ1380&gt;0,BZ1380,MAX(0.1,N(Cockpit!$C$6))),CC1380)/BS1380,0)*BS1380</f>
        <v>28</v>
      </c>
      <c r="AK1380" s="58" t="n">
        <f aca="false">IF(AH1380&gt;0,J1380/AH1380,-1)</f>
        <v>372</v>
      </c>
      <c r="AL1380" s="58" t="n">
        <f aca="false">IF(AND(OR(BY1380="L1",BY1380="L23"),AH1380&gt;0),SUMIFS($AH$7:$AH$1843,$BY$7:$BY$1843,BY1380,$AK$7:$AK$1843,"&gt;"&amp;AK1380)+SUMIFS($AH$7:$AH$1843,$BY$7:$BY$1843,BY1380,$AK$7:$AK$1843,AK1380,$BQ$7:$BQ$1843,"&lt;="&amp;BQ1380),"")</f>
        <v>26.8544052565792</v>
      </c>
      <c r="AM1380" s="65" t="n">
        <f aca="false">IF(AL1380="",0,MAX(0,MIN(1,(IF(BY1380="L1",Parameter!$E$5,Parameter!$E$6+Parameter!$E$7)-(AL1380-AH1380))/AH1380)))</f>
        <v>1</v>
      </c>
      <c r="AN1380" s="57" t="n">
        <f aca="false">IF(LEFT(Cockpit!$I$5,1)="A",H1380,IF(CA1380=1,CB1380,IF(LEFT(Cockpit!$I$5,1)="B",AR1380,MAX(AR1380,H1380))))</f>
        <v>28</v>
      </c>
      <c r="AO1380" s="57" t="n">
        <f aca="false">IF(BT1380=1,0,ROUNDUP(AN1380/BS1380,0))</f>
        <v>2</v>
      </c>
      <c r="AP1380" s="59" t="n">
        <f aca="false">IF(CH1380&gt;0,CH1380*MAX(1,AN1380/X1380),IF(BT1380=1,IF(AN1380&lt;=0,0,BW1380*MAX(1,IF(H1380&gt;0,AN1380/H1380,1))),IF(R1380&gt;0,AO1380/R1380,0))/MAX(0.1,N(Parameter!$M$21)))</f>
        <v>0.166666666666667</v>
      </c>
      <c r="AQ1380" s="57" t="n">
        <f aca="false">AN1380*G1380</f>
        <v>4603.2</v>
      </c>
      <c r="AR1380" s="57" t="n">
        <f aca="false">ROUNDUP(MAX(J1380/IF(BZ1380&gt;0,BZ1380,MAX(0.1,N(Cockpit!$I$6))),CC1380)/BS1380,0)*BS1380</f>
        <v>28</v>
      </c>
      <c r="AS1380" s="58" t="n">
        <f aca="false">IF(AP1380&gt;0,J1380/AP1380,-1)</f>
        <v>186</v>
      </c>
      <c r="AT1380" s="58" t="n">
        <f aca="false">IF(AND(OR(BY1380="L1",BY1380="L23"),AP1380&gt;0),SUMIFS($AP$7:$AP$1843,$BY$7:$BY$1843,BY1380,$AS$7:$AS$1843,"&gt;"&amp;AS1380)+SUMIFS($AP$7:$AP$1843,$BY$7:$BY$1843,BY1380,$AS$7:$AS$1843,AS1380,$BQ$7:$BQ$1843,"&lt;="&amp;BQ1380),"")</f>
        <v>47.6838282490456</v>
      </c>
      <c r="AU1380" s="65" t="n">
        <f aca="false">IF(AT1380="",0,MAX(0,MIN(1,(IF(BY1380="L1",Parameter!$E$5,Parameter!$E$6+Parameter!$E$7)-(AT1380-AP1380))/AP1380)))</f>
        <v>1</v>
      </c>
      <c r="AV1380" s="57" t="n">
        <f aca="false">IF(LEFT(Cockpit!$O$5,1)="A",H1380,IF(CA1380=1,CB1380,IF(LEFT(Cockpit!$O$5,1)="B",AZ1380,MAX(AZ1380,H1380))))</f>
        <v>28</v>
      </c>
      <c r="AW1380" s="57" t="n">
        <f aca="false">IF(BT1380=1,0,ROUNDUP(AV1380/BS1380,0))</f>
        <v>2</v>
      </c>
      <c r="AX1380" s="59" t="n">
        <f aca="false">IF(CH1380&gt;0,CH1380*MAX(1,AV1380/X1380),IF(BT1380=1,IF(AV1380&lt;=0,0,BW1380*MAX(1,IF(H1380&gt;0,AV1380/H1380,1))),IF(R1380&gt;0,AW1380/R1380,0))/MAX(0.1,N(Parameter!$M$21)))</f>
        <v>0.166666666666667</v>
      </c>
      <c r="AY1380" s="57" t="n">
        <f aca="false">AV1380*G1380</f>
        <v>4603.2</v>
      </c>
      <c r="AZ1380" s="57" t="n">
        <f aca="false">ROUNDUP(MAX(J1380/IF(BZ1380&gt;0,BZ1380,MAX(0.1,N(Cockpit!$O$6))),CC1380)/BS1380,0)*BS1380</f>
        <v>28</v>
      </c>
      <c r="BA1380" s="58" t="n">
        <f aca="false">IF(AX1380&gt;0,J1380/AX1380,-1)</f>
        <v>186</v>
      </c>
      <c r="BB1380" s="58" t="n">
        <f aca="false">IF(AND(OR(BY1380="L1",BY1380="L23"),AX1380&gt;0),SUMIFS($AX$7:$AX$1843,$BY$7:$BY$1843,BY1380,$BA$7:$BA$1843,"&gt;"&amp;BA1380)+SUMIFS($AX$7:$AX$1843,$BY$7:$BY$1843,BY1380,$BA$7:$BA$1843,BA1380,$BQ$7:$BQ$1843,"&lt;="&amp;BQ1380),"")</f>
        <v>43.2636650788825</v>
      </c>
      <c r="BC1380" s="65" t="n">
        <f aca="false">IF(BB1380="",0,MAX(0,MIN(1,(IF(BY1380="L1",Parameter!$E$5,Parameter!$E$6+Parameter!$E$7)-(BB1380-AX1380))/AX1380)))</f>
        <v>1</v>
      </c>
      <c r="BD1380" s="55" t="str">
        <f aca="false">IF(AH1380&lt;=0,"",IF(BY1380="Aussen","Aussenlager",IF(BY1380="-","Nicht im Lift",IF(AM1380&gt;=1,"Lift",IF(AM1380&lt;=0,"Aussenlager","teilweise")))))</f>
        <v>Lift</v>
      </c>
      <c r="BE1380" s="55" t="str">
        <f aca="false">IF(AP1380&lt;=0,"",IF(BY1380="Aussen","Aussenlager",IF(BY1380="-","Nicht im Lift",IF(AU1380&gt;=1,"Lift",IF(AU1380&lt;=0,"Aussenlager","teilweise")))))</f>
        <v>Lift</v>
      </c>
      <c r="BF1380" s="55" t="str">
        <f aca="false">IF(AX1380&lt;=0,"",IF(BY1380="Aussen","Aussenlager",IF(BY1380="-","Nicht im Lift",IF(BC1380&gt;=1,"Lift",IF(BC1380&lt;=0,"Aussenlager","teilweise")))))</f>
        <v>Lift</v>
      </c>
      <c r="BG1380" s="55" t="str">
        <f aca="false">IF(A1380="","",IF(BP1380=1,"Neu; ","")&amp;IF(AND(BP1380=0,BK1380&lt;0),"negativer Bestand (Export "&amp;BK1380&amp;"); ","")&amp;IF(J1380&lt;=0,"Kein Verbrauch; ","")&amp;IF(CH1380&gt;0,"Lift "&amp;W1380&amp;" lt. Liftbericht (Fach "&amp;X1380&amp;" Stk); ",IF(BU1380=1,"Gebinde geschätzt ("&amp;T1380&amp;"); ",IF(BT1380=1,"Lose – Tablare geschätzt; ","")))&amp;IF(H1380&gt;AR1380,"Überbestand "&amp;ROUND(H1380-AR1380,0)&amp;" Stk / CHF "&amp;ROUND((H1380-AR1380)*G1380,0)&amp;"; ","")&amp;IF(AND(CA1380=1,CB1380&lt;CC1380),"MAX &lt; MB+LG; ","")&amp;IF(AND(CG1380&gt;0,CF1380*10&gt;CG1380),"zu hoch für Tablar; ","")&amp;IF(AND(BP1380=0,OR(CA1380=1,AA1380&lt;&gt;"",U1380&lt;&gt;"",V1380&lt;&gt;"",AB1380&lt;&gt;"")),"manuell übersteuert; ","")&amp;IF(AND(BT1380=0,R1380=0),"Gebinde unbekannt / Stellmass fehlt; ","")&amp;IF(AND(BT1380=0,N(V1380)&lt;=0,N(Q1380)&lt;=0),"Menge pro Gebinde fehlt (Ist = 1 Gebinde); ","")&amp;BO1380)</f>
        <v>negativer Bestand (Export -19); Neu</v>
      </c>
      <c r="BH1380" s="55"/>
      <c r="BI1380" s="55"/>
      <c r="BJ1380" s="62"/>
      <c r="BK1380" s="57" t="n">
        <v>-19</v>
      </c>
      <c r="BL1380" s="57" t="n">
        <v>32</v>
      </c>
      <c r="BM1380" s="56" t="n">
        <v>-2923.6</v>
      </c>
      <c r="BN1380" s="57" t="n">
        <v>31</v>
      </c>
      <c r="BO1380" s="55" t="s">
        <v>626</v>
      </c>
      <c r="BP1380" s="60" t="n">
        <v>0</v>
      </c>
      <c r="BQ1380" s="60" t="n">
        <v>1380</v>
      </c>
      <c r="BR1380" s="55" t="str">
        <f aca="false">IF(U1380&lt;&gt;"",UPPER(TRIM(U1380)),IF(BU1380=1,UPPER(VLOOKUP(T1380,Parameter!$I$27:$K$29,2,0)),IF(P1380="","LOSE",P1380)))</f>
        <v>S63</v>
      </c>
      <c r="BS1380" s="57" t="n">
        <f aca="false">IF(BR1380="LOSE",1,IF(N(V1380)&gt;0,V1380,IF(BU1380=1,MAX(1,N(VLOOKUP(T1380,Parameter!$I$27:$K$29,3,0)),H1380,N(N1380)),IF(N(Q1380)&gt;0,Q1380,MAX(1,H1380)))))</f>
        <v>14</v>
      </c>
      <c r="BT1380" s="60" t="n">
        <f aca="false">IF(BR1380="LOSE",1,0)</f>
        <v>0</v>
      </c>
      <c r="BU1380" s="60" t="n">
        <f aca="false">IF(AND(U1380="",OR(P1380="",P1380="LOSE"),T1380&lt;&gt;"",N(S1380)&lt;=0,ISNUMBER(MATCH(T1380,Parameter!$I$27:$I$29,0))),1,0)</f>
        <v>0</v>
      </c>
      <c r="BV1380" s="55" t="str">
        <f aca="false">IF(AND(Parameter!$B$19="Ja",E1380&lt;&gt;"",ISNUMBER(MATCH(E1380,Parameter!$I$35:$I$52,0))),VLOOKUP(E1380,Parameter!$I$35:$J$52,2,0),IFERROR(VLOOKUP(D1380,Parameter!$A$35:$C$64,2,0),"Nein"))</f>
        <v>2+3</v>
      </c>
      <c r="BW1380" s="59" t="n">
        <f aca="false">IF(BT1380=0,0,IF(N(S1380)&gt;0,S1380,IFERROR(VLOOKUP(D1380,Parameter!$A$35:$C$64,3,0)+0,0)))</f>
        <v>0</v>
      </c>
      <c r="BX1380" s="55" t="n">
        <f aca="false">IF(AA1380&lt;&gt;"",AA1380,Z1380)</f>
        <v>2</v>
      </c>
      <c r="BY1380" s="55" t="str">
        <f aca="false">IF(BX1380=1,"L1",IF(OR(BX1380=2,BX1380=3),"L23",IF(BX1380="Aussen","Aussen","-")))</f>
        <v>L23</v>
      </c>
      <c r="BZ1380" s="66" t="n">
        <f aca="false">IF(N(AB1380)&gt;0,AB1380,0)</f>
        <v>0</v>
      </c>
      <c r="CA1380" s="60" t="n">
        <f aca="false">IF(ISNUMBER(AE1380),1,0)</f>
        <v>0</v>
      </c>
      <c r="CB1380" s="57" t="n">
        <f aca="false">N(AE1380)</f>
        <v>0</v>
      </c>
      <c r="CC1380" s="57" t="n">
        <f aca="false">N(M1380)+N(N1380)</f>
        <v>25</v>
      </c>
      <c r="CD1380" s="57" t="n">
        <f aca="false">ROUNDUP(H1380/BS1380,0)</f>
        <v>1</v>
      </c>
      <c r="CE1380" s="57" t="n">
        <f aca="false">ROUNDUP(CB1380/BS1380,0)</f>
        <v>0</v>
      </c>
      <c r="CF1380" s="60" t="n">
        <f aca="false">IF(BT1380=1,0,IFERROR(VLOOKUP(BR1380,'Gebinde-Kategorie'!$A$5:$M$45,5,0)+0,0))</f>
        <v>31</v>
      </c>
      <c r="CG1380" s="60" t="n">
        <f aca="false">IFERROR(IF(OR(BX1380=1,BX1380=2,BX1380=3),N(INDEX(Parameter!$I$5:$I$7,BX1380)),0),0)</f>
        <v>0</v>
      </c>
      <c r="CH1380" s="59" t="n">
        <f aca="false">IF(AND(Parameter!$B$21="Ja",ISNUMBER(W1380),N(X1380)&gt;0),IFERROR(N(INDEX(Parameter!$L$5:$L$7,W1380))*INDEX(Parameter!$E$5:$E$7,W1380)*X1380/SUMIFS($X$7:$X$1843,$W$7:$W$1843,W1380),0),0)</f>
        <v>0</v>
      </c>
    </row>
    <row r="1381" customFormat="false" ht="15" hidden="false" customHeight="false" outlineLevel="0" collapsed="false">
      <c r="A1381" s="55" t="s">
        <v>2431</v>
      </c>
      <c r="B1381" s="55" t="s">
        <v>1039</v>
      </c>
      <c r="C1381" s="55" t="s">
        <v>167</v>
      </c>
      <c r="D1381" s="55" t="s">
        <v>184</v>
      </c>
      <c r="E1381" s="55" t="s">
        <v>185</v>
      </c>
      <c r="F1381" s="55" t="s">
        <v>218</v>
      </c>
      <c r="G1381" s="56" t="n">
        <v>40.61</v>
      </c>
      <c r="H1381" s="57" t="n">
        <f aca="false">MAX(0,IF(AND(Parameter!$B$21="Ja",ISNUMBER(Y1381)),Y1381,IF(Parameter!$B$20="Jahresanfang 2025 + Export",BL1381+BK1381,BK1381)))</f>
        <v>20</v>
      </c>
      <c r="I1381" s="57" t="n">
        <f aca="false">H1381*G1381</f>
        <v>812.2</v>
      </c>
      <c r="J1381" s="57" t="n">
        <f aca="false">BN1381*Parameter!$B$18</f>
        <v>88</v>
      </c>
      <c r="K1381" s="58" t="n">
        <v>56</v>
      </c>
      <c r="L1381" s="59" t="n">
        <v>1.57142857142857</v>
      </c>
      <c r="M1381" s="57" t="n">
        <v>0</v>
      </c>
      <c r="N1381" s="57" t="n">
        <v>75</v>
      </c>
      <c r="O1381" s="60" t="n">
        <v>21</v>
      </c>
      <c r="P1381" s="55" t="s">
        <v>226</v>
      </c>
      <c r="Q1381" s="57" t="n">
        <v>130</v>
      </c>
      <c r="R1381" s="60" t="n">
        <f aca="false">IF(BT1381=1,0,IFERROR(VLOOKUP(BR1381,'Gebinde-Kategorie'!$A$5:$M$45,13,0)+0,0))</f>
        <v>12</v>
      </c>
      <c r="S1381" s="61"/>
      <c r="T1381" s="62"/>
      <c r="U1381" s="62"/>
      <c r="V1381" s="62"/>
      <c r="W1381" s="55"/>
      <c r="X1381" s="57"/>
      <c r="Y1381" s="57"/>
      <c r="Z1381" s="55" t="n">
        <f aca="false">IF(A1381="","",IF(AND(Parameter!$B$21="Ja",ISNUMBER(W1381)),W1381,IF(BV1381="2+3",IF(ISNUMBER(SEARCH("grosser Artikel",BO1381)),2,IFERROR(VLOOKUP(BR1381,Parameter!$F$35:$G$64,2,0),2)),IF(OR(BV1381="Nein",BV1381=""),"-",BV1381))))</f>
        <v>2</v>
      </c>
      <c r="AA1381" s="62"/>
      <c r="AB1381" s="63"/>
      <c r="AC1381" s="57" t="n">
        <f aca="false">AR1381</f>
        <v>130</v>
      </c>
      <c r="AD1381" s="57" t="n">
        <f aca="false">MAX(AR1381,H1381)</f>
        <v>130</v>
      </c>
      <c r="AE1381" s="64"/>
      <c r="AF1381" s="57" t="n">
        <f aca="false">IF(LEFT(Cockpit!$C$5,1)="A",H1381,IF(CA1381=1,CB1381,IF(LEFT(Cockpit!$C$5,1)="B",AJ1381,MAX(AJ1381,H1381))))</f>
        <v>20</v>
      </c>
      <c r="AG1381" s="57" t="n">
        <f aca="false">IF(BT1381=1,0,ROUNDUP(AF1381/BS1381,0))</f>
        <v>1</v>
      </c>
      <c r="AH1381" s="59" t="n">
        <f aca="false">IF(CH1381&gt;0,CH1381*MAX(1,AF1381/X1381),IF(BT1381=1,IF(AF1381&lt;=0,0,BW1381*MAX(1,IF(H1381&gt;0,AF1381/H1381,1))),IF(R1381&gt;0,AG1381/R1381,0))/MAX(0.1,N(Parameter!$M$21)))</f>
        <v>0.0833333333333333</v>
      </c>
      <c r="AI1381" s="57" t="n">
        <f aca="false">AF1381*G1381</f>
        <v>812.2</v>
      </c>
      <c r="AJ1381" s="57" t="n">
        <f aca="false">ROUNDUP(MAX(J1381/IF(BZ1381&gt;0,BZ1381,MAX(0.1,N(Cockpit!$C$6))),CC1381)/BS1381,0)*BS1381</f>
        <v>130</v>
      </c>
      <c r="AK1381" s="58" t="n">
        <f aca="false">IF(AH1381&gt;0,J1381/AH1381,-1)</f>
        <v>1056</v>
      </c>
      <c r="AL1381" s="58" t="n">
        <f aca="false">IF(AND(OR(BY1381="L1",BY1381="L23"),AH1381&gt;0),SUMIFS($AH$7:$AH$1843,$BY$7:$BY$1843,BY1381,$AK$7:$AK$1843,"&gt;"&amp;AK1381)+SUMIFS($AH$7:$AH$1843,$BY$7:$BY$1843,BY1381,$AK$7:$AK$1843,AK1381,$BQ$7:$BQ$1843,"&lt;="&amp;BQ1381),"")</f>
        <v>17.3459764872808</v>
      </c>
      <c r="AM1381" s="65" t="n">
        <f aca="false">IF(AL1381="",0,MAX(0,MIN(1,(IF(BY1381="L1",Parameter!$E$5,Parameter!$E$6+Parameter!$E$7)-(AL1381-AH1381))/AH1381)))</f>
        <v>1</v>
      </c>
      <c r="AN1381" s="57" t="n">
        <f aca="false">IF(LEFT(Cockpit!$I$5,1)="A",H1381,IF(CA1381=1,CB1381,IF(LEFT(Cockpit!$I$5,1)="B",AR1381,MAX(AR1381,H1381))))</f>
        <v>130</v>
      </c>
      <c r="AO1381" s="57" t="n">
        <f aca="false">IF(BT1381=1,0,ROUNDUP(AN1381/BS1381,0))</f>
        <v>1</v>
      </c>
      <c r="AP1381" s="59" t="n">
        <f aca="false">IF(CH1381&gt;0,CH1381*MAX(1,AN1381/X1381),IF(BT1381=1,IF(AN1381&lt;=0,0,BW1381*MAX(1,IF(H1381&gt;0,AN1381/H1381,1))),IF(R1381&gt;0,AO1381/R1381,0))/MAX(0.1,N(Parameter!$M$21)))</f>
        <v>0.0833333333333333</v>
      </c>
      <c r="AQ1381" s="57" t="n">
        <f aca="false">AN1381*G1381</f>
        <v>5279.3</v>
      </c>
      <c r="AR1381" s="57" t="n">
        <f aca="false">ROUNDUP(MAX(J1381/IF(BZ1381&gt;0,BZ1381,MAX(0.1,N(Cockpit!$I$6))),CC1381)/BS1381,0)*BS1381</f>
        <v>130</v>
      </c>
      <c r="AS1381" s="58" t="n">
        <f aca="false">IF(AP1381&gt;0,J1381/AP1381,-1)</f>
        <v>1056</v>
      </c>
      <c r="AT1381" s="58" t="n">
        <f aca="false">IF(AND(OR(BY1381="L1",BY1381="L23"),AP1381&gt;0),SUMIFS($AP$7:$AP$1843,$BY$7:$BY$1843,BY1381,$AS$7:$AS$1843,"&gt;"&amp;AS1381)+SUMIFS($AP$7:$AP$1843,$BY$7:$BY$1843,BY1381,$AS$7:$AS$1843,AS1381,$BQ$7:$BQ$1843,"&lt;="&amp;BQ1381),"")</f>
        <v>23.5473125907909</v>
      </c>
      <c r="AU1381" s="65" t="n">
        <f aca="false">IF(AT1381="",0,MAX(0,MIN(1,(IF(BY1381="L1",Parameter!$E$5,Parameter!$E$6+Parameter!$E$7)-(AT1381-AP1381))/AP1381)))</f>
        <v>1</v>
      </c>
      <c r="AV1381" s="57" t="n">
        <f aca="false">IF(LEFT(Cockpit!$O$5,1)="A",H1381,IF(CA1381=1,CB1381,IF(LEFT(Cockpit!$O$5,1)="B",AZ1381,MAX(AZ1381,H1381))))</f>
        <v>130</v>
      </c>
      <c r="AW1381" s="57" t="n">
        <f aca="false">IF(BT1381=1,0,ROUNDUP(AV1381/BS1381,0))</f>
        <v>1</v>
      </c>
      <c r="AX1381" s="59" t="n">
        <f aca="false">IF(CH1381&gt;0,CH1381*MAX(1,AV1381/X1381),IF(BT1381=1,IF(AV1381&lt;=0,0,BW1381*MAX(1,IF(H1381&gt;0,AV1381/H1381,1))),IF(R1381&gt;0,AW1381/R1381,0))/MAX(0.1,N(Parameter!$M$21)))</f>
        <v>0.0833333333333333</v>
      </c>
      <c r="AY1381" s="57" t="n">
        <f aca="false">AV1381*G1381</f>
        <v>5279.3</v>
      </c>
      <c r="AZ1381" s="57" t="n">
        <f aca="false">ROUNDUP(MAX(J1381/IF(BZ1381&gt;0,BZ1381,MAX(0.1,N(Cockpit!$O$6))),CC1381)/BS1381,0)*BS1381</f>
        <v>130</v>
      </c>
      <c r="BA1381" s="58" t="n">
        <f aca="false">IF(AX1381&gt;0,J1381/AX1381,-1)</f>
        <v>1056</v>
      </c>
      <c r="BB1381" s="58" t="n">
        <f aca="false">IF(AND(OR(BY1381="L1",BY1381="L23"),AX1381&gt;0),SUMIFS($AX$7:$AX$1843,$BY$7:$BY$1843,BY1381,$BA$7:$BA$1843,"&gt;"&amp;BA1381)+SUMIFS($AX$7:$AX$1843,$BY$7:$BY$1843,BY1381,$BA$7:$BA$1843,BA1381,$BQ$7:$BQ$1843,"&lt;="&amp;BQ1381),"")</f>
        <v>22.7425340360123</v>
      </c>
      <c r="BC1381" s="65" t="n">
        <f aca="false">IF(BB1381="",0,MAX(0,MIN(1,(IF(BY1381="L1",Parameter!$E$5,Parameter!$E$6+Parameter!$E$7)-(BB1381-AX1381))/AX1381)))</f>
        <v>1</v>
      </c>
      <c r="BD1381" s="55" t="str">
        <f aca="false">IF(AH1381&lt;=0,"",IF(BY1381="Aussen","Aussenlager",IF(BY1381="-","Nicht im Lift",IF(AM1381&gt;=1,"Lift",IF(AM1381&lt;=0,"Aussenlager","teilweise")))))</f>
        <v>Lift</v>
      </c>
      <c r="BE1381" s="55" t="str">
        <f aca="false">IF(AP1381&lt;=0,"",IF(BY1381="Aussen","Aussenlager",IF(BY1381="-","Nicht im Lift",IF(AU1381&gt;=1,"Lift",IF(AU1381&lt;=0,"Aussenlager","teilweise")))))</f>
        <v>Lift</v>
      </c>
      <c r="BF1381" s="55" t="str">
        <f aca="false">IF(AX1381&lt;=0,"",IF(BY1381="Aussen","Aussenlager",IF(BY1381="-","Nicht im Lift",IF(BC1381&gt;=1,"Lift",IF(BC1381&lt;=0,"Aussenlager","teilweise")))))</f>
        <v>Lift</v>
      </c>
      <c r="BG1381" s="55" t="str">
        <f aca="false">IF(A1381="","",IF(BP1381=1,"Neu; ","")&amp;IF(AND(BP1381=0,BK1381&lt;0),"negativer Bestand (Export "&amp;BK1381&amp;"); ","")&amp;IF(J1381&lt;=0,"Kein Verbrauch; ","")&amp;IF(CH1381&gt;0,"Lift "&amp;W1381&amp;" lt. Liftbericht (Fach "&amp;X1381&amp;" Stk); ",IF(BU1381=1,"Gebinde geschätzt ("&amp;T1381&amp;"); ",IF(BT1381=1,"Lose – Tablare geschätzt; ","")))&amp;IF(H1381&gt;AR1381,"Überbestand "&amp;ROUND(H1381-AR1381,0)&amp;" Stk / CHF "&amp;ROUND((H1381-AR1381)*G1381,0)&amp;"; ","")&amp;IF(AND(CA1381=1,CB1381&lt;CC1381),"MAX &lt; MB+LG; ","")&amp;IF(AND(CG1381&gt;0,CF1381*10&gt;CG1381),"zu hoch für Tablar; ","")&amp;IF(AND(BP1381=0,OR(CA1381=1,AA1381&lt;&gt;"",U1381&lt;&gt;"",V1381&lt;&gt;"",AB1381&lt;&gt;"")),"manuell übersteuert; ","")&amp;IF(AND(BT1381=0,R1381=0),"Gebinde unbekannt / Stellmass fehlt; ","")&amp;IF(AND(BT1381=0,N(V1381)&lt;=0,N(Q1381)&lt;=0),"Menge pro Gebinde fehlt (Ist = 1 Gebinde); ","")&amp;BO1381)</f>
        <v>negativer Bestand (Export -72); </v>
      </c>
      <c r="BH1381" s="55"/>
      <c r="BI1381" s="55"/>
      <c r="BJ1381" s="62"/>
      <c r="BK1381" s="57" t="n">
        <v>-72</v>
      </c>
      <c r="BL1381" s="57" t="n">
        <v>92</v>
      </c>
      <c r="BM1381" s="56" t="n">
        <v>-2923.92</v>
      </c>
      <c r="BN1381" s="57" t="n">
        <v>88</v>
      </c>
      <c r="BO1381" s="55"/>
      <c r="BP1381" s="60" t="n">
        <v>0</v>
      </c>
      <c r="BQ1381" s="60" t="n">
        <v>1381</v>
      </c>
      <c r="BR1381" s="55" t="str">
        <f aca="false">IF(U1381&lt;&gt;"",UPPER(TRIM(U1381)),IF(BU1381=1,UPPER(VLOOKUP(T1381,Parameter!$I$27:$K$29,2,0)),IF(P1381="","LOSE",P1381)))</f>
        <v>S63</v>
      </c>
      <c r="BS1381" s="57" t="n">
        <f aca="false">IF(BR1381="LOSE",1,IF(N(V1381)&gt;0,V1381,IF(BU1381=1,MAX(1,N(VLOOKUP(T1381,Parameter!$I$27:$K$29,3,0)),H1381,N(N1381)),IF(N(Q1381)&gt;0,Q1381,MAX(1,H1381)))))</f>
        <v>130</v>
      </c>
      <c r="BT1381" s="60" t="n">
        <f aca="false">IF(BR1381="LOSE",1,0)</f>
        <v>0</v>
      </c>
      <c r="BU1381" s="60" t="n">
        <f aca="false">IF(AND(U1381="",OR(P1381="",P1381="LOSE"),T1381&lt;&gt;"",N(S1381)&lt;=0,ISNUMBER(MATCH(T1381,Parameter!$I$27:$I$29,0))),1,0)</f>
        <v>0</v>
      </c>
      <c r="BV1381" s="55" t="str">
        <f aca="false">IF(AND(Parameter!$B$19="Ja",E1381&lt;&gt;"",ISNUMBER(MATCH(E1381,Parameter!$I$35:$I$52,0))),VLOOKUP(E1381,Parameter!$I$35:$J$52,2,0),IFERROR(VLOOKUP(D1381,Parameter!$A$35:$C$64,2,0),"Nein"))</f>
        <v>2+3</v>
      </c>
      <c r="BW1381" s="59" t="n">
        <f aca="false">IF(BT1381=0,0,IF(N(S1381)&gt;0,S1381,IFERROR(VLOOKUP(D1381,Parameter!$A$35:$C$64,3,0)+0,0)))</f>
        <v>0</v>
      </c>
      <c r="BX1381" s="55" t="n">
        <f aca="false">IF(AA1381&lt;&gt;"",AA1381,Z1381)</f>
        <v>2</v>
      </c>
      <c r="BY1381" s="55" t="str">
        <f aca="false">IF(BX1381=1,"L1",IF(OR(BX1381=2,BX1381=3),"L23",IF(BX1381="Aussen","Aussen","-")))</f>
        <v>L23</v>
      </c>
      <c r="BZ1381" s="66" t="n">
        <f aca="false">IF(N(AB1381)&gt;0,AB1381,0)</f>
        <v>0</v>
      </c>
      <c r="CA1381" s="60" t="n">
        <f aca="false">IF(ISNUMBER(AE1381),1,0)</f>
        <v>0</v>
      </c>
      <c r="CB1381" s="57" t="n">
        <f aca="false">N(AE1381)</f>
        <v>0</v>
      </c>
      <c r="CC1381" s="57" t="n">
        <f aca="false">N(M1381)+N(N1381)</f>
        <v>75</v>
      </c>
      <c r="CD1381" s="57" t="n">
        <f aca="false">ROUNDUP(H1381/BS1381,0)</f>
        <v>1</v>
      </c>
      <c r="CE1381" s="57" t="n">
        <f aca="false">ROUNDUP(CB1381/BS1381,0)</f>
        <v>0</v>
      </c>
      <c r="CF1381" s="60" t="n">
        <f aca="false">IF(BT1381=1,0,IFERROR(VLOOKUP(BR1381,'Gebinde-Kategorie'!$A$5:$M$45,5,0)+0,0))</f>
        <v>31</v>
      </c>
      <c r="CG1381" s="60" t="n">
        <f aca="false">IFERROR(IF(OR(BX1381=1,BX1381=2,BX1381=3),N(INDEX(Parameter!$I$5:$I$7,BX1381)),0),0)</f>
        <v>0</v>
      </c>
      <c r="CH1381" s="59" t="n">
        <f aca="false">IF(AND(Parameter!$B$21="Ja",ISNUMBER(W1381),N(X1381)&gt;0),IFERROR(N(INDEX(Parameter!$L$5:$L$7,W1381))*INDEX(Parameter!$E$5:$E$7,W1381)*X1381/SUMIFS($X$7:$X$1843,$W$7:$W$1843,W1381),0),0)</f>
        <v>0</v>
      </c>
    </row>
    <row r="1382" customFormat="false" ht="15" hidden="false" customHeight="false" outlineLevel="0" collapsed="false">
      <c r="A1382" s="55" t="s">
        <v>2432</v>
      </c>
      <c r="B1382" s="55" t="s">
        <v>413</v>
      </c>
      <c r="C1382" s="55" t="s">
        <v>164</v>
      </c>
      <c r="D1382" s="55" t="s">
        <v>173</v>
      </c>
      <c r="E1382" s="55"/>
      <c r="F1382" s="55" t="s">
        <v>218</v>
      </c>
      <c r="G1382" s="56" t="n">
        <v>199.67</v>
      </c>
      <c r="H1382" s="57" t="n">
        <f aca="false">MAX(0,IF(AND(Parameter!$B$21="Ja",ISNUMBER(Y1382)),Y1382,IF(Parameter!$B$20="Jahresanfang 2025 + Export",BL1382+BK1382,BK1382)))</f>
        <v>0</v>
      </c>
      <c r="I1382" s="57" t="n">
        <f aca="false">H1382*G1382</f>
        <v>0</v>
      </c>
      <c r="J1382" s="57" t="n">
        <f aca="false">BN1382*Parameter!$B$18</f>
        <v>33</v>
      </c>
      <c r="K1382" s="58" t="n">
        <v>8</v>
      </c>
      <c r="L1382" s="59" t="n">
        <v>4.125</v>
      </c>
      <c r="M1382" s="57" t="n">
        <v>0</v>
      </c>
      <c r="N1382" s="57" t="n">
        <v>15</v>
      </c>
      <c r="O1382" s="60" t="n">
        <v>14</v>
      </c>
      <c r="P1382" s="55" t="s">
        <v>233</v>
      </c>
      <c r="Q1382" s="57" t="n">
        <v>6</v>
      </c>
      <c r="R1382" s="60" t="n">
        <f aca="false">IF(BT1382=1,0,IFERROR(VLOOKUP(BR1382,'Gebinde-Kategorie'!$A$5:$M$45,13,0)+0,0))</f>
        <v>26</v>
      </c>
      <c r="S1382" s="61"/>
      <c r="T1382" s="62"/>
      <c r="U1382" s="62"/>
      <c r="V1382" s="62"/>
      <c r="W1382" s="55"/>
      <c r="X1382" s="57"/>
      <c r="Y1382" s="57"/>
      <c r="Z1382" s="55" t="n">
        <f aca="false">IF(A1382="","",IF(AND(Parameter!$B$21="Ja",ISNUMBER(W1382)),W1382,IF(BV1382="2+3",IF(ISNUMBER(SEARCH("grosser Artikel",BO1382)),2,IFERROR(VLOOKUP(BR1382,Parameter!$F$35:$G$64,2,0),2)),IF(OR(BV1382="Nein",BV1382=""),"-",BV1382))))</f>
        <v>3</v>
      </c>
      <c r="AA1382" s="62"/>
      <c r="AB1382" s="63"/>
      <c r="AC1382" s="57" t="n">
        <f aca="false">AR1382</f>
        <v>18</v>
      </c>
      <c r="AD1382" s="57" t="n">
        <f aca="false">MAX(AR1382,H1382)</f>
        <v>18</v>
      </c>
      <c r="AE1382" s="64"/>
      <c r="AF1382" s="57" t="n">
        <f aca="false">IF(LEFT(Cockpit!$C$5,1)="A",H1382,IF(CA1382=1,CB1382,IF(LEFT(Cockpit!$C$5,1)="B",AJ1382,MAX(AJ1382,H1382))))</f>
        <v>0</v>
      </c>
      <c r="AG1382" s="57" t="n">
        <f aca="false">IF(BT1382=1,0,ROUNDUP(AF1382/BS1382,0))</f>
        <v>0</v>
      </c>
      <c r="AH1382" s="59" t="n">
        <f aca="false">IF(CH1382&gt;0,CH1382*MAX(1,AF1382/X1382),IF(BT1382=1,IF(AF1382&lt;=0,0,BW1382*MAX(1,IF(H1382&gt;0,AF1382/H1382,1))),IF(R1382&gt;0,AG1382/R1382,0))/MAX(0.1,N(Parameter!$M$21)))</f>
        <v>0</v>
      </c>
      <c r="AI1382" s="57" t="n">
        <f aca="false">AF1382*G1382</f>
        <v>0</v>
      </c>
      <c r="AJ1382" s="57" t="n">
        <f aca="false">ROUNDUP(MAX(J1382/IF(BZ1382&gt;0,BZ1382,MAX(0.1,N(Cockpit!$C$6))),CC1382)/BS1382,0)*BS1382</f>
        <v>18</v>
      </c>
      <c r="AK1382" s="58" t="n">
        <f aca="false">IF(AH1382&gt;0,J1382/AH1382,-1)</f>
        <v>-1</v>
      </c>
      <c r="AL1382" s="58" t="str">
        <f aca="false">IF(AND(OR(BY1382="L1",BY1382="L23"),AH1382&gt;0),SUMIFS($AH$7:$AH$1843,$BY$7:$BY$1843,BY1382,$AK$7:$AK$1843,"&gt;"&amp;AK1382)+SUMIFS($AH$7:$AH$1843,$BY$7:$BY$1843,BY1382,$AK$7:$AK$1843,AK1382,$BQ$7:$BQ$1843,"&lt;="&amp;BQ1382),"")</f>
        <v/>
      </c>
      <c r="AM1382" s="65" t="n">
        <f aca="false">IF(AL1382="",0,MAX(0,MIN(1,(IF(BY1382="L1",Parameter!$E$5,Parameter!$E$6+Parameter!$E$7)-(AL1382-AH1382))/AH1382)))</f>
        <v>0</v>
      </c>
      <c r="AN1382" s="57" t="n">
        <f aca="false">IF(LEFT(Cockpit!$I$5,1)="A",H1382,IF(CA1382=1,CB1382,IF(LEFT(Cockpit!$I$5,1)="B",AR1382,MAX(AR1382,H1382))))</f>
        <v>18</v>
      </c>
      <c r="AO1382" s="57" t="n">
        <f aca="false">IF(BT1382=1,0,ROUNDUP(AN1382/BS1382,0))</f>
        <v>3</v>
      </c>
      <c r="AP1382" s="59" t="n">
        <f aca="false">IF(CH1382&gt;0,CH1382*MAX(1,AN1382/X1382),IF(BT1382=1,IF(AN1382&lt;=0,0,BW1382*MAX(1,IF(H1382&gt;0,AN1382/H1382,1))),IF(R1382&gt;0,AO1382/R1382,0))/MAX(0.1,N(Parameter!$M$21)))</f>
        <v>0.115384615384615</v>
      </c>
      <c r="AQ1382" s="57" t="n">
        <f aca="false">AN1382*G1382</f>
        <v>3594.06</v>
      </c>
      <c r="AR1382" s="57" t="n">
        <f aca="false">ROUNDUP(MAX(J1382/IF(BZ1382&gt;0,BZ1382,MAX(0.1,N(Cockpit!$I$6))),CC1382)/BS1382,0)*BS1382</f>
        <v>18</v>
      </c>
      <c r="AS1382" s="58" t="n">
        <f aca="false">IF(AP1382&gt;0,J1382/AP1382,-1)</f>
        <v>286</v>
      </c>
      <c r="AT1382" s="58" t="n">
        <f aca="false">IF(AND(OR(BY1382="L1",BY1382="L23"),AP1382&gt;0),SUMIFS($AP$7:$AP$1843,$BY$7:$BY$1843,BY1382,$AS$7:$AS$1843,"&gt;"&amp;AS1382)+SUMIFS($AP$7:$AP$1843,$BY$7:$BY$1843,BY1382,$AS$7:$AS$1843,AS1382,$BQ$7:$BQ$1843,"&lt;="&amp;BQ1382),"")</f>
        <v>41.8239839870275</v>
      </c>
      <c r="AU1382" s="65" t="n">
        <f aca="false">IF(AT1382="",0,MAX(0,MIN(1,(IF(BY1382="L1",Parameter!$E$5,Parameter!$E$6+Parameter!$E$7)-(AT1382-AP1382))/AP1382)))</f>
        <v>1</v>
      </c>
      <c r="AV1382" s="57" t="n">
        <f aca="false">IF(LEFT(Cockpit!$O$5,1)="A",H1382,IF(CA1382=1,CB1382,IF(LEFT(Cockpit!$O$5,1)="B",AZ1382,MAX(AZ1382,H1382))))</f>
        <v>18</v>
      </c>
      <c r="AW1382" s="57" t="n">
        <f aca="false">IF(BT1382=1,0,ROUNDUP(AV1382/BS1382,0))</f>
        <v>3</v>
      </c>
      <c r="AX1382" s="59" t="n">
        <f aca="false">IF(CH1382&gt;0,CH1382*MAX(1,AV1382/X1382),IF(BT1382=1,IF(AV1382&lt;=0,0,BW1382*MAX(1,IF(H1382&gt;0,AV1382/H1382,1))),IF(R1382&gt;0,AW1382/R1382,0))/MAX(0.1,N(Parameter!$M$21)))</f>
        <v>0.115384615384615</v>
      </c>
      <c r="AY1382" s="57" t="n">
        <f aca="false">AV1382*G1382</f>
        <v>3594.06</v>
      </c>
      <c r="AZ1382" s="57" t="n">
        <f aca="false">ROUNDUP(MAX(J1382/IF(BZ1382&gt;0,BZ1382,MAX(0.1,N(Cockpit!$O$6))),CC1382)/BS1382,0)*BS1382</f>
        <v>18</v>
      </c>
      <c r="BA1382" s="58" t="n">
        <f aca="false">IF(AX1382&gt;0,J1382/AX1382,-1)</f>
        <v>286</v>
      </c>
      <c r="BB1382" s="58" t="n">
        <f aca="false">IF(AND(OR(BY1382="L1",BY1382="L23"),AX1382&gt;0),SUMIFS($AX$7:$AX$1843,$BY$7:$BY$1843,BY1382,$BA$7:$BA$1843,"&gt;"&amp;BA1382)+SUMIFS($AX$7:$AX$1843,$BY$7:$BY$1843,BY1382,$BA$7:$BA$1843,BA1382,$BQ$7:$BQ$1843,"&lt;="&amp;BQ1382),"")</f>
        <v>38.1538208168643</v>
      </c>
      <c r="BC1382" s="65" t="n">
        <f aca="false">IF(BB1382="",0,MAX(0,MIN(1,(IF(BY1382="L1",Parameter!$E$5,Parameter!$E$6+Parameter!$E$7)-(BB1382-AX1382))/AX1382)))</f>
        <v>1</v>
      </c>
      <c r="BD1382" s="55" t="str">
        <f aca="false">IF(AH1382&lt;=0,"",IF(BY1382="Aussen","Aussenlager",IF(BY1382="-","Nicht im Lift",IF(AM1382&gt;=1,"Lift",IF(AM1382&lt;=0,"Aussenlager","teilweise")))))</f>
        <v/>
      </c>
      <c r="BE1382" s="55" t="str">
        <f aca="false">IF(AP1382&lt;=0,"",IF(BY1382="Aussen","Aussenlager",IF(BY1382="-","Nicht im Lift",IF(AU1382&gt;=1,"Lift",IF(AU1382&lt;=0,"Aussenlager","teilweise")))))</f>
        <v>Lift</v>
      </c>
      <c r="BF1382" s="55" t="str">
        <f aca="false">IF(AX1382&lt;=0,"",IF(BY1382="Aussen","Aussenlager",IF(BY1382="-","Nicht im Lift",IF(BC1382&gt;=1,"Lift",IF(BC1382&lt;=0,"Aussenlager","teilweise")))))</f>
        <v>Lift</v>
      </c>
      <c r="BG1382" s="55" t="str">
        <f aca="false">IF(A1382="","",IF(BP1382=1,"Neu; ","")&amp;IF(AND(BP1382=0,BK1382&lt;0),"negativer Bestand (Export "&amp;BK1382&amp;"); ","")&amp;IF(J1382&lt;=0,"Kein Verbrauch; ","")&amp;IF(CH1382&gt;0,"Lift "&amp;W1382&amp;" lt. Liftbericht (Fach "&amp;X1382&amp;" Stk); ",IF(BU1382=1,"Gebinde geschätzt ("&amp;T1382&amp;"); ",IF(BT1382=1,"Lose – Tablare geschätzt; ","")))&amp;IF(H1382&gt;AR1382,"Überbestand "&amp;ROUND(H1382-AR1382,0)&amp;" Stk / CHF "&amp;ROUND((H1382-AR1382)*G1382,0)&amp;"; ","")&amp;IF(AND(CA1382=1,CB1382&lt;CC1382),"MAX &lt; MB+LG; ","")&amp;IF(AND(CG1382&gt;0,CF1382*10&gt;CG1382),"zu hoch für Tablar; ","")&amp;IF(AND(BP1382=0,OR(CA1382=1,AA1382&lt;&gt;"",U1382&lt;&gt;"",V1382&lt;&gt;"",AB1382&lt;&gt;"")),"manuell übersteuert; ","")&amp;IF(AND(BT1382=0,R1382=0),"Gebinde unbekannt / Stellmass fehlt; ","")&amp;IF(AND(BT1382=0,N(V1382)&lt;=0,N(Q1382)&lt;=0),"Menge pro Gebinde fehlt (Ist = 1 Gebinde); ","")&amp;BO1382)</f>
        <v>negativer Bestand (Export -16); </v>
      </c>
      <c r="BH1382" s="55"/>
      <c r="BI1382" s="55"/>
      <c r="BJ1382" s="62"/>
      <c r="BK1382" s="57" t="n">
        <v>-16</v>
      </c>
      <c r="BL1382" s="57" t="n">
        <v>16</v>
      </c>
      <c r="BM1382" s="56" t="n">
        <v>-3000</v>
      </c>
      <c r="BN1382" s="57" t="n">
        <v>33</v>
      </c>
      <c r="BO1382" s="55"/>
      <c r="BP1382" s="60" t="n">
        <v>0</v>
      </c>
      <c r="BQ1382" s="60" t="n">
        <v>1382</v>
      </c>
      <c r="BR1382" s="55" t="str">
        <f aca="false">IF(U1382&lt;&gt;"",UPPER(TRIM(U1382)),IF(BU1382=1,UPPER(VLOOKUP(T1382,Parameter!$I$27:$K$29,2,0)),IF(P1382="","LOSE",P1382)))</f>
        <v>S52</v>
      </c>
      <c r="BS1382" s="57" t="n">
        <f aca="false">IF(BR1382="LOSE",1,IF(N(V1382)&gt;0,V1382,IF(BU1382=1,MAX(1,N(VLOOKUP(T1382,Parameter!$I$27:$K$29,3,0)),H1382,N(N1382)),IF(N(Q1382)&gt;0,Q1382,MAX(1,H1382)))))</f>
        <v>6</v>
      </c>
      <c r="BT1382" s="60" t="n">
        <f aca="false">IF(BR1382="LOSE",1,0)</f>
        <v>0</v>
      </c>
      <c r="BU1382" s="60" t="n">
        <f aca="false">IF(AND(U1382="",OR(P1382="",P1382="LOSE"),T1382&lt;&gt;"",N(S1382)&lt;=0,ISNUMBER(MATCH(T1382,Parameter!$I$27:$I$29,0))),1,0)</f>
        <v>0</v>
      </c>
      <c r="BV1382" s="55" t="str">
        <f aca="false">IF(AND(Parameter!$B$19="Ja",E1382&lt;&gt;"",ISNUMBER(MATCH(E1382,Parameter!$I$35:$I$52,0))),VLOOKUP(E1382,Parameter!$I$35:$J$52,2,0),IFERROR(VLOOKUP(D1382,Parameter!$A$35:$C$64,2,0),"Nein"))</f>
        <v>2+3</v>
      </c>
      <c r="BW1382" s="59" t="n">
        <f aca="false">IF(BT1382=0,0,IF(N(S1382)&gt;0,S1382,IFERROR(VLOOKUP(D1382,Parameter!$A$35:$C$64,3,0)+0,0)))</f>
        <v>0</v>
      </c>
      <c r="BX1382" s="55" t="n">
        <f aca="false">IF(AA1382&lt;&gt;"",AA1382,Z1382)</f>
        <v>3</v>
      </c>
      <c r="BY1382" s="55" t="str">
        <f aca="false">IF(BX1382=1,"L1",IF(OR(BX1382=2,BX1382=3),"L23",IF(BX1382="Aussen","Aussen","-")))</f>
        <v>L23</v>
      </c>
      <c r="BZ1382" s="66" t="n">
        <f aca="false">IF(N(AB1382)&gt;0,AB1382,0)</f>
        <v>0</v>
      </c>
      <c r="CA1382" s="60" t="n">
        <f aca="false">IF(ISNUMBER(AE1382),1,0)</f>
        <v>0</v>
      </c>
      <c r="CB1382" s="57" t="n">
        <f aca="false">N(AE1382)</f>
        <v>0</v>
      </c>
      <c r="CC1382" s="57" t="n">
        <f aca="false">N(M1382)+N(N1382)</f>
        <v>15</v>
      </c>
      <c r="CD1382" s="57" t="n">
        <f aca="false">ROUNDUP(H1382/BS1382,0)</f>
        <v>0</v>
      </c>
      <c r="CE1382" s="57" t="n">
        <f aca="false">ROUNDUP(CB1382/BS1382,0)</f>
        <v>0</v>
      </c>
      <c r="CF1382" s="60" t="n">
        <f aca="false">IF(BT1382=1,0,IFERROR(VLOOKUP(BR1382,'Gebinde-Kategorie'!$A$5:$M$45,5,0)+0,0))</f>
        <v>21</v>
      </c>
      <c r="CG1382" s="60" t="n">
        <f aca="false">IFERROR(IF(OR(BX1382=1,BX1382=2,BX1382=3),N(INDEX(Parameter!$I$5:$I$7,BX1382)),0),0)</f>
        <v>0</v>
      </c>
      <c r="CH1382" s="59" t="n">
        <f aca="false">IF(AND(Parameter!$B$21="Ja",ISNUMBER(W1382),N(X1382)&gt;0),IFERROR(N(INDEX(Parameter!$L$5:$L$7,W1382))*INDEX(Parameter!$E$5:$E$7,W1382)*X1382/SUMIFS($X$7:$X$1843,$W$7:$W$1843,W1382),0),0)</f>
        <v>0</v>
      </c>
    </row>
    <row r="1383" customFormat="false" ht="15" hidden="false" customHeight="false" outlineLevel="0" collapsed="false">
      <c r="A1383" s="55" t="s">
        <v>2433</v>
      </c>
      <c r="B1383" s="55" t="s">
        <v>405</v>
      </c>
      <c r="C1383" s="55" t="s">
        <v>164</v>
      </c>
      <c r="D1383" s="55" t="s">
        <v>173</v>
      </c>
      <c r="E1383" s="55" t="s">
        <v>185</v>
      </c>
      <c r="F1383" s="55" t="s">
        <v>218</v>
      </c>
      <c r="G1383" s="56" t="n">
        <v>2.62</v>
      </c>
      <c r="H1383" s="57" t="n">
        <f aca="false">MAX(0,IF(AND(Parameter!$B$21="Ja",ISNUMBER(Y1383)),Y1383,IF(Parameter!$B$20="Jahresanfang 2025 + Export",BL1383+BK1383,BK1383)))</f>
        <v>1453</v>
      </c>
      <c r="I1383" s="57" t="n">
        <f aca="false">H1383*G1383</f>
        <v>3806.86</v>
      </c>
      <c r="J1383" s="57" t="n">
        <f aca="false">BN1383*Parameter!$B$18</f>
        <v>2095</v>
      </c>
      <c r="K1383" s="58" t="n">
        <v>1741</v>
      </c>
      <c r="L1383" s="59" t="n">
        <v>1.20333141872487</v>
      </c>
      <c r="M1383" s="57" t="n">
        <v>122</v>
      </c>
      <c r="N1383" s="57" t="n">
        <v>400</v>
      </c>
      <c r="O1383" s="60" t="n">
        <v>21</v>
      </c>
      <c r="P1383" s="55" t="s">
        <v>174</v>
      </c>
      <c r="Q1383" s="57" t="n">
        <v>576</v>
      </c>
      <c r="R1383" s="60" t="n">
        <f aca="false">IF(BT1383=1,0,IFERROR(VLOOKUP(BR1383,'Gebinde-Kategorie'!$A$5:$M$45,13,0)+0,0))</f>
        <v>6</v>
      </c>
      <c r="S1383" s="61"/>
      <c r="T1383" s="62"/>
      <c r="U1383" s="62"/>
      <c r="V1383" s="62"/>
      <c r="W1383" s="55"/>
      <c r="X1383" s="57"/>
      <c r="Y1383" s="57"/>
      <c r="Z1383" s="55" t="n">
        <f aca="false">IF(A1383="","",IF(AND(Parameter!$B$21="Ja",ISNUMBER(W1383)),W1383,IF(BV1383="2+3",IF(ISNUMBER(SEARCH("grosser Artikel",BO1383)),2,IFERROR(VLOOKUP(BR1383,Parameter!$F$35:$G$64,2,0),2)),IF(OR(BV1383="Nein",BV1383=""),"-",BV1383))))</f>
        <v>2</v>
      </c>
      <c r="AA1383" s="62"/>
      <c r="AB1383" s="63"/>
      <c r="AC1383" s="57" t="n">
        <f aca="false">AR1383</f>
        <v>1152</v>
      </c>
      <c r="AD1383" s="57" t="n">
        <f aca="false">MAX(AR1383,H1383)</f>
        <v>1453</v>
      </c>
      <c r="AE1383" s="64"/>
      <c r="AF1383" s="57" t="n">
        <f aca="false">IF(LEFT(Cockpit!$C$5,1)="A",H1383,IF(CA1383=1,CB1383,IF(LEFT(Cockpit!$C$5,1)="B",AJ1383,MAX(AJ1383,H1383))))</f>
        <v>1453</v>
      </c>
      <c r="AG1383" s="57" t="n">
        <f aca="false">IF(BT1383=1,0,ROUNDUP(AF1383/BS1383,0))</f>
        <v>3</v>
      </c>
      <c r="AH1383" s="59" t="n">
        <f aca="false">IF(CH1383&gt;0,CH1383*MAX(1,AF1383/X1383),IF(BT1383=1,IF(AF1383&lt;=0,0,BW1383*MAX(1,IF(H1383&gt;0,AF1383/H1383,1))),IF(R1383&gt;0,AG1383/R1383,0))/MAX(0.1,N(Parameter!$M$21)))</f>
        <v>0.5</v>
      </c>
      <c r="AI1383" s="57" t="n">
        <f aca="false">AF1383*G1383</f>
        <v>3806.86</v>
      </c>
      <c r="AJ1383" s="57" t="n">
        <f aca="false">ROUNDUP(MAX(J1383/IF(BZ1383&gt;0,BZ1383,MAX(0.1,N(Cockpit!$C$6))),CC1383)/BS1383,0)*BS1383</f>
        <v>1152</v>
      </c>
      <c r="AK1383" s="58" t="n">
        <f aca="false">IF(AH1383&gt;0,J1383/AH1383,-1)</f>
        <v>4190</v>
      </c>
      <c r="AL1383" s="58" t="n">
        <f aca="false">IF(AND(OR(BY1383="L1",BY1383="L23"),AH1383&gt;0),SUMIFS($AH$7:$AH$1843,$BY$7:$BY$1843,BY1383,$AK$7:$AK$1843,"&gt;"&amp;AK1383)+SUMIFS($AH$7:$AH$1843,$BY$7:$BY$1843,BY1383,$AK$7:$AK$1843,AK1383,$BQ$7:$BQ$1843,"&lt;="&amp;BQ1383),"")</f>
        <v>8.77277794669099</v>
      </c>
      <c r="AM1383" s="65" t="n">
        <f aca="false">IF(AL1383="",0,MAX(0,MIN(1,(IF(BY1383="L1",Parameter!$E$5,Parameter!$E$6+Parameter!$E$7)-(AL1383-AH1383))/AH1383)))</f>
        <v>1</v>
      </c>
      <c r="AN1383" s="57" t="n">
        <f aca="false">IF(LEFT(Cockpit!$I$5,1)="A",H1383,IF(CA1383=1,CB1383,IF(LEFT(Cockpit!$I$5,1)="B",AR1383,MAX(AR1383,H1383))))</f>
        <v>1453</v>
      </c>
      <c r="AO1383" s="57" t="n">
        <f aca="false">IF(BT1383=1,0,ROUNDUP(AN1383/BS1383,0))</f>
        <v>3</v>
      </c>
      <c r="AP1383" s="59" t="n">
        <f aca="false">IF(CH1383&gt;0,CH1383*MAX(1,AN1383/X1383),IF(BT1383=1,IF(AN1383&lt;=0,0,BW1383*MAX(1,IF(H1383&gt;0,AN1383/H1383,1))),IF(R1383&gt;0,AO1383/R1383,0))/MAX(0.1,N(Parameter!$M$21)))</f>
        <v>0.5</v>
      </c>
      <c r="AQ1383" s="57" t="n">
        <f aca="false">AN1383*G1383</f>
        <v>3806.86</v>
      </c>
      <c r="AR1383" s="57" t="n">
        <f aca="false">ROUNDUP(MAX(J1383/IF(BZ1383&gt;0,BZ1383,MAX(0.1,N(Cockpit!$I$6))),CC1383)/BS1383,0)*BS1383</f>
        <v>1152</v>
      </c>
      <c r="AS1383" s="58" t="n">
        <f aca="false">IF(AP1383&gt;0,J1383/AP1383,-1)</f>
        <v>4190</v>
      </c>
      <c r="AT1383" s="58" t="n">
        <f aca="false">IF(AND(OR(BY1383="L1",BY1383="L23"),AP1383&gt;0),SUMIFS($AP$7:$AP$1843,$BY$7:$BY$1843,BY1383,$AS$7:$AS$1843,"&gt;"&amp;AS1383)+SUMIFS($AP$7:$AP$1843,$BY$7:$BY$1843,BY1383,$AS$7:$AS$1843,AS1383,$BQ$7:$BQ$1843,"&lt;="&amp;BQ1383),"")</f>
        <v>13.3742187763927</v>
      </c>
      <c r="AU1383" s="65" t="n">
        <f aca="false">IF(AT1383="",0,MAX(0,MIN(1,(IF(BY1383="L1",Parameter!$E$5,Parameter!$E$6+Parameter!$E$7)-(AT1383-AP1383))/AP1383)))</f>
        <v>1</v>
      </c>
      <c r="AV1383" s="57" t="n">
        <f aca="false">IF(LEFT(Cockpit!$O$5,1)="A",H1383,IF(CA1383=1,CB1383,IF(LEFT(Cockpit!$O$5,1)="B",AZ1383,MAX(AZ1383,H1383))))</f>
        <v>1453</v>
      </c>
      <c r="AW1383" s="57" t="n">
        <f aca="false">IF(BT1383=1,0,ROUNDUP(AV1383/BS1383,0))</f>
        <v>3</v>
      </c>
      <c r="AX1383" s="59" t="n">
        <f aca="false">IF(CH1383&gt;0,CH1383*MAX(1,AV1383/X1383),IF(BT1383=1,IF(AV1383&lt;=0,0,BW1383*MAX(1,IF(H1383&gt;0,AV1383/H1383,1))),IF(R1383&gt;0,AW1383/R1383,0))/MAX(0.1,N(Parameter!$M$21)))</f>
        <v>0.5</v>
      </c>
      <c r="AY1383" s="57" t="n">
        <f aca="false">AV1383*G1383</f>
        <v>3806.86</v>
      </c>
      <c r="AZ1383" s="57" t="n">
        <f aca="false">ROUNDUP(MAX(J1383/IF(BZ1383&gt;0,BZ1383,MAX(0.1,N(Cockpit!$O$6))),CC1383)/BS1383,0)*BS1383</f>
        <v>1152</v>
      </c>
      <c r="BA1383" s="58" t="n">
        <f aca="false">IF(AX1383&gt;0,J1383/AX1383,-1)</f>
        <v>4190</v>
      </c>
      <c r="BB1383" s="58" t="n">
        <f aca="false">IF(AND(OR(BY1383="L1",BY1383="L23"),AX1383&gt;0),SUMIFS($AX$7:$AX$1843,$BY$7:$BY$1843,BY1383,$BA$7:$BA$1843,"&gt;"&amp;BA1383)+SUMIFS($AX$7:$AX$1843,$BY$7:$BY$1843,BY1383,$BA$7:$BA$1843,BA1383,$BQ$7:$BQ$1843,"&lt;="&amp;BQ1383),"")</f>
        <v>11.941235093409</v>
      </c>
      <c r="BC1383" s="65" t="n">
        <f aca="false">IF(BB1383="",0,MAX(0,MIN(1,(IF(BY1383="L1",Parameter!$E$5,Parameter!$E$6+Parameter!$E$7)-(BB1383-AX1383))/AX1383)))</f>
        <v>1</v>
      </c>
      <c r="BD1383" s="55" t="str">
        <f aca="false">IF(AH1383&lt;=0,"",IF(BY1383="Aussen","Aussenlager",IF(BY1383="-","Nicht im Lift",IF(AM1383&gt;=1,"Lift",IF(AM1383&lt;=0,"Aussenlager","teilweise")))))</f>
        <v>Lift</v>
      </c>
      <c r="BE1383" s="55" t="str">
        <f aca="false">IF(AP1383&lt;=0,"",IF(BY1383="Aussen","Aussenlager",IF(BY1383="-","Nicht im Lift",IF(AU1383&gt;=1,"Lift",IF(AU1383&lt;=0,"Aussenlager","teilweise")))))</f>
        <v>Lift</v>
      </c>
      <c r="BF1383" s="55" t="str">
        <f aca="false">IF(AX1383&lt;=0,"",IF(BY1383="Aussen","Aussenlager",IF(BY1383="-","Nicht im Lift",IF(BC1383&gt;=1,"Lift",IF(BC1383&lt;=0,"Aussenlager","teilweise")))))</f>
        <v>Lift</v>
      </c>
      <c r="BG1383" s="55" t="str">
        <f aca="false">IF(A1383="","",IF(BP1383=1,"Neu; ","")&amp;IF(AND(BP1383=0,BK1383&lt;0),"negativer Bestand (Export "&amp;BK1383&amp;"); ","")&amp;IF(J1383&lt;=0,"Kein Verbrauch; ","")&amp;IF(CH1383&gt;0,"Lift "&amp;W1383&amp;" lt. Liftbericht (Fach "&amp;X1383&amp;" Stk); ",IF(BU1383=1,"Gebinde geschätzt ("&amp;T1383&amp;"); ",IF(BT1383=1,"Lose – Tablare geschätzt; ","")))&amp;IF(H1383&gt;AR1383,"Überbestand "&amp;ROUND(H1383-AR1383,0)&amp;" Stk / CHF "&amp;ROUND((H1383-AR1383)*G1383,0)&amp;"; ","")&amp;IF(AND(CA1383=1,CB1383&lt;CC1383),"MAX &lt; MB+LG; ","")&amp;IF(AND(CG1383&gt;0,CF1383*10&gt;CG1383),"zu hoch für Tablar; ","")&amp;IF(AND(BP1383=0,OR(CA1383=1,AA1383&lt;&gt;"",U1383&lt;&gt;"",V1383&lt;&gt;"",AB1383&lt;&gt;"")),"manuell übersteuert; ","")&amp;IF(AND(BT1383=0,R1383=0),"Gebinde unbekannt / Stellmass fehlt; ","")&amp;IF(AND(BT1383=0,N(V1383)&lt;=0,N(Q1383)&lt;=0),"Menge pro Gebinde fehlt (Ist = 1 Gebinde); ","")&amp;BO1383)</f>
        <v>negativer Bestand (Export -1145); Überbestand 301 Stk / CHF 789; grosse  Artikelmenge</v>
      </c>
      <c r="BH1383" s="55"/>
      <c r="BI1383" s="55"/>
      <c r="BJ1383" s="62"/>
      <c r="BK1383" s="57" t="n">
        <v>-1145</v>
      </c>
      <c r="BL1383" s="57" t="n">
        <v>2598</v>
      </c>
      <c r="BM1383" s="56" t="n">
        <v>-3025.76</v>
      </c>
      <c r="BN1383" s="57" t="n">
        <v>2095</v>
      </c>
      <c r="BO1383" s="55" t="s">
        <v>1607</v>
      </c>
      <c r="BP1383" s="60" t="n">
        <v>0</v>
      </c>
      <c r="BQ1383" s="60" t="n">
        <v>1383</v>
      </c>
      <c r="BR1383" s="55" t="str">
        <f aca="false">IF(U1383&lt;&gt;"",UPPER(TRIM(U1383)),IF(BU1383=1,UPPER(VLOOKUP(T1383,Parameter!$I$27:$K$29,2,0)),IF(P1383="","LOSE",P1383)))</f>
        <v>S71</v>
      </c>
      <c r="BS1383" s="57" t="n">
        <f aca="false">IF(BR1383="LOSE",1,IF(N(V1383)&gt;0,V1383,IF(BU1383=1,MAX(1,N(VLOOKUP(T1383,Parameter!$I$27:$K$29,3,0)),H1383,N(N1383)),IF(N(Q1383)&gt;0,Q1383,MAX(1,H1383)))))</f>
        <v>576</v>
      </c>
      <c r="BT1383" s="60" t="n">
        <f aca="false">IF(BR1383="LOSE",1,0)</f>
        <v>0</v>
      </c>
      <c r="BU1383" s="60" t="n">
        <f aca="false">IF(AND(U1383="",OR(P1383="",P1383="LOSE"),T1383&lt;&gt;"",N(S1383)&lt;=0,ISNUMBER(MATCH(T1383,Parameter!$I$27:$I$29,0))),1,0)</f>
        <v>0</v>
      </c>
      <c r="BV1383" s="55" t="str">
        <f aca="false">IF(AND(Parameter!$B$19="Ja",E1383&lt;&gt;"",ISNUMBER(MATCH(E1383,Parameter!$I$35:$I$52,0))),VLOOKUP(E1383,Parameter!$I$35:$J$52,2,0),IFERROR(VLOOKUP(D1383,Parameter!$A$35:$C$64,2,0),"Nein"))</f>
        <v>2+3</v>
      </c>
      <c r="BW1383" s="59" t="n">
        <f aca="false">IF(BT1383=0,0,IF(N(S1383)&gt;0,S1383,IFERROR(VLOOKUP(D1383,Parameter!$A$35:$C$64,3,0)+0,0)))</f>
        <v>0</v>
      </c>
      <c r="BX1383" s="55" t="n">
        <f aca="false">IF(AA1383&lt;&gt;"",AA1383,Z1383)</f>
        <v>2</v>
      </c>
      <c r="BY1383" s="55" t="str">
        <f aca="false">IF(BX1383=1,"L1",IF(OR(BX1383=2,BX1383=3),"L23",IF(BX1383="Aussen","Aussen","-")))</f>
        <v>L23</v>
      </c>
      <c r="BZ1383" s="66" t="n">
        <f aca="false">IF(N(AB1383)&gt;0,AB1383,0)</f>
        <v>0</v>
      </c>
      <c r="CA1383" s="60" t="n">
        <f aca="false">IF(ISNUMBER(AE1383),1,0)</f>
        <v>0</v>
      </c>
      <c r="CB1383" s="57" t="n">
        <f aca="false">N(AE1383)</f>
        <v>0</v>
      </c>
      <c r="CC1383" s="57" t="n">
        <f aca="false">N(M1383)+N(N1383)</f>
        <v>522</v>
      </c>
      <c r="CD1383" s="57" t="n">
        <f aca="false">ROUNDUP(H1383/BS1383,0)</f>
        <v>3</v>
      </c>
      <c r="CE1383" s="57" t="n">
        <f aca="false">ROUNDUP(CB1383/BS1383,0)</f>
        <v>0</v>
      </c>
      <c r="CF1383" s="60" t="n">
        <f aca="false">IF(BT1383=1,0,IFERROR(VLOOKUP(BR1383,'Gebinde-Kategorie'!$A$5:$M$45,5,0)+0,0))</f>
        <v>20</v>
      </c>
      <c r="CG1383" s="60" t="n">
        <f aca="false">IFERROR(IF(OR(BX1383=1,BX1383=2,BX1383=3),N(INDEX(Parameter!$I$5:$I$7,BX1383)),0),0)</f>
        <v>0</v>
      </c>
      <c r="CH1383" s="59" t="n">
        <f aca="false">IF(AND(Parameter!$B$21="Ja",ISNUMBER(W1383),N(X1383)&gt;0),IFERROR(N(INDEX(Parameter!$L$5:$L$7,W1383))*INDEX(Parameter!$E$5:$E$7,W1383)*X1383/SUMIFS($X$7:$X$1843,$W$7:$W$1843,W1383),0),0)</f>
        <v>0</v>
      </c>
    </row>
    <row r="1384" customFormat="false" ht="15" hidden="false" customHeight="false" outlineLevel="0" collapsed="false">
      <c r="A1384" s="55" t="s">
        <v>2434</v>
      </c>
      <c r="B1384" s="55" t="s">
        <v>2435</v>
      </c>
      <c r="C1384" s="55" t="s">
        <v>164</v>
      </c>
      <c r="D1384" s="55" t="s">
        <v>184</v>
      </c>
      <c r="E1384" s="55" t="s">
        <v>185</v>
      </c>
      <c r="F1384" s="55" t="s">
        <v>218</v>
      </c>
      <c r="G1384" s="56" t="n">
        <v>112.86</v>
      </c>
      <c r="H1384" s="57" t="n">
        <f aca="false">MAX(0,IF(AND(Parameter!$B$21="Ja",ISNUMBER(Y1384)),Y1384,IF(Parameter!$B$20="Jahresanfang 2025 + Export",BL1384+BK1384,BK1384)))</f>
        <v>125</v>
      </c>
      <c r="I1384" s="57" t="n">
        <f aca="false">H1384*G1384</f>
        <v>14107.5</v>
      </c>
      <c r="J1384" s="57" t="n">
        <f aca="false">BN1384*Parameter!$B$18</f>
        <v>528</v>
      </c>
      <c r="K1384" s="58" t="n">
        <v>137</v>
      </c>
      <c r="L1384" s="59" t="n">
        <v>3.85401459854015</v>
      </c>
      <c r="M1384" s="57" t="n">
        <v>30</v>
      </c>
      <c r="N1384" s="57" t="n">
        <v>100</v>
      </c>
      <c r="O1384" s="60" t="n">
        <v>21</v>
      </c>
      <c r="P1384" s="55" t="s">
        <v>302</v>
      </c>
      <c r="Q1384" s="57" t="n">
        <v>761</v>
      </c>
      <c r="R1384" s="60" t="n">
        <f aca="false">IF(BT1384=1,0,IFERROR(VLOOKUP(BR1384,'Gebinde-Kategorie'!$A$5:$M$45,13,0)+0,0))</f>
        <v>26</v>
      </c>
      <c r="S1384" s="61"/>
      <c r="T1384" s="62"/>
      <c r="U1384" s="62"/>
      <c r="V1384" s="62"/>
      <c r="W1384" s="55"/>
      <c r="X1384" s="57"/>
      <c r="Y1384" s="57"/>
      <c r="Z1384" s="55" t="n">
        <f aca="false">IF(A1384="","",IF(AND(Parameter!$B$21="Ja",ISNUMBER(W1384)),W1384,IF(BV1384="2+3",IF(ISNUMBER(SEARCH("grosser Artikel",BO1384)),2,IFERROR(VLOOKUP(BR1384,Parameter!$F$35:$G$64,2,0),2)),IF(OR(BV1384="Nein",BV1384=""),"-",BV1384))))</f>
        <v>3</v>
      </c>
      <c r="AA1384" s="62"/>
      <c r="AB1384" s="63"/>
      <c r="AC1384" s="57" t="n">
        <f aca="false">AR1384</f>
        <v>761</v>
      </c>
      <c r="AD1384" s="57" t="n">
        <f aca="false">MAX(AR1384,H1384)</f>
        <v>761</v>
      </c>
      <c r="AE1384" s="64"/>
      <c r="AF1384" s="57" t="n">
        <f aca="false">IF(LEFT(Cockpit!$C$5,1)="A",H1384,IF(CA1384=1,CB1384,IF(LEFT(Cockpit!$C$5,1)="B",AJ1384,MAX(AJ1384,H1384))))</f>
        <v>125</v>
      </c>
      <c r="AG1384" s="57" t="n">
        <f aca="false">IF(BT1384=1,0,ROUNDUP(AF1384/BS1384,0))</f>
        <v>1</v>
      </c>
      <c r="AH1384" s="59" t="n">
        <f aca="false">IF(CH1384&gt;0,CH1384*MAX(1,AF1384/X1384),IF(BT1384=1,IF(AF1384&lt;=0,0,BW1384*MAX(1,IF(H1384&gt;0,AF1384/H1384,1))),IF(R1384&gt;0,AG1384/R1384,0))/MAX(0.1,N(Parameter!$M$21)))</f>
        <v>0.0384615384615385</v>
      </c>
      <c r="AI1384" s="57" t="n">
        <f aca="false">AF1384*G1384</f>
        <v>14107.5</v>
      </c>
      <c r="AJ1384" s="57" t="n">
        <f aca="false">ROUNDUP(MAX(J1384/IF(BZ1384&gt;0,BZ1384,MAX(0.1,N(Cockpit!$C$6))),CC1384)/BS1384,0)*BS1384</f>
        <v>761</v>
      </c>
      <c r="AK1384" s="58" t="n">
        <f aca="false">IF(AH1384&gt;0,J1384/AH1384,-1)</f>
        <v>13728</v>
      </c>
      <c r="AL1384" s="58" t="n">
        <f aca="false">IF(AND(OR(BY1384="L1",BY1384="L23"),AH1384&gt;0),SUMIFS($AH$7:$AH$1843,$BY$7:$BY$1843,BY1384,$AK$7:$AK$1843,"&gt;"&amp;AK1384)+SUMIFS($AH$7:$AH$1843,$BY$7:$BY$1843,BY1384,$AK$7:$AK$1843,AK1384,$BQ$7:$BQ$1843,"&lt;="&amp;BQ1384),"")</f>
        <v>4.50095435965001</v>
      </c>
      <c r="AM1384" s="65" t="n">
        <f aca="false">IF(AL1384="",0,MAX(0,MIN(1,(IF(BY1384="L1",Parameter!$E$5,Parameter!$E$6+Parameter!$E$7)-(AL1384-AH1384))/AH1384)))</f>
        <v>1</v>
      </c>
      <c r="AN1384" s="57" t="n">
        <f aca="false">IF(LEFT(Cockpit!$I$5,1)="A",H1384,IF(CA1384=1,CB1384,IF(LEFT(Cockpit!$I$5,1)="B",AR1384,MAX(AR1384,H1384))))</f>
        <v>761</v>
      </c>
      <c r="AO1384" s="57" t="n">
        <f aca="false">IF(BT1384=1,0,ROUNDUP(AN1384/BS1384,0))</f>
        <v>1</v>
      </c>
      <c r="AP1384" s="59" t="n">
        <f aca="false">IF(CH1384&gt;0,CH1384*MAX(1,AN1384/X1384),IF(BT1384=1,IF(AN1384&lt;=0,0,BW1384*MAX(1,IF(H1384&gt;0,AN1384/H1384,1))),IF(R1384&gt;0,AO1384/R1384,0))/MAX(0.1,N(Parameter!$M$21)))</f>
        <v>0.0384615384615385</v>
      </c>
      <c r="AQ1384" s="57" t="n">
        <f aca="false">AN1384*G1384</f>
        <v>85886.46</v>
      </c>
      <c r="AR1384" s="57" t="n">
        <f aca="false">ROUNDUP(MAX(J1384/IF(BZ1384&gt;0,BZ1384,MAX(0.1,N(Cockpit!$I$6))),CC1384)/BS1384,0)*BS1384</f>
        <v>761</v>
      </c>
      <c r="AS1384" s="58" t="n">
        <f aca="false">IF(AP1384&gt;0,J1384/AP1384,-1)</f>
        <v>13728</v>
      </c>
      <c r="AT1384" s="58" t="n">
        <f aca="false">IF(AND(OR(BY1384="L1",BY1384="L23"),AP1384&gt;0),SUMIFS($AP$7:$AP$1843,$BY$7:$BY$1843,BY1384,$AS$7:$AS$1843,"&gt;"&amp;AS1384)+SUMIFS($AP$7:$AP$1843,$BY$7:$BY$1843,BY1384,$AS$7:$AS$1843,AS1384,$BQ$7:$BQ$1843,"&lt;="&amp;BQ1384),"")</f>
        <v>4.94108307151785</v>
      </c>
      <c r="AU1384" s="65" t="n">
        <f aca="false">IF(AT1384="",0,MAX(0,MIN(1,(IF(BY1384="L1",Parameter!$E$5,Parameter!$E$6+Parameter!$E$7)-(AT1384-AP1384))/AP1384)))</f>
        <v>1</v>
      </c>
      <c r="AV1384" s="57" t="n">
        <f aca="false">IF(LEFT(Cockpit!$O$5,1)="A",H1384,IF(CA1384=1,CB1384,IF(LEFT(Cockpit!$O$5,1)="B",AZ1384,MAX(AZ1384,H1384))))</f>
        <v>761</v>
      </c>
      <c r="AW1384" s="57" t="n">
        <f aca="false">IF(BT1384=1,0,ROUNDUP(AV1384/BS1384,0))</f>
        <v>1</v>
      </c>
      <c r="AX1384" s="59" t="n">
        <f aca="false">IF(CH1384&gt;0,CH1384*MAX(1,AV1384/X1384),IF(BT1384=1,IF(AV1384&lt;=0,0,BW1384*MAX(1,IF(H1384&gt;0,AV1384/H1384,1))),IF(R1384&gt;0,AW1384/R1384,0))/MAX(0.1,N(Parameter!$M$21)))</f>
        <v>0.0384615384615385</v>
      </c>
      <c r="AY1384" s="57" t="n">
        <f aca="false">AV1384*G1384</f>
        <v>85886.46</v>
      </c>
      <c r="AZ1384" s="57" t="n">
        <f aca="false">ROUNDUP(MAX(J1384/IF(BZ1384&gt;0,BZ1384,MAX(0.1,N(Cockpit!$O$6))),CC1384)/BS1384,0)*BS1384</f>
        <v>761</v>
      </c>
      <c r="BA1384" s="58" t="n">
        <f aca="false">IF(AX1384&gt;0,J1384/AX1384,-1)</f>
        <v>13728</v>
      </c>
      <c r="BB1384" s="58" t="n">
        <f aca="false">IF(AND(OR(BY1384="L1",BY1384="L23"),AX1384&gt;0),SUMIFS($AX$7:$AX$1843,$BY$7:$BY$1843,BY1384,$BA$7:$BA$1843,"&gt;"&amp;BA1384)+SUMIFS($AX$7:$AX$1843,$BY$7:$BY$1843,BY1384,$BA$7:$BA$1843,BA1384,$BQ$7:$BQ$1843,"&lt;="&amp;BQ1384),"")</f>
        <v>5.93758656802135</v>
      </c>
      <c r="BC1384" s="65" t="n">
        <f aca="false">IF(BB1384="",0,MAX(0,MIN(1,(IF(BY1384="L1",Parameter!$E$5,Parameter!$E$6+Parameter!$E$7)-(BB1384-AX1384))/AX1384)))</f>
        <v>1</v>
      </c>
      <c r="BD1384" s="55" t="str">
        <f aca="false">IF(AH1384&lt;=0,"",IF(BY1384="Aussen","Aussenlager",IF(BY1384="-","Nicht im Lift",IF(AM1384&gt;=1,"Lift",IF(AM1384&lt;=0,"Aussenlager","teilweise")))))</f>
        <v>Lift</v>
      </c>
      <c r="BE1384" s="55" t="str">
        <f aca="false">IF(AP1384&lt;=0,"",IF(BY1384="Aussen","Aussenlager",IF(BY1384="-","Nicht im Lift",IF(AU1384&gt;=1,"Lift",IF(AU1384&lt;=0,"Aussenlager","teilweise")))))</f>
        <v>Lift</v>
      </c>
      <c r="BF1384" s="55" t="str">
        <f aca="false">IF(AX1384&lt;=0,"",IF(BY1384="Aussen","Aussenlager",IF(BY1384="-","Nicht im Lift",IF(BC1384&gt;=1,"Lift",IF(BC1384&lt;=0,"Aussenlager","teilweise")))))</f>
        <v>Lift</v>
      </c>
      <c r="BG1384" s="55" t="str">
        <f aca="false">IF(A1384="","",IF(BP1384=1,"Neu; ","")&amp;IF(AND(BP1384=0,BK1384&lt;0),"negativer Bestand (Export "&amp;BK1384&amp;"); ","")&amp;IF(J1384&lt;=0,"Kein Verbrauch; ","")&amp;IF(CH1384&gt;0,"Lift "&amp;W1384&amp;" lt. Liftbericht (Fach "&amp;X1384&amp;" Stk); ",IF(BU1384=1,"Gebinde geschätzt ("&amp;T1384&amp;"); ",IF(BT1384=1,"Lose – Tablare geschätzt; ","")))&amp;IF(H1384&gt;AR1384,"Überbestand "&amp;ROUND(H1384-AR1384,0)&amp;" Stk / CHF "&amp;ROUND((H1384-AR1384)*G1384,0)&amp;"; ","")&amp;IF(AND(CA1384=1,CB1384&lt;CC1384),"MAX &lt; MB+LG; ","")&amp;IF(AND(CG1384&gt;0,CF1384*10&gt;CG1384),"zu hoch für Tablar; ","")&amp;IF(AND(BP1384=0,OR(CA1384=1,AA1384&lt;&gt;"",U1384&lt;&gt;"",V1384&lt;&gt;"",AB1384&lt;&gt;"")),"manuell übersteuert; ","")&amp;IF(AND(BT1384=0,R1384=0),"Gebinde unbekannt / Stellmass fehlt; ","")&amp;IF(AND(BT1384=0,N(V1384)&lt;=0,N(Q1384)&lt;=0),"Menge pro Gebinde fehlt (Ist = 1 Gebinde); ","")&amp;BO1384)</f>
        <v>negativer Bestand (Export -28); </v>
      </c>
      <c r="BH1384" s="55"/>
      <c r="BI1384" s="55"/>
      <c r="BJ1384" s="62"/>
      <c r="BK1384" s="57" t="n">
        <v>-28</v>
      </c>
      <c r="BL1384" s="57" t="n">
        <v>153</v>
      </c>
      <c r="BM1384" s="56" t="n">
        <v>-3172.77000000002</v>
      </c>
      <c r="BN1384" s="57" t="n">
        <v>528</v>
      </c>
      <c r="BO1384" s="55"/>
      <c r="BP1384" s="60" t="n">
        <v>0</v>
      </c>
      <c r="BQ1384" s="60" t="n">
        <v>1384</v>
      </c>
      <c r="BR1384" s="55" t="str">
        <f aca="false">IF(U1384&lt;&gt;"",UPPER(TRIM(U1384)),IF(BU1384=1,UPPER(VLOOKUP(T1384,Parameter!$I$27:$K$29,2,0)),IF(P1384="","LOSE",P1384)))</f>
        <v>S51</v>
      </c>
      <c r="BS1384" s="57" t="n">
        <f aca="false">IF(BR1384="LOSE",1,IF(N(V1384)&gt;0,V1384,IF(BU1384=1,MAX(1,N(VLOOKUP(T1384,Parameter!$I$27:$K$29,3,0)),H1384,N(N1384)),IF(N(Q1384)&gt;0,Q1384,MAX(1,H1384)))))</f>
        <v>761</v>
      </c>
      <c r="BT1384" s="60" t="n">
        <f aca="false">IF(BR1384="LOSE",1,0)</f>
        <v>0</v>
      </c>
      <c r="BU1384" s="60" t="n">
        <f aca="false">IF(AND(U1384="",OR(P1384="",P1384="LOSE"),T1384&lt;&gt;"",N(S1384)&lt;=0,ISNUMBER(MATCH(T1384,Parameter!$I$27:$I$29,0))),1,0)</f>
        <v>0</v>
      </c>
      <c r="BV1384" s="55" t="str">
        <f aca="false">IF(AND(Parameter!$B$19="Ja",E1384&lt;&gt;"",ISNUMBER(MATCH(E1384,Parameter!$I$35:$I$52,0))),VLOOKUP(E1384,Parameter!$I$35:$J$52,2,0),IFERROR(VLOOKUP(D1384,Parameter!$A$35:$C$64,2,0),"Nein"))</f>
        <v>2+3</v>
      </c>
      <c r="BW1384" s="59" t="n">
        <f aca="false">IF(BT1384=0,0,IF(N(S1384)&gt;0,S1384,IFERROR(VLOOKUP(D1384,Parameter!$A$35:$C$64,3,0)+0,0)))</f>
        <v>0</v>
      </c>
      <c r="BX1384" s="55" t="n">
        <f aca="false">IF(AA1384&lt;&gt;"",AA1384,Z1384)</f>
        <v>3</v>
      </c>
      <c r="BY1384" s="55" t="str">
        <f aca="false">IF(BX1384=1,"L1",IF(OR(BX1384=2,BX1384=3),"L23",IF(BX1384="Aussen","Aussen","-")))</f>
        <v>L23</v>
      </c>
      <c r="BZ1384" s="66" t="n">
        <f aca="false">IF(N(AB1384)&gt;0,AB1384,0)</f>
        <v>0</v>
      </c>
      <c r="CA1384" s="60" t="n">
        <f aca="false">IF(ISNUMBER(AE1384),1,0)</f>
        <v>0</v>
      </c>
      <c r="CB1384" s="57" t="n">
        <f aca="false">N(AE1384)</f>
        <v>0</v>
      </c>
      <c r="CC1384" s="57" t="n">
        <f aca="false">N(M1384)+N(N1384)</f>
        <v>130</v>
      </c>
      <c r="CD1384" s="57" t="n">
        <f aca="false">ROUNDUP(H1384/BS1384,0)</f>
        <v>1</v>
      </c>
      <c r="CE1384" s="57" t="n">
        <f aca="false">ROUNDUP(CB1384/BS1384,0)</f>
        <v>0</v>
      </c>
      <c r="CF1384" s="60" t="n">
        <f aca="false">IF(BT1384=1,0,IFERROR(VLOOKUP(BR1384,'Gebinde-Kategorie'!$A$5:$M$45,5,0)+0,0))</f>
        <v>11</v>
      </c>
      <c r="CG1384" s="60" t="n">
        <f aca="false">IFERROR(IF(OR(BX1384=1,BX1384=2,BX1384=3),N(INDEX(Parameter!$I$5:$I$7,BX1384)),0),0)</f>
        <v>0</v>
      </c>
      <c r="CH1384" s="59" t="n">
        <f aca="false">IF(AND(Parameter!$B$21="Ja",ISNUMBER(W1384),N(X1384)&gt;0),IFERROR(N(INDEX(Parameter!$L$5:$L$7,W1384))*INDEX(Parameter!$E$5:$E$7,W1384)*X1384/SUMIFS($X$7:$X$1843,$W$7:$W$1843,W1384),0),0)</f>
        <v>0</v>
      </c>
    </row>
    <row r="1385" customFormat="false" ht="15" hidden="false" customHeight="false" outlineLevel="0" collapsed="false">
      <c r="A1385" s="55" t="s">
        <v>2436</v>
      </c>
      <c r="B1385" s="55" t="s">
        <v>2437</v>
      </c>
      <c r="C1385" s="55" t="s">
        <v>164</v>
      </c>
      <c r="D1385" s="55" t="s">
        <v>184</v>
      </c>
      <c r="E1385" s="55" t="s">
        <v>185</v>
      </c>
      <c r="F1385" s="55" t="s">
        <v>218</v>
      </c>
      <c r="G1385" s="56" t="n">
        <v>1587.24</v>
      </c>
      <c r="H1385" s="57" t="n">
        <f aca="false">MAX(0,IF(AND(Parameter!$B$21="Ja",ISNUMBER(Y1385)),Y1385,IF(Parameter!$B$20="Jahresanfang 2025 + Export",BL1385+BK1385,BK1385)))</f>
        <v>3</v>
      </c>
      <c r="I1385" s="57" t="n">
        <f aca="false">H1385*G1385</f>
        <v>4761.72</v>
      </c>
      <c r="J1385" s="57" t="n">
        <f aca="false">BN1385*Parameter!$B$18</f>
        <v>1</v>
      </c>
      <c r="K1385" s="58" t="n">
        <v>4.5</v>
      </c>
      <c r="L1385" s="59" t="n">
        <v>0.222222222222222</v>
      </c>
      <c r="M1385" s="57" t="n">
        <v>0</v>
      </c>
      <c r="N1385" s="57" t="n">
        <v>1</v>
      </c>
      <c r="O1385" s="60" t="n">
        <v>28</v>
      </c>
      <c r="P1385" s="55" t="s">
        <v>226</v>
      </c>
      <c r="Q1385" s="57" t="n">
        <v>3</v>
      </c>
      <c r="R1385" s="60" t="n">
        <f aca="false">IF(BT1385=1,0,IFERROR(VLOOKUP(BR1385,'Gebinde-Kategorie'!$A$5:$M$45,13,0)+0,0))</f>
        <v>12</v>
      </c>
      <c r="S1385" s="61"/>
      <c r="T1385" s="62"/>
      <c r="U1385" s="62"/>
      <c r="V1385" s="62"/>
      <c r="W1385" s="55"/>
      <c r="X1385" s="57"/>
      <c r="Y1385" s="57"/>
      <c r="Z1385" s="55" t="n">
        <f aca="false">IF(A1385="","",IF(AND(Parameter!$B$21="Ja",ISNUMBER(W1385)),W1385,IF(BV1385="2+3",IF(ISNUMBER(SEARCH("grosser Artikel",BO1385)),2,IFERROR(VLOOKUP(BR1385,Parameter!$F$35:$G$64,2,0),2)),IF(OR(BV1385="Nein",BV1385=""),"-",BV1385))))</f>
        <v>2</v>
      </c>
      <c r="AA1385" s="62"/>
      <c r="AB1385" s="63"/>
      <c r="AC1385" s="57" t="n">
        <f aca="false">AR1385</f>
        <v>3</v>
      </c>
      <c r="AD1385" s="57" t="n">
        <f aca="false">MAX(AR1385,H1385)</f>
        <v>3</v>
      </c>
      <c r="AE1385" s="64"/>
      <c r="AF1385" s="57" t="n">
        <f aca="false">IF(LEFT(Cockpit!$C$5,1)="A",H1385,IF(CA1385=1,CB1385,IF(LEFT(Cockpit!$C$5,1)="B",AJ1385,MAX(AJ1385,H1385))))</f>
        <v>3</v>
      </c>
      <c r="AG1385" s="57" t="n">
        <f aca="false">IF(BT1385=1,0,ROUNDUP(AF1385/BS1385,0))</f>
        <v>1</v>
      </c>
      <c r="AH1385" s="59" t="n">
        <f aca="false">IF(CH1385&gt;0,CH1385*MAX(1,AF1385/X1385),IF(BT1385=1,IF(AF1385&lt;=0,0,BW1385*MAX(1,IF(H1385&gt;0,AF1385/H1385,1))),IF(R1385&gt;0,AG1385/R1385,0))/MAX(0.1,N(Parameter!$M$21)))</f>
        <v>0.0833333333333333</v>
      </c>
      <c r="AI1385" s="57" t="n">
        <f aca="false">AF1385*G1385</f>
        <v>4761.72</v>
      </c>
      <c r="AJ1385" s="57" t="n">
        <f aca="false">ROUNDUP(MAX(J1385/IF(BZ1385&gt;0,BZ1385,MAX(0.1,N(Cockpit!$C$6))),CC1385)/BS1385,0)*BS1385</f>
        <v>3</v>
      </c>
      <c r="AK1385" s="58" t="n">
        <f aca="false">IF(AH1385&gt;0,J1385/AH1385,-1)</f>
        <v>12</v>
      </c>
      <c r="AL1385" s="58" t="n">
        <f aca="false">IF(AND(OR(BY1385="L1",BY1385="L23"),AH1385&gt;0),SUMIFS($AH$7:$AH$1843,$BY$7:$BY$1843,BY1385,$AK$7:$AK$1843,"&gt;"&amp;AK1385)+SUMIFS($AH$7:$AH$1843,$BY$7:$BY$1843,BY1385,$AK$7:$AK$1843,AK1385,$BQ$7:$BQ$1843,"&lt;="&amp;BQ1385),"")</f>
        <v>55.1074119117597</v>
      </c>
      <c r="AM1385" s="65" t="n">
        <f aca="false">IF(AL1385="",0,MAX(0,MIN(1,(IF(BY1385="L1",Parameter!$E$5,Parameter!$E$6+Parameter!$E$7)-(AL1385-AH1385))/AH1385)))</f>
        <v>1</v>
      </c>
      <c r="AN1385" s="57" t="n">
        <f aca="false">IF(LEFT(Cockpit!$I$5,1)="A",H1385,IF(CA1385=1,CB1385,IF(LEFT(Cockpit!$I$5,1)="B",AR1385,MAX(AR1385,H1385))))</f>
        <v>3</v>
      </c>
      <c r="AO1385" s="57" t="n">
        <f aca="false">IF(BT1385=1,0,ROUNDUP(AN1385/BS1385,0))</f>
        <v>1</v>
      </c>
      <c r="AP1385" s="59" t="n">
        <f aca="false">IF(CH1385&gt;0,CH1385*MAX(1,AN1385/X1385),IF(BT1385=1,IF(AN1385&lt;=0,0,BW1385*MAX(1,IF(H1385&gt;0,AN1385/H1385,1))),IF(R1385&gt;0,AO1385/R1385,0))/MAX(0.1,N(Parameter!$M$21)))</f>
        <v>0.0833333333333333</v>
      </c>
      <c r="AQ1385" s="57" t="n">
        <f aca="false">AN1385*G1385</f>
        <v>4761.72</v>
      </c>
      <c r="AR1385" s="57" t="n">
        <f aca="false">ROUNDUP(MAX(J1385/IF(BZ1385&gt;0,BZ1385,MAX(0.1,N(Cockpit!$I$6))),CC1385)/BS1385,0)*BS1385</f>
        <v>3</v>
      </c>
      <c r="AS1385" s="58" t="n">
        <f aca="false">IF(AP1385&gt;0,J1385/AP1385,-1)</f>
        <v>12</v>
      </c>
      <c r="AT1385" s="58" t="n">
        <f aca="false">IF(AND(OR(BY1385="L1",BY1385="L23"),AP1385&gt;0),SUMIFS($AP$7:$AP$1843,$BY$7:$BY$1843,BY1385,$AS$7:$AS$1843,"&gt;"&amp;AS1385)+SUMIFS($AP$7:$AP$1843,$BY$7:$BY$1843,BY1385,$AS$7:$AS$1843,AS1385,$BQ$7:$BQ$1843,"&lt;="&amp;BQ1385),"")</f>
        <v>88.3648694300868</v>
      </c>
      <c r="AU1385" s="65" t="n">
        <f aca="false">IF(AT1385="",0,MAX(0,MIN(1,(IF(BY1385="L1",Parameter!$E$5,Parameter!$E$6+Parameter!$E$7)-(AT1385-AP1385))/AP1385)))</f>
        <v>1</v>
      </c>
      <c r="AV1385" s="57" t="n">
        <f aca="false">IF(LEFT(Cockpit!$O$5,1)="A",H1385,IF(CA1385=1,CB1385,IF(LEFT(Cockpit!$O$5,1)="B",AZ1385,MAX(AZ1385,H1385))))</f>
        <v>3</v>
      </c>
      <c r="AW1385" s="57" t="n">
        <f aca="false">IF(BT1385=1,0,ROUNDUP(AV1385/BS1385,0))</f>
        <v>1</v>
      </c>
      <c r="AX1385" s="59" t="n">
        <f aca="false">IF(CH1385&gt;0,CH1385*MAX(1,AV1385/X1385),IF(BT1385=1,IF(AV1385&lt;=0,0,BW1385*MAX(1,IF(H1385&gt;0,AV1385/H1385,1))),IF(R1385&gt;0,AW1385/R1385,0))/MAX(0.1,N(Parameter!$M$21)))</f>
        <v>0.0833333333333333</v>
      </c>
      <c r="AY1385" s="57" t="n">
        <f aca="false">AV1385*G1385</f>
        <v>4761.72</v>
      </c>
      <c r="AZ1385" s="57" t="n">
        <f aca="false">ROUNDUP(MAX(J1385/IF(BZ1385&gt;0,BZ1385,MAX(0.1,N(Cockpit!$O$6))),CC1385)/BS1385,0)*BS1385</f>
        <v>3</v>
      </c>
      <c r="BA1385" s="58" t="n">
        <f aca="false">IF(AX1385&gt;0,J1385/AX1385,-1)</f>
        <v>12</v>
      </c>
      <c r="BB1385" s="58" t="n">
        <f aca="false">IF(AND(OR(BY1385="L1",BY1385="L23"),AX1385&gt;0),SUMIFS($AX$7:$AX$1843,$BY$7:$BY$1843,BY1385,$BA$7:$BA$1843,"&gt;"&amp;BA1385)+SUMIFS($AX$7:$AX$1843,$BY$7:$BY$1843,BY1385,$BA$7:$BA$1843,BA1385,$BQ$7:$BQ$1843,"&lt;="&amp;BQ1385),"")</f>
        <v>81.8613729265903</v>
      </c>
      <c r="BC1385" s="65" t="n">
        <f aca="false">IF(BB1385="",0,MAX(0,MIN(1,(IF(BY1385="L1",Parameter!$E$5,Parameter!$E$6+Parameter!$E$7)-(BB1385-AX1385))/AX1385)))</f>
        <v>1</v>
      </c>
      <c r="BD1385" s="55" t="str">
        <f aca="false">IF(AH1385&lt;=0,"",IF(BY1385="Aussen","Aussenlager",IF(BY1385="-","Nicht im Lift",IF(AM1385&gt;=1,"Lift",IF(AM1385&lt;=0,"Aussenlager","teilweise")))))</f>
        <v>Lift</v>
      </c>
      <c r="BE1385" s="55" t="str">
        <f aca="false">IF(AP1385&lt;=0,"",IF(BY1385="Aussen","Aussenlager",IF(BY1385="-","Nicht im Lift",IF(AU1385&gt;=1,"Lift",IF(AU1385&lt;=0,"Aussenlager","teilweise")))))</f>
        <v>Lift</v>
      </c>
      <c r="BF1385" s="55" t="str">
        <f aca="false">IF(AX1385&lt;=0,"",IF(BY1385="Aussen","Aussenlager",IF(BY1385="-","Nicht im Lift",IF(BC1385&gt;=1,"Lift",IF(BC1385&lt;=0,"Aussenlager","teilweise")))))</f>
        <v>Lift</v>
      </c>
      <c r="BG1385" s="55" t="str">
        <f aca="false">IF(A1385="","",IF(BP1385=1,"Neu; ","")&amp;IF(AND(BP1385=0,BK1385&lt;0),"negativer Bestand (Export "&amp;BK1385&amp;"); ","")&amp;IF(J1385&lt;=0,"Kein Verbrauch; ","")&amp;IF(CH1385&gt;0,"Lift "&amp;W1385&amp;" lt. Liftbericht (Fach "&amp;X1385&amp;" Stk); ",IF(BU1385=1,"Gebinde geschätzt ("&amp;T1385&amp;"); ",IF(BT1385=1,"Lose – Tablare geschätzt; ","")))&amp;IF(H1385&gt;AR1385,"Überbestand "&amp;ROUND(H1385-AR1385,0)&amp;" Stk / CHF "&amp;ROUND((H1385-AR1385)*G1385,0)&amp;"; ","")&amp;IF(AND(CA1385=1,CB1385&lt;CC1385),"MAX &lt; MB+LG; ","")&amp;IF(AND(CG1385&gt;0,CF1385*10&gt;CG1385),"zu hoch für Tablar; ","")&amp;IF(AND(BP1385=0,OR(CA1385=1,AA1385&lt;&gt;"",U1385&lt;&gt;"",V1385&lt;&gt;"",AB1385&lt;&gt;"")),"manuell übersteuert; ","")&amp;IF(AND(BT1385=0,R1385=0),"Gebinde unbekannt / Stellmass fehlt; ","")&amp;IF(AND(BT1385=0,N(V1385)&lt;=0,N(Q1385)&lt;=0),"Menge pro Gebinde fehlt (Ist = 1 Gebinde); ","")&amp;BO1385)</f>
        <v>negativer Bestand (Export -2); </v>
      </c>
      <c r="BH1385" s="55"/>
      <c r="BI1385" s="55"/>
      <c r="BJ1385" s="62"/>
      <c r="BK1385" s="57" t="n">
        <v>-2</v>
      </c>
      <c r="BL1385" s="57" t="n">
        <v>5</v>
      </c>
      <c r="BM1385" s="56" t="n">
        <v>-3174.48</v>
      </c>
      <c r="BN1385" s="57" t="n">
        <v>1</v>
      </c>
      <c r="BO1385" s="55"/>
      <c r="BP1385" s="60" t="n">
        <v>0</v>
      </c>
      <c r="BQ1385" s="60" t="n">
        <v>1385</v>
      </c>
      <c r="BR1385" s="55" t="str">
        <f aca="false">IF(U1385&lt;&gt;"",UPPER(TRIM(U1385)),IF(BU1385=1,UPPER(VLOOKUP(T1385,Parameter!$I$27:$K$29,2,0)),IF(P1385="","LOSE",P1385)))</f>
        <v>S63</v>
      </c>
      <c r="BS1385" s="57" t="n">
        <f aca="false">IF(BR1385="LOSE",1,IF(N(V1385)&gt;0,V1385,IF(BU1385=1,MAX(1,N(VLOOKUP(T1385,Parameter!$I$27:$K$29,3,0)),H1385,N(N1385)),IF(N(Q1385)&gt;0,Q1385,MAX(1,H1385)))))</f>
        <v>3</v>
      </c>
      <c r="BT1385" s="60" t="n">
        <f aca="false">IF(BR1385="LOSE",1,0)</f>
        <v>0</v>
      </c>
      <c r="BU1385" s="60" t="n">
        <f aca="false">IF(AND(U1385="",OR(P1385="",P1385="LOSE"),T1385&lt;&gt;"",N(S1385)&lt;=0,ISNUMBER(MATCH(T1385,Parameter!$I$27:$I$29,0))),1,0)</f>
        <v>0</v>
      </c>
      <c r="BV1385" s="55" t="str">
        <f aca="false">IF(AND(Parameter!$B$19="Ja",E1385&lt;&gt;"",ISNUMBER(MATCH(E1385,Parameter!$I$35:$I$52,0))),VLOOKUP(E1385,Parameter!$I$35:$J$52,2,0),IFERROR(VLOOKUP(D1385,Parameter!$A$35:$C$64,2,0),"Nein"))</f>
        <v>2+3</v>
      </c>
      <c r="BW1385" s="59" t="n">
        <f aca="false">IF(BT1385=0,0,IF(N(S1385)&gt;0,S1385,IFERROR(VLOOKUP(D1385,Parameter!$A$35:$C$64,3,0)+0,0)))</f>
        <v>0</v>
      </c>
      <c r="BX1385" s="55" t="n">
        <f aca="false">IF(AA1385&lt;&gt;"",AA1385,Z1385)</f>
        <v>2</v>
      </c>
      <c r="BY1385" s="55" t="str">
        <f aca="false">IF(BX1385=1,"L1",IF(OR(BX1385=2,BX1385=3),"L23",IF(BX1385="Aussen","Aussen","-")))</f>
        <v>L23</v>
      </c>
      <c r="BZ1385" s="66" t="n">
        <f aca="false">IF(N(AB1385)&gt;0,AB1385,0)</f>
        <v>0</v>
      </c>
      <c r="CA1385" s="60" t="n">
        <f aca="false">IF(ISNUMBER(AE1385),1,0)</f>
        <v>0</v>
      </c>
      <c r="CB1385" s="57" t="n">
        <f aca="false">N(AE1385)</f>
        <v>0</v>
      </c>
      <c r="CC1385" s="57" t="n">
        <f aca="false">N(M1385)+N(N1385)</f>
        <v>1</v>
      </c>
      <c r="CD1385" s="57" t="n">
        <f aca="false">ROUNDUP(H1385/BS1385,0)</f>
        <v>1</v>
      </c>
      <c r="CE1385" s="57" t="n">
        <f aca="false">ROUNDUP(CB1385/BS1385,0)</f>
        <v>0</v>
      </c>
      <c r="CF1385" s="60" t="n">
        <f aca="false">IF(BT1385=1,0,IFERROR(VLOOKUP(BR1385,'Gebinde-Kategorie'!$A$5:$M$45,5,0)+0,0))</f>
        <v>31</v>
      </c>
      <c r="CG1385" s="60" t="n">
        <f aca="false">IFERROR(IF(OR(BX1385=1,BX1385=2,BX1385=3),N(INDEX(Parameter!$I$5:$I$7,BX1385)),0),0)</f>
        <v>0</v>
      </c>
      <c r="CH1385" s="59" t="n">
        <f aca="false">IF(AND(Parameter!$B$21="Ja",ISNUMBER(W1385),N(X1385)&gt;0),IFERROR(N(INDEX(Parameter!$L$5:$L$7,W1385))*INDEX(Parameter!$E$5:$E$7,W1385)*X1385/SUMIFS($X$7:$X$1843,$W$7:$W$1843,W1385),0),0)</f>
        <v>0</v>
      </c>
    </row>
    <row r="1386" customFormat="false" ht="15" hidden="false" customHeight="false" outlineLevel="0" collapsed="false">
      <c r="A1386" s="55" t="s">
        <v>2438</v>
      </c>
      <c r="B1386" s="55" t="s">
        <v>2358</v>
      </c>
      <c r="C1386" s="55" t="s">
        <v>456</v>
      </c>
      <c r="D1386" s="55" t="s">
        <v>353</v>
      </c>
      <c r="E1386" s="55"/>
      <c r="F1386" s="55" t="s">
        <v>218</v>
      </c>
      <c r="G1386" s="56" t="n">
        <v>1598.96</v>
      </c>
      <c r="H1386" s="57" t="n">
        <f aca="false">MAX(0,IF(AND(Parameter!$B$21="Ja",ISNUMBER(Y1386)),Y1386,IF(Parameter!$B$20="Jahresanfang 2025 + Export",BL1386+BK1386,BK1386)))</f>
        <v>0</v>
      </c>
      <c r="I1386" s="57" t="n">
        <f aca="false">H1386*G1386</f>
        <v>0</v>
      </c>
      <c r="J1386" s="57" t="n">
        <f aca="false">BN1386*Parameter!$B$18</f>
        <v>0</v>
      </c>
      <c r="K1386" s="58" t="n">
        <v>1</v>
      </c>
      <c r="L1386" s="59" t="n">
        <v>0</v>
      </c>
      <c r="M1386" s="57" t="n">
        <v>0</v>
      </c>
      <c r="N1386" s="57" t="n">
        <v>1</v>
      </c>
      <c r="O1386" s="60" t="n">
        <v>0</v>
      </c>
      <c r="P1386" s="55" t="s">
        <v>168</v>
      </c>
      <c r="Q1386" s="57"/>
      <c r="R1386" s="60" t="n">
        <f aca="false">IF(BT1386=1,0,IFERROR(VLOOKUP(BR1386,'Gebinde-Kategorie'!$A$5:$M$45,13,0)+0,0))</f>
        <v>0</v>
      </c>
      <c r="S1386" s="61"/>
      <c r="T1386" s="62"/>
      <c r="U1386" s="62"/>
      <c r="V1386" s="62"/>
      <c r="W1386" s="55"/>
      <c r="X1386" s="57"/>
      <c r="Y1386" s="57"/>
      <c r="Z1386" s="55" t="str">
        <f aca="false">IF(A1386="","",IF(AND(Parameter!$B$21="Ja",ISNUMBER(W1386)),W1386,IF(BV1386="2+3",IF(ISNUMBER(SEARCH("grosser Artikel",BO1386)),2,IFERROR(VLOOKUP(BR1386,Parameter!$F$35:$G$64,2,0),2)),IF(OR(BV1386="Nein",BV1386=""),"-",BV1386))))</f>
        <v>-</v>
      </c>
      <c r="AA1386" s="62"/>
      <c r="AB1386" s="63"/>
      <c r="AC1386" s="57" t="n">
        <f aca="false">AR1386</f>
        <v>1</v>
      </c>
      <c r="AD1386" s="57" t="n">
        <f aca="false">MAX(AR1386,H1386)</f>
        <v>1</v>
      </c>
      <c r="AE1386" s="64"/>
      <c r="AF1386" s="57" t="n">
        <f aca="false">IF(LEFT(Cockpit!$C$5,1)="A",H1386,IF(CA1386=1,CB1386,IF(LEFT(Cockpit!$C$5,1)="B",AJ1386,MAX(AJ1386,H1386))))</f>
        <v>0</v>
      </c>
      <c r="AG1386" s="57" t="n">
        <f aca="false">IF(BT1386=1,0,ROUNDUP(AF1386/BS1386,0))</f>
        <v>0</v>
      </c>
      <c r="AH1386" s="59" t="n">
        <f aca="false">IF(CH1386&gt;0,CH1386*MAX(1,AF1386/X1386),IF(BT1386=1,IF(AF1386&lt;=0,0,BW1386*MAX(1,IF(H1386&gt;0,AF1386/H1386,1))),IF(R1386&gt;0,AG1386/R1386,0))/MAX(0.1,N(Parameter!$M$21)))</f>
        <v>0</v>
      </c>
      <c r="AI1386" s="57" t="n">
        <f aca="false">AF1386*G1386</f>
        <v>0</v>
      </c>
      <c r="AJ1386" s="57" t="n">
        <f aca="false">ROUNDUP(MAX(J1386/IF(BZ1386&gt;0,BZ1386,MAX(0.1,N(Cockpit!$C$6))),CC1386)/BS1386,0)*BS1386</f>
        <v>1</v>
      </c>
      <c r="AK1386" s="58" t="n">
        <f aca="false">IF(AH1386&gt;0,J1386/AH1386,-1)</f>
        <v>-1</v>
      </c>
      <c r="AL1386" s="58" t="str">
        <f aca="false">IF(AND(OR(BY1386="L1",BY1386="L23"),AH1386&gt;0),SUMIFS($AH$7:$AH$1843,$BY$7:$BY$1843,BY1386,$AK$7:$AK$1843,"&gt;"&amp;AK1386)+SUMIFS($AH$7:$AH$1843,$BY$7:$BY$1843,BY1386,$AK$7:$AK$1843,AK1386,$BQ$7:$BQ$1843,"&lt;="&amp;BQ1386),"")</f>
        <v/>
      </c>
      <c r="AM1386" s="65" t="n">
        <f aca="false">IF(AL1386="",0,MAX(0,MIN(1,(IF(BY1386="L1",Parameter!$E$5,Parameter!$E$6+Parameter!$E$7)-(AL1386-AH1386))/AH1386)))</f>
        <v>0</v>
      </c>
      <c r="AN1386" s="57" t="n">
        <f aca="false">IF(LEFT(Cockpit!$I$5,1)="A",H1386,IF(CA1386=1,CB1386,IF(LEFT(Cockpit!$I$5,1)="B",AR1386,MAX(AR1386,H1386))))</f>
        <v>1</v>
      </c>
      <c r="AO1386" s="57" t="n">
        <f aca="false">IF(BT1386=1,0,ROUNDUP(AN1386/BS1386,0))</f>
        <v>0</v>
      </c>
      <c r="AP1386" s="59" t="n">
        <f aca="false">IF(CH1386&gt;0,CH1386*MAX(1,AN1386/X1386),IF(BT1386=1,IF(AN1386&lt;=0,0,BW1386*MAX(1,IF(H1386&gt;0,AN1386/H1386,1))),IF(R1386&gt;0,AO1386/R1386,0))/MAX(0.1,N(Parameter!$M$21)))</f>
        <v>0.15</v>
      </c>
      <c r="AQ1386" s="57" t="n">
        <f aca="false">AN1386*G1386</f>
        <v>1598.96</v>
      </c>
      <c r="AR1386" s="57" t="n">
        <f aca="false">ROUNDUP(MAX(J1386/IF(BZ1386&gt;0,BZ1386,MAX(0.1,N(Cockpit!$I$6))),CC1386)/BS1386,0)*BS1386</f>
        <v>1</v>
      </c>
      <c r="AS1386" s="58" t="n">
        <f aca="false">IF(AP1386&gt;0,J1386/AP1386,-1)</f>
        <v>0</v>
      </c>
      <c r="AT1386" s="58" t="str">
        <f aca="false">IF(AND(OR(BY1386="L1",BY1386="L23"),AP1386&gt;0),SUMIFS($AP$7:$AP$1843,$BY$7:$BY$1843,BY1386,$AS$7:$AS$1843,"&gt;"&amp;AS1386)+SUMIFS($AP$7:$AP$1843,$BY$7:$BY$1843,BY1386,$AS$7:$AS$1843,AS1386,$BQ$7:$BQ$1843,"&lt;="&amp;BQ1386),"")</f>
        <v/>
      </c>
      <c r="AU1386" s="65" t="n">
        <f aca="false">IF(AT1386="",0,MAX(0,MIN(1,(IF(BY1386="L1",Parameter!$E$5,Parameter!$E$6+Parameter!$E$7)-(AT1386-AP1386))/AP1386)))</f>
        <v>0</v>
      </c>
      <c r="AV1386" s="57" t="n">
        <f aca="false">IF(LEFT(Cockpit!$O$5,1)="A",H1386,IF(CA1386=1,CB1386,IF(LEFT(Cockpit!$O$5,1)="B",AZ1386,MAX(AZ1386,H1386))))</f>
        <v>1</v>
      </c>
      <c r="AW1386" s="57" t="n">
        <f aca="false">IF(BT1386=1,0,ROUNDUP(AV1386/BS1386,0))</f>
        <v>0</v>
      </c>
      <c r="AX1386" s="59" t="n">
        <f aca="false">IF(CH1386&gt;0,CH1386*MAX(1,AV1386/X1386),IF(BT1386=1,IF(AV1386&lt;=0,0,BW1386*MAX(1,IF(H1386&gt;0,AV1386/H1386,1))),IF(R1386&gt;0,AW1386/R1386,0))/MAX(0.1,N(Parameter!$M$21)))</f>
        <v>0.15</v>
      </c>
      <c r="AY1386" s="57" t="n">
        <f aca="false">AV1386*G1386</f>
        <v>1598.96</v>
      </c>
      <c r="AZ1386" s="57" t="n">
        <f aca="false">ROUNDUP(MAX(J1386/IF(BZ1386&gt;0,BZ1386,MAX(0.1,N(Cockpit!$O$6))),CC1386)/BS1386,0)*BS1386</f>
        <v>1</v>
      </c>
      <c r="BA1386" s="58" t="n">
        <f aca="false">IF(AX1386&gt;0,J1386/AX1386,-1)</f>
        <v>0</v>
      </c>
      <c r="BB1386" s="58" t="str">
        <f aca="false">IF(AND(OR(BY1386="L1",BY1386="L23"),AX1386&gt;0),SUMIFS($AX$7:$AX$1843,$BY$7:$BY$1843,BY1386,$BA$7:$BA$1843,"&gt;"&amp;BA1386)+SUMIFS($AX$7:$AX$1843,$BY$7:$BY$1843,BY1386,$BA$7:$BA$1843,BA1386,$BQ$7:$BQ$1843,"&lt;="&amp;BQ1386),"")</f>
        <v/>
      </c>
      <c r="BC1386" s="65" t="n">
        <f aca="false">IF(BB1386="",0,MAX(0,MIN(1,(IF(BY1386="L1",Parameter!$E$5,Parameter!$E$6+Parameter!$E$7)-(BB1386-AX1386))/AX1386)))</f>
        <v>0</v>
      </c>
      <c r="BD1386" s="55" t="str">
        <f aca="false">IF(AH1386&lt;=0,"",IF(BY1386="Aussen","Aussenlager",IF(BY1386="-","Nicht im Lift",IF(AM1386&gt;=1,"Lift",IF(AM1386&lt;=0,"Aussenlager","teilweise")))))</f>
        <v/>
      </c>
      <c r="BE1386" s="55" t="str">
        <f aca="false">IF(AP1386&lt;=0,"",IF(BY1386="Aussen","Aussenlager",IF(BY1386="-","Nicht im Lift",IF(AU1386&gt;=1,"Lift",IF(AU1386&lt;=0,"Aussenlager","teilweise")))))</f>
        <v>Nicht im Lift</v>
      </c>
      <c r="BF1386" s="55" t="str">
        <f aca="false">IF(AX1386&lt;=0,"",IF(BY1386="Aussen","Aussenlager",IF(BY1386="-","Nicht im Lift",IF(BC1386&gt;=1,"Lift",IF(BC1386&lt;=0,"Aussenlager","teilweise")))))</f>
        <v>Nicht im Lift</v>
      </c>
      <c r="BG1386" s="55" t="str">
        <f aca="false">IF(A1386="","",IF(BP1386=1,"Neu; ","")&amp;IF(AND(BP1386=0,BK1386&lt;0),"negativer Bestand (Export "&amp;BK1386&amp;"); ","")&amp;IF(J1386&lt;=0,"Kein Verbrauch; ","")&amp;IF(CH1386&gt;0,"Lift "&amp;W1386&amp;" lt. Liftbericht (Fach "&amp;X1386&amp;" Stk); ",IF(BU1386=1,"Gebinde geschätzt ("&amp;T1386&amp;"); ",IF(BT1386=1,"Lose – Tablare geschätzt; ","")))&amp;IF(H1386&gt;AR1386,"Überbestand "&amp;ROUND(H1386-AR1386,0)&amp;" Stk / CHF "&amp;ROUND((H1386-AR1386)*G1386,0)&amp;"; ","")&amp;IF(AND(CA1386=1,CB1386&lt;CC1386),"MAX &lt; MB+LG; ","")&amp;IF(AND(CG1386&gt;0,CF1386*10&gt;CG1386),"zu hoch für Tablar; ","")&amp;IF(AND(BP1386=0,OR(CA1386=1,AA1386&lt;&gt;"",U1386&lt;&gt;"",V1386&lt;&gt;"",AB1386&lt;&gt;"")),"manuell übersteuert; ","")&amp;IF(AND(BT1386=0,R1386=0),"Gebinde unbekannt / Stellmass fehlt; ","")&amp;IF(AND(BT1386=0,N(V1386)&lt;=0,N(Q1386)&lt;=0),"Menge pro Gebinde fehlt (Ist = 1 Gebinde); ","")&amp;BO1386)</f>
        <v>negativer Bestand (Export -2); Kein Verbrauch; Lose – Tablare geschätzt; </v>
      </c>
      <c r="BH1386" s="55"/>
      <c r="BI1386" s="55"/>
      <c r="BJ1386" s="62"/>
      <c r="BK1386" s="57" t="n">
        <v>-2</v>
      </c>
      <c r="BL1386" s="57" t="n">
        <v>2</v>
      </c>
      <c r="BM1386" s="56" t="n">
        <v>-3197.92</v>
      </c>
      <c r="BN1386" s="57" t="n">
        <v>0</v>
      </c>
      <c r="BO1386" s="55"/>
      <c r="BP1386" s="60" t="n">
        <v>0</v>
      </c>
      <c r="BQ1386" s="60" t="n">
        <v>1386</v>
      </c>
      <c r="BR1386" s="55" t="str">
        <f aca="false">IF(U1386&lt;&gt;"",UPPER(TRIM(U1386)),IF(BU1386=1,UPPER(VLOOKUP(T1386,Parameter!$I$27:$K$29,2,0)),IF(P1386="","LOSE",P1386)))</f>
        <v>LOSE</v>
      </c>
      <c r="BS1386" s="57" t="n">
        <f aca="false">IF(BR1386="LOSE",1,IF(N(V1386)&gt;0,V1386,IF(BU1386=1,MAX(1,N(VLOOKUP(T1386,Parameter!$I$27:$K$29,3,0)),H1386,N(N1386)),IF(N(Q1386)&gt;0,Q1386,MAX(1,H1386)))))</f>
        <v>1</v>
      </c>
      <c r="BT1386" s="60" t="n">
        <f aca="false">IF(BR1386="LOSE",1,0)</f>
        <v>1</v>
      </c>
      <c r="BU1386" s="60" t="n">
        <f aca="false">IF(AND(U1386="",OR(P1386="",P1386="LOSE"),T1386&lt;&gt;"",N(S1386)&lt;=0,ISNUMBER(MATCH(T1386,Parameter!$I$27:$I$29,0))),1,0)</f>
        <v>0</v>
      </c>
      <c r="BV1386" s="55" t="str">
        <f aca="false">IF(AND(Parameter!$B$19="Ja",E1386&lt;&gt;"",ISNUMBER(MATCH(E1386,Parameter!$I$35:$I$52,0))),VLOOKUP(E1386,Parameter!$I$35:$J$52,2,0),IFERROR(VLOOKUP(D1386,Parameter!$A$35:$C$64,2,0),"Nein"))</f>
        <v>Nein</v>
      </c>
      <c r="BW1386" s="59" t="n">
        <f aca="false">IF(BT1386=0,0,IF(N(S1386)&gt;0,S1386,IFERROR(VLOOKUP(D1386,Parameter!$A$35:$C$64,3,0)+0,0)))</f>
        <v>0.15</v>
      </c>
      <c r="BX1386" s="55" t="str">
        <f aca="false">IF(AA1386&lt;&gt;"",AA1386,Z1386)</f>
        <v>-</v>
      </c>
      <c r="BY1386" s="55" t="str">
        <f aca="false">IF(BX1386=1,"L1",IF(OR(BX1386=2,BX1386=3),"L23",IF(BX1386="Aussen","Aussen","-")))</f>
        <v>-</v>
      </c>
      <c r="BZ1386" s="66" t="n">
        <f aca="false">IF(N(AB1386)&gt;0,AB1386,0)</f>
        <v>0</v>
      </c>
      <c r="CA1386" s="60" t="n">
        <f aca="false">IF(ISNUMBER(AE1386),1,0)</f>
        <v>0</v>
      </c>
      <c r="CB1386" s="57" t="n">
        <f aca="false">N(AE1386)</f>
        <v>0</v>
      </c>
      <c r="CC1386" s="57" t="n">
        <f aca="false">N(M1386)+N(N1386)</f>
        <v>1</v>
      </c>
      <c r="CD1386" s="57" t="n">
        <f aca="false">ROUNDUP(H1386/BS1386,0)</f>
        <v>0</v>
      </c>
      <c r="CE1386" s="57" t="n">
        <f aca="false">ROUNDUP(CB1386/BS1386,0)</f>
        <v>0</v>
      </c>
      <c r="CF1386" s="60" t="n">
        <f aca="false">IF(BT1386=1,0,IFERROR(VLOOKUP(BR1386,'Gebinde-Kategorie'!$A$5:$M$45,5,0)+0,0))</f>
        <v>0</v>
      </c>
      <c r="CG1386" s="60" t="n">
        <f aca="false">IFERROR(IF(OR(BX1386=1,BX1386=2,BX1386=3),N(INDEX(Parameter!$I$5:$I$7,BX1386)),0),0)</f>
        <v>0</v>
      </c>
      <c r="CH1386" s="59" t="n">
        <f aca="false">IF(AND(Parameter!$B$21="Ja",ISNUMBER(W1386),N(X1386)&gt;0),IFERROR(N(INDEX(Parameter!$L$5:$L$7,W1386))*INDEX(Parameter!$E$5:$E$7,W1386)*X1386/SUMIFS($X$7:$X$1843,$W$7:$W$1843,W1386),0),0)</f>
        <v>0</v>
      </c>
    </row>
    <row r="1387" customFormat="false" ht="15" hidden="false" customHeight="false" outlineLevel="0" collapsed="false">
      <c r="A1387" s="55" t="s">
        <v>2439</v>
      </c>
      <c r="B1387" s="55" t="s">
        <v>2440</v>
      </c>
      <c r="C1387" s="55" t="s">
        <v>164</v>
      </c>
      <c r="D1387" s="55" t="s">
        <v>173</v>
      </c>
      <c r="E1387" s="55" t="s">
        <v>173</v>
      </c>
      <c r="F1387" s="55" t="s">
        <v>218</v>
      </c>
      <c r="G1387" s="56" t="n">
        <v>570</v>
      </c>
      <c r="H1387" s="57" t="n">
        <f aca="false">MAX(0,IF(AND(Parameter!$B$21="Ja",ISNUMBER(Y1387)),Y1387,IF(Parameter!$B$20="Jahresanfang 2025 + Export",BL1387+BK1387,BK1387)))</f>
        <v>2</v>
      </c>
      <c r="I1387" s="57" t="n">
        <f aca="false">H1387*G1387</f>
        <v>1140</v>
      </c>
      <c r="J1387" s="57" t="n">
        <f aca="false">BN1387*Parameter!$B$18</f>
        <v>8</v>
      </c>
      <c r="K1387" s="58" t="n">
        <v>6.5</v>
      </c>
      <c r="L1387" s="59" t="n">
        <v>1.23076923076923</v>
      </c>
      <c r="M1387" s="57" t="n">
        <v>0</v>
      </c>
      <c r="N1387" s="57" t="n">
        <v>1</v>
      </c>
      <c r="O1387" s="60" t="n">
        <v>35</v>
      </c>
      <c r="P1387" s="55" t="s">
        <v>348</v>
      </c>
      <c r="Q1387" s="57" t="n">
        <v>4</v>
      </c>
      <c r="R1387" s="60" t="n">
        <f aca="false">IF(BT1387=1,0,IFERROR(VLOOKUP(BR1387,'Gebinde-Kategorie'!$A$5:$M$45,13,0)+0,0))</f>
        <v>3</v>
      </c>
      <c r="S1387" s="61"/>
      <c r="T1387" s="62"/>
      <c r="U1387" s="62"/>
      <c r="V1387" s="62"/>
      <c r="W1387" s="55"/>
      <c r="X1387" s="57"/>
      <c r="Y1387" s="57"/>
      <c r="Z1387" s="55" t="str">
        <f aca="false">IF(A1387="","",IF(AND(Parameter!$B$21="Ja",ISNUMBER(W1387)),W1387,IF(BV1387="2+3",IF(ISNUMBER(SEARCH("grosser Artikel",BO1387)),2,IFERROR(VLOOKUP(BR1387,Parameter!$F$35:$G$64,2,0),2)),IF(OR(BV1387="Nein",BV1387=""),"-",BV1387))))</f>
        <v>-</v>
      </c>
      <c r="AA1387" s="62"/>
      <c r="AB1387" s="63"/>
      <c r="AC1387" s="57" t="n">
        <f aca="false">AR1387</f>
        <v>4</v>
      </c>
      <c r="AD1387" s="57" t="n">
        <f aca="false">MAX(AR1387,H1387)</f>
        <v>4</v>
      </c>
      <c r="AE1387" s="64"/>
      <c r="AF1387" s="57" t="n">
        <f aca="false">IF(LEFT(Cockpit!$C$5,1)="A",H1387,IF(CA1387=1,CB1387,IF(LEFT(Cockpit!$C$5,1)="B",AJ1387,MAX(AJ1387,H1387))))</f>
        <v>2</v>
      </c>
      <c r="AG1387" s="57" t="n">
        <f aca="false">IF(BT1387=1,0,ROUNDUP(AF1387/BS1387,0))</f>
        <v>1</v>
      </c>
      <c r="AH1387" s="59" t="n">
        <f aca="false">IF(CH1387&gt;0,CH1387*MAX(1,AF1387/X1387),IF(BT1387=1,IF(AF1387&lt;=0,0,BW1387*MAX(1,IF(H1387&gt;0,AF1387/H1387,1))),IF(R1387&gt;0,AG1387/R1387,0))/MAX(0.1,N(Parameter!$M$21)))</f>
        <v>0.333333333333333</v>
      </c>
      <c r="AI1387" s="57" t="n">
        <f aca="false">AF1387*G1387</f>
        <v>1140</v>
      </c>
      <c r="AJ1387" s="57" t="n">
        <f aca="false">ROUNDUP(MAX(J1387/IF(BZ1387&gt;0,BZ1387,MAX(0.1,N(Cockpit!$C$6))),CC1387)/BS1387,0)*BS1387</f>
        <v>4</v>
      </c>
      <c r="AK1387" s="58" t="n">
        <f aca="false">IF(AH1387&gt;0,J1387/AH1387,-1)</f>
        <v>24</v>
      </c>
      <c r="AL1387" s="58" t="str">
        <f aca="false">IF(AND(OR(BY1387="L1",BY1387="L23"),AH1387&gt;0),SUMIFS($AH$7:$AH$1843,$BY$7:$BY$1843,BY1387,$AK$7:$AK$1843,"&gt;"&amp;AK1387)+SUMIFS($AH$7:$AH$1843,$BY$7:$BY$1843,BY1387,$AK$7:$AK$1843,AK1387,$BQ$7:$BQ$1843,"&lt;="&amp;BQ1387),"")</f>
        <v/>
      </c>
      <c r="AM1387" s="65" t="n">
        <f aca="false">IF(AL1387="",0,MAX(0,MIN(1,(IF(BY1387="L1",Parameter!$E$5,Parameter!$E$6+Parameter!$E$7)-(AL1387-AH1387))/AH1387)))</f>
        <v>0</v>
      </c>
      <c r="AN1387" s="57" t="n">
        <f aca="false">IF(LEFT(Cockpit!$I$5,1)="A",H1387,IF(CA1387=1,CB1387,IF(LEFT(Cockpit!$I$5,1)="B",AR1387,MAX(AR1387,H1387))))</f>
        <v>4</v>
      </c>
      <c r="AO1387" s="57" t="n">
        <f aca="false">IF(BT1387=1,0,ROUNDUP(AN1387/BS1387,0))</f>
        <v>1</v>
      </c>
      <c r="AP1387" s="59" t="n">
        <f aca="false">IF(CH1387&gt;0,CH1387*MAX(1,AN1387/X1387),IF(BT1387=1,IF(AN1387&lt;=0,0,BW1387*MAX(1,IF(H1387&gt;0,AN1387/H1387,1))),IF(R1387&gt;0,AO1387/R1387,0))/MAX(0.1,N(Parameter!$M$21)))</f>
        <v>0.333333333333333</v>
      </c>
      <c r="AQ1387" s="57" t="n">
        <f aca="false">AN1387*G1387</f>
        <v>2280</v>
      </c>
      <c r="AR1387" s="57" t="n">
        <f aca="false">ROUNDUP(MAX(J1387/IF(BZ1387&gt;0,BZ1387,MAX(0.1,N(Cockpit!$I$6))),CC1387)/BS1387,0)*BS1387</f>
        <v>4</v>
      </c>
      <c r="AS1387" s="58" t="n">
        <f aca="false">IF(AP1387&gt;0,J1387/AP1387,-1)</f>
        <v>24</v>
      </c>
      <c r="AT1387" s="58" t="str">
        <f aca="false">IF(AND(OR(BY1387="L1",BY1387="L23"),AP1387&gt;0),SUMIFS($AP$7:$AP$1843,$BY$7:$BY$1843,BY1387,$AS$7:$AS$1843,"&gt;"&amp;AS1387)+SUMIFS($AP$7:$AP$1843,$BY$7:$BY$1843,BY1387,$AS$7:$AS$1843,AS1387,$BQ$7:$BQ$1843,"&lt;="&amp;BQ1387),"")</f>
        <v/>
      </c>
      <c r="AU1387" s="65" t="n">
        <f aca="false">IF(AT1387="",0,MAX(0,MIN(1,(IF(BY1387="L1",Parameter!$E$5,Parameter!$E$6+Parameter!$E$7)-(AT1387-AP1387))/AP1387)))</f>
        <v>0</v>
      </c>
      <c r="AV1387" s="57" t="n">
        <f aca="false">IF(LEFT(Cockpit!$O$5,1)="A",H1387,IF(CA1387=1,CB1387,IF(LEFT(Cockpit!$O$5,1)="B",AZ1387,MAX(AZ1387,H1387))))</f>
        <v>4</v>
      </c>
      <c r="AW1387" s="57" t="n">
        <f aca="false">IF(BT1387=1,0,ROUNDUP(AV1387/BS1387,0))</f>
        <v>1</v>
      </c>
      <c r="AX1387" s="59" t="n">
        <f aca="false">IF(CH1387&gt;0,CH1387*MAX(1,AV1387/X1387),IF(BT1387=1,IF(AV1387&lt;=0,0,BW1387*MAX(1,IF(H1387&gt;0,AV1387/H1387,1))),IF(R1387&gt;0,AW1387/R1387,0))/MAX(0.1,N(Parameter!$M$21)))</f>
        <v>0.333333333333333</v>
      </c>
      <c r="AY1387" s="57" t="n">
        <f aca="false">AV1387*G1387</f>
        <v>2280</v>
      </c>
      <c r="AZ1387" s="57" t="n">
        <f aca="false">ROUNDUP(MAX(J1387/IF(BZ1387&gt;0,BZ1387,MAX(0.1,N(Cockpit!$O$6))),CC1387)/BS1387,0)*BS1387</f>
        <v>4</v>
      </c>
      <c r="BA1387" s="58" t="n">
        <f aca="false">IF(AX1387&gt;0,J1387/AX1387,-1)</f>
        <v>24</v>
      </c>
      <c r="BB1387" s="58" t="str">
        <f aca="false">IF(AND(OR(BY1387="L1",BY1387="L23"),AX1387&gt;0),SUMIFS($AX$7:$AX$1843,$BY$7:$BY$1843,BY1387,$BA$7:$BA$1843,"&gt;"&amp;BA1387)+SUMIFS($AX$7:$AX$1843,$BY$7:$BY$1843,BY1387,$BA$7:$BA$1843,BA1387,$BQ$7:$BQ$1843,"&lt;="&amp;BQ1387),"")</f>
        <v/>
      </c>
      <c r="BC1387" s="65" t="n">
        <f aca="false">IF(BB1387="",0,MAX(0,MIN(1,(IF(BY1387="L1",Parameter!$E$5,Parameter!$E$6+Parameter!$E$7)-(BB1387-AX1387))/AX1387)))</f>
        <v>0</v>
      </c>
      <c r="BD1387" s="55" t="str">
        <f aca="false">IF(AH1387&lt;=0,"",IF(BY1387="Aussen","Aussenlager",IF(BY1387="-","Nicht im Lift",IF(AM1387&gt;=1,"Lift",IF(AM1387&lt;=0,"Aussenlager","teilweise")))))</f>
        <v>Nicht im Lift</v>
      </c>
      <c r="BE1387" s="55" t="str">
        <f aca="false">IF(AP1387&lt;=0,"",IF(BY1387="Aussen","Aussenlager",IF(BY1387="-","Nicht im Lift",IF(AU1387&gt;=1,"Lift",IF(AU1387&lt;=0,"Aussenlager","teilweise")))))</f>
        <v>Nicht im Lift</v>
      </c>
      <c r="BF1387" s="55" t="str">
        <f aca="false">IF(AX1387&lt;=0,"",IF(BY1387="Aussen","Aussenlager",IF(BY1387="-","Nicht im Lift",IF(BC1387&gt;=1,"Lift",IF(BC1387&lt;=0,"Aussenlager","teilweise")))))</f>
        <v>Nicht im Lift</v>
      </c>
      <c r="BG1387" s="55" t="str">
        <f aca="false">IF(A1387="","",IF(BP1387=1,"Neu; ","")&amp;IF(AND(BP1387=0,BK1387&lt;0),"negativer Bestand (Export "&amp;BK1387&amp;"); ","")&amp;IF(J1387&lt;=0,"Kein Verbrauch; ","")&amp;IF(CH1387&gt;0,"Lift "&amp;W1387&amp;" lt. Liftbericht (Fach "&amp;X1387&amp;" Stk); ",IF(BU1387=1,"Gebinde geschätzt ("&amp;T1387&amp;"); ",IF(BT1387=1,"Lose – Tablare geschätzt; ","")))&amp;IF(H1387&gt;AR1387,"Überbestand "&amp;ROUND(H1387-AR1387,0)&amp;" Stk / CHF "&amp;ROUND((H1387-AR1387)*G1387,0)&amp;"; ","")&amp;IF(AND(CA1387=1,CB1387&lt;CC1387),"MAX &lt; MB+LG; ","")&amp;IF(AND(CG1387&gt;0,CF1387*10&gt;CG1387),"zu hoch für Tablar; ","")&amp;IF(AND(BP1387=0,OR(CA1387=1,AA1387&lt;&gt;"",U1387&lt;&gt;"",V1387&lt;&gt;"",AB1387&lt;&gt;"")),"manuell übersteuert; ","")&amp;IF(AND(BT1387=0,R1387=0),"Gebinde unbekannt / Stellmass fehlt; ","")&amp;IF(AND(BT1387=0,N(V1387)&lt;=0,N(Q1387)&lt;=0),"Menge pro Gebinde fehlt (Ist = 1 Gebinde); ","")&amp;BO1387)</f>
        <v>negativer Bestand (Export -9); Neu</v>
      </c>
      <c r="BH1387" s="55"/>
      <c r="BI1387" s="55"/>
      <c r="BJ1387" s="62"/>
      <c r="BK1387" s="57" t="n">
        <v>-9</v>
      </c>
      <c r="BL1387" s="57" t="n">
        <v>11</v>
      </c>
      <c r="BM1387" s="56" t="n">
        <v>-3208.63</v>
      </c>
      <c r="BN1387" s="57" t="n">
        <v>8</v>
      </c>
      <c r="BO1387" s="55" t="s">
        <v>626</v>
      </c>
      <c r="BP1387" s="60" t="n">
        <v>0</v>
      </c>
      <c r="BQ1387" s="60" t="n">
        <v>1387</v>
      </c>
      <c r="BR1387" s="55" t="str">
        <f aca="false">IF(U1387&lt;&gt;"",UPPER(TRIM(U1387)),IF(BU1387=1,UPPER(VLOOKUP(T1387,Parameter!$I$27:$K$29,2,0)),IF(P1387="","LOSE",P1387)))</f>
        <v>S82</v>
      </c>
      <c r="BS1387" s="57" t="n">
        <f aca="false">IF(BR1387="LOSE",1,IF(N(V1387)&gt;0,V1387,IF(BU1387=1,MAX(1,N(VLOOKUP(T1387,Parameter!$I$27:$K$29,3,0)),H1387,N(N1387)),IF(N(Q1387)&gt;0,Q1387,MAX(1,H1387)))))</f>
        <v>4</v>
      </c>
      <c r="BT1387" s="60" t="n">
        <f aca="false">IF(BR1387="LOSE",1,0)</f>
        <v>0</v>
      </c>
      <c r="BU1387" s="60" t="n">
        <f aca="false">IF(AND(U1387="",OR(P1387="",P1387="LOSE"),T1387&lt;&gt;"",N(S1387)&lt;=0,ISNUMBER(MATCH(T1387,Parameter!$I$27:$I$29,0))),1,0)</f>
        <v>0</v>
      </c>
      <c r="BV1387" s="55" t="str">
        <f aca="false">IF(AND(Parameter!$B$19="Ja",E1387&lt;&gt;"",ISNUMBER(MATCH(E1387,Parameter!$I$35:$I$52,0))),VLOOKUP(E1387,Parameter!$I$35:$J$52,2,0),IFERROR(VLOOKUP(D1387,Parameter!$A$35:$C$64,2,0),"Nein"))</f>
        <v>Nein</v>
      </c>
      <c r="BW1387" s="59" t="n">
        <f aca="false">IF(BT1387=0,0,IF(N(S1387)&gt;0,S1387,IFERROR(VLOOKUP(D1387,Parameter!$A$35:$C$64,3,0)+0,0)))</f>
        <v>0</v>
      </c>
      <c r="BX1387" s="55" t="str">
        <f aca="false">IF(AA1387&lt;&gt;"",AA1387,Z1387)</f>
        <v>-</v>
      </c>
      <c r="BY1387" s="55" t="str">
        <f aca="false">IF(BX1387=1,"L1",IF(OR(BX1387=2,BX1387=3),"L23",IF(BX1387="Aussen","Aussen","-")))</f>
        <v>-</v>
      </c>
      <c r="BZ1387" s="66" t="n">
        <f aca="false">IF(N(AB1387)&gt;0,AB1387,0)</f>
        <v>0</v>
      </c>
      <c r="CA1387" s="60" t="n">
        <f aca="false">IF(ISNUMBER(AE1387),1,0)</f>
        <v>0</v>
      </c>
      <c r="CB1387" s="57" t="n">
        <f aca="false">N(AE1387)</f>
        <v>0</v>
      </c>
      <c r="CC1387" s="57" t="n">
        <f aca="false">N(M1387)+N(N1387)</f>
        <v>1</v>
      </c>
      <c r="CD1387" s="57" t="n">
        <f aca="false">ROUNDUP(H1387/BS1387,0)</f>
        <v>1</v>
      </c>
      <c r="CE1387" s="57" t="n">
        <f aca="false">ROUNDUP(CB1387/BS1387,0)</f>
        <v>0</v>
      </c>
      <c r="CF1387" s="60" t="n">
        <f aca="false">IF(BT1387=1,0,IFERROR(VLOOKUP(BR1387,'Gebinde-Kategorie'!$A$5:$M$45,5,0)+0,0))</f>
        <v>40</v>
      </c>
      <c r="CG1387" s="60" t="n">
        <f aca="false">IFERROR(IF(OR(BX1387=1,BX1387=2,BX1387=3),N(INDEX(Parameter!$I$5:$I$7,BX1387)),0),0)</f>
        <v>0</v>
      </c>
      <c r="CH1387" s="59" t="n">
        <f aca="false">IF(AND(Parameter!$B$21="Ja",ISNUMBER(W1387),N(X1387)&gt;0),IFERROR(N(INDEX(Parameter!$L$5:$L$7,W1387))*INDEX(Parameter!$E$5:$E$7,W1387)*X1387/SUMIFS($X$7:$X$1843,$W$7:$W$1843,W1387),0),0)</f>
        <v>0</v>
      </c>
    </row>
    <row r="1388" customFormat="false" ht="15" hidden="false" customHeight="false" outlineLevel="0" collapsed="false">
      <c r="A1388" s="55" t="s">
        <v>2441</v>
      </c>
      <c r="B1388" s="55" t="s">
        <v>2442</v>
      </c>
      <c r="C1388" s="55" t="s">
        <v>164</v>
      </c>
      <c r="D1388" s="55" t="s">
        <v>184</v>
      </c>
      <c r="E1388" s="55" t="s">
        <v>185</v>
      </c>
      <c r="F1388" s="55" t="s">
        <v>218</v>
      </c>
      <c r="G1388" s="56" t="n">
        <v>365.34</v>
      </c>
      <c r="H1388" s="57" t="n">
        <f aca="false">MAX(0,IF(AND(Parameter!$B$21="Ja",ISNUMBER(Y1388)),Y1388,IF(Parameter!$B$20="Jahresanfang 2025 + Export",BL1388+BK1388,BK1388)))</f>
        <v>15</v>
      </c>
      <c r="I1388" s="57" t="n">
        <f aca="false">H1388*G1388</f>
        <v>5480.1</v>
      </c>
      <c r="J1388" s="57" t="n">
        <f aca="false">BN1388*Parameter!$B$18</f>
        <v>20</v>
      </c>
      <c r="K1388" s="58" t="n">
        <v>20</v>
      </c>
      <c r="L1388" s="59" t="n">
        <v>1</v>
      </c>
      <c r="M1388" s="57" t="n">
        <v>1</v>
      </c>
      <c r="N1388" s="57" t="n">
        <v>10</v>
      </c>
      <c r="O1388" s="60" t="n">
        <v>21</v>
      </c>
      <c r="P1388" s="55" t="s">
        <v>233</v>
      </c>
      <c r="Q1388" s="57" t="n">
        <v>11</v>
      </c>
      <c r="R1388" s="60" t="n">
        <f aca="false">IF(BT1388=1,0,IFERROR(VLOOKUP(BR1388,'Gebinde-Kategorie'!$A$5:$M$45,13,0)+0,0))</f>
        <v>26</v>
      </c>
      <c r="S1388" s="61"/>
      <c r="T1388" s="62"/>
      <c r="U1388" s="62"/>
      <c r="V1388" s="62"/>
      <c r="W1388" s="55"/>
      <c r="X1388" s="57"/>
      <c r="Y1388" s="57"/>
      <c r="Z1388" s="55" t="n">
        <f aca="false">IF(A1388="","",IF(AND(Parameter!$B$21="Ja",ISNUMBER(W1388)),W1388,IF(BV1388="2+3",IF(ISNUMBER(SEARCH("grosser Artikel",BO1388)),2,IFERROR(VLOOKUP(BR1388,Parameter!$F$35:$G$64,2,0),2)),IF(OR(BV1388="Nein",BV1388=""),"-",BV1388))))</f>
        <v>3</v>
      </c>
      <c r="AA1388" s="62"/>
      <c r="AB1388" s="63"/>
      <c r="AC1388" s="57" t="n">
        <f aca="false">AR1388</f>
        <v>11</v>
      </c>
      <c r="AD1388" s="57" t="n">
        <f aca="false">MAX(AR1388,H1388)</f>
        <v>15</v>
      </c>
      <c r="AE1388" s="64"/>
      <c r="AF1388" s="57" t="n">
        <f aca="false">IF(LEFT(Cockpit!$C$5,1)="A",H1388,IF(CA1388=1,CB1388,IF(LEFT(Cockpit!$C$5,1)="B",AJ1388,MAX(AJ1388,H1388))))</f>
        <v>15</v>
      </c>
      <c r="AG1388" s="57" t="n">
        <f aca="false">IF(BT1388=1,0,ROUNDUP(AF1388/BS1388,0))</f>
        <v>2</v>
      </c>
      <c r="AH1388" s="59" t="n">
        <f aca="false">IF(CH1388&gt;0,CH1388*MAX(1,AF1388/X1388),IF(BT1388=1,IF(AF1388&lt;=0,0,BW1388*MAX(1,IF(H1388&gt;0,AF1388/H1388,1))),IF(R1388&gt;0,AG1388/R1388,0))/MAX(0.1,N(Parameter!$M$21)))</f>
        <v>0.0769230769230769</v>
      </c>
      <c r="AI1388" s="57" t="n">
        <f aca="false">AF1388*G1388</f>
        <v>5480.1</v>
      </c>
      <c r="AJ1388" s="57" t="n">
        <f aca="false">ROUNDUP(MAX(J1388/IF(BZ1388&gt;0,BZ1388,MAX(0.1,N(Cockpit!$C$6))),CC1388)/BS1388,0)*BS1388</f>
        <v>11</v>
      </c>
      <c r="AK1388" s="58" t="n">
        <f aca="false">IF(AH1388&gt;0,J1388/AH1388,-1)</f>
        <v>260</v>
      </c>
      <c r="AL1388" s="58" t="n">
        <f aca="false">IF(AND(OR(BY1388="L1",BY1388="L23"),AH1388&gt;0),SUMIFS($AH$7:$AH$1843,$BY$7:$BY$1843,BY1388,$AK$7:$AK$1843,"&gt;"&amp;AK1388)+SUMIFS($AH$7:$AH$1843,$BY$7:$BY$1843,BY1388,$AK$7:$AK$1843,AK1388,$BQ$7:$BQ$1843,"&lt;="&amp;BQ1388),"")</f>
        <v>29.6183912705652</v>
      </c>
      <c r="AM1388" s="65" t="n">
        <f aca="false">IF(AL1388="",0,MAX(0,MIN(1,(IF(BY1388="L1",Parameter!$E$5,Parameter!$E$6+Parameter!$E$7)-(AL1388-AH1388))/AH1388)))</f>
        <v>1</v>
      </c>
      <c r="AN1388" s="57" t="n">
        <f aca="false">IF(LEFT(Cockpit!$I$5,1)="A",H1388,IF(CA1388=1,CB1388,IF(LEFT(Cockpit!$I$5,1)="B",AR1388,MAX(AR1388,H1388))))</f>
        <v>15</v>
      </c>
      <c r="AO1388" s="57" t="n">
        <f aca="false">IF(BT1388=1,0,ROUNDUP(AN1388/BS1388,0))</f>
        <v>2</v>
      </c>
      <c r="AP1388" s="59" t="n">
        <f aca="false">IF(CH1388&gt;0,CH1388*MAX(1,AN1388/X1388),IF(BT1388=1,IF(AN1388&lt;=0,0,BW1388*MAX(1,IF(H1388&gt;0,AN1388/H1388,1))),IF(R1388&gt;0,AO1388/R1388,0))/MAX(0.1,N(Parameter!$M$21)))</f>
        <v>0.0769230769230769</v>
      </c>
      <c r="AQ1388" s="57" t="n">
        <f aca="false">AN1388*G1388</f>
        <v>5480.1</v>
      </c>
      <c r="AR1388" s="57" t="n">
        <f aca="false">ROUNDUP(MAX(J1388/IF(BZ1388&gt;0,BZ1388,MAX(0.1,N(Cockpit!$I$6))),CC1388)/BS1388,0)*BS1388</f>
        <v>11</v>
      </c>
      <c r="AS1388" s="58" t="n">
        <f aca="false">IF(AP1388&gt;0,J1388/AP1388,-1)</f>
        <v>260</v>
      </c>
      <c r="AT1388" s="58" t="n">
        <f aca="false">IF(AND(OR(BY1388="L1",BY1388="L23"),AP1388&gt;0),SUMIFS($AP$7:$AP$1843,$BY$7:$BY$1843,BY1388,$AS$7:$AS$1843,"&gt;"&amp;AS1388)+SUMIFS($AP$7:$AP$1843,$BY$7:$BY$1843,BY1388,$AS$7:$AS$1843,AS1388,$BQ$7:$BQ$1843,"&lt;="&amp;BQ1388),"")</f>
        <v>42.7120958751394</v>
      </c>
      <c r="AU1388" s="65" t="n">
        <f aca="false">IF(AT1388="",0,MAX(0,MIN(1,(IF(BY1388="L1",Parameter!$E$5,Parameter!$E$6+Parameter!$E$7)-(AT1388-AP1388))/AP1388)))</f>
        <v>1</v>
      </c>
      <c r="AV1388" s="57" t="n">
        <f aca="false">IF(LEFT(Cockpit!$O$5,1)="A",H1388,IF(CA1388=1,CB1388,IF(LEFT(Cockpit!$O$5,1)="B",AZ1388,MAX(AZ1388,H1388))))</f>
        <v>15</v>
      </c>
      <c r="AW1388" s="57" t="n">
        <f aca="false">IF(BT1388=1,0,ROUNDUP(AV1388/BS1388,0))</f>
        <v>2</v>
      </c>
      <c r="AX1388" s="59" t="n">
        <f aca="false">IF(CH1388&gt;0,CH1388*MAX(1,AV1388/X1388),IF(BT1388=1,IF(AV1388&lt;=0,0,BW1388*MAX(1,IF(H1388&gt;0,AV1388/H1388,1))),IF(R1388&gt;0,AW1388/R1388,0))/MAX(0.1,N(Parameter!$M$21)))</f>
        <v>0.0769230769230769</v>
      </c>
      <c r="AY1388" s="57" t="n">
        <f aca="false">AV1388*G1388</f>
        <v>5480.1</v>
      </c>
      <c r="AZ1388" s="57" t="n">
        <f aca="false">ROUNDUP(MAX(J1388/IF(BZ1388&gt;0,BZ1388,MAX(0.1,N(Cockpit!$O$6))),CC1388)/BS1388,0)*BS1388</f>
        <v>11</v>
      </c>
      <c r="BA1388" s="58" t="n">
        <f aca="false">IF(AX1388&gt;0,J1388/AX1388,-1)</f>
        <v>260</v>
      </c>
      <c r="BB1388" s="58" t="n">
        <f aca="false">IF(AND(OR(BY1388="L1",BY1388="L23"),AX1388&gt;0),SUMIFS($AX$7:$AX$1843,$BY$7:$BY$1843,BY1388,$BA$7:$BA$1843,"&gt;"&amp;BA1388)+SUMIFS($AX$7:$AX$1843,$BY$7:$BY$1843,BY1388,$BA$7:$BA$1843,BA1388,$BQ$7:$BQ$1843,"&lt;="&amp;BQ1388),"")</f>
        <v>39.0419327049762</v>
      </c>
      <c r="BC1388" s="65" t="n">
        <f aca="false">IF(BB1388="",0,MAX(0,MIN(1,(IF(BY1388="L1",Parameter!$E$5,Parameter!$E$6+Parameter!$E$7)-(BB1388-AX1388))/AX1388)))</f>
        <v>1</v>
      </c>
      <c r="BD1388" s="55" t="str">
        <f aca="false">IF(AH1388&lt;=0,"",IF(BY1388="Aussen","Aussenlager",IF(BY1388="-","Nicht im Lift",IF(AM1388&gt;=1,"Lift",IF(AM1388&lt;=0,"Aussenlager","teilweise")))))</f>
        <v>Lift</v>
      </c>
      <c r="BE1388" s="55" t="str">
        <f aca="false">IF(AP1388&lt;=0,"",IF(BY1388="Aussen","Aussenlager",IF(BY1388="-","Nicht im Lift",IF(AU1388&gt;=1,"Lift",IF(AU1388&lt;=0,"Aussenlager","teilweise")))))</f>
        <v>Lift</v>
      </c>
      <c r="BF1388" s="55" t="str">
        <f aca="false">IF(AX1388&lt;=0,"",IF(BY1388="Aussen","Aussenlager",IF(BY1388="-","Nicht im Lift",IF(BC1388&gt;=1,"Lift",IF(BC1388&lt;=0,"Aussenlager","teilweise")))))</f>
        <v>Lift</v>
      </c>
      <c r="BG1388" s="55" t="str">
        <f aca="false">IF(A1388="","",IF(BP1388=1,"Neu; ","")&amp;IF(AND(BP1388=0,BK1388&lt;0),"negativer Bestand (Export "&amp;BK1388&amp;"); ","")&amp;IF(J1388&lt;=0,"Kein Verbrauch; ","")&amp;IF(CH1388&gt;0,"Lift "&amp;W1388&amp;" lt. Liftbericht (Fach "&amp;X1388&amp;" Stk); ",IF(BU1388=1,"Gebinde geschätzt ("&amp;T1388&amp;"); ",IF(BT1388=1,"Lose – Tablare geschätzt; ","")))&amp;IF(H1388&gt;AR1388,"Überbestand "&amp;ROUND(H1388-AR1388,0)&amp;" Stk / CHF "&amp;ROUND((H1388-AR1388)*G1388,0)&amp;"; ","")&amp;IF(AND(CA1388=1,CB1388&lt;CC1388),"MAX &lt; MB+LG; ","")&amp;IF(AND(CG1388&gt;0,CF1388*10&gt;CG1388),"zu hoch für Tablar; ","")&amp;IF(AND(BP1388=0,OR(CA1388=1,AA1388&lt;&gt;"",U1388&lt;&gt;"",V1388&lt;&gt;"",AB1388&lt;&gt;"")),"manuell übersteuert; ","")&amp;IF(AND(BT1388=0,R1388=0),"Gebinde unbekannt / Stellmass fehlt; ","")&amp;IF(AND(BT1388=0,N(V1388)&lt;=0,N(Q1388)&lt;=0),"Menge pro Gebinde fehlt (Ist = 1 Gebinde); ","")&amp;BO1388)</f>
        <v>negativer Bestand (Export -10); Überbestand 4 Stk / CHF 1461; </v>
      </c>
      <c r="BH1388" s="55"/>
      <c r="BI1388" s="55"/>
      <c r="BJ1388" s="62"/>
      <c r="BK1388" s="57" t="n">
        <v>-10</v>
      </c>
      <c r="BL1388" s="57" t="n">
        <v>25</v>
      </c>
      <c r="BM1388" s="56" t="n">
        <v>-3373.26</v>
      </c>
      <c r="BN1388" s="57" t="n">
        <v>20</v>
      </c>
      <c r="BO1388" s="55"/>
      <c r="BP1388" s="60" t="n">
        <v>0</v>
      </c>
      <c r="BQ1388" s="60" t="n">
        <v>1388</v>
      </c>
      <c r="BR1388" s="55" t="str">
        <f aca="false">IF(U1388&lt;&gt;"",UPPER(TRIM(U1388)),IF(BU1388=1,UPPER(VLOOKUP(T1388,Parameter!$I$27:$K$29,2,0)),IF(P1388="","LOSE",P1388)))</f>
        <v>S52</v>
      </c>
      <c r="BS1388" s="57" t="n">
        <f aca="false">IF(BR1388="LOSE",1,IF(N(V1388)&gt;0,V1388,IF(BU1388=1,MAX(1,N(VLOOKUP(T1388,Parameter!$I$27:$K$29,3,0)),H1388,N(N1388)),IF(N(Q1388)&gt;0,Q1388,MAX(1,H1388)))))</f>
        <v>11</v>
      </c>
      <c r="BT1388" s="60" t="n">
        <f aca="false">IF(BR1388="LOSE",1,0)</f>
        <v>0</v>
      </c>
      <c r="BU1388" s="60" t="n">
        <f aca="false">IF(AND(U1388="",OR(P1388="",P1388="LOSE"),T1388&lt;&gt;"",N(S1388)&lt;=0,ISNUMBER(MATCH(T1388,Parameter!$I$27:$I$29,0))),1,0)</f>
        <v>0</v>
      </c>
      <c r="BV1388" s="55" t="str">
        <f aca="false">IF(AND(Parameter!$B$19="Ja",E1388&lt;&gt;"",ISNUMBER(MATCH(E1388,Parameter!$I$35:$I$52,0))),VLOOKUP(E1388,Parameter!$I$35:$J$52,2,0),IFERROR(VLOOKUP(D1388,Parameter!$A$35:$C$64,2,0),"Nein"))</f>
        <v>2+3</v>
      </c>
      <c r="BW1388" s="59" t="n">
        <f aca="false">IF(BT1388=0,0,IF(N(S1388)&gt;0,S1388,IFERROR(VLOOKUP(D1388,Parameter!$A$35:$C$64,3,0)+0,0)))</f>
        <v>0</v>
      </c>
      <c r="BX1388" s="55" t="n">
        <f aca="false">IF(AA1388&lt;&gt;"",AA1388,Z1388)</f>
        <v>3</v>
      </c>
      <c r="BY1388" s="55" t="str">
        <f aca="false">IF(BX1388=1,"L1",IF(OR(BX1388=2,BX1388=3),"L23",IF(BX1388="Aussen","Aussen","-")))</f>
        <v>L23</v>
      </c>
      <c r="BZ1388" s="66" t="n">
        <f aca="false">IF(N(AB1388)&gt;0,AB1388,0)</f>
        <v>0</v>
      </c>
      <c r="CA1388" s="60" t="n">
        <f aca="false">IF(ISNUMBER(AE1388),1,0)</f>
        <v>0</v>
      </c>
      <c r="CB1388" s="57" t="n">
        <f aca="false">N(AE1388)</f>
        <v>0</v>
      </c>
      <c r="CC1388" s="57" t="n">
        <f aca="false">N(M1388)+N(N1388)</f>
        <v>11</v>
      </c>
      <c r="CD1388" s="57" t="n">
        <f aca="false">ROUNDUP(H1388/BS1388,0)</f>
        <v>2</v>
      </c>
      <c r="CE1388" s="57" t="n">
        <f aca="false">ROUNDUP(CB1388/BS1388,0)</f>
        <v>0</v>
      </c>
      <c r="CF1388" s="60" t="n">
        <f aca="false">IF(BT1388=1,0,IFERROR(VLOOKUP(BR1388,'Gebinde-Kategorie'!$A$5:$M$45,5,0)+0,0))</f>
        <v>21</v>
      </c>
      <c r="CG1388" s="60" t="n">
        <f aca="false">IFERROR(IF(OR(BX1388=1,BX1388=2,BX1388=3),N(INDEX(Parameter!$I$5:$I$7,BX1388)),0),0)</f>
        <v>0</v>
      </c>
      <c r="CH1388" s="59" t="n">
        <f aca="false">IF(AND(Parameter!$B$21="Ja",ISNUMBER(W1388),N(X1388)&gt;0),IFERROR(N(INDEX(Parameter!$L$5:$L$7,W1388))*INDEX(Parameter!$E$5:$E$7,W1388)*X1388/SUMIFS($X$7:$X$1843,$W$7:$W$1843,W1388),0),0)</f>
        <v>0</v>
      </c>
    </row>
    <row r="1389" customFormat="false" ht="15" hidden="false" customHeight="false" outlineLevel="0" collapsed="false">
      <c r="A1389" s="55" t="s">
        <v>2443</v>
      </c>
      <c r="B1389" s="55" t="s">
        <v>2403</v>
      </c>
      <c r="C1389" s="55" t="s">
        <v>164</v>
      </c>
      <c r="D1389" s="55" t="s">
        <v>173</v>
      </c>
      <c r="E1389" s="55" t="s">
        <v>185</v>
      </c>
      <c r="F1389" s="55" t="s">
        <v>218</v>
      </c>
      <c r="G1389" s="56" t="n">
        <v>202.04</v>
      </c>
      <c r="H1389" s="57" t="n">
        <f aca="false">MAX(0,IF(AND(Parameter!$B$21="Ja",ISNUMBER(Y1389)),Y1389,IF(Parameter!$B$20="Jahresanfang 2025 + Export",BL1389+BK1389,BK1389)))</f>
        <v>8</v>
      </c>
      <c r="I1389" s="57" t="n">
        <f aca="false">H1389*G1389</f>
        <v>1616.32</v>
      </c>
      <c r="J1389" s="57" t="n">
        <f aca="false">BN1389*Parameter!$B$18</f>
        <v>18</v>
      </c>
      <c r="K1389" s="58" t="n">
        <v>29.5</v>
      </c>
      <c r="L1389" s="59" t="n">
        <v>0.610169491525424</v>
      </c>
      <c r="M1389" s="57" t="n">
        <v>2</v>
      </c>
      <c r="N1389" s="57" t="n">
        <v>15</v>
      </c>
      <c r="O1389" s="60" t="n">
        <v>44</v>
      </c>
      <c r="P1389" s="55" t="s">
        <v>174</v>
      </c>
      <c r="Q1389" s="57" t="n">
        <v>15</v>
      </c>
      <c r="R1389" s="60" t="n">
        <f aca="false">IF(BT1389=1,0,IFERROR(VLOOKUP(BR1389,'Gebinde-Kategorie'!$A$5:$M$45,13,0)+0,0))</f>
        <v>6</v>
      </c>
      <c r="S1389" s="61"/>
      <c r="T1389" s="62"/>
      <c r="U1389" s="62"/>
      <c r="V1389" s="62"/>
      <c r="W1389" s="55"/>
      <c r="X1389" s="57"/>
      <c r="Y1389" s="57"/>
      <c r="Z1389" s="55" t="n">
        <f aca="false">IF(A1389="","",IF(AND(Parameter!$B$21="Ja",ISNUMBER(W1389)),W1389,IF(BV1389="2+3",IF(ISNUMBER(SEARCH("grosser Artikel",BO1389)),2,IFERROR(VLOOKUP(BR1389,Parameter!$F$35:$G$64,2,0),2)),IF(OR(BV1389="Nein",BV1389=""),"-",BV1389))))</f>
        <v>2</v>
      </c>
      <c r="AA1389" s="62"/>
      <c r="AB1389" s="63"/>
      <c r="AC1389" s="57" t="n">
        <f aca="false">AR1389</f>
        <v>30</v>
      </c>
      <c r="AD1389" s="57" t="n">
        <f aca="false">MAX(AR1389,H1389)</f>
        <v>30</v>
      </c>
      <c r="AE1389" s="64"/>
      <c r="AF1389" s="57" t="n">
        <f aca="false">IF(LEFT(Cockpit!$C$5,1)="A",H1389,IF(CA1389=1,CB1389,IF(LEFT(Cockpit!$C$5,1)="B",AJ1389,MAX(AJ1389,H1389))))</f>
        <v>8</v>
      </c>
      <c r="AG1389" s="57" t="n">
        <f aca="false">IF(BT1389=1,0,ROUNDUP(AF1389/BS1389,0))</f>
        <v>1</v>
      </c>
      <c r="AH1389" s="59" t="n">
        <f aca="false">IF(CH1389&gt;0,CH1389*MAX(1,AF1389/X1389),IF(BT1389=1,IF(AF1389&lt;=0,0,BW1389*MAX(1,IF(H1389&gt;0,AF1389/H1389,1))),IF(R1389&gt;0,AG1389/R1389,0))/MAX(0.1,N(Parameter!$M$21)))</f>
        <v>0.166666666666667</v>
      </c>
      <c r="AI1389" s="57" t="n">
        <f aca="false">AF1389*G1389</f>
        <v>1616.32</v>
      </c>
      <c r="AJ1389" s="57" t="n">
        <f aca="false">ROUNDUP(MAX(J1389/IF(BZ1389&gt;0,BZ1389,MAX(0.1,N(Cockpit!$C$6))),CC1389)/BS1389,0)*BS1389</f>
        <v>30</v>
      </c>
      <c r="AK1389" s="58" t="n">
        <f aca="false">IF(AH1389&gt;0,J1389/AH1389,-1)</f>
        <v>108</v>
      </c>
      <c r="AL1389" s="58" t="n">
        <f aca="false">IF(AND(OR(BY1389="L1",BY1389="L23"),AH1389&gt;0),SUMIFS($AH$7:$AH$1843,$BY$7:$BY$1843,BY1389,$AK$7:$AK$1843,"&gt;"&amp;AK1389)+SUMIFS($AH$7:$AH$1843,$BY$7:$BY$1843,BY1389,$AK$7:$AK$1843,AK1389,$BQ$7:$BQ$1843,"&lt;="&amp;BQ1389),"")</f>
        <v>38.4572565116043</v>
      </c>
      <c r="AM1389" s="65" t="n">
        <f aca="false">IF(AL1389="",0,MAX(0,MIN(1,(IF(BY1389="L1",Parameter!$E$5,Parameter!$E$6+Parameter!$E$7)-(AL1389-AH1389))/AH1389)))</f>
        <v>1</v>
      </c>
      <c r="AN1389" s="57" t="n">
        <f aca="false">IF(LEFT(Cockpit!$I$5,1)="A",H1389,IF(CA1389=1,CB1389,IF(LEFT(Cockpit!$I$5,1)="B",AR1389,MAX(AR1389,H1389))))</f>
        <v>30</v>
      </c>
      <c r="AO1389" s="57" t="n">
        <f aca="false">IF(BT1389=1,0,ROUNDUP(AN1389/BS1389,0))</f>
        <v>2</v>
      </c>
      <c r="AP1389" s="59" t="n">
        <f aca="false">IF(CH1389&gt;0,CH1389*MAX(1,AN1389/X1389),IF(BT1389=1,IF(AN1389&lt;=0,0,BW1389*MAX(1,IF(H1389&gt;0,AN1389/H1389,1))),IF(R1389&gt;0,AO1389/R1389,0))/MAX(0.1,N(Parameter!$M$21)))</f>
        <v>0.333333333333333</v>
      </c>
      <c r="AQ1389" s="57" t="n">
        <f aca="false">AN1389*G1389</f>
        <v>6061.2</v>
      </c>
      <c r="AR1389" s="57" t="n">
        <f aca="false">ROUNDUP(MAX(J1389/IF(BZ1389&gt;0,BZ1389,MAX(0.1,N(Cockpit!$I$6))),CC1389)/BS1389,0)*BS1389</f>
        <v>30</v>
      </c>
      <c r="AS1389" s="58" t="n">
        <f aca="false">IF(AP1389&gt;0,J1389/AP1389,-1)</f>
        <v>54</v>
      </c>
      <c r="AT1389" s="58" t="n">
        <f aca="false">IF(AND(OR(BY1389="L1",BY1389="L23"),AP1389&gt;0),SUMIFS($AP$7:$AP$1843,$BY$7:$BY$1843,BY1389,$AS$7:$AS$1843,"&gt;"&amp;AS1389)+SUMIFS($AP$7:$AP$1843,$BY$7:$BY$1843,BY1389,$AS$7:$AS$1843,AS1389,$BQ$7:$BQ$1843,"&lt;="&amp;BQ1389),"")</f>
        <v>66.8001841154015</v>
      </c>
      <c r="AU1389" s="65" t="n">
        <f aca="false">IF(AT1389="",0,MAX(0,MIN(1,(IF(BY1389="L1",Parameter!$E$5,Parameter!$E$6+Parameter!$E$7)-(AT1389-AP1389))/AP1389)))</f>
        <v>1</v>
      </c>
      <c r="AV1389" s="57" t="n">
        <f aca="false">IF(LEFT(Cockpit!$O$5,1)="A",H1389,IF(CA1389=1,CB1389,IF(LEFT(Cockpit!$O$5,1)="B",AZ1389,MAX(AZ1389,H1389))))</f>
        <v>30</v>
      </c>
      <c r="AW1389" s="57" t="n">
        <f aca="false">IF(BT1389=1,0,ROUNDUP(AV1389/BS1389,0))</f>
        <v>2</v>
      </c>
      <c r="AX1389" s="59" t="n">
        <f aca="false">IF(CH1389&gt;0,CH1389*MAX(1,AV1389/X1389),IF(BT1389=1,IF(AV1389&lt;=0,0,BW1389*MAX(1,IF(H1389&gt;0,AV1389/H1389,1))),IF(R1389&gt;0,AW1389/R1389,0))/MAX(0.1,N(Parameter!$M$21)))</f>
        <v>0.333333333333333</v>
      </c>
      <c r="AY1389" s="57" t="n">
        <f aca="false">AV1389*G1389</f>
        <v>6061.2</v>
      </c>
      <c r="AZ1389" s="57" t="n">
        <f aca="false">ROUNDUP(MAX(J1389/IF(BZ1389&gt;0,BZ1389,MAX(0.1,N(Cockpit!$O$6))),CC1389)/BS1389,0)*BS1389</f>
        <v>30</v>
      </c>
      <c r="BA1389" s="58" t="n">
        <f aca="false">IF(AX1389&gt;0,J1389/AX1389,-1)</f>
        <v>54</v>
      </c>
      <c r="BB1389" s="58" t="n">
        <f aca="false">IF(AND(OR(BY1389="L1",BY1389="L23"),AX1389&gt;0),SUMIFS($AX$7:$AX$1843,$BY$7:$BY$1843,BY1389,$BA$7:$BA$1843,"&gt;"&amp;BA1389)+SUMIFS($AX$7:$AX$1843,$BY$7:$BY$1843,BY1389,$BA$7:$BA$1843,BA1389,$BQ$7:$BQ$1843,"&lt;="&amp;BQ1389),"")</f>
        <v>61.296687611905</v>
      </c>
      <c r="BC1389" s="65" t="n">
        <f aca="false">IF(BB1389="",0,MAX(0,MIN(1,(IF(BY1389="L1",Parameter!$E$5,Parameter!$E$6+Parameter!$E$7)-(BB1389-AX1389))/AX1389)))</f>
        <v>1</v>
      </c>
      <c r="BD1389" s="55" t="str">
        <f aca="false">IF(AH1389&lt;=0,"",IF(BY1389="Aussen","Aussenlager",IF(BY1389="-","Nicht im Lift",IF(AM1389&gt;=1,"Lift",IF(AM1389&lt;=0,"Aussenlager","teilweise")))))</f>
        <v>Lift</v>
      </c>
      <c r="BE1389" s="55" t="str">
        <f aca="false">IF(AP1389&lt;=0,"",IF(BY1389="Aussen","Aussenlager",IF(BY1389="-","Nicht im Lift",IF(AU1389&gt;=1,"Lift",IF(AU1389&lt;=0,"Aussenlager","teilweise")))))</f>
        <v>Lift</v>
      </c>
      <c r="BF1389" s="55" t="str">
        <f aca="false">IF(AX1389&lt;=0,"",IF(BY1389="Aussen","Aussenlager",IF(BY1389="-","Nicht im Lift",IF(BC1389&gt;=1,"Lift",IF(BC1389&lt;=0,"Aussenlager","teilweise")))))</f>
        <v>Lift</v>
      </c>
      <c r="BG1389" s="55" t="str">
        <f aca="false">IF(A1389="","",IF(BP1389=1,"Neu; ","")&amp;IF(AND(BP1389=0,BK1389&lt;0),"negativer Bestand (Export "&amp;BK1389&amp;"); ","")&amp;IF(J1389&lt;=0,"Kein Verbrauch; ","")&amp;IF(CH1389&gt;0,"Lift "&amp;W1389&amp;" lt. Liftbericht (Fach "&amp;X1389&amp;" Stk); ",IF(BU1389=1,"Gebinde geschätzt ("&amp;T1389&amp;"); ",IF(BT1389=1,"Lose – Tablare geschätzt; ","")))&amp;IF(H1389&gt;AR1389,"Überbestand "&amp;ROUND(H1389-AR1389,0)&amp;" Stk / CHF "&amp;ROUND((H1389-AR1389)*G1389,0)&amp;"; ","")&amp;IF(AND(CA1389=1,CB1389&lt;CC1389),"MAX &lt; MB+LG; ","")&amp;IF(AND(CG1389&gt;0,CF1389*10&gt;CG1389),"zu hoch für Tablar; ","")&amp;IF(AND(BP1389=0,OR(CA1389=1,AA1389&lt;&gt;"",U1389&lt;&gt;"",V1389&lt;&gt;"",AB1389&lt;&gt;"")),"manuell übersteuert; ","")&amp;IF(AND(BT1389=0,R1389=0),"Gebinde unbekannt / Stellmass fehlt; ","")&amp;IF(AND(BT1389=0,N(V1389)&lt;=0,N(Q1389)&lt;=0),"Menge pro Gebinde fehlt (Ist = 1 Gebinde); ","")&amp;BO1389)</f>
        <v>negativer Bestand (Export -20); grosser Artikel &amp; nicht im KTL</v>
      </c>
      <c r="BH1389" s="55"/>
      <c r="BI1389" s="55"/>
      <c r="BJ1389" s="62"/>
      <c r="BK1389" s="57" t="n">
        <v>-20</v>
      </c>
      <c r="BL1389" s="57" t="n">
        <v>28</v>
      </c>
      <c r="BM1389" s="56" t="n">
        <v>-3384.2</v>
      </c>
      <c r="BN1389" s="57" t="n">
        <v>18</v>
      </c>
      <c r="BO1389" s="55" t="s">
        <v>261</v>
      </c>
      <c r="BP1389" s="60" t="n">
        <v>0</v>
      </c>
      <c r="BQ1389" s="60" t="n">
        <v>1389</v>
      </c>
      <c r="BR1389" s="55" t="str">
        <f aca="false">IF(U1389&lt;&gt;"",UPPER(TRIM(U1389)),IF(BU1389=1,UPPER(VLOOKUP(T1389,Parameter!$I$27:$K$29,2,0)),IF(P1389="","LOSE",P1389)))</f>
        <v>S71</v>
      </c>
      <c r="BS1389" s="57" t="n">
        <f aca="false">IF(BR1389="LOSE",1,IF(N(V1389)&gt;0,V1389,IF(BU1389=1,MAX(1,N(VLOOKUP(T1389,Parameter!$I$27:$K$29,3,0)),H1389,N(N1389)),IF(N(Q1389)&gt;0,Q1389,MAX(1,H1389)))))</f>
        <v>15</v>
      </c>
      <c r="BT1389" s="60" t="n">
        <f aca="false">IF(BR1389="LOSE",1,0)</f>
        <v>0</v>
      </c>
      <c r="BU1389" s="60" t="n">
        <f aca="false">IF(AND(U1389="",OR(P1389="",P1389="LOSE"),T1389&lt;&gt;"",N(S1389)&lt;=0,ISNUMBER(MATCH(T1389,Parameter!$I$27:$I$29,0))),1,0)</f>
        <v>0</v>
      </c>
      <c r="BV1389" s="55" t="str">
        <f aca="false">IF(AND(Parameter!$B$19="Ja",E1389&lt;&gt;"",ISNUMBER(MATCH(E1389,Parameter!$I$35:$I$52,0))),VLOOKUP(E1389,Parameter!$I$35:$J$52,2,0),IFERROR(VLOOKUP(D1389,Parameter!$A$35:$C$64,2,0),"Nein"))</f>
        <v>2+3</v>
      </c>
      <c r="BW1389" s="59" t="n">
        <f aca="false">IF(BT1389=0,0,IF(N(S1389)&gt;0,S1389,IFERROR(VLOOKUP(D1389,Parameter!$A$35:$C$64,3,0)+0,0)))</f>
        <v>0</v>
      </c>
      <c r="BX1389" s="55" t="n">
        <f aca="false">IF(AA1389&lt;&gt;"",AA1389,Z1389)</f>
        <v>2</v>
      </c>
      <c r="BY1389" s="55" t="str">
        <f aca="false">IF(BX1389=1,"L1",IF(OR(BX1389=2,BX1389=3),"L23",IF(BX1389="Aussen","Aussen","-")))</f>
        <v>L23</v>
      </c>
      <c r="BZ1389" s="66" t="n">
        <f aca="false">IF(N(AB1389)&gt;0,AB1389,0)</f>
        <v>0</v>
      </c>
      <c r="CA1389" s="60" t="n">
        <f aca="false">IF(ISNUMBER(AE1389),1,0)</f>
        <v>0</v>
      </c>
      <c r="CB1389" s="57" t="n">
        <f aca="false">N(AE1389)</f>
        <v>0</v>
      </c>
      <c r="CC1389" s="57" t="n">
        <f aca="false">N(M1389)+N(N1389)</f>
        <v>17</v>
      </c>
      <c r="CD1389" s="57" t="n">
        <f aca="false">ROUNDUP(H1389/BS1389,0)</f>
        <v>1</v>
      </c>
      <c r="CE1389" s="57" t="n">
        <f aca="false">ROUNDUP(CB1389/BS1389,0)</f>
        <v>0</v>
      </c>
      <c r="CF1389" s="60" t="n">
        <f aca="false">IF(BT1389=1,0,IFERROR(VLOOKUP(BR1389,'Gebinde-Kategorie'!$A$5:$M$45,5,0)+0,0))</f>
        <v>20</v>
      </c>
      <c r="CG1389" s="60" t="n">
        <f aca="false">IFERROR(IF(OR(BX1389=1,BX1389=2,BX1389=3),N(INDEX(Parameter!$I$5:$I$7,BX1389)),0),0)</f>
        <v>0</v>
      </c>
      <c r="CH1389" s="59" t="n">
        <f aca="false">IF(AND(Parameter!$B$21="Ja",ISNUMBER(W1389),N(X1389)&gt;0),IFERROR(N(INDEX(Parameter!$L$5:$L$7,W1389))*INDEX(Parameter!$E$5:$E$7,W1389)*X1389/SUMIFS($X$7:$X$1843,$W$7:$W$1843,W1389),0),0)</f>
        <v>0</v>
      </c>
    </row>
    <row r="1390" customFormat="false" ht="15" hidden="false" customHeight="false" outlineLevel="0" collapsed="false">
      <c r="A1390" s="55" t="s">
        <v>2444</v>
      </c>
      <c r="B1390" s="55" t="s">
        <v>445</v>
      </c>
      <c r="C1390" s="55" t="s">
        <v>164</v>
      </c>
      <c r="D1390" s="55" t="s">
        <v>173</v>
      </c>
      <c r="E1390" s="55" t="s">
        <v>185</v>
      </c>
      <c r="F1390" s="55" t="s">
        <v>218</v>
      </c>
      <c r="G1390" s="56" t="n">
        <v>162.98</v>
      </c>
      <c r="H1390" s="57" t="n">
        <f aca="false">MAX(0,IF(AND(Parameter!$B$21="Ja",ISNUMBER(Y1390)),Y1390,IF(Parameter!$B$20="Jahresanfang 2025 + Export",BL1390+BK1390,BK1390)))</f>
        <v>7</v>
      </c>
      <c r="I1390" s="57" t="n">
        <f aca="false">H1390*G1390</f>
        <v>1140.86</v>
      </c>
      <c r="J1390" s="57" t="n">
        <f aca="false">BN1390*Parameter!$B$18</f>
        <v>32</v>
      </c>
      <c r="K1390" s="58" t="n">
        <v>28.5</v>
      </c>
      <c r="L1390" s="59" t="n">
        <v>1.12280701754386</v>
      </c>
      <c r="M1390" s="57" t="n">
        <v>4</v>
      </c>
      <c r="N1390" s="57" t="n">
        <v>20</v>
      </c>
      <c r="O1390" s="60" t="n">
        <v>40</v>
      </c>
      <c r="P1390" s="55" t="s">
        <v>223</v>
      </c>
      <c r="Q1390" s="57" t="n">
        <v>17</v>
      </c>
      <c r="R1390" s="60" t="n">
        <f aca="false">IF(BT1390=1,0,IFERROR(VLOOKUP(BR1390,'Gebinde-Kategorie'!$A$5:$M$45,13,0)+0,0))</f>
        <v>3</v>
      </c>
      <c r="S1390" s="61"/>
      <c r="T1390" s="62"/>
      <c r="U1390" s="62"/>
      <c r="V1390" s="62"/>
      <c r="W1390" s="55"/>
      <c r="X1390" s="57"/>
      <c r="Y1390" s="57"/>
      <c r="Z1390" s="55" t="n">
        <f aca="false">IF(A1390="","",IF(AND(Parameter!$B$21="Ja",ISNUMBER(W1390)),W1390,IF(BV1390="2+3",IF(ISNUMBER(SEARCH("grosser Artikel",BO1390)),2,IFERROR(VLOOKUP(BR1390,Parameter!$F$35:$G$64,2,0),2)),IF(OR(BV1390="Nein",BV1390=""),"-",BV1390))))</f>
        <v>2</v>
      </c>
      <c r="AA1390" s="62"/>
      <c r="AB1390" s="63"/>
      <c r="AC1390" s="57" t="n">
        <f aca="false">AR1390</f>
        <v>34</v>
      </c>
      <c r="AD1390" s="57" t="n">
        <f aca="false">MAX(AR1390,H1390)</f>
        <v>34</v>
      </c>
      <c r="AE1390" s="64"/>
      <c r="AF1390" s="57" t="n">
        <f aca="false">IF(LEFT(Cockpit!$C$5,1)="A",H1390,IF(CA1390=1,CB1390,IF(LEFT(Cockpit!$C$5,1)="B",AJ1390,MAX(AJ1390,H1390))))</f>
        <v>7</v>
      </c>
      <c r="AG1390" s="57" t="n">
        <f aca="false">IF(BT1390=1,0,ROUNDUP(AF1390/BS1390,0))</f>
        <v>1</v>
      </c>
      <c r="AH1390" s="59" t="n">
        <f aca="false">IF(CH1390&gt;0,CH1390*MAX(1,AF1390/X1390),IF(BT1390=1,IF(AF1390&lt;=0,0,BW1390*MAX(1,IF(H1390&gt;0,AF1390/H1390,1))),IF(R1390&gt;0,AG1390/R1390,0))/MAX(0.1,N(Parameter!$M$21)))</f>
        <v>0.333333333333333</v>
      </c>
      <c r="AI1390" s="57" t="n">
        <f aca="false">AF1390*G1390</f>
        <v>1140.86</v>
      </c>
      <c r="AJ1390" s="57" t="n">
        <f aca="false">ROUNDUP(MAX(J1390/IF(BZ1390&gt;0,BZ1390,MAX(0.1,N(Cockpit!$C$6))),CC1390)/BS1390,0)*BS1390</f>
        <v>34</v>
      </c>
      <c r="AK1390" s="58" t="n">
        <f aca="false">IF(AH1390&gt;0,J1390/AH1390,-1)</f>
        <v>96</v>
      </c>
      <c r="AL1390" s="58" t="n">
        <f aca="false">IF(AND(OR(BY1390="L1",BY1390="L23"),AH1390&gt;0),SUMIFS($AH$7:$AH$1843,$BY$7:$BY$1843,BY1390,$AK$7:$AK$1843,"&gt;"&amp;AK1390)+SUMIFS($AH$7:$AH$1843,$BY$7:$BY$1843,BY1390,$AK$7:$AK$1843,AK1390,$BQ$7:$BQ$1843,"&lt;="&amp;BQ1390),"")</f>
        <v>39.9646380189858</v>
      </c>
      <c r="AM1390" s="65" t="n">
        <f aca="false">IF(AL1390="",0,MAX(0,MIN(1,(IF(BY1390="L1",Parameter!$E$5,Parameter!$E$6+Parameter!$E$7)-(AL1390-AH1390))/AH1390)))</f>
        <v>1</v>
      </c>
      <c r="AN1390" s="57" t="n">
        <f aca="false">IF(LEFT(Cockpit!$I$5,1)="A",H1390,IF(CA1390=1,CB1390,IF(LEFT(Cockpit!$I$5,1)="B",AR1390,MAX(AR1390,H1390))))</f>
        <v>34</v>
      </c>
      <c r="AO1390" s="57" t="n">
        <f aca="false">IF(BT1390=1,0,ROUNDUP(AN1390/BS1390,0))</f>
        <v>2</v>
      </c>
      <c r="AP1390" s="59" t="n">
        <f aca="false">IF(CH1390&gt;0,CH1390*MAX(1,AN1390/X1390),IF(BT1390=1,IF(AN1390&lt;=0,0,BW1390*MAX(1,IF(H1390&gt;0,AN1390/H1390,1))),IF(R1390&gt;0,AO1390/R1390,0))/MAX(0.1,N(Parameter!$M$21)))</f>
        <v>0.666666666666667</v>
      </c>
      <c r="AQ1390" s="57" t="n">
        <f aca="false">AN1390*G1390</f>
        <v>5541.32</v>
      </c>
      <c r="AR1390" s="57" t="n">
        <f aca="false">ROUNDUP(MAX(J1390/IF(BZ1390&gt;0,BZ1390,MAX(0.1,N(Cockpit!$I$6))),CC1390)/BS1390,0)*BS1390</f>
        <v>34</v>
      </c>
      <c r="AS1390" s="58" t="n">
        <f aca="false">IF(AP1390&gt;0,J1390/AP1390,-1)</f>
        <v>48</v>
      </c>
      <c r="AT1390" s="58" t="n">
        <f aca="false">IF(AND(OR(BY1390="L1",BY1390="L23"),AP1390&gt;0),SUMIFS($AP$7:$AP$1843,$BY$7:$BY$1843,BY1390,$AS$7:$AS$1843,"&gt;"&amp;AS1390)+SUMIFS($AP$7:$AP$1843,$BY$7:$BY$1843,BY1390,$AS$7:$AS$1843,AS1390,$BQ$7:$BQ$1843,"&lt;="&amp;BQ1390),"")</f>
        <v>69.51172257694</v>
      </c>
      <c r="AU1390" s="65" t="n">
        <f aca="false">IF(AT1390="",0,MAX(0,MIN(1,(IF(BY1390="L1",Parameter!$E$5,Parameter!$E$6+Parameter!$E$7)-(AT1390-AP1390))/AP1390)))</f>
        <v>1</v>
      </c>
      <c r="AV1390" s="57" t="n">
        <f aca="false">IF(LEFT(Cockpit!$O$5,1)="A",H1390,IF(CA1390=1,CB1390,IF(LEFT(Cockpit!$O$5,1)="B",AZ1390,MAX(AZ1390,H1390))))</f>
        <v>34</v>
      </c>
      <c r="AW1390" s="57" t="n">
        <f aca="false">IF(BT1390=1,0,ROUNDUP(AV1390/BS1390,0))</f>
        <v>2</v>
      </c>
      <c r="AX1390" s="59" t="n">
        <f aca="false">IF(CH1390&gt;0,CH1390*MAX(1,AV1390/X1390),IF(BT1390=1,IF(AV1390&lt;=0,0,BW1390*MAX(1,IF(H1390&gt;0,AV1390/H1390,1))),IF(R1390&gt;0,AW1390/R1390,0))/MAX(0.1,N(Parameter!$M$21)))</f>
        <v>0.666666666666667</v>
      </c>
      <c r="AY1390" s="57" t="n">
        <f aca="false">AV1390*G1390</f>
        <v>5541.32</v>
      </c>
      <c r="AZ1390" s="57" t="n">
        <f aca="false">ROUNDUP(MAX(J1390/IF(BZ1390&gt;0,BZ1390,MAX(0.1,N(Cockpit!$O$6))),CC1390)/BS1390,0)*BS1390</f>
        <v>34</v>
      </c>
      <c r="BA1390" s="58" t="n">
        <f aca="false">IF(AX1390&gt;0,J1390/AX1390,-1)</f>
        <v>48</v>
      </c>
      <c r="BB1390" s="58" t="n">
        <f aca="false">IF(AND(OR(BY1390="L1",BY1390="L23"),AX1390&gt;0),SUMIFS($AX$7:$AX$1843,$BY$7:$BY$1843,BY1390,$BA$7:$BA$1843,"&gt;"&amp;BA1390)+SUMIFS($AX$7:$AX$1843,$BY$7:$BY$1843,BY1390,$BA$7:$BA$1843,BA1390,$BQ$7:$BQ$1843,"&lt;="&amp;BQ1390),"")</f>
        <v>64.0082260734435</v>
      </c>
      <c r="BC1390" s="65" t="n">
        <f aca="false">IF(BB1390="",0,MAX(0,MIN(1,(IF(BY1390="L1",Parameter!$E$5,Parameter!$E$6+Parameter!$E$7)-(BB1390-AX1390))/AX1390)))</f>
        <v>1</v>
      </c>
      <c r="BD1390" s="55" t="str">
        <f aca="false">IF(AH1390&lt;=0,"",IF(BY1390="Aussen","Aussenlager",IF(BY1390="-","Nicht im Lift",IF(AM1390&gt;=1,"Lift",IF(AM1390&lt;=0,"Aussenlager","teilweise")))))</f>
        <v>Lift</v>
      </c>
      <c r="BE1390" s="55" t="str">
        <f aca="false">IF(AP1390&lt;=0,"",IF(BY1390="Aussen","Aussenlager",IF(BY1390="-","Nicht im Lift",IF(AU1390&gt;=1,"Lift",IF(AU1390&lt;=0,"Aussenlager","teilweise")))))</f>
        <v>Lift</v>
      </c>
      <c r="BF1390" s="55" t="str">
        <f aca="false">IF(AX1390&lt;=0,"",IF(BY1390="Aussen","Aussenlager",IF(BY1390="-","Nicht im Lift",IF(BC1390&gt;=1,"Lift",IF(BC1390&lt;=0,"Aussenlager","teilweise")))))</f>
        <v>Lift</v>
      </c>
      <c r="BG1390" s="55" t="str">
        <f aca="false">IF(A1390="","",IF(BP1390=1,"Neu; ","")&amp;IF(AND(BP1390=0,BK1390&lt;0),"negativer Bestand (Export "&amp;BK1390&amp;"); ","")&amp;IF(J1390&lt;=0,"Kein Verbrauch; ","")&amp;IF(CH1390&gt;0,"Lift "&amp;W1390&amp;" lt. Liftbericht (Fach "&amp;X1390&amp;" Stk); ",IF(BU1390=1,"Gebinde geschätzt ("&amp;T1390&amp;"); ",IF(BT1390=1,"Lose – Tablare geschätzt; ","")))&amp;IF(H1390&gt;AR1390,"Überbestand "&amp;ROUND(H1390-AR1390,0)&amp;" Stk / CHF "&amp;ROUND((H1390-AR1390)*G1390,0)&amp;"; ","")&amp;IF(AND(CA1390=1,CB1390&lt;CC1390),"MAX &lt; MB+LG; ","")&amp;IF(AND(CG1390&gt;0,CF1390*10&gt;CG1390),"zu hoch für Tablar; ","")&amp;IF(AND(BP1390=0,OR(CA1390=1,AA1390&lt;&gt;"",U1390&lt;&gt;"",V1390&lt;&gt;"",AB1390&lt;&gt;"")),"manuell übersteuert; ","")&amp;IF(AND(BT1390=0,R1390=0),"Gebinde unbekannt / Stellmass fehlt; ","")&amp;IF(AND(BT1390=0,N(V1390)&lt;=0,N(Q1390)&lt;=0),"Menge pro Gebinde fehlt (Ist = 1 Gebinde); ","")&amp;BO1390)</f>
        <v>negativer Bestand (Export -22); grosser Artikel &amp; nicht im KTL</v>
      </c>
      <c r="BH1390" s="55"/>
      <c r="BI1390" s="55"/>
      <c r="BJ1390" s="62"/>
      <c r="BK1390" s="57" t="n">
        <v>-22</v>
      </c>
      <c r="BL1390" s="57" t="n">
        <v>29</v>
      </c>
      <c r="BM1390" s="56" t="n">
        <v>-3422.29</v>
      </c>
      <c r="BN1390" s="57" t="n">
        <v>32</v>
      </c>
      <c r="BO1390" s="55" t="s">
        <v>261</v>
      </c>
      <c r="BP1390" s="60" t="n">
        <v>0</v>
      </c>
      <c r="BQ1390" s="60" t="n">
        <v>1390</v>
      </c>
      <c r="BR1390" s="55" t="str">
        <f aca="false">IF(U1390&lt;&gt;"",UPPER(TRIM(U1390)),IF(BU1390=1,UPPER(VLOOKUP(T1390,Parameter!$I$27:$K$29,2,0)),IF(P1390="","LOSE",P1390)))</f>
        <v>S81</v>
      </c>
      <c r="BS1390" s="57" t="n">
        <f aca="false">IF(BR1390="LOSE",1,IF(N(V1390)&gt;0,V1390,IF(BU1390=1,MAX(1,N(VLOOKUP(T1390,Parameter!$I$27:$K$29,3,0)),H1390,N(N1390)),IF(N(Q1390)&gt;0,Q1390,MAX(1,H1390)))))</f>
        <v>17</v>
      </c>
      <c r="BT1390" s="60" t="n">
        <f aca="false">IF(BR1390="LOSE",1,0)</f>
        <v>0</v>
      </c>
      <c r="BU1390" s="60" t="n">
        <f aca="false">IF(AND(U1390="",OR(P1390="",P1390="LOSE"),T1390&lt;&gt;"",N(S1390)&lt;=0,ISNUMBER(MATCH(T1390,Parameter!$I$27:$I$29,0))),1,0)</f>
        <v>0</v>
      </c>
      <c r="BV1390" s="55" t="str">
        <f aca="false">IF(AND(Parameter!$B$19="Ja",E1390&lt;&gt;"",ISNUMBER(MATCH(E1390,Parameter!$I$35:$I$52,0))),VLOOKUP(E1390,Parameter!$I$35:$J$52,2,0),IFERROR(VLOOKUP(D1390,Parameter!$A$35:$C$64,2,0),"Nein"))</f>
        <v>2+3</v>
      </c>
      <c r="BW1390" s="59" t="n">
        <f aca="false">IF(BT1390=0,0,IF(N(S1390)&gt;0,S1390,IFERROR(VLOOKUP(D1390,Parameter!$A$35:$C$64,3,0)+0,0)))</f>
        <v>0</v>
      </c>
      <c r="BX1390" s="55" t="n">
        <f aca="false">IF(AA1390&lt;&gt;"",AA1390,Z1390)</f>
        <v>2</v>
      </c>
      <c r="BY1390" s="55" t="str">
        <f aca="false">IF(BX1390=1,"L1",IF(OR(BX1390=2,BX1390=3),"L23",IF(BX1390="Aussen","Aussen","-")))</f>
        <v>L23</v>
      </c>
      <c r="BZ1390" s="66" t="n">
        <f aca="false">IF(N(AB1390)&gt;0,AB1390,0)</f>
        <v>0</v>
      </c>
      <c r="CA1390" s="60" t="n">
        <f aca="false">IF(ISNUMBER(AE1390),1,0)</f>
        <v>0</v>
      </c>
      <c r="CB1390" s="57" t="n">
        <f aca="false">N(AE1390)</f>
        <v>0</v>
      </c>
      <c r="CC1390" s="57" t="n">
        <f aca="false">N(M1390)+N(N1390)</f>
        <v>24</v>
      </c>
      <c r="CD1390" s="57" t="n">
        <f aca="false">ROUNDUP(H1390/BS1390,0)</f>
        <v>1</v>
      </c>
      <c r="CE1390" s="57" t="n">
        <f aca="false">ROUNDUP(CB1390/BS1390,0)</f>
        <v>0</v>
      </c>
      <c r="CF1390" s="60" t="n">
        <f aca="false">IF(BT1390=1,0,IFERROR(VLOOKUP(BR1390,'Gebinde-Kategorie'!$A$5:$M$45,5,0)+0,0))</f>
        <v>20</v>
      </c>
      <c r="CG1390" s="60" t="n">
        <f aca="false">IFERROR(IF(OR(BX1390=1,BX1390=2,BX1390=3),N(INDEX(Parameter!$I$5:$I$7,BX1390)),0),0)</f>
        <v>0</v>
      </c>
      <c r="CH1390" s="59" t="n">
        <f aca="false">IF(AND(Parameter!$B$21="Ja",ISNUMBER(W1390),N(X1390)&gt;0),IFERROR(N(INDEX(Parameter!$L$5:$L$7,W1390))*INDEX(Parameter!$E$5:$E$7,W1390)*X1390/SUMIFS($X$7:$X$1843,$W$7:$W$1843,W1390),0),0)</f>
        <v>0</v>
      </c>
    </row>
    <row r="1391" customFormat="false" ht="15" hidden="false" customHeight="false" outlineLevel="0" collapsed="false">
      <c r="A1391" s="55" t="s">
        <v>2445</v>
      </c>
      <c r="B1391" s="55" t="s">
        <v>2446</v>
      </c>
      <c r="C1391" s="55" t="s">
        <v>456</v>
      </c>
      <c r="D1391" s="55" t="s">
        <v>173</v>
      </c>
      <c r="E1391" s="55"/>
      <c r="F1391" s="55" t="s">
        <v>218</v>
      </c>
      <c r="G1391" s="56" t="n">
        <v>699.72</v>
      </c>
      <c r="H1391" s="57" t="n">
        <f aca="false">MAX(0,IF(AND(Parameter!$B$21="Ja",ISNUMBER(Y1391)),Y1391,IF(Parameter!$B$20="Jahresanfang 2025 + Export",BL1391+BK1391,BK1391)))</f>
        <v>0</v>
      </c>
      <c r="I1391" s="57" t="n">
        <f aca="false">H1391*G1391</f>
        <v>0</v>
      </c>
      <c r="J1391" s="57" t="n">
        <f aca="false">BN1391*Parameter!$B$18</f>
        <v>17</v>
      </c>
      <c r="K1391" s="58" t="n">
        <v>5</v>
      </c>
      <c r="L1391" s="59" t="n">
        <v>3.4</v>
      </c>
      <c r="M1391" s="57" t="n">
        <v>0</v>
      </c>
      <c r="N1391" s="57" t="n">
        <v>5</v>
      </c>
      <c r="O1391" s="60" t="n">
        <v>63</v>
      </c>
      <c r="P1391" s="55" t="s">
        <v>168</v>
      </c>
      <c r="Q1391" s="57"/>
      <c r="R1391" s="60" t="n">
        <f aca="false">IF(BT1391=1,0,IFERROR(VLOOKUP(BR1391,'Gebinde-Kategorie'!$A$5:$M$45,13,0)+0,0))</f>
        <v>12</v>
      </c>
      <c r="S1391" s="61"/>
      <c r="T1391" s="62" t="s">
        <v>179</v>
      </c>
      <c r="U1391" s="62"/>
      <c r="V1391" s="62"/>
      <c r="W1391" s="55"/>
      <c r="X1391" s="57"/>
      <c r="Y1391" s="57"/>
      <c r="Z1391" s="55" t="n">
        <f aca="false">IF(A1391="","",IF(AND(Parameter!$B$21="Ja",ISNUMBER(W1391)),W1391,IF(BV1391="2+3",IF(ISNUMBER(SEARCH("grosser Artikel",BO1391)),2,IFERROR(VLOOKUP(BR1391,Parameter!$F$35:$G$64,2,0),2)),IF(OR(BV1391="Nein",BV1391=""),"-",BV1391))))</f>
        <v>2</v>
      </c>
      <c r="AA1391" s="62"/>
      <c r="AB1391" s="63"/>
      <c r="AC1391" s="57" t="n">
        <f aca="false">AR1391</f>
        <v>10</v>
      </c>
      <c r="AD1391" s="57" t="n">
        <f aca="false">MAX(AR1391,H1391)</f>
        <v>10</v>
      </c>
      <c r="AE1391" s="64"/>
      <c r="AF1391" s="57" t="n">
        <f aca="false">IF(LEFT(Cockpit!$C$5,1)="A",H1391,IF(CA1391=1,CB1391,IF(LEFT(Cockpit!$C$5,1)="B",AJ1391,MAX(AJ1391,H1391))))</f>
        <v>0</v>
      </c>
      <c r="AG1391" s="57" t="n">
        <f aca="false">IF(BT1391=1,0,ROUNDUP(AF1391/BS1391,0))</f>
        <v>0</v>
      </c>
      <c r="AH1391" s="59" t="n">
        <f aca="false">IF(CH1391&gt;0,CH1391*MAX(1,AF1391/X1391),IF(BT1391=1,IF(AF1391&lt;=0,0,BW1391*MAX(1,IF(H1391&gt;0,AF1391/H1391,1))),IF(R1391&gt;0,AG1391/R1391,0))/MAX(0.1,N(Parameter!$M$21)))</f>
        <v>0</v>
      </c>
      <c r="AI1391" s="57" t="n">
        <f aca="false">AF1391*G1391</f>
        <v>0</v>
      </c>
      <c r="AJ1391" s="57" t="n">
        <f aca="false">ROUNDUP(MAX(J1391/IF(BZ1391&gt;0,BZ1391,MAX(0.1,N(Cockpit!$C$6))),CC1391)/BS1391,0)*BS1391</f>
        <v>10</v>
      </c>
      <c r="AK1391" s="58" t="n">
        <f aca="false">IF(AH1391&gt;0,J1391/AH1391,-1)</f>
        <v>-1</v>
      </c>
      <c r="AL1391" s="58" t="str">
        <f aca="false">IF(AND(OR(BY1391="L1",BY1391="L23"),AH1391&gt;0),SUMIFS($AH$7:$AH$1843,$BY$7:$BY$1843,BY1391,$AK$7:$AK$1843,"&gt;"&amp;AK1391)+SUMIFS($AH$7:$AH$1843,$BY$7:$BY$1843,BY1391,$AK$7:$AK$1843,AK1391,$BQ$7:$BQ$1843,"&lt;="&amp;BQ1391),"")</f>
        <v/>
      </c>
      <c r="AM1391" s="65" t="n">
        <f aca="false">IF(AL1391="",0,MAX(0,MIN(1,(IF(BY1391="L1",Parameter!$E$5,Parameter!$E$6+Parameter!$E$7)-(AL1391-AH1391))/AH1391)))</f>
        <v>0</v>
      </c>
      <c r="AN1391" s="57" t="n">
        <f aca="false">IF(LEFT(Cockpit!$I$5,1)="A",H1391,IF(CA1391=1,CB1391,IF(LEFT(Cockpit!$I$5,1)="B",AR1391,MAX(AR1391,H1391))))</f>
        <v>10</v>
      </c>
      <c r="AO1391" s="57" t="n">
        <f aca="false">IF(BT1391=1,0,ROUNDUP(AN1391/BS1391,0))</f>
        <v>2</v>
      </c>
      <c r="AP1391" s="59" t="n">
        <f aca="false">IF(CH1391&gt;0,CH1391*MAX(1,AN1391/X1391),IF(BT1391=1,IF(AN1391&lt;=0,0,BW1391*MAX(1,IF(H1391&gt;0,AN1391/H1391,1))),IF(R1391&gt;0,AO1391/R1391,0))/MAX(0.1,N(Parameter!$M$21)))</f>
        <v>0.166666666666667</v>
      </c>
      <c r="AQ1391" s="57" t="n">
        <f aca="false">AN1391*G1391</f>
        <v>6997.2</v>
      </c>
      <c r="AR1391" s="57" t="n">
        <f aca="false">ROUNDUP(MAX(J1391/IF(BZ1391&gt;0,BZ1391,MAX(0.1,N(Cockpit!$I$6))),CC1391)/BS1391,0)*BS1391</f>
        <v>10</v>
      </c>
      <c r="AS1391" s="58" t="n">
        <f aca="false">IF(AP1391&gt;0,J1391/AP1391,-1)</f>
        <v>102</v>
      </c>
      <c r="AT1391" s="58" t="n">
        <f aca="false">IF(AND(OR(BY1391="L1",BY1391="L23"),AP1391&gt;0),SUMIFS($AP$7:$AP$1843,$BY$7:$BY$1843,BY1391,$AS$7:$AS$1843,"&gt;"&amp;AS1391)+SUMIFS($AP$7:$AP$1843,$BY$7:$BY$1843,BY1391,$AS$7:$AS$1843,AS1391,$BQ$7:$BQ$1843,"&lt;="&amp;BQ1391),"")</f>
        <v>56.9204249856424</v>
      </c>
      <c r="AU1391" s="65" t="n">
        <f aca="false">IF(AT1391="",0,MAX(0,MIN(1,(IF(BY1391="L1",Parameter!$E$5,Parameter!$E$6+Parameter!$E$7)-(AT1391-AP1391))/AP1391)))</f>
        <v>1</v>
      </c>
      <c r="AV1391" s="57" t="n">
        <f aca="false">IF(LEFT(Cockpit!$O$5,1)="A",H1391,IF(CA1391=1,CB1391,IF(LEFT(Cockpit!$O$5,1)="B",AZ1391,MAX(AZ1391,H1391))))</f>
        <v>10</v>
      </c>
      <c r="AW1391" s="57" t="n">
        <f aca="false">IF(BT1391=1,0,ROUNDUP(AV1391/BS1391,0))</f>
        <v>2</v>
      </c>
      <c r="AX1391" s="59" t="n">
        <f aca="false">IF(CH1391&gt;0,CH1391*MAX(1,AV1391/X1391),IF(BT1391=1,IF(AV1391&lt;=0,0,BW1391*MAX(1,IF(H1391&gt;0,AV1391/H1391,1))),IF(R1391&gt;0,AW1391/R1391,0))/MAX(0.1,N(Parameter!$M$21)))</f>
        <v>0.166666666666667</v>
      </c>
      <c r="AY1391" s="57" t="n">
        <f aca="false">AV1391*G1391</f>
        <v>6997.2</v>
      </c>
      <c r="AZ1391" s="57" t="n">
        <f aca="false">ROUNDUP(MAX(J1391/IF(BZ1391&gt;0,BZ1391,MAX(0.1,N(Cockpit!$O$6))),CC1391)/BS1391,0)*BS1391</f>
        <v>10</v>
      </c>
      <c r="BA1391" s="58" t="n">
        <f aca="false">IF(AX1391&gt;0,J1391/AX1391,-1)</f>
        <v>102</v>
      </c>
      <c r="BB1391" s="58" t="n">
        <f aca="false">IF(AND(OR(BY1391="L1",BY1391="L23"),AX1391&gt;0),SUMIFS($AX$7:$AX$1843,$BY$7:$BY$1843,BY1391,$BA$7:$BA$1843,"&gt;"&amp;BA1391)+SUMIFS($AX$7:$AX$1843,$BY$7:$BY$1843,BY1391,$BA$7:$BA$1843,BA1391,$BQ$7:$BQ$1843,"&lt;="&amp;BQ1391),"")</f>
        <v>54.7502618154792</v>
      </c>
      <c r="BC1391" s="65" t="n">
        <f aca="false">IF(BB1391="",0,MAX(0,MIN(1,(IF(BY1391="L1",Parameter!$E$5,Parameter!$E$6+Parameter!$E$7)-(BB1391-AX1391))/AX1391)))</f>
        <v>1</v>
      </c>
      <c r="BD1391" s="55" t="str">
        <f aca="false">IF(AH1391&lt;=0,"",IF(BY1391="Aussen","Aussenlager",IF(BY1391="-","Nicht im Lift",IF(AM1391&gt;=1,"Lift",IF(AM1391&lt;=0,"Aussenlager","teilweise")))))</f>
        <v/>
      </c>
      <c r="BE1391" s="55" t="str">
        <f aca="false">IF(AP1391&lt;=0,"",IF(BY1391="Aussen","Aussenlager",IF(BY1391="-","Nicht im Lift",IF(AU1391&gt;=1,"Lift",IF(AU1391&lt;=0,"Aussenlager","teilweise")))))</f>
        <v>Lift</v>
      </c>
      <c r="BF1391" s="55" t="str">
        <f aca="false">IF(AX1391&lt;=0,"",IF(BY1391="Aussen","Aussenlager",IF(BY1391="-","Nicht im Lift",IF(BC1391&gt;=1,"Lift",IF(BC1391&lt;=0,"Aussenlager","teilweise")))))</f>
        <v>Lift</v>
      </c>
      <c r="BG1391" s="55" t="str">
        <f aca="false">IF(A1391="","",IF(BP1391=1,"Neu; ","")&amp;IF(AND(BP1391=0,BK1391&lt;0),"negativer Bestand (Export "&amp;BK1391&amp;"); ","")&amp;IF(J1391&lt;=0,"Kein Verbrauch; ","")&amp;IF(CH1391&gt;0,"Lift "&amp;W1391&amp;" lt. Liftbericht (Fach "&amp;X1391&amp;" Stk); ",IF(BU1391=1,"Gebinde geschätzt ("&amp;T1391&amp;"); ",IF(BT1391=1,"Lose – Tablare geschätzt; ","")))&amp;IF(H1391&gt;AR1391,"Überbestand "&amp;ROUND(H1391-AR1391,0)&amp;" Stk / CHF "&amp;ROUND((H1391-AR1391)*G1391,0)&amp;"; ","")&amp;IF(AND(CA1391=1,CB1391&lt;CC1391),"MAX &lt; MB+LG; ","")&amp;IF(AND(CG1391&gt;0,CF1391*10&gt;CG1391),"zu hoch für Tablar; ","")&amp;IF(AND(BP1391=0,OR(CA1391=1,AA1391&lt;&gt;"",U1391&lt;&gt;"",V1391&lt;&gt;"",AB1391&lt;&gt;"")),"manuell übersteuert; ","")&amp;IF(AND(BT1391=0,R1391=0),"Gebinde unbekannt / Stellmass fehlt; ","")&amp;IF(AND(BT1391=0,N(V1391)&lt;=0,N(Q1391)&lt;=0),"Menge pro Gebinde fehlt (Ist = 1 Gebinde); ","")&amp;BO1391)</f>
        <v>negativer Bestand (Export -5); Gebinde geschätzt (Mittel); Menge pro Gebinde fehlt (Ist = 1 Gebinde); </v>
      </c>
      <c r="BH1391" s="55"/>
      <c r="BI1391" s="55"/>
      <c r="BJ1391" s="62"/>
      <c r="BK1391" s="57" t="n">
        <v>-5</v>
      </c>
      <c r="BL1391" s="57" t="n">
        <v>5</v>
      </c>
      <c r="BM1391" s="56" t="n">
        <v>-3532</v>
      </c>
      <c r="BN1391" s="57" t="n">
        <v>17</v>
      </c>
      <c r="BO1391" s="55"/>
      <c r="BP1391" s="60" t="n">
        <v>0</v>
      </c>
      <c r="BQ1391" s="60" t="n">
        <v>1391</v>
      </c>
      <c r="BR1391" s="55" t="str">
        <f aca="false">IF(U1391&lt;&gt;"",UPPER(TRIM(U1391)),IF(BU1391=1,UPPER(VLOOKUP(T1391,Parameter!$I$27:$K$29,2,0)),IF(P1391="","LOSE",P1391)))</f>
        <v>S61</v>
      </c>
      <c r="BS1391" s="57" t="n">
        <f aca="false">IF(BR1391="LOSE",1,IF(N(V1391)&gt;0,V1391,IF(BU1391=1,MAX(1,N(VLOOKUP(T1391,Parameter!$I$27:$K$29,3,0)),H1391,N(N1391)),IF(N(Q1391)&gt;0,Q1391,MAX(1,H1391)))))</f>
        <v>5</v>
      </c>
      <c r="BT1391" s="60" t="n">
        <f aca="false">IF(BR1391="LOSE",1,0)</f>
        <v>0</v>
      </c>
      <c r="BU1391" s="60" t="n">
        <f aca="false">IF(AND(U1391="",OR(P1391="",P1391="LOSE"),T1391&lt;&gt;"",N(S1391)&lt;=0,ISNUMBER(MATCH(T1391,Parameter!$I$27:$I$29,0))),1,0)</f>
        <v>1</v>
      </c>
      <c r="BV1391" s="55" t="str">
        <f aca="false">IF(AND(Parameter!$B$19="Ja",E1391&lt;&gt;"",ISNUMBER(MATCH(E1391,Parameter!$I$35:$I$52,0))),VLOOKUP(E1391,Parameter!$I$35:$J$52,2,0),IFERROR(VLOOKUP(D1391,Parameter!$A$35:$C$64,2,0),"Nein"))</f>
        <v>2+3</v>
      </c>
      <c r="BW1391" s="59" t="n">
        <f aca="false">IF(BT1391=0,0,IF(N(S1391)&gt;0,S1391,IFERROR(VLOOKUP(D1391,Parameter!$A$35:$C$64,3,0)+0,0)))</f>
        <v>0</v>
      </c>
      <c r="BX1391" s="55" t="n">
        <f aca="false">IF(AA1391&lt;&gt;"",AA1391,Z1391)</f>
        <v>2</v>
      </c>
      <c r="BY1391" s="55" t="str">
        <f aca="false">IF(BX1391=1,"L1",IF(OR(BX1391=2,BX1391=3),"L23",IF(BX1391="Aussen","Aussen","-")))</f>
        <v>L23</v>
      </c>
      <c r="BZ1391" s="66" t="n">
        <f aca="false">IF(N(AB1391)&gt;0,AB1391,0)</f>
        <v>0</v>
      </c>
      <c r="CA1391" s="60" t="n">
        <f aca="false">IF(ISNUMBER(AE1391),1,0)</f>
        <v>0</v>
      </c>
      <c r="CB1391" s="57" t="n">
        <f aca="false">N(AE1391)</f>
        <v>0</v>
      </c>
      <c r="CC1391" s="57" t="n">
        <f aca="false">N(M1391)+N(N1391)</f>
        <v>5</v>
      </c>
      <c r="CD1391" s="57" t="n">
        <f aca="false">ROUNDUP(H1391/BS1391,0)</f>
        <v>0</v>
      </c>
      <c r="CE1391" s="57" t="n">
        <f aca="false">ROUNDUP(CB1391/BS1391,0)</f>
        <v>0</v>
      </c>
      <c r="CF1391" s="60" t="n">
        <f aca="false">IF(BT1391=1,0,IFERROR(VLOOKUP(BR1391,'Gebinde-Kategorie'!$A$5:$M$45,5,0)+0,0))</f>
        <v>11</v>
      </c>
      <c r="CG1391" s="60" t="n">
        <f aca="false">IFERROR(IF(OR(BX1391=1,BX1391=2,BX1391=3),N(INDEX(Parameter!$I$5:$I$7,BX1391)),0),0)</f>
        <v>0</v>
      </c>
      <c r="CH1391" s="59" t="n">
        <f aca="false">IF(AND(Parameter!$B$21="Ja",ISNUMBER(W1391),N(X1391)&gt;0),IFERROR(N(INDEX(Parameter!$L$5:$L$7,W1391))*INDEX(Parameter!$E$5:$E$7,W1391)*X1391/SUMIFS($X$7:$X$1843,$W$7:$W$1843,W1391),0),0)</f>
        <v>0</v>
      </c>
    </row>
    <row r="1392" customFormat="false" ht="15" hidden="false" customHeight="false" outlineLevel="0" collapsed="false">
      <c r="A1392" s="55" t="s">
        <v>2447</v>
      </c>
      <c r="B1392" s="55" t="s">
        <v>2005</v>
      </c>
      <c r="C1392" s="55" t="s">
        <v>164</v>
      </c>
      <c r="D1392" s="55" t="s">
        <v>184</v>
      </c>
      <c r="E1392" s="55"/>
      <c r="F1392" s="55" t="s">
        <v>218</v>
      </c>
      <c r="G1392" s="56" t="n">
        <v>101.57</v>
      </c>
      <c r="H1392" s="57" t="n">
        <f aca="false">MAX(0,IF(AND(Parameter!$B$21="Ja",ISNUMBER(Y1392)),Y1392,IF(Parameter!$B$20="Jahresanfang 2025 + Export",BL1392+BK1392,BK1392)))</f>
        <v>16</v>
      </c>
      <c r="I1392" s="57" t="n">
        <f aca="false">H1392*G1392</f>
        <v>1625.12</v>
      </c>
      <c r="J1392" s="57" t="n">
        <f aca="false">BN1392*Parameter!$B$18</f>
        <v>2</v>
      </c>
      <c r="K1392" s="58" t="n">
        <v>54</v>
      </c>
      <c r="L1392" s="59" t="n">
        <v>0.037037037037037</v>
      </c>
      <c r="M1392" s="57" t="n">
        <v>0</v>
      </c>
      <c r="N1392" s="57" t="n">
        <v>1</v>
      </c>
      <c r="O1392" s="60" t="n">
        <v>63</v>
      </c>
      <c r="P1392" s="55" t="s">
        <v>233</v>
      </c>
      <c r="Q1392" s="57" t="n">
        <v>40</v>
      </c>
      <c r="R1392" s="60" t="n">
        <f aca="false">IF(BT1392=1,0,IFERROR(VLOOKUP(BR1392,'Gebinde-Kategorie'!$A$5:$M$45,13,0)+0,0))</f>
        <v>26</v>
      </c>
      <c r="S1392" s="61"/>
      <c r="T1392" s="62"/>
      <c r="U1392" s="62"/>
      <c r="V1392" s="62"/>
      <c r="W1392" s="55"/>
      <c r="X1392" s="57"/>
      <c r="Y1392" s="57"/>
      <c r="Z1392" s="55" t="n">
        <f aca="false">IF(A1392="","",IF(AND(Parameter!$B$21="Ja",ISNUMBER(W1392)),W1392,IF(BV1392="2+3",IF(ISNUMBER(SEARCH("grosser Artikel",BO1392)),2,IFERROR(VLOOKUP(BR1392,Parameter!$F$35:$G$64,2,0),2)),IF(OR(BV1392="Nein",BV1392=""),"-",BV1392))))</f>
        <v>3</v>
      </c>
      <c r="AA1392" s="62"/>
      <c r="AB1392" s="63"/>
      <c r="AC1392" s="57" t="n">
        <f aca="false">AR1392</f>
        <v>40</v>
      </c>
      <c r="AD1392" s="57" t="n">
        <f aca="false">MAX(AR1392,H1392)</f>
        <v>40</v>
      </c>
      <c r="AE1392" s="64"/>
      <c r="AF1392" s="57" t="n">
        <f aca="false">IF(LEFT(Cockpit!$C$5,1)="A",H1392,IF(CA1392=1,CB1392,IF(LEFT(Cockpit!$C$5,1)="B",AJ1392,MAX(AJ1392,H1392))))</f>
        <v>16</v>
      </c>
      <c r="AG1392" s="57" t="n">
        <f aca="false">IF(BT1392=1,0,ROUNDUP(AF1392/BS1392,0))</f>
        <v>1</v>
      </c>
      <c r="AH1392" s="59" t="n">
        <f aca="false">IF(CH1392&gt;0,CH1392*MAX(1,AF1392/X1392),IF(BT1392=1,IF(AF1392&lt;=0,0,BW1392*MAX(1,IF(H1392&gt;0,AF1392/H1392,1))),IF(R1392&gt;0,AG1392/R1392,0))/MAX(0.1,N(Parameter!$M$21)))</f>
        <v>0.0384615384615385</v>
      </c>
      <c r="AI1392" s="57" t="n">
        <f aca="false">AF1392*G1392</f>
        <v>1625.12</v>
      </c>
      <c r="AJ1392" s="57" t="n">
        <f aca="false">ROUNDUP(MAX(J1392/IF(BZ1392&gt;0,BZ1392,MAX(0.1,N(Cockpit!$C$6))),CC1392)/BS1392,0)*BS1392</f>
        <v>40</v>
      </c>
      <c r="AK1392" s="58" t="n">
        <f aca="false">IF(AH1392&gt;0,J1392/AH1392,-1)</f>
        <v>52</v>
      </c>
      <c r="AL1392" s="58" t="n">
        <f aca="false">IF(AND(OR(BY1392="L1",BY1392="L23"),AH1392&gt;0),SUMIFS($AH$7:$AH$1843,$BY$7:$BY$1843,BY1392,$AK$7:$AK$1843,"&gt;"&amp;AK1392)+SUMIFS($AH$7:$AH$1843,$BY$7:$BY$1843,BY1392,$AK$7:$AK$1843,AK1392,$BQ$7:$BQ$1843,"&lt;="&amp;BQ1392),"")</f>
        <v>44.7799060842539</v>
      </c>
      <c r="AM1392" s="65" t="n">
        <f aca="false">IF(AL1392="",0,MAX(0,MIN(1,(IF(BY1392="L1",Parameter!$E$5,Parameter!$E$6+Parameter!$E$7)-(AL1392-AH1392))/AH1392)))</f>
        <v>1</v>
      </c>
      <c r="AN1392" s="57" t="n">
        <f aca="false">IF(LEFT(Cockpit!$I$5,1)="A",H1392,IF(CA1392=1,CB1392,IF(LEFT(Cockpit!$I$5,1)="B",AR1392,MAX(AR1392,H1392))))</f>
        <v>40</v>
      </c>
      <c r="AO1392" s="57" t="n">
        <f aca="false">IF(BT1392=1,0,ROUNDUP(AN1392/BS1392,0))</f>
        <v>1</v>
      </c>
      <c r="AP1392" s="59" t="n">
        <f aca="false">IF(CH1392&gt;0,CH1392*MAX(1,AN1392/X1392),IF(BT1392=1,IF(AN1392&lt;=0,0,BW1392*MAX(1,IF(H1392&gt;0,AN1392/H1392,1))),IF(R1392&gt;0,AO1392/R1392,0))/MAX(0.1,N(Parameter!$M$21)))</f>
        <v>0.0384615384615385</v>
      </c>
      <c r="AQ1392" s="57" t="n">
        <f aca="false">AN1392*G1392</f>
        <v>4062.8</v>
      </c>
      <c r="AR1392" s="57" t="n">
        <f aca="false">ROUNDUP(MAX(J1392/IF(BZ1392&gt;0,BZ1392,MAX(0.1,N(Cockpit!$I$6))),CC1392)/BS1392,0)*BS1392</f>
        <v>40</v>
      </c>
      <c r="AS1392" s="58" t="n">
        <f aca="false">IF(AP1392&gt;0,J1392/AP1392,-1)</f>
        <v>52</v>
      </c>
      <c r="AT1392" s="58" t="n">
        <f aca="false">IF(AND(OR(BY1392="L1",BY1392="L23"),AP1392&gt;0),SUMIFS($AP$7:$AP$1843,$BY$7:$BY$1843,BY1392,$AS$7:$AS$1843,"&gt;"&amp;AS1392)+SUMIFS($AP$7:$AP$1843,$BY$7:$BY$1843,BY1392,$AS$7:$AS$1843,AS1392,$BQ$7:$BQ$1843,"&lt;="&amp;BQ1392),"")</f>
        <v>67.7232610384784</v>
      </c>
      <c r="AU1392" s="65" t="n">
        <f aca="false">IF(AT1392="",0,MAX(0,MIN(1,(IF(BY1392="L1",Parameter!$E$5,Parameter!$E$6+Parameter!$E$7)-(AT1392-AP1392))/AP1392)))</f>
        <v>1</v>
      </c>
      <c r="AV1392" s="57" t="n">
        <f aca="false">IF(LEFT(Cockpit!$O$5,1)="A",H1392,IF(CA1392=1,CB1392,IF(LEFT(Cockpit!$O$5,1)="B",AZ1392,MAX(AZ1392,H1392))))</f>
        <v>40</v>
      </c>
      <c r="AW1392" s="57" t="n">
        <f aca="false">IF(BT1392=1,0,ROUNDUP(AV1392/BS1392,0))</f>
        <v>1</v>
      </c>
      <c r="AX1392" s="59" t="n">
        <f aca="false">IF(CH1392&gt;0,CH1392*MAX(1,AV1392/X1392),IF(BT1392=1,IF(AV1392&lt;=0,0,BW1392*MAX(1,IF(H1392&gt;0,AV1392/H1392,1))),IF(R1392&gt;0,AW1392/R1392,0))/MAX(0.1,N(Parameter!$M$21)))</f>
        <v>0.0384615384615385</v>
      </c>
      <c r="AY1392" s="57" t="n">
        <f aca="false">AV1392*G1392</f>
        <v>4062.8</v>
      </c>
      <c r="AZ1392" s="57" t="n">
        <f aca="false">ROUNDUP(MAX(J1392/IF(BZ1392&gt;0,BZ1392,MAX(0.1,N(Cockpit!$O$6))),CC1392)/BS1392,0)*BS1392</f>
        <v>40</v>
      </c>
      <c r="BA1392" s="58" t="n">
        <f aca="false">IF(AX1392&gt;0,J1392/AX1392,-1)</f>
        <v>52</v>
      </c>
      <c r="BB1392" s="58" t="n">
        <f aca="false">IF(AND(OR(BY1392="L1",BY1392="L23"),AX1392&gt;0),SUMIFS($AX$7:$AX$1843,$BY$7:$BY$1843,BY1392,$BA$7:$BA$1843,"&gt;"&amp;BA1392)+SUMIFS($AX$7:$AX$1843,$BY$7:$BY$1843,BY1392,$BA$7:$BA$1843,BA1392,$BQ$7:$BQ$1843,"&lt;="&amp;BQ1392),"")</f>
        <v>62.2197645349819</v>
      </c>
      <c r="BC1392" s="65" t="n">
        <f aca="false">IF(BB1392="",0,MAX(0,MIN(1,(IF(BY1392="L1",Parameter!$E$5,Parameter!$E$6+Parameter!$E$7)-(BB1392-AX1392))/AX1392)))</f>
        <v>1</v>
      </c>
      <c r="BD1392" s="55" t="str">
        <f aca="false">IF(AH1392&lt;=0,"",IF(BY1392="Aussen","Aussenlager",IF(BY1392="-","Nicht im Lift",IF(AM1392&gt;=1,"Lift",IF(AM1392&lt;=0,"Aussenlager","teilweise")))))</f>
        <v>Lift</v>
      </c>
      <c r="BE1392" s="55" t="str">
        <f aca="false">IF(AP1392&lt;=0,"",IF(BY1392="Aussen","Aussenlager",IF(BY1392="-","Nicht im Lift",IF(AU1392&gt;=1,"Lift",IF(AU1392&lt;=0,"Aussenlager","teilweise")))))</f>
        <v>Lift</v>
      </c>
      <c r="BF1392" s="55" t="str">
        <f aca="false">IF(AX1392&lt;=0,"",IF(BY1392="Aussen","Aussenlager",IF(BY1392="-","Nicht im Lift",IF(BC1392&gt;=1,"Lift",IF(BC1392&lt;=0,"Aussenlager","teilweise")))))</f>
        <v>Lift</v>
      </c>
      <c r="BG1392" s="55" t="str">
        <f aca="false">IF(A1392="","",IF(BP1392=1,"Neu; ","")&amp;IF(AND(BP1392=0,BK1392&lt;0),"negativer Bestand (Export "&amp;BK1392&amp;"); ","")&amp;IF(J1392&lt;=0,"Kein Verbrauch; ","")&amp;IF(CH1392&gt;0,"Lift "&amp;W1392&amp;" lt. Liftbericht (Fach "&amp;X1392&amp;" Stk); ",IF(BU1392=1,"Gebinde geschätzt ("&amp;T1392&amp;"); ",IF(BT1392=1,"Lose – Tablare geschätzt; ","")))&amp;IF(H1392&gt;AR1392,"Überbestand "&amp;ROUND(H1392-AR1392,0)&amp;" Stk / CHF "&amp;ROUND((H1392-AR1392)*G1392,0)&amp;"; ","")&amp;IF(AND(CA1392=1,CB1392&lt;CC1392),"MAX &lt; MB+LG; ","")&amp;IF(AND(CG1392&gt;0,CF1392*10&gt;CG1392),"zu hoch für Tablar; ","")&amp;IF(AND(BP1392=0,OR(CA1392=1,AA1392&lt;&gt;"",U1392&lt;&gt;"",V1392&lt;&gt;"",AB1392&lt;&gt;"")),"manuell übersteuert; ","")&amp;IF(AND(BT1392=0,R1392=0),"Gebinde unbekannt / Stellmass fehlt; ","")&amp;IF(AND(BT1392=0,N(V1392)&lt;=0,N(Q1392)&lt;=0),"Menge pro Gebinde fehlt (Ist = 1 Gebinde); ","")&amp;BO1392)</f>
        <v>negativer Bestand (Export -35); i.o</v>
      </c>
      <c r="BH1392" s="55"/>
      <c r="BI1392" s="55"/>
      <c r="BJ1392" s="62"/>
      <c r="BK1392" s="57" t="n">
        <v>-35</v>
      </c>
      <c r="BL1392" s="57" t="n">
        <v>51</v>
      </c>
      <c r="BM1392" s="56" t="n">
        <v>-3554.95</v>
      </c>
      <c r="BN1392" s="57" t="n">
        <v>2</v>
      </c>
      <c r="BO1392" s="55" t="s">
        <v>536</v>
      </c>
      <c r="BP1392" s="60" t="n">
        <v>0</v>
      </c>
      <c r="BQ1392" s="60" t="n">
        <v>1392</v>
      </c>
      <c r="BR1392" s="55" t="str">
        <f aca="false">IF(U1392&lt;&gt;"",UPPER(TRIM(U1392)),IF(BU1392=1,UPPER(VLOOKUP(T1392,Parameter!$I$27:$K$29,2,0)),IF(P1392="","LOSE",P1392)))</f>
        <v>S52</v>
      </c>
      <c r="BS1392" s="57" t="n">
        <f aca="false">IF(BR1392="LOSE",1,IF(N(V1392)&gt;0,V1392,IF(BU1392=1,MAX(1,N(VLOOKUP(T1392,Parameter!$I$27:$K$29,3,0)),H1392,N(N1392)),IF(N(Q1392)&gt;0,Q1392,MAX(1,H1392)))))</f>
        <v>40</v>
      </c>
      <c r="BT1392" s="60" t="n">
        <f aca="false">IF(BR1392="LOSE",1,0)</f>
        <v>0</v>
      </c>
      <c r="BU1392" s="60" t="n">
        <f aca="false">IF(AND(U1392="",OR(P1392="",P1392="LOSE"),T1392&lt;&gt;"",N(S1392)&lt;=0,ISNUMBER(MATCH(T1392,Parameter!$I$27:$I$29,0))),1,0)</f>
        <v>0</v>
      </c>
      <c r="BV1392" s="55" t="str">
        <f aca="false">IF(AND(Parameter!$B$19="Ja",E1392&lt;&gt;"",ISNUMBER(MATCH(E1392,Parameter!$I$35:$I$52,0))),VLOOKUP(E1392,Parameter!$I$35:$J$52,2,0),IFERROR(VLOOKUP(D1392,Parameter!$A$35:$C$64,2,0),"Nein"))</f>
        <v>2+3</v>
      </c>
      <c r="BW1392" s="59" t="n">
        <f aca="false">IF(BT1392=0,0,IF(N(S1392)&gt;0,S1392,IFERROR(VLOOKUP(D1392,Parameter!$A$35:$C$64,3,0)+0,0)))</f>
        <v>0</v>
      </c>
      <c r="BX1392" s="55" t="n">
        <f aca="false">IF(AA1392&lt;&gt;"",AA1392,Z1392)</f>
        <v>3</v>
      </c>
      <c r="BY1392" s="55" t="str">
        <f aca="false">IF(BX1392=1,"L1",IF(OR(BX1392=2,BX1392=3),"L23",IF(BX1392="Aussen","Aussen","-")))</f>
        <v>L23</v>
      </c>
      <c r="BZ1392" s="66" t="n">
        <f aca="false">IF(N(AB1392)&gt;0,AB1392,0)</f>
        <v>0</v>
      </c>
      <c r="CA1392" s="60" t="n">
        <f aca="false">IF(ISNUMBER(AE1392),1,0)</f>
        <v>0</v>
      </c>
      <c r="CB1392" s="57" t="n">
        <f aca="false">N(AE1392)</f>
        <v>0</v>
      </c>
      <c r="CC1392" s="57" t="n">
        <f aca="false">N(M1392)+N(N1392)</f>
        <v>1</v>
      </c>
      <c r="CD1392" s="57" t="n">
        <f aca="false">ROUNDUP(H1392/BS1392,0)</f>
        <v>1</v>
      </c>
      <c r="CE1392" s="57" t="n">
        <f aca="false">ROUNDUP(CB1392/BS1392,0)</f>
        <v>0</v>
      </c>
      <c r="CF1392" s="60" t="n">
        <f aca="false">IF(BT1392=1,0,IFERROR(VLOOKUP(BR1392,'Gebinde-Kategorie'!$A$5:$M$45,5,0)+0,0))</f>
        <v>21</v>
      </c>
      <c r="CG1392" s="60" t="n">
        <f aca="false">IFERROR(IF(OR(BX1392=1,BX1392=2,BX1392=3),N(INDEX(Parameter!$I$5:$I$7,BX1392)),0),0)</f>
        <v>0</v>
      </c>
      <c r="CH1392" s="59" t="n">
        <f aca="false">IF(AND(Parameter!$B$21="Ja",ISNUMBER(W1392),N(X1392)&gt;0),IFERROR(N(INDEX(Parameter!$L$5:$L$7,W1392))*INDEX(Parameter!$E$5:$E$7,W1392)*X1392/SUMIFS($X$7:$X$1843,$W$7:$W$1843,W1392),0),0)</f>
        <v>0</v>
      </c>
    </row>
    <row r="1393" customFormat="false" ht="15" hidden="false" customHeight="false" outlineLevel="0" collapsed="false">
      <c r="A1393" s="55" t="s">
        <v>2448</v>
      </c>
      <c r="B1393" s="55" t="s">
        <v>2449</v>
      </c>
      <c r="C1393" s="55" t="s">
        <v>456</v>
      </c>
      <c r="D1393" s="55" t="s">
        <v>184</v>
      </c>
      <c r="E1393" s="55"/>
      <c r="F1393" s="55" t="s">
        <v>218</v>
      </c>
      <c r="G1393" s="56" t="n">
        <v>1.7</v>
      </c>
      <c r="H1393" s="57" t="n">
        <f aca="false">MAX(0,IF(AND(Parameter!$B$21="Ja",ISNUMBER(Y1393)),Y1393,IF(Parameter!$B$20="Jahresanfang 2025 + Export",BL1393+BK1393,BK1393)))</f>
        <v>2096</v>
      </c>
      <c r="I1393" s="57" t="n">
        <f aca="false">H1393*G1393</f>
        <v>3563.2</v>
      </c>
      <c r="J1393" s="57" t="n">
        <f aca="false">BN1393*Parameter!$B$18</f>
        <v>2096</v>
      </c>
      <c r="K1393" s="58" t="n">
        <v>2096</v>
      </c>
      <c r="L1393" s="59" t="n">
        <v>1</v>
      </c>
      <c r="M1393" s="57" t="n">
        <v>244</v>
      </c>
      <c r="N1393" s="57" t="n">
        <v>2095</v>
      </c>
      <c r="O1393" s="60" t="n">
        <v>42</v>
      </c>
      <c r="P1393" s="55" t="s">
        <v>168</v>
      </c>
      <c r="Q1393" s="57"/>
      <c r="R1393" s="60" t="n">
        <f aca="false">IF(BT1393=1,0,IFERROR(VLOOKUP(BR1393,'Gebinde-Kategorie'!$A$5:$M$45,13,0)+0,0))</f>
        <v>26</v>
      </c>
      <c r="S1393" s="61"/>
      <c r="T1393" s="62" t="s">
        <v>275</v>
      </c>
      <c r="U1393" s="62"/>
      <c r="V1393" s="62"/>
      <c r="W1393" s="55"/>
      <c r="X1393" s="57"/>
      <c r="Y1393" s="57"/>
      <c r="Z1393" s="55" t="n">
        <f aca="false">IF(A1393="","",IF(AND(Parameter!$B$21="Ja",ISNUMBER(W1393)),W1393,IF(BV1393="2+3",IF(ISNUMBER(SEARCH("grosser Artikel",BO1393)),2,IFERROR(VLOOKUP(BR1393,Parameter!$F$35:$G$64,2,0),2)),IF(OR(BV1393="Nein",BV1393=""),"-",BV1393))))</f>
        <v>3</v>
      </c>
      <c r="AA1393" s="62"/>
      <c r="AB1393" s="63"/>
      <c r="AC1393" s="57" t="n">
        <f aca="false">AR1393</f>
        <v>4192</v>
      </c>
      <c r="AD1393" s="57" t="n">
        <f aca="false">MAX(AR1393,H1393)</f>
        <v>4192</v>
      </c>
      <c r="AE1393" s="64"/>
      <c r="AF1393" s="57" t="n">
        <f aca="false">IF(LEFT(Cockpit!$C$5,1)="A",H1393,IF(CA1393=1,CB1393,IF(LEFT(Cockpit!$C$5,1)="B",AJ1393,MAX(AJ1393,H1393))))</f>
        <v>2096</v>
      </c>
      <c r="AG1393" s="57" t="n">
        <f aca="false">IF(BT1393=1,0,ROUNDUP(AF1393/BS1393,0))</f>
        <v>1</v>
      </c>
      <c r="AH1393" s="59" t="n">
        <f aca="false">IF(CH1393&gt;0,CH1393*MAX(1,AF1393/X1393),IF(BT1393=1,IF(AF1393&lt;=0,0,BW1393*MAX(1,IF(H1393&gt;0,AF1393/H1393,1))),IF(R1393&gt;0,AG1393/R1393,0))/MAX(0.1,N(Parameter!$M$21)))</f>
        <v>0.0384615384615385</v>
      </c>
      <c r="AI1393" s="57" t="n">
        <f aca="false">AF1393*G1393</f>
        <v>3563.2</v>
      </c>
      <c r="AJ1393" s="57" t="n">
        <f aca="false">ROUNDUP(MAX(J1393/IF(BZ1393&gt;0,BZ1393,MAX(0.1,N(Cockpit!$C$6))),CC1393)/BS1393,0)*BS1393</f>
        <v>4192</v>
      </c>
      <c r="AK1393" s="58" t="n">
        <f aca="false">IF(AH1393&gt;0,J1393/AH1393,-1)</f>
        <v>54496</v>
      </c>
      <c r="AL1393" s="58" t="n">
        <f aca="false">IF(AND(OR(BY1393="L1",BY1393="L23"),AH1393&gt;0),SUMIFS($AH$7:$AH$1843,$BY$7:$BY$1843,BY1393,$AK$7:$AK$1843,"&gt;"&amp;AK1393)+SUMIFS($AH$7:$AH$1843,$BY$7:$BY$1843,BY1393,$AK$7:$AK$1843,AK1393,$BQ$7:$BQ$1843,"&lt;="&amp;BQ1393),"")</f>
        <v>1.19629404412013</v>
      </c>
      <c r="AM1393" s="65" t="n">
        <f aca="false">IF(AL1393="",0,MAX(0,MIN(1,(IF(BY1393="L1",Parameter!$E$5,Parameter!$E$6+Parameter!$E$7)-(AL1393-AH1393))/AH1393)))</f>
        <v>1</v>
      </c>
      <c r="AN1393" s="57" t="n">
        <f aca="false">IF(LEFT(Cockpit!$I$5,1)="A",H1393,IF(CA1393=1,CB1393,IF(LEFT(Cockpit!$I$5,1)="B",AR1393,MAX(AR1393,H1393))))</f>
        <v>4192</v>
      </c>
      <c r="AO1393" s="57" t="n">
        <f aca="false">IF(BT1393=1,0,ROUNDUP(AN1393/BS1393,0))</f>
        <v>2</v>
      </c>
      <c r="AP1393" s="59" t="n">
        <f aca="false">IF(CH1393&gt;0,CH1393*MAX(1,AN1393/X1393),IF(BT1393=1,IF(AN1393&lt;=0,0,BW1393*MAX(1,IF(H1393&gt;0,AN1393/H1393,1))),IF(R1393&gt;0,AO1393/R1393,0))/MAX(0.1,N(Parameter!$M$21)))</f>
        <v>0.0769230769230769</v>
      </c>
      <c r="AQ1393" s="57" t="n">
        <f aca="false">AN1393*G1393</f>
        <v>7126.4</v>
      </c>
      <c r="AR1393" s="57" t="n">
        <f aca="false">ROUNDUP(MAX(J1393/IF(BZ1393&gt;0,BZ1393,MAX(0.1,N(Cockpit!$I$6))),CC1393)/BS1393,0)*BS1393</f>
        <v>4192</v>
      </c>
      <c r="AS1393" s="58" t="n">
        <f aca="false">IF(AP1393&gt;0,J1393/AP1393,-1)</f>
        <v>27248</v>
      </c>
      <c r="AT1393" s="58" t="n">
        <f aca="false">IF(AND(OR(BY1393="L1",BY1393="L23"),AP1393&gt;0),SUMIFS($AP$7:$AP$1843,$BY$7:$BY$1843,BY1393,$AS$7:$AS$1843,"&gt;"&amp;AS1393)+SUMIFS($AP$7:$AP$1843,$BY$7:$BY$1843,BY1393,$AS$7:$AS$1843,AS1393,$BQ$7:$BQ$1843,"&lt;="&amp;BQ1393),"")</f>
        <v>3.58481132394176</v>
      </c>
      <c r="AU1393" s="65" t="n">
        <f aca="false">IF(AT1393="",0,MAX(0,MIN(1,(IF(BY1393="L1",Parameter!$E$5,Parameter!$E$6+Parameter!$E$7)-(AT1393-AP1393))/AP1393)))</f>
        <v>1</v>
      </c>
      <c r="AV1393" s="57" t="n">
        <f aca="false">IF(LEFT(Cockpit!$O$5,1)="A",H1393,IF(CA1393=1,CB1393,IF(LEFT(Cockpit!$O$5,1)="B",AZ1393,MAX(AZ1393,H1393))))</f>
        <v>4192</v>
      </c>
      <c r="AW1393" s="57" t="n">
        <f aca="false">IF(BT1393=1,0,ROUNDUP(AV1393/BS1393,0))</f>
        <v>2</v>
      </c>
      <c r="AX1393" s="59" t="n">
        <f aca="false">IF(CH1393&gt;0,CH1393*MAX(1,AV1393/X1393),IF(BT1393=1,IF(AV1393&lt;=0,0,BW1393*MAX(1,IF(H1393&gt;0,AV1393/H1393,1))),IF(R1393&gt;0,AW1393/R1393,0))/MAX(0.1,N(Parameter!$M$21)))</f>
        <v>0.0769230769230769</v>
      </c>
      <c r="AY1393" s="57" t="n">
        <f aca="false">AV1393*G1393</f>
        <v>7126.4</v>
      </c>
      <c r="AZ1393" s="57" t="n">
        <f aca="false">ROUNDUP(MAX(J1393/IF(BZ1393&gt;0,BZ1393,MAX(0.1,N(Cockpit!$O$6))),CC1393)/BS1393,0)*BS1393</f>
        <v>4192</v>
      </c>
      <c r="BA1393" s="58" t="n">
        <f aca="false">IF(AX1393&gt;0,J1393/AX1393,-1)</f>
        <v>27248</v>
      </c>
      <c r="BB1393" s="58" t="n">
        <f aca="false">IF(AND(OR(BY1393="L1",BY1393="L23"),AX1393&gt;0),SUMIFS($AX$7:$AX$1843,$BY$7:$BY$1843,BY1393,$BA$7:$BA$1843,"&gt;"&amp;BA1393)+SUMIFS($AX$7:$AX$1843,$BY$7:$BY$1843,BY1393,$BA$7:$BA$1843,BA1393,$BQ$7:$BQ$1843,"&lt;="&amp;BQ1393),"")</f>
        <v>3.31441505354549</v>
      </c>
      <c r="BC1393" s="65" t="n">
        <f aca="false">IF(BB1393="",0,MAX(0,MIN(1,(IF(BY1393="L1",Parameter!$E$5,Parameter!$E$6+Parameter!$E$7)-(BB1393-AX1393))/AX1393)))</f>
        <v>1</v>
      </c>
      <c r="BD1393" s="55" t="str">
        <f aca="false">IF(AH1393&lt;=0,"",IF(BY1393="Aussen","Aussenlager",IF(BY1393="-","Nicht im Lift",IF(AM1393&gt;=1,"Lift",IF(AM1393&lt;=0,"Aussenlager","teilweise")))))</f>
        <v>Lift</v>
      </c>
      <c r="BE1393" s="55" t="str">
        <f aca="false">IF(AP1393&lt;=0,"",IF(BY1393="Aussen","Aussenlager",IF(BY1393="-","Nicht im Lift",IF(AU1393&gt;=1,"Lift",IF(AU1393&lt;=0,"Aussenlager","teilweise")))))</f>
        <v>Lift</v>
      </c>
      <c r="BF1393" s="55" t="str">
        <f aca="false">IF(AX1393&lt;=0,"",IF(BY1393="Aussen","Aussenlager",IF(BY1393="-","Nicht im Lift",IF(BC1393&gt;=1,"Lift",IF(BC1393&lt;=0,"Aussenlager","teilweise")))))</f>
        <v>Lift</v>
      </c>
      <c r="BG1393" s="55" t="str">
        <f aca="false">IF(A1393="","",IF(BP1393=1,"Neu; ","")&amp;IF(AND(BP1393=0,BK1393&lt;0),"negativer Bestand (Export "&amp;BK1393&amp;"); ","")&amp;IF(J1393&lt;=0,"Kein Verbrauch; ","")&amp;IF(CH1393&gt;0,"Lift "&amp;W1393&amp;" lt. Liftbericht (Fach "&amp;X1393&amp;" Stk); ",IF(BU1393=1,"Gebinde geschätzt ("&amp;T1393&amp;"); ",IF(BT1393=1,"Lose – Tablare geschätzt; ","")))&amp;IF(H1393&gt;AR1393,"Überbestand "&amp;ROUND(H1393-AR1393,0)&amp;" Stk / CHF "&amp;ROUND((H1393-AR1393)*G1393,0)&amp;"; ","")&amp;IF(AND(CA1393=1,CB1393&lt;CC1393),"MAX &lt; MB+LG; ","")&amp;IF(AND(CG1393&gt;0,CF1393*10&gt;CG1393),"zu hoch für Tablar; ","")&amp;IF(AND(BP1393=0,OR(CA1393=1,AA1393&lt;&gt;"",U1393&lt;&gt;"",V1393&lt;&gt;"",AB1393&lt;&gt;"")),"manuell übersteuert; ","")&amp;IF(AND(BT1393=0,R1393=0),"Gebinde unbekannt / Stellmass fehlt; ","")&amp;IF(AND(BT1393=0,N(V1393)&lt;=0,N(Q1393)&lt;=0),"Menge pro Gebinde fehlt (Ist = 1 Gebinde); ","")&amp;BO1393)</f>
        <v>negativer Bestand (Export -2096); Gebinde geschätzt (Klein); Menge pro Gebinde fehlt (Ist = 1 Gebinde); </v>
      </c>
      <c r="BH1393" s="55"/>
      <c r="BI1393" s="55"/>
      <c r="BJ1393" s="62"/>
      <c r="BK1393" s="57" t="n">
        <v>-2096</v>
      </c>
      <c r="BL1393" s="57" t="n">
        <v>4192</v>
      </c>
      <c r="BM1393" s="56" t="n">
        <v>-3563.2</v>
      </c>
      <c r="BN1393" s="57" t="n">
        <v>2096</v>
      </c>
      <c r="BO1393" s="55"/>
      <c r="BP1393" s="60" t="n">
        <v>0</v>
      </c>
      <c r="BQ1393" s="60" t="n">
        <v>1393</v>
      </c>
      <c r="BR1393" s="55" t="str">
        <f aca="false">IF(U1393&lt;&gt;"",UPPER(TRIM(U1393)),IF(BU1393=1,UPPER(VLOOKUP(T1393,Parameter!$I$27:$K$29,2,0)),IF(P1393="","LOSE",P1393)))</f>
        <v>S51</v>
      </c>
      <c r="BS1393" s="57" t="n">
        <f aca="false">IF(BR1393="LOSE",1,IF(N(V1393)&gt;0,V1393,IF(BU1393=1,MAX(1,N(VLOOKUP(T1393,Parameter!$I$27:$K$29,3,0)),H1393,N(N1393)),IF(N(Q1393)&gt;0,Q1393,MAX(1,H1393)))))</f>
        <v>2096</v>
      </c>
      <c r="BT1393" s="60" t="n">
        <f aca="false">IF(BR1393="LOSE",1,0)</f>
        <v>0</v>
      </c>
      <c r="BU1393" s="60" t="n">
        <f aca="false">IF(AND(U1393="",OR(P1393="",P1393="LOSE"),T1393&lt;&gt;"",N(S1393)&lt;=0,ISNUMBER(MATCH(T1393,Parameter!$I$27:$I$29,0))),1,0)</f>
        <v>1</v>
      </c>
      <c r="BV1393" s="55" t="str">
        <f aca="false">IF(AND(Parameter!$B$19="Ja",E1393&lt;&gt;"",ISNUMBER(MATCH(E1393,Parameter!$I$35:$I$52,0))),VLOOKUP(E1393,Parameter!$I$35:$J$52,2,0),IFERROR(VLOOKUP(D1393,Parameter!$A$35:$C$64,2,0),"Nein"))</f>
        <v>2+3</v>
      </c>
      <c r="BW1393" s="59" t="n">
        <f aca="false">IF(BT1393=0,0,IF(N(S1393)&gt;0,S1393,IFERROR(VLOOKUP(D1393,Parameter!$A$35:$C$64,3,0)+0,0)))</f>
        <v>0</v>
      </c>
      <c r="BX1393" s="55" t="n">
        <f aca="false">IF(AA1393&lt;&gt;"",AA1393,Z1393)</f>
        <v>3</v>
      </c>
      <c r="BY1393" s="55" t="str">
        <f aca="false">IF(BX1393=1,"L1",IF(OR(BX1393=2,BX1393=3),"L23",IF(BX1393="Aussen","Aussen","-")))</f>
        <v>L23</v>
      </c>
      <c r="BZ1393" s="66" t="n">
        <f aca="false">IF(N(AB1393)&gt;0,AB1393,0)</f>
        <v>0</v>
      </c>
      <c r="CA1393" s="60" t="n">
        <f aca="false">IF(ISNUMBER(AE1393),1,0)</f>
        <v>0</v>
      </c>
      <c r="CB1393" s="57" t="n">
        <f aca="false">N(AE1393)</f>
        <v>0</v>
      </c>
      <c r="CC1393" s="57" t="n">
        <f aca="false">N(M1393)+N(N1393)</f>
        <v>2339</v>
      </c>
      <c r="CD1393" s="57" t="n">
        <f aca="false">ROUNDUP(H1393/BS1393,0)</f>
        <v>1</v>
      </c>
      <c r="CE1393" s="57" t="n">
        <f aca="false">ROUNDUP(CB1393/BS1393,0)</f>
        <v>0</v>
      </c>
      <c r="CF1393" s="60" t="n">
        <f aca="false">IF(BT1393=1,0,IFERROR(VLOOKUP(BR1393,'Gebinde-Kategorie'!$A$5:$M$45,5,0)+0,0))</f>
        <v>11</v>
      </c>
      <c r="CG1393" s="60" t="n">
        <f aca="false">IFERROR(IF(OR(BX1393=1,BX1393=2,BX1393=3),N(INDEX(Parameter!$I$5:$I$7,BX1393)),0),0)</f>
        <v>0</v>
      </c>
      <c r="CH1393" s="59" t="n">
        <f aca="false">IF(AND(Parameter!$B$21="Ja",ISNUMBER(W1393),N(X1393)&gt;0),IFERROR(N(INDEX(Parameter!$L$5:$L$7,W1393))*INDEX(Parameter!$E$5:$E$7,W1393)*X1393/SUMIFS($X$7:$X$1843,$W$7:$W$1843,W1393),0),0)</f>
        <v>0</v>
      </c>
    </row>
    <row r="1394" customFormat="false" ht="15" hidden="false" customHeight="false" outlineLevel="0" collapsed="false">
      <c r="A1394" s="55" t="s">
        <v>2450</v>
      </c>
      <c r="B1394" s="55" t="s">
        <v>2451</v>
      </c>
      <c r="C1394" s="55" t="s">
        <v>164</v>
      </c>
      <c r="D1394" s="55" t="s">
        <v>173</v>
      </c>
      <c r="E1394" s="55" t="s">
        <v>185</v>
      </c>
      <c r="F1394" s="55" t="s">
        <v>218</v>
      </c>
      <c r="G1394" s="56" t="n">
        <v>603.8</v>
      </c>
      <c r="H1394" s="57" t="n">
        <f aca="false">MAX(0,IF(AND(Parameter!$B$21="Ja",ISNUMBER(Y1394)),Y1394,IF(Parameter!$B$20="Jahresanfang 2025 + Export",BL1394+BK1394,BK1394)))</f>
        <v>3</v>
      </c>
      <c r="I1394" s="57" t="n">
        <f aca="false">H1394*G1394</f>
        <v>1811.4</v>
      </c>
      <c r="J1394" s="57" t="n">
        <f aca="false">BN1394*Parameter!$B$18</f>
        <v>9</v>
      </c>
      <c r="K1394" s="58" t="n">
        <v>8.5</v>
      </c>
      <c r="L1394" s="59" t="n">
        <v>1.05882352941177</v>
      </c>
      <c r="M1394" s="57" t="n">
        <v>1</v>
      </c>
      <c r="N1394" s="57" t="n">
        <v>5</v>
      </c>
      <c r="O1394" s="60" t="n">
        <v>28</v>
      </c>
      <c r="P1394" s="55" t="s">
        <v>174</v>
      </c>
      <c r="Q1394" s="57" t="n">
        <v>4</v>
      </c>
      <c r="R1394" s="60" t="n">
        <f aca="false">IF(BT1394=1,0,IFERROR(VLOOKUP(BR1394,'Gebinde-Kategorie'!$A$5:$M$45,13,0)+0,0))</f>
        <v>6</v>
      </c>
      <c r="S1394" s="61"/>
      <c r="T1394" s="62"/>
      <c r="U1394" s="62"/>
      <c r="V1394" s="62"/>
      <c r="W1394" s="55"/>
      <c r="X1394" s="57"/>
      <c r="Y1394" s="57"/>
      <c r="Z1394" s="55" t="n">
        <f aca="false">IF(A1394="","",IF(AND(Parameter!$B$21="Ja",ISNUMBER(W1394)),W1394,IF(BV1394="2+3",IF(ISNUMBER(SEARCH("grosser Artikel",BO1394)),2,IFERROR(VLOOKUP(BR1394,Parameter!$F$35:$G$64,2,0),2)),IF(OR(BV1394="Nein",BV1394=""),"-",BV1394))))</f>
        <v>2</v>
      </c>
      <c r="AA1394" s="62"/>
      <c r="AB1394" s="63"/>
      <c r="AC1394" s="57" t="n">
        <f aca="false">AR1394</f>
        <v>8</v>
      </c>
      <c r="AD1394" s="57" t="n">
        <f aca="false">MAX(AR1394,H1394)</f>
        <v>8</v>
      </c>
      <c r="AE1394" s="64"/>
      <c r="AF1394" s="57" t="n">
        <f aca="false">IF(LEFT(Cockpit!$C$5,1)="A",H1394,IF(CA1394=1,CB1394,IF(LEFT(Cockpit!$C$5,1)="B",AJ1394,MAX(AJ1394,H1394))))</f>
        <v>3</v>
      </c>
      <c r="AG1394" s="57" t="n">
        <f aca="false">IF(BT1394=1,0,ROUNDUP(AF1394/BS1394,0))</f>
        <v>1</v>
      </c>
      <c r="AH1394" s="59" t="n">
        <f aca="false">IF(CH1394&gt;0,CH1394*MAX(1,AF1394/X1394),IF(BT1394=1,IF(AF1394&lt;=0,0,BW1394*MAX(1,IF(H1394&gt;0,AF1394/H1394,1))),IF(R1394&gt;0,AG1394/R1394,0))/MAX(0.1,N(Parameter!$M$21)))</f>
        <v>0.166666666666667</v>
      </c>
      <c r="AI1394" s="57" t="n">
        <f aca="false">AF1394*G1394</f>
        <v>1811.4</v>
      </c>
      <c r="AJ1394" s="57" t="n">
        <f aca="false">ROUNDUP(MAX(J1394/IF(BZ1394&gt;0,BZ1394,MAX(0.1,N(Cockpit!$C$6))),CC1394)/BS1394,0)*BS1394</f>
        <v>8</v>
      </c>
      <c r="AK1394" s="58" t="n">
        <f aca="false">IF(AH1394&gt;0,J1394/AH1394,-1)</f>
        <v>54</v>
      </c>
      <c r="AL1394" s="58" t="n">
        <f aca="false">IF(AND(OR(BY1394="L1",BY1394="L23"),AH1394&gt;0),SUMIFS($AH$7:$AH$1843,$BY$7:$BY$1843,BY1394,$AK$7:$AK$1843,"&gt;"&amp;AK1394)+SUMIFS($AH$7:$AH$1843,$BY$7:$BY$1843,BY1394,$AK$7:$AK$1843,AK1394,$BQ$7:$BQ$1843,"&lt;="&amp;BQ1394),"")</f>
        <v>44.0106753150231</v>
      </c>
      <c r="AM1394" s="65" t="n">
        <f aca="false">IF(AL1394="",0,MAX(0,MIN(1,(IF(BY1394="L1",Parameter!$E$5,Parameter!$E$6+Parameter!$E$7)-(AL1394-AH1394))/AH1394)))</f>
        <v>1</v>
      </c>
      <c r="AN1394" s="57" t="n">
        <f aca="false">IF(LEFT(Cockpit!$I$5,1)="A",H1394,IF(CA1394=1,CB1394,IF(LEFT(Cockpit!$I$5,1)="B",AR1394,MAX(AR1394,H1394))))</f>
        <v>8</v>
      </c>
      <c r="AO1394" s="57" t="n">
        <f aca="false">IF(BT1394=1,0,ROUNDUP(AN1394/BS1394,0))</f>
        <v>2</v>
      </c>
      <c r="AP1394" s="59" t="n">
        <f aca="false">IF(CH1394&gt;0,CH1394*MAX(1,AN1394/X1394),IF(BT1394=1,IF(AN1394&lt;=0,0,BW1394*MAX(1,IF(H1394&gt;0,AN1394/H1394,1))),IF(R1394&gt;0,AO1394/R1394,0))/MAX(0.1,N(Parameter!$M$21)))</f>
        <v>0.333333333333333</v>
      </c>
      <c r="AQ1394" s="57" t="n">
        <f aca="false">AN1394*G1394</f>
        <v>4830.4</v>
      </c>
      <c r="AR1394" s="57" t="n">
        <f aca="false">ROUNDUP(MAX(J1394/IF(BZ1394&gt;0,BZ1394,MAX(0.1,N(Cockpit!$I$6))),CC1394)/BS1394,0)*BS1394</f>
        <v>8</v>
      </c>
      <c r="AS1394" s="58" t="n">
        <f aca="false">IF(AP1394&gt;0,J1394/AP1394,-1)</f>
        <v>27</v>
      </c>
      <c r="AT1394" s="58" t="n">
        <f aca="false">IF(AND(OR(BY1394="L1",BY1394="L23"),AP1394&gt;0),SUMIFS($AP$7:$AP$1843,$BY$7:$BY$1843,BY1394,$AS$7:$AS$1843,"&gt;"&amp;AS1394)+SUMIFS($AP$7:$AP$1843,$BY$7:$BY$1843,BY1394,$AS$7:$AS$1843,AS1394,$BQ$7:$BQ$1843,"&lt;="&amp;BQ1394),"")</f>
        <v>73.3264078916253</v>
      </c>
      <c r="AU1394" s="65" t="n">
        <f aca="false">IF(AT1394="",0,MAX(0,MIN(1,(IF(BY1394="L1",Parameter!$E$5,Parameter!$E$6+Parameter!$E$7)-(AT1394-AP1394))/AP1394)))</f>
        <v>1</v>
      </c>
      <c r="AV1394" s="57" t="n">
        <f aca="false">IF(LEFT(Cockpit!$O$5,1)="A",H1394,IF(CA1394=1,CB1394,IF(LEFT(Cockpit!$O$5,1)="B",AZ1394,MAX(AZ1394,H1394))))</f>
        <v>8</v>
      </c>
      <c r="AW1394" s="57" t="n">
        <f aca="false">IF(BT1394=1,0,ROUNDUP(AV1394/BS1394,0))</f>
        <v>2</v>
      </c>
      <c r="AX1394" s="59" t="n">
        <f aca="false">IF(CH1394&gt;0,CH1394*MAX(1,AV1394/X1394),IF(BT1394=1,IF(AV1394&lt;=0,0,BW1394*MAX(1,IF(H1394&gt;0,AV1394/H1394,1))),IF(R1394&gt;0,AW1394/R1394,0))/MAX(0.1,N(Parameter!$M$21)))</f>
        <v>0.333333333333333</v>
      </c>
      <c r="AY1394" s="57" t="n">
        <f aca="false">AV1394*G1394</f>
        <v>4830.4</v>
      </c>
      <c r="AZ1394" s="57" t="n">
        <f aca="false">ROUNDUP(MAX(J1394/IF(BZ1394&gt;0,BZ1394,MAX(0.1,N(Cockpit!$O$6))),CC1394)/BS1394,0)*BS1394</f>
        <v>8</v>
      </c>
      <c r="BA1394" s="58" t="n">
        <f aca="false">IF(AX1394&gt;0,J1394/AX1394,-1)</f>
        <v>27</v>
      </c>
      <c r="BB1394" s="58" t="n">
        <f aca="false">IF(AND(OR(BY1394="L1",BY1394="L23"),AX1394&gt;0),SUMIFS($AX$7:$AX$1843,$BY$7:$BY$1843,BY1394,$BA$7:$BA$1843,"&gt;"&amp;BA1394)+SUMIFS($AX$7:$AX$1843,$BY$7:$BY$1843,BY1394,$BA$7:$BA$1843,BA1394,$BQ$7:$BQ$1843,"&lt;="&amp;BQ1394),"")</f>
        <v>67.8229113881288</v>
      </c>
      <c r="BC1394" s="65" t="n">
        <f aca="false">IF(BB1394="",0,MAX(0,MIN(1,(IF(BY1394="L1",Parameter!$E$5,Parameter!$E$6+Parameter!$E$7)-(BB1394-AX1394))/AX1394)))</f>
        <v>1</v>
      </c>
      <c r="BD1394" s="55" t="str">
        <f aca="false">IF(AH1394&lt;=0,"",IF(BY1394="Aussen","Aussenlager",IF(BY1394="-","Nicht im Lift",IF(AM1394&gt;=1,"Lift",IF(AM1394&lt;=0,"Aussenlager","teilweise")))))</f>
        <v>Lift</v>
      </c>
      <c r="BE1394" s="55" t="str">
        <f aca="false">IF(AP1394&lt;=0,"",IF(BY1394="Aussen","Aussenlager",IF(BY1394="-","Nicht im Lift",IF(AU1394&gt;=1,"Lift",IF(AU1394&lt;=0,"Aussenlager","teilweise")))))</f>
        <v>Lift</v>
      </c>
      <c r="BF1394" s="55" t="str">
        <f aca="false">IF(AX1394&lt;=0,"",IF(BY1394="Aussen","Aussenlager",IF(BY1394="-","Nicht im Lift",IF(BC1394&gt;=1,"Lift",IF(BC1394&lt;=0,"Aussenlager","teilweise")))))</f>
        <v>Lift</v>
      </c>
      <c r="BG1394" s="55" t="str">
        <f aca="false">IF(A1394="","",IF(BP1394=1,"Neu; ","")&amp;IF(AND(BP1394=0,BK1394&lt;0),"negativer Bestand (Export "&amp;BK1394&amp;"); ","")&amp;IF(J1394&lt;=0,"Kein Verbrauch; ","")&amp;IF(CH1394&gt;0,"Lift "&amp;W1394&amp;" lt. Liftbericht (Fach "&amp;X1394&amp;" Stk); ",IF(BU1394=1,"Gebinde geschätzt ("&amp;T1394&amp;"); ",IF(BT1394=1,"Lose – Tablare geschätzt; ","")))&amp;IF(H1394&gt;AR1394,"Überbestand "&amp;ROUND(H1394-AR1394,0)&amp;" Stk / CHF "&amp;ROUND((H1394-AR1394)*G1394,0)&amp;"; ","")&amp;IF(AND(CA1394=1,CB1394&lt;CC1394),"MAX &lt; MB+LG; ","")&amp;IF(AND(CG1394&gt;0,CF1394*10&gt;CG1394),"zu hoch für Tablar; ","")&amp;IF(AND(BP1394=0,OR(CA1394=1,AA1394&lt;&gt;"",U1394&lt;&gt;"",V1394&lt;&gt;"",AB1394&lt;&gt;"")),"manuell übersteuert; ","")&amp;IF(AND(BT1394=0,R1394=0),"Gebinde unbekannt / Stellmass fehlt; ","")&amp;IF(AND(BT1394=0,N(V1394)&lt;=0,N(Q1394)&lt;=0),"Menge pro Gebinde fehlt (Ist = 1 Gebinde); ","")&amp;BO1394)</f>
        <v>negativer Bestand (Export -6); nicht im KTL vorhanden</v>
      </c>
      <c r="BH1394" s="55"/>
      <c r="BI1394" s="55"/>
      <c r="BJ1394" s="62"/>
      <c r="BK1394" s="57" t="n">
        <v>-6</v>
      </c>
      <c r="BL1394" s="57" t="n">
        <v>9</v>
      </c>
      <c r="BM1394" s="56" t="n">
        <v>-3619.38</v>
      </c>
      <c r="BN1394" s="57" t="n">
        <v>9</v>
      </c>
      <c r="BO1394" s="55" t="s">
        <v>230</v>
      </c>
      <c r="BP1394" s="60" t="n">
        <v>0</v>
      </c>
      <c r="BQ1394" s="60" t="n">
        <v>1394</v>
      </c>
      <c r="BR1394" s="55" t="str">
        <f aca="false">IF(U1394&lt;&gt;"",UPPER(TRIM(U1394)),IF(BU1394=1,UPPER(VLOOKUP(T1394,Parameter!$I$27:$K$29,2,0)),IF(P1394="","LOSE",P1394)))</f>
        <v>S71</v>
      </c>
      <c r="BS1394" s="57" t="n">
        <f aca="false">IF(BR1394="LOSE",1,IF(N(V1394)&gt;0,V1394,IF(BU1394=1,MAX(1,N(VLOOKUP(T1394,Parameter!$I$27:$K$29,3,0)),H1394,N(N1394)),IF(N(Q1394)&gt;0,Q1394,MAX(1,H1394)))))</f>
        <v>4</v>
      </c>
      <c r="BT1394" s="60" t="n">
        <f aca="false">IF(BR1394="LOSE",1,0)</f>
        <v>0</v>
      </c>
      <c r="BU1394" s="60" t="n">
        <f aca="false">IF(AND(U1394="",OR(P1394="",P1394="LOSE"),T1394&lt;&gt;"",N(S1394)&lt;=0,ISNUMBER(MATCH(T1394,Parameter!$I$27:$I$29,0))),1,0)</f>
        <v>0</v>
      </c>
      <c r="BV1394" s="55" t="str">
        <f aca="false">IF(AND(Parameter!$B$19="Ja",E1394&lt;&gt;"",ISNUMBER(MATCH(E1394,Parameter!$I$35:$I$52,0))),VLOOKUP(E1394,Parameter!$I$35:$J$52,2,0),IFERROR(VLOOKUP(D1394,Parameter!$A$35:$C$64,2,0),"Nein"))</f>
        <v>2+3</v>
      </c>
      <c r="BW1394" s="59" t="n">
        <f aca="false">IF(BT1394=0,0,IF(N(S1394)&gt;0,S1394,IFERROR(VLOOKUP(D1394,Parameter!$A$35:$C$64,3,0)+0,0)))</f>
        <v>0</v>
      </c>
      <c r="BX1394" s="55" t="n">
        <f aca="false">IF(AA1394&lt;&gt;"",AA1394,Z1394)</f>
        <v>2</v>
      </c>
      <c r="BY1394" s="55" t="str">
        <f aca="false">IF(BX1394=1,"L1",IF(OR(BX1394=2,BX1394=3),"L23",IF(BX1394="Aussen","Aussen","-")))</f>
        <v>L23</v>
      </c>
      <c r="BZ1394" s="66" t="n">
        <f aca="false">IF(N(AB1394)&gt;0,AB1394,0)</f>
        <v>0</v>
      </c>
      <c r="CA1394" s="60" t="n">
        <f aca="false">IF(ISNUMBER(AE1394),1,0)</f>
        <v>0</v>
      </c>
      <c r="CB1394" s="57" t="n">
        <f aca="false">N(AE1394)</f>
        <v>0</v>
      </c>
      <c r="CC1394" s="57" t="n">
        <f aca="false">N(M1394)+N(N1394)</f>
        <v>6</v>
      </c>
      <c r="CD1394" s="57" t="n">
        <f aca="false">ROUNDUP(H1394/BS1394,0)</f>
        <v>1</v>
      </c>
      <c r="CE1394" s="57" t="n">
        <f aca="false">ROUNDUP(CB1394/BS1394,0)</f>
        <v>0</v>
      </c>
      <c r="CF1394" s="60" t="n">
        <f aca="false">IF(BT1394=1,0,IFERROR(VLOOKUP(BR1394,'Gebinde-Kategorie'!$A$5:$M$45,5,0)+0,0))</f>
        <v>20</v>
      </c>
      <c r="CG1394" s="60" t="n">
        <f aca="false">IFERROR(IF(OR(BX1394=1,BX1394=2,BX1394=3),N(INDEX(Parameter!$I$5:$I$7,BX1394)),0),0)</f>
        <v>0</v>
      </c>
      <c r="CH1394" s="59" t="n">
        <f aca="false">IF(AND(Parameter!$B$21="Ja",ISNUMBER(W1394),N(X1394)&gt;0),IFERROR(N(INDEX(Parameter!$L$5:$L$7,W1394))*INDEX(Parameter!$E$5:$E$7,W1394)*X1394/SUMIFS($X$7:$X$1843,$W$7:$W$1843,W1394),0),0)</f>
        <v>0</v>
      </c>
    </row>
    <row r="1395" customFormat="false" ht="15" hidden="false" customHeight="false" outlineLevel="0" collapsed="false">
      <c r="A1395" s="55" t="s">
        <v>2452</v>
      </c>
      <c r="B1395" s="55" t="s">
        <v>2453</v>
      </c>
      <c r="C1395" s="55" t="s">
        <v>164</v>
      </c>
      <c r="D1395" s="55" t="s">
        <v>184</v>
      </c>
      <c r="E1395" s="55"/>
      <c r="F1395" s="55" t="s">
        <v>218</v>
      </c>
      <c r="G1395" s="56" t="n">
        <v>92.69</v>
      </c>
      <c r="H1395" s="57" t="n">
        <f aca="false">MAX(0,IF(AND(Parameter!$B$21="Ja",ISNUMBER(Y1395)),Y1395,IF(Parameter!$B$20="Jahresanfang 2025 + Export",BL1395+BK1395,BK1395)))</f>
        <v>35</v>
      </c>
      <c r="I1395" s="57" t="n">
        <f aca="false">H1395*G1395</f>
        <v>3244.15</v>
      </c>
      <c r="J1395" s="57" t="n">
        <f aca="false">BN1395*Parameter!$B$18</f>
        <v>2</v>
      </c>
      <c r="K1395" s="58" t="n">
        <v>76</v>
      </c>
      <c r="L1395" s="59" t="n">
        <v>0.0263157894736842</v>
      </c>
      <c r="M1395" s="57" t="n">
        <v>0</v>
      </c>
      <c r="N1395" s="57" t="n">
        <v>1</v>
      </c>
      <c r="O1395" s="60" t="n">
        <v>28</v>
      </c>
      <c r="P1395" s="55" t="s">
        <v>302</v>
      </c>
      <c r="Q1395" s="57" t="n">
        <v>60</v>
      </c>
      <c r="R1395" s="60" t="n">
        <f aca="false">IF(BT1395=1,0,IFERROR(VLOOKUP(BR1395,'Gebinde-Kategorie'!$A$5:$M$45,13,0)+0,0))</f>
        <v>26</v>
      </c>
      <c r="S1395" s="61"/>
      <c r="T1395" s="62"/>
      <c r="U1395" s="62"/>
      <c r="V1395" s="62"/>
      <c r="W1395" s="55"/>
      <c r="X1395" s="57"/>
      <c r="Y1395" s="57"/>
      <c r="Z1395" s="55" t="n">
        <f aca="false">IF(A1395="","",IF(AND(Parameter!$B$21="Ja",ISNUMBER(W1395)),W1395,IF(BV1395="2+3",IF(ISNUMBER(SEARCH("grosser Artikel",BO1395)),2,IFERROR(VLOOKUP(BR1395,Parameter!$F$35:$G$64,2,0),2)),IF(OR(BV1395="Nein",BV1395=""),"-",BV1395))))</f>
        <v>3</v>
      </c>
      <c r="AA1395" s="62"/>
      <c r="AB1395" s="63"/>
      <c r="AC1395" s="57" t="n">
        <f aca="false">AR1395</f>
        <v>60</v>
      </c>
      <c r="AD1395" s="57" t="n">
        <f aca="false">MAX(AR1395,H1395)</f>
        <v>60</v>
      </c>
      <c r="AE1395" s="64"/>
      <c r="AF1395" s="57" t="n">
        <f aca="false">IF(LEFT(Cockpit!$C$5,1)="A",H1395,IF(CA1395=1,CB1395,IF(LEFT(Cockpit!$C$5,1)="B",AJ1395,MAX(AJ1395,H1395))))</f>
        <v>35</v>
      </c>
      <c r="AG1395" s="57" t="n">
        <f aca="false">IF(BT1395=1,0,ROUNDUP(AF1395/BS1395,0))</f>
        <v>1</v>
      </c>
      <c r="AH1395" s="59" t="n">
        <f aca="false">IF(CH1395&gt;0,CH1395*MAX(1,AF1395/X1395),IF(BT1395=1,IF(AF1395&lt;=0,0,BW1395*MAX(1,IF(H1395&gt;0,AF1395/H1395,1))),IF(R1395&gt;0,AG1395/R1395,0))/MAX(0.1,N(Parameter!$M$21)))</f>
        <v>0.0384615384615385</v>
      </c>
      <c r="AI1395" s="57" t="n">
        <f aca="false">AF1395*G1395</f>
        <v>3244.15</v>
      </c>
      <c r="AJ1395" s="57" t="n">
        <f aca="false">ROUNDUP(MAX(J1395/IF(BZ1395&gt;0,BZ1395,MAX(0.1,N(Cockpit!$C$6))),CC1395)/BS1395,0)*BS1395</f>
        <v>60</v>
      </c>
      <c r="AK1395" s="58" t="n">
        <f aca="false">IF(AH1395&gt;0,J1395/AH1395,-1)</f>
        <v>52</v>
      </c>
      <c r="AL1395" s="58" t="n">
        <f aca="false">IF(AND(OR(BY1395="L1",BY1395="L23"),AH1395&gt;0),SUMIFS($AH$7:$AH$1843,$BY$7:$BY$1843,BY1395,$AK$7:$AK$1843,"&gt;"&amp;AK1395)+SUMIFS($AH$7:$AH$1843,$BY$7:$BY$1843,BY1395,$AK$7:$AK$1843,AK1395,$BQ$7:$BQ$1843,"&lt;="&amp;BQ1395),"")</f>
        <v>44.8183676227155</v>
      </c>
      <c r="AM1395" s="65" t="n">
        <f aca="false">IF(AL1395="",0,MAX(0,MIN(1,(IF(BY1395="L1",Parameter!$E$5,Parameter!$E$6+Parameter!$E$7)-(AL1395-AH1395))/AH1395)))</f>
        <v>1</v>
      </c>
      <c r="AN1395" s="57" t="n">
        <f aca="false">IF(LEFT(Cockpit!$I$5,1)="A",H1395,IF(CA1395=1,CB1395,IF(LEFT(Cockpit!$I$5,1)="B",AR1395,MAX(AR1395,H1395))))</f>
        <v>60</v>
      </c>
      <c r="AO1395" s="57" t="n">
        <f aca="false">IF(BT1395=1,0,ROUNDUP(AN1395/BS1395,0))</f>
        <v>1</v>
      </c>
      <c r="AP1395" s="59" t="n">
        <f aca="false">IF(CH1395&gt;0,CH1395*MAX(1,AN1395/X1395),IF(BT1395=1,IF(AN1395&lt;=0,0,BW1395*MAX(1,IF(H1395&gt;0,AN1395/H1395,1))),IF(R1395&gt;0,AO1395/R1395,0))/MAX(0.1,N(Parameter!$M$21)))</f>
        <v>0.0384615384615385</v>
      </c>
      <c r="AQ1395" s="57" t="n">
        <f aca="false">AN1395*G1395</f>
        <v>5561.4</v>
      </c>
      <c r="AR1395" s="57" t="n">
        <f aca="false">ROUNDUP(MAX(J1395/IF(BZ1395&gt;0,BZ1395,MAX(0.1,N(Cockpit!$I$6))),CC1395)/BS1395,0)*BS1395</f>
        <v>60</v>
      </c>
      <c r="AS1395" s="58" t="n">
        <f aca="false">IF(AP1395&gt;0,J1395/AP1395,-1)</f>
        <v>52</v>
      </c>
      <c r="AT1395" s="58" t="n">
        <f aca="false">IF(AND(OR(BY1395="L1",BY1395="L23"),AP1395&gt;0),SUMIFS($AP$7:$AP$1843,$BY$7:$BY$1843,BY1395,$AS$7:$AS$1843,"&gt;"&amp;AS1395)+SUMIFS($AP$7:$AP$1843,$BY$7:$BY$1843,BY1395,$AS$7:$AS$1843,AS1395,$BQ$7:$BQ$1843,"&lt;="&amp;BQ1395),"")</f>
        <v>67.76172257694</v>
      </c>
      <c r="AU1395" s="65" t="n">
        <f aca="false">IF(AT1395="",0,MAX(0,MIN(1,(IF(BY1395="L1",Parameter!$E$5,Parameter!$E$6+Parameter!$E$7)-(AT1395-AP1395))/AP1395)))</f>
        <v>1</v>
      </c>
      <c r="AV1395" s="57" t="n">
        <f aca="false">IF(LEFT(Cockpit!$O$5,1)="A",H1395,IF(CA1395=1,CB1395,IF(LEFT(Cockpit!$O$5,1)="B",AZ1395,MAX(AZ1395,H1395))))</f>
        <v>60</v>
      </c>
      <c r="AW1395" s="57" t="n">
        <f aca="false">IF(BT1395=1,0,ROUNDUP(AV1395/BS1395,0))</f>
        <v>1</v>
      </c>
      <c r="AX1395" s="59" t="n">
        <f aca="false">IF(CH1395&gt;0,CH1395*MAX(1,AV1395/X1395),IF(BT1395=1,IF(AV1395&lt;=0,0,BW1395*MAX(1,IF(H1395&gt;0,AV1395/H1395,1))),IF(R1395&gt;0,AW1395/R1395,0))/MAX(0.1,N(Parameter!$M$21)))</f>
        <v>0.0384615384615385</v>
      </c>
      <c r="AY1395" s="57" t="n">
        <f aca="false">AV1395*G1395</f>
        <v>5561.4</v>
      </c>
      <c r="AZ1395" s="57" t="n">
        <f aca="false">ROUNDUP(MAX(J1395/IF(BZ1395&gt;0,BZ1395,MAX(0.1,N(Cockpit!$O$6))),CC1395)/BS1395,0)*BS1395</f>
        <v>60</v>
      </c>
      <c r="BA1395" s="58" t="n">
        <f aca="false">IF(AX1395&gt;0,J1395/AX1395,-1)</f>
        <v>52</v>
      </c>
      <c r="BB1395" s="58" t="n">
        <f aca="false">IF(AND(OR(BY1395="L1",BY1395="L23"),AX1395&gt;0),SUMIFS($AX$7:$AX$1843,$BY$7:$BY$1843,BY1395,$BA$7:$BA$1843,"&gt;"&amp;BA1395)+SUMIFS($AX$7:$AX$1843,$BY$7:$BY$1843,BY1395,$BA$7:$BA$1843,BA1395,$BQ$7:$BQ$1843,"&lt;="&amp;BQ1395),"")</f>
        <v>62.2582260734435</v>
      </c>
      <c r="BC1395" s="65" t="n">
        <f aca="false">IF(BB1395="",0,MAX(0,MIN(1,(IF(BY1395="L1",Parameter!$E$5,Parameter!$E$6+Parameter!$E$7)-(BB1395-AX1395))/AX1395)))</f>
        <v>1</v>
      </c>
      <c r="BD1395" s="55" t="str">
        <f aca="false">IF(AH1395&lt;=0,"",IF(BY1395="Aussen","Aussenlager",IF(BY1395="-","Nicht im Lift",IF(AM1395&gt;=1,"Lift",IF(AM1395&lt;=0,"Aussenlager","teilweise")))))</f>
        <v>Lift</v>
      </c>
      <c r="BE1395" s="55" t="str">
        <f aca="false">IF(AP1395&lt;=0,"",IF(BY1395="Aussen","Aussenlager",IF(BY1395="-","Nicht im Lift",IF(AU1395&gt;=1,"Lift",IF(AU1395&lt;=0,"Aussenlager","teilweise")))))</f>
        <v>Lift</v>
      </c>
      <c r="BF1395" s="55" t="str">
        <f aca="false">IF(AX1395&lt;=0,"",IF(BY1395="Aussen","Aussenlager",IF(BY1395="-","Nicht im Lift",IF(BC1395&gt;=1,"Lift",IF(BC1395&lt;=0,"Aussenlager","teilweise")))))</f>
        <v>Lift</v>
      </c>
      <c r="BG1395" s="55" t="str">
        <f aca="false">IF(A1395="","",IF(BP1395=1,"Neu; ","")&amp;IF(AND(BP1395=0,BK1395&lt;0),"negativer Bestand (Export "&amp;BK1395&amp;"); ","")&amp;IF(J1395&lt;=0,"Kein Verbrauch; ","")&amp;IF(CH1395&gt;0,"Lift "&amp;W1395&amp;" lt. Liftbericht (Fach "&amp;X1395&amp;" Stk); ",IF(BU1395=1,"Gebinde geschätzt ("&amp;T1395&amp;"); ",IF(BT1395=1,"Lose – Tablare geschätzt; ","")))&amp;IF(H1395&gt;AR1395,"Überbestand "&amp;ROUND(H1395-AR1395,0)&amp;" Stk / CHF "&amp;ROUND((H1395-AR1395)*G1395,0)&amp;"; ","")&amp;IF(AND(CA1395=1,CB1395&lt;CC1395),"MAX &lt; MB+LG; ","")&amp;IF(AND(CG1395&gt;0,CF1395*10&gt;CG1395),"zu hoch für Tablar; ","")&amp;IF(AND(BP1395=0,OR(CA1395=1,AA1395&lt;&gt;"",U1395&lt;&gt;"",V1395&lt;&gt;"",AB1395&lt;&gt;"")),"manuell übersteuert; ","")&amp;IF(AND(BT1395=0,R1395=0),"Gebinde unbekannt / Stellmass fehlt; ","")&amp;IF(AND(BT1395=0,N(V1395)&lt;=0,N(Q1395)&lt;=0),"Menge pro Gebinde fehlt (Ist = 1 Gebinde); ","")&amp;BO1395)</f>
        <v>negativer Bestand (Export -41); </v>
      </c>
      <c r="BH1395" s="55"/>
      <c r="BI1395" s="55"/>
      <c r="BJ1395" s="62"/>
      <c r="BK1395" s="57" t="n">
        <v>-41</v>
      </c>
      <c r="BL1395" s="57" t="n">
        <v>76</v>
      </c>
      <c r="BM1395" s="56" t="n">
        <v>-3800.29</v>
      </c>
      <c r="BN1395" s="57" t="n">
        <v>2</v>
      </c>
      <c r="BO1395" s="55"/>
      <c r="BP1395" s="60" t="n">
        <v>0</v>
      </c>
      <c r="BQ1395" s="60" t="n">
        <v>1395</v>
      </c>
      <c r="BR1395" s="55" t="str">
        <f aca="false">IF(U1395&lt;&gt;"",UPPER(TRIM(U1395)),IF(BU1395=1,UPPER(VLOOKUP(T1395,Parameter!$I$27:$K$29,2,0)),IF(P1395="","LOSE",P1395)))</f>
        <v>S51</v>
      </c>
      <c r="BS1395" s="57" t="n">
        <f aca="false">IF(BR1395="LOSE",1,IF(N(V1395)&gt;0,V1395,IF(BU1395=1,MAX(1,N(VLOOKUP(T1395,Parameter!$I$27:$K$29,3,0)),H1395,N(N1395)),IF(N(Q1395)&gt;0,Q1395,MAX(1,H1395)))))</f>
        <v>60</v>
      </c>
      <c r="BT1395" s="60" t="n">
        <f aca="false">IF(BR1395="LOSE",1,0)</f>
        <v>0</v>
      </c>
      <c r="BU1395" s="60" t="n">
        <f aca="false">IF(AND(U1395="",OR(P1395="",P1395="LOSE"),T1395&lt;&gt;"",N(S1395)&lt;=0,ISNUMBER(MATCH(T1395,Parameter!$I$27:$I$29,0))),1,0)</f>
        <v>0</v>
      </c>
      <c r="BV1395" s="55" t="str">
        <f aca="false">IF(AND(Parameter!$B$19="Ja",E1395&lt;&gt;"",ISNUMBER(MATCH(E1395,Parameter!$I$35:$I$52,0))),VLOOKUP(E1395,Parameter!$I$35:$J$52,2,0),IFERROR(VLOOKUP(D1395,Parameter!$A$35:$C$64,2,0),"Nein"))</f>
        <v>2+3</v>
      </c>
      <c r="BW1395" s="59" t="n">
        <f aca="false">IF(BT1395=0,0,IF(N(S1395)&gt;0,S1395,IFERROR(VLOOKUP(D1395,Parameter!$A$35:$C$64,3,0)+0,0)))</f>
        <v>0</v>
      </c>
      <c r="BX1395" s="55" t="n">
        <f aca="false">IF(AA1395&lt;&gt;"",AA1395,Z1395)</f>
        <v>3</v>
      </c>
      <c r="BY1395" s="55" t="str">
        <f aca="false">IF(BX1395=1,"L1",IF(OR(BX1395=2,BX1395=3),"L23",IF(BX1395="Aussen","Aussen","-")))</f>
        <v>L23</v>
      </c>
      <c r="BZ1395" s="66" t="n">
        <f aca="false">IF(N(AB1395)&gt;0,AB1395,0)</f>
        <v>0</v>
      </c>
      <c r="CA1395" s="60" t="n">
        <f aca="false">IF(ISNUMBER(AE1395),1,0)</f>
        <v>0</v>
      </c>
      <c r="CB1395" s="57" t="n">
        <f aca="false">N(AE1395)</f>
        <v>0</v>
      </c>
      <c r="CC1395" s="57" t="n">
        <f aca="false">N(M1395)+N(N1395)</f>
        <v>1</v>
      </c>
      <c r="CD1395" s="57" t="n">
        <f aca="false">ROUNDUP(H1395/BS1395,0)</f>
        <v>1</v>
      </c>
      <c r="CE1395" s="57" t="n">
        <f aca="false">ROUNDUP(CB1395/BS1395,0)</f>
        <v>0</v>
      </c>
      <c r="CF1395" s="60" t="n">
        <f aca="false">IF(BT1395=1,0,IFERROR(VLOOKUP(BR1395,'Gebinde-Kategorie'!$A$5:$M$45,5,0)+0,0))</f>
        <v>11</v>
      </c>
      <c r="CG1395" s="60" t="n">
        <f aca="false">IFERROR(IF(OR(BX1395=1,BX1395=2,BX1395=3),N(INDEX(Parameter!$I$5:$I$7,BX1395)),0),0)</f>
        <v>0</v>
      </c>
      <c r="CH1395" s="59" t="n">
        <f aca="false">IF(AND(Parameter!$B$21="Ja",ISNUMBER(W1395),N(X1395)&gt;0),IFERROR(N(INDEX(Parameter!$L$5:$L$7,W1395))*INDEX(Parameter!$E$5:$E$7,W1395)*X1395/SUMIFS($X$7:$X$1843,$W$7:$W$1843,W1395),0),0)</f>
        <v>0</v>
      </c>
    </row>
    <row r="1396" customFormat="false" ht="15" hidden="false" customHeight="false" outlineLevel="0" collapsed="false">
      <c r="A1396" s="55" t="s">
        <v>2454</v>
      </c>
      <c r="B1396" s="55" t="s">
        <v>2455</v>
      </c>
      <c r="C1396" s="55" t="s">
        <v>164</v>
      </c>
      <c r="D1396" s="55" t="s">
        <v>173</v>
      </c>
      <c r="E1396" s="55"/>
      <c r="F1396" s="55" t="s">
        <v>218</v>
      </c>
      <c r="G1396" s="56" t="n">
        <v>785</v>
      </c>
      <c r="H1396" s="57" t="n">
        <f aca="false">MAX(0,IF(AND(Parameter!$B$21="Ja",ISNUMBER(Y1396)),Y1396,IF(Parameter!$B$20="Jahresanfang 2025 + Export",BL1396+BK1396,BK1396)))</f>
        <v>2</v>
      </c>
      <c r="I1396" s="57" t="n">
        <f aca="false">H1396*G1396</f>
        <v>1570</v>
      </c>
      <c r="J1396" s="57" t="n">
        <f aca="false">BN1396*Parameter!$B$18</f>
        <v>3</v>
      </c>
      <c r="K1396" s="58" t="n">
        <v>4.5</v>
      </c>
      <c r="L1396" s="59" t="n">
        <v>0.666666666666667</v>
      </c>
      <c r="M1396" s="57" t="n">
        <v>1</v>
      </c>
      <c r="N1396" s="57" t="n">
        <v>5</v>
      </c>
      <c r="O1396" s="60" t="n">
        <v>140</v>
      </c>
      <c r="P1396" s="55" t="s">
        <v>223</v>
      </c>
      <c r="Q1396" s="57" t="n">
        <v>2</v>
      </c>
      <c r="R1396" s="60" t="n">
        <f aca="false">IF(BT1396=1,0,IFERROR(VLOOKUP(BR1396,'Gebinde-Kategorie'!$A$5:$M$45,13,0)+0,0))</f>
        <v>3</v>
      </c>
      <c r="S1396" s="61"/>
      <c r="T1396" s="62"/>
      <c r="U1396" s="62"/>
      <c r="V1396" s="62"/>
      <c r="W1396" s="55"/>
      <c r="X1396" s="57"/>
      <c r="Y1396" s="57"/>
      <c r="Z1396" s="55" t="n">
        <f aca="false">IF(A1396="","",IF(AND(Parameter!$B$21="Ja",ISNUMBER(W1396)),W1396,IF(BV1396="2+3",IF(ISNUMBER(SEARCH("grosser Artikel",BO1396)),2,IFERROR(VLOOKUP(BR1396,Parameter!$F$35:$G$64,2,0),2)),IF(OR(BV1396="Nein",BV1396=""),"-",BV1396))))</f>
        <v>2</v>
      </c>
      <c r="AA1396" s="62"/>
      <c r="AB1396" s="63"/>
      <c r="AC1396" s="57" t="n">
        <f aca="false">AR1396</f>
        <v>6</v>
      </c>
      <c r="AD1396" s="57" t="n">
        <f aca="false">MAX(AR1396,H1396)</f>
        <v>6</v>
      </c>
      <c r="AE1396" s="64"/>
      <c r="AF1396" s="57" t="n">
        <f aca="false">IF(LEFT(Cockpit!$C$5,1)="A",H1396,IF(CA1396=1,CB1396,IF(LEFT(Cockpit!$C$5,1)="B",AJ1396,MAX(AJ1396,H1396))))</f>
        <v>2</v>
      </c>
      <c r="AG1396" s="57" t="n">
        <f aca="false">IF(BT1396=1,0,ROUNDUP(AF1396/BS1396,0))</f>
        <v>1</v>
      </c>
      <c r="AH1396" s="59" t="n">
        <f aca="false">IF(CH1396&gt;0,CH1396*MAX(1,AF1396/X1396),IF(BT1396=1,IF(AF1396&lt;=0,0,BW1396*MAX(1,IF(H1396&gt;0,AF1396/H1396,1))),IF(R1396&gt;0,AG1396/R1396,0))/MAX(0.1,N(Parameter!$M$21)))</f>
        <v>0.333333333333333</v>
      </c>
      <c r="AI1396" s="57" t="n">
        <f aca="false">AF1396*G1396</f>
        <v>1570</v>
      </c>
      <c r="AJ1396" s="57" t="n">
        <f aca="false">ROUNDUP(MAX(J1396/IF(BZ1396&gt;0,BZ1396,MAX(0.1,N(Cockpit!$C$6))),CC1396)/BS1396,0)*BS1396</f>
        <v>6</v>
      </c>
      <c r="AK1396" s="58" t="n">
        <f aca="false">IF(AH1396&gt;0,J1396/AH1396,-1)</f>
        <v>9</v>
      </c>
      <c r="AL1396" s="58" t="n">
        <f aca="false">IF(AND(OR(BY1396="L1",BY1396="L23"),AH1396&gt;0),SUMIFS($AH$7:$AH$1843,$BY$7:$BY$1843,BY1396,$AK$7:$AK$1843,"&gt;"&amp;AK1396)+SUMIFS($AH$7:$AH$1843,$BY$7:$BY$1843,BY1396,$AK$7:$AK$1843,AK1396,$BQ$7:$BQ$1843,"&lt;="&amp;BQ1396),"")</f>
        <v>55.4407452450931</v>
      </c>
      <c r="AM1396" s="65" t="n">
        <f aca="false">IF(AL1396="",0,MAX(0,MIN(1,(IF(BY1396="L1",Parameter!$E$5,Parameter!$E$6+Parameter!$E$7)-(AL1396-AH1396))/AH1396)))</f>
        <v>1</v>
      </c>
      <c r="AN1396" s="57" t="n">
        <f aca="false">IF(LEFT(Cockpit!$I$5,1)="A",H1396,IF(CA1396=1,CB1396,IF(LEFT(Cockpit!$I$5,1)="B",AR1396,MAX(AR1396,H1396))))</f>
        <v>6</v>
      </c>
      <c r="AO1396" s="57" t="n">
        <f aca="false">IF(BT1396=1,0,ROUNDUP(AN1396/BS1396,0))</f>
        <v>3</v>
      </c>
      <c r="AP1396" s="59" t="n">
        <f aca="false">IF(CH1396&gt;0,CH1396*MAX(1,AN1396/X1396),IF(BT1396=1,IF(AN1396&lt;=0,0,BW1396*MAX(1,IF(H1396&gt;0,AN1396/H1396,1))),IF(R1396&gt;0,AO1396/R1396,0))/MAX(0.1,N(Parameter!$M$21)))</f>
        <v>1</v>
      </c>
      <c r="AQ1396" s="57" t="n">
        <f aca="false">AN1396*G1396</f>
        <v>4710</v>
      </c>
      <c r="AR1396" s="57" t="n">
        <f aca="false">ROUNDUP(MAX(J1396/IF(BZ1396&gt;0,BZ1396,MAX(0.1,N(Cockpit!$I$6))),CC1396)/BS1396,0)*BS1396</f>
        <v>6</v>
      </c>
      <c r="AS1396" s="58" t="n">
        <f aca="false">IF(AP1396&gt;0,J1396/AP1396,-1)</f>
        <v>3</v>
      </c>
      <c r="AT1396" s="58" t="n">
        <f aca="false">IF(AND(OR(BY1396="L1",BY1396="L23"),AP1396&gt;0),SUMIFS($AP$7:$AP$1843,$BY$7:$BY$1843,BY1396,$AS$7:$AS$1843,"&gt;"&amp;AS1396)+SUMIFS($AP$7:$AP$1843,$BY$7:$BY$1843,BY1396,$AS$7:$AS$1843,AS1396,$BQ$7:$BQ$1843,"&lt;="&amp;BQ1396),"")</f>
        <v>97.9161514813689</v>
      </c>
      <c r="AU1396" s="65" t="n">
        <f aca="false">IF(AT1396="",0,MAX(0,MIN(1,(IF(BY1396="L1",Parameter!$E$5,Parameter!$E$6+Parameter!$E$7)-(AT1396-AP1396))/AP1396)))</f>
        <v>1</v>
      </c>
      <c r="AV1396" s="57" t="n">
        <f aca="false">IF(LEFT(Cockpit!$O$5,1)="A",H1396,IF(CA1396=1,CB1396,IF(LEFT(Cockpit!$O$5,1)="B",AZ1396,MAX(AZ1396,H1396))))</f>
        <v>6</v>
      </c>
      <c r="AW1396" s="57" t="n">
        <f aca="false">IF(BT1396=1,0,ROUNDUP(AV1396/BS1396,0))</f>
        <v>3</v>
      </c>
      <c r="AX1396" s="59" t="n">
        <f aca="false">IF(CH1396&gt;0,CH1396*MAX(1,AV1396/X1396),IF(BT1396=1,IF(AV1396&lt;=0,0,BW1396*MAX(1,IF(H1396&gt;0,AV1396/H1396,1))),IF(R1396&gt;0,AW1396/R1396,0))/MAX(0.1,N(Parameter!$M$21)))</f>
        <v>1</v>
      </c>
      <c r="AY1396" s="57" t="n">
        <f aca="false">AV1396*G1396</f>
        <v>4710</v>
      </c>
      <c r="AZ1396" s="57" t="n">
        <f aca="false">ROUNDUP(MAX(J1396/IF(BZ1396&gt;0,BZ1396,MAX(0.1,N(Cockpit!$O$6))),CC1396)/BS1396,0)*BS1396</f>
        <v>6</v>
      </c>
      <c r="BA1396" s="58" t="n">
        <f aca="false">IF(AX1396&gt;0,J1396/AX1396,-1)</f>
        <v>3</v>
      </c>
      <c r="BB1396" s="58" t="n">
        <f aca="false">IF(AND(OR(BY1396="L1",BY1396="L23"),AX1396&gt;0),SUMIFS($AX$7:$AX$1843,$BY$7:$BY$1843,BY1396,$BA$7:$BA$1843,"&gt;"&amp;BA1396)+SUMIFS($AX$7:$AX$1843,$BY$7:$BY$1843,BY1396,$BA$7:$BA$1843,BA1396,$BQ$7:$BQ$1843,"&lt;="&amp;BQ1396),"")</f>
        <v>88.7459883112057</v>
      </c>
      <c r="BC1396" s="65" t="n">
        <f aca="false">IF(BB1396="",0,MAX(0,MIN(1,(IF(BY1396="L1",Parameter!$E$5,Parameter!$E$6+Parameter!$E$7)-(BB1396-AX1396))/AX1396)))</f>
        <v>1</v>
      </c>
      <c r="BD1396" s="55" t="str">
        <f aca="false">IF(AH1396&lt;=0,"",IF(BY1396="Aussen","Aussenlager",IF(BY1396="-","Nicht im Lift",IF(AM1396&gt;=1,"Lift",IF(AM1396&lt;=0,"Aussenlager","teilweise")))))</f>
        <v>Lift</v>
      </c>
      <c r="BE1396" s="55" t="str">
        <f aca="false">IF(AP1396&lt;=0,"",IF(BY1396="Aussen","Aussenlager",IF(BY1396="-","Nicht im Lift",IF(AU1396&gt;=1,"Lift",IF(AU1396&lt;=0,"Aussenlager","teilweise")))))</f>
        <v>Lift</v>
      </c>
      <c r="BF1396" s="55" t="str">
        <f aca="false">IF(AX1396&lt;=0,"",IF(BY1396="Aussen","Aussenlager",IF(BY1396="-","Nicht im Lift",IF(BC1396&gt;=1,"Lift",IF(BC1396&lt;=0,"Aussenlager","teilweise")))))</f>
        <v>Lift</v>
      </c>
      <c r="BG1396" s="55" t="str">
        <f aca="false">IF(A1396="","",IF(BP1396=1,"Neu; ","")&amp;IF(AND(BP1396=0,BK1396&lt;0),"negativer Bestand (Export "&amp;BK1396&amp;"); ","")&amp;IF(J1396&lt;=0,"Kein Verbrauch; ","")&amp;IF(CH1396&gt;0,"Lift "&amp;W1396&amp;" lt. Liftbericht (Fach "&amp;X1396&amp;" Stk); ",IF(BU1396=1,"Gebinde geschätzt ("&amp;T1396&amp;"); ",IF(BT1396=1,"Lose – Tablare geschätzt; ","")))&amp;IF(H1396&gt;AR1396,"Überbestand "&amp;ROUND(H1396-AR1396,0)&amp;" Stk / CHF "&amp;ROUND((H1396-AR1396)*G1396,0)&amp;"; ","")&amp;IF(AND(CA1396=1,CB1396&lt;CC1396),"MAX &lt; MB+LG; ","")&amp;IF(AND(CG1396&gt;0,CF1396*10&gt;CG1396),"zu hoch für Tablar; ","")&amp;IF(AND(BP1396=0,OR(CA1396=1,AA1396&lt;&gt;"",U1396&lt;&gt;"",V1396&lt;&gt;"",AB1396&lt;&gt;"")),"manuell übersteuert; ","")&amp;IF(AND(BT1396=0,R1396=0),"Gebinde unbekannt / Stellmass fehlt; ","")&amp;IF(AND(BT1396=0,N(V1396)&lt;=0,N(Q1396)&lt;=0),"Menge pro Gebinde fehlt (Ist = 1 Gebinde); ","")&amp;BO1396)</f>
        <v>negativer Bestand (Export -5); Neuer Art.</v>
      </c>
      <c r="BH1396" s="55"/>
      <c r="BI1396" s="55"/>
      <c r="BJ1396" s="62"/>
      <c r="BK1396" s="57" t="n">
        <v>-5</v>
      </c>
      <c r="BL1396" s="57" t="n">
        <v>7</v>
      </c>
      <c r="BM1396" s="56" t="n">
        <v>-3925</v>
      </c>
      <c r="BN1396" s="57" t="n">
        <v>3</v>
      </c>
      <c r="BO1396" s="55" t="s">
        <v>512</v>
      </c>
      <c r="BP1396" s="60" t="n">
        <v>0</v>
      </c>
      <c r="BQ1396" s="60" t="n">
        <v>1396</v>
      </c>
      <c r="BR1396" s="55" t="str">
        <f aca="false">IF(U1396&lt;&gt;"",UPPER(TRIM(U1396)),IF(BU1396=1,UPPER(VLOOKUP(T1396,Parameter!$I$27:$K$29,2,0)),IF(P1396="","LOSE",P1396)))</f>
        <v>S81</v>
      </c>
      <c r="BS1396" s="57" t="n">
        <f aca="false">IF(BR1396="LOSE",1,IF(N(V1396)&gt;0,V1396,IF(BU1396=1,MAX(1,N(VLOOKUP(T1396,Parameter!$I$27:$K$29,3,0)),H1396,N(N1396)),IF(N(Q1396)&gt;0,Q1396,MAX(1,H1396)))))</f>
        <v>2</v>
      </c>
      <c r="BT1396" s="60" t="n">
        <f aca="false">IF(BR1396="LOSE",1,0)</f>
        <v>0</v>
      </c>
      <c r="BU1396" s="60" t="n">
        <f aca="false">IF(AND(U1396="",OR(P1396="",P1396="LOSE"),T1396&lt;&gt;"",N(S1396)&lt;=0,ISNUMBER(MATCH(T1396,Parameter!$I$27:$I$29,0))),1,0)</f>
        <v>0</v>
      </c>
      <c r="BV1396" s="55" t="str">
        <f aca="false">IF(AND(Parameter!$B$19="Ja",E1396&lt;&gt;"",ISNUMBER(MATCH(E1396,Parameter!$I$35:$I$52,0))),VLOOKUP(E1396,Parameter!$I$35:$J$52,2,0),IFERROR(VLOOKUP(D1396,Parameter!$A$35:$C$64,2,0),"Nein"))</f>
        <v>2+3</v>
      </c>
      <c r="BW1396" s="59" t="n">
        <f aca="false">IF(BT1396=0,0,IF(N(S1396)&gt;0,S1396,IFERROR(VLOOKUP(D1396,Parameter!$A$35:$C$64,3,0)+0,0)))</f>
        <v>0</v>
      </c>
      <c r="BX1396" s="55" t="n">
        <f aca="false">IF(AA1396&lt;&gt;"",AA1396,Z1396)</f>
        <v>2</v>
      </c>
      <c r="BY1396" s="55" t="str">
        <f aca="false">IF(BX1396=1,"L1",IF(OR(BX1396=2,BX1396=3),"L23",IF(BX1396="Aussen","Aussen","-")))</f>
        <v>L23</v>
      </c>
      <c r="BZ1396" s="66" t="n">
        <f aca="false">IF(N(AB1396)&gt;0,AB1396,0)</f>
        <v>0</v>
      </c>
      <c r="CA1396" s="60" t="n">
        <f aca="false">IF(ISNUMBER(AE1396),1,0)</f>
        <v>0</v>
      </c>
      <c r="CB1396" s="57" t="n">
        <f aca="false">N(AE1396)</f>
        <v>0</v>
      </c>
      <c r="CC1396" s="57" t="n">
        <f aca="false">N(M1396)+N(N1396)</f>
        <v>6</v>
      </c>
      <c r="CD1396" s="57" t="n">
        <f aca="false">ROUNDUP(H1396/BS1396,0)</f>
        <v>1</v>
      </c>
      <c r="CE1396" s="57" t="n">
        <f aca="false">ROUNDUP(CB1396/BS1396,0)</f>
        <v>0</v>
      </c>
      <c r="CF1396" s="60" t="n">
        <f aca="false">IF(BT1396=1,0,IFERROR(VLOOKUP(BR1396,'Gebinde-Kategorie'!$A$5:$M$45,5,0)+0,0))</f>
        <v>20</v>
      </c>
      <c r="CG1396" s="60" t="n">
        <f aca="false">IFERROR(IF(OR(BX1396=1,BX1396=2,BX1396=3),N(INDEX(Parameter!$I$5:$I$7,BX1396)),0),0)</f>
        <v>0</v>
      </c>
      <c r="CH1396" s="59" t="n">
        <f aca="false">IF(AND(Parameter!$B$21="Ja",ISNUMBER(W1396),N(X1396)&gt;0),IFERROR(N(INDEX(Parameter!$L$5:$L$7,W1396))*INDEX(Parameter!$E$5:$E$7,W1396)*X1396/SUMIFS($X$7:$X$1843,$W$7:$W$1843,W1396),0),0)</f>
        <v>0</v>
      </c>
    </row>
    <row r="1397" customFormat="false" ht="15" hidden="false" customHeight="false" outlineLevel="0" collapsed="false">
      <c r="A1397" s="55" t="s">
        <v>2456</v>
      </c>
      <c r="B1397" s="55" t="s">
        <v>253</v>
      </c>
      <c r="C1397" s="55" t="s">
        <v>167</v>
      </c>
      <c r="D1397" s="55" t="s">
        <v>165</v>
      </c>
      <c r="E1397" s="55" t="s">
        <v>166</v>
      </c>
      <c r="F1397" s="55" t="s">
        <v>218</v>
      </c>
      <c r="G1397" s="56" t="n">
        <v>1489.2</v>
      </c>
      <c r="H1397" s="57" t="n">
        <f aca="false">MAX(0,IF(AND(Parameter!$B$21="Ja",ISNUMBER(Y1397)),Y1397,IF(Parameter!$B$20="Jahresanfang 2025 + Export",BL1397+BK1397,BK1397)))</f>
        <v>0</v>
      </c>
      <c r="I1397" s="57" t="n">
        <f aca="false">H1397*G1397</f>
        <v>0</v>
      </c>
      <c r="J1397" s="57" t="n">
        <f aca="false">BN1397*Parameter!$B$18</f>
        <v>15</v>
      </c>
      <c r="K1397" s="58" t="n">
        <v>4.5</v>
      </c>
      <c r="L1397" s="59" t="n">
        <v>3.33333333333333</v>
      </c>
      <c r="M1397" s="57" t="n">
        <v>0</v>
      </c>
      <c r="N1397" s="57" t="n">
        <v>5</v>
      </c>
      <c r="O1397" s="60" t="n">
        <v>21</v>
      </c>
      <c r="P1397" s="55" t="s">
        <v>168</v>
      </c>
      <c r="Q1397" s="57"/>
      <c r="R1397" s="60" t="n">
        <f aca="false">IF(BT1397=1,0,IFERROR(VLOOKUP(BR1397,'Gebinde-Kategorie'!$A$5:$M$45,13,0)+0,0))</f>
        <v>0</v>
      </c>
      <c r="S1397" s="61"/>
      <c r="T1397" s="62"/>
      <c r="U1397" s="62"/>
      <c r="V1397" s="62"/>
      <c r="W1397" s="55" t="n">
        <v>1</v>
      </c>
      <c r="X1397" s="57" t="n">
        <v>6</v>
      </c>
      <c r="Y1397" s="57" t="n">
        <v>0</v>
      </c>
      <c r="Z1397" s="55" t="n">
        <f aca="false">IF(A1397="","",IF(AND(Parameter!$B$21="Ja",ISNUMBER(W1397)),W1397,IF(BV1397="2+3",IF(ISNUMBER(SEARCH("grosser Artikel",BO1397)),2,IFERROR(VLOOKUP(BR1397,Parameter!$F$35:$G$64,2,0),2)),IF(OR(BV1397="Nein",BV1397=""),"-",BV1397))))</f>
        <v>1</v>
      </c>
      <c r="AA1397" s="62"/>
      <c r="AB1397" s="63"/>
      <c r="AC1397" s="57" t="n">
        <f aca="false">AR1397</f>
        <v>8</v>
      </c>
      <c r="AD1397" s="57" t="n">
        <f aca="false">MAX(AR1397,H1397)</f>
        <v>8</v>
      </c>
      <c r="AE1397" s="64"/>
      <c r="AF1397" s="57" t="n">
        <f aca="false">IF(LEFT(Cockpit!$C$5,1)="A",H1397,IF(CA1397=1,CB1397,IF(LEFT(Cockpit!$C$5,1)="B",AJ1397,MAX(AJ1397,H1397))))</f>
        <v>0</v>
      </c>
      <c r="AG1397" s="57" t="n">
        <f aca="false">IF(BT1397=1,0,ROUNDUP(AF1397/BS1397,0))</f>
        <v>0</v>
      </c>
      <c r="AH1397" s="59" t="n">
        <f aca="false">IF(CH1397&gt;0,CH1397*MAX(1,AF1397/X1397),IF(BT1397=1,IF(AF1397&lt;=0,0,BW1397*MAX(1,IF(H1397&gt;0,AF1397/H1397,1))),IF(R1397&gt;0,AG1397/R1397,0))/MAX(0.1,N(Parameter!$M$21)))</f>
        <v>0.480225988700565</v>
      </c>
      <c r="AI1397" s="57" t="n">
        <f aca="false">AF1397*G1397</f>
        <v>0</v>
      </c>
      <c r="AJ1397" s="57" t="n">
        <f aca="false">ROUNDUP(MAX(J1397/IF(BZ1397&gt;0,BZ1397,MAX(0.1,N(Cockpit!$C$6))),CC1397)/BS1397,0)*BS1397</f>
        <v>8</v>
      </c>
      <c r="AK1397" s="58" t="n">
        <f aca="false">IF(AH1397&gt;0,J1397/AH1397,-1)</f>
        <v>31.2352941176471</v>
      </c>
      <c r="AL1397" s="58" t="n">
        <f aca="false">IF(AND(OR(BY1397="L1",BY1397="L23"),AH1397&gt;0),SUMIFS($AH$7:$AH$1843,$BY$7:$BY$1843,BY1397,$AK$7:$AK$1843,"&gt;"&amp;AK1397)+SUMIFS($AH$7:$AH$1843,$BY$7:$BY$1843,BY1397,$AK$7:$AK$1843,AK1397,$BQ$7:$BQ$1843,"&lt;="&amp;BQ1397),"")</f>
        <v>12.492832353923</v>
      </c>
      <c r="AM1397" s="65" t="n">
        <f aca="false">IF(AL1397="",0,MAX(0,MIN(1,(IF(BY1397="L1",Parameter!$E$5,Parameter!$E$6+Parameter!$E$7)-(AL1397-AH1397))/AH1397)))</f>
        <v>1</v>
      </c>
      <c r="AN1397" s="57" t="n">
        <f aca="false">IF(LEFT(Cockpit!$I$5,1)="A",H1397,IF(CA1397=1,CB1397,IF(LEFT(Cockpit!$I$5,1)="B",AR1397,MAX(AR1397,H1397))))</f>
        <v>8</v>
      </c>
      <c r="AO1397" s="57" t="n">
        <f aca="false">IF(BT1397=1,0,ROUNDUP(AN1397/BS1397,0))</f>
        <v>0</v>
      </c>
      <c r="AP1397" s="59" t="n">
        <f aca="false">IF(CH1397&gt;0,CH1397*MAX(1,AN1397/X1397),IF(BT1397=1,IF(AN1397&lt;=0,0,BW1397*MAX(1,IF(H1397&gt;0,AN1397/H1397,1))),IF(R1397&gt;0,AO1397/R1397,0))/MAX(0.1,N(Parameter!$M$21)))</f>
        <v>0.64030131826742</v>
      </c>
      <c r="AQ1397" s="57" t="n">
        <f aca="false">AN1397*G1397</f>
        <v>11913.6</v>
      </c>
      <c r="AR1397" s="57" t="n">
        <f aca="false">ROUNDUP(MAX(J1397/IF(BZ1397&gt;0,BZ1397,MAX(0.1,N(Cockpit!$I$6))),CC1397)/BS1397,0)*BS1397</f>
        <v>8</v>
      </c>
      <c r="AS1397" s="58" t="n">
        <f aca="false">IF(AP1397&gt;0,J1397/AP1397,-1)</f>
        <v>23.4264705882353</v>
      </c>
      <c r="AT1397" s="58" t="n">
        <f aca="false">IF(AND(OR(BY1397="L1",BY1397="L23"),AP1397&gt;0),SUMIFS($AP$7:$AP$1843,$BY$7:$BY$1843,BY1397,$AS$7:$AS$1843,"&gt;"&amp;AS1397)+SUMIFS($AP$7:$AP$1843,$BY$7:$BY$1843,BY1397,$AS$7:$AS$1843,AS1397,$BQ$7:$BQ$1843,"&lt;="&amp;BQ1397),"")</f>
        <v>33.2750285005259</v>
      </c>
      <c r="AU1397" s="65" t="n">
        <f aca="false">IF(AT1397="",0,MAX(0,MIN(1,(IF(BY1397="L1",Parameter!$E$5,Parameter!$E$6+Parameter!$E$7)-(AT1397-AP1397))/AP1397)))</f>
        <v>1</v>
      </c>
      <c r="AV1397" s="57" t="n">
        <f aca="false">IF(LEFT(Cockpit!$O$5,1)="A",H1397,IF(CA1397=1,CB1397,IF(LEFT(Cockpit!$O$5,1)="B",AZ1397,MAX(AZ1397,H1397))))</f>
        <v>5</v>
      </c>
      <c r="AW1397" s="57" t="n">
        <f aca="false">IF(BT1397=1,0,ROUNDUP(AV1397/BS1397,0))</f>
        <v>0</v>
      </c>
      <c r="AX1397" s="59" t="n">
        <f aca="false">IF(CH1397&gt;0,CH1397*MAX(1,AV1397/X1397),IF(BT1397=1,IF(AV1397&lt;=0,0,BW1397*MAX(1,IF(H1397&gt;0,AV1397/H1397,1))),IF(R1397&gt;0,AW1397/R1397,0))/MAX(0.1,N(Parameter!$M$21)))</f>
        <v>0.480225988700565</v>
      </c>
      <c r="AY1397" s="57" t="n">
        <f aca="false">AV1397*G1397</f>
        <v>7446</v>
      </c>
      <c r="AZ1397" s="57" t="n">
        <f aca="false">ROUNDUP(MAX(J1397/IF(BZ1397&gt;0,BZ1397,MAX(0.1,N(Cockpit!$O$6))),CC1397)/BS1397,0)*BS1397</f>
        <v>5</v>
      </c>
      <c r="BA1397" s="58" t="n">
        <f aca="false">IF(AX1397&gt;0,J1397/AX1397,-1)</f>
        <v>31.2352941176471</v>
      </c>
      <c r="BB1397" s="58" t="n">
        <f aca="false">IF(AND(OR(BY1397="L1",BY1397="L23"),AX1397&gt;0),SUMIFS($AX$7:$AX$1843,$BY$7:$BY$1843,BY1397,$BA$7:$BA$1843,"&gt;"&amp;BA1397)+SUMIFS($AX$7:$AX$1843,$BY$7:$BY$1843,BY1397,$BA$7:$BA$1843,BA1397,$BQ$7:$BQ$1843,"&lt;="&amp;BQ1397),"")</f>
        <v>19.8053051918196</v>
      </c>
      <c r="BC1397" s="65" t="n">
        <f aca="false">IF(BB1397="",0,MAX(0,MIN(1,(IF(BY1397="L1",Parameter!$E$5,Parameter!$E$6+Parameter!$E$7)-(BB1397-AX1397))/AX1397)))</f>
        <v>1</v>
      </c>
      <c r="BD1397" s="55" t="str">
        <f aca="false">IF(AH1397&lt;=0,"",IF(BY1397="Aussen","Aussenlager",IF(BY1397="-","Nicht im Lift",IF(AM1397&gt;=1,"Lift",IF(AM1397&lt;=0,"Aussenlager","teilweise")))))</f>
        <v>Lift</v>
      </c>
      <c r="BE1397" s="55" t="str">
        <f aca="false">IF(AP1397&lt;=0,"",IF(BY1397="Aussen","Aussenlager",IF(BY1397="-","Nicht im Lift",IF(AU1397&gt;=1,"Lift",IF(AU1397&lt;=0,"Aussenlager","teilweise")))))</f>
        <v>Lift</v>
      </c>
      <c r="BF1397" s="55" t="str">
        <f aca="false">IF(AX1397&lt;=0,"",IF(BY1397="Aussen","Aussenlager",IF(BY1397="-","Nicht im Lift",IF(BC1397&gt;=1,"Lift",IF(BC1397&lt;=0,"Aussenlager","teilweise")))))</f>
        <v>Lift</v>
      </c>
      <c r="BG1397" s="55" t="str">
        <f aca="false">IF(A1397="","",IF(BP1397=1,"Neu; ","")&amp;IF(AND(BP1397=0,BK1397&lt;0),"negativer Bestand (Export "&amp;BK1397&amp;"); ","")&amp;IF(J1397&lt;=0,"Kein Verbrauch; ","")&amp;IF(CH1397&gt;0,"Lift "&amp;W1397&amp;" lt. Liftbericht (Fach "&amp;X1397&amp;" Stk); ",IF(BU1397=1,"Gebinde geschätzt ("&amp;T1397&amp;"); ",IF(BT1397=1,"Lose – Tablare geschätzt; ","")))&amp;IF(H1397&gt;AR1397,"Überbestand "&amp;ROUND(H1397-AR1397,0)&amp;" Stk / CHF "&amp;ROUND((H1397-AR1397)*G1397,0)&amp;"; ","")&amp;IF(AND(CA1397=1,CB1397&lt;CC1397),"MAX &lt; MB+LG; ","")&amp;IF(AND(CG1397&gt;0,CF1397*10&gt;CG1397),"zu hoch für Tablar; ","")&amp;IF(AND(BP1397=0,OR(CA1397=1,AA1397&lt;&gt;"",U1397&lt;&gt;"",V1397&lt;&gt;"",AB1397&lt;&gt;"")),"manuell übersteuert; ","")&amp;IF(AND(BT1397=0,R1397=0),"Gebinde unbekannt / Stellmass fehlt; ","")&amp;IF(AND(BT1397=0,N(V1397)&lt;=0,N(Q1397)&lt;=0),"Menge pro Gebinde fehlt (Ist = 1 Gebinde); ","")&amp;BO1397)</f>
        <v>negativer Bestand (Export -3); Lift 1 lt. Liftbericht (Fach 6 Stk); </v>
      </c>
      <c r="BH1397" s="55"/>
      <c r="BI1397" s="55"/>
      <c r="BJ1397" s="62"/>
      <c r="BK1397" s="57" t="n">
        <v>-3</v>
      </c>
      <c r="BL1397" s="57" t="n">
        <v>3</v>
      </c>
      <c r="BM1397" s="56" t="n">
        <v>-3942.66</v>
      </c>
      <c r="BN1397" s="57" t="n">
        <v>15</v>
      </c>
      <c r="BO1397" s="55"/>
      <c r="BP1397" s="60" t="n">
        <v>0</v>
      </c>
      <c r="BQ1397" s="60" t="n">
        <v>1397</v>
      </c>
      <c r="BR1397" s="55" t="str">
        <f aca="false">IF(U1397&lt;&gt;"",UPPER(TRIM(U1397)),IF(BU1397=1,UPPER(VLOOKUP(T1397,Parameter!$I$27:$K$29,2,0)),IF(P1397="","LOSE",P1397)))</f>
        <v>LOSE</v>
      </c>
      <c r="BS1397" s="57" t="n">
        <f aca="false">IF(BR1397="LOSE",1,IF(N(V1397)&gt;0,V1397,IF(BU1397=1,MAX(1,N(VLOOKUP(T1397,Parameter!$I$27:$K$29,3,0)),H1397,N(N1397)),IF(N(Q1397)&gt;0,Q1397,MAX(1,H1397)))))</f>
        <v>1</v>
      </c>
      <c r="BT1397" s="60" t="n">
        <f aca="false">IF(BR1397="LOSE",1,0)</f>
        <v>1</v>
      </c>
      <c r="BU1397" s="60" t="n">
        <f aca="false">IF(AND(U1397="",OR(P1397="",P1397="LOSE"),T1397&lt;&gt;"",N(S1397)&lt;=0,ISNUMBER(MATCH(T1397,Parameter!$I$27:$I$29,0))),1,0)</f>
        <v>0</v>
      </c>
      <c r="BV1397" s="55" t="n">
        <f aca="false">IF(AND(Parameter!$B$19="Ja",E1397&lt;&gt;"",ISNUMBER(MATCH(E1397,Parameter!$I$35:$I$52,0))),VLOOKUP(E1397,Parameter!$I$35:$J$52,2,0),IFERROR(VLOOKUP(D1397,Parameter!$A$35:$C$64,2,0),"Nein"))</f>
        <v>1</v>
      </c>
      <c r="BW1397" s="59" t="n">
        <f aca="false">IF(BT1397=0,0,IF(N(S1397)&gt;0,S1397,IFERROR(VLOOKUP(D1397,Parameter!$A$35:$C$64,3,0)+0,0)))</f>
        <v>1</v>
      </c>
      <c r="BX1397" s="55" t="n">
        <f aca="false">IF(AA1397&lt;&gt;"",AA1397,Z1397)</f>
        <v>1</v>
      </c>
      <c r="BY1397" s="55" t="str">
        <f aca="false">IF(BX1397=1,"L1",IF(OR(BX1397=2,BX1397=3),"L23",IF(BX1397="Aussen","Aussen","-")))</f>
        <v>L1</v>
      </c>
      <c r="BZ1397" s="66" t="n">
        <f aca="false">IF(N(AB1397)&gt;0,AB1397,0)</f>
        <v>0</v>
      </c>
      <c r="CA1397" s="60" t="n">
        <f aca="false">IF(ISNUMBER(AE1397),1,0)</f>
        <v>0</v>
      </c>
      <c r="CB1397" s="57" t="n">
        <f aca="false">N(AE1397)</f>
        <v>0</v>
      </c>
      <c r="CC1397" s="57" t="n">
        <f aca="false">N(M1397)+N(N1397)</f>
        <v>5</v>
      </c>
      <c r="CD1397" s="57" t="n">
        <f aca="false">ROUNDUP(H1397/BS1397,0)</f>
        <v>0</v>
      </c>
      <c r="CE1397" s="57" t="n">
        <f aca="false">ROUNDUP(CB1397/BS1397,0)</f>
        <v>0</v>
      </c>
      <c r="CF1397" s="60" t="n">
        <f aca="false">IF(BT1397=1,0,IFERROR(VLOOKUP(BR1397,'Gebinde-Kategorie'!$A$5:$M$45,5,0)+0,0))</f>
        <v>0</v>
      </c>
      <c r="CG1397" s="60" t="n">
        <f aca="false">IFERROR(IF(OR(BX1397=1,BX1397=2,BX1397=3),N(INDEX(Parameter!$I$5:$I$7,BX1397)),0),0)</f>
        <v>0</v>
      </c>
      <c r="CH1397" s="59" t="n">
        <f aca="false">IF(AND(Parameter!$B$21="Ja",ISNUMBER(W1397),N(X1397)&gt;0),IFERROR(N(INDEX(Parameter!$L$5:$L$7,W1397))*INDEX(Parameter!$E$5:$E$7,W1397)*X1397/SUMIFS($X$7:$X$1843,$W$7:$W$1843,W1397),0),0)</f>
        <v>0.480225988700565</v>
      </c>
    </row>
    <row r="1398" customFormat="false" ht="15" hidden="false" customHeight="false" outlineLevel="0" collapsed="false">
      <c r="A1398" s="55" t="s">
        <v>2457</v>
      </c>
      <c r="B1398" s="55" t="s">
        <v>2458</v>
      </c>
      <c r="C1398" s="55" t="s">
        <v>164</v>
      </c>
      <c r="D1398" s="55" t="s">
        <v>173</v>
      </c>
      <c r="E1398" s="55" t="s">
        <v>166</v>
      </c>
      <c r="F1398" s="55" t="s">
        <v>218</v>
      </c>
      <c r="G1398" s="56" t="n">
        <v>1024.61</v>
      </c>
      <c r="H1398" s="57" t="n">
        <f aca="false">MAX(0,IF(AND(Parameter!$B$21="Ja",ISNUMBER(Y1398)),Y1398,IF(Parameter!$B$20="Jahresanfang 2025 + Export",BL1398+BK1398,BK1398)))</f>
        <v>17</v>
      </c>
      <c r="I1398" s="57" t="n">
        <f aca="false">H1398*G1398</f>
        <v>17418.37</v>
      </c>
      <c r="J1398" s="57" t="n">
        <f aca="false">BN1398*Parameter!$B$18</f>
        <v>160</v>
      </c>
      <c r="K1398" s="58" t="n">
        <v>23</v>
      </c>
      <c r="L1398" s="59" t="n">
        <v>6.95652173913044</v>
      </c>
      <c r="M1398" s="57" t="n">
        <v>9</v>
      </c>
      <c r="N1398" s="57" t="n">
        <v>16</v>
      </c>
      <c r="O1398" s="60" t="n">
        <v>21</v>
      </c>
      <c r="P1398" s="55" t="s">
        <v>174</v>
      </c>
      <c r="Q1398" s="57" t="n">
        <v>36</v>
      </c>
      <c r="R1398" s="60" t="n">
        <f aca="false">IF(BT1398=1,0,IFERROR(VLOOKUP(BR1398,'Gebinde-Kategorie'!$A$5:$M$45,13,0)+0,0))</f>
        <v>6</v>
      </c>
      <c r="S1398" s="61"/>
      <c r="T1398" s="62"/>
      <c r="U1398" s="62"/>
      <c r="V1398" s="62"/>
      <c r="W1398" s="55"/>
      <c r="X1398" s="57"/>
      <c r="Y1398" s="57"/>
      <c r="Z1398" s="55" t="n">
        <f aca="false">IF(A1398="","",IF(AND(Parameter!$B$21="Ja",ISNUMBER(W1398)),W1398,IF(BV1398="2+3",IF(ISNUMBER(SEARCH("grosser Artikel",BO1398)),2,IFERROR(VLOOKUP(BR1398,Parameter!$F$35:$G$64,2,0),2)),IF(OR(BV1398="Nein",BV1398=""),"-",BV1398))))</f>
        <v>1</v>
      </c>
      <c r="AA1398" s="62"/>
      <c r="AB1398" s="63"/>
      <c r="AC1398" s="57" t="n">
        <f aca="false">AR1398</f>
        <v>108</v>
      </c>
      <c r="AD1398" s="57" t="n">
        <f aca="false">MAX(AR1398,H1398)</f>
        <v>108</v>
      </c>
      <c r="AE1398" s="64"/>
      <c r="AF1398" s="57" t="n">
        <f aca="false">IF(LEFT(Cockpit!$C$5,1)="A",H1398,IF(CA1398=1,CB1398,IF(LEFT(Cockpit!$C$5,1)="B",AJ1398,MAX(AJ1398,H1398))))</f>
        <v>17</v>
      </c>
      <c r="AG1398" s="57" t="n">
        <f aca="false">IF(BT1398=1,0,ROUNDUP(AF1398/BS1398,0))</f>
        <v>1</v>
      </c>
      <c r="AH1398" s="59" t="n">
        <f aca="false">IF(CH1398&gt;0,CH1398*MAX(1,AF1398/X1398),IF(BT1398=1,IF(AF1398&lt;=0,0,BW1398*MAX(1,IF(H1398&gt;0,AF1398/H1398,1))),IF(R1398&gt;0,AG1398/R1398,0))/MAX(0.1,N(Parameter!$M$21)))</f>
        <v>0.166666666666667</v>
      </c>
      <c r="AI1398" s="57" t="n">
        <f aca="false">AF1398*G1398</f>
        <v>17418.37</v>
      </c>
      <c r="AJ1398" s="57" t="n">
        <f aca="false">ROUNDUP(MAX(J1398/IF(BZ1398&gt;0,BZ1398,MAX(0.1,N(Cockpit!$C$6))),CC1398)/BS1398,0)*BS1398</f>
        <v>108</v>
      </c>
      <c r="AK1398" s="58" t="n">
        <f aca="false">IF(AH1398&gt;0,J1398/AH1398,-1)</f>
        <v>960</v>
      </c>
      <c r="AL1398" s="58" t="n">
        <f aca="false">IF(AND(OR(BY1398="L1",BY1398="L23"),AH1398&gt;0),SUMIFS($AH$7:$AH$1843,$BY$7:$BY$1843,BY1398,$AK$7:$AK$1843,"&gt;"&amp;AK1398)+SUMIFS($AH$7:$AH$1843,$BY$7:$BY$1843,BY1398,$AK$7:$AK$1843,AK1398,$BQ$7:$BQ$1843,"&lt;="&amp;BQ1398),"")</f>
        <v>0.500836120401338</v>
      </c>
      <c r="AM1398" s="65" t="n">
        <f aca="false">IF(AL1398="",0,MAX(0,MIN(1,(IF(BY1398="L1",Parameter!$E$5,Parameter!$E$6+Parameter!$E$7)-(AL1398-AH1398))/AH1398)))</f>
        <v>1</v>
      </c>
      <c r="AN1398" s="57" t="n">
        <f aca="false">IF(LEFT(Cockpit!$I$5,1)="A",H1398,IF(CA1398=1,CB1398,IF(LEFT(Cockpit!$I$5,1)="B",AR1398,MAX(AR1398,H1398))))</f>
        <v>108</v>
      </c>
      <c r="AO1398" s="57" t="n">
        <f aca="false">IF(BT1398=1,0,ROUNDUP(AN1398/BS1398,0))</f>
        <v>3</v>
      </c>
      <c r="AP1398" s="59" t="n">
        <f aca="false">IF(CH1398&gt;0,CH1398*MAX(1,AN1398/X1398),IF(BT1398=1,IF(AN1398&lt;=0,0,BW1398*MAX(1,IF(H1398&gt;0,AN1398/H1398,1))),IF(R1398&gt;0,AO1398/R1398,0))/MAX(0.1,N(Parameter!$M$21)))</f>
        <v>0.5</v>
      </c>
      <c r="AQ1398" s="57" t="n">
        <f aca="false">AN1398*G1398</f>
        <v>110657.88</v>
      </c>
      <c r="AR1398" s="57" t="n">
        <f aca="false">ROUNDUP(MAX(J1398/IF(BZ1398&gt;0,BZ1398,MAX(0.1,N(Cockpit!$I$6))),CC1398)/BS1398,0)*BS1398</f>
        <v>108</v>
      </c>
      <c r="AS1398" s="58" t="n">
        <f aca="false">IF(AP1398&gt;0,J1398/AP1398,-1)</f>
        <v>320</v>
      </c>
      <c r="AT1398" s="58" t="n">
        <f aca="false">IF(AND(OR(BY1398="L1",BY1398="L23"),AP1398&gt;0),SUMIFS($AP$7:$AP$1843,$BY$7:$BY$1843,BY1398,$AS$7:$AS$1843,"&gt;"&amp;AS1398)+SUMIFS($AP$7:$AP$1843,$BY$7:$BY$1843,BY1398,$AS$7:$AS$1843,AS1398,$BQ$7:$BQ$1843,"&lt;="&amp;BQ1398),"")</f>
        <v>1.82775919732441</v>
      </c>
      <c r="AU1398" s="65" t="n">
        <f aca="false">IF(AT1398="",0,MAX(0,MIN(1,(IF(BY1398="L1",Parameter!$E$5,Parameter!$E$6+Parameter!$E$7)-(AT1398-AP1398))/AP1398)))</f>
        <v>1</v>
      </c>
      <c r="AV1398" s="57" t="n">
        <f aca="false">IF(LEFT(Cockpit!$O$5,1)="A",H1398,IF(CA1398=1,CB1398,IF(LEFT(Cockpit!$O$5,1)="B",AZ1398,MAX(AZ1398,H1398))))</f>
        <v>72</v>
      </c>
      <c r="AW1398" s="57" t="n">
        <f aca="false">IF(BT1398=1,0,ROUNDUP(AV1398/BS1398,0))</f>
        <v>2</v>
      </c>
      <c r="AX1398" s="59" t="n">
        <f aca="false">IF(CH1398&gt;0,CH1398*MAX(1,AV1398/X1398),IF(BT1398=1,IF(AV1398&lt;=0,0,BW1398*MAX(1,IF(H1398&gt;0,AV1398/H1398,1))),IF(R1398&gt;0,AW1398/R1398,0))/MAX(0.1,N(Parameter!$M$21)))</f>
        <v>0.333333333333333</v>
      </c>
      <c r="AY1398" s="57" t="n">
        <f aca="false">AV1398*G1398</f>
        <v>73771.92</v>
      </c>
      <c r="AZ1398" s="57" t="n">
        <f aca="false">ROUNDUP(MAX(J1398/IF(BZ1398&gt;0,BZ1398,MAX(0.1,N(Cockpit!$O$6))),CC1398)/BS1398,0)*BS1398</f>
        <v>72</v>
      </c>
      <c r="BA1398" s="58" t="n">
        <f aca="false">IF(AX1398&gt;0,J1398/AX1398,-1)</f>
        <v>480</v>
      </c>
      <c r="BB1398" s="58" t="n">
        <f aca="false">IF(AND(OR(BY1398="L1",BY1398="L23"),AX1398&gt;0),SUMIFS($AX$7:$AX$1843,$BY$7:$BY$1843,BY1398,$BA$7:$BA$1843,"&gt;"&amp;BA1398)+SUMIFS($AX$7:$AX$1843,$BY$7:$BY$1843,BY1398,$BA$7:$BA$1843,BA1398,$BQ$7:$BQ$1843,"&lt;="&amp;BQ1398),"")</f>
        <v>1.33416945373467</v>
      </c>
      <c r="BC1398" s="65" t="n">
        <f aca="false">IF(BB1398="",0,MAX(0,MIN(1,(IF(BY1398="L1",Parameter!$E$5,Parameter!$E$6+Parameter!$E$7)-(BB1398-AX1398))/AX1398)))</f>
        <v>1</v>
      </c>
      <c r="BD1398" s="55" t="str">
        <f aca="false">IF(AH1398&lt;=0,"",IF(BY1398="Aussen","Aussenlager",IF(BY1398="-","Nicht im Lift",IF(AM1398&gt;=1,"Lift",IF(AM1398&lt;=0,"Aussenlager","teilweise")))))</f>
        <v>Lift</v>
      </c>
      <c r="BE1398" s="55" t="str">
        <f aca="false">IF(AP1398&lt;=0,"",IF(BY1398="Aussen","Aussenlager",IF(BY1398="-","Nicht im Lift",IF(AU1398&gt;=1,"Lift",IF(AU1398&lt;=0,"Aussenlager","teilweise")))))</f>
        <v>Lift</v>
      </c>
      <c r="BF1398" s="55" t="str">
        <f aca="false">IF(AX1398&lt;=0,"",IF(BY1398="Aussen","Aussenlager",IF(BY1398="-","Nicht im Lift",IF(BC1398&gt;=1,"Lift",IF(BC1398&lt;=0,"Aussenlager","teilweise")))))</f>
        <v>Lift</v>
      </c>
      <c r="BG1398" s="55" t="str">
        <f aca="false">IF(A1398="","",IF(BP1398=1,"Neu; ","")&amp;IF(AND(BP1398=0,BK1398&lt;0),"negativer Bestand (Export "&amp;BK1398&amp;"); ","")&amp;IF(J1398&lt;=0,"Kein Verbrauch; ","")&amp;IF(CH1398&gt;0,"Lift "&amp;W1398&amp;" lt. Liftbericht (Fach "&amp;X1398&amp;" Stk); ",IF(BU1398=1,"Gebinde geschätzt ("&amp;T1398&amp;"); ",IF(BT1398=1,"Lose – Tablare geschätzt; ","")))&amp;IF(H1398&gt;AR1398,"Überbestand "&amp;ROUND(H1398-AR1398,0)&amp;" Stk / CHF "&amp;ROUND((H1398-AR1398)*G1398,0)&amp;"; ","")&amp;IF(AND(CA1398=1,CB1398&lt;CC1398),"MAX &lt; MB+LG; ","")&amp;IF(AND(CG1398&gt;0,CF1398*10&gt;CG1398),"zu hoch für Tablar; ","")&amp;IF(AND(BP1398=0,OR(CA1398=1,AA1398&lt;&gt;"",U1398&lt;&gt;"",V1398&lt;&gt;"",AB1398&lt;&gt;"")),"manuell übersteuert; ","")&amp;IF(AND(BT1398=0,R1398=0),"Gebinde unbekannt / Stellmass fehlt; ","")&amp;IF(AND(BT1398=0,N(V1398)&lt;=0,N(Q1398)&lt;=0),"Menge pro Gebinde fehlt (Ist = 1 Gebinde); ","")&amp;BO1398)</f>
        <v>negativer Bestand (Export -6); </v>
      </c>
      <c r="BH1398" s="55"/>
      <c r="BI1398" s="55"/>
      <c r="BJ1398" s="62"/>
      <c r="BK1398" s="57" t="n">
        <v>-6</v>
      </c>
      <c r="BL1398" s="57" t="n">
        <v>23</v>
      </c>
      <c r="BM1398" s="56" t="n">
        <v>-4018.54999999997</v>
      </c>
      <c r="BN1398" s="57" t="n">
        <v>160</v>
      </c>
      <c r="BO1398" s="55"/>
      <c r="BP1398" s="60" t="n">
        <v>0</v>
      </c>
      <c r="BQ1398" s="60" t="n">
        <v>1398</v>
      </c>
      <c r="BR1398" s="55" t="str">
        <f aca="false">IF(U1398&lt;&gt;"",UPPER(TRIM(U1398)),IF(BU1398=1,UPPER(VLOOKUP(T1398,Parameter!$I$27:$K$29,2,0)),IF(P1398="","LOSE",P1398)))</f>
        <v>S71</v>
      </c>
      <c r="BS1398" s="57" t="n">
        <f aca="false">IF(BR1398="LOSE",1,IF(N(V1398)&gt;0,V1398,IF(BU1398=1,MAX(1,N(VLOOKUP(T1398,Parameter!$I$27:$K$29,3,0)),H1398,N(N1398)),IF(N(Q1398)&gt;0,Q1398,MAX(1,H1398)))))</f>
        <v>36</v>
      </c>
      <c r="BT1398" s="60" t="n">
        <f aca="false">IF(BR1398="LOSE",1,0)</f>
        <v>0</v>
      </c>
      <c r="BU1398" s="60" t="n">
        <f aca="false">IF(AND(U1398="",OR(P1398="",P1398="LOSE"),T1398&lt;&gt;"",N(S1398)&lt;=0,ISNUMBER(MATCH(T1398,Parameter!$I$27:$I$29,0))),1,0)</f>
        <v>0</v>
      </c>
      <c r="BV1398" s="55" t="n">
        <f aca="false">IF(AND(Parameter!$B$19="Ja",E1398&lt;&gt;"",ISNUMBER(MATCH(E1398,Parameter!$I$35:$I$52,0))),VLOOKUP(E1398,Parameter!$I$35:$J$52,2,0),IFERROR(VLOOKUP(D1398,Parameter!$A$35:$C$64,2,0),"Nein"))</f>
        <v>1</v>
      </c>
      <c r="BW1398" s="59" t="n">
        <f aca="false">IF(BT1398=0,0,IF(N(S1398)&gt;0,S1398,IFERROR(VLOOKUP(D1398,Parameter!$A$35:$C$64,3,0)+0,0)))</f>
        <v>0</v>
      </c>
      <c r="BX1398" s="55" t="n">
        <f aca="false">IF(AA1398&lt;&gt;"",AA1398,Z1398)</f>
        <v>1</v>
      </c>
      <c r="BY1398" s="55" t="str">
        <f aca="false">IF(BX1398=1,"L1",IF(OR(BX1398=2,BX1398=3),"L23",IF(BX1398="Aussen","Aussen","-")))</f>
        <v>L1</v>
      </c>
      <c r="BZ1398" s="66" t="n">
        <f aca="false">IF(N(AB1398)&gt;0,AB1398,0)</f>
        <v>0</v>
      </c>
      <c r="CA1398" s="60" t="n">
        <f aca="false">IF(ISNUMBER(AE1398),1,0)</f>
        <v>0</v>
      </c>
      <c r="CB1398" s="57" t="n">
        <f aca="false">N(AE1398)</f>
        <v>0</v>
      </c>
      <c r="CC1398" s="57" t="n">
        <f aca="false">N(M1398)+N(N1398)</f>
        <v>25</v>
      </c>
      <c r="CD1398" s="57" t="n">
        <f aca="false">ROUNDUP(H1398/BS1398,0)</f>
        <v>1</v>
      </c>
      <c r="CE1398" s="57" t="n">
        <f aca="false">ROUNDUP(CB1398/BS1398,0)</f>
        <v>0</v>
      </c>
      <c r="CF1398" s="60" t="n">
        <f aca="false">IF(BT1398=1,0,IFERROR(VLOOKUP(BR1398,'Gebinde-Kategorie'!$A$5:$M$45,5,0)+0,0))</f>
        <v>20</v>
      </c>
      <c r="CG1398" s="60" t="n">
        <f aca="false">IFERROR(IF(OR(BX1398=1,BX1398=2,BX1398=3),N(INDEX(Parameter!$I$5:$I$7,BX1398)),0),0)</f>
        <v>0</v>
      </c>
      <c r="CH1398" s="59" t="n">
        <f aca="false">IF(AND(Parameter!$B$21="Ja",ISNUMBER(W1398),N(X1398)&gt;0),IFERROR(N(INDEX(Parameter!$L$5:$L$7,W1398))*INDEX(Parameter!$E$5:$E$7,W1398)*X1398/SUMIFS($X$7:$X$1843,$W$7:$W$1843,W1398),0),0)</f>
        <v>0</v>
      </c>
    </row>
    <row r="1399" customFormat="false" ht="15" hidden="false" customHeight="false" outlineLevel="0" collapsed="false">
      <c r="A1399" s="55" t="s">
        <v>2459</v>
      </c>
      <c r="B1399" s="55" t="s">
        <v>2460</v>
      </c>
      <c r="C1399" s="55" t="s">
        <v>164</v>
      </c>
      <c r="D1399" s="55" t="s">
        <v>173</v>
      </c>
      <c r="E1399" s="55"/>
      <c r="F1399" s="55" t="s">
        <v>218</v>
      </c>
      <c r="G1399" s="56" t="n">
        <v>2012.56</v>
      </c>
      <c r="H1399" s="57" t="n">
        <f aca="false">MAX(0,IF(AND(Parameter!$B$21="Ja",ISNUMBER(Y1399)),Y1399,IF(Parameter!$B$20="Jahresanfang 2025 + Export",BL1399+BK1399,BK1399)))</f>
        <v>14</v>
      </c>
      <c r="I1399" s="57" t="n">
        <f aca="false">H1399*G1399</f>
        <v>28175.84</v>
      </c>
      <c r="J1399" s="57" t="n">
        <f aca="false">BN1399*Parameter!$B$18</f>
        <v>1</v>
      </c>
      <c r="K1399" s="58" t="n">
        <v>15.5</v>
      </c>
      <c r="L1399" s="59" t="n">
        <v>0.0645161290322581</v>
      </c>
      <c r="M1399" s="57" t="n">
        <v>0</v>
      </c>
      <c r="N1399" s="57" t="n">
        <v>1</v>
      </c>
      <c r="O1399" s="60" t="n">
        <v>112</v>
      </c>
      <c r="P1399" s="55" t="s">
        <v>174</v>
      </c>
      <c r="Q1399" s="57" t="n">
        <v>14</v>
      </c>
      <c r="R1399" s="60" t="n">
        <f aca="false">IF(BT1399=1,0,IFERROR(VLOOKUP(BR1399,'Gebinde-Kategorie'!$A$5:$M$45,13,0)+0,0))</f>
        <v>6</v>
      </c>
      <c r="S1399" s="61"/>
      <c r="T1399" s="62"/>
      <c r="U1399" s="62"/>
      <c r="V1399" s="62"/>
      <c r="W1399" s="55"/>
      <c r="X1399" s="57"/>
      <c r="Y1399" s="57"/>
      <c r="Z1399" s="55" t="n">
        <f aca="false">IF(A1399="","",IF(AND(Parameter!$B$21="Ja",ISNUMBER(W1399)),W1399,IF(BV1399="2+3",IF(ISNUMBER(SEARCH("grosser Artikel",BO1399)),2,IFERROR(VLOOKUP(BR1399,Parameter!$F$35:$G$64,2,0),2)),IF(OR(BV1399="Nein",BV1399=""),"-",BV1399))))</f>
        <v>2</v>
      </c>
      <c r="AA1399" s="62"/>
      <c r="AB1399" s="63"/>
      <c r="AC1399" s="57" t="n">
        <f aca="false">AR1399</f>
        <v>14</v>
      </c>
      <c r="AD1399" s="57" t="n">
        <f aca="false">MAX(AR1399,H1399)</f>
        <v>14</v>
      </c>
      <c r="AE1399" s="64"/>
      <c r="AF1399" s="57" t="n">
        <f aca="false">IF(LEFT(Cockpit!$C$5,1)="A",H1399,IF(CA1399=1,CB1399,IF(LEFT(Cockpit!$C$5,1)="B",AJ1399,MAX(AJ1399,H1399))))</f>
        <v>14</v>
      </c>
      <c r="AG1399" s="57" t="n">
        <f aca="false">IF(BT1399=1,0,ROUNDUP(AF1399/BS1399,0))</f>
        <v>1</v>
      </c>
      <c r="AH1399" s="59" t="n">
        <f aca="false">IF(CH1399&gt;0,CH1399*MAX(1,AF1399/X1399),IF(BT1399=1,IF(AF1399&lt;=0,0,BW1399*MAX(1,IF(H1399&gt;0,AF1399/H1399,1))),IF(R1399&gt;0,AG1399/R1399,0))/MAX(0.1,N(Parameter!$M$21)))</f>
        <v>0.166666666666667</v>
      </c>
      <c r="AI1399" s="57" t="n">
        <f aca="false">AF1399*G1399</f>
        <v>28175.84</v>
      </c>
      <c r="AJ1399" s="57" t="n">
        <f aca="false">ROUNDUP(MAX(J1399/IF(BZ1399&gt;0,BZ1399,MAX(0.1,N(Cockpit!$C$6))),CC1399)/BS1399,0)*BS1399</f>
        <v>14</v>
      </c>
      <c r="AK1399" s="58" t="n">
        <f aca="false">IF(AH1399&gt;0,J1399/AH1399,-1)</f>
        <v>6</v>
      </c>
      <c r="AL1399" s="58" t="n">
        <f aca="false">IF(AND(OR(BY1399="L1",BY1399="L23"),AH1399&gt;0),SUMIFS($AH$7:$AH$1843,$BY$7:$BY$1843,BY1399,$AK$7:$AK$1843,"&gt;"&amp;AK1399)+SUMIFS($AH$7:$AH$1843,$BY$7:$BY$1843,BY1399,$AK$7:$AK$1843,AK1399,$BQ$7:$BQ$1843,"&lt;="&amp;BQ1399),"")</f>
        <v>58.1458734502213</v>
      </c>
      <c r="AM1399" s="65" t="n">
        <f aca="false">IF(AL1399="",0,MAX(0,MIN(1,(IF(BY1399="L1",Parameter!$E$5,Parameter!$E$6+Parameter!$E$7)-(AL1399-AH1399))/AH1399)))</f>
        <v>1</v>
      </c>
      <c r="AN1399" s="57" t="n">
        <f aca="false">IF(LEFT(Cockpit!$I$5,1)="A",H1399,IF(CA1399=1,CB1399,IF(LEFT(Cockpit!$I$5,1)="B",AR1399,MAX(AR1399,H1399))))</f>
        <v>14</v>
      </c>
      <c r="AO1399" s="57" t="n">
        <f aca="false">IF(BT1399=1,0,ROUNDUP(AN1399/BS1399,0))</f>
        <v>1</v>
      </c>
      <c r="AP1399" s="59" t="n">
        <f aca="false">IF(CH1399&gt;0,CH1399*MAX(1,AN1399/X1399),IF(BT1399=1,IF(AN1399&lt;=0,0,BW1399*MAX(1,IF(H1399&gt;0,AN1399/H1399,1))),IF(R1399&gt;0,AO1399/R1399,0))/MAX(0.1,N(Parameter!$M$21)))</f>
        <v>0.166666666666667</v>
      </c>
      <c r="AQ1399" s="57" t="n">
        <f aca="false">AN1399*G1399</f>
        <v>28175.84</v>
      </c>
      <c r="AR1399" s="57" t="n">
        <f aca="false">ROUNDUP(MAX(J1399/IF(BZ1399&gt;0,BZ1399,MAX(0.1,N(Cockpit!$I$6))),CC1399)/BS1399,0)*BS1399</f>
        <v>14</v>
      </c>
      <c r="AS1399" s="58" t="n">
        <f aca="false">IF(AP1399&gt;0,J1399/AP1399,-1)</f>
        <v>6</v>
      </c>
      <c r="AT1399" s="58" t="n">
        <f aca="false">IF(AND(OR(BY1399="L1",BY1399="L23"),AP1399&gt;0),SUMIFS($AP$7:$AP$1843,$BY$7:$BY$1843,BY1399,$AS$7:$AS$1843,"&gt;"&amp;AS1399)+SUMIFS($AP$7:$AP$1843,$BY$7:$BY$1843,BY1399,$AS$7:$AS$1843,AS1399,$BQ$7:$BQ$1843,"&lt;="&amp;BQ1399),"")</f>
        <v>95.569997635215</v>
      </c>
      <c r="AU1399" s="65" t="n">
        <f aca="false">IF(AT1399="",0,MAX(0,MIN(1,(IF(BY1399="L1",Parameter!$E$5,Parameter!$E$6+Parameter!$E$7)-(AT1399-AP1399))/AP1399)))</f>
        <v>1</v>
      </c>
      <c r="AV1399" s="57" t="n">
        <f aca="false">IF(LEFT(Cockpit!$O$5,1)="A",H1399,IF(CA1399=1,CB1399,IF(LEFT(Cockpit!$O$5,1)="B",AZ1399,MAX(AZ1399,H1399))))</f>
        <v>14</v>
      </c>
      <c r="AW1399" s="57" t="n">
        <f aca="false">IF(BT1399=1,0,ROUNDUP(AV1399/BS1399,0))</f>
        <v>1</v>
      </c>
      <c r="AX1399" s="59" t="n">
        <f aca="false">IF(CH1399&gt;0,CH1399*MAX(1,AV1399/X1399),IF(BT1399=1,IF(AV1399&lt;=0,0,BW1399*MAX(1,IF(H1399&gt;0,AV1399/H1399,1))),IF(R1399&gt;0,AW1399/R1399,0))/MAX(0.1,N(Parameter!$M$21)))</f>
        <v>0.166666666666667</v>
      </c>
      <c r="AY1399" s="57" t="n">
        <f aca="false">AV1399*G1399</f>
        <v>28175.84</v>
      </c>
      <c r="AZ1399" s="57" t="n">
        <f aca="false">ROUNDUP(MAX(J1399/IF(BZ1399&gt;0,BZ1399,MAX(0.1,N(Cockpit!$O$6))),CC1399)/BS1399,0)*BS1399</f>
        <v>14</v>
      </c>
      <c r="BA1399" s="58" t="n">
        <f aca="false">IF(AX1399&gt;0,J1399/AX1399,-1)</f>
        <v>6</v>
      </c>
      <c r="BB1399" s="58" t="n">
        <f aca="false">IF(AND(OR(BY1399="L1",BY1399="L23"),AX1399&gt;0),SUMIFS($AX$7:$AX$1843,$BY$7:$BY$1843,BY1399,$BA$7:$BA$1843,"&gt;"&amp;BA1399)+SUMIFS($AX$7:$AX$1843,$BY$7:$BY$1843,BY1399,$BA$7:$BA$1843,BA1399,$BQ$7:$BQ$1843,"&lt;="&amp;BQ1399),"")</f>
        <v>86.3998344650519</v>
      </c>
      <c r="BC1399" s="65" t="n">
        <f aca="false">IF(BB1399="",0,MAX(0,MIN(1,(IF(BY1399="L1",Parameter!$E$5,Parameter!$E$6+Parameter!$E$7)-(BB1399-AX1399))/AX1399)))</f>
        <v>1</v>
      </c>
      <c r="BD1399" s="55" t="str">
        <f aca="false">IF(AH1399&lt;=0,"",IF(BY1399="Aussen","Aussenlager",IF(BY1399="-","Nicht im Lift",IF(AM1399&gt;=1,"Lift",IF(AM1399&lt;=0,"Aussenlager","teilweise")))))</f>
        <v>Lift</v>
      </c>
      <c r="BE1399" s="55" t="str">
        <f aca="false">IF(AP1399&lt;=0,"",IF(BY1399="Aussen","Aussenlager",IF(BY1399="-","Nicht im Lift",IF(AU1399&gt;=1,"Lift",IF(AU1399&lt;=0,"Aussenlager","teilweise")))))</f>
        <v>Lift</v>
      </c>
      <c r="BF1399" s="55" t="str">
        <f aca="false">IF(AX1399&lt;=0,"",IF(BY1399="Aussen","Aussenlager",IF(BY1399="-","Nicht im Lift",IF(BC1399&gt;=1,"Lift",IF(BC1399&lt;=0,"Aussenlager","teilweise")))))</f>
        <v>Lift</v>
      </c>
      <c r="BG1399" s="55" t="str">
        <f aca="false">IF(A1399="","",IF(BP1399=1,"Neu; ","")&amp;IF(AND(BP1399=0,BK1399&lt;0),"negativer Bestand (Export "&amp;BK1399&amp;"); ","")&amp;IF(J1399&lt;=0,"Kein Verbrauch; ","")&amp;IF(CH1399&gt;0,"Lift "&amp;W1399&amp;" lt. Liftbericht (Fach "&amp;X1399&amp;" Stk); ",IF(BU1399=1,"Gebinde geschätzt ("&amp;T1399&amp;"); ",IF(BT1399=1,"Lose – Tablare geschätzt; ","")))&amp;IF(H1399&gt;AR1399,"Überbestand "&amp;ROUND(H1399-AR1399,0)&amp;" Stk / CHF "&amp;ROUND((H1399-AR1399)*G1399,0)&amp;"; ","")&amp;IF(AND(CA1399=1,CB1399&lt;CC1399),"MAX &lt; MB+LG; ","")&amp;IF(AND(CG1399&gt;0,CF1399*10&gt;CG1399),"zu hoch für Tablar; ","")&amp;IF(AND(BP1399=0,OR(CA1399=1,AA1399&lt;&gt;"",U1399&lt;&gt;"",V1399&lt;&gt;"",AB1399&lt;&gt;"")),"manuell übersteuert; ","")&amp;IF(AND(BT1399=0,R1399=0),"Gebinde unbekannt / Stellmass fehlt; ","")&amp;IF(AND(BT1399=0,N(V1399)&lt;=0,N(Q1399)&lt;=0),"Menge pro Gebinde fehlt (Ist = 1 Gebinde); ","")&amp;BO1399)</f>
        <v>negativer Bestand (Export -2); </v>
      </c>
      <c r="BH1399" s="55"/>
      <c r="BI1399" s="55"/>
      <c r="BJ1399" s="62"/>
      <c r="BK1399" s="57" t="n">
        <v>-2</v>
      </c>
      <c r="BL1399" s="57" t="n">
        <v>16</v>
      </c>
      <c r="BM1399" s="56" t="n">
        <v>-4025.12</v>
      </c>
      <c r="BN1399" s="57" t="n">
        <v>1</v>
      </c>
      <c r="BO1399" s="55"/>
      <c r="BP1399" s="60" t="n">
        <v>0</v>
      </c>
      <c r="BQ1399" s="60" t="n">
        <v>1399</v>
      </c>
      <c r="BR1399" s="55" t="str">
        <f aca="false">IF(U1399&lt;&gt;"",UPPER(TRIM(U1399)),IF(BU1399=1,UPPER(VLOOKUP(T1399,Parameter!$I$27:$K$29,2,0)),IF(P1399="","LOSE",P1399)))</f>
        <v>S71</v>
      </c>
      <c r="BS1399" s="57" t="n">
        <f aca="false">IF(BR1399="LOSE",1,IF(N(V1399)&gt;0,V1399,IF(BU1399=1,MAX(1,N(VLOOKUP(T1399,Parameter!$I$27:$K$29,3,0)),H1399,N(N1399)),IF(N(Q1399)&gt;0,Q1399,MAX(1,H1399)))))</f>
        <v>14</v>
      </c>
      <c r="BT1399" s="60" t="n">
        <f aca="false">IF(BR1399="LOSE",1,0)</f>
        <v>0</v>
      </c>
      <c r="BU1399" s="60" t="n">
        <f aca="false">IF(AND(U1399="",OR(P1399="",P1399="LOSE"),T1399&lt;&gt;"",N(S1399)&lt;=0,ISNUMBER(MATCH(T1399,Parameter!$I$27:$I$29,0))),1,0)</f>
        <v>0</v>
      </c>
      <c r="BV1399" s="55" t="str">
        <f aca="false">IF(AND(Parameter!$B$19="Ja",E1399&lt;&gt;"",ISNUMBER(MATCH(E1399,Parameter!$I$35:$I$52,0))),VLOOKUP(E1399,Parameter!$I$35:$J$52,2,0),IFERROR(VLOOKUP(D1399,Parameter!$A$35:$C$64,2,0),"Nein"))</f>
        <v>2+3</v>
      </c>
      <c r="BW1399" s="59" t="n">
        <f aca="false">IF(BT1399=0,0,IF(N(S1399)&gt;0,S1399,IFERROR(VLOOKUP(D1399,Parameter!$A$35:$C$64,3,0)+0,0)))</f>
        <v>0</v>
      </c>
      <c r="BX1399" s="55" t="n">
        <f aca="false">IF(AA1399&lt;&gt;"",AA1399,Z1399)</f>
        <v>2</v>
      </c>
      <c r="BY1399" s="55" t="str">
        <f aca="false">IF(BX1399=1,"L1",IF(OR(BX1399=2,BX1399=3),"L23",IF(BX1399="Aussen","Aussen","-")))</f>
        <v>L23</v>
      </c>
      <c r="BZ1399" s="66" t="n">
        <f aca="false">IF(N(AB1399)&gt;0,AB1399,0)</f>
        <v>0</v>
      </c>
      <c r="CA1399" s="60" t="n">
        <f aca="false">IF(ISNUMBER(AE1399),1,0)</f>
        <v>0</v>
      </c>
      <c r="CB1399" s="57" t="n">
        <f aca="false">N(AE1399)</f>
        <v>0</v>
      </c>
      <c r="CC1399" s="57" t="n">
        <f aca="false">N(M1399)+N(N1399)</f>
        <v>1</v>
      </c>
      <c r="CD1399" s="57" t="n">
        <f aca="false">ROUNDUP(H1399/BS1399,0)</f>
        <v>1</v>
      </c>
      <c r="CE1399" s="57" t="n">
        <f aca="false">ROUNDUP(CB1399/BS1399,0)</f>
        <v>0</v>
      </c>
      <c r="CF1399" s="60" t="n">
        <f aca="false">IF(BT1399=1,0,IFERROR(VLOOKUP(BR1399,'Gebinde-Kategorie'!$A$5:$M$45,5,0)+0,0))</f>
        <v>20</v>
      </c>
      <c r="CG1399" s="60" t="n">
        <f aca="false">IFERROR(IF(OR(BX1399=1,BX1399=2,BX1399=3),N(INDEX(Parameter!$I$5:$I$7,BX1399)),0),0)</f>
        <v>0</v>
      </c>
      <c r="CH1399" s="59" t="n">
        <f aca="false">IF(AND(Parameter!$B$21="Ja",ISNUMBER(W1399),N(X1399)&gt;0),IFERROR(N(INDEX(Parameter!$L$5:$L$7,W1399))*INDEX(Parameter!$E$5:$E$7,W1399)*X1399/SUMIFS($X$7:$X$1843,$W$7:$W$1843,W1399),0),0)</f>
        <v>0</v>
      </c>
    </row>
    <row r="1400" customFormat="false" ht="15" hidden="false" customHeight="false" outlineLevel="0" collapsed="false">
      <c r="A1400" s="55" t="s">
        <v>2461</v>
      </c>
      <c r="B1400" s="55" t="s">
        <v>431</v>
      </c>
      <c r="C1400" s="55" t="s">
        <v>164</v>
      </c>
      <c r="D1400" s="55" t="s">
        <v>184</v>
      </c>
      <c r="E1400" s="55" t="s">
        <v>185</v>
      </c>
      <c r="F1400" s="55" t="s">
        <v>218</v>
      </c>
      <c r="G1400" s="56" t="n">
        <v>374.8</v>
      </c>
      <c r="H1400" s="57" t="n">
        <f aca="false">MAX(0,IF(AND(Parameter!$B$21="Ja",ISNUMBER(Y1400)),Y1400,IF(Parameter!$B$20="Jahresanfang 2025 + Export",BL1400+BK1400,BK1400)))</f>
        <v>0</v>
      </c>
      <c r="I1400" s="57" t="n">
        <f aca="false">H1400*G1400</f>
        <v>0</v>
      </c>
      <c r="J1400" s="57" t="n">
        <f aca="false">BN1400*Parameter!$B$18</f>
        <v>0</v>
      </c>
      <c r="K1400" s="58" t="n">
        <v>11</v>
      </c>
      <c r="L1400" s="59" t="n">
        <v>0</v>
      </c>
      <c r="M1400" s="57" t="n">
        <v>0</v>
      </c>
      <c r="N1400" s="57" t="n">
        <v>1</v>
      </c>
      <c r="O1400" s="60" t="n">
        <v>56</v>
      </c>
      <c r="P1400" s="55" t="s">
        <v>233</v>
      </c>
      <c r="Q1400" s="57" t="n">
        <v>10</v>
      </c>
      <c r="R1400" s="60" t="n">
        <f aca="false">IF(BT1400=1,0,IFERROR(VLOOKUP(BR1400,'Gebinde-Kategorie'!$A$5:$M$45,13,0)+0,0))</f>
        <v>26</v>
      </c>
      <c r="S1400" s="61"/>
      <c r="T1400" s="62"/>
      <c r="U1400" s="62"/>
      <c r="V1400" s="62"/>
      <c r="W1400" s="55"/>
      <c r="X1400" s="57"/>
      <c r="Y1400" s="57"/>
      <c r="Z1400" s="55" t="n">
        <f aca="false">IF(A1400="","",IF(AND(Parameter!$B$21="Ja",ISNUMBER(W1400)),W1400,IF(BV1400="2+3",IF(ISNUMBER(SEARCH("grosser Artikel",BO1400)),2,IFERROR(VLOOKUP(BR1400,Parameter!$F$35:$G$64,2,0),2)),IF(OR(BV1400="Nein",BV1400=""),"-",BV1400))))</f>
        <v>3</v>
      </c>
      <c r="AA1400" s="62"/>
      <c r="AB1400" s="63"/>
      <c r="AC1400" s="57" t="n">
        <f aca="false">AR1400</f>
        <v>10</v>
      </c>
      <c r="AD1400" s="57" t="n">
        <f aca="false">MAX(AR1400,H1400)</f>
        <v>10</v>
      </c>
      <c r="AE1400" s="64"/>
      <c r="AF1400" s="57" t="n">
        <f aca="false">IF(LEFT(Cockpit!$C$5,1)="A",H1400,IF(CA1400=1,CB1400,IF(LEFT(Cockpit!$C$5,1)="B",AJ1400,MAX(AJ1400,H1400))))</f>
        <v>0</v>
      </c>
      <c r="AG1400" s="57" t="n">
        <f aca="false">IF(BT1400=1,0,ROUNDUP(AF1400/BS1400,0))</f>
        <v>0</v>
      </c>
      <c r="AH1400" s="59" t="n">
        <f aca="false">IF(CH1400&gt;0,CH1400*MAX(1,AF1400/X1400),IF(BT1400=1,IF(AF1400&lt;=0,0,BW1400*MAX(1,IF(H1400&gt;0,AF1400/H1400,1))),IF(R1400&gt;0,AG1400/R1400,0))/MAX(0.1,N(Parameter!$M$21)))</f>
        <v>0</v>
      </c>
      <c r="AI1400" s="57" t="n">
        <f aca="false">AF1400*G1400</f>
        <v>0</v>
      </c>
      <c r="AJ1400" s="57" t="n">
        <f aca="false">ROUNDUP(MAX(J1400/IF(BZ1400&gt;0,BZ1400,MAX(0.1,N(Cockpit!$C$6))),CC1400)/BS1400,0)*BS1400</f>
        <v>10</v>
      </c>
      <c r="AK1400" s="58" t="n">
        <f aca="false">IF(AH1400&gt;0,J1400/AH1400,-1)</f>
        <v>-1</v>
      </c>
      <c r="AL1400" s="58" t="str">
        <f aca="false">IF(AND(OR(BY1400="L1",BY1400="L23"),AH1400&gt;0),SUMIFS($AH$7:$AH$1843,$BY$7:$BY$1843,BY1400,$AK$7:$AK$1843,"&gt;"&amp;AK1400)+SUMIFS($AH$7:$AH$1843,$BY$7:$BY$1843,BY1400,$AK$7:$AK$1843,AK1400,$BQ$7:$BQ$1843,"&lt;="&amp;BQ1400),"")</f>
        <v/>
      </c>
      <c r="AM1400" s="65" t="n">
        <f aca="false">IF(AL1400="",0,MAX(0,MIN(1,(IF(BY1400="L1",Parameter!$E$5,Parameter!$E$6+Parameter!$E$7)-(AL1400-AH1400))/AH1400)))</f>
        <v>0</v>
      </c>
      <c r="AN1400" s="57" t="n">
        <f aca="false">IF(LEFT(Cockpit!$I$5,1)="A",H1400,IF(CA1400=1,CB1400,IF(LEFT(Cockpit!$I$5,1)="B",AR1400,MAX(AR1400,H1400))))</f>
        <v>10</v>
      </c>
      <c r="AO1400" s="57" t="n">
        <f aca="false">IF(BT1400=1,0,ROUNDUP(AN1400/BS1400,0))</f>
        <v>1</v>
      </c>
      <c r="AP1400" s="59" t="n">
        <f aca="false">IF(CH1400&gt;0,CH1400*MAX(1,AN1400/X1400),IF(BT1400=1,IF(AN1400&lt;=0,0,BW1400*MAX(1,IF(H1400&gt;0,AN1400/H1400,1))),IF(R1400&gt;0,AO1400/R1400,0))/MAX(0.1,N(Parameter!$M$21)))</f>
        <v>0.0384615384615385</v>
      </c>
      <c r="AQ1400" s="57" t="n">
        <f aca="false">AN1400*G1400</f>
        <v>3748</v>
      </c>
      <c r="AR1400" s="57" t="n">
        <f aca="false">ROUNDUP(MAX(J1400/IF(BZ1400&gt;0,BZ1400,MAX(0.1,N(Cockpit!$I$6))),CC1400)/BS1400,0)*BS1400</f>
        <v>10</v>
      </c>
      <c r="AS1400" s="58" t="n">
        <f aca="false">IF(AP1400&gt;0,J1400/AP1400,-1)</f>
        <v>0</v>
      </c>
      <c r="AT1400" s="58" t="n">
        <f aca="false">IF(AND(OR(BY1400="L1",BY1400="L23"),AP1400&gt;0),SUMIFS($AP$7:$AP$1843,$BY$7:$BY$1843,BY1400,$AS$7:$AS$1843,"&gt;"&amp;AS1400)+SUMIFS($AP$7:$AP$1843,$BY$7:$BY$1843,BY1400,$AS$7:$AS$1843,AS1400,$BQ$7:$BQ$1843,"&lt;="&amp;BQ1400),"")</f>
        <v>125.567869328739</v>
      </c>
      <c r="AU1400" s="65" t="n">
        <f aca="false">IF(AT1400="",0,MAX(0,MIN(1,(IF(BY1400="L1",Parameter!$E$5,Parameter!$E$6+Parameter!$E$7)-(AT1400-AP1400))/AP1400)))</f>
        <v>0</v>
      </c>
      <c r="AV1400" s="57" t="n">
        <f aca="false">IF(LEFT(Cockpit!$O$5,1)="A",H1400,IF(CA1400=1,CB1400,IF(LEFT(Cockpit!$O$5,1)="B",AZ1400,MAX(AZ1400,H1400))))</f>
        <v>10</v>
      </c>
      <c r="AW1400" s="57" t="n">
        <f aca="false">IF(BT1400=1,0,ROUNDUP(AV1400/BS1400,0))</f>
        <v>1</v>
      </c>
      <c r="AX1400" s="59" t="n">
        <f aca="false">IF(CH1400&gt;0,CH1400*MAX(1,AV1400/X1400),IF(BT1400=1,IF(AV1400&lt;=0,0,BW1400*MAX(1,IF(H1400&gt;0,AV1400/H1400,1))),IF(R1400&gt;0,AW1400/R1400,0))/MAX(0.1,N(Parameter!$M$21)))</f>
        <v>0.0384615384615385</v>
      </c>
      <c r="AY1400" s="57" t="n">
        <f aca="false">AV1400*G1400</f>
        <v>3748</v>
      </c>
      <c r="AZ1400" s="57" t="n">
        <f aca="false">ROUNDUP(MAX(J1400/IF(BZ1400&gt;0,BZ1400,MAX(0.1,N(Cockpit!$O$6))),CC1400)/BS1400,0)*BS1400</f>
        <v>10</v>
      </c>
      <c r="BA1400" s="58" t="n">
        <f aca="false">IF(AX1400&gt;0,J1400/AX1400,-1)</f>
        <v>0</v>
      </c>
      <c r="BB1400" s="58" t="n">
        <f aca="false">IF(AND(OR(BY1400="L1",BY1400="L23"),AX1400&gt;0),SUMIFS($AX$7:$AX$1843,$BY$7:$BY$1843,BY1400,$BA$7:$BA$1843,"&gt;"&amp;BA1400)+SUMIFS($AX$7:$AX$1843,$BY$7:$BY$1843,BY1400,$BA$7:$BA$1843,BA1400,$BQ$7:$BQ$1843,"&lt;="&amp;BQ1400),"")</f>
        <v>116.397706158576</v>
      </c>
      <c r="BC1400" s="65" t="n">
        <f aca="false">IF(BB1400="",0,MAX(0,MIN(1,(IF(BY1400="L1",Parameter!$E$5,Parameter!$E$6+Parameter!$E$7)-(BB1400-AX1400))/AX1400)))</f>
        <v>0</v>
      </c>
      <c r="BD1400" s="55" t="str">
        <f aca="false">IF(AH1400&lt;=0,"",IF(BY1400="Aussen","Aussenlager",IF(BY1400="-","Nicht im Lift",IF(AM1400&gt;=1,"Lift",IF(AM1400&lt;=0,"Aussenlager","teilweise")))))</f>
        <v/>
      </c>
      <c r="BE1400" s="55" t="str">
        <f aca="false">IF(AP1400&lt;=0,"",IF(BY1400="Aussen","Aussenlager",IF(BY1400="-","Nicht im Lift",IF(AU1400&gt;=1,"Lift",IF(AU1400&lt;=0,"Aussenlager","teilweise")))))</f>
        <v>Aussenlager</v>
      </c>
      <c r="BF1400" s="55" t="str">
        <f aca="false">IF(AX1400&lt;=0,"",IF(BY1400="Aussen","Aussenlager",IF(BY1400="-","Nicht im Lift",IF(BC1400&gt;=1,"Lift",IF(BC1400&lt;=0,"Aussenlager","teilweise")))))</f>
        <v>Aussenlager</v>
      </c>
      <c r="BG1400" s="55" t="str">
        <f aca="false">IF(A1400="","",IF(BP1400=1,"Neu; ","")&amp;IF(AND(BP1400=0,BK1400&lt;0),"negativer Bestand (Export "&amp;BK1400&amp;"); ","")&amp;IF(J1400&lt;=0,"Kein Verbrauch; ","")&amp;IF(CH1400&gt;0,"Lift "&amp;W1400&amp;" lt. Liftbericht (Fach "&amp;X1400&amp;" Stk); ",IF(BU1400=1,"Gebinde geschätzt ("&amp;T1400&amp;"); ",IF(BT1400=1,"Lose – Tablare geschätzt; ","")))&amp;IF(H1400&gt;AR1400,"Überbestand "&amp;ROUND(H1400-AR1400,0)&amp;" Stk / CHF "&amp;ROUND((H1400-AR1400)*G1400,0)&amp;"; ","")&amp;IF(AND(CA1400=1,CB1400&lt;CC1400),"MAX &lt; MB+LG; ","")&amp;IF(AND(CG1400&gt;0,CF1400*10&gt;CG1400),"zu hoch für Tablar; ","")&amp;IF(AND(BP1400=0,OR(CA1400=1,AA1400&lt;&gt;"",U1400&lt;&gt;"",V1400&lt;&gt;"",AB1400&lt;&gt;"")),"manuell übersteuert; ","")&amp;IF(AND(BT1400=0,R1400=0),"Gebinde unbekannt / Stellmass fehlt; ","")&amp;IF(AND(BT1400=0,N(V1400)&lt;=0,N(Q1400)&lt;=0),"Menge pro Gebinde fehlt (Ist = 1 Gebinde); ","")&amp;BO1400)</f>
        <v>negativer Bestand (Export -11); Kein Verbrauch; </v>
      </c>
      <c r="BH1400" s="55"/>
      <c r="BI1400" s="55"/>
      <c r="BJ1400" s="62"/>
      <c r="BK1400" s="57" t="n">
        <v>-11</v>
      </c>
      <c r="BL1400" s="57" t="n">
        <v>11</v>
      </c>
      <c r="BM1400" s="56" t="n">
        <v>-4122.8</v>
      </c>
      <c r="BN1400" s="57" t="n">
        <v>0</v>
      </c>
      <c r="BO1400" s="55"/>
      <c r="BP1400" s="60" t="n">
        <v>0</v>
      </c>
      <c r="BQ1400" s="60" t="n">
        <v>1400</v>
      </c>
      <c r="BR1400" s="55" t="str">
        <f aca="false">IF(U1400&lt;&gt;"",UPPER(TRIM(U1400)),IF(BU1400=1,UPPER(VLOOKUP(T1400,Parameter!$I$27:$K$29,2,0)),IF(P1400="","LOSE",P1400)))</f>
        <v>S52</v>
      </c>
      <c r="BS1400" s="57" t="n">
        <f aca="false">IF(BR1400="LOSE",1,IF(N(V1400)&gt;0,V1400,IF(BU1400=1,MAX(1,N(VLOOKUP(T1400,Parameter!$I$27:$K$29,3,0)),H1400,N(N1400)),IF(N(Q1400)&gt;0,Q1400,MAX(1,H1400)))))</f>
        <v>10</v>
      </c>
      <c r="BT1400" s="60" t="n">
        <f aca="false">IF(BR1400="LOSE",1,0)</f>
        <v>0</v>
      </c>
      <c r="BU1400" s="60" t="n">
        <f aca="false">IF(AND(U1400="",OR(P1400="",P1400="LOSE"),T1400&lt;&gt;"",N(S1400)&lt;=0,ISNUMBER(MATCH(T1400,Parameter!$I$27:$I$29,0))),1,0)</f>
        <v>0</v>
      </c>
      <c r="BV1400" s="55" t="str">
        <f aca="false">IF(AND(Parameter!$B$19="Ja",E1400&lt;&gt;"",ISNUMBER(MATCH(E1400,Parameter!$I$35:$I$52,0))),VLOOKUP(E1400,Parameter!$I$35:$J$52,2,0),IFERROR(VLOOKUP(D1400,Parameter!$A$35:$C$64,2,0),"Nein"))</f>
        <v>2+3</v>
      </c>
      <c r="BW1400" s="59" t="n">
        <f aca="false">IF(BT1400=0,0,IF(N(S1400)&gt;0,S1400,IFERROR(VLOOKUP(D1400,Parameter!$A$35:$C$64,3,0)+0,0)))</f>
        <v>0</v>
      </c>
      <c r="BX1400" s="55" t="n">
        <f aca="false">IF(AA1400&lt;&gt;"",AA1400,Z1400)</f>
        <v>3</v>
      </c>
      <c r="BY1400" s="55" t="str">
        <f aca="false">IF(BX1400=1,"L1",IF(OR(BX1400=2,BX1400=3),"L23",IF(BX1400="Aussen","Aussen","-")))</f>
        <v>L23</v>
      </c>
      <c r="BZ1400" s="66" t="n">
        <f aca="false">IF(N(AB1400)&gt;0,AB1400,0)</f>
        <v>0</v>
      </c>
      <c r="CA1400" s="60" t="n">
        <f aca="false">IF(ISNUMBER(AE1400),1,0)</f>
        <v>0</v>
      </c>
      <c r="CB1400" s="57" t="n">
        <f aca="false">N(AE1400)</f>
        <v>0</v>
      </c>
      <c r="CC1400" s="57" t="n">
        <f aca="false">N(M1400)+N(N1400)</f>
        <v>1</v>
      </c>
      <c r="CD1400" s="57" t="n">
        <f aca="false">ROUNDUP(H1400/BS1400,0)</f>
        <v>0</v>
      </c>
      <c r="CE1400" s="57" t="n">
        <f aca="false">ROUNDUP(CB1400/BS1400,0)</f>
        <v>0</v>
      </c>
      <c r="CF1400" s="60" t="n">
        <f aca="false">IF(BT1400=1,0,IFERROR(VLOOKUP(BR1400,'Gebinde-Kategorie'!$A$5:$M$45,5,0)+0,0))</f>
        <v>21</v>
      </c>
      <c r="CG1400" s="60" t="n">
        <f aca="false">IFERROR(IF(OR(BX1400=1,BX1400=2,BX1400=3),N(INDEX(Parameter!$I$5:$I$7,BX1400)),0),0)</f>
        <v>0</v>
      </c>
      <c r="CH1400" s="59" t="n">
        <f aca="false">IF(AND(Parameter!$B$21="Ja",ISNUMBER(W1400),N(X1400)&gt;0),IFERROR(N(INDEX(Parameter!$L$5:$L$7,W1400))*INDEX(Parameter!$E$5:$E$7,W1400)*X1400/SUMIFS($X$7:$X$1843,$W$7:$W$1843,W1400),0),0)</f>
        <v>0</v>
      </c>
    </row>
    <row r="1401" customFormat="false" ht="15" hidden="false" customHeight="false" outlineLevel="0" collapsed="false">
      <c r="A1401" s="55" t="s">
        <v>2462</v>
      </c>
      <c r="B1401" s="55" t="s">
        <v>431</v>
      </c>
      <c r="C1401" s="55" t="s">
        <v>164</v>
      </c>
      <c r="D1401" s="55" t="s">
        <v>184</v>
      </c>
      <c r="E1401" s="55" t="s">
        <v>185</v>
      </c>
      <c r="F1401" s="55" t="s">
        <v>218</v>
      </c>
      <c r="G1401" s="56" t="n">
        <v>208.55</v>
      </c>
      <c r="H1401" s="57" t="n">
        <f aca="false">MAX(0,IF(AND(Parameter!$B$21="Ja",ISNUMBER(Y1401)),Y1401,IF(Parameter!$B$20="Jahresanfang 2025 + Export",BL1401+BK1401,BK1401)))</f>
        <v>47</v>
      </c>
      <c r="I1401" s="57" t="n">
        <f aca="false">H1401*G1401</f>
        <v>9801.85</v>
      </c>
      <c r="J1401" s="57" t="n">
        <f aca="false">BN1401*Parameter!$B$18</f>
        <v>164</v>
      </c>
      <c r="K1401" s="58" t="n">
        <v>49</v>
      </c>
      <c r="L1401" s="59" t="n">
        <v>3.3469387755102</v>
      </c>
      <c r="M1401" s="57" t="n">
        <v>10</v>
      </c>
      <c r="N1401" s="57" t="n">
        <v>40</v>
      </c>
      <c r="O1401" s="60" t="n">
        <v>21</v>
      </c>
      <c r="P1401" s="55" t="s">
        <v>226</v>
      </c>
      <c r="Q1401" s="57" t="n">
        <v>55</v>
      </c>
      <c r="R1401" s="60" t="n">
        <f aca="false">IF(BT1401=1,0,IFERROR(VLOOKUP(BR1401,'Gebinde-Kategorie'!$A$5:$M$45,13,0)+0,0))</f>
        <v>12</v>
      </c>
      <c r="S1401" s="61"/>
      <c r="T1401" s="62"/>
      <c r="U1401" s="62"/>
      <c r="V1401" s="62"/>
      <c r="W1401" s="55"/>
      <c r="X1401" s="57"/>
      <c r="Y1401" s="57"/>
      <c r="Z1401" s="55" t="n">
        <f aca="false">IF(A1401="","",IF(AND(Parameter!$B$21="Ja",ISNUMBER(W1401)),W1401,IF(BV1401="2+3",IF(ISNUMBER(SEARCH("grosser Artikel",BO1401)),2,IFERROR(VLOOKUP(BR1401,Parameter!$F$35:$G$64,2,0),2)),IF(OR(BV1401="Nein",BV1401=""),"-",BV1401))))</f>
        <v>2</v>
      </c>
      <c r="AA1401" s="62"/>
      <c r="AB1401" s="63"/>
      <c r="AC1401" s="57" t="n">
        <f aca="false">AR1401</f>
        <v>110</v>
      </c>
      <c r="AD1401" s="57" t="n">
        <f aca="false">MAX(AR1401,H1401)</f>
        <v>110</v>
      </c>
      <c r="AE1401" s="64"/>
      <c r="AF1401" s="57" t="n">
        <f aca="false">IF(LEFT(Cockpit!$C$5,1)="A",H1401,IF(CA1401=1,CB1401,IF(LEFT(Cockpit!$C$5,1)="B",AJ1401,MAX(AJ1401,H1401))))</f>
        <v>47</v>
      </c>
      <c r="AG1401" s="57" t="n">
        <f aca="false">IF(BT1401=1,0,ROUNDUP(AF1401/BS1401,0))</f>
        <v>1</v>
      </c>
      <c r="AH1401" s="59" t="n">
        <f aca="false">IF(CH1401&gt;0,CH1401*MAX(1,AF1401/X1401),IF(BT1401=1,IF(AF1401&lt;=0,0,BW1401*MAX(1,IF(H1401&gt;0,AF1401/H1401,1))),IF(R1401&gt;0,AG1401/R1401,0))/MAX(0.1,N(Parameter!$M$21)))</f>
        <v>0.0833333333333333</v>
      </c>
      <c r="AI1401" s="57" t="n">
        <f aca="false">AF1401*G1401</f>
        <v>9801.85</v>
      </c>
      <c r="AJ1401" s="57" t="n">
        <f aca="false">ROUNDUP(MAX(J1401/IF(BZ1401&gt;0,BZ1401,MAX(0.1,N(Cockpit!$C$6))),CC1401)/BS1401,0)*BS1401</f>
        <v>110</v>
      </c>
      <c r="AK1401" s="58" t="n">
        <f aca="false">IF(AH1401&gt;0,J1401/AH1401,-1)</f>
        <v>1968</v>
      </c>
      <c r="AL1401" s="58" t="n">
        <f aca="false">IF(AND(OR(BY1401="L1",BY1401="L23"),AH1401&gt;0),SUMIFS($AH$7:$AH$1843,$BY$7:$BY$1843,BY1401,$AK$7:$AK$1843,"&gt;"&amp;AK1401)+SUMIFS($AH$7:$AH$1843,$BY$7:$BY$1843,BY1401,$AK$7:$AK$1843,AK1401,$BQ$7:$BQ$1843,"&lt;="&amp;BQ1401),"")</f>
        <v>13.265185297794</v>
      </c>
      <c r="AM1401" s="65" t="n">
        <f aca="false">IF(AL1401="",0,MAX(0,MIN(1,(IF(BY1401="L1",Parameter!$E$5,Parameter!$E$6+Parameter!$E$7)-(AL1401-AH1401))/AH1401)))</f>
        <v>1</v>
      </c>
      <c r="AN1401" s="57" t="n">
        <f aca="false">IF(LEFT(Cockpit!$I$5,1)="A",H1401,IF(CA1401=1,CB1401,IF(LEFT(Cockpit!$I$5,1)="B",AR1401,MAX(AR1401,H1401))))</f>
        <v>110</v>
      </c>
      <c r="AO1401" s="57" t="n">
        <f aca="false">IF(BT1401=1,0,ROUNDUP(AN1401/BS1401,0))</f>
        <v>2</v>
      </c>
      <c r="AP1401" s="59" t="n">
        <f aca="false">IF(CH1401&gt;0,CH1401*MAX(1,AN1401/X1401),IF(BT1401=1,IF(AN1401&lt;=0,0,BW1401*MAX(1,IF(H1401&gt;0,AN1401/H1401,1))),IF(R1401&gt;0,AO1401/R1401,0))/MAX(0.1,N(Parameter!$M$21)))</f>
        <v>0.166666666666667</v>
      </c>
      <c r="AQ1401" s="57" t="n">
        <f aca="false">AN1401*G1401</f>
        <v>22940.5</v>
      </c>
      <c r="AR1401" s="57" t="n">
        <f aca="false">ROUNDUP(MAX(J1401/IF(BZ1401&gt;0,BZ1401,MAX(0.1,N(Cockpit!$I$6))),CC1401)/BS1401,0)*BS1401</f>
        <v>110</v>
      </c>
      <c r="AS1401" s="58" t="n">
        <f aca="false">IF(AP1401&gt;0,J1401/AP1401,-1)</f>
        <v>984</v>
      </c>
      <c r="AT1401" s="58" t="n">
        <f aca="false">IF(AND(OR(BY1401="L1",BY1401="L23"),AP1401&gt;0),SUMIFS($AP$7:$AP$1843,$BY$7:$BY$1843,BY1401,$AS$7:$AS$1843,"&gt;"&amp;AS1401)+SUMIFS($AP$7:$AP$1843,$BY$7:$BY$1843,BY1401,$AS$7:$AS$1843,AS1401,$BQ$7:$BQ$1843,"&lt;="&amp;BQ1401),"")</f>
        <v>23.8942181007398</v>
      </c>
      <c r="AU1401" s="65" t="n">
        <f aca="false">IF(AT1401="",0,MAX(0,MIN(1,(IF(BY1401="L1",Parameter!$E$5,Parameter!$E$6+Parameter!$E$7)-(AT1401-AP1401))/AP1401)))</f>
        <v>1</v>
      </c>
      <c r="AV1401" s="57" t="n">
        <f aca="false">IF(LEFT(Cockpit!$O$5,1)="A",H1401,IF(CA1401=1,CB1401,IF(LEFT(Cockpit!$O$5,1)="B",AZ1401,MAX(AZ1401,H1401))))</f>
        <v>55</v>
      </c>
      <c r="AW1401" s="57" t="n">
        <f aca="false">IF(BT1401=1,0,ROUNDUP(AV1401/BS1401,0))</f>
        <v>1</v>
      </c>
      <c r="AX1401" s="59" t="n">
        <f aca="false">IF(CH1401&gt;0,CH1401*MAX(1,AV1401/X1401),IF(BT1401=1,IF(AV1401&lt;=0,0,BW1401*MAX(1,IF(H1401&gt;0,AV1401/H1401,1))),IF(R1401&gt;0,AW1401/R1401,0))/MAX(0.1,N(Parameter!$M$21)))</f>
        <v>0.0833333333333333</v>
      </c>
      <c r="AY1401" s="57" t="n">
        <f aca="false">AV1401*G1401</f>
        <v>11470.25</v>
      </c>
      <c r="AZ1401" s="57" t="n">
        <f aca="false">ROUNDUP(MAX(J1401/IF(BZ1401&gt;0,BZ1401,MAX(0.1,N(Cockpit!$O$6))),CC1401)/BS1401,0)*BS1401</f>
        <v>55</v>
      </c>
      <c r="BA1401" s="58" t="n">
        <f aca="false">IF(AX1401&gt;0,J1401/AX1401,-1)</f>
        <v>1968</v>
      </c>
      <c r="BB1401" s="58" t="n">
        <f aca="false">IF(AND(OR(BY1401="L1",BY1401="L23"),AX1401&gt;0),SUMIFS($AX$7:$AX$1843,$BY$7:$BY$1843,BY1401,$BA$7:$BA$1843,"&gt;"&amp;BA1401)+SUMIFS($AX$7:$AX$1843,$BY$7:$BY$1843,BY1401,$BA$7:$BA$1843,BA1401,$BQ$7:$BQ$1843,"&lt;="&amp;BQ1401),"")</f>
        <v>17.4351119894598</v>
      </c>
      <c r="BC1401" s="65" t="n">
        <f aca="false">IF(BB1401="",0,MAX(0,MIN(1,(IF(BY1401="L1",Parameter!$E$5,Parameter!$E$6+Parameter!$E$7)-(BB1401-AX1401))/AX1401)))</f>
        <v>1</v>
      </c>
      <c r="BD1401" s="55" t="str">
        <f aca="false">IF(AH1401&lt;=0,"",IF(BY1401="Aussen","Aussenlager",IF(BY1401="-","Nicht im Lift",IF(AM1401&gt;=1,"Lift",IF(AM1401&lt;=0,"Aussenlager","teilweise")))))</f>
        <v>Lift</v>
      </c>
      <c r="BE1401" s="55" t="str">
        <f aca="false">IF(AP1401&lt;=0,"",IF(BY1401="Aussen","Aussenlager",IF(BY1401="-","Nicht im Lift",IF(AU1401&gt;=1,"Lift",IF(AU1401&lt;=0,"Aussenlager","teilweise")))))</f>
        <v>Lift</v>
      </c>
      <c r="BF1401" s="55" t="str">
        <f aca="false">IF(AX1401&lt;=0,"",IF(BY1401="Aussen","Aussenlager",IF(BY1401="-","Nicht im Lift",IF(BC1401&gt;=1,"Lift",IF(BC1401&lt;=0,"Aussenlager","teilweise")))))</f>
        <v>Lift</v>
      </c>
      <c r="BG1401" s="55" t="str">
        <f aca="false">IF(A1401="","",IF(BP1401=1,"Neu; ","")&amp;IF(AND(BP1401=0,BK1401&lt;0),"negativer Bestand (Export "&amp;BK1401&amp;"); ","")&amp;IF(J1401&lt;=0,"Kein Verbrauch; ","")&amp;IF(CH1401&gt;0,"Lift "&amp;W1401&amp;" lt. Liftbericht (Fach "&amp;X1401&amp;" Stk); ",IF(BU1401=1,"Gebinde geschätzt ("&amp;T1401&amp;"); ",IF(BT1401=1,"Lose – Tablare geschätzt; ","")))&amp;IF(H1401&gt;AR1401,"Überbestand "&amp;ROUND(H1401-AR1401,0)&amp;" Stk / CHF "&amp;ROUND((H1401-AR1401)*G1401,0)&amp;"; ","")&amp;IF(AND(CA1401=1,CB1401&lt;CC1401),"MAX &lt; MB+LG; ","")&amp;IF(AND(CG1401&gt;0,CF1401*10&gt;CG1401),"zu hoch für Tablar; ","")&amp;IF(AND(BP1401=0,OR(CA1401=1,AA1401&lt;&gt;"",U1401&lt;&gt;"",V1401&lt;&gt;"",AB1401&lt;&gt;"")),"manuell übersteuert; ","")&amp;IF(AND(BT1401=0,R1401=0),"Gebinde unbekannt / Stellmass fehlt; ","")&amp;IF(AND(BT1401=0,N(V1401)&lt;=0,N(Q1401)&lt;=0),"Menge pro Gebinde fehlt (Ist = 1 Gebinde); ","")&amp;BO1401)</f>
        <v>negativer Bestand (Export -14); </v>
      </c>
      <c r="BH1401" s="55"/>
      <c r="BI1401" s="55"/>
      <c r="BJ1401" s="62"/>
      <c r="BK1401" s="57" t="n">
        <v>-14</v>
      </c>
      <c r="BL1401" s="57" t="n">
        <v>61</v>
      </c>
      <c r="BM1401" s="56" t="n">
        <v>-4139.70000000001</v>
      </c>
      <c r="BN1401" s="57" t="n">
        <v>164</v>
      </c>
      <c r="BO1401" s="55"/>
      <c r="BP1401" s="60" t="n">
        <v>0</v>
      </c>
      <c r="BQ1401" s="60" t="n">
        <v>1401</v>
      </c>
      <c r="BR1401" s="55" t="str">
        <f aca="false">IF(U1401&lt;&gt;"",UPPER(TRIM(U1401)),IF(BU1401=1,UPPER(VLOOKUP(T1401,Parameter!$I$27:$K$29,2,0)),IF(P1401="","LOSE",P1401)))</f>
        <v>S63</v>
      </c>
      <c r="BS1401" s="57" t="n">
        <f aca="false">IF(BR1401="LOSE",1,IF(N(V1401)&gt;0,V1401,IF(BU1401=1,MAX(1,N(VLOOKUP(T1401,Parameter!$I$27:$K$29,3,0)),H1401,N(N1401)),IF(N(Q1401)&gt;0,Q1401,MAX(1,H1401)))))</f>
        <v>55</v>
      </c>
      <c r="BT1401" s="60" t="n">
        <f aca="false">IF(BR1401="LOSE",1,0)</f>
        <v>0</v>
      </c>
      <c r="BU1401" s="60" t="n">
        <f aca="false">IF(AND(U1401="",OR(P1401="",P1401="LOSE"),T1401&lt;&gt;"",N(S1401)&lt;=0,ISNUMBER(MATCH(T1401,Parameter!$I$27:$I$29,0))),1,0)</f>
        <v>0</v>
      </c>
      <c r="BV1401" s="55" t="str">
        <f aca="false">IF(AND(Parameter!$B$19="Ja",E1401&lt;&gt;"",ISNUMBER(MATCH(E1401,Parameter!$I$35:$I$52,0))),VLOOKUP(E1401,Parameter!$I$35:$J$52,2,0),IFERROR(VLOOKUP(D1401,Parameter!$A$35:$C$64,2,0),"Nein"))</f>
        <v>2+3</v>
      </c>
      <c r="BW1401" s="59" t="n">
        <f aca="false">IF(BT1401=0,0,IF(N(S1401)&gt;0,S1401,IFERROR(VLOOKUP(D1401,Parameter!$A$35:$C$64,3,0)+0,0)))</f>
        <v>0</v>
      </c>
      <c r="BX1401" s="55" t="n">
        <f aca="false">IF(AA1401&lt;&gt;"",AA1401,Z1401)</f>
        <v>2</v>
      </c>
      <c r="BY1401" s="55" t="str">
        <f aca="false">IF(BX1401=1,"L1",IF(OR(BX1401=2,BX1401=3),"L23",IF(BX1401="Aussen","Aussen","-")))</f>
        <v>L23</v>
      </c>
      <c r="BZ1401" s="66" t="n">
        <f aca="false">IF(N(AB1401)&gt;0,AB1401,0)</f>
        <v>0</v>
      </c>
      <c r="CA1401" s="60" t="n">
        <f aca="false">IF(ISNUMBER(AE1401),1,0)</f>
        <v>0</v>
      </c>
      <c r="CB1401" s="57" t="n">
        <f aca="false">N(AE1401)</f>
        <v>0</v>
      </c>
      <c r="CC1401" s="57" t="n">
        <f aca="false">N(M1401)+N(N1401)</f>
        <v>50</v>
      </c>
      <c r="CD1401" s="57" t="n">
        <f aca="false">ROUNDUP(H1401/BS1401,0)</f>
        <v>1</v>
      </c>
      <c r="CE1401" s="57" t="n">
        <f aca="false">ROUNDUP(CB1401/BS1401,0)</f>
        <v>0</v>
      </c>
      <c r="CF1401" s="60" t="n">
        <f aca="false">IF(BT1401=1,0,IFERROR(VLOOKUP(BR1401,'Gebinde-Kategorie'!$A$5:$M$45,5,0)+0,0))</f>
        <v>31</v>
      </c>
      <c r="CG1401" s="60" t="n">
        <f aca="false">IFERROR(IF(OR(BX1401=1,BX1401=2,BX1401=3),N(INDEX(Parameter!$I$5:$I$7,BX1401)),0),0)</f>
        <v>0</v>
      </c>
      <c r="CH1401" s="59" t="n">
        <f aca="false">IF(AND(Parameter!$B$21="Ja",ISNUMBER(W1401),N(X1401)&gt;0),IFERROR(N(INDEX(Parameter!$L$5:$L$7,W1401))*INDEX(Parameter!$E$5:$E$7,W1401)*X1401/SUMIFS($X$7:$X$1843,$W$7:$W$1843,W1401),0),0)</f>
        <v>0</v>
      </c>
    </row>
    <row r="1402" customFormat="false" ht="15" hidden="false" customHeight="false" outlineLevel="0" collapsed="false">
      <c r="A1402" s="55" t="s">
        <v>2463</v>
      </c>
      <c r="B1402" s="55" t="s">
        <v>2464</v>
      </c>
      <c r="C1402" s="55" t="s">
        <v>164</v>
      </c>
      <c r="D1402" s="55" t="s">
        <v>184</v>
      </c>
      <c r="E1402" s="55" t="s">
        <v>185</v>
      </c>
      <c r="F1402" s="55" t="s">
        <v>218</v>
      </c>
      <c r="G1402" s="56" t="n">
        <v>94.26</v>
      </c>
      <c r="H1402" s="57" t="n">
        <f aca="false">MAX(0,IF(AND(Parameter!$B$21="Ja",ISNUMBER(Y1402)),Y1402,IF(Parameter!$B$20="Jahresanfang 2025 + Export",BL1402+BK1402,BK1402)))</f>
        <v>11</v>
      </c>
      <c r="I1402" s="57" t="n">
        <f aca="false">H1402*G1402</f>
        <v>1036.86</v>
      </c>
      <c r="J1402" s="57" t="n">
        <f aca="false">BN1402*Parameter!$B$18</f>
        <v>2</v>
      </c>
      <c r="K1402" s="58" t="n">
        <v>53.5</v>
      </c>
      <c r="L1402" s="59" t="n">
        <v>0.0373831775700935</v>
      </c>
      <c r="M1402" s="57" t="n">
        <v>0</v>
      </c>
      <c r="N1402" s="57" t="n">
        <v>1</v>
      </c>
      <c r="O1402" s="60" t="n">
        <v>28</v>
      </c>
      <c r="P1402" s="55" t="s">
        <v>186</v>
      </c>
      <c r="Q1402" s="57" t="n">
        <v>35</v>
      </c>
      <c r="R1402" s="60" t="n">
        <f aca="false">IF(BT1402=1,0,IFERROR(VLOOKUP(BR1402,'Gebinde-Kategorie'!$A$5:$M$45,13,0)+0,0))</f>
        <v>12</v>
      </c>
      <c r="S1402" s="61"/>
      <c r="T1402" s="62"/>
      <c r="U1402" s="62"/>
      <c r="V1402" s="62"/>
      <c r="W1402" s="55"/>
      <c r="X1402" s="57"/>
      <c r="Y1402" s="57"/>
      <c r="Z1402" s="55" t="n">
        <f aca="false">IF(A1402="","",IF(AND(Parameter!$B$21="Ja",ISNUMBER(W1402)),W1402,IF(BV1402="2+3",IF(ISNUMBER(SEARCH("grosser Artikel",BO1402)),2,IFERROR(VLOOKUP(BR1402,Parameter!$F$35:$G$64,2,0),2)),IF(OR(BV1402="Nein",BV1402=""),"-",BV1402))))</f>
        <v>2</v>
      </c>
      <c r="AA1402" s="62"/>
      <c r="AB1402" s="63"/>
      <c r="AC1402" s="57" t="n">
        <f aca="false">AR1402</f>
        <v>35</v>
      </c>
      <c r="AD1402" s="57" t="n">
        <f aca="false">MAX(AR1402,H1402)</f>
        <v>35</v>
      </c>
      <c r="AE1402" s="64"/>
      <c r="AF1402" s="57" t="n">
        <f aca="false">IF(LEFT(Cockpit!$C$5,1)="A",H1402,IF(CA1402=1,CB1402,IF(LEFT(Cockpit!$C$5,1)="B",AJ1402,MAX(AJ1402,H1402))))</f>
        <v>11</v>
      </c>
      <c r="AG1402" s="57" t="n">
        <f aca="false">IF(BT1402=1,0,ROUNDUP(AF1402/BS1402,0))</f>
        <v>1</v>
      </c>
      <c r="AH1402" s="59" t="n">
        <f aca="false">IF(CH1402&gt;0,CH1402*MAX(1,AF1402/X1402),IF(BT1402=1,IF(AF1402&lt;=0,0,BW1402*MAX(1,IF(H1402&gt;0,AF1402/H1402,1))),IF(R1402&gt;0,AG1402/R1402,0))/MAX(0.1,N(Parameter!$M$21)))</f>
        <v>0.0833333333333333</v>
      </c>
      <c r="AI1402" s="57" t="n">
        <f aca="false">AF1402*G1402</f>
        <v>1036.86</v>
      </c>
      <c r="AJ1402" s="57" t="n">
        <f aca="false">ROUNDUP(MAX(J1402/IF(BZ1402&gt;0,BZ1402,MAX(0.1,N(Cockpit!$C$6))),CC1402)/BS1402,0)*BS1402</f>
        <v>35</v>
      </c>
      <c r="AK1402" s="58" t="n">
        <f aca="false">IF(AH1402&gt;0,J1402/AH1402,-1)</f>
        <v>24</v>
      </c>
      <c r="AL1402" s="58" t="n">
        <f aca="false">IF(AND(OR(BY1402="L1",BY1402="L23"),AH1402&gt;0),SUMIFS($AH$7:$AH$1843,$BY$7:$BY$1843,BY1402,$AK$7:$AK$1843,"&gt;"&amp;AK1402)+SUMIFS($AH$7:$AH$1843,$BY$7:$BY$1843,BY1402,$AK$7:$AK$1843,AK1402,$BQ$7:$BQ$1843,"&lt;="&amp;BQ1402),"")</f>
        <v>51.0048478091956</v>
      </c>
      <c r="AM1402" s="65" t="n">
        <f aca="false">IF(AL1402="",0,MAX(0,MIN(1,(IF(BY1402="L1",Parameter!$E$5,Parameter!$E$6+Parameter!$E$7)-(AL1402-AH1402))/AH1402)))</f>
        <v>1</v>
      </c>
      <c r="AN1402" s="57" t="n">
        <f aca="false">IF(LEFT(Cockpit!$I$5,1)="A",H1402,IF(CA1402=1,CB1402,IF(LEFT(Cockpit!$I$5,1)="B",AR1402,MAX(AR1402,H1402))))</f>
        <v>35</v>
      </c>
      <c r="AO1402" s="57" t="n">
        <f aca="false">IF(BT1402=1,0,ROUNDUP(AN1402/BS1402,0))</f>
        <v>1</v>
      </c>
      <c r="AP1402" s="59" t="n">
        <f aca="false">IF(CH1402&gt;0,CH1402*MAX(1,AN1402/X1402),IF(BT1402=1,IF(AN1402&lt;=0,0,BW1402*MAX(1,IF(H1402&gt;0,AN1402/H1402,1))),IF(R1402&gt;0,AO1402/R1402,0))/MAX(0.1,N(Parameter!$M$21)))</f>
        <v>0.0833333333333333</v>
      </c>
      <c r="AQ1402" s="57" t="n">
        <f aca="false">AN1402*G1402</f>
        <v>3299.1</v>
      </c>
      <c r="AR1402" s="57" t="n">
        <f aca="false">ROUNDUP(MAX(J1402/IF(BZ1402&gt;0,BZ1402,MAX(0.1,N(Cockpit!$I$6))),CC1402)/BS1402,0)*BS1402</f>
        <v>35</v>
      </c>
      <c r="AS1402" s="58" t="n">
        <f aca="false">IF(AP1402&gt;0,J1402/AP1402,-1)</f>
        <v>24</v>
      </c>
      <c r="AT1402" s="58" t="n">
        <f aca="false">IF(AND(OR(BY1402="L1",BY1402="L23"),AP1402&gt;0),SUMIFS($AP$7:$AP$1843,$BY$7:$BY$1843,BY1402,$AS$7:$AS$1843,"&gt;"&amp;AS1402)+SUMIFS($AP$7:$AP$1843,$BY$7:$BY$1843,BY1402,$AS$7:$AS$1843,AS1402,$BQ$7:$BQ$1843,"&lt;="&amp;BQ1402),"")</f>
        <v>76.3456386608561</v>
      </c>
      <c r="AU1402" s="65" t="n">
        <f aca="false">IF(AT1402="",0,MAX(0,MIN(1,(IF(BY1402="L1",Parameter!$E$5,Parameter!$E$6+Parameter!$E$7)-(AT1402-AP1402))/AP1402)))</f>
        <v>1</v>
      </c>
      <c r="AV1402" s="57" t="n">
        <f aca="false">IF(LEFT(Cockpit!$O$5,1)="A",H1402,IF(CA1402=1,CB1402,IF(LEFT(Cockpit!$O$5,1)="B",AZ1402,MAX(AZ1402,H1402))))</f>
        <v>35</v>
      </c>
      <c r="AW1402" s="57" t="n">
        <f aca="false">IF(BT1402=1,0,ROUNDUP(AV1402/BS1402,0))</f>
        <v>1</v>
      </c>
      <c r="AX1402" s="59" t="n">
        <f aca="false">IF(CH1402&gt;0,CH1402*MAX(1,AV1402/X1402),IF(BT1402=1,IF(AV1402&lt;=0,0,BW1402*MAX(1,IF(H1402&gt;0,AV1402/H1402,1))),IF(R1402&gt;0,AW1402/R1402,0))/MAX(0.1,N(Parameter!$M$21)))</f>
        <v>0.0833333333333333</v>
      </c>
      <c r="AY1402" s="57" t="n">
        <f aca="false">AV1402*G1402</f>
        <v>3299.1</v>
      </c>
      <c r="AZ1402" s="57" t="n">
        <f aca="false">ROUNDUP(MAX(J1402/IF(BZ1402&gt;0,BZ1402,MAX(0.1,N(Cockpit!$O$6))),CC1402)/BS1402,0)*BS1402</f>
        <v>35</v>
      </c>
      <c r="BA1402" s="58" t="n">
        <f aca="false">IF(AX1402&gt;0,J1402/AX1402,-1)</f>
        <v>24</v>
      </c>
      <c r="BB1402" s="58" t="n">
        <f aca="false">IF(AND(OR(BY1402="L1",BY1402="L23"),AX1402&gt;0),SUMIFS($AX$7:$AX$1843,$BY$7:$BY$1843,BY1402,$BA$7:$BA$1843,"&gt;"&amp;BA1402)+SUMIFS($AX$7:$AX$1843,$BY$7:$BY$1843,BY1402,$BA$7:$BA$1843,BA1402,$BQ$7:$BQ$1843,"&lt;="&amp;BQ1402),"")</f>
        <v>71.8421421573596</v>
      </c>
      <c r="BC1402" s="65" t="n">
        <f aca="false">IF(BB1402="",0,MAX(0,MIN(1,(IF(BY1402="L1",Parameter!$E$5,Parameter!$E$6+Parameter!$E$7)-(BB1402-AX1402))/AX1402)))</f>
        <v>1</v>
      </c>
      <c r="BD1402" s="55" t="str">
        <f aca="false">IF(AH1402&lt;=0,"",IF(BY1402="Aussen","Aussenlager",IF(BY1402="-","Nicht im Lift",IF(AM1402&gt;=1,"Lift",IF(AM1402&lt;=0,"Aussenlager","teilweise")))))</f>
        <v>Lift</v>
      </c>
      <c r="BE1402" s="55" t="str">
        <f aca="false">IF(AP1402&lt;=0,"",IF(BY1402="Aussen","Aussenlager",IF(BY1402="-","Nicht im Lift",IF(AU1402&gt;=1,"Lift",IF(AU1402&lt;=0,"Aussenlager","teilweise")))))</f>
        <v>Lift</v>
      </c>
      <c r="BF1402" s="55" t="str">
        <f aca="false">IF(AX1402&lt;=0,"",IF(BY1402="Aussen","Aussenlager",IF(BY1402="-","Nicht im Lift",IF(BC1402&gt;=1,"Lift",IF(BC1402&lt;=0,"Aussenlager","teilweise")))))</f>
        <v>Lift</v>
      </c>
      <c r="BG1402" s="55" t="str">
        <f aca="false">IF(A1402="","",IF(BP1402=1,"Neu; ","")&amp;IF(AND(BP1402=0,BK1402&lt;0),"negativer Bestand (Export "&amp;BK1402&amp;"); ","")&amp;IF(J1402&lt;=0,"Kein Verbrauch; ","")&amp;IF(CH1402&gt;0,"Lift "&amp;W1402&amp;" lt. Liftbericht (Fach "&amp;X1402&amp;" Stk); ",IF(BU1402=1,"Gebinde geschätzt ("&amp;T1402&amp;"); ",IF(BT1402=1,"Lose – Tablare geschätzt; ","")))&amp;IF(H1402&gt;AR1402,"Überbestand "&amp;ROUND(H1402-AR1402,0)&amp;" Stk / CHF "&amp;ROUND((H1402-AR1402)*G1402,0)&amp;"; ","")&amp;IF(AND(CA1402=1,CB1402&lt;CC1402),"MAX &lt; MB+LG; ","")&amp;IF(AND(CG1402&gt;0,CF1402*10&gt;CG1402),"zu hoch für Tablar; ","")&amp;IF(AND(BP1402=0,OR(CA1402=1,AA1402&lt;&gt;"",U1402&lt;&gt;"",V1402&lt;&gt;"",AB1402&lt;&gt;"")),"manuell übersteuert; ","")&amp;IF(AND(BT1402=0,R1402=0),"Gebinde unbekannt / Stellmass fehlt; ","")&amp;IF(AND(BT1402=0,N(V1402)&lt;=0,N(Q1402)&lt;=0),"Menge pro Gebinde fehlt (Ist = 1 Gebinde); ","")&amp;BO1402)</f>
        <v>negativer Bestand (Export -44); </v>
      </c>
      <c r="BH1402" s="55"/>
      <c r="BI1402" s="55"/>
      <c r="BJ1402" s="62"/>
      <c r="BK1402" s="57" t="n">
        <v>-44</v>
      </c>
      <c r="BL1402" s="57" t="n">
        <v>55</v>
      </c>
      <c r="BM1402" s="56" t="n">
        <v>-4147.44</v>
      </c>
      <c r="BN1402" s="57" t="n">
        <v>2</v>
      </c>
      <c r="BO1402" s="55"/>
      <c r="BP1402" s="60" t="n">
        <v>0</v>
      </c>
      <c r="BQ1402" s="60" t="n">
        <v>1402</v>
      </c>
      <c r="BR1402" s="55" t="str">
        <f aca="false">IF(U1402&lt;&gt;"",UPPER(TRIM(U1402)),IF(BU1402=1,UPPER(VLOOKUP(T1402,Parameter!$I$27:$K$29,2,0)),IF(P1402="","LOSE",P1402)))</f>
        <v>S61</v>
      </c>
      <c r="BS1402" s="57" t="n">
        <f aca="false">IF(BR1402="LOSE",1,IF(N(V1402)&gt;0,V1402,IF(BU1402=1,MAX(1,N(VLOOKUP(T1402,Parameter!$I$27:$K$29,3,0)),H1402,N(N1402)),IF(N(Q1402)&gt;0,Q1402,MAX(1,H1402)))))</f>
        <v>35</v>
      </c>
      <c r="BT1402" s="60" t="n">
        <f aca="false">IF(BR1402="LOSE",1,0)</f>
        <v>0</v>
      </c>
      <c r="BU1402" s="60" t="n">
        <f aca="false">IF(AND(U1402="",OR(P1402="",P1402="LOSE"),T1402&lt;&gt;"",N(S1402)&lt;=0,ISNUMBER(MATCH(T1402,Parameter!$I$27:$I$29,0))),1,0)</f>
        <v>0</v>
      </c>
      <c r="BV1402" s="55" t="str">
        <f aca="false">IF(AND(Parameter!$B$19="Ja",E1402&lt;&gt;"",ISNUMBER(MATCH(E1402,Parameter!$I$35:$I$52,0))),VLOOKUP(E1402,Parameter!$I$35:$J$52,2,0),IFERROR(VLOOKUP(D1402,Parameter!$A$35:$C$64,2,0),"Nein"))</f>
        <v>2+3</v>
      </c>
      <c r="BW1402" s="59" t="n">
        <f aca="false">IF(BT1402=0,0,IF(N(S1402)&gt;0,S1402,IFERROR(VLOOKUP(D1402,Parameter!$A$35:$C$64,3,0)+0,0)))</f>
        <v>0</v>
      </c>
      <c r="BX1402" s="55" t="n">
        <f aca="false">IF(AA1402&lt;&gt;"",AA1402,Z1402)</f>
        <v>2</v>
      </c>
      <c r="BY1402" s="55" t="str">
        <f aca="false">IF(BX1402=1,"L1",IF(OR(BX1402=2,BX1402=3),"L23",IF(BX1402="Aussen","Aussen","-")))</f>
        <v>L23</v>
      </c>
      <c r="BZ1402" s="66" t="n">
        <f aca="false">IF(N(AB1402)&gt;0,AB1402,0)</f>
        <v>0</v>
      </c>
      <c r="CA1402" s="60" t="n">
        <f aca="false">IF(ISNUMBER(AE1402),1,0)</f>
        <v>0</v>
      </c>
      <c r="CB1402" s="57" t="n">
        <f aca="false">N(AE1402)</f>
        <v>0</v>
      </c>
      <c r="CC1402" s="57" t="n">
        <f aca="false">N(M1402)+N(N1402)</f>
        <v>1</v>
      </c>
      <c r="CD1402" s="57" t="n">
        <f aca="false">ROUNDUP(H1402/BS1402,0)</f>
        <v>1</v>
      </c>
      <c r="CE1402" s="57" t="n">
        <f aca="false">ROUNDUP(CB1402/BS1402,0)</f>
        <v>0</v>
      </c>
      <c r="CF1402" s="60" t="n">
        <f aca="false">IF(BT1402=1,0,IFERROR(VLOOKUP(BR1402,'Gebinde-Kategorie'!$A$5:$M$45,5,0)+0,0))</f>
        <v>11</v>
      </c>
      <c r="CG1402" s="60" t="n">
        <f aca="false">IFERROR(IF(OR(BX1402=1,BX1402=2,BX1402=3),N(INDEX(Parameter!$I$5:$I$7,BX1402)),0),0)</f>
        <v>0</v>
      </c>
      <c r="CH1402" s="59" t="n">
        <f aca="false">IF(AND(Parameter!$B$21="Ja",ISNUMBER(W1402),N(X1402)&gt;0),IFERROR(N(INDEX(Parameter!$L$5:$L$7,W1402))*INDEX(Parameter!$E$5:$E$7,W1402)*X1402/SUMIFS($X$7:$X$1843,$W$7:$W$1843,W1402),0),0)</f>
        <v>0</v>
      </c>
    </row>
    <row r="1403" customFormat="false" ht="15" hidden="false" customHeight="false" outlineLevel="0" collapsed="false">
      <c r="A1403" s="55" t="s">
        <v>2465</v>
      </c>
      <c r="B1403" s="55" t="s">
        <v>405</v>
      </c>
      <c r="C1403" s="55" t="s">
        <v>164</v>
      </c>
      <c r="D1403" s="55" t="s">
        <v>184</v>
      </c>
      <c r="E1403" s="55"/>
      <c r="F1403" s="55" t="s">
        <v>218</v>
      </c>
      <c r="G1403" s="56" t="n">
        <v>3.25</v>
      </c>
      <c r="H1403" s="57" t="n">
        <f aca="false">MAX(0,IF(AND(Parameter!$B$21="Ja",ISNUMBER(Y1403)),Y1403,IF(Parameter!$B$20="Jahresanfang 2025 + Export",BL1403+BK1403,BK1403)))</f>
        <v>151</v>
      </c>
      <c r="I1403" s="57" t="n">
        <f aca="false">H1403*G1403</f>
        <v>490.75</v>
      </c>
      <c r="J1403" s="57" t="n">
        <f aca="false">BN1403*Parameter!$B$18</f>
        <v>966</v>
      </c>
      <c r="K1403" s="58" t="n">
        <v>1023.5</v>
      </c>
      <c r="L1403" s="59" t="n">
        <v>0.943820224719101</v>
      </c>
      <c r="M1403" s="57" t="n">
        <v>60</v>
      </c>
      <c r="N1403" s="57" t="n">
        <v>1500</v>
      </c>
      <c r="O1403" s="60" t="n">
        <v>56</v>
      </c>
      <c r="P1403" s="55" t="s">
        <v>168</v>
      </c>
      <c r="Q1403" s="57"/>
      <c r="R1403" s="60" t="n">
        <f aca="false">IF(BT1403=1,0,IFERROR(VLOOKUP(BR1403,'Gebinde-Kategorie'!$A$5:$M$45,13,0)+0,0))</f>
        <v>26</v>
      </c>
      <c r="S1403" s="61"/>
      <c r="T1403" s="62" t="s">
        <v>275</v>
      </c>
      <c r="U1403" s="62"/>
      <c r="V1403" s="62"/>
      <c r="W1403" s="55"/>
      <c r="X1403" s="57"/>
      <c r="Y1403" s="57"/>
      <c r="Z1403" s="55" t="n">
        <f aca="false">IF(A1403="","",IF(AND(Parameter!$B$21="Ja",ISNUMBER(W1403)),W1403,IF(BV1403="2+3",IF(ISNUMBER(SEARCH("grosser Artikel",BO1403)),2,IFERROR(VLOOKUP(BR1403,Parameter!$F$35:$G$64,2,0),2)),IF(OR(BV1403="Nein",BV1403=""),"-",BV1403))))</f>
        <v>3</v>
      </c>
      <c r="AA1403" s="62"/>
      <c r="AB1403" s="63"/>
      <c r="AC1403" s="57" t="n">
        <f aca="false">AR1403</f>
        <v>3000</v>
      </c>
      <c r="AD1403" s="57" t="n">
        <f aca="false">MAX(AR1403,H1403)</f>
        <v>3000</v>
      </c>
      <c r="AE1403" s="64"/>
      <c r="AF1403" s="57" t="n">
        <f aca="false">IF(LEFT(Cockpit!$C$5,1)="A",H1403,IF(CA1403=1,CB1403,IF(LEFT(Cockpit!$C$5,1)="B",AJ1403,MAX(AJ1403,H1403))))</f>
        <v>151</v>
      </c>
      <c r="AG1403" s="57" t="n">
        <f aca="false">IF(BT1403=1,0,ROUNDUP(AF1403/BS1403,0))</f>
        <v>1</v>
      </c>
      <c r="AH1403" s="59" t="n">
        <f aca="false">IF(CH1403&gt;0,CH1403*MAX(1,AF1403/X1403),IF(BT1403=1,IF(AF1403&lt;=0,0,BW1403*MAX(1,IF(H1403&gt;0,AF1403/H1403,1))),IF(R1403&gt;0,AG1403/R1403,0))/MAX(0.1,N(Parameter!$M$21)))</f>
        <v>0.0384615384615385</v>
      </c>
      <c r="AI1403" s="57" t="n">
        <f aca="false">AF1403*G1403</f>
        <v>490.75</v>
      </c>
      <c r="AJ1403" s="57" t="n">
        <f aca="false">ROUNDUP(MAX(J1403/IF(BZ1403&gt;0,BZ1403,MAX(0.1,N(Cockpit!$C$6))),CC1403)/BS1403,0)*BS1403</f>
        <v>3000</v>
      </c>
      <c r="AK1403" s="58" t="n">
        <f aca="false">IF(AH1403&gt;0,J1403/AH1403,-1)</f>
        <v>25116</v>
      </c>
      <c r="AL1403" s="58" t="n">
        <f aca="false">IF(AND(OR(BY1403="L1",BY1403="L23"),AH1403&gt;0),SUMIFS($AH$7:$AH$1843,$BY$7:$BY$1843,BY1403,$AK$7:$AK$1843,"&gt;"&amp;AK1403)+SUMIFS($AH$7:$AH$1843,$BY$7:$BY$1843,BY1403,$AK$7:$AK$1843,AK1403,$BQ$7:$BQ$1843,"&lt;="&amp;BQ1403),"")</f>
        <v>2.91909057126448</v>
      </c>
      <c r="AM1403" s="65" t="n">
        <f aca="false">IF(AL1403="",0,MAX(0,MIN(1,(IF(BY1403="L1",Parameter!$E$5,Parameter!$E$6+Parameter!$E$7)-(AL1403-AH1403))/AH1403)))</f>
        <v>1</v>
      </c>
      <c r="AN1403" s="57" t="n">
        <f aca="false">IF(LEFT(Cockpit!$I$5,1)="A",H1403,IF(CA1403=1,CB1403,IF(LEFT(Cockpit!$I$5,1)="B",AR1403,MAX(AR1403,H1403))))</f>
        <v>3000</v>
      </c>
      <c r="AO1403" s="57" t="n">
        <f aca="false">IF(BT1403=1,0,ROUNDUP(AN1403/BS1403,0))</f>
        <v>2</v>
      </c>
      <c r="AP1403" s="59" t="n">
        <f aca="false">IF(CH1403&gt;0,CH1403*MAX(1,AN1403/X1403),IF(BT1403=1,IF(AN1403&lt;=0,0,BW1403*MAX(1,IF(H1403&gt;0,AN1403/H1403,1))),IF(R1403&gt;0,AO1403/R1403,0))/MAX(0.1,N(Parameter!$M$21)))</f>
        <v>0.0769230769230769</v>
      </c>
      <c r="AQ1403" s="57" t="n">
        <f aca="false">AN1403*G1403</f>
        <v>9750</v>
      </c>
      <c r="AR1403" s="57" t="n">
        <f aca="false">ROUNDUP(MAX(J1403/IF(BZ1403&gt;0,BZ1403,MAX(0.1,N(Cockpit!$I$6))),CC1403)/BS1403,0)*BS1403</f>
        <v>3000</v>
      </c>
      <c r="AS1403" s="58" t="n">
        <f aca="false">IF(AP1403&gt;0,J1403/AP1403,-1)</f>
        <v>12558</v>
      </c>
      <c r="AT1403" s="58" t="n">
        <f aca="false">IF(AND(OR(BY1403="L1",BY1403="L23"),AP1403&gt;0),SUMIFS($AP$7:$AP$1843,$BY$7:$BY$1843,BY1403,$AS$7:$AS$1843,"&gt;"&amp;AS1403)+SUMIFS($AP$7:$AP$1843,$BY$7:$BY$1843,BY1403,$AS$7:$AS$1843,AS1403,$BQ$7:$BQ$1843,"&lt;="&amp;BQ1403),"")</f>
        <v>5.43175906219384</v>
      </c>
      <c r="AU1403" s="65" t="n">
        <f aca="false">IF(AT1403="",0,MAX(0,MIN(1,(IF(BY1403="L1",Parameter!$E$5,Parameter!$E$6+Parameter!$E$7)-(AT1403-AP1403))/AP1403)))</f>
        <v>1</v>
      </c>
      <c r="AV1403" s="57" t="n">
        <f aca="false">IF(LEFT(Cockpit!$O$5,1)="A",H1403,IF(CA1403=1,CB1403,IF(LEFT(Cockpit!$O$5,1)="B",AZ1403,MAX(AZ1403,H1403))))</f>
        <v>3000</v>
      </c>
      <c r="AW1403" s="57" t="n">
        <f aca="false">IF(BT1403=1,0,ROUNDUP(AV1403/BS1403,0))</f>
        <v>2</v>
      </c>
      <c r="AX1403" s="59" t="n">
        <f aca="false">IF(CH1403&gt;0,CH1403*MAX(1,AV1403/X1403),IF(BT1403=1,IF(AV1403&lt;=0,0,BW1403*MAX(1,IF(H1403&gt;0,AV1403/H1403,1))),IF(R1403&gt;0,AW1403/R1403,0))/MAX(0.1,N(Parameter!$M$21)))</f>
        <v>0.0769230769230769</v>
      </c>
      <c r="AY1403" s="57" t="n">
        <f aca="false">AV1403*G1403</f>
        <v>9750</v>
      </c>
      <c r="AZ1403" s="57" t="n">
        <f aca="false">ROUNDUP(MAX(J1403/IF(BZ1403&gt;0,BZ1403,MAX(0.1,N(Cockpit!$O$6))),CC1403)/BS1403,0)*BS1403</f>
        <v>3000</v>
      </c>
      <c r="BA1403" s="58" t="n">
        <f aca="false">IF(AX1403&gt;0,J1403/AX1403,-1)</f>
        <v>12558</v>
      </c>
      <c r="BB1403" s="58" t="n">
        <f aca="false">IF(AND(OR(BY1403="L1",BY1403="L23"),AX1403&gt;0),SUMIFS($AX$7:$AX$1843,$BY$7:$BY$1843,BY1403,$BA$7:$BA$1843,"&gt;"&amp;BA1403)+SUMIFS($AX$7:$AX$1843,$BY$7:$BY$1843,BY1403,$BA$7:$BA$1843,BA1403,$BQ$7:$BQ$1843,"&lt;="&amp;BQ1403),"")</f>
        <v>6.42826255869734</v>
      </c>
      <c r="BC1403" s="65" t="n">
        <f aca="false">IF(BB1403="",0,MAX(0,MIN(1,(IF(BY1403="L1",Parameter!$E$5,Parameter!$E$6+Parameter!$E$7)-(BB1403-AX1403))/AX1403)))</f>
        <v>1</v>
      </c>
      <c r="BD1403" s="55" t="str">
        <f aca="false">IF(AH1403&lt;=0,"",IF(BY1403="Aussen","Aussenlager",IF(BY1403="-","Nicht im Lift",IF(AM1403&gt;=1,"Lift",IF(AM1403&lt;=0,"Aussenlager","teilweise")))))</f>
        <v>Lift</v>
      </c>
      <c r="BE1403" s="55" t="str">
        <f aca="false">IF(AP1403&lt;=0,"",IF(BY1403="Aussen","Aussenlager",IF(BY1403="-","Nicht im Lift",IF(AU1403&gt;=1,"Lift",IF(AU1403&lt;=0,"Aussenlager","teilweise")))))</f>
        <v>Lift</v>
      </c>
      <c r="BF1403" s="55" t="str">
        <f aca="false">IF(AX1403&lt;=0,"",IF(BY1403="Aussen","Aussenlager",IF(BY1403="-","Nicht im Lift",IF(BC1403&gt;=1,"Lift",IF(BC1403&lt;=0,"Aussenlager","teilweise")))))</f>
        <v>Lift</v>
      </c>
      <c r="BG1403" s="55" t="str">
        <f aca="false">IF(A1403="","",IF(BP1403=1,"Neu; ","")&amp;IF(AND(BP1403=0,BK1403&lt;0),"negativer Bestand (Export "&amp;BK1403&amp;"); ","")&amp;IF(J1403&lt;=0,"Kein Verbrauch; ","")&amp;IF(CH1403&gt;0,"Lift "&amp;W1403&amp;" lt. Liftbericht (Fach "&amp;X1403&amp;" Stk); ",IF(BU1403=1,"Gebinde geschätzt ("&amp;T1403&amp;"); ",IF(BT1403=1,"Lose – Tablare geschätzt; ","")))&amp;IF(H1403&gt;AR1403,"Überbestand "&amp;ROUND(H1403-AR1403,0)&amp;" Stk / CHF "&amp;ROUND((H1403-AR1403)*G1403,0)&amp;"; ","")&amp;IF(AND(CA1403=1,CB1403&lt;CC1403),"MAX &lt; MB+LG; ","")&amp;IF(AND(CG1403&gt;0,CF1403*10&gt;CG1403),"zu hoch für Tablar; ","")&amp;IF(AND(BP1403=0,OR(CA1403=1,AA1403&lt;&gt;"",U1403&lt;&gt;"",V1403&lt;&gt;"",AB1403&lt;&gt;"")),"manuell übersteuert; ","")&amp;IF(AND(BT1403=0,R1403=0),"Gebinde unbekannt / Stellmass fehlt; ","")&amp;IF(AND(BT1403=0,N(V1403)&lt;=0,N(Q1403)&lt;=0),"Menge pro Gebinde fehlt (Ist = 1 Gebinde); ","")&amp;BO1403)</f>
        <v>negativer Bestand (Export -1346); Gebinde geschätzt (Klein); Menge pro Gebinde fehlt (Ist = 1 Gebinde); </v>
      </c>
      <c r="BH1403" s="55"/>
      <c r="BI1403" s="55"/>
      <c r="BJ1403" s="62"/>
      <c r="BK1403" s="57" t="n">
        <v>-1346</v>
      </c>
      <c r="BL1403" s="57" t="n">
        <v>1497</v>
      </c>
      <c r="BM1403" s="56" t="n">
        <v>-4225.2</v>
      </c>
      <c r="BN1403" s="57" t="n">
        <v>966</v>
      </c>
      <c r="BO1403" s="55"/>
      <c r="BP1403" s="60" t="n">
        <v>0</v>
      </c>
      <c r="BQ1403" s="60" t="n">
        <v>1403</v>
      </c>
      <c r="BR1403" s="55" t="str">
        <f aca="false">IF(U1403&lt;&gt;"",UPPER(TRIM(U1403)),IF(BU1403=1,UPPER(VLOOKUP(T1403,Parameter!$I$27:$K$29,2,0)),IF(P1403="","LOSE",P1403)))</f>
        <v>S51</v>
      </c>
      <c r="BS1403" s="57" t="n">
        <f aca="false">IF(BR1403="LOSE",1,IF(N(V1403)&gt;0,V1403,IF(BU1403=1,MAX(1,N(VLOOKUP(T1403,Parameter!$I$27:$K$29,3,0)),H1403,N(N1403)),IF(N(Q1403)&gt;0,Q1403,MAX(1,H1403)))))</f>
        <v>1500</v>
      </c>
      <c r="BT1403" s="60" t="n">
        <f aca="false">IF(BR1403="LOSE",1,0)</f>
        <v>0</v>
      </c>
      <c r="BU1403" s="60" t="n">
        <f aca="false">IF(AND(U1403="",OR(P1403="",P1403="LOSE"),T1403&lt;&gt;"",N(S1403)&lt;=0,ISNUMBER(MATCH(T1403,Parameter!$I$27:$I$29,0))),1,0)</f>
        <v>1</v>
      </c>
      <c r="BV1403" s="55" t="str">
        <f aca="false">IF(AND(Parameter!$B$19="Ja",E1403&lt;&gt;"",ISNUMBER(MATCH(E1403,Parameter!$I$35:$I$52,0))),VLOOKUP(E1403,Parameter!$I$35:$J$52,2,0),IFERROR(VLOOKUP(D1403,Parameter!$A$35:$C$64,2,0),"Nein"))</f>
        <v>2+3</v>
      </c>
      <c r="BW1403" s="59" t="n">
        <f aca="false">IF(BT1403=0,0,IF(N(S1403)&gt;0,S1403,IFERROR(VLOOKUP(D1403,Parameter!$A$35:$C$64,3,0)+0,0)))</f>
        <v>0</v>
      </c>
      <c r="BX1403" s="55" t="n">
        <f aca="false">IF(AA1403&lt;&gt;"",AA1403,Z1403)</f>
        <v>3</v>
      </c>
      <c r="BY1403" s="55" t="str">
        <f aca="false">IF(BX1403=1,"L1",IF(OR(BX1403=2,BX1403=3),"L23",IF(BX1403="Aussen","Aussen","-")))</f>
        <v>L23</v>
      </c>
      <c r="BZ1403" s="66" t="n">
        <f aca="false">IF(N(AB1403)&gt;0,AB1403,0)</f>
        <v>0</v>
      </c>
      <c r="CA1403" s="60" t="n">
        <f aca="false">IF(ISNUMBER(AE1403),1,0)</f>
        <v>0</v>
      </c>
      <c r="CB1403" s="57" t="n">
        <f aca="false">N(AE1403)</f>
        <v>0</v>
      </c>
      <c r="CC1403" s="57" t="n">
        <f aca="false">N(M1403)+N(N1403)</f>
        <v>1560</v>
      </c>
      <c r="CD1403" s="57" t="n">
        <f aca="false">ROUNDUP(H1403/BS1403,0)</f>
        <v>1</v>
      </c>
      <c r="CE1403" s="57" t="n">
        <f aca="false">ROUNDUP(CB1403/BS1403,0)</f>
        <v>0</v>
      </c>
      <c r="CF1403" s="60" t="n">
        <f aca="false">IF(BT1403=1,0,IFERROR(VLOOKUP(BR1403,'Gebinde-Kategorie'!$A$5:$M$45,5,0)+0,0))</f>
        <v>11</v>
      </c>
      <c r="CG1403" s="60" t="n">
        <f aca="false">IFERROR(IF(OR(BX1403=1,BX1403=2,BX1403=3),N(INDEX(Parameter!$I$5:$I$7,BX1403)),0),0)</f>
        <v>0</v>
      </c>
      <c r="CH1403" s="59" t="n">
        <f aca="false">IF(AND(Parameter!$B$21="Ja",ISNUMBER(W1403),N(X1403)&gt;0),IFERROR(N(INDEX(Parameter!$L$5:$L$7,W1403))*INDEX(Parameter!$E$5:$E$7,W1403)*X1403/SUMIFS($X$7:$X$1843,$W$7:$W$1843,W1403),0),0)</f>
        <v>0</v>
      </c>
    </row>
    <row r="1404" customFormat="false" ht="15" hidden="false" customHeight="false" outlineLevel="0" collapsed="false">
      <c r="A1404" s="55" t="s">
        <v>2466</v>
      </c>
      <c r="B1404" s="55" t="s">
        <v>814</v>
      </c>
      <c r="C1404" s="55" t="s">
        <v>164</v>
      </c>
      <c r="D1404" s="55" t="s">
        <v>184</v>
      </c>
      <c r="E1404" s="55" t="s">
        <v>185</v>
      </c>
      <c r="F1404" s="55" t="s">
        <v>218</v>
      </c>
      <c r="G1404" s="56" t="n">
        <v>120.36</v>
      </c>
      <c r="H1404" s="57" t="n">
        <f aca="false">MAX(0,IF(AND(Parameter!$B$21="Ja",ISNUMBER(Y1404)),Y1404,IF(Parameter!$B$20="Jahresanfang 2025 + Export",BL1404+BK1404,BK1404)))</f>
        <v>102</v>
      </c>
      <c r="I1404" s="57" t="n">
        <f aca="false">H1404*G1404</f>
        <v>12276.72</v>
      </c>
      <c r="J1404" s="57" t="n">
        <f aca="false">BN1404*Parameter!$B$18</f>
        <v>21</v>
      </c>
      <c r="K1404" s="58" t="n">
        <v>127.5</v>
      </c>
      <c r="L1404" s="59" t="n">
        <v>0.164705882352941</v>
      </c>
      <c r="M1404" s="57" t="n">
        <v>7</v>
      </c>
      <c r="N1404" s="57" t="n">
        <v>20</v>
      </c>
      <c r="O1404" s="60" t="n">
        <v>126</v>
      </c>
      <c r="P1404" s="55" t="s">
        <v>328</v>
      </c>
      <c r="Q1404" s="57" t="n">
        <v>90</v>
      </c>
      <c r="R1404" s="60" t="n">
        <f aca="false">IF(BT1404=1,0,IFERROR(VLOOKUP(BR1404,'Gebinde-Kategorie'!$A$5:$M$45,13,0)+0,0))</f>
        <v>52</v>
      </c>
      <c r="S1404" s="61"/>
      <c r="T1404" s="62"/>
      <c r="U1404" s="62"/>
      <c r="V1404" s="62"/>
      <c r="W1404" s="55"/>
      <c r="X1404" s="57"/>
      <c r="Y1404" s="57"/>
      <c r="Z1404" s="55" t="n">
        <f aca="false">IF(A1404="","",IF(AND(Parameter!$B$21="Ja",ISNUMBER(W1404)),W1404,IF(BV1404="2+3",IF(ISNUMBER(SEARCH("grosser Artikel",BO1404)),2,IFERROR(VLOOKUP(BR1404,Parameter!$F$35:$G$64,2,0),2)),IF(OR(BV1404="Nein",BV1404=""),"-",BV1404))))</f>
        <v>3</v>
      </c>
      <c r="AA1404" s="62"/>
      <c r="AB1404" s="63"/>
      <c r="AC1404" s="57" t="n">
        <f aca="false">AR1404</f>
        <v>90</v>
      </c>
      <c r="AD1404" s="57" t="n">
        <f aca="false">MAX(AR1404,H1404)</f>
        <v>102</v>
      </c>
      <c r="AE1404" s="64"/>
      <c r="AF1404" s="57" t="n">
        <f aca="false">IF(LEFT(Cockpit!$C$5,1)="A",H1404,IF(CA1404=1,CB1404,IF(LEFT(Cockpit!$C$5,1)="B",AJ1404,MAX(AJ1404,H1404))))</f>
        <v>102</v>
      </c>
      <c r="AG1404" s="57" t="n">
        <f aca="false">IF(BT1404=1,0,ROUNDUP(AF1404/BS1404,0))</f>
        <v>2</v>
      </c>
      <c r="AH1404" s="59" t="n">
        <f aca="false">IF(CH1404&gt;0,CH1404*MAX(1,AF1404/X1404),IF(BT1404=1,IF(AF1404&lt;=0,0,BW1404*MAX(1,IF(H1404&gt;0,AF1404/H1404,1))),IF(R1404&gt;0,AG1404/R1404,0))/MAX(0.1,N(Parameter!$M$21)))</f>
        <v>0.0384615384615385</v>
      </c>
      <c r="AI1404" s="57" t="n">
        <f aca="false">AF1404*G1404</f>
        <v>12276.72</v>
      </c>
      <c r="AJ1404" s="57" t="n">
        <f aca="false">ROUNDUP(MAX(J1404/IF(BZ1404&gt;0,BZ1404,MAX(0.1,N(Cockpit!$C$6))),CC1404)/BS1404,0)*BS1404</f>
        <v>90</v>
      </c>
      <c r="AK1404" s="58" t="n">
        <f aca="false">IF(AH1404&gt;0,J1404/AH1404,-1)</f>
        <v>546</v>
      </c>
      <c r="AL1404" s="58" t="n">
        <f aca="false">IF(AND(OR(BY1404="L1",BY1404="L23"),AH1404&gt;0),SUMIFS($AH$7:$AH$1843,$BY$7:$BY$1843,BY1404,$AK$7:$AK$1843,"&gt;"&amp;AK1404)+SUMIFS($AH$7:$AH$1843,$BY$7:$BY$1843,BY1404,$AK$7:$AK$1843,AK1404,$BQ$7:$BQ$1843,"&lt;="&amp;BQ1404),"")</f>
        <v>23.6934731934732</v>
      </c>
      <c r="AM1404" s="65" t="n">
        <f aca="false">IF(AL1404="",0,MAX(0,MIN(1,(IF(BY1404="L1",Parameter!$E$5,Parameter!$E$6+Parameter!$E$7)-(AL1404-AH1404))/AH1404)))</f>
        <v>1</v>
      </c>
      <c r="AN1404" s="57" t="n">
        <f aca="false">IF(LEFT(Cockpit!$I$5,1)="A",H1404,IF(CA1404=1,CB1404,IF(LEFT(Cockpit!$I$5,1)="B",AR1404,MAX(AR1404,H1404))))</f>
        <v>102</v>
      </c>
      <c r="AO1404" s="57" t="n">
        <f aca="false">IF(BT1404=1,0,ROUNDUP(AN1404/BS1404,0))</f>
        <v>2</v>
      </c>
      <c r="AP1404" s="59" t="n">
        <f aca="false">IF(CH1404&gt;0,CH1404*MAX(1,AN1404/X1404),IF(BT1404=1,IF(AN1404&lt;=0,0,BW1404*MAX(1,IF(H1404&gt;0,AN1404/H1404,1))),IF(R1404&gt;0,AO1404/R1404,0))/MAX(0.1,N(Parameter!$M$21)))</f>
        <v>0.0384615384615385</v>
      </c>
      <c r="AQ1404" s="57" t="n">
        <f aca="false">AN1404*G1404</f>
        <v>12276.72</v>
      </c>
      <c r="AR1404" s="57" t="n">
        <f aca="false">ROUNDUP(MAX(J1404/IF(BZ1404&gt;0,BZ1404,MAX(0.1,N(Cockpit!$I$6))),CC1404)/BS1404,0)*BS1404</f>
        <v>90</v>
      </c>
      <c r="AS1404" s="58" t="n">
        <f aca="false">IF(AP1404&gt;0,J1404/AP1404,-1)</f>
        <v>546</v>
      </c>
      <c r="AT1404" s="58" t="n">
        <f aca="false">IF(AND(OR(BY1404="L1",BY1404="L23"),AP1404&gt;0),SUMIFS($AP$7:$AP$1843,$BY$7:$BY$1843,BY1404,$AS$7:$AS$1843,"&gt;"&amp;AS1404)+SUMIFS($AP$7:$AP$1843,$BY$7:$BY$1843,BY1404,$AS$7:$AS$1843,AS1404,$BQ$7:$BQ$1843,"&lt;="&amp;BQ1404),"")</f>
        <v>32.4422992466471</v>
      </c>
      <c r="AU1404" s="65" t="n">
        <f aca="false">IF(AT1404="",0,MAX(0,MIN(1,(IF(BY1404="L1",Parameter!$E$5,Parameter!$E$6+Parameter!$E$7)-(AT1404-AP1404))/AP1404)))</f>
        <v>1</v>
      </c>
      <c r="AV1404" s="57" t="n">
        <f aca="false">IF(LEFT(Cockpit!$O$5,1)="A",H1404,IF(CA1404=1,CB1404,IF(LEFT(Cockpit!$O$5,1)="B",AZ1404,MAX(AZ1404,H1404))))</f>
        <v>102</v>
      </c>
      <c r="AW1404" s="57" t="n">
        <f aca="false">IF(BT1404=1,0,ROUNDUP(AV1404/BS1404,0))</f>
        <v>2</v>
      </c>
      <c r="AX1404" s="59" t="n">
        <f aca="false">IF(CH1404&gt;0,CH1404*MAX(1,AV1404/X1404),IF(BT1404=1,IF(AV1404&lt;=0,0,BW1404*MAX(1,IF(H1404&gt;0,AV1404/H1404,1))),IF(R1404&gt;0,AW1404/R1404,0))/MAX(0.1,N(Parameter!$M$21)))</f>
        <v>0.0384615384615385</v>
      </c>
      <c r="AY1404" s="57" t="n">
        <f aca="false">AV1404*G1404</f>
        <v>12276.72</v>
      </c>
      <c r="AZ1404" s="57" t="n">
        <f aca="false">ROUNDUP(MAX(J1404/IF(BZ1404&gt;0,BZ1404,MAX(0.1,N(Cockpit!$O$6))),CC1404)/BS1404,0)*BS1404</f>
        <v>90</v>
      </c>
      <c r="BA1404" s="58" t="n">
        <f aca="false">IF(AX1404&gt;0,J1404/AX1404,-1)</f>
        <v>546</v>
      </c>
      <c r="BB1404" s="58" t="n">
        <f aca="false">IF(AND(OR(BY1404="L1",BY1404="L23"),AX1404&gt;0),SUMIFS($AX$7:$AX$1843,$BY$7:$BY$1843,BY1404,$BA$7:$BA$1843,"&gt;"&amp;BA1404)+SUMIFS($AX$7:$AX$1843,$BY$7:$BY$1843,BY1404,$BA$7:$BA$1843,BA1404,$BQ$7:$BQ$1843,"&lt;="&amp;BQ1404),"")</f>
        <v>30.0093155636634</v>
      </c>
      <c r="BC1404" s="65" t="n">
        <f aca="false">IF(BB1404="",0,MAX(0,MIN(1,(IF(BY1404="L1",Parameter!$E$5,Parameter!$E$6+Parameter!$E$7)-(BB1404-AX1404))/AX1404)))</f>
        <v>1</v>
      </c>
      <c r="BD1404" s="55" t="str">
        <f aca="false">IF(AH1404&lt;=0,"",IF(BY1404="Aussen","Aussenlager",IF(BY1404="-","Nicht im Lift",IF(AM1404&gt;=1,"Lift",IF(AM1404&lt;=0,"Aussenlager","teilweise")))))</f>
        <v>Lift</v>
      </c>
      <c r="BE1404" s="55" t="str">
        <f aca="false">IF(AP1404&lt;=0,"",IF(BY1404="Aussen","Aussenlager",IF(BY1404="-","Nicht im Lift",IF(AU1404&gt;=1,"Lift",IF(AU1404&lt;=0,"Aussenlager","teilweise")))))</f>
        <v>Lift</v>
      </c>
      <c r="BF1404" s="55" t="str">
        <f aca="false">IF(AX1404&lt;=0,"",IF(BY1404="Aussen","Aussenlager",IF(BY1404="-","Nicht im Lift",IF(BC1404&gt;=1,"Lift",IF(BC1404&lt;=0,"Aussenlager","teilweise")))))</f>
        <v>Lift</v>
      </c>
      <c r="BG1404" s="55" t="str">
        <f aca="false">IF(A1404="","",IF(BP1404=1,"Neu; ","")&amp;IF(AND(BP1404=0,BK1404&lt;0),"negativer Bestand (Export "&amp;BK1404&amp;"); ","")&amp;IF(J1404&lt;=0,"Kein Verbrauch; ","")&amp;IF(CH1404&gt;0,"Lift "&amp;W1404&amp;" lt. Liftbericht (Fach "&amp;X1404&amp;" Stk); ",IF(BU1404=1,"Gebinde geschätzt ("&amp;T1404&amp;"); ",IF(BT1404=1,"Lose – Tablare geschätzt; ","")))&amp;IF(H1404&gt;AR1404,"Überbestand "&amp;ROUND(H1404-AR1404,0)&amp;" Stk / CHF "&amp;ROUND((H1404-AR1404)*G1404,0)&amp;"; ","")&amp;IF(AND(CA1404=1,CB1404&lt;CC1404),"MAX &lt; MB+LG; ","")&amp;IF(AND(CG1404&gt;0,CF1404*10&gt;CG1404),"zu hoch für Tablar; ","")&amp;IF(AND(BP1404=0,OR(CA1404=1,AA1404&lt;&gt;"",U1404&lt;&gt;"",V1404&lt;&gt;"",AB1404&lt;&gt;"")),"manuell übersteuert; ","")&amp;IF(AND(BT1404=0,R1404=0),"Gebinde unbekannt / Stellmass fehlt; ","")&amp;IF(AND(BT1404=0,N(V1404)&lt;=0,N(Q1404)&lt;=0),"Menge pro Gebinde fehlt (Ist = 1 Gebinde); ","")&amp;BO1404)</f>
        <v>negativer Bestand (Export -36); Überbestand 12 Stk / CHF 1444; </v>
      </c>
      <c r="BH1404" s="55"/>
      <c r="BI1404" s="55"/>
      <c r="BJ1404" s="62"/>
      <c r="BK1404" s="57" t="n">
        <v>-36</v>
      </c>
      <c r="BL1404" s="57" t="n">
        <v>138</v>
      </c>
      <c r="BM1404" s="56" t="n">
        <v>-4332.96</v>
      </c>
      <c r="BN1404" s="57" t="n">
        <v>21</v>
      </c>
      <c r="BO1404" s="55"/>
      <c r="BP1404" s="60" t="n">
        <v>0</v>
      </c>
      <c r="BQ1404" s="60" t="n">
        <v>1404</v>
      </c>
      <c r="BR1404" s="55" t="str">
        <f aca="false">IF(U1404&lt;&gt;"",UPPER(TRIM(U1404)),IF(BU1404=1,UPPER(VLOOKUP(T1404,Parameter!$I$27:$K$29,2,0)),IF(P1404="","LOSE",P1404)))</f>
        <v>S41</v>
      </c>
      <c r="BS1404" s="57" t="n">
        <f aca="false">IF(BR1404="LOSE",1,IF(N(V1404)&gt;0,V1404,IF(BU1404=1,MAX(1,N(VLOOKUP(T1404,Parameter!$I$27:$K$29,3,0)),H1404,N(N1404)),IF(N(Q1404)&gt;0,Q1404,MAX(1,H1404)))))</f>
        <v>90</v>
      </c>
      <c r="BT1404" s="60" t="n">
        <f aca="false">IF(BR1404="LOSE",1,0)</f>
        <v>0</v>
      </c>
      <c r="BU1404" s="60" t="n">
        <f aca="false">IF(AND(U1404="",OR(P1404="",P1404="LOSE"),T1404&lt;&gt;"",N(S1404)&lt;=0,ISNUMBER(MATCH(T1404,Parameter!$I$27:$I$29,0))),1,0)</f>
        <v>0</v>
      </c>
      <c r="BV1404" s="55" t="str">
        <f aca="false">IF(AND(Parameter!$B$19="Ja",E1404&lt;&gt;"",ISNUMBER(MATCH(E1404,Parameter!$I$35:$I$52,0))),VLOOKUP(E1404,Parameter!$I$35:$J$52,2,0),IFERROR(VLOOKUP(D1404,Parameter!$A$35:$C$64,2,0),"Nein"))</f>
        <v>2+3</v>
      </c>
      <c r="BW1404" s="59" t="n">
        <f aca="false">IF(BT1404=0,0,IF(N(S1404)&gt;0,S1404,IFERROR(VLOOKUP(D1404,Parameter!$A$35:$C$64,3,0)+0,0)))</f>
        <v>0</v>
      </c>
      <c r="BX1404" s="55" t="n">
        <f aca="false">IF(AA1404&lt;&gt;"",AA1404,Z1404)</f>
        <v>3</v>
      </c>
      <c r="BY1404" s="55" t="str">
        <f aca="false">IF(BX1404=1,"L1",IF(OR(BX1404=2,BX1404=3),"L23",IF(BX1404="Aussen","Aussen","-")))</f>
        <v>L23</v>
      </c>
      <c r="BZ1404" s="66" t="n">
        <f aca="false">IF(N(AB1404)&gt;0,AB1404,0)</f>
        <v>0</v>
      </c>
      <c r="CA1404" s="60" t="n">
        <f aca="false">IF(ISNUMBER(AE1404),1,0)</f>
        <v>0</v>
      </c>
      <c r="CB1404" s="57" t="n">
        <f aca="false">N(AE1404)</f>
        <v>0</v>
      </c>
      <c r="CC1404" s="57" t="n">
        <f aca="false">N(M1404)+N(N1404)</f>
        <v>27</v>
      </c>
      <c r="CD1404" s="57" t="n">
        <f aca="false">ROUNDUP(H1404/BS1404,0)</f>
        <v>2</v>
      </c>
      <c r="CE1404" s="57" t="n">
        <f aca="false">ROUNDUP(CB1404/BS1404,0)</f>
        <v>0</v>
      </c>
      <c r="CF1404" s="60" t="n">
        <f aca="false">IF(BT1404=1,0,IFERROR(VLOOKUP(BR1404,'Gebinde-Kategorie'!$A$5:$M$45,5,0)+0,0))</f>
        <v>11</v>
      </c>
      <c r="CG1404" s="60" t="n">
        <f aca="false">IFERROR(IF(OR(BX1404=1,BX1404=2,BX1404=3),N(INDEX(Parameter!$I$5:$I$7,BX1404)),0),0)</f>
        <v>0</v>
      </c>
      <c r="CH1404" s="59" t="n">
        <f aca="false">IF(AND(Parameter!$B$21="Ja",ISNUMBER(W1404),N(X1404)&gt;0),IFERROR(N(INDEX(Parameter!$L$5:$L$7,W1404))*INDEX(Parameter!$E$5:$E$7,W1404)*X1404/SUMIFS($X$7:$X$1843,$W$7:$W$1843,W1404),0),0)</f>
        <v>0</v>
      </c>
    </row>
    <row r="1405" customFormat="false" ht="15" hidden="false" customHeight="false" outlineLevel="0" collapsed="false">
      <c r="A1405" s="55" t="s">
        <v>2467</v>
      </c>
      <c r="B1405" s="55" t="s">
        <v>2468</v>
      </c>
      <c r="C1405" s="55" t="s">
        <v>164</v>
      </c>
      <c r="D1405" s="55" t="s">
        <v>184</v>
      </c>
      <c r="E1405" s="55" t="s">
        <v>185</v>
      </c>
      <c r="F1405" s="55" t="s">
        <v>218</v>
      </c>
      <c r="G1405" s="56" t="n">
        <v>32.26</v>
      </c>
      <c r="H1405" s="57" t="n">
        <f aca="false">MAX(0,IF(AND(Parameter!$B$21="Ja",ISNUMBER(Y1405)),Y1405,IF(Parameter!$B$20="Jahresanfang 2025 + Export",BL1405+BK1405,BK1405)))</f>
        <v>109</v>
      </c>
      <c r="I1405" s="57" t="n">
        <f aca="false">H1405*G1405</f>
        <v>3516.34</v>
      </c>
      <c r="J1405" s="57" t="n">
        <f aca="false">BN1405*Parameter!$B$18</f>
        <v>893</v>
      </c>
      <c r="K1405" s="58" t="n">
        <v>193.5</v>
      </c>
      <c r="L1405" s="59" t="n">
        <v>4.61498708010336</v>
      </c>
      <c r="M1405" s="57" t="n">
        <v>52</v>
      </c>
      <c r="N1405" s="57" t="n">
        <v>300</v>
      </c>
      <c r="O1405" s="60" t="n">
        <v>21</v>
      </c>
      <c r="P1405" s="55" t="s">
        <v>233</v>
      </c>
      <c r="Q1405" s="57" t="n">
        <v>301</v>
      </c>
      <c r="R1405" s="60" t="n">
        <f aca="false">IF(BT1405=1,0,IFERROR(VLOOKUP(BR1405,'Gebinde-Kategorie'!$A$5:$M$45,13,0)+0,0))</f>
        <v>26</v>
      </c>
      <c r="S1405" s="61"/>
      <c r="T1405" s="62"/>
      <c r="U1405" s="62"/>
      <c r="V1405" s="62"/>
      <c r="W1405" s="55"/>
      <c r="X1405" s="57"/>
      <c r="Y1405" s="57"/>
      <c r="Z1405" s="55" t="n">
        <f aca="false">IF(A1405="","",IF(AND(Parameter!$B$21="Ja",ISNUMBER(W1405)),W1405,IF(BV1405="2+3",IF(ISNUMBER(SEARCH("grosser Artikel",BO1405)),2,IFERROR(VLOOKUP(BR1405,Parameter!$F$35:$G$64,2,0),2)),IF(OR(BV1405="Nein",BV1405=""),"-",BV1405))))</f>
        <v>3</v>
      </c>
      <c r="AA1405" s="62"/>
      <c r="AB1405" s="63"/>
      <c r="AC1405" s="57" t="n">
        <f aca="false">AR1405</f>
        <v>602</v>
      </c>
      <c r="AD1405" s="57" t="n">
        <f aca="false">MAX(AR1405,H1405)</f>
        <v>602</v>
      </c>
      <c r="AE1405" s="64"/>
      <c r="AF1405" s="57" t="n">
        <f aca="false">IF(LEFT(Cockpit!$C$5,1)="A",H1405,IF(CA1405=1,CB1405,IF(LEFT(Cockpit!$C$5,1)="B",AJ1405,MAX(AJ1405,H1405))))</f>
        <v>109</v>
      </c>
      <c r="AG1405" s="57" t="n">
        <f aca="false">IF(BT1405=1,0,ROUNDUP(AF1405/BS1405,0))</f>
        <v>1</v>
      </c>
      <c r="AH1405" s="59" t="n">
        <f aca="false">IF(CH1405&gt;0,CH1405*MAX(1,AF1405/X1405),IF(BT1405=1,IF(AF1405&lt;=0,0,BW1405*MAX(1,IF(H1405&gt;0,AF1405/H1405,1))),IF(R1405&gt;0,AG1405/R1405,0))/MAX(0.1,N(Parameter!$M$21)))</f>
        <v>0.0384615384615385</v>
      </c>
      <c r="AI1405" s="57" t="n">
        <f aca="false">AF1405*G1405</f>
        <v>3516.34</v>
      </c>
      <c r="AJ1405" s="57" t="n">
        <f aca="false">ROUNDUP(MAX(J1405/IF(BZ1405&gt;0,BZ1405,MAX(0.1,N(Cockpit!$C$6))),CC1405)/BS1405,0)*BS1405</f>
        <v>602</v>
      </c>
      <c r="AK1405" s="58" t="n">
        <f aca="false">IF(AH1405&gt;0,J1405/AH1405,-1)</f>
        <v>23218</v>
      </c>
      <c r="AL1405" s="58" t="n">
        <f aca="false">IF(AND(OR(BY1405="L1",BY1405="L23"),AH1405&gt;0),SUMIFS($AH$7:$AH$1843,$BY$7:$BY$1843,BY1405,$AK$7:$AK$1843,"&gt;"&amp;AK1405)+SUMIFS($AH$7:$AH$1843,$BY$7:$BY$1843,BY1405,$AK$7:$AK$1843,AK1405,$BQ$7:$BQ$1843,"&lt;="&amp;BQ1405),"")</f>
        <v>3.2388263910003</v>
      </c>
      <c r="AM1405" s="65" t="n">
        <f aca="false">IF(AL1405="",0,MAX(0,MIN(1,(IF(BY1405="L1",Parameter!$E$5,Parameter!$E$6+Parameter!$E$7)-(AL1405-AH1405))/AH1405)))</f>
        <v>1</v>
      </c>
      <c r="AN1405" s="57" t="n">
        <f aca="false">IF(LEFT(Cockpit!$I$5,1)="A",H1405,IF(CA1405=1,CB1405,IF(LEFT(Cockpit!$I$5,1)="B",AR1405,MAX(AR1405,H1405))))</f>
        <v>602</v>
      </c>
      <c r="AO1405" s="57" t="n">
        <f aca="false">IF(BT1405=1,0,ROUNDUP(AN1405/BS1405,0))</f>
        <v>2</v>
      </c>
      <c r="AP1405" s="59" t="n">
        <f aca="false">IF(CH1405&gt;0,CH1405*MAX(1,AN1405/X1405),IF(BT1405=1,IF(AN1405&lt;=0,0,BW1405*MAX(1,IF(H1405&gt;0,AN1405/H1405,1))),IF(R1405&gt;0,AO1405/R1405,0))/MAX(0.1,N(Parameter!$M$21)))</f>
        <v>0.0769230769230769</v>
      </c>
      <c r="AQ1405" s="57" t="n">
        <f aca="false">AN1405*G1405</f>
        <v>19420.52</v>
      </c>
      <c r="AR1405" s="57" t="n">
        <f aca="false">ROUNDUP(MAX(J1405/IF(BZ1405&gt;0,BZ1405,MAX(0.1,N(Cockpit!$I$6))),CC1405)/BS1405,0)*BS1405</f>
        <v>602</v>
      </c>
      <c r="AS1405" s="58" t="n">
        <f aca="false">IF(AP1405&gt;0,J1405/AP1405,-1)</f>
        <v>11609</v>
      </c>
      <c r="AT1405" s="58" t="n">
        <f aca="false">IF(AND(OR(BY1405="L1",BY1405="L23"),AP1405&gt;0),SUMIFS($AP$7:$AP$1843,$BY$7:$BY$1843,BY1405,$AS$7:$AS$1843,"&gt;"&amp;AS1405)+SUMIFS($AP$7:$AP$1843,$BY$7:$BY$1843,BY1405,$AS$7:$AS$1843,AS1405,$BQ$7:$BQ$1843,"&lt;="&amp;BQ1405),"")</f>
        <v>5.6897233201581</v>
      </c>
      <c r="AU1405" s="65" t="n">
        <f aca="false">IF(AT1405="",0,MAX(0,MIN(1,(IF(BY1405="L1",Parameter!$E$5,Parameter!$E$6+Parameter!$E$7)-(AT1405-AP1405))/AP1405)))</f>
        <v>1</v>
      </c>
      <c r="AV1405" s="57" t="n">
        <f aca="false">IF(LEFT(Cockpit!$O$5,1)="A",H1405,IF(CA1405=1,CB1405,IF(LEFT(Cockpit!$O$5,1)="B",AZ1405,MAX(AZ1405,H1405))))</f>
        <v>602</v>
      </c>
      <c r="AW1405" s="57" t="n">
        <f aca="false">IF(BT1405=1,0,ROUNDUP(AV1405/BS1405,0))</f>
        <v>2</v>
      </c>
      <c r="AX1405" s="59" t="n">
        <f aca="false">IF(CH1405&gt;0,CH1405*MAX(1,AV1405/X1405),IF(BT1405=1,IF(AV1405&lt;=0,0,BW1405*MAX(1,IF(H1405&gt;0,AV1405/H1405,1))),IF(R1405&gt;0,AW1405/R1405,0))/MAX(0.1,N(Parameter!$M$21)))</f>
        <v>0.0769230769230769</v>
      </c>
      <c r="AY1405" s="57" t="n">
        <f aca="false">AV1405*G1405</f>
        <v>19420.52</v>
      </c>
      <c r="AZ1405" s="57" t="n">
        <f aca="false">ROUNDUP(MAX(J1405/IF(BZ1405&gt;0,BZ1405,MAX(0.1,N(Cockpit!$O$6))),CC1405)/BS1405,0)*BS1405</f>
        <v>602</v>
      </c>
      <c r="BA1405" s="58" t="n">
        <f aca="false">IF(AX1405&gt;0,J1405/AX1405,-1)</f>
        <v>11609</v>
      </c>
      <c r="BB1405" s="58" t="n">
        <f aca="false">IF(AND(OR(BY1405="L1",BY1405="L23"),AX1405&gt;0),SUMIFS($AX$7:$AX$1843,$BY$7:$BY$1843,BY1405,$BA$7:$BA$1843,"&gt;"&amp;BA1405)+SUMIFS($AX$7:$AX$1843,$BY$7:$BY$1843,BY1405,$BA$7:$BA$1843,BA1405,$BQ$7:$BQ$1843,"&lt;="&amp;BQ1405),"")</f>
        <v>6.84007297050775</v>
      </c>
      <c r="BC1405" s="65" t="n">
        <f aca="false">IF(BB1405="",0,MAX(0,MIN(1,(IF(BY1405="L1",Parameter!$E$5,Parameter!$E$6+Parameter!$E$7)-(BB1405-AX1405))/AX1405)))</f>
        <v>1</v>
      </c>
      <c r="BD1405" s="55" t="str">
        <f aca="false">IF(AH1405&lt;=0,"",IF(BY1405="Aussen","Aussenlager",IF(BY1405="-","Nicht im Lift",IF(AM1405&gt;=1,"Lift",IF(AM1405&lt;=0,"Aussenlager","teilweise")))))</f>
        <v>Lift</v>
      </c>
      <c r="BE1405" s="55" t="str">
        <f aca="false">IF(AP1405&lt;=0,"",IF(BY1405="Aussen","Aussenlager",IF(BY1405="-","Nicht im Lift",IF(AU1405&gt;=1,"Lift",IF(AU1405&lt;=0,"Aussenlager","teilweise")))))</f>
        <v>Lift</v>
      </c>
      <c r="BF1405" s="55" t="str">
        <f aca="false">IF(AX1405&lt;=0,"",IF(BY1405="Aussen","Aussenlager",IF(BY1405="-","Nicht im Lift",IF(BC1405&gt;=1,"Lift",IF(BC1405&lt;=0,"Aussenlager","teilweise")))))</f>
        <v>Lift</v>
      </c>
      <c r="BG1405" s="55" t="str">
        <f aca="false">IF(A1405="","",IF(BP1405=1,"Neu; ","")&amp;IF(AND(BP1405=0,BK1405&lt;0),"negativer Bestand (Export "&amp;BK1405&amp;"); ","")&amp;IF(J1405&lt;=0,"Kein Verbrauch; ","")&amp;IF(CH1405&gt;0,"Lift "&amp;W1405&amp;" lt. Liftbericht (Fach "&amp;X1405&amp;" Stk); ",IF(BU1405=1,"Gebinde geschätzt ("&amp;T1405&amp;"); ",IF(BT1405=1,"Lose – Tablare geschätzt; ","")))&amp;IF(H1405&gt;AR1405,"Überbestand "&amp;ROUND(H1405-AR1405,0)&amp;" Stk / CHF "&amp;ROUND((H1405-AR1405)*G1405,0)&amp;"; ","")&amp;IF(AND(CA1405=1,CB1405&lt;CC1405),"MAX &lt; MB+LG; ","")&amp;IF(AND(CG1405&gt;0,CF1405*10&gt;CG1405),"zu hoch für Tablar; ","")&amp;IF(AND(BP1405=0,OR(CA1405=1,AA1405&lt;&gt;"",U1405&lt;&gt;"",V1405&lt;&gt;"",AB1405&lt;&gt;"")),"manuell übersteuert; ","")&amp;IF(AND(BT1405=0,R1405=0),"Gebinde unbekannt / Stellmass fehlt; ","")&amp;IF(AND(BT1405=0,N(V1405)&lt;=0,N(Q1405)&lt;=0),"Menge pro Gebinde fehlt (Ist = 1 Gebinde); ","")&amp;BO1405)</f>
        <v>negativer Bestand (Export -138); </v>
      </c>
      <c r="BH1405" s="55"/>
      <c r="BI1405" s="55"/>
      <c r="BJ1405" s="62"/>
      <c r="BK1405" s="57" t="n">
        <v>-138</v>
      </c>
      <c r="BL1405" s="57" t="n">
        <v>247</v>
      </c>
      <c r="BM1405" s="56" t="n">
        <v>-4334.27999999999</v>
      </c>
      <c r="BN1405" s="57" t="n">
        <v>893</v>
      </c>
      <c r="BO1405" s="55"/>
      <c r="BP1405" s="60" t="n">
        <v>0</v>
      </c>
      <c r="BQ1405" s="60" t="n">
        <v>1405</v>
      </c>
      <c r="BR1405" s="55" t="str">
        <f aca="false">IF(U1405&lt;&gt;"",UPPER(TRIM(U1405)),IF(BU1405=1,UPPER(VLOOKUP(T1405,Parameter!$I$27:$K$29,2,0)),IF(P1405="","LOSE",P1405)))</f>
        <v>S52</v>
      </c>
      <c r="BS1405" s="57" t="n">
        <f aca="false">IF(BR1405="LOSE",1,IF(N(V1405)&gt;0,V1405,IF(BU1405=1,MAX(1,N(VLOOKUP(T1405,Parameter!$I$27:$K$29,3,0)),H1405,N(N1405)),IF(N(Q1405)&gt;0,Q1405,MAX(1,H1405)))))</f>
        <v>301</v>
      </c>
      <c r="BT1405" s="60" t="n">
        <f aca="false">IF(BR1405="LOSE",1,0)</f>
        <v>0</v>
      </c>
      <c r="BU1405" s="60" t="n">
        <f aca="false">IF(AND(U1405="",OR(P1405="",P1405="LOSE"),T1405&lt;&gt;"",N(S1405)&lt;=0,ISNUMBER(MATCH(T1405,Parameter!$I$27:$I$29,0))),1,0)</f>
        <v>0</v>
      </c>
      <c r="BV1405" s="55" t="str">
        <f aca="false">IF(AND(Parameter!$B$19="Ja",E1405&lt;&gt;"",ISNUMBER(MATCH(E1405,Parameter!$I$35:$I$52,0))),VLOOKUP(E1405,Parameter!$I$35:$J$52,2,0),IFERROR(VLOOKUP(D1405,Parameter!$A$35:$C$64,2,0),"Nein"))</f>
        <v>2+3</v>
      </c>
      <c r="BW1405" s="59" t="n">
        <f aca="false">IF(BT1405=0,0,IF(N(S1405)&gt;0,S1405,IFERROR(VLOOKUP(D1405,Parameter!$A$35:$C$64,3,0)+0,0)))</f>
        <v>0</v>
      </c>
      <c r="BX1405" s="55" t="n">
        <f aca="false">IF(AA1405&lt;&gt;"",AA1405,Z1405)</f>
        <v>3</v>
      </c>
      <c r="BY1405" s="55" t="str">
        <f aca="false">IF(BX1405=1,"L1",IF(OR(BX1405=2,BX1405=3),"L23",IF(BX1405="Aussen","Aussen","-")))</f>
        <v>L23</v>
      </c>
      <c r="BZ1405" s="66" t="n">
        <f aca="false">IF(N(AB1405)&gt;0,AB1405,0)</f>
        <v>0</v>
      </c>
      <c r="CA1405" s="60" t="n">
        <f aca="false">IF(ISNUMBER(AE1405),1,0)</f>
        <v>0</v>
      </c>
      <c r="CB1405" s="57" t="n">
        <f aca="false">N(AE1405)</f>
        <v>0</v>
      </c>
      <c r="CC1405" s="57" t="n">
        <f aca="false">N(M1405)+N(N1405)</f>
        <v>352</v>
      </c>
      <c r="CD1405" s="57" t="n">
        <f aca="false">ROUNDUP(H1405/BS1405,0)</f>
        <v>1</v>
      </c>
      <c r="CE1405" s="57" t="n">
        <f aca="false">ROUNDUP(CB1405/BS1405,0)</f>
        <v>0</v>
      </c>
      <c r="CF1405" s="60" t="n">
        <f aca="false">IF(BT1405=1,0,IFERROR(VLOOKUP(BR1405,'Gebinde-Kategorie'!$A$5:$M$45,5,0)+0,0))</f>
        <v>21</v>
      </c>
      <c r="CG1405" s="60" t="n">
        <f aca="false">IFERROR(IF(OR(BX1405=1,BX1405=2,BX1405=3),N(INDEX(Parameter!$I$5:$I$7,BX1405)),0),0)</f>
        <v>0</v>
      </c>
      <c r="CH1405" s="59" t="n">
        <f aca="false">IF(AND(Parameter!$B$21="Ja",ISNUMBER(W1405),N(X1405)&gt;0),IFERROR(N(INDEX(Parameter!$L$5:$L$7,W1405))*INDEX(Parameter!$E$5:$E$7,W1405)*X1405/SUMIFS($X$7:$X$1843,$W$7:$W$1843,W1405),0),0)</f>
        <v>0</v>
      </c>
    </row>
    <row r="1406" customFormat="false" ht="15" hidden="false" customHeight="false" outlineLevel="0" collapsed="false">
      <c r="A1406" s="55" t="s">
        <v>2469</v>
      </c>
      <c r="B1406" s="55" t="s">
        <v>2470</v>
      </c>
      <c r="C1406" s="55" t="s">
        <v>164</v>
      </c>
      <c r="D1406" s="55" t="s">
        <v>173</v>
      </c>
      <c r="E1406" s="55" t="s">
        <v>166</v>
      </c>
      <c r="F1406" s="55" t="s">
        <v>218</v>
      </c>
      <c r="G1406" s="56" t="n">
        <v>1473.76</v>
      </c>
      <c r="H1406" s="57" t="n">
        <f aca="false">MAX(0,IF(AND(Parameter!$B$21="Ja",ISNUMBER(Y1406)),Y1406,IF(Parameter!$B$20="Jahresanfang 2025 + Export",BL1406+BK1406,BK1406)))</f>
        <v>10</v>
      </c>
      <c r="I1406" s="57" t="n">
        <f aca="false">H1406*G1406</f>
        <v>14737.6</v>
      </c>
      <c r="J1406" s="57" t="n">
        <f aca="false">BN1406*Parameter!$B$18</f>
        <v>2</v>
      </c>
      <c r="K1406" s="58" t="n">
        <v>12</v>
      </c>
      <c r="L1406" s="59" t="n">
        <v>0.166666666666667</v>
      </c>
      <c r="M1406" s="57" t="n">
        <v>0</v>
      </c>
      <c r="N1406" s="57" t="n">
        <v>1</v>
      </c>
      <c r="O1406" s="60" t="n">
        <v>112</v>
      </c>
      <c r="P1406" s="55" t="s">
        <v>174</v>
      </c>
      <c r="Q1406" s="57" t="n">
        <v>10</v>
      </c>
      <c r="R1406" s="60" t="n">
        <f aca="false">IF(BT1406=1,0,IFERROR(VLOOKUP(BR1406,'Gebinde-Kategorie'!$A$5:$M$45,13,0)+0,0))</f>
        <v>6</v>
      </c>
      <c r="S1406" s="61"/>
      <c r="T1406" s="62"/>
      <c r="U1406" s="62"/>
      <c r="V1406" s="62"/>
      <c r="W1406" s="55"/>
      <c r="X1406" s="57"/>
      <c r="Y1406" s="57"/>
      <c r="Z1406" s="55" t="n">
        <f aca="false">IF(A1406="","",IF(AND(Parameter!$B$21="Ja",ISNUMBER(W1406)),W1406,IF(BV1406="2+3",IF(ISNUMBER(SEARCH("grosser Artikel",BO1406)),2,IFERROR(VLOOKUP(BR1406,Parameter!$F$35:$G$64,2,0),2)),IF(OR(BV1406="Nein",BV1406=""),"-",BV1406))))</f>
        <v>1</v>
      </c>
      <c r="AA1406" s="62"/>
      <c r="AB1406" s="63"/>
      <c r="AC1406" s="57" t="n">
        <f aca="false">AR1406</f>
        <v>10</v>
      </c>
      <c r="AD1406" s="57" t="n">
        <f aca="false">MAX(AR1406,H1406)</f>
        <v>10</v>
      </c>
      <c r="AE1406" s="64"/>
      <c r="AF1406" s="57" t="n">
        <f aca="false">IF(LEFT(Cockpit!$C$5,1)="A",H1406,IF(CA1406=1,CB1406,IF(LEFT(Cockpit!$C$5,1)="B",AJ1406,MAX(AJ1406,H1406))))</f>
        <v>10</v>
      </c>
      <c r="AG1406" s="57" t="n">
        <f aca="false">IF(BT1406=1,0,ROUNDUP(AF1406/BS1406,0))</f>
        <v>1</v>
      </c>
      <c r="AH1406" s="59" t="n">
        <f aca="false">IF(CH1406&gt;0,CH1406*MAX(1,AF1406/X1406),IF(BT1406=1,IF(AF1406&lt;=0,0,BW1406*MAX(1,IF(H1406&gt;0,AF1406/H1406,1))),IF(R1406&gt;0,AG1406/R1406,0))/MAX(0.1,N(Parameter!$M$21)))</f>
        <v>0.166666666666667</v>
      </c>
      <c r="AI1406" s="57" t="n">
        <f aca="false">AF1406*G1406</f>
        <v>14737.6</v>
      </c>
      <c r="AJ1406" s="57" t="n">
        <f aca="false">ROUNDUP(MAX(J1406/IF(BZ1406&gt;0,BZ1406,MAX(0.1,N(Cockpit!$C$6))),CC1406)/BS1406,0)*BS1406</f>
        <v>10</v>
      </c>
      <c r="AK1406" s="58" t="n">
        <f aca="false">IF(AH1406&gt;0,J1406/AH1406,-1)</f>
        <v>12</v>
      </c>
      <c r="AL1406" s="58" t="n">
        <f aca="false">IF(AND(OR(BY1406="L1",BY1406="L23"),AH1406&gt;0),SUMIFS($AH$7:$AH$1843,$BY$7:$BY$1843,BY1406,$AK$7:$AK$1843,"&gt;"&amp;AK1406)+SUMIFS($AH$7:$AH$1843,$BY$7:$BY$1843,BY1406,$AK$7:$AK$1843,AK1406,$BQ$7:$BQ$1843,"&lt;="&amp;BQ1406),"")</f>
        <v>30.173623314375</v>
      </c>
      <c r="AM1406" s="65" t="n">
        <f aca="false">IF(AL1406="",0,MAX(0,MIN(1,(IF(BY1406="L1",Parameter!$E$5,Parameter!$E$6+Parameter!$E$7)-(AL1406-AH1406))/AH1406)))</f>
        <v>1</v>
      </c>
      <c r="AN1406" s="57" t="n">
        <f aca="false">IF(LEFT(Cockpit!$I$5,1)="A",H1406,IF(CA1406=1,CB1406,IF(LEFT(Cockpit!$I$5,1)="B",AR1406,MAX(AR1406,H1406))))</f>
        <v>10</v>
      </c>
      <c r="AO1406" s="57" t="n">
        <f aca="false">IF(BT1406=1,0,ROUNDUP(AN1406/BS1406,0))</f>
        <v>1</v>
      </c>
      <c r="AP1406" s="59" t="n">
        <f aca="false">IF(CH1406&gt;0,CH1406*MAX(1,AN1406/X1406),IF(BT1406=1,IF(AN1406&lt;=0,0,BW1406*MAX(1,IF(H1406&gt;0,AN1406/H1406,1))),IF(R1406&gt;0,AO1406/R1406,0))/MAX(0.1,N(Parameter!$M$21)))</f>
        <v>0.166666666666667</v>
      </c>
      <c r="AQ1406" s="57" t="n">
        <f aca="false">AN1406*G1406</f>
        <v>14737.6</v>
      </c>
      <c r="AR1406" s="57" t="n">
        <f aca="false">ROUNDUP(MAX(J1406/IF(BZ1406&gt;0,BZ1406,MAX(0.1,N(Cockpit!$I$6))),CC1406)/BS1406,0)*BS1406</f>
        <v>10</v>
      </c>
      <c r="AS1406" s="58" t="n">
        <f aca="false">IF(AP1406&gt;0,J1406/AP1406,-1)</f>
        <v>12</v>
      </c>
      <c r="AT1406" s="58" t="n">
        <f aca="false">IF(AND(OR(BY1406="L1",BY1406="L23"),AP1406&gt;0),SUMIFS($AP$7:$AP$1843,$BY$7:$BY$1843,BY1406,$AS$7:$AS$1843,"&gt;"&amp;AS1406)+SUMIFS($AP$7:$AP$1843,$BY$7:$BY$1843,BY1406,$AS$7:$AS$1843,AS1406,$BQ$7:$BQ$1843,"&lt;="&amp;BQ1406),"")</f>
        <v>45.5264409299045</v>
      </c>
      <c r="AU1406" s="65" t="n">
        <f aca="false">IF(AT1406="",0,MAX(0,MIN(1,(IF(BY1406="L1",Parameter!$E$5,Parameter!$E$6+Parameter!$E$7)-(AT1406-AP1406))/AP1406)))</f>
        <v>1</v>
      </c>
      <c r="AV1406" s="57" t="n">
        <f aca="false">IF(LEFT(Cockpit!$O$5,1)="A",H1406,IF(CA1406=1,CB1406,IF(LEFT(Cockpit!$O$5,1)="B",AZ1406,MAX(AZ1406,H1406))))</f>
        <v>10</v>
      </c>
      <c r="AW1406" s="57" t="n">
        <f aca="false">IF(BT1406=1,0,ROUNDUP(AV1406/BS1406,0))</f>
        <v>1</v>
      </c>
      <c r="AX1406" s="59" t="n">
        <f aca="false">IF(CH1406&gt;0,CH1406*MAX(1,AV1406/X1406),IF(BT1406=1,IF(AV1406&lt;=0,0,BW1406*MAX(1,IF(H1406&gt;0,AV1406/H1406,1))),IF(R1406&gt;0,AW1406/R1406,0))/MAX(0.1,N(Parameter!$M$21)))</f>
        <v>0.166666666666667</v>
      </c>
      <c r="AY1406" s="57" t="n">
        <f aca="false">AV1406*G1406</f>
        <v>14737.6</v>
      </c>
      <c r="AZ1406" s="57" t="n">
        <f aca="false">ROUNDUP(MAX(J1406/IF(BZ1406&gt;0,BZ1406,MAX(0.1,N(Cockpit!$O$6))),CC1406)/BS1406,0)*BS1406</f>
        <v>10</v>
      </c>
      <c r="BA1406" s="58" t="n">
        <f aca="false">IF(AX1406&gt;0,J1406/AX1406,-1)</f>
        <v>12</v>
      </c>
      <c r="BB1406" s="58" t="n">
        <f aca="false">IF(AND(OR(BY1406="L1",BY1406="L23"),AX1406&gt;0),SUMIFS($AX$7:$AX$1843,$BY$7:$BY$1843,BY1406,$BA$7:$BA$1843,"&gt;"&amp;BA1406)+SUMIFS($AX$7:$AX$1843,$BY$7:$BY$1843,BY1406,$BA$7:$BA$1843,BA1406,$BQ$7:$BQ$1843,"&lt;="&amp;BQ1406),"")</f>
        <v>39.1932524611228</v>
      </c>
      <c r="BC1406" s="65" t="n">
        <f aca="false">IF(BB1406="",0,MAX(0,MIN(1,(IF(BY1406="L1",Parameter!$E$5,Parameter!$E$6+Parameter!$E$7)-(BB1406-AX1406))/AX1406)))</f>
        <v>1</v>
      </c>
      <c r="BD1406" s="55" t="str">
        <f aca="false">IF(AH1406&lt;=0,"",IF(BY1406="Aussen","Aussenlager",IF(BY1406="-","Nicht im Lift",IF(AM1406&gt;=1,"Lift",IF(AM1406&lt;=0,"Aussenlager","teilweise")))))</f>
        <v>Lift</v>
      </c>
      <c r="BE1406" s="55" t="str">
        <f aca="false">IF(AP1406&lt;=0,"",IF(BY1406="Aussen","Aussenlager",IF(BY1406="-","Nicht im Lift",IF(AU1406&gt;=1,"Lift",IF(AU1406&lt;=0,"Aussenlager","teilweise")))))</f>
        <v>Lift</v>
      </c>
      <c r="BF1406" s="55" t="str">
        <f aca="false">IF(AX1406&lt;=0,"",IF(BY1406="Aussen","Aussenlager",IF(BY1406="-","Nicht im Lift",IF(BC1406&gt;=1,"Lift",IF(BC1406&lt;=0,"Aussenlager","teilweise")))))</f>
        <v>Lift</v>
      </c>
      <c r="BG1406" s="55" t="str">
        <f aca="false">IF(A1406="","",IF(BP1406=1,"Neu; ","")&amp;IF(AND(BP1406=0,BK1406&lt;0),"negativer Bestand (Export "&amp;BK1406&amp;"); ","")&amp;IF(J1406&lt;=0,"Kein Verbrauch; ","")&amp;IF(CH1406&gt;0,"Lift "&amp;W1406&amp;" lt. Liftbericht (Fach "&amp;X1406&amp;" Stk); ",IF(BU1406=1,"Gebinde geschätzt ("&amp;T1406&amp;"); ",IF(BT1406=1,"Lose – Tablare geschätzt; ","")))&amp;IF(H1406&gt;AR1406,"Überbestand "&amp;ROUND(H1406-AR1406,0)&amp;" Stk / CHF "&amp;ROUND((H1406-AR1406)*G1406,0)&amp;"; ","")&amp;IF(AND(CA1406=1,CB1406&lt;CC1406),"MAX &lt; MB+LG; ","")&amp;IF(AND(CG1406&gt;0,CF1406*10&gt;CG1406),"zu hoch für Tablar; ","")&amp;IF(AND(BP1406=0,OR(CA1406=1,AA1406&lt;&gt;"",U1406&lt;&gt;"",V1406&lt;&gt;"",AB1406&lt;&gt;"")),"manuell übersteuert; ","")&amp;IF(AND(BT1406=0,R1406=0),"Gebinde unbekannt / Stellmass fehlt; ","")&amp;IF(AND(BT1406=0,N(V1406)&lt;=0,N(Q1406)&lt;=0),"Menge pro Gebinde fehlt (Ist = 1 Gebinde); ","")&amp;BO1406)</f>
        <v>negativer Bestand (Export -3); Twin</v>
      </c>
      <c r="BH1406" s="55"/>
      <c r="BI1406" s="55"/>
      <c r="BJ1406" s="62"/>
      <c r="BK1406" s="57" t="n">
        <v>-3</v>
      </c>
      <c r="BL1406" s="57" t="n">
        <v>13</v>
      </c>
      <c r="BM1406" s="56" t="n">
        <v>-4421.28</v>
      </c>
      <c r="BN1406" s="57" t="n">
        <v>2</v>
      </c>
      <c r="BO1406" s="55" t="s">
        <v>214</v>
      </c>
      <c r="BP1406" s="60" t="n">
        <v>0</v>
      </c>
      <c r="BQ1406" s="60" t="n">
        <v>1406</v>
      </c>
      <c r="BR1406" s="55" t="str">
        <f aca="false">IF(U1406&lt;&gt;"",UPPER(TRIM(U1406)),IF(BU1406=1,UPPER(VLOOKUP(T1406,Parameter!$I$27:$K$29,2,0)),IF(P1406="","LOSE",P1406)))</f>
        <v>S71</v>
      </c>
      <c r="BS1406" s="57" t="n">
        <f aca="false">IF(BR1406="LOSE",1,IF(N(V1406)&gt;0,V1406,IF(BU1406=1,MAX(1,N(VLOOKUP(T1406,Parameter!$I$27:$K$29,3,0)),H1406,N(N1406)),IF(N(Q1406)&gt;0,Q1406,MAX(1,H1406)))))</f>
        <v>10</v>
      </c>
      <c r="BT1406" s="60" t="n">
        <f aca="false">IF(BR1406="LOSE",1,0)</f>
        <v>0</v>
      </c>
      <c r="BU1406" s="60" t="n">
        <f aca="false">IF(AND(U1406="",OR(P1406="",P1406="LOSE"),T1406&lt;&gt;"",N(S1406)&lt;=0,ISNUMBER(MATCH(T1406,Parameter!$I$27:$I$29,0))),1,0)</f>
        <v>0</v>
      </c>
      <c r="BV1406" s="55" t="n">
        <f aca="false">IF(AND(Parameter!$B$19="Ja",E1406&lt;&gt;"",ISNUMBER(MATCH(E1406,Parameter!$I$35:$I$52,0))),VLOOKUP(E1406,Parameter!$I$35:$J$52,2,0),IFERROR(VLOOKUP(D1406,Parameter!$A$35:$C$64,2,0),"Nein"))</f>
        <v>1</v>
      </c>
      <c r="BW1406" s="59" t="n">
        <f aca="false">IF(BT1406=0,0,IF(N(S1406)&gt;0,S1406,IFERROR(VLOOKUP(D1406,Parameter!$A$35:$C$64,3,0)+0,0)))</f>
        <v>0</v>
      </c>
      <c r="BX1406" s="55" t="n">
        <f aca="false">IF(AA1406&lt;&gt;"",AA1406,Z1406)</f>
        <v>1</v>
      </c>
      <c r="BY1406" s="55" t="str">
        <f aca="false">IF(BX1406=1,"L1",IF(OR(BX1406=2,BX1406=3),"L23",IF(BX1406="Aussen","Aussen","-")))</f>
        <v>L1</v>
      </c>
      <c r="BZ1406" s="66" t="n">
        <f aca="false">IF(N(AB1406)&gt;0,AB1406,0)</f>
        <v>0</v>
      </c>
      <c r="CA1406" s="60" t="n">
        <f aca="false">IF(ISNUMBER(AE1406),1,0)</f>
        <v>0</v>
      </c>
      <c r="CB1406" s="57" t="n">
        <f aca="false">N(AE1406)</f>
        <v>0</v>
      </c>
      <c r="CC1406" s="57" t="n">
        <f aca="false">N(M1406)+N(N1406)</f>
        <v>1</v>
      </c>
      <c r="CD1406" s="57" t="n">
        <f aca="false">ROUNDUP(H1406/BS1406,0)</f>
        <v>1</v>
      </c>
      <c r="CE1406" s="57" t="n">
        <f aca="false">ROUNDUP(CB1406/BS1406,0)</f>
        <v>0</v>
      </c>
      <c r="CF1406" s="60" t="n">
        <f aca="false">IF(BT1406=1,0,IFERROR(VLOOKUP(BR1406,'Gebinde-Kategorie'!$A$5:$M$45,5,0)+0,0))</f>
        <v>20</v>
      </c>
      <c r="CG1406" s="60" t="n">
        <f aca="false">IFERROR(IF(OR(BX1406=1,BX1406=2,BX1406=3),N(INDEX(Parameter!$I$5:$I$7,BX1406)),0),0)</f>
        <v>0</v>
      </c>
      <c r="CH1406" s="59" t="n">
        <f aca="false">IF(AND(Parameter!$B$21="Ja",ISNUMBER(W1406),N(X1406)&gt;0),IFERROR(N(INDEX(Parameter!$L$5:$L$7,W1406))*INDEX(Parameter!$E$5:$E$7,W1406)*X1406/SUMIFS($X$7:$X$1843,$W$7:$W$1843,W1406),0),0)</f>
        <v>0</v>
      </c>
    </row>
    <row r="1407" customFormat="false" ht="15" hidden="false" customHeight="false" outlineLevel="0" collapsed="false">
      <c r="A1407" s="55" t="s">
        <v>2471</v>
      </c>
      <c r="B1407" s="55" t="s">
        <v>290</v>
      </c>
      <c r="C1407" s="55" t="s">
        <v>164</v>
      </c>
      <c r="D1407" s="55" t="s">
        <v>173</v>
      </c>
      <c r="E1407" s="55" t="s">
        <v>173</v>
      </c>
      <c r="F1407" s="55" t="s">
        <v>218</v>
      </c>
      <c r="G1407" s="56" t="n">
        <v>119.13</v>
      </c>
      <c r="H1407" s="57" t="n">
        <f aca="false">MAX(0,IF(AND(Parameter!$B$21="Ja",ISNUMBER(Y1407)),Y1407,IF(Parameter!$B$20="Jahresanfang 2025 + Export",BL1407+BK1407,BK1407)))</f>
        <v>28</v>
      </c>
      <c r="I1407" s="57" t="n">
        <f aca="false">H1407*G1407</f>
        <v>3335.64</v>
      </c>
      <c r="J1407" s="57" t="n">
        <f aca="false">BN1407*Parameter!$B$18</f>
        <v>20</v>
      </c>
      <c r="K1407" s="58" t="n">
        <v>63</v>
      </c>
      <c r="L1407" s="59" t="n">
        <v>0.317460317460317</v>
      </c>
      <c r="M1407" s="57" t="n">
        <v>3</v>
      </c>
      <c r="N1407" s="57" t="n">
        <v>20</v>
      </c>
      <c r="O1407" s="60" t="n">
        <v>56</v>
      </c>
      <c r="P1407" s="55" t="s">
        <v>223</v>
      </c>
      <c r="Q1407" s="57" t="n">
        <v>50</v>
      </c>
      <c r="R1407" s="60" t="n">
        <f aca="false">IF(BT1407=1,0,IFERROR(VLOOKUP(BR1407,'Gebinde-Kategorie'!$A$5:$M$45,13,0)+0,0))</f>
        <v>3</v>
      </c>
      <c r="S1407" s="61"/>
      <c r="T1407" s="62"/>
      <c r="U1407" s="62"/>
      <c r="V1407" s="62"/>
      <c r="W1407" s="55"/>
      <c r="X1407" s="57"/>
      <c r="Y1407" s="57"/>
      <c r="Z1407" s="55" t="str">
        <f aca="false">IF(A1407="","",IF(AND(Parameter!$B$21="Ja",ISNUMBER(W1407)),W1407,IF(BV1407="2+3",IF(ISNUMBER(SEARCH("grosser Artikel",BO1407)),2,IFERROR(VLOOKUP(BR1407,Parameter!$F$35:$G$64,2,0),2)),IF(OR(BV1407="Nein",BV1407=""),"-",BV1407))))</f>
        <v>-</v>
      </c>
      <c r="AA1407" s="62"/>
      <c r="AB1407" s="63"/>
      <c r="AC1407" s="57" t="n">
        <f aca="false">AR1407</f>
        <v>50</v>
      </c>
      <c r="AD1407" s="57" t="n">
        <f aca="false">MAX(AR1407,H1407)</f>
        <v>50</v>
      </c>
      <c r="AE1407" s="64"/>
      <c r="AF1407" s="57" t="n">
        <f aca="false">IF(LEFT(Cockpit!$C$5,1)="A",H1407,IF(CA1407=1,CB1407,IF(LEFT(Cockpit!$C$5,1)="B",AJ1407,MAX(AJ1407,H1407))))</f>
        <v>28</v>
      </c>
      <c r="AG1407" s="57" t="n">
        <f aca="false">IF(BT1407=1,0,ROUNDUP(AF1407/BS1407,0))</f>
        <v>1</v>
      </c>
      <c r="AH1407" s="59" t="n">
        <f aca="false">IF(CH1407&gt;0,CH1407*MAX(1,AF1407/X1407),IF(BT1407=1,IF(AF1407&lt;=0,0,BW1407*MAX(1,IF(H1407&gt;0,AF1407/H1407,1))),IF(R1407&gt;0,AG1407/R1407,0))/MAX(0.1,N(Parameter!$M$21)))</f>
        <v>0.333333333333333</v>
      </c>
      <c r="AI1407" s="57" t="n">
        <f aca="false">AF1407*G1407</f>
        <v>3335.64</v>
      </c>
      <c r="AJ1407" s="57" t="n">
        <f aca="false">ROUNDUP(MAX(J1407/IF(BZ1407&gt;0,BZ1407,MAX(0.1,N(Cockpit!$C$6))),CC1407)/BS1407,0)*BS1407</f>
        <v>50</v>
      </c>
      <c r="AK1407" s="58" t="n">
        <f aca="false">IF(AH1407&gt;0,J1407/AH1407,-1)</f>
        <v>60</v>
      </c>
      <c r="AL1407" s="58" t="str">
        <f aca="false">IF(AND(OR(BY1407="L1",BY1407="L23"),AH1407&gt;0),SUMIFS($AH$7:$AH$1843,$BY$7:$BY$1843,BY1407,$AK$7:$AK$1843,"&gt;"&amp;AK1407)+SUMIFS($AH$7:$AH$1843,$BY$7:$BY$1843,BY1407,$AK$7:$AK$1843,AK1407,$BQ$7:$BQ$1843,"&lt;="&amp;BQ1407),"")</f>
        <v/>
      </c>
      <c r="AM1407" s="65" t="n">
        <f aca="false">IF(AL1407="",0,MAX(0,MIN(1,(IF(BY1407="L1",Parameter!$E$5,Parameter!$E$6+Parameter!$E$7)-(AL1407-AH1407))/AH1407)))</f>
        <v>0</v>
      </c>
      <c r="AN1407" s="57" t="n">
        <f aca="false">IF(LEFT(Cockpit!$I$5,1)="A",H1407,IF(CA1407=1,CB1407,IF(LEFT(Cockpit!$I$5,1)="B",AR1407,MAX(AR1407,H1407))))</f>
        <v>50</v>
      </c>
      <c r="AO1407" s="57" t="n">
        <f aca="false">IF(BT1407=1,0,ROUNDUP(AN1407/BS1407,0))</f>
        <v>1</v>
      </c>
      <c r="AP1407" s="59" t="n">
        <f aca="false">IF(CH1407&gt;0,CH1407*MAX(1,AN1407/X1407),IF(BT1407=1,IF(AN1407&lt;=0,0,BW1407*MAX(1,IF(H1407&gt;0,AN1407/H1407,1))),IF(R1407&gt;0,AO1407/R1407,0))/MAX(0.1,N(Parameter!$M$21)))</f>
        <v>0.333333333333333</v>
      </c>
      <c r="AQ1407" s="57" t="n">
        <f aca="false">AN1407*G1407</f>
        <v>5956.5</v>
      </c>
      <c r="AR1407" s="57" t="n">
        <f aca="false">ROUNDUP(MAX(J1407/IF(BZ1407&gt;0,BZ1407,MAX(0.1,N(Cockpit!$I$6))),CC1407)/BS1407,0)*BS1407</f>
        <v>50</v>
      </c>
      <c r="AS1407" s="58" t="n">
        <f aca="false">IF(AP1407&gt;0,J1407/AP1407,-1)</f>
        <v>60</v>
      </c>
      <c r="AT1407" s="58" t="str">
        <f aca="false">IF(AND(OR(BY1407="L1",BY1407="L23"),AP1407&gt;0),SUMIFS($AP$7:$AP$1843,$BY$7:$BY$1843,BY1407,$AS$7:$AS$1843,"&gt;"&amp;AS1407)+SUMIFS($AP$7:$AP$1843,$BY$7:$BY$1843,BY1407,$AS$7:$AS$1843,AS1407,$BQ$7:$BQ$1843,"&lt;="&amp;BQ1407),"")</f>
        <v/>
      </c>
      <c r="AU1407" s="65" t="n">
        <f aca="false">IF(AT1407="",0,MAX(0,MIN(1,(IF(BY1407="L1",Parameter!$E$5,Parameter!$E$6+Parameter!$E$7)-(AT1407-AP1407))/AP1407)))</f>
        <v>0</v>
      </c>
      <c r="AV1407" s="57" t="n">
        <f aca="false">IF(LEFT(Cockpit!$O$5,1)="A",H1407,IF(CA1407=1,CB1407,IF(LEFT(Cockpit!$O$5,1)="B",AZ1407,MAX(AZ1407,H1407))))</f>
        <v>50</v>
      </c>
      <c r="AW1407" s="57" t="n">
        <f aca="false">IF(BT1407=1,0,ROUNDUP(AV1407/BS1407,0))</f>
        <v>1</v>
      </c>
      <c r="AX1407" s="59" t="n">
        <f aca="false">IF(CH1407&gt;0,CH1407*MAX(1,AV1407/X1407),IF(BT1407=1,IF(AV1407&lt;=0,0,BW1407*MAX(1,IF(H1407&gt;0,AV1407/H1407,1))),IF(R1407&gt;0,AW1407/R1407,0))/MAX(0.1,N(Parameter!$M$21)))</f>
        <v>0.333333333333333</v>
      </c>
      <c r="AY1407" s="57" t="n">
        <f aca="false">AV1407*G1407</f>
        <v>5956.5</v>
      </c>
      <c r="AZ1407" s="57" t="n">
        <f aca="false">ROUNDUP(MAX(J1407/IF(BZ1407&gt;0,BZ1407,MAX(0.1,N(Cockpit!$O$6))),CC1407)/BS1407,0)*BS1407</f>
        <v>50</v>
      </c>
      <c r="BA1407" s="58" t="n">
        <f aca="false">IF(AX1407&gt;0,J1407/AX1407,-1)</f>
        <v>60</v>
      </c>
      <c r="BB1407" s="58" t="str">
        <f aca="false">IF(AND(OR(BY1407="L1",BY1407="L23"),AX1407&gt;0),SUMIFS($AX$7:$AX$1843,$BY$7:$BY$1843,BY1407,$BA$7:$BA$1843,"&gt;"&amp;BA1407)+SUMIFS($AX$7:$AX$1843,$BY$7:$BY$1843,BY1407,$BA$7:$BA$1843,BA1407,$BQ$7:$BQ$1843,"&lt;="&amp;BQ1407),"")</f>
        <v/>
      </c>
      <c r="BC1407" s="65" t="n">
        <f aca="false">IF(BB1407="",0,MAX(0,MIN(1,(IF(BY1407="L1",Parameter!$E$5,Parameter!$E$6+Parameter!$E$7)-(BB1407-AX1407))/AX1407)))</f>
        <v>0</v>
      </c>
      <c r="BD1407" s="55" t="str">
        <f aca="false">IF(AH1407&lt;=0,"",IF(BY1407="Aussen","Aussenlager",IF(BY1407="-","Nicht im Lift",IF(AM1407&gt;=1,"Lift",IF(AM1407&lt;=0,"Aussenlager","teilweise")))))</f>
        <v>Nicht im Lift</v>
      </c>
      <c r="BE1407" s="55" t="str">
        <f aca="false">IF(AP1407&lt;=0,"",IF(BY1407="Aussen","Aussenlager",IF(BY1407="-","Nicht im Lift",IF(AU1407&gt;=1,"Lift",IF(AU1407&lt;=0,"Aussenlager","teilweise")))))</f>
        <v>Nicht im Lift</v>
      </c>
      <c r="BF1407" s="55" t="str">
        <f aca="false">IF(AX1407&lt;=0,"",IF(BY1407="Aussen","Aussenlager",IF(BY1407="-","Nicht im Lift",IF(BC1407&gt;=1,"Lift",IF(BC1407&lt;=0,"Aussenlager","teilweise")))))</f>
        <v>Nicht im Lift</v>
      </c>
      <c r="BG1407" s="55" t="str">
        <f aca="false">IF(A1407="","",IF(BP1407=1,"Neu; ","")&amp;IF(AND(BP1407=0,BK1407&lt;0),"negativer Bestand (Export "&amp;BK1407&amp;"); ","")&amp;IF(J1407&lt;=0,"Kein Verbrauch; ","")&amp;IF(CH1407&gt;0,"Lift "&amp;W1407&amp;" lt. Liftbericht (Fach "&amp;X1407&amp;" Stk); ",IF(BU1407=1,"Gebinde geschätzt ("&amp;T1407&amp;"); ",IF(BT1407=1,"Lose – Tablare geschätzt; ","")))&amp;IF(H1407&gt;AR1407,"Überbestand "&amp;ROUND(H1407-AR1407,0)&amp;" Stk / CHF "&amp;ROUND((H1407-AR1407)*G1407,0)&amp;"; ","")&amp;IF(AND(CA1407=1,CB1407&lt;CC1407),"MAX &lt; MB+LG; ","")&amp;IF(AND(CG1407&gt;0,CF1407*10&gt;CG1407),"zu hoch für Tablar; ","")&amp;IF(AND(BP1407=0,OR(CA1407=1,AA1407&lt;&gt;"",U1407&lt;&gt;"",V1407&lt;&gt;"",AB1407&lt;&gt;"")),"manuell übersteuert; ","")&amp;IF(AND(BT1407=0,R1407=0),"Gebinde unbekannt / Stellmass fehlt; ","")&amp;IF(AND(BT1407=0,N(V1407)&lt;=0,N(Q1407)&lt;=0),"Menge pro Gebinde fehlt (Ist = 1 Gebinde); ","")&amp;BO1407)</f>
        <v>negativer Bestand (Export -40); Neu</v>
      </c>
      <c r="BH1407" s="55"/>
      <c r="BI1407" s="55"/>
      <c r="BJ1407" s="62"/>
      <c r="BK1407" s="57" t="n">
        <v>-40</v>
      </c>
      <c r="BL1407" s="57" t="n">
        <v>68</v>
      </c>
      <c r="BM1407" s="56" t="n">
        <v>-4765.2</v>
      </c>
      <c r="BN1407" s="57" t="n">
        <v>20</v>
      </c>
      <c r="BO1407" s="55" t="s">
        <v>626</v>
      </c>
      <c r="BP1407" s="60" t="n">
        <v>0</v>
      </c>
      <c r="BQ1407" s="60" t="n">
        <v>1407</v>
      </c>
      <c r="BR1407" s="55" t="str">
        <f aca="false">IF(U1407&lt;&gt;"",UPPER(TRIM(U1407)),IF(BU1407=1,UPPER(VLOOKUP(T1407,Parameter!$I$27:$K$29,2,0)),IF(P1407="","LOSE",P1407)))</f>
        <v>S81</v>
      </c>
      <c r="BS1407" s="57" t="n">
        <f aca="false">IF(BR1407="LOSE",1,IF(N(V1407)&gt;0,V1407,IF(BU1407=1,MAX(1,N(VLOOKUP(T1407,Parameter!$I$27:$K$29,3,0)),H1407,N(N1407)),IF(N(Q1407)&gt;0,Q1407,MAX(1,H1407)))))</f>
        <v>50</v>
      </c>
      <c r="BT1407" s="60" t="n">
        <f aca="false">IF(BR1407="LOSE",1,0)</f>
        <v>0</v>
      </c>
      <c r="BU1407" s="60" t="n">
        <f aca="false">IF(AND(U1407="",OR(P1407="",P1407="LOSE"),T1407&lt;&gt;"",N(S1407)&lt;=0,ISNUMBER(MATCH(T1407,Parameter!$I$27:$I$29,0))),1,0)</f>
        <v>0</v>
      </c>
      <c r="BV1407" s="55" t="str">
        <f aca="false">IF(AND(Parameter!$B$19="Ja",E1407&lt;&gt;"",ISNUMBER(MATCH(E1407,Parameter!$I$35:$I$52,0))),VLOOKUP(E1407,Parameter!$I$35:$J$52,2,0),IFERROR(VLOOKUP(D1407,Parameter!$A$35:$C$64,2,0),"Nein"))</f>
        <v>Nein</v>
      </c>
      <c r="BW1407" s="59" t="n">
        <f aca="false">IF(BT1407=0,0,IF(N(S1407)&gt;0,S1407,IFERROR(VLOOKUP(D1407,Parameter!$A$35:$C$64,3,0)+0,0)))</f>
        <v>0</v>
      </c>
      <c r="BX1407" s="55" t="str">
        <f aca="false">IF(AA1407&lt;&gt;"",AA1407,Z1407)</f>
        <v>-</v>
      </c>
      <c r="BY1407" s="55" t="str">
        <f aca="false">IF(BX1407=1,"L1",IF(OR(BX1407=2,BX1407=3),"L23",IF(BX1407="Aussen","Aussen","-")))</f>
        <v>-</v>
      </c>
      <c r="BZ1407" s="66" t="n">
        <f aca="false">IF(N(AB1407)&gt;0,AB1407,0)</f>
        <v>0</v>
      </c>
      <c r="CA1407" s="60" t="n">
        <f aca="false">IF(ISNUMBER(AE1407),1,0)</f>
        <v>0</v>
      </c>
      <c r="CB1407" s="57" t="n">
        <f aca="false">N(AE1407)</f>
        <v>0</v>
      </c>
      <c r="CC1407" s="57" t="n">
        <f aca="false">N(M1407)+N(N1407)</f>
        <v>23</v>
      </c>
      <c r="CD1407" s="57" t="n">
        <f aca="false">ROUNDUP(H1407/BS1407,0)</f>
        <v>1</v>
      </c>
      <c r="CE1407" s="57" t="n">
        <f aca="false">ROUNDUP(CB1407/BS1407,0)</f>
        <v>0</v>
      </c>
      <c r="CF1407" s="60" t="n">
        <f aca="false">IF(BT1407=1,0,IFERROR(VLOOKUP(BR1407,'Gebinde-Kategorie'!$A$5:$M$45,5,0)+0,0))</f>
        <v>20</v>
      </c>
      <c r="CG1407" s="60" t="n">
        <f aca="false">IFERROR(IF(OR(BX1407=1,BX1407=2,BX1407=3),N(INDEX(Parameter!$I$5:$I$7,BX1407)),0),0)</f>
        <v>0</v>
      </c>
      <c r="CH1407" s="59" t="n">
        <f aca="false">IF(AND(Parameter!$B$21="Ja",ISNUMBER(W1407),N(X1407)&gt;0),IFERROR(N(INDEX(Parameter!$L$5:$L$7,W1407))*INDEX(Parameter!$E$5:$E$7,W1407)*X1407/SUMIFS($X$7:$X$1843,$W$7:$W$1843,W1407),0),0)</f>
        <v>0</v>
      </c>
    </row>
    <row r="1408" customFormat="false" ht="15" hidden="false" customHeight="false" outlineLevel="0" collapsed="false">
      <c r="A1408" s="55" t="s">
        <v>2472</v>
      </c>
      <c r="B1408" s="55" t="s">
        <v>2473</v>
      </c>
      <c r="C1408" s="55" t="s">
        <v>164</v>
      </c>
      <c r="D1408" s="55" t="s">
        <v>353</v>
      </c>
      <c r="E1408" s="55" t="s">
        <v>2248</v>
      </c>
      <c r="F1408" s="55" t="s">
        <v>218</v>
      </c>
      <c r="G1408" s="56" t="n">
        <v>2426.28</v>
      </c>
      <c r="H1408" s="57" t="n">
        <f aca="false">MAX(0,IF(AND(Parameter!$B$21="Ja",ISNUMBER(Y1408)),Y1408,IF(Parameter!$B$20="Jahresanfang 2025 + Export",BL1408+BK1408,BK1408)))</f>
        <v>0</v>
      </c>
      <c r="I1408" s="57" t="n">
        <f aca="false">H1408*G1408</f>
        <v>0</v>
      </c>
      <c r="J1408" s="57" t="n">
        <f aca="false">BN1408*Parameter!$B$18</f>
        <v>0</v>
      </c>
      <c r="K1408" s="58" t="n">
        <v>1</v>
      </c>
      <c r="L1408" s="59" t="n">
        <v>0</v>
      </c>
      <c r="M1408" s="57" t="n">
        <v>0</v>
      </c>
      <c r="N1408" s="57" t="n">
        <v>1</v>
      </c>
      <c r="O1408" s="60" t="n">
        <v>90</v>
      </c>
      <c r="P1408" s="55" t="s">
        <v>168</v>
      </c>
      <c r="Q1408" s="57"/>
      <c r="R1408" s="60" t="n">
        <f aca="false">IF(BT1408=1,0,IFERROR(VLOOKUP(BR1408,'Gebinde-Kategorie'!$A$5:$M$45,13,0)+0,0))</f>
        <v>0</v>
      </c>
      <c r="S1408" s="61"/>
      <c r="T1408" s="62"/>
      <c r="U1408" s="62"/>
      <c r="V1408" s="62"/>
      <c r="W1408" s="55"/>
      <c r="X1408" s="57"/>
      <c r="Y1408" s="57"/>
      <c r="Z1408" s="55" t="str">
        <f aca="false">IF(A1408="","",IF(AND(Parameter!$B$21="Ja",ISNUMBER(W1408)),W1408,IF(BV1408="2+3",IF(ISNUMBER(SEARCH("grosser Artikel",BO1408)),2,IFERROR(VLOOKUP(BR1408,Parameter!$F$35:$G$64,2,0),2)),IF(OR(BV1408="Nein",BV1408=""),"-",BV1408))))</f>
        <v>-</v>
      </c>
      <c r="AA1408" s="62"/>
      <c r="AB1408" s="63"/>
      <c r="AC1408" s="57" t="n">
        <f aca="false">AR1408</f>
        <v>1</v>
      </c>
      <c r="AD1408" s="57" t="n">
        <f aca="false">MAX(AR1408,H1408)</f>
        <v>1</v>
      </c>
      <c r="AE1408" s="64"/>
      <c r="AF1408" s="57" t="n">
        <f aca="false">IF(LEFT(Cockpit!$C$5,1)="A",H1408,IF(CA1408=1,CB1408,IF(LEFT(Cockpit!$C$5,1)="B",AJ1408,MAX(AJ1408,H1408))))</f>
        <v>0</v>
      </c>
      <c r="AG1408" s="57" t="n">
        <f aca="false">IF(BT1408=1,0,ROUNDUP(AF1408/BS1408,0))</f>
        <v>0</v>
      </c>
      <c r="AH1408" s="59" t="n">
        <f aca="false">IF(CH1408&gt;0,CH1408*MAX(1,AF1408/X1408),IF(BT1408=1,IF(AF1408&lt;=0,0,BW1408*MAX(1,IF(H1408&gt;0,AF1408/H1408,1))),IF(R1408&gt;0,AG1408/R1408,0))/MAX(0.1,N(Parameter!$M$21)))</f>
        <v>0</v>
      </c>
      <c r="AI1408" s="57" t="n">
        <f aca="false">AF1408*G1408</f>
        <v>0</v>
      </c>
      <c r="AJ1408" s="57" t="n">
        <f aca="false">ROUNDUP(MAX(J1408/IF(BZ1408&gt;0,BZ1408,MAX(0.1,N(Cockpit!$C$6))),CC1408)/BS1408,0)*BS1408</f>
        <v>1</v>
      </c>
      <c r="AK1408" s="58" t="n">
        <f aca="false">IF(AH1408&gt;0,J1408/AH1408,-1)</f>
        <v>-1</v>
      </c>
      <c r="AL1408" s="58" t="str">
        <f aca="false">IF(AND(OR(BY1408="L1",BY1408="L23"),AH1408&gt;0),SUMIFS($AH$7:$AH$1843,$BY$7:$BY$1843,BY1408,$AK$7:$AK$1843,"&gt;"&amp;AK1408)+SUMIFS($AH$7:$AH$1843,$BY$7:$BY$1843,BY1408,$AK$7:$AK$1843,AK1408,$BQ$7:$BQ$1843,"&lt;="&amp;BQ1408),"")</f>
        <v/>
      </c>
      <c r="AM1408" s="65" t="n">
        <f aca="false">IF(AL1408="",0,MAX(0,MIN(1,(IF(BY1408="L1",Parameter!$E$5,Parameter!$E$6+Parameter!$E$7)-(AL1408-AH1408))/AH1408)))</f>
        <v>0</v>
      </c>
      <c r="AN1408" s="57" t="n">
        <f aca="false">IF(LEFT(Cockpit!$I$5,1)="A",H1408,IF(CA1408=1,CB1408,IF(LEFT(Cockpit!$I$5,1)="B",AR1408,MAX(AR1408,H1408))))</f>
        <v>1</v>
      </c>
      <c r="AO1408" s="57" t="n">
        <f aca="false">IF(BT1408=1,0,ROUNDUP(AN1408/BS1408,0))</f>
        <v>0</v>
      </c>
      <c r="AP1408" s="59" t="n">
        <f aca="false">IF(CH1408&gt;0,CH1408*MAX(1,AN1408/X1408),IF(BT1408=1,IF(AN1408&lt;=0,0,BW1408*MAX(1,IF(H1408&gt;0,AN1408/H1408,1))),IF(R1408&gt;0,AO1408/R1408,0))/MAX(0.1,N(Parameter!$M$21)))</f>
        <v>0.15</v>
      </c>
      <c r="AQ1408" s="57" t="n">
        <f aca="false">AN1408*G1408</f>
        <v>2426.28</v>
      </c>
      <c r="AR1408" s="57" t="n">
        <f aca="false">ROUNDUP(MAX(J1408/IF(BZ1408&gt;0,BZ1408,MAX(0.1,N(Cockpit!$I$6))),CC1408)/BS1408,0)*BS1408</f>
        <v>1</v>
      </c>
      <c r="AS1408" s="58" t="n">
        <f aca="false">IF(AP1408&gt;0,J1408/AP1408,-1)</f>
        <v>0</v>
      </c>
      <c r="AT1408" s="58" t="str">
        <f aca="false">IF(AND(OR(BY1408="L1",BY1408="L23"),AP1408&gt;0),SUMIFS($AP$7:$AP$1843,$BY$7:$BY$1843,BY1408,$AS$7:$AS$1843,"&gt;"&amp;AS1408)+SUMIFS($AP$7:$AP$1843,$BY$7:$BY$1843,BY1408,$AS$7:$AS$1843,AS1408,$BQ$7:$BQ$1843,"&lt;="&amp;BQ1408),"")</f>
        <v/>
      </c>
      <c r="AU1408" s="65" t="n">
        <f aca="false">IF(AT1408="",0,MAX(0,MIN(1,(IF(BY1408="L1",Parameter!$E$5,Parameter!$E$6+Parameter!$E$7)-(AT1408-AP1408))/AP1408)))</f>
        <v>0</v>
      </c>
      <c r="AV1408" s="57" t="n">
        <f aca="false">IF(LEFT(Cockpit!$O$5,1)="A",H1408,IF(CA1408=1,CB1408,IF(LEFT(Cockpit!$O$5,1)="B",AZ1408,MAX(AZ1408,H1408))))</f>
        <v>1</v>
      </c>
      <c r="AW1408" s="57" t="n">
        <f aca="false">IF(BT1408=1,0,ROUNDUP(AV1408/BS1408,0))</f>
        <v>0</v>
      </c>
      <c r="AX1408" s="59" t="n">
        <f aca="false">IF(CH1408&gt;0,CH1408*MAX(1,AV1408/X1408),IF(BT1408=1,IF(AV1408&lt;=0,0,BW1408*MAX(1,IF(H1408&gt;0,AV1408/H1408,1))),IF(R1408&gt;0,AW1408/R1408,0))/MAX(0.1,N(Parameter!$M$21)))</f>
        <v>0.15</v>
      </c>
      <c r="AY1408" s="57" t="n">
        <f aca="false">AV1408*G1408</f>
        <v>2426.28</v>
      </c>
      <c r="AZ1408" s="57" t="n">
        <f aca="false">ROUNDUP(MAX(J1408/IF(BZ1408&gt;0,BZ1408,MAX(0.1,N(Cockpit!$O$6))),CC1408)/BS1408,0)*BS1408</f>
        <v>1</v>
      </c>
      <c r="BA1408" s="58" t="n">
        <f aca="false">IF(AX1408&gt;0,J1408/AX1408,-1)</f>
        <v>0</v>
      </c>
      <c r="BB1408" s="58" t="str">
        <f aca="false">IF(AND(OR(BY1408="L1",BY1408="L23"),AX1408&gt;0),SUMIFS($AX$7:$AX$1843,$BY$7:$BY$1843,BY1408,$BA$7:$BA$1843,"&gt;"&amp;BA1408)+SUMIFS($AX$7:$AX$1843,$BY$7:$BY$1843,BY1408,$BA$7:$BA$1843,BA1408,$BQ$7:$BQ$1843,"&lt;="&amp;BQ1408),"")</f>
        <v/>
      </c>
      <c r="BC1408" s="65" t="n">
        <f aca="false">IF(BB1408="",0,MAX(0,MIN(1,(IF(BY1408="L1",Parameter!$E$5,Parameter!$E$6+Parameter!$E$7)-(BB1408-AX1408))/AX1408)))</f>
        <v>0</v>
      </c>
      <c r="BD1408" s="55" t="str">
        <f aca="false">IF(AH1408&lt;=0,"",IF(BY1408="Aussen","Aussenlager",IF(BY1408="-","Nicht im Lift",IF(AM1408&gt;=1,"Lift",IF(AM1408&lt;=0,"Aussenlager","teilweise")))))</f>
        <v/>
      </c>
      <c r="BE1408" s="55" t="str">
        <f aca="false">IF(AP1408&lt;=0,"",IF(BY1408="Aussen","Aussenlager",IF(BY1408="-","Nicht im Lift",IF(AU1408&gt;=1,"Lift",IF(AU1408&lt;=0,"Aussenlager","teilweise")))))</f>
        <v>Nicht im Lift</v>
      </c>
      <c r="BF1408" s="55" t="str">
        <f aca="false">IF(AX1408&lt;=0,"",IF(BY1408="Aussen","Aussenlager",IF(BY1408="-","Nicht im Lift",IF(BC1408&gt;=1,"Lift",IF(BC1408&lt;=0,"Aussenlager","teilweise")))))</f>
        <v>Nicht im Lift</v>
      </c>
      <c r="BG1408" s="55" t="str">
        <f aca="false">IF(A1408="","",IF(BP1408=1,"Neu; ","")&amp;IF(AND(BP1408=0,BK1408&lt;0),"negativer Bestand (Export "&amp;BK1408&amp;"); ","")&amp;IF(J1408&lt;=0,"Kein Verbrauch; ","")&amp;IF(CH1408&gt;0,"Lift "&amp;W1408&amp;" lt. Liftbericht (Fach "&amp;X1408&amp;" Stk); ",IF(BU1408=1,"Gebinde geschätzt ("&amp;T1408&amp;"); ",IF(BT1408=1,"Lose – Tablare geschätzt; ","")))&amp;IF(H1408&gt;AR1408,"Überbestand "&amp;ROUND(H1408-AR1408,0)&amp;" Stk / CHF "&amp;ROUND((H1408-AR1408)*G1408,0)&amp;"; ","")&amp;IF(AND(CA1408=1,CB1408&lt;CC1408),"MAX &lt; MB+LG; ","")&amp;IF(AND(CG1408&gt;0,CF1408*10&gt;CG1408),"zu hoch für Tablar; ","")&amp;IF(AND(BP1408=0,OR(CA1408=1,AA1408&lt;&gt;"",U1408&lt;&gt;"",V1408&lt;&gt;"",AB1408&lt;&gt;"")),"manuell übersteuert; ","")&amp;IF(AND(BT1408=0,R1408=0),"Gebinde unbekannt / Stellmass fehlt; ","")&amp;IF(AND(BT1408=0,N(V1408)&lt;=0,N(Q1408)&lt;=0),"Menge pro Gebinde fehlt (Ist = 1 Gebinde); ","")&amp;BO1408)</f>
        <v>negativer Bestand (Export -2); Kein Verbrauch; Lose – Tablare geschätzt; </v>
      </c>
      <c r="BH1408" s="55"/>
      <c r="BI1408" s="55"/>
      <c r="BJ1408" s="62"/>
      <c r="BK1408" s="57" t="n">
        <v>-2</v>
      </c>
      <c r="BL1408" s="57" t="n">
        <v>2</v>
      </c>
      <c r="BM1408" s="56" t="n">
        <v>-4852.56</v>
      </c>
      <c r="BN1408" s="57" t="n">
        <v>0</v>
      </c>
      <c r="BO1408" s="55"/>
      <c r="BP1408" s="60" t="n">
        <v>0</v>
      </c>
      <c r="BQ1408" s="60" t="n">
        <v>1408</v>
      </c>
      <c r="BR1408" s="55" t="str">
        <f aca="false">IF(U1408&lt;&gt;"",UPPER(TRIM(U1408)),IF(BU1408=1,UPPER(VLOOKUP(T1408,Parameter!$I$27:$K$29,2,0)),IF(P1408="","LOSE",P1408)))</f>
        <v>LOSE</v>
      </c>
      <c r="BS1408" s="57" t="n">
        <f aca="false">IF(BR1408="LOSE",1,IF(N(V1408)&gt;0,V1408,IF(BU1408=1,MAX(1,N(VLOOKUP(T1408,Parameter!$I$27:$K$29,3,0)),H1408,N(N1408)),IF(N(Q1408)&gt;0,Q1408,MAX(1,H1408)))))</f>
        <v>1</v>
      </c>
      <c r="BT1408" s="60" t="n">
        <f aca="false">IF(BR1408="LOSE",1,0)</f>
        <v>1</v>
      </c>
      <c r="BU1408" s="60" t="n">
        <f aca="false">IF(AND(U1408="",OR(P1408="",P1408="LOSE"),T1408&lt;&gt;"",N(S1408)&lt;=0,ISNUMBER(MATCH(T1408,Parameter!$I$27:$I$29,0))),1,0)</f>
        <v>0</v>
      </c>
      <c r="BV1408" s="55" t="str">
        <f aca="false">IF(AND(Parameter!$B$19="Ja",E1408&lt;&gt;"",ISNUMBER(MATCH(E1408,Parameter!$I$35:$I$52,0))),VLOOKUP(E1408,Parameter!$I$35:$J$52,2,0),IFERROR(VLOOKUP(D1408,Parameter!$A$35:$C$64,2,0),"Nein"))</f>
        <v>Nein</v>
      </c>
      <c r="BW1408" s="59" t="n">
        <f aca="false">IF(BT1408=0,0,IF(N(S1408)&gt;0,S1408,IFERROR(VLOOKUP(D1408,Parameter!$A$35:$C$64,3,0)+0,0)))</f>
        <v>0.15</v>
      </c>
      <c r="BX1408" s="55" t="str">
        <f aca="false">IF(AA1408&lt;&gt;"",AA1408,Z1408)</f>
        <v>-</v>
      </c>
      <c r="BY1408" s="55" t="str">
        <f aca="false">IF(BX1408=1,"L1",IF(OR(BX1408=2,BX1408=3),"L23",IF(BX1408="Aussen","Aussen","-")))</f>
        <v>-</v>
      </c>
      <c r="BZ1408" s="66" t="n">
        <f aca="false">IF(N(AB1408)&gt;0,AB1408,0)</f>
        <v>0</v>
      </c>
      <c r="CA1408" s="60" t="n">
        <f aca="false">IF(ISNUMBER(AE1408),1,0)</f>
        <v>0</v>
      </c>
      <c r="CB1408" s="57" t="n">
        <f aca="false">N(AE1408)</f>
        <v>0</v>
      </c>
      <c r="CC1408" s="57" t="n">
        <f aca="false">N(M1408)+N(N1408)</f>
        <v>1</v>
      </c>
      <c r="CD1408" s="57" t="n">
        <f aca="false">ROUNDUP(H1408/BS1408,0)</f>
        <v>0</v>
      </c>
      <c r="CE1408" s="57" t="n">
        <f aca="false">ROUNDUP(CB1408/BS1408,0)</f>
        <v>0</v>
      </c>
      <c r="CF1408" s="60" t="n">
        <f aca="false">IF(BT1408=1,0,IFERROR(VLOOKUP(BR1408,'Gebinde-Kategorie'!$A$5:$M$45,5,0)+0,0))</f>
        <v>0</v>
      </c>
      <c r="CG1408" s="60" t="n">
        <f aca="false">IFERROR(IF(OR(BX1408=1,BX1408=2,BX1408=3),N(INDEX(Parameter!$I$5:$I$7,BX1408)),0),0)</f>
        <v>0</v>
      </c>
      <c r="CH1408" s="59" t="n">
        <f aca="false">IF(AND(Parameter!$B$21="Ja",ISNUMBER(W1408),N(X1408)&gt;0),IFERROR(N(INDEX(Parameter!$L$5:$L$7,W1408))*INDEX(Parameter!$E$5:$E$7,W1408)*X1408/SUMIFS($X$7:$X$1843,$W$7:$W$1843,W1408),0),0)</f>
        <v>0</v>
      </c>
    </row>
    <row r="1409" customFormat="false" ht="15" hidden="false" customHeight="false" outlineLevel="0" collapsed="false">
      <c r="A1409" s="55" t="s">
        <v>2474</v>
      </c>
      <c r="B1409" s="55" t="s">
        <v>339</v>
      </c>
      <c r="C1409" s="55" t="s">
        <v>456</v>
      </c>
      <c r="D1409" s="55" t="s">
        <v>173</v>
      </c>
      <c r="E1409" s="55" t="s">
        <v>166</v>
      </c>
      <c r="F1409" s="55" t="s">
        <v>218</v>
      </c>
      <c r="G1409" s="56" t="n">
        <v>377.8</v>
      </c>
      <c r="H1409" s="57" t="n">
        <f aca="false">MAX(0,IF(AND(Parameter!$B$21="Ja",ISNUMBER(Y1409)),Y1409,IF(Parameter!$B$20="Jahresanfang 2025 + Export",BL1409+BK1409,BK1409)))</f>
        <v>0</v>
      </c>
      <c r="I1409" s="57" t="n">
        <f aca="false">H1409*G1409</f>
        <v>0</v>
      </c>
      <c r="J1409" s="57" t="n">
        <f aca="false">BN1409*Parameter!$B$18</f>
        <v>13</v>
      </c>
      <c r="K1409" s="58" t="n">
        <v>6.5</v>
      </c>
      <c r="L1409" s="59" t="n">
        <v>2</v>
      </c>
      <c r="M1409" s="57" t="n">
        <v>1</v>
      </c>
      <c r="N1409" s="57" t="n">
        <v>15</v>
      </c>
      <c r="O1409" s="60" t="n">
        <v>35</v>
      </c>
      <c r="P1409" s="55" t="s">
        <v>168</v>
      </c>
      <c r="Q1409" s="57"/>
      <c r="R1409" s="60" t="n">
        <f aca="false">IF(BT1409=1,0,IFERROR(VLOOKUP(BR1409,'Gebinde-Kategorie'!$A$5:$M$45,13,0)+0,0))</f>
        <v>26</v>
      </c>
      <c r="S1409" s="61"/>
      <c r="T1409" s="62" t="s">
        <v>275</v>
      </c>
      <c r="U1409" s="62"/>
      <c r="V1409" s="62"/>
      <c r="W1409" s="55"/>
      <c r="X1409" s="57"/>
      <c r="Y1409" s="57"/>
      <c r="Z1409" s="55" t="n">
        <f aca="false">IF(A1409="","",IF(AND(Parameter!$B$21="Ja",ISNUMBER(W1409)),W1409,IF(BV1409="2+3",IF(ISNUMBER(SEARCH("grosser Artikel",BO1409)),2,IFERROR(VLOOKUP(BR1409,Parameter!$F$35:$G$64,2,0),2)),IF(OR(BV1409="Nein",BV1409=""),"-",BV1409))))</f>
        <v>1</v>
      </c>
      <c r="AA1409" s="62"/>
      <c r="AB1409" s="63"/>
      <c r="AC1409" s="57" t="n">
        <f aca="false">AR1409</f>
        <v>20</v>
      </c>
      <c r="AD1409" s="57" t="n">
        <f aca="false">MAX(AR1409,H1409)</f>
        <v>20</v>
      </c>
      <c r="AE1409" s="64"/>
      <c r="AF1409" s="57" t="n">
        <f aca="false">IF(LEFT(Cockpit!$C$5,1)="A",H1409,IF(CA1409=1,CB1409,IF(LEFT(Cockpit!$C$5,1)="B",AJ1409,MAX(AJ1409,H1409))))</f>
        <v>0</v>
      </c>
      <c r="AG1409" s="57" t="n">
        <f aca="false">IF(BT1409=1,0,ROUNDUP(AF1409/BS1409,0))</f>
        <v>0</v>
      </c>
      <c r="AH1409" s="59" t="n">
        <f aca="false">IF(CH1409&gt;0,CH1409*MAX(1,AF1409/X1409),IF(BT1409=1,IF(AF1409&lt;=0,0,BW1409*MAX(1,IF(H1409&gt;0,AF1409/H1409,1))),IF(R1409&gt;0,AG1409/R1409,0))/MAX(0.1,N(Parameter!$M$21)))</f>
        <v>0</v>
      </c>
      <c r="AI1409" s="57" t="n">
        <f aca="false">AF1409*G1409</f>
        <v>0</v>
      </c>
      <c r="AJ1409" s="57" t="n">
        <f aca="false">ROUNDUP(MAX(J1409/IF(BZ1409&gt;0,BZ1409,MAX(0.1,N(Cockpit!$C$6))),CC1409)/BS1409,0)*BS1409</f>
        <v>20</v>
      </c>
      <c r="AK1409" s="58" t="n">
        <f aca="false">IF(AH1409&gt;0,J1409/AH1409,-1)</f>
        <v>-1</v>
      </c>
      <c r="AL1409" s="58" t="str">
        <f aca="false">IF(AND(OR(BY1409="L1",BY1409="L23"),AH1409&gt;0),SUMIFS($AH$7:$AH$1843,$BY$7:$BY$1843,BY1409,$AK$7:$AK$1843,"&gt;"&amp;AK1409)+SUMIFS($AH$7:$AH$1843,$BY$7:$BY$1843,BY1409,$AK$7:$AK$1843,AK1409,$BQ$7:$BQ$1843,"&lt;="&amp;BQ1409),"")</f>
        <v/>
      </c>
      <c r="AM1409" s="65" t="n">
        <f aca="false">IF(AL1409="",0,MAX(0,MIN(1,(IF(BY1409="L1",Parameter!$E$5,Parameter!$E$6+Parameter!$E$7)-(AL1409-AH1409))/AH1409)))</f>
        <v>0</v>
      </c>
      <c r="AN1409" s="57" t="n">
        <f aca="false">IF(LEFT(Cockpit!$I$5,1)="A",H1409,IF(CA1409=1,CB1409,IF(LEFT(Cockpit!$I$5,1)="B",AR1409,MAX(AR1409,H1409))))</f>
        <v>20</v>
      </c>
      <c r="AO1409" s="57" t="n">
        <f aca="false">IF(BT1409=1,0,ROUNDUP(AN1409/BS1409,0))</f>
        <v>1</v>
      </c>
      <c r="AP1409" s="59" t="n">
        <f aca="false">IF(CH1409&gt;0,CH1409*MAX(1,AN1409/X1409),IF(BT1409=1,IF(AN1409&lt;=0,0,BW1409*MAX(1,IF(H1409&gt;0,AN1409/H1409,1))),IF(R1409&gt;0,AO1409/R1409,0))/MAX(0.1,N(Parameter!$M$21)))</f>
        <v>0.0384615384615385</v>
      </c>
      <c r="AQ1409" s="57" t="n">
        <f aca="false">AN1409*G1409</f>
        <v>7556</v>
      </c>
      <c r="AR1409" s="57" t="n">
        <f aca="false">ROUNDUP(MAX(J1409/IF(BZ1409&gt;0,BZ1409,MAX(0.1,N(Cockpit!$I$6))),CC1409)/BS1409,0)*BS1409</f>
        <v>20</v>
      </c>
      <c r="AS1409" s="58" t="n">
        <f aca="false">IF(AP1409&gt;0,J1409/AP1409,-1)</f>
        <v>338</v>
      </c>
      <c r="AT1409" s="58" t="n">
        <f aca="false">IF(AND(OR(BY1409="L1",BY1409="L23"),AP1409&gt;0),SUMIFS($AP$7:$AP$1843,$BY$7:$BY$1843,BY1409,$AS$7:$AS$1843,"&gt;"&amp;AS1409)+SUMIFS($AP$7:$AP$1843,$BY$7:$BY$1843,BY1409,$AS$7:$AS$1843,AS1409,$BQ$7:$BQ$1843,"&lt;="&amp;BQ1409),"")</f>
        <v>1.16109253065775</v>
      </c>
      <c r="AU1409" s="65" t="n">
        <f aca="false">IF(AT1409="",0,MAX(0,MIN(1,(IF(BY1409="L1",Parameter!$E$5,Parameter!$E$6+Parameter!$E$7)-(AT1409-AP1409))/AP1409)))</f>
        <v>1</v>
      </c>
      <c r="AV1409" s="57" t="n">
        <f aca="false">IF(LEFT(Cockpit!$O$5,1)="A",H1409,IF(CA1409=1,CB1409,IF(LEFT(Cockpit!$O$5,1)="B",AZ1409,MAX(AZ1409,H1409))))</f>
        <v>20</v>
      </c>
      <c r="AW1409" s="57" t="n">
        <f aca="false">IF(BT1409=1,0,ROUNDUP(AV1409/BS1409,0))</f>
        <v>1</v>
      </c>
      <c r="AX1409" s="59" t="n">
        <f aca="false">IF(CH1409&gt;0,CH1409*MAX(1,AV1409/X1409),IF(BT1409=1,IF(AV1409&lt;=0,0,BW1409*MAX(1,IF(H1409&gt;0,AV1409/H1409,1))),IF(R1409&gt;0,AW1409/R1409,0))/MAX(0.1,N(Parameter!$M$21)))</f>
        <v>0.0384615384615385</v>
      </c>
      <c r="AY1409" s="57" t="n">
        <f aca="false">AV1409*G1409</f>
        <v>7556</v>
      </c>
      <c r="AZ1409" s="57" t="n">
        <f aca="false">ROUNDUP(MAX(J1409/IF(BZ1409&gt;0,BZ1409,MAX(0.1,N(Cockpit!$O$6))),CC1409)/BS1409,0)*BS1409</f>
        <v>20</v>
      </c>
      <c r="BA1409" s="58" t="n">
        <f aca="false">IF(AX1409&gt;0,J1409/AX1409,-1)</f>
        <v>338</v>
      </c>
      <c r="BB1409" s="58" t="n">
        <f aca="false">IF(AND(OR(BY1409="L1",BY1409="L23"),AX1409&gt;0),SUMIFS($AX$7:$AX$1843,$BY$7:$BY$1843,BY1409,$BA$7:$BA$1843,"&gt;"&amp;BA1409)+SUMIFS($AX$7:$AX$1843,$BY$7:$BY$1843,BY1409,$BA$7:$BA$1843,BA1409,$BQ$7:$BQ$1843,"&lt;="&amp;BQ1409),"")</f>
        <v>2.20596432552954</v>
      </c>
      <c r="BC1409" s="65" t="n">
        <f aca="false">IF(BB1409="",0,MAX(0,MIN(1,(IF(BY1409="L1",Parameter!$E$5,Parameter!$E$6+Parameter!$E$7)-(BB1409-AX1409))/AX1409)))</f>
        <v>1</v>
      </c>
      <c r="BD1409" s="55" t="str">
        <f aca="false">IF(AH1409&lt;=0,"",IF(BY1409="Aussen","Aussenlager",IF(BY1409="-","Nicht im Lift",IF(AM1409&gt;=1,"Lift",IF(AM1409&lt;=0,"Aussenlager","teilweise")))))</f>
        <v/>
      </c>
      <c r="BE1409" s="55" t="str">
        <f aca="false">IF(AP1409&lt;=0,"",IF(BY1409="Aussen","Aussenlager",IF(BY1409="-","Nicht im Lift",IF(AU1409&gt;=1,"Lift",IF(AU1409&lt;=0,"Aussenlager","teilweise")))))</f>
        <v>Lift</v>
      </c>
      <c r="BF1409" s="55" t="str">
        <f aca="false">IF(AX1409&lt;=0,"",IF(BY1409="Aussen","Aussenlager",IF(BY1409="-","Nicht im Lift",IF(BC1409&gt;=1,"Lift",IF(BC1409&lt;=0,"Aussenlager","teilweise")))))</f>
        <v>Lift</v>
      </c>
      <c r="BG1409" s="55" t="str">
        <f aca="false">IF(A1409="","",IF(BP1409=1,"Neu; ","")&amp;IF(AND(BP1409=0,BK1409&lt;0),"negativer Bestand (Export "&amp;BK1409&amp;"); ","")&amp;IF(J1409&lt;=0,"Kein Verbrauch; ","")&amp;IF(CH1409&gt;0,"Lift "&amp;W1409&amp;" lt. Liftbericht (Fach "&amp;X1409&amp;" Stk); ",IF(BU1409=1,"Gebinde geschätzt ("&amp;T1409&amp;"); ",IF(BT1409=1,"Lose – Tablare geschätzt; ","")))&amp;IF(H1409&gt;AR1409,"Überbestand "&amp;ROUND(H1409-AR1409,0)&amp;" Stk / CHF "&amp;ROUND((H1409-AR1409)*G1409,0)&amp;"; ","")&amp;IF(AND(CA1409=1,CB1409&lt;CC1409),"MAX &lt; MB+LG; ","")&amp;IF(AND(CG1409&gt;0,CF1409*10&gt;CG1409),"zu hoch für Tablar; ","")&amp;IF(AND(BP1409=0,OR(CA1409=1,AA1409&lt;&gt;"",U1409&lt;&gt;"",V1409&lt;&gt;"",AB1409&lt;&gt;"")),"manuell übersteuert; ","")&amp;IF(AND(BT1409=0,R1409=0),"Gebinde unbekannt / Stellmass fehlt; ","")&amp;IF(AND(BT1409=0,N(V1409)&lt;=0,N(Q1409)&lt;=0),"Menge pro Gebinde fehlt (Ist = 1 Gebinde); ","")&amp;BO1409)</f>
        <v>negativer Bestand (Export -13); Gebinde geschätzt (Klein); Menge pro Gebinde fehlt (Ist = 1 Gebinde); Neu</v>
      </c>
      <c r="BH1409" s="55"/>
      <c r="BI1409" s="55"/>
      <c r="BJ1409" s="62"/>
      <c r="BK1409" s="57" t="n">
        <v>-13</v>
      </c>
      <c r="BL1409" s="57" t="n">
        <v>13</v>
      </c>
      <c r="BM1409" s="56" t="n">
        <v>-4911.4</v>
      </c>
      <c r="BN1409" s="57" t="n">
        <v>13</v>
      </c>
      <c r="BO1409" s="55" t="s">
        <v>626</v>
      </c>
      <c r="BP1409" s="60" t="n">
        <v>0</v>
      </c>
      <c r="BQ1409" s="60" t="n">
        <v>1409</v>
      </c>
      <c r="BR1409" s="55" t="str">
        <f aca="false">IF(U1409&lt;&gt;"",UPPER(TRIM(U1409)),IF(BU1409=1,UPPER(VLOOKUP(T1409,Parameter!$I$27:$K$29,2,0)),IF(P1409="","LOSE",P1409)))</f>
        <v>S51</v>
      </c>
      <c r="BS1409" s="57" t="n">
        <f aca="false">IF(BR1409="LOSE",1,IF(N(V1409)&gt;0,V1409,IF(BU1409=1,MAX(1,N(VLOOKUP(T1409,Parameter!$I$27:$K$29,3,0)),H1409,N(N1409)),IF(N(Q1409)&gt;0,Q1409,MAX(1,H1409)))))</f>
        <v>20</v>
      </c>
      <c r="BT1409" s="60" t="n">
        <f aca="false">IF(BR1409="LOSE",1,0)</f>
        <v>0</v>
      </c>
      <c r="BU1409" s="60" t="n">
        <f aca="false">IF(AND(U1409="",OR(P1409="",P1409="LOSE"),T1409&lt;&gt;"",N(S1409)&lt;=0,ISNUMBER(MATCH(T1409,Parameter!$I$27:$I$29,0))),1,0)</f>
        <v>1</v>
      </c>
      <c r="BV1409" s="55" t="n">
        <f aca="false">IF(AND(Parameter!$B$19="Ja",E1409&lt;&gt;"",ISNUMBER(MATCH(E1409,Parameter!$I$35:$I$52,0))),VLOOKUP(E1409,Parameter!$I$35:$J$52,2,0),IFERROR(VLOOKUP(D1409,Parameter!$A$35:$C$64,2,0),"Nein"))</f>
        <v>1</v>
      </c>
      <c r="BW1409" s="59" t="n">
        <f aca="false">IF(BT1409=0,0,IF(N(S1409)&gt;0,S1409,IFERROR(VLOOKUP(D1409,Parameter!$A$35:$C$64,3,0)+0,0)))</f>
        <v>0</v>
      </c>
      <c r="BX1409" s="55" t="n">
        <f aca="false">IF(AA1409&lt;&gt;"",AA1409,Z1409)</f>
        <v>1</v>
      </c>
      <c r="BY1409" s="55" t="str">
        <f aca="false">IF(BX1409=1,"L1",IF(OR(BX1409=2,BX1409=3),"L23",IF(BX1409="Aussen","Aussen","-")))</f>
        <v>L1</v>
      </c>
      <c r="BZ1409" s="66" t="n">
        <f aca="false">IF(N(AB1409)&gt;0,AB1409,0)</f>
        <v>0</v>
      </c>
      <c r="CA1409" s="60" t="n">
        <f aca="false">IF(ISNUMBER(AE1409),1,0)</f>
        <v>0</v>
      </c>
      <c r="CB1409" s="57" t="n">
        <f aca="false">N(AE1409)</f>
        <v>0</v>
      </c>
      <c r="CC1409" s="57" t="n">
        <f aca="false">N(M1409)+N(N1409)</f>
        <v>16</v>
      </c>
      <c r="CD1409" s="57" t="n">
        <f aca="false">ROUNDUP(H1409/BS1409,0)</f>
        <v>0</v>
      </c>
      <c r="CE1409" s="57" t="n">
        <f aca="false">ROUNDUP(CB1409/BS1409,0)</f>
        <v>0</v>
      </c>
      <c r="CF1409" s="60" t="n">
        <f aca="false">IF(BT1409=1,0,IFERROR(VLOOKUP(BR1409,'Gebinde-Kategorie'!$A$5:$M$45,5,0)+0,0))</f>
        <v>11</v>
      </c>
      <c r="CG1409" s="60" t="n">
        <f aca="false">IFERROR(IF(OR(BX1409=1,BX1409=2,BX1409=3),N(INDEX(Parameter!$I$5:$I$7,BX1409)),0),0)</f>
        <v>0</v>
      </c>
      <c r="CH1409" s="59" t="n">
        <f aca="false">IF(AND(Parameter!$B$21="Ja",ISNUMBER(W1409),N(X1409)&gt;0),IFERROR(N(INDEX(Parameter!$L$5:$L$7,W1409))*INDEX(Parameter!$E$5:$E$7,W1409)*X1409/SUMIFS($X$7:$X$1843,$W$7:$W$1843,W1409),0),0)</f>
        <v>0</v>
      </c>
    </row>
    <row r="1410" customFormat="false" ht="15" hidden="false" customHeight="false" outlineLevel="0" collapsed="false">
      <c r="A1410" s="55" t="s">
        <v>2475</v>
      </c>
      <c r="B1410" s="55" t="s">
        <v>2476</v>
      </c>
      <c r="C1410" s="55" t="s">
        <v>164</v>
      </c>
      <c r="D1410" s="55" t="s">
        <v>184</v>
      </c>
      <c r="E1410" s="55" t="s">
        <v>185</v>
      </c>
      <c r="F1410" s="55" t="s">
        <v>218</v>
      </c>
      <c r="G1410" s="56" t="n">
        <v>249</v>
      </c>
      <c r="H1410" s="57" t="n">
        <f aca="false">MAX(0,IF(AND(Parameter!$B$21="Ja",ISNUMBER(Y1410)),Y1410,IF(Parameter!$B$20="Jahresanfang 2025 + Export",BL1410+BK1410,BK1410)))</f>
        <v>21</v>
      </c>
      <c r="I1410" s="57" t="n">
        <f aca="false">H1410*G1410</f>
        <v>5229</v>
      </c>
      <c r="J1410" s="57" t="n">
        <f aca="false">BN1410*Parameter!$B$18</f>
        <v>225</v>
      </c>
      <c r="K1410" s="58" t="n">
        <v>53</v>
      </c>
      <c r="L1410" s="59" t="n">
        <v>4.24528301886793</v>
      </c>
      <c r="M1410" s="57" t="n">
        <v>13</v>
      </c>
      <c r="N1410" s="57" t="n">
        <v>25</v>
      </c>
      <c r="O1410" s="60" t="n">
        <v>21</v>
      </c>
      <c r="P1410" s="55" t="s">
        <v>233</v>
      </c>
      <c r="Q1410" s="57" t="n">
        <v>88</v>
      </c>
      <c r="R1410" s="60" t="n">
        <f aca="false">IF(BT1410=1,0,IFERROR(VLOOKUP(BR1410,'Gebinde-Kategorie'!$A$5:$M$45,13,0)+0,0))</f>
        <v>26</v>
      </c>
      <c r="S1410" s="61"/>
      <c r="T1410" s="62"/>
      <c r="U1410" s="62"/>
      <c r="V1410" s="62"/>
      <c r="W1410" s="55"/>
      <c r="X1410" s="57"/>
      <c r="Y1410" s="57"/>
      <c r="Z1410" s="55" t="n">
        <f aca="false">IF(A1410="","",IF(AND(Parameter!$B$21="Ja",ISNUMBER(W1410)),W1410,IF(BV1410="2+3",IF(ISNUMBER(SEARCH("grosser Artikel",BO1410)),2,IFERROR(VLOOKUP(BR1410,Parameter!$F$35:$G$64,2,0),2)),IF(OR(BV1410="Nein",BV1410=""),"-",BV1410))))</f>
        <v>3</v>
      </c>
      <c r="AA1410" s="62"/>
      <c r="AB1410" s="63"/>
      <c r="AC1410" s="57" t="n">
        <f aca="false">AR1410</f>
        <v>176</v>
      </c>
      <c r="AD1410" s="57" t="n">
        <f aca="false">MAX(AR1410,H1410)</f>
        <v>176</v>
      </c>
      <c r="AE1410" s="64"/>
      <c r="AF1410" s="57" t="n">
        <f aca="false">IF(LEFT(Cockpit!$C$5,1)="A",H1410,IF(CA1410=1,CB1410,IF(LEFT(Cockpit!$C$5,1)="B",AJ1410,MAX(AJ1410,H1410))))</f>
        <v>21</v>
      </c>
      <c r="AG1410" s="57" t="n">
        <f aca="false">IF(BT1410=1,0,ROUNDUP(AF1410/BS1410,0))</f>
        <v>1</v>
      </c>
      <c r="AH1410" s="59" t="n">
        <f aca="false">IF(CH1410&gt;0,CH1410*MAX(1,AF1410/X1410),IF(BT1410=1,IF(AF1410&lt;=0,0,BW1410*MAX(1,IF(H1410&gt;0,AF1410/H1410,1))),IF(R1410&gt;0,AG1410/R1410,0))/MAX(0.1,N(Parameter!$M$21)))</f>
        <v>0.0384615384615385</v>
      </c>
      <c r="AI1410" s="57" t="n">
        <f aca="false">AF1410*G1410</f>
        <v>5229</v>
      </c>
      <c r="AJ1410" s="57" t="n">
        <f aca="false">ROUNDUP(MAX(J1410/IF(BZ1410&gt;0,BZ1410,MAX(0.1,N(Cockpit!$C$6))),CC1410)/BS1410,0)*BS1410</f>
        <v>176</v>
      </c>
      <c r="AK1410" s="58" t="n">
        <f aca="false">IF(AH1410&gt;0,J1410/AH1410,-1)</f>
        <v>5850</v>
      </c>
      <c r="AL1410" s="58" t="n">
        <f aca="false">IF(AND(OR(BY1410="L1",BY1410="L23"),AH1410&gt;0),SUMIFS($AH$7:$AH$1843,$BY$7:$BY$1843,BY1410,$AK$7:$AK$1843,"&gt;"&amp;AK1410)+SUMIFS($AH$7:$AH$1843,$BY$7:$BY$1843,BY1410,$AK$7:$AK$1843,AK1410,$BQ$7:$BQ$1843,"&lt;="&amp;BQ1410),"")</f>
        <v>6.68824532954968</v>
      </c>
      <c r="AM1410" s="65" t="n">
        <f aca="false">IF(AL1410="",0,MAX(0,MIN(1,(IF(BY1410="L1",Parameter!$E$5,Parameter!$E$6+Parameter!$E$7)-(AL1410-AH1410))/AH1410)))</f>
        <v>1</v>
      </c>
      <c r="AN1410" s="57" t="n">
        <f aca="false">IF(LEFT(Cockpit!$I$5,1)="A",H1410,IF(CA1410=1,CB1410,IF(LEFT(Cockpit!$I$5,1)="B",AR1410,MAX(AR1410,H1410))))</f>
        <v>176</v>
      </c>
      <c r="AO1410" s="57" t="n">
        <f aca="false">IF(BT1410=1,0,ROUNDUP(AN1410/BS1410,0))</f>
        <v>2</v>
      </c>
      <c r="AP1410" s="59" t="n">
        <f aca="false">IF(CH1410&gt;0,CH1410*MAX(1,AN1410/X1410),IF(BT1410=1,IF(AN1410&lt;=0,0,BW1410*MAX(1,IF(H1410&gt;0,AN1410/H1410,1))),IF(R1410&gt;0,AO1410/R1410,0))/MAX(0.1,N(Parameter!$M$21)))</f>
        <v>0.0769230769230769</v>
      </c>
      <c r="AQ1410" s="57" t="n">
        <f aca="false">AN1410*G1410</f>
        <v>43824</v>
      </c>
      <c r="AR1410" s="57" t="n">
        <f aca="false">ROUNDUP(MAX(J1410/IF(BZ1410&gt;0,BZ1410,MAX(0.1,N(Cockpit!$I$6))),CC1410)/BS1410,0)*BS1410</f>
        <v>176</v>
      </c>
      <c r="AS1410" s="58" t="n">
        <f aca="false">IF(AP1410&gt;0,J1410/AP1410,-1)</f>
        <v>2925</v>
      </c>
      <c r="AT1410" s="58" t="n">
        <f aca="false">IF(AND(OR(BY1410="L1",BY1410="L23"),AP1410&gt;0),SUMIFS($AP$7:$AP$1843,$BY$7:$BY$1843,BY1410,$AS$7:$AS$1843,"&gt;"&amp;AS1410)+SUMIFS($AP$7:$AP$1843,$BY$7:$BY$1843,BY1410,$AS$7:$AS$1843,AS1410,$BQ$7:$BQ$1843,"&lt;="&amp;BQ1410),"")</f>
        <v>15.6364312016486</v>
      </c>
      <c r="AU1410" s="65" t="n">
        <f aca="false">IF(AT1410="",0,MAX(0,MIN(1,(IF(BY1410="L1",Parameter!$E$5,Parameter!$E$6+Parameter!$E$7)-(AT1410-AP1410))/AP1410)))</f>
        <v>1</v>
      </c>
      <c r="AV1410" s="57" t="n">
        <f aca="false">IF(LEFT(Cockpit!$O$5,1)="A",H1410,IF(CA1410=1,CB1410,IF(LEFT(Cockpit!$O$5,1)="B",AZ1410,MAX(AZ1410,H1410))))</f>
        <v>88</v>
      </c>
      <c r="AW1410" s="57" t="n">
        <f aca="false">IF(BT1410=1,0,ROUNDUP(AV1410/BS1410,0))</f>
        <v>1</v>
      </c>
      <c r="AX1410" s="59" t="n">
        <f aca="false">IF(CH1410&gt;0,CH1410*MAX(1,AV1410/X1410),IF(BT1410=1,IF(AV1410&lt;=0,0,BW1410*MAX(1,IF(H1410&gt;0,AV1410/H1410,1))),IF(R1410&gt;0,AW1410/R1410,0))/MAX(0.1,N(Parameter!$M$21)))</f>
        <v>0.0384615384615385</v>
      </c>
      <c r="AY1410" s="57" t="n">
        <f aca="false">AV1410*G1410</f>
        <v>21912</v>
      </c>
      <c r="AZ1410" s="57" t="n">
        <f aca="false">ROUNDUP(MAX(J1410/IF(BZ1410&gt;0,BZ1410,MAX(0.1,N(Cockpit!$O$6))),CC1410)/BS1410,0)*BS1410</f>
        <v>88</v>
      </c>
      <c r="BA1410" s="58" t="n">
        <f aca="false">IF(AX1410&gt;0,J1410/AX1410,-1)</f>
        <v>5850</v>
      </c>
      <c r="BB1410" s="58" t="n">
        <f aca="false">IF(AND(OR(BY1410="L1",BY1410="L23"),AX1410&gt;0),SUMIFS($AX$7:$AX$1843,$BY$7:$BY$1843,BY1410,$BA$7:$BA$1843,"&gt;"&amp;BA1410)+SUMIFS($AX$7:$AX$1843,$BY$7:$BY$1843,BY1410,$BA$7:$BA$1843,BA1410,$BQ$7:$BQ$1843,"&lt;="&amp;BQ1410),"")</f>
        <v>10.2005253200905</v>
      </c>
      <c r="BC1410" s="65" t="n">
        <f aca="false">IF(BB1410="",0,MAX(0,MIN(1,(IF(BY1410="L1",Parameter!$E$5,Parameter!$E$6+Parameter!$E$7)-(BB1410-AX1410))/AX1410)))</f>
        <v>1</v>
      </c>
      <c r="BD1410" s="55" t="str">
        <f aca="false">IF(AH1410&lt;=0,"",IF(BY1410="Aussen","Aussenlager",IF(BY1410="-","Nicht im Lift",IF(AM1410&gt;=1,"Lift",IF(AM1410&lt;=0,"Aussenlager","teilweise")))))</f>
        <v>Lift</v>
      </c>
      <c r="BE1410" s="55" t="str">
        <f aca="false">IF(AP1410&lt;=0,"",IF(BY1410="Aussen","Aussenlager",IF(BY1410="-","Nicht im Lift",IF(AU1410&gt;=1,"Lift",IF(AU1410&lt;=0,"Aussenlager","teilweise")))))</f>
        <v>Lift</v>
      </c>
      <c r="BF1410" s="55" t="str">
        <f aca="false">IF(AX1410&lt;=0,"",IF(BY1410="Aussen","Aussenlager",IF(BY1410="-","Nicht im Lift",IF(BC1410&gt;=1,"Lift",IF(BC1410&lt;=0,"Aussenlager","teilweise")))))</f>
        <v>Lift</v>
      </c>
      <c r="BG1410" s="55" t="str">
        <f aca="false">IF(A1410="","",IF(BP1410=1,"Neu; ","")&amp;IF(AND(BP1410=0,BK1410&lt;0),"negativer Bestand (Export "&amp;BK1410&amp;"); ","")&amp;IF(J1410&lt;=0,"Kein Verbrauch; ","")&amp;IF(CH1410&gt;0,"Lift "&amp;W1410&amp;" lt. Liftbericht (Fach "&amp;X1410&amp;" Stk); ",IF(BU1410=1,"Gebinde geschätzt ("&amp;T1410&amp;"); ",IF(BT1410=1,"Lose – Tablare geschätzt; ","")))&amp;IF(H1410&gt;AR1410,"Überbestand "&amp;ROUND(H1410-AR1410,0)&amp;" Stk / CHF "&amp;ROUND((H1410-AR1410)*G1410,0)&amp;"; ","")&amp;IF(AND(CA1410=1,CB1410&lt;CC1410),"MAX &lt; MB+LG; ","")&amp;IF(AND(CG1410&gt;0,CF1410*10&gt;CG1410),"zu hoch für Tablar; ","")&amp;IF(AND(BP1410=0,OR(CA1410=1,AA1410&lt;&gt;"",U1410&lt;&gt;"",V1410&lt;&gt;"",AB1410&lt;&gt;"")),"manuell übersteuert; ","")&amp;IF(AND(BT1410=0,R1410=0),"Gebinde unbekannt / Stellmass fehlt; ","")&amp;IF(AND(BT1410=0,N(V1410)&lt;=0,N(Q1410)&lt;=0),"Menge pro Gebinde fehlt (Ist = 1 Gebinde); ","")&amp;BO1410)</f>
        <v>negativer Bestand (Export -22); </v>
      </c>
      <c r="BH1410" s="55"/>
      <c r="BI1410" s="55"/>
      <c r="BJ1410" s="62"/>
      <c r="BK1410" s="57" t="n">
        <v>-22</v>
      </c>
      <c r="BL1410" s="57" t="n">
        <v>43</v>
      </c>
      <c r="BM1410" s="56" t="n">
        <v>-4958.52999999999</v>
      </c>
      <c r="BN1410" s="57" t="n">
        <v>225</v>
      </c>
      <c r="BO1410" s="55"/>
      <c r="BP1410" s="60" t="n">
        <v>0</v>
      </c>
      <c r="BQ1410" s="60" t="n">
        <v>1410</v>
      </c>
      <c r="BR1410" s="55" t="str">
        <f aca="false">IF(U1410&lt;&gt;"",UPPER(TRIM(U1410)),IF(BU1410=1,UPPER(VLOOKUP(T1410,Parameter!$I$27:$K$29,2,0)),IF(P1410="","LOSE",P1410)))</f>
        <v>S52</v>
      </c>
      <c r="BS1410" s="57" t="n">
        <f aca="false">IF(BR1410="LOSE",1,IF(N(V1410)&gt;0,V1410,IF(BU1410=1,MAX(1,N(VLOOKUP(T1410,Parameter!$I$27:$K$29,3,0)),H1410,N(N1410)),IF(N(Q1410)&gt;0,Q1410,MAX(1,H1410)))))</f>
        <v>88</v>
      </c>
      <c r="BT1410" s="60" t="n">
        <f aca="false">IF(BR1410="LOSE",1,0)</f>
        <v>0</v>
      </c>
      <c r="BU1410" s="60" t="n">
        <f aca="false">IF(AND(U1410="",OR(P1410="",P1410="LOSE"),T1410&lt;&gt;"",N(S1410)&lt;=0,ISNUMBER(MATCH(T1410,Parameter!$I$27:$I$29,0))),1,0)</f>
        <v>0</v>
      </c>
      <c r="BV1410" s="55" t="str">
        <f aca="false">IF(AND(Parameter!$B$19="Ja",E1410&lt;&gt;"",ISNUMBER(MATCH(E1410,Parameter!$I$35:$I$52,0))),VLOOKUP(E1410,Parameter!$I$35:$J$52,2,0),IFERROR(VLOOKUP(D1410,Parameter!$A$35:$C$64,2,0),"Nein"))</f>
        <v>2+3</v>
      </c>
      <c r="BW1410" s="59" t="n">
        <f aca="false">IF(BT1410=0,0,IF(N(S1410)&gt;0,S1410,IFERROR(VLOOKUP(D1410,Parameter!$A$35:$C$64,3,0)+0,0)))</f>
        <v>0</v>
      </c>
      <c r="BX1410" s="55" t="n">
        <f aca="false">IF(AA1410&lt;&gt;"",AA1410,Z1410)</f>
        <v>3</v>
      </c>
      <c r="BY1410" s="55" t="str">
        <f aca="false">IF(BX1410=1,"L1",IF(OR(BX1410=2,BX1410=3),"L23",IF(BX1410="Aussen","Aussen","-")))</f>
        <v>L23</v>
      </c>
      <c r="BZ1410" s="66" t="n">
        <f aca="false">IF(N(AB1410)&gt;0,AB1410,0)</f>
        <v>0</v>
      </c>
      <c r="CA1410" s="60" t="n">
        <f aca="false">IF(ISNUMBER(AE1410),1,0)</f>
        <v>0</v>
      </c>
      <c r="CB1410" s="57" t="n">
        <f aca="false">N(AE1410)</f>
        <v>0</v>
      </c>
      <c r="CC1410" s="57" t="n">
        <f aca="false">N(M1410)+N(N1410)</f>
        <v>38</v>
      </c>
      <c r="CD1410" s="57" t="n">
        <f aca="false">ROUNDUP(H1410/BS1410,0)</f>
        <v>1</v>
      </c>
      <c r="CE1410" s="57" t="n">
        <f aca="false">ROUNDUP(CB1410/BS1410,0)</f>
        <v>0</v>
      </c>
      <c r="CF1410" s="60" t="n">
        <f aca="false">IF(BT1410=1,0,IFERROR(VLOOKUP(BR1410,'Gebinde-Kategorie'!$A$5:$M$45,5,0)+0,0))</f>
        <v>21</v>
      </c>
      <c r="CG1410" s="60" t="n">
        <f aca="false">IFERROR(IF(OR(BX1410=1,BX1410=2,BX1410=3),N(INDEX(Parameter!$I$5:$I$7,BX1410)),0),0)</f>
        <v>0</v>
      </c>
      <c r="CH1410" s="59" t="n">
        <f aca="false">IF(AND(Parameter!$B$21="Ja",ISNUMBER(W1410),N(X1410)&gt;0),IFERROR(N(INDEX(Parameter!$L$5:$L$7,W1410))*INDEX(Parameter!$E$5:$E$7,W1410)*X1410/SUMIFS($X$7:$X$1843,$W$7:$W$1843,W1410),0),0)</f>
        <v>0</v>
      </c>
    </row>
    <row r="1411" customFormat="false" ht="15" hidden="false" customHeight="false" outlineLevel="0" collapsed="false">
      <c r="A1411" s="55" t="s">
        <v>2477</v>
      </c>
      <c r="B1411" s="55" t="s">
        <v>2478</v>
      </c>
      <c r="C1411" s="55" t="s">
        <v>164</v>
      </c>
      <c r="D1411" s="55" t="s">
        <v>173</v>
      </c>
      <c r="E1411" s="55" t="s">
        <v>166</v>
      </c>
      <c r="F1411" s="55" t="s">
        <v>218</v>
      </c>
      <c r="G1411" s="56" t="n">
        <v>136.16</v>
      </c>
      <c r="H1411" s="57" t="n">
        <f aca="false">MAX(0,IF(AND(Parameter!$B$21="Ja",ISNUMBER(Y1411)),Y1411,IF(Parameter!$B$20="Jahresanfang 2025 + Export",BL1411+BK1411,BK1411)))</f>
        <v>27</v>
      </c>
      <c r="I1411" s="57" t="n">
        <f aca="false">H1411*G1411</f>
        <v>3676.32</v>
      </c>
      <c r="J1411" s="57" t="n">
        <f aca="false">BN1411*Parameter!$B$18</f>
        <v>88</v>
      </c>
      <c r="K1411" s="58" t="n">
        <v>41.5</v>
      </c>
      <c r="L1411" s="59" t="n">
        <v>2.12048192771084</v>
      </c>
      <c r="M1411" s="57" t="n">
        <v>20</v>
      </c>
      <c r="N1411" s="57" t="n">
        <v>30</v>
      </c>
      <c r="O1411" s="60" t="n">
        <v>70</v>
      </c>
      <c r="P1411" s="55" t="s">
        <v>174</v>
      </c>
      <c r="Q1411" s="57" t="n">
        <v>80</v>
      </c>
      <c r="R1411" s="60" t="n">
        <f aca="false">IF(BT1411=1,0,IFERROR(VLOOKUP(BR1411,'Gebinde-Kategorie'!$A$5:$M$45,13,0)+0,0))</f>
        <v>6</v>
      </c>
      <c r="S1411" s="61"/>
      <c r="T1411" s="62"/>
      <c r="U1411" s="62"/>
      <c r="V1411" s="62"/>
      <c r="W1411" s="55"/>
      <c r="X1411" s="57"/>
      <c r="Y1411" s="57"/>
      <c r="Z1411" s="55" t="n">
        <f aca="false">IF(A1411="","",IF(AND(Parameter!$B$21="Ja",ISNUMBER(W1411)),W1411,IF(BV1411="2+3",IF(ISNUMBER(SEARCH("grosser Artikel",BO1411)),2,IFERROR(VLOOKUP(BR1411,Parameter!$F$35:$G$64,2,0),2)),IF(OR(BV1411="Nein",BV1411=""),"-",BV1411))))</f>
        <v>1</v>
      </c>
      <c r="AA1411" s="62"/>
      <c r="AB1411" s="63"/>
      <c r="AC1411" s="57" t="n">
        <f aca="false">AR1411</f>
        <v>80</v>
      </c>
      <c r="AD1411" s="57" t="n">
        <f aca="false">MAX(AR1411,H1411)</f>
        <v>80</v>
      </c>
      <c r="AE1411" s="64"/>
      <c r="AF1411" s="57" t="n">
        <f aca="false">IF(LEFT(Cockpit!$C$5,1)="A",H1411,IF(CA1411=1,CB1411,IF(LEFT(Cockpit!$C$5,1)="B",AJ1411,MAX(AJ1411,H1411))))</f>
        <v>27</v>
      </c>
      <c r="AG1411" s="57" t="n">
        <f aca="false">IF(BT1411=1,0,ROUNDUP(AF1411/BS1411,0))</f>
        <v>1</v>
      </c>
      <c r="AH1411" s="59" t="n">
        <f aca="false">IF(CH1411&gt;0,CH1411*MAX(1,AF1411/X1411),IF(BT1411=1,IF(AF1411&lt;=0,0,BW1411*MAX(1,IF(H1411&gt;0,AF1411/H1411,1))),IF(R1411&gt;0,AG1411/R1411,0))/MAX(0.1,N(Parameter!$M$21)))</f>
        <v>0.166666666666667</v>
      </c>
      <c r="AI1411" s="57" t="n">
        <f aca="false">AF1411*G1411</f>
        <v>3676.32</v>
      </c>
      <c r="AJ1411" s="57" t="n">
        <f aca="false">ROUNDUP(MAX(J1411/IF(BZ1411&gt;0,BZ1411,MAX(0.1,N(Cockpit!$C$6))),CC1411)/BS1411,0)*BS1411</f>
        <v>80</v>
      </c>
      <c r="AK1411" s="58" t="n">
        <f aca="false">IF(AH1411&gt;0,J1411/AH1411,-1)</f>
        <v>528</v>
      </c>
      <c r="AL1411" s="58" t="n">
        <f aca="false">IF(AND(OR(BY1411="L1",BY1411="L23"),AH1411&gt;0),SUMIFS($AH$7:$AH$1843,$BY$7:$BY$1843,BY1411,$AK$7:$AK$1843,"&gt;"&amp;AK1411)+SUMIFS($AH$7:$AH$1843,$BY$7:$BY$1843,BY1411,$AK$7:$AK$1843,AK1411,$BQ$7:$BQ$1843,"&lt;="&amp;BQ1411),"")</f>
        <v>1.33416945373467</v>
      </c>
      <c r="AM1411" s="65" t="n">
        <f aca="false">IF(AL1411="",0,MAX(0,MIN(1,(IF(BY1411="L1",Parameter!$E$5,Parameter!$E$6+Parameter!$E$7)-(AL1411-AH1411))/AH1411)))</f>
        <v>1</v>
      </c>
      <c r="AN1411" s="57" t="n">
        <f aca="false">IF(LEFT(Cockpit!$I$5,1)="A",H1411,IF(CA1411=1,CB1411,IF(LEFT(Cockpit!$I$5,1)="B",AR1411,MAX(AR1411,H1411))))</f>
        <v>80</v>
      </c>
      <c r="AO1411" s="57" t="n">
        <f aca="false">IF(BT1411=1,0,ROUNDUP(AN1411/BS1411,0))</f>
        <v>1</v>
      </c>
      <c r="AP1411" s="59" t="n">
        <f aca="false">IF(CH1411&gt;0,CH1411*MAX(1,AN1411/X1411),IF(BT1411=1,IF(AN1411&lt;=0,0,BW1411*MAX(1,IF(H1411&gt;0,AN1411/H1411,1))),IF(R1411&gt;0,AO1411/R1411,0))/MAX(0.1,N(Parameter!$M$21)))</f>
        <v>0.166666666666667</v>
      </c>
      <c r="AQ1411" s="57" t="n">
        <f aca="false">AN1411*G1411</f>
        <v>10892.8</v>
      </c>
      <c r="AR1411" s="57" t="n">
        <f aca="false">ROUNDUP(MAX(J1411/IF(BZ1411&gt;0,BZ1411,MAX(0.1,N(Cockpit!$I$6))),CC1411)/BS1411,0)*BS1411</f>
        <v>80</v>
      </c>
      <c r="AS1411" s="58" t="n">
        <f aca="false">IF(AP1411&gt;0,J1411/AP1411,-1)</f>
        <v>528</v>
      </c>
      <c r="AT1411" s="58" t="n">
        <f aca="false">IF(AND(OR(BY1411="L1",BY1411="L23"),AP1411&gt;0),SUMIFS($AP$7:$AP$1843,$BY$7:$BY$1843,BY1411,$AS$7:$AS$1843,"&gt;"&amp;AS1411)+SUMIFS($AP$7:$AP$1843,$BY$7:$BY$1843,BY1411,$AS$7:$AS$1843,AS1411,$BQ$7:$BQ$1843,"&lt;="&amp;BQ1411),"")</f>
        <v>0.789297658862876</v>
      </c>
      <c r="AU1411" s="65" t="n">
        <f aca="false">IF(AT1411="",0,MAX(0,MIN(1,(IF(BY1411="L1",Parameter!$E$5,Parameter!$E$6+Parameter!$E$7)-(AT1411-AP1411))/AP1411)))</f>
        <v>1</v>
      </c>
      <c r="AV1411" s="57" t="n">
        <f aca="false">IF(LEFT(Cockpit!$O$5,1)="A",H1411,IF(CA1411=1,CB1411,IF(LEFT(Cockpit!$O$5,1)="B",AZ1411,MAX(AZ1411,H1411))))</f>
        <v>80</v>
      </c>
      <c r="AW1411" s="57" t="n">
        <f aca="false">IF(BT1411=1,0,ROUNDUP(AV1411/BS1411,0))</f>
        <v>1</v>
      </c>
      <c r="AX1411" s="59" t="n">
        <f aca="false">IF(CH1411&gt;0,CH1411*MAX(1,AV1411/X1411),IF(BT1411=1,IF(AV1411&lt;=0,0,BW1411*MAX(1,IF(H1411&gt;0,AV1411/H1411,1))),IF(R1411&gt;0,AW1411/R1411,0))/MAX(0.1,N(Parameter!$M$21)))</f>
        <v>0.166666666666667</v>
      </c>
      <c r="AY1411" s="57" t="n">
        <f aca="false">AV1411*G1411</f>
        <v>10892.8</v>
      </c>
      <c r="AZ1411" s="57" t="n">
        <f aca="false">ROUNDUP(MAX(J1411/IF(BZ1411&gt;0,BZ1411,MAX(0.1,N(Cockpit!$O$6))),CC1411)/BS1411,0)*BS1411</f>
        <v>80</v>
      </c>
      <c r="BA1411" s="58" t="n">
        <f aca="false">IF(AX1411&gt;0,J1411/AX1411,-1)</f>
        <v>528</v>
      </c>
      <c r="BB1411" s="58" t="n">
        <f aca="false">IF(AND(OR(BY1411="L1",BY1411="L23"),AX1411&gt;0),SUMIFS($AX$7:$AX$1843,$BY$7:$BY$1843,BY1411,$BA$7:$BA$1843,"&gt;"&amp;BA1411)+SUMIFS($AX$7:$AX$1843,$BY$7:$BY$1843,BY1411,$BA$7:$BA$1843,BA1411,$BQ$7:$BQ$1843,"&lt;="&amp;BQ1411),"")</f>
        <v>1.00083612040134</v>
      </c>
      <c r="BC1411" s="65" t="n">
        <f aca="false">IF(BB1411="",0,MAX(0,MIN(1,(IF(BY1411="L1",Parameter!$E$5,Parameter!$E$6+Parameter!$E$7)-(BB1411-AX1411))/AX1411)))</f>
        <v>1</v>
      </c>
      <c r="BD1411" s="55" t="str">
        <f aca="false">IF(AH1411&lt;=0,"",IF(BY1411="Aussen","Aussenlager",IF(BY1411="-","Nicht im Lift",IF(AM1411&gt;=1,"Lift",IF(AM1411&lt;=0,"Aussenlager","teilweise")))))</f>
        <v>Lift</v>
      </c>
      <c r="BE1411" s="55" t="str">
        <f aca="false">IF(AP1411&lt;=0,"",IF(BY1411="Aussen","Aussenlager",IF(BY1411="-","Nicht im Lift",IF(AU1411&gt;=1,"Lift",IF(AU1411&lt;=0,"Aussenlager","teilweise")))))</f>
        <v>Lift</v>
      </c>
      <c r="BF1411" s="55" t="str">
        <f aca="false">IF(AX1411&lt;=0,"",IF(BY1411="Aussen","Aussenlager",IF(BY1411="-","Nicht im Lift",IF(BC1411&gt;=1,"Lift",IF(BC1411&lt;=0,"Aussenlager","teilweise")))))</f>
        <v>Lift</v>
      </c>
      <c r="BG1411" s="55" t="str">
        <f aca="false">IF(A1411="","",IF(BP1411=1,"Neu; ","")&amp;IF(AND(BP1411=0,BK1411&lt;0),"negativer Bestand (Export "&amp;BK1411&amp;"); ","")&amp;IF(J1411&lt;=0,"Kein Verbrauch; ","")&amp;IF(CH1411&gt;0,"Lift "&amp;W1411&amp;" lt. Liftbericht (Fach "&amp;X1411&amp;" Stk); ",IF(BU1411=1,"Gebinde geschätzt ("&amp;T1411&amp;"); ",IF(BT1411=1,"Lose – Tablare geschätzt; ","")))&amp;IF(H1411&gt;AR1411,"Überbestand "&amp;ROUND(H1411-AR1411,0)&amp;" Stk / CHF "&amp;ROUND((H1411-AR1411)*G1411,0)&amp;"; ","")&amp;IF(AND(CA1411=1,CB1411&lt;CC1411),"MAX &lt; MB+LG; ","")&amp;IF(AND(CG1411&gt;0,CF1411*10&gt;CG1411),"zu hoch für Tablar; ","")&amp;IF(AND(BP1411=0,OR(CA1411=1,AA1411&lt;&gt;"",U1411&lt;&gt;"",V1411&lt;&gt;"",AB1411&lt;&gt;"")),"manuell übersteuert; ","")&amp;IF(AND(BT1411=0,R1411=0),"Gebinde unbekannt / Stellmass fehlt; ","")&amp;IF(AND(BT1411=0,N(V1411)&lt;=0,N(Q1411)&lt;=0),"Menge pro Gebinde fehlt (Ist = 1 Gebinde); ","")&amp;BO1411)</f>
        <v>negativer Bestand (Export -33); </v>
      </c>
      <c r="BH1411" s="55"/>
      <c r="BI1411" s="55"/>
      <c r="BJ1411" s="62"/>
      <c r="BK1411" s="57" t="n">
        <v>-33</v>
      </c>
      <c r="BL1411" s="57" t="n">
        <v>60</v>
      </c>
      <c r="BM1411" s="56" t="n">
        <v>-5029.08</v>
      </c>
      <c r="BN1411" s="57" t="n">
        <v>88</v>
      </c>
      <c r="BO1411" s="55"/>
      <c r="BP1411" s="60" t="n">
        <v>0</v>
      </c>
      <c r="BQ1411" s="60" t="n">
        <v>1411</v>
      </c>
      <c r="BR1411" s="55" t="str">
        <f aca="false">IF(U1411&lt;&gt;"",UPPER(TRIM(U1411)),IF(BU1411=1,UPPER(VLOOKUP(T1411,Parameter!$I$27:$K$29,2,0)),IF(P1411="","LOSE",P1411)))</f>
        <v>S71</v>
      </c>
      <c r="BS1411" s="57" t="n">
        <f aca="false">IF(BR1411="LOSE",1,IF(N(V1411)&gt;0,V1411,IF(BU1411=1,MAX(1,N(VLOOKUP(T1411,Parameter!$I$27:$K$29,3,0)),H1411,N(N1411)),IF(N(Q1411)&gt;0,Q1411,MAX(1,H1411)))))</f>
        <v>80</v>
      </c>
      <c r="BT1411" s="60" t="n">
        <f aca="false">IF(BR1411="LOSE",1,0)</f>
        <v>0</v>
      </c>
      <c r="BU1411" s="60" t="n">
        <f aca="false">IF(AND(U1411="",OR(P1411="",P1411="LOSE"),T1411&lt;&gt;"",N(S1411)&lt;=0,ISNUMBER(MATCH(T1411,Parameter!$I$27:$I$29,0))),1,0)</f>
        <v>0</v>
      </c>
      <c r="BV1411" s="55" t="n">
        <f aca="false">IF(AND(Parameter!$B$19="Ja",E1411&lt;&gt;"",ISNUMBER(MATCH(E1411,Parameter!$I$35:$I$52,0))),VLOOKUP(E1411,Parameter!$I$35:$J$52,2,0),IFERROR(VLOOKUP(D1411,Parameter!$A$35:$C$64,2,0),"Nein"))</f>
        <v>1</v>
      </c>
      <c r="BW1411" s="59" t="n">
        <f aca="false">IF(BT1411=0,0,IF(N(S1411)&gt;0,S1411,IFERROR(VLOOKUP(D1411,Parameter!$A$35:$C$64,3,0)+0,0)))</f>
        <v>0</v>
      </c>
      <c r="BX1411" s="55" t="n">
        <f aca="false">IF(AA1411&lt;&gt;"",AA1411,Z1411)</f>
        <v>1</v>
      </c>
      <c r="BY1411" s="55" t="str">
        <f aca="false">IF(BX1411=1,"L1",IF(OR(BX1411=2,BX1411=3),"L23",IF(BX1411="Aussen","Aussen","-")))</f>
        <v>L1</v>
      </c>
      <c r="BZ1411" s="66" t="n">
        <f aca="false">IF(N(AB1411)&gt;0,AB1411,0)</f>
        <v>0</v>
      </c>
      <c r="CA1411" s="60" t="n">
        <f aca="false">IF(ISNUMBER(AE1411),1,0)</f>
        <v>0</v>
      </c>
      <c r="CB1411" s="57" t="n">
        <f aca="false">N(AE1411)</f>
        <v>0</v>
      </c>
      <c r="CC1411" s="57" t="n">
        <f aca="false">N(M1411)+N(N1411)</f>
        <v>50</v>
      </c>
      <c r="CD1411" s="57" t="n">
        <f aca="false">ROUNDUP(H1411/BS1411,0)</f>
        <v>1</v>
      </c>
      <c r="CE1411" s="57" t="n">
        <f aca="false">ROUNDUP(CB1411/BS1411,0)</f>
        <v>0</v>
      </c>
      <c r="CF1411" s="60" t="n">
        <f aca="false">IF(BT1411=1,0,IFERROR(VLOOKUP(BR1411,'Gebinde-Kategorie'!$A$5:$M$45,5,0)+0,0))</f>
        <v>20</v>
      </c>
      <c r="CG1411" s="60" t="n">
        <f aca="false">IFERROR(IF(OR(BX1411=1,BX1411=2,BX1411=3),N(INDEX(Parameter!$I$5:$I$7,BX1411)),0),0)</f>
        <v>0</v>
      </c>
      <c r="CH1411" s="59" t="n">
        <f aca="false">IF(AND(Parameter!$B$21="Ja",ISNUMBER(W1411),N(X1411)&gt;0),IFERROR(N(INDEX(Parameter!$L$5:$L$7,W1411))*INDEX(Parameter!$E$5:$E$7,W1411)*X1411/SUMIFS($X$7:$X$1843,$W$7:$W$1843,W1411),0),0)</f>
        <v>0</v>
      </c>
    </row>
    <row r="1412" customFormat="false" ht="15" hidden="false" customHeight="false" outlineLevel="0" collapsed="false">
      <c r="A1412" s="55" t="s">
        <v>2479</v>
      </c>
      <c r="B1412" s="55" t="s">
        <v>2480</v>
      </c>
      <c r="C1412" s="55" t="s">
        <v>164</v>
      </c>
      <c r="D1412" s="55" t="s">
        <v>353</v>
      </c>
      <c r="E1412" s="55"/>
      <c r="F1412" s="55" t="s">
        <v>218</v>
      </c>
      <c r="G1412" s="56" t="n">
        <v>5062.98</v>
      </c>
      <c r="H1412" s="57" t="n">
        <f aca="false">MAX(0,IF(AND(Parameter!$B$21="Ja",ISNUMBER(Y1412)),Y1412,IF(Parameter!$B$20="Jahresanfang 2025 + Export",BL1412+BK1412,BK1412)))</f>
        <v>0</v>
      </c>
      <c r="I1412" s="57" t="n">
        <f aca="false">H1412*G1412</f>
        <v>0</v>
      </c>
      <c r="J1412" s="57" t="n">
        <f aca="false">BN1412*Parameter!$B$18</f>
        <v>1</v>
      </c>
      <c r="K1412" s="58" t="n">
        <v>0.5</v>
      </c>
      <c r="L1412" s="59" t="n">
        <v>2</v>
      </c>
      <c r="M1412" s="57" t="n">
        <v>0</v>
      </c>
      <c r="N1412" s="57" t="n">
        <v>1</v>
      </c>
      <c r="O1412" s="60" t="n">
        <v>0</v>
      </c>
      <c r="P1412" s="55" t="s">
        <v>168</v>
      </c>
      <c r="Q1412" s="57"/>
      <c r="R1412" s="60" t="n">
        <f aca="false">IF(BT1412=1,0,IFERROR(VLOOKUP(BR1412,'Gebinde-Kategorie'!$A$5:$M$45,13,0)+0,0))</f>
        <v>0</v>
      </c>
      <c r="S1412" s="61"/>
      <c r="T1412" s="62"/>
      <c r="U1412" s="62"/>
      <c r="V1412" s="62"/>
      <c r="W1412" s="55"/>
      <c r="X1412" s="57"/>
      <c r="Y1412" s="57"/>
      <c r="Z1412" s="55" t="str">
        <f aca="false">IF(A1412="","",IF(AND(Parameter!$B$21="Ja",ISNUMBER(W1412)),W1412,IF(BV1412="2+3",IF(ISNUMBER(SEARCH("grosser Artikel",BO1412)),2,IFERROR(VLOOKUP(BR1412,Parameter!$F$35:$G$64,2,0),2)),IF(OR(BV1412="Nein",BV1412=""),"-",BV1412))))</f>
        <v>-</v>
      </c>
      <c r="AA1412" s="62"/>
      <c r="AB1412" s="63"/>
      <c r="AC1412" s="57" t="n">
        <f aca="false">AR1412</f>
        <v>1</v>
      </c>
      <c r="AD1412" s="57" t="n">
        <f aca="false">MAX(AR1412,H1412)</f>
        <v>1</v>
      </c>
      <c r="AE1412" s="64"/>
      <c r="AF1412" s="57" t="n">
        <f aca="false">IF(LEFT(Cockpit!$C$5,1)="A",H1412,IF(CA1412=1,CB1412,IF(LEFT(Cockpit!$C$5,1)="B",AJ1412,MAX(AJ1412,H1412))))</f>
        <v>0</v>
      </c>
      <c r="AG1412" s="57" t="n">
        <f aca="false">IF(BT1412=1,0,ROUNDUP(AF1412/BS1412,0))</f>
        <v>0</v>
      </c>
      <c r="AH1412" s="59" t="n">
        <f aca="false">IF(CH1412&gt;0,CH1412*MAX(1,AF1412/X1412),IF(BT1412=1,IF(AF1412&lt;=0,0,BW1412*MAX(1,IF(H1412&gt;0,AF1412/H1412,1))),IF(R1412&gt;0,AG1412/R1412,0))/MAX(0.1,N(Parameter!$M$21)))</f>
        <v>0</v>
      </c>
      <c r="AI1412" s="57" t="n">
        <f aca="false">AF1412*G1412</f>
        <v>0</v>
      </c>
      <c r="AJ1412" s="57" t="n">
        <f aca="false">ROUNDUP(MAX(J1412/IF(BZ1412&gt;0,BZ1412,MAX(0.1,N(Cockpit!$C$6))),CC1412)/BS1412,0)*BS1412</f>
        <v>1</v>
      </c>
      <c r="AK1412" s="58" t="n">
        <f aca="false">IF(AH1412&gt;0,J1412/AH1412,-1)</f>
        <v>-1</v>
      </c>
      <c r="AL1412" s="58" t="str">
        <f aca="false">IF(AND(OR(BY1412="L1",BY1412="L23"),AH1412&gt;0),SUMIFS($AH$7:$AH$1843,$BY$7:$BY$1843,BY1412,$AK$7:$AK$1843,"&gt;"&amp;AK1412)+SUMIFS($AH$7:$AH$1843,$BY$7:$BY$1843,BY1412,$AK$7:$AK$1843,AK1412,$BQ$7:$BQ$1843,"&lt;="&amp;BQ1412),"")</f>
        <v/>
      </c>
      <c r="AM1412" s="65" t="n">
        <f aca="false">IF(AL1412="",0,MAX(0,MIN(1,(IF(BY1412="L1",Parameter!$E$5,Parameter!$E$6+Parameter!$E$7)-(AL1412-AH1412))/AH1412)))</f>
        <v>0</v>
      </c>
      <c r="AN1412" s="57" t="n">
        <f aca="false">IF(LEFT(Cockpit!$I$5,1)="A",H1412,IF(CA1412=1,CB1412,IF(LEFT(Cockpit!$I$5,1)="B",AR1412,MAX(AR1412,H1412))))</f>
        <v>1</v>
      </c>
      <c r="AO1412" s="57" t="n">
        <f aca="false">IF(BT1412=1,0,ROUNDUP(AN1412/BS1412,0))</f>
        <v>0</v>
      </c>
      <c r="AP1412" s="59" t="n">
        <f aca="false">IF(CH1412&gt;0,CH1412*MAX(1,AN1412/X1412),IF(BT1412=1,IF(AN1412&lt;=0,0,BW1412*MAX(1,IF(H1412&gt;0,AN1412/H1412,1))),IF(R1412&gt;0,AO1412/R1412,0))/MAX(0.1,N(Parameter!$M$21)))</f>
        <v>0.15</v>
      </c>
      <c r="AQ1412" s="57" t="n">
        <f aca="false">AN1412*G1412</f>
        <v>5062.98</v>
      </c>
      <c r="AR1412" s="57" t="n">
        <f aca="false">ROUNDUP(MAX(J1412/IF(BZ1412&gt;0,BZ1412,MAX(0.1,N(Cockpit!$I$6))),CC1412)/BS1412,0)*BS1412</f>
        <v>1</v>
      </c>
      <c r="AS1412" s="58" t="n">
        <f aca="false">IF(AP1412&gt;0,J1412/AP1412,-1)</f>
        <v>6.66666666666667</v>
      </c>
      <c r="AT1412" s="58" t="str">
        <f aca="false">IF(AND(OR(BY1412="L1",BY1412="L23"),AP1412&gt;0),SUMIFS($AP$7:$AP$1843,$BY$7:$BY$1843,BY1412,$AS$7:$AS$1843,"&gt;"&amp;AS1412)+SUMIFS($AP$7:$AP$1843,$BY$7:$BY$1843,BY1412,$AS$7:$AS$1843,AS1412,$BQ$7:$BQ$1843,"&lt;="&amp;BQ1412),"")</f>
        <v/>
      </c>
      <c r="AU1412" s="65" t="n">
        <f aca="false">IF(AT1412="",0,MAX(0,MIN(1,(IF(BY1412="L1",Parameter!$E$5,Parameter!$E$6+Parameter!$E$7)-(AT1412-AP1412))/AP1412)))</f>
        <v>0</v>
      </c>
      <c r="AV1412" s="57" t="n">
        <f aca="false">IF(LEFT(Cockpit!$O$5,1)="A",H1412,IF(CA1412=1,CB1412,IF(LEFT(Cockpit!$O$5,1)="B",AZ1412,MAX(AZ1412,H1412))))</f>
        <v>1</v>
      </c>
      <c r="AW1412" s="57" t="n">
        <f aca="false">IF(BT1412=1,0,ROUNDUP(AV1412/BS1412,0))</f>
        <v>0</v>
      </c>
      <c r="AX1412" s="59" t="n">
        <f aca="false">IF(CH1412&gt;0,CH1412*MAX(1,AV1412/X1412),IF(BT1412=1,IF(AV1412&lt;=0,0,BW1412*MAX(1,IF(H1412&gt;0,AV1412/H1412,1))),IF(R1412&gt;0,AW1412/R1412,0))/MAX(0.1,N(Parameter!$M$21)))</f>
        <v>0.15</v>
      </c>
      <c r="AY1412" s="57" t="n">
        <f aca="false">AV1412*G1412</f>
        <v>5062.98</v>
      </c>
      <c r="AZ1412" s="57" t="n">
        <f aca="false">ROUNDUP(MAX(J1412/IF(BZ1412&gt;0,BZ1412,MAX(0.1,N(Cockpit!$O$6))),CC1412)/BS1412,0)*BS1412</f>
        <v>1</v>
      </c>
      <c r="BA1412" s="58" t="n">
        <f aca="false">IF(AX1412&gt;0,J1412/AX1412,-1)</f>
        <v>6.66666666666667</v>
      </c>
      <c r="BB1412" s="58" t="str">
        <f aca="false">IF(AND(OR(BY1412="L1",BY1412="L23"),AX1412&gt;0),SUMIFS($AX$7:$AX$1843,$BY$7:$BY$1843,BY1412,$BA$7:$BA$1843,"&gt;"&amp;BA1412)+SUMIFS($AX$7:$AX$1843,$BY$7:$BY$1843,BY1412,$BA$7:$BA$1843,BA1412,$BQ$7:$BQ$1843,"&lt;="&amp;BQ1412),"")</f>
        <v/>
      </c>
      <c r="BC1412" s="65" t="n">
        <f aca="false">IF(BB1412="",0,MAX(0,MIN(1,(IF(BY1412="L1",Parameter!$E$5,Parameter!$E$6+Parameter!$E$7)-(BB1412-AX1412))/AX1412)))</f>
        <v>0</v>
      </c>
      <c r="BD1412" s="55" t="str">
        <f aca="false">IF(AH1412&lt;=0,"",IF(BY1412="Aussen","Aussenlager",IF(BY1412="-","Nicht im Lift",IF(AM1412&gt;=1,"Lift",IF(AM1412&lt;=0,"Aussenlager","teilweise")))))</f>
        <v/>
      </c>
      <c r="BE1412" s="55" t="str">
        <f aca="false">IF(AP1412&lt;=0,"",IF(BY1412="Aussen","Aussenlager",IF(BY1412="-","Nicht im Lift",IF(AU1412&gt;=1,"Lift",IF(AU1412&lt;=0,"Aussenlager","teilweise")))))</f>
        <v>Nicht im Lift</v>
      </c>
      <c r="BF1412" s="55" t="str">
        <f aca="false">IF(AX1412&lt;=0,"",IF(BY1412="Aussen","Aussenlager",IF(BY1412="-","Nicht im Lift",IF(BC1412&gt;=1,"Lift",IF(BC1412&lt;=0,"Aussenlager","teilweise")))))</f>
        <v>Nicht im Lift</v>
      </c>
      <c r="BG1412" s="55" t="str">
        <f aca="false">IF(A1412="","",IF(BP1412=1,"Neu; ","")&amp;IF(AND(BP1412=0,BK1412&lt;0),"negativer Bestand (Export "&amp;BK1412&amp;"); ","")&amp;IF(J1412&lt;=0,"Kein Verbrauch; ","")&amp;IF(CH1412&gt;0,"Lift "&amp;W1412&amp;" lt. Liftbericht (Fach "&amp;X1412&amp;" Stk); ",IF(BU1412=1,"Gebinde geschätzt ("&amp;T1412&amp;"); ",IF(BT1412=1,"Lose – Tablare geschätzt; ","")))&amp;IF(H1412&gt;AR1412,"Überbestand "&amp;ROUND(H1412-AR1412,0)&amp;" Stk / CHF "&amp;ROUND((H1412-AR1412)*G1412,0)&amp;"; ","")&amp;IF(AND(CA1412=1,CB1412&lt;CC1412),"MAX &lt; MB+LG; ","")&amp;IF(AND(CG1412&gt;0,CF1412*10&gt;CG1412),"zu hoch für Tablar; ","")&amp;IF(AND(BP1412=0,OR(CA1412=1,AA1412&lt;&gt;"",U1412&lt;&gt;"",V1412&lt;&gt;"",AB1412&lt;&gt;"")),"manuell übersteuert; ","")&amp;IF(AND(BT1412=0,R1412=0),"Gebinde unbekannt / Stellmass fehlt; ","")&amp;IF(AND(BT1412=0,N(V1412)&lt;=0,N(Q1412)&lt;=0),"Menge pro Gebinde fehlt (Ist = 1 Gebinde); ","")&amp;BO1412)</f>
        <v>negativer Bestand (Export -1); Lose – Tablare geschätzt; </v>
      </c>
      <c r="BH1412" s="55"/>
      <c r="BI1412" s="55"/>
      <c r="BJ1412" s="62"/>
      <c r="BK1412" s="57" t="n">
        <v>-1</v>
      </c>
      <c r="BL1412" s="57" t="n">
        <v>1</v>
      </c>
      <c r="BM1412" s="56" t="n">
        <v>-5062.98</v>
      </c>
      <c r="BN1412" s="57" t="n">
        <v>1</v>
      </c>
      <c r="BO1412" s="55"/>
      <c r="BP1412" s="60" t="n">
        <v>0</v>
      </c>
      <c r="BQ1412" s="60" t="n">
        <v>1412</v>
      </c>
      <c r="BR1412" s="55" t="str">
        <f aca="false">IF(U1412&lt;&gt;"",UPPER(TRIM(U1412)),IF(BU1412=1,UPPER(VLOOKUP(T1412,Parameter!$I$27:$K$29,2,0)),IF(P1412="","LOSE",P1412)))</f>
        <v>LOSE</v>
      </c>
      <c r="BS1412" s="57" t="n">
        <f aca="false">IF(BR1412="LOSE",1,IF(N(V1412)&gt;0,V1412,IF(BU1412=1,MAX(1,N(VLOOKUP(T1412,Parameter!$I$27:$K$29,3,0)),H1412,N(N1412)),IF(N(Q1412)&gt;0,Q1412,MAX(1,H1412)))))</f>
        <v>1</v>
      </c>
      <c r="BT1412" s="60" t="n">
        <f aca="false">IF(BR1412="LOSE",1,0)</f>
        <v>1</v>
      </c>
      <c r="BU1412" s="60" t="n">
        <f aca="false">IF(AND(U1412="",OR(P1412="",P1412="LOSE"),T1412&lt;&gt;"",N(S1412)&lt;=0,ISNUMBER(MATCH(T1412,Parameter!$I$27:$I$29,0))),1,0)</f>
        <v>0</v>
      </c>
      <c r="BV1412" s="55" t="str">
        <f aca="false">IF(AND(Parameter!$B$19="Ja",E1412&lt;&gt;"",ISNUMBER(MATCH(E1412,Parameter!$I$35:$I$52,0))),VLOOKUP(E1412,Parameter!$I$35:$J$52,2,0),IFERROR(VLOOKUP(D1412,Parameter!$A$35:$C$64,2,0),"Nein"))</f>
        <v>Nein</v>
      </c>
      <c r="BW1412" s="59" t="n">
        <f aca="false">IF(BT1412=0,0,IF(N(S1412)&gt;0,S1412,IFERROR(VLOOKUP(D1412,Parameter!$A$35:$C$64,3,0)+0,0)))</f>
        <v>0.15</v>
      </c>
      <c r="BX1412" s="55" t="str">
        <f aca="false">IF(AA1412&lt;&gt;"",AA1412,Z1412)</f>
        <v>-</v>
      </c>
      <c r="BY1412" s="55" t="str">
        <f aca="false">IF(BX1412=1,"L1",IF(OR(BX1412=2,BX1412=3),"L23",IF(BX1412="Aussen","Aussen","-")))</f>
        <v>-</v>
      </c>
      <c r="BZ1412" s="66" t="n">
        <f aca="false">IF(N(AB1412)&gt;0,AB1412,0)</f>
        <v>0</v>
      </c>
      <c r="CA1412" s="60" t="n">
        <f aca="false">IF(ISNUMBER(AE1412),1,0)</f>
        <v>0</v>
      </c>
      <c r="CB1412" s="57" t="n">
        <f aca="false">N(AE1412)</f>
        <v>0</v>
      </c>
      <c r="CC1412" s="57" t="n">
        <f aca="false">N(M1412)+N(N1412)</f>
        <v>1</v>
      </c>
      <c r="CD1412" s="57" t="n">
        <f aca="false">ROUNDUP(H1412/BS1412,0)</f>
        <v>0</v>
      </c>
      <c r="CE1412" s="57" t="n">
        <f aca="false">ROUNDUP(CB1412/BS1412,0)</f>
        <v>0</v>
      </c>
      <c r="CF1412" s="60" t="n">
        <f aca="false">IF(BT1412=1,0,IFERROR(VLOOKUP(BR1412,'Gebinde-Kategorie'!$A$5:$M$45,5,0)+0,0))</f>
        <v>0</v>
      </c>
      <c r="CG1412" s="60" t="n">
        <f aca="false">IFERROR(IF(OR(BX1412=1,BX1412=2,BX1412=3),N(INDEX(Parameter!$I$5:$I$7,BX1412)),0),0)</f>
        <v>0</v>
      </c>
      <c r="CH1412" s="59" t="n">
        <f aca="false">IF(AND(Parameter!$B$21="Ja",ISNUMBER(W1412),N(X1412)&gt;0),IFERROR(N(INDEX(Parameter!$L$5:$L$7,W1412))*INDEX(Parameter!$E$5:$E$7,W1412)*X1412/SUMIFS($X$7:$X$1843,$W$7:$W$1843,W1412),0),0)</f>
        <v>0</v>
      </c>
    </row>
    <row r="1413" customFormat="false" ht="15" hidden="false" customHeight="false" outlineLevel="0" collapsed="false">
      <c r="A1413" s="55" t="s">
        <v>2481</v>
      </c>
      <c r="B1413" s="55" t="s">
        <v>2482</v>
      </c>
      <c r="C1413" s="55" t="s">
        <v>164</v>
      </c>
      <c r="D1413" s="55" t="s">
        <v>184</v>
      </c>
      <c r="E1413" s="55" t="s">
        <v>185</v>
      </c>
      <c r="F1413" s="55" t="s">
        <v>218</v>
      </c>
      <c r="G1413" s="56" t="n">
        <v>88.93</v>
      </c>
      <c r="H1413" s="57" t="n">
        <f aca="false">MAX(0,IF(AND(Parameter!$B$21="Ja",ISNUMBER(Y1413)),Y1413,IF(Parameter!$B$20="Jahresanfang 2025 + Export",BL1413+BK1413,BK1413)))</f>
        <v>40</v>
      </c>
      <c r="I1413" s="57" t="n">
        <f aca="false">H1413*G1413</f>
        <v>3557.2</v>
      </c>
      <c r="J1413" s="57" t="n">
        <f aca="false">BN1413*Parameter!$B$18</f>
        <v>129</v>
      </c>
      <c r="K1413" s="58" t="n">
        <v>42.5</v>
      </c>
      <c r="L1413" s="59" t="n">
        <v>3.03529411764706</v>
      </c>
      <c r="M1413" s="57" t="n">
        <v>7</v>
      </c>
      <c r="N1413" s="57" t="n">
        <v>25</v>
      </c>
      <c r="O1413" s="60" t="n">
        <v>21</v>
      </c>
      <c r="P1413" s="55" t="s">
        <v>293</v>
      </c>
      <c r="Q1413" s="57" t="n">
        <v>40</v>
      </c>
      <c r="R1413" s="60" t="n">
        <f aca="false">IF(BT1413=1,0,IFERROR(VLOOKUP(BR1413,'Gebinde-Kategorie'!$A$5:$M$45,13,0)+0,0))</f>
        <v>12</v>
      </c>
      <c r="S1413" s="61"/>
      <c r="T1413" s="62"/>
      <c r="U1413" s="62"/>
      <c r="V1413" s="62"/>
      <c r="W1413" s="55"/>
      <c r="X1413" s="57"/>
      <c r="Y1413" s="57"/>
      <c r="Z1413" s="55" t="n">
        <f aca="false">IF(A1413="","",IF(AND(Parameter!$B$21="Ja",ISNUMBER(W1413)),W1413,IF(BV1413="2+3",IF(ISNUMBER(SEARCH("grosser Artikel",BO1413)),2,IFERROR(VLOOKUP(BR1413,Parameter!$F$35:$G$64,2,0),2)),IF(OR(BV1413="Nein",BV1413=""),"-",BV1413))))</f>
        <v>2</v>
      </c>
      <c r="AA1413" s="62"/>
      <c r="AB1413" s="63"/>
      <c r="AC1413" s="57" t="n">
        <f aca="false">AR1413</f>
        <v>80</v>
      </c>
      <c r="AD1413" s="57" t="n">
        <f aca="false">MAX(AR1413,H1413)</f>
        <v>80</v>
      </c>
      <c r="AE1413" s="64"/>
      <c r="AF1413" s="57" t="n">
        <f aca="false">IF(LEFT(Cockpit!$C$5,1)="A",H1413,IF(CA1413=1,CB1413,IF(LEFT(Cockpit!$C$5,1)="B",AJ1413,MAX(AJ1413,H1413))))</f>
        <v>40</v>
      </c>
      <c r="AG1413" s="57" t="n">
        <f aca="false">IF(BT1413=1,0,ROUNDUP(AF1413/BS1413,0))</f>
        <v>1</v>
      </c>
      <c r="AH1413" s="59" t="n">
        <f aca="false">IF(CH1413&gt;0,CH1413*MAX(1,AF1413/X1413),IF(BT1413=1,IF(AF1413&lt;=0,0,BW1413*MAX(1,IF(H1413&gt;0,AF1413/H1413,1))),IF(R1413&gt;0,AG1413/R1413,0))/MAX(0.1,N(Parameter!$M$21)))</f>
        <v>0.0833333333333333</v>
      </c>
      <c r="AI1413" s="57" t="n">
        <f aca="false">AF1413*G1413</f>
        <v>3557.2</v>
      </c>
      <c r="AJ1413" s="57" t="n">
        <f aca="false">ROUNDUP(MAX(J1413/IF(BZ1413&gt;0,BZ1413,MAX(0.1,N(Cockpit!$C$6))),CC1413)/BS1413,0)*BS1413</f>
        <v>80</v>
      </c>
      <c r="AK1413" s="58" t="n">
        <f aca="false">IF(AH1413&gt;0,J1413/AH1413,-1)</f>
        <v>1548</v>
      </c>
      <c r="AL1413" s="58" t="n">
        <f aca="false">IF(AND(OR(BY1413="L1",BY1413="L23"),AH1413&gt;0),SUMIFS($AH$7:$AH$1843,$BY$7:$BY$1843,BY1413,$AK$7:$AK$1843,"&gt;"&amp;AK1413)+SUMIFS($AH$7:$AH$1843,$BY$7:$BY$1843,BY1413,$AK$7:$AK$1843,AK1413,$BQ$7:$BQ$1843,"&lt;="&amp;BQ1413),"")</f>
        <v>15.815225836965</v>
      </c>
      <c r="AM1413" s="65" t="n">
        <f aca="false">IF(AL1413="",0,MAX(0,MIN(1,(IF(BY1413="L1",Parameter!$E$5,Parameter!$E$6+Parameter!$E$7)-(AL1413-AH1413))/AH1413)))</f>
        <v>1</v>
      </c>
      <c r="AN1413" s="57" t="n">
        <f aca="false">IF(LEFT(Cockpit!$I$5,1)="A",H1413,IF(CA1413=1,CB1413,IF(LEFT(Cockpit!$I$5,1)="B",AR1413,MAX(AR1413,H1413))))</f>
        <v>80</v>
      </c>
      <c r="AO1413" s="57" t="n">
        <f aca="false">IF(BT1413=1,0,ROUNDUP(AN1413/BS1413,0))</f>
        <v>2</v>
      </c>
      <c r="AP1413" s="59" t="n">
        <f aca="false">IF(CH1413&gt;0,CH1413*MAX(1,AN1413/X1413),IF(BT1413=1,IF(AN1413&lt;=0,0,BW1413*MAX(1,IF(H1413&gt;0,AN1413/H1413,1))),IF(R1413&gt;0,AO1413/R1413,0))/MAX(0.1,N(Parameter!$M$21)))</f>
        <v>0.166666666666667</v>
      </c>
      <c r="AQ1413" s="57" t="n">
        <f aca="false">AN1413*G1413</f>
        <v>7114.4</v>
      </c>
      <c r="AR1413" s="57" t="n">
        <f aca="false">ROUNDUP(MAX(J1413/IF(BZ1413&gt;0,BZ1413,MAX(0.1,N(Cockpit!$I$6))),CC1413)/BS1413,0)*BS1413</f>
        <v>80</v>
      </c>
      <c r="AS1413" s="58" t="n">
        <f aca="false">IF(AP1413&gt;0,J1413/AP1413,-1)</f>
        <v>774</v>
      </c>
      <c r="AT1413" s="58" t="n">
        <f aca="false">IF(AND(OR(BY1413="L1",BY1413="L23"),AP1413&gt;0),SUMIFS($AP$7:$AP$1843,$BY$7:$BY$1843,BY1413,$AS$7:$AS$1843,"&gt;"&amp;AS1413)+SUMIFS($AP$7:$AP$1843,$BY$7:$BY$1843,BY1413,$AS$7:$AS$1843,AS1413,$BQ$7:$BQ$1843,"&lt;="&amp;BQ1413),"")</f>
        <v>27.0607918651397</v>
      </c>
      <c r="AU1413" s="65" t="n">
        <f aca="false">IF(AT1413="",0,MAX(0,MIN(1,(IF(BY1413="L1",Parameter!$E$5,Parameter!$E$6+Parameter!$E$7)-(AT1413-AP1413))/AP1413)))</f>
        <v>1</v>
      </c>
      <c r="AV1413" s="57" t="n">
        <f aca="false">IF(LEFT(Cockpit!$O$5,1)="A",H1413,IF(CA1413=1,CB1413,IF(LEFT(Cockpit!$O$5,1)="B",AZ1413,MAX(AZ1413,H1413))))</f>
        <v>80</v>
      </c>
      <c r="AW1413" s="57" t="n">
        <f aca="false">IF(BT1413=1,0,ROUNDUP(AV1413/BS1413,0))</f>
        <v>2</v>
      </c>
      <c r="AX1413" s="59" t="n">
        <f aca="false">IF(CH1413&gt;0,CH1413*MAX(1,AV1413/X1413),IF(BT1413=1,IF(AV1413&lt;=0,0,BW1413*MAX(1,IF(H1413&gt;0,AV1413/H1413,1))),IF(R1413&gt;0,AW1413/R1413,0))/MAX(0.1,N(Parameter!$M$21)))</f>
        <v>0.166666666666667</v>
      </c>
      <c r="AY1413" s="57" t="n">
        <f aca="false">AV1413*G1413</f>
        <v>7114.4</v>
      </c>
      <c r="AZ1413" s="57" t="n">
        <f aca="false">ROUNDUP(MAX(J1413/IF(BZ1413&gt;0,BZ1413,MAX(0.1,N(Cockpit!$O$6))),CC1413)/BS1413,0)*BS1413</f>
        <v>80</v>
      </c>
      <c r="BA1413" s="58" t="n">
        <f aca="false">IF(AX1413&gt;0,J1413/AX1413,-1)</f>
        <v>774</v>
      </c>
      <c r="BB1413" s="58" t="n">
        <f aca="false">IF(AND(OR(BY1413="L1",BY1413="L23"),AX1413&gt;0),SUMIFS($AX$7:$AX$1843,$BY$7:$BY$1843,BY1413,$BA$7:$BA$1843,"&gt;"&amp;BA1413)+SUMIFS($AX$7:$AX$1843,$BY$7:$BY$1843,BY1413,$BA$7:$BA$1843,BA1413,$BQ$7:$BQ$1843,"&lt;="&amp;BQ1413),"")</f>
        <v>26.5124235667714</v>
      </c>
      <c r="BC1413" s="65" t="n">
        <f aca="false">IF(BB1413="",0,MAX(0,MIN(1,(IF(BY1413="L1",Parameter!$E$5,Parameter!$E$6+Parameter!$E$7)-(BB1413-AX1413))/AX1413)))</f>
        <v>1</v>
      </c>
      <c r="BD1413" s="55" t="str">
        <f aca="false">IF(AH1413&lt;=0,"",IF(BY1413="Aussen","Aussenlager",IF(BY1413="-","Nicht im Lift",IF(AM1413&gt;=1,"Lift",IF(AM1413&lt;=0,"Aussenlager","teilweise")))))</f>
        <v>Lift</v>
      </c>
      <c r="BE1413" s="55" t="str">
        <f aca="false">IF(AP1413&lt;=0,"",IF(BY1413="Aussen","Aussenlager",IF(BY1413="-","Nicht im Lift",IF(AU1413&gt;=1,"Lift",IF(AU1413&lt;=0,"Aussenlager","teilweise")))))</f>
        <v>Lift</v>
      </c>
      <c r="BF1413" s="55" t="str">
        <f aca="false">IF(AX1413&lt;=0,"",IF(BY1413="Aussen","Aussenlager",IF(BY1413="-","Nicht im Lift",IF(BC1413&gt;=1,"Lift",IF(BC1413&lt;=0,"Aussenlager","teilweise")))))</f>
        <v>Lift</v>
      </c>
      <c r="BG1413" s="55" t="str">
        <f aca="false">IF(A1413="","",IF(BP1413=1,"Neu; ","")&amp;IF(AND(BP1413=0,BK1413&lt;0),"negativer Bestand (Export "&amp;BK1413&amp;"); ","")&amp;IF(J1413&lt;=0,"Kein Verbrauch; ","")&amp;IF(CH1413&gt;0,"Lift "&amp;W1413&amp;" lt. Liftbericht (Fach "&amp;X1413&amp;" Stk); ",IF(BU1413=1,"Gebinde geschätzt ("&amp;T1413&amp;"); ",IF(BT1413=1,"Lose – Tablare geschätzt; ","")))&amp;IF(H1413&gt;AR1413,"Überbestand "&amp;ROUND(H1413-AR1413,0)&amp;" Stk / CHF "&amp;ROUND((H1413-AR1413)*G1413,0)&amp;"; ","")&amp;IF(AND(CA1413=1,CB1413&lt;CC1413),"MAX &lt; MB+LG; ","")&amp;IF(AND(CG1413&gt;0,CF1413*10&gt;CG1413),"zu hoch für Tablar; ","")&amp;IF(AND(BP1413=0,OR(CA1413=1,AA1413&lt;&gt;"",U1413&lt;&gt;"",V1413&lt;&gt;"",AB1413&lt;&gt;"")),"manuell übersteuert; ","")&amp;IF(AND(BT1413=0,R1413=0),"Gebinde unbekannt / Stellmass fehlt; ","")&amp;IF(AND(BT1413=0,N(V1413)&lt;=0,N(Q1413)&lt;=0),"Menge pro Gebinde fehlt (Ist = 1 Gebinde); ","")&amp;BO1413)</f>
        <v>negativer Bestand (Export -21); </v>
      </c>
      <c r="BH1413" s="55"/>
      <c r="BI1413" s="55"/>
      <c r="BJ1413" s="62"/>
      <c r="BK1413" s="57" t="n">
        <v>-21</v>
      </c>
      <c r="BL1413" s="57" t="n">
        <v>61</v>
      </c>
      <c r="BM1413" s="56" t="n">
        <v>-5101.75</v>
      </c>
      <c r="BN1413" s="57" t="n">
        <v>129</v>
      </c>
      <c r="BO1413" s="55"/>
      <c r="BP1413" s="60" t="n">
        <v>0</v>
      </c>
      <c r="BQ1413" s="60" t="n">
        <v>1413</v>
      </c>
      <c r="BR1413" s="55" t="str">
        <f aca="false">IF(U1413&lt;&gt;"",UPPER(TRIM(U1413)),IF(BU1413=1,UPPER(VLOOKUP(T1413,Parameter!$I$27:$K$29,2,0)),IF(P1413="","LOSE",P1413)))</f>
        <v>S62</v>
      </c>
      <c r="BS1413" s="57" t="n">
        <f aca="false">IF(BR1413="LOSE",1,IF(N(V1413)&gt;0,V1413,IF(BU1413=1,MAX(1,N(VLOOKUP(T1413,Parameter!$I$27:$K$29,3,0)),H1413,N(N1413)),IF(N(Q1413)&gt;0,Q1413,MAX(1,H1413)))))</f>
        <v>40</v>
      </c>
      <c r="BT1413" s="60" t="n">
        <f aca="false">IF(BR1413="LOSE",1,0)</f>
        <v>0</v>
      </c>
      <c r="BU1413" s="60" t="n">
        <f aca="false">IF(AND(U1413="",OR(P1413="",P1413="LOSE"),T1413&lt;&gt;"",N(S1413)&lt;=0,ISNUMBER(MATCH(T1413,Parameter!$I$27:$I$29,0))),1,0)</f>
        <v>0</v>
      </c>
      <c r="BV1413" s="55" t="str">
        <f aca="false">IF(AND(Parameter!$B$19="Ja",E1413&lt;&gt;"",ISNUMBER(MATCH(E1413,Parameter!$I$35:$I$52,0))),VLOOKUP(E1413,Parameter!$I$35:$J$52,2,0),IFERROR(VLOOKUP(D1413,Parameter!$A$35:$C$64,2,0),"Nein"))</f>
        <v>2+3</v>
      </c>
      <c r="BW1413" s="59" t="n">
        <f aca="false">IF(BT1413=0,0,IF(N(S1413)&gt;0,S1413,IFERROR(VLOOKUP(D1413,Parameter!$A$35:$C$64,3,0)+0,0)))</f>
        <v>0</v>
      </c>
      <c r="BX1413" s="55" t="n">
        <f aca="false">IF(AA1413&lt;&gt;"",AA1413,Z1413)</f>
        <v>2</v>
      </c>
      <c r="BY1413" s="55" t="str">
        <f aca="false">IF(BX1413=1,"L1",IF(OR(BX1413=2,BX1413=3),"L23",IF(BX1413="Aussen","Aussen","-")))</f>
        <v>L23</v>
      </c>
      <c r="BZ1413" s="66" t="n">
        <f aca="false">IF(N(AB1413)&gt;0,AB1413,0)</f>
        <v>0</v>
      </c>
      <c r="CA1413" s="60" t="n">
        <f aca="false">IF(ISNUMBER(AE1413),1,0)</f>
        <v>0</v>
      </c>
      <c r="CB1413" s="57" t="n">
        <f aca="false">N(AE1413)</f>
        <v>0</v>
      </c>
      <c r="CC1413" s="57" t="n">
        <f aca="false">N(M1413)+N(N1413)</f>
        <v>32</v>
      </c>
      <c r="CD1413" s="57" t="n">
        <f aca="false">ROUNDUP(H1413/BS1413,0)</f>
        <v>1</v>
      </c>
      <c r="CE1413" s="57" t="n">
        <f aca="false">ROUNDUP(CB1413/BS1413,0)</f>
        <v>0</v>
      </c>
      <c r="CF1413" s="60" t="n">
        <f aca="false">IF(BT1413=1,0,IFERROR(VLOOKUP(BR1413,'Gebinde-Kategorie'!$A$5:$M$45,5,0)+0,0))</f>
        <v>21</v>
      </c>
      <c r="CG1413" s="60" t="n">
        <f aca="false">IFERROR(IF(OR(BX1413=1,BX1413=2,BX1413=3),N(INDEX(Parameter!$I$5:$I$7,BX1413)),0),0)</f>
        <v>0</v>
      </c>
      <c r="CH1413" s="59" t="n">
        <f aca="false">IF(AND(Parameter!$B$21="Ja",ISNUMBER(W1413),N(X1413)&gt;0),IFERROR(N(INDEX(Parameter!$L$5:$L$7,W1413))*INDEX(Parameter!$E$5:$E$7,W1413)*X1413/SUMIFS($X$7:$X$1843,$W$7:$W$1843,W1413),0),0)</f>
        <v>0</v>
      </c>
    </row>
    <row r="1414" customFormat="false" ht="15" hidden="false" customHeight="false" outlineLevel="0" collapsed="false">
      <c r="A1414" s="55" t="s">
        <v>2483</v>
      </c>
      <c r="B1414" s="55" t="s">
        <v>405</v>
      </c>
      <c r="C1414" s="55" t="s">
        <v>456</v>
      </c>
      <c r="D1414" s="55" t="s">
        <v>173</v>
      </c>
      <c r="E1414" s="55"/>
      <c r="F1414" s="55" t="s">
        <v>218</v>
      </c>
      <c r="G1414" s="56" t="n">
        <v>5.15</v>
      </c>
      <c r="H1414" s="57" t="n">
        <f aca="false">MAX(0,IF(AND(Parameter!$B$21="Ja",ISNUMBER(Y1414)),Y1414,IF(Parameter!$B$20="Jahresanfang 2025 + Export",BL1414+BK1414,BK1414)))</f>
        <v>1000</v>
      </c>
      <c r="I1414" s="57" t="n">
        <f aca="false">H1414*G1414</f>
        <v>5150</v>
      </c>
      <c r="J1414" s="57" t="n">
        <f aca="false">BN1414*Parameter!$B$18</f>
        <v>0</v>
      </c>
      <c r="K1414" s="58" t="n">
        <v>1000</v>
      </c>
      <c r="L1414" s="59" t="n">
        <v>0</v>
      </c>
      <c r="M1414" s="57" t="n">
        <v>58</v>
      </c>
      <c r="N1414" s="57" t="n">
        <v>700</v>
      </c>
      <c r="O1414" s="60" t="n">
        <v>21</v>
      </c>
      <c r="P1414" s="55" t="s">
        <v>168</v>
      </c>
      <c r="Q1414" s="57"/>
      <c r="R1414" s="60" t="n">
        <f aca="false">IF(BT1414=1,0,IFERROR(VLOOKUP(BR1414,'Gebinde-Kategorie'!$A$5:$M$45,13,0)+0,0))</f>
        <v>26</v>
      </c>
      <c r="S1414" s="61"/>
      <c r="T1414" s="62" t="s">
        <v>275</v>
      </c>
      <c r="U1414" s="62"/>
      <c r="V1414" s="62"/>
      <c r="W1414" s="55"/>
      <c r="X1414" s="57"/>
      <c r="Y1414" s="57"/>
      <c r="Z1414" s="55" t="n">
        <f aca="false">IF(A1414="","",IF(AND(Parameter!$B$21="Ja",ISNUMBER(W1414)),W1414,IF(BV1414="2+3",IF(ISNUMBER(SEARCH("grosser Artikel",BO1414)),2,IFERROR(VLOOKUP(BR1414,Parameter!$F$35:$G$64,2,0),2)),IF(OR(BV1414="Nein",BV1414=""),"-",BV1414))))</f>
        <v>3</v>
      </c>
      <c r="AA1414" s="62"/>
      <c r="AB1414" s="63"/>
      <c r="AC1414" s="57" t="n">
        <f aca="false">AR1414</f>
        <v>1000</v>
      </c>
      <c r="AD1414" s="57" t="n">
        <f aca="false">MAX(AR1414,H1414)</f>
        <v>1000</v>
      </c>
      <c r="AE1414" s="64"/>
      <c r="AF1414" s="57" t="n">
        <f aca="false">IF(LEFT(Cockpit!$C$5,1)="A",H1414,IF(CA1414=1,CB1414,IF(LEFT(Cockpit!$C$5,1)="B",AJ1414,MAX(AJ1414,H1414))))</f>
        <v>1000</v>
      </c>
      <c r="AG1414" s="57" t="n">
        <f aca="false">IF(BT1414=1,0,ROUNDUP(AF1414/BS1414,0))</f>
        <v>1</v>
      </c>
      <c r="AH1414" s="59" t="n">
        <f aca="false">IF(CH1414&gt;0,CH1414*MAX(1,AF1414/X1414),IF(BT1414=1,IF(AF1414&lt;=0,0,BW1414*MAX(1,IF(H1414&gt;0,AF1414/H1414,1))),IF(R1414&gt;0,AG1414/R1414,0))/MAX(0.1,N(Parameter!$M$21)))</f>
        <v>0.0384615384615385</v>
      </c>
      <c r="AI1414" s="57" t="n">
        <f aca="false">AF1414*G1414</f>
        <v>5150</v>
      </c>
      <c r="AJ1414" s="57" t="n">
        <f aca="false">ROUNDUP(MAX(J1414/IF(BZ1414&gt;0,BZ1414,MAX(0.1,N(Cockpit!$C$6))),CC1414)/BS1414,0)*BS1414</f>
        <v>1000</v>
      </c>
      <c r="AK1414" s="58" t="n">
        <f aca="false">IF(AH1414&gt;0,J1414/AH1414,-1)</f>
        <v>0</v>
      </c>
      <c r="AL1414" s="58" t="n">
        <f aca="false">IF(AND(OR(BY1414="L1",BY1414="L23"),AH1414&gt;0),SUMIFS($AH$7:$AH$1843,$BY$7:$BY$1843,BY1414,$AK$7:$AK$1843,"&gt;"&amp;AK1414)+SUMIFS($AH$7:$AH$1843,$BY$7:$BY$1843,BY1414,$AK$7:$AK$1843,AK1414,$BQ$7:$BQ$1843,"&lt;="&amp;BQ1414),"")</f>
        <v>80.9087277456843</v>
      </c>
      <c r="AM1414" s="65" t="n">
        <f aca="false">IF(AL1414="",0,MAX(0,MIN(1,(IF(BY1414="L1",Parameter!$E$5,Parameter!$E$6+Parameter!$E$7)-(AL1414-AH1414))/AH1414)))</f>
        <v>1</v>
      </c>
      <c r="AN1414" s="57" t="n">
        <f aca="false">IF(LEFT(Cockpit!$I$5,1)="A",H1414,IF(CA1414=1,CB1414,IF(LEFT(Cockpit!$I$5,1)="B",AR1414,MAX(AR1414,H1414))))</f>
        <v>1000</v>
      </c>
      <c r="AO1414" s="57" t="n">
        <f aca="false">IF(BT1414=1,0,ROUNDUP(AN1414/BS1414,0))</f>
        <v>1</v>
      </c>
      <c r="AP1414" s="59" t="n">
        <f aca="false">IF(CH1414&gt;0,CH1414*MAX(1,AN1414/X1414),IF(BT1414=1,IF(AN1414&lt;=0,0,BW1414*MAX(1,IF(H1414&gt;0,AN1414/H1414,1))),IF(R1414&gt;0,AO1414/R1414,0))/MAX(0.1,N(Parameter!$M$21)))</f>
        <v>0.0384615384615385</v>
      </c>
      <c r="AQ1414" s="57" t="n">
        <f aca="false">AN1414*G1414</f>
        <v>5150</v>
      </c>
      <c r="AR1414" s="57" t="n">
        <f aca="false">ROUNDUP(MAX(J1414/IF(BZ1414&gt;0,BZ1414,MAX(0.1,N(Cockpit!$I$6))),CC1414)/BS1414,0)*BS1414</f>
        <v>1000</v>
      </c>
      <c r="AS1414" s="58" t="n">
        <f aca="false">IF(AP1414&gt;0,J1414/AP1414,-1)</f>
        <v>0</v>
      </c>
      <c r="AT1414" s="58" t="n">
        <f aca="false">IF(AND(OR(BY1414="L1",BY1414="L23"),AP1414&gt;0),SUMIFS($AP$7:$AP$1843,$BY$7:$BY$1843,BY1414,$AS$7:$AS$1843,"&gt;"&amp;AS1414)+SUMIFS($AP$7:$AP$1843,$BY$7:$BY$1843,BY1414,$AS$7:$AS$1843,AS1414,$BQ$7:$BQ$1843,"&lt;="&amp;BQ1414),"")</f>
        <v>125.6063308672</v>
      </c>
      <c r="AU1414" s="65" t="n">
        <f aca="false">IF(AT1414="",0,MAX(0,MIN(1,(IF(BY1414="L1",Parameter!$E$5,Parameter!$E$6+Parameter!$E$7)-(AT1414-AP1414))/AP1414)))</f>
        <v>0</v>
      </c>
      <c r="AV1414" s="57" t="n">
        <f aca="false">IF(LEFT(Cockpit!$O$5,1)="A",H1414,IF(CA1414=1,CB1414,IF(LEFT(Cockpit!$O$5,1)="B",AZ1414,MAX(AZ1414,H1414))))</f>
        <v>1000</v>
      </c>
      <c r="AW1414" s="57" t="n">
        <f aca="false">IF(BT1414=1,0,ROUNDUP(AV1414/BS1414,0))</f>
        <v>1</v>
      </c>
      <c r="AX1414" s="59" t="n">
        <f aca="false">IF(CH1414&gt;0,CH1414*MAX(1,AV1414/X1414),IF(BT1414=1,IF(AV1414&lt;=0,0,BW1414*MAX(1,IF(H1414&gt;0,AV1414/H1414,1))),IF(R1414&gt;0,AW1414/R1414,0))/MAX(0.1,N(Parameter!$M$21)))</f>
        <v>0.0384615384615385</v>
      </c>
      <c r="AY1414" s="57" t="n">
        <f aca="false">AV1414*G1414</f>
        <v>5150</v>
      </c>
      <c r="AZ1414" s="57" t="n">
        <f aca="false">ROUNDUP(MAX(J1414/IF(BZ1414&gt;0,BZ1414,MAX(0.1,N(Cockpit!$O$6))),CC1414)/BS1414,0)*BS1414</f>
        <v>1000</v>
      </c>
      <c r="BA1414" s="58" t="n">
        <f aca="false">IF(AX1414&gt;0,J1414/AX1414,-1)</f>
        <v>0</v>
      </c>
      <c r="BB1414" s="58" t="n">
        <f aca="false">IF(AND(OR(BY1414="L1",BY1414="L23"),AX1414&gt;0),SUMIFS($AX$7:$AX$1843,$BY$7:$BY$1843,BY1414,$BA$7:$BA$1843,"&gt;"&amp;BA1414)+SUMIFS($AX$7:$AX$1843,$BY$7:$BY$1843,BY1414,$BA$7:$BA$1843,BA1414,$BQ$7:$BQ$1843,"&lt;="&amp;BQ1414),"")</f>
        <v>116.436167697037</v>
      </c>
      <c r="BC1414" s="65" t="n">
        <f aca="false">IF(BB1414="",0,MAX(0,MIN(1,(IF(BY1414="L1",Parameter!$E$5,Parameter!$E$6+Parameter!$E$7)-(BB1414-AX1414))/AX1414)))</f>
        <v>0</v>
      </c>
      <c r="BD1414" s="55" t="str">
        <f aca="false">IF(AH1414&lt;=0,"",IF(BY1414="Aussen","Aussenlager",IF(BY1414="-","Nicht im Lift",IF(AM1414&gt;=1,"Lift",IF(AM1414&lt;=0,"Aussenlager","teilweise")))))</f>
        <v>Lift</v>
      </c>
      <c r="BE1414" s="55" t="str">
        <f aca="false">IF(AP1414&lt;=0,"",IF(BY1414="Aussen","Aussenlager",IF(BY1414="-","Nicht im Lift",IF(AU1414&gt;=1,"Lift",IF(AU1414&lt;=0,"Aussenlager","teilweise")))))</f>
        <v>Aussenlager</v>
      </c>
      <c r="BF1414" s="55" t="str">
        <f aca="false">IF(AX1414&lt;=0,"",IF(BY1414="Aussen","Aussenlager",IF(BY1414="-","Nicht im Lift",IF(BC1414&gt;=1,"Lift",IF(BC1414&lt;=0,"Aussenlager","teilweise")))))</f>
        <v>Aussenlager</v>
      </c>
      <c r="BG1414" s="55" t="str">
        <f aca="false">IF(A1414="","",IF(BP1414=1,"Neu; ","")&amp;IF(AND(BP1414=0,BK1414&lt;0),"negativer Bestand (Export "&amp;BK1414&amp;"); ","")&amp;IF(J1414&lt;=0,"Kein Verbrauch; ","")&amp;IF(CH1414&gt;0,"Lift "&amp;W1414&amp;" lt. Liftbericht (Fach "&amp;X1414&amp;" Stk); ",IF(BU1414=1,"Gebinde geschätzt ("&amp;T1414&amp;"); ",IF(BT1414=1,"Lose – Tablare geschätzt; ","")))&amp;IF(H1414&gt;AR1414,"Überbestand "&amp;ROUND(H1414-AR1414,0)&amp;" Stk / CHF "&amp;ROUND((H1414-AR1414)*G1414,0)&amp;"; ","")&amp;IF(AND(CA1414=1,CB1414&lt;CC1414),"MAX &lt; MB+LG; ","")&amp;IF(AND(CG1414&gt;0,CF1414*10&gt;CG1414),"zu hoch für Tablar; ","")&amp;IF(AND(BP1414=0,OR(CA1414=1,AA1414&lt;&gt;"",U1414&lt;&gt;"",V1414&lt;&gt;"",AB1414&lt;&gt;"")),"manuell übersteuert; ","")&amp;IF(AND(BT1414=0,R1414=0),"Gebinde unbekannt / Stellmass fehlt; ","")&amp;IF(AND(BT1414=0,N(V1414)&lt;=0,N(Q1414)&lt;=0),"Menge pro Gebinde fehlt (Ist = 1 Gebinde); ","")&amp;BO1414)</f>
        <v>negativer Bestand (Export -1000); Kein Verbrauch; Gebinde geschätzt (Klein); Menge pro Gebinde fehlt (Ist = 1 Gebinde); </v>
      </c>
      <c r="BH1414" s="55"/>
      <c r="BI1414" s="55"/>
      <c r="BJ1414" s="62"/>
      <c r="BK1414" s="57" t="n">
        <v>-1000</v>
      </c>
      <c r="BL1414" s="57" t="n">
        <v>2000</v>
      </c>
      <c r="BM1414" s="56" t="n">
        <v>-5150</v>
      </c>
      <c r="BN1414" s="57" t="n">
        <v>0</v>
      </c>
      <c r="BO1414" s="55"/>
      <c r="BP1414" s="60" t="n">
        <v>0</v>
      </c>
      <c r="BQ1414" s="60" t="n">
        <v>1414</v>
      </c>
      <c r="BR1414" s="55" t="str">
        <f aca="false">IF(U1414&lt;&gt;"",UPPER(TRIM(U1414)),IF(BU1414=1,UPPER(VLOOKUP(T1414,Parameter!$I$27:$K$29,2,0)),IF(P1414="","LOSE",P1414)))</f>
        <v>S51</v>
      </c>
      <c r="BS1414" s="57" t="n">
        <f aca="false">IF(BR1414="LOSE",1,IF(N(V1414)&gt;0,V1414,IF(BU1414=1,MAX(1,N(VLOOKUP(T1414,Parameter!$I$27:$K$29,3,0)),H1414,N(N1414)),IF(N(Q1414)&gt;0,Q1414,MAX(1,H1414)))))</f>
        <v>1000</v>
      </c>
      <c r="BT1414" s="60" t="n">
        <f aca="false">IF(BR1414="LOSE",1,0)</f>
        <v>0</v>
      </c>
      <c r="BU1414" s="60" t="n">
        <f aca="false">IF(AND(U1414="",OR(P1414="",P1414="LOSE"),T1414&lt;&gt;"",N(S1414)&lt;=0,ISNUMBER(MATCH(T1414,Parameter!$I$27:$I$29,0))),1,0)</f>
        <v>1</v>
      </c>
      <c r="BV1414" s="55" t="str">
        <f aca="false">IF(AND(Parameter!$B$19="Ja",E1414&lt;&gt;"",ISNUMBER(MATCH(E1414,Parameter!$I$35:$I$52,0))),VLOOKUP(E1414,Parameter!$I$35:$J$52,2,0),IFERROR(VLOOKUP(D1414,Parameter!$A$35:$C$64,2,0),"Nein"))</f>
        <v>2+3</v>
      </c>
      <c r="BW1414" s="59" t="n">
        <f aca="false">IF(BT1414=0,0,IF(N(S1414)&gt;0,S1414,IFERROR(VLOOKUP(D1414,Parameter!$A$35:$C$64,3,0)+0,0)))</f>
        <v>0</v>
      </c>
      <c r="BX1414" s="55" t="n">
        <f aca="false">IF(AA1414&lt;&gt;"",AA1414,Z1414)</f>
        <v>3</v>
      </c>
      <c r="BY1414" s="55" t="str">
        <f aca="false">IF(BX1414=1,"L1",IF(OR(BX1414=2,BX1414=3),"L23",IF(BX1414="Aussen","Aussen","-")))</f>
        <v>L23</v>
      </c>
      <c r="BZ1414" s="66" t="n">
        <f aca="false">IF(N(AB1414)&gt;0,AB1414,0)</f>
        <v>0</v>
      </c>
      <c r="CA1414" s="60" t="n">
        <f aca="false">IF(ISNUMBER(AE1414),1,0)</f>
        <v>0</v>
      </c>
      <c r="CB1414" s="57" t="n">
        <f aca="false">N(AE1414)</f>
        <v>0</v>
      </c>
      <c r="CC1414" s="57" t="n">
        <f aca="false">N(M1414)+N(N1414)</f>
        <v>758</v>
      </c>
      <c r="CD1414" s="57" t="n">
        <f aca="false">ROUNDUP(H1414/BS1414,0)</f>
        <v>1</v>
      </c>
      <c r="CE1414" s="57" t="n">
        <f aca="false">ROUNDUP(CB1414/BS1414,0)</f>
        <v>0</v>
      </c>
      <c r="CF1414" s="60" t="n">
        <f aca="false">IF(BT1414=1,0,IFERROR(VLOOKUP(BR1414,'Gebinde-Kategorie'!$A$5:$M$45,5,0)+0,0))</f>
        <v>11</v>
      </c>
      <c r="CG1414" s="60" t="n">
        <f aca="false">IFERROR(IF(OR(BX1414=1,BX1414=2,BX1414=3),N(INDEX(Parameter!$I$5:$I$7,BX1414)),0),0)</f>
        <v>0</v>
      </c>
      <c r="CH1414" s="59" t="n">
        <f aca="false">IF(AND(Parameter!$B$21="Ja",ISNUMBER(W1414),N(X1414)&gt;0),IFERROR(N(INDEX(Parameter!$L$5:$L$7,W1414))*INDEX(Parameter!$E$5:$E$7,W1414)*X1414/SUMIFS($X$7:$X$1843,$W$7:$W$1843,W1414),0),0)</f>
        <v>0</v>
      </c>
    </row>
    <row r="1415" customFormat="false" ht="15" hidden="false" customHeight="false" outlineLevel="0" collapsed="false">
      <c r="A1415" s="55" t="s">
        <v>2484</v>
      </c>
      <c r="B1415" s="55" t="s">
        <v>2384</v>
      </c>
      <c r="C1415" s="55" t="s">
        <v>164</v>
      </c>
      <c r="D1415" s="55" t="s">
        <v>165</v>
      </c>
      <c r="E1415" s="55"/>
      <c r="F1415" s="55" t="s">
        <v>218</v>
      </c>
      <c r="G1415" s="56" t="n">
        <v>2594.36</v>
      </c>
      <c r="H1415" s="57" t="n">
        <f aca="false">MAX(0,IF(AND(Parameter!$B$21="Ja",ISNUMBER(Y1415)),Y1415,IF(Parameter!$B$20="Jahresanfang 2025 + Export",BL1415+BK1415,BK1415)))</f>
        <v>6</v>
      </c>
      <c r="I1415" s="57" t="n">
        <f aca="false">H1415*G1415</f>
        <v>15566.16</v>
      </c>
      <c r="J1415" s="57" t="n">
        <f aca="false">BN1415*Parameter!$B$18</f>
        <v>2</v>
      </c>
      <c r="K1415" s="58" t="n">
        <v>7</v>
      </c>
      <c r="L1415" s="59" t="n">
        <v>0.285714285714286</v>
      </c>
      <c r="M1415" s="57" t="n">
        <v>1</v>
      </c>
      <c r="N1415" s="57" t="n">
        <v>5</v>
      </c>
      <c r="O1415" s="60" t="n">
        <v>88</v>
      </c>
      <c r="P1415" s="55" t="s">
        <v>168</v>
      </c>
      <c r="Q1415" s="57"/>
      <c r="R1415" s="60" t="n">
        <f aca="false">IF(BT1415=1,0,IFERROR(VLOOKUP(BR1415,'Gebinde-Kategorie'!$A$5:$M$45,13,0)+0,0))</f>
        <v>0</v>
      </c>
      <c r="S1415" s="61"/>
      <c r="T1415" s="62"/>
      <c r="U1415" s="62"/>
      <c r="V1415" s="62"/>
      <c r="W1415" s="55" t="n">
        <v>1</v>
      </c>
      <c r="X1415" s="57" t="n">
        <v>6</v>
      </c>
      <c r="Y1415" s="57" t="n">
        <v>6</v>
      </c>
      <c r="Z1415" s="55" t="n">
        <f aca="false">IF(A1415="","",IF(AND(Parameter!$B$21="Ja",ISNUMBER(W1415)),W1415,IF(BV1415="2+3",IF(ISNUMBER(SEARCH("grosser Artikel",BO1415)),2,IFERROR(VLOOKUP(BR1415,Parameter!$F$35:$G$64,2,0),2)),IF(OR(BV1415="Nein",BV1415=""),"-",BV1415))))</f>
        <v>1</v>
      </c>
      <c r="AA1415" s="62"/>
      <c r="AB1415" s="63"/>
      <c r="AC1415" s="57" t="n">
        <f aca="false">AR1415</f>
        <v>6</v>
      </c>
      <c r="AD1415" s="57" t="n">
        <f aca="false">MAX(AR1415,H1415)</f>
        <v>6</v>
      </c>
      <c r="AE1415" s="64"/>
      <c r="AF1415" s="57" t="n">
        <f aca="false">IF(LEFT(Cockpit!$C$5,1)="A",H1415,IF(CA1415=1,CB1415,IF(LEFT(Cockpit!$C$5,1)="B",AJ1415,MAX(AJ1415,H1415))))</f>
        <v>6</v>
      </c>
      <c r="AG1415" s="57" t="n">
        <f aca="false">IF(BT1415=1,0,ROUNDUP(AF1415/BS1415,0))</f>
        <v>0</v>
      </c>
      <c r="AH1415" s="59" t="n">
        <f aca="false">IF(CH1415&gt;0,CH1415*MAX(1,AF1415/X1415),IF(BT1415=1,IF(AF1415&lt;=0,0,BW1415*MAX(1,IF(H1415&gt;0,AF1415/H1415,1))),IF(R1415&gt;0,AG1415/R1415,0))/MAX(0.1,N(Parameter!$M$21)))</f>
        <v>0.480225988700565</v>
      </c>
      <c r="AI1415" s="57" t="n">
        <f aca="false">AF1415*G1415</f>
        <v>15566.16</v>
      </c>
      <c r="AJ1415" s="57" t="n">
        <f aca="false">ROUNDUP(MAX(J1415/IF(BZ1415&gt;0,BZ1415,MAX(0.1,N(Cockpit!$C$6))),CC1415)/BS1415,0)*BS1415</f>
        <v>6</v>
      </c>
      <c r="AK1415" s="58" t="n">
        <f aca="false">IF(AH1415&gt;0,J1415/AH1415,-1)</f>
        <v>4.16470588235294</v>
      </c>
      <c r="AL1415" s="58" t="n">
        <f aca="false">IF(AND(OR(BY1415="L1",BY1415="L23"),AH1415&gt;0),SUMIFS($AH$7:$AH$1843,$BY$7:$BY$1843,BY1415,$AK$7:$AK$1843,"&gt;"&amp;AK1415)+SUMIFS($AH$7:$AH$1843,$BY$7:$BY$1843,BY1415,$AK$7:$AK$1843,AK1415,$BQ$7:$BQ$1843,"&lt;="&amp;BQ1415),"")</f>
        <v>44.3402899810416</v>
      </c>
      <c r="AM1415" s="65" t="n">
        <f aca="false">IF(AL1415="",0,MAX(0,MIN(1,(IF(BY1415="L1",Parameter!$E$5,Parameter!$E$6+Parameter!$E$7)-(AL1415-AH1415))/AH1415)))</f>
        <v>1</v>
      </c>
      <c r="AN1415" s="57" t="n">
        <f aca="false">IF(LEFT(Cockpit!$I$5,1)="A",H1415,IF(CA1415=1,CB1415,IF(LEFT(Cockpit!$I$5,1)="B",AR1415,MAX(AR1415,H1415))))</f>
        <v>6</v>
      </c>
      <c r="AO1415" s="57" t="n">
        <f aca="false">IF(BT1415=1,0,ROUNDUP(AN1415/BS1415,0))</f>
        <v>0</v>
      </c>
      <c r="AP1415" s="59" t="n">
        <f aca="false">IF(CH1415&gt;0,CH1415*MAX(1,AN1415/X1415),IF(BT1415=1,IF(AN1415&lt;=0,0,BW1415*MAX(1,IF(H1415&gt;0,AN1415/H1415,1))),IF(R1415&gt;0,AO1415/R1415,0))/MAX(0.1,N(Parameter!$M$21)))</f>
        <v>0.480225988700565</v>
      </c>
      <c r="AQ1415" s="57" t="n">
        <f aca="false">AN1415*G1415</f>
        <v>15566.16</v>
      </c>
      <c r="AR1415" s="57" t="n">
        <f aca="false">ROUNDUP(MAX(J1415/IF(BZ1415&gt;0,BZ1415,MAX(0.1,N(Cockpit!$I$6))),CC1415)/BS1415,0)*BS1415</f>
        <v>6</v>
      </c>
      <c r="AS1415" s="58" t="n">
        <f aca="false">IF(AP1415&gt;0,J1415/AP1415,-1)</f>
        <v>4.16470588235294</v>
      </c>
      <c r="AT1415" s="58" t="n">
        <f aca="false">IF(AND(OR(BY1415="L1",BY1415="L23"),AP1415&gt;0),SUMIFS($AP$7:$AP$1843,$BY$7:$BY$1843,BY1415,$AS$7:$AS$1843,"&gt;"&amp;AS1415)+SUMIFS($AP$7:$AP$1843,$BY$7:$BY$1843,BY1415,$AS$7:$AS$1843,AS1415,$BQ$7:$BQ$1843,"&lt;="&amp;BQ1415),"")</f>
        <v>59.2128816078706</v>
      </c>
      <c r="AU1415" s="65" t="n">
        <f aca="false">IF(AT1415="",0,MAX(0,MIN(1,(IF(BY1415="L1",Parameter!$E$5,Parameter!$E$6+Parameter!$E$7)-(AT1415-AP1415))/AP1415)))</f>
        <v>0</v>
      </c>
      <c r="AV1415" s="57" t="n">
        <f aca="false">IF(LEFT(Cockpit!$O$5,1)="A",H1415,IF(CA1415=1,CB1415,IF(LEFT(Cockpit!$O$5,1)="B",AZ1415,MAX(AZ1415,H1415))))</f>
        <v>6</v>
      </c>
      <c r="AW1415" s="57" t="n">
        <f aca="false">IF(BT1415=1,0,ROUNDUP(AV1415/BS1415,0))</f>
        <v>0</v>
      </c>
      <c r="AX1415" s="59" t="n">
        <f aca="false">IF(CH1415&gt;0,CH1415*MAX(1,AV1415/X1415),IF(BT1415=1,IF(AV1415&lt;=0,0,BW1415*MAX(1,IF(H1415&gt;0,AV1415/H1415,1))),IF(R1415&gt;0,AW1415/R1415,0))/MAX(0.1,N(Parameter!$M$21)))</f>
        <v>0.480225988700565</v>
      </c>
      <c r="AY1415" s="57" t="n">
        <f aca="false">AV1415*G1415</f>
        <v>15566.16</v>
      </c>
      <c r="AZ1415" s="57" t="n">
        <f aca="false">ROUNDUP(MAX(J1415/IF(BZ1415&gt;0,BZ1415,MAX(0.1,N(Cockpit!$O$6))),CC1415)/BS1415,0)*BS1415</f>
        <v>6</v>
      </c>
      <c r="BA1415" s="58" t="n">
        <f aca="false">IF(AX1415&gt;0,J1415/AX1415,-1)</f>
        <v>4.16470588235294</v>
      </c>
      <c r="BB1415" s="58" t="n">
        <f aca="false">IF(AND(OR(BY1415="L1",BY1415="L23"),AX1415&gt;0),SUMIFS($AX$7:$AX$1843,$BY$7:$BY$1843,BY1415,$BA$7:$BA$1843,"&gt;"&amp;BA1415)+SUMIFS($AX$7:$AX$1843,$BY$7:$BY$1843,BY1415,$BA$7:$BA$1843,BA1415,$BQ$7:$BQ$1843,"&lt;="&amp;BQ1415),"")</f>
        <v>52.8796931390889</v>
      </c>
      <c r="BC1415" s="65" t="n">
        <f aca="false">IF(BB1415="",0,MAX(0,MIN(1,(IF(BY1415="L1",Parameter!$E$5,Parameter!$E$6+Parameter!$E$7)-(BB1415-AX1415))/AX1415)))</f>
        <v>0</v>
      </c>
      <c r="BD1415" s="55" t="str">
        <f aca="false">IF(AH1415&lt;=0,"",IF(BY1415="Aussen","Aussenlager",IF(BY1415="-","Nicht im Lift",IF(AM1415&gt;=1,"Lift",IF(AM1415&lt;=0,"Aussenlager","teilweise")))))</f>
        <v>Lift</v>
      </c>
      <c r="BE1415" s="55" t="str">
        <f aca="false">IF(AP1415&lt;=0,"",IF(BY1415="Aussen","Aussenlager",IF(BY1415="-","Nicht im Lift",IF(AU1415&gt;=1,"Lift",IF(AU1415&lt;=0,"Aussenlager","teilweise")))))</f>
        <v>Aussenlager</v>
      </c>
      <c r="BF1415" s="55" t="str">
        <f aca="false">IF(AX1415&lt;=0,"",IF(BY1415="Aussen","Aussenlager",IF(BY1415="-","Nicht im Lift",IF(BC1415&gt;=1,"Lift",IF(BC1415&lt;=0,"Aussenlager","teilweise")))))</f>
        <v>Aussenlager</v>
      </c>
      <c r="BG1415" s="55" t="str">
        <f aca="false">IF(A1415="","",IF(BP1415=1,"Neu; ","")&amp;IF(AND(BP1415=0,BK1415&lt;0),"negativer Bestand (Export "&amp;BK1415&amp;"); ","")&amp;IF(J1415&lt;=0,"Kein Verbrauch; ","")&amp;IF(CH1415&gt;0,"Lift "&amp;W1415&amp;" lt. Liftbericht (Fach "&amp;X1415&amp;" Stk); ",IF(BU1415=1,"Gebinde geschätzt ("&amp;T1415&amp;"); ",IF(BT1415=1,"Lose – Tablare geschätzt; ","")))&amp;IF(H1415&gt;AR1415,"Überbestand "&amp;ROUND(H1415-AR1415,0)&amp;" Stk / CHF "&amp;ROUND((H1415-AR1415)*G1415,0)&amp;"; ","")&amp;IF(AND(CA1415=1,CB1415&lt;CC1415),"MAX &lt; MB+LG; ","")&amp;IF(AND(CG1415&gt;0,CF1415*10&gt;CG1415),"zu hoch für Tablar; ","")&amp;IF(AND(BP1415=0,OR(CA1415=1,AA1415&lt;&gt;"",U1415&lt;&gt;"",V1415&lt;&gt;"",AB1415&lt;&gt;"")),"manuell übersteuert; ","")&amp;IF(AND(BT1415=0,R1415=0),"Gebinde unbekannt / Stellmass fehlt; ","")&amp;IF(AND(BT1415=0,N(V1415)&lt;=0,N(Q1415)&lt;=0),"Menge pro Gebinde fehlt (Ist = 1 Gebinde); ","")&amp;BO1415)</f>
        <v>negativer Bestand (Export -2); Lift 1 lt. Liftbericht (Fach 6 Stk); </v>
      </c>
      <c r="BH1415" s="55"/>
      <c r="BI1415" s="55"/>
      <c r="BJ1415" s="62"/>
      <c r="BK1415" s="57" t="n">
        <v>-2</v>
      </c>
      <c r="BL1415" s="57" t="n">
        <v>8</v>
      </c>
      <c r="BM1415" s="56" t="n">
        <v>-5188.72</v>
      </c>
      <c r="BN1415" s="57" t="n">
        <v>2</v>
      </c>
      <c r="BO1415" s="55"/>
      <c r="BP1415" s="60" t="n">
        <v>0</v>
      </c>
      <c r="BQ1415" s="60" t="n">
        <v>1415</v>
      </c>
      <c r="BR1415" s="55" t="str">
        <f aca="false">IF(U1415&lt;&gt;"",UPPER(TRIM(U1415)),IF(BU1415=1,UPPER(VLOOKUP(T1415,Parameter!$I$27:$K$29,2,0)),IF(P1415="","LOSE",P1415)))</f>
        <v>LOSE</v>
      </c>
      <c r="BS1415" s="57" t="n">
        <f aca="false">IF(BR1415="LOSE",1,IF(N(V1415)&gt;0,V1415,IF(BU1415=1,MAX(1,N(VLOOKUP(T1415,Parameter!$I$27:$K$29,3,0)),H1415,N(N1415)),IF(N(Q1415)&gt;0,Q1415,MAX(1,H1415)))))</f>
        <v>1</v>
      </c>
      <c r="BT1415" s="60" t="n">
        <f aca="false">IF(BR1415="LOSE",1,0)</f>
        <v>1</v>
      </c>
      <c r="BU1415" s="60" t="n">
        <f aca="false">IF(AND(U1415="",OR(P1415="",P1415="LOSE"),T1415&lt;&gt;"",N(S1415)&lt;=0,ISNUMBER(MATCH(T1415,Parameter!$I$27:$I$29,0))),1,0)</f>
        <v>0</v>
      </c>
      <c r="BV1415" s="55" t="n">
        <f aca="false">IF(AND(Parameter!$B$19="Ja",E1415&lt;&gt;"",ISNUMBER(MATCH(E1415,Parameter!$I$35:$I$52,0))),VLOOKUP(E1415,Parameter!$I$35:$J$52,2,0),IFERROR(VLOOKUP(D1415,Parameter!$A$35:$C$64,2,0),"Nein"))</f>
        <v>1</v>
      </c>
      <c r="BW1415" s="59" t="n">
        <f aca="false">IF(BT1415=0,0,IF(N(S1415)&gt;0,S1415,IFERROR(VLOOKUP(D1415,Parameter!$A$35:$C$64,3,0)+0,0)))</f>
        <v>1</v>
      </c>
      <c r="BX1415" s="55" t="n">
        <f aca="false">IF(AA1415&lt;&gt;"",AA1415,Z1415)</f>
        <v>1</v>
      </c>
      <c r="BY1415" s="55" t="str">
        <f aca="false">IF(BX1415=1,"L1",IF(OR(BX1415=2,BX1415=3),"L23",IF(BX1415="Aussen","Aussen","-")))</f>
        <v>L1</v>
      </c>
      <c r="BZ1415" s="66" t="n">
        <f aca="false">IF(N(AB1415)&gt;0,AB1415,0)</f>
        <v>0</v>
      </c>
      <c r="CA1415" s="60" t="n">
        <f aca="false">IF(ISNUMBER(AE1415),1,0)</f>
        <v>0</v>
      </c>
      <c r="CB1415" s="57" t="n">
        <f aca="false">N(AE1415)</f>
        <v>0</v>
      </c>
      <c r="CC1415" s="57" t="n">
        <f aca="false">N(M1415)+N(N1415)</f>
        <v>6</v>
      </c>
      <c r="CD1415" s="57" t="n">
        <f aca="false">ROUNDUP(H1415/BS1415,0)</f>
        <v>6</v>
      </c>
      <c r="CE1415" s="57" t="n">
        <f aca="false">ROUNDUP(CB1415/BS1415,0)</f>
        <v>0</v>
      </c>
      <c r="CF1415" s="60" t="n">
        <f aca="false">IF(BT1415=1,0,IFERROR(VLOOKUP(BR1415,'Gebinde-Kategorie'!$A$5:$M$45,5,0)+0,0))</f>
        <v>0</v>
      </c>
      <c r="CG1415" s="60" t="n">
        <f aca="false">IFERROR(IF(OR(BX1415=1,BX1415=2,BX1415=3),N(INDEX(Parameter!$I$5:$I$7,BX1415)),0),0)</f>
        <v>0</v>
      </c>
      <c r="CH1415" s="59" t="n">
        <f aca="false">IF(AND(Parameter!$B$21="Ja",ISNUMBER(W1415),N(X1415)&gt;0),IFERROR(N(INDEX(Parameter!$L$5:$L$7,W1415))*INDEX(Parameter!$E$5:$E$7,W1415)*X1415/SUMIFS($X$7:$X$1843,$W$7:$W$1843,W1415),0),0)</f>
        <v>0.480225988700565</v>
      </c>
    </row>
    <row r="1416" customFormat="false" ht="15" hidden="false" customHeight="false" outlineLevel="0" collapsed="false">
      <c r="A1416" s="55" t="s">
        <v>2485</v>
      </c>
      <c r="B1416" s="55" t="s">
        <v>2437</v>
      </c>
      <c r="C1416" s="55" t="s">
        <v>456</v>
      </c>
      <c r="D1416" s="55" t="s">
        <v>184</v>
      </c>
      <c r="E1416" s="55" t="s">
        <v>185</v>
      </c>
      <c r="F1416" s="55" t="s">
        <v>218</v>
      </c>
      <c r="G1416" s="56" t="n">
        <v>655.07</v>
      </c>
      <c r="H1416" s="57" t="n">
        <f aca="false">MAX(0,IF(AND(Parameter!$B$21="Ja",ISNUMBER(Y1416)),Y1416,IF(Parameter!$B$20="Jahresanfang 2025 + Export",BL1416+BK1416,BK1416)))</f>
        <v>0</v>
      </c>
      <c r="I1416" s="57" t="n">
        <f aca="false">H1416*G1416</f>
        <v>0</v>
      </c>
      <c r="J1416" s="57" t="n">
        <f aca="false">BN1416*Parameter!$B$18</f>
        <v>5</v>
      </c>
      <c r="K1416" s="58" t="n">
        <v>4</v>
      </c>
      <c r="L1416" s="59" t="n">
        <v>1.25</v>
      </c>
      <c r="M1416" s="57" t="n">
        <v>0</v>
      </c>
      <c r="N1416" s="57" t="n">
        <v>5</v>
      </c>
      <c r="O1416" s="60" t="n">
        <v>35</v>
      </c>
      <c r="P1416" s="55" t="s">
        <v>226</v>
      </c>
      <c r="Q1416" s="57" t="n">
        <v>11</v>
      </c>
      <c r="R1416" s="60" t="n">
        <f aca="false">IF(BT1416=1,0,IFERROR(VLOOKUP(BR1416,'Gebinde-Kategorie'!$A$5:$M$45,13,0)+0,0))</f>
        <v>12</v>
      </c>
      <c r="S1416" s="61"/>
      <c r="T1416" s="62"/>
      <c r="U1416" s="62"/>
      <c r="V1416" s="62"/>
      <c r="W1416" s="55"/>
      <c r="X1416" s="57"/>
      <c r="Y1416" s="57"/>
      <c r="Z1416" s="55" t="n">
        <f aca="false">IF(A1416="","",IF(AND(Parameter!$B$21="Ja",ISNUMBER(W1416)),W1416,IF(BV1416="2+3",IF(ISNUMBER(SEARCH("grosser Artikel",BO1416)),2,IFERROR(VLOOKUP(BR1416,Parameter!$F$35:$G$64,2,0),2)),IF(OR(BV1416="Nein",BV1416=""),"-",BV1416))))</f>
        <v>2</v>
      </c>
      <c r="AA1416" s="62"/>
      <c r="AB1416" s="63"/>
      <c r="AC1416" s="57" t="n">
        <f aca="false">AR1416</f>
        <v>11</v>
      </c>
      <c r="AD1416" s="57" t="n">
        <f aca="false">MAX(AR1416,H1416)</f>
        <v>11</v>
      </c>
      <c r="AE1416" s="64"/>
      <c r="AF1416" s="57" t="n">
        <f aca="false">IF(LEFT(Cockpit!$C$5,1)="A",H1416,IF(CA1416=1,CB1416,IF(LEFT(Cockpit!$C$5,1)="B",AJ1416,MAX(AJ1416,H1416))))</f>
        <v>0</v>
      </c>
      <c r="AG1416" s="57" t="n">
        <f aca="false">IF(BT1416=1,0,ROUNDUP(AF1416/BS1416,0))</f>
        <v>0</v>
      </c>
      <c r="AH1416" s="59" t="n">
        <f aca="false">IF(CH1416&gt;0,CH1416*MAX(1,AF1416/X1416),IF(BT1416=1,IF(AF1416&lt;=0,0,BW1416*MAX(1,IF(H1416&gt;0,AF1416/H1416,1))),IF(R1416&gt;0,AG1416/R1416,0))/MAX(0.1,N(Parameter!$M$21)))</f>
        <v>0</v>
      </c>
      <c r="AI1416" s="57" t="n">
        <f aca="false">AF1416*G1416</f>
        <v>0</v>
      </c>
      <c r="AJ1416" s="57" t="n">
        <f aca="false">ROUNDUP(MAX(J1416/IF(BZ1416&gt;0,BZ1416,MAX(0.1,N(Cockpit!$C$6))),CC1416)/BS1416,0)*BS1416</f>
        <v>11</v>
      </c>
      <c r="AK1416" s="58" t="n">
        <f aca="false">IF(AH1416&gt;0,J1416/AH1416,-1)</f>
        <v>-1</v>
      </c>
      <c r="AL1416" s="58" t="str">
        <f aca="false">IF(AND(OR(BY1416="L1",BY1416="L23"),AH1416&gt;0),SUMIFS($AH$7:$AH$1843,$BY$7:$BY$1843,BY1416,$AK$7:$AK$1843,"&gt;"&amp;AK1416)+SUMIFS($AH$7:$AH$1843,$BY$7:$BY$1843,BY1416,$AK$7:$AK$1843,AK1416,$BQ$7:$BQ$1843,"&lt;="&amp;BQ1416),"")</f>
        <v/>
      </c>
      <c r="AM1416" s="65" t="n">
        <f aca="false">IF(AL1416="",0,MAX(0,MIN(1,(IF(BY1416="L1",Parameter!$E$5,Parameter!$E$6+Parameter!$E$7)-(AL1416-AH1416))/AH1416)))</f>
        <v>0</v>
      </c>
      <c r="AN1416" s="57" t="n">
        <f aca="false">IF(LEFT(Cockpit!$I$5,1)="A",H1416,IF(CA1416=1,CB1416,IF(LEFT(Cockpit!$I$5,1)="B",AR1416,MAX(AR1416,H1416))))</f>
        <v>11</v>
      </c>
      <c r="AO1416" s="57" t="n">
        <f aca="false">IF(BT1416=1,0,ROUNDUP(AN1416/BS1416,0))</f>
        <v>1</v>
      </c>
      <c r="AP1416" s="59" t="n">
        <f aca="false">IF(CH1416&gt;0,CH1416*MAX(1,AN1416/X1416),IF(BT1416=1,IF(AN1416&lt;=0,0,BW1416*MAX(1,IF(H1416&gt;0,AN1416/H1416,1))),IF(R1416&gt;0,AO1416/R1416,0))/MAX(0.1,N(Parameter!$M$21)))</f>
        <v>0.0833333333333333</v>
      </c>
      <c r="AQ1416" s="57" t="n">
        <f aca="false">AN1416*G1416</f>
        <v>7205.77</v>
      </c>
      <c r="AR1416" s="57" t="n">
        <f aca="false">ROUNDUP(MAX(J1416/IF(BZ1416&gt;0,BZ1416,MAX(0.1,N(Cockpit!$I$6))),CC1416)/BS1416,0)*BS1416</f>
        <v>11</v>
      </c>
      <c r="AS1416" s="58" t="n">
        <f aca="false">IF(AP1416&gt;0,J1416/AP1416,-1)</f>
        <v>60</v>
      </c>
      <c r="AT1416" s="58" t="n">
        <f aca="false">IF(AND(OR(BY1416="L1",BY1416="L23"),AP1416&gt;0),SUMIFS($AP$7:$AP$1843,$BY$7:$BY$1843,BY1416,$AS$7:$AS$1843,"&gt;"&amp;AS1416)+SUMIFS($AP$7:$AP$1843,$BY$7:$BY$1843,BY1416,$AS$7:$AS$1843,AS1416,$BQ$7:$BQ$1843,"&lt;="&amp;BQ1416),"")</f>
        <v>65.7168507820682</v>
      </c>
      <c r="AU1416" s="65" t="n">
        <f aca="false">IF(AT1416="",0,MAX(0,MIN(1,(IF(BY1416="L1",Parameter!$E$5,Parameter!$E$6+Parameter!$E$7)-(AT1416-AP1416))/AP1416)))</f>
        <v>1</v>
      </c>
      <c r="AV1416" s="57" t="n">
        <f aca="false">IF(LEFT(Cockpit!$O$5,1)="A",H1416,IF(CA1416=1,CB1416,IF(LEFT(Cockpit!$O$5,1)="B",AZ1416,MAX(AZ1416,H1416))))</f>
        <v>11</v>
      </c>
      <c r="AW1416" s="57" t="n">
        <f aca="false">IF(BT1416=1,0,ROUNDUP(AV1416/BS1416,0))</f>
        <v>1</v>
      </c>
      <c r="AX1416" s="59" t="n">
        <f aca="false">IF(CH1416&gt;0,CH1416*MAX(1,AV1416/X1416),IF(BT1416=1,IF(AV1416&lt;=0,0,BW1416*MAX(1,IF(H1416&gt;0,AV1416/H1416,1))),IF(R1416&gt;0,AW1416/R1416,0))/MAX(0.1,N(Parameter!$M$21)))</f>
        <v>0.0833333333333333</v>
      </c>
      <c r="AY1416" s="57" t="n">
        <f aca="false">AV1416*G1416</f>
        <v>7205.77</v>
      </c>
      <c r="AZ1416" s="57" t="n">
        <f aca="false">ROUNDUP(MAX(J1416/IF(BZ1416&gt;0,BZ1416,MAX(0.1,N(Cockpit!$O$6))),CC1416)/BS1416,0)*BS1416</f>
        <v>11</v>
      </c>
      <c r="BA1416" s="58" t="n">
        <f aca="false">IF(AX1416&gt;0,J1416/AX1416,-1)</f>
        <v>60</v>
      </c>
      <c r="BB1416" s="58" t="n">
        <f aca="false">IF(AND(OR(BY1416="L1",BY1416="L23"),AX1416&gt;0),SUMIFS($AX$7:$AX$1843,$BY$7:$BY$1843,BY1416,$BA$7:$BA$1843,"&gt;"&amp;BA1416)+SUMIFS($AX$7:$AX$1843,$BY$7:$BY$1843,BY1416,$BA$7:$BA$1843,BA1416,$BQ$7:$BQ$1843,"&lt;="&amp;BQ1416),"")</f>
        <v>60.2133542785717</v>
      </c>
      <c r="BC1416" s="65" t="n">
        <f aca="false">IF(BB1416="",0,MAX(0,MIN(1,(IF(BY1416="L1",Parameter!$E$5,Parameter!$E$6+Parameter!$E$7)-(BB1416-AX1416))/AX1416)))</f>
        <v>1</v>
      </c>
      <c r="BD1416" s="55" t="str">
        <f aca="false">IF(AH1416&lt;=0,"",IF(BY1416="Aussen","Aussenlager",IF(BY1416="-","Nicht im Lift",IF(AM1416&gt;=1,"Lift",IF(AM1416&lt;=0,"Aussenlager","teilweise")))))</f>
        <v/>
      </c>
      <c r="BE1416" s="55" t="str">
        <f aca="false">IF(AP1416&lt;=0,"",IF(BY1416="Aussen","Aussenlager",IF(BY1416="-","Nicht im Lift",IF(AU1416&gt;=1,"Lift",IF(AU1416&lt;=0,"Aussenlager","teilweise")))))</f>
        <v>Lift</v>
      </c>
      <c r="BF1416" s="55" t="str">
        <f aca="false">IF(AX1416&lt;=0,"",IF(BY1416="Aussen","Aussenlager",IF(BY1416="-","Nicht im Lift",IF(BC1416&gt;=1,"Lift",IF(BC1416&lt;=0,"Aussenlager","teilweise")))))</f>
        <v>Lift</v>
      </c>
      <c r="BG1416" s="55" t="str">
        <f aca="false">IF(A1416="","",IF(BP1416=1,"Neu; ","")&amp;IF(AND(BP1416=0,BK1416&lt;0),"negativer Bestand (Export "&amp;BK1416&amp;"); ","")&amp;IF(J1416&lt;=0,"Kein Verbrauch; ","")&amp;IF(CH1416&gt;0,"Lift "&amp;W1416&amp;" lt. Liftbericht (Fach "&amp;X1416&amp;" Stk); ",IF(BU1416=1,"Gebinde geschätzt ("&amp;T1416&amp;"); ",IF(BT1416=1,"Lose – Tablare geschätzt; ","")))&amp;IF(H1416&gt;AR1416,"Überbestand "&amp;ROUND(H1416-AR1416,0)&amp;" Stk / CHF "&amp;ROUND((H1416-AR1416)*G1416,0)&amp;"; ","")&amp;IF(AND(CA1416=1,CB1416&lt;CC1416),"MAX &lt; MB+LG; ","")&amp;IF(AND(CG1416&gt;0,CF1416*10&gt;CG1416),"zu hoch für Tablar; ","")&amp;IF(AND(BP1416=0,OR(CA1416=1,AA1416&lt;&gt;"",U1416&lt;&gt;"",V1416&lt;&gt;"",AB1416&lt;&gt;"")),"manuell übersteuert; ","")&amp;IF(AND(BT1416=0,R1416=0),"Gebinde unbekannt / Stellmass fehlt; ","")&amp;IF(AND(BT1416=0,N(V1416)&lt;=0,N(Q1416)&lt;=0),"Menge pro Gebinde fehlt (Ist = 1 Gebinde); ","")&amp;BO1416)</f>
        <v>negativer Bestand (Export -8); </v>
      </c>
      <c r="BH1416" s="55"/>
      <c r="BI1416" s="55"/>
      <c r="BJ1416" s="62"/>
      <c r="BK1416" s="57" t="n">
        <v>-8</v>
      </c>
      <c r="BL1416" s="57" t="n">
        <v>8</v>
      </c>
      <c r="BM1416" s="56" t="n">
        <v>-5240.56</v>
      </c>
      <c r="BN1416" s="57" t="n">
        <v>5</v>
      </c>
      <c r="BO1416" s="55"/>
      <c r="BP1416" s="60" t="n">
        <v>0</v>
      </c>
      <c r="BQ1416" s="60" t="n">
        <v>1416</v>
      </c>
      <c r="BR1416" s="55" t="str">
        <f aca="false">IF(U1416&lt;&gt;"",UPPER(TRIM(U1416)),IF(BU1416=1,UPPER(VLOOKUP(T1416,Parameter!$I$27:$K$29,2,0)),IF(P1416="","LOSE",P1416)))</f>
        <v>S63</v>
      </c>
      <c r="BS1416" s="57" t="n">
        <f aca="false">IF(BR1416="LOSE",1,IF(N(V1416)&gt;0,V1416,IF(BU1416=1,MAX(1,N(VLOOKUP(T1416,Parameter!$I$27:$K$29,3,0)),H1416,N(N1416)),IF(N(Q1416)&gt;0,Q1416,MAX(1,H1416)))))</f>
        <v>11</v>
      </c>
      <c r="BT1416" s="60" t="n">
        <f aca="false">IF(BR1416="LOSE",1,0)</f>
        <v>0</v>
      </c>
      <c r="BU1416" s="60" t="n">
        <f aca="false">IF(AND(U1416="",OR(P1416="",P1416="LOSE"),T1416&lt;&gt;"",N(S1416)&lt;=0,ISNUMBER(MATCH(T1416,Parameter!$I$27:$I$29,0))),1,0)</f>
        <v>0</v>
      </c>
      <c r="BV1416" s="55" t="str">
        <f aca="false">IF(AND(Parameter!$B$19="Ja",E1416&lt;&gt;"",ISNUMBER(MATCH(E1416,Parameter!$I$35:$I$52,0))),VLOOKUP(E1416,Parameter!$I$35:$J$52,2,0),IFERROR(VLOOKUP(D1416,Parameter!$A$35:$C$64,2,0),"Nein"))</f>
        <v>2+3</v>
      </c>
      <c r="BW1416" s="59" t="n">
        <f aca="false">IF(BT1416=0,0,IF(N(S1416)&gt;0,S1416,IFERROR(VLOOKUP(D1416,Parameter!$A$35:$C$64,3,0)+0,0)))</f>
        <v>0</v>
      </c>
      <c r="BX1416" s="55" t="n">
        <f aca="false">IF(AA1416&lt;&gt;"",AA1416,Z1416)</f>
        <v>2</v>
      </c>
      <c r="BY1416" s="55" t="str">
        <f aca="false">IF(BX1416=1,"L1",IF(OR(BX1416=2,BX1416=3),"L23",IF(BX1416="Aussen","Aussen","-")))</f>
        <v>L23</v>
      </c>
      <c r="BZ1416" s="66" t="n">
        <f aca="false">IF(N(AB1416)&gt;0,AB1416,0)</f>
        <v>0</v>
      </c>
      <c r="CA1416" s="60" t="n">
        <f aca="false">IF(ISNUMBER(AE1416),1,0)</f>
        <v>0</v>
      </c>
      <c r="CB1416" s="57" t="n">
        <f aca="false">N(AE1416)</f>
        <v>0</v>
      </c>
      <c r="CC1416" s="57" t="n">
        <f aca="false">N(M1416)+N(N1416)</f>
        <v>5</v>
      </c>
      <c r="CD1416" s="57" t="n">
        <f aca="false">ROUNDUP(H1416/BS1416,0)</f>
        <v>0</v>
      </c>
      <c r="CE1416" s="57" t="n">
        <f aca="false">ROUNDUP(CB1416/BS1416,0)</f>
        <v>0</v>
      </c>
      <c r="CF1416" s="60" t="n">
        <f aca="false">IF(BT1416=1,0,IFERROR(VLOOKUP(BR1416,'Gebinde-Kategorie'!$A$5:$M$45,5,0)+0,0))</f>
        <v>31</v>
      </c>
      <c r="CG1416" s="60" t="n">
        <f aca="false">IFERROR(IF(OR(BX1416=1,BX1416=2,BX1416=3),N(INDEX(Parameter!$I$5:$I$7,BX1416)),0),0)</f>
        <v>0</v>
      </c>
      <c r="CH1416" s="59" t="n">
        <f aca="false">IF(AND(Parameter!$B$21="Ja",ISNUMBER(W1416),N(X1416)&gt;0),IFERROR(N(INDEX(Parameter!$L$5:$L$7,W1416))*INDEX(Parameter!$E$5:$E$7,W1416)*X1416/SUMIFS($X$7:$X$1843,$W$7:$W$1843,W1416),0),0)</f>
        <v>0</v>
      </c>
    </row>
    <row r="1417" customFormat="false" ht="15" hidden="false" customHeight="false" outlineLevel="0" collapsed="false">
      <c r="A1417" s="55" t="s">
        <v>2486</v>
      </c>
      <c r="B1417" s="55" t="s">
        <v>2487</v>
      </c>
      <c r="C1417" s="55" t="s">
        <v>167</v>
      </c>
      <c r="D1417" s="55" t="s">
        <v>173</v>
      </c>
      <c r="E1417" s="55"/>
      <c r="F1417" s="55" t="s">
        <v>218</v>
      </c>
      <c r="G1417" s="56" t="n">
        <v>34.75</v>
      </c>
      <c r="H1417" s="57" t="n">
        <f aca="false">MAX(0,IF(AND(Parameter!$B$21="Ja",ISNUMBER(Y1417)),Y1417,IF(Parameter!$B$20="Jahresanfang 2025 + Export",BL1417+BK1417,BK1417)))</f>
        <v>47</v>
      </c>
      <c r="I1417" s="57" t="n">
        <f aca="false">H1417*G1417</f>
        <v>1633.25</v>
      </c>
      <c r="J1417" s="57" t="n">
        <f aca="false">BN1417*Parameter!$B$18</f>
        <v>185</v>
      </c>
      <c r="K1417" s="58" t="n">
        <v>117.5</v>
      </c>
      <c r="L1417" s="59" t="n">
        <v>1.57446808510638</v>
      </c>
      <c r="M1417" s="57" t="n">
        <v>0</v>
      </c>
      <c r="N1417" s="57" t="n">
        <v>1</v>
      </c>
      <c r="O1417" s="60" t="n">
        <v>56</v>
      </c>
      <c r="P1417" s="55" t="s">
        <v>168</v>
      </c>
      <c r="Q1417" s="57"/>
      <c r="R1417" s="60" t="n">
        <f aca="false">IF(BT1417=1,0,IFERROR(VLOOKUP(BR1417,'Gebinde-Kategorie'!$A$5:$M$45,13,0)+0,0))</f>
        <v>26</v>
      </c>
      <c r="S1417" s="61"/>
      <c r="T1417" s="62" t="s">
        <v>275</v>
      </c>
      <c r="U1417" s="62"/>
      <c r="V1417" s="62"/>
      <c r="W1417" s="55"/>
      <c r="X1417" s="57"/>
      <c r="Y1417" s="57"/>
      <c r="Z1417" s="55" t="n">
        <f aca="false">IF(A1417="","",IF(AND(Parameter!$B$21="Ja",ISNUMBER(W1417)),W1417,IF(BV1417="2+3",IF(ISNUMBER(SEARCH("grosser Artikel",BO1417)),2,IFERROR(VLOOKUP(BR1417,Parameter!$F$35:$G$64,2,0),2)),IF(OR(BV1417="Nein",BV1417=""),"-",BV1417))))</f>
        <v>3</v>
      </c>
      <c r="AA1417" s="62"/>
      <c r="AB1417" s="63"/>
      <c r="AC1417" s="57" t="n">
        <f aca="false">AR1417</f>
        <v>94</v>
      </c>
      <c r="AD1417" s="57" t="n">
        <f aca="false">MAX(AR1417,H1417)</f>
        <v>94</v>
      </c>
      <c r="AE1417" s="64"/>
      <c r="AF1417" s="57" t="n">
        <f aca="false">IF(LEFT(Cockpit!$C$5,1)="A",H1417,IF(CA1417=1,CB1417,IF(LEFT(Cockpit!$C$5,1)="B",AJ1417,MAX(AJ1417,H1417))))</f>
        <v>47</v>
      </c>
      <c r="AG1417" s="57" t="n">
        <f aca="false">IF(BT1417=1,0,ROUNDUP(AF1417/BS1417,0))</f>
        <v>1</v>
      </c>
      <c r="AH1417" s="59" t="n">
        <f aca="false">IF(CH1417&gt;0,CH1417*MAX(1,AF1417/X1417),IF(BT1417=1,IF(AF1417&lt;=0,0,BW1417*MAX(1,IF(H1417&gt;0,AF1417/H1417,1))),IF(R1417&gt;0,AG1417/R1417,0))/MAX(0.1,N(Parameter!$M$21)))</f>
        <v>0.0384615384615385</v>
      </c>
      <c r="AI1417" s="57" t="n">
        <f aca="false">AF1417*G1417</f>
        <v>1633.25</v>
      </c>
      <c r="AJ1417" s="57" t="n">
        <f aca="false">ROUNDUP(MAX(J1417/IF(BZ1417&gt;0,BZ1417,MAX(0.1,N(Cockpit!$C$6))),CC1417)/BS1417,0)*BS1417</f>
        <v>94</v>
      </c>
      <c r="AK1417" s="58" t="n">
        <f aca="false">IF(AH1417&gt;0,J1417/AH1417,-1)</f>
        <v>4810</v>
      </c>
      <c r="AL1417" s="58" t="n">
        <f aca="false">IF(AND(OR(BY1417="L1",BY1417="L23"),AH1417&gt;0),SUMIFS($AH$7:$AH$1843,$BY$7:$BY$1843,BY1417,$AK$7:$AK$1843,"&gt;"&amp;AK1417)+SUMIFS($AH$7:$AH$1843,$BY$7:$BY$1843,BY1417,$AK$7:$AK$1843,AK1417,$BQ$7:$BQ$1843,"&lt;="&amp;BQ1417),"")</f>
        <v>7.60341711428668</v>
      </c>
      <c r="AM1417" s="65" t="n">
        <f aca="false">IF(AL1417="",0,MAX(0,MIN(1,(IF(BY1417="L1",Parameter!$E$5,Parameter!$E$6+Parameter!$E$7)-(AL1417-AH1417))/AH1417)))</f>
        <v>1</v>
      </c>
      <c r="AN1417" s="57" t="n">
        <f aca="false">IF(LEFT(Cockpit!$I$5,1)="A",H1417,IF(CA1417=1,CB1417,IF(LEFT(Cockpit!$I$5,1)="B",AR1417,MAX(AR1417,H1417))))</f>
        <v>94</v>
      </c>
      <c r="AO1417" s="57" t="n">
        <f aca="false">IF(BT1417=1,0,ROUNDUP(AN1417/BS1417,0))</f>
        <v>2</v>
      </c>
      <c r="AP1417" s="59" t="n">
        <f aca="false">IF(CH1417&gt;0,CH1417*MAX(1,AN1417/X1417),IF(BT1417=1,IF(AN1417&lt;=0,0,BW1417*MAX(1,IF(H1417&gt;0,AN1417/H1417,1))),IF(R1417&gt;0,AO1417/R1417,0))/MAX(0.1,N(Parameter!$M$21)))</f>
        <v>0.0769230769230769</v>
      </c>
      <c r="AQ1417" s="57" t="n">
        <f aca="false">AN1417*G1417</f>
        <v>3266.5</v>
      </c>
      <c r="AR1417" s="57" t="n">
        <f aca="false">ROUNDUP(MAX(J1417/IF(BZ1417&gt;0,BZ1417,MAX(0.1,N(Cockpit!$I$6))),CC1417)/BS1417,0)*BS1417</f>
        <v>94</v>
      </c>
      <c r="AS1417" s="58" t="n">
        <f aca="false">IF(AP1417&gt;0,J1417/AP1417,-1)</f>
        <v>2405</v>
      </c>
      <c r="AT1417" s="58" t="n">
        <f aca="false">IF(AND(OR(BY1417="L1",BY1417="L23"),AP1417&gt;0),SUMIFS($AP$7:$AP$1843,$BY$7:$BY$1843,BY1417,$AS$7:$AS$1843,"&gt;"&amp;AS1417)+SUMIFS($AP$7:$AP$1843,$BY$7:$BY$1843,BY1417,$AS$7:$AS$1843,AS1417,$BQ$7:$BQ$1843,"&lt;="&amp;BQ1417),"")</f>
        <v>17.2764602547211</v>
      </c>
      <c r="AU1417" s="65" t="n">
        <f aca="false">IF(AT1417="",0,MAX(0,MIN(1,(IF(BY1417="L1",Parameter!$E$5,Parameter!$E$6+Parameter!$E$7)-(AT1417-AP1417))/AP1417)))</f>
        <v>1</v>
      </c>
      <c r="AV1417" s="57" t="n">
        <f aca="false">IF(LEFT(Cockpit!$O$5,1)="A",H1417,IF(CA1417=1,CB1417,IF(LEFT(Cockpit!$O$5,1)="B",AZ1417,MAX(AZ1417,H1417))))</f>
        <v>94</v>
      </c>
      <c r="AW1417" s="57" t="n">
        <f aca="false">IF(BT1417=1,0,ROUNDUP(AV1417/BS1417,0))</f>
        <v>2</v>
      </c>
      <c r="AX1417" s="59" t="n">
        <f aca="false">IF(CH1417&gt;0,CH1417*MAX(1,AV1417/X1417),IF(BT1417=1,IF(AV1417&lt;=0,0,BW1417*MAX(1,IF(H1417&gt;0,AV1417/H1417,1))),IF(R1417&gt;0,AW1417/R1417,0))/MAX(0.1,N(Parameter!$M$21)))</f>
        <v>0.0769230769230769</v>
      </c>
      <c r="AY1417" s="57" t="n">
        <f aca="false">AV1417*G1417</f>
        <v>3266.5</v>
      </c>
      <c r="AZ1417" s="57" t="n">
        <f aca="false">ROUNDUP(MAX(J1417/IF(BZ1417&gt;0,BZ1417,MAX(0.1,N(Cockpit!$O$6))),CC1417)/BS1417,0)*BS1417</f>
        <v>94</v>
      </c>
      <c r="BA1417" s="58" t="n">
        <f aca="false">IF(AX1417&gt;0,J1417/AX1417,-1)</f>
        <v>2405</v>
      </c>
      <c r="BB1417" s="58" t="n">
        <f aca="false">IF(AND(OR(BY1417="L1",BY1417="L23"),AX1417&gt;0),SUMIFS($AX$7:$AX$1843,$BY$7:$BY$1843,BY1417,$BA$7:$BA$1843,"&gt;"&amp;BA1417)+SUMIFS($AX$7:$AX$1843,$BY$7:$BY$1843,BY1417,$BA$7:$BA$1843,BA1417,$BQ$7:$BQ$1843,"&lt;="&amp;BQ1417),"")</f>
        <v>15.8498868281477</v>
      </c>
      <c r="BC1417" s="65" t="n">
        <f aca="false">IF(BB1417="",0,MAX(0,MIN(1,(IF(BY1417="L1",Parameter!$E$5,Parameter!$E$6+Parameter!$E$7)-(BB1417-AX1417))/AX1417)))</f>
        <v>1</v>
      </c>
      <c r="BD1417" s="55" t="str">
        <f aca="false">IF(AH1417&lt;=0,"",IF(BY1417="Aussen","Aussenlager",IF(BY1417="-","Nicht im Lift",IF(AM1417&gt;=1,"Lift",IF(AM1417&lt;=0,"Aussenlager","teilweise")))))</f>
        <v>Lift</v>
      </c>
      <c r="BE1417" s="55" t="str">
        <f aca="false">IF(AP1417&lt;=0,"",IF(BY1417="Aussen","Aussenlager",IF(BY1417="-","Nicht im Lift",IF(AU1417&gt;=1,"Lift",IF(AU1417&lt;=0,"Aussenlager","teilweise")))))</f>
        <v>Lift</v>
      </c>
      <c r="BF1417" s="55" t="str">
        <f aca="false">IF(AX1417&lt;=0,"",IF(BY1417="Aussen","Aussenlager",IF(BY1417="-","Nicht im Lift",IF(BC1417&gt;=1,"Lift",IF(BC1417&lt;=0,"Aussenlager","teilweise")))))</f>
        <v>Lift</v>
      </c>
      <c r="BG1417" s="55" t="str">
        <f aca="false">IF(A1417="","",IF(BP1417=1,"Neu; ","")&amp;IF(AND(BP1417=0,BK1417&lt;0),"negativer Bestand (Export "&amp;BK1417&amp;"); ","")&amp;IF(J1417&lt;=0,"Kein Verbrauch; ","")&amp;IF(CH1417&gt;0,"Lift "&amp;W1417&amp;" lt. Liftbericht (Fach "&amp;X1417&amp;" Stk); ",IF(BU1417=1,"Gebinde geschätzt ("&amp;T1417&amp;"); ",IF(BT1417=1,"Lose – Tablare geschätzt; ","")))&amp;IF(H1417&gt;AR1417,"Überbestand "&amp;ROUND(H1417-AR1417,0)&amp;" Stk / CHF "&amp;ROUND((H1417-AR1417)*G1417,0)&amp;"; ","")&amp;IF(AND(CA1417=1,CB1417&lt;CC1417),"MAX &lt; MB+LG; ","")&amp;IF(AND(CG1417&gt;0,CF1417*10&gt;CG1417),"zu hoch für Tablar; ","")&amp;IF(AND(BP1417=0,OR(CA1417=1,AA1417&lt;&gt;"",U1417&lt;&gt;"",V1417&lt;&gt;"",AB1417&lt;&gt;"")),"manuell übersteuert; ","")&amp;IF(AND(BT1417=0,R1417=0),"Gebinde unbekannt / Stellmass fehlt; ","")&amp;IF(AND(BT1417=0,N(V1417)&lt;=0,N(Q1417)&lt;=0),"Menge pro Gebinde fehlt (Ist = 1 Gebinde); ","")&amp;BO1417)</f>
        <v>negativer Bestand (Export -151); Gebinde geschätzt (Klein); Menge pro Gebinde fehlt (Ist = 1 Gebinde); </v>
      </c>
      <c r="BH1417" s="55"/>
      <c r="BI1417" s="55"/>
      <c r="BJ1417" s="62"/>
      <c r="BK1417" s="57" t="n">
        <v>-151</v>
      </c>
      <c r="BL1417" s="57" t="n">
        <v>198</v>
      </c>
      <c r="BM1417" s="56" t="n">
        <v>-5247.25</v>
      </c>
      <c r="BN1417" s="57" t="n">
        <v>185</v>
      </c>
      <c r="BO1417" s="55"/>
      <c r="BP1417" s="60" t="n">
        <v>0</v>
      </c>
      <c r="BQ1417" s="60" t="n">
        <v>1417</v>
      </c>
      <c r="BR1417" s="55" t="str">
        <f aca="false">IF(U1417&lt;&gt;"",UPPER(TRIM(U1417)),IF(BU1417=1,UPPER(VLOOKUP(T1417,Parameter!$I$27:$K$29,2,0)),IF(P1417="","LOSE",P1417)))</f>
        <v>S51</v>
      </c>
      <c r="BS1417" s="57" t="n">
        <f aca="false">IF(BR1417="LOSE",1,IF(N(V1417)&gt;0,V1417,IF(BU1417=1,MAX(1,N(VLOOKUP(T1417,Parameter!$I$27:$K$29,3,0)),H1417,N(N1417)),IF(N(Q1417)&gt;0,Q1417,MAX(1,H1417)))))</f>
        <v>47</v>
      </c>
      <c r="BT1417" s="60" t="n">
        <f aca="false">IF(BR1417="LOSE",1,0)</f>
        <v>0</v>
      </c>
      <c r="BU1417" s="60" t="n">
        <f aca="false">IF(AND(U1417="",OR(P1417="",P1417="LOSE"),T1417&lt;&gt;"",N(S1417)&lt;=0,ISNUMBER(MATCH(T1417,Parameter!$I$27:$I$29,0))),1,0)</f>
        <v>1</v>
      </c>
      <c r="BV1417" s="55" t="str">
        <f aca="false">IF(AND(Parameter!$B$19="Ja",E1417&lt;&gt;"",ISNUMBER(MATCH(E1417,Parameter!$I$35:$I$52,0))),VLOOKUP(E1417,Parameter!$I$35:$J$52,2,0),IFERROR(VLOOKUP(D1417,Parameter!$A$35:$C$64,2,0),"Nein"))</f>
        <v>2+3</v>
      </c>
      <c r="BW1417" s="59" t="n">
        <f aca="false">IF(BT1417=0,0,IF(N(S1417)&gt;0,S1417,IFERROR(VLOOKUP(D1417,Parameter!$A$35:$C$64,3,0)+0,0)))</f>
        <v>0</v>
      </c>
      <c r="BX1417" s="55" t="n">
        <f aca="false">IF(AA1417&lt;&gt;"",AA1417,Z1417)</f>
        <v>3</v>
      </c>
      <c r="BY1417" s="55" t="str">
        <f aca="false">IF(BX1417=1,"L1",IF(OR(BX1417=2,BX1417=3),"L23",IF(BX1417="Aussen","Aussen","-")))</f>
        <v>L23</v>
      </c>
      <c r="BZ1417" s="66" t="n">
        <f aca="false">IF(N(AB1417)&gt;0,AB1417,0)</f>
        <v>0</v>
      </c>
      <c r="CA1417" s="60" t="n">
        <f aca="false">IF(ISNUMBER(AE1417),1,0)</f>
        <v>0</v>
      </c>
      <c r="CB1417" s="57" t="n">
        <f aca="false">N(AE1417)</f>
        <v>0</v>
      </c>
      <c r="CC1417" s="57" t="n">
        <f aca="false">N(M1417)+N(N1417)</f>
        <v>1</v>
      </c>
      <c r="CD1417" s="57" t="n">
        <f aca="false">ROUNDUP(H1417/BS1417,0)</f>
        <v>1</v>
      </c>
      <c r="CE1417" s="57" t="n">
        <f aca="false">ROUNDUP(CB1417/BS1417,0)</f>
        <v>0</v>
      </c>
      <c r="CF1417" s="60" t="n">
        <f aca="false">IF(BT1417=1,0,IFERROR(VLOOKUP(BR1417,'Gebinde-Kategorie'!$A$5:$M$45,5,0)+0,0))</f>
        <v>11</v>
      </c>
      <c r="CG1417" s="60" t="n">
        <f aca="false">IFERROR(IF(OR(BX1417=1,BX1417=2,BX1417=3),N(INDEX(Parameter!$I$5:$I$7,BX1417)),0),0)</f>
        <v>0</v>
      </c>
      <c r="CH1417" s="59" t="n">
        <f aca="false">IF(AND(Parameter!$B$21="Ja",ISNUMBER(W1417),N(X1417)&gt;0),IFERROR(N(INDEX(Parameter!$L$5:$L$7,W1417))*INDEX(Parameter!$E$5:$E$7,W1417)*X1417/SUMIFS($X$7:$X$1843,$W$7:$W$1843,W1417),0),0)</f>
        <v>0</v>
      </c>
    </row>
    <row r="1418" customFormat="false" ht="15" hidden="false" customHeight="false" outlineLevel="0" collapsed="false">
      <c r="A1418" s="55" t="s">
        <v>2488</v>
      </c>
      <c r="B1418" s="55" t="s">
        <v>2489</v>
      </c>
      <c r="C1418" s="55" t="s">
        <v>164</v>
      </c>
      <c r="D1418" s="55" t="s">
        <v>173</v>
      </c>
      <c r="E1418" s="55" t="s">
        <v>166</v>
      </c>
      <c r="F1418" s="55" t="s">
        <v>218</v>
      </c>
      <c r="G1418" s="56" t="n">
        <v>505.01</v>
      </c>
      <c r="H1418" s="57" t="n">
        <f aca="false">MAX(0,IF(AND(Parameter!$B$21="Ja",ISNUMBER(Y1418)),Y1418,IF(Parameter!$B$20="Jahresanfang 2025 + Export",BL1418+BK1418,BK1418)))</f>
        <v>13</v>
      </c>
      <c r="I1418" s="57" t="n">
        <f aca="false">H1418*G1418</f>
        <v>6565.13</v>
      </c>
      <c r="J1418" s="57" t="n">
        <f aca="false">BN1418*Parameter!$B$18</f>
        <v>33</v>
      </c>
      <c r="K1418" s="58" t="n">
        <v>27.5</v>
      </c>
      <c r="L1418" s="59" t="n">
        <v>1.2</v>
      </c>
      <c r="M1418" s="57" t="n">
        <v>5</v>
      </c>
      <c r="N1418" s="57" t="n">
        <v>10</v>
      </c>
      <c r="O1418" s="60" t="n">
        <v>98</v>
      </c>
      <c r="P1418" s="55" t="s">
        <v>174</v>
      </c>
      <c r="Q1418" s="57" t="n">
        <v>18</v>
      </c>
      <c r="R1418" s="60" t="n">
        <f aca="false">IF(BT1418=1,0,IFERROR(VLOOKUP(BR1418,'Gebinde-Kategorie'!$A$5:$M$45,13,0)+0,0))</f>
        <v>6</v>
      </c>
      <c r="S1418" s="61"/>
      <c r="T1418" s="62"/>
      <c r="U1418" s="62"/>
      <c r="V1418" s="62"/>
      <c r="W1418" s="55"/>
      <c r="X1418" s="57"/>
      <c r="Y1418" s="57"/>
      <c r="Z1418" s="55" t="n">
        <f aca="false">IF(A1418="","",IF(AND(Parameter!$B$21="Ja",ISNUMBER(W1418)),W1418,IF(BV1418="2+3",IF(ISNUMBER(SEARCH("grosser Artikel",BO1418)),2,IFERROR(VLOOKUP(BR1418,Parameter!$F$35:$G$64,2,0),2)),IF(OR(BV1418="Nein",BV1418=""),"-",BV1418))))</f>
        <v>1</v>
      </c>
      <c r="AA1418" s="62"/>
      <c r="AB1418" s="63"/>
      <c r="AC1418" s="57" t="n">
        <f aca="false">AR1418</f>
        <v>18</v>
      </c>
      <c r="AD1418" s="57" t="n">
        <f aca="false">MAX(AR1418,H1418)</f>
        <v>18</v>
      </c>
      <c r="AE1418" s="64"/>
      <c r="AF1418" s="57" t="n">
        <f aca="false">IF(LEFT(Cockpit!$C$5,1)="A",H1418,IF(CA1418=1,CB1418,IF(LEFT(Cockpit!$C$5,1)="B",AJ1418,MAX(AJ1418,H1418))))</f>
        <v>13</v>
      </c>
      <c r="AG1418" s="57" t="n">
        <f aca="false">IF(BT1418=1,0,ROUNDUP(AF1418/BS1418,0))</f>
        <v>1</v>
      </c>
      <c r="AH1418" s="59" t="n">
        <f aca="false">IF(CH1418&gt;0,CH1418*MAX(1,AF1418/X1418),IF(BT1418=1,IF(AF1418&lt;=0,0,BW1418*MAX(1,IF(H1418&gt;0,AF1418/H1418,1))),IF(R1418&gt;0,AG1418/R1418,0))/MAX(0.1,N(Parameter!$M$21)))</f>
        <v>0.166666666666667</v>
      </c>
      <c r="AI1418" s="57" t="n">
        <f aca="false">AF1418*G1418</f>
        <v>6565.13</v>
      </c>
      <c r="AJ1418" s="57" t="n">
        <f aca="false">ROUNDUP(MAX(J1418/IF(BZ1418&gt;0,BZ1418,MAX(0.1,N(Cockpit!$C$6))),CC1418)/BS1418,0)*BS1418</f>
        <v>18</v>
      </c>
      <c r="AK1418" s="58" t="n">
        <f aca="false">IF(AH1418&gt;0,J1418/AH1418,-1)</f>
        <v>198</v>
      </c>
      <c r="AL1418" s="58" t="n">
        <f aca="false">IF(AND(OR(BY1418="L1",BY1418="L23"),AH1418&gt;0),SUMIFS($AH$7:$AH$1843,$BY$7:$BY$1843,BY1418,$AK$7:$AK$1843,"&gt;"&amp;AK1418)+SUMIFS($AH$7:$AH$1843,$BY$7:$BY$1843,BY1418,$AK$7:$AK$1843,AK1418,$BQ$7:$BQ$1843,"&lt;="&amp;BQ1418),"")</f>
        <v>2.50083612040134</v>
      </c>
      <c r="AM1418" s="65" t="n">
        <f aca="false">IF(AL1418="",0,MAX(0,MIN(1,(IF(BY1418="L1",Parameter!$E$5,Parameter!$E$6+Parameter!$E$7)-(AL1418-AH1418))/AH1418)))</f>
        <v>1</v>
      </c>
      <c r="AN1418" s="57" t="n">
        <f aca="false">IF(LEFT(Cockpit!$I$5,1)="A",H1418,IF(CA1418=1,CB1418,IF(LEFT(Cockpit!$I$5,1)="B",AR1418,MAX(AR1418,H1418))))</f>
        <v>18</v>
      </c>
      <c r="AO1418" s="57" t="n">
        <f aca="false">IF(BT1418=1,0,ROUNDUP(AN1418/BS1418,0))</f>
        <v>1</v>
      </c>
      <c r="AP1418" s="59" t="n">
        <f aca="false">IF(CH1418&gt;0,CH1418*MAX(1,AN1418/X1418),IF(BT1418=1,IF(AN1418&lt;=0,0,BW1418*MAX(1,IF(H1418&gt;0,AN1418/H1418,1))),IF(R1418&gt;0,AO1418/R1418,0))/MAX(0.1,N(Parameter!$M$21)))</f>
        <v>0.166666666666667</v>
      </c>
      <c r="AQ1418" s="57" t="n">
        <f aca="false">AN1418*G1418</f>
        <v>9090.18</v>
      </c>
      <c r="AR1418" s="57" t="n">
        <f aca="false">ROUNDUP(MAX(J1418/IF(BZ1418&gt;0,BZ1418,MAX(0.1,N(Cockpit!$I$6))),CC1418)/BS1418,0)*BS1418</f>
        <v>18</v>
      </c>
      <c r="AS1418" s="58" t="n">
        <f aca="false">IF(AP1418&gt;0,J1418/AP1418,-1)</f>
        <v>198</v>
      </c>
      <c r="AT1418" s="58" t="n">
        <f aca="false">IF(AND(OR(BY1418="L1",BY1418="L23"),AP1418&gt;0),SUMIFS($AP$7:$AP$1843,$BY$7:$BY$1843,BY1418,$AS$7:$AS$1843,"&gt;"&amp;AS1418)+SUMIFS($AP$7:$AP$1843,$BY$7:$BY$1843,BY1418,$AS$7:$AS$1843,AS1418,$BQ$7:$BQ$1843,"&lt;="&amp;BQ1418),"")</f>
        <v>3.66109253065775</v>
      </c>
      <c r="AU1418" s="65" t="n">
        <f aca="false">IF(AT1418="",0,MAX(0,MIN(1,(IF(BY1418="L1",Parameter!$E$5,Parameter!$E$6+Parameter!$E$7)-(AT1418-AP1418))/AP1418)))</f>
        <v>1</v>
      </c>
      <c r="AV1418" s="57" t="n">
        <f aca="false">IF(LEFT(Cockpit!$O$5,1)="A",H1418,IF(CA1418=1,CB1418,IF(LEFT(Cockpit!$O$5,1)="B",AZ1418,MAX(AZ1418,H1418))))</f>
        <v>18</v>
      </c>
      <c r="AW1418" s="57" t="n">
        <f aca="false">IF(BT1418=1,0,ROUNDUP(AV1418/BS1418,0))</f>
        <v>1</v>
      </c>
      <c r="AX1418" s="59" t="n">
        <f aca="false">IF(CH1418&gt;0,CH1418*MAX(1,AV1418/X1418),IF(BT1418=1,IF(AV1418&lt;=0,0,BW1418*MAX(1,IF(H1418&gt;0,AV1418/H1418,1))),IF(R1418&gt;0,AW1418/R1418,0))/MAX(0.1,N(Parameter!$M$21)))</f>
        <v>0.166666666666667</v>
      </c>
      <c r="AY1418" s="57" t="n">
        <f aca="false">AV1418*G1418</f>
        <v>9090.18</v>
      </c>
      <c r="AZ1418" s="57" t="n">
        <f aca="false">ROUNDUP(MAX(J1418/IF(BZ1418&gt;0,BZ1418,MAX(0.1,N(Cockpit!$O$6))),CC1418)/BS1418,0)*BS1418</f>
        <v>18</v>
      </c>
      <c r="BA1418" s="58" t="n">
        <f aca="false">IF(AX1418&gt;0,J1418/AX1418,-1)</f>
        <v>198</v>
      </c>
      <c r="BB1418" s="58" t="n">
        <f aca="false">IF(AND(OR(BY1418="L1",BY1418="L23"),AX1418&gt;0),SUMIFS($AX$7:$AX$1843,$BY$7:$BY$1843,BY1418,$BA$7:$BA$1843,"&gt;"&amp;BA1418)+SUMIFS($AX$7:$AX$1843,$BY$7:$BY$1843,BY1418,$BA$7:$BA$1843,BA1418,$BQ$7:$BQ$1843,"&lt;="&amp;BQ1418),"")</f>
        <v>2.87263099219621</v>
      </c>
      <c r="BC1418" s="65" t="n">
        <f aca="false">IF(BB1418="",0,MAX(0,MIN(1,(IF(BY1418="L1",Parameter!$E$5,Parameter!$E$6+Parameter!$E$7)-(BB1418-AX1418))/AX1418)))</f>
        <v>1</v>
      </c>
      <c r="BD1418" s="55" t="str">
        <f aca="false">IF(AH1418&lt;=0,"",IF(BY1418="Aussen","Aussenlager",IF(BY1418="-","Nicht im Lift",IF(AM1418&gt;=1,"Lift",IF(AM1418&lt;=0,"Aussenlager","teilweise")))))</f>
        <v>Lift</v>
      </c>
      <c r="BE1418" s="55" t="str">
        <f aca="false">IF(AP1418&lt;=0,"",IF(BY1418="Aussen","Aussenlager",IF(BY1418="-","Nicht im Lift",IF(AU1418&gt;=1,"Lift",IF(AU1418&lt;=0,"Aussenlager","teilweise")))))</f>
        <v>Lift</v>
      </c>
      <c r="BF1418" s="55" t="str">
        <f aca="false">IF(AX1418&lt;=0,"",IF(BY1418="Aussen","Aussenlager",IF(BY1418="-","Nicht im Lift",IF(BC1418&gt;=1,"Lift",IF(BC1418&lt;=0,"Aussenlager","teilweise")))))</f>
        <v>Lift</v>
      </c>
      <c r="BG1418" s="55" t="str">
        <f aca="false">IF(A1418="","",IF(BP1418=1,"Neu; ","")&amp;IF(AND(BP1418=0,BK1418&lt;0),"negativer Bestand (Export "&amp;BK1418&amp;"); ","")&amp;IF(J1418&lt;=0,"Kein Verbrauch; ","")&amp;IF(CH1418&gt;0,"Lift "&amp;W1418&amp;" lt. Liftbericht (Fach "&amp;X1418&amp;" Stk); ",IF(BU1418=1,"Gebinde geschätzt ("&amp;T1418&amp;"); ",IF(BT1418=1,"Lose – Tablare geschätzt; ","")))&amp;IF(H1418&gt;AR1418,"Überbestand "&amp;ROUND(H1418-AR1418,0)&amp;" Stk / CHF "&amp;ROUND((H1418-AR1418)*G1418,0)&amp;"; ","")&amp;IF(AND(CA1418=1,CB1418&lt;CC1418),"MAX &lt; MB+LG; ","")&amp;IF(AND(CG1418&gt;0,CF1418*10&gt;CG1418),"zu hoch für Tablar; ","")&amp;IF(AND(BP1418=0,OR(CA1418=1,AA1418&lt;&gt;"",U1418&lt;&gt;"",V1418&lt;&gt;"",AB1418&lt;&gt;"")),"manuell übersteuert; ","")&amp;IF(AND(BT1418=0,R1418=0),"Gebinde unbekannt / Stellmass fehlt; ","")&amp;IF(AND(BT1418=0,N(V1418)&lt;=0,N(Q1418)&lt;=0),"Menge pro Gebinde fehlt (Ist = 1 Gebinde); ","")&amp;BO1418)</f>
        <v>negativer Bestand (Export -15); </v>
      </c>
      <c r="BH1418" s="55"/>
      <c r="BI1418" s="55"/>
      <c r="BJ1418" s="62"/>
      <c r="BK1418" s="57" t="n">
        <v>-15</v>
      </c>
      <c r="BL1418" s="57" t="n">
        <v>28</v>
      </c>
      <c r="BM1418" s="56" t="n">
        <v>-5279.71</v>
      </c>
      <c r="BN1418" s="57" t="n">
        <v>33</v>
      </c>
      <c r="BO1418" s="55"/>
      <c r="BP1418" s="60" t="n">
        <v>0</v>
      </c>
      <c r="BQ1418" s="60" t="n">
        <v>1418</v>
      </c>
      <c r="BR1418" s="55" t="str">
        <f aca="false">IF(U1418&lt;&gt;"",UPPER(TRIM(U1418)),IF(BU1418=1,UPPER(VLOOKUP(T1418,Parameter!$I$27:$K$29,2,0)),IF(P1418="","LOSE",P1418)))</f>
        <v>S71</v>
      </c>
      <c r="BS1418" s="57" t="n">
        <f aca="false">IF(BR1418="LOSE",1,IF(N(V1418)&gt;0,V1418,IF(BU1418=1,MAX(1,N(VLOOKUP(T1418,Parameter!$I$27:$K$29,3,0)),H1418,N(N1418)),IF(N(Q1418)&gt;0,Q1418,MAX(1,H1418)))))</f>
        <v>18</v>
      </c>
      <c r="BT1418" s="60" t="n">
        <f aca="false">IF(BR1418="LOSE",1,0)</f>
        <v>0</v>
      </c>
      <c r="BU1418" s="60" t="n">
        <f aca="false">IF(AND(U1418="",OR(P1418="",P1418="LOSE"),T1418&lt;&gt;"",N(S1418)&lt;=0,ISNUMBER(MATCH(T1418,Parameter!$I$27:$I$29,0))),1,0)</f>
        <v>0</v>
      </c>
      <c r="BV1418" s="55" t="n">
        <f aca="false">IF(AND(Parameter!$B$19="Ja",E1418&lt;&gt;"",ISNUMBER(MATCH(E1418,Parameter!$I$35:$I$52,0))),VLOOKUP(E1418,Parameter!$I$35:$J$52,2,0),IFERROR(VLOOKUP(D1418,Parameter!$A$35:$C$64,2,0),"Nein"))</f>
        <v>1</v>
      </c>
      <c r="BW1418" s="59" t="n">
        <f aca="false">IF(BT1418=0,0,IF(N(S1418)&gt;0,S1418,IFERROR(VLOOKUP(D1418,Parameter!$A$35:$C$64,3,0)+0,0)))</f>
        <v>0</v>
      </c>
      <c r="BX1418" s="55" t="n">
        <f aca="false">IF(AA1418&lt;&gt;"",AA1418,Z1418)</f>
        <v>1</v>
      </c>
      <c r="BY1418" s="55" t="str">
        <f aca="false">IF(BX1418=1,"L1",IF(OR(BX1418=2,BX1418=3),"L23",IF(BX1418="Aussen","Aussen","-")))</f>
        <v>L1</v>
      </c>
      <c r="BZ1418" s="66" t="n">
        <f aca="false">IF(N(AB1418)&gt;0,AB1418,0)</f>
        <v>0</v>
      </c>
      <c r="CA1418" s="60" t="n">
        <f aca="false">IF(ISNUMBER(AE1418),1,0)</f>
        <v>0</v>
      </c>
      <c r="CB1418" s="57" t="n">
        <f aca="false">N(AE1418)</f>
        <v>0</v>
      </c>
      <c r="CC1418" s="57" t="n">
        <f aca="false">N(M1418)+N(N1418)</f>
        <v>15</v>
      </c>
      <c r="CD1418" s="57" t="n">
        <f aca="false">ROUNDUP(H1418/BS1418,0)</f>
        <v>1</v>
      </c>
      <c r="CE1418" s="57" t="n">
        <f aca="false">ROUNDUP(CB1418/BS1418,0)</f>
        <v>0</v>
      </c>
      <c r="CF1418" s="60" t="n">
        <f aca="false">IF(BT1418=1,0,IFERROR(VLOOKUP(BR1418,'Gebinde-Kategorie'!$A$5:$M$45,5,0)+0,0))</f>
        <v>20</v>
      </c>
      <c r="CG1418" s="60" t="n">
        <f aca="false">IFERROR(IF(OR(BX1418=1,BX1418=2,BX1418=3),N(INDEX(Parameter!$I$5:$I$7,BX1418)),0),0)</f>
        <v>0</v>
      </c>
      <c r="CH1418" s="59" t="n">
        <f aca="false">IF(AND(Parameter!$B$21="Ja",ISNUMBER(W1418),N(X1418)&gt;0),IFERROR(N(INDEX(Parameter!$L$5:$L$7,W1418))*INDEX(Parameter!$E$5:$E$7,W1418)*X1418/SUMIFS($X$7:$X$1843,$W$7:$W$1843,W1418),0),0)</f>
        <v>0</v>
      </c>
    </row>
    <row r="1419" customFormat="false" ht="15" hidden="false" customHeight="false" outlineLevel="0" collapsed="false">
      <c r="A1419" s="55" t="s">
        <v>2490</v>
      </c>
      <c r="B1419" s="55" t="s">
        <v>2491</v>
      </c>
      <c r="C1419" s="55" t="s">
        <v>164</v>
      </c>
      <c r="D1419" s="55" t="s">
        <v>995</v>
      </c>
      <c r="E1419" s="55"/>
      <c r="F1419" s="55" t="s">
        <v>218</v>
      </c>
      <c r="G1419" s="56" t="n">
        <v>609.56</v>
      </c>
      <c r="H1419" s="57" t="n">
        <f aca="false">MAX(0,IF(AND(Parameter!$B$21="Ja",ISNUMBER(Y1419)),Y1419,IF(Parameter!$B$20="Jahresanfang 2025 + Export",BL1419+BK1419,BK1419)))</f>
        <v>0</v>
      </c>
      <c r="I1419" s="57" t="n">
        <f aca="false">H1419*G1419</f>
        <v>0</v>
      </c>
      <c r="J1419" s="57" t="n">
        <f aca="false">BN1419*Parameter!$B$18</f>
        <v>3</v>
      </c>
      <c r="K1419" s="58" t="n">
        <v>13</v>
      </c>
      <c r="L1419" s="59" t="n">
        <v>0.230769230769231</v>
      </c>
      <c r="M1419" s="57" t="n">
        <v>0</v>
      </c>
      <c r="N1419" s="57" t="n">
        <v>1</v>
      </c>
      <c r="O1419" s="60" t="n">
        <v>14</v>
      </c>
      <c r="P1419" s="55" t="s">
        <v>168</v>
      </c>
      <c r="Q1419" s="57"/>
      <c r="R1419" s="60" t="n">
        <f aca="false">IF(BT1419=1,0,IFERROR(VLOOKUP(BR1419,'Gebinde-Kategorie'!$A$5:$M$45,13,0)+0,0))</f>
        <v>0</v>
      </c>
      <c r="S1419" s="61"/>
      <c r="T1419" s="62"/>
      <c r="U1419" s="62"/>
      <c r="V1419" s="62"/>
      <c r="W1419" s="55"/>
      <c r="X1419" s="57"/>
      <c r="Y1419" s="57"/>
      <c r="Z1419" s="55" t="str">
        <f aca="false">IF(A1419="","",IF(AND(Parameter!$B$21="Ja",ISNUMBER(W1419)),W1419,IF(BV1419="2+3",IF(ISNUMBER(SEARCH("grosser Artikel",BO1419)),2,IFERROR(VLOOKUP(BR1419,Parameter!$F$35:$G$64,2,0),2)),IF(OR(BV1419="Nein",BV1419=""),"-",BV1419))))</f>
        <v>-</v>
      </c>
      <c r="AA1419" s="62"/>
      <c r="AB1419" s="63"/>
      <c r="AC1419" s="57" t="n">
        <f aca="false">AR1419</f>
        <v>2</v>
      </c>
      <c r="AD1419" s="57" t="n">
        <f aca="false">MAX(AR1419,H1419)</f>
        <v>2</v>
      </c>
      <c r="AE1419" s="64"/>
      <c r="AF1419" s="57" t="n">
        <f aca="false">IF(LEFT(Cockpit!$C$5,1)="A",H1419,IF(CA1419=1,CB1419,IF(LEFT(Cockpit!$C$5,1)="B",AJ1419,MAX(AJ1419,H1419))))</f>
        <v>0</v>
      </c>
      <c r="AG1419" s="57" t="n">
        <f aca="false">IF(BT1419=1,0,ROUNDUP(AF1419/BS1419,0))</f>
        <v>0</v>
      </c>
      <c r="AH1419" s="59" t="n">
        <f aca="false">IF(CH1419&gt;0,CH1419*MAX(1,AF1419/X1419),IF(BT1419=1,IF(AF1419&lt;=0,0,BW1419*MAX(1,IF(H1419&gt;0,AF1419/H1419,1))),IF(R1419&gt;0,AG1419/R1419,0))/MAX(0.1,N(Parameter!$M$21)))</f>
        <v>0</v>
      </c>
      <c r="AI1419" s="57" t="n">
        <f aca="false">AF1419*G1419</f>
        <v>0</v>
      </c>
      <c r="AJ1419" s="57" t="n">
        <f aca="false">ROUNDUP(MAX(J1419/IF(BZ1419&gt;0,BZ1419,MAX(0.1,N(Cockpit!$C$6))),CC1419)/BS1419,0)*BS1419</f>
        <v>2</v>
      </c>
      <c r="AK1419" s="58" t="n">
        <f aca="false">IF(AH1419&gt;0,J1419/AH1419,-1)</f>
        <v>-1</v>
      </c>
      <c r="AL1419" s="58" t="str">
        <f aca="false">IF(AND(OR(BY1419="L1",BY1419="L23"),AH1419&gt;0),SUMIFS($AH$7:$AH$1843,$BY$7:$BY$1843,BY1419,$AK$7:$AK$1843,"&gt;"&amp;AK1419)+SUMIFS($AH$7:$AH$1843,$BY$7:$BY$1843,BY1419,$AK$7:$AK$1843,AK1419,$BQ$7:$BQ$1843,"&lt;="&amp;BQ1419),"")</f>
        <v/>
      </c>
      <c r="AM1419" s="65" t="n">
        <f aca="false">IF(AL1419="",0,MAX(0,MIN(1,(IF(BY1419="L1",Parameter!$E$5,Parameter!$E$6+Parameter!$E$7)-(AL1419-AH1419))/AH1419)))</f>
        <v>0</v>
      </c>
      <c r="AN1419" s="57" t="n">
        <f aca="false">IF(LEFT(Cockpit!$I$5,1)="A",H1419,IF(CA1419=1,CB1419,IF(LEFT(Cockpit!$I$5,1)="B",AR1419,MAX(AR1419,H1419))))</f>
        <v>2</v>
      </c>
      <c r="AO1419" s="57" t="n">
        <f aca="false">IF(BT1419=1,0,ROUNDUP(AN1419/BS1419,0))</f>
        <v>0</v>
      </c>
      <c r="AP1419" s="59" t="n">
        <f aca="false">IF(CH1419&gt;0,CH1419*MAX(1,AN1419/X1419),IF(BT1419=1,IF(AN1419&lt;=0,0,BW1419*MAX(1,IF(H1419&gt;0,AN1419/H1419,1))),IF(R1419&gt;0,AO1419/R1419,0))/MAX(0.1,N(Parameter!$M$21)))</f>
        <v>0.15</v>
      </c>
      <c r="AQ1419" s="57" t="n">
        <f aca="false">AN1419*G1419</f>
        <v>1219.12</v>
      </c>
      <c r="AR1419" s="57" t="n">
        <f aca="false">ROUNDUP(MAX(J1419/IF(BZ1419&gt;0,BZ1419,MAX(0.1,N(Cockpit!$I$6))),CC1419)/BS1419,0)*BS1419</f>
        <v>2</v>
      </c>
      <c r="AS1419" s="58" t="n">
        <f aca="false">IF(AP1419&gt;0,J1419/AP1419,-1)</f>
        <v>20</v>
      </c>
      <c r="AT1419" s="58" t="str">
        <f aca="false">IF(AND(OR(BY1419="L1",BY1419="L23"),AP1419&gt;0),SUMIFS($AP$7:$AP$1843,$BY$7:$BY$1843,BY1419,$AS$7:$AS$1843,"&gt;"&amp;AS1419)+SUMIFS($AP$7:$AP$1843,$BY$7:$BY$1843,BY1419,$AS$7:$AS$1843,AS1419,$BQ$7:$BQ$1843,"&lt;="&amp;BQ1419),"")</f>
        <v/>
      </c>
      <c r="AU1419" s="65" t="n">
        <f aca="false">IF(AT1419="",0,MAX(0,MIN(1,(IF(BY1419="L1",Parameter!$E$5,Parameter!$E$6+Parameter!$E$7)-(AT1419-AP1419))/AP1419)))</f>
        <v>0</v>
      </c>
      <c r="AV1419" s="57" t="n">
        <f aca="false">IF(LEFT(Cockpit!$O$5,1)="A",H1419,IF(CA1419=1,CB1419,IF(LEFT(Cockpit!$O$5,1)="B",AZ1419,MAX(AZ1419,H1419))))</f>
        <v>1</v>
      </c>
      <c r="AW1419" s="57" t="n">
        <f aca="false">IF(BT1419=1,0,ROUNDUP(AV1419/BS1419,0))</f>
        <v>0</v>
      </c>
      <c r="AX1419" s="59" t="n">
        <f aca="false">IF(CH1419&gt;0,CH1419*MAX(1,AV1419/X1419),IF(BT1419=1,IF(AV1419&lt;=0,0,BW1419*MAX(1,IF(H1419&gt;0,AV1419/H1419,1))),IF(R1419&gt;0,AW1419/R1419,0))/MAX(0.1,N(Parameter!$M$21)))</f>
        <v>0.15</v>
      </c>
      <c r="AY1419" s="57" t="n">
        <f aca="false">AV1419*G1419</f>
        <v>609.56</v>
      </c>
      <c r="AZ1419" s="57" t="n">
        <f aca="false">ROUNDUP(MAX(J1419/IF(BZ1419&gt;0,BZ1419,MAX(0.1,N(Cockpit!$O$6))),CC1419)/BS1419,0)*BS1419</f>
        <v>1</v>
      </c>
      <c r="BA1419" s="58" t="n">
        <f aca="false">IF(AX1419&gt;0,J1419/AX1419,-1)</f>
        <v>20</v>
      </c>
      <c r="BB1419" s="58" t="str">
        <f aca="false">IF(AND(OR(BY1419="L1",BY1419="L23"),AX1419&gt;0),SUMIFS($AX$7:$AX$1843,$BY$7:$BY$1843,BY1419,$BA$7:$BA$1843,"&gt;"&amp;BA1419)+SUMIFS($AX$7:$AX$1843,$BY$7:$BY$1843,BY1419,$BA$7:$BA$1843,BA1419,$BQ$7:$BQ$1843,"&lt;="&amp;BQ1419),"")</f>
        <v/>
      </c>
      <c r="BC1419" s="65" t="n">
        <f aca="false">IF(BB1419="",0,MAX(0,MIN(1,(IF(BY1419="L1",Parameter!$E$5,Parameter!$E$6+Parameter!$E$7)-(BB1419-AX1419))/AX1419)))</f>
        <v>0</v>
      </c>
      <c r="BD1419" s="55" t="str">
        <f aca="false">IF(AH1419&lt;=0,"",IF(BY1419="Aussen","Aussenlager",IF(BY1419="-","Nicht im Lift",IF(AM1419&gt;=1,"Lift",IF(AM1419&lt;=0,"Aussenlager","teilweise")))))</f>
        <v/>
      </c>
      <c r="BE1419" s="55" t="str">
        <f aca="false">IF(AP1419&lt;=0,"",IF(BY1419="Aussen","Aussenlager",IF(BY1419="-","Nicht im Lift",IF(AU1419&gt;=1,"Lift",IF(AU1419&lt;=0,"Aussenlager","teilweise")))))</f>
        <v>Nicht im Lift</v>
      </c>
      <c r="BF1419" s="55" t="str">
        <f aca="false">IF(AX1419&lt;=0,"",IF(BY1419="Aussen","Aussenlager",IF(BY1419="-","Nicht im Lift",IF(BC1419&gt;=1,"Lift",IF(BC1419&lt;=0,"Aussenlager","teilweise")))))</f>
        <v>Nicht im Lift</v>
      </c>
      <c r="BG1419" s="55" t="str">
        <f aca="false">IF(A1419="","",IF(BP1419=1,"Neu; ","")&amp;IF(AND(BP1419=0,BK1419&lt;0),"negativer Bestand (Export "&amp;BK1419&amp;"); ","")&amp;IF(J1419&lt;=0,"Kein Verbrauch; ","")&amp;IF(CH1419&gt;0,"Lift "&amp;W1419&amp;" lt. Liftbericht (Fach "&amp;X1419&amp;" Stk); ",IF(BU1419=1,"Gebinde geschätzt ("&amp;T1419&amp;"); ",IF(BT1419=1,"Lose – Tablare geschätzt; ","")))&amp;IF(H1419&gt;AR1419,"Überbestand "&amp;ROUND(H1419-AR1419,0)&amp;" Stk / CHF "&amp;ROUND((H1419-AR1419)*G1419,0)&amp;"; ","")&amp;IF(AND(CA1419=1,CB1419&lt;CC1419),"MAX &lt; MB+LG; ","")&amp;IF(AND(CG1419&gt;0,CF1419*10&gt;CG1419),"zu hoch für Tablar; ","")&amp;IF(AND(BP1419=0,OR(CA1419=1,AA1419&lt;&gt;"",U1419&lt;&gt;"",V1419&lt;&gt;"",AB1419&lt;&gt;"")),"manuell übersteuert; ","")&amp;IF(AND(BT1419=0,R1419=0),"Gebinde unbekannt / Stellmass fehlt; ","")&amp;IF(AND(BT1419=0,N(V1419)&lt;=0,N(Q1419)&lt;=0),"Menge pro Gebinde fehlt (Ist = 1 Gebinde); ","")&amp;BO1419)</f>
        <v>negativer Bestand (Export -17); Lose – Tablare geschätzt; </v>
      </c>
      <c r="BH1419" s="55"/>
      <c r="BI1419" s="55"/>
      <c r="BJ1419" s="62"/>
      <c r="BK1419" s="57" t="n">
        <v>-17</v>
      </c>
      <c r="BL1419" s="57" t="n">
        <v>17</v>
      </c>
      <c r="BM1419" s="56" t="n">
        <v>-5283.94</v>
      </c>
      <c r="BN1419" s="57" t="n">
        <v>3</v>
      </c>
      <c r="BO1419" s="55"/>
      <c r="BP1419" s="60" t="n">
        <v>0</v>
      </c>
      <c r="BQ1419" s="60" t="n">
        <v>1419</v>
      </c>
      <c r="BR1419" s="55" t="str">
        <f aca="false">IF(U1419&lt;&gt;"",UPPER(TRIM(U1419)),IF(BU1419=1,UPPER(VLOOKUP(T1419,Parameter!$I$27:$K$29,2,0)),IF(P1419="","LOSE",P1419)))</f>
        <v>LOSE</v>
      </c>
      <c r="BS1419" s="57" t="n">
        <f aca="false">IF(BR1419="LOSE",1,IF(N(V1419)&gt;0,V1419,IF(BU1419=1,MAX(1,N(VLOOKUP(T1419,Parameter!$I$27:$K$29,3,0)),H1419,N(N1419)),IF(N(Q1419)&gt;0,Q1419,MAX(1,H1419)))))</f>
        <v>1</v>
      </c>
      <c r="BT1419" s="60" t="n">
        <f aca="false">IF(BR1419="LOSE",1,0)</f>
        <v>1</v>
      </c>
      <c r="BU1419" s="60" t="n">
        <f aca="false">IF(AND(U1419="",OR(P1419="",P1419="LOSE"),T1419&lt;&gt;"",N(S1419)&lt;=0,ISNUMBER(MATCH(T1419,Parameter!$I$27:$I$29,0))),1,0)</f>
        <v>0</v>
      </c>
      <c r="BV1419" s="55" t="str">
        <f aca="false">IF(AND(Parameter!$B$19="Ja",E1419&lt;&gt;"",ISNUMBER(MATCH(E1419,Parameter!$I$35:$I$52,0))),VLOOKUP(E1419,Parameter!$I$35:$J$52,2,0),IFERROR(VLOOKUP(D1419,Parameter!$A$35:$C$64,2,0),"Nein"))</f>
        <v>Nein</v>
      </c>
      <c r="BW1419" s="59" t="n">
        <f aca="false">IF(BT1419=0,0,IF(N(S1419)&gt;0,S1419,IFERROR(VLOOKUP(D1419,Parameter!$A$35:$C$64,3,0)+0,0)))</f>
        <v>0.15</v>
      </c>
      <c r="BX1419" s="55" t="str">
        <f aca="false">IF(AA1419&lt;&gt;"",AA1419,Z1419)</f>
        <v>-</v>
      </c>
      <c r="BY1419" s="55" t="str">
        <f aca="false">IF(BX1419=1,"L1",IF(OR(BX1419=2,BX1419=3),"L23",IF(BX1419="Aussen","Aussen","-")))</f>
        <v>-</v>
      </c>
      <c r="BZ1419" s="66" t="n">
        <f aca="false">IF(N(AB1419)&gt;0,AB1419,0)</f>
        <v>0</v>
      </c>
      <c r="CA1419" s="60" t="n">
        <f aca="false">IF(ISNUMBER(AE1419),1,0)</f>
        <v>0</v>
      </c>
      <c r="CB1419" s="57" t="n">
        <f aca="false">N(AE1419)</f>
        <v>0</v>
      </c>
      <c r="CC1419" s="57" t="n">
        <f aca="false">N(M1419)+N(N1419)</f>
        <v>1</v>
      </c>
      <c r="CD1419" s="57" t="n">
        <f aca="false">ROUNDUP(H1419/BS1419,0)</f>
        <v>0</v>
      </c>
      <c r="CE1419" s="57" t="n">
        <f aca="false">ROUNDUP(CB1419/BS1419,0)</f>
        <v>0</v>
      </c>
      <c r="CF1419" s="60" t="n">
        <f aca="false">IF(BT1419=1,0,IFERROR(VLOOKUP(BR1419,'Gebinde-Kategorie'!$A$5:$M$45,5,0)+0,0))</f>
        <v>0</v>
      </c>
      <c r="CG1419" s="60" t="n">
        <f aca="false">IFERROR(IF(OR(BX1419=1,BX1419=2,BX1419=3),N(INDEX(Parameter!$I$5:$I$7,BX1419)),0),0)</f>
        <v>0</v>
      </c>
      <c r="CH1419" s="59" t="n">
        <f aca="false">IF(AND(Parameter!$B$21="Ja",ISNUMBER(W1419),N(X1419)&gt;0),IFERROR(N(INDEX(Parameter!$L$5:$L$7,W1419))*INDEX(Parameter!$E$5:$E$7,W1419)*X1419/SUMIFS($X$7:$X$1843,$W$7:$W$1843,W1419),0),0)</f>
        <v>0</v>
      </c>
    </row>
    <row r="1420" customFormat="false" ht="15" hidden="false" customHeight="false" outlineLevel="0" collapsed="false">
      <c r="A1420" s="55" t="s">
        <v>2492</v>
      </c>
      <c r="B1420" s="55" t="s">
        <v>2493</v>
      </c>
      <c r="C1420" s="55" t="s">
        <v>164</v>
      </c>
      <c r="D1420" s="55" t="s">
        <v>184</v>
      </c>
      <c r="E1420" s="55" t="s">
        <v>185</v>
      </c>
      <c r="F1420" s="55" t="s">
        <v>218</v>
      </c>
      <c r="G1420" s="56" t="n">
        <v>126.08</v>
      </c>
      <c r="H1420" s="57" t="n">
        <f aca="false">MAX(0,IF(AND(Parameter!$B$21="Ja",ISNUMBER(Y1420)),Y1420,IF(Parameter!$B$20="Jahresanfang 2025 + Export",BL1420+BK1420,BK1420)))</f>
        <v>12</v>
      </c>
      <c r="I1420" s="57" t="n">
        <f aca="false">H1420*G1420</f>
        <v>1512.96</v>
      </c>
      <c r="J1420" s="57" t="n">
        <f aca="false">BN1420*Parameter!$B$18</f>
        <v>2</v>
      </c>
      <c r="K1420" s="58" t="n">
        <v>54</v>
      </c>
      <c r="L1420" s="59" t="n">
        <v>0.037037037037037</v>
      </c>
      <c r="M1420" s="57" t="n">
        <v>0</v>
      </c>
      <c r="N1420" s="57" t="n">
        <v>1</v>
      </c>
      <c r="O1420" s="60" t="n">
        <v>28</v>
      </c>
      <c r="P1420" s="55" t="s">
        <v>476</v>
      </c>
      <c r="Q1420" s="57" t="n">
        <v>5</v>
      </c>
      <c r="R1420" s="60" t="n">
        <f aca="false">IF(BT1420=1,0,IFERROR(VLOOKUP(BR1420,'Gebinde-Kategorie'!$A$5:$M$45,13,0)+0,0))</f>
        <v>66</v>
      </c>
      <c r="S1420" s="61"/>
      <c r="T1420" s="62"/>
      <c r="U1420" s="62"/>
      <c r="V1420" s="62"/>
      <c r="W1420" s="55"/>
      <c r="X1420" s="57"/>
      <c r="Y1420" s="57"/>
      <c r="Z1420" s="55" t="n">
        <f aca="false">IF(A1420="","",IF(AND(Parameter!$B$21="Ja",ISNUMBER(W1420)),W1420,IF(BV1420="2+3",IF(ISNUMBER(SEARCH("grosser Artikel",BO1420)),2,IFERROR(VLOOKUP(BR1420,Parameter!$F$35:$G$64,2,0),2)),IF(OR(BV1420="Nein",BV1420=""),"-",BV1420))))</f>
        <v>3</v>
      </c>
      <c r="AA1420" s="62"/>
      <c r="AB1420" s="63"/>
      <c r="AC1420" s="57" t="n">
        <f aca="false">AR1420</f>
        <v>5</v>
      </c>
      <c r="AD1420" s="57" t="n">
        <f aca="false">MAX(AR1420,H1420)</f>
        <v>12</v>
      </c>
      <c r="AE1420" s="64"/>
      <c r="AF1420" s="57" t="n">
        <f aca="false">IF(LEFT(Cockpit!$C$5,1)="A",H1420,IF(CA1420=1,CB1420,IF(LEFT(Cockpit!$C$5,1)="B",AJ1420,MAX(AJ1420,H1420))))</f>
        <v>12</v>
      </c>
      <c r="AG1420" s="57" t="n">
        <f aca="false">IF(BT1420=1,0,ROUNDUP(AF1420/BS1420,0))</f>
        <v>3</v>
      </c>
      <c r="AH1420" s="59" t="n">
        <f aca="false">IF(CH1420&gt;0,CH1420*MAX(1,AF1420/X1420),IF(BT1420=1,IF(AF1420&lt;=0,0,BW1420*MAX(1,IF(H1420&gt;0,AF1420/H1420,1))),IF(R1420&gt;0,AG1420/R1420,0))/MAX(0.1,N(Parameter!$M$21)))</f>
        <v>0.0454545454545455</v>
      </c>
      <c r="AI1420" s="57" t="n">
        <f aca="false">AF1420*G1420</f>
        <v>1512.96</v>
      </c>
      <c r="AJ1420" s="57" t="n">
        <f aca="false">ROUNDUP(MAX(J1420/IF(BZ1420&gt;0,BZ1420,MAX(0.1,N(Cockpit!$C$6))),CC1420)/BS1420,0)*BS1420</f>
        <v>5</v>
      </c>
      <c r="AK1420" s="58" t="n">
        <f aca="false">IF(AH1420&gt;0,J1420/AH1420,-1)</f>
        <v>44</v>
      </c>
      <c r="AL1420" s="58" t="n">
        <f aca="false">IF(AND(OR(BY1420="L1",BY1420="L23"),AH1420&gt;0),SUMIFS($AH$7:$AH$1843,$BY$7:$BY$1843,BY1420,$AK$7:$AK$1843,"&gt;"&amp;AK1420)+SUMIFS($AH$7:$AH$1843,$BY$7:$BY$1843,BY1420,$AK$7:$AK$1843,AK1420,$BQ$7:$BQ$1843,"&lt;="&amp;BQ1420),"")</f>
        <v>45.86382216817</v>
      </c>
      <c r="AM1420" s="65" t="n">
        <f aca="false">IF(AL1420="",0,MAX(0,MIN(1,(IF(BY1420="L1",Parameter!$E$5,Parameter!$E$6+Parameter!$E$7)-(AL1420-AH1420))/AH1420)))</f>
        <v>1</v>
      </c>
      <c r="AN1420" s="57" t="n">
        <f aca="false">IF(LEFT(Cockpit!$I$5,1)="A",H1420,IF(CA1420=1,CB1420,IF(LEFT(Cockpit!$I$5,1)="B",AR1420,MAX(AR1420,H1420))))</f>
        <v>12</v>
      </c>
      <c r="AO1420" s="57" t="n">
        <f aca="false">IF(BT1420=1,0,ROUNDUP(AN1420/BS1420,0))</f>
        <v>3</v>
      </c>
      <c r="AP1420" s="59" t="n">
        <f aca="false">IF(CH1420&gt;0,CH1420*MAX(1,AN1420/X1420),IF(BT1420=1,IF(AN1420&lt;=0,0,BW1420*MAX(1,IF(H1420&gt;0,AN1420/H1420,1))),IF(R1420&gt;0,AO1420/R1420,0))/MAX(0.1,N(Parameter!$M$21)))</f>
        <v>0.0454545454545455</v>
      </c>
      <c r="AQ1420" s="57" t="n">
        <f aca="false">AN1420*G1420</f>
        <v>1512.96</v>
      </c>
      <c r="AR1420" s="57" t="n">
        <f aca="false">ROUNDUP(MAX(J1420/IF(BZ1420&gt;0,BZ1420,MAX(0.1,N(Cockpit!$I$6))),CC1420)/BS1420,0)*BS1420</f>
        <v>5</v>
      </c>
      <c r="AS1420" s="58" t="n">
        <f aca="false">IF(AP1420&gt;0,J1420/AP1420,-1)</f>
        <v>44</v>
      </c>
      <c r="AT1420" s="58" t="n">
        <f aca="false">IF(AND(OR(BY1420="L1",BY1420="L23"),AP1420&gt;0),SUMIFS($AP$7:$AP$1843,$BY$7:$BY$1843,BY1420,$AS$7:$AS$1843,"&gt;"&amp;AS1420)+SUMIFS($AP$7:$AP$1843,$BY$7:$BY$1843,BY1420,$AS$7:$AS$1843,AS1420,$BQ$7:$BQ$1843,"&lt;="&amp;BQ1420),"")</f>
        <v>69.6405104557279</v>
      </c>
      <c r="AU1420" s="65" t="n">
        <f aca="false">IF(AT1420="",0,MAX(0,MIN(1,(IF(BY1420="L1",Parameter!$E$5,Parameter!$E$6+Parameter!$E$7)-(AT1420-AP1420))/AP1420)))</f>
        <v>1</v>
      </c>
      <c r="AV1420" s="57" t="n">
        <f aca="false">IF(LEFT(Cockpit!$O$5,1)="A",H1420,IF(CA1420=1,CB1420,IF(LEFT(Cockpit!$O$5,1)="B",AZ1420,MAX(AZ1420,H1420))))</f>
        <v>12</v>
      </c>
      <c r="AW1420" s="57" t="n">
        <f aca="false">IF(BT1420=1,0,ROUNDUP(AV1420/BS1420,0))</f>
        <v>3</v>
      </c>
      <c r="AX1420" s="59" t="n">
        <f aca="false">IF(CH1420&gt;0,CH1420*MAX(1,AV1420/X1420),IF(BT1420=1,IF(AV1420&lt;=0,0,BW1420*MAX(1,IF(H1420&gt;0,AV1420/H1420,1))),IF(R1420&gt;0,AW1420/R1420,0))/MAX(0.1,N(Parameter!$M$21)))</f>
        <v>0.0454545454545455</v>
      </c>
      <c r="AY1420" s="57" t="n">
        <f aca="false">AV1420*G1420</f>
        <v>1512.96</v>
      </c>
      <c r="AZ1420" s="57" t="n">
        <f aca="false">ROUNDUP(MAX(J1420/IF(BZ1420&gt;0,BZ1420,MAX(0.1,N(Cockpit!$O$6))),CC1420)/BS1420,0)*BS1420</f>
        <v>5</v>
      </c>
      <c r="BA1420" s="58" t="n">
        <f aca="false">IF(AX1420&gt;0,J1420/AX1420,-1)</f>
        <v>44</v>
      </c>
      <c r="BB1420" s="58" t="n">
        <f aca="false">IF(AND(OR(BY1420="L1",BY1420="L23"),AX1420&gt;0),SUMIFS($AX$7:$AX$1843,$BY$7:$BY$1843,BY1420,$BA$7:$BA$1843,"&gt;"&amp;BA1420)+SUMIFS($AX$7:$AX$1843,$BY$7:$BY$1843,BY1420,$BA$7:$BA$1843,BA1420,$BQ$7:$BQ$1843,"&lt;="&amp;BQ1420),"")</f>
        <v>64.1370139522313</v>
      </c>
      <c r="BC1420" s="65" t="n">
        <f aca="false">IF(BB1420="",0,MAX(0,MIN(1,(IF(BY1420="L1",Parameter!$E$5,Parameter!$E$6+Parameter!$E$7)-(BB1420-AX1420))/AX1420)))</f>
        <v>1</v>
      </c>
      <c r="BD1420" s="55" t="str">
        <f aca="false">IF(AH1420&lt;=0,"",IF(BY1420="Aussen","Aussenlager",IF(BY1420="-","Nicht im Lift",IF(AM1420&gt;=1,"Lift",IF(AM1420&lt;=0,"Aussenlager","teilweise")))))</f>
        <v>Lift</v>
      </c>
      <c r="BE1420" s="55" t="str">
        <f aca="false">IF(AP1420&lt;=0,"",IF(BY1420="Aussen","Aussenlager",IF(BY1420="-","Nicht im Lift",IF(AU1420&gt;=1,"Lift",IF(AU1420&lt;=0,"Aussenlager","teilweise")))))</f>
        <v>Lift</v>
      </c>
      <c r="BF1420" s="55" t="str">
        <f aca="false">IF(AX1420&lt;=0,"",IF(BY1420="Aussen","Aussenlager",IF(BY1420="-","Nicht im Lift",IF(BC1420&gt;=1,"Lift",IF(BC1420&lt;=0,"Aussenlager","teilweise")))))</f>
        <v>Lift</v>
      </c>
      <c r="BG1420" s="55" t="str">
        <f aca="false">IF(A1420="","",IF(BP1420=1,"Neu; ","")&amp;IF(AND(BP1420=0,BK1420&lt;0),"negativer Bestand (Export "&amp;BK1420&amp;"); ","")&amp;IF(J1420&lt;=0,"Kein Verbrauch; ","")&amp;IF(CH1420&gt;0,"Lift "&amp;W1420&amp;" lt. Liftbericht (Fach "&amp;X1420&amp;" Stk); ",IF(BU1420=1,"Gebinde geschätzt ("&amp;T1420&amp;"); ",IF(BT1420=1,"Lose – Tablare geschätzt; ","")))&amp;IF(H1420&gt;AR1420,"Überbestand "&amp;ROUND(H1420-AR1420,0)&amp;" Stk / CHF "&amp;ROUND((H1420-AR1420)*G1420,0)&amp;"; ","")&amp;IF(AND(CA1420=1,CB1420&lt;CC1420),"MAX &lt; MB+LG; ","")&amp;IF(AND(CG1420&gt;0,CF1420*10&gt;CG1420),"zu hoch für Tablar; ","")&amp;IF(AND(BP1420=0,OR(CA1420=1,AA1420&lt;&gt;"",U1420&lt;&gt;"",V1420&lt;&gt;"",AB1420&lt;&gt;"")),"manuell übersteuert; ","")&amp;IF(AND(BT1420=0,R1420=0),"Gebinde unbekannt / Stellmass fehlt; ","")&amp;IF(AND(BT1420=0,N(V1420)&lt;=0,N(Q1420)&lt;=0),"Menge pro Gebinde fehlt (Ist = 1 Gebinde); ","")&amp;BO1420)</f>
        <v>negativer Bestand (Export -43); Überbestand 7 Stk / CHF 883; </v>
      </c>
      <c r="BH1420" s="55"/>
      <c r="BI1420" s="55"/>
      <c r="BJ1420" s="62"/>
      <c r="BK1420" s="57" t="n">
        <v>-43</v>
      </c>
      <c r="BL1420" s="57" t="n">
        <v>55</v>
      </c>
      <c r="BM1420" s="56" t="n">
        <v>-5421.44</v>
      </c>
      <c r="BN1420" s="57" t="n">
        <v>2</v>
      </c>
      <c r="BO1420" s="55"/>
      <c r="BP1420" s="60" t="n">
        <v>0</v>
      </c>
      <c r="BQ1420" s="60" t="n">
        <v>1420</v>
      </c>
      <c r="BR1420" s="55" t="str">
        <f aca="false">IF(U1420&lt;&gt;"",UPPER(TRIM(U1420)),IF(BU1420=1,UPPER(VLOOKUP(T1420,Parameter!$I$27:$K$29,2,0)),IF(P1420="","LOSE",P1420)))</f>
        <v>S33</v>
      </c>
      <c r="BS1420" s="57" t="n">
        <f aca="false">IF(BR1420="LOSE",1,IF(N(V1420)&gt;0,V1420,IF(BU1420=1,MAX(1,N(VLOOKUP(T1420,Parameter!$I$27:$K$29,3,0)),H1420,N(N1420)),IF(N(Q1420)&gt;0,Q1420,MAX(1,H1420)))))</f>
        <v>5</v>
      </c>
      <c r="BT1420" s="60" t="n">
        <f aca="false">IF(BR1420="LOSE",1,0)</f>
        <v>0</v>
      </c>
      <c r="BU1420" s="60" t="n">
        <f aca="false">IF(AND(U1420="",OR(P1420="",P1420="LOSE"),T1420&lt;&gt;"",N(S1420)&lt;=0,ISNUMBER(MATCH(T1420,Parameter!$I$27:$I$29,0))),1,0)</f>
        <v>0</v>
      </c>
      <c r="BV1420" s="55" t="str">
        <f aca="false">IF(AND(Parameter!$B$19="Ja",E1420&lt;&gt;"",ISNUMBER(MATCH(E1420,Parameter!$I$35:$I$52,0))),VLOOKUP(E1420,Parameter!$I$35:$J$52,2,0),IFERROR(VLOOKUP(D1420,Parameter!$A$35:$C$64,2,0),"Nein"))</f>
        <v>2+3</v>
      </c>
      <c r="BW1420" s="59" t="n">
        <f aca="false">IF(BT1420=0,0,IF(N(S1420)&gt;0,S1420,IFERROR(VLOOKUP(D1420,Parameter!$A$35:$C$64,3,0)+0,0)))</f>
        <v>0</v>
      </c>
      <c r="BX1420" s="55" t="n">
        <f aca="false">IF(AA1420&lt;&gt;"",AA1420,Z1420)</f>
        <v>3</v>
      </c>
      <c r="BY1420" s="55" t="str">
        <f aca="false">IF(BX1420=1,"L1",IF(OR(BX1420=2,BX1420=3),"L23",IF(BX1420="Aussen","Aussen","-")))</f>
        <v>L23</v>
      </c>
      <c r="BZ1420" s="66" t="n">
        <f aca="false">IF(N(AB1420)&gt;0,AB1420,0)</f>
        <v>0</v>
      </c>
      <c r="CA1420" s="60" t="n">
        <f aca="false">IF(ISNUMBER(AE1420),1,0)</f>
        <v>0</v>
      </c>
      <c r="CB1420" s="57" t="n">
        <f aca="false">N(AE1420)</f>
        <v>0</v>
      </c>
      <c r="CC1420" s="57" t="n">
        <f aca="false">N(M1420)+N(N1420)</f>
        <v>1</v>
      </c>
      <c r="CD1420" s="57" t="n">
        <f aca="false">ROUNDUP(H1420/BS1420,0)</f>
        <v>3</v>
      </c>
      <c r="CE1420" s="57" t="n">
        <f aca="false">ROUNDUP(CB1420/BS1420,0)</f>
        <v>0</v>
      </c>
      <c r="CF1420" s="60" t="n">
        <f aca="false">IF(BT1420=1,0,IFERROR(VLOOKUP(BR1420,'Gebinde-Kategorie'!$A$5:$M$45,5,0)+0,0))</f>
        <v>8</v>
      </c>
      <c r="CG1420" s="60" t="n">
        <f aca="false">IFERROR(IF(OR(BX1420=1,BX1420=2,BX1420=3),N(INDEX(Parameter!$I$5:$I$7,BX1420)),0),0)</f>
        <v>0</v>
      </c>
      <c r="CH1420" s="59" t="n">
        <f aca="false">IF(AND(Parameter!$B$21="Ja",ISNUMBER(W1420),N(X1420)&gt;0),IFERROR(N(INDEX(Parameter!$L$5:$L$7,W1420))*INDEX(Parameter!$E$5:$E$7,W1420)*X1420/SUMIFS($X$7:$X$1843,$W$7:$W$1843,W1420),0),0)</f>
        <v>0</v>
      </c>
    </row>
    <row r="1421" customFormat="false" ht="15" hidden="false" customHeight="false" outlineLevel="0" collapsed="false">
      <c r="A1421" s="55" t="s">
        <v>2494</v>
      </c>
      <c r="B1421" s="55" t="s">
        <v>2495</v>
      </c>
      <c r="C1421" s="55" t="s">
        <v>164</v>
      </c>
      <c r="D1421" s="55" t="s">
        <v>173</v>
      </c>
      <c r="E1421" s="55" t="s">
        <v>185</v>
      </c>
      <c r="F1421" s="55" t="s">
        <v>218</v>
      </c>
      <c r="G1421" s="56" t="n">
        <v>699.44</v>
      </c>
      <c r="H1421" s="57" t="n">
        <f aca="false">MAX(0,IF(AND(Parameter!$B$21="Ja",ISNUMBER(Y1421)),Y1421,IF(Parameter!$B$20="Jahresanfang 2025 + Export",BL1421+BK1421,BK1421)))</f>
        <v>7</v>
      </c>
      <c r="I1421" s="57" t="n">
        <f aca="false">H1421*G1421</f>
        <v>4896.08</v>
      </c>
      <c r="J1421" s="57" t="n">
        <f aca="false">BN1421*Parameter!$B$18</f>
        <v>8</v>
      </c>
      <c r="K1421" s="58" t="n">
        <v>13.5</v>
      </c>
      <c r="L1421" s="59" t="n">
        <v>0.592592592592593</v>
      </c>
      <c r="M1421" s="57" t="n">
        <v>1</v>
      </c>
      <c r="N1421" s="57" t="n">
        <v>5</v>
      </c>
      <c r="O1421" s="60" t="n">
        <v>49</v>
      </c>
      <c r="P1421" s="55" t="s">
        <v>226</v>
      </c>
      <c r="Q1421" s="57" t="n">
        <v>7</v>
      </c>
      <c r="R1421" s="60" t="n">
        <f aca="false">IF(BT1421=1,0,IFERROR(VLOOKUP(BR1421,'Gebinde-Kategorie'!$A$5:$M$45,13,0)+0,0))</f>
        <v>12</v>
      </c>
      <c r="S1421" s="61"/>
      <c r="T1421" s="62"/>
      <c r="U1421" s="62"/>
      <c r="V1421" s="62"/>
      <c r="W1421" s="55"/>
      <c r="X1421" s="57"/>
      <c r="Y1421" s="57"/>
      <c r="Z1421" s="55" t="n">
        <f aca="false">IF(A1421="","",IF(AND(Parameter!$B$21="Ja",ISNUMBER(W1421)),W1421,IF(BV1421="2+3",IF(ISNUMBER(SEARCH("grosser Artikel",BO1421)),2,IFERROR(VLOOKUP(BR1421,Parameter!$F$35:$G$64,2,0),2)),IF(OR(BV1421="Nein",BV1421=""),"-",BV1421))))</f>
        <v>2</v>
      </c>
      <c r="AA1421" s="62"/>
      <c r="AB1421" s="63"/>
      <c r="AC1421" s="57" t="n">
        <f aca="false">AR1421</f>
        <v>7</v>
      </c>
      <c r="AD1421" s="57" t="n">
        <f aca="false">MAX(AR1421,H1421)</f>
        <v>7</v>
      </c>
      <c r="AE1421" s="64"/>
      <c r="AF1421" s="57" t="n">
        <f aca="false">IF(LEFT(Cockpit!$C$5,1)="A",H1421,IF(CA1421=1,CB1421,IF(LEFT(Cockpit!$C$5,1)="B",AJ1421,MAX(AJ1421,H1421))))</f>
        <v>7</v>
      </c>
      <c r="AG1421" s="57" t="n">
        <f aca="false">IF(BT1421=1,0,ROUNDUP(AF1421/BS1421,0))</f>
        <v>1</v>
      </c>
      <c r="AH1421" s="59" t="n">
        <f aca="false">IF(CH1421&gt;0,CH1421*MAX(1,AF1421/X1421),IF(BT1421=1,IF(AF1421&lt;=0,0,BW1421*MAX(1,IF(H1421&gt;0,AF1421/H1421,1))),IF(R1421&gt;0,AG1421/R1421,0))/MAX(0.1,N(Parameter!$M$21)))</f>
        <v>0.0833333333333333</v>
      </c>
      <c r="AI1421" s="57" t="n">
        <f aca="false">AF1421*G1421</f>
        <v>4896.08</v>
      </c>
      <c r="AJ1421" s="57" t="n">
        <f aca="false">ROUNDUP(MAX(J1421/IF(BZ1421&gt;0,BZ1421,MAX(0.1,N(Cockpit!$C$6))),CC1421)/BS1421,0)*BS1421</f>
        <v>7</v>
      </c>
      <c r="AK1421" s="58" t="n">
        <f aca="false">IF(AH1421&gt;0,J1421/AH1421,-1)</f>
        <v>96</v>
      </c>
      <c r="AL1421" s="58" t="n">
        <f aca="false">IF(AND(OR(BY1421="L1",BY1421="L23"),AH1421&gt;0),SUMIFS($AH$7:$AH$1843,$BY$7:$BY$1843,BY1421,$AK$7:$AK$1843,"&gt;"&amp;AK1421)+SUMIFS($AH$7:$AH$1843,$BY$7:$BY$1843,BY1421,$AK$7:$AK$1843,AK1421,$BQ$7:$BQ$1843,"&lt;="&amp;BQ1421),"")</f>
        <v>40.0479713523192</v>
      </c>
      <c r="AM1421" s="65" t="n">
        <f aca="false">IF(AL1421="",0,MAX(0,MIN(1,(IF(BY1421="L1",Parameter!$E$5,Parameter!$E$6+Parameter!$E$7)-(AL1421-AH1421))/AH1421)))</f>
        <v>1</v>
      </c>
      <c r="AN1421" s="57" t="n">
        <f aca="false">IF(LEFT(Cockpit!$I$5,1)="A",H1421,IF(CA1421=1,CB1421,IF(LEFT(Cockpit!$I$5,1)="B",AR1421,MAX(AR1421,H1421))))</f>
        <v>7</v>
      </c>
      <c r="AO1421" s="57" t="n">
        <f aca="false">IF(BT1421=1,0,ROUNDUP(AN1421/BS1421,0))</f>
        <v>1</v>
      </c>
      <c r="AP1421" s="59" t="n">
        <f aca="false">IF(CH1421&gt;0,CH1421*MAX(1,AN1421/X1421),IF(BT1421=1,IF(AN1421&lt;=0,0,BW1421*MAX(1,IF(H1421&gt;0,AN1421/H1421,1))),IF(R1421&gt;0,AO1421/R1421,0))/MAX(0.1,N(Parameter!$M$21)))</f>
        <v>0.0833333333333333</v>
      </c>
      <c r="AQ1421" s="57" t="n">
        <f aca="false">AN1421*G1421</f>
        <v>4896.08</v>
      </c>
      <c r="AR1421" s="57" t="n">
        <f aca="false">ROUNDUP(MAX(J1421/IF(BZ1421&gt;0,BZ1421,MAX(0.1,N(Cockpit!$I$6))),CC1421)/BS1421,0)*BS1421</f>
        <v>7</v>
      </c>
      <c r="AS1421" s="58" t="n">
        <f aca="false">IF(AP1421&gt;0,J1421/AP1421,-1)</f>
        <v>96</v>
      </c>
      <c r="AT1421" s="58" t="n">
        <f aca="false">IF(AND(OR(BY1421="L1",BY1421="L23"),AP1421&gt;0),SUMIFS($AP$7:$AP$1843,$BY$7:$BY$1843,BY1421,$AS$7:$AS$1843,"&gt;"&amp;AS1421)+SUMIFS($AP$7:$AP$1843,$BY$7:$BY$1843,BY1421,$AS$7:$AS$1843,AS1421,$BQ$7:$BQ$1843,"&lt;="&amp;BQ1421),"")</f>
        <v>58.1906270058444</v>
      </c>
      <c r="AU1421" s="65" t="n">
        <f aca="false">IF(AT1421="",0,MAX(0,MIN(1,(IF(BY1421="L1",Parameter!$E$5,Parameter!$E$6+Parameter!$E$7)-(AT1421-AP1421))/AP1421)))</f>
        <v>1</v>
      </c>
      <c r="AV1421" s="57" t="n">
        <f aca="false">IF(LEFT(Cockpit!$O$5,1)="A",H1421,IF(CA1421=1,CB1421,IF(LEFT(Cockpit!$O$5,1)="B",AZ1421,MAX(AZ1421,H1421))))</f>
        <v>7</v>
      </c>
      <c r="AW1421" s="57" t="n">
        <f aca="false">IF(BT1421=1,0,ROUNDUP(AV1421/BS1421,0))</f>
        <v>1</v>
      </c>
      <c r="AX1421" s="59" t="n">
        <f aca="false">IF(CH1421&gt;0,CH1421*MAX(1,AV1421/X1421),IF(BT1421=1,IF(AV1421&lt;=0,0,BW1421*MAX(1,IF(H1421&gt;0,AV1421/H1421,1))),IF(R1421&gt;0,AW1421/R1421,0))/MAX(0.1,N(Parameter!$M$21)))</f>
        <v>0.0833333333333333</v>
      </c>
      <c r="AY1421" s="57" t="n">
        <f aca="false">AV1421*G1421</f>
        <v>4896.08</v>
      </c>
      <c r="AZ1421" s="57" t="n">
        <f aca="false">ROUNDUP(MAX(J1421/IF(BZ1421&gt;0,BZ1421,MAX(0.1,N(Cockpit!$O$6))),CC1421)/BS1421,0)*BS1421</f>
        <v>7</v>
      </c>
      <c r="BA1421" s="58" t="n">
        <f aca="false">IF(AX1421&gt;0,J1421/AX1421,-1)</f>
        <v>96</v>
      </c>
      <c r="BB1421" s="58" t="n">
        <f aca="false">IF(AND(OR(BY1421="L1",BY1421="L23"),AX1421&gt;0),SUMIFS($AX$7:$AX$1843,$BY$7:$BY$1843,BY1421,$BA$7:$BA$1843,"&gt;"&amp;BA1421)+SUMIFS($AX$7:$AX$1843,$BY$7:$BY$1843,BY1421,$BA$7:$BA$1843,BA1421,$BQ$7:$BQ$1843,"&lt;="&amp;BQ1421),"")</f>
        <v>55.6037971690146</v>
      </c>
      <c r="BC1421" s="65" t="n">
        <f aca="false">IF(BB1421="",0,MAX(0,MIN(1,(IF(BY1421="L1",Parameter!$E$5,Parameter!$E$6+Parameter!$E$7)-(BB1421-AX1421))/AX1421)))</f>
        <v>1</v>
      </c>
      <c r="BD1421" s="55" t="str">
        <f aca="false">IF(AH1421&lt;=0,"",IF(BY1421="Aussen","Aussenlager",IF(BY1421="-","Nicht im Lift",IF(AM1421&gt;=1,"Lift",IF(AM1421&lt;=0,"Aussenlager","teilweise")))))</f>
        <v>Lift</v>
      </c>
      <c r="BE1421" s="55" t="str">
        <f aca="false">IF(AP1421&lt;=0,"",IF(BY1421="Aussen","Aussenlager",IF(BY1421="-","Nicht im Lift",IF(AU1421&gt;=1,"Lift",IF(AU1421&lt;=0,"Aussenlager","teilweise")))))</f>
        <v>Lift</v>
      </c>
      <c r="BF1421" s="55" t="str">
        <f aca="false">IF(AX1421&lt;=0,"",IF(BY1421="Aussen","Aussenlager",IF(BY1421="-","Nicht im Lift",IF(BC1421&gt;=1,"Lift",IF(BC1421&lt;=0,"Aussenlager","teilweise")))))</f>
        <v>Lift</v>
      </c>
      <c r="BG1421" s="55" t="str">
        <f aca="false">IF(A1421="","",IF(BP1421=1,"Neu; ","")&amp;IF(AND(BP1421=0,BK1421&lt;0),"negativer Bestand (Export "&amp;BK1421&amp;"); ","")&amp;IF(J1421&lt;=0,"Kein Verbrauch; ","")&amp;IF(CH1421&gt;0,"Lift "&amp;W1421&amp;" lt. Liftbericht (Fach "&amp;X1421&amp;" Stk); ",IF(BU1421=1,"Gebinde geschätzt ("&amp;T1421&amp;"); ",IF(BT1421=1,"Lose – Tablare geschätzt; ","")))&amp;IF(H1421&gt;AR1421,"Überbestand "&amp;ROUND(H1421-AR1421,0)&amp;" Stk / CHF "&amp;ROUND((H1421-AR1421)*G1421,0)&amp;"; ","")&amp;IF(AND(CA1421=1,CB1421&lt;CC1421),"MAX &lt; MB+LG; ","")&amp;IF(AND(CG1421&gt;0,CF1421*10&gt;CG1421),"zu hoch für Tablar; ","")&amp;IF(AND(BP1421=0,OR(CA1421=1,AA1421&lt;&gt;"",U1421&lt;&gt;"",V1421&lt;&gt;"",AB1421&lt;&gt;"")),"manuell übersteuert; ","")&amp;IF(AND(BT1421=0,R1421=0),"Gebinde unbekannt / Stellmass fehlt; ","")&amp;IF(AND(BT1421=0,N(V1421)&lt;=0,N(Q1421)&lt;=0),"Menge pro Gebinde fehlt (Ist = 1 Gebinde); ","")&amp;BO1421)</f>
        <v>negativer Bestand (Export -9); B&amp;R</v>
      </c>
      <c r="BH1421" s="55"/>
      <c r="BI1421" s="55"/>
      <c r="BJ1421" s="62"/>
      <c r="BK1421" s="57" t="n">
        <v>-9</v>
      </c>
      <c r="BL1421" s="57" t="n">
        <v>16</v>
      </c>
      <c r="BM1421" s="56" t="n">
        <v>-5673.52</v>
      </c>
      <c r="BN1421" s="57" t="n">
        <v>8</v>
      </c>
      <c r="BO1421" s="55" t="s">
        <v>2217</v>
      </c>
      <c r="BP1421" s="60" t="n">
        <v>0</v>
      </c>
      <c r="BQ1421" s="60" t="n">
        <v>1421</v>
      </c>
      <c r="BR1421" s="55" t="str">
        <f aca="false">IF(U1421&lt;&gt;"",UPPER(TRIM(U1421)),IF(BU1421=1,UPPER(VLOOKUP(T1421,Parameter!$I$27:$K$29,2,0)),IF(P1421="","LOSE",P1421)))</f>
        <v>S63</v>
      </c>
      <c r="BS1421" s="57" t="n">
        <f aca="false">IF(BR1421="LOSE",1,IF(N(V1421)&gt;0,V1421,IF(BU1421=1,MAX(1,N(VLOOKUP(T1421,Parameter!$I$27:$K$29,3,0)),H1421,N(N1421)),IF(N(Q1421)&gt;0,Q1421,MAX(1,H1421)))))</f>
        <v>7</v>
      </c>
      <c r="BT1421" s="60" t="n">
        <f aca="false">IF(BR1421="LOSE",1,0)</f>
        <v>0</v>
      </c>
      <c r="BU1421" s="60" t="n">
        <f aca="false">IF(AND(U1421="",OR(P1421="",P1421="LOSE"),T1421&lt;&gt;"",N(S1421)&lt;=0,ISNUMBER(MATCH(T1421,Parameter!$I$27:$I$29,0))),1,0)</f>
        <v>0</v>
      </c>
      <c r="BV1421" s="55" t="str">
        <f aca="false">IF(AND(Parameter!$B$19="Ja",E1421&lt;&gt;"",ISNUMBER(MATCH(E1421,Parameter!$I$35:$I$52,0))),VLOOKUP(E1421,Parameter!$I$35:$J$52,2,0),IFERROR(VLOOKUP(D1421,Parameter!$A$35:$C$64,2,0),"Nein"))</f>
        <v>2+3</v>
      </c>
      <c r="BW1421" s="59" t="n">
        <f aca="false">IF(BT1421=0,0,IF(N(S1421)&gt;0,S1421,IFERROR(VLOOKUP(D1421,Parameter!$A$35:$C$64,3,0)+0,0)))</f>
        <v>0</v>
      </c>
      <c r="BX1421" s="55" t="n">
        <f aca="false">IF(AA1421&lt;&gt;"",AA1421,Z1421)</f>
        <v>2</v>
      </c>
      <c r="BY1421" s="55" t="str">
        <f aca="false">IF(BX1421=1,"L1",IF(OR(BX1421=2,BX1421=3),"L23",IF(BX1421="Aussen","Aussen","-")))</f>
        <v>L23</v>
      </c>
      <c r="BZ1421" s="66" t="n">
        <f aca="false">IF(N(AB1421)&gt;0,AB1421,0)</f>
        <v>0</v>
      </c>
      <c r="CA1421" s="60" t="n">
        <f aca="false">IF(ISNUMBER(AE1421),1,0)</f>
        <v>0</v>
      </c>
      <c r="CB1421" s="57" t="n">
        <f aca="false">N(AE1421)</f>
        <v>0</v>
      </c>
      <c r="CC1421" s="57" t="n">
        <f aca="false">N(M1421)+N(N1421)</f>
        <v>6</v>
      </c>
      <c r="CD1421" s="57" t="n">
        <f aca="false">ROUNDUP(H1421/BS1421,0)</f>
        <v>1</v>
      </c>
      <c r="CE1421" s="57" t="n">
        <f aca="false">ROUNDUP(CB1421/BS1421,0)</f>
        <v>0</v>
      </c>
      <c r="CF1421" s="60" t="n">
        <f aca="false">IF(BT1421=1,0,IFERROR(VLOOKUP(BR1421,'Gebinde-Kategorie'!$A$5:$M$45,5,0)+0,0))</f>
        <v>31</v>
      </c>
      <c r="CG1421" s="60" t="n">
        <f aca="false">IFERROR(IF(OR(BX1421=1,BX1421=2,BX1421=3),N(INDEX(Parameter!$I$5:$I$7,BX1421)),0),0)</f>
        <v>0</v>
      </c>
      <c r="CH1421" s="59" t="n">
        <f aca="false">IF(AND(Parameter!$B$21="Ja",ISNUMBER(W1421),N(X1421)&gt;0),IFERROR(N(INDEX(Parameter!$L$5:$L$7,W1421))*INDEX(Parameter!$E$5:$E$7,W1421)*X1421/SUMIFS($X$7:$X$1843,$W$7:$W$1843,W1421),0),0)</f>
        <v>0</v>
      </c>
    </row>
    <row r="1422" customFormat="false" ht="15" hidden="false" customHeight="false" outlineLevel="0" collapsed="false">
      <c r="A1422" s="55" t="s">
        <v>2496</v>
      </c>
      <c r="B1422" s="55" t="s">
        <v>2172</v>
      </c>
      <c r="C1422" s="55" t="s">
        <v>164</v>
      </c>
      <c r="D1422" s="55" t="s">
        <v>184</v>
      </c>
      <c r="E1422" s="55"/>
      <c r="F1422" s="55" t="s">
        <v>218</v>
      </c>
      <c r="G1422" s="56" t="n">
        <v>671.53</v>
      </c>
      <c r="H1422" s="57" t="n">
        <f aca="false">MAX(0,IF(AND(Parameter!$B$21="Ja",ISNUMBER(Y1422)),Y1422,IF(Parameter!$B$20="Jahresanfang 2025 + Export",BL1422+BK1422,BK1422)))</f>
        <v>7</v>
      </c>
      <c r="I1422" s="57" t="n">
        <f aca="false">H1422*G1422</f>
        <v>4700.71</v>
      </c>
      <c r="J1422" s="57" t="n">
        <f aca="false">BN1422*Parameter!$B$18</f>
        <v>4</v>
      </c>
      <c r="K1422" s="58" t="n">
        <v>13</v>
      </c>
      <c r="L1422" s="59" t="n">
        <v>0.307692307692308</v>
      </c>
      <c r="M1422" s="57" t="n">
        <v>0</v>
      </c>
      <c r="N1422" s="57" t="n">
        <v>5</v>
      </c>
      <c r="O1422" s="60" t="n">
        <v>28</v>
      </c>
      <c r="P1422" s="55" t="s">
        <v>293</v>
      </c>
      <c r="Q1422" s="57" t="n">
        <v>8</v>
      </c>
      <c r="R1422" s="60" t="n">
        <f aca="false">IF(BT1422=1,0,IFERROR(VLOOKUP(BR1422,'Gebinde-Kategorie'!$A$5:$M$45,13,0)+0,0))</f>
        <v>12</v>
      </c>
      <c r="S1422" s="61"/>
      <c r="T1422" s="62"/>
      <c r="U1422" s="62"/>
      <c r="V1422" s="62"/>
      <c r="W1422" s="55"/>
      <c r="X1422" s="57"/>
      <c r="Y1422" s="57"/>
      <c r="Z1422" s="55" t="n">
        <f aca="false">IF(A1422="","",IF(AND(Parameter!$B$21="Ja",ISNUMBER(W1422)),W1422,IF(BV1422="2+3",IF(ISNUMBER(SEARCH("grosser Artikel",BO1422)),2,IFERROR(VLOOKUP(BR1422,Parameter!$F$35:$G$64,2,0),2)),IF(OR(BV1422="Nein",BV1422=""),"-",BV1422))))</f>
        <v>2</v>
      </c>
      <c r="AA1422" s="62"/>
      <c r="AB1422" s="63"/>
      <c r="AC1422" s="57" t="n">
        <f aca="false">AR1422</f>
        <v>8</v>
      </c>
      <c r="AD1422" s="57" t="n">
        <f aca="false">MAX(AR1422,H1422)</f>
        <v>8</v>
      </c>
      <c r="AE1422" s="64"/>
      <c r="AF1422" s="57" t="n">
        <f aca="false">IF(LEFT(Cockpit!$C$5,1)="A",H1422,IF(CA1422=1,CB1422,IF(LEFT(Cockpit!$C$5,1)="B",AJ1422,MAX(AJ1422,H1422))))</f>
        <v>7</v>
      </c>
      <c r="AG1422" s="57" t="n">
        <f aca="false">IF(BT1422=1,0,ROUNDUP(AF1422/BS1422,0))</f>
        <v>1</v>
      </c>
      <c r="AH1422" s="59" t="n">
        <f aca="false">IF(CH1422&gt;0,CH1422*MAX(1,AF1422/X1422),IF(BT1422=1,IF(AF1422&lt;=0,0,BW1422*MAX(1,IF(H1422&gt;0,AF1422/H1422,1))),IF(R1422&gt;0,AG1422/R1422,0))/MAX(0.1,N(Parameter!$M$21)))</f>
        <v>0.0833333333333333</v>
      </c>
      <c r="AI1422" s="57" t="n">
        <f aca="false">AF1422*G1422</f>
        <v>4700.71</v>
      </c>
      <c r="AJ1422" s="57" t="n">
        <f aca="false">ROUNDUP(MAX(J1422/IF(BZ1422&gt;0,BZ1422,MAX(0.1,N(Cockpit!$C$6))),CC1422)/BS1422,0)*BS1422</f>
        <v>8</v>
      </c>
      <c r="AK1422" s="58" t="n">
        <f aca="false">IF(AH1422&gt;0,J1422/AH1422,-1)</f>
        <v>48</v>
      </c>
      <c r="AL1422" s="58" t="n">
        <f aca="false">IF(AND(OR(BY1422="L1",BY1422="L23"),AH1422&gt;0),SUMIFS($AH$7:$AH$1843,$BY$7:$BY$1843,BY1422,$AK$7:$AK$1843,"&gt;"&amp;AK1422)+SUMIFS($AH$7:$AH$1843,$BY$7:$BY$1843,BY1422,$AK$7:$AK$1843,AK1422,$BQ$7:$BQ$1843,"&lt;="&amp;BQ1422),"")</f>
        <v>45.8183676227155</v>
      </c>
      <c r="AM1422" s="65" t="n">
        <f aca="false">IF(AL1422="",0,MAX(0,MIN(1,(IF(BY1422="L1",Parameter!$E$5,Parameter!$E$6+Parameter!$E$7)-(AL1422-AH1422))/AH1422)))</f>
        <v>1</v>
      </c>
      <c r="AN1422" s="57" t="n">
        <f aca="false">IF(LEFT(Cockpit!$I$5,1)="A",H1422,IF(CA1422=1,CB1422,IF(LEFT(Cockpit!$I$5,1)="B",AR1422,MAX(AR1422,H1422))))</f>
        <v>8</v>
      </c>
      <c r="AO1422" s="57" t="n">
        <f aca="false">IF(BT1422=1,0,ROUNDUP(AN1422/BS1422,0))</f>
        <v>1</v>
      </c>
      <c r="AP1422" s="59" t="n">
        <f aca="false">IF(CH1422&gt;0,CH1422*MAX(1,AN1422/X1422),IF(BT1422=1,IF(AN1422&lt;=0,0,BW1422*MAX(1,IF(H1422&gt;0,AN1422/H1422,1))),IF(R1422&gt;0,AO1422/R1422,0))/MAX(0.1,N(Parameter!$M$21)))</f>
        <v>0.0833333333333333</v>
      </c>
      <c r="AQ1422" s="57" t="n">
        <f aca="false">AN1422*G1422</f>
        <v>5372.24</v>
      </c>
      <c r="AR1422" s="57" t="n">
        <f aca="false">ROUNDUP(MAX(J1422/IF(BZ1422&gt;0,BZ1422,MAX(0.1,N(Cockpit!$I$6))),CC1422)/BS1422,0)*BS1422</f>
        <v>8</v>
      </c>
      <c r="AS1422" s="58" t="n">
        <f aca="false">IF(AP1422&gt;0,J1422/AP1422,-1)</f>
        <v>48</v>
      </c>
      <c r="AT1422" s="58" t="n">
        <f aca="false">IF(AND(OR(BY1422="L1",BY1422="L23"),AP1422&gt;0),SUMIFS($AP$7:$AP$1843,$BY$7:$BY$1843,BY1422,$AS$7:$AS$1843,"&gt;"&amp;AS1422)+SUMIFS($AP$7:$AP$1843,$BY$7:$BY$1843,BY1422,$AS$7:$AS$1843,AS1422,$BQ$7:$BQ$1843,"&lt;="&amp;BQ1422),"")</f>
        <v>69.5950559102733</v>
      </c>
      <c r="AU1422" s="65" t="n">
        <f aca="false">IF(AT1422="",0,MAX(0,MIN(1,(IF(BY1422="L1",Parameter!$E$5,Parameter!$E$6+Parameter!$E$7)-(AT1422-AP1422))/AP1422)))</f>
        <v>1</v>
      </c>
      <c r="AV1422" s="57" t="n">
        <f aca="false">IF(LEFT(Cockpit!$O$5,1)="A",H1422,IF(CA1422=1,CB1422,IF(LEFT(Cockpit!$O$5,1)="B",AZ1422,MAX(AZ1422,H1422))))</f>
        <v>8</v>
      </c>
      <c r="AW1422" s="57" t="n">
        <f aca="false">IF(BT1422=1,0,ROUNDUP(AV1422/BS1422,0))</f>
        <v>1</v>
      </c>
      <c r="AX1422" s="59" t="n">
        <f aca="false">IF(CH1422&gt;0,CH1422*MAX(1,AV1422/X1422),IF(BT1422=1,IF(AV1422&lt;=0,0,BW1422*MAX(1,IF(H1422&gt;0,AV1422/H1422,1))),IF(R1422&gt;0,AW1422/R1422,0))/MAX(0.1,N(Parameter!$M$21)))</f>
        <v>0.0833333333333333</v>
      </c>
      <c r="AY1422" s="57" t="n">
        <f aca="false">AV1422*G1422</f>
        <v>5372.24</v>
      </c>
      <c r="AZ1422" s="57" t="n">
        <f aca="false">ROUNDUP(MAX(J1422/IF(BZ1422&gt;0,BZ1422,MAX(0.1,N(Cockpit!$O$6))),CC1422)/BS1422,0)*BS1422</f>
        <v>8</v>
      </c>
      <c r="BA1422" s="58" t="n">
        <f aca="false">IF(AX1422&gt;0,J1422/AX1422,-1)</f>
        <v>48</v>
      </c>
      <c r="BB1422" s="58" t="n">
        <f aca="false">IF(AND(OR(BY1422="L1",BY1422="L23"),AX1422&gt;0),SUMIFS($AX$7:$AX$1843,$BY$7:$BY$1843,BY1422,$BA$7:$BA$1843,"&gt;"&amp;BA1422)+SUMIFS($AX$7:$AX$1843,$BY$7:$BY$1843,BY1422,$BA$7:$BA$1843,BA1422,$BQ$7:$BQ$1843,"&lt;="&amp;BQ1422),"")</f>
        <v>64.0915594067768</v>
      </c>
      <c r="BC1422" s="65" t="n">
        <f aca="false">IF(BB1422="",0,MAX(0,MIN(1,(IF(BY1422="L1",Parameter!$E$5,Parameter!$E$6+Parameter!$E$7)-(BB1422-AX1422))/AX1422)))</f>
        <v>1</v>
      </c>
      <c r="BD1422" s="55" t="str">
        <f aca="false">IF(AH1422&lt;=0,"",IF(BY1422="Aussen","Aussenlager",IF(BY1422="-","Nicht im Lift",IF(AM1422&gt;=1,"Lift",IF(AM1422&lt;=0,"Aussenlager","teilweise")))))</f>
        <v>Lift</v>
      </c>
      <c r="BE1422" s="55" t="str">
        <f aca="false">IF(AP1422&lt;=0,"",IF(BY1422="Aussen","Aussenlager",IF(BY1422="-","Nicht im Lift",IF(AU1422&gt;=1,"Lift",IF(AU1422&lt;=0,"Aussenlager","teilweise")))))</f>
        <v>Lift</v>
      </c>
      <c r="BF1422" s="55" t="str">
        <f aca="false">IF(AX1422&lt;=0,"",IF(BY1422="Aussen","Aussenlager",IF(BY1422="-","Nicht im Lift",IF(BC1422&gt;=1,"Lift",IF(BC1422&lt;=0,"Aussenlager","teilweise")))))</f>
        <v>Lift</v>
      </c>
      <c r="BG1422" s="55" t="str">
        <f aca="false">IF(A1422="","",IF(BP1422=1,"Neu; ","")&amp;IF(AND(BP1422=0,BK1422&lt;0),"negativer Bestand (Export "&amp;BK1422&amp;"); ","")&amp;IF(J1422&lt;=0,"Kein Verbrauch; ","")&amp;IF(CH1422&gt;0,"Lift "&amp;W1422&amp;" lt. Liftbericht (Fach "&amp;X1422&amp;" Stk); ",IF(BU1422=1,"Gebinde geschätzt ("&amp;T1422&amp;"); ",IF(BT1422=1,"Lose – Tablare geschätzt; ","")))&amp;IF(H1422&gt;AR1422,"Überbestand "&amp;ROUND(H1422-AR1422,0)&amp;" Stk / CHF "&amp;ROUND((H1422-AR1422)*G1422,0)&amp;"; ","")&amp;IF(AND(CA1422=1,CB1422&lt;CC1422),"MAX &lt; MB+LG; ","")&amp;IF(AND(CG1422&gt;0,CF1422*10&gt;CG1422),"zu hoch für Tablar; ","")&amp;IF(AND(BP1422=0,OR(CA1422=1,AA1422&lt;&gt;"",U1422&lt;&gt;"",V1422&lt;&gt;"",AB1422&lt;&gt;"")),"manuell übersteuert; ","")&amp;IF(AND(BT1422=0,R1422=0),"Gebinde unbekannt / Stellmass fehlt; ","")&amp;IF(AND(BT1422=0,N(V1422)&lt;=0,N(Q1422)&lt;=0),"Menge pro Gebinde fehlt (Ist = 1 Gebinde); ","")&amp;BO1422)</f>
        <v>negativer Bestand (Export -9); </v>
      </c>
      <c r="BH1422" s="55"/>
      <c r="BI1422" s="55"/>
      <c r="BJ1422" s="62"/>
      <c r="BK1422" s="57" t="n">
        <v>-9</v>
      </c>
      <c r="BL1422" s="57" t="n">
        <v>16</v>
      </c>
      <c r="BM1422" s="56" t="n">
        <v>-6043.77</v>
      </c>
      <c r="BN1422" s="57" t="n">
        <v>4</v>
      </c>
      <c r="BO1422" s="55"/>
      <c r="BP1422" s="60" t="n">
        <v>0</v>
      </c>
      <c r="BQ1422" s="60" t="n">
        <v>1422</v>
      </c>
      <c r="BR1422" s="55" t="str">
        <f aca="false">IF(U1422&lt;&gt;"",UPPER(TRIM(U1422)),IF(BU1422=1,UPPER(VLOOKUP(T1422,Parameter!$I$27:$K$29,2,0)),IF(P1422="","LOSE",P1422)))</f>
        <v>S62</v>
      </c>
      <c r="BS1422" s="57" t="n">
        <f aca="false">IF(BR1422="LOSE",1,IF(N(V1422)&gt;0,V1422,IF(BU1422=1,MAX(1,N(VLOOKUP(T1422,Parameter!$I$27:$K$29,3,0)),H1422,N(N1422)),IF(N(Q1422)&gt;0,Q1422,MAX(1,H1422)))))</f>
        <v>8</v>
      </c>
      <c r="BT1422" s="60" t="n">
        <f aca="false">IF(BR1422="LOSE",1,0)</f>
        <v>0</v>
      </c>
      <c r="BU1422" s="60" t="n">
        <f aca="false">IF(AND(U1422="",OR(P1422="",P1422="LOSE"),T1422&lt;&gt;"",N(S1422)&lt;=0,ISNUMBER(MATCH(T1422,Parameter!$I$27:$I$29,0))),1,0)</f>
        <v>0</v>
      </c>
      <c r="BV1422" s="55" t="str">
        <f aca="false">IF(AND(Parameter!$B$19="Ja",E1422&lt;&gt;"",ISNUMBER(MATCH(E1422,Parameter!$I$35:$I$52,0))),VLOOKUP(E1422,Parameter!$I$35:$J$52,2,0),IFERROR(VLOOKUP(D1422,Parameter!$A$35:$C$64,2,0),"Nein"))</f>
        <v>2+3</v>
      </c>
      <c r="BW1422" s="59" t="n">
        <f aca="false">IF(BT1422=0,0,IF(N(S1422)&gt;0,S1422,IFERROR(VLOOKUP(D1422,Parameter!$A$35:$C$64,3,0)+0,0)))</f>
        <v>0</v>
      </c>
      <c r="BX1422" s="55" t="n">
        <f aca="false">IF(AA1422&lt;&gt;"",AA1422,Z1422)</f>
        <v>2</v>
      </c>
      <c r="BY1422" s="55" t="str">
        <f aca="false">IF(BX1422=1,"L1",IF(OR(BX1422=2,BX1422=3),"L23",IF(BX1422="Aussen","Aussen","-")))</f>
        <v>L23</v>
      </c>
      <c r="BZ1422" s="66" t="n">
        <f aca="false">IF(N(AB1422)&gt;0,AB1422,0)</f>
        <v>0</v>
      </c>
      <c r="CA1422" s="60" t="n">
        <f aca="false">IF(ISNUMBER(AE1422),1,0)</f>
        <v>0</v>
      </c>
      <c r="CB1422" s="57" t="n">
        <f aca="false">N(AE1422)</f>
        <v>0</v>
      </c>
      <c r="CC1422" s="57" t="n">
        <f aca="false">N(M1422)+N(N1422)</f>
        <v>5</v>
      </c>
      <c r="CD1422" s="57" t="n">
        <f aca="false">ROUNDUP(H1422/BS1422,0)</f>
        <v>1</v>
      </c>
      <c r="CE1422" s="57" t="n">
        <f aca="false">ROUNDUP(CB1422/BS1422,0)</f>
        <v>0</v>
      </c>
      <c r="CF1422" s="60" t="n">
        <f aca="false">IF(BT1422=1,0,IFERROR(VLOOKUP(BR1422,'Gebinde-Kategorie'!$A$5:$M$45,5,0)+0,0))</f>
        <v>21</v>
      </c>
      <c r="CG1422" s="60" t="n">
        <f aca="false">IFERROR(IF(OR(BX1422=1,BX1422=2,BX1422=3),N(INDEX(Parameter!$I$5:$I$7,BX1422)),0),0)</f>
        <v>0</v>
      </c>
      <c r="CH1422" s="59" t="n">
        <f aca="false">IF(AND(Parameter!$B$21="Ja",ISNUMBER(W1422),N(X1422)&gt;0),IFERROR(N(INDEX(Parameter!$L$5:$L$7,W1422))*INDEX(Parameter!$E$5:$E$7,W1422)*X1422/SUMIFS($X$7:$X$1843,$W$7:$W$1843,W1422),0),0)</f>
        <v>0</v>
      </c>
    </row>
    <row r="1423" customFormat="false" ht="15" hidden="false" customHeight="false" outlineLevel="0" collapsed="false">
      <c r="A1423" s="55" t="s">
        <v>2497</v>
      </c>
      <c r="B1423" s="55" t="s">
        <v>253</v>
      </c>
      <c r="C1423" s="55" t="s">
        <v>164</v>
      </c>
      <c r="D1423" s="55" t="s">
        <v>173</v>
      </c>
      <c r="E1423" s="55" t="s">
        <v>166</v>
      </c>
      <c r="F1423" s="55" t="s">
        <v>218</v>
      </c>
      <c r="G1423" s="56" t="n">
        <v>1464.77</v>
      </c>
      <c r="H1423" s="57" t="n">
        <f aca="false">MAX(0,IF(AND(Parameter!$B$21="Ja",ISNUMBER(Y1423)),Y1423,IF(Parameter!$B$20="Jahresanfang 2025 + Export",BL1423+BK1423,BK1423)))</f>
        <v>7</v>
      </c>
      <c r="I1423" s="57" t="n">
        <f aca="false">H1423*G1423</f>
        <v>10253.39</v>
      </c>
      <c r="J1423" s="57" t="n">
        <f aca="false">BN1423*Parameter!$B$18</f>
        <v>16</v>
      </c>
      <c r="K1423" s="58" t="n">
        <v>8</v>
      </c>
      <c r="L1423" s="59" t="n">
        <v>2</v>
      </c>
      <c r="M1423" s="57" t="n">
        <v>3</v>
      </c>
      <c r="N1423" s="57" t="n">
        <v>5</v>
      </c>
      <c r="O1423" s="60" t="n">
        <v>70</v>
      </c>
      <c r="P1423" s="55" t="s">
        <v>168</v>
      </c>
      <c r="Q1423" s="57"/>
      <c r="R1423" s="60" t="n">
        <f aca="false">IF(BT1423=1,0,IFERROR(VLOOKUP(BR1423,'Gebinde-Kategorie'!$A$5:$M$45,13,0)+0,0))</f>
        <v>0</v>
      </c>
      <c r="S1423" s="61"/>
      <c r="T1423" s="62"/>
      <c r="U1423" s="62"/>
      <c r="V1423" s="62"/>
      <c r="W1423" s="55" t="n">
        <v>1</v>
      </c>
      <c r="X1423" s="57" t="n">
        <v>10</v>
      </c>
      <c r="Y1423" s="57" t="n">
        <v>7</v>
      </c>
      <c r="Z1423" s="55" t="n">
        <f aca="false">IF(A1423="","",IF(AND(Parameter!$B$21="Ja",ISNUMBER(W1423)),W1423,IF(BV1423="2+3",IF(ISNUMBER(SEARCH("grosser Artikel",BO1423)),2,IFERROR(VLOOKUP(BR1423,Parameter!$F$35:$G$64,2,0),2)),IF(OR(BV1423="Nein",BV1423=""),"-",BV1423))))</f>
        <v>1</v>
      </c>
      <c r="AA1423" s="62"/>
      <c r="AB1423" s="63"/>
      <c r="AC1423" s="57" t="n">
        <f aca="false">AR1423</f>
        <v>8</v>
      </c>
      <c r="AD1423" s="57" t="n">
        <f aca="false">MAX(AR1423,H1423)</f>
        <v>8</v>
      </c>
      <c r="AE1423" s="64"/>
      <c r="AF1423" s="57" t="n">
        <f aca="false">IF(LEFT(Cockpit!$C$5,1)="A",H1423,IF(CA1423=1,CB1423,IF(LEFT(Cockpit!$C$5,1)="B",AJ1423,MAX(AJ1423,H1423))))</f>
        <v>7</v>
      </c>
      <c r="AG1423" s="57" t="n">
        <f aca="false">IF(BT1423=1,0,ROUNDUP(AF1423/BS1423,0))</f>
        <v>0</v>
      </c>
      <c r="AH1423" s="59" t="n">
        <f aca="false">IF(CH1423&gt;0,CH1423*MAX(1,AF1423/X1423),IF(BT1423=1,IF(AF1423&lt;=0,0,BW1423*MAX(1,IF(H1423&gt;0,AF1423/H1423,1))),IF(R1423&gt;0,AG1423/R1423,0))/MAX(0.1,N(Parameter!$M$21)))</f>
        <v>0.800376647834275</v>
      </c>
      <c r="AI1423" s="57" t="n">
        <f aca="false">AF1423*G1423</f>
        <v>10253.39</v>
      </c>
      <c r="AJ1423" s="57" t="n">
        <f aca="false">ROUNDUP(MAX(J1423/IF(BZ1423&gt;0,BZ1423,MAX(0.1,N(Cockpit!$C$6))),CC1423)/BS1423,0)*BS1423</f>
        <v>8</v>
      </c>
      <c r="AK1423" s="58" t="n">
        <f aca="false">IF(AH1423&gt;0,J1423/AH1423,-1)</f>
        <v>19.9905882352941</v>
      </c>
      <c r="AL1423" s="58" t="n">
        <f aca="false">IF(AND(OR(BY1423="L1",BY1423="L23"),AH1423&gt;0),SUMIFS($AH$7:$AH$1843,$BY$7:$BY$1843,BY1423,$AK$7:$AK$1843,"&gt;"&amp;AK1423)+SUMIFS($AH$7:$AH$1843,$BY$7:$BY$1843,BY1423,$AK$7:$AK$1843,AK1423,$BQ$7:$BQ$1843,"&lt;="&amp;BQ1423),"")</f>
        <v>21.6971638040172</v>
      </c>
      <c r="AM1423" s="65" t="n">
        <f aca="false">IF(AL1423="",0,MAX(0,MIN(1,(IF(BY1423="L1",Parameter!$E$5,Parameter!$E$6+Parameter!$E$7)-(AL1423-AH1423))/AH1423)))</f>
        <v>1</v>
      </c>
      <c r="AN1423" s="57" t="n">
        <f aca="false">IF(LEFT(Cockpit!$I$5,1)="A",H1423,IF(CA1423=1,CB1423,IF(LEFT(Cockpit!$I$5,1)="B",AR1423,MAX(AR1423,H1423))))</f>
        <v>8</v>
      </c>
      <c r="AO1423" s="57" t="n">
        <f aca="false">IF(BT1423=1,0,ROUNDUP(AN1423/BS1423,0))</f>
        <v>0</v>
      </c>
      <c r="AP1423" s="59" t="n">
        <f aca="false">IF(CH1423&gt;0,CH1423*MAX(1,AN1423/X1423),IF(BT1423=1,IF(AN1423&lt;=0,0,BW1423*MAX(1,IF(H1423&gt;0,AN1423/H1423,1))),IF(R1423&gt;0,AO1423/R1423,0))/MAX(0.1,N(Parameter!$M$21)))</f>
        <v>0.800376647834275</v>
      </c>
      <c r="AQ1423" s="57" t="n">
        <f aca="false">AN1423*G1423</f>
        <v>11718.16</v>
      </c>
      <c r="AR1423" s="57" t="n">
        <f aca="false">ROUNDUP(MAX(J1423/IF(BZ1423&gt;0,BZ1423,MAX(0.1,N(Cockpit!$I$6))),CC1423)/BS1423,0)*BS1423</f>
        <v>8</v>
      </c>
      <c r="AS1423" s="58" t="n">
        <f aca="false">IF(AP1423&gt;0,J1423/AP1423,-1)</f>
        <v>19.9905882352941</v>
      </c>
      <c r="AT1423" s="58" t="n">
        <f aca="false">IF(AND(OR(BY1423="L1",BY1423="L23"),AP1423&gt;0),SUMIFS($AP$7:$AP$1843,$BY$7:$BY$1843,BY1423,$AS$7:$AS$1843,"&gt;"&amp;AS1423)+SUMIFS($AP$7:$AP$1843,$BY$7:$BY$1843,BY1423,$AS$7:$AS$1843,AS1423,$BQ$7:$BQ$1843,"&lt;="&amp;BQ1423),"")</f>
        <v>34.9558194609779</v>
      </c>
      <c r="AU1423" s="65" t="n">
        <f aca="false">IF(AT1423="",0,MAX(0,MIN(1,(IF(BY1423="L1",Parameter!$E$5,Parameter!$E$6+Parameter!$E$7)-(AT1423-AP1423))/AP1423)))</f>
        <v>1</v>
      </c>
      <c r="AV1423" s="57" t="n">
        <f aca="false">IF(LEFT(Cockpit!$O$5,1)="A",H1423,IF(CA1423=1,CB1423,IF(LEFT(Cockpit!$O$5,1)="B",AZ1423,MAX(AZ1423,H1423))))</f>
        <v>8</v>
      </c>
      <c r="AW1423" s="57" t="n">
        <f aca="false">IF(BT1423=1,0,ROUNDUP(AV1423/BS1423,0))</f>
        <v>0</v>
      </c>
      <c r="AX1423" s="59" t="n">
        <f aca="false">IF(CH1423&gt;0,CH1423*MAX(1,AV1423/X1423),IF(BT1423=1,IF(AV1423&lt;=0,0,BW1423*MAX(1,IF(H1423&gt;0,AV1423/H1423,1))),IF(R1423&gt;0,AW1423/R1423,0))/MAX(0.1,N(Parameter!$M$21)))</f>
        <v>0.800376647834275</v>
      </c>
      <c r="AY1423" s="57" t="n">
        <f aca="false">AV1423*G1423</f>
        <v>11718.16</v>
      </c>
      <c r="AZ1423" s="57" t="n">
        <f aca="false">ROUNDUP(MAX(J1423/IF(BZ1423&gt;0,BZ1423,MAX(0.1,N(Cockpit!$O$6))),CC1423)/BS1423,0)*BS1423</f>
        <v>8</v>
      </c>
      <c r="BA1423" s="58" t="n">
        <f aca="false">IF(AX1423&gt;0,J1423/AX1423,-1)</f>
        <v>19.9905882352941</v>
      </c>
      <c r="BB1423" s="58" t="n">
        <f aca="false">IF(AND(OR(BY1423="L1",BY1423="L23"),AX1423&gt;0),SUMIFS($AX$7:$AX$1843,$BY$7:$BY$1843,BY1423,$BA$7:$BA$1843,"&gt;"&amp;BA1423)+SUMIFS($AX$7:$AX$1843,$BY$7:$BY$1843,BY1423,$BA$7:$BA$1843,BA1423,$BQ$7:$BQ$1843,"&lt;="&amp;BQ1423),"")</f>
        <v>28.6226309921962</v>
      </c>
      <c r="BC1423" s="65" t="n">
        <f aca="false">IF(BB1423="",0,MAX(0,MIN(1,(IF(BY1423="L1",Parameter!$E$5,Parameter!$E$6+Parameter!$E$7)-(BB1423-AX1423))/AX1423)))</f>
        <v>1</v>
      </c>
      <c r="BD1423" s="55" t="str">
        <f aca="false">IF(AH1423&lt;=0,"",IF(BY1423="Aussen","Aussenlager",IF(BY1423="-","Nicht im Lift",IF(AM1423&gt;=1,"Lift",IF(AM1423&lt;=0,"Aussenlager","teilweise")))))</f>
        <v>Lift</v>
      </c>
      <c r="BE1423" s="55" t="str">
        <f aca="false">IF(AP1423&lt;=0,"",IF(BY1423="Aussen","Aussenlager",IF(BY1423="-","Nicht im Lift",IF(AU1423&gt;=1,"Lift",IF(AU1423&lt;=0,"Aussenlager","teilweise")))))</f>
        <v>Lift</v>
      </c>
      <c r="BF1423" s="55" t="str">
        <f aca="false">IF(AX1423&lt;=0,"",IF(BY1423="Aussen","Aussenlager",IF(BY1423="-","Nicht im Lift",IF(BC1423&gt;=1,"Lift",IF(BC1423&lt;=0,"Aussenlager","teilweise")))))</f>
        <v>Lift</v>
      </c>
      <c r="BG1423" s="55" t="str">
        <f aca="false">IF(A1423="","",IF(BP1423=1,"Neu; ","")&amp;IF(AND(BP1423=0,BK1423&lt;0),"negativer Bestand (Export "&amp;BK1423&amp;"); ","")&amp;IF(J1423&lt;=0,"Kein Verbrauch; ","")&amp;IF(CH1423&gt;0,"Lift "&amp;W1423&amp;" lt. Liftbericht (Fach "&amp;X1423&amp;" Stk); ",IF(BU1423=1,"Gebinde geschätzt ("&amp;T1423&amp;"); ",IF(BT1423=1,"Lose – Tablare geschätzt; ","")))&amp;IF(H1423&gt;AR1423,"Überbestand "&amp;ROUND(H1423-AR1423,0)&amp;" Stk / CHF "&amp;ROUND((H1423-AR1423)*G1423,0)&amp;"; ","")&amp;IF(AND(CA1423=1,CB1423&lt;CC1423),"MAX &lt; MB+LG; ","")&amp;IF(AND(CG1423&gt;0,CF1423*10&gt;CG1423),"zu hoch für Tablar; ","")&amp;IF(AND(BP1423=0,OR(CA1423=1,AA1423&lt;&gt;"",U1423&lt;&gt;"",V1423&lt;&gt;"",AB1423&lt;&gt;"")),"manuell übersteuert; ","")&amp;IF(AND(BT1423=0,R1423=0),"Gebinde unbekannt / Stellmass fehlt; ","")&amp;IF(AND(BT1423=0,N(V1423)&lt;=0,N(Q1423)&lt;=0),"Menge pro Gebinde fehlt (Ist = 1 Gebinde); ","")&amp;BO1423)</f>
        <v>negativer Bestand (Export -5); Lift 1 lt. Liftbericht (Fach 10 Stk); </v>
      </c>
      <c r="BH1423" s="55"/>
      <c r="BI1423" s="55"/>
      <c r="BJ1423" s="62"/>
      <c r="BK1423" s="57" t="n">
        <v>-5</v>
      </c>
      <c r="BL1423" s="57" t="n">
        <v>12</v>
      </c>
      <c r="BM1423" s="56" t="n">
        <v>-6065.88999999999</v>
      </c>
      <c r="BN1423" s="57" t="n">
        <v>16</v>
      </c>
      <c r="BO1423" s="55"/>
      <c r="BP1423" s="60" t="n">
        <v>0</v>
      </c>
      <c r="BQ1423" s="60" t="n">
        <v>1423</v>
      </c>
      <c r="BR1423" s="55" t="str">
        <f aca="false">IF(U1423&lt;&gt;"",UPPER(TRIM(U1423)),IF(BU1423=1,UPPER(VLOOKUP(T1423,Parameter!$I$27:$K$29,2,0)),IF(P1423="","LOSE",P1423)))</f>
        <v>LOSE</v>
      </c>
      <c r="BS1423" s="57" t="n">
        <f aca="false">IF(BR1423="LOSE",1,IF(N(V1423)&gt;0,V1423,IF(BU1423=1,MAX(1,N(VLOOKUP(T1423,Parameter!$I$27:$K$29,3,0)),H1423,N(N1423)),IF(N(Q1423)&gt;0,Q1423,MAX(1,H1423)))))</f>
        <v>1</v>
      </c>
      <c r="BT1423" s="60" t="n">
        <f aca="false">IF(BR1423="LOSE",1,0)</f>
        <v>1</v>
      </c>
      <c r="BU1423" s="60" t="n">
        <f aca="false">IF(AND(U1423="",OR(P1423="",P1423="LOSE"),T1423&lt;&gt;"",N(S1423)&lt;=0,ISNUMBER(MATCH(T1423,Parameter!$I$27:$I$29,0))),1,0)</f>
        <v>0</v>
      </c>
      <c r="BV1423" s="55" t="n">
        <f aca="false">IF(AND(Parameter!$B$19="Ja",E1423&lt;&gt;"",ISNUMBER(MATCH(E1423,Parameter!$I$35:$I$52,0))),VLOOKUP(E1423,Parameter!$I$35:$J$52,2,0),IFERROR(VLOOKUP(D1423,Parameter!$A$35:$C$64,2,0),"Nein"))</f>
        <v>1</v>
      </c>
      <c r="BW1423" s="59" t="n">
        <f aca="false">IF(BT1423=0,0,IF(N(S1423)&gt;0,S1423,IFERROR(VLOOKUP(D1423,Parameter!$A$35:$C$64,3,0)+0,0)))</f>
        <v>0.15</v>
      </c>
      <c r="BX1423" s="55" t="n">
        <f aca="false">IF(AA1423&lt;&gt;"",AA1423,Z1423)</f>
        <v>1</v>
      </c>
      <c r="BY1423" s="55" t="str">
        <f aca="false">IF(BX1423=1,"L1",IF(OR(BX1423=2,BX1423=3),"L23",IF(BX1423="Aussen","Aussen","-")))</f>
        <v>L1</v>
      </c>
      <c r="BZ1423" s="66" t="n">
        <f aca="false">IF(N(AB1423)&gt;0,AB1423,0)</f>
        <v>0</v>
      </c>
      <c r="CA1423" s="60" t="n">
        <f aca="false">IF(ISNUMBER(AE1423),1,0)</f>
        <v>0</v>
      </c>
      <c r="CB1423" s="57" t="n">
        <f aca="false">N(AE1423)</f>
        <v>0</v>
      </c>
      <c r="CC1423" s="57" t="n">
        <f aca="false">N(M1423)+N(N1423)</f>
        <v>8</v>
      </c>
      <c r="CD1423" s="57" t="n">
        <f aca="false">ROUNDUP(H1423/BS1423,0)</f>
        <v>7</v>
      </c>
      <c r="CE1423" s="57" t="n">
        <f aca="false">ROUNDUP(CB1423/BS1423,0)</f>
        <v>0</v>
      </c>
      <c r="CF1423" s="60" t="n">
        <f aca="false">IF(BT1423=1,0,IFERROR(VLOOKUP(BR1423,'Gebinde-Kategorie'!$A$5:$M$45,5,0)+0,0))</f>
        <v>0</v>
      </c>
      <c r="CG1423" s="60" t="n">
        <f aca="false">IFERROR(IF(OR(BX1423=1,BX1423=2,BX1423=3),N(INDEX(Parameter!$I$5:$I$7,BX1423)),0),0)</f>
        <v>0</v>
      </c>
      <c r="CH1423" s="59" t="n">
        <f aca="false">IF(AND(Parameter!$B$21="Ja",ISNUMBER(W1423),N(X1423)&gt;0),IFERROR(N(INDEX(Parameter!$L$5:$L$7,W1423))*INDEX(Parameter!$E$5:$E$7,W1423)*X1423/SUMIFS($X$7:$X$1843,$W$7:$W$1843,W1423),0),0)</f>
        <v>0.800376647834275</v>
      </c>
    </row>
    <row r="1424" customFormat="false" ht="15" hidden="false" customHeight="false" outlineLevel="0" collapsed="false">
      <c r="A1424" s="55" t="s">
        <v>2498</v>
      </c>
      <c r="B1424" s="55" t="s">
        <v>2499</v>
      </c>
      <c r="C1424" s="55" t="s">
        <v>164</v>
      </c>
      <c r="D1424" s="55" t="s">
        <v>165</v>
      </c>
      <c r="E1424" s="55"/>
      <c r="F1424" s="55" t="s">
        <v>218</v>
      </c>
      <c r="G1424" s="56" t="n">
        <v>2751.82</v>
      </c>
      <c r="H1424" s="57" t="n">
        <f aca="false">MAX(0,IF(AND(Parameter!$B$21="Ja",ISNUMBER(Y1424)),Y1424,IF(Parameter!$B$20="Jahresanfang 2025 + Export",BL1424+BK1424,BK1424)))</f>
        <v>0</v>
      </c>
      <c r="I1424" s="57" t="n">
        <f aca="false">H1424*G1424</f>
        <v>0</v>
      </c>
      <c r="J1424" s="57" t="n">
        <f aca="false">BN1424*Parameter!$B$18</f>
        <v>19</v>
      </c>
      <c r="K1424" s="58" t="n">
        <v>9.5</v>
      </c>
      <c r="L1424" s="59" t="n">
        <v>2</v>
      </c>
      <c r="M1424" s="57" t="n">
        <v>5</v>
      </c>
      <c r="N1424" s="57" t="n">
        <v>5</v>
      </c>
      <c r="O1424" s="60" t="n">
        <v>74</v>
      </c>
      <c r="P1424" s="55" t="s">
        <v>168</v>
      </c>
      <c r="Q1424" s="57"/>
      <c r="R1424" s="60" t="n">
        <f aca="false">IF(BT1424=1,0,IFERROR(VLOOKUP(BR1424,'Gebinde-Kategorie'!$A$5:$M$45,13,0)+0,0))</f>
        <v>0</v>
      </c>
      <c r="S1424" s="61"/>
      <c r="T1424" s="62"/>
      <c r="U1424" s="62"/>
      <c r="V1424" s="62"/>
      <c r="W1424" s="55" t="n">
        <v>1</v>
      </c>
      <c r="X1424" s="57" t="n">
        <v>11</v>
      </c>
      <c r="Y1424" s="57" t="n">
        <v>0</v>
      </c>
      <c r="Z1424" s="55" t="n">
        <f aca="false">IF(A1424="","",IF(AND(Parameter!$B$21="Ja",ISNUMBER(W1424)),W1424,IF(BV1424="2+3",IF(ISNUMBER(SEARCH("grosser Artikel",BO1424)),2,IFERROR(VLOOKUP(BR1424,Parameter!$F$35:$G$64,2,0),2)),IF(OR(BV1424="Nein",BV1424=""),"-",BV1424))))</f>
        <v>1</v>
      </c>
      <c r="AA1424" s="62"/>
      <c r="AB1424" s="63"/>
      <c r="AC1424" s="57" t="n">
        <f aca="false">AR1424</f>
        <v>10</v>
      </c>
      <c r="AD1424" s="57" t="n">
        <f aca="false">MAX(AR1424,H1424)</f>
        <v>10</v>
      </c>
      <c r="AE1424" s="64"/>
      <c r="AF1424" s="57" t="n">
        <f aca="false">IF(LEFT(Cockpit!$C$5,1)="A",H1424,IF(CA1424=1,CB1424,IF(LEFT(Cockpit!$C$5,1)="B",AJ1424,MAX(AJ1424,H1424))))</f>
        <v>0</v>
      </c>
      <c r="AG1424" s="57" t="n">
        <f aca="false">IF(BT1424=1,0,ROUNDUP(AF1424/BS1424,0))</f>
        <v>0</v>
      </c>
      <c r="AH1424" s="59" t="n">
        <f aca="false">IF(CH1424&gt;0,CH1424*MAX(1,AF1424/X1424),IF(BT1424=1,IF(AF1424&lt;=0,0,BW1424*MAX(1,IF(H1424&gt;0,AF1424/H1424,1))),IF(R1424&gt;0,AG1424/R1424,0))/MAX(0.1,N(Parameter!$M$21)))</f>
        <v>0.880414312617702</v>
      </c>
      <c r="AI1424" s="57" t="n">
        <f aca="false">AF1424*G1424</f>
        <v>0</v>
      </c>
      <c r="AJ1424" s="57" t="n">
        <f aca="false">ROUNDUP(MAX(J1424/IF(BZ1424&gt;0,BZ1424,MAX(0.1,N(Cockpit!$C$6))),CC1424)/BS1424,0)*BS1424</f>
        <v>10</v>
      </c>
      <c r="AK1424" s="58" t="n">
        <f aca="false">IF(AH1424&gt;0,J1424/AH1424,-1)</f>
        <v>21.5807486631016</v>
      </c>
      <c r="AL1424" s="58" t="n">
        <f aca="false">IF(AND(OR(BY1424="L1",BY1424="L23"),AH1424&gt;0),SUMIFS($AH$7:$AH$1843,$BY$7:$BY$1843,BY1424,$AK$7:$AK$1843,"&gt;"&amp;AK1424)+SUMIFS($AH$7:$AH$1843,$BY$7:$BY$1843,BY1424,$AK$7:$AK$1843,AK1424,$BQ$7:$BQ$1843,"&lt;="&amp;BQ1424),"")</f>
        <v>20.8967871561829</v>
      </c>
      <c r="AM1424" s="65" t="n">
        <f aca="false">IF(AL1424="",0,MAX(0,MIN(1,(IF(BY1424="L1",Parameter!$E$5,Parameter!$E$6+Parameter!$E$7)-(AL1424-AH1424))/AH1424)))</f>
        <v>1</v>
      </c>
      <c r="AN1424" s="57" t="n">
        <f aca="false">IF(LEFT(Cockpit!$I$5,1)="A",H1424,IF(CA1424=1,CB1424,IF(LEFT(Cockpit!$I$5,1)="B",AR1424,MAX(AR1424,H1424))))</f>
        <v>10</v>
      </c>
      <c r="AO1424" s="57" t="n">
        <f aca="false">IF(BT1424=1,0,ROUNDUP(AN1424/BS1424,0))</f>
        <v>0</v>
      </c>
      <c r="AP1424" s="59" t="n">
        <f aca="false">IF(CH1424&gt;0,CH1424*MAX(1,AN1424/X1424),IF(BT1424=1,IF(AN1424&lt;=0,0,BW1424*MAX(1,IF(H1424&gt;0,AN1424/H1424,1))),IF(R1424&gt;0,AO1424/R1424,0))/MAX(0.1,N(Parameter!$M$21)))</f>
        <v>0.880414312617702</v>
      </c>
      <c r="AQ1424" s="57" t="n">
        <f aca="false">AN1424*G1424</f>
        <v>27518.2</v>
      </c>
      <c r="AR1424" s="57" t="n">
        <f aca="false">ROUNDUP(MAX(J1424/IF(BZ1424&gt;0,BZ1424,MAX(0.1,N(Cockpit!$I$6))),CC1424)/BS1424,0)*BS1424</f>
        <v>10</v>
      </c>
      <c r="AS1424" s="58" t="n">
        <f aca="false">IF(AP1424&gt;0,J1424/AP1424,-1)</f>
        <v>21.5807486631016</v>
      </c>
      <c r="AT1424" s="58" t="n">
        <f aca="false">IF(AND(OR(BY1424="L1",BY1424="L23"),AP1424&gt;0),SUMIFS($AP$7:$AP$1843,$BY$7:$BY$1843,BY1424,$AS$7:$AS$1843,"&gt;"&amp;AS1424)+SUMIFS($AP$7:$AP$1843,$BY$7:$BY$1843,BY1424,$AS$7:$AS$1843,AS1424,$BQ$7:$BQ$1843,"&lt;="&amp;BQ1424),"")</f>
        <v>34.1554428131436</v>
      </c>
      <c r="AU1424" s="65" t="n">
        <f aca="false">IF(AT1424="",0,MAX(0,MIN(1,(IF(BY1424="L1",Parameter!$E$5,Parameter!$E$6+Parameter!$E$7)-(AT1424-AP1424))/AP1424)))</f>
        <v>1</v>
      </c>
      <c r="AV1424" s="57" t="n">
        <f aca="false">IF(LEFT(Cockpit!$O$5,1)="A",H1424,IF(CA1424=1,CB1424,IF(LEFT(Cockpit!$O$5,1)="B",AZ1424,MAX(AZ1424,H1424))))</f>
        <v>10</v>
      </c>
      <c r="AW1424" s="57" t="n">
        <f aca="false">IF(BT1424=1,0,ROUNDUP(AV1424/BS1424,0))</f>
        <v>0</v>
      </c>
      <c r="AX1424" s="59" t="n">
        <f aca="false">IF(CH1424&gt;0,CH1424*MAX(1,AV1424/X1424),IF(BT1424=1,IF(AV1424&lt;=0,0,BW1424*MAX(1,IF(H1424&gt;0,AV1424/H1424,1))),IF(R1424&gt;0,AW1424/R1424,0))/MAX(0.1,N(Parameter!$M$21)))</f>
        <v>0.880414312617702</v>
      </c>
      <c r="AY1424" s="57" t="n">
        <f aca="false">AV1424*G1424</f>
        <v>27518.2</v>
      </c>
      <c r="AZ1424" s="57" t="n">
        <f aca="false">ROUNDUP(MAX(J1424/IF(BZ1424&gt;0,BZ1424,MAX(0.1,N(Cockpit!$O$6))),CC1424)/BS1424,0)*BS1424</f>
        <v>10</v>
      </c>
      <c r="BA1424" s="58" t="n">
        <f aca="false">IF(AX1424&gt;0,J1424/AX1424,-1)</f>
        <v>21.5807486631016</v>
      </c>
      <c r="BB1424" s="58" t="n">
        <f aca="false">IF(AND(OR(BY1424="L1",BY1424="L23"),AX1424&gt;0),SUMIFS($AX$7:$AX$1843,$BY$7:$BY$1843,BY1424,$BA$7:$BA$1843,"&gt;"&amp;BA1424)+SUMIFS($AX$7:$AX$1843,$BY$7:$BY$1843,BY1424,$BA$7:$BA$1843,BA1424,$BQ$7:$BQ$1843,"&lt;="&amp;BQ1424),"")</f>
        <v>27.8222543443619</v>
      </c>
      <c r="BC1424" s="65" t="n">
        <f aca="false">IF(BB1424="",0,MAX(0,MIN(1,(IF(BY1424="L1",Parameter!$E$5,Parameter!$E$6+Parameter!$E$7)-(BB1424-AX1424))/AX1424)))</f>
        <v>1</v>
      </c>
      <c r="BD1424" s="55" t="str">
        <f aca="false">IF(AH1424&lt;=0,"",IF(BY1424="Aussen","Aussenlager",IF(BY1424="-","Nicht im Lift",IF(AM1424&gt;=1,"Lift",IF(AM1424&lt;=0,"Aussenlager","teilweise")))))</f>
        <v>Lift</v>
      </c>
      <c r="BE1424" s="55" t="str">
        <f aca="false">IF(AP1424&lt;=0,"",IF(BY1424="Aussen","Aussenlager",IF(BY1424="-","Nicht im Lift",IF(AU1424&gt;=1,"Lift",IF(AU1424&lt;=0,"Aussenlager","teilweise")))))</f>
        <v>Lift</v>
      </c>
      <c r="BF1424" s="55" t="str">
        <f aca="false">IF(AX1424&lt;=0,"",IF(BY1424="Aussen","Aussenlager",IF(BY1424="-","Nicht im Lift",IF(BC1424&gt;=1,"Lift",IF(BC1424&lt;=0,"Aussenlager","teilweise")))))</f>
        <v>Lift</v>
      </c>
      <c r="BG1424" s="55" t="str">
        <f aca="false">IF(A1424="","",IF(BP1424=1,"Neu; ","")&amp;IF(AND(BP1424=0,BK1424&lt;0),"negativer Bestand (Export "&amp;BK1424&amp;"); ","")&amp;IF(J1424&lt;=0,"Kein Verbrauch; ","")&amp;IF(CH1424&gt;0,"Lift "&amp;W1424&amp;" lt. Liftbericht (Fach "&amp;X1424&amp;" Stk); ",IF(BU1424=1,"Gebinde geschätzt ("&amp;T1424&amp;"); ",IF(BT1424=1,"Lose – Tablare geschätzt; ","")))&amp;IF(H1424&gt;AR1424,"Überbestand "&amp;ROUND(H1424-AR1424,0)&amp;" Stk / CHF "&amp;ROUND((H1424-AR1424)*G1424,0)&amp;"; ","")&amp;IF(AND(CA1424=1,CB1424&lt;CC1424),"MAX &lt; MB+LG; ","")&amp;IF(AND(CG1424&gt;0,CF1424*10&gt;CG1424),"zu hoch für Tablar; ","")&amp;IF(AND(BP1424=0,OR(CA1424=1,AA1424&lt;&gt;"",U1424&lt;&gt;"",V1424&lt;&gt;"",AB1424&lt;&gt;"")),"manuell übersteuert; ","")&amp;IF(AND(BT1424=0,R1424=0),"Gebinde unbekannt / Stellmass fehlt; ","")&amp;IF(AND(BT1424=0,N(V1424)&lt;=0,N(Q1424)&lt;=0),"Menge pro Gebinde fehlt (Ist = 1 Gebinde); ","")&amp;BO1424)</f>
        <v>negativer Bestand (Export -4); Lift 1 lt. Liftbericht (Fach 11 Stk); </v>
      </c>
      <c r="BH1424" s="55"/>
      <c r="BI1424" s="55"/>
      <c r="BJ1424" s="62"/>
      <c r="BK1424" s="57" t="n">
        <v>-4</v>
      </c>
      <c r="BL1424" s="57" t="n">
        <v>7</v>
      </c>
      <c r="BM1424" s="56" t="n">
        <v>-6384.13</v>
      </c>
      <c r="BN1424" s="57" t="n">
        <v>19</v>
      </c>
      <c r="BO1424" s="55"/>
      <c r="BP1424" s="60" t="n">
        <v>0</v>
      </c>
      <c r="BQ1424" s="60" t="n">
        <v>1424</v>
      </c>
      <c r="BR1424" s="55" t="str">
        <f aca="false">IF(U1424&lt;&gt;"",UPPER(TRIM(U1424)),IF(BU1424=1,UPPER(VLOOKUP(T1424,Parameter!$I$27:$K$29,2,0)),IF(P1424="","LOSE",P1424)))</f>
        <v>LOSE</v>
      </c>
      <c r="BS1424" s="57" t="n">
        <f aca="false">IF(BR1424="LOSE",1,IF(N(V1424)&gt;0,V1424,IF(BU1424=1,MAX(1,N(VLOOKUP(T1424,Parameter!$I$27:$K$29,3,0)),H1424,N(N1424)),IF(N(Q1424)&gt;0,Q1424,MAX(1,H1424)))))</f>
        <v>1</v>
      </c>
      <c r="BT1424" s="60" t="n">
        <f aca="false">IF(BR1424="LOSE",1,0)</f>
        <v>1</v>
      </c>
      <c r="BU1424" s="60" t="n">
        <f aca="false">IF(AND(U1424="",OR(P1424="",P1424="LOSE"),T1424&lt;&gt;"",N(S1424)&lt;=0,ISNUMBER(MATCH(T1424,Parameter!$I$27:$I$29,0))),1,0)</f>
        <v>0</v>
      </c>
      <c r="BV1424" s="55" t="n">
        <f aca="false">IF(AND(Parameter!$B$19="Ja",E1424&lt;&gt;"",ISNUMBER(MATCH(E1424,Parameter!$I$35:$I$52,0))),VLOOKUP(E1424,Parameter!$I$35:$J$52,2,0),IFERROR(VLOOKUP(D1424,Parameter!$A$35:$C$64,2,0),"Nein"))</f>
        <v>1</v>
      </c>
      <c r="BW1424" s="59" t="n">
        <f aca="false">IF(BT1424=0,0,IF(N(S1424)&gt;0,S1424,IFERROR(VLOOKUP(D1424,Parameter!$A$35:$C$64,3,0)+0,0)))</f>
        <v>1</v>
      </c>
      <c r="BX1424" s="55" t="n">
        <f aca="false">IF(AA1424&lt;&gt;"",AA1424,Z1424)</f>
        <v>1</v>
      </c>
      <c r="BY1424" s="55" t="str">
        <f aca="false">IF(BX1424=1,"L1",IF(OR(BX1424=2,BX1424=3),"L23",IF(BX1424="Aussen","Aussen","-")))</f>
        <v>L1</v>
      </c>
      <c r="BZ1424" s="66" t="n">
        <f aca="false">IF(N(AB1424)&gt;0,AB1424,0)</f>
        <v>0</v>
      </c>
      <c r="CA1424" s="60" t="n">
        <f aca="false">IF(ISNUMBER(AE1424),1,0)</f>
        <v>0</v>
      </c>
      <c r="CB1424" s="57" t="n">
        <f aca="false">N(AE1424)</f>
        <v>0</v>
      </c>
      <c r="CC1424" s="57" t="n">
        <f aca="false">N(M1424)+N(N1424)</f>
        <v>10</v>
      </c>
      <c r="CD1424" s="57" t="n">
        <f aca="false">ROUNDUP(H1424/BS1424,0)</f>
        <v>0</v>
      </c>
      <c r="CE1424" s="57" t="n">
        <f aca="false">ROUNDUP(CB1424/BS1424,0)</f>
        <v>0</v>
      </c>
      <c r="CF1424" s="60" t="n">
        <f aca="false">IF(BT1424=1,0,IFERROR(VLOOKUP(BR1424,'Gebinde-Kategorie'!$A$5:$M$45,5,0)+0,0))</f>
        <v>0</v>
      </c>
      <c r="CG1424" s="60" t="n">
        <f aca="false">IFERROR(IF(OR(BX1424=1,BX1424=2,BX1424=3),N(INDEX(Parameter!$I$5:$I$7,BX1424)),0),0)</f>
        <v>0</v>
      </c>
      <c r="CH1424" s="59" t="n">
        <f aca="false">IF(AND(Parameter!$B$21="Ja",ISNUMBER(W1424),N(X1424)&gt;0),IFERROR(N(INDEX(Parameter!$L$5:$L$7,W1424))*INDEX(Parameter!$E$5:$E$7,W1424)*X1424/SUMIFS($X$7:$X$1843,$W$7:$W$1843,W1424),0),0)</f>
        <v>0.880414312617702</v>
      </c>
    </row>
    <row r="1425" customFormat="false" ht="15" hidden="false" customHeight="false" outlineLevel="0" collapsed="false">
      <c r="A1425" s="55" t="s">
        <v>2500</v>
      </c>
      <c r="B1425" s="55" t="s">
        <v>1914</v>
      </c>
      <c r="C1425" s="55" t="s">
        <v>456</v>
      </c>
      <c r="D1425" s="55" t="s">
        <v>184</v>
      </c>
      <c r="E1425" s="55"/>
      <c r="F1425" s="55" t="s">
        <v>218</v>
      </c>
      <c r="G1425" s="56" t="n">
        <v>639.83</v>
      </c>
      <c r="H1425" s="57" t="n">
        <f aca="false">MAX(0,IF(AND(Parameter!$B$21="Ja",ISNUMBER(Y1425)),Y1425,IF(Parameter!$B$20="Jahresanfang 2025 + Export",BL1425+BK1425,BK1425)))</f>
        <v>10</v>
      </c>
      <c r="I1425" s="57" t="n">
        <f aca="false">H1425*G1425</f>
        <v>6398.3</v>
      </c>
      <c r="J1425" s="57" t="n">
        <f aca="false">BN1425*Parameter!$B$18</f>
        <v>10</v>
      </c>
      <c r="K1425" s="58" t="n">
        <v>10</v>
      </c>
      <c r="L1425" s="59" t="n">
        <v>1</v>
      </c>
      <c r="M1425" s="57" t="n">
        <v>1</v>
      </c>
      <c r="N1425" s="57" t="n">
        <v>10</v>
      </c>
      <c r="O1425" s="60" t="n">
        <v>56</v>
      </c>
      <c r="P1425" s="55" t="s">
        <v>168</v>
      </c>
      <c r="Q1425" s="57"/>
      <c r="R1425" s="60" t="n">
        <f aca="false">IF(BT1425=1,0,IFERROR(VLOOKUP(BR1425,'Gebinde-Kategorie'!$A$5:$M$45,13,0)+0,0))</f>
        <v>12</v>
      </c>
      <c r="S1425" s="61"/>
      <c r="T1425" s="62" t="s">
        <v>179</v>
      </c>
      <c r="U1425" s="62"/>
      <c r="V1425" s="62"/>
      <c r="W1425" s="55"/>
      <c r="X1425" s="57"/>
      <c r="Y1425" s="57"/>
      <c r="Z1425" s="55" t="n">
        <f aca="false">IF(A1425="","",IF(AND(Parameter!$B$21="Ja",ISNUMBER(W1425)),W1425,IF(BV1425="2+3",IF(ISNUMBER(SEARCH("grosser Artikel",BO1425)),2,IFERROR(VLOOKUP(BR1425,Parameter!$F$35:$G$64,2,0),2)),IF(OR(BV1425="Nein",BV1425=""),"-",BV1425))))</f>
        <v>2</v>
      </c>
      <c r="AA1425" s="62"/>
      <c r="AB1425" s="63"/>
      <c r="AC1425" s="57" t="n">
        <f aca="false">AR1425</f>
        <v>20</v>
      </c>
      <c r="AD1425" s="57" t="n">
        <f aca="false">MAX(AR1425,H1425)</f>
        <v>20</v>
      </c>
      <c r="AE1425" s="64"/>
      <c r="AF1425" s="57" t="n">
        <f aca="false">IF(LEFT(Cockpit!$C$5,1)="A",H1425,IF(CA1425=1,CB1425,IF(LEFT(Cockpit!$C$5,1)="B",AJ1425,MAX(AJ1425,H1425))))</f>
        <v>10</v>
      </c>
      <c r="AG1425" s="57" t="n">
        <f aca="false">IF(BT1425=1,0,ROUNDUP(AF1425/BS1425,0))</f>
        <v>1</v>
      </c>
      <c r="AH1425" s="59" t="n">
        <f aca="false">IF(CH1425&gt;0,CH1425*MAX(1,AF1425/X1425),IF(BT1425=1,IF(AF1425&lt;=0,0,BW1425*MAX(1,IF(H1425&gt;0,AF1425/H1425,1))),IF(R1425&gt;0,AG1425/R1425,0))/MAX(0.1,N(Parameter!$M$21)))</f>
        <v>0.0833333333333333</v>
      </c>
      <c r="AI1425" s="57" t="n">
        <f aca="false">AF1425*G1425</f>
        <v>6398.3</v>
      </c>
      <c r="AJ1425" s="57" t="n">
        <f aca="false">ROUNDUP(MAX(J1425/IF(BZ1425&gt;0,BZ1425,MAX(0.1,N(Cockpit!$C$6))),CC1425)/BS1425,0)*BS1425</f>
        <v>20</v>
      </c>
      <c r="AK1425" s="58" t="n">
        <f aca="false">IF(AH1425&gt;0,J1425/AH1425,-1)</f>
        <v>120</v>
      </c>
      <c r="AL1425" s="58" t="n">
        <f aca="false">IF(AND(OR(BY1425="L1",BY1425="L23"),AH1425&gt;0),SUMIFS($AH$7:$AH$1843,$BY$7:$BY$1843,BY1425,$AK$7:$AK$1843,"&gt;"&amp;AK1425)+SUMIFS($AH$7:$AH$1843,$BY$7:$BY$1843,BY1425,$AK$7:$AK$1843,AK1425,$BQ$7:$BQ$1843,"&lt;="&amp;BQ1425),"")</f>
        <v>36.9572565116043</v>
      </c>
      <c r="AM1425" s="65" t="n">
        <f aca="false">IF(AL1425="",0,MAX(0,MIN(1,(IF(BY1425="L1",Parameter!$E$5,Parameter!$E$6+Parameter!$E$7)-(AL1425-AH1425))/AH1425)))</f>
        <v>1</v>
      </c>
      <c r="AN1425" s="57" t="n">
        <f aca="false">IF(LEFT(Cockpit!$I$5,1)="A",H1425,IF(CA1425=1,CB1425,IF(LEFT(Cockpit!$I$5,1)="B",AR1425,MAX(AR1425,H1425))))</f>
        <v>20</v>
      </c>
      <c r="AO1425" s="57" t="n">
        <f aca="false">IF(BT1425=1,0,ROUNDUP(AN1425/BS1425,0))</f>
        <v>2</v>
      </c>
      <c r="AP1425" s="59" t="n">
        <f aca="false">IF(CH1425&gt;0,CH1425*MAX(1,AN1425/X1425),IF(BT1425=1,IF(AN1425&lt;=0,0,BW1425*MAX(1,IF(H1425&gt;0,AN1425/H1425,1))),IF(R1425&gt;0,AO1425/R1425,0))/MAX(0.1,N(Parameter!$M$21)))</f>
        <v>0.166666666666667</v>
      </c>
      <c r="AQ1425" s="57" t="n">
        <f aca="false">AN1425*G1425</f>
        <v>12796.6</v>
      </c>
      <c r="AR1425" s="57" t="n">
        <f aca="false">ROUNDUP(MAX(J1425/IF(BZ1425&gt;0,BZ1425,MAX(0.1,N(Cockpit!$I$6))),CC1425)/BS1425,0)*BS1425</f>
        <v>20</v>
      </c>
      <c r="AS1425" s="58" t="n">
        <f aca="false">IF(AP1425&gt;0,J1425/AP1425,-1)</f>
        <v>60</v>
      </c>
      <c r="AT1425" s="58" t="n">
        <f aca="false">IF(AND(OR(BY1425="L1",BY1425="L23"),AP1425&gt;0),SUMIFS($AP$7:$AP$1843,$BY$7:$BY$1843,BY1425,$AS$7:$AS$1843,"&gt;"&amp;AS1425)+SUMIFS($AP$7:$AP$1843,$BY$7:$BY$1843,BY1425,$AS$7:$AS$1843,AS1425,$BQ$7:$BQ$1843,"&lt;="&amp;BQ1425),"")</f>
        <v>65.8835174487348</v>
      </c>
      <c r="AU1425" s="65" t="n">
        <f aca="false">IF(AT1425="",0,MAX(0,MIN(1,(IF(BY1425="L1",Parameter!$E$5,Parameter!$E$6+Parameter!$E$7)-(AT1425-AP1425))/AP1425)))</f>
        <v>1</v>
      </c>
      <c r="AV1425" s="57" t="n">
        <f aca="false">IF(LEFT(Cockpit!$O$5,1)="A",H1425,IF(CA1425=1,CB1425,IF(LEFT(Cockpit!$O$5,1)="B",AZ1425,MAX(AZ1425,H1425))))</f>
        <v>20</v>
      </c>
      <c r="AW1425" s="57" t="n">
        <f aca="false">IF(BT1425=1,0,ROUNDUP(AV1425/BS1425,0))</f>
        <v>2</v>
      </c>
      <c r="AX1425" s="59" t="n">
        <f aca="false">IF(CH1425&gt;0,CH1425*MAX(1,AV1425/X1425),IF(BT1425=1,IF(AV1425&lt;=0,0,BW1425*MAX(1,IF(H1425&gt;0,AV1425/H1425,1))),IF(R1425&gt;0,AW1425/R1425,0))/MAX(0.1,N(Parameter!$M$21)))</f>
        <v>0.166666666666667</v>
      </c>
      <c r="AY1425" s="57" t="n">
        <f aca="false">AV1425*G1425</f>
        <v>12796.6</v>
      </c>
      <c r="AZ1425" s="57" t="n">
        <f aca="false">ROUNDUP(MAX(J1425/IF(BZ1425&gt;0,BZ1425,MAX(0.1,N(Cockpit!$O$6))),CC1425)/BS1425,0)*BS1425</f>
        <v>20</v>
      </c>
      <c r="BA1425" s="58" t="n">
        <f aca="false">IF(AX1425&gt;0,J1425/AX1425,-1)</f>
        <v>60</v>
      </c>
      <c r="BB1425" s="58" t="n">
        <f aca="false">IF(AND(OR(BY1425="L1",BY1425="L23"),AX1425&gt;0),SUMIFS($AX$7:$AX$1843,$BY$7:$BY$1843,BY1425,$BA$7:$BA$1843,"&gt;"&amp;BA1425)+SUMIFS($AX$7:$AX$1843,$BY$7:$BY$1843,BY1425,$BA$7:$BA$1843,BA1425,$BQ$7:$BQ$1843,"&lt;="&amp;BQ1425),"")</f>
        <v>60.3800209452383</v>
      </c>
      <c r="BC1425" s="65" t="n">
        <f aca="false">IF(BB1425="",0,MAX(0,MIN(1,(IF(BY1425="L1",Parameter!$E$5,Parameter!$E$6+Parameter!$E$7)-(BB1425-AX1425))/AX1425)))</f>
        <v>1</v>
      </c>
      <c r="BD1425" s="55" t="str">
        <f aca="false">IF(AH1425&lt;=0,"",IF(BY1425="Aussen","Aussenlager",IF(BY1425="-","Nicht im Lift",IF(AM1425&gt;=1,"Lift",IF(AM1425&lt;=0,"Aussenlager","teilweise")))))</f>
        <v>Lift</v>
      </c>
      <c r="BE1425" s="55" t="str">
        <f aca="false">IF(AP1425&lt;=0,"",IF(BY1425="Aussen","Aussenlager",IF(BY1425="-","Nicht im Lift",IF(AU1425&gt;=1,"Lift",IF(AU1425&lt;=0,"Aussenlager","teilweise")))))</f>
        <v>Lift</v>
      </c>
      <c r="BF1425" s="55" t="str">
        <f aca="false">IF(AX1425&lt;=0,"",IF(BY1425="Aussen","Aussenlager",IF(BY1425="-","Nicht im Lift",IF(BC1425&gt;=1,"Lift",IF(BC1425&lt;=0,"Aussenlager","teilweise")))))</f>
        <v>Lift</v>
      </c>
      <c r="BG1425" s="55" t="str">
        <f aca="false">IF(A1425="","",IF(BP1425=1,"Neu; ","")&amp;IF(AND(BP1425=0,BK1425&lt;0),"negativer Bestand (Export "&amp;BK1425&amp;"); ","")&amp;IF(J1425&lt;=0,"Kein Verbrauch; ","")&amp;IF(CH1425&gt;0,"Lift "&amp;W1425&amp;" lt. Liftbericht (Fach "&amp;X1425&amp;" Stk); ",IF(BU1425=1,"Gebinde geschätzt ("&amp;T1425&amp;"); ",IF(BT1425=1,"Lose – Tablare geschätzt; ","")))&amp;IF(H1425&gt;AR1425,"Überbestand "&amp;ROUND(H1425-AR1425,0)&amp;" Stk / CHF "&amp;ROUND((H1425-AR1425)*G1425,0)&amp;"; ","")&amp;IF(AND(CA1425=1,CB1425&lt;CC1425),"MAX &lt; MB+LG; ","")&amp;IF(AND(CG1425&gt;0,CF1425*10&gt;CG1425),"zu hoch für Tablar; ","")&amp;IF(AND(BP1425=0,OR(CA1425=1,AA1425&lt;&gt;"",U1425&lt;&gt;"",V1425&lt;&gt;"",AB1425&lt;&gt;"")),"manuell übersteuert; ","")&amp;IF(AND(BT1425=0,R1425=0),"Gebinde unbekannt / Stellmass fehlt; ","")&amp;IF(AND(BT1425=0,N(V1425)&lt;=0,N(Q1425)&lt;=0),"Menge pro Gebinde fehlt (Ist = 1 Gebinde); ","")&amp;BO1425)</f>
        <v>negativer Bestand (Export -10); Gebinde geschätzt (Mittel); Menge pro Gebinde fehlt (Ist = 1 Gebinde); </v>
      </c>
      <c r="BH1425" s="55"/>
      <c r="BI1425" s="55"/>
      <c r="BJ1425" s="62"/>
      <c r="BK1425" s="57" t="n">
        <v>-10</v>
      </c>
      <c r="BL1425" s="57" t="n">
        <v>20</v>
      </c>
      <c r="BM1425" s="56" t="n">
        <v>-6398.3</v>
      </c>
      <c r="BN1425" s="57" t="n">
        <v>10</v>
      </c>
      <c r="BO1425" s="55"/>
      <c r="BP1425" s="60" t="n">
        <v>0</v>
      </c>
      <c r="BQ1425" s="60" t="n">
        <v>1425</v>
      </c>
      <c r="BR1425" s="55" t="str">
        <f aca="false">IF(U1425&lt;&gt;"",UPPER(TRIM(U1425)),IF(BU1425=1,UPPER(VLOOKUP(T1425,Parameter!$I$27:$K$29,2,0)),IF(P1425="","LOSE",P1425)))</f>
        <v>S61</v>
      </c>
      <c r="BS1425" s="57" t="n">
        <f aca="false">IF(BR1425="LOSE",1,IF(N(V1425)&gt;0,V1425,IF(BU1425=1,MAX(1,N(VLOOKUP(T1425,Parameter!$I$27:$K$29,3,0)),H1425,N(N1425)),IF(N(Q1425)&gt;0,Q1425,MAX(1,H1425)))))</f>
        <v>10</v>
      </c>
      <c r="BT1425" s="60" t="n">
        <f aca="false">IF(BR1425="LOSE",1,0)</f>
        <v>0</v>
      </c>
      <c r="BU1425" s="60" t="n">
        <f aca="false">IF(AND(U1425="",OR(P1425="",P1425="LOSE"),T1425&lt;&gt;"",N(S1425)&lt;=0,ISNUMBER(MATCH(T1425,Parameter!$I$27:$I$29,0))),1,0)</f>
        <v>1</v>
      </c>
      <c r="BV1425" s="55" t="str">
        <f aca="false">IF(AND(Parameter!$B$19="Ja",E1425&lt;&gt;"",ISNUMBER(MATCH(E1425,Parameter!$I$35:$I$52,0))),VLOOKUP(E1425,Parameter!$I$35:$J$52,2,0),IFERROR(VLOOKUP(D1425,Parameter!$A$35:$C$64,2,0),"Nein"))</f>
        <v>2+3</v>
      </c>
      <c r="BW1425" s="59" t="n">
        <f aca="false">IF(BT1425=0,0,IF(N(S1425)&gt;0,S1425,IFERROR(VLOOKUP(D1425,Parameter!$A$35:$C$64,3,0)+0,0)))</f>
        <v>0</v>
      </c>
      <c r="BX1425" s="55" t="n">
        <f aca="false">IF(AA1425&lt;&gt;"",AA1425,Z1425)</f>
        <v>2</v>
      </c>
      <c r="BY1425" s="55" t="str">
        <f aca="false">IF(BX1425=1,"L1",IF(OR(BX1425=2,BX1425=3),"L23",IF(BX1425="Aussen","Aussen","-")))</f>
        <v>L23</v>
      </c>
      <c r="BZ1425" s="66" t="n">
        <f aca="false">IF(N(AB1425)&gt;0,AB1425,0)</f>
        <v>0</v>
      </c>
      <c r="CA1425" s="60" t="n">
        <f aca="false">IF(ISNUMBER(AE1425),1,0)</f>
        <v>0</v>
      </c>
      <c r="CB1425" s="57" t="n">
        <f aca="false">N(AE1425)</f>
        <v>0</v>
      </c>
      <c r="CC1425" s="57" t="n">
        <f aca="false">N(M1425)+N(N1425)</f>
        <v>11</v>
      </c>
      <c r="CD1425" s="57" t="n">
        <f aca="false">ROUNDUP(H1425/BS1425,0)</f>
        <v>1</v>
      </c>
      <c r="CE1425" s="57" t="n">
        <f aca="false">ROUNDUP(CB1425/BS1425,0)</f>
        <v>0</v>
      </c>
      <c r="CF1425" s="60" t="n">
        <f aca="false">IF(BT1425=1,0,IFERROR(VLOOKUP(BR1425,'Gebinde-Kategorie'!$A$5:$M$45,5,0)+0,0))</f>
        <v>11</v>
      </c>
      <c r="CG1425" s="60" t="n">
        <f aca="false">IFERROR(IF(OR(BX1425=1,BX1425=2,BX1425=3),N(INDEX(Parameter!$I$5:$I$7,BX1425)),0),0)</f>
        <v>0</v>
      </c>
      <c r="CH1425" s="59" t="n">
        <f aca="false">IF(AND(Parameter!$B$21="Ja",ISNUMBER(W1425),N(X1425)&gt;0),IFERROR(N(INDEX(Parameter!$L$5:$L$7,W1425))*INDEX(Parameter!$E$5:$E$7,W1425)*X1425/SUMIFS($X$7:$X$1843,$W$7:$W$1843,W1425),0),0)</f>
        <v>0</v>
      </c>
    </row>
    <row r="1426" customFormat="false" ht="15" hidden="false" customHeight="false" outlineLevel="0" collapsed="false">
      <c r="A1426" s="55" t="s">
        <v>2501</v>
      </c>
      <c r="B1426" s="55" t="s">
        <v>2502</v>
      </c>
      <c r="C1426" s="55" t="s">
        <v>456</v>
      </c>
      <c r="D1426" s="55" t="s">
        <v>173</v>
      </c>
      <c r="E1426" s="55"/>
      <c r="F1426" s="55" t="s">
        <v>218</v>
      </c>
      <c r="G1426" s="56" t="n">
        <v>518.83</v>
      </c>
      <c r="H1426" s="57" t="n">
        <f aca="false">MAX(0,IF(AND(Parameter!$B$21="Ja",ISNUMBER(Y1426)),Y1426,IF(Parameter!$B$20="Jahresanfang 2025 + Export",BL1426+BK1426,BK1426)))</f>
        <v>0</v>
      </c>
      <c r="I1426" s="57" t="n">
        <f aca="false">H1426*G1426</f>
        <v>0</v>
      </c>
      <c r="J1426" s="57" t="n">
        <f aca="false">BN1426*Parameter!$B$18</f>
        <v>50</v>
      </c>
      <c r="K1426" s="58" t="n">
        <v>13</v>
      </c>
      <c r="L1426" s="59" t="n">
        <v>3.84615384615385</v>
      </c>
      <c r="M1426" s="57" t="n">
        <v>0</v>
      </c>
      <c r="N1426" s="57" t="n">
        <v>4</v>
      </c>
      <c r="O1426" s="60" t="n">
        <v>63</v>
      </c>
      <c r="P1426" s="55" t="s">
        <v>168</v>
      </c>
      <c r="Q1426" s="57"/>
      <c r="R1426" s="60" t="n">
        <f aca="false">IF(BT1426=1,0,IFERROR(VLOOKUP(BR1426,'Gebinde-Kategorie'!$A$5:$M$45,13,0)+0,0))</f>
        <v>12</v>
      </c>
      <c r="S1426" s="61"/>
      <c r="T1426" s="62" t="s">
        <v>179</v>
      </c>
      <c r="U1426" s="62"/>
      <c r="V1426" s="62"/>
      <c r="W1426" s="55"/>
      <c r="X1426" s="57"/>
      <c r="Y1426" s="57"/>
      <c r="Z1426" s="55" t="n">
        <f aca="false">IF(A1426="","",IF(AND(Parameter!$B$21="Ja",ISNUMBER(W1426)),W1426,IF(BV1426="2+3",IF(ISNUMBER(SEARCH("grosser Artikel",BO1426)),2,IFERROR(VLOOKUP(BR1426,Parameter!$F$35:$G$64,2,0),2)),IF(OR(BV1426="Nein",BV1426=""),"-",BV1426))))</f>
        <v>2</v>
      </c>
      <c r="AA1426" s="62"/>
      <c r="AB1426" s="63"/>
      <c r="AC1426" s="57" t="n">
        <f aca="false">AR1426</f>
        <v>28</v>
      </c>
      <c r="AD1426" s="57" t="n">
        <f aca="false">MAX(AR1426,H1426)</f>
        <v>28</v>
      </c>
      <c r="AE1426" s="64"/>
      <c r="AF1426" s="57" t="n">
        <f aca="false">IF(LEFT(Cockpit!$C$5,1)="A",H1426,IF(CA1426=1,CB1426,IF(LEFT(Cockpit!$C$5,1)="B",AJ1426,MAX(AJ1426,H1426))))</f>
        <v>0</v>
      </c>
      <c r="AG1426" s="57" t="n">
        <f aca="false">IF(BT1426=1,0,ROUNDUP(AF1426/BS1426,0))</f>
        <v>0</v>
      </c>
      <c r="AH1426" s="59" t="n">
        <f aca="false">IF(CH1426&gt;0,CH1426*MAX(1,AF1426/X1426),IF(BT1426=1,IF(AF1426&lt;=0,0,BW1426*MAX(1,IF(H1426&gt;0,AF1426/H1426,1))),IF(R1426&gt;0,AG1426/R1426,0))/MAX(0.1,N(Parameter!$M$21)))</f>
        <v>0</v>
      </c>
      <c r="AI1426" s="57" t="n">
        <f aca="false">AF1426*G1426</f>
        <v>0</v>
      </c>
      <c r="AJ1426" s="57" t="n">
        <f aca="false">ROUNDUP(MAX(J1426/IF(BZ1426&gt;0,BZ1426,MAX(0.1,N(Cockpit!$C$6))),CC1426)/BS1426,0)*BS1426</f>
        <v>28</v>
      </c>
      <c r="AK1426" s="58" t="n">
        <f aca="false">IF(AH1426&gt;0,J1426/AH1426,-1)</f>
        <v>-1</v>
      </c>
      <c r="AL1426" s="58" t="str">
        <f aca="false">IF(AND(OR(BY1426="L1",BY1426="L23"),AH1426&gt;0),SUMIFS($AH$7:$AH$1843,$BY$7:$BY$1843,BY1426,$AK$7:$AK$1843,"&gt;"&amp;AK1426)+SUMIFS($AH$7:$AH$1843,$BY$7:$BY$1843,BY1426,$AK$7:$AK$1843,AK1426,$BQ$7:$BQ$1843,"&lt;="&amp;BQ1426),"")</f>
        <v/>
      </c>
      <c r="AM1426" s="65" t="n">
        <f aca="false">IF(AL1426="",0,MAX(0,MIN(1,(IF(BY1426="L1",Parameter!$E$5,Parameter!$E$6+Parameter!$E$7)-(AL1426-AH1426))/AH1426)))</f>
        <v>0</v>
      </c>
      <c r="AN1426" s="57" t="n">
        <f aca="false">IF(LEFT(Cockpit!$I$5,1)="A",H1426,IF(CA1426=1,CB1426,IF(LEFT(Cockpit!$I$5,1)="B",AR1426,MAX(AR1426,H1426))))</f>
        <v>28</v>
      </c>
      <c r="AO1426" s="57" t="n">
        <f aca="false">IF(BT1426=1,0,ROUNDUP(AN1426/BS1426,0))</f>
        <v>7</v>
      </c>
      <c r="AP1426" s="59" t="n">
        <f aca="false">IF(CH1426&gt;0,CH1426*MAX(1,AN1426/X1426),IF(BT1426=1,IF(AN1426&lt;=0,0,BW1426*MAX(1,IF(H1426&gt;0,AN1426/H1426,1))),IF(R1426&gt;0,AO1426/R1426,0))/MAX(0.1,N(Parameter!$M$21)))</f>
        <v>0.583333333333333</v>
      </c>
      <c r="AQ1426" s="57" t="n">
        <f aca="false">AN1426*G1426</f>
        <v>14527.24</v>
      </c>
      <c r="AR1426" s="57" t="n">
        <f aca="false">ROUNDUP(MAX(J1426/IF(BZ1426&gt;0,BZ1426,MAX(0.1,N(Cockpit!$I$6))),CC1426)/BS1426,0)*BS1426</f>
        <v>28</v>
      </c>
      <c r="AS1426" s="58" t="n">
        <f aca="false">IF(AP1426&gt;0,J1426/AP1426,-1)</f>
        <v>85.7142857142857</v>
      </c>
      <c r="AT1426" s="58" t="n">
        <f aca="false">IF(AND(OR(BY1426="L1",BY1426="L23"),AP1426&gt;0),SUMIFS($AP$7:$AP$1843,$BY$7:$BY$1843,BY1426,$AS$7:$AS$1843,"&gt;"&amp;AS1426)+SUMIFS($AP$7:$AP$1843,$BY$7:$BY$1843,BY1426,$AS$7:$AS$1843,AS1426,$BQ$7:$BQ$1843,"&lt;="&amp;BQ1426),"")</f>
        <v>62.6236106888281</v>
      </c>
      <c r="AU1426" s="65" t="n">
        <f aca="false">IF(AT1426="",0,MAX(0,MIN(1,(IF(BY1426="L1",Parameter!$E$5,Parameter!$E$6+Parameter!$E$7)-(AT1426-AP1426))/AP1426)))</f>
        <v>1</v>
      </c>
      <c r="AV1426" s="57" t="n">
        <f aca="false">IF(LEFT(Cockpit!$O$5,1)="A",H1426,IF(CA1426=1,CB1426,IF(LEFT(Cockpit!$O$5,1)="B",AZ1426,MAX(AZ1426,H1426))))</f>
        <v>20</v>
      </c>
      <c r="AW1426" s="57" t="n">
        <f aca="false">IF(BT1426=1,0,ROUNDUP(AV1426/BS1426,0))</f>
        <v>5</v>
      </c>
      <c r="AX1426" s="59" t="n">
        <f aca="false">IF(CH1426&gt;0,CH1426*MAX(1,AV1426/X1426),IF(BT1426=1,IF(AV1426&lt;=0,0,BW1426*MAX(1,IF(H1426&gt;0,AV1426/H1426,1))),IF(R1426&gt;0,AW1426/R1426,0))/MAX(0.1,N(Parameter!$M$21)))</f>
        <v>0.416666666666667</v>
      </c>
      <c r="AY1426" s="57" t="n">
        <f aca="false">AV1426*G1426</f>
        <v>10376.6</v>
      </c>
      <c r="AZ1426" s="57" t="n">
        <f aca="false">ROUNDUP(MAX(J1426/IF(BZ1426&gt;0,BZ1426,MAX(0.1,N(Cockpit!$O$6))),CC1426)/BS1426,0)*BS1426</f>
        <v>20</v>
      </c>
      <c r="BA1426" s="58" t="n">
        <f aca="false">IF(AX1426&gt;0,J1426/AX1426,-1)</f>
        <v>120</v>
      </c>
      <c r="BB1426" s="58" t="n">
        <f aca="false">IF(AND(OR(BY1426="L1",BY1426="L23"),AX1426&gt;0),SUMIFS($AX$7:$AX$1843,$BY$7:$BY$1843,BY1426,$BA$7:$BA$1843,"&gt;"&amp;BA1426)+SUMIFS($AX$7:$AX$1843,$BY$7:$BY$1843,BY1426,$BA$7:$BA$1843,BA1426,$BQ$7:$BQ$1843,"&lt;="&amp;BQ1426),"")</f>
        <v>52.3079541231715</v>
      </c>
      <c r="BC1426" s="65" t="n">
        <f aca="false">IF(BB1426="",0,MAX(0,MIN(1,(IF(BY1426="L1",Parameter!$E$5,Parameter!$E$6+Parameter!$E$7)-(BB1426-AX1426))/AX1426)))</f>
        <v>1</v>
      </c>
      <c r="BD1426" s="55" t="str">
        <f aca="false">IF(AH1426&lt;=0,"",IF(BY1426="Aussen","Aussenlager",IF(BY1426="-","Nicht im Lift",IF(AM1426&gt;=1,"Lift",IF(AM1426&lt;=0,"Aussenlager","teilweise")))))</f>
        <v/>
      </c>
      <c r="BE1426" s="55" t="str">
        <f aca="false">IF(AP1426&lt;=0,"",IF(BY1426="Aussen","Aussenlager",IF(BY1426="-","Nicht im Lift",IF(AU1426&gt;=1,"Lift",IF(AU1426&lt;=0,"Aussenlager","teilweise")))))</f>
        <v>Lift</v>
      </c>
      <c r="BF1426" s="55" t="str">
        <f aca="false">IF(AX1426&lt;=0,"",IF(BY1426="Aussen","Aussenlager",IF(BY1426="-","Nicht im Lift",IF(BC1426&gt;=1,"Lift",IF(BC1426&lt;=0,"Aussenlager","teilweise")))))</f>
        <v>Lift</v>
      </c>
      <c r="BG1426" s="55" t="str">
        <f aca="false">IF(A1426="","",IF(BP1426=1,"Neu; ","")&amp;IF(AND(BP1426=0,BK1426&lt;0),"negativer Bestand (Export "&amp;BK1426&amp;"); ","")&amp;IF(J1426&lt;=0,"Kein Verbrauch; ","")&amp;IF(CH1426&gt;0,"Lift "&amp;W1426&amp;" lt. Liftbericht (Fach "&amp;X1426&amp;" Stk); ",IF(BU1426=1,"Gebinde geschätzt ("&amp;T1426&amp;"); ",IF(BT1426=1,"Lose – Tablare geschätzt; ","")))&amp;IF(H1426&gt;AR1426,"Überbestand "&amp;ROUND(H1426-AR1426,0)&amp;" Stk / CHF "&amp;ROUND((H1426-AR1426)*G1426,0)&amp;"; ","")&amp;IF(AND(CA1426=1,CB1426&lt;CC1426),"MAX &lt; MB+LG; ","")&amp;IF(AND(CG1426&gt;0,CF1426*10&gt;CG1426),"zu hoch für Tablar; ","")&amp;IF(AND(BP1426=0,OR(CA1426=1,AA1426&lt;&gt;"",U1426&lt;&gt;"",V1426&lt;&gt;"",AB1426&lt;&gt;"")),"manuell übersteuert; ","")&amp;IF(AND(BT1426=0,R1426=0),"Gebinde unbekannt / Stellmass fehlt; ","")&amp;IF(AND(BT1426=0,N(V1426)&lt;=0,N(Q1426)&lt;=0),"Menge pro Gebinde fehlt (Ist = 1 Gebinde); ","")&amp;BO1426)</f>
        <v>negativer Bestand (Export -12); Gebinde geschätzt (Mittel); Menge pro Gebinde fehlt (Ist = 1 Gebinde); </v>
      </c>
      <c r="BH1426" s="55"/>
      <c r="BI1426" s="55"/>
      <c r="BJ1426" s="62"/>
      <c r="BK1426" s="57" t="n">
        <v>-12</v>
      </c>
      <c r="BL1426" s="57" t="n">
        <v>12</v>
      </c>
      <c r="BM1426" s="56" t="n">
        <v>-6584.28</v>
      </c>
      <c r="BN1426" s="57" t="n">
        <v>50</v>
      </c>
      <c r="BO1426" s="55"/>
      <c r="BP1426" s="60" t="n">
        <v>0</v>
      </c>
      <c r="BQ1426" s="60" t="n">
        <v>1426</v>
      </c>
      <c r="BR1426" s="55" t="str">
        <f aca="false">IF(U1426&lt;&gt;"",UPPER(TRIM(U1426)),IF(BU1426=1,UPPER(VLOOKUP(T1426,Parameter!$I$27:$K$29,2,0)),IF(P1426="","LOSE",P1426)))</f>
        <v>S61</v>
      </c>
      <c r="BS1426" s="57" t="n">
        <f aca="false">IF(BR1426="LOSE",1,IF(N(V1426)&gt;0,V1426,IF(BU1426=1,MAX(1,N(VLOOKUP(T1426,Parameter!$I$27:$K$29,3,0)),H1426,N(N1426)),IF(N(Q1426)&gt;0,Q1426,MAX(1,H1426)))))</f>
        <v>4</v>
      </c>
      <c r="BT1426" s="60" t="n">
        <f aca="false">IF(BR1426="LOSE",1,0)</f>
        <v>0</v>
      </c>
      <c r="BU1426" s="60" t="n">
        <f aca="false">IF(AND(U1426="",OR(P1426="",P1426="LOSE"),T1426&lt;&gt;"",N(S1426)&lt;=0,ISNUMBER(MATCH(T1426,Parameter!$I$27:$I$29,0))),1,0)</f>
        <v>1</v>
      </c>
      <c r="BV1426" s="55" t="str">
        <f aca="false">IF(AND(Parameter!$B$19="Ja",E1426&lt;&gt;"",ISNUMBER(MATCH(E1426,Parameter!$I$35:$I$52,0))),VLOOKUP(E1426,Parameter!$I$35:$J$52,2,0),IFERROR(VLOOKUP(D1426,Parameter!$A$35:$C$64,2,0),"Nein"))</f>
        <v>2+3</v>
      </c>
      <c r="BW1426" s="59" t="n">
        <f aca="false">IF(BT1426=0,0,IF(N(S1426)&gt;0,S1426,IFERROR(VLOOKUP(D1426,Parameter!$A$35:$C$64,3,0)+0,0)))</f>
        <v>0</v>
      </c>
      <c r="BX1426" s="55" t="n">
        <f aca="false">IF(AA1426&lt;&gt;"",AA1426,Z1426)</f>
        <v>2</v>
      </c>
      <c r="BY1426" s="55" t="str">
        <f aca="false">IF(BX1426=1,"L1",IF(OR(BX1426=2,BX1426=3),"L23",IF(BX1426="Aussen","Aussen","-")))</f>
        <v>L23</v>
      </c>
      <c r="BZ1426" s="66" t="n">
        <f aca="false">IF(N(AB1426)&gt;0,AB1426,0)</f>
        <v>0</v>
      </c>
      <c r="CA1426" s="60" t="n">
        <f aca="false">IF(ISNUMBER(AE1426),1,0)</f>
        <v>0</v>
      </c>
      <c r="CB1426" s="57" t="n">
        <f aca="false">N(AE1426)</f>
        <v>0</v>
      </c>
      <c r="CC1426" s="57" t="n">
        <f aca="false">N(M1426)+N(N1426)</f>
        <v>4</v>
      </c>
      <c r="CD1426" s="57" t="n">
        <f aca="false">ROUNDUP(H1426/BS1426,0)</f>
        <v>0</v>
      </c>
      <c r="CE1426" s="57" t="n">
        <f aca="false">ROUNDUP(CB1426/BS1426,0)</f>
        <v>0</v>
      </c>
      <c r="CF1426" s="60" t="n">
        <f aca="false">IF(BT1426=1,0,IFERROR(VLOOKUP(BR1426,'Gebinde-Kategorie'!$A$5:$M$45,5,0)+0,0))</f>
        <v>11</v>
      </c>
      <c r="CG1426" s="60" t="n">
        <f aca="false">IFERROR(IF(OR(BX1426=1,BX1426=2,BX1426=3),N(INDEX(Parameter!$I$5:$I$7,BX1426)),0),0)</f>
        <v>0</v>
      </c>
      <c r="CH1426" s="59" t="n">
        <f aca="false">IF(AND(Parameter!$B$21="Ja",ISNUMBER(W1426),N(X1426)&gt;0),IFERROR(N(INDEX(Parameter!$L$5:$L$7,W1426))*INDEX(Parameter!$E$5:$E$7,W1426)*X1426/SUMIFS($X$7:$X$1843,$W$7:$W$1843,W1426),0),0)</f>
        <v>0</v>
      </c>
    </row>
    <row r="1427" customFormat="false" ht="15" hidden="false" customHeight="false" outlineLevel="0" collapsed="false">
      <c r="A1427" s="55" t="s">
        <v>2503</v>
      </c>
      <c r="B1427" s="55" t="s">
        <v>2468</v>
      </c>
      <c r="C1427" s="55" t="s">
        <v>164</v>
      </c>
      <c r="D1427" s="55" t="s">
        <v>184</v>
      </c>
      <c r="E1427" s="55" t="s">
        <v>185</v>
      </c>
      <c r="F1427" s="55" t="s">
        <v>218</v>
      </c>
      <c r="G1427" s="56" t="n">
        <v>24.77</v>
      </c>
      <c r="H1427" s="57" t="n">
        <f aca="false">MAX(0,IF(AND(Parameter!$B$21="Ja",ISNUMBER(Y1427)),Y1427,IF(Parameter!$B$20="Jahresanfang 2025 + Export",BL1427+BK1427,BK1427)))</f>
        <v>152</v>
      </c>
      <c r="I1427" s="57" t="n">
        <f aca="false">H1427*G1427</f>
        <v>3765.04</v>
      </c>
      <c r="J1427" s="57" t="n">
        <f aca="false">BN1427*Parameter!$B$18</f>
        <v>1802</v>
      </c>
      <c r="K1427" s="58" t="n">
        <v>434.5</v>
      </c>
      <c r="L1427" s="59" t="n">
        <v>4.14729574223245</v>
      </c>
      <c r="M1427" s="57" t="n">
        <v>105</v>
      </c>
      <c r="N1427" s="57" t="n">
        <v>300</v>
      </c>
      <c r="O1427" s="60" t="n">
        <v>21</v>
      </c>
      <c r="P1427" s="55" t="s">
        <v>233</v>
      </c>
      <c r="Q1427" s="57" t="n">
        <v>200</v>
      </c>
      <c r="R1427" s="60" t="n">
        <f aca="false">IF(BT1427=1,0,IFERROR(VLOOKUP(BR1427,'Gebinde-Kategorie'!$A$5:$M$45,13,0)+0,0))</f>
        <v>26</v>
      </c>
      <c r="S1427" s="61"/>
      <c r="T1427" s="62"/>
      <c r="U1427" s="62"/>
      <c r="V1427" s="62"/>
      <c r="W1427" s="55"/>
      <c r="X1427" s="57"/>
      <c r="Y1427" s="57"/>
      <c r="Z1427" s="55" t="n">
        <f aca="false">IF(A1427="","",IF(AND(Parameter!$B$21="Ja",ISNUMBER(W1427)),W1427,IF(BV1427="2+3",IF(ISNUMBER(SEARCH("grosser Artikel",BO1427)),2,IFERROR(VLOOKUP(BR1427,Parameter!$F$35:$G$64,2,0),2)),IF(OR(BV1427="Nein",BV1427=""),"-",BV1427))))</f>
        <v>3</v>
      </c>
      <c r="AA1427" s="62"/>
      <c r="AB1427" s="63"/>
      <c r="AC1427" s="57" t="n">
        <f aca="false">AR1427</f>
        <v>1000</v>
      </c>
      <c r="AD1427" s="57" t="n">
        <f aca="false">MAX(AR1427,H1427)</f>
        <v>1000</v>
      </c>
      <c r="AE1427" s="64"/>
      <c r="AF1427" s="57" t="n">
        <f aca="false">IF(LEFT(Cockpit!$C$5,1)="A",H1427,IF(CA1427=1,CB1427,IF(LEFT(Cockpit!$C$5,1)="B",AJ1427,MAX(AJ1427,H1427))))</f>
        <v>152</v>
      </c>
      <c r="AG1427" s="57" t="n">
        <f aca="false">IF(BT1427=1,0,ROUNDUP(AF1427/BS1427,0))</f>
        <v>1</v>
      </c>
      <c r="AH1427" s="59" t="n">
        <f aca="false">IF(CH1427&gt;0,CH1427*MAX(1,AF1427/X1427),IF(BT1427=1,IF(AF1427&lt;=0,0,BW1427*MAX(1,IF(H1427&gt;0,AF1427/H1427,1))),IF(R1427&gt;0,AG1427/R1427,0))/MAX(0.1,N(Parameter!$M$21)))</f>
        <v>0.0384615384615385</v>
      </c>
      <c r="AI1427" s="57" t="n">
        <f aca="false">AF1427*G1427</f>
        <v>3765.04</v>
      </c>
      <c r="AJ1427" s="57" t="n">
        <f aca="false">ROUNDUP(MAX(J1427/IF(BZ1427&gt;0,BZ1427,MAX(0.1,N(Cockpit!$C$6))),CC1427)/BS1427,0)*BS1427</f>
        <v>1000</v>
      </c>
      <c r="AK1427" s="58" t="n">
        <f aca="false">IF(AH1427&gt;0,J1427/AH1427,-1)</f>
        <v>46852</v>
      </c>
      <c r="AL1427" s="58" t="n">
        <f aca="false">IF(AND(OR(BY1427="L1",BY1427="L23"),AH1427&gt;0),SUMIFS($AH$7:$AH$1843,$BY$7:$BY$1843,BY1427,$AK$7:$AK$1843,"&gt;"&amp;AK1427)+SUMIFS($AH$7:$AH$1843,$BY$7:$BY$1843,BY1427,$AK$7:$AK$1843,AK1427,$BQ$7:$BQ$1843,"&lt;="&amp;BQ1427),"")</f>
        <v>1.52932333367116</v>
      </c>
      <c r="AM1427" s="65" t="n">
        <f aca="false">IF(AL1427="",0,MAX(0,MIN(1,(IF(BY1427="L1",Parameter!$E$5,Parameter!$E$6+Parameter!$E$7)-(AL1427-AH1427))/AH1427)))</f>
        <v>1</v>
      </c>
      <c r="AN1427" s="57" t="n">
        <f aca="false">IF(LEFT(Cockpit!$I$5,1)="A",H1427,IF(CA1427=1,CB1427,IF(LEFT(Cockpit!$I$5,1)="B",AR1427,MAX(AR1427,H1427))))</f>
        <v>1000</v>
      </c>
      <c r="AO1427" s="57" t="n">
        <f aca="false">IF(BT1427=1,0,ROUNDUP(AN1427/BS1427,0))</f>
        <v>5</v>
      </c>
      <c r="AP1427" s="59" t="n">
        <f aca="false">IF(CH1427&gt;0,CH1427*MAX(1,AN1427/X1427),IF(BT1427=1,IF(AN1427&lt;=0,0,BW1427*MAX(1,IF(H1427&gt;0,AN1427/H1427,1))),IF(R1427&gt;0,AO1427/R1427,0))/MAX(0.1,N(Parameter!$M$21)))</f>
        <v>0.192307692307692</v>
      </c>
      <c r="AQ1427" s="57" t="n">
        <f aca="false">AN1427*G1427</f>
        <v>24770</v>
      </c>
      <c r="AR1427" s="57" t="n">
        <f aca="false">ROUNDUP(MAX(J1427/IF(BZ1427&gt;0,BZ1427,MAX(0.1,N(Cockpit!$I$6))),CC1427)/BS1427,0)*BS1427</f>
        <v>1000</v>
      </c>
      <c r="AS1427" s="58" t="n">
        <f aca="false">IF(AP1427&gt;0,J1427/AP1427,-1)</f>
        <v>9370.4</v>
      </c>
      <c r="AT1427" s="58" t="n">
        <f aca="false">IF(AND(OR(BY1427="L1",BY1427="L23"),AP1427&gt;0),SUMIFS($AP$7:$AP$1843,$BY$7:$BY$1843,BY1427,$AS$7:$AS$1843,"&gt;"&amp;AS1427)+SUMIFS($AP$7:$AP$1843,$BY$7:$BY$1843,BY1427,$AS$7:$AS$1843,AS1427,$BQ$7:$BQ$1843,"&lt;="&amp;BQ1427),"")</f>
        <v>8.40717374413027</v>
      </c>
      <c r="AU1427" s="65" t="n">
        <f aca="false">IF(AT1427="",0,MAX(0,MIN(1,(IF(BY1427="L1",Parameter!$E$5,Parameter!$E$6+Parameter!$E$7)-(AT1427-AP1427))/AP1427)))</f>
        <v>1</v>
      </c>
      <c r="AV1427" s="57" t="n">
        <f aca="false">IF(LEFT(Cockpit!$O$5,1)="A",H1427,IF(CA1427=1,CB1427,IF(LEFT(Cockpit!$O$5,1)="B",AZ1427,MAX(AZ1427,H1427))))</f>
        <v>800</v>
      </c>
      <c r="AW1427" s="57" t="n">
        <f aca="false">IF(BT1427=1,0,ROUNDUP(AV1427/BS1427,0))</f>
        <v>4</v>
      </c>
      <c r="AX1427" s="59" t="n">
        <f aca="false">IF(CH1427&gt;0,CH1427*MAX(1,AV1427/X1427),IF(BT1427=1,IF(AV1427&lt;=0,0,BW1427*MAX(1,IF(H1427&gt;0,AV1427/H1427,1))),IF(R1427&gt;0,AW1427/R1427,0))/MAX(0.1,N(Parameter!$M$21)))</f>
        <v>0.153846153846154</v>
      </c>
      <c r="AY1427" s="57" t="n">
        <f aca="false">AV1427*G1427</f>
        <v>19816</v>
      </c>
      <c r="AZ1427" s="57" t="n">
        <f aca="false">ROUNDUP(MAX(J1427/IF(BZ1427&gt;0,BZ1427,MAX(0.1,N(Cockpit!$O$6))),CC1427)/BS1427,0)*BS1427</f>
        <v>800</v>
      </c>
      <c r="BA1427" s="58" t="n">
        <f aca="false">IF(AX1427&gt;0,J1427/AX1427,-1)</f>
        <v>11713</v>
      </c>
      <c r="BB1427" s="58" t="n">
        <f aca="false">IF(AND(OR(BY1427="L1",BY1427="L23"),AX1427&gt;0),SUMIFS($AX$7:$AX$1843,$BY$7:$BY$1843,BY1427,$BA$7:$BA$1843,"&gt;"&amp;BA1427)+SUMIFS($AX$7:$AX$1843,$BY$7:$BY$1843,BY1427,$BA$7:$BA$1843,BA1427,$BQ$7:$BQ$1843,"&lt;="&amp;BQ1427),"")</f>
        <v>6.76314989358468</v>
      </c>
      <c r="BC1427" s="65" t="n">
        <f aca="false">IF(BB1427="",0,MAX(0,MIN(1,(IF(BY1427="L1",Parameter!$E$5,Parameter!$E$6+Parameter!$E$7)-(BB1427-AX1427))/AX1427)))</f>
        <v>1</v>
      </c>
      <c r="BD1427" s="55" t="str">
        <f aca="false">IF(AH1427&lt;=0,"",IF(BY1427="Aussen","Aussenlager",IF(BY1427="-","Nicht im Lift",IF(AM1427&gt;=1,"Lift",IF(AM1427&lt;=0,"Aussenlager","teilweise")))))</f>
        <v>Lift</v>
      </c>
      <c r="BE1427" s="55" t="str">
        <f aca="false">IF(AP1427&lt;=0,"",IF(BY1427="Aussen","Aussenlager",IF(BY1427="-","Nicht im Lift",IF(AU1427&gt;=1,"Lift",IF(AU1427&lt;=0,"Aussenlager","teilweise")))))</f>
        <v>Lift</v>
      </c>
      <c r="BF1427" s="55" t="str">
        <f aca="false">IF(AX1427&lt;=0,"",IF(BY1427="Aussen","Aussenlager",IF(BY1427="-","Nicht im Lift",IF(BC1427&gt;=1,"Lift",IF(BC1427&lt;=0,"Aussenlager","teilweise")))))</f>
        <v>Lift</v>
      </c>
      <c r="BG1427" s="55" t="str">
        <f aca="false">IF(A1427="","",IF(BP1427=1,"Neu; ","")&amp;IF(AND(BP1427=0,BK1427&lt;0),"negativer Bestand (Export "&amp;BK1427&amp;"); ","")&amp;IF(J1427&lt;=0,"Kein Verbrauch; ","")&amp;IF(CH1427&gt;0,"Lift "&amp;W1427&amp;" lt. Liftbericht (Fach "&amp;X1427&amp;" Stk); ",IF(BU1427=1,"Gebinde geschätzt ("&amp;T1427&amp;"); ",IF(BT1427=1,"Lose – Tablare geschätzt; ","")))&amp;IF(H1427&gt;AR1427,"Überbestand "&amp;ROUND(H1427-AR1427,0)&amp;" Stk / CHF "&amp;ROUND((H1427-AR1427)*G1427,0)&amp;"; ","")&amp;IF(AND(CA1427=1,CB1427&lt;CC1427),"MAX &lt; MB+LG; ","")&amp;IF(AND(CG1427&gt;0,CF1427*10&gt;CG1427),"zu hoch für Tablar; ","")&amp;IF(AND(BP1427=0,OR(CA1427=1,AA1427&lt;&gt;"",U1427&lt;&gt;"",V1427&lt;&gt;"",AB1427&lt;&gt;"")),"manuell übersteuert; ","")&amp;IF(AND(BT1427=0,R1427=0),"Gebinde unbekannt / Stellmass fehlt; ","")&amp;IF(AND(BT1427=0,N(V1427)&lt;=0,N(Q1427)&lt;=0),"Menge pro Gebinde fehlt (Ist = 1 Gebinde); ","")&amp;BO1427)</f>
        <v>negativer Bestand (Export -213); </v>
      </c>
      <c r="BH1427" s="55"/>
      <c r="BI1427" s="55"/>
      <c r="BJ1427" s="62"/>
      <c r="BK1427" s="57" t="n">
        <v>-213</v>
      </c>
      <c r="BL1427" s="57" t="n">
        <v>365</v>
      </c>
      <c r="BM1427" s="56" t="n">
        <v>-6658.63999999999</v>
      </c>
      <c r="BN1427" s="57" t="n">
        <v>1802</v>
      </c>
      <c r="BO1427" s="55"/>
      <c r="BP1427" s="60" t="n">
        <v>0</v>
      </c>
      <c r="BQ1427" s="60" t="n">
        <v>1427</v>
      </c>
      <c r="BR1427" s="55" t="str">
        <f aca="false">IF(U1427&lt;&gt;"",UPPER(TRIM(U1427)),IF(BU1427=1,UPPER(VLOOKUP(T1427,Parameter!$I$27:$K$29,2,0)),IF(P1427="","LOSE",P1427)))</f>
        <v>S52</v>
      </c>
      <c r="BS1427" s="57" t="n">
        <f aca="false">IF(BR1427="LOSE",1,IF(N(V1427)&gt;0,V1427,IF(BU1427=1,MAX(1,N(VLOOKUP(T1427,Parameter!$I$27:$K$29,3,0)),H1427,N(N1427)),IF(N(Q1427)&gt;0,Q1427,MAX(1,H1427)))))</f>
        <v>200</v>
      </c>
      <c r="BT1427" s="60" t="n">
        <f aca="false">IF(BR1427="LOSE",1,0)</f>
        <v>0</v>
      </c>
      <c r="BU1427" s="60" t="n">
        <f aca="false">IF(AND(U1427="",OR(P1427="",P1427="LOSE"),T1427&lt;&gt;"",N(S1427)&lt;=0,ISNUMBER(MATCH(T1427,Parameter!$I$27:$I$29,0))),1,0)</f>
        <v>0</v>
      </c>
      <c r="BV1427" s="55" t="str">
        <f aca="false">IF(AND(Parameter!$B$19="Ja",E1427&lt;&gt;"",ISNUMBER(MATCH(E1427,Parameter!$I$35:$I$52,0))),VLOOKUP(E1427,Parameter!$I$35:$J$52,2,0),IFERROR(VLOOKUP(D1427,Parameter!$A$35:$C$64,2,0),"Nein"))</f>
        <v>2+3</v>
      </c>
      <c r="BW1427" s="59" t="n">
        <f aca="false">IF(BT1427=0,0,IF(N(S1427)&gt;0,S1427,IFERROR(VLOOKUP(D1427,Parameter!$A$35:$C$64,3,0)+0,0)))</f>
        <v>0</v>
      </c>
      <c r="BX1427" s="55" t="n">
        <f aca="false">IF(AA1427&lt;&gt;"",AA1427,Z1427)</f>
        <v>3</v>
      </c>
      <c r="BY1427" s="55" t="str">
        <f aca="false">IF(BX1427=1,"L1",IF(OR(BX1427=2,BX1427=3),"L23",IF(BX1427="Aussen","Aussen","-")))</f>
        <v>L23</v>
      </c>
      <c r="BZ1427" s="66" t="n">
        <f aca="false">IF(N(AB1427)&gt;0,AB1427,0)</f>
        <v>0</v>
      </c>
      <c r="CA1427" s="60" t="n">
        <f aca="false">IF(ISNUMBER(AE1427),1,0)</f>
        <v>0</v>
      </c>
      <c r="CB1427" s="57" t="n">
        <f aca="false">N(AE1427)</f>
        <v>0</v>
      </c>
      <c r="CC1427" s="57" t="n">
        <f aca="false">N(M1427)+N(N1427)</f>
        <v>405</v>
      </c>
      <c r="CD1427" s="57" t="n">
        <f aca="false">ROUNDUP(H1427/BS1427,0)</f>
        <v>1</v>
      </c>
      <c r="CE1427" s="57" t="n">
        <f aca="false">ROUNDUP(CB1427/BS1427,0)</f>
        <v>0</v>
      </c>
      <c r="CF1427" s="60" t="n">
        <f aca="false">IF(BT1427=1,0,IFERROR(VLOOKUP(BR1427,'Gebinde-Kategorie'!$A$5:$M$45,5,0)+0,0))</f>
        <v>21</v>
      </c>
      <c r="CG1427" s="60" t="n">
        <f aca="false">IFERROR(IF(OR(BX1427=1,BX1427=2,BX1427=3),N(INDEX(Parameter!$I$5:$I$7,BX1427)),0),0)</f>
        <v>0</v>
      </c>
      <c r="CH1427" s="59" t="n">
        <f aca="false">IF(AND(Parameter!$B$21="Ja",ISNUMBER(W1427),N(X1427)&gt;0),IFERROR(N(INDEX(Parameter!$L$5:$L$7,W1427))*INDEX(Parameter!$E$5:$E$7,W1427)*X1427/SUMIFS($X$7:$X$1843,$W$7:$W$1843,W1427),0),0)</f>
        <v>0</v>
      </c>
    </row>
    <row r="1428" customFormat="false" ht="15" hidden="false" customHeight="false" outlineLevel="0" collapsed="false">
      <c r="A1428" s="55" t="s">
        <v>2504</v>
      </c>
      <c r="B1428" s="55" t="s">
        <v>2482</v>
      </c>
      <c r="C1428" s="55" t="s">
        <v>164</v>
      </c>
      <c r="D1428" s="55" t="s">
        <v>184</v>
      </c>
      <c r="E1428" s="55" t="s">
        <v>185</v>
      </c>
      <c r="F1428" s="55" t="s">
        <v>218</v>
      </c>
      <c r="G1428" s="56" t="n">
        <v>95.42</v>
      </c>
      <c r="H1428" s="57" t="n">
        <f aca="false">MAX(0,IF(AND(Parameter!$B$21="Ja",ISNUMBER(Y1428)),Y1428,IF(Parameter!$B$20="Jahresanfang 2025 + Export",BL1428+BK1428,BK1428)))</f>
        <v>38</v>
      </c>
      <c r="I1428" s="57" t="n">
        <f aca="false">H1428*G1428</f>
        <v>3625.96</v>
      </c>
      <c r="J1428" s="57" t="n">
        <f aca="false">BN1428*Parameter!$B$18</f>
        <v>145</v>
      </c>
      <c r="K1428" s="58" t="n">
        <v>46</v>
      </c>
      <c r="L1428" s="59" t="n">
        <v>3.15217391304348</v>
      </c>
      <c r="M1428" s="57" t="n">
        <v>8</v>
      </c>
      <c r="N1428" s="57" t="n">
        <v>25</v>
      </c>
      <c r="O1428" s="60" t="n">
        <v>21</v>
      </c>
      <c r="P1428" s="55" t="s">
        <v>293</v>
      </c>
      <c r="Q1428" s="57" t="n">
        <v>76</v>
      </c>
      <c r="R1428" s="60" t="n">
        <f aca="false">IF(BT1428=1,0,IFERROR(VLOOKUP(BR1428,'Gebinde-Kategorie'!$A$5:$M$45,13,0)+0,0))</f>
        <v>12</v>
      </c>
      <c r="S1428" s="61"/>
      <c r="T1428" s="62"/>
      <c r="U1428" s="62"/>
      <c r="V1428" s="62"/>
      <c r="W1428" s="55"/>
      <c r="X1428" s="57"/>
      <c r="Y1428" s="57"/>
      <c r="Z1428" s="55" t="n">
        <f aca="false">IF(A1428="","",IF(AND(Parameter!$B$21="Ja",ISNUMBER(W1428)),W1428,IF(BV1428="2+3",IF(ISNUMBER(SEARCH("grosser Artikel",BO1428)),2,IFERROR(VLOOKUP(BR1428,Parameter!$F$35:$G$64,2,0),2)),IF(OR(BV1428="Nein",BV1428=""),"-",BV1428))))</f>
        <v>2</v>
      </c>
      <c r="AA1428" s="62"/>
      <c r="AB1428" s="63"/>
      <c r="AC1428" s="57" t="n">
        <f aca="false">AR1428</f>
        <v>76</v>
      </c>
      <c r="AD1428" s="57" t="n">
        <f aca="false">MAX(AR1428,H1428)</f>
        <v>76</v>
      </c>
      <c r="AE1428" s="64"/>
      <c r="AF1428" s="57" t="n">
        <f aca="false">IF(LEFT(Cockpit!$C$5,1)="A",H1428,IF(CA1428=1,CB1428,IF(LEFT(Cockpit!$C$5,1)="B",AJ1428,MAX(AJ1428,H1428))))</f>
        <v>38</v>
      </c>
      <c r="AG1428" s="57" t="n">
        <f aca="false">IF(BT1428=1,0,ROUNDUP(AF1428/BS1428,0))</f>
        <v>1</v>
      </c>
      <c r="AH1428" s="59" t="n">
        <f aca="false">IF(CH1428&gt;0,CH1428*MAX(1,AF1428/X1428),IF(BT1428=1,IF(AF1428&lt;=0,0,BW1428*MAX(1,IF(H1428&gt;0,AF1428/H1428,1))),IF(R1428&gt;0,AG1428/R1428,0))/MAX(0.1,N(Parameter!$M$21)))</f>
        <v>0.0833333333333333</v>
      </c>
      <c r="AI1428" s="57" t="n">
        <f aca="false">AF1428*G1428</f>
        <v>3625.96</v>
      </c>
      <c r="AJ1428" s="57" t="n">
        <f aca="false">ROUNDUP(MAX(J1428/IF(BZ1428&gt;0,BZ1428,MAX(0.1,N(Cockpit!$C$6))),CC1428)/BS1428,0)*BS1428</f>
        <v>76</v>
      </c>
      <c r="AK1428" s="58" t="n">
        <f aca="false">IF(AH1428&gt;0,J1428/AH1428,-1)</f>
        <v>1740</v>
      </c>
      <c r="AL1428" s="58" t="n">
        <f aca="false">IF(AND(OR(BY1428="L1",BY1428="L23"),AH1428&gt;0),SUMIFS($AH$7:$AH$1843,$BY$7:$BY$1843,BY1428,$AK$7:$AK$1843,"&gt;"&amp;AK1428)+SUMIFS($AH$7:$AH$1843,$BY$7:$BY$1843,BY1428,$AK$7:$AK$1843,AK1428,$BQ$7:$BQ$1843,"&lt;="&amp;BQ1428),"")</f>
        <v>15.0544238370325</v>
      </c>
      <c r="AM1428" s="65" t="n">
        <f aca="false">IF(AL1428="",0,MAX(0,MIN(1,(IF(BY1428="L1",Parameter!$E$5,Parameter!$E$6+Parameter!$E$7)-(AL1428-AH1428))/AH1428)))</f>
        <v>1</v>
      </c>
      <c r="AN1428" s="57" t="n">
        <f aca="false">IF(LEFT(Cockpit!$I$5,1)="A",H1428,IF(CA1428=1,CB1428,IF(LEFT(Cockpit!$I$5,1)="B",AR1428,MAX(AR1428,H1428))))</f>
        <v>76</v>
      </c>
      <c r="AO1428" s="57" t="n">
        <f aca="false">IF(BT1428=1,0,ROUNDUP(AN1428/BS1428,0))</f>
        <v>1</v>
      </c>
      <c r="AP1428" s="59" t="n">
        <f aca="false">IF(CH1428&gt;0,CH1428*MAX(1,AN1428/X1428),IF(BT1428=1,IF(AN1428&lt;=0,0,BW1428*MAX(1,IF(H1428&gt;0,AN1428/H1428,1))),IF(R1428&gt;0,AO1428/R1428,0))/MAX(0.1,N(Parameter!$M$21)))</f>
        <v>0.0833333333333333</v>
      </c>
      <c r="AQ1428" s="57" t="n">
        <f aca="false">AN1428*G1428</f>
        <v>7251.92</v>
      </c>
      <c r="AR1428" s="57" t="n">
        <f aca="false">ROUNDUP(MAX(J1428/IF(BZ1428&gt;0,BZ1428,MAX(0.1,N(Cockpit!$I$6))),CC1428)/BS1428,0)*BS1428</f>
        <v>76</v>
      </c>
      <c r="AS1428" s="58" t="n">
        <f aca="false">IF(AP1428&gt;0,J1428/AP1428,-1)</f>
        <v>1740</v>
      </c>
      <c r="AT1428" s="58" t="n">
        <f aca="false">IF(AND(OR(BY1428="L1",BY1428="L23"),AP1428&gt;0),SUMIFS($AP$7:$AP$1843,$BY$7:$BY$1843,BY1428,$AS$7:$AS$1843,"&gt;"&amp;AS1428)+SUMIFS($AP$7:$AP$1843,$BY$7:$BY$1843,BY1428,$AS$7:$AS$1843,AS1428,$BQ$7:$BQ$1843,"&lt;="&amp;BQ1428),"")</f>
        <v>19.6701547245026</v>
      </c>
      <c r="AU1428" s="65" t="n">
        <f aca="false">IF(AT1428="",0,MAX(0,MIN(1,(IF(BY1428="L1",Parameter!$E$5,Parameter!$E$6+Parameter!$E$7)-(AT1428-AP1428))/AP1428)))</f>
        <v>1</v>
      </c>
      <c r="AV1428" s="57" t="n">
        <f aca="false">IF(LEFT(Cockpit!$O$5,1)="A",H1428,IF(CA1428=1,CB1428,IF(LEFT(Cockpit!$O$5,1)="B",AZ1428,MAX(AZ1428,H1428))))</f>
        <v>76</v>
      </c>
      <c r="AW1428" s="57" t="n">
        <f aca="false">IF(BT1428=1,0,ROUNDUP(AV1428/BS1428,0))</f>
        <v>1</v>
      </c>
      <c r="AX1428" s="59" t="n">
        <f aca="false">IF(CH1428&gt;0,CH1428*MAX(1,AV1428/X1428),IF(BT1428=1,IF(AV1428&lt;=0,0,BW1428*MAX(1,IF(H1428&gt;0,AV1428/H1428,1))),IF(R1428&gt;0,AW1428/R1428,0))/MAX(0.1,N(Parameter!$M$21)))</f>
        <v>0.0833333333333333</v>
      </c>
      <c r="AY1428" s="57" t="n">
        <f aca="false">AV1428*G1428</f>
        <v>7251.92</v>
      </c>
      <c r="AZ1428" s="57" t="n">
        <f aca="false">ROUNDUP(MAX(J1428/IF(BZ1428&gt;0,BZ1428,MAX(0.1,N(Cockpit!$O$6))),CC1428)/BS1428,0)*BS1428</f>
        <v>76</v>
      </c>
      <c r="BA1428" s="58" t="n">
        <f aca="false">IF(AX1428&gt;0,J1428/AX1428,-1)</f>
        <v>1740</v>
      </c>
      <c r="BB1428" s="58" t="n">
        <f aca="false">IF(AND(OR(BY1428="L1",BY1428="L23"),AX1428&gt;0),SUMIFS($AX$7:$AX$1843,$BY$7:$BY$1843,BY1428,$BA$7:$BA$1843,"&gt;"&amp;BA1428)+SUMIFS($AX$7:$AX$1843,$BY$7:$BY$1843,BY1428,$BA$7:$BA$1843,BA1428,$BQ$7:$BQ$1843,"&lt;="&amp;BQ1428),"")</f>
        <v>18.5320428363907</v>
      </c>
      <c r="BC1428" s="65" t="n">
        <f aca="false">IF(BB1428="",0,MAX(0,MIN(1,(IF(BY1428="L1",Parameter!$E$5,Parameter!$E$6+Parameter!$E$7)-(BB1428-AX1428))/AX1428)))</f>
        <v>1</v>
      </c>
      <c r="BD1428" s="55" t="str">
        <f aca="false">IF(AH1428&lt;=0,"",IF(BY1428="Aussen","Aussenlager",IF(BY1428="-","Nicht im Lift",IF(AM1428&gt;=1,"Lift",IF(AM1428&lt;=0,"Aussenlager","teilweise")))))</f>
        <v>Lift</v>
      </c>
      <c r="BE1428" s="55" t="str">
        <f aca="false">IF(AP1428&lt;=0,"",IF(BY1428="Aussen","Aussenlager",IF(BY1428="-","Nicht im Lift",IF(AU1428&gt;=1,"Lift",IF(AU1428&lt;=0,"Aussenlager","teilweise")))))</f>
        <v>Lift</v>
      </c>
      <c r="BF1428" s="55" t="str">
        <f aca="false">IF(AX1428&lt;=0,"",IF(BY1428="Aussen","Aussenlager",IF(BY1428="-","Nicht im Lift",IF(BC1428&gt;=1,"Lift",IF(BC1428&lt;=0,"Aussenlager","teilweise")))))</f>
        <v>Lift</v>
      </c>
      <c r="BG1428" s="55" t="str">
        <f aca="false">IF(A1428="","",IF(BP1428=1,"Neu; ","")&amp;IF(AND(BP1428=0,BK1428&lt;0),"negativer Bestand (Export "&amp;BK1428&amp;"); ","")&amp;IF(J1428&lt;=0,"Kein Verbrauch; ","")&amp;IF(CH1428&gt;0,"Lift "&amp;W1428&amp;" lt. Liftbericht (Fach "&amp;X1428&amp;" Stk); ",IF(BU1428=1,"Gebinde geschätzt ("&amp;T1428&amp;"); ",IF(BT1428=1,"Lose – Tablare geschätzt; ","")))&amp;IF(H1428&gt;AR1428,"Überbestand "&amp;ROUND(H1428-AR1428,0)&amp;" Stk / CHF "&amp;ROUND((H1428-AR1428)*G1428,0)&amp;"; ","")&amp;IF(AND(CA1428=1,CB1428&lt;CC1428),"MAX &lt; MB+LG; ","")&amp;IF(AND(CG1428&gt;0,CF1428*10&gt;CG1428),"zu hoch für Tablar; ","")&amp;IF(AND(BP1428=0,OR(CA1428=1,AA1428&lt;&gt;"",U1428&lt;&gt;"",V1428&lt;&gt;"",AB1428&lt;&gt;"")),"manuell übersteuert; ","")&amp;IF(AND(BT1428=0,R1428=0),"Gebinde unbekannt / Stellmass fehlt; ","")&amp;IF(AND(BT1428=0,N(V1428)&lt;=0,N(Q1428)&lt;=0),"Menge pro Gebinde fehlt (Ist = 1 Gebinde); ","")&amp;BO1428)</f>
        <v>negativer Bestand (Export -31); </v>
      </c>
      <c r="BH1428" s="55"/>
      <c r="BI1428" s="55"/>
      <c r="BJ1428" s="62"/>
      <c r="BK1428" s="57" t="n">
        <v>-31</v>
      </c>
      <c r="BL1428" s="57" t="n">
        <v>69</v>
      </c>
      <c r="BM1428" s="56" t="n">
        <v>-6670.22000000001</v>
      </c>
      <c r="BN1428" s="57" t="n">
        <v>145</v>
      </c>
      <c r="BO1428" s="55"/>
      <c r="BP1428" s="60" t="n">
        <v>0</v>
      </c>
      <c r="BQ1428" s="60" t="n">
        <v>1428</v>
      </c>
      <c r="BR1428" s="55" t="str">
        <f aca="false">IF(U1428&lt;&gt;"",UPPER(TRIM(U1428)),IF(BU1428=1,UPPER(VLOOKUP(T1428,Parameter!$I$27:$K$29,2,0)),IF(P1428="","LOSE",P1428)))</f>
        <v>S62</v>
      </c>
      <c r="BS1428" s="57" t="n">
        <f aca="false">IF(BR1428="LOSE",1,IF(N(V1428)&gt;0,V1428,IF(BU1428=1,MAX(1,N(VLOOKUP(T1428,Parameter!$I$27:$K$29,3,0)),H1428,N(N1428)),IF(N(Q1428)&gt;0,Q1428,MAX(1,H1428)))))</f>
        <v>76</v>
      </c>
      <c r="BT1428" s="60" t="n">
        <f aca="false">IF(BR1428="LOSE",1,0)</f>
        <v>0</v>
      </c>
      <c r="BU1428" s="60" t="n">
        <f aca="false">IF(AND(U1428="",OR(P1428="",P1428="LOSE"),T1428&lt;&gt;"",N(S1428)&lt;=0,ISNUMBER(MATCH(T1428,Parameter!$I$27:$I$29,0))),1,0)</f>
        <v>0</v>
      </c>
      <c r="BV1428" s="55" t="str">
        <f aca="false">IF(AND(Parameter!$B$19="Ja",E1428&lt;&gt;"",ISNUMBER(MATCH(E1428,Parameter!$I$35:$I$52,0))),VLOOKUP(E1428,Parameter!$I$35:$J$52,2,0),IFERROR(VLOOKUP(D1428,Parameter!$A$35:$C$64,2,0),"Nein"))</f>
        <v>2+3</v>
      </c>
      <c r="BW1428" s="59" t="n">
        <f aca="false">IF(BT1428=0,0,IF(N(S1428)&gt;0,S1428,IFERROR(VLOOKUP(D1428,Parameter!$A$35:$C$64,3,0)+0,0)))</f>
        <v>0</v>
      </c>
      <c r="BX1428" s="55" t="n">
        <f aca="false">IF(AA1428&lt;&gt;"",AA1428,Z1428)</f>
        <v>2</v>
      </c>
      <c r="BY1428" s="55" t="str">
        <f aca="false">IF(BX1428=1,"L1",IF(OR(BX1428=2,BX1428=3),"L23",IF(BX1428="Aussen","Aussen","-")))</f>
        <v>L23</v>
      </c>
      <c r="BZ1428" s="66" t="n">
        <f aca="false">IF(N(AB1428)&gt;0,AB1428,0)</f>
        <v>0</v>
      </c>
      <c r="CA1428" s="60" t="n">
        <f aca="false">IF(ISNUMBER(AE1428),1,0)</f>
        <v>0</v>
      </c>
      <c r="CB1428" s="57" t="n">
        <f aca="false">N(AE1428)</f>
        <v>0</v>
      </c>
      <c r="CC1428" s="57" t="n">
        <f aca="false">N(M1428)+N(N1428)</f>
        <v>33</v>
      </c>
      <c r="CD1428" s="57" t="n">
        <f aca="false">ROUNDUP(H1428/BS1428,0)</f>
        <v>1</v>
      </c>
      <c r="CE1428" s="57" t="n">
        <f aca="false">ROUNDUP(CB1428/BS1428,0)</f>
        <v>0</v>
      </c>
      <c r="CF1428" s="60" t="n">
        <f aca="false">IF(BT1428=1,0,IFERROR(VLOOKUP(BR1428,'Gebinde-Kategorie'!$A$5:$M$45,5,0)+0,0))</f>
        <v>21</v>
      </c>
      <c r="CG1428" s="60" t="n">
        <f aca="false">IFERROR(IF(OR(BX1428=1,BX1428=2,BX1428=3),N(INDEX(Parameter!$I$5:$I$7,BX1428)),0),0)</f>
        <v>0</v>
      </c>
      <c r="CH1428" s="59" t="n">
        <f aca="false">IF(AND(Parameter!$B$21="Ja",ISNUMBER(W1428),N(X1428)&gt;0),IFERROR(N(INDEX(Parameter!$L$5:$L$7,W1428))*INDEX(Parameter!$E$5:$E$7,W1428)*X1428/SUMIFS($X$7:$X$1843,$W$7:$W$1843,W1428),0),0)</f>
        <v>0</v>
      </c>
    </row>
    <row r="1429" customFormat="false" ht="15" hidden="false" customHeight="false" outlineLevel="0" collapsed="false">
      <c r="A1429" s="55" t="s">
        <v>2505</v>
      </c>
      <c r="B1429" s="55" t="s">
        <v>2111</v>
      </c>
      <c r="C1429" s="55" t="s">
        <v>164</v>
      </c>
      <c r="D1429" s="55" t="s">
        <v>173</v>
      </c>
      <c r="E1429" s="55" t="s">
        <v>185</v>
      </c>
      <c r="F1429" s="55" t="s">
        <v>218</v>
      </c>
      <c r="G1429" s="56" t="n">
        <v>353.57</v>
      </c>
      <c r="H1429" s="57" t="n">
        <f aca="false">MAX(0,IF(AND(Parameter!$B$21="Ja",ISNUMBER(Y1429)),Y1429,IF(Parameter!$B$20="Jahresanfang 2025 + Export",BL1429+BK1429,BK1429)))</f>
        <v>23</v>
      </c>
      <c r="I1429" s="57" t="n">
        <f aca="false">H1429*G1429</f>
        <v>8132.11</v>
      </c>
      <c r="J1429" s="57" t="n">
        <f aca="false">BN1429*Parameter!$B$18</f>
        <v>14</v>
      </c>
      <c r="K1429" s="58" t="n">
        <v>35</v>
      </c>
      <c r="L1429" s="59" t="n">
        <v>0.4</v>
      </c>
      <c r="M1429" s="57" t="n">
        <v>1</v>
      </c>
      <c r="N1429" s="57" t="n">
        <v>10</v>
      </c>
      <c r="O1429" s="60" t="n">
        <v>35</v>
      </c>
      <c r="P1429" s="55" t="s">
        <v>174</v>
      </c>
      <c r="Q1429" s="57" t="n">
        <v>36</v>
      </c>
      <c r="R1429" s="60" t="n">
        <f aca="false">IF(BT1429=1,0,IFERROR(VLOOKUP(BR1429,'Gebinde-Kategorie'!$A$5:$M$45,13,0)+0,0))</f>
        <v>6</v>
      </c>
      <c r="S1429" s="61"/>
      <c r="T1429" s="62"/>
      <c r="U1429" s="62"/>
      <c r="V1429" s="62"/>
      <c r="W1429" s="55"/>
      <c r="X1429" s="57"/>
      <c r="Y1429" s="57"/>
      <c r="Z1429" s="55" t="n">
        <f aca="false">IF(A1429="","",IF(AND(Parameter!$B$21="Ja",ISNUMBER(W1429)),W1429,IF(BV1429="2+3",IF(ISNUMBER(SEARCH("grosser Artikel",BO1429)),2,IFERROR(VLOOKUP(BR1429,Parameter!$F$35:$G$64,2,0),2)),IF(OR(BV1429="Nein",BV1429=""),"-",BV1429))))</f>
        <v>2</v>
      </c>
      <c r="AA1429" s="62"/>
      <c r="AB1429" s="63"/>
      <c r="AC1429" s="57" t="n">
        <f aca="false">AR1429</f>
        <v>36</v>
      </c>
      <c r="AD1429" s="57" t="n">
        <f aca="false">MAX(AR1429,H1429)</f>
        <v>36</v>
      </c>
      <c r="AE1429" s="64"/>
      <c r="AF1429" s="57" t="n">
        <f aca="false">IF(LEFT(Cockpit!$C$5,1)="A",H1429,IF(CA1429=1,CB1429,IF(LEFT(Cockpit!$C$5,1)="B",AJ1429,MAX(AJ1429,H1429))))</f>
        <v>23</v>
      </c>
      <c r="AG1429" s="57" t="n">
        <f aca="false">IF(BT1429=1,0,ROUNDUP(AF1429/BS1429,0))</f>
        <v>1</v>
      </c>
      <c r="AH1429" s="59" t="n">
        <f aca="false">IF(CH1429&gt;0,CH1429*MAX(1,AF1429/X1429),IF(BT1429=1,IF(AF1429&lt;=0,0,BW1429*MAX(1,IF(H1429&gt;0,AF1429/H1429,1))),IF(R1429&gt;0,AG1429/R1429,0))/MAX(0.1,N(Parameter!$M$21)))</f>
        <v>0.166666666666667</v>
      </c>
      <c r="AI1429" s="57" t="n">
        <f aca="false">AF1429*G1429</f>
        <v>8132.11</v>
      </c>
      <c r="AJ1429" s="57" t="n">
        <f aca="false">ROUNDUP(MAX(J1429/IF(BZ1429&gt;0,BZ1429,MAX(0.1,N(Cockpit!$C$6))),CC1429)/BS1429,0)*BS1429</f>
        <v>36</v>
      </c>
      <c r="AK1429" s="58" t="n">
        <f aca="false">IF(AH1429&gt;0,J1429/AH1429,-1)</f>
        <v>84</v>
      </c>
      <c r="AL1429" s="58" t="n">
        <f aca="false">IF(AND(OR(BY1429="L1",BY1429="L23"),AH1429&gt;0),SUMIFS($AH$7:$AH$1843,$BY$7:$BY$1843,BY1429,$AK$7:$AK$1843,"&gt;"&amp;AK1429)+SUMIFS($AH$7:$AH$1843,$BY$7:$BY$1843,BY1429,$AK$7:$AK$1843,AK1429,$BQ$7:$BQ$1843,"&lt;="&amp;BQ1429),"")</f>
        <v>41.0642883686362</v>
      </c>
      <c r="AM1429" s="65" t="n">
        <f aca="false">IF(AL1429="",0,MAX(0,MIN(1,(IF(BY1429="L1",Parameter!$E$5,Parameter!$E$6+Parameter!$E$7)-(AL1429-AH1429))/AH1429)))</f>
        <v>1</v>
      </c>
      <c r="AN1429" s="57" t="n">
        <f aca="false">IF(LEFT(Cockpit!$I$5,1)="A",H1429,IF(CA1429=1,CB1429,IF(LEFT(Cockpit!$I$5,1)="B",AR1429,MAX(AR1429,H1429))))</f>
        <v>36</v>
      </c>
      <c r="AO1429" s="57" t="n">
        <f aca="false">IF(BT1429=1,0,ROUNDUP(AN1429/BS1429,0))</f>
        <v>1</v>
      </c>
      <c r="AP1429" s="59" t="n">
        <f aca="false">IF(CH1429&gt;0,CH1429*MAX(1,AN1429/X1429),IF(BT1429=1,IF(AN1429&lt;=0,0,BW1429*MAX(1,IF(H1429&gt;0,AN1429/H1429,1))),IF(R1429&gt;0,AO1429/R1429,0))/MAX(0.1,N(Parameter!$M$21)))</f>
        <v>0.166666666666667</v>
      </c>
      <c r="AQ1429" s="57" t="n">
        <f aca="false">AN1429*G1429</f>
        <v>12728.52</v>
      </c>
      <c r="AR1429" s="57" t="n">
        <f aca="false">ROUNDUP(MAX(J1429/IF(BZ1429&gt;0,BZ1429,MAX(0.1,N(Cockpit!$I$6))),CC1429)/BS1429,0)*BS1429</f>
        <v>36</v>
      </c>
      <c r="AS1429" s="58" t="n">
        <f aca="false">IF(AP1429&gt;0,J1429/AP1429,-1)</f>
        <v>84</v>
      </c>
      <c r="AT1429" s="58" t="n">
        <f aca="false">IF(AND(OR(BY1429="L1",BY1429="L23"),AP1429&gt;0),SUMIFS($AP$7:$AP$1843,$BY$7:$BY$1843,BY1429,$AS$7:$AS$1843,"&gt;"&amp;AS1429)+SUMIFS($AP$7:$AP$1843,$BY$7:$BY$1843,BY1429,$AS$7:$AS$1843,AS1429,$BQ$7:$BQ$1843,"&lt;="&amp;BQ1429),"")</f>
        <v>63.3607901760076</v>
      </c>
      <c r="AU1429" s="65" t="n">
        <f aca="false">IF(AT1429="",0,MAX(0,MIN(1,(IF(BY1429="L1",Parameter!$E$5,Parameter!$E$6+Parameter!$E$7)-(AT1429-AP1429))/AP1429)))</f>
        <v>1</v>
      </c>
      <c r="AV1429" s="57" t="n">
        <f aca="false">IF(LEFT(Cockpit!$O$5,1)="A",H1429,IF(CA1429=1,CB1429,IF(LEFT(Cockpit!$O$5,1)="B",AZ1429,MAX(AZ1429,H1429))))</f>
        <v>36</v>
      </c>
      <c r="AW1429" s="57" t="n">
        <f aca="false">IF(BT1429=1,0,ROUNDUP(AV1429/BS1429,0))</f>
        <v>1</v>
      </c>
      <c r="AX1429" s="59" t="n">
        <f aca="false">IF(CH1429&gt;0,CH1429*MAX(1,AV1429/X1429),IF(BT1429=1,IF(AV1429&lt;=0,0,BW1429*MAX(1,IF(H1429&gt;0,AV1429/H1429,1))),IF(R1429&gt;0,AW1429/R1429,0))/MAX(0.1,N(Parameter!$M$21)))</f>
        <v>0.166666666666667</v>
      </c>
      <c r="AY1429" s="57" t="n">
        <f aca="false">AV1429*G1429</f>
        <v>12728.52</v>
      </c>
      <c r="AZ1429" s="57" t="n">
        <f aca="false">ROUNDUP(MAX(J1429/IF(BZ1429&gt;0,BZ1429,MAX(0.1,N(Cockpit!$O$6))),CC1429)/BS1429,0)*BS1429</f>
        <v>36</v>
      </c>
      <c r="BA1429" s="58" t="n">
        <f aca="false">IF(AX1429&gt;0,J1429/AX1429,-1)</f>
        <v>84</v>
      </c>
      <c r="BB1429" s="58" t="n">
        <f aca="false">IF(AND(OR(BY1429="L1",BY1429="L23"),AX1429&gt;0),SUMIFS($AX$7:$AX$1843,$BY$7:$BY$1843,BY1429,$BA$7:$BA$1843,"&gt;"&amp;BA1429)+SUMIFS($AX$7:$AX$1843,$BY$7:$BY$1843,BY1429,$BA$7:$BA$1843,BA1429,$BQ$7:$BQ$1843,"&lt;="&amp;BQ1429),"")</f>
        <v>57.8572936725111</v>
      </c>
      <c r="BC1429" s="65" t="n">
        <f aca="false">IF(BB1429="",0,MAX(0,MIN(1,(IF(BY1429="L1",Parameter!$E$5,Parameter!$E$6+Parameter!$E$7)-(BB1429-AX1429))/AX1429)))</f>
        <v>1</v>
      </c>
      <c r="BD1429" s="55" t="str">
        <f aca="false">IF(AH1429&lt;=0,"",IF(BY1429="Aussen","Aussenlager",IF(BY1429="-","Nicht im Lift",IF(AM1429&gt;=1,"Lift",IF(AM1429&lt;=0,"Aussenlager","teilweise")))))</f>
        <v>Lift</v>
      </c>
      <c r="BE1429" s="55" t="str">
        <f aca="false">IF(AP1429&lt;=0,"",IF(BY1429="Aussen","Aussenlager",IF(BY1429="-","Nicht im Lift",IF(AU1429&gt;=1,"Lift",IF(AU1429&lt;=0,"Aussenlager","teilweise")))))</f>
        <v>Lift</v>
      </c>
      <c r="BF1429" s="55" t="str">
        <f aca="false">IF(AX1429&lt;=0,"",IF(BY1429="Aussen","Aussenlager",IF(BY1429="-","Nicht im Lift",IF(BC1429&gt;=1,"Lift",IF(BC1429&lt;=0,"Aussenlager","teilweise")))))</f>
        <v>Lift</v>
      </c>
      <c r="BG1429" s="55" t="str">
        <f aca="false">IF(A1429="","",IF(BP1429=1,"Neu; ","")&amp;IF(AND(BP1429=0,BK1429&lt;0),"negativer Bestand (Export "&amp;BK1429&amp;"); ","")&amp;IF(J1429&lt;=0,"Kein Verbrauch; ","")&amp;IF(CH1429&gt;0,"Lift "&amp;W1429&amp;" lt. Liftbericht (Fach "&amp;X1429&amp;" Stk); ",IF(BU1429=1,"Gebinde geschätzt ("&amp;T1429&amp;"); ",IF(BT1429=1,"Lose – Tablare geschätzt; ","")))&amp;IF(H1429&gt;AR1429,"Überbestand "&amp;ROUND(H1429-AR1429,0)&amp;" Stk / CHF "&amp;ROUND((H1429-AR1429)*G1429,0)&amp;"; ","")&amp;IF(AND(CA1429=1,CB1429&lt;CC1429),"MAX &lt; MB+LG; ","")&amp;IF(AND(CG1429&gt;0,CF1429*10&gt;CG1429),"zu hoch für Tablar; ","")&amp;IF(AND(BP1429=0,OR(CA1429=1,AA1429&lt;&gt;"",U1429&lt;&gt;"",V1429&lt;&gt;"",AB1429&lt;&gt;"")),"manuell übersteuert; ","")&amp;IF(AND(BT1429=0,R1429=0),"Gebinde unbekannt / Stellmass fehlt; ","")&amp;IF(AND(BT1429=0,N(V1429)&lt;=0,N(Q1429)&lt;=0),"Menge pro Gebinde fehlt (Ist = 1 Gebinde); ","")&amp;BO1429)</f>
        <v>negativer Bestand (Export -19); Neu; grosser Artikel &amp; nicht im KTL</v>
      </c>
      <c r="BH1429" s="55"/>
      <c r="BI1429" s="55"/>
      <c r="BJ1429" s="62"/>
      <c r="BK1429" s="57" t="n">
        <v>-19</v>
      </c>
      <c r="BL1429" s="57" t="n">
        <v>42</v>
      </c>
      <c r="BM1429" s="56" t="n">
        <v>-6717.83</v>
      </c>
      <c r="BN1429" s="57" t="n">
        <v>14</v>
      </c>
      <c r="BO1429" s="55" t="s">
        <v>2070</v>
      </c>
      <c r="BP1429" s="60" t="n">
        <v>0</v>
      </c>
      <c r="BQ1429" s="60" t="n">
        <v>1429</v>
      </c>
      <c r="BR1429" s="55" t="str">
        <f aca="false">IF(U1429&lt;&gt;"",UPPER(TRIM(U1429)),IF(BU1429=1,UPPER(VLOOKUP(T1429,Parameter!$I$27:$K$29,2,0)),IF(P1429="","LOSE",P1429)))</f>
        <v>S71</v>
      </c>
      <c r="BS1429" s="57" t="n">
        <f aca="false">IF(BR1429="LOSE",1,IF(N(V1429)&gt;0,V1429,IF(BU1429=1,MAX(1,N(VLOOKUP(T1429,Parameter!$I$27:$K$29,3,0)),H1429,N(N1429)),IF(N(Q1429)&gt;0,Q1429,MAX(1,H1429)))))</f>
        <v>36</v>
      </c>
      <c r="BT1429" s="60" t="n">
        <f aca="false">IF(BR1429="LOSE",1,0)</f>
        <v>0</v>
      </c>
      <c r="BU1429" s="60" t="n">
        <f aca="false">IF(AND(U1429="",OR(P1429="",P1429="LOSE"),T1429&lt;&gt;"",N(S1429)&lt;=0,ISNUMBER(MATCH(T1429,Parameter!$I$27:$I$29,0))),1,0)</f>
        <v>0</v>
      </c>
      <c r="BV1429" s="55" t="str">
        <f aca="false">IF(AND(Parameter!$B$19="Ja",E1429&lt;&gt;"",ISNUMBER(MATCH(E1429,Parameter!$I$35:$I$52,0))),VLOOKUP(E1429,Parameter!$I$35:$J$52,2,0),IFERROR(VLOOKUP(D1429,Parameter!$A$35:$C$64,2,0),"Nein"))</f>
        <v>2+3</v>
      </c>
      <c r="BW1429" s="59" t="n">
        <f aca="false">IF(BT1429=0,0,IF(N(S1429)&gt;0,S1429,IFERROR(VLOOKUP(D1429,Parameter!$A$35:$C$64,3,0)+0,0)))</f>
        <v>0</v>
      </c>
      <c r="BX1429" s="55" t="n">
        <f aca="false">IF(AA1429&lt;&gt;"",AA1429,Z1429)</f>
        <v>2</v>
      </c>
      <c r="BY1429" s="55" t="str">
        <f aca="false">IF(BX1429=1,"L1",IF(OR(BX1429=2,BX1429=3),"L23",IF(BX1429="Aussen","Aussen","-")))</f>
        <v>L23</v>
      </c>
      <c r="BZ1429" s="66" t="n">
        <f aca="false">IF(N(AB1429)&gt;0,AB1429,0)</f>
        <v>0</v>
      </c>
      <c r="CA1429" s="60" t="n">
        <f aca="false">IF(ISNUMBER(AE1429),1,0)</f>
        <v>0</v>
      </c>
      <c r="CB1429" s="57" t="n">
        <f aca="false">N(AE1429)</f>
        <v>0</v>
      </c>
      <c r="CC1429" s="57" t="n">
        <f aca="false">N(M1429)+N(N1429)</f>
        <v>11</v>
      </c>
      <c r="CD1429" s="57" t="n">
        <f aca="false">ROUNDUP(H1429/BS1429,0)</f>
        <v>1</v>
      </c>
      <c r="CE1429" s="57" t="n">
        <f aca="false">ROUNDUP(CB1429/BS1429,0)</f>
        <v>0</v>
      </c>
      <c r="CF1429" s="60" t="n">
        <f aca="false">IF(BT1429=1,0,IFERROR(VLOOKUP(BR1429,'Gebinde-Kategorie'!$A$5:$M$45,5,0)+0,0))</f>
        <v>20</v>
      </c>
      <c r="CG1429" s="60" t="n">
        <f aca="false">IFERROR(IF(OR(BX1429=1,BX1429=2,BX1429=3),N(INDEX(Parameter!$I$5:$I$7,BX1429)),0),0)</f>
        <v>0</v>
      </c>
      <c r="CH1429" s="59" t="n">
        <f aca="false">IF(AND(Parameter!$B$21="Ja",ISNUMBER(W1429),N(X1429)&gt;0),IFERROR(N(INDEX(Parameter!$L$5:$L$7,W1429))*INDEX(Parameter!$E$5:$E$7,W1429)*X1429/SUMIFS($X$7:$X$1843,$W$7:$W$1843,W1429),0),0)</f>
        <v>0</v>
      </c>
    </row>
    <row r="1430" customFormat="false" ht="15" hidden="false" customHeight="false" outlineLevel="0" collapsed="false">
      <c r="A1430" s="55" t="s">
        <v>2506</v>
      </c>
      <c r="B1430" s="55" t="s">
        <v>2507</v>
      </c>
      <c r="C1430" s="55" t="s">
        <v>164</v>
      </c>
      <c r="D1430" s="55" t="s">
        <v>184</v>
      </c>
      <c r="E1430" s="55" t="s">
        <v>185</v>
      </c>
      <c r="F1430" s="55" t="s">
        <v>218</v>
      </c>
      <c r="G1430" s="56" t="n">
        <v>116.4</v>
      </c>
      <c r="H1430" s="57" t="n">
        <f aca="false">MAX(0,IF(AND(Parameter!$B$21="Ja",ISNUMBER(Y1430)),Y1430,IF(Parameter!$B$20="Jahresanfang 2025 + Export",BL1430+BK1430,BK1430)))</f>
        <v>58</v>
      </c>
      <c r="I1430" s="57" t="n">
        <f aca="false">H1430*G1430</f>
        <v>6751.2</v>
      </c>
      <c r="J1430" s="57" t="n">
        <f aca="false">BN1430*Parameter!$B$18</f>
        <v>10</v>
      </c>
      <c r="K1430" s="58" t="n">
        <v>111</v>
      </c>
      <c r="L1430" s="59" t="n">
        <v>0.0900900900900901</v>
      </c>
      <c r="M1430" s="57" t="n">
        <v>0</v>
      </c>
      <c r="N1430" s="57" t="n">
        <v>10</v>
      </c>
      <c r="O1430" s="60" t="n">
        <v>28</v>
      </c>
      <c r="P1430" s="55" t="s">
        <v>293</v>
      </c>
      <c r="Q1430" s="57" t="n">
        <v>80</v>
      </c>
      <c r="R1430" s="60" t="n">
        <f aca="false">IF(BT1430=1,0,IFERROR(VLOOKUP(BR1430,'Gebinde-Kategorie'!$A$5:$M$45,13,0)+0,0))</f>
        <v>12</v>
      </c>
      <c r="S1430" s="61"/>
      <c r="T1430" s="62"/>
      <c r="U1430" s="62"/>
      <c r="V1430" s="62"/>
      <c r="W1430" s="55"/>
      <c r="X1430" s="57"/>
      <c r="Y1430" s="57"/>
      <c r="Z1430" s="55" t="n">
        <f aca="false">IF(A1430="","",IF(AND(Parameter!$B$21="Ja",ISNUMBER(W1430)),W1430,IF(BV1430="2+3",IF(ISNUMBER(SEARCH("grosser Artikel",BO1430)),2,IFERROR(VLOOKUP(BR1430,Parameter!$F$35:$G$64,2,0),2)),IF(OR(BV1430="Nein",BV1430=""),"-",BV1430))))</f>
        <v>2</v>
      </c>
      <c r="AA1430" s="62"/>
      <c r="AB1430" s="63"/>
      <c r="AC1430" s="57" t="n">
        <f aca="false">AR1430</f>
        <v>80</v>
      </c>
      <c r="AD1430" s="57" t="n">
        <f aca="false">MAX(AR1430,H1430)</f>
        <v>80</v>
      </c>
      <c r="AE1430" s="64"/>
      <c r="AF1430" s="57" t="n">
        <f aca="false">IF(LEFT(Cockpit!$C$5,1)="A",H1430,IF(CA1430=1,CB1430,IF(LEFT(Cockpit!$C$5,1)="B",AJ1430,MAX(AJ1430,H1430))))</f>
        <v>58</v>
      </c>
      <c r="AG1430" s="57" t="n">
        <f aca="false">IF(BT1430=1,0,ROUNDUP(AF1430/BS1430,0))</f>
        <v>1</v>
      </c>
      <c r="AH1430" s="59" t="n">
        <f aca="false">IF(CH1430&gt;0,CH1430*MAX(1,AF1430/X1430),IF(BT1430=1,IF(AF1430&lt;=0,0,BW1430*MAX(1,IF(H1430&gt;0,AF1430/H1430,1))),IF(R1430&gt;0,AG1430/R1430,0))/MAX(0.1,N(Parameter!$M$21)))</f>
        <v>0.0833333333333333</v>
      </c>
      <c r="AI1430" s="57" t="n">
        <f aca="false">AF1430*G1430</f>
        <v>6751.2</v>
      </c>
      <c r="AJ1430" s="57" t="n">
        <f aca="false">ROUNDUP(MAX(J1430/IF(BZ1430&gt;0,BZ1430,MAX(0.1,N(Cockpit!$C$6))),CC1430)/BS1430,0)*BS1430</f>
        <v>80</v>
      </c>
      <c r="AK1430" s="58" t="n">
        <f aca="false">IF(AH1430&gt;0,J1430/AH1430,-1)</f>
        <v>120</v>
      </c>
      <c r="AL1430" s="58" t="n">
        <f aca="false">IF(AND(OR(BY1430="L1",BY1430="L23"),AH1430&gt;0),SUMIFS($AH$7:$AH$1843,$BY$7:$BY$1843,BY1430,$AK$7:$AK$1843,"&gt;"&amp;AK1430)+SUMIFS($AH$7:$AH$1843,$BY$7:$BY$1843,BY1430,$AK$7:$AK$1843,AK1430,$BQ$7:$BQ$1843,"&lt;="&amp;BQ1430),"")</f>
        <v>37.0405898449377</v>
      </c>
      <c r="AM1430" s="65" t="n">
        <f aca="false">IF(AL1430="",0,MAX(0,MIN(1,(IF(BY1430="L1",Parameter!$E$5,Parameter!$E$6+Parameter!$E$7)-(AL1430-AH1430))/AH1430)))</f>
        <v>1</v>
      </c>
      <c r="AN1430" s="57" t="n">
        <f aca="false">IF(LEFT(Cockpit!$I$5,1)="A",H1430,IF(CA1430=1,CB1430,IF(LEFT(Cockpit!$I$5,1)="B",AR1430,MAX(AR1430,H1430))))</f>
        <v>80</v>
      </c>
      <c r="AO1430" s="57" t="n">
        <f aca="false">IF(BT1430=1,0,ROUNDUP(AN1430/BS1430,0))</f>
        <v>1</v>
      </c>
      <c r="AP1430" s="59" t="n">
        <f aca="false">IF(CH1430&gt;0,CH1430*MAX(1,AN1430/X1430),IF(BT1430=1,IF(AN1430&lt;=0,0,BW1430*MAX(1,IF(H1430&gt;0,AN1430/H1430,1))),IF(R1430&gt;0,AO1430/R1430,0))/MAX(0.1,N(Parameter!$M$21)))</f>
        <v>0.0833333333333333</v>
      </c>
      <c r="AQ1430" s="57" t="n">
        <f aca="false">AN1430*G1430</f>
        <v>9312</v>
      </c>
      <c r="AR1430" s="57" t="n">
        <f aca="false">ROUNDUP(MAX(J1430/IF(BZ1430&gt;0,BZ1430,MAX(0.1,N(Cockpit!$I$6))),CC1430)/BS1430,0)*BS1430</f>
        <v>80</v>
      </c>
      <c r="AS1430" s="58" t="n">
        <f aca="false">IF(AP1430&gt;0,J1430/AP1430,-1)</f>
        <v>120</v>
      </c>
      <c r="AT1430" s="58" t="n">
        <f aca="false">IF(AND(OR(BY1430="L1",BY1430="L23"),AP1430&gt;0),SUMIFS($AP$7:$AP$1843,$BY$7:$BY$1843,BY1430,$AS$7:$AS$1843,"&gt;"&amp;AS1430)+SUMIFS($AP$7:$AP$1843,$BY$7:$BY$1843,BY1430,$AS$7:$AS$1843,AS1430,$BQ$7:$BQ$1843,"&lt;="&amp;BQ1430),"")</f>
        <v>54.561450626668</v>
      </c>
      <c r="AU1430" s="65" t="n">
        <f aca="false">IF(AT1430="",0,MAX(0,MIN(1,(IF(BY1430="L1",Parameter!$E$5,Parameter!$E$6+Parameter!$E$7)-(AT1430-AP1430))/AP1430)))</f>
        <v>1</v>
      </c>
      <c r="AV1430" s="57" t="n">
        <f aca="false">IF(LEFT(Cockpit!$O$5,1)="A",H1430,IF(CA1430=1,CB1430,IF(LEFT(Cockpit!$O$5,1)="B",AZ1430,MAX(AZ1430,H1430))))</f>
        <v>80</v>
      </c>
      <c r="AW1430" s="57" t="n">
        <f aca="false">IF(BT1430=1,0,ROUNDUP(AV1430/BS1430,0))</f>
        <v>1</v>
      </c>
      <c r="AX1430" s="59" t="n">
        <f aca="false">IF(CH1430&gt;0,CH1430*MAX(1,AV1430/X1430),IF(BT1430=1,IF(AV1430&lt;=0,0,BW1430*MAX(1,IF(H1430&gt;0,AV1430/H1430,1))),IF(R1430&gt;0,AW1430/R1430,0))/MAX(0.1,N(Parameter!$M$21)))</f>
        <v>0.0833333333333333</v>
      </c>
      <c r="AY1430" s="57" t="n">
        <f aca="false">AV1430*G1430</f>
        <v>9312</v>
      </c>
      <c r="AZ1430" s="57" t="n">
        <f aca="false">ROUNDUP(MAX(J1430/IF(BZ1430&gt;0,BZ1430,MAX(0.1,N(Cockpit!$O$6))),CC1430)/BS1430,0)*BS1430</f>
        <v>80</v>
      </c>
      <c r="BA1430" s="58" t="n">
        <f aca="false">IF(AX1430&gt;0,J1430/AX1430,-1)</f>
        <v>120</v>
      </c>
      <c r="BB1430" s="58" t="n">
        <f aca="false">IF(AND(OR(BY1430="L1",BY1430="L23"),AX1430&gt;0),SUMIFS($AX$7:$AX$1843,$BY$7:$BY$1843,BY1430,$BA$7:$BA$1843,"&gt;"&amp;BA1430)+SUMIFS($AX$7:$AX$1843,$BY$7:$BY$1843,BY1430,$BA$7:$BA$1843,BA1430,$BQ$7:$BQ$1843,"&lt;="&amp;BQ1430),"")</f>
        <v>52.3912874565049</v>
      </c>
      <c r="BC1430" s="65" t="n">
        <f aca="false">IF(BB1430="",0,MAX(0,MIN(1,(IF(BY1430="L1",Parameter!$E$5,Parameter!$E$6+Parameter!$E$7)-(BB1430-AX1430))/AX1430)))</f>
        <v>1</v>
      </c>
      <c r="BD1430" s="55" t="str">
        <f aca="false">IF(AH1430&lt;=0,"",IF(BY1430="Aussen","Aussenlager",IF(BY1430="-","Nicht im Lift",IF(AM1430&gt;=1,"Lift",IF(AM1430&lt;=0,"Aussenlager","teilweise")))))</f>
        <v>Lift</v>
      </c>
      <c r="BE1430" s="55" t="str">
        <f aca="false">IF(AP1430&lt;=0,"",IF(BY1430="Aussen","Aussenlager",IF(BY1430="-","Nicht im Lift",IF(AU1430&gt;=1,"Lift",IF(AU1430&lt;=0,"Aussenlager","teilweise")))))</f>
        <v>Lift</v>
      </c>
      <c r="BF1430" s="55" t="str">
        <f aca="false">IF(AX1430&lt;=0,"",IF(BY1430="Aussen","Aussenlager",IF(BY1430="-","Nicht im Lift",IF(BC1430&gt;=1,"Lift",IF(BC1430&lt;=0,"Aussenlager","teilweise")))))</f>
        <v>Lift</v>
      </c>
      <c r="BG1430" s="55" t="str">
        <f aca="false">IF(A1430="","",IF(BP1430=1,"Neu; ","")&amp;IF(AND(BP1430=0,BK1430&lt;0),"negativer Bestand (Export "&amp;BK1430&amp;"); ","")&amp;IF(J1430&lt;=0,"Kein Verbrauch; ","")&amp;IF(CH1430&gt;0,"Lift "&amp;W1430&amp;" lt. Liftbericht (Fach "&amp;X1430&amp;" Stk); ",IF(BU1430=1,"Gebinde geschätzt ("&amp;T1430&amp;"); ",IF(BT1430=1,"Lose – Tablare geschätzt; ","")))&amp;IF(H1430&gt;AR1430,"Überbestand "&amp;ROUND(H1430-AR1430,0)&amp;" Stk / CHF "&amp;ROUND((H1430-AR1430)*G1430,0)&amp;"; ","")&amp;IF(AND(CA1430=1,CB1430&lt;CC1430),"MAX &lt; MB+LG; ","")&amp;IF(AND(CG1430&gt;0,CF1430*10&gt;CG1430),"zu hoch für Tablar; ","")&amp;IF(AND(BP1430=0,OR(CA1430=1,AA1430&lt;&gt;"",U1430&lt;&gt;"",V1430&lt;&gt;"",AB1430&lt;&gt;"")),"manuell übersteuert; ","")&amp;IF(AND(BT1430=0,R1430=0),"Gebinde unbekannt / Stellmass fehlt; ","")&amp;IF(AND(BT1430=0,N(V1430)&lt;=0,N(Q1430)&lt;=0),"Menge pro Gebinde fehlt (Ist = 1 Gebinde); ","")&amp;BO1430)</f>
        <v>negativer Bestand (Export -58); </v>
      </c>
      <c r="BH1430" s="55"/>
      <c r="BI1430" s="55"/>
      <c r="BJ1430" s="62"/>
      <c r="BK1430" s="57" t="n">
        <v>-58</v>
      </c>
      <c r="BL1430" s="57" t="n">
        <v>116</v>
      </c>
      <c r="BM1430" s="56" t="n">
        <v>-6751.2</v>
      </c>
      <c r="BN1430" s="57" t="n">
        <v>10</v>
      </c>
      <c r="BO1430" s="55"/>
      <c r="BP1430" s="60" t="n">
        <v>0</v>
      </c>
      <c r="BQ1430" s="60" t="n">
        <v>1430</v>
      </c>
      <c r="BR1430" s="55" t="str">
        <f aca="false">IF(U1430&lt;&gt;"",UPPER(TRIM(U1430)),IF(BU1430=1,UPPER(VLOOKUP(T1430,Parameter!$I$27:$K$29,2,0)),IF(P1430="","LOSE",P1430)))</f>
        <v>S62</v>
      </c>
      <c r="BS1430" s="57" t="n">
        <f aca="false">IF(BR1430="LOSE",1,IF(N(V1430)&gt;0,V1430,IF(BU1430=1,MAX(1,N(VLOOKUP(T1430,Parameter!$I$27:$K$29,3,0)),H1430,N(N1430)),IF(N(Q1430)&gt;0,Q1430,MAX(1,H1430)))))</f>
        <v>80</v>
      </c>
      <c r="BT1430" s="60" t="n">
        <f aca="false">IF(BR1430="LOSE",1,0)</f>
        <v>0</v>
      </c>
      <c r="BU1430" s="60" t="n">
        <f aca="false">IF(AND(U1430="",OR(P1430="",P1430="LOSE"),T1430&lt;&gt;"",N(S1430)&lt;=0,ISNUMBER(MATCH(T1430,Parameter!$I$27:$I$29,0))),1,0)</f>
        <v>0</v>
      </c>
      <c r="BV1430" s="55" t="str">
        <f aca="false">IF(AND(Parameter!$B$19="Ja",E1430&lt;&gt;"",ISNUMBER(MATCH(E1430,Parameter!$I$35:$I$52,0))),VLOOKUP(E1430,Parameter!$I$35:$J$52,2,0),IFERROR(VLOOKUP(D1430,Parameter!$A$35:$C$64,2,0),"Nein"))</f>
        <v>2+3</v>
      </c>
      <c r="BW1430" s="59" t="n">
        <f aca="false">IF(BT1430=0,0,IF(N(S1430)&gt;0,S1430,IFERROR(VLOOKUP(D1430,Parameter!$A$35:$C$64,3,0)+0,0)))</f>
        <v>0</v>
      </c>
      <c r="BX1430" s="55" t="n">
        <f aca="false">IF(AA1430&lt;&gt;"",AA1430,Z1430)</f>
        <v>2</v>
      </c>
      <c r="BY1430" s="55" t="str">
        <f aca="false">IF(BX1430=1,"L1",IF(OR(BX1430=2,BX1430=3),"L23",IF(BX1430="Aussen","Aussen","-")))</f>
        <v>L23</v>
      </c>
      <c r="BZ1430" s="66" t="n">
        <f aca="false">IF(N(AB1430)&gt;0,AB1430,0)</f>
        <v>0</v>
      </c>
      <c r="CA1430" s="60" t="n">
        <f aca="false">IF(ISNUMBER(AE1430),1,0)</f>
        <v>0</v>
      </c>
      <c r="CB1430" s="57" t="n">
        <f aca="false">N(AE1430)</f>
        <v>0</v>
      </c>
      <c r="CC1430" s="57" t="n">
        <f aca="false">N(M1430)+N(N1430)</f>
        <v>10</v>
      </c>
      <c r="CD1430" s="57" t="n">
        <f aca="false">ROUNDUP(H1430/BS1430,0)</f>
        <v>1</v>
      </c>
      <c r="CE1430" s="57" t="n">
        <f aca="false">ROUNDUP(CB1430/BS1430,0)</f>
        <v>0</v>
      </c>
      <c r="CF1430" s="60" t="n">
        <f aca="false">IF(BT1430=1,0,IFERROR(VLOOKUP(BR1430,'Gebinde-Kategorie'!$A$5:$M$45,5,0)+0,0))</f>
        <v>21</v>
      </c>
      <c r="CG1430" s="60" t="n">
        <f aca="false">IFERROR(IF(OR(BX1430=1,BX1430=2,BX1430=3),N(INDEX(Parameter!$I$5:$I$7,BX1430)),0),0)</f>
        <v>0</v>
      </c>
      <c r="CH1430" s="59" t="n">
        <f aca="false">IF(AND(Parameter!$B$21="Ja",ISNUMBER(W1430),N(X1430)&gt;0),IFERROR(N(INDEX(Parameter!$L$5:$L$7,W1430))*INDEX(Parameter!$E$5:$E$7,W1430)*X1430/SUMIFS($X$7:$X$1843,$W$7:$W$1843,W1430),0),0)</f>
        <v>0</v>
      </c>
    </row>
    <row r="1431" customFormat="false" ht="15" hidden="false" customHeight="false" outlineLevel="0" collapsed="false">
      <c r="A1431" s="55" t="s">
        <v>2508</v>
      </c>
      <c r="B1431" s="55" t="s">
        <v>788</v>
      </c>
      <c r="C1431" s="55" t="s">
        <v>164</v>
      </c>
      <c r="D1431" s="55" t="s">
        <v>173</v>
      </c>
      <c r="E1431" s="55" t="s">
        <v>185</v>
      </c>
      <c r="F1431" s="55" t="s">
        <v>218</v>
      </c>
      <c r="G1431" s="56" t="n">
        <v>285.45</v>
      </c>
      <c r="H1431" s="57" t="n">
        <f aca="false">MAX(0,IF(AND(Parameter!$B$21="Ja",ISNUMBER(Y1431)),Y1431,IF(Parameter!$B$20="Jahresanfang 2025 + Export",BL1431+BK1431,BK1431)))</f>
        <v>52</v>
      </c>
      <c r="I1431" s="57" t="n">
        <f aca="false">H1431*G1431</f>
        <v>14843.4</v>
      </c>
      <c r="J1431" s="57" t="n">
        <f aca="false">BN1431*Parameter!$B$18</f>
        <v>310</v>
      </c>
      <c r="K1431" s="58" t="n">
        <v>64</v>
      </c>
      <c r="L1431" s="59" t="n">
        <v>4.84375</v>
      </c>
      <c r="M1431" s="57" t="n">
        <v>18</v>
      </c>
      <c r="N1431" s="57" t="n">
        <v>60</v>
      </c>
      <c r="O1431" s="60" t="n">
        <v>21</v>
      </c>
      <c r="P1431" s="55" t="s">
        <v>174</v>
      </c>
      <c r="Q1431" s="57" t="n">
        <v>112</v>
      </c>
      <c r="R1431" s="60" t="n">
        <f aca="false">IF(BT1431=1,0,IFERROR(VLOOKUP(BR1431,'Gebinde-Kategorie'!$A$5:$M$45,13,0)+0,0))</f>
        <v>6</v>
      </c>
      <c r="S1431" s="61"/>
      <c r="T1431" s="62"/>
      <c r="U1431" s="62"/>
      <c r="V1431" s="62"/>
      <c r="W1431" s="55"/>
      <c r="X1431" s="57"/>
      <c r="Y1431" s="57"/>
      <c r="Z1431" s="55" t="n">
        <f aca="false">IF(A1431="","",IF(AND(Parameter!$B$21="Ja",ISNUMBER(W1431)),W1431,IF(BV1431="2+3",IF(ISNUMBER(SEARCH("grosser Artikel",BO1431)),2,IFERROR(VLOOKUP(BR1431,Parameter!$F$35:$G$64,2,0),2)),IF(OR(BV1431="Nein",BV1431=""),"-",BV1431))))</f>
        <v>2</v>
      </c>
      <c r="AA1431" s="62"/>
      <c r="AB1431" s="63"/>
      <c r="AC1431" s="57" t="n">
        <f aca="false">AR1431</f>
        <v>224</v>
      </c>
      <c r="AD1431" s="57" t="n">
        <f aca="false">MAX(AR1431,H1431)</f>
        <v>224</v>
      </c>
      <c r="AE1431" s="64"/>
      <c r="AF1431" s="57" t="n">
        <f aca="false">IF(LEFT(Cockpit!$C$5,1)="A",H1431,IF(CA1431=1,CB1431,IF(LEFT(Cockpit!$C$5,1)="B",AJ1431,MAX(AJ1431,H1431))))</f>
        <v>52</v>
      </c>
      <c r="AG1431" s="57" t="n">
        <f aca="false">IF(BT1431=1,0,ROUNDUP(AF1431/BS1431,0))</f>
        <v>1</v>
      </c>
      <c r="AH1431" s="59" t="n">
        <f aca="false">IF(CH1431&gt;0,CH1431*MAX(1,AF1431/X1431),IF(BT1431=1,IF(AF1431&lt;=0,0,BW1431*MAX(1,IF(H1431&gt;0,AF1431/H1431,1))),IF(R1431&gt;0,AG1431/R1431,0))/MAX(0.1,N(Parameter!$M$21)))</f>
        <v>0.166666666666667</v>
      </c>
      <c r="AI1431" s="57" t="n">
        <f aca="false">AF1431*G1431</f>
        <v>14843.4</v>
      </c>
      <c r="AJ1431" s="57" t="n">
        <f aca="false">ROUNDUP(MAX(J1431/IF(BZ1431&gt;0,BZ1431,MAX(0.1,N(Cockpit!$C$6))),CC1431)/BS1431,0)*BS1431</f>
        <v>224</v>
      </c>
      <c r="AK1431" s="58" t="n">
        <f aca="false">IF(AH1431&gt;0,J1431/AH1431,-1)</f>
        <v>1860</v>
      </c>
      <c r="AL1431" s="58" t="n">
        <f aca="false">IF(AND(OR(BY1431="L1",BY1431="L23"),AH1431&gt;0),SUMIFS($AH$7:$AH$1843,$BY$7:$BY$1843,BY1431,$AK$7:$AK$1843,"&gt;"&amp;AK1431)+SUMIFS($AH$7:$AH$1843,$BY$7:$BY$1843,BY1431,$AK$7:$AK$1843,AK1431,$BQ$7:$BQ$1843,"&lt;="&amp;BQ1431),"")</f>
        <v>13.8801814127901</v>
      </c>
      <c r="AM1431" s="65" t="n">
        <f aca="false">IF(AL1431="",0,MAX(0,MIN(1,(IF(BY1431="L1",Parameter!$E$5,Parameter!$E$6+Parameter!$E$7)-(AL1431-AH1431))/AH1431)))</f>
        <v>1</v>
      </c>
      <c r="AN1431" s="57" t="n">
        <f aca="false">IF(LEFT(Cockpit!$I$5,1)="A",H1431,IF(CA1431=1,CB1431,IF(LEFT(Cockpit!$I$5,1)="B",AR1431,MAX(AR1431,H1431))))</f>
        <v>224</v>
      </c>
      <c r="AO1431" s="57" t="n">
        <f aca="false">IF(BT1431=1,0,ROUNDUP(AN1431/BS1431,0))</f>
        <v>2</v>
      </c>
      <c r="AP1431" s="59" t="n">
        <f aca="false">IF(CH1431&gt;0,CH1431*MAX(1,AN1431/X1431),IF(BT1431=1,IF(AN1431&lt;=0,0,BW1431*MAX(1,IF(H1431&gt;0,AN1431/H1431,1))),IF(R1431&gt;0,AO1431/R1431,0))/MAX(0.1,N(Parameter!$M$21)))</f>
        <v>0.333333333333333</v>
      </c>
      <c r="AQ1431" s="57" t="n">
        <f aca="false">AN1431*G1431</f>
        <v>63940.8</v>
      </c>
      <c r="AR1431" s="57" t="n">
        <f aca="false">ROUNDUP(MAX(J1431/IF(BZ1431&gt;0,BZ1431,MAX(0.1,N(Cockpit!$I$6))),CC1431)/BS1431,0)*BS1431</f>
        <v>224</v>
      </c>
      <c r="AS1431" s="58" t="n">
        <f aca="false">IF(AP1431&gt;0,J1431/AP1431,-1)</f>
        <v>930</v>
      </c>
      <c r="AT1431" s="58" t="n">
        <f aca="false">IF(AND(OR(BY1431="L1",BY1431="L23"),AP1431&gt;0),SUMIFS($AP$7:$AP$1843,$BY$7:$BY$1843,BY1431,$AS$7:$AS$1843,"&gt;"&amp;AS1431)+SUMIFS($AP$7:$AP$1843,$BY$7:$BY$1843,BY1431,$AS$7:$AS$1843,AS1431,$BQ$7:$BQ$1843,"&lt;="&amp;BQ1431),"")</f>
        <v>24.4198591263809</v>
      </c>
      <c r="AU1431" s="65" t="n">
        <f aca="false">IF(AT1431="",0,MAX(0,MIN(1,(IF(BY1431="L1",Parameter!$E$5,Parameter!$E$6+Parameter!$E$7)-(AT1431-AP1431))/AP1431)))</f>
        <v>1</v>
      </c>
      <c r="AV1431" s="57" t="n">
        <f aca="false">IF(LEFT(Cockpit!$O$5,1)="A",H1431,IF(CA1431=1,CB1431,IF(LEFT(Cockpit!$O$5,1)="B",AZ1431,MAX(AZ1431,H1431))))</f>
        <v>112</v>
      </c>
      <c r="AW1431" s="57" t="n">
        <f aca="false">IF(BT1431=1,0,ROUNDUP(AV1431/BS1431,0))</f>
        <v>1</v>
      </c>
      <c r="AX1431" s="59" t="n">
        <f aca="false">IF(CH1431&gt;0,CH1431*MAX(1,AV1431/X1431),IF(BT1431=1,IF(AV1431&lt;=0,0,BW1431*MAX(1,IF(H1431&gt;0,AV1431/H1431,1))),IF(R1431&gt;0,AW1431/R1431,0))/MAX(0.1,N(Parameter!$M$21)))</f>
        <v>0.166666666666667</v>
      </c>
      <c r="AY1431" s="57" t="n">
        <f aca="false">AV1431*G1431</f>
        <v>31970.4</v>
      </c>
      <c r="AZ1431" s="57" t="n">
        <f aca="false">ROUNDUP(MAX(J1431/IF(BZ1431&gt;0,BZ1431,MAX(0.1,N(Cockpit!$O$6))),CC1431)/BS1431,0)*BS1431</f>
        <v>112</v>
      </c>
      <c r="BA1431" s="58" t="n">
        <f aca="false">IF(AX1431&gt;0,J1431/AX1431,-1)</f>
        <v>1860</v>
      </c>
      <c r="BB1431" s="58" t="n">
        <f aca="false">IF(AND(OR(BY1431="L1",BY1431="L23"),AX1431&gt;0),SUMIFS($AX$7:$AX$1843,$BY$7:$BY$1843,BY1431,$BA$7:$BA$1843,"&gt;"&amp;BA1431)+SUMIFS($AX$7:$AX$1843,$BY$7:$BY$1843,BY1431,$BA$7:$BA$1843,BA1431,$BQ$7:$BQ$1843,"&lt;="&amp;BQ1431),"")</f>
        <v>17.8962619506098</v>
      </c>
      <c r="BC1431" s="65" t="n">
        <f aca="false">IF(BB1431="",0,MAX(0,MIN(1,(IF(BY1431="L1",Parameter!$E$5,Parameter!$E$6+Parameter!$E$7)-(BB1431-AX1431))/AX1431)))</f>
        <v>1</v>
      </c>
      <c r="BD1431" s="55" t="str">
        <f aca="false">IF(AH1431&lt;=0,"",IF(BY1431="Aussen","Aussenlager",IF(BY1431="-","Nicht im Lift",IF(AM1431&gt;=1,"Lift",IF(AM1431&lt;=0,"Aussenlager","teilweise")))))</f>
        <v>Lift</v>
      </c>
      <c r="BE1431" s="55" t="str">
        <f aca="false">IF(AP1431&lt;=0,"",IF(BY1431="Aussen","Aussenlager",IF(BY1431="-","Nicht im Lift",IF(AU1431&gt;=1,"Lift",IF(AU1431&lt;=0,"Aussenlager","teilweise")))))</f>
        <v>Lift</v>
      </c>
      <c r="BF1431" s="55" t="str">
        <f aca="false">IF(AX1431&lt;=0,"",IF(BY1431="Aussen","Aussenlager",IF(BY1431="-","Nicht im Lift",IF(BC1431&gt;=1,"Lift",IF(BC1431&lt;=0,"Aussenlager","teilweise")))))</f>
        <v>Lift</v>
      </c>
      <c r="BG1431" s="55" t="str">
        <f aca="false">IF(A1431="","",IF(BP1431=1,"Neu; ","")&amp;IF(AND(BP1431=0,BK1431&lt;0),"negativer Bestand (Export "&amp;BK1431&amp;"); ","")&amp;IF(J1431&lt;=0,"Kein Verbrauch; ","")&amp;IF(CH1431&gt;0,"Lift "&amp;W1431&amp;" lt. Liftbericht (Fach "&amp;X1431&amp;" Stk); ",IF(BU1431=1,"Gebinde geschätzt ("&amp;T1431&amp;"); ",IF(BT1431=1,"Lose – Tablare geschätzt; ","")))&amp;IF(H1431&gt;AR1431,"Überbestand "&amp;ROUND(H1431-AR1431,0)&amp;" Stk / CHF "&amp;ROUND((H1431-AR1431)*G1431,0)&amp;"; ","")&amp;IF(AND(CA1431=1,CB1431&lt;CC1431),"MAX &lt; MB+LG; ","")&amp;IF(AND(CG1431&gt;0,CF1431*10&gt;CG1431),"zu hoch für Tablar; ","")&amp;IF(AND(BP1431=0,OR(CA1431=1,AA1431&lt;&gt;"",U1431&lt;&gt;"",V1431&lt;&gt;"",AB1431&lt;&gt;"")),"manuell übersteuert; ","")&amp;IF(AND(BT1431=0,R1431=0),"Gebinde unbekannt / Stellmass fehlt; ","")&amp;IF(AND(BT1431=0,N(V1431)&lt;=0,N(Q1431)&lt;=0),"Menge pro Gebinde fehlt (Ist = 1 Gebinde); ","")&amp;BO1431)</f>
        <v>negativer Bestand (Export -14); grosser Artikel &amp; nicht im KTL</v>
      </c>
      <c r="BH1431" s="55"/>
      <c r="BI1431" s="55"/>
      <c r="BJ1431" s="62"/>
      <c r="BK1431" s="57" t="n">
        <v>-14</v>
      </c>
      <c r="BL1431" s="57" t="n">
        <v>66</v>
      </c>
      <c r="BM1431" s="56" t="n">
        <v>-6931.97999999999</v>
      </c>
      <c r="BN1431" s="57" t="n">
        <v>310</v>
      </c>
      <c r="BO1431" s="55" t="s">
        <v>261</v>
      </c>
      <c r="BP1431" s="60" t="n">
        <v>0</v>
      </c>
      <c r="BQ1431" s="60" t="n">
        <v>1431</v>
      </c>
      <c r="BR1431" s="55" t="str">
        <f aca="false">IF(U1431&lt;&gt;"",UPPER(TRIM(U1431)),IF(BU1431=1,UPPER(VLOOKUP(T1431,Parameter!$I$27:$K$29,2,0)),IF(P1431="","LOSE",P1431)))</f>
        <v>S71</v>
      </c>
      <c r="BS1431" s="57" t="n">
        <f aca="false">IF(BR1431="LOSE",1,IF(N(V1431)&gt;0,V1431,IF(BU1431=1,MAX(1,N(VLOOKUP(T1431,Parameter!$I$27:$K$29,3,0)),H1431,N(N1431)),IF(N(Q1431)&gt;0,Q1431,MAX(1,H1431)))))</f>
        <v>112</v>
      </c>
      <c r="BT1431" s="60" t="n">
        <f aca="false">IF(BR1431="LOSE",1,0)</f>
        <v>0</v>
      </c>
      <c r="BU1431" s="60" t="n">
        <f aca="false">IF(AND(U1431="",OR(P1431="",P1431="LOSE"),T1431&lt;&gt;"",N(S1431)&lt;=0,ISNUMBER(MATCH(T1431,Parameter!$I$27:$I$29,0))),1,0)</f>
        <v>0</v>
      </c>
      <c r="BV1431" s="55" t="str">
        <f aca="false">IF(AND(Parameter!$B$19="Ja",E1431&lt;&gt;"",ISNUMBER(MATCH(E1431,Parameter!$I$35:$I$52,0))),VLOOKUP(E1431,Parameter!$I$35:$J$52,2,0),IFERROR(VLOOKUP(D1431,Parameter!$A$35:$C$64,2,0),"Nein"))</f>
        <v>2+3</v>
      </c>
      <c r="BW1431" s="59" t="n">
        <f aca="false">IF(BT1431=0,0,IF(N(S1431)&gt;0,S1431,IFERROR(VLOOKUP(D1431,Parameter!$A$35:$C$64,3,0)+0,0)))</f>
        <v>0</v>
      </c>
      <c r="BX1431" s="55" t="n">
        <f aca="false">IF(AA1431&lt;&gt;"",AA1431,Z1431)</f>
        <v>2</v>
      </c>
      <c r="BY1431" s="55" t="str">
        <f aca="false">IF(BX1431=1,"L1",IF(OR(BX1431=2,BX1431=3),"L23",IF(BX1431="Aussen","Aussen","-")))</f>
        <v>L23</v>
      </c>
      <c r="BZ1431" s="66" t="n">
        <f aca="false">IF(N(AB1431)&gt;0,AB1431,0)</f>
        <v>0</v>
      </c>
      <c r="CA1431" s="60" t="n">
        <f aca="false">IF(ISNUMBER(AE1431),1,0)</f>
        <v>0</v>
      </c>
      <c r="CB1431" s="57" t="n">
        <f aca="false">N(AE1431)</f>
        <v>0</v>
      </c>
      <c r="CC1431" s="57" t="n">
        <f aca="false">N(M1431)+N(N1431)</f>
        <v>78</v>
      </c>
      <c r="CD1431" s="57" t="n">
        <f aca="false">ROUNDUP(H1431/BS1431,0)</f>
        <v>1</v>
      </c>
      <c r="CE1431" s="57" t="n">
        <f aca="false">ROUNDUP(CB1431/BS1431,0)</f>
        <v>0</v>
      </c>
      <c r="CF1431" s="60" t="n">
        <f aca="false">IF(BT1431=1,0,IFERROR(VLOOKUP(BR1431,'Gebinde-Kategorie'!$A$5:$M$45,5,0)+0,0))</f>
        <v>20</v>
      </c>
      <c r="CG1431" s="60" t="n">
        <f aca="false">IFERROR(IF(OR(BX1431=1,BX1431=2,BX1431=3),N(INDEX(Parameter!$I$5:$I$7,BX1431)),0),0)</f>
        <v>0</v>
      </c>
      <c r="CH1431" s="59" t="n">
        <f aca="false">IF(AND(Parameter!$B$21="Ja",ISNUMBER(W1431),N(X1431)&gt;0),IFERROR(N(INDEX(Parameter!$L$5:$L$7,W1431))*INDEX(Parameter!$E$5:$E$7,W1431)*X1431/SUMIFS($X$7:$X$1843,$W$7:$W$1843,W1431),0),0)</f>
        <v>0</v>
      </c>
    </row>
    <row r="1432" customFormat="false" ht="15" hidden="false" customHeight="false" outlineLevel="0" collapsed="false">
      <c r="A1432" s="55" t="s">
        <v>2509</v>
      </c>
      <c r="B1432" s="55" t="s">
        <v>163</v>
      </c>
      <c r="C1432" s="55" t="s">
        <v>164</v>
      </c>
      <c r="D1432" s="55" t="s">
        <v>165</v>
      </c>
      <c r="E1432" s="55" t="s">
        <v>166</v>
      </c>
      <c r="F1432" s="55" t="s">
        <v>218</v>
      </c>
      <c r="G1432" s="56" t="n">
        <v>2330</v>
      </c>
      <c r="H1432" s="57" t="n">
        <f aca="false">MAX(0,IF(AND(Parameter!$B$21="Ja",ISNUMBER(Y1432)),Y1432,IF(Parameter!$B$20="Jahresanfang 2025 + Export",BL1432+BK1432,BK1432)))</f>
        <v>1</v>
      </c>
      <c r="I1432" s="57" t="n">
        <f aca="false">H1432*G1432</f>
        <v>2330</v>
      </c>
      <c r="J1432" s="57" t="n">
        <f aca="false">BN1432*Parameter!$B$18</f>
        <v>1</v>
      </c>
      <c r="K1432" s="58" t="n">
        <v>3.5</v>
      </c>
      <c r="L1432" s="59" t="n">
        <v>0.285714285714286</v>
      </c>
      <c r="M1432" s="57" t="n">
        <v>0</v>
      </c>
      <c r="N1432" s="57" t="n">
        <v>1</v>
      </c>
      <c r="O1432" s="60" t="n">
        <v>58</v>
      </c>
      <c r="P1432" s="55" t="s">
        <v>168</v>
      </c>
      <c r="Q1432" s="57"/>
      <c r="R1432" s="60" t="n">
        <f aca="false">IF(BT1432=1,0,IFERROR(VLOOKUP(BR1432,'Gebinde-Kategorie'!$A$5:$M$45,13,0)+0,0))</f>
        <v>0</v>
      </c>
      <c r="S1432" s="61"/>
      <c r="T1432" s="62"/>
      <c r="U1432" s="62"/>
      <c r="V1432" s="62"/>
      <c r="W1432" s="55" t="n">
        <v>1</v>
      </c>
      <c r="X1432" s="57" t="n">
        <v>3</v>
      </c>
      <c r="Y1432" s="57" t="n">
        <v>1</v>
      </c>
      <c r="Z1432" s="55" t="n">
        <f aca="false">IF(A1432="","",IF(AND(Parameter!$B$21="Ja",ISNUMBER(W1432)),W1432,IF(BV1432="2+3",IF(ISNUMBER(SEARCH("grosser Artikel",BO1432)),2,IFERROR(VLOOKUP(BR1432,Parameter!$F$35:$G$64,2,0),2)),IF(OR(BV1432="Nein",BV1432=""),"-",BV1432))))</f>
        <v>1</v>
      </c>
      <c r="AA1432" s="62"/>
      <c r="AB1432" s="63"/>
      <c r="AC1432" s="57" t="n">
        <f aca="false">AR1432</f>
        <v>1</v>
      </c>
      <c r="AD1432" s="57" t="n">
        <f aca="false">MAX(AR1432,H1432)</f>
        <v>1</v>
      </c>
      <c r="AE1432" s="64"/>
      <c r="AF1432" s="57" t="n">
        <f aca="false">IF(LEFT(Cockpit!$C$5,1)="A",H1432,IF(CA1432=1,CB1432,IF(LEFT(Cockpit!$C$5,1)="B",AJ1432,MAX(AJ1432,H1432))))</f>
        <v>1</v>
      </c>
      <c r="AG1432" s="57" t="n">
        <f aca="false">IF(BT1432=1,0,ROUNDUP(AF1432/BS1432,0))</f>
        <v>0</v>
      </c>
      <c r="AH1432" s="59" t="n">
        <f aca="false">IF(CH1432&gt;0,CH1432*MAX(1,AF1432/X1432),IF(BT1432=1,IF(AF1432&lt;=0,0,BW1432*MAX(1,IF(H1432&gt;0,AF1432/H1432,1))),IF(R1432&gt;0,AG1432/R1432,0))/MAX(0.1,N(Parameter!$M$21)))</f>
        <v>0.240112994350283</v>
      </c>
      <c r="AI1432" s="57" t="n">
        <f aca="false">AF1432*G1432</f>
        <v>2330</v>
      </c>
      <c r="AJ1432" s="57" t="n">
        <f aca="false">ROUNDUP(MAX(J1432/IF(BZ1432&gt;0,BZ1432,MAX(0.1,N(Cockpit!$C$6))),CC1432)/BS1432,0)*BS1432</f>
        <v>1</v>
      </c>
      <c r="AK1432" s="58" t="n">
        <f aca="false">IF(AH1432&gt;0,J1432/AH1432,-1)</f>
        <v>4.16470588235294</v>
      </c>
      <c r="AL1432" s="58" t="n">
        <f aca="false">IF(AND(OR(BY1432="L1",BY1432="L23"),AH1432&gt;0),SUMIFS($AH$7:$AH$1843,$BY$7:$BY$1843,BY1432,$AK$7:$AK$1843,"&gt;"&amp;AK1432)+SUMIFS($AH$7:$AH$1843,$BY$7:$BY$1843,BY1432,$AK$7:$AK$1843,AK1432,$BQ$7:$BQ$1843,"&lt;="&amp;BQ1432),"")</f>
        <v>44.5804029753919</v>
      </c>
      <c r="AM1432" s="65" t="n">
        <f aca="false">IF(AL1432="",0,MAX(0,MIN(1,(IF(BY1432="L1",Parameter!$E$5,Parameter!$E$6+Parameter!$E$7)-(AL1432-AH1432))/AH1432)))</f>
        <v>1</v>
      </c>
      <c r="AN1432" s="57" t="n">
        <f aca="false">IF(LEFT(Cockpit!$I$5,1)="A",H1432,IF(CA1432=1,CB1432,IF(LEFT(Cockpit!$I$5,1)="B",AR1432,MAX(AR1432,H1432))))</f>
        <v>1</v>
      </c>
      <c r="AO1432" s="57" t="n">
        <f aca="false">IF(BT1432=1,0,ROUNDUP(AN1432/BS1432,0))</f>
        <v>0</v>
      </c>
      <c r="AP1432" s="59" t="n">
        <f aca="false">IF(CH1432&gt;0,CH1432*MAX(1,AN1432/X1432),IF(BT1432=1,IF(AN1432&lt;=0,0,BW1432*MAX(1,IF(H1432&gt;0,AN1432/H1432,1))),IF(R1432&gt;0,AO1432/R1432,0))/MAX(0.1,N(Parameter!$M$21)))</f>
        <v>0.240112994350283</v>
      </c>
      <c r="AQ1432" s="57" t="n">
        <f aca="false">AN1432*G1432</f>
        <v>2330</v>
      </c>
      <c r="AR1432" s="57" t="n">
        <f aca="false">ROUNDUP(MAX(J1432/IF(BZ1432&gt;0,BZ1432,MAX(0.1,N(Cockpit!$I$6))),CC1432)/BS1432,0)*BS1432</f>
        <v>1</v>
      </c>
      <c r="AS1432" s="58" t="n">
        <f aca="false">IF(AP1432&gt;0,J1432/AP1432,-1)</f>
        <v>4.16470588235294</v>
      </c>
      <c r="AT1432" s="58" t="n">
        <f aca="false">IF(AND(OR(BY1432="L1",BY1432="L23"),AP1432&gt;0),SUMIFS($AP$7:$AP$1843,$BY$7:$BY$1843,BY1432,$AS$7:$AS$1843,"&gt;"&amp;AS1432)+SUMIFS($AP$7:$AP$1843,$BY$7:$BY$1843,BY1432,$AS$7:$AS$1843,AS1432,$BQ$7:$BQ$1843,"&lt;="&amp;BQ1432),"")</f>
        <v>59.4529946022208</v>
      </c>
      <c r="AU1432" s="65" t="n">
        <f aca="false">IF(AT1432="",0,MAX(0,MIN(1,(IF(BY1432="L1",Parameter!$E$5,Parameter!$E$6+Parameter!$E$7)-(AT1432-AP1432))/AP1432)))</f>
        <v>0</v>
      </c>
      <c r="AV1432" s="57" t="n">
        <f aca="false">IF(LEFT(Cockpit!$O$5,1)="A",H1432,IF(CA1432=1,CB1432,IF(LEFT(Cockpit!$O$5,1)="B",AZ1432,MAX(AZ1432,H1432))))</f>
        <v>1</v>
      </c>
      <c r="AW1432" s="57" t="n">
        <f aca="false">IF(BT1432=1,0,ROUNDUP(AV1432/BS1432,0))</f>
        <v>0</v>
      </c>
      <c r="AX1432" s="59" t="n">
        <f aca="false">IF(CH1432&gt;0,CH1432*MAX(1,AV1432/X1432),IF(BT1432=1,IF(AV1432&lt;=0,0,BW1432*MAX(1,IF(H1432&gt;0,AV1432/H1432,1))),IF(R1432&gt;0,AW1432/R1432,0))/MAX(0.1,N(Parameter!$M$21)))</f>
        <v>0.240112994350283</v>
      </c>
      <c r="AY1432" s="57" t="n">
        <f aca="false">AV1432*G1432</f>
        <v>2330</v>
      </c>
      <c r="AZ1432" s="57" t="n">
        <f aca="false">ROUNDUP(MAX(J1432/IF(BZ1432&gt;0,BZ1432,MAX(0.1,N(Cockpit!$O$6))),CC1432)/BS1432,0)*BS1432</f>
        <v>1</v>
      </c>
      <c r="BA1432" s="58" t="n">
        <f aca="false">IF(AX1432&gt;0,J1432/AX1432,-1)</f>
        <v>4.16470588235294</v>
      </c>
      <c r="BB1432" s="58" t="n">
        <f aca="false">IF(AND(OR(BY1432="L1",BY1432="L23"),AX1432&gt;0),SUMIFS($AX$7:$AX$1843,$BY$7:$BY$1843,BY1432,$BA$7:$BA$1843,"&gt;"&amp;BA1432)+SUMIFS($AX$7:$AX$1843,$BY$7:$BY$1843,BY1432,$BA$7:$BA$1843,BA1432,$BQ$7:$BQ$1843,"&lt;="&amp;BQ1432),"")</f>
        <v>53.1198061334391</v>
      </c>
      <c r="BC1432" s="65" t="n">
        <f aca="false">IF(BB1432="",0,MAX(0,MIN(1,(IF(BY1432="L1",Parameter!$E$5,Parameter!$E$6+Parameter!$E$7)-(BB1432-AX1432))/AX1432)))</f>
        <v>0</v>
      </c>
      <c r="BD1432" s="55" t="str">
        <f aca="false">IF(AH1432&lt;=0,"",IF(BY1432="Aussen","Aussenlager",IF(BY1432="-","Nicht im Lift",IF(AM1432&gt;=1,"Lift",IF(AM1432&lt;=0,"Aussenlager","teilweise")))))</f>
        <v>Lift</v>
      </c>
      <c r="BE1432" s="55" t="str">
        <f aca="false">IF(AP1432&lt;=0,"",IF(BY1432="Aussen","Aussenlager",IF(BY1432="-","Nicht im Lift",IF(AU1432&gt;=1,"Lift",IF(AU1432&lt;=0,"Aussenlager","teilweise")))))</f>
        <v>Aussenlager</v>
      </c>
      <c r="BF1432" s="55" t="str">
        <f aca="false">IF(AX1432&lt;=0,"",IF(BY1432="Aussen","Aussenlager",IF(BY1432="-","Nicht im Lift",IF(BC1432&gt;=1,"Lift",IF(BC1432&lt;=0,"Aussenlager","teilweise")))))</f>
        <v>Aussenlager</v>
      </c>
      <c r="BG1432" s="55" t="str">
        <f aca="false">IF(A1432="","",IF(BP1432=1,"Neu; ","")&amp;IF(AND(BP1432=0,BK1432&lt;0),"negativer Bestand (Export "&amp;BK1432&amp;"); ","")&amp;IF(J1432&lt;=0,"Kein Verbrauch; ","")&amp;IF(CH1432&gt;0,"Lift "&amp;W1432&amp;" lt. Liftbericht (Fach "&amp;X1432&amp;" Stk); ",IF(BU1432=1,"Gebinde geschätzt ("&amp;T1432&amp;"); ",IF(BT1432=1,"Lose – Tablare geschätzt; ","")))&amp;IF(H1432&gt;AR1432,"Überbestand "&amp;ROUND(H1432-AR1432,0)&amp;" Stk / CHF "&amp;ROUND((H1432-AR1432)*G1432,0)&amp;"; ","")&amp;IF(AND(CA1432=1,CB1432&lt;CC1432),"MAX &lt; MB+LG; ","")&amp;IF(AND(CG1432&gt;0,CF1432*10&gt;CG1432),"zu hoch für Tablar; ","")&amp;IF(AND(BP1432=0,OR(CA1432=1,AA1432&lt;&gt;"",U1432&lt;&gt;"",V1432&lt;&gt;"",AB1432&lt;&gt;"")),"manuell übersteuert; ","")&amp;IF(AND(BT1432=0,R1432=0),"Gebinde unbekannt / Stellmass fehlt; ","")&amp;IF(AND(BT1432=0,N(V1432)&lt;=0,N(Q1432)&lt;=0),"Menge pro Gebinde fehlt (Ist = 1 Gebinde); ","")&amp;BO1432)</f>
        <v>negativer Bestand (Export -3); Lift 1 lt. Liftbericht (Fach 3 Stk); Überbestand</v>
      </c>
      <c r="BH1432" s="55"/>
      <c r="BI1432" s="55"/>
      <c r="BJ1432" s="62"/>
      <c r="BK1432" s="57" t="n">
        <v>-3</v>
      </c>
      <c r="BL1432" s="57" t="n">
        <v>4</v>
      </c>
      <c r="BM1432" s="56" t="n">
        <v>-6990</v>
      </c>
      <c r="BN1432" s="57" t="n">
        <v>1</v>
      </c>
      <c r="BO1432" s="55" t="s">
        <v>392</v>
      </c>
      <c r="BP1432" s="60" t="n">
        <v>0</v>
      </c>
      <c r="BQ1432" s="60" t="n">
        <v>1432</v>
      </c>
      <c r="BR1432" s="55" t="str">
        <f aca="false">IF(U1432&lt;&gt;"",UPPER(TRIM(U1432)),IF(BU1432=1,UPPER(VLOOKUP(T1432,Parameter!$I$27:$K$29,2,0)),IF(P1432="","LOSE",P1432)))</f>
        <v>LOSE</v>
      </c>
      <c r="BS1432" s="57" t="n">
        <f aca="false">IF(BR1432="LOSE",1,IF(N(V1432)&gt;0,V1432,IF(BU1432=1,MAX(1,N(VLOOKUP(T1432,Parameter!$I$27:$K$29,3,0)),H1432,N(N1432)),IF(N(Q1432)&gt;0,Q1432,MAX(1,H1432)))))</f>
        <v>1</v>
      </c>
      <c r="BT1432" s="60" t="n">
        <f aca="false">IF(BR1432="LOSE",1,0)</f>
        <v>1</v>
      </c>
      <c r="BU1432" s="60" t="n">
        <f aca="false">IF(AND(U1432="",OR(P1432="",P1432="LOSE"),T1432&lt;&gt;"",N(S1432)&lt;=0,ISNUMBER(MATCH(T1432,Parameter!$I$27:$I$29,0))),1,0)</f>
        <v>0</v>
      </c>
      <c r="BV1432" s="55" t="n">
        <f aca="false">IF(AND(Parameter!$B$19="Ja",E1432&lt;&gt;"",ISNUMBER(MATCH(E1432,Parameter!$I$35:$I$52,0))),VLOOKUP(E1432,Parameter!$I$35:$J$52,2,0),IFERROR(VLOOKUP(D1432,Parameter!$A$35:$C$64,2,0),"Nein"))</f>
        <v>1</v>
      </c>
      <c r="BW1432" s="59" t="n">
        <f aca="false">IF(BT1432=0,0,IF(N(S1432)&gt;0,S1432,IFERROR(VLOOKUP(D1432,Parameter!$A$35:$C$64,3,0)+0,0)))</f>
        <v>1</v>
      </c>
      <c r="BX1432" s="55" t="n">
        <f aca="false">IF(AA1432&lt;&gt;"",AA1432,Z1432)</f>
        <v>1</v>
      </c>
      <c r="BY1432" s="55" t="str">
        <f aca="false">IF(BX1432=1,"L1",IF(OR(BX1432=2,BX1432=3),"L23",IF(BX1432="Aussen","Aussen","-")))</f>
        <v>L1</v>
      </c>
      <c r="BZ1432" s="66" t="n">
        <f aca="false">IF(N(AB1432)&gt;0,AB1432,0)</f>
        <v>0</v>
      </c>
      <c r="CA1432" s="60" t="n">
        <f aca="false">IF(ISNUMBER(AE1432),1,0)</f>
        <v>0</v>
      </c>
      <c r="CB1432" s="57" t="n">
        <f aca="false">N(AE1432)</f>
        <v>0</v>
      </c>
      <c r="CC1432" s="57" t="n">
        <f aca="false">N(M1432)+N(N1432)</f>
        <v>1</v>
      </c>
      <c r="CD1432" s="57" t="n">
        <f aca="false">ROUNDUP(H1432/BS1432,0)</f>
        <v>1</v>
      </c>
      <c r="CE1432" s="57" t="n">
        <f aca="false">ROUNDUP(CB1432/BS1432,0)</f>
        <v>0</v>
      </c>
      <c r="CF1432" s="60" t="n">
        <f aca="false">IF(BT1432=1,0,IFERROR(VLOOKUP(BR1432,'Gebinde-Kategorie'!$A$5:$M$45,5,0)+0,0))</f>
        <v>0</v>
      </c>
      <c r="CG1432" s="60" t="n">
        <f aca="false">IFERROR(IF(OR(BX1432=1,BX1432=2,BX1432=3),N(INDEX(Parameter!$I$5:$I$7,BX1432)),0),0)</f>
        <v>0</v>
      </c>
      <c r="CH1432" s="59" t="n">
        <f aca="false">IF(AND(Parameter!$B$21="Ja",ISNUMBER(W1432),N(X1432)&gt;0),IFERROR(N(INDEX(Parameter!$L$5:$L$7,W1432))*INDEX(Parameter!$E$5:$E$7,W1432)*X1432/SUMIFS($X$7:$X$1843,$W$7:$W$1843,W1432),0),0)</f>
        <v>0.240112994350283</v>
      </c>
    </row>
    <row r="1433" customFormat="false" ht="15" hidden="false" customHeight="false" outlineLevel="0" collapsed="false">
      <c r="A1433" s="55" t="s">
        <v>2510</v>
      </c>
      <c r="B1433" s="55" t="s">
        <v>2511</v>
      </c>
      <c r="C1433" s="55" t="s">
        <v>164</v>
      </c>
      <c r="D1433" s="55" t="s">
        <v>353</v>
      </c>
      <c r="E1433" s="55"/>
      <c r="F1433" s="55" t="s">
        <v>218</v>
      </c>
      <c r="G1433" s="56" t="n">
        <v>3532.08</v>
      </c>
      <c r="H1433" s="57" t="n">
        <f aca="false">MAX(0,IF(AND(Parameter!$B$21="Ja",ISNUMBER(Y1433)),Y1433,IF(Parameter!$B$20="Jahresanfang 2025 + Export",BL1433+BK1433,BK1433)))</f>
        <v>0</v>
      </c>
      <c r="I1433" s="57" t="n">
        <f aca="false">H1433*G1433</f>
        <v>0</v>
      </c>
      <c r="J1433" s="57" t="n">
        <f aca="false">BN1433*Parameter!$B$18</f>
        <v>0</v>
      </c>
      <c r="K1433" s="58" t="n">
        <v>1</v>
      </c>
      <c r="L1433" s="59" t="n">
        <v>0</v>
      </c>
      <c r="M1433" s="57" t="n">
        <v>0</v>
      </c>
      <c r="N1433" s="57" t="n">
        <v>1</v>
      </c>
      <c r="O1433" s="60" t="n">
        <v>90</v>
      </c>
      <c r="P1433" s="55" t="s">
        <v>168</v>
      </c>
      <c r="Q1433" s="57"/>
      <c r="R1433" s="60" t="n">
        <f aca="false">IF(BT1433=1,0,IFERROR(VLOOKUP(BR1433,'Gebinde-Kategorie'!$A$5:$M$45,13,0)+0,0))</f>
        <v>0</v>
      </c>
      <c r="S1433" s="61"/>
      <c r="T1433" s="62"/>
      <c r="U1433" s="62"/>
      <c r="V1433" s="62"/>
      <c r="W1433" s="55"/>
      <c r="X1433" s="57"/>
      <c r="Y1433" s="57"/>
      <c r="Z1433" s="55" t="str">
        <f aca="false">IF(A1433="","",IF(AND(Parameter!$B$21="Ja",ISNUMBER(W1433)),W1433,IF(BV1433="2+3",IF(ISNUMBER(SEARCH("grosser Artikel",BO1433)),2,IFERROR(VLOOKUP(BR1433,Parameter!$F$35:$G$64,2,0),2)),IF(OR(BV1433="Nein",BV1433=""),"-",BV1433))))</f>
        <v>-</v>
      </c>
      <c r="AA1433" s="62"/>
      <c r="AB1433" s="63"/>
      <c r="AC1433" s="57" t="n">
        <f aca="false">AR1433</f>
        <v>1</v>
      </c>
      <c r="AD1433" s="57" t="n">
        <f aca="false">MAX(AR1433,H1433)</f>
        <v>1</v>
      </c>
      <c r="AE1433" s="64"/>
      <c r="AF1433" s="57" t="n">
        <f aca="false">IF(LEFT(Cockpit!$C$5,1)="A",H1433,IF(CA1433=1,CB1433,IF(LEFT(Cockpit!$C$5,1)="B",AJ1433,MAX(AJ1433,H1433))))</f>
        <v>0</v>
      </c>
      <c r="AG1433" s="57" t="n">
        <f aca="false">IF(BT1433=1,0,ROUNDUP(AF1433/BS1433,0))</f>
        <v>0</v>
      </c>
      <c r="AH1433" s="59" t="n">
        <f aca="false">IF(CH1433&gt;0,CH1433*MAX(1,AF1433/X1433),IF(BT1433=1,IF(AF1433&lt;=0,0,BW1433*MAX(1,IF(H1433&gt;0,AF1433/H1433,1))),IF(R1433&gt;0,AG1433/R1433,0))/MAX(0.1,N(Parameter!$M$21)))</f>
        <v>0</v>
      </c>
      <c r="AI1433" s="57" t="n">
        <f aca="false">AF1433*G1433</f>
        <v>0</v>
      </c>
      <c r="AJ1433" s="57" t="n">
        <f aca="false">ROUNDUP(MAX(J1433/IF(BZ1433&gt;0,BZ1433,MAX(0.1,N(Cockpit!$C$6))),CC1433)/BS1433,0)*BS1433</f>
        <v>1</v>
      </c>
      <c r="AK1433" s="58" t="n">
        <f aca="false">IF(AH1433&gt;0,J1433/AH1433,-1)</f>
        <v>-1</v>
      </c>
      <c r="AL1433" s="58" t="str">
        <f aca="false">IF(AND(OR(BY1433="L1",BY1433="L23"),AH1433&gt;0),SUMIFS($AH$7:$AH$1843,$BY$7:$BY$1843,BY1433,$AK$7:$AK$1843,"&gt;"&amp;AK1433)+SUMIFS($AH$7:$AH$1843,$BY$7:$BY$1843,BY1433,$AK$7:$AK$1843,AK1433,$BQ$7:$BQ$1843,"&lt;="&amp;BQ1433),"")</f>
        <v/>
      </c>
      <c r="AM1433" s="65" t="n">
        <f aca="false">IF(AL1433="",0,MAX(0,MIN(1,(IF(BY1433="L1",Parameter!$E$5,Parameter!$E$6+Parameter!$E$7)-(AL1433-AH1433))/AH1433)))</f>
        <v>0</v>
      </c>
      <c r="AN1433" s="57" t="n">
        <f aca="false">IF(LEFT(Cockpit!$I$5,1)="A",H1433,IF(CA1433=1,CB1433,IF(LEFT(Cockpit!$I$5,1)="B",AR1433,MAX(AR1433,H1433))))</f>
        <v>1</v>
      </c>
      <c r="AO1433" s="57" t="n">
        <f aca="false">IF(BT1433=1,0,ROUNDUP(AN1433/BS1433,0))</f>
        <v>0</v>
      </c>
      <c r="AP1433" s="59" t="n">
        <f aca="false">IF(CH1433&gt;0,CH1433*MAX(1,AN1433/X1433),IF(BT1433=1,IF(AN1433&lt;=0,0,BW1433*MAX(1,IF(H1433&gt;0,AN1433/H1433,1))),IF(R1433&gt;0,AO1433/R1433,0))/MAX(0.1,N(Parameter!$M$21)))</f>
        <v>0.15</v>
      </c>
      <c r="AQ1433" s="57" t="n">
        <f aca="false">AN1433*G1433</f>
        <v>3532.08</v>
      </c>
      <c r="AR1433" s="57" t="n">
        <f aca="false">ROUNDUP(MAX(J1433/IF(BZ1433&gt;0,BZ1433,MAX(0.1,N(Cockpit!$I$6))),CC1433)/BS1433,0)*BS1433</f>
        <v>1</v>
      </c>
      <c r="AS1433" s="58" t="n">
        <f aca="false">IF(AP1433&gt;0,J1433/AP1433,-1)</f>
        <v>0</v>
      </c>
      <c r="AT1433" s="58" t="str">
        <f aca="false">IF(AND(OR(BY1433="L1",BY1433="L23"),AP1433&gt;0),SUMIFS($AP$7:$AP$1843,$BY$7:$BY$1843,BY1433,$AS$7:$AS$1843,"&gt;"&amp;AS1433)+SUMIFS($AP$7:$AP$1843,$BY$7:$BY$1843,BY1433,$AS$7:$AS$1843,AS1433,$BQ$7:$BQ$1843,"&lt;="&amp;BQ1433),"")</f>
        <v/>
      </c>
      <c r="AU1433" s="65" t="n">
        <f aca="false">IF(AT1433="",0,MAX(0,MIN(1,(IF(BY1433="L1",Parameter!$E$5,Parameter!$E$6+Parameter!$E$7)-(AT1433-AP1433))/AP1433)))</f>
        <v>0</v>
      </c>
      <c r="AV1433" s="57" t="n">
        <f aca="false">IF(LEFT(Cockpit!$O$5,1)="A",H1433,IF(CA1433=1,CB1433,IF(LEFT(Cockpit!$O$5,1)="B",AZ1433,MAX(AZ1433,H1433))))</f>
        <v>1</v>
      </c>
      <c r="AW1433" s="57" t="n">
        <f aca="false">IF(BT1433=1,0,ROUNDUP(AV1433/BS1433,0))</f>
        <v>0</v>
      </c>
      <c r="AX1433" s="59" t="n">
        <f aca="false">IF(CH1433&gt;0,CH1433*MAX(1,AV1433/X1433),IF(BT1433=1,IF(AV1433&lt;=0,0,BW1433*MAX(1,IF(H1433&gt;0,AV1433/H1433,1))),IF(R1433&gt;0,AW1433/R1433,0))/MAX(0.1,N(Parameter!$M$21)))</f>
        <v>0.15</v>
      </c>
      <c r="AY1433" s="57" t="n">
        <f aca="false">AV1433*G1433</f>
        <v>3532.08</v>
      </c>
      <c r="AZ1433" s="57" t="n">
        <f aca="false">ROUNDUP(MAX(J1433/IF(BZ1433&gt;0,BZ1433,MAX(0.1,N(Cockpit!$O$6))),CC1433)/BS1433,0)*BS1433</f>
        <v>1</v>
      </c>
      <c r="BA1433" s="58" t="n">
        <f aca="false">IF(AX1433&gt;0,J1433/AX1433,-1)</f>
        <v>0</v>
      </c>
      <c r="BB1433" s="58" t="str">
        <f aca="false">IF(AND(OR(BY1433="L1",BY1433="L23"),AX1433&gt;0),SUMIFS($AX$7:$AX$1843,$BY$7:$BY$1843,BY1433,$BA$7:$BA$1843,"&gt;"&amp;BA1433)+SUMIFS($AX$7:$AX$1843,$BY$7:$BY$1843,BY1433,$BA$7:$BA$1843,BA1433,$BQ$7:$BQ$1843,"&lt;="&amp;BQ1433),"")</f>
        <v/>
      </c>
      <c r="BC1433" s="65" t="n">
        <f aca="false">IF(BB1433="",0,MAX(0,MIN(1,(IF(BY1433="L1",Parameter!$E$5,Parameter!$E$6+Parameter!$E$7)-(BB1433-AX1433))/AX1433)))</f>
        <v>0</v>
      </c>
      <c r="BD1433" s="55" t="str">
        <f aca="false">IF(AH1433&lt;=0,"",IF(BY1433="Aussen","Aussenlager",IF(BY1433="-","Nicht im Lift",IF(AM1433&gt;=1,"Lift",IF(AM1433&lt;=0,"Aussenlager","teilweise")))))</f>
        <v/>
      </c>
      <c r="BE1433" s="55" t="str">
        <f aca="false">IF(AP1433&lt;=0,"",IF(BY1433="Aussen","Aussenlager",IF(BY1433="-","Nicht im Lift",IF(AU1433&gt;=1,"Lift",IF(AU1433&lt;=0,"Aussenlager","teilweise")))))</f>
        <v>Nicht im Lift</v>
      </c>
      <c r="BF1433" s="55" t="str">
        <f aca="false">IF(AX1433&lt;=0,"",IF(BY1433="Aussen","Aussenlager",IF(BY1433="-","Nicht im Lift",IF(BC1433&gt;=1,"Lift",IF(BC1433&lt;=0,"Aussenlager","teilweise")))))</f>
        <v>Nicht im Lift</v>
      </c>
      <c r="BG1433" s="55" t="str">
        <f aca="false">IF(A1433="","",IF(BP1433=1,"Neu; ","")&amp;IF(AND(BP1433=0,BK1433&lt;0),"negativer Bestand (Export "&amp;BK1433&amp;"); ","")&amp;IF(J1433&lt;=0,"Kein Verbrauch; ","")&amp;IF(CH1433&gt;0,"Lift "&amp;W1433&amp;" lt. Liftbericht (Fach "&amp;X1433&amp;" Stk); ",IF(BU1433=1,"Gebinde geschätzt ("&amp;T1433&amp;"); ",IF(BT1433=1,"Lose – Tablare geschätzt; ","")))&amp;IF(H1433&gt;AR1433,"Überbestand "&amp;ROUND(H1433-AR1433,0)&amp;" Stk / CHF "&amp;ROUND((H1433-AR1433)*G1433,0)&amp;"; ","")&amp;IF(AND(CA1433=1,CB1433&lt;CC1433),"MAX &lt; MB+LG; ","")&amp;IF(AND(CG1433&gt;0,CF1433*10&gt;CG1433),"zu hoch für Tablar; ","")&amp;IF(AND(BP1433=0,OR(CA1433=1,AA1433&lt;&gt;"",U1433&lt;&gt;"",V1433&lt;&gt;"",AB1433&lt;&gt;"")),"manuell übersteuert; ","")&amp;IF(AND(BT1433=0,R1433=0),"Gebinde unbekannt / Stellmass fehlt; ","")&amp;IF(AND(BT1433=0,N(V1433)&lt;=0,N(Q1433)&lt;=0),"Menge pro Gebinde fehlt (Ist = 1 Gebinde); ","")&amp;BO1433)</f>
        <v>negativer Bestand (Export -2); Kein Verbrauch; Lose – Tablare geschätzt; </v>
      </c>
      <c r="BH1433" s="55"/>
      <c r="BI1433" s="55"/>
      <c r="BJ1433" s="62"/>
      <c r="BK1433" s="57" t="n">
        <v>-2</v>
      </c>
      <c r="BL1433" s="57" t="n">
        <v>2</v>
      </c>
      <c r="BM1433" s="56" t="n">
        <v>-7064.16</v>
      </c>
      <c r="BN1433" s="57" t="n">
        <v>0</v>
      </c>
      <c r="BO1433" s="55"/>
      <c r="BP1433" s="60" t="n">
        <v>0</v>
      </c>
      <c r="BQ1433" s="60" t="n">
        <v>1433</v>
      </c>
      <c r="BR1433" s="55" t="str">
        <f aca="false">IF(U1433&lt;&gt;"",UPPER(TRIM(U1433)),IF(BU1433=1,UPPER(VLOOKUP(T1433,Parameter!$I$27:$K$29,2,0)),IF(P1433="","LOSE",P1433)))</f>
        <v>LOSE</v>
      </c>
      <c r="BS1433" s="57" t="n">
        <f aca="false">IF(BR1433="LOSE",1,IF(N(V1433)&gt;0,V1433,IF(BU1433=1,MAX(1,N(VLOOKUP(T1433,Parameter!$I$27:$K$29,3,0)),H1433,N(N1433)),IF(N(Q1433)&gt;0,Q1433,MAX(1,H1433)))))</f>
        <v>1</v>
      </c>
      <c r="BT1433" s="60" t="n">
        <f aca="false">IF(BR1433="LOSE",1,0)</f>
        <v>1</v>
      </c>
      <c r="BU1433" s="60" t="n">
        <f aca="false">IF(AND(U1433="",OR(P1433="",P1433="LOSE"),T1433&lt;&gt;"",N(S1433)&lt;=0,ISNUMBER(MATCH(T1433,Parameter!$I$27:$I$29,0))),1,0)</f>
        <v>0</v>
      </c>
      <c r="BV1433" s="55" t="str">
        <f aca="false">IF(AND(Parameter!$B$19="Ja",E1433&lt;&gt;"",ISNUMBER(MATCH(E1433,Parameter!$I$35:$I$52,0))),VLOOKUP(E1433,Parameter!$I$35:$J$52,2,0),IFERROR(VLOOKUP(D1433,Parameter!$A$35:$C$64,2,0),"Nein"))</f>
        <v>Nein</v>
      </c>
      <c r="BW1433" s="59" t="n">
        <f aca="false">IF(BT1433=0,0,IF(N(S1433)&gt;0,S1433,IFERROR(VLOOKUP(D1433,Parameter!$A$35:$C$64,3,0)+0,0)))</f>
        <v>0.15</v>
      </c>
      <c r="BX1433" s="55" t="str">
        <f aca="false">IF(AA1433&lt;&gt;"",AA1433,Z1433)</f>
        <v>-</v>
      </c>
      <c r="BY1433" s="55" t="str">
        <f aca="false">IF(BX1433=1,"L1",IF(OR(BX1433=2,BX1433=3),"L23",IF(BX1433="Aussen","Aussen","-")))</f>
        <v>-</v>
      </c>
      <c r="BZ1433" s="66" t="n">
        <f aca="false">IF(N(AB1433)&gt;0,AB1433,0)</f>
        <v>0</v>
      </c>
      <c r="CA1433" s="60" t="n">
        <f aca="false">IF(ISNUMBER(AE1433),1,0)</f>
        <v>0</v>
      </c>
      <c r="CB1433" s="57" t="n">
        <f aca="false">N(AE1433)</f>
        <v>0</v>
      </c>
      <c r="CC1433" s="57" t="n">
        <f aca="false">N(M1433)+N(N1433)</f>
        <v>1</v>
      </c>
      <c r="CD1433" s="57" t="n">
        <f aca="false">ROUNDUP(H1433/BS1433,0)</f>
        <v>0</v>
      </c>
      <c r="CE1433" s="57" t="n">
        <f aca="false">ROUNDUP(CB1433/BS1433,0)</f>
        <v>0</v>
      </c>
      <c r="CF1433" s="60" t="n">
        <f aca="false">IF(BT1433=1,0,IFERROR(VLOOKUP(BR1433,'Gebinde-Kategorie'!$A$5:$M$45,5,0)+0,0))</f>
        <v>0</v>
      </c>
      <c r="CG1433" s="60" t="n">
        <f aca="false">IFERROR(IF(OR(BX1433=1,BX1433=2,BX1433=3),N(INDEX(Parameter!$I$5:$I$7,BX1433)),0),0)</f>
        <v>0</v>
      </c>
      <c r="CH1433" s="59" t="n">
        <f aca="false">IF(AND(Parameter!$B$21="Ja",ISNUMBER(W1433),N(X1433)&gt;0),IFERROR(N(INDEX(Parameter!$L$5:$L$7,W1433))*INDEX(Parameter!$E$5:$E$7,W1433)*X1433/SUMIFS($X$7:$X$1843,$W$7:$W$1843,W1433),0),0)</f>
        <v>0</v>
      </c>
    </row>
    <row r="1434" customFormat="false" ht="15" hidden="false" customHeight="false" outlineLevel="0" collapsed="false">
      <c r="A1434" s="55" t="s">
        <v>2512</v>
      </c>
      <c r="B1434" s="55" t="s">
        <v>2150</v>
      </c>
      <c r="C1434" s="55" t="s">
        <v>456</v>
      </c>
      <c r="D1434" s="55" t="s">
        <v>173</v>
      </c>
      <c r="E1434" s="55" t="s">
        <v>173</v>
      </c>
      <c r="F1434" s="55" t="s">
        <v>218</v>
      </c>
      <c r="G1434" s="56" t="n">
        <v>358.12</v>
      </c>
      <c r="H1434" s="57" t="n">
        <f aca="false">MAX(0,IF(AND(Parameter!$B$21="Ja",ISNUMBER(Y1434)),Y1434,IF(Parameter!$B$20="Jahresanfang 2025 + Export",BL1434+BK1434,BK1434)))</f>
        <v>0</v>
      </c>
      <c r="I1434" s="57" t="n">
        <f aca="false">H1434*G1434</f>
        <v>0</v>
      </c>
      <c r="J1434" s="57" t="n">
        <f aca="false">BN1434*Parameter!$B$18</f>
        <v>0</v>
      </c>
      <c r="K1434" s="58" t="n">
        <v>20</v>
      </c>
      <c r="L1434" s="59" t="n">
        <v>0</v>
      </c>
      <c r="M1434" s="57" t="n">
        <v>0</v>
      </c>
      <c r="N1434" s="57" t="n">
        <v>1</v>
      </c>
      <c r="O1434" s="60" t="n">
        <v>77</v>
      </c>
      <c r="P1434" s="55" t="s">
        <v>168</v>
      </c>
      <c r="Q1434" s="57"/>
      <c r="R1434" s="60" t="n">
        <f aca="false">IF(BT1434=1,0,IFERROR(VLOOKUP(BR1434,'Gebinde-Kategorie'!$A$5:$M$45,13,0)+0,0))</f>
        <v>12</v>
      </c>
      <c r="S1434" s="61"/>
      <c r="T1434" s="62" t="s">
        <v>179</v>
      </c>
      <c r="U1434" s="62"/>
      <c r="V1434" s="62"/>
      <c r="W1434" s="55"/>
      <c r="X1434" s="57"/>
      <c r="Y1434" s="57"/>
      <c r="Z1434" s="55" t="str">
        <f aca="false">IF(A1434="","",IF(AND(Parameter!$B$21="Ja",ISNUMBER(W1434)),W1434,IF(BV1434="2+3",IF(ISNUMBER(SEARCH("grosser Artikel",BO1434)),2,IFERROR(VLOOKUP(BR1434,Parameter!$F$35:$G$64,2,0),2)),IF(OR(BV1434="Nein",BV1434=""),"-",BV1434))))</f>
        <v>-</v>
      </c>
      <c r="AA1434" s="62"/>
      <c r="AB1434" s="63"/>
      <c r="AC1434" s="57" t="n">
        <f aca="false">AR1434</f>
        <v>4</v>
      </c>
      <c r="AD1434" s="57" t="n">
        <f aca="false">MAX(AR1434,H1434)</f>
        <v>4</v>
      </c>
      <c r="AE1434" s="64"/>
      <c r="AF1434" s="57" t="n">
        <f aca="false">IF(LEFT(Cockpit!$C$5,1)="A",H1434,IF(CA1434=1,CB1434,IF(LEFT(Cockpit!$C$5,1)="B",AJ1434,MAX(AJ1434,H1434))))</f>
        <v>0</v>
      </c>
      <c r="AG1434" s="57" t="n">
        <f aca="false">IF(BT1434=1,0,ROUNDUP(AF1434/BS1434,0))</f>
        <v>0</v>
      </c>
      <c r="AH1434" s="59" t="n">
        <f aca="false">IF(CH1434&gt;0,CH1434*MAX(1,AF1434/X1434),IF(BT1434=1,IF(AF1434&lt;=0,0,BW1434*MAX(1,IF(H1434&gt;0,AF1434/H1434,1))),IF(R1434&gt;0,AG1434/R1434,0))/MAX(0.1,N(Parameter!$M$21)))</f>
        <v>0</v>
      </c>
      <c r="AI1434" s="57" t="n">
        <f aca="false">AF1434*G1434</f>
        <v>0</v>
      </c>
      <c r="AJ1434" s="57" t="n">
        <f aca="false">ROUNDUP(MAX(J1434/IF(BZ1434&gt;0,BZ1434,MAX(0.1,N(Cockpit!$C$6))),CC1434)/BS1434,0)*BS1434</f>
        <v>4</v>
      </c>
      <c r="AK1434" s="58" t="n">
        <f aca="false">IF(AH1434&gt;0,J1434/AH1434,-1)</f>
        <v>-1</v>
      </c>
      <c r="AL1434" s="58" t="str">
        <f aca="false">IF(AND(OR(BY1434="L1",BY1434="L23"),AH1434&gt;0),SUMIFS($AH$7:$AH$1843,$BY$7:$BY$1843,BY1434,$AK$7:$AK$1843,"&gt;"&amp;AK1434)+SUMIFS($AH$7:$AH$1843,$BY$7:$BY$1843,BY1434,$AK$7:$AK$1843,AK1434,$BQ$7:$BQ$1843,"&lt;="&amp;BQ1434),"")</f>
        <v/>
      </c>
      <c r="AM1434" s="65" t="n">
        <f aca="false">IF(AL1434="",0,MAX(0,MIN(1,(IF(BY1434="L1",Parameter!$E$5,Parameter!$E$6+Parameter!$E$7)-(AL1434-AH1434))/AH1434)))</f>
        <v>0</v>
      </c>
      <c r="AN1434" s="57" t="n">
        <f aca="false">IF(LEFT(Cockpit!$I$5,1)="A",H1434,IF(CA1434=1,CB1434,IF(LEFT(Cockpit!$I$5,1)="B",AR1434,MAX(AR1434,H1434))))</f>
        <v>4</v>
      </c>
      <c r="AO1434" s="57" t="n">
        <f aca="false">IF(BT1434=1,0,ROUNDUP(AN1434/BS1434,0))</f>
        <v>1</v>
      </c>
      <c r="AP1434" s="59" t="n">
        <f aca="false">IF(CH1434&gt;0,CH1434*MAX(1,AN1434/X1434),IF(BT1434=1,IF(AN1434&lt;=0,0,BW1434*MAX(1,IF(H1434&gt;0,AN1434/H1434,1))),IF(R1434&gt;0,AO1434/R1434,0))/MAX(0.1,N(Parameter!$M$21)))</f>
        <v>0.0833333333333333</v>
      </c>
      <c r="AQ1434" s="57" t="n">
        <f aca="false">AN1434*G1434</f>
        <v>1432.48</v>
      </c>
      <c r="AR1434" s="57" t="n">
        <f aca="false">ROUNDUP(MAX(J1434/IF(BZ1434&gt;0,BZ1434,MAX(0.1,N(Cockpit!$I$6))),CC1434)/BS1434,0)*BS1434</f>
        <v>4</v>
      </c>
      <c r="AS1434" s="58" t="n">
        <f aca="false">IF(AP1434&gt;0,J1434/AP1434,-1)</f>
        <v>0</v>
      </c>
      <c r="AT1434" s="58" t="str">
        <f aca="false">IF(AND(OR(BY1434="L1",BY1434="L23"),AP1434&gt;0),SUMIFS($AP$7:$AP$1843,$BY$7:$BY$1843,BY1434,$AS$7:$AS$1843,"&gt;"&amp;AS1434)+SUMIFS($AP$7:$AP$1843,$BY$7:$BY$1843,BY1434,$AS$7:$AS$1843,AS1434,$BQ$7:$BQ$1843,"&lt;="&amp;BQ1434),"")</f>
        <v/>
      </c>
      <c r="AU1434" s="65" t="n">
        <f aca="false">IF(AT1434="",0,MAX(0,MIN(1,(IF(BY1434="L1",Parameter!$E$5,Parameter!$E$6+Parameter!$E$7)-(AT1434-AP1434))/AP1434)))</f>
        <v>0</v>
      </c>
      <c r="AV1434" s="57" t="n">
        <f aca="false">IF(LEFT(Cockpit!$O$5,1)="A",H1434,IF(CA1434=1,CB1434,IF(LEFT(Cockpit!$O$5,1)="B",AZ1434,MAX(AZ1434,H1434))))</f>
        <v>4</v>
      </c>
      <c r="AW1434" s="57" t="n">
        <f aca="false">IF(BT1434=1,0,ROUNDUP(AV1434/BS1434,0))</f>
        <v>1</v>
      </c>
      <c r="AX1434" s="59" t="n">
        <f aca="false">IF(CH1434&gt;0,CH1434*MAX(1,AV1434/X1434),IF(BT1434=1,IF(AV1434&lt;=0,0,BW1434*MAX(1,IF(H1434&gt;0,AV1434/H1434,1))),IF(R1434&gt;0,AW1434/R1434,0))/MAX(0.1,N(Parameter!$M$21)))</f>
        <v>0.0833333333333333</v>
      </c>
      <c r="AY1434" s="57" t="n">
        <f aca="false">AV1434*G1434</f>
        <v>1432.48</v>
      </c>
      <c r="AZ1434" s="57" t="n">
        <f aca="false">ROUNDUP(MAX(J1434/IF(BZ1434&gt;0,BZ1434,MAX(0.1,N(Cockpit!$O$6))),CC1434)/BS1434,0)*BS1434</f>
        <v>4</v>
      </c>
      <c r="BA1434" s="58" t="n">
        <f aca="false">IF(AX1434&gt;0,J1434/AX1434,-1)</f>
        <v>0</v>
      </c>
      <c r="BB1434" s="58" t="str">
        <f aca="false">IF(AND(OR(BY1434="L1",BY1434="L23"),AX1434&gt;0),SUMIFS($AX$7:$AX$1843,$BY$7:$BY$1843,BY1434,$BA$7:$BA$1843,"&gt;"&amp;BA1434)+SUMIFS($AX$7:$AX$1843,$BY$7:$BY$1843,BY1434,$BA$7:$BA$1843,BA1434,$BQ$7:$BQ$1843,"&lt;="&amp;BQ1434),"")</f>
        <v/>
      </c>
      <c r="BC1434" s="65" t="n">
        <f aca="false">IF(BB1434="",0,MAX(0,MIN(1,(IF(BY1434="L1",Parameter!$E$5,Parameter!$E$6+Parameter!$E$7)-(BB1434-AX1434))/AX1434)))</f>
        <v>0</v>
      </c>
      <c r="BD1434" s="55" t="str">
        <f aca="false">IF(AH1434&lt;=0,"",IF(BY1434="Aussen","Aussenlager",IF(BY1434="-","Nicht im Lift",IF(AM1434&gt;=1,"Lift",IF(AM1434&lt;=0,"Aussenlager","teilweise")))))</f>
        <v/>
      </c>
      <c r="BE1434" s="55" t="str">
        <f aca="false">IF(AP1434&lt;=0,"",IF(BY1434="Aussen","Aussenlager",IF(BY1434="-","Nicht im Lift",IF(AU1434&gt;=1,"Lift",IF(AU1434&lt;=0,"Aussenlager","teilweise")))))</f>
        <v>Nicht im Lift</v>
      </c>
      <c r="BF1434" s="55" t="str">
        <f aca="false">IF(AX1434&lt;=0,"",IF(BY1434="Aussen","Aussenlager",IF(BY1434="-","Nicht im Lift",IF(BC1434&gt;=1,"Lift",IF(BC1434&lt;=0,"Aussenlager","teilweise")))))</f>
        <v>Nicht im Lift</v>
      </c>
      <c r="BG1434" s="55" t="str">
        <f aca="false">IF(A1434="","",IF(BP1434=1,"Neu; ","")&amp;IF(AND(BP1434=0,BK1434&lt;0),"negativer Bestand (Export "&amp;BK1434&amp;"); ","")&amp;IF(J1434&lt;=0,"Kein Verbrauch; ","")&amp;IF(CH1434&gt;0,"Lift "&amp;W1434&amp;" lt. Liftbericht (Fach "&amp;X1434&amp;" Stk); ",IF(BU1434=1,"Gebinde geschätzt ("&amp;T1434&amp;"); ",IF(BT1434=1,"Lose – Tablare geschätzt; ","")))&amp;IF(H1434&gt;AR1434,"Überbestand "&amp;ROUND(H1434-AR1434,0)&amp;" Stk / CHF "&amp;ROUND((H1434-AR1434)*G1434,0)&amp;"; ","")&amp;IF(AND(CA1434=1,CB1434&lt;CC1434),"MAX &lt; MB+LG; ","")&amp;IF(AND(CG1434&gt;0,CF1434*10&gt;CG1434),"zu hoch für Tablar; ","")&amp;IF(AND(BP1434=0,OR(CA1434=1,AA1434&lt;&gt;"",U1434&lt;&gt;"",V1434&lt;&gt;"",AB1434&lt;&gt;"")),"manuell übersteuert; ","")&amp;IF(AND(BT1434=0,R1434=0),"Gebinde unbekannt / Stellmass fehlt; ","")&amp;IF(AND(BT1434=0,N(V1434)&lt;=0,N(Q1434)&lt;=0),"Menge pro Gebinde fehlt (Ist = 1 Gebinde); ","")&amp;BO1434)</f>
        <v>negativer Bestand (Export -20); Kein Verbrauch; Gebinde geschätzt (Mittel); Menge pro Gebinde fehlt (Ist = 1 Gebinde); </v>
      </c>
      <c r="BH1434" s="55"/>
      <c r="BI1434" s="55"/>
      <c r="BJ1434" s="62"/>
      <c r="BK1434" s="57" t="n">
        <v>-20</v>
      </c>
      <c r="BL1434" s="57" t="n">
        <v>20</v>
      </c>
      <c r="BM1434" s="56" t="n">
        <v>-7162.4</v>
      </c>
      <c r="BN1434" s="57" t="n">
        <v>0</v>
      </c>
      <c r="BO1434" s="55"/>
      <c r="BP1434" s="60" t="n">
        <v>0</v>
      </c>
      <c r="BQ1434" s="60" t="n">
        <v>1434</v>
      </c>
      <c r="BR1434" s="55" t="str">
        <f aca="false">IF(U1434&lt;&gt;"",UPPER(TRIM(U1434)),IF(BU1434=1,UPPER(VLOOKUP(T1434,Parameter!$I$27:$K$29,2,0)),IF(P1434="","LOSE",P1434)))</f>
        <v>S61</v>
      </c>
      <c r="BS1434" s="57" t="n">
        <f aca="false">IF(BR1434="LOSE",1,IF(N(V1434)&gt;0,V1434,IF(BU1434=1,MAX(1,N(VLOOKUP(T1434,Parameter!$I$27:$K$29,3,0)),H1434,N(N1434)),IF(N(Q1434)&gt;0,Q1434,MAX(1,H1434)))))</f>
        <v>4</v>
      </c>
      <c r="BT1434" s="60" t="n">
        <f aca="false">IF(BR1434="LOSE",1,0)</f>
        <v>0</v>
      </c>
      <c r="BU1434" s="60" t="n">
        <f aca="false">IF(AND(U1434="",OR(P1434="",P1434="LOSE"),T1434&lt;&gt;"",N(S1434)&lt;=0,ISNUMBER(MATCH(T1434,Parameter!$I$27:$I$29,0))),1,0)</f>
        <v>1</v>
      </c>
      <c r="BV1434" s="55" t="str">
        <f aca="false">IF(AND(Parameter!$B$19="Ja",E1434&lt;&gt;"",ISNUMBER(MATCH(E1434,Parameter!$I$35:$I$52,0))),VLOOKUP(E1434,Parameter!$I$35:$J$52,2,0),IFERROR(VLOOKUP(D1434,Parameter!$A$35:$C$64,2,0),"Nein"))</f>
        <v>Nein</v>
      </c>
      <c r="BW1434" s="59" t="n">
        <f aca="false">IF(BT1434=0,0,IF(N(S1434)&gt;0,S1434,IFERROR(VLOOKUP(D1434,Parameter!$A$35:$C$64,3,0)+0,0)))</f>
        <v>0</v>
      </c>
      <c r="BX1434" s="55" t="str">
        <f aca="false">IF(AA1434&lt;&gt;"",AA1434,Z1434)</f>
        <v>-</v>
      </c>
      <c r="BY1434" s="55" t="str">
        <f aca="false">IF(BX1434=1,"L1",IF(OR(BX1434=2,BX1434=3),"L23",IF(BX1434="Aussen","Aussen","-")))</f>
        <v>-</v>
      </c>
      <c r="BZ1434" s="66" t="n">
        <f aca="false">IF(N(AB1434)&gt;0,AB1434,0)</f>
        <v>0</v>
      </c>
      <c r="CA1434" s="60" t="n">
        <f aca="false">IF(ISNUMBER(AE1434),1,0)</f>
        <v>0</v>
      </c>
      <c r="CB1434" s="57" t="n">
        <f aca="false">N(AE1434)</f>
        <v>0</v>
      </c>
      <c r="CC1434" s="57" t="n">
        <f aca="false">N(M1434)+N(N1434)</f>
        <v>1</v>
      </c>
      <c r="CD1434" s="57" t="n">
        <f aca="false">ROUNDUP(H1434/BS1434,0)</f>
        <v>0</v>
      </c>
      <c r="CE1434" s="57" t="n">
        <f aca="false">ROUNDUP(CB1434/BS1434,0)</f>
        <v>0</v>
      </c>
      <c r="CF1434" s="60" t="n">
        <f aca="false">IF(BT1434=1,0,IFERROR(VLOOKUP(BR1434,'Gebinde-Kategorie'!$A$5:$M$45,5,0)+0,0))</f>
        <v>11</v>
      </c>
      <c r="CG1434" s="60" t="n">
        <f aca="false">IFERROR(IF(OR(BX1434=1,BX1434=2,BX1434=3),N(INDEX(Parameter!$I$5:$I$7,BX1434)),0),0)</f>
        <v>0</v>
      </c>
      <c r="CH1434" s="59" t="n">
        <f aca="false">IF(AND(Parameter!$B$21="Ja",ISNUMBER(W1434),N(X1434)&gt;0),IFERROR(N(INDEX(Parameter!$L$5:$L$7,W1434))*INDEX(Parameter!$E$5:$E$7,W1434)*X1434/SUMIFS($X$7:$X$1843,$W$7:$W$1843,W1434),0),0)</f>
        <v>0</v>
      </c>
    </row>
    <row r="1435" customFormat="false" ht="15" hidden="false" customHeight="false" outlineLevel="0" collapsed="false">
      <c r="A1435" s="55" t="s">
        <v>2513</v>
      </c>
      <c r="B1435" s="55" t="s">
        <v>2514</v>
      </c>
      <c r="C1435" s="55" t="s">
        <v>456</v>
      </c>
      <c r="D1435" s="55" t="s">
        <v>173</v>
      </c>
      <c r="E1435" s="55"/>
      <c r="F1435" s="55" t="s">
        <v>218</v>
      </c>
      <c r="G1435" s="56" t="n">
        <v>700.22</v>
      </c>
      <c r="H1435" s="57" t="n">
        <f aca="false">MAX(0,IF(AND(Parameter!$B$21="Ja",ISNUMBER(Y1435)),Y1435,IF(Parameter!$B$20="Jahresanfang 2025 + Export",BL1435+BK1435,BK1435)))</f>
        <v>0</v>
      </c>
      <c r="I1435" s="57" t="n">
        <f aca="false">H1435*G1435</f>
        <v>0</v>
      </c>
      <c r="J1435" s="57" t="n">
        <f aca="false">BN1435*Parameter!$B$18</f>
        <v>21</v>
      </c>
      <c r="K1435" s="58" t="n">
        <v>12.5</v>
      </c>
      <c r="L1435" s="59" t="n">
        <v>1.68</v>
      </c>
      <c r="M1435" s="57" t="n">
        <v>0</v>
      </c>
      <c r="N1435" s="57" t="n">
        <v>10</v>
      </c>
      <c r="O1435" s="60" t="n">
        <v>63</v>
      </c>
      <c r="P1435" s="55" t="s">
        <v>168</v>
      </c>
      <c r="Q1435" s="57"/>
      <c r="R1435" s="60" t="n">
        <f aca="false">IF(BT1435=1,0,IFERROR(VLOOKUP(BR1435,'Gebinde-Kategorie'!$A$5:$M$45,13,0)+0,0))</f>
        <v>12</v>
      </c>
      <c r="S1435" s="61"/>
      <c r="T1435" s="62" t="s">
        <v>179</v>
      </c>
      <c r="U1435" s="62"/>
      <c r="V1435" s="62"/>
      <c r="W1435" s="55"/>
      <c r="X1435" s="57"/>
      <c r="Y1435" s="57"/>
      <c r="Z1435" s="55" t="n">
        <f aca="false">IF(A1435="","",IF(AND(Parameter!$B$21="Ja",ISNUMBER(W1435)),W1435,IF(BV1435="2+3",IF(ISNUMBER(SEARCH("grosser Artikel",BO1435)),2,IFERROR(VLOOKUP(BR1435,Parameter!$F$35:$G$64,2,0),2)),IF(OR(BV1435="Nein",BV1435=""),"-",BV1435))))</f>
        <v>2</v>
      </c>
      <c r="AA1435" s="62"/>
      <c r="AB1435" s="63"/>
      <c r="AC1435" s="57" t="n">
        <f aca="false">AR1435</f>
        <v>20</v>
      </c>
      <c r="AD1435" s="57" t="n">
        <f aca="false">MAX(AR1435,H1435)</f>
        <v>20</v>
      </c>
      <c r="AE1435" s="64"/>
      <c r="AF1435" s="57" t="n">
        <f aca="false">IF(LEFT(Cockpit!$C$5,1)="A",H1435,IF(CA1435=1,CB1435,IF(LEFT(Cockpit!$C$5,1)="B",AJ1435,MAX(AJ1435,H1435))))</f>
        <v>0</v>
      </c>
      <c r="AG1435" s="57" t="n">
        <f aca="false">IF(BT1435=1,0,ROUNDUP(AF1435/BS1435,0))</f>
        <v>0</v>
      </c>
      <c r="AH1435" s="59" t="n">
        <f aca="false">IF(CH1435&gt;0,CH1435*MAX(1,AF1435/X1435),IF(BT1435=1,IF(AF1435&lt;=0,0,BW1435*MAX(1,IF(H1435&gt;0,AF1435/H1435,1))),IF(R1435&gt;0,AG1435/R1435,0))/MAX(0.1,N(Parameter!$M$21)))</f>
        <v>0</v>
      </c>
      <c r="AI1435" s="57" t="n">
        <f aca="false">AF1435*G1435</f>
        <v>0</v>
      </c>
      <c r="AJ1435" s="57" t="n">
        <f aca="false">ROUNDUP(MAX(J1435/IF(BZ1435&gt;0,BZ1435,MAX(0.1,N(Cockpit!$C$6))),CC1435)/BS1435,0)*BS1435</f>
        <v>20</v>
      </c>
      <c r="AK1435" s="58" t="n">
        <f aca="false">IF(AH1435&gt;0,J1435/AH1435,-1)</f>
        <v>-1</v>
      </c>
      <c r="AL1435" s="58" t="str">
        <f aca="false">IF(AND(OR(BY1435="L1",BY1435="L23"),AH1435&gt;0),SUMIFS($AH$7:$AH$1843,$BY$7:$BY$1843,BY1435,$AK$7:$AK$1843,"&gt;"&amp;AK1435)+SUMIFS($AH$7:$AH$1843,$BY$7:$BY$1843,BY1435,$AK$7:$AK$1843,AK1435,$BQ$7:$BQ$1843,"&lt;="&amp;BQ1435),"")</f>
        <v/>
      </c>
      <c r="AM1435" s="65" t="n">
        <f aca="false">IF(AL1435="",0,MAX(0,MIN(1,(IF(BY1435="L1",Parameter!$E$5,Parameter!$E$6+Parameter!$E$7)-(AL1435-AH1435))/AH1435)))</f>
        <v>0</v>
      </c>
      <c r="AN1435" s="57" t="n">
        <f aca="false">IF(LEFT(Cockpit!$I$5,1)="A",H1435,IF(CA1435=1,CB1435,IF(LEFT(Cockpit!$I$5,1)="B",AR1435,MAX(AR1435,H1435))))</f>
        <v>20</v>
      </c>
      <c r="AO1435" s="57" t="n">
        <f aca="false">IF(BT1435=1,0,ROUNDUP(AN1435/BS1435,0))</f>
        <v>2</v>
      </c>
      <c r="AP1435" s="59" t="n">
        <f aca="false">IF(CH1435&gt;0,CH1435*MAX(1,AN1435/X1435),IF(BT1435=1,IF(AN1435&lt;=0,0,BW1435*MAX(1,IF(H1435&gt;0,AN1435/H1435,1))),IF(R1435&gt;0,AO1435/R1435,0))/MAX(0.1,N(Parameter!$M$21)))</f>
        <v>0.166666666666667</v>
      </c>
      <c r="AQ1435" s="57" t="n">
        <f aca="false">AN1435*G1435</f>
        <v>14004.4</v>
      </c>
      <c r="AR1435" s="57" t="n">
        <f aca="false">ROUNDUP(MAX(J1435/IF(BZ1435&gt;0,BZ1435,MAX(0.1,N(Cockpit!$I$6))),CC1435)/BS1435,0)*BS1435</f>
        <v>20</v>
      </c>
      <c r="AS1435" s="58" t="n">
        <f aca="false">IF(AP1435&gt;0,J1435/AP1435,-1)</f>
        <v>126</v>
      </c>
      <c r="AT1435" s="58" t="n">
        <f aca="false">IF(AND(OR(BY1435="L1",BY1435="L23"),AP1435&gt;0),SUMIFS($AP$7:$AP$1843,$BY$7:$BY$1843,BY1435,$AS$7:$AS$1843,"&gt;"&amp;AS1435)+SUMIFS($AP$7:$AP$1843,$BY$7:$BY$1843,BY1435,$AS$7:$AS$1843,AS1435,$BQ$7:$BQ$1843,"&lt;="&amp;BQ1435),"")</f>
        <v>54.2281172933347</v>
      </c>
      <c r="AU1435" s="65" t="n">
        <f aca="false">IF(AT1435="",0,MAX(0,MIN(1,(IF(BY1435="L1",Parameter!$E$5,Parameter!$E$6+Parameter!$E$7)-(AT1435-AP1435))/AP1435)))</f>
        <v>1</v>
      </c>
      <c r="AV1435" s="57" t="n">
        <f aca="false">IF(LEFT(Cockpit!$O$5,1)="A",H1435,IF(CA1435=1,CB1435,IF(LEFT(Cockpit!$O$5,1)="B",AZ1435,MAX(AZ1435,H1435))))</f>
        <v>10</v>
      </c>
      <c r="AW1435" s="57" t="n">
        <f aca="false">IF(BT1435=1,0,ROUNDUP(AV1435/BS1435,0))</f>
        <v>1</v>
      </c>
      <c r="AX1435" s="59" t="n">
        <f aca="false">IF(CH1435&gt;0,CH1435*MAX(1,AV1435/X1435),IF(BT1435=1,IF(AV1435&lt;=0,0,BW1435*MAX(1,IF(H1435&gt;0,AV1435/H1435,1))),IF(R1435&gt;0,AW1435/R1435,0))/MAX(0.1,N(Parameter!$M$21)))</f>
        <v>0.0833333333333333</v>
      </c>
      <c r="AY1435" s="57" t="n">
        <f aca="false">AV1435*G1435</f>
        <v>7002.2</v>
      </c>
      <c r="AZ1435" s="57" t="n">
        <f aca="false">ROUNDUP(MAX(J1435/IF(BZ1435&gt;0,BZ1435,MAX(0.1,N(Cockpit!$O$6))),CC1435)/BS1435,0)*BS1435</f>
        <v>10</v>
      </c>
      <c r="BA1435" s="58" t="n">
        <f aca="false">IF(AX1435&gt;0,J1435/AX1435,-1)</f>
        <v>252</v>
      </c>
      <c r="BB1435" s="58" t="n">
        <f aca="false">IF(AND(OR(BY1435="L1",BY1435="L23"),AX1435&gt;0),SUMIFS($AX$7:$AX$1843,$BY$7:$BY$1843,BY1435,$BA$7:$BA$1843,"&gt;"&amp;BA1435)+SUMIFS($AX$7:$AX$1843,$BY$7:$BY$1843,BY1435,$BA$7:$BA$1843,BA1435,$BQ$7:$BQ$1843,"&lt;="&amp;BQ1435),"")</f>
        <v>39.2919327049762</v>
      </c>
      <c r="BC1435" s="65" t="n">
        <f aca="false">IF(BB1435="",0,MAX(0,MIN(1,(IF(BY1435="L1",Parameter!$E$5,Parameter!$E$6+Parameter!$E$7)-(BB1435-AX1435))/AX1435)))</f>
        <v>1</v>
      </c>
      <c r="BD1435" s="55" t="str">
        <f aca="false">IF(AH1435&lt;=0,"",IF(BY1435="Aussen","Aussenlager",IF(BY1435="-","Nicht im Lift",IF(AM1435&gt;=1,"Lift",IF(AM1435&lt;=0,"Aussenlager","teilweise")))))</f>
        <v/>
      </c>
      <c r="BE1435" s="55" t="str">
        <f aca="false">IF(AP1435&lt;=0,"",IF(BY1435="Aussen","Aussenlager",IF(BY1435="-","Nicht im Lift",IF(AU1435&gt;=1,"Lift",IF(AU1435&lt;=0,"Aussenlager","teilweise")))))</f>
        <v>Lift</v>
      </c>
      <c r="BF1435" s="55" t="str">
        <f aca="false">IF(AX1435&lt;=0,"",IF(BY1435="Aussen","Aussenlager",IF(BY1435="-","Nicht im Lift",IF(BC1435&gt;=1,"Lift",IF(BC1435&lt;=0,"Aussenlager","teilweise")))))</f>
        <v>Lift</v>
      </c>
      <c r="BG1435" s="55" t="str">
        <f aca="false">IF(A1435="","",IF(BP1435=1,"Neu; ","")&amp;IF(AND(BP1435=0,BK1435&lt;0),"negativer Bestand (Export "&amp;BK1435&amp;"); ","")&amp;IF(J1435&lt;=0,"Kein Verbrauch; ","")&amp;IF(CH1435&gt;0,"Lift "&amp;W1435&amp;" lt. Liftbericht (Fach "&amp;X1435&amp;" Stk); ",IF(BU1435=1,"Gebinde geschätzt ("&amp;T1435&amp;"); ",IF(BT1435=1,"Lose – Tablare geschätzt; ","")))&amp;IF(H1435&gt;AR1435,"Überbestand "&amp;ROUND(H1435-AR1435,0)&amp;" Stk / CHF "&amp;ROUND((H1435-AR1435)*G1435,0)&amp;"; ","")&amp;IF(AND(CA1435=1,CB1435&lt;CC1435),"MAX &lt; MB+LG; ","")&amp;IF(AND(CG1435&gt;0,CF1435*10&gt;CG1435),"zu hoch für Tablar; ","")&amp;IF(AND(BP1435=0,OR(CA1435=1,AA1435&lt;&gt;"",U1435&lt;&gt;"",V1435&lt;&gt;"",AB1435&lt;&gt;"")),"manuell übersteuert; ","")&amp;IF(AND(BT1435=0,R1435=0),"Gebinde unbekannt / Stellmass fehlt; ","")&amp;IF(AND(BT1435=0,N(V1435)&lt;=0,N(Q1435)&lt;=0),"Menge pro Gebinde fehlt (Ist = 1 Gebinde); ","")&amp;BO1435)</f>
        <v>negativer Bestand (Export -11); Gebinde geschätzt (Mittel); Menge pro Gebinde fehlt (Ist = 1 Gebinde); </v>
      </c>
      <c r="BH1435" s="55"/>
      <c r="BI1435" s="55"/>
      <c r="BJ1435" s="62"/>
      <c r="BK1435" s="57" t="n">
        <v>-11</v>
      </c>
      <c r="BL1435" s="57" t="n">
        <v>11</v>
      </c>
      <c r="BM1435" s="56" t="n">
        <v>-7934.19</v>
      </c>
      <c r="BN1435" s="57" t="n">
        <v>21</v>
      </c>
      <c r="BO1435" s="55"/>
      <c r="BP1435" s="60" t="n">
        <v>0</v>
      </c>
      <c r="BQ1435" s="60" t="n">
        <v>1435</v>
      </c>
      <c r="BR1435" s="55" t="str">
        <f aca="false">IF(U1435&lt;&gt;"",UPPER(TRIM(U1435)),IF(BU1435=1,UPPER(VLOOKUP(T1435,Parameter!$I$27:$K$29,2,0)),IF(P1435="","LOSE",P1435)))</f>
        <v>S61</v>
      </c>
      <c r="BS1435" s="57" t="n">
        <f aca="false">IF(BR1435="LOSE",1,IF(N(V1435)&gt;0,V1435,IF(BU1435=1,MAX(1,N(VLOOKUP(T1435,Parameter!$I$27:$K$29,3,0)),H1435,N(N1435)),IF(N(Q1435)&gt;0,Q1435,MAX(1,H1435)))))</f>
        <v>10</v>
      </c>
      <c r="BT1435" s="60" t="n">
        <f aca="false">IF(BR1435="LOSE",1,0)</f>
        <v>0</v>
      </c>
      <c r="BU1435" s="60" t="n">
        <f aca="false">IF(AND(U1435="",OR(P1435="",P1435="LOSE"),T1435&lt;&gt;"",N(S1435)&lt;=0,ISNUMBER(MATCH(T1435,Parameter!$I$27:$I$29,0))),1,0)</f>
        <v>1</v>
      </c>
      <c r="BV1435" s="55" t="str">
        <f aca="false">IF(AND(Parameter!$B$19="Ja",E1435&lt;&gt;"",ISNUMBER(MATCH(E1435,Parameter!$I$35:$I$52,0))),VLOOKUP(E1435,Parameter!$I$35:$J$52,2,0),IFERROR(VLOOKUP(D1435,Parameter!$A$35:$C$64,2,0),"Nein"))</f>
        <v>2+3</v>
      </c>
      <c r="BW1435" s="59" t="n">
        <f aca="false">IF(BT1435=0,0,IF(N(S1435)&gt;0,S1435,IFERROR(VLOOKUP(D1435,Parameter!$A$35:$C$64,3,0)+0,0)))</f>
        <v>0</v>
      </c>
      <c r="BX1435" s="55" t="n">
        <f aca="false">IF(AA1435&lt;&gt;"",AA1435,Z1435)</f>
        <v>2</v>
      </c>
      <c r="BY1435" s="55" t="str">
        <f aca="false">IF(BX1435=1,"L1",IF(OR(BX1435=2,BX1435=3),"L23",IF(BX1435="Aussen","Aussen","-")))</f>
        <v>L23</v>
      </c>
      <c r="BZ1435" s="66" t="n">
        <f aca="false">IF(N(AB1435)&gt;0,AB1435,0)</f>
        <v>0</v>
      </c>
      <c r="CA1435" s="60" t="n">
        <f aca="false">IF(ISNUMBER(AE1435),1,0)</f>
        <v>0</v>
      </c>
      <c r="CB1435" s="57" t="n">
        <f aca="false">N(AE1435)</f>
        <v>0</v>
      </c>
      <c r="CC1435" s="57" t="n">
        <f aca="false">N(M1435)+N(N1435)</f>
        <v>10</v>
      </c>
      <c r="CD1435" s="57" t="n">
        <f aca="false">ROUNDUP(H1435/BS1435,0)</f>
        <v>0</v>
      </c>
      <c r="CE1435" s="57" t="n">
        <f aca="false">ROUNDUP(CB1435/BS1435,0)</f>
        <v>0</v>
      </c>
      <c r="CF1435" s="60" t="n">
        <f aca="false">IF(BT1435=1,0,IFERROR(VLOOKUP(BR1435,'Gebinde-Kategorie'!$A$5:$M$45,5,0)+0,0))</f>
        <v>11</v>
      </c>
      <c r="CG1435" s="60" t="n">
        <f aca="false">IFERROR(IF(OR(BX1435=1,BX1435=2,BX1435=3),N(INDEX(Parameter!$I$5:$I$7,BX1435)),0),0)</f>
        <v>0</v>
      </c>
      <c r="CH1435" s="59" t="n">
        <f aca="false">IF(AND(Parameter!$B$21="Ja",ISNUMBER(W1435),N(X1435)&gt;0),IFERROR(N(INDEX(Parameter!$L$5:$L$7,W1435))*INDEX(Parameter!$E$5:$E$7,W1435)*X1435/SUMIFS($X$7:$X$1843,$W$7:$W$1843,W1435),0),0)</f>
        <v>0</v>
      </c>
    </row>
    <row r="1436" customFormat="false" ht="15" hidden="false" customHeight="false" outlineLevel="0" collapsed="false">
      <c r="A1436" s="55" t="s">
        <v>2515</v>
      </c>
      <c r="B1436" s="55" t="s">
        <v>2516</v>
      </c>
      <c r="C1436" s="55" t="s">
        <v>164</v>
      </c>
      <c r="D1436" s="55" t="s">
        <v>173</v>
      </c>
      <c r="E1436" s="55"/>
      <c r="F1436" s="55" t="s">
        <v>218</v>
      </c>
      <c r="G1436" s="56" t="n">
        <v>338.86</v>
      </c>
      <c r="H1436" s="57" t="n">
        <f aca="false">MAX(0,IF(AND(Parameter!$B$21="Ja",ISNUMBER(Y1436)),Y1436,IF(Parameter!$B$20="Jahresanfang 2025 + Export",BL1436+BK1436,BK1436)))</f>
        <v>15</v>
      </c>
      <c r="I1436" s="57" t="n">
        <f aca="false">H1436*G1436</f>
        <v>5082.9</v>
      </c>
      <c r="J1436" s="57" t="n">
        <f aca="false">BN1436*Parameter!$B$18</f>
        <v>36</v>
      </c>
      <c r="K1436" s="58" t="n">
        <v>27</v>
      </c>
      <c r="L1436" s="59" t="n">
        <v>1.33333333333333</v>
      </c>
      <c r="M1436" s="57" t="n">
        <v>2</v>
      </c>
      <c r="N1436" s="57" t="n">
        <v>15</v>
      </c>
      <c r="O1436" s="60" t="n">
        <v>21</v>
      </c>
      <c r="P1436" s="55" t="s">
        <v>174</v>
      </c>
      <c r="Q1436" s="57" t="n">
        <v>18</v>
      </c>
      <c r="R1436" s="60" t="n">
        <f aca="false">IF(BT1436=1,0,IFERROR(VLOOKUP(BR1436,'Gebinde-Kategorie'!$A$5:$M$45,13,0)+0,0))</f>
        <v>6</v>
      </c>
      <c r="S1436" s="61"/>
      <c r="T1436" s="62"/>
      <c r="U1436" s="62"/>
      <c r="V1436" s="62"/>
      <c r="W1436" s="55"/>
      <c r="X1436" s="57"/>
      <c r="Y1436" s="57"/>
      <c r="Z1436" s="55" t="n">
        <f aca="false">IF(A1436="","",IF(AND(Parameter!$B$21="Ja",ISNUMBER(W1436)),W1436,IF(BV1436="2+3",IF(ISNUMBER(SEARCH("grosser Artikel",BO1436)),2,IFERROR(VLOOKUP(BR1436,Parameter!$F$35:$G$64,2,0),2)),IF(OR(BV1436="Nein",BV1436=""),"-",BV1436))))</f>
        <v>2</v>
      </c>
      <c r="AA1436" s="62"/>
      <c r="AB1436" s="63"/>
      <c r="AC1436" s="57" t="n">
        <f aca="false">AR1436</f>
        <v>18</v>
      </c>
      <c r="AD1436" s="57" t="n">
        <f aca="false">MAX(AR1436,H1436)</f>
        <v>18</v>
      </c>
      <c r="AE1436" s="64"/>
      <c r="AF1436" s="57" t="n">
        <f aca="false">IF(LEFT(Cockpit!$C$5,1)="A",H1436,IF(CA1436=1,CB1436,IF(LEFT(Cockpit!$C$5,1)="B",AJ1436,MAX(AJ1436,H1436))))</f>
        <v>15</v>
      </c>
      <c r="AG1436" s="57" t="n">
        <f aca="false">IF(BT1436=1,0,ROUNDUP(AF1436/BS1436,0))</f>
        <v>1</v>
      </c>
      <c r="AH1436" s="59" t="n">
        <f aca="false">IF(CH1436&gt;0,CH1436*MAX(1,AF1436/X1436),IF(BT1436=1,IF(AF1436&lt;=0,0,BW1436*MAX(1,IF(H1436&gt;0,AF1436/H1436,1))),IF(R1436&gt;0,AG1436/R1436,0))/MAX(0.1,N(Parameter!$M$21)))</f>
        <v>0.166666666666667</v>
      </c>
      <c r="AI1436" s="57" t="n">
        <f aca="false">AF1436*G1436</f>
        <v>5082.9</v>
      </c>
      <c r="AJ1436" s="57" t="n">
        <f aca="false">ROUNDUP(MAX(J1436/IF(BZ1436&gt;0,BZ1436,MAX(0.1,N(Cockpit!$C$6))),CC1436)/BS1436,0)*BS1436</f>
        <v>18</v>
      </c>
      <c r="AK1436" s="58" t="n">
        <f aca="false">IF(AH1436&gt;0,J1436/AH1436,-1)</f>
        <v>216</v>
      </c>
      <c r="AL1436" s="58" t="n">
        <f aca="false">IF(AND(OR(BY1436="L1",BY1436="L23"),AH1436&gt;0),SUMIFS($AH$7:$AH$1843,$BY$7:$BY$1843,BY1436,$AK$7:$AK$1843,"&gt;"&amp;AK1436)+SUMIFS($AH$7:$AH$1843,$BY$7:$BY$1843,BY1436,$AK$7:$AK$1843,AK1436,$BQ$7:$BQ$1843,"&lt;="&amp;BQ1436),"")</f>
        <v>31.7069693591433</v>
      </c>
      <c r="AM1436" s="65" t="n">
        <f aca="false">IF(AL1436="",0,MAX(0,MIN(1,(IF(BY1436="L1",Parameter!$E$5,Parameter!$E$6+Parameter!$E$7)-(AL1436-AH1436))/AH1436)))</f>
        <v>1</v>
      </c>
      <c r="AN1436" s="57" t="n">
        <f aca="false">IF(LEFT(Cockpit!$I$5,1)="A",H1436,IF(CA1436=1,CB1436,IF(LEFT(Cockpit!$I$5,1)="B",AR1436,MAX(AR1436,H1436))))</f>
        <v>18</v>
      </c>
      <c r="AO1436" s="57" t="n">
        <f aca="false">IF(BT1436=1,0,ROUNDUP(AN1436/BS1436,0))</f>
        <v>1</v>
      </c>
      <c r="AP1436" s="59" t="n">
        <f aca="false">IF(CH1436&gt;0,CH1436*MAX(1,AN1436/X1436),IF(BT1436=1,IF(AN1436&lt;=0,0,BW1436*MAX(1,IF(H1436&gt;0,AN1436/H1436,1))),IF(R1436&gt;0,AO1436/R1436,0))/MAX(0.1,N(Parameter!$M$21)))</f>
        <v>0.166666666666667</v>
      </c>
      <c r="AQ1436" s="57" t="n">
        <f aca="false">AN1436*G1436</f>
        <v>6099.48</v>
      </c>
      <c r="AR1436" s="57" t="n">
        <f aca="false">ROUNDUP(MAX(J1436/IF(BZ1436&gt;0,BZ1436,MAX(0.1,N(Cockpit!$I$6))),CC1436)/BS1436,0)*BS1436</f>
        <v>18</v>
      </c>
      <c r="AS1436" s="58" t="n">
        <f aca="false">IF(AP1436&gt;0,J1436/AP1436,-1)</f>
        <v>216</v>
      </c>
      <c r="AT1436" s="58" t="n">
        <f aca="false">IF(AND(OR(BY1436="L1",BY1436="L23"),AP1436&gt;0),SUMIFS($AP$7:$AP$1843,$BY$7:$BY$1843,BY1436,$AS$7:$AS$1843,"&gt;"&amp;AS1436)+SUMIFS($AP$7:$AP$1843,$BY$7:$BY$1843,BY1436,$AS$7:$AS$1843,AS1436,$BQ$7:$BQ$1843,"&lt;="&amp;BQ1436),"")</f>
        <v>45.1340072970508</v>
      </c>
      <c r="AU1436" s="65" t="n">
        <f aca="false">IF(AT1436="",0,MAX(0,MIN(1,(IF(BY1436="L1",Parameter!$E$5,Parameter!$E$6+Parameter!$E$7)-(AT1436-AP1436))/AP1436)))</f>
        <v>1</v>
      </c>
      <c r="AV1436" s="57" t="n">
        <f aca="false">IF(LEFT(Cockpit!$O$5,1)="A",H1436,IF(CA1436=1,CB1436,IF(LEFT(Cockpit!$O$5,1)="B",AZ1436,MAX(AZ1436,H1436))))</f>
        <v>18</v>
      </c>
      <c r="AW1436" s="57" t="n">
        <f aca="false">IF(BT1436=1,0,ROUNDUP(AV1436/BS1436,0))</f>
        <v>1</v>
      </c>
      <c r="AX1436" s="59" t="n">
        <f aca="false">IF(CH1436&gt;0,CH1436*MAX(1,AV1436/X1436),IF(BT1436=1,IF(AV1436&lt;=0,0,BW1436*MAX(1,IF(H1436&gt;0,AV1436/H1436,1))),IF(R1436&gt;0,AW1436/R1436,0))/MAX(0.1,N(Parameter!$M$21)))</f>
        <v>0.166666666666667</v>
      </c>
      <c r="AY1436" s="57" t="n">
        <f aca="false">AV1436*G1436</f>
        <v>6099.48</v>
      </c>
      <c r="AZ1436" s="57" t="n">
        <f aca="false">ROUNDUP(MAX(J1436/IF(BZ1436&gt;0,BZ1436,MAX(0.1,N(Cockpit!$O$6))),CC1436)/BS1436,0)*BS1436</f>
        <v>18</v>
      </c>
      <c r="BA1436" s="58" t="n">
        <f aca="false">IF(AX1436&gt;0,J1436/AX1436,-1)</f>
        <v>216</v>
      </c>
      <c r="BB1436" s="58" t="n">
        <f aca="false">IF(AND(OR(BY1436="L1",BY1436="L23"),AX1436&gt;0),SUMIFS($AX$7:$AX$1843,$BY$7:$BY$1843,BY1436,$BA$7:$BA$1843,"&gt;"&amp;BA1436)+SUMIFS($AX$7:$AX$1843,$BY$7:$BY$1843,BY1436,$BA$7:$BA$1843,BA1436,$BQ$7:$BQ$1843,"&lt;="&amp;BQ1436),"")</f>
        <v>42.3805107935543</v>
      </c>
      <c r="BC1436" s="65" t="n">
        <f aca="false">IF(BB1436="",0,MAX(0,MIN(1,(IF(BY1436="L1",Parameter!$E$5,Parameter!$E$6+Parameter!$E$7)-(BB1436-AX1436))/AX1436)))</f>
        <v>1</v>
      </c>
      <c r="BD1436" s="55" t="str">
        <f aca="false">IF(AH1436&lt;=0,"",IF(BY1436="Aussen","Aussenlager",IF(BY1436="-","Nicht im Lift",IF(AM1436&gt;=1,"Lift",IF(AM1436&lt;=0,"Aussenlager","teilweise")))))</f>
        <v>Lift</v>
      </c>
      <c r="BE1436" s="55" t="str">
        <f aca="false">IF(AP1436&lt;=0,"",IF(BY1436="Aussen","Aussenlager",IF(BY1436="-","Nicht im Lift",IF(AU1436&gt;=1,"Lift",IF(AU1436&lt;=0,"Aussenlager","teilweise")))))</f>
        <v>Lift</v>
      </c>
      <c r="BF1436" s="55" t="str">
        <f aca="false">IF(AX1436&lt;=0,"",IF(BY1436="Aussen","Aussenlager",IF(BY1436="-","Nicht im Lift",IF(BC1436&gt;=1,"Lift",IF(BC1436&lt;=0,"Aussenlager","teilweise")))))</f>
        <v>Lift</v>
      </c>
      <c r="BG1436" s="55" t="str">
        <f aca="false">IF(A1436="","",IF(BP1436=1,"Neu; ","")&amp;IF(AND(BP1436=0,BK1436&lt;0),"negativer Bestand (Export "&amp;BK1436&amp;"); ","")&amp;IF(J1436&lt;=0,"Kein Verbrauch; ","")&amp;IF(CH1436&gt;0,"Lift "&amp;W1436&amp;" lt. Liftbericht (Fach "&amp;X1436&amp;" Stk); ",IF(BU1436=1,"Gebinde geschätzt ("&amp;T1436&amp;"); ",IF(BT1436=1,"Lose – Tablare geschätzt; ","")))&amp;IF(H1436&gt;AR1436,"Überbestand "&amp;ROUND(H1436-AR1436,0)&amp;" Stk / CHF "&amp;ROUND((H1436-AR1436)*G1436,0)&amp;"; ","")&amp;IF(AND(CA1436=1,CB1436&lt;CC1436),"MAX &lt; MB+LG; ","")&amp;IF(AND(CG1436&gt;0,CF1436*10&gt;CG1436),"zu hoch für Tablar; ","")&amp;IF(AND(BP1436=0,OR(CA1436=1,AA1436&lt;&gt;"",U1436&lt;&gt;"",V1436&lt;&gt;"",AB1436&lt;&gt;"")),"manuell übersteuert; ","")&amp;IF(AND(BT1436=0,R1436=0),"Gebinde unbekannt / Stellmass fehlt; ","")&amp;IF(AND(BT1436=0,N(V1436)&lt;=0,N(Q1436)&lt;=0),"Menge pro Gebinde fehlt (Ist = 1 Gebinde); ","")&amp;BO1436)</f>
        <v>negativer Bestand (Export -22); </v>
      </c>
      <c r="BH1436" s="55"/>
      <c r="BI1436" s="55"/>
      <c r="BJ1436" s="62"/>
      <c r="BK1436" s="57" t="n">
        <v>-22</v>
      </c>
      <c r="BL1436" s="57" t="n">
        <v>37</v>
      </c>
      <c r="BM1436" s="56" t="n">
        <v>-8095.76</v>
      </c>
      <c r="BN1436" s="57" t="n">
        <v>36</v>
      </c>
      <c r="BO1436" s="55"/>
      <c r="BP1436" s="60" t="n">
        <v>0</v>
      </c>
      <c r="BQ1436" s="60" t="n">
        <v>1436</v>
      </c>
      <c r="BR1436" s="55" t="str">
        <f aca="false">IF(U1436&lt;&gt;"",UPPER(TRIM(U1436)),IF(BU1436=1,UPPER(VLOOKUP(T1436,Parameter!$I$27:$K$29,2,0)),IF(P1436="","LOSE",P1436)))</f>
        <v>S71</v>
      </c>
      <c r="BS1436" s="57" t="n">
        <f aca="false">IF(BR1436="LOSE",1,IF(N(V1436)&gt;0,V1436,IF(BU1436=1,MAX(1,N(VLOOKUP(T1436,Parameter!$I$27:$K$29,3,0)),H1436,N(N1436)),IF(N(Q1436)&gt;0,Q1436,MAX(1,H1436)))))</f>
        <v>18</v>
      </c>
      <c r="BT1436" s="60" t="n">
        <f aca="false">IF(BR1436="LOSE",1,0)</f>
        <v>0</v>
      </c>
      <c r="BU1436" s="60" t="n">
        <f aca="false">IF(AND(U1436="",OR(P1436="",P1436="LOSE"),T1436&lt;&gt;"",N(S1436)&lt;=0,ISNUMBER(MATCH(T1436,Parameter!$I$27:$I$29,0))),1,0)</f>
        <v>0</v>
      </c>
      <c r="BV1436" s="55" t="str">
        <f aca="false">IF(AND(Parameter!$B$19="Ja",E1436&lt;&gt;"",ISNUMBER(MATCH(E1436,Parameter!$I$35:$I$52,0))),VLOOKUP(E1436,Parameter!$I$35:$J$52,2,0),IFERROR(VLOOKUP(D1436,Parameter!$A$35:$C$64,2,0),"Nein"))</f>
        <v>2+3</v>
      </c>
      <c r="BW1436" s="59" t="n">
        <f aca="false">IF(BT1436=0,0,IF(N(S1436)&gt;0,S1436,IFERROR(VLOOKUP(D1436,Parameter!$A$35:$C$64,3,0)+0,0)))</f>
        <v>0</v>
      </c>
      <c r="BX1436" s="55" t="n">
        <f aca="false">IF(AA1436&lt;&gt;"",AA1436,Z1436)</f>
        <v>2</v>
      </c>
      <c r="BY1436" s="55" t="str">
        <f aca="false">IF(BX1436=1,"L1",IF(OR(BX1436=2,BX1436=3),"L23",IF(BX1436="Aussen","Aussen","-")))</f>
        <v>L23</v>
      </c>
      <c r="BZ1436" s="66" t="n">
        <f aca="false">IF(N(AB1436)&gt;0,AB1436,0)</f>
        <v>0</v>
      </c>
      <c r="CA1436" s="60" t="n">
        <f aca="false">IF(ISNUMBER(AE1436),1,0)</f>
        <v>0</v>
      </c>
      <c r="CB1436" s="57" t="n">
        <f aca="false">N(AE1436)</f>
        <v>0</v>
      </c>
      <c r="CC1436" s="57" t="n">
        <f aca="false">N(M1436)+N(N1436)</f>
        <v>17</v>
      </c>
      <c r="CD1436" s="57" t="n">
        <f aca="false">ROUNDUP(H1436/BS1436,0)</f>
        <v>1</v>
      </c>
      <c r="CE1436" s="57" t="n">
        <f aca="false">ROUNDUP(CB1436/BS1436,0)</f>
        <v>0</v>
      </c>
      <c r="CF1436" s="60" t="n">
        <f aca="false">IF(BT1436=1,0,IFERROR(VLOOKUP(BR1436,'Gebinde-Kategorie'!$A$5:$M$45,5,0)+0,0))</f>
        <v>20</v>
      </c>
      <c r="CG1436" s="60" t="n">
        <f aca="false">IFERROR(IF(OR(BX1436=1,BX1436=2,BX1436=3),N(INDEX(Parameter!$I$5:$I$7,BX1436)),0),0)</f>
        <v>0</v>
      </c>
      <c r="CH1436" s="59" t="n">
        <f aca="false">IF(AND(Parameter!$B$21="Ja",ISNUMBER(W1436),N(X1436)&gt;0),IFERROR(N(INDEX(Parameter!$L$5:$L$7,W1436))*INDEX(Parameter!$E$5:$E$7,W1436)*X1436/SUMIFS($X$7:$X$1843,$W$7:$W$1843,W1436),0),0)</f>
        <v>0</v>
      </c>
    </row>
    <row r="1437" customFormat="false" ht="15" hidden="false" customHeight="false" outlineLevel="0" collapsed="false">
      <c r="A1437" s="55" t="s">
        <v>2517</v>
      </c>
      <c r="B1437" s="55" t="s">
        <v>2518</v>
      </c>
      <c r="C1437" s="55" t="s">
        <v>164</v>
      </c>
      <c r="D1437" s="55" t="s">
        <v>173</v>
      </c>
      <c r="E1437" s="55" t="s">
        <v>166</v>
      </c>
      <c r="F1437" s="55" t="s">
        <v>218</v>
      </c>
      <c r="G1437" s="56" t="n">
        <v>559.54</v>
      </c>
      <c r="H1437" s="57" t="n">
        <f aca="false">MAX(0,IF(AND(Parameter!$B$21="Ja",ISNUMBER(Y1437)),Y1437,IF(Parameter!$B$20="Jahresanfang 2025 + Export",BL1437+BK1437,BK1437)))</f>
        <v>13</v>
      </c>
      <c r="I1437" s="57" t="n">
        <f aca="false">H1437*G1437</f>
        <v>7274.02</v>
      </c>
      <c r="J1437" s="57" t="n">
        <f aca="false">BN1437*Parameter!$B$18</f>
        <v>29</v>
      </c>
      <c r="K1437" s="58" t="n">
        <v>37.5</v>
      </c>
      <c r="L1437" s="59" t="n">
        <v>0.773333333333333</v>
      </c>
      <c r="M1437" s="57" t="n">
        <v>1</v>
      </c>
      <c r="N1437" s="57" t="n">
        <v>20</v>
      </c>
      <c r="O1437" s="60" t="n">
        <v>21</v>
      </c>
      <c r="P1437" s="55" t="s">
        <v>174</v>
      </c>
      <c r="Q1437" s="57" t="n">
        <v>12</v>
      </c>
      <c r="R1437" s="60" t="n">
        <f aca="false">IF(BT1437=1,0,IFERROR(VLOOKUP(BR1437,'Gebinde-Kategorie'!$A$5:$M$45,13,0)+0,0))</f>
        <v>6</v>
      </c>
      <c r="S1437" s="61"/>
      <c r="T1437" s="62"/>
      <c r="U1437" s="62"/>
      <c r="V1437" s="62"/>
      <c r="W1437" s="55"/>
      <c r="X1437" s="57"/>
      <c r="Y1437" s="57"/>
      <c r="Z1437" s="55" t="n">
        <f aca="false">IF(A1437="","",IF(AND(Parameter!$B$21="Ja",ISNUMBER(W1437)),W1437,IF(BV1437="2+3",IF(ISNUMBER(SEARCH("grosser Artikel",BO1437)),2,IFERROR(VLOOKUP(BR1437,Parameter!$F$35:$G$64,2,0),2)),IF(OR(BV1437="Nein",BV1437=""),"-",BV1437))))</f>
        <v>1</v>
      </c>
      <c r="AA1437" s="62"/>
      <c r="AB1437" s="63"/>
      <c r="AC1437" s="57" t="n">
        <f aca="false">AR1437</f>
        <v>24</v>
      </c>
      <c r="AD1437" s="57" t="n">
        <f aca="false">MAX(AR1437,H1437)</f>
        <v>24</v>
      </c>
      <c r="AE1437" s="64"/>
      <c r="AF1437" s="57" t="n">
        <f aca="false">IF(LEFT(Cockpit!$C$5,1)="A",H1437,IF(CA1437=1,CB1437,IF(LEFT(Cockpit!$C$5,1)="B",AJ1437,MAX(AJ1437,H1437))))</f>
        <v>13</v>
      </c>
      <c r="AG1437" s="57" t="n">
        <f aca="false">IF(BT1437=1,0,ROUNDUP(AF1437/BS1437,0))</f>
        <v>2</v>
      </c>
      <c r="AH1437" s="59" t="n">
        <f aca="false">IF(CH1437&gt;0,CH1437*MAX(1,AF1437/X1437),IF(BT1437=1,IF(AF1437&lt;=0,0,BW1437*MAX(1,IF(H1437&gt;0,AF1437/H1437,1))),IF(R1437&gt;0,AG1437/R1437,0))/MAX(0.1,N(Parameter!$M$21)))</f>
        <v>0.333333333333333</v>
      </c>
      <c r="AI1437" s="57" t="n">
        <f aca="false">AF1437*G1437</f>
        <v>7274.02</v>
      </c>
      <c r="AJ1437" s="57" t="n">
        <f aca="false">ROUNDUP(MAX(J1437/IF(BZ1437&gt;0,BZ1437,MAX(0.1,N(Cockpit!$C$6))),CC1437)/BS1437,0)*BS1437</f>
        <v>24</v>
      </c>
      <c r="AK1437" s="58" t="n">
        <f aca="false">IF(AH1437&gt;0,J1437/AH1437,-1)</f>
        <v>87</v>
      </c>
      <c r="AL1437" s="58" t="n">
        <f aca="false">IF(AND(OR(BY1437="L1",BY1437="L23"),AH1437&gt;0),SUMIFS($AH$7:$AH$1843,$BY$7:$BY$1843,BY1437,$AK$7:$AK$1843,"&gt;"&amp;AK1437)+SUMIFS($AH$7:$AH$1843,$BY$7:$BY$1843,BY1437,$AK$7:$AK$1843,AK1437,$BQ$7:$BQ$1843,"&lt;="&amp;BQ1437),"")</f>
        <v>7.49754045185143</v>
      </c>
      <c r="AM1437" s="65" t="n">
        <f aca="false">IF(AL1437="",0,MAX(0,MIN(1,(IF(BY1437="L1",Parameter!$E$5,Parameter!$E$6+Parameter!$E$7)-(AL1437-AH1437))/AH1437)))</f>
        <v>1</v>
      </c>
      <c r="AN1437" s="57" t="n">
        <f aca="false">IF(LEFT(Cockpit!$I$5,1)="A",H1437,IF(CA1437=1,CB1437,IF(LEFT(Cockpit!$I$5,1)="B",AR1437,MAX(AR1437,H1437))))</f>
        <v>24</v>
      </c>
      <c r="AO1437" s="57" t="n">
        <f aca="false">IF(BT1437=1,0,ROUNDUP(AN1437/BS1437,0))</f>
        <v>2</v>
      </c>
      <c r="AP1437" s="59" t="n">
        <f aca="false">IF(CH1437&gt;0,CH1437*MAX(1,AN1437/X1437),IF(BT1437=1,IF(AN1437&lt;=0,0,BW1437*MAX(1,IF(H1437&gt;0,AN1437/H1437,1))),IF(R1437&gt;0,AO1437/R1437,0))/MAX(0.1,N(Parameter!$M$21)))</f>
        <v>0.333333333333333</v>
      </c>
      <c r="AQ1437" s="57" t="n">
        <f aca="false">AN1437*G1437</f>
        <v>13428.96</v>
      </c>
      <c r="AR1437" s="57" t="n">
        <f aca="false">ROUNDUP(MAX(J1437/IF(BZ1437&gt;0,BZ1437,MAX(0.1,N(Cockpit!$I$6))),CC1437)/BS1437,0)*BS1437</f>
        <v>24</v>
      </c>
      <c r="AS1437" s="58" t="n">
        <f aca="false">IF(AP1437&gt;0,J1437/AP1437,-1)</f>
        <v>87</v>
      </c>
      <c r="AT1437" s="58" t="n">
        <f aca="false">IF(AND(OR(BY1437="L1",BY1437="L23"),AP1437&gt;0),SUMIFS($AP$7:$AP$1843,$BY$7:$BY$1843,BY1437,$AS$7:$AS$1843,"&gt;"&amp;AS1437)+SUMIFS($AP$7:$AP$1843,$BY$7:$BY$1843,BY1437,$AS$7:$AS$1843,AS1437,$BQ$7:$BQ$1843,"&lt;="&amp;BQ1437),"")</f>
        <v>10.0777591973244</v>
      </c>
      <c r="AU1437" s="65" t="n">
        <f aca="false">IF(AT1437="",0,MAX(0,MIN(1,(IF(BY1437="L1",Parameter!$E$5,Parameter!$E$6+Parameter!$E$7)-(AT1437-AP1437))/AP1437)))</f>
        <v>1</v>
      </c>
      <c r="AV1437" s="57" t="n">
        <f aca="false">IF(LEFT(Cockpit!$O$5,1)="A",H1437,IF(CA1437=1,CB1437,IF(LEFT(Cockpit!$O$5,1)="B",AZ1437,MAX(AZ1437,H1437))))</f>
        <v>24</v>
      </c>
      <c r="AW1437" s="57" t="n">
        <f aca="false">IF(BT1437=1,0,ROUNDUP(AV1437/BS1437,0))</f>
        <v>2</v>
      </c>
      <c r="AX1437" s="59" t="n">
        <f aca="false">IF(CH1437&gt;0,CH1437*MAX(1,AV1437/X1437),IF(BT1437=1,IF(AV1437&lt;=0,0,BW1437*MAX(1,IF(H1437&gt;0,AV1437/H1437,1))),IF(R1437&gt;0,AW1437/R1437,0))/MAX(0.1,N(Parameter!$M$21)))</f>
        <v>0.333333333333333</v>
      </c>
      <c r="AY1437" s="57" t="n">
        <f aca="false">AV1437*G1437</f>
        <v>13428.96</v>
      </c>
      <c r="AZ1437" s="57" t="n">
        <f aca="false">ROUNDUP(MAX(J1437/IF(BZ1437&gt;0,BZ1437,MAX(0.1,N(Cockpit!$O$6))),CC1437)/BS1437,0)*BS1437</f>
        <v>24</v>
      </c>
      <c r="BA1437" s="58" t="n">
        <f aca="false">IF(AX1437&gt;0,J1437/AX1437,-1)</f>
        <v>87</v>
      </c>
      <c r="BB1437" s="58" t="n">
        <f aca="false">IF(AND(OR(BY1437="L1",BY1437="L23"),AX1437&gt;0),SUMIFS($AX$7:$AX$1843,$BY$7:$BY$1843,BY1437,$BA$7:$BA$1843,"&gt;"&amp;BA1437)+SUMIFS($AX$7:$AX$1843,$BY$7:$BY$1843,BY1437,$BA$7:$BA$1843,BA1437,$BQ$7:$BQ$1843,"&lt;="&amp;BQ1437),"")</f>
        <v>9.12263099219621</v>
      </c>
      <c r="BC1437" s="65" t="n">
        <f aca="false">IF(BB1437="",0,MAX(0,MIN(1,(IF(BY1437="L1",Parameter!$E$5,Parameter!$E$6+Parameter!$E$7)-(BB1437-AX1437))/AX1437)))</f>
        <v>1</v>
      </c>
      <c r="BD1437" s="55" t="str">
        <f aca="false">IF(AH1437&lt;=0,"",IF(BY1437="Aussen","Aussenlager",IF(BY1437="-","Nicht im Lift",IF(AM1437&gt;=1,"Lift",IF(AM1437&lt;=0,"Aussenlager","teilweise")))))</f>
        <v>Lift</v>
      </c>
      <c r="BE1437" s="55" t="str">
        <f aca="false">IF(AP1437&lt;=0,"",IF(BY1437="Aussen","Aussenlager",IF(BY1437="-","Nicht im Lift",IF(AU1437&gt;=1,"Lift",IF(AU1437&lt;=0,"Aussenlager","teilweise")))))</f>
        <v>Lift</v>
      </c>
      <c r="BF1437" s="55" t="str">
        <f aca="false">IF(AX1437&lt;=0,"",IF(BY1437="Aussen","Aussenlager",IF(BY1437="-","Nicht im Lift",IF(BC1437&gt;=1,"Lift",IF(BC1437&lt;=0,"Aussenlager","teilweise")))))</f>
        <v>Lift</v>
      </c>
      <c r="BG1437" s="55" t="str">
        <f aca="false">IF(A1437="","",IF(BP1437=1,"Neu; ","")&amp;IF(AND(BP1437=0,BK1437&lt;0),"negativer Bestand (Export "&amp;BK1437&amp;"); ","")&amp;IF(J1437&lt;=0,"Kein Verbrauch; ","")&amp;IF(CH1437&gt;0,"Lift "&amp;W1437&amp;" lt. Liftbericht (Fach "&amp;X1437&amp;" Stk); ",IF(BU1437=1,"Gebinde geschätzt ("&amp;T1437&amp;"); ",IF(BT1437=1,"Lose – Tablare geschätzt; ","")))&amp;IF(H1437&gt;AR1437,"Überbestand "&amp;ROUND(H1437-AR1437,0)&amp;" Stk / CHF "&amp;ROUND((H1437-AR1437)*G1437,0)&amp;"; ","")&amp;IF(AND(CA1437=1,CB1437&lt;CC1437),"MAX &lt; MB+LG; ","")&amp;IF(AND(CG1437&gt;0,CF1437*10&gt;CG1437),"zu hoch für Tablar; ","")&amp;IF(AND(BP1437=0,OR(CA1437=1,AA1437&lt;&gt;"",U1437&lt;&gt;"",V1437&lt;&gt;"",AB1437&lt;&gt;"")),"manuell übersteuert; ","")&amp;IF(AND(BT1437=0,R1437=0),"Gebinde unbekannt / Stellmass fehlt; ","")&amp;IF(AND(BT1437=0,N(V1437)&lt;=0,N(Q1437)&lt;=0),"Menge pro Gebinde fehlt (Ist = 1 Gebinde); ","")&amp;BO1437)</f>
        <v>negativer Bestand (Export -19); </v>
      </c>
      <c r="BH1437" s="55"/>
      <c r="BI1437" s="55"/>
      <c r="BJ1437" s="62"/>
      <c r="BK1437" s="57" t="n">
        <v>-19</v>
      </c>
      <c r="BL1437" s="57" t="n">
        <v>32</v>
      </c>
      <c r="BM1437" s="56" t="n">
        <v>-8101.02</v>
      </c>
      <c r="BN1437" s="57" t="n">
        <v>29</v>
      </c>
      <c r="BO1437" s="55"/>
      <c r="BP1437" s="60" t="n">
        <v>0</v>
      </c>
      <c r="BQ1437" s="60" t="n">
        <v>1437</v>
      </c>
      <c r="BR1437" s="55" t="str">
        <f aca="false">IF(U1437&lt;&gt;"",UPPER(TRIM(U1437)),IF(BU1437=1,UPPER(VLOOKUP(T1437,Parameter!$I$27:$K$29,2,0)),IF(P1437="","LOSE",P1437)))</f>
        <v>S71</v>
      </c>
      <c r="BS1437" s="57" t="n">
        <f aca="false">IF(BR1437="LOSE",1,IF(N(V1437)&gt;0,V1437,IF(BU1437=1,MAX(1,N(VLOOKUP(T1437,Parameter!$I$27:$K$29,3,0)),H1437,N(N1437)),IF(N(Q1437)&gt;0,Q1437,MAX(1,H1437)))))</f>
        <v>12</v>
      </c>
      <c r="BT1437" s="60" t="n">
        <f aca="false">IF(BR1437="LOSE",1,0)</f>
        <v>0</v>
      </c>
      <c r="BU1437" s="60" t="n">
        <f aca="false">IF(AND(U1437="",OR(P1437="",P1437="LOSE"),T1437&lt;&gt;"",N(S1437)&lt;=0,ISNUMBER(MATCH(T1437,Parameter!$I$27:$I$29,0))),1,0)</f>
        <v>0</v>
      </c>
      <c r="BV1437" s="55" t="n">
        <f aca="false">IF(AND(Parameter!$B$19="Ja",E1437&lt;&gt;"",ISNUMBER(MATCH(E1437,Parameter!$I$35:$I$52,0))),VLOOKUP(E1437,Parameter!$I$35:$J$52,2,0),IFERROR(VLOOKUP(D1437,Parameter!$A$35:$C$64,2,0),"Nein"))</f>
        <v>1</v>
      </c>
      <c r="BW1437" s="59" t="n">
        <f aca="false">IF(BT1437=0,0,IF(N(S1437)&gt;0,S1437,IFERROR(VLOOKUP(D1437,Parameter!$A$35:$C$64,3,0)+0,0)))</f>
        <v>0</v>
      </c>
      <c r="BX1437" s="55" t="n">
        <f aca="false">IF(AA1437&lt;&gt;"",AA1437,Z1437)</f>
        <v>1</v>
      </c>
      <c r="BY1437" s="55" t="str">
        <f aca="false">IF(BX1437=1,"L1",IF(OR(BX1437=2,BX1437=3),"L23",IF(BX1437="Aussen","Aussen","-")))</f>
        <v>L1</v>
      </c>
      <c r="BZ1437" s="66" t="n">
        <f aca="false">IF(N(AB1437)&gt;0,AB1437,0)</f>
        <v>0</v>
      </c>
      <c r="CA1437" s="60" t="n">
        <f aca="false">IF(ISNUMBER(AE1437),1,0)</f>
        <v>0</v>
      </c>
      <c r="CB1437" s="57" t="n">
        <f aca="false">N(AE1437)</f>
        <v>0</v>
      </c>
      <c r="CC1437" s="57" t="n">
        <f aca="false">N(M1437)+N(N1437)</f>
        <v>21</v>
      </c>
      <c r="CD1437" s="57" t="n">
        <f aca="false">ROUNDUP(H1437/BS1437,0)</f>
        <v>2</v>
      </c>
      <c r="CE1437" s="57" t="n">
        <f aca="false">ROUNDUP(CB1437/BS1437,0)</f>
        <v>0</v>
      </c>
      <c r="CF1437" s="60" t="n">
        <f aca="false">IF(BT1437=1,0,IFERROR(VLOOKUP(BR1437,'Gebinde-Kategorie'!$A$5:$M$45,5,0)+0,0))</f>
        <v>20</v>
      </c>
      <c r="CG1437" s="60" t="n">
        <f aca="false">IFERROR(IF(OR(BX1437=1,BX1437=2,BX1437=3),N(INDEX(Parameter!$I$5:$I$7,BX1437)),0),0)</f>
        <v>0</v>
      </c>
      <c r="CH1437" s="59" t="n">
        <f aca="false">IF(AND(Parameter!$B$21="Ja",ISNUMBER(W1437),N(X1437)&gt;0),IFERROR(N(INDEX(Parameter!$L$5:$L$7,W1437))*INDEX(Parameter!$E$5:$E$7,W1437)*X1437/SUMIFS($X$7:$X$1843,$W$7:$W$1843,W1437),0),0)</f>
        <v>0</v>
      </c>
    </row>
    <row r="1438" customFormat="false" ht="15" hidden="false" customHeight="false" outlineLevel="0" collapsed="false">
      <c r="A1438" s="55" t="s">
        <v>2519</v>
      </c>
      <c r="B1438" s="55" t="s">
        <v>2520</v>
      </c>
      <c r="C1438" s="55" t="s">
        <v>164</v>
      </c>
      <c r="D1438" s="55" t="s">
        <v>173</v>
      </c>
      <c r="E1438" s="55" t="s">
        <v>166</v>
      </c>
      <c r="F1438" s="55" t="s">
        <v>218</v>
      </c>
      <c r="G1438" s="56" t="n">
        <v>154.27</v>
      </c>
      <c r="H1438" s="57" t="n">
        <f aca="false">MAX(0,IF(AND(Parameter!$B$21="Ja",ISNUMBER(Y1438)),Y1438,IF(Parameter!$B$20="Jahresanfang 2025 + Export",BL1438+BK1438,BK1438)))</f>
        <v>60</v>
      </c>
      <c r="I1438" s="57" t="n">
        <f aca="false">H1438*G1438</f>
        <v>9256.2</v>
      </c>
      <c r="J1438" s="57" t="n">
        <f aca="false">BN1438*Parameter!$B$18</f>
        <v>222</v>
      </c>
      <c r="K1438" s="58" t="n">
        <v>124.5</v>
      </c>
      <c r="L1438" s="59" t="n">
        <v>1.78313253012048</v>
      </c>
      <c r="M1438" s="57" t="n">
        <v>22</v>
      </c>
      <c r="N1438" s="57" t="n">
        <v>65</v>
      </c>
      <c r="O1438" s="60" t="n">
        <v>84</v>
      </c>
      <c r="P1438" s="55" t="s">
        <v>174</v>
      </c>
      <c r="Q1438" s="57" t="n">
        <v>80</v>
      </c>
      <c r="R1438" s="60" t="n">
        <f aca="false">IF(BT1438=1,0,IFERROR(VLOOKUP(BR1438,'Gebinde-Kategorie'!$A$5:$M$45,13,0)+0,0))</f>
        <v>6</v>
      </c>
      <c r="S1438" s="61"/>
      <c r="T1438" s="62"/>
      <c r="U1438" s="62"/>
      <c r="V1438" s="62"/>
      <c r="W1438" s="55"/>
      <c r="X1438" s="57"/>
      <c r="Y1438" s="57"/>
      <c r="Z1438" s="55" t="n">
        <f aca="false">IF(A1438="","",IF(AND(Parameter!$B$21="Ja",ISNUMBER(W1438)),W1438,IF(BV1438="2+3",IF(ISNUMBER(SEARCH("grosser Artikel",BO1438)),2,IFERROR(VLOOKUP(BR1438,Parameter!$F$35:$G$64,2,0),2)),IF(OR(BV1438="Nein",BV1438=""),"-",BV1438))))</f>
        <v>1</v>
      </c>
      <c r="AA1438" s="62"/>
      <c r="AB1438" s="63"/>
      <c r="AC1438" s="57" t="n">
        <f aca="false">AR1438</f>
        <v>160</v>
      </c>
      <c r="AD1438" s="57" t="n">
        <f aca="false">MAX(AR1438,H1438)</f>
        <v>160</v>
      </c>
      <c r="AE1438" s="64"/>
      <c r="AF1438" s="57" t="n">
        <f aca="false">IF(LEFT(Cockpit!$C$5,1)="A",H1438,IF(CA1438=1,CB1438,IF(LEFT(Cockpit!$C$5,1)="B",AJ1438,MAX(AJ1438,H1438))))</f>
        <v>60</v>
      </c>
      <c r="AG1438" s="57" t="n">
        <f aca="false">IF(BT1438=1,0,ROUNDUP(AF1438/BS1438,0))</f>
        <v>1</v>
      </c>
      <c r="AH1438" s="59" t="n">
        <f aca="false">IF(CH1438&gt;0,CH1438*MAX(1,AF1438/X1438),IF(BT1438=1,IF(AF1438&lt;=0,0,BW1438*MAX(1,IF(H1438&gt;0,AF1438/H1438,1))),IF(R1438&gt;0,AG1438/R1438,0))/MAX(0.1,N(Parameter!$M$21)))</f>
        <v>0.166666666666667</v>
      </c>
      <c r="AI1438" s="57" t="n">
        <f aca="false">AF1438*G1438</f>
        <v>9256.2</v>
      </c>
      <c r="AJ1438" s="57" t="n">
        <f aca="false">ROUNDUP(MAX(J1438/IF(BZ1438&gt;0,BZ1438,MAX(0.1,N(Cockpit!$C$6))),CC1438)/BS1438,0)*BS1438</f>
        <v>160</v>
      </c>
      <c r="AK1438" s="58" t="n">
        <f aca="false">IF(AH1438&gt;0,J1438/AH1438,-1)</f>
        <v>1332</v>
      </c>
      <c r="AL1438" s="58" t="n">
        <f aca="false">IF(AND(OR(BY1438="L1",BY1438="L23"),AH1438&gt;0),SUMIFS($AH$7:$AH$1843,$BY$7:$BY$1843,BY1438,$AK$7:$AK$1843,"&gt;"&amp;AK1438)+SUMIFS($AH$7:$AH$1843,$BY$7:$BY$1843,BY1438,$AK$7:$AK$1843,AK1438,$BQ$7:$BQ$1843,"&lt;="&amp;BQ1438),"")</f>
        <v>0.334169453734671</v>
      </c>
      <c r="AM1438" s="65" t="n">
        <f aca="false">IF(AL1438="",0,MAX(0,MIN(1,(IF(BY1438="L1",Parameter!$E$5,Parameter!$E$6+Parameter!$E$7)-(AL1438-AH1438))/AH1438)))</f>
        <v>1</v>
      </c>
      <c r="AN1438" s="57" t="n">
        <f aca="false">IF(LEFT(Cockpit!$I$5,1)="A",H1438,IF(CA1438=1,CB1438,IF(LEFT(Cockpit!$I$5,1)="B",AR1438,MAX(AR1438,H1438))))</f>
        <v>160</v>
      </c>
      <c r="AO1438" s="57" t="n">
        <f aca="false">IF(BT1438=1,0,ROUNDUP(AN1438/BS1438,0))</f>
        <v>2</v>
      </c>
      <c r="AP1438" s="59" t="n">
        <f aca="false">IF(CH1438&gt;0,CH1438*MAX(1,AN1438/X1438),IF(BT1438=1,IF(AN1438&lt;=0,0,BW1438*MAX(1,IF(H1438&gt;0,AN1438/H1438,1))),IF(R1438&gt;0,AO1438/R1438,0))/MAX(0.1,N(Parameter!$M$21)))</f>
        <v>0.333333333333333</v>
      </c>
      <c r="AQ1438" s="57" t="n">
        <f aca="false">AN1438*G1438</f>
        <v>24683.2</v>
      </c>
      <c r="AR1438" s="57" t="n">
        <f aca="false">ROUNDUP(MAX(J1438/IF(BZ1438&gt;0,BZ1438,MAX(0.1,N(Cockpit!$I$6))),CC1438)/BS1438,0)*BS1438</f>
        <v>160</v>
      </c>
      <c r="AS1438" s="58" t="n">
        <f aca="false">IF(AP1438&gt;0,J1438/AP1438,-1)</f>
        <v>666</v>
      </c>
      <c r="AT1438" s="58" t="n">
        <f aca="false">IF(AND(OR(BY1438="L1",BY1438="L23"),AP1438&gt;0),SUMIFS($AP$7:$AP$1843,$BY$7:$BY$1843,BY1438,$AS$7:$AS$1843,"&gt;"&amp;AS1438)+SUMIFS($AP$7:$AP$1843,$BY$7:$BY$1843,BY1438,$AS$7:$AS$1843,AS1438,$BQ$7:$BQ$1843,"&lt;="&amp;BQ1438),"")</f>
        <v>0.62263099219621</v>
      </c>
      <c r="AU1438" s="65" t="n">
        <f aca="false">IF(AT1438="",0,MAX(0,MIN(1,(IF(BY1438="L1",Parameter!$E$5,Parameter!$E$6+Parameter!$E$7)-(AT1438-AP1438))/AP1438)))</f>
        <v>1</v>
      </c>
      <c r="AV1438" s="57" t="n">
        <f aca="false">IF(LEFT(Cockpit!$O$5,1)="A",H1438,IF(CA1438=1,CB1438,IF(LEFT(Cockpit!$O$5,1)="B",AZ1438,MAX(AZ1438,H1438))))</f>
        <v>160</v>
      </c>
      <c r="AW1438" s="57" t="n">
        <f aca="false">IF(BT1438=1,0,ROUNDUP(AV1438/BS1438,0))</f>
        <v>2</v>
      </c>
      <c r="AX1438" s="59" t="n">
        <f aca="false">IF(CH1438&gt;0,CH1438*MAX(1,AV1438/X1438),IF(BT1438=1,IF(AV1438&lt;=0,0,BW1438*MAX(1,IF(H1438&gt;0,AV1438/H1438,1))),IF(R1438&gt;0,AW1438/R1438,0))/MAX(0.1,N(Parameter!$M$21)))</f>
        <v>0.333333333333333</v>
      </c>
      <c r="AY1438" s="57" t="n">
        <f aca="false">AV1438*G1438</f>
        <v>24683.2</v>
      </c>
      <c r="AZ1438" s="57" t="n">
        <f aca="false">ROUNDUP(MAX(J1438/IF(BZ1438&gt;0,BZ1438,MAX(0.1,N(Cockpit!$O$6))),CC1438)/BS1438,0)*BS1438</f>
        <v>160</v>
      </c>
      <c r="BA1438" s="58" t="n">
        <f aca="false">IF(AX1438&gt;0,J1438/AX1438,-1)</f>
        <v>666</v>
      </c>
      <c r="BB1438" s="58" t="n">
        <f aca="false">IF(AND(OR(BY1438="L1",BY1438="L23"),AX1438&gt;0),SUMIFS($AX$7:$AX$1843,$BY$7:$BY$1843,BY1438,$BA$7:$BA$1843,"&gt;"&amp;BA1438)+SUMIFS($AX$7:$AX$1843,$BY$7:$BY$1843,BY1438,$BA$7:$BA$1843,BA1438,$BQ$7:$BQ$1843,"&lt;="&amp;BQ1438),"")</f>
        <v>0.584169453734671</v>
      </c>
      <c r="BC1438" s="65" t="n">
        <f aca="false">IF(BB1438="",0,MAX(0,MIN(1,(IF(BY1438="L1",Parameter!$E$5,Parameter!$E$6+Parameter!$E$7)-(BB1438-AX1438))/AX1438)))</f>
        <v>1</v>
      </c>
      <c r="BD1438" s="55" t="str">
        <f aca="false">IF(AH1438&lt;=0,"",IF(BY1438="Aussen","Aussenlager",IF(BY1438="-","Nicht im Lift",IF(AM1438&gt;=1,"Lift",IF(AM1438&lt;=0,"Aussenlager","teilweise")))))</f>
        <v>Lift</v>
      </c>
      <c r="BE1438" s="55" t="str">
        <f aca="false">IF(AP1438&lt;=0,"",IF(BY1438="Aussen","Aussenlager",IF(BY1438="-","Nicht im Lift",IF(AU1438&gt;=1,"Lift",IF(AU1438&lt;=0,"Aussenlager","teilweise")))))</f>
        <v>Lift</v>
      </c>
      <c r="BF1438" s="55" t="str">
        <f aca="false">IF(AX1438&lt;=0,"",IF(BY1438="Aussen","Aussenlager",IF(BY1438="-","Nicht im Lift",IF(BC1438&gt;=1,"Lift",IF(BC1438&lt;=0,"Aussenlager","teilweise")))))</f>
        <v>Lift</v>
      </c>
      <c r="BG1438" s="55" t="str">
        <f aca="false">IF(A1438="","",IF(BP1438=1,"Neu; ","")&amp;IF(AND(BP1438=0,BK1438&lt;0),"negativer Bestand (Export "&amp;BK1438&amp;"); ","")&amp;IF(J1438&lt;=0,"Kein Verbrauch; ","")&amp;IF(CH1438&gt;0,"Lift "&amp;W1438&amp;" lt. Liftbericht (Fach "&amp;X1438&amp;" Stk); ",IF(BU1438=1,"Gebinde geschätzt ("&amp;T1438&amp;"); ",IF(BT1438=1,"Lose – Tablare geschätzt; ","")))&amp;IF(H1438&gt;AR1438,"Überbestand "&amp;ROUND(H1438-AR1438,0)&amp;" Stk / CHF "&amp;ROUND((H1438-AR1438)*G1438,0)&amp;"; ","")&amp;IF(AND(CA1438=1,CB1438&lt;CC1438),"MAX &lt; MB+LG; ","")&amp;IF(AND(CG1438&gt;0,CF1438*10&gt;CG1438),"zu hoch für Tablar; ","")&amp;IF(AND(BP1438=0,OR(CA1438=1,AA1438&lt;&gt;"",U1438&lt;&gt;"",V1438&lt;&gt;"",AB1438&lt;&gt;"")),"manuell übersteuert; ","")&amp;IF(AND(BT1438=0,R1438=0),"Gebinde unbekannt / Stellmass fehlt; ","")&amp;IF(AND(BT1438=0,N(V1438)&lt;=0,N(Q1438)&lt;=0),"Menge pro Gebinde fehlt (Ist = 1 Gebinde); ","")&amp;BO1438)</f>
        <v>negativer Bestand (Export -50); </v>
      </c>
      <c r="BH1438" s="55"/>
      <c r="BI1438" s="55"/>
      <c r="BJ1438" s="62"/>
      <c r="BK1438" s="57" t="n">
        <v>-50</v>
      </c>
      <c r="BL1438" s="57" t="n">
        <v>110</v>
      </c>
      <c r="BM1438" s="56" t="n">
        <v>-8512.09999999997</v>
      </c>
      <c r="BN1438" s="57" t="n">
        <v>222</v>
      </c>
      <c r="BO1438" s="55"/>
      <c r="BP1438" s="60" t="n">
        <v>0</v>
      </c>
      <c r="BQ1438" s="60" t="n">
        <v>1438</v>
      </c>
      <c r="BR1438" s="55" t="str">
        <f aca="false">IF(U1438&lt;&gt;"",UPPER(TRIM(U1438)),IF(BU1438=1,UPPER(VLOOKUP(T1438,Parameter!$I$27:$K$29,2,0)),IF(P1438="","LOSE",P1438)))</f>
        <v>S71</v>
      </c>
      <c r="BS1438" s="57" t="n">
        <f aca="false">IF(BR1438="LOSE",1,IF(N(V1438)&gt;0,V1438,IF(BU1438=1,MAX(1,N(VLOOKUP(T1438,Parameter!$I$27:$K$29,3,0)),H1438,N(N1438)),IF(N(Q1438)&gt;0,Q1438,MAX(1,H1438)))))</f>
        <v>80</v>
      </c>
      <c r="BT1438" s="60" t="n">
        <f aca="false">IF(BR1438="LOSE",1,0)</f>
        <v>0</v>
      </c>
      <c r="BU1438" s="60" t="n">
        <f aca="false">IF(AND(U1438="",OR(P1438="",P1438="LOSE"),T1438&lt;&gt;"",N(S1438)&lt;=0,ISNUMBER(MATCH(T1438,Parameter!$I$27:$I$29,0))),1,0)</f>
        <v>0</v>
      </c>
      <c r="BV1438" s="55" t="n">
        <f aca="false">IF(AND(Parameter!$B$19="Ja",E1438&lt;&gt;"",ISNUMBER(MATCH(E1438,Parameter!$I$35:$I$52,0))),VLOOKUP(E1438,Parameter!$I$35:$J$52,2,0),IFERROR(VLOOKUP(D1438,Parameter!$A$35:$C$64,2,0),"Nein"))</f>
        <v>1</v>
      </c>
      <c r="BW1438" s="59" t="n">
        <f aca="false">IF(BT1438=0,0,IF(N(S1438)&gt;0,S1438,IFERROR(VLOOKUP(D1438,Parameter!$A$35:$C$64,3,0)+0,0)))</f>
        <v>0</v>
      </c>
      <c r="BX1438" s="55" t="n">
        <f aca="false">IF(AA1438&lt;&gt;"",AA1438,Z1438)</f>
        <v>1</v>
      </c>
      <c r="BY1438" s="55" t="str">
        <f aca="false">IF(BX1438=1,"L1",IF(OR(BX1438=2,BX1438=3),"L23",IF(BX1438="Aussen","Aussen","-")))</f>
        <v>L1</v>
      </c>
      <c r="BZ1438" s="66" t="n">
        <f aca="false">IF(N(AB1438)&gt;0,AB1438,0)</f>
        <v>0</v>
      </c>
      <c r="CA1438" s="60" t="n">
        <f aca="false">IF(ISNUMBER(AE1438),1,0)</f>
        <v>0</v>
      </c>
      <c r="CB1438" s="57" t="n">
        <f aca="false">N(AE1438)</f>
        <v>0</v>
      </c>
      <c r="CC1438" s="57" t="n">
        <f aca="false">N(M1438)+N(N1438)</f>
        <v>87</v>
      </c>
      <c r="CD1438" s="57" t="n">
        <f aca="false">ROUNDUP(H1438/BS1438,0)</f>
        <v>1</v>
      </c>
      <c r="CE1438" s="57" t="n">
        <f aca="false">ROUNDUP(CB1438/BS1438,0)</f>
        <v>0</v>
      </c>
      <c r="CF1438" s="60" t="n">
        <f aca="false">IF(BT1438=1,0,IFERROR(VLOOKUP(BR1438,'Gebinde-Kategorie'!$A$5:$M$45,5,0)+0,0))</f>
        <v>20</v>
      </c>
      <c r="CG1438" s="60" t="n">
        <f aca="false">IFERROR(IF(OR(BX1438=1,BX1438=2,BX1438=3),N(INDEX(Parameter!$I$5:$I$7,BX1438)),0),0)</f>
        <v>0</v>
      </c>
      <c r="CH1438" s="59" t="n">
        <f aca="false">IF(AND(Parameter!$B$21="Ja",ISNUMBER(W1438),N(X1438)&gt;0),IFERROR(N(INDEX(Parameter!$L$5:$L$7,W1438))*INDEX(Parameter!$E$5:$E$7,W1438)*X1438/SUMIFS($X$7:$X$1843,$W$7:$W$1843,W1438),0),0)</f>
        <v>0</v>
      </c>
    </row>
    <row r="1439" customFormat="false" ht="15" hidden="false" customHeight="false" outlineLevel="0" collapsed="false">
      <c r="A1439" s="55" t="s">
        <v>2521</v>
      </c>
      <c r="B1439" s="55" t="s">
        <v>445</v>
      </c>
      <c r="C1439" s="55" t="s">
        <v>164</v>
      </c>
      <c r="D1439" s="55" t="s">
        <v>173</v>
      </c>
      <c r="E1439" s="55" t="s">
        <v>173</v>
      </c>
      <c r="F1439" s="55" t="s">
        <v>218</v>
      </c>
      <c r="G1439" s="56" t="n">
        <v>157.67</v>
      </c>
      <c r="H1439" s="57" t="n">
        <f aca="false">MAX(0,IF(AND(Parameter!$B$21="Ja",ISNUMBER(Y1439)),Y1439,IF(Parameter!$B$20="Jahresanfang 2025 + Export",BL1439+BK1439,BK1439)))</f>
        <v>12</v>
      </c>
      <c r="I1439" s="57" t="n">
        <f aca="false">H1439*G1439</f>
        <v>1892.04</v>
      </c>
      <c r="J1439" s="57" t="n">
        <f aca="false">BN1439*Parameter!$B$18</f>
        <v>86</v>
      </c>
      <c r="K1439" s="58" t="n">
        <v>55.5</v>
      </c>
      <c r="L1439" s="59" t="n">
        <v>1.54954954954955</v>
      </c>
      <c r="M1439" s="57" t="n">
        <v>5</v>
      </c>
      <c r="N1439" s="57" t="n">
        <v>25</v>
      </c>
      <c r="O1439" s="60" t="n">
        <v>21</v>
      </c>
      <c r="P1439" s="55" t="s">
        <v>348</v>
      </c>
      <c r="Q1439" s="57" t="n">
        <v>22</v>
      </c>
      <c r="R1439" s="60" t="n">
        <f aca="false">IF(BT1439=1,0,IFERROR(VLOOKUP(BR1439,'Gebinde-Kategorie'!$A$5:$M$45,13,0)+0,0))</f>
        <v>3</v>
      </c>
      <c r="S1439" s="61"/>
      <c r="T1439" s="62"/>
      <c r="U1439" s="62"/>
      <c r="V1439" s="62"/>
      <c r="W1439" s="55"/>
      <c r="X1439" s="57"/>
      <c r="Y1439" s="57"/>
      <c r="Z1439" s="55" t="str">
        <f aca="false">IF(A1439="","",IF(AND(Parameter!$B$21="Ja",ISNUMBER(W1439)),W1439,IF(BV1439="2+3",IF(ISNUMBER(SEARCH("grosser Artikel",BO1439)),2,IFERROR(VLOOKUP(BR1439,Parameter!$F$35:$G$64,2,0),2)),IF(OR(BV1439="Nein",BV1439=""),"-",BV1439))))</f>
        <v>-</v>
      </c>
      <c r="AA1439" s="62"/>
      <c r="AB1439" s="63"/>
      <c r="AC1439" s="57" t="n">
        <f aca="false">AR1439</f>
        <v>44</v>
      </c>
      <c r="AD1439" s="57" t="n">
        <f aca="false">MAX(AR1439,H1439)</f>
        <v>44</v>
      </c>
      <c r="AE1439" s="64"/>
      <c r="AF1439" s="57" t="n">
        <f aca="false">IF(LEFT(Cockpit!$C$5,1)="A",H1439,IF(CA1439=1,CB1439,IF(LEFT(Cockpit!$C$5,1)="B",AJ1439,MAX(AJ1439,H1439))))</f>
        <v>12</v>
      </c>
      <c r="AG1439" s="57" t="n">
        <f aca="false">IF(BT1439=1,0,ROUNDUP(AF1439/BS1439,0))</f>
        <v>1</v>
      </c>
      <c r="AH1439" s="59" t="n">
        <f aca="false">IF(CH1439&gt;0,CH1439*MAX(1,AF1439/X1439),IF(BT1439=1,IF(AF1439&lt;=0,0,BW1439*MAX(1,IF(H1439&gt;0,AF1439/H1439,1))),IF(R1439&gt;0,AG1439/R1439,0))/MAX(0.1,N(Parameter!$M$21)))</f>
        <v>0.333333333333333</v>
      </c>
      <c r="AI1439" s="57" t="n">
        <f aca="false">AF1439*G1439</f>
        <v>1892.04</v>
      </c>
      <c r="AJ1439" s="57" t="n">
        <f aca="false">ROUNDUP(MAX(J1439/IF(BZ1439&gt;0,BZ1439,MAX(0.1,N(Cockpit!$C$6))),CC1439)/BS1439,0)*BS1439</f>
        <v>44</v>
      </c>
      <c r="AK1439" s="58" t="n">
        <f aca="false">IF(AH1439&gt;0,J1439/AH1439,-1)</f>
        <v>258</v>
      </c>
      <c r="AL1439" s="58" t="str">
        <f aca="false">IF(AND(OR(BY1439="L1",BY1439="L23"),AH1439&gt;0),SUMIFS($AH$7:$AH$1843,$BY$7:$BY$1843,BY1439,$AK$7:$AK$1843,"&gt;"&amp;AK1439)+SUMIFS($AH$7:$AH$1843,$BY$7:$BY$1843,BY1439,$AK$7:$AK$1843,AK1439,$BQ$7:$BQ$1843,"&lt;="&amp;BQ1439),"")</f>
        <v/>
      </c>
      <c r="AM1439" s="65" t="n">
        <f aca="false">IF(AL1439="",0,MAX(0,MIN(1,(IF(BY1439="L1",Parameter!$E$5,Parameter!$E$6+Parameter!$E$7)-(AL1439-AH1439))/AH1439)))</f>
        <v>0</v>
      </c>
      <c r="AN1439" s="57" t="n">
        <f aca="false">IF(LEFT(Cockpit!$I$5,1)="A",H1439,IF(CA1439=1,CB1439,IF(LEFT(Cockpit!$I$5,1)="B",AR1439,MAX(AR1439,H1439))))</f>
        <v>44</v>
      </c>
      <c r="AO1439" s="57" t="n">
        <f aca="false">IF(BT1439=1,0,ROUNDUP(AN1439/BS1439,0))</f>
        <v>2</v>
      </c>
      <c r="AP1439" s="59" t="n">
        <f aca="false">IF(CH1439&gt;0,CH1439*MAX(1,AN1439/X1439),IF(BT1439=1,IF(AN1439&lt;=0,0,BW1439*MAX(1,IF(H1439&gt;0,AN1439/H1439,1))),IF(R1439&gt;0,AO1439/R1439,0))/MAX(0.1,N(Parameter!$M$21)))</f>
        <v>0.666666666666667</v>
      </c>
      <c r="AQ1439" s="57" t="n">
        <f aca="false">AN1439*G1439</f>
        <v>6937.48</v>
      </c>
      <c r="AR1439" s="57" t="n">
        <f aca="false">ROUNDUP(MAX(J1439/IF(BZ1439&gt;0,BZ1439,MAX(0.1,N(Cockpit!$I$6))),CC1439)/BS1439,0)*BS1439</f>
        <v>44</v>
      </c>
      <c r="AS1439" s="58" t="n">
        <f aca="false">IF(AP1439&gt;0,J1439/AP1439,-1)</f>
        <v>129</v>
      </c>
      <c r="AT1439" s="58" t="str">
        <f aca="false">IF(AND(OR(BY1439="L1",BY1439="L23"),AP1439&gt;0),SUMIFS($AP$7:$AP$1843,$BY$7:$BY$1843,BY1439,$AS$7:$AS$1843,"&gt;"&amp;AS1439)+SUMIFS($AP$7:$AP$1843,$BY$7:$BY$1843,BY1439,$AS$7:$AS$1843,AS1439,$BQ$7:$BQ$1843,"&lt;="&amp;BQ1439),"")</f>
        <v/>
      </c>
      <c r="AU1439" s="65" t="n">
        <f aca="false">IF(AT1439="",0,MAX(0,MIN(1,(IF(BY1439="L1",Parameter!$E$5,Parameter!$E$6+Parameter!$E$7)-(AT1439-AP1439))/AP1439)))</f>
        <v>0</v>
      </c>
      <c r="AV1439" s="57" t="n">
        <f aca="false">IF(LEFT(Cockpit!$O$5,1)="A",H1439,IF(CA1439=1,CB1439,IF(LEFT(Cockpit!$O$5,1)="B",AZ1439,MAX(AZ1439,H1439))))</f>
        <v>44</v>
      </c>
      <c r="AW1439" s="57" t="n">
        <f aca="false">IF(BT1439=1,0,ROUNDUP(AV1439/BS1439,0))</f>
        <v>2</v>
      </c>
      <c r="AX1439" s="59" t="n">
        <f aca="false">IF(CH1439&gt;0,CH1439*MAX(1,AV1439/X1439),IF(BT1439=1,IF(AV1439&lt;=0,0,BW1439*MAX(1,IF(H1439&gt;0,AV1439/H1439,1))),IF(R1439&gt;0,AW1439/R1439,0))/MAX(0.1,N(Parameter!$M$21)))</f>
        <v>0.666666666666667</v>
      </c>
      <c r="AY1439" s="57" t="n">
        <f aca="false">AV1439*G1439</f>
        <v>6937.48</v>
      </c>
      <c r="AZ1439" s="57" t="n">
        <f aca="false">ROUNDUP(MAX(J1439/IF(BZ1439&gt;0,BZ1439,MAX(0.1,N(Cockpit!$O$6))),CC1439)/BS1439,0)*BS1439</f>
        <v>44</v>
      </c>
      <c r="BA1439" s="58" t="n">
        <f aca="false">IF(AX1439&gt;0,J1439/AX1439,-1)</f>
        <v>129</v>
      </c>
      <c r="BB1439" s="58" t="str">
        <f aca="false">IF(AND(OR(BY1439="L1",BY1439="L23"),AX1439&gt;0),SUMIFS($AX$7:$AX$1843,$BY$7:$BY$1843,BY1439,$BA$7:$BA$1843,"&gt;"&amp;BA1439)+SUMIFS($AX$7:$AX$1843,$BY$7:$BY$1843,BY1439,$BA$7:$BA$1843,BA1439,$BQ$7:$BQ$1843,"&lt;="&amp;BQ1439),"")</f>
        <v/>
      </c>
      <c r="BC1439" s="65" t="n">
        <f aca="false">IF(BB1439="",0,MAX(0,MIN(1,(IF(BY1439="L1",Parameter!$E$5,Parameter!$E$6+Parameter!$E$7)-(BB1439-AX1439))/AX1439)))</f>
        <v>0</v>
      </c>
      <c r="BD1439" s="55" t="str">
        <f aca="false">IF(AH1439&lt;=0,"",IF(BY1439="Aussen","Aussenlager",IF(BY1439="-","Nicht im Lift",IF(AM1439&gt;=1,"Lift",IF(AM1439&lt;=0,"Aussenlager","teilweise")))))</f>
        <v>Nicht im Lift</v>
      </c>
      <c r="BE1439" s="55" t="str">
        <f aca="false">IF(AP1439&lt;=0,"",IF(BY1439="Aussen","Aussenlager",IF(BY1439="-","Nicht im Lift",IF(AU1439&gt;=1,"Lift",IF(AU1439&lt;=0,"Aussenlager","teilweise")))))</f>
        <v>Nicht im Lift</v>
      </c>
      <c r="BF1439" s="55" t="str">
        <f aca="false">IF(AX1439&lt;=0,"",IF(BY1439="Aussen","Aussenlager",IF(BY1439="-","Nicht im Lift",IF(BC1439&gt;=1,"Lift",IF(BC1439&lt;=0,"Aussenlager","teilweise")))))</f>
        <v>Nicht im Lift</v>
      </c>
      <c r="BG1439" s="55" t="str">
        <f aca="false">IF(A1439="","",IF(BP1439=1,"Neu; ","")&amp;IF(AND(BP1439=0,BK1439&lt;0),"negativer Bestand (Export "&amp;BK1439&amp;"); ","")&amp;IF(J1439&lt;=0,"Kein Verbrauch; ","")&amp;IF(CH1439&gt;0,"Lift "&amp;W1439&amp;" lt. Liftbericht (Fach "&amp;X1439&amp;" Stk); ",IF(BU1439=1,"Gebinde geschätzt ("&amp;T1439&amp;"); ",IF(BT1439=1,"Lose – Tablare geschätzt; ","")))&amp;IF(H1439&gt;AR1439,"Überbestand "&amp;ROUND(H1439-AR1439,0)&amp;" Stk / CHF "&amp;ROUND((H1439-AR1439)*G1439,0)&amp;"; ","")&amp;IF(AND(CA1439=1,CB1439&lt;CC1439),"MAX &lt; MB+LG; ","")&amp;IF(AND(CG1439&gt;0,CF1439*10&gt;CG1439),"zu hoch für Tablar; ","")&amp;IF(AND(BP1439=0,OR(CA1439=1,AA1439&lt;&gt;"",U1439&lt;&gt;"",V1439&lt;&gt;"",AB1439&lt;&gt;"")),"manuell übersteuert; ","")&amp;IF(AND(BT1439=0,R1439=0),"Gebinde unbekannt / Stellmass fehlt; ","")&amp;IF(AND(BT1439=0,N(V1439)&lt;=0,N(Q1439)&lt;=0),"Menge pro Gebinde fehlt (Ist = 1 Gebinde); ","")&amp;BO1439)</f>
        <v>negativer Bestand (Export -56); </v>
      </c>
      <c r="BH1439" s="55"/>
      <c r="BI1439" s="55"/>
      <c r="BJ1439" s="62"/>
      <c r="BK1439" s="57" t="n">
        <v>-56</v>
      </c>
      <c r="BL1439" s="57" t="n">
        <v>68</v>
      </c>
      <c r="BM1439" s="56" t="n">
        <v>-8826.12</v>
      </c>
      <c r="BN1439" s="57" t="n">
        <v>86</v>
      </c>
      <c r="BO1439" s="55"/>
      <c r="BP1439" s="60" t="n">
        <v>0</v>
      </c>
      <c r="BQ1439" s="60" t="n">
        <v>1439</v>
      </c>
      <c r="BR1439" s="55" t="str">
        <f aca="false">IF(U1439&lt;&gt;"",UPPER(TRIM(U1439)),IF(BU1439=1,UPPER(VLOOKUP(T1439,Parameter!$I$27:$K$29,2,0)),IF(P1439="","LOSE",P1439)))</f>
        <v>S82</v>
      </c>
      <c r="BS1439" s="57" t="n">
        <f aca="false">IF(BR1439="LOSE",1,IF(N(V1439)&gt;0,V1439,IF(BU1439=1,MAX(1,N(VLOOKUP(T1439,Parameter!$I$27:$K$29,3,0)),H1439,N(N1439)),IF(N(Q1439)&gt;0,Q1439,MAX(1,H1439)))))</f>
        <v>22</v>
      </c>
      <c r="BT1439" s="60" t="n">
        <f aca="false">IF(BR1439="LOSE",1,0)</f>
        <v>0</v>
      </c>
      <c r="BU1439" s="60" t="n">
        <f aca="false">IF(AND(U1439="",OR(P1439="",P1439="LOSE"),T1439&lt;&gt;"",N(S1439)&lt;=0,ISNUMBER(MATCH(T1439,Parameter!$I$27:$I$29,0))),1,0)</f>
        <v>0</v>
      </c>
      <c r="BV1439" s="55" t="str">
        <f aca="false">IF(AND(Parameter!$B$19="Ja",E1439&lt;&gt;"",ISNUMBER(MATCH(E1439,Parameter!$I$35:$I$52,0))),VLOOKUP(E1439,Parameter!$I$35:$J$52,2,0),IFERROR(VLOOKUP(D1439,Parameter!$A$35:$C$64,2,0),"Nein"))</f>
        <v>Nein</v>
      </c>
      <c r="BW1439" s="59" t="n">
        <f aca="false">IF(BT1439=0,0,IF(N(S1439)&gt;0,S1439,IFERROR(VLOOKUP(D1439,Parameter!$A$35:$C$64,3,0)+0,0)))</f>
        <v>0</v>
      </c>
      <c r="BX1439" s="55" t="str">
        <f aca="false">IF(AA1439&lt;&gt;"",AA1439,Z1439)</f>
        <v>-</v>
      </c>
      <c r="BY1439" s="55" t="str">
        <f aca="false">IF(BX1439=1,"L1",IF(OR(BX1439=2,BX1439=3),"L23",IF(BX1439="Aussen","Aussen","-")))</f>
        <v>-</v>
      </c>
      <c r="BZ1439" s="66" t="n">
        <f aca="false">IF(N(AB1439)&gt;0,AB1439,0)</f>
        <v>0</v>
      </c>
      <c r="CA1439" s="60" t="n">
        <f aca="false">IF(ISNUMBER(AE1439),1,0)</f>
        <v>0</v>
      </c>
      <c r="CB1439" s="57" t="n">
        <f aca="false">N(AE1439)</f>
        <v>0</v>
      </c>
      <c r="CC1439" s="57" t="n">
        <f aca="false">N(M1439)+N(N1439)</f>
        <v>30</v>
      </c>
      <c r="CD1439" s="57" t="n">
        <f aca="false">ROUNDUP(H1439/BS1439,0)</f>
        <v>1</v>
      </c>
      <c r="CE1439" s="57" t="n">
        <f aca="false">ROUNDUP(CB1439/BS1439,0)</f>
        <v>0</v>
      </c>
      <c r="CF1439" s="60" t="n">
        <f aca="false">IF(BT1439=1,0,IFERROR(VLOOKUP(BR1439,'Gebinde-Kategorie'!$A$5:$M$45,5,0)+0,0))</f>
        <v>40</v>
      </c>
      <c r="CG1439" s="60" t="n">
        <f aca="false">IFERROR(IF(OR(BX1439=1,BX1439=2,BX1439=3),N(INDEX(Parameter!$I$5:$I$7,BX1439)),0),0)</f>
        <v>0</v>
      </c>
      <c r="CH1439" s="59" t="n">
        <f aca="false">IF(AND(Parameter!$B$21="Ja",ISNUMBER(W1439),N(X1439)&gt;0),IFERROR(N(INDEX(Parameter!$L$5:$L$7,W1439))*INDEX(Parameter!$E$5:$E$7,W1439)*X1439/SUMIFS($X$7:$X$1843,$W$7:$W$1843,W1439),0),0)</f>
        <v>0</v>
      </c>
    </row>
    <row r="1440" customFormat="false" ht="15" hidden="false" customHeight="false" outlineLevel="0" collapsed="false">
      <c r="A1440" s="55" t="s">
        <v>2522</v>
      </c>
      <c r="B1440" s="55" t="s">
        <v>2523</v>
      </c>
      <c r="C1440" s="55" t="s">
        <v>164</v>
      </c>
      <c r="D1440" s="55" t="s">
        <v>353</v>
      </c>
      <c r="E1440" s="55"/>
      <c r="F1440" s="55"/>
      <c r="G1440" s="56" t="n">
        <v>4421.95</v>
      </c>
      <c r="H1440" s="57" t="n">
        <f aca="false">MAX(0,IF(AND(Parameter!$B$21="Ja",ISNUMBER(Y1440)),Y1440,IF(Parameter!$B$20="Jahresanfang 2025 + Export",BL1440+BK1440,BK1440)))</f>
        <v>0</v>
      </c>
      <c r="I1440" s="57" t="n">
        <f aca="false">H1440*G1440</f>
        <v>0</v>
      </c>
      <c r="J1440" s="57" t="n">
        <f aca="false">BN1440*Parameter!$B$18</f>
        <v>2</v>
      </c>
      <c r="K1440" s="58"/>
      <c r="L1440" s="59"/>
      <c r="M1440" s="57" t="n">
        <v>0</v>
      </c>
      <c r="N1440" s="57" t="n">
        <v>1</v>
      </c>
      <c r="O1440" s="60"/>
      <c r="P1440" s="55" t="s">
        <v>168</v>
      </c>
      <c r="Q1440" s="57"/>
      <c r="R1440" s="60" t="n">
        <f aca="false">IF(BT1440=1,0,IFERROR(VLOOKUP(BR1440,'Gebinde-Kategorie'!$A$5:$M$45,13,0)+0,0))</f>
        <v>0</v>
      </c>
      <c r="S1440" s="61"/>
      <c r="T1440" s="62"/>
      <c r="U1440" s="62"/>
      <c r="V1440" s="62"/>
      <c r="W1440" s="55"/>
      <c r="X1440" s="57"/>
      <c r="Y1440" s="57"/>
      <c r="Z1440" s="55" t="str">
        <f aca="false">IF(A1440="","",IF(AND(Parameter!$B$21="Ja",ISNUMBER(W1440)),W1440,IF(BV1440="2+3",IF(ISNUMBER(SEARCH("grosser Artikel",BO1440)),2,IFERROR(VLOOKUP(BR1440,Parameter!$F$35:$G$64,2,0),2)),IF(OR(BV1440="Nein",BV1440=""),"-",BV1440))))</f>
        <v>-</v>
      </c>
      <c r="AA1440" s="62"/>
      <c r="AB1440" s="63"/>
      <c r="AC1440" s="57" t="n">
        <f aca="false">AR1440</f>
        <v>1</v>
      </c>
      <c r="AD1440" s="57" t="n">
        <f aca="false">MAX(AR1440,H1440)</f>
        <v>1</v>
      </c>
      <c r="AE1440" s="64"/>
      <c r="AF1440" s="57" t="n">
        <f aca="false">IF(LEFT(Cockpit!$C$5,1)="A",H1440,IF(CA1440=1,CB1440,IF(LEFT(Cockpit!$C$5,1)="B",AJ1440,MAX(AJ1440,H1440))))</f>
        <v>0</v>
      </c>
      <c r="AG1440" s="57" t="n">
        <f aca="false">IF(BT1440=1,0,ROUNDUP(AF1440/BS1440,0))</f>
        <v>0</v>
      </c>
      <c r="AH1440" s="59" t="n">
        <f aca="false">IF(CH1440&gt;0,CH1440*MAX(1,AF1440/X1440),IF(BT1440=1,IF(AF1440&lt;=0,0,BW1440*MAX(1,IF(H1440&gt;0,AF1440/H1440,1))),IF(R1440&gt;0,AG1440/R1440,0))/MAX(0.1,N(Parameter!$M$21)))</f>
        <v>0</v>
      </c>
      <c r="AI1440" s="57" t="n">
        <f aca="false">AF1440*G1440</f>
        <v>0</v>
      </c>
      <c r="AJ1440" s="57" t="n">
        <f aca="false">ROUNDUP(MAX(J1440/IF(BZ1440&gt;0,BZ1440,MAX(0.1,N(Cockpit!$C$6))),CC1440)/BS1440,0)*BS1440</f>
        <v>1</v>
      </c>
      <c r="AK1440" s="58" t="n">
        <f aca="false">IF(AH1440&gt;0,J1440/AH1440,-1)</f>
        <v>-1</v>
      </c>
      <c r="AL1440" s="58" t="str">
        <f aca="false">IF(AND(OR(BY1440="L1",BY1440="L23"),AH1440&gt;0),SUMIFS($AH$7:$AH$1843,$BY$7:$BY$1843,BY1440,$AK$7:$AK$1843,"&gt;"&amp;AK1440)+SUMIFS($AH$7:$AH$1843,$BY$7:$BY$1843,BY1440,$AK$7:$AK$1843,AK1440,$BQ$7:$BQ$1843,"&lt;="&amp;BQ1440),"")</f>
        <v/>
      </c>
      <c r="AM1440" s="65" t="n">
        <f aca="false">IF(AL1440="",0,MAX(0,MIN(1,(IF(BY1440="L1",Parameter!$E$5,Parameter!$E$6+Parameter!$E$7)-(AL1440-AH1440))/AH1440)))</f>
        <v>0</v>
      </c>
      <c r="AN1440" s="57" t="n">
        <f aca="false">IF(LEFT(Cockpit!$I$5,1)="A",H1440,IF(CA1440=1,CB1440,IF(LEFT(Cockpit!$I$5,1)="B",AR1440,MAX(AR1440,H1440))))</f>
        <v>1</v>
      </c>
      <c r="AO1440" s="57" t="n">
        <f aca="false">IF(BT1440=1,0,ROUNDUP(AN1440/BS1440,0))</f>
        <v>0</v>
      </c>
      <c r="AP1440" s="59" t="n">
        <f aca="false">IF(CH1440&gt;0,CH1440*MAX(1,AN1440/X1440),IF(BT1440=1,IF(AN1440&lt;=0,0,BW1440*MAX(1,IF(H1440&gt;0,AN1440/H1440,1))),IF(R1440&gt;0,AO1440/R1440,0))/MAX(0.1,N(Parameter!$M$21)))</f>
        <v>0.15</v>
      </c>
      <c r="AQ1440" s="57" t="n">
        <f aca="false">AN1440*G1440</f>
        <v>4421.95</v>
      </c>
      <c r="AR1440" s="57" t="n">
        <f aca="false">ROUNDUP(MAX(J1440/IF(BZ1440&gt;0,BZ1440,MAX(0.1,N(Cockpit!$I$6))),CC1440)/BS1440,0)*BS1440</f>
        <v>1</v>
      </c>
      <c r="AS1440" s="58" t="n">
        <f aca="false">IF(AP1440&gt;0,J1440/AP1440,-1)</f>
        <v>13.3333333333333</v>
      </c>
      <c r="AT1440" s="58" t="str">
        <f aca="false">IF(AND(OR(BY1440="L1",BY1440="L23"),AP1440&gt;0),SUMIFS($AP$7:$AP$1843,$BY$7:$BY$1843,BY1440,$AS$7:$AS$1843,"&gt;"&amp;AS1440)+SUMIFS($AP$7:$AP$1843,$BY$7:$BY$1843,BY1440,$AS$7:$AS$1843,AS1440,$BQ$7:$BQ$1843,"&lt;="&amp;BQ1440),"")</f>
        <v/>
      </c>
      <c r="AU1440" s="65" t="n">
        <f aca="false">IF(AT1440="",0,MAX(0,MIN(1,(IF(BY1440="L1",Parameter!$E$5,Parameter!$E$6+Parameter!$E$7)-(AT1440-AP1440))/AP1440)))</f>
        <v>0</v>
      </c>
      <c r="AV1440" s="57" t="n">
        <f aca="false">IF(LEFT(Cockpit!$O$5,1)="A",H1440,IF(CA1440=1,CB1440,IF(LEFT(Cockpit!$O$5,1)="B",AZ1440,MAX(AZ1440,H1440))))</f>
        <v>1</v>
      </c>
      <c r="AW1440" s="57" t="n">
        <f aca="false">IF(BT1440=1,0,ROUNDUP(AV1440/BS1440,0))</f>
        <v>0</v>
      </c>
      <c r="AX1440" s="59" t="n">
        <f aca="false">IF(CH1440&gt;0,CH1440*MAX(1,AV1440/X1440),IF(BT1440=1,IF(AV1440&lt;=0,0,BW1440*MAX(1,IF(H1440&gt;0,AV1440/H1440,1))),IF(R1440&gt;0,AW1440/R1440,0))/MAX(0.1,N(Parameter!$M$21)))</f>
        <v>0.15</v>
      </c>
      <c r="AY1440" s="57" t="n">
        <f aca="false">AV1440*G1440</f>
        <v>4421.95</v>
      </c>
      <c r="AZ1440" s="57" t="n">
        <f aca="false">ROUNDUP(MAX(J1440/IF(BZ1440&gt;0,BZ1440,MAX(0.1,N(Cockpit!$O$6))),CC1440)/BS1440,0)*BS1440</f>
        <v>1</v>
      </c>
      <c r="BA1440" s="58" t="n">
        <f aca="false">IF(AX1440&gt;0,J1440/AX1440,-1)</f>
        <v>13.3333333333333</v>
      </c>
      <c r="BB1440" s="58" t="str">
        <f aca="false">IF(AND(OR(BY1440="L1",BY1440="L23"),AX1440&gt;0),SUMIFS($AX$7:$AX$1843,$BY$7:$BY$1843,BY1440,$BA$7:$BA$1843,"&gt;"&amp;BA1440)+SUMIFS($AX$7:$AX$1843,$BY$7:$BY$1843,BY1440,$BA$7:$BA$1843,BA1440,$BQ$7:$BQ$1843,"&lt;="&amp;BQ1440),"")</f>
        <v/>
      </c>
      <c r="BC1440" s="65" t="n">
        <f aca="false">IF(BB1440="",0,MAX(0,MIN(1,(IF(BY1440="L1",Parameter!$E$5,Parameter!$E$6+Parameter!$E$7)-(BB1440-AX1440))/AX1440)))</f>
        <v>0</v>
      </c>
      <c r="BD1440" s="55" t="str">
        <f aca="false">IF(AH1440&lt;=0,"",IF(BY1440="Aussen","Aussenlager",IF(BY1440="-","Nicht im Lift",IF(AM1440&gt;=1,"Lift",IF(AM1440&lt;=0,"Aussenlager","teilweise")))))</f>
        <v/>
      </c>
      <c r="BE1440" s="55" t="str">
        <f aca="false">IF(AP1440&lt;=0,"",IF(BY1440="Aussen","Aussenlager",IF(BY1440="-","Nicht im Lift",IF(AU1440&gt;=1,"Lift",IF(AU1440&lt;=0,"Aussenlager","teilweise")))))</f>
        <v>Nicht im Lift</v>
      </c>
      <c r="BF1440" s="55" t="str">
        <f aca="false">IF(AX1440&lt;=0,"",IF(BY1440="Aussen","Aussenlager",IF(BY1440="-","Nicht im Lift",IF(BC1440&gt;=1,"Lift",IF(BC1440&lt;=0,"Aussenlager","teilweise")))))</f>
        <v>Nicht im Lift</v>
      </c>
      <c r="BG1440" s="55" t="str">
        <f aca="false">IF(A1440="","",IF(BP1440=1,"Neu; ","")&amp;IF(AND(BP1440=0,BK1440&lt;0),"negativer Bestand (Export "&amp;BK1440&amp;"); ","")&amp;IF(J1440&lt;=0,"Kein Verbrauch; ","")&amp;IF(CH1440&gt;0,"Lift "&amp;W1440&amp;" lt. Liftbericht (Fach "&amp;X1440&amp;" Stk); ",IF(BU1440=1,"Gebinde geschätzt ("&amp;T1440&amp;"); ",IF(BT1440=1,"Lose – Tablare geschätzt; ","")))&amp;IF(H1440&gt;AR1440,"Überbestand "&amp;ROUND(H1440-AR1440,0)&amp;" Stk / CHF "&amp;ROUND((H1440-AR1440)*G1440,0)&amp;"; ","")&amp;IF(AND(CA1440=1,CB1440&lt;CC1440),"MAX &lt; MB+LG; ","")&amp;IF(AND(CG1440&gt;0,CF1440*10&gt;CG1440),"zu hoch für Tablar; ","")&amp;IF(AND(BP1440=0,OR(CA1440=1,AA1440&lt;&gt;"",U1440&lt;&gt;"",V1440&lt;&gt;"",AB1440&lt;&gt;"")),"manuell übersteuert; ","")&amp;IF(AND(BT1440=0,R1440=0),"Gebinde unbekannt / Stellmass fehlt; ","")&amp;IF(AND(BT1440=0,N(V1440)&lt;=0,N(Q1440)&lt;=0),"Menge pro Gebinde fehlt (Ist = 1 Gebinde); ","")&amp;BO1440)</f>
        <v>negativer Bestand (Export -2); Lose – Tablare geschätzt; </v>
      </c>
      <c r="BH1440" s="55"/>
      <c r="BI1440" s="55"/>
      <c r="BJ1440" s="62"/>
      <c r="BK1440" s="57" t="n">
        <v>-2</v>
      </c>
      <c r="BL1440" s="57" t="n">
        <v>0</v>
      </c>
      <c r="BM1440" s="56" t="n">
        <v>-8843.9</v>
      </c>
      <c r="BN1440" s="57" t="n">
        <v>2</v>
      </c>
      <c r="BO1440" s="55"/>
      <c r="BP1440" s="60" t="n">
        <v>0</v>
      </c>
      <c r="BQ1440" s="60" t="n">
        <v>1440</v>
      </c>
      <c r="BR1440" s="55" t="str">
        <f aca="false">IF(U1440&lt;&gt;"",UPPER(TRIM(U1440)),IF(BU1440=1,UPPER(VLOOKUP(T1440,Parameter!$I$27:$K$29,2,0)),IF(P1440="","LOSE",P1440)))</f>
        <v>LOSE</v>
      </c>
      <c r="BS1440" s="57" t="n">
        <f aca="false">IF(BR1440="LOSE",1,IF(N(V1440)&gt;0,V1440,IF(BU1440=1,MAX(1,N(VLOOKUP(T1440,Parameter!$I$27:$K$29,3,0)),H1440,N(N1440)),IF(N(Q1440)&gt;0,Q1440,MAX(1,H1440)))))</f>
        <v>1</v>
      </c>
      <c r="BT1440" s="60" t="n">
        <f aca="false">IF(BR1440="LOSE",1,0)</f>
        <v>1</v>
      </c>
      <c r="BU1440" s="60" t="n">
        <f aca="false">IF(AND(U1440="",OR(P1440="",P1440="LOSE"),T1440&lt;&gt;"",N(S1440)&lt;=0,ISNUMBER(MATCH(T1440,Parameter!$I$27:$I$29,0))),1,0)</f>
        <v>0</v>
      </c>
      <c r="BV1440" s="55" t="str">
        <f aca="false">IF(AND(Parameter!$B$19="Ja",E1440&lt;&gt;"",ISNUMBER(MATCH(E1440,Parameter!$I$35:$I$52,0))),VLOOKUP(E1440,Parameter!$I$35:$J$52,2,0),IFERROR(VLOOKUP(D1440,Parameter!$A$35:$C$64,2,0),"Nein"))</f>
        <v>Nein</v>
      </c>
      <c r="BW1440" s="59" t="n">
        <f aca="false">IF(BT1440=0,0,IF(N(S1440)&gt;0,S1440,IFERROR(VLOOKUP(D1440,Parameter!$A$35:$C$64,3,0)+0,0)))</f>
        <v>0.15</v>
      </c>
      <c r="BX1440" s="55" t="str">
        <f aca="false">IF(AA1440&lt;&gt;"",AA1440,Z1440)</f>
        <v>-</v>
      </c>
      <c r="BY1440" s="55" t="str">
        <f aca="false">IF(BX1440=1,"L1",IF(OR(BX1440=2,BX1440=3),"L23",IF(BX1440="Aussen","Aussen","-")))</f>
        <v>-</v>
      </c>
      <c r="BZ1440" s="66" t="n">
        <f aca="false">IF(N(AB1440)&gt;0,AB1440,0)</f>
        <v>0</v>
      </c>
      <c r="CA1440" s="60" t="n">
        <f aca="false">IF(ISNUMBER(AE1440),1,0)</f>
        <v>0</v>
      </c>
      <c r="CB1440" s="57" t="n">
        <f aca="false">N(AE1440)</f>
        <v>0</v>
      </c>
      <c r="CC1440" s="57" t="n">
        <f aca="false">N(M1440)+N(N1440)</f>
        <v>1</v>
      </c>
      <c r="CD1440" s="57" t="n">
        <f aca="false">ROUNDUP(H1440/BS1440,0)</f>
        <v>0</v>
      </c>
      <c r="CE1440" s="57" t="n">
        <f aca="false">ROUNDUP(CB1440/BS1440,0)</f>
        <v>0</v>
      </c>
      <c r="CF1440" s="60" t="n">
        <f aca="false">IF(BT1440=1,0,IFERROR(VLOOKUP(BR1440,'Gebinde-Kategorie'!$A$5:$M$45,5,0)+0,0))</f>
        <v>0</v>
      </c>
      <c r="CG1440" s="60" t="n">
        <f aca="false">IFERROR(IF(OR(BX1440=1,BX1440=2,BX1440=3),N(INDEX(Parameter!$I$5:$I$7,BX1440)),0),0)</f>
        <v>0</v>
      </c>
      <c r="CH1440" s="59" t="n">
        <f aca="false">IF(AND(Parameter!$B$21="Ja",ISNUMBER(W1440),N(X1440)&gt;0),IFERROR(N(INDEX(Parameter!$L$5:$L$7,W1440))*INDEX(Parameter!$E$5:$E$7,W1440)*X1440/SUMIFS($X$7:$X$1843,$W$7:$W$1843,W1440),0),0)</f>
        <v>0</v>
      </c>
    </row>
    <row r="1441" customFormat="false" ht="15" hidden="false" customHeight="false" outlineLevel="0" collapsed="false">
      <c r="A1441" s="55" t="s">
        <v>2524</v>
      </c>
      <c r="B1441" s="55" t="s">
        <v>2525</v>
      </c>
      <c r="C1441" s="55" t="s">
        <v>164</v>
      </c>
      <c r="D1441" s="55" t="s">
        <v>173</v>
      </c>
      <c r="E1441" s="55" t="s">
        <v>185</v>
      </c>
      <c r="F1441" s="55"/>
      <c r="G1441" s="56" t="n">
        <v>234.8</v>
      </c>
      <c r="H1441" s="57" t="n">
        <f aca="false">MAX(0,IF(AND(Parameter!$B$21="Ja",ISNUMBER(Y1441)),Y1441,IF(Parameter!$B$20="Jahresanfang 2025 + Export",BL1441+BK1441,BK1441)))</f>
        <v>0</v>
      </c>
      <c r="I1441" s="57" t="n">
        <f aca="false">H1441*G1441</f>
        <v>0</v>
      </c>
      <c r="J1441" s="57" t="n">
        <f aca="false">BN1441*Parameter!$B$18</f>
        <v>207</v>
      </c>
      <c r="K1441" s="58"/>
      <c r="L1441" s="59"/>
      <c r="M1441" s="57" t="n">
        <v>12</v>
      </c>
      <c r="N1441" s="57" t="n">
        <v>80</v>
      </c>
      <c r="O1441" s="60"/>
      <c r="P1441" s="55" t="s">
        <v>174</v>
      </c>
      <c r="Q1441" s="57" t="n">
        <v>20</v>
      </c>
      <c r="R1441" s="60" t="n">
        <f aca="false">IF(BT1441=1,0,IFERROR(VLOOKUP(BR1441,'Gebinde-Kategorie'!$A$5:$M$45,13,0)+0,0))</f>
        <v>6</v>
      </c>
      <c r="S1441" s="61"/>
      <c r="T1441" s="62"/>
      <c r="U1441" s="62"/>
      <c r="V1441" s="62"/>
      <c r="W1441" s="55"/>
      <c r="X1441" s="57"/>
      <c r="Y1441" s="57"/>
      <c r="Z1441" s="55" t="n">
        <f aca="false">IF(A1441="","",IF(AND(Parameter!$B$21="Ja",ISNUMBER(W1441)),W1441,IF(BV1441="2+3",IF(ISNUMBER(SEARCH("grosser Artikel",BO1441)),2,IFERROR(VLOOKUP(BR1441,Parameter!$F$35:$G$64,2,0),2)),IF(OR(BV1441="Nein",BV1441=""),"-",BV1441))))</f>
        <v>2</v>
      </c>
      <c r="AA1441" s="62"/>
      <c r="AB1441" s="63"/>
      <c r="AC1441" s="57" t="n">
        <f aca="false">AR1441</f>
        <v>120</v>
      </c>
      <c r="AD1441" s="57" t="n">
        <f aca="false">MAX(AR1441,H1441)</f>
        <v>120</v>
      </c>
      <c r="AE1441" s="64"/>
      <c r="AF1441" s="57" t="n">
        <f aca="false">IF(LEFT(Cockpit!$C$5,1)="A",H1441,IF(CA1441=1,CB1441,IF(LEFT(Cockpit!$C$5,1)="B",AJ1441,MAX(AJ1441,H1441))))</f>
        <v>0</v>
      </c>
      <c r="AG1441" s="57" t="n">
        <f aca="false">IF(BT1441=1,0,ROUNDUP(AF1441/BS1441,0))</f>
        <v>0</v>
      </c>
      <c r="AH1441" s="59" t="n">
        <f aca="false">IF(CH1441&gt;0,CH1441*MAX(1,AF1441/X1441),IF(BT1441=1,IF(AF1441&lt;=0,0,BW1441*MAX(1,IF(H1441&gt;0,AF1441/H1441,1))),IF(R1441&gt;0,AG1441/R1441,0))/MAX(0.1,N(Parameter!$M$21)))</f>
        <v>0</v>
      </c>
      <c r="AI1441" s="57" t="n">
        <f aca="false">AF1441*G1441</f>
        <v>0</v>
      </c>
      <c r="AJ1441" s="57" t="n">
        <f aca="false">ROUNDUP(MAX(J1441/IF(BZ1441&gt;0,BZ1441,MAX(0.1,N(Cockpit!$C$6))),CC1441)/BS1441,0)*BS1441</f>
        <v>120</v>
      </c>
      <c r="AK1441" s="58" t="n">
        <f aca="false">IF(AH1441&gt;0,J1441/AH1441,-1)</f>
        <v>-1</v>
      </c>
      <c r="AL1441" s="58" t="str">
        <f aca="false">IF(AND(OR(BY1441="L1",BY1441="L23"),AH1441&gt;0),SUMIFS($AH$7:$AH$1843,$BY$7:$BY$1843,BY1441,$AK$7:$AK$1843,"&gt;"&amp;AK1441)+SUMIFS($AH$7:$AH$1843,$BY$7:$BY$1843,BY1441,$AK$7:$AK$1843,AK1441,$BQ$7:$BQ$1843,"&lt;="&amp;BQ1441),"")</f>
        <v/>
      </c>
      <c r="AM1441" s="65" t="n">
        <f aca="false">IF(AL1441="",0,MAX(0,MIN(1,(IF(BY1441="L1",Parameter!$E$5,Parameter!$E$6+Parameter!$E$7)-(AL1441-AH1441))/AH1441)))</f>
        <v>0</v>
      </c>
      <c r="AN1441" s="57" t="n">
        <f aca="false">IF(LEFT(Cockpit!$I$5,1)="A",H1441,IF(CA1441=1,CB1441,IF(LEFT(Cockpit!$I$5,1)="B",AR1441,MAX(AR1441,H1441))))</f>
        <v>120</v>
      </c>
      <c r="AO1441" s="57" t="n">
        <f aca="false">IF(BT1441=1,0,ROUNDUP(AN1441/BS1441,0))</f>
        <v>6</v>
      </c>
      <c r="AP1441" s="59" t="n">
        <f aca="false">IF(CH1441&gt;0,CH1441*MAX(1,AN1441/X1441),IF(BT1441=1,IF(AN1441&lt;=0,0,BW1441*MAX(1,IF(H1441&gt;0,AN1441/H1441,1))),IF(R1441&gt;0,AO1441/R1441,0))/MAX(0.1,N(Parameter!$M$21)))</f>
        <v>1</v>
      </c>
      <c r="AQ1441" s="57" t="n">
        <f aca="false">AN1441*G1441</f>
        <v>28176</v>
      </c>
      <c r="AR1441" s="57" t="n">
        <f aca="false">ROUNDUP(MAX(J1441/IF(BZ1441&gt;0,BZ1441,MAX(0.1,N(Cockpit!$I$6))),CC1441)/BS1441,0)*BS1441</f>
        <v>120</v>
      </c>
      <c r="AS1441" s="58" t="n">
        <f aca="false">IF(AP1441&gt;0,J1441/AP1441,-1)</f>
        <v>207</v>
      </c>
      <c r="AT1441" s="58" t="n">
        <f aca="false">IF(AND(OR(BY1441="L1",BY1441="L23"),AP1441&gt;0),SUMIFS($AP$7:$AP$1843,$BY$7:$BY$1843,BY1441,$AS$7:$AS$1843,"&gt;"&amp;AS1441)+SUMIFS($AP$7:$AP$1843,$BY$7:$BY$1843,BY1441,$AS$7:$AS$1843,AS1441,$BQ$7:$BQ$1843,"&lt;="&amp;BQ1441),"")</f>
        <v>47.1661514813689</v>
      </c>
      <c r="AU1441" s="65" t="n">
        <f aca="false">IF(AT1441="",0,MAX(0,MIN(1,(IF(BY1441="L1",Parameter!$E$5,Parameter!$E$6+Parameter!$E$7)-(AT1441-AP1441))/AP1441)))</f>
        <v>1</v>
      </c>
      <c r="AV1441" s="57" t="n">
        <f aca="false">IF(LEFT(Cockpit!$O$5,1)="A",H1441,IF(CA1441=1,CB1441,IF(LEFT(Cockpit!$O$5,1)="B",AZ1441,MAX(AZ1441,H1441))))</f>
        <v>100</v>
      </c>
      <c r="AW1441" s="57" t="n">
        <f aca="false">IF(BT1441=1,0,ROUNDUP(AV1441/BS1441,0))</f>
        <v>5</v>
      </c>
      <c r="AX1441" s="59" t="n">
        <f aca="false">IF(CH1441&gt;0,CH1441*MAX(1,AV1441/X1441),IF(BT1441=1,IF(AV1441&lt;=0,0,BW1441*MAX(1,IF(H1441&gt;0,AV1441/H1441,1))),IF(R1441&gt;0,AW1441/R1441,0))/MAX(0.1,N(Parameter!$M$21)))</f>
        <v>0.833333333333333</v>
      </c>
      <c r="AY1441" s="57" t="n">
        <f aca="false">AV1441*G1441</f>
        <v>23480</v>
      </c>
      <c r="AZ1441" s="57" t="n">
        <f aca="false">ROUNDUP(MAX(J1441/IF(BZ1441&gt;0,BZ1441,MAX(0.1,N(Cockpit!$O$6))),CC1441)/BS1441,0)*BS1441</f>
        <v>100</v>
      </c>
      <c r="BA1441" s="58" t="n">
        <f aca="false">IF(AX1441&gt;0,J1441/AX1441,-1)</f>
        <v>248.4</v>
      </c>
      <c r="BB1441" s="58" t="n">
        <f aca="false">IF(AND(OR(BY1441="L1",BY1441="L23"),AX1441&gt;0),SUMIFS($AX$7:$AX$1843,$BY$7:$BY$1843,BY1441,$BA$7:$BA$1843,"&gt;"&amp;BA1441)+SUMIFS($AX$7:$AX$1843,$BY$7:$BY$1843,BY1441,$BA$7:$BA$1843,BA1441,$BQ$7:$BQ$1843,"&lt;="&amp;BQ1441),"")</f>
        <v>40.1252660383095</v>
      </c>
      <c r="BC1441" s="65" t="n">
        <f aca="false">IF(BB1441="",0,MAX(0,MIN(1,(IF(BY1441="L1",Parameter!$E$5,Parameter!$E$6+Parameter!$E$7)-(BB1441-AX1441))/AX1441)))</f>
        <v>1</v>
      </c>
      <c r="BD1441" s="55" t="str">
        <f aca="false">IF(AH1441&lt;=0,"",IF(BY1441="Aussen","Aussenlager",IF(BY1441="-","Nicht im Lift",IF(AM1441&gt;=1,"Lift",IF(AM1441&lt;=0,"Aussenlager","teilweise")))))</f>
        <v/>
      </c>
      <c r="BE1441" s="55" t="str">
        <f aca="false">IF(AP1441&lt;=0,"",IF(BY1441="Aussen","Aussenlager",IF(BY1441="-","Nicht im Lift",IF(AU1441&gt;=1,"Lift",IF(AU1441&lt;=0,"Aussenlager","teilweise")))))</f>
        <v>Lift</v>
      </c>
      <c r="BF1441" s="55" t="str">
        <f aca="false">IF(AX1441&lt;=0,"",IF(BY1441="Aussen","Aussenlager",IF(BY1441="-","Nicht im Lift",IF(BC1441&gt;=1,"Lift",IF(BC1441&lt;=0,"Aussenlager","teilweise")))))</f>
        <v>Lift</v>
      </c>
      <c r="BG1441" s="55" t="str">
        <f aca="false">IF(A1441="","",IF(BP1441=1,"Neu; ","")&amp;IF(AND(BP1441=0,BK1441&lt;0),"negativer Bestand (Export "&amp;BK1441&amp;"); ","")&amp;IF(J1441&lt;=0,"Kein Verbrauch; ","")&amp;IF(CH1441&gt;0,"Lift "&amp;W1441&amp;" lt. Liftbericht (Fach "&amp;X1441&amp;" Stk); ",IF(BU1441=1,"Gebinde geschätzt ("&amp;T1441&amp;"); ",IF(BT1441=1,"Lose – Tablare geschätzt; ","")))&amp;IF(H1441&gt;AR1441,"Überbestand "&amp;ROUND(H1441-AR1441,0)&amp;" Stk / CHF "&amp;ROUND((H1441-AR1441)*G1441,0)&amp;"; ","")&amp;IF(AND(CA1441=1,CB1441&lt;CC1441),"MAX &lt; MB+LG; ","")&amp;IF(AND(CG1441&gt;0,CF1441*10&gt;CG1441),"zu hoch für Tablar; ","")&amp;IF(AND(BP1441=0,OR(CA1441=1,AA1441&lt;&gt;"",U1441&lt;&gt;"",V1441&lt;&gt;"",AB1441&lt;&gt;"")),"manuell übersteuert; ","")&amp;IF(AND(BT1441=0,R1441=0),"Gebinde unbekannt / Stellmass fehlt; ","")&amp;IF(AND(BT1441=0,N(V1441)&lt;=0,N(Q1441)&lt;=0),"Menge pro Gebinde fehlt (Ist = 1 Gebinde); ","")&amp;BO1441)</f>
        <v>negativer Bestand (Export -43); grosser Artikel &amp; nicht im KTL</v>
      </c>
      <c r="BH1441" s="55"/>
      <c r="BI1441" s="55"/>
      <c r="BJ1441" s="62"/>
      <c r="BK1441" s="57" t="n">
        <v>-43</v>
      </c>
      <c r="BL1441" s="57" t="n">
        <v>0</v>
      </c>
      <c r="BM1441" s="56" t="n">
        <v>-8983.15</v>
      </c>
      <c r="BN1441" s="57" t="n">
        <v>207</v>
      </c>
      <c r="BO1441" s="55" t="s">
        <v>261</v>
      </c>
      <c r="BP1441" s="60" t="n">
        <v>0</v>
      </c>
      <c r="BQ1441" s="60" t="n">
        <v>1441</v>
      </c>
      <c r="BR1441" s="55" t="str">
        <f aca="false">IF(U1441&lt;&gt;"",UPPER(TRIM(U1441)),IF(BU1441=1,UPPER(VLOOKUP(T1441,Parameter!$I$27:$K$29,2,0)),IF(P1441="","LOSE",P1441)))</f>
        <v>S71</v>
      </c>
      <c r="BS1441" s="57" t="n">
        <f aca="false">IF(BR1441="LOSE",1,IF(N(V1441)&gt;0,V1441,IF(BU1441=1,MAX(1,N(VLOOKUP(T1441,Parameter!$I$27:$K$29,3,0)),H1441,N(N1441)),IF(N(Q1441)&gt;0,Q1441,MAX(1,H1441)))))</f>
        <v>20</v>
      </c>
      <c r="BT1441" s="60" t="n">
        <f aca="false">IF(BR1441="LOSE",1,0)</f>
        <v>0</v>
      </c>
      <c r="BU1441" s="60" t="n">
        <f aca="false">IF(AND(U1441="",OR(P1441="",P1441="LOSE"),T1441&lt;&gt;"",N(S1441)&lt;=0,ISNUMBER(MATCH(T1441,Parameter!$I$27:$I$29,0))),1,0)</f>
        <v>0</v>
      </c>
      <c r="BV1441" s="55" t="str">
        <f aca="false">IF(AND(Parameter!$B$19="Ja",E1441&lt;&gt;"",ISNUMBER(MATCH(E1441,Parameter!$I$35:$I$52,0))),VLOOKUP(E1441,Parameter!$I$35:$J$52,2,0),IFERROR(VLOOKUP(D1441,Parameter!$A$35:$C$64,2,0),"Nein"))</f>
        <v>2+3</v>
      </c>
      <c r="BW1441" s="59" t="n">
        <f aca="false">IF(BT1441=0,0,IF(N(S1441)&gt;0,S1441,IFERROR(VLOOKUP(D1441,Parameter!$A$35:$C$64,3,0)+0,0)))</f>
        <v>0</v>
      </c>
      <c r="BX1441" s="55" t="n">
        <f aca="false">IF(AA1441&lt;&gt;"",AA1441,Z1441)</f>
        <v>2</v>
      </c>
      <c r="BY1441" s="55" t="str">
        <f aca="false">IF(BX1441=1,"L1",IF(OR(BX1441=2,BX1441=3),"L23",IF(BX1441="Aussen","Aussen","-")))</f>
        <v>L23</v>
      </c>
      <c r="BZ1441" s="66" t="n">
        <f aca="false">IF(N(AB1441)&gt;0,AB1441,0)</f>
        <v>0</v>
      </c>
      <c r="CA1441" s="60" t="n">
        <f aca="false">IF(ISNUMBER(AE1441),1,0)</f>
        <v>0</v>
      </c>
      <c r="CB1441" s="57" t="n">
        <f aca="false">N(AE1441)</f>
        <v>0</v>
      </c>
      <c r="CC1441" s="57" t="n">
        <f aca="false">N(M1441)+N(N1441)</f>
        <v>92</v>
      </c>
      <c r="CD1441" s="57" t="n">
        <f aca="false">ROUNDUP(H1441/BS1441,0)</f>
        <v>0</v>
      </c>
      <c r="CE1441" s="57" t="n">
        <f aca="false">ROUNDUP(CB1441/BS1441,0)</f>
        <v>0</v>
      </c>
      <c r="CF1441" s="60" t="n">
        <f aca="false">IF(BT1441=1,0,IFERROR(VLOOKUP(BR1441,'Gebinde-Kategorie'!$A$5:$M$45,5,0)+0,0))</f>
        <v>20</v>
      </c>
      <c r="CG1441" s="60" t="n">
        <f aca="false">IFERROR(IF(OR(BX1441=1,BX1441=2,BX1441=3),N(INDEX(Parameter!$I$5:$I$7,BX1441)),0),0)</f>
        <v>0</v>
      </c>
      <c r="CH1441" s="59" t="n">
        <f aca="false">IF(AND(Parameter!$B$21="Ja",ISNUMBER(W1441),N(X1441)&gt;0),IFERROR(N(INDEX(Parameter!$L$5:$L$7,W1441))*INDEX(Parameter!$E$5:$E$7,W1441)*X1441/SUMIFS($X$7:$X$1843,$W$7:$W$1843,W1441),0),0)</f>
        <v>0</v>
      </c>
    </row>
    <row r="1442" customFormat="false" ht="15" hidden="false" customHeight="false" outlineLevel="0" collapsed="false">
      <c r="A1442" s="55" t="s">
        <v>2526</v>
      </c>
      <c r="B1442" s="55" t="s">
        <v>2527</v>
      </c>
      <c r="C1442" s="55" t="s">
        <v>167</v>
      </c>
      <c r="D1442" s="55" t="s">
        <v>165</v>
      </c>
      <c r="E1442" s="55"/>
      <c r="F1442" s="55"/>
      <c r="G1442" s="56" t="n">
        <v>1549.14</v>
      </c>
      <c r="H1442" s="57" t="n">
        <f aca="false">MAX(0,IF(AND(Parameter!$B$21="Ja",ISNUMBER(Y1442)),Y1442,IF(Parameter!$B$20="Jahresanfang 2025 + Export",BL1442+BK1442,BK1442)))</f>
        <v>8</v>
      </c>
      <c r="I1442" s="57" t="n">
        <f aca="false">H1442*G1442</f>
        <v>12393.12</v>
      </c>
      <c r="J1442" s="57" t="n">
        <f aca="false">BN1442*Parameter!$B$18</f>
        <v>13</v>
      </c>
      <c r="K1442" s="58"/>
      <c r="L1442" s="59"/>
      <c r="M1442" s="57" t="n">
        <v>3</v>
      </c>
      <c r="N1442" s="57" t="n">
        <v>3</v>
      </c>
      <c r="O1442" s="60"/>
      <c r="P1442" s="55" t="s">
        <v>168</v>
      </c>
      <c r="Q1442" s="57"/>
      <c r="R1442" s="60" t="n">
        <f aca="false">IF(BT1442=1,0,IFERROR(VLOOKUP(BR1442,'Gebinde-Kategorie'!$A$5:$M$45,13,0)+0,0))</f>
        <v>0</v>
      </c>
      <c r="S1442" s="61"/>
      <c r="T1442" s="62"/>
      <c r="U1442" s="62"/>
      <c r="V1442" s="62"/>
      <c r="W1442" s="55" t="n">
        <v>1</v>
      </c>
      <c r="X1442" s="57" t="n">
        <v>20</v>
      </c>
      <c r="Y1442" s="57" t="n">
        <v>8</v>
      </c>
      <c r="Z1442" s="55" t="n">
        <f aca="false">IF(A1442="","",IF(AND(Parameter!$B$21="Ja",ISNUMBER(W1442)),W1442,IF(BV1442="2+3",IF(ISNUMBER(SEARCH("grosser Artikel",BO1442)),2,IFERROR(VLOOKUP(BR1442,Parameter!$F$35:$G$64,2,0),2)),IF(OR(BV1442="Nein",BV1442=""),"-",BV1442))))</f>
        <v>1</v>
      </c>
      <c r="AA1442" s="62"/>
      <c r="AB1442" s="63"/>
      <c r="AC1442" s="57" t="n">
        <f aca="false">AR1442</f>
        <v>7</v>
      </c>
      <c r="AD1442" s="57" t="n">
        <f aca="false">MAX(AR1442,H1442)</f>
        <v>8</v>
      </c>
      <c r="AE1442" s="64"/>
      <c r="AF1442" s="57" t="n">
        <f aca="false">IF(LEFT(Cockpit!$C$5,1)="A",H1442,IF(CA1442=1,CB1442,IF(LEFT(Cockpit!$C$5,1)="B",AJ1442,MAX(AJ1442,H1442))))</f>
        <v>8</v>
      </c>
      <c r="AG1442" s="57" t="n">
        <f aca="false">IF(BT1442=1,0,ROUNDUP(AF1442/BS1442,0))</f>
        <v>0</v>
      </c>
      <c r="AH1442" s="59" t="n">
        <f aca="false">IF(CH1442&gt;0,CH1442*MAX(1,AF1442/X1442),IF(BT1442=1,IF(AF1442&lt;=0,0,BW1442*MAX(1,IF(H1442&gt;0,AF1442/H1442,1))),IF(R1442&gt;0,AG1442/R1442,0))/MAX(0.1,N(Parameter!$M$21)))</f>
        <v>1.60075329566855</v>
      </c>
      <c r="AI1442" s="57" t="n">
        <f aca="false">AF1442*G1442</f>
        <v>12393.12</v>
      </c>
      <c r="AJ1442" s="57" t="n">
        <f aca="false">ROUNDUP(MAX(J1442/IF(BZ1442&gt;0,BZ1442,MAX(0.1,N(Cockpit!$C$6))),CC1442)/BS1442,0)*BS1442</f>
        <v>7</v>
      </c>
      <c r="AK1442" s="58" t="n">
        <f aca="false">IF(AH1442&gt;0,J1442/AH1442,-1)</f>
        <v>8.12117647058824</v>
      </c>
      <c r="AL1442" s="58" t="n">
        <f aca="false">IF(AND(OR(BY1442="L1",BY1442="L23"),AH1442&gt;0),SUMIFS($AH$7:$AH$1843,$BY$7:$BY$1843,BY1442,$AK$7:$AK$1843,"&gt;"&amp;AK1442)+SUMIFS($AH$7:$AH$1843,$BY$7:$BY$1843,BY1442,$AK$7:$AK$1843,AK1442,$BQ$7:$BQ$1843,"&lt;="&amp;BQ1442),"")</f>
        <v>33.2950922409286</v>
      </c>
      <c r="AM1442" s="65" t="n">
        <f aca="false">IF(AL1442="",0,MAX(0,MIN(1,(IF(BY1442="L1",Parameter!$E$5,Parameter!$E$6+Parameter!$E$7)-(AL1442-AH1442))/AH1442)))</f>
        <v>1</v>
      </c>
      <c r="AN1442" s="57" t="n">
        <f aca="false">IF(LEFT(Cockpit!$I$5,1)="A",H1442,IF(CA1442=1,CB1442,IF(LEFT(Cockpit!$I$5,1)="B",AR1442,MAX(AR1442,H1442))))</f>
        <v>8</v>
      </c>
      <c r="AO1442" s="57" t="n">
        <f aca="false">IF(BT1442=1,0,ROUNDUP(AN1442/BS1442,0))</f>
        <v>0</v>
      </c>
      <c r="AP1442" s="59" t="n">
        <f aca="false">IF(CH1442&gt;0,CH1442*MAX(1,AN1442/X1442),IF(BT1442=1,IF(AN1442&lt;=0,0,BW1442*MAX(1,IF(H1442&gt;0,AN1442/H1442,1))),IF(R1442&gt;0,AO1442/R1442,0))/MAX(0.1,N(Parameter!$M$21)))</f>
        <v>1.60075329566855</v>
      </c>
      <c r="AQ1442" s="57" t="n">
        <f aca="false">AN1442*G1442</f>
        <v>12393.12</v>
      </c>
      <c r="AR1442" s="57" t="n">
        <f aca="false">ROUNDUP(MAX(J1442/IF(BZ1442&gt;0,BZ1442,MAX(0.1,N(Cockpit!$I$6))),CC1442)/BS1442,0)*BS1442</f>
        <v>7</v>
      </c>
      <c r="AS1442" s="58" t="n">
        <f aca="false">IF(AP1442&gt;0,J1442/AP1442,-1)</f>
        <v>8.12117647058824</v>
      </c>
      <c r="AT1442" s="58" t="n">
        <f aca="false">IF(AND(OR(BY1442="L1",BY1442="L23"),AP1442&gt;0),SUMIFS($AP$7:$AP$1843,$BY$7:$BY$1843,BY1442,$AS$7:$AS$1843,"&gt;"&amp;AS1442)+SUMIFS($AP$7:$AP$1843,$BY$7:$BY$1843,BY1442,$AS$7:$AS$1843,AS1442,$BQ$7:$BQ$1843,"&lt;="&amp;BQ1442),"")</f>
        <v>48.6479098564581</v>
      </c>
      <c r="AU1442" s="65" t="n">
        <f aca="false">IF(AT1442="",0,MAX(0,MIN(1,(IF(BY1442="L1",Parameter!$E$5,Parameter!$E$6+Parameter!$E$7)-(AT1442-AP1442))/AP1442)))</f>
        <v>1</v>
      </c>
      <c r="AV1442" s="57" t="n">
        <f aca="false">IF(LEFT(Cockpit!$O$5,1)="A",H1442,IF(CA1442=1,CB1442,IF(LEFT(Cockpit!$O$5,1)="B",AZ1442,MAX(AZ1442,H1442))))</f>
        <v>8</v>
      </c>
      <c r="AW1442" s="57" t="n">
        <f aca="false">IF(BT1442=1,0,ROUNDUP(AV1442/BS1442,0))</f>
        <v>0</v>
      </c>
      <c r="AX1442" s="59" t="n">
        <f aca="false">IF(CH1442&gt;0,CH1442*MAX(1,AV1442/X1442),IF(BT1442=1,IF(AV1442&lt;=0,0,BW1442*MAX(1,IF(H1442&gt;0,AV1442/H1442,1))),IF(R1442&gt;0,AW1442/R1442,0))/MAX(0.1,N(Parameter!$M$21)))</f>
        <v>1.60075329566855</v>
      </c>
      <c r="AY1442" s="57" t="n">
        <f aca="false">AV1442*G1442</f>
        <v>12393.12</v>
      </c>
      <c r="AZ1442" s="57" t="n">
        <f aca="false">ROUNDUP(MAX(J1442/IF(BZ1442&gt;0,BZ1442,MAX(0.1,N(Cockpit!$O$6))),CC1442)/BS1442,0)*BS1442</f>
        <v>6</v>
      </c>
      <c r="BA1442" s="58" t="n">
        <f aca="false">IF(AX1442&gt;0,J1442/AX1442,-1)</f>
        <v>8.12117647058824</v>
      </c>
      <c r="BB1442" s="58" t="n">
        <f aca="false">IF(AND(OR(BY1442="L1",BY1442="L23"),AX1442&gt;0),SUMIFS($AX$7:$AX$1843,$BY$7:$BY$1843,BY1442,$BA$7:$BA$1843,"&gt;"&amp;BA1442)+SUMIFS($AX$7:$AX$1843,$BY$7:$BY$1843,BY1442,$BA$7:$BA$1843,BA1442,$BQ$7:$BQ$1843,"&lt;="&amp;BQ1442),"")</f>
        <v>42.3147213876764</v>
      </c>
      <c r="BC1442" s="65" t="n">
        <f aca="false">IF(BB1442="",0,MAX(0,MIN(1,(IF(BY1442="L1",Parameter!$E$5,Parameter!$E$6+Parameter!$E$7)-(BB1442-AX1442))/AX1442)))</f>
        <v>1</v>
      </c>
      <c r="BD1442" s="55" t="str">
        <f aca="false">IF(AH1442&lt;=0,"",IF(BY1442="Aussen","Aussenlager",IF(BY1442="-","Nicht im Lift",IF(AM1442&gt;=1,"Lift",IF(AM1442&lt;=0,"Aussenlager","teilweise")))))</f>
        <v>Lift</v>
      </c>
      <c r="BE1442" s="55" t="str">
        <f aca="false">IF(AP1442&lt;=0,"",IF(BY1442="Aussen","Aussenlager",IF(BY1442="-","Nicht im Lift",IF(AU1442&gt;=1,"Lift",IF(AU1442&lt;=0,"Aussenlager","teilweise")))))</f>
        <v>Lift</v>
      </c>
      <c r="BF1442" s="55" t="str">
        <f aca="false">IF(AX1442&lt;=0,"",IF(BY1442="Aussen","Aussenlager",IF(BY1442="-","Nicht im Lift",IF(BC1442&gt;=1,"Lift",IF(BC1442&lt;=0,"Aussenlager","teilweise")))))</f>
        <v>Lift</v>
      </c>
      <c r="BG1442" s="55" t="str">
        <f aca="false">IF(A1442="","",IF(BP1442=1,"Neu; ","")&amp;IF(AND(BP1442=0,BK1442&lt;0),"negativer Bestand (Export "&amp;BK1442&amp;"); ","")&amp;IF(J1442&lt;=0,"Kein Verbrauch; ","")&amp;IF(CH1442&gt;0,"Lift "&amp;W1442&amp;" lt. Liftbericht (Fach "&amp;X1442&amp;" Stk); ",IF(BU1442=1,"Gebinde geschätzt ("&amp;T1442&amp;"); ",IF(BT1442=1,"Lose – Tablare geschätzt; ","")))&amp;IF(H1442&gt;AR1442,"Überbestand "&amp;ROUND(H1442-AR1442,0)&amp;" Stk / CHF "&amp;ROUND((H1442-AR1442)*G1442,0)&amp;"; ","")&amp;IF(AND(CA1442=1,CB1442&lt;CC1442),"MAX &lt; MB+LG; ","")&amp;IF(AND(CG1442&gt;0,CF1442*10&gt;CG1442),"zu hoch für Tablar; ","")&amp;IF(AND(BP1442=0,OR(CA1442=1,AA1442&lt;&gt;"",U1442&lt;&gt;"",V1442&lt;&gt;"",AB1442&lt;&gt;"")),"manuell übersteuert; ","")&amp;IF(AND(BT1442=0,R1442=0),"Gebinde unbekannt / Stellmass fehlt; ","")&amp;IF(AND(BT1442=0,N(V1442)&lt;=0,N(Q1442)&lt;=0),"Menge pro Gebinde fehlt (Ist = 1 Gebinde); ","")&amp;BO1442)</f>
        <v>negativer Bestand (Export -6); Lift 1 lt. Liftbericht (Fach 20 Stk); Überbestand 1 Stk / CHF 1549; </v>
      </c>
      <c r="BH1442" s="55"/>
      <c r="BI1442" s="55"/>
      <c r="BJ1442" s="62"/>
      <c r="BK1442" s="57" t="n">
        <v>-6</v>
      </c>
      <c r="BL1442" s="57" t="n">
        <v>0</v>
      </c>
      <c r="BM1442" s="56" t="n">
        <v>-9049.02</v>
      </c>
      <c r="BN1442" s="57" t="n">
        <v>13</v>
      </c>
      <c r="BO1442" s="55"/>
      <c r="BP1442" s="60" t="n">
        <v>0</v>
      </c>
      <c r="BQ1442" s="60" t="n">
        <v>1442</v>
      </c>
      <c r="BR1442" s="55" t="str">
        <f aca="false">IF(U1442&lt;&gt;"",UPPER(TRIM(U1442)),IF(BU1442=1,UPPER(VLOOKUP(T1442,Parameter!$I$27:$K$29,2,0)),IF(P1442="","LOSE",P1442)))</f>
        <v>LOSE</v>
      </c>
      <c r="BS1442" s="57" t="n">
        <f aca="false">IF(BR1442="LOSE",1,IF(N(V1442)&gt;0,V1442,IF(BU1442=1,MAX(1,N(VLOOKUP(T1442,Parameter!$I$27:$K$29,3,0)),H1442,N(N1442)),IF(N(Q1442)&gt;0,Q1442,MAX(1,H1442)))))</f>
        <v>1</v>
      </c>
      <c r="BT1442" s="60" t="n">
        <f aca="false">IF(BR1442="LOSE",1,0)</f>
        <v>1</v>
      </c>
      <c r="BU1442" s="60" t="n">
        <f aca="false">IF(AND(U1442="",OR(P1442="",P1442="LOSE"),T1442&lt;&gt;"",N(S1442)&lt;=0,ISNUMBER(MATCH(T1442,Parameter!$I$27:$I$29,0))),1,0)</f>
        <v>0</v>
      </c>
      <c r="BV1442" s="55" t="n">
        <f aca="false">IF(AND(Parameter!$B$19="Ja",E1442&lt;&gt;"",ISNUMBER(MATCH(E1442,Parameter!$I$35:$I$52,0))),VLOOKUP(E1442,Parameter!$I$35:$J$52,2,0),IFERROR(VLOOKUP(D1442,Parameter!$A$35:$C$64,2,0),"Nein"))</f>
        <v>1</v>
      </c>
      <c r="BW1442" s="59" t="n">
        <f aca="false">IF(BT1442=0,0,IF(N(S1442)&gt;0,S1442,IFERROR(VLOOKUP(D1442,Parameter!$A$35:$C$64,3,0)+0,0)))</f>
        <v>1</v>
      </c>
      <c r="BX1442" s="55" t="n">
        <f aca="false">IF(AA1442&lt;&gt;"",AA1442,Z1442)</f>
        <v>1</v>
      </c>
      <c r="BY1442" s="55" t="str">
        <f aca="false">IF(BX1442=1,"L1",IF(OR(BX1442=2,BX1442=3),"L23",IF(BX1442="Aussen","Aussen","-")))</f>
        <v>L1</v>
      </c>
      <c r="BZ1442" s="66" t="n">
        <f aca="false">IF(N(AB1442)&gt;0,AB1442,0)</f>
        <v>0</v>
      </c>
      <c r="CA1442" s="60" t="n">
        <f aca="false">IF(ISNUMBER(AE1442),1,0)</f>
        <v>0</v>
      </c>
      <c r="CB1442" s="57" t="n">
        <f aca="false">N(AE1442)</f>
        <v>0</v>
      </c>
      <c r="CC1442" s="57" t="n">
        <f aca="false">N(M1442)+N(N1442)</f>
        <v>6</v>
      </c>
      <c r="CD1442" s="57" t="n">
        <f aca="false">ROUNDUP(H1442/BS1442,0)</f>
        <v>8</v>
      </c>
      <c r="CE1442" s="57" t="n">
        <f aca="false">ROUNDUP(CB1442/BS1442,0)</f>
        <v>0</v>
      </c>
      <c r="CF1442" s="60" t="n">
        <f aca="false">IF(BT1442=1,0,IFERROR(VLOOKUP(BR1442,'Gebinde-Kategorie'!$A$5:$M$45,5,0)+0,0))</f>
        <v>0</v>
      </c>
      <c r="CG1442" s="60" t="n">
        <f aca="false">IFERROR(IF(OR(BX1442=1,BX1442=2,BX1442=3),N(INDEX(Parameter!$I$5:$I$7,BX1442)),0),0)</f>
        <v>0</v>
      </c>
      <c r="CH1442" s="59" t="n">
        <f aca="false">IF(AND(Parameter!$B$21="Ja",ISNUMBER(W1442),N(X1442)&gt;0),IFERROR(N(INDEX(Parameter!$L$5:$L$7,W1442))*INDEX(Parameter!$E$5:$E$7,W1442)*X1442/SUMIFS($X$7:$X$1843,$W$7:$W$1843,W1442),0),0)</f>
        <v>1.60075329566855</v>
      </c>
    </row>
    <row r="1443" customFormat="false" ht="15" hidden="false" customHeight="false" outlineLevel="0" collapsed="false">
      <c r="A1443" s="55" t="s">
        <v>2528</v>
      </c>
      <c r="B1443" s="55" t="s">
        <v>431</v>
      </c>
      <c r="C1443" s="55" t="s">
        <v>456</v>
      </c>
      <c r="D1443" s="55" t="s">
        <v>173</v>
      </c>
      <c r="E1443" s="55"/>
      <c r="F1443" s="55"/>
      <c r="G1443" s="56" t="n">
        <v>77.09</v>
      </c>
      <c r="H1443" s="57" t="n">
        <f aca="false">MAX(0,IF(AND(Parameter!$B$21="Ja",ISNUMBER(Y1443)),Y1443,IF(Parameter!$B$20="Jahresanfang 2025 + Export",BL1443+BK1443,BK1443)))</f>
        <v>0</v>
      </c>
      <c r="I1443" s="57" t="n">
        <f aca="false">H1443*G1443</f>
        <v>0</v>
      </c>
      <c r="J1443" s="57" t="n">
        <f aca="false">BN1443*Parameter!$B$18</f>
        <v>53</v>
      </c>
      <c r="K1443" s="58"/>
      <c r="L1443" s="59"/>
      <c r="M1443" s="57" t="n">
        <v>0</v>
      </c>
      <c r="N1443" s="57" t="n">
        <v>1</v>
      </c>
      <c r="O1443" s="60"/>
      <c r="P1443" s="55" t="s">
        <v>168</v>
      </c>
      <c r="Q1443" s="57"/>
      <c r="R1443" s="60" t="n">
        <f aca="false">IF(BT1443=1,0,IFERROR(VLOOKUP(BR1443,'Gebinde-Kategorie'!$A$5:$M$45,13,0)+0,0))</f>
        <v>12</v>
      </c>
      <c r="S1443" s="61"/>
      <c r="T1443" s="62" t="s">
        <v>179</v>
      </c>
      <c r="U1443" s="62"/>
      <c r="V1443" s="62"/>
      <c r="W1443" s="55"/>
      <c r="X1443" s="57"/>
      <c r="Y1443" s="57"/>
      <c r="Z1443" s="55" t="n">
        <f aca="false">IF(A1443="","",IF(AND(Parameter!$B$21="Ja",ISNUMBER(W1443)),W1443,IF(BV1443="2+3",IF(ISNUMBER(SEARCH("grosser Artikel",BO1443)),2,IFERROR(VLOOKUP(BR1443,Parameter!$F$35:$G$64,2,0),2)),IF(OR(BV1443="Nein",BV1443=""),"-",BV1443))))</f>
        <v>2</v>
      </c>
      <c r="AA1443" s="62"/>
      <c r="AB1443" s="63"/>
      <c r="AC1443" s="57" t="n">
        <f aca="false">AR1443</f>
        <v>28</v>
      </c>
      <c r="AD1443" s="57" t="n">
        <f aca="false">MAX(AR1443,H1443)</f>
        <v>28</v>
      </c>
      <c r="AE1443" s="64"/>
      <c r="AF1443" s="57" t="n">
        <f aca="false">IF(LEFT(Cockpit!$C$5,1)="A",H1443,IF(CA1443=1,CB1443,IF(LEFT(Cockpit!$C$5,1)="B",AJ1443,MAX(AJ1443,H1443))))</f>
        <v>0</v>
      </c>
      <c r="AG1443" s="57" t="n">
        <f aca="false">IF(BT1443=1,0,ROUNDUP(AF1443/BS1443,0))</f>
        <v>0</v>
      </c>
      <c r="AH1443" s="59" t="n">
        <f aca="false">IF(CH1443&gt;0,CH1443*MAX(1,AF1443/X1443),IF(BT1443=1,IF(AF1443&lt;=0,0,BW1443*MAX(1,IF(H1443&gt;0,AF1443/H1443,1))),IF(R1443&gt;0,AG1443/R1443,0))/MAX(0.1,N(Parameter!$M$21)))</f>
        <v>0</v>
      </c>
      <c r="AI1443" s="57" t="n">
        <f aca="false">AF1443*G1443</f>
        <v>0</v>
      </c>
      <c r="AJ1443" s="57" t="n">
        <f aca="false">ROUNDUP(MAX(J1443/IF(BZ1443&gt;0,BZ1443,MAX(0.1,N(Cockpit!$C$6))),CC1443)/BS1443,0)*BS1443</f>
        <v>28</v>
      </c>
      <c r="AK1443" s="58" t="n">
        <f aca="false">IF(AH1443&gt;0,J1443/AH1443,-1)</f>
        <v>-1</v>
      </c>
      <c r="AL1443" s="58" t="str">
        <f aca="false">IF(AND(OR(BY1443="L1",BY1443="L23"),AH1443&gt;0),SUMIFS($AH$7:$AH$1843,$BY$7:$BY$1843,BY1443,$AK$7:$AK$1843,"&gt;"&amp;AK1443)+SUMIFS($AH$7:$AH$1843,$BY$7:$BY$1843,BY1443,$AK$7:$AK$1843,AK1443,$BQ$7:$BQ$1843,"&lt;="&amp;BQ1443),"")</f>
        <v/>
      </c>
      <c r="AM1443" s="65" t="n">
        <f aca="false">IF(AL1443="",0,MAX(0,MIN(1,(IF(BY1443="L1",Parameter!$E$5,Parameter!$E$6+Parameter!$E$7)-(AL1443-AH1443))/AH1443)))</f>
        <v>0</v>
      </c>
      <c r="AN1443" s="57" t="n">
        <f aca="false">IF(LEFT(Cockpit!$I$5,1)="A",H1443,IF(CA1443=1,CB1443,IF(LEFT(Cockpit!$I$5,1)="B",AR1443,MAX(AR1443,H1443))))</f>
        <v>28</v>
      </c>
      <c r="AO1443" s="57" t="n">
        <f aca="false">IF(BT1443=1,0,ROUNDUP(AN1443/BS1443,0))</f>
        <v>7</v>
      </c>
      <c r="AP1443" s="59" t="n">
        <f aca="false">IF(CH1443&gt;0,CH1443*MAX(1,AN1443/X1443),IF(BT1443=1,IF(AN1443&lt;=0,0,BW1443*MAX(1,IF(H1443&gt;0,AN1443/H1443,1))),IF(R1443&gt;0,AO1443/R1443,0))/MAX(0.1,N(Parameter!$M$21)))</f>
        <v>0.583333333333333</v>
      </c>
      <c r="AQ1443" s="57" t="n">
        <f aca="false">AN1443*G1443</f>
        <v>2158.52</v>
      </c>
      <c r="AR1443" s="57" t="n">
        <f aca="false">ROUNDUP(MAX(J1443/IF(BZ1443&gt;0,BZ1443,MAX(0.1,N(Cockpit!$I$6))),CC1443)/BS1443,0)*BS1443</f>
        <v>28</v>
      </c>
      <c r="AS1443" s="58" t="n">
        <f aca="false">IF(AP1443&gt;0,J1443/AP1443,-1)</f>
        <v>90.8571428571429</v>
      </c>
      <c r="AT1443" s="58" t="n">
        <f aca="false">IF(AND(OR(BY1443="L1",BY1443="L23"),AP1443&gt;0),SUMIFS($AP$7:$AP$1843,$BY$7:$BY$1843,BY1443,$AS$7:$AS$1843,"&gt;"&amp;AS1443)+SUMIFS($AP$7:$AP$1843,$BY$7:$BY$1843,BY1443,$AS$7:$AS$1843,AS1443,$BQ$7:$BQ$1843,"&lt;="&amp;BQ1443),"")</f>
        <v>61.1008834161008</v>
      </c>
      <c r="AU1443" s="65" t="n">
        <f aca="false">IF(AT1443="",0,MAX(0,MIN(1,(IF(BY1443="L1",Parameter!$E$5,Parameter!$E$6+Parameter!$E$7)-(AT1443-AP1443))/AP1443)))</f>
        <v>1</v>
      </c>
      <c r="AV1443" s="57" t="n">
        <f aca="false">IF(LEFT(Cockpit!$O$5,1)="A",H1443,IF(CA1443=1,CB1443,IF(LEFT(Cockpit!$O$5,1)="B",AZ1443,MAX(AZ1443,H1443))))</f>
        <v>20</v>
      </c>
      <c r="AW1443" s="57" t="n">
        <f aca="false">IF(BT1443=1,0,ROUNDUP(AV1443/BS1443,0))</f>
        <v>5</v>
      </c>
      <c r="AX1443" s="59" t="n">
        <f aca="false">IF(CH1443&gt;0,CH1443*MAX(1,AV1443/X1443),IF(BT1443=1,IF(AV1443&lt;=0,0,BW1443*MAX(1,IF(H1443&gt;0,AV1443/H1443,1))),IF(R1443&gt;0,AW1443/R1443,0))/MAX(0.1,N(Parameter!$M$21)))</f>
        <v>0.416666666666667</v>
      </c>
      <c r="AY1443" s="57" t="n">
        <f aca="false">AV1443*G1443</f>
        <v>1541.8</v>
      </c>
      <c r="AZ1443" s="57" t="n">
        <f aca="false">ROUNDUP(MAX(J1443/IF(BZ1443&gt;0,BZ1443,MAX(0.1,N(Cockpit!$O$6))),CC1443)/BS1443,0)*BS1443</f>
        <v>20</v>
      </c>
      <c r="BA1443" s="58" t="n">
        <f aca="false">IF(AX1443&gt;0,J1443/AX1443,-1)</f>
        <v>127.2</v>
      </c>
      <c r="BB1443" s="58" t="n">
        <f aca="false">IF(AND(OR(BY1443="L1",BY1443="L23"),AX1443&gt;0),SUMIFS($AX$7:$AX$1843,$BY$7:$BY$1843,BY1443,$BA$7:$BA$1843,"&gt;"&amp;BA1443)+SUMIFS($AX$7:$AX$1843,$BY$7:$BY$1843,BY1443,$BA$7:$BA$1843,BA1443,$BQ$7:$BQ$1843,"&lt;="&amp;BQ1443),"")</f>
        <v>50.8912874565049</v>
      </c>
      <c r="BC1443" s="65" t="n">
        <f aca="false">IF(BB1443="",0,MAX(0,MIN(1,(IF(BY1443="L1",Parameter!$E$5,Parameter!$E$6+Parameter!$E$7)-(BB1443-AX1443))/AX1443)))</f>
        <v>1</v>
      </c>
      <c r="BD1443" s="55" t="str">
        <f aca="false">IF(AH1443&lt;=0,"",IF(BY1443="Aussen","Aussenlager",IF(BY1443="-","Nicht im Lift",IF(AM1443&gt;=1,"Lift",IF(AM1443&lt;=0,"Aussenlager","teilweise")))))</f>
        <v/>
      </c>
      <c r="BE1443" s="55" t="str">
        <f aca="false">IF(AP1443&lt;=0,"",IF(BY1443="Aussen","Aussenlager",IF(BY1443="-","Nicht im Lift",IF(AU1443&gt;=1,"Lift",IF(AU1443&lt;=0,"Aussenlager","teilweise")))))</f>
        <v>Lift</v>
      </c>
      <c r="BF1443" s="55" t="str">
        <f aca="false">IF(AX1443&lt;=0,"",IF(BY1443="Aussen","Aussenlager",IF(BY1443="-","Nicht im Lift",IF(BC1443&gt;=1,"Lift",IF(BC1443&lt;=0,"Aussenlager","teilweise")))))</f>
        <v>Lift</v>
      </c>
      <c r="BG1443" s="55" t="str">
        <f aca="false">IF(A1443="","",IF(BP1443=1,"Neu; ","")&amp;IF(AND(BP1443=0,BK1443&lt;0),"negativer Bestand (Export "&amp;BK1443&amp;"); ","")&amp;IF(J1443&lt;=0,"Kein Verbrauch; ","")&amp;IF(CH1443&gt;0,"Lift "&amp;W1443&amp;" lt. Liftbericht (Fach "&amp;X1443&amp;" Stk); ",IF(BU1443=1,"Gebinde geschätzt ("&amp;T1443&amp;"); ",IF(BT1443=1,"Lose – Tablare geschätzt; ","")))&amp;IF(H1443&gt;AR1443,"Überbestand "&amp;ROUND(H1443-AR1443,0)&amp;" Stk / CHF "&amp;ROUND((H1443-AR1443)*G1443,0)&amp;"; ","")&amp;IF(AND(CA1443=1,CB1443&lt;CC1443),"MAX &lt; MB+LG; ","")&amp;IF(AND(CG1443&gt;0,CF1443*10&gt;CG1443),"zu hoch für Tablar; ","")&amp;IF(AND(BP1443=0,OR(CA1443=1,AA1443&lt;&gt;"",U1443&lt;&gt;"",V1443&lt;&gt;"",AB1443&lt;&gt;"")),"manuell übersteuert; ","")&amp;IF(AND(BT1443=0,R1443=0),"Gebinde unbekannt / Stellmass fehlt; ","")&amp;IF(AND(BT1443=0,N(V1443)&lt;=0,N(Q1443)&lt;=0),"Menge pro Gebinde fehlt (Ist = 1 Gebinde); ","")&amp;BO1443)</f>
        <v>negativer Bestand (Export -124); Gebinde geschätzt (Mittel); Menge pro Gebinde fehlt (Ist = 1 Gebinde); </v>
      </c>
      <c r="BH1443" s="55"/>
      <c r="BI1443" s="55"/>
      <c r="BJ1443" s="62"/>
      <c r="BK1443" s="57" t="n">
        <v>-124</v>
      </c>
      <c r="BL1443" s="57" t="n">
        <v>0</v>
      </c>
      <c r="BM1443" s="56" t="n">
        <v>-9566.6</v>
      </c>
      <c r="BN1443" s="57" t="n">
        <v>53</v>
      </c>
      <c r="BO1443" s="55"/>
      <c r="BP1443" s="60" t="n">
        <v>0</v>
      </c>
      <c r="BQ1443" s="60" t="n">
        <v>1443</v>
      </c>
      <c r="BR1443" s="55" t="str">
        <f aca="false">IF(U1443&lt;&gt;"",UPPER(TRIM(U1443)),IF(BU1443=1,UPPER(VLOOKUP(T1443,Parameter!$I$27:$K$29,2,0)),IF(P1443="","LOSE",P1443)))</f>
        <v>S61</v>
      </c>
      <c r="BS1443" s="57" t="n">
        <f aca="false">IF(BR1443="LOSE",1,IF(N(V1443)&gt;0,V1443,IF(BU1443=1,MAX(1,N(VLOOKUP(T1443,Parameter!$I$27:$K$29,3,0)),H1443,N(N1443)),IF(N(Q1443)&gt;0,Q1443,MAX(1,H1443)))))</f>
        <v>4</v>
      </c>
      <c r="BT1443" s="60" t="n">
        <f aca="false">IF(BR1443="LOSE",1,0)</f>
        <v>0</v>
      </c>
      <c r="BU1443" s="60" t="n">
        <f aca="false">IF(AND(U1443="",OR(P1443="",P1443="LOSE"),T1443&lt;&gt;"",N(S1443)&lt;=0,ISNUMBER(MATCH(T1443,Parameter!$I$27:$I$29,0))),1,0)</f>
        <v>1</v>
      </c>
      <c r="BV1443" s="55" t="str">
        <f aca="false">IF(AND(Parameter!$B$19="Ja",E1443&lt;&gt;"",ISNUMBER(MATCH(E1443,Parameter!$I$35:$I$52,0))),VLOOKUP(E1443,Parameter!$I$35:$J$52,2,0),IFERROR(VLOOKUP(D1443,Parameter!$A$35:$C$64,2,0),"Nein"))</f>
        <v>2+3</v>
      </c>
      <c r="BW1443" s="59" t="n">
        <f aca="false">IF(BT1443=0,0,IF(N(S1443)&gt;0,S1443,IFERROR(VLOOKUP(D1443,Parameter!$A$35:$C$64,3,0)+0,0)))</f>
        <v>0</v>
      </c>
      <c r="BX1443" s="55" t="n">
        <f aca="false">IF(AA1443&lt;&gt;"",AA1443,Z1443)</f>
        <v>2</v>
      </c>
      <c r="BY1443" s="55" t="str">
        <f aca="false">IF(BX1443=1,"L1",IF(OR(BX1443=2,BX1443=3),"L23",IF(BX1443="Aussen","Aussen","-")))</f>
        <v>L23</v>
      </c>
      <c r="BZ1443" s="66" t="n">
        <f aca="false">IF(N(AB1443)&gt;0,AB1443,0)</f>
        <v>0</v>
      </c>
      <c r="CA1443" s="60" t="n">
        <f aca="false">IF(ISNUMBER(AE1443),1,0)</f>
        <v>0</v>
      </c>
      <c r="CB1443" s="57" t="n">
        <f aca="false">N(AE1443)</f>
        <v>0</v>
      </c>
      <c r="CC1443" s="57" t="n">
        <f aca="false">N(M1443)+N(N1443)</f>
        <v>1</v>
      </c>
      <c r="CD1443" s="57" t="n">
        <f aca="false">ROUNDUP(H1443/BS1443,0)</f>
        <v>0</v>
      </c>
      <c r="CE1443" s="57" t="n">
        <f aca="false">ROUNDUP(CB1443/BS1443,0)</f>
        <v>0</v>
      </c>
      <c r="CF1443" s="60" t="n">
        <f aca="false">IF(BT1443=1,0,IFERROR(VLOOKUP(BR1443,'Gebinde-Kategorie'!$A$5:$M$45,5,0)+0,0))</f>
        <v>11</v>
      </c>
      <c r="CG1443" s="60" t="n">
        <f aca="false">IFERROR(IF(OR(BX1443=1,BX1443=2,BX1443=3),N(INDEX(Parameter!$I$5:$I$7,BX1443)),0),0)</f>
        <v>0</v>
      </c>
      <c r="CH1443" s="59" t="n">
        <f aca="false">IF(AND(Parameter!$B$21="Ja",ISNUMBER(W1443),N(X1443)&gt;0),IFERROR(N(INDEX(Parameter!$L$5:$L$7,W1443))*INDEX(Parameter!$E$5:$E$7,W1443)*X1443/SUMIFS($X$7:$X$1843,$W$7:$W$1843,W1443),0),0)</f>
        <v>0</v>
      </c>
    </row>
    <row r="1444" customFormat="false" ht="15" hidden="false" customHeight="false" outlineLevel="0" collapsed="false">
      <c r="A1444" s="55" t="s">
        <v>2529</v>
      </c>
      <c r="B1444" s="55" t="s">
        <v>2530</v>
      </c>
      <c r="C1444" s="55" t="s">
        <v>164</v>
      </c>
      <c r="D1444" s="55" t="s">
        <v>173</v>
      </c>
      <c r="E1444" s="55" t="s">
        <v>166</v>
      </c>
      <c r="F1444" s="55"/>
      <c r="G1444" s="56" t="n">
        <v>1459.89</v>
      </c>
      <c r="H1444" s="57" t="n">
        <f aca="false">MAX(0,IF(AND(Parameter!$B$21="Ja",ISNUMBER(Y1444)),Y1444,IF(Parameter!$B$20="Jahresanfang 2025 + Export",BL1444+BK1444,BK1444)))</f>
        <v>0</v>
      </c>
      <c r="I1444" s="57" t="n">
        <f aca="false">H1444*G1444</f>
        <v>0</v>
      </c>
      <c r="J1444" s="57" t="n">
        <f aca="false">BN1444*Parameter!$B$18</f>
        <v>125</v>
      </c>
      <c r="K1444" s="58"/>
      <c r="L1444" s="59"/>
      <c r="M1444" s="57" t="n">
        <v>7</v>
      </c>
      <c r="N1444" s="57" t="n">
        <v>20</v>
      </c>
      <c r="O1444" s="60"/>
      <c r="P1444" s="55" t="s">
        <v>174</v>
      </c>
      <c r="Q1444" s="57" t="n">
        <v>4</v>
      </c>
      <c r="R1444" s="60" t="n">
        <f aca="false">IF(BT1444=1,0,IFERROR(VLOOKUP(BR1444,'Gebinde-Kategorie'!$A$5:$M$45,13,0)+0,0))</f>
        <v>6</v>
      </c>
      <c r="S1444" s="61"/>
      <c r="T1444" s="62"/>
      <c r="U1444" s="62"/>
      <c r="V1444" s="62"/>
      <c r="W1444" s="55"/>
      <c r="X1444" s="57"/>
      <c r="Y1444" s="57"/>
      <c r="Z1444" s="55" t="n">
        <f aca="false">IF(A1444="","",IF(AND(Parameter!$B$21="Ja",ISNUMBER(W1444)),W1444,IF(BV1444="2+3",IF(ISNUMBER(SEARCH("grosser Artikel",BO1444)),2,IFERROR(VLOOKUP(BR1444,Parameter!$F$35:$G$64,2,0),2)),IF(OR(BV1444="Nein",BV1444=""),"-",BV1444))))</f>
        <v>1</v>
      </c>
      <c r="AA1444" s="62"/>
      <c r="AB1444" s="63"/>
      <c r="AC1444" s="57" t="n">
        <f aca="false">AR1444</f>
        <v>64</v>
      </c>
      <c r="AD1444" s="57" t="n">
        <f aca="false">MAX(AR1444,H1444)</f>
        <v>64</v>
      </c>
      <c r="AE1444" s="64"/>
      <c r="AF1444" s="57" t="n">
        <f aca="false">IF(LEFT(Cockpit!$C$5,1)="A",H1444,IF(CA1444=1,CB1444,IF(LEFT(Cockpit!$C$5,1)="B",AJ1444,MAX(AJ1444,H1444))))</f>
        <v>0</v>
      </c>
      <c r="AG1444" s="57" t="n">
        <f aca="false">IF(BT1444=1,0,ROUNDUP(AF1444/BS1444,0))</f>
        <v>0</v>
      </c>
      <c r="AH1444" s="59" t="n">
        <f aca="false">IF(CH1444&gt;0,CH1444*MAX(1,AF1444/X1444),IF(BT1444=1,IF(AF1444&lt;=0,0,BW1444*MAX(1,IF(H1444&gt;0,AF1444/H1444,1))),IF(R1444&gt;0,AG1444/R1444,0))/MAX(0.1,N(Parameter!$M$21)))</f>
        <v>0</v>
      </c>
      <c r="AI1444" s="57" t="n">
        <f aca="false">AF1444*G1444</f>
        <v>0</v>
      </c>
      <c r="AJ1444" s="57" t="n">
        <f aca="false">ROUNDUP(MAX(J1444/IF(BZ1444&gt;0,BZ1444,MAX(0.1,N(Cockpit!$C$6))),CC1444)/BS1444,0)*BS1444</f>
        <v>64</v>
      </c>
      <c r="AK1444" s="58" t="n">
        <f aca="false">IF(AH1444&gt;0,J1444/AH1444,-1)</f>
        <v>-1</v>
      </c>
      <c r="AL1444" s="58" t="str">
        <f aca="false">IF(AND(OR(BY1444="L1",BY1444="L23"),AH1444&gt;0),SUMIFS($AH$7:$AH$1843,$BY$7:$BY$1843,BY1444,$AK$7:$AK$1843,"&gt;"&amp;AK1444)+SUMIFS($AH$7:$AH$1843,$BY$7:$BY$1843,BY1444,$AK$7:$AK$1843,AK1444,$BQ$7:$BQ$1843,"&lt;="&amp;BQ1444),"")</f>
        <v/>
      </c>
      <c r="AM1444" s="65" t="n">
        <f aca="false">IF(AL1444="",0,MAX(0,MIN(1,(IF(BY1444="L1",Parameter!$E$5,Parameter!$E$6+Parameter!$E$7)-(AL1444-AH1444))/AH1444)))</f>
        <v>0</v>
      </c>
      <c r="AN1444" s="57" t="n">
        <f aca="false">IF(LEFT(Cockpit!$I$5,1)="A",H1444,IF(CA1444=1,CB1444,IF(LEFT(Cockpit!$I$5,1)="B",AR1444,MAX(AR1444,H1444))))</f>
        <v>64</v>
      </c>
      <c r="AO1444" s="57" t="n">
        <f aca="false">IF(BT1444=1,0,ROUNDUP(AN1444/BS1444,0))</f>
        <v>16</v>
      </c>
      <c r="AP1444" s="59" t="n">
        <f aca="false">IF(CH1444&gt;0,CH1444*MAX(1,AN1444/X1444),IF(BT1444=1,IF(AN1444&lt;=0,0,BW1444*MAX(1,IF(H1444&gt;0,AN1444/H1444,1))),IF(R1444&gt;0,AO1444/R1444,0))/MAX(0.1,N(Parameter!$M$21)))</f>
        <v>2.66666666666667</v>
      </c>
      <c r="AQ1444" s="57" t="n">
        <f aca="false">AN1444*G1444</f>
        <v>93432.96</v>
      </c>
      <c r="AR1444" s="57" t="n">
        <f aca="false">ROUNDUP(MAX(J1444/IF(BZ1444&gt;0,BZ1444,MAX(0.1,N(Cockpit!$I$6))),CC1444)/BS1444,0)*BS1444</f>
        <v>64</v>
      </c>
      <c r="AS1444" s="58" t="n">
        <f aca="false">IF(AP1444&gt;0,J1444/AP1444,-1)</f>
        <v>46.875</v>
      </c>
      <c r="AT1444" s="58" t="n">
        <f aca="false">IF(AND(OR(BY1444="L1",BY1444="L23"),AP1444&gt;0),SUMIFS($AP$7:$AP$1843,$BY$7:$BY$1843,BY1444,$AS$7:$AS$1843,"&gt;"&amp;AS1444)+SUMIFS($AP$7:$AP$1843,$BY$7:$BY$1843,BY1444,$AS$7:$AS$1843,AS1444,$BQ$7:$BQ$1843,"&lt;="&amp;BQ1444),"")</f>
        <v>15.1610925306577</v>
      </c>
      <c r="AU1444" s="65" t="n">
        <f aca="false">IF(AT1444="",0,MAX(0,MIN(1,(IF(BY1444="L1",Parameter!$E$5,Parameter!$E$6+Parameter!$E$7)-(AT1444-AP1444))/AP1444)))</f>
        <v>1</v>
      </c>
      <c r="AV1444" s="57" t="n">
        <f aca="false">IF(LEFT(Cockpit!$O$5,1)="A",H1444,IF(CA1444=1,CB1444,IF(LEFT(Cockpit!$O$5,1)="B",AZ1444,MAX(AZ1444,H1444))))</f>
        <v>44</v>
      </c>
      <c r="AW1444" s="57" t="n">
        <f aca="false">IF(BT1444=1,0,ROUNDUP(AV1444/BS1444,0))</f>
        <v>11</v>
      </c>
      <c r="AX1444" s="59" t="n">
        <f aca="false">IF(CH1444&gt;0,CH1444*MAX(1,AV1444/X1444),IF(BT1444=1,IF(AV1444&lt;=0,0,BW1444*MAX(1,IF(H1444&gt;0,AV1444/H1444,1))),IF(R1444&gt;0,AW1444/R1444,0))/MAX(0.1,N(Parameter!$M$21)))</f>
        <v>1.83333333333333</v>
      </c>
      <c r="AY1444" s="57" t="n">
        <f aca="false">AV1444*G1444</f>
        <v>64235.16</v>
      </c>
      <c r="AZ1444" s="57" t="n">
        <f aca="false">ROUNDUP(MAX(J1444/IF(BZ1444&gt;0,BZ1444,MAX(0.1,N(Cockpit!$O$6))),CC1444)/BS1444,0)*BS1444</f>
        <v>44</v>
      </c>
      <c r="BA1444" s="58" t="n">
        <f aca="false">IF(AX1444&gt;0,J1444/AX1444,-1)</f>
        <v>68.1818181818182</v>
      </c>
      <c r="BB1444" s="58" t="n">
        <f aca="false">IF(AND(OR(BY1444="L1",BY1444="L23"),AX1444&gt;0),SUMIFS($AX$7:$AX$1843,$BY$7:$BY$1843,BY1444,$BA$7:$BA$1843,"&gt;"&amp;BA1444)+SUMIFS($AX$7:$AX$1843,$BY$7:$BY$1843,BY1444,$BA$7:$BA$1843,BA1444,$BQ$7:$BQ$1843,"&lt;="&amp;BQ1444),"")</f>
        <v>13.4559643255295</v>
      </c>
      <c r="BC1444" s="65" t="n">
        <f aca="false">IF(BB1444="",0,MAX(0,MIN(1,(IF(BY1444="L1",Parameter!$E$5,Parameter!$E$6+Parameter!$E$7)-(BB1444-AX1444))/AX1444)))</f>
        <v>1</v>
      </c>
      <c r="BD1444" s="55" t="str">
        <f aca="false">IF(AH1444&lt;=0,"",IF(BY1444="Aussen","Aussenlager",IF(BY1444="-","Nicht im Lift",IF(AM1444&gt;=1,"Lift",IF(AM1444&lt;=0,"Aussenlager","teilweise")))))</f>
        <v/>
      </c>
      <c r="BE1444" s="55" t="str">
        <f aca="false">IF(AP1444&lt;=0,"",IF(BY1444="Aussen","Aussenlager",IF(BY1444="-","Nicht im Lift",IF(AU1444&gt;=1,"Lift",IF(AU1444&lt;=0,"Aussenlager","teilweise")))))</f>
        <v>Lift</v>
      </c>
      <c r="BF1444" s="55" t="str">
        <f aca="false">IF(AX1444&lt;=0,"",IF(BY1444="Aussen","Aussenlager",IF(BY1444="-","Nicht im Lift",IF(BC1444&gt;=1,"Lift",IF(BC1444&lt;=0,"Aussenlager","teilweise")))))</f>
        <v>Lift</v>
      </c>
      <c r="BG1444" s="55" t="str">
        <f aca="false">IF(A1444="","",IF(BP1444=1,"Neu; ","")&amp;IF(AND(BP1444=0,BK1444&lt;0),"negativer Bestand (Export "&amp;BK1444&amp;"); ","")&amp;IF(J1444&lt;=0,"Kein Verbrauch; ","")&amp;IF(CH1444&gt;0,"Lift "&amp;W1444&amp;" lt. Liftbericht (Fach "&amp;X1444&amp;" Stk); ",IF(BU1444=1,"Gebinde geschätzt ("&amp;T1444&amp;"); ",IF(BT1444=1,"Lose – Tablare geschätzt; ","")))&amp;IF(H1444&gt;AR1444,"Überbestand "&amp;ROUND(H1444-AR1444,0)&amp;" Stk / CHF "&amp;ROUND((H1444-AR1444)*G1444,0)&amp;"; ","")&amp;IF(AND(CA1444=1,CB1444&lt;CC1444),"MAX &lt; MB+LG; ","")&amp;IF(AND(CG1444&gt;0,CF1444*10&gt;CG1444),"zu hoch für Tablar; ","")&amp;IF(AND(BP1444=0,OR(CA1444=1,AA1444&lt;&gt;"",U1444&lt;&gt;"",V1444&lt;&gt;"",AB1444&lt;&gt;"")),"manuell übersteuert; ","")&amp;IF(AND(BT1444=0,R1444=0),"Gebinde unbekannt / Stellmass fehlt; ","")&amp;IF(AND(BT1444=0,N(V1444)&lt;=0,N(Q1444)&lt;=0),"Menge pro Gebinde fehlt (Ist = 1 Gebinde); ","")&amp;BO1444)</f>
        <v>negativer Bestand (Export -7); </v>
      </c>
      <c r="BH1444" s="55"/>
      <c r="BI1444" s="55"/>
      <c r="BJ1444" s="62"/>
      <c r="BK1444" s="57" t="n">
        <v>-7</v>
      </c>
      <c r="BL1444" s="57" t="n">
        <v>0</v>
      </c>
      <c r="BM1444" s="56" t="n">
        <v>-9808.88999999994</v>
      </c>
      <c r="BN1444" s="57" t="n">
        <v>125</v>
      </c>
      <c r="BO1444" s="55"/>
      <c r="BP1444" s="60" t="n">
        <v>0</v>
      </c>
      <c r="BQ1444" s="60" t="n">
        <v>1444</v>
      </c>
      <c r="BR1444" s="55" t="str">
        <f aca="false">IF(U1444&lt;&gt;"",UPPER(TRIM(U1444)),IF(BU1444=1,UPPER(VLOOKUP(T1444,Parameter!$I$27:$K$29,2,0)),IF(P1444="","LOSE",P1444)))</f>
        <v>S71</v>
      </c>
      <c r="BS1444" s="57" t="n">
        <f aca="false">IF(BR1444="LOSE",1,IF(N(V1444)&gt;0,V1444,IF(BU1444=1,MAX(1,N(VLOOKUP(T1444,Parameter!$I$27:$K$29,3,0)),H1444,N(N1444)),IF(N(Q1444)&gt;0,Q1444,MAX(1,H1444)))))</f>
        <v>4</v>
      </c>
      <c r="BT1444" s="60" t="n">
        <f aca="false">IF(BR1444="LOSE",1,0)</f>
        <v>0</v>
      </c>
      <c r="BU1444" s="60" t="n">
        <f aca="false">IF(AND(U1444="",OR(P1444="",P1444="LOSE"),T1444&lt;&gt;"",N(S1444)&lt;=0,ISNUMBER(MATCH(T1444,Parameter!$I$27:$I$29,0))),1,0)</f>
        <v>0</v>
      </c>
      <c r="BV1444" s="55" t="n">
        <f aca="false">IF(AND(Parameter!$B$19="Ja",E1444&lt;&gt;"",ISNUMBER(MATCH(E1444,Parameter!$I$35:$I$52,0))),VLOOKUP(E1444,Parameter!$I$35:$J$52,2,0),IFERROR(VLOOKUP(D1444,Parameter!$A$35:$C$64,2,0),"Nein"))</f>
        <v>1</v>
      </c>
      <c r="BW1444" s="59" t="n">
        <f aca="false">IF(BT1444=0,0,IF(N(S1444)&gt;0,S1444,IFERROR(VLOOKUP(D1444,Parameter!$A$35:$C$64,3,0)+0,0)))</f>
        <v>0</v>
      </c>
      <c r="BX1444" s="55" t="n">
        <f aca="false">IF(AA1444&lt;&gt;"",AA1444,Z1444)</f>
        <v>1</v>
      </c>
      <c r="BY1444" s="55" t="str">
        <f aca="false">IF(BX1444=1,"L1",IF(OR(BX1444=2,BX1444=3),"L23",IF(BX1444="Aussen","Aussen","-")))</f>
        <v>L1</v>
      </c>
      <c r="BZ1444" s="66" t="n">
        <f aca="false">IF(N(AB1444)&gt;0,AB1444,0)</f>
        <v>0</v>
      </c>
      <c r="CA1444" s="60" t="n">
        <f aca="false">IF(ISNUMBER(AE1444),1,0)</f>
        <v>0</v>
      </c>
      <c r="CB1444" s="57" t="n">
        <f aca="false">N(AE1444)</f>
        <v>0</v>
      </c>
      <c r="CC1444" s="57" t="n">
        <f aca="false">N(M1444)+N(N1444)</f>
        <v>27</v>
      </c>
      <c r="CD1444" s="57" t="n">
        <f aca="false">ROUNDUP(H1444/BS1444,0)</f>
        <v>0</v>
      </c>
      <c r="CE1444" s="57" t="n">
        <f aca="false">ROUNDUP(CB1444/BS1444,0)</f>
        <v>0</v>
      </c>
      <c r="CF1444" s="60" t="n">
        <f aca="false">IF(BT1444=1,0,IFERROR(VLOOKUP(BR1444,'Gebinde-Kategorie'!$A$5:$M$45,5,0)+0,0))</f>
        <v>20</v>
      </c>
      <c r="CG1444" s="60" t="n">
        <f aca="false">IFERROR(IF(OR(BX1444=1,BX1444=2,BX1444=3),N(INDEX(Parameter!$I$5:$I$7,BX1444)),0),0)</f>
        <v>0</v>
      </c>
      <c r="CH1444" s="59" t="n">
        <f aca="false">IF(AND(Parameter!$B$21="Ja",ISNUMBER(W1444),N(X1444)&gt;0),IFERROR(N(INDEX(Parameter!$L$5:$L$7,W1444))*INDEX(Parameter!$E$5:$E$7,W1444)*X1444/SUMIFS($X$7:$X$1843,$W$7:$W$1843,W1444),0),0)</f>
        <v>0</v>
      </c>
    </row>
    <row r="1445" customFormat="false" ht="15" hidden="false" customHeight="false" outlineLevel="0" collapsed="false">
      <c r="A1445" s="55" t="s">
        <v>2531</v>
      </c>
      <c r="B1445" s="55" t="s">
        <v>2532</v>
      </c>
      <c r="C1445" s="55" t="s">
        <v>456</v>
      </c>
      <c r="D1445" s="55" t="s">
        <v>173</v>
      </c>
      <c r="E1445" s="55" t="s">
        <v>173</v>
      </c>
      <c r="F1445" s="55"/>
      <c r="G1445" s="56" t="n">
        <v>3326.28</v>
      </c>
      <c r="H1445" s="57" t="n">
        <f aca="false">MAX(0,IF(AND(Parameter!$B$21="Ja",ISNUMBER(Y1445)),Y1445,IF(Parameter!$B$20="Jahresanfang 2025 + Export",BL1445+BK1445,BK1445)))</f>
        <v>0</v>
      </c>
      <c r="I1445" s="57" t="n">
        <f aca="false">H1445*G1445</f>
        <v>0</v>
      </c>
      <c r="J1445" s="57" t="n">
        <f aca="false">BN1445*Parameter!$B$18</f>
        <v>0</v>
      </c>
      <c r="K1445" s="58"/>
      <c r="L1445" s="59"/>
      <c r="M1445" s="57" t="n">
        <v>0</v>
      </c>
      <c r="N1445" s="57" t="n">
        <v>1</v>
      </c>
      <c r="O1445" s="60"/>
      <c r="P1445" s="55" t="s">
        <v>168</v>
      </c>
      <c r="Q1445" s="57"/>
      <c r="R1445" s="60" t="n">
        <f aca="false">IF(BT1445=1,0,IFERROR(VLOOKUP(BR1445,'Gebinde-Kategorie'!$A$5:$M$45,13,0)+0,0))</f>
        <v>12</v>
      </c>
      <c r="S1445" s="61"/>
      <c r="T1445" s="62" t="s">
        <v>179</v>
      </c>
      <c r="U1445" s="62"/>
      <c r="V1445" s="62"/>
      <c r="W1445" s="55"/>
      <c r="X1445" s="57"/>
      <c r="Y1445" s="57"/>
      <c r="Z1445" s="55" t="str">
        <f aca="false">IF(A1445="","",IF(AND(Parameter!$B$21="Ja",ISNUMBER(W1445)),W1445,IF(BV1445="2+3",IF(ISNUMBER(SEARCH("grosser Artikel",BO1445)),2,IFERROR(VLOOKUP(BR1445,Parameter!$F$35:$G$64,2,0),2)),IF(OR(BV1445="Nein",BV1445=""),"-",BV1445))))</f>
        <v>-</v>
      </c>
      <c r="AA1445" s="62"/>
      <c r="AB1445" s="63"/>
      <c r="AC1445" s="57" t="n">
        <f aca="false">AR1445</f>
        <v>4</v>
      </c>
      <c r="AD1445" s="57" t="n">
        <f aca="false">MAX(AR1445,H1445)</f>
        <v>4</v>
      </c>
      <c r="AE1445" s="64"/>
      <c r="AF1445" s="57" t="n">
        <f aca="false">IF(LEFT(Cockpit!$C$5,1)="A",H1445,IF(CA1445=1,CB1445,IF(LEFT(Cockpit!$C$5,1)="B",AJ1445,MAX(AJ1445,H1445))))</f>
        <v>0</v>
      </c>
      <c r="AG1445" s="57" t="n">
        <f aca="false">IF(BT1445=1,0,ROUNDUP(AF1445/BS1445,0))</f>
        <v>0</v>
      </c>
      <c r="AH1445" s="59" t="n">
        <f aca="false">IF(CH1445&gt;0,CH1445*MAX(1,AF1445/X1445),IF(BT1445=1,IF(AF1445&lt;=0,0,BW1445*MAX(1,IF(H1445&gt;0,AF1445/H1445,1))),IF(R1445&gt;0,AG1445/R1445,0))/MAX(0.1,N(Parameter!$M$21)))</f>
        <v>0</v>
      </c>
      <c r="AI1445" s="57" t="n">
        <f aca="false">AF1445*G1445</f>
        <v>0</v>
      </c>
      <c r="AJ1445" s="57" t="n">
        <f aca="false">ROUNDUP(MAX(J1445/IF(BZ1445&gt;0,BZ1445,MAX(0.1,N(Cockpit!$C$6))),CC1445)/BS1445,0)*BS1445</f>
        <v>4</v>
      </c>
      <c r="AK1445" s="58" t="n">
        <f aca="false">IF(AH1445&gt;0,J1445/AH1445,-1)</f>
        <v>-1</v>
      </c>
      <c r="AL1445" s="58" t="str">
        <f aca="false">IF(AND(OR(BY1445="L1",BY1445="L23"),AH1445&gt;0),SUMIFS($AH$7:$AH$1843,$BY$7:$BY$1843,BY1445,$AK$7:$AK$1843,"&gt;"&amp;AK1445)+SUMIFS($AH$7:$AH$1843,$BY$7:$BY$1843,BY1445,$AK$7:$AK$1843,AK1445,$BQ$7:$BQ$1843,"&lt;="&amp;BQ1445),"")</f>
        <v/>
      </c>
      <c r="AM1445" s="65" t="n">
        <f aca="false">IF(AL1445="",0,MAX(0,MIN(1,(IF(BY1445="L1",Parameter!$E$5,Parameter!$E$6+Parameter!$E$7)-(AL1445-AH1445))/AH1445)))</f>
        <v>0</v>
      </c>
      <c r="AN1445" s="57" t="n">
        <f aca="false">IF(LEFT(Cockpit!$I$5,1)="A",H1445,IF(CA1445=1,CB1445,IF(LEFT(Cockpit!$I$5,1)="B",AR1445,MAX(AR1445,H1445))))</f>
        <v>4</v>
      </c>
      <c r="AO1445" s="57" t="n">
        <f aca="false">IF(BT1445=1,0,ROUNDUP(AN1445/BS1445,0))</f>
        <v>1</v>
      </c>
      <c r="AP1445" s="59" t="n">
        <f aca="false">IF(CH1445&gt;0,CH1445*MAX(1,AN1445/X1445),IF(BT1445=1,IF(AN1445&lt;=0,0,BW1445*MAX(1,IF(H1445&gt;0,AN1445/H1445,1))),IF(R1445&gt;0,AO1445/R1445,0))/MAX(0.1,N(Parameter!$M$21)))</f>
        <v>0.0833333333333333</v>
      </c>
      <c r="AQ1445" s="57" t="n">
        <f aca="false">AN1445*G1445</f>
        <v>13305.12</v>
      </c>
      <c r="AR1445" s="57" t="n">
        <f aca="false">ROUNDUP(MAX(J1445/IF(BZ1445&gt;0,BZ1445,MAX(0.1,N(Cockpit!$I$6))),CC1445)/BS1445,0)*BS1445</f>
        <v>4</v>
      </c>
      <c r="AS1445" s="58" t="n">
        <f aca="false">IF(AP1445&gt;0,J1445/AP1445,-1)</f>
        <v>0</v>
      </c>
      <c r="AT1445" s="58" t="str">
        <f aca="false">IF(AND(OR(BY1445="L1",BY1445="L23"),AP1445&gt;0),SUMIFS($AP$7:$AP$1843,$BY$7:$BY$1843,BY1445,$AS$7:$AS$1843,"&gt;"&amp;AS1445)+SUMIFS($AP$7:$AP$1843,$BY$7:$BY$1843,BY1445,$AS$7:$AS$1843,AS1445,$BQ$7:$BQ$1843,"&lt;="&amp;BQ1445),"")</f>
        <v/>
      </c>
      <c r="AU1445" s="65" t="n">
        <f aca="false">IF(AT1445="",0,MAX(0,MIN(1,(IF(BY1445="L1",Parameter!$E$5,Parameter!$E$6+Parameter!$E$7)-(AT1445-AP1445))/AP1445)))</f>
        <v>0</v>
      </c>
      <c r="AV1445" s="57" t="n">
        <f aca="false">IF(LEFT(Cockpit!$O$5,1)="A",H1445,IF(CA1445=1,CB1445,IF(LEFT(Cockpit!$O$5,1)="B",AZ1445,MAX(AZ1445,H1445))))</f>
        <v>4</v>
      </c>
      <c r="AW1445" s="57" t="n">
        <f aca="false">IF(BT1445=1,0,ROUNDUP(AV1445/BS1445,0))</f>
        <v>1</v>
      </c>
      <c r="AX1445" s="59" t="n">
        <f aca="false">IF(CH1445&gt;0,CH1445*MAX(1,AV1445/X1445),IF(BT1445=1,IF(AV1445&lt;=0,0,BW1445*MAX(1,IF(H1445&gt;0,AV1445/H1445,1))),IF(R1445&gt;0,AW1445/R1445,0))/MAX(0.1,N(Parameter!$M$21)))</f>
        <v>0.0833333333333333</v>
      </c>
      <c r="AY1445" s="57" t="n">
        <f aca="false">AV1445*G1445</f>
        <v>13305.12</v>
      </c>
      <c r="AZ1445" s="57" t="n">
        <f aca="false">ROUNDUP(MAX(J1445/IF(BZ1445&gt;0,BZ1445,MAX(0.1,N(Cockpit!$O$6))),CC1445)/BS1445,0)*BS1445</f>
        <v>4</v>
      </c>
      <c r="BA1445" s="58" t="n">
        <f aca="false">IF(AX1445&gt;0,J1445/AX1445,-1)</f>
        <v>0</v>
      </c>
      <c r="BB1445" s="58" t="str">
        <f aca="false">IF(AND(OR(BY1445="L1",BY1445="L23"),AX1445&gt;0),SUMIFS($AX$7:$AX$1843,$BY$7:$BY$1843,BY1445,$BA$7:$BA$1843,"&gt;"&amp;BA1445)+SUMIFS($AX$7:$AX$1843,$BY$7:$BY$1843,BY1445,$BA$7:$BA$1843,BA1445,$BQ$7:$BQ$1843,"&lt;="&amp;BQ1445),"")</f>
        <v/>
      </c>
      <c r="BC1445" s="65" t="n">
        <f aca="false">IF(BB1445="",0,MAX(0,MIN(1,(IF(BY1445="L1",Parameter!$E$5,Parameter!$E$6+Parameter!$E$7)-(BB1445-AX1445))/AX1445)))</f>
        <v>0</v>
      </c>
      <c r="BD1445" s="55" t="str">
        <f aca="false">IF(AH1445&lt;=0,"",IF(BY1445="Aussen","Aussenlager",IF(BY1445="-","Nicht im Lift",IF(AM1445&gt;=1,"Lift",IF(AM1445&lt;=0,"Aussenlager","teilweise")))))</f>
        <v/>
      </c>
      <c r="BE1445" s="55" t="str">
        <f aca="false">IF(AP1445&lt;=0,"",IF(BY1445="Aussen","Aussenlager",IF(BY1445="-","Nicht im Lift",IF(AU1445&gt;=1,"Lift",IF(AU1445&lt;=0,"Aussenlager","teilweise")))))</f>
        <v>Nicht im Lift</v>
      </c>
      <c r="BF1445" s="55" t="str">
        <f aca="false">IF(AX1445&lt;=0,"",IF(BY1445="Aussen","Aussenlager",IF(BY1445="-","Nicht im Lift",IF(BC1445&gt;=1,"Lift",IF(BC1445&lt;=0,"Aussenlager","teilweise")))))</f>
        <v>Nicht im Lift</v>
      </c>
      <c r="BG1445" s="55" t="str">
        <f aca="false">IF(A1445="","",IF(BP1445=1,"Neu; ","")&amp;IF(AND(BP1445=0,BK1445&lt;0),"negativer Bestand (Export "&amp;BK1445&amp;"); ","")&amp;IF(J1445&lt;=0,"Kein Verbrauch; ","")&amp;IF(CH1445&gt;0,"Lift "&amp;W1445&amp;" lt. Liftbericht (Fach "&amp;X1445&amp;" Stk); ",IF(BU1445=1,"Gebinde geschätzt ("&amp;T1445&amp;"); ",IF(BT1445=1,"Lose – Tablare geschätzt; ","")))&amp;IF(H1445&gt;AR1445,"Überbestand "&amp;ROUND(H1445-AR1445,0)&amp;" Stk / CHF "&amp;ROUND((H1445-AR1445)*G1445,0)&amp;"; ","")&amp;IF(AND(CA1445=1,CB1445&lt;CC1445),"MAX &lt; MB+LG; ","")&amp;IF(AND(CG1445&gt;0,CF1445*10&gt;CG1445),"zu hoch für Tablar; ","")&amp;IF(AND(BP1445=0,OR(CA1445=1,AA1445&lt;&gt;"",U1445&lt;&gt;"",V1445&lt;&gt;"",AB1445&lt;&gt;"")),"manuell übersteuert; ","")&amp;IF(AND(BT1445=0,R1445=0),"Gebinde unbekannt / Stellmass fehlt; ","")&amp;IF(AND(BT1445=0,N(V1445)&lt;=0,N(Q1445)&lt;=0),"Menge pro Gebinde fehlt (Ist = 1 Gebinde); ","")&amp;BO1445)</f>
        <v>negativer Bestand (Export -3); Kein Verbrauch; Gebinde geschätzt (Mittel); Menge pro Gebinde fehlt (Ist = 1 Gebinde); </v>
      </c>
      <c r="BH1445" s="55"/>
      <c r="BI1445" s="55"/>
      <c r="BJ1445" s="62"/>
      <c r="BK1445" s="57" t="n">
        <v>-3</v>
      </c>
      <c r="BL1445" s="57" t="n">
        <v>0</v>
      </c>
      <c r="BM1445" s="56" t="n">
        <v>-9978.84</v>
      </c>
      <c r="BN1445" s="57" t="n">
        <v>0</v>
      </c>
      <c r="BO1445" s="55"/>
      <c r="BP1445" s="60" t="n">
        <v>0</v>
      </c>
      <c r="BQ1445" s="60" t="n">
        <v>1445</v>
      </c>
      <c r="BR1445" s="55" t="str">
        <f aca="false">IF(U1445&lt;&gt;"",UPPER(TRIM(U1445)),IF(BU1445=1,UPPER(VLOOKUP(T1445,Parameter!$I$27:$K$29,2,0)),IF(P1445="","LOSE",P1445)))</f>
        <v>S61</v>
      </c>
      <c r="BS1445" s="57" t="n">
        <f aca="false">IF(BR1445="LOSE",1,IF(N(V1445)&gt;0,V1445,IF(BU1445=1,MAX(1,N(VLOOKUP(T1445,Parameter!$I$27:$K$29,3,0)),H1445,N(N1445)),IF(N(Q1445)&gt;0,Q1445,MAX(1,H1445)))))</f>
        <v>4</v>
      </c>
      <c r="BT1445" s="60" t="n">
        <f aca="false">IF(BR1445="LOSE",1,0)</f>
        <v>0</v>
      </c>
      <c r="BU1445" s="60" t="n">
        <f aca="false">IF(AND(U1445="",OR(P1445="",P1445="LOSE"),T1445&lt;&gt;"",N(S1445)&lt;=0,ISNUMBER(MATCH(T1445,Parameter!$I$27:$I$29,0))),1,0)</f>
        <v>1</v>
      </c>
      <c r="BV1445" s="55" t="str">
        <f aca="false">IF(AND(Parameter!$B$19="Ja",E1445&lt;&gt;"",ISNUMBER(MATCH(E1445,Parameter!$I$35:$I$52,0))),VLOOKUP(E1445,Parameter!$I$35:$J$52,2,0),IFERROR(VLOOKUP(D1445,Parameter!$A$35:$C$64,2,0),"Nein"))</f>
        <v>Nein</v>
      </c>
      <c r="BW1445" s="59" t="n">
        <f aca="false">IF(BT1445=0,0,IF(N(S1445)&gt;0,S1445,IFERROR(VLOOKUP(D1445,Parameter!$A$35:$C$64,3,0)+0,0)))</f>
        <v>0</v>
      </c>
      <c r="BX1445" s="55" t="str">
        <f aca="false">IF(AA1445&lt;&gt;"",AA1445,Z1445)</f>
        <v>-</v>
      </c>
      <c r="BY1445" s="55" t="str">
        <f aca="false">IF(BX1445=1,"L1",IF(OR(BX1445=2,BX1445=3),"L23",IF(BX1445="Aussen","Aussen","-")))</f>
        <v>-</v>
      </c>
      <c r="BZ1445" s="66" t="n">
        <f aca="false">IF(N(AB1445)&gt;0,AB1445,0)</f>
        <v>0</v>
      </c>
      <c r="CA1445" s="60" t="n">
        <f aca="false">IF(ISNUMBER(AE1445),1,0)</f>
        <v>0</v>
      </c>
      <c r="CB1445" s="57" t="n">
        <f aca="false">N(AE1445)</f>
        <v>0</v>
      </c>
      <c r="CC1445" s="57" t="n">
        <f aca="false">N(M1445)+N(N1445)</f>
        <v>1</v>
      </c>
      <c r="CD1445" s="57" t="n">
        <f aca="false">ROUNDUP(H1445/BS1445,0)</f>
        <v>0</v>
      </c>
      <c r="CE1445" s="57" t="n">
        <f aca="false">ROUNDUP(CB1445/BS1445,0)</f>
        <v>0</v>
      </c>
      <c r="CF1445" s="60" t="n">
        <f aca="false">IF(BT1445=1,0,IFERROR(VLOOKUP(BR1445,'Gebinde-Kategorie'!$A$5:$M$45,5,0)+0,0))</f>
        <v>11</v>
      </c>
      <c r="CG1445" s="60" t="n">
        <f aca="false">IFERROR(IF(OR(BX1445=1,BX1445=2,BX1445=3),N(INDEX(Parameter!$I$5:$I$7,BX1445)),0),0)</f>
        <v>0</v>
      </c>
      <c r="CH1445" s="59" t="n">
        <f aca="false">IF(AND(Parameter!$B$21="Ja",ISNUMBER(W1445),N(X1445)&gt;0),IFERROR(N(INDEX(Parameter!$L$5:$L$7,W1445))*INDEX(Parameter!$E$5:$E$7,W1445)*X1445/SUMIFS($X$7:$X$1843,$W$7:$W$1843,W1445),0),0)</f>
        <v>0</v>
      </c>
    </row>
    <row r="1446" customFormat="false" ht="15" hidden="false" customHeight="false" outlineLevel="0" collapsed="false">
      <c r="A1446" s="55" t="s">
        <v>2533</v>
      </c>
      <c r="B1446" s="55" t="s">
        <v>425</v>
      </c>
      <c r="C1446" s="55" t="s">
        <v>164</v>
      </c>
      <c r="D1446" s="55" t="s">
        <v>184</v>
      </c>
      <c r="E1446" s="55"/>
      <c r="F1446" s="55"/>
      <c r="G1446" s="56" t="n">
        <v>52.49</v>
      </c>
      <c r="H1446" s="57" t="n">
        <f aca="false">MAX(0,IF(AND(Parameter!$B$21="Ja",ISNUMBER(Y1446)),Y1446,IF(Parameter!$B$20="Jahresanfang 2025 + Export",BL1446+BK1446,BK1446)))</f>
        <v>0</v>
      </c>
      <c r="I1446" s="57" t="n">
        <f aca="false">H1446*G1446</f>
        <v>0</v>
      </c>
      <c r="J1446" s="57" t="n">
        <f aca="false">BN1446*Parameter!$B$18</f>
        <v>859</v>
      </c>
      <c r="K1446" s="58"/>
      <c r="L1446" s="59"/>
      <c r="M1446" s="57" t="n">
        <v>50</v>
      </c>
      <c r="N1446" s="57" t="n">
        <v>100</v>
      </c>
      <c r="O1446" s="60"/>
      <c r="P1446" s="55" t="s">
        <v>293</v>
      </c>
      <c r="Q1446" s="57" t="n">
        <v>430</v>
      </c>
      <c r="R1446" s="60" t="n">
        <f aca="false">IF(BT1446=1,0,IFERROR(VLOOKUP(BR1446,'Gebinde-Kategorie'!$A$5:$M$45,13,0)+0,0))</f>
        <v>12</v>
      </c>
      <c r="S1446" s="61"/>
      <c r="T1446" s="62"/>
      <c r="U1446" s="62"/>
      <c r="V1446" s="62"/>
      <c r="W1446" s="55"/>
      <c r="X1446" s="57"/>
      <c r="Y1446" s="57"/>
      <c r="Z1446" s="55" t="n">
        <f aca="false">IF(A1446="","",IF(AND(Parameter!$B$21="Ja",ISNUMBER(W1446)),W1446,IF(BV1446="2+3",IF(ISNUMBER(SEARCH("grosser Artikel",BO1446)),2,IFERROR(VLOOKUP(BR1446,Parameter!$F$35:$G$64,2,0),2)),IF(OR(BV1446="Nein",BV1446=""),"-",BV1446))))</f>
        <v>2</v>
      </c>
      <c r="AA1446" s="62"/>
      <c r="AB1446" s="63"/>
      <c r="AC1446" s="57" t="n">
        <f aca="false">AR1446</f>
        <v>430</v>
      </c>
      <c r="AD1446" s="57" t="n">
        <f aca="false">MAX(AR1446,H1446)</f>
        <v>430</v>
      </c>
      <c r="AE1446" s="64"/>
      <c r="AF1446" s="57" t="n">
        <f aca="false">IF(LEFT(Cockpit!$C$5,1)="A",H1446,IF(CA1446=1,CB1446,IF(LEFT(Cockpit!$C$5,1)="B",AJ1446,MAX(AJ1446,H1446))))</f>
        <v>0</v>
      </c>
      <c r="AG1446" s="57" t="n">
        <f aca="false">IF(BT1446=1,0,ROUNDUP(AF1446/BS1446,0))</f>
        <v>0</v>
      </c>
      <c r="AH1446" s="59" t="n">
        <f aca="false">IF(CH1446&gt;0,CH1446*MAX(1,AF1446/X1446),IF(BT1446=1,IF(AF1446&lt;=0,0,BW1446*MAX(1,IF(H1446&gt;0,AF1446/H1446,1))),IF(R1446&gt;0,AG1446/R1446,0))/MAX(0.1,N(Parameter!$M$21)))</f>
        <v>0</v>
      </c>
      <c r="AI1446" s="57" t="n">
        <f aca="false">AF1446*G1446</f>
        <v>0</v>
      </c>
      <c r="AJ1446" s="57" t="n">
        <f aca="false">ROUNDUP(MAX(J1446/IF(BZ1446&gt;0,BZ1446,MAX(0.1,N(Cockpit!$C$6))),CC1446)/BS1446,0)*BS1446</f>
        <v>430</v>
      </c>
      <c r="AK1446" s="58" t="n">
        <f aca="false">IF(AH1446&gt;0,J1446/AH1446,-1)</f>
        <v>-1</v>
      </c>
      <c r="AL1446" s="58" t="str">
        <f aca="false">IF(AND(OR(BY1446="L1",BY1446="L23"),AH1446&gt;0),SUMIFS($AH$7:$AH$1843,$BY$7:$BY$1843,BY1446,$AK$7:$AK$1843,"&gt;"&amp;AK1446)+SUMIFS($AH$7:$AH$1843,$BY$7:$BY$1843,BY1446,$AK$7:$AK$1843,AK1446,$BQ$7:$BQ$1843,"&lt;="&amp;BQ1446),"")</f>
        <v/>
      </c>
      <c r="AM1446" s="65" t="n">
        <f aca="false">IF(AL1446="",0,MAX(0,MIN(1,(IF(BY1446="L1",Parameter!$E$5,Parameter!$E$6+Parameter!$E$7)-(AL1446-AH1446))/AH1446)))</f>
        <v>0</v>
      </c>
      <c r="AN1446" s="57" t="n">
        <f aca="false">IF(LEFT(Cockpit!$I$5,1)="A",H1446,IF(CA1446=1,CB1446,IF(LEFT(Cockpit!$I$5,1)="B",AR1446,MAX(AR1446,H1446))))</f>
        <v>430</v>
      </c>
      <c r="AO1446" s="57" t="n">
        <f aca="false">IF(BT1446=1,0,ROUNDUP(AN1446/BS1446,0))</f>
        <v>1</v>
      </c>
      <c r="AP1446" s="59" t="n">
        <f aca="false">IF(CH1446&gt;0,CH1446*MAX(1,AN1446/X1446),IF(BT1446=1,IF(AN1446&lt;=0,0,BW1446*MAX(1,IF(H1446&gt;0,AN1446/H1446,1))),IF(R1446&gt;0,AO1446/R1446,0))/MAX(0.1,N(Parameter!$M$21)))</f>
        <v>0.0833333333333333</v>
      </c>
      <c r="AQ1446" s="57" t="n">
        <f aca="false">AN1446*G1446</f>
        <v>22570.7</v>
      </c>
      <c r="AR1446" s="57" t="n">
        <f aca="false">ROUNDUP(MAX(J1446/IF(BZ1446&gt;0,BZ1446,MAX(0.1,N(Cockpit!$I$6))),CC1446)/BS1446,0)*BS1446</f>
        <v>430</v>
      </c>
      <c r="AS1446" s="58" t="n">
        <f aca="false">IF(AP1446&gt;0,J1446/AP1446,-1)</f>
        <v>10308</v>
      </c>
      <c r="AT1446" s="58" t="n">
        <f aca="false">IF(AND(OR(BY1446="L1",BY1446="L23"),AP1446&gt;0),SUMIFS($AP$7:$AP$1843,$BY$7:$BY$1843,BY1446,$AS$7:$AS$1843,"&gt;"&amp;AS1446)+SUMIFS($AP$7:$AP$1843,$BY$7:$BY$1843,BY1446,$AS$7:$AS$1843,AS1446,$BQ$7:$BQ$1843,"&lt;="&amp;BQ1446),"")</f>
        <v>8.06315665011317</v>
      </c>
      <c r="AU1446" s="65" t="n">
        <f aca="false">IF(AT1446="",0,MAX(0,MIN(1,(IF(BY1446="L1",Parameter!$E$5,Parameter!$E$6+Parameter!$E$7)-(AT1446-AP1446))/AP1446)))</f>
        <v>1</v>
      </c>
      <c r="AV1446" s="57" t="n">
        <f aca="false">IF(LEFT(Cockpit!$O$5,1)="A",H1446,IF(CA1446=1,CB1446,IF(LEFT(Cockpit!$O$5,1)="B",AZ1446,MAX(AZ1446,H1446))))</f>
        <v>430</v>
      </c>
      <c r="AW1446" s="57" t="n">
        <f aca="false">IF(BT1446=1,0,ROUNDUP(AV1446/BS1446,0))</f>
        <v>1</v>
      </c>
      <c r="AX1446" s="59" t="n">
        <f aca="false">IF(CH1446&gt;0,CH1446*MAX(1,AV1446/X1446),IF(BT1446=1,IF(AV1446&lt;=0,0,BW1446*MAX(1,IF(H1446&gt;0,AV1446/H1446,1))),IF(R1446&gt;0,AW1446/R1446,0))/MAX(0.1,N(Parameter!$M$21)))</f>
        <v>0.0833333333333333</v>
      </c>
      <c r="AY1446" s="57" t="n">
        <f aca="false">AV1446*G1446</f>
        <v>22570.7</v>
      </c>
      <c r="AZ1446" s="57" t="n">
        <f aca="false">ROUNDUP(MAX(J1446/IF(BZ1446&gt;0,BZ1446,MAX(0.1,N(Cockpit!$O$6))),CC1446)/BS1446,0)*BS1446</f>
        <v>430</v>
      </c>
      <c r="BA1446" s="58" t="n">
        <f aca="false">IF(AX1446&gt;0,J1446/AX1446,-1)</f>
        <v>10308</v>
      </c>
      <c r="BB1446" s="58" t="n">
        <f aca="false">IF(AND(OR(BY1446="L1",BY1446="L23"),AX1446&gt;0),SUMIFS($AX$7:$AX$1843,$BY$7:$BY$1843,BY1446,$BA$7:$BA$1843,"&gt;"&amp;BA1446)+SUMIFS($AX$7:$AX$1843,$BY$7:$BY$1843,BY1446,$BA$7:$BA$1843,BA1446,$BQ$7:$BQ$1843,"&lt;="&amp;BQ1446),"")</f>
        <v>7.48273706969359</v>
      </c>
      <c r="BC1446" s="65" t="n">
        <f aca="false">IF(BB1446="",0,MAX(0,MIN(1,(IF(BY1446="L1",Parameter!$E$5,Parameter!$E$6+Parameter!$E$7)-(BB1446-AX1446))/AX1446)))</f>
        <v>1</v>
      </c>
      <c r="BD1446" s="55" t="str">
        <f aca="false">IF(AH1446&lt;=0,"",IF(BY1446="Aussen","Aussenlager",IF(BY1446="-","Nicht im Lift",IF(AM1446&gt;=1,"Lift",IF(AM1446&lt;=0,"Aussenlager","teilweise")))))</f>
        <v/>
      </c>
      <c r="BE1446" s="55" t="str">
        <f aca="false">IF(AP1446&lt;=0,"",IF(BY1446="Aussen","Aussenlager",IF(BY1446="-","Nicht im Lift",IF(AU1446&gt;=1,"Lift",IF(AU1446&lt;=0,"Aussenlager","teilweise")))))</f>
        <v>Lift</v>
      </c>
      <c r="BF1446" s="55" t="str">
        <f aca="false">IF(AX1446&lt;=0,"",IF(BY1446="Aussen","Aussenlager",IF(BY1446="-","Nicht im Lift",IF(BC1446&gt;=1,"Lift",IF(BC1446&lt;=0,"Aussenlager","teilweise")))))</f>
        <v>Lift</v>
      </c>
      <c r="BG1446" s="55" t="str">
        <f aca="false">IF(A1446="","",IF(BP1446=1,"Neu; ","")&amp;IF(AND(BP1446=0,BK1446&lt;0),"negativer Bestand (Export "&amp;BK1446&amp;"); ","")&amp;IF(J1446&lt;=0,"Kein Verbrauch; ","")&amp;IF(CH1446&gt;0,"Lift "&amp;W1446&amp;" lt. Liftbericht (Fach "&amp;X1446&amp;" Stk); ",IF(BU1446=1,"Gebinde geschätzt ("&amp;T1446&amp;"); ",IF(BT1446=1,"Lose – Tablare geschätzt; ","")))&amp;IF(H1446&gt;AR1446,"Überbestand "&amp;ROUND(H1446-AR1446,0)&amp;" Stk / CHF "&amp;ROUND((H1446-AR1446)*G1446,0)&amp;"; ","")&amp;IF(AND(CA1446=1,CB1446&lt;CC1446),"MAX &lt; MB+LG; ","")&amp;IF(AND(CG1446&gt;0,CF1446*10&gt;CG1446),"zu hoch für Tablar; ","")&amp;IF(AND(BP1446=0,OR(CA1446=1,AA1446&lt;&gt;"",U1446&lt;&gt;"",V1446&lt;&gt;"",AB1446&lt;&gt;"")),"manuell übersteuert; ","")&amp;IF(AND(BT1446=0,R1446=0),"Gebinde unbekannt / Stellmass fehlt; ","")&amp;IF(AND(BT1446=0,N(V1446)&lt;=0,N(Q1446)&lt;=0),"Menge pro Gebinde fehlt (Ist = 1 Gebinde); ","")&amp;BO1446)</f>
        <v>negativer Bestand (Export -228); Neuer Art.</v>
      </c>
      <c r="BH1446" s="55"/>
      <c r="BI1446" s="55"/>
      <c r="BJ1446" s="62"/>
      <c r="BK1446" s="57" t="n">
        <v>-228</v>
      </c>
      <c r="BL1446" s="57" t="n">
        <v>0</v>
      </c>
      <c r="BM1446" s="56" t="n">
        <v>-10655.48</v>
      </c>
      <c r="BN1446" s="57" t="n">
        <v>859</v>
      </c>
      <c r="BO1446" s="55" t="s">
        <v>512</v>
      </c>
      <c r="BP1446" s="60" t="n">
        <v>0</v>
      </c>
      <c r="BQ1446" s="60" t="n">
        <v>1446</v>
      </c>
      <c r="BR1446" s="55" t="str">
        <f aca="false">IF(U1446&lt;&gt;"",UPPER(TRIM(U1446)),IF(BU1446=1,UPPER(VLOOKUP(T1446,Parameter!$I$27:$K$29,2,0)),IF(P1446="","LOSE",P1446)))</f>
        <v>S62</v>
      </c>
      <c r="BS1446" s="57" t="n">
        <f aca="false">IF(BR1446="LOSE",1,IF(N(V1446)&gt;0,V1446,IF(BU1446=1,MAX(1,N(VLOOKUP(T1446,Parameter!$I$27:$K$29,3,0)),H1446,N(N1446)),IF(N(Q1446)&gt;0,Q1446,MAX(1,H1446)))))</f>
        <v>430</v>
      </c>
      <c r="BT1446" s="60" t="n">
        <f aca="false">IF(BR1446="LOSE",1,0)</f>
        <v>0</v>
      </c>
      <c r="BU1446" s="60" t="n">
        <f aca="false">IF(AND(U1446="",OR(P1446="",P1446="LOSE"),T1446&lt;&gt;"",N(S1446)&lt;=0,ISNUMBER(MATCH(T1446,Parameter!$I$27:$I$29,0))),1,0)</f>
        <v>0</v>
      </c>
      <c r="BV1446" s="55" t="str">
        <f aca="false">IF(AND(Parameter!$B$19="Ja",E1446&lt;&gt;"",ISNUMBER(MATCH(E1446,Parameter!$I$35:$I$52,0))),VLOOKUP(E1446,Parameter!$I$35:$J$52,2,0),IFERROR(VLOOKUP(D1446,Parameter!$A$35:$C$64,2,0),"Nein"))</f>
        <v>2+3</v>
      </c>
      <c r="BW1446" s="59" t="n">
        <f aca="false">IF(BT1446=0,0,IF(N(S1446)&gt;0,S1446,IFERROR(VLOOKUP(D1446,Parameter!$A$35:$C$64,3,0)+0,0)))</f>
        <v>0</v>
      </c>
      <c r="BX1446" s="55" t="n">
        <f aca="false">IF(AA1446&lt;&gt;"",AA1446,Z1446)</f>
        <v>2</v>
      </c>
      <c r="BY1446" s="55" t="str">
        <f aca="false">IF(BX1446=1,"L1",IF(OR(BX1446=2,BX1446=3),"L23",IF(BX1446="Aussen","Aussen","-")))</f>
        <v>L23</v>
      </c>
      <c r="BZ1446" s="66" t="n">
        <f aca="false">IF(N(AB1446)&gt;0,AB1446,0)</f>
        <v>0</v>
      </c>
      <c r="CA1446" s="60" t="n">
        <f aca="false">IF(ISNUMBER(AE1446),1,0)</f>
        <v>0</v>
      </c>
      <c r="CB1446" s="57" t="n">
        <f aca="false">N(AE1446)</f>
        <v>0</v>
      </c>
      <c r="CC1446" s="57" t="n">
        <f aca="false">N(M1446)+N(N1446)</f>
        <v>150</v>
      </c>
      <c r="CD1446" s="57" t="n">
        <f aca="false">ROUNDUP(H1446/BS1446,0)</f>
        <v>0</v>
      </c>
      <c r="CE1446" s="57" t="n">
        <f aca="false">ROUNDUP(CB1446/BS1446,0)</f>
        <v>0</v>
      </c>
      <c r="CF1446" s="60" t="n">
        <f aca="false">IF(BT1446=1,0,IFERROR(VLOOKUP(BR1446,'Gebinde-Kategorie'!$A$5:$M$45,5,0)+0,0))</f>
        <v>21</v>
      </c>
      <c r="CG1446" s="60" t="n">
        <f aca="false">IFERROR(IF(OR(BX1446=1,BX1446=2,BX1446=3),N(INDEX(Parameter!$I$5:$I$7,BX1446)),0),0)</f>
        <v>0</v>
      </c>
      <c r="CH1446" s="59" t="n">
        <f aca="false">IF(AND(Parameter!$B$21="Ja",ISNUMBER(W1446),N(X1446)&gt;0),IFERROR(N(INDEX(Parameter!$L$5:$L$7,W1446))*INDEX(Parameter!$E$5:$E$7,W1446)*X1446/SUMIFS($X$7:$X$1843,$W$7:$W$1843,W1446),0),0)</f>
        <v>0</v>
      </c>
    </row>
    <row r="1447" customFormat="false" ht="15" hidden="false" customHeight="false" outlineLevel="0" collapsed="false">
      <c r="A1447" s="55" t="s">
        <v>2534</v>
      </c>
      <c r="B1447" s="55" t="s">
        <v>2535</v>
      </c>
      <c r="C1447" s="55" t="s">
        <v>164</v>
      </c>
      <c r="D1447" s="55" t="s">
        <v>184</v>
      </c>
      <c r="E1447" s="55" t="s">
        <v>185</v>
      </c>
      <c r="F1447" s="55"/>
      <c r="G1447" s="56" t="n">
        <v>315</v>
      </c>
      <c r="H1447" s="57" t="n">
        <f aca="false">MAX(0,IF(AND(Parameter!$B$21="Ja",ISNUMBER(Y1447)),Y1447,IF(Parameter!$B$20="Jahresanfang 2025 + Export",BL1447+BK1447,BK1447)))</f>
        <v>0</v>
      </c>
      <c r="I1447" s="57" t="n">
        <f aca="false">H1447*G1447</f>
        <v>0</v>
      </c>
      <c r="J1447" s="57" t="n">
        <f aca="false">BN1447*Parameter!$B$18</f>
        <v>37</v>
      </c>
      <c r="K1447" s="58"/>
      <c r="L1447" s="59"/>
      <c r="M1447" s="57" t="n">
        <v>5</v>
      </c>
      <c r="N1447" s="57" t="n">
        <v>1</v>
      </c>
      <c r="O1447" s="60"/>
      <c r="P1447" s="55" t="s">
        <v>233</v>
      </c>
      <c r="Q1447" s="57" t="n">
        <v>50</v>
      </c>
      <c r="R1447" s="60" t="n">
        <f aca="false">IF(BT1447=1,0,IFERROR(VLOOKUP(BR1447,'Gebinde-Kategorie'!$A$5:$M$45,13,0)+0,0))</f>
        <v>26</v>
      </c>
      <c r="S1447" s="61"/>
      <c r="T1447" s="62"/>
      <c r="U1447" s="62"/>
      <c r="V1447" s="62"/>
      <c r="W1447" s="55"/>
      <c r="X1447" s="57"/>
      <c r="Y1447" s="57"/>
      <c r="Z1447" s="55" t="n">
        <f aca="false">IF(A1447="","",IF(AND(Parameter!$B$21="Ja",ISNUMBER(W1447)),W1447,IF(BV1447="2+3",IF(ISNUMBER(SEARCH("grosser Artikel",BO1447)),2,IFERROR(VLOOKUP(BR1447,Parameter!$F$35:$G$64,2,0),2)),IF(OR(BV1447="Nein",BV1447=""),"-",BV1447))))</f>
        <v>3</v>
      </c>
      <c r="AA1447" s="62"/>
      <c r="AB1447" s="63"/>
      <c r="AC1447" s="57" t="n">
        <f aca="false">AR1447</f>
        <v>50</v>
      </c>
      <c r="AD1447" s="57" t="n">
        <f aca="false">MAX(AR1447,H1447)</f>
        <v>50</v>
      </c>
      <c r="AE1447" s="64"/>
      <c r="AF1447" s="57" t="n">
        <f aca="false">IF(LEFT(Cockpit!$C$5,1)="A",H1447,IF(CA1447=1,CB1447,IF(LEFT(Cockpit!$C$5,1)="B",AJ1447,MAX(AJ1447,H1447))))</f>
        <v>0</v>
      </c>
      <c r="AG1447" s="57" t="n">
        <f aca="false">IF(BT1447=1,0,ROUNDUP(AF1447/BS1447,0))</f>
        <v>0</v>
      </c>
      <c r="AH1447" s="59" t="n">
        <f aca="false">IF(CH1447&gt;0,CH1447*MAX(1,AF1447/X1447),IF(BT1447=1,IF(AF1447&lt;=0,0,BW1447*MAX(1,IF(H1447&gt;0,AF1447/H1447,1))),IF(R1447&gt;0,AG1447/R1447,0))/MAX(0.1,N(Parameter!$M$21)))</f>
        <v>0</v>
      </c>
      <c r="AI1447" s="57" t="n">
        <f aca="false">AF1447*G1447</f>
        <v>0</v>
      </c>
      <c r="AJ1447" s="57" t="n">
        <f aca="false">ROUNDUP(MAX(J1447/IF(BZ1447&gt;0,BZ1447,MAX(0.1,N(Cockpit!$C$6))),CC1447)/BS1447,0)*BS1447</f>
        <v>50</v>
      </c>
      <c r="AK1447" s="58" t="n">
        <f aca="false">IF(AH1447&gt;0,J1447/AH1447,-1)</f>
        <v>-1</v>
      </c>
      <c r="AL1447" s="58" t="str">
        <f aca="false">IF(AND(OR(BY1447="L1",BY1447="L23"),AH1447&gt;0),SUMIFS($AH$7:$AH$1843,$BY$7:$BY$1843,BY1447,$AK$7:$AK$1843,"&gt;"&amp;AK1447)+SUMIFS($AH$7:$AH$1843,$BY$7:$BY$1843,BY1447,$AK$7:$AK$1843,AK1447,$BQ$7:$BQ$1843,"&lt;="&amp;BQ1447),"")</f>
        <v/>
      </c>
      <c r="AM1447" s="65" t="n">
        <f aca="false">IF(AL1447="",0,MAX(0,MIN(1,(IF(BY1447="L1",Parameter!$E$5,Parameter!$E$6+Parameter!$E$7)-(AL1447-AH1447))/AH1447)))</f>
        <v>0</v>
      </c>
      <c r="AN1447" s="57" t="n">
        <f aca="false">IF(LEFT(Cockpit!$I$5,1)="A",H1447,IF(CA1447=1,CB1447,IF(LEFT(Cockpit!$I$5,1)="B",AR1447,MAX(AR1447,H1447))))</f>
        <v>50</v>
      </c>
      <c r="AO1447" s="57" t="n">
        <f aca="false">IF(BT1447=1,0,ROUNDUP(AN1447/BS1447,0))</f>
        <v>1</v>
      </c>
      <c r="AP1447" s="59" t="n">
        <f aca="false">IF(CH1447&gt;0,CH1447*MAX(1,AN1447/X1447),IF(BT1447=1,IF(AN1447&lt;=0,0,BW1447*MAX(1,IF(H1447&gt;0,AN1447/H1447,1))),IF(R1447&gt;0,AO1447/R1447,0))/MAX(0.1,N(Parameter!$M$21)))</f>
        <v>0.0384615384615385</v>
      </c>
      <c r="AQ1447" s="57" t="n">
        <f aca="false">AN1447*G1447</f>
        <v>15750</v>
      </c>
      <c r="AR1447" s="57" t="n">
        <f aca="false">ROUNDUP(MAX(J1447/IF(BZ1447&gt;0,BZ1447,MAX(0.1,N(Cockpit!$I$6))),CC1447)/BS1447,0)*BS1447</f>
        <v>50</v>
      </c>
      <c r="AS1447" s="58" t="n">
        <f aca="false">IF(AP1447&gt;0,J1447/AP1447,-1)</f>
        <v>962</v>
      </c>
      <c r="AT1447" s="58" t="n">
        <f aca="false">IF(AND(OR(BY1447="L1",BY1447="L23"),AP1447&gt;0),SUMIFS($AP$7:$AP$1843,$BY$7:$BY$1843,BY1447,$AS$7:$AS$1843,"&gt;"&amp;AS1447)+SUMIFS($AP$7:$AP$1843,$BY$7:$BY$1843,BY1447,$AS$7:$AS$1843,AS1447,$BQ$7:$BQ$1843,"&lt;="&amp;BQ1447),"")</f>
        <v>24.0865257930475</v>
      </c>
      <c r="AU1447" s="65" t="n">
        <f aca="false">IF(AT1447="",0,MAX(0,MIN(1,(IF(BY1447="L1",Parameter!$E$5,Parameter!$E$6+Parameter!$E$7)-(AT1447-AP1447))/AP1447)))</f>
        <v>1</v>
      </c>
      <c r="AV1447" s="57" t="n">
        <f aca="false">IF(LEFT(Cockpit!$O$5,1)="A",H1447,IF(CA1447=1,CB1447,IF(LEFT(Cockpit!$O$5,1)="B",AZ1447,MAX(AZ1447,H1447))))</f>
        <v>50</v>
      </c>
      <c r="AW1447" s="57" t="n">
        <f aca="false">IF(BT1447=1,0,ROUNDUP(AV1447/BS1447,0))</f>
        <v>1</v>
      </c>
      <c r="AX1447" s="59" t="n">
        <f aca="false">IF(CH1447&gt;0,CH1447*MAX(1,AV1447/X1447),IF(BT1447=1,IF(AV1447&lt;=0,0,BW1447*MAX(1,IF(H1447&gt;0,AV1447/H1447,1))),IF(R1447&gt;0,AW1447/R1447,0))/MAX(0.1,N(Parameter!$M$21)))</f>
        <v>0.0384615384615385</v>
      </c>
      <c r="AY1447" s="57" t="n">
        <f aca="false">AV1447*G1447</f>
        <v>15750</v>
      </c>
      <c r="AZ1447" s="57" t="n">
        <f aca="false">ROUNDUP(MAX(J1447/IF(BZ1447&gt;0,BZ1447,MAX(0.1,N(Cockpit!$O$6))),CC1447)/BS1447,0)*BS1447</f>
        <v>50</v>
      </c>
      <c r="BA1447" s="58" t="n">
        <f aca="false">IF(AX1447&gt;0,J1447/AX1447,-1)</f>
        <v>962</v>
      </c>
      <c r="BB1447" s="58" t="n">
        <f aca="false">IF(AND(OR(BY1447="L1",BY1447="L23"),AX1447&gt;0),SUMIFS($AX$7:$AX$1843,$BY$7:$BY$1843,BY1447,$BA$7:$BA$1843,"&gt;"&amp;BA1447)+SUMIFS($AX$7:$AX$1843,$BY$7:$BY$1843,BY1447,$BA$7:$BA$1843,BA1447,$BQ$7:$BQ$1843,"&lt;="&amp;BQ1447),"")</f>
        <v>23.3714908280126</v>
      </c>
      <c r="BC1447" s="65" t="n">
        <f aca="false">IF(BB1447="",0,MAX(0,MIN(1,(IF(BY1447="L1",Parameter!$E$5,Parameter!$E$6+Parameter!$E$7)-(BB1447-AX1447))/AX1447)))</f>
        <v>1</v>
      </c>
      <c r="BD1447" s="55" t="str">
        <f aca="false">IF(AH1447&lt;=0,"",IF(BY1447="Aussen","Aussenlager",IF(BY1447="-","Nicht im Lift",IF(AM1447&gt;=1,"Lift",IF(AM1447&lt;=0,"Aussenlager","teilweise")))))</f>
        <v/>
      </c>
      <c r="BE1447" s="55" t="str">
        <f aca="false">IF(AP1447&lt;=0,"",IF(BY1447="Aussen","Aussenlager",IF(BY1447="-","Nicht im Lift",IF(AU1447&gt;=1,"Lift",IF(AU1447&lt;=0,"Aussenlager","teilweise")))))</f>
        <v>Lift</v>
      </c>
      <c r="BF1447" s="55" t="str">
        <f aca="false">IF(AX1447&lt;=0,"",IF(BY1447="Aussen","Aussenlager",IF(BY1447="-","Nicht im Lift",IF(BC1447&gt;=1,"Lift",IF(BC1447&lt;=0,"Aussenlager","teilweise")))))</f>
        <v>Lift</v>
      </c>
      <c r="BG1447" s="55" t="str">
        <f aca="false">IF(A1447="","",IF(BP1447=1,"Neu; ","")&amp;IF(AND(BP1447=0,BK1447&lt;0),"negativer Bestand (Export "&amp;BK1447&amp;"); ","")&amp;IF(J1447&lt;=0,"Kein Verbrauch; ","")&amp;IF(CH1447&gt;0,"Lift "&amp;W1447&amp;" lt. Liftbericht (Fach "&amp;X1447&amp;" Stk); ",IF(BU1447=1,"Gebinde geschätzt ("&amp;T1447&amp;"); ",IF(BT1447=1,"Lose – Tablare geschätzt; ","")))&amp;IF(H1447&gt;AR1447,"Überbestand "&amp;ROUND(H1447-AR1447,0)&amp;" Stk / CHF "&amp;ROUND((H1447-AR1447)*G1447,0)&amp;"; ","")&amp;IF(AND(CA1447=1,CB1447&lt;CC1447),"MAX &lt; MB+LG; ","")&amp;IF(AND(CG1447&gt;0,CF1447*10&gt;CG1447),"zu hoch für Tablar; ","")&amp;IF(AND(BP1447=0,OR(CA1447=1,AA1447&lt;&gt;"",U1447&lt;&gt;"",V1447&lt;&gt;"",AB1447&lt;&gt;"")),"manuell übersteuert; ","")&amp;IF(AND(BT1447=0,R1447=0),"Gebinde unbekannt / Stellmass fehlt; ","")&amp;IF(AND(BT1447=0,N(V1447)&lt;=0,N(Q1447)&lt;=0),"Menge pro Gebinde fehlt (Ist = 1 Gebinde); ","")&amp;BO1447)</f>
        <v>negativer Bestand (Export -37); </v>
      </c>
      <c r="BH1447" s="55"/>
      <c r="BI1447" s="55"/>
      <c r="BJ1447" s="62"/>
      <c r="BK1447" s="57" t="n">
        <v>-37</v>
      </c>
      <c r="BL1447" s="57" t="n">
        <v>0</v>
      </c>
      <c r="BM1447" s="56" t="n">
        <v>-11655</v>
      </c>
      <c r="BN1447" s="57" t="n">
        <v>37</v>
      </c>
      <c r="BO1447" s="55"/>
      <c r="BP1447" s="60" t="n">
        <v>0</v>
      </c>
      <c r="BQ1447" s="60" t="n">
        <v>1447</v>
      </c>
      <c r="BR1447" s="55" t="str">
        <f aca="false">IF(U1447&lt;&gt;"",UPPER(TRIM(U1447)),IF(BU1447=1,UPPER(VLOOKUP(T1447,Parameter!$I$27:$K$29,2,0)),IF(P1447="","LOSE",P1447)))</f>
        <v>S52</v>
      </c>
      <c r="BS1447" s="57" t="n">
        <f aca="false">IF(BR1447="LOSE",1,IF(N(V1447)&gt;0,V1447,IF(BU1447=1,MAX(1,N(VLOOKUP(T1447,Parameter!$I$27:$K$29,3,0)),H1447,N(N1447)),IF(N(Q1447)&gt;0,Q1447,MAX(1,H1447)))))</f>
        <v>50</v>
      </c>
      <c r="BT1447" s="60" t="n">
        <f aca="false">IF(BR1447="LOSE",1,0)</f>
        <v>0</v>
      </c>
      <c r="BU1447" s="60" t="n">
        <f aca="false">IF(AND(U1447="",OR(P1447="",P1447="LOSE"),T1447&lt;&gt;"",N(S1447)&lt;=0,ISNUMBER(MATCH(T1447,Parameter!$I$27:$I$29,0))),1,0)</f>
        <v>0</v>
      </c>
      <c r="BV1447" s="55" t="str">
        <f aca="false">IF(AND(Parameter!$B$19="Ja",E1447&lt;&gt;"",ISNUMBER(MATCH(E1447,Parameter!$I$35:$I$52,0))),VLOOKUP(E1447,Parameter!$I$35:$J$52,2,0),IFERROR(VLOOKUP(D1447,Parameter!$A$35:$C$64,2,0),"Nein"))</f>
        <v>2+3</v>
      </c>
      <c r="BW1447" s="59" t="n">
        <f aca="false">IF(BT1447=0,0,IF(N(S1447)&gt;0,S1447,IFERROR(VLOOKUP(D1447,Parameter!$A$35:$C$64,3,0)+0,0)))</f>
        <v>0</v>
      </c>
      <c r="BX1447" s="55" t="n">
        <f aca="false">IF(AA1447&lt;&gt;"",AA1447,Z1447)</f>
        <v>3</v>
      </c>
      <c r="BY1447" s="55" t="str">
        <f aca="false">IF(BX1447=1,"L1",IF(OR(BX1447=2,BX1447=3),"L23",IF(BX1447="Aussen","Aussen","-")))</f>
        <v>L23</v>
      </c>
      <c r="BZ1447" s="66" t="n">
        <f aca="false">IF(N(AB1447)&gt;0,AB1447,0)</f>
        <v>0</v>
      </c>
      <c r="CA1447" s="60" t="n">
        <f aca="false">IF(ISNUMBER(AE1447),1,0)</f>
        <v>0</v>
      </c>
      <c r="CB1447" s="57" t="n">
        <f aca="false">N(AE1447)</f>
        <v>0</v>
      </c>
      <c r="CC1447" s="57" t="n">
        <f aca="false">N(M1447)+N(N1447)</f>
        <v>6</v>
      </c>
      <c r="CD1447" s="57" t="n">
        <f aca="false">ROUNDUP(H1447/BS1447,0)</f>
        <v>0</v>
      </c>
      <c r="CE1447" s="57" t="n">
        <f aca="false">ROUNDUP(CB1447/BS1447,0)</f>
        <v>0</v>
      </c>
      <c r="CF1447" s="60" t="n">
        <f aca="false">IF(BT1447=1,0,IFERROR(VLOOKUP(BR1447,'Gebinde-Kategorie'!$A$5:$M$45,5,0)+0,0))</f>
        <v>21</v>
      </c>
      <c r="CG1447" s="60" t="n">
        <f aca="false">IFERROR(IF(OR(BX1447=1,BX1447=2,BX1447=3),N(INDEX(Parameter!$I$5:$I$7,BX1447)),0),0)</f>
        <v>0</v>
      </c>
      <c r="CH1447" s="59" t="n">
        <f aca="false">IF(AND(Parameter!$B$21="Ja",ISNUMBER(W1447),N(X1447)&gt;0),IFERROR(N(INDEX(Parameter!$L$5:$L$7,W1447))*INDEX(Parameter!$E$5:$E$7,W1447)*X1447/SUMIFS($X$7:$X$1843,$W$7:$W$1843,W1447),0),0)</f>
        <v>0</v>
      </c>
    </row>
    <row r="1448" customFormat="false" ht="15" hidden="false" customHeight="false" outlineLevel="0" collapsed="false">
      <c r="A1448" s="55" t="s">
        <v>2536</v>
      </c>
      <c r="B1448" s="55" t="s">
        <v>405</v>
      </c>
      <c r="C1448" s="55" t="s">
        <v>164</v>
      </c>
      <c r="D1448" s="55" t="s">
        <v>184</v>
      </c>
      <c r="E1448" s="55" t="s">
        <v>185</v>
      </c>
      <c r="F1448" s="55"/>
      <c r="G1448" s="56" t="n">
        <v>3.25</v>
      </c>
      <c r="H1448" s="57" t="n">
        <f aca="false">MAX(0,IF(AND(Parameter!$B$21="Ja",ISNUMBER(Y1448)),Y1448,IF(Parameter!$B$20="Jahresanfang 2025 + Export",BL1448+BK1448,BK1448)))</f>
        <v>0</v>
      </c>
      <c r="I1448" s="57" t="n">
        <f aca="false">H1448*G1448</f>
        <v>0</v>
      </c>
      <c r="J1448" s="57" t="n">
        <f aca="false">BN1448*Parameter!$B$18</f>
        <v>2410</v>
      </c>
      <c r="K1448" s="58"/>
      <c r="L1448" s="59"/>
      <c r="M1448" s="57" t="n">
        <v>150</v>
      </c>
      <c r="N1448" s="57" t="n">
        <v>500</v>
      </c>
      <c r="O1448" s="60"/>
      <c r="P1448" s="55" t="s">
        <v>259</v>
      </c>
      <c r="Q1448" s="57" t="n">
        <v>1200</v>
      </c>
      <c r="R1448" s="60" t="n">
        <f aca="false">IF(BT1448=1,0,IFERROR(VLOOKUP(BR1448,'Gebinde-Kategorie'!$A$5:$M$45,13,0)+0,0))</f>
        <v>6</v>
      </c>
      <c r="S1448" s="61"/>
      <c r="T1448" s="62"/>
      <c r="U1448" s="62"/>
      <c r="V1448" s="62"/>
      <c r="W1448" s="55"/>
      <c r="X1448" s="57"/>
      <c r="Y1448" s="57"/>
      <c r="Z1448" s="55" t="n">
        <f aca="false">IF(A1448="","",IF(AND(Parameter!$B$21="Ja",ISNUMBER(W1448)),W1448,IF(BV1448="2+3",IF(ISNUMBER(SEARCH("grosser Artikel",BO1448)),2,IFERROR(VLOOKUP(BR1448,Parameter!$F$35:$G$64,2,0),2)),IF(OR(BV1448="Nein",BV1448=""),"-",BV1448))))</f>
        <v>2</v>
      </c>
      <c r="AA1448" s="62"/>
      <c r="AB1448" s="63"/>
      <c r="AC1448" s="57" t="n">
        <f aca="false">AR1448</f>
        <v>2400</v>
      </c>
      <c r="AD1448" s="57" t="n">
        <f aca="false">MAX(AR1448,H1448)</f>
        <v>2400</v>
      </c>
      <c r="AE1448" s="64"/>
      <c r="AF1448" s="57" t="n">
        <f aca="false">IF(LEFT(Cockpit!$C$5,1)="A",H1448,IF(CA1448=1,CB1448,IF(LEFT(Cockpit!$C$5,1)="B",AJ1448,MAX(AJ1448,H1448))))</f>
        <v>0</v>
      </c>
      <c r="AG1448" s="57" t="n">
        <f aca="false">IF(BT1448=1,0,ROUNDUP(AF1448/BS1448,0))</f>
        <v>0</v>
      </c>
      <c r="AH1448" s="59" t="n">
        <f aca="false">IF(CH1448&gt;0,CH1448*MAX(1,AF1448/X1448),IF(BT1448=1,IF(AF1448&lt;=0,0,BW1448*MAX(1,IF(H1448&gt;0,AF1448/H1448,1))),IF(R1448&gt;0,AG1448/R1448,0))/MAX(0.1,N(Parameter!$M$21)))</f>
        <v>0</v>
      </c>
      <c r="AI1448" s="57" t="n">
        <f aca="false">AF1448*G1448</f>
        <v>0</v>
      </c>
      <c r="AJ1448" s="57" t="n">
        <f aca="false">ROUNDUP(MAX(J1448/IF(BZ1448&gt;0,BZ1448,MAX(0.1,N(Cockpit!$C$6))),CC1448)/BS1448,0)*BS1448</f>
        <v>2400</v>
      </c>
      <c r="AK1448" s="58" t="n">
        <f aca="false">IF(AH1448&gt;0,J1448/AH1448,-1)</f>
        <v>-1</v>
      </c>
      <c r="AL1448" s="58" t="str">
        <f aca="false">IF(AND(OR(BY1448="L1",BY1448="L23"),AH1448&gt;0),SUMIFS($AH$7:$AH$1843,$BY$7:$BY$1843,BY1448,$AK$7:$AK$1843,"&gt;"&amp;AK1448)+SUMIFS($AH$7:$AH$1843,$BY$7:$BY$1843,BY1448,$AK$7:$AK$1843,AK1448,$BQ$7:$BQ$1843,"&lt;="&amp;BQ1448),"")</f>
        <v/>
      </c>
      <c r="AM1448" s="65" t="n">
        <f aca="false">IF(AL1448="",0,MAX(0,MIN(1,(IF(BY1448="L1",Parameter!$E$5,Parameter!$E$6+Parameter!$E$7)-(AL1448-AH1448))/AH1448)))</f>
        <v>0</v>
      </c>
      <c r="AN1448" s="57" t="n">
        <f aca="false">IF(LEFT(Cockpit!$I$5,1)="A",H1448,IF(CA1448=1,CB1448,IF(LEFT(Cockpit!$I$5,1)="B",AR1448,MAX(AR1448,H1448))))</f>
        <v>2400</v>
      </c>
      <c r="AO1448" s="57" t="n">
        <f aca="false">IF(BT1448=1,0,ROUNDUP(AN1448/BS1448,0))</f>
        <v>2</v>
      </c>
      <c r="AP1448" s="59" t="n">
        <f aca="false">IF(CH1448&gt;0,CH1448*MAX(1,AN1448/X1448),IF(BT1448=1,IF(AN1448&lt;=0,0,BW1448*MAX(1,IF(H1448&gt;0,AN1448/H1448,1))),IF(R1448&gt;0,AO1448/R1448,0))/MAX(0.1,N(Parameter!$M$21)))</f>
        <v>0.333333333333333</v>
      </c>
      <c r="AQ1448" s="57" t="n">
        <f aca="false">AN1448*G1448</f>
        <v>7800</v>
      </c>
      <c r="AR1448" s="57" t="n">
        <f aca="false">ROUNDUP(MAX(J1448/IF(BZ1448&gt;0,BZ1448,MAX(0.1,N(Cockpit!$I$6))),CC1448)/BS1448,0)*BS1448</f>
        <v>2400</v>
      </c>
      <c r="AS1448" s="58" t="n">
        <f aca="false">IF(AP1448&gt;0,J1448/AP1448,-1)</f>
        <v>7230</v>
      </c>
      <c r="AT1448" s="58" t="n">
        <f aca="false">IF(AND(OR(BY1448="L1",BY1448="L23"),AP1448&gt;0),SUMIFS($AP$7:$AP$1843,$BY$7:$BY$1843,BY1448,$AS$7:$AS$1843,"&gt;"&amp;AS1448)+SUMIFS($AP$7:$AP$1843,$BY$7:$BY$1843,BY1448,$AS$7:$AS$1843,AS1448,$BQ$7:$BQ$1843,"&lt;="&amp;BQ1448),"")</f>
        <v>9.42849059153407</v>
      </c>
      <c r="AU1448" s="65" t="n">
        <f aca="false">IF(AT1448="",0,MAX(0,MIN(1,(IF(BY1448="L1",Parameter!$E$5,Parameter!$E$6+Parameter!$E$7)-(AT1448-AP1448))/AP1448)))</f>
        <v>1</v>
      </c>
      <c r="AV1448" s="57" t="n">
        <f aca="false">IF(LEFT(Cockpit!$O$5,1)="A",H1448,IF(CA1448=1,CB1448,IF(LEFT(Cockpit!$O$5,1)="B",AZ1448,MAX(AZ1448,H1448))))</f>
        <v>1200</v>
      </c>
      <c r="AW1448" s="57" t="n">
        <f aca="false">IF(BT1448=1,0,ROUNDUP(AV1448/BS1448,0))</f>
        <v>1</v>
      </c>
      <c r="AX1448" s="59" t="n">
        <f aca="false">IF(CH1448&gt;0,CH1448*MAX(1,AV1448/X1448),IF(BT1448=1,IF(AV1448&lt;=0,0,BW1448*MAX(1,IF(H1448&gt;0,AV1448/H1448,1))),IF(R1448&gt;0,AW1448/R1448,0))/MAX(0.1,N(Parameter!$M$21)))</f>
        <v>0.166666666666667</v>
      </c>
      <c r="AY1448" s="57" t="n">
        <f aca="false">AV1448*G1448</f>
        <v>3900</v>
      </c>
      <c r="AZ1448" s="57" t="n">
        <f aca="false">ROUNDUP(MAX(J1448/IF(BZ1448&gt;0,BZ1448,MAX(0.1,N(Cockpit!$O$6))),CC1448)/BS1448,0)*BS1448</f>
        <v>1200</v>
      </c>
      <c r="BA1448" s="58" t="n">
        <f aca="false">IF(AX1448&gt;0,J1448/AX1448,-1)</f>
        <v>14460</v>
      </c>
      <c r="BB1448" s="58" t="n">
        <f aca="false">IF(AND(OR(BY1448="L1",BY1448="L23"),AX1448&gt;0),SUMIFS($AX$7:$AX$1843,$BY$7:$BY$1843,BY1448,$BA$7:$BA$1843,"&gt;"&amp;BA1448)+SUMIFS($AX$7:$AX$1843,$BY$7:$BY$1843,BY1448,$BA$7:$BA$1843,BA1448,$BQ$7:$BQ$1843,"&lt;="&amp;BQ1448),"")</f>
        <v>5.86629674673153</v>
      </c>
      <c r="BC1448" s="65" t="n">
        <f aca="false">IF(BB1448="",0,MAX(0,MIN(1,(IF(BY1448="L1",Parameter!$E$5,Parameter!$E$6+Parameter!$E$7)-(BB1448-AX1448))/AX1448)))</f>
        <v>1</v>
      </c>
      <c r="BD1448" s="55" t="str">
        <f aca="false">IF(AH1448&lt;=0,"",IF(BY1448="Aussen","Aussenlager",IF(BY1448="-","Nicht im Lift",IF(AM1448&gt;=1,"Lift",IF(AM1448&lt;=0,"Aussenlager","teilweise")))))</f>
        <v/>
      </c>
      <c r="BE1448" s="55" t="str">
        <f aca="false">IF(AP1448&lt;=0,"",IF(BY1448="Aussen","Aussenlager",IF(BY1448="-","Nicht im Lift",IF(AU1448&gt;=1,"Lift",IF(AU1448&lt;=0,"Aussenlager","teilweise")))))</f>
        <v>Lift</v>
      </c>
      <c r="BF1448" s="55" t="str">
        <f aca="false">IF(AX1448&lt;=0,"",IF(BY1448="Aussen","Aussenlager",IF(BY1448="-","Nicht im Lift",IF(BC1448&gt;=1,"Lift",IF(BC1448&lt;=0,"Aussenlager","teilweise")))))</f>
        <v>Lift</v>
      </c>
      <c r="BG1448" s="55" t="str">
        <f aca="false">IF(A1448="","",IF(BP1448=1,"Neu; ","")&amp;IF(AND(BP1448=0,BK1448&lt;0),"negativer Bestand (Export "&amp;BK1448&amp;"); ","")&amp;IF(J1448&lt;=0,"Kein Verbrauch; ","")&amp;IF(CH1448&gt;0,"Lift "&amp;W1448&amp;" lt. Liftbericht (Fach "&amp;X1448&amp;" Stk); ",IF(BU1448=1,"Gebinde geschätzt ("&amp;T1448&amp;"); ",IF(BT1448=1,"Lose – Tablare geschätzt; ","")))&amp;IF(H1448&gt;AR1448,"Überbestand "&amp;ROUND(H1448-AR1448,0)&amp;" Stk / CHF "&amp;ROUND((H1448-AR1448)*G1448,0)&amp;"; ","")&amp;IF(AND(CA1448=1,CB1448&lt;CC1448),"MAX &lt; MB+LG; ","")&amp;IF(AND(CG1448&gt;0,CF1448*10&gt;CG1448),"zu hoch für Tablar; ","")&amp;IF(AND(BP1448=0,OR(CA1448=1,AA1448&lt;&gt;"",U1448&lt;&gt;"",V1448&lt;&gt;"",AB1448&lt;&gt;"")),"manuell übersteuert; ","")&amp;IF(AND(BT1448=0,R1448=0),"Gebinde unbekannt / Stellmass fehlt; ","")&amp;IF(AND(BT1448=0,N(V1448)&lt;=0,N(Q1448)&lt;=0),"Menge pro Gebinde fehlt (Ist = 1 Gebinde); ","")&amp;BO1448)</f>
        <v>negativer Bestand (Export -3665); grosse  Artikelmenge</v>
      </c>
      <c r="BH1448" s="55"/>
      <c r="BI1448" s="55"/>
      <c r="BJ1448" s="62"/>
      <c r="BK1448" s="57" t="n">
        <v>-3665</v>
      </c>
      <c r="BL1448" s="57" t="n">
        <v>0</v>
      </c>
      <c r="BM1448" s="56" t="n">
        <v>-11911.25</v>
      </c>
      <c r="BN1448" s="57" t="n">
        <v>2410</v>
      </c>
      <c r="BO1448" s="55" t="s">
        <v>1607</v>
      </c>
      <c r="BP1448" s="60" t="n">
        <v>0</v>
      </c>
      <c r="BQ1448" s="60" t="n">
        <v>1448</v>
      </c>
      <c r="BR1448" s="55" t="str">
        <f aca="false">IF(U1448&lt;&gt;"",UPPER(TRIM(U1448)),IF(BU1448=1,UPPER(VLOOKUP(T1448,Parameter!$I$27:$K$29,2,0)),IF(P1448="","LOSE",P1448)))</f>
        <v>S72</v>
      </c>
      <c r="BS1448" s="57" t="n">
        <f aca="false">IF(BR1448="LOSE",1,IF(N(V1448)&gt;0,V1448,IF(BU1448=1,MAX(1,N(VLOOKUP(T1448,Parameter!$I$27:$K$29,3,0)),H1448,N(N1448)),IF(N(Q1448)&gt;0,Q1448,MAX(1,H1448)))))</f>
        <v>1200</v>
      </c>
      <c r="BT1448" s="60" t="n">
        <f aca="false">IF(BR1448="LOSE",1,0)</f>
        <v>0</v>
      </c>
      <c r="BU1448" s="60" t="n">
        <f aca="false">IF(AND(U1448="",OR(P1448="",P1448="LOSE"),T1448&lt;&gt;"",N(S1448)&lt;=0,ISNUMBER(MATCH(T1448,Parameter!$I$27:$I$29,0))),1,0)</f>
        <v>0</v>
      </c>
      <c r="BV1448" s="55" t="str">
        <f aca="false">IF(AND(Parameter!$B$19="Ja",E1448&lt;&gt;"",ISNUMBER(MATCH(E1448,Parameter!$I$35:$I$52,0))),VLOOKUP(E1448,Parameter!$I$35:$J$52,2,0),IFERROR(VLOOKUP(D1448,Parameter!$A$35:$C$64,2,0),"Nein"))</f>
        <v>2+3</v>
      </c>
      <c r="BW1448" s="59" t="n">
        <f aca="false">IF(BT1448=0,0,IF(N(S1448)&gt;0,S1448,IFERROR(VLOOKUP(D1448,Parameter!$A$35:$C$64,3,0)+0,0)))</f>
        <v>0</v>
      </c>
      <c r="BX1448" s="55" t="n">
        <f aca="false">IF(AA1448&lt;&gt;"",AA1448,Z1448)</f>
        <v>2</v>
      </c>
      <c r="BY1448" s="55" t="str">
        <f aca="false">IF(BX1448=1,"L1",IF(OR(BX1448=2,BX1448=3),"L23",IF(BX1448="Aussen","Aussen","-")))</f>
        <v>L23</v>
      </c>
      <c r="BZ1448" s="66" t="n">
        <f aca="false">IF(N(AB1448)&gt;0,AB1448,0)</f>
        <v>0</v>
      </c>
      <c r="CA1448" s="60" t="n">
        <f aca="false">IF(ISNUMBER(AE1448),1,0)</f>
        <v>0</v>
      </c>
      <c r="CB1448" s="57" t="n">
        <f aca="false">N(AE1448)</f>
        <v>0</v>
      </c>
      <c r="CC1448" s="57" t="n">
        <f aca="false">N(M1448)+N(N1448)</f>
        <v>650</v>
      </c>
      <c r="CD1448" s="57" t="n">
        <f aca="false">ROUNDUP(H1448/BS1448,0)</f>
        <v>0</v>
      </c>
      <c r="CE1448" s="57" t="n">
        <f aca="false">ROUNDUP(CB1448/BS1448,0)</f>
        <v>0</v>
      </c>
      <c r="CF1448" s="60" t="n">
        <f aca="false">IF(BT1448=1,0,IFERROR(VLOOKUP(BR1448,'Gebinde-Kategorie'!$A$5:$M$45,5,0)+0,0))</f>
        <v>40</v>
      </c>
      <c r="CG1448" s="60" t="n">
        <f aca="false">IFERROR(IF(OR(BX1448=1,BX1448=2,BX1448=3),N(INDEX(Parameter!$I$5:$I$7,BX1448)),0),0)</f>
        <v>0</v>
      </c>
      <c r="CH1448" s="59" t="n">
        <f aca="false">IF(AND(Parameter!$B$21="Ja",ISNUMBER(W1448),N(X1448)&gt;0),IFERROR(N(INDEX(Parameter!$L$5:$L$7,W1448))*INDEX(Parameter!$E$5:$E$7,W1448)*X1448/SUMIFS($X$7:$X$1843,$W$7:$W$1843,W1448),0),0)</f>
        <v>0</v>
      </c>
    </row>
    <row r="1449" customFormat="false" ht="15" hidden="false" customHeight="false" outlineLevel="0" collapsed="false">
      <c r="A1449" s="55" t="s">
        <v>2537</v>
      </c>
      <c r="B1449" s="55" t="s">
        <v>2384</v>
      </c>
      <c r="C1449" s="55" t="s">
        <v>164</v>
      </c>
      <c r="D1449" s="55" t="s">
        <v>165</v>
      </c>
      <c r="E1449" s="55" t="s">
        <v>166</v>
      </c>
      <c r="F1449" s="55"/>
      <c r="G1449" s="56" t="n">
        <v>2608.01</v>
      </c>
      <c r="H1449" s="57" t="n">
        <f aca="false">MAX(0,IF(AND(Parameter!$B$21="Ja",ISNUMBER(Y1449)),Y1449,IF(Parameter!$B$20="Jahresanfang 2025 + Export",BL1449+BK1449,BK1449)))</f>
        <v>6</v>
      </c>
      <c r="I1449" s="57" t="n">
        <f aca="false">H1449*G1449</f>
        <v>15648.06</v>
      </c>
      <c r="J1449" s="57" t="n">
        <f aca="false">BN1449*Parameter!$B$18</f>
        <v>30</v>
      </c>
      <c r="K1449" s="58"/>
      <c r="L1449" s="59"/>
      <c r="M1449" s="57" t="n">
        <v>1</v>
      </c>
      <c r="N1449" s="57" t="n">
        <v>5</v>
      </c>
      <c r="O1449" s="60"/>
      <c r="P1449" s="55" t="s">
        <v>168</v>
      </c>
      <c r="Q1449" s="57"/>
      <c r="R1449" s="60" t="n">
        <f aca="false">IF(BT1449=1,0,IFERROR(VLOOKUP(BR1449,'Gebinde-Kategorie'!$A$5:$M$45,13,0)+0,0))</f>
        <v>0</v>
      </c>
      <c r="S1449" s="61"/>
      <c r="T1449" s="62"/>
      <c r="U1449" s="62"/>
      <c r="V1449" s="62"/>
      <c r="W1449" s="55" t="n">
        <v>1</v>
      </c>
      <c r="X1449" s="57" t="n">
        <v>13</v>
      </c>
      <c r="Y1449" s="57" t="n">
        <v>6</v>
      </c>
      <c r="Z1449" s="55" t="n">
        <f aca="false">IF(A1449="","",IF(AND(Parameter!$B$21="Ja",ISNUMBER(W1449)),W1449,IF(BV1449="2+3",IF(ISNUMBER(SEARCH("grosser Artikel",BO1449)),2,IFERROR(VLOOKUP(BR1449,Parameter!$F$35:$G$64,2,0),2)),IF(OR(BV1449="Nein",BV1449=""),"-",BV1449))))</f>
        <v>1</v>
      </c>
      <c r="AA1449" s="62"/>
      <c r="AB1449" s="63"/>
      <c r="AC1449" s="57" t="n">
        <f aca="false">AR1449</f>
        <v>15</v>
      </c>
      <c r="AD1449" s="57" t="n">
        <f aca="false">MAX(AR1449,H1449)</f>
        <v>15</v>
      </c>
      <c r="AE1449" s="64"/>
      <c r="AF1449" s="57" t="n">
        <f aca="false">IF(LEFT(Cockpit!$C$5,1)="A",H1449,IF(CA1449=1,CB1449,IF(LEFT(Cockpit!$C$5,1)="B",AJ1449,MAX(AJ1449,H1449))))</f>
        <v>6</v>
      </c>
      <c r="AG1449" s="57" t="n">
        <f aca="false">IF(BT1449=1,0,ROUNDUP(AF1449/BS1449,0))</f>
        <v>0</v>
      </c>
      <c r="AH1449" s="59" t="n">
        <f aca="false">IF(CH1449&gt;0,CH1449*MAX(1,AF1449/X1449),IF(BT1449=1,IF(AF1449&lt;=0,0,BW1449*MAX(1,IF(H1449&gt;0,AF1449/H1449,1))),IF(R1449&gt;0,AG1449/R1449,0))/MAX(0.1,N(Parameter!$M$21)))</f>
        <v>1.04048964218456</v>
      </c>
      <c r="AI1449" s="57" t="n">
        <f aca="false">AF1449*G1449</f>
        <v>15648.06</v>
      </c>
      <c r="AJ1449" s="57" t="n">
        <f aca="false">ROUNDUP(MAX(J1449/IF(BZ1449&gt;0,BZ1449,MAX(0.1,N(Cockpit!$C$6))),CC1449)/BS1449,0)*BS1449</f>
        <v>15</v>
      </c>
      <c r="AK1449" s="58" t="n">
        <f aca="false">IF(AH1449&gt;0,J1449/AH1449,-1)</f>
        <v>28.8325791855204</v>
      </c>
      <c r="AL1449" s="58" t="n">
        <f aca="false">IF(AND(OR(BY1449="L1",BY1449="L23"),AH1449&gt;0),SUMIFS($AH$7:$AH$1843,$BY$7:$BY$1843,BY1449,$AK$7:$AK$1843,"&gt;"&amp;AK1449)+SUMIFS($AH$7:$AH$1843,$BY$7:$BY$1843,BY1449,$AK$7:$AK$1843,AK1449,$BQ$7:$BQ$1843,"&lt;="&amp;BQ1449),"")</f>
        <v>14.3336986439418</v>
      </c>
      <c r="AM1449" s="65" t="n">
        <f aca="false">IF(AL1449="",0,MAX(0,MIN(1,(IF(BY1449="L1",Parameter!$E$5,Parameter!$E$6+Parameter!$E$7)-(AL1449-AH1449))/AH1449)))</f>
        <v>1</v>
      </c>
      <c r="AN1449" s="57" t="n">
        <f aca="false">IF(LEFT(Cockpit!$I$5,1)="A",H1449,IF(CA1449=1,CB1449,IF(LEFT(Cockpit!$I$5,1)="B",AR1449,MAX(AR1449,H1449))))</f>
        <v>15</v>
      </c>
      <c r="AO1449" s="57" t="n">
        <f aca="false">IF(BT1449=1,0,ROUNDUP(AN1449/BS1449,0))</f>
        <v>0</v>
      </c>
      <c r="AP1449" s="59" t="n">
        <f aca="false">IF(CH1449&gt;0,CH1449*MAX(1,AN1449/X1449),IF(BT1449=1,IF(AN1449&lt;=0,0,BW1449*MAX(1,IF(H1449&gt;0,AN1449/H1449,1))),IF(R1449&gt;0,AO1449/R1449,0))/MAX(0.1,N(Parameter!$M$21)))</f>
        <v>1.20056497175141</v>
      </c>
      <c r="AQ1449" s="57" t="n">
        <f aca="false">AN1449*G1449</f>
        <v>39120.15</v>
      </c>
      <c r="AR1449" s="57" t="n">
        <f aca="false">ROUNDUP(MAX(J1449/IF(BZ1449&gt;0,BZ1449,MAX(0.1,N(Cockpit!$I$6))),CC1449)/BS1449,0)*BS1449</f>
        <v>15</v>
      </c>
      <c r="AS1449" s="58" t="n">
        <f aca="false">IF(AP1449&gt;0,J1449/AP1449,-1)</f>
        <v>24.9882352941176</v>
      </c>
      <c r="AT1449" s="58" t="n">
        <f aca="false">IF(AND(OR(BY1449="L1",BY1449="L23"),AP1449&gt;0),SUMIFS($AP$7:$AP$1843,$BY$7:$BY$1843,BY1449,$AS$7:$AS$1843,"&gt;"&amp;AS1449)+SUMIFS($AP$7:$AP$1843,$BY$7:$BY$1843,BY1449,$AS$7:$AS$1843,AS1449,$BQ$7:$BQ$1843,"&lt;="&amp;BQ1449),"")</f>
        <v>21.2561961088122</v>
      </c>
      <c r="AU1449" s="65" t="n">
        <f aca="false">IF(AT1449="",0,MAX(0,MIN(1,(IF(BY1449="L1",Parameter!$E$5,Parameter!$E$6+Parameter!$E$7)-(AT1449-AP1449))/AP1449)))</f>
        <v>1</v>
      </c>
      <c r="AV1449" s="57" t="n">
        <f aca="false">IF(LEFT(Cockpit!$O$5,1)="A",H1449,IF(CA1449=1,CB1449,IF(LEFT(Cockpit!$O$5,1)="B",AZ1449,MAX(AZ1449,H1449))))</f>
        <v>10</v>
      </c>
      <c r="AW1449" s="57" t="n">
        <f aca="false">IF(BT1449=1,0,ROUNDUP(AV1449/BS1449,0))</f>
        <v>0</v>
      </c>
      <c r="AX1449" s="59" t="n">
        <f aca="false">IF(CH1449&gt;0,CH1449*MAX(1,AV1449/X1449),IF(BT1449=1,IF(AV1449&lt;=0,0,BW1449*MAX(1,IF(H1449&gt;0,AV1449/H1449,1))),IF(R1449&gt;0,AW1449/R1449,0))/MAX(0.1,N(Parameter!$M$21)))</f>
        <v>1.04048964218456</v>
      </c>
      <c r="AY1449" s="57" t="n">
        <f aca="false">AV1449*G1449</f>
        <v>26080.1</v>
      </c>
      <c r="AZ1449" s="57" t="n">
        <f aca="false">ROUNDUP(MAX(J1449/IF(BZ1449&gt;0,BZ1449,MAX(0.1,N(Cockpit!$O$6))),CC1449)/BS1449,0)*BS1449</f>
        <v>10</v>
      </c>
      <c r="BA1449" s="58" t="n">
        <f aca="false">IF(AX1449&gt;0,J1449/AX1449,-1)</f>
        <v>28.8325791855204</v>
      </c>
      <c r="BB1449" s="58" t="n">
        <f aca="false">IF(AND(OR(BY1449="L1",BY1449="L23"),AX1449&gt;0),SUMIFS($AX$7:$AX$1843,$BY$7:$BY$1843,BY1449,$BA$7:$BA$1843,"&gt;"&amp;BA1449)+SUMIFS($AX$7:$AX$1843,$BY$7:$BY$1843,BY1449,$BA$7:$BA$1843,BA1449,$BQ$7:$BQ$1843,"&lt;="&amp;BQ1449),"")</f>
        <v>22.0463598057555</v>
      </c>
      <c r="BC1449" s="65" t="n">
        <f aca="false">IF(BB1449="",0,MAX(0,MIN(1,(IF(BY1449="L1",Parameter!$E$5,Parameter!$E$6+Parameter!$E$7)-(BB1449-AX1449))/AX1449)))</f>
        <v>1</v>
      </c>
      <c r="BD1449" s="55" t="str">
        <f aca="false">IF(AH1449&lt;=0,"",IF(BY1449="Aussen","Aussenlager",IF(BY1449="-","Nicht im Lift",IF(AM1449&gt;=1,"Lift",IF(AM1449&lt;=0,"Aussenlager","teilweise")))))</f>
        <v>Lift</v>
      </c>
      <c r="BE1449" s="55" t="str">
        <f aca="false">IF(AP1449&lt;=0,"",IF(BY1449="Aussen","Aussenlager",IF(BY1449="-","Nicht im Lift",IF(AU1449&gt;=1,"Lift",IF(AU1449&lt;=0,"Aussenlager","teilweise")))))</f>
        <v>Lift</v>
      </c>
      <c r="BF1449" s="55" t="str">
        <f aca="false">IF(AX1449&lt;=0,"",IF(BY1449="Aussen","Aussenlager",IF(BY1449="-","Nicht im Lift",IF(BC1449&gt;=1,"Lift",IF(BC1449&lt;=0,"Aussenlager","teilweise")))))</f>
        <v>Lift</v>
      </c>
      <c r="BG1449" s="55" t="str">
        <f aca="false">IF(A1449="","",IF(BP1449=1,"Neu; ","")&amp;IF(AND(BP1449=0,BK1449&lt;0),"negativer Bestand (Export "&amp;BK1449&amp;"); ","")&amp;IF(J1449&lt;=0,"Kein Verbrauch; ","")&amp;IF(CH1449&gt;0,"Lift "&amp;W1449&amp;" lt. Liftbericht (Fach "&amp;X1449&amp;" Stk); ",IF(BU1449=1,"Gebinde geschätzt ("&amp;T1449&amp;"); ",IF(BT1449=1,"Lose – Tablare geschätzt; ","")))&amp;IF(H1449&gt;AR1449,"Überbestand "&amp;ROUND(H1449-AR1449,0)&amp;" Stk / CHF "&amp;ROUND((H1449-AR1449)*G1449,0)&amp;"; ","")&amp;IF(AND(CA1449=1,CB1449&lt;CC1449),"MAX &lt; MB+LG; ","")&amp;IF(AND(CG1449&gt;0,CF1449*10&gt;CG1449),"zu hoch für Tablar; ","")&amp;IF(AND(BP1449=0,OR(CA1449=1,AA1449&lt;&gt;"",U1449&lt;&gt;"",V1449&lt;&gt;"",AB1449&lt;&gt;"")),"manuell übersteuert; ","")&amp;IF(AND(BT1449=0,R1449=0),"Gebinde unbekannt / Stellmass fehlt; ","")&amp;IF(AND(BT1449=0,N(V1449)&lt;=0,N(Q1449)&lt;=0),"Menge pro Gebinde fehlt (Ist = 1 Gebinde); ","")&amp;BO1449)</f>
        <v>negativer Bestand (Export -3); Lift 1 lt. Liftbericht (Fach 13 Stk); </v>
      </c>
      <c r="BH1449" s="55"/>
      <c r="BI1449" s="55"/>
      <c r="BJ1449" s="62"/>
      <c r="BK1449" s="57" t="n">
        <v>-3</v>
      </c>
      <c r="BL1449" s="57" t="n">
        <v>0</v>
      </c>
      <c r="BM1449" s="56" t="n">
        <v>-12165.3900000001</v>
      </c>
      <c r="BN1449" s="57" t="n">
        <v>30</v>
      </c>
      <c r="BO1449" s="55"/>
      <c r="BP1449" s="60" t="n">
        <v>0</v>
      </c>
      <c r="BQ1449" s="60" t="n">
        <v>1449</v>
      </c>
      <c r="BR1449" s="55" t="str">
        <f aca="false">IF(U1449&lt;&gt;"",UPPER(TRIM(U1449)),IF(BU1449=1,UPPER(VLOOKUP(T1449,Parameter!$I$27:$K$29,2,0)),IF(P1449="","LOSE",P1449)))</f>
        <v>LOSE</v>
      </c>
      <c r="BS1449" s="57" t="n">
        <f aca="false">IF(BR1449="LOSE",1,IF(N(V1449)&gt;0,V1449,IF(BU1449=1,MAX(1,N(VLOOKUP(T1449,Parameter!$I$27:$K$29,3,0)),H1449,N(N1449)),IF(N(Q1449)&gt;0,Q1449,MAX(1,H1449)))))</f>
        <v>1</v>
      </c>
      <c r="BT1449" s="60" t="n">
        <f aca="false">IF(BR1449="LOSE",1,0)</f>
        <v>1</v>
      </c>
      <c r="BU1449" s="60" t="n">
        <f aca="false">IF(AND(U1449="",OR(P1449="",P1449="LOSE"),T1449&lt;&gt;"",N(S1449)&lt;=0,ISNUMBER(MATCH(T1449,Parameter!$I$27:$I$29,0))),1,0)</f>
        <v>0</v>
      </c>
      <c r="BV1449" s="55" t="n">
        <f aca="false">IF(AND(Parameter!$B$19="Ja",E1449&lt;&gt;"",ISNUMBER(MATCH(E1449,Parameter!$I$35:$I$52,0))),VLOOKUP(E1449,Parameter!$I$35:$J$52,2,0),IFERROR(VLOOKUP(D1449,Parameter!$A$35:$C$64,2,0),"Nein"))</f>
        <v>1</v>
      </c>
      <c r="BW1449" s="59" t="n">
        <f aca="false">IF(BT1449=0,0,IF(N(S1449)&gt;0,S1449,IFERROR(VLOOKUP(D1449,Parameter!$A$35:$C$64,3,0)+0,0)))</f>
        <v>1</v>
      </c>
      <c r="BX1449" s="55" t="n">
        <f aca="false">IF(AA1449&lt;&gt;"",AA1449,Z1449)</f>
        <v>1</v>
      </c>
      <c r="BY1449" s="55" t="str">
        <f aca="false">IF(BX1449=1,"L1",IF(OR(BX1449=2,BX1449=3),"L23",IF(BX1449="Aussen","Aussen","-")))</f>
        <v>L1</v>
      </c>
      <c r="BZ1449" s="66" t="n">
        <f aca="false">IF(N(AB1449)&gt;0,AB1449,0)</f>
        <v>0</v>
      </c>
      <c r="CA1449" s="60" t="n">
        <f aca="false">IF(ISNUMBER(AE1449),1,0)</f>
        <v>0</v>
      </c>
      <c r="CB1449" s="57" t="n">
        <f aca="false">N(AE1449)</f>
        <v>0</v>
      </c>
      <c r="CC1449" s="57" t="n">
        <f aca="false">N(M1449)+N(N1449)</f>
        <v>6</v>
      </c>
      <c r="CD1449" s="57" t="n">
        <f aca="false">ROUNDUP(H1449/BS1449,0)</f>
        <v>6</v>
      </c>
      <c r="CE1449" s="57" t="n">
        <f aca="false">ROUNDUP(CB1449/BS1449,0)</f>
        <v>0</v>
      </c>
      <c r="CF1449" s="60" t="n">
        <f aca="false">IF(BT1449=1,0,IFERROR(VLOOKUP(BR1449,'Gebinde-Kategorie'!$A$5:$M$45,5,0)+0,0))</f>
        <v>0</v>
      </c>
      <c r="CG1449" s="60" t="n">
        <f aca="false">IFERROR(IF(OR(BX1449=1,BX1449=2,BX1449=3),N(INDEX(Parameter!$I$5:$I$7,BX1449)),0),0)</f>
        <v>0</v>
      </c>
      <c r="CH1449" s="59" t="n">
        <f aca="false">IF(AND(Parameter!$B$21="Ja",ISNUMBER(W1449),N(X1449)&gt;0),IFERROR(N(INDEX(Parameter!$L$5:$L$7,W1449))*INDEX(Parameter!$E$5:$E$7,W1449)*X1449/SUMIFS($X$7:$X$1843,$W$7:$W$1843,W1449),0),0)</f>
        <v>1.04048964218456</v>
      </c>
    </row>
    <row r="1450" customFormat="false" ht="15" hidden="false" customHeight="false" outlineLevel="0" collapsed="false">
      <c r="A1450" s="55" t="s">
        <v>2538</v>
      </c>
      <c r="B1450" s="55" t="s">
        <v>431</v>
      </c>
      <c r="C1450" s="55" t="s">
        <v>164</v>
      </c>
      <c r="D1450" s="55" t="s">
        <v>184</v>
      </c>
      <c r="E1450" s="55" t="s">
        <v>185</v>
      </c>
      <c r="F1450" s="55"/>
      <c r="G1450" s="56" t="n">
        <v>456.15</v>
      </c>
      <c r="H1450" s="57" t="n">
        <f aca="false">MAX(0,IF(AND(Parameter!$B$21="Ja",ISNUMBER(Y1450)),Y1450,IF(Parameter!$B$20="Jahresanfang 2025 + Export",BL1450+BK1450,BK1450)))</f>
        <v>0</v>
      </c>
      <c r="I1450" s="57" t="n">
        <f aca="false">H1450*G1450</f>
        <v>0</v>
      </c>
      <c r="J1450" s="57" t="n">
        <f aca="false">BN1450*Parameter!$B$18</f>
        <v>9</v>
      </c>
      <c r="K1450" s="58"/>
      <c r="L1450" s="59"/>
      <c r="M1450" s="57" t="n">
        <v>1</v>
      </c>
      <c r="N1450" s="57" t="n">
        <v>20</v>
      </c>
      <c r="O1450" s="60"/>
      <c r="P1450" s="55" t="s">
        <v>233</v>
      </c>
      <c r="Q1450" s="57" t="n">
        <v>24</v>
      </c>
      <c r="R1450" s="60" t="n">
        <f aca="false">IF(BT1450=1,0,IFERROR(VLOOKUP(BR1450,'Gebinde-Kategorie'!$A$5:$M$45,13,0)+0,0))</f>
        <v>26</v>
      </c>
      <c r="S1450" s="61"/>
      <c r="T1450" s="62"/>
      <c r="U1450" s="62"/>
      <c r="V1450" s="62"/>
      <c r="W1450" s="55"/>
      <c r="X1450" s="57"/>
      <c r="Y1450" s="57"/>
      <c r="Z1450" s="55" t="n">
        <f aca="false">IF(A1450="","",IF(AND(Parameter!$B$21="Ja",ISNUMBER(W1450)),W1450,IF(BV1450="2+3",IF(ISNUMBER(SEARCH("grosser Artikel",BO1450)),2,IFERROR(VLOOKUP(BR1450,Parameter!$F$35:$G$64,2,0),2)),IF(OR(BV1450="Nein",BV1450=""),"-",BV1450))))</f>
        <v>3</v>
      </c>
      <c r="AA1450" s="62"/>
      <c r="AB1450" s="63"/>
      <c r="AC1450" s="57" t="n">
        <f aca="false">AR1450</f>
        <v>24</v>
      </c>
      <c r="AD1450" s="57" t="n">
        <f aca="false">MAX(AR1450,H1450)</f>
        <v>24</v>
      </c>
      <c r="AE1450" s="64"/>
      <c r="AF1450" s="57" t="n">
        <f aca="false">IF(LEFT(Cockpit!$C$5,1)="A",H1450,IF(CA1450=1,CB1450,IF(LEFT(Cockpit!$C$5,1)="B",AJ1450,MAX(AJ1450,H1450))))</f>
        <v>0</v>
      </c>
      <c r="AG1450" s="57" t="n">
        <f aca="false">IF(BT1450=1,0,ROUNDUP(AF1450/BS1450,0))</f>
        <v>0</v>
      </c>
      <c r="AH1450" s="59" t="n">
        <f aca="false">IF(CH1450&gt;0,CH1450*MAX(1,AF1450/X1450),IF(BT1450=1,IF(AF1450&lt;=0,0,BW1450*MAX(1,IF(H1450&gt;0,AF1450/H1450,1))),IF(R1450&gt;0,AG1450/R1450,0))/MAX(0.1,N(Parameter!$M$21)))</f>
        <v>0</v>
      </c>
      <c r="AI1450" s="57" t="n">
        <f aca="false">AF1450*G1450</f>
        <v>0</v>
      </c>
      <c r="AJ1450" s="57" t="n">
        <f aca="false">ROUNDUP(MAX(J1450/IF(BZ1450&gt;0,BZ1450,MAX(0.1,N(Cockpit!$C$6))),CC1450)/BS1450,0)*BS1450</f>
        <v>24</v>
      </c>
      <c r="AK1450" s="58" t="n">
        <f aca="false">IF(AH1450&gt;0,J1450/AH1450,-1)</f>
        <v>-1</v>
      </c>
      <c r="AL1450" s="58" t="str">
        <f aca="false">IF(AND(OR(BY1450="L1",BY1450="L23"),AH1450&gt;0),SUMIFS($AH$7:$AH$1843,$BY$7:$BY$1843,BY1450,$AK$7:$AK$1843,"&gt;"&amp;AK1450)+SUMIFS($AH$7:$AH$1843,$BY$7:$BY$1843,BY1450,$AK$7:$AK$1843,AK1450,$BQ$7:$BQ$1843,"&lt;="&amp;BQ1450),"")</f>
        <v/>
      </c>
      <c r="AM1450" s="65" t="n">
        <f aca="false">IF(AL1450="",0,MAX(0,MIN(1,(IF(BY1450="L1",Parameter!$E$5,Parameter!$E$6+Parameter!$E$7)-(AL1450-AH1450))/AH1450)))</f>
        <v>0</v>
      </c>
      <c r="AN1450" s="57" t="n">
        <f aca="false">IF(LEFT(Cockpit!$I$5,1)="A",H1450,IF(CA1450=1,CB1450,IF(LEFT(Cockpit!$I$5,1)="B",AR1450,MAX(AR1450,H1450))))</f>
        <v>24</v>
      </c>
      <c r="AO1450" s="57" t="n">
        <f aca="false">IF(BT1450=1,0,ROUNDUP(AN1450/BS1450,0))</f>
        <v>1</v>
      </c>
      <c r="AP1450" s="59" t="n">
        <f aca="false">IF(CH1450&gt;0,CH1450*MAX(1,AN1450/X1450),IF(BT1450=1,IF(AN1450&lt;=0,0,BW1450*MAX(1,IF(H1450&gt;0,AN1450/H1450,1))),IF(R1450&gt;0,AO1450/R1450,0))/MAX(0.1,N(Parameter!$M$21)))</f>
        <v>0.0384615384615385</v>
      </c>
      <c r="AQ1450" s="57" t="n">
        <f aca="false">AN1450*G1450</f>
        <v>10947.6</v>
      </c>
      <c r="AR1450" s="57" t="n">
        <f aca="false">ROUNDUP(MAX(J1450/IF(BZ1450&gt;0,BZ1450,MAX(0.1,N(Cockpit!$I$6))),CC1450)/BS1450,0)*BS1450</f>
        <v>24</v>
      </c>
      <c r="AS1450" s="58" t="n">
        <f aca="false">IF(AP1450&gt;0,J1450/AP1450,-1)</f>
        <v>234</v>
      </c>
      <c r="AT1450" s="58" t="n">
        <f aca="false">IF(AND(OR(BY1450="L1",BY1450="L23"),AP1450&gt;0),SUMIFS($AP$7:$AP$1843,$BY$7:$BY$1843,BY1450,$AS$7:$AS$1843,"&gt;"&amp;AS1450)+SUMIFS($AP$7:$AP$1843,$BY$7:$BY$1843,BY1450,$AS$7:$AS$1843,AS1450,$BQ$7:$BQ$1843,"&lt;="&amp;BQ1450),"")</f>
        <v>44.1415830546265</v>
      </c>
      <c r="AU1450" s="65" t="n">
        <f aca="false">IF(AT1450="",0,MAX(0,MIN(1,(IF(BY1450="L1",Parameter!$E$5,Parameter!$E$6+Parameter!$E$7)-(AT1450-AP1450))/AP1450)))</f>
        <v>1</v>
      </c>
      <c r="AV1450" s="57" t="n">
        <f aca="false">IF(LEFT(Cockpit!$O$5,1)="A",H1450,IF(CA1450=1,CB1450,IF(LEFT(Cockpit!$O$5,1)="B",AZ1450,MAX(AZ1450,H1450))))</f>
        <v>24</v>
      </c>
      <c r="AW1450" s="57" t="n">
        <f aca="false">IF(BT1450=1,0,ROUNDUP(AV1450/BS1450,0))</f>
        <v>1</v>
      </c>
      <c r="AX1450" s="59" t="n">
        <f aca="false">IF(CH1450&gt;0,CH1450*MAX(1,AV1450/X1450),IF(BT1450=1,IF(AV1450&lt;=0,0,BW1450*MAX(1,IF(H1450&gt;0,AV1450/H1450,1))),IF(R1450&gt;0,AW1450/R1450,0))/MAX(0.1,N(Parameter!$M$21)))</f>
        <v>0.0384615384615385</v>
      </c>
      <c r="AY1450" s="57" t="n">
        <f aca="false">AV1450*G1450</f>
        <v>10947.6</v>
      </c>
      <c r="AZ1450" s="57" t="n">
        <f aca="false">ROUNDUP(MAX(J1450/IF(BZ1450&gt;0,BZ1450,MAX(0.1,N(Cockpit!$O$6))),CC1450)/BS1450,0)*BS1450</f>
        <v>24</v>
      </c>
      <c r="BA1450" s="58" t="n">
        <f aca="false">IF(AX1450&gt;0,J1450/AX1450,-1)</f>
        <v>234</v>
      </c>
      <c r="BB1450" s="58" t="n">
        <f aca="false">IF(AND(OR(BY1450="L1",BY1450="L23"),AX1450&gt;0),SUMIFS($AX$7:$AX$1843,$BY$7:$BY$1843,BY1450,$BA$7:$BA$1843,"&gt;"&amp;BA1450)+SUMIFS($AX$7:$AX$1843,$BY$7:$BY$1843,BY1450,$BA$7:$BA$1843,BA1450,$BQ$7:$BQ$1843,"&lt;="&amp;BQ1450),"")</f>
        <v>41.38808655113</v>
      </c>
      <c r="BC1450" s="65" t="n">
        <f aca="false">IF(BB1450="",0,MAX(0,MIN(1,(IF(BY1450="L1",Parameter!$E$5,Parameter!$E$6+Parameter!$E$7)-(BB1450-AX1450))/AX1450)))</f>
        <v>1</v>
      </c>
      <c r="BD1450" s="55" t="str">
        <f aca="false">IF(AH1450&lt;=0,"",IF(BY1450="Aussen","Aussenlager",IF(BY1450="-","Nicht im Lift",IF(AM1450&gt;=1,"Lift",IF(AM1450&lt;=0,"Aussenlager","teilweise")))))</f>
        <v/>
      </c>
      <c r="BE1450" s="55" t="str">
        <f aca="false">IF(AP1450&lt;=0,"",IF(BY1450="Aussen","Aussenlager",IF(BY1450="-","Nicht im Lift",IF(AU1450&gt;=1,"Lift",IF(AU1450&lt;=0,"Aussenlager","teilweise")))))</f>
        <v>Lift</v>
      </c>
      <c r="BF1450" s="55" t="str">
        <f aca="false">IF(AX1450&lt;=0,"",IF(BY1450="Aussen","Aussenlager",IF(BY1450="-","Nicht im Lift",IF(BC1450&gt;=1,"Lift",IF(BC1450&lt;=0,"Aussenlager","teilweise")))))</f>
        <v>Lift</v>
      </c>
      <c r="BG1450" s="55" t="str">
        <f aca="false">IF(A1450="","",IF(BP1450=1,"Neu; ","")&amp;IF(AND(BP1450=0,BK1450&lt;0),"negativer Bestand (Export "&amp;BK1450&amp;"); ","")&amp;IF(J1450&lt;=0,"Kein Verbrauch; ","")&amp;IF(CH1450&gt;0,"Lift "&amp;W1450&amp;" lt. Liftbericht (Fach "&amp;X1450&amp;" Stk); ",IF(BU1450=1,"Gebinde geschätzt ("&amp;T1450&amp;"); ",IF(BT1450=1,"Lose – Tablare geschätzt; ","")))&amp;IF(H1450&gt;AR1450,"Überbestand "&amp;ROUND(H1450-AR1450,0)&amp;" Stk / CHF "&amp;ROUND((H1450-AR1450)*G1450,0)&amp;"; ","")&amp;IF(AND(CA1450=1,CB1450&lt;CC1450),"MAX &lt; MB+LG; ","")&amp;IF(AND(CG1450&gt;0,CF1450*10&gt;CG1450),"zu hoch für Tablar; ","")&amp;IF(AND(BP1450=0,OR(CA1450=1,AA1450&lt;&gt;"",U1450&lt;&gt;"",V1450&lt;&gt;"",AB1450&lt;&gt;"")),"manuell übersteuert; ","")&amp;IF(AND(BT1450=0,R1450=0),"Gebinde unbekannt / Stellmass fehlt; ","")&amp;IF(AND(BT1450=0,N(V1450)&lt;=0,N(Q1450)&lt;=0),"Menge pro Gebinde fehlt (Ist = 1 Gebinde); ","")&amp;BO1450)</f>
        <v>negativer Bestand (Export -33); twin</v>
      </c>
      <c r="BH1450" s="55"/>
      <c r="BI1450" s="55"/>
      <c r="BJ1450" s="62"/>
      <c r="BK1450" s="57" t="n">
        <v>-33</v>
      </c>
      <c r="BL1450" s="57" t="n">
        <v>0</v>
      </c>
      <c r="BM1450" s="56" t="n">
        <v>-12841.95</v>
      </c>
      <c r="BN1450" s="57" t="n">
        <v>9</v>
      </c>
      <c r="BO1450" s="55" t="s">
        <v>1741</v>
      </c>
      <c r="BP1450" s="60" t="n">
        <v>0</v>
      </c>
      <c r="BQ1450" s="60" t="n">
        <v>1450</v>
      </c>
      <c r="BR1450" s="55" t="str">
        <f aca="false">IF(U1450&lt;&gt;"",UPPER(TRIM(U1450)),IF(BU1450=1,UPPER(VLOOKUP(T1450,Parameter!$I$27:$K$29,2,0)),IF(P1450="","LOSE",P1450)))</f>
        <v>S52</v>
      </c>
      <c r="BS1450" s="57" t="n">
        <f aca="false">IF(BR1450="LOSE",1,IF(N(V1450)&gt;0,V1450,IF(BU1450=1,MAX(1,N(VLOOKUP(T1450,Parameter!$I$27:$K$29,3,0)),H1450,N(N1450)),IF(N(Q1450)&gt;0,Q1450,MAX(1,H1450)))))</f>
        <v>24</v>
      </c>
      <c r="BT1450" s="60" t="n">
        <f aca="false">IF(BR1450="LOSE",1,0)</f>
        <v>0</v>
      </c>
      <c r="BU1450" s="60" t="n">
        <f aca="false">IF(AND(U1450="",OR(P1450="",P1450="LOSE"),T1450&lt;&gt;"",N(S1450)&lt;=0,ISNUMBER(MATCH(T1450,Parameter!$I$27:$I$29,0))),1,0)</f>
        <v>0</v>
      </c>
      <c r="BV1450" s="55" t="str">
        <f aca="false">IF(AND(Parameter!$B$19="Ja",E1450&lt;&gt;"",ISNUMBER(MATCH(E1450,Parameter!$I$35:$I$52,0))),VLOOKUP(E1450,Parameter!$I$35:$J$52,2,0),IFERROR(VLOOKUP(D1450,Parameter!$A$35:$C$64,2,0),"Nein"))</f>
        <v>2+3</v>
      </c>
      <c r="BW1450" s="59" t="n">
        <f aca="false">IF(BT1450=0,0,IF(N(S1450)&gt;0,S1450,IFERROR(VLOOKUP(D1450,Parameter!$A$35:$C$64,3,0)+0,0)))</f>
        <v>0</v>
      </c>
      <c r="BX1450" s="55" t="n">
        <f aca="false">IF(AA1450&lt;&gt;"",AA1450,Z1450)</f>
        <v>3</v>
      </c>
      <c r="BY1450" s="55" t="str">
        <f aca="false">IF(BX1450=1,"L1",IF(OR(BX1450=2,BX1450=3),"L23",IF(BX1450="Aussen","Aussen","-")))</f>
        <v>L23</v>
      </c>
      <c r="BZ1450" s="66" t="n">
        <f aca="false">IF(N(AB1450)&gt;0,AB1450,0)</f>
        <v>0</v>
      </c>
      <c r="CA1450" s="60" t="n">
        <f aca="false">IF(ISNUMBER(AE1450),1,0)</f>
        <v>0</v>
      </c>
      <c r="CB1450" s="57" t="n">
        <f aca="false">N(AE1450)</f>
        <v>0</v>
      </c>
      <c r="CC1450" s="57" t="n">
        <f aca="false">N(M1450)+N(N1450)</f>
        <v>21</v>
      </c>
      <c r="CD1450" s="57" t="n">
        <f aca="false">ROUNDUP(H1450/BS1450,0)</f>
        <v>0</v>
      </c>
      <c r="CE1450" s="57" t="n">
        <f aca="false">ROUNDUP(CB1450/BS1450,0)</f>
        <v>0</v>
      </c>
      <c r="CF1450" s="60" t="n">
        <f aca="false">IF(BT1450=1,0,IFERROR(VLOOKUP(BR1450,'Gebinde-Kategorie'!$A$5:$M$45,5,0)+0,0))</f>
        <v>21</v>
      </c>
      <c r="CG1450" s="60" t="n">
        <f aca="false">IFERROR(IF(OR(BX1450=1,BX1450=2,BX1450=3),N(INDEX(Parameter!$I$5:$I$7,BX1450)),0),0)</f>
        <v>0</v>
      </c>
      <c r="CH1450" s="59" t="n">
        <f aca="false">IF(AND(Parameter!$B$21="Ja",ISNUMBER(W1450),N(X1450)&gt;0),IFERROR(N(INDEX(Parameter!$L$5:$L$7,W1450))*INDEX(Parameter!$E$5:$E$7,W1450)*X1450/SUMIFS($X$7:$X$1843,$W$7:$W$1843,W1450),0),0)</f>
        <v>0</v>
      </c>
    </row>
    <row r="1451" customFormat="false" ht="15" hidden="false" customHeight="false" outlineLevel="0" collapsed="false">
      <c r="A1451" s="55" t="s">
        <v>2539</v>
      </c>
      <c r="B1451" s="55" t="s">
        <v>2540</v>
      </c>
      <c r="C1451" s="55" t="s">
        <v>164</v>
      </c>
      <c r="D1451" s="55" t="s">
        <v>173</v>
      </c>
      <c r="E1451" s="55" t="s">
        <v>185</v>
      </c>
      <c r="F1451" s="55"/>
      <c r="G1451" s="56" t="n">
        <v>216.49</v>
      </c>
      <c r="H1451" s="57" t="n">
        <f aca="false">MAX(0,IF(AND(Parameter!$B$21="Ja",ISNUMBER(Y1451)),Y1451,IF(Parameter!$B$20="Jahresanfang 2025 + Export",BL1451+BK1451,BK1451)))</f>
        <v>0</v>
      </c>
      <c r="I1451" s="57" t="n">
        <f aca="false">H1451*G1451</f>
        <v>0</v>
      </c>
      <c r="J1451" s="57" t="n">
        <f aca="false">BN1451*Parameter!$B$18</f>
        <v>849</v>
      </c>
      <c r="K1451" s="58"/>
      <c r="L1451" s="59"/>
      <c r="M1451" s="57" t="n">
        <v>49</v>
      </c>
      <c r="N1451" s="57" t="n">
        <v>90</v>
      </c>
      <c r="O1451" s="60"/>
      <c r="P1451" s="55" t="s">
        <v>174</v>
      </c>
      <c r="Q1451" s="57" t="n">
        <v>30</v>
      </c>
      <c r="R1451" s="60" t="n">
        <f aca="false">IF(BT1451=1,0,IFERROR(VLOOKUP(BR1451,'Gebinde-Kategorie'!$A$5:$M$45,13,0)+0,0))</f>
        <v>6</v>
      </c>
      <c r="S1451" s="61"/>
      <c r="T1451" s="62"/>
      <c r="U1451" s="62"/>
      <c r="V1451" s="62"/>
      <c r="W1451" s="55"/>
      <c r="X1451" s="57"/>
      <c r="Y1451" s="57"/>
      <c r="Z1451" s="55" t="n">
        <f aca="false">IF(A1451="","",IF(AND(Parameter!$B$21="Ja",ISNUMBER(W1451)),W1451,IF(BV1451="2+3",IF(ISNUMBER(SEARCH("grosser Artikel",BO1451)),2,IFERROR(VLOOKUP(BR1451,Parameter!$F$35:$G$64,2,0),2)),IF(OR(BV1451="Nein",BV1451=""),"-",BV1451))))</f>
        <v>2</v>
      </c>
      <c r="AA1451" s="62"/>
      <c r="AB1451" s="63"/>
      <c r="AC1451" s="57" t="n">
        <f aca="false">AR1451</f>
        <v>450</v>
      </c>
      <c r="AD1451" s="57" t="n">
        <f aca="false">MAX(AR1451,H1451)</f>
        <v>450</v>
      </c>
      <c r="AE1451" s="64"/>
      <c r="AF1451" s="57" t="n">
        <f aca="false">IF(LEFT(Cockpit!$C$5,1)="A",H1451,IF(CA1451=1,CB1451,IF(LEFT(Cockpit!$C$5,1)="B",AJ1451,MAX(AJ1451,H1451))))</f>
        <v>0</v>
      </c>
      <c r="AG1451" s="57" t="n">
        <f aca="false">IF(BT1451=1,0,ROUNDUP(AF1451/BS1451,0))</f>
        <v>0</v>
      </c>
      <c r="AH1451" s="59" t="n">
        <f aca="false">IF(CH1451&gt;0,CH1451*MAX(1,AF1451/X1451),IF(BT1451=1,IF(AF1451&lt;=0,0,BW1451*MAX(1,IF(H1451&gt;0,AF1451/H1451,1))),IF(R1451&gt;0,AG1451/R1451,0))/MAX(0.1,N(Parameter!$M$21)))</f>
        <v>0</v>
      </c>
      <c r="AI1451" s="57" t="n">
        <f aca="false">AF1451*G1451</f>
        <v>0</v>
      </c>
      <c r="AJ1451" s="57" t="n">
        <f aca="false">ROUNDUP(MAX(J1451/IF(BZ1451&gt;0,BZ1451,MAX(0.1,N(Cockpit!$C$6))),CC1451)/BS1451,0)*BS1451</f>
        <v>450</v>
      </c>
      <c r="AK1451" s="58" t="n">
        <f aca="false">IF(AH1451&gt;0,J1451/AH1451,-1)</f>
        <v>-1</v>
      </c>
      <c r="AL1451" s="58" t="str">
        <f aca="false">IF(AND(OR(BY1451="L1",BY1451="L23"),AH1451&gt;0),SUMIFS($AH$7:$AH$1843,$BY$7:$BY$1843,BY1451,$AK$7:$AK$1843,"&gt;"&amp;AK1451)+SUMIFS($AH$7:$AH$1843,$BY$7:$BY$1843,BY1451,$AK$7:$AK$1843,AK1451,$BQ$7:$BQ$1843,"&lt;="&amp;BQ1451),"")</f>
        <v/>
      </c>
      <c r="AM1451" s="65" t="n">
        <f aca="false">IF(AL1451="",0,MAX(0,MIN(1,(IF(BY1451="L1",Parameter!$E$5,Parameter!$E$6+Parameter!$E$7)-(AL1451-AH1451))/AH1451)))</f>
        <v>0</v>
      </c>
      <c r="AN1451" s="57" t="n">
        <f aca="false">IF(LEFT(Cockpit!$I$5,1)="A",H1451,IF(CA1451=1,CB1451,IF(LEFT(Cockpit!$I$5,1)="B",AR1451,MAX(AR1451,H1451))))</f>
        <v>450</v>
      </c>
      <c r="AO1451" s="57" t="n">
        <f aca="false">IF(BT1451=1,0,ROUNDUP(AN1451/BS1451,0))</f>
        <v>15</v>
      </c>
      <c r="AP1451" s="59" t="n">
        <f aca="false">IF(CH1451&gt;0,CH1451*MAX(1,AN1451/X1451),IF(BT1451=1,IF(AN1451&lt;=0,0,BW1451*MAX(1,IF(H1451&gt;0,AN1451/H1451,1))),IF(R1451&gt;0,AO1451/R1451,0))/MAX(0.1,N(Parameter!$M$21)))</f>
        <v>2.5</v>
      </c>
      <c r="AQ1451" s="57" t="n">
        <f aca="false">AN1451*G1451</f>
        <v>97420.5</v>
      </c>
      <c r="AR1451" s="57" t="n">
        <f aca="false">ROUNDUP(MAX(J1451/IF(BZ1451&gt;0,BZ1451,MAX(0.1,N(Cockpit!$I$6))),CC1451)/BS1451,0)*BS1451</f>
        <v>450</v>
      </c>
      <c r="AS1451" s="58" t="n">
        <f aca="false">IF(AP1451&gt;0,J1451/AP1451,-1)</f>
        <v>339.6</v>
      </c>
      <c r="AT1451" s="58" t="n">
        <f aca="false">IF(AND(OR(BY1451="L1",BY1451="L23"),AP1451&gt;0),SUMIFS($AP$7:$AP$1843,$BY$7:$BY$1843,BY1451,$AS$7:$AS$1843,"&gt;"&amp;AS1451)+SUMIFS($AP$7:$AP$1843,$BY$7:$BY$1843,BY1451,$AS$7:$AS$1843,AS1451,$BQ$7:$BQ$1843,"&lt;="&amp;BQ1451),"")</f>
        <v>39.8041704672139</v>
      </c>
      <c r="AU1451" s="65" t="n">
        <f aca="false">IF(AT1451="",0,MAX(0,MIN(1,(IF(BY1451="L1",Parameter!$E$5,Parameter!$E$6+Parameter!$E$7)-(AT1451-AP1451))/AP1451)))</f>
        <v>1</v>
      </c>
      <c r="AV1451" s="57" t="n">
        <f aca="false">IF(LEFT(Cockpit!$O$5,1)="A",H1451,IF(CA1451=1,CB1451,IF(LEFT(Cockpit!$O$5,1)="B",AZ1451,MAX(AZ1451,H1451))))</f>
        <v>300</v>
      </c>
      <c r="AW1451" s="57" t="n">
        <f aca="false">IF(BT1451=1,0,ROUNDUP(AV1451/BS1451,0))</f>
        <v>10</v>
      </c>
      <c r="AX1451" s="59" t="n">
        <f aca="false">IF(CH1451&gt;0,CH1451*MAX(1,AV1451/X1451),IF(BT1451=1,IF(AV1451&lt;=0,0,BW1451*MAX(1,IF(H1451&gt;0,AV1451/H1451,1))),IF(R1451&gt;0,AW1451/R1451,0))/MAX(0.1,N(Parameter!$M$21)))</f>
        <v>1.66666666666667</v>
      </c>
      <c r="AY1451" s="57" t="n">
        <f aca="false">AV1451*G1451</f>
        <v>64947</v>
      </c>
      <c r="AZ1451" s="57" t="n">
        <f aca="false">ROUNDUP(MAX(J1451/IF(BZ1451&gt;0,BZ1451,MAX(0.1,N(Cockpit!$O$6))),CC1451)/BS1451,0)*BS1451</f>
        <v>300</v>
      </c>
      <c r="BA1451" s="58" t="n">
        <f aca="false">IF(AX1451&gt;0,J1451/AX1451,-1)</f>
        <v>509.4</v>
      </c>
      <c r="BB1451" s="58" t="n">
        <f aca="false">IF(AND(OR(BY1451="L1",BY1451="L23"),AX1451&gt;0),SUMIFS($AX$7:$AX$1843,$BY$7:$BY$1843,BY1451,$BA$7:$BA$1843,"&gt;"&amp;BA1451)+SUMIFS($AX$7:$AX$1843,$BY$7:$BY$1843,BY1451,$BA$7:$BA$1843,BA1451,$BQ$7:$BQ$1843,"&lt;="&amp;BQ1451),"")</f>
        <v>32.1206209249688</v>
      </c>
      <c r="BC1451" s="65" t="n">
        <f aca="false">IF(BB1451="",0,MAX(0,MIN(1,(IF(BY1451="L1",Parameter!$E$5,Parameter!$E$6+Parameter!$E$7)-(BB1451-AX1451))/AX1451)))</f>
        <v>1</v>
      </c>
      <c r="BD1451" s="55" t="str">
        <f aca="false">IF(AH1451&lt;=0,"",IF(BY1451="Aussen","Aussenlager",IF(BY1451="-","Nicht im Lift",IF(AM1451&gt;=1,"Lift",IF(AM1451&lt;=0,"Aussenlager","teilweise")))))</f>
        <v/>
      </c>
      <c r="BE1451" s="55" t="str">
        <f aca="false">IF(AP1451&lt;=0,"",IF(BY1451="Aussen","Aussenlager",IF(BY1451="-","Nicht im Lift",IF(AU1451&gt;=1,"Lift",IF(AU1451&lt;=0,"Aussenlager","teilweise")))))</f>
        <v>Lift</v>
      </c>
      <c r="BF1451" s="55" t="str">
        <f aca="false">IF(AX1451&lt;=0,"",IF(BY1451="Aussen","Aussenlager",IF(BY1451="-","Nicht im Lift",IF(BC1451&gt;=1,"Lift",IF(BC1451&lt;=0,"Aussenlager","teilweise")))))</f>
        <v>Lift</v>
      </c>
      <c r="BG1451" s="55" t="str">
        <f aca="false">IF(A1451="","",IF(BP1451=1,"Neu; ","")&amp;IF(AND(BP1451=0,BK1451&lt;0),"negativer Bestand (Export "&amp;BK1451&amp;"); ","")&amp;IF(J1451&lt;=0,"Kein Verbrauch; ","")&amp;IF(CH1451&gt;0,"Lift "&amp;W1451&amp;" lt. Liftbericht (Fach "&amp;X1451&amp;" Stk); ",IF(BU1451=1,"Gebinde geschätzt ("&amp;T1451&amp;"); ",IF(BT1451=1,"Lose – Tablare geschätzt; ","")))&amp;IF(H1451&gt;AR1451,"Überbestand "&amp;ROUND(H1451-AR1451,0)&amp;" Stk / CHF "&amp;ROUND((H1451-AR1451)*G1451,0)&amp;"; ","")&amp;IF(AND(CA1451=1,CB1451&lt;CC1451),"MAX &lt; MB+LG; ","")&amp;IF(AND(CG1451&gt;0,CF1451*10&gt;CG1451),"zu hoch für Tablar; ","")&amp;IF(AND(BP1451=0,OR(CA1451=1,AA1451&lt;&gt;"",U1451&lt;&gt;"",V1451&lt;&gt;"",AB1451&lt;&gt;"")),"manuell übersteuert; ","")&amp;IF(AND(BT1451=0,R1451=0),"Gebinde unbekannt / Stellmass fehlt; ","")&amp;IF(AND(BT1451=0,N(V1451)&lt;=0,N(Q1451)&lt;=0),"Menge pro Gebinde fehlt (Ist = 1 Gebinde); ","")&amp;BO1451)</f>
        <v>negativer Bestand (Export -57); grosser Artikel &amp; nicht im KTL</v>
      </c>
      <c r="BH1451" s="55"/>
      <c r="BI1451" s="55"/>
      <c r="BJ1451" s="62"/>
      <c r="BK1451" s="57" t="n">
        <v>-57</v>
      </c>
      <c r="BL1451" s="57" t="n">
        <v>0</v>
      </c>
      <c r="BM1451" s="56" t="n">
        <v>-12923.04</v>
      </c>
      <c r="BN1451" s="57" t="n">
        <v>849</v>
      </c>
      <c r="BO1451" s="55" t="s">
        <v>261</v>
      </c>
      <c r="BP1451" s="60" t="n">
        <v>0</v>
      </c>
      <c r="BQ1451" s="60" t="n">
        <v>1451</v>
      </c>
      <c r="BR1451" s="55" t="str">
        <f aca="false">IF(U1451&lt;&gt;"",UPPER(TRIM(U1451)),IF(BU1451=1,UPPER(VLOOKUP(T1451,Parameter!$I$27:$K$29,2,0)),IF(P1451="","LOSE",P1451)))</f>
        <v>S71</v>
      </c>
      <c r="BS1451" s="57" t="n">
        <f aca="false">IF(BR1451="LOSE",1,IF(N(V1451)&gt;0,V1451,IF(BU1451=1,MAX(1,N(VLOOKUP(T1451,Parameter!$I$27:$K$29,3,0)),H1451,N(N1451)),IF(N(Q1451)&gt;0,Q1451,MAX(1,H1451)))))</f>
        <v>30</v>
      </c>
      <c r="BT1451" s="60" t="n">
        <f aca="false">IF(BR1451="LOSE",1,0)</f>
        <v>0</v>
      </c>
      <c r="BU1451" s="60" t="n">
        <f aca="false">IF(AND(U1451="",OR(P1451="",P1451="LOSE"),T1451&lt;&gt;"",N(S1451)&lt;=0,ISNUMBER(MATCH(T1451,Parameter!$I$27:$I$29,0))),1,0)</f>
        <v>0</v>
      </c>
      <c r="BV1451" s="55" t="str">
        <f aca="false">IF(AND(Parameter!$B$19="Ja",E1451&lt;&gt;"",ISNUMBER(MATCH(E1451,Parameter!$I$35:$I$52,0))),VLOOKUP(E1451,Parameter!$I$35:$J$52,2,0),IFERROR(VLOOKUP(D1451,Parameter!$A$35:$C$64,2,0),"Nein"))</f>
        <v>2+3</v>
      </c>
      <c r="BW1451" s="59" t="n">
        <f aca="false">IF(BT1451=0,0,IF(N(S1451)&gt;0,S1451,IFERROR(VLOOKUP(D1451,Parameter!$A$35:$C$64,3,0)+0,0)))</f>
        <v>0</v>
      </c>
      <c r="BX1451" s="55" t="n">
        <f aca="false">IF(AA1451&lt;&gt;"",AA1451,Z1451)</f>
        <v>2</v>
      </c>
      <c r="BY1451" s="55" t="str">
        <f aca="false">IF(BX1451=1,"L1",IF(OR(BX1451=2,BX1451=3),"L23",IF(BX1451="Aussen","Aussen","-")))</f>
        <v>L23</v>
      </c>
      <c r="BZ1451" s="66" t="n">
        <f aca="false">IF(N(AB1451)&gt;0,AB1451,0)</f>
        <v>0</v>
      </c>
      <c r="CA1451" s="60" t="n">
        <f aca="false">IF(ISNUMBER(AE1451),1,0)</f>
        <v>0</v>
      </c>
      <c r="CB1451" s="57" t="n">
        <f aca="false">N(AE1451)</f>
        <v>0</v>
      </c>
      <c r="CC1451" s="57" t="n">
        <f aca="false">N(M1451)+N(N1451)</f>
        <v>139</v>
      </c>
      <c r="CD1451" s="57" t="n">
        <f aca="false">ROUNDUP(H1451/BS1451,0)</f>
        <v>0</v>
      </c>
      <c r="CE1451" s="57" t="n">
        <f aca="false">ROUNDUP(CB1451/BS1451,0)</f>
        <v>0</v>
      </c>
      <c r="CF1451" s="60" t="n">
        <f aca="false">IF(BT1451=1,0,IFERROR(VLOOKUP(BR1451,'Gebinde-Kategorie'!$A$5:$M$45,5,0)+0,0))</f>
        <v>20</v>
      </c>
      <c r="CG1451" s="60" t="n">
        <f aca="false">IFERROR(IF(OR(BX1451=1,BX1451=2,BX1451=3),N(INDEX(Parameter!$I$5:$I$7,BX1451)),0),0)</f>
        <v>0</v>
      </c>
      <c r="CH1451" s="59" t="n">
        <f aca="false">IF(AND(Parameter!$B$21="Ja",ISNUMBER(W1451),N(X1451)&gt;0),IFERROR(N(INDEX(Parameter!$L$5:$L$7,W1451))*INDEX(Parameter!$E$5:$E$7,W1451)*X1451/SUMIFS($X$7:$X$1843,$W$7:$W$1843,W1451),0),0)</f>
        <v>0</v>
      </c>
    </row>
    <row r="1452" customFormat="false" ht="15" hidden="false" customHeight="false" outlineLevel="0" collapsed="false">
      <c r="A1452" s="55" t="s">
        <v>2541</v>
      </c>
      <c r="B1452" s="55" t="s">
        <v>339</v>
      </c>
      <c r="C1452" s="55" t="s">
        <v>164</v>
      </c>
      <c r="D1452" s="55" t="s">
        <v>173</v>
      </c>
      <c r="E1452" s="55" t="s">
        <v>166</v>
      </c>
      <c r="F1452" s="55"/>
      <c r="G1452" s="56" t="n">
        <v>457</v>
      </c>
      <c r="H1452" s="57" t="n">
        <f aca="false">MAX(0,IF(AND(Parameter!$B$21="Ja",ISNUMBER(Y1452)),Y1452,IF(Parameter!$B$20="Jahresanfang 2025 + Export",BL1452+BK1452,BK1452)))</f>
        <v>0</v>
      </c>
      <c r="I1452" s="57" t="n">
        <f aca="false">H1452*G1452</f>
        <v>0</v>
      </c>
      <c r="J1452" s="57" t="n">
        <f aca="false">BN1452*Parameter!$B$18</f>
        <v>0</v>
      </c>
      <c r="K1452" s="58"/>
      <c r="L1452" s="59"/>
      <c r="M1452" s="57" t="n">
        <v>0</v>
      </c>
      <c r="N1452" s="57" t="n">
        <v>1</v>
      </c>
      <c r="O1452" s="60"/>
      <c r="P1452" s="55" t="s">
        <v>174</v>
      </c>
      <c r="Q1452" s="57" t="n">
        <v>4</v>
      </c>
      <c r="R1452" s="60" t="n">
        <f aca="false">IF(BT1452=1,0,IFERROR(VLOOKUP(BR1452,'Gebinde-Kategorie'!$A$5:$M$45,13,0)+0,0))</f>
        <v>6</v>
      </c>
      <c r="S1452" s="61"/>
      <c r="T1452" s="62"/>
      <c r="U1452" s="62"/>
      <c r="V1452" s="62"/>
      <c r="W1452" s="55"/>
      <c r="X1452" s="57"/>
      <c r="Y1452" s="57"/>
      <c r="Z1452" s="55" t="n">
        <f aca="false">IF(A1452="","",IF(AND(Parameter!$B$21="Ja",ISNUMBER(W1452)),W1452,IF(BV1452="2+3",IF(ISNUMBER(SEARCH("grosser Artikel",BO1452)),2,IFERROR(VLOOKUP(BR1452,Parameter!$F$35:$G$64,2,0),2)),IF(OR(BV1452="Nein",BV1452=""),"-",BV1452))))</f>
        <v>1</v>
      </c>
      <c r="AA1452" s="62"/>
      <c r="AB1452" s="63"/>
      <c r="AC1452" s="57" t="n">
        <f aca="false">AR1452</f>
        <v>4</v>
      </c>
      <c r="AD1452" s="57" t="n">
        <f aca="false">MAX(AR1452,H1452)</f>
        <v>4</v>
      </c>
      <c r="AE1452" s="64"/>
      <c r="AF1452" s="57" t="n">
        <f aca="false">IF(LEFT(Cockpit!$C$5,1)="A",H1452,IF(CA1452=1,CB1452,IF(LEFT(Cockpit!$C$5,1)="B",AJ1452,MAX(AJ1452,H1452))))</f>
        <v>0</v>
      </c>
      <c r="AG1452" s="57" t="n">
        <f aca="false">IF(BT1452=1,0,ROUNDUP(AF1452/BS1452,0))</f>
        <v>0</v>
      </c>
      <c r="AH1452" s="59" t="n">
        <f aca="false">IF(CH1452&gt;0,CH1452*MAX(1,AF1452/X1452),IF(BT1452=1,IF(AF1452&lt;=0,0,BW1452*MAX(1,IF(H1452&gt;0,AF1452/H1452,1))),IF(R1452&gt;0,AG1452/R1452,0))/MAX(0.1,N(Parameter!$M$21)))</f>
        <v>0</v>
      </c>
      <c r="AI1452" s="57" t="n">
        <f aca="false">AF1452*G1452</f>
        <v>0</v>
      </c>
      <c r="AJ1452" s="57" t="n">
        <f aca="false">ROUNDUP(MAX(J1452/IF(BZ1452&gt;0,BZ1452,MAX(0.1,N(Cockpit!$C$6))),CC1452)/BS1452,0)*BS1452</f>
        <v>4</v>
      </c>
      <c r="AK1452" s="58" t="n">
        <f aca="false">IF(AH1452&gt;0,J1452/AH1452,-1)</f>
        <v>-1</v>
      </c>
      <c r="AL1452" s="58" t="str">
        <f aca="false">IF(AND(OR(BY1452="L1",BY1452="L23"),AH1452&gt;0),SUMIFS($AH$7:$AH$1843,$BY$7:$BY$1843,BY1452,$AK$7:$AK$1843,"&gt;"&amp;AK1452)+SUMIFS($AH$7:$AH$1843,$BY$7:$BY$1843,BY1452,$AK$7:$AK$1843,AK1452,$BQ$7:$BQ$1843,"&lt;="&amp;BQ1452),"")</f>
        <v/>
      </c>
      <c r="AM1452" s="65" t="n">
        <f aca="false">IF(AL1452="",0,MAX(0,MIN(1,(IF(BY1452="L1",Parameter!$E$5,Parameter!$E$6+Parameter!$E$7)-(AL1452-AH1452))/AH1452)))</f>
        <v>0</v>
      </c>
      <c r="AN1452" s="57" t="n">
        <f aca="false">IF(LEFT(Cockpit!$I$5,1)="A",H1452,IF(CA1452=1,CB1452,IF(LEFT(Cockpit!$I$5,1)="B",AR1452,MAX(AR1452,H1452))))</f>
        <v>4</v>
      </c>
      <c r="AO1452" s="57" t="n">
        <f aca="false">IF(BT1452=1,0,ROUNDUP(AN1452/BS1452,0))</f>
        <v>1</v>
      </c>
      <c r="AP1452" s="59" t="n">
        <f aca="false">IF(CH1452&gt;0,CH1452*MAX(1,AN1452/X1452),IF(BT1452=1,IF(AN1452&lt;=0,0,BW1452*MAX(1,IF(H1452&gt;0,AN1452/H1452,1))),IF(R1452&gt;0,AO1452/R1452,0))/MAX(0.1,N(Parameter!$M$21)))</f>
        <v>0.166666666666667</v>
      </c>
      <c r="AQ1452" s="57" t="n">
        <f aca="false">AN1452*G1452</f>
        <v>1828</v>
      </c>
      <c r="AR1452" s="57" t="n">
        <f aca="false">ROUNDUP(MAX(J1452/IF(BZ1452&gt;0,BZ1452,MAX(0.1,N(Cockpit!$I$6))),CC1452)/BS1452,0)*BS1452</f>
        <v>4</v>
      </c>
      <c r="AS1452" s="58" t="n">
        <f aca="false">IF(AP1452&gt;0,J1452/AP1452,-1)</f>
        <v>0</v>
      </c>
      <c r="AT1452" s="58" t="n">
        <f aca="false">IF(AND(OR(BY1452="L1",BY1452="L23"),AP1452&gt;0),SUMIFS($AP$7:$AP$1843,$BY$7:$BY$1843,BY1452,$AS$7:$AS$1843,"&gt;"&amp;AS1452)+SUMIFS($AP$7:$AP$1843,$BY$7:$BY$1843,BY1452,$AS$7:$AS$1843,AS1452,$BQ$7:$BQ$1843,"&lt;="&amp;BQ1452),"")</f>
        <v>68.2551096246748</v>
      </c>
      <c r="AU1452" s="65" t="n">
        <f aca="false">IF(AT1452="",0,MAX(0,MIN(1,(IF(BY1452="L1",Parameter!$E$5,Parameter!$E$6+Parameter!$E$7)-(AT1452-AP1452))/AP1452)))</f>
        <v>0</v>
      </c>
      <c r="AV1452" s="57" t="n">
        <f aca="false">IF(LEFT(Cockpit!$O$5,1)="A",H1452,IF(CA1452=1,CB1452,IF(LEFT(Cockpit!$O$5,1)="B",AZ1452,MAX(AZ1452,H1452))))</f>
        <v>4</v>
      </c>
      <c r="AW1452" s="57" t="n">
        <f aca="false">IF(BT1452=1,0,ROUNDUP(AV1452/BS1452,0))</f>
        <v>1</v>
      </c>
      <c r="AX1452" s="59" t="n">
        <f aca="false">IF(CH1452&gt;0,CH1452*MAX(1,AV1452/X1452),IF(BT1452=1,IF(AV1452&lt;=0,0,BW1452*MAX(1,IF(H1452&gt;0,AV1452/H1452,1))),IF(R1452&gt;0,AW1452/R1452,0))/MAX(0.1,N(Parameter!$M$21)))</f>
        <v>0.166666666666667</v>
      </c>
      <c r="AY1452" s="57" t="n">
        <f aca="false">AV1452*G1452</f>
        <v>1828</v>
      </c>
      <c r="AZ1452" s="57" t="n">
        <f aca="false">ROUNDUP(MAX(J1452/IF(BZ1452&gt;0,BZ1452,MAX(0.1,N(Cockpit!$O$6))),CC1452)/BS1452,0)*BS1452</f>
        <v>4</v>
      </c>
      <c r="BA1452" s="58" t="n">
        <f aca="false">IF(AX1452&gt;0,J1452/AX1452,-1)</f>
        <v>0</v>
      </c>
      <c r="BB1452" s="58" t="n">
        <f aca="false">IF(AND(OR(BY1452="L1",BY1452="L23"),AX1452&gt;0),SUMIFS($AX$7:$AX$1843,$BY$7:$BY$1843,BY1452,$BA$7:$BA$1843,"&gt;"&amp;BA1452)+SUMIFS($AX$7:$AX$1843,$BY$7:$BY$1843,BY1452,$BA$7:$BA$1843,BA1452,$BQ$7:$BQ$1843,"&lt;="&amp;BQ1452),"")</f>
        <v>61.9219211558932</v>
      </c>
      <c r="BC1452" s="65" t="n">
        <f aca="false">IF(BB1452="",0,MAX(0,MIN(1,(IF(BY1452="L1",Parameter!$E$5,Parameter!$E$6+Parameter!$E$7)-(BB1452-AX1452))/AX1452)))</f>
        <v>0</v>
      </c>
      <c r="BD1452" s="55" t="str">
        <f aca="false">IF(AH1452&lt;=0,"",IF(BY1452="Aussen","Aussenlager",IF(BY1452="-","Nicht im Lift",IF(AM1452&gt;=1,"Lift",IF(AM1452&lt;=0,"Aussenlager","teilweise")))))</f>
        <v/>
      </c>
      <c r="BE1452" s="55" t="str">
        <f aca="false">IF(AP1452&lt;=0,"",IF(BY1452="Aussen","Aussenlager",IF(BY1452="-","Nicht im Lift",IF(AU1452&gt;=1,"Lift",IF(AU1452&lt;=0,"Aussenlager","teilweise")))))</f>
        <v>Aussenlager</v>
      </c>
      <c r="BF1452" s="55" t="str">
        <f aca="false">IF(AX1452&lt;=0,"",IF(BY1452="Aussen","Aussenlager",IF(BY1452="-","Nicht im Lift",IF(BC1452&gt;=1,"Lift",IF(BC1452&lt;=0,"Aussenlager","teilweise")))))</f>
        <v>Aussenlager</v>
      </c>
      <c r="BG1452" s="55" t="str">
        <f aca="false">IF(A1452="","",IF(BP1452=1,"Neu; ","")&amp;IF(AND(BP1452=0,BK1452&lt;0),"negativer Bestand (Export "&amp;BK1452&amp;"); ","")&amp;IF(J1452&lt;=0,"Kein Verbrauch; ","")&amp;IF(CH1452&gt;0,"Lift "&amp;W1452&amp;" lt. Liftbericht (Fach "&amp;X1452&amp;" Stk); ",IF(BU1452=1,"Gebinde geschätzt ("&amp;T1452&amp;"); ",IF(BT1452=1,"Lose – Tablare geschätzt; ","")))&amp;IF(H1452&gt;AR1452,"Überbestand "&amp;ROUND(H1452-AR1452,0)&amp;" Stk / CHF "&amp;ROUND((H1452-AR1452)*G1452,0)&amp;"; ","")&amp;IF(AND(CA1452=1,CB1452&lt;CC1452),"MAX &lt; MB+LG; ","")&amp;IF(AND(CG1452&gt;0,CF1452*10&gt;CG1452),"zu hoch für Tablar; ","")&amp;IF(AND(BP1452=0,OR(CA1452=1,AA1452&lt;&gt;"",U1452&lt;&gt;"",V1452&lt;&gt;"",AB1452&lt;&gt;"")),"manuell übersteuert; ","")&amp;IF(AND(BT1452=0,R1452=0),"Gebinde unbekannt / Stellmass fehlt; ","")&amp;IF(AND(BT1452=0,N(V1452)&lt;=0,N(Q1452)&lt;=0),"Menge pro Gebinde fehlt (Ist = 1 Gebinde); ","")&amp;BO1452)</f>
        <v>negativer Bestand (Export -29); Kein Verbrauch; </v>
      </c>
      <c r="BH1452" s="55"/>
      <c r="BI1452" s="55"/>
      <c r="BJ1452" s="62"/>
      <c r="BK1452" s="57" t="n">
        <v>-29</v>
      </c>
      <c r="BL1452" s="57" t="n">
        <v>0</v>
      </c>
      <c r="BM1452" s="56" t="n">
        <v>-13253</v>
      </c>
      <c r="BN1452" s="57" t="n">
        <v>0</v>
      </c>
      <c r="BO1452" s="55"/>
      <c r="BP1452" s="60" t="n">
        <v>0</v>
      </c>
      <c r="BQ1452" s="60" t="n">
        <v>1452</v>
      </c>
      <c r="BR1452" s="55" t="str">
        <f aca="false">IF(U1452&lt;&gt;"",UPPER(TRIM(U1452)),IF(BU1452=1,UPPER(VLOOKUP(T1452,Parameter!$I$27:$K$29,2,0)),IF(P1452="","LOSE",P1452)))</f>
        <v>S71</v>
      </c>
      <c r="BS1452" s="57" t="n">
        <f aca="false">IF(BR1452="LOSE",1,IF(N(V1452)&gt;0,V1452,IF(BU1452=1,MAX(1,N(VLOOKUP(T1452,Parameter!$I$27:$K$29,3,0)),H1452,N(N1452)),IF(N(Q1452)&gt;0,Q1452,MAX(1,H1452)))))</f>
        <v>4</v>
      </c>
      <c r="BT1452" s="60" t="n">
        <f aca="false">IF(BR1452="LOSE",1,0)</f>
        <v>0</v>
      </c>
      <c r="BU1452" s="60" t="n">
        <f aca="false">IF(AND(U1452="",OR(P1452="",P1452="LOSE"),T1452&lt;&gt;"",N(S1452)&lt;=0,ISNUMBER(MATCH(T1452,Parameter!$I$27:$I$29,0))),1,0)</f>
        <v>0</v>
      </c>
      <c r="BV1452" s="55" t="n">
        <f aca="false">IF(AND(Parameter!$B$19="Ja",E1452&lt;&gt;"",ISNUMBER(MATCH(E1452,Parameter!$I$35:$I$52,0))),VLOOKUP(E1452,Parameter!$I$35:$J$52,2,0),IFERROR(VLOOKUP(D1452,Parameter!$A$35:$C$64,2,0),"Nein"))</f>
        <v>1</v>
      </c>
      <c r="BW1452" s="59" t="n">
        <f aca="false">IF(BT1452=0,0,IF(N(S1452)&gt;0,S1452,IFERROR(VLOOKUP(D1452,Parameter!$A$35:$C$64,3,0)+0,0)))</f>
        <v>0</v>
      </c>
      <c r="BX1452" s="55" t="n">
        <f aca="false">IF(AA1452&lt;&gt;"",AA1452,Z1452)</f>
        <v>1</v>
      </c>
      <c r="BY1452" s="55" t="str">
        <f aca="false">IF(BX1452=1,"L1",IF(OR(BX1452=2,BX1452=3),"L23",IF(BX1452="Aussen","Aussen","-")))</f>
        <v>L1</v>
      </c>
      <c r="BZ1452" s="66" t="n">
        <f aca="false">IF(N(AB1452)&gt;0,AB1452,0)</f>
        <v>0</v>
      </c>
      <c r="CA1452" s="60" t="n">
        <f aca="false">IF(ISNUMBER(AE1452),1,0)</f>
        <v>0</v>
      </c>
      <c r="CB1452" s="57" t="n">
        <f aca="false">N(AE1452)</f>
        <v>0</v>
      </c>
      <c r="CC1452" s="57" t="n">
        <f aca="false">N(M1452)+N(N1452)</f>
        <v>1</v>
      </c>
      <c r="CD1452" s="57" t="n">
        <f aca="false">ROUNDUP(H1452/BS1452,0)</f>
        <v>0</v>
      </c>
      <c r="CE1452" s="57" t="n">
        <f aca="false">ROUNDUP(CB1452/BS1452,0)</f>
        <v>0</v>
      </c>
      <c r="CF1452" s="60" t="n">
        <f aca="false">IF(BT1452=1,0,IFERROR(VLOOKUP(BR1452,'Gebinde-Kategorie'!$A$5:$M$45,5,0)+0,0))</f>
        <v>20</v>
      </c>
      <c r="CG1452" s="60" t="n">
        <f aca="false">IFERROR(IF(OR(BX1452=1,BX1452=2,BX1452=3),N(INDEX(Parameter!$I$5:$I$7,BX1452)),0),0)</f>
        <v>0</v>
      </c>
      <c r="CH1452" s="59" t="n">
        <f aca="false">IF(AND(Parameter!$B$21="Ja",ISNUMBER(W1452),N(X1452)&gt;0),IFERROR(N(INDEX(Parameter!$L$5:$L$7,W1452))*INDEX(Parameter!$E$5:$E$7,W1452)*X1452/SUMIFS($X$7:$X$1843,$W$7:$W$1843,W1452),0),0)</f>
        <v>0</v>
      </c>
    </row>
    <row r="1453" customFormat="false" ht="15" hidden="false" customHeight="false" outlineLevel="0" collapsed="false">
      <c r="A1453" s="55" t="s">
        <v>2542</v>
      </c>
      <c r="B1453" s="55" t="s">
        <v>2172</v>
      </c>
      <c r="C1453" s="55" t="s">
        <v>164</v>
      </c>
      <c r="D1453" s="55" t="s">
        <v>184</v>
      </c>
      <c r="E1453" s="55"/>
      <c r="F1453" s="55"/>
      <c r="G1453" s="56" t="n">
        <v>1521.29</v>
      </c>
      <c r="H1453" s="57" t="n">
        <f aca="false">MAX(0,IF(AND(Parameter!$B$21="Ja",ISNUMBER(Y1453)),Y1453,IF(Parameter!$B$20="Jahresanfang 2025 + Export",BL1453+BK1453,BK1453)))</f>
        <v>0</v>
      </c>
      <c r="I1453" s="57" t="n">
        <f aca="false">H1453*G1453</f>
        <v>0</v>
      </c>
      <c r="J1453" s="57" t="n">
        <f aca="false">BN1453*Parameter!$B$18</f>
        <v>0</v>
      </c>
      <c r="K1453" s="58"/>
      <c r="L1453" s="59"/>
      <c r="M1453" s="57" t="n">
        <v>0</v>
      </c>
      <c r="N1453" s="57" t="n">
        <v>1</v>
      </c>
      <c r="O1453" s="60"/>
      <c r="P1453" s="55" t="s">
        <v>168</v>
      </c>
      <c r="Q1453" s="57"/>
      <c r="R1453" s="60" t="n">
        <f aca="false">IF(BT1453=1,0,IFERROR(VLOOKUP(BR1453,'Gebinde-Kategorie'!$A$5:$M$45,13,0)+0,0))</f>
        <v>12</v>
      </c>
      <c r="S1453" s="61"/>
      <c r="T1453" s="62" t="s">
        <v>179</v>
      </c>
      <c r="U1453" s="62"/>
      <c r="V1453" s="62"/>
      <c r="W1453" s="55"/>
      <c r="X1453" s="57"/>
      <c r="Y1453" s="57"/>
      <c r="Z1453" s="55" t="n">
        <f aca="false">IF(A1453="","",IF(AND(Parameter!$B$21="Ja",ISNUMBER(W1453)),W1453,IF(BV1453="2+3",IF(ISNUMBER(SEARCH("grosser Artikel",BO1453)),2,IFERROR(VLOOKUP(BR1453,Parameter!$F$35:$G$64,2,0),2)),IF(OR(BV1453="Nein",BV1453=""),"-",BV1453))))</f>
        <v>2</v>
      </c>
      <c r="AA1453" s="62"/>
      <c r="AB1453" s="63"/>
      <c r="AC1453" s="57" t="n">
        <f aca="false">AR1453</f>
        <v>4</v>
      </c>
      <c r="AD1453" s="57" t="n">
        <f aca="false">MAX(AR1453,H1453)</f>
        <v>4</v>
      </c>
      <c r="AE1453" s="64"/>
      <c r="AF1453" s="57" t="n">
        <f aca="false">IF(LEFT(Cockpit!$C$5,1)="A",H1453,IF(CA1453=1,CB1453,IF(LEFT(Cockpit!$C$5,1)="B",AJ1453,MAX(AJ1453,H1453))))</f>
        <v>0</v>
      </c>
      <c r="AG1453" s="57" t="n">
        <f aca="false">IF(BT1453=1,0,ROUNDUP(AF1453/BS1453,0))</f>
        <v>0</v>
      </c>
      <c r="AH1453" s="59" t="n">
        <f aca="false">IF(CH1453&gt;0,CH1453*MAX(1,AF1453/X1453),IF(BT1453=1,IF(AF1453&lt;=0,0,BW1453*MAX(1,IF(H1453&gt;0,AF1453/H1453,1))),IF(R1453&gt;0,AG1453/R1453,0))/MAX(0.1,N(Parameter!$M$21)))</f>
        <v>0</v>
      </c>
      <c r="AI1453" s="57" t="n">
        <f aca="false">AF1453*G1453</f>
        <v>0</v>
      </c>
      <c r="AJ1453" s="57" t="n">
        <f aca="false">ROUNDUP(MAX(J1453/IF(BZ1453&gt;0,BZ1453,MAX(0.1,N(Cockpit!$C$6))),CC1453)/BS1453,0)*BS1453</f>
        <v>4</v>
      </c>
      <c r="AK1453" s="58" t="n">
        <f aca="false">IF(AH1453&gt;0,J1453/AH1453,-1)</f>
        <v>-1</v>
      </c>
      <c r="AL1453" s="58" t="str">
        <f aca="false">IF(AND(OR(BY1453="L1",BY1453="L23"),AH1453&gt;0),SUMIFS($AH$7:$AH$1843,$BY$7:$BY$1843,BY1453,$AK$7:$AK$1843,"&gt;"&amp;AK1453)+SUMIFS($AH$7:$AH$1843,$BY$7:$BY$1843,BY1453,$AK$7:$AK$1843,AK1453,$BQ$7:$BQ$1843,"&lt;="&amp;BQ1453),"")</f>
        <v/>
      </c>
      <c r="AM1453" s="65" t="n">
        <f aca="false">IF(AL1453="",0,MAX(0,MIN(1,(IF(BY1453="L1",Parameter!$E$5,Parameter!$E$6+Parameter!$E$7)-(AL1453-AH1453))/AH1453)))</f>
        <v>0</v>
      </c>
      <c r="AN1453" s="57" t="n">
        <f aca="false">IF(LEFT(Cockpit!$I$5,1)="A",H1453,IF(CA1453=1,CB1453,IF(LEFT(Cockpit!$I$5,1)="B",AR1453,MAX(AR1453,H1453))))</f>
        <v>4</v>
      </c>
      <c r="AO1453" s="57" t="n">
        <f aca="false">IF(BT1453=1,0,ROUNDUP(AN1453/BS1453,0))</f>
        <v>1</v>
      </c>
      <c r="AP1453" s="59" t="n">
        <f aca="false">IF(CH1453&gt;0,CH1453*MAX(1,AN1453/X1453),IF(BT1453=1,IF(AN1453&lt;=0,0,BW1453*MAX(1,IF(H1453&gt;0,AN1453/H1453,1))),IF(R1453&gt;0,AO1453/R1453,0))/MAX(0.1,N(Parameter!$M$21)))</f>
        <v>0.0833333333333333</v>
      </c>
      <c r="AQ1453" s="57" t="n">
        <f aca="false">AN1453*G1453</f>
        <v>6085.16</v>
      </c>
      <c r="AR1453" s="57" t="n">
        <f aca="false">ROUNDUP(MAX(J1453/IF(BZ1453&gt;0,BZ1453,MAX(0.1,N(Cockpit!$I$6))),CC1453)/BS1453,0)*BS1453</f>
        <v>4</v>
      </c>
      <c r="AS1453" s="58" t="n">
        <f aca="false">IF(AP1453&gt;0,J1453/AP1453,-1)</f>
        <v>0</v>
      </c>
      <c r="AT1453" s="58" t="n">
        <f aca="false">IF(AND(OR(BY1453="L1",BY1453="L23"),AP1453&gt;0),SUMIFS($AP$7:$AP$1843,$BY$7:$BY$1843,BY1453,$AS$7:$AS$1843,"&gt;"&amp;AS1453)+SUMIFS($AP$7:$AP$1843,$BY$7:$BY$1843,BY1453,$AS$7:$AS$1843,AS1453,$BQ$7:$BQ$1843,"&lt;="&amp;BQ1453),"")</f>
        <v>125.689664200534</v>
      </c>
      <c r="AU1453" s="65" t="n">
        <f aca="false">IF(AT1453="",0,MAX(0,MIN(1,(IF(BY1453="L1",Parameter!$E$5,Parameter!$E$6+Parameter!$E$7)-(AT1453-AP1453))/AP1453)))</f>
        <v>0</v>
      </c>
      <c r="AV1453" s="57" t="n">
        <f aca="false">IF(LEFT(Cockpit!$O$5,1)="A",H1453,IF(CA1453=1,CB1453,IF(LEFT(Cockpit!$O$5,1)="B",AZ1453,MAX(AZ1453,H1453))))</f>
        <v>4</v>
      </c>
      <c r="AW1453" s="57" t="n">
        <f aca="false">IF(BT1453=1,0,ROUNDUP(AV1453/BS1453,0))</f>
        <v>1</v>
      </c>
      <c r="AX1453" s="59" t="n">
        <f aca="false">IF(CH1453&gt;0,CH1453*MAX(1,AV1453/X1453),IF(BT1453=1,IF(AV1453&lt;=0,0,BW1453*MAX(1,IF(H1453&gt;0,AV1453/H1453,1))),IF(R1453&gt;0,AW1453/R1453,0))/MAX(0.1,N(Parameter!$M$21)))</f>
        <v>0.0833333333333333</v>
      </c>
      <c r="AY1453" s="57" t="n">
        <f aca="false">AV1453*G1453</f>
        <v>6085.16</v>
      </c>
      <c r="AZ1453" s="57" t="n">
        <f aca="false">ROUNDUP(MAX(J1453/IF(BZ1453&gt;0,BZ1453,MAX(0.1,N(Cockpit!$O$6))),CC1453)/BS1453,0)*BS1453</f>
        <v>4</v>
      </c>
      <c r="BA1453" s="58" t="n">
        <f aca="false">IF(AX1453&gt;0,J1453/AX1453,-1)</f>
        <v>0</v>
      </c>
      <c r="BB1453" s="58" t="n">
        <f aca="false">IF(AND(OR(BY1453="L1",BY1453="L23"),AX1453&gt;0),SUMIFS($AX$7:$AX$1843,$BY$7:$BY$1843,BY1453,$BA$7:$BA$1843,"&gt;"&amp;BA1453)+SUMIFS($AX$7:$AX$1843,$BY$7:$BY$1843,BY1453,$BA$7:$BA$1843,BA1453,$BQ$7:$BQ$1843,"&lt;="&amp;BQ1453),"")</f>
        <v>116.519501030371</v>
      </c>
      <c r="BC1453" s="65" t="n">
        <f aca="false">IF(BB1453="",0,MAX(0,MIN(1,(IF(BY1453="L1",Parameter!$E$5,Parameter!$E$6+Parameter!$E$7)-(BB1453-AX1453))/AX1453)))</f>
        <v>0</v>
      </c>
      <c r="BD1453" s="55" t="str">
        <f aca="false">IF(AH1453&lt;=0,"",IF(BY1453="Aussen","Aussenlager",IF(BY1453="-","Nicht im Lift",IF(AM1453&gt;=1,"Lift",IF(AM1453&lt;=0,"Aussenlager","teilweise")))))</f>
        <v/>
      </c>
      <c r="BE1453" s="55" t="str">
        <f aca="false">IF(AP1453&lt;=0,"",IF(BY1453="Aussen","Aussenlager",IF(BY1453="-","Nicht im Lift",IF(AU1453&gt;=1,"Lift",IF(AU1453&lt;=0,"Aussenlager","teilweise")))))</f>
        <v>Aussenlager</v>
      </c>
      <c r="BF1453" s="55" t="str">
        <f aca="false">IF(AX1453&lt;=0,"",IF(BY1453="Aussen","Aussenlager",IF(BY1453="-","Nicht im Lift",IF(BC1453&gt;=1,"Lift",IF(BC1453&lt;=0,"Aussenlager","teilweise")))))</f>
        <v>Aussenlager</v>
      </c>
      <c r="BG1453" s="55" t="str">
        <f aca="false">IF(A1453="","",IF(BP1453=1,"Neu; ","")&amp;IF(AND(BP1453=0,BK1453&lt;0),"negativer Bestand (Export "&amp;BK1453&amp;"); ","")&amp;IF(J1453&lt;=0,"Kein Verbrauch; ","")&amp;IF(CH1453&gt;0,"Lift "&amp;W1453&amp;" lt. Liftbericht (Fach "&amp;X1453&amp;" Stk); ",IF(BU1453=1,"Gebinde geschätzt ("&amp;T1453&amp;"); ",IF(BT1453=1,"Lose – Tablare geschätzt; ","")))&amp;IF(H1453&gt;AR1453,"Überbestand "&amp;ROUND(H1453-AR1453,0)&amp;" Stk / CHF "&amp;ROUND((H1453-AR1453)*G1453,0)&amp;"; ","")&amp;IF(AND(CA1453=1,CB1453&lt;CC1453),"MAX &lt; MB+LG; ","")&amp;IF(AND(CG1453&gt;0,CF1453*10&gt;CG1453),"zu hoch für Tablar; ","")&amp;IF(AND(BP1453=0,OR(CA1453=1,AA1453&lt;&gt;"",U1453&lt;&gt;"",V1453&lt;&gt;"",AB1453&lt;&gt;"")),"manuell übersteuert; ","")&amp;IF(AND(BT1453=0,R1453=0),"Gebinde unbekannt / Stellmass fehlt; ","")&amp;IF(AND(BT1453=0,N(V1453)&lt;=0,N(Q1453)&lt;=0),"Menge pro Gebinde fehlt (Ist = 1 Gebinde); ","")&amp;BO1453)</f>
        <v>negativer Bestand (Export -9); Kein Verbrauch; Gebinde geschätzt (Mittel); Menge pro Gebinde fehlt (Ist = 1 Gebinde); </v>
      </c>
      <c r="BH1453" s="55"/>
      <c r="BI1453" s="55"/>
      <c r="BJ1453" s="62"/>
      <c r="BK1453" s="57" t="n">
        <v>-9</v>
      </c>
      <c r="BL1453" s="57" t="n">
        <v>0</v>
      </c>
      <c r="BM1453" s="56" t="n">
        <v>-13691.61</v>
      </c>
      <c r="BN1453" s="57" t="n">
        <v>0</v>
      </c>
      <c r="BO1453" s="55"/>
      <c r="BP1453" s="60" t="n">
        <v>0</v>
      </c>
      <c r="BQ1453" s="60" t="n">
        <v>1453</v>
      </c>
      <c r="BR1453" s="55" t="str">
        <f aca="false">IF(U1453&lt;&gt;"",UPPER(TRIM(U1453)),IF(BU1453=1,UPPER(VLOOKUP(T1453,Parameter!$I$27:$K$29,2,0)),IF(P1453="","LOSE",P1453)))</f>
        <v>S61</v>
      </c>
      <c r="BS1453" s="57" t="n">
        <f aca="false">IF(BR1453="LOSE",1,IF(N(V1453)&gt;0,V1453,IF(BU1453=1,MAX(1,N(VLOOKUP(T1453,Parameter!$I$27:$K$29,3,0)),H1453,N(N1453)),IF(N(Q1453)&gt;0,Q1453,MAX(1,H1453)))))</f>
        <v>4</v>
      </c>
      <c r="BT1453" s="60" t="n">
        <f aca="false">IF(BR1453="LOSE",1,0)</f>
        <v>0</v>
      </c>
      <c r="BU1453" s="60" t="n">
        <f aca="false">IF(AND(U1453="",OR(P1453="",P1453="LOSE"),T1453&lt;&gt;"",N(S1453)&lt;=0,ISNUMBER(MATCH(T1453,Parameter!$I$27:$I$29,0))),1,0)</f>
        <v>1</v>
      </c>
      <c r="BV1453" s="55" t="str">
        <f aca="false">IF(AND(Parameter!$B$19="Ja",E1453&lt;&gt;"",ISNUMBER(MATCH(E1453,Parameter!$I$35:$I$52,0))),VLOOKUP(E1453,Parameter!$I$35:$J$52,2,0),IFERROR(VLOOKUP(D1453,Parameter!$A$35:$C$64,2,0),"Nein"))</f>
        <v>2+3</v>
      </c>
      <c r="BW1453" s="59" t="n">
        <f aca="false">IF(BT1453=0,0,IF(N(S1453)&gt;0,S1453,IFERROR(VLOOKUP(D1453,Parameter!$A$35:$C$64,3,0)+0,0)))</f>
        <v>0</v>
      </c>
      <c r="BX1453" s="55" t="n">
        <f aca="false">IF(AA1453&lt;&gt;"",AA1453,Z1453)</f>
        <v>2</v>
      </c>
      <c r="BY1453" s="55" t="str">
        <f aca="false">IF(BX1453=1,"L1",IF(OR(BX1453=2,BX1453=3),"L23",IF(BX1453="Aussen","Aussen","-")))</f>
        <v>L23</v>
      </c>
      <c r="BZ1453" s="66" t="n">
        <f aca="false">IF(N(AB1453)&gt;0,AB1453,0)</f>
        <v>0</v>
      </c>
      <c r="CA1453" s="60" t="n">
        <f aca="false">IF(ISNUMBER(AE1453),1,0)</f>
        <v>0</v>
      </c>
      <c r="CB1453" s="57" t="n">
        <f aca="false">N(AE1453)</f>
        <v>0</v>
      </c>
      <c r="CC1453" s="57" t="n">
        <f aca="false">N(M1453)+N(N1453)</f>
        <v>1</v>
      </c>
      <c r="CD1453" s="57" t="n">
        <f aca="false">ROUNDUP(H1453/BS1453,0)</f>
        <v>0</v>
      </c>
      <c r="CE1453" s="57" t="n">
        <f aca="false">ROUNDUP(CB1453/BS1453,0)</f>
        <v>0</v>
      </c>
      <c r="CF1453" s="60" t="n">
        <f aca="false">IF(BT1453=1,0,IFERROR(VLOOKUP(BR1453,'Gebinde-Kategorie'!$A$5:$M$45,5,0)+0,0))</f>
        <v>11</v>
      </c>
      <c r="CG1453" s="60" t="n">
        <f aca="false">IFERROR(IF(OR(BX1453=1,BX1453=2,BX1453=3),N(INDEX(Parameter!$I$5:$I$7,BX1453)),0),0)</f>
        <v>0</v>
      </c>
      <c r="CH1453" s="59" t="n">
        <f aca="false">IF(AND(Parameter!$B$21="Ja",ISNUMBER(W1453),N(X1453)&gt;0),IFERROR(N(INDEX(Parameter!$L$5:$L$7,W1453))*INDEX(Parameter!$E$5:$E$7,W1453)*X1453/SUMIFS($X$7:$X$1843,$W$7:$W$1843,W1453),0),0)</f>
        <v>0</v>
      </c>
    </row>
    <row r="1454" customFormat="false" ht="15" hidden="false" customHeight="false" outlineLevel="0" collapsed="false">
      <c r="A1454" s="55" t="s">
        <v>2543</v>
      </c>
      <c r="B1454" s="55" t="s">
        <v>2219</v>
      </c>
      <c r="C1454" s="55" t="s">
        <v>164</v>
      </c>
      <c r="D1454" s="55" t="s">
        <v>184</v>
      </c>
      <c r="E1454" s="55" t="s">
        <v>185</v>
      </c>
      <c r="F1454" s="55"/>
      <c r="G1454" s="56" t="n">
        <v>167.8</v>
      </c>
      <c r="H1454" s="57" t="n">
        <f aca="false">MAX(0,IF(AND(Parameter!$B$21="Ja",ISNUMBER(Y1454)),Y1454,IF(Parameter!$B$20="Jahresanfang 2025 + Export",BL1454+BK1454,BK1454)))</f>
        <v>0</v>
      </c>
      <c r="I1454" s="57" t="n">
        <f aca="false">H1454*G1454</f>
        <v>0</v>
      </c>
      <c r="J1454" s="57" t="n">
        <f aca="false">BN1454*Parameter!$B$18</f>
        <v>4</v>
      </c>
      <c r="K1454" s="58"/>
      <c r="L1454" s="59"/>
      <c r="M1454" s="57" t="n">
        <v>0</v>
      </c>
      <c r="N1454" s="57" t="n">
        <v>5</v>
      </c>
      <c r="O1454" s="60"/>
      <c r="P1454" s="55" t="s">
        <v>302</v>
      </c>
      <c r="Q1454" s="57" t="n">
        <v>10</v>
      </c>
      <c r="R1454" s="60" t="n">
        <f aca="false">IF(BT1454=1,0,IFERROR(VLOOKUP(BR1454,'Gebinde-Kategorie'!$A$5:$M$45,13,0)+0,0))</f>
        <v>26</v>
      </c>
      <c r="S1454" s="61"/>
      <c r="T1454" s="62"/>
      <c r="U1454" s="62"/>
      <c r="V1454" s="62"/>
      <c r="W1454" s="55"/>
      <c r="X1454" s="57"/>
      <c r="Y1454" s="57"/>
      <c r="Z1454" s="55" t="n">
        <f aca="false">IF(A1454="","",IF(AND(Parameter!$B$21="Ja",ISNUMBER(W1454)),W1454,IF(BV1454="2+3",IF(ISNUMBER(SEARCH("grosser Artikel",BO1454)),2,IFERROR(VLOOKUP(BR1454,Parameter!$F$35:$G$64,2,0),2)),IF(OR(BV1454="Nein",BV1454=""),"-",BV1454))))</f>
        <v>3</v>
      </c>
      <c r="AA1454" s="62"/>
      <c r="AB1454" s="63"/>
      <c r="AC1454" s="57" t="n">
        <f aca="false">AR1454</f>
        <v>10</v>
      </c>
      <c r="AD1454" s="57" t="n">
        <f aca="false">MAX(AR1454,H1454)</f>
        <v>10</v>
      </c>
      <c r="AE1454" s="64"/>
      <c r="AF1454" s="57" t="n">
        <f aca="false">IF(LEFT(Cockpit!$C$5,1)="A",H1454,IF(CA1454=1,CB1454,IF(LEFT(Cockpit!$C$5,1)="B",AJ1454,MAX(AJ1454,H1454))))</f>
        <v>0</v>
      </c>
      <c r="AG1454" s="57" t="n">
        <f aca="false">IF(BT1454=1,0,ROUNDUP(AF1454/BS1454,0))</f>
        <v>0</v>
      </c>
      <c r="AH1454" s="59" t="n">
        <f aca="false">IF(CH1454&gt;0,CH1454*MAX(1,AF1454/X1454),IF(BT1454=1,IF(AF1454&lt;=0,0,BW1454*MAX(1,IF(H1454&gt;0,AF1454/H1454,1))),IF(R1454&gt;0,AG1454/R1454,0))/MAX(0.1,N(Parameter!$M$21)))</f>
        <v>0</v>
      </c>
      <c r="AI1454" s="57" t="n">
        <f aca="false">AF1454*G1454</f>
        <v>0</v>
      </c>
      <c r="AJ1454" s="57" t="n">
        <f aca="false">ROUNDUP(MAX(J1454/IF(BZ1454&gt;0,BZ1454,MAX(0.1,N(Cockpit!$C$6))),CC1454)/BS1454,0)*BS1454</f>
        <v>10</v>
      </c>
      <c r="AK1454" s="58" t="n">
        <f aca="false">IF(AH1454&gt;0,J1454/AH1454,-1)</f>
        <v>-1</v>
      </c>
      <c r="AL1454" s="58" t="str">
        <f aca="false">IF(AND(OR(BY1454="L1",BY1454="L23"),AH1454&gt;0),SUMIFS($AH$7:$AH$1843,$BY$7:$BY$1843,BY1454,$AK$7:$AK$1843,"&gt;"&amp;AK1454)+SUMIFS($AH$7:$AH$1843,$BY$7:$BY$1843,BY1454,$AK$7:$AK$1843,AK1454,$BQ$7:$BQ$1843,"&lt;="&amp;BQ1454),"")</f>
        <v/>
      </c>
      <c r="AM1454" s="65" t="n">
        <f aca="false">IF(AL1454="",0,MAX(0,MIN(1,(IF(BY1454="L1",Parameter!$E$5,Parameter!$E$6+Parameter!$E$7)-(AL1454-AH1454))/AH1454)))</f>
        <v>0</v>
      </c>
      <c r="AN1454" s="57" t="n">
        <f aca="false">IF(LEFT(Cockpit!$I$5,1)="A",H1454,IF(CA1454=1,CB1454,IF(LEFT(Cockpit!$I$5,1)="B",AR1454,MAX(AR1454,H1454))))</f>
        <v>10</v>
      </c>
      <c r="AO1454" s="57" t="n">
        <f aca="false">IF(BT1454=1,0,ROUNDUP(AN1454/BS1454,0))</f>
        <v>1</v>
      </c>
      <c r="AP1454" s="59" t="n">
        <f aca="false">IF(CH1454&gt;0,CH1454*MAX(1,AN1454/X1454),IF(BT1454=1,IF(AN1454&lt;=0,0,BW1454*MAX(1,IF(H1454&gt;0,AN1454/H1454,1))),IF(R1454&gt;0,AO1454/R1454,0))/MAX(0.1,N(Parameter!$M$21)))</f>
        <v>0.0384615384615385</v>
      </c>
      <c r="AQ1454" s="57" t="n">
        <f aca="false">AN1454*G1454</f>
        <v>1678</v>
      </c>
      <c r="AR1454" s="57" t="n">
        <f aca="false">ROUNDUP(MAX(J1454/IF(BZ1454&gt;0,BZ1454,MAX(0.1,N(Cockpit!$I$6))),CC1454)/BS1454,0)*BS1454</f>
        <v>10</v>
      </c>
      <c r="AS1454" s="58" t="n">
        <f aca="false">IF(AP1454&gt;0,J1454/AP1454,-1)</f>
        <v>104</v>
      </c>
      <c r="AT1454" s="58" t="n">
        <f aca="false">IF(AND(OR(BY1454="L1",BY1454="L23"),AP1454&gt;0),SUMIFS($AP$7:$AP$1843,$BY$7:$BY$1843,BY1454,$AS$7:$AS$1843,"&gt;"&amp;AS1454)+SUMIFS($AP$7:$AP$1843,$BY$7:$BY$1843,BY1454,$AS$7:$AS$1843,AS1454,$BQ$7:$BQ$1843,"&lt;="&amp;BQ1454),"")</f>
        <v>56.7537583189757</v>
      </c>
      <c r="AU1454" s="65" t="n">
        <f aca="false">IF(AT1454="",0,MAX(0,MIN(1,(IF(BY1454="L1",Parameter!$E$5,Parameter!$E$6+Parameter!$E$7)-(AT1454-AP1454))/AP1454)))</f>
        <v>1</v>
      </c>
      <c r="AV1454" s="57" t="n">
        <f aca="false">IF(LEFT(Cockpit!$O$5,1)="A",H1454,IF(CA1454=1,CB1454,IF(LEFT(Cockpit!$O$5,1)="B",AZ1454,MAX(AZ1454,H1454))))</f>
        <v>10</v>
      </c>
      <c r="AW1454" s="57" t="n">
        <f aca="false">IF(BT1454=1,0,ROUNDUP(AV1454/BS1454,0))</f>
        <v>1</v>
      </c>
      <c r="AX1454" s="59" t="n">
        <f aca="false">IF(CH1454&gt;0,CH1454*MAX(1,AV1454/X1454),IF(BT1454=1,IF(AV1454&lt;=0,0,BW1454*MAX(1,IF(H1454&gt;0,AV1454/H1454,1))),IF(R1454&gt;0,AW1454/R1454,0))/MAX(0.1,N(Parameter!$M$21)))</f>
        <v>0.0384615384615385</v>
      </c>
      <c r="AY1454" s="57" t="n">
        <f aca="false">AV1454*G1454</f>
        <v>1678</v>
      </c>
      <c r="AZ1454" s="57" t="n">
        <f aca="false">ROUNDUP(MAX(J1454/IF(BZ1454&gt;0,BZ1454,MAX(0.1,N(Cockpit!$O$6))),CC1454)/BS1454,0)*BS1454</f>
        <v>10</v>
      </c>
      <c r="BA1454" s="58" t="n">
        <f aca="false">IF(AX1454&gt;0,J1454/AX1454,-1)</f>
        <v>104</v>
      </c>
      <c r="BB1454" s="58" t="n">
        <f aca="false">IF(AND(OR(BY1454="L1",BY1454="L23"),AX1454&gt;0),SUMIFS($AX$7:$AX$1843,$BY$7:$BY$1843,BY1454,$BA$7:$BA$1843,"&gt;"&amp;BA1454)+SUMIFS($AX$7:$AX$1843,$BY$7:$BY$1843,BY1454,$BA$7:$BA$1843,BA1454,$BQ$7:$BQ$1843,"&lt;="&amp;BQ1454),"")</f>
        <v>54.5835951488125</v>
      </c>
      <c r="BC1454" s="65" t="n">
        <f aca="false">IF(BB1454="",0,MAX(0,MIN(1,(IF(BY1454="L1",Parameter!$E$5,Parameter!$E$6+Parameter!$E$7)-(BB1454-AX1454))/AX1454)))</f>
        <v>1</v>
      </c>
      <c r="BD1454" s="55" t="str">
        <f aca="false">IF(AH1454&lt;=0,"",IF(BY1454="Aussen","Aussenlager",IF(BY1454="-","Nicht im Lift",IF(AM1454&gt;=1,"Lift",IF(AM1454&lt;=0,"Aussenlager","teilweise")))))</f>
        <v/>
      </c>
      <c r="BE1454" s="55" t="str">
        <f aca="false">IF(AP1454&lt;=0,"",IF(BY1454="Aussen","Aussenlager",IF(BY1454="-","Nicht im Lift",IF(AU1454&gt;=1,"Lift",IF(AU1454&lt;=0,"Aussenlager","teilweise")))))</f>
        <v>Lift</v>
      </c>
      <c r="BF1454" s="55" t="str">
        <f aca="false">IF(AX1454&lt;=0,"",IF(BY1454="Aussen","Aussenlager",IF(BY1454="-","Nicht im Lift",IF(BC1454&gt;=1,"Lift",IF(BC1454&lt;=0,"Aussenlager","teilweise")))))</f>
        <v>Lift</v>
      </c>
      <c r="BG1454" s="55" t="str">
        <f aca="false">IF(A1454="","",IF(BP1454=1,"Neu; ","")&amp;IF(AND(BP1454=0,BK1454&lt;0),"negativer Bestand (Export "&amp;BK1454&amp;"); ","")&amp;IF(J1454&lt;=0,"Kein Verbrauch; ","")&amp;IF(CH1454&gt;0,"Lift "&amp;W1454&amp;" lt. Liftbericht (Fach "&amp;X1454&amp;" Stk); ",IF(BU1454=1,"Gebinde geschätzt ("&amp;T1454&amp;"); ",IF(BT1454=1,"Lose – Tablare geschätzt; ","")))&amp;IF(H1454&gt;AR1454,"Überbestand "&amp;ROUND(H1454-AR1454,0)&amp;" Stk / CHF "&amp;ROUND((H1454-AR1454)*G1454,0)&amp;"; ","")&amp;IF(AND(CA1454=1,CB1454&lt;CC1454),"MAX &lt; MB+LG; ","")&amp;IF(AND(CG1454&gt;0,CF1454*10&gt;CG1454),"zu hoch für Tablar; ","")&amp;IF(AND(BP1454=0,OR(CA1454=1,AA1454&lt;&gt;"",U1454&lt;&gt;"",V1454&lt;&gt;"",AB1454&lt;&gt;"")),"manuell übersteuert; ","")&amp;IF(AND(BT1454=0,R1454=0),"Gebinde unbekannt / Stellmass fehlt; ","")&amp;IF(AND(BT1454=0,N(V1454)&lt;=0,N(Q1454)&lt;=0),"Menge pro Gebinde fehlt (Ist = 1 Gebinde); ","")&amp;BO1454)</f>
        <v>negativer Bestand (Export -89); Neu</v>
      </c>
      <c r="BH1454" s="55"/>
      <c r="BI1454" s="55"/>
      <c r="BJ1454" s="62"/>
      <c r="BK1454" s="57" t="n">
        <v>-89</v>
      </c>
      <c r="BL1454" s="57" t="n">
        <v>0</v>
      </c>
      <c r="BM1454" s="56" t="n">
        <v>-14934.2</v>
      </c>
      <c r="BN1454" s="57" t="n">
        <v>4</v>
      </c>
      <c r="BO1454" s="55" t="s">
        <v>626</v>
      </c>
      <c r="BP1454" s="60" t="n">
        <v>0</v>
      </c>
      <c r="BQ1454" s="60" t="n">
        <v>1454</v>
      </c>
      <c r="BR1454" s="55" t="str">
        <f aca="false">IF(U1454&lt;&gt;"",UPPER(TRIM(U1454)),IF(BU1454=1,UPPER(VLOOKUP(T1454,Parameter!$I$27:$K$29,2,0)),IF(P1454="","LOSE",P1454)))</f>
        <v>S51</v>
      </c>
      <c r="BS1454" s="57" t="n">
        <f aca="false">IF(BR1454="LOSE",1,IF(N(V1454)&gt;0,V1454,IF(BU1454=1,MAX(1,N(VLOOKUP(T1454,Parameter!$I$27:$K$29,3,0)),H1454,N(N1454)),IF(N(Q1454)&gt;0,Q1454,MAX(1,H1454)))))</f>
        <v>10</v>
      </c>
      <c r="BT1454" s="60" t="n">
        <f aca="false">IF(BR1454="LOSE",1,0)</f>
        <v>0</v>
      </c>
      <c r="BU1454" s="60" t="n">
        <f aca="false">IF(AND(U1454="",OR(P1454="",P1454="LOSE"),T1454&lt;&gt;"",N(S1454)&lt;=0,ISNUMBER(MATCH(T1454,Parameter!$I$27:$I$29,0))),1,0)</f>
        <v>0</v>
      </c>
      <c r="BV1454" s="55" t="str">
        <f aca="false">IF(AND(Parameter!$B$19="Ja",E1454&lt;&gt;"",ISNUMBER(MATCH(E1454,Parameter!$I$35:$I$52,0))),VLOOKUP(E1454,Parameter!$I$35:$J$52,2,0),IFERROR(VLOOKUP(D1454,Parameter!$A$35:$C$64,2,0),"Nein"))</f>
        <v>2+3</v>
      </c>
      <c r="BW1454" s="59" t="n">
        <f aca="false">IF(BT1454=0,0,IF(N(S1454)&gt;0,S1454,IFERROR(VLOOKUP(D1454,Parameter!$A$35:$C$64,3,0)+0,0)))</f>
        <v>0</v>
      </c>
      <c r="BX1454" s="55" t="n">
        <f aca="false">IF(AA1454&lt;&gt;"",AA1454,Z1454)</f>
        <v>3</v>
      </c>
      <c r="BY1454" s="55" t="str">
        <f aca="false">IF(BX1454=1,"L1",IF(OR(BX1454=2,BX1454=3),"L23",IF(BX1454="Aussen","Aussen","-")))</f>
        <v>L23</v>
      </c>
      <c r="BZ1454" s="66" t="n">
        <f aca="false">IF(N(AB1454)&gt;0,AB1454,0)</f>
        <v>0</v>
      </c>
      <c r="CA1454" s="60" t="n">
        <f aca="false">IF(ISNUMBER(AE1454),1,0)</f>
        <v>0</v>
      </c>
      <c r="CB1454" s="57" t="n">
        <f aca="false">N(AE1454)</f>
        <v>0</v>
      </c>
      <c r="CC1454" s="57" t="n">
        <f aca="false">N(M1454)+N(N1454)</f>
        <v>5</v>
      </c>
      <c r="CD1454" s="57" t="n">
        <f aca="false">ROUNDUP(H1454/BS1454,0)</f>
        <v>0</v>
      </c>
      <c r="CE1454" s="57" t="n">
        <f aca="false">ROUNDUP(CB1454/BS1454,0)</f>
        <v>0</v>
      </c>
      <c r="CF1454" s="60" t="n">
        <f aca="false">IF(BT1454=1,0,IFERROR(VLOOKUP(BR1454,'Gebinde-Kategorie'!$A$5:$M$45,5,0)+0,0))</f>
        <v>11</v>
      </c>
      <c r="CG1454" s="60" t="n">
        <f aca="false">IFERROR(IF(OR(BX1454=1,BX1454=2,BX1454=3),N(INDEX(Parameter!$I$5:$I$7,BX1454)),0),0)</f>
        <v>0</v>
      </c>
      <c r="CH1454" s="59" t="n">
        <f aca="false">IF(AND(Parameter!$B$21="Ja",ISNUMBER(W1454),N(X1454)&gt;0),IFERROR(N(INDEX(Parameter!$L$5:$L$7,W1454))*INDEX(Parameter!$E$5:$E$7,W1454)*X1454/SUMIFS($X$7:$X$1843,$W$7:$W$1843,W1454),0),0)</f>
        <v>0</v>
      </c>
    </row>
    <row r="1455" customFormat="false" ht="15" hidden="false" customHeight="false" outlineLevel="0" collapsed="false">
      <c r="A1455" s="55" t="s">
        <v>2544</v>
      </c>
      <c r="B1455" s="55" t="s">
        <v>2545</v>
      </c>
      <c r="C1455" s="55" t="s">
        <v>167</v>
      </c>
      <c r="D1455" s="55" t="s">
        <v>1388</v>
      </c>
      <c r="E1455" s="55" t="s">
        <v>1479</v>
      </c>
      <c r="F1455" s="55"/>
      <c r="G1455" s="56" t="n">
        <v>3762.62</v>
      </c>
      <c r="H1455" s="57" t="n">
        <f aca="false">MAX(0,IF(AND(Parameter!$B$21="Ja",ISNUMBER(Y1455)),Y1455,IF(Parameter!$B$20="Jahresanfang 2025 + Export",BL1455+BK1455,BK1455)))</f>
        <v>0</v>
      </c>
      <c r="I1455" s="57" t="n">
        <f aca="false">H1455*G1455</f>
        <v>0</v>
      </c>
      <c r="J1455" s="57" t="n">
        <f aca="false">BN1455*Parameter!$B$18</f>
        <v>20</v>
      </c>
      <c r="K1455" s="58"/>
      <c r="L1455" s="59"/>
      <c r="M1455" s="57" t="n">
        <v>0</v>
      </c>
      <c r="N1455" s="57" t="n">
        <v>1</v>
      </c>
      <c r="O1455" s="60"/>
      <c r="P1455" s="55" t="s">
        <v>168</v>
      </c>
      <c r="Q1455" s="57"/>
      <c r="R1455" s="60" t="n">
        <f aca="false">IF(BT1455=1,0,IFERROR(VLOOKUP(BR1455,'Gebinde-Kategorie'!$A$5:$M$45,13,0)+0,0))</f>
        <v>0</v>
      </c>
      <c r="S1455" s="61"/>
      <c r="T1455" s="62"/>
      <c r="U1455" s="62"/>
      <c r="V1455" s="62"/>
      <c r="W1455" s="55"/>
      <c r="X1455" s="57"/>
      <c r="Y1455" s="57"/>
      <c r="Z1455" s="55" t="str">
        <f aca="false">IF(A1455="","",IF(AND(Parameter!$B$21="Ja",ISNUMBER(W1455)),W1455,IF(BV1455="2+3",IF(ISNUMBER(SEARCH("grosser Artikel",BO1455)),2,IFERROR(VLOOKUP(BR1455,Parameter!$F$35:$G$64,2,0),2)),IF(OR(BV1455="Nein",BV1455=""),"-",BV1455))))</f>
        <v>-</v>
      </c>
      <c r="AA1455" s="62"/>
      <c r="AB1455" s="63"/>
      <c r="AC1455" s="57" t="n">
        <f aca="false">AR1455</f>
        <v>10</v>
      </c>
      <c r="AD1455" s="57" t="n">
        <f aca="false">MAX(AR1455,H1455)</f>
        <v>10</v>
      </c>
      <c r="AE1455" s="64"/>
      <c r="AF1455" s="57" t="n">
        <f aca="false">IF(LEFT(Cockpit!$C$5,1)="A",H1455,IF(CA1455=1,CB1455,IF(LEFT(Cockpit!$C$5,1)="B",AJ1455,MAX(AJ1455,H1455))))</f>
        <v>0</v>
      </c>
      <c r="AG1455" s="57" t="n">
        <f aca="false">IF(BT1455=1,0,ROUNDUP(AF1455/BS1455,0))</f>
        <v>0</v>
      </c>
      <c r="AH1455" s="59" t="n">
        <f aca="false">IF(CH1455&gt;0,CH1455*MAX(1,AF1455/X1455),IF(BT1455=1,IF(AF1455&lt;=0,0,BW1455*MAX(1,IF(H1455&gt;0,AF1455/H1455,1))),IF(R1455&gt;0,AG1455/R1455,0))/MAX(0.1,N(Parameter!$M$21)))</f>
        <v>0</v>
      </c>
      <c r="AI1455" s="57" t="n">
        <f aca="false">AF1455*G1455</f>
        <v>0</v>
      </c>
      <c r="AJ1455" s="57" t="n">
        <f aca="false">ROUNDUP(MAX(J1455/IF(BZ1455&gt;0,BZ1455,MAX(0.1,N(Cockpit!$C$6))),CC1455)/BS1455,0)*BS1455</f>
        <v>10</v>
      </c>
      <c r="AK1455" s="58" t="n">
        <f aca="false">IF(AH1455&gt;0,J1455/AH1455,-1)</f>
        <v>-1</v>
      </c>
      <c r="AL1455" s="58" t="str">
        <f aca="false">IF(AND(OR(BY1455="L1",BY1455="L23"),AH1455&gt;0),SUMIFS($AH$7:$AH$1843,$BY$7:$BY$1843,BY1455,$AK$7:$AK$1843,"&gt;"&amp;AK1455)+SUMIFS($AH$7:$AH$1843,$BY$7:$BY$1843,BY1455,$AK$7:$AK$1843,AK1455,$BQ$7:$BQ$1843,"&lt;="&amp;BQ1455),"")</f>
        <v/>
      </c>
      <c r="AM1455" s="65" t="n">
        <f aca="false">IF(AL1455="",0,MAX(0,MIN(1,(IF(BY1455="L1",Parameter!$E$5,Parameter!$E$6+Parameter!$E$7)-(AL1455-AH1455))/AH1455)))</f>
        <v>0</v>
      </c>
      <c r="AN1455" s="57" t="n">
        <f aca="false">IF(LEFT(Cockpit!$I$5,1)="A",H1455,IF(CA1455=1,CB1455,IF(LEFT(Cockpit!$I$5,1)="B",AR1455,MAX(AR1455,H1455))))</f>
        <v>10</v>
      </c>
      <c r="AO1455" s="57" t="n">
        <f aca="false">IF(BT1455=1,0,ROUNDUP(AN1455/BS1455,0))</f>
        <v>0</v>
      </c>
      <c r="AP1455" s="59" t="n">
        <f aca="false">IF(CH1455&gt;0,CH1455*MAX(1,AN1455/X1455),IF(BT1455=1,IF(AN1455&lt;=0,0,BW1455*MAX(1,IF(H1455&gt;0,AN1455/H1455,1))),IF(R1455&gt;0,AO1455/R1455,0))/MAX(0.1,N(Parameter!$M$21)))</f>
        <v>0.15</v>
      </c>
      <c r="AQ1455" s="57" t="n">
        <f aca="false">AN1455*G1455</f>
        <v>37626.2</v>
      </c>
      <c r="AR1455" s="57" t="n">
        <f aca="false">ROUNDUP(MAX(J1455/IF(BZ1455&gt;0,BZ1455,MAX(0.1,N(Cockpit!$I$6))),CC1455)/BS1455,0)*BS1455</f>
        <v>10</v>
      </c>
      <c r="AS1455" s="58" t="n">
        <f aca="false">IF(AP1455&gt;0,J1455/AP1455,-1)</f>
        <v>133.333333333333</v>
      </c>
      <c r="AT1455" s="58" t="str">
        <f aca="false">IF(AND(OR(BY1455="L1",BY1455="L23"),AP1455&gt;0),SUMIFS($AP$7:$AP$1843,$BY$7:$BY$1843,BY1455,$AS$7:$AS$1843,"&gt;"&amp;AS1455)+SUMIFS($AP$7:$AP$1843,$BY$7:$BY$1843,BY1455,$AS$7:$AS$1843,AS1455,$BQ$7:$BQ$1843,"&lt;="&amp;BQ1455),"")</f>
        <v/>
      </c>
      <c r="AU1455" s="65" t="n">
        <f aca="false">IF(AT1455="",0,MAX(0,MIN(1,(IF(BY1455="L1",Parameter!$E$5,Parameter!$E$6+Parameter!$E$7)-(AT1455-AP1455))/AP1455)))</f>
        <v>0</v>
      </c>
      <c r="AV1455" s="57" t="n">
        <f aca="false">IF(LEFT(Cockpit!$O$5,1)="A",H1455,IF(CA1455=1,CB1455,IF(LEFT(Cockpit!$O$5,1)="B",AZ1455,MAX(AZ1455,H1455))))</f>
        <v>7</v>
      </c>
      <c r="AW1455" s="57" t="n">
        <f aca="false">IF(BT1455=1,0,ROUNDUP(AV1455/BS1455,0))</f>
        <v>0</v>
      </c>
      <c r="AX1455" s="59" t="n">
        <f aca="false">IF(CH1455&gt;0,CH1455*MAX(1,AV1455/X1455),IF(BT1455=1,IF(AV1455&lt;=0,0,BW1455*MAX(1,IF(H1455&gt;0,AV1455/H1455,1))),IF(R1455&gt;0,AW1455/R1455,0))/MAX(0.1,N(Parameter!$M$21)))</f>
        <v>0.15</v>
      </c>
      <c r="AY1455" s="57" t="n">
        <f aca="false">AV1455*G1455</f>
        <v>26338.34</v>
      </c>
      <c r="AZ1455" s="57" t="n">
        <f aca="false">ROUNDUP(MAX(J1455/IF(BZ1455&gt;0,BZ1455,MAX(0.1,N(Cockpit!$O$6))),CC1455)/BS1455,0)*BS1455</f>
        <v>7</v>
      </c>
      <c r="BA1455" s="58" t="n">
        <f aca="false">IF(AX1455&gt;0,J1455/AX1455,-1)</f>
        <v>133.333333333333</v>
      </c>
      <c r="BB1455" s="58" t="str">
        <f aca="false">IF(AND(OR(BY1455="L1",BY1455="L23"),AX1455&gt;0),SUMIFS($AX$7:$AX$1843,$BY$7:$BY$1843,BY1455,$BA$7:$BA$1843,"&gt;"&amp;BA1455)+SUMIFS($AX$7:$AX$1843,$BY$7:$BY$1843,BY1455,$BA$7:$BA$1843,BA1455,$BQ$7:$BQ$1843,"&lt;="&amp;BQ1455),"")</f>
        <v/>
      </c>
      <c r="BC1455" s="65" t="n">
        <f aca="false">IF(BB1455="",0,MAX(0,MIN(1,(IF(BY1455="L1",Parameter!$E$5,Parameter!$E$6+Parameter!$E$7)-(BB1455-AX1455))/AX1455)))</f>
        <v>0</v>
      </c>
      <c r="BD1455" s="55" t="str">
        <f aca="false">IF(AH1455&lt;=0,"",IF(BY1455="Aussen","Aussenlager",IF(BY1455="-","Nicht im Lift",IF(AM1455&gt;=1,"Lift",IF(AM1455&lt;=0,"Aussenlager","teilweise")))))</f>
        <v/>
      </c>
      <c r="BE1455" s="55" t="str">
        <f aca="false">IF(AP1455&lt;=0,"",IF(BY1455="Aussen","Aussenlager",IF(BY1455="-","Nicht im Lift",IF(AU1455&gt;=1,"Lift",IF(AU1455&lt;=0,"Aussenlager","teilweise")))))</f>
        <v>Nicht im Lift</v>
      </c>
      <c r="BF1455" s="55" t="str">
        <f aca="false">IF(AX1455&lt;=0,"",IF(BY1455="Aussen","Aussenlager",IF(BY1455="-","Nicht im Lift",IF(BC1455&gt;=1,"Lift",IF(BC1455&lt;=0,"Aussenlager","teilweise")))))</f>
        <v>Nicht im Lift</v>
      </c>
      <c r="BG1455" s="55" t="str">
        <f aca="false">IF(A1455="","",IF(BP1455=1,"Neu; ","")&amp;IF(AND(BP1455=0,BK1455&lt;0),"negativer Bestand (Export "&amp;BK1455&amp;"); ","")&amp;IF(J1455&lt;=0,"Kein Verbrauch; ","")&amp;IF(CH1455&gt;0,"Lift "&amp;W1455&amp;" lt. Liftbericht (Fach "&amp;X1455&amp;" Stk); ",IF(BU1455=1,"Gebinde geschätzt ("&amp;T1455&amp;"); ",IF(BT1455=1,"Lose – Tablare geschätzt; ","")))&amp;IF(H1455&gt;AR1455,"Überbestand "&amp;ROUND(H1455-AR1455,0)&amp;" Stk / CHF "&amp;ROUND((H1455-AR1455)*G1455,0)&amp;"; ","")&amp;IF(AND(CA1455=1,CB1455&lt;CC1455),"MAX &lt; MB+LG; ","")&amp;IF(AND(CG1455&gt;0,CF1455*10&gt;CG1455),"zu hoch für Tablar; ","")&amp;IF(AND(BP1455=0,OR(CA1455=1,AA1455&lt;&gt;"",U1455&lt;&gt;"",V1455&lt;&gt;"",AB1455&lt;&gt;"")),"manuell übersteuert; ","")&amp;IF(AND(BT1455=0,R1455=0),"Gebinde unbekannt / Stellmass fehlt; ","")&amp;IF(AND(BT1455=0,N(V1455)&lt;=0,N(Q1455)&lt;=0),"Menge pro Gebinde fehlt (Ist = 1 Gebinde); ","")&amp;BO1455)</f>
        <v>negativer Bestand (Export -4); Lose – Tablare geschätzt; </v>
      </c>
      <c r="BH1455" s="55"/>
      <c r="BI1455" s="55"/>
      <c r="BJ1455" s="62"/>
      <c r="BK1455" s="57" t="n">
        <v>-4</v>
      </c>
      <c r="BL1455" s="57" t="n">
        <v>0</v>
      </c>
      <c r="BM1455" s="56" t="n">
        <v>-15318.52</v>
      </c>
      <c r="BN1455" s="57" t="n">
        <v>20</v>
      </c>
      <c r="BO1455" s="55"/>
      <c r="BP1455" s="60" t="n">
        <v>0</v>
      </c>
      <c r="BQ1455" s="60" t="n">
        <v>1455</v>
      </c>
      <c r="BR1455" s="55" t="str">
        <f aca="false">IF(U1455&lt;&gt;"",UPPER(TRIM(U1455)),IF(BU1455=1,UPPER(VLOOKUP(T1455,Parameter!$I$27:$K$29,2,0)),IF(P1455="","LOSE",P1455)))</f>
        <v>LOSE</v>
      </c>
      <c r="BS1455" s="57" t="n">
        <f aca="false">IF(BR1455="LOSE",1,IF(N(V1455)&gt;0,V1455,IF(BU1455=1,MAX(1,N(VLOOKUP(T1455,Parameter!$I$27:$K$29,3,0)),H1455,N(N1455)),IF(N(Q1455)&gt;0,Q1455,MAX(1,H1455)))))</f>
        <v>1</v>
      </c>
      <c r="BT1455" s="60" t="n">
        <f aca="false">IF(BR1455="LOSE",1,0)</f>
        <v>1</v>
      </c>
      <c r="BU1455" s="60" t="n">
        <f aca="false">IF(AND(U1455="",OR(P1455="",P1455="LOSE"),T1455&lt;&gt;"",N(S1455)&lt;=0,ISNUMBER(MATCH(T1455,Parameter!$I$27:$I$29,0))),1,0)</f>
        <v>0</v>
      </c>
      <c r="BV1455" s="55" t="str">
        <f aca="false">IF(AND(Parameter!$B$19="Ja",E1455&lt;&gt;"",ISNUMBER(MATCH(E1455,Parameter!$I$35:$I$52,0))),VLOOKUP(E1455,Parameter!$I$35:$J$52,2,0),IFERROR(VLOOKUP(D1455,Parameter!$A$35:$C$64,2,0),"Nein"))</f>
        <v>Nein</v>
      </c>
      <c r="BW1455" s="59" t="n">
        <f aca="false">IF(BT1455=0,0,IF(N(S1455)&gt;0,S1455,IFERROR(VLOOKUP(D1455,Parameter!$A$35:$C$64,3,0)+0,0)))</f>
        <v>0.15</v>
      </c>
      <c r="BX1455" s="55" t="str">
        <f aca="false">IF(AA1455&lt;&gt;"",AA1455,Z1455)</f>
        <v>-</v>
      </c>
      <c r="BY1455" s="55" t="str">
        <f aca="false">IF(BX1455=1,"L1",IF(OR(BX1455=2,BX1455=3),"L23",IF(BX1455="Aussen","Aussen","-")))</f>
        <v>-</v>
      </c>
      <c r="BZ1455" s="66" t="n">
        <f aca="false">IF(N(AB1455)&gt;0,AB1455,0)</f>
        <v>0</v>
      </c>
      <c r="CA1455" s="60" t="n">
        <f aca="false">IF(ISNUMBER(AE1455),1,0)</f>
        <v>0</v>
      </c>
      <c r="CB1455" s="57" t="n">
        <f aca="false">N(AE1455)</f>
        <v>0</v>
      </c>
      <c r="CC1455" s="57" t="n">
        <f aca="false">N(M1455)+N(N1455)</f>
        <v>1</v>
      </c>
      <c r="CD1455" s="57" t="n">
        <f aca="false">ROUNDUP(H1455/BS1455,0)</f>
        <v>0</v>
      </c>
      <c r="CE1455" s="57" t="n">
        <f aca="false">ROUNDUP(CB1455/BS1455,0)</f>
        <v>0</v>
      </c>
      <c r="CF1455" s="60" t="n">
        <f aca="false">IF(BT1455=1,0,IFERROR(VLOOKUP(BR1455,'Gebinde-Kategorie'!$A$5:$M$45,5,0)+0,0))</f>
        <v>0</v>
      </c>
      <c r="CG1455" s="60" t="n">
        <f aca="false">IFERROR(IF(OR(BX1455=1,BX1455=2,BX1455=3),N(INDEX(Parameter!$I$5:$I$7,BX1455)),0),0)</f>
        <v>0</v>
      </c>
      <c r="CH1455" s="59" t="n">
        <f aca="false">IF(AND(Parameter!$B$21="Ja",ISNUMBER(W1455),N(X1455)&gt;0),IFERROR(N(INDEX(Parameter!$L$5:$L$7,W1455))*INDEX(Parameter!$E$5:$E$7,W1455)*X1455/SUMIFS($X$7:$X$1843,$W$7:$W$1843,W1455),0),0)</f>
        <v>0</v>
      </c>
    </row>
    <row r="1456" customFormat="false" ht="15" hidden="false" customHeight="false" outlineLevel="0" collapsed="false">
      <c r="A1456" s="55" t="s">
        <v>2546</v>
      </c>
      <c r="B1456" s="55" t="s">
        <v>2547</v>
      </c>
      <c r="C1456" s="55" t="s">
        <v>164</v>
      </c>
      <c r="D1456" s="55" t="s">
        <v>165</v>
      </c>
      <c r="E1456" s="55"/>
      <c r="F1456" s="55"/>
      <c r="G1456" s="56" t="n">
        <v>2011.57</v>
      </c>
      <c r="H1456" s="57" t="n">
        <f aca="false">MAX(0,IF(AND(Parameter!$B$21="Ja",ISNUMBER(Y1456)),Y1456,IF(Parameter!$B$20="Jahresanfang 2025 + Export",BL1456+BK1456,BK1456)))</f>
        <v>9</v>
      </c>
      <c r="I1456" s="57" t="n">
        <f aca="false">H1456*G1456</f>
        <v>18104.13</v>
      </c>
      <c r="J1456" s="57" t="n">
        <f aca="false">BN1456*Parameter!$B$18</f>
        <v>12</v>
      </c>
      <c r="K1456" s="58"/>
      <c r="L1456" s="59"/>
      <c r="M1456" s="57" t="n">
        <v>2</v>
      </c>
      <c r="N1456" s="57" t="n">
        <v>3</v>
      </c>
      <c r="O1456" s="60"/>
      <c r="P1456" s="55" t="s">
        <v>168</v>
      </c>
      <c r="Q1456" s="57"/>
      <c r="R1456" s="60" t="n">
        <f aca="false">IF(BT1456=1,0,IFERROR(VLOOKUP(BR1456,'Gebinde-Kategorie'!$A$5:$M$45,13,0)+0,0))</f>
        <v>0</v>
      </c>
      <c r="S1456" s="61"/>
      <c r="T1456" s="62"/>
      <c r="U1456" s="62"/>
      <c r="V1456" s="62"/>
      <c r="W1456" s="55" t="n">
        <v>1</v>
      </c>
      <c r="X1456" s="57" t="n">
        <v>29</v>
      </c>
      <c r="Y1456" s="57" t="n">
        <v>9</v>
      </c>
      <c r="Z1456" s="55" t="n">
        <f aca="false">IF(A1456="","",IF(AND(Parameter!$B$21="Ja",ISNUMBER(W1456)),W1456,IF(BV1456="2+3",IF(ISNUMBER(SEARCH("grosser Artikel",BO1456)),2,IFERROR(VLOOKUP(BR1456,Parameter!$F$35:$G$64,2,0),2)),IF(OR(BV1456="Nein",BV1456=""),"-",BV1456))))</f>
        <v>1</v>
      </c>
      <c r="AA1456" s="62"/>
      <c r="AB1456" s="63"/>
      <c r="AC1456" s="57" t="n">
        <f aca="false">AR1456</f>
        <v>6</v>
      </c>
      <c r="AD1456" s="57" t="n">
        <f aca="false">MAX(AR1456,H1456)</f>
        <v>9</v>
      </c>
      <c r="AE1456" s="64"/>
      <c r="AF1456" s="57" t="n">
        <f aca="false">IF(LEFT(Cockpit!$C$5,1)="A",H1456,IF(CA1456=1,CB1456,IF(LEFT(Cockpit!$C$5,1)="B",AJ1456,MAX(AJ1456,H1456))))</f>
        <v>9</v>
      </c>
      <c r="AG1456" s="57" t="n">
        <f aca="false">IF(BT1456=1,0,ROUNDUP(AF1456/BS1456,0))</f>
        <v>0</v>
      </c>
      <c r="AH1456" s="59" t="n">
        <f aca="false">IF(CH1456&gt;0,CH1456*MAX(1,AF1456/X1456),IF(BT1456=1,IF(AF1456&lt;=0,0,BW1456*MAX(1,IF(H1456&gt;0,AF1456/H1456,1))),IF(R1456&gt;0,AG1456/R1456,0))/MAX(0.1,N(Parameter!$M$21)))</f>
        <v>2.3210922787194</v>
      </c>
      <c r="AI1456" s="57" t="n">
        <f aca="false">AF1456*G1456</f>
        <v>18104.13</v>
      </c>
      <c r="AJ1456" s="57" t="n">
        <f aca="false">ROUNDUP(MAX(J1456/IF(BZ1456&gt;0,BZ1456,MAX(0.1,N(Cockpit!$C$6))),CC1456)/BS1456,0)*BS1456</f>
        <v>6</v>
      </c>
      <c r="AK1456" s="58" t="n">
        <f aca="false">IF(AH1456&gt;0,J1456/AH1456,-1)</f>
        <v>5.16997971602434</v>
      </c>
      <c r="AL1456" s="58" t="n">
        <f aca="false">IF(AND(OR(BY1456="L1",BY1456="L23"),AH1456&gt;0),SUMIFS($AH$7:$AH$1843,$BY$7:$BY$1843,BY1456,$AK$7:$AK$1843,"&gt;"&amp;AK1456)+SUMIFS($AH$7:$AH$1843,$BY$7:$BY$1843,BY1456,$AK$7:$AK$1843,AK1456,$BQ$7:$BQ$1843,"&lt;="&amp;BQ1456),"")</f>
        <v>43.3798380036405</v>
      </c>
      <c r="AM1456" s="65" t="n">
        <f aca="false">IF(AL1456="",0,MAX(0,MIN(1,(IF(BY1456="L1",Parameter!$E$5,Parameter!$E$6+Parameter!$E$7)-(AL1456-AH1456))/AH1456)))</f>
        <v>1</v>
      </c>
      <c r="AN1456" s="57" t="n">
        <f aca="false">IF(LEFT(Cockpit!$I$5,1)="A",H1456,IF(CA1456=1,CB1456,IF(LEFT(Cockpit!$I$5,1)="B",AR1456,MAX(AR1456,H1456))))</f>
        <v>9</v>
      </c>
      <c r="AO1456" s="57" t="n">
        <f aca="false">IF(BT1456=1,0,ROUNDUP(AN1456/BS1456,0))</f>
        <v>0</v>
      </c>
      <c r="AP1456" s="59" t="n">
        <f aca="false">IF(CH1456&gt;0,CH1456*MAX(1,AN1456/X1456),IF(BT1456=1,IF(AN1456&lt;=0,0,BW1456*MAX(1,IF(H1456&gt;0,AN1456/H1456,1))),IF(R1456&gt;0,AO1456/R1456,0))/MAX(0.1,N(Parameter!$M$21)))</f>
        <v>2.3210922787194</v>
      </c>
      <c r="AQ1456" s="57" t="n">
        <f aca="false">AN1456*G1456</f>
        <v>18104.13</v>
      </c>
      <c r="AR1456" s="57" t="n">
        <f aca="false">ROUNDUP(MAX(J1456/IF(BZ1456&gt;0,BZ1456,MAX(0.1,N(Cockpit!$I$6))),CC1456)/BS1456,0)*BS1456</f>
        <v>6</v>
      </c>
      <c r="AS1456" s="58" t="n">
        <f aca="false">IF(AP1456&gt;0,J1456/AP1456,-1)</f>
        <v>5.16997971602434</v>
      </c>
      <c r="AT1456" s="58" t="n">
        <f aca="false">IF(AND(OR(BY1456="L1",BY1456="L23"),AP1456&gt;0),SUMIFS($AP$7:$AP$1843,$BY$7:$BY$1843,BY1456,$AS$7:$AS$1843,"&gt;"&amp;AS1456)+SUMIFS($AP$7:$AP$1843,$BY$7:$BY$1843,BY1456,$AS$7:$AS$1843,AS1456,$BQ$7:$BQ$1843,"&lt;="&amp;BQ1456),"")</f>
        <v>58.73265561917</v>
      </c>
      <c r="AU1456" s="65" t="n">
        <f aca="false">IF(AT1456="",0,MAX(0,MIN(1,(IF(BY1456="L1",Parameter!$E$5,Parameter!$E$6+Parameter!$E$7)-(AT1456-AP1456))/AP1456)))</f>
        <v>0</v>
      </c>
      <c r="AV1456" s="57" t="n">
        <f aca="false">IF(LEFT(Cockpit!$O$5,1)="A",H1456,IF(CA1456=1,CB1456,IF(LEFT(Cockpit!$O$5,1)="B",AZ1456,MAX(AZ1456,H1456))))</f>
        <v>9</v>
      </c>
      <c r="AW1456" s="57" t="n">
        <f aca="false">IF(BT1456=1,0,ROUNDUP(AV1456/BS1456,0))</f>
        <v>0</v>
      </c>
      <c r="AX1456" s="59" t="n">
        <f aca="false">IF(CH1456&gt;0,CH1456*MAX(1,AV1456/X1456),IF(BT1456=1,IF(AV1456&lt;=0,0,BW1456*MAX(1,IF(H1456&gt;0,AV1456/H1456,1))),IF(R1456&gt;0,AW1456/R1456,0))/MAX(0.1,N(Parameter!$M$21)))</f>
        <v>2.3210922787194</v>
      </c>
      <c r="AY1456" s="57" t="n">
        <f aca="false">AV1456*G1456</f>
        <v>18104.13</v>
      </c>
      <c r="AZ1456" s="57" t="n">
        <f aca="false">ROUNDUP(MAX(J1456/IF(BZ1456&gt;0,BZ1456,MAX(0.1,N(Cockpit!$O$6))),CC1456)/BS1456,0)*BS1456</f>
        <v>5</v>
      </c>
      <c r="BA1456" s="58" t="n">
        <f aca="false">IF(AX1456&gt;0,J1456/AX1456,-1)</f>
        <v>5.16997971602434</v>
      </c>
      <c r="BB1456" s="58" t="n">
        <f aca="false">IF(AND(OR(BY1456="L1",BY1456="L23"),AX1456&gt;0),SUMIFS($AX$7:$AX$1843,$BY$7:$BY$1843,BY1456,$BA$7:$BA$1843,"&gt;"&amp;BA1456)+SUMIFS($AX$7:$AX$1843,$BY$7:$BY$1843,BY1456,$BA$7:$BA$1843,BA1456,$BQ$7:$BQ$1843,"&lt;="&amp;BQ1456),"")</f>
        <v>52.3994671503883</v>
      </c>
      <c r="BC1456" s="65" t="n">
        <f aca="false">IF(BB1456="",0,MAX(0,MIN(1,(IF(BY1456="L1",Parameter!$E$5,Parameter!$E$6+Parameter!$E$7)-(BB1456-AX1456))/AX1456)))</f>
        <v>0</v>
      </c>
      <c r="BD1456" s="55" t="str">
        <f aca="false">IF(AH1456&lt;=0,"",IF(BY1456="Aussen","Aussenlager",IF(BY1456="-","Nicht im Lift",IF(AM1456&gt;=1,"Lift",IF(AM1456&lt;=0,"Aussenlager","teilweise")))))</f>
        <v>Lift</v>
      </c>
      <c r="BE1456" s="55" t="str">
        <f aca="false">IF(AP1456&lt;=0,"",IF(BY1456="Aussen","Aussenlager",IF(BY1456="-","Nicht im Lift",IF(AU1456&gt;=1,"Lift",IF(AU1456&lt;=0,"Aussenlager","teilweise")))))</f>
        <v>Aussenlager</v>
      </c>
      <c r="BF1456" s="55" t="str">
        <f aca="false">IF(AX1456&lt;=0,"",IF(BY1456="Aussen","Aussenlager",IF(BY1456="-","Nicht im Lift",IF(BC1456&gt;=1,"Lift",IF(BC1456&lt;=0,"Aussenlager","teilweise")))))</f>
        <v>Aussenlager</v>
      </c>
      <c r="BG1456" s="55" t="str">
        <f aca="false">IF(A1456="","",IF(BP1456=1,"Neu; ","")&amp;IF(AND(BP1456=0,BK1456&lt;0),"negativer Bestand (Export "&amp;BK1456&amp;"); ","")&amp;IF(J1456&lt;=0,"Kein Verbrauch; ","")&amp;IF(CH1456&gt;0,"Lift "&amp;W1456&amp;" lt. Liftbericht (Fach "&amp;X1456&amp;" Stk); ",IF(BU1456=1,"Gebinde geschätzt ("&amp;T1456&amp;"); ",IF(BT1456=1,"Lose – Tablare geschätzt; ","")))&amp;IF(H1456&gt;AR1456,"Überbestand "&amp;ROUND(H1456-AR1456,0)&amp;" Stk / CHF "&amp;ROUND((H1456-AR1456)*G1456,0)&amp;"; ","")&amp;IF(AND(CA1456=1,CB1456&lt;CC1456),"MAX &lt; MB+LG; ","")&amp;IF(AND(CG1456&gt;0,CF1456*10&gt;CG1456),"zu hoch für Tablar; ","")&amp;IF(AND(BP1456=0,OR(CA1456=1,AA1456&lt;&gt;"",U1456&lt;&gt;"",V1456&lt;&gt;"",AB1456&lt;&gt;"")),"manuell übersteuert; ","")&amp;IF(AND(BT1456=0,R1456=0),"Gebinde unbekannt / Stellmass fehlt; ","")&amp;IF(AND(BT1456=0,N(V1456)&lt;=0,N(Q1456)&lt;=0),"Menge pro Gebinde fehlt (Ist = 1 Gebinde); ","")&amp;BO1456)</f>
        <v>negativer Bestand (Export -8); Lift 1 lt. Liftbericht (Fach 29 Stk); Überbestand 3 Stk / CHF 6035; </v>
      </c>
      <c r="BH1456" s="55"/>
      <c r="BI1456" s="55"/>
      <c r="BJ1456" s="62"/>
      <c r="BK1456" s="57" t="n">
        <v>-8</v>
      </c>
      <c r="BL1456" s="57" t="n">
        <v>0</v>
      </c>
      <c r="BM1456" s="56" t="n">
        <v>-15753.9</v>
      </c>
      <c r="BN1456" s="57" t="n">
        <v>12</v>
      </c>
      <c r="BO1456" s="55"/>
      <c r="BP1456" s="60" t="n">
        <v>0</v>
      </c>
      <c r="BQ1456" s="60" t="n">
        <v>1456</v>
      </c>
      <c r="BR1456" s="55" t="str">
        <f aca="false">IF(U1456&lt;&gt;"",UPPER(TRIM(U1456)),IF(BU1456=1,UPPER(VLOOKUP(T1456,Parameter!$I$27:$K$29,2,0)),IF(P1456="","LOSE",P1456)))</f>
        <v>LOSE</v>
      </c>
      <c r="BS1456" s="57" t="n">
        <f aca="false">IF(BR1456="LOSE",1,IF(N(V1456)&gt;0,V1456,IF(BU1456=1,MAX(1,N(VLOOKUP(T1456,Parameter!$I$27:$K$29,3,0)),H1456,N(N1456)),IF(N(Q1456)&gt;0,Q1456,MAX(1,H1456)))))</f>
        <v>1</v>
      </c>
      <c r="BT1456" s="60" t="n">
        <f aca="false">IF(BR1456="LOSE",1,0)</f>
        <v>1</v>
      </c>
      <c r="BU1456" s="60" t="n">
        <f aca="false">IF(AND(U1456="",OR(P1456="",P1456="LOSE"),T1456&lt;&gt;"",N(S1456)&lt;=0,ISNUMBER(MATCH(T1456,Parameter!$I$27:$I$29,0))),1,0)</f>
        <v>0</v>
      </c>
      <c r="BV1456" s="55" t="n">
        <f aca="false">IF(AND(Parameter!$B$19="Ja",E1456&lt;&gt;"",ISNUMBER(MATCH(E1456,Parameter!$I$35:$I$52,0))),VLOOKUP(E1456,Parameter!$I$35:$J$52,2,0),IFERROR(VLOOKUP(D1456,Parameter!$A$35:$C$64,2,0),"Nein"))</f>
        <v>1</v>
      </c>
      <c r="BW1456" s="59" t="n">
        <f aca="false">IF(BT1456=0,0,IF(N(S1456)&gt;0,S1456,IFERROR(VLOOKUP(D1456,Parameter!$A$35:$C$64,3,0)+0,0)))</f>
        <v>1</v>
      </c>
      <c r="BX1456" s="55" t="n">
        <f aca="false">IF(AA1456&lt;&gt;"",AA1456,Z1456)</f>
        <v>1</v>
      </c>
      <c r="BY1456" s="55" t="str">
        <f aca="false">IF(BX1456=1,"L1",IF(OR(BX1456=2,BX1456=3),"L23",IF(BX1456="Aussen","Aussen","-")))</f>
        <v>L1</v>
      </c>
      <c r="BZ1456" s="66" t="n">
        <f aca="false">IF(N(AB1456)&gt;0,AB1456,0)</f>
        <v>0</v>
      </c>
      <c r="CA1456" s="60" t="n">
        <f aca="false">IF(ISNUMBER(AE1456),1,0)</f>
        <v>0</v>
      </c>
      <c r="CB1456" s="57" t="n">
        <f aca="false">N(AE1456)</f>
        <v>0</v>
      </c>
      <c r="CC1456" s="57" t="n">
        <f aca="false">N(M1456)+N(N1456)</f>
        <v>5</v>
      </c>
      <c r="CD1456" s="57" t="n">
        <f aca="false">ROUNDUP(H1456/BS1456,0)</f>
        <v>9</v>
      </c>
      <c r="CE1456" s="57" t="n">
        <f aca="false">ROUNDUP(CB1456/BS1456,0)</f>
        <v>0</v>
      </c>
      <c r="CF1456" s="60" t="n">
        <f aca="false">IF(BT1456=1,0,IFERROR(VLOOKUP(BR1456,'Gebinde-Kategorie'!$A$5:$M$45,5,0)+0,0))</f>
        <v>0</v>
      </c>
      <c r="CG1456" s="60" t="n">
        <f aca="false">IFERROR(IF(OR(BX1456=1,BX1456=2,BX1456=3),N(INDEX(Parameter!$I$5:$I$7,BX1456)),0),0)</f>
        <v>0</v>
      </c>
      <c r="CH1456" s="59" t="n">
        <f aca="false">IF(AND(Parameter!$B$21="Ja",ISNUMBER(W1456),N(X1456)&gt;0),IFERROR(N(INDEX(Parameter!$L$5:$L$7,W1456))*INDEX(Parameter!$E$5:$E$7,W1456)*X1456/SUMIFS($X$7:$X$1843,$W$7:$W$1843,W1456),0),0)</f>
        <v>2.3210922787194</v>
      </c>
    </row>
    <row r="1457" customFormat="false" ht="15" hidden="false" customHeight="false" outlineLevel="0" collapsed="false">
      <c r="A1457" s="55" t="s">
        <v>2548</v>
      </c>
      <c r="B1457" s="55" t="s">
        <v>181</v>
      </c>
      <c r="C1457" s="55" t="s">
        <v>456</v>
      </c>
      <c r="D1457" s="55" t="s">
        <v>173</v>
      </c>
      <c r="E1457" s="55" t="s">
        <v>185</v>
      </c>
      <c r="F1457" s="55"/>
      <c r="G1457" s="56" t="n">
        <v>5331</v>
      </c>
      <c r="H1457" s="57" t="n">
        <f aca="false">MAX(0,IF(AND(Parameter!$B$21="Ja",ISNUMBER(Y1457)),Y1457,IF(Parameter!$B$20="Jahresanfang 2025 + Export",BL1457+BK1457,BK1457)))</f>
        <v>0</v>
      </c>
      <c r="I1457" s="57" t="n">
        <f aca="false">H1457*G1457</f>
        <v>0</v>
      </c>
      <c r="J1457" s="57" t="n">
        <f aca="false">BN1457*Parameter!$B$18</f>
        <v>5</v>
      </c>
      <c r="K1457" s="58"/>
      <c r="L1457" s="59"/>
      <c r="M1457" s="57" t="n">
        <v>0</v>
      </c>
      <c r="N1457" s="57" t="n">
        <v>1</v>
      </c>
      <c r="O1457" s="60"/>
      <c r="P1457" s="55" t="s">
        <v>168</v>
      </c>
      <c r="Q1457" s="57"/>
      <c r="R1457" s="60" t="n">
        <f aca="false">IF(BT1457=1,0,IFERROR(VLOOKUP(BR1457,'Gebinde-Kategorie'!$A$5:$M$45,13,0)+0,0))</f>
        <v>12</v>
      </c>
      <c r="S1457" s="61"/>
      <c r="T1457" s="62" t="s">
        <v>179</v>
      </c>
      <c r="U1457" s="62"/>
      <c r="V1457" s="62"/>
      <c r="W1457" s="55"/>
      <c r="X1457" s="57"/>
      <c r="Y1457" s="57"/>
      <c r="Z1457" s="55" t="n">
        <f aca="false">IF(A1457="","",IF(AND(Parameter!$B$21="Ja",ISNUMBER(W1457)),W1457,IF(BV1457="2+3",IF(ISNUMBER(SEARCH("grosser Artikel",BO1457)),2,IFERROR(VLOOKUP(BR1457,Parameter!$F$35:$G$64,2,0),2)),IF(OR(BV1457="Nein",BV1457=""),"-",BV1457))))</f>
        <v>2</v>
      </c>
      <c r="AA1457" s="62"/>
      <c r="AB1457" s="63"/>
      <c r="AC1457" s="57" t="n">
        <f aca="false">AR1457</f>
        <v>4</v>
      </c>
      <c r="AD1457" s="57" t="n">
        <f aca="false">MAX(AR1457,H1457)</f>
        <v>4</v>
      </c>
      <c r="AE1457" s="64"/>
      <c r="AF1457" s="57" t="n">
        <f aca="false">IF(LEFT(Cockpit!$C$5,1)="A",H1457,IF(CA1457=1,CB1457,IF(LEFT(Cockpit!$C$5,1)="B",AJ1457,MAX(AJ1457,H1457))))</f>
        <v>0</v>
      </c>
      <c r="AG1457" s="57" t="n">
        <f aca="false">IF(BT1457=1,0,ROUNDUP(AF1457/BS1457,0))</f>
        <v>0</v>
      </c>
      <c r="AH1457" s="59" t="n">
        <f aca="false">IF(CH1457&gt;0,CH1457*MAX(1,AF1457/X1457),IF(BT1457=1,IF(AF1457&lt;=0,0,BW1457*MAX(1,IF(H1457&gt;0,AF1457/H1457,1))),IF(R1457&gt;0,AG1457/R1457,0))/MAX(0.1,N(Parameter!$M$21)))</f>
        <v>0</v>
      </c>
      <c r="AI1457" s="57" t="n">
        <f aca="false">AF1457*G1457</f>
        <v>0</v>
      </c>
      <c r="AJ1457" s="57" t="n">
        <f aca="false">ROUNDUP(MAX(J1457/IF(BZ1457&gt;0,BZ1457,MAX(0.1,N(Cockpit!$C$6))),CC1457)/BS1457,0)*BS1457</f>
        <v>4</v>
      </c>
      <c r="AK1457" s="58" t="n">
        <f aca="false">IF(AH1457&gt;0,J1457/AH1457,-1)</f>
        <v>-1</v>
      </c>
      <c r="AL1457" s="58" t="str">
        <f aca="false">IF(AND(OR(BY1457="L1",BY1457="L23"),AH1457&gt;0),SUMIFS($AH$7:$AH$1843,$BY$7:$BY$1843,BY1457,$AK$7:$AK$1843,"&gt;"&amp;AK1457)+SUMIFS($AH$7:$AH$1843,$BY$7:$BY$1843,BY1457,$AK$7:$AK$1843,AK1457,$BQ$7:$BQ$1843,"&lt;="&amp;BQ1457),"")</f>
        <v/>
      </c>
      <c r="AM1457" s="65" t="n">
        <f aca="false">IF(AL1457="",0,MAX(0,MIN(1,(IF(BY1457="L1",Parameter!$E$5,Parameter!$E$6+Parameter!$E$7)-(AL1457-AH1457))/AH1457)))</f>
        <v>0</v>
      </c>
      <c r="AN1457" s="57" t="n">
        <f aca="false">IF(LEFT(Cockpit!$I$5,1)="A",H1457,IF(CA1457=1,CB1457,IF(LEFT(Cockpit!$I$5,1)="B",AR1457,MAX(AR1457,H1457))))</f>
        <v>4</v>
      </c>
      <c r="AO1457" s="57" t="n">
        <f aca="false">IF(BT1457=1,0,ROUNDUP(AN1457/BS1457,0))</f>
        <v>1</v>
      </c>
      <c r="AP1457" s="59" t="n">
        <f aca="false">IF(CH1457&gt;0,CH1457*MAX(1,AN1457/X1457),IF(BT1457=1,IF(AN1457&lt;=0,0,BW1457*MAX(1,IF(H1457&gt;0,AN1457/H1457,1))),IF(R1457&gt;0,AO1457/R1457,0))/MAX(0.1,N(Parameter!$M$21)))</f>
        <v>0.0833333333333333</v>
      </c>
      <c r="AQ1457" s="57" t="n">
        <f aca="false">AN1457*G1457</f>
        <v>21324</v>
      </c>
      <c r="AR1457" s="57" t="n">
        <f aca="false">ROUNDUP(MAX(J1457/IF(BZ1457&gt;0,BZ1457,MAX(0.1,N(Cockpit!$I$6))),CC1457)/BS1457,0)*BS1457</f>
        <v>4</v>
      </c>
      <c r="AS1457" s="58" t="n">
        <f aca="false">IF(AP1457&gt;0,J1457/AP1457,-1)</f>
        <v>60</v>
      </c>
      <c r="AT1457" s="58" t="n">
        <f aca="false">IF(AND(OR(BY1457="L1",BY1457="L23"),AP1457&gt;0),SUMIFS($AP$7:$AP$1843,$BY$7:$BY$1843,BY1457,$AS$7:$AS$1843,"&gt;"&amp;AS1457)+SUMIFS($AP$7:$AP$1843,$BY$7:$BY$1843,BY1457,$AS$7:$AS$1843,AS1457,$BQ$7:$BQ$1843,"&lt;="&amp;BQ1457),"")</f>
        <v>65.9668507820682</v>
      </c>
      <c r="AU1457" s="65" t="n">
        <f aca="false">IF(AT1457="",0,MAX(0,MIN(1,(IF(BY1457="L1",Parameter!$E$5,Parameter!$E$6+Parameter!$E$7)-(AT1457-AP1457))/AP1457)))</f>
        <v>1</v>
      </c>
      <c r="AV1457" s="57" t="n">
        <f aca="false">IF(LEFT(Cockpit!$O$5,1)="A",H1457,IF(CA1457=1,CB1457,IF(LEFT(Cockpit!$O$5,1)="B",AZ1457,MAX(AZ1457,H1457))))</f>
        <v>4</v>
      </c>
      <c r="AW1457" s="57" t="n">
        <f aca="false">IF(BT1457=1,0,ROUNDUP(AV1457/BS1457,0))</f>
        <v>1</v>
      </c>
      <c r="AX1457" s="59" t="n">
        <f aca="false">IF(CH1457&gt;0,CH1457*MAX(1,AV1457/X1457),IF(BT1457=1,IF(AV1457&lt;=0,0,BW1457*MAX(1,IF(H1457&gt;0,AV1457/H1457,1))),IF(R1457&gt;0,AW1457/R1457,0))/MAX(0.1,N(Parameter!$M$21)))</f>
        <v>0.0833333333333333</v>
      </c>
      <c r="AY1457" s="57" t="n">
        <f aca="false">AV1457*G1457</f>
        <v>21324</v>
      </c>
      <c r="AZ1457" s="57" t="n">
        <f aca="false">ROUNDUP(MAX(J1457/IF(BZ1457&gt;0,BZ1457,MAX(0.1,N(Cockpit!$O$6))),CC1457)/BS1457,0)*BS1457</f>
        <v>4</v>
      </c>
      <c r="BA1457" s="58" t="n">
        <f aca="false">IF(AX1457&gt;0,J1457/AX1457,-1)</f>
        <v>60</v>
      </c>
      <c r="BB1457" s="58" t="n">
        <f aca="false">IF(AND(OR(BY1457="L1",BY1457="L23"),AX1457&gt;0),SUMIFS($AX$7:$AX$1843,$BY$7:$BY$1843,BY1457,$BA$7:$BA$1843,"&gt;"&amp;BA1457)+SUMIFS($AX$7:$AX$1843,$BY$7:$BY$1843,BY1457,$BA$7:$BA$1843,BA1457,$BQ$7:$BQ$1843,"&lt;="&amp;BQ1457),"")</f>
        <v>60.4633542785717</v>
      </c>
      <c r="BC1457" s="65" t="n">
        <f aca="false">IF(BB1457="",0,MAX(0,MIN(1,(IF(BY1457="L1",Parameter!$E$5,Parameter!$E$6+Parameter!$E$7)-(BB1457-AX1457))/AX1457)))</f>
        <v>1</v>
      </c>
      <c r="BD1457" s="55" t="str">
        <f aca="false">IF(AH1457&lt;=0,"",IF(BY1457="Aussen","Aussenlager",IF(BY1457="-","Nicht im Lift",IF(AM1457&gt;=1,"Lift",IF(AM1457&lt;=0,"Aussenlager","teilweise")))))</f>
        <v/>
      </c>
      <c r="BE1457" s="55" t="str">
        <f aca="false">IF(AP1457&lt;=0,"",IF(BY1457="Aussen","Aussenlager",IF(BY1457="-","Nicht im Lift",IF(AU1457&gt;=1,"Lift",IF(AU1457&lt;=0,"Aussenlager","teilweise")))))</f>
        <v>Lift</v>
      </c>
      <c r="BF1457" s="55" t="str">
        <f aca="false">IF(AX1457&lt;=0,"",IF(BY1457="Aussen","Aussenlager",IF(BY1457="-","Nicht im Lift",IF(BC1457&gt;=1,"Lift",IF(BC1457&lt;=0,"Aussenlager","teilweise")))))</f>
        <v>Lift</v>
      </c>
      <c r="BG1457" s="55" t="str">
        <f aca="false">IF(A1457="","",IF(BP1457=1,"Neu; ","")&amp;IF(AND(BP1457=0,BK1457&lt;0),"negativer Bestand (Export "&amp;BK1457&amp;"); ","")&amp;IF(J1457&lt;=0,"Kein Verbrauch; ","")&amp;IF(CH1457&gt;0,"Lift "&amp;W1457&amp;" lt. Liftbericht (Fach "&amp;X1457&amp;" Stk); ",IF(BU1457=1,"Gebinde geschätzt ("&amp;T1457&amp;"); ",IF(BT1457=1,"Lose – Tablare geschätzt; ","")))&amp;IF(H1457&gt;AR1457,"Überbestand "&amp;ROUND(H1457-AR1457,0)&amp;" Stk / CHF "&amp;ROUND((H1457-AR1457)*G1457,0)&amp;"; ","")&amp;IF(AND(CA1457=1,CB1457&lt;CC1457),"MAX &lt; MB+LG; ","")&amp;IF(AND(CG1457&gt;0,CF1457*10&gt;CG1457),"zu hoch für Tablar; ","")&amp;IF(AND(BP1457=0,OR(CA1457=1,AA1457&lt;&gt;"",U1457&lt;&gt;"",V1457&lt;&gt;"",AB1457&lt;&gt;"")),"manuell übersteuert; ","")&amp;IF(AND(BT1457=0,R1457=0),"Gebinde unbekannt / Stellmass fehlt; ","")&amp;IF(AND(BT1457=0,N(V1457)&lt;=0,N(Q1457)&lt;=0),"Menge pro Gebinde fehlt (Ist = 1 Gebinde); ","")&amp;BO1457)</f>
        <v>negativer Bestand (Export -3); Gebinde geschätzt (Mittel); Menge pro Gebinde fehlt (Ist = 1 Gebinde); grosser Artikel &amp; nicht im KTL</v>
      </c>
      <c r="BH1457" s="55"/>
      <c r="BI1457" s="55"/>
      <c r="BJ1457" s="62"/>
      <c r="BK1457" s="57" t="n">
        <v>-3</v>
      </c>
      <c r="BL1457" s="57" t="n">
        <v>0</v>
      </c>
      <c r="BM1457" s="56" t="n">
        <v>-15993</v>
      </c>
      <c r="BN1457" s="57" t="n">
        <v>5</v>
      </c>
      <c r="BO1457" s="55" t="s">
        <v>261</v>
      </c>
      <c r="BP1457" s="60" t="n">
        <v>0</v>
      </c>
      <c r="BQ1457" s="60" t="n">
        <v>1457</v>
      </c>
      <c r="BR1457" s="55" t="str">
        <f aca="false">IF(U1457&lt;&gt;"",UPPER(TRIM(U1457)),IF(BU1457=1,UPPER(VLOOKUP(T1457,Parameter!$I$27:$K$29,2,0)),IF(P1457="","LOSE",P1457)))</f>
        <v>S61</v>
      </c>
      <c r="BS1457" s="57" t="n">
        <f aca="false">IF(BR1457="LOSE",1,IF(N(V1457)&gt;0,V1457,IF(BU1457=1,MAX(1,N(VLOOKUP(T1457,Parameter!$I$27:$K$29,3,0)),H1457,N(N1457)),IF(N(Q1457)&gt;0,Q1457,MAX(1,H1457)))))</f>
        <v>4</v>
      </c>
      <c r="BT1457" s="60" t="n">
        <f aca="false">IF(BR1457="LOSE",1,0)</f>
        <v>0</v>
      </c>
      <c r="BU1457" s="60" t="n">
        <f aca="false">IF(AND(U1457="",OR(P1457="",P1457="LOSE"),T1457&lt;&gt;"",N(S1457)&lt;=0,ISNUMBER(MATCH(T1457,Parameter!$I$27:$I$29,0))),1,0)</f>
        <v>1</v>
      </c>
      <c r="BV1457" s="55" t="str">
        <f aca="false">IF(AND(Parameter!$B$19="Ja",E1457&lt;&gt;"",ISNUMBER(MATCH(E1457,Parameter!$I$35:$I$52,0))),VLOOKUP(E1457,Parameter!$I$35:$J$52,2,0),IFERROR(VLOOKUP(D1457,Parameter!$A$35:$C$64,2,0),"Nein"))</f>
        <v>2+3</v>
      </c>
      <c r="BW1457" s="59" t="n">
        <f aca="false">IF(BT1457=0,0,IF(N(S1457)&gt;0,S1457,IFERROR(VLOOKUP(D1457,Parameter!$A$35:$C$64,3,0)+0,0)))</f>
        <v>0</v>
      </c>
      <c r="BX1457" s="55" t="n">
        <f aca="false">IF(AA1457&lt;&gt;"",AA1457,Z1457)</f>
        <v>2</v>
      </c>
      <c r="BY1457" s="55" t="str">
        <f aca="false">IF(BX1457=1,"L1",IF(OR(BX1457=2,BX1457=3),"L23",IF(BX1457="Aussen","Aussen","-")))</f>
        <v>L23</v>
      </c>
      <c r="BZ1457" s="66" t="n">
        <f aca="false">IF(N(AB1457)&gt;0,AB1457,0)</f>
        <v>0</v>
      </c>
      <c r="CA1457" s="60" t="n">
        <f aca="false">IF(ISNUMBER(AE1457),1,0)</f>
        <v>0</v>
      </c>
      <c r="CB1457" s="57" t="n">
        <f aca="false">N(AE1457)</f>
        <v>0</v>
      </c>
      <c r="CC1457" s="57" t="n">
        <f aca="false">N(M1457)+N(N1457)</f>
        <v>1</v>
      </c>
      <c r="CD1457" s="57" t="n">
        <f aca="false">ROUNDUP(H1457/BS1457,0)</f>
        <v>0</v>
      </c>
      <c r="CE1457" s="57" t="n">
        <f aca="false">ROUNDUP(CB1457/BS1457,0)</f>
        <v>0</v>
      </c>
      <c r="CF1457" s="60" t="n">
        <f aca="false">IF(BT1457=1,0,IFERROR(VLOOKUP(BR1457,'Gebinde-Kategorie'!$A$5:$M$45,5,0)+0,0))</f>
        <v>11</v>
      </c>
      <c r="CG1457" s="60" t="n">
        <f aca="false">IFERROR(IF(OR(BX1457=1,BX1457=2,BX1457=3),N(INDEX(Parameter!$I$5:$I$7,BX1457)),0),0)</f>
        <v>0</v>
      </c>
      <c r="CH1457" s="59" t="n">
        <f aca="false">IF(AND(Parameter!$B$21="Ja",ISNUMBER(W1457),N(X1457)&gt;0),IFERROR(N(INDEX(Parameter!$L$5:$L$7,W1457))*INDEX(Parameter!$E$5:$E$7,W1457)*X1457/SUMIFS($X$7:$X$1843,$W$7:$W$1843,W1457),0),0)</f>
        <v>0</v>
      </c>
    </row>
    <row r="1458" customFormat="false" ht="15" hidden="false" customHeight="false" outlineLevel="0" collapsed="false">
      <c r="A1458" s="55" t="s">
        <v>2549</v>
      </c>
      <c r="B1458" s="55" t="s">
        <v>2550</v>
      </c>
      <c r="C1458" s="55" t="s">
        <v>164</v>
      </c>
      <c r="D1458" s="55" t="s">
        <v>173</v>
      </c>
      <c r="E1458" s="55" t="s">
        <v>166</v>
      </c>
      <c r="F1458" s="55"/>
      <c r="G1458" s="56" t="n">
        <v>1180.4</v>
      </c>
      <c r="H1458" s="57" t="n">
        <f aca="false">MAX(0,IF(AND(Parameter!$B$21="Ja",ISNUMBER(Y1458)),Y1458,IF(Parameter!$B$20="Jahresanfang 2025 + Export",BL1458+BK1458,BK1458)))</f>
        <v>0</v>
      </c>
      <c r="I1458" s="57" t="n">
        <f aca="false">H1458*G1458</f>
        <v>0</v>
      </c>
      <c r="J1458" s="57" t="n">
        <f aca="false">BN1458*Parameter!$B$18</f>
        <v>55</v>
      </c>
      <c r="K1458" s="58"/>
      <c r="L1458" s="59"/>
      <c r="M1458" s="57" t="n">
        <v>3</v>
      </c>
      <c r="N1458" s="57" t="n">
        <v>15</v>
      </c>
      <c r="O1458" s="60"/>
      <c r="P1458" s="55" t="s">
        <v>168</v>
      </c>
      <c r="Q1458" s="57"/>
      <c r="R1458" s="60" t="n">
        <f aca="false">IF(BT1458=1,0,IFERROR(VLOOKUP(BR1458,'Gebinde-Kategorie'!$A$5:$M$45,13,0)+0,0))</f>
        <v>12</v>
      </c>
      <c r="S1458" s="61"/>
      <c r="T1458" s="62" t="s">
        <v>179</v>
      </c>
      <c r="U1458" s="62"/>
      <c r="V1458" s="62"/>
      <c r="W1458" s="55"/>
      <c r="X1458" s="57"/>
      <c r="Y1458" s="57"/>
      <c r="Z1458" s="55" t="n">
        <f aca="false">IF(A1458="","",IF(AND(Parameter!$B$21="Ja",ISNUMBER(W1458)),W1458,IF(BV1458="2+3",IF(ISNUMBER(SEARCH("grosser Artikel",BO1458)),2,IFERROR(VLOOKUP(BR1458,Parameter!$F$35:$G$64,2,0),2)),IF(OR(BV1458="Nein",BV1458=""),"-",BV1458))))</f>
        <v>1</v>
      </c>
      <c r="AA1458" s="62"/>
      <c r="AB1458" s="63"/>
      <c r="AC1458" s="57" t="n">
        <f aca="false">AR1458</f>
        <v>30</v>
      </c>
      <c r="AD1458" s="57" t="n">
        <f aca="false">MAX(AR1458,H1458)</f>
        <v>30</v>
      </c>
      <c r="AE1458" s="64"/>
      <c r="AF1458" s="57" t="n">
        <f aca="false">IF(LEFT(Cockpit!$C$5,1)="A",H1458,IF(CA1458=1,CB1458,IF(LEFT(Cockpit!$C$5,1)="B",AJ1458,MAX(AJ1458,H1458))))</f>
        <v>0</v>
      </c>
      <c r="AG1458" s="57" t="n">
        <f aca="false">IF(BT1458=1,0,ROUNDUP(AF1458/BS1458,0))</f>
        <v>0</v>
      </c>
      <c r="AH1458" s="59" t="n">
        <f aca="false">IF(CH1458&gt;0,CH1458*MAX(1,AF1458/X1458),IF(BT1458=1,IF(AF1458&lt;=0,0,BW1458*MAX(1,IF(H1458&gt;0,AF1458/H1458,1))),IF(R1458&gt;0,AG1458/R1458,0))/MAX(0.1,N(Parameter!$M$21)))</f>
        <v>0</v>
      </c>
      <c r="AI1458" s="57" t="n">
        <f aca="false">AF1458*G1458</f>
        <v>0</v>
      </c>
      <c r="AJ1458" s="57" t="n">
        <f aca="false">ROUNDUP(MAX(J1458/IF(BZ1458&gt;0,BZ1458,MAX(0.1,N(Cockpit!$C$6))),CC1458)/BS1458,0)*BS1458</f>
        <v>30</v>
      </c>
      <c r="AK1458" s="58" t="n">
        <f aca="false">IF(AH1458&gt;0,J1458/AH1458,-1)</f>
        <v>-1</v>
      </c>
      <c r="AL1458" s="58" t="str">
        <f aca="false">IF(AND(OR(BY1458="L1",BY1458="L23"),AH1458&gt;0),SUMIFS($AH$7:$AH$1843,$BY$7:$BY$1843,BY1458,$AK$7:$AK$1843,"&gt;"&amp;AK1458)+SUMIFS($AH$7:$AH$1843,$BY$7:$BY$1843,BY1458,$AK$7:$AK$1843,AK1458,$BQ$7:$BQ$1843,"&lt;="&amp;BQ1458),"")</f>
        <v/>
      </c>
      <c r="AM1458" s="65" t="n">
        <f aca="false">IF(AL1458="",0,MAX(0,MIN(1,(IF(BY1458="L1",Parameter!$E$5,Parameter!$E$6+Parameter!$E$7)-(AL1458-AH1458))/AH1458)))</f>
        <v>0</v>
      </c>
      <c r="AN1458" s="57" t="n">
        <f aca="false">IF(LEFT(Cockpit!$I$5,1)="A",H1458,IF(CA1458=1,CB1458,IF(LEFT(Cockpit!$I$5,1)="B",AR1458,MAX(AR1458,H1458))))</f>
        <v>30</v>
      </c>
      <c r="AO1458" s="57" t="n">
        <f aca="false">IF(BT1458=1,0,ROUNDUP(AN1458/BS1458,0))</f>
        <v>2</v>
      </c>
      <c r="AP1458" s="59" t="n">
        <f aca="false">IF(CH1458&gt;0,CH1458*MAX(1,AN1458/X1458),IF(BT1458=1,IF(AN1458&lt;=0,0,BW1458*MAX(1,IF(H1458&gt;0,AN1458/H1458,1))),IF(R1458&gt;0,AO1458/R1458,0))/MAX(0.1,N(Parameter!$M$21)))</f>
        <v>0.166666666666667</v>
      </c>
      <c r="AQ1458" s="57" t="n">
        <f aca="false">AN1458*G1458</f>
        <v>35412</v>
      </c>
      <c r="AR1458" s="57" t="n">
        <f aca="false">ROUNDUP(MAX(J1458/IF(BZ1458&gt;0,BZ1458,MAX(0.1,N(Cockpit!$I$6))),CC1458)/BS1458,0)*BS1458</f>
        <v>30</v>
      </c>
      <c r="AS1458" s="58" t="n">
        <f aca="false">IF(AP1458&gt;0,J1458/AP1458,-1)</f>
        <v>330</v>
      </c>
      <c r="AT1458" s="58" t="n">
        <f aca="false">IF(AND(OR(BY1458="L1",BY1458="L23"),AP1458&gt;0),SUMIFS($AP$7:$AP$1843,$BY$7:$BY$1843,BY1458,$AS$7:$AS$1843,"&gt;"&amp;AS1458)+SUMIFS($AP$7:$AP$1843,$BY$7:$BY$1843,BY1458,$AS$7:$AS$1843,AS1458,$BQ$7:$BQ$1843,"&lt;="&amp;BQ1458),"")</f>
        <v>1.32775919732441</v>
      </c>
      <c r="AU1458" s="65" t="n">
        <f aca="false">IF(AT1458="",0,MAX(0,MIN(1,(IF(BY1458="L1",Parameter!$E$5,Parameter!$E$6+Parameter!$E$7)-(AT1458-AP1458))/AP1458)))</f>
        <v>1</v>
      </c>
      <c r="AV1458" s="57" t="n">
        <f aca="false">IF(LEFT(Cockpit!$O$5,1)="A",H1458,IF(CA1458=1,CB1458,IF(LEFT(Cockpit!$O$5,1)="B",AZ1458,MAX(AZ1458,H1458))))</f>
        <v>30</v>
      </c>
      <c r="AW1458" s="57" t="n">
        <f aca="false">IF(BT1458=1,0,ROUNDUP(AV1458/BS1458,0))</f>
        <v>2</v>
      </c>
      <c r="AX1458" s="59" t="n">
        <f aca="false">IF(CH1458&gt;0,CH1458*MAX(1,AV1458/X1458),IF(BT1458=1,IF(AV1458&lt;=0,0,BW1458*MAX(1,IF(H1458&gt;0,AV1458/H1458,1))),IF(R1458&gt;0,AW1458/R1458,0))/MAX(0.1,N(Parameter!$M$21)))</f>
        <v>0.166666666666667</v>
      </c>
      <c r="AY1458" s="57" t="n">
        <f aca="false">AV1458*G1458</f>
        <v>35412</v>
      </c>
      <c r="AZ1458" s="57" t="n">
        <f aca="false">ROUNDUP(MAX(J1458/IF(BZ1458&gt;0,BZ1458,MAX(0.1,N(Cockpit!$O$6))),CC1458)/BS1458,0)*BS1458</f>
        <v>30</v>
      </c>
      <c r="BA1458" s="58" t="n">
        <f aca="false">IF(AX1458&gt;0,J1458/AX1458,-1)</f>
        <v>330</v>
      </c>
      <c r="BB1458" s="58" t="n">
        <f aca="false">IF(AND(OR(BY1458="L1",BY1458="L23"),AX1458&gt;0),SUMIFS($AX$7:$AX$1843,$BY$7:$BY$1843,BY1458,$BA$7:$BA$1843,"&gt;"&amp;BA1458)+SUMIFS($AX$7:$AX$1843,$BY$7:$BY$1843,BY1458,$BA$7:$BA$1843,BA1458,$BQ$7:$BQ$1843,"&lt;="&amp;BQ1458),"")</f>
        <v>2.37263099219621</v>
      </c>
      <c r="BC1458" s="65" t="n">
        <f aca="false">IF(BB1458="",0,MAX(0,MIN(1,(IF(BY1458="L1",Parameter!$E$5,Parameter!$E$6+Parameter!$E$7)-(BB1458-AX1458))/AX1458)))</f>
        <v>1</v>
      </c>
      <c r="BD1458" s="55" t="str">
        <f aca="false">IF(AH1458&lt;=0,"",IF(BY1458="Aussen","Aussenlager",IF(BY1458="-","Nicht im Lift",IF(AM1458&gt;=1,"Lift",IF(AM1458&lt;=0,"Aussenlager","teilweise")))))</f>
        <v/>
      </c>
      <c r="BE1458" s="55" t="str">
        <f aca="false">IF(AP1458&lt;=0,"",IF(BY1458="Aussen","Aussenlager",IF(BY1458="-","Nicht im Lift",IF(AU1458&gt;=1,"Lift",IF(AU1458&lt;=0,"Aussenlager","teilweise")))))</f>
        <v>Lift</v>
      </c>
      <c r="BF1458" s="55" t="str">
        <f aca="false">IF(AX1458&lt;=0,"",IF(BY1458="Aussen","Aussenlager",IF(BY1458="-","Nicht im Lift",IF(BC1458&gt;=1,"Lift",IF(BC1458&lt;=0,"Aussenlager","teilweise")))))</f>
        <v>Lift</v>
      </c>
      <c r="BG1458" s="55" t="str">
        <f aca="false">IF(A1458="","",IF(BP1458=1,"Neu; ","")&amp;IF(AND(BP1458=0,BK1458&lt;0),"negativer Bestand (Export "&amp;BK1458&amp;"); ","")&amp;IF(J1458&lt;=0,"Kein Verbrauch; ","")&amp;IF(CH1458&gt;0,"Lift "&amp;W1458&amp;" lt. Liftbericht (Fach "&amp;X1458&amp;" Stk); ",IF(BU1458=1,"Gebinde geschätzt ("&amp;T1458&amp;"); ",IF(BT1458=1,"Lose – Tablare geschätzt; ","")))&amp;IF(H1458&gt;AR1458,"Überbestand "&amp;ROUND(H1458-AR1458,0)&amp;" Stk / CHF "&amp;ROUND((H1458-AR1458)*G1458,0)&amp;"; ","")&amp;IF(AND(CA1458=1,CB1458&lt;CC1458),"MAX &lt; MB+LG; ","")&amp;IF(AND(CG1458&gt;0,CF1458*10&gt;CG1458),"zu hoch für Tablar; ","")&amp;IF(AND(BP1458=0,OR(CA1458=1,AA1458&lt;&gt;"",U1458&lt;&gt;"",V1458&lt;&gt;"",AB1458&lt;&gt;"")),"manuell übersteuert; ","")&amp;IF(AND(BT1458=0,R1458=0),"Gebinde unbekannt / Stellmass fehlt; ","")&amp;IF(AND(BT1458=0,N(V1458)&lt;=0,N(Q1458)&lt;=0),"Menge pro Gebinde fehlt (Ist = 1 Gebinde); ","")&amp;BO1458)</f>
        <v>negativer Bestand (Export -13); Gebinde geschätzt (Mittel); Menge pro Gebinde fehlt (Ist = 1 Gebinde); </v>
      </c>
      <c r="BH1458" s="55"/>
      <c r="BI1458" s="55"/>
      <c r="BJ1458" s="62"/>
      <c r="BK1458" s="57" t="n">
        <v>-13</v>
      </c>
      <c r="BL1458" s="57" t="n">
        <v>0</v>
      </c>
      <c r="BM1458" s="56" t="n">
        <v>-18093.29</v>
      </c>
      <c r="BN1458" s="57" t="n">
        <v>55</v>
      </c>
      <c r="BO1458" s="55"/>
      <c r="BP1458" s="60" t="n">
        <v>0</v>
      </c>
      <c r="BQ1458" s="60" t="n">
        <v>1458</v>
      </c>
      <c r="BR1458" s="55" t="str">
        <f aca="false">IF(U1458&lt;&gt;"",UPPER(TRIM(U1458)),IF(BU1458=1,UPPER(VLOOKUP(T1458,Parameter!$I$27:$K$29,2,0)),IF(P1458="","LOSE",P1458)))</f>
        <v>S61</v>
      </c>
      <c r="BS1458" s="57" t="n">
        <f aca="false">IF(BR1458="LOSE",1,IF(N(V1458)&gt;0,V1458,IF(BU1458=1,MAX(1,N(VLOOKUP(T1458,Parameter!$I$27:$K$29,3,0)),H1458,N(N1458)),IF(N(Q1458)&gt;0,Q1458,MAX(1,H1458)))))</f>
        <v>15</v>
      </c>
      <c r="BT1458" s="60" t="n">
        <f aca="false">IF(BR1458="LOSE",1,0)</f>
        <v>0</v>
      </c>
      <c r="BU1458" s="60" t="n">
        <f aca="false">IF(AND(U1458="",OR(P1458="",P1458="LOSE"),T1458&lt;&gt;"",N(S1458)&lt;=0,ISNUMBER(MATCH(T1458,Parameter!$I$27:$I$29,0))),1,0)</f>
        <v>1</v>
      </c>
      <c r="BV1458" s="55" t="n">
        <f aca="false">IF(AND(Parameter!$B$19="Ja",E1458&lt;&gt;"",ISNUMBER(MATCH(E1458,Parameter!$I$35:$I$52,0))),VLOOKUP(E1458,Parameter!$I$35:$J$52,2,0),IFERROR(VLOOKUP(D1458,Parameter!$A$35:$C$64,2,0),"Nein"))</f>
        <v>1</v>
      </c>
      <c r="BW1458" s="59" t="n">
        <f aca="false">IF(BT1458=0,0,IF(N(S1458)&gt;0,S1458,IFERROR(VLOOKUP(D1458,Parameter!$A$35:$C$64,3,0)+0,0)))</f>
        <v>0</v>
      </c>
      <c r="BX1458" s="55" t="n">
        <f aca="false">IF(AA1458&lt;&gt;"",AA1458,Z1458)</f>
        <v>1</v>
      </c>
      <c r="BY1458" s="55" t="str">
        <f aca="false">IF(BX1458=1,"L1",IF(OR(BX1458=2,BX1458=3),"L23",IF(BX1458="Aussen","Aussen","-")))</f>
        <v>L1</v>
      </c>
      <c r="BZ1458" s="66" t="n">
        <f aca="false">IF(N(AB1458)&gt;0,AB1458,0)</f>
        <v>0</v>
      </c>
      <c r="CA1458" s="60" t="n">
        <f aca="false">IF(ISNUMBER(AE1458),1,0)</f>
        <v>0</v>
      </c>
      <c r="CB1458" s="57" t="n">
        <f aca="false">N(AE1458)</f>
        <v>0</v>
      </c>
      <c r="CC1458" s="57" t="n">
        <f aca="false">N(M1458)+N(N1458)</f>
        <v>18</v>
      </c>
      <c r="CD1458" s="57" t="n">
        <f aca="false">ROUNDUP(H1458/BS1458,0)</f>
        <v>0</v>
      </c>
      <c r="CE1458" s="57" t="n">
        <f aca="false">ROUNDUP(CB1458/BS1458,0)</f>
        <v>0</v>
      </c>
      <c r="CF1458" s="60" t="n">
        <f aca="false">IF(BT1458=1,0,IFERROR(VLOOKUP(BR1458,'Gebinde-Kategorie'!$A$5:$M$45,5,0)+0,0))</f>
        <v>11</v>
      </c>
      <c r="CG1458" s="60" t="n">
        <f aca="false">IFERROR(IF(OR(BX1458=1,BX1458=2,BX1458=3),N(INDEX(Parameter!$I$5:$I$7,BX1458)),0),0)</f>
        <v>0</v>
      </c>
      <c r="CH1458" s="59" t="n">
        <f aca="false">IF(AND(Parameter!$B$21="Ja",ISNUMBER(W1458),N(X1458)&gt;0),IFERROR(N(INDEX(Parameter!$L$5:$L$7,W1458))*INDEX(Parameter!$E$5:$E$7,W1458)*X1458/SUMIFS($X$7:$X$1843,$W$7:$W$1843,W1458),0),0)</f>
        <v>0</v>
      </c>
    </row>
    <row r="1459" customFormat="false" ht="15" hidden="false" customHeight="false" outlineLevel="0" collapsed="false">
      <c r="A1459" s="55" t="s">
        <v>2551</v>
      </c>
      <c r="B1459" s="55" t="s">
        <v>2552</v>
      </c>
      <c r="C1459" s="55" t="s">
        <v>164</v>
      </c>
      <c r="D1459" s="55" t="s">
        <v>173</v>
      </c>
      <c r="E1459" s="55" t="s">
        <v>166</v>
      </c>
      <c r="F1459" s="55"/>
      <c r="G1459" s="56" t="n">
        <v>286.19</v>
      </c>
      <c r="H1459" s="57" t="n">
        <f aca="false">MAX(0,IF(AND(Parameter!$B$21="Ja",ISNUMBER(Y1459)),Y1459,IF(Parameter!$B$20="Jahresanfang 2025 + Export",BL1459+BK1459,BK1459)))</f>
        <v>0</v>
      </c>
      <c r="I1459" s="57" t="n">
        <f aca="false">H1459*G1459</f>
        <v>0</v>
      </c>
      <c r="J1459" s="57" t="n">
        <f aca="false">BN1459*Parameter!$B$18</f>
        <v>44</v>
      </c>
      <c r="K1459" s="58"/>
      <c r="L1459" s="59"/>
      <c r="M1459" s="57" t="n">
        <v>2</v>
      </c>
      <c r="N1459" s="57" t="n">
        <v>35</v>
      </c>
      <c r="O1459" s="60"/>
      <c r="P1459" s="55" t="s">
        <v>174</v>
      </c>
      <c r="Q1459" s="57" t="n">
        <v>36</v>
      </c>
      <c r="R1459" s="60" t="n">
        <f aca="false">IF(BT1459=1,0,IFERROR(VLOOKUP(BR1459,'Gebinde-Kategorie'!$A$5:$M$45,13,0)+0,0))</f>
        <v>6</v>
      </c>
      <c r="S1459" s="61"/>
      <c r="T1459" s="62"/>
      <c r="U1459" s="62"/>
      <c r="V1459" s="62"/>
      <c r="W1459" s="55"/>
      <c r="X1459" s="57"/>
      <c r="Y1459" s="57"/>
      <c r="Z1459" s="55" t="n">
        <f aca="false">IF(A1459="","",IF(AND(Parameter!$B$21="Ja",ISNUMBER(W1459)),W1459,IF(BV1459="2+3",IF(ISNUMBER(SEARCH("grosser Artikel",BO1459)),2,IFERROR(VLOOKUP(BR1459,Parameter!$F$35:$G$64,2,0),2)),IF(OR(BV1459="Nein",BV1459=""),"-",BV1459))))</f>
        <v>1</v>
      </c>
      <c r="AA1459" s="62"/>
      <c r="AB1459" s="63"/>
      <c r="AC1459" s="57" t="n">
        <f aca="false">AR1459</f>
        <v>72</v>
      </c>
      <c r="AD1459" s="57" t="n">
        <f aca="false">MAX(AR1459,H1459)</f>
        <v>72</v>
      </c>
      <c r="AE1459" s="64"/>
      <c r="AF1459" s="57" t="n">
        <f aca="false">IF(LEFT(Cockpit!$C$5,1)="A",H1459,IF(CA1459=1,CB1459,IF(LEFT(Cockpit!$C$5,1)="B",AJ1459,MAX(AJ1459,H1459))))</f>
        <v>0</v>
      </c>
      <c r="AG1459" s="57" t="n">
        <f aca="false">IF(BT1459=1,0,ROUNDUP(AF1459/BS1459,0))</f>
        <v>0</v>
      </c>
      <c r="AH1459" s="59" t="n">
        <f aca="false">IF(CH1459&gt;0,CH1459*MAX(1,AF1459/X1459),IF(BT1459=1,IF(AF1459&lt;=0,0,BW1459*MAX(1,IF(H1459&gt;0,AF1459/H1459,1))),IF(R1459&gt;0,AG1459/R1459,0))/MAX(0.1,N(Parameter!$M$21)))</f>
        <v>0</v>
      </c>
      <c r="AI1459" s="57" t="n">
        <f aca="false">AF1459*G1459</f>
        <v>0</v>
      </c>
      <c r="AJ1459" s="57" t="n">
        <f aca="false">ROUNDUP(MAX(J1459/IF(BZ1459&gt;0,BZ1459,MAX(0.1,N(Cockpit!$C$6))),CC1459)/BS1459,0)*BS1459</f>
        <v>72</v>
      </c>
      <c r="AK1459" s="58" t="n">
        <f aca="false">IF(AH1459&gt;0,J1459/AH1459,-1)</f>
        <v>-1</v>
      </c>
      <c r="AL1459" s="58" t="str">
        <f aca="false">IF(AND(OR(BY1459="L1",BY1459="L23"),AH1459&gt;0),SUMIFS($AH$7:$AH$1843,$BY$7:$BY$1843,BY1459,$AK$7:$AK$1843,"&gt;"&amp;AK1459)+SUMIFS($AH$7:$AH$1843,$BY$7:$BY$1843,BY1459,$AK$7:$AK$1843,AK1459,$BQ$7:$BQ$1843,"&lt;="&amp;BQ1459),"")</f>
        <v/>
      </c>
      <c r="AM1459" s="65" t="n">
        <f aca="false">IF(AL1459="",0,MAX(0,MIN(1,(IF(BY1459="L1",Parameter!$E$5,Parameter!$E$6+Parameter!$E$7)-(AL1459-AH1459))/AH1459)))</f>
        <v>0</v>
      </c>
      <c r="AN1459" s="57" t="n">
        <f aca="false">IF(LEFT(Cockpit!$I$5,1)="A",H1459,IF(CA1459=1,CB1459,IF(LEFT(Cockpit!$I$5,1)="B",AR1459,MAX(AR1459,H1459))))</f>
        <v>72</v>
      </c>
      <c r="AO1459" s="57" t="n">
        <f aca="false">IF(BT1459=1,0,ROUNDUP(AN1459/BS1459,0))</f>
        <v>2</v>
      </c>
      <c r="AP1459" s="59" t="n">
        <f aca="false">IF(CH1459&gt;0,CH1459*MAX(1,AN1459/X1459),IF(BT1459=1,IF(AN1459&lt;=0,0,BW1459*MAX(1,IF(H1459&gt;0,AN1459/H1459,1))),IF(R1459&gt;0,AO1459/R1459,0))/MAX(0.1,N(Parameter!$M$21)))</f>
        <v>0.333333333333333</v>
      </c>
      <c r="AQ1459" s="57" t="n">
        <f aca="false">AN1459*G1459</f>
        <v>20605.68</v>
      </c>
      <c r="AR1459" s="57" t="n">
        <f aca="false">ROUNDUP(MAX(J1459/IF(BZ1459&gt;0,BZ1459,MAX(0.1,N(Cockpit!$I$6))),CC1459)/BS1459,0)*BS1459</f>
        <v>72</v>
      </c>
      <c r="AS1459" s="58" t="n">
        <f aca="false">IF(AP1459&gt;0,J1459/AP1459,-1)</f>
        <v>132</v>
      </c>
      <c r="AT1459" s="58" t="n">
        <f aca="false">IF(AND(OR(BY1459="L1",BY1459="L23"),AP1459&gt;0),SUMIFS($AP$7:$AP$1843,$BY$7:$BY$1843,BY1459,$AS$7:$AS$1843,"&gt;"&amp;AS1459)+SUMIFS($AP$7:$AP$1843,$BY$7:$BY$1843,BY1459,$AS$7:$AS$1843,AS1459,$BQ$7:$BQ$1843,"&lt;="&amp;BQ1459),"")</f>
        <v>5.74442586399108</v>
      </c>
      <c r="AU1459" s="65" t="n">
        <f aca="false">IF(AT1459="",0,MAX(0,MIN(1,(IF(BY1459="L1",Parameter!$E$5,Parameter!$E$6+Parameter!$E$7)-(AT1459-AP1459))/AP1459)))</f>
        <v>1</v>
      </c>
      <c r="AV1459" s="57" t="n">
        <f aca="false">IF(LEFT(Cockpit!$O$5,1)="A",H1459,IF(CA1459=1,CB1459,IF(LEFT(Cockpit!$O$5,1)="B",AZ1459,MAX(AZ1459,H1459))))</f>
        <v>72</v>
      </c>
      <c r="AW1459" s="57" t="n">
        <f aca="false">IF(BT1459=1,0,ROUNDUP(AV1459/BS1459,0))</f>
        <v>2</v>
      </c>
      <c r="AX1459" s="59" t="n">
        <f aca="false">IF(CH1459&gt;0,CH1459*MAX(1,AV1459/X1459),IF(BT1459=1,IF(AV1459&lt;=0,0,BW1459*MAX(1,IF(H1459&gt;0,AV1459/H1459,1))),IF(R1459&gt;0,AW1459/R1459,0))/MAX(0.1,N(Parameter!$M$21)))</f>
        <v>0.333333333333333</v>
      </c>
      <c r="AY1459" s="57" t="n">
        <f aca="false">AV1459*G1459</f>
        <v>20605.68</v>
      </c>
      <c r="AZ1459" s="57" t="n">
        <f aca="false">ROUNDUP(MAX(J1459/IF(BZ1459&gt;0,BZ1459,MAX(0.1,N(Cockpit!$O$6))),CC1459)/BS1459,0)*BS1459</f>
        <v>72</v>
      </c>
      <c r="BA1459" s="58" t="n">
        <f aca="false">IF(AX1459&gt;0,J1459/AX1459,-1)</f>
        <v>132</v>
      </c>
      <c r="BB1459" s="58" t="n">
        <f aca="false">IF(AND(OR(BY1459="L1",BY1459="L23"),AX1459&gt;0),SUMIFS($AX$7:$AX$1843,$BY$7:$BY$1843,BY1459,$BA$7:$BA$1843,"&gt;"&amp;BA1459)+SUMIFS($AX$7:$AX$1843,$BY$7:$BY$1843,BY1459,$BA$7:$BA$1843,BA1459,$BQ$7:$BQ$1843,"&lt;="&amp;BQ1459),"")</f>
        <v>4.95596432552954</v>
      </c>
      <c r="BC1459" s="65" t="n">
        <f aca="false">IF(BB1459="",0,MAX(0,MIN(1,(IF(BY1459="L1",Parameter!$E$5,Parameter!$E$6+Parameter!$E$7)-(BB1459-AX1459))/AX1459)))</f>
        <v>1</v>
      </c>
      <c r="BD1459" s="55" t="str">
        <f aca="false">IF(AH1459&lt;=0,"",IF(BY1459="Aussen","Aussenlager",IF(BY1459="-","Nicht im Lift",IF(AM1459&gt;=1,"Lift",IF(AM1459&lt;=0,"Aussenlager","teilweise")))))</f>
        <v/>
      </c>
      <c r="BE1459" s="55" t="str">
        <f aca="false">IF(AP1459&lt;=0,"",IF(BY1459="Aussen","Aussenlager",IF(BY1459="-","Nicht im Lift",IF(AU1459&gt;=1,"Lift",IF(AU1459&lt;=0,"Aussenlager","teilweise")))))</f>
        <v>Lift</v>
      </c>
      <c r="BF1459" s="55" t="str">
        <f aca="false">IF(AX1459&lt;=0,"",IF(BY1459="Aussen","Aussenlager",IF(BY1459="-","Nicht im Lift",IF(BC1459&gt;=1,"Lift",IF(BC1459&lt;=0,"Aussenlager","teilweise")))))</f>
        <v>Lift</v>
      </c>
      <c r="BG1459" s="55" t="str">
        <f aca="false">IF(A1459="","",IF(BP1459=1,"Neu; ","")&amp;IF(AND(BP1459=0,BK1459&lt;0),"negativer Bestand (Export "&amp;BK1459&amp;"); ","")&amp;IF(J1459&lt;=0,"Kein Verbrauch; ","")&amp;IF(CH1459&gt;0,"Lift "&amp;W1459&amp;" lt. Liftbericht (Fach "&amp;X1459&amp;" Stk); ",IF(BU1459=1,"Gebinde geschätzt ("&amp;T1459&amp;"); ",IF(BT1459=1,"Lose – Tablare geschätzt; ","")))&amp;IF(H1459&gt;AR1459,"Überbestand "&amp;ROUND(H1459-AR1459,0)&amp;" Stk / CHF "&amp;ROUND((H1459-AR1459)*G1459,0)&amp;"; ","")&amp;IF(AND(CA1459=1,CB1459&lt;CC1459),"MAX &lt; MB+LG; ","")&amp;IF(AND(CG1459&gt;0,CF1459*10&gt;CG1459),"zu hoch für Tablar; ","")&amp;IF(AND(BP1459=0,OR(CA1459=1,AA1459&lt;&gt;"",U1459&lt;&gt;"",V1459&lt;&gt;"",AB1459&lt;&gt;"")),"manuell übersteuert; ","")&amp;IF(AND(BT1459=0,R1459=0),"Gebinde unbekannt / Stellmass fehlt; ","")&amp;IF(AND(BT1459=0,N(V1459)&lt;=0,N(Q1459)&lt;=0),"Menge pro Gebinde fehlt (Ist = 1 Gebinde); ","")&amp;BO1459)</f>
        <v>negativer Bestand (Export -61); Neu</v>
      </c>
      <c r="BH1459" s="55"/>
      <c r="BI1459" s="55"/>
      <c r="BJ1459" s="62"/>
      <c r="BK1459" s="57" t="n">
        <v>-61</v>
      </c>
      <c r="BL1459" s="57" t="n">
        <v>0</v>
      </c>
      <c r="BM1459" s="56" t="n">
        <v>-18618.23</v>
      </c>
      <c r="BN1459" s="57" t="n">
        <v>44</v>
      </c>
      <c r="BO1459" s="55" t="s">
        <v>626</v>
      </c>
      <c r="BP1459" s="60" t="n">
        <v>0</v>
      </c>
      <c r="BQ1459" s="60" t="n">
        <v>1459</v>
      </c>
      <c r="BR1459" s="55" t="str">
        <f aca="false">IF(U1459&lt;&gt;"",UPPER(TRIM(U1459)),IF(BU1459=1,UPPER(VLOOKUP(T1459,Parameter!$I$27:$K$29,2,0)),IF(P1459="","LOSE",P1459)))</f>
        <v>S71</v>
      </c>
      <c r="BS1459" s="57" t="n">
        <f aca="false">IF(BR1459="LOSE",1,IF(N(V1459)&gt;0,V1459,IF(BU1459=1,MAX(1,N(VLOOKUP(T1459,Parameter!$I$27:$K$29,3,0)),H1459,N(N1459)),IF(N(Q1459)&gt;0,Q1459,MAX(1,H1459)))))</f>
        <v>36</v>
      </c>
      <c r="BT1459" s="60" t="n">
        <f aca="false">IF(BR1459="LOSE",1,0)</f>
        <v>0</v>
      </c>
      <c r="BU1459" s="60" t="n">
        <f aca="false">IF(AND(U1459="",OR(P1459="",P1459="LOSE"),T1459&lt;&gt;"",N(S1459)&lt;=0,ISNUMBER(MATCH(T1459,Parameter!$I$27:$I$29,0))),1,0)</f>
        <v>0</v>
      </c>
      <c r="BV1459" s="55" t="n">
        <f aca="false">IF(AND(Parameter!$B$19="Ja",E1459&lt;&gt;"",ISNUMBER(MATCH(E1459,Parameter!$I$35:$I$52,0))),VLOOKUP(E1459,Parameter!$I$35:$J$52,2,0),IFERROR(VLOOKUP(D1459,Parameter!$A$35:$C$64,2,0),"Nein"))</f>
        <v>1</v>
      </c>
      <c r="BW1459" s="59" t="n">
        <f aca="false">IF(BT1459=0,0,IF(N(S1459)&gt;0,S1459,IFERROR(VLOOKUP(D1459,Parameter!$A$35:$C$64,3,0)+0,0)))</f>
        <v>0</v>
      </c>
      <c r="BX1459" s="55" t="n">
        <f aca="false">IF(AA1459&lt;&gt;"",AA1459,Z1459)</f>
        <v>1</v>
      </c>
      <c r="BY1459" s="55" t="str">
        <f aca="false">IF(BX1459=1,"L1",IF(OR(BX1459=2,BX1459=3),"L23",IF(BX1459="Aussen","Aussen","-")))</f>
        <v>L1</v>
      </c>
      <c r="BZ1459" s="66" t="n">
        <f aca="false">IF(N(AB1459)&gt;0,AB1459,0)</f>
        <v>0</v>
      </c>
      <c r="CA1459" s="60" t="n">
        <f aca="false">IF(ISNUMBER(AE1459),1,0)</f>
        <v>0</v>
      </c>
      <c r="CB1459" s="57" t="n">
        <f aca="false">N(AE1459)</f>
        <v>0</v>
      </c>
      <c r="CC1459" s="57" t="n">
        <f aca="false">N(M1459)+N(N1459)</f>
        <v>37</v>
      </c>
      <c r="CD1459" s="57" t="n">
        <f aca="false">ROUNDUP(H1459/BS1459,0)</f>
        <v>0</v>
      </c>
      <c r="CE1459" s="57" t="n">
        <f aca="false">ROUNDUP(CB1459/BS1459,0)</f>
        <v>0</v>
      </c>
      <c r="CF1459" s="60" t="n">
        <f aca="false">IF(BT1459=1,0,IFERROR(VLOOKUP(BR1459,'Gebinde-Kategorie'!$A$5:$M$45,5,0)+0,0))</f>
        <v>20</v>
      </c>
      <c r="CG1459" s="60" t="n">
        <f aca="false">IFERROR(IF(OR(BX1459=1,BX1459=2,BX1459=3),N(INDEX(Parameter!$I$5:$I$7,BX1459)),0),0)</f>
        <v>0</v>
      </c>
      <c r="CH1459" s="59" t="n">
        <f aca="false">IF(AND(Parameter!$B$21="Ja",ISNUMBER(W1459),N(X1459)&gt;0),IFERROR(N(INDEX(Parameter!$L$5:$L$7,W1459))*INDEX(Parameter!$E$5:$E$7,W1459)*X1459/SUMIFS($X$7:$X$1843,$W$7:$W$1843,W1459),0),0)</f>
        <v>0</v>
      </c>
    </row>
    <row r="1460" customFormat="false" ht="15" hidden="false" customHeight="false" outlineLevel="0" collapsed="false">
      <c r="A1460" s="55" t="s">
        <v>2553</v>
      </c>
      <c r="B1460" s="55" t="s">
        <v>405</v>
      </c>
      <c r="C1460" s="55" t="s">
        <v>456</v>
      </c>
      <c r="D1460" s="55" t="s">
        <v>173</v>
      </c>
      <c r="E1460" s="55"/>
      <c r="F1460" s="55"/>
      <c r="G1460" s="56" t="n">
        <v>5.53</v>
      </c>
      <c r="H1460" s="57" t="n">
        <f aca="false">MAX(0,IF(AND(Parameter!$B$21="Ja",ISNUMBER(Y1460)),Y1460,IF(Parameter!$B$20="Jahresanfang 2025 + Export",BL1460+BK1460,BK1460)))</f>
        <v>0</v>
      </c>
      <c r="I1460" s="57" t="n">
        <f aca="false">H1460*G1460</f>
        <v>0</v>
      </c>
      <c r="J1460" s="57" t="n">
        <f aca="false">BN1460*Parameter!$B$18</f>
        <v>3500</v>
      </c>
      <c r="K1460" s="58"/>
      <c r="L1460" s="59"/>
      <c r="M1460" s="57" t="n">
        <v>2041</v>
      </c>
      <c r="N1460" s="57" t="n">
        <v>1265</v>
      </c>
      <c r="O1460" s="60"/>
      <c r="P1460" s="55" t="s">
        <v>168</v>
      </c>
      <c r="Q1460" s="57"/>
      <c r="R1460" s="60" t="n">
        <f aca="false">IF(BT1460=1,0,IFERROR(VLOOKUP(BR1460,'Gebinde-Kategorie'!$A$5:$M$45,13,0)+0,0))</f>
        <v>26</v>
      </c>
      <c r="S1460" s="61"/>
      <c r="T1460" s="62" t="s">
        <v>275</v>
      </c>
      <c r="U1460" s="62"/>
      <c r="V1460" s="62"/>
      <c r="W1460" s="55"/>
      <c r="X1460" s="57"/>
      <c r="Y1460" s="57"/>
      <c r="Z1460" s="55" t="n">
        <f aca="false">IF(A1460="","",IF(AND(Parameter!$B$21="Ja",ISNUMBER(W1460)),W1460,IF(BV1460="2+3",IF(ISNUMBER(SEARCH("grosser Artikel",BO1460)),2,IFERROR(VLOOKUP(BR1460,Parameter!$F$35:$G$64,2,0),2)),IF(OR(BV1460="Nein",BV1460=""),"-",BV1460))))</f>
        <v>3</v>
      </c>
      <c r="AA1460" s="62"/>
      <c r="AB1460" s="63"/>
      <c r="AC1460" s="57" t="n">
        <f aca="false">AR1460</f>
        <v>3795</v>
      </c>
      <c r="AD1460" s="57" t="n">
        <f aca="false">MAX(AR1460,H1460)</f>
        <v>3795</v>
      </c>
      <c r="AE1460" s="64"/>
      <c r="AF1460" s="57" t="n">
        <f aca="false">IF(LEFT(Cockpit!$C$5,1)="A",H1460,IF(CA1460=1,CB1460,IF(LEFT(Cockpit!$C$5,1)="B",AJ1460,MAX(AJ1460,H1460))))</f>
        <v>0</v>
      </c>
      <c r="AG1460" s="57" t="n">
        <f aca="false">IF(BT1460=1,0,ROUNDUP(AF1460/BS1460,0))</f>
        <v>0</v>
      </c>
      <c r="AH1460" s="59" t="n">
        <f aca="false">IF(CH1460&gt;0,CH1460*MAX(1,AF1460/X1460),IF(BT1460=1,IF(AF1460&lt;=0,0,BW1460*MAX(1,IF(H1460&gt;0,AF1460/H1460,1))),IF(R1460&gt;0,AG1460/R1460,0))/MAX(0.1,N(Parameter!$M$21)))</f>
        <v>0</v>
      </c>
      <c r="AI1460" s="57" t="n">
        <f aca="false">AF1460*G1460</f>
        <v>0</v>
      </c>
      <c r="AJ1460" s="57" t="n">
        <f aca="false">ROUNDUP(MAX(J1460/IF(BZ1460&gt;0,BZ1460,MAX(0.1,N(Cockpit!$C$6))),CC1460)/BS1460,0)*BS1460</f>
        <v>3795</v>
      </c>
      <c r="AK1460" s="58" t="n">
        <f aca="false">IF(AH1460&gt;0,J1460/AH1460,-1)</f>
        <v>-1</v>
      </c>
      <c r="AL1460" s="58" t="str">
        <f aca="false">IF(AND(OR(BY1460="L1",BY1460="L23"),AH1460&gt;0),SUMIFS($AH$7:$AH$1843,$BY$7:$BY$1843,BY1460,$AK$7:$AK$1843,"&gt;"&amp;AK1460)+SUMIFS($AH$7:$AH$1843,$BY$7:$BY$1843,BY1460,$AK$7:$AK$1843,AK1460,$BQ$7:$BQ$1843,"&lt;="&amp;BQ1460),"")</f>
        <v/>
      </c>
      <c r="AM1460" s="65" t="n">
        <f aca="false">IF(AL1460="",0,MAX(0,MIN(1,(IF(BY1460="L1",Parameter!$E$5,Parameter!$E$6+Parameter!$E$7)-(AL1460-AH1460))/AH1460)))</f>
        <v>0</v>
      </c>
      <c r="AN1460" s="57" t="n">
        <f aca="false">IF(LEFT(Cockpit!$I$5,1)="A",H1460,IF(CA1460=1,CB1460,IF(LEFT(Cockpit!$I$5,1)="B",AR1460,MAX(AR1460,H1460))))</f>
        <v>3795</v>
      </c>
      <c r="AO1460" s="57" t="n">
        <f aca="false">IF(BT1460=1,0,ROUNDUP(AN1460/BS1460,0))</f>
        <v>3</v>
      </c>
      <c r="AP1460" s="59" t="n">
        <f aca="false">IF(CH1460&gt;0,CH1460*MAX(1,AN1460/X1460),IF(BT1460=1,IF(AN1460&lt;=0,0,BW1460*MAX(1,IF(H1460&gt;0,AN1460/H1460,1))),IF(R1460&gt;0,AO1460/R1460,0))/MAX(0.1,N(Parameter!$M$21)))</f>
        <v>0.115384615384615</v>
      </c>
      <c r="AQ1460" s="57" t="n">
        <f aca="false">AN1460*G1460</f>
        <v>20986.35</v>
      </c>
      <c r="AR1460" s="57" t="n">
        <f aca="false">ROUNDUP(MAX(J1460/IF(BZ1460&gt;0,BZ1460,MAX(0.1,N(Cockpit!$I$6))),CC1460)/BS1460,0)*BS1460</f>
        <v>3795</v>
      </c>
      <c r="AS1460" s="58" t="n">
        <f aca="false">IF(AP1460&gt;0,J1460/AP1460,-1)</f>
        <v>30333.3333333333</v>
      </c>
      <c r="AT1460" s="58" t="n">
        <f aca="false">IF(AND(OR(BY1460="L1",BY1460="L23"),AP1460&gt;0),SUMIFS($AP$7:$AP$1843,$BY$7:$BY$1843,BY1460,$AS$7:$AS$1843,"&gt;"&amp;AS1460)+SUMIFS($AP$7:$AP$1843,$BY$7:$BY$1843,BY1460,$AS$7:$AS$1843,AS1460,$BQ$7:$BQ$1843,"&lt;="&amp;BQ1460),"")</f>
        <v>3.01296408905105</v>
      </c>
      <c r="AU1460" s="65" t="n">
        <f aca="false">IF(AT1460="",0,MAX(0,MIN(1,(IF(BY1460="L1",Parameter!$E$5,Parameter!$E$6+Parameter!$E$7)-(AT1460-AP1460))/AP1460)))</f>
        <v>1</v>
      </c>
      <c r="AV1460" s="57" t="n">
        <f aca="false">IF(LEFT(Cockpit!$O$5,1)="A",H1460,IF(CA1460=1,CB1460,IF(LEFT(Cockpit!$O$5,1)="B",AZ1460,MAX(AZ1460,H1460))))</f>
        <v>3795</v>
      </c>
      <c r="AW1460" s="57" t="n">
        <f aca="false">IF(BT1460=1,0,ROUNDUP(AV1460/BS1460,0))</f>
        <v>3</v>
      </c>
      <c r="AX1460" s="59" t="n">
        <f aca="false">IF(CH1460&gt;0,CH1460*MAX(1,AV1460/X1460),IF(BT1460=1,IF(AV1460&lt;=0,0,BW1460*MAX(1,IF(H1460&gt;0,AV1460/H1460,1))),IF(R1460&gt;0,AW1460/R1460,0))/MAX(0.1,N(Parameter!$M$21)))</f>
        <v>0.115384615384615</v>
      </c>
      <c r="AY1460" s="57" t="n">
        <f aca="false">AV1460*G1460</f>
        <v>20986.35</v>
      </c>
      <c r="AZ1460" s="57" t="n">
        <f aca="false">ROUNDUP(MAX(J1460/IF(BZ1460&gt;0,BZ1460,MAX(0.1,N(Cockpit!$O$6))),CC1460)/BS1460,0)*BS1460</f>
        <v>3795</v>
      </c>
      <c r="BA1460" s="58" t="n">
        <f aca="false">IF(AX1460&gt;0,J1460/AX1460,-1)</f>
        <v>30333.3333333333</v>
      </c>
      <c r="BB1460" s="58" t="n">
        <f aca="false">IF(AND(OR(BY1460="L1",BY1460="L23"),AX1460&gt;0),SUMIFS($AX$7:$AX$1843,$BY$7:$BY$1843,BY1460,$BA$7:$BA$1843,"&gt;"&amp;BA1460)+SUMIFS($AX$7:$AX$1843,$BY$7:$BY$1843,BY1460,$BA$7:$BA$1843,BA1460,$BQ$7:$BQ$1843,"&lt;="&amp;BQ1460),"")</f>
        <v>2.78102935711631</v>
      </c>
      <c r="BC1460" s="65" t="n">
        <f aca="false">IF(BB1460="",0,MAX(0,MIN(1,(IF(BY1460="L1",Parameter!$E$5,Parameter!$E$6+Parameter!$E$7)-(BB1460-AX1460))/AX1460)))</f>
        <v>1</v>
      </c>
      <c r="BD1460" s="55" t="str">
        <f aca="false">IF(AH1460&lt;=0,"",IF(BY1460="Aussen","Aussenlager",IF(BY1460="-","Nicht im Lift",IF(AM1460&gt;=1,"Lift",IF(AM1460&lt;=0,"Aussenlager","teilweise")))))</f>
        <v/>
      </c>
      <c r="BE1460" s="55" t="str">
        <f aca="false">IF(AP1460&lt;=0,"",IF(BY1460="Aussen","Aussenlager",IF(BY1460="-","Nicht im Lift",IF(AU1460&gt;=1,"Lift",IF(AU1460&lt;=0,"Aussenlager","teilweise")))))</f>
        <v>Lift</v>
      </c>
      <c r="BF1460" s="55" t="str">
        <f aca="false">IF(AX1460&lt;=0,"",IF(BY1460="Aussen","Aussenlager",IF(BY1460="-","Nicht im Lift",IF(BC1460&gt;=1,"Lift",IF(BC1460&lt;=0,"Aussenlager","teilweise")))))</f>
        <v>Lift</v>
      </c>
      <c r="BG1460" s="55" t="str">
        <f aca="false">IF(A1460="","",IF(BP1460=1,"Neu; ","")&amp;IF(AND(BP1460=0,BK1460&lt;0),"negativer Bestand (Export "&amp;BK1460&amp;"); ","")&amp;IF(J1460&lt;=0,"Kein Verbrauch; ","")&amp;IF(CH1460&gt;0,"Lift "&amp;W1460&amp;" lt. Liftbericht (Fach "&amp;X1460&amp;" Stk); ",IF(BU1460=1,"Gebinde geschätzt ("&amp;T1460&amp;"); ",IF(BT1460=1,"Lose – Tablare geschätzt; ","")))&amp;IF(H1460&gt;AR1460,"Überbestand "&amp;ROUND(H1460-AR1460,0)&amp;" Stk / CHF "&amp;ROUND((H1460-AR1460)*G1460,0)&amp;"; ","")&amp;IF(AND(CA1460=1,CB1460&lt;CC1460),"MAX &lt; MB+LG; ","")&amp;IF(AND(CG1460&gt;0,CF1460*10&gt;CG1460),"zu hoch für Tablar; ","")&amp;IF(AND(BP1460=0,OR(CA1460=1,AA1460&lt;&gt;"",U1460&lt;&gt;"",V1460&lt;&gt;"",AB1460&lt;&gt;"")),"manuell übersteuert; ","")&amp;IF(AND(BT1460=0,R1460=0),"Gebinde unbekannt / Stellmass fehlt; ","")&amp;IF(AND(BT1460=0,N(V1460)&lt;=0,N(Q1460)&lt;=0),"Menge pro Gebinde fehlt (Ist = 1 Gebinde); ","")&amp;BO1460)</f>
        <v>negativer Bestand (Export -3500); Gebinde geschätzt (Klein); Menge pro Gebinde fehlt (Ist = 1 Gebinde); </v>
      </c>
      <c r="BH1460" s="55"/>
      <c r="BI1460" s="55"/>
      <c r="BJ1460" s="62"/>
      <c r="BK1460" s="57" t="n">
        <v>-3500</v>
      </c>
      <c r="BL1460" s="57" t="n">
        <v>0</v>
      </c>
      <c r="BM1460" s="56" t="n">
        <v>-19355</v>
      </c>
      <c r="BN1460" s="57" t="n">
        <v>3500</v>
      </c>
      <c r="BO1460" s="55"/>
      <c r="BP1460" s="60" t="n">
        <v>0</v>
      </c>
      <c r="BQ1460" s="60" t="n">
        <v>1460</v>
      </c>
      <c r="BR1460" s="55" t="str">
        <f aca="false">IF(U1460&lt;&gt;"",UPPER(TRIM(U1460)),IF(BU1460=1,UPPER(VLOOKUP(T1460,Parameter!$I$27:$K$29,2,0)),IF(P1460="","LOSE",P1460)))</f>
        <v>S51</v>
      </c>
      <c r="BS1460" s="57" t="n">
        <f aca="false">IF(BR1460="LOSE",1,IF(N(V1460)&gt;0,V1460,IF(BU1460=1,MAX(1,N(VLOOKUP(T1460,Parameter!$I$27:$K$29,3,0)),H1460,N(N1460)),IF(N(Q1460)&gt;0,Q1460,MAX(1,H1460)))))</f>
        <v>1265</v>
      </c>
      <c r="BT1460" s="60" t="n">
        <f aca="false">IF(BR1460="LOSE",1,0)</f>
        <v>0</v>
      </c>
      <c r="BU1460" s="60" t="n">
        <f aca="false">IF(AND(U1460="",OR(P1460="",P1460="LOSE"),T1460&lt;&gt;"",N(S1460)&lt;=0,ISNUMBER(MATCH(T1460,Parameter!$I$27:$I$29,0))),1,0)</f>
        <v>1</v>
      </c>
      <c r="BV1460" s="55" t="str">
        <f aca="false">IF(AND(Parameter!$B$19="Ja",E1460&lt;&gt;"",ISNUMBER(MATCH(E1460,Parameter!$I$35:$I$52,0))),VLOOKUP(E1460,Parameter!$I$35:$J$52,2,0),IFERROR(VLOOKUP(D1460,Parameter!$A$35:$C$64,2,0),"Nein"))</f>
        <v>2+3</v>
      </c>
      <c r="BW1460" s="59" t="n">
        <f aca="false">IF(BT1460=0,0,IF(N(S1460)&gt;0,S1460,IFERROR(VLOOKUP(D1460,Parameter!$A$35:$C$64,3,0)+0,0)))</f>
        <v>0</v>
      </c>
      <c r="BX1460" s="55" t="n">
        <f aca="false">IF(AA1460&lt;&gt;"",AA1460,Z1460)</f>
        <v>3</v>
      </c>
      <c r="BY1460" s="55" t="str">
        <f aca="false">IF(BX1460=1,"L1",IF(OR(BX1460=2,BX1460=3),"L23",IF(BX1460="Aussen","Aussen","-")))</f>
        <v>L23</v>
      </c>
      <c r="BZ1460" s="66" t="n">
        <f aca="false">IF(N(AB1460)&gt;0,AB1460,0)</f>
        <v>0</v>
      </c>
      <c r="CA1460" s="60" t="n">
        <f aca="false">IF(ISNUMBER(AE1460),1,0)</f>
        <v>0</v>
      </c>
      <c r="CB1460" s="57" t="n">
        <f aca="false">N(AE1460)</f>
        <v>0</v>
      </c>
      <c r="CC1460" s="57" t="n">
        <f aca="false">N(M1460)+N(N1460)</f>
        <v>3306</v>
      </c>
      <c r="CD1460" s="57" t="n">
        <f aca="false">ROUNDUP(H1460/BS1460,0)</f>
        <v>0</v>
      </c>
      <c r="CE1460" s="57" t="n">
        <f aca="false">ROUNDUP(CB1460/BS1460,0)</f>
        <v>0</v>
      </c>
      <c r="CF1460" s="60" t="n">
        <f aca="false">IF(BT1460=1,0,IFERROR(VLOOKUP(BR1460,'Gebinde-Kategorie'!$A$5:$M$45,5,0)+0,0))</f>
        <v>11</v>
      </c>
      <c r="CG1460" s="60" t="n">
        <f aca="false">IFERROR(IF(OR(BX1460=1,BX1460=2,BX1460=3),N(INDEX(Parameter!$I$5:$I$7,BX1460)),0),0)</f>
        <v>0</v>
      </c>
      <c r="CH1460" s="59" t="n">
        <f aca="false">IF(AND(Parameter!$B$21="Ja",ISNUMBER(W1460),N(X1460)&gt;0),IFERROR(N(INDEX(Parameter!$L$5:$L$7,W1460))*INDEX(Parameter!$E$5:$E$7,W1460)*X1460/SUMIFS($X$7:$X$1843,$W$7:$W$1843,W1460),0),0)</f>
        <v>0</v>
      </c>
    </row>
    <row r="1461" customFormat="false" ht="15" hidden="false" customHeight="false" outlineLevel="0" collapsed="false">
      <c r="A1461" s="55" t="s">
        <v>2554</v>
      </c>
      <c r="B1461" s="55" t="s">
        <v>2555</v>
      </c>
      <c r="C1461" s="55" t="s">
        <v>456</v>
      </c>
      <c r="D1461" s="55" t="s">
        <v>173</v>
      </c>
      <c r="E1461" s="55"/>
      <c r="F1461" s="55"/>
      <c r="G1461" s="56" t="n">
        <v>513.92</v>
      </c>
      <c r="H1461" s="57" t="n">
        <f aca="false">MAX(0,IF(AND(Parameter!$B$21="Ja",ISNUMBER(Y1461)),Y1461,IF(Parameter!$B$20="Jahresanfang 2025 + Export",BL1461+BK1461,BK1461)))</f>
        <v>0</v>
      </c>
      <c r="I1461" s="57" t="n">
        <f aca="false">H1461*G1461</f>
        <v>0</v>
      </c>
      <c r="J1461" s="57" t="n">
        <f aca="false">BN1461*Parameter!$B$18</f>
        <v>135</v>
      </c>
      <c r="K1461" s="58"/>
      <c r="L1461" s="59"/>
      <c r="M1461" s="57" t="n">
        <v>0</v>
      </c>
      <c r="N1461" s="57" t="n">
        <v>4</v>
      </c>
      <c r="O1461" s="60"/>
      <c r="P1461" s="55" t="s">
        <v>168</v>
      </c>
      <c r="Q1461" s="57"/>
      <c r="R1461" s="60" t="n">
        <f aca="false">IF(BT1461=1,0,IFERROR(VLOOKUP(BR1461,'Gebinde-Kategorie'!$A$5:$M$45,13,0)+0,0))</f>
        <v>12</v>
      </c>
      <c r="S1461" s="61"/>
      <c r="T1461" s="62" t="s">
        <v>179</v>
      </c>
      <c r="U1461" s="62"/>
      <c r="V1461" s="62"/>
      <c r="W1461" s="55"/>
      <c r="X1461" s="57"/>
      <c r="Y1461" s="57"/>
      <c r="Z1461" s="55" t="n">
        <f aca="false">IF(A1461="","",IF(AND(Parameter!$B$21="Ja",ISNUMBER(W1461)),W1461,IF(BV1461="2+3",IF(ISNUMBER(SEARCH("grosser Artikel",BO1461)),2,IFERROR(VLOOKUP(BR1461,Parameter!$F$35:$G$64,2,0),2)),IF(OR(BV1461="Nein",BV1461=""),"-",BV1461))))</f>
        <v>2</v>
      </c>
      <c r="AA1461" s="62"/>
      <c r="AB1461" s="63"/>
      <c r="AC1461" s="57" t="n">
        <f aca="false">AR1461</f>
        <v>68</v>
      </c>
      <c r="AD1461" s="57" t="n">
        <f aca="false">MAX(AR1461,H1461)</f>
        <v>68</v>
      </c>
      <c r="AE1461" s="64"/>
      <c r="AF1461" s="57" t="n">
        <f aca="false">IF(LEFT(Cockpit!$C$5,1)="A",H1461,IF(CA1461=1,CB1461,IF(LEFT(Cockpit!$C$5,1)="B",AJ1461,MAX(AJ1461,H1461))))</f>
        <v>0</v>
      </c>
      <c r="AG1461" s="57" t="n">
        <f aca="false">IF(BT1461=1,0,ROUNDUP(AF1461/BS1461,0))</f>
        <v>0</v>
      </c>
      <c r="AH1461" s="59" t="n">
        <f aca="false">IF(CH1461&gt;0,CH1461*MAX(1,AF1461/X1461),IF(BT1461=1,IF(AF1461&lt;=0,0,BW1461*MAX(1,IF(H1461&gt;0,AF1461/H1461,1))),IF(R1461&gt;0,AG1461/R1461,0))/MAX(0.1,N(Parameter!$M$21)))</f>
        <v>0</v>
      </c>
      <c r="AI1461" s="57" t="n">
        <f aca="false">AF1461*G1461</f>
        <v>0</v>
      </c>
      <c r="AJ1461" s="57" t="n">
        <f aca="false">ROUNDUP(MAX(J1461/IF(BZ1461&gt;0,BZ1461,MAX(0.1,N(Cockpit!$C$6))),CC1461)/BS1461,0)*BS1461</f>
        <v>68</v>
      </c>
      <c r="AK1461" s="58" t="n">
        <f aca="false">IF(AH1461&gt;0,J1461/AH1461,-1)</f>
        <v>-1</v>
      </c>
      <c r="AL1461" s="58" t="str">
        <f aca="false">IF(AND(OR(BY1461="L1",BY1461="L23"),AH1461&gt;0),SUMIFS($AH$7:$AH$1843,$BY$7:$BY$1843,BY1461,$AK$7:$AK$1843,"&gt;"&amp;AK1461)+SUMIFS($AH$7:$AH$1843,$BY$7:$BY$1843,BY1461,$AK$7:$AK$1843,AK1461,$BQ$7:$BQ$1843,"&lt;="&amp;BQ1461),"")</f>
        <v/>
      </c>
      <c r="AM1461" s="65" t="n">
        <f aca="false">IF(AL1461="",0,MAX(0,MIN(1,(IF(BY1461="L1",Parameter!$E$5,Parameter!$E$6+Parameter!$E$7)-(AL1461-AH1461))/AH1461)))</f>
        <v>0</v>
      </c>
      <c r="AN1461" s="57" t="n">
        <f aca="false">IF(LEFT(Cockpit!$I$5,1)="A",H1461,IF(CA1461=1,CB1461,IF(LEFT(Cockpit!$I$5,1)="B",AR1461,MAX(AR1461,H1461))))</f>
        <v>68</v>
      </c>
      <c r="AO1461" s="57" t="n">
        <f aca="false">IF(BT1461=1,0,ROUNDUP(AN1461/BS1461,0))</f>
        <v>17</v>
      </c>
      <c r="AP1461" s="59" t="n">
        <f aca="false">IF(CH1461&gt;0,CH1461*MAX(1,AN1461/X1461),IF(BT1461=1,IF(AN1461&lt;=0,0,BW1461*MAX(1,IF(H1461&gt;0,AN1461/H1461,1))),IF(R1461&gt;0,AO1461/R1461,0))/MAX(0.1,N(Parameter!$M$21)))</f>
        <v>1.41666666666667</v>
      </c>
      <c r="AQ1461" s="57" t="n">
        <f aca="false">AN1461*G1461</f>
        <v>34946.56</v>
      </c>
      <c r="AR1461" s="57" t="n">
        <f aca="false">ROUNDUP(MAX(J1461/IF(BZ1461&gt;0,BZ1461,MAX(0.1,N(Cockpit!$I$6))),CC1461)/BS1461,0)*BS1461</f>
        <v>68</v>
      </c>
      <c r="AS1461" s="58" t="n">
        <f aca="false">IF(AP1461&gt;0,J1461/AP1461,-1)</f>
        <v>95.2941176470588</v>
      </c>
      <c r="AT1461" s="58" t="n">
        <f aca="false">IF(AND(OR(BY1461="L1",BY1461="L23"),AP1461&gt;0),SUMIFS($AP$7:$AP$1843,$BY$7:$BY$1843,BY1461,$AS$7:$AS$1843,"&gt;"&amp;AS1461)+SUMIFS($AP$7:$AP$1843,$BY$7:$BY$1843,BY1461,$AS$7:$AS$1843,AS1461,$BQ$7:$BQ$1843,"&lt;="&amp;BQ1461),"")</f>
        <v>59.6072936725111</v>
      </c>
      <c r="AU1461" s="65" t="n">
        <f aca="false">IF(AT1461="",0,MAX(0,MIN(1,(IF(BY1461="L1",Parameter!$E$5,Parameter!$E$6+Parameter!$E$7)-(AT1461-AP1461))/AP1461)))</f>
        <v>1</v>
      </c>
      <c r="AV1461" s="57" t="n">
        <f aca="false">IF(LEFT(Cockpit!$O$5,1)="A",H1461,IF(CA1461=1,CB1461,IF(LEFT(Cockpit!$O$5,1)="B",AZ1461,MAX(AZ1461,H1461))))</f>
        <v>48</v>
      </c>
      <c r="AW1461" s="57" t="n">
        <f aca="false">IF(BT1461=1,0,ROUNDUP(AV1461/BS1461,0))</f>
        <v>12</v>
      </c>
      <c r="AX1461" s="59" t="n">
        <f aca="false">IF(CH1461&gt;0,CH1461*MAX(1,AV1461/X1461),IF(BT1461=1,IF(AV1461&lt;=0,0,BW1461*MAX(1,IF(H1461&gt;0,AV1461/H1461,1))),IF(R1461&gt;0,AW1461/R1461,0))/MAX(0.1,N(Parameter!$M$21)))</f>
        <v>1</v>
      </c>
      <c r="AY1461" s="57" t="n">
        <f aca="false">AV1461*G1461</f>
        <v>24668.16</v>
      </c>
      <c r="AZ1461" s="57" t="n">
        <f aca="false">ROUNDUP(MAX(J1461/IF(BZ1461&gt;0,BZ1461,MAX(0.1,N(Cockpit!$O$6))),CC1461)/BS1461,0)*BS1461</f>
        <v>48</v>
      </c>
      <c r="BA1461" s="58" t="n">
        <f aca="false">IF(AX1461&gt;0,J1461/AX1461,-1)</f>
        <v>135</v>
      </c>
      <c r="BB1461" s="58" t="n">
        <f aca="false">IF(AND(OR(BY1461="L1",BY1461="L23"),AX1461&gt;0),SUMIFS($AX$7:$AX$1843,$BY$7:$BY$1843,BY1461,$BA$7:$BA$1843,"&gt;"&amp;BA1461)+SUMIFS($AX$7:$AX$1843,$BY$7:$BY$1843,BY1461,$BA$7:$BA$1843,BA1461,$BQ$7:$BQ$1843,"&lt;="&amp;BQ1461),"")</f>
        <v>47.1541079693254</v>
      </c>
      <c r="BC1461" s="65" t="n">
        <f aca="false">IF(BB1461="",0,MAX(0,MIN(1,(IF(BY1461="L1",Parameter!$E$5,Parameter!$E$6+Parameter!$E$7)-(BB1461-AX1461))/AX1461)))</f>
        <v>1</v>
      </c>
      <c r="BD1461" s="55" t="str">
        <f aca="false">IF(AH1461&lt;=0,"",IF(BY1461="Aussen","Aussenlager",IF(BY1461="-","Nicht im Lift",IF(AM1461&gt;=1,"Lift",IF(AM1461&lt;=0,"Aussenlager","teilweise")))))</f>
        <v/>
      </c>
      <c r="BE1461" s="55" t="str">
        <f aca="false">IF(AP1461&lt;=0,"",IF(BY1461="Aussen","Aussenlager",IF(BY1461="-","Nicht im Lift",IF(AU1461&gt;=1,"Lift",IF(AU1461&lt;=0,"Aussenlager","teilweise")))))</f>
        <v>Lift</v>
      </c>
      <c r="BF1461" s="55" t="str">
        <f aca="false">IF(AX1461&lt;=0,"",IF(BY1461="Aussen","Aussenlager",IF(BY1461="-","Nicht im Lift",IF(BC1461&gt;=1,"Lift",IF(BC1461&lt;=0,"Aussenlager","teilweise")))))</f>
        <v>Lift</v>
      </c>
      <c r="BG1461" s="55" t="str">
        <f aca="false">IF(A1461="","",IF(BP1461=1,"Neu; ","")&amp;IF(AND(BP1461=0,BK1461&lt;0),"negativer Bestand (Export "&amp;BK1461&amp;"); ","")&amp;IF(J1461&lt;=0,"Kein Verbrauch; ","")&amp;IF(CH1461&gt;0,"Lift "&amp;W1461&amp;" lt. Liftbericht (Fach "&amp;X1461&amp;" Stk); ",IF(BU1461=1,"Gebinde geschätzt ("&amp;T1461&amp;"); ",IF(BT1461=1,"Lose – Tablare geschätzt; ","")))&amp;IF(H1461&gt;AR1461,"Überbestand "&amp;ROUND(H1461-AR1461,0)&amp;" Stk / CHF "&amp;ROUND((H1461-AR1461)*G1461,0)&amp;"; ","")&amp;IF(AND(CA1461=1,CB1461&lt;CC1461),"MAX &lt; MB+LG; ","")&amp;IF(AND(CG1461&gt;0,CF1461*10&gt;CG1461),"zu hoch für Tablar; ","")&amp;IF(AND(BP1461=0,OR(CA1461=1,AA1461&lt;&gt;"",U1461&lt;&gt;"",V1461&lt;&gt;"",AB1461&lt;&gt;"")),"manuell übersteuert; ","")&amp;IF(AND(BT1461=0,R1461=0),"Gebinde unbekannt / Stellmass fehlt; ","")&amp;IF(AND(BT1461=0,N(V1461)&lt;=0,N(Q1461)&lt;=0),"Menge pro Gebinde fehlt (Ist = 1 Gebinde); ","")&amp;BO1461)</f>
        <v>negativer Bestand (Export -40); Gebinde geschätzt (Mittel); Menge pro Gebinde fehlt (Ist = 1 Gebinde); </v>
      </c>
      <c r="BH1461" s="55"/>
      <c r="BI1461" s="55"/>
      <c r="BJ1461" s="62"/>
      <c r="BK1461" s="57" t="n">
        <v>-40</v>
      </c>
      <c r="BL1461" s="57" t="n">
        <v>0</v>
      </c>
      <c r="BM1461" s="56" t="n">
        <v>-21904</v>
      </c>
      <c r="BN1461" s="57" t="n">
        <v>135</v>
      </c>
      <c r="BO1461" s="55"/>
      <c r="BP1461" s="60" t="n">
        <v>0</v>
      </c>
      <c r="BQ1461" s="60" t="n">
        <v>1461</v>
      </c>
      <c r="BR1461" s="55" t="str">
        <f aca="false">IF(U1461&lt;&gt;"",UPPER(TRIM(U1461)),IF(BU1461=1,UPPER(VLOOKUP(T1461,Parameter!$I$27:$K$29,2,0)),IF(P1461="","LOSE",P1461)))</f>
        <v>S61</v>
      </c>
      <c r="BS1461" s="57" t="n">
        <f aca="false">IF(BR1461="LOSE",1,IF(N(V1461)&gt;0,V1461,IF(BU1461=1,MAX(1,N(VLOOKUP(T1461,Parameter!$I$27:$K$29,3,0)),H1461,N(N1461)),IF(N(Q1461)&gt;0,Q1461,MAX(1,H1461)))))</f>
        <v>4</v>
      </c>
      <c r="BT1461" s="60" t="n">
        <f aca="false">IF(BR1461="LOSE",1,0)</f>
        <v>0</v>
      </c>
      <c r="BU1461" s="60" t="n">
        <f aca="false">IF(AND(U1461="",OR(P1461="",P1461="LOSE"),T1461&lt;&gt;"",N(S1461)&lt;=0,ISNUMBER(MATCH(T1461,Parameter!$I$27:$I$29,0))),1,0)</f>
        <v>1</v>
      </c>
      <c r="BV1461" s="55" t="str">
        <f aca="false">IF(AND(Parameter!$B$19="Ja",E1461&lt;&gt;"",ISNUMBER(MATCH(E1461,Parameter!$I$35:$I$52,0))),VLOOKUP(E1461,Parameter!$I$35:$J$52,2,0),IFERROR(VLOOKUP(D1461,Parameter!$A$35:$C$64,2,0),"Nein"))</f>
        <v>2+3</v>
      </c>
      <c r="BW1461" s="59" t="n">
        <f aca="false">IF(BT1461=0,0,IF(N(S1461)&gt;0,S1461,IFERROR(VLOOKUP(D1461,Parameter!$A$35:$C$64,3,0)+0,0)))</f>
        <v>0</v>
      </c>
      <c r="BX1461" s="55" t="n">
        <f aca="false">IF(AA1461&lt;&gt;"",AA1461,Z1461)</f>
        <v>2</v>
      </c>
      <c r="BY1461" s="55" t="str">
        <f aca="false">IF(BX1461=1,"L1",IF(OR(BX1461=2,BX1461=3),"L23",IF(BX1461="Aussen","Aussen","-")))</f>
        <v>L23</v>
      </c>
      <c r="BZ1461" s="66" t="n">
        <f aca="false">IF(N(AB1461)&gt;0,AB1461,0)</f>
        <v>0</v>
      </c>
      <c r="CA1461" s="60" t="n">
        <f aca="false">IF(ISNUMBER(AE1461),1,0)</f>
        <v>0</v>
      </c>
      <c r="CB1461" s="57" t="n">
        <f aca="false">N(AE1461)</f>
        <v>0</v>
      </c>
      <c r="CC1461" s="57" t="n">
        <f aca="false">N(M1461)+N(N1461)</f>
        <v>4</v>
      </c>
      <c r="CD1461" s="57" t="n">
        <f aca="false">ROUNDUP(H1461/BS1461,0)</f>
        <v>0</v>
      </c>
      <c r="CE1461" s="57" t="n">
        <f aca="false">ROUNDUP(CB1461/BS1461,0)</f>
        <v>0</v>
      </c>
      <c r="CF1461" s="60" t="n">
        <f aca="false">IF(BT1461=1,0,IFERROR(VLOOKUP(BR1461,'Gebinde-Kategorie'!$A$5:$M$45,5,0)+0,0))</f>
        <v>11</v>
      </c>
      <c r="CG1461" s="60" t="n">
        <f aca="false">IFERROR(IF(OR(BX1461=1,BX1461=2,BX1461=3),N(INDEX(Parameter!$I$5:$I$7,BX1461)),0),0)</f>
        <v>0</v>
      </c>
      <c r="CH1461" s="59" t="n">
        <f aca="false">IF(AND(Parameter!$B$21="Ja",ISNUMBER(W1461),N(X1461)&gt;0),IFERROR(N(INDEX(Parameter!$L$5:$L$7,W1461))*INDEX(Parameter!$E$5:$E$7,W1461)*X1461/SUMIFS($X$7:$X$1843,$W$7:$W$1843,W1461),0),0)</f>
        <v>0</v>
      </c>
    </row>
    <row r="1462" customFormat="false" ht="15" hidden="false" customHeight="false" outlineLevel="0" collapsed="false">
      <c r="A1462" s="55" t="s">
        <v>2556</v>
      </c>
      <c r="B1462" s="55" t="s">
        <v>2384</v>
      </c>
      <c r="C1462" s="55" t="s">
        <v>164</v>
      </c>
      <c r="D1462" s="55" t="s">
        <v>165</v>
      </c>
      <c r="E1462" s="55" t="s">
        <v>166</v>
      </c>
      <c r="F1462" s="55"/>
      <c r="G1462" s="56" t="n">
        <v>2045.23</v>
      </c>
      <c r="H1462" s="57" t="n">
        <f aca="false">MAX(0,IF(AND(Parameter!$B$21="Ja",ISNUMBER(Y1462)),Y1462,IF(Parameter!$B$20="Jahresanfang 2025 + Export",BL1462+BK1462,BK1462)))</f>
        <v>10</v>
      </c>
      <c r="I1462" s="57" t="n">
        <f aca="false">H1462*G1462</f>
        <v>20452.3</v>
      </c>
      <c r="J1462" s="57" t="n">
        <f aca="false">BN1462*Parameter!$B$18</f>
        <v>55</v>
      </c>
      <c r="K1462" s="58"/>
      <c r="L1462" s="59"/>
      <c r="M1462" s="57" t="n">
        <v>2</v>
      </c>
      <c r="N1462" s="57" t="n">
        <v>10</v>
      </c>
      <c r="O1462" s="60"/>
      <c r="P1462" s="55" t="s">
        <v>168</v>
      </c>
      <c r="Q1462" s="57"/>
      <c r="R1462" s="60" t="n">
        <f aca="false">IF(BT1462=1,0,IFERROR(VLOOKUP(BR1462,'Gebinde-Kategorie'!$A$5:$M$45,13,0)+0,0))</f>
        <v>0</v>
      </c>
      <c r="S1462" s="61"/>
      <c r="T1462" s="62"/>
      <c r="U1462" s="62"/>
      <c r="V1462" s="62"/>
      <c r="W1462" s="55" t="n">
        <v>1</v>
      </c>
      <c r="X1462" s="57" t="n">
        <v>13</v>
      </c>
      <c r="Y1462" s="57" t="n">
        <v>10</v>
      </c>
      <c r="Z1462" s="55" t="n">
        <f aca="false">IF(A1462="","",IF(AND(Parameter!$B$21="Ja",ISNUMBER(W1462)),W1462,IF(BV1462="2+3",IF(ISNUMBER(SEARCH("grosser Artikel",BO1462)),2,IFERROR(VLOOKUP(BR1462,Parameter!$F$35:$G$64,2,0),2)),IF(OR(BV1462="Nein",BV1462=""),"-",BV1462))))</f>
        <v>1</v>
      </c>
      <c r="AA1462" s="62"/>
      <c r="AB1462" s="63"/>
      <c r="AC1462" s="57" t="n">
        <f aca="false">AR1462</f>
        <v>28</v>
      </c>
      <c r="AD1462" s="57" t="n">
        <f aca="false">MAX(AR1462,H1462)</f>
        <v>28</v>
      </c>
      <c r="AE1462" s="64"/>
      <c r="AF1462" s="57" t="n">
        <f aca="false">IF(LEFT(Cockpit!$C$5,1)="A",H1462,IF(CA1462=1,CB1462,IF(LEFT(Cockpit!$C$5,1)="B",AJ1462,MAX(AJ1462,H1462))))</f>
        <v>10</v>
      </c>
      <c r="AG1462" s="57" t="n">
        <f aca="false">IF(BT1462=1,0,ROUNDUP(AF1462/BS1462,0))</f>
        <v>0</v>
      </c>
      <c r="AH1462" s="59" t="n">
        <f aca="false">IF(CH1462&gt;0,CH1462*MAX(1,AF1462/X1462),IF(BT1462=1,IF(AF1462&lt;=0,0,BW1462*MAX(1,IF(H1462&gt;0,AF1462/H1462,1))),IF(R1462&gt;0,AG1462/R1462,0))/MAX(0.1,N(Parameter!$M$21)))</f>
        <v>1.04048964218456</v>
      </c>
      <c r="AI1462" s="57" t="n">
        <f aca="false">AF1462*G1462</f>
        <v>20452.3</v>
      </c>
      <c r="AJ1462" s="57" t="n">
        <f aca="false">ROUNDUP(MAX(J1462/IF(BZ1462&gt;0,BZ1462,MAX(0.1,N(Cockpit!$C$6))),CC1462)/BS1462,0)*BS1462</f>
        <v>28</v>
      </c>
      <c r="AK1462" s="58" t="n">
        <f aca="false">IF(AH1462&gt;0,J1462/AH1462,-1)</f>
        <v>52.8597285067873</v>
      </c>
      <c r="AL1462" s="58" t="n">
        <f aca="false">IF(AND(OR(BY1462="L1",BY1462="L23"),AH1462&gt;0),SUMIFS($AH$7:$AH$1843,$BY$7:$BY$1843,BY1462,$AK$7:$AK$1843,"&gt;"&amp;AK1462)+SUMIFS($AH$7:$AH$1843,$BY$7:$BY$1843,BY1462,$AK$7:$AK$1843,AK1462,$BQ$7:$BQ$1843,"&lt;="&amp;BQ1462),"")</f>
        <v>9.41844440665369</v>
      </c>
      <c r="AM1462" s="65" t="n">
        <f aca="false">IF(AL1462="",0,MAX(0,MIN(1,(IF(BY1462="L1",Parameter!$E$5,Parameter!$E$6+Parameter!$E$7)-(AL1462-AH1462))/AH1462)))</f>
        <v>1</v>
      </c>
      <c r="AN1462" s="57" t="n">
        <f aca="false">IF(LEFT(Cockpit!$I$5,1)="A",H1462,IF(CA1462=1,CB1462,IF(LEFT(Cockpit!$I$5,1)="B",AR1462,MAX(AR1462,H1462))))</f>
        <v>28</v>
      </c>
      <c r="AO1462" s="57" t="n">
        <f aca="false">IF(BT1462=1,0,ROUNDUP(AN1462/BS1462,0))</f>
        <v>0</v>
      </c>
      <c r="AP1462" s="59" t="n">
        <f aca="false">IF(CH1462&gt;0,CH1462*MAX(1,AN1462/X1462),IF(BT1462=1,IF(AN1462&lt;=0,0,BW1462*MAX(1,IF(H1462&gt;0,AN1462/H1462,1))),IF(R1462&gt;0,AO1462/R1462,0))/MAX(0.1,N(Parameter!$M$21)))</f>
        <v>2.24105461393597</v>
      </c>
      <c r="AQ1462" s="57" t="n">
        <f aca="false">AN1462*G1462</f>
        <v>57266.44</v>
      </c>
      <c r="AR1462" s="57" t="n">
        <f aca="false">ROUNDUP(MAX(J1462/IF(BZ1462&gt;0,BZ1462,MAX(0.1,N(Cockpit!$I$6))),CC1462)/BS1462,0)*BS1462</f>
        <v>28</v>
      </c>
      <c r="AS1462" s="58" t="n">
        <f aca="false">IF(AP1462&gt;0,J1462/AP1462,-1)</f>
        <v>24.5420168067227</v>
      </c>
      <c r="AT1462" s="58" t="n">
        <f aca="false">IF(AND(OR(BY1462="L1",BY1462="L23"),AP1462&gt;0),SUMIFS($AP$7:$AP$1843,$BY$7:$BY$1843,BY1462,$AS$7:$AS$1843,"&gt;"&amp;AS1462)+SUMIFS($AP$7:$AP$1843,$BY$7:$BY$1843,BY1462,$AS$7:$AS$1843,AS1462,$BQ$7:$BQ$1843,"&lt;="&amp;BQ1462),"")</f>
        <v>28.6196612688875</v>
      </c>
      <c r="AU1462" s="65" t="n">
        <f aca="false">IF(AT1462="",0,MAX(0,MIN(1,(IF(BY1462="L1",Parameter!$E$5,Parameter!$E$6+Parameter!$E$7)-(AT1462-AP1462))/AP1462)))</f>
        <v>1</v>
      </c>
      <c r="AV1462" s="57" t="n">
        <f aca="false">IF(LEFT(Cockpit!$O$5,1)="A",H1462,IF(CA1462=1,CB1462,IF(LEFT(Cockpit!$O$5,1)="B",AZ1462,MAX(AZ1462,H1462))))</f>
        <v>19</v>
      </c>
      <c r="AW1462" s="57" t="n">
        <f aca="false">IF(BT1462=1,0,ROUNDUP(AV1462/BS1462,0))</f>
        <v>0</v>
      </c>
      <c r="AX1462" s="59" t="n">
        <f aca="false">IF(CH1462&gt;0,CH1462*MAX(1,AV1462/X1462),IF(BT1462=1,IF(AV1462&lt;=0,0,BW1462*MAX(1,IF(H1462&gt;0,AV1462/H1462,1))),IF(R1462&gt;0,AW1462/R1462,0))/MAX(0.1,N(Parameter!$M$21)))</f>
        <v>1.52071563088512</v>
      </c>
      <c r="AY1462" s="57" t="n">
        <f aca="false">AV1462*G1462</f>
        <v>38859.37</v>
      </c>
      <c r="AZ1462" s="57" t="n">
        <f aca="false">ROUNDUP(MAX(J1462/IF(BZ1462&gt;0,BZ1462,MAX(0.1,N(Cockpit!$O$6))),CC1462)/BS1462,0)*BS1462</f>
        <v>19</v>
      </c>
      <c r="BA1462" s="58" t="n">
        <f aca="false">IF(AX1462&gt;0,J1462/AX1462,-1)</f>
        <v>36.1671826625387</v>
      </c>
      <c r="BB1462" s="58" t="n">
        <f aca="false">IF(AND(OR(BY1462="L1",BY1462="L23"),AX1462&gt;0),SUMIFS($AX$7:$AX$1843,$BY$7:$BY$1843,BY1462,$BA$7:$BA$1843,"&gt;"&amp;BA1462)+SUMIFS($AX$7:$AX$1843,$BY$7:$BY$1843,BY1462,$BA$7:$BA$1843,BA1462,$BQ$7:$BQ$1843,"&lt;="&amp;BQ1462),"")</f>
        <v>17.5642505778836</v>
      </c>
      <c r="BC1462" s="65" t="n">
        <f aca="false">IF(BB1462="",0,MAX(0,MIN(1,(IF(BY1462="L1",Parameter!$E$5,Parameter!$E$6+Parameter!$E$7)-(BB1462-AX1462))/AX1462)))</f>
        <v>1</v>
      </c>
      <c r="BD1462" s="55" t="str">
        <f aca="false">IF(AH1462&lt;=0,"",IF(BY1462="Aussen","Aussenlager",IF(BY1462="-","Nicht im Lift",IF(AM1462&gt;=1,"Lift",IF(AM1462&lt;=0,"Aussenlager","teilweise")))))</f>
        <v>Lift</v>
      </c>
      <c r="BE1462" s="55" t="str">
        <f aca="false">IF(AP1462&lt;=0,"",IF(BY1462="Aussen","Aussenlager",IF(BY1462="-","Nicht im Lift",IF(AU1462&gt;=1,"Lift",IF(AU1462&lt;=0,"Aussenlager","teilweise")))))</f>
        <v>Lift</v>
      </c>
      <c r="BF1462" s="55" t="str">
        <f aca="false">IF(AX1462&lt;=0,"",IF(BY1462="Aussen","Aussenlager",IF(BY1462="-","Nicht im Lift",IF(BC1462&gt;=1,"Lift",IF(BC1462&lt;=0,"Aussenlager","teilweise")))))</f>
        <v>Lift</v>
      </c>
      <c r="BG1462" s="55" t="str">
        <f aca="false">IF(A1462="","",IF(BP1462=1,"Neu; ","")&amp;IF(AND(BP1462=0,BK1462&lt;0),"negativer Bestand (Export "&amp;BK1462&amp;"); ","")&amp;IF(J1462&lt;=0,"Kein Verbrauch; ","")&amp;IF(CH1462&gt;0,"Lift "&amp;W1462&amp;" lt. Liftbericht (Fach "&amp;X1462&amp;" Stk); ",IF(BU1462=1,"Gebinde geschätzt ("&amp;T1462&amp;"); ",IF(BT1462=1,"Lose – Tablare geschätzt; ","")))&amp;IF(H1462&gt;AR1462,"Überbestand "&amp;ROUND(H1462-AR1462,0)&amp;" Stk / CHF "&amp;ROUND((H1462-AR1462)*G1462,0)&amp;"; ","")&amp;IF(AND(CA1462=1,CB1462&lt;CC1462),"MAX &lt; MB+LG; ","")&amp;IF(AND(CG1462&gt;0,CF1462*10&gt;CG1462),"zu hoch für Tablar; ","")&amp;IF(AND(BP1462=0,OR(CA1462=1,AA1462&lt;&gt;"",U1462&lt;&gt;"",V1462&lt;&gt;"",AB1462&lt;&gt;"")),"manuell übersteuert; ","")&amp;IF(AND(BT1462=0,R1462=0),"Gebinde unbekannt / Stellmass fehlt; ","")&amp;IF(AND(BT1462=0,N(V1462)&lt;=0,N(Q1462)&lt;=0),"Menge pro Gebinde fehlt (Ist = 1 Gebinde); ","")&amp;BO1462)</f>
        <v>negativer Bestand (Export -24); Lift 1 lt. Liftbericht (Fach 13 Stk); Standartdüse</v>
      </c>
      <c r="BH1462" s="55"/>
      <c r="BI1462" s="55"/>
      <c r="BJ1462" s="62"/>
      <c r="BK1462" s="57" t="n">
        <v>-24</v>
      </c>
      <c r="BL1462" s="57" t="n">
        <v>0</v>
      </c>
      <c r="BM1462" s="56" t="n">
        <v>-22105.84</v>
      </c>
      <c r="BN1462" s="57" t="n">
        <v>55</v>
      </c>
      <c r="BO1462" s="55" t="s">
        <v>2398</v>
      </c>
      <c r="BP1462" s="60" t="n">
        <v>0</v>
      </c>
      <c r="BQ1462" s="60" t="n">
        <v>1462</v>
      </c>
      <c r="BR1462" s="55" t="str">
        <f aca="false">IF(U1462&lt;&gt;"",UPPER(TRIM(U1462)),IF(BU1462=1,UPPER(VLOOKUP(T1462,Parameter!$I$27:$K$29,2,0)),IF(P1462="","LOSE",P1462)))</f>
        <v>LOSE</v>
      </c>
      <c r="BS1462" s="57" t="n">
        <f aca="false">IF(BR1462="LOSE",1,IF(N(V1462)&gt;0,V1462,IF(BU1462=1,MAX(1,N(VLOOKUP(T1462,Parameter!$I$27:$K$29,3,0)),H1462,N(N1462)),IF(N(Q1462)&gt;0,Q1462,MAX(1,H1462)))))</f>
        <v>1</v>
      </c>
      <c r="BT1462" s="60" t="n">
        <f aca="false">IF(BR1462="LOSE",1,0)</f>
        <v>1</v>
      </c>
      <c r="BU1462" s="60" t="n">
        <f aca="false">IF(AND(U1462="",OR(P1462="",P1462="LOSE"),T1462&lt;&gt;"",N(S1462)&lt;=0,ISNUMBER(MATCH(T1462,Parameter!$I$27:$I$29,0))),1,0)</f>
        <v>0</v>
      </c>
      <c r="BV1462" s="55" t="n">
        <f aca="false">IF(AND(Parameter!$B$19="Ja",E1462&lt;&gt;"",ISNUMBER(MATCH(E1462,Parameter!$I$35:$I$52,0))),VLOOKUP(E1462,Parameter!$I$35:$J$52,2,0),IFERROR(VLOOKUP(D1462,Parameter!$A$35:$C$64,2,0),"Nein"))</f>
        <v>1</v>
      </c>
      <c r="BW1462" s="59" t="n">
        <f aca="false">IF(BT1462=0,0,IF(N(S1462)&gt;0,S1462,IFERROR(VLOOKUP(D1462,Parameter!$A$35:$C$64,3,0)+0,0)))</f>
        <v>1</v>
      </c>
      <c r="BX1462" s="55" t="n">
        <f aca="false">IF(AA1462&lt;&gt;"",AA1462,Z1462)</f>
        <v>1</v>
      </c>
      <c r="BY1462" s="55" t="str">
        <f aca="false">IF(BX1462=1,"L1",IF(OR(BX1462=2,BX1462=3),"L23",IF(BX1462="Aussen","Aussen","-")))</f>
        <v>L1</v>
      </c>
      <c r="BZ1462" s="66" t="n">
        <f aca="false">IF(N(AB1462)&gt;0,AB1462,0)</f>
        <v>0</v>
      </c>
      <c r="CA1462" s="60" t="n">
        <f aca="false">IF(ISNUMBER(AE1462),1,0)</f>
        <v>0</v>
      </c>
      <c r="CB1462" s="57" t="n">
        <f aca="false">N(AE1462)</f>
        <v>0</v>
      </c>
      <c r="CC1462" s="57" t="n">
        <f aca="false">N(M1462)+N(N1462)</f>
        <v>12</v>
      </c>
      <c r="CD1462" s="57" t="n">
        <f aca="false">ROUNDUP(H1462/BS1462,0)</f>
        <v>10</v>
      </c>
      <c r="CE1462" s="57" t="n">
        <f aca="false">ROUNDUP(CB1462/BS1462,0)</f>
        <v>0</v>
      </c>
      <c r="CF1462" s="60" t="n">
        <f aca="false">IF(BT1462=1,0,IFERROR(VLOOKUP(BR1462,'Gebinde-Kategorie'!$A$5:$M$45,5,0)+0,0))</f>
        <v>0</v>
      </c>
      <c r="CG1462" s="60" t="n">
        <f aca="false">IFERROR(IF(OR(BX1462=1,BX1462=2,BX1462=3),N(INDEX(Parameter!$I$5:$I$7,BX1462)),0),0)</f>
        <v>0</v>
      </c>
      <c r="CH1462" s="59" t="n">
        <f aca="false">IF(AND(Parameter!$B$21="Ja",ISNUMBER(W1462),N(X1462)&gt;0),IFERROR(N(INDEX(Parameter!$L$5:$L$7,W1462))*INDEX(Parameter!$E$5:$E$7,W1462)*X1462/SUMIFS($X$7:$X$1843,$W$7:$W$1843,W1462),0),0)</f>
        <v>1.04048964218456</v>
      </c>
    </row>
    <row r="1463" customFormat="false" ht="15" hidden="false" customHeight="false" outlineLevel="0" collapsed="false">
      <c r="A1463" s="55" t="s">
        <v>2557</v>
      </c>
      <c r="B1463" s="55" t="s">
        <v>2558</v>
      </c>
      <c r="C1463" s="55" t="s">
        <v>167</v>
      </c>
      <c r="D1463" s="55" t="s">
        <v>1388</v>
      </c>
      <c r="E1463" s="55"/>
      <c r="F1463" s="55"/>
      <c r="G1463" s="56" t="n">
        <v>4524.05</v>
      </c>
      <c r="H1463" s="57" t="n">
        <f aca="false">MAX(0,IF(AND(Parameter!$B$21="Ja",ISNUMBER(Y1463)),Y1463,IF(Parameter!$B$20="Jahresanfang 2025 + Export",BL1463+BK1463,BK1463)))</f>
        <v>0</v>
      </c>
      <c r="I1463" s="57" t="n">
        <f aca="false">H1463*G1463</f>
        <v>0</v>
      </c>
      <c r="J1463" s="57" t="n">
        <f aca="false">BN1463*Parameter!$B$18</f>
        <v>16</v>
      </c>
      <c r="K1463" s="58"/>
      <c r="L1463" s="59"/>
      <c r="M1463" s="57" t="n">
        <v>0</v>
      </c>
      <c r="N1463" s="57" t="n">
        <v>1</v>
      </c>
      <c r="O1463" s="60"/>
      <c r="P1463" s="55" t="s">
        <v>168</v>
      </c>
      <c r="Q1463" s="57"/>
      <c r="R1463" s="60" t="n">
        <f aca="false">IF(BT1463=1,0,IFERROR(VLOOKUP(BR1463,'Gebinde-Kategorie'!$A$5:$M$45,13,0)+0,0))</f>
        <v>0</v>
      </c>
      <c r="S1463" s="61"/>
      <c r="T1463" s="62"/>
      <c r="U1463" s="62"/>
      <c r="V1463" s="62"/>
      <c r="W1463" s="55"/>
      <c r="X1463" s="57"/>
      <c r="Y1463" s="57"/>
      <c r="Z1463" s="55" t="str">
        <f aca="false">IF(A1463="","",IF(AND(Parameter!$B$21="Ja",ISNUMBER(W1463)),W1463,IF(BV1463="2+3",IF(ISNUMBER(SEARCH("grosser Artikel",BO1463)),2,IFERROR(VLOOKUP(BR1463,Parameter!$F$35:$G$64,2,0),2)),IF(OR(BV1463="Nein",BV1463=""),"-",BV1463))))</f>
        <v>-</v>
      </c>
      <c r="AA1463" s="62"/>
      <c r="AB1463" s="63"/>
      <c r="AC1463" s="57" t="n">
        <f aca="false">AR1463</f>
        <v>8</v>
      </c>
      <c r="AD1463" s="57" t="n">
        <f aca="false">MAX(AR1463,H1463)</f>
        <v>8</v>
      </c>
      <c r="AE1463" s="64"/>
      <c r="AF1463" s="57" t="n">
        <f aca="false">IF(LEFT(Cockpit!$C$5,1)="A",H1463,IF(CA1463=1,CB1463,IF(LEFT(Cockpit!$C$5,1)="B",AJ1463,MAX(AJ1463,H1463))))</f>
        <v>0</v>
      </c>
      <c r="AG1463" s="57" t="n">
        <f aca="false">IF(BT1463=1,0,ROUNDUP(AF1463/BS1463,0))</f>
        <v>0</v>
      </c>
      <c r="AH1463" s="59" t="n">
        <f aca="false">IF(CH1463&gt;0,CH1463*MAX(1,AF1463/X1463),IF(BT1463=1,IF(AF1463&lt;=0,0,BW1463*MAX(1,IF(H1463&gt;0,AF1463/H1463,1))),IF(R1463&gt;0,AG1463/R1463,0))/MAX(0.1,N(Parameter!$M$21)))</f>
        <v>0</v>
      </c>
      <c r="AI1463" s="57" t="n">
        <f aca="false">AF1463*G1463</f>
        <v>0</v>
      </c>
      <c r="AJ1463" s="57" t="n">
        <f aca="false">ROUNDUP(MAX(J1463/IF(BZ1463&gt;0,BZ1463,MAX(0.1,N(Cockpit!$C$6))),CC1463)/BS1463,0)*BS1463</f>
        <v>8</v>
      </c>
      <c r="AK1463" s="58" t="n">
        <f aca="false">IF(AH1463&gt;0,J1463/AH1463,-1)</f>
        <v>-1</v>
      </c>
      <c r="AL1463" s="58" t="str">
        <f aca="false">IF(AND(OR(BY1463="L1",BY1463="L23"),AH1463&gt;0),SUMIFS($AH$7:$AH$1843,$BY$7:$BY$1843,BY1463,$AK$7:$AK$1843,"&gt;"&amp;AK1463)+SUMIFS($AH$7:$AH$1843,$BY$7:$BY$1843,BY1463,$AK$7:$AK$1843,AK1463,$BQ$7:$BQ$1843,"&lt;="&amp;BQ1463),"")</f>
        <v/>
      </c>
      <c r="AM1463" s="65" t="n">
        <f aca="false">IF(AL1463="",0,MAX(0,MIN(1,(IF(BY1463="L1",Parameter!$E$5,Parameter!$E$6+Parameter!$E$7)-(AL1463-AH1463))/AH1463)))</f>
        <v>0</v>
      </c>
      <c r="AN1463" s="57" t="n">
        <f aca="false">IF(LEFT(Cockpit!$I$5,1)="A",H1463,IF(CA1463=1,CB1463,IF(LEFT(Cockpit!$I$5,1)="B",AR1463,MAX(AR1463,H1463))))</f>
        <v>8</v>
      </c>
      <c r="AO1463" s="57" t="n">
        <f aca="false">IF(BT1463=1,0,ROUNDUP(AN1463/BS1463,0))</f>
        <v>0</v>
      </c>
      <c r="AP1463" s="59" t="n">
        <f aca="false">IF(CH1463&gt;0,CH1463*MAX(1,AN1463/X1463),IF(BT1463=1,IF(AN1463&lt;=0,0,BW1463*MAX(1,IF(H1463&gt;0,AN1463/H1463,1))),IF(R1463&gt;0,AO1463/R1463,0))/MAX(0.1,N(Parameter!$M$21)))</f>
        <v>0.15</v>
      </c>
      <c r="AQ1463" s="57" t="n">
        <f aca="false">AN1463*G1463</f>
        <v>36192.4</v>
      </c>
      <c r="AR1463" s="57" t="n">
        <f aca="false">ROUNDUP(MAX(J1463/IF(BZ1463&gt;0,BZ1463,MAX(0.1,N(Cockpit!$I$6))),CC1463)/BS1463,0)*BS1463</f>
        <v>8</v>
      </c>
      <c r="AS1463" s="58" t="n">
        <f aca="false">IF(AP1463&gt;0,J1463/AP1463,-1)</f>
        <v>106.666666666667</v>
      </c>
      <c r="AT1463" s="58" t="str">
        <f aca="false">IF(AND(OR(BY1463="L1",BY1463="L23"),AP1463&gt;0),SUMIFS($AP$7:$AP$1843,$BY$7:$BY$1843,BY1463,$AS$7:$AS$1843,"&gt;"&amp;AS1463)+SUMIFS($AP$7:$AP$1843,$BY$7:$BY$1843,BY1463,$AS$7:$AS$1843,AS1463,$BQ$7:$BQ$1843,"&lt;="&amp;BQ1463),"")</f>
        <v/>
      </c>
      <c r="AU1463" s="65" t="n">
        <f aca="false">IF(AT1463="",0,MAX(0,MIN(1,(IF(BY1463="L1",Parameter!$E$5,Parameter!$E$6+Parameter!$E$7)-(AT1463-AP1463))/AP1463)))</f>
        <v>0</v>
      </c>
      <c r="AV1463" s="57" t="n">
        <f aca="false">IF(LEFT(Cockpit!$O$5,1)="A",H1463,IF(CA1463=1,CB1463,IF(LEFT(Cockpit!$O$5,1)="B",AZ1463,MAX(AZ1463,H1463))))</f>
        <v>6</v>
      </c>
      <c r="AW1463" s="57" t="n">
        <f aca="false">IF(BT1463=1,0,ROUNDUP(AV1463/BS1463,0))</f>
        <v>0</v>
      </c>
      <c r="AX1463" s="59" t="n">
        <f aca="false">IF(CH1463&gt;0,CH1463*MAX(1,AV1463/X1463),IF(BT1463=1,IF(AV1463&lt;=0,0,BW1463*MAX(1,IF(H1463&gt;0,AV1463/H1463,1))),IF(R1463&gt;0,AW1463/R1463,0))/MAX(0.1,N(Parameter!$M$21)))</f>
        <v>0.15</v>
      </c>
      <c r="AY1463" s="57" t="n">
        <f aca="false">AV1463*G1463</f>
        <v>27144.3</v>
      </c>
      <c r="AZ1463" s="57" t="n">
        <f aca="false">ROUNDUP(MAX(J1463/IF(BZ1463&gt;0,BZ1463,MAX(0.1,N(Cockpit!$O$6))),CC1463)/BS1463,0)*BS1463</f>
        <v>6</v>
      </c>
      <c r="BA1463" s="58" t="n">
        <f aca="false">IF(AX1463&gt;0,J1463/AX1463,-1)</f>
        <v>106.666666666667</v>
      </c>
      <c r="BB1463" s="58" t="str">
        <f aca="false">IF(AND(OR(BY1463="L1",BY1463="L23"),AX1463&gt;0),SUMIFS($AX$7:$AX$1843,$BY$7:$BY$1843,BY1463,$BA$7:$BA$1843,"&gt;"&amp;BA1463)+SUMIFS($AX$7:$AX$1843,$BY$7:$BY$1843,BY1463,$BA$7:$BA$1843,BA1463,$BQ$7:$BQ$1843,"&lt;="&amp;BQ1463),"")</f>
        <v/>
      </c>
      <c r="BC1463" s="65" t="n">
        <f aca="false">IF(BB1463="",0,MAX(0,MIN(1,(IF(BY1463="L1",Parameter!$E$5,Parameter!$E$6+Parameter!$E$7)-(BB1463-AX1463))/AX1463)))</f>
        <v>0</v>
      </c>
      <c r="BD1463" s="55" t="str">
        <f aca="false">IF(AH1463&lt;=0,"",IF(BY1463="Aussen","Aussenlager",IF(BY1463="-","Nicht im Lift",IF(AM1463&gt;=1,"Lift",IF(AM1463&lt;=0,"Aussenlager","teilweise")))))</f>
        <v/>
      </c>
      <c r="BE1463" s="55" t="str">
        <f aca="false">IF(AP1463&lt;=0,"",IF(BY1463="Aussen","Aussenlager",IF(BY1463="-","Nicht im Lift",IF(AU1463&gt;=1,"Lift",IF(AU1463&lt;=0,"Aussenlager","teilweise")))))</f>
        <v>Nicht im Lift</v>
      </c>
      <c r="BF1463" s="55" t="str">
        <f aca="false">IF(AX1463&lt;=0,"",IF(BY1463="Aussen","Aussenlager",IF(BY1463="-","Nicht im Lift",IF(BC1463&gt;=1,"Lift",IF(BC1463&lt;=0,"Aussenlager","teilweise")))))</f>
        <v>Nicht im Lift</v>
      </c>
      <c r="BG1463" s="55" t="str">
        <f aca="false">IF(A1463="","",IF(BP1463=1,"Neu; ","")&amp;IF(AND(BP1463=0,BK1463&lt;0),"negativer Bestand (Export "&amp;BK1463&amp;"); ","")&amp;IF(J1463&lt;=0,"Kein Verbrauch; ","")&amp;IF(CH1463&gt;0,"Lift "&amp;W1463&amp;" lt. Liftbericht (Fach "&amp;X1463&amp;" Stk); ",IF(BU1463=1,"Gebinde geschätzt ("&amp;T1463&amp;"); ",IF(BT1463=1,"Lose – Tablare geschätzt; ","")))&amp;IF(H1463&gt;AR1463,"Überbestand "&amp;ROUND(H1463-AR1463,0)&amp;" Stk / CHF "&amp;ROUND((H1463-AR1463)*G1463,0)&amp;"; ","")&amp;IF(AND(CA1463=1,CB1463&lt;CC1463),"MAX &lt; MB+LG; ","")&amp;IF(AND(CG1463&gt;0,CF1463*10&gt;CG1463),"zu hoch für Tablar; ","")&amp;IF(AND(BP1463=0,OR(CA1463=1,AA1463&lt;&gt;"",U1463&lt;&gt;"",V1463&lt;&gt;"",AB1463&lt;&gt;"")),"manuell übersteuert; ","")&amp;IF(AND(BT1463=0,R1463=0),"Gebinde unbekannt / Stellmass fehlt; ","")&amp;IF(AND(BT1463=0,N(V1463)&lt;=0,N(Q1463)&lt;=0),"Menge pro Gebinde fehlt (Ist = 1 Gebinde); ","")&amp;BO1463)</f>
        <v>negativer Bestand (Export -6); Lose – Tablare geschätzt; Neuer Art.</v>
      </c>
      <c r="BH1463" s="55"/>
      <c r="BI1463" s="55"/>
      <c r="BJ1463" s="62"/>
      <c r="BK1463" s="57" t="n">
        <v>-6</v>
      </c>
      <c r="BL1463" s="57" t="n">
        <v>0</v>
      </c>
      <c r="BM1463" s="56" t="n">
        <v>-26487.18</v>
      </c>
      <c r="BN1463" s="57" t="n">
        <v>16</v>
      </c>
      <c r="BO1463" s="55" t="s">
        <v>512</v>
      </c>
      <c r="BP1463" s="60" t="n">
        <v>0</v>
      </c>
      <c r="BQ1463" s="60" t="n">
        <v>1463</v>
      </c>
      <c r="BR1463" s="55" t="str">
        <f aca="false">IF(U1463&lt;&gt;"",UPPER(TRIM(U1463)),IF(BU1463=1,UPPER(VLOOKUP(T1463,Parameter!$I$27:$K$29,2,0)),IF(P1463="","LOSE",P1463)))</f>
        <v>LOSE</v>
      </c>
      <c r="BS1463" s="57" t="n">
        <f aca="false">IF(BR1463="LOSE",1,IF(N(V1463)&gt;0,V1463,IF(BU1463=1,MAX(1,N(VLOOKUP(T1463,Parameter!$I$27:$K$29,3,0)),H1463,N(N1463)),IF(N(Q1463)&gt;0,Q1463,MAX(1,H1463)))))</f>
        <v>1</v>
      </c>
      <c r="BT1463" s="60" t="n">
        <f aca="false">IF(BR1463="LOSE",1,0)</f>
        <v>1</v>
      </c>
      <c r="BU1463" s="60" t="n">
        <f aca="false">IF(AND(U1463="",OR(P1463="",P1463="LOSE"),T1463&lt;&gt;"",N(S1463)&lt;=0,ISNUMBER(MATCH(T1463,Parameter!$I$27:$I$29,0))),1,0)</f>
        <v>0</v>
      </c>
      <c r="BV1463" s="55" t="str">
        <f aca="false">IF(AND(Parameter!$B$19="Ja",E1463&lt;&gt;"",ISNUMBER(MATCH(E1463,Parameter!$I$35:$I$52,0))),VLOOKUP(E1463,Parameter!$I$35:$J$52,2,0),IFERROR(VLOOKUP(D1463,Parameter!$A$35:$C$64,2,0),"Nein"))</f>
        <v>Nein</v>
      </c>
      <c r="BW1463" s="59" t="n">
        <f aca="false">IF(BT1463=0,0,IF(N(S1463)&gt;0,S1463,IFERROR(VLOOKUP(D1463,Parameter!$A$35:$C$64,3,0)+0,0)))</f>
        <v>0.15</v>
      </c>
      <c r="BX1463" s="55" t="str">
        <f aca="false">IF(AA1463&lt;&gt;"",AA1463,Z1463)</f>
        <v>-</v>
      </c>
      <c r="BY1463" s="55" t="str">
        <f aca="false">IF(BX1463=1,"L1",IF(OR(BX1463=2,BX1463=3),"L23",IF(BX1463="Aussen","Aussen","-")))</f>
        <v>-</v>
      </c>
      <c r="BZ1463" s="66" t="n">
        <f aca="false">IF(N(AB1463)&gt;0,AB1463,0)</f>
        <v>0</v>
      </c>
      <c r="CA1463" s="60" t="n">
        <f aca="false">IF(ISNUMBER(AE1463),1,0)</f>
        <v>0</v>
      </c>
      <c r="CB1463" s="57" t="n">
        <f aca="false">N(AE1463)</f>
        <v>0</v>
      </c>
      <c r="CC1463" s="57" t="n">
        <f aca="false">N(M1463)+N(N1463)</f>
        <v>1</v>
      </c>
      <c r="CD1463" s="57" t="n">
        <f aca="false">ROUNDUP(H1463/BS1463,0)</f>
        <v>0</v>
      </c>
      <c r="CE1463" s="57" t="n">
        <f aca="false">ROUNDUP(CB1463/BS1463,0)</f>
        <v>0</v>
      </c>
      <c r="CF1463" s="60" t="n">
        <f aca="false">IF(BT1463=1,0,IFERROR(VLOOKUP(BR1463,'Gebinde-Kategorie'!$A$5:$M$45,5,0)+0,0))</f>
        <v>0</v>
      </c>
      <c r="CG1463" s="60" t="n">
        <f aca="false">IFERROR(IF(OR(BX1463=1,BX1463=2,BX1463=3),N(INDEX(Parameter!$I$5:$I$7,BX1463)),0),0)</f>
        <v>0</v>
      </c>
      <c r="CH1463" s="59" t="n">
        <f aca="false">IF(AND(Parameter!$B$21="Ja",ISNUMBER(W1463),N(X1463)&gt;0),IFERROR(N(INDEX(Parameter!$L$5:$L$7,W1463))*INDEX(Parameter!$E$5:$E$7,W1463)*X1463/SUMIFS($X$7:$X$1843,$W$7:$W$1843,W1463),0),0)</f>
        <v>0</v>
      </c>
    </row>
    <row r="1464" customFormat="false" ht="15" hidden="false" customHeight="false" outlineLevel="0" collapsed="false">
      <c r="A1464" s="55" t="s">
        <v>2559</v>
      </c>
      <c r="B1464" s="55" t="s">
        <v>405</v>
      </c>
      <c r="C1464" s="55" t="s">
        <v>456</v>
      </c>
      <c r="D1464" s="55" t="s">
        <v>173</v>
      </c>
      <c r="E1464" s="55"/>
      <c r="F1464" s="55"/>
      <c r="G1464" s="56" t="n">
        <v>7.96</v>
      </c>
      <c r="H1464" s="57" t="n">
        <f aca="false">MAX(0,IF(AND(Parameter!$B$21="Ja",ISNUMBER(Y1464)),Y1464,IF(Parameter!$B$20="Jahresanfang 2025 + Export",BL1464+BK1464,BK1464)))</f>
        <v>0</v>
      </c>
      <c r="I1464" s="57" t="n">
        <f aca="false">H1464*G1464</f>
        <v>0</v>
      </c>
      <c r="J1464" s="57" t="n">
        <f aca="false">BN1464*Parameter!$B$18</f>
        <v>6500</v>
      </c>
      <c r="K1464" s="58"/>
      <c r="L1464" s="59"/>
      <c r="M1464" s="57" t="n">
        <v>379</v>
      </c>
      <c r="N1464" s="57" t="n">
        <v>1435</v>
      </c>
      <c r="O1464" s="60"/>
      <c r="P1464" s="55" t="s">
        <v>168</v>
      </c>
      <c r="Q1464" s="57"/>
      <c r="R1464" s="60" t="n">
        <f aca="false">IF(BT1464=1,0,IFERROR(VLOOKUP(BR1464,'Gebinde-Kategorie'!$A$5:$M$45,13,0)+0,0))</f>
        <v>26</v>
      </c>
      <c r="S1464" s="61"/>
      <c r="T1464" s="62" t="s">
        <v>275</v>
      </c>
      <c r="U1464" s="62"/>
      <c r="V1464" s="62"/>
      <c r="W1464" s="55"/>
      <c r="X1464" s="57"/>
      <c r="Y1464" s="57"/>
      <c r="Z1464" s="55" t="n">
        <f aca="false">IF(A1464="","",IF(AND(Parameter!$B$21="Ja",ISNUMBER(W1464)),W1464,IF(BV1464="2+3",IF(ISNUMBER(SEARCH("grosser Artikel",BO1464)),2,IFERROR(VLOOKUP(BR1464,Parameter!$F$35:$G$64,2,0),2)),IF(OR(BV1464="Nein",BV1464=""),"-",BV1464))))</f>
        <v>3</v>
      </c>
      <c r="AA1464" s="62"/>
      <c r="AB1464" s="63"/>
      <c r="AC1464" s="57" t="n">
        <f aca="false">AR1464</f>
        <v>4305</v>
      </c>
      <c r="AD1464" s="57" t="n">
        <f aca="false">MAX(AR1464,H1464)</f>
        <v>4305</v>
      </c>
      <c r="AE1464" s="64"/>
      <c r="AF1464" s="57" t="n">
        <f aca="false">IF(LEFT(Cockpit!$C$5,1)="A",H1464,IF(CA1464=1,CB1464,IF(LEFT(Cockpit!$C$5,1)="B",AJ1464,MAX(AJ1464,H1464))))</f>
        <v>0</v>
      </c>
      <c r="AG1464" s="57" t="n">
        <f aca="false">IF(BT1464=1,0,ROUNDUP(AF1464/BS1464,0))</f>
        <v>0</v>
      </c>
      <c r="AH1464" s="59" t="n">
        <f aca="false">IF(CH1464&gt;0,CH1464*MAX(1,AF1464/X1464),IF(BT1464=1,IF(AF1464&lt;=0,0,BW1464*MAX(1,IF(H1464&gt;0,AF1464/H1464,1))),IF(R1464&gt;0,AG1464/R1464,0))/MAX(0.1,N(Parameter!$M$21)))</f>
        <v>0</v>
      </c>
      <c r="AI1464" s="57" t="n">
        <f aca="false">AF1464*G1464</f>
        <v>0</v>
      </c>
      <c r="AJ1464" s="57" t="n">
        <f aca="false">ROUNDUP(MAX(J1464/IF(BZ1464&gt;0,BZ1464,MAX(0.1,N(Cockpit!$C$6))),CC1464)/BS1464,0)*BS1464</f>
        <v>4305</v>
      </c>
      <c r="AK1464" s="58" t="n">
        <f aca="false">IF(AH1464&gt;0,J1464/AH1464,-1)</f>
        <v>-1</v>
      </c>
      <c r="AL1464" s="58" t="str">
        <f aca="false">IF(AND(OR(BY1464="L1",BY1464="L23"),AH1464&gt;0),SUMIFS($AH$7:$AH$1843,$BY$7:$BY$1843,BY1464,$AK$7:$AK$1843,"&gt;"&amp;AK1464)+SUMIFS($AH$7:$AH$1843,$BY$7:$BY$1843,BY1464,$AK$7:$AK$1843,AK1464,$BQ$7:$BQ$1843,"&lt;="&amp;BQ1464),"")</f>
        <v/>
      </c>
      <c r="AM1464" s="65" t="n">
        <f aca="false">IF(AL1464="",0,MAX(0,MIN(1,(IF(BY1464="L1",Parameter!$E$5,Parameter!$E$6+Parameter!$E$7)-(AL1464-AH1464))/AH1464)))</f>
        <v>0</v>
      </c>
      <c r="AN1464" s="57" t="n">
        <f aca="false">IF(LEFT(Cockpit!$I$5,1)="A",H1464,IF(CA1464=1,CB1464,IF(LEFT(Cockpit!$I$5,1)="B",AR1464,MAX(AR1464,H1464))))</f>
        <v>4305</v>
      </c>
      <c r="AO1464" s="57" t="n">
        <f aca="false">IF(BT1464=1,0,ROUNDUP(AN1464/BS1464,0))</f>
        <v>3</v>
      </c>
      <c r="AP1464" s="59" t="n">
        <f aca="false">IF(CH1464&gt;0,CH1464*MAX(1,AN1464/X1464),IF(BT1464=1,IF(AN1464&lt;=0,0,BW1464*MAX(1,IF(H1464&gt;0,AN1464/H1464,1))),IF(R1464&gt;0,AO1464/R1464,0))/MAX(0.1,N(Parameter!$M$21)))</f>
        <v>0.115384615384615</v>
      </c>
      <c r="AQ1464" s="57" t="n">
        <f aca="false">AN1464*G1464</f>
        <v>34267.8</v>
      </c>
      <c r="AR1464" s="57" t="n">
        <f aca="false">ROUNDUP(MAX(J1464/IF(BZ1464&gt;0,BZ1464,MAX(0.1,N(Cockpit!$I$6))),CC1464)/BS1464,0)*BS1464</f>
        <v>4305</v>
      </c>
      <c r="AS1464" s="58" t="n">
        <f aca="false">IF(AP1464&gt;0,J1464/AP1464,-1)</f>
        <v>56333.3333333333</v>
      </c>
      <c r="AT1464" s="58" t="n">
        <f aca="false">IF(AND(OR(BY1464="L1",BY1464="L23"),AP1464&gt;0),SUMIFS($AP$7:$AP$1843,$BY$7:$BY$1843,BY1464,$AS$7:$AS$1843,"&gt;"&amp;AS1464)+SUMIFS($AP$7:$AP$1843,$BY$7:$BY$1843,BY1464,$AS$7:$AS$1843,AS1464,$BQ$7:$BQ$1843,"&lt;="&amp;BQ1464),"")</f>
        <v>0.878146008580791</v>
      </c>
      <c r="AU1464" s="65" t="n">
        <f aca="false">IF(AT1464="",0,MAX(0,MIN(1,(IF(BY1464="L1",Parameter!$E$5,Parameter!$E$6+Parameter!$E$7)-(AT1464-AP1464))/AP1464)))</f>
        <v>1</v>
      </c>
      <c r="AV1464" s="57" t="n">
        <f aca="false">IF(LEFT(Cockpit!$O$5,1)="A",H1464,IF(CA1464=1,CB1464,IF(LEFT(Cockpit!$O$5,1)="B",AZ1464,MAX(AZ1464,H1464))))</f>
        <v>2870</v>
      </c>
      <c r="AW1464" s="57" t="n">
        <f aca="false">IF(BT1464=1,0,ROUNDUP(AV1464/BS1464,0))</f>
        <v>2</v>
      </c>
      <c r="AX1464" s="59" t="n">
        <f aca="false">IF(CH1464&gt;0,CH1464*MAX(1,AV1464/X1464),IF(BT1464=1,IF(AV1464&lt;=0,0,BW1464*MAX(1,IF(H1464&gt;0,AV1464/H1464,1))),IF(R1464&gt;0,AW1464/R1464,0))/MAX(0.1,N(Parameter!$M$21)))</f>
        <v>0.0769230769230769</v>
      </c>
      <c r="AY1464" s="57" t="n">
        <f aca="false">AV1464*G1464</f>
        <v>22845.2</v>
      </c>
      <c r="AZ1464" s="57" t="n">
        <f aca="false">ROUNDUP(MAX(J1464/IF(BZ1464&gt;0,BZ1464,MAX(0.1,N(Cockpit!$O$6))),CC1464)/BS1464,0)*BS1464</f>
        <v>2870</v>
      </c>
      <c r="BA1464" s="58" t="n">
        <f aca="false">IF(AX1464&gt;0,J1464/AX1464,-1)</f>
        <v>84500</v>
      </c>
      <c r="BB1464" s="58" t="n">
        <f aca="false">IF(AND(OR(BY1464="L1",BY1464="L23"),AX1464&gt;0),SUMIFS($AX$7:$AX$1843,$BY$7:$BY$1843,BY1464,$BA$7:$BA$1843,"&gt;"&amp;BA1464)+SUMIFS($AX$7:$AX$1843,$BY$7:$BY$1843,BY1464,$BA$7:$BA$1843,BA1464,$BQ$7:$BQ$1843,"&lt;="&amp;BQ1464),"")</f>
        <v>0.566273098881795</v>
      </c>
      <c r="BC1464" s="65" t="n">
        <f aca="false">IF(BB1464="",0,MAX(0,MIN(1,(IF(BY1464="L1",Parameter!$E$5,Parameter!$E$6+Parameter!$E$7)-(BB1464-AX1464))/AX1464)))</f>
        <v>1</v>
      </c>
      <c r="BD1464" s="55" t="str">
        <f aca="false">IF(AH1464&lt;=0,"",IF(BY1464="Aussen","Aussenlager",IF(BY1464="-","Nicht im Lift",IF(AM1464&gt;=1,"Lift",IF(AM1464&lt;=0,"Aussenlager","teilweise")))))</f>
        <v/>
      </c>
      <c r="BE1464" s="55" t="str">
        <f aca="false">IF(AP1464&lt;=0,"",IF(BY1464="Aussen","Aussenlager",IF(BY1464="-","Nicht im Lift",IF(AU1464&gt;=1,"Lift",IF(AU1464&lt;=0,"Aussenlager","teilweise")))))</f>
        <v>Lift</v>
      </c>
      <c r="BF1464" s="55" t="str">
        <f aca="false">IF(AX1464&lt;=0,"",IF(BY1464="Aussen","Aussenlager",IF(BY1464="-","Nicht im Lift",IF(BC1464&gt;=1,"Lift",IF(BC1464&lt;=0,"Aussenlager","teilweise")))))</f>
        <v>Lift</v>
      </c>
      <c r="BG1464" s="55" t="str">
        <f aca="false">IF(A1464="","",IF(BP1464=1,"Neu; ","")&amp;IF(AND(BP1464=0,BK1464&lt;0),"negativer Bestand (Export "&amp;BK1464&amp;"); ","")&amp;IF(J1464&lt;=0,"Kein Verbrauch; ","")&amp;IF(CH1464&gt;0,"Lift "&amp;W1464&amp;" lt. Liftbericht (Fach "&amp;X1464&amp;" Stk); ",IF(BU1464=1,"Gebinde geschätzt ("&amp;T1464&amp;"); ",IF(BT1464=1,"Lose – Tablare geschätzt; ","")))&amp;IF(H1464&gt;AR1464,"Überbestand "&amp;ROUND(H1464-AR1464,0)&amp;" Stk / CHF "&amp;ROUND((H1464-AR1464)*G1464,0)&amp;"; ","")&amp;IF(AND(CA1464=1,CB1464&lt;CC1464),"MAX &lt; MB+LG; ","")&amp;IF(AND(CG1464&gt;0,CF1464*10&gt;CG1464),"zu hoch für Tablar; ","")&amp;IF(AND(BP1464=0,OR(CA1464=1,AA1464&lt;&gt;"",U1464&lt;&gt;"",V1464&lt;&gt;"",AB1464&lt;&gt;"")),"manuell übersteuert; ","")&amp;IF(AND(BT1464=0,R1464=0),"Gebinde unbekannt / Stellmass fehlt; ","")&amp;IF(AND(BT1464=0,N(V1464)&lt;=0,N(Q1464)&lt;=0),"Menge pro Gebinde fehlt (Ist = 1 Gebinde); ","")&amp;BO1464)</f>
        <v>negativer Bestand (Export -3000); Gebinde geschätzt (Klein); Menge pro Gebinde fehlt (Ist = 1 Gebinde); </v>
      </c>
      <c r="BH1464" s="55"/>
      <c r="BI1464" s="55"/>
      <c r="BJ1464" s="62"/>
      <c r="BK1464" s="57" t="n">
        <v>-3000</v>
      </c>
      <c r="BL1464" s="57" t="n">
        <v>0</v>
      </c>
      <c r="BM1464" s="56" t="n">
        <v>-26550</v>
      </c>
      <c r="BN1464" s="57" t="n">
        <v>6500</v>
      </c>
      <c r="BO1464" s="55"/>
      <c r="BP1464" s="60" t="n">
        <v>0</v>
      </c>
      <c r="BQ1464" s="60" t="n">
        <v>1464</v>
      </c>
      <c r="BR1464" s="55" t="str">
        <f aca="false">IF(U1464&lt;&gt;"",UPPER(TRIM(U1464)),IF(BU1464=1,UPPER(VLOOKUP(T1464,Parameter!$I$27:$K$29,2,0)),IF(P1464="","LOSE",P1464)))</f>
        <v>S51</v>
      </c>
      <c r="BS1464" s="57" t="n">
        <f aca="false">IF(BR1464="LOSE",1,IF(N(V1464)&gt;0,V1464,IF(BU1464=1,MAX(1,N(VLOOKUP(T1464,Parameter!$I$27:$K$29,3,0)),H1464,N(N1464)),IF(N(Q1464)&gt;0,Q1464,MAX(1,H1464)))))</f>
        <v>1435</v>
      </c>
      <c r="BT1464" s="60" t="n">
        <f aca="false">IF(BR1464="LOSE",1,0)</f>
        <v>0</v>
      </c>
      <c r="BU1464" s="60" t="n">
        <f aca="false">IF(AND(U1464="",OR(P1464="",P1464="LOSE"),T1464&lt;&gt;"",N(S1464)&lt;=0,ISNUMBER(MATCH(T1464,Parameter!$I$27:$I$29,0))),1,0)</f>
        <v>1</v>
      </c>
      <c r="BV1464" s="55" t="str">
        <f aca="false">IF(AND(Parameter!$B$19="Ja",E1464&lt;&gt;"",ISNUMBER(MATCH(E1464,Parameter!$I$35:$I$52,0))),VLOOKUP(E1464,Parameter!$I$35:$J$52,2,0),IFERROR(VLOOKUP(D1464,Parameter!$A$35:$C$64,2,0),"Nein"))</f>
        <v>2+3</v>
      </c>
      <c r="BW1464" s="59" t="n">
        <f aca="false">IF(BT1464=0,0,IF(N(S1464)&gt;0,S1464,IFERROR(VLOOKUP(D1464,Parameter!$A$35:$C$64,3,0)+0,0)))</f>
        <v>0</v>
      </c>
      <c r="BX1464" s="55" t="n">
        <f aca="false">IF(AA1464&lt;&gt;"",AA1464,Z1464)</f>
        <v>3</v>
      </c>
      <c r="BY1464" s="55" t="str">
        <f aca="false">IF(BX1464=1,"L1",IF(OR(BX1464=2,BX1464=3),"L23",IF(BX1464="Aussen","Aussen","-")))</f>
        <v>L23</v>
      </c>
      <c r="BZ1464" s="66" t="n">
        <f aca="false">IF(N(AB1464)&gt;0,AB1464,0)</f>
        <v>0</v>
      </c>
      <c r="CA1464" s="60" t="n">
        <f aca="false">IF(ISNUMBER(AE1464),1,0)</f>
        <v>0</v>
      </c>
      <c r="CB1464" s="57" t="n">
        <f aca="false">N(AE1464)</f>
        <v>0</v>
      </c>
      <c r="CC1464" s="57" t="n">
        <f aca="false">N(M1464)+N(N1464)</f>
        <v>1814</v>
      </c>
      <c r="CD1464" s="57" t="n">
        <f aca="false">ROUNDUP(H1464/BS1464,0)</f>
        <v>0</v>
      </c>
      <c r="CE1464" s="57" t="n">
        <f aca="false">ROUNDUP(CB1464/BS1464,0)</f>
        <v>0</v>
      </c>
      <c r="CF1464" s="60" t="n">
        <f aca="false">IF(BT1464=1,0,IFERROR(VLOOKUP(BR1464,'Gebinde-Kategorie'!$A$5:$M$45,5,0)+0,0))</f>
        <v>11</v>
      </c>
      <c r="CG1464" s="60" t="n">
        <f aca="false">IFERROR(IF(OR(BX1464=1,BX1464=2,BX1464=3),N(INDEX(Parameter!$I$5:$I$7,BX1464)),0),0)</f>
        <v>0</v>
      </c>
      <c r="CH1464" s="59" t="n">
        <f aca="false">IF(AND(Parameter!$B$21="Ja",ISNUMBER(W1464),N(X1464)&gt;0),IFERROR(N(INDEX(Parameter!$L$5:$L$7,W1464))*INDEX(Parameter!$E$5:$E$7,W1464)*X1464/SUMIFS($X$7:$X$1843,$W$7:$W$1843,W1464),0),0)</f>
        <v>0</v>
      </c>
    </row>
    <row r="1465" customFormat="false" ht="15" hidden="false" customHeight="false" outlineLevel="0" collapsed="false">
      <c r="A1465" s="55" t="s">
        <v>2560</v>
      </c>
      <c r="B1465" s="55" t="s">
        <v>163</v>
      </c>
      <c r="C1465" s="55" t="s">
        <v>164</v>
      </c>
      <c r="D1465" s="55" t="s">
        <v>165</v>
      </c>
      <c r="E1465" s="55" t="s">
        <v>166</v>
      </c>
      <c r="F1465" s="55"/>
      <c r="G1465" s="56" t="n">
        <v>4042.46</v>
      </c>
      <c r="H1465" s="57" t="n">
        <f aca="false">MAX(0,IF(AND(Parameter!$B$21="Ja",ISNUMBER(Y1465)),Y1465,IF(Parameter!$B$20="Jahresanfang 2025 + Export",BL1465+BK1465,BK1465)))</f>
        <v>8</v>
      </c>
      <c r="I1465" s="57" t="n">
        <f aca="false">H1465*G1465</f>
        <v>32339.68</v>
      </c>
      <c r="J1465" s="57" t="n">
        <f aca="false">BN1465*Parameter!$B$18</f>
        <v>71</v>
      </c>
      <c r="K1465" s="58"/>
      <c r="L1465" s="59"/>
      <c r="M1465" s="57" t="n">
        <v>4</v>
      </c>
      <c r="N1465" s="57" t="n">
        <v>8</v>
      </c>
      <c r="O1465" s="60"/>
      <c r="P1465" s="55" t="s">
        <v>168</v>
      </c>
      <c r="Q1465" s="57"/>
      <c r="R1465" s="60" t="n">
        <f aca="false">IF(BT1465=1,0,IFERROR(VLOOKUP(BR1465,'Gebinde-Kategorie'!$A$5:$M$45,13,0)+0,0))</f>
        <v>0</v>
      </c>
      <c r="S1465" s="61"/>
      <c r="T1465" s="62"/>
      <c r="U1465" s="62"/>
      <c r="V1465" s="62"/>
      <c r="W1465" s="55" t="n">
        <v>1</v>
      </c>
      <c r="X1465" s="57" t="n">
        <v>11</v>
      </c>
      <c r="Y1465" s="57" t="n">
        <v>8</v>
      </c>
      <c r="Z1465" s="55" t="n">
        <f aca="false">IF(A1465="","",IF(AND(Parameter!$B$21="Ja",ISNUMBER(W1465)),W1465,IF(BV1465="2+3",IF(ISNUMBER(SEARCH("grosser Artikel",BO1465)),2,IFERROR(VLOOKUP(BR1465,Parameter!$F$35:$G$64,2,0),2)),IF(OR(BV1465="Nein",BV1465=""),"-",BV1465))))</f>
        <v>1</v>
      </c>
      <c r="AA1465" s="62"/>
      <c r="AB1465" s="63"/>
      <c r="AC1465" s="57" t="n">
        <f aca="false">AR1465</f>
        <v>36</v>
      </c>
      <c r="AD1465" s="57" t="n">
        <f aca="false">MAX(AR1465,H1465)</f>
        <v>36</v>
      </c>
      <c r="AE1465" s="64"/>
      <c r="AF1465" s="57" t="n">
        <f aca="false">IF(LEFT(Cockpit!$C$5,1)="A",H1465,IF(CA1465=1,CB1465,IF(LEFT(Cockpit!$C$5,1)="B",AJ1465,MAX(AJ1465,H1465))))</f>
        <v>8</v>
      </c>
      <c r="AG1465" s="57" t="n">
        <f aca="false">IF(BT1465=1,0,ROUNDUP(AF1465/BS1465,0))</f>
        <v>0</v>
      </c>
      <c r="AH1465" s="59" t="n">
        <f aca="false">IF(CH1465&gt;0,CH1465*MAX(1,AF1465/X1465),IF(BT1465=1,IF(AF1465&lt;=0,0,BW1465*MAX(1,IF(H1465&gt;0,AF1465/H1465,1))),IF(R1465&gt;0,AG1465/R1465,0))/MAX(0.1,N(Parameter!$M$21)))</f>
        <v>0.880414312617702</v>
      </c>
      <c r="AI1465" s="57" t="n">
        <f aca="false">AF1465*G1465</f>
        <v>32339.68</v>
      </c>
      <c r="AJ1465" s="57" t="n">
        <f aca="false">ROUNDUP(MAX(J1465/IF(BZ1465&gt;0,BZ1465,MAX(0.1,N(Cockpit!$C$6))),CC1465)/BS1465,0)*BS1465</f>
        <v>36</v>
      </c>
      <c r="AK1465" s="58" t="n">
        <f aca="false">IF(AH1465&gt;0,J1465/AH1465,-1)</f>
        <v>80.6438502673797</v>
      </c>
      <c r="AL1465" s="58" t="n">
        <f aca="false">IF(AND(OR(BY1465="L1",BY1465="L23"),AH1465&gt;0),SUMIFS($AH$7:$AH$1843,$BY$7:$BY$1843,BY1465,$AK$7:$AK$1843,"&gt;"&amp;AK1465)+SUMIFS($AH$7:$AH$1843,$BY$7:$BY$1843,BY1465,$AK$7:$AK$1843,AK1465,$BQ$7:$BQ$1843,"&lt;="&amp;BQ1465),"")</f>
        <v>8.37795476446913</v>
      </c>
      <c r="AM1465" s="65" t="n">
        <f aca="false">IF(AL1465="",0,MAX(0,MIN(1,(IF(BY1465="L1",Parameter!$E$5,Parameter!$E$6+Parameter!$E$7)-(AL1465-AH1465))/AH1465)))</f>
        <v>1</v>
      </c>
      <c r="AN1465" s="57" t="n">
        <f aca="false">IF(LEFT(Cockpit!$I$5,1)="A",H1465,IF(CA1465=1,CB1465,IF(LEFT(Cockpit!$I$5,1)="B",AR1465,MAX(AR1465,H1465))))</f>
        <v>36</v>
      </c>
      <c r="AO1465" s="57" t="n">
        <f aca="false">IF(BT1465=1,0,ROUNDUP(AN1465/BS1465,0))</f>
        <v>0</v>
      </c>
      <c r="AP1465" s="59" t="n">
        <f aca="false">IF(CH1465&gt;0,CH1465*MAX(1,AN1465/X1465),IF(BT1465=1,IF(AN1465&lt;=0,0,BW1465*MAX(1,IF(H1465&gt;0,AN1465/H1465,1))),IF(R1465&gt;0,AO1465/R1465,0))/MAX(0.1,N(Parameter!$M$21)))</f>
        <v>2.88135593220339</v>
      </c>
      <c r="AQ1465" s="57" t="n">
        <f aca="false">AN1465*G1465</f>
        <v>145528.56</v>
      </c>
      <c r="AR1465" s="57" t="n">
        <f aca="false">ROUNDUP(MAX(J1465/IF(BZ1465&gt;0,BZ1465,MAX(0.1,N(Cockpit!$I$6))),CC1465)/BS1465,0)*BS1465</f>
        <v>36</v>
      </c>
      <c r="AS1465" s="58" t="n">
        <f aca="false">IF(AP1465&gt;0,J1465/AP1465,-1)</f>
        <v>24.6411764705882</v>
      </c>
      <c r="AT1465" s="58" t="n">
        <f aca="false">IF(AND(OR(BY1465="L1",BY1465="L23"),AP1465&gt;0),SUMIFS($AP$7:$AP$1843,$BY$7:$BY$1843,BY1465,$AS$7:$AS$1843,"&gt;"&amp;AS1465)+SUMIFS($AP$7:$AP$1843,$BY$7:$BY$1843,BY1465,$AS$7:$AS$1843,AS1465,$BQ$7:$BQ$1843,"&lt;="&amp;BQ1465),"")</f>
        <v>24.1375520410156</v>
      </c>
      <c r="AU1465" s="65" t="n">
        <f aca="false">IF(AT1465="",0,MAX(0,MIN(1,(IF(BY1465="L1",Parameter!$E$5,Parameter!$E$6+Parameter!$E$7)-(AT1465-AP1465))/AP1465)))</f>
        <v>1</v>
      </c>
      <c r="AV1465" s="57" t="n">
        <f aca="false">IF(LEFT(Cockpit!$O$5,1)="A",H1465,IF(CA1465=1,CB1465,IF(LEFT(Cockpit!$O$5,1)="B",AZ1465,MAX(AZ1465,H1465))))</f>
        <v>24</v>
      </c>
      <c r="AW1465" s="57" t="n">
        <f aca="false">IF(BT1465=1,0,ROUNDUP(AV1465/BS1465,0))</f>
        <v>0</v>
      </c>
      <c r="AX1465" s="59" t="n">
        <f aca="false">IF(CH1465&gt;0,CH1465*MAX(1,AV1465/X1465),IF(BT1465=1,IF(AV1465&lt;=0,0,BW1465*MAX(1,IF(H1465&gt;0,AV1465/H1465,1))),IF(R1465&gt;0,AW1465/R1465,0))/MAX(0.1,N(Parameter!$M$21)))</f>
        <v>1.92090395480226</v>
      </c>
      <c r="AY1465" s="57" t="n">
        <f aca="false">AV1465*G1465</f>
        <v>97019.04</v>
      </c>
      <c r="AZ1465" s="57" t="n">
        <f aca="false">ROUNDUP(MAX(J1465/IF(BZ1465&gt;0,BZ1465,MAX(0.1,N(Cockpit!$O$6))),CC1465)/BS1465,0)*BS1465</f>
        <v>24</v>
      </c>
      <c r="BA1465" s="58" t="n">
        <f aca="false">IF(AX1465&gt;0,J1465/AX1465,-1)</f>
        <v>36.9617647058824</v>
      </c>
      <c r="BB1465" s="58" t="n">
        <f aca="false">IF(AND(OR(BY1465="L1",BY1465="L23"),AX1465&gt;0),SUMIFS($AX$7:$AX$1843,$BY$7:$BY$1843,BY1465,$BA$7:$BA$1843,"&gt;"&amp;BA1465)+SUMIFS($AX$7:$AX$1843,$BY$7:$BY$1843,BY1465,$BA$7:$BA$1843,BA1465,$BQ$7:$BQ$1843,"&lt;="&amp;BQ1465),"")</f>
        <v>16.0435349469985</v>
      </c>
      <c r="BC1465" s="65" t="n">
        <f aca="false">IF(BB1465="",0,MAX(0,MIN(1,(IF(BY1465="L1",Parameter!$E$5,Parameter!$E$6+Parameter!$E$7)-(BB1465-AX1465))/AX1465)))</f>
        <v>1</v>
      </c>
      <c r="BD1465" s="55" t="str">
        <f aca="false">IF(AH1465&lt;=0,"",IF(BY1465="Aussen","Aussenlager",IF(BY1465="-","Nicht im Lift",IF(AM1465&gt;=1,"Lift",IF(AM1465&lt;=0,"Aussenlager","teilweise")))))</f>
        <v>Lift</v>
      </c>
      <c r="BE1465" s="55" t="str">
        <f aca="false">IF(AP1465&lt;=0,"",IF(BY1465="Aussen","Aussenlager",IF(BY1465="-","Nicht im Lift",IF(AU1465&gt;=1,"Lift",IF(AU1465&lt;=0,"Aussenlager","teilweise")))))</f>
        <v>Lift</v>
      </c>
      <c r="BF1465" s="55" t="str">
        <f aca="false">IF(AX1465&lt;=0,"",IF(BY1465="Aussen","Aussenlager",IF(BY1465="-","Nicht im Lift",IF(BC1465&gt;=1,"Lift",IF(BC1465&lt;=0,"Aussenlager","teilweise")))))</f>
        <v>Lift</v>
      </c>
      <c r="BG1465" s="55" t="str">
        <f aca="false">IF(A1465="","",IF(BP1465=1,"Neu; ","")&amp;IF(AND(BP1465=0,BK1465&lt;0),"negativer Bestand (Export "&amp;BK1465&amp;"); ","")&amp;IF(J1465&lt;=0,"Kein Verbrauch; ","")&amp;IF(CH1465&gt;0,"Lift "&amp;W1465&amp;" lt. Liftbericht (Fach "&amp;X1465&amp;" Stk); ",IF(BU1465=1,"Gebinde geschätzt ("&amp;T1465&amp;"); ",IF(BT1465=1,"Lose – Tablare geschätzt; ","")))&amp;IF(H1465&gt;AR1465,"Überbestand "&amp;ROUND(H1465-AR1465,0)&amp;" Stk / CHF "&amp;ROUND((H1465-AR1465)*G1465,0)&amp;"; ","")&amp;IF(AND(CA1465=1,CB1465&lt;CC1465),"MAX &lt; MB+LG; ","")&amp;IF(AND(CG1465&gt;0,CF1465*10&gt;CG1465),"zu hoch für Tablar; ","")&amp;IF(AND(BP1465=0,OR(CA1465=1,AA1465&lt;&gt;"",U1465&lt;&gt;"",V1465&lt;&gt;"",AB1465&lt;&gt;"")),"manuell übersteuert; ","")&amp;IF(AND(BT1465=0,R1465=0),"Gebinde unbekannt / Stellmass fehlt; ","")&amp;IF(AND(BT1465=0,N(V1465)&lt;=0,N(Q1465)&lt;=0),"Menge pro Gebinde fehlt (Ist = 1 Gebinde); ","")&amp;BO1465)</f>
        <v>negativer Bestand (Export -4); Lift 1 lt. Liftbericht (Fach 11 Stk); </v>
      </c>
      <c r="BH1465" s="55"/>
      <c r="BI1465" s="55"/>
      <c r="BJ1465" s="62"/>
      <c r="BK1465" s="57" t="n">
        <v>-4</v>
      </c>
      <c r="BL1465" s="57" t="n">
        <v>0</v>
      </c>
      <c r="BM1465" s="56" t="n">
        <v>-28135.8199999999</v>
      </c>
      <c r="BN1465" s="57" t="n">
        <v>71</v>
      </c>
      <c r="BO1465" s="55"/>
      <c r="BP1465" s="60" t="n">
        <v>0</v>
      </c>
      <c r="BQ1465" s="60" t="n">
        <v>1465</v>
      </c>
      <c r="BR1465" s="55" t="str">
        <f aca="false">IF(U1465&lt;&gt;"",UPPER(TRIM(U1465)),IF(BU1465=1,UPPER(VLOOKUP(T1465,Parameter!$I$27:$K$29,2,0)),IF(P1465="","LOSE",P1465)))</f>
        <v>LOSE</v>
      </c>
      <c r="BS1465" s="57" t="n">
        <f aca="false">IF(BR1465="LOSE",1,IF(N(V1465)&gt;0,V1465,IF(BU1465=1,MAX(1,N(VLOOKUP(T1465,Parameter!$I$27:$K$29,3,0)),H1465,N(N1465)),IF(N(Q1465)&gt;0,Q1465,MAX(1,H1465)))))</f>
        <v>1</v>
      </c>
      <c r="BT1465" s="60" t="n">
        <f aca="false">IF(BR1465="LOSE",1,0)</f>
        <v>1</v>
      </c>
      <c r="BU1465" s="60" t="n">
        <f aca="false">IF(AND(U1465="",OR(P1465="",P1465="LOSE"),T1465&lt;&gt;"",N(S1465)&lt;=0,ISNUMBER(MATCH(T1465,Parameter!$I$27:$I$29,0))),1,0)</f>
        <v>0</v>
      </c>
      <c r="BV1465" s="55" t="n">
        <f aca="false">IF(AND(Parameter!$B$19="Ja",E1465&lt;&gt;"",ISNUMBER(MATCH(E1465,Parameter!$I$35:$I$52,0))),VLOOKUP(E1465,Parameter!$I$35:$J$52,2,0),IFERROR(VLOOKUP(D1465,Parameter!$A$35:$C$64,2,0),"Nein"))</f>
        <v>1</v>
      </c>
      <c r="BW1465" s="59" t="n">
        <f aca="false">IF(BT1465=0,0,IF(N(S1465)&gt;0,S1465,IFERROR(VLOOKUP(D1465,Parameter!$A$35:$C$64,3,0)+0,0)))</f>
        <v>1</v>
      </c>
      <c r="BX1465" s="55" t="n">
        <f aca="false">IF(AA1465&lt;&gt;"",AA1465,Z1465)</f>
        <v>1</v>
      </c>
      <c r="BY1465" s="55" t="str">
        <f aca="false">IF(BX1465=1,"L1",IF(OR(BX1465=2,BX1465=3),"L23",IF(BX1465="Aussen","Aussen","-")))</f>
        <v>L1</v>
      </c>
      <c r="BZ1465" s="66" t="n">
        <f aca="false">IF(N(AB1465)&gt;0,AB1465,0)</f>
        <v>0</v>
      </c>
      <c r="CA1465" s="60" t="n">
        <f aca="false">IF(ISNUMBER(AE1465),1,0)</f>
        <v>0</v>
      </c>
      <c r="CB1465" s="57" t="n">
        <f aca="false">N(AE1465)</f>
        <v>0</v>
      </c>
      <c r="CC1465" s="57" t="n">
        <f aca="false">N(M1465)+N(N1465)</f>
        <v>12</v>
      </c>
      <c r="CD1465" s="57" t="n">
        <f aca="false">ROUNDUP(H1465/BS1465,0)</f>
        <v>8</v>
      </c>
      <c r="CE1465" s="57" t="n">
        <f aca="false">ROUNDUP(CB1465/BS1465,0)</f>
        <v>0</v>
      </c>
      <c r="CF1465" s="60" t="n">
        <f aca="false">IF(BT1465=1,0,IFERROR(VLOOKUP(BR1465,'Gebinde-Kategorie'!$A$5:$M$45,5,0)+0,0))</f>
        <v>0</v>
      </c>
      <c r="CG1465" s="60" t="n">
        <f aca="false">IFERROR(IF(OR(BX1465=1,BX1465=2,BX1465=3),N(INDEX(Parameter!$I$5:$I$7,BX1465)),0),0)</f>
        <v>0</v>
      </c>
      <c r="CH1465" s="59" t="n">
        <f aca="false">IF(AND(Parameter!$B$21="Ja",ISNUMBER(W1465),N(X1465)&gt;0),IFERROR(N(INDEX(Parameter!$L$5:$L$7,W1465))*INDEX(Parameter!$E$5:$E$7,W1465)*X1465/SUMIFS($X$7:$X$1843,$W$7:$W$1843,W1465),0),0)</f>
        <v>0.880414312617702</v>
      </c>
    </row>
    <row r="1466" customFormat="false" ht="15" hidden="false" customHeight="false" outlineLevel="0" collapsed="false">
      <c r="A1466" s="55" t="s">
        <v>2561</v>
      </c>
      <c r="B1466" s="55" t="s">
        <v>181</v>
      </c>
      <c r="C1466" s="55" t="s">
        <v>456</v>
      </c>
      <c r="D1466" s="55" t="s">
        <v>173</v>
      </c>
      <c r="E1466" s="55" t="s">
        <v>166</v>
      </c>
      <c r="F1466" s="55"/>
      <c r="G1466" s="56" t="n">
        <v>4933</v>
      </c>
      <c r="H1466" s="57" t="n">
        <f aca="false">MAX(0,IF(AND(Parameter!$B$21="Ja",ISNUMBER(Y1466)),Y1466,IF(Parameter!$B$20="Jahresanfang 2025 + Export",BL1466+BK1466,BK1466)))</f>
        <v>0</v>
      </c>
      <c r="I1466" s="57" t="n">
        <f aca="false">H1466*G1466</f>
        <v>0</v>
      </c>
      <c r="J1466" s="57" t="n">
        <f aca="false">BN1466*Parameter!$B$18</f>
        <v>23</v>
      </c>
      <c r="K1466" s="58"/>
      <c r="L1466" s="59"/>
      <c r="M1466" s="57" t="n">
        <v>0</v>
      </c>
      <c r="N1466" s="57" t="n">
        <v>3</v>
      </c>
      <c r="O1466" s="60"/>
      <c r="P1466" s="55" t="s">
        <v>168</v>
      </c>
      <c r="Q1466" s="57"/>
      <c r="R1466" s="60" t="n">
        <f aca="false">IF(BT1466=1,0,IFERROR(VLOOKUP(BR1466,'Gebinde-Kategorie'!$A$5:$M$45,13,0)+0,0))</f>
        <v>12</v>
      </c>
      <c r="S1466" s="61"/>
      <c r="T1466" s="62" t="s">
        <v>179</v>
      </c>
      <c r="U1466" s="62"/>
      <c r="V1466" s="62"/>
      <c r="W1466" s="55"/>
      <c r="X1466" s="57"/>
      <c r="Y1466" s="57"/>
      <c r="Z1466" s="55" t="n">
        <f aca="false">IF(A1466="","",IF(AND(Parameter!$B$21="Ja",ISNUMBER(W1466)),W1466,IF(BV1466="2+3",IF(ISNUMBER(SEARCH("grosser Artikel",BO1466)),2,IFERROR(VLOOKUP(BR1466,Parameter!$F$35:$G$64,2,0),2)),IF(OR(BV1466="Nein",BV1466=""),"-",BV1466))))</f>
        <v>1</v>
      </c>
      <c r="AA1466" s="62"/>
      <c r="AB1466" s="63"/>
      <c r="AC1466" s="57" t="n">
        <f aca="false">AR1466</f>
        <v>12</v>
      </c>
      <c r="AD1466" s="57" t="n">
        <f aca="false">MAX(AR1466,H1466)</f>
        <v>12</v>
      </c>
      <c r="AE1466" s="64"/>
      <c r="AF1466" s="57" t="n">
        <f aca="false">IF(LEFT(Cockpit!$C$5,1)="A",H1466,IF(CA1466=1,CB1466,IF(LEFT(Cockpit!$C$5,1)="B",AJ1466,MAX(AJ1466,H1466))))</f>
        <v>0</v>
      </c>
      <c r="AG1466" s="57" t="n">
        <f aca="false">IF(BT1466=1,0,ROUNDUP(AF1466/BS1466,0))</f>
        <v>0</v>
      </c>
      <c r="AH1466" s="59" t="n">
        <f aca="false">IF(CH1466&gt;0,CH1466*MAX(1,AF1466/X1466),IF(BT1466=1,IF(AF1466&lt;=0,0,BW1466*MAX(1,IF(H1466&gt;0,AF1466/H1466,1))),IF(R1466&gt;0,AG1466/R1466,0))/MAX(0.1,N(Parameter!$M$21)))</f>
        <v>0</v>
      </c>
      <c r="AI1466" s="57" t="n">
        <f aca="false">AF1466*G1466</f>
        <v>0</v>
      </c>
      <c r="AJ1466" s="57" t="n">
        <f aca="false">ROUNDUP(MAX(J1466/IF(BZ1466&gt;0,BZ1466,MAX(0.1,N(Cockpit!$C$6))),CC1466)/BS1466,0)*BS1466</f>
        <v>12</v>
      </c>
      <c r="AK1466" s="58" t="n">
        <f aca="false">IF(AH1466&gt;0,J1466/AH1466,-1)</f>
        <v>-1</v>
      </c>
      <c r="AL1466" s="58" t="str">
        <f aca="false">IF(AND(OR(BY1466="L1",BY1466="L23"),AH1466&gt;0),SUMIFS($AH$7:$AH$1843,$BY$7:$BY$1843,BY1466,$AK$7:$AK$1843,"&gt;"&amp;AK1466)+SUMIFS($AH$7:$AH$1843,$BY$7:$BY$1843,BY1466,$AK$7:$AK$1843,AK1466,$BQ$7:$BQ$1843,"&lt;="&amp;BQ1466),"")</f>
        <v/>
      </c>
      <c r="AM1466" s="65" t="n">
        <f aca="false">IF(AL1466="",0,MAX(0,MIN(1,(IF(BY1466="L1",Parameter!$E$5,Parameter!$E$6+Parameter!$E$7)-(AL1466-AH1466))/AH1466)))</f>
        <v>0</v>
      </c>
      <c r="AN1466" s="57" t="n">
        <f aca="false">IF(LEFT(Cockpit!$I$5,1)="A",H1466,IF(CA1466=1,CB1466,IF(LEFT(Cockpit!$I$5,1)="B",AR1466,MAX(AR1466,H1466))))</f>
        <v>12</v>
      </c>
      <c r="AO1466" s="57" t="n">
        <f aca="false">IF(BT1466=1,0,ROUNDUP(AN1466/BS1466,0))</f>
        <v>3</v>
      </c>
      <c r="AP1466" s="59" t="n">
        <f aca="false">IF(CH1466&gt;0,CH1466*MAX(1,AN1466/X1466),IF(BT1466=1,IF(AN1466&lt;=0,0,BW1466*MAX(1,IF(H1466&gt;0,AN1466/H1466,1))),IF(R1466&gt;0,AO1466/R1466,0))/MAX(0.1,N(Parameter!$M$21)))</f>
        <v>0.25</v>
      </c>
      <c r="AQ1466" s="57" t="n">
        <f aca="false">AN1466*G1466</f>
        <v>59196</v>
      </c>
      <c r="AR1466" s="57" t="n">
        <f aca="false">ROUNDUP(MAX(J1466/IF(BZ1466&gt;0,BZ1466,MAX(0.1,N(Cockpit!$I$6))),CC1466)/BS1466,0)*BS1466</f>
        <v>12</v>
      </c>
      <c r="AS1466" s="58" t="n">
        <f aca="false">IF(AP1466&gt;0,J1466/AP1466,-1)</f>
        <v>92</v>
      </c>
      <c r="AT1466" s="58" t="n">
        <f aca="false">IF(AND(OR(BY1466="L1",BY1466="L23"),AP1466&gt;0),SUMIFS($AP$7:$AP$1843,$BY$7:$BY$1843,BY1466,$AS$7:$AS$1843,"&gt;"&amp;AS1466)+SUMIFS($AP$7:$AP$1843,$BY$7:$BY$1843,BY1466,$AS$7:$AS$1843,AS1466,$BQ$7:$BQ$1843,"&lt;="&amp;BQ1466),"")</f>
        <v>8.07775919732442</v>
      </c>
      <c r="AU1466" s="65" t="n">
        <f aca="false">IF(AT1466="",0,MAX(0,MIN(1,(IF(BY1466="L1",Parameter!$E$5,Parameter!$E$6+Parameter!$E$7)-(AT1466-AP1466))/AP1466)))</f>
        <v>1</v>
      </c>
      <c r="AV1466" s="57" t="n">
        <f aca="false">IF(LEFT(Cockpit!$O$5,1)="A",H1466,IF(CA1466=1,CB1466,IF(LEFT(Cockpit!$O$5,1)="B",AZ1466,MAX(AZ1466,H1466))))</f>
        <v>8</v>
      </c>
      <c r="AW1466" s="57" t="n">
        <f aca="false">IF(BT1466=1,0,ROUNDUP(AV1466/BS1466,0))</f>
        <v>2</v>
      </c>
      <c r="AX1466" s="59" t="n">
        <f aca="false">IF(CH1466&gt;0,CH1466*MAX(1,AV1466/X1466),IF(BT1466=1,IF(AV1466&lt;=0,0,BW1466*MAX(1,IF(H1466&gt;0,AV1466/H1466,1))),IF(R1466&gt;0,AW1466/R1466,0))/MAX(0.1,N(Parameter!$M$21)))</f>
        <v>0.166666666666667</v>
      </c>
      <c r="AY1466" s="57" t="n">
        <f aca="false">AV1466*G1466</f>
        <v>39464</v>
      </c>
      <c r="AZ1466" s="57" t="n">
        <f aca="false">ROUNDUP(MAX(J1466/IF(BZ1466&gt;0,BZ1466,MAX(0.1,N(Cockpit!$O$6))),CC1466)/BS1466,0)*BS1466</f>
        <v>8</v>
      </c>
      <c r="BA1466" s="58" t="n">
        <f aca="false">IF(AX1466&gt;0,J1466/AX1466,-1)</f>
        <v>138</v>
      </c>
      <c r="BB1466" s="58" t="n">
        <f aca="false">IF(AND(OR(BY1466="L1",BY1466="L23"),AX1466&gt;0),SUMIFS($AX$7:$AX$1843,$BY$7:$BY$1843,BY1466,$BA$7:$BA$1843,"&gt;"&amp;BA1466)+SUMIFS($AX$7:$AX$1843,$BY$7:$BY$1843,BY1466,$BA$7:$BA$1843,BA1466,$BQ$7:$BQ$1843,"&lt;="&amp;BQ1466),"")</f>
        <v>4.62263099219621</v>
      </c>
      <c r="BC1466" s="65" t="n">
        <f aca="false">IF(BB1466="",0,MAX(0,MIN(1,(IF(BY1466="L1",Parameter!$E$5,Parameter!$E$6+Parameter!$E$7)-(BB1466-AX1466))/AX1466)))</f>
        <v>1</v>
      </c>
      <c r="BD1466" s="55" t="str">
        <f aca="false">IF(AH1466&lt;=0,"",IF(BY1466="Aussen","Aussenlager",IF(BY1466="-","Nicht im Lift",IF(AM1466&gt;=1,"Lift",IF(AM1466&lt;=0,"Aussenlager","teilweise")))))</f>
        <v/>
      </c>
      <c r="BE1466" s="55" t="str">
        <f aca="false">IF(AP1466&lt;=0,"",IF(BY1466="Aussen","Aussenlager",IF(BY1466="-","Nicht im Lift",IF(AU1466&gt;=1,"Lift",IF(AU1466&lt;=0,"Aussenlager","teilweise")))))</f>
        <v>Lift</v>
      </c>
      <c r="BF1466" s="55" t="str">
        <f aca="false">IF(AX1466&lt;=0,"",IF(BY1466="Aussen","Aussenlager",IF(BY1466="-","Nicht im Lift",IF(BC1466&gt;=1,"Lift",IF(BC1466&lt;=0,"Aussenlager","teilweise")))))</f>
        <v>Lift</v>
      </c>
      <c r="BG1466" s="55" t="str">
        <f aca="false">IF(A1466="","",IF(BP1466=1,"Neu; ","")&amp;IF(AND(BP1466=0,BK1466&lt;0),"negativer Bestand (Export "&amp;BK1466&amp;"); ","")&amp;IF(J1466&lt;=0,"Kein Verbrauch; ","")&amp;IF(CH1466&gt;0,"Lift "&amp;W1466&amp;" lt. Liftbericht (Fach "&amp;X1466&amp;" Stk); ",IF(BU1466=1,"Gebinde geschätzt ("&amp;T1466&amp;"); ",IF(BT1466=1,"Lose – Tablare geschätzt; ","")))&amp;IF(H1466&gt;AR1466,"Überbestand "&amp;ROUND(H1466-AR1466,0)&amp;" Stk / CHF "&amp;ROUND((H1466-AR1466)*G1466,0)&amp;"; ","")&amp;IF(AND(CA1466=1,CB1466&lt;CC1466),"MAX &lt; MB+LG; ","")&amp;IF(AND(CG1466&gt;0,CF1466*10&gt;CG1466),"zu hoch für Tablar; ","")&amp;IF(AND(BP1466=0,OR(CA1466=1,AA1466&lt;&gt;"",U1466&lt;&gt;"",V1466&lt;&gt;"",AB1466&lt;&gt;"")),"manuell übersteuert; ","")&amp;IF(AND(BT1466=0,R1466=0),"Gebinde unbekannt / Stellmass fehlt; ","")&amp;IF(AND(BT1466=0,N(V1466)&lt;=0,N(Q1466)&lt;=0),"Menge pro Gebinde fehlt (Ist = 1 Gebinde); ","")&amp;BO1466)</f>
        <v>negativer Bestand (Export -6); Gebinde geschätzt (Mittel); Menge pro Gebinde fehlt (Ist = 1 Gebinde); </v>
      </c>
      <c r="BH1466" s="55"/>
      <c r="BI1466" s="55"/>
      <c r="BJ1466" s="62"/>
      <c r="BK1466" s="57" t="n">
        <v>-6</v>
      </c>
      <c r="BL1466" s="57" t="n">
        <v>0</v>
      </c>
      <c r="BM1466" s="56" t="n">
        <v>-29571.19</v>
      </c>
      <c r="BN1466" s="57" t="n">
        <v>23</v>
      </c>
      <c r="BO1466" s="55"/>
      <c r="BP1466" s="60" t="n">
        <v>0</v>
      </c>
      <c r="BQ1466" s="60" t="n">
        <v>1466</v>
      </c>
      <c r="BR1466" s="55" t="str">
        <f aca="false">IF(U1466&lt;&gt;"",UPPER(TRIM(U1466)),IF(BU1466=1,UPPER(VLOOKUP(T1466,Parameter!$I$27:$K$29,2,0)),IF(P1466="","LOSE",P1466)))</f>
        <v>S61</v>
      </c>
      <c r="BS1466" s="57" t="n">
        <f aca="false">IF(BR1466="LOSE",1,IF(N(V1466)&gt;0,V1466,IF(BU1466=1,MAX(1,N(VLOOKUP(T1466,Parameter!$I$27:$K$29,3,0)),H1466,N(N1466)),IF(N(Q1466)&gt;0,Q1466,MAX(1,H1466)))))</f>
        <v>4</v>
      </c>
      <c r="BT1466" s="60" t="n">
        <f aca="false">IF(BR1466="LOSE",1,0)</f>
        <v>0</v>
      </c>
      <c r="BU1466" s="60" t="n">
        <f aca="false">IF(AND(U1466="",OR(P1466="",P1466="LOSE"),T1466&lt;&gt;"",N(S1466)&lt;=0,ISNUMBER(MATCH(T1466,Parameter!$I$27:$I$29,0))),1,0)</f>
        <v>1</v>
      </c>
      <c r="BV1466" s="55" t="n">
        <f aca="false">IF(AND(Parameter!$B$19="Ja",E1466&lt;&gt;"",ISNUMBER(MATCH(E1466,Parameter!$I$35:$I$52,0))),VLOOKUP(E1466,Parameter!$I$35:$J$52,2,0),IFERROR(VLOOKUP(D1466,Parameter!$A$35:$C$64,2,0),"Nein"))</f>
        <v>1</v>
      </c>
      <c r="BW1466" s="59" t="n">
        <f aca="false">IF(BT1466=0,0,IF(N(S1466)&gt;0,S1466,IFERROR(VLOOKUP(D1466,Parameter!$A$35:$C$64,3,0)+0,0)))</f>
        <v>0</v>
      </c>
      <c r="BX1466" s="55" t="n">
        <f aca="false">IF(AA1466&lt;&gt;"",AA1466,Z1466)</f>
        <v>1</v>
      </c>
      <c r="BY1466" s="55" t="str">
        <f aca="false">IF(BX1466=1,"L1",IF(OR(BX1466=2,BX1466=3),"L23",IF(BX1466="Aussen","Aussen","-")))</f>
        <v>L1</v>
      </c>
      <c r="BZ1466" s="66" t="n">
        <f aca="false">IF(N(AB1466)&gt;0,AB1466,0)</f>
        <v>0</v>
      </c>
      <c r="CA1466" s="60" t="n">
        <f aca="false">IF(ISNUMBER(AE1466),1,0)</f>
        <v>0</v>
      </c>
      <c r="CB1466" s="57" t="n">
        <f aca="false">N(AE1466)</f>
        <v>0</v>
      </c>
      <c r="CC1466" s="57" t="n">
        <f aca="false">N(M1466)+N(N1466)</f>
        <v>3</v>
      </c>
      <c r="CD1466" s="57" t="n">
        <f aca="false">ROUNDUP(H1466/BS1466,0)</f>
        <v>0</v>
      </c>
      <c r="CE1466" s="57" t="n">
        <f aca="false">ROUNDUP(CB1466/BS1466,0)</f>
        <v>0</v>
      </c>
      <c r="CF1466" s="60" t="n">
        <f aca="false">IF(BT1466=1,0,IFERROR(VLOOKUP(BR1466,'Gebinde-Kategorie'!$A$5:$M$45,5,0)+0,0))</f>
        <v>11</v>
      </c>
      <c r="CG1466" s="60" t="n">
        <f aca="false">IFERROR(IF(OR(BX1466=1,BX1466=2,BX1466=3),N(INDEX(Parameter!$I$5:$I$7,BX1466)),0),0)</f>
        <v>0</v>
      </c>
      <c r="CH1466" s="59" t="n">
        <f aca="false">IF(AND(Parameter!$B$21="Ja",ISNUMBER(W1466),N(X1466)&gt;0),IFERROR(N(INDEX(Parameter!$L$5:$L$7,W1466))*INDEX(Parameter!$E$5:$E$7,W1466)*X1466/SUMIFS($X$7:$X$1843,$W$7:$W$1843,W1466),0),0)</f>
        <v>0</v>
      </c>
    </row>
    <row r="1467" customFormat="false" ht="15" hidden="false" customHeight="false" outlineLevel="0" collapsed="false">
      <c r="A1467" s="55" t="s">
        <v>2562</v>
      </c>
      <c r="B1467" s="55" t="s">
        <v>2563</v>
      </c>
      <c r="C1467" s="55" t="s">
        <v>164</v>
      </c>
      <c r="D1467" s="55" t="s">
        <v>184</v>
      </c>
      <c r="E1467" s="55"/>
      <c r="F1467" s="55"/>
      <c r="G1467" s="56" t="n">
        <v>388.42</v>
      </c>
      <c r="H1467" s="57" t="n">
        <f aca="false">MAX(0,IF(AND(Parameter!$B$21="Ja",ISNUMBER(Y1467)),Y1467,IF(Parameter!$B$20="Jahresanfang 2025 + Export",BL1467+BK1467,BK1467)))</f>
        <v>0</v>
      </c>
      <c r="I1467" s="57" t="n">
        <f aca="false">H1467*G1467</f>
        <v>0</v>
      </c>
      <c r="J1467" s="57" t="n">
        <f aca="false">BN1467*Parameter!$B$18</f>
        <v>185</v>
      </c>
      <c r="K1467" s="58"/>
      <c r="L1467" s="59"/>
      <c r="M1467" s="57" t="n">
        <v>0</v>
      </c>
      <c r="N1467" s="57" t="n">
        <v>35</v>
      </c>
      <c r="O1467" s="60"/>
      <c r="P1467" s="55" t="s">
        <v>233</v>
      </c>
      <c r="Q1467" s="57" t="n">
        <v>60</v>
      </c>
      <c r="R1467" s="60" t="n">
        <f aca="false">IF(BT1467=1,0,IFERROR(VLOOKUP(BR1467,'Gebinde-Kategorie'!$A$5:$M$45,13,0)+0,0))</f>
        <v>26</v>
      </c>
      <c r="S1467" s="61"/>
      <c r="T1467" s="62"/>
      <c r="U1467" s="62"/>
      <c r="V1467" s="62"/>
      <c r="W1467" s="55"/>
      <c r="X1467" s="57"/>
      <c r="Y1467" s="57"/>
      <c r="Z1467" s="55" t="n">
        <f aca="false">IF(A1467="","",IF(AND(Parameter!$B$21="Ja",ISNUMBER(W1467)),W1467,IF(BV1467="2+3",IF(ISNUMBER(SEARCH("grosser Artikel",BO1467)),2,IFERROR(VLOOKUP(BR1467,Parameter!$F$35:$G$64,2,0),2)),IF(OR(BV1467="Nein",BV1467=""),"-",BV1467))))</f>
        <v>3</v>
      </c>
      <c r="AA1467" s="62"/>
      <c r="AB1467" s="63"/>
      <c r="AC1467" s="57" t="n">
        <f aca="false">AR1467</f>
        <v>120</v>
      </c>
      <c r="AD1467" s="57" t="n">
        <f aca="false">MAX(AR1467,H1467)</f>
        <v>120</v>
      </c>
      <c r="AE1467" s="64"/>
      <c r="AF1467" s="57" t="n">
        <f aca="false">IF(LEFT(Cockpit!$C$5,1)="A",H1467,IF(CA1467=1,CB1467,IF(LEFT(Cockpit!$C$5,1)="B",AJ1467,MAX(AJ1467,H1467))))</f>
        <v>0</v>
      </c>
      <c r="AG1467" s="57" t="n">
        <f aca="false">IF(BT1467=1,0,ROUNDUP(AF1467/BS1467,0))</f>
        <v>0</v>
      </c>
      <c r="AH1467" s="59" t="n">
        <f aca="false">IF(CH1467&gt;0,CH1467*MAX(1,AF1467/X1467),IF(BT1467=1,IF(AF1467&lt;=0,0,BW1467*MAX(1,IF(H1467&gt;0,AF1467/H1467,1))),IF(R1467&gt;0,AG1467/R1467,0))/MAX(0.1,N(Parameter!$M$21)))</f>
        <v>0</v>
      </c>
      <c r="AI1467" s="57" t="n">
        <f aca="false">AF1467*G1467</f>
        <v>0</v>
      </c>
      <c r="AJ1467" s="57" t="n">
        <f aca="false">ROUNDUP(MAX(J1467/IF(BZ1467&gt;0,BZ1467,MAX(0.1,N(Cockpit!$C$6))),CC1467)/BS1467,0)*BS1467</f>
        <v>120</v>
      </c>
      <c r="AK1467" s="58" t="n">
        <f aca="false">IF(AH1467&gt;0,J1467/AH1467,-1)</f>
        <v>-1</v>
      </c>
      <c r="AL1467" s="58" t="str">
        <f aca="false">IF(AND(OR(BY1467="L1",BY1467="L23"),AH1467&gt;0),SUMIFS($AH$7:$AH$1843,$BY$7:$BY$1843,BY1467,$AK$7:$AK$1843,"&gt;"&amp;AK1467)+SUMIFS($AH$7:$AH$1843,$BY$7:$BY$1843,BY1467,$AK$7:$AK$1843,AK1467,$BQ$7:$BQ$1843,"&lt;="&amp;BQ1467),"")</f>
        <v/>
      </c>
      <c r="AM1467" s="65" t="n">
        <f aca="false">IF(AL1467="",0,MAX(0,MIN(1,(IF(BY1467="L1",Parameter!$E$5,Parameter!$E$6+Parameter!$E$7)-(AL1467-AH1467))/AH1467)))</f>
        <v>0</v>
      </c>
      <c r="AN1467" s="57" t="n">
        <f aca="false">IF(LEFT(Cockpit!$I$5,1)="A",H1467,IF(CA1467=1,CB1467,IF(LEFT(Cockpit!$I$5,1)="B",AR1467,MAX(AR1467,H1467))))</f>
        <v>120</v>
      </c>
      <c r="AO1467" s="57" t="n">
        <f aca="false">IF(BT1467=1,0,ROUNDUP(AN1467/BS1467,0))</f>
        <v>2</v>
      </c>
      <c r="AP1467" s="59" t="n">
        <f aca="false">IF(CH1467&gt;0,CH1467*MAX(1,AN1467/X1467),IF(BT1467=1,IF(AN1467&lt;=0,0,BW1467*MAX(1,IF(H1467&gt;0,AN1467/H1467,1))),IF(R1467&gt;0,AO1467/R1467,0))/MAX(0.1,N(Parameter!$M$21)))</f>
        <v>0.0769230769230769</v>
      </c>
      <c r="AQ1467" s="57" t="n">
        <f aca="false">AN1467*G1467</f>
        <v>46610.4</v>
      </c>
      <c r="AR1467" s="57" t="n">
        <f aca="false">ROUNDUP(MAX(J1467/IF(BZ1467&gt;0,BZ1467,MAX(0.1,N(Cockpit!$I$6))),CC1467)/BS1467,0)*BS1467</f>
        <v>120</v>
      </c>
      <c r="AS1467" s="58" t="n">
        <f aca="false">IF(AP1467&gt;0,J1467/AP1467,-1)</f>
        <v>2405</v>
      </c>
      <c r="AT1467" s="58" t="n">
        <f aca="false">IF(AND(OR(BY1467="L1",BY1467="L23"),AP1467&gt;0),SUMIFS($AP$7:$AP$1843,$BY$7:$BY$1843,BY1467,$AS$7:$AS$1843,"&gt;"&amp;AS1467)+SUMIFS($AP$7:$AP$1843,$BY$7:$BY$1843,BY1467,$AS$7:$AS$1843,AS1467,$BQ$7:$BQ$1843,"&lt;="&amp;BQ1467),"")</f>
        <v>17.3533833316442</v>
      </c>
      <c r="AU1467" s="65" t="n">
        <f aca="false">IF(AT1467="",0,MAX(0,MIN(1,(IF(BY1467="L1",Parameter!$E$5,Parameter!$E$6+Parameter!$E$7)-(AT1467-AP1467))/AP1467)))</f>
        <v>1</v>
      </c>
      <c r="AV1467" s="57" t="n">
        <f aca="false">IF(LEFT(Cockpit!$O$5,1)="A",H1467,IF(CA1467=1,CB1467,IF(LEFT(Cockpit!$O$5,1)="B",AZ1467,MAX(AZ1467,H1467))))</f>
        <v>120</v>
      </c>
      <c r="AW1467" s="57" t="n">
        <f aca="false">IF(BT1467=1,0,ROUNDUP(AV1467/BS1467,0))</f>
        <v>2</v>
      </c>
      <c r="AX1467" s="59" t="n">
        <f aca="false">IF(CH1467&gt;0,CH1467*MAX(1,AV1467/X1467),IF(BT1467=1,IF(AV1467&lt;=0,0,BW1467*MAX(1,IF(H1467&gt;0,AV1467/H1467,1))),IF(R1467&gt;0,AW1467/R1467,0))/MAX(0.1,N(Parameter!$M$21)))</f>
        <v>0.0769230769230769</v>
      </c>
      <c r="AY1467" s="57" t="n">
        <f aca="false">AV1467*G1467</f>
        <v>46610.4</v>
      </c>
      <c r="AZ1467" s="57" t="n">
        <f aca="false">ROUNDUP(MAX(J1467/IF(BZ1467&gt;0,BZ1467,MAX(0.1,N(Cockpit!$O$6))),CC1467)/BS1467,0)*BS1467</f>
        <v>120</v>
      </c>
      <c r="BA1467" s="58" t="n">
        <f aca="false">IF(AX1467&gt;0,J1467/AX1467,-1)</f>
        <v>2405</v>
      </c>
      <c r="BB1467" s="58" t="n">
        <f aca="false">IF(AND(OR(BY1467="L1",BY1467="L23"),AX1467&gt;0),SUMIFS($AX$7:$AX$1843,$BY$7:$BY$1843,BY1467,$BA$7:$BA$1843,"&gt;"&amp;BA1467)+SUMIFS($AX$7:$AX$1843,$BY$7:$BY$1843,BY1467,$BA$7:$BA$1843,BA1467,$BQ$7:$BQ$1843,"&lt;="&amp;BQ1467),"")</f>
        <v>15.9268099050708</v>
      </c>
      <c r="BC1467" s="65" t="n">
        <f aca="false">IF(BB1467="",0,MAX(0,MIN(1,(IF(BY1467="L1",Parameter!$E$5,Parameter!$E$6+Parameter!$E$7)-(BB1467-AX1467))/AX1467)))</f>
        <v>1</v>
      </c>
      <c r="BD1467" s="55" t="str">
        <f aca="false">IF(AH1467&lt;=0,"",IF(BY1467="Aussen","Aussenlager",IF(BY1467="-","Nicht im Lift",IF(AM1467&gt;=1,"Lift",IF(AM1467&lt;=0,"Aussenlager","teilweise")))))</f>
        <v/>
      </c>
      <c r="BE1467" s="55" t="str">
        <f aca="false">IF(AP1467&lt;=0,"",IF(BY1467="Aussen","Aussenlager",IF(BY1467="-","Nicht im Lift",IF(AU1467&gt;=1,"Lift",IF(AU1467&lt;=0,"Aussenlager","teilweise")))))</f>
        <v>Lift</v>
      </c>
      <c r="BF1467" s="55" t="str">
        <f aca="false">IF(AX1467&lt;=0,"",IF(BY1467="Aussen","Aussenlager",IF(BY1467="-","Nicht im Lift",IF(BC1467&gt;=1,"Lift",IF(BC1467&lt;=0,"Aussenlager","teilweise")))))</f>
        <v>Lift</v>
      </c>
      <c r="BG1467" s="55" t="str">
        <f aca="false">IF(A1467="","",IF(BP1467=1,"Neu; ","")&amp;IF(AND(BP1467=0,BK1467&lt;0),"negativer Bestand (Export "&amp;BK1467&amp;"); ","")&amp;IF(J1467&lt;=0,"Kein Verbrauch; ","")&amp;IF(CH1467&gt;0,"Lift "&amp;W1467&amp;" lt. Liftbericht (Fach "&amp;X1467&amp;" Stk); ",IF(BU1467=1,"Gebinde geschätzt ("&amp;T1467&amp;"); ",IF(BT1467=1,"Lose – Tablare geschätzt; ","")))&amp;IF(H1467&gt;AR1467,"Überbestand "&amp;ROUND(H1467-AR1467,0)&amp;" Stk / CHF "&amp;ROUND((H1467-AR1467)*G1467,0)&amp;"; ","")&amp;IF(AND(CA1467=1,CB1467&lt;CC1467),"MAX &lt; MB+LG; ","")&amp;IF(AND(CG1467&gt;0,CF1467*10&gt;CG1467),"zu hoch für Tablar; ","")&amp;IF(AND(BP1467=0,OR(CA1467=1,AA1467&lt;&gt;"",U1467&lt;&gt;"",V1467&lt;&gt;"",AB1467&lt;&gt;"")),"manuell übersteuert; ","")&amp;IF(AND(BT1467=0,R1467=0),"Gebinde unbekannt / Stellmass fehlt; ","")&amp;IF(AND(BT1467=0,N(V1467)&lt;=0,N(Q1467)&lt;=0),"Menge pro Gebinde fehlt (Ist = 1 Gebinde); ","")&amp;BO1467)</f>
        <v>negativer Bestand (Export -86); </v>
      </c>
      <c r="BH1467" s="55"/>
      <c r="BI1467" s="55"/>
      <c r="BJ1467" s="62"/>
      <c r="BK1467" s="57" t="n">
        <v>-86</v>
      </c>
      <c r="BL1467" s="57" t="n">
        <v>0</v>
      </c>
      <c r="BM1467" s="56" t="n">
        <v>-33137.78</v>
      </c>
      <c r="BN1467" s="57" t="n">
        <v>185</v>
      </c>
      <c r="BO1467" s="55"/>
      <c r="BP1467" s="60" t="n">
        <v>0</v>
      </c>
      <c r="BQ1467" s="60" t="n">
        <v>1467</v>
      </c>
      <c r="BR1467" s="55" t="str">
        <f aca="false">IF(U1467&lt;&gt;"",UPPER(TRIM(U1467)),IF(BU1467=1,UPPER(VLOOKUP(T1467,Parameter!$I$27:$K$29,2,0)),IF(P1467="","LOSE",P1467)))</f>
        <v>S52</v>
      </c>
      <c r="BS1467" s="57" t="n">
        <f aca="false">IF(BR1467="LOSE",1,IF(N(V1467)&gt;0,V1467,IF(BU1467=1,MAX(1,N(VLOOKUP(T1467,Parameter!$I$27:$K$29,3,0)),H1467,N(N1467)),IF(N(Q1467)&gt;0,Q1467,MAX(1,H1467)))))</f>
        <v>60</v>
      </c>
      <c r="BT1467" s="60" t="n">
        <f aca="false">IF(BR1467="LOSE",1,0)</f>
        <v>0</v>
      </c>
      <c r="BU1467" s="60" t="n">
        <f aca="false">IF(AND(U1467="",OR(P1467="",P1467="LOSE"),T1467&lt;&gt;"",N(S1467)&lt;=0,ISNUMBER(MATCH(T1467,Parameter!$I$27:$I$29,0))),1,0)</f>
        <v>0</v>
      </c>
      <c r="BV1467" s="55" t="str">
        <f aca="false">IF(AND(Parameter!$B$19="Ja",E1467&lt;&gt;"",ISNUMBER(MATCH(E1467,Parameter!$I$35:$I$52,0))),VLOOKUP(E1467,Parameter!$I$35:$J$52,2,0),IFERROR(VLOOKUP(D1467,Parameter!$A$35:$C$64,2,0),"Nein"))</f>
        <v>2+3</v>
      </c>
      <c r="BW1467" s="59" t="n">
        <f aca="false">IF(BT1467=0,0,IF(N(S1467)&gt;0,S1467,IFERROR(VLOOKUP(D1467,Parameter!$A$35:$C$64,3,0)+0,0)))</f>
        <v>0</v>
      </c>
      <c r="BX1467" s="55" t="n">
        <f aca="false">IF(AA1467&lt;&gt;"",AA1467,Z1467)</f>
        <v>3</v>
      </c>
      <c r="BY1467" s="55" t="str">
        <f aca="false">IF(BX1467=1,"L1",IF(OR(BX1467=2,BX1467=3),"L23",IF(BX1467="Aussen","Aussen","-")))</f>
        <v>L23</v>
      </c>
      <c r="BZ1467" s="66" t="n">
        <f aca="false">IF(N(AB1467)&gt;0,AB1467,0)</f>
        <v>0</v>
      </c>
      <c r="CA1467" s="60" t="n">
        <f aca="false">IF(ISNUMBER(AE1467),1,0)</f>
        <v>0</v>
      </c>
      <c r="CB1467" s="57" t="n">
        <f aca="false">N(AE1467)</f>
        <v>0</v>
      </c>
      <c r="CC1467" s="57" t="n">
        <f aca="false">N(M1467)+N(N1467)</f>
        <v>35</v>
      </c>
      <c r="CD1467" s="57" t="n">
        <f aca="false">ROUNDUP(H1467/BS1467,0)</f>
        <v>0</v>
      </c>
      <c r="CE1467" s="57" t="n">
        <f aca="false">ROUNDUP(CB1467/BS1467,0)</f>
        <v>0</v>
      </c>
      <c r="CF1467" s="60" t="n">
        <f aca="false">IF(BT1467=1,0,IFERROR(VLOOKUP(BR1467,'Gebinde-Kategorie'!$A$5:$M$45,5,0)+0,0))</f>
        <v>21</v>
      </c>
      <c r="CG1467" s="60" t="n">
        <f aca="false">IFERROR(IF(OR(BX1467=1,BX1467=2,BX1467=3),N(INDEX(Parameter!$I$5:$I$7,BX1467)),0),0)</f>
        <v>0</v>
      </c>
      <c r="CH1467" s="59" t="n">
        <f aca="false">IF(AND(Parameter!$B$21="Ja",ISNUMBER(W1467),N(X1467)&gt;0),IFERROR(N(INDEX(Parameter!$L$5:$L$7,W1467))*INDEX(Parameter!$E$5:$E$7,W1467)*X1467/SUMIFS($X$7:$X$1843,$W$7:$W$1843,W1467),0),0)</f>
        <v>0</v>
      </c>
    </row>
    <row r="1468" customFormat="false" ht="15" hidden="false" customHeight="false" outlineLevel="0" collapsed="false">
      <c r="A1468" s="55" t="s">
        <v>2564</v>
      </c>
      <c r="B1468" s="55" t="s">
        <v>196</v>
      </c>
      <c r="C1468" s="55" t="s">
        <v>456</v>
      </c>
      <c r="D1468" s="55" t="s">
        <v>173</v>
      </c>
      <c r="E1468" s="55" t="s">
        <v>166</v>
      </c>
      <c r="F1468" s="55"/>
      <c r="G1468" s="56" t="n">
        <v>5022.3</v>
      </c>
      <c r="H1468" s="57" t="n">
        <f aca="false">MAX(0,IF(AND(Parameter!$B$21="Ja",ISNUMBER(Y1468)),Y1468,IF(Parameter!$B$20="Jahresanfang 2025 + Export",BL1468+BK1468,BK1468)))</f>
        <v>0</v>
      </c>
      <c r="I1468" s="57" t="n">
        <f aca="false">H1468*G1468</f>
        <v>0</v>
      </c>
      <c r="J1468" s="57" t="n">
        <f aca="false">BN1468*Parameter!$B$18</f>
        <v>13</v>
      </c>
      <c r="K1468" s="58"/>
      <c r="L1468" s="59"/>
      <c r="M1468" s="57" t="n">
        <v>0</v>
      </c>
      <c r="N1468" s="57" t="n">
        <v>1</v>
      </c>
      <c r="O1468" s="60"/>
      <c r="P1468" s="55" t="s">
        <v>168</v>
      </c>
      <c r="Q1468" s="57"/>
      <c r="R1468" s="60" t="n">
        <f aca="false">IF(BT1468=1,0,IFERROR(VLOOKUP(BR1468,'Gebinde-Kategorie'!$A$5:$M$45,13,0)+0,0))</f>
        <v>12</v>
      </c>
      <c r="S1468" s="61"/>
      <c r="T1468" s="62" t="s">
        <v>179</v>
      </c>
      <c r="U1468" s="62"/>
      <c r="V1468" s="62"/>
      <c r="W1468" s="55"/>
      <c r="X1468" s="57"/>
      <c r="Y1468" s="57"/>
      <c r="Z1468" s="55" t="n">
        <f aca="false">IF(A1468="","",IF(AND(Parameter!$B$21="Ja",ISNUMBER(W1468)),W1468,IF(BV1468="2+3",IF(ISNUMBER(SEARCH("grosser Artikel",BO1468)),2,IFERROR(VLOOKUP(BR1468,Parameter!$F$35:$G$64,2,0),2)),IF(OR(BV1468="Nein",BV1468=""),"-",BV1468))))</f>
        <v>1</v>
      </c>
      <c r="AA1468" s="62"/>
      <c r="AB1468" s="63"/>
      <c r="AC1468" s="57" t="n">
        <f aca="false">AR1468</f>
        <v>8</v>
      </c>
      <c r="AD1468" s="57" t="n">
        <f aca="false">MAX(AR1468,H1468)</f>
        <v>8</v>
      </c>
      <c r="AE1468" s="64"/>
      <c r="AF1468" s="57" t="n">
        <f aca="false">IF(LEFT(Cockpit!$C$5,1)="A",H1468,IF(CA1468=1,CB1468,IF(LEFT(Cockpit!$C$5,1)="B",AJ1468,MAX(AJ1468,H1468))))</f>
        <v>0</v>
      </c>
      <c r="AG1468" s="57" t="n">
        <f aca="false">IF(BT1468=1,0,ROUNDUP(AF1468/BS1468,0))</f>
        <v>0</v>
      </c>
      <c r="AH1468" s="59" t="n">
        <f aca="false">IF(CH1468&gt;0,CH1468*MAX(1,AF1468/X1468),IF(BT1468=1,IF(AF1468&lt;=0,0,BW1468*MAX(1,IF(H1468&gt;0,AF1468/H1468,1))),IF(R1468&gt;0,AG1468/R1468,0))/MAX(0.1,N(Parameter!$M$21)))</f>
        <v>0</v>
      </c>
      <c r="AI1468" s="57" t="n">
        <f aca="false">AF1468*G1468</f>
        <v>0</v>
      </c>
      <c r="AJ1468" s="57" t="n">
        <f aca="false">ROUNDUP(MAX(J1468/IF(BZ1468&gt;0,BZ1468,MAX(0.1,N(Cockpit!$C$6))),CC1468)/BS1468,0)*BS1468</f>
        <v>8</v>
      </c>
      <c r="AK1468" s="58" t="n">
        <f aca="false">IF(AH1468&gt;0,J1468/AH1468,-1)</f>
        <v>-1</v>
      </c>
      <c r="AL1468" s="58" t="str">
        <f aca="false">IF(AND(OR(BY1468="L1",BY1468="L23"),AH1468&gt;0),SUMIFS($AH$7:$AH$1843,$BY$7:$BY$1843,BY1468,$AK$7:$AK$1843,"&gt;"&amp;AK1468)+SUMIFS($AH$7:$AH$1843,$BY$7:$BY$1843,BY1468,$AK$7:$AK$1843,AK1468,$BQ$7:$BQ$1843,"&lt;="&amp;BQ1468),"")</f>
        <v/>
      </c>
      <c r="AM1468" s="65" t="n">
        <f aca="false">IF(AL1468="",0,MAX(0,MIN(1,(IF(BY1468="L1",Parameter!$E$5,Parameter!$E$6+Parameter!$E$7)-(AL1468-AH1468))/AH1468)))</f>
        <v>0</v>
      </c>
      <c r="AN1468" s="57" t="n">
        <f aca="false">IF(LEFT(Cockpit!$I$5,1)="A",H1468,IF(CA1468=1,CB1468,IF(LEFT(Cockpit!$I$5,1)="B",AR1468,MAX(AR1468,H1468))))</f>
        <v>8</v>
      </c>
      <c r="AO1468" s="57" t="n">
        <f aca="false">IF(BT1468=1,0,ROUNDUP(AN1468/BS1468,0))</f>
        <v>2</v>
      </c>
      <c r="AP1468" s="59" t="n">
        <f aca="false">IF(CH1468&gt;0,CH1468*MAX(1,AN1468/X1468),IF(BT1468=1,IF(AN1468&lt;=0,0,BW1468*MAX(1,IF(H1468&gt;0,AN1468/H1468,1))),IF(R1468&gt;0,AO1468/R1468,0))/MAX(0.1,N(Parameter!$M$21)))</f>
        <v>0.166666666666667</v>
      </c>
      <c r="AQ1468" s="57" t="n">
        <f aca="false">AN1468*G1468</f>
        <v>40178.4</v>
      </c>
      <c r="AR1468" s="57" t="n">
        <f aca="false">ROUNDUP(MAX(J1468/IF(BZ1468&gt;0,BZ1468,MAX(0.1,N(Cockpit!$I$6))),CC1468)/BS1468,0)*BS1468</f>
        <v>8</v>
      </c>
      <c r="AS1468" s="58" t="n">
        <f aca="false">IF(AP1468&gt;0,J1468/AP1468,-1)</f>
        <v>78</v>
      </c>
      <c r="AT1468" s="58" t="n">
        <f aca="false">IF(AND(OR(BY1468="L1",BY1468="L23"),AP1468&gt;0),SUMIFS($AP$7:$AP$1843,$BY$7:$BY$1843,BY1468,$AS$7:$AS$1843,"&gt;"&amp;AS1468)+SUMIFS($AP$7:$AP$1843,$BY$7:$BY$1843,BY1468,$AS$7:$AS$1843,AS1468,$BQ$7:$BQ$1843,"&lt;="&amp;BQ1468),"")</f>
        <v>10.8277591973244</v>
      </c>
      <c r="AU1468" s="65" t="n">
        <f aca="false">IF(AT1468="",0,MAX(0,MIN(1,(IF(BY1468="L1",Parameter!$E$5,Parameter!$E$6+Parameter!$E$7)-(AT1468-AP1468))/AP1468)))</f>
        <v>1</v>
      </c>
      <c r="AV1468" s="57" t="n">
        <f aca="false">IF(LEFT(Cockpit!$O$5,1)="A",H1468,IF(CA1468=1,CB1468,IF(LEFT(Cockpit!$O$5,1)="B",AZ1468,MAX(AZ1468,H1468))))</f>
        <v>8</v>
      </c>
      <c r="AW1468" s="57" t="n">
        <f aca="false">IF(BT1468=1,0,ROUNDUP(AV1468/BS1468,0))</f>
        <v>2</v>
      </c>
      <c r="AX1468" s="59" t="n">
        <f aca="false">IF(CH1468&gt;0,CH1468*MAX(1,AV1468/X1468),IF(BT1468=1,IF(AV1468&lt;=0,0,BW1468*MAX(1,IF(H1468&gt;0,AV1468/H1468,1))),IF(R1468&gt;0,AW1468/R1468,0))/MAX(0.1,N(Parameter!$M$21)))</f>
        <v>0.166666666666667</v>
      </c>
      <c r="AY1468" s="57" t="n">
        <f aca="false">AV1468*G1468</f>
        <v>40178.4</v>
      </c>
      <c r="AZ1468" s="57" t="n">
        <f aca="false">ROUNDUP(MAX(J1468/IF(BZ1468&gt;0,BZ1468,MAX(0.1,N(Cockpit!$O$6))),CC1468)/BS1468,0)*BS1468</f>
        <v>8</v>
      </c>
      <c r="BA1468" s="58" t="n">
        <f aca="false">IF(AX1468&gt;0,J1468/AX1468,-1)</f>
        <v>78</v>
      </c>
      <c r="BB1468" s="58" t="n">
        <f aca="false">IF(AND(OR(BY1468="L1",BY1468="L23"),AX1468&gt;0),SUMIFS($AX$7:$AX$1843,$BY$7:$BY$1843,BY1468,$BA$7:$BA$1843,"&gt;"&amp;BA1468)+SUMIFS($AX$7:$AX$1843,$BY$7:$BY$1843,BY1468,$BA$7:$BA$1843,BA1468,$BQ$7:$BQ$1843,"&lt;="&amp;BQ1468),"")</f>
        <v>9.28929765886288</v>
      </c>
      <c r="BC1468" s="65" t="n">
        <f aca="false">IF(BB1468="",0,MAX(0,MIN(1,(IF(BY1468="L1",Parameter!$E$5,Parameter!$E$6+Parameter!$E$7)-(BB1468-AX1468))/AX1468)))</f>
        <v>1</v>
      </c>
      <c r="BD1468" s="55" t="str">
        <f aca="false">IF(AH1468&lt;=0,"",IF(BY1468="Aussen","Aussenlager",IF(BY1468="-","Nicht im Lift",IF(AM1468&gt;=1,"Lift",IF(AM1468&lt;=0,"Aussenlager","teilweise")))))</f>
        <v/>
      </c>
      <c r="BE1468" s="55" t="str">
        <f aca="false">IF(AP1468&lt;=0,"",IF(BY1468="Aussen","Aussenlager",IF(BY1468="-","Nicht im Lift",IF(AU1468&gt;=1,"Lift",IF(AU1468&lt;=0,"Aussenlager","teilweise")))))</f>
        <v>Lift</v>
      </c>
      <c r="BF1468" s="55" t="str">
        <f aca="false">IF(AX1468&lt;=0,"",IF(BY1468="Aussen","Aussenlager",IF(BY1468="-","Nicht im Lift",IF(BC1468&gt;=1,"Lift",IF(BC1468&lt;=0,"Aussenlager","teilweise")))))</f>
        <v>Lift</v>
      </c>
      <c r="BG1468" s="55" t="str">
        <f aca="false">IF(A1468="","",IF(BP1468=1,"Neu; ","")&amp;IF(AND(BP1468=0,BK1468&lt;0),"negativer Bestand (Export "&amp;BK1468&amp;"); ","")&amp;IF(J1468&lt;=0,"Kein Verbrauch; ","")&amp;IF(CH1468&gt;0,"Lift "&amp;W1468&amp;" lt. Liftbericht (Fach "&amp;X1468&amp;" Stk); ",IF(BU1468=1,"Gebinde geschätzt ("&amp;T1468&amp;"); ",IF(BT1468=1,"Lose – Tablare geschätzt; ","")))&amp;IF(H1468&gt;AR1468,"Überbestand "&amp;ROUND(H1468-AR1468,0)&amp;" Stk / CHF "&amp;ROUND((H1468-AR1468)*G1468,0)&amp;"; ","")&amp;IF(AND(CA1468=1,CB1468&lt;CC1468),"MAX &lt; MB+LG; ","")&amp;IF(AND(CG1468&gt;0,CF1468*10&gt;CG1468),"zu hoch für Tablar; ","")&amp;IF(AND(BP1468=0,OR(CA1468=1,AA1468&lt;&gt;"",U1468&lt;&gt;"",V1468&lt;&gt;"",AB1468&lt;&gt;"")),"manuell übersteuert; ","")&amp;IF(AND(BT1468=0,R1468=0),"Gebinde unbekannt / Stellmass fehlt; ","")&amp;IF(AND(BT1468=0,N(V1468)&lt;=0,N(Q1468)&lt;=0),"Menge pro Gebinde fehlt (Ist = 1 Gebinde); ","")&amp;BO1468)</f>
        <v>negativer Bestand (Export -13); Gebinde geschätzt (Mittel); Menge pro Gebinde fehlt (Ist = 1 Gebinde); </v>
      </c>
      <c r="BH1468" s="55"/>
      <c r="BI1468" s="55"/>
      <c r="BJ1468" s="62"/>
      <c r="BK1468" s="57" t="n">
        <v>-13</v>
      </c>
      <c r="BL1468" s="57" t="n">
        <v>0</v>
      </c>
      <c r="BM1468" s="56" t="n">
        <v>-64779</v>
      </c>
      <c r="BN1468" s="57" t="n">
        <v>13</v>
      </c>
      <c r="BO1468" s="55"/>
      <c r="BP1468" s="60" t="n">
        <v>0</v>
      </c>
      <c r="BQ1468" s="60" t="n">
        <v>1468</v>
      </c>
      <c r="BR1468" s="55" t="str">
        <f aca="false">IF(U1468&lt;&gt;"",UPPER(TRIM(U1468)),IF(BU1468=1,UPPER(VLOOKUP(T1468,Parameter!$I$27:$K$29,2,0)),IF(P1468="","LOSE",P1468)))</f>
        <v>S61</v>
      </c>
      <c r="BS1468" s="57" t="n">
        <f aca="false">IF(BR1468="LOSE",1,IF(N(V1468)&gt;0,V1468,IF(BU1468=1,MAX(1,N(VLOOKUP(T1468,Parameter!$I$27:$K$29,3,0)),H1468,N(N1468)),IF(N(Q1468)&gt;0,Q1468,MAX(1,H1468)))))</f>
        <v>4</v>
      </c>
      <c r="BT1468" s="60" t="n">
        <f aca="false">IF(BR1468="LOSE",1,0)</f>
        <v>0</v>
      </c>
      <c r="BU1468" s="60" t="n">
        <f aca="false">IF(AND(U1468="",OR(P1468="",P1468="LOSE"),T1468&lt;&gt;"",N(S1468)&lt;=0,ISNUMBER(MATCH(T1468,Parameter!$I$27:$I$29,0))),1,0)</f>
        <v>1</v>
      </c>
      <c r="BV1468" s="55" t="n">
        <f aca="false">IF(AND(Parameter!$B$19="Ja",E1468&lt;&gt;"",ISNUMBER(MATCH(E1468,Parameter!$I$35:$I$52,0))),VLOOKUP(E1468,Parameter!$I$35:$J$52,2,0),IFERROR(VLOOKUP(D1468,Parameter!$A$35:$C$64,2,0),"Nein"))</f>
        <v>1</v>
      </c>
      <c r="BW1468" s="59" t="n">
        <f aca="false">IF(BT1468=0,0,IF(N(S1468)&gt;0,S1468,IFERROR(VLOOKUP(D1468,Parameter!$A$35:$C$64,3,0)+0,0)))</f>
        <v>0</v>
      </c>
      <c r="BX1468" s="55" t="n">
        <f aca="false">IF(AA1468&lt;&gt;"",AA1468,Z1468)</f>
        <v>1</v>
      </c>
      <c r="BY1468" s="55" t="str">
        <f aca="false">IF(BX1468=1,"L1",IF(OR(BX1468=2,BX1468=3),"L23",IF(BX1468="Aussen","Aussen","-")))</f>
        <v>L1</v>
      </c>
      <c r="BZ1468" s="66" t="n">
        <f aca="false">IF(N(AB1468)&gt;0,AB1468,0)</f>
        <v>0</v>
      </c>
      <c r="CA1468" s="60" t="n">
        <f aca="false">IF(ISNUMBER(AE1468),1,0)</f>
        <v>0</v>
      </c>
      <c r="CB1468" s="57" t="n">
        <f aca="false">N(AE1468)</f>
        <v>0</v>
      </c>
      <c r="CC1468" s="57" t="n">
        <f aca="false">N(M1468)+N(N1468)</f>
        <v>1</v>
      </c>
      <c r="CD1468" s="57" t="n">
        <f aca="false">ROUNDUP(H1468/BS1468,0)</f>
        <v>0</v>
      </c>
      <c r="CE1468" s="57" t="n">
        <f aca="false">ROUNDUP(CB1468/BS1468,0)</f>
        <v>0</v>
      </c>
      <c r="CF1468" s="60" t="n">
        <f aca="false">IF(BT1468=1,0,IFERROR(VLOOKUP(BR1468,'Gebinde-Kategorie'!$A$5:$M$45,5,0)+0,0))</f>
        <v>11</v>
      </c>
      <c r="CG1468" s="60" t="n">
        <f aca="false">IFERROR(IF(OR(BX1468=1,BX1468=2,BX1468=3),N(INDEX(Parameter!$I$5:$I$7,BX1468)),0),0)</f>
        <v>0</v>
      </c>
      <c r="CH1468" s="59" t="n">
        <f aca="false">IF(AND(Parameter!$B$21="Ja",ISNUMBER(W1468),N(X1468)&gt;0),IFERROR(N(INDEX(Parameter!$L$5:$L$7,W1468))*INDEX(Parameter!$E$5:$E$7,W1468)*X1468/SUMIFS($X$7:$X$1843,$W$7:$W$1843,W1468),0),0)</f>
        <v>0</v>
      </c>
    </row>
    <row r="1469" customFormat="false" ht="15" hidden="false" customHeight="false" outlineLevel="0" collapsed="false">
      <c r="A1469" s="55" t="s">
        <v>2565</v>
      </c>
      <c r="B1469" s="55" t="s">
        <v>1383</v>
      </c>
      <c r="C1469" s="55" t="s">
        <v>164</v>
      </c>
      <c r="D1469" s="55" t="s">
        <v>173</v>
      </c>
      <c r="E1469" s="55" t="s">
        <v>2418</v>
      </c>
      <c r="F1469" s="55"/>
      <c r="G1469" s="56" t="n">
        <v>11412.99</v>
      </c>
      <c r="H1469" s="57" t="n">
        <f aca="false">MAX(0,IF(AND(Parameter!$B$21="Ja",ISNUMBER(Y1469)),Y1469,IF(Parameter!$B$20="Jahresanfang 2025 + Export",BL1469+BK1469,BK1469)))</f>
        <v>0</v>
      </c>
      <c r="I1469" s="57" t="n">
        <f aca="false">H1469*G1469</f>
        <v>0</v>
      </c>
      <c r="J1469" s="57" t="n">
        <f aca="false">BN1469*Parameter!$B$18</f>
        <v>12</v>
      </c>
      <c r="K1469" s="58"/>
      <c r="L1469" s="59"/>
      <c r="M1469" s="57" t="n">
        <v>2</v>
      </c>
      <c r="N1469" s="57" t="n">
        <v>1</v>
      </c>
      <c r="O1469" s="60"/>
      <c r="P1469" s="55" t="s">
        <v>168</v>
      </c>
      <c r="Q1469" s="57"/>
      <c r="R1469" s="60" t="n">
        <f aca="false">IF(BT1469=1,0,IFERROR(VLOOKUP(BR1469,'Gebinde-Kategorie'!$A$5:$M$45,13,0)+0,0))</f>
        <v>3</v>
      </c>
      <c r="S1469" s="61"/>
      <c r="T1469" s="62" t="s">
        <v>189</v>
      </c>
      <c r="U1469" s="62"/>
      <c r="V1469" s="62"/>
      <c r="W1469" s="55"/>
      <c r="X1469" s="57"/>
      <c r="Y1469" s="57"/>
      <c r="Z1469" s="55" t="str">
        <f aca="false">IF(A1469="","",IF(AND(Parameter!$B$21="Ja",ISNUMBER(W1469)),W1469,IF(BV1469="2+3",IF(ISNUMBER(SEARCH("grosser Artikel",BO1469)),2,IFERROR(VLOOKUP(BR1469,Parameter!$F$35:$G$64,2,0),2)),IF(OR(BV1469="Nein",BV1469=""),"-",BV1469))))</f>
        <v>-</v>
      </c>
      <c r="AA1469" s="62"/>
      <c r="AB1469" s="63"/>
      <c r="AC1469" s="57" t="n">
        <f aca="false">AR1469</f>
        <v>6</v>
      </c>
      <c r="AD1469" s="57" t="n">
        <f aca="false">MAX(AR1469,H1469)</f>
        <v>6</v>
      </c>
      <c r="AE1469" s="64"/>
      <c r="AF1469" s="57" t="n">
        <f aca="false">IF(LEFT(Cockpit!$C$5,1)="A",H1469,IF(CA1469=1,CB1469,IF(LEFT(Cockpit!$C$5,1)="B",AJ1469,MAX(AJ1469,H1469))))</f>
        <v>0</v>
      </c>
      <c r="AG1469" s="57" t="n">
        <f aca="false">IF(BT1469=1,0,ROUNDUP(AF1469/BS1469,0))</f>
        <v>0</v>
      </c>
      <c r="AH1469" s="59" t="n">
        <f aca="false">IF(CH1469&gt;0,CH1469*MAX(1,AF1469/X1469),IF(BT1469=1,IF(AF1469&lt;=0,0,BW1469*MAX(1,IF(H1469&gt;0,AF1469/H1469,1))),IF(R1469&gt;0,AG1469/R1469,0))/MAX(0.1,N(Parameter!$M$21)))</f>
        <v>0</v>
      </c>
      <c r="AI1469" s="57" t="n">
        <f aca="false">AF1469*G1469</f>
        <v>0</v>
      </c>
      <c r="AJ1469" s="57" t="n">
        <f aca="false">ROUNDUP(MAX(J1469/IF(BZ1469&gt;0,BZ1469,MAX(0.1,N(Cockpit!$C$6))),CC1469)/BS1469,0)*BS1469</f>
        <v>6</v>
      </c>
      <c r="AK1469" s="58" t="n">
        <f aca="false">IF(AH1469&gt;0,J1469/AH1469,-1)</f>
        <v>-1</v>
      </c>
      <c r="AL1469" s="58" t="str">
        <f aca="false">IF(AND(OR(BY1469="L1",BY1469="L23"),AH1469&gt;0),SUMIFS($AH$7:$AH$1843,$BY$7:$BY$1843,BY1469,$AK$7:$AK$1843,"&gt;"&amp;AK1469)+SUMIFS($AH$7:$AH$1843,$BY$7:$BY$1843,BY1469,$AK$7:$AK$1843,AK1469,$BQ$7:$BQ$1843,"&lt;="&amp;BQ1469),"")</f>
        <v/>
      </c>
      <c r="AM1469" s="65" t="n">
        <f aca="false">IF(AL1469="",0,MAX(0,MIN(1,(IF(BY1469="L1",Parameter!$E$5,Parameter!$E$6+Parameter!$E$7)-(AL1469-AH1469))/AH1469)))</f>
        <v>0</v>
      </c>
      <c r="AN1469" s="57" t="n">
        <f aca="false">IF(LEFT(Cockpit!$I$5,1)="A",H1469,IF(CA1469=1,CB1469,IF(LEFT(Cockpit!$I$5,1)="B",AR1469,MAX(AR1469,H1469))))</f>
        <v>6</v>
      </c>
      <c r="AO1469" s="57" t="n">
        <f aca="false">IF(BT1469=1,0,ROUNDUP(AN1469/BS1469,0))</f>
        <v>3</v>
      </c>
      <c r="AP1469" s="59" t="n">
        <f aca="false">IF(CH1469&gt;0,CH1469*MAX(1,AN1469/X1469),IF(BT1469=1,IF(AN1469&lt;=0,0,BW1469*MAX(1,IF(H1469&gt;0,AN1469/H1469,1))),IF(R1469&gt;0,AO1469/R1469,0))/MAX(0.1,N(Parameter!$M$21)))</f>
        <v>1</v>
      </c>
      <c r="AQ1469" s="57" t="n">
        <f aca="false">AN1469*G1469</f>
        <v>68477.94</v>
      </c>
      <c r="AR1469" s="57" t="n">
        <f aca="false">ROUNDUP(MAX(J1469/IF(BZ1469&gt;0,BZ1469,MAX(0.1,N(Cockpit!$I$6))),CC1469)/BS1469,0)*BS1469</f>
        <v>6</v>
      </c>
      <c r="AS1469" s="58" t="n">
        <f aca="false">IF(AP1469&gt;0,J1469/AP1469,-1)</f>
        <v>12</v>
      </c>
      <c r="AT1469" s="58" t="str">
        <f aca="false">IF(AND(OR(BY1469="L1",BY1469="L23"),AP1469&gt;0),SUMIFS($AP$7:$AP$1843,$BY$7:$BY$1843,BY1469,$AS$7:$AS$1843,"&gt;"&amp;AS1469)+SUMIFS($AP$7:$AP$1843,$BY$7:$BY$1843,BY1469,$AS$7:$AS$1843,AS1469,$BQ$7:$BQ$1843,"&lt;="&amp;BQ1469),"")</f>
        <v/>
      </c>
      <c r="AU1469" s="65" t="n">
        <f aca="false">IF(AT1469="",0,MAX(0,MIN(1,(IF(BY1469="L1",Parameter!$E$5,Parameter!$E$6+Parameter!$E$7)-(AT1469-AP1469))/AP1469)))</f>
        <v>0</v>
      </c>
      <c r="AV1469" s="57" t="n">
        <f aca="false">IF(LEFT(Cockpit!$O$5,1)="A",H1469,IF(CA1469=1,CB1469,IF(LEFT(Cockpit!$O$5,1)="B",AZ1469,MAX(AZ1469,H1469))))</f>
        <v>4</v>
      </c>
      <c r="AW1469" s="57" t="n">
        <f aca="false">IF(BT1469=1,0,ROUNDUP(AV1469/BS1469,0))</f>
        <v>2</v>
      </c>
      <c r="AX1469" s="59" t="n">
        <f aca="false">IF(CH1469&gt;0,CH1469*MAX(1,AV1469/X1469),IF(BT1469=1,IF(AV1469&lt;=0,0,BW1469*MAX(1,IF(H1469&gt;0,AV1469/H1469,1))),IF(R1469&gt;0,AW1469/R1469,0))/MAX(0.1,N(Parameter!$M$21)))</f>
        <v>0.666666666666667</v>
      </c>
      <c r="AY1469" s="57" t="n">
        <f aca="false">AV1469*G1469</f>
        <v>45651.96</v>
      </c>
      <c r="AZ1469" s="57" t="n">
        <f aca="false">ROUNDUP(MAX(J1469/IF(BZ1469&gt;0,BZ1469,MAX(0.1,N(Cockpit!$O$6))),CC1469)/BS1469,0)*BS1469</f>
        <v>4</v>
      </c>
      <c r="BA1469" s="58" t="n">
        <f aca="false">IF(AX1469&gt;0,J1469/AX1469,-1)</f>
        <v>18</v>
      </c>
      <c r="BB1469" s="58" t="str">
        <f aca="false">IF(AND(OR(BY1469="L1",BY1469="L23"),AX1469&gt;0),SUMIFS($AX$7:$AX$1843,$BY$7:$BY$1843,BY1469,$BA$7:$BA$1843,"&gt;"&amp;BA1469)+SUMIFS($AX$7:$AX$1843,$BY$7:$BY$1843,BY1469,$BA$7:$BA$1843,BA1469,$BQ$7:$BQ$1843,"&lt;="&amp;BQ1469),"")</f>
        <v/>
      </c>
      <c r="BC1469" s="65" t="n">
        <f aca="false">IF(BB1469="",0,MAX(0,MIN(1,(IF(BY1469="L1",Parameter!$E$5,Parameter!$E$6+Parameter!$E$7)-(BB1469-AX1469))/AX1469)))</f>
        <v>0</v>
      </c>
      <c r="BD1469" s="55" t="str">
        <f aca="false">IF(AH1469&lt;=0,"",IF(BY1469="Aussen","Aussenlager",IF(BY1469="-","Nicht im Lift",IF(AM1469&gt;=1,"Lift",IF(AM1469&lt;=0,"Aussenlager","teilweise")))))</f>
        <v/>
      </c>
      <c r="BE1469" s="55" t="str">
        <f aca="false">IF(AP1469&lt;=0,"",IF(BY1469="Aussen","Aussenlager",IF(BY1469="-","Nicht im Lift",IF(AU1469&gt;=1,"Lift",IF(AU1469&lt;=0,"Aussenlager","teilweise")))))</f>
        <v>Nicht im Lift</v>
      </c>
      <c r="BF1469" s="55" t="str">
        <f aca="false">IF(AX1469&lt;=0,"",IF(BY1469="Aussen","Aussenlager",IF(BY1469="-","Nicht im Lift",IF(BC1469&gt;=1,"Lift",IF(BC1469&lt;=0,"Aussenlager","teilweise")))))</f>
        <v>Nicht im Lift</v>
      </c>
      <c r="BG1469" s="55" t="str">
        <f aca="false">IF(A1469="","",IF(BP1469=1,"Neu; ","")&amp;IF(AND(BP1469=0,BK1469&lt;0),"negativer Bestand (Export "&amp;BK1469&amp;"); ","")&amp;IF(J1469&lt;=0,"Kein Verbrauch; ","")&amp;IF(CH1469&gt;0,"Lift "&amp;W1469&amp;" lt. Liftbericht (Fach "&amp;X1469&amp;" Stk); ",IF(BU1469=1,"Gebinde geschätzt ("&amp;T1469&amp;"); ",IF(BT1469=1,"Lose – Tablare geschätzt; ","")))&amp;IF(H1469&gt;AR1469,"Überbestand "&amp;ROUND(H1469-AR1469,0)&amp;" Stk / CHF "&amp;ROUND((H1469-AR1469)*G1469,0)&amp;"; ","")&amp;IF(AND(CA1469=1,CB1469&lt;CC1469),"MAX &lt; MB+LG; ","")&amp;IF(AND(CG1469&gt;0,CF1469*10&gt;CG1469),"zu hoch für Tablar; ","")&amp;IF(AND(BP1469=0,OR(CA1469=1,AA1469&lt;&gt;"",U1469&lt;&gt;"",V1469&lt;&gt;"",AB1469&lt;&gt;"")),"manuell übersteuert; ","")&amp;IF(AND(BT1469=0,R1469=0),"Gebinde unbekannt / Stellmass fehlt; ","")&amp;IF(AND(BT1469=0,N(V1469)&lt;=0,N(Q1469)&lt;=0),"Menge pro Gebinde fehlt (Ist = 1 Gebinde); ","")&amp;BO1469)</f>
        <v>negativer Bestand (Export -7); Gebinde geschätzt (Gross); Menge pro Gebinde fehlt (Ist = 1 Gebinde); </v>
      </c>
      <c r="BH1469" s="55"/>
      <c r="BI1469" s="55"/>
      <c r="BJ1469" s="62"/>
      <c r="BK1469" s="57" t="n">
        <v>-7</v>
      </c>
      <c r="BL1469" s="57" t="n">
        <v>0</v>
      </c>
      <c r="BM1469" s="56" t="n">
        <v>-66765.84</v>
      </c>
      <c r="BN1469" s="57" t="n">
        <v>12</v>
      </c>
      <c r="BO1469" s="55"/>
      <c r="BP1469" s="60" t="n">
        <v>0</v>
      </c>
      <c r="BQ1469" s="60" t="n">
        <v>1469</v>
      </c>
      <c r="BR1469" s="55" t="str">
        <f aca="false">IF(U1469&lt;&gt;"",UPPER(TRIM(U1469)),IF(BU1469=1,UPPER(VLOOKUP(T1469,Parameter!$I$27:$K$29,2,0)),IF(P1469="","LOSE",P1469)))</f>
        <v>S81</v>
      </c>
      <c r="BS1469" s="57" t="n">
        <f aca="false">IF(BR1469="LOSE",1,IF(N(V1469)&gt;0,V1469,IF(BU1469=1,MAX(1,N(VLOOKUP(T1469,Parameter!$I$27:$K$29,3,0)),H1469,N(N1469)),IF(N(Q1469)&gt;0,Q1469,MAX(1,H1469)))))</f>
        <v>2</v>
      </c>
      <c r="BT1469" s="60" t="n">
        <f aca="false">IF(BR1469="LOSE",1,0)</f>
        <v>0</v>
      </c>
      <c r="BU1469" s="60" t="n">
        <f aca="false">IF(AND(U1469="",OR(P1469="",P1469="LOSE"),T1469&lt;&gt;"",N(S1469)&lt;=0,ISNUMBER(MATCH(T1469,Parameter!$I$27:$I$29,0))),1,0)</f>
        <v>1</v>
      </c>
      <c r="BV1469" s="55" t="str">
        <f aca="false">IF(AND(Parameter!$B$19="Ja",E1469&lt;&gt;"",ISNUMBER(MATCH(E1469,Parameter!$I$35:$I$52,0))),VLOOKUP(E1469,Parameter!$I$35:$J$52,2,0),IFERROR(VLOOKUP(D1469,Parameter!$A$35:$C$64,2,0),"Nein"))</f>
        <v>Nein</v>
      </c>
      <c r="BW1469" s="59" t="n">
        <f aca="false">IF(BT1469=0,0,IF(N(S1469)&gt;0,S1469,IFERROR(VLOOKUP(D1469,Parameter!$A$35:$C$64,3,0)+0,0)))</f>
        <v>0</v>
      </c>
      <c r="BX1469" s="55" t="str">
        <f aca="false">IF(AA1469&lt;&gt;"",AA1469,Z1469)</f>
        <v>-</v>
      </c>
      <c r="BY1469" s="55" t="str">
        <f aca="false">IF(BX1469=1,"L1",IF(OR(BX1469=2,BX1469=3),"L23",IF(BX1469="Aussen","Aussen","-")))</f>
        <v>-</v>
      </c>
      <c r="BZ1469" s="66" t="n">
        <f aca="false">IF(N(AB1469)&gt;0,AB1469,0)</f>
        <v>0</v>
      </c>
      <c r="CA1469" s="60" t="n">
        <f aca="false">IF(ISNUMBER(AE1469),1,0)</f>
        <v>0</v>
      </c>
      <c r="CB1469" s="57" t="n">
        <f aca="false">N(AE1469)</f>
        <v>0</v>
      </c>
      <c r="CC1469" s="57" t="n">
        <f aca="false">N(M1469)+N(N1469)</f>
        <v>3</v>
      </c>
      <c r="CD1469" s="57" t="n">
        <f aca="false">ROUNDUP(H1469/BS1469,0)</f>
        <v>0</v>
      </c>
      <c r="CE1469" s="57" t="n">
        <f aca="false">ROUNDUP(CB1469/BS1469,0)</f>
        <v>0</v>
      </c>
      <c r="CF1469" s="60" t="n">
        <f aca="false">IF(BT1469=1,0,IFERROR(VLOOKUP(BR1469,'Gebinde-Kategorie'!$A$5:$M$45,5,0)+0,0))</f>
        <v>20</v>
      </c>
      <c r="CG1469" s="60" t="n">
        <f aca="false">IFERROR(IF(OR(BX1469=1,BX1469=2,BX1469=3),N(INDEX(Parameter!$I$5:$I$7,BX1469)),0),0)</f>
        <v>0</v>
      </c>
      <c r="CH1469" s="59" t="n">
        <f aca="false">IF(AND(Parameter!$B$21="Ja",ISNUMBER(W1469),N(X1469)&gt;0),IFERROR(N(INDEX(Parameter!$L$5:$L$7,W1469))*INDEX(Parameter!$E$5:$E$7,W1469)*X1469/SUMIFS($X$7:$X$1843,$W$7:$W$1843,W1469),0),0)</f>
        <v>0</v>
      </c>
    </row>
    <row r="1470" customFormat="false" ht="15" hidden="false" customHeight="false" outlineLevel="0" collapsed="false">
      <c r="A1470" s="55" t="s">
        <v>2566</v>
      </c>
      <c r="B1470" s="55" t="s">
        <v>196</v>
      </c>
      <c r="C1470" s="55" t="s">
        <v>456</v>
      </c>
      <c r="D1470" s="55" t="s">
        <v>173</v>
      </c>
      <c r="E1470" s="55" t="s">
        <v>166</v>
      </c>
      <c r="F1470" s="55"/>
      <c r="G1470" s="56" t="n">
        <v>4545.65</v>
      </c>
      <c r="H1470" s="57" t="n">
        <f aca="false">MAX(0,IF(AND(Parameter!$B$21="Ja",ISNUMBER(Y1470)),Y1470,IF(Parameter!$B$20="Jahresanfang 2025 + Export",BL1470+BK1470,BK1470)))</f>
        <v>0</v>
      </c>
      <c r="I1470" s="57" t="n">
        <f aca="false">H1470*G1470</f>
        <v>0</v>
      </c>
      <c r="J1470" s="57" t="n">
        <f aca="false">BN1470*Parameter!$B$18</f>
        <v>49</v>
      </c>
      <c r="K1470" s="58"/>
      <c r="L1470" s="59"/>
      <c r="M1470" s="57" t="n">
        <v>0</v>
      </c>
      <c r="N1470" s="57" t="n">
        <v>3</v>
      </c>
      <c r="O1470" s="60"/>
      <c r="P1470" s="55" t="s">
        <v>168</v>
      </c>
      <c r="Q1470" s="57"/>
      <c r="R1470" s="60" t="n">
        <f aca="false">IF(BT1470=1,0,IFERROR(VLOOKUP(BR1470,'Gebinde-Kategorie'!$A$5:$M$45,13,0)+0,0))</f>
        <v>12</v>
      </c>
      <c r="S1470" s="61"/>
      <c r="T1470" s="62" t="s">
        <v>179</v>
      </c>
      <c r="U1470" s="62"/>
      <c r="V1470" s="62"/>
      <c r="W1470" s="55"/>
      <c r="X1470" s="57"/>
      <c r="Y1470" s="57"/>
      <c r="Z1470" s="55" t="n">
        <f aca="false">IF(A1470="","",IF(AND(Parameter!$B$21="Ja",ISNUMBER(W1470)),W1470,IF(BV1470="2+3",IF(ISNUMBER(SEARCH("grosser Artikel",BO1470)),2,IFERROR(VLOOKUP(BR1470,Parameter!$F$35:$G$64,2,0),2)),IF(OR(BV1470="Nein",BV1470=""),"-",BV1470))))</f>
        <v>1</v>
      </c>
      <c r="AA1470" s="62"/>
      <c r="AB1470" s="63"/>
      <c r="AC1470" s="57" t="n">
        <f aca="false">AR1470</f>
        <v>28</v>
      </c>
      <c r="AD1470" s="57" t="n">
        <f aca="false">MAX(AR1470,H1470)</f>
        <v>28</v>
      </c>
      <c r="AE1470" s="64"/>
      <c r="AF1470" s="57" t="n">
        <f aca="false">IF(LEFT(Cockpit!$C$5,1)="A",H1470,IF(CA1470=1,CB1470,IF(LEFT(Cockpit!$C$5,1)="B",AJ1470,MAX(AJ1470,H1470))))</f>
        <v>0</v>
      </c>
      <c r="AG1470" s="57" t="n">
        <f aca="false">IF(BT1470=1,0,ROUNDUP(AF1470/BS1470,0))</f>
        <v>0</v>
      </c>
      <c r="AH1470" s="59" t="n">
        <f aca="false">IF(CH1470&gt;0,CH1470*MAX(1,AF1470/X1470),IF(BT1470=1,IF(AF1470&lt;=0,0,BW1470*MAX(1,IF(H1470&gt;0,AF1470/H1470,1))),IF(R1470&gt;0,AG1470/R1470,0))/MAX(0.1,N(Parameter!$M$21)))</f>
        <v>0</v>
      </c>
      <c r="AI1470" s="57" t="n">
        <f aca="false">AF1470*G1470</f>
        <v>0</v>
      </c>
      <c r="AJ1470" s="57" t="n">
        <f aca="false">ROUNDUP(MAX(J1470/IF(BZ1470&gt;0,BZ1470,MAX(0.1,N(Cockpit!$C$6))),CC1470)/BS1470,0)*BS1470</f>
        <v>28</v>
      </c>
      <c r="AK1470" s="58" t="n">
        <f aca="false">IF(AH1470&gt;0,J1470/AH1470,-1)</f>
        <v>-1</v>
      </c>
      <c r="AL1470" s="58" t="str">
        <f aca="false">IF(AND(OR(BY1470="L1",BY1470="L23"),AH1470&gt;0),SUMIFS($AH$7:$AH$1843,$BY$7:$BY$1843,BY1470,$AK$7:$AK$1843,"&gt;"&amp;AK1470)+SUMIFS($AH$7:$AH$1843,$BY$7:$BY$1843,BY1470,$AK$7:$AK$1843,AK1470,$BQ$7:$BQ$1843,"&lt;="&amp;BQ1470),"")</f>
        <v/>
      </c>
      <c r="AM1470" s="65" t="n">
        <f aca="false">IF(AL1470="",0,MAX(0,MIN(1,(IF(BY1470="L1",Parameter!$E$5,Parameter!$E$6+Parameter!$E$7)-(AL1470-AH1470))/AH1470)))</f>
        <v>0</v>
      </c>
      <c r="AN1470" s="57" t="n">
        <f aca="false">IF(LEFT(Cockpit!$I$5,1)="A",H1470,IF(CA1470=1,CB1470,IF(LEFT(Cockpit!$I$5,1)="B",AR1470,MAX(AR1470,H1470))))</f>
        <v>28</v>
      </c>
      <c r="AO1470" s="57" t="n">
        <f aca="false">IF(BT1470=1,0,ROUNDUP(AN1470/BS1470,0))</f>
        <v>7</v>
      </c>
      <c r="AP1470" s="59" t="n">
        <f aca="false">IF(CH1470&gt;0,CH1470*MAX(1,AN1470/X1470),IF(BT1470=1,IF(AN1470&lt;=0,0,BW1470*MAX(1,IF(H1470&gt;0,AN1470/H1470,1))),IF(R1470&gt;0,AO1470/R1470,0))/MAX(0.1,N(Parameter!$M$21)))</f>
        <v>0.583333333333333</v>
      </c>
      <c r="AQ1470" s="57" t="n">
        <f aca="false">AN1470*G1470</f>
        <v>127278.2</v>
      </c>
      <c r="AR1470" s="57" t="n">
        <f aca="false">ROUNDUP(MAX(J1470/IF(BZ1470&gt;0,BZ1470,MAX(0.1,N(Cockpit!$I$6))),CC1470)/BS1470,0)*BS1470</f>
        <v>28</v>
      </c>
      <c r="AS1470" s="58" t="n">
        <f aca="false">IF(AP1470&gt;0,J1470/AP1470,-1)</f>
        <v>84</v>
      </c>
      <c r="AT1470" s="58" t="n">
        <f aca="false">IF(AND(OR(BY1470="L1",BY1470="L23"),AP1470&gt;0),SUMIFS($AP$7:$AP$1843,$BY$7:$BY$1843,BY1470,$AS$7:$AS$1843,"&gt;"&amp;AS1470)+SUMIFS($AP$7:$AP$1843,$BY$7:$BY$1843,BY1470,$AS$7:$AS$1843,AS1470,$BQ$7:$BQ$1843,"&lt;="&amp;BQ1470),"")</f>
        <v>10.6610925306577</v>
      </c>
      <c r="AU1470" s="65" t="n">
        <f aca="false">IF(AT1470="",0,MAX(0,MIN(1,(IF(BY1470="L1",Parameter!$E$5,Parameter!$E$6+Parameter!$E$7)-(AT1470-AP1470))/AP1470)))</f>
        <v>1</v>
      </c>
      <c r="AV1470" s="57" t="n">
        <f aca="false">IF(LEFT(Cockpit!$O$5,1)="A",H1470,IF(CA1470=1,CB1470,IF(LEFT(Cockpit!$O$5,1)="B",AZ1470,MAX(AZ1470,H1470))))</f>
        <v>20</v>
      </c>
      <c r="AW1470" s="57" t="n">
        <f aca="false">IF(BT1470=1,0,ROUNDUP(AV1470/BS1470,0))</f>
        <v>5</v>
      </c>
      <c r="AX1470" s="59" t="n">
        <f aca="false">IF(CH1470&gt;0,CH1470*MAX(1,AV1470/X1470),IF(BT1470=1,IF(AV1470&lt;=0,0,BW1470*MAX(1,IF(H1470&gt;0,AV1470/H1470,1))),IF(R1470&gt;0,AW1470/R1470,0))/MAX(0.1,N(Parameter!$M$21)))</f>
        <v>0.416666666666667</v>
      </c>
      <c r="AY1470" s="57" t="n">
        <f aca="false">AV1470*G1470</f>
        <v>90913</v>
      </c>
      <c r="AZ1470" s="57" t="n">
        <f aca="false">ROUNDUP(MAX(J1470/IF(BZ1470&gt;0,BZ1470,MAX(0.1,N(Cockpit!$O$6))),CC1470)/BS1470,0)*BS1470</f>
        <v>20</v>
      </c>
      <c r="BA1470" s="58" t="n">
        <f aca="false">IF(AX1470&gt;0,J1470/AX1470,-1)</f>
        <v>117.6</v>
      </c>
      <c r="BB1470" s="58" t="n">
        <f aca="false">IF(AND(OR(BY1470="L1",BY1470="L23"),AX1470&gt;0),SUMIFS($AX$7:$AX$1843,$BY$7:$BY$1843,BY1470,$BA$7:$BA$1843,"&gt;"&amp;BA1470)+SUMIFS($AX$7:$AX$1843,$BY$7:$BY$1843,BY1470,$BA$7:$BA$1843,BA1470,$BQ$7:$BQ$1843,"&lt;="&amp;BQ1470),"")</f>
        <v>6.70596432552954</v>
      </c>
      <c r="BC1470" s="65" t="n">
        <f aca="false">IF(BB1470="",0,MAX(0,MIN(1,(IF(BY1470="L1",Parameter!$E$5,Parameter!$E$6+Parameter!$E$7)-(BB1470-AX1470))/AX1470)))</f>
        <v>1</v>
      </c>
      <c r="BD1470" s="55" t="str">
        <f aca="false">IF(AH1470&lt;=0,"",IF(BY1470="Aussen","Aussenlager",IF(BY1470="-","Nicht im Lift",IF(AM1470&gt;=1,"Lift",IF(AM1470&lt;=0,"Aussenlager","teilweise")))))</f>
        <v/>
      </c>
      <c r="BE1470" s="55" t="str">
        <f aca="false">IF(AP1470&lt;=0,"",IF(BY1470="Aussen","Aussenlager",IF(BY1470="-","Nicht im Lift",IF(AU1470&gt;=1,"Lift",IF(AU1470&lt;=0,"Aussenlager","teilweise")))))</f>
        <v>Lift</v>
      </c>
      <c r="BF1470" s="55" t="str">
        <f aca="false">IF(AX1470&lt;=0,"",IF(BY1470="Aussen","Aussenlager",IF(BY1470="-","Nicht im Lift",IF(BC1470&gt;=1,"Lift",IF(BC1470&lt;=0,"Aussenlager","teilweise")))))</f>
        <v>Lift</v>
      </c>
      <c r="BG1470" s="55" t="str">
        <f aca="false">IF(A1470="","",IF(BP1470=1,"Neu; ","")&amp;IF(AND(BP1470=0,BK1470&lt;0),"negativer Bestand (Export "&amp;BK1470&amp;"); ","")&amp;IF(J1470&lt;=0,"Kein Verbrauch; ","")&amp;IF(CH1470&gt;0,"Lift "&amp;W1470&amp;" lt. Liftbericht (Fach "&amp;X1470&amp;" Stk); ",IF(BU1470=1,"Gebinde geschätzt ("&amp;T1470&amp;"); ",IF(BT1470=1,"Lose – Tablare geschätzt; ","")))&amp;IF(H1470&gt;AR1470,"Überbestand "&amp;ROUND(H1470-AR1470,0)&amp;" Stk / CHF "&amp;ROUND((H1470-AR1470)*G1470,0)&amp;"; ","")&amp;IF(AND(CA1470=1,CB1470&lt;CC1470),"MAX &lt; MB+LG; ","")&amp;IF(AND(CG1470&gt;0,CF1470*10&gt;CG1470),"zu hoch für Tablar; ","")&amp;IF(AND(BP1470=0,OR(CA1470=1,AA1470&lt;&gt;"",U1470&lt;&gt;"",V1470&lt;&gt;"",AB1470&lt;&gt;"")),"manuell übersteuert; ","")&amp;IF(AND(BT1470=0,R1470=0),"Gebinde unbekannt / Stellmass fehlt; ","")&amp;IF(AND(BT1470=0,N(V1470)&lt;=0,N(Q1470)&lt;=0),"Menge pro Gebinde fehlt (Ist = 1 Gebinde); ","")&amp;BO1470)</f>
        <v>negativer Bestand (Export -21); Gebinde geschätzt (Mittel); Menge pro Gebinde fehlt (Ist = 1 Gebinde); </v>
      </c>
      <c r="BH1470" s="55"/>
      <c r="BI1470" s="55"/>
      <c r="BJ1470" s="62"/>
      <c r="BK1470" s="57" t="n">
        <v>-21</v>
      </c>
      <c r="BL1470" s="57" t="n">
        <v>0</v>
      </c>
      <c r="BM1470" s="56" t="n">
        <v>-95302.94</v>
      </c>
      <c r="BN1470" s="57" t="n">
        <v>49</v>
      </c>
      <c r="BO1470" s="55"/>
      <c r="BP1470" s="60" t="n">
        <v>0</v>
      </c>
      <c r="BQ1470" s="60" t="n">
        <v>1470</v>
      </c>
      <c r="BR1470" s="55" t="str">
        <f aca="false">IF(U1470&lt;&gt;"",UPPER(TRIM(U1470)),IF(BU1470=1,UPPER(VLOOKUP(T1470,Parameter!$I$27:$K$29,2,0)),IF(P1470="","LOSE",P1470)))</f>
        <v>S61</v>
      </c>
      <c r="BS1470" s="57" t="n">
        <f aca="false">IF(BR1470="LOSE",1,IF(N(V1470)&gt;0,V1470,IF(BU1470=1,MAX(1,N(VLOOKUP(T1470,Parameter!$I$27:$K$29,3,0)),H1470,N(N1470)),IF(N(Q1470)&gt;0,Q1470,MAX(1,H1470)))))</f>
        <v>4</v>
      </c>
      <c r="BT1470" s="60" t="n">
        <f aca="false">IF(BR1470="LOSE",1,0)</f>
        <v>0</v>
      </c>
      <c r="BU1470" s="60" t="n">
        <f aca="false">IF(AND(U1470="",OR(P1470="",P1470="LOSE"),T1470&lt;&gt;"",N(S1470)&lt;=0,ISNUMBER(MATCH(T1470,Parameter!$I$27:$I$29,0))),1,0)</f>
        <v>1</v>
      </c>
      <c r="BV1470" s="55" t="n">
        <f aca="false">IF(AND(Parameter!$B$19="Ja",E1470&lt;&gt;"",ISNUMBER(MATCH(E1470,Parameter!$I$35:$I$52,0))),VLOOKUP(E1470,Parameter!$I$35:$J$52,2,0),IFERROR(VLOOKUP(D1470,Parameter!$A$35:$C$64,2,0),"Nein"))</f>
        <v>1</v>
      </c>
      <c r="BW1470" s="59" t="n">
        <f aca="false">IF(BT1470=0,0,IF(N(S1470)&gt;0,S1470,IFERROR(VLOOKUP(D1470,Parameter!$A$35:$C$64,3,0)+0,0)))</f>
        <v>0</v>
      </c>
      <c r="BX1470" s="55" t="n">
        <f aca="false">IF(AA1470&lt;&gt;"",AA1470,Z1470)</f>
        <v>1</v>
      </c>
      <c r="BY1470" s="55" t="str">
        <f aca="false">IF(BX1470=1,"L1",IF(OR(BX1470=2,BX1470=3),"L23",IF(BX1470="Aussen","Aussen","-")))</f>
        <v>L1</v>
      </c>
      <c r="BZ1470" s="66" t="n">
        <f aca="false">IF(N(AB1470)&gt;0,AB1470,0)</f>
        <v>0</v>
      </c>
      <c r="CA1470" s="60" t="n">
        <f aca="false">IF(ISNUMBER(AE1470),1,0)</f>
        <v>0</v>
      </c>
      <c r="CB1470" s="57" t="n">
        <f aca="false">N(AE1470)</f>
        <v>0</v>
      </c>
      <c r="CC1470" s="57" t="n">
        <f aca="false">N(M1470)+N(N1470)</f>
        <v>3</v>
      </c>
      <c r="CD1470" s="57" t="n">
        <f aca="false">ROUNDUP(H1470/BS1470,0)</f>
        <v>0</v>
      </c>
      <c r="CE1470" s="57" t="n">
        <f aca="false">ROUNDUP(CB1470/BS1470,0)</f>
        <v>0</v>
      </c>
      <c r="CF1470" s="60" t="n">
        <f aca="false">IF(BT1470=1,0,IFERROR(VLOOKUP(BR1470,'Gebinde-Kategorie'!$A$5:$M$45,5,0)+0,0))</f>
        <v>11</v>
      </c>
      <c r="CG1470" s="60" t="n">
        <f aca="false">IFERROR(IF(OR(BX1470=1,BX1470=2,BX1470=3),N(INDEX(Parameter!$I$5:$I$7,BX1470)),0),0)</f>
        <v>0</v>
      </c>
      <c r="CH1470" s="59" t="n">
        <f aca="false">IF(AND(Parameter!$B$21="Ja",ISNUMBER(W1470),N(X1470)&gt;0),IFERROR(N(INDEX(Parameter!$L$5:$L$7,W1470))*INDEX(Parameter!$E$5:$E$7,W1470)*X1470/SUMIFS($X$7:$X$1843,$W$7:$W$1843,W1470),0),0)</f>
        <v>0</v>
      </c>
    </row>
    <row r="1471" customFormat="false" ht="15" hidden="false" customHeight="false" outlineLevel="0" collapsed="false">
      <c r="A1471" s="55" t="s">
        <v>2567</v>
      </c>
      <c r="B1471" s="55" t="s">
        <v>2568</v>
      </c>
      <c r="C1471" s="55" t="s">
        <v>164</v>
      </c>
      <c r="D1471" s="55" t="s">
        <v>184</v>
      </c>
      <c r="E1471" s="55" t="s">
        <v>185</v>
      </c>
      <c r="F1471" s="55"/>
      <c r="G1471" s="56" t="n">
        <v>6.47</v>
      </c>
      <c r="H1471" s="57" t="n">
        <f aca="false">MAX(0,IF(AND(Parameter!$B$21="Ja",ISNUMBER(Y1471)),Y1471,IF(Parameter!$B$20="Jahresanfang 2025 + Export",BL1471+BK1471,BK1471)))</f>
        <v>34</v>
      </c>
      <c r="I1471" s="57" t="n">
        <f aca="false">H1471*G1471</f>
        <v>219.98</v>
      </c>
      <c r="J1471" s="57" t="n">
        <f aca="false">BN1471*Parameter!$B$18</f>
        <v>0</v>
      </c>
      <c r="K1471" s="58"/>
      <c r="L1471" s="59"/>
      <c r="M1471" s="57" t="n">
        <v>0</v>
      </c>
      <c r="N1471" s="57" t="n">
        <v>50</v>
      </c>
      <c r="O1471" s="60" t="n">
        <v>21</v>
      </c>
      <c r="P1471" s="55" t="s">
        <v>302</v>
      </c>
      <c r="Q1471" s="57" t="n">
        <v>34</v>
      </c>
      <c r="R1471" s="60" t="n">
        <f aca="false">IF(BT1471=1,0,IFERROR(VLOOKUP(BR1471,'Gebinde-Kategorie'!$A$5:$M$45,13,0)+0,0))</f>
        <v>26</v>
      </c>
      <c r="S1471" s="61"/>
      <c r="T1471" s="62"/>
      <c r="U1471" s="62"/>
      <c r="V1471" s="62"/>
      <c r="W1471" s="55"/>
      <c r="X1471" s="57"/>
      <c r="Y1471" s="57"/>
      <c r="Z1471" s="55" t="n">
        <f aca="false">IF(A1471="","",IF(AND(Parameter!$B$21="Ja",ISNUMBER(W1471)),W1471,IF(BV1471="2+3",IF(ISNUMBER(SEARCH("grosser Artikel",BO1471)),2,IFERROR(VLOOKUP(BR1471,Parameter!$F$35:$G$64,2,0),2)),IF(OR(BV1471="Nein",BV1471=""),"-",BV1471))))</f>
        <v>3</v>
      </c>
      <c r="AA1471" s="62"/>
      <c r="AB1471" s="63"/>
      <c r="AC1471" s="57" t="n">
        <f aca="false">AR1471</f>
        <v>68</v>
      </c>
      <c r="AD1471" s="57" t="n">
        <f aca="false">MAX(AR1471,H1471)</f>
        <v>68</v>
      </c>
      <c r="AE1471" s="64"/>
      <c r="AF1471" s="57" t="n">
        <f aca="false">IF(LEFT(Cockpit!$C$5,1)="A",H1471,IF(CA1471=1,CB1471,IF(LEFT(Cockpit!$C$5,1)="B",AJ1471,MAX(AJ1471,H1471))))</f>
        <v>34</v>
      </c>
      <c r="AG1471" s="57" t="n">
        <f aca="false">IF(BT1471=1,0,ROUNDUP(AF1471/BS1471,0))</f>
        <v>1</v>
      </c>
      <c r="AH1471" s="59" t="n">
        <f aca="false">IF(CH1471&gt;0,CH1471*MAX(1,AF1471/X1471),IF(BT1471=1,IF(AF1471&lt;=0,0,BW1471*MAX(1,IF(H1471&gt;0,AF1471/H1471,1))),IF(R1471&gt;0,AG1471/R1471,0))/MAX(0.1,N(Parameter!$M$21)))</f>
        <v>0.0384615384615385</v>
      </c>
      <c r="AI1471" s="57" t="n">
        <f aca="false">AF1471*G1471</f>
        <v>219.98</v>
      </c>
      <c r="AJ1471" s="57" t="n">
        <f aca="false">ROUNDUP(MAX(J1471/IF(BZ1471&gt;0,BZ1471,MAX(0.1,N(Cockpit!$C$6))),CC1471)/BS1471,0)*BS1471</f>
        <v>68</v>
      </c>
      <c r="AK1471" s="58" t="n">
        <f aca="false">IF(AH1471&gt;0,J1471/AH1471,-1)</f>
        <v>0</v>
      </c>
      <c r="AL1471" s="58" t="n">
        <f aca="false">IF(AND(OR(BY1471="L1",BY1471="L23"),AH1471&gt;0),SUMIFS($AH$7:$AH$1843,$BY$7:$BY$1843,BY1471,$AK$7:$AK$1843,"&gt;"&amp;AK1471)+SUMIFS($AH$7:$AH$1843,$BY$7:$BY$1843,BY1471,$AK$7:$AK$1843,AK1471,$BQ$7:$BQ$1843,"&lt;="&amp;BQ1471),"")</f>
        <v>80.9471892841458</v>
      </c>
      <c r="AM1471" s="65" t="n">
        <f aca="false">IF(AL1471="",0,MAX(0,MIN(1,(IF(BY1471="L1",Parameter!$E$5,Parameter!$E$6+Parameter!$E$7)-(AL1471-AH1471))/AH1471)))</f>
        <v>1</v>
      </c>
      <c r="AN1471" s="57" t="n">
        <f aca="false">IF(LEFT(Cockpit!$I$5,1)="A",H1471,IF(CA1471=1,CB1471,IF(LEFT(Cockpit!$I$5,1)="B",AR1471,MAX(AR1471,H1471))))</f>
        <v>68</v>
      </c>
      <c r="AO1471" s="57" t="n">
        <f aca="false">IF(BT1471=1,0,ROUNDUP(AN1471/BS1471,0))</f>
        <v>2</v>
      </c>
      <c r="AP1471" s="59" t="n">
        <f aca="false">IF(CH1471&gt;0,CH1471*MAX(1,AN1471/X1471),IF(BT1471=1,IF(AN1471&lt;=0,0,BW1471*MAX(1,IF(H1471&gt;0,AN1471/H1471,1))),IF(R1471&gt;0,AO1471/R1471,0))/MAX(0.1,N(Parameter!$M$21)))</f>
        <v>0.0769230769230769</v>
      </c>
      <c r="AQ1471" s="57" t="n">
        <f aca="false">AN1471*G1471</f>
        <v>439.96</v>
      </c>
      <c r="AR1471" s="57" t="n">
        <f aca="false">ROUNDUP(MAX(J1471/IF(BZ1471&gt;0,BZ1471,MAX(0.1,N(Cockpit!$I$6))),CC1471)/BS1471,0)*BS1471</f>
        <v>68</v>
      </c>
      <c r="AS1471" s="58" t="n">
        <f aca="false">IF(AP1471&gt;0,J1471/AP1471,-1)</f>
        <v>0</v>
      </c>
      <c r="AT1471" s="58" t="n">
        <f aca="false">IF(AND(OR(BY1471="L1",BY1471="L23"),AP1471&gt;0),SUMIFS($AP$7:$AP$1843,$BY$7:$BY$1843,BY1471,$AS$7:$AS$1843,"&gt;"&amp;AS1471)+SUMIFS($AP$7:$AP$1843,$BY$7:$BY$1843,BY1471,$AS$7:$AS$1843,AS1471,$BQ$7:$BQ$1843,"&lt;="&amp;BQ1471),"")</f>
        <v>125.766587277457</v>
      </c>
      <c r="AU1471" s="65" t="n">
        <f aca="false">IF(AT1471="",0,MAX(0,MIN(1,(IF(BY1471="L1",Parameter!$E$5,Parameter!$E$6+Parameter!$E$7)-(AT1471-AP1471))/AP1471)))</f>
        <v>0</v>
      </c>
      <c r="AV1471" s="57" t="n">
        <f aca="false">IF(LEFT(Cockpit!$O$5,1)="A",H1471,IF(CA1471=1,CB1471,IF(LEFT(Cockpit!$O$5,1)="B",AZ1471,MAX(AZ1471,H1471))))</f>
        <v>68</v>
      </c>
      <c r="AW1471" s="57" t="n">
        <f aca="false">IF(BT1471=1,0,ROUNDUP(AV1471/BS1471,0))</f>
        <v>2</v>
      </c>
      <c r="AX1471" s="59" t="n">
        <f aca="false">IF(CH1471&gt;0,CH1471*MAX(1,AV1471/X1471),IF(BT1471=1,IF(AV1471&lt;=0,0,BW1471*MAX(1,IF(H1471&gt;0,AV1471/H1471,1))),IF(R1471&gt;0,AW1471/R1471,0))/MAX(0.1,N(Parameter!$M$21)))</f>
        <v>0.0769230769230769</v>
      </c>
      <c r="AY1471" s="57" t="n">
        <f aca="false">AV1471*G1471</f>
        <v>439.96</v>
      </c>
      <c r="AZ1471" s="57" t="n">
        <f aca="false">ROUNDUP(MAX(J1471/IF(BZ1471&gt;0,BZ1471,MAX(0.1,N(Cockpit!$O$6))),CC1471)/BS1471,0)*BS1471</f>
        <v>68</v>
      </c>
      <c r="BA1471" s="58" t="n">
        <f aca="false">IF(AX1471&gt;0,J1471/AX1471,-1)</f>
        <v>0</v>
      </c>
      <c r="BB1471" s="58" t="n">
        <f aca="false">IF(AND(OR(BY1471="L1",BY1471="L23"),AX1471&gt;0),SUMIFS($AX$7:$AX$1843,$BY$7:$BY$1843,BY1471,$BA$7:$BA$1843,"&gt;"&amp;BA1471)+SUMIFS($AX$7:$AX$1843,$BY$7:$BY$1843,BY1471,$BA$7:$BA$1843,BA1471,$BQ$7:$BQ$1843,"&lt;="&amp;BQ1471),"")</f>
        <v>116.596424107294</v>
      </c>
      <c r="BC1471" s="65" t="n">
        <f aca="false">IF(BB1471="",0,MAX(0,MIN(1,(IF(BY1471="L1",Parameter!$E$5,Parameter!$E$6+Parameter!$E$7)-(BB1471-AX1471))/AX1471)))</f>
        <v>0</v>
      </c>
      <c r="BD1471" s="55" t="str">
        <f aca="false">IF(AH1471&lt;=0,"",IF(BY1471="Aussen","Aussenlager",IF(BY1471="-","Nicht im Lift",IF(AM1471&gt;=1,"Lift",IF(AM1471&lt;=0,"Aussenlager","teilweise")))))</f>
        <v>Lift</v>
      </c>
      <c r="BE1471" s="55" t="str">
        <f aca="false">IF(AP1471&lt;=0,"",IF(BY1471="Aussen","Aussenlager",IF(BY1471="-","Nicht im Lift",IF(AU1471&gt;=1,"Lift",IF(AU1471&lt;=0,"Aussenlager","teilweise")))))</f>
        <v>Aussenlager</v>
      </c>
      <c r="BF1471" s="55" t="str">
        <f aca="false">IF(AX1471&lt;=0,"",IF(BY1471="Aussen","Aussenlager",IF(BY1471="-","Nicht im Lift",IF(BC1471&gt;=1,"Lift",IF(BC1471&lt;=0,"Aussenlager","teilweise")))))</f>
        <v>Aussenlager</v>
      </c>
      <c r="BG1471" s="55" t="str">
        <f aca="false">IF(A1471="","",IF(BP1471=1,"Neu; ","")&amp;IF(AND(BP1471=0,BK1471&lt;0),"negativer Bestand (Export "&amp;BK1471&amp;"); ","")&amp;IF(J1471&lt;=0,"Kein Verbrauch; ","")&amp;IF(CH1471&gt;0,"Lift "&amp;W1471&amp;" lt. Liftbericht (Fach "&amp;X1471&amp;" Stk); ",IF(BU1471=1,"Gebinde geschätzt ("&amp;T1471&amp;"); ",IF(BT1471=1,"Lose – Tablare geschätzt; ","")))&amp;IF(H1471&gt;AR1471,"Überbestand "&amp;ROUND(H1471-AR1471,0)&amp;" Stk / CHF "&amp;ROUND((H1471-AR1471)*G1471,0)&amp;"; ","")&amp;IF(AND(CA1471=1,CB1471&lt;CC1471),"MAX &lt; MB+LG; ","")&amp;IF(AND(CG1471&gt;0,CF1471*10&gt;CG1471),"zu hoch für Tablar; ","")&amp;IF(AND(BP1471=0,OR(CA1471=1,AA1471&lt;&gt;"",U1471&lt;&gt;"",V1471&lt;&gt;"",AB1471&lt;&gt;"")),"manuell übersteuert; ","")&amp;IF(AND(BT1471=0,R1471=0),"Gebinde unbekannt / Stellmass fehlt; ","")&amp;IF(AND(BT1471=0,N(V1471)&lt;=0,N(Q1471)&lt;=0),"Menge pro Gebinde fehlt (Ist = 1 Gebinde); ","")&amp;BO1471)</f>
        <v>Kein Verbrauch; nur im Artikelstamm (Bestand 23.06.2026); Verb.Lager</v>
      </c>
      <c r="BH1471" s="55"/>
      <c r="BI1471" s="55"/>
      <c r="BJ1471" s="62"/>
      <c r="BK1471" s="57" t="n">
        <v>34</v>
      </c>
      <c r="BL1471" s="57" t="n">
        <v>0</v>
      </c>
      <c r="BM1471" s="56" t="n">
        <v>0</v>
      </c>
      <c r="BN1471" s="57" t="n">
        <v>0</v>
      </c>
      <c r="BO1471" s="55" t="s">
        <v>2569</v>
      </c>
      <c r="BP1471" s="60" t="n">
        <v>0</v>
      </c>
      <c r="BQ1471" s="60" t="n">
        <v>1471</v>
      </c>
      <c r="BR1471" s="55" t="str">
        <f aca="false">IF(U1471&lt;&gt;"",UPPER(TRIM(U1471)),IF(BU1471=1,UPPER(VLOOKUP(T1471,Parameter!$I$27:$K$29,2,0)),IF(P1471="","LOSE",P1471)))</f>
        <v>S51</v>
      </c>
      <c r="BS1471" s="57" t="n">
        <f aca="false">IF(BR1471="LOSE",1,IF(N(V1471)&gt;0,V1471,IF(BU1471=1,MAX(1,N(VLOOKUP(T1471,Parameter!$I$27:$K$29,3,0)),H1471,N(N1471)),IF(N(Q1471)&gt;0,Q1471,MAX(1,H1471)))))</f>
        <v>34</v>
      </c>
      <c r="BT1471" s="60" t="n">
        <f aca="false">IF(BR1471="LOSE",1,0)</f>
        <v>0</v>
      </c>
      <c r="BU1471" s="60" t="n">
        <f aca="false">IF(AND(U1471="",OR(P1471="",P1471="LOSE"),T1471&lt;&gt;"",N(S1471)&lt;=0,ISNUMBER(MATCH(T1471,Parameter!$I$27:$I$29,0))),1,0)</f>
        <v>0</v>
      </c>
      <c r="BV1471" s="55" t="str">
        <f aca="false">IF(AND(Parameter!$B$19="Ja",E1471&lt;&gt;"",ISNUMBER(MATCH(E1471,Parameter!$I$35:$I$52,0))),VLOOKUP(E1471,Parameter!$I$35:$J$52,2,0),IFERROR(VLOOKUP(D1471,Parameter!$A$35:$C$64,2,0),"Nein"))</f>
        <v>2+3</v>
      </c>
      <c r="BW1471" s="59" t="n">
        <f aca="false">IF(BT1471=0,0,IF(N(S1471)&gt;0,S1471,IFERROR(VLOOKUP(D1471,Parameter!$A$35:$C$64,3,0)+0,0)))</f>
        <v>0</v>
      </c>
      <c r="BX1471" s="55" t="n">
        <f aca="false">IF(AA1471&lt;&gt;"",AA1471,Z1471)</f>
        <v>3</v>
      </c>
      <c r="BY1471" s="55" t="str">
        <f aca="false">IF(BX1471=1,"L1",IF(OR(BX1471=2,BX1471=3),"L23",IF(BX1471="Aussen","Aussen","-")))</f>
        <v>L23</v>
      </c>
      <c r="BZ1471" s="66" t="n">
        <f aca="false">IF(N(AB1471)&gt;0,AB1471,0)</f>
        <v>0</v>
      </c>
      <c r="CA1471" s="60" t="n">
        <f aca="false">IF(ISNUMBER(AE1471),1,0)</f>
        <v>0</v>
      </c>
      <c r="CB1471" s="57" t="n">
        <f aca="false">N(AE1471)</f>
        <v>0</v>
      </c>
      <c r="CC1471" s="57" t="n">
        <f aca="false">N(M1471)+N(N1471)</f>
        <v>50</v>
      </c>
      <c r="CD1471" s="57" t="n">
        <f aca="false">ROUNDUP(H1471/BS1471,0)</f>
        <v>1</v>
      </c>
      <c r="CE1471" s="57" t="n">
        <f aca="false">ROUNDUP(CB1471/BS1471,0)</f>
        <v>0</v>
      </c>
      <c r="CF1471" s="60" t="n">
        <f aca="false">IF(BT1471=1,0,IFERROR(VLOOKUP(BR1471,'Gebinde-Kategorie'!$A$5:$M$45,5,0)+0,0))</f>
        <v>11</v>
      </c>
      <c r="CG1471" s="60" t="n">
        <f aca="false">IFERROR(IF(OR(BX1471=1,BX1471=2,BX1471=3),N(INDEX(Parameter!$I$5:$I$7,BX1471)),0),0)</f>
        <v>0</v>
      </c>
      <c r="CH1471" s="59" t="n">
        <f aca="false">IF(AND(Parameter!$B$21="Ja",ISNUMBER(W1471),N(X1471)&gt;0),IFERROR(N(INDEX(Parameter!$L$5:$L$7,W1471))*INDEX(Parameter!$E$5:$E$7,W1471)*X1471/SUMIFS($X$7:$X$1843,$W$7:$W$1843,W1471),0),0)</f>
        <v>0</v>
      </c>
    </row>
    <row r="1472" customFormat="false" ht="15" hidden="false" customHeight="false" outlineLevel="0" collapsed="false">
      <c r="A1472" s="55" t="s">
        <v>2570</v>
      </c>
      <c r="B1472" s="55" t="s">
        <v>2571</v>
      </c>
      <c r="C1472" s="55" t="s">
        <v>164</v>
      </c>
      <c r="D1472" s="55" t="s">
        <v>184</v>
      </c>
      <c r="E1472" s="55" t="s">
        <v>185</v>
      </c>
      <c r="F1472" s="55"/>
      <c r="G1472" s="56" t="n">
        <v>150.1</v>
      </c>
      <c r="H1472" s="57" t="n">
        <f aca="false">MAX(0,IF(AND(Parameter!$B$21="Ja",ISNUMBER(Y1472)),Y1472,IF(Parameter!$B$20="Jahresanfang 2025 + Export",BL1472+BK1472,BK1472)))</f>
        <v>13</v>
      </c>
      <c r="I1472" s="57" t="n">
        <f aca="false">H1472*G1472</f>
        <v>1951.3</v>
      </c>
      <c r="J1472" s="57" t="n">
        <f aca="false">BN1472*Parameter!$B$18</f>
        <v>0</v>
      </c>
      <c r="K1472" s="58"/>
      <c r="L1472" s="59"/>
      <c r="M1472" s="57" t="n">
        <v>0</v>
      </c>
      <c r="N1472" s="57" t="n">
        <v>1</v>
      </c>
      <c r="O1472" s="60" t="n">
        <v>21</v>
      </c>
      <c r="P1472" s="55" t="s">
        <v>328</v>
      </c>
      <c r="Q1472" s="57" t="n">
        <v>13</v>
      </c>
      <c r="R1472" s="60" t="n">
        <f aca="false">IF(BT1472=1,0,IFERROR(VLOOKUP(BR1472,'Gebinde-Kategorie'!$A$5:$M$45,13,0)+0,0))</f>
        <v>52</v>
      </c>
      <c r="S1472" s="61"/>
      <c r="T1472" s="62"/>
      <c r="U1472" s="62"/>
      <c r="V1472" s="62"/>
      <c r="W1472" s="55"/>
      <c r="X1472" s="57"/>
      <c r="Y1472" s="57"/>
      <c r="Z1472" s="55" t="n">
        <f aca="false">IF(A1472="","",IF(AND(Parameter!$B$21="Ja",ISNUMBER(W1472)),W1472,IF(BV1472="2+3",IF(ISNUMBER(SEARCH("grosser Artikel",BO1472)),2,IFERROR(VLOOKUP(BR1472,Parameter!$F$35:$G$64,2,0),2)),IF(OR(BV1472="Nein",BV1472=""),"-",BV1472))))</f>
        <v>3</v>
      </c>
      <c r="AA1472" s="62"/>
      <c r="AB1472" s="63"/>
      <c r="AC1472" s="57" t="n">
        <f aca="false">AR1472</f>
        <v>13</v>
      </c>
      <c r="AD1472" s="57" t="n">
        <f aca="false">MAX(AR1472,H1472)</f>
        <v>13</v>
      </c>
      <c r="AE1472" s="64"/>
      <c r="AF1472" s="57" t="n">
        <f aca="false">IF(LEFT(Cockpit!$C$5,1)="A",H1472,IF(CA1472=1,CB1472,IF(LEFT(Cockpit!$C$5,1)="B",AJ1472,MAX(AJ1472,H1472))))</f>
        <v>13</v>
      </c>
      <c r="AG1472" s="57" t="n">
        <f aca="false">IF(BT1472=1,0,ROUNDUP(AF1472/BS1472,0))</f>
        <v>1</v>
      </c>
      <c r="AH1472" s="59" t="n">
        <f aca="false">IF(CH1472&gt;0,CH1472*MAX(1,AF1472/X1472),IF(BT1472=1,IF(AF1472&lt;=0,0,BW1472*MAX(1,IF(H1472&gt;0,AF1472/H1472,1))),IF(R1472&gt;0,AG1472/R1472,0))/MAX(0.1,N(Parameter!$M$21)))</f>
        <v>0.0192307692307692</v>
      </c>
      <c r="AI1472" s="57" t="n">
        <f aca="false">AF1472*G1472</f>
        <v>1951.3</v>
      </c>
      <c r="AJ1472" s="57" t="n">
        <f aca="false">ROUNDUP(MAX(J1472/IF(BZ1472&gt;0,BZ1472,MAX(0.1,N(Cockpit!$C$6))),CC1472)/BS1472,0)*BS1472</f>
        <v>13</v>
      </c>
      <c r="AK1472" s="58" t="n">
        <f aca="false">IF(AH1472&gt;0,J1472/AH1472,-1)</f>
        <v>0</v>
      </c>
      <c r="AL1472" s="58" t="n">
        <f aca="false">IF(AND(OR(BY1472="L1",BY1472="L23"),AH1472&gt;0),SUMIFS($AH$7:$AH$1843,$BY$7:$BY$1843,BY1472,$AK$7:$AK$1843,"&gt;"&amp;AK1472)+SUMIFS($AH$7:$AH$1843,$BY$7:$BY$1843,BY1472,$AK$7:$AK$1843,AK1472,$BQ$7:$BQ$1843,"&lt;="&amp;BQ1472),"")</f>
        <v>80.9664200533766</v>
      </c>
      <c r="AM1472" s="65" t="n">
        <f aca="false">IF(AL1472="",0,MAX(0,MIN(1,(IF(BY1472="L1",Parameter!$E$5,Parameter!$E$6+Parameter!$E$7)-(AL1472-AH1472))/AH1472)))</f>
        <v>1</v>
      </c>
      <c r="AN1472" s="57" t="n">
        <f aca="false">IF(LEFT(Cockpit!$I$5,1)="A",H1472,IF(CA1472=1,CB1472,IF(LEFT(Cockpit!$I$5,1)="B",AR1472,MAX(AR1472,H1472))))</f>
        <v>13</v>
      </c>
      <c r="AO1472" s="57" t="n">
        <f aca="false">IF(BT1472=1,0,ROUNDUP(AN1472/BS1472,0))</f>
        <v>1</v>
      </c>
      <c r="AP1472" s="59" t="n">
        <f aca="false">IF(CH1472&gt;0,CH1472*MAX(1,AN1472/X1472),IF(BT1472=1,IF(AN1472&lt;=0,0,BW1472*MAX(1,IF(H1472&gt;0,AN1472/H1472,1))),IF(R1472&gt;0,AO1472/R1472,0))/MAX(0.1,N(Parameter!$M$21)))</f>
        <v>0.0192307692307692</v>
      </c>
      <c r="AQ1472" s="57" t="n">
        <f aca="false">AN1472*G1472</f>
        <v>1951.3</v>
      </c>
      <c r="AR1472" s="57" t="n">
        <f aca="false">ROUNDUP(MAX(J1472/IF(BZ1472&gt;0,BZ1472,MAX(0.1,N(Cockpit!$I$6))),CC1472)/BS1472,0)*BS1472</f>
        <v>13</v>
      </c>
      <c r="AS1472" s="58" t="n">
        <f aca="false">IF(AP1472&gt;0,J1472/AP1472,-1)</f>
        <v>0</v>
      </c>
      <c r="AT1472" s="58" t="n">
        <f aca="false">IF(AND(OR(BY1472="L1",BY1472="L23"),AP1472&gt;0),SUMIFS($AP$7:$AP$1843,$BY$7:$BY$1843,BY1472,$AS$7:$AS$1843,"&gt;"&amp;AS1472)+SUMIFS($AP$7:$AP$1843,$BY$7:$BY$1843,BY1472,$AS$7:$AS$1843,AS1472,$BQ$7:$BQ$1843,"&lt;="&amp;BQ1472),"")</f>
        <v>125.785818046688</v>
      </c>
      <c r="AU1472" s="65" t="n">
        <f aca="false">IF(AT1472="",0,MAX(0,MIN(1,(IF(BY1472="L1",Parameter!$E$5,Parameter!$E$6+Parameter!$E$7)-(AT1472-AP1472))/AP1472)))</f>
        <v>0</v>
      </c>
      <c r="AV1472" s="57" t="n">
        <f aca="false">IF(LEFT(Cockpit!$O$5,1)="A",H1472,IF(CA1472=1,CB1472,IF(LEFT(Cockpit!$O$5,1)="B",AZ1472,MAX(AZ1472,H1472))))</f>
        <v>13</v>
      </c>
      <c r="AW1472" s="57" t="n">
        <f aca="false">IF(BT1472=1,0,ROUNDUP(AV1472/BS1472,0))</f>
        <v>1</v>
      </c>
      <c r="AX1472" s="59" t="n">
        <f aca="false">IF(CH1472&gt;0,CH1472*MAX(1,AV1472/X1472),IF(BT1472=1,IF(AV1472&lt;=0,0,BW1472*MAX(1,IF(H1472&gt;0,AV1472/H1472,1))),IF(R1472&gt;0,AW1472/R1472,0))/MAX(0.1,N(Parameter!$M$21)))</f>
        <v>0.0192307692307692</v>
      </c>
      <c r="AY1472" s="57" t="n">
        <f aca="false">AV1472*G1472</f>
        <v>1951.3</v>
      </c>
      <c r="AZ1472" s="57" t="n">
        <f aca="false">ROUNDUP(MAX(J1472/IF(BZ1472&gt;0,BZ1472,MAX(0.1,N(Cockpit!$O$6))),CC1472)/BS1472,0)*BS1472</f>
        <v>13</v>
      </c>
      <c r="BA1472" s="58" t="n">
        <f aca="false">IF(AX1472&gt;0,J1472/AX1472,-1)</f>
        <v>0</v>
      </c>
      <c r="BB1472" s="58" t="n">
        <f aca="false">IF(AND(OR(BY1472="L1",BY1472="L23"),AX1472&gt;0),SUMIFS($AX$7:$AX$1843,$BY$7:$BY$1843,BY1472,$BA$7:$BA$1843,"&gt;"&amp;BA1472)+SUMIFS($AX$7:$AX$1843,$BY$7:$BY$1843,BY1472,$BA$7:$BA$1843,BA1472,$BQ$7:$BQ$1843,"&lt;="&amp;BQ1472),"")</f>
        <v>116.615654876524</v>
      </c>
      <c r="BC1472" s="65" t="n">
        <f aca="false">IF(BB1472="",0,MAX(0,MIN(1,(IF(BY1472="L1",Parameter!$E$5,Parameter!$E$6+Parameter!$E$7)-(BB1472-AX1472))/AX1472)))</f>
        <v>0</v>
      </c>
      <c r="BD1472" s="55" t="str">
        <f aca="false">IF(AH1472&lt;=0,"",IF(BY1472="Aussen","Aussenlager",IF(BY1472="-","Nicht im Lift",IF(AM1472&gt;=1,"Lift",IF(AM1472&lt;=0,"Aussenlager","teilweise")))))</f>
        <v>Lift</v>
      </c>
      <c r="BE1472" s="55" t="str">
        <f aca="false">IF(AP1472&lt;=0,"",IF(BY1472="Aussen","Aussenlager",IF(BY1472="-","Nicht im Lift",IF(AU1472&gt;=1,"Lift",IF(AU1472&lt;=0,"Aussenlager","teilweise")))))</f>
        <v>Aussenlager</v>
      </c>
      <c r="BF1472" s="55" t="str">
        <f aca="false">IF(AX1472&lt;=0,"",IF(BY1472="Aussen","Aussenlager",IF(BY1472="-","Nicht im Lift",IF(BC1472&gt;=1,"Lift",IF(BC1472&lt;=0,"Aussenlager","teilweise")))))</f>
        <v>Aussenlager</v>
      </c>
      <c r="BG1472" s="55" t="str">
        <f aca="false">IF(A1472="","",IF(BP1472=1,"Neu; ","")&amp;IF(AND(BP1472=0,BK1472&lt;0),"negativer Bestand (Export "&amp;BK1472&amp;"); ","")&amp;IF(J1472&lt;=0,"Kein Verbrauch; ","")&amp;IF(CH1472&gt;0,"Lift "&amp;W1472&amp;" lt. Liftbericht (Fach "&amp;X1472&amp;" Stk); ",IF(BU1472=1,"Gebinde geschätzt ("&amp;T1472&amp;"); ",IF(BT1472=1,"Lose – Tablare geschätzt; ","")))&amp;IF(H1472&gt;AR1472,"Überbestand "&amp;ROUND(H1472-AR1472,0)&amp;" Stk / CHF "&amp;ROUND((H1472-AR1472)*G1472,0)&amp;"; ","")&amp;IF(AND(CA1472=1,CB1472&lt;CC1472),"MAX &lt; MB+LG; ","")&amp;IF(AND(CG1472&gt;0,CF1472*10&gt;CG1472),"zu hoch für Tablar; ","")&amp;IF(AND(BP1472=0,OR(CA1472=1,AA1472&lt;&gt;"",U1472&lt;&gt;"",V1472&lt;&gt;"",AB1472&lt;&gt;"")),"manuell übersteuert; ","")&amp;IF(AND(BT1472=0,R1472=0),"Gebinde unbekannt / Stellmass fehlt; ","")&amp;IF(AND(BT1472=0,N(V1472)&lt;=0,N(Q1472)&lt;=0),"Menge pro Gebinde fehlt (Ist = 1 Gebinde); ","")&amp;BO1472)</f>
        <v>Kein Verbrauch; nur im Artikelstamm (Bestand 23.06.2026); Überbestand</v>
      </c>
      <c r="BH1472" s="55"/>
      <c r="BI1472" s="55"/>
      <c r="BJ1472" s="62"/>
      <c r="BK1472" s="57" t="n">
        <v>13</v>
      </c>
      <c r="BL1472" s="57" t="n">
        <v>0</v>
      </c>
      <c r="BM1472" s="56" t="n">
        <v>0</v>
      </c>
      <c r="BN1472" s="57" t="n">
        <v>0</v>
      </c>
      <c r="BO1472" s="55" t="s">
        <v>2572</v>
      </c>
      <c r="BP1472" s="60" t="n">
        <v>0</v>
      </c>
      <c r="BQ1472" s="60" t="n">
        <v>1472</v>
      </c>
      <c r="BR1472" s="55" t="str">
        <f aca="false">IF(U1472&lt;&gt;"",UPPER(TRIM(U1472)),IF(BU1472=1,UPPER(VLOOKUP(T1472,Parameter!$I$27:$K$29,2,0)),IF(P1472="","LOSE",P1472)))</f>
        <v>S41</v>
      </c>
      <c r="BS1472" s="57" t="n">
        <f aca="false">IF(BR1472="LOSE",1,IF(N(V1472)&gt;0,V1472,IF(BU1472=1,MAX(1,N(VLOOKUP(T1472,Parameter!$I$27:$K$29,3,0)),H1472,N(N1472)),IF(N(Q1472)&gt;0,Q1472,MAX(1,H1472)))))</f>
        <v>13</v>
      </c>
      <c r="BT1472" s="60" t="n">
        <f aca="false">IF(BR1472="LOSE",1,0)</f>
        <v>0</v>
      </c>
      <c r="BU1472" s="60" t="n">
        <f aca="false">IF(AND(U1472="",OR(P1472="",P1472="LOSE"),T1472&lt;&gt;"",N(S1472)&lt;=0,ISNUMBER(MATCH(T1472,Parameter!$I$27:$I$29,0))),1,0)</f>
        <v>0</v>
      </c>
      <c r="BV1472" s="55" t="str">
        <f aca="false">IF(AND(Parameter!$B$19="Ja",E1472&lt;&gt;"",ISNUMBER(MATCH(E1472,Parameter!$I$35:$I$52,0))),VLOOKUP(E1472,Parameter!$I$35:$J$52,2,0),IFERROR(VLOOKUP(D1472,Parameter!$A$35:$C$64,2,0),"Nein"))</f>
        <v>2+3</v>
      </c>
      <c r="BW1472" s="59" t="n">
        <f aca="false">IF(BT1472=0,0,IF(N(S1472)&gt;0,S1472,IFERROR(VLOOKUP(D1472,Parameter!$A$35:$C$64,3,0)+0,0)))</f>
        <v>0</v>
      </c>
      <c r="BX1472" s="55" t="n">
        <f aca="false">IF(AA1472&lt;&gt;"",AA1472,Z1472)</f>
        <v>3</v>
      </c>
      <c r="BY1472" s="55" t="str">
        <f aca="false">IF(BX1472=1,"L1",IF(OR(BX1472=2,BX1472=3),"L23",IF(BX1472="Aussen","Aussen","-")))</f>
        <v>L23</v>
      </c>
      <c r="BZ1472" s="66" t="n">
        <f aca="false">IF(N(AB1472)&gt;0,AB1472,0)</f>
        <v>0</v>
      </c>
      <c r="CA1472" s="60" t="n">
        <f aca="false">IF(ISNUMBER(AE1472),1,0)</f>
        <v>0</v>
      </c>
      <c r="CB1472" s="57" t="n">
        <f aca="false">N(AE1472)</f>
        <v>0</v>
      </c>
      <c r="CC1472" s="57" t="n">
        <f aca="false">N(M1472)+N(N1472)</f>
        <v>1</v>
      </c>
      <c r="CD1472" s="57" t="n">
        <f aca="false">ROUNDUP(H1472/BS1472,0)</f>
        <v>1</v>
      </c>
      <c r="CE1472" s="57" t="n">
        <f aca="false">ROUNDUP(CB1472/BS1472,0)</f>
        <v>0</v>
      </c>
      <c r="CF1472" s="60" t="n">
        <f aca="false">IF(BT1472=1,0,IFERROR(VLOOKUP(BR1472,'Gebinde-Kategorie'!$A$5:$M$45,5,0)+0,0))</f>
        <v>11</v>
      </c>
      <c r="CG1472" s="60" t="n">
        <f aca="false">IFERROR(IF(OR(BX1472=1,BX1472=2,BX1472=3),N(INDEX(Parameter!$I$5:$I$7,BX1472)),0),0)</f>
        <v>0</v>
      </c>
      <c r="CH1472" s="59" t="n">
        <f aca="false">IF(AND(Parameter!$B$21="Ja",ISNUMBER(W1472),N(X1472)&gt;0),IFERROR(N(INDEX(Parameter!$L$5:$L$7,W1472))*INDEX(Parameter!$E$5:$E$7,W1472)*X1472/SUMIFS($X$7:$X$1843,$W$7:$W$1843,W1472),0),0)</f>
        <v>0</v>
      </c>
    </row>
    <row r="1473" customFormat="false" ht="15" hidden="false" customHeight="false" outlineLevel="0" collapsed="false">
      <c r="A1473" s="55" t="s">
        <v>2573</v>
      </c>
      <c r="B1473" s="55" t="s">
        <v>2574</v>
      </c>
      <c r="C1473" s="55" t="s">
        <v>167</v>
      </c>
      <c r="D1473" s="55" t="s">
        <v>184</v>
      </c>
      <c r="E1473" s="55" t="s">
        <v>185</v>
      </c>
      <c r="F1473" s="55"/>
      <c r="G1473" s="56" t="n">
        <v>15.99</v>
      </c>
      <c r="H1473" s="57" t="n">
        <f aca="false">MAX(0,IF(AND(Parameter!$B$21="Ja",ISNUMBER(Y1473)),Y1473,IF(Parameter!$B$20="Jahresanfang 2025 + Export",BL1473+BK1473,BK1473)))</f>
        <v>9</v>
      </c>
      <c r="I1473" s="57" t="n">
        <f aca="false">H1473*G1473</f>
        <v>143.91</v>
      </c>
      <c r="J1473" s="57" t="n">
        <f aca="false">BN1473*Parameter!$B$18</f>
        <v>0</v>
      </c>
      <c r="K1473" s="58"/>
      <c r="L1473" s="59"/>
      <c r="M1473" s="57" t="n">
        <v>0</v>
      </c>
      <c r="N1473" s="57" t="n">
        <v>20</v>
      </c>
      <c r="O1473" s="60" t="n">
        <v>14</v>
      </c>
      <c r="P1473" s="55" t="s">
        <v>476</v>
      </c>
      <c r="Q1473" s="57" t="n">
        <v>9</v>
      </c>
      <c r="R1473" s="60" t="n">
        <f aca="false">IF(BT1473=1,0,IFERROR(VLOOKUP(BR1473,'Gebinde-Kategorie'!$A$5:$M$45,13,0)+0,0))</f>
        <v>66</v>
      </c>
      <c r="S1473" s="61"/>
      <c r="T1473" s="62"/>
      <c r="U1473" s="62"/>
      <c r="V1473" s="62"/>
      <c r="W1473" s="55"/>
      <c r="X1473" s="57"/>
      <c r="Y1473" s="57"/>
      <c r="Z1473" s="55" t="n">
        <f aca="false">IF(A1473="","",IF(AND(Parameter!$B$21="Ja",ISNUMBER(W1473)),W1473,IF(BV1473="2+3",IF(ISNUMBER(SEARCH("grosser Artikel",BO1473)),2,IFERROR(VLOOKUP(BR1473,Parameter!$F$35:$G$64,2,0),2)),IF(OR(BV1473="Nein",BV1473=""),"-",BV1473))))</f>
        <v>3</v>
      </c>
      <c r="AA1473" s="62"/>
      <c r="AB1473" s="63"/>
      <c r="AC1473" s="57" t="n">
        <f aca="false">AR1473</f>
        <v>27</v>
      </c>
      <c r="AD1473" s="57" t="n">
        <f aca="false">MAX(AR1473,H1473)</f>
        <v>27</v>
      </c>
      <c r="AE1473" s="64"/>
      <c r="AF1473" s="57" t="n">
        <f aca="false">IF(LEFT(Cockpit!$C$5,1)="A",H1473,IF(CA1473=1,CB1473,IF(LEFT(Cockpit!$C$5,1)="B",AJ1473,MAX(AJ1473,H1473))))</f>
        <v>9</v>
      </c>
      <c r="AG1473" s="57" t="n">
        <f aca="false">IF(BT1473=1,0,ROUNDUP(AF1473/BS1473,0))</f>
        <v>1</v>
      </c>
      <c r="AH1473" s="59" t="n">
        <f aca="false">IF(CH1473&gt;0,CH1473*MAX(1,AF1473/X1473),IF(BT1473=1,IF(AF1473&lt;=0,0,BW1473*MAX(1,IF(H1473&gt;0,AF1473/H1473,1))),IF(R1473&gt;0,AG1473/R1473,0))/MAX(0.1,N(Parameter!$M$21)))</f>
        <v>0.0151515151515152</v>
      </c>
      <c r="AI1473" s="57" t="n">
        <f aca="false">AF1473*G1473</f>
        <v>143.91</v>
      </c>
      <c r="AJ1473" s="57" t="n">
        <f aca="false">ROUNDUP(MAX(J1473/IF(BZ1473&gt;0,BZ1473,MAX(0.1,N(Cockpit!$C$6))),CC1473)/BS1473,0)*BS1473</f>
        <v>27</v>
      </c>
      <c r="AK1473" s="58" t="n">
        <f aca="false">IF(AH1473&gt;0,J1473/AH1473,-1)</f>
        <v>0</v>
      </c>
      <c r="AL1473" s="58" t="n">
        <f aca="false">IF(AND(OR(BY1473="L1",BY1473="L23"),AH1473&gt;0),SUMIFS($AH$7:$AH$1843,$BY$7:$BY$1843,BY1473,$AK$7:$AK$1843,"&gt;"&amp;AK1473)+SUMIFS($AH$7:$AH$1843,$BY$7:$BY$1843,BY1473,$AK$7:$AK$1843,AK1473,$BQ$7:$BQ$1843,"&lt;="&amp;BQ1473),"")</f>
        <v>80.9815715685281</v>
      </c>
      <c r="AM1473" s="65" t="n">
        <f aca="false">IF(AL1473="",0,MAX(0,MIN(1,(IF(BY1473="L1",Parameter!$E$5,Parameter!$E$6+Parameter!$E$7)-(AL1473-AH1473))/AH1473)))</f>
        <v>1</v>
      </c>
      <c r="AN1473" s="57" t="n">
        <f aca="false">IF(LEFT(Cockpit!$I$5,1)="A",H1473,IF(CA1473=1,CB1473,IF(LEFT(Cockpit!$I$5,1)="B",AR1473,MAX(AR1473,H1473))))</f>
        <v>27</v>
      </c>
      <c r="AO1473" s="57" t="n">
        <f aca="false">IF(BT1473=1,0,ROUNDUP(AN1473/BS1473,0))</f>
        <v>3</v>
      </c>
      <c r="AP1473" s="59" t="n">
        <f aca="false">IF(CH1473&gt;0,CH1473*MAX(1,AN1473/X1473),IF(BT1473=1,IF(AN1473&lt;=0,0,BW1473*MAX(1,IF(H1473&gt;0,AN1473/H1473,1))),IF(R1473&gt;0,AO1473/R1473,0))/MAX(0.1,N(Parameter!$M$21)))</f>
        <v>0.0454545454545455</v>
      </c>
      <c r="AQ1473" s="57" t="n">
        <f aca="false">AN1473*G1473</f>
        <v>431.73</v>
      </c>
      <c r="AR1473" s="57" t="n">
        <f aca="false">ROUNDUP(MAX(J1473/IF(BZ1473&gt;0,BZ1473,MAX(0.1,N(Cockpit!$I$6))),CC1473)/BS1473,0)*BS1473</f>
        <v>27</v>
      </c>
      <c r="AS1473" s="58" t="n">
        <f aca="false">IF(AP1473&gt;0,J1473/AP1473,-1)</f>
        <v>0</v>
      </c>
      <c r="AT1473" s="58" t="n">
        <f aca="false">IF(AND(OR(BY1473="L1",BY1473="L23"),AP1473&gt;0),SUMIFS($AP$7:$AP$1843,$BY$7:$BY$1843,BY1473,$AS$7:$AS$1843,"&gt;"&amp;AS1473)+SUMIFS($AP$7:$AP$1843,$BY$7:$BY$1843,BY1473,$AS$7:$AS$1843,AS1473,$BQ$7:$BQ$1843,"&lt;="&amp;BQ1473),"")</f>
        <v>125.831272592142</v>
      </c>
      <c r="AU1473" s="65" t="n">
        <f aca="false">IF(AT1473="",0,MAX(0,MIN(1,(IF(BY1473="L1",Parameter!$E$5,Parameter!$E$6+Parameter!$E$7)-(AT1473-AP1473))/AP1473)))</f>
        <v>0</v>
      </c>
      <c r="AV1473" s="57" t="n">
        <f aca="false">IF(LEFT(Cockpit!$O$5,1)="A",H1473,IF(CA1473=1,CB1473,IF(LEFT(Cockpit!$O$5,1)="B",AZ1473,MAX(AZ1473,H1473))))</f>
        <v>27</v>
      </c>
      <c r="AW1473" s="57" t="n">
        <f aca="false">IF(BT1473=1,0,ROUNDUP(AV1473/BS1473,0))</f>
        <v>3</v>
      </c>
      <c r="AX1473" s="59" t="n">
        <f aca="false">IF(CH1473&gt;0,CH1473*MAX(1,AV1473/X1473),IF(BT1473=1,IF(AV1473&lt;=0,0,BW1473*MAX(1,IF(H1473&gt;0,AV1473/H1473,1))),IF(R1473&gt;0,AW1473/R1473,0))/MAX(0.1,N(Parameter!$M$21)))</f>
        <v>0.0454545454545455</v>
      </c>
      <c r="AY1473" s="57" t="n">
        <f aca="false">AV1473*G1473</f>
        <v>431.73</v>
      </c>
      <c r="AZ1473" s="57" t="n">
        <f aca="false">ROUNDUP(MAX(J1473/IF(BZ1473&gt;0,BZ1473,MAX(0.1,N(Cockpit!$O$6))),CC1473)/BS1473,0)*BS1473</f>
        <v>27</v>
      </c>
      <c r="BA1473" s="58" t="n">
        <f aca="false">IF(AX1473&gt;0,J1473/AX1473,-1)</f>
        <v>0</v>
      </c>
      <c r="BB1473" s="58" t="n">
        <f aca="false">IF(AND(OR(BY1473="L1",BY1473="L23"),AX1473&gt;0),SUMIFS($AX$7:$AX$1843,$BY$7:$BY$1843,BY1473,$BA$7:$BA$1843,"&gt;"&amp;BA1473)+SUMIFS($AX$7:$AX$1843,$BY$7:$BY$1843,BY1473,$BA$7:$BA$1843,BA1473,$BQ$7:$BQ$1843,"&lt;="&amp;BQ1473),"")</f>
        <v>116.661109421979</v>
      </c>
      <c r="BC1473" s="65" t="n">
        <f aca="false">IF(BB1473="",0,MAX(0,MIN(1,(IF(BY1473="L1",Parameter!$E$5,Parameter!$E$6+Parameter!$E$7)-(BB1473-AX1473))/AX1473)))</f>
        <v>0</v>
      </c>
      <c r="BD1473" s="55" t="str">
        <f aca="false">IF(AH1473&lt;=0,"",IF(BY1473="Aussen","Aussenlager",IF(BY1473="-","Nicht im Lift",IF(AM1473&gt;=1,"Lift",IF(AM1473&lt;=0,"Aussenlager","teilweise")))))</f>
        <v>Lift</v>
      </c>
      <c r="BE1473" s="55" t="str">
        <f aca="false">IF(AP1473&lt;=0,"",IF(BY1473="Aussen","Aussenlager",IF(BY1473="-","Nicht im Lift",IF(AU1473&gt;=1,"Lift",IF(AU1473&lt;=0,"Aussenlager","teilweise")))))</f>
        <v>Aussenlager</v>
      </c>
      <c r="BF1473" s="55" t="str">
        <f aca="false">IF(AX1473&lt;=0,"",IF(BY1473="Aussen","Aussenlager",IF(BY1473="-","Nicht im Lift",IF(BC1473&gt;=1,"Lift",IF(BC1473&lt;=0,"Aussenlager","teilweise")))))</f>
        <v>Aussenlager</v>
      </c>
      <c r="BG1473" s="55" t="str">
        <f aca="false">IF(A1473="","",IF(BP1473=1,"Neu; ","")&amp;IF(AND(BP1473=0,BK1473&lt;0),"negativer Bestand (Export "&amp;BK1473&amp;"); ","")&amp;IF(J1473&lt;=0,"Kein Verbrauch; ","")&amp;IF(CH1473&gt;0,"Lift "&amp;W1473&amp;" lt. Liftbericht (Fach "&amp;X1473&amp;" Stk); ",IF(BU1473=1,"Gebinde geschätzt ("&amp;T1473&amp;"); ",IF(BT1473=1,"Lose – Tablare geschätzt; ","")))&amp;IF(H1473&gt;AR1473,"Überbestand "&amp;ROUND(H1473-AR1473,0)&amp;" Stk / CHF "&amp;ROUND((H1473-AR1473)*G1473,0)&amp;"; ","")&amp;IF(AND(CA1473=1,CB1473&lt;CC1473),"MAX &lt; MB+LG; ","")&amp;IF(AND(CG1473&gt;0,CF1473*10&gt;CG1473),"zu hoch für Tablar; ","")&amp;IF(AND(BP1473=0,OR(CA1473=1,AA1473&lt;&gt;"",U1473&lt;&gt;"",V1473&lt;&gt;"",AB1473&lt;&gt;"")),"manuell übersteuert; ","")&amp;IF(AND(BT1473=0,R1473=0),"Gebinde unbekannt / Stellmass fehlt; ","")&amp;IF(AND(BT1473=0,N(V1473)&lt;=0,N(Q1473)&lt;=0),"Menge pro Gebinde fehlt (Ist = 1 Gebinde); ","")&amp;BO1473)</f>
        <v>Kein Verbrauch; nur im Artikelstamm (Bestand 23.06.2026)</v>
      </c>
      <c r="BH1473" s="55"/>
      <c r="BI1473" s="55"/>
      <c r="BJ1473" s="62"/>
      <c r="BK1473" s="57" t="n">
        <v>9</v>
      </c>
      <c r="BL1473" s="57" t="n">
        <v>0</v>
      </c>
      <c r="BM1473" s="56" t="n">
        <v>0</v>
      </c>
      <c r="BN1473" s="57" t="n">
        <v>0</v>
      </c>
      <c r="BO1473" s="55" t="s">
        <v>2575</v>
      </c>
      <c r="BP1473" s="60" t="n">
        <v>0</v>
      </c>
      <c r="BQ1473" s="60" t="n">
        <v>1473</v>
      </c>
      <c r="BR1473" s="55" t="str">
        <f aca="false">IF(U1473&lt;&gt;"",UPPER(TRIM(U1473)),IF(BU1473=1,UPPER(VLOOKUP(T1473,Parameter!$I$27:$K$29,2,0)),IF(P1473="","LOSE",P1473)))</f>
        <v>S33</v>
      </c>
      <c r="BS1473" s="57" t="n">
        <f aca="false">IF(BR1473="LOSE",1,IF(N(V1473)&gt;0,V1473,IF(BU1473=1,MAX(1,N(VLOOKUP(T1473,Parameter!$I$27:$K$29,3,0)),H1473,N(N1473)),IF(N(Q1473)&gt;0,Q1473,MAX(1,H1473)))))</f>
        <v>9</v>
      </c>
      <c r="BT1473" s="60" t="n">
        <f aca="false">IF(BR1473="LOSE",1,0)</f>
        <v>0</v>
      </c>
      <c r="BU1473" s="60" t="n">
        <f aca="false">IF(AND(U1473="",OR(P1473="",P1473="LOSE"),T1473&lt;&gt;"",N(S1473)&lt;=0,ISNUMBER(MATCH(T1473,Parameter!$I$27:$I$29,0))),1,0)</f>
        <v>0</v>
      </c>
      <c r="BV1473" s="55" t="str">
        <f aca="false">IF(AND(Parameter!$B$19="Ja",E1473&lt;&gt;"",ISNUMBER(MATCH(E1473,Parameter!$I$35:$I$52,0))),VLOOKUP(E1473,Parameter!$I$35:$J$52,2,0),IFERROR(VLOOKUP(D1473,Parameter!$A$35:$C$64,2,0),"Nein"))</f>
        <v>2+3</v>
      </c>
      <c r="BW1473" s="59" t="n">
        <f aca="false">IF(BT1473=0,0,IF(N(S1473)&gt;0,S1473,IFERROR(VLOOKUP(D1473,Parameter!$A$35:$C$64,3,0)+0,0)))</f>
        <v>0</v>
      </c>
      <c r="BX1473" s="55" t="n">
        <f aca="false">IF(AA1473&lt;&gt;"",AA1473,Z1473)</f>
        <v>3</v>
      </c>
      <c r="BY1473" s="55" t="str">
        <f aca="false">IF(BX1473=1,"L1",IF(OR(BX1473=2,BX1473=3),"L23",IF(BX1473="Aussen","Aussen","-")))</f>
        <v>L23</v>
      </c>
      <c r="BZ1473" s="66" t="n">
        <f aca="false">IF(N(AB1473)&gt;0,AB1473,0)</f>
        <v>0</v>
      </c>
      <c r="CA1473" s="60" t="n">
        <f aca="false">IF(ISNUMBER(AE1473),1,0)</f>
        <v>0</v>
      </c>
      <c r="CB1473" s="57" t="n">
        <f aca="false">N(AE1473)</f>
        <v>0</v>
      </c>
      <c r="CC1473" s="57" t="n">
        <f aca="false">N(M1473)+N(N1473)</f>
        <v>20</v>
      </c>
      <c r="CD1473" s="57" t="n">
        <f aca="false">ROUNDUP(H1473/BS1473,0)</f>
        <v>1</v>
      </c>
      <c r="CE1473" s="57" t="n">
        <f aca="false">ROUNDUP(CB1473/BS1473,0)</f>
        <v>0</v>
      </c>
      <c r="CF1473" s="60" t="n">
        <f aca="false">IF(BT1473=1,0,IFERROR(VLOOKUP(BR1473,'Gebinde-Kategorie'!$A$5:$M$45,5,0)+0,0))</f>
        <v>8</v>
      </c>
      <c r="CG1473" s="60" t="n">
        <f aca="false">IFERROR(IF(OR(BX1473=1,BX1473=2,BX1473=3),N(INDEX(Parameter!$I$5:$I$7,BX1473)),0),0)</f>
        <v>0</v>
      </c>
      <c r="CH1473" s="59" t="n">
        <f aca="false">IF(AND(Parameter!$B$21="Ja",ISNUMBER(W1473),N(X1473)&gt;0),IFERROR(N(INDEX(Parameter!$L$5:$L$7,W1473))*INDEX(Parameter!$E$5:$E$7,W1473)*X1473/SUMIFS($X$7:$X$1843,$W$7:$W$1843,W1473),0),0)</f>
        <v>0</v>
      </c>
    </row>
    <row r="1474" customFormat="false" ht="15" hidden="false" customHeight="false" outlineLevel="0" collapsed="false">
      <c r="A1474" s="55" t="s">
        <v>2576</v>
      </c>
      <c r="B1474" s="55" t="s">
        <v>2577</v>
      </c>
      <c r="C1474" s="55" t="s">
        <v>164</v>
      </c>
      <c r="D1474" s="55" t="s">
        <v>184</v>
      </c>
      <c r="E1474" s="55" t="s">
        <v>185</v>
      </c>
      <c r="F1474" s="55"/>
      <c r="G1474" s="56" t="n">
        <v>57.38</v>
      </c>
      <c r="H1474" s="57" t="n">
        <f aca="false">MAX(0,IF(AND(Parameter!$B$21="Ja",ISNUMBER(Y1474)),Y1474,IF(Parameter!$B$20="Jahresanfang 2025 + Export",BL1474+BK1474,BK1474)))</f>
        <v>4</v>
      </c>
      <c r="I1474" s="57" t="n">
        <f aca="false">H1474*G1474</f>
        <v>229.52</v>
      </c>
      <c r="J1474" s="57" t="n">
        <f aca="false">BN1474*Parameter!$B$18</f>
        <v>0</v>
      </c>
      <c r="K1474" s="58"/>
      <c r="L1474" s="59"/>
      <c r="M1474" s="57" t="n">
        <v>0</v>
      </c>
      <c r="N1474" s="57" t="n">
        <v>10</v>
      </c>
      <c r="O1474" s="60" t="n">
        <v>14</v>
      </c>
      <c r="P1474" s="55" t="s">
        <v>426</v>
      </c>
      <c r="Q1474" s="57" t="n">
        <v>6</v>
      </c>
      <c r="R1474" s="60" t="n">
        <f aca="false">IF(BT1474=1,0,IFERROR(VLOOKUP(BR1474,'Gebinde-Kategorie'!$A$5:$M$45,13,0)+0,0))</f>
        <v>198</v>
      </c>
      <c r="S1474" s="61"/>
      <c r="T1474" s="62"/>
      <c r="U1474" s="62"/>
      <c r="V1474" s="62"/>
      <c r="W1474" s="55"/>
      <c r="X1474" s="57"/>
      <c r="Y1474" s="57"/>
      <c r="Z1474" s="55" t="n">
        <f aca="false">IF(A1474="","",IF(AND(Parameter!$B$21="Ja",ISNUMBER(W1474)),W1474,IF(BV1474="2+3",IF(ISNUMBER(SEARCH("grosser Artikel",BO1474)),2,IFERROR(VLOOKUP(BR1474,Parameter!$F$35:$G$64,2,0),2)),IF(OR(BV1474="Nein",BV1474=""),"-",BV1474))))</f>
        <v>3</v>
      </c>
      <c r="AA1474" s="62"/>
      <c r="AB1474" s="63"/>
      <c r="AC1474" s="57" t="n">
        <f aca="false">AR1474</f>
        <v>12</v>
      </c>
      <c r="AD1474" s="57" t="n">
        <f aca="false">MAX(AR1474,H1474)</f>
        <v>12</v>
      </c>
      <c r="AE1474" s="64"/>
      <c r="AF1474" s="57" t="n">
        <f aca="false">IF(LEFT(Cockpit!$C$5,1)="A",H1474,IF(CA1474=1,CB1474,IF(LEFT(Cockpit!$C$5,1)="B",AJ1474,MAX(AJ1474,H1474))))</f>
        <v>4</v>
      </c>
      <c r="AG1474" s="57" t="n">
        <f aca="false">IF(BT1474=1,0,ROUNDUP(AF1474/BS1474,0))</f>
        <v>1</v>
      </c>
      <c r="AH1474" s="59" t="n">
        <f aca="false">IF(CH1474&gt;0,CH1474*MAX(1,AF1474/X1474),IF(BT1474=1,IF(AF1474&lt;=0,0,BW1474*MAX(1,IF(H1474&gt;0,AF1474/H1474,1))),IF(R1474&gt;0,AG1474/R1474,0))/MAX(0.1,N(Parameter!$M$21)))</f>
        <v>0.00505050505050505</v>
      </c>
      <c r="AI1474" s="57" t="n">
        <f aca="false">AF1474*G1474</f>
        <v>229.52</v>
      </c>
      <c r="AJ1474" s="57" t="n">
        <f aca="false">ROUNDUP(MAX(J1474/IF(BZ1474&gt;0,BZ1474,MAX(0.1,N(Cockpit!$C$6))),CC1474)/BS1474,0)*BS1474</f>
        <v>12</v>
      </c>
      <c r="AK1474" s="58" t="n">
        <f aca="false">IF(AH1474&gt;0,J1474/AH1474,-1)</f>
        <v>0</v>
      </c>
      <c r="AL1474" s="58" t="n">
        <f aca="false">IF(AND(OR(BY1474="L1",BY1474="L23"),AH1474&gt;0),SUMIFS($AH$7:$AH$1843,$BY$7:$BY$1843,BY1474,$AK$7:$AK$1843,"&gt;"&amp;AK1474)+SUMIFS($AH$7:$AH$1843,$BY$7:$BY$1843,BY1474,$AK$7:$AK$1843,AK1474,$BQ$7:$BQ$1843,"&lt;="&amp;BQ1474),"")</f>
        <v>80.9866220735786</v>
      </c>
      <c r="AM1474" s="65" t="n">
        <f aca="false">IF(AL1474="",0,MAX(0,MIN(1,(IF(BY1474="L1",Parameter!$E$5,Parameter!$E$6+Parameter!$E$7)-(AL1474-AH1474))/AH1474)))</f>
        <v>1</v>
      </c>
      <c r="AN1474" s="57" t="n">
        <f aca="false">IF(LEFT(Cockpit!$I$5,1)="A",H1474,IF(CA1474=1,CB1474,IF(LEFT(Cockpit!$I$5,1)="B",AR1474,MAX(AR1474,H1474))))</f>
        <v>12</v>
      </c>
      <c r="AO1474" s="57" t="n">
        <f aca="false">IF(BT1474=1,0,ROUNDUP(AN1474/BS1474,0))</f>
        <v>2</v>
      </c>
      <c r="AP1474" s="59" t="n">
        <f aca="false">IF(CH1474&gt;0,CH1474*MAX(1,AN1474/X1474),IF(BT1474=1,IF(AN1474&lt;=0,0,BW1474*MAX(1,IF(H1474&gt;0,AN1474/H1474,1))),IF(R1474&gt;0,AO1474/R1474,0))/MAX(0.1,N(Parameter!$M$21)))</f>
        <v>0.0101010101010101</v>
      </c>
      <c r="AQ1474" s="57" t="n">
        <f aca="false">AN1474*G1474</f>
        <v>688.56</v>
      </c>
      <c r="AR1474" s="57" t="n">
        <f aca="false">ROUNDUP(MAX(J1474/IF(BZ1474&gt;0,BZ1474,MAX(0.1,N(Cockpit!$I$6))),CC1474)/BS1474,0)*BS1474</f>
        <v>12</v>
      </c>
      <c r="AS1474" s="58" t="n">
        <f aca="false">IF(AP1474&gt;0,J1474/AP1474,-1)</f>
        <v>0</v>
      </c>
      <c r="AT1474" s="58" t="n">
        <f aca="false">IF(AND(OR(BY1474="L1",BY1474="L23"),AP1474&gt;0),SUMIFS($AP$7:$AP$1843,$BY$7:$BY$1843,BY1474,$AS$7:$AS$1843,"&gt;"&amp;AS1474)+SUMIFS($AP$7:$AP$1843,$BY$7:$BY$1843,BY1474,$AS$7:$AS$1843,AS1474,$BQ$7:$BQ$1843,"&lt;="&amp;BQ1474),"")</f>
        <v>125.841373602243</v>
      </c>
      <c r="AU1474" s="65" t="n">
        <f aca="false">IF(AT1474="",0,MAX(0,MIN(1,(IF(BY1474="L1",Parameter!$E$5,Parameter!$E$6+Parameter!$E$7)-(AT1474-AP1474))/AP1474)))</f>
        <v>0</v>
      </c>
      <c r="AV1474" s="57" t="n">
        <f aca="false">IF(LEFT(Cockpit!$O$5,1)="A",H1474,IF(CA1474=1,CB1474,IF(LEFT(Cockpit!$O$5,1)="B",AZ1474,MAX(AZ1474,H1474))))</f>
        <v>12</v>
      </c>
      <c r="AW1474" s="57" t="n">
        <f aca="false">IF(BT1474=1,0,ROUNDUP(AV1474/BS1474,0))</f>
        <v>2</v>
      </c>
      <c r="AX1474" s="59" t="n">
        <f aca="false">IF(CH1474&gt;0,CH1474*MAX(1,AV1474/X1474),IF(BT1474=1,IF(AV1474&lt;=0,0,BW1474*MAX(1,IF(H1474&gt;0,AV1474/H1474,1))),IF(R1474&gt;0,AW1474/R1474,0))/MAX(0.1,N(Parameter!$M$21)))</f>
        <v>0.0101010101010101</v>
      </c>
      <c r="AY1474" s="57" t="n">
        <f aca="false">AV1474*G1474</f>
        <v>688.56</v>
      </c>
      <c r="AZ1474" s="57" t="n">
        <f aca="false">ROUNDUP(MAX(J1474/IF(BZ1474&gt;0,BZ1474,MAX(0.1,N(Cockpit!$O$6))),CC1474)/BS1474,0)*BS1474</f>
        <v>12</v>
      </c>
      <c r="BA1474" s="58" t="n">
        <f aca="false">IF(AX1474&gt;0,J1474/AX1474,-1)</f>
        <v>0</v>
      </c>
      <c r="BB1474" s="58" t="n">
        <f aca="false">IF(AND(OR(BY1474="L1",BY1474="L23"),AX1474&gt;0),SUMIFS($AX$7:$AX$1843,$BY$7:$BY$1843,BY1474,$BA$7:$BA$1843,"&gt;"&amp;BA1474)+SUMIFS($AX$7:$AX$1843,$BY$7:$BY$1843,BY1474,$BA$7:$BA$1843,BA1474,$BQ$7:$BQ$1843,"&lt;="&amp;BQ1474),"")</f>
        <v>116.67121043208</v>
      </c>
      <c r="BC1474" s="65" t="n">
        <f aca="false">IF(BB1474="",0,MAX(0,MIN(1,(IF(BY1474="L1",Parameter!$E$5,Parameter!$E$6+Parameter!$E$7)-(BB1474-AX1474))/AX1474)))</f>
        <v>0</v>
      </c>
      <c r="BD1474" s="55" t="str">
        <f aca="false">IF(AH1474&lt;=0,"",IF(BY1474="Aussen","Aussenlager",IF(BY1474="-","Nicht im Lift",IF(AM1474&gt;=1,"Lift",IF(AM1474&lt;=0,"Aussenlager","teilweise")))))</f>
        <v>Lift</v>
      </c>
      <c r="BE1474" s="55" t="str">
        <f aca="false">IF(AP1474&lt;=0,"",IF(BY1474="Aussen","Aussenlager",IF(BY1474="-","Nicht im Lift",IF(AU1474&gt;=1,"Lift",IF(AU1474&lt;=0,"Aussenlager","teilweise")))))</f>
        <v>Aussenlager</v>
      </c>
      <c r="BF1474" s="55" t="str">
        <f aca="false">IF(AX1474&lt;=0,"",IF(BY1474="Aussen","Aussenlager",IF(BY1474="-","Nicht im Lift",IF(BC1474&gt;=1,"Lift",IF(BC1474&lt;=0,"Aussenlager","teilweise")))))</f>
        <v>Aussenlager</v>
      </c>
      <c r="BG1474" s="55" t="str">
        <f aca="false">IF(A1474="","",IF(BP1474=1,"Neu; ","")&amp;IF(AND(BP1474=0,BK1474&lt;0),"negativer Bestand (Export "&amp;BK1474&amp;"); ","")&amp;IF(J1474&lt;=0,"Kein Verbrauch; ","")&amp;IF(CH1474&gt;0,"Lift "&amp;W1474&amp;" lt. Liftbericht (Fach "&amp;X1474&amp;" Stk); ",IF(BU1474=1,"Gebinde geschätzt ("&amp;T1474&amp;"); ",IF(BT1474=1,"Lose – Tablare geschätzt; ","")))&amp;IF(H1474&gt;AR1474,"Überbestand "&amp;ROUND(H1474-AR1474,0)&amp;" Stk / CHF "&amp;ROUND((H1474-AR1474)*G1474,0)&amp;"; ","")&amp;IF(AND(CA1474=1,CB1474&lt;CC1474),"MAX &lt; MB+LG; ","")&amp;IF(AND(CG1474&gt;0,CF1474*10&gt;CG1474),"zu hoch für Tablar; ","")&amp;IF(AND(BP1474=0,OR(CA1474=1,AA1474&lt;&gt;"",U1474&lt;&gt;"",V1474&lt;&gt;"",AB1474&lt;&gt;"")),"manuell übersteuert; ","")&amp;IF(AND(BT1474=0,R1474=0),"Gebinde unbekannt / Stellmass fehlt; ","")&amp;IF(AND(BT1474=0,N(V1474)&lt;=0,N(Q1474)&lt;=0),"Menge pro Gebinde fehlt (Ist = 1 Gebinde); ","")&amp;BO1474)</f>
        <v>Kein Verbrauch; nur im Artikelstamm (Bestand 23.06.2026); Verb.Lager</v>
      </c>
      <c r="BH1474" s="55"/>
      <c r="BI1474" s="55"/>
      <c r="BJ1474" s="62"/>
      <c r="BK1474" s="57" t="n">
        <v>4</v>
      </c>
      <c r="BL1474" s="57" t="n">
        <v>0</v>
      </c>
      <c r="BM1474" s="56" t="n">
        <v>0</v>
      </c>
      <c r="BN1474" s="57" t="n">
        <v>0</v>
      </c>
      <c r="BO1474" s="55" t="s">
        <v>2569</v>
      </c>
      <c r="BP1474" s="60" t="n">
        <v>0</v>
      </c>
      <c r="BQ1474" s="60" t="n">
        <v>1474</v>
      </c>
      <c r="BR1474" s="55" t="str">
        <f aca="false">IF(U1474&lt;&gt;"",UPPER(TRIM(U1474)),IF(BU1474=1,UPPER(VLOOKUP(T1474,Parameter!$I$27:$K$29,2,0)),IF(P1474="","LOSE",P1474)))</f>
        <v>S22</v>
      </c>
      <c r="BS1474" s="57" t="n">
        <f aca="false">IF(BR1474="LOSE",1,IF(N(V1474)&gt;0,V1474,IF(BU1474=1,MAX(1,N(VLOOKUP(T1474,Parameter!$I$27:$K$29,3,0)),H1474,N(N1474)),IF(N(Q1474)&gt;0,Q1474,MAX(1,H1474)))))</f>
        <v>6</v>
      </c>
      <c r="BT1474" s="60" t="n">
        <f aca="false">IF(BR1474="LOSE",1,0)</f>
        <v>0</v>
      </c>
      <c r="BU1474" s="60" t="n">
        <f aca="false">IF(AND(U1474="",OR(P1474="",P1474="LOSE"),T1474&lt;&gt;"",N(S1474)&lt;=0,ISNUMBER(MATCH(T1474,Parameter!$I$27:$I$29,0))),1,0)</f>
        <v>0</v>
      </c>
      <c r="BV1474" s="55" t="str">
        <f aca="false">IF(AND(Parameter!$B$19="Ja",E1474&lt;&gt;"",ISNUMBER(MATCH(E1474,Parameter!$I$35:$I$52,0))),VLOOKUP(E1474,Parameter!$I$35:$J$52,2,0),IFERROR(VLOOKUP(D1474,Parameter!$A$35:$C$64,2,0),"Nein"))</f>
        <v>2+3</v>
      </c>
      <c r="BW1474" s="59" t="n">
        <f aca="false">IF(BT1474=0,0,IF(N(S1474)&gt;0,S1474,IFERROR(VLOOKUP(D1474,Parameter!$A$35:$C$64,3,0)+0,0)))</f>
        <v>0</v>
      </c>
      <c r="BX1474" s="55" t="n">
        <f aca="false">IF(AA1474&lt;&gt;"",AA1474,Z1474)</f>
        <v>3</v>
      </c>
      <c r="BY1474" s="55" t="str">
        <f aca="false">IF(BX1474=1,"L1",IF(OR(BX1474=2,BX1474=3),"L23",IF(BX1474="Aussen","Aussen","-")))</f>
        <v>L23</v>
      </c>
      <c r="BZ1474" s="66" t="n">
        <f aca="false">IF(N(AB1474)&gt;0,AB1474,0)</f>
        <v>0</v>
      </c>
      <c r="CA1474" s="60" t="n">
        <f aca="false">IF(ISNUMBER(AE1474),1,0)</f>
        <v>0</v>
      </c>
      <c r="CB1474" s="57" t="n">
        <f aca="false">N(AE1474)</f>
        <v>0</v>
      </c>
      <c r="CC1474" s="57" t="n">
        <f aca="false">N(M1474)+N(N1474)</f>
        <v>10</v>
      </c>
      <c r="CD1474" s="57" t="n">
        <f aca="false">ROUNDUP(H1474/BS1474,0)</f>
        <v>1</v>
      </c>
      <c r="CE1474" s="57" t="n">
        <f aca="false">ROUNDUP(CB1474/BS1474,0)</f>
        <v>0</v>
      </c>
      <c r="CF1474" s="60" t="n">
        <f aca="false">IF(BT1474=1,0,IFERROR(VLOOKUP(BR1474,'Gebinde-Kategorie'!$A$5:$M$45,5,0)+0,0))</f>
        <v>8</v>
      </c>
      <c r="CG1474" s="60" t="n">
        <f aca="false">IFERROR(IF(OR(BX1474=1,BX1474=2,BX1474=3),N(INDEX(Parameter!$I$5:$I$7,BX1474)),0),0)</f>
        <v>0</v>
      </c>
      <c r="CH1474" s="59" t="n">
        <f aca="false">IF(AND(Parameter!$B$21="Ja",ISNUMBER(W1474),N(X1474)&gt;0),IFERROR(N(INDEX(Parameter!$L$5:$L$7,W1474))*INDEX(Parameter!$E$5:$E$7,W1474)*X1474/SUMIFS($X$7:$X$1843,$W$7:$W$1843,W1474),0),0)</f>
        <v>0</v>
      </c>
    </row>
    <row r="1475" customFormat="false" ht="15" hidden="false" customHeight="false" outlineLevel="0" collapsed="false">
      <c r="A1475" s="55" t="s">
        <v>2578</v>
      </c>
      <c r="B1475" s="55" t="s">
        <v>2579</v>
      </c>
      <c r="C1475" s="55" t="s">
        <v>164</v>
      </c>
      <c r="D1475" s="55" t="s">
        <v>184</v>
      </c>
      <c r="E1475" s="55" t="s">
        <v>185</v>
      </c>
      <c r="F1475" s="55"/>
      <c r="G1475" s="56" t="n">
        <v>70.21</v>
      </c>
      <c r="H1475" s="57" t="n">
        <f aca="false">MAX(0,IF(AND(Parameter!$B$21="Ja",ISNUMBER(Y1475)),Y1475,IF(Parameter!$B$20="Jahresanfang 2025 + Export",BL1475+BK1475,BK1475)))</f>
        <v>4</v>
      </c>
      <c r="I1475" s="57" t="n">
        <f aca="false">H1475*G1475</f>
        <v>280.84</v>
      </c>
      <c r="J1475" s="57" t="n">
        <f aca="false">BN1475*Parameter!$B$18</f>
        <v>0</v>
      </c>
      <c r="K1475" s="58"/>
      <c r="L1475" s="59"/>
      <c r="M1475" s="57" t="n">
        <v>0</v>
      </c>
      <c r="N1475" s="57" t="n">
        <v>5</v>
      </c>
      <c r="O1475" s="60" t="n">
        <v>14</v>
      </c>
      <c r="P1475" s="55" t="s">
        <v>328</v>
      </c>
      <c r="Q1475" s="57" t="n">
        <v>4</v>
      </c>
      <c r="R1475" s="60" t="n">
        <f aca="false">IF(BT1475=1,0,IFERROR(VLOOKUP(BR1475,'Gebinde-Kategorie'!$A$5:$M$45,13,0)+0,0))</f>
        <v>52</v>
      </c>
      <c r="S1475" s="61"/>
      <c r="T1475" s="62"/>
      <c r="U1475" s="62"/>
      <c r="V1475" s="62"/>
      <c r="W1475" s="55"/>
      <c r="X1475" s="57"/>
      <c r="Y1475" s="57"/>
      <c r="Z1475" s="55" t="n">
        <f aca="false">IF(A1475="","",IF(AND(Parameter!$B$21="Ja",ISNUMBER(W1475)),W1475,IF(BV1475="2+3",IF(ISNUMBER(SEARCH("grosser Artikel",BO1475)),2,IFERROR(VLOOKUP(BR1475,Parameter!$F$35:$G$64,2,0),2)),IF(OR(BV1475="Nein",BV1475=""),"-",BV1475))))</f>
        <v>3</v>
      </c>
      <c r="AA1475" s="62"/>
      <c r="AB1475" s="63"/>
      <c r="AC1475" s="57" t="n">
        <f aca="false">AR1475</f>
        <v>8</v>
      </c>
      <c r="AD1475" s="57" t="n">
        <f aca="false">MAX(AR1475,H1475)</f>
        <v>8</v>
      </c>
      <c r="AE1475" s="64"/>
      <c r="AF1475" s="57" t="n">
        <f aca="false">IF(LEFT(Cockpit!$C$5,1)="A",H1475,IF(CA1475=1,CB1475,IF(LEFT(Cockpit!$C$5,1)="B",AJ1475,MAX(AJ1475,H1475))))</f>
        <v>4</v>
      </c>
      <c r="AG1475" s="57" t="n">
        <f aca="false">IF(BT1475=1,0,ROUNDUP(AF1475/BS1475,0))</f>
        <v>1</v>
      </c>
      <c r="AH1475" s="59" t="n">
        <f aca="false">IF(CH1475&gt;0,CH1475*MAX(1,AF1475/X1475),IF(BT1475=1,IF(AF1475&lt;=0,0,BW1475*MAX(1,IF(H1475&gt;0,AF1475/H1475,1))),IF(R1475&gt;0,AG1475/R1475,0))/MAX(0.1,N(Parameter!$M$21)))</f>
        <v>0.0192307692307692</v>
      </c>
      <c r="AI1475" s="57" t="n">
        <f aca="false">AF1475*G1475</f>
        <v>280.84</v>
      </c>
      <c r="AJ1475" s="57" t="n">
        <f aca="false">ROUNDUP(MAX(J1475/IF(BZ1475&gt;0,BZ1475,MAX(0.1,N(Cockpit!$C$6))),CC1475)/BS1475,0)*BS1475</f>
        <v>8</v>
      </c>
      <c r="AK1475" s="58" t="n">
        <f aca="false">IF(AH1475&gt;0,J1475/AH1475,-1)</f>
        <v>0</v>
      </c>
      <c r="AL1475" s="58" t="n">
        <f aca="false">IF(AND(OR(BY1475="L1",BY1475="L23"),AH1475&gt;0),SUMIFS($AH$7:$AH$1843,$BY$7:$BY$1843,BY1475,$AK$7:$AK$1843,"&gt;"&amp;AK1475)+SUMIFS($AH$7:$AH$1843,$BY$7:$BY$1843,BY1475,$AK$7:$AK$1843,AK1475,$BQ$7:$BQ$1843,"&lt;="&amp;BQ1475),"")</f>
        <v>81.0058528428094</v>
      </c>
      <c r="AM1475" s="65" t="n">
        <f aca="false">IF(AL1475="",0,MAX(0,MIN(1,(IF(BY1475="L1",Parameter!$E$5,Parameter!$E$6+Parameter!$E$7)-(AL1475-AH1475))/AH1475)))</f>
        <v>1</v>
      </c>
      <c r="AN1475" s="57" t="n">
        <f aca="false">IF(LEFT(Cockpit!$I$5,1)="A",H1475,IF(CA1475=1,CB1475,IF(LEFT(Cockpit!$I$5,1)="B",AR1475,MAX(AR1475,H1475))))</f>
        <v>8</v>
      </c>
      <c r="AO1475" s="57" t="n">
        <f aca="false">IF(BT1475=1,0,ROUNDUP(AN1475/BS1475,0))</f>
        <v>2</v>
      </c>
      <c r="AP1475" s="59" t="n">
        <f aca="false">IF(CH1475&gt;0,CH1475*MAX(1,AN1475/X1475),IF(BT1475=1,IF(AN1475&lt;=0,0,BW1475*MAX(1,IF(H1475&gt;0,AN1475/H1475,1))),IF(R1475&gt;0,AO1475/R1475,0))/MAX(0.1,N(Parameter!$M$21)))</f>
        <v>0.0384615384615385</v>
      </c>
      <c r="AQ1475" s="57" t="n">
        <f aca="false">AN1475*G1475</f>
        <v>561.68</v>
      </c>
      <c r="AR1475" s="57" t="n">
        <f aca="false">ROUNDUP(MAX(J1475/IF(BZ1475&gt;0,BZ1475,MAX(0.1,N(Cockpit!$I$6))),CC1475)/BS1475,0)*BS1475</f>
        <v>8</v>
      </c>
      <c r="AS1475" s="58" t="n">
        <f aca="false">IF(AP1475&gt;0,J1475/AP1475,-1)</f>
        <v>0</v>
      </c>
      <c r="AT1475" s="58" t="n">
        <f aca="false">IF(AND(OR(BY1475="L1",BY1475="L23"),AP1475&gt;0),SUMIFS($AP$7:$AP$1843,$BY$7:$BY$1843,BY1475,$AS$7:$AS$1843,"&gt;"&amp;AS1475)+SUMIFS($AP$7:$AP$1843,$BY$7:$BY$1843,BY1475,$AS$7:$AS$1843,AS1475,$BQ$7:$BQ$1843,"&lt;="&amp;BQ1475),"")</f>
        <v>125.879835140705</v>
      </c>
      <c r="AU1475" s="65" t="n">
        <f aca="false">IF(AT1475="",0,MAX(0,MIN(1,(IF(BY1475="L1",Parameter!$E$5,Parameter!$E$6+Parameter!$E$7)-(AT1475-AP1475))/AP1475)))</f>
        <v>0</v>
      </c>
      <c r="AV1475" s="57" t="n">
        <f aca="false">IF(LEFT(Cockpit!$O$5,1)="A",H1475,IF(CA1475=1,CB1475,IF(LEFT(Cockpit!$O$5,1)="B",AZ1475,MAX(AZ1475,H1475))))</f>
        <v>8</v>
      </c>
      <c r="AW1475" s="57" t="n">
        <f aca="false">IF(BT1475=1,0,ROUNDUP(AV1475/BS1475,0))</f>
        <v>2</v>
      </c>
      <c r="AX1475" s="59" t="n">
        <f aca="false">IF(CH1475&gt;0,CH1475*MAX(1,AV1475/X1475),IF(BT1475=1,IF(AV1475&lt;=0,0,BW1475*MAX(1,IF(H1475&gt;0,AV1475/H1475,1))),IF(R1475&gt;0,AW1475/R1475,0))/MAX(0.1,N(Parameter!$M$21)))</f>
        <v>0.0384615384615385</v>
      </c>
      <c r="AY1475" s="57" t="n">
        <f aca="false">AV1475*G1475</f>
        <v>561.68</v>
      </c>
      <c r="AZ1475" s="57" t="n">
        <f aca="false">ROUNDUP(MAX(J1475/IF(BZ1475&gt;0,BZ1475,MAX(0.1,N(Cockpit!$O$6))),CC1475)/BS1475,0)*BS1475</f>
        <v>8</v>
      </c>
      <c r="BA1475" s="58" t="n">
        <f aca="false">IF(AX1475&gt;0,J1475/AX1475,-1)</f>
        <v>0</v>
      </c>
      <c r="BB1475" s="58" t="n">
        <f aca="false">IF(AND(OR(BY1475="L1",BY1475="L23"),AX1475&gt;0),SUMIFS($AX$7:$AX$1843,$BY$7:$BY$1843,BY1475,$BA$7:$BA$1843,"&gt;"&amp;BA1475)+SUMIFS($AX$7:$AX$1843,$BY$7:$BY$1843,BY1475,$BA$7:$BA$1843,BA1475,$BQ$7:$BQ$1843,"&lt;="&amp;BQ1475),"")</f>
        <v>116.709671970542</v>
      </c>
      <c r="BC1475" s="65" t="n">
        <f aca="false">IF(BB1475="",0,MAX(0,MIN(1,(IF(BY1475="L1",Parameter!$E$5,Parameter!$E$6+Parameter!$E$7)-(BB1475-AX1475))/AX1475)))</f>
        <v>0</v>
      </c>
      <c r="BD1475" s="55" t="str">
        <f aca="false">IF(AH1475&lt;=0,"",IF(BY1475="Aussen","Aussenlager",IF(BY1475="-","Nicht im Lift",IF(AM1475&gt;=1,"Lift",IF(AM1475&lt;=0,"Aussenlager","teilweise")))))</f>
        <v>Lift</v>
      </c>
      <c r="BE1475" s="55" t="str">
        <f aca="false">IF(AP1475&lt;=0,"",IF(BY1475="Aussen","Aussenlager",IF(BY1475="-","Nicht im Lift",IF(AU1475&gt;=1,"Lift",IF(AU1475&lt;=0,"Aussenlager","teilweise")))))</f>
        <v>Aussenlager</v>
      </c>
      <c r="BF1475" s="55" t="str">
        <f aca="false">IF(AX1475&lt;=0,"",IF(BY1475="Aussen","Aussenlager",IF(BY1475="-","Nicht im Lift",IF(BC1475&gt;=1,"Lift",IF(BC1475&lt;=0,"Aussenlager","teilweise")))))</f>
        <v>Aussenlager</v>
      </c>
      <c r="BG1475" s="55" t="str">
        <f aca="false">IF(A1475="","",IF(BP1475=1,"Neu; ","")&amp;IF(AND(BP1475=0,BK1475&lt;0),"negativer Bestand (Export "&amp;BK1475&amp;"); ","")&amp;IF(J1475&lt;=0,"Kein Verbrauch; ","")&amp;IF(CH1475&gt;0,"Lift "&amp;W1475&amp;" lt. Liftbericht (Fach "&amp;X1475&amp;" Stk); ",IF(BU1475=1,"Gebinde geschätzt ("&amp;T1475&amp;"); ",IF(BT1475=1,"Lose – Tablare geschätzt; ","")))&amp;IF(H1475&gt;AR1475,"Überbestand "&amp;ROUND(H1475-AR1475,0)&amp;" Stk / CHF "&amp;ROUND((H1475-AR1475)*G1475,0)&amp;"; ","")&amp;IF(AND(CA1475=1,CB1475&lt;CC1475),"MAX &lt; MB+LG; ","")&amp;IF(AND(CG1475&gt;0,CF1475*10&gt;CG1475),"zu hoch für Tablar; ","")&amp;IF(AND(BP1475=0,OR(CA1475=1,AA1475&lt;&gt;"",U1475&lt;&gt;"",V1475&lt;&gt;"",AB1475&lt;&gt;"")),"manuell übersteuert; ","")&amp;IF(AND(BT1475=0,R1475=0),"Gebinde unbekannt / Stellmass fehlt; ","")&amp;IF(AND(BT1475=0,N(V1475)&lt;=0,N(Q1475)&lt;=0),"Menge pro Gebinde fehlt (Ist = 1 Gebinde); ","")&amp;BO1475)</f>
        <v>Kein Verbrauch; nur im Artikelstamm (Bestand 23.06.2026)</v>
      </c>
      <c r="BH1475" s="55"/>
      <c r="BI1475" s="55"/>
      <c r="BJ1475" s="62"/>
      <c r="BK1475" s="57" t="n">
        <v>4</v>
      </c>
      <c r="BL1475" s="57" t="n">
        <v>0</v>
      </c>
      <c r="BM1475" s="56" t="n">
        <v>0</v>
      </c>
      <c r="BN1475" s="57" t="n">
        <v>0</v>
      </c>
      <c r="BO1475" s="55" t="s">
        <v>2575</v>
      </c>
      <c r="BP1475" s="60" t="n">
        <v>0</v>
      </c>
      <c r="BQ1475" s="60" t="n">
        <v>1475</v>
      </c>
      <c r="BR1475" s="55" t="str">
        <f aca="false">IF(U1475&lt;&gt;"",UPPER(TRIM(U1475)),IF(BU1475=1,UPPER(VLOOKUP(T1475,Parameter!$I$27:$K$29,2,0)),IF(P1475="","LOSE",P1475)))</f>
        <v>S41</v>
      </c>
      <c r="BS1475" s="57" t="n">
        <f aca="false">IF(BR1475="LOSE",1,IF(N(V1475)&gt;0,V1475,IF(BU1475=1,MAX(1,N(VLOOKUP(T1475,Parameter!$I$27:$K$29,3,0)),H1475,N(N1475)),IF(N(Q1475)&gt;0,Q1475,MAX(1,H1475)))))</f>
        <v>4</v>
      </c>
      <c r="BT1475" s="60" t="n">
        <f aca="false">IF(BR1475="LOSE",1,0)</f>
        <v>0</v>
      </c>
      <c r="BU1475" s="60" t="n">
        <f aca="false">IF(AND(U1475="",OR(P1475="",P1475="LOSE"),T1475&lt;&gt;"",N(S1475)&lt;=0,ISNUMBER(MATCH(T1475,Parameter!$I$27:$I$29,0))),1,0)</f>
        <v>0</v>
      </c>
      <c r="BV1475" s="55" t="str">
        <f aca="false">IF(AND(Parameter!$B$19="Ja",E1475&lt;&gt;"",ISNUMBER(MATCH(E1475,Parameter!$I$35:$I$52,0))),VLOOKUP(E1475,Parameter!$I$35:$J$52,2,0),IFERROR(VLOOKUP(D1475,Parameter!$A$35:$C$64,2,0),"Nein"))</f>
        <v>2+3</v>
      </c>
      <c r="BW1475" s="59" t="n">
        <f aca="false">IF(BT1475=0,0,IF(N(S1475)&gt;0,S1475,IFERROR(VLOOKUP(D1475,Parameter!$A$35:$C$64,3,0)+0,0)))</f>
        <v>0</v>
      </c>
      <c r="BX1475" s="55" t="n">
        <f aca="false">IF(AA1475&lt;&gt;"",AA1475,Z1475)</f>
        <v>3</v>
      </c>
      <c r="BY1475" s="55" t="str">
        <f aca="false">IF(BX1475=1,"L1",IF(OR(BX1475=2,BX1475=3),"L23",IF(BX1475="Aussen","Aussen","-")))</f>
        <v>L23</v>
      </c>
      <c r="BZ1475" s="66" t="n">
        <f aca="false">IF(N(AB1475)&gt;0,AB1475,0)</f>
        <v>0</v>
      </c>
      <c r="CA1475" s="60" t="n">
        <f aca="false">IF(ISNUMBER(AE1475),1,0)</f>
        <v>0</v>
      </c>
      <c r="CB1475" s="57" t="n">
        <f aca="false">N(AE1475)</f>
        <v>0</v>
      </c>
      <c r="CC1475" s="57" t="n">
        <f aca="false">N(M1475)+N(N1475)</f>
        <v>5</v>
      </c>
      <c r="CD1475" s="57" t="n">
        <f aca="false">ROUNDUP(H1475/BS1475,0)</f>
        <v>1</v>
      </c>
      <c r="CE1475" s="57" t="n">
        <f aca="false">ROUNDUP(CB1475/BS1475,0)</f>
        <v>0</v>
      </c>
      <c r="CF1475" s="60" t="n">
        <f aca="false">IF(BT1475=1,0,IFERROR(VLOOKUP(BR1475,'Gebinde-Kategorie'!$A$5:$M$45,5,0)+0,0))</f>
        <v>11</v>
      </c>
      <c r="CG1475" s="60" t="n">
        <f aca="false">IFERROR(IF(OR(BX1475=1,BX1475=2,BX1475=3),N(INDEX(Parameter!$I$5:$I$7,BX1475)),0),0)</f>
        <v>0</v>
      </c>
      <c r="CH1475" s="59" t="n">
        <f aca="false">IF(AND(Parameter!$B$21="Ja",ISNUMBER(W1475),N(X1475)&gt;0),IFERROR(N(INDEX(Parameter!$L$5:$L$7,W1475))*INDEX(Parameter!$E$5:$E$7,W1475)*X1475/SUMIFS($X$7:$X$1843,$W$7:$W$1843,W1475),0),0)</f>
        <v>0</v>
      </c>
    </row>
    <row r="1476" customFormat="false" ht="15" hidden="false" customHeight="false" outlineLevel="0" collapsed="false">
      <c r="A1476" s="55" t="s">
        <v>2580</v>
      </c>
      <c r="B1476" s="55" t="s">
        <v>2581</v>
      </c>
      <c r="C1476" s="55" t="s">
        <v>164</v>
      </c>
      <c r="D1476" s="55" t="s">
        <v>184</v>
      </c>
      <c r="E1476" s="55" t="s">
        <v>185</v>
      </c>
      <c r="F1476" s="55"/>
      <c r="G1476" s="56" t="n">
        <v>33.07</v>
      </c>
      <c r="H1476" s="57" t="n">
        <f aca="false">MAX(0,IF(AND(Parameter!$B$21="Ja",ISNUMBER(Y1476)),Y1476,IF(Parameter!$B$20="Jahresanfang 2025 + Export",BL1476+BK1476,BK1476)))</f>
        <v>7</v>
      </c>
      <c r="I1476" s="57" t="n">
        <f aca="false">H1476*G1476</f>
        <v>231.49</v>
      </c>
      <c r="J1476" s="57" t="n">
        <f aca="false">BN1476*Parameter!$B$18</f>
        <v>0</v>
      </c>
      <c r="K1476" s="58"/>
      <c r="L1476" s="59"/>
      <c r="M1476" s="57" t="n">
        <v>0</v>
      </c>
      <c r="N1476" s="57" t="n">
        <v>5</v>
      </c>
      <c r="O1476" s="60" t="n">
        <v>14</v>
      </c>
      <c r="P1476" s="55" t="s">
        <v>302</v>
      </c>
      <c r="Q1476" s="57" t="n">
        <v>8</v>
      </c>
      <c r="R1476" s="60" t="n">
        <f aca="false">IF(BT1476=1,0,IFERROR(VLOOKUP(BR1476,'Gebinde-Kategorie'!$A$5:$M$45,13,0)+0,0))</f>
        <v>26</v>
      </c>
      <c r="S1476" s="61"/>
      <c r="T1476" s="62"/>
      <c r="U1476" s="62"/>
      <c r="V1476" s="62"/>
      <c r="W1476" s="55"/>
      <c r="X1476" s="57"/>
      <c r="Y1476" s="57"/>
      <c r="Z1476" s="55" t="n">
        <f aca="false">IF(A1476="","",IF(AND(Parameter!$B$21="Ja",ISNUMBER(W1476)),W1476,IF(BV1476="2+3",IF(ISNUMBER(SEARCH("grosser Artikel",BO1476)),2,IFERROR(VLOOKUP(BR1476,Parameter!$F$35:$G$64,2,0),2)),IF(OR(BV1476="Nein",BV1476=""),"-",BV1476))))</f>
        <v>3</v>
      </c>
      <c r="AA1476" s="62"/>
      <c r="AB1476" s="63"/>
      <c r="AC1476" s="57" t="n">
        <f aca="false">AR1476</f>
        <v>8</v>
      </c>
      <c r="AD1476" s="57" t="n">
        <f aca="false">MAX(AR1476,H1476)</f>
        <v>8</v>
      </c>
      <c r="AE1476" s="64"/>
      <c r="AF1476" s="57" t="n">
        <f aca="false">IF(LEFT(Cockpit!$C$5,1)="A",H1476,IF(CA1476=1,CB1476,IF(LEFT(Cockpit!$C$5,1)="B",AJ1476,MAX(AJ1476,H1476))))</f>
        <v>7</v>
      </c>
      <c r="AG1476" s="57" t="n">
        <f aca="false">IF(BT1476=1,0,ROUNDUP(AF1476/BS1476,0))</f>
        <v>1</v>
      </c>
      <c r="AH1476" s="59" t="n">
        <f aca="false">IF(CH1476&gt;0,CH1476*MAX(1,AF1476/X1476),IF(BT1476=1,IF(AF1476&lt;=0,0,BW1476*MAX(1,IF(H1476&gt;0,AF1476/H1476,1))),IF(R1476&gt;0,AG1476/R1476,0))/MAX(0.1,N(Parameter!$M$21)))</f>
        <v>0.0384615384615385</v>
      </c>
      <c r="AI1476" s="57" t="n">
        <f aca="false">AF1476*G1476</f>
        <v>231.49</v>
      </c>
      <c r="AJ1476" s="57" t="n">
        <f aca="false">ROUNDUP(MAX(J1476/IF(BZ1476&gt;0,BZ1476,MAX(0.1,N(Cockpit!$C$6))),CC1476)/BS1476,0)*BS1476</f>
        <v>8</v>
      </c>
      <c r="AK1476" s="58" t="n">
        <f aca="false">IF(AH1476&gt;0,J1476/AH1476,-1)</f>
        <v>0</v>
      </c>
      <c r="AL1476" s="58" t="n">
        <f aca="false">IF(AND(OR(BY1476="L1",BY1476="L23"),AH1476&gt;0),SUMIFS($AH$7:$AH$1843,$BY$7:$BY$1843,BY1476,$AK$7:$AK$1843,"&gt;"&amp;AK1476)+SUMIFS($AH$7:$AH$1843,$BY$7:$BY$1843,BY1476,$AK$7:$AK$1843,AK1476,$BQ$7:$BQ$1843,"&lt;="&amp;BQ1476),"")</f>
        <v>81.0443143812709</v>
      </c>
      <c r="AM1476" s="65" t="n">
        <f aca="false">IF(AL1476="",0,MAX(0,MIN(1,(IF(BY1476="L1",Parameter!$E$5,Parameter!$E$6+Parameter!$E$7)-(AL1476-AH1476))/AH1476)))</f>
        <v>1</v>
      </c>
      <c r="AN1476" s="57" t="n">
        <f aca="false">IF(LEFT(Cockpit!$I$5,1)="A",H1476,IF(CA1476=1,CB1476,IF(LEFT(Cockpit!$I$5,1)="B",AR1476,MAX(AR1476,H1476))))</f>
        <v>8</v>
      </c>
      <c r="AO1476" s="57" t="n">
        <f aca="false">IF(BT1476=1,0,ROUNDUP(AN1476/BS1476,0))</f>
        <v>1</v>
      </c>
      <c r="AP1476" s="59" t="n">
        <f aca="false">IF(CH1476&gt;0,CH1476*MAX(1,AN1476/X1476),IF(BT1476=1,IF(AN1476&lt;=0,0,BW1476*MAX(1,IF(H1476&gt;0,AN1476/H1476,1))),IF(R1476&gt;0,AO1476/R1476,0))/MAX(0.1,N(Parameter!$M$21)))</f>
        <v>0.0384615384615385</v>
      </c>
      <c r="AQ1476" s="57" t="n">
        <f aca="false">AN1476*G1476</f>
        <v>264.56</v>
      </c>
      <c r="AR1476" s="57" t="n">
        <f aca="false">ROUNDUP(MAX(J1476/IF(BZ1476&gt;0,BZ1476,MAX(0.1,N(Cockpit!$I$6))),CC1476)/BS1476,0)*BS1476</f>
        <v>8</v>
      </c>
      <c r="AS1476" s="58" t="n">
        <f aca="false">IF(AP1476&gt;0,J1476/AP1476,-1)</f>
        <v>0</v>
      </c>
      <c r="AT1476" s="58" t="n">
        <f aca="false">IF(AND(OR(BY1476="L1",BY1476="L23"),AP1476&gt;0),SUMIFS($AP$7:$AP$1843,$BY$7:$BY$1843,BY1476,$AS$7:$AS$1843,"&gt;"&amp;AS1476)+SUMIFS($AP$7:$AP$1843,$BY$7:$BY$1843,BY1476,$AS$7:$AS$1843,AS1476,$BQ$7:$BQ$1843,"&lt;="&amp;BQ1476),"")</f>
        <v>125.918296679166</v>
      </c>
      <c r="AU1476" s="65" t="n">
        <f aca="false">IF(AT1476="",0,MAX(0,MIN(1,(IF(BY1476="L1",Parameter!$E$5,Parameter!$E$6+Parameter!$E$7)-(AT1476-AP1476))/AP1476)))</f>
        <v>0</v>
      </c>
      <c r="AV1476" s="57" t="n">
        <f aca="false">IF(LEFT(Cockpit!$O$5,1)="A",H1476,IF(CA1476=1,CB1476,IF(LEFT(Cockpit!$O$5,1)="B",AZ1476,MAX(AZ1476,H1476))))</f>
        <v>8</v>
      </c>
      <c r="AW1476" s="57" t="n">
        <f aca="false">IF(BT1476=1,0,ROUNDUP(AV1476/BS1476,0))</f>
        <v>1</v>
      </c>
      <c r="AX1476" s="59" t="n">
        <f aca="false">IF(CH1476&gt;0,CH1476*MAX(1,AV1476/X1476),IF(BT1476=1,IF(AV1476&lt;=0,0,BW1476*MAX(1,IF(H1476&gt;0,AV1476/H1476,1))),IF(R1476&gt;0,AW1476/R1476,0))/MAX(0.1,N(Parameter!$M$21)))</f>
        <v>0.0384615384615385</v>
      </c>
      <c r="AY1476" s="57" t="n">
        <f aca="false">AV1476*G1476</f>
        <v>264.56</v>
      </c>
      <c r="AZ1476" s="57" t="n">
        <f aca="false">ROUNDUP(MAX(J1476/IF(BZ1476&gt;0,BZ1476,MAX(0.1,N(Cockpit!$O$6))),CC1476)/BS1476,0)*BS1476</f>
        <v>8</v>
      </c>
      <c r="BA1476" s="58" t="n">
        <f aca="false">IF(AX1476&gt;0,J1476/AX1476,-1)</f>
        <v>0</v>
      </c>
      <c r="BB1476" s="58" t="n">
        <f aca="false">IF(AND(OR(BY1476="L1",BY1476="L23"),AX1476&gt;0),SUMIFS($AX$7:$AX$1843,$BY$7:$BY$1843,BY1476,$BA$7:$BA$1843,"&gt;"&amp;BA1476)+SUMIFS($AX$7:$AX$1843,$BY$7:$BY$1843,BY1476,$BA$7:$BA$1843,BA1476,$BQ$7:$BQ$1843,"&lt;="&amp;BQ1476),"")</f>
        <v>116.748133509003</v>
      </c>
      <c r="BC1476" s="65" t="n">
        <f aca="false">IF(BB1476="",0,MAX(0,MIN(1,(IF(BY1476="L1",Parameter!$E$5,Parameter!$E$6+Parameter!$E$7)-(BB1476-AX1476))/AX1476)))</f>
        <v>0</v>
      </c>
      <c r="BD1476" s="55" t="str">
        <f aca="false">IF(AH1476&lt;=0,"",IF(BY1476="Aussen","Aussenlager",IF(BY1476="-","Nicht im Lift",IF(AM1476&gt;=1,"Lift",IF(AM1476&lt;=0,"Aussenlager","teilweise")))))</f>
        <v>Lift</v>
      </c>
      <c r="BE1476" s="55" t="str">
        <f aca="false">IF(AP1476&lt;=0,"",IF(BY1476="Aussen","Aussenlager",IF(BY1476="-","Nicht im Lift",IF(AU1476&gt;=1,"Lift",IF(AU1476&lt;=0,"Aussenlager","teilweise")))))</f>
        <v>Aussenlager</v>
      </c>
      <c r="BF1476" s="55" t="str">
        <f aca="false">IF(AX1476&lt;=0,"",IF(BY1476="Aussen","Aussenlager",IF(BY1476="-","Nicht im Lift",IF(BC1476&gt;=1,"Lift",IF(BC1476&lt;=0,"Aussenlager","teilweise")))))</f>
        <v>Aussenlager</v>
      </c>
      <c r="BG1476" s="55" t="str">
        <f aca="false">IF(A1476="","",IF(BP1476=1,"Neu; ","")&amp;IF(AND(BP1476=0,BK1476&lt;0),"negativer Bestand (Export "&amp;BK1476&amp;"); ","")&amp;IF(J1476&lt;=0,"Kein Verbrauch; ","")&amp;IF(CH1476&gt;0,"Lift "&amp;W1476&amp;" lt. Liftbericht (Fach "&amp;X1476&amp;" Stk); ",IF(BU1476=1,"Gebinde geschätzt ("&amp;T1476&amp;"); ",IF(BT1476=1,"Lose – Tablare geschätzt; ","")))&amp;IF(H1476&gt;AR1476,"Überbestand "&amp;ROUND(H1476-AR1476,0)&amp;" Stk / CHF "&amp;ROUND((H1476-AR1476)*G1476,0)&amp;"; ","")&amp;IF(AND(CA1476=1,CB1476&lt;CC1476),"MAX &lt; MB+LG; ","")&amp;IF(AND(CG1476&gt;0,CF1476*10&gt;CG1476),"zu hoch für Tablar; ","")&amp;IF(AND(BP1476=0,OR(CA1476=1,AA1476&lt;&gt;"",U1476&lt;&gt;"",V1476&lt;&gt;"",AB1476&lt;&gt;"")),"manuell übersteuert; ","")&amp;IF(AND(BT1476=0,R1476=0),"Gebinde unbekannt / Stellmass fehlt; ","")&amp;IF(AND(BT1476=0,N(V1476)&lt;=0,N(Q1476)&lt;=0),"Menge pro Gebinde fehlt (Ist = 1 Gebinde); ","")&amp;BO1476)</f>
        <v>Kein Verbrauch; nur im Artikelstamm (Bestand 23.06.2026)</v>
      </c>
      <c r="BH1476" s="55"/>
      <c r="BI1476" s="55"/>
      <c r="BJ1476" s="62"/>
      <c r="BK1476" s="57" t="n">
        <v>7</v>
      </c>
      <c r="BL1476" s="57" t="n">
        <v>0</v>
      </c>
      <c r="BM1476" s="56" t="n">
        <v>0</v>
      </c>
      <c r="BN1476" s="57" t="n">
        <v>0</v>
      </c>
      <c r="BO1476" s="55" t="s">
        <v>2575</v>
      </c>
      <c r="BP1476" s="60" t="n">
        <v>0</v>
      </c>
      <c r="BQ1476" s="60" t="n">
        <v>1476</v>
      </c>
      <c r="BR1476" s="55" t="str">
        <f aca="false">IF(U1476&lt;&gt;"",UPPER(TRIM(U1476)),IF(BU1476=1,UPPER(VLOOKUP(T1476,Parameter!$I$27:$K$29,2,0)),IF(P1476="","LOSE",P1476)))</f>
        <v>S51</v>
      </c>
      <c r="BS1476" s="57" t="n">
        <f aca="false">IF(BR1476="LOSE",1,IF(N(V1476)&gt;0,V1476,IF(BU1476=1,MAX(1,N(VLOOKUP(T1476,Parameter!$I$27:$K$29,3,0)),H1476,N(N1476)),IF(N(Q1476)&gt;0,Q1476,MAX(1,H1476)))))</f>
        <v>8</v>
      </c>
      <c r="BT1476" s="60" t="n">
        <f aca="false">IF(BR1476="LOSE",1,0)</f>
        <v>0</v>
      </c>
      <c r="BU1476" s="60" t="n">
        <f aca="false">IF(AND(U1476="",OR(P1476="",P1476="LOSE"),T1476&lt;&gt;"",N(S1476)&lt;=0,ISNUMBER(MATCH(T1476,Parameter!$I$27:$I$29,0))),1,0)</f>
        <v>0</v>
      </c>
      <c r="BV1476" s="55" t="str">
        <f aca="false">IF(AND(Parameter!$B$19="Ja",E1476&lt;&gt;"",ISNUMBER(MATCH(E1476,Parameter!$I$35:$I$52,0))),VLOOKUP(E1476,Parameter!$I$35:$J$52,2,0),IFERROR(VLOOKUP(D1476,Parameter!$A$35:$C$64,2,0),"Nein"))</f>
        <v>2+3</v>
      </c>
      <c r="BW1476" s="59" t="n">
        <f aca="false">IF(BT1476=0,0,IF(N(S1476)&gt;0,S1476,IFERROR(VLOOKUP(D1476,Parameter!$A$35:$C$64,3,0)+0,0)))</f>
        <v>0</v>
      </c>
      <c r="BX1476" s="55" t="n">
        <f aca="false">IF(AA1476&lt;&gt;"",AA1476,Z1476)</f>
        <v>3</v>
      </c>
      <c r="BY1476" s="55" t="str">
        <f aca="false">IF(BX1476=1,"L1",IF(OR(BX1476=2,BX1476=3),"L23",IF(BX1476="Aussen","Aussen","-")))</f>
        <v>L23</v>
      </c>
      <c r="BZ1476" s="66" t="n">
        <f aca="false">IF(N(AB1476)&gt;0,AB1476,0)</f>
        <v>0</v>
      </c>
      <c r="CA1476" s="60" t="n">
        <f aca="false">IF(ISNUMBER(AE1476),1,0)</f>
        <v>0</v>
      </c>
      <c r="CB1476" s="57" t="n">
        <f aca="false">N(AE1476)</f>
        <v>0</v>
      </c>
      <c r="CC1476" s="57" t="n">
        <f aca="false">N(M1476)+N(N1476)</f>
        <v>5</v>
      </c>
      <c r="CD1476" s="57" t="n">
        <f aca="false">ROUNDUP(H1476/BS1476,0)</f>
        <v>1</v>
      </c>
      <c r="CE1476" s="57" t="n">
        <f aca="false">ROUNDUP(CB1476/BS1476,0)</f>
        <v>0</v>
      </c>
      <c r="CF1476" s="60" t="n">
        <f aca="false">IF(BT1476=1,0,IFERROR(VLOOKUP(BR1476,'Gebinde-Kategorie'!$A$5:$M$45,5,0)+0,0))</f>
        <v>11</v>
      </c>
      <c r="CG1476" s="60" t="n">
        <f aca="false">IFERROR(IF(OR(BX1476=1,BX1476=2,BX1476=3),N(INDEX(Parameter!$I$5:$I$7,BX1476)),0),0)</f>
        <v>0</v>
      </c>
      <c r="CH1476" s="59" t="n">
        <f aca="false">IF(AND(Parameter!$B$21="Ja",ISNUMBER(W1476),N(X1476)&gt;0),IFERROR(N(INDEX(Parameter!$L$5:$L$7,W1476))*INDEX(Parameter!$E$5:$E$7,W1476)*X1476/SUMIFS($X$7:$X$1843,$W$7:$W$1843,W1476),0),0)</f>
        <v>0</v>
      </c>
    </row>
    <row r="1477" customFormat="false" ht="15" hidden="false" customHeight="false" outlineLevel="0" collapsed="false">
      <c r="A1477" s="55" t="s">
        <v>2582</v>
      </c>
      <c r="B1477" s="55" t="s">
        <v>2583</v>
      </c>
      <c r="C1477" s="55" t="s">
        <v>164</v>
      </c>
      <c r="D1477" s="55" t="s">
        <v>184</v>
      </c>
      <c r="E1477" s="55" t="s">
        <v>185</v>
      </c>
      <c r="F1477" s="55"/>
      <c r="G1477" s="56" t="n">
        <v>158.01</v>
      </c>
      <c r="H1477" s="57" t="n">
        <f aca="false">MAX(0,IF(AND(Parameter!$B$21="Ja",ISNUMBER(Y1477)),Y1477,IF(Parameter!$B$20="Jahresanfang 2025 + Export",BL1477+BK1477,BK1477)))</f>
        <v>6</v>
      </c>
      <c r="I1477" s="57" t="n">
        <f aca="false">H1477*G1477</f>
        <v>948.06</v>
      </c>
      <c r="J1477" s="57" t="n">
        <f aca="false">BN1477*Parameter!$B$18</f>
        <v>0</v>
      </c>
      <c r="K1477" s="58"/>
      <c r="L1477" s="59"/>
      <c r="M1477" s="57" t="n">
        <v>0</v>
      </c>
      <c r="N1477" s="57" t="n">
        <v>2</v>
      </c>
      <c r="O1477" s="60" t="n">
        <v>14</v>
      </c>
      <c r="P1477" s="55" t="s">
        <v>302</v>
      </c>
      <c r="Q1477" s="57" t="n">
        <v>6</v>
      </c>
      <c r="R1477" s="60" t="n">
        <f aca="false">IF(BT1477=1,0,IFERROR(VLOOKUP(BR1477,'Gebinde-Kategorie'!$A$5:$M$45,13,0)+0,0))</f>
        <v>26</v>
      </c>
      <c r="S1477" s="61"/>
      <c r="T1477" s="62"/>
      <c r="U1477" s="62"/>
      <c r="V1477" s="62"/>
      <c r="W1477" s="55"/>
      <c r="X1477" s="57"/>
      <c r="Y1477" s="57"/>
      <c r="Z1477" s="55" t="n">
        <f aca="false">IF(A1477="","",IF(AND(Parameter!$B$21="Ja",ISNUMBER(W1477)),W1477,IF(BV1477="2+3",IF(ISNUMBER(SEARCH("grosser Artikel",BO1477)),2,IFERROR(VLOOKUP(BR1477,Parameter!$F$35:$G$64,2,0),2)),IF(OR(BV1477="Nein",BV1477=""),"-",BV1477))))</f>
        <v>3</v>
      </c>
      <c r="AA1477" s="62"/>
      <c r="AB1477" s="63"/>
      <c r="AC1477" s="57" t="n">
        <f aca="false">AR1477</f>
        <v>6</v>
      </c>
      <c r="AD1477" s="57" t="n">
        <f aca="false">MAX(AR1477,H1477)</f>
        <v>6</v>
      </c>
      <c r="AE1477" s="64"/>
      <c r="AF1477" s="57" t="n">
        <f aca="false">IF(LEFT(Cockpit!$C$5,1)="A",H1477,IF(CA1477=1,CB1477,IF(LEFT(Cockpit!$C$5,1)="B",AJ1477,MAX(AJ1477,H1477))))</f>
        <v>6</v>
      </c>
      <c r="AG1477" s="57" t="n">
        <f aca="false">IF(BT1477=1,0,ROUNDUP(AF1477/BS1477,0))</f>
        <v>1</v>
      </c>
      <c r="AH1477" s="59" t="n">
        <f aca="false">IF(CH1477&gt;0,CH1477*MAX(1,AF1477/X1477),IF(BT1477=1,IF(AF1477&lt;=0,0,BW1477*MAX(1,IF(H1477&gt;0,AF1477/H1477,1))),IF(R1477&gt;0,AG1477/R1477,0))/MAX(0.1,N(Parameter!$M$21)))</f>
        <v>0.0384615384615385</v>
      </c>
      <c r="AI1477" s="57" t="n">
        <f aca="false">AF1477*G1477</f>
        <v>948.06</v>
      </c>
      <c r="AJ1477" s="57" t="n">
        <f aca="false">ROUNDUP(MAX(J1477/IF(BZ1477&gt;0,BZ1477,MAX(0.1,N(Cockpit!$C$6))),CC1477)/BS1477,0)*BS1477</f>
        <v>6</v>
      </c>
      <c r="AK1477" s="58" t="n">
        <f aca="false">IF(AH1477&gt;0,J1477/AH1477,-1)</f>
        <v>0</v>
      </c>
      <c r="AL1477" s="58" t="n">
        <f aca="false">IF(AND(OR(BY1477="L1",BY1477="L23"),AH1477&gt;0),SUMIFS($AH$7:$AH$1843,$BY$7:$BY$1843,BY1477,$AK$7:$AK$1843,"&gt;"&amp;AK1477)+SUMIFS($AH$7:$AH$1843,$BY$7:$BY$1843,BY1477,$AK$7:$AK$1843,AK1477,$BQ$7:$BQ$1843,"&lt;="&amp;BQ1477),"")</f>
        <v>81.0827759197324</v>
      </c>
      <c r="AM1477" s="65" t="n">
        <f aca="false">IF(AL1477="",0,MAX(0,MIN(1,(IF(BY1477="L1",Parameter!$E$5,Parameter!$E$6+Parameter!$E$7)-(AL1477-AH1477))/AH1477)))</f>
        <v>1</v>
      </c>
      <c r="AN1477" s="57" t="n">
        <f aca="false">IF(LEFT(Cockpit!$I$5,1)="A",H1477,IF(CA1477=1,CB1477,IF(LEFT(Cockpit!$I$5,1)="B",AR1477,MAX(AR1477,H1477))))</f>
        <v>6</v>
      </c>
      <c r="AO1477" s="57" t="n">
        <f aca="false">IF(BT1477=1,0,ROUNDUP(AN1477/BS1477,0))</f>
        <v>1</v>
      </c>
      <c r="AP1477" s="59" t="n">
        <f aca="false">IF(CH1477&gt;0,CH1477*MAX(1,AN1477/X1477),IF(BT1477=1,IF(AN1477&lt;=0,0,BW1477*MAX(1,IF(H1477&gt;0,AN1477/H1477,1))),IF(R1477&gt;0,AO1477/R1477,0))/MAX(0.1,N(Parameter!$M$21)))</f>
        <v>0.0384615384615385</v>
      </c>
      <c r="AQ1477" s="57" t="n">
        <f aca="false">AN1477*G1477</f>
        <v>948.06</v>
      </c>
      <c r="AR1477" s="57" t="n">
        <f aca="false">ROUNDUP(MAX(J1477/IF(BZ1477&gt;0,BZ1477,MAX(0.1,N(Cockpit!$I$6))),CC1477)/BS1477,0)*BS1477</f>
        <v>6</v>
      </c>
      <c r="AS1477" s="58" t="n">
        <f aca="false">IF(AP1477&gt;0,J1477/AP1477,-1)</f>
        <v>0</v>
      </c>
      <c r="AT1477" s="58" t="n">
        <f aca="false">IF(AND(OR(BY1477="L1",BY1477="L23"),AP1477&gt;0),SUMIFS($AP$7:$AP$1843,$BY$7:$BY$1843,BY1477,$AS$7:$AS$1843,"&gt;"&amp;AS1477)+SUMIFS($AP$7:$AP$1843,$BY$7:$BY$1843,BY1477,$AS$7:$AS$1843,AS1477,$BQ$7:$BQ$1843,"&lt;="&amp;BQ1477),"")</f>
        <v>125.956758217628</v>
      </c>
      <c r="AU1477" s="65" t="n">
        <f aca="false">IF(AT1477="",0,MAX(0,MIN(1,(IF(BY1477="L1",Parameter!$E$5,Parameter!$E$6+Parameter!$E$7)-(AT1477-AP1477))/AP1477)))</f>
        <v>0</v>
      </c>
      <c r="AV1477" s="57" t="n">
        <f aca="false">IF(LEFT(Cockpit!$O$5,1)="A",H1477,IF(CA1477=1,CB1477,IF(LEFT(Cockpit!$O$5,1)="B",AZ1477,MAX(AZ1477,H1477))))</f>
        <v>6</v>
      </c>
      <c r="AW1477" s="57" t="n">
        <f aca="false">IF(BT1477=1,0,ROUNDUP(AV1477/BS1477,0))</f>
        <v>1</v>
      </c>
      <c r="AX1477" s="59" t="n">
        <f aca="false">IF(CH1477&gt;0,CH1477*MAX(1,AV1477/X1477),IF(BT1477=1,IF(AV1477&lt;=0,0,BW1477*MAX(1,IF(H1477&gt;0,AV1477/H1477,1))),IF(R1477&gt;0,AW1477/R1477,0))/MAX(0.1,N(Parameter!$M$21)))</f>
        <v>0.0384615384615385</v>
      </c>
      <c r="AY1477" s="57" t="n">
        <f aca="false">AV1477*G1477</f>
        <v>948.06</v>
      </c>
      <c r="AZ1477" s="57" t="n">
        <f aca="false">ROUNDUP(MAX(J1477/IF(BZ1477&gt;0,BZ1477,MAX(0.1,N(Cockpit!$O$6))),CC1477)/BS1477,0)*BS1477</f>
        <v>6</v>
      </c>
      <c r="BA1477" s="58" t="n">
        <f aca="false">IF(AX1477&gt;0,J1477/AX1477,-1)</f>
        <v>0</v>
      </c>
      <c r="BB1477" s="58" t="n">
        <f aca="false">IF(AND(OR(BY1477="L1",BY1477="L23"),AX1477&gt;0),SUMIFS($AX$7:$AX$1843,$BY$7:$BY$1843,BY1477,$BA$7:$BA$1843,"&gt;"&amp;BA1477)+SUMIFS($AX$7:$AX$1843,$BY$7:$BY$1843,BY1477,$BA$7:$BA$1843,BA1477,$BQ$7:$BQ$1843,"&lt;="&amp;BQ1477),"")</f>
        <v>116.786595047465</v>
      </c>
      <c r="BC1477" s="65" t="n">
        <f aca="false">IF(BB1477="",0,MAX(0,MIN(1,(IF(BY1477="L1",Parameter!$E$5,Parameter!$E$6+Parameter!$E$7)-(BB1477-AX1477))/AX1477)))</f>
        <v>0</v>
      </c>
      <c r="BD1477" s="55" t="str">
        <f aca="false">IF(AH1477&lt;=0,"",IF(BY1477="Aussen","Aussenlager",IF(BY1477="-","Nicht im Lift",IF(AM1477&gt;=1,"Lift",IF(AM1477&lt;=0,"Aussenlager","teilweise")))))</f>
        <v>Lift</v>
      </c>
      <c r="BE1477" s="55" t="str">
        <f aca="false">IF(AP1477&lt;=0,"",IF(BY1477="Aussen","Aussenlager",IF(BY1477="-","Nicht im Lift",IF(AU1477&gt;=1,"Lift",IF(AU1477&lt;=0,"Aussenlager","teilweise")))))</f>
        <v>Aussenlager</v>
      </c>
      <c r="BF1477" s="55" t="str">
        <f aca="false">IF(AX1477&lt;=0,"",IF(BY1477="Aussen","Aussenlager",IF(BY1477="-","Nicht im Lift",IF(BC1477&gt;=1,"Lift",IF(BC1477&lt;=0,"Aussenlager","teilweise")))))</f>
        <v>Aussenlager</v>
      </c>
      <c r="BG1477" s="55" t="str">
        <f aca="false">IF(A1477="","",IF(BP1477=1,"Neu; ","")&amp;IF(AND(BP1477=0,BK1477&lt;0),"negativer Bestand (Export "&amp;BK1477&amp;"); ","")&amp;IF(J1477&lt;=0,"Kein Verbrauch; ","")&amp;IF(CH1477&gt;0,"Lift "&amp;W1477&amp;" lt. Liftbericht (Fach "&amp;X1477&amp;" Stk); ",IF(BU1477=1,"Gebinde geschätzt ("&amp;T1477&amp;"); ",IF(BT1477=1,"Lose – Tablare geschätzt; ","")))&amp;IF(H1477&gt;AR1477,"Überbestand "&amp;ROUND(H1477-AR1477,0)&amp;" Stk / CHF "&amp;ROUND((H1477-AR1477)*G1477,0)&amp;"; ","")&amp;IF(AND(CA1477=1,CB1477&lt;CC1477),"MAX &lt; MB+LG; ","")&amp;IF(AND(CG1477&gt;0,CF1477*10&gt;CG1477),"zu hoch für Tablar; ","")&amp;IF(AND(BP1477=0,OR(CA1477=1,AA1477&lt;&gt;"",U1477&lt;&gt;"",V1477&lt;&gt;"",AB1477&lt;&gt;"")),"manuell übersteuert; ","")&amp;IF(AND(BT1477=0,R1477=0),"Gebinde unbekannt / Stellmass fehlt; ","")&amp;IF(AND(BT1477=0,N(V1477)&lt;=0,N(Q1477)&lt;=0),"Menge pro Gebinde fehlt (Ist = 1 Gebinde); ","")&amp;BO1477)</f>
        <v>Kein Verbrauch; nur im Artikelstamm (Bestand 23.06.2026)</v>
      </c>
      <c r="BH1477" s="55"/>
      <c r="BI1477" s="55"/>
      <c r="BJ1477" s="62"/>
      <c r="BK1477" s="57" t="n">
        <v>6</v>
      </c>
      <c r="BL1477" s="57" t="n">
        <v>0</v>
      </c>
      <c r="BM1477" s="56" t="n">
        <v>0</v>
      </c>
      <c r="BN1477" s="57" t="n">
        <v>0</v>
      </c>
      <c r="BO1477" s="55" t="s">
        <v>2575</v>
      </c>
      <c r="BP1477" s="60" t="n">
        <v>0</v>
      </c>
      <c r="BQ1477" s="60" t="n">
        <v>1477</v>
      </c>
      <c r="BR1477" s="55" t="str">
        <f aca="false">IF(U1477&lt;&gt;"",UPPER(TRIM(U1477)),IF(BU1477=1,UPPER(VLOOKUP(T1477,Parameter!$I$27:$K$29,2,0)),IF(P1477="","LOSE",P1477)))</f>
        <v>S51</v>
      </c>
      <c r="BS1477" s="57" t="n">
        <f aca="false">IF(BR1477="LOSE",1,IF(N(V1477)&gt;0,V1477,IF(BU1477=1,MAX(1,N(VLOOKUP(T1477,Parameter!$I$27:$K$29,3,0)),H1477,N(N1477)),IF(N(Q1477)&gt;0,Q1477,MAX(1,H1477)))))</f>
        <v>6</v>
      </c>
      <c r="BT1477" s="60" t="n">
        <f aca="false">IF(BR1477="LOSE",1,0)</f>
        <v>0</v>
      </c>
      <c r="BU1477" s="60" t="n">
        <f aca="false">IF(AND(U1477="",OR(P1477="",P1477="LOSE"),T1477&lt;&gt;"",N(S1477)&lt;=0,ISNUMBER(MATCH(T1477,Parameter!$I$27:$I$29,0))),1,0)</f>
        <v>0</v>
      </c>
      <c r="BV1477" s="55" t="str">
        <f aca="false">IF(AND(Parameter!$B$19="Ja",E1477&lt;&gt;"",ISNUMBER(MATCH(E1477,Parameter!$I$35:$I$52,0))),VLOOKUP(E1477,Parameter!$I$35:$J$52,2,0),IFERROR(VLOOKUP(D1477,Parameter!$A$35:$C$64,2,0),"Nein"))</f>
        <v>2+3</v>
      </c>
      <c r="BW1477" s="59" t="n">
        <f aca="false">IF(BT1477=0,0,IF(N(S1477)&gt;0,S1477,IFERROR(VLOOKUP(D1477,Parameter!$A$35:$C$64,3,0)+0,0)))</f>
        <v>0</v>
      </c>
      <c r="BX1477" s="55" t="n">
        <f aca="false">IF(AA1477&lt;&gt;"",AA1477,Z1477)</f>
        <v>3</v>
      </c>
      <c r="BY1477" s="55" t="str">
        <f aca="false">IF(BX1477=1,"L1",IF(OR(BX1477=2,BX1477=3),"L23",IF(BX1477="Aussen","Aussen","-")))</f>
        <v>L23</v>
      </c>
      <c r="BZ1477" s="66" t="n">
        <f aca="false">IF(N(AB1477)&gt;0,AB1477,0)</f>
        <v>0</v>
      </c>
      <c r="CA1477" s="60" t="n">
        <f aca="false">IF(ISNUMBER(AE1477),1,0)</f>
        <v>0</v>
      </c>
      <c r="CB1477" s="57" t="n">
        <f aca="false">N(AE1477)</f>
        <v>0</v>
      </c>
      <c r="CC1477" s="57" t="n">
        <f aca="false">N(M1477)+N(N1477)</f>
        <v>2</v>
      </c>
      <c r="CD1477" s="57" t="n">
        <f aca="false">ROUNDUP(H1477/BS1477,0)</f>
        <v>1</v>
      </c>
      <c r="CE1477" s="57" t="n">
        <f aca="false">ROUNDUP(CB1477/BS1477,0)</f>
        <v>0</v>
      </c>
      <c r="CF1477" s="60" t="n">
        <f aca="false">IF(BT1477=1,0,IFERROR(VLOOKUP(BR1477,'Gebinde-Kategorie'!$A$5:$M$45,5,0)+0,0))</f>
        <v>11</v>
      </c>
      <c r="CG1477" s="60" t="n">
        <f aca="false">IFERROR(IF(OR(BX1477=1,BX1477=2,BX1477=3),N(INDEX(Parameter!$I$5:$I$7,BX1477)),0),0)</f>
        <v>0</v>
      </c>
      <c r="CH1477" s="59" t="n">
        <f aca="false">IF(AND(Parameter!$B$21="Ja",ISNUMBER(W1477),N(X1477)&gt;0),IFERROR(N(INDEX(Parameter!$L$5:$L$7,W1477))*INDEX(Parameter!$E$5:$E$7,W1477)*X1477/SUMIFS($X$7:$X$1843,$W$7:$W$1843,W1477),0),0)</f>
        <v>0</v>
      </c>
    </row>
    <row r="1478" customFormat="false" ht="15" hidden="false" customHeight="false" outlineLevel="0" collapsed="false">
      <c r="A1478" s="55" t="s">
        <v>2584</v>
      </c>
      <c r="B1478" s="55" t="s">
        <v>2585</v>
      </c>
      <c r="C1478" s="55" t="s">
        <v>164</v>
      </c>
      <c r="D1478" s="55" t="s">
        <v>184</v>
      </c>
      <c r="E1478" s="55" t="s">
        <v>185</v>
      </c>
      <c r="F1478" s="55"/>
      <c r="G1478" s="56" t="n">
        <v>11.85</v>
      </c>
      <c r="H1478" s="57" t="n">
        <f aca="false">MAX(0,IF(AND(Parameter!$B$21="Ja",ISNUMBER(Y1478)),Y1478,IF(Parameter!$B$20="Jahresanfang 2025 + Export",BL1478+BK1478,BK1478)))</f>
        <v>6</v>
      </c>
      <c r="I1478" s="57" t="n">
        <f aca="false">H1478*G1478</f>
        <v>71.1</v>
      </c>
      <c r="J1478" s="57" t="n">
        <f aca="false">BN1478*Parameter!$B$18</f>
        <v>0</v>
      </c>
      <c r="K1478" s="58"/>
      <c r="L1478" s="59"/>
      <c r="M1478" s="57" t="n">
        <v>0</v>
      </c>
      <c r="N1478" s="57" t="n">
        <v>5</v>
      </c>
      <c r="O1478" s="60" t="n">
        <v>56</v>
      </c>
      <c r="P1478" s="55" t="s">
        <v>426</v>
      </c>
      <c r="Q1478" s="57" t="n">
        <v>6</v>
      </c>
      <c r="R1478" s="60" t="n">
        <f aca="false">IF(BT1478=1,0,IFERROR(VLOOKUP(BR1478,'Gebinde-Kategorie'!$A$5:$M$45,13,0)+0,0))</f>
        <v>198</v>
      </c>
      <c r="S1478" s="61"/>
      <c r="T1478" s="62"/>
      <c r="U1478" s="62"/>
      <c r="V1478" s="62"/>
      <c r="W1478" s="55"/>
      <c r="X1478" s="57"/>
      <c r="Y1478" s="57"/>
      <c r="Z1478" s="55" t="n">
        <f aca="false">IF(A1478="","",IF(AND(Parameter!$B$21="Ja",ISNUMBER(W1478)),W1478,IF(BV1478="2+3",IF(ISNUMBER(SEARCH("grosser Artikel",BO1478)),2,IFERROR(VLOOKUP(BR1478,Parameter!$F$35:$G$64,2,0),2)),IF(OR(BV1478="Nein",BV1478=""),"-",BV1478))))</f>
        <v>3</v>
      </c>
      <c r="AA1478" s="62"/>
      <c r="AB1478" s="63"/>
      <c r="AC1478" s="57" t="n">
        <f aca="false">AR1478</f>
        <v>6</v>
      </c>
      <c r="AD1478" s="57" t="n">
        <f aca="false">MAX(AR1478,H1478)</f>
        <v>6</v>
      </c>
      <c r="AE1478" s="64"/>
      <c r="AF1478" s="57" t="n">
        <f aca="false">IF(LEFT(Cockpit!$C$5,1)="A",H1478,IF(CA1478=1,CB1478,IF(LEFT(Cockpit!$C$5,1)="B",AJ1478,MAX(AJ1478,H1478))))</f>
        <v>6</v>
      </c>
      <c r="AG1478" s="57" t="n">
        <f aca="false">IF(BT1478=1,0,ROUNDUP(AF1478/BS1478,0))</f>
        <v>1</v>
      </c>
      <c r="AH1478" s="59" t="n">
        <f aca="false">IF(CH1478&gt;0,CH1478*MAX(1,AF1478/X1478),IF(BT1478=1,IF(AF1478&lt;=0,0,BW1478*MAX(1,IF(H1478&gt;0,AF1478/H1478,1))),IF(R1478&gt;0,AG1478/R1478,0))/MAX(0.1,N(Parameter!$M$21)))</f>
        <v>0.00505050505050505</v>
      </c>
      <c r="AI1478" s="57" t="n">
        <f aca="false">AF1478*G1478</f>
        <v>71.1</v>
      </c>
      <c r="AJ1478" s="57" t="n">
        <f aca="false">ROUNDUP(MAX(J1478/IF(BZ1478&gt;0,BZ1478,MAX(0.1,N(Cockpit!$C$6))),CC1478)/BS1478,0)*BS1478</f>
        <v>6</v>
      </c>
      <c r="AK1478" s="58" t="n">
        <f aca="false">IF(AH1478&gt;0,J1478/AH1478,-1)</f>
        <v>0</v>
      </c>
      <c r="AL1478" s="58" t="n">
        <f aca="false">IF(AND(OR(BY1478="L1",BY1478="L23"),AH1478&gt;0),SUMIFS($AH$7:$AH$1843,$BY$7:$BY$1843,BY1478,$AK$7:$AK$1843,"&gt;"&amp;AK1478)+SUMIFS($AH$7:$AH$1843,$BY$7:$BY$1843,BY1478,$AK$7:$AK$1843,AK1478,$BQ$7:$BQ$1843,"&lt;="&amp;BQ1478),"")</f>
        <v>81.087826424783</v>
      </c>
      <c r="AM1478" s="65" t="n">
        <f aca="false">IF(AL1478="",0,MAX(0,MIN(1,(IF(BY1478="L1",Parameter!$E$5,Parameter!$E$6+Parameter!$E$7)-(AL1478-AH1478))/AH1478)))</f>
        <v>1</v>
      </c>
      <c r="AN1478" s="57" t="n">
        <f aca="false">IF(LEFT(Cockpit!$I$5,1)="A",H1478,IF(CA1478=1,CB1478,IF(LEFT(Cockpit!$I$5,1)="B",AR1478,MAX(AR1478,H1478))))</f>
        <v>6</v>
      </c>
      <c r="AO1478" s="57" t="n">
        <f aca="false">IF(BT1478=1,0,ROUNDUP(AN1478/BS1478,0))</f>
        <v>1</v>
      </c>
      <c r="AP1478" s="59" t="n">
        <f aca="false">IF(CH1478&gt;0,CH1478*MAX(1,AN1478/X1478),IF(BT1478=1,IF(AN1478&lt;=0,0,BW1478*MAX(1,IF(H1478&gt;0,AN1478/H1478,1))),IF(R1478&gt;0,AO1478/R1478,0))/MAX(0.1,N(Parameter!$M$21)))</f>
        <v>0.00505050505050505</v>
      </c>
      <c r="AQ1478" s="57" t="n">
        <f aca="false">AN1478*G1478</f>
        <v>71.1</v>
      </c>
      <c r="AR1478" s="57" t="n">
        <f aca="false">ROUNDUP(MAX(J1478/IF(BZ1478&gt;0,BZ1478,MAX(0.1,N(Cockpit!$I$6))),CC1478)/BS1478,0)*BS1478</f>
        <v>6</v>
      </c>
      <c r="AS1478" s="58" t="n">
        <f aca="false">IF(AP1478&gt;0,J1478/AP1478,-1)</f>
        <v>0</v>
      </c>
      <c r="AT1478" s="58" t="n">
        <f aca="false">IF(AND(OR(BY1478="L1",BY1478="L23"),AP1478&gt;0),SUMIFS($AP$7:$AP$1843,$BY$7:$BY$1843,BY1478,$AS$7:$AS$1843,"&gt;"&amp;AS1478)+SUMIFS($AP$7:$AP$1843,$BY$7:$BY$1843,BY1478,$AS$7:$AS$1843,AS1478,$BQ$7:$BQ$1843,"&lt;="&amp;BQ1478),"")</f>
        <v>125.961808722678</v>
      </c>
      <c r="AU1478" s="65" t="n">
        <f aca="false">IF(AT1478="",0,MAX(0,MIN(1,(IF(BY1478="L1",Parameter!$E$5,Parameter!$E$6+Parameter!$E$7)-(AT1478-AP1478))/AP1478)))</f>
        <v>0</v>
      </c>
      <c r="AV1478" s="57" t="n">
        <f aca="false">IF(LEFT(Cockpit!$O$5,1)="A",H1478,IF(CA1478=1,CB1478,IF(LEFT(Cockpit!$O$5,1)="B",AZ1478,MAX(AZ1478,H1478))))</f>
        <v>6</v>
      </c>
      <c r="AW1478" s="57" t="n">
        <f aca="false">IF(BT1478=1,0,ROUNDUP(AV1478/BS1478,0))</f>
        <v>1</v>
      </c>
      <c r="AX1478" s="59" t="n">
        <f aca="false">IF(CH1478&gt;0,CH1478*MAX(1,AV1478/X1478),IF(BT1478=1,IF(AV1478&lt;=0,0,BW1478*MAX(1,IF(H1478&gt;0,AV1478/H1478,1))),IF(R1478&gt;0,AW1478/R1478,0))/MAX(0.1,N(Parameter!$M$21)))</f>
        <v>0.00505050505050505</v>
      </c>
      <c r="AY1478" s="57" t="n">
        <f aca="false">AV1478*G1478</f>
        <v>71.1</v>
      </c>
      <c r="AZ1478" s="57" t="n">
        <f aca="false">ROUNDUP(MAX(J1478/IF(BZ1478&gt;0,BZ1478,MAX(0.1,N(Cockpit!$O$6))),CC1478)/BS1478,0)*BS1478</f>
        <v>6</v>
      </c>
      <c r="BA1478" s="58" t="n">
        <f aca="false">IF(AX1478&gt;0,J1478/AX1478,-1)</f>
        <v>0</v>
      </c>
      <c r="BB1478" s="58" t="n">
        <f aca="false">IF(AND(OR(BY1478="L1",BY1478="L23"),AX1478&gt;0),SUMIFS($AX$7:$AX$1843,$BY$7:$BY$1843,BY1478,$BA$7:$BA$1843,"&gt;"&amp;BA1478)+SUMIFS($AX$7:$AX$1843,$BY$7:$BY$1843,BY1478,$BA$7:$BA$1843,BA1478,$BQ$7:$BQ$1843,"&lt;="&amp;BQ1478),"")</f>
        <v>116.791645552515</v>
      </c>
      <c r="BC1478" s="65" t="n">
        <f aca="false">IF(BB1478="",0,MAX(0,MIN(1,(IF(BY1478="L1",Parameter!$E$5,Parameter!$E$6+Parameter!$E$7)-(BB1478-AX1478))/AX1478)))</f>
        <v>0</v>
      </c>
      <c r="BD1478" s="55" t="str">
        <f aca="false">IF(AH1478&lt;=0,"",IF(BY1478="Aussen","Aussenlager",IF(BY1478="-","Nicht im Lift",IF(AM1478&gt;=1,"Lift",IF(AM1478&lt;=0,"Aussenlager","teilweise")))))</f>
        <v>Lift</v>
      </c>
      <c r="BE1478" s="55" t="str">
        <f aca="false">IF(AP1478&lt;=0,"",IF(BY1478="Aussen","Aussenlager",IF(BY1478="-","Nicht im Lift",IF(AU1478&gt;=1,"Lift",IF(AU1478&lt;=0,"Aussenlager","teilweise")))))</f>
        <v>Aussenlager</v>
      </c>
      <c r="BF1478" s="55" t="str">
        <f aca="false">IF(AX1478&lt;=0,"",IF(BY1478="Aussen","Aussenlager",IF(BY1478="-","Nicht im Lift",IF(BC1478&gt;=1,"Lift",IF(BC1478&lt;=0,"Aussenlager","teilweise")))))</f>
        <v>Aussenlager</v>
      </c>
      <c r="BG1478" s="55" t="str">
        <f aca="false">IF(A1478="","",IF(BP1478=1,"Neu; ","")&amp;IF(AND(BP1478=0,BK1478&lt;0),"negativer Bestand (Export "&amp;BK1478&amp;"); ","")&amp;IF(J1478&lt;=0,"Kein Verbrauch; ","")&amp;IF(CH1478&gt;0,"Lift "&amp;W1478&amp;" lt. Liftbericht (Fach "&amp;X1478&amp;" Stk); ",IF(BU1478=1,"Gebinde geschätzt ("&amp;T1478&amp;"); ",IF(BT1478=1,"Lose – Tablare geschätzt; ","")))&amp;IF(H1478&gt;AR1478,"Überbestand "&amp;ROUND(H1478-AR1478,0)&amp;" Stk / CHF "&amp;ROUND((H1478-AR1478)*G1478,0)&amp;"; ","")&amp;IF(AND(CA1478=1,CB1478&lt;CC1478),"MAX &lt; MB+LG; ","")&amp;IF(AND(CG1478&gt;0,CF1478*10&gt;CG1478),"zu hoch für Tablar; ","")&amp;IF(AND(BP1478=0,OR(CA1478=1,AA1478&lt;&gt;"",U1478&lt;&gt;"",V1478&lt;&gt;"",AB1478&lt;&gt;"")),"manuell übersteuert; ","")&amp;IF(AND(BT1478=0,R1478=0),"Gebinde unbekannt / Stellmass fehlt; ","")&amp;IF(AND(BT1478=0,N(V1478)&lt;=0,N(Q1478)&lt;=0),"Menge pro Gebinde fehlt (Ist = 1 Gebinde); ","")&amp;BO1478)</f>
        <v>Kein Verbrauch; nur im Artikelstamm (Bestand 23.06.2026)</v>
      </c>
      <c r="BH1478" s="55"/>
      <c r="BI1478" s="55"/>
      <c r="BJ1478" s="62"/>
      <c r="BK1478" s="57" t="n">
        <v>6</v>
      </c>
      <c r="BL1478" s="57" t="n">
        <v>0</v>
      </c>
      <c r="BM1478" s="56" t="n">
        <v>0</v>
      </c>
      <c r="BN1478" s="57" t="n">
        <v>0</v>
      </c>
      <c r="BO1478" s="55" t="s">
        <v>2575</v>
      </c>
      <c r="BP1478" s="60" t="n">
        <v>0</v>
      </c>
      <c r="BQ1478" s="60" t="n">
        <v>1478</v>
      </c>
      <c r="BR1478" s="55" t="str">
        <f aca="false">IF(U1478&lt;&gt;"",UPPER(TRIM(U1478)),IF(BU1478=1,UPPER(VLOOKUP(T1478,Parameter!$I$27:$K$29,2,0)),IF(P1478="","LOSE",P1478)))</f>
        <v>S22</v>
      </c>
      <c r="BS1478" s="57" t="n">
        <f aca="false">IF(BR1478="LOSE",1,IF(N(V1478)&gt;0,V1478,IF(BU1478=1,MAX(1,N(VLOOKUP(T1478,Parameter!$I$27:$K$29,3,0)),H1478,N(N1478)),IF(N(Q1478)&gt;0,Q1478,MAX(1,H1478)))))</f>
        <v>6</v>
      </c>
      <c r="BT1478" s="60" t="n">
        <f aca="false">IF(BR1478="LOSE",1,0)</f>
        <v>0</v>
      </c>
      <c r="BU1478" s="60" t="n">
        <f aca="false">IF(AND(U1478="",OR(P1478="",P1478="LOSE"),T1478&lt;&gt;"",N(S1478)&lt;=0,ISNUMBER(MATCH(T1478,Parameter!$I$27:$I$29,0))),1,0)</f>
        <v>0</v>
      </c>
      <c r="BV1478" s="55" t="str">
        <f aca="false">IF(AND(Parameter!$B$19="Ja",E1478&lt;&gt;"",ISNUMBER(MATCH(E1478,Parameter!$I$35:$I$52,0))),VLOOKUP(E1478,Parameter!$I$35:$J$52,2,0),IFERROR(VLOOKUP(D1478,Parameter!$A$35:$C$64,2,0),"Nein"))</f>
        <v>2+3</v>
      </c>
      <c r="BW1478" s="59" t="n">
        <f aca="false">IF(BT1478=0,0,IF(N(S1478)&gt;0,S1478,IFERROR(VLOOKUP(D1478,Parameter!$A$35:$C$64,3,0)+0,0)))</f>
        <v>0</v>
      </c>
      <c r="BX1478" s="55" t="n">
        <f aca="false">IF(AA1478&lt;&gt;"",AA1478,Z1478)</f>
        <v>3</v>
      </c>
      <c r="BY1478" s="55" t="str">
        <f aca="false">IF(BX1478=1,"L1",IF(OR(BX1478=2,BX1478=3),"L23",IF(BX1478="Aussen","Aussen","-")))</f>
        <v>L23</v>
      </c>
      <c r="BZ1478" s="66" t="n">
        <f aca="false">IF(N(AB1478)&gt;0,AB1478,0)</f>
        <v>0</v>
      </c>
      <c r="CA1478" s="60" t="n">
        <f aca="false">IF(ISNUMBER(AE1478),1,0)</f>
        <v>0</v>
      </c>
      <c r="CB1478" s="57" t="n">
        <f aca="false">N(AE1478)</f>
        <v>0</v>
      </c>
      <c r="CC1478" s="57" t="n">
        <f aca="false">N(M1478)+N(N1478)</f>
        <v>5</v>
      </c>
      <c r="CD1478" s="57" t="n">
        <f aca="false">ROUNDUP(H1478/BS1478,0)</f>
        <v>1</v>
      </c>
      <c r="CE1478" s="57" t="n">
        <f aca="false">ROUNDUP(CB1478/BS1478,0)</f>
        <v>0</v>
      </c>
      <c r="CF1478" s="60" t="n">
        <f aca="false">IF(BT1478=1,0,IFERROR(VLOOKUP(BR1478,'Gebinde-Kategorie'!$A$5:$M$45,5,0)+0,0))</f>
        <v>8</v>
      </c>
      <c r="CG1478" s="60" t="n">
        <f aca="false">IFERROR(IF(OR(BX1478=1,BX1478=2,BX1478=3),N(INDEX(Parameter!$I$5:$I$7,BX1478)),0),0)</f>
        <v>0</v>
      </c>
      <c r="CH1478" s="59" t="n">
        <f aca="false">IF(AND(Parameter!$B$21="Ja",ISNUMBER(W1478),N(X1478)&gt;0),IFERROR(N(INDEX(Parameter!$L$5:$L$7,W1478))*INDEX(Parameter!$E$5:$E$7,W1478)*X1478/SUMIFS($X$7:$X$1843,$W$7:$W$1843,W1478),0),0)</f>
        <v>0</v>
      </c>
    </row>
    <row r="1479" customFormat="false" ht="15" hidden="false" customHeight="false" outlineLevel="0" collapsed="false">
      <c r="A1479" s="55" t="s">
        <v>2586</v>
      </c>
      <c r="B1479" s="55" t="s">
        <v>2587</v>
      </c>
      <c r="C1479" s="55" t="s">
        <v>164</v>
      </c>
      <c r="D1479" s="55" t="s">
        <v>184</v>
      </c>
      <c r="E1479" s="55" t="s">
        <v>185</v>
      </c>
      <c r="F1479" s="55"/>
      <c r="G1479" s="56" t="n">
        <v>8.4</v>
      </c>
      <c r="H1479" s="57" t="n">
        <f aca="false">MAX(0,IF(AND(Parameter!$B$21="Ja",ISNUMBER(Y1479)),Y1479,IF(Parameter!$B$20="Jahresanfang 2025 + Export",BL1479+BK1479,BK1479)))</f>
        <v>9</v>
      </c>
      <c r="I1479" s="57" t="n">
        <f aca="false">H1479*G1479</f>
        <v>75.6</v>
      </c>
      <c r="J1479" s="57" t="n">
        <f aca="false">BN1479*Parameter!$B$18</f>
        <v>0</v>
      </c>
      <c r="K1479" s="58"/>
      <c r="L1479" s="59"/>
      <c r="M1479" s="57" t="n">
        <v>0</v>
      </c>
      <c r="N1479" s="57" t="n">
        <v>6</v>
      </c>
      <c r="O1479" s="60" t="n">
        <v>35</v>
      </c>
      <c r="P1479" s="55" t="s">
        <v>426</v>
      </c>
      <c r="Q1479" s="57" t="n">
        <v>9</v>
      </c>
      <c r="R1479" s="60" t="n">
        <f aca="false">IF(BT1479=1,0,IFERROR(VLOOKUP(BR1479,'Gebinde-Kategorie'!$A$5:$M$45,13,0)+0,0))</f>
        <v>198</v>
      </c>
      <c r="S1479" s="61"/>
      <c r="T1479" s="62"/>
      <c r="U1479" s="62"/>
      <c r="V1479" s="62"/>
      <c r="W1479" s="55"/>
      <c r="X1479" s="57"/>
      <c r="Y1479" s="57"/>
      <c r="Z1479" s="55" t="n">
        <f aca="false">IF(A1479="","",IF(AND(Parameter!$B$21="Ja",ISNUMBER(W1479)),W1479,IF(BV1479="2+3",IF(ISNUMBER(SEARCH("grosser Artikel",BO1479)),2,IFERROR(VLOOKUP(BR1479,Parameter!$F$35:$G$64,2,0),2)),IF(OR(BV1479="Nein",BV1479=""),"-",BV1479))))</f>
        <v>3</v>
      </c>
      <c r="AA1479" s="62"/>
      <c r="AB1479" s="63"/>
      <c r="AC1479" s="57" t="n">
        <f aca="false">AR1479</f>
        <v>9</v>
      </c>
      <c r="AD1479" s="57" t="n">
        <f aca="false">MAX(AR1479,H1479)</f>
        <v>9</v>
      </c>
      <c r="AE1479" s="64"/>
      <c r="AF1479" s="57" t="n">
        <f aca="false">IF(LEFT(Cockpit!$C$5,1)="A",H1479,IF(CA1479=1,CB1479,IF(LEFT(Cockpit!$C$5,1)="B",AJ1479,MAX(AJ1479,H1479))))</f>
        <v>9</v>
      </c>
      <c r="AG1479" s="57" t="n">
        <f aca="false">IF(BT1479=1,0,ROUNDUP(AF1479/BS1479,0))</f>
        <v>1</v>
      </c>
      <c r="AH1479" s="59" t="n">
        <f aca="false">IF(CH1479&gt;0,CH1479*MAX(1,AF1479/X1479),IF(BT1479=1,IF(AF1479&lt;=0,0,BW1479*MAX(1,IF(H1479&gt;0,AF1479/H1479,1))),IF(R1479&gt;0,AG1479/R1479,0))/MAX(0.1,N(Parameter!$M$21)))</f>
        <v>0.00505050505050505</v>
      </c>
      <c r="AI1479" s="57" t="n">
        <f aca="false">AF1479*G1479</f>
        <v>75.6</v>
      </c>
      <c r="AJ1479" s="57" t="n">
        <f aca="false">ROUNDUP(MAX(J1479/IF(BZ1479&gt;0,BZ1479,MAX(0.1,N(Cockpit!$C$6))),CC1479)/BS1479,0)*BS1479</f>
        <v>9</v>
      </c>
      <c r="AK1479" s="58" t="n">
        <f aca="false">IF(AH1479&gt;0,J1479/AH1479,-1)</f>
        <v>0</v>
      </c>
      <c r="AL1479" s="58" t="n">
        <f aca="false">IF(AND(OR(BY1479="L1",BY1479="L23"),AH1479&gt;0),SUMIFS($AH$7:$AH$1843,$BY$7:$BY$1843,BY1479,$AK$7:$AK$1843,"&gt;"&amp;AK1479)+SUMIFS($AH$7:$AH$1843,$BY$7:$BY$1843,BY1479,$AK$7:$AK$1843,AK1479,$BQ$7:$BQ$1843,"&lt;="&amp;BQ1479),"")</f>
        <v>81.0928769298335</v>
      </c>
      <c r="AM1479" s="65" t="n">
        <f aca="false">IF(AL1479="",0,MAX(0,MIN(1,(IF(BY1479="L1",Parameter!$E$5,Parameter!$E$6+Parameter!$E$7)-(AL1479-AH1479))/AH1479)))</f>
        <v>1</v>
      </c>
      <c r="AN1479" s="57" t="n">
        <f aca="false">IF(LEFT(Cockpit!$I$5,1)="A",H1479,IF(CA1479=1,CB1479,IF(LEFT(Cockpit!$I$5,1)="B",AR1479,MAX(AR1479,H1479))))</f>
        <v>9</v>
      </c>
      <c r="AO1479" s="57" t="n">
        <f aca="false">IF(BT1479=1,0,ROUNDUP(AN1479/BS1479,0))</f>
        <v>1</v>
      </c>
      <c r="AP1479" s="59" t="n">
        <f aca="false">IF(CH1479&gt;0,CH1479*MAX(1,AN1479/X1479),IF(BT1479=1,IF(AN1479&lt;=0,0,BW1479*MAX(1,IF(H1479&gt;0,AN1479/H1479,1))),IF(R1479&gt;0,AO1479/R1479,0))/MAX(0.1,N(Parameter!$M$21)))</f>
        <v>0.00505050505050505</v>
      </c>
      <c r="AQ1479" s="57" t="n">
        <f aca="false">AN1479*G1479</f>
        <v>75.6</v>
      </c>
      <c r="AR1479" s="57" t="n">
        <f aca="false">ROUNDUP(MAX(J1479/IF(BZ1479&gt;0,BZ1479,MAX(0.1,N(Cockpit!$I$6))),CC1479)/BS1479,0)*BS1479</f>
        <v>9</v>
      </c>
      <c r="AS1479" s="58" t="n">
        <f aca="false">IF(AP1479&gt;0,J1479/AP1479,-1)</f>
        <v>0</v>
      </c>
      <c r="AT1479" s="58" t="n">
        <f aca="false">IF(AND(OR(BY1479="L1",BY1479="L23"),AP1479&gt;0),SUMIFS($AP$7:$AP$1843,$BY$7:$BY$1843,BY1479,$AS$7:$AS$1843,"&gt;"&amp;AS1479)+SUMIFS($AP$7:$AP$1843,$BY$7:$BY$1843,BY1479,$AS$7:$AS$1843,AS1479,$BQ$7:$BQ$1843,"&lt;="&amp;BQ1479),"")</f>
        <v>125.966859227729</v>
      </c>
      <c r="AU1479" s="65" t="n">
        <f aca="false">IF(AT1479="",0,MAX(0,MIN(1,(IF(BY1479="L1",Parameter!$E$5,Parameter!$E$6+Parameter!$E$7)-(AT1479-AP1479))/AP1479)))</f>
        <v>0</v>
      </c>
      <c r="AV1479" s="57" t="n">
        <f aca="false">IF(LEFT(Cockpit!$O$5,1)="A",H1479,IF(CA1479=1,CB1479,IF(LEFT(Cockpit!$O$5,1)="B",AZ1479,MAX(AZ1479,H1479))))</f>
        <v>9</v>
      </c>
      <c r="AW1479" s="57" t="n">
        <f aca="false">IF(BT1479=1,0,ROUNDUP(AV1479/BS1479,0))</f>
        <v>1</v>
      </c>
      <c r="AX1479" s="59" t="n">
        <f aca="false">IF(CH1479&gt;0,CH1479*MAX(1,AV1479/X1479),IF(BT1479=1,IF(AV1479&lt;=0,0,BW1479*MAX(1,IF(H1479&gt;0,AV1479/H1479,1))),IF(R1479&gt;0,AW1479/R1479,0))/MAX(0.1,N(Parameter!$M$21)))</f>
        <v>0.00505050505050505</v>
      </c>
      <c r="AY1479" s="57" t="n">
        <f aca="false">AV1479*G1479</f>
        <v>75.6</v>
      </c>
      <c r="AZ1479" s="57" t="n">
        <f aca="false">ROUNDUP(MAX(J1479/IF(BZ1479&gt;0,BZ1479,MAX(0.1,N(Cockpit!$O$6))),CC1479)/BS1479,0)*BS1479</f>
        <v>9</v>
      </c>
      <c r="BA1479" s="58" t="n">
        <f aca="false">IF(AX1479&gt;0,J1479/AX1479,-1)</f>
        <v>0</v>
      </c>
      <c r="BB1479" s="58" t="n">
        <f aca="false">IF(AND(OR(BY1479="L1",BY1479="L23"),AX1479&gt;0),SUMIFS($AX$7:$AX$1843,$BY$7:$BY$1843,BY1479,$BA$7:$BA$1843,"&gt;"&amp;BA1479)+SUMIFS($AX$7:$AX$1843,$BY$7:$BY$1843,BY1479,$BA$7:$BA$1843,BA1479,$BQ$7:$BQ$1843,"&lt;="&amp;BQ1479),"")</f>
        <v>116.796696057566</v>
      </c>
      <c r="BC1479" s="65" t="n">
        <f aca="false">IF(BB1479="",0,MAX(0,MIN(1,(IF(BY1479="L1",Parameter!$E$5,Parameter!$E$6+Parameter!$E$7)-(BB1479-AX1479))/AX1479)))</f>
        <v>0</v>
      </c>
      <c r="BD1479" s="55" t="str">
        <f aca="false">IF(AH1479&lt;=0,"",IF(BY1479="Aussen","Aussenlager",IF(BY1479="-","Nicht im Lift",IF(AM1479&gt;=1,"Lift",IF(AM1479&lt;=0,"Aussenlager","teilweise")))))</f>
        <v>Lift</v>
      </c>
      <c r="BE1479" s="55" t="str">
        <f aca="false">IF(AP1479&lt;=0,"",IF(BY1479="Aussen","Aussenlager",IF(BY1479="-","Nicht im Lift",IF(AU1479&gt;=1,"Lift",IF(AU1479&lt;=0,"Aussenlager","teilweise")))))</f>
        <v>Aussenlager</v>
      </c>
      <c r="BF1479" s="55" t="str">
        <f aca="false">IF(AX1479&lt;=0,"",IF(BY1479="Aussen","Aussenlager",IF(BY1479="-","Nicht im Lift",IF(BC1479&gt;=1,"Lift",IF(BC1479&lt;=0,"Aussenlager","teilweise")))))</f>
        <v>Aussenlager</v>
      </c>
      <c r="BG1479" s="55" t="str">
        <f aca="false">IF(A1479="","",IF(BP1479=1,"Neu; ","")&amp;IF(AND(BP1479=0,BK1479&lt;0),"negativer Bestand (Export "&amp;BK1479&amp;"); ","")&amp;IF(J1479&lt;=0,"Kein Verbrauch; ","")&amp;IF(CH1479&gt;0,"Lift "&amp;W1479&amp;" lt. Liftbericht (Fach "&amp;X1479&amp;" Stk); ",IF(BU1479=1,"Gebinde geschätzt ("&amp;T1479&amp;"); ",IF(BT1479=1,"Lose – Tablare geschätzt; ","")))&amp;IF(H1479&gt;AR1479,"Überbestand "&amp;ROUND(H1479-AR1479,0)&amp;" Stk / CHF "&amp;ROUND((H1479-AR1479)*G1479,0)&amp;"; ","")&amp;IF(AND(CA1479=1,CB1479&lt;CC1479),"MAX &lt; MB+LG; ","")&amp;IF(AND(CG1479&gt;0,CF1479*10&gt;CG1479),"zu hoch für Tablar; ","")&amp;IF(AND(BP1479=0,OR(CA1479=1,AA1479&lt;&gt;"",U1479&lt;&gt;"",V1479&lt;&gt;"",AB1479&lt;&gt;"")),"manuell übersteuert; ","")&amp;IF(AND(BT1479=0,R1479=0),"Gebinde unbekannt / Stellmass fehlt; ","")&amp;IF(AND(BT1479=0,N(V1479)&lt;=0,N(Q1479)&lt;=0),"Menge pro Gebinde fehlt (Ist = 1 Gebinde); ","")&amp;BO1479)</f>
        <v>Kein Verbrauch; nur im Artikelstamm (Bestand 23.06.2026)</v>
      </c>
      <c r="BH1479" s="55"/>
      <c r="BI1479" s="55"/>
      <c r="BJ1479" s="62"/>
      <c r="BK1479" s="57" t="n">
        <v>9</v>
      </c>
      <c r="BL1479" s="57" t="n">
        <v>0</v>
      </c>
      <c r="BM1479" s="56" t="n">
        <v>0</v>
      </c>
      <c r="BN1479" s="57" t="n">
        <v>0</v>
      </c>
      <c r="BO1479" s="55" t="s">
        <v>2575</v>
      </c>
      <c r="BP1479" s="60" t="n">
        <v>0</v>
      </c>
      <c r="BQ1479" s="60" t="n">
        <v>1479</v>
      </c>
      <c r="BR1479" s="55" t="str">
        <f aca="false">IF(U1479&lt;&gt;"",UPPER(TRIM(U1479)),IF(BU1479=1,UPPER(VLOOKUP(T1479,Parameter!$I$27:$K$29,2,0)),IF(P1479="","LOSE",P1479)))</f>
        <v>S22</v>
      </c>
      <c r="BS1479" s="57" t="n">
        <f aca="false">IF(BR1479="LOSE",1,IF(N(V1479)&gt;0,V1479,IF(BU1479=1,MAX(1,N(VLOOKUP(T1479,Parameter!$I$27:$K$29,3,0)),H1479,N(N1479)),IF(N(Q1479)&gt;0,Q1479,MAX(1,H1479)))))</f>
        <v>9</v>
      </c>
      <c r="BT1479" s="60" t="n">
        <f aca="false">IF(BR1479="LOSE",1,0)</f>
        <v>0</v>
      </c>
      <c r="BU1479" s="60" t="n">
        <f aca="false">IF(AND(U1479="",OR(P1479="",P1479="LOSE"),T1479&lt;&gt;"",N(S1479)&lt;=0,ISNUMBER(MATCH(T1479,Parameter!$I$27:$I$29,0))),1,0)</f>
        <v>0</v>
      </c>
      <c r="BV1479" s="55" t="str">
        <f aca="false">IF(AND(Parameter!$B$19="Ja",E1479&lt;&gt;"",ISNUMBER(MATCH(E1479,Parameter!$I$35:$I$52,0))),VLOOKUP(E1479,Parameter!$I$35:$J$52,2,0),IFERROR(VLOOKUP(D1479,Parameter!$A$35:$C$64,2,0),"Nein"))</f>
        <v>2+3</v>
      </c>
      <c r="BW1479" s="59" t="n">
        <f aca="false">IF(BT1479=0,0,IF(N(S1479)&gt;0,S1479,IFERROR(VLOOKUP(D1479,Parameter!$A$35:$C$64,3,0)+0,0)))</f>
        <v>0</v>
      </c>
      <c r="BX1479" s="55" t="n">
        <f aca="false">IF(AA1479&lt;&gt;"",AA1479,Z1479)</f>
        <v>3</v>
      </c>
      <c r="BY1479" s="55" t="str">
        <f aca="false">IF(BX1479=1,"L1",IF(OR(BX1479=2,BX1479=3),"L23",IF(BX1479="Aussen","Aussen","-")))</f>
        <v>L23</v>
      </c>
      <c r="BZ1479" s="66" t="n">
        <f aca="false">IF(N(AB1479)&gt;0,AB1479,0)</f>
        <v>0</v>
      </c>
      <c r="CA1479" s="60" t="n">
        <f aca="false">IF(ISNUMBER(AE1479),1,0)</f>
        <v>0</v>
      </c>
      <c r="CB1479" s="57" t="n">
        <f aca="false">N(AE1479)</f>
        <v>0</v>
      </c>
      <c r="CC1479" s="57" t="n">
        <f aca="false">N(M1479)+N(N1479)</f>
        <v>6</v>
      </c>
      <c r="CD1479" s="57" t="n">
        <f aca="false">ROUNDUP(H1479/BS1479,0)</f>
        <v>1</v>
      </c>
      <c r="CE1479" s="57" t="n">
        <f aca="false">ROUNDUP(CB1479/BS1479,0)</f>
        <v>0</v>
      </c>
      <c r="CF1479" s="60" t="n">
        <f aca="false">IF(BT1479=1,0,IFERROR(VLOOKUP(BR1479,'Gebinde-Kategorie'!$A$5:$M$45,5,0)+0,0))</f>
        <v>8</v>
      </c>
      <c r="CG1479" s="60" t="n">
        <f aca="false">IFERROR(IF(OR(BX1479=1,BX1479=2,BX1479=3),N(INDEX(Parameter!$I$5:$I$7,BX1479)),0),0)</f>
        <v>0</v>
      </c>
      <c r="CH1479" s="59" t="n">
        <f aca="false">IF(AND(Parameter!$B$21="Ja",ISNUMBER(W1479),N(X1479)&gt;0),IFERROR(N(INDEX(Parameter!$L$5:$L$7,W1479))*INDEX(Parameter!$E$5:$E$7,W1479)*X1479/SUMIFS($X$7:$X$1843,$W$7:$W$1843,W1479),0),0)</f>
        <v>0</v>
      </c>
    </row>
    <row r="1480" customFormat="false" ht="15" hidden="false" customHeight="false" outlineLevel="0" collapsed="false">
      <c r="A1480" s="55" t="s">
        <v>2588</v>
      </c>
      <c r="B1480" s="55" t="s">
        <v>2589</v>
      </c>
      <c r="C1480" s="55" t="s">
        <v>164</v>
      </c>
      <c r="D1480" s="55" t="s">
        <v>184</v>
      </c>
      <c r="E1480" s="55" t="s">
        <v>185</v>
      </c>
      <c r="F1480" s="55"/>
      <c r="G1480" s="56" t="n">
        <v>186.49</v>
      </c>
      <c r="H1480" s="57" t="n">
        <f aca="false">MAX(0,IF(AND(Parameter!$B$21="Ja",ISNUMBER(Y1480)),Y1480,IF(Parameter!$B$20="Jahresanfang 2025 + Export",BL1480+BK1480,BK1480)))</f>
        <v>3</v>
      </c>
      <c r="I1480" s="57" t="n">
        <f aca="false">H1480*G1480</f>
        <v>559.47</v>
      </c>
      <c r="J1480" s="57" t="n">
        <f aca="false">BN1480*Parameter!$B$18</f>
        <v>0</v>
      </c>
      <c r="K1480" s="58"/>
      <c r="L1480" s="59"/>
      <c r="M1480" s="57" t="n">
        <v>0</v>
      </c>
      <c r="N1480" s="57" t="n">
        <v>3</v>
      </c>
      <c r="O1480" s="60" t="n">
        <v>0</v>
      </c>
      <c r="P1480" s="55" t="s">
        <v>233</v>
      </c>
      <c r="Q1480" s="57" t="n">
        <v>3</v>
      </c>
      <c r="R1480" s="60" t="n">
        <f aca="false">IF(BT1480=1,0,IFERROR(VLOOKUP(BR1480,'Gebinde-Kategorie'!$A$5:$M$45,13,0)+0,0))</f>
        <v>26</v>
      </c>
      <c r="S1480" s="61"/>
      <c r="T1480" s="62"/>
      <c r="U1480" s="62"/>
      <c r="V1480" s="62"/>
      <c r="W1480" s="55"/>
      <c r="X1480" s="57"/>
      <c r="Y1480" s="57"/>
      <c r="Z1480" s="55" t="n">
        <f aca="false">IF(A1480="","",IF(AND(Parameter!$B$21="Ja",ISNUMBER(W1480)),W1480,IF(BV1480="2+3",IF(ISNUMBER(SEARCH("grosser Artikel",BO1480)),2,IFERROR(VLOOKUP(BR1480,Parameter!$F$35:$G$64,2,0),2)),IF(OR(BV1480="Nein",BV1480=""),"-",BV1480))))</f>
        <v>3</v>
      </c>
      <c r="AA1480" s="62"/>
      <c r="AB1480" s="63"/>
      <c r="AC1480" s="57" t="n">
        <f aca="false">AR1480</f>
        <v>3</v>
      </c>
      <c r="AD1480" s="57" t="n">
        <f aca="false">MAX(AR1480,H1480)</f>
        <v>3</v>
      </c>
      <c r="AE1480" s="64"/>
      <c r="AF1480" s="57" t="n">
        <f aca="false">IF(LEFT(Cockpit!$C$5,1)="A",H1480,IF(CA1480=1,CB1480,IF(LEFT(Cockpit!$C$5,1)="B",AJ1480,MAX(AJ1480,H1480))))</f>
        <v>3</v>
      </c>
      <c r="AG1480" s="57" t="n">
        <f aca="false">IF(BT1480=1,0,ROUNDUP(AF1480/BS1480,0))</f>
        <v>1</v>
      </c>
      <c r="AH1480" s="59" t="n">
        <f aca="false">IF(CH1480&gt;0,CH1480*MAX(1,AF1480/X1480),IF(BT1480=1,IF(AF1480&lt;=0,0,BW1480*MAX(1,IF(H1480&gt;0,AF1480/H1480,1))),IF(R1480&gt;0,AG1480/R1480,0))/MAX(0.1,N(Parameter!$M$21)))</f>
        <v>0.0384615384615385</v>
      </c>
      <c r="AI1480" s="57" t="n">
        <f aca="false">AF1480*G1480</f>
        <v>559.47</v>
      </c>
      <c r="AJ1480" s="57" t="n">
        <f aca="false">ROUNDUP(MAX(J1480/IF(BZ1480&gt;0,BZ1480,MAX(0.1,N(Cockpit!$C$6))),CC1480)/BS1480,0)*BS1480</f>
        <v>3</v>
      </c>
      <c r="AK1480" s="58" t="n">
        <f aca="false">IF(AH1480&gt;0,J1480/AH1480,-1)</f>
        <v>0</v>
      </c>
      <c r="AL1480" s="58" t="n">
        <f aca="false">IF(AND(OR(BY1480="L1",BY1480="L23"),AH1480&gt;0),SUMIFS($AH$7:$AH$1843,$BY$7:$BY$1843,BY1480,$AK$7:$AK$1843,"&gt;"&amp;AK1480)+SUMIFS($AH$7:$AH$1843,$BY$7:$BY$1843,BY1480,$AK$7:$AK$1843,AK1480,$BQ$7:$BQ$1843,"&lt;="&amp;BQ1480),"")</f>
        <v>81.131338468295</v>
      </c>
      <c r="AM1480" s="65" t="n">
        <f aca="false">IF(AL1480="",0,MAX(0,MIN(1,(IF(BY1480="L1",Parameter!$E$5,Parameter!$E$6+Parameter!$E$7)-(AL1480-AH1480))/AH1480)))</f>
        <v>1</v>
      </c>
      <c r="AN1480" s="57" t="n">
        <f aca="false">IF(LEFT(Cockpit!$I$5,1)="A",H1480,IF(CA1480=1,CB1480,IF(LEFT(Cockpit!$I$5,1)="B",AR1480,MAX(AR1480,H1480))))</f>
        <v>3</v>
      </c>
      <c r="AO1480" s="57" t="n">
        <f aca="false">IF(BT1480=1,0,ROUNDUP(AN1480/BS1480,0))</f>
        <v>1</v>
      </c>
      <c r="AP1480" s="59" t="n">
        <f aca="false">IF(CH1480&gt;0,CH1480*MAX(1,AN1480/X1480),IF(BT1480=1,IF(AN1480&lt;=0,0,BW1480*MAX(1,IF(H1480&gt;0,AN1480/H1480,1))),IF(R1480&gt;0,AO1480/R1480,0))/MAX(0.1,N(Parameter!$M$21)))</f>
        <v>0.0384615384615385</v>
      </c>
      <c r="AQ1480" s="57" t="n">
        <f aca="false">AN1480*G1480</f>
        <v>559.47</v>
      </c>
      <c r="AR1480" s="57" t="n">
        <f aca="false">ROUNDUP(MAX(J1480/IF(BZ1480&gt;0,BZ1480,MAX(0.1,N(Cockpit!$I$6))),CC1480)/BS1480,0)*BS1480</f>
        <v>3</v>
      </c>
      <c r="AS1480" s="58" t="n">
        <f aca="false">IF(AP1480&gt;0,J1480/AP1480,-1)</f>
        <v>0</v>
      </c>
      <c r="AT1480" s="58" t="n">
        <f aca="false">IF(AND(OR(BY1480="L1",BY1480="L23"),AP1480&gt;0),SUMIFS($AP$7:$AP$1843,$BY$7:$BY$1843,BY1480,$AS$7:$AS$1843,"&gt;"&amp;AS1480)+SUMIFS($AP$7:$AP$1843,$BY$7:$BY$1843,BY1480,$AS$7:$AS$1843,AS1480,$BQ$7:$BQ$1843,"&lt;="&amp;BQ1480),"")</f>
        <v>126.00532076619</v>
      </c>
      <c r="AU1480" s="65" t="n">
        <f aca="false">IF(AT1480="",0,MAX(0,MIN(1,(IF(BY1480="L1",Parameter!$E$5,Parameter!$E$6+Parameter!$E$7)-(AT1480-AP1480))/AP1480)))</f>
        <v>0</v>
      </c>
      <c r="AV1480" s="57" t="n">
        <f aca="false">IF(LEFT(Cockpit!$O$5,1)="A",H1480,IF(CA1480=1,CB1480,IF(LEFT(Cockpit!$O$5,1)="B",AZ1480,MAX(AZ1480,H1480))))</f>
        <v>3</v>
      </c>
      <c r="AW1480" s="57" t="n">
        <f aca="false">IF(BT1480=1,0,ROUNDUP(AV1480/BS1480,0))</f>
        <v>1</v>
      </c>
      <c r="AX1480" s="59" t="n">
        <f aca="false">IF(CH1480&gt;0,CH1480*MAX(1,AV1480/X1480),IF(BT1480=1,IF(AV1480&lt;=0,0,BW1480*MAX(1,IF(H1480&gt;0,AV1480/H1480,1))),IF(R1480&gt;0,AW1480/R1480,0))/MAX(0.1,N(Parameter!$M$21)))</f>
        <v>0.0384615384615385</v>
      </c>
      <c r="AY1480" s="57" t="n">
        <f aca="false">AV1480*G1480</f>
        <v>559.47</v>
      </c>
      <c r="AZ1480" s="57" t="n">
        <f aca="false">ROUNDUP(MAX(J1480/IF(BZ1480&gt;0,BZ1480,MAX(0.1,N(Cockpit!$O$6))),CC1480)/BS1480,0)*BS1480</f>
        <v>3</v>
      </c>
      <c r="BA1480" s="58" t="n">
        <f aca="false">IF(AX1480&gt;0,J1480/AX1480,-1)</f>
        <v>0</v>
      </c>
      <c r="BB1480" s="58" t="n">
        <f aca="false">IF(AND(OR(BY1480="L1",BY1480="L23"),AX1480&gt;0),SUMIFS($AX$7:$AX$1843,$BY$7:$BY$1843,BY1480,$BA$7:$BA$1843,"&gt;"&amp;BA1480)+SUMIFS($AX$7:$AX$1843,$BY$7:$BY$1843,BY1480,$BA$7:$BA$1843,BA1480,$BQ$7:$BQ$1843,"&lt;="&amp;BQ1480),"")</f>
        <v>116.835157596027</v>
      </c>
      <c r="BC1480" s="65" t="n">
        <f aca="false">IF(BB1480="",0,MAX(0,MIN(1,(IF(BY1480="L1",Parameter!$E$5,Parameter!$E$6+Parameter!$E$7)-(BB1480-AX1480))/AX1480)))</f>
        <v>0</v>
      </c>
      <c r="BD1480" s="55" t="str">
        <f aca="false">IF(AH1480&lt;=0,"",IF(BY1480="Aussen","Aussenlager",IF(BY1480="-","Nicht im Lift",IF(AM1480&gt;=1,"Lift",IF(AM1480&lt;=0,"Aussenlager","teilweise")))))</f>
        <v>Lift</v>
      </c>
      <c r="BE1480" s="55" t="str">
        <f aca="false">IF(AP1480&lt;=0,"",IF(BY1480="Aussen","Aussenlager",IF(BY1480="-","Nicht im Lift",IF(AU1480&gt;=1,"Lift",IF(AU1480&lt;=0,"Aussenlager","teilweise")))))</f>
        <v>Aussenlager</v>
      </c>
      <c r="BF1480" s="55" t="str">
        <f aca="false">IF(AX1480&lt;=0,"",IF(BY1480="Aussen","Aussenlager",IF(BY1480="-","Nicht im Lift",IF(BC1480&gt;=1,"Lift",IF(BC1480&lt;=0,"Aussenlager","teilweise")))))</f>
        <v>Aussenlager</v>
      </c>
      <c r="BG1480" s="55" t="str">
        <f aca="false">IF(A1480="","",IF(BP1480=1,"Neu; ","")&amp;IF(AND(BP1480=0,BK1480&lt;0),"negativer Bestand (Export "&amp;BK1480&amp;"); ","")&amp;IF(J1480&lt;=0,"Kein Verbrauch; ","")&amp;IF(CH1480&gt;0,"Lift "&amp;W1480&amp;" lt. Liftbericht (Fach "&amp;X1480&amp;" Stk); ",IF(BU1480=1,"Gebinde geschätzt ("&amp;T1480&amp;"); ",IF(BT1480=1,"Lose – Tablare geschätzt; ","")))&amp;IF(H1480&gt;AR1480,"Überbestand "&amp;ROUND(H1480-AR1480,0)&amp;" Stk / CHF "&amp;ROUND((H1480-AR1480)*G1480,0)&amp;"; ","")&amp;IF(AND(CA1480=1,CB1480&lt;CC1480),"MAX &lt; MB+LG; ","")&amp;IF(AND(CG1480&gt;0,CF1480*10&gt;CG1480),"zu hoch für Tablar; ","")&amp;IF(AND(BP1480=0,OR(CA1480=1,AA1480&lt;&gt;"",U1480&lt;&gt;"",V1480&lt;&gt;"",AB1480&lt;&gt;"")),"manuell übersteuert; ","")&amp;IF(AND(BT1480=0,R1480=0),"Gebinde unbekannt / Stellmass fehlt; ","")&amp;IF(AND(BT1480=0,N(V1480)&lt;=0,N(Q1480)&lt;=0),"Menge pro Gebinde fehlt (Ist = 1 Gebinde); ","")&amp;BO1480)</f>
        <v>Kein Verbrauch; nur im Artikelstamm (Bestand 23.06.2026)</v>
      </c>
      <c r="BH1480" s="55"/>
      <c r="BI1480" s="55"/>
      <c r="BJ1480" s="62"/>
      <c r="BK1480" s="57" t="n">
        <v>3</v>
      </c>
      <c r="BL1480" s="57" t="n">
        <v>0</v>
      </c>
      <c r="BM1480" s="56" t="n">
        <v>0</v>
      </c>
      <c r="BN1480" s="57" t="n">
        <v>0</v>
      </c>
      <c r="BO1480" s="55" t="s">
        <v>2575</v>
      </c>
      <c r="BP1480" s="60" t="n">
        <v>0</v>
      </c>
      <c r="BQ1480" s="60" t="n">
        <v>1480</v>
      </c>
      <c r="BR1480" s="55" t="str">
        <f aca="false">IF(U1480&lt;&gt;"",UPPER(TRIM(U1480)),IF(BU1480=1,UPPER(VLOOKUP(T1480,Parameter!$I$27:$K$29,2,0)),IF(P1480="","LOSE",P1480)))</f>
        <v>S52</v>
      </c>
      <c r="BS1480" s="57" t="n">
        <f aca="false">IF(BR1480="LOSE",1,IF(N(V1480)&gt;0,V1480,IF(BU1480=1,MAX(1,N(VLOOKUP(T1480,Parameter!$I$27:$K$29,3,0)),H1480,N(N1480)),IF(N(Q1480)&gt;0,Q1480,MAX(1,H1480)))))</f>
        <v>3</v>
      </c>
      <c r="BT1480" s="60" t="n">
        <f aca="false">IF(BR1480="LOSE",1,0)</f>
        <v>0</v>
      </c>
      <c r="BU1480" s="60" t="n">
        <f aca="false">IF(AND(U1480="",OR(P1480="",P1480="LOSE"),T1480&lt;&gt;"",N(S1480)&lt;=0,ISNUMBER(MATCH(T1480,Parameter!$I$27:$I$29,0))),1,0)</f>
        <v>0</v>
      </c>
      <c r="BV1480" s="55" t="str">
        <f aca="false">IF(AND(Parameter!$B$19="Ja",E1480&lt;&gt;"",ISNUMBER(MATCH(E1480,Parameter!$I$35:$I$52,0))),VLOOKUP(E1480,Parameter!$I$35:$J$52,2,0),IFERROR(VLOOKUP(D1480,Parameter!$A$35:$C$64,2,0),"Nein"))</f>
        <v>2+3</v>
      </c>
      <c r="BW1480" s="59" t="n">
        <f aca="false">IF(BT1480=0,0,IF(N(S1480)&gt;0,S1480,IFERROR(VLOOKUP(D1480,Parameter!$A$35:$C$64,3,0)+0,0)))</f>
        <v>0</v>
      </c>
      <c r="BX1480" s="55" t="n">
        <f aca="false">IF(AA1480&lt;&gt;"",AA1480,Z1480)</f>
        <v>3</v>
      </c>
      <c r="BY1480" s="55" t="str">
        <f aca="false">IF(BX1480=1,"L1",IF(OR(BX1480=2,BX1480=3),"L23",IF(BX1480="Aussen","Aussen","-")))</f>
        <v>L23</v>
      </c>
      <c r="BZ1480" s="66" t="n">
        <f aca="false">IF(N(AB1480)&gt;0,AB1480,0)</f>
        <v>0</v>
      </c>
      <c r="CA1480" s="60" t="n">
        <f aca="false">IF(ISNUMBER(AE1480),1,0)</f>
        <v>0</v>
      </c>
      <c r="CB1480" s="57" t="n">
        <f aca="false">N(AE1480)</f>
        <v>0</v>
      </c>
      <c r="CC1480" s="57" t="n">
        <f aca="false">N(M1480)+N(N1480)</f>
        <v>3</v>
      </c>
      <c r="CD1480" s="57" t="n">
        <f aca="false">ROUNDUP(H1480/BS1480,0)</f>
        <v>1</v>
      </c>
      <c r="CE1480" s="57" t="n">
        <f aca="false">ROUNDUP(CB1480/BS1480,0)</f>
        <v>0</v>
      </c>
      <c r="CF1480" s="60" t="n">
        <f aca="false">IF(BT1480=1,0,IFERROR(VLOOKUP(BR1480,'Gebinde-Kategorie'!$A$5:$M$45,5,0)+0,0))</f>
        <v>21</v>
      </c>
      <c r="CG1480" s="60" t="n">
        <f aca="false">IFERROR(IF(OR(BX1480=1,BX1480=2,BX1480=3),N(INDEX(Parameter!$I$5:$I$7,BX1480)),0),0)</f>
        <v>0</v>
      </c>
      <c r="CH1480" s="59" t="n">
        <f aca="false">IF(AND(Parameter!$B$21="Ja",ISNUMBER(W1480),N(X1480)&gt;0),IFERROR(N(INDEX(Parameter!$L$5:$L$7,W1480))*INDEX(Parameter!$E$5:$E$7,W1480)*X1480/SUMIFS($X$7:$X$1843,$W$7:$W$1843,W1480),0),0)</f>
        <v>0</v>
      </c>
    </row>
    <row r="1481" customFormat="false" ht="15" hidden="false" customHeight="false" outlineLevel="0" collapsed="false">
      <c r="A1481" s="55" t="s">
        <v>2590</v>
      </c>
      <c r="B1481" s="55" t="s">
        <v>1134</v>
      </c>
      <c r="C1481" s="55" t="s">
        <v>164</v>
      </c>
      <c r="D1481" s="55" t="s">
        <v>184</v>
      </c>
      <c r="E1481" s="55" t="s">
        <v>185</v>
      </c>
      <c r="F1481" s="55"/>
      <c r="G1481" s="56" t="n">
        <v>93.6</v>
      </c>
      <c r="H1481" s="57" t="n">
        <f aca="false">MAX(0,IF(AND(Parameter!$B$21="Ja",ISNUMBER(Y1481)),Y1481,IF(Parameter!$B$20="Jahresanfang 2025 + Export",BL1481+BK1481,BK1481)))</f>
        <v>3</v>
      </c>
      <c r="I1481" s="57" t="n">
        <f aca="false">H1481*G1481</f>
        <v>280.8</v>
      </c>
      <c r="J1481" s="57" t="n">
        <f aca="false">BN1481*Parameter!$B$18</f>
        <v>0</v>
      </c>
      <c r="K1481" s="58"/>
      <c r="L1481" s="59"/>
      <c r="M1481" s="57" t="n">
        <v>0</v>
      </c>
      <c r="N1481" s="57" t="n">
        <v>6</v>
      </c>
      <c r="O1481" s="60" t="n">
        <v>0</v>
      </c>
      <c r="P1481" s="55" t="s">
        <v>302</v>
      </c>
      <c r="Q1481" s="57" t="n">
        <v>3</v>
      </c>
      <c r="R1481" s="60" t="n">
        <f aca="false">IF(BT1481=1,0,IFERROR(VLOOKUP(BR1481,'Gebinde-Kategorie'!$A$5:$M$45,13,0)+0,0))</f>
        <v>26</v>
      </c>
      <c r="S1481" s="61"/>
      <c r="T1481" s="62"/>
      <c r="U1481" s="62"/>
      <c r="V1481" s="62"/>
      <c r="W1481" s="55"/>
      <c r="X1481" s="57"/>
      <c r="Y1481" s="57"/>
      <c r="Z1481" s="55" t="n">
        <f aca="false">IF(A1481="","",IF(AND(Parameter!$B$21="Ja",ISNUMBER(W1481)),W1481,IF(BV1481="2+3",IF(ISNUMBER(SEARCH("grosser Artikel",BO1481)),2,IFERROR(VLOOKUP(BR1481,Parameter!$F$35:$G$64,2,0),2)),IF(OR(BV1481="Nein",BV1481=""),"-",BV1481))))</f>
        <v>3</v>
      </c>
      <c r="AA1481" s="62"/>
      <c r="AB1481" s="63"/>
      <c r="AC1481" s="57" t="n">
        <f aca="false">AR1481</f>
        <v>6</v>
      </c>
      <c r="AD1481" s="57" t="n">
        <f aca="false">MAX(AR1481,H1481)</f>
        <v>6</v>
      </c>
      <c r="AE1481" s="64"/>
      <c r="AF1481" s="57" t="n">
        <f aca="false">IF(LEFT(Cockpit!$C$5,1)="A",H1481,IF(CA1481=1,CB1481,IF(LEFT(Cockpit!$C$5,1)="B",AJ1481,MAX(AJ1481,H1481))))</f>
        <v>3</v>
      </c>
      <c r="AG1481" s="57" t="n">
        <f aca="false">IF(BT1481=1,0,ROUNDUP(AF1481/BS1481,0))</f>
        <v>1</v>
      </c>
      <c r="AH1481" s="59" t="n">
        <f aca="false">IF(CH1481&gt;0,CH1481*MAX(1,AF1481/X1481),IF(BT1481=1,IF(AF1481&lt;=0,0,BW1481*MAX(1,IF(H1481&gt;0,AF1481/H1481,1))),IF(R1481&gt;0,AG1481/R1481,0))/MAX(0.1,N(Parameter!$M$21)))</f>
        <v>0.0384615384615385</v>
      </c>
      <c r="AI1481" s="57" t="n">
        <f aca="false">AF1481*G1481</f>
        <v>280.8</v>
      </c>
      <c r="AJ1481" s="57" t="n">
        <f aca="false">ROUNDUP(MAX(J1481/IF(BZ1481&gt;0,BZ1481,MAX(0.1,N(Cockpit!$C$6))),CC1481)/BS1481,0)*BS1481</f>
        <v>6</v>
      </c>
      <c r="AK1481" s="58" t="n">
        <f aca="false">IF(AH1481&gt;0,J1481/AH1481,-1)</f>
        <v>0</v>
      </c>
      <c r="AL1481" s="58" t="n">
        <f aca="false">IF(AND(OR(BY1481="L1",BY1481="L23"),AH1481&gt;0),SUMIFS($AH$7:$AH$1843,$BY$7:$BY$1843,BY1481,$AK$7:$AK$1843,"&gt;"&amp;AK1481)+SUMIFS($AH$7:$AH$1843,$BY$7:$BY$1843,BY1481,$AK$7:$AK$1843,AK1481,$BQ$7:$BQ$1843,"&lt;="&amp;BQ1481),"")</f>
        <v>81.1698000067565</v>
      </c>
      <c r="AM1481" s="65" t="n">
        <f aca="false">IF(AL1481="",0,MAX(0,MIN(1,(IF(BY1481="L1",Parameter!$E$5,Parameter!$E$6+Parameter!$E$7)-(AL1481-AH1481))/AH1481)))</f>
        <v>1</v>
      </c>
      <c r="AN1481" s="57" t="n">
        <f aca="false">IF(LEFT(Cockpit!$I$5,1)="A",H1481,IF(CA1481=1,CB1481,IF(LEFT(Cockpit!$I$5,1)="B",AR1481,MAX(AR1481,H1481))))</f>
        <v>6</v>
      </c>
      <c r="AO1481" s="57" t="n">
        <f aca="false">IF(BT1481=1,0,ROUNDUP(AN1481/BS1481,0))</f>
        <v>2</v>
      </c>
      <c r="AP1481" s="59" t="n">
        <f aca="false">IF(CH1481&gt;0,CH1481*MAX(1,AN1481/X1481),IF(BT1481=1,IF(AN1481&lt;=0,0,BW1481*MAX(1,IF(H1481&gt;0,AN1481/H1481,1))),IF(R1481&gt;0,AO1481/R1481,0))/MAX(0.1,N(Parameter!$M$21)))</f>
        <v>0.0769230769230769</v>
      </c>
      <c r="AQ1481" s="57" t="n">
        <f aca="false">AN1481*G1481</f>
        <v>561.6</v>
      </c>
      <c r="AR1481" s="57" t="n">
        <f aca="false">ROUNDUP(MAX(J1481/IF(BZ1481&gt;0,BZ1481,MAX(0.1,N(Cockpit!$I$6))),CC1481)/BS1481,0)*BS1481</f>
        <v>6</v>
      </c>
      <c r="AS1481" s="58" t="n">
        <f aca="false">IF(AP1481&gt;0,J1481/AP1481,-1)</f>
        <v>0</v>
      </c>
      <c r="AT1481" s="58" t="n">
        <f aca="false">IF(AND(OR(BY1481="L1",BY1481="L23"),AP1481&gt;0),SUMIFS($AP$7:$AP$1843,$BY$7:$BY$1843,BY1481,$AS$7:$AS$1843,"&gt;"&amp;AS1481)+SUMIFS($AP$7:$AP$1843,$BY$7:$BY$1843,BY1481,$AS$7:$AS$1843,AS1481,$BQ$7:$BQ$1843,"&lt;="&amp;BQ1481),"")</f>
        <v>126.082243843113</v>
      </c>
      <c r="AU1481" s="65" t="n">
        <f aca="false">IF(AT1481="",0,MAX(0,MIN(1,(IF(BY1481="L1",Parameter!$E$5,Parameter!$E$6+Parameter!$E$7)-(AT1481-AP1481))/AP1481)))</f>
        <v>0</v>
      </c>
      <c r="AV1481" s="57" t="n">
        <f aca="false">IF(LEFT(Cockpit!$O$5,1)="A",H1481,IF(CA1481=1,CB1481,IF(LEFT(Cockpit!$O$5,1)="B",AZ1481,MAX(AZ1481,H1481))))</f>
        <v>6</v>
      </c>
      <c r="AW1481" s="57" t="n">
        <f aca="false">IF(BT1481=1,0,ROUNDUP(AV1481/BS1481,0))</f>
        <v>2</v>
      </c>
      <c r="AX1481" s="59" t="n">
        <f aca="false">IF(CH1481&gt;0,CH1481*MAX(1,AV1481/X1481),IF(BT1481=1,IF(AV1481&lt;=0,0,BW1481*MAX(1,IF(H1481&gt;0,AV1481/H1481,1))),IF(R1481&gt;0,AW1481/R1481,0))/MAX(0.1,N(Parameter!$M$21)))</f>
        <v>0.0769230769230769</v>
      </c>
      <c r="AY1481" s="57" t="n">
        <f aca="false">AV1481*G1481</f>
        <v>561.6</v>
      </c>
      <c r="AZ1481" s="57" t="n">
        <f aca="false">ROUNDUP(MAX(J1481/IF(BZ1481&gt;0,BZ1481,MAX(0.1,N(Cockpit!$O$6))),CC1481)/BS1481,0)*BS1481</f>
        <v>6</v>
      </c>
      <c r="BA1481" s="58" t="n">
        <f aca="false">IF(AX1481&gt;0,J1481/AX1481,-1)</f>
        <v>0</v>
      </c>
      <c r="BB1481" s="58" t="n">
        <f aca="false">IF(AND(OR(BY1481="L1",BY1481="L23"),AX1481&gt;0),SUMIFS($AX$7:$AX$1843,$BY$7:$BY$1843,BY1481,$BA$7:$BA$1843,"&gt;"&amp;BA1481)+SUMIFS($AX$7:$AX$1843,$BY$7:$BY$1843,BY1481,$BA$7:$BA$1843,BA1481,$BQ$7:$BQ$1843,"&lt;="&amp;BQ1481),"")</f>
        <v>116.91208067295</v>
      </c>
      <c r="BC1481" s="65" t="n">
        <f aca="false">IF(BB1481="",0,MAX(0,MIN(1,(IF(BY1481="L1",Parameter!$E$5,Parameter!$E$6+Parameter!$E$7)-(BB1481-AX1481))/AX1481)))</f>
        <v>0</v>
      </c>
      <c r="BD1481" s="55" t="str">
        <f aca="false">IF(AH1481&lt;=0,"",IF(BY1481="Aussen","Aussenlager",IF(BY1481="-","Nicht im Lift",IF(AM1481&gt;=1,"Lift",IF(AM1481&lt;=0,"Aussenlager","teilweise")))))</f>
        <v>Lift</v>
      </c>
      <c r="BE1481" s="55" t="str">
        <f aca="false">IF(AP1481&lt;=0,"",IF(BY1481="Aussen","Aussenlager",IF(BY1481="-","Nicht im Lift",IF(AU1481&gt;=1,"Lift",IF(AU1481&lt;=0,"Aussenlager","teilweise")))))</f>
        <v>Aussenlager</v>
      </c>
      <c r="BF1481" s="55" t="str">
        <f aca="false">IF(AX1481&lt;=0,"",IF(BY1481="Aussen","Aussenlager",IF(BY1481="-","Nicht im Lift",IF(BC1481&gt;=1,"Lift",IF(BC1481&lt;=0,"Aussenlager","teilweise")))))</f>
        <v>Aussenlager</v>
      </c>
      <c r="BG1481" s="55" t="str">
        <f aca="false">IF(A1481="","",IF(BP1481=1,"Neu; ","")&amp;IF(AND(BP1481=0,BK1481&lt;0),"negativer Bestand (Export "&amp;BK1481&amp;"); ","")&amp;IF(J1481&lt;=0,"Kein Verbrauch; ","")&amp;IF(CH1481&gt;0,"Lift "&amp;W1481&amp;" lt. Liftbericht (Fach "&amp;X1481&amp;" Stk); ",IF(BU1481=1,"Gebinde geschätzt ("&amp;T1481&amp;"); ",IF(BT1481=1,"Lose – Tablare geschätzt; ","")))&amp;IF(H1481&gt;AR1481,"Überbestand "&amp;ROUND(H1481-AR1481,0)&amp;" Stk / CHF "&amp;ROUND((H1481-AR1481)*G1481,0)&amp;"; ","")&amp;IF(AND(CA1481=1,CB1481&lt;CC1481),"MAX &lt; MB+LG; ","")&amp;IF(AND(CG1481&gt;0,CF1481*10&gt;CG1481),"zu hoch für Tablar; ","")&amp;IF(AND(BP1481=0,OR(CA1481=1,AA1481&lt;&gt;"",U1481&lt;&gt;"",V1481&lt;&gt;"",AB1481&lt;&gt;"")),"manuell übersteuert; ","")&amp;IF(AND(BT1481=0,R1481=0),"Gebinde unbekannt / Stellmass fehlt; ","")&amp;IF(AND(BT1481=0,N(V1481)&lt;=0,N(Q1481)&lt;=0),"Menge pro Gebinde fehlt (Ist = 1 Gebinde); ","")&amp;BO1481)</f>
        <v>Kein Verbrauch; nur im Artikelstamm (Bestand 23.06.2026)</v>
      </c>
      <c r="BH1481" s="55"/>
      <c r="BI1481" s="55"/>
      <c r="BJ1481" s="62"/>
      <c r="BK1481" s="57" t="n">
        <v>3</v>
      </c>
      <c r="BL1481" s="57" t="n">
        <v>0</v>
      </c>
      <c r="BM1481" s="56" t="n">
        <v>0</v>
      </c>
      <c r="BN1481" s="57" t="n">
        <v>0</v>
      </c>
      <c r="BO1481" s="55" t="s">
        <v>2575</v>
      </c>
      <c r="BP1481" s="60" t="n">
        <v>0</v>
      </c>
      <c r="BQ1481" s="60" t="n">
        <v>1481</v>
      </c>
      <c r="BR1481" s="55" t="str">
        <f aca="false">IF(U1481&lt;&gt;"",UPPER(TRIM(U1481)),IF(BU1481=1,UPPER(VLOOKUP(T1481,Parameter!$I$27:$K$29,2,0)),IF(P1481="","LOSE",P1481)))</f>
        <v>S51</v>
      </c>
      <c r="BS1481" s="57" t="n">
        <f aca="false">IF(BR1481="LOSE",1,IF(N(V1481)&gt;0,V1481,IF(BU1481=1,MAX(1,N(VLOOKUP(T1481,Parameter!$I$27:$K$29,3,0)),H1481,N(N1481)),IF(N(Q1481)&gt;0,Q1481,MAX(1,H1481)))))</f>
        <v>3</v>
      </c>
      <c r="BT1481" s="60" t="n">
        <f aca="false">IF(BR1481="LOSE",1,0)</f>
        <v>0</v>
      </c>
      <c r="BU1481" s="60" t="n">
        <f aca="false">IF(AND(U1481="",OR(P1481="",P1481="LOSE"),T1481&lt;&gt;"",N(S1481)&lt;=0,ISNUMBER(MATCH(T1481,Parameter!$I$27:$I$29,0))),1,0)</f>
        <v>0</v>
      </c>
      <c r="BV1481" s="55" t="str">
        <f aca="false">IF(AND(Parameter!$B$19="Ja",E1481&lt;&gt;"",ISNUMBER(MATCH(E1481,Parameter!$I$35:$I$52,0))),VLOOKUP(E1481,Parameter!$I$35:$J$52,2,0),IFERROR(VLOOKUP(D1481,Parameter!$A$35:$C$64,2,0),"Nein"))</f>
        <v>2+3</v>
      </c>
      <c r="BW1481" s="59" t="n">
        <f aca="false">IF(BT1481=0,0,IF(N(S1481)&gt;0,S1481,IFERROR(VLOOKUP(D1481,Parameter!$A$35:$C$64,3,0)+0,0)))</f>
        <v>0</v>
      </c>
      <c r="BX1481" s="55" t="n">
        <f aca="false">IF(AA1481&lt;&gt;"",AA1481,Z1481)</f>
        <v>3</v>
      </c>
      <c r="BY1481" s="55" t="str">
        <f aca="false">IF(BX1481=1,"L1",IF(OR(BX1481=2,BX1481=3),"L23",IF(BX1481="Aussen","Aussen","-")))</f>
        <v>L23</v>
      </c>
      <c r="BZ1481" s="66" t="n">
        <f aca="false">IF(N(AB1481)&gt;0,AB1481,0)</f>
        <v>0</v>
      </c>
      <c r="CA1481" s="60" t="n">
        <f aca="false">IF(ISNUMBER(AE1481),1,0)</f>
        <v>0</v>
      </c>
      <c r="CB1481" s="57" t="n">
        <f aca="false">N(AE1481)</f>
        <v>0</v>
      </c>
      <c r="CC1481" s="57" t="n">
        <f aca="false">N(M1481)+N(N1481)</f>
        <v>6</v>
      </c>
      <c r="CD1481" s="57" t="n">
        <f aca="false">ROUNDUP(H1481/BS1481,0)</f>
        <v>1</v>
      </c>
      <c r="CE1481" s="57" t="n">
        <f aca="false">ROUNDUP(CB1481/BS1481,0)</f>
        <v>0</v>
      </c>
      <c r="CF1481" s="60" t="n">
        <f aca="false">IF(BT1481=1,0,IFERROR(VLOOKUP(BR1481,'Gebinde-Kategorie'!$A$5:$M$45,5,0)+0,0))</f>
        <v>11</v>
      </c>
      <c r="CG1481" s="60" t="n">
        <f aca="false">IFERROR(IF(OR(BX1481=1,BX1481=2,BX1481=3),N(INDEX(Parameter!$I$5:$I$7,BX1481)),0),0)</f>
        <v>0</v>
      </c>
      <c r="CH1481" s="59" t="n">
        <f aca="false">IF(AND(Parameter!$B$21="Ja",ISNUMBER(W1481),N(X1481)&gt;0),IFERROR(N(INDEX(Parameter!$L$5:$L$7,W1481))*INDEX(Parameter!$E$5:$E$7,W1481)*X1481/SUMIFS($X$7:$X$1843,$W$7:$W$1843,W1481),0),0)</f>
        <v>0</v>
      </c>
    </row>
    <row r="1482" customFormat="false" ht="15" hidden="false" customHeight="false" outlineLevel="0" collapsed="false">
      <c r="A1482" s="55" t="s">
        <v>2591</v>
      </c>
      <c r="B1482" s="55" t="s">
        <v>2592</v>
      </c>
      <c r="C1482" s="55" t="s">
        <v>164</v>
      </c>
      <c r="D1482" s="55" t="s">
        <v>184</v>
      </c>
      <c r="E1482" s="55" t="s">
        <v>185</v>
      </c>
      <c r="F1482" s="55"/>
      <c r="G1482" s="56" t="n">
        <v>46.18</v>
      </c>
      <c r="H1482" s="57" t="n">
        <f aca="false">MAX(0,IF(AND(Parameter!$B$21="Ja",ISNUMBER(Y1482)),Y1482,IF(Parameter!$B$20="Jahresanfang 2025 + Export",BL1482+BK1482,BK1482)))</f>
        <v>20</v>
      </c>
      <c r="I1482" s="57" t="n">
        <f aca="false">H1482*G1482</f>
        <v>923.6</v>
      </c>
      <c r="J1482" s="57" t="n">
        <f aca="false">BN1482*Parameter!$B$18</f>
        <v>0</v>
      </c>
      <c r="K1482" s="58"/>
      <c r="L1482" s="59"/>
      <c r="M1482" s="57" t="n">
        <v>0</v>
      </c>
      <c r="N1482" s="57" t="n">
        <v>4</v>
      </c>
      <c r="O1482" s="60" t="n">
        <v>56</v>
      </c>
      <c r="P1482" s="55" t="s">
        <v>302</v>
      </c>
      <c r="Q1482" s="57" t="n">
        <v>20</v>
      </c>
      <c r="R1482" s="60" t="n">
        <f aca="false">IF(BT1482=1,0,IFERROR(VLOOKUP(BR1482,'Gebinde-Kategorie'!$A$5:$M$45,13,0)+0,0))</f>
        <v>26</v>
      </c>
      <c r="S1482" s="61"/>
      <c r="T1482" s="62"/>
      <c r="U1482" s="62"/>
      <c r="V1482" s="62"/>
      <c r="W1482" s="55"/>
      <c r="X1482" s="57"/>
      <c r="Y1482" s="57"/>
      <c r="Z1482" s="55" t="n">
        <f aca="false">IF(A1482="","",IF(AND(Parameter!$B$21="Ja",ISNUMBER(W1482)),W1482,IF(BV1482="2+3",IF(ISNUMBER(SEARCH("grosser Artikel",BO1482)),2,IFERROR(VLOOKUP(BR1482,Parameter!$F$35:$G$64,2,0),2)),IF(OR(BV1482="Nein",BV1482=""),"-",BV1482))))</f>
        <v>3</v>
      </c>
      <c r="AA1482" s="62"/>
      <c r="AB1482" s="63"/>
      <c r="AC1482" s="57" t="n">
        <f aca="false">AR1482</f>
        <v>20</v>
      </c>
      <c r="AD1482" s="57" t="n">
        <f aca="false">MAX(AR1482,H1482)</f>
        <v>20</v>
      </c>
      <c r="AE1482" s="64"/>
      <c r="AF1482" s="57" t="n">
        <f aca="false">IF(LEFT(Cockpit!$C$5,1)="A",H1482,IF(CA1482=1,CB1482,IF(LEFT(Cockpit!$C$5,1)="B",AJ1482,MAX(AJ1482,H1482))))</f>
        <v>20</v>
      </c>
      <c r="AG1482" s="57" t="n">
        <f aca="false">IF(BT1482=1,0,ROUNDUP(AF1482/BS1482,0))</f>
        <v>1</v>
      </c>
      <c r="AH1482" s="59" t="n">
        <f aca="false">IF(CH1482&gt;0,CH1482*MAX(1,AF1482/X1482),IF(BT1482=1,IF(AF1482&lt;=0,0,BW1482*MAX(1,IF(H1482&gt;0,AF1482/H1482,1))),IF(R1482&gt;0,AG1482/R1482,0))/MAX(0.1,N(Parameter!$M$21)))</f>
        <v>0.0384615384615385</v>
      </c>
      <c r="AI1482" s="57" t="n">
        <f aca="false">AF1482*G1482</f>
        <v>923.6</v>
      </c>
      <c r="AJ1482" s="57" t="n">
        <f aca="false">ROUNDUP(MAX(J1482/IF(BZ1482&gt;0,BZ1482,MAX(0.1,N(Cockpit!$C$6))),CC1482)/BS1482,0)*BS1482</f>
        <v>20</v>
      </c>
      <c r="AK1482" s="58" t="n">
        <f aca="false">IF(AH1482&gt;0,J1482/AH1482,-1)</f>
        <v>0</v>
      </c>
      <c r="AL1482" s="58" t="n">
        <f aca="false">IF(AND(OR(BY1482="L1",BY1482="L23"),AH1482&gt;0),SUMIFS($AH$7:$AH$1843,$BY$7:$BY$1843,BY1482,$AK$7:$AK$1843,"&gt;"&amp;AK1482)+SUMIFS($AH$7:$AH$1843,$BY$7:$BY$1843,BY1482,$AK$7:$AK$1843,AK1482,$BQ$7:$BQ$1843,"&lt;="&amp;BQ1482),"")</f>
        <v>81.2082615452181</v>
      </c>
      <c r="AM1482" s="65" t="n">
        <f aca="false">IF(AL1482="",0,MAX(0,MIN(1,(IF(BY1482="L1",Parameter!$E$5,Parameter!$E$6+Parameter!$E$7)-(AL1482-AH1482))/AH1482)))</f>
        <v>1</v>
      </c>
      <c r="AN1482" s="57" t="n">
        <f aca="false">IF(LEFT(Cockpit!$I$5,1)="A",H1482,IF(CA1482=1,CB1482,IF(LEFT(Cockpit!$I$5,1)="B",AR1482,MAX(AR1482,H1482))))</f>
        <v>20</v>
      </c>
      <c r="AO1482" s="57" t="n">
        <f aca="false">IF(BT1482=1,0,ROUNDUP(AN1482/BS1482,0))</f>
        <v>1</v>
      </c>
      <c r="AP1482" s="59" t="n">
        <f aca="false">IF(CH1482&gt;0,CH1482*MAX(1,AN1482/X1482),IF(BT1482=1,IF(AN1482&lt;=0,0,BW1482*MAX(1,IF(H1482&gt;0,AN1482/H1482,1))),IF(R1482&gt;0,AO1482/R1482,0))/MAX(0.1,N(Parameter!$M$21)))</f>
        <v>0.0384615384615385</v>
      </c>
      <c r="AQ1482" s="57" t="n">
        <f aca="false">AN1482*G1482</f>
        <v>923.6</v>
      </c>
      <c r="AR1482" s="57" t="n">
        <f aca="false">ROUNDUP(MAX(J1482/IF(BZ1482&gt;0,BZ1482,MAX(0.1,N(Cockpit!$I$6))),CC1482)/BS1482,0)*BS1482</f>
        <v>20</v>
      </c>
      <c r="AS1482" s="58" t="n">
        <f aca="false">IF(AP1482&gt;0,J1482/AP1482,-1)</f>
        <v>0</v>
      </c>
      <c r="AT1482" s="58" t="n">
        <f aca="false">IF(AND(OR(BY1482="L1",BY1482="L23"),AP1482&gt;0),SUMIFS($AP$7:$AP$1843,$BY$7:$BY$1843,BY1482,$AS$7:$AS$1843,"&gt;"&amp;AS1482)+SUMIFS($AP$7:$AP$1843,$BY$7:$BY$1843,BY1482,$AS$7:$AS$1843,AS1482,$BQ$7:$BQ$1843,"&lt;="&amp;BQ1482),"")</f>
        <v>126.120705381575</v>
      </c>
      <c r="AU1482" s="65" t="n">
        <f aca="false">IF(AT1482="",0,MAX(0,MIN(1,(IF(BY1482="L1",Parameter!$E$5,Parameter!$E$6+Parameter!$E$7)-(AT1482-AP1482))/AP1482)))</f>
        <v>0</v>
      </c>
      <c r="AV1482" s="57" t="n">
        <f aca="false">IF(LEFT(Cockpit!$O$5,1)="A",H1482,IF(CA1482=1,CB1482,IF(LEFT(Cockpit!$O$5,1)="B",AZ1482,MAX(AZ1482,H1482))))</f>
        <v>20</v>
      </c>
      <c r="AW1482" s="57" t="n">
        <f aca="false">IF(BT1482=1,0,ROUNDUP(AV1482/BS1482,0))</f>
        <v>1</v>
      </c>
      <c r="AX1482" s="59" t="n">
        <f aca="false">IF(CH1482&gt;0,CH1482*MAX(1,AV1482/X1482),IF(BT1482=1,IF(AV1482&lt;=0,0,BW1482*MAX(1,IF(H1482&gt;0,AV1482/H1482,1))),IF(R1482&gt;0,AW1482/R1482,0))/MAX(0.1,N(Parameter!$M$21)))</f>
        <v>0.0384615384615385</v>
      </c>
      <c r="AY1482" s="57" t="n">
        <f aca="false">AV1482*G1482</f>
        <v>923.6</v>
      </c>
      <c r="AZ1482" s="57" t="n">
        <f aca="false">ROUNDUP(MAX(J1482/IF(BZ1482&gt;0,BZ1482,MAX(0.1,N(Cockpit!$O$6))),CC1482)/BS1482,0)*BS1482</f>
        <v>20</v>
      </c>
      <c r="BA1482" s="58" t="n">
        <f aca="false">IF(AX1482&gt;0,J1482/AX1482,-1)</f>
        <v>0</v>
      </c>
      <c r="BB1482" s="58" t="n">
        <f aca="false">IF(AND(OR(BY1482="L1",BY1482="L23"),AX1482&gt;0),SUMIFS($AX$7:$AX$1843,$BY$7:$BY$1843,BY1482,$BA$7:$BA$1843,"&gt;"&amp;BA1482)+SUMIFS($AX$7:$AX$1843,$BY$7:$BY$1843,BY1482,$BA$7:$BA$1843,BA1482,$BQ$7:$BQ$1843,"&lt;="&amp;BQ1482),"")</f>
        <v>116.950542211412</v>
      </c>
      <c r="BC1482" s="65" t="n">
        <f aca="false">IF(BB1482="",0,MAX(0,MIN(1,(IF(BY1482="L1",Parameter!$E$5,Parameter!$E$6+Parameter!$E$7)-(BB1482-AX1482))/AX1482)))</f>
        <v>0</v>
      </c>
      <c r="BD1482" s="55" t="str">
        <f aca="false">IF(AH1482&lt;=0,"",IF(BY1482="Aussen","Aussenlager",IF(BY1482="-","Nicht im Lift",IF(AM1482&gt;=1,"Lift",IF(AM1482&lt;=0,"Aussenlager","teilweise")))))</f>
        <v>Lift</v>
      </c>
      <c r="BE1482" s="55" t="str">
        <f aca="false">IF(AP1482&lt;=0,"",IF(BY1482="Aussen","Aussenlager",IF(BY1482="-","Nicht im Lift",IF(AU1482&gt;=1,"Lift",IF(AU1482&lt;=0,"Aussenlager","teilweise")))))</f>
        <v>Aussenlager</v>
      </c>
      <c r="BF1482" s="55" t="str">
        <f aca="false">IF(AX1482&lt;=0,"",IF(BY1482="Aussen","Aussenlager",IF(BY1482="-","Nicht im Lift",IF(BC1482&gt;=1,"Lift",IF(BC1482&lt;=0,"Aussenlager","teilweise")))))</f>
        <v>Aussenlager</v>
      </c>
      <c r="BG1482" s="55" t="str">
        <f aca="false">IF(A1482="","",IF(BP1482=1,"Neu; ","")&amp;IF(AND(BP1482=0,BK1482&lt;0),"negativer Bestand (Export "&amp;BK1482&amp;"); ","")&amp;IF(J1482&lt;=0,"Kein Verbrauch; ","")&amp;IF(CH1482&gt;0,"Lift "&amp;W1482&amp;" lt. Liftbericht (Fach "&amp;X1482&amp;" Stk); ",IF(BU1482=1,"Gebinde geschätzt ("&amp;T1482&amp;"); ",IF(BT1482=1,"Lose – Tablare geschätzt; ","")))&amp;IF(H1482&gt;AR1482,"Überbestand "&amp;ROUND(H1482-AR1482,0)&amp;" Stk / CHF "&amp;ROUND((H1482-AR1482)*G1482,0)&amp;"; ","")&amp;IF(AND(CA1482=1,CB1482&lt;CC1482),"MAX &lt; MB+LG; ","")&amp;IF(AND(CG1482&gt;0,CF1482*10&gt;CG1482),"zu hoch für Tablar; ","")&amp;IF(AND(BP1482=0,OR(CA1482=1,AA1482&lt;&gt;"",U1482&lt;&gt;"",V1482&lt;&gt;"",AB1482&lt;&gt;"")),"manuell übersteuert; ","")&amp;IF(AND(BT1482=0,R1482=0),"Gebinde unbekannt / Stellmass fehlt; ","")&amp;IF(AND(BT1482=0,N(V1482)&lt;=0,N(Q1482)&lt;=0),"Menge pro Gebinde fehlt (Ist = 1 Gebinde); ","")&amp;BO1482)</f>
        <v>Kein Verbrauch; nur im Artikelstamm (Bestand 23.06.2026)</v>
      </c>
      <c r="BH1482" s="55"/>
      <c r="BI1482" s="55"/>
      <c r="BJ1482" s="62"/>
      <c r="BK1482" s="57" t="n">
        <v>20</v>
      </c>
      <c r="BL1482" s="57" t="n">
        <v>0</v>
      </c>
      <c r="BM1482" s="56" t="n">
        <v>0</v>
      </c>
      <c r="BN1482" s="57" t="n">
        <v>0</v>
      </c>
      <c r="BO1482" s="55" t="s">
        <v>2575</v>
      </c>
      <c r="BP1482" s="60" t="n">
        <v>0</v>
      </c>
      <c r="BQ1482" s="60" t="n">
        <v>1482</v>
      </c>
      <c r="BR1482" s="55" t="str">
        <f aca="false">IF(U1482&lt;&gt;"",UPPER(TRIM(U1482)),IF(BU1482=1,UPPER(VLOOKUP(T1482,Parameter!$I$27:$K$29,2,0)),IF(P1482="","LOSE",P1482)))</f>
        <v>S51</v>
      </c>
      <c r="BS1482" s="57" t="n">
        <f aca="false">IF(BR1482="LOSE",1,IF(N(V1482)&gt;0,V1482,IF(BU1482=1,MAX(1,N(VLOOKUP(T1482,Parameter!$I$27:$K$29,3,0)),H1482,N(N1482)),IF(N(Q1482)&gt;0,Q1482,MAX(1,H1482)))))</f>
        <v>20</v>
      </c>
      <c r="BT1482" s="60" t="n">
        <f aca="false">IF(BR1482="LOSE",1,0)</f>
        <v>0</v>
      </c>
      <c r="BU1482" s="60" t="n">
        <f aca="false">IF(AND(U1482="",OR(P1482="",P1482="LOSE"),T1482&lt;&gt;"",N(S1482)&lt;=0,ISNUMBER(MATCH(T1482,Parameter!$I$27:$I$29,0))),1,0)</f>
        <v>0</v>
      </c>
      <c r="BV1482" s="55" t="str">
        <f aca="false">IF(AND(Parameter!$B$19="Ja",E1482&lt;&gt;"",ISNUMBER(MATCH(E1482,Parameter!$I$35:$I$52,0))),VLOOKUP(E1482,Parameter!$I$35:$J$52,2,0),IFERROR(VLOOKUP(D1482,Parameter!$A$35:$C$64,2,0),"Nein"))</f>
        <v>2+3</v>
      </c>
      <c r="BW1482" s="59" t="n">
        <f aca="false">IF(BT1482=0,0,IF(N(S1482)&gt;0,S1482,IFERROR(VLOOKUP(D1482,Parameter!$A$35:$C$64,3,0)+0,0)))</f>
        <v>0</v>
      </c>
      <c r="BX1482" s="55" t="n">
        <f aca="false">IF(AA1482&lt;&gt;"",AA1482,Z1482)</f>
        <v>3</v>
      </c>
      <c r="BY1482" s="55" t="str">
        <f aca="false">IF(BX1482=1,"L1",IF(OR(BX1482=2,BX1482=3),"L23",IF(BX1482="Aussen","Aussen","-")))</f>
        <v>L23</v>
      </c>
      <c r="BZ1482" s="66" t="n">
        <f aca="false">IF(N(AB1482)&gt;0,AB1482,0)</f>
        <v>0</v>
      </c>
      <c r="CA1482" s="60" t="n">
        <f aca="false">IF(ISNUMBER(AE1482),1,0)</f>
        <v>0</v>
      </c>
      <c r="CB1482" s="57" t="n">
        <f aca="false">N(AE1482)</f>
        <v>0</v>
      </c>
      <c r="CC1482" s="57" t="n">
        <f aca="false">N(M1482)+N(N1482)</f>
        <v>4</v>
      </c>
      <c r="CD1482" s="57" t="n">
        <f aca="false">ROUNDUP(H1482/BS1482,0)</f>
        <v>1</v>
      </c>
      <c r="CE1482" s="57" t="n">
        <f aca="false">ROUNDUP(CB1482/BS1482,0)</f>
        <v>0</v>
      </c>
      <c r="CF1482" s="60" t="n">
        <f aca="false">IF(BT1482=1,0,IFERROR(VLOOKUP(BR1482,'Gebinde-Kategorie'!$A$5:$M$45,5,0)+0,0))</f>
        <v>11</v>
      </c>
      <c r="CG1482" s="60" t="n">
        <f aca="false">IFERROR(IF(OR(BX1482=1,BX1482=2,BX1482=3),N(INDEX(Parameter!$I$5:$I$7,BX1482)),0),0)</f>
        <v>0</v>
      </c>
      <c r="CH1482" s="59" t="n">
        <f aca="false">IF(AND(Parameter!$B$21="Ja",ISNUMBER(W1482),N(X1482)&gt;0),IFERROR(N(INDEX(Parameter!$L$5:$L$7,W1482))*INDEX(Parameter!$E$5:$E$7,W1482)*X1482/SUMIFS($X$7:$X$1843,$W$7:$W$1843,W1482),0),0)</f>
        <v>0</v>
      </c>
    </row>
    <row r="1483" customFormat="false" ht="15" hidden="false" customHeight="false" outlineLevel="0" collapsed="false">
      <c r="A1483" s="55" t="s">
        <v>2593</v>
      </c>
      <c r="B1483" s="55" t="s">
        <v>2594</v>
      </c>
      <c r="C1483" s="55" t="s">
        <v>164</v>
      </c>
      <c r="D1483" s="55" t="s">
        <v>184</v>
      </c>
      <c r="E1483" s="55" t="s">
        <v>185</v>
      </c>
      <c r="F1483" s="55"/>
      <c r="G1483" s="56" t="n">
        <v>23.89</v>
      </c>
      <c r="H1483" s="57" t="n">
        <f aca="false">MAX(0,IF(AND(Parameter!$B$21="Ja",ISNUMBER(Y1483)),Y1483,IF(Parameter!$B$20="Jahresanfang 2025 + Export",BL1483+BK1483,BK1483)))</f>
        <v>6</v>
      </c>
      <c r="I1483" s="57" t="n">
        <f aca="false">H1483*G1483</f>
        <v>143.34</v>
      </c>
      <c r="J1483" s="57" t="n">
        <f aca="false">BN1483*Parameter!$B$18</f>
        <v>0</v>
      </c>
      <c r="K1483" s="58"/>
      <c r="L1483" s="59"/>
      <c r="M1483" s="57" t="n">
        <v>0</v>
      </c>
      <c r="N1483" s="57" t="n">
        <v>5</v>
      </c>
      <c r="O1483" s="60" t="n">
        <v>28</v>
      </c>
      <c r="P1483" s="55" t="s">
        <v>421</v>
      </c>
      <c r="Q1483" s="57" t="n">
        <v>6</v>
      </c>
      <c r="R1483" s="60" t="n">
        <f aca="false">IF(BT1483=1,0,IFERROR(VLOOKUP(BR1483,'Gebinde-Kategorie'!$A$5:$M$45,13,0)+0,0))</f>
        <v>132</v>
      </c>
      <c r="S1483" s="61"/>
      <c r="T1483" s="62"/>
      <c r="U1483" s="62"/>
      <c r="V1483" s="62"/>
      <c r="W1483" s="55"/>
      <c r="X1483" s="57"/>
      <c r="Y1483" s="57"/>
      <c r="Z1483" s="55" t="n">
        <f aca="false">IF(A1483="","",IF(AND(Parameter!$B$21="Ja",ISNUMBER(W1483)),W1483,IF(BV1483="2+3",IF(ISNUMBER(SEARCH("grosser Artikel",BO1483)),2,IFERROR(VLOOKUP(BR1483,Parameter!$F$35:$G$64,2,0),2)),IF(OR(BV1483="Nein",BV1483=""),"-",BV1483))))</f>
        <v>3</v>
      </c>
      <c r="AA1483" s="62"/>
      <c r="AB1483" s="63"/>
      <c r="AC1483" s="57" t="n">
        <f aca="false">AR1483</f>
        <v>6</v>
      </c>
      <c r="AD1483" s="57" t="n">
        <f aca="false">MAX(AR1483,H1483)</f>
        <v>6</v>
      </c>
      <c r="AE1483" s="64"/>
      <c r="AF1483" s="57" t="n">
        <f aca="false">IF(LEFT(Cockpit!$C$5,1)="A",H1483,IF(CA1483=1,CB1483,IF(LEFT(Cockpit!$C$5,1)="B",AJ1483,MAX(AJ1483,H1483))))</f>
        <v>6</v>
      </c>
      <c r="AG1483" s="57" t="n">
        <f aca="false">IF(BT1483=1,0,ROUNDUP(AF1483/BS1483,0))</f>
        <v>1</v>
      </c>
      <c r="AH1483" s="59" t="n">
        <f aca="false">IF(CH1483&gt;0,CH1483*MAX(1,AF1483/X1483),IF(BT1483=1,IF(AF1483&lt;=0,0,BW1483*MAX(1,IF(H1483&gt;0,AF1483/H1483,1))),IF(R1483&gt;0,AG1483/R1483,0))/MAX(0.1,N(Parameter!$M$21)))</f>
        <v>0.00757575757575758</v>
      </c>
      <c r="AI1483" s="57" t="n">
        <f aca="false">AF1483*G1483</f>
        <v>143.34</v>
      </c>
      <c r="AJ1483" s="57" t="n">
        <f aca="false">ROUNDUP(MAX(J1483/IF(BZ1483&gt;0,BZ1483,MAX(0.1,N(Cockpit!$C$6))),CC1483)/BS1483,0)*BS1483</f>
        <v>6</v>
      </c>
      <c r="AK1483" s="58" t="n">
        <f aca="false">IF(AH1483&gt;0,J1483/AH1483,-1)</f>
        <v>0</v>
      </c>
      <c r="AL1483" s="58" t="n">
        <f aca="false">IF(AND(OR(BY1483="L1",BY1483="L23"),AH1483&gt;0),SUMIFS($AH$7:$AH$1843,$BY$7:$BY$1843,BY1483,$AK$7:$AK$1843,"&gt;"&amp;AK1483)+SUMIFS($AH$7:$AH$1843,$BY$7:$BY$1843,BY1483,$AK$7:$AK$1843,AK1483,$BQ$7:$BQ$1843,"&lt;="&amp;BQ1483),"")</f>
        <v>81.2158373027938</v>
      </c>
      <c r="AM1483" s="65" t="n">
        <f aca="false">IF(AL1483="",0,MAX(0,MIN(1,(IF(BY1483="L1",Parameter!$E$5,Parameter!$E$6+Parameter!$E$7)-(AL1483-AH1483))/AH1483)))</f>
        <v>1</v>
      </c>
      <c r="AN1483" s="57" t="n">
        <f aca="false">IF(LEFT(Cockpit!$I$5,1)="A",H1483,IF(CA1483=1,CB1483,IF(LEFT(Cockpit!$I$5,1)="B",AR1483,MAX(AR1483,H1483))))</f>
        <v>6</v>
      </c>
      <c r="AO1483" s="57" t="n">
        <f aca="false">IF(BT1483=1,0,ROUNDUP(AN1483/BS1483,0))</f>
        <v>1</v>
      </c>
      <c r="AP1483" s="59" t="n">
        <f aca="false">IF(CH1483&gt;0,CH1483*MAX(1,AN1483/X1483),IF(BT1483=1,IF(AN1483&lt;=0,0,BW1483*MAX(1,IF(H1483&gt;0,AN1483/H1483,1))),IF(R1483&gt;0,AO1483/R1483,0))/MAX(0.1,N(Parameter!$M$21)))</f>
        <v>0.00757575757575758</v>
      </c>
      <c r="AQ1483" s="57" t="n">
        <f aca="false">AN1483*G1483</f>
        <v>143.34</v>
      </c>
      <c r="AR1483" s="57" t="n">
        <f aca="false">ROUNDUP(MAX(J1483/IF(BZ1483&gt;0,BZ1483,MAX(0.1,N(Cockpit!$I$6))),CC1483)/BS1483,0)*BS1483</f>
        <v>6</v>
      </c>
      <c r="AS1483" s="58" t="n">
        <f aca="false">IF(AP1483&gt;0,J1483/AP1483,-1)</f>
        <v>0</v>
      </c>
      <c r="AT1483" s="58" t="n">
        <f aca="false">IF(AND(OR(BY1483="L1",BY1483="L23"),AP1483&gt;0),SUMIFS($AP$7:$AP$1843,$BY$7:$BY$1843,BY1483,$AS$7:$AS$1843,"&gt;"&amp;AS1483)+SUMIFS($AP$7:$AP$1843,$BY$7:$BY$1843,BY1483,$AS$7:$AS$1843,AS1483,$BQ$7:$BQ$1843,"&lt;="&amp;BQ1483),"")</f>
        <v>126.128281139151</v>
      </c>
      <c r="AU1483" s="65" t="n">
        <f aca="false">IF(AT1483="",0,MAX(0,MIN(1,(IF(BY1483="L1",Parameter!$E$5,Parameter!$E$6+Parameter!$E$7)-(AT1483-AP1483))/AP1483)))</f>
        <v>0</v>
      </c>
      <c r="AV1483" s="57" t="n">
        <f aca="false">IF(LEFT(Cockpit!$O$5,1)="A",H1483,IF(CA1483=1,CB1483,IF(LEFT(Cockpit!$O$5,1)="B",AZ1483,MAX(AZ1483,H1483))))</f>
        <v>6</v>
      </c>
      <c r="AW1483" s="57" t="n">
        <f aca="false">IF(BT1483=1,0,ROUNDUP(AV1483/BS1483,0))</f>
        <v>1</v>
      </c>
      <c r="AX1483" s="59" t="n">
        <f aca="false">IF(CH1483&gt;0,CH1483*MAX(1,AV1483/X1483),IF(BT1483=1,IF(AV1483&lt;=0,0,BW1483*MAX(1,IF(H1483&gt;0,AV1483/H1483,1))),IF(R1483&gt;0,AW1483/R1483,0))/MAX(0.1,N(Parameter!$M$21)))</f>
        <v>0.00757575757575758</v>
      </c>
      <c r="AY1483" s="57" t="n">
        <f aca="false">AV1483*G1483</f>
        <v>143.34</v>
      </c>
      <c r="AZ1483" s="57" t="n">
        <f aca="false">ROUNDUP(MAX(J1483/IF(BZ1483&gt;0,BZ1483,MAX(0.1,N(Cockpit!$O$6))),CC1483)/BS1483,0)*BS1483</f>
        <v>6</v>
      </c>
      <c r="BA1483" s="58" t="n">
        <f aca="false">IF(AX1483&gt;0,J1483/AX1483,-1)</f>
        <v>0</v>
      </c>
      <c r="BB1483" s="58" t="n">
        <f aca="false">IF(AND(OR(BY1483="L1",BY1483="L23"),AX1483&gt;0),SUMIFS($AX$7:$AX$1843,$BY$7:$BY$1843,BY1483,$BA$7:$BA$1843,"&gt;"&amp;BA1483)+SUMIFS($AX$7:$AX$1843,$BY$7:$BY$1843,BY1483,$BA$7:$BA$1843,BA1483,$BQ$7:$BQ$1843,"&lt;="&amp;BQ1483),"")</f>
        <v>116.958117968988</v>
      </c>
      <c r="BC1483" s="65" t="n">
        <f aca="false">IF(BB1483="",0,MAX(0,MIN(1,(IF(BY1483="L1",Parameter!$E$5,Parameter!$E$6+Parameter!$E$7)-(BB1483-AX1483))/AX1483)))</f>
        <v>0</v>
      </c>
      <c r="BD1483" s="55" t="str">
        <f aca="false">IF(AH1483&lt;=0,"",IF(BY1483="Aussen","Aussenlager",IF(BY1483="-","Nicht im Lift",IF(AM1483&gt;=1,"Lift",IF(AM1483&lt;=0,"Aussenlager","teilweise")))))</f>
        <v>Lift</v>
      </c>
      <c r="BE1483" s="55" t="str">
        <f aca="false">IF(AP1483&lt;=0,"",IF(BY1483="Aussen","Aussenlager",IF(BY1483="-","Nicht im Lift",IF(AU1483&gt;=1,"Lift",IF(AU1483&lt;=0,"Aussenlager","teilweise")))))</f>
        <v>Aussenlager</v>
      </c>
      <c r="BF1483" s="55" t="str">
        <f aca="false">IF(AX1483&lt;=0,"",IF(BY1483="Aussen","Aussenlager",IF(BY1483="-","Nicht im Lift",IF(BC1483&gt;=1,"Lift",IF(BC1483&lt;=0,"Aussenlager","teilweise")))))</f>
        <v>Aussenlager</v>
      </c>
      <c r="BG1483" s="55" t="str">
        <f aca="false">IF(A1483="","",IF(BP1483=1,"Neu; ","")&amp;IF(AND(BP1483=0,BK1483&lt;0),"negativer Bestand (Export "&amp;BK1483&amp;"); ","")&amp;IF(J1483&lt;=0,"Kein Verbrauch; ","")&amp;IF(CH1483&gt;0,"Lift "&amp;W1483&amp;" lt. Liftbericht (Fach "&amp;X1483&amp;" Stk); ",IF(BU1483=1,"Gebinde geschätzt ("&amp;T1483&amp;"); ",IF(BT1483=1,"Lose – Tablare geschätzt; ","")))&amp;IF(H1483&gt;AR1483,"Überbestand "&amp;ROUND(H1483-AR1483,0)&amp;" Stk / CHF "&amp;ROUND((H1483-AR1483)*G1483,0)&amp;"; ","")&amp;IF(AND(CA1483=1,CB1483&lt;CC1483),"MAX &lt; MB+LG; ","")&amp;IF(AND(CG1483&gt;0,CF1483*10&gt;CG1483),"zu hoch für Tablar; ","")&amp;IF(AND(BP1483=0,OR(CA1483=1,AA1483&lt;&gt;"",U1483&lt;&gt;"",V1483&lt;&gt;"",AB1483&lt;&gt;"")),"manuell übersteuert; ","")&amp;IF(AND(BT1483=0,R1483=0),"Gebinde unbekannt / Stellmass fehlt; ","")&amp;IF(AND(BT1483=0,N(V1483)&lt;=0,N(Q1483)&lt;=0),"Menge pro Gebinde fehlt (Ist = 1 Gebinde); ","")&amp;BO1483)</f>
        <v>Kein Verbrauch; nur im Artikelstamm (Bestand 23.06.2026)</v>
      </c>
      <c r="BH1483" s="55"/>
      <c r="BI1483" s="55"/>
      <c r="BJ1483" s="62"/>
      <c r="BK1483" s="57" t="n">
        <v>6</v>
      </c>
      <c r="BL1483" s="57" t="n">
        <v>0</v>
      </c>
      <c r="BM1483" s="56" t="n">
        <v>0</v>
      </c>
      <c r="BN1483" s="57" t="n">
        <v>0</v>
      </c>
      <c r="BO1483" s="55" t="s">
        <v>2575</v>
      </c>
      <c r="BP1483" s="60" t="n">
        <v>0</v>
      </c>
      <c r="BQ1483" s="60" t="n">
        <v>1483</v>
      </c>
      <c r="BR1483" s="55" t="str">
        <f aca="false">IF(U1483&lt;&gt;"",UPPER(TRIM(U1483)),IF(BU1483=1,UPPER(VLOOKUP(T1483,Parameter!$I$27:$K$29,2,0)),IF(P1483="","LOSE",P1483)))</f>
        <v>S32</v>
      </c>
      <c r="BS1483" s="57" t="n">
        <f aca="false">IF(BR1483="LOSE",1,IF(N(V1483)&gt;0,V1483,IF(BU1483=1,MAX(1,N(VLOOKUP(T1483,Parameter!$I$27:$K$29,3,0)),H1483,N(N1483)),IF(N(Q1483)&gt;0,Q1483,MAX(1,H1483)))))</f>
        <v>6</v>
      </c>
      <c r="BT1483" s="60" t="n">
        <f aca="false">IF(BR1483="LOSE",1,0)</f>
        <v>0</v>
      </c>
      <c r="BU1483" s="60" t="n">
        <f aca="false">IF(AND(U1483="",OR(P1483="",P1483="LOSE"),T1483&lt;&gt;"",N(S1483)&lt;=0,ISNUMBER(MATCH(T1483,Parameter!$I$27:$I$29,0))),1,0)</f>
        <v>0</v>
      </c>
      <c r="BV1483" s="55" t="str">
        <f aca="false">IF(AND(Parameter!$B$19="Ja",E1483&lt;&gt;"",ISNUMBER(MATCH(E1483,Parameter!$I$35:$I$52,0))),VLOOKUP(E1483,Parameter!$I$35:$J$52,2,0),IFERROR(VLOOKUP(D1483,Parameter!$A$35:$C$64,2,0),"Nein"))</f>
        <v>2+3</v>
      </c>
      <c r="BW1483" s="59" t="n">
        <f aca="false">IF(BT1483=0,0,IF(N(S1483)&gt;0,S1483,IFERROR(VLOOKUP(D1483,Parameter!$A$35:$C$64,3,0)+0,0)))</f>
        <v>0</v>
      </c>
      <c r="BX1483" s="55" t="n">
        <f aca="false">IF(AA1483&lt;&gt;"",AA1483,Z1483)</f>
        <v>3</v>
      </c>
      <c r="BY1483" s="55" t="str">
        <f aca="false">IF(BX1483=1,"L1",IF(OR(BX1483=2,BX1483=3),"L23",IF(BX1483="Aussen","Aussen","-")))</f>
        <v>L23</v>
      </c>
      <c r="BZ1483" s="66" t="n">
        <f aca="false">IF(N(AB1483)&gt;0,AB1483,0)</f>
        <v>0</v>
      </c>
      <c r="CA1483" s="60" t="n">
        <f aca="false">IF(ISNUMBER(AE1483),1,0)</f>
        <v>0</v>
      </c>
      <c r="CB1483" s="57" t="n">
        <f aca="false">N(AE1483)</f>
        <v>0</v>
      </c>
      <c r="CC1483" s="57" t="n">
        <f aca="false">N(M1483)+N(N1483)</f>
        <v>5</v>
      </c>
      <c r="CD1483" s="57" t="n">
        <f aca="false">ROUNDUP(H1483/BS1483,0)</f>
        <v>1</v>
      </c>
      <c r="CE1483" s="57" t="n">
        <f aca="false">ROUNDUP(CB1483/BS1483,0)</f>
        <v>0</v>
      </c>
      <c r="CF1483" s="60" t="n">
        <f aca="false">IF(BT1483=1,0,IFERROR(VLOOKUP(BR1483,'Gebinde-Kategorie'!$A$5:$M$45,5,0)+0,0))</f>
        <v>8</v>
      </c>
      <c r="CG1483" s="60" t="n">
        <f aca="false">IFERROR(IF(OR(BX1483=1,BX1483=2,BX1483=3),N(INDEX(Parameter!$I$5:$I$7,BX1483)),0),0)</f>
        <v>0</v>
      </c>
      <c r="CH1483" s="59" t="n">
        <f aca="false">IF(AND(Parameter!$B$21="Ja",ISNUMBER(W1483),N(X1483)&gt;0),IFERROR(N(INDEX(Parameter!$L$5:$L$7,W1483))*INDEX(Parameter!$E$5:$E$7,W1483)*X1483/SUMIFS($X$7:$X$1843,$W$7:$W$1843,W1483),0),0)</f>
        <v>0</v>
      </c>
    </row>
    <row r="1484" customFormat="false" ht="15" hidden="false" customHeight="false" outlineLevel="0" collapsed="false">
      <c r="A1484" s="55" t="s">
        <v>2595</v>
      </c>
      <c r="B1484" s="55" t="s">
        <v>2596</v>
      </c>
      <c r="C1484" s="55" t="s">
        <v>164</v>
      </c>
      <c r="D1484" s="55" t="s">
        <v>184</v>
      </c>
      <c r="E1484" s="55" t="s">
        <v>185</v>
      </c>
      <c r="F1484" s="55"/>
      <c r="G1484" s="56" t="n">
        <v>8.7</v>
      </c>
      <c r="H1484" s="57" t="n">
        <f aca="false">MAX(0,IF(AND(Parameter!$B$21="Ja",ISNUMBER(Y1484)),Y1484,IF(Parameter!$B$20="Jahresanfang 2025 + Export",BL1484+BK1484,BK1484)))</f>
        <v>20</v>
      </c>
      <c r="I1484" s="57" t="n">
        <f aca="false">H1484*G1484</f>
        <v>174</v>
      </c>
      <c r="J1484" s="57" t="n">
        <f aca="false">BN1484*Parameter!$B$18</f>
        <v>0</v>
      </c>
      <c r="K1484" s="58"/>
      <c r="L1484" s="59"/>
      <c r="M1484" s="57" t="n">
        <v>0</v>
      </c>
      <c r="N1484" s="57" t="n">
        <v>10</v>
      </c>
      <c r="O1484" s="60" t="n">
        <v>0</v>
      </c>
      <c r="P1484" s="55" t="s">
        <v>426</v>
      </c>
      <c r="Q1484" s="57" t="n">
        <v>20</v>
      </c>
      <c r="R1484" s="60" t="n">
        <f aca="false">IF(BT1484=1,0,IFERROR(VLOOKUP(BR1484,'Gebinde-Kategorie'!$A$5:$M$45,13,0)+0,0))</f>
        <v>198</v>
      </c>
      <c r="S1484" s="61"/>
      <c r="T1484" s="62"/>
      <c r="U1484" s="62"/>
      <c r="V1484" s="62"/>
      <c r="W1484" s="55"/>
      <c r="X1484" s="57"/>
      <c r="Y1484" s="57"/>
      <c r="Z1484" s="55" t="n">
        <f aca="false">IF(A1484="","",IF(AND(Parameter!$B$21="Ja",ISNUMBER(W1484)),W1484,IF(BV1484="2+3",IF(ISNUMBER(SEARCH("grosser Artikel",BO1484)),2,IFERROR(VLOOKUP(BR1484,Parameter!$F$35:$G$64,2,0),2)),IF(OR(BV1484="Nein",BV1484=""),"-",BV1484))))</f>
        <v>3</v>
      </c>
      <c r="AA1484" s="62"/>
      <c r="AB1484" s="63"/>
      <c r="AC1484" s="57" t="n">
        <f aca="false">AR1484</f>
        <v>20</v>
      </c>
      <c r="AD1484" s="57" t="n">
        <f aca="false">MAX(AR1484,H1484)</f>
        <v>20</v>
      </c>
      <c r="AE1484" s="64"/>
      <c r="AF1484" s="57" t="n">
        <f aca="false">IF(LEFT(Cockpit!$C$5,1)="A",H1484,IF(CA1484=1,CB1484,IF(LEFT(Cockpit!$C$5,1)="B",AJ1484,MAX(AJ1484,H1484))))</f>
        <v>20</v>
      </c>
      <c r="AG1484" s="57" t="n">
        <f aca="false">IF(BT1484=1,0,ROUNDUP(AF1484/BS1484,0))</f>
        <v>1</v>
      </c>
      <c r="AH1484" s="59" t="n">
        <f aca="false">IF(CH1484&gt;0,CH1484*MAX(1,AF1484/X1484),IF(BT1484=1,IF(AF1484&lt;=0,0,BW1484*MAX(1,IF(H1484&gt;0,AF1484/H1484,1))),IF(R1484&gt;0,AG1484/R1484,0))/MAX(0.1,N(Parameter!$M$21)))</f>
        <v>0.00505050505050505</v>
      </c>
      <c r="AI1484" s="57" t="n">
        <f aca="false">AF1484*G1484</f>
        <v>174</v>
      </c>
      <c r="AJ1484" s="57" t="n">
        <f aca="false">ROUNDUP(MAX(J1484/IF(BZ1484&gt;0,BZ1484,MAX(0.1,N(Cockpit!$C$6))),CC1484)/BS1484,0)*BS1484</f>
        <v>20</v>
      </c>
      <c r="AK1484" s="58" t="n">
        <f aca="false">IF(AH1484&gt;0,J1484/AH1484,-1)</f>
        <v>0</v>
      </c>
      <c r="AL1484" s="58" t="n">
        <f aca="false">IF(AND(OR(BY1484="L1",BY1484="L23"),AH1484&gt;0),SUMIFS($AH$7:$AH$1843,$BY$7:$BY$1843,BY1484,$AK$7:$AK$1843,"&gt;"&amp;AK1484)+SUMIFS($AH$7:$AH$1843,$BY$7:$BY$1843,BY1484,$AK$7:$AK$1843,AK1484,$BQ$7:$BQ$1843,"&lt;="&amp;BQ1484),"")</f>
        <v>81.2208878078443</v>
      </c>
      <c r="AM1484" s="65" t="n">
        <f aca="false">IF(AL1484="",0,MAX(0,MIN(1,(IF(BY1484="L1",Parameter!$E$5,Parameter!$E$6+Parameter!$E$7)-(AL1484-AH1484))/AH1484)))</f>
        <v>1</v>
      </c>
      <c r="AN1484" s="57" t="n">
        <f aca="false">IF(LEFT(Cockpit!$I$5,1)="A",H1484,IF(CA1484=1,CB1484,IF(LEFT(Cockpit!$I$5,1)="B",AR1484,MAX(AR1484,H1484))))</f>
        <v>20</v>
      </c>
      <c r="AO1484" s="57" t="n">
        <f aca="false">IF(BT1484=1,0,ROUNDUP(AN1484/BS1484,0))</f>
        <v>1</v>
      </c>
      <c r="AP1484" s="59" t="n">
        <f aca="false">IF(CH1484&gt;0,CH1484*MAX(1,AN1484/X1484),IF(BT1484=1,IF(AN1484&lt;=0,0,BW1484*MAX(1,IF(H1484&gt;0,AN1484/H1484,1))),IF(R1484&gt;0,AO1484/R1484,0))/MAX(0.1,N(Parameter!$M$21)))</f>
        <v>0.00505050505050505</v>
      </c>
      <c r="AQ1484" s="57" t="n">
        <f aca="false">AN1484*G1484</f>
        <v>174</v>
      </c>
      <c r="AR1484" s="57" t="n">
        <f aca="false">ROUNDUP(MAX(J1484/IF(BZ1484&gt;0,BZ1484,MAX(0.1,N(Cockpit!$I$6))),CC1484)/BS1484,0)*BS1484</f>
        <v>20</v>
      </c>
      <c r="AS1484" s="58" t="n">
        <f aca="false">IF(AP1484&gt;0,J1484/AP1484,-1)</f>
        <v>0</v>
      </c>
      <c r="AT1484" s="58" t="n">
        <f aca="false">IF(AND(OR(BY1484="L1",BY1484="L23"),AP1484&gt;0),SUMIFS($AP$7:$AP$1843,$BY$7:$BY$1843,BY1484,$AS$7:$AS$1843,"&gt;"&amp;AS1484)+SUMIFS($AP$7:$AP$1843,$BY$7:$BY$1843,BY1484,$AS$7:$AS$1843,AS1484,$BQ$7:$BQ$1843,"&lt;="&amp;BQ1484),"")</f>
        <v>126.133331644201</v>
      </c>
      <c r="AU1484" s="65" t="n">
        <f aca="false">IF(AT1484="",0,MAX(0,MIN(1,(IF(BY1484="L1",Parameter!$E$5,Parameter!$E$6+Parameter!$E$7)-(AT1484-AP1484))/AP1484)))</f>
        <v>0</v>
      </c>
      <c r="AV1484" s="57" t="n">
        <f aca="false">IF(LEFT(Cockpit!$O$5,1)="A",H1484,IF(CA1484=1,CB1484,IF(LEFT(Cockpit!$O$5,1)="B",AZ1484,MAX(AZ1484,H1484))))</f>
        <v>20</v>
      </c>
      <c r="AW1484" s="57" t="n">
        <f aca="false">IF(BT1484=1,0,ROUNDUP(AV1484/BS1484,0))</f>
        <v>1</v>
      </c>
      <c r="AX1484" s="59" t="n">
        <f aca="false">IF(CH1484&gt;0,CH1484*MAX(1,AV1484/X1484),IF(BT1484=1,IF(AV1484&lt;=0,0,BW1484*MAX(1,IF(H1484&gt;0,AV1484/H1484,1))),IF(R1484&gt;0,AW1484/R1484,0))/MAX(0.1,N(Parameter!$M$21)))</f>
        <v>0.00505050505050505</v>
      </c>
      <c r="AY1484" s="57" t="n">
        <f aca="false">AV1484*G1484</f>
        <v>174</v>
      </c>
      <c r="AZ1484" s="57" t="n">
        <f aca="false">ROUNDUP(MAX(J1484/IF(BZ1484&gt;0,BZ1484,MAX(0.1,N(Cockpit!$O$6))),CC1484)/BS1484,0)*BS1484</f>
        <v>20</v>
      </c>
      <c r="BA1484" s="58" t="n">
        <f aca="false">IF(AX1484&gt;0,J1484/AX1484,-1)</f>
        <v>0</v>
      </c>
      <c r="BB1484" s="58" t="n">
        <f aca="false">IF(AND(OR(BY1484="L1",BY1484="L23"),AX1484&gt;0),SUMIFS($AX$7:$AX$1843,$BY$7:$BY$1843,BY1484,$BA$7:$BA$1843,"&gt;"&amp;BA1484)+SUMIFS($AX$7:$AX$1843,$BY$7:$BY$1843,BY1484,$BA$7:$BA$1843,BA1484,$BQ$7:$BQ$1843,"&lt;="&amp;BQ1484),"")</f>
        <v>116.963168474038</v>
      </c>
      <c r="BC1484" s="65" t="n">
        <f aca="false">IF(BB1484="",0,MAX(0,MIN(1,(IF(BY1484="L1",Parameter!$E$5,Parameter!$E$6+Parameter!$E$7)-(BB1484-AX1484))/AX1484)))</f>
        <v>0</v>
      </c>
      <c r="BD1484" s="55" t="str">
        <f aca="false">IF(AH1484&lt;=0,"",IF(BY1484="Aussen","Aussenlager",IF(BY1484="-","Nicht im Lift",IF(AM1484&gt;=1,"Lift",IF(AM1484&lt;=0,"Aussenlager","teilweise")))))</f>
        <v>Lift</v>
      </c>
      <c r="BE1484" s="55" t="str">
        <f aca="false">IF(AP1484&lt;=0,"",IF(BY1484="Aussen","Aussenlager",IF(BY1484="-","Nicht im Lift",IF(AU1484&gt;=1,"Lift",IF(AU1484&lt;=0,"Aussenlager","teilweise")))))</f>
        <v>Aussenlager</v>
      </c>
      <c r="BF1484" s="55" t="str">
        <f aca="false">IF(AX1484&lt;=0,"",IF(BY1484="Aussen","Aussenlager",IF(BY1484="-","Nicht im Lift",IF(BC1484&gt;=1,"Lift",IF(BC1484&lt;=0,"Aussenlager","teilweise")))))</f>
        <v>Aussenlager</v>
      </c>
      <c r="BG1484" s="55" t="str">
        <f aca="false">IF(A1484="","",IF(BP1484=1,"Neu; ","")&amp;IF(AND(BP1484=0,BK1484&lt;0),"negativer Bestand (Export "&amp;BK1484&amp;"); ","")&amp;IF(J1484&lt;=0,"Kein Verbrauch; ","")&amp;IF(CH1484&gt;0,"Lift "&amp;W1484&amp;" lt. Liftbericht (Fach "&amp;X1484&amp;" Stk); ",IF(BU1484=1,"Gebinde geschätzt ("&amp;T1484&amp;"); ",IF(BT1484=1,"Lose – Tablare geschätzt; ","")))&amp;IF(H1484&gt;AR1484,"Überbestand "&amp;ROUND(H1484-AR1484,0)&amp;" Stk / CHF "&amp;ROUND((H1484-AR1484)*G1484,0)&amp;"; ","")&amp;IF(AND(CA1484=1,CB1484&lt;CC1484),"MAX &lt; MB+LG; ","")&amp;IF(AND(CG1484&gt;0,CF1484*10&gt;CG1484),"zu hoch für Tablar; ","")&amp;IF(AND(BP1484=0,OR(CA1484=1,AA1484&lt;&gt;"",U1484&lt;&gt;"",V1484&lt;&gt;"",AB1484&lt;&gt;"")),"manuell übersteuert; ","")&amp;IF(AND(BT1484=0,R1484=0),"Gebinde unbekannt / Stellmass fehlt; ","")&amp;IF(AND(BT1484=0,N(V1484)&lt;=0,N(Q1484)&lt;=0),"Menge pro Gebinde fehlt (Ist = 1 Gebinde); ","")&amp;BO1484)</f>
        <v>Kein Verbrauch; nur im Artikelstamm (Bestand 23.06.2026)</v>
      </c>
      <c r="BH1484" s="55"/>
      <c r="BI1484" s="55"/>
      <c r="BJ1484" s="62"/>
      <c r="BK1484" s="57" t="n">
        <v>20</v>
      </c>
      <c r="BL1484" s="57" t="n">
        <v>0</v>
      </c>
      <c r="BM1484" s="56" t="n">
        <v>0</v>
      </c>
      <c r="BN1484" s="57" t="n">
        <v>0</v>
      </c>
      <c r="BO1484" s="55" t="s">
        <v>2575</v>
      </c>
      <c r="BP1484" s="60" t="n">
        <v>0</v>
      </c>
      <c r="BQ1484" s="60" t="n">
        <v>1484</v>
      </c>
      <c r="BR1484" s="55" t="str">
        <f aca="false">IF(U1484&lt;&gt;"",UPPER(TRIM(U1484)),IF(BU1484=1,UPPER(VLOOKUP(T1484,Parameter!$I$27:$K$29,2,0)),IF(P1484="","LOSE",P1484)))</f>
        <v>S22</v>
      </c>
      <c r="BS1484" s="57" t="n">
        <f aca="false">IF(BR1484="LOSE",1,IF(N(V1484)&gt;0,V1484,IF(BU1484=1,MAX(1,N(VLOOKUP(T1484,Parameter!$I$27:$K$29,3,0)),H1484,N(N1484)),IF(N(Q1484)&gt;0,Q1484,MAX(1,H1484)))))</f>
        <v>20</v>
      </c>
      <c r="BT1484" s="60" t="n">
        <f aca="false">IF(BR1484="LOSE",1,0)</f>
        <v>0</v>
      </c>
      <c r="BU1484" s="60" t="n">
        <f aca="false">IF(AND(U1484="",OR(P1484="",P1484="LOSE"),T1484&lt;&gt;"",N(S1484)&lt;=0,ISNUMBER(MATCH(T1484,Parameter!$I$27:$I$29,0))),1,0)</f>
        <v>0</v>
      </c>
      <c r="BV1484" s="55" t="str">
        <f aca="false">IF(AND(Parameter!$B$19="Ja",E1484&lt;&gt;"",ISNUMBER(MATCH(E1484,Parameter!$I$35:$I$52,0))),VLOOKUP(E1484,Parameter!$I$35:$J$52,2,0),IFERROR(VLOOKUP(D1484,Parameter!$A$35:$C$64,2,0),"Nein"))</f>
        <v>2+3</v>
      </c>
      <c r="BW1484" s="59" t="n">
        <f aca="false">IF(BT1484=0,0,IF(N(S1484)&gt;0,S1484,IFERROR(VLOOKUP(D1484,Parameter!$A$35:$C$64,3,0)+0,0)))</f>
        <v>0</v>
      </c>
      <c r="BX1484" s="55" t="n">
        <f aca="false">IF(AA1484&lt;&gt;"",AA1484,Z1484)</f>
        <v>3</v>
      </c>
      <c r="BY1484" s="55" t="str">
        <f aca="false">IF(BX1484=1,"L1",IF(OR(BX1484=2,BX1484=3),"L23",IF(BX1484="Aussen","Aussen","-")))</f>
        <v>L23</v>
      </c>
      <c r="BZ1484" s="66" t="n">
        <f aca="false">IF(N(AB1484)&gt;0,AB1484,0)</f>
        <v>0</v>
      </c>
      <c r="CA1484" s="60" t="n">
        <f aca="false">IF(ISNUMBER(AE1484),1,0)</f>
        <v>0</v>
      </c>
      <c r="CB1484" s="57" t="n">
        <f aca="false">N(AE1484)</f>
        <v>0</v>
      </c>
      <c r="CC1484" s="57" t="n">
        <f aca="false">N(M1484)+N(N1484)</f>
        <v>10</v>
      </c>
      <c r="CD1484" s="57" t="n">
        <f aca="false">ROUNDUP(H1484/BS1484,0)</f>
        <v>1</v>
      </c>
      <c r="CE1484" s="57" t="n">
        <f aca="false">ROUNDUP(CB1484/BS1484,0)</f>
        <v>0</v>
      </c>
      <c r="CF1484" s="60" t="n">
        <f aca="false">IF(BT1484=1,0,IFERROR(VLOOKUP(BR1484,'Gebinde-Kategorie'!$A$5:$M$45,5,0)+0,0))</f>
        <v>8</v>
      </c>
      <c r="CG1484" s="60" t="n">
        <f aca="false">IFERROR(IF(OR(BX1484=1,BX1484=2,BX1484=3),N(INDEX(Parameter!$I$5:$I$7,BX1484)),0),0)</f>
        <v>0</v>
      </c>
      <c r="CH1484" s="59" t="n">
        <f aca="false">IF(AND(Parameter!$B$21="Ja",ISNUMBER(W1484),N(X1484)&gt;0),IFERROR(N(INDEX(Parameter!$L$5:$L$7,W1484))*INDEX(Parameter!$E$5:$E$7,W1484)*X1484/SUMIFS($X$7:$X$1843,$W$7:$W$1843,W1484),0),0)</f>
        <v>0</v>
      </c>
    </row>
    <row r="1485" customFormat="false" ht="15" hidden="false" customHeight="false" outlineLevel="0" collapsed="false">
      <c r="A1485" s="55" t="s">
        <v>2597</v>
      </c>
      <c r="B1485" s="55" t="s">
        <v>2129</v>
      </c>
      <c r="C1485" s="55" t="s">
        <v>164</v>
      </c>
      <c r="D1485" s="55" t="s">
        <v>184</v>
      </c>
      <c r="E1485" s="55" t="s">
        <v>185</v>
      </c>
      <c r="F1485" s="55"/>
      <c r="G1485" s="56" t="n">
        <v>172.47</v>
      </c>
      <c r="H1485" s="57" t="n">
        <f aca="false">MAX(0,IF(AND(Parameter!$B$21="Ja",ISNUMBER(Y1485)),Y1485,IF(Parameter!$B$20="Jahresanfang 2025 + Export",BL1485+BK1485,BK1485)))</f>
        <v>12</v>
      </c>
      <c r="I1485" s="57" t="n">
        <f aca="false">H1485*G1485</f>
        <v>2069.64</v>
      </c>
      <c r="J1485" s="57" t="n">
        <f aca="false">BN1485*Parameter!$B$18</f>
        <v>0</v>
      </c>
      <c r="K1485" s="58"/>
      <c r="L1485" s="59"/>
      <c r="M1485" s="57" t="n">
        <v>0</v>
      </c>
      <c r="N1485" s="57" t="n">
        <v>4</v>
      </c>
      <c r="O1485" s="60" t="n">
        <v>70</v>
      </c>
      <c r="P1485" s="55" t="s">
        <v>302</v>
      </c>
      <c r="Q1485" s="57" t="n">
        <v>12</v>
      </c>
      <c r="R1485" s="60" t="n">
        <f aca="false">IF(BT1485=1,0,IFERROR(VLOOKUP(BR1485,'Gebinde-Kategorie'!$A$5:$M$45,13,0)+0,0))</f>
        <v>26</v>
      </c>
      <c r="S1485" s="61"/>
      <c r="T1485" s="62"/>
      <c r="U1485" s="62"/>
      <c r="V1485" s="62"/>
      <c r="W1485" s="55"/>
      <c r="X1485" s="57"/>
      <c r="Y1485" s="57"/>
      <c r="Z1485" s="55" t="n">
        <f aca="false">IF(A1485="","",IF(AND(Parameter!$B$21="Ja",ISNUMBER(W1485)),W1485,IF(BV1485="2+3",IF(ISNUMBER(SEARCH("grosser Artikel",BO1485)),2,IFERROR(VLOOKUP(BR1485,Parameter!$F$35:$G$64,2,0),2)),IF(OR(BV1485="Nein",BV1485=""),"-",BV1485))))</f>
        <v>3</v>
      </c>
      <c r="AA1485" s="62"/>
      <c r="AB1485" s="63"/>
      <c r="AC1485" s="57" t="n">
        <f aca="false">AR1485</f>
        <v>12</v>
      </c>
      <c r="AD1485" s="57" t="n">
        <f aca="false">MAX(AR1485,H1485)</f>
        <v>12</v>
      </c>
      <c r="AE1485" s="64"/>
      <c r="AF1485" s="57" t="n">
        <f aca="false">IF(LEFT(Cockpit!$C$5,1)="A",H1485,IF(CA1485=1,CB1485,IF(LEFT(Cockpit!$C$5,1)="B",AJ1485,MAX(AJ1485,H1485))))</f>
        <v>12</v>
      </c>
      <c r="AG1485" s="57" t="n">
        <f aca="false">IF(BT1485=1,0,ROUNDUP(AF1485/BS1485,0))</f>
        <v>1</v>
      </c>
      <c r="AH1485" s="59" t="n">
        <f aca="false">IF(CH1485&gt;0,CH1485*MAX(1,AF1485/X1485),IF(BT1485=1,IF(AF1485&lt;=0,0,BW1485*MAX(1,IF(H1485&gt;0,AF1485/H1485,1))),IF(R1485&gt;0,AG1485/R1485,0))/MAX(0.1,N(Parameter!$M$21)))</f>
        <v>0.0384615384615385</v>
      </c>
      <c r="AI1485" s="57" t="n">
        <f aca="false">AF1485*G1485</f>
        <v>2069.64</v>
      </c>
      <c r="AJ1485" s="57" t="n">
        <f aca="false">ROUNDUP(MAX(J1485/IF(BZ1485&gt;0,BZ1485,MAX(0.1,N(Cockpit!$C$6))),CC1485)/BS1485,0)*BS1485</f>
        <v>12</v>
      </c>
      <c r="AK1485" s="58" t="n">
        <f aca="false">IF(AH1485&gt;0,J1485/AH1485,-1)</f>
        <v>0</v>
      </c>
      <c r="AL1485" s="58" t="n">
        <f aca="false">IF(AND(OR(BY1485="L1",BY1485="L23"),AH1485&gt;0),SUMIFS($AH$7:$AH$1843,$BY$7:$BY$1843,BY1485,$AK$7:$AK$1843,"&gt;"&amp;AK1485)+SUMIFS($AH$7:$AH$1843,$BY$7:$BY$1843,BY1485,$AK$7:$AK$1843,AK1485,$BQ$7:$BQ$1843,"&lt;="&amp;BQ1485),"")</f>
        <v>81.2593493463059</v>
      </c>
      <c r="AM1485" s="65" t="n">
        <f aca="false">IF(AL1485="",0,MAX(0,MIN(1,(IF(BY1485="L1",Parameter!$E$5,Parameter!$E$6+Parameter!$E$7)-(AL1485-AH1485))/AH1485)))</f>
        <v>1</v>
      </c>
      <c r="AN1485" s="57" t="n">
        <f aca="false">IF(LEFT(Cockpit!$I$5,1)="A",H1485,IF(CA1485=1,CB1485,IF(LEFT(Cockpit!$I$5,1)="B",AR1485,MAX(AR1485,H1485))))</f>
        <v>12</v>
      </c>
      <c r="AO1485" s="57" t="n">
        <f aca="false">IF(BT1485=1,0,ROUNDUP(AN1485/BS1485,0))</f>
        <v>1</v>
      </c>
      <c r="AP1485" s="59" t="n">
        <f aca="false">IF(CH1485&gt;0,CH1485*MAX(1,AN1485/X1485),IF(BT1485=1,IF(AN1485&lt;=0,0,BW1485*MAX(1,IF(H1485&gt;0,AN1485/H1485,1))),IF(R1485&gt;0,AO1485/R1485,0))/MAX(0.1,N(Parameter!$M$21)))</f>
        <v>0.0384615384615385</v>
      </c>
      <c r="AQ1485" s="57" t="n">
        <f aca="false">AN1485*G1485</f>
        <v>2069.64</v>
      </c>
      <c r="AR1485" s="57" t="n">
        <f aca="false">ROUNDUP(MAX(J1485/IF(BZ1485&gt;0,BZ1485,MAX(0.1,N(Cockpit!$I$6))),CC1485)/BS1485,0)*BS1485</f>
        <v>12</v>
      </c>
      <c r="AS1485" s="58" t="n">
        <f aca="false">IF(AP1485&gt;0,J1485/AP1485,-1)</f>
        <v>0</v>
      </c>
      <c r="AT1485" s="58" t="n">
        <f aca="false">IF(AND(OR(BY1485="L1",BY1485="L23"),AP1485&gt;0),SUMIFS($AP$7:$AP$1843,$BY$7:$BY$1843,BY1485,$AS$7:$AS$1843,"&gt;"&amp;AS1485)+SUMIFS($AP$7:$AP$1843,$BY$7:$BY$1843,BY1485,$AS$7:$AS$1843,AS1485,$BQ$7:$BQ$1843,"&lt;="&amp;BQ1485),"")</f>
        <v>126.171793182663</v>
      </c>
      <c r="AU1485" s="65" t="n">
        <f aca="false">IF(AT1485="",0,MAX(0,MIN(1,(IF(BY1485="L1",Parameter!$E$5,Parameter!$E$6+Parameter!$E$7)-(AT1485-AP1485))/AP1485)))</f>
        <v>0</v>
      </c>
      <c r="AV1485" s="57" t="n">
        <f aca="false">IF(LEFT(Cockpit!$O$5,1)="A",H1485,IF(CA1485=1,CB1485,IF(LEFT(Cockpit!$O$5,1)="B",AZ1485,MAX(AZ1485,H1485))))</f>
        <v>12</v>
      </c>
      <c r="AW1485" s="57" t="n">
        <f aca="false">IF(BT1485=1,0,ROUNDUP(AV1485/BS1485,0))</f>
        <v>1</v>
      </c>
      <c r="AX1485" s="59" t="n">
        <f aca="false">IF(CH1485&gt;0,CH1485*MAX(1,AV1485/X1485),IF(BT1485=1,IF(AV1485&lt;=0,0,BW1485*MAX(1,IF(H1485&gt;0,AV1485/H1485,1))),IF(R1485&gt;0,AW1485/R1485,0))/MAX(0.1,N(Parameter!$M$21)))</f>
        <v>0.0384615384615385</v>
      </c>
      <c r="AY1485" s="57" t="n">
        <f aca="false">AV1485*G1485</f>
        <v>2069.64</v>
      </c>
      <c r="AZ1485" s="57" t="n">
        <f aca="false">ROUNDUP(MAX(J1485/IF(BZ1485&gt;0,BZ1485,MAX(0.1,N(Cockpit!$O$6))),CC1485)/BS1485,0)*BS1485</f>
        <v>12</v>
      </c>
      <c r="BA1485" s="58" t="n">
        <f aca="false">IF(AX1485&gt;0,J1485/AX1485,-1)</f>
        <v>0</v>
      </c>
      <c r="BB1485" s="58" t="n">
        <f aca="false">IF(AND(OR(BY1485="L1",BY1485="L23"),AX1485&gt;0),SUMIFS($AX$7:$AX$1843,$BY$7:$BY$1843,BY1485,$BA$7:$BA$1843,"&gt;"&amp;BA1485)+SUMIFS($AX$7:$AX$1843,$BY$7:$BY$1843,BY1485,$BA$7:$BA$1843,BA1485,$BQ$7:$BQ$1843,"&lt;="&amp;BQ1485),"")</f>
        <v>117.0016300125</v>
      </c>
      <c r="BC1485" s="65" t="n">
        <f aca="false">IF(BB1485="",0,MAX(0,MIN(1,(IF(BY1485="L1",Parameter!$E$5,Parameter!$E$6+Parameter!$E$7)-(BB1485-AX1485))/AX1485)))</f>
        <v>0</v>
      </c>
      <c r="BD1485" s="55" t="str">
        <f aca="false">IF(AH1485&lt;=0,"",IF(BY1485="Aussen","Aussenlager",IF(BY1485="-","Nicht im Lift",IF(AM1485&gt;=1,"Lift",IF(AM1485&lt;=0,"Aussenlager","teilweise")))))</f>
        <v>Lift</v>
      </c>
      <c r="BE1485" s="55" t="str">
        <f aca="false">IF(AP1485&lt;=0,"",IF(BY1485="Aussen","Aussenlager",IF(BY1485="-","Nicht im Lift",IF(AU1485&gt;=1,"Lift",IF(AU1485&lt;=0,"Aussenlager","teilweise")))))</f>
        <v>Aussenlager</v>
      </c>
      <c r="BF1485" s="55" t="str">
        <f aca="false">IF(AX1485&lt;=0,"",IF(BY1485="Aussen","Aussenlager",IF(BY1485="-","Nicht im Lift",IF(BC1485&gt;=1,"Lift",IF(BC1485&lt;=0,"Aussenlager","teilweise")))))</f>
        <v>Aussenlager</v>
      </c>
      <c r="BG1485" s="55" t="str">
        <f aca="false">IF(A1485="","",IF(BP1485=1,"Neu; ","")&amp;IF(AND(BP1485=0,BK1485&lt;0),"negativer Bestand (Export "&amp;BK1485&amp;"); ","")&amp;IF(J1485&lt;=0,"Kein Verbrauch; ","")&amp;IF(CH1485&gt;0,"Lift "&amp;W1485&amp;" lt. Liftbericht (Fach "&amp;X1485&amp;" Stk); ",IF(BU1485=1,"Gebinde geschätzt ("&amp;T1485&amp;"); ",IF(BT1485=1,"Lose – Tablare geschätzt; ","")))&amp;IF(H1485&gt;AR1485,"Überbestand "&amp;ROUND(H1485-AR1485,0)&amp;" Stk / CHF "&amp;ROUND((H1485-AR1485)*G1485,0)&amp;"; ","")&amp;IF(AND(CA1485=1,CB1485&lt;CC1485),"MAX &lt; MB+LG; ","")&amp;IF(AND(CG1485&gt;0,CF1485*10&gt;CG1485),"zu hoch für Tablar; ","")&amp;IF(AND(BP1485=0,OR(CA1485=1,AA1485&lt;&gt;"",U1485&lt;&gt;"",V1485&lt;&gt;"",AB1485&lt;&gt;"")),"manuell übersteuert; ","")&amp;IF(AND(BT1485=0,R1485=0),"Gebinde unbekannt / Stellmass fehlt; ","")&amp;IF(AND(BT1485=0,N(V1485)&lt;=0,N(Q1485)&lt;=0),"Menge pro Gebinde fehlt (Ist = 1 Gebinde); ","")&amp;BO1485)</f>
        <v>Kein Verbrauch; nur im Artikelstamm (Bestand 23.06.2026)</v>
      </c>
      <c r="BH1485" s="55"/>
      <c r="BI1485" s="55"/>
      <c r="BJ1485" s="62"/>
      <c r="BK1485" s="57" t="n">
        <v>12</v>
      </c>
      <c r="BL1485" s="57" t="n">
        <v>0</v>
      </c>
      <c r="BM1485" s="56" t="n">
        <v>0</v>
      </c>
      <c r="BN1485" s="57" t="n">
        <v>0</v>
      </c>
      <c r="BO1485" s="55" t="s">
        <v>2575</v>
      </c>
      <c r="BP1485" s="60" t="n">
        <v>0</v>
      </c>
      <c r="BQ1485" s="60" t="n">
        <v>1485</v>
      </c>
      <c r="BR1485" s="55" t="str">
        <f aca="false">IF(U1485&lt;&gt;"",UPPER(TRIM(U1485)),IF(BU1485=1,UPPER(VLOOKUP(T1485,Parameter!$I$27:$K$29,2,0)),IF(P1485="","LOSE",P1485)))</f>
        <v>S51</v>
      </c>
      <c r="BS1485" s="57" t="n">
        <f aca="false">IF(BR1485="LOSE",1,IF(N(V1485)&gt;0,V1485,IF(BU1485=1,MAX(1,N(VLOOKUP(T1485,Parameter!$I$27:$K$29,3,0)),H1485,N(N1485)),IF(N(Q1485)&gt;0,Q1485,MAX(1,H1485)))))</f>
        <v>12</v>
      </c>
      <c r="BT1485" s="60" t="n">
        <f aca="false">IF(BR1485="LOSE",1,0)</f>
        <v>0</v>
      </c>
      <c r="BU1485" s="60" t="n">
        <f aca="false">IF(AND(U1485="",OR(P1485="",P1485="LOSE"),T1485&lt;&gt;"",N(S1485)&lt;=0,ISNUMBER(MATCH(T1485,Parameter!$I$27:$I$29,0))),1,0)</f>
        <v>0</v>
      </c>
      <c r="BV1485" s="55" t="str">
        <f aca="false">IF(AND(Parameter!$B$19="Ja",E1485&lt;&gt;"",ISNUMBER(MATCH(E1485,Parameter!$I$35:$I$52,0))),VLOOKUP(E1485,Parameter!$I$35:$J$52,2,0),IFERROR(VLOOKUP(D1485,Parameter!$A$35:$C$64,2,0),"Nein"))</f>
        <v>2+3</v>
      </c>
      <c r="BW1485" s="59" t="n">
        <f aca="false">IF(BT1485=0,0,IF(N(S1485)&gt;0,S1485,IFERROR(VLOOKUP(D1485,Parameter!$A$35:$C$64,3,0)+0,0)))</f>
        <v>0</v>
      </c>
      <c r="BX1485" s="55" t="n">
        <f aca="false">IF(AA1485&lt;&gt;"",AA1485,Z1485)</f>
        <v>3</v>
      </c>
      <c r="BY1485" s="55" t="str">
        <f aca="false">IF(BX1485=1,"L1",IF(OR(BX1485=2,BX1485=3),"L23",IF(BX1485="Aussen","Aussen","-")))</f>
        <v>L23</v>
      </c>
      <c r="BZ1485" s="66" t="n">
        <f aca="false">IF(N(AB1485)&gt;0,AB1485,0)</f>
        <v>0</v>
      </c>
      <c r="CA1485" s="60" t="n">
        <f aca="false">IF(ISNUMBER(AE1485),1,0)</f>
        <v>0</v>
      </c>
      <c r="CB1485" s="57" t="n">
        <f aca="false">N(AE1485)</f>
        <v>0</v>
      </c>
      <c r="CC1485" s="57" t="n">
        <f aca="false">N(M1485)+N(N1485)</f>
        <v>4</v>
      </c>
      <c r="CD1485" s="57" t="n">
        <f aca="false">ROUNDUP(H1485/BS1485,0)</f>
        <v>1</v>
      </c>
      <c r="CE1485" s="57" t="n">
        <f aca="false">ROUNDUP(CB1485/BS1485,0)</f>
        <v>0</v>
      </c>
      <c r="CF1485" s="60" t="n">
        <f aca="false">IF(BT1485=1,0,IFERROR(VLOOKUP(BR1485,'Gebinde-Kategorie'!$A$5:$M$45,5,0)+0,0))</f>
        <v>11</v>
      </c>
      <c r="CG1485" s="60" t="n">
        <f aca="false">IFERROR(IF(OR(BX1485=1,BX1485=2,BX1485=3),N(INDEX(Parameter!$I$5:$I$7,BX1485)),0),0)</f>
        <v>0</v>
      </c>
      <c r="CH1485" s="59" t="n">
        <f aca="false">IF(AND(Parameter!$B$21="Ja",ISNUMBER(W1485),N(X1485)&gt;0),IFERROR(N(INDEX(Parameter!$L$5:$L$7,W1485))*INDEX(Parameter!$E$5:$E$7,W1485)*X1485/SUMIFS($X$7:$X$1843,$W$7:$W$1843,W1485),0),0)</f>
        <v>0</v>
      </c>
    </row>
    <row r="1486" customFormat="false" ht="15" hidden="false" customHeight="false" outlineLevel="0" collapsed="false">
      <c r="A1486" s="55" t="s">
        <v>2598</v>
      </c>
      <c r="B1486" s="55" t="s">
        <v>2599</v>
      </c>
      <c r="C1486" s="55" t="s">
        <v>164</v>
      </c>
      <c r="D1486" s="55" t="s">
        <v>184</v>
      </c>
      <c r="E1486" s="55" t="s">
        <v>185</v>
      </c>
      <c r="F1486" s="55"/>
      <c r="G1486" s="56" t="n">
        <v>78.1</v>
      </c>
      <c r="H1486" s="57" t="n">
        <f aca="false">MAX(0,IF(AND(Parameter!$B$21="Ja",ISNUMBER(Y1486)),Y1486,IF(Parameter!$B$20="Jahresanfang 2025 + Export",BL1486+BK1486,BK1486)))</f>
        <v>2</v>
      </c>
      <c r="I1486" s="57" t="n">
        <f aca="false">H1486*G1486</f>
        <v>156.2</v>
      </c>
      <c r="J1486" s="57" t="n">
        <f aca="false">BN1486*Parameter!$B$18</f>
        <v>0</v>
      </c>
      <c r="K1486" s="58"/>
      <c r="L1486" s="59"/>
      <c r="M1486" s="57" t="n">
        <v>0</v>
      </c>
      <c r="N1486" s="57" t="n">
        <v>1</v>
      </c>
      <c r="O1486" s="60" t="n">
        <v>21</v>
      </c>
      <c r="P1486" s="55" t="s">
        <v>426</v>
      </c>
      <c r="Q1486" s="57" t="n">
        <v>2</v>
      </c>
      <c r="R1486" s="60" t="n">
        <f aca="false">IF(BT1486=1,0,IFERROR(VLOOKUP(BR1486,'Gebinde-Kategorie'!$A$5:$M$45,13,0)+0,0))</f>
        <v>198</v>
      </c>
      <c r="S1486" s="61"/>
      <c r="T1486" s="62"/>
      <c r="U1486" s="62"/>
      <c r="V1486" s="62"/>
      <c r="W1486" s="55"/>
      <c r="X1486" s="57"/>
      <c r="Y1486" s="57"/>
      <c r="Z1486" s="55" t="n">
        <f aca="false">IF(A1486="","",IF(AND(Parameter!$B$21="Ja",ISNUMBER(W1486)),W1486,IF(BV1486="2+3",IF(ISNUMBER(SEARCH("grosser Artikel",BO1486)),2,IFERROR(VLOOKUP(BR1486,Parameter!$F$35:$G$64,2,0),2)),IF(OR(BV1486="Nein",BV1486=""),"-",BV1486))))</f>
        <v>3</v>
      </c>
      <c r="AA1486" s="62"/>
      <c r="AB1486" s="63"/>
      <c r="AC1486" s="57" t="n">
        <f aca="false">AR1486</f>
        <v>2</v>
      </c>
      <c r="AD1486" s="57" t="n">
        <f aca="false">MAX(AR1486,H1486)</f>
        <v>2</v>
      </c>
      <c r="AE1486" s="64"/>
      <c r="AF1486" s="57" t="n">
        <f aca="false">IF(LEFT(Cockpit!$C$5,1)="A",H1486,IF(CA1486=1,CB1486,IF(LEFT(Cockpit!$C$5,1)="B",AJ1486,MAX(AJ1486,H1486))))</f>
        <v>2</v>
      </c>
      <c r="AG1486" s="57" t="n">
        <f aca="false">IF(BT1486=1,0,ROUNDUP(AF1486/BS1486,0))</f>
        <v>1</v>
      </c>
      <c r="AH1486" s="59" t="n">
        <f aca="false">IF(CH1486&gt;0,CH1486*MAX(1,AF1486/X1486),IF(BT1486=1,IF(AF1486&lt;=0,0,BW1486*MAX(1,IF(H1486&gt;0,AF1486/H1486,1))),IF(R1486&gt;0,AG1486/R1486,0))/MAX(0.1,N(Parameter!$M$21)))</f>
        <v>0.00505050505050505</v>
      </c>
      <c r="AI1486" s="57" t="n">
        <f aca="false">AF1486*G1486</f>
        <v>156.2</v>
      </c>
      <c r="AJ1486" s="57" t="n">
        <f aca="false">ROUNDUP(MAX(J1486/IF(BZ1486&gt;0,BZ1486,MAX(0.1,N(Cockpit!$C$6))),CC1486)/BS1486,0)*BS1486</f>
        <v>2</v>
      </c>
      <c r="AK1486" s="58" t="n">
        <f aca="false">IF(AH1486&gt;0,J1486/AH1486,-1)</f>
        <v>0</v>
      </c>
      <c r="AL1486" s="58" t="n">
        <f aca="false">IF(AND(OR(BY1486="L1",BY1486="L23"),AH1486&gt;0),SUMIFS($AH$7:$AH$1843,$BY$7:$BY$1843,BY1486,$AK$7:$AK$1843,"&gt;"&amp;AK1486)+SUMIFS($AH$7:$AH$1843,$BY$7:$BY$1843,BY1486,$AK$7:$AK$1843,AK1486,$BQ$7:$BQ$1843,"&lt;="&amp;BQ1486),"")</f>
        <v>81.2643998513564</v>
      </c>
      <c r="AM1486" s="65" t="n">
        <f aca="false">IF(AL1486="",0,MAX(0,MIN(1,(IF(BY1486="L1",Parameter!$E$5,Parameter!$E$6+Parameter!$E$7)-(AL1486-AH1486))/AH1486)))</f>
        <v>1</v>
      </c>
      <c r="AN1486" s="57" t="n">
        <f aca="false">IF(LEFT(Cockpit!$I$5,1)="A",H1486,IF(CA1486=1,CB1486,IF(LEFT(Cockpit!$I$5,1)="B",AR1486,MAX(AR1486,H1486))))</f>
        <v>2</v>
      </c>
      <c r="AO1486" s="57" t="n">
        <f aca="false">IF(BT1486=1,0,ROUNDUP(AN1486/BS1486,0))</f>
        <v>1</v>
      </c>
      <c r="AP1486" s="59" t="n">
        <f aca="false">IF(CH1486&gt;0,CH1486*MAX(1,AN1486/X1486),IF(BT1486=1,IF(AN1486&lt;=0,0,BW1486*MAX(1,IF(H1486&gt;0,AN1486/H1486,1))),IF(R1486&gt;0,AO1486/R1486,0))/MAX(0.1,N(Parameter!$M$21)))</f>
        <v>0.00505050505050505</v>
      </c>
      <c r="AQ1486" s="57" t="n">
        <f aca="false">AN1486*G1486</f>
        <v>156.2</v>
      </c>
      <c r="AR1486" s="57" t="n">
        <f aca="false">ROUNDUP(MAX(J1486/IF(BZ1486&gt;0,BZ1486,MAX(0.1,N(Cockpit!$I$6))),CC1486)/BS1486,0)*BS1486</f>
        <v>2</v>
      </c>
      <c r="AS1486" s="58" t="n">
        <f aca="false">IF(AP1486&gt;0,J1486/AP1486,-1)</f>
        <v>0</v>
      </c>
      <c r="AT1486" s="58" t="n">
        <f aca="false">IF(AND(OR(BY1486="L1",BY1486="L23"),AP1486&gt;0),SUMIFS($AP$7:$AP$1843,$BY$7:$BY$1843,BY1486,$AS$7:$AS$1843,"&gt;"&amp;AS1486)+SUMIFS($AP$7:$AP$1843,$BY$7:$BY$1843,BY1486,$AS$7:$AS$1843,AS1486,$BQ$7:$BQ$1843,"&lt;="&amp;BQ1486),"")</f>
        <v>126.176843687713</v>
      </c>
      <c r="AU1486" s="65" t="n">
        <f aca="false">IF(AT1486="",0,MAX(0,MIN(1,(IF(BY1486="L1",Parameter!$E$5,Parameter!$E$6+Parameter!$E$7)-(AT1486-AP1486))/AP1486)))</f>
        <v>0</v>
      </c>
      <c r="AV1486" s="57" t="n">
        <f aca="false">IF(LEFT(Cockpit!$O$5,1)="A",H1486,IF(CA1486=1,CB1486,IF(LEFT(Cockpit!$O$5,1)="B",AZ1486,MAX(AZ1486,H1486))))</f>
        <v>2</v>
      </c>
      <c r="AW1486" s="57" t="n">
        <f aca="false">IF(BT1486=1,0,ROUNDUP(AV1486/BS1486,0))</f>
        <v>1</v>
      </c>
      <c r="AX1486" s="59" t="n">
        <f aca="false">IF(CH1486&gt;0,CH1486*MAX(1,AV1486/X1486),IF(BT1486=1,IF(AV1486&lt;=0,0,BW1486*MAX(1,IF(H1486&gt;0,AV1486/H1486,1))),IF(R1486&gt;0,AW1486/R1486,0))/MAX(0.1,N(Parameter!$M$21)))</f>
        <v>0.00505050505050505</v>
      </c>
      <c r="AY1486" s="57" t="n">
        <f aca="false">AV1486*G1486</f>
        <v>156.2</v>
      </c>
      <c r="AZ1486" s="57" t="n">
        <f aca="false">ROUNDUP(MAX(J1486/IF(BZ1486&gt;0,BZ1486,MAX(0.1,N(Cockpit!$O$6))),CC1486)/BS1486,0)*BS1486</f>
        <v>2</v>
      </c>
      <c r="BA1486" s="58" t="n">
        <f aca="false">IF(AX1486&gt;0,J1486/AX1486,-1)</f>
        <v>0</v>
      </c>
      <c r="BB1486" s="58" t="n">
        <f aca="false">IF(AND(OR(BY1486="L1",BY1486="L23"),AX1486&gt;0),SUMIFS($AX$7:$AX$1843,$BY$7:$BY$1843,BY1486,$BA$7:$BA$1843,"&gt;"&amp;BA1486)+SUMIFS($AX$7:$AX$1843,$BY$7:$BY$1843,BY1486,$BA$7:$BA$1843,BA1486,$BQ$7:$BQ$1843,"&lt;="&amp;BQ1486),"")</f>
        <v>117.00668051755</v>
      </c>
      <c r="BC1486" s="65" t="n">
        <f aca="false">IF(BB1486="",0,MAX(0,MIN(1,(IF(BY1486="L1",Parameter!$E$5,Parameter!$E$6+Parameter!$E$7)-(BB1486-AX1486))/AX1486)))</f>
        <v>0</v>
      </c>
      <c r="BD1486" s="55" t="str">
        <f aca="false">IF(AH1486&lt;=0,"",IF(BY1486="Aussen","Aussenlager",IF(BY1486="-","Nicht im Lift",IF(AM1486&gt;=1,"Lift",IF(AM1486&lt;=0,"Aussenlager","teilweise")))))</f>
        <v>Lift</v>
      </c>
      <c r="BE1486" s="55" t="str">
        <f aca="false">IF(AP1486&lt;=0,"",IF(BY1486="Aussen","Aussenlager",IF(BY1486="-","Nicht im Lift",IF(AU1486&gt;=1,"Lift",IF(AU1486&lt;=0,"Aussenlager","teilweise")))))</f>
        <v>Aussenlager</v>
      </c>
      <c r="BF1486" s="55" t="str">
        <f aca="false">IF(AX1486&lt;=0,"",IF(BY1486="Aussen","Aussenlager",IF(BY1486="-","Nicht im Lift",IF(BC1486&gt;=1,"Lift",IF(BC1486&lt;=0,"Aussenlager","teilweise")))))</f>
        <v>Aussenlager</v>
      </c>
      <c r="BG1486" s="55" t="str">
        <f aca="false">IF(A1486="","",IF(BP1486=1,"Neu; ","")&amp;IF(AND(BP1486=0,BK1486&lt;0),"negativer Bestand (Export "&amp;BK1486&amp;"); ","")&amp;IF(J1486&lt;=0,"Kein Verbrauch; ","")&amp;IF(CH1486&gt;0,"Lift "&amp;W1486&amp;" lt. Liftbericht (Fach "&amp;X1486&amp;" Stk); ",IF(BU1486=1,"Gebinde geschätzt ("&amp;T1486&amp;"); ",IF(BT1486=1,"Lose – Tablare geschätzt; ","")))&amp;IF(H1486&gt;AR1486,"Überbestand "&amp;ROUND(H1486-AR1486,0)&amp;" Stk / CHF "&amp;ROUND((H1486-AR1486)*G1486,0)&amp;"; ","")&amp;IF(AND(CA1486=1,CB1486&lt;CC1486),"MAX &lt; MB+LG; ","")&amp;IF(AND(CG1486&gt;0,CF1486*10&gt;CG1486),"zu hoch für Tablar; ","")&amp;IF(AND(BP1486=0,OR(CA1486=1,AA1486&lt;&gt;"",U1486&lt;&gt;"",V1486&lt;&gt;"",AB1486&lt;&gt;"")),"manuell übersteuert; ","")&amp;IF(AND(BT1486=0,R1486=0),"Gebinde unbekannt / Stellmass fehlt; ","")&amp;IF(AND(BT1486=0,N(V1486)&lt;=0,N(Q1486)&lt;=0),"Menge pro Gebinde fehlt (Ist = 1 Gebinde); ","")&amp;BO1486)</f>
        <v>Kein Verbrauch; nur im Artikelstamm (Bestand 23.06.2026)</v>
      </c>
      <c r="BH1486" s="55"/>
      <c r="BI1486" s="55"/>
      <c r="BJ1486" s="62"/>
      <c r="BK1486" s="57" t="n">
        <v>2</v>
      </c>
      <c r="BL1486" s="57" t="n">
        <v>0</v>
      </c>
      <c r="BM1486" s="56" t="n">
        <v>0</v>
      </c>
      <c r="BN1486" s="57" t="n">
        <v>0</v>
      </c>
      <c r="BO1486" s="55" t="s">
        <v>2575</v>
      </c>
      <c r="BP1486" s="60" t="n">
        <v>0</v>
      </c>
      <c r="BQ1486" s="60" t="n">
        <v>1486</v>
      </c>
      <c r="BR1486" s="55" t="str">
        <f aca="false">IF(U1486&lt;&gt;"",UPPER(TRIM(U1486)),IF(BU1486=1,UPPER(VLOOKUP(T1486,Parameter!$I$27:$K$29,2,0)),IF(P1486="","LOSE",P1486)))</f>
        <v>S22</v>
      </c>
      <c r="BS1486" s="57" t="n">
        <f aca="false">IF(BR1486="LOSE",1,IF(N(V1486)&gt;0,V1486,IF(BU1486=1,MAX(1,N(VLOOKUP(T1486,Parameter!$I$27:$K$29,3,0)),H1486,N(N1486)),IF(N(Q1486)&gt;0,Q1486,MAX(1,H1486)))))</f>
        <v>2</v>
      </c>
      <c r="BT1486" s="60" t="n">
        <f aca="false">IF(BR1486="LOSE",1,0)</f>
        <v>0</v>
      </c>
      <c r="BU1486" s="60" t="n">
        <f aca="false">IF(AND(U1486="",OR(P1486="",P1486="LOSE"),T1486&lt;&gt;"",N(S1486)&lt;=0,ISNUMBER(MATCH(T1486,Parameter!$I$27:$I$29,0))),1,0)</f>
        <v>0</v>
      </c>
      <c r="BV1486" s="55" t="str">
        <f aca="false">IF(AND(Parameter!$B$19="Ja",E1486&lt;&gt;"",ISNUMBER(MATCH(E1486,Parameter!$I$35:$I$52,0))),VLOOKUP(E1486,Parameter!$I$35:$J$52,2,0),IFERROR(VLOOKUP(D1486,Parameter!$A$35:$C$64,2,0),"Nein"))</f>
        <v>2+3</v>
      </c>
      <c r="BW1486" s="59" t="n">
        <f aca="false">IF(BT1486=0,0,IF(N(S1486)&gt;0,S1486,IFERROR(VLOOKUP(D1486,Parameter!$A$35:$C$64,3,0)+0,0)))</f>
        <v>0</v>
      </c>
      <c r="BX1486" s="55" t="n">
        <f aca="false">IF(AA1486&lt;&gt;"",AA1486,Z1486)</f>
        <v>3</v>
      </c>
      <c r="BY1486" s="55" t="str">
        <f aca="false">IF(BX1486=1,"L1",IF(OR(BX1486=2,BX1486=3),"L23",IF(BX1486="Aussen","Aussen","-")))</f>
        <v>L23</v>
      </c>
      <c r="BZ1486" s="66" t="n">
        <f aca="false">IF(N(AB1486)&gt;0,AB1486,0)</f>
        <v>0</v>
      </c>
      <c r="CA1486" s="60" t="n">
        <f aca="false">IF(ISNUMBER(AE1486),1,0)</f>
        <v>0</v>
      </c>
      <c r="CB1486" s="57" t="n">
        <f aca="false">N(AE1486)</f>
        <v>0</v>
      </c>
      <c r="CC1486" s="57" t="n">
        <f aca="false">N(M1486)+N(N1486)</f>
        <v>1</v>
      </c>
      <c r="CD1486" s="57" t="n">
        <f aca="false">ROUNDUP(H1486/BS1486,0)</f>
        <v>1</v>
      </c>
      <c r="CE1486" s="57" t="n">
        <f aca="false">ROUNDUP(CB1486/BS1486,0)</f>
        <v>0</v>
      </c>
      <c r="CF1486" s="60" t="n">
        <f aca="false">IF(BT1486=1,0,IFERROR(VLOOKUP(BR1486,'Gebinde-Kategorie'!$A$5:$M$45,5,0)+0,0))</f>
        <v>8</v>
      </c>
      <c r="CG1486" s="60" t="n">
        <f aca="false">IFERROR(IF(OR(BX1486=1,BX1486=2,BX1486=3),N(INDEX(Parameter!$I$5:$I$7,BX1486)),0),0)</f>
        <v>0</v>
      </c>
      <c r="CH1486" s="59" t="n">
        <f aca="false">IF(AND(Parameter!$B$21="Ja",ISNUMBER(W1486),N(X1486)&gt;0),IFERROR(N(INDEX(Parameter!$L$5:$L$7,W1486))*INDEX(Parameter!$E$5:$E$7,W1486)*X1486/SUMIFS($X$7:$X$1843,$W$7:$W$1843,W1486),0),0)</f>
        <v>0</v>
      </c>
    </row>
    <row r="1487" customFormat="false" ht="15" hidden="false" customHeight="false" outlineLevel="0" collapsed="false">
      <c r="A1487" s="55" t="s">
        <v>2600</v>
      </c>
      <c r="B1487" s="55" t="s">
        <v>1733</v>
      </c>
      <c r="C1487" s="55" t="s">
        <v>164</v>
      </c>
      <c r="D1487" s="55" t="s">
        <v>184</v>
      </c>
      <c r="E1487" s="55" t="s">
        <v>185</v>
      </c>
      <c r="F1487" s="55"/>
      <c r="G1487" s="56" t="n">
        <v>16.36</v>
      </c>
      <c r="H1487" s="57" t="n">
        <f aca="false">MAX(0,IF(AND(Parameter!$B$21="Ja",ISNUMBER(Y1487)),Y1487,IF(Parameter!$B$20="Jahresanfang 2025 + Export",BL1487+BK1487,BK1487)))</f>
        <v>7</v>
      </c>
      <c r="I1487" s="57" t="n">
        <f aca="false">H1487*G1487</f>
        <v>114.52</v>
      </c>
      <c r="J1487" s="57" t="n">
        <f aca="false">BN1487*Parameter!$B$18</f>
        <v>0</v>
      </c>
      <c r="K1487" s="58"/>
      <c r="L1487" s="59"/>
      <c r="M1487" s="57" t="n">
        <v>0</v>
      </c>
      <c r="N1487" s="57" t="n">
        <v>5</v>
      </c>
      <c r="O1487" s="60" t="n">
        <v>28</v>
      </c>
      <c r="P1487" s="55" t="s">
        <v>421</v>
      </c>
      <c r="Q1487" s="57" t="n">
        <v>7</v>
      </c>
      <c r="R1487" s="60" t="n">
        <f aca="false">IF(BT1487=1,0,IFERROR(VLOOKUP(BR1487,'Gebinde-Kategorie'!$A$5:$M$45,13,0)+0,0))</f>
        <v>132</v>
      </c>
      <c r="S1487" s="61"/>
      <c r="T1487" s="62"/>
      <c r="U1487" s="62"/>
      <c r="V1487" s="62"/>
      <c r="W1487" s="55"/>
      <c r="X1487" s="57"/>
      <c r="Y1487" s="57"/>
      <c r="Z1487" s="55" t="n">
        <f aca="false">IF(A1487="","",IF(AND(Parameter!$B$21="Ja",ISNUMBER(W1487)),W1487,IF(BV1487="2+3",IF(ISNUMBER(SEARCH("grosser Artikel",BO1487)),2,IFERROR(VLOOKUP(BR1487,Parameter!$F$35:$G$64,2,0),2)),IF(OR(BV1487="Nein",BV1487=""),"-",BV1487))))</f>
        <v>3</v>
      </c>
      <c r="AA1487" s="62"/>
      <c r="AB1487" s="63"/>
      <c r="AC1487" s="57" t="n">
        <f aca="false">AR1487</f>
        <v>7</v>
      </c>
      <c r="AD1487" s="57" t="n">
        <f aca="false">MAX(AR1487,H1487)</f>
        <v>7</v>
      </c>
      <c r="AE1487" s="64"/>
      <c r="AF1487" s="57" t="n">
        <f aca="false">IF(LEFT(Cockpit!$C$5,1)="A",H1487,IF(CA1487=1,CB1487,IF(LEFT(Cockpit!$C$5,1)="B",AJ1487,MAX(AJ1487,H1487))))</f>
        <v>7</v>
      </c>
      <c r="AG1487" s="57" t="n">
        <f aca="false">IF(BT1487=1,0,ROUNDUP(AF1487/BS1487,0))</f>
        <v>1</v>
      </c>
      <c r="AH1487" s="59" t="n">
        <f aca="false">IF(CH1487&gt;0,CH1487*MAX(1,AF1487/X1487),IF(BT1487=1,IF(AF1487&lt;=0,0,BW1487*MAX(1,IF(H1487&gt;0,AF1487/H1487,1))),IF(R1487&gt;0,AG1487/R1487,0))/MAX(0.1,N(Parameter!$M$21)))</f>
        <v>0.00757575757575758</v>
      </c>
      <c r="AI1487" s="57" t="n">
        <f aca="false">AF1487*G1487</f>
        <v>114.52</v>
      </c>
      <c r="AJ1487" s="57" t="n">
        <f aca="false">ROUNDUP(MAX(J1487/IF(BZ1487&gt;0,BZ1487,MAX(0.1,N(Cockpit!$C$6))),CC1487)/BS1487,0)*BS1487</f>
        <v>7</v>
      </c>
      <c r="AK1487" s="58" t="n">
        <f aca="false">IF(AH1487&gt;0,J1487/AH1487,-1)</f>
        <v>0</v>
      </c>
      <c r="AL1487" s="58" t="n">
        <f aca="false">IF(AND(OR(BY1487="L1",BY1487="L23"),AH1487&gt;0),SUMIFS($AH$7:$AH$1843,$BY$7:$BY$1843,BY1487,$AK$7:$AK$1843,"&gt;"&amp;AK1487)+SUMIFS($AH$7:$AH$1843,$BY$7:$BY$1843,BY1487,$AK$7:$AK$1843,AK1487,$BQ$7:$BQ$1843,"&lt;="&amp;BQ1487),"")</f>
        <v>81.2719756089321</v>
      </c>
      <c r="AM1487" s="65" t="n">
        <f aca="false">IF(AL1487="",0,MAX(0,MIN(1,(IF(BY1487="L1",Parameter!$E$5,Parameter!$E$6+Parameter!$E$7)-(AL1487-AH1487))/AH1487)))</f>
        <v>1</v>
      </c>
      <c r="AN1487" s="57" t="n">
        <f aca="false">IF(LEFT(Cockpit!$I$5,1)="A",H1487,IF(CA1487=1,CB1487,IF(LEFT(Cockpit!$I$5,1)="B",AR1487,MAX(AR1487,H1487))))</f>
        <v>7</v>
      </c>
      <c r="AO1487" s="57" t="n">
        <f aca="false">IF(BT1487=1,0,ROUNDUP(AN1487/BS1487,0))</f>
        <v>1</v>
      </c>
      <c r="AP1487" s="59" t="n">
        <f aca="false">IF(CH1487&gt;0,CH1487*MAX(1,AN1487/X1487),IF(BT1487=1,IF(AN1487&lt;=0,0,BW1487*MAX(1,IF(H1487&gt;0,AN1487/H1487,1))),IF(R1487&gt;0,AO1487/R1487,0))/MAX(0.1,N(Parameter!$M$21)))</f>
        <v>0.00757575757575758</v>
      </c>
      <c r="AQ1487" s="57" t="n">
        <f aca="false">AN1487*G1487</f>
        <v>114.52</v>
      </c>
      <c r="AR1487" s="57" t="n">
        <f aca="false">ROUNDUP(MAX(J1487/IF(BZ1487&gt;0,BZ1487,MAX(0.1,N(Cockpit!$I$6))),CC1487)/BS1487,0)*BS1487</f>
        <v>7</v>
      </c>
      <c r="AS1487" s="58" t="n">
        <f aca="false">IF(AP1487&gt;0,J1487/AP1487,-1)</f>
        <v>0</v>
      </c>
      <c r="AT1487" s="58" t="n">
        <f aca="false">IF(AND(OR(BY1487="L1",BY1487="L23"),AP1487&gt;0),SUMIFS($AP$7:$AP$1843,$BY$7:$BY$1843,BY1487,$AS$7:$AS$1843,"&gt;"&amp;AS1487)+SUMIFS($AP$7:$AP$1843,$BY$7:$BY$1843,BY1487,$AS$7:$AS$1843,AS1487,$BQ$7:$BQ$1843,"&lt;="&amp;BQ1487),"")</f>
        <v>126.184419445289</v>
      </c>
      <c r="AU1487" s="65" t="n">
        <f aca="false">IF(AT1487="",0,MAX(0,MIN(1,(IF(BY1487="L1",Parameter!$E$5,Parameter!$E$6+Parameter!$E$7)-(AT1487-AP1487))/AP1487)))</f>
        <v>0</v>
      </c>
      <c r="AV1487" s="57" t="n">
        <f aca="false">IF(LEFT(Cockpit!$O$5,1)="A",H1487,IF(CA1487=1,CB1487,IF(LEFT(Cockpit!$O$5,1)="B",AZ1487,MAX(AZ1487,H1487))))</f>
        <v>7</v>
      </c>
      <c r="AW1487" s="57" t="n">
        <f aca="false">IF(BT1487=1,0,ROUNDUP(AV1487/BS1487,0))</f>
        <v>1</v>
      </c>
      <c r="AX1487" s="59" t="n">
        <f aca="false">IF(CH1487&gt;0,CH1487*MAX(1,AV1487/X1487),IF(BT1487=1,IF(AV1487&lt;=0,0,BW1487*MAX(1,IF(H1487&gt;0,AV1487/H1487,1))),IF(R1487&gt;0,AW1487/R1487,0))/MAX(0.1,N(Parameter!$M$21)))</f>
        <v>0.00757575757575758</v>
      </c>
      <c r="AY1487" s="57" t="n">
        <f aca="false">AV1487*G1487</f>
        <v>114.52</v>
      </c>
      <c r="AZ1487" s="57" t="n">
        <f aca="false">ROUNDUP(MAX(J1487/IF(BZ1487&gt;0,BZ1487,MAX(0.1,N(Cockpit!$O$6))),CC1487)/BS1487,0)*BS1487</f>
        <v>7</v>
      </c>
      <c r="BA1487" s="58" t="n">
        <f aca="false">IF(AX1487&gt;0,J1487/AX1487,-1)</f>
        <v>0</v>
      </c>
      <c r="BB1487" s="58" t="n">
        <f aca="false">IF(AND(OR(BY1487="L1",BY1487="L23"),AX1487&gt;0),SUMIFS($AX$7:$AX$1843,$BY$7:$BY$1843,BY1487,$BA$7:$BA$1843,"&gt;"&amp;BA1487)+SUMIFS($AX$7:$AX$1843,$BY$7:$BY$1843,BY1487,$BA$7:$BA$1843,BA1487,$BQ$7:$BQ$1843,"&lt;="&amp;BQ1487),"")</f>
        <v>117.014256275126</v>
      </c>
      <c r="BC1487" s="65" t="n">
        <f aca="false">IF(BB1487="",0,MAX(0,MIN(1,(IF(BY1487="L1",Parameter!$E$5,Parameter!$E$6+Parameter!$E$7)-(BB1487-AX1487))/AX1487)))</f>
        <v>0</v>
      </c>
      <c r="BD1487" s="55" t="str">
        <f aca="false">IF(AH1487&lt;=0,"",IF(BY1487="Aussen","Aussenlager",IF(BY1487="-","Nicht im Lift",IF(AM1487&gt;=1,"Lift",IF(AM1487&lt;=0,"Aussenlager","teilweise")))))</f>
        <v>Lift</v>
      </c>
      <c r="BE1487" s="55" t="str">
        <f aca="false">IF(AP1487&lt;=0,"",IF(BY1487="Aussen","Aussenlager",IF(BY1487="-","Nicht im Lift",IF(AU1487&gt;=1,"Lift",IF(AU1487&lt;=0,"Aussenlager","teilweise")))))</f>
        <v>Aussenlager</v>
      </c>
      <c r="BF1487" s="55" t="str">
        <f aca="false">IF(AX1487&lt;=0,"",IF(BY1487="Aussen","Aussenlager",IF(BY1487="-","Nicht im Lift",IF(BC1487&gt;=1,"Lift",IF(BC1487&lt;=0,"Aussenlager","teilweise")))))</f>
        <v>Aussenlager</v>
      </c>
      <c r="BG1487" s="55" t="str">
        <f aca="false">IF(A1487="","",IF(BP1487=1,"Neu; ","")&amp;IF(AND(BP1487=0,BK1487&lt;0),"negativer Bestand (Export "&amp;BK1487&amp;"); ","")&amp;IF(J1487&lt;=0,"Kein Verbrauch; ","")&amp;IF(CH1487&gt;0,"Lift "&amp;W1487&amp;" lt. Liftbericht (Fach "&amp;X1487&amp;" Stk); ",IF(BU1487=1,"Gebinde geschätzt ("&amp;T1487&amp;"); ",IF(BT1487=1,"Lose – Tablare geschätzt; ","")))&amp;IF(H1487&gt;AR1487,"Überbestand "&amp;ROUND(H1487-AR1487,0)&amp;" Stk / CHF "&amp;ROUND((H1487-AR1487)*G1487,0)&amp;"; ","")&amp;IF(AND(CA1487=1,CB1487&lt;CC1487),"MAX &lt; MB+LG; ","")&amp;IF(AND(CG1487&gt;0,CF1487*10&gt;CG1487),"zu hoch für Tablar; ","")&amp;IF(AND(BP1487=0,OR(CA1487=1,AA1487&lt;&gt;"",U1487&lt;&gt;"",V1487&lt;&gt;"",AB1487&lt;&gt;"")),"manuell übersteuert; ","")&amp;IF(AND(BT1487=0,R1487=0),"Gebinde unbekannt / Stellmass fehlt; ","")&amp;IF(AND(BT1487=0,N(V1487)&lt;=0,N(Q1487)&lt;=0),"Menge pro Gebinde fehlt (Ist = 1 Gebinde); ","")&amp;BO1487)</f>
        <v>Kein Verbrauch; nur im Artikelstamm (Bestand 23.06.2026); Verb.Lager</v>
      </c>
      <c r="BH1487" s="55"/>
      <c r="BI1487" s="55"/>
      <c r="BJ1487" s="62"/>
      <c r="BK1487" s="57" t="n">
        <v>7</v>
      </c>
      <c r="BL1487" s="57" t="n">
        <v>0</v>
      </c>
      <c r="BM1487" s="56" t="n">
        <v>0</v>
      </c>
      <c r="BN1487" s="57" t="n">
        <v>0</v>
      </c>
      <c r="BO1487" s="55" t="s">
        <v>2569</v>
      </c>
      <c r="BP1487" s="60" t="n">
        <v>0</v>
      </c>
      <c r="BQ1487" s="60" t="n">
        <v>1487</v>
      </c>
      <c r="BR1487" s="55" t="str">
        <f aca="false">IF(U1487&lt;&gt;"",UPPER(TRIM(U1487)),IF(BU1487=1,UPPER(VLOOKUP(T1487,Parameter!$I$27:$K$29,2,0)),IF(P1487="","LOSE",P1487)))</f>
        <v>S32</v>
      </c>
      <c r="BS1487" s="57" t="n">
        <f aca="false">IF(BR1487="LOSE",1,IF(N(V1487)&gt;0,V1487,IF(BU1487=1,MAX(1,N(VLOOKUP(T1487,Parameter!$I$27:$K$29,3,0)),H1487,N(N1487)),IF(N(Q1487)&gt;0,Q1487,MAX(1,H1487)))))</f>
        <v>7</v>
      </c>
      <c r="BT1487" s="60" t="n">
        <f aca="false">IF(BR1487="LOSE",1,0)</f>
        <v>0</v>
      </c>
      <c r="BU1487" s="60" t="n">
        <f aca="false">IF(AND(U1487="",OR(P1487="",P1487="LOSE"),T1487&lt;&gt;"",N(S1487)&lt;=0,ISNUMBER(MATCH(T1487,Parameter!$I$27:$I$29,0))),1,0)</f>
        <v>0</v>
      </c>
      <c r="BV1487" s="55" t="str">
        <f aca="false">IF(AND(Parameter!$B$19="Ja",E1487&lt;&gt;"",ISNUMBER(MATCH(E1487,Parameter!$I$35:$I$52,0))),VLOOKUP(E1487,Parameter!$I$35:$J$52,2,0),IFERROR(VLOOKUP(D1487,Parameter!$A$35:$C$64,2,0),"Nein"))</f>
        <v>2+3</v>
      </c>
      <c r="BW1487" s="59" t="n">
        <f aca="false">IF(BT1487=0,0,IF(N(S1487)&gt;0,S1487,IFERROR(VLOOKUP(D1487,Parameter!$A$35:$C$64,3,0)+0,0)))</f>
        <v>0</v>
      </c>
      <c r="BX1487" s="55" t="n">
        <f aca="false">IF(AA1487&lt;&gt;"",AA1487,Z1487)</f>
        <v>3</v>
      </c>
      <c r="BY1487" s="55" t="str">
        <f aca="false">IF(BX1487=1,"L1",IF(OR(BX1487=2,BX1487=3),"L23",IF(BX1487="Aussen","Aussen","-")))</f>
        <v>L23</v>
      </c>
      <c r="BZ1487" s="66" t="n">
        <f aca="false">IF(N(AB1487)&gt;0,AB1487,0)</f>
        <v>0</v>
      </c>
      <c r="CA1487" s="60" t="n">
        <f aca="false">IF(ISNUMBER(AE1487),1,0)</f>
        <v>0</v>
      </c>
      <c r="CB1487" s="57" t="n">
        <f aca="false">N(AE1487)</f>
        <v>0</v>
      </c>
      <c r="CC1487" s="57" t="n">
        <f aca="false">N(M1487)+N(N1487)</f>
        <v>5</v>
      </c>
      <c r="CD1487" s="57" t="n">
        <f aca="false">ROUNDUP(H1487/BS1487,0)</f>
        <v>1</v>
      </c>
      <c r="CE1487" s="57" t="n">
        <f aca="false">ROUNDUP(CB1487/BS1487,0)</f>
        <v>0</v>
      </c>
      <c r="CF1487" s="60" t="n">
        <f aca="false">IF(BT1487=1,0,IFERROR(VLOOKUP(BR1487,'Gebinde-Kategorie'!$A$5:$M$45,5,0)+0,0))</f>
        <v>8</v>
      </c>
      <c r="CG1487" s="60" t="n">
        <f aca="false">IFERROR(IF(OR(BX1487=1,BX1487=2,BX1487=3),N(INDEX(Parameter!$I$5:$I$7,BX1487)),0),0)</f>
        <v>0</v>
      </c>
      <c r="CH1487" s="59" t="n">
        <f aca="false">IF(AND(Parameter!$B$21="Ja",ISNUMBER(W1487),N(X1487)&gt;0),IFERROR(N(INDEX(Parameter!$L$5:$L$7,W1487))*INDEX(Parameter!$E$5:$E$7,W1487)*X1487/SUMIFS($X$7:$X$1843,$W$7:$W$1843,W1487),0),0)</f>
        <v>0</v>
      </c>
    </row>
    <row r="1488" customFormat="false" ht="15" hidden="false" customHeight="false" outlineLevel="0" collapsed="false">
      <c r="A1488" s="55" t="s">
        <v>2601</v>
      </c>
      <c r="B1488" s="55" t="s">
        <v>405</v>
      </c>
      <c r="C1488" s="55" t="s">
        <v>164</v>
      </c>
      <c r="D1488" s="55" t="s">
        <v>184</v>
      </c>
      <c r="E1488" s="55" t="s">
        <v>185</v>
      </c>
      <c r="F1488" s="55"/>
      <c r="G1488" s="56" t="n">
        <v>2.8</v>
      </c>
      <c r="H1488" s="57" t="n">
        <f aca="false">MAX(0,IF(AND(Parameter!$B$21="Ja",ISNUMBER(Y1488)),Y1488,IF(Parameter!$B$20="Jahresanfang 2025 + Export",BL1488+BK1488,BK1488)))</f>
        <v>102</v>
      </c>
      <c r="I1488" s="57" t="n">
        <f aca="false">H1488*G1488</f>
        <v>285.6</v>
      </c>
      <c r="J1488" s="57" t="n">
        <f aca="false">BN1488*Parameter!$B$18</f>
        <v>0</v>
      </c>
      <c r="K1488" s="58"/>
      <c r="L1488" s="59"/>
      <c r="M1488" s="57" t="n">
        <v>0</v>
      </c>
      <c r="N1488" s="57" t="n">
        <v>100</v>
      </c>
      <c r="O1488" s="60" t="n">
        <v>21</v>
      </c>
      <c r="P1488" s="55" t="s">
        <v>302</v>
      </c>
      <c r="Q1488" s="57" t="n">
        <v>102</v>
      </c>
      <c r="R1488" s="60" t="n">
        <f aca="false">IF(BT1488=1,0,IFERROR(VLOOKUP(BR1488,'Gebinde-Kategorie'!$A$5:$M$45,13,0)+0,0))</f>
        <v>26</v>
      </c>
      <c r="S1488" s="61"/>
      <c r="T1488" s="62"/>
      <c r="U1488" s="62"/>
      <c r="V1488" s="62"/>
      <c r="W1488" s="55"/>
      <c r="X1488" s="57"/>
      <c r="Y1488" s="57"/>
      <c r="Z1488" s="55" t="n">
        <f aca="false">IF(A1488="","",IF(AND(Parameter!$B$21="Ja",ISNUMBER(W1488)),W1488,IF(BV1488="2+3",IF(ISNUMBER(SEARCH("grosser Artikel",BO1488)),2,IFERROR(VLOOKUP(BR1488,Parameter!$F$35:$G$64,2,0),2)),IF(OR(BV1488="Nein",BV1488=""),"-",BV1488))))</f>
        <v>3</v>
      </c>
      <c r="AA1488" s="62"/>
      <c r="AB1488" s="63"/>
      <c r="AC1488" s="57" t="n">
        <f aca="false">AR1488</f>
        <v>102</v>
      </c>
      <c r="AD1488" s="57" t="n">
        <f aca="false">MAX(AR1488,H1488)</f>
        <v>102</v>
      </c>
      <c r="AE1488" s="64"/>
      <c r="AF1488" s="57" t="n">
        <f aca="false">IF(LEFT(Cockpit!$C$5,1)="A",H1488,IF(CA1488=1,CB1488,IF(LEFT(Cockpit!$C$5,1)="B",AJ1488,MAX(AJ1488,H1488))))</f>
        <v>102</v>
      </c>
      <c r="AG1488" s="57" t="n">
        <f aca="false">IF(BT1488=1,0,ROUNDUP(AF1488/BS1488,0))</f>
        <v>1</v>
      </c>
      <c r="AH1488" s="59" t="n">
        <f aca="false">IF(CH1488&gt;0,CH1488*MAX(1,AF1488/X1488),IF(BT1488=1,IF(AF1488&lt;=0,0,BW1488*MAX(1,IF(H1488&gt;0,AF1488/H1488,1))),IF(R1488&gt;0,AG1488/R1488,0))/MAX(0.1,N(Parameter!$M$21)))</f>
        <v>0.0384615384615385</v>
      </c>
      <c r="AI1488" s="57" t="n">
        <f aca="false">AF1488*G1488</f>
        <v>285.6</v>
      </c>
      <c r="AJ1488" s="57" t="n">
        <f aca="false">ROUNDUP(MAX(J1488/IF(BZ1488&gt;0,BZ1488,MAX(0.1,N(Cockpit!$C$6))),CC1488)/BS1488,0)*BS1488</f>
        <v>102</v>
      </c>
      <c r="AK1488" s="58" t="n">
        <f aca="false">IF(AH1488&gt;0,J1488/AH1488,-1)</f>
        <v>0</v>
      </c>
      <c r="AL1488" s="58" t="n">
        <f aca="false">IF(AND(OR(BY1488="L1",BY1488="L23"),AH1488&gt;0),SUMIFS($AH$7:$AH$1843,$BY$7:$BY$1843,BY1488,$AK$7:$AK$1843,"&gt;"&amp;AK1488)+SUMIFS($AH$7:$AH$1843,$BY$7:$BY$1843,BY1488,$AK$7:$AK$1843,AK1488,$BQ$7:$BQ$1843,"&lt;="&amp;BQ1488),"")</f>
        <v>81.3104371473937</v>
      </c>
      <c r="AM1488" s="65" t="n">
        <f aca="false">IF(AL1488="",0,MAX(0,MIN(1,(IF(BY1488="L1",Parameter!$E$5,Parameter!$E$6+Parameter!$E$7)-(AL1488-AH1488))/AH1488)))</f>
        <v>1</v>
      </c>
      <c r="AN1488" s="57" t="n">
        <f aca="false">IF(LEFT(Cockpit!$I$5,1)="A",H1488,IF(CA1488=1,CB1488,IF(LEFT(Cockpit!$I$5,1)="B",AR1488,MAX(AR1488,H1488))))</f>
        <v>102</v>
      </c>
      <c r="AO1488" s="57" t="n">
        <f aca="false">IF(BT1488=1,0,ROUNDUP(AN1488/BS1488,0))</f>
        <v>1</v>
      </c>
      <c r="AP1488" s="59" t="n">
        <f aca="false">IF(CH1488&gt;0,CH1488*MAX(1,AN1488/X1488),IF(BT1488=1,IF(AN1488&lt;=0,0,BW1488*MAX(1,IF(H1488&gt;0,AN1488/H1488,1))),IF(R1488&gt;0,AO1488/R1488,0))/MAX(0.1,N(Parameter!$M$21)))</f>
        <v>0.0384615384615385</v>
      </c>
      <c r="AQ1488" s="57" t="n">
        <f aca="false">AN1488*G1488</f>
        <v>285.6</v>
      </c>
      <c r="AR1488" s="57" t="n">
        <f aca="false">ROUNDUP(MAX(J1488/IF(BZ1488&gt;0,BZ1488,MAX(0.1,N(Cockpit!$I$6))),CC1488)/BS1488,0)*BS1488</f>
        <v>102</v>
      </c>
      <c r="AS1488" s="58" t="n">
        <f aca="false">IF(AP1488&gt;0,J1488/AP1488,-1)</f>
        <v>0</v>
      </c>
      <c r="AT1488" s="58" t="n">
        <f aca="false">IF(AND(OR(BY1488="L1",BY1488="L23"),AP1488&gt;0),SUMIFS($AP$7:$AP$1843,$BY$7:$BY$1843,BY1488,$AS$7:$AS$1843,"&gt;"&amp;AS1488)+SUMIFS($AP$7:$AP$1843,$BY$7:$BY$1843,BY1488,$AS$7:$AS$1843,AS1488,$BQ$7:$BQ$1843,"&lt;="&amp;BQ1488),"")</f>
        <v>126.222880983751</v>
      </c>
      <c r="AU1488" s="65" t="n">
        <f aca="false">IF(AT1488="",0,MAX(0,MIN(1,(IF(BY1488="L1",Parameter!$E$5,Parameter!$E$6+Parameter!$E$7)-(AT1488-AP1488))/AP1488)))</f>
        <v>0</v>
      </c>
      <c r="AV1488" s="57" t="n">
        <f aca="false">IF(LEFT(Cockpit!$O$5,1)="A",H1488,IF(CA1488=1,CB1488,IF(LEFT(Cockpit!$O$5,1)="B",AZ1488,MAX(AZ1488,H1488))))</f>
        <v>102</v>
      </c>
      <c r="AW1488" s="57" t="n">
        <f aca="false">IF(BT1488=1,0,ROUNDUP(AV1488/BS1488,0))</f>
        <v>1</v>
      </c>
      <c r="AX1488" s="59" t="n">
        <f aca="false">IF(CH1488&gt;0,CH1488*MAX(1,AV1488/X1488),IF(BT1488=1,IF(AV1488&lt;=0,0,BW1488*MAX(1,IF(H1488&gt;0,AV1488/H1488,1))),IF(R1488&gt;0,AW1488/R1488,0))/MAX(0.1,N(Parameter!$M$21)))</f>
        <v>0.0384615384615385</v>
      </c>
      <c r="AY1488" s="57" t="n">
        <f aca="false">AV1488*G1488</f>
        <v>285.6</v>
      </c>
      <c r="AZ1488" s="57" t="n">
        <f aca="false">ROUNDUP(MAX(J1488/IF(BZ1488&gt;0,BZ1488,MAX(0.1,N(Cockpit!$O$6))),CC1488)/BS1488,0)*BS1488</f>
        <v>102</v>
      </c>
      <c r="BA1488" s="58" t="n">
        <f aca="false">IF(AX1488&gt;0,J1488/AX1488,-1)</f>
        <v>0</v>
      </c>
      <c r="BB1488" s="58" t="n">
        <f aca="false">IF(AND(OR(BY1488="L1",BY1488="L23"),AX1488&gt;0),SUMIFS($AX$7:$AX$1843,$BY$7:$BY$1843,BY1488,$BA$7:$BA$1843,"&gt;"&amp;BA1488)+SUMIFS($AX$7:$AX$1843,$BY$7:$BY$1843,BY1488,$BA$7:$BA$1843,BA1488,$BQ$7:$BQ$1843,"&lt;="&amp;BQ1488),"")</f>
        <v>117.052717813587</v>
      </c>
      <c r="BC1488" s="65" t="n">
        <f aca="false">IF(BB1488="",0,MAX(0,MIN(1,(IF(BY1488="L1",Parameter!$E$5,Parameter!$E$6+Parameter!$E$7)-(BB1488-AX1488))/AX1488)))</f>
        <v>0</v>
      </c>
      <c r="BD1488" s="55" t="str">
        <f aca="false">IF(AH1488&lt;=0,"",IF(BY1488="Aussen","Aussenlager",IF(BY1488="-","Nicht im Lift",IF(AM1488&gt;=1,"Lift",IF(AM1488&lt;=0,"Aussenlager","teilweise")))))</f>
        <v>Lift</v>
      </c>
      <c r="BE1488" s="55" t="str">
        <f aca="false">IF(AP1488&lt;=0,"",IF(BY1488="Aussen","Aussenlager",IF(BY1488="-","Nicht im Lift",IF(AU1488&gt;=1,"Lift",IF(AU1488&lt;=0,"Aussenlager","teilweise")))))</f>
        <v>Aussenlager</v>
      </c>
      <c r="BF1488" s="55" t="str">
        <f aca="false">IF(AX1488&lt;=0,"",IF(BY1488="Aussen","Aussenlager",IF(BY1488="-","Nicht im Lift",IF(BC1488&gt;=1,"Lift",IF(BC1488&lt;=0,"Aussenlager","teilweise")))))</f>
        <v>Aussenlager</v>
      </c>
      <c r="BG1488" s="55" t="str">
        <f aca="false">IF(A1488="","",IF(BP1488=1,"Neu; ","")&amp;IF(AND(BP1488=0,BK1488&lt;0),"negativer Bestand (Export "&amp;BK1488&amp;"); ","")&amp;IF(J1488&lt;=0,"Kein Verbrauch; ","")&amp;IF(CH1488&gt;0,"Lift "&amp;W1488&amp;" lt. Liftbericht (Fach "&amp;X1488&amp;" Stk); ",IF(BU1488=1,"Gebinde geschätzt ("&amp;T1488&amp;"); ",IF(BT1488=1,"Lose – Tablare geschätzt; ","")))&amp;IF(H1488&gt;AR1488,"Überbestand "&amp;ROUND(H1488-AR1488,0)&amp;" Stk / CHF "&amp;ROUND((H1488-AR1488)*G1488,0)&amp;"; ","")&amp;IF(AND(CA1488=1,CB1488&lt;CC1488),"MAX &lt; MB+LG; ","")&amp;IF(AND(CG1488&gt;0,CF1488*10&gt;CG1488),"zu hoch für Tablar; ","")&amp;IF(AND(BP1488=0,OR(CA1488=1,AA1488&lt;&gt;"",U1488&lt;&gt;"",V1488&lt;&gt;"",AB1488&lt;&gt;"")),"manuell übersteuert; ","")&amp;IF(AND(BT1488=0,R1488=0),"Gebinde unbekannt / Stellmass fehlt; ","")&amp;IF(AND(BT1488=0,N(V1488)&lt;=0,N(Q1488)&lt;=0),"Menge pro Gebinde fehlt (Ist = 1 Gebinde); ","")&amp;BO1488)</f>
        <v>Kein Verbrauch; nur im Artikelstamm (Bestand 23.06.2026)</v>
      </c>
      <c r="BH1488" s="55"/>
      <c r="BI1488" s="55"/>
      <c r="BJ1488" s="62"/>
      <c r="BK1488" s="57" t="n">
        <v>102</v>
      </c>
      <c r="BL1488" s="57" t="n">
        <v>0</v>
      </c>
      <c r="BM1488" s="56" t="n">
        <v>0</v>
      </c>
      <c r="BN1488" s="57" t="n">
        <v>0</v>
      </c>
      <c r="BO1488" s="55" t="s">
        <v>2575</v>
      </c>
      <c r="BP1488" s="60" t="n">
        <v>0</v>
      </c>
      <c r="BQ1488" s="60" t="n">
        <v>1488</v>
      </c>
      <c r="BR1488" s="55" t="str">
        <f aca="false">IF(U1488&lt;&gt;"",UPPER(TRIM(U1488)),IF(BU1488=1,UPPER(VLOOKUP(T1488,Parameter!$I$27:$K$29,2,0)),IF(P1488="","LOSE",P1488)))</f>
        <v>S51</v>
      </c>
      <c r="BS1488" s="57" t="n">
        <f aca="false">IF(BR1488="LOSE",1,IF(N(V1488)&gt;0,V1488,IF(BU1488=1,MAX(1,N(VLOOKUP(T1488,Parameter!$I$27:$K$29,3,0)),H1488,N(N1488)),IF(N(Q1488)&gt;0,Q1488,MAX(1,H1488)))))</f>
        <v>102</v>
      </c>
      <c r="BT1488" s="60" t="n">
        <f aca="false">IF(BR1488="LOSE",1,0)</f>
        <v>0</v>
      </c>
      <c r="BU1488" s="60" t="n">
        <f aca="false">IF(AND(U1488="",OR(P1488="",P1488="LOSE"),T1488&lt;&gt;"",N(S1488)&lt;=0,ISNUMBER(MATCH(T1488,Parameter!$I$27:$I$29,0))),1,0)</f>
        <v>0</v>
      </c>
      <c r="BV1488" s="55" t="str">
        <f aca="false">IF(AND(Parameter!$B$19="Ja",E1488&lt;&gt;"",ISNUMBER(MATCH(E1488,Parameter!$I$35:$I$52,0))),VLOOKUP(E1488,Parameter!$I$35:$J$52,2,0),IFERROR(VLOOKUP(D1488,Parameter!$A$35:$C$64,2,0),"Nein"))</f>
        <v>2+3</v>
      </c>
      <c r="BW1488" s="59" t="n">
        <f aca="false">IF(BT1488=0,0,IF(N(S1488)&gt;0,S1488,IFERROR(VLOOKUP(D1488,Parameter!$A$35:$C$64,3,0)+0,0)))</f>
        <v>0</v>
      </c>
      <c r="BX1488" s="55" t="n">
        <f aca="false">IF(AA1488&lt;&gt;"",AA1488,Z1488)</f>
        <v>3</v>
      </c>
      <c r="BY1488" s="55" t="str">
        <f aca="false">IF(BX1488=1,"L1",IF(OR(BX1488=2,BX1488=3),"L23",IF(BX1488="Aussen","Aussen","-")))</f>
        <v>L23</v>
      </c>
      <c r="BZ1488" s="66" t="n">
        <f aca="false">IF(N(AB1488)&gt;0,AB1488,0)</f>
        <v>0</v>
      </c>
      <c r="CA1488" s="60" t="n">
        <f aca="false">IF(ISNUMBER(AE1488),1,0)</f>
        <v>0</v>
      </c>
      <c r="CB1488" s="57" t="n">
        <f aca="false">N(AE1488)</f>
        <v>0</v>
      </c>
      <c r="CC1488" s="57" t="n">
        <f aca="false">N(M1488)+N(N1488)</f>
        <v>100</v>
      </c>
      <c r="CD1488" s="57" t="n">
        <f aca="false">ROUNDUP(H1488/BS1488,0)</f>
        <v>1</v>
      </c>
      <c r="CE1488" s="57" t="n">
        <f aca="false">ROUNDUP(CB1488/BS1488,0)</f>
        <v>0</v>
      </c>
      <c r="CF1488" s="60" t="n">
        <f aca="false">IF(BT1488=1,0,IFERROR(VLOOKUP(BR1488,'Gebinde-Kategorie'!$A$5:$M$45,5,0)+0,0))</f>
        <v>11</v>
      </c>
      <c r="CG1488" s="60" t="n">
        <f aca="false">IFERROR(IF(OR(BX1488=1,BX1488=2,BX1488=3),N(INDEX(Parameter!$I$5:$I$7,BX1488)),0),0)</f>
        <v>0</v>
      </c>
      <c r="CH1488" s="59" t="n">
        <f aca="false">IF(AND(Parameter!$B$21="Ja",ISNUMBER(W1488),N(X1488)&gt;0),IFERROR(N(INDEX(Parameter!$L$5:$L$7,W1488))*INDEX(Parameter!$E$5:$E$7,W1488)*X1488/SUMIFS($X$7:$X$1843,$W$7:$W$1843,W1488),0),0)</f>
        <v>0</v>
      </c>
    </row>
    <row r="1489" customFormat="false" ht="15" hidden="false" customHeight="false" outlineLevel="0" collapsed="false">
      <c r="A1489" s="55" t="s">
        <v>2602</v>
      </c>
      <c r="B1489" s="55" t="s">
        <v>2603</v>
      </c>
      <c r="C1489" s="55" t="s">
        <v>164</v>
      </c>
      <c r="D1489" s="55" t="s">
        <v>184</v>
      </c>
      <c r="E1489" s="55" t="s">
        <v>185</v>
      </c>
      <c r="F1489" s="55"/>
      <c r="G1489" s="56" t="n">
        <v>84.57</v>
      </c>
      <c r="H1489" s="57" t="n">
        <f aca="false">MAX(0,IF(AND(Parameter!$B$21="Ja",ISNUMBER(Y1489)),Y1489,IF(Parameter!$B$20="Jahresanfang 2025 + Export",BL1489+BK1489,BK1489)))</f>
        <v>4</v>
      </c>
      <c r="I1489" s="57" t="n">
        <f aca="false">H1489*G1489</f>
        <v>338.28</v>
      </c>
      <c r="J1489" s="57" t="n">
        <f aca="false">BN1489*Parameter!$B$18</f>
        <v>0</v>
      </c>
      <c r="K1489" s="58"/>
      <c r="L1489" s="59"/>
      <c r="M1489" s="57" t="n">
        <v>0</v>
      </c>
      <c r="N1489" s="57" t="n">
        <v>1</v>
      </c>
      <c r="O1489" s="60" t="n">
        <v>14</v>
      </c>
      <c r="P1489" s="55" t="s">
        <v>328</v>
      </c>
      <c r="Q1489" s="57" t="n">
        <v>4</v>
      </c>
      <c r="R1489" s="60" t="n">
        <f aca="false">IF(BT1489=1,0,IFERROR(VLOOKUP(BR1489,'Gebinde-Kategorie'!$A$5:$M$45,13,0)+0,0))</f>
        <v>52</v>
      </c>
      <c r="S1489" s="61"/>
      <c r="T1489" s="62"/>
      <c r="U1489" s="62"/>
      <c r="V1489" s="62"/>
      <c r="W1489" s="55"/>
      <c r="X1489" s="57"/>
      <c r="Y1489" s="57"/>
      <c r="Z1489" s="55" t="n">
        <f aca="false">IF(A1489="","",IF(AND(Parameter!$B$21="Ja",ISNUMBER(W1489)),W1489,IF(BV1489="2+3",IF(ISNUMBER(SEARCH("grosser Artikel",BO1489)),2,IFERROR(VLOOKUP(BR1489,Parameter!$F$35:$G$64,2,0),2)),IF(OR(BV1489="Nein",BV1489=""),"-",BV1489))))</f>
        <v>3</v>
      </c>
      <c r="AA1489" s="62"/>
      <c r="AB1489" s="63"/>
      <c r="AC1489" s="57" t="n">
        <f aca="false">AR1489</f>
        <v>4</v>
      </c>
      <c r="AD1489" s="57" t="n">
        <f aca="false">MAX(AR1489,H1489)</f>
        <v>4</v>
      </c>
      <c r="AE1489" s="64"/>
      <c r="AF1489" s="57" t="n">
        <f aca="false">IF(LEFT(Cockpit!$C$5,1)="A",H1489,IF(CA1489=1,CB1489,IF(LEFT(Cockpit!$C$5,1)="B",AJ1489,MAX(AJ1489,H1489))))</f>
        <v>4</v>
      </c>
      <c r="AG1489" s="57" t="n">
        <f aca="false">IF(BT1489=1,0,ROUNDUP(AF1489/BS1489,0))</f>
        <v>1</v>
      </c>
      <c r="AH1489" s="59" t="n">
        <f aca="false">IF(CH1489&gt;0,CH1489*MAX(1,AF1489/X1489),IF(BT1489=1,IF(AF1489&lt;=0,0,BW1489*MAX(1,IF(H1489&gt;0,AF1489/H1489,1))),IF(R1489&gt;0,AG1489/R1489,0))/MAX(0.1,N(Parameter!$M$21)))</f>
        <v>0.0192307692307692</v>
      </c>
      <c r="AI1489" s="57" t="n">
        <f aca="false">AF1489*G1489</f>
        <v>338.28</v>
      </c>
      <c r="AJ1489" s="57" t="n">
        <f aca="false">ROUNDUP(MAX(J1489/IF(BZ1489&gt;0,BZ1489,MAX(0.1,N(Cockpit!$C$6))),CC1489)/BS1489,0)*BS1489</f>
        <v>4</v>
      </c>
      <c r="AK1489" s="58" t="n">
        <f aca="false">IF(AH1489&gt;0,J1489/AH1489,-1)</f>
        <v>0</v>
      </c>
      <c r="AL1489" s="58" t="n">
        <f aca="false">IF(AND(OR(BY1489="L1",BY1489="L23"),AH1489&gt;0),SUMIFS($AH$7:$AH$1843,$BY$7:$BY$1843,BY1489,$AK$7:$AK$1843,"&gt;"&amp;AK1489)+SUMIFS($AH$7:$AH$1843,$BY$7:$BY$1843,BY1489,$AK$7:$AK$1843,AK1489,$BQ$7:$BQ$1843,"&lt;="&amp;BQ1489),"")</f>
        <v>81.3296679166244</v>
      </c>
      <c r="AM1489" s="65" t="n">
        <f aca="false">IF(AL1489="",0,MAX(0,MIN(1,(IF(BY1489="L1",Parameter!$E$5,Parameter!$E$6+Parameter!$E$7)-(AL1489-AH1489))/AH1489)))</f>
        <v>1</v>
      </c>
      <c r="AN1489" s="57" t="n">
        <f aca="false">IF(LEFT(Cockpit!$I$5,1)="A",H1489,IF(CA1489=1,CB1489,IF(LEFT(Cockpit!$I$5,1)="B",AR1489,MAX(AR1489,H1489))))</f>
        <v>4</v>
      </c>
      <c r="AO1489" s="57" t="n">
        <f aca="false">IF(BT1489=1,0,ROUNDUP(AN1489/BS1489,0))</f>
        <v>1</v>
      </c>
      <c r="AP1489" s="59" t="n">
        <f aca="false">IF(CH1489&gt;0,CH1489*MAX(1,AN1489/X1489),IF(BT1489=1,IF(AN1489&lt;=0,0,BW1489*MAX(1,IF(H1489&gt;0,AN1489/H1489,1))),IF(R1489&gt;0,AO1489/R1489,0))/MAX(0.1,N(Parameter!$M$21)))</f>
        <v>0.0192307692307692</v>
      </c>
      <c r="AQ1489" s="57" t="n">
        <f aca="false">AN1489*G1489</f>
        <v>338.28</v>
      </c>
      <c r="AR1489" s="57" t="n">
        <f aca="false">ROUNDUP(MAX(J1489/IF(BZ1489&gt;0,BZ1489,MAX(0.1,N(Cockpit!$I$6))),CC1489)/BS1489,0)*BS1489</f>
        <v>4</v>
      </c>
      <c r="AS1489" s="58" t="n">
        <f aca="false">IF(AP1489&gt;0,J1489/AP1489,-1)</f>
        <v>0</v>
      </c>
      <c r="AT1489" s="58" t="n">
        <f aca="false">IF(AND(OR(BY1489="L1",BY1489="L23"),AP1489&gt;0),SUMIFS($AP$7:$AP$1843,$BY$7:$BY$1843,BY1489,$AS$7:$AS$1843,"&gt;"&amp;AS1489)+SUMIFS($AP$7:$AP$1843,$BY$7:$BY$1843,BY1489,$AS$7:$AS$1843,AS1489,$BQ$7:$BQ$1843,"&lt;="&amp;BQ1489),"")</f>
        <v>126.242111752981</v>
      </c>
      <c r="AU1489" s="65" t="n">
        <f aca="false">IF(AT1489="",0,MAX(0,MIN(1,(IF(BY1489="L1",Parameter!$E$5,Parameter!$E$6+Parameter!$E$7)-(AT1489-AP1489))/AP1489)))</f>
        <v>0</v>
      </c>
      <c r="AV1489" s="57" t="n">
        <f aca="false">IF(LEFT(Cockpit!$O$5,1)="A",H1489,IF(CA1489=1,CB1489,IF(LEFT(Cockpit!$O$5,1)="B",AZ1489,MAX(AZ1489,H1489))))</f>
        <v>4</v>
      </c>
      <c r="AW1489" s="57" t="n">
        <f aca="false">IF(BT1489=1,0,ROUNDUP(AV1489/BS1489,0))</f>
        <v>1</v>
      </c>
      <c r="AX1489" s="59" t="n">
        <f aca="false">IF(CH1489&gt;0,CH1489*MAX(1,AV1489/X1489),IF(BT1489=1,IF(AV1489&lt;=0,0,BW1489*MAX(1,IF(H1489&gt;0,AV1489/H1489,1))),IF(R1489&gt;0,AW1489/R1489,0))/MAX(0.1,N(Parameter!$M$21)))</f>
        <v>0.0192307692307692</v>
      </c>
      <c r="AY1489" s="57" t="n">
        <f aca="false">AV1489*G1489</f>
        <v>338.28</v>
      </c>
      <c r="AZ1489" s="57" t="n">
        <f aca="false">ROUNDUP(MAX(J1489/IF(BZ1489&gt;0,BZ1489,MAX(0.1,N(Cockpit!$O$6))),CC1489)/BS1489,0)*BS1489</f>
        <v>4</v>
      </c>
      <c r="BA1489" s="58" t="n">
        <f aca="false">IF(AX1489&gt;0,J1489/AX1489,-1)</f>
        <v>0</v>
      </c>
      <c r="BB1489" s="58" t="n">
        <f aca="false">IF(AND(OR(BY1489="L1",BY1489="L23"),AX1489&gt;0),SUMIFS($AX$7:$AX$1843,$BY$7:$BY$1843,BY1489,$BA$7:$BA$1843,"&gt;"&amp;BA1489)+SUMIFS($AX$7:$AX$1843,$BY$7:$BY$1843,BY1489,$BA$7:$BA$1843,BA1489,$BQ$7:$BQ$1843,"&lt;="&amp;BQ1489),"")</f>
        <v>117.071948582818</v>
      </c>
      <c r="BC1489" s="65" t="n">
        <f aca="false">IF(BB1489="",0,MAX(0,MIN(1,(IF(BY1489="L1",Parameter!$E$5,Parameter!$E$6+Parameter!$E$7)-(BB1489-AX1489))/AX1489)))</f>
        <v>0</v>
      </c>
      <c r="BD1489" s="55" t="str">
        <f aca="false">IF(AH1489&lt;=0,"",IF(BY1489="Aussen","Aussenlager",IF(BY1489="-","Nicht im Lift",IF(AM1489&gt;=1,"Lift",IF(AM1489&lt;=0,"Aussenlager","teilweise")))))</f>
        <v>Lift</v>
      </c>
      <c r="BE1489" s="55" t="str">
        <f aca="false">IF(AP1489&lt;=0,"",IF(BY1489="Aussen","Aussenlager",IF(BY1489="-","Nicht im Lift",IF(AU1489&gt;=1,"Lift",IF(AU1489&lt;=0,"Aussenlager","teilweise")))))</f>
        <v>Aussenlager</v>
      </c>
      <c r="BF1489" s="55" t="str">
        <f aca="false">IF(AX1489&lt;=0,"",IF(BY1489="Aussen","Aussenlager",IF(BY1489="-","Nicht im Lift",IF(BC1489&gt;=1,"Lift",IF(BC1489&lt;=0,"Aussenlager","teilweise")))))</f>
        <v>Aussenlager</v>
      </c>
      <c r="BG1489" s="55" t="str">
        <f aca="false">IF(A1489="","",IF(BP1489=1,"Neu; ","")&amp;IF(AND(BP1489=0,BK1489&lt;0),"negativer Bestand (Export "&amp;BK1489&amp;"); ","")&amp;IF(J1489&lt;=0,"Kein Verbrauch; ","")&amp;IF(CH1489&gt;0,"Lift "&amp;W1489&amp;" lt. Liftbericht (Fach "&amp;X1489&amp;" Stk); ",IF(BU1489=1,"Gebinde geschätzt ("&amp;T1489&amp;"); ",IF(BT1489=1,"Lose – Tablare geschätzt; ","")))&amp;IF(H1489&gt;AR1489,"Überbestand "&amp;ROUND(H1489-AR1489,0)&amp;" Stk / CHF "&amp;ROUND((H1489-AR1489)*G1489,0)&amp;"; ","")&amp;IF(AND(CA1489=1,CB1489&lt;CC1489),"MAX &lt; MB+LG; ","")&amp;IF(AND(CG1489&gt;0,CF1489*10&gt;CG1489),"zu hoch für Tablar; ","")&amp;IF(AND(BP1489=0,OR(CA1489=1,AA1489&lt;&gt;"",U1489&lt;&gt;"",V1489&lt;&gt;"",AB1489&lt;&gt;"")),"manuell übersteuert; ","")&amp;IF(AND(BT1489=0,R1489=0),"Gebinde unbekannt / Stellmass fehlt; ","")&amp;IF(AND(BT1489=0,N(V1489)&lt;=0,N(Q1489)&lt;=0),"Menge pro Gebinde fehlt (Ist = 1 Gebinde); ","")&amp;BO1489)</f>
        <v>Kein Verbrauch; nur im Artikelstamm (Bestand 23.06.2026)</v>
      </c>
      <c r="BH1489" s="55"/>
      <c r="BI1489" s="55"/>
      <c r="BJ1489" s="62"/>
      <c r="BK1489" s="57" t="n">
        <v>4</v>
      </c>
      <c r="BL1489" s="57" t="n">
        <v>0</v>
      </c>
      <c r="BM1489" s="56" t="n">
        <v>0</v>
      </c>
      <c r="BN1489" s="57" t="n">
        <v>0</v>
      </c>
      <c r="BO1489" s="55" t="s">
        <v>2575</v>
      </c>
      <c r="BP1489" s="60" t="n">
        <v>0</v>
      </c>
      <c r="BQ1489" s="60" t="n">
        <v>1489</v>
      </c>
      <c r="BR1489" s="55" t="str">
        <f aca="false">IF(U1489&lt;&gt;"",UPPER(TRIM(U1489)),IF(BU1489=1,UPPER(VLOOKUP(T1489,Parameter!$I$27:$K$29,2,0)),IF(P1489="","LOSE",P1489)))</f>
        <v>S41</v>
      </c>
      <c r="BS1489" s="57" t="n">
        <f aca="false">IF(BR1489="LOSE",1,IF(N(V1489)&gt;0,V1489,IF(BU1489=1,MAX(1,N(VLOOKUP(T1489,Parameter!$I$27:$K$29,3,0)),H1489,N(N1489)),IF(N(Q1489)&gt;0,Q1489,MAX(1,H1489)))))</f>
        <v>4</v>
      </c>
      <c r="BT1489" s="60" t="n">
        <f aca="false">IF(BR1489="LOSE",1,0)</f>
        <v>0</v>
      </c>
      <c r="BU1489" s="60" t="n">
        <f aca="false">IF(AND(U1489="",OR(P1489="",P1489="LOSE"),T1489&lt;&gt;"",N(S1489)&lt;=0,ISNUMBER(MATCH(T1489,Parameter!$I$27:$I$29,0))),1,0)</f>
        <v>0</v>
      </c>
      <c r="BV1489" s="55" t="str">
        <f aca="false">IF(AND(Parameter!$B$19="Ja",E1489&lt;&gt;"",ISNUMBER(MATCH(E1489,Parameter!$I$35:$I$52,0))),VLOOKUP(E1489,Parameter!$I$35:$J$52,2,0),IFERROR(VLOOKUP(D1489,Parameter!$A$35:$C$64,2,0),"Nein"))</f>
        <v>2+3</v>
      </c>
      <c r="BW1489" s="59" t="n">
        <f aca="false">IF(BT1489=0,0,IF(N(S1489)&gt;0,S1489,IFERROR(VLOOKUP(D1489,Parameter!$A$35:$C$64,3,0)+0,0)))</f>
        <v>0</v>
      </c>
      <c r="BX1489" s="55" t="n">
        <f aca="false">IF(AA1489&lt;&gt;"",AA1489,Z1489)</f>
        <v>3</v>
      </c>
      <c r="BY1489" s="55" t="str">
        <f aca="false">IF(BX1489=1,"L1",IF(OR(BX1489=2,BX1489=3),"L23",IF(BX1489="Aussen","Aussen","-")))</f>
        <v>L23</v>
      </c>
      <c r="BZ1489" s="66" t="n">
        <f aca="false">IF(N(AB1489)&gt;0,AB1489,0)</f>
        <v>0</v>
      </c>
      <c r="CA1489" s="60" t="n">
        <f aca="false">IF(ISNUMBER(AE1489),1,0)</f>
        <v>0</v>
      </c>
      <c r="CB1489" s="57" t="n">
        <f aca="false">N(AE1489)</f>
        <v>0</v>
      </c>
      <c r="CC1489" s="57" t="n">
        <f aca="false">N(M1489)+N(N1489)</f>
        <v>1</v>
      </c>
      <c r="CD1489" s="57" t="n">
        <f aca="false">ROUNDUP(H1489/BS1489,0)</f>
        <v>1</v>
      </c>
      <c r="CE1489" s="57" t="n">
        <f aca="false">ROUNDUP(CB1489/BS1489,0)</f>
        <v>0</v>
      </c>
      <c r="CF1489" s="60" t="n">
        <f aca="false">IF(BT1489=1,0,IFERROR(VLOOKUP(BR1489,'Gebinde-Kategorie'!$A$5:$M$45,5,0)+0,0))</f>
        <v>11</v>
      </c>
      <c r="CG1489" s="60" t="n">
        <f aca="false">IFERROR(IF(OR(BX1489=1,BX1489=2,BX1489=3),N(INDEX(Parameter!$I$5:$I$7,BX1489)),0),0)</f>
        <v>0</v>
      </c>
      <c r="CH1489" s="59" t="n">
        <f aca="false">IF(AND(Parameter!$B$21="Ja",ISNUMBER(W1489),N(X1489)&gt;0),IFERROR(N(INDEX(Parameter!$L$5:$L$7,W1489))*INDEX(Parameter!$E$5:$E$7,W1489)*X1489/SUMIFS($X$7:$X$1843,$W$7:$W$1843,W1489),0),0)</f>
        <v>0</v>
      </c>
    </row>
    <row r="1490" customFormat="false" ht="15" hidden="false" customHeight="false" outlineLevel="0" collapsed="false">
      <c r="A1490" s="55" t="s">
        <v>2604</v>
      </c>
      <c r="B1490" s="55" t="s">
        <v>2605</v>
      </c>
      <c r="C1490" s="55" t="s">
        <v>164</v>
      </c>
      <c r="D1490" s="55" t="s">
        <v>184</v>
      </c>
      <c r="E1490" s="55" t="s">
        <v>185</v>
      </c>
      <c r="F1490" s="55"/>
      <c r="G1490" s="56" t="n">
        <v>3.88</v>
      </c>
      <c r="H1490" s="57" t="n">
        <f aca="false">MAX(0,IF(AND(Parameter!$B$21="Ja",ISNUMBER(Y1490)),Y1490,IF(Parameter!$B$20="Jahresanfang 2025 + Export",BL1490+BK1490,BK1490)))</f>
        <v>34</v>
      </c>
      <c r="I1490" s="57" t="n">
        <f aca="false">H1490*G1490</f>
        <v>131.92</v>
      </c>
      <c r="J1490" s="57" t="n">
        <f aca="false">BN1490*Parameter!$B$18</f>
        <v>0</v>
      </c>
      <c r="K1490" s="58"/>
      <c r="L1490" s="59"/>
      <c r="M1490" s="57" t="n">
        <v>0</v>
      </c>
      <c r="N1490" s="57" t="n">
        <v>10</v>
      </c>
      <c r="O1490" s="60" t="n">
        <v>28</v>
      </c>
      <c r="P1490" s="55" t="s">
        <v>476</v>
      </c>
      <c r="Q1490" s="57" t="n">
        <v>34</v>
      </c>
      <c r="R1490" s="60" t="n">
        <f aca="false">IF(BT1490=1,0,IFERROR(VLOOKUP(BR1490,'Gebinde-Kategorie'!$A$5:$M$45,13,0)+0,0))</f>
        <v>66</v>
      </c>
      <c r="S1490" s="61"/>
      <c r="T1490" s="62"/>
      <c r="U1490" s="62"/>
      <c r="V1490" s="62"/>
      <c r="W1490" s="55"/>
      <c r="X1490" s="57"/>
      <c r="Y1490" s="57"/>
      <c r="Z1490" s="55" t="n">
        <f aca="false">IF(A1490="","",IF(AND(Parameter!$B$21="Ja",ISNUMBER(W1490)),W1490,IF(BV1490="2+3",IF(ISNUMBER(SEARCH("grosser Artikel",BO1490)),2,IFERROR(VLOOKUP(BR1490,Parameter!$F$35:$G$64,2,0),2)),IF(OR(BV1490="Nein",BV1490=""),"-",BV1490))))</f>
        <v>3</v>
      </c>
      <c r="AA1490" s="62"/>
      <c r="AB1490" s="63"/>
      <c r="AC1490" s="57" t="n">
        <f aca="false">AR1490</f>
        <v>34</v>
      </c>
      <c r="AD1490" s="57" t="n">
        <f aca="false">MAX(AR1490,H1490)</f>
        <v>34</v>
      </c>
      <c r="AE1490" s="64"/>
      <c r="AF1490" s="57" t="n">
        <f aca="false">IF(LEFT(Cockpit!$C$5,1)="A",H1490,IF(CA1490=1,CB1490,IF(LEFT(Cockpit!$C$5,1)="B",AJ1490,MAX(AJ1490,H1490))))</f>
        <v>34</v>
      </c>
      <c r="AG1490" s="57" t="n">
        <f aca="false">IF(BT1490=1,0,ROUNDUP(AF1490/BS1490,0))</f>
        <v>1</v>
      </c>
      <c r="AH1490" s="59" t="n">
        <f aca="false">IF(CH1490&gt;0,CH1490*MAX(1,AF1490/X1490),IF(BT1490=1,IF(AF1490&lt;=0,0,BW1490*MAX(1,IF(H1490&gt;0,AF1490/H1490,1))),IF(R1490&gt;0,AG1490/R1490,0))/MAX(0.1,N(Parameter!$M$21)))</f>
        <v>0.0151515151515152</v>
      </c>
      <c r="AI1490" s="57" t="n">
        <f aca="false">AF1490*G1490</f>
        <v>131.92</v>
      </c>
      <c r="AJ1490" s="57" t="n">
        <f aca="false">ROUNDUP(MAX(J1490/IF(BZ1490&gt;0,BZ1490,MAX(0.1,N(Cockpit!$C$6))),CC1490)/BS1490,0)*BS1490</f>
        <v>34</v>
      </c>
      <c r="AK1490" s="58" t="n">
        <f aca="false">IF(AH1490&gt;0,J1490/AH1490,-1)</f>
        <v>0</v>
      </c>
      <c r="AL1490" s="58" t="n">
        <f aca="false">IF(AND(OR(BY1490="L1",BY1490="L23"),AH1490&gt;0),SUMIFS($AH$7:$AH$1843,$BY$7:$BY$1843,BY1490,$AK$7:$AK$1843,"&gt;"&amp;AK1490)+SUMIFS($AH$7:$AH$1843,$BY$7:$BY$1843,BY1490,$AK$7:$AK$1843,AK1490,$BQ$7:$BQ$1843,"&lt;="&amp;BQ1490),"")</f>
        <v>81.344819431776</v>
      </c>
      <c r="AM1490" s="65" t="n">
        <f aca="false">IF(AL1490="",0,MAX(0,MIN(1,(IF(BY1490="L1",Parameter!$E$5,Parameter!$E$6+Parameter!$E$7)-(AL1490-AH1490))/AH1490)))</f>
        <v>1</v>
      </c>
      <c r="AN1490" s="57" t="n">
        <f aca="false">IF(LEFT(Cockpit!$I$5,1)="A",H1490,IF(CA1490=1,CB1490,IF(LEFT(Cockpit!$I$5,1)="B",AR1490,MAX(AR1490,H1490))))</f>
        <v>34</v>
      </c>
      <c r="AO1490" s="57" t="n">
        <f aca="false">IF(BT1490=1,0,ROUNDUP(AN1490/BS1490,0))</f>
        <v>1</v>
      </c>
      <c r="AP1490" s="59" t="n">
        <f aca="false">IF(CH1490&gt;0,CH1490*MAX(1,AN1490/X1490),IF(BT1490=1,IF(AN1490&lt;=0,0,BW1490*MAX(1,IF(H1490&gt;0,AN1490/H1490,1))),IF(R1490&gt;0,AO1490/R1490,0))/MAX(0.1,N(Parameter!$M$21)))</f>
        <v>0.0151515151515152</v>
      </c>
      <c r="AQ1490" s="57" t="n">
        <f aca="false">AN1490*G1490</f>
        <v>131.92</v>
      </c>
      <c r="AR1490" s="57" t="n">
        <f aca="false">ROUNDUP(MAX(J1490/IF(BZ1490&gt;0,BZ1490,MAX(0.1,N(Cockpit!$I$6))),CC1490)/BS1490,0)*BS1490</f>
        <v>34</v>
      </c>
      <c r="AS1490" s="58" t="n">
        <f aca="false">IF(AP1490&gt;0,J1490/AP1490,-1)</f>
        <v>0</v>
      </c>
      <c r="AT1490" s="58" t="n">
        <f aca="false">IF(AND(OR(BY1490="L1",BY1490="L23"),AP1490&gt;0),SUMIFS($AP$7:$AP$1843,$BY$7:$BY$1843,BY1490,$AS$7:$AS$1843,"&gt;"&amp;AS1490)+SUMIFS($AP$7:$AP$1843,$BY$7:$BY$1843,BY1490,$AS$7:$AS$1843,AS1490,$BQ$7:$BQ$1843,"&lt;="&amp;BQ1490),"")</f>
        <v>126.257263268133</v>
      </c>
      <c r="AU1490" s="65" t="n">
        <f aca="false">IF(AT1490="",0,MAX(0,MIN(1,(IF(BY1490="L1",Parameter!$E$5,Parameter!$E$6+Parameter!$E$7)-(AT1490-AP1490))/AP1490)))</f>
        <v>0</v>
      </c>
      <c r="AV1490" s="57" t="n">
        <f aca="false">IF(LEFT(Cockpit!$O$5,1)="A",H1490,IF(CA1490=1,CB1490,IF(LEFT(Cockpit!$O$5,1)="B",AZ1490,MAX(AZ1490,H1490))))</f>
        <v>34</v>
      </c>
      <c r="AW1490" s="57" t="n">
        <f aca="false">IF(BT1490=1,0,ROUNDUP(AV1490/BS1490,0))</f>
        <v>1</v>
      </c>
      <c r="AX1490" s="59" t="n">
        <f aca="false">IF(CH1490&gt;0,CH1490*MAX(1,AV1490/X1490),IF(BT1490=1,IF(AV1490&lt;=0,0,BW1490*MAX(1,IF(H1490&gt;0,AV1490/H1490,1))),IF(R1490&gt;0,AW1490/R1490,0))/MAX(0.1,N(Parameter!$M$21)))</f>
        <v>0.0151515151515152</v>
      </c>
      <c r="AY1490" s="57" t="n">
        <f aca="false">AV1490*G1490</f>
        <v>131.92</v>
      </c>
      <c r="AZ1490" s="57" t="n">
        <f aca="false">ROUNDUP(MAX(J1490/IF(BZ1490&gt;0,BZ1490,MAX(0.1,N(Cockpit!$O$6))),CC1490)/BS1490,0)*BS1490</f>
        <v>34</v>
      </c>
      <c r="BA1490" s="58" t="n">
        <f aca="false">IF(AX1490&gt;0,J1490/AX1490,-1)</f>
        <v>0</v>
      </c>
      <c r="BB1490" s="58" t="n">
        <f aca="false">IF(AND(OR(BY1490="L1",BY1490="L23"),AX1490&gt;0),SUMIFS($AX$7:$AX$1843,$BY$7:$BY$1843,BY1490,$BA$7:$BA$1843,"&gt;"&amp;BA1490)+SUMIFS($AX$7:$AX$1843,$BY$7:$BY$1843,BY1490,$BA$7:$BA$1843,BA1490,$BQ$7:$BQ$1843,"&lt;="&amp;BQ1490),"")</f>
        <v>117.08710009797</v>
      </c>
      <c r="BC1490" s="65" t="n">
        <f aca="false">IF(BB1490="",0,MAX(0,MIN(1,(IF(BY1490="L1",Parameter!$E$5,Parameter!$E$6+Parameter!$E$7)-(BB1490-AX1490))/AX1490)))</f>
        <v>0</v>
      </c>
      <c r="BD1490" s="55" t="str">
        <f aca="false">IF(AH1490&lt;=0,"",IF(BY1490="Aussen","Aussenlager",IF(BY1490="-","Nicht im Lift",IF(AM1490&gt;=1,"Lift",IF(AM1490&lt;=0,"Aussenlager","teilweise")))))</f>
        <v>Lift</v>
      </c>
      <c r="BE1490" s="55" t="str">
        <f aca="false">IF(AP1490&lt;=0,"",IF(BY1490="Aussen","Aussenlager",IF(BY1490="-","Nicht im Lift",IF(AU1490&gt;=1,"Lift",IF(AU1490&lt;=0,"Aussenlager","teilweise")))))</f>
        <v>Aussenlager</v>
      </c>
      <c r="BF1490" s="55" t="str">
        <f aca="false">IF(AX1490&lt;=0,"",IF(BY1490="Aussen","Aussenlager",IF(BY1490="-","Nicht im Lift",IF(BC1490&gt;=1,"Lift",IF(BC1490&lt;=0,"Aussenlager","teilweise")))))</f>
        <v>Aussenlager</v>
      </c>
      <c r="BG1490" s="55" t="str">
        <f aca="false">IF(A1490="","",IF(BP1490=1,"Neu; ","")&amp;IF(AND(BP1490=0,BK1490&lt;0),"negativer Bestand (Export "&amp;BK1490&amp;"); ","")&amp;IF(J1490&lt;=0,"Kein Verbrauch; ","")&amp;IF(CH1490&gt;0,"Lift "&amp;W1490&amp;" lt. Liftbericht (Fach "&amp;X1490&amp;" Stk); ",IF(BU1490=1,"Gebinde geschätzt ("&amp;T1490&amp;"); ",IF(BT1490=1,"Lose – Tablare geschätzt; ","")))&amp;IF(H1490&gt;AR1490,"Überbestand "&amp;ROUND(H1490-AR1490,0)&amp;" Stk / CHF "&amp;ROUND((H1490-AR1490)*G1490,0)&amp;"; ","")&amp;IF(AND(CA1490=1,CB1490&lt;CC1490),"MAX &lt; MB+LG; ","")&amp;IF(AND(CG1490&gt;0,CF1490*10&gt;CG1490),"zu hoch für Tablar; ","")&amp;IF(AND(BP1490=0,OR(CA1490=1,AA1490&lt;&gt;"",U1490&lt;&gt;"",V1490&lt;&gt;"",AB1490&lt;&gt;"")),"manuell übersteuert; ","")&amp;IF(AND(BT1490=0,R1490=0),"Gebinde unbekannt / Stellmass fehlt; ","")&amp;IF(AND(BT1490=0,N(V1490)&lt;=0,N(Q1490)&lt;=0),"Menge pro Gebinde fehlt (Ist = 1 Gebinde); ","")&amp;BO1490)</f>
        <v>Kein Verbrauch; nur im Artikelstamm (Bestand 23.06.2026)</v>
      </c>
      <c r="BH1490" s="55"/>
      <c r="BI1490" s="55"/>
      <c r="BJ1490" s="62"/>
      <c r="BK1490" s="57" t="n">
        <v>34</v>
      </c>
      <c r="BL1490" s="57" t="n">
        <v>0</v>
      </c>
      <c r="BM1490" s="56" t="n">
        <v>0</v>
      </c>
      <c r="BN1490" s="57" t="n">
        <v>0</v>
      </c>
      <c r="BO1490" s="55" t="s">
        <v>2575</v>
      </c>
      <c r="BP1490" s="60" t="n">
        <v>0</v>
      </c>
      <c r="BQ1490" s="60" t="n">
        <v>1490</v>
      </c>
      <c r="BR1490" s="55" t="str">
        <f aca="false">IF(U1490&lt;&gt;"",UPPER(TRIM(U1490)),IF(BU1490=1,UPPER(VLOOKUP(T1490,Parameter!$I$27:$K$29,2,0)),IF(P1490="","LOSE",P1490)))</f>
        <v>S33</v>
      </c>
      <c r="BS1490" s="57" t="n">
        <f aca="false">IF(BR1490="LOSE",1,IF(N(V1490)&gt;0,V1490,IF(BU1490=1,MAX(1,N(VLOOKUP(T1490,Parameter!$I$27:$K$29,3,0)),H1490,N(N1490)),IF(N(Q1490)&gt;0,Q1490,MAX(1,H1490)))))</f>
        <v>34</v>
      </c>
      <c r="BT1490" s="60" t="n">
        <f aca="false">IF(BR1490="LOSE",1,0)</f>
        <v>0</v>
      </c>
      <c r="BU1490" s="60" t="n">
        <f aca="false">IF(AND(U1490="",OR(P1490="",P1490="LOSE"),T1490&lt;&gt;"",N(S1490)&lt;=0,ISNUMBER(MATCH(T1490,Parameter!$I$27:$I$29,0))),1,0)</f>
        <v>0</v>
      </c>
      <c r="BV1490" s="55" t="str">
        <f aca="false">IF(AND(Parameter!$B$19="Ja",E1490&lt;&gt;"",ISNUMBER(MATCH(E1490,Parameter!$I$35:$I$52,0))),VLOOKUP(E1490,Parameter!$I$35:$J$52,2,0),IFERROR(VLOOKUP(D1490,Parameter!$A$35:$C$64,2,0),"Nein"))</f>
        <v>2+3</v>
      </c>
      <c r="BW1490" s="59" t="n">
        <f aca="false">IF(BT1490=0,0,IF(N(S1490)&gt;0,S1490,IFERROR(VLOOKUP(D1490,Parameter!$A$35:$C$64,3,0)+0,0)))</f>
        <v>0</v>
      </c>
      <c r="BX1490" s="55" t="n">
        <f aca="false">IF(AA1490&lt;&gt;"",AA1490,Z1490)</f>
        <v>3</v>
      </c>
      <c r="BY1490" s="55" t="str">
        <f aca="false">IF(BX1490=1,"L1",IF(OR(BX1490=2,BX1490=3),"L23",IF(BX1490="Aussen","Aussen","-")))</f>
        <v>L23</v>
      </c>
      <c r="BZ1490" s="66" t="n">
        <f aca="false">IF(N(AB1490)&gt;0,AB1490,0)</f>
        <v>0</v>
      </c>
      <c r="CA1490" s="60" t="n">
        <f aca="false">IF(ISNUMBER(AE1490),1,0)</f>
        <v>0</v>
      </c>
      <c r="CB1490" s="57" t="n">
        <f aca="false">N(AE1490)</f>
        <v>0</v>
      </c>
      <c r="CC1490" s="57" t="n">
        <f aca="false">N(M1490)+N(N1490)</f>
        <v>10</v>
      </c>
      <c r="CD1490" s="57" t="n">
        <f aca="false">ROUNDUP(H1490/BS1490,0)</f>
        <v>1</v>
      </c>
      <c r="CE1490" s="57" t="n">
        <f aca="false">ROUNDUP(CB1490/BS1490,0)</f>
        <v>0</v>
      </c>
      <c r="CF1490" s="60" t="n">
        <f aca="false">IF(BT1490=1,0,IFERROR(VLOOKUP(BR1490,'Gebinde-Kategorie'!$A$5:$M$45,5,0)+0,0))</f>
        <v>8</v>
      </c>
      <c r="CG1490" s="60" t="n">
        <f aca="false">IFERROR(IF(OR(BX1490=1,BX1490=2,BX1490=3),N(INDEX(Parameter!$I$5:$I$7,BX1490)),0),0)</f>
        <v>0</v>
      </c>
      <c r="CH1490" s="59" t="n">
        <f aca="false">IF(AND(Parameter!$B$21="Ja",ISNUMBER(W1490),N(X1490)&gt;0),IFERROR(N(INDEX(Parameter!$L$5:$L$7,W1490))*INDEX(Parameter!$E$5:$E$7,W1490)*X1490/SUMIFS($X$7:$X$1843,$W$7:$W$1843,W1490),0),0)</f>
        <v>0</v>
      </c>
    </row>
    <row r="1491" customFormat="false" ht="15" hidden="false" customHeight="false" outlineLevel="0" collapsed="false">
      <c r="A1491" s="55" t="s">
        <v>2606</v>
      </c>
      <c r="B1491" s="55" t="s">
        <v>2607</v>
      </c>
      <c r="C1491" s="55" t="s">
        <v>164</v>
      </c>
      <c r="D1491" s="55" t="s">
        <v>184</v>
      </c>
      <c r="E1491" s="55" t="s">
        <v>185</v>
      </c>
      <c r="F1491" s="55"/>
      <c r="G1491" s="56" t="n">
        <v>96.34</v>
      </c>
      <c r="H1491" s="57" t="n">
        <f aca="false">MAX(0,IF(AND(Parameter!$B$21="Ja",ISNUMBER(Y1491)),Y1491,IF(Parameter!$B$20="Jahresanfang 2025 + Export",BL1491+BK1491,BK1491)))</f>
        <v>8</v>
      </c>
      <c r="I1491" s="57" t="n">
        <f aca="false">H1491*G1491</f>
        <v>770.72</v>
      </c>
      <c r="J1491" s="57" t="n">
        <f aca="false">BN1491*Parameter!$B$18</f>
        <v>0</v>
      </c>
      <c r="K1491" s="58"/>
      <c r="L1491" s="59"/>
      <c r="M1491" s="57" t="n">
        <v>0</v>
      </c>
      <c r="N1491" s="57" t="n">
        <v>5</v>
      </c>
      <c r="O1491" s="60" t="n">
        <v>168</v>
      </c>
      <c r="P1491" s="55" t="s">
        <v>302</v>
      </c>
      <c r="Q1491" s="57" t="n">
        <v>8</v>
      </c>
      <c r="R1491" s="60" t="n">
        <f aca="false">IF(BT1491=1,0,IFERROR(VLOOKUP(BR1491,'Gebinde-Kategorie'!$A$5:$M$45,13,0)+0,0))</f>
        <v>26</v>
      </c>
      <c r="S1491" s="61"/>
      <c r="T1491" s="62"/>
      <c r="U1491" s="62"/>
      <c r="V1491" s="62"/>
      <c r="W1491" s="55"/>
      <c r="X1491" s="57"/>
      <c r="Y1491" s="57"/>
      <c r="Z1491" s="55" t="n">
        <f aca="false">IF(A1491="","",IF(AND(Parameter!$B$21="Ja",ISNUMBER(W1491)),W1491,IF(BV1491="2+3",IF(ISNUMBER(SEARCH("grosser Artikel",BO1491)),2,IFERROR(VLOOKUP(BR1491,Parameter!$F$35:$G$64,2,0),2)),IF(OR(BV1491="Nein",BV1491=""),"-",BV1491))))</f>
        <v>3</v>
      </c>
      <c r="AA1491" s="62"/>
      <c r="AB1491" s="63"/>
      <c r="AC1491" s="57" t="n">
        <f aca="false">AR1491</f>
        <v>8</v>
      </c>
      <c r="AD1491" s="57" t="n">
        <f aca="false">MAX(AR1491,H1491)</f>
        <v>8</v>
      </c>
      <c r="AE1491" s="64"/>
      <c r="AF1491" s="57" t="n">
        <f aca="false">IF(LEFT(Cockpit!$C$5,1)="A",H1491,IF(CA1491=1,CB1491,IF(LEFT(Cockpit!$C$5,1)="B",AJ1491,MAX(AJ1491,H1491))))</f>
        <v>8</v>
      </c>
      <c r="AG1491" s="57" t="n">
        <f aca="false">IF(BT1491=1,0,ROUNDUP(AF1491/BS1491,0))</f>
        <v>1</v>
      </c>
      <c r="AH1491" s="59" t="n">
        <f aca="false">IF(CH1491&gt;0,CH1491*MAX(1,AF1491/X1491),IF(BT1491=1,IF(AF1491&lt;=0,0,BW1491*MAX(1,IF(H1491&gt;0,AF1491/H1491,1))),IF(R1491&gt;0,AG1491/R1491,0))/MAX(0.1,N(Parameter!$M$21)))</f>
        <v>0.0384615384615385</v>
      </c>
      <c r="AI1491" s="57" t="n">
        <f aca="false">AF1491*G1491</f>
        <v>770.72</v>
      </c>
      <c r="AJ1491" s="57" t="n">
        <f aca="false">ROUNDUP(MAX(J1491/IF(BZ1491&gt;0,BZ1491,MAX(0.1,N(Cockpit!$C$6))),CC1491)/BS1491,0)*BS1491</f>
        <v>8</v>
      </c>
      <c r="AK1491" s="58" t="n">
        <f aca="false">IF(AH1491&gt;0,J1491/AH1491,-1)</f>
        <v>0</v>
      </c>
      <c r="AL1491" s="58" t="n">
        <f aca="false">IF(AND(OR(BY1491="L1",BY1491="L23"),AH1491&gt;0),SUMIFS($AH$7:$AH$1843,$BY$7:$BY$1843,BY1491,$AK$7:$AK$1843,"&gt;"&amp;AK1491)+SUMIFS($AH$7:$AH$1843,$BY$7:$BY$1843,BY1491,$AK$7:$AK$1843,AK1491,$BQ$7:$BQ$1843,"&lt;="&amp;BQ1491),"")</f>
        <v>81.3832809702375</v>
      </c>
      <c r="AM1491" s="65" t="n">
        <f aca="false">IF(AL1491="",0,MAX(0,MIN(1,(IF(BY1491="L1",Parameter!$E$5,Parameter!$E$6+Parameter!$E$7)-(AL1491-AH1491))/AH1491)))</f>
        <v>1</v>
      </c>
      <c r="AN1491" s="57" t="n">
        <f aca="false">IF(LEFT(Cockpit!$I$5,1)="A",H1491,IF(CA1491=1,CB1491,IF(LEFT(Cockpit!$I$5,1)="B",AR1491,MAX(AR1491,H1491))))</f>
        <v>8</v>
      </c>
      <c r="AO1491" s="57" t="n">
        <f aca="false">IF(BT1491=1,0,ROUNDUP(AN1491/BS1491,0))</f>
        <v>1</v>
      </c>
      <c r="AP1491" s="59" t="n">
        <f aca="false">IF(CH1491&gt;0,CH1491*MAX(1,AN1491/X1491),IF(BT1491=1,IF(AN1491&lt;=0,0,BW1491*MAX(1,IF(H1491&gt;0,AN1491/H1491,1))),IF(R1491&gt;0,AO1491/R1491,0))/MAX(0.1,N(Parameter!$M$21)))</f>
        <v>0.0384615384615385</v>
      </c>
      <c r="AQ1491" s="57" t="n">
        <f aca="false">AN1491*G1491</f>
        <v>770.72</v>
      </c>
      <c r="AR1491" s="57" t="n">
        <f aca="false">ROUNDUP(MAX(J1491/IF(BZ1491&gt;0,BZ1491,MAX(0.1,N(Cockpit!$I$6))),CC1491)/BS1491,0)*BS1491</f>
        <v>8</v>
      </c>
      <c r="AS1491" s="58" t="n">
        <f aca="false">IF(AP1491&gt;0,J1491/AP1491,-1)</f>
        <v>0</v>
      </c>
      <c r="AT1491" s="58" t="n">
        <f aca="false">IF(AND(OR(BY1491="L1",BY1491="L23"),AP1491&gt;0),SUMIFS($AP$7:$AP$1843,$BY$7:$BY$1843,BY1491,$AS$7:$AS$1843,"&gt;"&amp;AS1491)+SUMIFS($AP$7:$AP$1843,$BY$7:$BY$1843,BY1491,$AS$7:$AS$1843,AS1491,$BQ$7:$BQ$1843,"&lt;="&amp;BQ1491),"")</f>
        <v>126.295724806594</v>
      </c>
      <c r="AU1491" s="65" t="n">
        <f aca="false">IF(AT1491="",0,MAX(0,MIN(1,(IF(BY1491="L1",Parameter!$E$5,Parameter!$E$6+Parameter!$E$7)-(AT1491-AP1491))/AP1491)))</f>
        <v>0</v>
      </c>
      <c r="AV1491" s="57" t="n">
        <f aca="false">IF(LEFT(Cockpit!$O$5,1)="A",H1491,IF(CA1491=1,CB1491,IF(LEFT(Cockpit!$O$5,1)="B",AZ1491,MAX(AZ1491,H1491))))</f>
        <v>8</v>
      </c>
      <c r="AW1491" s="57" t="n">
        <f aca="false">IF(BT1491=1,0,ROUNDUP(AV1491/BS1491,0))</f>
        <v>1</v>
      </c>
      <c r="AX1491" s="59" t="n">
        <f aca="false">IF(CH1491&gt;0,CH1491*MAX(1,AV1491/X1491),IF(BT1491=1,IF(AV1491&lt;=0,0,BW1491*MAX(1,IF(H1491&gt;0,AV1491/H1491,1))),IF(R1491&gt;0,AW1491/R1491,0))/MAX(0.1,N(Parameter!$M$21)))</f>
        <v>0.0384615384615385</v>
      </c>
      <c r="AY1491" s="57" t="n">
        <f aca="false">AV1491*G1491</f>
        <v>770.72</v>
      </c>
      <c r="AZ1491" s="57" t="n">
        <f aca="false">ROUNDUP(MAX(J1491/IF(BZ1491&gt;0,BZ1491,MAX(0.1,N(Cockpit!$O$6))),CC1491)/BS1491,0)*BS1491</f>
        <v>8</v>
      </c>
      <c r="BA1491" s="58" t="n">
        <f aca="false">IF(AX1491&gt;0,J1491/AX1491,-1)</f>
        <v>0</v>
      </c>
      <c r="BB1491" s="58" t="n">
        <f aca="false">IF(AND(OR(BY1491="L1",BY1491="L23"),AX1491&gt;0),SUMIFS($AX$7:$AX$1843,$BY$7:$BY$1843,BY1491,$BA$7:$BA$1843,"&gt;"&amp;BA1491)+SUMIFS($AX$7:$AX$1843,$BY$7:$BY$1843,BY1491,$BA$7:$BA$1843,BA1491,$BQ$7:$BQ$1843,"&lt;="&amp;BQ1491),"")</f>
        <v>117.125561636431</v>
      </c>
      <c r="BC1491" s="65" t="n">
        <f aca="false">IF(BB1491="",0,MAX(0,MIN(1,(IF(BY1491="L1",Parameter!$E$5,Parameter!$E$6+Parameter!$E$7)-(BB1491-AX1491))/AX1491)))</f>
        <v>0</v>
      </c>
      <c r="BD1491" s="55" t="str">
        <f aca="false">IF(AH1491&lt;=0,"",IF(BY1491="Aussen","Aussenlager",IF(BY1491="-","Nicht im Lift",IF(AM1491&gt;=1,"Lift",IF(AM1491&lt;=0,"Aussenlager","teilweise")))))</f>
        <v>Lift</v>
      </c>
      <c r="BE1491" s="55" t="str">
        <f aca="false">IF(AP1491&lt;=0,"",IF(BY1491="Aussen","Aussenlager",IF(BY1491="-","Nicht im Lift",IF(AU1491&gt;=1,"Lift",IF(AU1491&lt;=0,"Aussenlager","teilweise")))))</f>
        <v>Aussenlager</v>
      </c>
      <c r="BF1491" s="55" t="str">
        <f aca="false">IF(AX1491&lt;=0,"",IF(BY1491="Aussen","Aussenlager",IF(BY1491="-","Nicht im Lift",IF(BC1491&gt;=1,"Lift",IF(BC1491&lt;=0,"Aussenlager","teilweise")))))</f>
        <v>Aussenlager</v>
      </c>
      <c r="BG1491" s="55" t="str">
        <f aca="false">IF(A1491="","",IF(BP1491=1,"Neu; ","")&amp;IF(AND(BP1491=0,BK1491&lt;0),"negativer Bestand (Export "&amp;BK1491&amp;"); ","")&amp;IF(J1491&lt;=0,"Kein Verbrauch; ","")&amp;IF(CH1491&gt;0,"Lift "&amp;W1491&amp;" lt. Liftbericht (Fach "&amp;X1491&amp;" Stk); ",IF(BU1491=1,"Gebinde geschätzt ("&amp;T1491&amp;"); ",IF(BT1491=1,"Lose – Tablare geschätzt; ","")))&amp;IF(H1491&gt;AR1491,"Überbestand "&amp;ROUND(H1491-AR1491,0)&amp;" Stk / CHF "&amp;ROUND((H1491-AR1491)*G1491,0)&amp;"; ","")&amp;IF(AND(CA1491=1,CB1491&lt;CC1491),"MAX &lt; MB+LG; ","")&amp;IF(AND(CG1491&gt;0,CF1491*10&gt;CG1491),"zu hoch für Tablar; ","")&amp;IF(AND(BP1491=0,OR(CA1491=1,AA1491&lt;&gt;"",U1491&lt;&gt;"",V1491&lt;&gt;"",AB1491&lt;&gt;"")),"manuell übersteuert; ","")&amp;IF(AND(BT1491=0,R1491=0),"Gebinde unbekannt / Stellmass fehlt; ","")&amp;IF(AND(BT1491=0,N(V1491)&lt;=0,N(Q1491)&lt;=0),"Menge pro Gebinde fehlt (Ist = 1 Gebinde); ","")&amp;BO1491)</f>
        <v>Kein Verbrauch; nur im Artikelstamm (Bestand 23.06.2026)</v>
      </c>
      <c r="BH1491" s="55"/>
      <c r="BI1491" s="55"/>
      <c r="BJ1491" s="62"/>
      <c r="BK1491" s="57" t="n">
        <v>8</v>
      </c>
      <c r="BL1491" s="57" t="n">
        <v>0</v>
      </c>
      <c r="BM1491" s="56" t="n">
        <v>0</v>
      </c>
      <c r="BN1491" s="57" t="n">
        <v>0</v>
      </c>
      <c r="BO1491" s="55" t="s">
        <v>2575</v>
      </c>
      <c r="BP1491" s="60" t="n">
        <v>0</v>
      </c>
      <c r="BQ1491" s="60" t="n">
        <v>1491</v>
      </c>
      <c r="BR1491" s="55" t="str">
        <f aca="false">IF(U1491&lt;&gt;"",UPPER(TRIM(U1491)),IF(BU1491=1,UPPER(VLOOKUP(T1491,Parameter!$I$27:$K$29,2,0)),IF(P1491="","LOSE",P1491)))</f>
        <v>S51</v>
      </c>
      <c r="BS1491" s="57" t="n">
        <f aca="false">IF(BR1491="LOSE",1,IF(N(V1491)&gt;0,V1491,IF(BU1491=1,MAX(1,N(VLOOKUP(T1491,Parameter!$I$27:$K$29,3,0)),H1491,N(N1491)),IF(N(Q1491)&gt;0,Q1491,MAX(1,H1491)))))</f>
        <v>8</v>
      </c>
      <c r="BT1491" s="60" t="n">
        <f aca="false">IF(BR1491="LOSE",1,0)</f>
        <v>0</v>
      </c>
      <c r="BU1491" s="60" t="n">
        <f aca="false">IF(AND(U1491="",OR(P1491="",P1491="LOSE"),T1491&lt;&gt;"",N(S1491)&lt;=0,ISNUMBER(MATCH(T1491,Parameter!$I$27:$I$29,0))),1,0)</f>
        <v>0</v>
      </c>
      <c r="BV1491" s="55" t="str">
        <f aca="false">IF(AND(Parameter!$B$19="Ja",E1491&lt;&gt;"",ISNUMBER(MATCH(E1491,Parameter!$I$35:$I$52,0))),VLOOKUP(E1491,Parameter!$I$35:$J$52,2,0),IFERROR(VLOOKUP(D1491,Parameter!$A$35:$C$64,2,0),"Nein"))</f>
        <v>2+3</v>
      </c>
      <c r="BW1491" s="59" t="n">
        <f aca="false">IF(BT1491=0,0,IF(N(S1491)&gt;0,S1491,IFERROR(VLOOKUP(D1491,Parameter!$A$35:$C$64,3,0)+0,0)))</f>
        <v>0</v>
      </c>
      <c r="BX1491" s="55" t="n">
        <f aca="false">IF(AA1491&lt;&gt;"",AA1491,Z1491)</f>
        <v>3</v>
      </c>
      <c r="BY1491" s="55" t="str">
        <f aca="false">IF(BX1491=1,"L1",IF(OR(BX1491=2,BX1491=3),"L23",IF(BX1491="Aussen","Aussen","-")))</f>
        <v>L23</v>
      </c>
      <c r="BZ1491" s="66" t="n">
        <f aca="false">IF(N(AB1491)&gt;0,AB1491,0)</f>
        <v>0</v>
      </c>
      <c r="CA1491" s="60" t="n">
        <f aca="false">IF(ISNUMBER(AE1491),1,0)</f>
        <v>0</v>
      </c>
      <c r="CB1491" s="57" t="n">
        <f aca="false">N(AE1491)</f>
        <v>0</v>
      </c>
      <c r="CC1491" s="57" t="n">
        <f aca="false">N(M1491)+N(N1491)</f>
        <v>5</v>
      </c>
      <c r="CD1491" s="57" t="n">
        <f aca="false">ROUNDUP(H1491/BS1491,0)</f>
        <v>1</v>
      </c>
      <c r="CE1491" s="57" t="n">
        <f aca="false">ROUNDUP(CB1491/BS1491,0)</f>
        <v>0</v>
      </c>
      <c r="CF1491" s="60" t="n">
        <f aca="false">IF(BT1491=1,0,IFERROR(VLOOKUP(BR1491,'Gebinde-Kategorie'!$A$5:$M$45,5,0)+0,0))</f>
        <v>11</v>
      </c>
      <c r="CG1491" s="60" t="n">
        <f aca="false">IFERROR(IF(OR(BX1491=1,BX1491=2,BX1491=3),N(INDEX(Parameter!$I$5:$I$7,BX1491)),0),0)</f>
        <v>0</v>
      </c>
      <c r="CH1491" s="59" t="n">
        <f aca="false">IF(AND(Parameter!$B$21="Ja",ISNUMBER(W1491),N(X1491)&gt;0),IFERROR(N(INDEX(Parameter!$L$5:$L$7,W1491))*INDEX(Parameter!$E$5:$E$7,W1491)*X1491/SUMIFS($X$7:$X$1843,$W$7:$W$1843,W1491),0),0)</f>
        <v>0</v>
      </c>
    </row>
    <row r="1492" customFormat="false" ht="15" hidden="false" customHeight="false" outlineLevel="0" collapsed="false">
      <c r="A1492" s="55" t="s">
        <v>2608</v>
      </c>
      <c r="B1492" s="55" t="s">
        <v>1864</v>
      </c>
      <c r="C1492" s="55" t="s">
        <v>164</v>
      </c>
      <c r="D1492" s="55" t="s">
        <v>173</v>
      </c>
      <c r="E1492" s="55" t="s">
        <v>185</v>
      </c>
      <c r="F1492" s="55"/>
      <c r="G1492" s="56" t="n">
        <v>27.41</v>
      </c>
      <c r="H1492" s="57" t="n">
        <f aca="false">MAX(0,IF(AND(Parameter!$B$21="Ja",ISNUMBER(Y1492)),Y1492,IF(Parameter!$B$20="Jahresanfang 2025 + Export",BL1492+BK1492,BK1492)))</f>
        <v>10</v>
      </c>
      <c r="I1492" s="57" t="n">
        <f aca="false">H1492*G1492</f>
        <v>274.1</v>
      </c>
      <c r="J1492" s="57" t="n">
        <f aca="false">BN1492*Parameter!$B$18</f>
        <v>0</v>
      </c>
      <c r="K1492" s="58"/>
      <c r="L1492" s="59"/>
      <c r="M1492" s="57" t="n">
        <v>0</v>
      </c>
      <c r="N1492" s="57" t="n">
        <v>1</v>
      </c>
      <c r="O1492" s="60" t="n">
        <v>0</v>
      </c>
      <c r="P1492" s="55" t="s">
        <v>293</v>
      </c>
      <c r="Q1492" s="57" t="n">
        <v>10</v>
      </c>
      <c r="R1492" s="60" t="n">
        <f aca="false">IF(BT1492=1,0,IFERROR(VLOOKUP(BR1492,'Gebinde-Kategorie'!$A$5:$M$45,13,0)+0,0))</f>
        <v>12</v>
      </c>
      <c r="S1492" s="61"/>
      <c r="T1492" s="62"/>
      <c r="U1492" s="62"/>
      <c r="V1492" s="62"/>
      <c r="W1492" s="55"/>
      <c r="X1492" s="57"/>
      <c r="Y1492" s="57"/>
      <c r="Z1492" s="55" t="n">
        <f aca="false">IF(A1492="","",IF(AND(Parameter!$B$21="Ja",ISNUMBER(W1492)),W1492,IF(BV1492="2+3",IF(ISNUMBER(SEARCH("grosser Artikel",BO1492)),2,IFERROR(VLOOKUP(BR1492,Parameter!$F$35:$G$64,2,0),2)),IF(OR(BV1492="Nein",BV1492=""),"-",BV1492))))</f>
        <v>2</v>
      </c>
      <c r="AA1492" s="62"/>
      <c r="AB1492" s="63"/>
      <c r="AC1492" s="57" t="n">
        <f aca="false">AR1492</f>
        <v>10</v>
      </c>
      <c r="AD1492" s="57" t="n">
        <f aca="false">MAX(AR1492,H1492)</f>
        <v>10</v>
      </c>
      <c r="AE1492" s="64"/>
      <c r="AF1492" s="57" t="n">
        <f aca="false">IF(LEFT(Cockpit!$C$5,1)="A",H1492,IF(CA1492=1,CB1492,IF(LEFT(Cockpit!$C$5,1)="B",AJ1492,MAX(AJ1492,H1492))))</f>
        <v>10</v>
      </c>
      <c r="AG1492" s="57" t="n">
        <f aca="false">IF(BT1492=1,0,ROUNDUP(AF1492/BS1492,0))</f>
        <v>1</v>
      </c>
      <c r="AH1492" s="59" t="n">
        <f aca="false">IF(CH1492&gt;0,CH1492*MAX(1,AF1492/X1492),IF(BT1492=1,IF(AF1492&lt;=0,0,BW1492*MAX(1,IF(H1492&gt;0,AF1492/H1492,1))),IF(R1492&gt;0,AG1492/R1492,0))/MAX(0.1,N(Parameter!$M$21)))</f>
        <v>0.0833333333333333</v>
      </c>
      <c r="AI1492" s="57" t="n">
        <f aca="false">AF1492*G1492</f>
        <v>274.1</v>
      </c>
      <c r="AJ1492" s="57" t="n">
        <f aca="false">ROUNDUP(MAX(J1492/IF(BZ1492&gt;0,BZ1492,MAX(0.1,N(Cockpit!$C$6))),CC1492)/BS1492,0)*BS1492</f>
        <v>10</v>
      </c>
      <c r="AK1492" s="58" t="n">
        <f aca="false">IF(AH1492&gt;0,J1492/AH1492,-1)</f>
        <v>0</v>
      </c>
      <c r="AL1492" s="58" t="n">
        <f aca="false">IF(AND(OR(BY1492="L1",BY1492="L23"),AH1492&gt;0),SUMIFS($AH$7:$AH$1843,$BY$7:$BY$1843,BY1492,$AK$7:$AK$1843,"&gt;"&amp;AK1492)+SUMIFS($AH$7:$AH$1843,$BY$7:$BY$1843,BY1492,$AK$7:$AK$1843,AK1492,$BQ$7:$BQ$1843,"&lt;="&amp;BQ1492),"")</f>
        <v>81.4666143035708</v>
      </c>
      <c r="AM1492" s="65" t="n">
        <f aca="false">IF(AL1492="",0,MAX(0,MIN(1,(IF(BY1492="L1",Parameter!$E$5,Parameter!$E$6+Parameter!$E$7)-(AL1492-AH1492))/AH1492)))</f>
        <v>1</v>
      </c>
      <c r="AN1492" s="57" t="n">
        <f aca="false">IF(LEFT(Cockpit!$I$5,1)="A",H1492,IF(CA1492=1,CB1492,IF(LEFT(Cockpit!$I$5,1)="B",AR1492,MAX(AR1492,H1492))))</f>
        <v>10</v>
      </c>
      <c r="AO1492" s="57" t="n">
        <f aca="false">IF(BT1492=1,0,ROUNDUP(AN1492/BS1492,0))</f>
        <v>1</v>
      </c>
      <c r="AP1492" s="59" t="n">
        <f aca="false">IF(CH1492&gt;0,CH1492*MAX(1,AN1492/X1492),IF(BT1492=1,IF(AN1492&lt;=0,0,BW1492*MAX(1,IF(H1492&gt;0,AN1492/H1492,1))),IF(R1492&gt;0,AO1492/R1492,0))/MAX(0.1,N(Parameter!$M$21)))</f>
        <v>0.0833333333333333</v>
      </c>
      <c r="AQ1492" s="57" t="n">
        <f aca="false">AN1492*G1492</f>
        <v>274.1</v>
      </c>
      <c r="AR1492" s="57" t="n">
        <f aca="false">ROUNDUP(MAX(J1492/IF(BZ1492&gt;0,BZ1492,MAX(0.1,N(Cockpit!$I$6))),CC1492)/BS1492,0)*BS1492</f>
        <v>10</v>
      </c>
      <c r="AS1492" s="58" t="n">
        <f aca="false">IF(AP1492&gt;0,J1492/AP1492,-1)</f>
        <v>0</v>
      </c>
      <c r="AT1492" s="58" t="n">
        <f aca="false">IF(AND(OR(BY1492="L1",BY1492="L23"),AP1492&gt;0),SUMIFS($AP$7:$AP$1843,$BY$7:$BY$1843,BY1492,$AS$7:$AS$1843,"&gt;"&amp;AS1492)+SUMIFS($AP$7:$AP$1843,$BY$7:$BY$1843,BY1492,$AS$7:$AS$1843,AS1492,$BQ$7:$BQ$1843,"&lt;="&amp;BQ1492),"")</f>
        <v>126.379058139928</v>
      </c>
      <c r="AU1492" s="65" t="n">
        <f aca="false">IF(AT1492="",0,MAX(0,MIN(1,(IF(BY1492="L1",Parameter!$E$5,Parameter!$E$6+Parameter!$E$7)-(AT1492-AP1492))/AP1492)))</f>
        <v>0</v>
      </c>
      <c r="AV1492" s="57" t="n">
        <f aca="false">IF(LEFT(Cockpit!$O$5,1)="A",H1492,IF(CA1492=1,CB1492,IF(LEFT(Cockpit!$O$5,1)="B",AZ1492,MAX(AZ1492,H1492))))</f>
        <v>10</v>
      </c>
      <c r="AW1492" s="57" t="n">
        <f aca="false">IF(BT1492=1,0,ROUNDUP(AV1492/BS1492,0))</f>
        <v>1</v>
      </c>
      <c r="AX1492" s="59" t="n">
        <f aca="false">IF(CH1492&gt;0,CH1492*MAX(1,AV1492/X1492),IF(BT1492=1,IF(AV1492&lt;=0,0,BW1492*MAX(1,IF(H1492&gt;0,AV1492/H1492,1))),IF(R1492&gt;0,AW1492/R1492,0))/MAX(0.1,N(Parameter!$M$21)))</f>
        <v>0.0833333333333333</v>
      </c>
      <c r="AY1492" s="57" t="n">
        <f aca="false">AV1492*G1492</f>
        <v>274.1</v>
      </c>
      <c r="AZ1492" s="57" t="n">
        <f aca="false">ROUNDUP(MAX(J1492/IF(BZ1492&gt;0,BZ1492,MAX(0.1,N(Cockpit!$O$6))),CC1492)/BS1492,0)*BS1492</f>
        <v>10</v>
      </c>
      <c r="BA1492" s="58" t="n">
        <f aca="false">IF(AX1492&gt;0,J1492/AX1492,-1)</f>
        <v>0</v>
      </c>
      <c r="BB1492" s="58" t="n">
        <f aca="false">IF(AND(OR(BY1492="L1",BY1492="L23"),AX1492&gt;0),SUMIFS($AX$7:$AX$1843,$BY$7:$BY$1843,BY1492,$BA$7:$BA$1843,"&gt;"&amp;BA1492)+SUMIFS($AX$7:$AX$1843,$BY$7:$BY$1843,BY1492,$BA$7:$BA$1843,BA1492,$BQ$7:$BQ$1843,"&lt;="&amp;BQ1492),"")</f>
        <v>117.208894969765</v>
      </c>
      <c r="BC1492" s="65" t="n">
        <f aca="false">IF(BB1492="",0,MAX(0,MIN(1,(IF(BY1492="L1",Parameter!$E$5,Parameter!$E$6+Parameter!$E$7)-(BB1492-AX1492))/AX1492)))</f>
        <v>0</v>
      </c>
      <c r="BD1492" s="55" t="str">
        <f aca="false">IF(AH1492&lt;=0,"",IF(BY1492="Aussen","Aussenlager",IF(BY1492="-","Nicht im Lift",IF(AM1492&gt;=1,"Lift",IF(AM1492&lt;=0,"Aussenlager","teilweise")))))</f>
        <v>Lift</v>
      </c>
      <c r="BE1492" s="55" t="str">
        <f aca="false">IF(AP1492&lt;=0,"",IF(BY1492="Aussen","Aussenlager",IF(BY1492="-","Nicht im Lift",IF(AU1492&gt;=1,"Lift",IF(AU1492&lt;=0,"Aussenlager","teilweise")))))</f>
        <v>Aussenlager</v>
      </c>
      <c r="BF1492" s="55" t="str">
        <f aca="false">IF(AX1492&lt;=0,"",IF(BY1492="Aussen","Aussenlager",IF(BY1492="-","Nicht im Lift",IF(BC1492&gt;=1,"Lift",IF(BC1492&lt;=0,"Aussenlager","teilweise")))))</f>
        <v>Aussenlager</v>
      </c>
      <c r="BG1492" s="55" t="str">
        <f aca="false">IF(A1492="","",IF(BP1492=1,"Neu; ","")&amp;IF(AND(BP1492=0,BK1492&lt;0),"negativer Bestand (Export "&amp;BK1492&amp;"); ","")&amp;IF(J1492&lt;=0,"Kein Verbrauch; ","")&amp;IF(CH1492&gt;0,"Lift "&amp;W1492&amp;" lt. Liftbericht (Fach "&amp;X1492&amp;" Stk); ",IF(BU1492=1,"Gebinde geschätzt ("&amp;T1492&amp;"); ",IF(BT1492=1,"Lose – Tablare geschätzt; ","")))&amp;IF(H1492&gt;AR1492,"Überbestand "&amp;ROUND(H1492-AR1492,0)&amp;" Stk / CHF "&amp;ROUND((H1492-AR1492)*G1492,0)&amp;"; ","")&amp;IF(AND(CA1492=1,CB1492&lt;CC1492),"MAX &lt; MB+LG; ","")&amp;IF(AND(CG1492&gt;0,CF1492*10&gt;CG1492),"zu hoch für Tablar; ","")&amp;IF(AND(BP1492=0,OR(CA1492=1,AA1492&lt;&gt;"",U1492&lt;&gt;"",V1492&lt;&gt;"",AB1492&lt;&gt;"")),"manuell übersteuert; ","")&amp;IF(AND(BT1492=0,R1492=0),"Gebinde unbekannt / Stellmass fehlt; ","")&amp;IF(AND(BT1492=0,N(V1492)&lt;=0,N(Q1492)&lt;=0),"Menge pro Gebinde fehlt (Ist = 1 Gebinde); ","")&amp;BO1492)</f>
        <v>Kein Verbrauch; nur im Artikelstamm (Bestand 23.06.2026)</v>
      </c>
      <c r="BH1492" s="55"/>
      <c r="BI1492" s="55"/>
      <c r="BJ1492" s="62"/>
      <c r="BK1492" s="57" t="n">
        <v>10</v>
      </c>
      <c r="BL1492" s="57" t="n">
        <v>0</v>
      </c>
      <c r="BM1492" s="56" t="n">
        <v>0</v>
      </c>
      <c r="BN1492" s="57" t="n">
        <v>0</v>
      </c>
      <c r="BO1492" s="55" t="s">
        <v>2575</v>
      </c>
      <c r="BP1492" s="60" t="n">
        <v>0</v>
      </c>
      <c r="BQ1492" s="60" t="n">
        <v>1492</v>
      </c>
      <c r="BR1492" s="55" t="str">
        <f aca="false">IF(U1492&lt;&gt;"",UPPER(TRIM(U1492)),IF(BU1492=1,UPPER(VLOOKUP(T1492,Parameter!$I$27:$K$29,2,0)),IF(P1492="","LOSE",P1492)))</f>
        <v>S62</v>
      </c>
      <c r="BS1492" s="57" t="n">
        <f aca="false">IF(BR1492="LOSE",1,IF(N(V1492)&gt;0,V1492,IF(BU1492=1,MAX(1,N(VLOOKUP(T1492,Parameter!$I$27:$K$29,3,0)),H1492,N(N1492)),IF(N(Q1492)&gt;0,Q1492,MAX(1,H1492)))))</f>
        <v>10</v>
      </c>
      <c r="BT1492" s="60" t="n">
        <f aca="false">IF(BR1492="LOSE",1,0)</f>
        <v>0</v>
      </c>
      <c r="BU1492" s="60" t="n">
        <f aca="false">IF(AND(U1492="",OR(P1492="",P1492="LOSE"),T1492&lt;&gt;"",N(S1492)&lt;=0,ISNUMBER(MATCH(T1492,Parameter!$I$27:$I$29,0))),1,0)</f>
        <v>0</v>
      </c>
      <c r="BV1492" s="55" t="str">
        <f aca="false">IF(AND(Parameter!$B$19="Ja",E1492&lt;&gt;"",ISNUMBER(MATCH(E1492,Parameter!$I$35:$I$52,0))),VLOOKUP(E1492,Parameter!$I$35:$J$52,2,0),IFERROR(VLOOKUP(D1492,Parameter!$A$35:$C$64,2,0),"Nein"))</f>
        <v>2+3</v>
      </c>
      <c r="BW1492" s="59" t="n">
        <f aca="false">IF(BT1492=0,0,IF(N(S1492)&gt;0,S1492,IFERROR(VLOOKUP(D1492,Parameter!$A$35:$C$64,3,0)+0,0)))</f>
        <v>0</v>
      </c>
      <c r="BX1492" s="55" t="n">
        <f aca="false">IF(AA1492&lt;&gt;"",AA1492,Z1492)</f>
        <v>2</v>
      </c>
      <c r="BY1492" s="55" t="str">
        <f aca="false">IF(BX1492=1,"L1",IF(OR(BX1492=2,BX1492=3),"L23",IF(BX1492="Aussen","Aussen","-")))</f>
        <v>L23</v>
      </c>
      <c r="BZ1492" s="66" t="n">
        <f aca="false">IF(N(AB1492)&gt;0,AB1492,0)</f>
        <v>0</v>
      </c>
      <c r="CA1492" s="60" t="n">
        <f aca="false">IF(ISNUMBER(AE1492),1,0)</f>
        <v>0</v>
      </c>
      <c r="CB1492" s="57" t="n">
        <f aca="false">N(AE1492)</f>
        <v>0</v>
      </c>
      <c r="CC1492" s="57" t="n">
        <f aca="false">N(M1492)+N(N1492)</f>
        <v>1</v>
      </c>
      <c r="CD1492" s="57" t="n">
        <f aca="false">ROUNDUP(H1492/BS1492,0)</f>
        <v>1</v>
      </c>
      <c r="CE1492" s="57" t="n">
        <f aca="false">ROUNDUP(CB1492/BS1492,0)</f>
        <v>0</v>
      </c>
      <c r="CF1492" s="60" t="n">
        <f aca="false">IF(BT1492=1,0,IFERROR(VLOOKUP(BR1492,'Gebinde-Kategorie'!$A$5:$M$45,5,0)+0,0))</f>
        <v>21</v>
      </c>
      <c r="CG1492" s="60" t="n">
        <f aca="false">IFERROR(IF(OR(BX1492=1,BX1492=2,BX1492=3),N(INDEX(Parameter!$I$5:$I$7,BX1492)),0),0)</f>
        <v>0</v>
      </c>
      <c r="CH1492" s="59" t="n">
        <f aca="false">IF(AND(Parameter!$B$21="Ja",ISNUMBER(W1492),N(X1492)&gt;0),IFERROR(N(INDEX(Parameter!$L$5:$L$7,W1492))*INDEX(Parameter!$E$5:$E$7,W1492)*X1492/SUMIFS($X$7:$X$1843,$W$7:$W$1843,W1492),0),0)</f>
        <v>0</v>
      </c>
    </row>
    <row r="1493" customFormat="false" ht="15" hidden="false" customHeight="false" outlineLevel="0" collapsed="false">
      <c r="A1493" s="55" t="s">
        <v>2609</v>
      </c>
      <c r="B1493" s="55" t="s">
        <v>2610</v>
      </c>
      <c r="C1493" s="55" t="s">
        <v>164</v>
      </c>
      <c r="D1493" s="55" t="s">
        <v>173</v>
      </c>
      <c r="E1493" s="55" t="s">
        <v>185</v>
      </c>
      <c r="F1493" s="55"/>
      <c r="G1493" s="56" t="n">
        <v>11.83</v>
      </c>
      <c r="H1493" s="57" t="n">
        <f aca="false">MAX(0,IF(AND(Parameter!$B$21="Ja",ISNUMBER(Y1493)),Y1493,IF(Parameter!$B$20="Jahresanfang 2025 + Export",BL1493+BK1493,BK1493)))</f>
        <v>14</v>
      </c>
      <c r="I1493" s="57" t="n">
        <f aca="false">H1493*G1493</f>
        <v>165.62</v>
      </c>
      <c r="J1493" s="57" t="n">
        <f aca="false">BN1493*Parameter!$B$18</f>
        <v>0</v>
      </c>
      <c r="K1493" s="58"/>
      <c r="L1493" s="59"/>
      <c r="M1493" s="57" t="n">
        <v>0</v>
      </c>
      <c r="N1493" s="57" t="n">
        <v>2</v>
      </c>
      <c r="O1493" s="60" t="n">
        <v>0</v>
      </c>
      <c r="P1493" s="55" t="s">
        <v>233</v>
      </c>
      <c r="Q1493" s="57" t="n">
        <v>14</v>
      </c>
      <c r="R1493" s="60" t="n">
        <f aca="false">IF(BT1493=1,0,IFERROR(VLOOKUP(BR1493,'Gebinde-Kategorie'!$A$5:$M$45,13,0)+0,0))</f>
        <v>26</v>
      </c>
      <c r="S1493" s="61"/>
      <c r="T1493" s="62"/>
      <c r="U1493" s="62"/>
      <c r="V1493" s="62"/>
      <c r="W1493" s="55"/>
      <c r="X1493" s="57"/>
      <c r="Y1493" s="57"/>
      <c r="Z1493" s="55" t="n">
        <f aca="false">IF(A1493="","",IF(AND(Parameter!$B$21="Ja",ISNUMBER(W1493)),W1493,IF(BV1493="2+3",IF(ISNUMBER(SEARCH("grosser Artikel",BO1493)),2,IFERROR(VLOOKUP(BR1493,Parameter!$F$35:$G$64,2,0),2)),IF(OR(BV1493="Nein",BV1493=""),"-",BV1493))))</f>
        <v>3</v>
      </c>
      <c r="AA1493" s="62"/>
      <c r="AB1493" s="63"/>
      <c r="AC1493" s="57" t="n">
        <f aca="false">AR1493</f>
        <v>14</v>
      </c>
      <c r="AD1493" s="57" t="n">
        <f aca="false">MAX(AR1493,H1493)</f>
        <v>14</v>
      </c>
      <c r="AE1493" s="64"/>
      <c r="AF1493" s="57" t="n">
        <f aca="false">IF(LEFT(Cockpit!$C$5,1)="A",H1493,IF(CA1493=1,CB1493,IF(LEFT(Cockpit!$C$5,1)="B",AJ1493,MAX(AJ1493,H1493))))</f>
        <v>14</v>
      </c>
      <c r="AG1493" s="57" t="n">
        <f aca="false">IF(BT1493=1,0,ROUNDUP(AF1493/BS1493,0))</f>
        <v>1</v>
      </c>
      <c r="AH1493" s="59" t="n">
        <f aca="false">IF(CH1493&gt;0,CH1493*MAX(1,AF1493/X1493),IF(BT1493=1,IF(AF1493&lt;=0,0,BW1493*MAX(1,IF(H1493&gt;0,AF1493/H1493,1))),IF(R1493&gt;0,AG1493/R1493,0))/MAX(0.1,N(Parameter!$M$21)))</f>
        <v>0.0384615384615385</v>
      </c>
      <c r="AI1493" s="57" t="n">
        <f aca="false">AF1493*G1493</f>
        <v>165.62</v>
      </c>
      <c r="AJ1493" s="57" t="n">
        <f aca="false">ROUNDUP(MAX(J1493/IF(BZ1493&gt;0,BZ1493,MAX(0.1,N(Cockpit!$C$6))),CC1493)/BS1493,0)*BS1493</f>
        <v>14</v>
      </c>
      <c r="AK1493" s="58" t="n">
        <f aca="false">IF(AH1493&gt;0,J1493/AH1493,-1)</f>
        <v>0</v>
      </c>
      <c r="AL1493" s="58" t="n">
        <f aca="false">IF(AND(OR(BY1493="L1",BY1493="L23"),AH1493&gt;0),SUMIFS($AH$7:$AH$1843,$BY$7:$BY$1843,BY1493,$AK$7:$AK$1843,"&gt;"&amp;AK1493)+SUMIFS($AH$7:$AH$1843,$BY$7:$BY$1843,BY1493,$AK$7:$AK$1843,AK1493,$BQ$7:$BQ$1843,"&lt;="&amp;BQ1493),"")</f>
        <v>81.5050758420324</v>
      </c>
      <c r="AM1493" s="65" t="n">
        <f aca="false">IF(AL1493="",0,MAX(0,MIN(1,(IF(BY1493="L1",Parameter!$E$5,Parameter!$E$6+Parameter!$E$7)-(AL1493-AH1493))/AH1493)))</f>
        <v>1</v>
      </c>
      <c r="AN1493" s="57" t="n">
        <f aca="false">IF(LEFT(Cockpit!$I$5,1)="A",H1493,IF(CA1493=1,CB1493,IF(LEFT(Cockpit!$I$5,1)="B",AR1493,MAX(AR1493,H1493))))</f>
        <v>14</v>
      </c>
      <c r="AO1493" s="57" t="n">
        <f aca="false">IF(BT1493=1,0,ROUNDUP(AN1493/BS1493,0))</f>
        <v>1</v>
      </c>
      <c r="AP1493" s="59" t="n">
        <f aca="false">IF(CH1493&gt;0,CH1493*MAX(1,AN1493/X1493),IF(BT1493=1,IF(AN1493&lt;=0,0,BW1493*MAX(1,IF(H1493&gt;0,AN1493/H1493,1))),IF(R1493&gt;0,AO1493/R1493,0))/MAX(0.1,N(Parameter!$M$21)))</f>
        <v>0.0384615384615385</v>
      </c>
      <c r="AQ1493" s="57" t="n">
        <f aca="false">AN1493*G1493</f>
        <v>165.62</v>
      </c>
      <c r="AR1493" s="57" t="n">
        <f aca="false">ROUNDUP(MAX(J1493/IF(BZ1493&gt;0,BZ1493,MAX(0.1,N(Cockpit!$I$6))),CC1493)/BS1493,0)*BS1493</f>
        <v>14</v>
      </c>
      <c r="AS1493" s="58" t="n">
        <f aca="false">IF(AP1493&gt;0,J1493/AP1493,-1)</f>
        <v>0</v>
      </c>
      <c r="AT1493" s="58" t="n">
        <f aca="false">IF(AND(OR(BY1493="L1",BY1493="L23"),AP1493&gt;0),SUMIFS($AP$7:$AP$1843,$BY$7:$BY$1843,BY1493,$AS$7:$AS$1843,"&gt;"&amp;AS1493)+SUMIFS($AP$7:$AP$1843,$BY$7:$BY$1843,BY1493,$AS$7:$AS$1843,AS1493,$BQ$7:$BQ$1843,"&lt;="&amp;BQ1493),"")</f>
        <v>126.417519678389</v>
      </c>
      <c r="AU1493" s="65" t="n">
        <f aca="false">IF(AT1493="",0,MAX(0,MIN(1,(IF(BY1493="L1",Parameter!$E$5,Parameter!$E$6+Parameter!$E$7)-(AT1493-AP1493))/AP1493)))</f>
        <v>0</v>
      </c>
      <c r="AV1493" s="57" t="n">
        <f aca="false">IF(LEFT(Cockpit!$O$5,1)="A",H1493,IF(CA1493=1,CB1493,IF(LEFT(Cockpit!$O$5,1)="B",AZ1493,MAX(AZ1493,H1493))))</f>
        <v>14</v>
      </c>
      <c r="AW1493" s="57" t="n">
        <f aca="false">IF(BT1493=1,0,ROUNDUP(AV1493/BS1493,0))</f>
        <v>1</v>
      </c>
      <c r="AX1493" s="59" t="n">
        <f aca="false">IF(CH1493&gt;0,CH1493*MAX(1,AV1493/X1493),IF(BT1493=1,IF(AV1493&lt;=0,0,BW1493*MAX(1,IF(H1493&gt;0,AV1493/H1493,1))),IF(R1493&gt;0,AW1493/R1493,0))/MAX(0.1,N(Parameter!$M$21)))</f>
        <v>0.0384615384615385</v>
      </c>
      <c r="AY1493" s="57" t="n">
        <f aca="false">AV1493*G1493</f>
        <v>165.62</v>
      </c>
      <c r="AZ1493" s="57" t="n">
        <f aca="false">ROUNDUP(MAX(J1493/IF(BZ1493&gt;0,BZ1493,MAX(0.1,N(Cockpit!$O$6))),CC1493)/BS1493,0)*BS1493</f>
        <v>14</v>
      </c>
      <c r="BA1493" s="58" t="n">
        <f aca="false">IF(AX1493&gt;0,J1493/AX1493,-1)</f>
        <v>0</v>
      </c>
      <c r="BB1493" s="58" t="n">
        <f aca="false">IF(AND(OR(BY1493="L1",BY1493="L23"),AX1493&gt;0),SUMIFS($AX$7:$AX$1843,$BY$7:$BY$1843,BY1493,$BA$7:$BA$1843,"&gt;"&amp;BA1493)+SUMIFS($AX$7:$AX$1843,$BY$7:$BY$1843,BY1493,$BA$7:$BA$1843,BA1493,$BQ$7:$BQ$1843,"&lt;="&amp;BQ1493),"")</f>
        <v>117.247356508226</v>
      </c>
      <c r="BC1493" s="65" t="n">
        <f aca="false">IF(BB1493="",0,MAX(0,MIN(1,(IF(BY1493="L1",Parameter!$E$5,Parameter!$E$6+Parameter!$E$7)-(BB1493-AX1493))/AX1493)))</f>
        <v>0</v>
      </c>
      <c r="BD1493" s="55" t="str">
        <f aca="false">IF(AH1493&lt;=0,"",IF(BY1493="Aussen","Aussenlager",IF(BY1493="-","Nicht im Lift",IF(AM1493&gt;=1,"Lift",IF(AM1493&lt;=0,"Aussenlager","teilweise")))))</f>
        <v>Lift</v>
      </c>
      <c r="BE1493" s="55" t="str">
        <f aca="false">IF(AP1493&lt;=0,"",IF(BY1493="Aussen","Aussenlager",IF(BY1493="-","Nicht im Lift",IF(AU1493&gt;=1,"Lift",IF(AU1493&lt;=0,"Aussenlager","teilweise")))))</f>
        <v>Aussenlager</v>
      </c>
      <c r="BF1493" s="55" t="str">
        <f aca="false">IF(AX1493&lt;=0,"",IF(BY1493="Aussen","Aussenlager",IF(BY1493="-","Nicht im Lift",IF(BC1493&gt;=1,"Lift",IF(BC1493&lt;=0,"Aussenlager","teilweise")))))</f>
        <v>Aussenlager</v>
      </c>
      <c r="BG1493" s="55" t="str">
        <f aca="false">IF(A1493="","",IF(BP1493=1,"Neu; ","")&amp;IF(AND(BP1493=0,BK1493&lt;0),"negativer Bestand (Export "&amp;BK1493&amp;"); ","")&amp;IF(J1493&lt;=0,"Kein Verbrauch; ","")&amp;IF(CH1493&gt;0,"Lift "&amp;W1493&amp;" lt. Liftbericht (Fach "&amp;X1493&amp;" Stk); ",IF(BU1493=1,"Gebinde geschätzt ("&amp;T1493&amp;"); ",IF(BT1493=1,"Lose – Tablare geschätzt; ","")))&amp;IF(H1493&gt;AR1493,"Überbestand "&amp;ROUND(H1493-AR1493,0)&amp;" Stk / CHF "&amp;ROUND((H1493-AR1493)*G1493,0)&amp;"; ","")&amp;IF(AND(CA1493=1,CB1493&lt;CC1493),"MAX &lt; MB+LG; ","")&amp;IF(AND(CG1493&gt;0,CF1493*10&gt;CG1493),"zu hoch für Tablar; ","")&amp;IF(AND(BP1493=0,OR(CA1493=1,AA1493&lt;&gt;"",U1493&lt;&gt;"",V1493&lt;&gt;"",AB1493&lt;&gt;"")),"manuell übersteuert; ","")&amp;IF(AND(BT1493=0,R1493=0),"Gebinde unbekannt / Stellmass fehlt; ","")&amp;IF(AND(BT1493=0,N(V1493)&lt;=0,N(Q1493)&lt;=0),"Menge pro Gebinde fehlt (Ist = 1 Gebinde); ","")&amp;BO1493)</f>
        <v>Kein Verbrauch; nur im Artikelstamm (Bestand 23.06.2026)</v>
      </c>
      <c r="BH1493" s="55"/>
      <c r="BI1493" s="55"/>
      <c r="BJ1493" s="62"/>
      <c r="BK1493" s="57" t="n">
        <v>14</v>
      </c>
      <c r="BL1493" s="57" t="n">
        <v>0</v>
      </c>
      <c r="BM1493" s="56" t="n">
        <v>0</v>
      </c>
      <c r="BN1493" s="57" t="n">
        <v>0</v>
      </c>
      <c r="BO1493" s="55" t="s">
        <v>2575</v>
      </c>
      <c r="BP1493" s="60" t="n">
        <v>0</v>
      </c>
      <c r="BQ1493" s="60" t="n">
        <v>1493</v>
      </c>
      <c r="BR1493" s="55" t="str">
        <f aca="false">IF(U1493&lt;&gt;"",UPPER(TRIM(U1493)),IF(BU1493=1,UPPER(VLOOKUP(T1493,Parameter!$I$27:$K$29,2,0)),IF(P1493="","LOSE",P1493)))</f>
        <v>S52</v>
      </c>
      <c r="BS1493" s="57" t="n">
        <f aca="false">IF(BR1493="LOSE",1,IF(N(V1493)&gt;0,V1493,IF(BU1493=1,MAX(1,N(VLOOKUP(T1493,Parameter!$I$27:$K$29,3,0)),H1493,N(N1493)),IF(N(Q1493)&gt;0,Q1493,MAX(1,H1493)))))</f>
        <v>14</v>
      </c>
      <c r="BT1493" s="60" t="n">
        <f aca="false">IF(BR1493="LOSE",1,0)</f>
        <v>0</v>
      </c>
      <c r="BU1493" s="60" t="n">
        <f aca="false">IF(AND(U1493="",OR(P1493="",P1493="LOSE"),T1493&lt;&gt;"",N(S1493)&lt;=0,ISNUMBER(MATCH(T1493,Parameter!$I$27:$I$29,0))),1,0)</f>
        <v>0</v>
      </c>
      <c r="BV1493" s="55" t="str">
        <f aca="false">IF(AND(Parameter!$B$19="Ja",E1493&lt;&gt;"",ISNUMBER(MATCH(E1493,Parameter!$I$35:$I$52,0))),VLOOKUP(E1493,Parameter!$I$35:$J$52,2,0),IFERROR(VLOOKUP(D1493,Parameter!$A$35:$C$64,2,0),"Nein"))</f>
        <v>2+3</v>
      </c>
      <c r="BW1493" s="59" t="n">
        <f aca="false">IF(BT1493=0,0,IF(N(S1493)&gt;0,S1493,IFERROR(VLOOKUP(D1493,Parameter!$A$35:$C$64,3,0)+0,0)))</f>
        <v>0</v>
      </c>
      <c r="BX1493" s="55" t="n">
        <f aca="false">IF(AA1493&lt;&gt;"",AA1493,Z1493)</f>
        <v>3</v>
      </c>
      <c r="BY1493" s="55" t="str">
        <f aca="false">IF(BX1493=1,"L1",IF(OR(BX1493=2,BX1493=3),"L23",IF(BX1493="Aussen","Aussen","-")))</f>
        <v>L23</v>
      </c>
      <c r="BZ1493" s="66" t="n">
        <f aca="false">IF(N(AB1493)&gt;0,AB1493,0)</f>
        <v>0</v>
      </c>
      <c r="CA1493" s="60" t="n">
        <f aca="false">IF(ISNUMBER(AE1493),1,0)</f>
        <v>0</v>
      </c>
      <c r="CB1493" s="57" t="n">
        <f aca="false">N(AE1493)</f>
        <v>0</v>
      </c>
      <c r="CC1493" s="57" t="n">
        <f aca="false">N(M1493)+N(N1493)</f>
        <v>2</v>
      </c>
      <c r="CD1493" s="57" t="n">
        <f aca="false">ROUNDUP(H1493/BS1493,0)</f>
        <v>1</v>
      </c>
      <c r="CE1493" s="57" t="n">
        <f aca="false">ROUNDUP(CB1493/BS1493,0)</f>
        <v>0</v>
      </c>
      <c r="CF1493" s="60" t="n">
        <f aca="false">IF(BT1493=1,0,IFERROR(VLOOKUP(BR1493,'Gebinde-Kategorie'!$A$5:$M$45,5,0)+0,0))</f>
        <v>21</v>
      </c>
      <c r="CG1493" s="60" t="n">
        <f aca="false">IFERROR(IF(OR(BX1493=1,BX1493=2,BX1493=3),N(INDEX(Parameter!$I$5:$I$7,BX1493)),0),0)</f>
        <v>0</v>
      </c>
      <c r="CH1493" s="59" t="n">
        <f aca="false">IF(AND(Parameter!$B$21="Ja",ISNUMBER(W1493),N(X1493)&gt;0),IFERROR(N(INDEX(Parameter!$L$5:$L$7,W1493))*INDEX(Parameter!$E$5:$E$7,W1493)*X1493/SUMIFS($X$7:$X$1843,$W$7:$W$1843,W1493),0),0)</f>
        <v>0</v>
      </c>
    </row>
    <row r="1494" customFormat="false" ht="15" hidden="false" customHeight="false" outlineLevel="0" collapsed="false">
      <c r="A1494" s="55" t="s">
        <v>2611</v>
      </c>
      <c r="B1494" s="55" t="s">
        <v>2610</v>
      </c>
      <c r="C1494" s="55" t="s">
        <v>164</v>
      </c>
      <c r="D1494" s="55" t="s">
        <v>173</v>
      </c>
      <c r="E1494" s="55" t="s">
        <v>185</v>
      </c>
      <c r="F1494" s="55"/>
      <c r="G1494" s="56" t="n">
        <v>13.79</v>
      </c>
      <c r="H1494" s="57" t="n">
        <f aca="false">MAX(0,IF(AND(Parameter!$B$21="Ja",ISNUMBER(Y1494)),Y1494,IF(Parameter!$B$20="Jahresanfang 2025 + Export",BL1494+BK1494,BK1494)))</f>
        <v>24</v>
      </c>
      <c r="I1494" s="57" t="n">
        <f aca="false">H1494*G1494</f>
        <v>330.96</v>
      </c>
      <c r="J1494" s="57" t="n">
        <f aca="false">BN1494*Parameter!$B$18</f>
        <v>0</v>
      </c>
      <c r="K1494" s="58"/>
      <c r="L1494" s="59"/>
      <c r="M1494" s="57" t="n">
        <v>0</v>
      </c>
      <c r="N1494" s="57" t="n">
        <v>2</v>
      </c>
      <c r="O1494" s="60" t="n">
        <v>0</v>
      </c>
      <c r="P1494" s="55" t="s">
        <v>233</v>
      </c>
      <c r="Q1494" s="57" t="n">
        <v>24</v>
      </c>
      <c r="R1494" s="60" t="n">
        <f aca="false">IF(BT1494=1,0,IFERROR(VLOOKUP(BR1494,'Gebinde-Kategorie'!$A$5:$M$45,13,0)+0,0))</f>
        <v>26</v>
      </c>
      <c r="S1494" s="61"/>
      <c r="T1494" s="62"/>
      <c r="U1494" s="62"/>
      <c r="V1494" s="62"/>
      <c r="W1494" s="55"/>
      <c r="X1494" s="57"/>
      <c r="Y1494" s="57"/>
      <c r="Z1494" s="55" t="n">
        <f aca="false">IF(A1494="","",IF(AND(Parameter!$B$21="Ja",ISNUMBER(W1494)),W1494,IF(BV1494="2+3",IF(ISNUMBER(SEARCH("grosser Artikel",BO1494)),2,IFERROR(VLOOKUP(BR1494,Parameter!$F$35:$G$64,2,0),2)),IF(OR(BV1494="Nein",BV1494=""),"-",BV1494))))</f>
        <v>3</v>
      </c>
      <c r="AA1494" s="62"/>
      <c r="AB1494" s="63"/>
      <c r="AC1494" s="57" t="n">
        <f aca="false">AR1494</f>
        <v>24</v>
      </c>
      <c r="AD1494" s="57" t="n">
        <f aca="false">MAX(AR1494,H1494)</f>
        <v>24</v>
      </c>
      <c r="AE1494" s="64"/>
      <c r="AF1494" s="57" t="n">
        <f aca="false">IF(LEFT(Cockpit!$C$5,1)="A",H1494,IF(CA1494=1,CB1494,IF(LEFT(Cockpit!$C$5,1)="B",AJ1494,MAX(AJ1494,H1494))))</f>
        <v>24</v>
      </c>
      <c r="AG1494" s="57" t="n">
        <f aca="false">IF(BT1494=1,0,ROUNDUP(AF1494/BS1494,0))</f>
        <v>1</v>
      </c>
      <c r="AH1494" s="59" t="n">
        <f aca="false">IF(CH1494&gt;0,CH1494*MAX(1,AF1494/X1494),IF(BT1494=1,IF(AF1494&lt;=0,0,BW1494*MAX(1,IF(H1494&gt;0,AF1494/H1494,1))),IF(R1494&gt;0,AG1494/R1494,0))/MAX(0.1,N(Parameter!$M$21)))</f>
        <v>0.0384615384615385</v>
      </c>
      <c r="AI1494" s="57" t="n">
        <f aca="false">AF1494*G1494</f>
        <v>330.96</v>
      </c>
      <c r="AJ1494" s="57" t="n">
        <f aca="false">ROUNDUP(MAX(J1494/IF(BZ1494&gt;0,BZ1494,MAX(0.1,N(Cockpit!$C$6))),CC1494)/BS1494,0)*BS1494</f>
        <v>24</v>
      </c>
      <c r="AK1494" s="58" t="n">
        <f aca="false">IF(AH1494&gt;0,J1494/AH1494,-1)</f>
        <v>0</v>
      </c>
      <c r="AL1494" s="58" t="n">
        <f aca="false">IF(AND(OR(BY1494="L1",BY1494="L23"),AH1494&gt;0),SUMIFS($AH$7:$AH$1843,$BY$7:$BY$1843,BY1494,$AK$7:$AK$1843,"&gt;"&amp;AK1494)+SUMIFS($AH$7:$AH$1843,$BY$7:$BY$1843,BY1494,$AK$7:$AK$1843,AK1494,$BQ$7:$BQ$1843,"&lt;="&amp;BQ1494),"")</f>
        <v>81.5435373804939</v>
      </c>
      <c r="AM1494" s="65" t="n">
        <f aca="false">IF(AL1494="",0,MAX(0,MIN(1,(IF(BY1494="L1",Parameter!$E$5,Parameter!$E$6+Parameter!$E$7)-(AL1494-AH1494))/AH1494)))</f>
        <v>1</v>
      </c>
      <c r="AN1494" s="57" t="n">
        <f aca="false">IF(LEFT(Cockpit!$I$5,1)="A",H1494,IF(CA1494=1,CB1494,IF(LEFT(Cockpit!$I$5,1)="B",AR1494,MAX(AR1494,H1494))))</f>
        <v>24</v>
      </c>
      <c r="AO1494" s="57" t="n">
        <f aca="false">IF(BT1494=1,0,ROUNDUP(AN1494/BS1494,0))</f>
        <v>1</v>
      </c>
      <c r="AP1494" s="59" t="n">
        <f aca="false">IF(CH1494&gt;0,CH1494*MAX(1,AN1494/X1494),IF(BT1494=1,IF(AN1494&lt;=0,0,BW1494*MAX(1,IF(H1494&gt;0,AN1494/H1494,1))),IF(R1494&gt;0,AO1494/R1494,0))/MAX(0.1,N(Parameter!$M$21)))</f>
        <v>0.0384615384615385</v>
      </c>
      <c r="AQ1494" s="57" t="n">
        <f aca="false">AN1494*G1494</f>
        <v>330.96</v>
      </c>
      <c r="AR1494" s="57" t="n">
        <f aca="false">ROUNDUP(MAX(J1494/IF(BZ1494&gt;0,BZ1494,MAX(0.1,N(Cockpit!$I$6))),CC1494)/BS1494,0)*BS1494</f>
        <v>24</v>
      </c>
      <c r="AS1494" s="58" t="n">
        <f aca="false">IF(AP1494&gt;0,J1494/AP1494,-1)</f>
        <v>0</v>
      </c>
      <c r="AT1494" s="58" t="n">
        <f aca="false">IF(AND(OR(BY1494="L1",BY1494="L23"),AP1494&gt;0),SUMIFS($AP$7:$AP$1843,$BY$7:$BY$1843,BY1494,$AS$7:$AS$1843,"&gt;"&amp;AS1494)+SUMIFS($AP$7:$AP$1843,$BY$7:$BY$1843,BY1494,$AS$7:$AS$1843,AS1494,$BQ$7:$BQ$1843,"&lt;="&amp;BQ1494),"")</f>
        <v>126.455981216851</v>
      </c>
      <c r="AU1494" s="65" t="n">
        <f aca="false">IF(AT1494="",0,MAX(0,MIN(1,(IF(BY1494="L1",Parameter!$E$5,Parameter!$E$6+Parameter!$E$7)-(AT1494-AP1494))/AP1494)))</f>
        <v>0</v>
      </c>
      <c r="AV1494" s="57" t="n">
        <f aca="false">IF(LEFT(Cockpit!$O$5,1)="A",H1494,IF(CA1494=1,CB1494,IF(LEFT(Cockpit!$O$5,1)="B",AZ1494,MAX(AZ1494,H1494))))</f>
        <v>24</v>
      </c>
      <c r="AW1494" s="57" t="n">
        <f aca="false">IF(BT1494=1,0,ROUNDUP(AV1494/BS1494,0))</f>
        <v>1</v>
      </c>
      <c r="AX1494" s="59" t="n">
        <f aca="false">IF(CH1494&gt;0,CH1494*MAX(1,AV1494/X1494),IF(BT1494=1,IF(AV1494&lt;=0,0,BW1494*MAX(1,IF(H1494&gt;0,AV1494/H1494,1))),IF(R1494&gt;0,AW1494/R1494,0))/MAX(0.1,N(Parameter!$M$21)))</f>
        <v>0.0384615384615385</v>
      </c>
      <c r="AY1494" s="57" t="n">
        <f aca="false">AV1494*G1494</f>
        <v>330.96</v>
      </c>
      <c r="AZ1494" s="57" t="n">
        <f aca="false">ROUNDUP(MAX(J1494/IF(BZ1494&gt;0,BZ1494,MAX(0.1,N(Cockpit!$O$6))),CC1494)/BS1494,0)*BS1494</f>
        <v>24</v>
      </c>
      <c r="BA1494" s="58" t="n">
        <f aca="false">IF(AX1494&gt;0,J1494/AX1494,-1)</f>
        <v>0</v>
      </c>
      <c r="BB1494" s="58" t="n">
        <f aca="false">IF(AND(OR(BY1494="L1",BY1494="L23"),AX1494&gt;0),SUMIFS($AX$7:$AX$1843,$BY$7:$BY$1843,BY1494,$BA$7:$BA$1843,"&gt;"&amp;BA1494)+SUMIFS($AX$7:$AX$1843,$BY$7:$BY$1843,BY1494,$BA$7:$BA$1843,BA1494,$BQ$7:$BQ$1843,"&lt;="&amp;BQ1494),"")</f>
        <v>117.285818046688</v>
      </c>
      <c r="BC1494" s="65" t="n">
        <f aca="false">IF(BB1494="",0,MAX(0,MIN(1,(IF(BY1494="L1",Parameter!$E$5,Parameter!$E$6+Parameter!$E$7)-(BB1494-AX1494))/AX1494)))</f>
        <v>0</v>
      </c>
      <c r="BD1494" s="55" t="str">
        <f aca="false">IF(AH1494&lt;=0,"",IF(BY1494="Aussen","Aussenlager",IF(BY1494="-","Nicht im Lift",IF(AM1494&gt;=1,"Lift",IF(AM1494&lt;=0,"Aussenlager","teilweise")))))</f>
        <v>Lift</v>
      </c>
      <c r="BE1494" s="55" t="str">
        <f aca="false">IF(AP1494&lt;=0,"",IF(BY1494="Aussen","Aussenlager",IF(BY1494="-","Nicht im Lift",IF(AU1494&gt;=1,"Lift",IF(AU1494&lt;=0,"Aussenlager","teilweise")))))</f>
        <v>Aussenlager</v>
      </c>
      <c r="BF1494" s="55" t="str">
        <f aca="false">IF(AX1494&lt;=0,"",IF(BY1494="Aussen","Aussenlager",IF(BY1494="-","Nicht im Lift",IF(BC1494&gt;=1,"Lift",IF(BC1494&lt;=0,"Aussenlager","teilweise")))))</f>
        <v>Aussenlager</v>
      </c>
      <c r="BG1494" s="55" t="str">
        <f aca="false">IF(A1494="","",IF(BP1494=1,"Neu; ","")&amp;IF(AND(BP1494=0,BK1494&lt;0),"negativer Bestand (Export "&amp;BK1494&amp;"); ","")&amp;IF(J1494&lt;=0,"Kein Verbrauch; ","")&amp;IF(CH1494&gt;0,"Lift "&amp;W1494&amp;" lt. Liftbericht (Fach "&amp;X1494&amp;" Stk); ",IF(BU1494=1,"Gebinde geschätzt ("&amp;T1494&amp;"); ",IF(BT1494=1,"Lose – Tablare geschätzt; ","")))&amp;IF(H1494&gt;AR1494,"Überbestand "&amp;ROUND(H1494-AR1494,0)&amp;" Stk / CHF "&amp;ROUND((H1494-AR1494)*G1494,0)&amp;"; ","")&amp;IF(AND(CA1494=1,CB1494&lt;CC1494),"MAX &lt; MB+LG; ","")&amp;IF(AND(CG1494&gt;0,CF1494*10&gt;CG1494),"zu hoch für Tablar; ","")&amp;IF(AND(BP1494=0,OR(CA1494=1,AA1494&lt;&gt;"",U1494&lt;&gt;"",V1494&lt;&gt;"",AB1494&lt;&gt;"")),"manuell übersteuert; ","")&amp;IF(AND(BT1494=0,R1494=0),"Gebinde unbekannt / Stellmass fehlt; ","")&amp;IF(AND(BT1494=0,N(V1494)&lt;=0,N(Q1494)&lt;=0),"Menge pro Gebinde fehlt (Ist = 1 Gebinde); ","")&amp;BO1494)</f>
        <v>Kein Verbrauch; nur im Artikelstamm (Bestand 23.06.2026)</v>
      </c>
      <c r="BH1494" s="55"/>
      <c r="BI1494" s="55"/>
      <c r="BJ1494" s="62"/>
      <c r="BK1494" s="57" t="n">
        <v>24</v>
      </c>
      <c r="BL1494" s="57" t="n">
        <v>0</v>
      </c>
      <c r="BM1494" s="56" t="n">
        <v>0</v>
      </c>
      <c r="BN1494" s="57" t="n">
        <v>0</v>
      </c>
      <c r="BO1494" s="55" t="s">
        <v>2575</v>
      </c>
      <c r="BP1494" s="60" t="n">
        <v>0</v>
      </c>
      <c r="BQ1494" s="60" t="n">
        <v>1494</v>
      </c>
      <c r="BR1494" s="55" t="str">
        <f aca="false">IF(U1494&lt;&gt;"",UPPER(TRIM(U1494)),IF(BU1494=1,UPPER(VLOOKUP(T1494,Parameter!$I$27:$K$29,2,0)),IF(P1494="","LOSE",P1494)))</f>
        <v>S52</v>
      </c>
      <c r="BS1494" s="57" t="n">
        <f aca="false">IF(BR1494="LOSE",1,IF(N(V1494)&gt;0,V1494,IF(BU1494=1,MAX(1,N(VLOOKUP(T1494,Parameter!$I$27:$K$29,3,0)),H1494,N(N1494)),IF(N(Q1494)&gt;0,Q1494,MAX(1,H1494)))))</f>
        <v>24</v>
      </c>
      <c r="BT1494" s="60" t="n">
        <f aca="false">IF(BR1494="LOSE",1,0)</f>
        <v>0</v>
      </c>
      <c r="BU1494" s="60" t="n">
        <f aca="false">IF(AND(U1494="",OR(P1494="",P1494="LOSE"),T1494&lt;&gt;"",N(S1494)&lt;=0,ISNUMBER(MATCH(T1494,Parameter!$I$27:$I$29,0))),1,0)</f>
        <v>0</v>
      </c>
      <c r="BV1494" s="55" t="str">
        <f aca="false">IF(AND(Parameter!$B$19="Ja",E1494&lt;&gt;"",ISNUMBER(MATCH(E1494,Parameter!$I$35:$I$52,0))),VLOOKUP(E1494,Parameter!$I$35:$J$52,2,0),IFERROR(VLOOKUP(D1494,Parameter!$A$35:$C$64,2,0),"Nein"))</f>
        <v>2+3</v>
      </c>
      <c r="BW1494" s="59" t="n">
        <f aca="false">IF(BT1494=0,0,IF(N(S1494)&gt;0,S1494,IFERROR(VLOOKUP(D1494,Parameter!$A$35:$C$64,3,0)+0,0)))</f>
        <v>0</v>
      </c>
      <c r="BX1494" s="55" t="n">
        <f aca="false">IF(AA1494&lt;&gt;"",AA1494,Z1494)</f>
        <v>3</v>
      </c>
      <c r="BY1494" s="55" t="str">
        <f aca="false">IF(BX1494=1,"L1",IF(OR(BX1494=2,BX1494=3),"L23",IF(BX1494="Aussen","Aussen","-")))</f>
        <v>L23</v>
      </c>
      <c r="BZ1494" s="66" t="n">
        <f aca="false">IF(N(AB1494)&gt;0,AB1494,0)</f>
        <v>0</v>
      </c>
      <c r="CA1494" s="60" t="n">
        <f aca="false">IF(ISNUMBER(AE1494),1,0)</f>
        <v>0</v>
      </c>
      <c r="CB1494" s="57" t="n">
        <f aca="false">N(AE1494)</f>
        <v>0</v>
      </c>
      <c r="CC1494" s="57" t="n">
        <f aca="false">N(M1494)+N(N1494)</f>
        <v>2</v>
      </c>
      <c r="CD1494" s="57" t="n">
        <f aca="false">ROUNDUP(H1494/BS1494,0)</f>
        <v>1</v>
      </c>
      <c r="CE1494" s="57" t="n">
        <f aca="false">ROUNDUP(CB1494/BS1494,0)</f>
        <v>0</v>
      </c>
      <c r="CF1494" s="60" t="n">
        <f aca="false">IF(BT1494=1,0,IFERROR(VLOOKUP(BR1494,'Gebinde-Kategorie'!$A$5:$M$45,5,0)+0,0))</f>
        <v>21</v>
      </c>
      <c r="CG1494" s="60" t="n">
        <f aca="false">IFERROR(IF(OR(BX1494=1,BX1494=2,BX1494=3),N(INDEX(Parameter!$I$5:$I$7,BX1494)),0),0)</f>
        <v>0</v>
      </c>
      <c r="CH1494" s="59" t="n">
        <f aca="false">IF(AND(Parameter!$B$21="Ja",ISNUMBER(W1494),N(X1494)&gt;0),IFERROR(N(INDEX(Parameter!$L$5:$L$7,W1494))*INDEX(Parameter!$E$5:$E$7,W1494)*X1494/SUMIFS($X$7:$X$1843,$W$7:$W$1843,W1494),0),0)</f>
        <v>0</v>
      </c>
    </row>
    <row r="1495" customFormat="false" ht="15" hidden="false" customHeight="false" outlineLevel="0" collapsed="false">
      <c r="A1495" s="55" t="s">
        <v>2612</v>
      </c>
      <c r="B1495" s="55" t="s">
        <v>2613</v>
      </c>
      <c r="C1495" s="55" t="s">
        <v>164</v>
      </c>
      <c r="D1495" s="55" t="s">
        <v>184</v>
      </c>
      <c r="E1495" s="55" t="s">
        <v>185</v>
      </c>
      <c r="F1495" s="55"/>
      <c r="G1495" s="56" t="n">
        <v>5.3</v>
      </c>
      <c r="H1495" s="57" t="n">
        <f aca="false">MAX(0,IF(AND(Parameter!$B$21="Ja",ISNUMBER(Y1495)),Y1495,IF(Parameter!$B$20="Jahresanfang 2025 + Export",BL1495+BK1495,BK1495)))</f>
        <v>18</v>
      </c>
      <c r="I1495" s="57" t="n">
        <f aca="false">H1495*G1495</f>
        <v>95.4</v>
      </c>
      <c r="J1495" s="57" t="n">
        <f aca="false">BN1495*Parameter!$B$18</f>
        <v>0</v>
      </c>
      <c r="K1495" s="58"/>
      <c r="L1495" s="59"/>
      <c r="M1495" s="57" t="n">
        <v>0</v>
      </c>
      <c r="N1495" s="57" t="n">
        <v>10</v>
      </c>
      <c r="O1495" s="60" t="n">
        <v>14</v>
      </c>
      <c r="P1495" s="55" t="s">
        <v>401</v>
      </c>
      <c r="Q1495" s="57" t="n">
        <v>18</v>
      </c>
      <c r="R1495" s="60" t="n">
        <f aca="false">IF(BT1495=1,0,IFERROR(VLOOKUP(BR1495,'Gebinde-Kategorie'!$A$5:$M$45,13,0)+0,0))</f>
        <v>414</v>
      </c>
      <c r="S1495" s="61"/>
      <c r="T1495" s="62"/>
      <c r="U1495" s="62"/>
      <c r="V1495" s="62"/>
      <c r="W1495" s="55"/>
      <c r="X1495" s="57"/>
      <c r="Y1495" s="57"/>
      <c r="Z1495" s="55" t="n">
        <f aca="false">IF(A1495="","",IF(AND(Parameter!$B$21="Ja",ISNUMBER(W1495)),W1495,IF(BV1495="2+3",IF(ISNUMBER(SEARCH("grosser Artikel",BO1495)),2,IFERROR(VLOOKUP(BR1495,Parameter!$F$35:$G$64,2,0),2)),IF(OR(BV1495="Nein",BV1495=""),"-",BV1495))))</f>
        <v>3</v>
      </c>
      <c r="AA1495" s="62"/>
      <c r="AB1495" s="63"/>
      <c r="AC1495" s="57" t="n">
        <f aca="false">AR1495</f>
        <v>18</v>
      </c>
      <c r="AD1495" s="57" t="n">
        <f aca="false">MAX(AR1495,H1495)</f>
        <v>18</v>
      </c>
      <c r="AE1495" s="64"/>
      <c r="AF1495" s="57" t="n">
        <f aca="false">IF(LEFT(Cockpit!$C$5,1)="A",H1495,IF(CA1495=1,CB1495,IF(LEFT(Cockpit!$C$5,1)="B",AJ1495,MAX(AJ1495,H1495))))</f>
        <v>18</v>
      </c>
      <c r="AG1495" s="57" t="n">
        <f aca="false">IF(BT1495=1,0,ROUNDUP(AF1495/BS1495,0))</f>
        <v>1</v>
      </c>
      <c r="AH1495" s="59" t="n">
        <f aca="false">IF(CH1495&gt;0,CH1495*MAX(1,AF1495/X1495),IF(BT1495=1,IF(AF1495&lt;=0,0,BW1495*MAX(1,IF(H1495&gt;0,AF1495/H1495,1))),IF(R1495&gt;0,AG1495/R1495,0))/MAX(0.1,N(Parameter!$M$21)))</f>
        <v>0.00241545893719807</v>
      </c>
      <c r="AI1495" s="57" t="n">
        <f aca="false">AF1495*G1495</f>
        <v>95.4</v>
      </c>
      <c r="AJ1495" s="57" t="n">
        <f aca="false">ROUNDUP(MAX(J1495/IF(BZ1495&gt;0,BZ1495,MAX(0.1,N(Cockpit!$C$6))),CC1495)/BS1495,0)*BS1495</f>
        <v>18</v>
      </c>
      <c r="AK1495" s="58" t="n">
        <f aca="false">IF(AH1495&gt;0,J1495/AH1495,-1)</f>
        <v>0</v>
      </c>
      <c r="AL1495" s="58" t="n">
        <f aca="false">IF(AND(OR(BY1495="L1",BY1495="L23"),AH1495&gt;0),SUMIFS($AH$7:$AH$1843,$BY$7:$BY$1843,BY1495,$AK$7:$AK$1843,"&gt;"&amp;AK1495)+SUMIFS($AH$7:$AH$1843,$BY$7:$BY$1843,BY1495,$AK$7:$AK$1843,AK1495,$BQ$7:$BQ$1843,"&lt;="&amp;BQ1495),"")</f>
        <v>81.5459528394311</v>
      </c>
      <c r="AM1495" s="65" t="n">
        <f aca="false">IF(AL1495="",0,MAX(0,MIN(1,(IF(BY1495="L1",Parameter!$E$5,Parameter!$E$6+Parameter!$E$7)-(AL1495-AH1495))/AH1495)))</f>
        <v>1</v>
      </c>
      <c r="AN1495" s="57" t="n">
        <f aca="false">IF(LEFT(Cockpit!$I$5,1)="A",H1495,IF(CA1495=1,CB1495,IF(LEFT(Cockpit!$I$5,1)="B",AR1495,MAX(AR1495,H1495))))</f>
        <v>18</v>
      </c>
      <c r="AO1495" s="57" t="n">
        <f aca="false">IF(BT1495=1,0,ROUNDUP(AN1495/BS1495,0))</f>
        <v>1</v>
      </c>
      <c r="AP1495" s="59" t="n">
        <f aca="false">IF(CH1495&gt;0,CH1495*MAX(1,AN1495/X1495),IF(BT1495=1,IF(AN1495&lt;=0,0,BW1495*MAX(1,IF(H1495&gt;0,AN1495/H1495,1))),IF(R1495&gt;0,AO1495/R1495,0))/MAX(0.1,N(Parameter!$M$21)))</f>
        <v>0.00241545893719807</v>
      </c>
      <c r="AQ1495" s="57" t="n">
        <f aca="false">AN1495*G1495</f>
        <v>95.4</v>
      </c>
      <c r="AR1495" s="57" t="n">
        <f aca="false">ROUNDUP(MAX(J1495/IF(BZ1495&gt;0,BZ1495,MAX(0.1,N(Cockpit!$I$6))),CC1495)/BS1495,0)*BS1495</f>
        <v>18</v>
      </c>
      <c r="AS1495" s="58" t="n">
        <f aca="false">IF(AP1495&gt;0,J1495/AP1495,-1)</f>
        <v>0</v>
      </c>
      <c r="AT1495" s="58" t="n">
        <f aca="false">IF(AND(OR(BY1495="L1",BY1495="L23"),AP1495&gt;0),SUMIFS($AP$7:$AP$1843,$BY$7:$BY$1843,BY1495,$AS$7:$AS$1843,"&gt;"&amp;AS1495)+SUMIFS($AP$7:$AP$1843,$BY$7:$BY$1843,BY1495,$AS$7:$AS$1843,AS1495,$BQ$7:$BQ$1843,"&lt;="&amp;BQ1495),"")</f>
        <v>126.458396675788</v>
      </c>
      <c r="AU1495" s="65" t="n">
        <f aca="false">IF(AT1495="",0,MAX(0,MIN(1,(IF(BY1495="L1",Parameter!$E$5,Parameter!$E$6+Parameter!$E$7)-(AT1495-AP1495))/AP1495)))</f>
        <v>0</v>
      </c>
      <c r="AV1495" s="57" t="n">
        <f aca="false">IF(LEFT(Cockpit!$O$5,1)="A",H1495,IF(CA1495=1,CB1495,IF(LEFT(Cockpit!$O$5,1)="B",AZ1495,MAX(AZ1495,H1495))))</f>
        <v>18</v>
      </c>
      <c r="AW1495" s="57" t="n">
        <f aca="false">IF(BT1495=1,0,ROUNDUP(AV1495/BS1495,0))</f>
        <v>1</v>
      </c>
      <c r="AX1495" s="59" t="n">
        <f aca="false">IF(CH1495&gt;0,CH1495*MAX(1,AV1495/X1495),IF(BT1495=1,IF(AV1495&lt;=0,0,BW1495*MAX(1,IF(H1495&gt;0,AV1495/H1495,1))),IF(R1495&gt;0,AW1495/R1495,0))/MAX(0.1,N(Parameter!$M$21)))</f>
        <v>0.00241545893719807</v>
      </c>
      <c r="AY1495" s="57" t="n">
        <f aca="false">AV1495*G1495</f>
        <v>95.4</v>
      </c>
      <c r="AZ1495" s="57" t="n">
        <f aca="false">ROUNDUP(MAX(J1495/IF(BZ1495&gt;0,BZ1495,MAX(0.1,N(Cockpit!$O$6))),CC1495)/BS1495,0)*BS1495</f>
        <v>18</v>
      </c>
      <c r="BA1495" s="58" t="n">
        <f aca="false">IF(AX1495&gt;0,J1495/AX1495,-1)</f>
        <v>0</v>
      </c>
      <c r="BB1495" s="58" t="n">
        <f aca="false">IF(AND(OR(BY1495="L1",BY1495="L23"),AX1495&gt;0),SUMIFS($AX$7:$AX$1843,$BY$7:$BY$1843,BY1495,$BA$7:$BA$1843,"&gt;"&amp;BA1495)+SUMIFS($AX$7:$AX$1843,$BY$7:$BY$1843,BY1495,$BA$7:$BA$1843,BA1495,$BQ$7:$BQ$1843,"&lt;="&amp;BQ1495),"")</f>
        <v>117.288233505625</v>
      </c>
      <c r="BC1495" s="65" t="n">
        <f aca="false">IF(BB1495="",0,MAX(0,MIN(1,(IF(BY1495="L1",Parameter!$E$5,Parameter!$E$6+Parameter!$E$7)-(BB1495-AX1495))/AX1495)))</f>
        <v>0</v>
      </c>
      <c r="BD1495" s="55" t="str">
        <f aca="false">IF(AH1495&lt;=0,"",IF(BY1495="Aussen","Aussenlager",IF(BY1495="-","Nicht im Lift",IF(AM1495&gt;=1,"Lift",IF(AM1495&lt;=0,"Aussenlager","teilweise")))))</f>
        <v>Lift</v>
      </c>
      <c r="BE1495" s="55" t="str">
        <f aca="false">IF(AP1495&lt;=0,"",IF(BY1495="Aussen","Aussenlager",IF(BY1495="-","Nicht im Lift",IF(AU1495&gt;=1,"Lift",IF(AU1495&lt;=0,"Aussenlager","teilweise")))))</f>
        <v>Aussenlager</v>
      </c>
      <c r="BF1495" s="55" t="str">
        <f aca="false">IF(AX1495&lt;=0,"",IF(BY1495="Aussen","Aussenlager",IF(BY1495="-","Nicht im Lift",IF(BC1495&gt;=1,"Lift",IF(BC1495&lt;=0,"Aussenlager","teilweise")))))</f>
        <v>Aussenlager</v>
      </c>
      <c r="BG1495" s="55" t="str">
        <f aca="false">IF(A1495="","",IF(BP1495=1,"Neu; ","")&amp;IF(AND(BP1495=0,BK1495&lt;0),"negativer Bestand (Export "&amp;BK1495&amp;"); ","")&amp;IF(J1495&lt;=0,"Kein Verbrauch; ","")&amp;IF(CH1495&gt;0,"Lift "&amp;W1495&amp;" lt. Liftbericht (Fach "&amp;X1495&amp;" Stk); ",IF(BU1495=1,"Gebinde geschätzt ("&amp;T1495&amp;"); ",IF(BT1495=1,"Lose – Tablare geschätzt; ","")))&amp;IF(H1495&gt;AR1495,"Überbestand "&amp;ROUND(H1495-AR1495,0)&amp;" Stk / CHF "&amp;ROUND((H1495-AR1495)*G1495,0)&amp;"; ","")&amp;IF(AND(CA1495=1,CB1495&lt;CC1495),"MAX &lt; MB+LG; ","")&amp;IF(AND(CG1495&gt;0,CF1495*10&gt;CG1495),"zu hoch für Tablar; ","")&amp;IF(AND(BP1495=0,OR(CA1495=1,AA1495&lt;&gt;"",U1495&lt;&gt;"",V1495&lt;&gt;"",AB1495&lt;&gt;"")),"manuell übersteuert; ","")&amp;IF(AND(BT1495=0,R1495=0),"Gebinde unbekannt / Stellmass fehlt; ","")&amp;IF(AND(BT1495=0,N(V1495)&lt;=0,N(Q1495)&lt;=0),"Menge pro Gebinde fehlt (Ist = 1 Gebinde); ","")&amp;BO1495)</f>
        <v>Kein Verbrauch; nur im Artikelstamm (Bestand 23.06.2026)</v>
      </c>
      <c r="BH1495" s="55"/>
      <c r="BI1495" s="55"/>
      <c r="BJ1495" s="62"/>
      <c r="BK1495" s="57" t="n">
        <v>18</v>
      </c>
      <c r="BL1495" s="57" t="n">
        <v>0</v>
      </c>
      <c r="BM1495" s="56" t="n">
        <v>0</v>
      </c>
      <c r="BN1495" s="57" t="n">
        <v>0</v>
      </c>
      <c r="BO1495" s="55" t="s">
        <v>2575</v>
      </c>
      <c r="BP1495" s="60" t="n">
        <v>0</v>
      </c>
      <c r="BQ1495" s="60" t="n">
        <v>1495</v>
      </c>
      <c r="BR1495" s="55" t="str">
        <f aca="false">IF(U1495&lt;&gt;"",UPPER(TRIM(U1495)),IF(BU1495=1,UPPER(VLOOKUP(T1495,Parameter!$I$27:$K$29,2,0)),IF(P1495="","LOSE",P1495)))</f>
        <v>S21</v>
      </c>
      <c r="BS1495" s="57" t="n">
        <f aca="false">IF(BR1495="LOSE",1,IF(N(V1495)&gt;0,V1495,IF(BU1495=1,MAX(1,N(VLOOKUP(T1495,Parameter!$I$27:$K$29,3,0)),H1495,N(N1495)),IF(N(Q1495)&gt;0,Q1495,MAX(1,H1495)))))</f>
        <v>18</v>
      </c>
      <c r="BT1495" s="60" t="n">
        <f aca="false">IF(BR1495="LOSE",1,0)</f>
        <v>0</v>
      </c>
      <c r="BU1495" s="60" t="n">
        <f aca="false">IF(AND(U1495="",OR(P1495="",P1495="LOSE"),T1495&lt;&gt;"",N(S1495)&lt;=0,ISNUMBER(MATCH(T1495,Parameter!$I$27:$I$29,0))),1,0)</f>
        <v>0</v>
      </c>
      <c r="BV1495" s="55" t="str">
        <f aca="false">IF(AND(Parameter!$B$19="Ja",E1495&lt;&gt;"",ISNUMBER(MATCH(E1495,Parameter!$I$35:$I$52,0))),VLOOKUP(E1495,Parameter!$I$35:$J$52,2,0),IFERROR(VLOOKUP(D1495,Parameter!$A$35:$C$64,2,0),"Nein"))</f>
        <v>2+3</v>
      </c>
      <c r="BW1495" s="59" t="n">
        <f aca="false">IF(BT1495=0,0,IF(N(S1495)&gt;0,S1495,IFERROR(VLOOKUP(D1495,Parameter!$A$35:$C$64,3,0)+0,0)))</f>
        <v>0</v>
      </c>
      <c r="BX1495" s="55" t="n">
        <f aca="false">IF(AA1495&lt;&gt;"",AA1495,Z1495)</f>
        <v>3</v>
      </c>
      <c r="BY1495" s="55" t="str">
        <f aca="false">IF(BX1495=1,"L1",IF(OR(BX1495=2,BX1495=3),"L23",IF(BX1495="Aussen","Aussen","-")))</f>
        <v>L23</v>
      </c>
      <c r="BZ1495" s="66" t="n">
        <f aca="false">IF(N(AB1495)&gt;0,AB1495,0)</f>
        <v>0</v>
      </c>
      <c r="CA1495" s="60" t="n">
        <f aca="false">IF(ISNUMBER(AE1495),1,0)</f>
        <v>0</v>
      </c>
      <c r="CB1495" s="57" t="n">
        <f aca="false">N(AE1495)</f>
        <v>0</v>
      </c>
      <c r="CC1495" s="57" t="n">
        <f aca="false">N(M1495)+N(N1495)</f>
        <v>10</v>
      </c>
      <c r="CD1495" s="57" t="n">
        <f aca="false">ROUNDUP(H1495/BS1495,0)</f>
        <v>1</v>
      </c>
      <c r="CE1495" s="57" t="n">
        <f aca="false">ROUNDUP(CB1495/BS1495,0)</f>
        <v>0</v>
      </c>
      <c r="CF1495" s="60" t="n">
        <f aca="false">IF(BT1495=1,0,IFERROR(VLOOKUP(BR1495,'Gebinde-Kategorie'!$A$5:$M$45,5,0)+0,0))</f>
        <v>8</v>
      </c>
      <c r="CG1495" s="60" t="n">
        <f aca="false">IFERROR(IF(OR(BX1495=1,BX1495=2,BX1495=3),N(INDEX(Parameter!$I$5:$I$7,BX1495)),0),0)</f>
        <v>0</v>
      </c>
      <c r="CH1495" s="59" t="n">
        <f aca="false">IF(AND(Parameter!$B$21="Ja",ISNUMBER(W1495),N(X1495)&gt;0),IFERROR(N(INDEX(Parameter!$L$5:$L$7,W1495))*INDEX(Parameter!$E$5:$E$7,W1495)*X1495/SUMIFS($X$7:$X$1843,$W$7:$W$1843,W1495),0),0)</f>
        <v>0</v>
      </c>
    </row>
    <row r="1496" customFormat="false" ht="15" hidden="false" customHeight="false" outlineLevel="0" collapsed="false">
      <c r="A1496" s="55" t="s">
        <v>2614</v>
      </c>
      <c r="B1496" s="55" t="s">
        <v>2615</v>
      </c>
      <c r="C1496" s="55" t="s">
        <v>164</v>
      </c>
      <c r="D1496" s="55" t="s">
        <v>184</v>
      </c>
      <c r="E1496" s="55" t="s">
        <v>185</v>
      </c>
      <c r="F1496" s="55"/>
      <c r="G1496" s="56" t="n">
        <v>1.94</v>
      </c>
      <c r="H1496" s="57" t="n">
        <f aca="false">MAX(0,IF(AND(Parameter!$B$21="Ja",ISNUMBER(Y1496)),Y1496,IF(Parameter!$B$20="Jahresanfang 2025 + Export",BL1496+BK1496,BK1496)))</f>
        <v>21</v>
      </c>
      <c r="I1496" s="57" t="n">
        <f aca="false">H1496*G1496</f>
        <v>40.74</v>
      </c>
      <c r="J1496" s="57" t="n">
        <f aca="false">BN1496*Parameter!$B$18</f>
        <v>0</v>
      </c>
      <c r="K1496" s="58"/>
      <c r="L1496" s="59"/>
      <c r="M1496" s="57" t="n">
        <v>0</v>
      </c>
      <c r="N1496" s="57" t="n">
        <v>20</v>
      </c>
      <c r="O1496" s="60" t="n">
        <v>14</v>
      </c>
      <c r="P1496" s="55" t="s">
        <v>401</v>
      </c>
      <c r="Q1496" s="57" t="n">
        <v>21</v>
      </c>
      <c r="R1496" s="60" t="n">
        <f aca="false">IF(BT1496=1,0,IFERROR(VLOOKUP(BR1496,'Gebinde-Kategorie'!$A$5:$M$45,13,0)+0,0))</f>
        <v>414</v>
      </c>
      <c r="S1496" s="61"/>
      <c r="T1496" s="62"/>
      <c r="U1496" s="62"/>
      <c r="V1496" s="62"/>
      <c r="W1496" s="55"/>
      <c r="X1496" s="57"/>
      <c r="Y1496" s="57"/>
      <c r="Z1496" s="55" t="n">
        <f aca="false">IF(A1496="","",IF(AND(Parameter!$B$21="Ja",ISNUMBER(W1496)),W1496,IF(BV1496="2+3",IF(ISNUMBER(SEARCH("grosser Artikel",BO1496)),2,IFERROR(VLOOKUP(BR1496,Parameter!$F$35:$G$64,2,0),2)),IF(OR(BV1496="Nein",BV1496=""),"-",BV1496))))</f>
        <v>3</v>
      </c>
      <c r="AA1496" s="62"/>
      <c r="AB1496" s="63"/>
      <c r="AC1496" s="57" t="n">
        <f aca="false">AR1496</f>
        <v>21</v>
      </c>
      <c r="AD1496" s="57" t="n">
        <f aca="false">MAX(AR1496,H1496)</f>
        <v>21</v>
      </c>
      <c r="AE1496" s="64"/>
      <c r="AF1496" s="57" t="n">
        <f aca="false">IF(LEFT(Cockpit!$C$5,1)="A",H1496,IF(CA1496=1,CB1496,IF(LEFT(Cockpit!$C$5,1)="B",AJ1496,MAX(AJ1496,H1496))))</f>
        <v>21</v>
      </c>
      <c r="AG1496" s="57" t="n">
        <f aca="false">IF(BT1496=1,0,ROUNDUP(AF1496/BS1496,0))</f>
        <v>1</v>
      </c>
      <c r="AH1496" s="59" t="n">
        <f aca="false">IF(CH1496&gt;0,CH1496*MAX(1,AF1496/X1496),IF(BT1496=1,IF(AF1496&lt;=0,0,BW1496*MAX(1,IF(H1496&gt;0,AF1496/H1496,1))),IF(R1496&gt;0,AG1496/R1496,0))/MAX(0.1,N(Parameter!$M$21)))</f>
        <v>0.00241545893719807</v>
      </c>
      <c r="AI1496" s="57" t="n">
        <f aca="false">AF1496*G1496</f>
        <v>40.74</v>
      </c>
      <c r="AJ1496" s="57" t="n">
        <f aca="false">ROUNDUP(MAX(J1496/IF(BZ1496&gt;0,BZ1496,MAX(0.1,N(Cockpit!$C$6))),CC1496)/BS1496,0)*BS1496</f>
        <v>21</v>
      </c>
      <c r="AK1496" s="58" t="n">
        <f aca="false">IF(AH1496&gt;0,J1496/AH1496,-1)</f>
        <v>0</v>
      </c>
      <c r="AL1496" s="58" t="n">
        <f aca="false">IF(AND(OR(BY1496="L1",BY1496="L23"),AH1496&gt;0),SUMIFS($AH$7:$AH$1843,$BY$7:$BY$1843,BY1496,$AK$7:$AK$1843,"&gt;"&amp;AK1496)+SUMIFS($AH$7:$AH$1843,$BY$7:$BY$1843,BY1496,$AK$7:$AK$1843,AK1496,$BQ$7:$BQ$1843,"&lt;="&amp;BQ1496),"")</f>
        <v>81.5483682983683</v>
      </c>
      <c r="AM1496" s="65" t="n">
        <f aca="false">IF(AL1496="",0,MAX(0,MIN(1,(IF(BY1496="L1",Parameter!$E$5,Parameter!$E$6+Parameter!$E$7)-(AL1496-AH1496))/AH1496)))</f>
        <v>1</v>
      </c>
      <c r="AN1496" s="57" t="n">
        <f aca="false">IF(LEFT(Cockpit!$I$5,1)="A",H1496,IF(CA1496=1,CB1496,IF(LEFT(Cockpit!$I$5,1)="B",AR1496,MAX(AR1496,H1496))))</f>
        <v>21</v>
      </c>
      <c r="AO1496" s="57" t="n">
        <f aca="false">IF(BT1496=1,0,ROUNDUP(AN1496/BS1496,0))</f>
        <v>1</v>
      </c>
      <c r="AP1496" s="59" t="n">
        <f aca="false">IF(CH1496&gt;0,CH1496*MAX(1,AN1496/X1496),IF(BT1496=1,IF(AN1496&lt;=0,0,BW1496*MAX(1,IF(H1496&gt;0,AN1496/H1496,1))),IF(R1496&gt;0,AO1496/R1496,0))/MAX(0.1,N(Parameter!$M$21)))</f>
        <v>0.00241545893719807</v>
      </c>
      <c r="AQ1496" s="57" t="n">
        <f aca="false">AN1496*G1496</f>
        <v>40.74</v>
      </c>
      <c r="AR1496" s="57" t="n">
        <f aca="false">ROUNDUP(MAX(J1496/IF(BZ1496&gt;0,BZ1496,MAX(0.1,N(Cockpit!$I$6))),CC1496)/BS1496,0)*BS1496</f>
        <v>21</v>
      </c>
      <c r="AS1496" s="58" t="n">
        <f aca="false">IF(AP1496&gt;0,J1496/AP1496,-1)</f>
        <v>0</v>
      </c>
      <c r="AT1496" s="58" t="n">
        <f aca="false">IF(AND(OR(BY1496="L1",BY1496="L23"),AP1496&gt;0),SUMIFS($AP$7:$AP$1843,$BY$7:$BY$1843,BY1496,$AS$7:$AS$1843,"&gt;"&amp;AS1496)+SUMIFS($AP$7:$AP$1843,$BY$7:$BY$1843,BY1496,$AS$7:$AS$1843,AS1496,$BQ$7:$BQ$1843,"&lt;="&amp;BQ1496),"")</f>
        <v>126.460812134725</v>
      </c>
      <c r="AU1496" s="65" t="n">
        <f aca="false">IF(AT1496="",0,MAX(0,MIN(1,(IF(BY1496="L1",Parameter!$E$5,Parameter!$E$6+Parameter!$E$7)-(AT1496-AP1496))/AP1496)))</f>
        <v>0</v>
      </c>
      <c r="AV1496" s="57" t="n">
        <f aca="false">IF(LEFT(Cockpit!$O$5,1)="A",H1496,IF(CA1496=1,CB1496,IF(LEFT(Cockpit!$O$5,1)="B",AZ1496,MAX(AZ1496,H1496))))</f>
        <v>21</v>
      </c>
      <c r="AW1496" s="57" t="n">
        <f aca="false">IF(BT1496=1,0,ROUNDUP(AV1496/BS1496,0))</f>
        <v>1</v>
      </c>
      <c r="AX1496" s="59" t="n">
        <f aca="false">IF(CH1496&gt;0,CH1496*MAX(1,AV1496/X1496),IF(BT1496=1,IF(AV1496&lt;=0,0,BW1496*MAX(1,IF(H1496&gt;0,AV1496/H1496,1))),IF(R1496&gt;0,AW1496/R1496,0))/MAX(0.1,N(Parameter!$M$21)))</f>
        <v>0.00241545893719807</v>
      </c>
      <c r="AY1496" s="57" t="n">
        <f aca="false">AV1496*G1496</f>
        <v>40.74</v>
      </c>
      <c r="AZ1496" s="57" t="n">
        <f aca="false">ROUNDUP(MAX(J1496/IF(BZ1496&gt;0,BZ1496,MAX(0.1,N(Cockpit!$O$6))),CC1496)/BS1496,0)*BS1496</f>
        <v>21</v>
      </c>
      <c r="BA1496" s="58" t="n">
        <f aca="false">IF(AX1496&gt;0,J1496/AX1496,-1)</f>
        <v>0</v>
      </c>
      <c r="BB1496" s="58" t="n">
        <f aca="false">IF(AND(OR(BY1496="L1",BY1496="L23"),AX1496&gt;0),SUMIFS($AX$7:$AX$1843,$BY$7:$BY$1843,BY1496,$BA$7:$BA$1843,"&gt;"&amp;BA1496)+SUMIFS($AX$7:$AX$1843,$BY$7:$BY$1843,BY1496,$BA$7:$BA$1843,BA1496,$BQ$7:$BQ$1843,"&lt;="&amp;BQ1496),"")</f>
        <v>117.290648964562</v>
      </c>
      <c r="BC1496" s="65" t="n">
        <f aca="false">IF(BB1496="",0,MAX(0,MIN(1,(IF(BY1496="L1",Parameter!$E$5,Parameter!$E$6+Parameter!$E$7)-(BB1496-AX1496))/AX1496)))</f>
        <v>0</v>
      </c>
      <c r="BD1496" s="55" t="str">
        <f aca="false">IF(AH1496&lt;=0,"",IF(BY1496="Aussen","Aussenlager",IF(BY1496="-","Nicht im Lift",IF(AM1496&gt;=1,"Lift",IF(AM1496&lt;=0,"Aussenlager","teilweise")))))</f>
        <v>Lift</v>
      </c>
      <c r="BE1496" s="55" t="str">
        <f aca="false">IF(AP1496&lt;=0,"",IF(BY1496="Aussen","Aussenlager",IF(BY1496="-","Nicht im Lift",IF(AU1496&gt;=1,"Lift",IF(AU1496&lt;=0,"Aussenlager","teilweise")))))</f>
        <v>Aussenlager</v>
      </c>
      <c r="BF1496" s="55" t="str">
        <f aca="false">IF(AX1496&lt;=0,"",IF(BY1496="Aussen","Aussenlager",IF(BY1496="-","Nicht im Lift",IF(BC1496&gt;=1,"Lift",IF(BC1496&lt;=0,"Aussenlager","teilweise")))))</f>
        <v>Aussenlager</v>
      </c>
      <c r="BG1496" s="55" t="str">
        <f aca="false">IF(A1496="","",IF(BP1496=1,"Neu; ","")&amp;IF(AND(BP1496=0,BK1496&lt;0),"negativer Bestand (Export "&amp;BK1496&amp;"); ","")&amp;IF(J1496&lt;=0,"Kein Verbrauch; ","")&amp;IF(CH1496&gt;0,"Lift "&amp;W1496&amp;" lt. Liftbericht (Fach "&amp;X1496&amp;" Stk); ",IF(BU1496=1,"Gebinde geschätzt ("&amp;T1496&amp;"); ",IF(BT1496=1,"Lose – Tablare geschätzt; ","")))&amp;IF(H1496&gt;AR1496,"Überbestand "&amp;ROUND(H1496-AR1496,0)&amp;" Stk / CHF "&amp;ROUND((H1496-AR1496)*G1496,0)&amp;"; ","")&amp;IF(AND(CA1496=1,CB1496&lt;CC1496),"MAX &lt; MB+LG; ","")&amp;IF(AND(CG1496&gt;0,CF1496*10&gt;CG1496),"zu hoch für Tablar; ","")&amp;IF(AND(BP1496=0,OR(CA1496=1,AA1496&lt;&gt;"",U1496&lt;&gt;"",V1496&lt;&gt;"",AB1496&lt;&gt;"")),"manuell übersteuert; ","")&amp;IF(AND(BT1496=0,R1496=0),"Gebinde unbekannt / Stellmass fehlt; ","")&amp;IF(AND(BT1496=0,N(V1496)&lt;=0,N(Q1496)&lt;=0),"Menge pro Gebinde fehlt (Ist = 1 Gebinde); ","")&amp;BO1496)</f>
        <v>Kein Verbrauch; nur im Artikelstamm (Bestand 23.06.2026)</v>
      </c>
      <c r="BH1496" s="55"/>
      <c r="BI1496" s="55"/>
      <c r="BJ1496" s="62"/>
      <c r="BK1496" s="57" t="n">
        <v>21</v>
      </c>
      <c r="BL1496" s="57" t="n">
        <v>0</v>
      </c>
      <c r="BM1496" s="56" t="n">
        <v>0</v>
      </c>
      <c r="BN1496" s="57" t="n">
        <v>0</v>
      </c>
      <c r="BO1496" s="55" t="s">
        <v>2575</v>
      </c>
      <c r="BP1496" s="60" t="n">
        <v>0</v>
      </c>
      <c r="BQ1496" s="60" t="n">
        <v>1496</v>
      </c>
      <c r="BR1496" s="55" t="str">
        <f aca="false">IF(U1496&lt;&gt;"",UPPER(TRIM(U1496)),IF(BU1496=1,UPPER(VLOOKUP(T1496,Parameter!$I$27:$K$29,2,0)),IF(P1496="","LOSE",P1496)))</f>
        <v>S21</v>
      </c>
      <c r="BS1496" s="57" t="n">
        <f aca="false">IF(BR1496="LOSE",1,IF(N(V1496)&gt;0,V1496,IF(BU1496=1,MAX(1,N(VLOOKUP(T1496,Parameter!$I$27:$K$29,3,0)),H1496,N(N1496)),IF(N(Q1496)&gt;0,Q1496,MAX(1,H1496)))))</f>
        <v>21</v>
      </c>
      <c r="BT1496" s="60" t="n">
        <f aca="false">IF(BR1496="LOSE",1,0)</f>
        <v>0</v>
      </c>
      <c r="BU1496" s="60" t="n">
        <f aca="false">IF(AND(U1496="",OR(P1496="",P1496="LOSE"),T1496&lt;&gt;"",N(S1496)&lt;=0,ISNUMBER(MATCH(T1496,Parameter!$I$27:$I$29,0))),1,0)</f>
        <v>0</v>
      </c>
      <c r="BV1496" s="55" t="str">
        <f aca="false">IF(AND(Parameter!$B$19="Ja",E1496&lt;&gt;"",ISNUMBER(MATCH(E1496,Parameter!$I$35:$I$52,0))),VLOOKUP(E1496,Parameter!$I$35:$J$52,2,0),IFERROR(VLOOKUP(D1496,Parameter!$A$35:$C$64,2,0),"Nein"))</f>
        <v>2+3</v>
      </c>
      <c r="BW1496" s="59" t="n">
        <f aca="false">IF(BT1496=0,0,IF(N(S1496)&gt;0,S1496,IFERROR(VLOOKUP(D1496,Parameter!$A$35:$C$64,3,0)+0,0)))</f>
        <v>0</v>
      </c>
      <c r="BX1496" s="55" t="n">
        <f aca="false">IF(AA1496&lt;&gt;"",AA1496,Z1496)</f>
        <v>3</v>
      </c>
      <c r="BY1496" s="55" t="str">
        <f aca="false">IF(BX1496=1,"L1",IF(OR(BX1496=2,BX1496=3),"L23",IF(BX1496="Aussen","Aussen","-")))</f>
        <v>L23</v>
      </c>
      <c r="BZ1496" s="66" t="n">
        <f aca="false">IF(N(AB1496)&gt;0,AB1496,0)</f>
        <v>0</v>
      </c>
      <c r="CA1496" s="60" t="n">
        <f aca="false">IF(ISNUMBER(AE1496),1,0)</f>
        <v>0</v>
      </c>
      <c r="CB1496" s="57" t="n">
        <f aca="false">N(AE1496)</f>
        <v>0</v>
      </c>
      <c r="CC1496" s="57" t="n">
        <f aca="false">N(M1496)+N(N1496)</f>
        <v>20</v>
      </c>
      <c r="CD1496" s="57" t="n">
        <f aca="false">ROUNDUP(H1496/BS1496,0)</f>
        <v>1</v>
      </c>
      <c r="CE1496" s="57" t="n">
        <f aca="false">ROUNDUP(CB1496/BS1496,0)</f>
        <v>0</v>
      </c>
      <c r="CF1496" s="60" t="n">
        <f aca="false">IF(BT1496=1,0,IFERROR(VLOOKUP(BR1496,'Gebinde-Kategorie'!$A$5:$M$45,5,0)+0,0))</f>
        <v>8</v>
      </c>
      <c r="CG1496" s="60" t="n">
        <f aca="false">IFERROR(IF(OR(BX1496=1,BX1496=2,BX1496=3),N(INDEX(Parameter!$I$5:$I$7,BX1496)),0),0)</f>
        <v>0</v>
      </c>
      <c r="CH1496" s="59" t="n">
        <f aca="false">IF(AND(Parameter!$B$21="Ja",ISNUMBER(W1496),N(X1496)&gt;0),IFERROR(N(INDEX(Parameter!$L$5:$L$7,W1496))*INDEX(Parameter!$E$5:$E$7,W1496)*X1496/SUMIFS($X$7:$X$1843,$W$7:$W$1843,W1496),0),0)</f>
        <v>0</v>
      </c>
    </row>
    <row r="1497" customFormat="false" ht="15" hidden="false" customHeight="false" outlineLevel="0" collapsed="false">
      <c r="A1497" s="55" t="s">
        <v>2616</v>
      </c>
      <c r="B1497" s="55" t="s">
        <v>2617</v>
      </c>
      <c r="C1497" s="55" t="s">
        <v>164</v>
      </c>
      <c r="D1497" s="55" t="s">
        <v>184</v>
      </c>
      <c r="E1497" s="55" t="s">
        <v>185</v>
      </c>
      <c r="F1497" s="55"/>
      <c r="G1497" s="56" t="n">
        <v>9.06</v>
      </c>
      <c r="H1497" s="57" t="n">
        <f aca="false">MAX(0,IF(AND(Parameter!$B$21="Ja",ISNUMBER(Y1497)),Y1497,IF(Parameter!$B$20="Jahresanfang 2025 + Export",BL1497+BK1497,BK1497)))</f>
        <v>16</v>
      </c>
      <c r="I1497" s="57" t="n">
        <f aca="false">H1497*G1497</f>
        <v>144.96</v>
      </c>
      <c r="J1497" s="57" t="n">
        <f aca="false">BN1497*Parameter!$B$18</f>
        <v>0</v>
      </c>
      <c r="K1497" s="58"/>
      <c r="L1497" s="59"/>
      <c r="M1497" s="57" t="n">
        <v>0</v>
      </c>
      <c r="N1497" s="57" t="n">
        <v>20</v>
      </c>
      <c r="O1497" s="60" t="n">
        <v>14</v>
      </c>
      <c r="P1497" s="55" t="s">
        <v>401</v>
      </c>
      <c r="Q1497" s="57" t="n">
        <v>16</v>
      </c>
      <c r="R1497" s="60" t="n">
        <f aca="false">IF(BT1497=1,0,IFERROR(VLOOKUP(BR1497,'Gebinde-Kategorie'!$A$5:$M$45,13,0)+0,0))</f>
        <v>414</v>
      </c>
      <c r="S1497" s="61"/>
      <c r="T1497" s="62"/>
      <c r="U1497" s="62"/>
      <c r="V1497" s="62"/>
      <c r="W1497" s="55"/>
      <c r="X1497" s="57"/>
      <c r="Y1497" s="57"/>
      <c r="Z1497" s="55" t="n">
        <f aca="false">IF(A1497="","",IF(AND(Parameter!$B$21="Ja",ISNUMBER(W1497)),W1497,IF(BV1497="2+3",IF(ISNUMBER(SEARCH("grosser Artikel",BO1497)),2,IFERROR(VLOOKUP(BR1497,Parameter!$F$35:$G$64,2,0),2)),IF(OR(BV1497="Nein",BV1497=""),"-",BV1497))))</f>
        <v>3</v>
      </c>
      <c r="AA1497" s="62"/>
      <c r="AB1497" s="63"/>
      <c r="AC1497" s="57" t="n">
        <f aca="false">AR1497</f>
        <v>32</v>
      </c>
      <c r="AD1497" s="57" t="n">
        <f aca="false">MAX(AR1497,H1497)</f>
        <v>32</v>
      </c>
      <c r="AE1497" s="64"/>
      <c r="AF1497" s="57" t="n">
        <f aca="false">IF(LEFT(Cockpit!$C$5,1)="A",H1497,IF(CA1497=1,CB1497,IF(LEFT(Cockpit!$C$5,1)="B",AJ1497,MAX(AJ1497,H1497))))</f>
        <v>16</v>
      </c>
      <c r="AG1497" s="57" t="n">
        <f aca="false">IF(BT1497=1,0,ROUNDUP(AF1497/BS1497,0))</f>
        <v>1</v>
      </c>
      <c r="AH1497" s="59" t="n">
        <f aca="false">IF(CH1497&gt;0,CH1497*MAX(1,AF1497/X1497),IF(BT1497=1,IF(AF1497&lt;=0,0,BW1497*MAX(1,IF(H1497&gt;0,AF1497/H1497,1))),IF(R1497&gt;0,AG1497/R1497,0))/MAX(0.1,N(Parameter!$M$21)))</f>
        <v>0.00241545893719807</v>
      </c>
      <c r="AI1497" s="57" t="n">
        <f aca="false">AF1497*G1497</f>
        <v>144.96</v>
      </c>
      <c r="AJ1497" s="57" t="n">
        <f aca="false">ROUNDUP(MAX(J1497/IF(BZ1497&gt;0,BZ1497,MAX(0.1,N(Cockpit!$C$6))),CC1497)/BS1497,0)*BS1497</f>
        <v>32</v>
      </c>
      <c r="AK1497" s="58" t="n">
        <f aca="false">IF(AH1497&gt;0,J1497/AH1497,-1)</f>
        <v>0</v>
      </c>
      <c r="AL1497" s="58" t="n">
        <f aca="false">IF(AND(OR(BY1497="L1",BY1497="L23"),AH1497&gt;0),SUMIFS($AH$7:$AH$1843,$BY$7:$BY$1843,BY1497,$AK$7:$AK$1843,"&gt;"&amp;AK1497)+SUMIFS($AH$7:$AH$1843,$BY$7:$BY$1843,BY1497,$AK$7:$AK$1843,AK1497,$BQ$7:$BQ$1843,"&lt;="&amp;BQ1497),"")</f>
        <v>81.5507837573055</v>
      </c>
      <c r="AM1497" s="65" t="n">
        <f aca="false">IF(AL1497="",0,MAX(0,MIN(1,(IF(BY1497="L1",Parameter!$E$5,Parameter!$E$6+Parameter!$E$7)-(AL1497-AH1497))/AH1497)))</f>
        <v>1</v>
      </c>
      <c r="AN1497" s="57" t="n">
        <f aca="false">IF(LEFT(Cockpit!$I$5,1)="A",H1497,IF(CA1497=1,CB1497,IF(LEFT(Cockpit!$I$5,1)="B",AR1497,MAX(AR1497,H1497))))</f>
        <v>32</v>
      </c>
      <c r="AO1497" s="57" t="n">
        <f aca="false">IF(BT1497=1,0,ROUNDUP(AN1497/BS1497,0))</f>
        <v>2</v>
      </c>
      <c r="AP1497" s="59" t="n">
        <f aca="false">IF(CH1497&gt;0,CH1497*MAX(1,AN1497/X1497),IF(BT1497=1,IF(AN1497&lt;=0,0,BW1497*MAX(1,IF(H1497&gt;0,AN1497/H1497,1))),IF(R1497&gt;0,AO1497/R1497,0))/MAX(0.1,N(Parameter!$M$21)))</f>
        <v>0.00483091787439614</v>
      </c>
      <c r="AQ1497" s="57" t="n">
        <f aca="false">AN1497*G1497</f>
        <v>289.92</v>
      </c>
      <c r="AR1497" s="57" t="n">
        <f aca="false">ROUNDUP(MAX(J1497/IF(BZ1497&gt;0,BZ1497,MAX(0.1,N(Cockpit!$I$6))),CC1497)/BS1497,0)*BS1497</f>
        <v>32</v>
      </c>
      <c r="AS1497" s="58" t="n">
        <f aca="false">IF(AP1497&gt;0,J1497/AP1497,-1)</f>
        <v>0</v>
      </c>
      <c r="AT1497" s="58" t="n">
        <f aca="false">IF(AND(OR(BY1497="L1",BY1497="L23"),AP1497&gt;0),SUMIFS($AP$7:$AP$1843,$BY$7:$BY$1843,BY1497,$AS$7:$AS$1843,"&gt;"&amp;AS1497)+SUMIFS($AP$7:$AP$1843,$BY$7:$BY$1843,BY1497,$AS$7:$AS$1843,AS1497,$BQ$7:$BQ$1843,"&lt;="&amp;BQ1497),"")</f>
        <v>126.4656430526</v>
      </c>
      <c r="AU1497" s="65" t="n">
        <f aca="false">IF(AT1497="",0,MAX(0,MIN(1,(IF(BY1497="L1",Parameter!$E$5,Parameter!$E$6+Parameter!$E$7)-(AT1497-AP1497))/AP1497)))</f>
        <v>0</v>
      </c>
      <c r="AV1497" s="57" t="n">
        <f aca="false">IF(LEFT(Cockpit!$O$5,1)="A",H1497,IF(CA1497=1,CB1497,IF(LEFT(Cockpit!$O$5,1)="B",AZ1497,MAX(AZ1497,H1497))))</f>
        <v>32</v>
      </c>
      <c r="AW1497" s="57" t="n">
        <f aca="false">IF(BT1497=1,0,ROUNDUP(AV1497/BS1497,0))</f>
        <v>2</v>
      </c>
      <c r="AX1497" s="59" t="n">
        <f aca="false">IF(CH1497&gt;0,CH1497*MAX(1,AV1497/X1497),IF(BT1497=1,IF(AV1497&lt;=0,0,BW1497*MAX(1,IF(H1497&gt;0,AV1497/H1497,1))),IF(R1497&gt;0,AW1497/R1497,0))/MAX(0.1,N(Parameter!$M$21)))</f>
        <v>0.00483091787439614</v>
      </c>
      <c r="AY1497" s="57" t="n">
        <f aca="false">AV1497*G1497</f>
        <v>289.92</v>
      </c>
      <c r="AZ1497" s="57" t="n">
        <f aca="false">ROUNDUP(MAX(J1497/IF(BZ1497&gt;0,BZ1497,MAX(0.1,N(Cockpit!$O$6))),CC1497)/BS1497,0)*BS1497</f>
        <v>32</v>
      </c>
      <c r="BA1497" s="58" t="n">
        <f aca="false">IF(AX1497&gt;0,J1497/AX1497,-1)</f>
        <v>0</v>
      </c>
      <c r="BB1497" s="58" t="n">
        <f aca="false">IF(AND(OR(BY1497="L1",BY1497="L23"),AX1497&gt;0),SUMIFS($AX$7:$AX$1843,$BY$7:$BY$1843,BY1497,$BA$7:$BA$1843,"&gt;"&amp;BA1497)+SUMIFS($AX$7:$AX$1843,$BY$7:$BY$1843,BY1497,$BA$7:$BA$1843,BA1497,$BQ$7:$BQ$1843,"&lt;="&amp;BQ1497),"")</f>
        <v>117.295479882436</v>
      </c>
      <c r="BC1497" s="65" t="n">
        <f aca="false">IF(BB1497="",0,MAX(0,MIN(1,(IF(BY1497="L1",Parameter!$E$5,Parameter!$E$6+Parameter!$E$7)-(BB1497-AX1497))/AX1497)))</f>
        <v>0</v>
      </c>
      <c r="BD1497" s="55" t="str">
        <f aca="false">IF(AH1497&lt;=0,"",IF(BY1497="Aussen","Aussenlager",IF(BY1497="-","Nicht im Lift",IF(AM1497&gt;=1,"Lift",IF(AM1497&lt;=0,"Aussenlager","teilweise")))))</f>
        <v>Lift</v>
      </c>
      <c r="BE1497" s="55" t="str">
        <f aca="false">IF(AP1497&lt;=0,"",IF(BY1497="Aussen","Aussenlager",IF(BY1497="-","Nicht im Lift",IF(AU1497&gt;=1,"Lift",IF(AU1497&lt;=0,"Aussenlager","teilweise")))))</f>
        <v>Aussenlager</v>
      </c>
      <c r="BF1497" s="55" t="str">
        <f aca="false">IF(AX1497&lt;=0,"",IF(BY1497="Aussen","Aussenlager",IF(BY1497="-","Nicht im Lift",IF(BC1497&gt;=1,"Lift",IF(BC1497&lt;=0,"Aussenlager","teilweise")))))</f>
        <v>Aussenlager</v>
      </c>
      <c r="BG1497" s="55" t="str">
        <f aca="false">IF(A1497="","",IF(BP1497=1,"Neu; ","")&amp;IF(AND(BP1497=0,BK1497&lt;0),"negativer Bestand (Export "&amp;BK1497&amp;"); ","")&amp;IF(J1497&lt;=0,"Kein Verbrauch; ","")&amp;IF(CH1497&gt;0,"Lift "&amp;W1497&amp;" lt. Liftbericht (Fach "&amp;X1497&amp;" Stk); ",IF(BU1497=1,"Gebinde geschätzt ("&amp;T1497&amp;"); ",IF(BT1497=1,"Lose – Tablare geschätzt; ","")))&amp;IF(H1497&gt;AR1497,"Überbestand "&amp;ROUND(H1497-AR1497,0)&amp;" Stk / CHF "&amp;ROUND((H1497-AR1497)*G1497,0)&amp;"; ","")&amp;IF(AND(CA1497=1,CB1497&lt;CC1497),"MAX &lt; MB+LG; ","")&amp;IF(AND(CG1497&gt;0,CF1497*10&gt;CG1497),"zu hoch für Tablar; ","")&amp;IF(AND(BP1497=0,OR(CA1497=1,AA1497&lt;&gt;"",U1497&lt;&gt;"",V1497&lt;&gt;"",AB1497&lt;&gt;"")),"manuell übersteuert; ","")&amp;IF(AND(BT1497=0,R1497=0),"Gebinde unbekannt / Stellmass fehlt; ","")&amp;IF(AND(BT1497=0,N(V1497)&lt;=0,N(Q1497)&lt;=0),"Menge pro Gebinde fehlt (Ist = 1 Gebinde); ","")&amp;BO1497)</f>
        <v>Kein Verbrauch; nur im Artikelstamm (Bestand 23.06.2026)</v>
      </c>
      <c r="BH1497" s="55"/>
      <c r="BI1497" s="55"/>
      <c r="BJ1497" s="62"/>
      <c r="BK1497" s="57" t="n">
        <v>16</v>
      </c>
      <c r="BL1497" s="57" t="n">
        <v>0</v>
      </c>
      <c r="BM1497" s="56" t="n">
        <v>0</v>
      </c>
      <c r="BN1497" s="57" t="n">
        <v>0</v>
      </c>
      <c r="BO1497" s="55" t="s">
        <v>2575</v>
      </c>
      <c r="BP1497" s="60" t="n">
        <v>0</v>
      </c>
      <c r="BQ1497" s="60" t="n">
        <v>1497</v>
      </c>
      <c r="BR1497" s="55" t="str">
        <f aca="false">IF(U1497&lt;&gt;"",UPPER(TRIM(U1497)),IF(BU1497=1,UPPER(VLOOKUP(T1497,Parameter!$I$27:$K$29,2,0)),IF(P1497="","LOSE",P1497)))</f>
        <v>S21</v>
      </c>
      <c r="BS1497" s="57" t="n">
        <f aca="false">IF(BR1497="LOSE",1,IF(N(V1497)&gt;0,V1497,IF(BU1497=1,MAX(1,N(VLOOKUP(T1497,Parameter!$I$27:$K$29,3,0)),H1497,N(N1497)),IF(N(Q1497)&gt;0,Q1497,MAX(1,H1497)))))</f>
        <v>16</v>
      </c>
      <c r="BT1497" s="60" t="n">
        <f aca="false">IF(BR1497="LOSE",1,0)</f>
        <v>0</v>
      </c>
      <c r="BU1497" s="60" t="n">
        <f aca="false">IF(AND(U1497="",OR(P1497="",P1497="LOSE"),T1497&lt;&gt;"",N(S1497)&lt;=0,ISNUMBER(MATCH(T1497,Parameter!$I$27:$I$29,0))),1,0)</f>
        <v>0</v>
      </c>
      <c r="BV1497" s="55" t="str">
        <f aca="false">IF(AND(Parameter!$B$19="Ja",E1497&lt;&gt;"",ISNUMBER(MATCH(E1497,Parameter!$I$35:$I$52,0))),VLOOKUP(E1497,Parameter!$I$35:$J$52,2,0),IFERROR(VLOOKUP(D1497,Parameter!$A$35:$C$64,2,0),"Nein"))</f>
        <v>2+3</v>
      </c>
      <c r="BW1497" s="59" t="n">
        <f aca="false">IF(BT1497=0,0,IF(N(S1497)&gt;0,S1497,IFERROR(VLOOKUP(D1497,Parameter!$A$35:$C$64,3,0)+0,0)))</f>
        <v>0</v>
      </c>
      <c r="BX1497" s="55" t="n">
        <f aca="false">IF(AA1497&lt;&gt;"",AA1497,Z1497)</f>
        <v>3</v>
      </c>
      <c r="BY1497" s="55" t="str">
        <f aca="false">IF(BX1497=1,"L1",IF(OR(BX1497=2,BX1497=3),"L23",IF(BX1497="Aussen","Aussen","-")))</f>
        <v>L23</v>
      </c>
      <c r="BZ1497" s="66" t="n">
        <f aca="false">IF(N(AB1497)&gt;0,AB1497,0)</f>
        <v>0</v>
      </c>
      <c r="CA1497" s="60" t="n">
        <f aca="false">IF(ISNUMBER(AE1497),1,0)</f>
        <v>0</v>
      </c>
      <c r="CB1497" s="57" t="n">
        <f aca="false">N(AE1497)</f>
        <v>0</v>
      </c>
      <c r="CC1497" s="57" t="n">
        <f aca="false">N(M1497)+N(N1497)</f>
        <v>20</v>
      </c>
      <c r="CD1497" s="57" t="n">
        <f aca="false">ROUNDUP(H1497/BS1497,0)</f>
        <v>1</v>
      </c>
      <c r="CE1497" s="57" t="n">
        <f aca="false">ROUNDUP(CB1497/BS1497,0)</f>
        <v>0</v>
      </c>
      <c r="CF1497" s="60" t="n">
        <f aca="false">IF(BT1497=1,0,IFERROR(VLOOKUP(BR1497,'Gebinde-Kategorie'!$A$5:$M$45,5,0)+0,0))</f>
        <v>8</v>
      </c>
      <c r="CG1497" s="60" t="n">
        <f aca="false">IFERROR(IF(OR(BX1497=1,BX1497=2,BX1497=3),N(INDEX(Parameter!$I$5:$I$7,BX1497)),0),0)</f>
        <v>0</v>
      </c>
      <c r="CH1497" s="59" t="n">
        <f aca="false">IF(AND(Parameter!$B$21="Ja",ISNUMBER(W1497),N(X1497)&gt;0),IFERROR(N(INDEX(Parameter!$L$5:$L$7,W1497))*INDEX(Parameter!$E$5:$E$7,W1497)*X1497/SUMIFS($X$7:$X$1843,$W$7:$W$1843,W1497),0),0)</f>
        <v>0</v>
      </c>
    </row>
    <row r="1498" customFormat="false" ht="15" hidden="false" customHeight="false" outlineLevel="0" collapsed="false">
      <c r="A1498" s="55" t="s">
        <v>2618</v>
      </c>
      <c r="B1498" s="55" t="s">
        <v>2619</v>
      </c>
      <c r="C1498" s="55" t="s">
        <v>164</v>
      </c>
      <c r="D1498" s="55" t="s">
        <v>184</v>
      </c>
      <c r="E1498" s="55" t="s">
        <v>185</v>
      </c>
      <c r="F1498" s="55"/>
      <c r="G1498" s="56" t="n">
        <v>5.21</v>
      </c>
      <c r="H1498" s="57" t="n">
        <f aca="false">MAX(0,IF(AND(Parameter!$B$21="Ja",ISNUMBER(Y1498)),Y1498,IF(Parameter!$B$20="Jahresanfang 2025 + Export",BL1498+BK1498,BK1498)))</f>
        <v>14</v>
      </c>
      <c r="I1498" s="57" t="n">
        <f aca="false">H1498*G1498</f>
        <v>72.94</v>
      </c>
      <c r="J1498" s="57" t="n">
        <f aca="false">BN1498*Parameter!$B$18</f>
        <v>0</v>
      </c>
      <c r="K1498" s="58"/>
      <c r="L1498" s="59"/>
      <c r="M1498" s="57" t="n">
        <v>0</v>
      </c>
      <c r="N1498" s="57" t="n">
        <v>10</v>
      </c>
      <c r="O1498" s="60" t="n">
        <v>14</v>
      </c>
      <c r="P1498" s="55" t="s">
        <v>401</v>
      </c>
      <c r="Q1498" s="57" t="n">
        <v>14</v>
      </c>
      <c r="R1498" s="60" t="n">
        <f aca="false">IF(BT1498=1,0,IFERROR(VLOOKUP(BR1498,'Gebinde-Kategorie'!$A$5:$M$45,13,0)+0,0))</f>
        <v>414</v>
      </c>
      <c r="S1498" s="61"/>
      <c r="T1498" s="62"/>
      <c r="U1498" s="62"/>
      <c r="V1498" s="62"/>
      <c r="W1498" s="55"/>
      <c r="X1498" s="57"/>
      <c r="Y1498" s="57"/>
      <c r="Z1498" s="55" t="n">
        <f aca="false">IF(A1498="","",IF(AND(Parameter!$B$21="Ja",ISNUMBER(W1498)),W1498,IF(BV1498="2+3",IF(ISNUMBER(SEARCH("grosser Artikel",BO1498)),2,IFERROR(VLOOKUP(BR1498,Parameter!$F$35:$G$64,2,0),2)),IF(OR(BV1498="Nein",BV1498=""),"-",BV1498))))</f>
        <v>3</v>
      </c>
      <c r="AA1498" s="62"/>
      <c r="AB1498" s="63"/>
      <c r="AC1498" s="57" t="n">
        <f aca="false">AR1498</f>
        <v>14</v>
      </c>
      <c r="AD1498" s="57" t="n">
        <f aca="false">MAX(AR1498,H1498)</f>
        <v>14</v>
      </c>
      <c r="AE1498" s="64"/>
      <c r="AF1498" s="57" t="n">
        <f aca="false">IF(LEFT(Cockpit!$C$5,1)="A",H1498,IF(CA1498=1,CB1498,IF(LEFT(Cockpit!$C$5,1)="B",AJ1498,MAX(AJ1498,H1498))))</f>
        <v>14</v>
      </c>
      <c r="AG1498" s="57" t="n">
        <f aca="false">IF(BT1498=1,0,ROUNDUP(AF1498/BS1498,0))</f>
        <v>1</v>
      </c>
      <c r="AH1498" s="59" t="n">
        <f aca="false">IF(CH1498&gt;0,CH1498*MAX(1,AF1498/X1498),IF(BT1498=1,IF(AF1498&lt;=0,0,BW1498*MAX(1,IF(H1498&gt;0,AF1498/H1498,1))),IF(R1498&gt;0,AG1498/R1498,0))/MAX(0.1,N(Parameter!$M$21)))</f>
        <v>0.00241545893719807</v>
      </c>
      <c r="AI1498" s="57" t="n">
        <f aca="false">AF1498*G1498</f>
        <v>72.94</v>
      </c>
      <c r="AJ1498" s="57" t="n">
        <f aca="false">ROUNDUP(MAX(J1498/IF(BZ1498&gt;0,BZ1498,MAX(0.1,N(Cockpit!$C$6))),CC1498)/BS1498,0)*BS1498</f>
        <v>14</v>
      </c>
      <c r="AK1498" s="58" t="n">
        <f aca="false">IF(AH1498&gt;0,J1498/AH1498,-1)</f>
        <v>0</v>
      </c>
      <c r="AL1498" s="58" t="n">
        <f aca="false">IF(AND(OR(BY1498="L1",BY1498="L23"),AH1498&gt;0),SUMIFS($AH$7:$AH$1843,$BY$7:$BY$1843,BY1498,$AK$7:$AK$1843,"&gt;"&amp;AK1498)+SUMIFS($AH$7:$AH$1843,$BY$7:$BY$1843,BY1498,$AK$7:$AK$1843,AK1498,$BQ$7:$BQ$1843,"&lt;="&amp;BQ1498),"")</f>
        <v>81.5531992162427</v>
      </c>
      <c r="AM1498" s="65" t="n">
        <f aca="false">IF(AL1498="",0,MAX(0,MIN(1,(IF(BY1498="L1",Parameter!$E$5,Parameter!$E$6+Parameter!$E$7)-(AL1498-AH1498))/AH1498)))</f>
        <v>1</v>
      </c>
      <c r="AN1498" s="57" t="n">
        <f aca="false">IF(LEFT(Cockpit!$I$5,1)="A",H1498,IF(CA1498=1,CB1498,IF(LEFT(Cockpit!$I$5,1)="B",AR1498,MAX(AR1498,H1498))))</f>
        <v>14</v>
      </c>
      <c r="AO1498" s="57" t="n">
        <f aca="false">IF(BT1498=1,0,ROUNDUP(AN1498/BS1498,0))</f>
        <v>1</v>
      </c>
      <c r="AP1498" s="59" t="n">
        <f aca="false">IF(CH1498&gt;0,CH1498*MAX(1,AN1498/X1498),IF(BT1498=1,IF(AN1498&lt;=0,0,BW1498*MAX(1,IF(H1498&gt;0,AN1498/H1498,1))),IF(R1498&gt;0,AO1498/R1498,0))/MAX(0.1,N(Parameter!$M$21)))</f>
        <v>0.00241545893719807</v>
      </c>
      <c r="AQ1498" s="57" t="n">
        <f aca="false">AN1498*G1498</f>
        <v>72.94</v>
      </c>
      <c r="AR1498" s="57" t="n">
        <f aca="false">ROUNDUP(MAX(J1498/IF(BZ1498&gt;0,BZ1498,MAX(0.1,N(Cockpit!$I$6))),CC1498)/BS1498,0)*BS1498</f>
        <v>14</v>
      </c>
      <c r="AS1498" s="58" t="n">
        <f aca="false">IF(AP1498&gt;0,J1498/AP1498,-1)</f>
        <v>0</v>
      </c>
      <c r="AT1498" s="58" t="n">
        <f aca="false">IF(AND(OR(BY1498="L1",BY1498="L23"),AP1498&gt;0),SUMIFS($AP$7:$AP$1843,$BY$7:$BY$1843,BY1498,$AS$7:$AS$1843,"&gt;"&amp;AS1498)+SUMIFS($AP$7:$AP$1843,$BY$7:$BY$1843,BY1498,$AS$7:$AS$1843,AS1498,$BQ$7:$BQ$1843,"&lt;="&amp;BQ1498),"")</f>
        <v>126.468058511537</v>
      </c>
      <c r="AU1498" s="65" t="n">
        <f aca="false">IF(AT1498="",0,MAX(0,MIN(1,(IF(BY1498="L1",Parameter!$E$5,Parameter!$E$6+Parameter!$E$7)-(AT1498-AP1498))/AP1498)))</f>
        <v>0</v>
      </c>
      <c r="AV1498" s="57" t="n">
        <f aca="false">IF(LEFT(Cockpit!$O$5,1)="A",H1498,IF(CA1498=1,CB1498,IF(LEFT(Cockpit!$O$5,1)="B",AZ1498,MAX(AZ1498,H1498))))</f>
        <v>14</v>
      </c>
      <c r="AW1498" s="57" t="n">
        <f aca="false">IF(BT1498=1,0,ROUNDUP(AV1498/BS1498,0))</f>
        <v>1</v>
      </c>
      <c r="AX1498" s="59" t="n">
        <f aca="false">IF(CH1498&gt;0,CH1498*MAX(1,AV1498/X1498),IF(BT1498=1,IF(AV1498&lt;=0,0,BW1498*MAX(1,IF(H1498&gt;0,AV1498/H1498,1))),IF(R1498&gt;0,AW1498/R1498,0))/MAX(0.1,N(Parameter!$M$21)))</f>
        <v>0.00241545893719807</v>
      </c>
      <c r="AY1498" s="57" t="n">
        <f aca="false">AV1498*G1498</f>
        <v>72.94</v>
      </c>
      <c r="AZ1498" s="57" t="n">
        <f aca="false">ROUNDUP(MAX(J1498/IF(BZ1498&gt;0,BZ1498,MAX(0.1,N(Cockpit!$O$6))),CC1498)/BS1498,0)*BS1498</f>
        <v>14</v>
      </c>
      <c r="BA1498" s="58" t="n">
        <f aca="false">IF(AX1498&gt;0,J1498/AX1498,-1)</f>
        <v>0</v>
      </c>
      <c r="BB1498" s="58" t="n">
        <f aca="false">IF(AND(OR(BY1498="L1",BY1498="L23"),AX1498&gt;0),SUMIFS($AX$7:$AX$1843,$BY$7:$BY$1843,BY1498,$BA$7:$BA$1843,"&gt;"&amp;BA1498)+SUMIFS($AX$7:$AX$1843,$BY$7:$BY$1843,BY1498,$BA$7:$BA$1843,BA1498,$BQ$7:$BQ$1843,"&lt;="&amp;BQ1498),"")</f>
        <v>117.297895341374</v>
      </c>
      <c r="BC1498" s="65" t="n">
        <f aca="false">IF(BB1498="",0,MAX(0,MIN(1,(IF(BY1498="L1",Parameter!$E$5,Parameter!$E$6+Parameter!$E$7)-(BB1498-AX1498))/AX1498)))</f>
        <v>0</v>
      </c>
      <c r="BD1498" s="55" t="str">
        <f aca="false">IF(AH1498&lt;=0,"",IF(BY1498="Aussen","Aussenlager",IF(BY1498="-","Nicht im Lift",IF(AM1498&gt;=1,"Lift",IF(AM1498&lt;=0,"Aussenlager","teilweise")))))</f>
        <v>Lift</v>
      </c>
      <c r="BE1498" s="55" t="str">
        <f aca="false">IF(AP1498&lt;=0,"",IF(BY1498="Aussen","Aussenlager",IF(BY1498="-","Nicht im Lift",IF(AU1498&gt;=1,"Lift",IF(AU1498&lt;=0,"Aussenlager","teilweise")))))</f>
        <v>Aussenlager</v>
      </c>
      <c r="BF1498" s="55" t="str">
        <f aca="false">IF(AX1498&lt;=0,"",IF(BY1498="Aussen","Aussenlager",IF(BY1498="-","Nicht im Lift",IF(BC1498&gt;=1,"Lift",IF(BC1498&lt;=0,"Aussenlager","teilweise")))))</f>
        <v>Aussenlager</v>
      </c>
      <c r="BG1498" s="55" t="str">
        <f aca="false">IF(A1498="","",IF(BP1498=1,"Neu; ","")&amp;IF(AND(BP1498=0,BK1498&lt;0),"negativer Bestand (Export "&amp;BK1498&amp;"); ","")&amp;IF(J1498&lt;=0,"Kein Verbrauch; ","")&amp;IF(CH1498&gt;0,"Lift "&amp;W1498&amp;" lt. Liftbericht (Fach "&amp;X1498&amp;" Stk); ",IF(BU1498=1,"Gebinde geschätzt ("&amp;T1498&amp;"); ",IF(BT1498=1,"Lose – Tablare geschätzt; ","")))&amp;IF(H1498&gt;AR1498,"Überbestand "&amp;ROUND(H1498-AR1498,0)&amp;" Stk / CHF "&amp;ROUND((H1498-AR1498)*G1498,0)&amp;"; ","")&amp;IF(AND(CA1498=1,CB1498&lt;CC1498),"MAX &lt; MB+LG; ","")&amp;IF(AND(CG1498&gt;0,CF1498*10&gt;CG1498),"zu hoch für Tablar; ","")&amp;IF(AND(BP1498=0,OR(CA1498=1,AA1498&lt;&gt;"",U1498&lt;&gt;"",V1498&lt;&gt;"",AB1498&lt;&gt;"")),"manuell übersteuert; ","")&amp;IF(AND(BT1498=0,R1498=0),"Gebinde unbekannt / Stellmass fehlt; ","")&amp;IF(AND(BT1498=0,N(V1498)&lt;=0,N(Q1498)&lt;=0),"Menge pro Gebinde fehlt (Ist = 1 Gebinde); ","")&amp;BO1498)</f>
        <v>Kein Verbrauch; nur im Artikelstamm (Bestand 23.06.2026)</v>
      </c>
      <c r="BH1498" s="55"/>
      <c r="BI1498" s="55"/>
      <c r="BJ1498" s="62"/>
      <c r="BK1498" s="57" t="n">
        <v>14</v>
      </c>
      <c r="BL1498" s="57" t="n">
        <v>0</v>
      </c>
      <c r="BM1498" s="56" t="n">
        <v>0</v>
      </c>
      <c r="BN1498" s="57" t="n">
        <v>0</v>
      </c>
      <c r="BO1498" s="55" t="s">
        <v>2575</v>
      </c>
      <c r="BP1498" s="60" t="n">
        <v>0</v>
      </c>
      <c r="BQ1498" s="60" t="n">
        <v>1498</v>
      </c>
      <c r="BR1498" s="55" t="str">
        <f aca="false">IF(U1498&lt;&gt;"",UPPER(TRIM(U1498)),IF(BU1498=1,UPPER(VLOOKUP(T1498,Parameter!$I$27:$K$29,2,0)),IF(P1498="","LOSE",P1498)))</f>
        <v>S21</v>
      </c>
      <c r="BS1498" s="57" t="n">
        <f aca="false">IF(BR1498="LOSE",1,IF(N(V1498)&gt;0,V1498,IF(BU1498=1,MAX(1,N(VLOOKUP(T1498,Parameter!$I$27:$K$29,3,0)),H1498,N(N1498)),IF(N(Q1498)&gt;0,Q1498,MAX(1,H1498)))))</f>
        <v>14</v>
      </c>
      <c r="BT1498" s="60" t="n">
        <f aca="false">IF(BR1498="LOSE",1,0)</f>
        <v>0</v>
      </c>
      <c r="BU1498" s="60" t="n">
        <f aca="false">IF(AND(U1498="",OR(P1498="",P1498="LOSE"),T1498&lt;&gt;"",N(S1498)&lt;=0,ISNUMBER(MATCH(T1498,Parameter!$I$27:$I$29,0))),1,0)</f>
        <v>0</v>
      </c>
      <c r="BV1498" s="55" t="str">
        <f aca="false">IF(AND(Parameter!$B$19="Ja",E1498&lt;&gt;"",ISNUMBER(MATCH(E1498,Parameter!$I$35:$I$52,0))),VLOOKUP(E1498,Parameter!$I$35:$J$52,2,0),IFERROR(VLOOKUP(D1498,Parameter!$A$35:$C$64,2,0),"Nein"))</f>
        <v>2+3</v>
      </c>
      <c r="BW1498" s="59" t="n">
        <f aca="false">IF(BT1498=0,0,IF(N(S1498)&gt;0,S1498,IFERROR(VLOOKUP(D1498,Parameter!$A$35:$C$64,3,0)+0,0)))</f>
        <v>0</v>
      </c>
      <c r="BX1498" s="55" t="n">
        <f aca="false">IF(AA1498&lt;&gt;"",AA1498,Z1498)</f>
        <v>3</v>
      </c>
      <c r="BY1498" s="55" t="str">
        <f aca="false">IF(BX1498=1,"L1",IF(OR(BX1498=2,BX1498=3),"L23",IF(BX1498="Aussen","Aussen","-")))</f>
        <v>L23</v>
      </c>
      <c r="BZ1498" s="66" t="n">
        <f aca="false">IF(N(AB1498)&gt;0,AB1498,0)</f>
        <v>0</v>
      </c>
      <c r="CA1498" s="60" t="n">
        <f aca="false">IF(ISNUMBER(AE1498),1,0)</f>
        <v>0</v>
      </c>
      <c r="CB1498" s="57" t="n">
        <f aca="false">N(AE1498)</f>
        <v>0</v>
      </c>
      <c r="CC1498" s="57" t="n">
        <f aca="false">N(M1498)+N(N1498)</f>
        <v>10</v>
      </c>
      <c r="CD1498" s="57" t="n">
        <f aca="false">ROUNDUP(H1498/BS1498,0)</f>
        <v>1</v>
      </c>
      <c r="CE1498" s="57" t="n">
        <f aca="false">ROUNDUP(CB1498/BS1498,0)</f>
        <v>0</v>
      </c>
      <c r="CF1498" s="60" t="n">
        <f aca="false">IF(BT1498=1,0,IFERROR(VLOOKUP(BR1498,'Gebinde-Kategorie'!$A$5:$M$45,5,0)+0,0))</f>
        <v>8</v>
      </c>
      <c r="CG1498" s="60" t="n">
        <f aca="false">IFERROR(IF(OR(BX1498=1,BX1498=2,BX1498=3),N(INDEX(Parameter!$I$5:$I$7,BX1498)),0),0)</f>
        <v>0</v>
      </c>
      <c r="CH1498" s="59" t="n">
        <f aca="false">IF(AND(Parameter!$B$21="Ja",ISNUMBER(W1498),N(X1498)&gt;0),IFERROR(N(INDEX(Parameter!$L$5:$L$7,W1498))*INDEX(Parameter!$E$5:$E$7,W1498)*X1498/SUMIFS($X$7:$X$1843,$W$7:$W$1843,W1498),0),0)</f>
        <v>0</v>
      </c>
    </row>
    <row r="1499" customFormat="false" ht="15" hidden="false" customHeight="false" outlineLevel="0" collapsed="false">
      <c r="A1499" s="55" t="s">
        <v>2620</v>
      </c>
      <c r="B1499" s="55" t="s">
        <v>2621</v>
      </c>
      <c r="C1499" s="55" t="s">
        <v>164</v>
      </c>
      <c r="D1499" s="55" t="s">
        <v>173</v>
      </c>
      <c r="E1499" s="55" t="s">
        <v>185</v>
      </c>
      <c r="F1499" s="55"/>
      <c r="G1499" s="56" t="n">
        <v>4.7</v>
      </c>
      <c r="H1499" s="57" t="n">
        <f aca="false">MAX(0,IF(AND(Parameter!$B$21="Ja",ISNUMBER(Y1499)),Y1499,IF(Parameter!$B$20="Jahresanfang 2025 + Export",BL1499+BK1499,BK1499)))</f>
        <v>17</v>
      </c>
      <c r="I1499" s="57" t="n">
        <f aca="false">H1499*G1499</f>
        <v>79.9</v>
      </c>
      <c r="J1499" s="57" t="n">
        <f aca="false">BN1499*Parameter!$B$18</f>
        <v>0</v>
      </c>
      <c r="K1499" s="58"/>
      <c r="L1499" s="59"/>
      <c r="M1499" s="57" t="n">
        <v>0</v>
      </c>
      <c r="N1499" s="57" t="n">
        <v>1</v>
      </c>
      <c r="O1499" s="60" t="n">
        <v>14</v>
      </c>
      <c r="P1499" s="55" t="s">
        <v>302</v>
      </c>
      <c r="Q1499" s="57" t="n">
        <v>17</v>
      </c>
      <c r="R1499" s="60" t="n">
        <f aca="false">IF(BT1499=1,0,IFERROR(VLOOKUP(BR1499,'Gebinde-Kategorie'!$A$5:$M$45,13,0)+0,0))</f>
        <v>26</v>
      </c>
      <c r="S1499" s="61"/>
      <c r="T1499" s="62"/>
      <c r="U1499" s="62"/>
      <c r="V1499" s="62"/>
      <c r="W1499" s="55"/>
      <c r="X1499" s="57"/>
      <c r="Y1499" s="57"/>
      <c r="Z1499" s="55" t="n">
        <f aca="false">IF(A1499="","",IF(AND(Parameter!$B$21="Ja",ISNUMBER(W1499)),W1499,IF(BV1499="2+3",IF(ISNUMBER(SEARCH("grosser Artikel",BO1499)),2,IFERROR(VLOOKUP(BR1499,Parameter!$F$35:$G$64,2,0),2)),IF(OR(BV1499="Nein",BV1499=""),"-",BV1499))))</f>
        <v>3</v>
      </c>
      <c r="AA1499" s="62"/>
      <c r="AB1499" s="63"/>
      <c r="AC1499" s="57" t="n">
        <f aca="false">AR1499</f>
        <v>17</v>
      </c>
      <c r="AD1499" s="57" t="n">
        <f aca="false">MAX(AR1499,H1499)</f>
        <v>17</v>
      </c>
      <c r="AE1499" s="64"/>
      <c r="AF1499" s="57" t="n">
        <f aca="false">IF(LEFT(Cockpit!$C$5,1)="A",H1499,IF(CA1499=1,CB1499,IF(LEFT(Cockpit!$C$5,1)="B",AJ1499,MAX(AJ1499,H1499))))</f>
        <v>17</v>
      </c>
      <c r="AG1499" s="57" t="n">
        <f aca="false">IF(BT1499=1,0,ROUNDUP(AF1499/BS1499,0))</f>
        <v>1</v>
      </c>
      <c r="AH1499" s="59" t="n">
        <f aca="false">IF(CH1499&gt;0,CH1499*MAX(1,AF1499/X1499),IF(BT1499=1,IF(AF1499&lt;=0,0,BW1499*MAX(1,IF(H1499&gt;0,AF1499/H1499,1))),IF(R1499&gt;0,AG1499/R1499,0))/MAX(0.1,N(Parameter!$M$21)))</f>
        <v>0.0384615384615385</v>
      </c>
      <c r="AI1499" s="57" t="n">
        <f aca="false">AF1499*G1499</f>
        <v>79.9</v>
      </c>
      <c r="AJ1499" s="57" t="n">
        <f aca="false">ROUNDUP(MAX(J1499/IF(BZ1499&gt;0,BZ1499,MAX(0.1,N(Cockpit!$C$6))),CC1499)/BS1499,0)*BS1499</f>
        <v>17</v>
      </c>
      <c r="AK1499" s="58" t="n">
        <f aca="false">IF(AH1499&gt;0,J1499/AH1499,-1)</f>
        <v>0</v>
      </c>
      <c r="AL1499" s="58" t="n">
        <f aca="false">IF(AND(OR(BY1499="L1",BY1499="L23"),AH1499&gt;0),SUMIFS($AH$7:$AH$1843,$BY$7:$BY$1843,BY1499,$AK$7:$AK$1843,"&gt;"&amp;AK1499)+SUMIFS($AH$7:$AH$1843,$BY$7:$BY$1843,BY1499,$AK$7:$AK$1843,AK1499,$BQ$7:$BQ$1843,"&lt;="&amp;BQ1499),"")</f>
        <v>81.5916607547042</v>
      </c>
      <c r="AM1499" s="65" t="n">
        <f aca="false">IF(AL1499="",0,MAX(0,MIN(1,(IF(BY1499="L1",Parameter!$E$5,Parameter!$E$6+Parameter!$E$7)-(AL1499-AH1499))/AH1499)))</f>
        <v>1</v>
      </c>
      <c r="AN1499" s="57" t="n">
        <f aca="false">IF(LEFT(Cockpit!$I$5,1)="A",H1499,IF(CA1499=1,CB1499,IF(LEFT(Cockpit!$I$5,1)="B",AR1499,MAX(AR1499,H1499))))</f>
        <v>17</v>
      </c>
      <c r="AO1499" s="57" t="n">
        <f aca="false">IF(BT1499=1,0,ROUNDUP(AN1499/BS1499,0))</f>
        <v>1</v>
      </c>
      <c r="AP1499" s="59" t="n">
        <f aca="false">IF(CH1499&gt;0,CH1499*MAX(1,AN1499/X1499),IF(BT1499=1,IF(AN1499&lt;=0,0,BW1499*MAX(1,IF(H1499&gt;0,AN1499/H1499,1))),IF(R1499&gt;0,AO1499/R1499,0))/MAX(0.1,N(Parameter!$M$21)))</f>
        <v>0.0384615384615385</v>
      </c>
      <c r="AQ1499" s="57" t="n">
        <f aca="false">AN1499*G1499</f>
        <v>79.9</v>
      </c>
      <c r="AR1499" s="57" t="n">
        <f aca="false">ROUNDUP(MAX(J1499/IF(BZ1499&gt;0,BZ1499,MAX(0.1,N(Cockpit!$I$6))),CC1499)/BS1499,0)*BS1499</f>
        <v>17</v>
      </c>
      <c r="AS1499" s="58" t="n">
        <f aca="false">IF(AP1499&gt;0,J1499/AP1499,-1)</f>
        <v>0</v>
      </c>
      <c r="AT1499" s="58" t="n">
        <f aca="false">IF(AND(OR(BY1499="L1",BY1499="L23"),AP1499&gt;0),SUMIFS($AP$7:$AP$1843,$BY$7:$BY$1843,BY1499,$AS$7:$AS$1843,"&gt;"&amp;AS1499)+SUMIFS($AP$7:$AP$1843,$BY$7:$BY$1843,BY1499,$AS$7:$AS$1843,AS1499,$BQ$7:$BQ$1843,"&lt;="&amp;BQ1499),"")</f>
        <v>126.506520049998</v>
      </c>
      <c r="AU1499" s="65" t="n">
        <f aca="false">IF(AT1499="",0,MAX(0,MIN(1,(IF(BY1499="L1",Parameter!$E$5,Parameter!$E$6+Parameter!$E$7)-(AT1499-AP1499))/AP1499)))</f>
        <v>0</v>
      </c>
      <c r="AV1499" s="57" t="n">
        <f aca="false">IF(LEFT(Cockpit!$O$5,1)="A",H1499,IF(CA1499=1,CB1499,IF(LEFT(Cockpit!$O$5,1)="B",AZ1499,MAX(AZ1499,H1499))))</f>
        <v>17</v>
      </c>
      <c r="AW1499" s="57" t="n">
        <f aca="false">IF(BT1499=1,0,ROUNDUP(AV1499/BS1499,0))</f>
        <v>1</v>
      </c>
      <c r="AX1499" s="59" t="n">
        <f aca="false">IF(CH1499&gt;0,CH1499*MAX(1,AV1499/X1499),IF(BT1499=1,IF(AV1499&lt;=0,0,BW1499*MAX(1,IF(H1499&gt;0,AV1499/H1499,1))),IF(R1499&gt;0,AW1499/R1499,0))/MAX(0.1,N(Parameter!$M$21)))</f>
        <v>0.0384615384615385</v>
      </c>
      <c r="AY1499" s="57" t="n">
        <f aca="false">AV1499*G1499</f>
        <v>79.9</v>
      </c>
      <c r="AZ1499" s="57" t="n">
        <f aca="false">ROUNDUP(MAX(J1499/IF(BZ1499&gt;0,BZ1499,MAX(0.1,N(Cockpit!$O$6))),CC1499)/BS1499,0)*BS1499</f>
        <v>17</v>
      </c>
      <c r="BA1499" s="58" t="n">
        <f aca="false">IF(AX1499&gt;0,J1499/AX1499,-1)</f>
        <v>0</v>
      </c>
      <c r="BB1499" s="58" t="n">
        <f aca="false">IF(AND(OR(BY1499="L1",BY1499="L23"),AX1499&gt;0),SUMIFS($AX$7:$AX$1843,$BY$7:$BY$1843,BY1499,$BA$7:$BA$1843,"&gt;"&amp;BA1499)+SUMIFS($AX$7:$AX$1843,$BY$7:$BY$1843,BY1499,$BA$7:$BA$1843,BA1499,$BQ$7:$BQ$1843,"&lt;="&amp;BQ1499),"")</f>
        <v>117.336356879835</v>
      </c>
      <c r="BC1499" s="65" t="n">
        <f aca="false">IF(BB1499="",0,MAX(0,MIN(1,(IF(BY1499="L1",Parameter!$E$5,Parameter!$E$6+Parameter!$E$7)-(BB1499-AX1499))/AX1499)))</f>
        <v>0</v>
      </c>
      <c r="BD1499" s="55" t="str">
        <f aca="false">IF(AH1499&lt;=0,"",IF(BY1499="Aussen","Aussenlager",IF(BY1499="-","Nicht im Lift",IF(AM1499&gt;=1,"Lift",IF(AM1499&lt;=0,"Aussenlager","teilweise")))))</f>
        <v>Lift</v>
      </c>
      <c r="BE1499" s="55" t="str">
        <f aca="false">IF(AP1499&lt;=0,"",IF(BY1499="Aussen","Aussenlager",IF(BY1499="-","Nicht im Lift",IF(AU1499&gt;=1,"Lift",IF(AU1499&lt;=0,"Aussenlager","teilweise")))))</f>
        <v>Aussenlager</v>
      </c>
      <c r="BF1499" s="55" t="str">
        <f aca="false">IF(AX1499&lt;=0,"",IF(BY1499="Aussen","Aussenlager",IF(BY1499="-","Nicht im Lift",IF(BC1499&gt;=1,"Lift",IF(BC1499&lt;=0,"Aussenlager","teilweise")))))</f>
        <v>Aussenlager</v>
      </c>
      <c r="BG1499" s="55" t="str">
        <f aca="false">IF(A1499="","",IF(BP1499=1,"Neu; ","")&amp;IF(AND(BP1499=0,BK1499&lt;0),"negativer Bestand (Export "&amp;BK1499&amp;"); ","")&amp;IF(J1499&lt;=0,"Kein Verbrauch; ","")&amp;IF(CH1499&gt;0,"Lift "&amp;W1499&amp;" lt. Liftbericht (Fach "&amp;X1499&amp;" Stk); ",IF(BU1499=1,"Gebinde geschätzt ("&amp;T1499&amp;"); ",IF(BT1499=1,"Lose – Tablare geschätzt; ","")))&amp;IF(H1499&gt;AR1499,"Überbestand "&amp;ROUND(H1499-AR1499,0)&amp;" Stk / CHF "&amp;ROUND((H1499-AR1499)*G1499,0)&amp;"; ","")&amp;IF(AND(CA1499=1,CB1499&lt;CC1499),"MAX &lt; MB+LG; ","")&amp;IF(AND(CG1499&gt;0,CF1499*10&gt;CG1499),"zu hoch für Tablar; ","")&amp;IF(AND(BP1499=0,OR(CA1499=1,AA1499&lt;&gt;"",U1499&lt;&gt;"",V1499&lt;&gt;"",AB1499&lt;&gt;"")),"manuell übersteuert; ","")&amp;IF(AND(BT1499=0,R1499=0),"Gebinde unbekannt / Stellmass fehlt; ","")&amp;IF(AND(BT1499=0,N(V1499)&lt;=0,N(Q1499)&lt;=0),"Menge pro Gebinde fehlt (Ist = 1 Gebinde); ","")&amp;BO1499)</f>
        <v>Kein Verbrauch; nur im Artikelstamm (Bestand 23.06.2026); Überbestand</v>
      </c>
      <c r="BH1499" s="55"/>
      <c r="BI1499" s="55"/>
      <c r="BJ1499" s="62"/>
      <c r="BK1499" s="57" t="n">
        <v>17</v>
      </c>
      <c r="BL1499" s="57" t="n">
        <v>0</v>
      </c>
      <c r="BM1499" s="56" t="n">
        <v>0</v>
      </c>
      <c r="BN1499" s="57" t="n">
        <v>0</v>
      </c>
      <c r="BO1499" s="55" t="s">
        <v>2572</v>
      </c>
      <c r="BP1499" s="60" t="n">
        <v>0</v>
      </c>
      <c r="BQ1499" s="60" t="n">
        <v>1499</v>
      </c>
      <c r="BR1499" s="55" t="str">
        <f aca="false">IF(U1499&lt;&gt;"",UPPER(TRIM(U1499)),IF(BU1499=1,UPPER(VLOOKUP(T1499,Parameter!$I$27:$K$29,2,0)),IF(P1499="","LOSE",P1499)))</f>
        <v>S51</v>
      </c>
      <c r="BS1499" s="57" t="n">
        <f aca="false">IF(BR1499="LOSE",1,IF(N(V1499)&gt;0,V1499,IF(BU1499=1,MAX(1,N(VLOOKUP(T1499,Parameter!$I$27:$K$29,3,0)),H1499,N(N1499)),IF(N(Q1499)&gt;0,Q1499,MAX(1,H1499)))))</f>
        <v>17</v>
      </c>
      <c r="BT1499" s="60" t="n">
        <f aca="false">IF(BR1499="LOSE",1,0)</f>
        <v>0</v>
      </c>
      <c r="BU1499" s="60" t="n">
        <f aca="false">IF(AND(U1499="",OR(P1499="",P1499="LOSE"),T1499&lt;&gt;"",N(S1499)&lt;=0,ISNUMBER(MATCH(T1499,Parameter!$I$27:$I$29,0))),1,0)</f>
        <v>0</v>
      </c>
      <c r="BV1499" s="55" t="str">
        <f aca="false">IF(AND(Parameter!$B$19="Ja",E1499&lt;&gt;"",ISNUMBER(MATCH(E1499,Parameter!$I$35:$I$52,0))),VLOOKUP(E1499,Parameter!$I$35:$J$52,2,0),IFERROR(VLOOKUP(D1499,Parameter!$A$35:$C$64,2,0),"Nein"))</f>
        <v>2+3</v>
      </c>
      <c r="BW1499" s="59" t="n">
        <f aca="false">IF(BT1499=0,0,IF(N(S1499)&gt;0,S1499,IFERROR(VLOOKUP(D1499,Parameter!$A$35:$C$64,3,0)+0,0)))</f>
        <v>0</v>
      </c>
      <c r="BX1499" s="55" t="n">
        <f aca="false">IF(AA1499&lt;&gt;"",AA1499,Z1499)</f>
        <v>3</v>
      </c>
      <c r="BY1499" s="55" t="str">
        <f aca="false">IF(BX1499=1,"L1",IF(OR(BX1499=2,BX1499=3),"L23",IF(BX1499="Aussen","Aussen","-")))</f>
        <v>L23</v>
      </c>
      <c r="BZ1499" s="66" t="n">
        <f aca="false">IF(N(AB1499)&gt;0,AB1499,0)</f>
        <v>0</v>
      </c>
      <c r="CA1499" s="60" t="n">
        <f aca="false">IF(ISNUMBER(AE1499),1,0)</f>
        <v>0</v>
      </c>
      <c r="CB1499" s="57" t="n">
        <f aca="false">N(AE1499)</f>
        <v>0</v>
      </c>
      <c r="CC1499" s="57" t="n">
        <f aca="false">N(M1499)+N(N1499)</f>
        <v>1</v>
      </c>
      <c r="CD1499" s="57" t="n">
        <f aca="false">ROUNDUP(H1499/BS1499,0)</f>
        <v>1</v>
      </c>
      <c r="CE1499" s="57" t="n">
        <f aca="false">ROUNDUP(CB1499/BS1499,0)</f>
        <v>0</v>
      </c>
      <c r="CF1499" s="60" t="n">
        <f aca="false">IF(BT1499=1,0,IFERROR(VLOOKUP(BR1499,'Gebinde-Kategorie'!$A$5:$M$45,5,0)+0,0))</f>
        <v>11</v>
      </c>
      <c r="CG1499" s="60" t="n">
        <f aca="false">IFERROR(IF(OR(BX1499=1,BX1499=2,BX1499=3),N(INDEX(Parameter!$I$5:$I$7,BX1499)),0),0)</f>
        <v>0</v>
      </c>
      <c r="CH1499" s="59" t="n">
        <f aca="false">IF(AND(Parameter!$B$21="Ja",ISNUMBER(W1499),N(X1499)&gt;0),IFERROR(N(INDEX(Parameter!$L$5:$L$7,W1499))*INDEX(Parameter!$E$5:$E$7,W1499)*X1499/SUMIFS($X$7:$X$1843,$W$7:$W$1843,W1499),0),0)</f>
        <v>0</v>
      </c>
    </row>
    <row r="1500" customFormat="false" ht="15" hidden="false" customHeight="false" outlineLevel="0" collapsed="false">
      <c r="A1500" s="55" t="s">
        <v>2622</v>
      </c>
      <c r="B1500" s="55" t="s">
        <v>2623</v>
      </c>
      <c r="C1500" s="55" t="s">
        <v>164</v>
      </c>
      <c r="D1500" s="55" t="s">
        <v>184</v>
      </c>
      <c r="E1500" s="55" t="s">
        <v>185</v>
      </c>
      <c r="F1500" s="55"/>
      <c r="G1500" s="56" t="n">
        <v>21.51</v>
      </c>
      <c r="H1500" s="57" t="n">
        <f aca="false">MAX(0,IF(AND(Parameter!$B$21="Ja",ISNUMBER(Y1500)),Y1500,IF(Parameter!$B$20="Jahresanfang 2025 + Export",BL1500+BK1500,BK1500)))</f>
        <v>6</v>
      </c>
      <c r="I1500" s="57" t="n">
        <f aca="false">H1500*G1500</f>
        <v>129.06</v>
      </c>
      <c r="J1500" s="57" t="n">
        <f aca="false">BN1500*Parameter!$B$18</f>
        <v>0</v>
      </c>
      <c r="K1500" s="58"/>
      <c r="L1500" s="59"/>
      <c r="M1500" s="57" t="n">
        <v>0</v>
      </c>
      <c r="N1500" s="57" t="n">
        <v>1</v>
      </c>
      <c r="O1500" s="60" t="n">
        <v>14</v>
      </c>
      <c r="P1500" s="55" t="s">
        <v>233</v>
      </c>
      <c r="Q1500" s="57" t="n">
        <v>1</v>
      </c>
      <c r="R1500" s="60" t="n">
        <f aca="false">IF(BT1500=1,0,IFERROR(VLOOKUP(BR1500,'Gebinde-Kategorie'!$A$5:$M$45,13,0)+0,0))</f>
        <v>26</v>
      </c>
      <c r="S1500" s="61"/>
      <c r="T1500" s="62"/>
      <c r="U1500" s="62"/>
      <c r="V1500" s="62"/>
      <c r="W1500" s="55"/>
      <c r="X1500" s="57"/>
      <c r="Y1500" s="57"/>
      <c r="Z1500" s="55" t="n">
        <f aca="false">IF(A1500="","",IF(AND(Parameter!$B$21="Ja",ISNUMBER(W1500)),W1500,IF(BV1500="2+3",IF(ISNUMBER(SEARCH("grosser Artikel",BO1500)),2,IFERROR(VLOOKUP(BR1500,Parameter!$F$35:$G$64,2,0),2)),IF(OR(BV1500="Nein",BV1500=""),"-",BV1500))))</f>
        <v>3</v>
      </c>
      <c r="AA1500" s="62"/>
      <c r="AB1500" s="63"/>
      <c r="AC1500" s="57" t="n">
        <f aca="false">AR1500</f>
        <v>1</v>
      </c>
      <c r="AD1500" s="57" t="n">
        <f aca="false">MAX(AR1500,H1500)</f>
        <v>6</v>
      </c>
      <c r="AE1500" s="64"/>
      <c r="AF1500" s="57" t="n">
        <f aca="false">IF(LEFT(Cockpit!$C$5,1)="A",H1500,IF(CA1500=1,CB1500,IF(LEFT(Cockpit!$C$5,1)="B",AJ1500,MAX(AJ1500,H1500))))</f>
        <v>6</v>
      </c>
      <c r="AG1500" s="57" t="n">
        <f aca="false">IF(BT1500=1,0,ROUNDUP(AF1500/BS1500,0))</f>
        <v>6</v>
      </c>
      <c r="AH1500" s="59" t="n">
        <f aca="false">IF(CH1500&gt;0,CH1500*MAX(1,AF1500/X1500),IF(BT1500=1,IF(AF1500&lt;=0,0,BW1500*MAX(1,IF(H1500&gt;0,AF1500/H1500,1))),IF(R1500&gt;0,AG1500/R1500,0))/MAX(0.1,N(Parameter!$M$21)))</f>
        <v>0.230769230769231</v>
      </c>
      <c r="AI1500" s="57" t="n">
        <f aca="false">AF1500*G1500</f>
        <v>129.06</v>
      </c>
      <c r="AJ1500" s="57" t="n">
        <f aca="false">ROUNDUP(MAX(J1500/IF(BZ1500&gt;0,BZ1500,MAX(0.1,N(Cockpit!$C$6))),CC1500)/BS1500,0)*BS1500</f>
        <v>1</v>
      </c>
      <c r="AK1500" s="58" t="n">
        <f aca="false">IF(AH1500&gt;0,J1500/AH1500,-1)</f>
        <v>0</v>
      </c>
      <c r="AL1500" s="58" t="n">
        <f aca="false">IF(AND(OR(BY1500="L1",BY1500="L23"),AH1500&gt;0),SUMIFS($AH$7:$AH$1843,$BY$7:$BY$1843,BY1500,$AK$7:$AK$1843,"&gt;"&amp;AK1500)+SUMIFS($AH$7:$AH$1843,$BY$7:$BY$1843,BY1500,$AK$7:$AK$1843,AK1500,$BQ$7:$BQ$1843,"&lt;="&amp;BQ1500),"")</f>
        <v>81.8224299854735</v>
      </c>
      <c r="AM1500" s="65" t="n">
        <f aca="false">IF(AL1500="",0,MAX(0,MIN(1,(IF(BY1500="L1",Parameter!$E$5,Parameter!$E$6+Parameter!$E$7)-(AL1500-AH1500))/AH1500)))</f>
        <v>1</v>
      </c>
      <c r="AN1500" s="57" t="n">
        <f aca="false">IF(LEFT(Cockpit!$I$5,1)="A",H1500,IF(CA1500=1,CB1500,IF(LEFT(Cockpit!$I$5,1)="B",AR1500,MAX(AR1500,H1500))))</f>
        <v>6</v>
      </c>
      <c r="AO1500" s="57" t="n">
        <f aca="false">IF(BT1500=1,0,ROUNDUP(AN1500/BS1500,0))</f>
        <v>6</v>
      </c>
      <c r="AP1500" s="59" t="n">
        <f aca="false">IF(CH1500&gt;0,CH1500*MAX(1,AN1500/X1500),IF(BT1500=1,IF(AN1500&lt;=0,0,BW1500*MAX(1,IF(H1500&gt;0,AN1500/H1500,1))),IF(R1500&gt;0,AO1500/R1500,0))/MAX(0.1,N(Parameter!$M$21)))</f>
        <v>0.230769230769231</v>
      </c>
      <c r="AQ1500" s="57" t="n">
        <f aca="false">AN1500*G1500</f>
        <v>129.06</v>
      </c>
      <c r="AR1500" s="57" t="n">
        <f aca="false">ROUNDUP(MAX(J1500/IF(BZ1500&gt;0,BZ1500,MAX(0.1,N(Cockpit!$I$6))),CC1500)/BS1500,0)*BS1500</f>
        <v>1</v>
      </c>
      <c r="AS1500" s="58" t="n">
        <f aca="false">IF(AP1500&gt;0,J1500/AP1500,-1)</f>
        <v>0</v>
      </c>
      <c r="AT1500" s="58" t="n">
        <f aca="false">IF(AND(OR(BY1500="L1",BY1500="L23"),AP1500&gt;0),SUMIFS($AP$7:$AP$1843,$BY$7:$BY$1843,BY1500,$AS$7:$AS$1843,"&gt;"&amp;AS1500)+SUMIFS($AP$7:$AP$1843,$BY$7:$BY$1843,BY1500,$AS$7:$AS$1843,AS1500,$BQ$7:$BQ$1843,"&lt;="&amp;BQ1500),"")</f>
        <v>126.737289280768</v>
      </c>
      <c r="AU1500" s="65" t="n">
        <f aca="false">IF(AT1500="",0,MAX(0,MIN(1,(IF(BY1500="L1",Parameter!$E$5,Parameter!$E$6+Parameter!$E$7)-(AT1500-AP1500))/AP1500)))</f>
        <v>0</v>
      </c>
      <c r="AV1500" s="57" t="n">
        <f aca="false">IF(LEFT(Cockpit!$O$5,1)="A",H1500,IF(CA1500=1,CB1500,IF(LEFT(Cockpit!$O$5,1)="B",AZ1500,MAX(AZ1500,H1500))))</f>
        <v>6</v>
      </c>
      <c r="AW1500" s="57" t="n">
        <f aca="false">IF(BT1500=1,0,ROUNDUP(AV1500/BS1500,0))</f>
        <v>6</v>
      </c>
      <c r="AX1500" s="59" t="n">
        <f aca="false">IF(CH1500&gt;0,CH1500*MAX(1,AV1500/X1500),IF(BT1500=1,IF(AV1500&lt;=0,0,BW1500*MAX(1,IF(H1500&gt;0,AV1500/H1500,1))),IF(R1500&gt;0,AW1500/R1500,0))/MAX(0.1,N(Parameter!$M$21)))</f>
        <v>0.230769230769231</v>
      </c>
      <c r="AY1500" s="57" t="n">
        <f aca="false">AV1500*G1500</f>
        <v>129.06</v>
      </c>
      <c r="AZ1500" s="57" t="n">
        <f aca="false">ROUNDUP(MAX(J1500/IF(BZ1500&gt;0,BZ1500,MAX(0.1,N(Cockpit!$O$6))),CC1500)/BS1500,0)*BS1500</f>
        <v>1</v>
      </c>
      <c r="BA1500" s="58" t="n">
        <f aca="false">IF(AX1500&gt;0,J1500/AX1500,-1)</f>
        <v>0</v>
      </c>
      <c r="BB1500" s="58" t="n">
        <f aca="false">IF(AND(OR(BY1500="L1",BY1500="L23"),AX1500&gt;0),SUMIFS($AX$7:$AX$1843,$BY$7:$BY$1843,BY1500,$BA$7:$BA$1843,"&gt;"&amp;BA1500)+SUMIFS($AX$7:$AX$1843,$BY$7:$BY$1843,BY1500,$BA$7:$BA$1843,BA1500,$BQ$7:$BQ$1843,"&lt;="&amp;BQ1500),"")</f>
        <v>117.567126110604</v>
      </c>
      <c r="BC1500" s="65" t="n">
        <f aca="false">IF(BB1500="",0,MAX(0,MIN(1,(IF(BY1500="L1",Parameter!$E$5,Parameter!$E$6+Parameter!$E$7)-(BB1500-AX1500))/AX1500)))</f>
        <v>0</v>
      </c>
      <c r="BD1500" s="55" t="str">
        <f aca="false">IF(AH1500&lt;=0,"",IF(BY1500="Aussen","Aussenlager",IF(BY1500="-","Nicht im Lift",IF(AM1500&gt;=1,"Lift",IF(AM1500&lt;=0,"Aussenlager","teilweise")))))</f>
        <v>Lift</v>
      </c>
      <c r="BE1500" s="55" t="str">
        <f aca="false">IF(AP1500&lt;=0,"",IF(BY1500="Aussen","Aussenlager",IF(BY1500="-","Nicht im Lift",IF(AU1500&gt;=1,"Lift",IF(AU1500&lt;=0,"Aussenlager","teilweise")))))</f>
        <v>Aussenlager</v>
      </c>
      <c r="BF1500" s="55" t="str">
        <f aca="false">IF(AX1500&lt;=0,"",IF(BY1500="Aussen","Aussenlager",IF(BY1500="-","Nicht im Lift",IF(BC1500&gt;=1,"Lift",IF(BC1500&lt;=0,"Aussenlager","teilweise")))))</f>
        <v>Aussenlager</v>
      </c>
      <c r="BG1500" s="55" t="str">
        <f aca="false">IF(A1500="","",IF(BP1500=1,"Neu; ","")&amp;IF(AND(BP1500=0,BK1500&lt;0),"negativer Bestand (Export "&amp;BK1500&amp;"); ","")&amp;IF(J1500&lt;=0,"Kein Verbrauch; ","")&amp;IF(CH1500&gt;0,"Lift "&amp;W1500&amp;" lt. Liftbericht (Fach "&amp;X1500&amp;" Stk); ",IF(BU1500=1,"Gebinde geschätzt ("&amp;T1500&amp;"); ",IF(BT1500=1,"Lose – Tablare geschätzt; ","")))&amp;IF(H1500&gt;AR1500,"Überbestand "&amp;ROUND(H1500-AR1500,0)&amp;" Stk / CHF "&amp;ROUND((H1500-AR1500)*G1500,0)&amp;"; ","")&amp;IF(AND(CA1500=1,CB1500&lt;CC1500),"MAX &lt; MB+LG; ","")&amp;IF(AND(CG1500&gt;0,CF1500*10&gt;CG1500),"zu hoch für Tablar; ","")&amp;IF(AND(BP1500=0,OR(CA1500=1,AA1500&lt;&gt;"",U1500&lt;&gt;"",V1500&lt;&gt;"",AB1500&lt;&gt;"")),"manuell übersteuert; ","")&amp;IF(AND(BT1500=0,R1500=0),"Gebinde unbekannt / Stellmass fehlt; ","")&amp;IF(AND(BT1500=0,N(V1500)&lt;=0,N(Q1500)&lt;=0),"Menge pro Gebinde fehlt (Ist = 1 Gebinde); ","")&amp;BO1500)</f>
        <v>Kein Verbrauch; Überbestand 5 Stk / CHF 108; nur im Artikelstamm (Bestand 23.06.2026)</v>
      </c>
      <c r="BH1500" s="55"/>
      <c r="BI1500" s="55"/>
      <c r="BJ1500" s="62"/>
      <c r="BK1500" s="57" t="n">
        <v>6</v>
      </c>
      <c r="BL1500" s="57" t="n">
        <v>0</v>
      </c>
      <c r="BM1500" s="56" t="n">
        <v>0</v>
      </c>
      <c r="BN1500" s="57" t="n">
        <v>0</v>
      </c>
      <c r="BO1500" s="55" t="s">
        <v>2575</v>
      </c>
      <c r="BP1500" s="60" t="n">
        <v>0</v>
      </c>
      <c r="BQ1500" s="60" t="n">
        <v>1500</v>
      </c>
      <c r="BR1500" s="55" t="str">
        <f aca="false">IF(U1500&lt;&gt;"",UPPER(TRIM(U1500)),IF(BU1500=1,UPPER(VLOOKUP(T1500,Parameter!$I$27:$K$29,2,0)),IF(P1500="","LOSE",P1500)))</f>
        <v>S52</v>
      </c>
      <c r="BS1500" s="57" t="n">
        <f aca="false">IF(BR1500="LOSE",1,IF(N(V1500)&gt;0,V1500,IF(BU1500=1,MAX(1,N(VLOOKUP(T1500,Parameter!$I$27:$K$29,3,0)),H1500,N(N1500)),IF(N(Q1500)&gt;0,Q1500,MAX(1,H1500)))))</f>
        <v>1</v>
      </c>
      <c r="BT1500" s="60" t="n">
        <f aca="false">IF(BR1500="LOSE",1,0)</f>
        <v>0</v>
      </c>
      <c r="BU1500" s="60" t="n">
        <f aca="false">IF(AND(U1500="",OR(P1500="",P1500="LOSE"),T1500&lt;&gt;"",N(S1500)&lt;=0,ISNUMBER(MATCH(T1500,Parameter!$I$27:$I$29,0))),1,0)</f>
        <v>0</v>
      </c>
      <c r="BV1500" s="55" t="str">
        <f aca="false">IF(AND(Parameter!$B$19="Ja",E1500&lt;&gt;"",ISNUMBER(MATCH(E1500,Parameter!$I$35:$I$52,0))),VLOOKUP(E1500,Parameter!$I$35:$J$52,2,0),IFERROR(VLOOKUP(D1500,Parameter!$A$35:$C$64,2,0),"Nein"))</f>
        <v>2+3</v>
      </c>
      <c r="BW1500" s="59" t="n">
        <f aca="false">IF(BT1500=0,0,IF(N(S1500)&gt;0,S1500,IFERROR(VLOOKUP(D1500,Parameter!$A$35:$C$64,3,0)+0,0)))</f>
        <v>0</v>
      </c>
      <c r="BX1500" s="55" t="n">
        <f aca="false">IF(AA1500&lt;&gt;"",AA1500,Z1500)</f>
        <v>3</v>
      </c>
      <c r="BY1500" s="55" t="str">
        <f aca="false">IF(BX1500=1,"L1",IF(OR(BX1500=2,BX1500=3),"L23",IF(BX1500="Aussen","Aussen","-")))</f>
        <v>L23</v>
      </c>
      <c r="BZ1500" s="66" t="n">
        <f aca="false">IF(N(AB1500)&gt;0,AB1500,0)</f>
        <v>0</v>
      </c>
      <c r="CA1500" s="60" t="n">
        <f aca="false">IF(ISNUMBER(AE1500),1,0)</f>
        <v>0</v>
      </c>
      <c r="CB1500" s="57" t="n">
        <f aca="false">N(AE1500)</f>
        <v>0</v>
      </c>
      <c r="CC1500" s="57" t="n">
        <f aca="false">N(M1500)+N(N1500)</f>
        <v>1</v>
      </c>
      <c r="CD1500" s="57" t="n">
        <f aca="false">ROUNDUP(H1500/BS1500,0)</f>
        <v>6</v>
      </c>
      <c r="CE1500" s="57" t="n">
        <f aca="false">ROUNDUP(CB1500/BS1500,0)</f>
        <v>0</v>
      </c>
      <c r="CF1500" s="60" t="n">
        <f aca="false">IF(BT1500=1,0,IFERROR(VLOOKUP(BR1500,'Gebinde-Kategorie'!$A$5:$M$45,5,0)+0,0))</f>
        <v>21</v>
      </c>
      <c r="CG1500" s="60" t="n">
        <f aca="false">IFERROR(IF(OR(BX1500=1,BX1500=2,BX1500=3),N(INDEX(Parameter!$I$5:$I$7,BX1500)),0),0)</f>
        <v>0</v>
      </c>
      <c r="CH1500" s="59" t="n">
        <f aca="false">IF(AND(Parameter!$B$21="Ja",ISNUMBER(W1500),N(X1500)&gt;0),IFERROR(N(INDEX(Parameter!$L$5:$L$7,W1500))*INDEX(Parameter!$E$5:$E$7,W1500)*X1500/SUMIFS($X$7:$X$1843,$W$7:$W$1843,W1500),0),0)</f>
        <v>0</v>
      </c>
    </row>
    <row r="1501" customFormat="false" ht="15" hidden="false" customHeight="false" outlineLevel="0" collapsed="false">
      <c r="A1501" s="55" t="s">
        <v>2624</v>
      </c>
      <c r="B1501" s="55" t="s">
        <v>2625</v>
      </c>
      <c r="C1501" s="55" t="s">
        <v>164</v>
      </c>
      <c r="D1501" s="55" t="s">
        <v>184</v>
      </c>
      <c r="E1501" s="55" t="s">
        <v>185</v>
      </c>
      <c r="F1501" s="55"/>
      <c r="G1501" s="56" t="n">
        <v>97.63</v>
      </c>
      <c r="H1501" s="57" t="n">
        <f aca="false">MAX(0,IF(AND(Parameter!$B$21="Ja",ISNUMBER(Y1501)),Y1501,IF(Parameter!$B$20="Jahresanfang 2025 + Export",BL1501+BK1501,BK1501)))</f>
        <v>5</v>
      </c>
      <c r="I1501" s="57" t="n">
        <f aca="false">H1501*G1501</f>
        <v>488.15</v>
      </c>
      <c r="J1501" s="57" t="n">
        <f aca="false">BN1501*Parameter!$B$18</f>
        <v>0</v>
      </c>
      <c r="K1501" s="58"/>
      <c r="L1501" s="59"/>
      <c r="M1501" s="57" t="n">
        <v>0</v>
      </c>
      <c r="N1501" s="57" t="n">
        <v>3</v>
      </c>
      <c r="O1501" s="60" t="n">
        <v>77</v>
      </c>
      <c r="P1501" s="55" t="s">
        <v>302</v>
      </c>
      <c r="Q1501" s="57" t="n">
        <v>5</v>
      </c>
      <c r="R1501" s="60" t="n">
        <f aca="false">IF(BT1501=1,0,IFERROR(VLOOKUP(BR1501,'Gebinde-Kategorie'!$A$5:$M$45,13,0)+0,0))</f>
        <v>26</v>
      </c>
      <c r="S1501" s="61"/>
      <c r="T1501" s="62"/>
      <c r="U1501" s="62"/>
      <c r="V1501" s="62"/>
      <c r="W1501" s="55"/>
      <c r="X1501" s="57"/>
      <c r="Y1501" s="57"/>
      <c r="Z1501" s="55" t="n">
        <f aca="false">IF(A1501="","",IF(AND(Parameter!$B$21="Ja",ISNUMBER(W1501)),W1501,IF(BV1501="2+3",IF(ISNUMBER(SEARCH("grosser Artikel",BO1501)),2,IFERROR(VLOOKUP(BR1501,Parameter!$F$35:$G$64,2,0),2)),IF(OR(BV1501="Nein",BV1501=""),"-",BV1501))))</f>
        <v>3</v>
      </c>
      <c r="AA1501" s="62"/>
      <c r="AB1501" s="63"/>
      <c r="AC1501" s="57" t="n">
        <f aca="false">AR1501</f>
        <v>5</v>
      </c>
      <c r="AD1501" s="57" t="n">
        <f aca="false">MAX(AR1501,H1501)</f>
        <v>5</v>
      </c>
      <c r="AE1501" s="64"/>
      <c r="AF1501" s="57" t="n">
        <f aca="false">IF(LEFT(Cockpit!$C$5,1)="A",H1501,IF(CA1501=1,CB1501,IF(LEFT(Cockpit!$C$5,1)="B",AJ1501,MAX(AJ1501,H1501))))</f>
        <v>5</v>
      </c>
      <c r="AG1501" s="57" t="n">
        <f aca="false">IF(BT1501=1,0,ROUNDUP(AF1501/BS1501,0))</f>
        <v>1</v>
      </c>
      <c r="AH1501" s="59" t="n">
        <f aca="false">IF(CH1501&gt;0,CH1501*MAX(1,AF1501/X1501),IF(BT1501=1,IF(AF1501&lt;=0,0,BW1501*MAX(1,IF(H1501&gt;0,AF1501/H1501,1))),IF(R1501&gt;0,AG1501/R1501,0))/MAX(0.1,N(Parameter!$M$21)))</f>
        <v>0.0384615384615385</v>
      </c>
      <c r="AI1501" s="57" t="n">
        <f aca="false">AF1501*G1501</f>
        <v>488.15</v>
      </c>
      <c r="AJ1501" s="57" t="n">
        <f aca="false">ROUNDUP(MAX(J1501/IF(BZ1501&gt;0,BZ1501,MAX(0.1,N(Cockpit!$C$6))),CC1501)/BS1501,0)*BS1501</f>
        <v>5</v>
      </c>
      <c r="AK1501" s="58" t="n">
        <f aca="false">IF(AH1501&gt;0,J1501/AH1501,-1)</f>
        <v>0</v>
      </c>
      <c r="AL1501" s="58" t="n">
        <f aca="false">IF(AND(OR(BY1501="L1",BY1501="L23"),AH1501&gt;0),SUMIFS($AH$7:$AH$1843,$BY$7:$BY$1843,BY1501,$AK$7:$AK$1843,"&gt;"&amp;AK1501)+SUMIFS($AH$7:$AH$1843,$BY$7:$BY$1843,BY1501,$AK$7:$AK$1843,AK1501,$BQ$7:$BQ$1843,"&lt;="&amp;BQ1501),"")</f>
        <v>81.860891523935</v>
      </c>
      <c r="AM1501" s="65" t="n">
        <f aca="false">IF(AL1501="",0,MAX(0,MIN(1,(IF(BY1501="L1",Parameter!$E$5,Parameter!$E$6+Parameter!$E$7)-(AL1501-AH1501))/AH1501)))</f>
        <v>1</v>
      </c>
      <c r="AN1501" s="57" t="n">
        <f aca="false">IF(LEFT(Cockpit!$I$5,1)="A",H1501,IF(CA1501=1,CB1501,IF(LEFT(Cockpit!$I$5,1)="B",AR1501,MAX(AR1501,H1501))))</f>
        <v>5</v>
      </c>
      <c r="AO1501" s="57" t="n">
        <f aca="false">IF(BT1501=1,0,ROUNDUP(AN1501/BS1501,0))</f>
        <v>1</v>
      </c>
      <c r="AP1501" s="59" t="n">
        <f aca="false">IF(CH1501&gt;0,CH1501*MAX(1,AN1501/X1501),IF(BT1501=1,IF(AN1501&lt;=0,0,BW1501*MAX(1,IF(H1501&gt;0,AN1501/H1501,1))),IF(R1501&gt;0,AO1501/R1501,0))/MAX(0.1,N(Parameter!$M$21)))</f>
        <v>0.0384615384615385</v>
      </c>
      <c r="AQ1501" s="57" t="n">
        <f aca="false">AN1501*G1501</f>
        <v>488.15</v>
      </c>
      <c r="AR1501" s="57" t="n">
        <f aca="false">ROUNDUP(MAX(J1501/IF(BZ1501&gt;0,BZ1501,MAX(0.1,N(Cockpit!$I$6))),CC1501)/BS1501,0)*BS1501</f>
        <v>5</v>
      </c>
      <c r="AS1501" s="58" t="n">
        <f aca="false">IF(AP1501&gt;0,J1501/AP1501,-1)</f>
        <v>0</v>
      </c>
      <c r="AT1501" s="58" t="n">
        <f aca="false">IF(AND(OR(BY1501="L1",BY1501="L23"),AP1501&gt;0),SUMIFS($AP$7:$AP$1843,$BY$7:$BY$1843,BY1501,$AS$7:$AS$1843,"&gt;"&amp;AS1501)+SUMIFS($AP$7:$AP$1843,$BY$7:$BY$1843,BY1501,$AS$7:$AS$1843,AS1501,$BQ$7:$BQ$1843,"&lt;="&amp;BQ1501),"")</f>
        <v>126.775750819229</v>
      </c>
      <c r="AU1501" s="65" t="n">
        <f aca="false">IF(AT1501="",0,MAX(0,MIN(1,(IF(BY1501="L1",Parameter!$E$5,Parameter!$E$6+Parameter!$E$7)-(AT1501-AP1501))/AP1501)))</f>
        <v>0</v>
      </c>
      <c r="AV1501" s="57" t="n">
        <f aca="false">IF(LEFT(Cockpit!$O$5,1)="A",H1501,IF(CA1501=1,CB1501,IF(LEFT(Cockpit!$O$5,1)="B",AZ1501,MAX(AZ1501,H1501))))</f>
        <v>5</v>
      </c>
      <c r="AW1501" s="57" t="n">
        <f aca="false">IF(BT1501=1,0,ROUNDUP(AV1501/BS1501,0))</f>
        <v>1</v>
      </c>
      <c r="AX1501" s="59" t="n">
        <f aca="false">IF(CH1501&gt;0,CH1501*MAX(1,AV1501/X1501),IF(BT1501=1,IF(AV1501&lt;=0,0,BW1501*MAX(1,IF(H1501&gt;0,AV1501/H1501,1))),IF(R1501&gt;0,AW1501/R1501,0))/MAX(0.1,N(Parameter!$M$21)))</f>
        <v>0.0384615384615385</v>
      </c>
      <c r="AY1501" s="57" t="n">
        <f aca="false">AV1501*G1501</f>
        <v>488.15</v>
      </c>
      <c r="AZ1501" s="57" t="n">
        <f aca="false">ROUNDUP(MAX(J1501/IF(BZ1501&gt;0,BZ1501,MAX(0.1,N(Cockpit!$O$6))),CC1501)/BS1501,0)*BS1501</f>
        <v>5</v>
      </c>
      <c r="BA1501" s="58" t="n">
        <f aca="false">IF(AX1501&gt;0,J1501/AX1501,-1)</f>
        <v>0</v>
      </c>
      <c r="BB1501" s="58" t="n">
        <f aca="false">IF(AND(OR(BY1501="L1",BY1501="L23"),AX1501&gt;0),SUMIFS($AX$7:$AX$1843,$BY$7:$BY$1843,BY1501,$BA$7:$BA$1843,"&gt;"&amp;BA1501)+SUMIFS($AX$7:$AX$1843,$BY$7:$BY$1843,BY1501,$BA$7:$BA$1843,BA1501,$BQ$7:$BQ$1843,"&lt;="&amp;BQ1501),"")</f>
        <v>117.605587649066</v>
      </c>
      <c r="BC1501" s="65" t="n">
        <f aca="false">IF(BB1501="",0,MAX(0,MIN(1,(IF(BY1501="L1",Parameter!$E$5,Parameter!$E$6+Parameter!$E$7)-(BB1501-AX1501))/AX1501)))</f>
        <v>0</v>
      </c>
      <c r="BD1501" s="55" t="str">
        <f aca="false">IF(AH1501&lt;=0,"",IF(BY1501="Aussen","Aussenlager",IF(BY1501="-","Nicht im Lift",IF(AM1501&gt;=1,"Lift",IF(AM1501&lt;=0,"Aussenlager","teilweise")))))</f>
        <v>Lift</v>
      </c>
      <c r="BE1501" s="55" t="str">
        <f aca="false">IF(AP1501&lt;=0,"",IF(BY1501="Aussen","Aussenlager",IF(BY1501="-","Nicht im Lift",IF(AU1501&gt;=1,"Lift",IF(AU1501&lt;=0,"Aussenlager","teilweise")))))</f>
        <v>Aussenlager</v>
      </c>
      <c r="BF1501" s="55" t="str">
        <f aca="false">IF(AX1501&lt;=0,"",IF(BY1501="Aussen","Aussenlager",IF(BY1501="-","Nicht im Lift",IF(BC1501&gt;=1,"Lift",IF(BC1501&lt;=0,"Aussenlager","teilweise")))))</f>
        <v>Aussenlager</v>
      </c>
      <c r="BG1501" s="55" t="str">
        <f aca="false">IF(A1501="","",IF(BP1501=1,"Neu; ","")&amp;IF(AND(BP1501=0,BK1501&lt;0),"negativer Bestand (Export "&amp;BK1501&amp;"); ","")&amp;IF(J1501&lt;=0,"Kein Verbrauch; ","")&amp;IF(CH1501&gt;0,"Lift "&amp;W1501&amp;" lt. Liftbericht (Fach "&amp;X1501&amp;" Stk); ",IF(BU1501=1,"Gebinde geschätzt ("&amp;T1501&amp;"); ",IF(BT1501=1,"Lose – Tablare geschätzt; ","")))&amp;IF(H1501&gt;AR1501,"Überbestand "&amp;ROUND(H1501-AR1501,0)&amp;" Stk / CHF "&amp;ROUND((H1501-AR1501)*G1501,0)&amp;"; ","")&amp;IF(AND(CA1501=1,CB1501&lt;CC1501),"MAX &lt; MB+LG; ","")&amp;IF(AND(CG1501&gt;0,CF1501*10&gt;CG1501),"zu hoch für Tablar; ","")&amp;IF(AND(BP1501=0,OR(CA1501=1,AA1501&lt;&gt;"",U1501&lt;&gt;"",V1501&lt;&gt;"",AB1501&lt;&gt;"")),"manuell übersteuert; ","")&amp;IF(AND(BT1501=0,R1501=0),"Gebinde unbekannt / Stellmass fehlt; ","")&amp;IF(AND(BT1501=0,N(V1501)&lt;=0,N(Q1501)&lt;=0),"Menge pro Gebinde fehlt (Ist = 1 Gebinde); ","")&amp;BO1501)</f>
        <v>Kein Verbrauch; nur im Artikelstamm (Bestand 23.06.2026); Überbestand</v>
      </c>
      <c r="BH1501" s="55"/>
      <c r="BI1501" s="55"/>
      <c r="BJ1501" s="62"/>
      <c r="BK1501" s="57" t="n">
        <v>5</v>
      </c>
      <c r="BL1501" s="57" t="n">
        <v>0</v>
      </c>
      <c r="BM1501" s="56" t="n">
        <v>0</v>
      </c>
      <c r="BN1501" s="57" t="n">
        <v>0</v>
      </c>
      <c r="BO1501" s="55" t="s">
        <v>2572</v>
      </c>
      <c r="BP1501" s="60" t="n">
        <v>0</v>
      </c>
      <c r="BQ1501" s="60" t="n">
        <v>1501</v>
      </c>
      <c r="BR1501" s="55" t="str">
        <f aca="false">IF(U1501&lt;&gt;"",UPPER(TRIM(U1501)),IF(BU1501=1,UPPER(VLOOKUP(T1501,Parameter!$I$27:$K$29,2,0)),IF(P1501="","LOSE",P1501)))</f>
        <v>S51</v>
      </c>
      <c r="BS1501" s="57" t="n">
        <f aca="false">IF(BR1501="LOSE",1,IF(N(V1501)&gt;0,V1501,IF(BU1501=1,MAX(1,N(VLOOKUP(T1501,Parameter!$I$27:$K$29,3,0)),H1501,N(N1501)),IF(N(Q1501)&gt;0,Q1501,MAX(1,H1501)))))</f>
        <v>5</v>
      </c>
      <c r="BT1501" s="60" t="n">
        <f aca="false">IF(BR1501="LOSE",1,0)</f>
        <v>0</v>
      </c>
      <c r="BU1501" s="60" t="n">
        <f aca="false">IF(AND(U1501="",OR(P1501="",P1501="LOSE"),T1501&lt;&gt;"",N(S1501)&lt;=0,ISNUMBER(MATCH(T1501,Parameter!$I$27:$I$29,0))),1,0)</f>
        <v>0</v>
      </c>
      <c r="BV1501" s="55" t="str">
        <f aca="false">IF(AND(Parameter!$B$19="Ja",E1501&lt;&gt;"",ISNUMBER(MATCH(E1501,Parameter!$I$35:$I$52,0))),VLOOKUP(E1501,Parameter!$I$35:$J$52,2,0),IFERROR(VLOOKUP(D1501,Parameter!$A$35:$C$64,2,0),"Nein"))</f>
        <v>2+3</v>
      </c>
      <c r="BW1501" s="59" t="n">
        <f aca="false">IF(BT1501=0,0,IF(N(S1501)&gt;0,S1501,IFERROR(VLOOKUP(D1501,Parameter!$A$35:$C$64,3,0)+0,0)))</f>
        <v>0</v>
      </c>
      <c r="BX1501" s="55" t="n">
        <f aca="false">IF(AA1501&lt;&gt;"",AA1501,Z1501)</f>
        <v>3</v>
      </c>
      <c r="BY1501" s="55" t="str">
        <f aca="false">IF(BX1501=1,"L1",IF(OR(BX1501=2,BX1501=3),"L23",IF(BX1501="Aussen","Aussen","-")))</f>
        <v>L23</v>
      </c>
      <c r="BZ1501" s="66" t="n">
        <f aca="false">IF(N(AB1501)&gt;0,AB1501,0)</f>
        <v>0</v>
      </c>
      <c r="CA1501" s="60" t="n">
        <f aca="false">IF(ISNUMBER(AE1501),1,0)</f>
        <v>0</v>
      </c>
      <c r="CB1501" s="57" t="n">
        <f aca="false">N(AE1501)</f>
        <v>0</v>
      </c>
      <c r="CC1501" s="57" t="n">
        <f aca="false">N(M1501)+N(N1501)</f>
        <v>3</v>
      </c>
      <c r="CD1501" s="57" t="n">
        <f aca="false">ROUNDUP(H1501/BS1501,0)</f>
        <v>1</v>
      </c>
      <c r="CE1501" s="57" t="n">
        <f aca="false">ROUNDUP(CB1501/BS1501,0)</f>
        <v>0</v>
      </c>
      <c r="CF1501" s="60" t="n">
        <f aca="false">IF(BT1501=1,0,IFERROR(VLOOKUP(BR1501,'Gebinde-Kategorie'!$A$5:$M$45,5,0)+0,0))</f>
        <v>11</v>
      </c>
      <c r="CG1501" s="60" t="n">
        <f aca="false">IFERROR(IF(OR(BX1501=1,BX1501=2,BX1501=3),N(INDEX(Parameter!$I$5:$I$7,BX1501)),0),0)</f>
        <v>0</v>
      </c>
      <c r="CH1501" s="59" t="n">
        <f aca="false">IF(AND(Parameter!$B$21="Ja",ISNUMBER(W1501),N(X1501)&gt;0),IFERROR(N(INDEX(Parameter!$L$5:$L$7,W1501))*INDEX(Parameter!$E$5:$E$7,W1501)*X1501/SUMIFS($X$7:$X$1843,$W$7:$W$1843,W1501),0),0)</f>
        <v>0</v>
      </c>
    </row>
    <row r="1502" customFormat="false" ht="15" hidden="false" customHeight="false" outlineLevel="0" collapsed="false">
      <c r="A1502" s="55" t="s">
        <v>2626</v>
      </c>
      <c r="B1502" s="55" t="s">
        <v>2627</v>
      </c>
      <c r="C1502" s="55" t="s">
        <v>164</v>
      </c>
      <c r="D1502" s="55" t="s">
        <v>184</v>
      </c>
      <c r="E1502" s="55" t="s">
        <v>185</v>
      </c>
      <c r="F1502" s="55"/>
      <c r="G1502" s="56" t="n">
        <v>26.48</v>
      </c>
      <c r="H1502" s="57" t="n">
        <f aca="false">MAX(0,IF(AND(Parameter!$B$21="Ja",ISNUMBER(Y1502)),Y1502,IF(Parameter!$B$20="Jahresanfang 2025 + Export",BL1502+BK1502,BK1502)))</f>
        <v>8</v>
      </c>
      <c r="I1502" s="57" t="n">
        <f aca="false">H1502*G1502</f>
        <v>211.84</v>
      </c>
      <c r="J1502" s="57" t="n">
        <f aca="false">BN1502*Parameter!$B$18</f>
        <v>0</v>
      </c>
      <c r="K1502" s="58"/>
      <c r="L1502" s="59"/>
      <c r="M1502" s="57" t="n">
        <v>0</v>
      </c>
      <c r="N1502" s="57" t="n">
        <v>1</v>
      </c>
      <c r="O1502" s="60" t="n">
        <v>0</v>
      </c>
      <c r="P1502" s="55" t="s">
        <v>476</v>
      </c>
      <c r="Q1502" s="57" t="n">
        <v>8</v>
      </c>
      <c r="R1502" s="60" t="n">
        <f aca="false">IF(BT1502=1,0,IFERROR(VLOOKUP(BR1502,'Gebinde-Kategorie'!$A$5:$M$45,13,0)+0,0))</f>
        <v>66</v>
      </c>
      <c r="S1502" s="61"/>
      <c r="T1502" s="62"/>
      <c r="U1502" s="62"/>
      <c r="V1502" s="62"/>
      <c r="W1502" s="55"/>
      <c r="X1502" s="57"/>
      <c r="Y1502" s="57"/>
      <c r="Z1502" s="55" t="n">
        <f aca="false">IF(A1502="","",IF(AND(Parameter!$B$21="Ja",ISNUMBER(W1502)),W1502,IF(BV1502="2+3",IF(ISNUMBER(SEARCH("grosser Artikel",BO1502)),2,IFERROR(VLOOKUP(BR1502,Parameter!$F$35:$G$64,2,0),2)),IF(OR(BV1502="Nein",BV1502=""),"-",BV1502))))</f>
        <v>3</v>
      </c>
      <c r="AA1502" s="62"/>
      <c r="AB1502" s="63"/>
      <c r="AC1502" s="57" t="n">
        <f aca="false">AR1502</f>
        <v>8</v>
      </c>
      <c r="AD1502" s="57" t="n">
        <f aca="false">MAX(AR1502,H1502)</f>
        <v>8</v>
      </c>
      <c r="AE1502" s="64"/>
      <c r="AF1502" s="57" t="n">
        <f aca="false">IF(LEFT(Cockpit!$C$5,1)="A",H1502,IF(CA1502=1,CB1502,IF(LEFT(Cockpit!$C$5,1)="B",AJ1502,MAX(AJ1502,H1502))))</f>
        <v>8</v>
      </c>
      <c r="AG1502" s="57" t="n">
        <f aca="false">IF(BT1502=1,0,ROUNDUP(AF1502/BS1502,0))</f>
        <v>1</v>
      </c>
      <c r="AH1502" s="59" t="n">
        <f aca="false">IF(CH1502&gt;0,CH1502*MAX(1,AF1502/X1502),IF(BT1502=1,IF(AF1502&lt;=0,0,BW1502*MAX(1,IF(H1502&gt;0,AF1502/H1502,1))),IF(R1502&gt;0,AG1502/R1502,0))/MAX(0.1,N(Parameter!$M$21)))</f>
        <v>0.0151515151515152</v>
      </c>
      <c r="AI1502" s="57" t="n">
        <f aca="false">AF1502*G1502</f>
        <v>211.84</v>
      </c>
      <c r="AJ1502" s="57" t="n">
        <f aca="false">ROUNDUP(MAX(J1502/IF(BZ1502&gt;0,BZ1502,MAX(0.1,N(Cockpit!$C$6))),CC1502)/BS1502,0)*BS1502</f>
        <v>8</v>
      </c>
      <c r="AK1502" s="58" t="n">
        <f aca="false">IF(AH1502&gt;0,J1502/AH1502,-1)</f>
        <v>0</v>
      </c>
      <c r="AL1502" s="58" t="n">
        <f aca="false">IF(AND(OR(BY1502="L1",BY1502="L23"),AH1502&gt;0),SUMIFS($AH$7:$AH$1843,$BY$7:$BY$1843,BY1502,$AK$7:$AK$1843,"&gt;"&amp;AK1502)+SUMIFS($AH$7:$AH$1843,$BY$7:$BY$1843,BY1502,$AK$7:$AK$1843,AK1502,$BQ$7:$BQ$1843,"&lt;="&amp;BQ1502),"")</f>
        <v>81.8760430390865</v>
      </c>
      <c r="AM1502" s="65" t="n">
        <f aca="false">IF(AL1502="",0,MAX(0,MIN(1,(IF(BY1502="L1",Parameter!$E$5,Parameter!$E$6+Parameter!$E$7)-(AL1502-AH1502))/AH1502)))</f>
        <v>1</v>
      </c>
      <c r="AN1502" s="57" t="n">
        <f aca="false">IF(LEFT(Cockpit!$I$5,1)="A",H1502,IF(CA1502=1,CB1502,IF(LEFT(Cockpit!$I$5,1)="B",AR1502,MAX(AR1502,H1502))))</f>
        <v>8</v>
      </c>
      <c r="AO1502" s="57" t="n">
        <f aca="false">IF(BT1502=1,0,ROUNDUP(AN1502/BS1502,0))</f>
        <v>1</v>
      </c>
      <c r="AP1502" s="59" t="n">
        <f aca="false">IF(CH1502&gt;0,CH1502*MAX(1,AN1502/X1502),IF(BT1502=1,IF(AN1502&lt;=0,0,BW1502*MAX(1,IF(H1502&gt;0,AN1502/H1502,1))),IF(R1502&gt;0,AO1502/R1502,0))/MAX(0.1,N(Parameter!$M$21)))</f>
        <v>0.0151515151515152</v>
      </c>
      <c r="AQ1502" s="57" t="n">
        <f aca="false">AN1502*G1502</f>
        <v>211.84</v>
      </c>
      <c r="AR1502" s="57" t="n">
        <f aca="false">ROUNDUP(MAX(J1502/IF(BZ1502&gt;0,BZ1502,MAX(0.1,N(Cockpit!$I$6))),CC1502)/BS1502,0)*BS1502</f>
        <v>8</v>
      </c>
      <c r="AS1502" s="58" t="n">
        <f aca="false">IF(AP1502&gt;0,J1502/AP1502,-1)</f>
        <v>0</v>
      </c>
      <c r="AT1502" s="58" t="n">
        <f aca="false">IF(AND(OR(BY1502="L1",BY1502="L23"),AP1502&gt;0),SUMIFS($AP$7:$AP$1843,$BY$7:$BY$1843,BY1502,$AS$7:$AS$1843,"&gt;"&amp;AS1502)+SUMIFS($AP$7:$AP$1843,$BY$7:$BY$1843,BY1502,$AS$7:$AS$1843,AS1502,$BQ$7:$BQ$1843,"&lt;="&amp;BQ1502),"")</f>
        <v>126.790902334381</v>
      </c>
      <c r="AU1502" s="65" t="n">
        <f aca="false">IF(AT1502="",0,MAX(0,MIN(1,(IF(BY1502="L1",Parameter!$E$5,Parameter!$E$6+Parameter!$E$7)-(AT1502-AP1502))/AP1502)))</f>
        <v>0</v>
      </c>
      <c r="AV1502" s="57" t="n">
        <f aca="false">IF(LEFT(Cockpit!$O$5,1)="A",H1502,IF(CA1502=1,CB1502,IF(LEFT(Cockpit!$O$5,1)="B",AZ1502,MAX(AZ1502,H1502))))</f>
        <v>8</v>
      </c>
      <c r="AW1502" s="57" t="n">
        <f aca="false">IF(BT1502=1,0,ROUNDUP(AV1502/BS1502,0))</f>
        <v>1</v>
      </c>
      <c r="AX1502" s="59" t="n">
        <f aca="false">IF(CH1502&gt;0,CH1502*MAX(1,AV1502/X1502),IF(BT1502=1,IF(AV1502&lt;=0,0,BW1502*MAX(1,IF(H1502&gt;0,AV1502/H1502,1))),IF(R1502&gt;0,AW1502/R1502,0))/MAX(0.1,N(Parameter!$M$21)))</f>
        <v>0.0151515151515152</v>
      </c>
      <c r="AY1502" s="57" t="n">
        <f aca="false">AV1502*G1502</f>
        <v>211.84</v>
      </c>
      <c r="AZ1502" s="57" t="n">
        <f aca="false">ROUNDUP(MAX(J1502/IF(BZ1502&gt;0,BZ1502,MAX(0.1,N(Cockpit!$O$6))),CC1502)/BS1502,0)*BS1502</f>
        <v>8</v>
      </c>
      <c r="BA1502" s="58" t="n">
        <f aca="false">IF(AX1502&gt;0,J1502/AX1502,-1)</f>
        <v>0</v>
      </c>
      <c r="BB1502" s="58" t="n">
        <f aca="false">IF(AND(OR(BY1502="L1",BY1502="L23"),AX1502&gt;0),SUMIFS($AX$7:$AX$1843,$BY$7:$BY$1843,BY1502,$BA$7:$BA$1843,"&gt;"&amp;BA1502)+SUMIFS($AX$7:$AX$1843,$BY$7:$BY$1843,BY1502,$BA$7:$BA$1843,BA1502,$BQ$7:$BQ$1843,"&lt;="&amp;BQ1502),"")</f>
        <v>117.620739164217</v>
      </c>
      <c r="BC1502" s="65" t="n">
        <f aca="false">IF(BB1502="",0,MAX(0,MIN(1,(IF(BY1502="L1",Parameter!$E$5,Parameter!$E$6+Parameter!$E$7)-(BB1502-AX1502))/AX1502)))</f>
        <v>0</v>
      </c>
      <c r="BD1502" s="55" t="str">
        <f aca="false">IF(AH1502&lt;=0,"",IF(BY1502="Aussen","Aussenlager",IF(BY1502="-","Nicht im Lift",IF(AM1502&gt;=1,"Lift",IF(AM1502&lt;=0,"Aussenlager","teilweise")))))</f>
        <v>Lift</v>
      </c>
      <c r="BE1502" s="55" t="str">
        <f aca="false">IF(AP1502&lt;=0,"",IF(BY1502="Aussen","Aussenlager",IF(BY1502="-","Nicht im Lift",IF(AU1502&gt;=1,"Lift",IF(AU1502&lt;=0,"Aussenlager","teilweise")))))</f>
        <v>Aussenlager</v>
      </c>
      <c r="BF1502" s="55" t="str">
        <f aca="false">IF(AX1502&lt;=0,"",IF(BY1502="Aussen","Aussenlager",IF(BY1502="-","Nicht im Lift",IF(BC1502&gt;=1,"Lift",IF(BC1502&lt;=0,"Aussenlager","teilweise")))))</f>
        <v>Aussenlager</v>
      </c>
      <c r="BG1502" s="55" t="str">
        <f aca="false">IF(A1502="","",IF(BP1502=1,"Neu; ","")&amp;IF(AND(BP1502=0,BK1502&lt;0),"negativer Bestand (Export "&amp;BK1502&amp;"); ","")&amp;IF(J1502&lt;=0,"Kein Verbrauch; ","")&amp;IF(CH1502&gt;0,"Lift "&amp;W1502&amp;" lt. Liftbericht (Fach "&amp;X1502&amp;" Stk); ",IF(BU1502=1,"Gebinde geschätzt ("&amp;T1502&amp;"); ",IF(BT1502=1,"Lose – Tablare geschätzt; ","")))&amp;IF(H1502&gt;AR1502,"Überbestand "&amp;ROUND(H1502-AR1502,0)&amp;" Stk / CHF "&amp;ROUND((H1502-AR1502)*G1502,0)&amp;"; ","")&amp;IF(AND(CA1502=1,CB1502&lt;CC1502),"MAX &lt; MB+LG; ","")&amp;IF(AND(CG1502&gt;0,CF1502*10&gt;CG1502),"zu hoch für Tablar; ","")&amp;IF(AND(BP1502=0,OR(CA1502=1,AA1502&lt;&gt;"",U1502&lt;&gt;"",V1502&lt;&gt;"",AB1502&lt;&gt;"")),"manuell übersteuert; ","")&amp;IF(AND(BT1502=0,R1502=0),"Gebinde unbekannt / Stellmass fehlt; ","")&amp;IF(AND(BT1502=0,N(V1502)&lt;=0,N(Q1502)&lt;=0),"Menge pro Gebinde fehlt (Ist = 1 Gebinde); ","")&amp;BO1502)</f>
        <v>Kein Verbrauch; nur im Artikelstamm (Bestand 23.06.2026)</v>
      </c>
      <c r="BH1502" s="55"/>
      <c r="BI1502" s="55"/>
      <c r="BJ1502" s="62"/>
      <c r="BK1502" s="57" t="n">
        <v>8</v>
      </c>
      <c r="BL1502" s="57" t="n">
        <v>0</v>
      </c>
      <c r="BM1502" s="56" t="n">
        <v>0</v>
      </c>
      <c r="BN1502" s="57" t="n">
        <v>0</v>
      </c>
      <c r="BO1502" s="55" t="s">
        <v>2575</v>
      </c>
      <c r="BP1502" s="60" t="n">
        <v>0</v>
      </c>
      <c r="BQ1502" s="60" t="n">
        <v>1502</v>
      </c>
      <c r="BR1502" s="55" t="str">
        <f aca="false">IF(U1502&lt;&gt;"",UPPER(TRIM(U1502)),IF(BU1502=1,UPPER(VLOOKUP(T1502,Parameter!$I$27:$K$29,2,0)),IF(P1502="","LOSE",P1502)))</f>
        <v>S33</v>
      </c>
      <c r="BS1502" s="57" t="n">
        <f aca="false">IF(BR1502="LOSE",1,IF(N(V1502)&gt;0,V1502,IF(BU1502=1,MAX(1,N(VLOOKUP(T1502,Parameter!$I$27:$K$29,3,0)),H1502,N(N1502)),IF(N(Q1502)&gt;0,Q1502,MAX(1,H1502)))))</f>
        <v>8</v>
      </c>
      <c r="BT1502" s="60" t="n">
        <f aca="false">IF(BR1502="LOSE",1,0)</f>
        <v>0</v>
      </c>
      <c r="BU1502" s="60" t="n">
        <f aca="false">IF(AND(U1502="",OR(P1502="",P1502="LOSE"),T1502&lt;&gt;"",N(S1502)&lt;=0,ISNUMBER(MATCH(T1502,Parameter!$I$27:$I$29,0))),1,0)</f>
        <v>0</v>
      </c>
      <c r="BV1502" s="55" t="str">
        <f aca="false">IF(AND(Parameter!$B$19="Ja",E1502&lt;&gt;"",ISNUMBER(MATCH(E1502,Parameter!$I$35:$I$52,0))),VLOOKUP(E1502,Parameter!$I$35:$J$52,2,0),IFERROR(VLOOKUP(D1502,Parameter!$A$35:$C$64,2,0),"Nein"))</f>
        <v>2+3</v>
      </c>
      <c r="BW1502" s="59" t="n">
        <f aca="false">IF(BT1502=0,0,IF(N(S1502)&gt;0,S1502,IFERROR(VLOOKUP(D1502,Parameter!$A$35:$C$64,3,0)+0,0)))</f>
        <v>0</v>
      </c>
      <c r="BX1502" s="55" t="n">
        <f aca="false">IF(AA1502&lt;&gt;"",AA1502,Z1502)</f>
        <v>3</v>
      </c>
      <c r="BY1502" s="55" t="str">
        <f aca="false">IF(BX1502=1,"L1",IF(OR(BX1502=2,BX1502=3),"L23",IF(BX1502="Aussen","Aussen","-")))</f>
        <v>L23</v>
      </c>
      <c r="BZ1502" s="66" t="n">
        <f aca="false">IF(N(AB1502)&gt;0,AB1502,0)</f>
        <v>0</v>
      </c>
      <c r="CA1502" s="60" t="n">
        <f aca="false">IF(ISNUMBER(AE1502),1,0)</f>
        <v>0</v>
      </c>
      <c r="CB1502" s="57" t="n">
        <f aca="false">N(AE1502)</f>
        <v>0</v>
      </c>
      <c r="CC1502" s="57" t="n">
        <f aca="false">N(M1502)+N(N1502)</f>
        <v>1</v>
      </c>
      <c r="CD1502" s="57" t="n">
        <f aca="false">ROUNDUP(H1502/BS1502,0)</f>
        <v>1</v>
      </c>
      <c r="CE1502" s="57" t="n">
        <f aca="false">ROUNDUP(CB1502/BS1502,0)</f>
        <v>0</v>
      </c>
      <c r="CF1502" s="60" t="n">
        <f aca="false">IF(BT1502=1,0,IFERROR(VLOOKUP(BR1502,'Gebinde-Kategorie'!$A$5:$M$45,5,0)+0,0))</f>
        <v>8</v>
      </c>
      <c r="CG1502" s="60" t="n">
        <f aca="false">IFERROR(IF(OR(BX1502=1,BX1502=2,BX1502=3),N(INDEX(Parameter!$I$5:$I$7,BX1502)),0),0)</f>
        <v>0</v>
      </c>
      <c r="CH1502" s="59" t="n">
        <f aca="false">IF(AND(Parameter!$B$21="Ja",ISNUMBER(W1502),N(X1502)&gt;0),IFERROR(N(INDEX(Parameter!$L$5:$L$7,W1502))*INDEX(Parameter!$E$5:$E$7,W1502)*X1502/SUMIFS($X$7:$X$1843,$W$7:$W$1843,W1502),0),0)</f>
        <v>0</v>
      </c>
    </row>
    <row r="1503" customFormat="false" ht="15" hidden="false" customHeight="false" outlineLevel="0" collapsed="false">
      <c r="A1503" s="55" t="s">
        <v>2628</v>
      </c>
      <c r="B1503" s="55" t="s">
        <v>2629</v>
      </c>
      <c r="C1503" s="55" t="s">
        <v>164</v>
      </c>
      <c r="D1503" s="55" t="s">
        <v>184</v>
      </c>
      <c r="E1503" s="55" t="s">
        <v>185</v>
      </c>
      <c r="F1503" s="55"/>
      <c r="G1503" s="56" t="n">
        <v>4.5</v>
      </c>
      <c r="H1503" s="57" t="n">
        <f aca="false">MAX(0,IF(AND(Parameter!$B$21="Ja",ISNUMBER(Y1503)),Y1503,IF(Parameter!$B$20="Jahresanfang 2025 + Export",BL1503+BK1503,BK1503)))</f>
        <v>11</v>
      </c>
      <c r="I1503" s="57" t="n">
        <f aca="false">H1503*G1503</f>
        <v>49.5</v>
      </c>
      <c r="J1503" s="57" t="n">
        <f aca="false">BN1503*Parameter!$B$18</f>
        <v>0</v>
      </c>
      <c r="K1503" s="58"/>
      <c r="L1503" s="59"/>
      <c r="M1503" s="57" t="n">
        <v>0</v>
      </c>
      <c r="N1503" s="57" t="n">
        <v>10</v>
      </c>
      <c r="O1503" s="60" t="n">
        <v>14</v>
      </c>
      <c r="P1503" s="55" t="s">
        <v>401</v>
      </c>
      <c r="Q1503" s="57" t="n">
        <v>11</v>
      </c>
      <c r="R1503" s="60" t="n">
        <f aca="false">IF(BT1503=1,0,IFERROR(VLOOKUP(BR1503,'Gebinde-Kategorie'!$A$5:$M$45,13,0)+0,0))</f>
        <v>414</v>
      </c>
      <c r="S1503" s="61"/>
      <c r="T1503" s="62"/>
      <c r="U1503" s="62"/>
      <c r="V1503" s="62"/>
      <c r="W1503" s="55"/>
      <c r="X1503" s="57"/>
      <c r="Y1503" s="57"/>
      <c r="Z1503" s="55" t="n">
        <f aca="false">IF(A1503="","",IF(AND(Parameter!$B$21="Ja",ISNUMBER(W1503)),W1503,IF(BV1503="2+3",IF(ISNUMBER(SEARCH("grosser Artikel",BO1503)),2,IFERROR(VLOOKUP(BR1503,Parameter!$F$35:$G$64,2,0),2)),IF(OR(BV1503="Nein",BV1503=""),"-",BV1503))))</f>
        <v>3</v>
      </c>
      <c r="AA1503" s="62"/>
      <c r="AB1503" s="63"/>
      <c r="AC1503" s="57" t="n">
        <f aca="false">AR1503</f>
        <v>11</v>
      </c>
      <c r="AD1503" s="57" t="n">
        <f aca="false">MAX(AR1503,H1503)</f>
        <v>11</v>
      </c>
      <c r="AE1503" s="64"/>
      <c r="AF1503" s="57" t="n">
        <f aca="false">IF(LEFT(Cockpit!$C$5,1)="A",H1503,IF(CA1503=1,CB1503,IF(LEFT(Cockpit!$C$5,1)="B",AJ1503,MAX(AJ1503,H1503))))</f>
        <v>11</v>
      </c>
      <c r="AG1503" s="57" t="n">
        <f aca="false">IF(BT1503=1,0,ROUNDUP(AF1503/BS1503,0))</f>
        <v>1</v>
      </c>
      <c r="AH1503" s="59" t="n">
        <f aca="false">IF(CH1503&gt;0,CH1503*MAX(1,AF1503/X1503),IF(BT1503=1,IF(AF1503&lt;=0,0,BW1503*MAX(1,IF(H1503&gt;0,AF1503/H1503,1))),IF(R1503&gt;0,AG1503/R1503,0))/MAX(0.1,N(Parameter!$M$21)))</f>
        <v>0.00241545893719807</v>
      </c>
      <c r="AI1503" s="57" t="n">
        <f aca="false">AF1503*G1503</f>
        <v>49.5</v>
      </c>
      <c r="AJ1503" s="57" t="n">
        <f aca="false">ROUNDUP(MAX(J1503/IF(BZ1503&gt;0,BZ1503,MAX(0.1,N(Cockpit!$C$6))),CC1503)/BS1503,0)*BS1503</f>
        <v>11</v>
      </c>
      <c r="AK1503" s="58" t="n">
        <f aca="false">IF(AH1503&gt;0,J1503/AH1503,-1)</f>
        <v>0</v>
      </c>
      <c r="AL1503" s="58" t="n">
        <f aca="false">IF(AND(OR(BY1503="L1",BY1503="L23"),AH1503&gt;0),SUMIFS($AH$7:$AH$1843,$BY$7:$BY$1843,BY1503,$AK$7:$AK$1843,"&gt;"&amp;AK1503)+SUMIFS($AH$7:$AH$1843,$BY$7:$BY$1843,BY1503,$AK$7:$AK$1843,AK1503,$BQ$7:$BQ$1843,"&lt;="&amp;BQ1503),"")</f>
        <v>81.8784584980237</v>
      </c>
      <c r="AM1503" s="65" t="n">
        <f aca="false">IF(AL1503="",0,MAX(0,MIN(1,(IF(BY1503="L1",Parameter!$E$5,Parameter!$E$6+Parameter!$E$7)-(AL1503-AH1503))/AH1503)))</f>
        <v>1</v>
      </c>
      <c r="AN1503" s="57" t="n">
        <f aca="false">IF(LEFT(Cockpit!$I$5,1)="A",H1503,IF(CA1503=1,CB1503,IF(LEFT(Cockpit!$I$5,1)="B",AR1503,MAX(AR1503,H1503))))</f>
        <v>11</v>
      </c>
      <c r="AO1503" s="57" t="n">
        <f aca="false">IF(BT1503=1,0,ROUNDUP(AN1503/BS1503,0))</f>
        <v>1</v>
      </c>
      <c r="AP1503" s="59" t="n">
        <f aca="false">IF(CH1503&gt;0,CH1503*MAX(1,AN1503/X1503),IF(BT1503=1,IF(AN1503&lt;=0,0,BW1503*MAX(1,IF(H1503&gt;0,AN1503/H1503,1))),IF(R1503&gt;0,AO1503/R1503,0))/MAX(0.1,N(Parameter!$M$21)))</f>
        <v>0.00241545893719807</v>
      </c>
      <c r="AQ1503" s="57" t="n">
        <f aca="false">AN1503*G1503</f>
        <v>49.5</v>
      </c>
      <c r="AR1503" s="57" t="n">
        <f aca="false">ROUNDUP(MAX(J1503/IF(BZ1503&gt;0,BZ1503,MAX(0.1,N(Cockpit!$I$6))),CC1503)/BS1503,0)*BS1503</f>
        <v>11</v>
      </c>
      <c r="AS1503" s="58" t="n">
        <f aca="false">IF(AP1503&gt;0,J1503/AP1503,-1)</f>
        <v>0</v>
      </c>
      <c r="AT1503" s="58" t="n">
        <f aca="false">IF(AND(OR(BY1503="L1",BY1503="L23"),AP1503&gt;0),SUMIFS($AP$7:$AP$1843,$BY$7:$BY$1843,BY1503,$AS$7:$AS$1843,"&gt;"&amp;AS1503)+SUMIFS($AP$7:$AP$1843,$BY$7:$BY$1843,BY1503,$AS$7:$AS$1843,AS1503,$BQ$7:$BQ$1843,"&lt;="&amp;BQ1503),"")</f>
        <v>126.793317793318</v>
      </c>
      <c r="AU1503" s="65" t="n">
        <f aca="false">IF(AT1503="",0,MAX(0,MIN(1,(IF(BY1503="L1",Parameter!$E$5,Parameter!$E$6+Parameter!$E$7)-(AT1503-AP1503))/AP1503)))</f>
        <v>0</v>
      </c>
      <c r="AV1503" s="57" t="n">
        <f aca="false">IF(LEFT(Cockpit!$O$5,1)="A",H1503,IF(CA1503=1,CB1503,IF(LEFT(Cockpit!$O$5,1)="B",AZ1503,MAX(AZ1503,H1503))))</f>
        <v>11</v>
      </c>
      <c r="AW1503" s="57" t="n">
        <f aca="false">IF(BT1503=1,0,ROUNDUP(AV1503/BS1503,0))</f>
        <v>1</v>
      </c>
      <c r="AX1503" s="59" t="n">
        <f aca="false">IF(CH1503&gt;0,CH1503*MAX(1,AV1503/X1503),IF(BT1503=1,IF(AV1503&lt;=0,0,BW1503*MAX(1,IF(H1503&gt;0,AV1503/H1503,1))),IF(R1503&gt;0,AW1503/R1503,0))/MAX(0.1,N(Parameter!$M$21)))</f>
        <v>0.00241545893719807</v>
      </c>
      <c r="AY1503" s="57" t="n">
        <f aca="false">AV1503*G1503</f>
        <v>49.5</v>
      </c>
      <c r="AZ1503" s="57" t="n">
        <f aca="false">ROUNDUP(MAX(J1503/IF(BZ1503&gt;0,BZ1503,MAX(0.1,N(Cockpit!$O$6))),CC1503)/BS1503,0)*BS1503</f>
        <v>11</v>
      </c>
      <c r="BA1503" s="58" t="n">
        <f aca="false">IF(AX1503&gt;0,J1503/AX1503,-1)</f>
        <v>0</v>
      </c>
      <c r="BB1503" s="58" t="n">
        <f aca="false">IF(AND(OR(BY1503="L1",BY1503="L23"),AX1503&gt;0),SUMIFS($AX$7:$AX$1843,$BY$7:$BY$1843,BY1503,$BA$7:$BA$1843,"&gt;"&amp;BA1503)+SUMIFS($AX$7:$AX$1843,$BY$7:$BY$1843,BY1503,$BA$7:$BA$1843,BA1503,$BQ$7:$BQ$1843,"&lt;="&amp;BQ1503),"")</f>
        <v>117.623154623155</v>
      </c>
      <c r="BC1503" s="65" t="n">
        <f aca="false">IF(BB1503="",0,MAX(0,MIN(1,(IF(BY1503="L1",Parameter!$E$5,Parameter!$E$6+Parameter!$E$7)-(BB1503-AX1503))/AX1503)))</f>
        <v>0</v>
      </c>
      <c r="BD1503" s="55" t="str">
        <f aca="false">IF(AH1503&lt;=0,"",IF(BY1503="Aussen","Aussenlager",IF(BY1503="-","Nicht im Lift",IF(AM1503&gt;=1,"Lift",IF(AM1503&lt;=0,"Aussenlager","teilweise")))))</f>
        <v>Lift</v>
      </c>
      <c r="BE1503" s="55" t="str">
        <f aca="false">IF(AP1503&lt;=0,"",IF(BY1503="Aussen","Aussenlager",IF(BY1503="-","Nicht im Lift",IF(AU1503&gt;=1,"Lift",IF(AU1503&lt;=0,"Aussenlager","teilweise")))))</f>
        <v>Aussenlager</v>
      </c>
      <c r="BF1503" s="55" t="str">
        <f aca="false">IF(AX1503&lt;=0,"",IF(BY1503="Aussen","Aussenlager",IF(BY1503="-","Nicht im Lift",IF(BC1503&gt;=1,"Lift",IF(BC1503&lt;=0,"Aussenlager","teilweise")))))</f>
        <v>Aussenlager</v>
      </c>
      <c r="BG1503" s="55" t="str">
        <f aca="false">IF(A1503="","",IF(BP1503=1,"Neu; ","")&amp;IF(AND(BP1503=0,BK1503&lt;0),"negativer Bestand (Export "&amp;BK1503&amp;"); ","")&amp;IF(J1503&lt;=0,"Kein Verbrauch; ","")&amp;IF(CH1503&gt;0,"Lift "&amp;W1503&amp;" lt. Liftbericht (Fach "&amp;X1503&amp;" Stk); ",IF(BU1503=1,"Gebinde geschätzt ("&amp;T1503&amp;"); ",IF(BT1503=1,"Lose – Tablare geschätzt; ","")))&amp;IF(H1503&gt;AR1503,"Überbestand "&amp;ROUND(H1503-AR1503,0)&amp;" Stk / CHF "&amp;ROUND((H1503-AR1503)*G1503,0)&amp;"; ","")&amp;IF(AND(CA1503=1,CB1503&lt;CC1503),"MAX &lt; MB+LG; ","")&amp;IF(AND(CG1503&gt;0,CF1503*10&gt;CG1503),"zu hoch für Tablar; ","")&amp;IF(AND(BP1503=0,OR(CA1503=1,AA1503&lt;&gt;"",U1503&lt;&gt;"",V1503&lt;&gt;"",AB1503&lt;&gt;"")),"manuell übersteuert; ","")&amp;IF(AND(BT1503=0,R1503=0),"Gebinde unbekannt / Stellmass fehlt; ","")&amp;IF(AND(BT1503=0,N(V1503)&lt;=0,N(Q1503)&lt;=0),"Menge pro Gebinde fehlt (Ist = 1 Gebinde); ","")&amp;BO1503)</f>
        <v>Kein Verbrauch; nur im Artikelstamm (Bestand 23.06.2026)</v>
      </c>
      <c r="BH1503" s="55"/>
      <c r="BI1503" s="55"/>
      <c r="BJ1503" s="62"/>
      <c r="BK1503" s="57" t="n">
        <v>11</v>
      </c>
      <c r="BL1503" s="57" t="n">
        <v>0</v>
      </c>
      <c r="BM1503" s="56" t="n">
        <v>0</v>
      </c>
      <c r="BN1503" s="57" t="n">
        <v>0</v>
      </c>
      <c r="BO1503" s="55" t="s">
        <v>2575</v>
      </c>
      <c r="BP1503" s="60" t="n">
        <v>0</v>
      </c>
      <c r="BQ1503" s="60" t="n">
        <v>1503</v>
      </c>
      <c r="BR1503" s="55" t="str">
        <f aca="false">IF(U1503&lt;&gt;"",UPPER(TRIM(U1503)),IF(BU1503=1,UPPER(VLOOKUP(T1503,Parameter!$I$27:$K$29,2,0)),IF(P1503="","LOSE",P1503)))</f>
        <v>S21</v>
      </c>
      <c r="BS1503" s="57" t="n">
        <f aca="false">IF(BR1503="LOSE",1,IF(N(V1503)&gt;0,V1503,IF(BU1503=1,MAX(1,N(VLOOKUP(T1503,Parameter!$I$27:$K$29,3,0)),H1503,N(N1503)),IF(N(Q1503)&gt;0,Q1503,MAX(1,H1503)))))</f>
        <v>11</v>
      </c>
      <c r="BT1503" s="60" t="n">
        <f aca="false">IF(BR1503="LOSE",1,0)</f>
        <v>0</v>
      </c>
      <c r="BU1503" s="60" t="n">
        <f aca="false">IF(AND(U1503="",OR(P1503="",P1503="LOSE"),T1503&lt;&gt;"",N(S1503)&lt;=0,ISNUMBER(MATCH(T1503,Parameter!$I$27:$I$29,0))),1,0)</f>
        <v>0</v>
      </c>
      <c r="BV1503" s="55" t="str">
        <f aca="false">IF(AND(Parameter!$B$19="Ja",E1503&lt;&gt;"",ISNUMBER(MATCH(E1503,Parameter!$I$35:$I$52,0))),VLOOKUP(E1503,Parameter!$I$35:$J$52,2,0),IFERROR(VLOOKUP(D1503,Parameter!$A$35:$C$64,2,0),"Nein"))</f>
        <v>2+3</v>
      </c>
      <c r="BW1503" s="59" t="n">
        <f aca="false">IF(BT1503=0,0,IF(N(S1503)&gt;0,S1503,IFERROR(VLOOKUP(D1503,Parameter!$A$35:$C$64,3,0)+0,0)))</f>
        <v>0</v>
      </c>
      <c r="BX1503" s="55" t="n">
        <f aca="false">IF(AA1503&lt;&gt;"",AA1503,Z1503)</f>
        <v>3</v>
      </c>
      <c r="BY1503" s="55" t="str">
        <f aca="false">IF(BX1503=1,"L1",IF(OR(BX1503=2,BX1503=3),"L23",IF(BX1503="Aussen","Aussen","-")))</f>
        <v>L23</v>
      </c>
      <c r="BZ1503" s="66" t="n">
        <f aca="false">IF(N(AB1503)&gt;0,AB1503,0)</f>
        <v>0</v>
      </c>
      <c r="CA1503" s="60" t="n">
        <f aca="false">IF(ISNUMBER(AE1503),1,0)</f>
        <v>0</v>
      </c>
      <c r="CB1503" s="57" t="n">
        <f aca="false">N(AE1503)</f>
        <v>0</v>
      </c>
      <c r="CC1503" s="57" t="n">
        <f aca="false">N(M1503)+N(N1503)</f>
        <v>10</v>
      </c>
      <c r="CD1503" s="57" t="n">
        <f aca="false">ROUNDUP(H1503/BS1503,0)</f>
        <v>1</v>
      </c>
      <c r="CE1503" s="57" t="n">
        <f aca="false">ROUNDUP(CB1503/BS1503,0)</f>
        <v>0</v>
      </c>
      <c r="CF1503" s="60" t="n">
        <f aca="false">IF(BT1503=1,0,IFERROR(VLOOKUP(BR1503,'Gebinde-Kategorie'!$A$5:$M$45,5,0)+0,0))</f>
        <v>8</v>
      </c>
      <c r="CG1503" s="60" t="n">
        <f aca="false">IFERROR(IF(OR(BX1503=1,BX1503=2,BX1503=3),N(INDEX(Parameter!$I$5:$I$7,BX1503)),0),0)</f>
        <v>0</v>
      </c>
      <c r="CH1503" s="59" t="n">
        <f aca="false">IF(AND(Parameter!$B$21="Ja",ISNUMBER(W1503),N(X1503)&gt;0),IFERROR(N(INDEX(Parameter!$L$5:$L$7,W1503))*INDEX(Parameter!$E$5:$E$7,W1503)*X1503/SUMIFS($X$7:$X$1843,$W$7:$W$1843,W1503),0),0)</f>
        <v>0</v>
      </c>
    </row>
    <row r="1504" customFormat="false" ht="15" hidden="false" customHeight="false" outlineLevel="0" collapsed="false">
      <c r="A1504" s="55" t="s">
        <v>2630</v>
      </c>
      <c r="B1504" s="55" t="s">
        <v>2631</v>
      </c>
      <c r="C1504" s="55" t="s">
        <v>164</v>
      </c>
      <c r="D1504" s="55" t="s">
        <v>184</v>
      </c>
      <c r="E1504" s="55" t="s">
        <v>185</v>
      </c>
      <c r="F1504" s="55"/>
      <c r="G1504" s="56" t="n">
        <v>43.8</v>
      </c>
      <c r="H1504" s="57" t="n">
        <f aca="false">MAX(0,IF(AND(Parameter!$B$21="Ja",ISNUMBER(Y1504)),Y1504,IF(Parameter!$B$20="Jahresanfang 2025 + Export",BL1504+BK1504,BK1504)))</f>
        <v>10</v>
      </c>
      <c r="I1504" s="57" t="n">
        <f aca="false">H1504*G1504</f>
        <v>438</v>
      </c>
      <c r="J1504" s="57" t="n">
        <f aca="false">BN1504*Parameter!$B$18</f>
        <v>0</v>
      </c>
      <c r="K1504" s="58"/>
      <c r="L1504" s="59"/>
      <c r="M1504" s="57" t="n">
        <v>0</v>
      </c>
      <c r="N1504" s="57" t="n">
        <v>10</v>
      </c>
      <c r="O1504" s="60" t="n">
        <v>14</v>
      </c>
      <c r="P1504" s="55" t="s">
        <v>476</v>
      </c>
      <c r="Q1504" s="57" t="n">
        <v>10</v>
      </c>
      <c r="R1504" s="60" t="n">
        <f aca="false">IF(BT1504=1,0,IFERROR(VLOOKUP(BR1504,'Gebinde-Kategorie'!$A$5:$M$45,13,0)+0,0))</f>
        <v>66</v>
      </c>
      <c r="S1504" s="61"/>
      <c r="T1504" s="62"/>
      <c r="U1504" s="62"/>
      <c r="V1504" s="62"/>
      <c r="W1504" s="55"/>
      <c r="X1504" s="57"/>
      <c r="Y1504" s="57"/>
      <c r="Z1504" s="55" t="n">
        <f aca="false">IF(A1504="","",IF(AND(Parameter!$B$21="Ja",ISNUMBER(W1504)),W1504,IF(BV1504="2+3",IF(ISNUMBER(SEARCH("grosser Artikel",BO1504)),2,IFERROR(VLOOKUP(BR1504,Parameter!$F$35:$G$64,2,0),2)),IF(OR(BV1504="Nein",BV1504=""),"-",BV1504))))</f>
        <v>3</v>
      </c>
      <c r="AA1504" s="62"/>
      <c r="AB1504" s="63"/>
      <c r="AC1504" s="57" t="n">
        <f aca="false">AR1504</f>
        <v>10</v>
      </c>
      <c r="AD1504" s="57" t="n">
        <f aca="false">MAX(AR1504,H1504)</f>
        <v>10</v>
      </c>
      <c r="AE1504" s="64"/>
      <c r="AF1504" s="57" t="n">
        <f aca="false">IF(LEFT(Cockpit!$C$5,1)="A",H1504,IF(CA1504=1,CB1504,IF(LEFT(Cockpit!$C$5,1)="B",AJ1504,MAX(AJ1504,H1504))))</f>
        <v>10</v>
      </c>
      <c r="AG1504" s="57" t="n">
        <f aca="false">IF(BT1504=1,0,ROUNDUP(AF1504/BS1504,0))</f>
        <v>1</v>
      </c>
      <c r="AH1504" s="59" t="n">
        <f aca="false">IF(CH1504&gt;0,CH1504*MAX(1,AF1504/X1504),IF(BT1504=1,IF(AF1504&lt;=0,0,BW1504*MAX(1,IF(H1504&gt;0,AF1504/H1504,1))),IF(R1504&gt;0,AG1504/R1504,0))/MAX(0.1,N(Parameter!$M$21)))</f>
        <v>0.0151515151515152</v>
      </c>
      <c r="AI1504" s="57" t="n">
        <f aca="false">AF1504*G1504</f>
        <v>438</v>
      </c>
      <c r="AJ1504" s="57" t="n">
        <f aca="false">ROUNDUP(MAX(J1504/IF(BZ1504&gt;0,BZ1504,MAX(0.1,N(Cockpit!$C$6))),CC1504)/BS1504,0)*BS1504</f>
        <v>10</v>
      </c>
      <c r="AK1504" s="58" t="n">
        <f aca="false">IF(AH1504&gt;0,J1504/AH1504,-1)</f>
        <v>0</v>
      </c>
      <c r="AL1504" s="58" t="n">
        <f aca="false">IF(AND(OR(BY1504="L1",BY1504="L23"),AH1504&gt;0),SUMIFS($AH$7:$AH$1843,$BY$7:$BY$1843,BY1504,$AK$7:$AK$1843,"&gt;"&amp;AK1504)+SUMIFS($AH$7:$AH$1843,$BY$7:$BY$1843,BY1504,$AK$7:$AK$1843,AK1504,$BQ$7:$BQ$1843,"&lt;="&amp;BQ1504),"")</f>
        <v>81.8936100131752</v>
      </c>
      <c r="AM1504" s="65" t="n">
        <f aca="false">IF(AL1504="",0,MAX(0,MIN(1,(IF(BY1504="L1",Parameter!$E$5,Parameter!$E$6+Parameter!$E$7)-(AL1504-AH1504))/AH1504)))</f>
        <v>1</v>
      </c>
      <c r="AN1504" s="57" t="n">
        <f aca="false">IF(LEFT(Cockpit!$I$5,1)="A",H1504,IF(CA1504=1,CB1504,IF(LEFT(Cockpit!$I$5,1)="B",AR1504,MAX(AR1504,H1504))))</f>
        <v>10</v>
      </c>
      <c r="AO1504" s="57" t="n">
        <f aca="false">IF(BT1504=1,0,ROUNDUP(AN1504/BS1504,0))</f>
        <v>1</v>
      </c>
      <c r="AP1504" s="59" t="n">
        <f aca="false">IF(CH1504&gt;0,CH1504*MAX(1,AN1504/X1504),IF(BT1504=1,IF(AN1504&lt;=0,0,BW1504*MAX(1,IF(H1504&gt;0,AN1504/H1504,1))),IF(R1504&gt;0,AO1504/R1504,0))/MAX(0.1,N(Parameter!$M$21)))</f>
        <v>0.0151515151515152</v>
      </c>
      <c r="AQ1504" s="57" t="n">
        <f aca="false">AN1504*G1504</f>
        <v>438</v>
      </c>
      <c r="AR1504" s="57" t="n">
        <f aca="false">ROUNDUP(MAX(J1504/IF(BZ1504&gt;0,BZ1504,MAX(0.1,N(Cockpit!$I$6))),CC1504)/BS1504,0)*BS1504</f>
        <v>10</v>
      </c>
      <c r="AS1504" s="58" t="n">
        <f aca="false">IF(AP1504&gt;0,J1504/AP1504,-1)</f>
        <v>0</v>
      </c>
      <c r="AT1504" s="58" t="n">
        <f aca="false">IF(AND(OR(BY1504="L1",BY1504="L23"),AP1504&gt;0),SUMIFS($AP$7:$AP$1843,$BY$7:$BY$1843,BY1504,$AS$7:$AS$1843,"&gt;"&amp;AS1504)+SUMIFS($AP$7:$AP$1843,$BY$7:$BY$1843,BY1504,$AS$7:$AS$1843,AS1504,$BQ$7:$BQ$1843,"&lt;="&amp;BQ1504),"")</f>
        <v>126.808469308469</v>
      </c>
      <c r="AU1504" s="65" t="n">
        <f aca="false">IF(AT1504="",0,MAX(0,MIN(1,(IF(BY1504="L1",Parameter!$E$5,Parameter!$E$6+Parameter!$E$7)-(AT1504-AP1504))/AP1504)))</f>
        <v>0</v>
      </c>
      <c r="AV1504" s="57" t="n">
        <f aca="false">IF(LEFT(Cockpit!$O$5,1)="A",H1504,IF(CA1504=1,CB1504,IF(LEFT(Cockpit!$O$5,1)="B",AZ1504,MAX(AZ1504,H1504))))</f>
        <v>10</v>
      </c>
      <c r="AW1504" s="57" t="n">
        <f aca="false">IF(BT1504=1,0,ROUNDUP(AV1504/BS1504,0))</f>
        <v>1</v>
      </c>
      <c r="AX1504" s="59" t="n">
        <f aca="false">IF(CH1504&gt;0,CH1504*MAX(1,AV1504/X1504),IF(BT1504=1,IF(AV1504&lt;=0,0,BW1504*MAX(1,IF(H1504&gt;0,AV1504/H1504,1))),IF(R1504&gt;0,AW1504/R1504,0))/MAX(0.1,N(Parameter!$M$21)))</f>
        <v>0.0151515151515152</v>
      </c>
      <c r="AY1504" s="57" t="n">
        <f aca="false">AV1504*G1504</f>
        <v>438</v>
      </c>
      <c r="AZ1504" s="57" t="n">
        <f aca="false">ROUNDUP(MAX(J1504/IF(BZ1504&gt;0,BZ1504,MAX(0.1,N(Cockpit!$O$6))),CC1504)/BS1504,0)*BS1504</f>
        <v>10</v>
      </c>
      <c r="BA1504" s="58" t="n">
        <f aca="false">IF(AX1504&gt;0,J1504/AX1504,-1)</f>
        <v>0</v>
      </c>
      <c r="BB1504" s="58" t="n">
        <f aca="false">IF(AND(OR(BY1504="L1",BY1504="L23"),AX1504&gt;0),SUMIFS($AX$7:$AX$1843,$BY$7:$BY$1843,BY1504,$BA$7:$BA$1843,"&gt;"&amp;BA1504)+SUMIFS($AX$7:$AX$1843,$BY$7:$BY$1843,BY1504,$BA$7:$BA$1843,BA1504,$BQ$7:$BQ$1843,"&lt;="&amp;BQ1504),"")</f>
        <v>117.638306138306</v>
      </c>
      <c r="BC1504" s="65" t="n">
        <f aca="false">IF(BB1504="",0,MAX(0,MIN(1,(IF(BY1504="L1",Parameter!$E$5,Parameter!$E$6+Parameter!$E$7)-(BB1504-AX1504))/AX1504)))</f>
        <v>0</v>
      </c>
      <c r="BD1504" s="55" t="str">
        <f aca="false">IF(AH1504&lt;=0,"",IF(BY1504="Aussen","Aussenlager",IF(BY1504="-","Nicht im Lift",IF(AM1504&gt;=1,"Lift",IF(AM1504&lt;=0,"Aussenlager","teilweise")))))</f>
        <v>Lift</v>
      </c>
      <c r="BE1504" s="55" t="str">
        <f aca="false">IF(AP1504&lt;=0,"",IF(BY1504="Aussen","Aussenlager",IF(BY1504="-","Nicht im Lift",IF(AU1504&gt;=1,"Lift",IF(AU1504&lt;=0,"Aussenlager","teilweise")))))</f>
        <v>Aussenlager</v>
      </c>
      <c r="BF1504" s="55" t="str">
        <f aca="false">IF(AX1504&lt;=0,"",IF(BY1504="Aussen","Aussenlager",IF(BY1504="-","Nicht im Lift",IF(BC1504&gt;=1,"Lift",IF(BC1504&lt;=0,"Aussenlager","teilweise")))))</f>
        <v>Aussenlager</v>
      </c>
      <c r="BG1504" s="55" t="str">
        <f aca="false">IF(A1504="","",IF(BP1504=1,"Neu; ","")&amp;IF(AND(BP1504=0,BK1504&lt;0),"negativer Bestand (Export "&amp;BK1504&amp;"); ","")&amp;IF(J1504&lt;=0,"Kein Verbrauch; ","")&amp;IF(CH1504&gt;0,"Lift "&amp;W1504&amp;" lt. Liftbericht (Fach "&amp;X1504&amp;" Stk); ",IF(BU1504=1,"Gebinde geschätzt ("&amp;T1504&amp;"); ",IF(BT1504=1,"Lose – Tablare geschätzt; ","")))&amp;IF(H1504&gt;AR1504,"Überbestand "&amp;ROUND(H1504-AR1504,0)&amp;" Stk / CHF "&amp;ROUND((H1504-AR1504)*G1504,0)&amp;"; ","")&amp;IF(AND(CA1504=1,CB1504&lt;CC1504),"MAX &lt; MB+LG; ","")&amp;IF(AND(CG1504&gt;0,CF1504*10&gt;CG1504),"zu hoch für Tablar; ","")&amp;IF(AND(BP1504=0,OR(CA1504=1,AA1504&lt;&gt;"",U1504&lt;&gt;"",V1504&lt;&gt;"",AB1504&lt;&gt;"")),"manuell übersteuert; ","")&amp;IF(AND(BT1504=0,R1504=0),"Gebinde unbekannt / Stellmass fehlt; ","")&amp;IF(AND(BT1504=0,N(V1504)&lt;=0,N(Q1504)&lt;=0),"Menge pro Gebinde fehlt (Ist = 1 Gebinde); ","")&amp;BO1504)</f>
        <v>Kein Verbrauch; nur im Artikelstamm (Bestand 23.06.2026); Überbestand</v>
      </c>
      <c r="BH1504" s="55"/>
      <c r="BI1504" s="55"/>
      <c r="BJ1504" s="62"/>
      <c r="BK1504" s="57" t="n">
        <v>10</v>
      </c>
      <c r="BL1504" s="57" t="n">
        <v>0</v>
      </c>
      <c r="BM1504" s="56" t="n">
        <v>0</v>
      </c>
      <c r="BN1504" s="57" t="n">
        <v>0</v>
      </c>
      <c r="BO1504" s="55" t="s">
        <v>2572</v>
      </c>
      <c r="BP1504" s="60" t="n">
        <v>0</v>
      </c>
      <c r="BQ1504" s="60" t="n">
        <v>1504</v>
      </c>
      <c r="BR1504" s="55" t="str">
        <f aca="false">IF(U1504&lt;&gt;"",UPPER(TRIM(U1504)),IF(BU1504=1,UPPER(VLOOKUP(T1504,Parameter!$I$27:$K$29,2,0)),IF(P1504="","LOSE",P1504)))</f>
        <v>S33</v>
      </c>
      <c r="BS1504" s="57" t="n">
        <f aca="false">IF(BR1504="LOSE",1,IF(N(V1504)&gt;0,V1504,IF(BU1504=1,MAX(1,N(VLOOKUP(T1504,Parameter!$I$27:$K$29,3,0)),H1504,N(N1504)),IF(N(Q1504)&gt;0,Q1504,MAX(1,H1504)))))</f>
        <v>10</v>
      </c>
      <c r="BT1504" s="60" t="n">
        <f aca="false">IF(BR1504="LOSE",1,0)</f>
        <v>0</v>
      </c>
      <c r="BU1504" s="60" t="n">
        <f aca="false">IF(AND(U1504="",OR(P1504="",P1504="LOSE"),T1504&lt;&gt;"",N(S1504)&lt;=0,ISNUMBER(MATCH(T1504,Parameter!$I$27:$I$29,0))),1,0)</f>
        <v>0</v>
      </c>
      <c r="BV1504" s="55" t="str">
        <f aca="false">IF(AND(Parameter!$B$19="Ja",E1504&lt;&gt;"",ISNUMBER(MATCH(E1504,Parameter!$I$35:$I$52,0))),VLOOKUP(E1504,Parameter!$I$35:$J$52,2,0),IFERROR(VLOOKUP(D1504,Parameter!$A$35:$C$64,2,0),"Nein"))</f>
        <v>2+3</v>
      </c>
      <c r="BW1504" s="59" t="n">
        <f aca="false">IF(BT1504=0,0,IF(N(S1504)&gt;0,S1504,IFERROR(VLOOKUP(D1504,Parameter!$A$35:$C$64,3,0)+0,0)))</f>
        <v>0</v>
      </c>
      <c r="BX1504" s="55" t="n">
        <f aca="false">IF(AA1504&lt;&gt;"",AA1504,Z1504)</f>
        <v>3</v>
      </c>
      <c r="BY1504" s="55" t="str">
        <f aca="false">IF(BX1504=1,"L1",IF(OR(BX1504=2,BX1504=3),"L23",IF(BX1504="Aussen","Aussen","-")))</f>
        <v>L23</v>
      </c>
      <c r="BZ1504" s="66" t="n">
        <f aca="false">IF(N(AB1504)&gt;0,AB1504,0)</f>
        <v>0</v>
      </c>
      <c r="CA1504" s="60" t="n">
        <f aca="false">IF(ISNUMBER(AE1504),1,0)</f>
        <v>0</v>
      </c>
      <c r="CB1504" s="57" t="n">
        <f aca="false">N(AE1504)</f>
        <v>0</v>
      </c>
      <c r="CC1504" s="57" t="n">
        <f aca="false">N(M1504)+N(N1504)</f>
        <v>10</v>
      </c>
      <c r="CD1504" s="57" t="n">
        <f aca="false">ROUNDUP(H1504/BS1504,0)</f>
        <v>1</v>
      </c>
      <c r="CE1504" s="57" t="n">
        <f aca="false">ROUNDUP(CB1504/BS1504,0)</f>
        <v>0</v>
      </c>
      <c r="CF1504" s="60" t="n">
        <f aca="false">IF(BT1504=1,0,IFERROR(VLOOKUP(BR1504,'Gebinde-Kategorie'!$A$5:$M$45,5,0)+0,0))</f>
        <v>8</v>
      </c>
      <c r="CG1504" s="60" t="n">
        <f aca="false">IFERROR(IF(OR(BX1504=1,BX1504=2,BX1504=3),N(INDEX(Parameter!$I$5:$I$7,BX1504)),0),0)</f>
        <v>0</v>
      </c>
      <c r="CH1504" s="59" t="n">
        <f aca="false">IF(AND(Parameter!$B$21="Ja",ISNUMBER(W1504),N(X1504)&gt;0),IFERROR(N(INDEX(Parameter!$L$5:$L$7,W1504))*INDEX(Parameter!$E$5:$E$7,W1504)*X1504/SUMIFS($X$7:$X$1843,$W$7:$W$1843,W1504),0),0)</f>
        <v>0</v>
      </c>
    </row>
    <row r="1505" customFormat="false" ht="15" hidden="false" customHeight="false" outlineLevel="0" collapsed="false">
      <c r="A1505" s="55" t="s">
        <v>2632</v>
      </c>
      <c r="B1505" s="55" t="s">
        <v>1290</v>
      </c>
      <c r="C1505" s="55" t="s">
        <v>164</v>
      </c>
      <c r="D1505" s="55" t="s">
        <v>184</v>
      </c>
      <c r="E1505" s="55" t="s">
        <v>185</v>
      </c>
      <c r="F1505" s="55"/>
      <c r="G1505" s="56" t="n">
        <v>0.43</v>
      </c>
      <c r="H1505" s="57" t="n">
        <f aca="false">MAX(0,IF(AND(Parameter!$B$21="Ja",ISNUMBER(Y1505)),Y1505,IF(Parameter!$B$20="Jahresanfang 2025 + Export",BL1505+BK1505,BK1505)))</f>
        <v>643</v>
      </c>
      <c r="I1505" s="57" t="n">
        <f aca="false">H1505*G1505</f>
        <v>276.49</v>
      </c>
      <c r="J1505" s="57" t="n">
        <f aca="false">BN1505*Parameter!$B$18</f>
        <v>0</v>
      </c>
      <c r="K1505" s="58"/>
      <c r="L1505" s="59"/>
      <c r="M1505" s="57" t="n">
        <v>0</v>
      </c>
      <c r="N1505" s="57" t="n">
        <v>500</v>
      </c>
      <c r="O1505" s="60" t="n">
        <v>21</v>
      </c>
      <c r="P1505" s="55" t="s">
        <v>302</v>
      </c>
      <c r="Q1505" s="57" t="n">
        <v>643</v>
      </c>
      <c r="R1505" s="60" t="n">
        <f aca="false">IF(BT1505=1,0,IFERROR(VLOOKUP(BR1505,'Gebinde-Kategorie'!$A$5:$M$45,13,0)+0,0))</f>
        <v>26</v>
      </c>
      <c r="S1505" s="61"/>
      <c r="T1505" s="62"/>
      <c r="U1505" s="62"/>
      <c r="V1505" s="62"/>
      <c r="W1505" s="55"/>
      <c r="X1505" s="57"/>
      <c r="Y1505" s="57"/>
      <c r="Z1505" s="55" t="n">
        <f aca="false">IF(A1505="","",IF(AND(Parameter!$B$21="Ja",ISNUMBER(W1505)),W1505,IF(BV1505="2+3",IF(ISNUMBER(SEARCH("grosser Artikel",BO1505)),2,IFERROR(VLOOKUP(BR1505,Parameter!$F$35:$G$64,2,0),2)),IF(OR(BV1505="Nein",BV1505=""),"-",BV1505))))</f>
        <v>3</v>
      </c>
      <c r="AA1505" s="62"/>
      <c r="AB1505" s="63"/>
      <c r="AC1505" s="57" t="n">
        <f aca="false">AR1505</f>
        <v>643</v>
      </c>
      <c r="AD1505" s="57" t="n">
        <f aca="false">MAX(AR1505,H1505)</f>
        <v>643</v>
      </c>
      <c r="AE1505" s="64"/>
      <c r="AF1505" s="57" t="n">
        <f aca="false">IF(LEFT(Cockpit!$C$5,1)="A",H1505,IF(CA1505=1,CB1505,IF(LEFT(Cockpit!$C$5,1)="B",AJ1505,MAX(AJ1505,H1505))))</f>
        <v>643</v>
      </c>
      <c r="AG1505" s="57" t="n">
        <f aca="false">IF(BT1505=1,0,ROUNDUP(AF1505/BS1505,0))</f>
        <v>1</v>
      </c>
      <c r="AH1505" s="59" t="n">
        <f aca="false">IF(CH1505&gt;0,CH1505*MAX(1,AF1505/X1505),IF(BT1505=1,IF(AF1505&lt;=0,0,BW1505*MAX(1,IF(H1505&gt;0,AF1505/H1505,1))),IF(R1505&gt;0,AG1505/R1505,0))/MAX(0.1,N(Parameter!$M$21)))</f>
        <v>0.0384615384615385</v>
      </c>
      <c r="AI1505" s="57" t="n">
        <f aca="false">AF1505*G1505</f>
        <v>276.49</v>
      </c>
      <c r="AJ1505" s="57" t="n">
        <f aca="false">ROUNDUP(MAX(J1505/IF(BZ1505&gt;0,BZ1505,MAX(0.1,N(Cockpit!$C$6))),CC1505)/BS1505,0)*BS1505</f>
        <v>643</v>
      </c>
      <c r="AK1505" s="58" t="n">
        <f aca="false">IF(AH1505&gt;0,J1505/AH1505,-1)</f>
        <v>0</v>
      </c>
      <c r="AL1505" s="58" t="n">
        <f aca="false">IF(AND(OR(BY1505="L1",BY1505="L23"),AH1505&gt;0),SUMIFS($AH$7:$AH$1843,$BY$7:$BY$1843,BY1505,$AK$7:$AK$1843,"&gt;"&amp;AK1505)+SUMIFS($AH$7:$AH$1843,$BY$7:$BY$1843,BY1505,$AK$7:$AK$1843,AK1505,$BQ$7:$BQ$1843,"&lt;="&amp;BQ1505),"")</f>
        <v>81.9320715516368</v>
      </c>
      <c r="AM1505" s="65" t="n">
        <f aca="false">IF(AL1505="",0,MAX(0,MIN(1,(IF(BY1505="L1",Parameter!$E$5,Parameter!$E$6+Parameter!$E$7)-(AL1505-AH1505))/AH1505)))</f>
        <v>1</v>
      </c>
      <c r="AN1505" s="57" t="n">
        <f aca="false">IF(LEFT(Cockpit!$I$5,1)="A",H1505,IF(CA1505=1,CB1505,IF(LEFT(Cockpit!$I$5,1)="B",AR1505,MAX(AR1505,H1505))))</f>
        <v>643</v>
      </c>
      <c r="AO1505" s="57" t="n">
        <f aca="false">IF(BT1505=1,0,ROUNDUP(AN1505/BS1505,0))</f>
        <v>1</v>
      </c>
      <c r="AP1505" s="59" t="n">
        <f aca="false">IF(CH1505&gt;0,CH1505*MAX(1,AN1505/X1505),IF(BT1505=1,IF(AN1505&lt;=0,0,BW1505*MAX(1,IF(H1505&gt;0,AN1505/H1505,1))),IF(R1505&gt;0,AO1505/R1505,0))/MAX(0.1,N(Parameter!$M$21)))</f>
        <v>0.0384615384615385</v>
      </c>
      <c r="AQ1505" s="57" t="n">
        <f aca="false">AN1505*G1505</f>
        <v>276.49</v>
      </c>
      <c r="AR1505" s="57" t="n">
        <f aca="false">ROUNDUP(MAX(J1505/IF(BZ1505&gt;0,BZ1505,MAX(0.1,N(Cockpit!$I$6))),CC1505)/BS1505,0)*BS1505</f>
        <v>643</v>
      </c>
      <c r="AS1505" s="58" t="n">
        <f aca="false">IF(AP1505&gt;0,J1505/AP1505,-1)</f>
        <v>0</v>
      </c>
      <c r="AT1505" s="58" t="n">
        <f aca="false">IF(AND(OR(BY1505="L1",BY1505="L23"),AP1505&gt;0),SUMIFS($AP$7:$AP$1843,$BY$7:$BY$1843,BY1505,$AS$7:$AS$1843,"&gt;"&amp;AS1505)+SUMIFS($AP$7:$AP$1843,$BY$7:$BY$1843,BY1505,$AS$7:$AS$1843,AS1505,$BQ$7:$BQ$1843,"&lt;="&amp;BQ1505),"")</f>
        <v>126.846930846931</v>
      </c>
      <c r="AU1505" s="65" t="n">
        <f aca="false">IF(AT1505="",0,MAX(0,MIN(1,(IF(BY1505="L1",Parameter!$E$5,Parameter!$E$6+Parameter!$E$7)-(AT1505-AP1505))/AP1505)))</f>
        <v>0</v>
      </c>
      <c r="AV1505" s="57" t="n">
        <f aca="false">IF(LEFT(Cockpit!$O$5,1)="A",H1505,IF(CA1505=1,CB1505,IF(LEFT(Cockpit!$O$5,1)="B",AZ1505,MAX(AZ1505,H1505))))</f>
        <v>643</v>
      </c>
      <c r="AW1505" s="57" t="n">
        <f aca="false">IF(BT1505=1,0,ROUNDUP(AV1505/BS1505,0))</f>
        <v>1</v>
      </c>
      <c r="AX1505" s="59" t="n">
        <f aca="false">IF(CH1505&gt;0,CH1505*MAX(1,AV1505/X1505),IF(BT1505=1,IF(AV1505&lt;=0,0,BW1505*MAX(1,IF(H1505&gt;0,AV1505/H1505,1))),IF(R1505&gt;0,AW1505/R1505,0))/MAX(0.1,N(Parameter!$M$21)))</f>
        <v>0.0384615384615385</v>
      </c>
      <c r="AY1505" s="57" t="n">
        <f aca="false">AV1505*G1505</f>
        <v>276.49</v>
      </c>
      <c r="AZ1505" s="57" t="n">
        <f aca="false">ROUNDUP(MAX(J1505/IF(BZ1505&gt;0,BZ1505,MAX(0.1,N(Cockpit!$O$6))),CC1505)/BS1505,0)*BS1505</f>
        <v>643</v>
      </c>
      <c r="BA1505" s="58" t="n">
        <f aca="false">IF(AX1505&gt;0,J1505/AX1505,-1)</f>
        <v>0</v>
      </c>
      <c r="BB1505" s="58" t="n">
        <f aca="false">IF(AND(OR(BY1505="L1",BY1505="L23"),AX1505&gt;0),SUMIFS($AX$7:$AX$1843,$BY$7:$BY$1843,BY1505,$BA$7:$BA$1843,"&gt;"&amp;BA1505)+SUMIFS($AX$7:$AX$1843,$BY$7:$BY$1843,BY1505,$BA$7:$BA$1843,BA1505,$BQ$7:$BQ$1843,"&lt;="&amp;BQ1505),"")</f>
        <v>117.676767676768</v>
      </c>
      <c r="BC1505" s="65" t="n">
        <f aca="false">IF(BB1505="",0,MAX(0,MIN(1,(IF(BY1505="L1",Parameter!$E$5,Parameter!$E$6+Parameter!$E$7)-(BB1505-AX1505))/AX1505)))</f>
        <v>0</v>
      </c>
      <c r="BD1505" s="55" t="str">
        <f aca="false">IF(AH1505&lt;=0,"",IF(BY1505="Aussen","Aussenlager",IF(BY1505="-","Nicht im Lift",IF(AM1505&gt;=1,"Lift",IF(AM1505&lt;=0,"Aussenlager","teilweise")))))</f>
        <v>Lift</v>
      </c>
      <c r="BE1505" s="55" t="str">
        <f aca="false">IF(AP1505&lt;=0,"",IF(BY1505="Aussen","Aussenlager",IF(BY1505="-","Nicht im Lift",IF(AU1505&gt;=1,"Lift",IF(AU1505&lt;=0,"Aussenlager","teilweise")))))</f>
        <v>Aussenlager</v>
      </c>
      <c r="BF1505" s="55" t="str">
        <f aca="false">IF(AX1505&lt;=0,"",IF(BY1505="Aussen","Aussenlager",IF(BY1505="-","Nicht im Lift",IF(BC1505&gt;=1,"Lift",IF(BC1505&lt;=0,"Aussenlager","teilweise")))))</f>
        <v>Aussenlager</v>
      </c>
      <c r="BG1505" s="55" t="str">
        <f aca="false">IF(A1505="","",IF(BP1505=1,"Neu; ","")&amp;IF(AND(BP1505=0,BK1505&lt;0),"negativer Bestand (Export "&amp;BK1505&amp;"); ","")&amp;IF(J1505&lt;=0,"Kein Verbrauch; ","")&amp;IF(CH1505&gt;0,"Lift "&amp;W1505&amp;" lt. Liftbericht (Fach "&amp;X1505&amp;" Stk); ",IF(BU1505=1,"Gebinde geschätzt ("&amp;T1505&amp;"); ",IF(BT1505=1,"Lose – Tablare geschätzt; ","")))&amp;IF(H1505&gt;AR1505,"Überbestand "&amp;ROUND(H1505-AR1505,0)&amp;" Stk / CHF "&amp;ROUND((H1505-AR1505)*G1505,0)&amp;"; ","")&amp;IF(AND(CA1505=1,CB1505&lt;CC1505),"MAX &lt; MB+LG; ","")&amp;IF(AND(CG1505&gt;0,CF1505*10&gt;CG1505),"zu hoch für Tablar; ","")&amp;IF(AND(BP1505=0,OR(CA1505=1,AA1505&lt;&gt;"",U1505&lt;&gt;"",V1505&lt;&gt;"",AB1505&lt;&gt;"")),"manuell übersteuert; ","")&amp;IF(AND(BT1505=0,R1505=0),"Gebinde unbekannt / Stellmass fehlt; ","")&amp;IF(AND(BT1505=0,N(V1505)&lt;=0,N(Q1505)&lt;=0),"Menge pro Gebinde fehlt (Ist = 1 Gebinde); ","")&amp;BO1505)</f>
        <v>Kein Verbrauch; nur im Artikelstamm (Bestand 23.06.2026); Handlager</v>
      </c>
      <c r="BH1505" s="55"/>
      <c r="BI1505" s="55"/>
      <c r="BJ1505" s="62"/>
      <c r="BK1505" s="57" t="n">
        <v>643</v>
      </c>
      <c r="BL1505" s="57" t="n">
        <v>0</v>
      </c>
      <c r="BM1505" s="56" t="n">
        <v>0</v>
      </c>
      <c r="BN1505" s="57" t="n">
        <v>0</v>
      </c>
      <c r="BO1505" s="55" t="s">
        <v>2633</v>
      </c>
      <c r="BP1505" s="60" t="n">
        <v>0</v>
      </c>
      <c r="BQ1505" s="60" t="n">
        <v>1505</v>
      </c>
      <c r="BR1505" s="55" t="str">
        <f aca="false">IF(U1505&lt;&gt;"",UPPER(TRIM(U1505)),IF(BU1505=1,UPPER(VLOOKUP(T1505,Parameter!$I$27:$K$29,2,0)),IF(P1505="","LOSE",P1505)))</f>
        <v>S51</v>
      </c>
      <c r="BS1505" s="57" t="n">
        <f aca="false">IF(BR1505="LOSE",1,IF(N(V1505)&gt;0,V1505,IF(BU1505=1,MAX(1,N(VLOOKUP(T1505,Parameter!$I$27:$K$29,3,0)),H1505,N(N1505)),IF(N(Q1505)&gt;0,Q1505,MAX(1,H1505)))))</f>
        <v>643</v>
      </c>
      <c r="BT1505" s="60" t="n">
        <f aca="false">IF(BR1505="LOSE",1,0)</f>
        <v>0</v>
      </c>
      <c r="BU1505" s="60" t="n">
        <f aca="false">IF(AND(U1505="",OR(P1505="",P1505="LOSE"),T1505&lt;&gt;"",N(S1505)&lt;=0,ISNUMBER(MATCH(T1505,Parameter!$I$27:$I$29,0))),1,0)</f>
        <v>0</v>
      </c>
      <c r="BV1505" s="55" t="str">
        <f aca="false">IF(AND(Parameter!$B$19="Ja",E1505&lt;&gt;"",ISNUMBER(MATCH(E1505,Parameter!$I$35:$I$52,0))),VLOOKUP(E1505,Parameter!$I$35:$J$52,2,0),IFERROR(VLOOKUP(D1505,Parameter!$A$35:$C$64,2,0),"Nein"))</f>
        <v>2+3</v>
      </c>
      <c r="BW1505" s="59" t="n">
        <f aca="false">IF(BT1505=0,0,IF(N(S1505)&gt;0,S1505,IFERROR(VLOOKUP(D1505,Parameter!$A$35:$C$64,3,0)+0,0)))</f>
        <v>0</v>
      </c>
      <c r="BX1505" s="55" t="n">
        <f aca="false">IF(AA1505&lt;&gt;"",AA1505,Z1505)</f>
        <v>3</v>
      </c>
      <c r="BY1505" s="55" t="str">
        <f aca="false">IF(BX1505=1,"L1",IF(OR(BX1505=2,BX1505=3),"L23",IF(BX1505="Aussen","Aussen","-")))</f>
        <v>L23</v>
      </c>
      <c r="BZ1505" s="66" t="n">
        <f aca="false">IF(N(AB1505)&gt;0,AB1505,0)</f>
        <v>0</v>
      </c>
      <c r="CA1505" s="60" t="n">
        <f aca="false">IF(ISNUMBER(AE1505),1,0)</f>
        <v>0</v>
      </c>
      <c r="CB1505" s="57" t="n">
        <f aca="false">N(AE1505)</f>
        <v>0</v>
      </c>
      <c r="CC1505" s="57" t="n">
        <f aca="false">N(M1505)+N(N1505)</f>
        <v>500</v>
      </c>
      <c r="CD1505" s="57" t="n">
        <f aca="false">ROUNDUP(H1505/BS1505,0)</f>
        <v>1</v>
      </c>
      <c r="CE1505" s="57" t="n">
        <f aca="false">ROUNDUP(CB1505/BS1505,0)</f>
        <v>0</v>
      </c>
      <c r="CF1505" s="60" t="n">
        <f aca="false">IF(BT1505=1,0,IFERROR(VLOOKUP(BR1505,'Gebinde-Kategorie'!$A$5:$M$45,5,0)+0,0))</f>
        <v>11</v>
      </c>
      <c r="CG1505" s="60" t="n">
        <f aca="false">IFERROR(IF(OR(BX1505=1,BX1505=2,BX1505=3),N(INDEX(Parameter!$I$5:$I$7,BX1505)),0),0)</f>
        <v>0</v>
      </c>
      <c r="CH1505" s="59" t="n">
        <f aca="false">IF(AND(Parameter!$B$21="Ja",ISNUMBER(W1505),N(X1505)&gt;0),IFERROR(N(INDEX(Parameter!$L$5:$L$7,W1505))*INDEX(Parameter!$E$5:$E$7,W1505)*X1505/SUMIFS($X$7:$X$1843,$W$7:$W$1843,W1505),0),0)</f>
        <v>0</v>
      </c>
    </row>
    <row r="1506" customFormat="false" ht="15" hidden="false" customHeight="false" outlineLevel="0" collapsed="false">
      <c r="A1506" s="55" t="s">
        <v>2634</v>
      </c>
      <c r="B1506" s="55" t="s">
        <v>2635</v>
      </c>
      <c r="C1506" s="55" t="s">
        <v>164</v>
      </c>
      <c r="D1506" s="55" t="s">
        <v>184</v>
      </c>
      <c r="E1506" s="55" t="s">
        <v>185</v>
      </c>
      <c r="F1506" s="55"/>
      <c r="G1506" s="56" t="n">
        <v>333.8</v>
      </c>
      <c r="H1506" s="57" t="n">
        <f aca="false">MAX(0,IF(AND(Parameter!$B$21="Ja",ISNUMBER(Y1506)),Y1506,IF(Parameter!$B$20="Jahresanfang 2025 + Export",BL1506+BK1506,BK1506)))</f>
        <v>17</v>
      </c>
      <c r="I1506" s="57" t="n">
        <f aca="false">H1506*G1506</f>
        <v>5674.6</v>
      </c>
      <c r="J1506" s="57" t="n">
        <f aca="false">BN1506*Parameter!$B$18</f>
        <v>0</v>
      </c>
      <c r="K1506" s="58"/>
      <c r="L1506" s="59"/>
      <c r="M1506" s="57" t="n">
        <v>0</v>
      </c>
      <c r="N1506" s="57" t="n">
        <v>10</v>
      </c>
      <c r="O1506" s="60" t="n">
        <v>28</v>
      </c>
      <c r="P1506" s="55" t="s">
        <v>233</v>
      </c>
      <c r="Q1506" s="57" t="n">
        <v>17</v>
      </c>
      <c r="R1506" s="60" t="n">
        <f aca="false">IF(BT1506=1,0,IFERROR(VLOOKUP(BR1506,'Gebinde-Kategorie'!$A$5:$M$45,13,0)+0,0))</f>
        <v>26</v>
      </c>
      <c r="S1506" s="61"/>
      <c r="T1506" s="62"/>
      <c r="U1506" s="62"/>
      <c r="V1506" s="62"/>
      <c r="W1506" s="55"/>
      <c r="X1506" s="57"/>
      <c r="Y1506" s="57"/>
      <c r="Z1506" s="55" t="n">
        <f aca="false">IF(A1506="","",IF(AND(Parameter!$B$21="Ja",ISNUMBER(W1506)),W1506,IF(BV1506="2+3",IF(ISNUMBER(SEARCH("grosser Artikel",BO1506)),2,IFERROR(VLOOKUP(BR1506,Parameter!$F$35:$G$64,2,0),2)),IF(OR(BV1506="Nein",BV1506=""),"-",BV1506))))</f>
        <v>3</v>
      </c>
      <c r="AA1506" s="62"/>
      <c r="AB1506" s="63"/>
      <c r="AC1506" s="57" t="n">
        <f aca="false">AR1506</f>
        <v>17</v>
      </c>
      <c r="AD1506" s="57" t="n">
        <f aca="false">MAX(AR1506,H1506)</f>
        <v>17</v>
      </c>
      <c r="AE1506" s="64"/>
      <c r="AF1506" s="57" t="n">
        <f aca="false">IF(LEFT(Cockpit!$C$5,1)="A",H1506,IF(CA1506=1,CB1506,IF(LEFT(Cockpit!$C$5,1)="B",AJ1506,MAX(AJ1506,H1506))))</f>
        <v>17</v>
      </c>
      <c r="AG1506" s="57" t="n">
        <f aca="false">IF(BT1506=1,0,ROUNDUP(AF1506/BS1506,0))</f>
        <v>1</v>
      </c>
      <c r="AH1506" s="59" t="n">
        <f aca="false">IF(CH1506&gt;0,CH1506*MAX(1,AF1506/X1506),IF(BT1506=1,IF(AF1506&lt;=0,0,BW1506*MAX(1,IF(H1506&gt;0,AF1506/H1506,1))),IF(R1506&gt;0,AG1506/R1506,0))/MAX(0.1,N(Parameter!$M$21)))</f>
        <v>0.0384615384615385</v>
      </c>
      <c r="AI1506" s="57" t="n">
        <f aca="false">AF1506*G1506</f>
        <v>5674.6</v>
      </c>
      <c r="AJ1506" s="57" t="n">
        <f aca="false">ROUNDUP(MAX(J1506/IF(BZ1506&gt;0,BZ1506,MAX(0.1,N(Cockpit!$C$6))),CC1506)/BS1506,0)*BS1506</f>
        <v>17</v>
      </c>
      <c r="AK1506" s="58" t="n">
        <f aca="false">IF(AH1506&gt;0,J1506/AH1506,-1)</f>
        <v>0</v>
      </c>
      <c r="AL1506" s="58" t="n">
        <f aca="false">IF(AND(OR(BY1506="L1",BY1506="L23"),AH1506&gt;0),SUMIFS($AH$7:$AH$1843,$BY$7:$BY$1843,BY1506,$AK$7:$AK$1843,"&gt;"&amp;AK1506)+SUMIFS($AH$7:$AH$1843,$BY$7:$BY$1843,BY1506,$AK$7:$AK$1843,AK1506,$BQ$7:$BQ$1843,"&lt;="&amp;BQ1506),"")</f>
        <v>81.9705330900983</v>
      </c>
      <c r="AM1506" s="65" t="n">
        <f aca="false">IF(AL1506="",0,MAX(0,MIN(1,(IF(BY1506="L1",Parameter!$E$5,Parameter!$E$6+Parameter!$E$7)-(AL1506-AH1506))/AH1506)))</f>
        <v>1</v>
      </c>
      <c r="AN1506" s="57" t="n">
        <f aca="false">IF(LEFT(Cockpit!$I$5,1)="A",H1506,IF(CA1506=1,CB1506,IF(LEFT(Cockpit!$I$5,1)="B",AR1506,MAX(AR1506,H1506))))</f>
        <v>17</v>
      </c>
      <c r="AO1506" s="57" t="n">
        <f aca="false">IF(BT1506=1,0,ROUNDUP(AN1506/BS1506,0))</f>
        <v>1</v>
      </c>
      <c r="AP1506" s="59" t="n">
        <f aca="false">IF(CH1506&gt;0,CH1506*MAX(1,AN1506/X1506),IF(BT1506=1,IF(AN1506&lt;=0,0,BW1506*MAX(1,IF(H1506&gt;0,AN1506/H1506,1))),IF(R1506&gt;0,AO1506/R1506,0))/MAX(0.1,N(Parameter!$M$21)))</f>
        <v>0.0384615384615385</v>
      </c>
      <c r="AQ1506" s="57" t="n">
        <f aca="false">AN1506*G1506</f>
        <v>5674.6</v>
      </c>
      <c r="AR1506" s="57" t="n">
        <f aca="false">ROUNDUP(MAX(J1506/IF(BZ1506&gt;0,BZ1506,MAX(0.1,N(Cockpit!$I$6))),CC1506)/BS1506,0)*BS1506</f>
        <v>17</v>
      </c>
      <c r="AS1506" s="58" t="n">
        <f aca="false">IF(AP1506&gt;0,J1506/AP1506,-1)</f>
        <v>0</v>
      </c>
      <c r="AT1506" s="58" t="n">
        <f aca="false">IF(AND(OR(BY1506="L1",BY1506="L23"),AP1506&gt;0),SUMIFS($AP$7:$AP$1843,$BY$7:$BY$1843,BY1506,$AS$7:$AS$1843,"&gt;"&amp;AS1506)+SUMIFS($AP$7:$AP$1843,$BY$7:$BY$1843,BY1506,$AS$7:$AS$1843,AS1506,$BQ$7:$BQ$1843,"&lt;="&amp;BQ1506),"")</f>
        <v>126.885392385392</v>
      </c>
      <c r="AU1506" s="65" t="n">
        <f aca="false">IF(AT1506="",0,MAX(0,MIN(1,(IF(BY1506="L1",Parameter!$E$5,Parameter!$E$6+Parameter!$E$7)-(AT1506-AP1506))/AP1506)))</f>
        <v>0</v>
      </c>
      <c r="AV1506" s="57" t="n">
        <f aca="false">IF(LEFT(Cockpit!$O$5,1)="A",H1506,IF(CA1506=1,CB1506,IF(LEFT(Cockpit!$O$5,1)="B",AZ1506,MAX(AZ1506,H1506))))</f>
        <v>17</v>
      </c>
      <c r="AW1506" s="57" t="n">
        <f aca="false">IF(BT1506=1,0,ROUNDUP(AV1506/BS1506,0))</f>
        <v>1</v>
      </c>
      <c r="AX1506" s="59" t="n">
        <f aca="false">IF(CH1506&gt;0,CH1506*MAX(1,AV1506/X1506),IF(BT1506=1,IF(AV1506&lt;=0,0,BW1506*MAX(1,IF(H1506&gt;0,AV1506/H1506,1))),IF(R1506&gt;0,AW1506/R1506,0))/MAX(0.1,N(Parameter!$M$21)))</f>
        <v>0.0384615384615385</v>
      </c>
      <c r="AY1506" s="57" t="n">
        <f aca="false">AV1506*G1506</f>
        <v>5674.6</v>
      </c>
      <c r="AZ1506" s="57" t="n">
        <f aca="false">ROUNDUP(MAX(J1506/IF(BZ1506&gt;0,BZ1506,MAX(0.1,N(Cockpit!$O$6))),CC1506)/BS1506,0)*BS1506</f>
        <v>17</v>
      </c>
      <c r="BA1506" s="58" t="n">
        <f aca="false">IF(AX1506&gt;0,J1506/AX1506,-1)</f>
        <v>0</v>
      </c>
      <c r="BB1506" s="58" t="n">
        <f aca="false">IF(AND(OR(BY1506="L1",BY1506="L23"),AX1506&gt;0),SUMIFS($AX$7:$AX$1843,$BY$7:$BY$1843,BY1506,$BA$7:$BA$1843,"&gt;"&amp;BA1506)+SUMIFS($AX$7:$AX$1843,$BY$7:$BY$1843,BY1506,$BA$7:$BA$1843,BA1506,$BQ$7:$BQ$1843,"&lt;="&amp;BQ1506),"")</f>
        <v>117.715229215229</v>
      </c>
      <c r="BC1506" s="65" t="n">
        <f aca="false">IF(BB1506="",0,MAX(0,MIN(1,(IF(BY1506="L1",Parameter!$E$5,Parameter!$E$6+Parameter!$E$7)-(BB1506-AX1506))/AX1506)))</f>
        <v>0</v>
      </c>
      <c r="BD1506" s="55" t="str">
        <f aca="false">IF(AH1506&lt;=0,"",IF(BY1506="Aussen","Aussenlager",IF(BY1506="-","Nicht im Lift",IF(AM1506&gt;=1,"Lift",IF(AM1506&lt;=0,"Aussenlager","teilweise")))))</f>
        <v>Lift</v>
      </c>
      <c r="BE1506" s="55" t="str">
        <f aca="false">IF(AP1506&lt;=0,"",IF(BY1506="Aussen","Aussenlager",IF(BY1506="-","Nicht im Lift",IF(AU1506&gt;=1,"Lift",IF(AU1506&lt;=0,"Aussenlager","teilweise")))))</f>
        <v>Aussenlager</v>
      </c>
      <c r="BF1506" s="55" t="str">
        <f aca="false">IF(AX1506&lt;=0,"",IF(BY1506="Aussen","Aussenlager",IF(BY1506="-","Nicht im Lift",IF(BC1506&gt;=1,"Lift",IF(BC1506&lt;=0,"Aussenlager","teilweise")))))</f>
        <v>Aussenlager</v>
      </c>
      <c r="BG1506" s="55" t="str">
        <f aca="false">IF(A1506="","",IF(BP1506=1,"Neu; ","")&amp;IF(AND(BP1506=0,BK1506&lt;0),"negativer Bestand (Export "&amp;BK1506&amp;"); ","")&amp;IF(J1506&lt;=0,"Kein Verbrauch; ","")&amp;IF(CH1506&gt;0,"Lift "&amp;W1506&amp;" lt. Liftbericht (Fach "&amp;X1506&amp;" Stk); ",IF(BU1506=1,"Gebinde geschätzt ("&amp;T1506&amp;"); ",IF(BT1506=1,"Lose – Tablare geschätzt; ","")))&amp;IF(H1506&gt;AR1506,"Überbestand "&amp;ROUND(H1506-AR1506,0)&amp;" Stk / CHF "&amp;ROUND((H1506-AR1506)*G1506,0)&amp;"; ","")&amp;IF(AND(CA1506=1,CB1506&lt;CC1506),"MAX &lt; MB+LG; ","")&amp;IF(AND(CG1506&gt;0,CF1506*10&gt;CG1506),"zu hoch für Tablar; ","")&amp;IF(AND(BP1506=0,OR(CA1506=1,AA1506&lt;&gt;"",U1506&lt;&gt;"",V1506&lt;&gt;"",AB1506&lt;&gt;"")),"manuell übersteuert; ","")&amp;IF(AND(BT1506=0,R1506=0),"Gebinde unbekannt / Stellmass fehlt; ","")&amp;IF(AND(BT1506=0,N(V1506)&lt;=0,N(Q1506)&lt;=0),"Menge pro Gebinde fehlt (Ist = 1 Gebinde); ","")&amp;BO1506)</f>
        <v>Kein Verbrauch; nur im Artikelstamm (Bestand 23.06.2026)</v>
      </c>
      <c r="BH1506" s="55"/>
      <c r="BI1506" s="55"/>
      <c r="BJ1506" s="62"/>
      <c r="BK1506" s="57" t="n">
        <v>17</v>
      </c>
      <c r="BL1506" s="57" t="n">
        <v>0</v>
      </c>
      <c r="BM1506" s="56" t="n">
        <v>0</v>
      </c>
      <c r="BN1506" s="57" t="n">
        <v>0</v>
      </c>
      <c r="BO1506" s="55" t="s">
        <v>2575</v>
      </c>
      <c r="BP1506" s="60" t="n">
        <v>0</v>
      </c>
      <c r="BQ1506" s="60" t="n">
        <v>1506</v>
      </c>
      <c r="BR1506" s="55" t="str">
        <f aca="false">IF(U1506&lt;&gt;"",UPPER(TRIM(U1506)),IF(BU1506=1,UPPER(VLOOKUP(T1506,Parameter!$I$27:$K$29,2,0)),IF(P1506="","LOSE",P1506)))</f>
        <v>S52</v>
      </c>
      <c r="BS1506" s="57" t="n">
        <f aca="false">IF(BR1506="LOSE",1,IF(N(V1506)&gt;0,V1506,IF(BU1506=1,MAX(1,N(VLOOKUP(T1506,Parameter!$I$27:$K$29,3,0)),H1506,N(N1506)),IF(N(Q1506)&gt;0,Q1506,MAX(1,H1506)))))</f>
        <v>17</v>
      </c>
      <c r="BT1506" s="60" t="n">
        <f aca="false">IF(BR1506="LOSE",1,0)</f>
        <v>0</v>
      </c>
      <c r="BU1506" s="60" t="n">
        <f aca="false">IF(AND(U1506="",OR(P1506="",P1506="LOSE"),T1506&lt;&gt;"",N(S1506)&lt;=0,ISNUMBER(MATCH(T1506,Parameter!$I$27:$I$29,0))),1,0)</f>
        <v>0</v>
      </c>
      <c r="BV1506" s="55" t="str">
        <f aca="false">IF(AND(Parameter!$B$19="Ja",E1506&lt;&gt;"",ISNUMBER(MATCH(E1506,Parameter!$I$35:$I$52,0))),VLOOKUP(E1506,Parameter!$I$35:$J$52,2,0),IFERROR(VLOOKUP(D1506,Parameter!$A$35:$C$64,2,0),"Nein"))</f>
        <v>2+3</v>
      </c>
      <c r="BW1506" s="59" t="n">
        <f aca="false">IF(BT1506=0,0,IF(N(S1506)&gt;0,S1506,IFERROR(VLOOKUP(D1506,Parameter!$A$35:$C$64,3,0)+0,0)))</f>
        <v>0</v>
      </c>
      <c r="BX1506" s="55" t="n">
        <f aca="false">IF(AA1506&lt;&gt;"",AA1506,Z1506)</f>
        <v>3</v>
      </c>
      <c r="BY1506" s="55" t="str">
        <f aca="false">IF(BX1506=1,"L1",IF(OR(BX1506=2,BX1506=3),"L23",IF(BX1506="Aussen","Aussen","-")))</f>
        <v>L23</v>
      </c>
      <c r="BZ1506" s="66" t="n">
        <f aca="false">IF(N(AB1506)&gt;0,AB1506,0)</f>
        <v>0</v>
      </c>
      <c r="CA1506" s="60" t="n">
        <f aca="false">IF(ISNUMBER(AE1506),1,0)</f>
        <v>0</v>
      </c>
      <c r="CB1506" s="57" t="n">
        <f aca="false">N(AE1506)</f>
        <v>0</v>
      </c>
      <c r="CC1506" s="57" t="n">
        <f aca="false">N(M1506)+N(N1506)</f>
        <v>10</v>
      </c>
      <c r="CD1506" s="57" t="n">
        <f aca="false">ROUNDUP(H1506/BS1506,0)</f>
        <v>1</v>
      </c>
      <c r="CE1506" s="57" t="n">
        <f aca="false">ROUNDUP(CB1506/BS1506,0)</f>
        <v>0</v>
      </c>
      <c r="CF1506" s="60" t="n">
        <f aca="false">IF(BT1506=1,0,IFERROR(VLOOKUP(BR1506,'Gebinde-Kategorie'!$A$5:$M$45,5,0)+0,0))</f>
        <v>21</v>
      </c>
      <c r="CG1506" s="60" t="n">
        <f aca="false">IFERROR(IF(OR(BX1506=1,BX1506=2,BX1506=3),N(INDEX(Parameter!$I$5:$I$7,BX1506)),0),0)</f>
        <v>0</v>
      </c>
      <c r="CH1506" s="59" t="n">
        <f aca="false">IF(AND(Parameter!$B$21="Ja",ISNUMBER(W1506),N(X1506)&gt;0),IFERROR(N(INDEX(Parameter!$L$5:$L$7,W1506))*INDEX(Parameter!$E$5:$E$7,W1506)*X1506/SUMIFS($X$7:$X$1843,$W$7:$W$1843,W1506),0),0)</f>
        <v>0</v>
      </c>
    </row>
    <row r="1507" customFormat="false" ht="15" hidden="false" customHeight="false" outlineLevel="0" collapsed="false">
      <c r="A1507" s="55" t="s">
        <v>2636</v>
      </c>
      <c r="B1507" s="55" t="s">
        <v>1403</v>
      </c>
      <c r="C1507" s="55" t="s">
        <v>164</v>
      </c>
      <c r="D1507" s="55" t="s">
        <v>184</v>
      </c>
      <c r="E1507" s="55" t="s">
        <v>185</v>
      </c>
      <c r="F1507" s="55"/>
      <c r="G1507" s="56" t="n">
        <v>9.5</v>
      </c>
      <c r="H1507" s="57" t="n">
        <f aca="false">MAX(0,IF(AND(Parameter!$B$21="Ja",ISNUMBER(Y1507)),Y1507,IF(Parameter!$B$20="Jahresanfang 2025 + Export",BL1507+BK1507,BK1507)))</f>
        <v>21</v>
      </c>
      <c r="I1507" s="57" t="n">
        <f aca="false">H1507*G1507</f>
        <v>199.5</v>
      </c>
      <c r="J1507" s="57" t="n">
        <f aca="false">BN1507*Parameter!$B$18</f>
        <v>0</v>
      </c>
      <c r="K1507" s="58"/>
      <c r="L1507" s="59"/>
      <c r="M1507" s="57" t="n">
        <v>0</v>
      </c>
      <c r="N1507" s="57" t="n">
        <v>20</v>
      </c>
      <c r="O1507" s="60" t="n">
        <v>21</v>
      </c>
      <c r="P1507" s="55" t="s">
        <v>328</v>
      </c>
      <c r="Q1507" s="57" t="n">
        <v>21</v>
      </c>
      <c r="R1507" s="60" t="n">
        <f aca="false">IF(BT1507=1,0,IFERROR(VLOOKUP(BR1507,'Gebinde-Kategorie'!$A$5:$M$45,13,0)+0,0))</f>
        <v>52</v>
      </c>
      <c r="S1507" s="61"/>
      <c r="T1507" s="62"/>
      <c r="U1507" s="62"/>
      <c r="V1507" s="62"/>
      <c r="W1507" s="55"/>
      <c r="X1507" s="57"/>
      <c r="Y1507" s="57"/>
      <c r="Z1507" s="55" t="n">
        <f aca="false">IF(A1507="","",IF(AND(Parameter!$B$21="Ja",ISNUMBER(W1507)),W1507,IF(BV1507="2+3",IF(ISNUMBER(SEARCH("grosser Artikel",BO1507)),2,IFERROR(VLOOKUP(BR1507,Parameter!$F$35:$G$64,2,0),2)),IF(OR(BV1507="Nein",BV1507=""),"-",BV1507))))</f>
        <v>3</v>
      </c>
      <c r="AA1507" s="62"/>
      <c r="AB1507" s="63"/>
      <c r="AC1507" s="57" t="n">
        <f aca="false">AR1507</f>
        <v>21</v>
      </c>
      <c r="AD1507" s="57" t="n">
        <f aca="false">MAX(AR1507,H1507)</f>
        <v>21</v>
      </c>
      <c r="AE1507" s="64"/>
      <c r="AF1507" s="57" t="n">
        <f aca="false">IF(LEFT(Cockpit!$C$5,1)="A",H1507,IF(CA1507=1,CB1507,IF(LEFT(Cockpit!$C$5,1)="B",AJ1507,MAX(AJ1507,H1507))))</f>
        <v>21</v>
      </c>
      <c r="AG1507" s="57" t="n">
        <f aca="false">IF(BT1507=1,0,ROUNDUP(AF1507/BS1507,0))</f>
        <v>1</v>
      </c>
      <c r="AH1507" s="59" t="n">
        <f aca="false">IF(CH1507&gt;0,CH1507*MAX(1,AF1507/X1507),IF(BT1507=1,IF(AF1507&lt;=0,0,BW1507*MAX(1,IF(H1507&gt;0,AF1507/H1507,1))),IF(R1507&gt;0,AG1507/R1507,0))/MAX(0.1,N(Parameter!$M$21)))</f>
        <v>0.0192307692307692</v>
      </c>
      <c r="AI1507" s="57" t="n">
        <f aca="false">AF1507*G1507</f>
        <v>199.5</v>
      </c>
      <c r="AJ1507" s="57" t="n">
        <f aca="false">ROUNDUP(MAX(J1507/IF(BZ1507&gt;0,BZ1507,MAX(0.1,N(Cockpit!$C$6))),CC1507)/BS1507,0)*BS1507</f>
        <v>21</v>
      </c>
      <c r="AK1507" s="58" t="n">
        <f aca="false">IF(AH1507&gt;0,J1507/AH1507,-1)</f>
        <v>0</v>
      </c>
      <c r="AL1507" s="58" t="n">
        <f aca="false">IF(AND(OR(BY1507="L1",BY1507="L23"),AH1507&gt;0),SUMIFS($AH$7:$AH$1843,$BY$7:$BY$1843,BY1507,$AK$7:$AK$1843,"&gt;"&amp;AK1507)+SUMIFS($AH$7:$AH$1843,$BY$7:$BY$1843,BY1507,$AK$7:$AK$1843,AK1507,$BQ$7:$BQ$1843,"&lt;="&amp;BQ1507),"")</f>
        <v>81.9897638593291</v>
      </c>
      <c r="AM1507" s="65" t="n">
        <f aca="false">IF(AL1507="",0,MAX(0,MIN(1,(IF(BY1507="L1",Parameter!$E$5,Parameter!$E$6+Parameter!$E$7)-(AL1507-AH1507))/AH1507)))</f>
        <v>1</v>
      </c>
      <c r="AN1507" s="57" t="n">
        <f aca="false">IF(LEFT(Cockpit!$I$5,1)="A",H1507,IF(CA1507=1,CB1507,IF(LEFT(Cockpit!$I$5,1)="B",AR1507,MAX(AR1507,H1507))))</f>
        <v>21</v>
      </c>
      <c r="AO1507" s="57" t="n">
        <f aca="false">IF(BT1507=1,0,ROUNDUP(AN1507/BS1507,0))</f>
        <v>1</v>
      </c>
      <c r="AP1507" s="59" t="n">
        <f aca="false">IF(CH1507&gt;0,CH1507*MAX(1,AN1507/X1507),IF(BT1507=1,IF(AN1507&lt;=0,0,BW1507*MAX(1,IF(H1507&gt;0,AN1507/H1507,1))),IF(R1507&gt;0,AO1507/R1507,0))/MAX(0.1,N(Parameter!$M$21)))</f>
        <v>0.0192307692307692</v>
      </c>
      <c r="AQ1507" s="57" t="n">
        <f aca="false">AN1507*G1507</f>
        <v>199.5</v>
      </c>
      <c r="AR1507" s="57" t="n">
        <f aca="false">ROUNDUP(MAX(J1507/IF(BZ1507&gt;0,BZ1507,MAX(0.1,N(Cockpit!$I$6))),CC1507)/BS1507,0)*BS1507</f>
        <v>21</v>
      </c>
      <c r="AS1507" s="58" t="n">
        <f aca="false">IF(AP1507&gt;0,J1507/AP1507,-1)</f>
        <v>0</v>
      </c>
      <c r="AT1507" s="58" t="n">
        <f aca="false">IF(AND(OR(BY1507="L1",BY1507="L23"),AP1507&gt;0),SUMIFS($AP$7:$AP$1843,$BY$7:$BY$1843,BY1507,$AS$7:$AS$1843,"&gt;"&amp;AS1507)+SUMIFS($AP$7:$AP$1843,$BY$7:$BY$1843,BY1507,$AS$7:$AS$1843,AS1507,$BQ$7:$BQ$1843,"&lt;="&amp;BQ1507),"")</f>
        <v>126.904623154623</v>
      </c>
      <c r="AU1507" s="65" t="n">
        <f aca="false">IF(AT1507="",0,MAX(0,MIN(1,(IF(BY1507="L1",Parameter!$E$5,Parameter!$E$6+Parameter!$E$7)-(AT1507-AP1507))/AP1507)))</f>
        <v>0</v>
      </c>
      <c r="AV1507" s="57" t="n">
        <f aca="false">IF(LEFT(Cockpit!$O$5,1)="A",H1507,IF(CA1507=1,CB1507,IF(LEFT(Cockpit!$O$5,1)="B",AZ1507,MAX(AZ1507,H1507))))</f>
        <v>21</v>
      </c>
      <c r="AW1507" s="57" t="n">
        <f aca="false">IF(BT1507=1,0,ROUNDUP(AV1507/BS1507,0))</f>
        <v>1</v>
      </c>
      <c r="AX1507" s="59" t="n">
        <f aca="false">IF(CH1507&gt;0,CH1507*MAX(1,AV1507/X1507),IF(BT1507=1,IF(AV1507&lt;=0,0,BW1507*MAX(1,IF(H1507&gt;0,AV1507/H1507,1))),IF(R1507&gt;0,AW1507/R1507,0))/MAX(0.1,N(Parameter!$M$21)))</f>
        <v>0.0192307692307692</v>
      </c>
      <c r="AY1507" s="57" t="n">
        <f aca="false">AV1507*G1507</f>
        <v>199.5</v>
      </c>
      <c r="AZ1507" s="57" t="n">
        <f aca="false">ROUNDUP(MAX(J1507/IF(BZ1507&gt;0,BZ1507,MAX(0.1,N(Cockpit!$O$6))),CC1507)/BS1507,0)*BS1507</f>
        <v>21</v>
      </c>
      <c r="BA1507" s="58" t="n">
        <f aca="false">IF(AX1507&gt;0,J1507/AX1507,-1)</f>
        <v>0</v>
      </c>
      <c r="BB1507" s="58" t="n">
        <f aca="false">IF(AND(OR(BY1507="L1",BY1507="L23"),AX1507&gt;0),SUMIFS($AX$7:$AX$1843,$BY$7:$BY$1843,BY1507,$BA$7:$BA$1843,"&gt;"&amp;BA1507)+SUMIFS($AX$7:$AX$1843,$BY$7:$BY$1843,BY1507,$BA$7:$BA$1843,BA1507,$BQ$7:$BQ$1843,"&lt;="&amp;BQ1507),"")</f>
        <v>117.73445998446</v>
      </c>
      <c r="BC1507" s="65" t="n">
        <f aca="false">IF(BB1507="",0,MAX(0,MIN(1,(IF(BY1507="L1",Parameter!$E$5,Parameter!$E$6+Parameter!$E$7)-(BB1507-AX1507))/AX1507)))</f>
        <v>0</v>
      </c>
      <c r="BD1507" s="55" t="str">
        <f aca="false">IF(AH1507&lt;=0,"",IF(BY1507="Aussen","Aussenlager",IF(BY1507="-","Nicht im Lift",IF(AM1507&gt;=1,"Lift",IF(AM1507&lt;=0,"Aussenlager","teilweise")))))</f>
        <v>Lift</v>
      </c>
      <c r="BE1507" s="55" t="str">
        <f aca="false">IF(AP1507&lt;=0,"",IF(BY1507="Aussen","Aussenlager",IF(BY1507="-","Nicht im Lift",IF(AU1507&gt;=1,"Lift",IF(AU1507&lt;=0,"Aussenlager","teilweise")))))</f>
        <v>Aussenlager</v>
      </c>
      <c r="BF1507" s="55" t="str">
        <f aca="false">IF(AX1507&lt;=0,"",IF(BY1507="Aussen","Aussenlager",IF(BY1507="-","Nicht im Lift",IF(BC1507&gt;=1,"Lift",IF(BC1507&lt;=0,"Aussenlager","teilweise")))))</f>
        <v>Aussenlager</v>
      </c>
      <c r="BG1507" s="55" t="str">
        <f aca="false">IF(A1507="","",IF(BP1507=1,"Neu; ","")&amp;IF(AND(BP1507=0,BK1507&lt;0),"negativer Bestand (Export "&amp;BK1507&amp;"); ","")&amp;IF(J1507&lt;=0,"Kein Verbrauch; ","")&amp;IF(CH1507&gt;0,"Lift "&amp;W1507&amp;" lt. Liftbericht (Fach "&amp;X1507&amp;" Stk); ",IF(BU1507=1,"Gebinde geschätzt ("&amp;T1507&amp;"); ",IF(BT1507=1,"Lose – Tablare geschätzt; ","")))&amp;IF(H1507&gt;AR1507,"Überbestand "&amp;ROUND(H1507-AR1507,0)&amp;" Stk / CHF "&amp;ROUND((H1507-AR1507)*G1507,0)&amp;"; ","")&amp;IF(AND(CA1507=1,CB1507&lt;CC1507),"MAX &lt; MB+LG; ","")&amp;IF(AND(CG1507&gt;0,CF1507*10&gt;CG1507),"zu hoch für Tablar; ","")&amp;IF(AND(BP1507=0,OR(CA1507=1,AA1507&lt;&gt;"",U1507&lt;&gt;"",V1507&lt;&gt;"",AB1507&lt;&gt;"")),"manuell übersteuert; ","")&amp;IF(AND(BT1507=0,R1507=0),"Gebinde unbekannt / Stellmass fehlt; ","")&amp;IF(AND(BT1507=0,N(V1507)&lt;=0,N(Q1507)&lt;=0),"Menge pro Gebinde fehlt (Ist = 1 Gebinde); ","")&amp;BO1507)</f>
        <v>Kein Verbrauch; nur im Artikelstamm (Bestand 23.06.2026); Überbestand</v>
      </c>
      <c r="BH1507" s="55"/>
      <c r="BI1507" s="55"/>
      <c r="BJ1507" s="62"/>
      <c r="BK1507" s="57" t="n">
        <v>21</v>
      </c>
      <c r="BL1507" s="57" t="n">
        <v>0</v>
      </c>
      <c r="BM1507" s="56" t="n">
        <v>0</v>
      </c>
      <c r="BN1507" s="57" t="n">
        <v>0</v>
      </c>
      <c r="BO1507" s="55" t="s">
        <v>2572</v>
      </c>
      <c r="BP1507" s="60" t="n">
        <v>0</v>
      </c>
      <c r="BQ1507" s="60" t="n">
        <v>1507</v>
      </c>
      <c r="BR1507" s="55" t="str">
        <f aca="false">IF(U1507&lt;&gt;"",UPPER(TRIM(U1507)),IF(BU1507=1,UPPER(VLOOKUP(T1507,Parameter!$I$27:$K$29,2,0)),IF(P1507="","LOSE",P1507)))</f>
        <v>S41</v>
      </c>
      <c r="BS1507" s="57" t="n">
        <f aca="false">IF(BR1507="LOSE",1,IF(N(V1507)&gt;0,V1507,IF(BU1507=1,MAX(1,N(VLOOKUP(T1507,Parameter!$I$27:$K$29,3,0)),H1507,N(N1507)),IF(N(Q1507)&gt;0,Q1507,MAX(1,H1507)))))</f>
        <v>21</v>
      </c>
      <c r="BT1507" s="60" t="n">
        <f aca="false">IF(BR1507="LOSE",1,0)</f>
        <v>0</v>
      </c>
      <c r="BU1507" s="60" t="n">
        <f aca="false">IF(AND(U1507="",OR(P1507="",P1507="LOSE"),T1507&lt;&gt;"",N(S1507)&lt;=0,ISNUMBER(MATCH(T1507,Parameter!$I$27:$I$29,0))),1,0)</f>
        <v>0</v>
      </c>
      <c r="BV1507" s="55" t="str">
        <f aca="false">IF(AND(Parameter!$B$19="Ja",E1507&lt;&gt;"",ISNUMBER(MATCH(E1507,Parameter!$I$35:$I$52,0))),VLOOKUP(E1507,Parameter!$I$35:$J$52,2,0),IFERROR(VLOOKUP(D1507,Parameter!$A$35:$C$64,2,0),"Nein"))</f>
        <v>2+3</v>
      </c>
      <c r="BW1507" s="59" t="n">
        <f aca="false">IF(BT1507=0,0,IF(N(S1507)&gt;0,S1507,IFERROR(VLOOKUP(D1507,Parameter!$A$35:$C$64,3,0)+0,0)))</f>
        <v>0</v>
      </c>
      <c r="BX1507" s="55" t="n">
        <f aca="false">IF(AA1507&lt;&gt;"",AA1507,Z1507)</f>
        <v>3</v>
      </c>
      <c r="BY1507" s="55" t="str">
        <f aca="false">IF(BX1507=1,"L1",IF(OR(BX1507=2,BX1507=3),"L23",IF(BX1507="Aussen","Aussen","-")))</f>
        <v>L23</v>
      </c>
      <c r="BZ1507" s="66" t="n">
        <f aca="false">IF(N(AB1507)&gt;0,AB1507,0)</f>
        <v>0</v>
      </c>
      <c r="CA1507" s="60" t="n">
        <f aca="false">IF(ISNUMBER(AE1507),1,0)</f>
        <v>0</v>
      </c>
      <c r="CB1507" s="57" t="n">
        <f aca="false">N(AE1507)</f>
        <v>0</v>
      </c>
      <c r="CC1507" s="57" t="n">
        <f aca="false">N(M1507)+N(N1507)</f>
        <v>20</v>
      </c>
      <c r="CD1507" s="57" t="n">
        <f aca="false">ROUNDUP(H1507/BS1507,0)</f>
        <v>1</v>
      </c>
      <c r="CE1507" s="57" t="n">
        <f aca="false">ROUNDUP(CB1507/BS1507,0)</f>
        <v>0</v>
      </c>
      <c r="CF1507" s="60" t="n">
        <f aca="false">IF(BT1507=1,0,IFERROR(VLOOKUP(BR1507,'Gebinde-Kategorie'!$A$5:$M$45,5,0)+0,0))</f>
        <v>11</v>
      </c>
      <c r="CG1507" s="60" t="n">
        <f aca="false">IFERROR(IF(OR(BX1507=1,BX1507=2,BX1507=3),N(INDEX(Parameter!$I$5:$I$7,BX1507)),0),0)</f>
        <v>0</v>
      </c>
      <c r="CH1507" s="59" t="n">
        <f aca="false">IF(AND(Parameter!$B$21="Ja",ISNUMBER(W1507),N(X1507)&gt;0),IFERROR(N(INDEX(Parameter!$L$5:$L$7,W1507))*INDEX(Parameter!$E$5:$E$7,W1507)*X1507/SUMIFS($X$7:$X$1843,$W$7:$W$1843,W1507),0),0)</f>
        <v>0</v>
      </c>
    </row>
    <row r="1508" customFormat="false" ht="15" hidden="false" customHeight="false" outlineLevel="0" collapsed="false">
      <c r="A1508" s="55" t="s">
        <v>2637</v>
      </c>
      <c r="B1508" s="55" t="s">
        <v>425</v>
      </c>
      <c r="C1508" s="55" t="s">
        <v>164</v>
      </c>
      <c r="D1508" s="55" t="s">
        <v>184</v>
      </c>
      <c r="E1508" s="55" t="s">
        <v>185</v>
      </c>
      <c r="F1508" s="55"/>
      <c r="G1508" s="56" t="n">
        <v>143.14</v>
      </c>
      <c r="H1508" s="57" t="n">
        <f aca="false">MAX(0,IF(AND(Parameter!$B$21="Ja",ISNUMBER(Y1508)),Y1508,IF(Parameter!$B$20="Jahresanfang 2025 + Export",BL1508+BK1508,BK1508)))</f>
        <v>13</v>
      </c>
      <c r="I1508" s="57" t="n">
        <f aca="false">H1508*G1508</f>
        <v>1860.82</v>
      </c>
      <c r="J1508" s="57" t="n">
        <f aca="false">BN1508*Parameter!$B$18</f>
        <v>0</v>
      </c>
      <c r="K1508" s="58"/>
      <c r="L1508" s="59"/>
      <c r="M1508" s="57" t="n">
        <v>0</v>
      </c>
      <c r="N1508" s="57" t="n">
        <v>20</v>
      </c>
      <c r="O1508" s="60" t="n">
        <v>28</v>
      </c>
      <c r="P1508" s="55" t="s">
        <v>421</v>
      </c>
      <c r="Q1508" s="57" t="n">
        <v>13</v>
      </c>
      <c r="R1508" s="60" t="n">
        <f aca="false">IF(BT1508=1,0,IFERROR(VLOOKUP(BR1508,'Gebinde-Kategorie'!$A$5:$M$45,13,0)+0,0))</f>
        <v>132</v>
      </c>
      <c r="S1508" s="61"/>
      <c r="T1508" s="62"/>
      <c r="U1508" s="62"/>
      <c r="V1508" s="62"/>
      <c r="W1508" s="55"/>
      <c r="X1508" s="57"/>
      <c r="Y1508" s="57"/>
      <c r="Z1508" s="55" t="n">
        <f aca="false">IF(A1508="","",IF(AND(Parameter!$B$21="Ja",ISNUMBER(W1508)),W1508,IF(BV1508="2+3",IF(ISNUMBER(SEARCH("grosser Artikel",BO1508)),2,IFERROR(VLOOKUP(BR1508,Parameter!$F$35:$G$64,2,0),2)),IF(OR(BV1508="Nein",BV1508=""),"-",BV1508))))</f>
        <v>3</v>
      </c>
      <c r="AA1508" s="62"/>
      <c r="AB1508" s="63"/>
      <c r="AC1508" s="57" t="n">
        <f aca="false">AR1508</f>
        <v>26</v>
      </c>
      <c r="AD1508" s="57" t="n">
        <f aca="false">MAX(AR1508,H1508)</f>
        <v>26</v>
      </c>
      <c r="AE1508" s="64"/>
      <c r="AF1508" s="57" t="n">
        <f aca="false">IF(LEFT(Cockpit!$C$5,1)="A",H1508,IF(CA1508=1,CB1508,IF(LEFT(Cockpit!$C$5,1)="B",AJ1508,MAX(AJ1508,H1508))))</f>
        <v>13</v>
      </c>
      <c r="AG1508" s="57" t="n">
        <f aca="false">IF(BT1508=1,0,ROUNDUP(AF1508/BS1508,0))</f>
        <v>1</v>
      </c>
      <c r="AH1508" s="59" t="n">
        <f aca="false">IF(CH1508&gt;0,CH1508*MAX(1,AF1508/X1508),IF(BT1508=1,IF(AF1508&lt;=0,0,BW1508*MAX(1,IF(H1508&gt;0,AF1508/H1508,1))),IF(R1508&gt;0,AG1508/R1508,0))/MAX(0.1,N(Parameter!$M$21)))</f>
        <v>0.00757575757575758</v>
      </c>
      <c r="AI1508" s="57" t="n">
        <f aca="false">AF1508*G1508</f>
        <v>1860.82</v>
      </c>
      <c r="AJ1508" s="57" t="n">
        <f aca="false">ROUNDUP(MAX(J1508/IF(BZ1508&gt;0,BZ1508,MAX(0.1,N(Cockpit!$C$6))),CC1508)/BS1508,0)*BS1508</f>
        <v>26</v>
      </c>
      <c r="AK1508" s="58" t="n">
        <f aca="false">IF(AH1508&gt;0,J1508/AH1508,-1)</f>
        <v>0</v>
      </c>
      <c r="AL1508" s="58" t="n">
        <f aca="false">IF(AND(OR(BY1508="L1",BY1508="L23"),AH1508&gt;0),SUMIFS($AH$7:$AH$1843,$BY$7:$BY$1843,BY1508,$AK$7:$AK$1843,"&gt;"&amp;AK1508)+SUMIFS($AH$7:$AH$1843,$BY$7:$BY$1843,BY1508,$AK$7:$AK$1843,AK1508,$BQ$7:$BQ$1843,"&lt;="&amp;BQ1508),"")</f>
        <v>81.9973396169048</v>
      </c>
      <c r="AM1508" s="65" t="n">
        <f aca="false">IF(AL1508="",0,MAX(0,MIN(1,(IF(BY1508="L1",Parameter!$E$5,Parameter!$E$6+Parameter!$E$7)-(AL1508-AH1508))/AH1508)))</f>
        <v>1</v>
      </c>
      <c r="AN1508" s="57" t="n">
        <f aca="false">IF(LEFT(Cockpit!$I$5,1)="A",H1508,IF(CA1508=1,CB1508,IF(LEFT(Cockpit!$I$5,1)="B",AR1508,MAX(AR1508,H1508))))</f>
        <v>26</v>
      </c>
      <c r="AO1508" s="57" t="n">
        <f aca="false">IF(BT1508=1,0,ROUNDUP(AN1508/BS1508,0))</f>
        <v>2</v>
      </c>
      <c r="AP1508" s="59" t="n">
        <f aca="false">IF(CH1508&gt;0,CH1508*MAX(1,AN1508/X1508),IF(BT1508=1,IF(AN1508&lt;=0,0,BW1508*MAX(1,IF(H1508&gt;0,AN1508/H1508,1))),IF(R1508&gt;0,AO1508/R1508,0))/MAX(0.1,N(Parameter!$M$21)))</f>
        <v>0.0151515151515152</v>
      </c>
      <c r="AQ1508" s="57" t="n">
        <f aca="false">AN1508*G1508</f>
        <v>3721.64</v>
      </c>
      <c r="AR1508" s="57" t="n">
        <f aca="false">ROUNDUP(MAX(J1508/IF(BZ1508&gt;0,BZ1508,MAX(0.1,N(Cockpit!$I$6))),CC1508)/BS1508,0)*BS1508</f>
        <v>26</v>
      </c>
      <c r="AS1508" s="58" t="n">
        <f aca="false">IF(AP1508&gt;0,J1508/AP1508,-1)</f>
        <v>0</v>
      </c>
      <c r="AT1508" s="58" t="n">
        <f aca="false">IF(AND(OR(BY1508="L1",BY1508="L23"),AP1508&gt;0),SUMIFS($AP$7:$AP$1843,$BY$7:$BY$1843,BY1508,$AS$7:$AS$1843,"&gt;"&amp;AS1508)+SUMIFS($AP$7:$AP$1843,$BY$7:$BY$1843,BY1508,$AS$7:$AS$1843,AS1508,$BQ$7:$BQ$1843,"&lt;="&amp;BQ1508),"")</f>
        <v>126.919774669775</v>
      </c>
      <c r="AU1508" s="65" t="n">
        <f aca="false">IF(AT1508="",0,MAX(0,MIN(1,(IF(BY1508="L1",Parameter!$E$5,Parameter!$E$6+Parameter!$E$7)-(AT1508-AP1508))/AP1508)))</f>
        <v>0</v>
      </c>
      <c r="AV1508" s="57" t="n">
        <f aca="false">IF(LEFT(Cockpit!$O$5,1)="A",H1508,IF(CA1508=1,CB1508,IF(LEFT(Cockpit!$O$5,1)="B",AZ1508,MAX(AZ1508,H1508))))</f>
        <v>26</v>
      </c>
      <c r="AW1508" s="57" t="n">
        <f aca="false">IF(BT1508=1,0,ROUNDUP(AV1508/BS1508,0))</f>
        <v>2</v>
      </c>
      <c r="AX1508" s="59" t="n">
        <f aca="false">IF(CH1508&gt;0,CH1508*MAX(1,AV1508/X1508),IF(BT1508=1,IF(AV1508&lt;=0,0,BW1508*MAX(1,IF(H1508&gt;0,AV1508/H1508,1))),IF(R1508&gt;0,AW1508/R1508,0))/MAX(0.1,N(Parameter!$M$21)))</f>
        <v>0.0151515151515152</v>
      </c>
      <c r="AY1508" s="57" t="n">
        <f aca="false">AV1508*G1508</f>
        <v>3721.64</v>
      </c>
      <c r="AZ1508" s="57" t="n">
        <f aca="false">ROUNDUP(MAX(J1508/IF(BZ1508&gt;0,BZ1508,MAX(0.1,N(Cockpit!$O$6))),CC1508)/BS1508,0)*BS1508</f>
        <v>26</v>
      </c>
      <c r="BA1508" s="58" t="n">
        <f aca="false">IF(AX1508&gt;0,J1508/AX1508,-1)</f>
        <v>0</v>
      </c>
      <c r="BB1508" s="58" t="n">
        <f aca="false">IF(AND(OR(BY1508="L1",BY1508="L23"),AX1508&gt;0),SUMIFS($AX$7:$AX$1843,$BY$7:$BY$1843,BY1508,$BA$7:$BA$1843,"&gt;"&amp;BA1508)+SUMIFS($AX$7:$AX$1843,$BY$7:$BY$1843,BY1508,$BA$7:$BA$1843,BA1508,$BQ$7:$BQ$1843,"&lt;="&amp;BQ1508),"")</f>
        <v>117.749611499611</v>
      </c>
      <c r="BC1508" s="65" t="n">
        <f aca="false">IF(BB1508="",0,MAX(0,MIN(1,(IF(BY1508="L1",Parameter!$E$5,Parameter!$E$6+Parameter!$E$7)-(BB1508-AX1508))/AX1508)))</f>
        <v>0</v>
      </c>
      <c r="BD1508" s="55" t="str">
        <f aca="false">IF(AH1508&lt;=0,"",IF(BY1508="Aussen","Aussenlager",IF(BY1508="-","Nicht im Lift",IF(AM1508&gt;=1,"Lift",IF(AM1508&lt;=0,"Aussenlager","teilweise")))))</f>
        <v>Lift</v>
      </c>
      <c r="BE1508" s="55" t="str">
        <f aca="false">IF(AP1508&lt;=0,"",IF(BY1508="Aussen","Aussenlager",IF(BY1508="-","Nicht im Lift",IF(AU1508&gt;=1,"Lift",IF(AU1508&lt;=0,"Aussenlager","teilweise")))))</f>
        <v>Aussenlager</v>
      </c>
      <c r="BF1508" s="55" t="str">
        <f aca="false">IF(AX1508&lt;=0,"",IF(BY1508="Aussen","Aussenlager",IF(BY1508="-","Nicht im Lift",IF(BC1508&gt;=1,"Lift",IF(BC1508&lt;=0,"Aussenlager","teilweise")))))</f>
        <v>Aussenlager</v>
      </c>
      <c r="BG1508" s="55" t="str">
        <f aca="false">IF(A1508="","",IF(BP1508=1,"Neu; ","")&amp;IF(AND(BP1508=0,BK1508&lt;0),"negativer Bestand (Export "&amp;BK1508&amp;"); ","")&amp;IF(J1508&lt;=0,"Kein Verbrauch; ","")&amp;IF(CH1508&gt;0,"Lift "&amp;W1508&amp;" lt. Liftbericht (Fach "&amp;X1508&amp;" Stk); ",IF(BU1508=1,"Gebinde geschätzt ("&amp;T1508&amp;"); ",IF(BT1508=1,"Lose – Tablare geschätzt; ","")))&amp;IF(H1508&gt;AR1508,"Überbestand "&amp;ROUND(H1508-AR1508,0)&amp;" Stk / CHF "&amp;ROUND((H1508-AR1508)*G1508,0)&amp;"; ","")&amp;IF(AND(CA1508=1,CB1508&lt;CC1508),"MAX &lt; MB+LG; ","")&amp;IF(AND(CG1508&gt;0,CF1508*10&gt;CG1508),"zu hoch für Tablar; ","")&amp;IF(AND(BP1508=0,OR(CA1508=1,AA1508&lt;&gt;"",U1508&lt;&gt;"",V1508&lt;&gt;"",AB1508&lt;&gt;"")),"manuell übersteuert; ","")&amp;IF(AND(BT1508=0,R1508=0),"Gebinde unbekannt / Stellmass fehlt; ","")&amp;IF(AND(BT1508=0,N(V1508)&lt;=0,N(Q1508)&lt;=0),"Menge pro Gebinde fehlt (Ist = 1 Gebinde); ","")&amp;BO1508)</f>
        <v>Kein Verbrauch; nur im Artikelstamm (Bestand 23.06.2026); Twin</v>
      </c>
      <c r="BH1508" s="55"/>
      <c r="BI1508" s="55"/>
      <c r="BJ1508" s="62"/>
      <c r="BK1508" s="57" t="n">
        <v>13</v>
      </c>
      <c r="BL1508" s="57" t="n">
        <v>0</v>
      </c>
      <c r="BM1508" s="56" t="n">
        <v>0</v>
      </c>
      <c r="BN1508" s="57" t="n">
        <v>0</v>
      </c>
      <c r="BO1508" s="55" t="s">
        <v>2638</v>
      </c>
      <c r="BP1508" s="60" t="n">
        <v>0</v>
      </c>
      <c r="BQ1508" s="60" t="n">
        <v>1508</v>
      </c>
      <c r="BR1508" s="55" t="str">
        <f aca="false">IF(U1508&lt;&gt;"",UPPER(TRIM(U1508)),IF(BU1508=1,UPPER(VLOOKUP(T1508,Parameter!$I$27:$K$29,2,0)),IF(P1508="","LOSE",P1508)))</f>
        <v>S32</v>
      </c>
      <c r="BS1508" s="57" t="n">
        <f aca="false">IF(BR1508="LOSE",1,IF(N(V1508)&gt;0,V1508,IF(BU1508=1,MAX(1,N(VLOOKUP(T1508,Parameter!$I$27:$K$29,3,0)),H1508,N(N1508)),IF(N(Q1508)&gt;0,Q1508,MAX(1,H1508)))))</f>
        <v>13</v>
      </c>
      <c r="BT1508" s="60" t="n">
        <f aca="false">IF(BR1508="LOSE",1,0)</f>
        <v>0</v>
      </c>
      <c r="BU1508" s="60" t="n">
        <f aca="false">IF(AND(U1508="",OR(P1508="",P1508="LOSE"),T1508&lt;&gt;"",N(S1508)&lt;=0,ISNUMBER(MATCH(T1508,Parameter!$I$27:$I$29,0))),1,0)</f>
        <v>0</v>
      </c>
      <c r="BV1508" s="55" t="str">
        <f aca="false">IF(AND(Parameter!$B$19="Ja",E1508&lt;&gt;"",ISNUMBER(MATCH(E1508,Parameter!$I$35:$I$52,0))),VLOOKUP(E1508,Parameter!$I$35:$J$52,2,0),IFERROR(VLOOKUP(D1508,Parameter!$A$35:$C$64,2,0),"Nein"))</f>
        <v>2+3</v>
      </c>
      <c r="BW1508" s="59" t="n">
        <f aca="false">IF(BT1508=0,0,IF(N(S1508)&gt;0,S1508,IFERROR(VLOOKUP(D1508,Parameter!$A$35:$C$64,3,0)+0,0)))</f>
        <v>0</v>
      </c>
      <c r="BX1508" s="55" t="n">
        <f aca="false">IF(AA1508&lt;&gt;"",AA1508,Z1508)</f>
        <v>3</v>
      </c>
      <c r="BY1508" s="55" t="str">
        <f aca="false">IF(BX1508=1,"L1",IF(OR(BX1508=2,BX1508=3),"L23",IF(BX1508="Aussen","Aussen","-")))</f>
        <v>L23</v>
      </c>
      <c r="BZ1508" s="66" t="n">
        <f aca="false">IF(N(AB1508)&gt;0,AB1508,0)</f>
        <v>0</v>
      </c>
      <c r="CA1508" s="60" t="n">
        <f aca="false">IF(ISNUMBER(AE1508),1,0)</f>
        <v>0</v>
      </c>
      <c r="CB1508" s="57" t="n">
        <f aca="false">N(AE1508)</f>
        <v>0</v>
      </c>
      <c r="CC1508" s="57" t="n">
        <f aca="false">N(M1508)+N(N1508)</f>
        <v>20</v>
      </c>
      <c r="CD1508" s="57" t="n">
        <f aca="false">ROUNDUP(H1508/BS1508,0)</f>
        <v>1</v>
      </c>
      <c r="CE1508" s="57" t="n">
        <f aca="false">ROUNDUP(CB1508/BS1508,0)</f>
        <v>0</v>
      </c>
      <c r="CF1508" s="60" t="n">
        <f aca="false">IF(BT1508=1,0,IFERROR(VLOOKUP(BR1508,'Gebinde-Kategorie'!$A$5:$M$45,5,0)+0,0))</f>
        <v>8</v>
      </c>
      <c r="CG1508" s="60" t="n">
        <f aca="false">IFERROR(IF(OR(BX1508=1,BX1508=2,BX1508=3),N(INDEX(Parameter!$I$5:$I$7,BX1508)),0),0)</f>
        <v>0</v>
      </c>
      <c r="CH1508" s="59" t="n">
        <f aca="false">IF(AND(Parameter!$B$21="Ja",ISNUMBER(W1508),N(X1508)&gt;0),IFERROR(N(INDEX(Parameter!$L$5:$L$7,W1508))*INDEX(Parameter!$E$5:$E$7,W1508)*X1508/SUMIFS($X$7:$X$1843,$W$7:$W$1843,W1508),0),0)</f>
        <v>0</v>
      </c>
    </row>
    <row r="1509" customFormat="false" ht="15" hidden="false" customHeight="false" outlineLevel="0" collapsed="false">
      <c r="A1509" s="55" t="s">
        <v>2639</v>
      </c>
      <c r="B1509" s="55" t="s">
        <v>2640</v>
      </c>
      <c r="C1509" s="55" t="s">
        <v>164</v>
      </c>
      <c r="D1509" s="55" t="s">
        <v>184</v>
      </c>
      <c r="E1509" s="55" t="s">
        <v>185</v>
      </c>
      <c r="F1509" s="55"/>
      <c r="G1509" s="56" t="n">
        <v>91</v>
      </c>
      <c r="H1509" s="57" t="n">
        <f aca="false">MAX(0,IF(AND(Parameter!$B$21="Ja",ISNUMBER(Y1509)),Y1509,IF(Parameter!$B$20="Jahresanfang 2025 + Export",BL1509+BK1509,BK1509)))</f>
        <v>15</v>
      </c>
      <c r="I1509" s="57" t="n">
        <f aca="false">H1509*G1509</f>
        <v>1365</v>
      </c>
      <c r="J1509" s="57" t="n">
        <f aca="false">BN1509*Parameter!$B$18</f>
        <v>0</v>
      </c>
      <c r="K1509" s="58"/>
      <c r="L1509" s="59"/>
      <c r="M1509" s="57" t="n">
        <v>0</v>
      </c>
      <c r="N1509" s="57" t="n">
        <v>10</v>
      </c>
      <c r="O1509" s="60" t="n">
        <v>28</v>
      </c>
      <c r="P1509" s="55" t="s">
        <v>302</v>
      </c>
      <c r="Q1509" s="57" t="n">
        <v>15</v>
      </c>
      <c r="R1509" s="60" t="n">
        <f aca="false">IF(BT1509=1,0,IFERROR(VLOOKUP(BR1509,'Gebinde-Kategorie'!$A$5:$M$45,13,0)+0,0))</f>
        <v>26</v>
      </c>
      <c r="S1509" s="61"/>
      <c r="T1509" s="62"/>
      <c r="U1509" s="62"/>
      <c r="V1509" s="62"/>
      <c r="W1509" s="55"/>
      <c r="X1509" s="57"/>
      <c r="Y1509" s="57"/>
      <c r="Z1509" s="55" t="n">
        <f aca="false">IF(A1509="","",IF(AND(Parameter!$B$21="Ja",ISNUMBER(W1509)),W1509,IF(BV1509="2+3",IF(ISNUMBER(SEARCH("grosser Artikel",BO1509)),2,IFERROR(VLOOKUP(BR1509,Parameter!$F$35:$G$64,2,0),2)),IF(OR(BV1509="Nein",BV1509=""),"-",BV1509))))</f>
        <v>3</v>
      </c>
      <c r="AA1509" s="62"/>
      <c r="AB1509" s="63"/>
      <c r="AC1509" s="57" t="n">
        <f aca="false">AR1509</f>
        <v>15</v>
      </c>
      <c r="AD1509" s="57" t="n">
        <f aca="false">MAX(AR1509,H1509)</f>
        <v>15</v>
      </c>
      <c r="AE1509" s="64"/>
      <c r="AF1509" s="57" t="n">
        <f aca="false">IF(LEFT(Cockpit!$C$5,1)="A",H1509,IF(CA1509=1,CB1509,IF(LEFT(Cockpit!$C$5,1)="B",AJ1509,MAX(AJ1509,H1509))))</f>
        <v>15</v>
      </c>
      <c r="AG1509" s="57" t="n">
        <f aca="false">IF(BT1509=1,0,ROUNDUP(AF1509/BS1509,0))</f>
        <v>1</v>
      </c>
      <c r="AH1509" s="59" t="n">
        <f aca="false">IF(CH1509&gt;0,CH1509*MAX(1,AF1509/X1509),IF(BT1509=1,IF(AF1509&lt;=0,0,BW1509*MAX(1,IF(H1509&gt;0,AF1509/H1509,1))),IF(R1509&gt;0,AG1509/R1509,0))/MAX(0.1,N(Parameter!$M$21)))</f>
        <v>0.0384615384615385</v>
      </c>
      <c r="AI1509" s="57" t="n">
        <f aca="false">AF1509*G1509</f>
        <v>1365</v>
      </c>
      <c r="AJ1509" s="57" t="n">
        <f aca="false">ROUNDUP(MAX(J1509/IF(BZ1509&gt;0,BZ1509,MAX(0.1,N(Cockpit!$C$6))),CC1509)/BS1509,0)*BS1509</f>
        <v>15</v>
      </c>
      <c r="AK1509" s="58" t="n">
        <f aca="false">IF(AH1509&gt;0,J1509/AH1509,-1)</f>
        <v>0</v>
      </c>
      <c r="AL1509" s="58" t="n">
        <f aca="false">IF(AND(OR(BY1509="L1",BY1509="L23"),AH1509&gt;0),SUMIFS($AH$7:$AH$1843,$BY$7:$BY$1843,BY1509,$AK$7:$AK$1843,"&gt;"&amp;AK1509)+SUMIFS($AH$7:$AH$1843,$BY$7:$BY$1843,BY1509,$AK$7:$AK$1843,AK1509,$BQ$7:$BQ$1843,"&lt;="&amp;BQ1509),"")</f>
        <v>82.0358011553664</v>
      </c>
      <c r="AM1509" s="65" t="n">
        <f aca="false">IF(AL1509="",0,MAX(0,MIN(1,(IF(BY1509="L1",Parameter!$E$5,Parameter!$E$6+Parameter!$E$7)-(AL1509-AH1509))/AH1509)))</f>
        <v>1</v>
      </c>
      <c r="AN1509" s="57" t="n">
        <f aca="false">IF(LEFT(Cockpit!$I$5,1)="A",H1509,IF(CA1509=1,CB1509,IF(LEFT(Cockpit!$I$5,1)="B",AR1509,MAX(AR1509,H1509))))</f>
        <v>15</v>
      </c>
      <c r="AO1509" s="57" t="n">
        <f aca="false">IF(BT1509=1,0,ROUNDUP(AN1509/BS1509,0))</f>
        <v>1</v>
      </c>
      <c r="AP1509" s="59" t="n">
        <f aca="false">IF(CH1509&gt;0,CH1509*MAX(1,AN1509/X1509),IF(BT1509=1,IF(AN1509&lt;=0,0,BW1509*MAX(1,IF(H1509&gt;0,AN1509/H1509,1))),IF(R1509&gt;0,AO1509/R1509,0))/MAX(0.1,N(Parameter!$M$21)))</f>
        <v>0.0384615384615385</v>
      </c>
      <c r="AQ1509" s="57" t="n">
        <f aca="false">AN1509*G1509</f>
        <v>1365</v>
      </c>
      <c r="AR1509" s="57" t="n">
        <f aca="false">ROUNDUP(MAX(J1509/IF(BZ1509&gt;0,BZ1509,MAX(0.1,N(Cockpit!$I$6))),CC1509)/BS1509,0)*BS1509</f>
        <v>15</v>
      </c>
      <c r="AS1509" s="58" t="n">
        <f aca="false">IF(AP1509&gt;0,J1509/AP1509,-1)</f>
        <v>0</v>
      </c>
      <c r="AT1509" s="58" t="n">
        <f aca="false">IF(AND(OR(BY1509="L1",BY1509="L23"),AP1509&gt;0),SUMIFS($AP$7:$AP$1843,$BY$7:$BY$1843,BY1509,$AS$7:$AS$1843,"&gt;"&amp;AS1509)+SUMIFS($AP$7:$AP$1843,$BY$7:$BY$1843,BY1509,$AS$7:$AS$1843,AS1509,$BQ$7:$BQ$1843,"&lt;="&amp;BQ1509),"")</f>
        <v>126.958236208236</v>
      </c>
      <c r="AU1509" s="65" t="n">
        <f aca="false">IF(AT1509="",0,MAX(0,MIN(1,(IF(BY1509="L1",Parameter!$E$5,Parameter!$E$6+Parameter!$E$7)-(AT1509-AP1509))/AP1509)))</f>
        <v>0</v>
      </c>
      <c r="AV1509" s="57" t="n">
        <f aca="false">IF(LEFT(Cockpit!$O$5,1)="A",H1509,IF(CA1509=1,CB1509,IF(LEFT(Cockpit!$O$5,1)="B",AZ1509,MAX(AZ1509,H1509))))</f>
        <v>15</v>
      </c>
      <c r="AW1509" s="57" t="n">
        <f aca="false">IF(BT1509=1,0,ROUNDUP(AV1509/BS1509,0))</f>
        <v>1</v>
      </c>
      <c r="AX1509" s="59" t="n">
        <f aca="false">IF(CH1509&gt;0,CH1509*MAX(1,AV1509/X1509),IF(BT1509=1,IF(AV1509&lt;=0,0,BW1509*MAX(1,IF(H1509&gt;0,AV1509/H1509,1))),IF(R1509&gt;0,AW1509/R1509,0))/MAX(0.1,N(Parameter!$M$21)))</f>
        <v>0.0384615384615385</v>
      </c>
      <c r="AY1509" s="57" t="n">
        <f aca="false">AV1509*G1509</f>
        <v>1365</v>
      </c>
      <c r="AZ1509" s="57" t="n">
        <f aca="false">ROUNDUP(MAX(J1509/IF(BZ1509&gt;0,BZ1509,MAX(0.1,N(Cockpit!$O$6))),CC1509)/BS1509,0)*BS1509</f>
        <v>15</v>
      </c>
      <c r="BA1509" s="58" t="n">
        <f aca="false">IF(AX1509&gt;0,J1509/AX1509,-1)</f>
        <v>0</v>
      </c>
      <c r="BB1509" s="58" t="n">
        <f aca="false">IF(AND(OR(BY1509="L1",BY1509="L23"),AX1509&gt;0),SUMIFS($AX$7:$AX$1843,$BY$7:$BY$1843,BY1509,$BA$7:$BA$1843,"&gt;"&amp;BA1509)+SUMIFS($AX$7:$AX$1843,$BY$7:$BY$1843,BY1509,$BA$7:$BA$1843,BA1509,$BQ$7:$BQ$1843,"&lt;="&amp;BQ1509),"")</f>
        <v>117.788073038073</v>
      </c>
      <c r="BC1509" s="65" t="n">
        <f aca="false">IF(BB1509="",0,MAX(0,MIN(1,(IF(BY1509="L1",Parameter!$E$5,Parameter!$E$6+Parameter!$E$7)-(BB1509-AX1509))/AX1509)))</f>
        <v>0</v>
      </c>
      <c r="BD1509" s="55" t="str">
        <f aca="false">IF(AH1509&lt;=0,"",IF(BY1509="Aussen","Aussenlager",IF(BY1509="-","Nicht im Lift",IF(AM1509&gt;=1,"Lift",IF(AM1509&lt;=0,"Aussenlager","teilweise")))))</f>
        <v>Lift</v>
      </c>
      <c r="BE1509" s="55" t="str">
        <f aca="false">IF(AP1509&lt;=0,"",IF(BY1509="Aussen","Aussenlager",IF(BY1509="-","Nicht im Lift",IF(AU1509&gt;=1,"Lift",IF(AU1509&lt;=0,"Aussenlager","teilweise")))))</f>
        <v>Aussenlager</v>
      </c>
      <c r="BF1509" s="55" t="str">
        <f aca="false">IF(AX1509&lt;=0,"",IF(BY1509="Aussen","Aussenlager",IF(BY1509="-","Nicht im Lift",IF(BC1509&gt;=1,"Lift",IF(BC1509&lt;=0,"Aussenlager","teilweise")))))</f>
        <v>Aussenlager</v>
      </c>
      <c r="BG1509" s="55" t="str">
        <f aca="false">IF(A1509="","",IF(BP1509=1,"Neu; ","")&amp;IF(AND(BP1509=0,BK1509&lt;0),"negativer Bestand (Export "&amp;BK1509&amp;"); ","")&amp;IF(J1509&lt;=0,"Kein Verbrauch; ","")&amp;IF(CH1509&gt;0,"Lift "&amp;W1509&amp;" lt. Liftbericht (Fach "&amp;X1509&amp;" Stk); ",IF(BU1509=1,"Gebinde geschätzt ("&amp;T1509&amp;"); ",IF(BT1509=1,"Lose – Tablare geschätzt; ","")))&amp;IF(H1509&gt;AR1509,"Überbestand "&amp;ROUND(H1509-AR1509,0)&amp;" Stk / CHF "&amp;ROUND((H1509-AR1509)*G1509,0)&amp;"; ","")&amp;IF(AND(CA1509=1,CB1509&lt;CC1509),"MAX &lt; MB+LG; ","")&amp;IF(AND(CG1509&gt;0,CF1509*10&gt;CG1509),"zu hoch für Tablar; ","")&amp;IF(AND(BP1509=0,OR(CA1509=1,AA1509&lt;&gt;"",U1509&lt;&gt;"",V1509&lt;&gt;"",AB1509&lt;&gt;"")),"manuell übersteuert; ","")&amp;IF(AND(BT1509=0,R1509=0),"Gebinde unbekannt / Stellmass fehlt; ","")&amp;IF(AND(BT1509=0,N(V1509)&lt;=0,N(Q1509)&lt;=0),"Menge pro Gebinde fehlt (Ist = 1 Gebinde); ","")&amp;BO1509)</f>
        <v>Kein Verbrauch; nur im Artikelstamm (Bestand 23.06.2026); Überbestand</v>
      </c>
      <c r="BH1509" s="55"/>
      <c r="BI1509" s="55"/>
      <c r="BJ1509" s="62"/>
      <c r="BK1509" s="57" t="n">
        <v>15</v>
      </c>
      <c r="BL1509" s="57" t="n">
        <v>0</v>
      </c>
      <c r="BM1509" s="56" t="n">
        <v>0</v>
      </c>
      <c r="BN1509" s="57" t="n">
        <v>0</v>
      </c>
      <c r="BO1509" s="55" t="s">
        <v>2572</v>
      </c>
      <c r="BP1509" s="60" t="n">
        <v>0</v>
      </c>
      <c r="BQ1509" s="60" t="n">
        <v>1509</v>
      </c>
      <c r="BR1509" s="55" t="str">
        <f aca="false">IF(U1509&lt;&gt;"",UPPER(TRIM(U1509)),IF(BU1509=1,UPPER(VLOOKUP(T1509,Parameter!$I$27:$K$29,2,0)),IF(P1509="","LOSE",P1509)))</f>
        <v>S51</v>
      </c>
      <c r="BS1509" s="57" t="n">
        <f aca="false">IF(BR1509="LOSE",1,IF(N(V1509)&gt;0,V1509,IF(BU1509=1,MAX(1,N(VLOOKUP(T1509,Parameter!$I$27:$K$29,3,0)),H1509,N(N1509)),IF(N(Q1509)&gt;0,Q1509,MAX(1,H1509)))))</f>
        <v>15</v>
      </c>
      <c r="BT1509" s="60" t="n">
        <f aca="false">IF(BR1509="LOSE",1,0)</f>
        <v>0</v>
      </c>
      <c r="BU1509" s="60" t="n">
        <f aca="false">IF(AND(U1509="",OR(P1509="",P1509="LOSE"),T1509&lt;&gt;"",N(S1509)&lt;=0,ISNUMBER(MATCH(T1509,Parameter!$I$27:$I$29,0))),1,0)</f>
        <v>0</v>
      </c>
      <c r="BV1509" s="55" t="str">
        <f aca="false">IF(AND(Parameter!$B$19="Ja",E1509&lt;&gt;"",ISNUMBER(MATCH(E1509,Parameter!$I$35:$I$52,0))),VLOOKUP(E1509,Parameter!$I$35:$J$52,2,0),IFERROR(VLOOKUP(D1509,Parameter!$A$35:$C$64,2,0),"Nein"))</f>
        <v>2+3</v>
      </c>
      <c r="BW1509" s="59" t="n">
        <f aca="false">IF(BT1509=0,0,IF(N(S1509)&gt;0,S1509,IFERROR(VLOOKUP(D1509,Parameter!$A$35:$C$64,3,0)+0,0)))</f>
        <v>0</v>
      </c>
      <c r="BX1509" s="55" t="n">
        <f aca="false">IF(AA1509&lt;&gt;"",AA1509,Z1509)</f>
        <v>3</v>
      </c>
      <c r="BY1509" s="55" t="str">
        <f aca="false">IF(BX1509=1,"L1",IF(OR(BX1509=2,BX1509=3),"L23",IF(BX1509="Aussen","Aussen","-")))</f>
        <v>L23</v>
      </c>
      <c r="BZ1509" s="66" t="n">
        <f aca="false">IF(N(AB1509)&gt;0,AB1509,0)</f>
        <v>0</v>
      </c>
      <c r="CA1509" s="60" t="n">
        <f aca="false">IF(ISNUMBER(AE1509),1,0)</f>
        <v>0</v>
      </c>
      <c r="CB1509" s="57" t="n">
        <f aca="false">N(AE1509)</f>
        <v>0</v>
      </c>
      <c r="CC1509" s="57" t="n">
        <f aca="false">N(M1509)+N(N1509)</f>
        <v>10</v>
      </c>
      <c r="CD1509" s="57" t="n">
        <f aca="false">ROUNDUP(H1509/BS1509,0)</f>
        <v>1</v>
      </c>
      <c r="CE1509" s="57" t="n">
        <f aca="false">ROUNDUP(CB1509/BS1509,0)</f>
        <v>0</v>
      </c>
      <c r="CF1509" s="60" t="n">
        <f aca="false">IF(BT1509=1,0,IFERROR(VLOOKUP(BR1509,'Gebinde-Kategorie'!$A$5:$M$45,5,0)+0,0))</f>
        <v>11</v>
      </c>
      <c r="CG1509" s="60" t="n">
        <f aca="false">IFERROR(IF(OR(BX1509=1,BX1509=2,BX1509=3),N(INDEX(Parameter!$I$5:$I$7,BX1509)),0),0)</f>
        <v>0</v>
      </c>
      <c r="CH1509" s="59" t="n">
        <f aca="false">IF(AND(Parameter!$B$21="Ja",ISNUMBER(W1509),N(X1509)&gt;0),IFERROR(N(INDEX(Parameter!$L$5:$L$7,W1509))*INDEX(Parameter!$E$5:$E$7,W1509)*X1509/SUMIFS($X$7:$X$1843,$W$7:$W$1843,W1509),0),0)</f>
        <v>0</v>
      </c>
    </row>
    <row r="1510" customFormat="false" ht="15" hidden="false" customHeight="false" outlineLevel="0" collapsed="false">
      <c r="A1510" s="55" t="s">
        <v>2641</v>
      </c>
      <c r="B1510" s="55" t="s">
        <v>947</v>
      </c>
      <c r="C1510" s="55" t="s">
        <v>164</v>
      </c>
      <c r="D1510" s="55" t="s">
        <v>184</v>
      </c>
      <c r="E1510" s="55" t="s">
        <v>185</v>
      </c>
      <c r="F1510" s="55"/>
      <c r="G1510" s="56" t="n">
        <v>21.15</v>
      </c>
      <c r="H1510" s="57" t="n">
        <f aca="false">MAX(0,IF(AND(Parameter!$B$21="Ja",ISNUMBER(Y1510)),Y1510,IF(Parameter!$B$20="Jahresanfang 2025 + Export",BL1510+BK1510,BK1510)))</f>
        <v>99</v>
      </c>
      <c r="I1510" s="57" t="n">
        <f aca="false">H1510*G1510</f>
        <v>2093.85</v>
      </c>
      <c r="J1510" s="57" t="n">
        <f aca="false">BN1510*Parameter!$B$18</f>
        <v>0</v>
      </c>
      <c r="K1510" s="58"/>
      <c r="L1510" s="59"/>
      <c r="M1510" s="57" t="n">
        <v>0</v>
      </c>
      <c r="N1510" s="57" t="n">
        <v>40</v>
      </c>
      <c r="O1510" s="60" t="n">
        <v>28</v>
      </c>
      <c r="P1510" s="55" t="s">
        <v>421</v>
      </c>
      <c r="Q1510" s="57" t="n">
        <v>99</v>
      </c>
      <c r="R1510" s="60" t="n">
        <f aca="false">IF(BT1510=1,0,IFERROR(VLOOKUP(BR1510,'Gebinde-Kategorie'!$A$5:$M$45,13,0)+0,0))</f>
        <v>132</v>
      </c>
      <c r="S1510" s="61"/>
      <c r="T1510" s="62"/>
      <c r="U1510" s="62"/>
      <c r="V1510" s="62"/>
      <c r="W1510" s="55"/>
      <c r="X1510" s="57"/>
      <c r="Y1510" s="57"/>
      <c r="Z1510" s="55" t="n">
        <f aca="false">IF(A1510="","",IF(AND(Parameter!$B$21="Ja",ISNUMBER(W1510)),W1510,IF(BV1510="2+3",IF(ISNUMBER(SEARCH("grosser Artikel",BO1510)),2,IFERROR(VLOOKUP(BR1510,Parameter!$F$35:$G$64,2,0),2)),IF(OR(BV1510="Nein",BV1510=""),"-",BV1510))))</f>
        <v>3</v>
      </c>
      <c r="AA1510" s="62"/>
      <c r="AB1510" s="63"/>
      <c r="AC1510" s="57" t="n">
        <f aca="false">AR1510</f>
        <v>99</v>
      </c>
      <c r="AD1510" s="57" t="n">
        <f aca="false">MAX(AR1510,H1510)</f>
        <v>99</v>
      </c>
      <c r="AE1510" s="64"/>
      <c r="AF1510" s="57" t="n">
        <f aca="false">IF(LEFT(Cockpit!$C$5,1)="A",H1510,IF(CA1510=1,CB1510,IF(LEFT(Cockpit!$C$5,1)="B",AJ1510,MAX(AJ1510,H1510))))</f>
        <v>99</v>
      </c>
      <c r="AG1510" s="57" t="n">
        <f aca="false">IF(BT1510=1,0,ROUNDUP(AF1510/BS1510,0))</f>
        <v>1</v>
      </c>
      <c r="AH1510" s="59" t="n">
        <f aca="false">IF(CH1510&gt;0,CH1510*MAX(1,AF1510/X1510),IF(BT1510=1,IF(AF1510&lt;=0,0,BW1510*MAX(1,IF(H1510&gt;0,AF1510/H1510,1))),IF(R1510&gt;0,AG1510/R1510,0))/MAX(0.1,N(Parameter!$M$21)))</f>
        <v>0.00757575757575758</v>
      </c>
      <c r="AI1510" s="57" t="n">
        <f aca="false">AF1510*G1510</f>
        <v>2093.85</v>
      </c>
      <c r="AJ1510" s="57" t="n">
        <f aca="false">ROUNDUP(MAX(J1510/IF(BZ1510&gt;0,BZ1510,MAX(0.1,N(Cockpit!$C$6))),CC1510)/BS1510,0)*BS1510</f>
        <v>99</v>
      </c>
      <c r="AK1510" s="58" t="n">
        <f aca="false">IF(AH1510&gt;0,J1510/AH1510,-1)</f>
        <v>0</v>
      </c>
      <c r="AL1510" s="58" t="n">
        <f aca="false">IF(AND(OR(BY1510="L1",BY1510="L23"),AH1510&gt;0),SUMIFS($AH$7:$AH$1843,$BY$7:$BY$1843,BY1510,$AK$7:$AK$1843,"&gt;"&amp;AK1510)+SUMIFS($AH$7:$AH$1843,$BY$7:$BY$1843,BY1510,$AK$7:$AK$1843,AK1510,$BQ$7:$BQ$1843,"&lt;="&amp;BQ1510),"")</f>
        <v>82.0433769129421</v>
      </c>
      <c r="AM1510" s="65" t="n">
        <f aca="false">IF(AL1510="",0,MAX(0,MIN(1,(IF(BY1510="L1",Parameter!$E$5,Parameter!$E$6+Parameter!$E$7)-(AL1510-AH1510))/AH1510)))</f>
        <v>1</v>
      </c>
      <c r="AN1510" s="57" t="n">
        <f aca="false">IF(LEFT(Cockpit!$I$5,1)="A",H1510,IF(CA1510=1,CB1510,IF(LEFT(Cockpit!$I$5,1)="B",AR1510,MAX(AR1510,H1510))))</f>
        <v>99</v>
      </c>
      <c r="AO1510" s="57" t="n">
        <f aca="false">IF(BT1510=1,0,ROUNDUP(AN1510/BS1510,0))</f>
        <v>1</v>
      </c>
      <c r="AP1510" s="59" t="n">
        <f aca="false">IF(CH1510&gt;0,CH1510*MAX(1,AN1510/X1510),IF(BT1510=1,IF(AN1510&lt;=0,0,BW1510*MAX(1,IF(H1510&gt;0,AN1510/H1510,1))),IF(R1510&gt;0,AO1510/R1510,0))/MAX(0.1,N(Parameter!$M$21)))</f>
        <v>0.00757575757575758</v>
      </c>
      <c r="AQ1510" s="57" t="n">
        <f aca="false">AN1510*G1510</f>
        <v>2093.85</v>
      </c>
      <c r="AR1510" s="57" t="n">
        <f aca="false">ROUNDUP(MAX(J1510/IF(BZ1510&gt;0,BZ1510,MAX(0.1,N(Cockpit!$I$6))),CC1510)/BS1510,0)*BS1510</f>
        <v>99</v>
      </c>
      <c r="AS1510" s="58" t="n">
        <f aca="false">IF(AP1510&gt;0,J1510/AP1510,-1)</f>
        <v>0</v>
      </c>
      <c r="AT1510" s="58" t="n">
        <f aca="false">IF(AND(OR(BY1510="L1",BY1510="L23"),AP1510&gt;0),SUMIFS($AP$7:$AP$1843,$BY$7:$BY$1843,BY1510,$AS$7:$AS$1843,"&gt;"&amp;AS1510)+SUMIFS($AP$7:$AP$1843,$BY$7:$BY$1843,BY1510,$AS$7:$AS$1843,AS1510,$BQ$7:$BQ$1843,"&lt;="&amp;BQ1510),"")</f>
        <v>126.965811965812</v>
      </c>
      <c r="AU1510" s="65" t="n">
        <f aca="false">IF(AT1510="",0,MAX(0,MIN(1,(IF(BY1510="L1",Parameter!$E$5,Parameter!$E$6+Parameter!$E$7)-(AT1510-AP1510))/AP1510)))</f>
        <v>0</v>
      </c>
      <c r="AV1510" s="57" t="n">
        <f aca="false">IF(LEFT(Cockpit!$O$5,1)="A",H1510,IF(CA1510=1,CB1510,IF(LEFT(Cockpit!$O$5,1)="B",AZ1510,MAX(AZ1510,H1510))))</f>
        <v>99</v>
      </c>
      <c r="AW1510" s="57" t="n">
        <f aca="false">IF(BT1510=1,0,ROUNDUP(AV1510/BS1510,0))</f>
        <v>1</v>
      </c>
      <c r="AX1510" s="59" t="n">
        <f aca="false">IF(CH1510&gt;0,CH1510*MAX(1,AV1510/X1510),IF(BT1510=1,IF(AV1510&lt;=0,0,BW1510*MAX(1,IF(H1510&gt;0,AV1510/H1510,1))),IF(R1510&gt;0,AW1510/R1510,0))/MAX(0.1,N(Parameter!$M$21)))</f>
        <v>0.00757575757575758</v>
      </c>
      <c r="AY1510" s="57" t="n">
        <f aca="false">AV1510*G1510</f>
        <v>2093.85</v>
      </c>
      <c r="AZ1510" s="57" t="n">
        <f aca="false">ROUNDUP(MAX(J1510/IF(BZ1510&gt;0,BZ1510,MAX(0.1,N(Cockpit!$O$6))),CC1510)/BS1510,0)*BS1510</f>
        <v>99</v>
      </c>
      <c r="BA1510" s="58" t="n">
        <f aca="false">IF(AX1510&gt;0,J1510/AX1510,-1)</f>
        <v>0</v>
      </c>
      <c r="BB1510" s="58" t="n">
        <f aca="false">IF(AND(OR(BY1510="L1",BY1510="L23"),AX1510&gt;0),SUMIFS($AX$7:$AX$1843,$BY$7:$BY$1843,BY1510,$BA$7:$BA$1843,"&gt;"&amp;BA1510)+SUMIFS($AX$7:$AX$1843,$BY$7:$BY$1843,BY1510,$BA$7:$BA$1843,BA1510,$BQ$7:$BQ$1843,"&lt;="&amp;BQ1510),"")</f>
        <v>117.795648795649</v>
      </c>
      <c r="BC1510" s="65" t="n">
        <f aca="false">IF(BB1510="",0,MAX(0,MIN(1,(IF(BY1510="L1",Parameter!$E$5,Parameter!$E$6+Parameter!$E$7)-(BB1510-AX1510))/AX1510)))</f>
        <v>0</v>
      </c>
      <c r="BD1510" s="55" t="str">
        <f aca="false">IF(AH1510&lt;=0,"",IF(BY1510="Aussen","Aussenlager",IF(BY1510="-","Nicht im Lift",IF(AM1510&gt;=1,"Lift",IF(AM1510&lt;=0,"Aussenlager","teilweise")))))</f>
        <v>Lift</v>
      </c>
      <c r="BE1510" s="55" t="str">
        <f aca="false">IF(AP1510&lt;=0,"",IF(BY1510="Aussen","Aussenlager",IF(BY1510="-","Nicht im Lift",IF(AU1510&gt;=1,"Lift",IF(AU1510&lt;=0,"Aussenlager","teilweise")))))</f>
        <v>Aussenlager</v>
      </c>
      <c r="BF1510" s="55" t="str">
        <f aca="false">IF(AX1510&lt;=0,"",IF(BY1510="Aussen","Aussenlager",IF(BY1510="-","Nicht im Lift",IF(BC1510&gt;=1,"Lift",IF(BC1510&lt;=0,"Aussenlager","teilweise")))))</f>
        <v>Aussenlager</v>
      </c>
      <c r="BG1510" s="55" t="str">
        <f aca="false">IF(A1510="","",IF(BP1510=1,"Neu; ","")&amp;IF(AND(BP1510=0,BK1510&lt;0),"negativer Bestand (Export "&amp;BK1510&amp;"); ","")&amp;IF(J1510&lt;=0,"Kein Verbrauch; ","")&amp;IF(CH1510&gt;0,"Lift "&amp;W1510&amp;" lt. Liftbericht (Fach "&amp;X1510&amp;" Stk); ",IF(BU1510=1,"Gebinde geschätzt ("&amp;T1510&amp;"); ",IF(BT1510=1,"Lose – Tablare geschätzt; ","")))&amp;IF(H1510&gt;AR1510,"Überbestand "&amp;ROUND(H1510-AR1510,0)&amp;" Stk / CHF "&amp;ROUND((H1510-AR1510)*G1510,0)&amp;"; ","")&amp;IF(AND(CA1510=1,CB1510&lt;CC1510),"MAX &lt; MB+LG; ","")&amp;IF(AND(CG1510&gt;0,CF1510*10&gt;CG1510),"zu hoch für Tablar; ","")&amp;IF(AND(BP1510=0,OR(CA1510=1,AA1510&lt;&gt;"",U1510&lt;&gt;"",V1510&lt;&gt;"",AB1510&lt;&gt;"")),"manuell übersteuert; ","")&amp;IF(AND(BT1510=0,R1510=0),"Gebinde unbekannt / Stellmass fehlt; ","")&amp;IF(AND(BT1510=0,N(V1510)&lt;=0,N(Q1510)&lt;=0),"Menge pro Gebinde fehlt (Ist = 1 Gebinde); ","")&amp;BO1510)</f>
        <v>Kein Verbrauch; nur im Artikelstamm (Bestand 23.06.2026); Überbestand</v>
      </c>
      <c r="BH1510" s="55"/>
      <c r="BI1510" s="55"/>
      <c r="BJ1510" s="62"/>
      <c r="BK1510" s="57" t="n">
        <v>99</v>
      </c>
      <c r="BL1510" s="57" t="n">
        <v>0</v>
      </c>
      <c r="BM1510" s="56" t="n">
        <v>0</v>
      </c>
      <c r="BN1510" s="57" t="n">
        <v>0</v>
      </c>
      <c r="BO1510" s="55" t="s">
        <v>2572</v>
      </c>
      <c r="BP1510" s="60" t="n">
        <v>0</v>
      </c>
      <c r="BQ1510" s="60" t="n">
        <v>1510</v>
      </c>
      <c r="BR1510" s="55" t="str">
        <f aca="false">IF(U1510&lt;&gt;"",UPPER(TRIM(U1510)),IF(BU1510=1,UPPER(VLOOKUP(T1510,Parameter!$I$27:$K$29,2,0)),IF(P1510="","LOSE",P1510)))</f>
        <v>S32</v>
      </c>
      <c r="BS1510" s="57" t="n">
        <f aca="false">IF(BR1510="LOSE",1,IF(N(V1510)&gt;0,V1510,IF(BU1510=1,MAX(1,N(VLOOKUP(T1510,Parameter!$I$27:$K$29,3,0)),H1510,N(N1510)),IF(N(Q1510)&gt;0,Q1510,MAX(1,H1510)))))</f>
        <v>99</v>
      </c>
      <c r="BT1510" s="60" t="n">
        <f aca="false">IF(BR1510="LOSE",1,0)</f>
        <v>0</v>
      </c>
      <c r="BU1510" s="60" t="n">
        <f aca="false">IF(AND(U1510="",OR(P1510="",P1510="LOSE"),T1510&lt;&gt;"",N(S1510)&lt;=0,ISNUMBER(MATCH(T1510,Parameter!$I$27:$I$29,0))),1,0)</f>
        <v>0</v>
      </c>
      <c r="BV1510" s="55" t="str">
        <f aca="false">IF(AND(Parameter!$B$19="Ja",E1510&lt;&gt;"",ISNUMBER(MATCH(E1510,Parameter!$I$35:$I$52,0))),VLOOKUP(E1510,Parameter!$I$35:$J$52,2,0),IFERROR(VLOOKUP(D1510,Parameter!$A$35:$C$64,2,0),"Nein"))</f>
        <v>2+3</v>
      </c>
      <c r="BW1510" s="59" t="n">
        <f aca="false">IF(BT1510=0,0,IF(N(S1510)&gt;0,S1510,IFERROR(VLOOKUP(D1510,Parameter!$A$35:$C$64,3,0)+0,0)))</f>
        <v>0</v>
      </c>
      <c r="BX1510" s="55" t="n">
        <f aca="false">IF(AA1510&lt;&gt;"",AA1510,Z1510)</f>
        <v>3</v>
      </c>
      <c r="BY1510" s="55" t="str">
        <f aca="false">IF(BX1510=1,"L1",IF(OR(BX1510=2,BX1510=3),"L23",IF(BX1510="Aussen","Aussen","-")))</f>
        <v>L23</v>
      </c>
      <c r="BZ1510" s="66" t="n">
        <f aca="false">IF(N(AB1510)&gt;0,AB1510,0)</f>
        <v>0</v>
      </c>
      <c r="CA1510" s="60" t="n">
        <f aca="false">IF(ISNUMBER(AE1510),1,0)</f>
        <v>0</v>
      </c>
      <c r="CB1510" s="57" t="n">
        <f aca="false">N(AE1510)</f>
        <v>0</v>
      </c>
      <c r="CC1510" s="57" t="n">
        <f aca="false">N(M1510)+N(N1510)</f>
        <v>40</v>
      </c>
      <c r="CD1510" s="57" t="n">
        <f aca="false">ROUNDUP(H1510/BS1510,0)</f>
        <v>1</v>
      </c>
      <c r="CE1510" s="57" t="n">
        <f aca="false">ROUNDUP(CB1510/BS1510,0)</f>
        <v>0</v>
      </c>
      <c r="CF1510" s="60" t="n">
        <f aca="false">IF(BT1510=1,0,IFERROR(VLOOKUP(BR1510,'Gebinde-Kategorie'!$A$5:$M$45,5,0)+0,0))</f>
        <v>8</v>
      </c>
      <c r="CG1510" s="60" t="n">
        <f aca="false">IFERROR(IF(OR(BX1510=1,BX1510=2,BX1510=3),N(INDEX(Parameter!$I$5:$I$7,BX1510)),0),0)</f>
        <v>0</v>
      </c>
      <c r="CH1510" s="59" t="n">
        <f aca="false">IF(AND(Parameter!$B$21="Ja",ISNUMBER(W1510),N(X1510)&gt;0),IFERROR(N(INDEX(Parameter!$L$5:$L$7,W1510))*INDEX(Parameter!$E$5:$E$7,W1510)*X1510/SUMIFS($X$7:$X$1843,$W$7:$W$1843,W1510),0),0)</f>
        <v>0</v>
      </c>
    </row>
    <row r="1511" customFormat="false" ht="15" hidden="false" customHeight="false" outlineLevel="0" collapsed="false">
      <c r="A1511" s="55" t="s">
        <v>2642</v>
      </c>
      <c r="B1511" s="55" t="s">
        <v>2643</v>
      </c>
      <c r="C1511" s="55" t="s">
        <v>164</v>
      </c>
      <c r="D1511" s="55" t="s">
        <v>184</v>
      </c>
      <c r="E1511" s="55" t="s">
        <v>185</v>
      </c>
      <c r="F1511" s="55"/>
      <c r="G1511" s="56" t="n">
        <v>19.73</v>
      </c>
      <c r="H1511" s="57" t="n">
        <f aca="false">MAX(0,IF(AND(Parameter!$B$21="Ja",ISNUMBER(Y1511)),Y1511,IF(Parameter!$B$20="Jahresanfang 2025 + Export",BL1511+BK1511,BK1511)))</f>
        <v>27</v>
      </c>
      <c r="I1511" s="57" t="n">
        <f aca="false">H1511*G1511</f>
        <v>532.71</v>
      </c>
      <c r="J1511" s="57" t="n">
        <f aca="false">BN1511*Parameter!$B$18</f>
        <v>0</v>
      </c>
      <c r="K1511" s="58"/>
      <c r="L1511" s="59"/>
      <c r="M1511" s="57" t="n">
        <v>0</v>
      </c>
      <c r="N1511" s="57" t="n">
        <v>10</v>
      </c>
      <c r="O1511" s="60" t="n">
        <v>28</v>
      </c>
      <c r="P1511" s="55" t="s">
        <v>328</v>
      </c>
      <c r="Q1511" s="57" t="n">
        <v>27</v>
      </c>
      <c r="R1511" s="60" t="n">
        <f aca="false">IF(BT1511=1,0,IFERROR(VLOOKUP(BR1511,'Gebinde-Kategorie'!$A$5:$M$45,13,0)+0,0))</f>
        <v>52</v>
      </c>
      <c r="S1511" s="61"/>
      <c r="T1511" s="62"/>
      <c r="U1511" s="62"/>
      <c r="V1511" s="62"/>
      <c r="W1511" s="55"/>
      <c r="X1511" s="57"/>
      <c r="Y1511" s="57"/>
      <c r="Z1511" s="55" t="n">
        <f aca="false">IF(A1511="","",IF(AND(Parameter!$B$21="Ja",ISNUMBER(W1511)),W1511,IF(BV1511="2+3",IF(ISNUMBER(SEARCH("grosser Artikel",BO1511)),2,IFERROR(VLOOKUP(BR1511,Parameter!$F$35:$G$64,2,0),2)),IF(OR(BV1511="Nein",BV1511=""),"-",BV1511))))</f>
        <v>3</v>
      </c>
      <c r="AA1511" s="62"/>
      <c r="AB1511" s="63"/>
      <c r="AC1511" s="57" t="n">
        <f aca="false">AR1511</f>
        <v>27</v>
      </c>
      <c r="AD1511" s="57" t="n">
        <f aca="false">MAX(AR1511,H1511)</f>
        <v>27</v>
      </c>
      <c r="AE1511" s="64"/>
      <c r="AF1511" s="57" t="n">
        <f aca="false">IF(LEFT(Cockpit!$C$5,1)="A",H1511,IF(CA1511=1,CB1511,IF(LEFT(Cockpit!$C$5,1)="B",AJ1511,MAX(AJ1511,H1511))))</f>
        <v>27</v>
      </c>
      <c r="AG1511" s="57" t="n">
        <f aca="false">IF(BT1511=1,0,ROUNDUP(AF1511/BS1511,0))</f>
        <v>1</v>
      </c>
      <c r="AH1511" s="59" t="n">
        <f aca="false">IF(CH1511&gt;0,CH1511*MAX(1,AF1511/X1511),IF(BT1511=1,IF(AF1511&lt;=0,0,BW1511*MAX(1,IF(H1511&gt;0,AF1511/H1511,1))),IF(R1511&gt;0,AG1511/R1511,0))/MAX(0.1,N(Parameter!$M$21)))</f>
        <v>0.0192307692307692</v>
      </c>
      <c r="AI1511" s="57" t="n">
        <f aca="false">AF1511*G1511</f>
        <v>532.71</v>
      </c>
      <c r="AJ1511" s="57" t="n">
        <f aca="false">ROUNDUP(MAX(J1511/IF(BZ1511&gt;0,BZ1511,MAX(0.1,N(Cockpit!$C$6))),CC1511)/BS1511,0)*BS1511</f>
        <v>27</v>
      </c>
      <c r="AK1511" s="58" t="n">
        <f aca="false">IF(AH1511&gt;0,J1511/AH1511,-1)</f>
        <v>0</v>
      </c>
      <c r="AL1511" s="58" t="n">
        <f aca="false">IF(AND(OR(BY1511="L1",BY1511="L23"),AH1511&gt;0),SUMIFS($AH$7:$AH$1843,$BY$7:$BY$1843,BY1511,$AK$7:$AK$1843,"&gt;"&amp;AK1511)+SUMIFS($AH$7:$AH$1843,$BY$7:$BY$1843,BY1511,$AK$7:$AK$1843,AK1511,$BQ$7:$BQ$1843,"&lt;="&amp;BQ1511),"")</f>
        <v>82.0626076821729</v>
      </c>
      <c r="AM1511" s="65" t="n">
        <f aca="false">IF(AL1511="",0,MAX(0,MIN(1,(IF(BY1511="L1",Parameter!$E$5,Parameter!$E$6+Parameter!$E$7)-(AL1511-AH1511))/AH1511)))</f>
        <v>1</v>
      </c>
      <c r="AN1511" s="57" t="n">
        <f aca="false">IF(LEFT(Cockpit!$I$5,1)="A",H1511,IF(CA1511=1,CB1511,IF(LEFT(Cockpit!$I$5,1)="B",AR1511,MAX(AR1511,H1511))))</f>
        <v>27</v>
      </c>
      <c r="AO1511" s="57" t="n">
        <f aca="false">IF(BT1511=1,0,ROUNDUP(AN1511/BS1511,0))</f>
        <v>1</v>
      </c>
      <c r="AP1511" s="59" t="n">
        <f aca="false">IF(CH1511&gt;0,CH1511*MAX(1,AN1511/X1511),IF(BT1511=1,IF(AN1511&lt;=0,0,BW1511*MAX(1,IF(H1511&gt;0,AN1511/H1511,1))),IF(R1511&gt;0,AO1511/R1511,0))/MAX(0.1,N(Parameter!$M$21)))</f>
        <v>0.0192307692307692</v>
      </c>
      <c r="AQ1511" s="57" t="n">
        <f aca="false">AN1511*G1511</f>
        <v>532.71</v>
      </c>
      <c r="AR1511" s="57" t="n">
        <f aca="false">ROUNDUP(MAX(J1511/IF(BZ1511&gt;0,BZ1511,MAX(0.1,N(Cockpit!$I$6))),CC1511)/BS1511,0)*BS1511</f>
        <v>27</v>
      </c>
      <c r="AS1511" s="58" t="n">
        <f aca="false">IF(AP1511&gt;0,J1511/AP1511,-1)</f>
        <v>0</v>
      </c>
      <c r="AT1511" s="58" t="n">
        <f aca="false">IF(AND(OR(BY1511="L1",BY1511="L23"),AP1511&gt;0),SUMIFS($AP$7:$AP$1843,$BY$7:$BY$1843,BY1511,$AS$7:$AS$1843,"&gt;"&amp;AS1511)+SUMIFS($AP$7:$AP$1843,$BY$7:$BY$1843,BY1511,$AS$7:$AS$1843,AS1511,$BQ$7:$BQ$1843,"&lt;="&amp;BQ1511),"")</f>
        <v>126.985042735043</v>
      </c>
      <c r="AU1511" s="65" t="n">
        <f aca="false">IF(AT1511="",0,MAX(0,MIN(1,(IF(BY1511="L1",Parameter!$E$5,Parameter!$E$6+Parameter!$E$7)-(AT1511-AP1511))/AP1511)))</f>
        <v>0</v>
      </c>
      <c r="AV1511" s="57" t="n">
        <f aca="false">IF(LEFT(Cockpit!$O$5,1)="A",H1511,IF(CA1511=1,CB1511,IF(LEFT(Cockpit!$O$5,1)="B",AZ1511,MAX(AZ1511,H1511))))</f>
        <v>27</v>
      </c>
      <c r="AW1511" s="57" t="n">
        <f aca="false">IF(BT1511=1,0,ROUNDUP(AV1511/BS1511,0))</f>
        <v>1</v>
      </c>
      <c r="AX1511" s="59" t="n">
        <f aca="false">IF(CH1511&gt;0,CH1511*MAX(1,AV1511/X1511),IF(BT1511=1,IF(AV1511&lt;=0,0,BW1511*MAX(1,IF(H1511&gt;0,AV1511/H1511,1))),IF(R1511&gt;0,AW1511/R1511,0))/MAX(0.1,N(Parameter!$M$21)))</f>
        <v>0.0192307692307692</v>
      </c>
      <c r="AY1511" s="57" t="n">
        <f aca="false">AV1511*G1511</f>
        <v>532.71</v>
      </c>
      <c r="AZ1511" s="57" t="n">
        <f aca="false">ROUNDUP(MAX(J1511/IF(BZ1511&gt;0,BZ1511,MAX(0.1,N(Cockpit!$O$6))),CC1511)/BS1511,0)*BS1511</f>
        <v>27</v>
      </c>
      <c r="BA1511" s="58" t="n">
        <f aca="false">IF(AX1511&gt;0,J1511/AX1511,-1)</f>
        <v>0</v>
      </c>
      <c r="BB1511" s="58" t="n">
        <f aca="false">IF(AND(OR(BY1511="L1",BY1511="L23"),AX1511&gt;0),SUMIFS($AX$7:$AX$1843,$BY$7:$BY$1843,BY1511,$BA$7:$BA$1843,"&gt;"&amp;BA1511)+SUMIFS($AX$7:$AX$1843,$BY$7:$BY$1843,BY1511,$BA$7:$BA$1843,BA1511,$BQ$7:$BQ$1843,"&lt;="&amp;BQ1511),"")</f>
        <v>117.81487956488</v>
      </c>
      <c r="BC1511" s="65" t="n">
        <f aca="false">IF(BB1511="",0,MAX(0,MIN(1,(IF(BY1511="L1",Parameter!$E$5,Parameter!$E$6+Parameter!$E$7)-(BB1511-AX1511))/AX1511)))</f>
        <v>0</v>
      </c>
      <c r="BD1511" s="55" t="str">
        <f aca="false">IF(AH1511&lt;=0,"",IF(BY1511="Aussen","Aussenlager",IF(BY1511="-","Nicht im Lift",IF(AM1511&gt;=1,"Lift",IF(AM1511&lt;=0,"Aussenlager","teilweise")))))</f>
        <v>Lift</v>
      </c>
      <c r="BE1511" s="55" t="str">
        <f aca="false">IF(AP1511&lt;=0,"",IF(BY1511="Aussen","Aussenlager",IF(BY1511="-","Nicht im Lift",IF(AU1511&gt;=1,"Lift",IF(AU1511&lt;=0,"Aussenlager","teilweise")))))</f>
        <v>Aussenlager</v>
      </c>
      <c r="BF1511" s="55" t="str">
        <f aca="false">IF(AX1511&lt;=0,"",IF(BY1511="Aussen","Aussenlager",IF(BY1511="-","Nicht im Lift",IF(BC1511&gt;=1,"Lift",IF(BC1511&lt;=0,"Aussenlager","teilweise")))))</f>
        <v>Aussenlager</v>
      </c>
      <c r="BG1511" s="55" t="str">
        <f aca="false">IF(A1511="","",IF(BP1511=1,"Neu; ","")&amp;IF(AND(BP1511=0,BK1511&lt;0),"negativer Bestand (Export "&amp;BK1511&amp;"); ","")&amp;IF(J1511&lt;=0,"Kein Verbrauch; ","")&amp;IF(CH1511&gt;0,"Lift "&amp;W1511&amp;" lt. Liftbericht (Fach "&amp;X1511&amp;" Stk); ",IF(BU1511=1,"Gebinde geschätzt ("&amp;T1511&amp;"); ",IF(BT1511=1,"Lose – Tablare geschätzt; ","")))&amp;IF(H1511&gt;AR1511,"Überbestand "&amp;ROUND(H1511-AR1511,0)&amp;" Stk / CHF "&amp;ROUND((H1511-AR1511)*G1511,0)&amp;"; ","")&amp;IF(AND(CA1511=1,CB1511&lt;CC1511),"MAX &lt; MB+LG; ","")&amp;IF(AND(CG1511&gt;0,CF1511*10&gt;CG1511),"zu hoch für Tablar; ","")&amp;IF(AND(BP1511=0,OR(CA1511=1,AA1511&lt;&gt;"",U1511&lt;&gt;"",V1511&lt;&gt;"",AB1511&lt;&gt;"")),"manuell übersteuert; ","")&amp;IF(AND(BT1511=0,R1511=0),"Gebinde unbekannt / Stellmass fehlt; ","")&amp;IF(AND(BT1511=0,N(V1511)&lt;=0,N(Q1511)&lt;=0),"Menge pro Gebinde fehlt (Ist = 1 Gebinde); ","")&amp;BO1511)</f>
        <v>Kein Verbrauch; nur im Artikelstamm (Bestand 23.06.2026); Überbestand</v>
      </c>
      <c r="BH1511" s="55"/>
      <c r="BI1511" s="55"/>
      <c r="BJ1511" s="62"/>
      <c r="BK1511" s="57" t="n">
        <v>27</v>
      </c>
      <c r="BL1511" s="57" t="n">
        <v>0</v>
      </c>
      <c r="BM1511" s="56" t="n">
        <v>0</v>
      </c>
      <c r="BN1511" s="57" t="n">
        <v>0</v>
      </c>
      <c r="BO1511" s="55" t="s">
        <v>2572</v>
      </c>
      <c r="BP1511" s="60" t="n">
        <v>0</v>
      </c>
      <c r="BQ1511" s="60" t="n">
        <v>1511</v>
      </c>
      <c r="BR1511" s="55" t="str">
        <f aca="false">IF(U1511&lt;&gt;"",UPPER(TRIM(U1511)),IF(BU1511=1,UPPER(VLOOKUP(T1511,Parameter!$I$27:$K$29,2,0)),IF(P1511="","LOSE",P1511)))</f>
        <v>S41</v>
      </c>
      <c r="BS1511" s="57" t="n">
        <f aca="false">IF(BR1511="LOSE",1,IF(N(V1511)&gt;0,V1511,IF(BU1511=1,MAX(1,N(VLOOKUP(T1511,Parameter!$I$27:$K$29,3,0)),H1511,N(N1511)),IF(N(Q1511)&gt;0,Q1511,MAX(1,H1511)))))</f>
        <v>27</v>
      </c>
      <c r="BT1511" s="60" t="n">
        <f aca="false">IF(BR1511="LOSE",1,0)</f>
        <v>0</v>
      </c>
      <c r="BU1511" s="60" t="n">
        <f aca="false">IF(AND(U1511="",OR(P1511="",P1511="LOSE"),T1511&lt;&gt;"",N(S1511)&lt;=0,ISNUMBER(MATCH(T1511,Parameter!$I$27:$I$29,0))),1,0)</f>
        <v>0</v>
      </c>
      <c r="BV1511" s="55" t="str">
        <f aca="false">IF(AND(Parameter!$B$19="Ja",E1511&lt;&gt;"",ISNUMBER(MATCH(E1511,Parameter!$I$35:$I$52,0))),VLOOKUP(E1511,Parameter!$I$35:$J$52,2,0),IFERROR(VLOOKUP(D1511,Parameter!$A$35:$C$64,2,0),"Nein"))</f>
        <v>2+3</v>
      </c>
      <c r="BW1511" s="59" t="n">
        <f aca="false">IF(BT1511=0,0,IF(N(S1511)&gt;0,S1511,IFERROR(VLOOKUP(D1511,Parameter!$A$35:$C$64,3,0)+0,0)))</f>
        <v>0</v>
      </c>
      <c r="BX1511" s="55" t="n">
        <f aca="false">IF(AA1511&lt;&gt;"",AA1511,Z1511)</f>
        <v>3</v>
      </c>
      <c r="BY1511" s="55" t="str">
        <f aca="false">IF(BX1511=1,"L1",IF(OR(BX1511=2,BX1511=3),"L23",IF(BX1511="Aussen","Aussen","-")))</f>
        <v>L23</v>
      </c>
      <c r="BZ1511" s="66" t="n">
        <f aca="false">IF(N(AB1511)&gt;0,AB1511,0)</f>
        <v>0</v>
      </c>
      <c r="CA1511" s="60" t="n">
        <f aca="false">IF(ISNUMBER(AE1511),1,0)</f>
        <v>0</v>
      </c>
      <c r="CB1511" s="57" t="n">
        <f aca="false">N(AE1511)</f>
        <v>0</v>
      </c>
      <c r="CC1511" s="57" t="n">
        <f aca="false">N(M1511)+N(N1511)</f>
        <v>10</v>
      </c>
      <c r="CD1511" s="57" t="n">
        <f aca="false">ROUNDUP(H1511/BS1511,0)</f>
        <v>1</v>
      </c>
      <c r="CE1511" s="57" t="n">
        <f aca="false">ROUNDUP(CB1511/BS1511,0)</f>
        <v>0</v>
      </c>
      <c r="CF1511" s="60" t="n">
        <f aca="false">IF(BT1511=1,0,IFERROR(VLOOKUP(BR1511,'Gebinde-Kategorie'!$A$5:$M$45,5,0)+0,0))</f>
        <v>11</v>
      </c>
      <c r="CG1511" s="60" t="n">
        <f aca="false">IFERROR(IF(OR(BX1511=1,BX1511=2,BX1511=3),N(INDEX(Parameter!$I$5:$I$7,BX1511)),0),0)</f>
        <v>0</v>
      </c>
      <c r="CH1511" s="59" t="n">
        <f aca="false">IF(AND(Parameter!$B$21="Ja",ISNUMBER(W1511),N(X1511)&gt;0),IFERROR(N(INDEX(Parameter!$L$5:$L$7,W1511))*INDEX(Parameter!$E$5:$E$7,W1511)*X1511/SUMIFS($X$7:$X$1843,$W$7:$W$1843,W1511),0),0)</f>
        <v>0</v>
      </c>
    </row>
    <row r="1512" customFormat="false" ht="15" hidden="false" customHeight="false" outlineLevel="0" collapsed="false">
      <c r="A1512" s="55" t="s">
        <v>2644</v>
      </c>
      <c r="B1512" s="55" t="s">
        <v>2645</v>
      </c>
      <c r="C1512" s="55" t="s">
        <v>164</v>
      </c>
      <c r="D1512" s="55" t="s">
        <v>184</v>
      </c>
      <c r="E1512" s="55" t="s">
        <v>185</v>
      </c>
      <c r="F1512" s="55"/>
      <c r="G1512" s="56" t="n">
        <v>102.14</v>
      </c>
      <c r="H1512" s="57" t="n">
        <f aca="false">MAX(0,IF(AND(Parameter!$B$21="Ja",ISNUMBER(Y1512)),Y1512,IF(Parameter!$B$20="Jahresanfang 2025 + Export",BL1512+BK1512,BK1512)))</f>
        <v>11</v>
      </c>
      <c r="I1512" s="57" t="n">
        <f aca="false">H1512*G1512</f>
        <v>1123.54</v>
      </c>
      <c r="J1512" s="57" t="n">
        <f aca="false">BN1512*Parameter!$B$18</f>
        <v>0</v>
      </c>
      <c r="K1512" s="58"/>
      <c r="L1512" s="59"/>
      <c r="M1512" s="57" t="n">
        <v>0</v>
      </c>
      <c r="N1512" s="57" t="n">
        <v>10</v>
      </c>
      <c r="O1512" s="60" t="n">
        <v>49</v>
      </c>
      <c r="P1512" s="55" t="s">
        <v>293</v>
      </c>
      <c r="Q1512" s="57" t="n">
        <v>11</v>
      </c>
      <c r="R1512" s="60" t="n">
        <f aca="false">IF(BT1512=1,0,IFERROR(VLOOKUP(BR1512,'Gebinde-Kategorie'!$A$5:$M$45,13,0)+0,0))</f>
        <v>12</v>
      </c>
      <c r="S1512" s="61"/>
      <c r="T1512" s="62"/>
      <c r="U1512" s="62"/>
      <c r="V1512" s="62"/>
      <c r="W1512" s="55"/>
      <c r="X1512" s="57"/>
      <c r="Y1512" s="57"/>
      <c r="Z1512" s="55" t="n">
        <f aca="false">IF(A1512="","",IF(AND(Parameter!$B$21="Ja",ISNUMBER(W1512)),W1512,IF(BV1512="2+3",IF(ISNUMBER(SEARCH("grosser Artikel",BO1512)),2,IFERROR(VLOOKUP(BR1512,Parameter!$F$35:$G$64,2,0),2)),IF(OR(BV1512="Nein",BV1512=""),"-",BV1512))))</f>
        <v>2</v>
      </c>
      <c r="AA1512" s="62"/>
      <c r="AB1512" s="63"/>
      <c r="AC1512" s="57" t="n">
        <f aca="false">AR1512</f>
        <v>11</v>
      </c>
      <c r="AD1512" s="57" t="n">
        <f aca="false">MAX(AR1512,H1512)</f>
        <v>11</v>
      </c>
      <c r="AE1512" s="64"/>
      <c r="AF1512" s="57" t="n">
        <f aca="false">IF(LEFT(Cockpit!$C$5,1)="A",H1512,IF(CA1512=1,CB1512,IF(LEFT(Cockpit!$C$5,1)="B",AJ1512,MAX(AJ1512,H1512))))</f>
        <v>11</v>
      </c>
      <c r="AG1512" s="57" t="n">
        <f aca="false">IF(BT1512=1,0,ROUNDUP(AF1512/BS1512,0))</f>
        <v>1</v>
      </c>
      <c r="AH1512" s="59" t="n">
        <f aca="false">IF(CH1512&gt;0,CH1512*MAX(1,AF1512/X1512),IF(BT1512=1,IF(AF1512&lt;=0,0,BW1512*MAX(1,IF(H1512&gt;0,AF1512/H1512,1))),IF(R1512&gt;0,AG1512/R1512,0))/MAX(0.1,N(Parameter!$M$21)))</f>
        <v>0.0833333333333333</v>
      </c>
      <c r="AI1512" s="57" t="n">
        <f aca="false">AF1512*G1512</f>
        <v>1123.54</v>
      </c>
      <c r="AJ1512" s="57" t="n">
        <f aca="false">ROUNDUP(MAX(J1512/IF(BZ1512&gt;0,BZ1512,MAX(0.1,N(Cockpit!$C$6))),CC1512)/BS1512,0)*BS1512</f>
        <v>11</v>
      </c>
      <c r="AK1512" s="58" t="n">
        <f aca="false">IF(AH1512&gt;0,J1512/AH1512,-1)</f>
        <v>0</v>
      </c>
      <c r="AL1512" s="58" t="n">
        <f aca="false">IF(AND(OR(BY1512="L1",BY1512="L23"),AH1512&gt;0),SUMIFS($AH$7:$AH$1843,$BY$7:$BY$1843,BY1512,$AK$7:$AK$1843,"&gt;"&amp;AK1512)+SUMIFS($AH$7:$AH$1843,$BY$7:$BY$1843,BY1512,$AK$7:$AK$1843,AK1512,$BQ$7:$BQ$1843,"&lt;="&amp;BQ1512),"")</f>
        <v>82.1459410155062</v>
      </c>
      <c r="AM1512" s="65" t="n">
        <f aca="false">IF(AL1512="",0,MAX(0,MIN(1,(IF(BY1512="L1",Parameter!$E$5,Parameter!$E$6+Parameter!$E$7)-(AL1512-AH1512))/AH1512)))</f>
        <v>1</v>
      </c>
      <c r="AN1512" s="57" t="n">
        <f aca="false">IF(LEFT(Cockpit!$I$5,1)="A",H1512,IF(CA1512=1,CB1512,IF(LEFT(Cockpit!$I$5,1)="B",AR1512,MAX(AR1512,H1512))))</f>
        <v>11</v>
      </c>
      <c r="AO1512" s="57" t="n">
        <f aca="false">IF(BT1512=1,0,ROUNDUP(AN1512/BS1512,0))</f>
        <v>1</v>
      </c>
      <c r="AP1512" s="59" t="n">
        <f aca="false">IF(CH1512&gt;0,CH1512*MAX(1,AN1512/X1512),IF(BT1512=1,IF(AN1512&lt;=0,0,BW1512*MAX(1,IF(H1512&gt;0,AN1512/H1512,1))),IF(R1512&gt;0,AO1512/R1512,0))/MAX(0.1,N(Parameter!$M$21)))</f>
        <v>0.0833333333333333</v>
      </c>
      <c r="AQ1512" s="57" t="n">
        <f aca="false">AN1512*G1512</f>
        <v>1123.54</v>
      </c>
      <c r="AR1512" s="57" t="n">
        <f aca="false">ROUNDUP(MAX(J1512/IF(BZ1512&gt;0,BZ1512,MAX(0.1,N(Cockpit!$I$6))),CC1512)/BS1512,0)*BS1512</f>
        <v>11</v>
      </c>
      <c r="AS1512" s="58" t="n">
        <f aca="false">IF(AP1512&gt;0,J1512/AP1512,-1)</f>
        <v>0</v>
      </c>
      <c r="AT1512" s="58" t="n">
        <f aca="false">IF(AND(OR(BY1512="L1",BY1512="L23"),AP1512&gt;0),SUMIFS($AP$7:$AP$1843,$BY$7:$BY$1843,BY1512,$AS$7:$AS$1843,"&gt;"&amp;AS1512)+SUMIFS($AP$7:$AP$1843,$BY$7:$BY$1843,BY1512,$AS$7:$AS$1843,AS1512,$BQ$7:$BQ$1843,"&lt;="&amp;BQ1512),"")</f>
        <v>127.068376068376</v>
      </c>
      <c r="AU1512" s="65" t="n">
        <f aca="false">IF(AT1512="",0,MAX(0,MIN(1,(IF(BY1512="L1",Parameter!$E$5,Parameter!$E$6+Parameter!$E$7)-(AT1512-AP1512))/AP1512)))</f>
        <v>0</v>
      </c>
      <c r="AV1512" s="57" t="n">
        <f aca="false">IF(LEFT(Cockpit!$O$5,1)="A",H1512,IF(CA1512=1,CB1512,IF(LEFT(Cockpit!$O$5,1)="B",AZ1512,MAX(AZ1512,H1512))))</f>
        <v>11</v>
      </c>
      <c r="AW1512" s="57" t="n">
        <f aca="false">IF(BT1512=1,0,ROUNDUP(AV1512/BS1512,0))</f>
        <v>1</v>
      </c>
      <c r="AX1512" s="59" t="n">
        <f aca="false">IF(CH1512&gt;0,CH1512*MAX(1,AV1512/X1512),IF(BT1512=1,IF(AV1512&lt;=0,0,BW1512*MAX(1,IF(H1512&gt;0,AV1512/H1512,1))),IF(R1512&gt;0,AW1512/R1512,0))/MAX(0.1,N(Parameter!$M$21)))</f>
        <v>0.0833333333333333</v>
      </c>
      <c r="AY1512" s="57" t="n">
        <f aca="false">AV1512*G1512</f>
        <v>1123.54</v>
      </c>
      <c r="AZ1512" s="57" t="n">
        <f aca="false">ROUNDUP(MAX(J1512/IF(BZ1512&gt;0,BZ1512,MAX(0.1,N(Cockpit!$O$6))),CC1512)/BS1512,0)*BS1512</f>
        <v>11</v>
      </c>
      <c r="BA1512" s="58" t="n">
        <f aca="false">IF(AX1512&gt;0,J1512/AX1512,-1)</f>
        <v>0</v>
      </c>
      <c r="BB1512" s="58" t="n">
        <f aca="false">IF(AND(OR(BY1512="L1",BY1512="L23"),AX1512&gt;0),SUMIFS($AX$7:$AX$1843,$BY$7:$BY$1843,BY1512,$BA$7:$BA$1843,"&gt;"&amp;BA1512)+SUMIFS($AX$7:$AX$1843,$BY$7:$BY$1843,BY1512,$BA$7:$BA$1843,BA1512,$BQ$7:$BQ$1843,"&lt;="&amp;BQ1512),"")</f>
        <v>117.898212898213</v>
      </c>
      <c r="BC1512" s="65" t="n">
        <f aca="false">IF(BB1512="",0,MAX(0,MIN(1,(IF(BY1512="L1",Parameter!$E$5,Parameter!$E$6+Parameter!$E$7)-(BB1512-AX1512))/AX1512)))</f>
        <v>0</v>
      </c>
      <c r="BD1512" s="55" t="str">
        <f aca="false">IF(AH1512&lt;=0,"",IF(BY1512="Aussen","Aussenlager",IF(BY1512="-","Nicht im Lift",IF(AM1512&gt;=1,"Lift",IF(AM1512&lt;=0,"Aussenlager","teilweise")))))</f>
        <v>Lift</v>
      </c>
      <c r="BE1512" s="55" t="str">
        <f aca="false">IF(AP1512&lt;=0,"",IF(BY1512="Aussen","Aussenlager",IF(BY1512="-","Nicht im Lift",IF(AU1512&gt;=1,"Lift",IF(AU1512&lt;=0,"Aussenlager","teilweise")))))</f>
        <v>Aussenlager</v>
      </c>
      <c r="BF1512" s="55" t="str">
        <f aca="false">IF(AX1512&lt;=0,"",IF(BY1512="Aussen","Aussenlager",IF(BY1512="-","Nicht im Lift",IF(BC1512&gt;=1,"Lift",IF(BC1512&lt;=0,"Aussenlager","teilweise")))))</f>
        <v>Aussenlager</v>
      </c>
      <c r="BG1512" s="55" t="str">
        <f aca="false">IF(A1512="","",IF(BP1512=1,"Neu; ","")&amp;IF(AND(BP1512=0,BK1512&lt;0),"negativer Bestand (Export "&amp;BK1512&amp;"); ","")&amp;IF(J1512&lt;=0,"Kein Verbrauch; ","")&amp;IF(CH1512&gt;0,"Lift "&amp;W1512&amp;" lt. Liftbericht (Fach "&amp;X1512&amp;" Stk); ",IF(BU1512=1,"Gebinde geschätzt ("&amp;T1512&amp;"); ",IF(BT1512=1,"Lose – Tablare geschätzt; ","")))&amp;IF(H1512&gt;AR1512,"Überbestand "&amp;ROUND(H1512-AR1512,0)&amp;" Stk / CHF "&amp;ROUND((H1512-AR1512)*G1512,0)&amp;"; ","")&amp;IF(AND(CA1512=1,CB1512&lt;CC1512),"MAX &lt; MB+LG; ","")&amp;IF(AND(CG1512&gt;0,CF1512*10&gt;CG1512),"zu hoch für Tablar; ","")&amp;IF(AND(BP1512=0,OR(CA1512=1,AA1512&lt;&gt;"",U1512&lt;&gt;"",V1512&lt;&gt;"",AB1512&lt;&gt;"")),"manuell übersteuert; ","")&amp;IF(AND(BT1512=0,R1512=0),"Gebinde unbekannt / Stellmass fehlt; ","")&amp;IF(AND(BT1512=0,N(V1512)&lt;=0,N(Q1512)&lt;=0),"Menge pro Gebinde fehlt (Ist = 1 Gebinde); ","")&amp;BO1512)</f>
        <v>Kein Verbrauch; nur im Artikelstamm (Bestand 23.06.2026); Überbestand</v>
      </c>
      <c r="BH1512" s="55"/>
      <c r="BI1512" s="55"/>
      <c r="BJ1512" s="62"/>
      <c r="BK1512" s="57" t="n">
        <v>11</v>
      </c>
      <c r="BL1512" s="57" t="n">
        <v>0</v>
      </c>
      <c r="BM1512" s="56" t="n">
        <v>0</v>
      </c>
      <c r="BN1512" s="57" t="n">
        <v>0</v>
      </c>
      <c r="BO1512" s="55" t="s">
        <v>2572</v>
      </c>
      <c r="BP1512" s="60" t="n">
        <v>0</v>
      </c>
      <c r="BQ1512" s="60" t="n">
        <v>1512</v>
      </c>
      <c r="BR1512" s="55" t="str">
        <f aca="false">IF(U1512&lt;&gt;"",UPPER(TRIM(U1512)),IF(BU1512=1,UPPER(VLOOKUP(T1512,Parameter!$I$27:$K$29,2,0)),IF(P1512="","LOSE",P1512)))</f>
        <v>S62</v>
      </c>
      <c r="BS1512" s="57" t="n">
        <f aca="false">IF(BR1512="LOSE",1,IF(N(V1512)&gt;0,V1512,IF(BU1512=1,MAX(1,N(VLOOKUP(T1512,Parameter!$I$27:$K$29,3,0)),H1512,N(N1512)),IF(N(Q1512)&gt;0,Q1512,MAX(1,H1512)))))</f>
        <v>11</v>
      </c>
      <c r="BT1512" s="60" t="n">
        <f aca="false">IF(BR1512="LOSE",1,0)</f>
        <v>0</v>
      </c>
      <c r="BU1512" s="60" t="n">
        <f aca="false">IF(AND(U1512="",OR(P1512="",P1512="LOSE"),T1512&lt;&gt;"",N(S1512)&lt;=0,ISNUMBER(MATCH(T1512,Parameter!$I$27:$I$29,0))),1,0)</f>
        <v>0</v>
      </c>
      <c r="BV1512" s="55" t="str">
        <f aca="false">IF(AND(Parameter!$B$19="Ja",E1512&lt;&gt;"",ISNUMBER(MATCH(E1512,Parameter!$I$35:$I$52,0))),VLOOKUP(E1512,Parameter!$I$35:$J$52,2,0),IFERROR(VLOOKUP(D1512,Parameter!$A$35:$C$64,2,0),"Nein"))</f>
        <v>2+3</v>
      </c>
      <c r="BW1512" s="59" t="n">
        <f aca="false">IF(BT1512=0,0,IF(N(S1512)&gt;0,S1512,IFERROR(VLOOKUP(D1512,Parameter!$A$35:$C$64,3,0)+0,0)))</f>
        <v>0</v>
      </c>
      <c r="BX1512" s="55" t="n">
        <f aca="false">IF(AA1512&lt;&gt;"",AA1512,Z1512)</f>
        <v>2</v>
      </c>
      <c r="BY1512" s="55" t="str">
        <f aca="false">IF(BX1512=1,"L1",IF(OR(BX1512=2,BX1512=3),"L23",IF(BX1512="Aussen","Aussen","-")))</f>
        <v>L23</v>
      </c>
      <c r="BZ1512" s="66" t="n">
        <f aca="false">IF(N(AB1512)&gt;0,AB1512,0)</f>
        <v>0</v>
      </c>
      <c r="CA1512" s="60" t="n">
        <f aca="false">IF(ISNUMBER(AE1512),1,0)</f>
        <v>0</v>
      </c>
      <c r="CB1512" s="57" t="n">
        <f aca="false">N(AE1512)</f>
        <v>0</v>
      </c>
      <c r="CC1512" s="57" t="n">
        <f aca="false">N(M1512)+N(N1512)</f>
        <v>10</v>
      </c>
      <c r="CD1512" s="57" t="n">
        <f aca="false">ROUNDUP(H1512/BS1512,0)</f>
        <v>1</v>
      </c>
      <c r="CE1512" s="57" t="n">
        <f aca="false">ROUNDUP(CB1512/BS1512,0)</f>
        <v>0</v>
      </c>
      <c r="CF1512" s="60" t="n">
        <f aca="false">IF(BT1512=1,0,IFERROR(VLOOKUP(BR1512,'Gebinde-Kategorie'!$A$5:$M$45,5,0)+0,0))</f>
        <v>21</v>
      </c>
      <c r="CG1512" s="60" t="n">
        <f aca="false">IFERROR(IF(OR(BX1512=1,BX1512=2,BX1512=3),N(INDEX(Parameter!$I$5:$I$7,BX1512)),0),0)</f>
        <v>0</v>
      </c>
      <c r="CH1512" s="59" t="n">
        <f aca="false">IF(AND(Parameter!$B$21="Ja",ISNUMBER(W1512),N(X1512)&gt;0),IFERROR(N(INDEX(Parameter!$L$5:$L$7,W1512))*INDEX(Parameter!$E$5:$E$7,W1512)*X1512/SUMIFS($X$7:$X$1843,$W$7:$W$1843,W1512),0),0)</f>
        <v>0</v>
      </c>
    </row>
    <row r="1513" customFormat="false" ht="15" hidden="false" customHeight="false" outlineLevel="0" collapsed="false">
      <c r="A1513" s="55" t="s">
        <v>2646</v>
      </c>
      <c r="B1513" s="55" t="s">
        <v>2647</v>
      </c>
      <c r="C1513" s="55" t="s">
        <v>164</v>
      </c>
      <c r="D1513" s="55" t="s">
        <v>184</v>
      </c>
      <c r="E1513" s="55" t="s">
        <v>185</v>
      </c>
      <c r="F1513" s="55"/>
      <c r="G1513" s="56" t="n">
        <v>19.45</v>
      </c>
      <c r="H1513" s="57" t="n">
        <f aca="false">MAX(0,IF(AND(Parameter!$B$21="Ja",ISNUMBER(Y1513)),Y1513,IF(Parameter!$B$20="Jahresanfang 2025 + Export",BL1513+BK1513,BK1513)))</f>
        <v>20</v>
      </c>
      <c r="I1513" s="57" t="n">
        <f aca="false">H1513*G1513</f>
        <v>389</v>
      </c>
      <c r="J1513" s="57" t="n">
        <f aca="false">BN1513*Parameter!$B$18</f>
        <v>0</v>
      </c>
      <c r="K1513" s="58"/>
      <c r="L1513" s="59"/>
      <c r="M1513" s="57" t="n">
        <v>0</v>
      </c>
      <c r="N1513" s="57" t="n">
        <v>10</v>
      </c>
      <c r="O1513" s="60" t="n">
        <v>21</v>
      </c>
      <c r="P1513" s="55" t="s">
        <v>302</v>
      </c>
      <c r="Q1513" s="57" t="n">
        <v>20</v>
      </c>
      <c r="R1513" s="60" t="n">
        <f aca="false">IF(BT1513=1,0,IFERROR(VLOOKUP(BR1513,'Gebinde-Kategorie'!$A$5:$M$45,13,0)+0,0))</f>
        <v>26</v>
      </c>
      <c r="S1513" s="61"/>
      <c r="T1513" s="62"/>
      <c r="U1513" s="62"/>
      <c r="V1513" s="62"/>
      <c r="W1513" s="55"/>
      <c r="X1513" s="57"/>
      <c r="Y1513" s="57"/>
      <c r="Z1513" s="55" t="n">
        <f aca="false">IF(A1513="","",IF(AND(Parameter!$B$21="Ja",ISNUMBER(W1513)),W1513,IF(BV1513="2+3",IF(ISNUMBER(SEARCH("grosser Artikel",BO1513)),2,IFERROR(VLOOKUP(BR1513,Parameter!$F$35:$G$64,2,0),2)),IF(OR(BV1513="Nein",BV1513=""),"-",BV1513))))</f>
        <v>3</v>
      </c>
      <c r="AA1513" s="62"/>
      <c r="AB1513" s="63"/>
      <c r="AC1513" s="57" t="n">
        <f aca="false">AR1513</f>
        <v>20</v>
      </c>
      <c r="AD1513" s="57" t="n">
        <f aca="false">MAX(AR1513,H1513)</f>
        <v>20</v>
      </c>
      <c r="AE1513" s="64"/>
      <c r="AF1513" s="57" t="n">
        <f aca="false">IF(LEFT(Cockpit!$C$5,1)="A",H1513,IF(CA1513=1,CB1513,IF(LEFT(Cockpit!$C$5,1)="B",AJ1513,MAX(AJ1513,H1513))))</f>
        <v>20</v>
      </c>
      <c r="AG1513" s="57" t="n">
        <f aca="false">IF(BT1513=1,0,ROUNDUP(AF1513/BS1513,0))</f>
        <v>1</v>
      </c>
      <c r="AH1513" s="59" t="n">
        <f aca="false">IF(CH1513&gt;0,CH1513*MAX(1,AF1513/X1513),IF(BT1513=1,IF(AF1513&lt;=0,0,BW1513*MAX(1,IF(H1513&gt;0,AF1513/H1513,1))),IF(R1513&gt;0,AG1513/R1513,0))/MAX(0.1,N(Parameter!$M$21)))</f>
        <v>0.0384615384615385</v>
      </c>
      <c r="AI1513" s="57" t="n">
        <f aca="false">AF1513*G1513</f>
        <v>389</v>
      </c>
      <c r="AJ1513" s="57" t="n">
        <f aca="false">ROUNDUP(MAX(J1513/IF(BZ1513&gt;0,BZ1513,MAX(0.1,N(Cockpit!$C$6))),CC1513)/BS1513,0)*BS1513</f>
        <v>20</v>
      </c>
      <c r="AK1513" s="58" t="n">
        <f aca="false">IF(AH1513&gt;0,J1513/AH1513,-1)</f>
        <v>0</v>
      </c>
      <c r="AL1513" s="58" t="n">
        <f aca="false">IF(AND(OR(BY1513="L1",BY1513="L23"),AH1513&gt;0),SUMIFS($AH$7:$AH$1843,$BY$7:$BY$1843,BY1513,$AK$7:$AK$1843,"&gt;"&amp;AK1513)+SUMIFS($AH$7:$AH$1843,$BY$7:$BY$1843,BY1513,$AK$7:$AK$1843,AK1513,$BQ$7:$BQ$1843,"&lt;="&amp;BQ1513),"")</f>
        <v>82.1844025539678</v>
      </c>
      <c r="AM1513" s="65" t="n">
        <f aca="false">IF(AL1513="",0,MAX(0,MIN(1,(IF(BY1513="L1",Parameter!$E$5,Parameter!$E$6+Parameter!$E$7)-(AL1513-AH1513))/AH1513)))</f>
        <v>1</v>
      </c>
      <c r="AN1513" s="57" t="n">
        <f aca="false">IF(LEFT(Cockpit!$I$5,1)="A",H1513,IF(CA1513=1,CB1513,IF(LEFT(Cockpit!$I$5,1)="B",AR1513,MAX(AR1513,H1513))))</f>
        <v>20</v>
      </c>
      <c r="AO1513" s="57" t="n">
        <f aca="false">IF(BT1513=1,0,ROUNDUP(AN1513/BS1513,0))</f>
        <v>1</v>
      </c>
      <c r="AP1513" s="59" t="n">
        <f aca="false">IF(CH1513&gt;0,CH1513*MAX(1,AN1513/X1513),IF(BT1513=1,IF(AN1513&lt;=0,0,BW1513*MAX(1,IF(H1513&gt;0,AN1513/H1513,1))),IF(R1513&gt;0,AO1513/R1513,0))/MAX(0.1,N(Parameter!$M$21)))</f>
        <v>0.0384615384615385</v>
      </c>
      <c r="AQ1513" s="57" t="n">
        <f aca="false">AN1513*G1513</f>
        <v>389</v>
      </c>
      <c r="AR1513" s="57" t="n">
        <f aca="false">ROUNDUP(MAX(J1513/IF(BZ1513&gt;0,BZ1513,MAX(0.1,N(Cockpit!$I$6))),CC1513)/BS1513,0)*BS1513</f>
        <v>20</v>
      </c>
      <c r="AS1513" s="58" t="n">
        <f aca="false">IF(AP1513&gt;0,J1513/AP1513,-1)</f>
        <v>0</v>
      </c>
      <c r="AT1513" s="58" t="n">
        <f aca="false">IF(AND(OR(BY1513="L1",BY1513="L23"),AP1513&gt;0),SUMIFS($AP$7:$AP$1843,$BY$7:$BY$1843,BY1513,$AS$7:$AS$1843,"&gt;"&amp;AS1513)+SUMIFS($AP$7:$AP$1843,$BY$7:$BY$1843,BY1513,$AS$7:$AS$1843,AS1513,$BQ$7:$BQ$1843,"&lt;="&amp;BQ1513),"")</f>
        <v>127.106837606838</v>
      </c>
      <c r="AU1513" s="65" t="n">
        <f aca="false">IF(AT1513="",0,MAX(0,MIN(1,(IF(BY1513="L1",Parameter!$E$5,Parameter!$E$6+Parameter!$E$7)-(AT1513-AP1513))/AP1513)))</f>
        <v>0</v>
      </c>
      <c r="AV1513" s="57" t="n">
        <f aca="false">IF(LEFT(Cockpit!$O$5,1)="A",H1513,IF(CA1513=1,CB1513,IF(LEFT(Cockpit!$O$5,1)="B",AZ1513,MAX(AZ1513,H1513))))</f>
        <v>20</v>
      </c>
      <c r="AW1513" s="57" t="n">
        <f aca="false">IF(BT1513=1,0,ROUNDUP(AV1513/BS1513,0))</f>
        <v>1</v>
      </c>
      <c r="AX1513" s="59" t="n">
        <f aca="false">IF(CH1513&gt;0,CH1513*MAX(1,AV1513/X1513),IF(BT1513=1,IF(AV1513&lt;=0,0,BW1513*MAX(1,IF(H1513&gt;0,AV1513/H1513,1))),IF(R1513&gt;0,AW1513/R1513,0))/MAX(0.1,N(Parameter!$M$21)))</f>
        <v>0.0384615384615385</v>
      </c>
      <c r="AY1513" s="57" t="n">
        <f aca="false">AV1513*G1513</f>
        <v>389</v>
      </c>
      <c r="AZ1513" s="57" t="n">
        <f aca="false">ROUNDUP(MAX(J1513/IF(BZ1513&gt;0,BZ1513,MAX(0.1,N(Cockpit!$O$6))),CC1513)/BS1513,0)*BS1513</f>
        <v>20</v>
      </c>
      <c r="BA1513" s="58" t="n">
        <f aca="false">IF(AX1513&gt;0,J1513/AX1513,-1)</f>
        <v>0</v>
      </c>
      <c r="BB1513" s="58" t="n">
        <f aca="false">IF(AND(OR(BY1513="L1",BY1513="L23"),AX1513&gt;0),SUMIFS($AX$7:$AX$1843,$BY$7:$BY$1843,BY1513,$BA$7:$BA$1843,"&gt;"&amp;BA1513)+SUMIFS($AX$7:$AX$1843,$BY$7:$BY$1843,BY1513,$BA$7:$BA$1843,BA1513,$BQ$7:$BQ$1843,"&lt;="&amp;BQ1513),"")</f>
        <v>117.936674436674</v>
      </c>
      <c r="BC1513" s="65" t="n">
        <f aca="false">IF(BB1513="",0,MAX(0,MIN(1,(IF(BY1513="L1",Parameter!$E$5,Parameter!$E$6+Parameter!$E$7)-(BB1513-AX1513))/AX1513)))</f>
        <v>0</v>
      </c>
      <c r="BD1513" s="55" t="str">
        <f aca="false">IF(AH1513&lt;=0,"",IF(BY1513="Aussen","Aussenlager",IF(BY1513="-","Nicht im Lift",IF(AM1513&gt;=1,"Lift",IF(AM1513&lt;=0,"Aussenlager","teilweise")))))</f>
        <v>Lift</v>
      </c>
      <c r="BE1513" s="55" t="str">
        <f aca="false">IF(AP1513&lt;=0,"",IF(BY1513="Aussen","Aussenlager",IF(BY1513="-","Nicht im Lift",IF(AU1513&gt;=1,"Lift",IF(AU1513&lt;=0,"Aussenlager","teilweise")))))</f>
        <v>Aussenlager</v>
      </c>
      <c r="BF1513" s="55" t="str">
        <f aca="false">IF(AX1513&lt;=0,"",IF(BY1513="Aussen","Aussenlager",IF(BY1513="-","Nicht im Lift",IF(BC1513&gt;=1,"Lift",IF(BC1513&lt;=0,"Aussenlager","teilweise")))))</f>
        <v>Aussenlager</v>
      </c>
      <c r="BG1513" s="55" t="str">
        <f aca="false">IF(A1513="","",IF(BP1513=1,"Neu; ","")&amp;IF(AND(BP1513=0,BK1513&lt;0),"negativer Bestand (Export "&amp;BK1513&amp;"); ","")&amp;IF(J1513&lt;=0,"Kein Verbrauch; ","")&amp;IF(CH1513&gt;0,"Lift "&amp;W1513&amp;" lt. Liftbericht (Fach "&amp;X1513&amp;" Stk); ",IF(BU1513=1,"Gebinde geschätzt ("&amp;T1513&amp;"); ",IF(BT1513=1,"Lose – Tablare geschätzt; ","")))&amp;IF(H1513&gt;AR1513,"Überbestand "&amp;ROUND(H1513-AR1513,0)&amp;" Stk / CHF "&amp;ROUND((H1513-AR1513)*G1513,0)&amp;"; ","")&amp;IF(AND(CA1513=1,CB1513&lt;CC1513),"MAX &lt; MB+LG; ","")&amp;IF(AND(CG1513&gt;0,CF1513*10&gt;CG1513),"zu hoch für Tablar; ","")&amp;IF(AND(BP1513=0,OR(CA1513=1,AA1513&lt;&gt;"",U1513&lt;&gt;"",V1513&lt;&gt;"",AB1513&lt;&gt;"")),"manuell übersteuert; ","")&amp;IF(AND(BT1513=0,R1513=0),"Gebinde unbekannt / Stellmass fehlt; ","")&amp;IF(AND(BT1513=0,N(V1513)&lt;=0,N(Q1513)&lt;=0),"Menge pro Gebinde fehlt (Ist = 1 Gebinde); ","")&amp;BO1513)</f>
        <v>Kein Verbrauch; nur im Artikelstamm (Bestand 23.06.2026); Verb.Lager</v>
      </c>
      <c r="BH1513" s="55"/>
      <c r="BI1513" s="55"/>
      <c r="BJ1513" s="62"/>
      <c r="BK1513" s="57" t="n">
        <v>20</v>
      </c>
      <c r="BL1513" s="57" t="n">
        <v>0</v>
      </c>
      <c r="BM1513" s="56" t="n">
        <v>0</v>
      </c>
      <c r="BN1513" s="57" t="n">
        <v>0</v>
      </c>
      <c r="BO1513" s="55" t="s">
        <v>2569</v>
      </c>
      <c r="BP1513" s="60" t="n">
        <v>0</v>
      </c>
      <c r="BQ1513" s="60" t="n">
        <v>1513</v>
      </c>
      <c r="BR1513" s="55" t="str">
        <f aca="false">IF(U1513&lt;&gt;"",UPPER(TRIM(U1513)),IF(BU1513=1,UPPER(VLOOKUP(T1513,Parameter!$I$27:$K$29,2,0)),IF(P1513="","LOSE",P1513)))</f>
        <v>S51</v>
      </c>
      <c r="BS1513" s="57" t="n">
        <f aca="false">IF(BR1513="LOSE",1,IF(N(V1513)&gt;0,V1513,IF(BU1513=1,MAX(1,N(VLOOKUP(T1513,Parameter!$I$27:$K$29,3,0)),H1513,N(N1513)),IF(N(Q1513)&gt;0,Q1513,MAX(1,H1513)))))</f>
        <v>20</v>
      </c>
      <c r="BT1513" s="60" t="n">
        <f aca="false">IF(BR1513="LOSE",1,0)</f>
        <v>0</v>
      </c>
      <c r="BU1513" s="60" t="n">
        <f aca="false">IF(AND(U1513="",OR(P1513="",P1513="LOSE"),T1513&lt;&gt;"",N(S1513)&lt;=0,ISNUMBER(MATCH(T1513,Parameter!$I$27:$I$29,0))),1,0)</f>
        <v>0</v>
      </c>
      <c r="BV1513" s="55" t="str">
        <f aca="false">IF(AND(Parameter!$B$19="Ja",E1513&lt;&gt;"",ISNUMBER(MATCH(E1513,Parameter!$I$35:$I$52,0))),VLOOKUP(E1513,Parameter!$I$35:$J$52,2,0),IFERROR(VLOOKUP(D1513,Parameter!$A$35:$C$64,2,0),"Nein"))</f>
        <v>2+3</v>
      </c>
      <c r="BW1513" s="59" t="n">
        <f aca="false">IF(BT1513=0,0,IF(N(S1513)&gt;0,S1513,IFERROR(VLOOKUP(D1513,Parameter!$A$35:$C$64,3,0)+0,0)))</f>
        <v>0</v>
      </c>
      <c r="BX1513" s="55" t="n">
        <f aca="false">IF(AA1513&lt;&gt;"",AA1513,Z1513)</f>
        <v>3</v>
      </c>
      <c r="BY1513" s="55" t="str">
        <f aca="false">IF(BX1513=1,"L1",IF(OR(BX1513=2,BX1513=3),"L23",IF(BX1513="Aussen","Aussen","-")))</f>
        <v>L23</v>
      </c>
      <c r="BZ1513" s="66" t="n">
        <f aca="false">IF(N(AB1513)&gt;0,AB1513,0)</f>
        <v>0</v>
      </c>
      <c r="CA1513" s="60" t="n">
        <f aca="false">IF(ISNUMBER(AE1513),1,0)</f>
        <v>0</v>
      </c>
      <c r="CB1513" s="57" t="n">
        <f aca="false">N(AE1513)</f>
        <v>0</v>
      </c>
      <c r="CC1513" s="57" t="n">
        <f aca="false">N(M1513)+N(N1513)</f>
        <v>10</v>
      </c>
      <c r="CD1513" s="57" t="n">
        <f aca="false">ROUNDUP(H1513/BS1513,0)</f>
        <v>1</v>
      </c>
      <c r="CE1513" s="57" t="n">
        <f aca="false">ROUNDUP(CB1513/BS1513,0)</f>
        <v>0</v>
      </c>
      <c r="CF1513" s="60" t="n">
        <f aca="false">IF(BT1513=1,0,IFERROR(VLOOKUP(BR1513,'Gebinde-Kategorie'!$A$5:$M$45,5,0)+0,0))</f>
        <v>11</v>
      </c>
      <c r="CG1513" s="60" t="n">
        <f aca="false">IFERROR(IF(OR(BX1513=1,BX1513=2,BX1513=3),N(INDEX(Parameter!$I$5:$I$7,BX1513)),0),0)</f>
        <v>0</v>
      </c>
      <c r="CH1513" s="59" t="n">
        <f aca="false">IF(AND(Parameter!$B$21="Ja",ISNUMBER(W1513),N(X1513)&gt;0),IFERROR(N(INDEX(Parameter!$L$5:$L$7,W1513))*INDEX(Parameter!$E$5:$E$7,W1513)*X1513/SUMIFS($X$7:$X$1843,$W$7:$W$1843,W1513),0),0)</f>
        <v>0</v>
      </c>
    </row>
    <row r="1514" customFormat="false" ht="15" hidden="false" customHeight="false" outlineLevel="0" collapsed="false">
      <c r="A1514" s="55" t="s">
        <v>2648</v>
      </c>
      <c r="B1514" s="55" t="s">
        <v>2649</v>
      </c>
      <c r="C1514" s="55" t="s">
        <v>164</v>
      </c>
      <c r="D1514" s="55" t="s">
        <v>184</v>
      </c>
      <c r="E1514" s="55" t="s">
        <v>185</v>
      </c>
      <c r="F1514" s="55"/>
      <c r="G1514" s="56" t="n">
        <v>25.92</v>
      </c>
      <c r="H1514" s="57" t="n">
        <f aca="false">MAX(0,IF(AND(Parameter!$B$21="Ja",ISNUMBER(Y1514)),Y1514,IF(Parameter!$B$20="Jahresanfang 2025 + Export",BL1514+BK1514,BK1514)))</f>
        <v>12</v>
      </c>
      <c r="I1514" s="57" t="n">
        <f aca="false">H1514*G1514</f>
        <v>311.04</v>
      </c>
      <c r="J1514" s="57" t="n">
        <f aca="false">BN1514*Parameter!$B$18</f>
        <v>0</v>
      </c>
      <c r="K1514" s="58"/>
      <c r="L1514" s="59"/>
      <c r="M1514" s="57" t="n">
        <v>0</v>
      </c>
      <c r="N1514" s="57" t="n">
        <v>3</v>
      </c>
      <c r="O1514" s="60" t="n">
        <v>28</v>
      </c>
      <c r="P1514" s="55" t="s">
        <v>421</v>
      </c>
      <c r="Q1514" s="57" t="n">
        <v>12</v>
      </c>
      <c r="R1514" s="60" t="n">
        <f aca="false">IF(BT1514=1,0,IFERROR(VLOOKUP(BR1514,'Gebinde-Kategorie'!$A$5:$M$45,13,0)+0,0))</f>
        <v>132</v>
      </c>
      <c r="S1514" s="61"/>
      <c r="T1514" s="62"/>
      <c r="U1514" s="62"/>
      <c r="V1514" s="62"/>
      <c r="W1514" s="55"/>
      <c r="X1514" s="57"/>
      <c r="Y1514" s="57"/>
      <c r="Z1514" s="55" t="n">
        <f aca="false">IF(A1514="","",IF(AND(Parameter!$B$21="Ja",ISNUMBER(W1514)),W1514,IF(BV1514="2+3",IF(ISNUMBER(SEARCH("grosser Artikel",BO1514)),2,IFERROR(VLOOKUP(BR1514,Parameter!$F$35:$G$64,2,0),2)),IF(OR(BV1514="Nein",BV1514=""),"-",BV1514))))</f>
        <v>3</v>
      </c>
      <c r="AA1514" s="62"/>
      <c r="AB1514" s="63"/>
      <c r="AC1514" s="57" t="n">
        <f aca="false">AR1514</f>
        <v>12</v>
      </c>
      <c r="AD1514" s="57" t="n">
        <f aca="false">MAX(AR1514,H1514)</f>
        <v>12</v>
      </c>
      <c r="AE1514" s="64"/>
      <c r="AF1514" s="57" t="n">
        <f aca="false">IF(LEFT(Cockpit!$C$5,1)="A",H1514,IF(CA1514=1,CB1514,IF(LEFT(Cockpit!$C$5,1)="B",AJ1514,MAX(AJ1514,H1514))))</f>
        <v>12</v>
      </c>
      <c r="AG1514" s="57" t="n">
        <f aca="false">IF(BT1514=1,0,ROUNDUP(AF1514/BS1514,0))</f>
        <v>1</v>
      </c>
      <c r="AH1514" s="59" t="n">
        <f aca="false">IF(CH1514&gt;0,CH1514*MAX(1,AF1514/X1514),IF(BT1514=1,IF(AF1514&lt;=0,0,BW1514*MAX(1,IF(H1514&gt;0,AF1514/H1514,1))),IF(R1514&gt;0,AG1514/R1514,0))/MAX(0.1,N(Parameter!$M$21)))</f>
        <v>0.00757575757575758</v>
      </c>
      <c r="AI1514" s="57" t="n">
        <f aca="false">AF1514*G1514</f>
        <v>311.04</v>
      </c>
      <c r="AJ1514" s="57" t="n">
        <f aca="false">ROUNDUP(MAX(J1514/IF(BZ1514&gt;0,BZ1514,MAX(0.1,N(Cockpit!$C$6))),CC1514)/BS1514,0)*BS1514</f>
        <v>12</v>
      </c>
      <c r="AK1514" s="58" t="n">
        <f aca="false">IF(AH1514&gt;0,J1514/AH1514,-1)</f>
        <v>0</v>
      </c>
      <c r="AL1514" s="58" t="n">
        <f aca="false">IF(AND(OR(BY1514="L1",BY1514="L23"),AH1514&gt;0),SUMIFS($AH$7:$AH$1843,$BY$7:$BY$1843,BY1514,$AK$7:$AK$1843,"&gt;"&amp;AK1514)+SUMIFS($AH$7:$AH$1843,$BY$7:$BY$1843,BY1514,$AK$7:$AK$1843,AK1514,$BQ$7:$BQ$1843,"&lt;="&amp;BQ1514),"")</f>
        <v>82.1919783115435</v>
      </c>
      <c r="AM1514" s="65" t="n">
        <f aca="false">IF(AL1514="",0,MAX(0,MIN(1,(IF(BY1514="L1",Parameter!$E$5,Parameter!$E$6+Parameter!$E$7)-(AL1514-AH1514))/AH1514)))</f>
        <v>1</v>
      </c>
      <c r="AN1514" s="57" t="n">
        <f aca="false">IF(LEFT(Cockpit!$I$5,1)="A",H1514,IF(CA1514=1,CB1514,IF(LEFT(Cockpit!$I$5,1)="B",AR1514,MAX(AR1514,H1514))))</f>
        <v>12</v>
      </c>
      <c r="AO1514" s="57" t="n">
        <f aca="false">IF(BT1514=1,0,ROUNDUP(AN1514/BS1514,0))</f>
        <v>1</v>
      </c>
      <c r="AP1514" s="59" t="n">
        <f aca="false">IF(CH1514&gt;0,CH1514*MAX(1,AN1514/X1514),IF(BT1514=1,IF(AN1514&lt;=0,0,BW1514*MAX(1,IF(H1514&gt;0,AN1514/H1514,1))),IF(R1514&gt;0,AO1514/R1514,0))/MAX(0.1,N(Parameter!$M$21)))</f>
        <v>0.00757575757575758</v>
      </c>
      <c r="AQ1514" s="57" t="n">
        <f aca="false">AN1514*G1514</f>
        <v>311.04</v>
      </c>
      <c r="AR1514" s="57" t="n">
        <f aca="false">ROUNDUP(MAX(J1514/IF(BZ1514&gt;0,BZ1514,MAX(0.1,N(Cockpit!$I$6))),CC1514)/BS1514,0)*BS1514</f>
        <v>12</v>
      </c>
      <c r="AS1514" s="58" t="n">
        <f aca="false">IF(AP1514&gt;0,J1514/AP1514,-1)</f>
        <v>0</v>
      </c>
      <c r="AT1514" s="58" t="n">
        <f aca="false">IF(AND(OR(BY1514="L1",BY1514="L23"),AP1514&gt;0),SUMIFS($AP$7:$AP$1843,$BY$7:$BY$1843,BY1514,$AS$7:$AS$1843,"&gt;"&amp;AS1514)+SUMIFS($AP$7:$AP$1843,$BY$7:$BY$1843,BY1514,$AS$7:$AS$1843,AS1514,$BQ$7:$BQ$1843,"&lt;="&amp;BQ1514),"")</f>
        <v>127.114413364413</v>
      </c>
      <c r="AU1514" s="65" t="n">
        <f aca="false">IF(AT1514="",0,MAX(0,MIN(1,(IF(BY1514="L1",Parameter!$E$5,Parameter!$E$6+Parameter!$E$7)-(AT1514-AP1514))/AP1514)))</f>
        <v>0</v>
      </c>
      <c r="AV1514" s="57" t="n">
        <f aca="false">IF(LEFT(Cockpit!$O$5,1)="A",H1514,IF(CA1514=1,CB1514,IF(LEFT(Cockpit!$O$5,1)="B",AZ1514,MAX(AZ1514,H1514))))</f>
        <v>12</v>
      </c>
      <c r="AW1514" s="57" t="n">
        <f aca="false">IF(BT1514=1,0,ROUNDUP(AV1514/BS1514,0))</f>
        <v>1</v>
      </c>
      <c r="AX1514" s="59" t="n">
        <f aca="false">IF(CH1514&gt;0,CH1514*MAX(1,AV1514/X1514),IF(BT1514=1,IF(AV1514&lt;=0,0,BW1514*MAX(1,IF(H1514&gt;0,AV1514/H1514,1))),IF(R1514&gt;0,AW1514/R1514,0))/MAX(0.1,N(Parameter!$M$21)))</f>
        <v>0.00757575757575758</v>
      </c>
      <c r="AY1514" s="57" t="n">
        <f aca="false">AV1514*G1514</f>
        <v>311.04</v>
      </c>
      <c r="AZ1514" s="57" t="n">
        <f aca="false">ROUNDUP(MAX(J1514/IF(BZ1514&gt;0,BZ1514,MAX(0.1,N(Cockpit!$O$6))),CC1514)/BS1514,0)*BS1514</f>
        <v>12</v>
      </c>
      <c r="BA1514" s="58" t="n">
        <f aca="false">IF(AX1514&gt;0,J1514/AX1514,-1)</f>
        <v>0</v>
      </c>
      <c r="BB1514" s="58" t="n">
        <f aca="false">IF(AND(OR(BY1514="L1",BY1514="L23"),AX1514&gt;0),SUMIFS($AX$7:$AX$1843,$BY$7:$BY$1843,BY1514,$BA$7:$BA$1843,"&gt;"&amp;BA1514)+SUMIFS($AX$7:$AX$1843,$BY$7:$BY$1843,BY1514,$BA$7:$BA$1843,BA1514,$BQ$7:$BQ$1843,"&lt;="&amp;BQ1514),"")</f>
        <v>117.94425019425</v>
      </c>
      <c r="BC1514" s="65" t="n">
        <f aca="false">IF(BB1514="",0,MAX(0,MIN(1,(IF(BY1514="L1",Parameter!$E$5,Parameter!$E$6+Parameter!$E$7)-(BB1514-AX1514))/AX1514)))</f>
        <v>0</v>
      </c>
      <c r="BD1514" s="55" t="str">
        <f aca="false">IF(AH1514&lt;=0,"",IF(BY1514="Aussen","Aussenlager",IF(BY1514="-","Nicht im Lift",IF(AM1514&gt;=1,"Lift",IF(AM1514&lt;=0,"Aussenlager","teilweise")))))</f>
        <v>Lift</v>
      </c>
      <c r="BE1514" s="55" t="str">
        <f aca="false">IF(AP1514&lt;=0,"",IF(BY1514="Aussen","Aussenlager",IF(BY1514="-","Nicht im Lift",IF(AU1514&gt;=1,"Lift",IF(AU1514&lt;=0,"Aussenlager","teilweise")))))</f>
        <v>Aussenlager</v>
      </c>
      <c r="BF1514" s="55" t="str">
        <f aca="false">IF(AX1514&lt;=0,"",IF(BY1514="Aussen","Aussenlager",IF(BY1514="-","Nicht im Lift",IF(BC1514&gt;=1,"Lift",IF(BC1514&lt;=0,"Aussenlager","teilweise")))))</f>
        <v>Aussenlager</v>
      </c>
      <c r="BG1514" s="55" t="str">
        <f aca="false">IF(A1514="","",IF(BP1514=1,"Neu; ","")&amp;IF(AND(BP1514=0,BK1514&lt;0),"negativer Bestand (Export "&amp;BK1514&amp;"); ","")&amp;IF(J1514&lt;=0,"Kein Verbrauch; ","")&amp;IF(CH1514&gt;0,"Lift "&amp;W1514&amp;" lt. Liftbericht (Fach "&amp;X1514&amp;" Stk); ",IF(BU1514=1,"Gebinde geschätzt ("&amp;T1514&amp;"); ",IF(BT1514=1,"Lose – Tablare geschätzt; ","")))&amp;IF(H1514&gt;AR1514,"Überbestand "&amp;ROUND(H1514-AR1514,0)&amp;" Stk / CHF "&amp;ROUND((H1514-AR1514)*G1514,0)&amp;"; ","")&amp;IF(AND(CA1514=1,CB1514&lt;CC1514),"MAX &lt; MB+LG; ","")&amp;IF(AND(CG1514&gt;0,CF1514*10&gt;CG1514),"zu hoch für Tablar; ","")&amp;IF(AND(BP1514=0,OR(CA1514=1,AA1514&lt;&gt;"",U1514&lt;&gt;"",V1514&lt;&gt;"",AB1514&lt;&gt;"")),"manuell übersteuert; ","")&amp;IF(AND(BT1514=0,R1514=0),"Gebinde unbekannt / Stellmass fehlt; ","")&amp;IF(AND(BT1514=0,N(V1514)&lt;=0,N(Q1514)&lt;=0),"Menge pro Gebinde fehlt (Ist = 1 Gebinde); ","")&amp;BO1514)</f>
        <v>Kein Verbrauch; nur im Artikelstamm (Bestand 23.06.2026); Verb.Lager</v>
      </c>
      <c r="BH1514" s="55"/>
      <c r="BI1514" s="55"/>
      <c r="BJ1514" s="62"/>
      <c r="BK1514" s="57" t="n">
        <v>12</v>
      </c>
      <c r="BL1514" s="57" t="n">
        <v>0</v>
      </c>
      <c r="BM1514" s="56" t="n">
        <v>0</v>
      </c>
      <c r="BN1514" s="57" t="n">
        <v>0</v>
      </c>
      <c r="BO1514" s="55" t="s">
        <v>2569</v>
      </c>
      <c r="BP1514" s="60" t="n">
        <v>0</v>
      </c>
      <c r="BQ1514" s="60" t="n">
        <v>1514</v>
      </c>
      <c r="BR1514" s="55" t="str">
        <f aca="false">IF(U1514&lt;&gt;"",UPPER(TRIM(U1514)),IF(BU1514=1,UPPER(VLOOKUP(T1514,Parameter!$I$27:$K$29,2,0)),IF(P1514="","LOSE",P1514)))</f>
        <v>S32</v>
      </c>
      <c r="BS1514" s="57" t="n">
        <f aca="false">IF(BR1514="LOSE",1,IF(N(V1514)&gt;0,V1514,IF(BU1514=1,MAX(1,N(VLOOKUP(T1514,Parameter!$I$27:$K$29,3,0)),H1514,N(N1514)),IF(N(Q1514)&gt;0,Q1514,MAX(1,H1514)))))</f>
        <v>12</v>
      </c>
      <c r="BT1514" s="60" t="n">
        <f aca="false">IF(BR1514="LOSE",1,0)</f>
        <v>0</v>
      </c>
      <c r="BU1514" s="60" t="n">
        <f aca="false">IF(AND(U1514="",OR(P1514="",P1514="LOSE"),T1514&lt;&gt;"",N(S1514)&lt;=0,ISNUMBER(MATCH(T1514,Parameter!$I$27:$I$29,0))),1,0)</f>
        <v>0</v>
      </c>
      <c r="BV1514" s="55" t="str">
        <f aca="false">IF(AND(Parameter!$B$19="Ja",E1514&lt;&gt;"",ISNUMBER(MATCH(E1514,Parameter!$I$35:$I$52,0))),VLOOKUP(E1514,Parameter!$I$35:$J$52,2,0),IFERROR(VLOOKUP(D1514,Parameter!$A$35:$C$64,2,0),"Nein"))</f>
        <v>2+3</v>
      </c>
      <c r="BW1514" s="59" t="n">
        <f aca="false">IF(BT1514=0,0,IF(N(S1514)&gt;0,S1514,IFERROR(VLOOKUP(D1514,Parameter!$A$35:$C$64,3,0)+0,0)))</f>
        <v>0</v>
      </c>
      <c r="BX1514" s="55" t="n">
        <f aca="false">IF(AA1514&lt;&gt;"",AA1514,Z1514)</f>
        <v>3</v>
      </c>
      <c r="BY1514" s="55" t="str">
        <f aca="false">IF(BX1514=1,"L1",IF(OR(BX1514=2,BX1514=3),"L23",IF(BX1514="Aussen","Aussen","-")))</f>
        <v>L23</v>
      </c>
      <c r="BZ1514" s="66" t="n">
        <f aca="false">IF(N(AB1514)&gt;0,AB1514,0)</f>
        <v>0</v>
      </c>
      <c r="CA1514" s="60" t="n">
        <f aca="false">IF(ISNUMBER(AE1514),1,0)</f>
        <v>0</v>
      </c>
      <c r="CB1514" s="57" t="n">
        <f aca="false">N(AE1514)</f>
        <v>0</v>
      </c>
      <c r="CC1514" s="57" t="n">
        <f aca="false">N(M1514)+N(N1514)</f>
        <v>3</v>
      </c>
      <c r="CD1514" s="57" t="n">
        <f aca="false">ROUNDUP(H1514/BS1514,0)</f>
        <v>1</v>
      </c>
      <c r="CE1514" s="57" t="n">
        <f aca="false">ROUNDUP(CB1514/BS1514,0)</f>
        <v>0</v>
      </c>
      <c r="CF1514" s="60" t="n">
        <f aca="false">IF(BT1514=1,0,IFERROR(VLOOKUP(BR1514,'Gebinde-Kategorie'!$A$5:$M$45,5,0)+0,0))</f>
        <v>8</v>
      </c>
      <c r="CG1514" s="60" t="n">
        <f aca="false">IFERROR(IF(OR(BX1514=1,BX1514=2,BX1514=3),N(INDEX(Parameter!$I$5:$I$7,BX1514)),0),0)</f>
        <v>0</v>
      </c>
      <c r="CH1514" s="59" t="n">
        <f aca="false">IF(AND(Parameter!$B$21="Ja",ISNUMBER(W1514),N(X1514)&gt;0),IFERROR(N(INDEX(Parameter!$L$5:$L$7,W1514))*INDEX(Parameter!$E$5:$E$7,W1514)*X1514/SUMIFS($X$7:$X$1843,$W$7:$W$1843,W1514),0),0)</f>
        <v>0</v>
      </c>
    </row>
    <row r="1515" customFormat="false" ht="15" hidden="false" customHeight="false" outlineLevel="0" collapsed="false">
      <c r="A1515" s="55" t="s">
        <v>2650</v>
      </c>
      <c r="B1515" s="55" t="s">
        <v>2651</v>
      </c>
      <c r="C1515" s="55" t="s">
        <v>164</v>
      </c>
      <c r="D1515" s="55" t="s">
        <v>184</v>
      </c>
      <c r="E1515" s="55" t="s">
        <v>185</v>
      </c>
      <c r="F1515" s="55"/>
      <c r="G1515" s="56" t="n">
        <v>40.36</v>
      </c>
      <c r="H1515" s="57" t="n">
        <f aca="false">MAX(0,IF(AND(Parameter!$B$21="Ja",ISNUMBER(Y1515)),Y1515,IF(Parameter!$B$20="Jahresanfang 2025 + Export",BL1515+BK1515,BK1515)))</f>
        <v>15</v>
      </c>
      <c r="I1515" s="57" t="n">
        <f aca="false">H1515*G1515</f>
        <v>605.4</v>
      </c>
      <c r="J1515" s="57" t="n">
        <f aca="false">BN1515*Parameter!$B$18</f>
        <v>0</v>
      </c>
      <c r="K1515" s="58"/>
      <c r="L1515" s="59"/>
      <c r="M1515" s="57" t="n">
        <v>0</v>
      </c>
      <c r="N1515" s="57" t="n">
        <v>10</v>
      </c>
      <c r="O1515" s="60" t="n">
        <v>0</v>
      </c>
      <c r="P1515" s="55" t="s">
        <v>421</v>
      </c>
      <c r="Q1515" s="57" t="n">
        <v>15</v>
      </c>
      <c r="R1515" s="60" t="n">
        <f aca="false">IF(BT1515=1,0,IFERROR(VLOOKUP(BR1515,'Gebinde-Kategorie'!$A$5:$M$45,13,0)+0,0))</f>
        <v>132</v>
      </c>
      <c r="S1515" s="61"/>
      <c r="T1515" s="62"/>
      <c r="U1515" s="62"/>
      <c r="V1515" s="62"/>
      <c r="W1515" s="55"/>
      <c r="X1515" s="57"/>
      <c r="Y1515" s="57"/>
      <c r="Z1515" s="55" t="n">
        <f aca="false">IF(A1515="","",IF(AND(Parameter!$B$21="Ja",ISNUMBER(W1515)),W1515,IF(BV1515="2+3",IF(ISNUMBER(SEARCH("grosser Artikel",BO1515)),2,IFERROR(VLOOKUP(BR1515,Parameter!$F$35:$G$64,2,0),2)),IF(OR(BV1515="Nein",BV1515=""),"-",BV1515))))</f>
        <v>3</v>
      </c>
      <c r="AA1515" s="62"/>
      <c r="AB1515" s="63"/>
      <c r="AC1515" s="57" t="n">
        <f aca="false">AR1515</f>
        <v>15</v>
      </c>
      <c r="AD1515" s="57" t="n">
        <f aca="false">MAX(AR1515,H1515)</f>
        <v>15</v>
      </c>
      <c r="AE1515" s="64"/>
      <c r="AF1515" s="57" t="n">
        <f aca="false">IF(LEFT(Cockpit!$C$5,1)="A",H1515,IF(CA1515=1,CB1515,IF(LEFT(Cockpit!$C$5,1)="B",AJ1515,MAX(AJ1515,H1515))))</f>
        <v>15</v>
      </c>
      <c r="AG1515" s="57" t="n">
        <f aca="false">IF(BT1515=1,0,ROUNDUP(AF1515/BS1515,0))</f>
        <v>1</v>
      </c>
      <c r="AH1515" s="59" t="n">
        <f aca="false">IF(CH1515&gt;0,CH1515*MAX(1,AF1515/X1515),IF(BT1515=1,IF(AF1515&lt;=0,0,BW1515*MAX(1,IF(H1515&gt;0,AF1515/H1515,1))),IF(R1515&gt;0,AG1515/R1515,0))/MAX(0.1,N(Parameter!$M$21)))</f>
        <v>0.00757575757575758</v>
      </c>
      <c r="AI1515" s="57" t="n">
        <f aca="false">AF1515*G1515</f>
        <v>605.4</v>
      </c>
      <c r="AJ1515" s="57" t="n">
        <f aca="false">ROUNDUP(MAX(J1515/IF(BZ1515&gt;0,BZ1515,MAX(0.1,N(Cockpit!$C$6))),CC1515)/BS1515,0)*BS1515</f>
        <v>15</v>
      </c>
      <c r="AK1515" s="58" t="n">
        <f aca="false">IF(AH1515&gt;0,J1515/AH1515,-1)</f>
        <v>0</v>
      </c>
      <c r="AL1515" s="58" t="n">
        <f aca="false">IF(AND(OR(BY1515="L1",BY1515="L23"),AH1515&gt;0),SUMIFS($AH$7:$AH$1843,$BY$7:$BY$1843,BY1515,$AK$7:$AK$1843,"&gt;"&amp;AK1515)+SUMIFS($AH$7:$AH$1843,$BY$7:$BY$1843,BY1515,$AK$7:$AK$1843,AK1515,$BQ$7:$BQ$1843,"&lt;="&amp;BQ1515),"")</f>
        <v>82.1995540691193</v>
      </c>
      <c r="AM1515" s="65" t="n">
        <f aca="false">IF(AL1515="",0,MAX(0,MIN(1,(IF(BY1515="L1",Parameter!$E$5,Parameter!$E$6+Parameter!$E$7)-(AL1515-AH1515))/AH1515)))</f>
        <v>1</v>
      </c>
      <c r="AN1515" s="57" t="n">
        <f aca="false">IF(LEFT(Cockpit!$I$5,1)="A",H1515,IF(CA1515=1,CB1515,IF(LEFT(Cockpit!$I$5,1)="B",AR1515,MAX(AR1515,H1515))))</f>
        <v>15</v>
      </c>
      <c r="AO1515" s="57" t="n">
        <f aca="false">IF(BT1515=1,0,ROUNDUP(AN1515/BS1515,0))</f>
        <v>1</v>
      </c>
      <c r="AP1515" s="59" t="n">
        <f aca="false">IF(CH1515&gt;0,CH1515*MAX(1,AN1515/X1515),IF(BT1515=1,IF(AN1515&lt;=0,0,BW1515*MAX(1,IF(H1515&gt;0,AN1515/H1515,1))),IF(R1515&gt;0,AO1515/R1515,0))/MAX(0.1,N(Parameter!$M$21)))</f>
        <v>0.00757575757575758</v>
      </c>
      <c r="AQ1515" s="57" t="n">
        <f aca="false">AN1515*G1515</f>
        <v>605.4</v>
      </c>
      <c r="AR1515" s="57" t="n">
        <f aca="false">ROUNDUP(MAX(J1515/IF(BZ1515&gt;0,BZ1515,MAX(0.1,N(Cockpit!$I$6))),CC1515)/BS1515,0)*BS1515</f>
        <v>15</v>
      </c>
      <c r="AS1515" s="58" t="n">
        <f aca="false">IF(AP1515&gt;0,J1515/AP1515,-1)</f>
        <v>0</v>
      </c>
      <c r="AT1515" s="58" t="n">
        <f aca="false">IF(AND(OR(BY1515="L1",BY1515="L23"),AP1515&gt;0),SUMIFS($AP$7:$AP$1843,$BY$7:$BY$1843,BY1515,$AS$7:$AS$1843,"&gt;"&amp;AS1515)+SUMIFS($AP$7:$AP$1843,$BY$7:$BY$1843,BY1515,$AS$7:$AS$1843,AS1515,$BQ$7:$BQ$1843,"&lt;="&amp;BQ1515),"")</f>
        <v>127.121989121989</v>
      </c>
      <c r="AU1515" s="65" t="n">
        <f aca="false">IF(AT1515="",0,MAX(0,MIN(1,(IF(BY1515="L1",Parameter!$E$5,Parameter!$E$6+Parameter!$E$7)-(AT1515-AP1515))/AP1515)))</f>
        <v>0</v>
      </c>
      <c r="AV1515" s="57" t="n">
        <f aca="false">IF(LEFT(Cockpit!$O$5,1)="A",H1515,IF(CA1515=1,CB1515,IF(LEFT(Cockpit!$O$5,1)="B",AZ1515,MAX(AZ1515,H1515))))</f>
        <v>15</v>
      </c>
      <c r="AW1515" s="57" t="n">
        <f aca="false">IF(BT1515=1,0,ROUNDUP(AV1515/BS1515,0))</f>
        <v>1</v>
      </c>
      <c r="AX1515" s="59" t="n">
        <f aca="false">IF(CH1515&gt;0,CH1515*MAX(1,AV1515/X1515),IF(BT1515=1,IF(AV1515&lt;=0,0,BW1515*MAX(1,IF(H1515&gt;0,AV1515/H1515,1))),IF(R1515&gt;0,AW1515/R1515,0))/MAX(0.1,N(Parameter!$M$21)))</f>
        <v>0.00757575757575758</v>
      </c>
      <c r="AY1515" s="57" t="n">
        <f aca="false">AV1515*G1515</f>
        <v>605.4</v>
      </c>
      <c r="AZ1515" s="57" t="n">
        <f aca="false">ROUNDUP(MAX(J1515/IF(BZ1515&gt;0,BZ1515,MAX(0.1,N(Cockpit!$O$6))),CC1515)/BS1515,0)*BS1515</f>
        <v>15</v>
      </c>
      <c r="BA1515" s="58" t="n">
        <f aca="false">IF(AX1515&gt;0,J1515/AX1515,-1)</f>
        <v>0</v>
      </c>
      <c r="BB1515" s="58" t="n">
        <f aca="false">IF(AND(OR(BY1515="L1",BY1515="L23"),AX1515&gt;0),SUMIFS($AX$7:$AX$1843,$BY$7:$BY$1843,BY1515,$BA$7:$BA$1843,"&gt;"&amp;BA1515)+SUMIFS($AX$7:$AX$1843,$BY$7:$BY$1843,BY1515,$BA$7:$BA$1843,BA1515,$BQ$7:$BQ$1843,"&lt;="&amp;BQ1515),"")</f>
        <v>117.951825951826</v>
      </c>
      <c r="BC1515" s="65" t="n">
        <f aca="false">IF(BB1515="",0,MAX(0,MIN(1,(IF(BY1515="L1",Parameter!$E$5,Parameter!$E$6+Parameter!$E$7)-(BB1515-AX1515))/AX1515)))</f>
        <v>0</v>
      </c>
      <c r="BD1515" s="55" t="str">
        <f aca="false">IF(AH1515&lt;=0,"",IF(BY1515="Aussen","Aussenlager",IF(BY1515="-","Nicht im Lift",IF(AM1515&gt;=1,"Lift",IF(AM1515&lt;=0,"Aussenlager","teilweise")))))</f>
        <v>Lift</v>
      </c>
      <c r="BE1515" s="55" t="str">
        <f aca="false">IF(AP1515&lt;=0,"",IF(BY1515="Aussen","Aussenlager",IF(BY1515="-","Nicht im Lift",IF(AU1515&gt;=1,"Lift",IF(AU1515&lt;=0,"Aussenlager","teilweise")))))</f>
        <v>Aussenlager</v>
      </c>
      <c r="BF1515" s="55" t="str">
        <f aca="false">IF(AX1515&lt;=0,"",IF(BY1515="Aussen","Aussenlager",IF(BY1515="-","Nicht im Lift",IF(BC1515&gt;=1,"Lift",IF(BC1515&lt;=0,"Aussenlager","teilweise")))))</f>
        <v>Aussenlager</v>
      </c>
      <c r="BG1515" s="55" t="str">
        <f aca="false">IF(A1515="","",IF(BP1515=1,"Neu; ","")&amp;IF(AND(BP1515=0,BK1515&lt;0),"negativer Bestand (Export "&amp;BK1515&amp;"); ","")&amp;IF(J1515&lt;=0,"Kein Verbrauch; ","")&amp;IF(CH1515&gt;0,"Lift "&amp;W1515&amp;" lt. Liftbericht (Fach "&amp;X1515&amp;" Stk); ",IF(BU1515=1,"Gebinde geschätzt ("&amp;T1515&amp;"); ",IF(BT1515=1,"Lose – Tablare geschätzt; ","")))&amp;IF(H1515&gt;AR1515,"Überbestand "&amp;ROUND(H1515-AR1515,0)&amp;" Stk / CHF "&amp;ROUND((H1515-AR1515)*G1515,0)&amp;"; ","")&amp;IF(AND(CA1515=1,CB1515&lt;CC1515),"MAX &lt; MB+LG; ","")&amp;IF(AND(CG1515&gt;0,CF1515*10&gt;CG1515),"zu hoch für Tablar; ","")&amp;IF(AND(BP1515=0,OR(CA1515=1,AA1515&lt;&gt;"",U1515&lt;&gt;"",V1515&lt;&gt;"",AB1515&lt;&gt;"")),"manuell übersteuert; ","")&amp;IF(AND(BT1515=0,R1515=0),"Gebinde unbekannt / Stellmass fehlt; ","")&amp;IF(AND(BT1515=0,N(V1515)&lt;=0,N(Q1515)&lt;=0),"Menge pro Gebinde fehlt (Ist = 1 Gebinde); ","")&amp;BO1515)</f>
        <v>Kein Verbrauch; nur im Artikelstamm (Bestand 23.06.2026); Überbestand</v>
      </c>
      <c r="BH1515" s="55"/>
      <c r="BI1515" s="55"/>
      <c r="BJ1515" s="62"/>
      <c r="BK1515" s="57" t="n">
        <v>15</v>
      </c>
      <c r="BL1515" s="57" t="n">
        <v>0</v>
      </c>
      <c r="BM1515" s="56" t="n">
        <v>0</v>
      </c>
      <c r="BN1515" s="57" t="n">
        <v>0</v>
      </c>
      <c r="BO1515" s="55" t="s">
        <v>2572</v>
      </c>
      <c r="BP1515" s="60" t="n">
        <v>0</v>
      </c>
      <c r="BQ1515" s="60" t="n">
        <v>1515</v>
      </c>
      <c r="BR1515" s="55" t="str">
        <f aca="false">IF(U1515&lt;&gt;"",UPPER(TRIM(U1515)),IF(BU1515=1,UPPER(VLOOKUP(T1515,Parameter!$I$27:$K$29,2,0)),IF(P1515="","LOSE",P1515)))</f>
        <v>S32</v>
      </c>
      <c r="BS1515" s="57" t="n">
        <f aca="false">IF(BR1515="LOSE",1,IF(N(V1515)&gt;0,V1515,IF(BU1515=1,MAX(1,N(VLOOKUP(T1515,Parameter!$I$27:$K$29,3,0)),H1515,N(N1515)),IF(N(Q1515)&gt;0,Q1515,MAX(1,H1515)))))</f>
        <v>15</v>
      </c>
      <c r="BT1515" s="60" t="n">
        <f aca="false">IF(BR1515="LOSE",1,0)</f>
        <v>0</v>
      </c>
      <c r="BU1515" s="60" t="n">
        <f aca="false">IF(AND(U1515="",OR(P1515="",P1515="LOSE"),T1515&lt;&gt;"",N(S1515)&lt;=0,ISNUMBER(MATCH(T1515,Parameter!$I$27:$I$29,0))),1,0)</f>
        <v>0</v>
      </c>
      <c r="BV1515" s="55" t="str">
        <f aca="false">IF(AND(Parameter!$B$19="Ja",E1515&lt;&gt;"",ISNUMBER(MATCH(E1515,Parameter!$I$35:$I$52,0))),VLOOKUP(E1515,Parameter!$I$35:$J$52,2,0),IFERROR(VLOOKUP(D1515,Parameter!$A$35:$C$64,2,0),"Nein"))</f>
        <v>2+3</v>
      </c>
      <c r="BW1515" s="59" t="n">
        <f aca="false">IF(BT1515=0,0,IF(N(S1515)&gt;0,S1515,IFERROR(VLOOKUP(D1515,Parameter!$A$35:$C$64,3,0)+0,0)))</f>
        <v>0</v>
      </c>
      <c r="BX1515" s="55" t="n">
        <f aca="false">IF(AA1515&lt;&gt;"",AA1515,Z1515)</f>
        <v>3</v>
      </c>
      <c r="BY1515" s="55" t="str">
        <f aca="false">IF(BX1515=1,"L1",IF(OR(BX1515=2,BX1515=3),"L23",IF(BX1515="Aussen","Aussen","-")))</f>
        <v>L23</v>
      </c>
      <c r="BZ1515" s="66" t="n">
        <f aca="false">IF(N(AB1515)&gt;0,AB1515,0)</f>
        <v>0</v>
      </c>
      <c r="CA1515" s="60" t="n">
        <f aca="false">IF(ISNUMBER(AE1515),1,0)</f>
        <v>0</v>
      </c>
      <c r="CB1515" s="57" t="n">
        <f aca="false">N(AE1515)</f>
        <v>0</v>
      </c>
      <c r="CC1515" s="57" t="n">
        <f aca="false">N(M1515)+N(N1515)</f>
        <v>10</v>
      </c>
      <c r="CD1515" s="57" t="n">
        <f aca="false">ROUNDUP(H1515/BS1515,0)</f>
        <v>1</v>
      </c>
      <c r="CE1515" s="57" t="n">
        <f aca="false">ROUNDUP(CB1515/BS1515,0)</f>
        <v>0</v>
      </c>
      <c r="CF1515" s="60" t="n">
        <f aca="false">IF(BT1515=1,0,IFERROR(VLOOKUP(BR1515,'Gebinde-Kategorie'!$A$5:$M$45,5,0)+0,0))</f>
        <v>8</v>
      </c>
      <c r="CG1515" s="60" t="n">
        <f aca="false">IFERROR(IF(OR(BX1515=1,BX1515=2,BX1515=3),N(INDEX(Parameter!$I$5:$I$7,BX1515)),0),0)</f>
        <v>0</v>
      </c>
      <c r="CH1515" s="59" t="n">
        <f aca="false">IF(AND(Parameter!$B$21="Ja",ISNUMBER(W1515),N(X1515)&gt;0),IFERROR(N(INDEX(Parameter!$L$5:$L$7,W1515))*INDEX(Parameter!$E$5:$E$7,W1515)*X1515/SUMIFS($X$7:$X$1843,$W$7:$W$1843,W1515),0),0)</f>
        <v>0</v>
      </c>
    </row>
    <row r="1516" customFormat="false" ht="15" hidden="false" customHeight="false" outlineLevel="0" collapsed="false">
      <c r="A1516" s="55" t="s">
        <v>2652</v>
      </c>
      <c r="B1516" s="55" t="s">
        <v>2653</v>
      </c>
      <c r="C1516" s="55" t="s">
        <v>164</v>
      </c>
      <c r="D1516" s="55" t="s">
        <v>184</v>
      </c>
      <c r="E1516" s="55" t="s">
        <v>185</v>
      </c>
      <c r="F1516" s="55"/>
      <c r="G1516" s="56" t="n">
        <v>55.95</v>
      </c>
      <c r="H1516" s="57" t="n">
        <f aca="false">MAX(0,IF(AND(Parameter!$B$21="Ja",ISNUMBER(Y1516)),Y1516,IF(Parameter!$B$20="Jahresanfang 2025 + Export",BL1516+BK1516,BK1516)))</f>
        <v>7</v>
      </c>
      <c r="I1516" s="57" t="n">
        <f aca="false">H1516*G1516</f>
        <v>391.65</v>
      </c>
      <c r="J1516" s="57" t="n">
        <f aca="false">BN1516*Parameter!$B$18</f>
        <v>0</v>
      </c>
      <c r="K1516" s="58"/>
      <c r="L1516" s="59"/>
      <c r="M1516" s="57" t="n">
        <v>0</v>
      </c>
      <c r="N1516" s="57" t="n">
        <v>3</v>
      </c>
      <c r="O1516" s="60" t="n">
        <v>28</v>
      </c>
      <c r="P1516" s="55" t="s">
        <v>421</v>
      </c>
      <c r="Q1516" s="57" t="n">
        <v>7</v>
      </c>
      <c r="R1516" s="60" t="n">
        <f aca="false">IF(BT1516=1,0,IFERROR(VLOOKUP(BR1516,'Gebinde-Kategorie'!$A$5:$M$45,13,0)+0,0))</f>
        <v>132</v>
      </c>
      <c r="S1516" s="61"/>
      <c r="T1516" s="62"/>
      <c r="U1516" s="62"/>
      <c r="V1516" s="62"/>
      <c r="W1516" s="55"/>
      <c r="X1516" s="57"/>
      <c r="Y1516" s="57"/>
      <c r="Z1516" s="55" t="n">
        <f aca="false">IF(A1516="","",IF(AND(Parameter!$B$21="Ja",ISNUMBER(W1516)),W1516,IF(BV1516="2+3",IF(ISNUMBER(SEARCH("grosser Artikel",BO1516)),2,IFERROR(VLOOKUP(BR1516,Parameter!$F$35:$G$64,2,0),2)),IF(OR(BV1516="Nein",BV1516=""),"-",BV1516))))</f>
        <v>3</v>
      </c>
      <c r="AA1516" s="62"/>
      <c r="AB1516" s="63"/>
      <c r="AC1516" s="57" t="n">
        <f aca="false">AR1516</f>
        <v>7</v>
      </c>
      <c r="AD1516" s="57" t="n">
        <f aca="false">MAX(AR1516,H1516)</f>
        <v>7</v>
      </c>
      <c r="AE1516" s="64"/>
      <c r="AF1516" s="57" t="n">
        <f aca="false">IF(LEFT(Cockpit!$C$5,1)="A",H1516,IF(CA1516=1,CB1516,IF(LEFT(Cockpit!$C$5,1)="B",AJ1516,MAX(AJ1516,H1516))))</f>
        <v>7</v>
      </c>
      <c r="AG1516" s="57" t="n">
        <f aca="false">IF(BT1516=1,0,ROUNDUP(AF1516/BS1516,0))</f>
        <v>1</v>
      </c>
      <c r="AH1516" s="59" t="n">
        <f aca="false">IF(CH1516&gt;0,CH1516*MAX(1,AF1516/X1516),IF(BT1516=1,IF(AF1516&lt;=0,0,BW1516*MAX(1,IF(H1516&gt;0,AF1516/H1516,1))),IF(R1516&gt;0,AG1516/R1516,0))/MAX(0.1,N(Parameter!$M$21)))</f>
        <v>0.00757575757575758</v>
      </c>
      <c r="AI1516" s="57" t="n">
        <f aca="false">AF1516*G1516</f>
        <v>391.65</v>
      </c>
      <c r="AJ1516" s="57" t="n">
        <f aca="false">ROUNDUP(MAX(J1516/IF(BZ1516&gt;0,BZ1516,MAX(0.1,N(Cockpit!$C$6))),CC1516)/BS1516,0)*BS1516</f>
        <v>7</v>
      </c>
      <c r="AK1516" s="58" t="n">
        <f aca="false">IF(AH1516&gt;0,J1516/AH1516,-1)</f>
        <v>0</v>
      </c>
      <c r="AL1516" s="58" t="n">
        <f aca="false">IF(AND(OR(BY1516="L1",BY1516="L23"),AH1516&gt;0),SUMIFS($AH$7:$AH$1843,$BY$7:$BY$1843,BY1516,$AK$7:$AK$1843,"&gt;"&amp;AK1516)+SUMIFS($AH$7:$AH$1843,$BY$7:$BY$1843,BY1516,$AK$7:$AK$1843,AK1516,$BQ$7:$BQ$1843,"&lt;="&amp;BQ1516),"")</f>
        <v>82.2071298266951</v>
      </c>
      <c r="AM1516" s="65" t="n">
        <f aca="false">IF(AL1516="",0,MAX(0,MIN(1,(IF(BY1516="L1",Parameter!$E$5,Parameter!$E$6+Parameter!$E$7)-(AL1516-AH1516))/AH1516)))</f>
        <v>1</v>
      </c>
      <c r="AN1516" s="57" t="n">
        <f aca="false">IF(LEFT(Cockpit!$I$5,1)="A",H1516,IF(CA1516=1,CB1516,IF(LEFT(Cockpit!$I$5,1)="B",AR1516,MAX(AR1516,H1516))))</f>
        <v>7</v>
      </c>
      <c r="AO1516" s="57" t="n">
        <f aca="false">IF(BT1516=1,0,ROUNDUP(AN1516/BS1516,0))</f>
        <v>1</v>
      </c>
      <c r="AP1516" s="59" t="n">
        <f aca="false">IF(CH1516&gt;0,CH1516*MAX(1,AN1516/X1516),IF(BT1516=1,IF(AN1516&lt;=0,0,BW1516*MAX(1,IF(H1516&gt;0,AN1516/H1516,1))),IF(R1516&gt;0,AO1516/R1516,0))/MAX(0.1,N(Parameter!$M$21)))</f>
        <v>0.00757575757575758</v>
      </c>
      <c r="AQ1516" s="57" t="n">
        <f aca="false">AN1516*G1516</f>
        <v>391.65</v>
      </c>
      <c r="AR1516" s="57" t="n">
        <f aca="false">ROUNDUP(MAX(J1516/IF(BZ1516&gt;0,BZ1516,MAX(0.1,N(Cockpit!$I$6))),CC1516)/BS1516,0)*BS1516</f>
        <v>7</v>
      </c>
      <c r="AS1516" s="58" t="n">
        <f aca="false">IF(AP1516&gt;0,J1516/AP1516,-1)</f>
        <v>0</v>
      </c>
      <c r="AT1516" s="58" t="n">
        <f aca="false">IF(AND(OR(BY1516="L1",BY1516="L23"),AP1516&gt;0),SUMIFS($AP$7:$AP$1843,$BY$7:$BY$1843,BY1516,$AS$7:$AS$1843,"&gt;"&amp;AS1516)+SUMIFS($AP$7:$AP$1843,$BY$7:$BY$1843,BY1516,$AS$7:$AS$1843,AS1516,$BQ$7:$BQ$1843,"&lt;="&amp;BQ1516),"")</f>
        <v>127.129564879565</v>
      </c>
      <c r="AU1516" s="65" t="n">
        <f aca="false">IF(AT1516="",0,MAX(0,MIN(1,(IF(BY1516="L1",Parameter!$E$5,Parameter!$E$6+Parameter!$E$7)-(AT1516-AP1516))/AP1516)))</f>
        <v>0</v>
      </c>
      <c r="AV1516" s="57" t="n">
        <f aca="false">IF(LEFT(Cockpit!$O$5,1)="A",H1516,IF(CA1516=1,CB1516,IF(LEFT(Cockpit!$O$5,1)="B",AZ1516,MAX(AZ1516,H1516))))</f>
        <v>7</v>
      </c>
      <c r="AW1516" s="57" t="n">
        <f aca="false">IF(BT1516=1,0,ROUNDUP(AV1516/BS1516,0))</f>
        <v>1</v>
      </c>
      <c r="AX1516" s="59" t="n">
        <f aca="false">IF(CH1516&gt;0,CH1516*MAX(1,AV1516/X1516),IF(BT1516=1,IF(AV1516&lt;=0,0,BW1516*MAX(1,IF(H1516&gt;0,AV1516/H1516,1))),IF(R1516&gt;0,AW1516/R1516,0))/MAX(0.1,N(Parameter!$M$21)))</f>
        <v>0.00757575757575758</v>
      </c>
      <c r="AY1516" s="57" t="n">
        <f aca="false">AV1516*G1516</f>
        <v>391.65</v>
      </c>
      <c r="AZ1516" s="57" t="n">
        <f aca="false">ROUNDUP(MAX(J1516/IF(BZ1516&gt;0,BZ1516,MAX(0.1,N(Cockpit!$O$6))),CC1516)/BS1516,0)*BS1516</f>
        <v>7</v>
      </c>
      <c r="BA1516" s="58" t="n">
        <f aca="false">IF(AX1516&gt;0,J1516/AX1516,-1)</f>
        <v>0</v>
      </c>
      <c r="BB1516" s="58" t="n">
        <f aca="false">IF(AND(OR(BY1516="L1",BY1516="L23"),AX1516&gt;0),SUMIFS($AX$7:$AX$1843,$BY$7:$BY$1843,BY1516,$BA$7:$BA$1843,"&gt;"&amp;BA1516)+SUMIFS($AX$7:$AX$1843,$BY$7:$BY$1843,BY1516,$BA$7:$BA$1843,BA1516,$BQ$7:$BQ$1843,"&lt;="&amp;BQ1516),"")</f>
        <v>117.959401709402</v>
      </c>
      <c r="BC1516" s="65" t="n">
        <f aca="false">IF(BB1516="",0,MAX(0,MIN(1,(IF(BY1516="L1",Parameter!$E$5,Parameter!$E$6+Parameter!$E$7)-(BB1516-AX1516))/AX1516)))</f>
        <v>0</v>
      </c>
      <c r="BD1516" s="55" t="str">
        <f aca="false">IF(AH1516&lt;=0,"",IF(BY1516="Aussen","Aussenlager",IF(BY1516="-","Nicht im Lift",IF(AM1516&gt;=1,"Lift",IF(AM1516&lt;=0,"Aussenlager","teilweise")))))</f>
        <v>Lift</v>
      </c>
      <c r="BE1516" s="55" t="str">
        <f aca="false">IF(AP1516&lt;=0,"",IF(BY1516="Aussen","Aussenlager",IF(BY1516="-","Nicht im Lift",IF(AU1516&gt;=1,"Lift",IF(AU1516&lt;=0,"Aussenlager","teilweise")))))</f>
        <v>Aussenlager</v>
      </c>
      <c r="BF1516" s="55" t="str">
        <f aca="false">IF(AX1516&lt;=0,"",IF(BY1516="Aussen","Aussenlager",IF(BY1516="-","Nicht im Lift",IF(BC1516&gt;=1,"Lift",IF(BC1516&lt;=0,"Aussenlager","teilweise")))))</f>
        <v>Aussenlager</v>
      </c>
      <c r="BG1516" s="55" t="str">
        <f aca="false">IF(A1516="","",IF(BP1516=1,"Neu; ","")&amp;IF(AND(BP1516=0,BK1516&lt;0),"negativer Bestand (Export "&amp;BK1516&amp;"); ","")&amp;IF(J1516&lt;=0,"Kein Verbrauch; ","")&amp;IF(CH1516&gt;0,"Lift "&amp;W1516&amp;" lt. Liftbericht (Fach "&amp;X1516&amp;" Stk); ",IF(BU1516=1,"Gebinde geschätzt ("&amp;T1516&amp;"); ",IF(BT1516=1,"Lose – Tablare geschätzt; ","")))&amp;IF(H1516&gt;AR1516,"Überbestand "&amp;ROUND(H1516-AR1516,0)&amp;" Stk / CHF "&amp;ROUND((H1516-AR1516)*G1516,0)&amp;"; ","")&amp;IF(AND(CA1516=1,CB1516&lt;CC1516),"MAX &lt; MB+LG; ","")&amp;IF(AND(CG1516&gt;0,CF1516*10&gt;CG1516),"zu hoch für Tablar; ","")&amp;IF(AND(BP1516=0,OR(CA1516=1,AA1516&lt;&gt;"",U1516&lt;&gt;"",V1516&lt;&gt;"",AB1516&lt;&gt;"")),"manuell übersteuert; ","")&amp;IF(AND(BT1516=0,R1516=0),"Gebinde unbekannt / Stellmass fehlt; ","")&amp;IF(AND(BT1516=0,N(V1516)&lt;=0,N(Q1516)&lt;=0),"Menge pro Gebinde fehlt (Ist = 1 Gebinde); ","")&amp;BO1516)</f>
        <v>Kein Verbrauch; nur im Artikelstamm (Bestand 23.06.2026); Verb.Lager</v>
      </c>
      <c r="BH1516" s="55"/>
      <c r="BI1516" s="55"/>
      <c r="BJ1516" s="62"/>
      <c r="BK1516" s="57" t="n">
        <v>7</v>
      </c>
      <c r="BL1516" s="57" t="n">
        <v>0</v>
      </c>
      <c r="BM1516" s="56" t="n">
        <v>0</v>
      </c>
      <c r="BN1516" s="57" t="n">
        <v>0</v>
      </c>
      <c r="BO1516" s="55" t="s">
        <v>2569</v>
      </c>
      <c r="BP1516" s="60" t="n">
        <v>0</v>
      </c>
      <c r="BQ1516" s="60" t="n">
        <v>1516</v>
      </c>
      <c r="BR1516" s="55" t="str">
        <f aca="false">IF(U1516&lt;&gt;"",UPPER(TRIM(U1516)),IF(BU1516=1,UPPER(VLOOKUP(T1516,Parameter!$I$27:$K$29,2,0)),IF(P1516="","LOSE",P1516)))</f>
        <v>S32</v>
      </c>
      <c r="BS1516" s="57" t="n">
        <f aca="false">IF(BR1516="LOSE",1,IF(N(V1516)&gt;0,V1516,IF(BU1516=1,MAX(1,N(VLOOKUP(T1516,Parameter!$I$27:$K$29,3,0)),H1516,N(N1516)),IF(N(Q1516)&gt;0,Q1516,MAX(1,H1516)))))</f>
        <v>7</v>
      </c>
      <c r="BT1516" s="60" t="n">
        <f aca="false">IF(BR1516="LOSE",1,0)</f>
        <v>0</v>
      </c>
      <c r="BU1516" s="60" t="n">
        <f aca="false">IF(AND(U1516="",OR(P1516="",P1516="LOSE"),T1516&lt;&gt;"",N(S1516)&lt;=0,ISNUMBER(MATCH(T1516,Parameter!$I$27:$I$29,0))),1,0)</f>
        <v>0</v>
      </c>
      <c r="BV1516" s="55" t="str">
        <f aca="false">IF(AND(Parameter!$B$19="Ja",E1516&lt;&gt;"",ISNUMBER(MATCH(E1516,Parameter!$I$35:$I$52,0))),VLOOKUP(E1516,Parameter!$I$35:$J$52,2,0),IFERROR(VLOOKUP(D1516,Parameter!$A$35:$C$64,2,0),"Nein"))</f>
        <v>2+3</v>
      </c>
      <c r="BW1516" s="59" t="n">
        <f aca="false">IF(BT1516=0,0,IF(N(S1516)&gt;0,S1516,IFERROR(VLOOKUP(D1516,Parameter!$A$35:$C$64,3,0)+0,0)))</f>
        <v>0</v>
      </c>
      <c r="BX1516" s="55" t="n">
        <f aca="false">IF(AA1516&lt;&gt;"",AA1516,Z1516)</f>
        <v>3</v>
      </c>
      <c r="BY1516" s="55" t="str">
        <f aca="false">IF(BX1516=1,"L1",IF(OR(BX1516=2,BX1516=3),"L23",IF(BX1516="Aussen","Aussen","-")))</f>
        <v>L23</v>
      </c>
      <c r="BZ1516" s="66" t="n">
        <f aca="false">IF(N(AB1516)&gt;0,AB1516,0)</f>
        <v>0</v>
      </c>
      <c r="CA1516" s="60" t="n">
        <f aca="false">IF(ISNUMBER(AE1516),1,0)</f>
        <v>0</v>
      </c>
      <c r="CB1516" s="57" t="n">
        <f aca="false">N(AE1516)</f>
        <v>0</v>
      </c>
      <c r="CC1516" s="57" t="n">
        <f aca="false">N(M1516)+N(N1516)</f>
        <v>3</v>
      </c>
      <c r="CD1516" s="57" t="n">
        <f aca="false">ROUNDUP(H1516/BS1516,0)</f>
        <v>1</v>
      </c>
      <c r="CE1516" s="57" t="n">
        <f aca="false">ROUNDUP(CB1516/BS1516,0)</f>
        <v>0</v>
      </c>
      <c r="CF1516" s="60" t="n">
        <f aca="false">IF(BT1516=1,0,IFERROR(VLOOKUP(BR1516,'Gebinde-Kategorie'!$A$5:$M$45,5,0)+0,0))</f>
        <v>8</v>
      </c>
      <c r="CG1516" s="60" t="n">
        <f aca="false">IFERROR(IF(OR(BX1516=1,BX1516=2,BX1516=3),N(INDEX(Parameter!$I$5:$I$7,BX1516)),0),0)</f>
        <v>0</v>
      </c>
      <c r="CH1516" s="59" t="n">
        <f aca="false">IF(AND(Parameter!$B$21="Ja",ISNUMBER(W1516),N(X1516)&gt;0),IFERROR(N(INDEX(Parameter!$L$5:$L$7,W1516))*INDEX(Parameter!$E$5:$E$7,W1516)*X1516/SUMIFS($X$7:$X$1843,$W$7:$W$1843,W1516),0),0)</f>
        <v>0</v>
      </c>
    </row>
    <row r="1517" customFormat="false" ht="15" hidden="false" customHeight="false" outlineLevel="0" collapsed="false">
      <c r="A1517" s="55" t="s">
        <v>2654</v>
      </c>
      <c r="B1517" s="55" t="s">
        <v>2655</v>
      </c>
      <c r="C1517" s="55" t="s">
        <v>164</v>
      </c>
      <c r="D1517" s="55" t="s">
        <v>184</v>
      </c>
      <c r="E1517" s="55" t="s">
        <v>185</v>
      </c>
      <c r="F1517" s="55"/>
      <c r="G1517" s="56" t="n">
        <v>76.11</v>
      </c>
      <c r="H1517" s="57" t="n">
        <f aca="false">MAX(0,IF(AND(Parameter!$B$21="Ja",ISNUMBER(Y1517)),Y1517,IF(Parameter!$B$20="Jahresanfang 2025 + Export",BL1517+BK1517,BK1517)))</f>
        <v>78</v>
      </c>
      <c r="I1517" s="57" t="n">
        <f aca="false">H1517*G1517</f>
        <v>5936.58</v>
      </c>
      <c r="J1517" s="57" t="n">
        <f aca="false">BN1517*Parameter!$B$18</f>
        <v>0</v>
      </c>
      <c r="K1517" s="58"/>
      <c r="L1517" s="59"/>
      <c r="M1517" s="57" t="n">
        <v>0</v>
      </c>
      <c r="N1517" s="57" t="n">
        <v>10</v>
      </c>
      <c r="O1517" s="60" t="n">
        <v>42</v>
      </c>
      <c r="P1517" s="55" t="s">
        <v>293</v>
      </c>
      <c r="Q1517" s="57" t="n">
        <v>78</v>
      </c>
      <c r="R1517" s="60" t="n">
        <f aca="false">IF(BT1517=1,0,IFERROR(VLOOKUP(BR1517,'Gebinde-Kategorie'!$A$5:$M$45,13,0)+0,0))</f>
        <v>12</v>
      </c>
      <c r="S1517" s="61"/>
      <c r="T1517" s="62"/>
      <c r="U1517" s="62"/>
      <c r="V1517" s="62"/>
      <c r="W1517" s="55"/>
      <c r="X1517" s="57"/>
      <c r="Y1517" s="57"/>
      <c r="Z1517" s="55" t="n">
        <f aca="false">IF(A1517="","",IF(AND(Parameter!$B$21="Ja",ISNUMBER(W1517)),W1517,IF(BV1517="2+3",IF(ISNUMBER(SEARCH("grosser Artikel",BO1517)),2,IFERROR(VLOOKUP(BR1517,Parameter!$F$35:$G$64,2,0),2)),IF(OR(BV1517="Nein",BV1517=""),"-",BV1517))))</f>
        <v>2</v>
      </c>
      <c r="AA1517" s="62"/>
      <c r="AB1517" s="63"/>
      <c r="AC1517" s="57" t="n">
        <f aca="false">AR1517</f>
        <v>78</v>
      </c>
      <c r="AD1517" s="57" t="n">
        <f aca="false">MAX(AR1517,H1517)</f>
        <v>78</v>
      </c>
      <c r="AE1517" s="64"/>
      <c r="AF1517" s="57" t="n">
        <f aca="false">IF(LEFT(Cockpit!$C$5,1)="A",H1517,IF(CA1517=1,CB1517,IF(LEFT(Cockpit!$C$5,1)="B",AJ1517,MAX(AJ1517,H1517))))</f>
        <v>78</v>
      </c>
      <c r="AG1517" s="57" t="n">
        <f aca="false">IF(BT1517=1,0,ROUNDUP(AF1517/BS1517,0))</f>
        <v>1</v>
      </c>
      <c r="AH1517" s="59" t="n">
        <f aca="false">IF(CH1517&gt;0,CH1517*MAX(1,AF1517/X1517),IF(BT1517=1,IF(AF1517&lt;=0,0,BW1517*MAX(1,IF(H1517&gt;0,AF1517/H1517,1))),IF(R1517&gt;0,AG1517/R1517,0))/MAX(0.1,N(Parameter!$M$21)))</f>
        <v>0.0833333333333333</v>
      </c>
      <c r="AI1517" s="57" t="n">
        <f aca="false">AF1517*G1517</f>
        <v>5936.58</v>
      </c>
      <c r="AJ1517" s="57" t="n">
        <f aca="false">ROUNDUP(MAX(J1517/IF(BZ1517&gt;0,BZ1517,MAX(0.1,N(Cockpit!$C$6))),CC1517)/BS1517,0)*BS1517</f>
        <v>78</v>
      </c>
      <c r="AK1517" s="58" t="n">
        <f aca="false">IF(AH1517&gt;0,J1517/AH1517,-1)</f>
        <v>0</v>
      </c>
      <c r="AL1517" s="58" t="n">
        <f aca="false">IF(AND(OR(BY1517="L1",BY1517="L23"),AH1517&gt;0),SUMIFS($AH$7:$AH$1843,$BY$7:$BY$1843,BY1517,$AK$7:$AK$1843,"&gt;"&amp;AK1517)+SUMIFS($AH$7:$AH$1843,$BY$7:$BY$1843,BY1517,$AK$7:$AK$1843,AK1517,$BQ$7:$BQ$1843,"&lt;="&amp;BQ1517),"")</f>
        <v>82.2904631600284</v>
      </c>
      <c r="AM1517" s="65" t="n">
        <f aca="false">IF(AL1517="",0,MAX(0,MIN(1,(IF(BY1517="L1",Parameter!$E$5,Parameter!$E$6+Parameter!$E$7)-(AL1517-AH1517))/AH1517)))</f>
        <v>1</v>
      </c>
      <c r="AN1517" s="57" t="n">
        <f aca="false">IF(LEFT(Cockpit!$I$5,1)="A",H1517,IF(CA1517=1,CB1517,IF(LEFT(Cockpit!$I$5,1)="B",AR1517,MAX(AR1517,H1517))))</f>
        <v>78</v>
      </c>
      <c r="AO1517" s="57" t="n">
        <f aca="false">IF(BT1517=1,0,ROUNDUP(AN1517/BS1517,0))</f>
        <v>1</v>
      </c>
      <c r="AP1517" s="59" t="n">
        <f aca="false">IF(CH1517&gt;0,CH1517*MAX(1,AN1517/X1517),IF(BT1517=1,IF(AN1517&lt;=0,0,BW1517*MAX(1,IF(H1517&gt;0,AN1517/H1517,1))),IF(R1517&gt;0,AO1517/R1517,0))/MAX(0.1,N(Parameter!$M$21)))</f>
        <v>0.0833333333333333</v>
      </c>
      <c r="AQ1517" s="57" t="n">
        <f aca="false">AN1517*G1517</f>
        <v>5936.58</v>
      </c>
      <c r="AR1517" s="57" t="n">
        <f aca="false">ROUNDUP(MAX(J1517/IF(BZ1517&gt;0,BZ1517,MAX(0.1,N(Cockpit!$I$6))),CC1517)/BS1517,0)*BS1517</f>
        <v>78</v>
      </c>
      <c r="AS1517" s="58" t="n">
        <f aca="false">IF(AP1517&gt;0,J1517/AP1517,-1)</f>
        <v>0</v>
      </c>
      <c r="AT1517" s="58" t="n">
        <f aca="false">IF(AND(OR(BY1517="L1",BY1517="L23"),AP1517&gt;0),SUMIFS($AP$7:$AP$1843,$BY$7:$BY$1843,BY1517,$AS$7:$AS$1843,"&gt;"&amp;AS1517)+SUMIFS($AP$7:$AP$1843,$BY$7:$BY$1843,BY1517,$AS$7:$AS$1843,AS1517,$BQ$7:$BQ$1843,"&lt;="&amp;BQ1517),"")</f>
        <v>127.212898212898</v>
      </c>
      <c r="AU1517" s="65" t="n">
        <f aca="false">IF(AT1517="",0,MAX(0,MIN(1,(IF(BY1517="L1",Parameter!$E$5,Parameter!$E$6+Parameter!$E$7)-(AT1517-AP1517))/AP1517)))</f>
        <v>0</v>
      </c>
      <c r="AV1517" s="57" t="n">
        <f aca="false">IF(LEFT(Cockpit!$O$5,1)="A",H1517,IF(CA1517=1,CB1517,IF(LEFT(Cockpit!$O$5,1)="B",AZ1517,MAX(AZ1517,H1517))))</f>
        <v>78</v>
      </c>
      <c r="AW1517" s="57" t="n">
        <f aca="false">IF(BT1517=1,0,ROUNDUP(AV1517/BS1517,0))</f>
        <v>1</v>
      </c>
      <c r="AX1517" s="59" t="n">
        <f aca="false">IF(CH1517&gt;0,CH1517*MAX(1,AV1517/X1517),IF(BT1517=1,IF(AV1517&lt;=0,0,BW1517*MAX(1,IF(H1517&gt;0,AV1517/H1517,1))),IF(R1517&gt;0,AW1517/R1517,0))/MAX(0.1,N(Parameter!$M$21)))</f>
        <v>0.0833333333333333</v>
      </c>
      <c r="AY1517" s="57" t="n">
        <f aca="false">AV1517*G1517</f>
        <v>5936.58</v>
      </c>
      <c r="AZ1517" s="57" t="n">
        <f aca="false">ROUNDUP(MAX(J1517/IF(BZ1517&gt;0,BZ1517,MAX(0.1,N(Cockpit!$O$6))),CC1517)/BS1517,0)*BS1517</f>
        <v>78</v>
      </c>
      <c r="BA1517" s="58" t="n">
        <f aca="false">IF(AX1517&gt;0,J1517/AX1517,-1)</f>
        <v>0</v>
      </c>
      <c r="BB1517" s="58" t="n">
        <f aca="false">IF(AND(OR(BY1517="L1",BY1517="L23"),AX1517&gt;0),SUMIFS($AX$7:$AX$1843,$BY$7:$BY$1843,BY1517,$BA$7:$BA$1843,"&gt;"&amp;BA1517)+SUMIFS($AX$7:$AX$1843,$BY$7:$BY$1843,BY1517,$BA$7:$BA$1843,BA1517,$BQ$7:$BQ$1843,"&lt;="&amp;BQ1517),"")</f>
        <v>118.042735042735</v>
      </c>
      <c r="BC1517" s="65" t="n">
        <f aca="false">IF(BB1517="",0,MAX(0,MIN(1,(IF(BY1517="L1",Parameter!$E$5,Parameter!$E$6+Parameter!$E$7)-(BB1517-AX1517))/AX1517)))</f>
        <v>0</v>
      </c>
      <c r="BD1517" s="55" t="str">
        <f aca="false">IF(AH1517&lt;=0,"",IF(BY1517="Aussen","Aussenlager",IF(BY1517="-","Nicht im Lift",IF(AM1517&gt;=1,"Lift",IF(AM1517&lt;=0,"Aussenlager","teilweise")))))</f>
        <v>Lift</v>
      </c>
      <c r="BE1517" s="55" t="str">
        <f aca="false">IF(AP1517&lt;=0,"",IF(BY1517="Aussen","Aussenlager",IF(BY1517="-","Nicht im Lift",IF(AU1517&gt;=1,"Lift",IF(AU1517&lt;=0,"Aussenlager","teilweise")))))</f>
        <v>Aussenlager</v>
      </c>
      <c r="BF1517" s="55" t="str">
        <f aca="false">IF(AX1517&lt;=0,"",IF(BY1517="Aussen","Aussenlager",IF(BY1517="-","Nicht im Lift",IF(BC1517&gt;=1,"Lift",IF(BC1517&lt;=0,"Aussenlager","teilweise")))))</f>
        <v>Aussenlager</v>
      </c>
      <c r="BG1517" s="55" t="str">
        <f aca="false">IF(A1517="","",IF(BP1517=1,"Neu; ","")&amp;IF(AND(BP1517=0,BK1517&lt;0),"negativer Bestand (Export "&amp;BK1517&amp;"); ","")&amp;IF(J1517&lt;=0,"Kein Verbrauch; ","")&amp;IF(CH1517&gt;0,"Lift "&amp;W1517&amp;" lt. Liftbericht (Fach "&amp;X1517&amp;" Stk); ",IF(BU1517=1,"Gebinde geschätzt ("&amp;T1517&amp;"); ",IF(BT1517=1,"Lose – Tablare geschätzt; ","")))&amp;IF(H1517&gt;AR1517,"Überbestand "&amp;ROUND(H1517-AR1517,0)&amp;" Stk / CHF "&amp;ROUND((H1517-AR1517)*G1517,0)&amp;"; ","")&amp;IF(AND(CA1517=1,CB1517&lt;CC1517),"MAX &lt; MB+LG; ","")&amp;IF(AND(CG1517&gt;0,CF1517*10&gt;CG1517),"zu hoch für Tablar; ","")&amp;IF(AND(BP1517=0,OR(CA1517=1,AA1517&lt;&gt;"",U1517&lt;&gt;"",V1517&lt;&gt;"",AB1517&lt;&gt;"")),"manuell übersteuert; ","")&amp;IF(AND(BT1517=0,R1517=0),"Gebinde unbekannt / Stellmass fehlt; ","")&amp;IF(AND(BT1517=0,N(V1517)&lt;=0,N(Q1517)&lt;=0),"Menge pro Gebinde fehlt (Ist = 1 Gebinde); ","")&amp;BO1517)</f>
        <v>Kein Verbrauch; nur im Artikelstamm (Bestand 23.06.2026)</v>
      </c>
      <c r="BH1517" s="55"/>
      <c r="BI1517" s="55"/>
      <c r="BJ1517" s="62"/>
      <c r="BK1517" s="57" t="n">
        <v>78</v>
      </c>
      <c r="BL1517" s="57" t="n">
        <v>0</v>
      </c>
      <c r="BM1517" s="56" t="n">
        <v>0</v>
      </c>
      <c r="BN1517" s="57" t="n">
        <v>0</v>
      </c>
      <c r="BO1517" s="55" t="s">
        <v>2575</v>
      </c>
      <c r="BP1517" s="60" t="n">
        <v>0</v>
      </c>
      <c r="BQ1517" s="60" t="n">
        <v>1517</v>
      </c>
      <c r="BR1517" s="55" t="str">
        <f aca="false">IF(U1517&lt;&gt;"",UPPER(TRIM(U1517)),IF(BU1517=1,UPPER(VLOOKUP(T1517,Parameter!$I$27:$K$29,2,0)),IF(P1517="","LOSE",P1517)))</f>
        <v>S62</v>
      </c>
      <c r="BS1517" s="57" t="n">
        <f aca="false">IF(BR1517="LOSE",1,IF(N(V1517)&gt;0,V1517,IF(BU1517=1,MAX(1,N(VLOOKUP(T1517,Parameter!$I$27:$K$29,3,0)),H1517,N(N1517)),IF(N(Q1517)&gt;0,Q1517,MAX(1,H1517)))))</f>
        <v>78</v>
      </c>
      <c r="BT1517" s="60" t="n">
        <f aca="false">IF(BR1517="LOSE",1,0)</f>
        <v>0</v>
      </c>
      <c r="BU1517" s="60" t="n">
        <f aca="false">IF(AND(U1517="",OR(P1517="",P1517="LOSE"),T1517&lt;&gt;"",N(S1517)&lt;=0,ISNUMBER(MATCH(T1517,Parameter!$I$27:$I$29,0))),1,0)</f>
        <v>0</v>
      </c>
      <c r="BV1517" s="55" t="str">
        <f aca="false">IF(AND(Parameter!$B$19="Ja",E1517&lt;&gt;"",ISNUMBER(MATCH(E1517,Parameter!$I$35:$I$52,0))),VLOOKUP(E1517,Parameter!$I$35:$J$52,2,0),IFERROR(VLOOKUP(D1517,Parameter!$A$35:$C$64,2,0),"Nein"))</f>
        <v>2+3</v>
      </c>
      <c r="BW1517" s="59" t="n">
        <f aca="false">IF(BT1517=0,0,IF(N(S1517)&gt;0,S1517,IFERROR(VLOOKUP(D1517,Parameter!$A$35:$C$64,3,0)+0,0)))</f>
        <v>0</v>
      </c>
      <c r="BX1517" s="55" t="n">
        <f aca="false">IF(AA1517&lt;&gt;"",AA1517,Z1517)</f>
        <v>2</v>
      </c>
      <c r="BY1517" s="55" t="str">
        <f aca="false">IF(BX1517=1,"L1",IF(OR(BX1517=2,BX1517=3),"L23",IF(BX1517="Aussen","Aussen","-")))</f>
        <v>L23</v>
      </c>
      <c r="BZ1517" s="66" t="n">
        <f aca="false">IF(N(AB1517)&gt;0,AB1517,0)</f>
        <v>0</v>
      </c>
      <c r="CA1517" s="60" t="n">
        <f aca="false">IF(ISNUMBER(AE1517),1,0)</f>
        <v>0</v>
      </c>
      <c r="CB1517" s="57" t="n">
        <f aca="false">N(AE1517)</f>
        <v>0</v>
      </c>
      <c r="CC1517" s="57" t="n">
        <f aca="false">N(M1517)+N(N1517)</f>
        <v>10</v>
      </c>
      <c r="CD1517" s="57" t="n">
        <f aca="false">ROUNDUP(H1517/BS1517,0)</f>
        <v>1</v>
      </c>
      <c r="CE1517" s="57" t="n">
        <f aca="false">ROUNDUP(CB1517/BS1517,0)</f>
        <v>0</v>
      </c>
      <c r="CF1517" s="60" t="n">
        <f aca="false">IF(BT1517=1,0,IFERROR(VLOOKUP(BR1517,'Gebinde-Kategorie'!$A$5:$M$45,5,0)+0,0))</f>
        <v>21</v>
      </c>
      <c r="CG1517" s="60" t="n">
        <f aca="false">IFERROR(IF(OR(BX1517=1,BX1517=2,BX1517=3),N(INDEX(Parameter!$I$5:$I$7,BX1517)),0),0)</f>
        <v>0</v>
      </c>
      <c r="CH1517" s="59" t="n">
        <f aca="false">IF(AND(Parameter!$B$21="Ja",ISNUMBER(W1517),N(X1517)&gt;0),IFERROR(N(INDEX(Parameter!$L$5:$L$7,W1517))*INDEX(Parameter!$E$5:$E$7,W1517)*X1517/SUMIFS($X$7:$X$1843,$W$7:$W$1843,W1517),0),0)</f>
        <v>0</v>
      </c>
    </row>
    <row r="1518" customFormat="false" ht="15" hidden="false" customHeight="false" outlineLevel="0" collapsed="false">
      <c r="A1518" s="55" t="s">
        <v>2656</v>
      </c>
      <c r="B1518" s="55" t="s">
        <v>614</v>
      </c>
      <c r="C1518" s="55" t="s">
        <v>164</v>
      </c>
      <c r="D1518" s="55" t="s">
        <v>184</v>
      </c>
      <c r="E1518" s="55" t="s">
        <v>185</v>
      </c>
      <c r="F1518" s="55"/>
      <c r="G1518" s="56" t="n">
        <v>6.1</v>
      </c>
      <c r="H1518" s="57" t="n">
        <f aca="false">MAX(0,IF(AND(Parameter!$B$21="Ja",ISNUMBER(Y1518)),Y1518,IF(Parameter!$B$20="Jahresanfang 2025 + Export",BL1518+BK1518,BK1518)))</f>
        <v>2</v>
      </c>
      <c r="I1518" s="57" t="n">
        <f aca="false">H1518*G1518</f>
        <v>12.2</v>
      </c>
      <c r="J1518" s="57" t="n">
        <f aca="false">BN1518*Parameter!$B$18</f>
        <v>0</v>
      </c>
      <c r="K1518" s="58"/>
      <c r="L1518" s="59"/>
      <c r="M1518" s="57" t="n">
        <v>0</v>
      </c>
      <c r="N1518" s="57" t="n">
        <v>100</v>
      </c>
      <c r="O1518" s="60" t="n">
        <v>35</v>
      </c>
      <c r="P1518" s="55" t="s">
        <v>401</v>
      </c>
      <c r="Q1518" s="57" t="n">
        <v>2</v>
      </c>
      <c r="R1518" s="60" t="n">
        <f aca="false">IF(BT1518=1,0,IFERROR(VLOOKUP(BR1518,'Gebinde-Kategorie'!$A$5:$M$45,13,0)+0,0))</f>
        <v>414</v>
      </c>
      <c r="S1518" s="61"/>
      <c r="T1518" s="62"/>
      <c r="U1518" s="62"/>
      <c r="V1518" s="62"/>
      <c r="W1518" s="55"/>
      <c r="X1518" s="57"/>
      <c r="Y1518" s="57"/>
      <c r="Z1518" s="55" t="n">
        <f aca="false">IF(A1518="","",IF(AND(Parameter!$B$21="Ja",ISNUMBER(W1518)),W1518,IF(BV1518="2+3",IF(ISNUMBER(SEARCH("grosser Artikel",BO1518)),2,IFERROR(VLOOKUP(BR1518,Parameter!$F$35:$G$64,2,0),2)),IF(OR(BV1518="Nein",BV1518=""),"-",BV1518))))</f>
        <v>3</v>
      </c>
      <c r="AA1518" s="62"/>
      <c r="AB1518" s="63"/>
      <c r="AC1518" s="57" t="n">
        <f aca="false">AR1518</f>
        <v>100</v>
      </c>
      <c r="AD1518" s="57" t="n">
        <f aca="false">MAX(AR1518,H1518)</f>
        <v>100</v>
      </c>
      <c r="AE1518" s="64"/>
      <c r="AF1518" s="57" t="n">
        <f aca="false">IF(LEFT(Cockpit!$C$5,1)="A",H1518,IF(CA1518=1,CB1518,IF(LEFT(Cockpit!$C$5,1)="B",AJ1518,MAX(AJ1518,H1518))))</f>
        <v>2</v>
      </c>
      <c r="AG1518" s="57" t="n">
        <f aca="false">IF(BT1518=1,0,ROUNDUP(AF1518/BS1518,0))</f>
        <v>1</v>
      </c>
      <c r="AH1518" s="59" t="n">
        <f aca="false">IF(CH1518&gt;0,CH1518*MAX(1,AF1518/X1518),IF(BT1518=1,IF(AF1518&lt;=0,0,BW1518*MAX(1,IF(H1518&gt;0,AF1518/H1518,1))),IF(R1518&gt;0,AG1518/R1518,0))/MAX(0.1,N(Parameter!$M$21)))</f>
        <v>0.00241545893719807</v>
      </c>
      <c r="AI1518" s="57" t="n">
        <f aca="false">AF1518*G1518</f>
        <v>12.2</v>
      </c>
      <c r="AJ1518" s="57" t="n">
        <f aca="false">ROUNDUP(MAX(J1518/IF(BZ1518&gt;0,BZ1518,MAX(0.1,N(Cockpit!$C$6))),CC1518)/BS1518,0)*BS1518</f>
        <v>100</v>
      </c>
      <c r="AK1518" s="58" t="n">
        <f aca="false">IF(AH1518&gt;0,J1518/AH1518,-1)</f>
        <v>0</v>
      </c>
      <c r="AL1518" s="58" t="n">
        <f aca="false">IF(AND(OR(BY1518="L1",BY1518="L23"),AH1518&gt;0),SUMIFS($AH$7:$AH$1843,$BY$7:$BY$1843,BY1518,$AK$7:$AK$1843,"&gt;"&amp;AK1518)+SUMIFS($AH$7:$AH$1843,$BY$7:$BY$1843,BY1518,$AK$7:$AK$1843,AK1518,$BQ$7:$BQ$1843,"&lt;="&amp;BQ1518),"")</f>
        <v>82.2928786189656</v>
      </c>
      <c r="AM1518" s="65" t="n">
        <f aca="false">IF(AL1518="",0,MAX(0,MIN(1,(IF(BY1518="L1",Parameter!$E$5,Parameter!$E$6+Parameter!$E$7)-(AL1518-AH1518))/AH1518)))</f>
        <v>1</v>
      </c>
      <c r="AN1518" s="57" t="n">
        <f aca="false">IF(LEFT(Cockpit!$I$5,1)="A",H1518,IF(CA1518=1,CB1518,IF(LEFT(Cockpit!$I$5,1)="B",AR1518,MAX(AR1518,H1518))))</f>
        <v>100</v>
      </c>
      <c r="AO1518" s="57" t="n">
        <f aca="false">IF(BT1518=1,0,ROUNDUP(AN1518/BS1518,0))</f>
        <v>50</v>
      </c>
      <c r="AP1518" s="59" t="n">
        <f aca="false">IF(CH1518&gt;0,CH1518*MAX(1,AN1518/X1518),IF(BT1518=1,IF(AN1518&lt;=0,0,BW1518*MAX(1,IF(H1518&gt;0,AN1518/H1518,1))),IF(R1518&gt;0,AO1518/R1518,0))/MAX(0.1,N(Parameter!$M$21)))</f>
        <v>0.120772946859903</v>
      </c>
      <c r="AQ1518" s="57" t="n">
        <f aca="false">AN1518*G1518</f>
        <v>610</v>
      </c>
      <c r="AR1518" s="57" t="n">
        <f aca="false">ROUNDUP(MAX(J1518/IF(BZ1518&gt;0,BZ1518,MAX(0.1,N(Cockpit!$I$6))),CC1518)/BS1518,0)*BS1518</f>
        <v>100</v>
      </c>
      <c r="AS1518" s="58" t="n">
        <f aca="false">IF(AP1518&gt;0,J1518/AP1518,-1)</f>
        <v>0</v>
      </c>
      <c r="AT1518" s="58" t="n">
        <f aca="false">IF(AND(OR(BY1518="L1",BY1518="L23"),AP1518&gt;0),SUMIFS($AP$7:$AP$1843,$BY$7:$BY$1843,BY1518,$AS$7:$AS$1843,"&gt;"&amp;AS1518)+SUMIFS($AP$7:$AP$1843,$BY$7:$BY$1843,BY1518,$AS$7:$AS$1843,AS1518,$BQ$7:$BQ$1843,"&lt;="&amp;BQ1518),"")</f>
        <v>127.333671159758</v>
      </c>
      <c r="AU1518" s="65" t="n">
        <f aca="false">IF(AT1518="",0,MAX(0,MIN(1,(IF(BY1518="L1",Parameter!$E$5,Parameter!$E$6+Parameter!$E$7)-(AT1518-AP1518))/AP1518)))</f>
        <v>0</v>
      </c>
      <c r="AV1518" s="57" t="n">
        <f aca="false">IF(LEFT(Cockpit!$O$5,1)="A",H1518,IF(CA1518=1,CB1518,IF(LEFT(Cockpit!$O$5,1)="B",AZ1518,MAX(AZ1518,H1518))))</f>
        <v>100</v>
      </c>
      <c r="AW1518" s="57" t="n">
        <f aca="false">IF(BT1518=1,0,ROUNDUP(AV1518/BS1518,0))</f>
        <v>50</v>
      </c>
      <c r="AX1518" s="59" t="n">
        <f aca="false">IF(CH1518&gt;0,CH1518*MAX(1,AV1518/X1518),IF(BT1518=1,IF(AV1518&lt;=0,0,BW1518*MAX(1,IF(H1518&gt;0,AV1518/H1518,1))),IF(R1518&gt;0,AW1518/R1518,0))/MAX(0.1,N(Parameter!$M$21)))</f>
        <v>0.120772946859903</v>
      </c>
      <c r="AY1518" s="57" t="n">
        <f aca="false">AV1518*G1518</f>
        <v>610</v>
      </c>
      <c r="AZ1518" s="57" t="n">
        <f aca="false">ROUNDUP(MAX(J1518/IF(BZ1518&gt;0,BZ1518,MAX(0.1,N(Cockpit!$O$6))),CC1518)/BS1518,0)*BS1518</f>
        <v>100</v>
      </c>
      <c r="BA1518" s="58" t="n">
        <f aca="false">IF(AX1518&gt;0,J1518/AX1518,-1)</f>
        <v>0</v>
      </c>
      <c r="BB1518" s="58" t="n">
        <f aca="false">IF(AND(OR(BY1518="L1",BY1518="L23"),AX1518&gt;0),SUMIFS($AX$7:$AX$1843,$BY$7:$BY$1843,BY1518,$BA$7:$BA$1843,"&gt;"&amp;BA1518)+SUMIFS($AX$7:$AX$1843,$BY$7:$BY$1843,BY1518,$BA$7:$BA$1843,BA1518,$BQ$7:$BQ$1843,"&lt;="&amp;BQ1518),"")</f>
        <v>118.163507989595</v>
      </c>
      <c r="BC1518" s="65" t="n">
        <f aca="false">IF(BB1518="",0,MAX(0,MIN(1,(IF(BY1518="L1",Parameter!$E$5,Parameter!$E$6+Parameter!$E$7)-(BB1518-AX1518))/AX1518)))</f>
        <v>0</v>
      </c>
      <c r="BD1518" s="55" t="str">
        <f aca="false">IF(AH1518&lt;=0,"",IF(BY1518="Aussen","Aussenlager",IF(BY1518="-","Nicht im Lift",IF(AM1518&gt;=1,"Lift",IF(AM1518&lt;=0,"Aussenlager","teilweise")))))</f>
        <v>Lift</v>
      </c>
      <c r="BE1518" s="55" t="str">
        <f aca="false">IF(AP1518&lt;=0,"",IF(BY1518="Aussen","Aussenlager",IF(BY1518="-","Nicht im Lift",IF(AU1518&gt;=1,"Lift",IF(AU1518&lt;=0,"Aussenlager","teilweise")))))</f>
        <v>Aussenlager</v>
      </c>
      <c r="BF1518" s="55" t="str">
        <f aca="false">IF(AX1518&lt;=0,"",IF(BY1518="Aussen","Aussenlager",IF(BY1518="-","Nicht im Lift",IF(BC1518&gt;=1,"Lift",IF(BC1518&lt;=0,"Aussenlager","teilweise")))))</f>
        <v>Aussenlager</v>
      </c>
      <c r="BG1518" s="55" t="str">
        <f aca="false">IF(A1518="","",IF(BP1518=1,"Neu; ","")&amp;IF(AND(BP1518=0,BK1518&lt;0),"negativer Bestand (Export "&amp;BK1518&amp;"); ","")&amp;IF(J1518&lt;=0,"Kein Verbrauch; ","")&amp;IF(CH1518&gt;0,"Lift "&amp;W1518&amp;" lt. Liftbericht (Fach "&amp;X1518&amp;" Stk); ",IF(BU1518=1,"Gebinde geschätzt ("&amp;T1518&amp;"); ",IF(BT1518=1,"Lose – Tablare geschätzt; ","")))&amp;IF(H1518&gt;AR1518,"Überbestand "&amp;ROUND(H1518-AR1518,0)&amp;" Stk / CHF "&amp;ROUND((H1518-AR1518)*G1518,0)&amp;"; ","")&amp;IF(AND(CA1518=1,CB1518&lt;CC1518),"MAX &lt; MB+LG; ","")&amp;IF(AND(CG1518&gt;0,CF1518*10&gt;CG1518),"zu hoch für Tablar; ","")&amp;IF(AND(BP1518=0,OR(CA1518=1,AA1518&lt;&gt;"",U1518&lt;&gt;"",V1518&lt;&gt;"",AB1518&lt;&gt;"")),"manuell übersteuert; ","")&amp;IF(AND(BT1518=0,R1518=0),"Gebinde unbekannt / Stellmass fehlt; ","")&amp;IF(AND(BT1518=0,N(V1518)&lt;=0,N(Q1518)&lt;=0),"Menge pro Gebinde fehlt (Ist = 1 Gebinde); ","")&amp;BO1518)</f>
        <v>Kein Verbrauch; nur im Artikelstamm (Bestand 23.06.2026)</v>
      </c>
      <c r="BH1518" s="55"/>
      <c r="BI1518" s="55"/>
      <c r="BJ1518" s="62"/>
      <c r="BK1518" s="57" t="n">
        <v>2</v>
      </c>
      <c r="BL1518" s="57" t="n">
        <v>0</v>
      </c>
      <c r="BM1518" s="56" t="n">
        <v>0</v>
      </c>
      <c r="BN1518" s="57" t="n">
        <v>0</v>
      </c>
      <c r="BO1518" s="55" t="s">
        <v>2575</v>
      </c>
      <c r="BP1518" s="60" t="n">
        <v>0</v>
      </c>
      <c r="BQ1518" s="60" t="n">
        <v>1518</v>
      </c>
      <c r="BR1518" s="55" t="str">
        <f aca="false">IF(U1518&lt;&gt;"",UPPER(TRIM(U1518)),IF(BU1518=1,UPPER(VLOOKUP(T1518,Parameter!$I$27:$K$29,2,0)),IF(P1518="","LOSE",P1518)))</f>
        <v>S21</v>
      </c>
      <c r="BS1518" s="57" t="n">
        <f aca="false">IF(BR1518="LOSE",1,IF(N(V1518)&gt;0,V1518,IF(BU1518=1,MAX(1,N(VLOOKUP(T1518,Parameter!$I$27:$K$29,3,0)),H1518,N(N1518)),IF(N(Q1518)&gt;0,Q1518,MAX(1,H1518)))))</f>
        <v>2</v>
      </c>
      <c r="BT1518" s="60" t="n">
        <f aca="false">IF(BR1518="LOSE",1,0)</f>
        <v>0</v>
      </c>
      <c r="BU1518" s="60" t="n">
        <f aca="false">IF(AND(U1518="",OR(P1518="",P1518="LOSE"),T1518&lt;&gt;"",N(S1518)&lt;=0,ISNUMBER(MATCH(T1518,Parameter!$I$27:$I$29,0))),1,0)</f>
        <v>0</v>
      </c>
      <c r="BV1518" s="55" t="str">
        <f aca="false">IF(AND(Parameter!$B$19="Ja",E1518&lt;&gt;"",ISNUMBER(MATCH(E1518,Parameter!$I$35:$I$52,0))),VLOOKUP(E1518,Parameter!$I$35:$J$52,2,0),IFERROR(VLOOKUP(D1518,Parameter!$A$35:$C$64,2,0),"Nein"))</f>
        <v>2+3</v>
      </c>
      <c r="BW1518" s="59" t="n">
        <f aca="false">IF(BT1518=0,0,IF(N(S1518)&gt;0,S1518,IFERROR(VLOOKUP(D1518,Parameter!$A$35:$C$64,3,0)+0,0)))</f>
        <v>0</v>
      </c>
      <c r="BX1518" s="55" t="n">
        <f aca="false">IF(AA1518&lt;&gt;"",AA1518,Z1518)</f>
        <v>3</v>
      </c>
      <c r="BY1518" s="55" t="str">
        <f aca="false">IF(BX1518=1,"L1",IF(OR(BX1518=2,BX1518=3),"L23",IF(BX1518="Aussen","Aussen","-")))</f>
        <v>L23</v>
      </c>
      <c r="BZ1518" s="66" t="n">
        <f aca="false">IF(N(AB1518)&gt;0,AB1518,0)</f>
        <v>0</v>
      </c>
      <c r="CA1518" s="60" t="n">
        <f aca="false">IF(ISNUMBER(AE1518),1,0)</f>
        <v>0</v>
      </c>
      <c r="CB1518" s="57" t="n">
        <f aca="false">N(AE1518)</f>
        <v>0</v>
      </c>
      <c r="CC1518" s="57" t="n">
        <f aca="false">N(M1518)+N(N1518)</f>
        <v>100</v>
      </c>
      <c r="CD1518" s="57" t="n">
        <f aca="false">ROUNDUP(H1518/BS1518,0)</f>
        <v>1</v>
      </c>
      <c r="CE1518" s="57" t="n">
        <f aca="false">ROUNDUP(CB1518/BS1518,0)</f>
        <v>0</v>
      </c>
      <c r="CF1518" s="60" t="n">
        <f aca="false">IF(BT1518=1,0,IFERROR(VLOOKUP(BR1518,'Gebinde-Kategorie'!$A$5:$M$45,5,0)+0,0))</f>
        <v>8</v>
      </c>
      <c r="CG1518" s="60" t="n">
        <f aca="false">IFERROR(IF(OR(BX1518=1,BX1518=2,BX1518=3),N(INDEX(Parameter!$I$5:$I$7,BX1518)),0),0)</f>
        <v>0</v>
      </c>
      <c r="CH1518" s="59" t="n">
        <f aca="false">IF(AND(Parameter!$B$21="Ja",ISNUMBER(W1518),N(X1518)&gt;0),IFERROR(N(INDEX(Parameter!$L$5:$L$7,W1518))*INDEX(Parameter!$E$5:$E$7,W1518)*X1518/SUMIFS($X$7:$X$1843,$W$7:$W$1843,W1518),0),0)</f>
        <v>0</v>
      </c>
    </row>
    <row r="1519" customFormat="false" ht="15" hidden="false" customHeight="false" outlineLevel="0" collapsed="false">
      <c r="A1519" s="55" t="s">
        <v>2657</v>
      </c>
      <c r="B1519" s="55" t="s">
        <v>2658</v>
      </c>
      <c r="C1519" s="55" t="s">
        <v>164</v>
      </c>
      <c r="D1519" s="55" t="s">
        <v>173</v>
      </c>
      <c r="E1519" s="55" t="s">
        <v>185</v>
      </c>
      <c r="F1519" s="55"/>
      <c r="G1519" s="56" t="n">
        <v>409</v>
      </c>
      <c r="H1519" s="57" t="n">
        <f aca="false">MAX(0,IF(AND(Parameter!$B$21="Ja",ISNUMBER(Y1519)),Y1519,IF(Parameter!$B$20="Jahresanfang 2025 + Export",BL1519+BK1519,BK1519)))</f>
        <v>2</v>
      </c>
      <c r="I1519" s="57" t="n">
        <f aca="false">H1519*G1519</f>
        <v>818</v>
      </c>
      <c r="J1519" s="57" t="n">
        <f aca="false">BN1519*Parameter!$B$18</f>
        <v>0</v>
      </c>
      <c r="K1519" s="58"/>
      <c r="L1519" s="59"/>
      <c r="M1519" s="57" t="n">
        <v>0</v>
      </c>
      <c r="N1519" s="57" t="n">
        <v>2</v>
      </c>
      <c r="O1519" s="60" t="n">
        <v>56</v>
      </c>
      <c r="P1519" s="55" t="s">
        <v>302</v>
      </c>
      <c r="Q1519" s="57" t="n">
        <v>2</v>
      </c>
      <c r="R1519" s="60" t="n">
        <f aca="false">IF(BT1519=1,0,IFERROR(VLOOKUP(BR1519,'Gebinde-Kategorie'!$A$5:$M$45,13,0)+0,0))</f>
        <v>26</v>
      </c>
      <c r="S1519" s="61"/>
      <c r="T1519" s="62"/>
      <c r="U1519" s="62"/>
      <c r="V1519" s="62"/>
      <c r="W1519" s="55"/>
      <c r="X1519" s="57"/>
      <c r="Y1519" s="57"/>
      <c r="Z1519" s="55" t="n">
        <f aca="false">IF(A1519="","",IF(AND(Parameter!$B$21="Ja",ISNUMBER(W1519)),W1519,IF(BV1519="2+3",IF(ISNUMBER(SEARCH("grosser Artikel",BO1519)),2,IFERROR(VLOOKUP(BR1519,Parameter!$F$35:$G$64,2,0),2)),IF(OR(BV1519="Nein",BV1519=""),"-",BV1519))))</f>
        <v>3</v>
      </c>
      <c r="AA1519" s="62"/>
      <c r="AB1519" s="63"/>
      <c r="AC1519" s="57" t="n">
        <f aca="false">AR1519</f>
        <v>2</v>
      </c>
      <c r="AD1519" s="57" t="n">
        <f aca="false">MAX(AR1519,H1519)</f>
        <v>2</v>
      </c>
      <c r="AE1519" s="64"/>
      <c r="AF1519" s="57" t="n">
        <f aca="false">IF(LEFT(Cockpit!$C$5,1)="A",H1519,IF(CA1519=1,CB1519,IF(LEFT(Cockpit!$C$5,1)="B",AJ1519,MAX(AJ1519,H1519))))</f>
        <v>2</v>
      </c>
      <c r="AG1519" s="57" t="n">
        <f aca="false">IF(BT1519=1,0,ROUNDUP(AF1519/BS1519,0))</f>
        <v>1</v>
      </c>
      <c r="AH1519" s="59" t="n">
        <f aca="false">IF(CH1519&gt;0,CH1519*MAX(1,AF1519/X1519),IF(BT1519=1,IF(AF1519&lt;=0,0,BW1519*MAX(1,IF(H1519&gt;0,AF1519/H1519,1))),IF(R1519&gt;0,AG1519/R1519,0))/MAX(0.1,N(Parameter!$M$21)))</f>
        <v>0.0384615384615385</v>
      </c>
      <c r="AI1519" s="57" t="n">
        <f aca="false">AF1519*G1519</f>
        <v>818</v>
      </c>
      <c r="AJ1519" s="57" t="n">
        <f aca="false">ROUNDUP(MAX(J1519/IF(BZ1519&gt;0,BZ1519,MAX(0.1,N(Cockpit!$C$6))),CC1519)/BS1519,0)*BS1519</f>
        <v>2</v>
      </c>
      <c r="AK1519" s="58" t="n">
        <f aca="false">IF(AH1519&gt;0,J1519/AH1519,-1)</f>
        <v>0</v>
      </c>
      <c r="AL1519" s="58" t="n">
        <f aca="false">IF(AND(OR(BY1519="L1",BY1519="L23"),AH1519&gt;0),SUMIFS($AH$7:$AH$1843,$BY$7:$BY$1843,BY1519,$AK$7:$AK$1843,"&gt;"&amp;AK1519)+SUMIFS($AH$7:$AH$1843,$BY$7:$BY$1843,BY1519,$AK$7:$AK$1843,AK1519,$BQ$7:$BQ$1843,"&lt;="&amp;BQ1519),"")</f>
        <v>82.3313401574271</v>
      </c>
      <c r="AM1519" s="65" t="n">
        <f aca="false">IF(AL1519="",0,MAX(0,MIN(1,(IF(BY1519="L1",Parameter!$E$5,Parameter!$E$6+Parameter!$E$7)-(AL1519-AH1519))/AH1519)))</f>
        <v>1</v>
      </c>
      <c r="AN1519" s="57" t="n">
        <f aca="false">IF(LEFT(Cockpit!$I$5,1)="A",H1519,IF(CA1519=1,CB1519,IF(LEFT(Cockpit!$I$5,1)="B",AR1519,MAX(AR1519,H1519))))</f>
        <v>2</v>
      </c>
      <c r="AO1519" s="57" t="n">
        <f aca="false">IF(BT1519=1,0,ROUNDUP(AN1519/BS1519,0))</f>
        <v>1</v>
      </c>
      <c r="AP1519" s="59" t="n">
        <f aca="false">IF(CH1519&gt;0,CH1519*MAX(1,AN1519/X1519),IF(BT1519=1,IF(AN1519&lt;=0,0,BW1519*MAX(1,IF(H1519&gt;0,AN1519/H1519,1))),IF(R1519&gt;0,AO1519/R1519,0))/MAX(0.1,N(Parameter!$M$21)))</f>
        <v>0.0384615384615385</v>
      </c>
      <c r="AQ1519" s="57" t="n">
        <f aca="false">AN1519*G1519</f>
        <v>818</v>
      </c>
      <c r="AR1519" s="57" t="n">
        <f aca="false">ROUNDUP(MAX(J1519/IF(BZ1519&gt;0,BZ1519,MAX(0.1,N(Cockpit!$I$6))),CC1519)/BS1519,0)*BS1519</f>
        <v>2</v>
      </c>
      <c r="AS1519" s="58" t="n">
        <f aca="false">IF(AP1519&gt;0,J1519/AP1519,-1)</f>
        <v>0</v>
      </c>
      <c r="AT1519" s="58" t="n">
        <f aca="false">IF(AND(OR(BY1519="L1",BY1519="L23"),AP1519&gt;0),SUMIFS($AP$7:$AP$1843,$BY$7:$BY$1843,BY1519,$AS$7:$AS$1843,"&gt;"&amp;AS1519)+SUMIFS($AP$7:$AP$1843,$BY$7:$BY$1843,BY1519,$AS$7:$AS$1843,AS1519,$BQ$7:$BQ$1843,"&lt;="&amp;BQ1519),"")</f>
        <v>127.37213269822</v>
      </c>
      <c r="AU1519" s="65" t="n">
        <f aca="false">IF(AT1519="",0,MAX(0,MIN(1,(IF(BY1519="L1",Parameter!$E$5,Parameter!$E$6+Parameter!$E$7)-(AT1519-AP1519))/AP1519)))</f>
        <v>0</v>
      </c>
      <c r="AV1519" s="57" t="n">
        <f aca="false">IF(LEFT(Cockpit!$O$5,1)="A",H1519,IF(CA1519=1,CB1519,IF(LEFT(Cockpit!$O$5,1)="B",AZ1519,MAX(AZ1519,H1519))))</f>
        <v>2</v>
      </c>
      <c r="AW1519" s="57" t="n">
        <f aca="false">IF(BT1519=1,0,ROUNDUP(AV1519/BS1519,0))</f>
        <v>1</v>
      </c>
      <c r="AX1519" s="59" t="n">
        <f aca="false">IF(CH1519&gt;0,CH1519*MAX(1,AV1519/X1519),IF(BT1519=1,IF(AV1519&lt;=0,0,BW1519*MAX(1,IF(H1519&gt;0,AV1519/H1519,1))),IF(R1519&gt;0,AW1519/R1519,0))/MAX(0.1,N(Parameter!$M$21)))</f>
        <v>0.0384615384615385</v>
      </c>
      <c r="AY1519" s="57" t="n">
        <f aca="false">AV1519*G1519</f>
        <v>818</v>
      </c>
      <c r="AZ1519" s="57" t="n">
        <f aca="false">ROUNDUP(MAX(J1519/IF(BZ1519&gt;0,BZ1519,MAX(0.1,N(Cockpit!$O$6))),CC1519)/BS1519,0)*BS1519</f>
        <v>2</v>
      </c>
      <c r="BA1519" s="58" t="n">
        <f aca="false">IF(AX1519&gt;0,J1519/AX1519,-1)</f>
        <v>0</v>
      </c>
      <c r="BB1519" s="58" t="n">
        <f aca="false">IF(AND(OR(BY1519="L1",BY1519="L23"),AX1519&gt;0),SUMIFS($AX$7:$AX$1843,$BY$7:$BY$1843,BY1519,$BA$7:$BA$1843,"&gt;"&amp;BA1519)+SUMIFS($AX$7:$AX$1843,$BY$7:$BY$1843,BY1519,$BA$7:$BA$1843,BA1519,$BQ$7:$BQ$1843,"&lt;="&amp;BQ1519),"")</f>
        <v>118.201969528056</v>
      </c>
      <c r="BC1519" s="65" t="n">
        <f aca="false">IF(BB1519="",0,MAX(0,MIN(1,(IF(BY1519="L1",Parameter!$E$5,Parameter!$E$6+Parameter!$E$7)-(BB1519-AX1519))/AX1519)))</f>
        <v>0</v>
      </c>
      <c r="BD1519" s="55" t="str">
        <f aca="false">IF(AH1519&lt;=0,"",IF(BY1519="Aussen","Aussenlager",IF(BY1519="-","Nicht im Lift",IF(AM1519&gt;=1,"Lift",IF(AM1519&lt;=0,"Aussenlager","teilweise")))))</f>
        <v>Lift</v>
      </c>
      <c r="BE1519" s="55" t="str">
        <f aca="false">IF(AP1519&lt;=0,"",IF(BY1519="Aussen","Aussenlager",IF(BY1519="-","Nicht im Lift",IF(AU1519&gt;=1,"Lift",IF(AU1519&lt;=0,"Aussenlager","teilweise")))))</f>
        <v>Aussenlager</v>
      </c>
      <c r="BF1519" s="55" t="str">
        <f aca="false">IF(AX1519&lt;=0,"",IF(BY1519="Aussen","Aussenlager",IF(BY1519="-","Nicht im Lift",IF(BC1519&gt;=1,"Lift",IF(BC1519&lt;=0,"Aussenlager","teilweise")))))</f>
        <v>Aussenlager</v>
      </c>
      <c r="BG1519" s="55" t="str">
        <f aca="false">IF(A1519="","",IF(BP1519=1,"Neu; ","")&amp;IF(AND(BP1519=0,BK1519&lt;0),"negativer Bestand (Export "&amp;BK1519&amp;"); ","")&amp;IF(J1519&lt;=0,"Kein Verbrauch; ","")&amp;IF(CH1519&gt;0,"Lift "&amp;W1519&amp;" lt. Liftbericht (Fach "&amp;X1519&amp;" Stk); ",IF(BU1519=1,"Gebinde geschätzt ("&amp;T1519&amp;"); ",IF(BT1519=1,"Lose – Tablare geschätzt; ","")))&amp;IF(H1519&gt;AR1519,"Überbestand "&amp;ROUND(H1519-AR1519,0)&amp;" Stk / CHF "&amp;ROUND((H1519-AR1519)*G1519,0)&amp;"; ","")&amp;IF(AND(CA1519=1,CB1519&lt;CC1519),"MAX &lt; MB+LG; ","")&amp;IF(AND(CG1519&gt;0,CF1519*10&gt;CG1519),"zu hoch für Tablar; ","")&amp;IF(AND(BP1519=0,OR(CA1519=1,AA1519&lt;&gt;"",U1519&lt;&gt;"",V1519&lt;&gt;"",AB1519&lt;&gt;"")),"manuell übersteuert; ","")&amp;IF(AND(BT1519=0,R1519=0),"Gebinde unbekannt / Stellmass fehlt; ","")&amp;IF(AND(BT1519=0,N(V1519)&lt;=0,N(Q1519)&lt;=0),"Menge pro Gebinde fehlt (Ist = 1 Gebinde); ","")&amp;BO1519)</f>
        <v>Kein Verbrauch; nur im Artikelstamm (Bestand 23.06.2026)</v>
      </c>
      <c r="BH1519" s="55"/>
      <c r="BI1519" s="55"/>
      <c r="BJ1519" s="62"/>
      <c r="BK1519" s="57" t="n">
        <v>2</v>
      </c>
      <c r="BL1519" s="57" t="n">
        <v>0</v>
      </c>
      <c r="BM1519" s="56" t="n">
        <v>0</v>
      </c>
      <c r="BN1519" s="57" t="n">
        <v>0</v>
      </c>
      <c r="BO1519" s="55" t="s">
        <v>2575</v>
      </c>
      <c r="BP1519" s="60" t="n">
        <v>0</v>
      </c>
      <c r="BQ1519" s="60" t="n">
        <v>1519</v>
      </c>
      <c r="BR1519" s="55" t="str">
        <f aca="false">IF(U1519&lt;&gt;"",UPPER(TRIM(U1519)),IF(BU1519=1,UPPER(VLOOKUP(T1519,Parameter!$I$27:$K$29,2,0)),IF(P1519="","LOSE",P1519)))</f>
        <v>S51</v>
      </c>
      <c r="BS1519" s="57" t="n">
        <f aca="false">IF(BR1519="LOSE",1,IF(N(V1519)&gt;0,V1519,IF(BU1519=1,MAX(1,N(VLOOKUP(T1519,Parameter!$I$27:$K$29,3,0)),H1519,N(N1519)),IF(N(Q1519)&gt;0,Q1519,MAX(1,H1519)))))</f>
        <v>2</v>
      </c>
      <c r="BT1519" s="60" t="n">
        <f aca="false">IF(BR1519="LOSE",1,0)</f>
        <v>0</v>
      </c>
      <c r="BU1519" s="60" t="n">
        <f aca="false">IF(AND(U1519="",OR(P1519="",P1519="LOSE"),T1519&lt;&gt;"",N(S1519)&lt;=0,ISNUMBER(MATCH(T1519,Parameter!$I$27:$I$29,0))),1,0)</f>
        <v>0</v>
      </c>
      <c r="BV1519" s="55" t="str">
        <f aca="false">IF(AND(Parameter!$B$19="Ja",E1519&lt;&gt;"",ISNUMBER(MATCH(E1519,Parameter!$I$35:$I$52,0))),VLOOKUP(E1519,Parameter!$I$35:$J$52,2,0),IFERROR(VLOOKUP(D1519,Parameter!$A$35:$C$64,2,0),"Nein"))</f>
        <v>2+3</v>
      </c>
      <c r="BW1519" s="59" t="n">
        <f aca="false">IF(BT1519=0,0,IF(N(S1519)&gt;0,S1519,IFERROR(VLOOKUP(D1519,Parameter!$A$35:$C$64,3,0)+0,0)))</f>
        <v>0</v>
      </c>
      <c r="BX1519" s="55" t="n">
        <f aca="false">IF(AA1519&lt;&gt;"",AA1519,Z1519)</f>
        <v>3</v>
      </c>
      <c r="BY1519" s="55" t="str">
        <f aca="false">IF(BX1519=1,"L1",IF(OR(BX1519=2,BX1519=3),"L23",IF(BX1519="Aussen","Aussen","-")))</f>
        <v>L23</v>
      </c>
      <c r="BZ1519" s="66" t="n">
        <f aca="false">IF(N(AB1519)&gt;0,AB1519,0)</f>
        <v>0</v>
      </c>
      <c r="CA1519" s="60" t="n">
        <f aca="false">IF(ISNUMBER(AE1519),1,0)</f>
        <v>0</v>
      </c>
      <c r="CB1519" s="57" t="n">
        <f aca="false">N(AE1519)</f>
        <v>0</v>
      </c>
      <c r="CC1519" s="57" t="n">
        <f aca="false">N(M1519)+N(N1519)</f>
        <v>2</v>
      </c>
      <c r="CD1519" s="57" t="n">
        <f aca="false">ROUNDUP(H1519/BS1519,0)</f>
        <v>1</v>
      </c>
      <c r="CE1519" s="57" t="n">
        <f aca="false">ROUNDUP(CB1519/BS1519,0)</f>
        <v>0</v>
      </c>
      <c r="CF1519" s="60" t="n">
        <f aca="false">IF(BT1519=1,0,IFERROR(VLOOKUP(BR1519,'Gebinde-Kategorie'!$A$5:$M$45,5,0)+0,0))</f>
        <v>11</v>
      </c>
      <c r="CG1519" s="60" t="n">
        <f aca="false">IFERROR(IF(OR(BX1519=1,BX1519=2,BX1519=3),N(INDEX(Parameter!$I$5:$I$7,BX1519)),0),0)</f>
        <v>0</v>
      </c>
      <c r="CH1519" s="59" t="n">
        <f aca="false">IF(AND(Parameter!$B$21="Ja",ISNUMBER(W1519),N(X1519)&gt;0),IFERROR(N(INDEX(Parameter!$L$5:$L$7,W1519))*INDEX(Parameter!$E$5:$E$7,W1519)*X1519/SUMIFS($X$7:$X$1843,$W$7:$W$1843,W1519),0),0)</f>
        <v>0</v>
      </c>
    </row>
    <row r="1520" customFormat="false" ht="15" hidden="false" customHeight="false" outlineLevel="0" collapsed="false">
      <c r="A1520" s="55" t="s">
        <v>2659</v>
      </c>
      <c r="B1520" s="55" t="s">
        <v>2660</v>
      </c>
      <c r="C1520" s="55" t="s">
        <v>164</v>
      </c>
      <c r="D1520" s="55" t="s">
        <v>184</v>
      </c>
      <c r="E1520" s="55" t="s">
        <v>185</v>
      </c>
      <c r="F1520" s="55"/>
      <c r="G1520" s="56" t="n">
        <v>195.79</v>
      </c>
      <c r="H1520" s="57" t="n">
        <f aca="false">MAX(0,IF(AND(Parameter!$B$21="Ja",ISNUMBER(Y1520)),Y1520,IF(Parameter!$B$20="Jahresanfang 2025 + Export",BL1520+BK1520,BK1520)))</f>
        <v>28</v>
      </c>
      <c r="I1520" s="57" t="n">
        <f aca="false">H1520*G1520</f>
        <v>5482.12</v>
      </c>
      <c r="J1520" s="57" t="n">
        <f aca="false">BN1520*Parameter!$B$18</f>
        <v>0</v>
      </c>
      <c r="K1520" s="58"/>
      <c r="L1520" s="59"/>
      <c r="M1520" s="57" t="n">
        <v>0</v>
      </c>
      <c r="N1520" s="57" t="n">
        <v>15</v>
      </c>
      <c r="O1520" s="60" t="n">
        <v>126</v>
      </c>
      <c r="P1520" s="55" t="s">
        <v>293</v>
      </c>
      <c r="Q1520" s="57" t="n">
        <v>28</v>
      </c>
      <c r="R1520" s="60" t="n">
        <f aca="false">IF(BT1520=1,0,IFERROR(VLOOKUP(BR1520,'Gebinde-Kategorie'!$A$5:$M$45,13,0)+0,0))</f>
        <v>12</v>
      </c>
      <c r="S1520" s="61"/>
      <c r="T1520" s="62"/>
      <c r="U1520" s="62"/>
      <c r="V1520" s="62"/>
      <c r="W1520" s="55"/>
      <c r="X1520" s="57"/>
      <c r="Y1520" s="57"/>
      <c r="Z1520" s="55" t="n">
        <f aca="false">IF(A1520="","",IF(AND(Parameter!$B$21="Ja",ISNUMBER(W1520)),W1520,IF(BV1520="2+3",IF(ISNUMBER(SEARCH("grosser Artikel",BO1520)),2,IFERROR(VLOOKUP(BR1520,Parameter!$F$35:$G$64,2,0),2)),IF(OR(BV1520="Nein",BV1520=""),"-",BV1520))))</f>
        <v>2</v>
      </c>
      <c r="AA1520" s="62"/>
      <c r="AB1520" s="63"/>
      <c r="AC1520" s="57" t="n">
        <f aca="false">AR1520</f>
        <v>28</v>
      </c>
      <c r="AD1520" s="57" t="n">
        <f aca="false">MAX(AR1520,H1520)</f>
        <v>28</v>
      </c>
      <c r="AE1520" s="64"/>
      <c r="AF1520" s="57" t="n">
        <f aca="false">IF(LEFT(Cockpit!$C$5,1)="A",H1520,IF(CA1520=1,CB1520,IF(LEFT(Cockpit!$C$5,1)="B",AJ1520,MAX(AJ1520,H1520))))</f>
        <v>28</v>
      </c>
      <c r="AG1520" s="57" t="n">
        <f aca="false">IF(BT1520=1,0,ROUNDUP(AF1520/BS1520,0))</f>
        <v>1</v>
      </c>
      <c r="AH1520" s="59" t="n">
        <f aca="false">IF(CH1520&gt;0,CH1520*MAX(1,AF1520/X1520),IF(BT1520=1,IF(AF1520&lt;=0,0,BW1520*MAX(1,IF(H1520&gt;0,AF1520/H1520,1))),IF(R1520&gt;0,AG1520/R1520,0))/MAX(0.1,N(Parameter!$M$21)))</f>
        <v>0.0833333333333333</v>
      </c>
      <c r="AI1520" s="57" t="n">
        <f aca="false">AF1520*G1520</f>
        <v>5482.12</v>
      </c>
      <c r="AJ1520" s="57" t="n">
        <f aca="false">ROUNDUP(MAX(J1520/IF(BZ1520&gt;0,BZ1520,MAX(0.1,N(Cockpit!$C$6))),CC1520)/BS1520,0)*BS1520</f>
        <v>28</v>
      </c>
      <c r="AK1520" s="58" t="n">
        <f aca="false">IF(AH1520&gt;0,J1520/AH1520,-1)</f>
        <v>0</v>
      </c>
      <c r="AL1520" s="58" t="n">
        <f aca="false">IF(AND(OR(BY1520="L1",BY1520="L23"),AH1520&gt;0),SUMIFS($AH$7:$AH$1843,$BY$7:$BY$1843,BY1520,$AK$7:$AK$1843,"&gt;"&amp;AK1520)+SUMIFS($AH$7:$AH$1843,$BY$7:$BY$1843,BY1520,$AK$7:$AK$1843,AK1520,$BQ$7:$BQ$1843,"&lt;="&amp;BQ1520),"")</f>
        <v>82.4146734907605</v>
      </c>
      <c r="AM1520" s="65" t="n">
        <f aca="false">IF(AL1520="",0,MAX(0,MIN(1,(IF(BY1520="L1",Parameter!$E$5,Parameter!$E$6+Parameter!$E$7)-(AL1520-AH1520))/AH1520)))</f>
        <v>1</v>
      </c>
      <c r="AN1520" s="57" t="n">
        <f aca="false">IF(LEFT(Cockpit!$I$5,1)="A",H1520,IF(CA1520=1,CB1520,IF(LEFT(Cockpit!$I$5,1)="B",AR1520,MAX(AR1520,H1520))))</f>
        <v>28</v>
      </c>
      <c r="AO1520" s="57" t="n">
        <f aca="false">IF(BT1520=1,0,ROUNDUP(AN1520/BS1520,0))</f>
        <v>1</v>
      </c>
      <c r="AP1520" s="59" t="n">
        <f aca="false">IF(CH1520&gt;0,CH1520*MAX(1,AN1520/X1520),IF(BT1520=1,IF(AN1520&lt;=0,0,BW1520*MAX(1,IF(H1520&gt;0,AN1520/H1520,1))),IF(R1520&gt;0,AO1520/R1520,0))/MAX(0.1,N(Parameter!$M$21)))</f>
        <v>0.0833333333333333</v>
      </c>
      <c r="AQ1520" s="57" t="n">
        <f aca="false">AN1520*G1520</f>
        <v>5482.12</v>
      </c>
      <c r="AR1520" s="57" t="n">
        <f aca="false">ROUNDUP(MAX(J1520/IF(BZ1520&gt;0,BZ1520,MAX(0.1,N(Cockpit!$I$6))),CC1520)/BS1520,0)*BS1520</f>
        <v>28</v>
      </c>
      <c r="AS1520" s="58" t="n">
        <f aca="false">IF(AP1520&gt;0,J1520/AP1520,-1)</f>
        <v>0</v>
      </c>
      <c r="AT1520" s="58" t="n">
        <f aca="false">IF(AND(OR(BY1520="L1",BY1520="L23"),AP1520&gt;0),SUMIFS($AP$7:$AP$1843,$BY$7:$BY$1843,BY1520,$AS$7:$AS$1843,"&gt;"&amp;AS1520)+SUMIFS($AP$7:$AP$1843,$BY$7:$BY$1843,BY1520,$AS$7:$AS$1843,AS1520,$BQ$7:$BQ$1843,"&lt;="&amp;BQ1520),"")</f>
        <v>127.455466031553</v>
      </c>
      <c r="AU1520" s="65" t="n">
        <f aca="false">IF(AT1520="",0,MAX(0,MIN(1,(IF(BY1520="L1",Parameter!$E$5,Parameter!$E$6+Parameter!$E$7)-(AT1520-AP1520))/AP1520)))</f>
        <v>0</v>
      </c>
      <c r="AV1520" s="57" t="n">
        <f aca="false">IF(LEFT(Cockpit!$O$5,1)="A",H1520,IF(CA1520=1,CB1520,IF(LEFT(Cockpit!$O$5,1)="B",AZ1520,MAX(AZ1520,H1520))))</f>
        <v>28</v>
      </c>
      <c r="AW1520" s="57" t="n">
        <f aca="false">IF(BT1520=1,0,ROUNDUP(AV1520/BS1520,0))</f>
        <v>1</v>
      </c>
      <c r="AX1520" s="59" t="n">
        <f aca="false">IF(CH1520&gt;0,CH1520*MAX(1,AV1520/X1520),IF(BT1520=1,IF(AV1520&lt;=0,0,BW1520*MAX(1,IF(H1520&gt;0,AV1520/H1520,1))),IF(R1520&gt;0,AW1520/R1520,0))/MAX(0.1,N(Parameter!$M$21)))</f>
        <v>0.0833333333333333</v>
      </c>
      <c r="AY1520" s="57" t="n">
        <f aca="false">AV1520*G1520</f>
        <v>5482.12</v>
      </c>
      <c r="AZ1520" s="57" t="n">
        <f aca="false">ROUNDUP(MAX(J1520/IF(BZ1520&gt;0,BZ1520,MAX(0.1,N(Cockpit!$O$6))),CC1520)/BS1520,0)*BS1520</f>
        <v>28</v>
      </c>
      <c r="BA1520" s="58" t="n">
        <f aca="false">IF(AX1520&gt;0,J1520/AX1520,-1)</f>
        <v>0</v>
      </c>
      <c r="BB1520" s="58" t="n">
        <f aca="false">IF(AND(OR(BY1520="L1",BY1520="L23"),AX1520&gt;0),SUMIFS($AX$7:$AX$1843,$BY$7:$BY$1843,BY1520,$BA$7:$BA$1843,"&gt;"&amp;BA1520)+SUMIFS($AX$7:$AX$1843,$BY$7:$BY$1843,BY1520,$BA$7:$BA$1843,BA1520,$BQ$7:$BQ$1843,"&lt;="&amp;BQ1520),"")</f>
        <v>118.28530286139</v>
      </c>
      <c r="BC1520" s="65" t="n">
        <f aca="false">IF(BB1520="",0,MAX(0,MIN(1,(IF(BY1520="L1",Parameter!$E$5,Parameter!$E$6+Parameter!$E$7)-(BB1520-AX1520))/AX1520)))</f>
        <v>0</v>
      </c>
      <c r="BD1520" s="55" t="str">
        <f aca="false">IF(AH1520&lt;=0,"",IF(BY1520="Aussen","Aussenlager",IF(BY1520="-","Nicht im Lift",IF(AM1520&gt;=1,"Lift",IF(AM1520&lt;=0,"Aussenlager","teilweise")))))</f>
        <v>Lift</v>
      </c>
      <c r="BE1520" s="55" t="str">
        <f aca="false">IF(AP1520&lt;=0,"",IF(BY1520="Aussen","Aussenlager",IF(BY1520="-","Nicht im Lift",IF(AU1520&gt;=1,"Lift",IF(AU1520&lt;=0,"Aussenlager","teilweise")))))</f>
        <v>Aussenlager</v>
      </c>
      <c r="BF1520" s="55" t="str">
        <f aca="false">IF(AX1520&lt;=0,"",IF(BY1520="Aussen","Aussenlager",IF(BY1520="-","Nicht im Lift",IF(BC1520&gt;=1,"Lift",IF(BC1520&lt;=0,"Aussenlager","teilweise")))))</f>
        <v>Aussenlager</v>
      </c>
      <c r="BG1520" s="55" t="str">
        <f aca="false">IF(A1520="","",IF(BP1520=1,"Neu; ","")&amp;IF(AND(BP1520=0,BK1520&lt;0),"negativer Bestand (Export "&amp;BK1520&amp;"); ","")&amp;IF(J1520&lt;=0,"Kein Verbrauch; ","")&amp;IF(CH1520&gt;0,"Lift "&amp;W1520&amp;" lt. Liftbericht (Fach "&amp;X1520&amp;" Stk); ",IF(BU1520=1,"Gebinde geschätzt ("&amp;T1520&amp;"); ",IF(BT1520=1,"Lose – Tablare geschätzt; ","")))&amp;IF(H1520&gt;AR1520,"Überbestand "&amp;ROUND(H1520-AR1520,0)&amp;" Stk / CHF "&amp;ROUND((H1520-AR1520)*G1520,0)&amp;"; ","")&amp;IF(AND(CA1520=1,CB1520&lt;CC1520),"MAX &lt; MB+LG; ","")&amp;IF(AND(CG1520&gt;0,CF1520*10&gt;CG1520),"zu hoch für Tablar; ","")&amp;IF(AND(BP1520=0,OR(CA1520=1,AA1520&lt;&gt;"",U1520&lt;&gt;"",V1520&lt;&gt;"",AB1520&lt;&gt;"")),"manuell übersteuert; ","")&amp;IF(AND(BT1520=0,R1520=0),"Gebinde unbekannt / Stellmass fehlt; ","")&amp;IF(AND(BT1520=0,N(V1520)&lt;=0,N(Q1520)&lt;=0),"Menge pro Gebinde fehlt (Ist = 1 Gebinde); ","")&amp;BO1520)</f>
        <v>Kein Verbrauch; nur im Artikelstamm (Bestand 23.06.2026)</v>
      </c>
      <c r="BH1520" s="55"/>
      <c r="BI1520" s="55"/>
      <c r="BJ1520" s="62"/>
      <c r="BK1520" s="57" t="n">
        <v>28</v>
      </c>
      <c r="BL1520" s="57" t="n">
        <v>0</v>
      </c>
      <c r="BM1520" s="56" t="n">
        <v>0</v>
      </c>
      <c r="BN1520" s="57" t="n">
        <v>0</v>
      </c>
      <c r="BO1520" s="55" t="s">
        <v>2575</v>
      </c>
      <c r="BP1520" s="60" t="n">
        <v>0</v>
      </c>
      <c r="BQ1520" s="60" t="n">
        <v>1520</v>
      </c>
      <c r="BR1520" s="55" t="str">
        <f aca="false">IF(U1520&lt;&gt;"",UPPER(TRIM(U1520)),IF(BU1520=1,UPPER(VLOOKUP(T1520,Parameter!$I$27:$K$29,2,0)),IF(P1520="","LOSE",P1520)))</f>
        <v>S62</v>
      </c>
      <c r="BS1520" s="57" t="n">
        <f aca="false">IF(BR1520="LOSE",1,IF(N(V1520)&gt;0,V1520,IF(BU1520=1,MAX(1,N(VLOOKUP(T1520,Parameter!$I$27:$K$29,3,0)),H1520,N(N1520)),IF(N(Q1520)&gt;0,Q1520,MAX(1,H1520)))))</f>
        <v>28</v>
      </c>
      <c r="BT1520" s="60" t="n">
        <f aca="false">IF(BR1520="LOSE",1,0)</f>
        <v>0</v>
      </c>
      <c r="BU1520" s="60" t="n">
        <f aca="false">IF(AND(U1520="",OR(P1520="",P1520="LOSE"),T1520&lt;&gt;"",N(S1520)&lt;=0,ISNUMBER(MATCH(T1520,Parameter!$I$27:$I$29,0))),1,0)</f>
        <v>0</v>
      </c>
      <c r="BV1520" s="55" t="str">
        <f aca="false">IF(AND(Parameter!$B$19="Ja",E1520&lt;&gt;"",ISNUMBER(MATCH(E1520,Parameter!$I$35:$I$52,0))),VLOOKUP(E1520,Parameter!$I$35:$J$52,2,0),IFERROR(VLOOKUP(D1520,Parameter!$A$35:$C$64,2,0),"Nein"))</f>
        <v>2+3</v>
      </c>
      <c r="BW1520" s="59" t="n">
        <f aca="false">IF(BT1520=0,0,IF(N(S1520)&gt;0,S1520,IFERROR(VLOOKUP(D1520,Parameter!$A$35:$C$64,3,0)+0,0)))</f>
        <v>0</v>
      </c>
      <c r="BX1520" s="55" t="n">
        <f aca="false">IF(AA1520&lt;&gt;"",AA1520,Z1520)</f>
        <v>2</v>
      </c>
      <c r="BY1520" s="55" t="str">
        <f aca="false">IF(BX1520=1,"L1",IF(OR(BX1520=2,BX1520=3),"L23",IF(BX1520="Aussen","Aussen","-")))</f>
        <v>L23</v>
      </c>
      <c r="BZ1520" s="66" t="n">
        <f aca="false">IF(N(AB1520)&gt;0,AB1520,0)</f>
        <v>0</v>
      </c>
      <c r="CA1520" s="60" t="n">
        <f aca="false">IF(ISNUMBER(AE1520),1,0)</f>
        <v>0</v>
      </c>
      <c r="CB1520" s="57" t="n">
        <f aca="false">N(AE1520)</f>
        <v>0</v>
      </c>
      <c r="CC1520" s="57" t="n">
        <f aca="false">N(M1520)+N(N1520)</f>
        <v>15</v>
      </c>
      <c r="CD1520" s="57" t="n">
        <f aca="false">ROUNDUP(H1520/BS1520,0)</f>
        <v>1</v>
      </c>
      <c r="CE1520" s="57" t="n">
        <f aca="false">ROUNDUP(CB1520/BS1520,0)</f>
        <v>0</v>
      </c>
      <c r="CF1520" s="60" t="n">
        <f aca="false">IF(BT1520=1,0,IFERROR(VLOOKUP(BR1520,'Gebinde-Kategorie'!$A$5:$M$45,5,0)+0,0))</f>
        <v>21</v>
      </c>
      <c r="CG1520" s="60" t="n">
        <f aca="false">IFERROR(IF(OR(BX1520=1,BX1520=2,BX1520=3),N(INDEX(Parameter!$I$5:$I$7,BX1520)),0),0)</f>
        <v>0</v>
      </c>
      <c r="CH1520" s="59" t="n">
        <f aca="false">IF(AND(Parameter!$B$21="Ja",ISNUMBER(W1520),N(X1520)&gt;0),IFERROR(N(INDEX(Parameter!$L$5:$L$7,W1520))*INDEX(Parameter!$E$5:$E$7,W1520)*X1520/SUMIFS($X$7:$X$1843,$W$7:$W$1843,W1520),0),0)</f>
        <v>0</v>
      </c>
    </row>
    <row r="1521" customFormat="false" ht="15" hidden="false" customHeight="false" outlineLevel="0" collapsed="false">
      <c r="A1521" s="55" t="s">
        <v>2661</v>
      </c>
      <c r="B1521" s="55" t="s">
        <v>287</v>
      </c>
      <c r="C1521" s="55" t="s">
        <v>167</v>
      </c>
      <c r="D1521" s="55" t="s">
        <v>173</v>
      </c>
      <c r="E1521" s="55" t="s">
        <v>185</v>
      </c>
      <c r="F1521" s="55"/>
      <c r="G1521" s="56" t="n">
        <v>1618</v>
      </c>
      <c r="H1521" s="57" t="n">
        <f aca="false">MAX(0,IF(AND(Parameter!$B$21="Ja",ISNUMBER(Y1521)),Y1521,IF(Parameter!$B$20="Jahresanfang 2025 + Export",BL1521+BK1521,BK1521)))</f>
        <v>1</v>
      </c>
      <c r="I1521" s="57" t="n">
        <f aca="false">H1521*G1521</f>
        <v>1618</v>
      </c>
      <c r="J1521" s="57" t="n">
        <f aca="false">BN1521*Parameter!$B$18</f>
        <v>0</v>
      </c>
      <c r="K1521" s="58"/>
      <c r="L1521" s="59"/>
      <c r="M1521" s="57" t="n">
        <v>0</v>
      </c>
      <c r="N1521" s="57" t="n">
        <v>1</v>
      </c>
      <c r="O1521" s="60" t="n">
        <v>35</v>
      </c>
      <c r="P1521" s="55" t="s">
        <v>233</v>
      </c>
      <c r="Q1521" s="57" t="n">
        <v>1</v>
      </c>
      <c r="R1521" s="60" t="n">
        <f aca="false">IF(BT1521=1,0,IFERROR(VLOOKUP(BR1521,'Gebinde-Kategorie'!$A$5:$M$45,13,0)+0,0))</f>
        <v>26</v>
      </c>
      <c r="S1521" s="61"/>
      <c r="T1521" s="62"/>
      <c r="U1521" s="62"/>
      <c r="V1521" s="62"/>
      <c r="W1521" s="55"/>
      <c r="X1521" s="57"/>
      <c r="Y1521" s="57"/>
      <c r="Z1521" s="55" t="n">
        <f aca="false">IF(A1521="","",IF(AND(Parameter!$B$21="Ja",ISNUMBER(W1521)),W1521,IF(BV1521="2+3",IF(ISNUMBER(SEARCH("grosser Artikel",BO1521)),2,IFERROR(VLOOKUP(BR1521,Parameter!$F$35:$G$64,2,0),2)),IF(OR(BV1521="Nein",BV1521=""),"-",BV1521))))</f>
        <v>3</v>
      </c>
      <c r="AA1521" s="62"/>
      <c r="AB1521" s="63"/>
      <c r="AC1521" s="57" t="n">
        <f aca="false">AR1521</f>
        <v>1</v>
      </c>
      <c r="AD1521" s="57" t="n">
        <f aca="false">MAX(AR1521,H1521)</f>
        <v>1</v>
      </c>
      <c r="AE1521" s="64"/>
      <c r="AF1521" s="57" t="n">
        <f aca="false">IF(LEFT(Cockpit!$C$5,1)="A",H1521,IF(CA1521=1,CB1521,IF(LEFT(Cockpit!$C$5,1)="B",AJ1521,MAX(AJ1521,H1521))))</f>
        <v>1</v>
      </c>
      <c r="AG1521" s="57" t="n">
        <f aca="false">IF(BT1521=1,0,ROUNDUP(AF1521/BS1521,0))</f>
        <v>1</v>
      </c>
      <c r="AH1521" s="59" t="n">
        <f aca="false">IF(CH1521&gt;0,CH1521*MAX(1,AF1521/X1521),IF(BT1521=1,IF(AF1521&lt;=0,0,BW1521*MAX(1,IF(H1521&gt;0,AF1521/H1521,1))),IF(R1521&gt;0,AG1521/R1521,0))/MAX(0.1,N(Parameter!$M$21)))</f>
        <v>0.0384615384615385</v>
      </c>
      <c r="AI1521" s="57" t="n">
        <f aca="false">AF1521*G1521</f>
        <v>1618</v>
      </c>
      <c r="AJ1521" s="57" t="n">
        <f aca="false">ROUNDUP(MAX(J1521/IF(BZ1521&gt;0,BZ1521,MAX(0.1,N(Cockpit!$C$6))),CC1521)/BS1521,0)*BS1521</f>
        <v>1</v>
      </c>
      <c r="AK1521" s="58" t="n">
        <f aca="false">IF(AH1521&gt;0,J1521/AH1521,-1)</f>
        <v>0</v>
      </c>
      <c r="AL1521" s="58" t="n">
        <f aca="false">IF(AND(OR(BY1521="L1",BY1521="L23"),AH1521&gt;0),SUMIFS($AH$7:$AH$1843,$BY$7:$BY$1843,BY1521,$AK$7:$AK$1843,"&gt;"&amp;AK1521)+SUMIFS($AH$7:$AH$1843,$BY$7:$BY$1843,BY1521,$AK$7:$AK$1843,AK1521,$BQ$7:$BQ$1843,"&lt;="&amp;BQ1521),"")</f>
        <v>82.453135029222</v>
      </c>
      <c r="AM1521" s="65" t="n">
        <f aca="false">IF(AL1521="",0,MAX(0,MIN(1,(IF(BY1521="L1",Parameter!$E$5,Parameter!$E$6+Parameter!$E$7)-(AL1521-AH1521))/AH1521)))</f>
        <v>1</v>
      </c>
      <c r="AN1521" s="57" t="n">
        <f aca="false">IF(LEFT(Cockpit!$I$5,1)="A",H1521,IF(CA1521=1,CB1521,IF(LEFT(Cockpit!$I$5,1)="B",AR1521,MAX(AR1521,H1521))))</f>
        <v>1</v>
      </c>
      <c r="AO1521" s="57" t="n">
        <f aca="false">IF(BT1521=1,0,ROUNDUP(AN1521/BS1521,0))</f>
        <v>1</v>
      </c>
      <c r="AP1521" s="59" t="n">
        <f aca="false">IF(CH1521&gt;0,CH1521*MAX(1,AN1521/X1521),IF(BT1521=1,IF(AN1521&lt;=0,0,BW1521*MAX(1,IF(H1521&gt;0,AN1521/H1521,1))),IF(R1521&gt;0,AO1521/R1521,0))/MAX(0.1,N(Parameter!$M$21)))</f>
        <v>0.0384615384615385</v>
      </c>
      <c r="AQ1521" s="57" t="n">
        <f aca="false">AN1521*G1521</f>
        <v>1618</v>
      </c>
      <c r="AR1521" s="57" t="n">
        <f aca="false">ROUNDUP(MAX(J1521/IF(BZ1521&gt;0,BZ1521,MAX(0.1,N(Cockpit!$I$6))),CC1521)/BS1521,0)*BS1521</f>
        <v>1</v>
      </c>
      <c r="AS1521" s="58" t="n">
        <f aca="false">IF(AP1521&gt;0,J1521/AP1521,-1)</f>
        <v>0</v>
      </c>
      <c r="AT1521" s="58" t="n">
        <f aca="false">IF(AND(OR(BY1521="L1",BY1521="L23"),AP1521&gt;0),SUMIFS($AP$7:$AP$1843,$BY$7:$BY$1843,BY1521,$AS$7:$AS$1843,"&gt;"&amp;AS1521)+SUMIFS($AP$7:$AP$1843,$BY$7:$BY$1843,BY1521,$AS$7:$AS$1843,AS1521,$BQ$7:$BQ$1843,"&lt;="&amp;BQ1521),"")</f>
        <v>127.493927570015</v>
      </c>
      <c r="AU1521" s="65" t="n">
        <f aca="false">IF(AT1521="",0,MAX(0,MIN(1,(IF(BY1521="L1",Parameter!$E$5,Parameter!$E$6+Parameter!$E$7)-(AT1521-AP1521))/AP1521)))</f>
        <v>0</v>
      </c>
      <c r="AV1521" s="57" t="n">
        <f aca="false">IF(LEFT(Cockpit!$O$5,1)="A",H1521,IF(CA1521=1,CB1521,IF(LEFT(Cockpit!$O$5,1)="B",AZ1521,MAX(AZ1521,H1521))))</f>
        <v>1</v>
      </c>
      <c r="AW1521" s="57" t="n">
        <f aca="false">IF(BT1521=1,0,ROUNDUP(AV1521/BS1521,0))</f>
        <v>1</v>
      </c>
      <c r="AX1521" s="59" t="n">
        <f aca="false">IF(CH1521&gt;0,CH1521*MAX(1,AV1521/X1521),IF(BT1521=1,IF(AV1521&lt;=0,0,BW1521*MAX(1,IF(H1521&gt;0,AV1521/H1521,1))),IF(R1521&gt;0,AW1521/R1521,0))/MAX(0.1,N(Parameter!$M$21)))</f>
        <v>0.0384615384615385</v>
      </c>
      <c r="AY1521" s="57" t="n">
        <f aca="false">AV1521*G1521</f>
        <v>1618</v>
      </c>
      <c r="AZ1521" s="57" t="n">
        <f aca="false">ROUNDUP(MAX(J1521/IF(BZ1521&gt;0,BZ1521,MAX(0.1,N(Cockpit!$O$6))),CC1521)/BS1521,0)*BS1521</f>
        <v>1</v>
      </c>
      <c r="BA1521" s="58" t="n">
        <f aca="false">IF(AX1521&gt;0,J1521/AX1521,-1)</f>
        <v>0</v>
      </c>
      <c r="BB1521" s="58" t="n">
        <f aca="false">IF(AND(OR(BY1521="L1",BY1521="L23"),AX1521&gt;0),SUMIFS($AX$7:$AX$1843,$BY$7:$BY$1843,BY1521,$BA$7:$BA$1843,"&gt;"&amp;BA1521)+SUMIFS($AX$7:$AX$1843,$BY$7:$BY$1843,BY1521,$BA$7:$BA$1843,BA1521,$BQ$7:$BQ$1843,"&lt;="&amp;BQ1521),"")</f>
        <v>118.323764399851</v>
      </c>
      <c r="BC1521" s="65" t="n">
        <f aca="false">IF(BB1521="",0,MAX(0,MIN(1,(IF(BY1521="L1",Parameter!$E$5,Parameter!$E$6+Parameter!$E$7)-(BB1521-AX1521))/AX1521)))</f>
        <v>0</v>
      </c>
      <c r="BD1521" s="55" t="str">
        <f aca="false">IF(AH1521&lt;=0,"",IF(BY1521="Aussen","Aussenlager",IF(BY1521="-","Nicht im Lift",IF(AM1521&gt;=1,"Lift",IF(AM1521&lt;=0,"Aussenlager","teilweise")))))</f>
        <v>Lift</v>
      </c>
      <c r="BE1521" s="55" t="str">
        <f aca="false">IF(AP1521&lt;=0,"",IF(BY1521="Aussen","Aussenlager",IF(BY1521="-","Nicht im Lift",IF(AU1521&gt;=1,"Lift",IF(AU1521&lt;=0,"Aussenlager","teilweise")))))</f>
        <v>Aussenlager</v>
      </c>
      <c r="BF1521" s="55" t="str">
        <f aca="false">IF(AX1521&lt;=0,"",IF(BY1521="Aussen","Aussenlager",IF(BY1521="-","Nicht im Lift",IF(BC1521&gt;=1,"Lift",IF(BC1521&lt;=0,"Aussenlager","teilweise")))))</f>
        <v>Aussenlager</v>
      </c>
      <c r="BG1521" s="55" t="str">
        <f aca="false">IF(A1521="","",IF(BP1521=1,"Neu; ","")&amp;IF(AND(BP1521=0,BK1521&lt;0),"negativer Bestand (Export "&amp;BK1521&amp;"); ","")&amp;IF(J1521&lt;=0,"Kein Verbrauch; ","")&amp;IF(CH1521&gt;0,"Lift "&amp;W1521&amp;" lt. Liftbericht (Fach "&amp;X1521&amp;" Stk); ",IF(BU1521=1,"Gebinde geschätzt ("&amp;T1521&amp;"); ",IF(BT1521=1,"Lose – Tablare geschätzt; ","")))&amp;IF(H1521&gt;AR1521,"Überbestand "&amp;ROUND(H1521-AR1521,0)&amp;" Stk / CHF "&amp;ROUND((H1521-AR1521)*G1521,0)&amp;"; ","")&amp;IF(AND(CA1521=1,CB1521&lt;CC1521),"MAX &lt; MB+LG; ","")&amp;IF(AND(CG1521&gt;0,CF1521*10&gt;CG1521),"zu hoch für Tablar; ","")&amp;IF(AND(BP1521=0,OR(CA1521=1,AA1521&lt;&gt;"",U1521&lt;&gt;"",V1521&lt;&gt;"",AB1521&lt;&gt;"")),"manuell übersteuert; ","")&amp;IF(AND(BT1521=0,R1521=0),"Gebinde unbekannt / Stellmass fehlt; ","")&amp;IF(AND(BT1521=0,N(V1521)&lt;=0,N(Q1521)&lt;=0),"Menge pro Gebinde fehlt (Ist = 1 Gebinde); ","")&amp;BO1521)</f>
        <v>Kein Verbrauch; nur im Artikelstamm (Bestand 23.06.2026)</v>
      </c>
      <c r="BH1521" s="55"/>
      <c r="BI1521" s="55"/>
      <c r="BJ1521" s="62"/>
      <c r="BK1521" s="57" t="n">
        <v>1</v>
      </c>
      <c r="BL1521" s="57" t="n">
        <v>0</v>
      </c>
      <c r="BM1521" s="56" t="n">
        <v>0</v>
      </c>
      <c r="BN1521" s="57" t="n">
        <v>0</v>
      </c>
      <c r="BO1521" s="55" t="s">
        <v>2575</v>
      </c>
      <c r="BP1521" s="60" t="n">
        <v>0</v>
      </c>
      <c r="BQ1521" s="60" t="n">
        <v>1521</v>
      </c>
      <c r="BR1521" s="55" t="str">
        <f aca="false">IF(U1521&lt;&gt;"",UPPER(TRIM(U1521)),IF(BU1521=1,UPPER(VLOOKUP(T1521,Parameter!$I$27:$K$29,2,0)),IF(P1521="","LOSE",P1521)))</f>
        <v>S52</v>
      </c>
      <c r="BS1521" s="57" t="n">
        <f aca="false">IF(BR1521="LOSE",1,IF(N(V1521)&gt;0,V1521,IF(BU1521=1,MAX(1,N(VLOOKUP(T1521,Parameter!$I$27:$K$29,3,0)),H1521,N(N1521)),IF(N(Q1521)&gt;0,Q1521,MAX(1,H1521)))))</f>
        <v>1</v>
      </c>
      <c r="BT1521" s="60" t="n">
        <f aca="false">IF(BR1521="LOSE",1,0)</f>
        <v>0</v>
      </c>
      <c r="BU1521" s="60" t="n">
        <f aca="false">IF(AND(U1521="",OR(P1521="",P1521="LOSE"),T1521&lt;&gt;"",N(S1521)&lt;=0,ISNUMBER(MATCH(T1521,Parameter!$I$27:$I$29,0))),1,0)</f>
        <v>0</v>
      </c>
      <c r="BV1521" s="55" t="str">
        <f aca="false">IF(AND(Parameter!$B$19="Ja",E1521&lt;&gt;"",ISNUMBER(MATCH(E1521,Parameter!$I$35:$I$52,0))),VLOOKUP(E1521,Parameter!$I$35:$J$52,2,0),IFERROR(VLOOKUP(D1521,Parameter!$A$35:$C$64,2,0),"Nein"))</f>
        <v>2+3</v>
      </c>
      <c r="BW1521" s="59" t="n">
        <f aca="false">IF(BT1521=0,0,IF(N(S1521)&gt;0,S1521,IFERROR(VLOOKUP(D1521,Parameter!$A$35:$C$64,3,0)+0,0)))</f>
        <v>0</v>
      </c>
      <c r="BX1521" s="55" t="n">
        <f aca="false">IF(AA1521&lt;&gt;"",AA1521,Z1521)</f>
        <v>3</v>
      </c>
      <c r="BY1521" s="55" t="str">
        <f aca="false">IF(BX1521=1,"L1",IF(OR(BX1521=2,BX1521=3),"L23",IF(BX1521="Aussen","Aussen","-")))</f>
        <v>L23</v>
      </c>
      <c r="BZ1521" s="66" t="n">
        <f aca="false">IF(N(AB1521)&gt;0,AB1521,0)</f>
        <v>0</v>
      </c>
      <c r="CA1521" s="60" t="n">
        <f aca="false">IF(ISNUMBER(AE1521),1,0)</f>
        <v>0</v>
      </c>
      <c r="CB1521" s="57" t="n">
        <f aca="false">N(AE1521)</f>
        <v>0</v>
      </c>
      <c r="CC1521" s="57" t="n">
        <f aca="false">N(M1521)+N(N1521)</f>
        <v>1</v>
      </c>
      <c r="CD1521" s="57" t="n">
        <f aca="false">ROUNDUP(H1521/BS1521,0)</f>
        <v>1</v>
      </c>
      <c r="CE1521" s="57" t="n">
        <f aca="false">ROUNDUP(CB1521/BS1521,0)</f>
        <v>0</v>
      </c>
      <c r="CF1521" s="60" t="n">
        <f aca="false">IF(BT1521=1,0,IFERROR(VLOOKUP(BR1521,'Gebinde-Kategorie'!$A$5:$M$45,5,0)+0,0))</f>
        <v>21</v>
      </c>
      <c r="CG1521" s="60" t="n">
        <f aca="false">IFERROR(IF(OR(BX1521=1,BX1521=2,BX1521=3),N(INDEX(Parameter!$I$5:$I$7,BX1521)),0),0)</f>
        <v>0</v>
      </c>
      <c r="CH1521" s="59" t="n">
        <f aca="false">IF(AND(Parameter!$B$21="Ja",ISNUMBER(W1521),N(X1521)&gt;0),IFERROR(N(INDEX(Parameter!$L$5:$L$7,W1521))*INDEX(Parameter!$E$5:$E$7,W1521)*X1521/SUMIFS($X$7:$X$1843,$W$7:$W$1843,W1521),0),0)</f>
        <v>0</v>
      </c>
    </row>
    <row r="1522" customFormat="false" ht="15" hidden="false" customHeight="false" outlineLevel="0" collapsed="false">
      <c r="A1522" s="55" t="s">
        <v>2662</v>
      </c>
      <c r="B1522" s="55" t="s">
        <v>2663</v>
      </c>
      <c r="C1522" s="55" t="s">
        <v>167</v>
      </c>
      <c r="D1522" s="55" t="s">
        <v>173</v>
      </c>
      <c r="E1522" s="55" t="s">
        <v>185</v>
      </c>
      <c r="F1522" s="55"/>
      <c r="G1522" s="56" t="n">
        <v>1618</v>
      </c>
      <c r="H1522" s="57" t="n">
        <f aca="false">MAX(0,IF(AND(Parameter!$B$21="Ja",ISNUMBER(Y1522)),Y1522,IF(Parameter!$B$20="Jahresanfang 2025 + Export",BL1522+BK1522,BK1522)))</f>
        <v>2</v>
      </c>
      <c r="I1522" s="57" t="n">
        <f aca="false">H1522*G1522</f>
        <v>3236</v>
      </c>
      <c r="J1522" s="57" t="n">
        <f aca="false">BN1522*Parameter!$B$18</f>
        <v>0</v>
      </c>
      <c r="K1522" s="58"/>
      <c r="L1522" s="59"/>
      <c r="M1522" s="57" t="n">
        <v>0</v>
      </c>
      <c r="N1522" s="57" t="n">
        <v>1</v>
      </c>
      <c r="O1522" s="60" t="n">
        <v>35</v>
      </c>
      <c r="P1522" s="55" t="s">
        <v>233</v>
      </c>
      <c r="Q1522" s="57" t="n">
        <v>2</v>
      </c>
      <c r="R1522" s="60" t="n">
        <f aca="false">IF(BT1522=1,0,IFERROR(VLOOKUP(BR1522,'Gebinde-Kategorie'!$A$5:$M$45,13,0)+0,0))</f>
        <v>26</v>
      </c>
      <c r="S1522" s="61"/>
      <c r="T1522" s="62"/>
      <c r="U1522" s="62"/>
      <c r="V1522" s="62"/>
      <c r="W1522" s="55"/>
      <c r="X1522" s="57"/>
      <c r="Y1522" s="57"/>
      <c r="Z1522" s="55" t="n">
        <f aca="false">IF(A1522="","",IF(AND(Parameter!$B$21="Ja",ISNUMBER(W1522)),W1522,IF(BV1522="2+3",IF(ISNUMBER(SEARCH("grosser Artikel",BO1522)),2,IFERROR(VLOOKUP(BR1522,Parameter!$F$35:$G$64,2,0),2)),IF(OR(BV1522="Nein",BV1522=""),"-",BV1522))))</f>
        <v>3</v>
      </c>
      <c r="AA1522" s="62"/>
      <c r="AB1522" s="63"/>
      <c r="AC1522" s="57" t="n">
        <f aca="false">AR1522</f>
        <v>2</v>
      </c>
      <c r="AD1522" s="57" t="n">
        <f aca="false">MAX(AR1522,H1522)</f>
        <v>2</v>
      </c>
      <c r="AE1522" s="64"/>
      <c r="AF1522" s="57" t="n">
        <f aca="false">IF(LEFT(Cockpit!$C$5,1)="A",H1522,IF(CA1522=1,CB1522,IF(LEFT(Cockpit!$C$5,1)="B",AJ1522,MAX(AJ1522,H1522))))</f>
        <v>2</v>
      </c>
      <c r="AG1522" s="57" t="n">
        <f aca="false">IF(BT1522=1,0,ROUNDUP(AF1522/BS1522,0))</f>
        <v>1</v>
      </c>
      <c r="AH1522" s="59" t="n">
        <f aca="false">IF(CH1522&gt;0,CH1522*MAX(1,AF1522/X1522),IF(BT1522=1,IF(AF1522&lt;=0,0,BW1522*MAX(1,IF(H1522&gt;0,AF1522/H1522,1))),IF(R1522&gt;0,AG1522/R1522,0))/MAX(0.1,N(Parameter!$M$21)))</f>
        <v>0.0384615384615385</v>
      </c>
      <c r="AI1522" s="57" t="n">
        <f aca="false">AF1522*G1522</f>
        <v>3236</v>
      </c>
      <c r="AJ1522" s="57" t="n">
        <f aca="false">ROUNDUP(MAX(J1522/IF(BZ1522&gt;0,BZ1522,MAX(0.1,N(Cockpit!$C$6))),CC1522)/BS1522,0)*BS1522</f>
        <v>2</v>
      </c>
      <c r="AK1522" s="58" t="n">
        <f aca="false">IF(AH1522&gt;0,J1522/AH1522,-1)</f>
        <v>0</v>
      </c>
      <c r="AL1522" s="58" t="n">
        <f aca="false">IF(AND(OR(BY1522="L1",BY1522="L23"),AH1522&gt;0),SUMIFS($AH$7:$AH$1843,$BY$7:$BY$1843,BY1522,$AK$7:$AK$1843,"&gt;"&amp;AK1522)+SUMIFS($AH$7:$AH$1843,$BY$7:$BY$1843,BY1522,$AK$7:$AK$1843,AK1522,$BQ$7:$BQ$1843,"&lt;="&amp;BQ1522),"")</f>
        <v>82.4915965676835</v>
      </c>
      <c r="AM1522" s="65" t="n">
        <f aca="false">IF(AL1522="",0,MAX(0,MIN(1,(IF(BY1522="L1",Parameter!$E$5,Parameter!$E$6+Parameter!$E$7)-(AL1522-AH1522))/AH1522)))</f>
        <v>1</v>
      </c>
      <c r="AN1522" s="57" t="n">
        <f aca="false">IF(LEFT(Cockpit!$I$5,1)="A",H1522,IF(CA1522=1,CB1522,IF(LEFT(Cockpit!$I$5,1)="B",AR1522,MAX(AR1522,H1522))))</f>
        <v>2</v>
      </c>
      <c r="AO1522" s="57" t="n">
        <f aca="false">IF(BT1522=1,0,ROUNDUP(AN1522/BS1522,0))</f>
        <v>1</v>
      </c>
      <c r="AP1522" s="59" t="n">
        <f aca="false">IF(CH1522&gt;0,CH1522*MAX(1,AN1522/X1522),IF(BT1522=1,IF(AN1522&lt;=0,0,BW1522*MAX(1,IF(H1522&gt;0,AN1522/H1522,1))),IF(R1522&gt;0,AO1522/R1522,0))/MAX(0.1,N(Parameter!$M$21)))</f>
        <v>0.0384615384615385</v>
      </c>
      <c r="AQ1522" s="57" t="n">
        <f aca="false">AN1522*G1522</f>
        <v>3236</v>
      </c>
      <c r="AR1522" s="57" t="n">
        <f aca="false">ROUNDUP(MAX(J1522/IF(BZ1522&gt;0,BZ1522,MAX(0.1,N(Cockpit!$I$6))),CC1522)/BS1522,0)*BS1522</f>
        <v>2</v>
      </c>
      <c r="AS1522" s="58" t="n">
        <f aca="false">IF(AP1522&gt;0,J1522/AP1522,-1)</f>
        <v>0</v>
      </c>
      <c r="AT1522" s="58" t="n">
        <f aca="false">IF(AND(OR(BY1522="L1",BY1522="L23"),AP1522&gt;0),SUMIFS($AP$7:$AP$1843,$BY$7:$BY$1843,BY1522,$AS$7:$AS$1843,"&gt;"&amp;AS1522)+SUMIFS($AP$7:$AP$1843,$BY$7:$BY$1843,BY1522,$AS$7:$AS$1843,AS1522,$BQ$7:$BQ$1843,"&lt;="&amp;BQ1522),"")</f>
        <v>127.532389108476</v>
      </c>
      <c r="AU1522" s="65" t="n">
        <f aca="false">IF(AT1522="",0,MAX(0,MIN(1,(IF(BY1522="L1",Parameter!$E$5,Parameter!$E$6+Parameter!$E$7)-(AT1522-AP1522))/AP1522)))</f>
        <v>0</v>
      </c>
      <c r="AV1522" s="57" t="n">
        <f aca="false">IF(LEFT(Cockpit!$O$5,1)="A",H1522,IF(CA1522=1,CB1522,IF(LEFT(Cockpit!$O$5,1)="B",AZ1522,MAX(AZ1522,H1522))))</f>
        <v>2</v>
      </c>
      <c r="AW1522" s="57" t="n">
        <f aca="false">IF(BT1522=1,0,ROUNDUP(AV1522/BS1522,0))</f>
        <v>1</v>
      </c>
      <c r="AX1522" s="59" t="n">
        <f aca="false">IF(CH1522&gt;0,CH1522*MAX(1,AV1522/X1522),IF(BT1522=1,IF(AV1522&lt;=0,0,BW1522*MAX(1,IF(H1522&gt;0,AV1522/H1522,1))),IF(R1522&gt;0,AW1522/R1522,0))/MAX(0.1,N(Parameter!$M$21)))</f>
        <v>0.0384615384615385</v>
      </c>
      <c r="AY1522" s="57" t="n">
        <f aca="false">AV1522*G1522</f>
        <v>3236</v>
      </c>
      <c r="AZ1522" s="57" t="n">
        <f aca="false">ROUNDUP(MAX(J1522/IF(BZ1522&gt;0,BZ1522,MAX(0.1,N(Cockpit!$O$6))),CC1522)/BS1522,0)*BS1522</f>
        <v>2</v>
      </c>
      <c r="BA1522" s="58" t="n">
        <f aca="false">IF(AX1522&gt;0,J1522/AX1522,-1)</f>
        <v>0</v>
      </c>
      <c r="BB1522" s="58" t="n">
        <f aca="false">IF(AND(OR(BY1522="L1",BY1522="L23"),AX1522&gt;0),SUMIFS($AX$7:$AX$1843,$BY$7:$BY$1843,BY1522,$BA$7:$BA$1843,"&gt;"&amp;BA1522)+SUMIFS($AX$7:$AX$1843,$BY$7:$BY$1843,BY1522,$BA$7:$BA$1843,BA1522,$BQ$7:$BQ$1843,"&lt;="&amp;BQ1522),"")</f>
        <v>118.362225938313</v>
      </c>
      <c r="BC1522" s="65" t="n">
        <f aca="false">IF(BB1522="",0,MAX(0,MIN(1,(IF(BY1522="L1",Parameter!$E$5,Parameter!$E$6+Parameter!$E$7)-(BB1522-AX1522))/AX1522)))</f>
        <v>0</v>
      </c>
      <c r="BD1522" s="55" t="str">
        <f aca="false">IF(AH1522&lt;=0,"",IF(BY1522="Aussen","Aussenlager",IF(BY1522="-","Nicht im Lift",IF(AM1522&gt;=1,"Lift",IF(AM1522&lt;=0,"Aussenlager","teilweise")))))</f>
        <v>Lift</v>
      </c>
      <c r="BE1522" s="55" t="str">
        <f aca="false">IF(AP1522&lt;=0,"",IF(BY1522="Aussen","Aussenlager",IF(BY1522="-","Nicht im Lift",IF(AU1522&gt;=1,"Lift",IF(AU1522&lt;=0,"Aussenlager","teilweise")))))</f>
        <v>Aussenlager</v>
      </c>
      <c r="BF1522" s="55" t="str">
        <f aca="false">IF(AX1522&lt;=0,"",IF(BY1522="Aussen","Aussenlager",IF(BY1522="-","Nicht im Lift",IF(BC1522&gt;=1,"Lift",IF(BC1522&lt;=0,"Aussenlager","teilweise")))))</f>
        <v>Aussenlager</v>
      </c>
      <c r="BG1522" s="55" t="str">
        <f aca="false">IF(A1522="","",IF(BP1522=1,"Neu; ","")&amp;IF(AND(BP1522=0,BK1522&lt;0),"negativer Bestand (Export "&amp;BK1522&amp;"); ","")&amp;IF(J1522&lt;=0,"Kein Verbrauch; ","")&amp;IF(CH1522&gt;0,"Lift "&amp;W1522&amp;" lt. Liftbericht (Fach "&amp;X1522&amp;" Stk); ",IF(BU1522=1,"Gebinde geschätzt ("&amp;T1522&amp;"); ",IF(BT1522=1,"Lose – Tablare geschätzt; ","")))&amp;IF(H1522&gt;AR1522,"Überbestand "&amp;ROUND(H1522-AR1522,0)&amp;" Stk / CHF "&amp;ROUND((H1522-AR1522)*G1522,0)&amp;"; ","")&amp;IF(AND(CA1522=1,CB1522&lt;CC1522),"MAX &lt; MB+LG; ","")&amp;IF(AND(CG1522&gt;0,CF1522*10&gt;CG1522),"zu hoch für Tablar; ","")&amp;IF(AND(BP1522=0,OR(CA1522=1,AA1522&lt;&gt;"",U1522&lt;&gt;"",V1522&lt;&gt;"",AB1522&lt;&gt;"")),"manuell übersteuert; ","")&amp;IF(AND(BT1522=0,R1522=0),"Gebinde unbekannt / Stellmass fehlt; ","")&amp;IF(AND(BT1522=0,N(V1522)&lt;=0,N(Q1522)&lt;=0),"Menge pro Gebinde fehlt (Ist = 1 Gebinde); ","")&amp;BO1522)</f>
        <v>Kein Verbrauch; nur im Artikelstamm (Bestand 23.06.2026)</v>
      </c>
      <c r="BH1522" s="55"/>
      <c r="BI1522" s="55"/>
      <c r="BJ1522" s="62"/>
      <c r="BK1522" s="57" t="n">
        <v>2</v>
      </c>
      <c r="BL1522" s="57" t="n">
        <v>0</v>
      </c>
      <c r="BM1522" s="56" t="n">
        <v>0</v>
      </c>
      <c r="BN1522" s="57" t="n">
        <v>0</v>
      </c>
      <c r="BO1522" s="55" t="s">
        <v>2575</v>
      </c>
      <c r="BP1522" s="60" t="n">
        <v>0</v>
      </c>
      <c r="BQ1522" s="60" t="n">
        <v>1522</v>
      </c>
      <c r="BR1522" s="55" t="str">
        <f aca="false">IF(U1522&lt;&gt;"",UPPER(TRIM(U1522)),IF(BU1522=1,UPPER(VLOOKUP(T1522,Parameter!$I$27:$K$29,2,0)),IF(P1522="","LOSE",P1522)))</f>
        <v>S52</v>
      </c>
      <c r="BS1522" s="57" t="n">
        <f aca="false">IF(BR1522="LOSE",1,IF(N(V1522)&gt;0,V1522,IF(BU1522=1,MAX(1,N(VLOOKUP(T1522,Parameter!$I$27:$K$29,3,0)),H1522,N(N1522)),IF(N(Q1522)&gt;0,Q1522,MAX(1,H1522)))))</f>
        <v>2</v>
      </c>
      <c r="BT1522" s="60" t="n">
        <f aca="false">IF(BR1522="LOSE",1,0)</f>
        <v>0</v>
      </c>
      <c r="BU1522" s="60" t="n">
        <f aca="false">IF(AND(U1522="",OR(P1522="",P1522="LOSE"),T1522&lt;&gt;"",N(S1522)&lt;=0,ISNUMBER(MATCH(T1522,Parameter!$I$27:$I$29,0))),1,0)</f>
        <v>0</v>
      </c>
      <c r="BV1522" s="55" t="str">
        <f aca="false">IF(AND(Parameter!$B$19="Ja",E1522&lt;&gt;"",ISNUMBER(MATCH(E1522,Parameter!$I$35:$I$52,0))),VLOOKUP(E1522,Parameter!$I$35:$J$52,2,0),IFERROR(VLOOKUP(D1522,Parameter!$A$35:$C$64,2,0),"Nein"))</f>
        <v>2+3</v>
      </c>
      <c r="BW1522" s="59" t="n">
        <f aca="false">IF(BT1522=0,0,IF(N(S1522)&gt;0,S1522,IFERROR(VLOOKUP(D1522,Parameter!$A$35:$C$64,3,0)+0,0)))</f>
        <v>0</v>
      </c>
      <c r="BX1522" s="55" t="n">
        <f aca="false">IF(AA1522&lt;&gt;"",AA1522,Z1522)</f>
        <v>3</v>
      </c>
      <c r="BY1522" s="55" t="str">
        <f aca="false">IF(BX1522=1,"L1",IF(OR(BX1522=2,BX1522=3),"L23",IF(BX1522="Aussen","Aussen","-")))</f>
        <v>L23</v>
      </c>
      <c r="BZ1522" s="66" t="n">
        <f aca="false">IF(N(AB1522)&gt;0,AB1522,0)</f>
        <v>0</v>
      </c>
      <c r="CA1522" s="60" t="n">
        <f aca="false">IF(ISNUMBER(AE1522),1,0)</f>
        <v>0</v>
      </c>
      <c r="CB1522" s="57" t="n">
        <f aca="false">N(AE1522)</f>
        <v>0</v>
      </c>
      <c r="CC1522" s="57" t="n">
        <f aca="false">N(M1522)+N(N1522)</f>
        <v>1</v>
      </c>
      <c r="CD1522" s="57" t="n">
        <f aca="false">ROUNDUP(H1522/BS1522,0)</f>
        <v>1</v>
      </c>
      <c r="CE1522" s="57" t="n">
        <f aca="false">ROUNDUP(CB1522/BS1522,0)</f>
        <v>0</v>
      </c>
      <c r="CF1522" s="60" t="n">
        <f aca="false">IF(BT1522=1,0,IFERROR(VLOOKUP(BR1522,'Gebinde-Kategorie'!$A$5:$M$45,5,0)+0,0))</f>
        <v>21</v>
      </c>
      <c r="CG1522" s="60" t="n">
        <f aca="false">IFERROR(IF(OR(BX1522=1,BX1522=2,BX1522=3),N(INDEX(Parameter!$I$5:$I$7,BX1522)),0),0)</f>
        <v>0</v>
      </c>
      <c r="CH1522" s="59" t="n">
        <f aca="false">IF(AND(Parameter!$B$21="Ja",ISNUMBER(W1522),N(X1522)&gt;0),IFERROR(N(INDEX(Parameter!$L$5:$L$7,W1522))*INDEX(Parameter!$E$5:$E$7,W1522)*X1522/SUMIFS($X$7:$X$1843,$W$7:$W$1843,W1522),0),0)</f>
        <v>0</v>
      </c>
    </row>
    <row r="1523" customFormat="false" ht="15" hidden="false" customHeight="false" outlineLevel="0" collapsed="false">
      <c r="A1523" s="55" t="s">
        <v>2664</v>
      </c>
      <c r="B1523" s="55" t="s">
        <v>2318</v>
      </c>
      <c r="C1523" s="55" t="s">
        <v>167</v>
      </c>
      <c r="D1523" s="55" t="s">
        <v>173</v>
      </c>
      <c r="E1523" s="55" t="s">
        <v>185</v>
      </c>
      <c r="F1523" s="55"/>
      <c r="G1523" s="56" t="n">
        <v>1134</v>
      </c>
      <c r="H1523" s="57" t="n">
        <f aca="false">MAX(0,IF(AND(Parameter!$B$21="Ja",ISNUMBER(Y1523)),Y1523,IF(Parameter!$B$20="Jahresanfang 2025 + Export",BL1523+BK1523,BK1523)))</f>
        <v>3</v>
      </c>
      <c r="I1523" s="57" t="n">
        <f aca="false">H1523*G1523</f>
        <v>3402</v>
      </c>
      <c r="J1523" s="57" t="n">
        <f aca="false">BN1523*Parameter!$B$18</f>
        <v>0</v>
      </c>
      <c r="K1523" s="58"/>
      <c r="L1523" s="59"/>
      <c r="M1523" s="57" t="n">
        <v>0</v>
      </c>
      <c r="N1523" s="57" t="n">
        <v>1</v>
      </c>
      <c r="O1523" s="60" t="n">
        <v>35</v>
      </c>
      <c r="P1523" s="55" t="s">
        <v>233</v>
      </c>
      <c r="Q1523" s="57" t="n">
        <v>3</v>
      </c>
      <c r="R1523" s="60" t="n">
        <f aca="false">IF(BT1523=1,0,IFERROR(VLOOKUP(BR1523,'Gebinde-Kategorie'!$A$5:$M$45,13,0)+0,0))</f>
        <v>26</v>
      </c>
      <c r="S1523" s="61"/>
      <c r="T1523" s="62"/>
      <c r="U1523" s="62"/>
      <c r="V1523" s="62"/>
      <c r="W1523" s="55"/>
      <c r="X1523" s="57"/>
      <c r="Y1523" s="57"/>
      <c r="Z1523" s="55" t="n">
        <f aca="false">IF(A1523="","",IF(AND(Parameter!$B$21="Ja",ISNUMBER(W1523)),W1523,IF(BV1523="2+3",IF(ISNUMBER(SEARCH("grosser Artikel",BO1523)),2,IFERROR(VLOOKUP(BR1523,Parameter!$F$35:$G$64,2,0),2)),IF(OR(BV1523="Nein",BV1523=""),"-",BV1523))))</f>
        <v>3</v>
      </c>
      <c r="AA1523" s="62"/>
      <c r="AB1523" s="63"/>
      <c r="AC1523" s="57" t="n">
        <f aca="false">AR1523</f>
        <v>3</v>
      </c>
      <c r="AD1523" s="57" t="n">
        <f aca="false">MAX(AR1523,H1523)</f>
        <v>3</v>
      </c>
      <c r="AE1523" s="64"/>
      <c r="AF1523" s="57" t="n">
        <f aca="false">IF(LEFT(Cockpit!$C$5,1)="A",H1523,IF(CA1523=1,CB1523,IF(LEFT(Cockpit!$C$5,1)="B",AJ1523,MAX(AJ1523,H1523))))</f>
        <v>3</v>
      </c>
      <c r="AG1523" s="57" t="n">
        <f aca="false">IF(BT1523=1,0,ROUNDUP(AF1523/BS1523,0))</f>
        <v>1</v>
      </c>
      <c r="AH1523" s="59" t="n">
        <f aca="false">IF(CH1523&gt;0,CH1523*MAX(1,AF1523/X1523),IF(BT1523=1,IF(AF1523&lt;=0,0,BW1523*MAX(1,IF(H1523&gt;0,AF1523/H1523,1))),IF(R1523&gt;0,AG1523/R1523,0))/MAX(0.1,N(Parameter!$M$21)))</f>
        <v>0.0384615384615385</v>
      </c>
      <c r="AI1523" s="57" t="n">
        <f aca="false">AF1523*G1523</f>
        <v>3402</v>
      </c>
      <c r="AJ1523" s="57" t="n">
        <f aca="false">ROUNDUP(MAX(J1523/IF(BZ1523&gt;0,BZ1523,MAX(0.1,N(Cockpit!$C$6))),CC1523)/BS1523,0)*BS1523</f>
        <v>3</v>
      </c>
      <c r="AK1523" s="58" t="n">
        <f aca="false">IF(AH1523&gt;0,J1523/AH1523,-1)</f>
        <v>0</v>
      </c>
      <c r="AL1523" s="58" t="n">
        <f aca="false">IF(AND(OR(BY1523="L1",BY1523="L23"),AH1523&gt;0),SUMIFS($AH$7:$AH$1843,$BY$7:$BY$1843,BY1523,$AK$7:$AK$1843,"&gt;"&amp;AK1523)+SUMIFS($AH$7:$AH$1843,$BY$7:$BY$1843,BY1523,$AK$7:$AK$1843,AK1523,$BQ$7:$BQ$1843,"&lt;="&amp;BQ1523),"")</f>
        <v>82.5300581061451</v>
      </c>
      <c r="AM1523" s="65" t="n">
        <f aca="false">IF(AL1523="",0,MAX(0,MIN(1,(IF(BY1523="L1",Parameter!$E$5,Parameter!$E$6+Parameter!$E$7)-(AL1523-AH1523))/AH1523)))</f>
        <v>1</v>
      </c>
      <c r="AN1523" s="57" t="n">
        <f aca="false">IF(LEFT(Cockpit!$I$5,1)="A",H1523,IF(CA1523=1,CB1523,IF(LEFT(Cockpit!$I$5,1)="B",AR1523,MAX(AR1523,H1523))))</f>
        <v>3</v>
      </c>
      <c r="AO1523" s="57" t="n">
        <f aca="false">IF(BT1523=1,0,ROUNDUP(AN1523/BS1523,0))</f>
        <v>1</v>
      </c>
      <c r="AP1523" s="59" t="n">
        <f aca="false">IF(CH1523&gt;0,CH1523*MAX(1,AN1523/X1523),IF(BT1523=1,IF(AN1523&lt;=0,0,BW1523*MAX(1,IF(H1523&gt;0,AN1523/H1523,1))),IF(R1523&gt;0,AO1523/R1523,0))/MAX(0.1,N(Parameter!$M$21)))</f>
        <v>0.0384615384615385</v>
      </c>
      <c r="AQ1523" s="57" t="n">
        <f aca="false">AN1523*G1523</f>
        <v>3402</v>
      </c>
      <c r="AR1523" s="57" t="n">
        <f aca="false">ROUNDUP(MAX(J1523/IF(BZ1523&gt;0,BZ1523,MAX(0.1,N(Cockpit!$I$6))),CC1523)/BS1523,0)*BS1523</f>
        <v>3</v>
      </c>
      <c r="AS1523" s="58" t="n">
        <f aca="false">IF(AP1523&gt;0,J1523/AP1523,-1)</f>
        <v>0</v>
      </c>
      <c r="AT1523" s="58" t="n">
        <f aca="false">IF(AND(OR(BY1523="L1",BY1523="L23"),AP1523&gt;0),SUMIFS($AP$7:$AP$1843,$BY$7:$BY$1843,BY1523,$AS$7:$AS$1843,"&gt;"&amp;AS1523)+SUMIFS($AP$7:$AP$1843,$BY$7:$BY$1843,BY1523,$AS$7:$AS$1843,AS1523,$BQ$7:$BQ$1843,"&lt;="&amp;BQ1523),"")</f>
        <v>127.570850646938</v>
      </c>
      <c r="AU1523" s="65" t="n">
        <f aca="false">IF(AT1523="",0,MAX(0,MIN(1,(IF(BY1523="L1",Parameter!$E$5,Parameter!$E$6+Parameter!$E$7)-(AT1523-AP1523))/AP1523)))</f>
        <v>0</v>
      </c>
      <c r="AV1523" s="57" t="n">
        <f aca="false">IF(LEFT(Cockpit!$O$5,1)="A",H1523,IF(CA1523=1,CB1523,IF(LEFT(Cockpit!$O$5,1)="B",AZ1523,MAX(AZ1523,H1523))))</f>
        <v>3</v>
      </c>
      <c r="AW1523" s="57" t="n">
        <f aca="false">IF(BT1523=1,0,ROUNDUP(AV1523/BS1523,0))</f>
        <v>1</v>
      </c>
      <c r="AX1523" s="59" t="n">
        <f aca="false">IF(CH1523&gt;0,CH1523*MAX(1,AV1523/X1523),IF(BT1523=1,IF(AV1523&lt;=0,0,BW1523*MAX(1,IF(H1523&gt;0,AV1523/H1523,1))),IF(R1523&gt;0,AW1523/R1523,0))/MAX(0.1,N(Parameter!$M$21)))</f>
        <v>0.0384615384615385</v>
      </c>
      <c r="AY1523" s="57" t="n">
        <f aca="false">AV1523*G1523</f>
        <v>3402</v>
      </c>
      <c r="AZ1523" s="57" t="n">
        <f aca="false">ROUNDUP(MAX(J1523/IF(BZ1523&gt;0,BZ1523,MAX(0.1,N(Cockpit!$O$6))),CC1523)/BS1523,0)*BS1523</f>
        <v>3</v>
      </c>
      <c r="BA1523" s="58" t="n">
        <f aca="false">IF(AX1523&gt;0,J1523/AX1523,-1)</f>
        <v>0</v>
      </c>
      <c r="BB1523" s="58" t="n">
        <f aca="false">IF(AND(OR(BY1523="L1",BY1523="L23"),AX1523&gt;0),SUMIFS($AX$7:$AX$1843,$BY$7:$BY$1843,BY1523,$BA$7:$BA$1843,"&gt;"&amp;BA1523)+SUMIFS($AX$7:$AX$1843,$BY$7:$BY$1843,BY1523,$BA$7:$BA$1843,BA1523,$BQ$7:$BQ$1843,"&lt;="&amp;BQ1523),"")</f>
        <v>118.400687476774</v>
      </c>
      <c r="BC1523" s="65" t="n">
        <f aca="false">IF(BB1523="",0,MAX(0,MIN(1,(IF(BY1523="L1",Parameter!$E$5,Parameter!$E$6+Parameter!$E$7)-(BB1523-AX1523))/AX1523)))</f>
        <v>0</v>
      </c>
      <c r="BD1523" s="55" t="str">
        <f aca="false">IF(AH1523&lt;=0,"",IF(BY1523="Aussen","Aussenlager",IF(BY1523="-","Nicht im Lift",IF(AM1523&gt;=1,"Lift",IF(AM1523&lt;=0,"Aussenlager","teilweise")))))</f>
        <v>Lift</v>
      </c>
      <c r="BE1523" s="55" t="str">
        <f aca="false">IF(AP1523&lt;=0,"",IF(BY1523="Aussen","Aussenlager",IF(BY1523="-","Nicht im Lift",IF(AU1523&gt;=1,"Lift",IF(AU1523&lt;=0,"Aussenlager","teilweise")))))</f>
        <v>Aussenlager</v>
      </c>
      <c r="BF1523" s="55" t="str">
        <f aca="false">IF(AX1523&lt;=0,"",IF(BY1523="Aussen","Aussenlager",IF(BY1523="-","Nicht im Lift",IF(BC1523&gt;=1,"Lift",IF(BC1523&lt;=0,"Aussenlager","teilweise")))))</f>
        <v>Aussenlager</v>
      </c>
      <c r="BG1523" s="55" t="str">
        <f aca="false">IF(A1523="","",IF(BP1523=1,"Neu; ","")&amp;IF(AND(BP1523=0,BK1523&lt;0),"negativer Bestand (Export "&amp;BK1523&amp;"); ","")&amp;IF(J1523&lt;=0,"Kein Verbrauch; ","")&amp;IF(CH1523&gt;0,"Lift "&amp;W1523&amp;" lt. Liftbericht (Fach "&amp;X1523&amp;" Stk); ",IF(BU1523=1,"Gebinde geschätzt ("&amp;T1523&amp;"); ",IF(BT1523=1,"Lose – Tablare geschätzt; ","")))&amp;IF(H1523&gt;AR1523,"Überbestand "&amp;ROUND(H1523-AR1523,0)&amp;" Stk / CHF "&amp;ROUND((H1523-AR1523)*G1523,0)&amp;"; ","")&amp;IF(AND(CA1523=1,CB1523&lt;CC1523),"MAX &lt; MB+LG; ","")&amp;IF(AND(CG1523&gt;0,CF1523*10&gt;CG1523),"zu hoch für Tablar; ","")&amp;IF(AND(BP1523=0,OR(CA1523=1,AA1523&lt;&gt;"",U1523&lt;&gt;"",V1523&lt;&gt;"",AB1523&lt;&gt;"")),"manuell übersteuert; ","")&amp;IF(AND(BT1523=0,R1523=0),"Gebinde unbekannt / Stellmass fehlt; ","")&amp;IF(AND(BT1523=0,N(V1523)&lt;=0,N(Q1523)&lt;=0),"Menge pro Gebinde fehlt (Ist = 1 Gebinde); ","")&amp;BO1523)</f>
        <v>Kein Verbrauch; nur im Artikelstamm (Bestand 23.06.2026)</v>
      </c>
      <c r="BH1523" s="55"/>
      <c r="BI1523" s="55"/>
      <c r="BJ1523" s="62"/>
      <c r="BK1523" s="57" t="n">
        <v>3</v>
      </c>
      <c r="BL1523" s="57" t="n">
        <v>0</v>
      </c>
      <c r="BM1523" s="56" t="n">
        <v>0</v>
      </c>
      <c r="BN1523" s="57" t="n">
        <v>0</v>
      </c>
      <c r="BO1523" s="55" t="s">
        <v>2575</v>
      </c>
      <c r="BP1523" s="60" t="n">
        <v>0</v>
      </c>
      <c r="BQ1523" s="60" t="n">
        <v>1523</v>
      </c>
      <c r="BR1523" s="55" t="str">
        <f aca="false">IF(U1523&lt;&gt;"",UPPER(TRIM(U1523)),IF(BU1523=1,UPPER(VLOOKUP(T1523,Parameter!$I$27:$K$29,2,0)),IF(P1523="","LOSE",P1523)))</f>
        <v>S52</v>
      </c>
      <c r="BS1523" s="57" t="n">
        <f aca="false">IF(BR1523="LOSE",1,IF(N(V1523)&gt;0,V1523,IF(BU1523=1,MAX(1,N(VLOOKUP(T1523,Parameter!$I$27:$K$29,3,0)),H1523,N(N1523)),IF(N(Q1523)&gt;0,Q1523,MAX(1,H1523)))))</f>
        <v>3</v>
      </c>
      <c r="BT1523" s="60" t="n">
        <f aca="false">IF(BR1523="LOSE",1,0)</f>
        <v>0</v>
      </c>
      <c r="BU1523" s="60" t="n">
        <f aca="false">IF(AND(U1523="",OR(P1523="",P1523="LOSE"),T1523&lt;&gt;"",N(S1523)&lt;=0,ISNUMBER(MATCH(T1523,Parameter!$I$27:$I$29,0))),1,0)</f>
        <v>0</v>
      </c>
      <c r="BV1523" s="55" t="str">
        <f aca="false">IF(AND(Parameter!$B$19="Ja",E1523&lt;&gt;"",ISNUMBER(MATCH(E1523,Parameter!$I$35:$I$52,0))),VLOOKUP(E1523,Parameter!$I$35:$J$52,2,0),IFERROR(VLOOKUP(D1523,Parameter!$A$35:$C$64,2,0),"Nein"))</f>
        <v>2+3</v>
      </c>
      <c r="BW1523" s="59" t="n">
        <f aca="false">IF(BT1523=0,0,IF(N(S1523)&gt;0,S1523,IFERROR(VLOOKUP(D1523,Parameter!$A$35:$C$64,3,0)+0,0)))</f>
        <v>0</v>
      </c>
      <c r="BX1523" s="55" t="n">
        <f aca="false">IF(AA1523&lt;&gt;"",AA1523,Z1523)</f>
        <v>3</v>
      </c>
      <c r="BY1523" s="55" t="str">
        <f aca="false">IF(BX1523=1,"L1",IF(OR(BX1523=2,BX1523=3),"L23",IF(BX1523="Aussen","Aussen","-")))</f>
        <v>L23</v>
      </c>
      <c r="BZ1523" s="66" t="n">
        <f aca="false">IF(N(AB1523)&gt;0,AB1523,0)</f>
        <v>0</v>
      </c>
      <c r="CA1523" s="60" t="n">
        <f aca="false">IF(ISNUMBER(AE1523),1,0)</f>
        <v>0</v>
      </c>
      <c r="CB1523" s="57" t="n">
        <f aca="false">N(AE1523)</f>
        <v>0</v>
      </c>
      <c r="CC1523" s="57" t="n">
        <f aca="false">N(M1523)+N(N1523)</f>
        <v>1</v>
      </c>
      <c r="CD1523" s="57" t="n">
        <f aca="false">ROUNDUP(H1523/BS1523,0)</f>
        <v>1</v>
      </c>
      <c r="CE1523" s="57" t="n">
        <f aca="false">ROUNDUP(CB1523/BS1523,0)</f>
        <v>0</v>
      </c>
      <c r="CF1523" s="60" t="n">
        <f aca="false">IF(BT1523=1,0,IFERROR(VLOOKUP(BR1523,'Gebinde-Kategorie'!$A$5:$M$45,5,0)+0,0))</f>
        <v>21</v>
      </c>
      <c r="CG1523" s="60" t="n">
        <f aca="false">IFERROR(IF(OR(BX1523=1,BX1523=2,BX1523=3),N(INDEX(Parameter!$I$5:$I$7,BX1523)),0),0)</f>
        <v>0</v>
      </c>
      <c r="CH1523" s="59" t="n">
        <f aca="false">IF(AND(Parameter!$B$21="Ja",ISNUMBER(W1523),N(X1523)&gt;0),IFERROR(N(INDEX(Parameter!$L$5:$L$7,W1523))*INDEX(Parameter!$E$5:$E$7,W1523)*X1523/SUMIFS($X$7:$X$1843,$W$7:$W$1843,W1523),0),0)</f>
        <v>0</v>
      </c>
    </row>
    <row r="1524" customFormat="false" ht="15" hidden="false" customHeight="false" outlineLevel="0" collapsed="false">
      <c r="A1524" s="55" t="s">
        <v>2665</v>
      </c>
      <c r="B1524" s="55" t="s">
        <v>562</v>
      </c>
      <c r="C1524" s="55" t="s">
        <v>164</v>
      </c>
      <c r="D1524" s="55" t="s">
        <v>173</v>
      </c>
      <c r="E1524" s="55" t="s">
        <v>185</v>
      </c>
      <c r="F1524" s="55"/>
      <c r="G1524" s="56" t="n">
        <v>510</v>
      </c>
      <c r="H1524" s="57" t="n">
        <f aca="false">MAX(0,IF(AND(Parameter!$B$21="Ja",ISNUMBER(Y1524)),Y1524,IF(Parameter!$B$20="Jahresanfang 2025 + Export",BL1524+BK1524,BK1524)))</f>
        <v>2</v>
      </c>
      <c r="I1524" s="57" t="n">
        <f aca="false">H1524*G1524</f>
        <v>1020</v>
      </c>
      <c r="J1524" s="57" t="n">
        <f aca="false">BN1524*Parameter!$B$18</f>
        <v>0</v>
      </c>
      <c r="K1524" s="58"/>
      <c r="L1524" s="59"/>
      <c r="M1524" s="57" t="n">
        <v>0</v>
      </c>
      <c r="N1524" s="57" t="n">
        <v>1</v>
      </c>
      <c r="O1524" s="60" t="n">
        <v>35</v>
      </c>
      <c r="P1524" s="55" t="s">
        <v>233</v>
      </c>
      <c r="Q1524" s="57" t="n">
        <v>2</v>
      </c>
      <c r="R1524" s="60" t="n">
        <f aca="false">IF(BT1524=1,0,IFERROR(VLOOKUP(BR1524,'Gebinde-Kategorie'!$A$5:$M$45,13,0)+0,0))</f>
        <v>26</v>
      </c>
      <c r="S1524" s="61"/>
      <c r="T1524" s="62"/>
      <c r="U1524" s="62"/>
      <c r="V1524" s="62"/>
      <c r="W1524" s="55"/>
      <c r="X1524" s="57"/>
      <c r="Y1524" s="57"/>
      <c r="Z1524" s="55" t="n">
        <f aca="false">IF(A1524="","",IF(AND(Parameter!$B$21="Ja",ISNUMBER(W1524)),W1524,IF(BV1524="2+3",IF(ISNUMBER(SEARCH("grosser Artikel",BO1524)),2,IFERROR(VLOOKUP(BR1524,Parameter!$F$35:$G$64,2,0),2)),IF(OR(BV1524="Nein",BV1524=""),"-",BV1524))))</f>
        <v>3</v>
      </c>
      <c r="AA1524" s="62"/>
      <c r="AB1524" s="63"/>
      <c r="AC1524" s="57" t="n">
        <f aca="false">AR1524</f>
        <v>2</v>
      </c>
      <c r="AD1524" s="57" t="n">
        <f aca="false">MAX(AR1524,H1524)</f>
        <v>2</v>
      </c>
      <c r="AE1524" s="64"/>
      <c r="AF1524" s="57" t="n">
        <f aca="false">IF(LEFT(Cockpit!$C$5,1)="A",H1524,IF(CA1524=1,CB1524,IF(LEFT(Cockpit!$C$5,1)="B",AJ1524,MAX(AJ1524,H1524))))</f>
        <v>2</v>
      </c>
      <c r="AG1524" s="57" t="n">
        <f aca="false">IF(BT1524=1,0,ROUNDUP(AF1524/BS1524,0))</f>
        <v>1</v>
      </c>
      <c r="AH1524" s="59" t="n">
        <f aca="false">IF(CH1524&gt;0,CH1524*MAX(1,AF1524/X1524),IF(BT1524=1,IF(AF1524&lt;=0,0,BW1524*MAX(1,IF(H1524&gt;0,AF1524/H1524,1))),IF(R1524&gt;0,AG1524/R1524,0))/MAX(0.1,N(Parameter!$M$21)))</f>
        <v>0.0384615384615385</v>
      </c>
      <c r="AI1524" s="57" t="n">
        <f aca="false">AF1524*G1524</f>
        <v>1020</v>
      </c>
      <c r="AJ1524" s="57" t="n">
        <f aca="false">ROUNDUP(MAX(J1524/IF(BZ1524&gt;0,BZ1524,MAX(0.1,N(Cockpit!$C$6))),CC1524)/BS1524,0)*BS1524</f>
        <v>2</v>
      </c>
      <c r="AK1524" s="58" t="n">
        <f aca="false">IF(AH1524&gt;0,J1524/AH1524,-1)</f>
        <v>0</v>
      </c>
      <c r="AL1524" s="58" t="n">
        <f aca="false">IF(AND(OR(BY1524="L1",BY1524="L23"),AH1524&gt;0),SUMIFS($AH$7:$AH$1843,$BY$7:$BY$1843,BY1524,$AK$7:$AK$1843,"&gt;"&amp;AK1524)+SUMIFS($AH$7:$AH$1843,$BY$7:$BY$1843,BY1524,$AK$7:$AK$1843,AK1524,$BQ$7:$BQ$1843,"&lt;="&amp;BQ1524),"")</f>
        <v>82.5685196446066</v>
      </c>
      <c r="AM1524" s="65" t="n">
        <f aca="false">IF(AL1524="",0,MAX(0,MIN(1,(IF(BY1524="L1",Parameter!$E$5,Parameter!$E$6+Parameter!$E$7)-(AL1524-AH1524))/AH1524)))</f>
        <v>1</v>
      </c>
      <c r="AN1524" s="57" t="n">
        <f aca="false">IF(LEFT(Cockpit!$I$5,1)="A",H1524,IF(CA1524=1,CB1524,IF(LEFT(Cockpit!$I$5,1)="B",AR1524,MAX(AR1524,H1524))))</f>
        <v>2</v>
      </c>
      <c r="AO1524" s="57" t="n">
        <f aca="false">IF(BT1524=1,0,ROUNDUP(AN1524/BS1524,0))</f>
        <v>1</v>
      </c>
      <c r="AP1524" s="59" t="n">
        <f aca="false">IF(CH1524&gt;0,CH1524*MAX(1,AN1524/X1524),IF(BT1524=1,IF(AN1524&lt;=0,0,BW1524*MAX(1,IF(H1524&gt;0,AN1524/H1524,1))),IF(R1524&gt;0,AO1524/R1524,0))/MAX(0.1,N(Parameter!$M$21)))</f>
        <v>0.0384615384615385</v>
      </c>
      <c r="AQ1524" s="57" t="n">
        <f aca="false">AN1524*G1524</f>
        <v>1020</v>
      </c>
      <c r="AR1524" s="57" t="n">
        <f aca="false">ROUNDUP(MAX(J1524/IF(BZ1524&gt;0,BZ1524,MAX(0.1,N(Cockpit!$I$6))),CC1524)/BS1524,0)*BS1524</f>
        <v>2</v>
      </c>
      <c r="AS1524" s="58" t="n">
        <f aca="false">IF(AP1524&gt;0,J1524/AP1524,-1)</f>
        <v>0</v>
      </c>
      <c r="AT1524" s="58" t="n">
        <f aca="false">IF(AND(OR(BY1524="L1",BY1524="L23"),AP1524&gt;0),SUMIFS($AP$7:$AP$1843,$BY$7:$BY$1843,BY1524,$AS$7:$AS$1843,"&gt;"&amp;AS1524)+SUMIFS($AP$7:$AP$1843,$BY$7:$BY$1843,BY1524,$AS$7:$AS$1843,AS1524,$BQ$7:$BQ$1843,"&lt;="&amp;BQ1524),"")</f>
        <v>127.609312185399</v>
      </c>
      <c r="AU1524" s="65" t="n">
        <f aca="false">IF(AT1524="",0,MAX(0,MIN(1,(IF(BY1524="L1",Parameter!$E$5,Parameter!$E$6+Parameter!$E$7)-(AT1524-AP1524))/AP1524)))</f>
        <v>0</v>
      </c>
      <c r="AV1524" s="57" t="n">
        <f aca="false">IF(LEFT(Cockpit!$O$5,1)="A",H1524,IF(CA1524=1,CB1524,IF(LEFT(Cockpit!$O$5,1)="B",AZ1524,MAX(AZ1524,H1524))))</f>
        <v>2</v>
      </c>
      <c r="AW1524" s="57" t="n">
        <f aca="false">IF(BT1524=1,0,ROUNDUP(AV1524/BS1524,0))</f>
        <v>1</v>
      </c>
      <c r="AX1524" s="59" t="n">
        <f aca="false">IF(CH1524&gt;0,CH1524*MAX(1,AV1524/X1524),IF(BT1524=1,IF(AV1524&lt;=0,0,BW1524*MAX(1,IF(H1524&gt;0,AV1524/H1524,1))),IF(R1524&gt;0,AW1524/R1524,0))/MAX(0.1,N(Parameter!$M$21)))</f>
        <v>0.0384615384615385</v>
      </c>
      <c r="AY1524" s="57" t="n">
        <f aca="false">AV1524*G1524</f>
        <v>1020</v>
      </c>
      <c r="AZ1524" s="57" t="n">
        <f aca="false">ROUNDUP(MAX(J1524/IF(BZ1524&gt;0,BZ1524,MAX(0.1,N(Cockpit!$O$6))),CC1524)/BS1524,0)*BS1524</f>
        <v>2</v>
      </c>
      <c r="BA1524" s="58" t="n">
        <f aca="false">IF(AX1524&gt;0,J1524/AX1524,-1)</f>
        <v>0</v>
      </c>
      <c r="BB1524" s="58" t="n">
        <f aca="false">IF(AND(OR(BY1524="L1",BY1524="L23"),AX1524&gt;0),SUMIFS($AX$7:$AX$1843,$BY$7:$BY$1843,BY1524,$BA$7:$BA$1843,"&gt;"&amp;BA1524)+SUMIFS($AX$7:$AX$1843,$BY$7:$BY$1843,BY1524,$BA$7:$BA$1843,BA1524,$BQ$7:$BQ$1843,"&lt;="&amp;BQ1524),"")</f>
        <v>118.439149015236</v>
      </c>
      <c r="BC1524" s="65" t="n">
        <f aca="false">IF(BB1524="",0,MAX(0,MIN(1,(IF(BY1524="L1",Parameter!$E$5,Parameter!$E$6+Parameter!$E$7)-(BB1524-AX1524))/AX1524)))</f>
        <v>0</v>
      </c>
      <c r="BD1524" s="55" t="str">
        <f aca="false">IF(AH1524&lt;=0,"",IF(BY1524="Aussen","Aussenlager",IF(BY1524="-","Nicht im Lift",IF(AM1524&gt;=1,"Lift",IF(AM1524&lt;=0,"Aussenlager","teilweise")))))</f>
        <v>Lift</v>
      </c>
      <c r="BE1524" s="55" t="str">
        <f aca="false">IF(AP1524&lt;=0,"",IF(BY1524="Aussen","Aussenlager",IF(BY1524="-","Nicht im Lift",IF(AU1524&gt;=1,"Lift",IF(AU1524&lt;=0,"Aussenlager","teilweise")))))</f>
        <v>Aussenlager</v>
      </c>
      <c r="BF1524" s="55" t="str">
        <f aca="false">IF(AX1524&lt;=0,"",IF(BY1524="Aussen","Aussenlager",IF(BY1524="-","Nicht im Lift",IF(BC1524&gt;=1,"Lift",IF(BC1524&lt;=0,"Aussenlager","teilweise")))))</f>
        <v>Aussenlager</v>
      </c>
      <c r="BG1524" s="55" t="str">
        <f aca="false">IF(A1524="","",IF(BP1524=1,"Neu; ","")&amp;IF(AND(BP1524=0,BK1524&lt;0),"negativer Bestand (Export "&amp;BK1524&amp;"); ","")&amp;IF(J1524&lt;=0,"Kein Verbrauch; ","")&amp;IF(CH1524&gt;0,"Lift "&amp;W1524&amp;" lt. Liftbericht (Fach "&amp;X1524&amp;" Stk); ",IF(BU1524=1,"Gebinde geschätzt ("&amp;T1524&amp;"); ",IF(BT1524=1,"Lose – Tablare geschätzt; ","")))&amp;IF(H1524&gt;AR1524,"Überbestand "&amp;ROUND(H1524-AR1524,0)&amp;" Stk / CHF "&amp;ROUND((H1524-AR1524)*G1524,0)&amp;"; ","")&amp;IF(AND(CA1524=1,CB1524&lt;CC1524),"MAX &lt; MB+LG; ","")&amp;IF(AND(CG1524&gt;0,CF1524*10&gt;CG1524),"zu hoch für Tablar; ","")&amp;IF(AND(BP1524=0,OR(CA1524=1,AA1524&lt;&gt;"",U1524&lt;&gt;"",V1524&lt;&gt;"",AB1524&lt;&gt;"")),"manuell übersteuert; ","")&amp;IF(AND(BT1524=0,R1524=0),"Gebinde unbekannt / Stellmass fehlt; ","")&amp;IF(AND(BT1524=0,N(V1524)&lt;=0,N(Q1524)&lt;=0),"Menge pro Gebinde fehlt (Ist = 1 Gebinde); ","")&amp;BO1524)</f>
        <v>Kein Verbrauch; nur im Artikelstamm (Bestand 23.06.2026)</v>
      </c>
      <c r="BH1524" s="55"/>
      <c r="BI1524" s="55"/>
      <c r="BJ1524" s="62"/>
      <c r="BK1524" s="57" t="n">
        <v>2</v>
      </c>
      <c r="BL1524" s="57" t="n">
        <v>0</v>
      </c>
      <c r="BM1524" s="56" t="n">
        <v>0</v>
      </c>
      <c r="BN1524" s="57" t="n">
        <v>0</v>
      </c>
      <c r="BO1524" s="55" t="s">
        <v>2575</v>
      </c>
      <c r="BP1524" s="60" t="n">
        <v>0</v>
      </c>
      <c r="BQ1524" s="60" t="n">
        <v>1524</v>
      </c>
      <c r="BR1524" s="55" t="str">
        <f aca="false">IF(U1524&lt;&gt;"",UPPER(TRIM(U1524)),IF(BU1524=1,UPPER(VLOOKUP(T1524,Parameter!$I$27:$K$29,2,0)),IF(P1524="","LOSE",P1524)))</f>
        <v>S52</v>
      </c>
      <c r="BS1524" s="57" t="n">
        <f aca="false">IF(BR1524="LOSE",1,IF(N(V1524)&gt;0,V1524,IF(BU1524=1,MAX(1,N(VLOOKUP(T1524,Parameter!$I$27:$K$29,3,0)),H1524,N(N1524)),IF(N(Q1524)&gt;0,Q1524,MAX(1,H1524)))))</f>
        <v>2</v>
      </c>
      <c r="BT1524" s="60" t="n">
        <f aca="false">IF(BR1524="LOSE",1,0)</f>
        <v>0</v>
      </c>
      <c r="BU1524" s="60" t="n">
        <f aca="false">IF(AND(U1524="",OR(P1524="",P1524="LOSE"),T1524&lt;&gt;"",N(S1524)&lt;=0,ISNUMBER(MATCH(T1524,Parameter!$I$27:$I$29,0))),1,0)</f>
        <v>0</v>
      </c>
      <c r="BV1524" s="55" t="str">
        <f aca="false">IF(AND(Parameter!$B$19="Ja",E1524&lt;&gt;"",ISNUMBER(MATCH(E1524,Parameter!$I$35:$I$52,0))),VLOOKUP(E1524,Parameter!$I$35:$J$52,2,0),IFERROR(VLOOKUP(D1524,Parameter!$A$35:$C$64,2,0),"Nein"))</f>
        <v>2+3</v>
      </c>
      <c r="BW1524" s="59" t="n">
        <f aca="false">IF(BT1524=0,0,IF(N(S1524)&gt;0,S1524,IFERROR(VLOOKUP(D1524,Parameter!$A$35:$C$64,3,0)+0,0)))</f>
        <v>0</v>
      </c>
      <c r="BX1524" s="55" t="n">
        <f aca="false">IF(AA1524&lt;&gt;"",AA1524,Z1524)</f>
        <v>3</v>
      </c>
      <c r="BY1524" s="55" t="str">
        <f aca="false">IF(BX1524=1,"L1",IF(OR(BX1524=2,BX1524=3),"L23",IF(BX1524="Aussen","Aussen","-")))</f>
        <v>L23</v>
      </c>
      <c r="BZ1524" s="66" t="n">
        <f aca="false">IF(N(AB1524)&gt;0,AB1524,0)</f>
        <v>0</v>
      </c>
      <c r="CA1524" s="60" t="n">
        <f aca="false">IF(ISNUMBER(AE1524),1,0)</f>
        <v>0</v>
      </c>
      <c r="CB1524" s="57" t="n">
        <f aca="false">N(AE1524)</f>
        <v>0</v>
      </c>
      <c r="CC1524" s="57" t="n">
        <f aca="false">N(M1524)+N(N1524)</f>
        <v>1</v>
      </c>
      <c r="CD1524" s="57" t="n">
        <f aca="false">ROUNDUP(H1524/BS1524,0)</f>
        <v>1</v>
      </c>
      <c r="CE1524" s="57" t="n">
        <f aca="false">ROUNDUP(CB1524/BS1524,0)</f>
        <v>0</v>
      </c>
      <c r="CF1524" s="60" t="n">
        <f aca="false">IF(BT1524=1,0,IFERROR(VLOOKUP(BR1524,'Gebinde-Kategorie'!$A$5:$M$45,5,0)+0,0))</f>
        <v>21</v>
      </c>
      <c r="CG1524" s="60" t="n">
        <f aca="false">IFERROR(IF(OR(BX1524=1,BX1524=2,BX1524=3),N(INDEX(Parameter!$I$5:$I$7,BX1524)),0),0)</f>
        <v>0</v>
      </c>
      <c r="CH1524" s="59" t="n">
        <f aca="false">IF(AND(Parameter!$B$21="Ja",ISNUMBER(W1524),N(X1524)&gt;0),IFERROR(N(INDEX(Parameter!$L$5:$L$7,W1524))*INDEX(Parameter!$E$5:$E$7,W1524)*X1524/SUMIFS($X$7:$X$1843,$W$7:$W$1843,W1524),0),0)</f>
        <v>0</v>
      </c>
    </row>
    <row r="1525" customFormat="false" ht="15" hidden="false" customHeight="false" outlineLevel="0" collapsed="false">
      <c r="A1525" s="55" t="s">
        <v>2666</v>
      </c>
      <c r="B1525" s="55" t="s">
        <v>374</v>
      </c>
      <c r="C1525" s="55" t="s">
        <v>164</v>
      </c>
      <c r="D1525" s="55" t="s">
        <v>184</v>
      </c>
      <c r="E1525" s="55" t="s">
        <v>185</v>
      </c>
      <c r="F1525" s="55"/>
      <c r="G1525" s="56" t="n">
        <v>1.75</v>
      </c>
      <c r="H1525" s="57" t="n">
        <f aca="false">MAX(0,IF(AND(Parameter!$B$21="Ja",ISNUMBER(Y1525)),Y1525,IF(Parameter!$B$20="Jahresanfang 2025 + Export",BL1525+BK1525,BK1525)))</f>
        <v>16</v>
      </c>
      <c r="I1525" s="57" t="n">
        <f aca="false">H1525*G1525</f>
        <v>28</v>
      </c>
      <c r="J1525" s="57" t="n">
        <f aca="false">BN1525*Parameter!$B$18</f>
        <v>0</v>
      </c>
      <c r="K1525" s="58"/>
      <c r="L1525" s="59"/>
      <c r="M1525" s="57" t="n">
        <v>0</v>
      </c>
      <c r="N1525" s="57" t="n">
        <v>15</v>
      </c>
      <c r="O1525" s="60" t="n">
        <v>0</v>
      </c>
      <c r="P1525" s="55" t="s">
        <v>401</v>
      </c>
      <c r="Q1525" s="57" t="n">
        <v>16</v>
      </c>
      <c r="R1525" s="60" t="n">
        <f aca="false">IF(BT1525=1,0,IFERROR(VLOOKUP(BR1525,'Gebinde-Kategorie'!$A$5:$M$45,13,0)+0,0))</f>
        <v>414</v>
      </c>
      <c r="S1525" s="61"/>
      <c r="T1525" s="62"/>
      <c r="U1525" s="62"/>
      <c r="V1525" s="62"/>
      <c r="W1525" s="55"/>
      <c r="X1525" s="57"/>
      <c r="Y1525" s="57"/>
      <c r="Z1525" s="55" t="n">
        <f aca="false">IF(A1525="","",IF(AND(Parameter!$B$21="Ja",ISNUMBER(W1525)),W1525,IF(BV1525="2+3",IF(ISNUMBER(SEARCH("grosser Artikel",BO1525)),2,IFERROR(VLOOKUP(BR1525,Parameter!$F$35:$G$64,2,0),2)),IF(OR(BV1525="Nein",BV1525=""),"-",BV1525))))</f>
        <v>3</v>
      </c>
      <c r="AA1525" s="62"/>
      <c r="AB1525" s="63"/>
      <c r="AC1525" s="57" t="n">
        <f aca="false">AR1525</f>
        <v>16</v>
      </c>
      <c r="AD1525" s="57" t="n">
        <f aca="false">MAX(AR1525,H1525)</f>
        <v>16</v>
      </c>
      <c r="AE1525" s="64"/>
      <c r="AF1525" s="57" t="n">
        <f aca="false">IF(LEFT(Cockpit!$C$5,1)="A",H1525,IF(CA1525=1,CB1525,IF(LEFT(Cockpit!$C$5,1)="B",AJ1525,MAX(AJ1525,H1525))))</f>
        <v>16</v>
      </c>
      <c r="AG1525" s="57" t="n">
        <f aca="false">IF(BT1525=1,0,ROUNDUP(AF1525/BS1525,0))</f>
        <v>1</v>
      </c>
      <c r="AH1525" s="59" t="n">
        <f aca="false">IF(CH1525&gt;0,CH1525*MAX(1,AF1525/X1525),IF(BT1525=1,IF(AF1525&lt;=0,0,BW1525*MAX(1,IF(H1525&gt;0,AF1525/H1525,1))),IF(R1525&gt;0,AG1525/R1525,0))/MAX(0.1,N(Parameter!$M$21)))</f>
        <v>0.00241545893719807</v>
      </c>
      <c r="AI1525" s="57" t="n">
        <f aca="false">AF1525*G1525</f>
        <v>28</v>
      </c>
      <c r="AJ1525" s="57" t="n">
        <f aca="false">ROUNDUP(MAX(J1525/IF(BZ1525&gt;0,BZ1525,MAX(0.1,N(Cockpit!$C$6))),CC1525)/BS1525,0)*BS1525</f>
        <v>16</v>
      </c>
      <c r="AK1525" s="58" t="n">
        <f aca="false">IF(AH1525&gt;0,J1525/AH1525,-1)</f>
        <v>0</v>
      </c>
      <c r="AL1525" s="58" t="n">
        <f aca="false">IF(AND(OR(BY1525="L1",BY1525="L23"),AH1525&gt;0),SUMIFS($AH$7:$AH$1843,$BY$7:$BY$1843,BY1525,$AK$7:$AK$1843,"&gt;"&amp;AK1525)+SUMIFS($AH$7:$AH$1843,$BY$7:$BY$1843,BY1525,$AK$7:$AK$1843,AK1525,$BQ$7:$BQ$1843,"&lt;="&amp;BQ1525),"")</f>
        <v>82.5709351035438</v>
      </c>
      <c r="AM1525" s="65" t="n">
        <f aca="false">IF(AL1525="",0,MAX(0,MIN(1,(IF(BY1525="L1",Parameter!$E$5,Parameter!$E$6+Parameter!$E$7)-(AL1525-AH1525))/AH1525)))</f>
        <v>1</v>
      </c>
      <c r="AN1525" s="57" t="n">
        <f aca="false">IF(LEFT(Cockpit!$I$5,1)="A",H1525,IF(CA1525=1,CB1525,IF(LEFT(Cockpit!$I$5,1)="B",AR1525,MAX(AR1525,H1525))))</f>
        <v>16</v>
      </c>
      <c r="AO1525" s="57" t="n">
        <f aca="false">IF(BT1525=1,0,ROUNDUP(AN1525/BS1525,0))</f>
        <v>1</v>
      </c>
      <c r="AP1525" s="59" t="n">
        <f aca="false">IF(CH1525&gt;0,CH1525*MAX(1,AN1525/X1525),IF(BT1525=1,IF(AN1525&lt;=0,0,BW1525*MAX(1,IF(H1525&gt;0,AN1525/H1525,1))),IF(R1525&gt;0,AO1525/R1525,0))/MAX(0.1,N(Parameter!$M$21)))</f>
        <v>0.00241545893719807</v>
      </c>
      <c r="AQ1525" s="57" t="n">
        <f aca="false">AN1525*G1525</f>
        <v>28</v>
      </c>
      <c r="AR1525" s="57" t="n">
        <f aca="false">ROUNDUP(MAX(J1525/IF(BZ1525&gt;0,BZ1525,MAX(0.1,N(Cockpit!$I$6))),CC1525)/BS1525,0)*BS1525</f>
        <v>16</v>
      </c>
      <c r="AS1525" s="58" t="n">
        <f aca="false">IF(AP1525&gt;0,J1525/AP1525,-1)</f>
        <v>0</v>
      </c>
      <c r="AT1525" s="58" t="n">
        <f aca="false">IF(AND(OR(BY1525="L1",BY1525="L23"),AP1525&gt;0),SUMIFS($AP$7:$AP$1843,$BY$7:$BY$1843,BY1525,$AS$7:$AS$1843,"&gt;"&amp;AS1525)+SUMIFS($AP$7:$AP$1843,$BY$7:$BY$1843,BY1525,$AS$7:$AS$1843,AS1525,$BQ$7:$BQ$1843,"&lt;="&amp;BQ1525),"")</f>
        <v>127.611727644336</v>
      </c>
      <c r="AU1525" s="65" t="n">
        <f aca="false">IF(AT1525="",0,MAX(0,MIN(1,(IF(BY1525="L1",Parameter!$E$5,Parameter!$E$6+Parameter!$E$7)-(AT1525-AP1525))/AP1525)))</f>
        <v>0</v>
      </c>
      <c r="AV1525" s="57" t="n">
        <f aca="false">IF(LEFT(Cockpit!$O$5,1)="A",H1525,IF(CA1525=1,CB1525,IF(LEFT(Cockpit!$O$5,1)="B",AZ1525,MAX(AZ1525,H1525))))</f>
        <v>16</v>
      </c>
      <c r="AW1525" s="57" t="n">
        <f aca="false">IF(BT1525=1,0,ROUNDUP(AV1525/BS1525,0))</f>
        <v>1</v>
      </c>
      <c r="AX1525" s="59" t="n">
        <f aca="false">IF(CH1525&gt;0,CH1525*MAX(1,AV1525/X1525),IF(BT1525=1,IF(AV1525&lt;=0,0,BW1525*MAX(1,IF(H1525&gt;0,AV1525/H1525,1))),IF(R1525&gt;0,AW1525/R1525,0))/MAX(0.1,N(Parameter!$M$21)))</f>
        <v>0.00241545893719807</v>
      </c>
      <c r="AY1525" s="57" t="n">
        <f aca="false">AV1525*G1525</f>
        <v>28</v>
      </c>
      <c r="AZ1525" s="57" t="n">
        <f aca="false">ROUNDUP(MAX(J1525/IF(BZ1525&gt;0,BZ1525,MAX(0.1,N(Cockpit!$O$6))),CC1525)/BS1525,0)*BS1525</f>
        <v>16</v>
      </c>
      <c r="BA1525" s="58" t="n">
        <f aca="false">IF(AX1525&gt;0,J1525/AX1525,-1)</f>
        <v>0</v>
      </c>
      <c r="BB1525" s="58" t="n">
        <f aca="false">IF(AND(OR(BY1525="L1",BY1525="L23"),AX1525&gt;0),SUMIFS($AX$7:$AX$1843,$BY$7:$BY$1843,BY1525,$BA$7:$BA$1843,"&gt;"&amp;BA1525)+SUMIFS($AX$7:$AX$1843,$BY$7:$BY$1843,BY1525,$BA$7:$BA$1843,BA1525,$BQ$7:$BQ$1843,"&lt;="&amp;BQ1525),"")</f>
        <v>118.441564474173</v>
      </c>
      <c r="BC1525" s="65" t="n">
        <f aca="false">IF(BB1525="",0,MAX(0,MIN(1,(IF(BY1525="L1",Parameter!$E$5,Parameter!$E$6+Parameter!$E$7)-(BB1525-AX1525))/AX1525)))</f>
        <v>0</v>
      </c>
      <c r="BD1525" s="55" t="str">
        <f aca="false">IF(AH1525&lt;=0,"",IF(BY1525="Aussen","Aussenlager",IF(BY1525="-","Nicht im Lift",IF(AM1525&gt;=1,"Lift",IF(AM1525&lt;=0,"Aussenlager","teilweise")))))</f>
        <v>Lift</v>
      </c>
      <c r="BE1525" s="55" t="str">
        <f aca="false">IF(AP1525&lt;=0,"",IF(BY1525="Aussen","Aussenlager",IF(BY1525="-","Nicht im Lift",IF(AU1525&gt;=1,"Lift",IF(AU1525&lt;=0,"Aussenlager","teilweise")))))</f>
        <v>Aussenlager</v>
      </c>
      <c r="BF1525" s="55" t="str">
        <f aca="false">IF(AX1525&lt;=0,"",IF(BY1525="Aussen","Aussenlager",IF(BY1525="-","Nicht im Lift",IF(BC1525&gt;=1,"Lift",IF(BC1525&lt;=0,"Aussenlager","teilweise")))))</f>
        <v>Aussenlager</v>
      </c>
      <c r="BG1525" s="55" t="str">
        <f aca="false">IF(A1525="","",IF(BP1525=1,"Neu; ","")&amp;IF(AND(BP1525=0,BK1525&lt;0),"negativer Bestand (Export "&amp;BK1525&amp;"); ","")&amp;IF(J1525&lt;=0,"Kein Verbrauch; ","")&amp;IF(CH1525&gt;0,"Lift "&amp;W1525&amp;" lt. Liftbericht (Fach "&amp;X1525&amp;" Stk); ",IF(BU1525=1,"Gebinde geschätzt ("&amp;T1525&amp;"); ",IF(BT1525=1,"Lose – Tablare geschätzt; ","")))&amp;IF(H1525&gt;AR1525,"Überbestand "&amp;ROUND(H1525-AR1525,0)&amp;" Stk / CHF "&amp;ROUND((H1525-AR1525)*G1525,0)&amp;"; ","")&amp;IF(AND(CA1525=1,CB1525&lt;CC1525),"MAX &lt; MB+LG; ","")&amp;IF(AND(CG1525&gt;0,CF1525*10&gt;CG1525),"zu hoch für Tablar; ","")&amp;IF(AND(BP1525=0,OR(CA1525=1,AA1525&lt;&gt;"",U1525&lt;&gt;"",V1525&lt;&gt;"",AB1525&lt;&gt;"")),"manuell übersteuert; ","")&amp;IF(AND(BT1525=0,R1525=0),"Gebinde unbekannt / Stellmass fehlt; ","")&amp;IF(AND(BT1525=0,N(V1525)&lt;=0,N(Q1525)&lt;=0),"Menge pro Gebinde fehlt (Ist = 1 Gebinde); ","")&amp;BO1525)</f>
        <v>Kein Verbrauch; nur im Artikelstamm (Bestand 23.06.2026); Neu</v>
      </c>
      <c r="BH1525" s="55"/>
      <c r="BI1525" s="55"/>
      <c r="BJ1525" s="62"/>
      <c r="BK1525" s="57" t="n">
        <v>16</v>
      </c>
      <c r="BL1525" s="57" t="n">
        <v>0</v>
      </c>
      <c r="BM1525" s="56" t="n">
        <v>0</v>
      </c>
      <c r="BN1525" s="57" t="n">
        <v>0</v>
      </c>
      <c r="BO1525" s="55" t="s">
        <v>2667</v>
      </c>
      <c r="BP1525" s="60" t="n">
        <v>0</v>
      </c>
      <c r="BQ1525" s="60" t="n">
        <v>1525</v>
      </c>
      <c r="BR1525" s="55" t="str">
        <f aca="false">IF(U1525&lt;&gt;"",UPPER(TRIM(U1525)),IF(BU1525=1,UPPER(VLOOKUP(T1525,Parameter!$I$27:$K$29,2,0)),IF(P1525="","LOSE",P1525)))</f>
        <v>S21</v>
      </c>
      <c r="BS1525" s="57" t="n">
        <f aca="false">IF(BR1525="LOSE",1,IF(N(V1525)&gt;0,V1525,IF(BU1525=1,MAX(1,N(VLOOKUP(T1525,Parameter!$I$27:$K$29,3,0)),H1525,N(N1525)),IF(N(Q1525)&gt;0,Q1525,MAX(1,H1525)))))</f>
        <v>16</v>
      </c>
      <c r="BT1525" s="60" t="n">
        <f aca="false">IF(BR1525="LOSE",1,0)</f>
        <v>0</v>
      </c>
      <c r="BU1525" s="60" t="n">
        <f aca="false">IF(AND(U1525="",OR(P1525="",P1525="LOSE"),T1525&lt;&gt;"",N(S1525)&lt;=0,ISNUMBER(MATCH(T1525,Parameter!$I$27:$I$29,0))),1,0)</f>
        <v>0</v>
      </c>
      <c r="BV1525" s="55" t="str">
        <f aca="false">IF(AND(Parameter!$B$19="Ja",E1525&lt;&gt;"",ISNUMBER(MATCH(E1525,Parameter!$I$35:$I$52,0))),VLOOKUP(E1525,Parameter!$I$35:$J$52,2,0),IFERROR(VLOOKUP(D1525,Parameter!$A$35:$C$64,2,0),"Nein"))</f>
        <v>2+3</v>
      </c>
      <c r="BW1525" s="59" t="n">
        <f aca="false">IF(BT1525=0,0,IF(N(S1525)&gt;0,S1525,IFERROR(VLOOKUP(D1525,Parameter!$A$35:$C$64,3,0)+0,0)))</f>
        <v>0</v>
      </c>
      <c r="BX1525" s="55" t="n">
        <f aca="false">IF(AA1525&lt;&gt;"",AA1525,Z1525)</f>
        <v>3</v>
      </c>
      <c r="BY1525" s="55" t="str">
        <f aca="false">IF(BX1525=1,"L1",IF(OR(BX1525=2,BX1525=3),"L23",IF(BX1525="Aussen","Aussen","-")))</f>
        <v>L23</v>
      </c>
      <c r="BZ1525" s="66" t="n">
        <f aca="false">IF(N(AB1525)&gt;0,AB1525,0)</f>
        <v>0</v>
      </c>
      <c r="CA1525" s="60" t="n">
        <f aca="false">IF(ISNUMBER(AE1525),1,0)</f>
        <v>0</v>
      </c>
      <c r="CB1525" s="57" t="n">
        <f aca="false">N(AE1525)</f>
        <v>0</v>
      </c>
      <c r="CC1525" s="57" t="n">
        <f aca="false">N(M1525)+N(N1525)</f>
        <v>15</v>
      </c>
      <c r="CD1525" s="57" t="n">
        <f aca="false">ROUNDUP(H1525/BS1525,0)</f>
        <v>1</v>
      </c>
      <c r="CE1525" s="57" t="n">
        <f aca="false">ROUNDUP(CB1525/BS1525,0)</f>
        <v>0</v>
      </c>
      <c r="CF1525" s="60" t="n">
        <f aca="false">IF(BT1525=1,0,IFERROR(VLOOKUP(BR1525,'Gebinde-Kategorie'!$A$5:$M$45,5,0)+0,0))</f>
        <v>8</v>
      </c>
      <c r="CG1525" s="60" t="n">
        <f aca="false">IFERROR(IF(OR(BX1525=1,BX1525=2,BX1525=3),N(INDEX(Parameter!$I$5:$I$7,BX1525)),0),0)</f>
        <v>0</v>
      </c>
      <c r="CH1525" s="59" t="n">
        <f aca="false">IF(AND(Parameter!$B$21="Ja",ISNUMBER(W1525),N(X1525)&gt;0),IFERROR(N(INDEX(Parameter!$L$5:$L$7,W1525))*INDEX(Parameter!$E$5:$E$7,W1525)*X1525/SUMIFS($X$7:$X$1843,$W$7:$W$1843,W1525),0),0)</f>
        <v>0</v>
      </c>
    </row>
    <row r="1526" customFormat="false" ht="15" hidden="false" customHeight="false" outlineLevel="0" collapsed="false">
      <c r="A1526" s="55" t="s">
        <v>2668</v>
      </c>
      <c r="B1526" s="55" t="s">
        <v>2669</v>
      </c>
      <c r="C1526" s="55" t="s">
        <v>164</v>
      </c>
      <c r="D1526" s="55" t="s">
        <v>184</v>
      </c>
      <c r="E1526" s="55" t="s">
        <v>185</v>
      </c>
      <c r="F1526" s="55"/>
      <c r="G1526" s="56" t="n">
        <v>59.4</v>
      </c>
      <c r="H1526" s="57" t="n">
        <f aca="false">MAX(0,IF(AND(Parameter!$B$21="Ja",ISNUMBER(Y1526)),Y1526,IF(Parameter!$B$20="Jahresanfang 2025 + Export",BL1526+BK1526,BK1526)))</f>
        <v>16</v>
      </c>
      <c r="I1526" s="57" t="n">
        <f aca="false">H1526*G1526</f>
        <v>950.4</v>
      </c>
      <c r="J1526" s="57" t="n">
        <f aca="false">BN1526*Parameter!$B$18</f>
        <v>0</v>
      </c>
      <c r="K1526" s="58"/>
      <c r="L1526" s="59"/>
      <c r="M1526" s="57" t="n">
        <v>0</v>
      </c>
      <c r="N1526" s="57" t="n">
        <v>20</v>
      </c>
      <c r="O1526" s="60" t="n">
        <v>42</v>
      </c>
      <c r="P1526" s="55" t="s">
        <v>302</v>
      </c>
      <c r="Q1526" s="57" t="n">
        <v>16</v>
      </c>
      <c r="R1526" s="60" t="n">
        <f aca="false">IF(BT1526=1,0,IFERROR(VLOOKUP(BR1526,'Gebinde-Kategorie'!$A$5:$M$45,13,0)+0,0))</f>
        <v>26</v>
      </c>
      <c r="S1526" s="61"/>
      <c r="T1526" s="62"/>
      <c r="U1526" s="62"/>
      <c r="V1526" s="62"/>
      <c r="W1526" s="55"/>
      <c r="X1526" s="57"/>
      <c r="Y1526" s="57"/>
      <c r="Z1526" s="55" t="n">
        <f aca="false">IF(A1526="","",IF(AND(Parameter!$B$21="Ja",ISNUMBER(W1526)),W1526,IF(BV1526="2+3",IF(ISNUMBER(SEARCH("grosser Artikel",BO1526)),2,IFERROR(VLOOKUP(BR1526,Parameter!$F$35:$G$64,2,0),2)),IF(OR(BV1526="Nein",BV1526=""),"-",BV1526))))</f>
        <v>3</v>
      </c>
      <c r="AA1526" s="62"/>
      <c r="AB1526" s="63"/>
      <c r="AC1526" s="57" t="n">
        <f aca="false">AR1526</f>
        <v>32</v>
      </c>
      <c r="AD1526" s="57" t="n">
        <f aca="false">MAX(AR1526,H1526)</f>
        <v>32</v>
      </c>
      <c r="AE1526" s="64"/>
      <c r="AF1526" s="57" t="n">
        <f aca="false">IF(LEFT(Cockpit!$C$5,1)="A",H1526,IF(CA1526=1,CB1526,IF(LEFT(Cockpit!$C$5,1)="B",AJ1526,MAX(AJ1526,H1526))))</f>
        <v>16</v>
      </c>
      <c r="AG1526" s="57" t="n">
        <f aca="false">IF(BT1526=1,0,ROUNDUP(AF1526/BS1526,0))</f>
        <v>1</v>
      </c>
      <c r="AH1526" s="59" t="n">
        <f aca="false">IF(CH1526&gt;0,CH1526*MAX(1,AF1526/X1526),IF(BT1526=1,IF(AF1526&lt;=0,0,BW1526*MAX(1,IF(H1526&gt;0,AF1526/H1526,1))),IF(R1526&gt;0,AG1526/R1526,0))/MAX(0.1,N(Parameter!$M$21)))</f>
        <v>0.0384615384615385</v>
      </c>
      <c r="AI1526" s="57" t="n">
        <f aca="false">AF1526*G1526</f>
        <v>950.4</v>
      </c>
      <c r="AJ1526" s="57" t="n">
        <f aca="false">ROUNDUP(MAX(J1526/IF(BZ1526&gt;0,BZ1526,MAX(0.1,N(Cockpit!$C$6))),CC1526)/BS1526,0)*BS1526</f>
        <v>32</v>
      </c>
      <c r="AK1526" s="58" t="n">
        <f aca="false">IF(AH1526&gt;0,J1526/AH1526,-1)</f>
        <v>0</v>
      </c>
      <c r="AL1526" s="58" t="n">
        <f aca="false">IF(AND(OR(BY1526="L1",BY1526="L23"),AH1526&gt;0),SUMIFS($AH$7:$AH$1843,$BY$7:$BY$1843,BY1526,$AK$7:$AK$1843,"&gt;"&amp;AK1526)+SUMIFS($AH$7:$AH$1843,$BY$7:$BY$1843,BY1526,$AK$7:$AK$1843,AK1526,$BQ$7:$BQ$1843,"&lt;="&amp;BQ1526),"")</f>
        <v>82.6093966420054</v>
      </c>
      <c r="AM1526" s="65" t="n">
        <f aca="false">IF(AL1526="",0,MAX(0,MIN(1,(IF(BY1526="L1",Parameter!$E$5,Parameter!$E$6+Parameter!$E$7)-(AL1526-AH1526))/AH1526)))</f>
        <v>1</v>
      </c>
      <c r="AN1526" s="57" t="n">
        <f aca="false">IF(LEFT(Cockpit!$I$5,1)="A",H1526,IF(CA1526=1,CB1526,IF(LEFT(Cockpit!$I$5,1)="B",AR1526,MAX(AR1526,H1526))))</f>
        <v>32</v>
      </c>
      <c r="AO1526" s="57" t="n">
        <f aca="false">IF(BT1526=1,0,ROUNDUP(AN1526/BS1526,0))</f>
        <v>2</v>
      </c>
      <c r="AP1526" s="59" t="n">
        <f aca="false">IF(CH1526&gt;0,CH1526*MAX(1,AN1526/X1526),IF(BT1526=1,IF(AN1526&lt;=0,0,BW1526*MAX(1,IF(H1526&gt;0,AN1526/H1526,1))),IF(R1526&gt;0,AO1526/R1526,0))/MAX(0.1,N(Parameter!$M$21)))</f>
        <v>0.0769230769230769</v>
      </c>
      <c r="AQ1526" s="57" t="n">
        <f aca="false">AN1526*G1526</f>
        <v>1900.8</v>
      </c>
      <c r="AR1526" s="57" t="n">
        <f aca="false">ROUNDUP(MAX(J1526/IF(BZ1526&gt;0,BZ1526,MAX(0.1,N(Cockpit!$I$6))),CC1526)/BS1526,0)*BS1526</f>
        <v>32</v>
      </c>
      <c r="AS1526" s="58" t="n">
        <f aca="false">IF(AP1526&gt;0,J1526/AP1526,-1)</f>
        <v>0</v>
      </c>
      <c r="AT1526" s="58" t="n">
        <f aca="false">IF(AND(OR(BY1526="L1",BY1526="L23"),AP1526&gt;0),SUMIFS($AP$7:$AP$1843,$BY$7:$BY$1843,BY1526,$AS$7:$AS$1843,"&gt;"&amp;AS1526)+SUMIFS($AP$7:$AP$1843,$BY$7:$BY$1843,BY1526,$AS$7:$AS$1843,AS1526,$BQ$7:$BQ$1843,"&lt;="&amp;BQ1526),"")</f>
        <v>127.688650721259</v>
      </c>
      <c r="AU1526" s="65" t="n">
        <f aca="false">IF(AT1526="",0,MAX(0,MIN(1,(IF(BY1526="L1",Parameter!$E$5,Parameter!$E$6+Parameter!$E$7)-(AT1526-AP1526))/AP1526)))</f>
        <v>0</v>
      </c>
      <c r="AV1526" s="57" t="n">
        <f aca="false">IF(LEFT(Cockpit!$O$5,1)="A",H1526,IF(CA1526=1,CB1526,IF(LEFT(Cockpit!$O$5,1)="B",AZ1526,MAX(AZ1526,H1526))))</f>
        <v>32</v>
      </c>
      <c r="AW1526" s="57" t="n">
        <f aca="false">IF(BT1526=1,0,ROUNDUP(AV1526/BS1526,0))</f>
        <v>2</v>
      </c>
      <c r="AX1526" s="59" t="n">
        <f aca="false">IF(CH1526&gt;0,CH1526*MAX(1,AV1526/X1526),IF(BT1526=1,IF(AV1526&lt;=0,0,BW1526*MAX(1,IF(H1526&gt;0,AV1526/H1526,1))),IF(R1526&gt;0,AW1526/R1526,0))/MAX(0.1,N(Parameter!$M$21)))</f>
        <v>0.0769230769230769</v>
      </c>
      <c r="AY1526" s="57" t="n">
        <f aca="false">AV1526*G1526</f>
        <v>1900.8</v>
      </c>
      <c r="AZ1526" s="57" t="n">
        <f aca="false">ROUNDUP(MAX(J1526/IF(BZ1526&gt;0,BZ1526,MAX(0.1,N(Cockpit!$O$6))),CC1526)/BS1526,0)*BS1526</f>
        <v>32</v>
      </c>
      <c r="BA1526" s="58" t="n">
        <f aca="false">IF(AX1526&gt;0,J1526/AX1526,-1)</f>
        <v>0</v>
      </c>
      <c r="BB1526" s="58" t="n">
        <f aca="false">IF(AND(OR(BY1526="L1",BY1526="L23"),AX1526&gt;0),SUMIFS($AX$7:$AX$1843,$BY$7:$BY$1843,BY1526,$BA$7:$BA$1843,"&gt;"&amp;BA1526)+SUMIFS($AX$7:$AX$1843,$BY$7:$BY$1843,BY1526,$BA$7:$BA$1843,BA1526,$BQ$7:$BQ$1843,"&lt;="&amp;BQ1526),"")</f>
        <v>118.518487551096</v>
      </c>
      <c r="BC1526" s="65" t="n">
        <f aca="false">IF(BB1526="",0,MAX(0,MIN(1,(IF(BY1526="L1",Parameter!$E$5,Parameter!$E$6+Parameter!$E$7)-(BB1526-AX1526))/AX1526)))</f>
        <v>0</v>
      </c>
      <c r="BD1526" s="55" t="str">
        <f aca="false">IF(AH1526&lt;=0,"",IF(BY1526="Aussen","Aussenlager",IF(BY1526="-","Nicht im Lift",IF(AM1526&gt;=1,"Lift",IF(AM1526&lt;=0,"Aussenlager","teilweise")))))</f>
        <v>Lift</v>
      </c>
      <c r="BE1526" s="55" t="str">
        <f aca="false">IF(AP1526&lt;=0,"",IF(BY1526="Aussen","Aussenlager",IF(BY1526="-","Nicht im Lift",IF(AU1526&gt;=1,"Lift",IF(AU1526&lt;=0,"Aussenlager","teilweise")))))</f>
        <v>Aussenlager</v>
      </c>
      <c r="BF1526" s="55" t="str">
        <f aca="false">IF(AX1526&lt;=0,"",IF(BY1526="Aussen","Aussenlager",IF(BY1526="-","Nicht im Lift",IF(BC1526&gt;=1,"Lift",IF(BC1526&lt;=0,"Aussenlager","teilweise")))))</f>
        <v>Aussenlager</v>
      </c>
      <c r="BG1526" s="55" t="str">
        <f aca="false">IF(A1526="","",IF(BP1526=1,"Neu; ","")&amp;IF(AND(BP1526=0,BK1526&lt;0),"negativer Bestand (Export "&amp;BK1526&amp;"); ","")&amp;IF(J1526&lt;=0,"Kein Verbrauch; ","")&amp;IF(CH1526&gt;0,"Lift "&amp;W1526&amp;" lt. Liftbericht (Fach "&amp;X1526&amp;" Stk); ",IF(BU1526=1,"Gebinde geschätzt ("&amp;T1526&amp;"); ",IF(BT1526=1,"Lose – Tablare geschätzt; ","")))&amp;IF(H1526&gt;AR1526,"Überbestand "&amp;ROUND(H1526-AR1526,0)&amp;" Stk / CHF "&amp;ROUND((H1526-AR1526)*G1526,0)&amp;"; ","")&amp;IF(AND(CA1526=1,CB1526&lt;CC1526),"MAX &lt; MB+LG; ","")&amp;IF(AND(CG1526&gt;0,CF1526*10&gt;CG1526),"zu hoch für Tablar; ","")&amp;IF(AND(BP1526=0,OR(CA1526=1,AA1526&lt;&gt;"",U1526&lt;&gt;"",V1526&lt;&gt;"",AB1526&lt;&gt;"")),"manuell übersteuert; ","")&amp;IF(AND(BT1526=0,R1526=0),"Gebinde unbekannt / Stellmass fehlt; ","")&amp;IF(AND(BT1526=0,N(V1526)&lt;=0,N(Q1526)&lt;=0),"Menge pro Gebinde fehlt (Ist = 1 Gebinde); ","")&amp;BO1526)</f>
        <v>Kein Verbrauch; nur im Artikelstamm (Bestand 23.06.2026)</v>
      </c>
      <c r="BH1526" s="55"/>
      <c r="BI1526" s="55"/>
      <c r="BJ1526" s="62"/>
      <c r="BK1526" s="57" t="n">
        <v>16</v>
      </c>
      <c r="BL1526" s="57" t="n">
        <v>0</v>
      </c>
      <c r="BM1526" s="56" t="n">
        <v>0</v>
      </c>
      <c r="BN1526" s="57" t="n">
        <v>0</v>
      </c>
      <c r="BO1526" s="55" t="s">
        <v>2575</v>
      </c>
      <c r="BP1526" s="60" t="n">
        <v>0</v>
      </c>
      <c r="BQ1526" s="60" t="n">
        <v>1526</v>
      </c>
      <c r="BR1526" s="55" t="str">
        <f aca="false">IF(U1526&lt;&gt;"",UPPER(TRIM(U1526)),IF(BU1526=1,UPPER(VLOOKUP(T1526,Parameter!$I$27:$K$29,2,0)),IF(P1526="","LOSE",P1526)))</f>
        <v>S51</v>
      </c>
      <c r="BS1526" s="57" t="n">
        <f aca="false">IF(BR1526="LOSE",1,IF(N(V1526)&gt;0,V1526,IF(BU1526=1,MAX(1,N(VLOOKUP(T1526,Parameter!$I$27:$K$29,3,0)),H1526,N(N1526)),IF(N(Q1526)&gt;0,Q1526,MAX(1,H1526)))))</f>
        <v>16</v>
      </c>
      <c r="BT1526" s="60" t="n">
        <f aca="false">IF(BR1526="LOSE",1,0)</f>
        <v>0</v>
      </c>
      <c r="BU1526" s="60" t="n">
        <f aca="false">IF(AND(U1526="",OR(P1526="",P1526="LOSE"),T1526&lt;&gt;"",N(S1526)&lt;=0,ISNUMBER(MATCH(T1526,Parameter!$I$27:$I$29,0))),1,0)</f>
        <v>0</v>
      </c>
      <c r="BV1526" s="55" t="str">
        <f aca="false">IF(AND(Parameter!$B$19="Ja",E1526&lt;&gt;"",ISNUMBER(MATCH(E1526,Parameter!$I$35:$I$52,0))),VLOOKUP(E1526,Parameter!$I$35:$J$52,2,0),IFERROR(VLOOKUP(D1526,Parameter!$A$35:$C$64,2,0),"Nein"))</f>
        <v>2+3</v>
      </c>
      <c r="BW1526" s="59" t="n">
        <f aca="false">IF(BT1526=0,0,IF(N(S1526)&gt;0,S1526,IFERROR(VLOOKUP(D1526,Parameter!$A$35:$C$64,3,0)+0,0)))</f>
        <v>0</v>
      </c>
      <c r="BX1526" s="55" t="n">
        <f aca="false">IF(AA1526&lt;&gt;"",AA1526,Z1526)</f>
        <v>3</v>
      </c>
      <c r="BY1526" s="55" t="str">
        <f aca="false">IF(BX1526=1,"L1",IF(OR(BX1526=2,BX1526=3),"L23",IF(BX1526="Aussen","Aussen","-")))</f>
        <v>L23</v>
      </c>
      <c r="BZ1526" s="66" t="n">
        <f aca="false">IF(N(AB1526)&gt;0,AB1526,0)</f>
        <v>0</v>
      </c>
      <c r="CA1526" s="60" t="n">
        <f aca="false">IF(ISNUMBER(AE1526),1,0)</f>
        <v>0</v>
      </c>
      <c r="CB1526" s="57" t="n">
        <f aca="false">N(AE1526)</f>
        <v>0</v>
      </c>
      <c r="CC1526" s="57" t="n">
        <f aca="false">N(M1526)+N(N1526)</f>
        <v>20</v>
      </c>
      <c r="CD1526" s="57" t="n">
        <f aca="false">ROUNDUP(H1526/BS1526,0)</f>
        <v>1</v>
      </c>
      <c r="CE1526" s="57" t="n">
        <f aca="false">ROUNDUP(CB1526/BS1526,0)</f>
        <v>0</v>
      </c>
      <c r="CF1526" s="60" t="n">
        <f aca="false">IF(BT1526=1,0,IFERROR(VLOOKUP(BR1526,'Gebinde-Kategorie'!$A$5:$M$45,5,0)+0,0))</f>
        <v>11</v>
      </c>
      <c r="CG1526" s="60" t="n">
        <f aca="false">IFERROR(IF(OR(BX1526=1,BX1526=2,BX1526=3),N(INDEX(Parameter!$I$5:$I$7,BX1526)),0),0)</f>
        <v>0</v>
      </c>
      <c r="CH1526" s="59" t="n">
        <f aca="false">IF(AND(Parameter!$B$21="Ja",ISNUMBER(W1526),N(X1526)&gt;0),IFERROR(N(INDEX(Parameter!$L$5:$L$7,W1526))*INDEX(Parameter!$E$5:$E$7,W1526)*X1526/SUMIFS($X$7:$X$1843,$W$7:$W$1843,W1526),0),0)</f>
        <v>0</v>
      </c>
    </row>
    <row r="1527" customFormat="false" ht="15" hidden="false" customHeight="false" outlineLevel="0" collapsed="false">
      <c r="A1527" s="55" t="s">
        <v>2670</v>
      </c>
      <c r="B1527" s="55" t="s">
        <v>314</v>
      </c>
      <c r="C1527" s="55" t="s">
        <v>167</v>
      </c>
      <c r="D1527" s="55" t="s">
        <v>173</v>
      </c>
      <c r="E1527" s="55" t="s">
        <v>185</v>
      </c>
      <c r="F1527" s="55"/>
      <c r="G1527" s="56" t="n">
        <v>1438</v>
      </c>
      <c r="H1527" s="57" t="n">
        <f aca="false">MAX(0,IF(AND(Parameter!$B$21="Ja",ISNUMBER(Y1527)),Y1527,IF(Parameter!$B$20="Jahresanfang 2025 + Export",BL1527+BK1527,BK1527)))</f>
        <v>2</v>
      </c>
      <c r="I1527" s="57" t="n">
        <f aca="false">H1527*G1527</f>
        <v>2876</v>
      </c>
      <c r="J1527" s="57" t="n">
        <f aca="false">BN1527*Parameter!$B$18</f>
        <v>0</v>
      </c>
      <c r="K1527" s="58"/>
      <c r="L1527" s="59"/>
      <c r="M1527" s="57" t="n">
        <v>0</v>
      </c>
      <c r="N1527" s="57" t="n">
        <v>1</v>
      </c>
      <c r="O1527" s="60" t="n">
        <v>35</v>
      </c>
      <c r="P1527" s="55" t="s">
        <v>233</v>
      </c>
      <c r="Q1527" s="57" t="n">
        <v>2</v>
      </c>
      <c r="R1527" s="60" t="n">
        <f aca="false">IF(BT1527=1,0,IFERROR(VLOOKUP(BR1527,'Gebinde-Kategorie'!$A$5:$M$45,13,0)+0,0))</f>
        <v>26</v>
      </c>
      <c r="S1527" s="61"/>
      <c r="T1527" s="62"/>
      <c r="U1527" s="62"/>
      <c r="V1527" s="62"/>
      <c r="W1527" s="55"/>
      <c r="X1527" s="57"/>
      <c r="Y1527" s="57"/>
      <c r="Z1527" s="55" t="n">
        <f aca="false">IF(A1527="","",IF(AND(Parameter!$B$21="Ja",ISNUMBER(W1527)),W1527,IF(BV1527="2+3",IF(ISNUMBER(SEARCH("grosser Artikel",BO1527)),2,IFERROR(VLOOKUP(BR1527,Parameter!$F$35:$G$64,2,0),2)),IF(OR(BV1527="Nein",BV1527=""),"-",BV1527))))</f>
        <v>3</v>
      </c>
      <c r="AA1527" s="62"/>
      <c r="AB1527" s="63"/>
      <c r="AC1527" s="57" t="n">
        <f aca="false">AR1527</f>
        <v>2</v>
      </c>
      <c r="AD1527" s="57" t="n">
        <f aca="false">MAX(AR1527,H1527)</f>
        <v>2</v>
      </c>
      <c r="AE1527" s="64"/>
      <c r="AF1527" s="57" t="n">
        <f aca="false">IF(LEFT(Cockpit!$C$5,1)="A",H1527,IF(CA1527=1,CB1527,IF(LEFT(Cockpit!$C$5,1)="B",AJ1527,MAX(AJ1527,H1527))))</f>
        <v>2</v>
      </c>
      <c r="AG1527" s="57" t="n">
        <f aca="false">IF(BT1527=1,0,ROUNDUP(AF1527/BS1527,0))</f>
        <v>1</v>
      </c>
      <c r="AH1527" s="59" t="n">
        <f aca="false">IF(CH1527&gt;0,CH1527*MAX(1,AF1527/X1527),IF(BT1527=1,IF(AF1527&lt;=0,0,BW1527*MAX(1,IF(H1527&gt;0,AF1527/H1527,1))),IF(R1527&gt;0,AG1527/R1527,0))/MAX(0.1,N(Parameter!$M$21)))</f>
        <v>0.0384615384615385</v>
      </c>
      <c r="AI1527" s="57" t="n">
        <f aca="false">AF1527*G1527</f>
        <v>2876</v>
      </c>
      <c r="AJ1527" s="57" t="n">
        <f aca="false">ROUNDUP(MAX(J1527/IF(BZ1527&gt;0,BZ1527,MAX(0.1,N(Cockpit!$C$6))),CC1527)/BS1527,0)*BS1527</f>
        <v>2</v>
      </c>
      <c r="AK1527" s="58" t="n">
        <f aca="false">IF(AH1527&gt;0,J1527/AH1527,-1)</f>
        <v>0</v>
      </c>
      <c r="AL1527" s="58" t="n">
        <f aca="false">IF(AND(OR(BY1527="L1",BY1527="L23"),AH1527&gt;0),SUMIFS($AH$7:$AH$1843,$BY$7:$BY$1843,BY1527,$AK$7:$AK$1843,"&gt;"&amp;AK1527)+SUMIFS($AH$7:$AH$1843,$BY$7:$BY$1843,BY1527,$AK$7:$AK$1843,AK1527,$BQ$7:$BQ$1843,"&lt;="&amp;BQ1527),"")</f>
        <v>82.6478581804669</v>
      </c>
      <c r="AM1527" s="65" t="n">
        <f aca="false">IF(AL1527="",0,MAX(0,MIN(1,(IF(BY1527="L1",Parameter!$E$5,Parameter!$E$6+Parameter!$E$7)-(AL1527-AH1527))/AH1527)))</f>
        <v>1</v>
      </c>
      <c r="AN1527" s="57" t="n">
        <f aca="false">IF(LEFT(Cockpit!$I$5,1)="A",H1527,IF(CA1527=1,CB1527,IF(LEFT(Cockpit!$I$5,1)="B",AR1527,MAX(AR1527,H1527))))</f>
        <v>2</v>
      </c>
      <c r="AO1527" s="57" t="n">
        <f aca="false">IF(BT1527=1,0,ROUNDUP(AN1527/BS1527,0))</f>
        <v>1</v>
      </c>
      <c r="AP1527" s="59" t="n">
        <f aca="false">IF(CH1527&gt;0,CH1527*MAX(1,AN1527/X1527),IF(BT1527=1,IF(AN1527&lt;=0,0,BW1527*MAX(1,IF(H1527&gt;0,AN1527/H1527,1))),IF(R1527&gt;0,AO1527/R1527,0))/MAX(0.1,N(Parameter!$M$21)))</f>
        <v>0.0384615384615385</v>
      </c>
      <c r="AQ1527" s="57" t="n">
        <f aca="false">AN1527*G1527</f>
        <v>2876</v>
      </c>
      <c r="AR1527" s="57" t="n">
        <f aca="false">ROUNDUP(MAX(J1527/IF(BZ1527&gt;0,BZ1527,MAX(0.1,N(Cockpit!$I$6))),CC1527)/BS1527,0)*BS1527</f>
        <v>2</v>
      </c>
      <c r="AS1527" s="58" t="n">
        <f aca="false">IF(AP1527&gt;0,J1527/AP1527,-1)</f>
        <v>0</v>
      </c>
      <c r="AT1527" s="58" t="n">
        <f aca="false">IF(AND(OR(BY1527="L1",BY1527="L23"),AP1527&gt;0),SUMIFS($AP$7:$AP$1843,$BY$7:$BY$1843,BY1527,$AS$7:$AS$1843,"&gt;"&amp;AS1527)+SUMIFS($AP$7:$AP$1843,$BY$7:$BY$1843,BY1527,$AS$7:$AS$1843,AS1527,$BQ$7:$BQ$1843,"&lt;="&amp;BQ1527),"")</f>
        <v>127.727112259721</v>
      </c>
      <c r="AU1527" s="65" t="n">
        <f aca="false">IF(AT1527="",0,MAX(0,MIN(1,(IF(BY1527="L1",Parameter!$E$5,Parameter!$E$6+Parameter!$E$7)-(AT1527-AP1527))/AP1527)))</f>
        <v>0</v>
      </c>
      <c r="AV1527" s="57" t="n">
        <f aca="false">IF(LEFT(Cockpit!$O$5,1)="A",H1527,IF(CA1527=1,CB1527,IF(LEFT(Cockpit!$O$5,1)="B",AZ1527,MAX(AZ1527,H1527))))</f>
        <v>2</v>
      </c>
      <c r="AW1527" s="57" t="n">
        <f aca="false">IF(BT1527=1,0,ROUNDUP(AV1527/BS1527,0))</f>
        <v>1</v>
      </c>
      <c r="AX1527" s="59" t="n">
        <f aca="false">IF(CH1527&gt;0,CH1527*MAX(1,AV1527/X1527),IF(BT1527=1,IF(AV1527&lt;=0,0,BW1527*MAX(1,IF(H1527&gt;0,AV1527/H1527,1))),IF(R1527&gt;0,AW1527/R1527,0))/MAX(0.1,N(Parameter!$M$21)))</f>
        <v>0.0384615384615385</v>
      </c>
      <c r="AY1527" s="57" t="n">
        <f aca="false">AV1527*G1527</f>
        <v>2876</v>
      </c>
      <c r="AZ1527" s="57" t="n">
        <f aca="false">ROUNDUP(MAX(J1527/IF(BZ1527&gt;0,BZ1527,MAX(0.1,N(Cockpit!$O$6))),CC1527)/BS1527,0)*BS1527</f>
        <v>2</v>
      </c>
      <c r="BA1527" s="58" t="n">
        <f aca="false">IF(AX1527&gt;0,J1527/AX1527,-1)</f>
        <v>0</v>
      </c>
      <c r="BB1527" s="58" t="n">
        <f aca="false">IF(AND(OR(BY1527="L1",BY1527="L23"),AX1527&gt;0),SUMIFS($AX$7:$AX$1843,$BY$7:$BY$1843,BY1527,$BA$7:$BA$1843,"&gt;"&amp;BA1527)+SUMIFS($AX$7:$AX$1843,$BY$7:$BY$1843,BY1527,$BA$7:$BA$1843,BA1527,$BQ$7:$BQ$1843,"&lt;="&amp;BQ1527),"")</f>
        <v>118.556949089558</v>
      </c>
      <c r="BC1527" s="65" t="n">
        <f aca="false">IF(BB1527="",0,MAX(0,MIN(1,(IF(BY1527="L1",Parameter!$E$5,Parameter!$E$6+Parameter!$E$7)-(BB1527-AX1527))/AX1527)))</f>
        <v>0</v>
      </c>
      <c r="BD1527" s="55" t="str">
        <f aca="false">IF(AH1527&lt;=0,"",IF(BY1527="Aussen","Aussenlager",IF(BY1527="-","Nicht im Lift",IF(AM1527&gt;=1,"Lift",IF(AM1527&lt;=0,"Aussenlager","teilweise")))))</f>
        <v>Lift</v>
      </c>
      <c r="BE1527" s="55" t="str">
        <f aca="false">IF(AP1527&lt;=0,"",IF(BY1527="Aussen","Aussenlager",IF(BY1527="-","Nicht im Lift",IF(AU1527&gt;=1,"Lift",IF(AU1527&lt;=0,"Aussenlager","teilweise")))))</f>
        <v>Aussenlager</v>
      </c>
      <c r="BF1527" s="55" t="str">
        <f aca="false">IF(AX1527&lt;=0,"",IF(BY1527="Aussen","Aussenlager",IF(BY1527="-","Nicht im Lift",IF(BC1527&gt;=1,"Lift",IF(BC1527&lt;=0,"Aussenlager","teilweise")))))</f>
        <v>Aussenlager</v>
      </c>
      <c r="BG1527" s="55" t="str">
        <f aca="false">IF(A1527="","",IF(BP1527=1,"Neu; ","")&amp;IF(AND(BP1527=0,BK1527&lt;0),"negativer Bestand (Export "&amp;BK1527&amp;"); ","")&amp;IF(J1527&lt;=0,"Kein Verbrauch; ","")&amp;IF(CH1527&gt;0,"Lift "&amp;W1527&amp;" lt. Liftbericht (Fach "&amp;X1527&amp;" Stk); ",IF(BU1527=1,"Gebinde geschätzt ("&amp;T1527&amp;"); ",IF(BT1527=1,"Lose – Tablare geschätzt; ","")))&amp;IF(H1527&gt;AR1527,"Überbestand "&amp;ROUND(H1527-AR1527,0)&amp;" Stk / CHF "&amp;ROUND((H1527-AR1527)*G1527,0)&amp;"; ","")&amp;IF(AND(CA1527=1,CB1527&lt;CC1527),"MAX &lt; MB+LG; ","")&amp;IF(AND(CG1527&gt;0,CF1527*10&gt;CG1527),"zu hoch für Tablar; ","")&amp;IF(AND(BP1527=0,OR(CA1527=1,AA1527&lt;&gt;"",U1527&lt;&gt;"",V1527&lt;&gt;"",AB1527&lt;&gt;"")),"manuell übersteuert; ","")&amp;IF(AND(BT1527=0,R1527=0),"Gebinde unbekannt / Stellmass fehlt; ","")&amp;IF(AND(BT1527=0,N(V1527)&lt;=0,N(Q1527)&lt;=0),"Menge pro Gebinde fehlt (Ist = 1 Gebinde); ","")&amp;BO1527)</f>
        <v>Kein Verbrauch; nur im Artikelstamm (Bestand 23.06.2026)</v>
      </c>
      <c r="BH1527" s="55"/>
      <c r="BI1527" s="55"/>
      <c r="BJ1527" s="62"/>
      <c r="BK1527" s="57" t="n">
        <v>2</v>
      </c>
      <c r="BL1527" s="57" t="n">
        <v>0</v>
      </c>
      <c r="BM1527" s="56" t="n">
        <v>0</v>
      </c>
      <c r="BN1527" s="57" t="n">
        <v>0</v>
      </c>
      <c r="BO1527" s="55" t="s">
        <v>2575</v>
      </c>
      <c r="BP1527" s="60" t="n">
        <v>0</v>
      </c>
      <c r="BQ1527" s="60" t="n">
        <v>1527</v>
      </c>
      <c r="BR1527" s="55" t="str">
        <f aca="false">IF(U1527&lt;&gt;"",UPPER(TRIM(U1527)),IF(BU1527=1,UPPER(VLOOKUP(T1527,Parameter!$I$27:$K$29,2,0)),IF(P1527="","LOSE",P1527)))</f>
        <v>S52</v>
      </c>
      <c r="BS1527" s="57" t="n">
        <f aca="false">IF(BR1527="LOSE",1,IF(N(V1527)&gt;0,V1527,IF(BU1527=1,MAX(1,N(VLOOKUP(T1527,Parameter!$I$27:$K$29,3,0)),H1527,N(N1527)),IF(N(Q1527)&gt;0,Q1527,MAX(1,H1527)))))</f>
        <v>2</v>
      </c>
      <c r="BT1527" s="60" t="n">
        <f aca="false">IF(BR1527="LOSE",1,0)</f>
        <v>0</v>
      </c>
      <c r="BU1527" s="60" t="n">
        <f aca="false">IF(AND(U1527="",OR(P1527="",P1527="LOSE"),T1527&lt;&gt;"",N(S1527)&lt;=0,ISNUMBER(MATCH(T1527,Parameter!$I$27:$I$29,0))),1,0)</f>
        <v>0</v>
      </c>
      <c r="BV1527" s="55" t="str">
        <f aca="false">IF(AND(Parameter!$B$19="Ja",E1527&lt;&gt;"",ISNUMBER(MATCH(E1527,Parameter!$I$35:$I$52,0))),VLOOKUP(E1527,Parameter!$I$35:$J$52,2,0),IFERROR(VLOOKUP(D1527,Parameter!$A$35:$C$64,2,0),"Nein"))</f>
        <v>2+3</v>
      </c>
      <c r="BW1527" s="59" t="n">
        <f aca="false">IF(BT1527=0,0,IF(N(S1527)&gt;0,S1527,IFERROR(VLOOKUP(D1527,Parameter!$A$35:$C$64,3,0)+0,0)))</f>
        <v>0</v>
      </c>
      <c r="BX1527" s="55" t="n">
        <f aca="false">IF(AA1527&lt;&gt;"",AA1527,Z1527)</f>
        <v>3</v>
      </c>
      <c r="BY1527" s="55" t="str">
        <f aca="false">IF(BX1527=1,"L1",IF(OR(BX1527=2,BX1527=3),"L23",IF(BX1527="Aussen","Aussen","-")))</f>
        <v>L23</v>
      </c>
      <c r="BZ1527" s="66" t="n">
        <f aca="false">IF(N(AB1527)&gt;0,AB1527,0)</f>
        <v>0</v>
      </c>
      <c r="CA1527" s="60" t="n">
        <f aca="false">IF(ISNUMBER(AE1527),1,0)</f>
        <v>0</v>
      </c>
      <c r="CB1527" s="57" t="n">
        <f aca="false">N(AE1527)</f>
        <v>0</v>
      </c>
      <c r="CC1527" s="57" t="n">
        <f aca="false">N(M1527)+N(N1527)</f>
        <v>1</v>
      </c>
      <c r="CD1527" s="57" t="n">
        <f aca="false">ROUNDUP(H1527/BS1527,0)</f>
        <v>1</v>
      </c>
      <c r="CE1527" s="57" t="n">
        <f aca="false">ROUNDUP(CB1527/BS1527,0)</f>
        <v>0</v>
      </c>
      <c r="CF1527" s="60" t="n">
        <f aca="false">IF(BT1527=1,0,IFERROR(VLOOKUP(BR1527,'Gebinde-Kategorie'!$A$5:$M$45,5,0)+0,0))</f>
        <v>21</v>
      </c>
      <c r="CG1527" s="60" t="n">
        <f aca="false">IFERROR(IF(OR(BX1527=1,BX1527=2,BX1527=3),N(INDEX(Parameter!$I$5:$I$7,BX1527)),0),0)</f>
        <v>0</v>
      </c>
      <c r="CH1527" s="59" t="n">
        <f aca="false">IF(AND(Parameter!$B$21="Ja",ISNUMBER(W1527),N(X1527)&gt;0),IFERROR(N(INDEX(Parameter!$L$5:$L$7,W1527))*INDEX(Parameter!$E$5:$E$7,W1527)*X1527/SUMIFS($X$7:$X$1843,$W$7:$W$1843,W1527),0),0)</f>
        <v>0</v>
      </c>
    </row>
    <row r="1528" customFormat="false" ht="15" hidden="false" customHeight="false" outlineLevel="0" collapsed="false">
      <c r="A1528" s="55" t="s">
        <v>2671</v>
      </c>
      <c r="B1528" s="55" t="s">
        <v>2663</v>
      </c>
      <c r="C1528" s="55" t="s">
        <v>167</v>
      </c>
      <c r="D1528" s="55" t="s">
        <v>173</v>
      </c>
      <c r="E1528" s="55" t="s">
        <v>185</v>
      </c>
      <c r="F1528" s="55"/>
      <c r="G1528" s="56" t="n">
        <v>1438</v>
      </c>
      <c r="H1528" s="57" t="n">
        <f aca="false">MAX(0,IF(AND(Parameter!$B$21="Ja",ISNUMBER(Y1528)),Y1528,IF(Parameter!$B$20="Jahresanfang 2025 + Export",BL1528+BK1528,BK1528)))</f>
        <v>2</v>
      </c>
      <c r="I1528" s="57" t="n">
        <f aca="false">H1528*G1528</f>
        <v>2876</v>
      </c>
      <c r="J1528" s="57" t="n">
        <f aca="false">BN1528*Parameter!$B$18</f>
        <v>0</v>
      </c>
      <c r="K1528" s="58"/>
      <c r="L1528" s="59"/>
      <c r="M1528" s="57" t="n">
        <v>0</v>
      </c>
      <c r="N1528" s="57" t="n">
        <v>1</v>
      </c>
      <c r="O1528" s="60" t="n">
        <v>35</v>
      </c>
      <c r="P1528" s="55" t="s">
        <v>233</v>
      </c>
      <c r="Q1528" s="57" t="n">
        <v>2</v>
      </c>
      <c r="R1528" s="60" t="n">
        <f aca="false">IF(BT1528=1,0,IFERROR(VLOOKUP(BR1528,'Gebinde-Kategorie'!$A$5:$M$45,13,0)+0,0))</f>
        <v>26</v>
      </c>
      <c r="S1528" s="61"/>
      <c r="T1528" s="62"/>
      <c r="U1528" s="62"/>
      <c r="V1528" s="62"/>
      <c r="W1528" s="55"/>
      <c r="X1528" s="57"/>
      <c r="Y1528" s="57"/>
      <c r="Z1528" s="55" t="n">
        <f aca="false">IF(A1528="","",IF(AND(Parameter!$B$21="Ja",ISNUMBER(W1528)),W1528,IF(BV1528="2+3",IF(ISNUMBER(SEARCH("grosser Artikel",BO1528)),2,IFERROR(VLOOKUP(BR1528,Parameter!$F$35:$G$64,2,0),2)),IF(OR(BV1528="Nein",BV1528=""),"-",BV1528))))</f>
        <v>3</v>
      </c>
      <c r="AA1528" s="62"/>
      <c r="AB1528" s="63"/>
      <c r="AC1528" s="57" t="n">
        <f aca="false">AR1528</f>
        <v>2</v>
      </c>
      <c r="AD1528" s="57" t="n">
        <f aca="false">MAX(AR1528,H1528)</f>
        <v>2</v>
      </c>
      <c r="AE1528" s="64"/>
      <c r="AF1528" s="57" t="n">
        <f aca="false">IF(LEFT(Cockpit!$C$5,1)="A",H1528,IF(CA1528=1,CB1528,IF(LEFT(Cockpit!$C$5,1)="B",AJ1528,MAX(AJ1528,H1528))))</f>
        <v>2</v>
      </c>
      <c r="AG1528" s="57" t="n">
        <f aca="false">IF(BT1528=1,0,ROUNDUP(AF1528/BS1528,0))</f>
        <v>1</v>
      </c>
      <c r="AH1528" s="59" t="n">
        <f aca="false">IF(CH1528&gt;0,CH1528*MAX(1,AF1528/X1528),IF(BT1528=1,IF(AF1528&lt;=0,0,BW1528*MAX(1,IF(H1528&gt;0,AF1528/H1528,1))),IF(R1528&gt;0,AG1528/R1528,0))/MAX(0.1,N(Parameter!$M$21)))</f>
        <v>0.0384615384615385</v>
      </c>
      <c r="AI1528" s="57" t="n">
        <f aca="false">AF1528*G1528</f>
        <v>2876</v>
      </c>
      <c r="AJ1528" s="57" t="n">
        <f aca="false">ROUNDUP(MAX(J1528/IF(BZ1528&gt;0,BZ1528,MAX(0.1,N(Cockpit!$C$6))),CC1528)/BS1528,0)*BS1528</f>
        <v>2</v>
      </c>
      <c r="AK1528" s="58" t="n">
        <f aca="false">IF(AH1528&gt;0,J1528/AH1528,-1)</f>
        <v>0</v>
      </c>
      <c r="AL1528" s="58" t="n">
        <f aca="false">IF(AND(OR(BY1528="L1",BY1528="L23"),AH1528&gt;0),SUMIFS($AH$7:$AH$1843,$BY$7:$BY$1843,BY1528,$AK$7:$AK$1843,"&gt;"&amp;AK1528)+SUMIFS($AH$7:$AH$1843,$BY$7:$BY$1843,BY1528,$AK$7:$AK$1843,AK1528,$BQ$7:$BQ$1843,"&lt;="&amp;BQ1528),"")</f>
        <v>82.6863197189284</v>
      </c>
      <c r="AM1528" s="65" t="n">
        <f aca="false">IF(AL1528="",0,MAX(0,MIN(1,(IF(BY1528="L1",Parameter!$E$5,Parameter!$E$6+Parameter!$E$7)-(AL1528-AH1528))/AH1528)))</f>
        <v>1</v>
      </c>
      <c r="AN1528" s="57" t="n">
        <f aca="false">IF(LEFT(Cockpit!$I$5,1)="A",H1528,IF(CA1528=1,CB1528,IF(LEFT(Cockpit!$I$5,1)="B",AR1528,MAX(AR1528,H1528))))</f>
        <v>2</v>
      </c>
      <c r="AO1528" s="57" t="n">
        <f aca="false">IF(BT1528=1,0,ROUNDUP(AN1528/BS1528,0))</f>
        <v>1</v>
      </c>
      <c r="AP1528" s="59" t="n">
        <f aca="false">IF(CH1528&gt;0,CH1528*MAX(1,AN1528/X1528),IF(BT1528=1,IF(AN1528&lt;=0,0,BW1528*MAX(1,IF(H1528&gt;0,AN1528/H1528,1))),IF(R1528&gt;0,AO1528/R1528,0))/MAX(0.1,N(Parameter!$M$21)))</f>
        <v>0.0384615384615385</v>
      </c>
      <c r="AQ1528" s="57" t="n">
        <f aca="false">AN1528*G1528</f>
        <v>2876</v>
      </c>
      <c r="AR1528" s="57" t="n">
        <f aca="false">ROUNDUP(MAX(J1528/IF(BZ1528&gt;0,BZ1528,MAX(0.1,N(Cockpit!$I$6))),CC1528)/BS1528,0)*BS1528</f>
        <v>2</v>
      </c>
      <c r="AS1528" s="58" t="n">
        <f aca="false">IF(AP1528&gt;0,J1528/AP1528,-1)</f>
        <v>0</v>
      </c>
      <c r="AT1528" s="58" t="n">
        <f aca="false">IF(AND(OR(BY1528="L1",BY1528="L23"),AP1528&gt;0),SUMIFS($AP$7:$AP$1843,$BY$7:$BY$1843,BY1528,$AS$7:$AS$1843,"&gt;"&amp;AS1528)+SUMIFS($AP$7:$AP$1843,$BY$7:$BY$1843,BY1528,$AS$7:$AS$1843,AS1528,$BQ$7:$BQ$1843,"&lt;="&amp;BQ1528),"")</f>
        <v>127.765573798183</v>
      </c>
      <c r="AU1528" s="65" t="n">
        <f aca="false">IF(AT1528="",0,MAX(0,MIN(1,(IF(BY1528="L1",Parameter!$E$5,Parameter!$E$6+Parameter!$E$7)-(AT1528-AP1528))/AP1528)))</f>
        <v>0</v>
      </c>
      <c r="AV1528" s="57" t="n">
        <f aca="false">IF(LEFT(Cockpit!$O$5,1)="A",H1528,IF(CA1528=1,CB1528,IF(LEFT(Cockpit!$O$5,1)="B",AZ1528,MAX(AZ1528,H1528))))</f>
        <v>2</v>
      </c>
      <c r="AW1528" s="57" t="n">
        <f aca="false">IF(BT1528=1,0,ROUNDUP(AV1528/BS1528,0))</f>
        <v>1</v>
      </c>
      <c r="AX1528" s="59" t="n">
        <f aca="false">IF(CH1528&gt;0,CH1528*MAX(1,AV1528/X1528),IF(BT1528=1,IF(AV1528&lt;=0,0,BW1528*MAX(1,IF(H1528&gt;0,AV1528/H1528,1))),IF(R1528&gt;0,AW1528/R1528,0))/MAX(0.1,N(Parameter!$M$21)))</f>
        <v>0.0384615384615385</v>
      </c>
      <c r="AY1528" s="57" t="n">
        <f aca="false">AV1528*G1528</f>
        <v>2876</v>
      </c>
      <c r="AZ1528" s="57" t="n">
        <f aca="false">ROUNDUP(MAX(J1528/IF(BZ1528&gt;0,BZ1528,MAX(0.1,N(Cockpit!$O$6))),CC1528)/BS1528,0)*BS1528</f>
        <v>2</v>
      </c>
      <c r="BA1528" s="58" t="n">
        <f aca="false">IF(AX1528&gt;0,J1528/AX1528,-1)</f>
        <v>0</v>
      </c>
      <c r="BB1528" s="58" t="n">
        <f aca="false">IF(AND(OR(BY1528="L1",BY1528="L23"),AX1528&gt;0),SUMIFS($AX$7:$AX$1843,$BY$7:$BY$1843,BY1528,$BA$7:$BA$1843,"&gt;"&amp;BA1528)+SUMIFS($AX$7:$AX$1843,$BY$7:$BY$1843,BY1528,$BA$7:$BA$1843,BA1528,$BQ$7:$BQ$1843,"&lt;="&amp;BQ1528),"")</f>
        <v>118.595410628019</v>
      </c>
      <c r="BC1528" s="65" t="n">
        <f aca="false">IF(BB1528="",0,MAX(0,MIN(1,(IF(BY1528="L1",Parameter!$E$5,Parameter!$E$6+Parameter!$E$7)-(BB1528-AX1528))/AX1528)))</f>
        <v>0</v>
      </c>
      <c r="BD1528" s="55" t="str">
        <f aca="false">IF(AH1528&lt;=0,"",IF(BY1528="Aussen","Aussenlager",IF(BY1528="-","Nicht im Lift",IF(AM1528&gt;=1,"Lift",IF(AM1528&lt;=0,"Aussenlager","teilweise")))))</f>
        <v>Lift</v>
      </c>
      <c r="BE1528" s="55" t="str">
        <f aca="false">IF(AP1528&lt;=0,"",IF(BY1528="Aussen","Aussenlager",IF(BY1528="-","Nicht im Lift",IF(AU1528&gt;=1,"Lift",IF(AU1528&lt;=0,"Aussenlager","teilweise")))))</f>
        <v>Aussenlager</v>
      </c>
      <c r="BF1528" s="55" t="str">
        <f aca="false">IF(AX1528&lt;=0,"",IF(BY1528="Aussen","Aussenlager",IF(BY1528="-","Nicht im Lift",IF(BC1528&gt;=1,"Lift",IF(BC1528&lt;=0,"Aussenlager","teilweise")))))</f>
        <v>Aussenlager</v>
      </c>
      <c r="BG1528" s="55" t="str">
        <f aca="false">IF(A1528="","",IF(BP1528=1,"Neu; ","")&amp;IF(AND(BP1528=0,BK1528&lt;0),"negativer Bestand (Export "&amp;BK1528&amp;"); ","")&amp;IF(J1528&lt;=0,"Kein Verbrauch; ","")&amp;IF(CH1528&gt;0,"Lift "&amp;W1528&amp;" lt. Liftbericht (Fach "&amp;X1528&amp;" Stk); ",IF(BU1528=1,"Gebinde geschätzt ("&amp;T1528&amp;"); ",IF(BT1528=1,"Lose – Tablare geschätzt; ","")))&amp;IF(H1528&gt;AR1528,"Überbestand "&amp;ROUND(H1528-AR1528,0)&amp;" Stk / CHF "&amp;ROUND((H1528-AR1528)*G1528,0)&amp;"; ","")&amp;IF(AND(CA1528=1,CB1528&lt;CC1528),"MAX &lt; MB+LG; ","")&amp;IF(AND(CG1528&gt;0,CF1528*10&gt;CG1528),"zu hoch für Tablar; ","")&amp;IF(AND(BP1528=0,OR(CA1528=1,AA1528&lt;&gt;"",U1528&lt;&gt;"",V1528&lt;&gt;"",AB1528&lt;&gt;"")),"manuell übersteuert; ","")&amp;IF(AND(BT1528=0,R1528=0),"Gebinde unbekannt / Stellmass fehlt; ","")&amp;IF(AND(BT1528=0,N(V1528)&lt;=0,N(Q1528)&lt;=0),"Menge pro Gebinde fehlt (Ist = 1 Gebinde); ","")&amp;BO1528)</f>
        <v>Kein Verbrauch; nur im Artikelstamm (Bestand 23.06.2026)</v>
      </c>
      <c r="BH1528" s="55"/>
      <c r="BI1528" s="55"/>
      <c r="BJ1528" s="62"/>
      <c r="BK1528" s="57" t="n">
        <v>2</v>
      </c>
      <c r="BL1528" s="57" t="n">
        <v>0</v>
      </c>
      <c r="BM1528" s="56" t="n">
        <v>0</v>
      </c>
      <c r="BN1528" s="57" t="n">
        <v>0</v>
      </c>
      <c r="BO1528" s="55" t="s">
        <v>2575</v>
      </c>
      <c r="BP1528" s="60" t="n">
        <v>0</v>
      </c>
      <c r="BQ1528" s="60" t="n">
        <v>1528</v>
      </c>
      <c r="BR1528" s="55" t="str">
        <f aca="false">IF(U1528&lt;&gt;"",UPPER(TRIM(U1528)),IF(BU1528=1,UPPER(VLOOKUP(T1528,Parameter!$I$27:$K$29,2,0)),IF(P1528="","LOSE",P1528)))</f>
        <v>S52</v>
      </c>
      <c r="BS1528" s="57" t="n">
        <f aca="false">IF(BR1528="LOSE",1,IF(N(V1528)&gt;0,V1528,IF(BU1528=1,MAX(1,N(VLOOKUP(T1528,Parameter!$I$27:$K$29,3,0)),H1528,N(N1528)),IF(N(Q1528)&gt;0,Q1528,MAX(1,H1528)))))</f>
        <v>2</v>
      </c>
      <c r="BT1528" s="60" t="n">
        <f aca="false">IF(BR1528="LOSE",1,0)</f>
        <v>0</v>
      </c>
      <c r="BU1528" s="60" t="n">
        <f aca="false">IF(AND(U1528="",OR(P1528="",P1528="LOSE"),T1528&lt;&gt;"",N(S1528)&lt;=0,ISNUMBER(MATCH(T1528,Parameter!$I$27:$I$29,0))),1,0)</f>
        <v>0</v>
      </c>
      <c r="BV1528" s="55" t="str">
        <f aca="false">IF(AND(Parameter!$B$19="Ja",E1528&lt;&gt;"",ISNUMBER(MATCH(E1528,Parameter!$I$35:$I$52,0))),VLOOKUP(E1528,Parameter!$I$35:$J$52,2,0),IFERROR(VLOOKUP(D1528,Parameter!$A$35:$C$64,2,0),"Nein"))</f>
        <v>2+3</v>
      </c>
      <c r="BW1528" s="59" t="n">
        <f aca="false">IF(BT1528=0,0,IF(N(S1528)&gt;0,S1528,IFERROR(VLOOKUP(D1528,Parameter!$A$35:$C$64,3,0)+0,0)))</f>
        <v>0</v>
      </c>
      <c r="BX1528" s="55" t="n">
        <f aca="false">IF(AA1528&lt;&gt;"",AA1528,Z1528)</f>
        <v>3</v>
      </c>
      <c r="BY1528" s="55" t="str">
        <f aca="false">IF(BX1528=1,"L1",IF(OR(BX1528=2,BX1528=3),"L23",IF(BX1528="Aussen","Aussen","-")))</f>
        <v>L23</v>
      </c>
      <c r="BZ1528" s="66" t="n">
        <f aca="false">IF(N(AB1528)&gt;0,AB1528,0)</f>
        <v>0</v>
      </c>
      <c r="CA1528" s="60" t="n">
        <f aca="false">IF(ISNUMBER(AE1528),1,0)</f>
        <v>0</v>
      </c>
      <c r="CB1528" s="57" t="n">
        <f aca="false">N(AE1528)</f>
        <v>0</v>
      </c>
      <c r="CC1528" s="57" t="n">
        <f aca="false">N(M1528)+N(N1528)</f>
        <v>1</v>
      </c>
      <c r="CD1528" s="57" t="n">
        <f aca="false">ROUNDUP(H1528/BS1528,0)</f>
        <v>1</v>
      </c>
      <c r="CE1528" s="57" t="n">
        <f aca="false">ROUNDUP(CB1528/BS1528,0)</f>
        <v>0</v>
      </c>
      <c r="CF1528" s="60" t="n">
        <f aca="false">IF(BT1528=1,0,IFERROR(VLOOKUP(BR1528,'Gebinde-Kategorie'!$A$5:$M$45,5,0)+0,0))</f>
        <v>21</v>
      </c>
      <c r="CG1528" s="60" t="n">
        <f aca="false">IFERROR(IF(OR(BX1528=1,BX1528=2,BX1528=3),N(INDEX(Parameter!$I$5:$I$7,BX1528)),0),0)</f>
        <v>0</v>
      </c>
      <c r="CH1528" s="59" t="n">
        <f aca="false">IF(AND(Parameter!$B$21="Ja",ISNUMBER(W1528),N(X1528)&gt;0),IFERROR(N(INDEX(Parameter!$L$5:$L$7,W1528))*INDEX(Parameter!$E$5:$E$7,W1528)*X1528/SUMIFS($X$7:$X$1843,$W$7:$W$1843,W1528),0),0)</f>
        <v>0</v>
      </c>
    </row>
    <row r="1529" customFormat="false" ht="15" hidden="false" customHeight="false" outlineLevel="0" collapsed="false">
      <c r="A1529" s="55" t="s">
        <v>2672</v>
      </c>
      <c r="B1529" s="55" t="s">
        <v>2318</v>
      </c>
      <c r="C1529" s="55" t="s">
        <v>167</v>
      </c>
      <c r="D1529" s="55" t="s">
        <v>173</v>
      </c>
      <c r="E1529" s="55" t="s">
        <v>185</v>
      </c>
      <c r="F1529" s="55"/>
      <c r="G1529" s="56" t="n">
        <v>1094</v>
      </c>
      <c r="H1529" s="57" t="n">
        <f aca="false">MAX(0,IF(AND(Parameter!$B$21="Ja",ISNUMBER(Y1529)),Y1529,IF(Parameter!$B$20="Jahresanfang 2025 + Export",BL1529+BK1529,BK1529)))</f>
        <v>2</v>
      </c>
      <c r="I1529" s="57" t="n">
        <f aca="false">H1529*G1529</f>
        <v>2188</v>
      </c>
      <c r="J1529" s="57" t="n">
        <f aca="false">BN1529*Parameter!$B$18</f>
        <v>0</v>
      </c>
      <c r="K1529" s="58"/>
      <c r="L1529" s="59"/>
      <c r="M1529" s="57" t="n">
        <v>0</v>
      </c>
      <c r="N1529" s="57" t="n">
        <v>1</v>
      </c>
      <c r="O1529" s="60" t="n">
        <v>35</v>
      </c>
      <c r="P1529" s="55" t="s">
        <v>233</v>
      </c>
      <c r="Q1529" s="57" t="n">
        <v>2</v>
      </c>
      <c r="R1529" s="60" t="n">
        <f aca="false">IF(BT1529=1,0,IFERROR(VLOOKUP(BR1529,'Gebinde-Kategorie'!$A$5:$M$45,13,0)+0,0))</f>
        <v>26</v>
      </c>
      <c r="S1529" s="61"/>
      <c r="T1529" s="62"/>
      <c r="U1529" s="62"/>
      <c r="V1529" s="62"/>
      <c r="W1529" s="55"/>
      <c r="X1529" s="57"/>
      <c r="Y1529" s="57"/>
      <c r="Z1529" s="55" t="n">
        <f aca="false">IF(A1529="","",IF(AND(Parameter!$B$21="Ja",ISNUMBER(W1529)),W1529,IF(BV1529="2+3",IF(ISNUMBER(SEARCH("grosser Artikel",BO1529)),2,IFERROR(VLOOKUP(BR1529,Parameter!$F$35:$G$64,2,0),2)),IF(OR(BV1529="Nein",BV1529=""),"-",BV1529))))</f>
        <v>3</v>
      </c>
      <c r="AA1529" s="62"/>
      <c r="AB1529" s="63"/>
      <c r="AC1529" s="57" t="n">
        <f aca="false">AR1529</f>
        <v>2</v>
      </c>
      <c r="AD1529" s="57" t="n">
        <f aca="false">MAX(AR1529,H1529)</f>
        <v>2</v>
      </c>
      <c r="AE1529" s="64"/>
      <c r="AF1529" s="57" t="n">
        <f aca="false">IF(LEFT(Cockpit!$C$5,1)="A",H1529,IF(CA1529=1,CB1529,IF(LEFT(Cockpit!$C$5,1)="B",AJ1529,MAX(AJ1529,H1529))))</f>
        <v>2</v>
      </c>
      <c r="AG1529" s="57" t="n">
        <f aca="false">IF(BT1529=1,0,ROUNDUP(AF1529/BS1529,0))</f>
        <v>1</v>
      </c>
      <c r="AH1529" s="59" t="n">
        <f aca="false">IF(CH1529&gt;0,CH1529*MAX(1,AF1529/X1529),IF(BT1529=1,IF(AF1529&lt;=0,0,BW1529*MAX(1,IF(H1529&gt;0,AF1529/H1529,1))),IF(R1529&gt;0,AG1529/R1529,0))/MAX(0.1,N(Parameter!$M$21)))</f>
        <v>0.0384615384615385</v>
      </c>
      <c r="AI1529" s="57" t="n">
        <f aca="false">AF1529*G1529</f>
        <v>2188</v>
      </c>
      <c r="AJ1529" s="57" t="n">
        <f aca="false">ROUNDUP(MAX(J1529/IF(BZ1529&gt;0,BZ1529,MAX(0.1,N(Cockpit!$C$6))),CC1529)/BS1529,0)*BS1529</f>
        <v>2</v>
      </c>
      <c r="AK1529" s="58" t="n">
        <f aca="false">IF(AH1529&gt;0,J1529/AH1529,-1)</f>
        <v>0</v>
      </c>
      <c r="AL1529" s="58" t="n">
        <f aca="false">IF(AND(OR(BY1529="L1",BY1529="L23"),AH1529&gt;0),SUMIFS($AH$7:$AH$1843,$BY$7:$BY$1843,BY1529,$AK$7:$AK$1843,"&gt;"&amp;AK1529)+SUMIFS($AH$7:$AH$1843,$BY$7:$BY$1843,BY1529,$AK$7:$AK$1843,AK1529,$BQ$7:$BQ$1843,"&lt;="&amp;BQ1529),"")</f>
        <v>82.72478125739</v>
      </c>
      <c r="AM1529" s="65" t="n">
        <f aca="false">IF(AL1529="",0,MAX(0,MIN(1,(IF(BY1529="L1",Parameter!$E$5,Parameter!$E$6+Parameter!$E$7)-(AL1529-AH1529))/AH1529)))</f>
        <v>1</v>
      </c>
      <c r="AN1529" s="57" t="n">
        <f aca="false">IF(LEFT(Cockpit!$I$5,1)="A",H1529,IF(CA1529=1,CB1529,IF(LEFT(Cockpit!$I$5,1)="B",AR1529,MAX(AR1529,H1529))))</f>
        <v>2</v>
      </c>
      <c r="AO1529" s="57" t="n">
        <f aca="false">IF(BT1529=1,0,ROUNDUP(AN1529/BS1529,0))</f>
        <v>1</v>
      </c>
      <c r="AP1529" s="59" t="n">
        <f aca="false">IF(CH1529&gt;0,CH1529*MAX(1,AN1529/X1529),IF(BT1529=1,IF(AN1529&lt;=0,0,BW1529*MAX(1,IF(H1529&gt;0,AN1529/H1529,1))),IF(R1529&gt;0,AO1529/R1529,0))/MAX(0.1,N(Parameter!$M$21)))</f>
        <v>0.0384615384615385</v>
      </c>
      <c r="AQ1529" s="57" t="n">
        <f aca="false">AN1529*G1529</f>
        <v>2188</v>
      </c>
      <c r="AR1529" s="57" t="n">
        <f aca="false">ROUNDUP(MAX(J1529/IF(BZ1529&gt;0,BZ1529,MAX(0.1,N(Cockpit!$I$6))),CC1529)/BS1529,0)*BS1529</f>
        <v>2</v>
      </c>
      <c r="AS1529" s="58" t="n">
        <f aca="false">IF(AP1529&gt;0,J1529/AP1529,-1)</f>
        <v>0</v>
      </c>
      <c r="AT1529" s="58" t="n">
        <f aca="false">IF(AND(OR(BY1529="L1",BY1529="L23"),AP1529&gt;0),SUMIFS($AP$7:$AP$1843,$BY$7:$BY$1843,BY1529,$AS$7:$AS$1843,"&gt;"&amp;AS1529)+SUMIFS($AP$7:$AP$1843,$BY$7:$BY$1843,BY1529,$AS$7:$AS$1843,AS1529,$BQ$7:$BQ$1843,"&lt;="&amp;BQ1529),"")</f>
        <v>127.804035336644</v>
      </c>
      <c r="AU1529" s="65" t="n">
        <f aca="false">IF(AT1529="",0,MAX(0,MIN(1,(IF(BY1529="L1",Parameter!$E$5,Parameter!$E$6+Parameter!$E$7)-(AT1529-AP1529))/AP1529)))</f>
        <v>0</v>
      </c>
      <c r="AV1529" s="57" t="n">
        <f aca="false">IF(LEFT(Cockpit!$O$5,1)="A",H1529,IF(CA1529=1,CB1529,IF(LEFT(Cockpit!$O$5,1)="B",AZ1529,MAX(AZ1529,H1529))))</f>
        <v>2</v>
      </c>
      <c r="AW1529" s="57" t="n">
        <f aca="false">IF(BT1529=1,0,ROUNDUP(AV1529/BS1529,0))</f>
        <v>1</v>
      </c>
      <c r="AX1529" s="59" t="n">
        <f aca="false">IF(CH1529&gt;0,CH1529*MAX(1,AV1529/X1529),IF(BT1529=1,IF(AV1529&lt;=0,0,BW1529*MAX(1,IF(H1529&gt;0,AV1529/H1529,1))),IF(R1529&gt;0,AW1529/R1529,0))/MAX(0.1,N(Parameter!$M$21)))</f>
        <v>0.0384615384615385</v>
      </c>
      <c r="AY1529" s="57" t="n">
        <f aca="false">AV1529*G1529</f>
        <v>2188</v>
      </c>
      <c r="AZ1529" s="57" t="n">
        <f aca="false">ROUNDUP(MAX(J1529/IF(BZ1529&gt;0,BZ1529,MAX(0.1,N(Cockpit!$O$6))),CC1529)/BS1529,0)*BS1529</f>
        <v>2</v>
      </c>
      <c r="BA1529" s="58" t="n">
        <f aca="false">IF(AX1529&gt;0,J1529/AX1529,-1)</f>
        <v>0</v>
      </c>
      <c r="BB1529" s="58" t="n">
        <f aca="false">IF(AND(OR(BY1529="L1",BY1529="L23"),AX1529&gt;0),SUMIFS($AX$7:$AX$1843,$BY$7:$BY$1843,BY1529,$BA$7:$BA$1843,"&gt;"&amp;BA1529)+SUMIFS($AX$7:$AX$1843,$BY$7:$BY$1843,BY1529,$BA$7:$BA$1843,BA1529,$BQ$7:$BQ$1843,"&lt;="&amp;BQ1529),"")</f>
        <v>118.633872166481</v>
      </c>
      <c r="BC1529" s="65" t="n">
        <f aca="false">IF(BB1529="",0,MAX(0,MIN(1,(IF(BY1529="L1",Parameter!$E$5,Parameter!$E$6+Parameter!$E$7)-(BB1529-AX1529))/AX1529)))</f>
        <v>0</v>
      </c>
      <c r="BD1529" s="55" t="str">
        <f aca="false">IF(AH1529&lt;=0,"",IF(BY1529="Aussen","Aussenlager",IF(BY1529="-","Nicht im Lift",IF(AM1529&gt;=1,"Lift",IF(AM1529&lt;=0,"Aussenlager","teilweise")))))</f>
        <v>Lift</v>
      </c>
      <c r="BE1529" s="55" t="str">
        <f aca="false">IF(AP1529&lt;=0,"",IF(BY1529="Aussen","Aussenlager",IF(BY1529="-","Nicht im Lift",IF(AU1529&gt;=1,"Lift",IF(AU1529&lt;=0,"Aussenlager","teilweise")))))</f>
        <v>Aussenlager</v>
      </c>
      <c r="BF1529" s="55" t="str">
        <f aca="false">IF(AX1529&lt;=0,"",IF(BY1529="Aussen","Aussenlager",IF(BY1529="-","Nicht im Lift",IF(BC1529&gt;=1,"Lift",IF(BC1529&lt;=0,"Aussenlager","teilweise")))))</f>
        <v>Aussenlager</v>
      </c>
      <c r="BG1529" s="55" t="str">
        <f aca="false">IF(A1529="","",IF(BP1529=1,"Neu; ","")&amp;IF(AND(BP1529=0,BK1529&lt;0),"negativer Bestand (Export "&amp;BK1529&amp;"); ","")&amp;IF(J1529&lt;=0,"Kein Verbrauch; ","")&amp;IF(CH1529&gt;0,"Lift "&amp;W1529&amp;" lt. Liftbericht (Fach "&amp;X1529&amp;" Stk); ",IF(BU1529=1,"Gebinde geschätzt ("&amp;T1529&amp;"); ",IF(BT1529=1,"Lose – Tablare geschätzt; ","")))&amp;IF(H1529&gt;AR1529,"Überbestand "&amp;ROUND(H1529-AR1529,0)&amp;" Stk / CHF "&amp;ROUND((H1529-AR1529)*G1529,0)&amp;"; ","")&amp;IF(AND(CA1529=1,CB1529&lt;CC1529),"MAX &lt; MB+LG; ","")&amp;IF(AND(CG1529&gt;0,CF1529*10&gt;CG1529),"zu hoch für Tablar; ","")&amp;IF(AND(BP1529=0,OR(CA1529=1,AA1529&lt;&gt;"",U1529&lt;&gt;"",V1529&lt;&gt;"",AB1529&lt;&gt;"")),"manuell übersteuert; ","")&amp;IF(AND(BT1529=0,R1529=0),"Gebinde unbekannt / Stellmass fehlt; ","")&amp;IF(AND(BT1529=0,N(V1529)&lt;=0,N(Q1529)&lt;=0),"Menge pro Gebinde fehlt (Ist = 1 Gebinde); ","")&amp;BO1529)</f>
        <v>Kein Verbrauch; nur im Artikelstamm (Bestand 23.06.2026)</v>
      </c>
      <c r="BH1529" s="55"/>
      <c r="BI1529" s="55"/>
      <c r="BJ1529" s="62"/>
      <c r="BK1529" s="57" t="n">
        <v>2</v>
      </c>
      <c r="BL1529" s="57" t="n">
        <v>0</v>
      </c>
      <c r="BM1529" s="56" t="n">
        <v>0</v>
      </c>
      <c r="BN1529" s="57" t="n">
        <v>0</v>
      </c>
      <c r="BO1529" s="55" t="s">
        <v>2575</v>
      </c>
      <c r="BP1529" s="60" t="n">
        <v>0</v>
      </c>
      <c r="BQ1529" s="60" t="n">
        <v>1529</v>
      </c>
      <c r="BR1529" s="55" t="str">
        <f aca="false">IF(U1529&lt;&gt;"",UPPER(TRIM(U1529)),IF(BU1529=1,UPPER(VLOOKUP(T1529,Parameter!$I$27:$K$29,2,0)),IF(P1529="","LOSE",P1529)))</f>
        <v>S52</v>
      </c>
      <c r="BS1529" s="57" t="n">
        <f aca="false">IF(BR1529="LOSE",1,IF(N(V1529)&gt;0,V1529,IF(BU1529=1,MAX(1,N(VLOOKUP(T1529,Parameter!$I$27:$K$29,3,0)),H1529,N(N1529)),IF(N(Q1529)&gt;0,Q1529,MAX(1,H1529)))))</f>
        <v>2</v>
      </c>
      <c r="BT1529" s="60" t="n">
        <f aca="false">IF(BR1529="LOSE",1,0)</f>
        <v>0</v>
      </c>
      <c r="BU1529" s="60" t="n">
        <f aca="false">IF(AND(U1529="",OR(P1529="",P1529="LOSE"),T1529&lt;&gt;"",N(S1529)&lt;=0,ISNUMBER(MATCH(T1529,Parameter!$I$27:$I$29,0))),1,0)</f>
        <v>0</v>
      </c>
      <c r="BV1529" s="55" t="str">
        <f aca="false">IF(AND(Parameter!$B$19="Ja",E1529&lt;&gt;"",ISNUMBER(MATCH(E1529,Parameter!$I$35:$I$52,0))),VLOOKUP(E1529,Parameter!$I$35:$J$52,2,0),IFERROR(VLOOKUP(D1529,Parameter!$A$35:$C$64,2,0),"Nein"))</f>
        <v>2+3</v>
      </c>
      <c r="BW1529" s="59" t="n">
        <f aca="false">IF(BT1529=0,0,IF(N(S1529)&gt;0,S1529,IFERROR(VLOOKUP(D1529,Parameter!$A$35:$C$64,3,0)+0,0)))</f>
        <v>0</v>
      </c>
      <c r="BX1529" s="55" t="n">
        <f aca="false">IF(AA1529&lt;&gt;"",AA1529,Z1529)</f>
        <v>3</v>
      </c>
      <c r="BY1529" s="55" t="str">
        <f aca="false">IF(BX1529=1,"L1",IF(OR(BX1529=2,BX1529=3),"L23",IF(BX1529="Aussen","Aussen","-")))</f>
        <v>L23</v>
      </c>
      <c r="BZ1529" s="66" t="n">
        <f aca="false">IF(N(AB1529)&gt;0,AB1529,0)</f>
        <v>0</v>
      </c>
      <c r="CA1529" s="60" t="n">
        <f aca="false">IF(ISNUMBER(AE1529),1,0)</f>
        <v>0</v>
      </c>
      <c r="CB1529" s="57" t="n">
        <f aca="false">N(AE1529)</f>
        <v>0</v>
      </c>
      <c r="CC1529" s="57" t="n">
        <f aca="false">N(M1529)+N(N1529)</f>
        <v>1</v>
      </c>
      <c r="CD1529" s="57" t="n">
        <f aca="false">ROUNDUP(H1529/BS1529,0)</f>
        <v>1</v>
      </c>
      <c r="CE1529" s="57" t="n">
        <f aca="false">ROUNDUP(CB1529/BS1529,0)</f>
        <v>0</v>
      </c>
      <c r="CF1529" s="60" t="n">
        <f aca="false">IF(BT1529=1,0,IFERROR(VLOOKUP(BR1529,'Gebinde-Kategorie'!$A$5:$M$45,5,0)+0,0))</f>
        <v>21</v>
      </c>
      <c r="CG1529" s="60" t="n">
        <f aca="false">IFERROR(IF(OR(BX1529=1,BX1529=2,BX1529=3),N(INDEX(Parameter!$I$5:$I$7,BX1529)),0),0)</f>
        <v>0</v>
      </c>
      <c r="CH1529" s="59" t="n">
        <f aca="false">IF(AND(Parameter!$B$21="Ja",ISNUMBER(W1529),N(X1529)&gt;0),IFERROR(N(INDEX(Parameter!$L$5:$L$7,W1529))*INDEX(Parameter!$E$5:$E$7,W1529)*X1529/SUMIFS($X$7:$X$1843,$W$7:$W$1843,W1529),0),0)</f>
        <v>0</v>
      </c>
    </row>
    <row r="1530" customFormat="false" ht="15" hidden="false" customHeight="false" outlineLevel="0" collapsed="false">
      <c r="A1530" s="55" t="s">
        <v>2673</v>
      </c>
      <c r="B1530" s="55" t="s">
        <v>2674</v>
      </c>
      <c r="C1530" s="55" t="s">
        <v>167</v>
      </c>
      <c r="D1530" s="55" t="s">
        <v>184</v>
      </c>
      <c r="E1530" s="55" t="s">
        <v>185</v>
      </c>
      <c r="F1530" s="55"/>
      <c r="G1530" s="56" t="n">
        <v>9.89</v>
      </c>
      <c r="H1530" s="57" t="n">
        <f aca="false">MAX(0,IF(AND(Parameter!$B$21="Ja",ISNUMBER(Y1530)),Y1530,IF(Parameter!$B$20="Jahresanfang 2025 + Export",BL1530+BK1530,BK1530)))</f>
        <v>51</v>
      </c>
      <c r="I1530" s="57" t="n">
        <f aca="false">H1530*G1530</f>
        <v>504.39</v>
      </c>
      <c r="J1530" s="57" t="n">
        <f aca="false">BN1530*Parameter!$B$18</f>
        <v>0</v>
      </c>
      <c r="K1530" s="58"/>
      <c r="L1530" s="59"/>
      <c r="M1530" s="57" t="n">
        <v>0</v>
      </c>
      <c r="N1530" s="57" t="n">
        <v>50</v>
      </c>
      <c r="O1530" s="60" t="n">
        <v>98</v>
      </c>
      <c r="P1530" s="55" t="s">
        <v>233</v>
      </c>
      <c r="Q1530" s="57" t="n">
        <v>51</v>
      </c>
      <c r="R1530" s="60" t="n">
        <f aca="false">IF(BT1530=1,0,IFERROR(VLOOKUP(BR1530,'Gebinde-Kategorie'!$A$5:$M$45,13,0)+0,0))</f>
        <v>26</v>
      </c>
      <c r="S1530" s="61"/>
      <c r="T1530" s="62"/>
      <c r="U1530" s="62"/>
      <c r="V1530" s="62"/>
      <c r="W1530" s="55"/>
      <c r="X1530" s="57"/>
      <c r="Y1530" s="57"/>
      <c r="Z1530" s="55" t="n">
        <f aca="false">IF(A1530="","",IF(AND(Parameter!$B$21="Ja",ISNUMBER(W1530)),W1530,IF(BV1530="2+3",IF(ISNUMBER(SEARCH("grosser Artikel",BO1530)),2,IFERROR(VLOOKUP(BR1530,Parameter!$F$35:$G$64,2,0),2)),IF(OR(BV1530="Nein",BV1530=""),"-",BV1530))))</f>
        <v>3</v>
      </c>
      <c r="AA1530" s="62"/>
      <c r="AB1530" s="63"/>
      <c r="AC1530" s="57" t="n">
        <f aca="false">AR1530</f>
        <v>51</v>
      </c>
      <c r="AD1530" s="57" t="n">
        <f aca="false">MAX(AR1530,H1530)</f>
        <v>51</v>
      </c>
      <c r="AE1530" s="64"/>
      <c r="AF1530" s="57" t="n">
        <f aca="false">IF(LEFT(Cockpit!$C$5,1)="A",H1530,IF(CA1530=1,CB1530,IF(LEFT(Cockpit!$C$5,1)="B",AJ1530,MAX(AJ1530,H1530))))</f>
        <v>51</v>
      </c>
      <c r="AG1530" s="57" t="n">
        <f aca="false">IF(BT1530=1,0,ROUNDUP(AF1530/BS1530,0))</f>
        <v>1</v>
      </c>
      <c r="AH1530" s="59" t="n">
        <f aca="false">IF(CH1530&gt;0,CH1530*MAX(1,AF1530/X1530),IF(BT1530=1,IF(AF1530&lt;=0,0,BW1530*MAX(1,IF(H1530&gt;0,AF1530/H1530,1))),IF(R1530&gt;0,AG1530/R1530,0))/MAX(0.1,N(Parameter!$M$21)))</f>
        <v>0.0384615384615385</v>
      </c>
      <c r="AI1530" s="57" t="n">
        <f aca="false">AF1530*G1530</f>
        <v>504.39</v>
      </c>
      <c r="AJ1530" s="57" t="n">
        <f aca="false">ROUNDUP(MAX(J1530/IF(BZ1530&gt;0,BZ1530,MAX(0.1,N(Cockpit!$C$6))),CC1530)/BS1530,0)*BS1530</f>
        <v>51</v>
      </c>
      <c r="AK1530" s="58" t="n">
        <f aca="false">IF(AH1530&gt;0,J1530/AH1530,-1)</f>
        <v>0</v>
      </c>
      <c r="AL1530" s="58" t="n">
        <f aca="false">IF(AND(OR(BY1530="L1",BY1530="L23"),AH1530&gt;0),SUMIFS($AH$7:$AH$1843,$BY$7:$BY$1843,BY1530,$AK$7:$AK$1843,"&gt;"&amp;AK1530)+SUMIFS($AH$7:$AH$1843,$BY$7:$BY$1843,BY1530,$AK$7:$AK$1843,AK1530,$BQ$7:$BQ$1843,"&lt;="&amp;BQ1530),"")</f>
        <v>82.7632427958515</v>
      </c>
      <c r="AM1530" s="65" t="n">
        <f aca="false">IF(AL1530="",0,MAX(0,MIN(1,(IF(BY1530="L1",Parameter!$E$5,Parameter!$E$6+Parameter!$E$7)-(AL1530-AH1530))/AH1530)))</f>
        <v>1</v>
      </c>
      <c r="AN1530" s="57" t="n">
        <f aca="false">IF(LEFT(Cockpit!$I$5,1)="A",H1530,IF(CA1530=1,CB1530,IF(LEFT(Cockpit!$I$5,1)="B",AR1530,MAX(AR1530,H1530))))</f>
        <v>51</v>
      </c>
      <c r="AO1530" s="57" t="n">
        <f aca="false">IF(BT1530=1,0,ROUNDUP(AN1530/BS1530,0))</f>
        <v>1</v>
      </c>
      <c r="AP1530" s="59" t="n">
        <f aca="false">IF(CH1530&gt;0,CH1530*MAX(1,AN1530/X1530),IF(BT1530=1,IF(AN1530&lt;=0,0,BW1530*MAX(1,IF(H1530&gt;0,AN1530/H1530,1))),IF(R1530&gt;0,AO1530/R1530,0))/MAX(0.1,N(Parameter!$M$21)))</f>
        <v>0.0384615384615385</v>
      </c>
      <c r="AQ1530" s="57" t="n">
        <f aca="false">AN1530*G1530</f>
        <v>504.39</v>
      </c>
      <c r="AR1530" s="57" t="n">
        <f aca="false">ROUNDUP(MAX(J1530/IF(BZ1530&gt;0,BZ1530,MAX(0.1,N(Cockpit!$I$6))),CC1530)/BS1530,0)*BS1530</f>
        <v>51</v>
      </c>
      <c r="AS1530" s="58" t="n">
        <f aca="false">IF(AP1530&gt;0,J1530/AP1530,-1)</f>
        <v>0</v>
      </c>
      <c r="AT1530" s="58" t="n">
        <f aca="false">IF(AND(OR(BY1530="L1",BY1530="L23"),AP1530&gt;0),SUMIFS($AP$7:$AP$1843,$BY$7:$BY$1843,BY1530,$AS$7:$AS$1843,"&gt;"&amp;AS1530)+SUMIFS($AP$7:$AP$1843,$BY$7:$BY$1843,BY1530,$AS$7:$AS$1843,AS1530,$BQ$7:$BQ$1843,"&lt;="&amp;BQ1530),"")</f>
        <v>127.842496875106</v>
      </c>
      <c r="AU1530" s="65" t="n">
        <f aca="false">IF(AT1530="",0,MAX(0,MIN(1,(IF(BY1530="L1",Parameter!$E$5,Parameter!$E$6+Parameter!$E$7)-(AT1530-AP1530))/AP1530)))</f>
        <v>0</v>
      </c>
      <c r="AV1530" s="57" t="n">
        <f aca="false">IF(LEFT(Cockpit!$O$5,1)="A",H1530,IF(CA1530=1,CB1530,IF(LEFT(Cockpit!$O$5,1)="B",AZ1530,MAX(AZ1530,H1530))))</f>
        <v>51</v>
      </c>
      <c r="AW1530" s="57" t="n">
        <f aca="false">IF(BT1530=1,0,ROUNDUP(AV1530/BS1530,0))</f>
        <v>1</v>
      </c>
      <c r="AX1530" s="59" t="n">
        <f aca="false">IF(CH1530&gt;0,CH1530*MAX(1,AV1530/X1530),IF(BT1530=1,IF(AV1530&lt;=0,0,BW1530*MAX(1,IF(H1530&gt;0,AV1530/H1530,1))),IF(R1530&gt;0,AW1530/R1530,0))/MAX(0.1,N(Parameter!$M$21)))</f>
        <v>0.0384615384615385</v>
      </c>
      <c r="AY1530" s="57" t="n">
        <f aca="false">AV1530*G1530</f>
        <v>504.39</v>
      </c>
      <c r="AZ1530" s="57" t="n">
        <f aca="false">ROUNDUP(MAX(J1530/IF(BZ1530&gt;0,BZ1530,MAX(0.1,N(Cockpit!$O$6))),CC1530)/BS1530,0)*BS1530</f>
        <v>51</v>
      </c>
      <c r="BA1530" s="58" t="n">
        <f aca="false">IF(AX1530&gt;0,J1530/AX1530,-1)</f>
        <v>0</v>
      </c>
      <c r="BB1530" s="58" t="n">
        <f aca="false">IF(AND(OR(BY1530="L1",BY1530="L23"),AX1530&gt;0),SUMIFS($AX$7:$AX$1843,$BY$7:$BY$1843,BY1530,$BA$7:$BA$1843,"&gt;"&amp;BA1530)+SUMIFS($AX$7:$AX$1843,$BY$7:$BY$1843,BY1530,$BA$7:$BA$1843,BA1530,$BQ$7:$BQ$1843,"&lt;="&amp;BQ1530),"")</f>
        <v>118.672333704942</v>
      </c>
      <c r="BC1530" s="65" t="n">
        <f aca="false">IF(BB1530="",0,MAX(0,MIN(1,(IF(BY1530="L1",Parameter!$E$5,Parameter!$E$6+Parameter!$E$7)-(BB1530-AX1530))/AX1530)))</f>
        <v>0</v>
      </c>
      <c r="BD1530" s="55" t="str">
        <f aca="false">IF(AH1530&lt;=0,"",IF(BY1530="Aussen","Aussenlager",IF(BY1530="-","Nicht im Lift",IF(AM1530&gt;=1,"Lift",IF(AM1530&lt;=0,"Aussenlager","teilweise")))))</f>
        <v>Lift</v>
      </c>
      <c r="BE1530" s="55" t="str">
        <f aca="false">IF(AP1530&lt;=0,"",IF(BY1530="Aussen","Aussenlager",IF(BY1530="-","Nicht im Lift",IF(AU1530&gt;=1,"Lift",IF(AU1530&lt;=0,"Aussenlager","teilweise")))))</f>
        <v>Aussenlager</v>
      </c>
      <c r="BF1530" s="55" t="str">
        <f aca="false">IF(AX1530&lt;=0,"",IF(BY1530="Aussen","Aussenlager",IF(BY1530="-","Nicht im Lift",IF(BC1530&gt;=1,"Lift",IF(BC1530&lt;=0,"Aussenlager","teilweise")))))</f>
        <v>Aussenlager</v>
      </c>
      <c r="BG1530" s="55" t="str">
        <f aca="false">IF(A1530="","",IF(BP1530=1,"Neu; ","")&amp;IF(AND(BP1530=0,BK1530&lt;0),"negativer Bestand (Export "&amp;BK1530&amp;"); ","")&amp;IF(J1530&lt;=0,"Kein Verbrauch; ","")&amp;IF(CH1530&gt;0,"Lift "&amp;W1530&amp;" lt. Liftbericht (Fach "&amp;X1530&amp;" Stk); ",IF(BU1530=1,"Gebinde geschätzt ("&amp;T1530&amp;"); ",IF(BT1530=1,"Lose – Tablare geschätzt; ","")))&amp;IF(H1530&gt;AR1530,"Überbestand "&amp;ROUND(H1530-AR1530,0)&amp;" Stk / CHF "&amp;ROUND((H1530-AR1530)*G1530,0)&amp;"; ","")&amp;IF(AND(CA1530=1,CB1530&lt;CC1530),"MAX &lt; MB+LG; ","")&amp;IF(AND(CG1530&gt;0,CF1530*10&gt;CG1530),"zu hoch für Tablar; ","")&amp;IF(AND(BP1530=0,OR(CA1530=1,AA1530&lt;&gt;"",U1530&lt;&gt;"",V1530&lt;&gt;"",AB1530&lt;&gt;"")),"manuell übersteuert; ","")&amp;IF(AND(BT1530=0,R1530=0),"Gebinde unbekannt / Stellmass fehlt; ","")&amp;IF(AND(BT1530=0,N(V1530)&lt;=0,N(Q1530)&lt;=0),"Menge pro Gebinde fehlt (Ist = 1 Gebinde); ","")&amp;BO1530)</f>
        <v>Kein Verbrauch; nur im Artikelstamm (Bestand 23.06.2026)</v>
      </c>
      <c r="BH1530" s="55"/>
      <c r="BI1530" s="55"/>
      <c r="BJ1530" s="62"/>
      <c r="BK1530" s="57" t="n">
        <v>51</v>
      </c>
      <c r="BL1530" s="57" t="n">
        <v>0</v>
      </c>
      <c r="BM1530" s="56" t="n">
        <v>0</v>
      </c>
      <c r="BN1530" s="57" t="n">
        <v>0</v>
      </c>
      <c r="BO1530" s="55" t="s">
        <v>2575</v>
      </c>
      <c r="BP1530" s="60" t="n">
        <v>0</v>
      </c>
      <c r="BQ1530" s="60" t="n">
        <v>1530</v>
      </c>
      <c r="BR1530" s="55" t="str">
        <f aca="false">IF(U1530&lt;&gt;"",UPPER(TRIM(U1530)),IF(BU1530=1,UPPER(VLOOKUP(T1530,Parameter!$I$27:$K$29,2,0)),IF(P1530="","LOSE",P1530)))</f>
        <v>S52</v>
      </c>
      <c r="BS1530" s="57" t="n">
        <f aca="false">IF(BR1530="LOSE",1,IF(N(V1530)&gt;0,V1530,IF(BU1530=1,MAX(1,N(VLOOKUP(T1530,Parameter!$I$27:$K$29,3,0)),H1530,N(N1530)),IF(N(Q1530)&gt;0,Q1530,MAX(1,H1530)))))</f>
        <v>51</v>
      </c>
      <c r="BT1530" s="60" t="n">
        <f aca="false">IF(BR1530="LOSE",1,0)</f>
        <v>0</v>
      </c>
      <c r="BU1530" s="60" t="n">
        <f aca="false">IF(AND(U1530="",OR(P1530="",P1530="LOSE"),T1530&lt;&gt;"",N(S1530)&lt;=0,ISNUMBER(MATCH(T1530,Parameter!$I$27:$I$29,0))),1,0)</f>
        <v>0</v>
      </c>
      <c r="BV1530" s="55" t="str">
        <f aca="false">IF(AND(Parameter!$B$19="Ja",E1530&lt;&gt;"",ISNUMBER(MATCH(E1530,Parameter!$I$35:$I$52,0))),VLOOKUP(E1530,Parameter!$I$35:$J$52,2,0),IFERROR(VLOOKUP(D1530,Parameter!$A$35:$C$64,2,0),"Nein"))</f>
        <v>2+3</v>
      </c>
      <c r="BW1530" s="59" t="n">
        <f aca="false">IF(BT1530=0,0,IF(N(S1530)&gt;0,S1530,IFERROR(VLOOKUP(D1530,Parameter!$A$35:$C$64,3,0)+0,0)))</f>
        <v>0</v>
      </c>
      <c r="BX1530" s="55" t="n">
        <f aca="false">IF(AA1530&lt;&gt;"",AA1530,Z1530)</f>
        <v>3</v>
      </c>
      <c r="BY1530" s="55" t="str">
        <f aca="false">IF(BX1530=1,"L1",IF(OR(BX1530=2,BX1530=3),"L23",IF(BX1530="Aussen","Aussen","-")))</f>
        <v>L23</v>
      </c>
      <c r="BZ1530" s="66" t="n">
        <f aca="false">IF(N(AB1530)&gt;0,AB1530,0)</f>
        <v>0</v>
      </c>
      <c r="CA1530" s="60" t="n">
        <f aca="false">IF(ISNUMBER(AE1530),1,0)</f>
        <v>0</v>
      </c>
      <c r="CB1530" s="57" t="n">
        <f aca="false">N(AE1530)</f>
        <v>0</v>
      </c>
      <c r="CC1530" s="57" t="n">
        <f aca="false">N(M1530)+N(N1530)</f>
        <v>50</v>
      </c>
      <c r="CD1530" s="57" t="n">
        <f aca="false">ROUNDUP(H1530/BS1530,0)</f>
        <v>1</v>
      </c>
      <c r="CE1530" s="57" t="n">
        <f aca="false">ROUNDUP(CB1530/BS1530,0)</f>
        <v>0</v>
      </c>
      <c r="CF1530" s="60" t="n">
        <f aca="false">IF(BT1530=1,0,IFERROR(VLOOKUP(BR1530,'Gebinde-Kategorie'!$A$5:$M$45,5,0)+0,0))</f>
        <v>21</v>
      </c>
      <c r="CG1530" s="60" t="n">
        <f aca="false">IFERROR(IF(OR(BX1530=1,BX1530=2,BX1530=3),N(INDEX(Parameter!$I$5:$I$7,BX1530)),0),0)</f>
        <v>0</v>
      </c>
      <c r="CH1530" s="59" t="n">
        <f aca="false">IF(AND(Parameter!$B$21="Ja",ISNUMBER(W1530),N(X1530)&gt;0),IFERROR(N(INDEX(Parameter!$L$5:$L$7,W1530))*INDEX(Parameter!$E$5:$E$7,W1530)*X1530/SUMIFS($X$7:$X$1843,$W$7:$W$1843,W1530),0),0)</f>
        <v>0</v>
      </c>
    </row>
    <row r="1531" customFormat="false" ht="15" hidden="false" customHeight="false" outlineLevel="0" collapsed="false">
      <c r="A1531" s="55" t="s">
        <v>2675</v>
      </c>
      <c r="B1531" s="55" t="s">
        <v>2676</v>
      </c>
      <c r="C1531" s="55" t="s">
        <v>164</v>
      </c>
      <c r="D1531" s="55" t="s">
        <v>184</v>
      </c>
      <c r="E1531" s="55" t="s">
        <v>185</v>
      </c>
      <c r="F1531" s="55"/>
      <c r="G1531" s="56" t="n">
        <v>93</v>
      </c>
      <c r="H1531" s="57" t="n">
        <f aca="false">MAX(0,IF(AND(Parameter!$B$21="Ja",ISNUMBER(Y1531)),Y1531,IF(Parameter!$B$20="Jahresanfang 2025 + Export",BL1531+BK1531,BK1531)))</f>
        <v>6</v>
      </c>
      <c r="I1531" s="57" t="n">
        <f aca="false">H1531*G1531</f>
        <v>558</v>
      </c>
      <c r="J1531" s="57" t="n">
        <f aca="false">BN1531*Parameter!$B$18</f>
        <v>0</v>
      </c>
      <c r="K1531" s="58"/>
      <c r="L1531" s="59"/>
      <c r="M1531" s="57" t="n">
        <v>0</v>
      </c>
      <c r="N1531" s="57" t="n">
        <v>3</v>
      </c>
      <c r="O1531" s="60" t="n">
        <v>21</v>
      </c>
      <c r="P1531" s="55" t="s">
        <v>421</v>
      </c>
      <c r="Q1531" s="57" t="n">
        <v>6</v>
      </c>
      <c r="R1531" s="60" t="n">
        <f aca="false">IF(BT1531=1,0,IFERROR(VLOOKUP(BR1531,'Gebinde-Kategorie'!$A$5:$M$45,13,0)+0,0))</f>
        <v>132</v>
      </c>
      <c r="S1531" s="61"/>
      <c r="T1531" s="62"/>
      <c r="U1531" s="62"/>
      <c r="V1531" s="62"/>
      <c r="W1531" s="55"/>
      <c r="X1531" s="57"/>
      <c r="Y1531" s="57"/>
      <c r="Z1531" s="55" t="n">
        <f aca="false">IF(A1531="","",IF(AND(Parameter!$B$21="Ja",ISNUMBER(W1531)),W1531,IF(BV1531="2+3",IF(ISNUMBER(SEARCH("grosser Artikel",BO1531)),2,IFERROR(VLOOKUP(BR1531,Parameter!$F$35:$G$64,2,0),2)),IF(OR(BV1531="Nein",BV1531=""),"-",BV1531))))</f>
        <v>3</v>
      </c>
      <c r="AA1531" s="62"/>
      <c r="AB1531" s="63"/>
      <c r="AC1531" s="57" t="n">
        <f aca="false">AR1531</f>
        <v>6</v>
      </c>
      <c r="AD1531" s="57" t="n">
        <f aca="false">MAX(AR1531,H1531)</f>
        <v>6</v>
      </c>
      <c r="AE1531" s="64"/>
      <c r="AF1531" s="57" t="n">
        <f aca="false">IF(LEFT(Cockpit!$C$5,1)="A",H1531,IF(CA1531=1,CB1531,IF(LEFT(Cockpit!$C$5,1)="B",AJ1531,MAX(AJ1531,H1531))))</f>
        <v>6</v>
      </c>
      <c r="AG1531" s="57" t="n">
        <f aca="false">IF(BT1531=1,0,ROUNDUP(AF1531/BS1531,0))</f>
        <v>1</v>
      </c>
      <c r="AH1531" s="59" t="n">
        <f aca="false">IF(CH1531&gt;0,CH1531*MAX(1,AF1531/X1531),IF(BT1531=1,IF(AF1531&lt;=0,0,BW1531*MAX(1,IF(H1531&gt;0,AF1531/H1531,1))),IF(R1531&gt;0,AG1531/R1531,0))/MAX(0.1,N(Parameter!$M$21)))</f>
        <v>0.00757575757575758</v>
      </c>
      <c r="AI1531" s="57" t="n">
        <f aca="false">AF1531*G1531</f>
        <v>558</v>
      </c>
      <c r="AJ1531" s="57" t="n">
        <f aca="false">ROUNDUP(MAX(J1531/IF(BZ1531&gt;0,BZ1531,MAX(0.1,N(Cockpit!$C$6))),CC1531)/BS1531,0)*BS1531</f>
        <v>6</v>
      </c>
      <c r="AK1531" s="58" t="n">
        <f aca="false">IF(AH1531&gt;0,J1531/AH1531,-1)</f>
        <v>0</v>
      </c>
      <c r="AL1531" s="58" t="n">
        <f aca="false">IF(AND(OR(BY1531="L1",BY1531="L23"),AH1531&gt;0),SUMIFS($AH$7:$AH$1843,$BY$7:$BY$1843,BY1531,$AK$7:$AK$1843,"&gt;"&amp;AK1531)+SUMIFS($AH$7:$AH$1843,$BY$7:$BY$1843,BY1531,$AK$7:$AK$1843,AK1531,$BQ$7:$BQ$1843,"&lt;="&amp;BQ1531),"")</f>
        <v>82.7708185534273</v>
      </c>
      <c r="AM1531" s="65" t="n">
        <f aca="false">IF(AL1531="",0,MAX(0,MIN(1,(IF(BY1531="L1",Parameter!$E$5,Parameter!$E$6+Parameter!$E$7)-(AL1531-AH1531))/AH1531)))</f>
        <v>1</v>
      </c>
      <c r="AN1531" s="57" t="n">
        <f aca="false">IF(LEFT(Cockpit!$I$5,1)="A",H1531,IF(CA1531=1,CB1531,IF(LEFT(Cockpit!$I$5,1)="B",AR1531,MAX(AR1531,H1531))))</f>
        <v>6</v>
      </c>
      <c r="AO1531" s="57" t="n">
        <f aca="false">IF(BT1531=1,0,ROUNDUP(AN1531/BS1531,0))</f>
        <v>1</v>
      </c>
      <c r="AP1531" s="59" t="n">
        <f aca="false">IF(CH1531&gt;0,CH1531*MAX(1,AN1531/X1531),IF(BT1531=1,IF(AN1531&lt;=0,0,BW1531*MAX(1,IF(H1531&gt;0,AN1531/H1531,1))),IF(R1531&gt;0,AO1531/R1531,0))/MAX(0.1,N(Parameter!$M$21)))</f>
        <v>0.00757575757575758</v>
      </c>
      <c r="AQ1531" s="57" t="n">
        <f aca="false">AN1531*G1531</f>
        <v>558</v>
      </c>
      <c r="AR1531" s="57" t="n">
        <f aca="false">ROUNDUP(MAX(J1531/IF(BZ1531&gt;0,BZ1531,MAX(0.1,N(Cockpit!$I$6))),CC1531)/BS1531,0)*BS1531</f>
        <v>6</v>
      </c>
      <c r="AS1531" s="58" t="n">
        <f aca="false">IF(AP1531&gt;0,J1531/AP1531,-1)</f>
        <v>0</v>
      </c>
      <c r="AT1531" s="58" t="n">
        <f aca="false">IF(AND(OR(BY1531="L1",BY1531="L23"),AP1531&gt;0),SUMIFS($AP$7:$AP$1843,$BY$7:$BY$1843,BY1531,$AS$7:$AS$1843,"&gt;"&amp;AS1531)+SUMIFS($AP$7:$AP$1843,$BY$7:$BY$1843,BY1531,$AS$7:$AS$1843,AS1531,$BQ$7:$BQ$1843,"&lt;="&amp;BQ1531),"")</f>
        <v>127.850072632681</v>
      </c>
      <c r="AU1531" s="65" t="n">
        <f aca="false">IF(AT1531="",0,MAX(0,MIN(1,(IF(BY1531="L1",Parameter!$E$5,Parameter!$E$6+Parameter!$E$7)-(AT1531-AP1531))/AP1531)))</f>
        <v>0</v>
      </c>
      <c r="AV1531" s="57" t="n">
        <f aca="false">IF(LEFT(Cockpit!$O$5,1)="A",H1531,IF(CA1531=1,CB1531,IF(LEFT(Cockpit!$O$5,1)="B",AZ1531,MAX(AZ1531,H1531))))</f>
        <v>6</v>
      </c>
      <c r="AW1531" s="57" t="n">
        <f aca="false">IF(BT1531=1,0,ROUNDUP(AV1531/BS1531,0))</f>
        <v>1</v>
      </c>
      <c r="AX1531" s="59" t="n">
        <f aca="false">IF(CH1531&gt;0,CH1531*MAX(1,AV1531/X1531),IF(BT1531=1,IF(AV1531&lt;=0,0,BW1531*MAX(1,IF(H1531&gt;0,AV1531/H1531,1))),IF(R1531&gt;0,AW1531/R1531,0))/MAX(0.1,N(Parameter!$M$21)))</f>
        <v>0.00757575757575758</v>
      </c>
      <c r="AY1531" s="57" t="n">
        <f aca="false">AV1531*G1531</f>
        <v>558</v>
      </c>
      <c r="AZ1531" s="57" t="n">
        <f aca="false">ROUNDUP(MAX(J1531/IF(BZ1531&gt;0,BZ1531,MAX(0.1,N(Cockpit!$O$6))),CC1531)/BS1531,0)*BS1531</f>
        <v>6</v>
      </c>
      <c r="BA1531" s="58" t="n">
        <f aca="false">IF(AX1531&gt;0,J1531/AX1531,-1)</f>
        <v>0</v>
      </c>
      <c r="BB1531" s="58" t="n">
        <f aca="false">IF(AND(OR(BY1531="L1",BY1531="L23"),AX1531&gt;0),SUMIFS($AX$7:$AX$1843,$BY$7:$BY$1843,BY1531,$BA$7:$BA$1843,"&gt;"&amp;BA1531)+SUMIFS($AX$7:$AX$1843,$BY$7:$BY$1843,BY1531,$BA$7:$BA$1843,BA1531,$BQ$7:$BQ$1843,"&lt;="&amp;BQ1531),"")</f>
        <v>118.679909462518</v>
      </c>
      <c r="BC1531" s="65" t="n">
        <f aca="false">IF(BB1531="",0,MAX(0,MIN(1,(IF(BY1531="L1",Parameter!$E$5,Parameter!$E$6+Parameter!$E$7)-(BB1531-AX1531))/AX1531)))</f>
        <v>0</v>
      </c>
      <c r="BD1531" s="55" t="str">
        <f aca="false">IF(AH1531&lt;=0,"",IF(BY1531="Aussen","Aussenlager",IF(BY1531="-","Nicht im Lift",IF(AM1531&gt;=1,"Lift",IF(AM1531&lt;=0,"Aussenlager","teilweise")))))</f>
        <v>Lift</v>
      </c>
      <c r="BE1531" s="55" t="str">
        <f aca="false">IF(AP1531&lt;=0,"",IF(BY1531="Aussen","Aussenlager",IF(BY1531="-","Nicht im Lift",IF(AU1531&gt;=1,"Lift",IF(AU1531&lt;=0,"Aussenlager","teilweise")))))</f>
        <v>Aussenlager</v>
      </c>
      <c r="BF1531" s="55" t="str">
        <f aca="false">IF(AX1531&lt;=0,"",IF(BY1531="Aussen","Aussenlager",IF(BY1531="-","Nicht im Lift",IF(BC1531&gt;=1,"Lift",IF(BC1531&lt;=0,"Aussenlager","teilweise")))))</f>
        <v>Aussenlager</v>
      </c>
      <c r="BG1531" s="55" t="str">
        <f aca="false">IF(A1531="","",IF(BP1531=1,"Neu; ","")&amp;IF(AND(BP1531=0,BK1531&lt;0),"negativer Bestand (Export "&amp;BK1531&amp;"); ","")&amp;IF(J1531&lt;=0,"Kein Verbrauch; ","")&amp;IF(CH1531&gt;0,"Lift "&amp;W1531&amp;" lt. Liftbericht (Fach "&amp;X1531&amp;" Stk); ",IF(BU1531=1,"Gebinde geschätzt ("&amp;T1531&amp;"); ",IF(BT1531=1,"Lose – Tablare geschätzt; ","")))&amp;IF(H1531&gt;AR1531,"Überbestand "&amp;ROUND(H1531-AR1531,0)&amp;" Stk / CHF "&amp;ROUND((H1531-AR1531)*G1531,0)&amp;"; ","")&amp;IF(AND(CA1531=1,CB1531&lt;CC1531),"MAX &lt; MB+LG; ","")&amp;IF(AND(CG1531&gt;0,CF1531*10&gt;CG1531),"zu hoch für Tablar; ","")&amp;IF(AND(BP1531=0,OR(CA1531=1,AA1531&lt;&gt;"",U1531&lt;&gt;"",V1531&lt;&gt;"",AB1531&lt;&gt;"")),"manuell übersteuert; ","")&amp;IF(AND(BT1531=0,R1531=0),"Gebinde unbekannt / Stellmass fehlt; ","")&amp;IF(AND(BT1531=0,N(V1531)&lt;=0,N(Q1531)&lt;=0),"Menge pro Gebinde fehlt (Ist = 1 Gebinde); ","")&amp;BO1531)</f>
        <v>Kein Verbrauch; nur im Artikelstamm (Bestand 23.06.2026)</v>
      </c>
      <c r="BH1531" s="55"/>
      <c r="BI1531" s="55"/>
      <c r="BJ1531" s="62"/>
      <c r="BK1531" s="57" t="n">
        <v>6</v>
      </c>
      <c r="BL1531" s="57" t="n">
        <v>0</v>
      </c>
      <c r="BM1531" s="56" t="n">
        <v>0</v>
      </c>
      <c r="BN1531" s="57" t="n">
        <v>0</v>
      </c>
      <c r="BO1531" s="55" t="s">
        <v>2575</v>
      </c>
      <c r="BP1531" s="60" t="n">
        <v>0</v>
      </c>
      <c r="BQ1531" s="60" t="n">
        <v>1531</v>
      </c>
      <c r="BR1531" s="55" t="str">
        <f aca="false">IF(U1531&lt;&gt;"",UPPER(TRIM(U1531)),IF(BU1531=1,UPPER(VLOOKUP(T1531,Parameter!$I$27:$K$29,2,0)),IF(P1531="","LOSE",P1531)))</f>
        <v>S32</v>
      </c>
      <c r="BS1531" s="57" t="n">
        <f aca="false">IF(BR1531="LOSE",1,IF(N(V1531)&gt;0,V1531,IF(BU1531=1,MAX(1,N(VLOOKUP(T1531,Parameter!$I$27:$K$29,3,0)),H1531,N(N1531)),IF(N(Q1531)&gt;0,Q1531,MAX(1,H1531)))))</f>
        <v>6</v>
      </c>
      <c r="BT1531" s="60" t="n">
        <f aca="false">IF(BR1531="LOSE",1,0)</f>
        <v>0</v>
      </c>
      <c r="BU1531" s="60" t="n">
        <f aca="false">IF(AND(U1531="",OR(P1531="",P1531="LOSE"),T1531&lt;&gt;"",N(S1531)&lt;=0,ISNUMBER(MATCH(T1531,Parameter!$I$27:$I$29,0))),1,0)</f>
        <v>0</v>
      </c>
      <c r="BV1531" s="55" t="str">
        <f aca="false">IF(AND(Parameter!$B$19="Ja",E1531&lt;&gt;"",ISNUMBER(MATCH(E1531,Parameter!$I$35:$I$52,0))),VLOOKUP(E1531,Parameter!$I$35:$J$52,2,0),IFERROR(VLOOKUP(D1531,Parameter!$A$35:$C$64,2,0),"Nein"))</f>
        <v>2+3</v>
      </c>
      <c r="BW1531" s="59" t="n">
        <f aca="false">IF(BT1531=0,0,IF(N(S1531)&gt;0,S1531,IFERROR(VLOOKUP(D1531,Parameter!$A$35:$C$64,3,0)+0,0)))</f>
        <v>0</v>
      </c>
      <c r="BX1531" s="55" t="n">
        <f aca="false">IF(AA1531&lt;&gt;"",AA1531,Z1531)</f>
        <v>3</v>
      </c>
      <c r="BY1531" s="55" t="str">
        <f aca="false">IF(BX1531=1,"L1",IF(OR(BX1531=2,BX1531=3),"L23",IF(BX1531="Aussen","Aussen","-")))</f>
        <v>L23</v>
      </c>
      <c r="BZ1531" s="66" t="n">
        <f aca="false">IF(N(AB1531)&gt;0,AB1531,0)</f>
        <v>0</v>
      </c>
      <c r="CA1531" s="60" t="n">
        <f aca="false">IF(ISNUMBER(AE1531),1,0)</f>
        <v>0</v>
      </c>
      <c r="CB1531" s="57" t="n">
        <f aca="false">N(AE1531)</f>
        <v>0</v>
      </c>
      <c r="CC1531" s="57" t="n">
        <f aca="false">N(M1531)+N(N1531)</f>
        <v>3</v>
      </c>
      <c r="CD1531" s="57" t="n">
        <f aca="false">ROUNDUP(H1531/BS1531,0)</f>
        <v>1</v>
      </c>
      <c r="CE1531" s="57" t="n">
        <f aca="false">ROUNDUP(CB1531/BS1531,0)</f>
        <v>0</v>
      </c>
      <c r="CF1531" s="60" t="n">
        <f aca="false">IF(BT1531=1,0,IFERROR(VLOOKUP(BR1531,'Gebinde-Kategorie'!$A$5:$M$45,5,0)+0,0))</f>
        <v>8</v>
      </c>
      <c r="CG1531" s="60" t="n">
        <f aca="false">IFERROR(IF(OR(BX1531=1,BX1531=2,BX1531=3),N(INDEX(Parameter!$I$5:$I$7,BX1531)),0),0)</f>
        <v>0</v>
      </c>
      <c r="CH1531" s="59" t="n">
        <f aca="false">IF(AND(Parameter!$B$21="Ja",ISNUMBER(W1531),N(X1531)&gt;0),IFERROR(N(INDEX(Parameter!$L$5:$L$7,W1531))*INDEX(Parameter!$E$5:$E$7,W1531)*X1531/SUMIFS($X$7:$X$1843,$W$7:$W$1843,W1531),0),0)</f>
        <v>0</v>
      </c>
    </row>
    <row r="1532" customFormat="false" ht="15" hidden="false" customHeight="false" outlineLevel="0" collapsed="false">
      <c r="A1532" s="55" t="s">
        <v>2677</v>
      </c>
      <c r="B1532" s="55" t="s">
        <v>2678</v>
      </c>
      <c r="C1532" s="55" t="s">
        <v>164</v>
      </c>
      <c r="D1532" s="55" t="s">
        <v>184</v>
      </c>
      <c r="E1532" s="55" t="s">
        <v>185</v>
      </c>
      <c r="F1532" s="55"/>
      <c r="G1532" s="56" t="n">
        <v>109.75</v>
      </c>
      <c r="H1532" s="57" t="n">
        <f aca="false">MAX(0,IF(AND(Parameter!$B$21="Ja",ISNUMBER(Y1532)),Y1532,IF(Parameter!$B$20="Jahresanfang 2025 + Export",BL1532+BK1532,BK1532)))</f>
        <v>7</v>
      </c>
      <c r="I1532" s="57" t="n">
        <f aca="false">H1532*G1532</f>
        <v>768.25</v>
      </c>
      <c r="J1532" s="57" t="n">
        <f aca="false">BN1532*Parameter!$B$18</f>
        <v>0</v>
      </c>
      <c r="K1532" s="58"/>
      <c r="L1532" s="59"/>
      <c r="M1532" s="57" t="n">
        <v>0</v>
      </c>
      <c r="N1532" s="57" t="n">
        <v>1</v>
      </c>
      <c r="O1532" s="60" t="n">
        <v>42</v>
      </c>
      <c r="P1532" s="55" t="s">
        <v>302</v>
      </c>
      <c r="Q1532" s="57" t="n">
        <v>7</v>
      </c>
      <c r="R1532" s="60" t="n">
        <f aca="false">IF(BT1532=1,0,IFERROR(VLOOKUP(BR1532,'Gebinde-Kategorie'!$A$5:$M$45,13,0)+0,0))</f>
        <v>26</v>
      </c>
      <c r="S1532" s="61"/>
      <c r="T1532" s="62"/>
      <c r="U1532" s="62"/>
      <c r="V1532" s="62"/>
      <c r="W1532" s="55"/>
      <c r="X1532" s="57"/>
      <c r="Y1532" s="57"/>
      <c r="Z1532" s="55" t="n">
        <f aca="false">IF(A1532="","",IF(AND(Parameter!$B$21="Ja",ISNUMBER(W1532)),W1532,IF(BV1532="2+3",IF(ISNUMBER(SEARCH("grosser Artikel",BO1532)),2,IFERROR(VLOOKUP(BR1532,Parameter!$F$35:$G$64,2,0),2)),IF(OR(BV1532="Nein",BV1532=""),"-",BV1532))))</f>
        <v>3</v>
      </c>
      <c r="AA1532" s="62"/>
      <c r="AB1532" s="63"/>
      <c r="AC1532" s="57" t="n">
        <f aca="false">AR1532</f>
        <v>7</v>
      </c>
      <c r="AD1532" s="57" t="n">
        <f aca="false">MAX(AR1532,H1532)</f>
        <v>7</v>
      </c>
      <c r="AE1532" s="64"/>
      <c r="AF1532" s="57" t="n">
        <f aca="false">IF(LEFT(Cockpit!$C$5,1)="A",H1532,IF(CA1532=1,CB1532,IF(LEFT(Cockpit!$C$5,1)="B",AJ1532,MAX(AJ1532,H1532))))</f>
        <v>7</v>
      </c>
      <c r="AG1532" s="57" t="n">
        <f aca="false">IF(BT1532=1,0,ROUNDUP(AF1532/BS1532,0))</f>
        <v>1</v>
      </c>
      <c r="AH1532" s="59" t="n">
        <f aca="false">IF(CH1532&gt;0,CH1532*MAX(1,AF1532/X1532),IF(BT1532=1,IF(AF1532&lt;=0,0,BW1532*MAX(1,IF(H1532&gt;0,AF1532/H1532,1))),IF(R1532&gt;0,AG1532/R1532,0))/MAX(0.1,N(Parameter!$M$21)))</f>
        <v>0.0384615384615385</v>
      </c>
      <c r="AI1532" s="57" t="n">
        <f aca="false">AF1532*G1532</f>
        <v>768.25</v>
      </c>
      <c r="AJ1532" s="57" t="n">
        <f aca="false">ROUNDUP(MAX(J1532/IF(BZ1532&gt;0,BZ1532,MAX(0.1,N(Cockpit!$C$6))),CC1532)/BS1532,0)*BS1532</f>
        <v>7</v>
      </c>
      <c r="AK1532" s="58" t="n">
        <f aca="false">IF(AH1532&gt;0,J1532/AH1532,-1)</f>
        <v>0</v>
      </c>
      <c r="AL1532" s="58" t="n">
        <f aca="false">IF(AND(OR(BY1532="L1",BY1532="L23"),AH1532&gt;0),SUMIFS($AH$7:$AH$1843,$BY$7:$BY$1843,BY1532,$AK$7:$AK$1843,"&gt;"&amp;AK1532)+SUMIFS($AH$7:$AH$1843,$BY$7:$BY$1843,BY1532,$AK$7:$AK$1843,AK1532,$BQ$7:$BQ$1843,"&lt;="&amp;BQ1532),"")</f>
        <v>82.8092800918888</v>
      </c>
      <c r="AM1532" s="65" t="n">
        <f aca="false">IF(AL1532="",0,MAX(0,MIN(1,(IF(BY1532="L1",Parameter!$E$5,Parameter!$E$6+Parameter!$E$7)-(AL1532-AH1532))/AH1532)))</f>
        <v>1</v>
      </c>
      <c r="AN1532" s="57" t="n">
        <f aca="false">IF(LEFT(Cockpit!$I$5,1)="A",H1532,IF(CA1532=1,CB1532,IF(LEFT(Cockpit!$I$5,1)="B",AR1532,MAX(AR1532,H1532))))</f>
        <v>7</v>
      </c>
      <c r="AO1532" s="57" t="n">
        <f aca="false">IF(BT1532=1,0,ROUNDUP(AN1532/BS1532,0))</f>
        <v>1</v>
      </c>
      <c r="AP1532" s="59" t="n">
        <f aca="false">IF(CH1532&gt;0,CH1532*MAX(1,AN1532/X1532),IF(BT1532=1,IF(AN1532&lt;=0,0,BW1532*MAX(1,IF(H1532&gt;0,AN1532/H1532,1))),IF(R1532&gt;0,AO1532/R1532,0))/MAX(0.1,N(Parameter!$M$21)))</f>
        <v>0.0384615384615385</v>
      </c>
      <c r="AQ1532" s="57" t="n">
        <f aca="false">AN1532*G1532</f>
        <v>768.25</v>
      </c>
      <c r="AR1532" s="57" t="n">
        <f aca="false">ROUNDUP(MAX(J1532/IF(BZ1532&gt;0,BZ1532,MAX(0.1,N(Cockpit!$I$6))),CC1532)/BS1532,0)*BS1532</f>
        <v>7</v>
      </c>
      <c r="AS1532" s="58" t="n">
        <f aca="false">IF(AP1532&gt;0,J1532/AP1532,-1)</f>
        <v>0</v>
      </c>
      <c r="AT1532" s="58" t="n">
        <f aca="false">IF(AND(OR(BY1532="L1",BY1532="L23"),AP1532&gt;0),SUMIFS($AP$7:$AP$1843,$BY$7:$BY$1843,BY1532,$AS$7:$AS$1843,"&gt;"&amp;AS1532)+SUMIFS($AP$7:$AP$1843,$BY$7:$BY$1843,BY1532,$AS$7:$AS$1843,AS1532,$BQ$7:$BQ$1843,"&lt;="&amp;BQ1532),"")</f>
        <v>127.888534171143</v>
      </c>
      <c r="AU1532" s="65" t="n">
        <f aca="false">IF(AT1532="",0,MAX(0,MIN(1,(IF(BY1532="L1",Parameter!$E$5,Parameter!$E$6+Parameter!$E$7)-(AT1532-AP1532))/AP1532)))</f>
        <v>0</v>
      </c>
      <c r="AV1532" s="57" t="n">
        <f aca="false">IF(LEFT(Cockpit!$O$5,1)="A",H1532,IF(CA1532=1,CB1532,IF(LEFT(Cockpit!$O$5,1)="B",AZ1532,MAX(AZ1532,H1532))))</f>
        <v>7</v>
      </c>
      <c r="AW1532" s="57" t="n">
        <f aca="false">IF(BT1532=1,0,ROUNDUP(AV1532/BS1532,0))</f>
        <v>1</v>
      </c>
      <c r="AX1532" s="59" t="n">
        <f aca="false">IF(CH1532&gt;0,CH1532*MAX(1,AV1532/X1532),IF(BT1532=1,IF(AV1532&lt;=0,0,BW1532*MAX(1,IF(H1532&gt;0,AV1532/H1532,1))),IF(R1532&gt;0,AW1532/R1532,0))/MAX(0.1,N(Parameter!$M$21)))</f>
        <v>0.0384615384615385</v>
      </c>
      <c r="AY1532" s="57" t="n">
        <f aca="false">AV1532*G1532</f>
        <v>768.25</v>
      </c>
      <c r="AZ1532" s="57" t="n">
        <f aca="false">ROUNDUP(MAX(J1532/IF(BZ1532&gt;0,BZ1532,MAX(0.1,N(Cockpit!$O$6))),CC1532)/BS1532,0)*BS1532</f>
        <v>7</v>
      </c>
      <c r="BA1532" s="58" t="n">
        <f aca="false">IF(AX1532&gt;0,J1532/AX1532,-1)</f>
        <v>0</v>
      </c>
      <c r="BB1532" s="58" t="n">
        <f aca="false">IF(AND(OR(BY1532="L1",BY1532="L23"),AX1532&gt;0),SUMIFS($AX$7:$AX$1843,$BY$7:$BY$1843,BY1532,$BA$7:$BA$1843,"&gt;"&amp;BA1532)+SUMIFS($AX$7:$AX$1843,$BY$7:$BY$1843,BY1532,$BA$7:$BA$1843,BA1532,$BQ$7:$BQ$1843,"&lt;="&amp;BQ1532),"")</f>
        <v>118.71837100098</v>
      </c>
      <c r="BC1532" s="65" t="n">
        <f aca="false">IF(BB1532="",0,MAX(0,MIN(1,(IF(BY1532="L1",Parameter!$E$5,Parameter!$E$6+Parameter!$E$7)-(BB1532-AX1532))/AX1532)))</f>
        <v>0</v>
      </c>
      <c r="BD1532" s="55" t="str">
        <f aca="false">IF(AH1532&lt;=0,"",IF(BY1532="Aussen","Aussenlager",IF(BY1532="-","Nicht im Lift",IF(AM1532&gt;=1,"Lift",IF(AM1532&lt;=0,"Aussenlager","teilweise")))))</f>
        <v>Lift</v>
      </c>
      <c r="BE1532" s="55" t="str">
        <f aca="false">IF(AP1532&lt;=0,"",IF(BY1532="Aussen","Aussenlager",IF(BY1532="-","Nicht im Lift",IF(AU1532&gt;=1,"Lift",IF(AU1532&lt;=0,"Aussenlager","teilweise")))))</f>
        <v>Aussenlager</v>
      </c>
      <c r="BF1532" s="55" t="str">
        <f aca="false">IF(AX1532&lt;=0,"",IF(BY1532="Aussen","Aussenlager",IF(BY1532="-","Nicht im Lift",IF(BC1532&gt;=1,"Lift",IF(BC1532&lt;=0,"Aussenlager","teilweise")))))</f>
        <v>Aussenlager</v>
      </c>
      <c r="BG1532" s="55" t="str">
        <f aca="false">IF(A1532="","",IF(BP1532=1,"Neu; ","")&amp;IF(AND(BP1532=0,BK1532&lt;0),"negativer Bestand (Export "&amp;BK1532&amp;"); ","")&amp;IF(J1532&lt;=0,"Kein Verbrauch; ","")&amp;IF(CH1532&gt;0,"Lift "&amp;W1532&amp;" lt. Liftbericht (Fach "&amp;X1532&amp;" Stk); ",IF(BU1532=1,"Gebinde geschätzt ("&amp;T1532&amp;"); ",IF(BT1532=1,"Lose – Tablare geschätzt; ","")))&amp;IF(H1532&gt;AR1532,"Überbestand "&amp;ROUND(H1532-AR1532,0)&amp;" Stk / CHF "&amp;ROUND((H1532-AR1532)*G1532,0)&amp;"; ","")&amp;IF(AND(CA1532=1,CB1532&lt;CC1532),"MAX &lt; MB+LG; ","")&amp;IF(AND(CG1532&gt;0,CF1532*10&gt;CG1532),"zu hoch für Tablar; ","")&amp;IF(AND(BP1532=0,OR(CA1532=1,AA1532&lt;&gt;"",U1532&lt;&gt;"",V1532&lt;&gt;"",AB1532&lt;&gt;"")),"manuell übersteuert; ","")&amp;IF(AND(BT1532=0,R1532=0),"Gebinde unbekannt / Stellmass fehlt; ","")&amp;IF(AND(BT1532=0,N(V1532)&lt;=0,N(Q1532)&lt;=0),"Menge pro Gebinde fehlt (Ist = 1 Gebinde); ","")&amp;BO1532)</f>
        <v>Kein Verbrauch; nur im Artikelstamm (Bestand 23.06.2026); B&amp;R</v>
      </c>
      <c r="BH1532" s="55"/>
      <c r="BI1532" s="55"/>
      <c r="BJ1532" s="62"/>
      <c r="BK1532" s="57" t="n">
        <v>7</v>
      </c>
      <c r="BL1532" s="57" t="n">
        <v>0</v>
      </c>
      <c r="BM1532" s="56" t="n">
        <v>0</v>
      </c>
      <c r="BN1532" s="57" t="n">
        <v>0</v>
      </c>
      <c r="BO1532" s="55" t="s">
        <v>2679</v>
      </c>
      <c r="BP1532" s="60" t="n">
        <v>0</v>
      </c>
      <c r="BQ1532" s="60" t="n">
        <v>1532</v>
      </c>
      <c r="BR1532" s="55" t="str">
        <f aca="false">IF(U1532&lt;&gt;"",UPPER(TRIM(U1532)),IF(BU1532=1,UPPER(VLOOKUP(T1532,Parameter!$I$27:$K$29,2,0)),IF(P1532="","LOSE",P1532)))</f>
        <v>S51</v>
      </c>
      <c r="BS1532" s="57" t="n">
        <f aca="false">IF(BR1532="LOSE",1,IF(N(V1532)&gt;0,V1532,IF(BU1532=1,MAX(1,N(VLOOKUP(T1532,Parameter!$I$27:$K$29,3,0)),H1532,N(N1532)),IF(N(Q1532)&gt;0,Q1532,MAX(1,H1532)))))</f>
        <v>7</v>
      </c>
      <c r="BT1532" s="60" t="n">
        <f aca="false">IF(BR1532="LOSE",1,0)</f>
        <v>0</v>
      </c>
      <c r="BU1532" s="60" t="n">
        <f aca="false">IF(AND(U1532="",OR(P1532="",P1532="LOSE"),T1532&lt;&gt;"",N(S1532)&lt;=0,ISNUMBER(MATCH(T1532,Parameter!$I$27:$I$29,0))),1,0)</f>
        <v>0</v>
      </c>
      <c r="BV1532" s="55" t="str">
        <f aca="false">IF(AND(Parameter!$B$19="Ja",E1532&lt;&gt;"",ISNUMBER(MATCH(E1532,Parameter!$I$35:$I$52,0))),VLOOKUP(E1532,Parameter!$I$35:$J$52,2,0),IFERROR(VLOOKUP(D1532,Parameter!$A$35:$C$64,2,0),"Nein"))</f>
        <v>2+3</v>
      </c>
      <c r="BW1532" s="59" t="n">
        <f aca="false">IF(BT1532=0,0,IF(N(S1532)&gt;0,S1532,IFERROR(VLOOKUP(D1532,Parameter!$A$35:$C$64,3,0)+0,0)))</f>
        <v>0</v>
      </c>
      <c r="BX1532" s="55" t="n">
        <f aca="false">IF(AA1532&lt;&gt;"",AA1532,Z1532)</f>
        <v>3</v>
      </c>
      <c r="BY1532" s="55" t="str">
        <f aca="false">IF(BX1532=1,"L1",IF(OR(BX1532=2,BX1532=3),"L23",IF(BX1532="Aussen","Aussen","-")))</f>
        <v>L23</v>
      </c>
      <c r="BZ1532" s="66" t="n">
        <f aca="false">IF(N(AB1532)&gt;0,AB1532,0)</f>
        <v>0</v>
      </c>
      <c r="CA1532" s="60" t="n">
        <f aca="false">IF(ISNUMBER(AE1532),1,0)</f>
        <v>0</v>
      </c>
      <c r="CB1532" s="57" t="n">
        <f aca="false">N(AE1532)</f>
        <v>0</v>
      </c>
      <c r="CC1532" s="57" t="n">
        <f aca="false">N(M1532)+N(N1532)</f>
        <v>1</v>
      </c>
      <c r="CD1532" s="57" t="n">
        <f aca="false">ROUNDUP(H1532/BS1532,0)</f>
        <v>1</v>
      </c>
      <c r="CE1532" s="57" t="n">
        <f aca="false">ROUNDUP(CB1532/BS1532,0)</f>
        <v>0</v>
      </c>
      <c r="CF1532" s="60" t="n">
        <f aca="false">IF(BT1532=1,0,IFERROR(VLOOKUP(BR1532,'Gebinde-Kategorie'!$A$5:$M$45,5,0)+0,0))</f>
        <v>11</v>
      </c>
      <c r="CG1532" s="60" t="n">
        <f aca="false">IFERROR(IF(OR(BX1532=1,BX1532=2,BX1532=3),N(INDEX(Parameter!$I$5:$I$7,BX1532)),0),0)</f>
        <v>0</v>
      </c>
      <c r="CH1532" s="59" t="n">
        <f aca="false">IF(AND(Parameter!$B$21="Ja",ISNUMBER(W1532),N(X1532)&gt;0),IFERROR(N(INDEX(Parameter!$L$5:$L$7,W1532))*INDEX(Parameter!$E$5:$E$7,W1532)*X1532/SUMIFS($X$7:$X$1843,$W$7:$W$1843,W1532),0),0)</f>
        <v>0</v>
      </c>
    </row>
    <row r="1533" customFormat="false" ht="15" hidden="false" customHeight="false" outlineLevel="0" collapsed="false">
      <c r="A1533" s="55" t="s">
        <v>2680</v>
      </c>
      <c r="B1533" s="55" t="s">
        <v>2681</v>
      </c>
      <c r="C1533" s="55" t="s">
        <v>164</v>
      </c>
      <c r="D1533" s="55" t="s">
        <v>184</v>
      </c>
      <c r="E1533" s="55" t="s">
        <v>185</v>
      </c>
      <c r="F1533" s="55"/>
      <c r="G1533" s="56" t="n">
        <v>139.8</v>
      </c>
      <c r="H1533" s="57" t="n">
        <f aca="false">MAX(0,IF(AND(Parameter!$B$21="Ja",ISNUMBER(Y1533)),Y1533,IF(Parameter!$B$20="Jahresanfang 2025 + Export",BL1533+BK1533,BK1533)))</f>
        <v>6</v>
      </c>
      <c r="I1533" s="57" t="n">
        <f aca="false">H1533*G1533</f>
        <v>838.8</v>
      </c>
      <c r="J1533" s="57" t="n">
        <f aca="false">BN1533*Parameter!$B$18</f>
        <v>0</v>
      </c>
      <c r="K1533" s="58"/>
      <c r="L1533" s="59"/>
      <c r="M1533" s="57" t="n">
        <v>0</v>
      </c>
      <c r="N1533" s="57" t="n">
        <v>1</v>
      </c>
      <c r="O1533" s="60" t="n">
        <v>30</v>
      </c>
      <c r="P1533" s="55" t="s">
        <v>302</v>
      </c>
      <c r="Q1533" s="57" t="n">
        <v>6</v>
      </c>
      <c r="R1533" s="60" t="n">
        <f aca="false">IF(BT1533=1,0,IFERROR(VLOOKUP(BR1533,'Gebinde-Kategorie'!$A$5:$M$45,13,0)+0,0))</f>
        <v>26</v>
      </c>
      <c r="S1533" s="61"/>
      <c r="T1533" s="62"/>
      <c r="U1533" s="62"/>
      <c r="V1533" s="62"/>
      <c r="W1533" s="55"/>
      <c r="X1533" s="57"/>
      <c r="Y1533" s="57"/>
      <c r="Z1533" s="55" t="n">
        <f aca="false">IF(A1533="","",IF(AND(Parameter!$B$21="Ja",ISNUMBER(W1533)),W1533,IF(BV1533="2+3",IF(ISNUMBER(SEARCH("grosser Artikel",BO1533)),2,IFERROR(VLOOKUP(BR1533,Parameter!$F$35:$G$64,2,0),2)),IF(OR(BV1533="Nein",BV1533=""),"-",BV1533))))</f>
        <v>3</v>
      </c>
      <c r="AA1533" s="62"/>
      <c r="AB1533" s="63"/>
      <c r="AC1533" s="57" t="n">
        <f aca="false">AR1533</f>
        <v>6</v>
      </c>
      <c r="AD1533" s="57" t="n">
        <f aca="false">MAX(AR1533,H1533)</f>
        <v>6</v>
      </c>
      <c r="AE1533" s="64"/>
      <c r="AF1533" s="57" t="n">
        <f aca="false">IF(LEFT(Cockpit!$C$5,1)="A",H1533,IF(CA1533=1,CB1533,IF(LEFT(Cockpit!$C$5,1)="B",AJ1533,MAX(AJ1533,H1533))))</f>
        <v>6</v>
      </c>
      <c r="AG1533" s="57" t="n">
        <f aca="false">IF(BT1533=1,0,ROUNDUP(AF1533/BS1533,0))</f>
        <v>1</v>
      </c>
      <c r="AH1533" s="59" t="n">
        <f aca="false">IF(CH1533&gt;0,CH1533*MAX(1,AF1533/X1533),IF(BT1533=1,IF(AF1533&lt;=0,0,BW1533*MAX(1,IF(H1533&gt;0,AF1533/H1533,1))),IF(R1533&gt;0,AG1533/R1533,0))/MAX(0.1,N(Parameter!$M$21)))</f>
        <v>0.0384615384615385</v>
      </c>
      <c r="AI1533" s="57" t="n">
        <f aca="false">AF1533*G1533</f>
        <v>838.8</v>
      </c>
      <c r="AJ1533" s="57" t="n">
        <f aca="false">ROUNDUP(MAX(J1533/IF(BZ1533&gt;0,BZ1533,MAX(0.1,N(Cockpit!$C$6))),CC1533)/BS1533,0)*BS1533</f>
        <v>6</v>
      </c>
      <c r="AK1533" s="58" t="n">
        <f aca="false">IF(AH1533&gt;0,J1533/AH1533,-1)</f>
        <v>0</v>
      </c>
      <c r="AL1533" s="58" t="n">
        <f aca="false">IF(AND(OR(BY1533="L1",BY1533="L23"),AH1533&gt;0),SUMIFS($AH$7:$AH$1843,$BY$7:$BY$1843,BY1533,$AK$7:$AK$1843,"&gt;"&amp;AK1533)+SUMIFS($AH$7:$AH$1843,$BY$7:$BY$1843,BY1533,$AK$7:$AK$1843,AK1533,$BQ$7:$BQ$1843,"&lt;="&amp;BQ1533),"")</f>
        <v>82.8477416303503</v>
      </c>
      <c r="AM1533" s="65" t="n">
        <f aca="false">IF(AL1533="",0,MAX(0,MIN(1,(IF(BY1533="L1",Parameter!$E$5,Parameter!$E$6+Parameter!$E$7)-(AL1533-AH1533))/AH1533)))</f>
        <v>1</v>
      </c>
      <c r="AN1533" s="57" t="n">
        <f aca="false">IF(LEFT(Cockpit!$I$5,1)="A",H1533,IF(CA1533=1,CB1533,IF(LEFT(Cockpit!$I$5,1)="B",AR1533,MAX(AR1533,H1533))))</f>
        <v>6</v>
      </c>
      <c r="AO1533" s="57" t="n">
        <f aca="false">IF(BT1533=1,0,ROUNDUP(AN1533/BS1533,0))</f>
        <v>1</v>
      </c>
      <c r="AP1533" s="59" t="n">
        <f aca="false">IF(CH1533&gt;0,CH1533*MAX(1,AN1533/X1533),IF(BT1533=1,IF(AN1533&lt;=0,0,BW1533*MAX(1,IF(H1533&gt;0,AN1533/H1533,1))),IF(R1533&gt;0,AO1533/R1533,0))/MAX(0.1,N(Parameter!$M$21)))</f>
        <v>0.0384615384615385</v>
      </c>
      <c r="AQ1533" s="57" t="n">
        <f aca="false">AN1533*G1533</f>
        <v>838.8</v>
      </c>
      <c r="AR1533" s="57" t="n">
        <f aca="false">ROUNDUP(MAX(J1533/IF(BZ1533&gt;0,BZ1533,MAX(0.1,N(Cockpit!$I$6))),CC1533)/BS1533,0)*BS1533</f>
        <v>6</v>
      </c>
      <c r="AS1533" s="58" t="n">
        <f aca="false">IF(AP1533&gt;0,J1533/AP1533,-1)</f>
        <v>0</v>
      </c>
      <c r="AT1533" s="58" t="n">
        <f aca="false">IF(AND(OR(BY1533="L1",BY1533="L23"),AP1533&gt;0),SUMIFS($AP$7:$AP$1843,$BY$7:$BY$1843,BY1533,$AS$7:$AS$1843,"&gt;"&amp;AS1533)+SUMIFS($AP$7:$AP$1843,$BY$7:$BY$1843,BY1533,$AS$7:$AS$1843,AS1533,$BQ$7:$BQ$1843,"&lt;="&amp;BQ1533),"")</f>
        <v>127.926995709604</v>
      </c>
      <c r="AU1533" s="65" t="n">
        <f aca="false">IF(AT1533="",0,MAX(0,MIN(1,(IF(BY1533="L1",Parameter!$E$5,Parameter!$E$6+Parameter!$E$7)-(AT1533-AP1533))/AP1533)))</f>
        <v>0</v>
      </c>
      <c r="AV1533" s="57" t="n">
        <f aca="false">IF(LEFT(Cockpit!$O$5,1)="A",H1533,IF(CA1533=1,CB1533,IF(LEFT(Cockpit!$O$5,1)="B",AZ1533,MAX(AZ1533,H1533))))</f>
        <v>6</v>
      </c>
      <c r="AW1533" s="57" t="n">
        <f aca="false">IF(BT1533=1,0,ROUNDUP(AV1533/BS1533,0))</f>
        <v>1</v>
      </c>
      <c r="AX1533" s="59" t="n">
        <f aca="false">IF(CH1533&gt;0,CH1533*MAX(1,AV1533/X1533),IF(BT1533=1,IF(AV1533&lt;=0,0,BW1533*MAX(1,IF(H1533&gt;0,AV1533/H1533,1))),IF(R1533&gt;0,AW1533/R1533,0))/MAX(0.1,N(Parameter!$M$21)))</f>
        <v>0.0384615384615385</v>
      </c>
      <c r="AY1533" s="57" t="n">
        <f aca="false">AV1533*G1533</f>
        <v>838.8</v>
      </c>
      <c r="AZ1533" s="57" t="n">
        <f aca="false">ROUNDUP(MAX(J1533/IF(BZ1533&gt;0,BZ1533,MAX(0.1,N(Cockpit!$O$6))),CC1533)/BS1533,0)*BS1533</f>
        <v>6</v>
      </c>
      <c r="BA1533" s="58" t="n">
        <f aca="false">IF(AX1533&gt;0,J1533/AX1533,-1)</f>
        <v>0</v>
      </c>
      <c r="BB1533" s="58" t="n">
        <f aca="false">IF(AND(OR(BY1533="L1",BY1533="L23"),AX1533&gt;0),SUMIFS($AX$7:$AX$1843,$BY$7:$BY$1843,BY1533,$BA$7:$BA$1843,"&gt;"&amp;BA1533)+SUMIFS($AX$7:$AX$1843,$BY$7:$BY$1843,BY1533,$BA$7:$BA$1843,BA1533,$BQ$7:$BQ$1843,"&lt;="&amp;BQ1533),"")</f>
        <v>118.756832539441</v>
      </c>
      <c r="BC1533" s="65" t="n">
        <f aca="false">IF(BB1533="",0,MAX(0,MIN(1,(IF(BY1533="L1",Parameter!$E$5,Parameter!$E$6+Parameter!$E$7)-(BB1533-AX1533))/AX1533)))</f>
        <v>0</v>
      </c>
      <c r="BD1533" s="55" t="str">
        <f aca="false">IF(AH1533&lt;=0,"",IF(BY1533="Aussen","Aussenlager",IF(BY1533="-","Nicht im Lift",IF(AM1533&gt;=1,"Lift",IF(AM1533&lt;=0,"Aussenlager","teilweise")))))</f>
        <v>Lift</v>
      </c>
      <c r="BE1533" s="55" t="str">
        <f aca="false">IF(AP1533&lt;=0,"",IF(BY1533="Aussen","Aussenlager",IF(BY1533="-","Nicht im Lift",IF(AU1533&gt;=1,"Lift",IF(AU1533&lt;=0,"Aussenlager","teilweise")))))</f>
        <v>Aussenlager</v>
      </c>
      <c r="BF1533" s="55" t="str">
        <f aca="false">IF(AX1533&lt;=0,"",IF(BY1533="Aussen","Aussenlager",IF(BY1533="-","Nicht im Lift",IF(BC1533&gt;=1,"Lift",IF(BC1533&lt;=0,"Aussenlager","teilweise")))))</f>
        <v>Aussenlager</v>
      </c>
      <c r="BG1533" s="55" t="str">
        <f aca="false">IF(A1533="","",IF(BP1533=1,"Neu; ","")&amp;IF(AND(BP1533=0,BK1533&lt;0),"negativer Bestand (Export "&amp;BK1533&amp;"); ","")&amp;IF(J1533&lt;=0,"Kein Verbrauch; ","")&amp;IF(CH1533&gt;0,"Lift "&amp;W1533&amp;" lt. Liftbericht (Fach "&amp;X1533&amp;" Stk); ",IF(BU1533=1,"Gebinde geschätzt ("&amp;T1533&amp;"); ",IF(BT1533=1,"Lose – Tablare geschätzt; ","")))&amp;IF(H1533&gt;AR1533,"Überbestand "&amp;ROUND(H1533-AR1533,0)&amp;" Stk / CHF "&amp;ROUND((H1533-AR1533)*G1533,0)&amp;"; ","")&amp;IF(AND(CA1533=1,CB1533&lt;CC1533),"MAX &lt; MB+LG; ","")&amp;IF(AND(CG1533&gt;0,CF1533*10&gt;CG1533),"zu hoch für Tablar; ","")&amp;IF(AND(BP1533=0,OR(CA1533=1,AA1533&lt;&gt;"",U1533&lt;&gt;"",V1533&lt;&gt;"",AB1533&lt;&gt;"")),"manuell übersteuert; ","")&amp;IF(AND(BT1533=0,R1533=0),"Gebinde unbekannt / Stellmass fehlt; ","")&amp;IF(AND(BT1533=0,N(V1533)&lt;=0,N(Q1533)&lt;=0),"Menge pro Gebinde fehlt (Ist = 1 Gebinde); ","")&amp;BO1533)</f>
        <v>Kein Verbrauch; nur im Artikelstamm (Bestand 23.06.2026)</v>
      </c>
      <c r="BH1533" s="55"/>
      <c r="BI1533" s="55"/>
      <c r="BJ1533" s="62"/>
      <c r="BK1533" s="57" t="n">
        <v>6</v>
      </c>
      <c r="BL1533" s="57" t="n">
        <v>0</v>
      </c>
      <c r="BM1533" s="56" t="n">
        <v>0</v>
      </c>
      <c r="BN1533" s="57" t="n">
        <v>0</v>
      </c>
      <c r="BO1533" s="55" t="s">
        <v>2575</v>
      </c>
      <c r="BP1533" s="60" t="n">
        <v>0</v>
      </c>
      <c r="BQ1533" s="60" t="n">
        <v>1533</v>
      </c>
      <c r="BR1533" s="55" t="str">
        <f aca="false">IF(U1533&lt;&gt;"",UPPER(TRIM(U1533)),IF(BU1533=1,UPPER(VLOOKUP(T1533,Parameter!$I$27:$K$29,2,0)),IF(P1533="","LOSE",P1533)))</f>
        <v>S51</v>
      </c>
      <c r="BS1533" s="57" t="n">
        <f aca="false">IF(BR1533="LOSE",1,IF(N(V1533)&gt;0,V1533,IF(BU1533=1,MAX(1,N(VLOOKUP(T1533,Parameter!$I$27:$K$29,3,0)),H1533,N(N1533)),IF(N(Q1533)&gt;0,Q1533,MAX(1,H1533)))))</f>
        <v>6</v>
      </c>
      <c r="BT1533" s="60" t="n">
        <f aca="false">IF(BR1533="LOSE",1,0)</f>
        <v>0</v>
      </c>
      <c r="BU1533" s="60" t="n">
        <f aca="false">IF(AND(U1533="",OR(P1533="",P1533="LOSE"),T1533&lt;&gt;"",N(S1533)&lt;=0,ISNUMBER(MATCH(T1533,Parameter!$I$27:$I$29,0))),1,0)</f>
        <v>0</v>
      </c>
      <c r="BV1533" s="55" t="str">
        <f aca="false">IF(AND(Parameter!$B$19="Ja",E1533&lt;&gt;"",ISNUMBER(MATCH(E1533,Parameter!$I$35:$I$52,0))),VLOOKUP(E1533,Parameter!$I$35:$J$52,2,0),IFERROR(VLOOKUP(D1533,Parameter!$A$35:$C$64,2,0),"Nein"))</f>
        <v>2+3</v>
      </c>
      <c r="BW1533" s="59" t="n">
        <f aca="false">IF(BT1533=0,0,IF(N(S1533)&gt;0,S1533,IFERROR(VLOOKUP(D1533,Parameter!$A$35:$C$64,3,0)+0,0)))</f>
        <v>0</v>
      </c>
      <c r="BX1533" s="55" t="n">
        <f aca="false">IF(AA1533&lt;&gt;"",AA1533,Z1533)</f>
        <v>3</v>
      </c>
      <c r="BY1533" s="55" t="str">
        <f aca="false">IF(BX1533=1,"L1",IF(OR(BX1533=2,BX1533=3),"L23",IF(BX1533="Aussen","Aussen","-")))</f>
        <v>L23</v>
      </c>
      <c r="BZ1533" s="66" t="n">
        <f aca="false">IF(N(AB1533)&gt;0,AB1533,0)</f>
        <v>0</v>
      </c>
      <c r="CA1533" s="60" t="n">
        <f aca="false">IF(ISNUMBER(AE1533),1,0)</f>
        <v>0</v>
      </c>
      <c r="CB1533" s="57" t="n">
        <f aca="false">N(AE1533)</f>
        <v>0</v>
      </c>
      <c r="CC1533" s="57" t="n">
        <f aca="false">N(M1533)+N(N1533)</f>
        <v>1</v>
      </c>
      <c r="CD1533" s="57" t="n">
        <f aca="false">ROUNDUP(H1533/BS1533,0)</f>
        <v>1</v>
      </c>
      <c r="CE1533" s="57" t="n">
        <f aca="false">ROUNDUP(CB1533/BS1533,0)</f>
        <v>0</v>
      </c>
      <c r="CF1533" s="60" t="n">
        <f aca="false">IF(BT1533=1,0,IFERROR(VLOOKUP(BR1533,'Gebinde-Kategorie'!$A$5:$M$45,5,0)+0,0))</f>
        <v>11</v>
      </c>
      <c r="CG1533" s="60" t="n">
        <f aca="false">IFERROR(IF(OR(BX1533=1,BX1533=2,BX1533=3),N(INDEX(Parameter!$I$5:$I$7,BX1533)),0),0)</f>
        <v>0</v>
      </c>
      <c r="CH1533" s="59" t="n">
        <f aca="false">IF(AND(Parameter!$B$21="Ja",ISNUMBER(W1533),N(X1533)&gt;0),IFERROR(N(INDEX(Parameter!$L$5:$L$7,W1533))*INDEX(Parameter!$E$5:$E$7,W1533)*X1533/SUMIFS($X$7:$X$1843,$W$7:$W$1843,W1533),0),0)</f>
        <v>0</v>
      </c>
    </row>
    <row r="1534" customFormat="false" ht="15" hidden="false" customHeight="false" outlineLevel="0" collapsed="false">
      <c r="A1534" s="55" t="s">
        <v>2682</v>
      </c>
      <c r="B1534" s="55" t="s">
        <v>2683</v>
      </c>
      <c r="C1534" s="55" t="s">
        <v>164</v>
      </c>
      <c r="D1534" s="55" t="s">
        <v>184</v>
      </c>
      <c r="E1534" s="55" t="s">
        <v>185</v>
      </c>
      <c r="F1534" s="55"/>
      <c r="G1534" s="56" t="n">
        <v>45.03</v>
      </c>
      <c r="H1534" s="57" t="n">
        <f aca="false">MAX(0,IF(AND(Parameter!$B$21="Ja",ISNUMBER(Y1534)),Y1534,IF(Parameter!$B$20="Jahresanfang 2025 + Export",BL1534+BK1534,BK1534)))</f>
        <v>7</v>
      </c>
      <c r="I1534" s="57" t="n">
        <f aca="false">H1534*G1534</f>
        <v>315.21</v>
      </c>
      <c r="J1534" s="57" t="n">
        <f aca="false">BN1534*Parameter!$B$18</f>
        <v>0</v>
      </c>
      <c r="K1534" s="58"/>
      <c r="L1534" s="59"/>
      <c r="M1534" s="57" t="n">
        <v>0</v>
      </c>
      <c r="N1534" s="57" t="n">
        <v>2</v>
      </c>
      <c r="O1534" s="60" t="n">
        <v>42</v>
      </c>
      <c r="P1534" s="55" t="s">
        <v>328</v>
      </c>
      <c r="Q1534" s="57" t="n">
        <v>7</v>
      </c>
      <c r="R1534" s="60" t="n">
        <f aca="false">IF(BT1534=1,0,IFERROR(VLOOKUP(BR1534,'Gebinde-Kategorie'!$A$5:$M$45,13,0)+0,0))</f>
        <v>52</v>
      </c>
      <c r="S1534" s="61"/>
      <c r="T1534" s="62"/>
      <c r="U1534" s="62"/>
      <c r="V1534" s="62"/>
      <c r="W1534" s="55"/>
      <c r="X1534" s="57"/>
      <c r="Y1534" s="57"/>
      <c r="Z1534" s="55" t="n">
        <f aca="false">IF(A1534="","",IF(AND(Parameter!$B$21="Ja",ISNUMBER(W1534)),W1534,IF(BV1534="2+3",IF(ISNUMBER(SEARCH("grosser Artikel",BO1534)),2,IFERROR(VLOOKUP(BR1534,Parameter!$F$35:$G$64,2,0),2)),IF(OR(BV1534="Nein",BV1534=""),"-",BV1534))))</f>
        <v>3</v>
      </c>
      <c r="AA1534" s="62"/>
      <c r="AB1534" s="63"/>
      <c r="AC1534" s="57" t="n">
        <f aca="false">AR1534</f>
        <v>7</v>
      </c>
      <c r="AD1534" s="57" t="n">
        <f aca="false">MAX(AR1534,H1534)</f>
        <v>7</v>
      </c>
      <c r="AE1534" s="64"/>
      <c r="AF1534" s="57" t="n">
        <f aca="false">IF(LEFT(Cockpit!$C$5,1)="A",H1534,IF(CA1534=1,CB1534,IF(LEFT(Cockpit!$C$5,1)="B",AJ1534,MAX(AJ1534,H1534))))</f>
        <v>7</v>
      </c>
      <c r="AG1534" s="57" t="n">
        <f aca="false">IF(BT1534=1,0,ROUNDUP(AF1534/BS1534,0))</f>
        <v>1</v>
      </c>
      <c r="AH1534" s="59" t="n">
        <f aca="false">IF(CH1534&gt;0,CH1534*MAX(1,AF1534/X1534),IF(BT1534=1,IF(AF1534&lt;=0,0,BW1534*MAX(1,IF(H1534&gt;0,AF1534/H1534,1))),IF(R1534&gt;0,AG1534/R1534,0))/MAX(0.1,N(Parameter!$M$21)))</f>
        <v>0.0192307692307692</v>
      </c>
      <c r="AI1534" s="57" t="n">
        <f aca="false">AF1534*G1534</f>
        <v>315.21</v>
      </c>
      <c r="AJ1534" s="57" t="n">
        <f aca="false">ROUNDUP(MAX(J1534/IF(BZ1534&gt;0,BZ1534,MAX(0.1,N(Cockpit!$C$6))),CC1534)/BS1534,0)*BS1534</f>
        <v>7</v>
      </c>
      <c r="AK1534" s="58" t="n">
        <f aca="false">IF(AH1534&gt;0,J1534/AH1534,-1)</f>
        <v>0</v>
      </c>
      <c r="AL1534" s="58" t="n">
        <f aca="false">IF(AND(OR(BY1534="L1",BY1534="L23"),AH1534&gt;0),SUMIFS($AH$7:$AH$1843,$BY$7:$BY$1843,BY1534,$AK$7:$AK$1843,"&gt;"&amp;AK1534)+SUMIFS($AH$7:$AH$1843,$BY$7:$BY$1843,BY1534,$AK$7:$AK$1843,AK1534,$BQ$7:$BQ$1843,"&lt;="&amp;BQ1534),"")</f>
        <v>82.8669723995811</v>
      </c>
      <c r="AM1534" s="65" t="n">
        <f aca="false">IF(AL1534="",0,MAX(0,MIN(1,(IF(BY1534="L1",Parameter!$E$5,Parameter!$E$6+Parameter!$E$7)-(AL1534-AH1534))/AH1534)))</f>
        <v>1</v>
      </c>
      <c r="AN1534" s="57" t="n">
        <f aca="false">IF(LEFT(Cockpit!$I$5,1)="A",H1534,IF(CA1534=1,CB1534,IF(LEFT(Cockpit!$I$5,1)="B",AR1534,MAX(AR1534,H1534))))</f>
        <v>7</v>
      </c>
      <c r="AO1534" s="57" t="n">
        <f aca="false">IF(BT1534=1,0,ROUNDUP(AN1534/BS1534,0))</f>
        <v>1</v>
      </c>
      <c r="AP1534" s="59" t="n">
        <f aca="false">IF(CH1534&gt;0,CH1534*MAX(1,AN1534/X1534),IF(BT1534=1,IF(AN1534&lt;=0,0,BW1534*MAX(1,IF(H1534&gt;0,AN1534/H1534,1))),IF(R1534&gt;0,AO1534/R1534,0))/MAX(0.1,N(Parameter!$M$21)))</f>
        <v>0.0192307692307692</v>
      </c>
      <c r="AQ1534" s="57" t="n">
        <f aca="false">AN1534*G1534</f>
        <v>315.21</v>
      </c>
      <c r="AR1534" s="57" t="n">
        <f aca="false">ROUNDUP(MAX(J1534/IF(BZ1534&gt;0,BZ1534,MAX(0.1,N(Cockpit!$I$6))),CC1534)/BS1534,0)*BS1534</f>
        <v>7</v>
      </c>
      <c r="AS1534" s="58" t="n">
        <f aca="false">IF(AP1534&gt;0,J1534/AP1534,-1)</f>
        <v>0</v>
      </c>
      <c r="AT1534" s="58" t="n">
        <f aca="false">IF(AND(OR(BY1534="L1",BY1534="L23"),AP1534&gt;0),SUMIFS($AP$7:$AP$1843,$BY$7:$BY$1843,BY1534,$AS$7:$AS$1843,"&gt;"&amp;AS1534)+SUMIFS($AP$7:$AP$1843,$BY$7:$BY$1843,BY1534,$AS$7:$AS$1843,AS1534,$BQ$7:$BQ$1843,"&lt;="&amp;BQ1534),"")</f>
        <v>127.946226478835</v>
      </c>
      <c r="AU1534" s="65" t="n">
        <f aca="false">IF(AT1534="",0,MAX(0,MIN(1,(IF(BY1534="L1",Parameter!$E$5,Parameter!$E$6+Parameter!$E$7)-(AT1534-AP1534))/AP1534)))</f>
        <v>0</v>
      </c>
      <c r="AV1534" s="57" t="n">
        <f aca="false">IF(LEFT(Cockpit!$O$5,1)="A",H1534,IF(CA1534=1,CB1534,IF(LEFT(Cockpit!$O$5,1)="B",AZ1534,MAX(AZ1534,H1534))))</f>
        <v>7</v>
      </c>
      <c r="AW1534" s="57" t="n">
        <f aca="false">IF(BT1534=1,0,ROUNDUP(AV1534/BS1534,0))</f>
        <v>1</v>
      </c>
      <c r="AX1534" s="59" t="n">
        <f aca="false">IF(CH1534&gt;0,CH1534*MAX(1,AV1534/X1534),IF(BT1534=1,IF(AV1534&lt;=0,0,BW1534*MAX(1,IF(H1534&gt;0,AV1534/H1534,1))),IF(R1534&gt;0,AW1534/R1534,0))/MAX(0.1,N(Parameter!$M$21)))</f>
        <v>0.0192307692307692</v>
      </c>
      <c r="AY1534" s="57" t="n">
        <f aca="false">AV1534*G1534</f>
        <v>315.21</v>
      </c>
      <c r="AZ1534" s="57" t="n">
        <f aca="false">ROUNDUP(MAX(J1534/IF(BZ1534&gt;0,BZ1534,MAX(0.1,N(Cockpit!$O$6))),CC1534)/BS1534,0)*BS1534</f>
        <v>7</v>
      </c>
      <c r="BA1534" s="58" t="n">
        <f aca="false">IF(AX1534&gt;0,J1534/AX1534,-1)</f>
        <v>0</v>
      </c>
      <c r="BB1534" s="58" t="n">
        <f aca="false">IF(AND(OR(BY1534="L1",BY1534="L23"),AX1534&gt;0),SUMIFS($AX$7:$AX$1843,$BY$7:$BY$1843,BY1534,$BA$7:$BA$1843,"&gt;"&amp;BA1534)+SUMIFS($AX$7:$AX$1843,$BY$7:$BY$1843,BY1534,$BA$7:$BA$1843,BA1534,$BQ$7:$BQ$1843,"&lt;="&amp;BQ1534),"")</f>
        <v>118.776063308672</v>
      </c>
      <c r="BC1534" s="65" t="n">
        <f aca="false">IF(BB1534="",0,MAX(0,MIN(1,(IF(BY1534="L1",Parameter!$E$5,Parameter!$E$6+Parameter!$E$7)-(BB1534-AX1534))/AX1534)))</f>
        <v>0</v>
      </c>
      <c r="BD1534" s="55" t="str">
        <f aca="false">IF(AH1534&lt;=0,"",IF(BY1534="Aussen","Aussenlager",IF(BY1534="-","Nicht im Lift",IF(AM1534&gt;=1,"Lift",IF(AM1534&lt;=0,"Aussenlager","teilweise")))))</f>
        <v>Lift</v>
      </c>
      <c r="BE1534" s="55" t="str">
        <f aca="false">IF(AP1534&lt;=0,"",IF(BY1534="Aussen","Aussenlager",IF(BY1534="-","Nicht im Lift",IF(AU1534&gt;=1,"Lift",IF(AU1534&lt;=0,"Aussenlager","teilweise")))))</f>
        <v>Aussenlager</v>
      </c>
      <c r="BF1534" s="55" t="str">
        <f aca="false">IF(AX1534&lt;=0,"",IF(BY1534="Aussen","Aussenlager",IF(BY1534="-","Nicht im Lift",IF(BC1534&gt;=1,"Lift",IF(BC1534&lt;=0,"Aussenlager","teilweise")))))</f>
        <v>Aussenlager</v>
      </c>
      <c r="BG1534" s="55" t="str">
        <f aca="false">IF(A1534="","",IF(BP1534=1,"Neu; ","")&amp;IF(AND(BP1534=0,BK1534&lt;0),"negativer Bestand (Export "&amp;BK1534&amp;"); ","")&amp;IF(J1534&lt;=0,"Kein Verbrauch; ","")&amp;IF(CH1534&gt;0,"Lift "&amp;W1534&amp;" lt. Liftbericht (Fach "&amp;X1534&amp;" Stk); ",IF(BU1534=1,"Gebinde geschätzt ("&amp;T1534&amp;"); ",IF(BT1534=1,"Lose – Tablare geschätzt; ","")))&amp;IF(H1534&gt;AR1534,"Überbestand "&amp;ROUND(H1534-AR1534,0)&amp;" Stk / CHF "&amp;ROUND((H1534-AR1534)*G1534,0)&amp;"; ","")&amp;IF(AND(CA1534=1,CB1534&lt;CC1534),"MAX &lt; MB+LG; ","")&amp;IF(AND(CG1534&gt;0,CF1534*10&gt;CG1534),"zu hoch für Tablar; ","")&amp;IF(AND(BP1534=0,OR(CA1534=1,AA1534&lt;&gt;"",U1534&lt;&gt;"",V1534&lt;&gt;"",AB1534&lt;&gt;"")),"manuell übersteuert; ","")&amp;IF(AND(BT1534=0,R1534=0),"Gebinde unbekannt / Stellmass fehlt; ","")&amp;IF(AND(BT1534=0,N(V1534)&lt;=0,N(Q1534)&lt;=0),"Menge pro Gebinde fehlt (Ist = 1 Gebinde); ","")&amp;BO1534)</f>
        <v>Kein Verbrauch; nur im Artikelstamm (Bestand 23.06.2026); Neu</v>
      </c>
      <c r="BH1534" s="55"/>
      <c r="BI1534" s="55"/>
      <c r="BJ1534" s="62"/>
      <c r="BK1534" s="57" t="n">
        <v>7</v>
      </c>
      <c r="BL1534" s="57" t="n">
        <v>0</v>
      </c>
      <c r="BM1534" s="56" t="n">
        <v>0</v>
      </c>
      <c r="BN1534" s="57" t="n">
        <v>0</v>
      </c>
      <c r="BO1534" s="55" t="s">
        <v>2667</v>
      </c>
      <c r="BP1534" s="60" t="n">
        <v>0</v>
      </c>
      <c r="BQ1534" s="60" t="n">
        <v>1534</v>
      </c>
      <c r="BR1534" s="55" t="str">
        <f aca="false">IF(U1534&lt;&gt;"",UPPER(TRIM(U1534)),IF(BU1534=1,UPPER(VLOOKUP(T1534,Parameter!$I$27:$K$29,2,0)),IF(P1534="","LOSE",P1534)))</f>
        <v>S41</v>
      </c>
      <c r="BS1534" s="57" t="n">
        <f aca="false">IF(BR1534="LOSE",1,IF(N(V1534)&gt;0,V1534,IF(BU1534=1,MAX(1,N(VLOOKUP(T1534,Parameter!$I$27:$K$29,3,0)),H1534,N(N1534)),IF(N(Q1534)&gt;0,Q1534,MAX(1,H1534)))))</f>
        <v>7</v>
      </c>
      <c r="BT1534" s="60" t="n">
        <f aca="false">IF(BR1534="LOSE",1,0)</f>
        <v>0</v>
      </c>
      <c r="BU1534" s="60" t="n">
        <f aca="false">IF(AND(U1534="",OR(P1534="",P1534="LOSE"),T1534&lt;&gt;"",N(S1534)&lt;=0,ISNUMBER(MATCH(T1534,Parameter!$I$27:$I$29,0))),1,0)</f>
        <v>0</v>
      </c>
      <c r="BV1534" s="55" t="str">
        <f aca="false">IF(AND(Parameter!$B$19="Ja",E1534&lt;&gt;"",ISNUMBER(MATCH(E1534,Parameter!$I$35:$I$52,0))),VLOOKUP(E1534,Parameter!$I$35:$J$52,2,0),IFERROR(VLOOKUP(D1534,Parameter!$A$35:$C$64,2,0),"Nein"))</f>
        <v>2+3</v>
      </c>
      <c r="BW1534" s="59" t="n">
        <f aca="false">IF(BT1534=0,0,IF(N(S1534)&gt;0,S1534,IFERROR(VLOOKUP(D1534,Parameter!$A$35:$C$64,3,0)+0,0)))</f>
        <v>0</v>
      </c>
      <c r="BX1534" s="55" t="n">
        <f aca="false">IF(AA1534&lt;&gt;"",AA1534,Z1534)</f>
        <v>3</v>
      </c>
      <c r="BY1534" s="55" t="str">
        <f aca="false">IF(BX1534=1,"L1",IF(OR(BX1534=2,BX1534=3),"L23",IF(BX1534="Aussen","Aussen","-")))</f>
        <v>L23</v>
      </c>
      <c r="BZ1534" s="66" t="n">
        <f aca="false">IF(N(AB1534)&gt;0,AB1534,0)</f>
        <v>0</v>
      </c>
      <c r="CA1534" s="60" t="n">
        <f aca="false">IF(ISNUMBER(AE1534),1,0)</f>
        <v>0</v>
      </c>
      <c r="CB1534" s="57" t="n">
        <f aca="false">N(AE1534)</f>
        <v>0</v>
      </c>
      <c r="CC1534" s="57" t="n">
        <f aca="false">N(M1534)+N(N1534)</f>
        <v>2</v>
      </c>
      <c r="CD1534" s="57" t="n">
        <f aca="false">ROUNDUP(H1534/BS1534,0)</f>
        <v>1</v>
      </c>
      <c r="CE1534" s="57" t="n">
        <f aca="false">ROUNDUP(CB1534/BS1534,0)</f>
        <v>0</v>
      </c>
      <c r="CF1534" s="60" t="n">
        <f aca="false">IF(BT1534=1,0,IFERROR(VLOOKUP(BR1534,'Gebinde-Kategorie'!$A$5:$M$45,5,0)+0,0))</f>
        <v>11</v>
      </c>
      <c r="CG1534" s="60" t="n">
        <f aca="false">IFERROR(IF(OR(BX1534=1,BX1534=2,BX1534=3),N(INDEX(Parameter!$I$5:$I$7,BX1534)),0),0)</f>
        <v>0</v>
      </c>
      <c r="CH1534" s="59" t="n">
        <f aca="false">IF(AND(Parameter!$B$21="Ja",ISNUMBER(W1534),N(X1534)&gt;0),IFERROR(N(INDEX(Parameter!$L$5:$L$7,W1534))*INDEX(Parameter!$E$5:$E$7,W1534)*X1534/SUMIFS($X$7:$X$1843,$W$7:$W$1843,W1534),0),0)</f>
        <v>0</v>
      </c>
    </row>
    <row r="1535" customFormat="false" ht="15" hidden="false" customHeight="false" outlineLevel="0" collapsed="false">
      <c r="A1535" s="55" t="s">
        <v>2684</v>
      </c>
      <c r="B1535" s="55" t="s">
        <v>2685</v>
      </c>
      <c r="C1535" s="55" t="s">
        <v>164</v>
      </c>
      <c r="D1535" s="55" t="s">
        <v>184</v>
      </c>
      <c r="E1535" s="55" t="s">
        <v>185</v>
      </c>
      <c r="F1535" s="55"/>
      <c r="G1535" s="56" t="n">
        <v>43.15</v>
      </c>
      <c r="H1535" s="57" t="n">
        <f aca="false">MAX(0,IF(AND(Parameter!$B$21="Ja",ISNUMBER(Y1535)),Y1535,IF(Parameter!$B$20="Jahresanfang 2025 + Export",BL1535+BK1535,BK1535)))</f>
        <v>2</v>
      </c>
      <c r="I1535" s="57" t="n">
        <f aca="false">H1535*G1535</f>
        <v>86.3</v>
      </c>
      <c r="J1535" s="57" t="n">
        <f aca="false">BN1535*Parameter!$B$18</f>
        <v>0</v>
      </c>
      <c r="K1535" s="58"/>
      <c r="L1535" s="59"/>
      <c r="M1535" s="57" t="n">
        <v>0</v>
      </c>
      <c r="N1535" s="57" t="n">
        <v>1</v>
      </c>
      <c r="O1535" s="60" t="n">
        <v>97</v>
      </c>
      <c r="P1535" s="55" t="s">
        <v>421</v>
      </c>
      <c r="Q1535" s="57" t="n">
        <v>2</v>
      </c>
      <c r="R1535" s="60" t="n">
        <f aca="false">IF(BT1535=1,0,IFERROR(VLOOKUP(BR1535,'Gebinde-Kategorie'!$A$5:$M$45,13,0)+0,0))</f>
        <v>132</v>
      </c>
      <c r="S1535" s="61"/>
      <c r="T1535" s="62"/>
      <c r="U1535" s="62"/>
      <c r="V1535" s="62"/>
      <c r="W1535" s="55"/>
      <c r="X1535" s="57"/>
      <c r="Y1535" s="57"/>
      <c r="Z1535" s="55" t="n">
        <f aca="false">IF(A1535="","",IF(AND(Parameter!$B$21="Ja",ISNUMBER(W1535)),W1535,IF(BV1535="2+3",IF(ISNUMBER(SEARCH("grosser Artikel",BO1535)),2,IFERROR(VLOOKUP(BR1535,Parameter!$F$35:$G$64,2,0),2)),IF(OR(BV1535="Nein",BV1535=""),"-",BV1535))))</f>
        <v>3</v>
      </c>
      <c r="AA1535" s="62"/>
      <c r="AB1535" s="63"/>
      <c r="AC1535" s="57" t="n">
        <f aca="false">AR1535</f>
        <v>2</v>
      </c>
      <c r="AD1535" s="57" t="n">
        <f aca="false">MAX(AR1535,H1535)</f>
        <v>2</v>
      </c>
      <c r="AE1535" s="64"/>
      <c r="AF1535" s="57" t="n">
        <f aca="false">IF(LEFT(Cockpit!$C$5,1)="A",H1535,IF(CA1535=1,CB1535,IF(LEFT(Cockpit!$C$5,1)="B",AJ1535,MAX(AJ1535,H1535))))</f>
        <v>2</v>
      </c>
      <c r="AG1535" s="57" t="n">
        <f aca="false">IF(BT1535=1,0,ROUNDUP(AF1535/BS1535,0))</f>
        <v>1</v>
      </c>
      <c r="AH1535" s="59" t="n">
        <f aca="false">IF(CH1535&gt;0,CH1535*MAX(1,AF1535/X1535),IF(BT1535=1,IF(AF1535&lt;=0,0,BW1535*MAX(1,IF(H1535&gt;0,AF1535/H1535,1))),IF(R1535&gt;0,AG1535/R1535,0))/MAX(0.1,N(Parameter!$M$21)))</f>
        <v>0.00757575757575758</v>
      </c>
      <c r="AI1535" s="57" t="n">
        <f aca="false">AF1535*G1535</f>
        <v>86.3</v>
      </c>
      <c r="AJ1535" s="57" t="n">
        <f aca="false">ROUNDUP(MAX(J1535/IF(BZ1535&gt;0,BZ1535,MAX(0.1,N(Cockpit!$C$6))),CC1535)/BS1535,0)*BS1535</f>
        <v>2</v>
      </c>
      <c r="AK1535" s="58" t="n">
        <f aca="false">IF(AH1535&gt;0,J1535/AH1535,-1)</f>
        <v>0</v>
      </c>
      <c r="AL1535" s="58" t="n">
        <f aca="false">IF(AND(OR(BY1535="L1",BY1535="L23"),AH1535&gt;0),SUMIFS($AH$7:$AH$1843,$BY$7:$BY$1843,BY1535,$AK$7:$AK$1843,"&gt;"&amp;AK1535)+SUMIFS($AH$7:$AH$1843,$BY$7:$BY$1843,BY1535,$AK$7:$AK$1843,AK1535,$BQ$7:$BQ$1843,"&lt;="&amp;BQ1535),"")</f>
        <v>82.8745481571569</v>
      </c>
      <c r="AM1535" s="65" t="n">
        <f aca="false">IF(AL1535="",0,MAX(0,MIN(1,(IF(BY1535="L1",Parameter!$E$5,Parameter!$E$6+Parameter!$E$7)-(AL1535-AH1535))/AH1535)))</f>
        <v>1</v>
      </c>
      <c r="AN1535" s="57" t="n">
        <f aca="false">IF(LEFT(Cockpit!$I$5,1)="A",H1535,IF(CA1535=1,CB1535,IF(LEFT(Cockpit!$I$5,1)="B",AR1535,MAX(AR1535,H1535))))</f>
        <v>2</v>
      </c>
      <c r="AO1535" s="57" t="n">
        <f aca="false">IF(BT1535=1,0,ROUNDUP(AN1535/BS1535,0))</f>
        <v>1</v>
      </c>
      <c r="AP1535" s="59" t="n">
        <f aca="false">IF(CH1535&gt;0,CH1535*MAX(1,AN1535/X1535),IF(BT1535=1,IF(AN1535&lt;=0,0,BW1535*MAX(1,IF(H1535&gt;0,AN1535/H1535,1))),IF(R1535&gt;0,AO1535/R1535,0))/MAX(0.1,N(Parameter!$M$21)))</f>
        <v>0.00757575757575758</v>
      </c>
      <c r="AQ1535" s="57" t="n">
        <f aca="false">AN1535*G1535</f>
        <v>86.3</v>
      </c>
      <c r="AR1535" s="57" t="n">
        <f aca="false">ROUNDUP(MAX(J1535/IF(BZ1535&gt;0,BZ1535,MAX(0.1,N(Cockpit!$I$6))),CC1535)/BS1535,0)*BS1535</f>
        <v>2</v>
      </c>
      <c r="AS1535" s="58" t="n">
        <f aca="false">IF(AP1535&gt;0,J1535/AP1535,-1)</f>
        <v>0</v>
      </c>
      <c r="AT1535" s="58" t="n">
        <f aca="false">IF(AND(OR(BY1535="L1",BY1535="L23"),AP1535&gt;0),SUMIFS($AP$7:$AP$1843,$BY$7:$BY$1843,BY1535,$AS$7:$AS$1843,"&gt;"&amp;AS1535)+SUMIFS($AP$7:$AP$1843,$BY$7:$BY$1843,BY1535,$AS$7:$AS$1843,AS1535,$BQ$7:$BQ$1843,"&lt;="&amp;BQ1535),"")</f>
        <v>127.953802236411</v>
      </c>
      <c r="AU1535" s="65" t="n">
        <f aca="false">IF(AT1535="",0,MAX(0,MIN(1,(IF(BY1535="L1",Parameter!$E$5,Parameter!$E$6+Parameter!$E$7)-(AT1535-AP1535))/AP1535)))</f>
        <v>0</v>
      </c>
      <c r="AV1535" s="57" t="n">
        <f aca="false">IF(LEFT(Cockpit!$O$5,1)="A",H1535,IF(CA1535=1,CB1535,IF(LEFT(Cockpit!$O$5,1)="B",AZ1535,MAX(AZ1535,H1535))))</f>
        <v>2</v>
      </c>
      <c r="AW1535" s="57" t="n">
        <f aca="false">IF(BT1535=1,0,ROUNDUP(AV1535/BS1535,0))</f>
        <v>1</v>
      </c>
      <c r="AX1535" s="59" t="n">
        <f aca="false">IF(CH1535&gt;0,CH1535*MAX(1,AV1535/X1535),IF(BT1535=1,IF(AV1535&lt;=0,0,BW1535*MAX(1,IF(H1535&gt;0,AV1535/H1535,1))),IF(R1535&gt;0,AW1535/R1535,0))/MAX(0.1,N(Parameter!$M$21)))</f>
        <v>0.00757575757575758</v>
      </c>
      <c r="AY1535" s="57" t="n">
        <f aca="false">AV1535*G1535</f>
        <v>86.3</v>
      </c>
      <c r="AZ1535" s="57" t="n">
        <f aca="false">ROUNDUP(MAX(J1535/IF(BZ1535&gt;0,BZ1535,MAX(0.1,N(Cockpit!$O$6))),CC1535)/BS1535,0)*BS1535</f>
        <v>2</v>
      </c>
      <c r="BA1535" s="58" t="n">
        <f aca="false">IF(AX1535&gt;0,J1535/AX1535,-1)</f>
        <v>0</v>
      </c>
      <c r="BB1535" s="58" t="n">
        <f aca="false">IF(AND(OR(BY1535="L1",BY1535="L23"),AX1535&gt;0),SUMIFS($AX$7:$AX$1843,$BY$7:$BY$1843,BY1535,$BA$7:$BA$1843,"&gt;"&amp;BA1535)+SUMIFS($AX$7:$AX$1843,$BY$7:$BY$1843,BY1535,$BA$7:$BA$1843,BA1535,$BQ$7:$BQ$1843,"&lt;="&amp;BQ1535),"")</f>
        <v>118.783639066248</v>
      </c>
      <c r="BC1535" s="65" t="n">
        <f aca="false">IF(BB1535="",0,MAX(0,MIN(1,(IF(BY1535="L1",Parameter!$E$5,Parameter!$E$6+Parameter!$E$7)-(BB1535-AX1535))/AX1535)))</f>
        <v>0</v>
      </c>
      <c r="BD1535" s="55" t="str">
        <f aca="false">IF(AH1535&lt;=0,"",IF(BY1535="Aussen","Aussenlager",IF(BY1535="-","Nicht im Lift",IF(AM1535&gt;=1,"Lift",IF(AM1535&lt;=0,"Aussenlager","teilweise")))))</f>
        <v>Lift</v>
      </c>
      <c r="BE1535" s="55" t="str">
        <f aca="false">IF(AP1535&lt;=0,"",IF(BY1535="Aussen","Aussenlager",IF(BY1535="-","Nicht im Lift",IF(AU1535&gt;=1,"Lift",IF(AU1535&lt;=0,"Aussenlager","teilweise")))))</f>
        <v>Aussenlager</v>
      </c>
      <c r="BF1535" s="55" t="str">
        <f aca="false">IF(AX1535&lt;=0,"",IF(BY1535="Aussen","Aussenlager",IF(BY1535="-","Nicht im Lift",IF(BC1535&gt;=1,"Lift",IF(BC1535&lt;=0,"Aussenlager","teilweise")))))</f>
        <v>Aussenlager</v>
      </c>
      <c r="BG1535" s="55" t="str">
        <f aca="false">IF(A1535="","",IF(BP1535=1,"Neu; ","")&amp;IF(AND(BP1535=0,BK1535&lt;0),"negativer Bestand (Export "&amp;BK1535&amp;"); ","")&amp;IF(J1535&lt;=0,"Kein Verbrauch; ","")&amp;IF(CH1535&gt;0,"Lift "&amp;W1535&amp;" lt. Liftbericht (Fach "&amp;X1535&amp;" Stk); ",IF(BU1535=1,"Gebinde geschätzt ("&amp;T1535&amp;"); ",IF(BT1535=1,"Lose – Tablare geschätzt; ","")))&amp;IF(H1535&gt;AR1535,"Überbestand "&amp;ROUND(H1535-AR1535,0)&amp;" Stk / CHF "&amp;ROUND((H1535-AR1535)*G1535,0)&amp;"; ","")&amp;IF(AND(CA1535=1,CB1535&lt;CC1535),"MAX &lt; MB+LG; ","")&amp;IF(AND(CG1535&gt;0,CF1535*10&gt;CG1535),"zu hoch für Tablar; ","")&amp;IF(AND(BP1535=0,OR(CA1535=1,AA1535&lt;&gt;"",U1535&lt;&gt;"",V1535&lt;&gt;"",AB1535&lt;&gt;"")),"manuell übersteuert; ","")&amp;IF(AND(BT1535=0,R1535=0),"Gebinde unbekannt / Stellmass fehlt; ","")&amp;IF(AND(BT1535=0,N(V1535)&lt;=0,N(Q1535)&lt;=0),"Menge pro Gebinde fehlt (Ist = 1 Gebinde); ","")&amp;BO1535)</f>
        <v>Kein Verbrauch; nur im Artikelstamm (Bestand 23.06.2026)</v>
      </c>
      <c r="BH1535" s="55"/>
      <c r="BI1535" s="55"/>
      <c r="BJ1535" s="62"/>
      <c r="BK1535" s="57" t="n">
        <v>2</v>
      </c>
      <c r="BL1535" s="57" t="n">
        <v>0</v>
      </c>
      <c r="BM1535" s="56" t="n">
        <v>0</v>
      </c>
      <c r="BN1535" s="57" t="n">
        <v>0</v>
      </c>
      <c r="BO1535" s="55" t="s">
        <v>2575</v>
      </c>
      <c r="BP1535" s="60" t="n">
        <v>0</v>
      </c>
      <c r="BQ1535" s="60" t="n">
        <v>1535</v>
      </c>
      <c r="BR1535" s="55" t="str">
        <f aca="false">IF(U1535&lt;&gt;"",UPPER(TRIM(U1535)),IF(BU1535=1,UPPER(VLOOKUP(T1535,Parameter!$I$27:$K$29,2,0)),IF(P1535="","LOSE",P1535)))</f>
        <v>S32</v>
      </c>
      <c r="BS1535" s="57" t="n">
        <f aca="false">IF(BR1535="LOSE",1,IF(N(V1535)&gt;0,V1535,IF(BU1535=1,MAX(1,N(VLOOKUP(T1535,Parameter!$I$27:$K$29,3,0)),H1535,N(N1535)),IF(N(Q1535)&gt;0,Q1535,MAX(1,H1535)))))</f>
        <v>2</v>
      </c>
      <c r="BT1535" s="60" t="n">
        <f aca="false">IF(BR1535="LOSE",1,0)</f>
        <v>0</v>
      </c>
      <c r="BU1535" s="60" t="n">
        <f aca="false">IF(AND(U1535="",OR(P1535="",P1535="LOSE"),T1535&lt;&gt;"",N(S1535)&lt;=0,ISNUMBER(MATCH(T1535,Parameter!$I$27:$I$29,0))),1,0)</f>
        <v>0</v>
      </c>
      <c r="BV1535" s="55" t="str">
        <f aca="false">IF(AND(Parameter!$B$19="Ja",E1535&lt;&gt;"",ISNUMBER(MATCH(E1535,Parameter!$I$35:$I$52,0))),VLOOKUP(E1535,Parameter!$I$35:$J$52,2,0),IFERROR(VLOOKUP(D1535,Parameter!$A$35:$C$64,2,0),"Nein"))</f>
        <v>2+3</v>
      </c>
      <c r="BW1535" s="59" t="n">
        <f aca="false">IF(BT1535=0,0,IF(N(S1535)&gt;0,S1535,IFERROR(VLOOKUP(D1535,Parameter!$A$35:$C$64,3,0)+0,0)))</f>
        <v>0</v>
      </c>
      <c r="BX1535" s="55" t="n">
        <f aca="false">IF(AA1535&lt;&gt;"",AA1535,Z1535)</f>
        <v>3</v>
      </c>
      <c r="BY1535" s="55" t="str">
        <f aca="false">IF(BX1535=1,"L1",IF(OR(BX1535=2,BX1535=3),"L23",IF(BX1535="Aussen","Aussen","-")))</f>
        <v>L23</v>
      </c>
      <c r="BZ1535" s="66" t="n">
        <f aca="false">IF(N(AB1535)&gt;0,AB1535,0)</f>
        <v>0</v>
      </c>
      <c r="CA1535" s="60" t="n">
        <f aca="false">IF(ISNUMBER(AE1535),1,0)</f>
        <v>0</v>
      </c>
      <c r="CB1535" s="57" t="n">
        <f aca="false">N(AE1535)</f>
        <v>0</v>
      </c>
      <c r="CC1535" s="57" t="n">
        <f aca="false">N(M1535)+N(N1535)</f>
        <v>1</v>
      </c>
      <c r="CD1535" s="57" t="n">
        <f aca="false">ROUNDUP(H1535/BS1535,0)</f>
        <v>1</v>
      </c>
      <c r="CE1535" s="57" t="n">
        <f aca="false">ROUNDUP(CB1535/BS1535,0)</f>
        <v>0</v>
      </c>
      <c r="CF1535" s="60" t="n">
        <f aca="false">IF(BT1535=1,0,IFERROR(VLOOKUP(BR1535,'Gebinde-Kategorie'!$A$5:$M$45,5,0)+0,0))</f>
        <v>8</v>
      </c>
      <c r="CG1535" s="60" t="n">
        <f aca="false">IFERROR(IF(OR(BX1535=1,BX1535=2,BX1535=3),N(INDEX(Parameter!$I$5:$I$7,BX1535)),0),0)</f>
        <v>0</v>
      </c>
      <c r="CH1535" s="59" t="n">
        <f aca="false">IF(AND(Parameter!$B$21="Ja",ISNUMBER(W1535),N(X1535)&gt;0),IFERROR(N(INDEX(Parameter!$L$5:$L$7,W1535))*INDEX(Parameter!$E$5:$E$7,W1535)*X1535/SUMIFS($X$7:$X$1843,$W$7:$W$1843,W1535),0),0)</f>
        <v>0</v>
      </c>
    </row>
    <row r="1536" customFormat="false" ht="15" hidden="false" customHeight="false" outlineLevel="0" collapsed="false">
      <c r="A1536" s="55" t="s">
        <v>2686</v>
      </c>
      <c r="B1536" s="55" t="s">
        <v>468</v>
      </c>
      <c r="C1536" s="55" t="s">
        <v>164</v>
      </c>
      <c r="D1536" s="55" t="s">
        <v>184</v>
      </c>
      <c r="E1536" s="55" t="s">
        <v>185</v>
      </c>
      <c r="F1536" s="55"/>
      <c r="G1536" s="56" t="n">
        <v>0.1</v>
      </c>
      <c r="H1536" s="57" t="n">
        <f aca="false">MAX(0,IF(AND(Parameter!$B$21="Ja",ISNUMBER(Y1536)),Y1536,IF(Parameter!$B$20="Jahresanfang 2025 + Export",BL1536+BK1536,BK1536)))</f>
        <v>5</v>
      </c>
      <c r="I1536" s="57" t="n">
        <f aca="false">H1536*G1536</f>
        <v>0.5</v>
      </c>
      <c r="J1536" s="57" t="n">
        <f aca="false">BN1536*Parameter!$B$18</f>
        <v>0</v>
      </c>
      <c r="K1536" s="58"/>
      <c r="L1536" s="59"/>
      <c r="M1536" s="57" t="n">
        <v>0</v>
      </c>
      <c r="N1536" s="57" t="n">
        <v>10</v>
      </c>
      <c r="O1536" s="60" t="n">
        <v>28</v>
      </c>
      <c r="P1536" s="55" t="s">
        <v>426</v>
      </c>
      <c r="Q1536" s="57" t="n">
        <v>5</v>
      </c>
      <c r="R1536" s="60" t="n">
        <f aca="false">IF(BT1536=1,0,IFERROR(VLOOKUP(BR1536,'Gebinde-Kategorie'!$A$5:$M$45,13,0)+0,0))</f>
        <v>198</v>
      </c>
      <c r="S1536" s="61"/>
      <c r="T1536" s="62"/>
      <c r="U1536" s="62"/>
      <c r="V1536" s="62"/>
      <c r="W1536" s="55"/>
      <c r="X1536" s="57"/>
      <c r="Y1536" s="57"/>
      <c r="Z1536" s="55" t="n">
        <f aca="false">IF(A1536="","",IF(AND(Parameter!$B$21="Ja",ISNUMBER(W1536)),W1536,IF(BV1536="2+3",IF(ISNUMBER(SEARCH("grosser Artikel",BO1536)),2,IFERROR(VLOOKUP(BR1536,Parameter!$F$35:$G$64,2,0),2)),IF(OR(BV1536="Nein",BV1536=""),"-",BV1536))))</f>
        <v>3</v>
      </c>
      <c r="AA1536" s="62"/>
      <c r="AB1536" s="63"/>
      <c r="AC1536" s="57" t="n">
        <f aca="false">AR1536</f>
        <v>10</v>
      </c>
      <c r="AD1536" s="57" t="n">
        <f aca="false">MAX(AR1536,H1536)</f>
        <v>10</v>
      </c>
      <c r="AE1536" s="64"/>
      <c r="AF1536" s="57" t="n">
        <f aca="false">IF(LEFT(Cockpit!$C$5,1)="A",H1536,IF(CA1536=1,CB1536,IF(LEFT(Cockpit!$C$5,1)="B",AJ1536,MAX(AJ1536,H1536))))</f>
        <v>5</v>
      </c>
      <c r="AG1536" s="57" t="n">
        <f aca="false">IF(BT1536=1,0,ROUNDUP(AF1536/BS1536,0))</f>
        <v>1</v>
      </c>
      <c r="AH1536" s="59" t="n">
        <f aca="false">IF(CH1536&gt;0,CH1536*MAX(1,AF1536/X1536),IF(BT1536=1,IF(AF1536&lt;=0,0,BW1536*MAX(1,IF(H1536&gt;0,AF1536/H1536,1))),IF(R1536&gt;0,AG1536/R1536,0))/MAX(0.1,N(Parameter!$M$21)))</f>
        <v>0.00505050505050505</v>
      </c>
      <c r="AI1536" s="57" t="n">
        <f aca="false">AF1536*G1536</f>
        <v>0.5</v>
      </c>
      <c r="AJ1536" s="57" t="n">
        <f aca="false">ROUNDUP(MAX(J1536/IF(BZ1536&gt;0,BZ1536,MAX(0.1,N(Cockpit!$C$6))),CC1536)/BS1536,0)*BS1536</f>
        <v>10</v>
      </c>
      <c r="AK1536" s="58" t="n">
        <f aca="false">IF(AH1536&gt;0,J1536/AH1536,-1)</f>
        <v>0</v>
      </c>
      <c r="AL1536" s="58" t="n">
        <f aca="false">IF(AND(OR(BY1536="L1",BY1536="L23"),AH1536&gt;0),SUMIFS($AH$7:$AH$1843,$BY$7:$BY$1843,BY1536,$AK$7:$AK$1843,"&gt;"&amp;AK1536)+SUMIFS($AH$7:$AH$1843,$BY$7:$BY$1843,BY1536,$AK$7:$AK$1843,AK1536,$BQ$7:$BQ$1843,"&lt;="&amp;BQ1536),"")</f>
        <v>82.8795986622074</v>
      </c>
      <c r="AM1536" s="65" t="n">
        <f aca="false">IF(AL1536="",0,MAX(0,MIN(1,(IF(BY1536="L1",Parameter!$E$5,Parameter!$E$6+Parameter!$E$7)-(AL1536-AH1536))/AH1536)))</f>
        <v>1</v>
      </c>
      <c r="AN1536" s="57" t="n">
        <f aca="false">IF(LEFT(Cockpit!$I$5,1)="A",H1536,IF(CA1536=1,CB1536,IF(LEFT(Cockpit!$I$5,1)="B",AR1536,MAX(AR1536,H1536))))</f>
        <v>10</v>
      </c>
      <c r="AO1536" s="57" t="n">
        <f aca="false">IF(BT1536=1,0,ROUNDUP(AN1536/BS1536,0))</f>
        <v>2</v>
      </c>
      <c r="AP1536" s="59" t="n">
        <f aca="false">IF(CH1536&gt;0,CH1536*MAX(1,AN1536/X1536),IF(BT1536=1,IF(AN1536&lt;=0,0,BW1536*MAX(1,IF(H1536&gt;0,AN1536/H1536,1))),IF(R1536&gt;0,AO1536/R1536,0))/MAX(0.1,N(Parameter!$M$21)))</f>
        <v>0.0101010101010101</v>
      </c>
      <c r="AQ1536" s="57" t="n">
        <f aca="false">AN1536*G1536</f>
        <v>1</v>
      </c>
      <c r="AR1536" s="57" t="n">
        <f aca="false">ROUNDUP(MAX(J1536/IF(BZ1536&gt;0,BZ1536,MAX(0.1,N(Cockpit!$I$6))),CC1536)/BS1536,0)*BS1536</f>
        <v>10</v>
      </c>
      <c r="AS1536" s="58" t="n">
        <f aca="false">IF(AP1536&gt;0,J1536/AP1536,-1)</f>
        <v>0</v>
      </c>
      <c r="AT1536" s="58" t="n">
        <f aca="false">IF(AND(OR(BY1536="L1",BY1536="L23"),AP1536&gt;0),SUMIFS($AP$7:$AP$1843,$BY$7:$BY$1843,BY1536,$AS$7:$AS$1843,"&gt;"&amp;AS1536)+SUMIFS($AP$7:$AP$1843,$BY$7:$BY$1843,BY1536,$AS$7:$AS$1843,AS1536,$BQ$7:$BQ$1843,"&lt;="&amp;BQ1536),"")</f>
        <v>127.963903246512</v>
      </c>
      <c r="AU1536" s="65" t="n">
        <f aca="false">IF(AT1536="",0,MAX(0,MIN(1,(IF(BY1536="L1",Parameter!$E$5,Parameter!$E$6+Parameter!$E$7)-(AT1536-AP1536))/AP1536)))</f>
        <v>0</v>
      </c>
      <c r="AV1536" s="57" t="n">
        <f aca="false">IF(LEFT(Cockpit!$O$5,1)="A",H1536,IF(CA1536=1,CB1536,IF(LEFT(Cockpit!$O$5,1)="B",AZ1536,MAX(AZ1536,H1536))))</f>
        <v>10</v>
      </c>
      <c r="AW1536" s="57" t="n">
        <f aca="false">IF(BT1536=1,0,ROUNDUP(AV1536/BS1536,0))</f>
        <v>2</v>
      </c>
      <c r="AX1536" s="59" t="n">
        <f aca="false">IF(CH1536&gt;0,CH1536*MAX(1,AV1536/X1536),IF(BT1536=1,IF(AV1536&lt;=0,0,BW1536*MAX(1,IF(H1536&gt;0,AV1536/H1536,1))),IF(R1536&gt;0,AW1536/R1536,0))/MAX(0.1,N(Parameter!$M$21)))</f>
        <v>0.0101010101010101</v>
      </c>
      <c r="AY1536" s="57" t="n">
        <f aca="false">AV1536*G1536</f>
        <v>1</v>
      </c>
      <c r="AZ1536" s="57" t="n">
        <f aca="false">ROUNDUP(MAX(J1536/IF(BZ1536&gt;0,BZ1536,MAX(0.1,N(Cockpit!$O$6))),CC1536)/BS1536,0)*BS1536</f>
        <v>10</v>
      </c>
      <c r="BA1536" s="58" t="n">
        <f aca="false">IF(AX1536&gt;0,J1536/AX1536,-1)</f>
        <v>0</v>
      </c>
      <c r="BB1536" s="58" t="n">
        <f aca="false">IF(AND(OR(BY1536="L1",BY1536="L23"),AX1536&gt;0),SUMIFS($AX$7:$AX$1843,$BY$7:$BY$1843,BY1536,$BA$7:$BA$1843,"&gt;"&amp;BA1536)+SUMIFS($AX$7:$AX$1843,$BY$7:$BY$1843,BY1536,$BA$7:$BA$1843,BA1536,$BQ$7:$BQ$1843,"&lt;="&amp;BQ1536),"")</f>
        <v>118.793740076349</v>
      </c>
      <c r="BC1536" s="65" t="n">
        <f aca="false">IF(BB1536="",0,MAX(0,MIN(1,(IF(BY1536="L1",Parameter!$E$5,Parameter!$E$6+Parameter!$E$7)-(BB1536-AX1536))/AX1536)))</f>
        <v>0</v>
      </c>
      <c r="BD1536" s="55" t="str">
        <f aca="false">IF(AH1536&lt;=0,"",IF(BY1536="Aussen","Aussenlager",IF(BY1536="-","Nicht im Lift",IF(AM1536&gt;=1,"Lift",IF(AM1536&lt;=0,"Aussenlager","teilweise")))))</f>
        <v>Lift</v>
      </c>
      <c r="BE1536" s="55" t="str">
        <f aca="false">IF(AP1536&lt;=0,"",IF(BY1536="Aussen","Aussenlager",IF(BY1536="-","Nicht im Lift",IF(AU1536&gt;=1,"Lift",IF(AU1536&lt;=0,"Aussenlager","teilweise")))))</f>
        <v>Aussenlager</v>
      </c>
      <c r="BF1536" s="55" t="str">
        <f aca="false">IF(AX1536&lt;=0,"",IF(BY1536="Aussen","Aussenlager",IF(BY1536="-","Nicht im Lift",IF(BC1536&gt;=1,"Lift",IF(BC1536&lt;=0,"Aussenlager","teilweise")))))</f>
        <v>Aussenlager</v>
      </c>
      <c r="BG1536" s="55" t="str">
        <f aca="false">IF(A1536="","",IF(BP1536=1,"Neu; ","")&amp;IF(AND(BP1536=0,BK1536&lt;0),"negativer Bestand (Export "&amp;BK1536&amp;"); ","")&amp;IF(J1536&lt;=0,"Kein Verbrauch; ","")&amp;IF(CH1536&gt;0,"Lift "&amp;W1536&amp;" lt. Liftbericht (Fach "&amp;X1536&amp;" Stk); ",IF(BU1536=1,"Gebinde geschätzt ("&amp;T1536&amp;"); ",IF(BT1536=1,"Lose – Tablare geschätzt; ","")))&amp;IF(H1536&gt;AR1536,"Überbestand "&amp;ROUND(H1536-AR1536,0)&amp;" Stk / CHF "&amp;ROUND((H1536-AR1536)*G1536,0)&amp;"; ","")&amp;IF(AND(CA1536=1,CB1536&lt;CC1536),"MAX &lt; MB+LG; ","")&amp;IF(AND(CG1536&gt;0,CF1536*10&gt;CG1536),"zu hoch für Tablar; ","")&amp;IF(AND(BP1536=0,OR(CA1536=1,AA1536&lt;&gt;"",U1536&lt;&gt;"",V1536&lt;&gt;"",AB1536&lt;&gt;"")),"manuell übersteuert; ","")&amp;IF(AND(BT1536=0,R1536=0),"Gebinde unbekannt / Stellmass fehlt; ","")&amp;IF(AND(BT1536=0,N(V1536)&lt;=0,N(Q1536)&lt;=0),"Menge pro Gebinde fehlt (Ist = 1 Gebinde); ","")&amp;BO1536)</f>
        <v>Kein Verbrauch; nur im Artikelstamm (Bestand 23.06.2026)</v>
      </c>
      <c r="BH1536" s="55"/>
      <c r="BI1536" s="55"/>
      <c r="BJ1536" s="62"/>
      <c r="BK1536" s="57" t="n">
        <v>5</v>
      </c>
      <c r="BL1536" s="57" t="n">
        <v>0</v>
      </c>
      <c r="BM1536" s="56" t="n">
        <v>0</v>
      </c>
      <c r="BN1536" s="57" t="n">
        <v>0</v>
      </c>
      <c r="BO1536" s="55" t="s">
        <v>2575</v>
      </c>
      <c r="BP1536" s="60" t="n">
        <v>0</v>
      </c>
      <c r="BQ1536" s="60" t="n">
        <v>1536</v>
      </c>
      <c r="BR1536" s="55" t="str">
        <f aca="false">IF(U1536&lt;&gt;"",UPPER(TRIM(U1536)),IF(BU1536=1,UPPER(VLOOKUP(T1536,Parameter!$I$27:$K$29,2,0)),IF(P1536="","LOSE",P1536)))</f>
        <v>S22</v>
      </c>
      <c r="BS1536" s="57" t="n">
        <f aca="false">IF(BR1536="LOSE",1,IF(N(V1536)&gt;0,V1536,IF(BU1536=1,MAX(1,N(VLOOKUP(T1536,Parameter!$I$27:$K$29,3,0)),H1536,N(N1536)),IF(N(Q1536)&gt;0,Q1536,MAX(1,H1536)))))</f>
        <v>5</v>
      </c>
      <c r="BT1536" s="60" t="n">
        <f aca="false">IF(BR1536="LOSE",1,0)</f>
        <v>0</v>
      </c>
      <c r="BU1536" s="60" t="n">
        <f aca="false">IF(AND(U1536="",OR(P1536="",P1536="LOSE"),T1536&lt;&gt;"",N(S1536)&lt;=0,ISNUMBER(MATCH(T1536,Parameter!$I$27:$I$29,0))),1,0)</f>
        <v>0</v>
      </c>
      <c r="BV1536" s="55" t="str">
        <f aca="false">IF(AND(Parameter!$B$19="Ja",E1536&lt;&gt;"",ISNUMBER(MATCH(E1536,Parameter!$I$35:$I$52,0))),VLOOKUP(E1536,Parameter!$I$35:$J$52,2,0),IFERROR(VLOOKUP(D1536,Parameter!$A$35:$C$64,2,0),"Nein"))</f>
        <v>2+3</v>
      </c>
      <c r="BW1536" s="59" t="n">
        <f aca="false">IF(BT1536=0,0,IF(N(S1536)&gt;0,S1536,IFERROR(VLOOKUP(D1536,Parameter!$A$35:$C$64,3,0)+0,0)))</f>
        <v>0</v>
      </c>
      <c r="BX1536" s="55" t="n">
        <f aca="false">IF(AA1536&lt;&gt;"",AA1536,Z1536)</f>
        <v>3</v>
      </c>
      <c r="BY1536" s="55" t="str">
        <f aca="false">IF(BX1536=1,"L1",IF(OR(BX1536=2,BX1536=3),"L23",IF(BX1536="Aussen","Aussen","-")))</f>
        <v>L23</v>
      </c>
      <c r="BZ1536" s="66" t="n">
        <f aca="false">IF(N(AB1536)&gt;0,AB1536,0)</f>
        <v>0</v>
      </c>
      <c r="CA1536" s="60" t="n">
        <f aca="false">IF(ISNUMBER(AE1536),1,0)</f>
        <v>0</v>
      </c>
      <c r="CB1536" s="57" t="n">
        <f aca="false">N(AE1536)</f>
        <v>0</v>
      </c>
      <c r="CC1536" s="57" t="n">
        <f aca="false">N(M1536)+N(N1536)</f>
        <v>10</v>
      </c>
      <c r="CD1536" s="57" t="n">
        <f aca="false">ROUNDUP(H1536/BS1536,0)</f>
        <v>1</v>
      </c>
      <c r="CE1536" s="57" t="n">
        <f aca="false">ROUNDUP(CB1536/BS1536,0)</f>
        <v>0</v>
      </c>
      <c r="CF1536" s="60" t="n">
        <f aca="false">IF(BT1536=1,0,IFERROR(VLOOKUP(BR1536,'Gebinde-Kategorie'!$A$5:$M$45,5,0)+0,0))</f>
        <v>8</v>
      </c>
      <c r="CG1536" s="60" t="n">
        <f aca="false">IFERROR(IF(OR(BX1536=1,BX1536=2,BX1536=3),N(INDEX(Parameter!$I$5:$I$7,BX1536)),0),0)</f>
        <v>0</v>
      </c>
      <c r="CH1536" s="59" t="n">
        <f aca="false">IF(AND(Parameter!$B$21="Ja",ISNUMBER(W1536),N(X1536)&gt;0),IFERROR(N(INDEX(Parameter!$L$5:$L$7,W1536))*INDEX(Parameter!$E$5:$E$7,W1536)*X1536/SUMIFS($X$7:$X$1843,$W$7:$W$1843,W1536),0),0)</f>
        <v>0</v>
      </c>
    </row>
    <row r="1537" customFormat="false" ht="15" hidden="false" customHeight="false" outlineLevel="0" collapsed="false">
      <c r="A1537" s="55" t="s">
        <v>2687</v>
      </c>
      <c r="B1537" s="55" t="s">
        <v>440</v>
      </c>
      <c r="C1537" s="55" t="s">
        <v>164</v>
      </c>
      <c r="D1537" s="55" t="s">
        <v>184</v>
      </c>
      <c r="E1537" s="55" t="s">
        <v>185</v>
      </c>
      <c r="F1537" s="55"/>
      <c r="G1537" s="56" t="n">
        <v>43.67</v>
      </c>
      <c r="H1537" s="57" t="n">
        <f aca="false">MAX(0,IF(AND(Parameter!$B$21="Ja",ISNUMBER(Y1537)),Y1537,IF(Parameter!$B$20="Jahresanfang 2025 + Export",BL1537+BK1537,BK1537)))</f>
        <v>5</v>
      </c>
      <c r="I1537" s="57" t="n">
        <f aca="false">H1537*G1537</f>
        <v>218.35</v>
      </c>
      <c r="J1537" s="57" t="n">
        <f aca="false">BN1537*Parameter!$B$18</f>
        <v>0</v>
      </c>
      <c r="K1537" s="58"/>
      <c r="L1537" s="59"/>
      <c r="M1537" s="57" t="n">
        <v>0</v>
      </c>
      <c r="N1537" s="57" t="n">
        <v>1</v>
      </c>
      <c r="O1537" s="60" t="n">
        <v>42</v>
      </c>
      <c r="P1537" s="55" t="s">
        <v>421</v>
      </c>
      <c r="Q1537" s="57" t="n">
        <v>5</v>
      </c>
      <c r="R1537" s="60" t="n">
        <f aca="false">IF(BT1537=1,0,IFERROR(VLOOKUP(BR1537,'Gebinde-Kategorie'!$A$5:$M$45,13,0)+0,0))</f>
        <v>132</v>
      </c>
      <c r="S1537" s="61"/>
      <c r="T1537" s="62"/>
      <c r="U1537" s="62"/>
      <c r="V1537" s="62"/>
      <c r="W1537" s="55"/>
      <c r="X1537" s="57"/>
      <c r="Y1537" s="57"/>
      <c r="Z1537" s="55" t="n">
        <f aca="false">IF(A1537="","",IF(AND(Parameter!$B$21="Ja",ISNUMBER(W1537)),W1537,IF(BV1537="2+3",IF(ISNUMBER(SEARCH("grosser Artikel",BO1537)),2,IFERROR(VLOOKUP(BR1537,Parameter!$F$35:$G$64,2,0),2)),IF(OR(BV1537="Nein",BV1537=""),"-",BV1537))))</f>
        <v>3</v>
      </c>
      <c r="AA1537" s="62"/>
      <c r="AB1537" s="63"/>
      <c r="AC1537" s="57" t="n">
        <f aca="false">AR1537</f>
        <v>5</v>
      </c>
      <c r="AD1537" s="57" t="n">
        <f aca="false">MAX(AR1537,H1537)</f>
        <v>5</v>
      </c>
      <c r="AE1537" s="64"/>
      <c r="AF1537" s="57" t="n">
        <f aca="false">IF(LEFT(Cockpit!$C$5,1)="A",H1537,IF(CA1537=1,CB1537,IF(LEFT(Cockpit!$C$5,1)="B",AJ1537,MAX(AJ1537,H1537))))</f>
        <v>5</v>
      </c>
      <c r="AG1537" s="57" t="n">
        <f aca="false">IF(BT1537=1,0,ROUNDUP(AF1537/BS1537,0))</f>
        <v>1</v>
      </c>
      <c r="AH1537" s="59" t="n">
        <f aca="false">IF(CH1537&gt;0,CH1537*MAX(1,AF1537/X1537),IF(BT1537=1,IF(AF1537&lt;=0,0,BW1537*MAX(1,IF(H1537&gt;0,AF1537/H1537,1))),IF(R1537&gt;0,AG1537/R1537,0))/MAX(0.1,N(Parameter!$M$21)))</f>
        <v>0.00757575757575758</v>
      </c>
      <c r="AI1537" s="57" t="n">
        <f aca="false">AF1537*G1537</f>
        <v>218.35</v>
      </c>
      <c r="AJ1537" s="57" t="n">
        <f aca="false">ROUNDUP(MAX(J1537/IF(BZ1537&gt;0,BZ1537,MAX(0.1,N(Cockpit!$C$6))),CC1537)/BS1537,0)*BS1537</f>
        <v>5</v>
      </c>
      <c r="AK1537" s="58" t="n">
        <f aca="false">IF(AH1537&gt;0,J1537/AH1537,-1)</f>
        <v>0</v>
      </c>
      <c r="AL1537" s="58" t="n">
        <f aca="false">IF(AND(OR(BY1537="L1",BY1537="L23"),AH1537&gt;0),SUMIFS($AH$7:$AH$1843,$BY$7:$BY$1843,BY1537,$AK$7:$AK$1843,"&gt;"&amp;AK1537)+SUMIFS($AH$7:$AH$1843,$BY$7:$BY$1843,BY1537,$AK$7:$AK$1843,AK1537,$BQ$7:$BQ$1843,"&lt;="&amp;BQ1537),"")</f>
        <v>82.8871744197831</v>
      </c>
      <c r="AM1537" s="65" t="n">
        <f aca="false">IF(AL1537="",0,MAX(0,MIN(1,(IF(BY1537="L1",Parameter!$E$5,Parameter!$E$6+Parameter!$E$7)-(AL1537-AH1537))/AH1537)))</f>
        <v>1</v>
      </c>
      <c r="AN1537" s="57" t="n">
        <f aca="false">IF(LEFT(Cockpit!$I$5,1)="A",H1537,IF(CA1537=1,CB1537,IF(LEFT(Cockpit!$I$5,1)="B",AR1537,MAX(AR1537,H1537))))</f>
        <v>5</v>
      </c>
      <c r="AO1537" s="57" t="n">
        <f aca="false">IF(BT1537=1,0,ROUNDUP(AN1537/BS1537,0))</f>
        <v>1</v>
      </c>
      <c r="AP1537" s="59" t="n">
        <f aca="false">IF(CH1537&gt;0,CH1537*MAX(1,AN1537/X1537),IF(BT1537=1,IF(AN1537&lt;=0,0,BW1537*MAX(1,IF(H1537&gt;0,AN1537/H1537,1))),IF(R1537&gt;0,AO1537/R1537,0))/MAX(0.1,N(Parameter!$M$21)))</f>
        <v>0.00757575757575758</v>
      </c>
      <c r="AQ1537" s="57" t="n">
        <f aca="false">AN1537*G1537</f>
        <v>218.35</v>
      </c>
      <c r="AR1537" s="57" t="n">
        <f aca="false">ROUNDUP(MAX(J1537/IF(BZ1537&gt;0,BZ1537,MAX(0.1,N(Cockpit!$I$6))),CC1537)/BS1537,0)*BS1537</f>
        <v>5</v>
      </c>
      <c r="AS1537" s="58" t="n">
        <f aca="false">IF(AP1537&gt;0,J1537/AP1537,-1)</f>
        <v>0</v>
      </c>
      <c r="AT1537" s="58" t="n">
        <f aca="false">IF(AND(OR(BY1537="L1",BY1537="L23"),AP1537&gt;0),SUMIFS($AP$7:$AP$1843,$BY$7:$BY$1843,BY1537,$AS$7:$AS$1843,"&gt;"&amp;AS1537)+SUMIFS($AP$7:$AP$1843,$BY$7:$BY$1843,BY1537,$AS$7:$AS$1843,AS1537,$BQ$7:$BQ$1843,"&lt;="&amp;BQ1537),"")</f>
        <v>127.971479004088</v>
      </c>
      <c r="AU1537" s="65" t="n">
        <f aca="false">IF(AT1537="",0,MAX(0,MIN(1,(IF(BY1537="L1",Parameter!$E$5,Parameter!$E$6+Parameter!$E$7)-(AT1537-AP1537))/AP1537)))</f>
        <v>0</v>
      </c>
      <c r="AV1537" s="57" t="n">
        <f aca="false">IF(LEFT(Cockpit!$O$5,1)="A",H1537,IF(CA1537=1,CB1537,IF(LEFT(Cockpit!$O$5,1)="B",AZ1537,MAX(AZ1537,H1537))))</f>
        <v>5</v>
      </c>
      <c r="AW1537" s="57" t="n">
        <f aca="false">IF(BT1537=1,0,ROUNDUP(AV1537/BS1537,0))</f>
        <v>1</v>
      </c>
      <c r="AX1537" s="59" t="n">
        <f aca="false">IF(CH1537&gt;0,CH1537*MAX(1,AV1537/X1537),IF(BT1537=1,IF(AV1537&lt;=0,0,BW1537*MAX(1,IF(H1537&gt;0,AV1537/H1537,1))),IF(R1537&gt;0,AW1537/R1537,0))/MAX(0.1,N(Parameter!$M$21)))</f>
        <v>0.00757575757575758</v>
      </c>
      <c r="AY1537" s="57" t="n">
        <f aca="false">AV1537*G1537</f>
        <v>218.35</v>
      </c>
      <c r="AZ1537" s="57" t="n">
        <f aca="false">ROUNDUP(MAX(J1537/IF(BZ1537&gt;0,BZ1537,MAX(0.1,N(Cockpit!$O$6))),CC1537)/BS1537,0)*BS1537</f>
        <v>5</v>
      </c>
      <c r="BA1537" s="58" t="n">
        <f aca="false">IF(AX1537&gt;0,J1537/AX1537,-1)</f>
        <v>0</v>
      </c>
      <c r="BB1537" s="58" t="n">
        <f aca="false">IF(AND(OR(BY1537="L1",BY1537="L23"),AX1537&gt;0),SUMIFS($AX$7:$AX$1843,$BY$7:$BY$1843,BY1537,$BA$7:$BA$1843,"&gt;"&amp;BA1537)+SUMIFS($AX$7:$AX$1843,$BY$7:$BY$1843,BY1537,$BA$7:$BA$1843,BA1537,$BQ$7:$BQ$1843,"&lt;="&amp;BQ1537),"")</f>
        <v>118.801315833925</v>
      </c>
      <c r="BC1537" s="65" t="n">
        <f aca="false">IF(BB1537="",0,MAX(0,MIN(1,(IF(BY1537="L1",Parameter!$E$5,Parameter!$E$6+Parameter!$E$7)-(BB1537-AX1537))/AX1537)))</f>
        <v>0</v>
      </c>
      <c r="BD1537" s="55" t="str">
        <f aca="false">IF(AH1537&lt;=0,"",IF(BY1537="Aussen","Aussenlager",IF(BY1537="-","Nicht im Lift",IF(AM1537&gt;=1,"Lift",IF(AM1537&lt;=0,"Aussenlager","teilweise")))))</f>
        <v>Lift</v>
      </c>
      <c r="BE1537" s="55" t="str">
        <f aca="false">IF(AP1537&lt;=0,"",IF(BY1537="Aussen","Aussenlager",IF(BY1537="-","Nicht im Lift",IF(AU1537&gt;=1,"Lift",IF(AU1537&lt;=0,"Aussenlager","teilweise")))))</f>
        <v>Aussenlager</v>
      </c>
      <c r="BF1537" s="55" t="str">
        <f aca="false">IF(AX1537&lt;=0,"",IF(BY1537="Aussen","Aussenlager",IF(BY1537="-","Nicht im Lift",IF(BC1537&gt;=1,"Lift",IF(BC1537&lt;=0,"Aussenlager","teilweise")))))</f>
        <v>Aussenlager</v>
      </c>
      <c r="BG1537" s="55" t="str">
        <f aca="false">IF(A1537="","",IF(BP1537=1,"Neu; ","")&amp;IF(AND(BP1537=0,BK1537&lt;0),"negativer Bestand (Export "&amp;BK1537&amp;"); ","")&amp;IF(J1537&lt;=0,"Kein Verbrauch; ","")&amp;IF(CH1537&gt;0,"Lift "&amp;W1537&amp;" lt. Liftbericht (Fach "&amp;X1537&amp;" Stk); ",IF(BU1537=1,"Gebinde geschätzt ("&amp;T1537&amp;"); ",IF(BT1537=1,"Lose – Tablare geschätzt; ","")))&amp;IF(H1537&gt;AR1537,"Überbestand "&amp;ROUND(H1537-AR1537,0)&amp;" Stk / CHF "&amp;ROUND((H1537-AR1537)*G1537,0)&amp;"; ","")&amp;IF(AND(CA1537=1,CB1537&lt;CC1537),"MAX &lt; MB+LG; ","")&amp;IF(AND(CG1537&gt;0,CF1537*10&gt;CG1537),"zu hoch für Tablar; ","")&amp;IF(AND(BP1537=0,OR(CA1537=1,AA1537&lt;&gt;"",U1537&lt;&gt;"",V1537&lt;&gt;"",AB1537&lt;&gt;"")),"manuell übersteuert; ","")&amp;IF(AND(BT1537=0,R1537=0),"Gebinde unbekannt / Stellmass fehlt; ","")&amp;IF(AND(BT1537=0,N(V1537)&lt;=0,N(Q1537)&lt;=0),"Menge pro Gebinde fehlt (Ist = 1 Gebinde); ","")&amp;BO1537)</f>
        <v>Kein Verbrauch; nur im Artikelstamm (Bestand 23.06.2026)</v>
      </c>
      <c r="BH1537" s="55"/>
      <c r="BI1537" s="55"/>
      <c r="BJ1537" s="62"/>
      <c r="BK1537" s="57" t="n">
        <v>5</v>
      </c>
      <c r="BL1537" s="57" t="n">
        <v>0</v>
      </c>
      <c r="BM1537" s="56" t="n">
        <v>0</v>
      </c>
      <c r="BN1537" s="57" t="n">
        <v>0</v>
      </c>
      <c r="BO1537" s="55" t="s">
        <v>2575</v>
      </c>
      <c r="BP1537" s="60" t="n">
        <v>0</v>
      </c>
      <c r="BQ1537" s="60" t="n">
        <v>1537</v>
      </c>
      <c r="BR1537" s="55" t="str">
        <f aca="false">IF(U1537&lt;&gt;"",UPPER(TRIM(U1537)),IF(BU1537=1,UPPER(VLOOKUP(T1537,Parameter!$I$27:$K$29,2,0)),IF(P1537="","LOSE",P1537)))</f>
        <v>S32</v>
      </c>
      <c r="BS1537" s="57" t="n">
        <f aca="false">IF(BR1537="LOSE",1,IF(N(V1537)&gt;0,V1537,IF(BU1537=1,MAX(1,N(VLOOKUP(T1537,Parameter!$I$27:$K$29,3,0)),H1537,N(N1537)),IF(N(Q1537)&gt;0,Q1537,MAX(1,H1537)))))</f>
        <v>5</v>
      </c>
      <c r="BT1537" s="60" t="n">
        <f aca="false">IF(BR1537="LOSE",1,0)</f>
        <v>0</v>
      </c>
      <c r="BU1537" s="60" t="n">
        <f aca="false">IF(AND(U1537="",OR(P1537="",P1537="LOSE"),T1537&lt;&gt;"",N(S1537)&lt;=0,ISNUMBER(MATCH(T1537,Parameter!$I$27:$I$29,0))),1,0)</f>
        <v>0</v>
      </c>
      <c r="BV1537" s="55" t="str">
        <f aca="false">IF(AND(Parameter!$B$19="Ja",E1537&lt;&gt;"",ISNUMBER(MATCH(E1537,Parameter!$I$35:$I$52,0))),VLOOKUP(E1537,Parameter!$I$35:$J$52,2,0),IFERROR(VLOOKUP(D1537,Parameter!$A$35:$C$64,2,0),"Nein"))</f>
        <v>2+3</v>
      </c>
      <c r="BW1537" s="59" t="n">
        <f aca="false">IF(BT1537=0,0,IF(N(S1537)&gt;0,S1537,IFERROR(VLOOKUP(D1537,Parameter!$A$35:$C$64,3,0)+0,0)))</f>
        <v>0</v>
      </c>
      <c r="BX1537" s="55" t="n">
        <f aca="false">IF(AA1537&lt;&gt;"",AA1537,Z1537)</f>
        <v>3</v>
      </c>
      <c r="BY1537" s="55" t="str">
        <f aca="false">IF(BX1537=1,"L1",IF(OR(BX1537=2,BX1537=3),"L23",IF(BX1537="Aussen","Aussen","-")))</f>
        <v>L23</v>
      </c>
      <c r="BZ1537" s="66" t="n">
        <f aca="false">IF(N(AB1537)&gt;0,AB1537,0)</f>
        <v>0</v>
      </c>
      <c r="CA1537" s="60" t="n">
        <f aca="false">IF(ISNUMBER(AE1537),1,0)</f>
        <v>0</v>
      </c>
      <c r="CB1537" s="57" t="n">
        <f aca="false">N(AE1537)</f>
        <v>0</v>
      </c>
      <c r="CC1537" s="57" t="n">
        <f aca="false">N(M1537)+N(N1537)</f>
        <v>1</v>
      </c>
      <c r="CD1537" s="57" t="n">
        <f aca="false">ROUNDUP(H1537/BS1537,0)</f>
        <v>1</v>
      </c>
      <c r="CE1537" s="57" t="n">
        <f aca="false">ROUNDUP(CB1537/BS1537,0)</f>
        <v>0</v>
      </c>
      <c r="CF1537" s="60" t="n">
        <f aca="false">IF(BT1537=1,0,IFERROR(VLOOKUP(BR1537,'Gebinde-Kategorie'!$A$5:$M$45,5,0)+0,0))</f>
        <v>8</v>
      </c>
      <c r="CG1537" s="60" t="n">
        <f aca="false">IFERROR(IF(OR(BX1537=1,BX1537=2,BX1537=3),N(INDEX(Parameter!$I$5:$I$7,BX1537)),0),0)</f>
        <v>0</v>
      </c>
      <c r="CH1537" s="59" t="n">
        <f aca="false">IF(AND(Parameter!$B$21="Ja",ISNUMBER(W1537),N(X1537)&gt;0),IFERROR(N(INDEX(Parameter!$L$5:$L$7,W1537))*INDEX(Parameter!$E$5:$E$7,W1537)*X1537/SUMIFS($X$7:$X$1843,$W$7:$W$1843,W1537),0),0)</f>
        <v>0</v>
      </c>
    </row>
    <row r="1538" customFormat="false" ht="15" hidden="false" customHeight="false" outlineLevel="0" collapsed="false">
      <c r="A1538" s="55" t="s">
        <v>2688</v>
      </c>
      <c r="B1538" s="55" t="s">
        <v>2689</v>
      </c>
      <c r="C1538" s="55" t="s">
        <v>164</v>
      </c>
      <c r="D1538" s="55" t="s">
        <v>184</v>
      </c>
      <c r="E1538" s="55" t="s">
        <v>185</v>
      </c>
      <c r="F1538" s="55"/>
      <c r="G1538" s="56" t="n">
        <v>21</v>
      </c>
      <c r="H1538" s="57" t="n">
        <f aca="false">MAX(0,IF(AND(Parameter!$B$21="Ja",ISNUMBER(Y1538)),Y1538,IF(Parameter!$B$20="Jahresanfang 2025 + Export",BL1538+BK1538,BK1538)))</f>
        <v>9</v>
      </c>
      <c r="I1538" s="57" t="n">
        <f aca="false">H1538*G1538</f>
        <v>189</v>
      </c>
      <c r="J1538" s="57" t="n">
        <f aca="false">BN1538*Parameter!$B$18</f>
        <v>0</v>
      </c>
      <c r="K1538" s="58"/>
      <c r="L1538" s="59"/>
      <c r="M1538" s="57" t="n">
        <v>0</v>
      </c>
      <c r="N1538" s="57" t="n">
        <v>10</v>
      </c>
      <c r="O1538" s="60" t="n">
        <v>35</v>
      </c>
      <c r="P1538" s="55" t="s">
        <v>293</v>
      </c>
      <c r="Q1538" s="57" t="n">
        <v>9</v>
      </c>
      <c r="R1538" s="60" t="n">
        <f aca="false">IF(BT1538=1,0,IFERROR(VLOOKUP(BR1538,'Gebinde-Kategorie'!$A$5:$M$45,13,0)+0,0))</f>
        <v>12</v>
      </c>
      <c r="S1538" s="61"/>
      <c r="T1538" s="62"/>
      <c r="U1538" s="62"/>
      <c r="V1538" s="62"/>
      <c r="W1538" s="55"/>
      <c r="X1538" s="57"/>
      <c r="Y1538" s="57"/>
      <c r="Z1538" s="55" t="n">
        <f aca="false">IF(A1538="","",IF(AND(Parameter!$B$21="Ja",ISNUMBER(W1538)),W1538,IF(BV1538="2+3",IF(ISNUMBER(SEARCH("grosser Artikel",BO1538)),2,IFERROR(VLOOKUP(BR1538,Parameter!$F$35:$G$64,2,0),2)),IF(OR(BV1538="Nein",BV1538=""),"-",BV1538))))</f>
        <v>2</v>
      </c>
      <c r="AA1538" s="62"/>
      <c r="AB1538" s="63"/>
      <c r="AC1538" s="57" t="n">
        <f aca="false">AR1538</f>
        <v>18</v>
      </c>
      <c r="AD1538" s="57" t="n">
        <f aca="false">MAX(AR1538,H1538)</f>
        <v>18</v>
      </c>
      <c r="AE1538" s="64"/>
      <c r="AF1538" s="57" t="n">
        <f aca="false">IF(LEFT(Cockpit!$C$5,1)="A",H1538,IF(CA1538=1,CB1538,IF(LEFT(Cockpit!$C$5,1)="B",AJ1538,MAX(AJ1538,H1538))))</f>
        <v>9</v>
      </c>
      <c r="AG1538" s="57" t="n">
        <f aca="false">IF(BT1538=1,0,ROUNDUP(AF1538/BS1538,0))</f>
        <v>1</v>
      </c>
      <c r="AH1538" s="59" t="n">
        <f aca="false">IF(CH1538&gt;0,CH1538*MAX(1,AF1538/X1538),IF(BT1538=1,IF(AF1538&lt;=0,0,BW1538*MAX(1,IF(H1538&gt;0,AF1538/H1538,1))),IF(R1538&gt;0,AG1538/R1538,0))/MAX(0.1,N(Parameter!$M$21)))</f>
        <v>0.0833333333333333</v>
      </c>
      <c r="AI1538" s="57" t="n">
        <f aca="false">AF1538*G1538</f>
        <v>189</v>
      </c>
      <c r="AJ1538" s="57" t="n">
        <f aca="false">ROUNDUP(MAX(J1538/IF(BZ1538&gt;0,BZ1538,MAX(0.1,N(Cockpit!$C$6))),CC1538)/BS1538,0)*BS1538</f>
        <v>18</v>
      </c>
      <c r="AK1538" s="58" t="n">
        <f aca="false">IF(AH1538&gt;0,J1538/AH1538,-1)</f>
        <v>0</v>
      </c>
      <c r="AL1538" s="58" t="n">
        <f aca="false">IF(AND(OR(BY1538="L1",BY1538="L23"),AH1538&gt;0),SUMIFS($AH$7:$AH$1843,$BY$7:$BY$1843,BY1538,$AK$7:$AK$1843,"&gt;"&amp;AK1538)+SUMIFS($AH$7:$AH$1843,$BY$7:$BY$1843,BY1538,$AK$7:$AK$1843,AK1538,$BQ$7:$BQ$1843,"&lt;="&amp;BQ1538),"")</f>
        <v>82.9705077531165</v>
      </c>
      <c r="AM1538" s="65" t="n">
        <f aca="false">IF(AL1538="",0,MAX(0,MIN(1,(IF(BY1538="L1",Parameter!$E$5,Parameter!$E$6+Parameter!$E$7)-(AL1538-AH1538))/AH1538)))</f>
        <v>1</v>
      </c>
      <c r="AN1538" s="57" t="n">
        <f aca="false">IF(LEFT(Cockpit!$I$5,1)="A",H1538,IF(CA1538=1,CB1538,IF(LEFT(Cockpit!$I$5,1)="B",AR1538,MAX(AR1538,H1538))))</f>
        <v>18</v>
      </c>
      <c r="AO1538" s="57" t="n">
        <f aca="false">IF(BT1538=1,0,ROUNDUP(AN1538/BS1538,0))</f>
        <v>2</v>
      </c>
      <c r="AP1538" s="59" t="n">
        <f aca="false">IF(CH1538&gt;0,CH1538*MAX(1,AN1538/X1538),IF(BT1538=1,IF(AN1538&lt;=0,0,BW1538*MAX(1,IF(H1538&gt;0,AN1538/H1538,1))),IF(R1538&gt;0,AO1538/R1538,0))/MAX(0.1,N(Parameter!$M$21)))</f>
        <v>0.166666666666667</v>
      </c>
      <c r="AQ1538" s="57" t="n">
        <f aca="false">AN1538*G1538</f>
        <v>378</v>
      </c>
      <c r="AR1538" s="57" t="n">
        <f aca="false">ROUNDUP(MAX(J1538/IF(BZ1538&gt;0,BZ1538,MAX(0.1,N(Cockpit!$I$6))),CC1538)/BS1538,0)*BS1538</f>
        <v>18</v>
      </c>
      <c r="AS1538" s="58" t="n">
        <f aca="false">IF(AP1538&gt;0,J1538/AP1538,-1)</f>
        <v>0</v>
      </c>
      <c r="AT1538" s="58" t="n">
        <f aca="false">IF(AND(OR(BY1538="L1",BY1538="L23"),AP1538&gt;0),SUMIFS($AP$7:$AP$1843,$BY$7:$BY$1843,BY1538,$AS$7:$AS$1843,"&gt;"&amp;AS1538)+SUMIFS($AP$7:$AP$1843,$BY$7:$BY$1843,BY1538,$AS$7:$AS$1843,AS1538,$BQ$7:$BQ$1843,"&lt;="&amp;BQ1538),"")</f>
        <v>128.138145670754</v>
      </c>
      <c r="AU1538" s="65" t="n">
        <f aca="false">IF(AT1538="",0,MAX(0,MIN(1,(IF(BY1538="L1",Parameter!$E$5,Parameter!$E$6+Parameter!$E$7)-(AT1538-AP1538))/AP1538)))</f>
        <v>0</v>
      </c>
      <c r="AV1538" s="57" t="n">
        <f aca="false">IF(LEFT(Cockpit!$O$5,1)="A",H1538,IF(CA1538=1,CB1538,IF(LEFT(Cockpit!$O$5,1)="B",AZ1538,MAX(AZ1538,H1538))))</f>
        <v>18</v>
      </c>
      <c r="AW1538" s="57" t="n">
        <f aca="false">IF(BT1538=1,0,ROUNDUP(AV1538/BS1538,0))</f>
        <v>2</v>
      </c>
      <c r="AX1538" s="59" t="n">
        <f aca="false">IF(CH1538&gt;0,CH1538*MAX(1,AV1538/X1538),IF(BT1538=1,IF(AV1538&lt;=0,0,BW1538*MAX(1,IF(H1538&gt;0,AV1538/H1538,1))),IF(R1538&gt;0,AW1538/R1538,0))/MAX(0.1,N(Parameter!$M$21)))</f>
        <v>0.166666666666667</v>
      </c>
      <c r="AY1538" s="57" t="n">
        <f aca="false">AV1538*G1538</f>
        <v>378</v>
      </c>
      <c r="AZ1538" s="57" t="n">
        <f aca="false">ROUNDUP(MAX(J1538/IF(BZ1538&gt;0,BZ1538,MAX(0.1,N(Cockpit!$O$6))),CC1538)/BS1538,0)*BS1538</f>
        <v>18</v>
      </c>
      <c r="BA1538" s="58" t="n">
        <f aca="false">IF(AX1538&gt;0,J1538/AX1538,-1)</f>
        <v>0</v>
      </c>
      <c r="BB1538" s="58" t="n">
        <f aca="false">IF(AND(OR(BY1538="L1",BY1538="L23"),AX1538&gt;0),SUMIFS($AX$7:$AX$1843,$BY$7:$BY$1843,BY1538,$BA$7:$BA$1843,"&gt;"&amp;BA1538)+SUMIFS($AX$7:$AX$1843,$BY$7:$BY$1843,BY1538,$BA$7:$BA$1843,BA1538,$BQ$7:$BQ$1843,"&lt;="&amp;BQ1538),"")</f>
        <v>118.967982500591</v>
      </c>
      <c r="BC1538" s="65" t="n">
        <f aca="false">IF(BB1538="",0,MAX(0,MIN(1,(IF(BY1538="L1",Parameter!$E$5,Parameter!$E$6+Parameter!$E$7)-(BB1538-AX1538))/AX1538)))</f>
        <v>0</v>
      </c>
      <c r="BD1538" s="55" t="str">
        <f aca="false">IF(AH1538&lt;=0,"",IF(BY1538="Aussen","Aussenlager",IF(BY1538="-","Nicht im Lift",IF(AM1538&gt;=1,"Lift",IF(AM1538&lt;=0,"Aussenlager","teilweise")))))</f>
        <v>Lift</v>
      </c>
      <c r="BE1538" s="55" t="str">
        <f aca="false">IF(AP1538&lt;=0,"",IF(BY1538="Aussen","Aussenlager",IF(BY1538="-","Nicht im Lift",IF(AU1538&gt;=1,"Lift",IF(AU1538&lt;=0,"Aussenlager","teilweise")))))</f>
        <v>Aussenlager</v>
      </c>
      <c r="BF1538" s="55" t="str">
        <f aca="false">IF(AX1538&lt;=0,"",IF(BY1538="Aussen","Aussenlager",IF(BY1538="-","Nicht im Lift",IF(BC1538&gt;=1,"Lift",IF(BC1538&lt;=0,"Aussenlager","teilweise")))))</f>
        <v>Aussenlager</v>
      </c>
      <c r="BG1538" s="55" t="str">
        <f aca="false">IF(A1538="","",IF(BP1538=1,"Neu; ","")&amp;IF(AND(BP1538=0,BK1538&lt;0),"negativer Bestand (Export "&amp;BK1538&amp;"); ","")&amp;IF(J1538&lt;=0,"Kein Verbrauch; ","")&amp;IF(CH1538&gt;0,"Lift "&amp;W1538&amp;" lt. Liftbericht (Fach "&amp;X1538&amp;" Stk); ",IF(BU1538=1,"Gebinde geschätzt ("&amp;T1538&amp;"); ",IF(BT1538=1,"Lose – Tablare geschätzt; ","")))&amp;IF(H1538&gt;AR1538,"Überbestand "&amp;ROUND(H1538-AR1538,0)&amp;" Stk / CHF "&amp;ROUND((H1538-AR1538)*G1538,0)&amp;"; ","")&amp;IF(AND(CA1538=1,CB1538&lt;CC1538),"MAX &lt; MB+LG; ","")&amp;IF(AND(CG1538&gt;0,CF1538*10&gt;CG1538),"zu hoch für Tablar; ","")&amp;IF(AND(BP1538=0,OR(CA1538=1,AA1538&lt;&gt;"",U1538&lt;&gt;"",V1538&lt;&gt;"",AB1538&lt;&gt;"")),"manuell übersteuert; ","")&amp;IF(AND(BT1538=0,R1538=0),"Gebinde unbekannt / Stellmass fehlt; ","")&amp;IF(AND(BT1538=0,N(V1538)&lt;=0,N(Q1538)&lt;=0),"Menge pro Gebinde fehlt (Ist = 1 Gebinde); ","")&amp;BO1538)</f>
        <v>Kein Verbrauch; nur im Artikelstamm (Bestand 23.06.2026); Neu</v>
      </c>
      <c r="BH1538" s="55"/>
      <c r="BI1538" s="55"/>
      <c r="BJ1538" s="62"/>
      <c r="BK1538" s="57" t="n">
        <v>9</v>
      </c>
      <c r="BL1538" s="57" t="n">
        <v>0</v>
      </c>
      <c r="BM1538" s="56" t="n">
        <v>0</v>
      </c>
      <c r="BN1538" s="57" t="n">
        <v>0</v>
      </c>
      <c r="BO1538" s="55" t="s">
        <v>2667</v>
      </c>
      <c r="BP1538" s="60" t="n">
        <v>0</v>
      </c>
      <c r="BQ1538" s="60" t="n">
        <v>1538</v>
      </c>
      <c r="BR1538" s="55" t="str">
        <f aca="false">IF(U1538&lt;&gt;"",UPPER(TRIM(U1538)),IF(BU1538=1,UPPER(VLOOKUP(T1538,Parameter!$I$27:$K$29,2,0)),IF(P1538="","LOSE",P1538)))</f>
        <v>S62</v>
      </c>
      <c r="BS1538" s="57" t="n">
        <f aca="false">IF(BR1538="LOSE",1,IF(N(V1538)&gt;0,V1538,IF(BU1538=1,MAX(1,N(VLOOKUP(T1538,Parameter!$I$27:$K$29,3,0)),H1538,N(N1538)),IF(N(Q1538)&gt;0,Q1538,MAX(1,H1538)))))</f>
        <v>9</v>
      </c>
      <c r="BT1538" s="60" t="n">
        <f aca="false">IF(BR1538="LOSE",1,0)</f>
        <v>0</v>
      </c>
      <c r="BU1538" s="60" t="n">
        <f aca="false">IF(AND(U1538="",OR(P1538="",P1538="LOSE"),T1538&lt;&gt;"",N(S1538)&lt;=0,ISNUMBER(MATCH(T1538,Parameter!$I$27:$I$29,0))),1,0)</f>
        <v>0</v>
      </c>
      <c r="BV1538" s="55" t="str">
        <f aca="false">IF(AND(Parameter!$B$19="Ja",E1538&lt;&gt;"",ISNUMBER(MATCH(E1538,Parameter!$I$35:$I$52,0))),VLOOKUP(E1538,Parameter!$I$35:$J$52,2,0),IFERROR(VLOOKUP(D1538,Parameter!$A$35:$C$64,2,0),"Nein"))</f>
        <v>2+3</v>
      </c>
      <c r="BW1538" s="59" t="n">
        <f aca="false">IF(BT1538=0,0,IF(N(S1538)&gt;0,S1538,IFERROR(VLOOKUP(D1538,Parameter!$A$35:$C$64,3,0)+0,0)))</f>
        <v>0</v>
      </c>
      <c r="BX1538" s="55" t="n">
        <f aca="false">IF(AA1538&lt;&gt;"",AA1538,Z1538)</f>
        <v>2</v>
      </c>
      <c r="BY1538" s="55" t="str">
        <f aca="false">IF(BX1538=1,"L1",IF(OR(BX1538=2,BX1538=3),"L23",IF(BX1538="Aussen","Aussen","-")))</f>
        <v>L23</v>
      </c>
      <c r="BZ1538" s="66" t="n">
        <f aca="false">IF(N(AB1538)&gt;0,AB1538,0)</f>
        <v>0</v>
      </c>
      <c r="CA1538" s="60" t="n">
        <f aca="false">IF(ISNUMBER(AE1538),1,0)</f>
        <v>0</v>
      </c>
      <c r="CB1538" s="57" t="n">
        <f aca="false">N(AE1538)</f>
        <v>0</v>
      </c>
      <c r="CC1538" s="57" t="n">
        <f aca="false">N(M1538)+N(N1538)</f>
        <v>10</v>
      </c>
      <c r="CD1538" s="57" t="n">
        <f aca="false">ROUNDUP(H1538/BS1538,0)</f>
        <v>1</v>
      </c>
      <c r="CE1538" s="57" t="n">
        <f aca="false">ROUNDUP(CB1538/BS1538,0)</f>
        <v>0</v>
      </c>
      <c r="CF1538" s="60" t="n">
        <f aca="false">IF(BT1538=1,0,IFERROR(VLOOKUP(BR1538,'Gebinde-Kategorie'!$A$5:$M$45,5,0)+0,0))</f>
        <v>21</v>
      </c>
      <c r="CG1538" s="60" t="n">
        <f aca="false">IFERROR(IF(OR(BX1538=1,BX1538=2,BX1538=3),N(INDEX(Parameter!$I$5:$I$7,BX1538)),0),0)</f>
        <v>0</v>
      </c>
      <c r="CH1538" s="59" t="n">
        <f aca="false">IF(AND(Parameter!$B$21="Ja",ISNUMBER(W1538),N(X1538)&gt;0),IFERROR(N(INDEX(Parameter!$L$5:$L$7,W1538))*INDEX(Parameter!$E$5:$E$7,W1538)*X1538/SUMIFS($X$7:$X$1843,$W$7:$W$1843,W1538),0),0)</f>
        <v>0</v>
      </c>
    </row>
    <row r="1539" customFormat="false" ht="15" hidden="false" customHeight="false" outlineLevel="0" collapsed="false">
      <c r="A1539" s="55" t="s">
        <v>2690</v>
      </c>
      <c r="B1539" s="55" t="s">
        <v>1868</v>
      </c>
      <c r="C1539" s="55" t="s">
        <v>164</v>
      </c>
      <c r="D1539" s="55" t="s">
        <v>184</v>
      </c>
      <c r="E1539" s="55" t="s">
        <v>185</v>
      </c>
      <c r="F1539" s="55"/>
      <c r="G1539" s="56" t="n">
        <v>142.8</v>
      </c>
      <c r="H1539" s="57" t="n">
        <f aca="false">MAX(0,IF(AND(Parameter!$B$21="Ja",ISNUMBER(Y1539)),Y1539,IF(Parameter!$B$20="Jahresanfang 2025 + Export",BL1539+BK1539,BK1539)))</f>
        <v>4</v>
      </c>
      <c r="I1539" s="57" t="n">
        <f aca="false">H1539*G1539</f>
        <v>571.2</v>
      </c>
      <c r="J1539" s="57" t="n">
        <f aca="false">BN1539*Parameter!$B$18</f>
        <v>0</v>
      </c>
      <c r="K1539" s="58"/>
      <c r="L1539" s="59"/>
      <c r="M1539" s="57" t="n">
        <v>0</v>
      </c>
      <c r="N1539" s="57" t="n">
        <v>2</v>
      </c>
      <c r="O1539" s="60" t="n">
        <v>168</v>
      </c>
      <c r="P1539" s="55" t="s">
        <v>328</v>
      </c>
      <c r="Q1539" s="57" t="n">
        <v>4</v>
      </c>
      <c r="R1539" s="60" t="n">
        <f aca="false">IF(BT1539=1,0,IFERROR(VLOOKUP(BR1539,'Gebinde-Kategorie'!$A$5:$M$45,13,0)+0,0))</f>
        <v>52</v>
      </c>
      <c r="S1539" s="61"/>
      <c r="T1539" s="62"/>
      <c r="U1539" s="62"/>
      <c r="V1539" s="62"/>
      <c r="W1539" s="55"/>
      <c r="X1539" s="57"/>
      <c r="Y1539" s="57"/>
      <c r="Z1539" s="55" t="n">
        <f aca="false">IF(A1539="","",IF(AND(Parameter!$B$21="Ja",ISNUMBER(W1539)),W1539,IF(BV1539="2+3",IF(ISNUMBER(SEARCH("grosser Artikel",BO1539)),2,IFERROR(VLOOKUP(BR1539,Parameter!$F$35:$G$64,2,0),2)),IF(OR(BV1539="Nein",BV1539=""),"-",BV1539))))</f>
        <v>3</v>
      </c>
      <c r="AA1539" s="62"/>
      <c r="AB1539" s="63"/>
      <c r="AC1539" s="57" t="n">
        <f aca="false">AR1539</f>
        <v>4</v>
      </c>
      <c r="AD1539" s="57" t="n">
        <f aca="false">MAX(AR1539,H1539)</f>
        <v>4</v>
      </c>
      <c r="AE1539" s="64"/>
      <c r="AF1539" s="57" t="n">
        <f aca="false">IF(LEFT(Cockpit!$C$5,1)="A",H1539,IF(CA1539=1,CB1539,IF(LEFT(Cockpit!$C$5,1)="B",AJ1539,MAX(AJ1539,H1539))))</f>
        <v>4</v>
      </c>
      <c r="AG1539" s="57" t="n">
        <f aca="false">IF(BT1539=1,0,ROUNDUP(AF1539/BS1539,0))</f>
        <v>1</v>
      </c>
      <c r="AH1539" s="59" t="n">
        <f aca="false">IF(CH1539&gt;0,CH1539*MAX(1,AF1539/X1539),IF(BT1539=1,IF(AF1539&lt;=0,0,BW1539*MAX(1,IF(H1539&gt;0,AF1539/H1539,1))),IF(R1539&gt;0,AG1539/R1539,0))/MAX(0.1,N(Parameter!$M$21)))</f>
        <v>0.0192307692307692</v>
      </c>
      <c r="AI1539" s="57" t="n">
        <f aca="false">AF1539*G1539</f>
        <v>571.2</v>
      </c>
      <c r="AJ1539" s="57" t="n">
        <f aca="false">ROUNDUP(MAX(J1539/IF(BZ1539&gt;0,BZ1539,MAX(0.1,N(Cockpit!$C$6))),CC1539)/BS1539,0)*BS1539</f>
        <v>4</v>
      </c>
      <c r="AK1539" s="58" t="n">
        <f aca="false">IF(AH1539&gt;0,J1539/AH1539,-1)</f>
        <v>0</v>
      </c>
      <c r="AL1539" s="58" t="n">
        <f aca="false">IF(AND(OR(BY1539="L1",BY1539="L23"),AH1539&gt;0),SUMIFS($AH$7:$AH$1843,$BY$7:$BY$1843,BY1539,$AK$7:$AK$1843,"&gt;"&amp;AK1539)+SUMIFS($AH$7:$AH$1843,$BY$7:$BY$1843,BY1539,$AK$7:$AK$1843,AK1539,$BQ$7:$BQ$1843,"&lt;="&amp;BQ1539),"")</f>
        <v>82.9897385223472</v>
      </c>
      <c r="AM1539" s="65" t="n">
        <f aca="false">IF(AL1539="",0,MAX(0,MIN(1,(IF(BY1539="L1",Parameter!$E$5,Parameter!$E$6+Parameter!$E$7)-(AL1539-AH1539))/AH1539)))</f>
        <v>1</v>
      </c>
      <c r="AN1539" s="57" t="n">
        <f aca="false">IF(LEFT(Cockpit!$I$5,1)="A",H1539,IF(CA1539=1,CB1539,IF(LEFT(Cockpit!$I$5,1)="B",AR1539,MAX(AR1539,H1539))))</f>
        <v>4</v>
      </c>
      <c r="AO1539" s="57" t="n">
        <f aca="false">IF(BT1539=1,0,ROUNDUP(AN1539/BS1539,0))</f>
        <v>1</v>
      </c>
      <c r="AP1539" s="59" t="n">
        <f aca="false">IF(CH1539&gt;0,CH1539*MAX(1,AN1539/X1539),IF(BT1539=1,IF(AN1539&lt;=0,0,BW1539*MAX(1,IF(H1539&gt;0,AN1539/H1539,1))),IF(R1539&gt;0,AO1539/R1539,0))/MAX(0.1,N(Parameter!$M$21)))</f>
        <v>0.0192307692307692</v>
      </c>
      <c r="AQ1539" s="57" t="n">
        <f aca="false">AN1539*G1539</f>
        <v>571.2</v>
      </c>
      <c r="AR1539" s="57" t="n">
        <f aca="false">ROUNDUP(MAX(J1539/IF(BZ1539&gt;0,BZ1539,MAX(0.1,N(Cockpit!$I$6))),CC1539)/BS1539,0)*BS1539</f>
        <v>4</v>
      </c>
      <c r="AS1539" s="58" t="n">
        <f aca="false">IF(AP1539&gt;0,J1539/AP1539,-1)</f>
        <v>0</v>
      </c>
      <c r="AT1539" s="58" t="n">
        <f aca="false">IF(AND(OR(BY1539="L1",BY1539="L23"),AP1539&gt;0),SUMIFS($AP$7:$AP$1843,$BY$7:$BY$1843,BY1539,$AS$7:$AS$1843,"&gt;"&amp;AS1539)+SUMIFS($AP$7:$AP$1843,$BY$7:$BY$1843,BY1539,$AS$7:$AS$1843,AS1539,$BQ$7:$BQ$1843,"&lt;="&amp;BQ1539),"")</f>
        <v>128.157376439985</v>
      </c>
      <c r="AU1539" s="65" t="n">
        <f aca="false">IF(AT1539="",0,MAX(0,MIN(1,(IF(BY1539="L1",Parameter!$E$5,Parameter!$E$6+Parameter!$E$7)-(AT1539-AP1539))/AP1539)))</f>
        <v>0</v>
      </c>
      <c r="AV1539" s="57" t="n">
        <f aca="false">IF(LEFT(Cockpit!$O$5,1)="A",H1539,IF(CA1539=1,CB1539,IF(LEFT(Cockpit!$O$5,1)="B",AZ1539,MAX(AZ1539,H1539))))</f>
        <v>4</v>
      </c>
      <c r="AW1539" s="57" t="n">
        <f aca="false">IF(BT1539=1,0,ROUNDUP(AV1539/BS1539,0))</f>
        <v>1</v>
      </c>
      <c r="AX1539" s="59" t="n">
        <f aca="false">IF(CH1539&gt;0,CH1539*MAX(1,AV1539/X1539),IF(BT1539=1,IF(AV1539&lt;=0,0,BW1539*MAX(1,IF(H1539&gt;0,AV1539/H1539,1))),IF(R1539&gt;0,AW1539/R1539,0))/MAX(0.1,N(Parameter!$M$21)))</f>
        <v>0.0192307692307692</v>
      </c>
      <c r="AY1539" s="57" t="n">
        <f aca="false">AV1539*G1539</f>
        <v>571.2</v>
      </c>
      <c r="AZ1539" s="57" t="n">
        <f aca="false">ROUNDUP(MAX(J1539/IF(BZ1539&gt;0,BZ1539,MAX(0.1,N(Cockpit!$O$6))),CC1539)/BS1539,0)*BS1539</f>
        <v>4</v>
      </c>
      <c r="BA1539" s="58" t="n">
        <f aca="false">IF(AX1539&gt;0,J1539/AX1539,-1)</f>
        <v>0</v>
      </c>
      <c r="BB1539" s="58" t="n">
        <f aca="false">IF(AND(OR(BY1539="L1",BY1539="L23"),AX1539&gt;0),SUMIFS($AX$7:$AX$1843,$BY$7:$BY$1843,BY1539,$BA$7:$BA$1843,"&gt;"&amp;BA1539)+SUMIFS($AX$7:$AX$1843,$BY$7:$BY$1843,BY1539,$BA$7:$BA$1843,BA1539,$BQ$7:$BQ$1843,"&lt;="&amp;BQ1539),"")</f>
        <v>118.987213269822</v>
      </c>
      <c r="BC1539" s="65" t="n">
        <f aca="false">IF(BB1539="",0,MAX(0,MIN(1,(IF(BY1539="L1",Parameter!$E$5,Parameter!$E$6+Parameter!$E$7)-(BB1539-AX1539))/AX1539)))</f>
        <v>0</v>
      </c>
      <c r="BD1539" s="55" t="str">
        <f aca="false">IF(AH1539&lt;=0,"",IF(BY1539="Aussen","Aussenlager",IF(BY1539="-","Nicht im Lift",IF(AM1539&gt;=1,"Lift",IF(AM1539&lt;=0,"Aussenlager","teilweise")))))</f>
        <v>Lift</v>
      </c>
      <c r="BE1539" s="55" t="str">
        <f aca="false">IF(AP1539&lt;=0,"",IF(BY1539="Aussen","Aussenlager",IF(BY1539="-","Nicht im Lift",IF(AU1539&gt;=1,"Lift",IF(AU1539&lt;=0,"Aussenlager","teilweise")))))</f>
        <v>Aussenlager</v>
      </c>
      <c r="BF1539" s="55" t="str">
        <f aca="false">IF(AX1539&lt;=0,"",IF(BY1539="Aussen","Aussenlager",IF(BY1539="-","Nicht im Lift",IF(BC1539&gt;=1,"Lift",IF(BC1539&lt;=0,"Aussenlager","teilweise")))))</f>
        <v>Aussenlager</v>
      </c>
      <c r="BG1539" s="55" t="str">
        <f aca="false">IF(A1539="","",IF(BP1539=1,"Neu; ","")&amp;IF(AND(BP1539=0,BK1539&lt;0),"negativer Bestand (Export "&amp;BK1539&amp;"); ","")&amp;IF(J1539&lt;=0,"Kein Verbrauch; ","")&amp;IF(CH1539&gt;0,"Lift "&amp;W1539&amp;" lt. Liftbericht (Fach "&amp;X1539&amp;" Stk); ",IF(BU1539=1,"Gebinde geschätzt ("&amp;T1539&amp;"); ",IF(BT1539=1,"Lose – Tablare geschätzt; ","")))&amp;IF(H1539&gt;AR1539,"Überbestand "&amp;ROUND(H1539-AR1539,0)&amp;" Stk / CHF "&amp;ROUND((H1539-AR1539)*G1539,0)&amp;"; ","")&amp;IF(AND(CA1539=1,CB1539&lt;CC1539),"MAX &lt; MB+LG; ","")&amp;IF(AND(CG1539&gt;0,CF1539*10&gt;CG1539),"zu hoch für Tablar; ","")&amp;IF(AND(BP1539=0,OR(CA1539=1,AA1539&lt;&gt;"",U1539&lt;&gt;"",V1539&lt;&gt;"",AB1539&lt;&gt;"")),"manuell übersteuert; ","")&amp;IF(AND(BT1539=0,R1539=0),"Gebinde unbekannt / Stellmass fehlt; ","")&amp;IF(AND(BT1539=0,N(V1539)&lt;=0,N(Q1539)&lt;=0),"Menge pro Gebinde fehlt (Ist = 1 Gebinde); ","")&amp;BO1539)</f>
        <v>Kein Verbrauch; nur im Artikelstamm (Bestand 23.06.2026)</v>
      </c>
      <c r="BH1539" s="55"/>
      <c r="BI1539" s="55"/>
      <c r="BJ1539" s="62"/>
      <c r="BK1539" s="57" t="n">
        <v>4</v>
      </c>
      <c r="BL1539" s="57" t="n">
        <v>0</v>
      </c>
      <c r="BM1539" s="56" t="n">
        <v>0</v>
      </c>
      <c r="BN1539" s="57" t="n">
        <v>0</v>
      </c>
      <c r="BO1539" s="55" t="s">
        <v>2575</v>
      </c>
      <c r="BP1539" s="60" t="n">
        <v>0</v>
      </c>
      <c r="BQ1539" s="60" t="n">
        <v>1539</v>
      </c>
      <c r="BR1539" s="55" t="str">
        <f aca="false">IF(U1539&lt;&gt;"",UPPER(TRIM(U1539)),IF(BU1539=1,UPPER(VLOOKUP(T1539,Parameter!$I$27:$K$29,2,0)),IF(P1539="","LOSE",P1539)))</f>
        <v>S41</v>
      </c>
      <c r="BS1539" s="57" t="n">
        <f aca="false">IF(BR1539="LOSE",1,IF(N(V1539)&gt;0,V1539,IF(BU1539=1,MAX(1,N(VLOOKUP(T1539,Parameter!$I$27:$K$29,3,0)),H1539,N(N1539)),IF(N(Q1539)&gt;0,Q1539,MAX(1,H1539)))))</f>
        <v>4</v>
      </c>
      <c r="BT1539" s="60" t="n">
        <f aca="false">IF(BR1539="LOSE",1,0)</f>
        <v>0</v>
      </c>
      <c r="BU1539" s="60" t="n">
        <f aca="false">IF(AND(U1539="",OR(P1539="",P1539="LOSE"),T1539&lt;&gt;"",N(S1539)&lt;=0,ISNUMBER(MATCH(T1539,Parameter!$I$27:$I$29,0))),1,0)</f>
        <v>0</v>
      </c>
      <c r="BV1539" s="55" t="str">
        <f aca="false">IF(AND(Parameter!$B$19="Ja",E1539&lt;&gt;"",ISNUMBER(MATCH(E1539,Parameter!$I$35:$I$52,0))),VLOOKUP(E1539,Parameter!$I$35:$J$52,2,0),IFERROR(VLOOKUP(D1539,Parameter!$A$35:$C$64,2,0),"Nein"))</f>
        <v>2+3</v>
      </c>
      <c r="BW1539" s="59" t="n">
        <f aca="false">IF(BT1539=0,0,IF(N(S1539)&gt;0,S1539,IFERROR(VLOOKUP(D1539,Parameter!$A$35:$C$64,3,0)+0,0)))</f>
        <v>0</v>
      </c>
      <c r="BX1539" s="55" t="n">
        <f aca="false">IF(AA1539&lt;&gt;"",AA1539,Z1539)</f>
        <v>3</v>
      </c>
      <c r="BY1539" s="55" t="str">
        <f aca="false">IF(BX1539=1,"L1",IF(OR(BX1539=2,BX1539=3),"L23",IF(BX1539="Aussen","Aussen","-")))</f>
        <v>L23</v>
      </c>
      <c r="BZ1539" s="66" t="n">
        <f aca="false">IF(N(AB1539)&gt;0,AB1539,0)</f>
        <v>0</v>
      </c>
      <c r="CA1539" s="60" t="n">
        <f aca="false">IF(ISNUMBER(AE1539),1,0)</f>
        <v>0</v>
      </c>
      <c r="CB1539" s="57" t="n">
        <f aca="false">N(AE1539)</f>
        <v>0</v>
      </c>
      <c r="CC1539" s="57" t="n">
        <f aca="false">N(M1539)+N(N1539)</f>
        <v>2</v>
      </c>
      <c r="CD1539" s="57" t="n">
        <f aca="false">ROUNDUP(H1539/BS1539,0)</f>
        <v>1</v>
      </c>
      <c r="CE1539" s="57" t="n">
        <f aca="false">ROUNDUP(CB1539/BS1539,0)</f>
        <v>0</v>
      </c>
      <c r="CF1539" s="60" t="n">
        <f aca="false">IF(BT1539=1,0,IFERROR(VLOOKUP(BR1539,'Gebinde-Kategorie'!$A$5:$M$45,5,0)+0,0))</f>
        <v>11</v>
      </c>
      <c r="CG1539" s="60" t="n">
        <f aca="false">IFERROR(IF(OR(BX1539=1,BX1539=2,BX1539=3),N(INDEX(Parameter!$I$5:$I$7,BX1539)),0),0)</f>
        <v>0</v>
      </c>
      <c r="CH1539" s="59" t="n">
        <f aca="false">IF(AND(Parameter!$B$21="Ja",ISNUMBER(W1539),N(X1539)&gt;0),IFERROR(N(INDEX(Parameter!$L$5:$L$7,W1539))*INDEX(Parameter!$E$5:$E$7,W1539)*X1539/SUMIFS($X$7:$X$1843,$W$7:$W$1843,W1539),0),0)</f>
        <v>0</v>
      </c>
    </row>
    <row r="1540" customFormat="false" ht="15" hidden="false" customHeight="false" outlineLevel="0" collapsed="false">
      <c r="A1540" s="55" t="s">
        <v>2691</v>
      </c>
      <c r="B1540" s="55" t="s">
        <v>2692</v>
      </c>
      <c r="C1540" s="55" t="s">
        <v>164</v>
      </c>
      <c r="D1540" s="55" t="s">
        <v>184</v>
      </c>
      <c r="E1540" s="55" t="s">
        <v>185</v>
      </c>
      <c r="F1540" s="55"/>
      <c r="G1540" s="56" t="n">
        <v>94.81</v>
      </c>
      <c r="H1540" s="57" t="n">
        <f aca="false">MAX(0,IF(AND(Parameter!$B$21="Ja",ISNUMBER(Y1540)),Y1540,IF(Parameter!$B$20="Jahresanfang 2025 + Export",BL1540+BK1540,BK1540)))</f>
        <v>4</v>
      </c>
      <c r="I1540" s="57" t="n">
        <f aca="false">H1540*G1540</f>
        <v>379.24</v>
      </c>
      <c r="J1540" s="57" t="n">
        <f aca="false">BN1540*Parameter!$B$18</f>
        <v>0</v>
      </c>
      <c r="K1540" s="58"/>
      <c r="L1540" s="59"/>
      <c r="M1540" s="57" t="n">
        <v>0</v>
      </c>
      <c r="N1540" s="57" t="n">
        <v>2</v>
      </c>
      <c r="O1540" s="60" t="n">
        <v>91</v>
      </c>
      <c r="P1540" s="55" t="s">
        <v>328</v>
      </c>
      <c r="Q1540" s="57" t="n">
        <v>4</v>
      </c>
      <c r="R1540" s="60" t="n">
        <f aca="false">IF(BT1540=1,0,IFERROR(VLOOKUP(BR1540,'Gebinde-Kategorie'!$A$5:$M$45,13,0)+0,0))</f>
        <v>52</v>
      </c>
      <c r="S1540" s="61"/>
      <c r="T1540" s="62"/>
      <c r="U1540" s="62"/>
      <c r="V1540" s="62"/>
      <c r="W1540" s="55"/>
      <c r="X1540" s="57"/>
      <c r="Y1540" s="57"/>
      <c r="Z1540" s="55" t="n">
        <f aca="false">IF(A1540="","",IF(AND(Parameter!$B$21="Ja",ISNUMBER(W1540)),W1540,IF(BV1540="2+3",IF(ISNUMBER(SEARCH("grosser Artikel",BO1540)),2,IFERROR(VLOOKUP(BR1540,Parameter!$F$35:$G$64,2,0),2)),IF(OR(BV1540="Nein",BV1540=""),"-",BV1540))))</f>
        <v>3</v>
      </c>
      <c r="AA1540" s="62"/>
      <c r="AB1540" s="63"/>
      <c r="AC1540" s="57" t="n">
        <f aca="false">AR1540</f>
        <v>4</v>
      </c>
      <c r="AD1540" s="57" t="n">
        <f aca="false">MAX(AR1540,H1540)</f>
        <v>4</v>
      </c>
      <c r="AE1540" s="64"/>
      <c r="AF1540" s="57" t="n">
        <f aca="false">IF(LEFT(Cockpit!$C$5,1)="A",H1540,IF(CA1540=1,CB1540,IF(LEFT(Cockpit!$C$5,1)="B",AJ1540,MAX(AJ1540,H1540))))</f>
        <v>4</v>
      </c>
      <c r="AG1540" s="57" t="n">
        <f aca="false">IF(BT1540=1,0,ROUNDUP(AF1540/BS1540,0))</f>
        <v>1</v>
      </c>
      <c r="AH1540" s="59" t="n">
        <f aca="false">IF(CH1540&gt;0,CH1540*MAX(1,AF1540/X1540),IF(BT1540=1,IF(AF1540&lt;=0,0,BW1540*MAX(1,IF(H1540&gt;0,AF1540/H1540,1))),IF(R1540&gt;0,AG1540/R1540,0))/MAX(0.1,N(Parameter!$M$21)))</f>
        <v>0.0192307692307692</v>
      </c>
      <c r="AI1540" s="57" t="n">
        <f aca="false">AF1540*G1540</f>
        <v>379.24</v>
      </c>
      <c r="AJ1540" s="57" t="n">
        <f aca="false">ROUNDUP(MAX(J1540/IF(BZ1540&gt;0,BZ1540,MAX(0.1,N(Cockpit!$C$6))),CC1540)/BS1540,0)*BS1540</f>
        <v>4</v>
      </c>
      <c r="AK1540" s="58" t="n">
        <f aca="false">IF(AH1540&gt;0,J1540/AH1540,-1)</f>
        <v>0</v>
      </c>
      <c r="AL1540" s="58" t="n">
        <f aca="false">IF(AND(OR(BY1540="L1",BY1540="L23"),AH1540&gt;0),SUMIFS($AH$7:$AH$1843,$BY$7:$BY$1843,BY1540,$AK$7:$AK$1843,"&gt;"&amp;AK1540)+SUMIFS($AH$7:$AH$1843,$BY$7:$BY$1843,BY1540,$AK$7:$AK$1843,AK1540,$BQ$7:$BQ$1843,"&lt;="&amp;BQ1540),"")</f>
        <v>83.008969291578</v>
      </c>
      <c r="AM1540" s="65" t="n">
        <f aca="false">IF(AL1540="",0,MAX(0,MIN(1,(IF(BY1540="L1",Parameter!$E$5,Parameter!$E$6+Parameter!$E$7)-(AL1540-AH1540))/AH1540)))</f>
        <v>1</v>
      </c>
      <c r="AN1540" s="57" t="n">
        <f aca="false">IF(LEFT(Cockpit!$I$5,1)="A",H1540,IF(CA1540=1,CB1540,IF(LEFT(Cockpit!$I$5,1)="B",AR1540,MAX(AR1540,H1540))))</f>
        <v>4</v>
      </c>
      <c r="AO1540" s="57" t="n">
        <f aca="false">IF(BT1540=1,0,ROUNDUP(AN1540/BS1540,0))</f>
        <v>1</v>
      </c>
      <c r="AP1540" s="59" t="n">
        <f aca="false">IF(CH1540&gt;0,CH1540*MAX(1,AN1540/X1540),IF(BT1540=1,IF(AN1540&lt;=0,0,BW1540*MAX(1,IF(H1540&gt;0,AN1540/H1540,1))),IF(R1540&gt;0,AO1540/R1540,0))/MAX(0.1,N(Parameter!$M$21)))</f>
        <v>0.0192307692307692</v>
      </c>
      <c r="AQ1540" s="57" t="n">
        <f aca="false">AN1540*G1540</f>
        <v>379.24</v>
      </c>
      <c r="AR1540" s="57" t="n">
        <f aca="false">ROUNDUP(MAX(J1540/IF(BZ1540&gt;0,BZ1540,MAX(0.1,N(Cockpit!$I$6))),CC1540)/BS1540,0)*BS1540</f>
        <v>4</v>
      </c>
      <c r="AS1540" s="58" t="n">
        <f aca="false">IF(AP1540&gt;0,J1540/AP1540,-1)</f>
        <v>0</v>
      </c>
      <c r="AT1540" s="58" t="n">
        <f aca="false">IF(AND(OR(BY1540="L1",BY1540="L23"),AP1540&gt;0),SUMIFS($AP$7:$AP$1843,$BY$7:$BY$1843,BY1540,$AS$7:$AS$1843,"&gt;"&amp;AS1540)+SUMIFS($AP$7:$AP$1843,$BY$7:$BY$1843,BY1540,$AS$7:$AS$1843,AS1540,$BQ$7:$BQ$1843,"&lt;="&amp;BQ1540),"")</f>
        <v>128.176607209216</v>
      </c>
      <c r="AU1540" s="65" t="n">
        <f aca="false">IF(AT1540="",0,MAX(0,MIN(1,(IF(BY1540="L1",Parameter!$E$5,Parameter!$E$6+Parameter!$E$7)-(AT1540-AP1540))/AP1540)))</f>
        <v>0</v>
      </c>
      <c r="AV1540" s="57" t="n">
        <f aca="false">IF(LEFT(Cockpit!$O$5,1)="A",H1540,IF(CA1540=1,CB1540,IF(LEFT(Cockpit!$O$5,1)="B",AZ1540,MAX(AZ1540,H1540))))</f>
        <v>4</v>
      </c>
      <c r="AW1540" s="57" t="n">
        <f aca="false">IF(BT1540=1,0,ROUNDUP(AV1540/BS1540,0))</f>
        <v>1</v>
      </c>
      <c r="AX1540" s="59" t="n">
        <f aca="false">IF(CH1540&gt;0,CH1540*MAX(1,AV1540/X1540),IF(BT1540=1,IF(AV1540&lt;=0,0,BW1540*MAX(1,IF(H1540&gt;0,AV1540/H1540,1))),IF(R1540&gt;0,AW1540/R1540,0))/MAX(0.1,N(Parameter!$M$21)))</f>
        <v>0.0192307692307692</v>
      </c>
      <c r="AY1540" s="57" t="n">
        <f aca="false">AV1540*G1540</f>
        <v>379.24</v>
      </c>
      <c r="AZ1540" s="57" t="n">
        <f aca="false">ROUNDUP(MAX(J1540/IF(BZ1540&gt;0,BZ1540,MAX(0.1,N(Cockpit!$O$6))),CC1540)/BS1540,0)*BS1540</f>
        <v>4</v>
      </c>
      <c r="BA1540" s="58" t="n">
        <f aca="false">IF(AX1540&gt;0,J1540/AX1540,-1)</f>
        <v>0</v>
      </c>
      <c r="BB1540" s="58" t="n">
        <f aca="false">IF(AND(OR(BY1540="L1",BY1540="L23"),AX1540&gt;0),SUMIFS($AX$7:$AX$1843,$BY$7:$BY$1843,BY1540,$BA$7:$BA$1843,"&gt;"&amp;BA1540)+SUMIFS($AX$7:$AX$1843,$BY$7:$BY$1843,BY1540,$BA$7:$BA$1843,BA1540,$BQ$7:$BQ$1843,"&lt;="&amp;BQ1540),"")</f>
        <v>119.006444039053</v>
      </c>
      <c r="BC1540" s="65" t="n">
        <f aca="false">IF(BB1540="",0,MAX(0,MIN(1,(IF(BY1540="L1",Parameter!$E$5,Parameter!$E$6+Parameter!$E$7)-(BB1540-AX1540))/AX1540)))</f>
        <v>0</v>
      </c>
      <c r="BD1540" s="55" t="str">
        <f aca="false">IF(AH1540&lt;=0,"",IF(BY1540="Aussen","Aussenlager",IF(BY1540="-","Nicht im Lift",IF(AM1540&gt;=1,"Lift",IF(AM1540&lt;=0,"Aussenlager","teilweise")))))</f>
        <v>Lift</v>
      </c>
      <c r="BE1540" s="55" t="str">
        <f aca="false">IF(AP1540&lt;=0,"",IF(BY1540="Aussen","Aussenlager",IF(BY1540="-","Nicht im Lift",IF(AU1540&gt;=1,"Lift",IF(AU1540&lt;=0,"Aussenlager","teilweise")))))</f>
        <v>Aussenlager</v>
      </c>
      <c r="BF1540" s="55" t="str">
        <f aca="false">IF(AX1540&lt;=0,"",IF(BY1540="Aussen","Aussenlager",IF(BY1540="-","Nicht im Lift",IF(BC1540&gt;=1,"Lift",IF(BC1540&lt;=0,"Aussenlager","teilweise")))))</f>
        <v>Aussenlager</v>
      </c>
      <c r="BG1540" s="55" t="str">
        <f aca="false">IF(A1540="","",IF(BP1540=1,"Neu; ","")&amp;IF(AND(BP1540=0,BK1540&lt;0),"negativer Bestand (Export "&amp;BK1540&amp;"); ","")&amp;IF(J1540&lt;=0,"Kein Verbrauch; ","")&amp;IF(CH1540&gt;0,"Lift "&amp;W1540&amp;" lt. Liftbericht (Fach "&amp;X1540&amp;" Stk); ",IF(BU1540=1,"Gebinde geschätzt ("&amp;T1540&amp;"); ",IF(BT1540=1,"Lose – Tablare geschätzt; ","")))&amp;IF(H1540&gt;AR1540,"Überbestand "&amp;ROUND(H1540-AR1540,0)&amp;" Stk / CHF "&amp;ROUND((H1540-AR1540)*G1540,0)&amp;"; ","")&amp;IF(AND(CA1540=1,CB1540&lt;CC1540),"MAX &lt; MB+LG; ","")&amp;IF(AND(CG1540&gt;0,CF1540*10&gt;CG1540),"zu hoch für Tablar; ","")&amp;IF(AND(BP1540=0,OR(CA1540=1,AA1540&lt;&gt;"",U1540&lt;&gt;"",V1540&lt;&gt;"",AB1540&lt;&gt;"")),"manuell übersteuert; ","")&amp;IF(AND(BT1540=0,R1540=0),"Gebinde unbekannt / Stellmass fehlt; ","")&amp;IF(AND(BT1540=0,N(V1540)&lt;=0,N(Q1540)&lt;=0),"Menge pro Gebinde fehlt (Ist = 1 Gebinde); ","")&amp;BO1540)</f>
        <v>Kein Verbrauch; nur im Artikelstamm (Bestand 23.06.2026); Neu</v>
      </c>
      <c r="BH1540" s="55"/>
      <c r="BI1540" s="55"/>
      <c r="BJ1540" s="62"/>
      <c r="BK1540" s="57" t="n">
        <v>4</v>
      </c>
      <c r="BL1540" s="57" t="n">
        <v>0</v>
      </c>
      <c r="BM1540" s="56" t="n">
        <v>0</v>
      </c>
      <c r="BN1540" s="57" t="n">
        <v>0</v>
      </c>
      <c r="BO1540" s="55" t="s">
        <v>2667</v>
      </c>
      <c r="BP1540" s="60" t="n">
        <v>0</v>
      </c>
      <c r="BQ1540" s="60" t="n">
        <v>1540</v>
      </c>
      <c r="BR1540" s="55" t="str">
        <f aca="false">IF(U1540&lt;&gt;"",UPPER(TRIM(U1540)),IF(BU1540=1,UPPER(VLOOKUP(T1540,Parameter!$I$27:$K$29,2,0)),IF(P1540="","LOSE",P1540)))</f>
        <v>S41</v>
      </c>
      <c r="BS1540" s="57" t="n">
        <f aca="false">IF(BR1540="LOSE",1,IF(N(V1540)&gt;0,V1540,IF(BU1540=1,MAX(1,N(VLOOKUP(T1540,Parameter!$I$27:$K$29,3,0)),H1540,N(N1540)),IF(N(Q1540)&gt;0,Q1540,MAX(1,H1540)))))</f>
        <v>4</v>
      </c>
      <c r="BT1540" s="60" t="n">
        <f aca="false">IF(BR1540="LOSE",1,0)</f>
        <v>0</v>
      </c>
      <c r="BU1540" s="60" t="n">
        <f aca="false">IF(AND(U1540="",OR(P1540="",P1540="LOSE"),T1540&lt;&gt;"",N(S1540)&lt;=0,ISNUMBER(MATCH(T1540,Parameter!$I$27:$I$29,0))),1,0)</f>
        <v>0</v>
      </c>
      <c r="BV1540" s="55" t="str">
        <f aca="false">IF(AND(Parameter!$B$19="Ja",E1540&lt;&gt;"",ISNUMBER(MATCH(E1540,Parameter!$I$35:$I$52,0))),VLOOKUP(E1540,Parameter!$I$35:$J$52,2,0),IFERROR(VLOOKUP(D1540,Parameter!$A$35:$C$64,2,0),"Nein"))</f>
        <v>2+3</v>
      </c>
      <c r="BW1540" s="59" t="n">
        <f aca="false">IF(BT1540=0,0,IF(N(S1540)&gt;0,S1540,IFERROR(VLOOKUP(D1540,Parameter!$A$35:$C$64,3,0)+0,0)))</f>
        <v>0</v>
      </c>
      <c r="BX1540" s="55" t="n">
        <f aca="false">IF(AA1540&lt;&gt;"",AA1540,Z1540)</f>
        <v>3</v>
      </c>
      <c r="BY1540" s="55" t="str">
        <f aca="false">IF(BX1540=1,"L1",IF(OR(BX1540=2,BX1540=3),"L23",IF(BX1540="Aussen","Aussen","-")))</f>
        <v>L23</v>
      </c>
      <c r="BZ1540" s="66" t="n">
        <f aca="false">IF(N(AB1540)&gt;0,AB1540,0)</f>
        <v>0</v>
      </c>
      <c r="CA1540" s="60" t="n">
        <f aca="false">IF(ISNUMBER(AE1540),1,0)</f>
        <v>0</v>
      </c>
      <c r="CB1540" s="57" t="n">
        <f aca="false">N(AE1540)</f>
        <v>0</v>
      </c>
      <c r="CC1540" s="57" t="n">
        <f aca="false">N(M1540)+N(N1540)</f>
        <v>2</v>
      </c>
      <c r="CD1540" s="57" t="n">
        <f aca="false">ROUNDUP(H1540/BS1540,0)</f>
        <v>1</v>
      </c>
      <c r="CE1540" s="57" t="n">
        <f aca="false">ROUNDUP(CB1540/BS1540,0)</f>
        <v>0</v>
      </c>
      <c r="CF1540" s="60" t="n">
        <f aca="false">IF(BT1540=1,0,IFERROR(VLOOKUP(BR1540,'Gebinde-Kategorie'!$A$5:$M$45,5,0)+0,0))</f>
        <v>11</v>
      </c>
      <c r="CG1540" s="60" t="n">
        <f aca="false">IFERROR(IF(OR(BX1540=1,BX1540=2,BX1540=3),N(INDEX(Parameter!$I$5:$I$7,BX1540)),0),0)</f>
        <v>0</v>
      </c>
      <c r="CH1540" s="59" t="n">
        <f aca="false">IF(AND(Parameter!$B$21="Ja",ISNUMBER(W1540),N(X1540)&gt;0),IFERROR(N(INDEX(Parameter!$L$5:$L$7,W1540))*INDEX(Parameter!$E$5:$E$7,W1540)*X1540/SUMIFS($X$7:$X$1843,$W$7:$W$1843,W1540),0),0)</f>
        <v>0</v>
      </c>
    </row>
    <row r="1541" customFormat="false" ht="15" hidden="false" customHeight="false" outlineLevel="0" collapsed="false">
      <c r="A1541" s="55" t="s">
        <v>2693</v>
      </c>
      <c r="B1541" s="55" t="s">
        <v>2694</v>
      </c>
      <c r="C1541" s="55" t="s">
        <v>164</v>
      </c>
      <c r="D1541" s="55" t="s">
        <v>184</v>
      </c>
      <c r="E1541" s="55" t="s">
        <v>185</v>
      </c>
      <c r="F1541" s="55"/>
      <c r="G1541" s="56" t="n">
        <v>31</v>
      </c>
      <c r="H1541" s="57" t="n">
        <f aca="false">MAX(0,IF(AND(Parameter!$B$21="Ja",ISNUMBER(Y1541)),Y1541,IF(Parameter!$B$20="Jahresanfang 2025 + Export",BL1541+BK1541,BK1541)))</f>
        <v>6</v>
      </c>
      <c r="I1541" s="57" t="n">
        <f aca="false">H1541*G1541</f>
        <v>186</v>
      </c>
      <c r="J1541" s="57" t="n">
        <f aca="false">BN1541*Parameter!$B$18</f>
        <v>0</v>
      </c>
      <c r="K1541" s="58"/>
      <c r="L1541" s="59"/>
      <c r="M1541" s="57" t="n">
        <v>0</v>
      </c>
      <c r="N1541" s="57" t="n">
        <v>9</v>
      </c>
      <c r="O1541" s="60" t="n">
        <v>35</v>
      </c>
      <c r="P1541" s="55" t="s">
        <v>421</v>
      </c>
      <c r="Q1541" s="57" t="n">
        <v>6</v>
      </c>
      <c r="R1541" s="60" t="n">
        <f aca="false">IF(BT1541=1,0,IFERROR(VLOOKUP(BR1541,'Gebinde-Kategorie'!$A$5:$M$45,13,0)+0,0))</f>
        <v>132</v>
      </c>
      <c r="S1541" s="61"/>
      <c r="T1541" s="62"/>
      <c r="U1541" s="62"/>
      <c r="V1541" s="62"/>
      <c r="W1541" s="55"/>
      <c r="X1541" s="57"/>
      <c r="Y1541" s="57"/>
      <c r="Z1541" s="55" t="n">
        <f aca="false">IF(A1541="","",IF(AND(Parameter!$B$21="Ja",ISNUMBER(W1541)),W1541,IF(BV1541="2+3",IF(ISNUMBER(SEARCH("grosser Artikel",BO1541)),2,IFERROR(VLOOKUP(BR1541,Parameter!$F$35:$G$64,2,0),2)),IF(OR(BV1541="Nein",BV1541=""),"-",BV1541))))</f>
        <v>3</v>
      </c>
      <c r="AA1541" s="62"/>
      <c r="AB1541" s="63"/>
      <c r="AC1541" s="57" t="n">
        <f aca="false">AR1541</f>
        <v>12</v>
      </c>
      <c r="AD1541" s="57" t="n">
        <f aca="false">MAX(AR1541,H1541)</f>
        <v>12</v>
      </c>
      <c r="AE1541" s="64"/>
      <c r="AF1541" s="57" t="n">
        <f aca="false">IF(LEFT(Cockpit!$C$5,1)="A",H1541,IF(CA1541=1,CB1541,IF(LEFT(Cockpit!$C$5,1)="B",AJ1541,MAX(AJ1541,H1541))))</f>
        <v>6</v>
      </c>
      <c r="AG1541" s="57" t="n">
        <f aca="false">IF(BT1541=1,0,ROUNDUP(AF1541/BS1541,0))</f>
        <v>1</v>
      </c>
      <c r="AH1541" s="59" t="n">
        <f aca="false">IF(CH1541&gt;0,CH1541*MAX(1,AF1541/X1541),IF(BT1541=1,IF(AF1541&lt;=0,0,BW1541*MAX(1,IF(H1541&gt;0,AF1541/H1541,1))),IF(R1541&gt;0,AG1541/R1541,0))/MAX(0.1,N(Parameter!$M$21)))</f>
        <v>0.00757575757575758</v>
      </c>
      <c r="AI1541" s="57" t="n">
        <f aca="false">AF1541*G1541</f>
        <v>186</v>
      </c>
      <c r="AJ1541" s="57" t="n">
        <f aca="false">ROUNDUP(MAX(J1541/IF(BZ1541&gt;0,BZ1541,MAX(0.1,N(Cockpit!$C$6))),CC1541)/BS1541,0)*BS1541</f>
        <v>12</v>
      </c>
      <c r="AK1541" s="58" t="n">
        <f aca="false">IF(AH1541&gt;0,J1541/AH1541,-1)</f>
        <v>0</v>
      </c>
      <c r="AL1541" s="58" t="n">
        <f aca="false">IF(AND(OR(BY1541="L1",BY1541="L23"),AH1541&gt;0),SUMIFS($AH$7:$AH$1843,$BY$7:$BY$1843,BY1541,$AK$7:$AK$1843,"&gt;"&amp;AK1541)+SUMIFS($AH$7:$AH$1843,$BY$7:$BY$1843,BY1541,$AK$7:$AK$1843,AK1541,$BQ$7:$BQ$1843,"&lt;="&amp;BQ1541),"")</f>
        <v>83.0165450491538</v>
      </c>
      <c r="AM1541" s="65" t="n">
        <f aca="false">IF(AL1541="",0,MAX(0,MIN(1,(IF(BY1541="L1",Parameter!$E$5,Parameter!$E$6+Parameter!$E$7)-(AL1541-AH1541))/AH1541)))</f>
        <v>1</v>
      </c>
      <c r="AN1541" s="57" t="n">
        <f aca="false">IF(LEFT(Cockpit!$I$5,1)="A",H1541,IF(CA1541=1,CB1541,IF(LEFT(Cockpit!$I$5,1)="B",AR1541,MAX(AR1541,H1541))))</f>
        <v>12</v>
      </c>
      <c r="AO1541" s="57" t="n">
        <f aca="false">IF(BT1541=1,0,ROUNDUP(AN1541/BS1541,0))</f>
        <v>2</v>
      </c>
      <c r="AP1541" s="59" t="n">
        <f aca="false">IF(CH1541&gt;0,CH1541*MAX(1,AN1541/X1541),IF(BT1541=1,IF(AN1541&lt;=0,0,BW1541*MAX(1,IF(H1541&gt;0,AN1541/H1541,1))),IF(R1541&gt;0,AO1541/R1541,0))/MAX(0.1,N(Parameter!$M$21)))</f>
        <v>0.0151515151515152</v>
      </c>
      <c r="AQ1541" s="57" t="n">
        <f aca="false">AN1541*G1541</f>
        <v>372</v>
      </c>
      <c r="AR1541" s="57" t="n">
        <f aca="false">ROUNDUP(MAX(J1541/IF(BZ1541&gt;0,BZ1541,MAX(0.1,N(Cockpit!$I$6))),CC1541)/BS1541,0)*BS1541</f>
        <v>12</v>
      </c>
      <c r="AS1541" s="58" t="n">
        <f aca="false">IF(AP1541&gt;0,J1541/AP1541,-1)</f>
        <v>0</v>
      </c>
      <c r="AT1541" s="58" t="n">
        <f aca="false">IF(AND(OR(BY1541="L1",BY1541="L23"),AP1541&gt;0),SUMIFS($AP$7:$AP$1843,$BY$7:$BY$1843,BY1541,$AS$7:$AS$1843,"&gt;"&amp;AS1541)+SUMIFS($AP$7:$AP$1843,$BY$7:$BY$1843,BY1541,$AS$7:$AS$1843,AS1541,$BQ$7:$BQ$1843,"&lt;="&amp;BQ1541),"")</f>
        <v>128.191758724367</v>
      </c>
      <c r="AU1541" s="65" t="n">
        <f aca="false">IF(AT1541="",0,MAX(0,MIN(1,(IF(BY1541="L1",Parameter!$E$5,Parameter!$E$6+Parameter!$E$7)-(AT1541-AP1541))/AP1541)))</f>
        <v>0</v>
      </c>
      <c r="AV1541" s="57" t="n">
        <f aca="false">IF(LEFT(Cockpit!$O$5,1)="A",H1541,IF(CA1541=1,CB1541,IF(LEFT(Cockpit!$O$5,1)="B",AZ1541,MAX(AZ1541,H1541))))</f>
        <v>12</v>
      </c>
      <c r="AW1541" s="57" t="n">
        <f aca="false">IF(BT1541=1,0,ROUNDUP(AV1541/BS1541,0))</f>
        <v>2</v>
      </c>
      <c r="AX1541" s="59" t="n">
        <f aca="false">IF(CH1541&gt;0,CH1541*MAX(1,AV1541/X1541),IF(BT1541=1,IF(AV1541&lt;=0,0,BW1541*MAX(1,IF(H1541&gt;0,AV1541/H1541,1))),IF(R1541&gt;0,AW1541/R1541,0))/MAX(0.1,N(Parameter!$M$21)))</f>
        <v>0.0151515151515152</v>
      </c>
      <c r="AY1541" s="57" t="n">
        <f aca="false">AV1541*G1541</f>
        <v>372</v>
      </c>
      <c r="AZ1541" s="57" t="n">
        <f aca="false">ROUNDUP(MAX(J1541/IF(BZ1541&gt;0,BZ1541,MAX(0.1,N(Cockpit!$O$6))),CC1541)/BS1541,0)*BS1541</f>
        <v>12</v>
      </c>
      <c r="BA1541" s="58" t="n">
        <f aca="false">IF(AX1541&gt;0,J1541/AX1541,-1)</f>
        <v>0</v>
      </c>
      <c r="BB1541" s="58" t="n">
        <f aca="false">IF(AND(OR(BY1541="L1",BY1541="L23"),AX1541&gt;0),SUMIFS($AX$7:$AX$1843,$BY$7:$BY$1843,BY1541,$BA$7:$BA$1843,"&gt;"&amp;BA1541)+SUMIFS($AX$7:$AX$1843,$BY$7:$BY$1843,BY1541,$BA$7:$BA$1843,BA1541,$BQ$7:$BQ$1843,"&lt;="&amp;BQ1541),"")</f>
        <v>119.021595554204</v>
      </c>
      <c r="BC1541" s="65" t="n">
        <f aca="false">IF(BB1541="",0,MAX(0,MIN(1,(IF(BY1541="L1",Parameter!$E$5,Parameter!$E$6+Parameter!$E$7)-(BB1541-AX1541))/AX1541)))</f>
        <v>0</v>
      </c>
      <c r="BD1541" s="55" t="str">
        <f aca="false">IF(AH1541&lt;=0,"",IF(BY1541="Aussen","Aussenlager",IF(BY1541="-","Nicht im Lift",IF(AM1541&gt;=1,"Lift",IF(AM1541&lt;=0,"Aussenlager","teilweise")))))</f>
        <v>Lift</v>
      </c>
      <c r="BE1541" s="55" t="str">
        <f aca="false">IF(AP1541&lt;=0,"",IF(BY1541="Aussen","Aussenlager",IF(BY1541="-","Nicht im Lift",IF(AU1541&gt;=1,"Lift",IF(AU1541&lt;=0,"Aussenlager","teilweise")))))</f>
        <v>Aussenlager</v>
      </c>
      <c r="BF1541" s="55" t="str">
        <f aca="false">IF(AX1541&lt;=0,"",IF(BY1541="Aussen","Aussenlager",IF(BY1541="-","Nicht im Lift",IF(BC1541&gt;=1,"Lift",IF(BC1541&lt;=0,"Aussenlager","teilweise")))))</f>
        <v>Aussenlager</v>
      </c>
      <c r="BG1541" s="55" t="str">
        <f aca="false">IF(A1541="","",IF(BP1541=1,"Neu; ","")&amp;IF(AND(BP1541=0,BK1541&lt;0),"negativer Bestand (Export "&amp;BK1541&amp;"); ","")&amp;IF(J1541&lt;=0,"Kein Verbrauch; ","")&amp;IF(CH1541&gt;0,"Lift "&amp;W1541&amp;" lt. Liftbericht (Fach "&amp;X1541&amp;" Stk); ",IF(BU1541=1,"Gebinde geschätzt ("&amp;T1541&amp;"); ",IF(BT1541=1,"Lose – Tablare geschätzt; ","")))&amp;IF(H1541&gt;AR1541,"Überbestand "&amp;ROUND(H1541-AR1541,0)&amp;" Stk / CHF "&amp;ROUND((H1541-AR1541)*G1541,0)&amp;"; ","")&amp;IF(AND(CA1541=1,CB1541&lt;CC1541),"MAX &lt; MB+LG; ","")&amp;IF(AND(CG1541&gt;0,CF1541*10&gt;CG1541),"zu hoch für Tablar; ","")&amp;IF(AND(BP1541=0,OR(CA1541=1,AA1541&lt;&gt;"",U1541&lt;&gt;"",V1541&lt;&gt;"",AB1541&lt;&gt;"")),"manuell übersteuert; ","")&amp;IF(AND(BT1541=0,R1541=0),"Gebinde unbekannt / Stellmass fehlt; ","")&amp;IF(AND(BT1541=0,N(V1541)&lt;=0,N(Q1541)&lt;=0),"Menge pro Gebinde fehlt (Ist = 1 Gebinde); ","")&amp;BO1541)</f>
        <v>Kein Verbrauch; nur im Artikelstamm (Bestand 23.06.2026)</v>
      </c>
      <c r="BH1541" s="55"/>
      <c r="BI1541" s="55"/>
      <c r="BJ1541" s="62"/>
      <c r="BK1541" s="57" t="n">
        <v>6</v>
      </c>
      <c r="BL1541" s="57" t="n">
        <v>0</v>
      </c>
      <c r="BM1541" s="56" t="n">
        <v>0</v>
      </c>
      <c r="BN1541" s="57" t="n">
        <v>0</v>
      </c>
      <c r="BO1541" s="55" t="s">
        <v>2575</v>
      </c>
      <c r="BP1541" s="60" t="n">
        <v>0</v>
      </c>
      <c r="BQ1541" s="60" t="n">
        <v>1541</v>
      </c>
      <c r="BR1541" s="55" t="str">
        <f aca="false">IF(U1541&lt;&gt;"",UPPER(TRIM(U1541)),IF(BU1541=1,UPPER(VLOOKUP(T1541,Parameter!$I$27:$K$29,2,0)),IF(P1541="","LOSE",P1541)))</f>
        <v>S32</v>
      </c>
      <c r="BS1541" s="57" t="n">
        <f aca="false">IF(BR1541="LOSE",1,IF(N(V1541)&gt;0,V1541,IF(BU1541=1,MAX(1,N(VLOOKUP(T1541,Parameter!$I$27:$K$29,3,0)),H1541,N(N1541)),IF(N(Q1541)&gt;0,Q1541,MAX(1,H1541)))))</f>
        <v>6</v>
      </c>
      <c r="BT1541" s="60" t="n">
        <f aca="false">IF(BR1541="LOSE",1,0)</f>
        <v>0</v>
      </c>
      <c r="BU1541" s="60" t="n">
        <f aca="false">IF(AND(U1541="",OR(P1541="",P1541="LOSE"),T1541&lt;&gt;"",N(S1541)&lt;=0,ISNUMBER(MATCH(T1541,Parameter!$I$27:$I$29,0))),1,0)</f>
        <v>0</v>
      </c>
      <c r="BV1541" s="55" t="str">
        <f aca="false">IF(AND(Parameter!$B$19="Ja",E1541&lt;&gt;"",ISNUMBER(MATCH(E1541,Parameter!$I$35:$I$52,0))),VLOOKUP(E1541,Parameter!$I$35:$J$52,2,0),IFERROR(VLOOKUP(D1541,Parameter!$A$35:$C$64,2,0),"Nein"))</f>
        <v>2+3</v>
      </c>
      <c r="BW1541" s="59" t="n">
        <f aca="false">IF(BT1541=0,0,IF(N(S1541)&gt;0,S1541,IFERROR(VLOOKUP(D1541,Parameter!$A$35:$C$64,3,0)+0,0)))</f>
        <v>0</v>
      </c>
      <c r="BX1541" s="55" t="n">
        <f aca="false">IF(AA1541&lt;&gt;"",AA1541,Z1541)</f>
        <v>3</v>
      </c>
      <c r="BY1541" s="55" t="str">
        <f aca="false">IF(BX1541=1,"L1",IF(OR(BX1541=2,BX1541=3),"L23",IF(BX1541="Aussen","Aussen","-")))</f>
        <v>L23</v>
      </c>
      <c r="BZ1541" s="66" t="n">
        <f aca="false">IF(N(AB1541)&gt;0,AB1541,0)</f>
        <v>0</v>
      </c>
      <c r="CA1541" s="60" t="n">
        <f aca="false">IF(ISNUMBER(AE1541),1,0)</f>
        <v>0</v>
      </c>
      <c r="CB1541" s="57" t="n">
        <f aca="false">N(AE1541)</f>
        <v>0</v>
      </c>
      <c r="CC1541" s="57" t="n">
        <f aca="false">N(M1541)+N(N1541)</f>
        <v>9</v>
      </c>
      <c r="CD1541" s="57" t="n">
        <f aca="false">ROUNDUP(H1541/BS1541,0)</f>
        <v>1</v>
      </c>
      <c r="CE1541" s="57" t="n">
        <f aca="false">ROUNDUP(CB1541/BS1541,0)</f>
        <v>0</v>
      </c>
      <c r="CF1541" s="60" t="n">
        <f aca="false">IF(BT1541=1,0,IFERROR(VLOOKUP(BR1541,'Gebinde-Kategorie'!$A$5:$M$45,5,0)+0,0))</f>
        <v>8</v>
      </c>
      <c r="CG1541" s="60" t="n">
        <f aca="false">IFERROR(IF(OR(BX1541=1,BX1541=2,BX1541=3),N(INDEX(Parameter!$I$5:$I$7,BX1541)),0),0)</f>
        <v>0</v>
      </c>
      <c r="CH1541" s="59" t="n">
        <f aca="false">IF(AND(Parameter!$B$21="Ja",ISNUMBER(W1541),N(X1541)&gt;0),IFERROR(N(INDEX(Parameter!$L$5:$L$7,W1541))*INDEX(Parameter!$E$5:$E$7,W1541)*X1541/SUMIFS($X$7:$X$1843,$W$7:$W$1843,W1541),0),0)</f>
        <v>0</v>
      </c>
    </row>
    <row r="1542" customFormat="false" ht="15" hidden="false" customHeight="false" outlineLevel="0" collapsed="false">
      <c r="A1542" s="55" t="s">
        <v>2695</v>
      </c>
      <c r="B1542" s="55" t="s">
        <v>2696</v>
      </c>
      <c r="C1542" s="55" t="s">
        <v>164</v>
      </c>
      <c r="D1542" s="55" t="s">
        <v>184</v>
      </c>
      <c r="E1542" s="55" t="s">
        <v>185</v>
      </c>
      <c r="F1542" s="55"/>
      <c r="G1542" s="56" t="n">
        <v>32.42</v>
      </c>
      <c r="H1542" s="57" t="n">
        <f aca="false">MAX(0,IF(AND(Parameter!$B$21="Ja",ISNUMBER(Y1542)),Y1542,IF(Parameter!$B$20="Jahresanfang 2025 + Export",BL1542+BK1542,BK1542)))</f>
        <v>30</v>
      </c>
      <c r="I1542" s="57" t="n">
        <f aca="false">H1542*G1542</f>
        <v>972.6</v>
      </c>
      <c r="J1542" s="57" t="n">
        <f aca="false">BN1542*Parameter!$B$18</f>
        <v>0</v>
      </c>
      <c r="K1542" s="58"/>
      <c r="L1542" s="59"/>
      <c r="M1542" s="57" t="n">
        <v>0</v>
      </c>
      <c r="N1542" s="57" t="n">
        <v>25</v>
      </c>
      <c r="O1542" s="60" t="n">
        <v>21</v>
      </c>
      <c r="P1542" s="55" t="s">
        <v>476</v>
      </c>
      <c r="Q1542" s="57" t="n">
        <v>30</v>
      </c>
      <c r="R1542" s="60" t="n">
        <f aca="false">IF(BT1542=1,0,IFERROR(VLOOKUP(BR1542,'Gebinde-Kategorie'!$A$5:$M$45,13,0)+0,0))</f>
        <v>66</v>
      </c>
      <c r="S1542" s="61"/>
      <c r="T1542" s="62"/>
      <c r="U1542" s="62"/>
      <c r="V1542" s="62"/>
      <c r="W1542" s="55"/>
      <c r="X1542" s="57"/>
      <c r="Y1542" s="57"/>
      <c r="Z1542" s="55" t="n">
        <f aca="false">IF(A1542="","",IF(AND(Parameter!$B$21="Ja",ISNUMBER(W1542)),W1542,IF(BV1542="2+3",IF(ISNUMBER(SEARCH("grosser Artikel",BO1542)),2,IFERROR(VLOOKUP(BR1542,Parameter!$F$35:$G$64,2,0),2)),IF(OR(BV1542="Nein",BV1542=""),"-",BV1542))))</f>
        <v>3</v>
      </c>
      <c r="AA1542" s="62"/>
      <c r="AB1542" s="63"/>
      <c r="AC1542" s="57" t="n">
        <f aca="false">AR1542</f>
        <v>30</v>
      </c>
      <c r="AD1542" s="57" t="n">
        <f aca="false">MAX(AR1542,H1542)</f>
        <v>30</v>
      </c>
      <c r="AE1542" s="64"/>
      <c r="AF1542" s="57" t="n">
        <f aca="false">IF(LEFT(Cockpit!$C$5,1)="A",H1542,IF(CA1542=1,CB1542,IF(LEFT(Cockpit!$C$5,1)="B",AJ1542,MAX(AJ1542,H1542))))</f>
        <v>30</v>
      </c>
      <c r="AG1542" s="57" t="n">
        <f aca="false">IF(BT1542=1,0,ROUNDUP(AF1542/BS1542,0))</f>
        <v>1</v>
      </c>
      <c r="AH1542" s="59" t="n">
        <f aca="false">IF(CH1542&gt;0,CH1542*MAX(1,AF1542/X1542),IF(BT1542=1,IF(AF1542&lt;=0,0,BW1542*MAX(1,IF(H1542&gt;0,AF1542/H1542,1))),IF(R1542&gt;0,AG1542/R1542,0))/MAX(0.1,N(Parameter!$M$21)))</f>
        <v>0.0151515151515152</v>
      </c>
      <c r="AI1542" s="57" t="n">
        <f aca="false">AF1542*G1542</f>
        <v>972.6</v>
      </c>
      <c r="AJ1542" s="57" t="n">
        <f aca="false">ROUNDUP(MAX(J1542/IF(BZ1542&gt;0,BZ1542,MAX(0.1,N(Cockpit!$C$6))),CC1542)/BS1542,0)*BS1542</f>
        <v>30</v>
      </c>
      <c r="AK1542" s="58" t="n">
        <f aca="false">IF(AH1542&gt;0,J1542/AH1542,-1)</f>
        <v>0</v>
      </c>
      <c r="AL1542" s="58" t="n">
        <f aca="false">IF(AND(OR(BY1542="L1",BY1542="L23"),AH1542&gt;0),SUMIFS($AH$7:$AH$1843,$BY$7:$BY$1843,BY1542,$AK$7:$AK$1843,"&gt;"&amp;AK1542)+SUMIFS($AH$7:$AH$1843,$BY$7:$BY$1843,BY1542,$AK$7:$AK$1843,AK1542,$BQ$7:$BQ$1843,"&lt;="&amp;BQ1542),"")</f>
        <v>83.0316965643053</v>
      </c>
      <c r="AM1542" s="65" t="n">
        <f aca="false">IF(AL1542="",0,MAX(0,MIN(1,(IF(BY1542="L1",Parameter!$E$5,Parameter!$E$6+Parameter!$E$7)-(AL1542-AH1542))/AH1542)))</f>
        <v>1</v>
      </c>
      <c r="AN1542" s="57" t="n">
        <f aca="false">IF(LEFT(Cockpit!$I$5,1)="A",H1542,IF(CA1542=1,CB1542,IF(LEFT(Cockpit!$I$5,1)="B",AR1542,MAX(AR1542,H1542))))</f>
        <v>30</v>
      </c>
      <c r="AO1542" s="57" t="n">
        <f aca="false">IF(BT1542=1,0,ROUNDUP(AN1542/BS1542,0))</f>
        <v>1</v>
      </c>
      <c r="AP1542" s="59" t="n">
        <f aca="false">IF(CH1542&gt;0,CH1542*MAX(1,AN1542/X1542),IF(BT1542=1,IF(AN1542&lt;=0,0,BW1542*MAX(1,IF(H1542&gt;0,AN1542/H1542,1))),IF(R1542&gt;0,AO1542/R1542,0))/MAX(0.1,N(Parameter!$M$21)))</f>
        <v>0.0151515151515152</v>
      </c>
      <c r="AQ1542" s="57" t="n">
        <f aca="false">AN1542*G1542</f>
        <v>972.6</v>
      </c>
      <c r="AR1542" s="57" t="n">
        <f aca="false">ROUNDUP(MAX(J1542/IF(BZ1542&gt;0,BZ1542,MAX(0.1,N(Cockpit!$I$6))),CC1542)/BS1542,0)*BS1542</f>
        <v>30</v>
      </c>
      <c r="AS1542" s="58" t="n">
        <f aca="false">IF(AP1542&gt;0,J1542/AP1542,-1)</f>
        <v>0</v>
      </c>
      <c r="AT1542" s="58" t="n">
        <f aca="false">IF(AND(OR(BY1542="L1",BY1542="L23"),AP1542&gt;0),SUMIFS($AP$7:$AP$1843,$BY$7:$BY$1843,BY1542,$AS$7:$AS$1843,"&gt;"&amp;AS1542)+SUMIFS($AP$7:$AP$1843,$BY$7:$BY$1843,BY1542,$AS$7:$AS$1843,AS1542,$BQ$7:$BQ$1843,"&lt;="&amp;BQ1542),"")</f>
        <v>128.206910239519</v>
      </c>
      <c r="AU1542" s="65" t="n">
        <f aca="false">IF(AT1542="",0,MAX(0,MIN(1,(IF(BY1542="L1",Parameter!$E$5,Parameter!$E$6+Parameter!$E$7)-(AT1542-AP1542))/AP1542)))</f>
        <v>0</v>
      </c>
      <c r="AV1542" s="57" t="n">
        <f aca="false">IF(LEFT(Cockpit!$O$5,1)="A",H1542,IF(CA1542=1,CB1542,IF(LEFT(Cockpit!$O$5,1)="B",AZ1542,MAX(AZ1542,H1542))))</f>
        <v>30</v>
      </c>
      <c r="AW1542" s="57" t="n">
        <f aca="false">IF(BT1542=1,0,ROUNDUP(AV1542/BS1542,0))</f>
        <v>1</v>
      </c>
      <c r="AX1542" s="59" t="n">
        <f aca="false">IF(CH1542&gt;0,CH1542*MAX(1,AV1542/X1542),IF(BT1542=1,IF(AV1542&lt;=0,0,BW1542*MAX(1,IF(H1542&gt;0,AV1542/H1542,1))),IF(R1542&gt;0,AW1542/R1542,0))/MAX(0.1,N(Parameter!$M$21)))</f>
        <v>0.0151515151515152</v>
      </c>
      <c r="AY1542" s="57" t="n">
        <f aca="false">AV1542*G1542</f>
        <v>972.6</v>
      </c>
      <c r="AZ1542" s="57" t="n">
        <f aca="false">ROUNDUP(MAX(J1542/IF(BZ1542&gt;0,BZ1542,MAX(0.1,N(Cockpit!$O$6))),CC1542)/BS1542,0)*BS1542</f>
        <v>30</v>
      </c>
      <c r="BA1542" s="58" t="n">
        <f aca="false">IF(AX1542&gt;0,J1542/AX1542,-1)</f>
        <v>0</v>
      </c>
      <c r="BB1542" s="58" t="n">
        <f aca="false">IF(AND(OR(BY1542="L1",BY1542="L23"),AX1542&gt;0),SUMIFS($AX$7:$AX$1843,$BY$7:$BY$1843,BY1542,$BA$7:$BA$1843,"&gt;"&amp;BA1542)+SUMIFS($AX$7:$AX$1843,$BY$7:$BY$1843,BY1542,$BA$7:$BA$1843,BA1542,$BQ$7:$BQ$1843,"&lt;="&amp;BQ1542),"")</f>
        <v>119.036747069356</v>
      </c>
      <c r="BC1542" s="65" t="n">
        <f aca="false">IF(BB1542="",0,MAX(0,MIN(1,(IF(BY1542="L1",Parameter!$E$5,Parameter!$E$6+Parameter!$E$7)-(BB1542-AX1542))/AX1542)))</f>
        <v>0</v>
      </c>
      <c r="BD1542" s="55" t="str">
        <f aca="false">IF(AH1542&lt;=0,"",IF(BY1542="Aussen","Aussenlager",IF(BY1542="-","Nicht im Lift",IF(AM1542&gt;=1,"Lift",IF(AM1542&lt;=0,"Aussenlager","teilweise")))))</f>
        <v>Lift</v>
      </c>
      <c r="BE1542" s="55" t="str">
        <f aca="false">IF(AP1542&lt;=0,"",IF(BY1542="Aussen","Aussenlager",IF(BY1542="-","Nicht im Lift",IF(AU1542&gt;=1,"Lift",IF(AU1542&lt;=0,"Aussenlager","teilweise")))))</f>
        <v>Aussenlager</v>
      </c>
      <c r="BF1542" s="55" t="str">
        <f aca="false">IF(AX1542&lt;=0,"",IF(BY1542="Aussen","Aussenlager",IF(BY1542="-","Nicht im Lift",IF(BC1542&gt;=1,"Lift",IF(BC1542&lt;=0,"Aussenlager","teilweise")))))</f>
        <v>Aussenlager</v>
      </c>
      <c r="BG1542" s="55" t="str">
        <f aca="false">IF(A1542="","",IF(BP1542=1,"Neu; ","")&amp;IF(AND(BP1542=0,BK1542&lt;0),"negativer Bestand (Export "&amp;BK1542&amp;"); ","")&amp;IF(J1542&lt;=0,"Kein Verbrauch; ","")&amp;IF(CH1542&gt;0,"Lift "&amp;W1542&amp;" lt. Liftbericht (Fach "&amp;X1542&amp;" Stk); ",IF(BU1542=1,"Gebinde geschätzt ("&amp;T1542&amp;"); ",IF(BT1542=1,"Lose – Tablare geschätzt; ","")))&amp;IF(H1542&gt;AR1542,"Überbestand "&amp;ROUND(H1542-AR1542,0)&amp;" Stk / CHF "&amp;ROUND((H1542-AR1542)*G1542,0)&amp;"; ","")&amp;IF(AND(CA1542=1,CB1542&lt;CC1542),"MAX &lt; MB+LG; ","")&amp;IF(AND(CG1542&gt;0,CF1542*10&gt;CG1542),"zu hoch für Tablar; ","")&amp;IF(AND(BP1542=0,OR(CA1542=1,AA1542&lt;&gt;"",U1542&lt;&gt;"",V1542&lt;&gt;"",AB1542&lt;&gt;"")),"manuell übersteuert; ","")&amp;IF(AND(BT1542=0,R1542=0),"Gebinde unbekannt / Stellmass fehlt; ","")&amp;IF(AND(BT1542=0,N(V1542)&lt;=0,N(Q1542)&lt;=0),"Menge pro Gebinde fehlt (Ist = 1 Gebinde); ","")&amp;BO1542)</f>
        <v>Kein Verbrauch; nur im Artikelstamm (Bestand 23.06.2026)</v>
      </c>
      <c r="BH1542" s="55"/>
      <c r="BI1542" s="55"/>
      <c r="BJ1542" s="62"/>
      <c r="BK1542" s="57" t="n">
        <v>30</v>
      </c>
      <c r="BL1542" s="57" t="n">
        <v>0</v>
      </c>
      <c r="BM1542" s="56" t="n">
        <v>0</v>
      </c>
      <c r="BN1542" s="57" t="n">
        <v>0</v>
      </c>
      <c r="BO1542" s="55" t="s">
        <v>2575</v>
      </c>
      <c r="BP1542" s="60" t="n">
        <v>0</v>
      </c>
      <c r="BQ1542" s="60" t="n">
        <v>1542</v>
      </c>
      <c r="BR1542" s="55" t="str">
        <f aca="false">IF(U1542&lt;&gt;"",UPPER(TRIM(U1542)),IF(BU1542=1,UPPER(VLOOKUP(T1542,Parameter!$I$27:$K$29,2,0)),IF(P1542="","LOSE",P1542)))</f>
        <v>S33</v>
      </c>
      <c r="BS1542" s="57" t="n">
        <f aca="false">IF(BR1542="LOSE",1,IF(N(V1542)&gt;0,V1542,IF(BU1542=1,MAX(1,N(VLOOKUP(T1542,Parameter!$I$27:$K$29,3,0)),H1542,N(N1542)),IF(N(Q1542)&gt;0,Q1542,MAX(1,H1542)))))</f>
        <v>30</v>
      </c>
      <c r="BT1542" s="60" t="n">
        <f aca="false">IF(BR1542="LOSE",1,0)</f>
        <v>0</v>
      </c>
      <c r="BU1542" s="60" t="n">
        <f aca="false">IF(AND(U1542="",OR(P1542="",P1542="LOSE"),T1542&lt;&gt;"",N(S1542)&lt;=0,ISNUMBER(MATCH(T1542,Parameter!$I$27:$I$29,0))),1,0)</f>
        <v>0</v>
      </c>
      <c r="BV1542" s="55" t="str">
        <f aca="false">IF(AND(Parameter!$B$19="Ja",E1542&lt;&gt;"",ISNUMBER(MATCH(E1542,Parameter!$I$35:$I$52,0))),VLOOKUP(E1542,Parameter!$I$35:$J$52,2,0),IFERROR(VLOOKUP(D1542,Parameter!$A$35:$C$64,2,0),"Nein"))</f>
        <v>2+3</v>
      </c>
      <c r="BW1542" s="59" t="n">
        <f aca="false">IF(BT1542=0,0,IF(N(S1542)&gt;0,S1542,IFERROR(VLOOKUP(D1542,Parameter!$A$35:$C$64,3,0)+0,0)))</f>
        <v>0</v>
      </c>
      <c r="BX1542" s="55" t="n">
        <f aca="false">IF(AA1542&lt;&gt;"",AA1542,Z1542)</f>
        <v>3</v>
      </c>
      <c r="BY1542" s="55" t="str">
        <f aca="false">IF(BX1542=1,"L1",IF(OR(BX1542=2,BX1542=3),"L23",IF(BX1542="Aussen","Aussen","-")))</f>
        <v>L23</v>
      </c>
      <c r="BZ1542" s="66" t="n">
        <f aca="false">IF(N(AB1542)&gt;0,AB1542,0)</f>
        <v>0</v>
      </c>
      <c r="CA1542" s="60" t="n">
        <f aca="false">IF(ISNUMBER(AE1542),1,0)</f>
        <v>0</v>
      </c>
      <c r="CB1542" s="57" t="n">
        <f aca="false">N(AE1542)</f>
        <v>0</v>
      </c>
      <c r="CC1542" s="57" t="n">
        <f aca="false">N(M1542)+N(N1542)</f>
        <v>25</v>
      </c>
      <c r="CD1542" s="57" t="n">
        <f aca="false">ROUNDUP(H1542/BS1542,0)</f>
        <v>1</v>
      </c>
      <c r="CE1542" s="57" t="n">
        <f aca="false">ROUNDUP(CB1542/BS1542,0)</f>
        <v>0</v>
      </c>
      <c r="CF1542" s="60" t="n">
        <f aca="false">IF(BT1542=1,0,IFERROR(VLOOKUP(BR1542,'Gebinde-Kategorie'!$A$5:$M$45,5,0)+0,0))</f>
        <v>8</v>
      </c>
      <c r="CG1542" s="60" t="n">
        <f aca="false">IFERROR(IF(OR(BX1542=1,BX1542=2,BX1542=3),N(INDEX(Parameter!$I$5:$I$7,BX1542)),0),0)</f>
        <v>0</v>
      </c>
      <c r="CH1542" s="59" t="n">
        <f aca="false">IF(AND(Parameter!$B$21="Ja",ISNUMBER(W1542),N(X1542)&gt;0),IFERROR(N(INDEX(Parameter!$L$5:$L$7,W1542))*INDEX(Parameter!$E$5:$E$7,W1542)*X1542/SUMIFS($X$7:$X$1843,$W$7:$W$1843,W1542),0),0)</f>
        <v>0</v>
      </c>
    </row>
    <row r="1543" customFormat="false" ht="15" hidden="false" customHeight="false" outlineLevel="0" collapsed="false">
      <c r="A1543" s="55" t="s">
        <v>2697</v>
      </c>
      <c r="B1543" s="55" t="s">
        <v>2698</v>
      </c>
      <c r="C1543" s="55" t="s">
        <v>164</v>
      </c>
      <c r="D1543" s="55" t="s">
        <v>184</v>
      </c>
      <c r="E1543" s="55" t="s">
        <v>185</v>
      </c>
      <c r="F1543" s="55"/>
      <c r="G1543" s="56" t="n">
        <v>34.37</v>
      </c>
      <c r="H1543" s="57" t="n">
        <f aca="false">MAX(0,IF(AND(Parameter!$B$21="Ja",ISNUMBER(Y1543)),Y1543,IF(Parameter!$B$20="Jahresanfang 2025 + Export",BL1543+BK1543,BK1543)))</f>
        <v>30</v>
      </c>
      <c r="I1543" s="57" t="n">
        <f aca="false">H1543*G1543</f>
        <v>1031.1</v>
      </c>
      <c r="J1543" s="57" t="n">
        <f aca="false">BN1543*Parameter!$B$18</f>
        <v>0</v>
      </c>
      <c r="K1543" s="58"/>
      <c r="L1543" s="59"/>
      <c r="M1543" s="57" t="n">
        <v>0</v>
      </c>
      <c r="N1543" s="57" t="n">
        <v>25</v>
      </c>
      <c r="O1543" s="60" t="n">
        <v>21</v>
      </c>
      <c r="P1543" s="55" t="s">
        <v>476</v>
      </c>
      <c r="Q1543" s="57" t="n">
        <v>30</v>
      </c>
      <c r="R1543" s="60" t="n">
        <f aca="false">IF(BT1543=1,0,IFERROR(VLOOKUP(BR1543,'Gebinde-Kategorie'!$A$5:$M$45,13,0)+0,0))</f>
        <v>66</v>
      </c>
      <c r="S1543" s="61"/>
      <c r="T1543" s="62"/>
      <c r="U1543" s="62"/>
      <c r="V1543" s="62"/>
      <c r="W1543" s="55"/>
      <c r="X1543" s="57"/>
      <c r="Y1543" s="57"/>
      <c r="Z1543" s="55" t="n">
        <f aca="false">IF(A1543="","",IF(AND(Parameter!$B$21="Ja",ISNUMBER(W1543)),W1543,IF(BV1543="2+3",IF(ISNUMBER(SEARCH("grosser Artikel",BO1543)),2,IFERROR(VLOOKUP(BR1543,Parameter!$F$35:$G$64,2,0),2)),IF(OR(BV1543="Nein",BV1543=""),"-",BV1543))))</f>
        <v>3</v>
      </c>
      <c r="AA1543" s="62"/>
      <c r="AB1543" s="63"/>
      <c r="AC1543" s="57" t="n">
        <f aca="false">AR1543</f>
        <v>30</v>
      </c>
      <c r="AD1543" s="57" t="n">
        <f aca="false">MAX(AR1543,H1543)</f>
        <v>30</v>
      </c>
      <c r="AE1543" s="64"/>
      <c r="AF1543" s="57" t="n">
        <f aca="false">IF(LEFT(Cockpit!$C$5,1)="A",H1543,IF(CA1543=1,CB1543,IF(LEFT(Cockpit!$C$5,1)="B",AJ1543,MAX(AJ1543,H1543))))</f>
        <v>30</v>
      </c>
      <c r="AG1543" s="57" t="n">
        <f aca="false">IF(BT1543=1,0,ROUNDUP(AF1543/BS1543,0))</f>
        <v>1</v>
      </c>
      <c r="AH1543" s="59" t="n">
        <f aca="false">IF(CH1543&gt;0,CH1543*MAX(1,AF1543/X1543),IF(BT1543=1,IF(AF1543&lt;=0,0,BW1543*MAX(1,IF(H1543&gt;0,AF1543/H1543,1))),IF(R1543&gt;0,AG1543/R1543,0))/MAX(0.1,N(Parameter!$M$21)))</f>
        <v>0.0151515151515152</v>
      </c>
      <c r="AI1543" s="57" t="n">
        <f aca="false">AF1543*G1543</f>
        <v>1031.1</v>
      </c>
      <c r="AJ1543" s="57" t="n">
        <f aca="false">ROUNDUP(MAX(J1543/IF(BZ1543&gt;0,BZ1543,MAX(0.1,N(Cockpit!$C$6))),CC1543)/BS1543,0)*BS1543</f>
        <v>30</v>
      </c>
      <c r="AK1543" s="58" t="n">
        <f aca="false">IF(AH1543&gt;0,J1543/AH1543,-1)</f>
        <v>0</v>
      </c>
      <c r="AL1543" s="58" t="n">
        <f aca="false">IF(AND(OR(BY1543="L1",BY1543="L23"),AH1543&gt;0),SUMIFS($AH$7:$AH$1843,$BY$7:$BY$1843,BY1543,$AK$7:$AK$1843,"&gt;"&amp;AK1543)+SUMIFS($AH$7:$AH$1843,$BY$7:$BY$1843,BY1543,$AK$7:$AK$1843,AK1543,$BQ$7:$BQ$1843,"&lt;="&amp;BQ1543),"")</f>
        <v>83.0468480794568</v>
      </c>
      <c r="AM1543" s="65" t="n">
        <f aca="false">IF(AL1543="",0,MAX(0,MIN(1,(IF(BY1543="L1",Parameter!$E$5,Parameter!$E$6+Parameter!$E$7)-(AL1543-AH1543))/AH1543)))</f>
        <v>1</v>
      </c>
      <c r="AN1543" s="57" t="n">
        <f aca="false">IF(LEFT(Cockpit!$I$5,1)="A",H1543,IF(CA1543=1,CB1543,IF(LEFT(Cockpit!$I$5,1)="B",AR1543,MAX(AR1543,H1543))))</f>
        <v>30</v>
      </c>
      <c r="AO1543" s="57" t="n">
        <f aca="false">IF(BT1543=1,0,ROUNDUP(AN1543/BS1543,0))</f>
        <v>1</v>
      </c>
      <c r="AP1543" s="59" t="n">
        <f aca="false">IF(CH1543&gt;0,CH1543*MAX(1,AN1543/X1543),IF(BT1543=1,IF(AN1543&lt;=0,0,BW1543*MAX(1,IF(H1543&gt;0,AN1543/H1543,1))),IF(R1543&gt;0,AO1543/R1543,0))/MAX(0.1,N(Parameter!$M$21)))</f>
        <v>0.0151515151515152</v>
      </c>
      <c r="AQ1543" s="57" t="n">
        <f aca="false">AN1543*G1543</f>
        <v>1031.1</v>
      </c>
      <c r="AR1543" s="57" t="n">
        <f aca="false">ROUNDUP(MAX(J1543/IF(BZ1543&gt;0,BZ1543,MAX(0.1,N(Cockpit!$I$6))),CC1543)/BS1543,0)*BS1543</f>
        <v>30</v>
      </c>
      <c r="AS1543" s="58" t="n">
        <f aca="false">IF(AP1543&gt;0,J1543/AP1543,-1)</f>
        <v>0</v>
      </c>
      <c r="AT1543" s="58" t="n">
        <f aca="false">IF(AND(OR(BY1543="L1",BY1543="L23"),AP1543&gt;0),SUMIFS($AP$7:$AP$1843,$BY$7:$BY$1843,BY1543,$AS$7:$AS$1843,"&gt;"&amp;AS1543)+SUMIFS($AP$7:$AP$1843,$BY$7:$BY$1843,BY1543,$AS$7:$AS$1843,AS1543,$BQ$7:$BQ$1843,"&lt;="&amp;BQ1543),"")</f>
        <v>128.22206175467</v>
      </c>
      <c r="AU1543" s="65" t="n">
        <f aca="false">IF(AT1543="",0,MAX(0,MIN(1,(IF(BY1543="L1",Parameter!$E$5,Parameter!$E$6+Parameter!$E$7)-(AT1543-AP1543))/AP1543)))</f>
        <v>0</v>
      </c>
      <c r="AV1543" s="57" t="n">
        <f aca="false">IF(LEFT(Cockpit!$O$5,1)="A",H1543,IF(CA1543=1,CB1543,IF(LEFT(Cockpit!$O$5,1)="B",AZ1543,MAX(AZ1543,H1543))))</f>
        <v>30</v>
      </c>
      <c r="AW1543" s="57" t="n">
        <f aca="false">IF(BT1543=1,0,ROUNDUP(AV1543/BS1543,0))</f>
        <v>1</v>
      </c>
      <c r="AX1543" s="59" t="n">
        <f aca="false">IF(CH1543&gt;0,CH1543*MAX(1,AV1543/X1543),IF(BT1543=1,IF(AV1543&lt;=0,0,BW1543*MAX(1,IF(H1543&gt;0,AV1543/H1543,1))),IF(R1543&gt;0,AW1543/R1543,0))/MAX(0.1,N(Parameter!$M$21)))</f>
        <v>0.0151515151515152</v>
      </c>
      <c r="AY1543" s="57" t="n">
        <f aca="false">AV1543*G1543</f>
        <v>1031.1</v>
      </c>
      <c r="AZ1543" s="57" t="n">
        <f aca="false">ROUNDUP(MAX(J1543/IF(BZ1543&gt;0,BZ1543,MAX(0.1,N(Cockpit!$O$6))),CC1543)/BS1543,0)*BS1543</f>
        <v>30</v>
      </c>
      <c r="BA1543" s="58" t="n">
        <f aca="false">IF(AX1543&gt;0,J1543/AX1543,-1)</f>
        <v>0</v>
      </c>
      <c r="BB1543" s="58" t="n">
        <f aca="false">IF(AND(OR(BY1543="L1",BY1543="L23"),AX1543&gt;0),SUMIFS($AX$7:$AX$1843,$BY$7:$BY$1843,BY1543,$BA$7:$BA$1843,"&gt;"&amp;BA1543)+SUMIFS($AX$7:$AX$1843,$BY$7:$BY$1843,BY1543,$BA$7:$BA$1843,BA1543,$BQ$7:$BQ$1843,"&lt;="&amp;BQ1543),"")</f>
        <v>119.051898584507</v>
      </c>
      <c r="BC1543" s="65" t="n">
        <f aca="false">IF(BB1543="",0,MAX(0,MIN(1,(IF(BY1543="L1",Parameter!$E$5,Parameter!$E$6+Parameter!$E$7)-(BB1543-AX1543))/AX1543)))</f>
        <v>0</v>
      </c>
      <c r="BD1543" s="55" t="str">
        <f aca="false">IF(AH1543&lt;=0,"",IF(BY1543="Aussen","Aussenlager",IF(BY1543="-","Nicht im Lift",IF(AM1543&gt;=1,"Lift",IF(AM1543&lt;=0,"Aussenlager","teilweise")))))</f>
        <v>Lift</v>
      </c>
      <c r="BE1543" s="55" t="str">
        <f aca="false">IF(AP1543&lt;=0,"",IF(BY1543="Aussen","Aussenlager",IF(BY1543="-","Nicht im Lift",IF(AU1543&gt;=1,"Lift",IF(AU1543&lt;=0,"Aussenlager","teilweise")))))</f>
        <v>Aussenlager</v>
      </c>
      <c r="BF1543" s="55" t="str">
        <f aca="false">IF(AX1543&lt;=0,"",IF(BY1543="Aussen","Aussenlager",IF(BY1543="-","Nicht im Lift",IF(BC1543&gt;=1,"Lift",IF(BC1543&lt;=0,"Aussenlager","teilweise")))))</f>
        <v>Aussenlager</v>
      </c>
      <c r="BG1543" s="55" t="str">
        <f aca="false">IF(A1543="","",IF(BP1543=1,"Neu; ","")&amp;IF(AND(BP1543=0,BK1543&lt;0),"negativer Bestand (Export "&amp;BK1543&amp;"); ","")&amp;IF(J1543&lt;=0,"Kein Verbrauch; ","")&amp;IF(CH1543&gt;0,"Lift "&amp;W1543&amp;" lt. Liftbericht (Fach "&amp;X1543&amp;" Stk); ",IF(BU1543=1,"Gebinde geschätzt ("&amp;T1543&amp;"); ",IF(BT1543=1,"Lose – Tablare geschätzt; ","")))&amp;IF(H1543&gt;AR1543,"Überbestand "&amp;ROUND(H1543-AR1543,0)&amp;" Stk / CHF "&amp;ROUND((H1543-AR1543)*G1543,0)&amp;"; ","")&amp;IF(AND(CA1543=1,CB1543&lt;CC1543),"MAX &lt; MB+LG; ","")&amp;IF(AND(CG1543&gt;0,CF1543*10&gt;CG1543),"zu hoch für Tablar; ","")&amp;IF(AND(BP1543=0,OR(CA1543=1,AA1543&lt;&gt;"",U1543&lt;&gt;"",V1543&lt;&gt;"",AB1543&lt;&gt;"")),"manuell übersteuert; ","")&amp;IF(AND(BT1543=0,R1543=0),"Gebinde unbekannt / Stellmass fehlt; ","")&amp;IF(AND(BT1543=0,N(V1543)&lt;=0,N(Q1543)&lt;=0),"Menge pro Gebinde fehlt (Ist = 1 Gebinde); ","")&amp;BO1543)</f>
        <v>Kein Verbrauch; nur im Artikelstamm (Bestand 23.06.2026)</v>
      </c>
      <c r="BH1543" s="55"/>
      <c r="BI1543" s="55"/>
      <c r="BJ1543" s="62"/>
      <c r="BK1543" s="57" t="n">
        <v>30</v>
      </c>
      <c r="BL1543" s="57" t="n">
        <v>0</v>
      </c>
      <c r="BM1543" s="56" t="n">
        <v>0</v>
      </c>
      <c r="BN1543" s="57" t="n">
        <v>0</v>
      </c>
      <c r="BO1543" s="55" t="s">
        <v>2575</v>
      </c>
      <c r="BP1543" s="60" t="n">
        <v>0</v>
      </c>
      <c r="BQ1543" s="60" t="n">
        <v>1543</v>
      </c>
      <c r="BR1543" s="55" t="str">
        <f aca="false">IF(U1543&lt;&gt;"",UPPER(TRIM(U1543)),IF(BU1543=1,UPPER(VLOOKUP(T1543,Parameter!$I$27:$K$29,2,0)),IF(P1543="","LOSE",P1543)))</f>
        <v>S33</v>
      </c>
      <c r="BS1543" s="57" t="n">
        <f aca="false">IF(BR1543="LOSE",1,IF(N(V1543)&gt;0,V1543,IF(BU1543=1,MAX(1,N(VLOOKUP(T1543,Parameter!$I$27:$K$29,3,0)),H1543,N(N1543)),IF(N(Q1543)&gt;0,Q1543,MAX(1,H1543)))))</f>
        <v>30</v>
      </c>
      <c r="BT1543" s="60" t="n">
        <f aca="false">IF(BR1543="LOSE",1,0)</f>
        <v>0</v>
      </c>
      <c r="BU1543" s="60" t="n">
        <f aca="false">IF(AND(U1543="",OR(P1543="",P1543="LOSE"),T1543&lt;&gt;"",N(S1543)&lt;=0,ISNUMBER(MATCH(T1543,Parameter!$I$27:$I$29,0))),1,0)</f>
        <v>0</v>
      </c>
      <c r="BV1543" s="55" t="str">
        <f aca="false">IF(AND(Parameter!$B$19="Ja",E1543&lt;&gt;"",ISNUMBER(MATCH(E1543,Parameter!$I$35:$I$52,0))),VLOOKUP(E1543,Parameter!$I$35:$J$52,2,0),IFERROR(VLOOKUP(D1543,Parameter!$A$35:$C$64,2,0),"Nein"))</f>
        <v>2+3</v>
      </c>
      <c r="BW1543" s="59" t="n">
        <f aca="false">IF(BT1543=0,0,IF(N(S1543)&gt;0,S1543,IFERROR(VLOOKUP(D1543,Parameter!$A$35:$C$64,3,0)+0,0)))</f>
        <v>0</v>
      </c>
      <c r="BX1543" s="55" t="n">
        <f aca="false">IF(AA1543&lt;&gt;"",AA1543,Z1543)</f>
        <v>3</v>
      </c>
      <c r="BY1543" s="55" t="str">
        <f aca="false">IF(BX1543=1,"L1",IF(OR(BX1543=2,BX1543=3),"L23",IF(BX1543="Aussen","Aussen","-")))</f>
        <v>L23</v>
      </c>
      <c r="BZ1543" s="66" t="n">
        <f aca="false">IF(N(AB1543)&gt;0,AB1543,0)</f>
        <v>0</v>
      </c>
      <c r="CA1543" s="60" t="n">
        <f aca="false">IF(ISNUMBER(AE1543),1,0)</f>
        <v>0</v>
      </c>
      <c r="CB1543" s="57" t="n">
        <f aca="false">N(AE1543)</f>
        <v>0</v>
      </c>
      <c r="CC1543" s="57" t="n">
        <f aca="false">N(M1543)+N(N1543)</f>
        <v>25</v>
      </c>
      <c r="CD1543" s="57" t="n">
        <f aca="false">ROUNDUP(H1543/BS1543,0)</f>
        <v>1</v>
      </c>
      <c r="CE1543" s="57" t="n">
        <f aca="false">ROUNDUP(CB1543/BS1543,0)</f>
        <v>0</v>
      </c>
      <c r="CF1543" s="60" t="n">
        <f aca="false">IF(BT1543=1,0,IFERROR(VLOOKUP(BR1543,'Gebinde-Kategorie'!$A$5:$M$45,5,0)+0,0))</f>
        <v>8</v>
      </c>
      <c r="CG1543" s="60" t="n">
        <f aca="false">IFERROR(IF(OR(BX1543=1,BX1543=2,BX1543=3),N(INDEX(Parameter!$I$5:$I$7,BX1543)),0),0)</f>
        <v>0</v>
      </c>
      <c r="CH1543" s="59" t="n">
        <f aca="false">IF(AND(Parameter!$B$21="Ja",ISNUMBER(W1543),N(X1543)&gt;0),IFERROR(N(INDEX(Parameter!$L$5:$L$7,W1543))*INDEX(Parameter!$E$5:$E$7,W1543)*X1543/SUMIFS($X$7:$X$1843,$W$7:$W$1843,W1543),0),0)</f>
        <v>0</v>
      </c>
    </row>
    <row r="1544" customFormat="false" ht="15" hidden="false" customHeight="false" outlineLevel="0" collapsed="false">
      <c r="A1544" s="55" t="s">
        <v>2699</v>
      </c>
      <c r="B1544" s="55" t="s">
        <v>2700</v>
      </c>
      <c r="C1544" s="55" t="s">
        <v>164</v>
      </c>
      <c r="D1544" s="55" t="s">
        <v>184</v>
      </c>
      <c r="E1544" s="55" t="s">
        <v>185</v>
      </c>
      <c r="F1544" s="55"/>
      <c r="G1544" s="56" t="n">
        <v>3.97</v>
      </c>
      <c r="H1544" s="57" t="n">
        <f aca="false">MAX(0,IF(AND(Parameter!$B$21="Ja",ISNUMBER(Y1544)),Y1544,IF(Parameter!$B$20="Jahresanfang 2025 + Export",BL1544+BK1544,BK1544)))</f>
        <v>14</v>
      </c>
      <c r="I1544" s="57" t="n">
        <f aca="false">H1544*G1544</f>
        <v>55.58</v>
      </c>
      <c r="J1544" s="57" t="n">
        <f aca="false">BN1544*Parameter!$B$18</f>
        <v>0</v>
      </c>
      <c r="K1544" s="58"/>
      <c r="L1544" s="59"/>
      <c r="M1544" s="57" t="n">
        <v>0</v>
      </c>
      <c r="N1544" s="57" t="n">
        <v>10</v>
      </c>
      <c r="O1544" s="60" t="n">
        <v>42</v>
      </c>
      <c r="P1544" s="55" t="s">
        <v>426</v>
      </c>
      <c r="Q1544" s="57" t="n">
        <v>14</v>
      </c>
      <c r="R1544" s="60" t="n">
        <f aca="false">IF(BT1544=1,0,IFERROR(VLOOKUP(BR1544,'Gebinde-Kategorie'!$A$5:$M$45,13,0)+0,0))</f>
        <v>198</v>
      </c>
      <c r="S1544" s="61"/>
      <c r="T1544" s="62"/>
      <c r="U1544" s="62"/>
      <c r="V1544" s="62"/>
      <c r="W1544" s="55"/>
      <c r="X1544" s="57"/>
      <c r="Y1544" s="57"/>
      <c r="Z1544" s="55" t="n">
        <f aca="false">IF(A1544="","",IF(AND(Parameter!$B$21="Ja",ISNUMBER(W1544)),W1544,IF(BV1544="2+3",IF(ISNUMBER(SEARCH("grosser Artikel",BO1544)),2,IFERROR(VLOOKUP(BR1544,Parameter!$F$35:$G$64,2,0),2)),IF(OR(BV1544="Nein",BV1544=""),"-",BV1544))))</f>
        <v>3</v>
      </c>
      <c r="AA1544" s="62"/>
      <c r="AB1544" s="63"/>
      <c r="AC1544" s="57" t="n">
        <f aca="false">AR1544</f>
        <v>14</v>
      </c>
      <c r="AD1544" s="57" t="n">
        <f aca="false">MAX(AR1544,H1544)</f>
        <v>14</v>
      </c>
      <c r="AE1544" s="64"/>
      <c r="AF1544" s="57" t="n">
        <f aca="false">IF(LEFT(Cockpit!$C$5,1)="A",H1544,IF(CA1544=1,CB1544,IF(LEFT(Cockpit!$C$5,1)="B",AJ1544,MAX(AJ1544,H1544))))</f>
        <v>14</v>
      </c>
      <c r="AG1544" s="57" t="n">
        <f aca="false">IF(BT1544=1,0,ROUNDUP(AF1544/BS1544,0))</f>
        <v>1</v>
      </c>
      <c r="AH1544" s="59" t="n">
        <f aca="false">IF(CH1544&gt;0,CH1544*MAX(1,AF1544/X1544),IF(BT1544=1,IF(AF1544&lt;=0,0,BW1544*MAX(1,IF(H1544&gt;0,AF1544/H1544,1))),IF(R1544&gt;0,AG1544/R1544,0))/MAX(0.1,N(Parameter!$M$21)))</f>
        <v>0.00505050505050505</v>
      </c>
      <c r="AI1544" s="57" t="n">
        <f aca="false">AF1544*G1544</f>
        <v>55.58</v>
      </c>
      <c r="AJ1544" s="57" t="n">
        <f aca="false">ROUNDUP(MAX(J1544/IF(BZ1544&gt;0,BZ1544,MAX(0.1,N(Cockpit!$C$6))),CC1544)/BS1544,0)*BS1544</f>
        <v>14</v>
      </c>
      <c r="AK1544" s="58" t="n">
        <f aca="false">IF(AH1544&gt;0,J1544/AH1544,-1)</f>
        <v>0</v>
      </c>
      <c r="AL1544" s="58" t="n">
        <f aca="false">IF(AND(OR(BY1544="L1",BY1544="L23"),AH1544&gt;0),SUMIFS($AH$7:$AH$1843,$BY$7:$BY$1843,BY1544,$AK$7:$AK$1843,"&gt;"&amp;AK1544)+SUMIFS($AH$7:$AH$1843,$BY$7:$BY$1843,BY1544,$AK$7:$AK$1843,AK1544,$BQ$7:$BQ$1843,"&lt;="&amp;BQ1544),"")</f>
        <v>83.0518985845073</v>
      </c>
      <c r="AM1544" s="65" t="n">
        <f aca="false">IF(AL1544="",0,MAX(0,MIN(1,(IF(BY1544="L1",Parameter!$E$5,Parameter!$E$6+Parameter!$E$7)-(AL1544-AH1544))/AH1544)))</f>
        <v>1</v>
      </c>
      <c r="AN1544" s="57" t="n">
        <f aca="false">IF(LEFT(Cockpit!$I$5,1)="A",H1544,IF(CA1544=1,CB1544,IF(LEFT(Cockpit!$I$5,1)="B",AR1544,MAX(AR1544,H1544))))</f>
        <v>14</v>
      </c>
      <c r="AO1544" s="57" t="n">
        <f aca="false">IF(BT1544=1,0,ROUNDUP(AN1544/BS1544,0))</f>
        <v>1</v>
      </c>
      <c r="AP1544" s="59" t="n">
        <f aca="false">IF(CH1544&gt;0,CH1544*MAX(1,AN1544/X1544),IF(BT1544=1,IF(AN1544&lt;=0,0,BW1544*MAX(1,IF(H1544&gt;0,AN1544/H1544,1))),IF(R1544&gt;0,AO1544/R1544,0))/MAX(0.1,N(Parameter!$M$21)))</f>
        <v>0.00505050505050505</v>
      </c>
      <c r="AQ1544" s="57" t="n">
        <f aca="false">AN1544*G1544</f>
        <v>55.58</v>
      </c>
      <c r="AR1544" s="57" t="n">
        <f aca="false">ROUNDUP(MAX(J1544/IF(BZ1544&gt;0,BZ1544,MAX(0.1,N(Cockpit!$I$6))),CC1544)/BS1544,0)*BS1544</f>
        <v>14</v>
      </c>
      <c r="AS1544" s="58" t="n">
        <f aca="false">IF(AP1544&gt;0,J1544/AP1544,-1)</f>
        <v>0</v>
      </c>
      <c r="AT1544" s="58" t="n">
        <f aca="false">IF(AND(OR(BY1544="L1",BY1544="L23"),AP1544&gt;0),SUMIFS($AP$7:$AP$1843,$BY$7:$BY$1843,BY1544,$AS$7:$AS$1843,"&gt;"&amp;AS1544)+SUMIFS($AP$7:$AP$1843,$BY$7:$BY$1843,BY1544,$AS$7:$AS$1843,AS1544,$BQ$7:$BQ$1843,"&lt;="&amp;BQ1544),"")</f>
        <v>128.227112259721</v>
      </c>
      <c r="AU1544" s="65" t="n">
        <f aca="false">IF(AT1544="",0,MAX(0,MIN(1,(IF(BY1544="L1",Parameter!$E$5,Parameter!$E$6+Parameter!$E$7)-(AT1544-AP1544))/AP1544)))</f>
        <v>0</v>
      </c>
      <c r="AV1544" s="57" t="n">
        <f aca="false">IF(LEFT(Cockpit!$O$5,1)="A",H1544,IF(CA1544=1,CB1544,IF(LEFT(Cockpit!$O$5,1)="B",AZ1544,MAX(AZ1544,H1544))))</f>
        <v>14</v>
      </c>
      <c r="AW1544" s="57" t="n">
        <f aca="false">IF(BT1544=1,0,ROUNDUP(AV1544/BS1544,0))</f>
        <v>1</v>
      </c>
      <c r="AX1544" s="59" t="n">
        <f aca="false">IF(CH1544&gt;0,CH1544*MAX(1,AV1544/X1544),IF(BT1544=1,IF(AV1544&lt;=0,0,BW1544*MAX(1,IF(H1544&gt;0,AV1544/H1544,1))),IF(R1544&gt;0,AW1544/R1544,0))/MAX(0.1,N(Parameter!$M$21)))</f>
        <v>0.00505050505050505</v>
      </c>
      <c r="AY1544" s="57" t="n">
        <f aca="false">AV1544*G1544</f>
        <v>55.58</v>
      </c>
      <c r="AZ1544" s="57" t="n">
        <f aca="false">ROUNDUP(MAX(J1544/IF(BZ1544&gt;0,BZ1544,MAX(0.1,N(Cockpit!$O$6))),CC1544)/BS1544,0)*BS1544</f>
        <v>14</v>
      </c>
      <c r="BA1544" s="58" t="n">
        <f aca="false">IF(AX1544&gt;0,J1544/AX1544,-1)</f>
        <v>0</v>
      </c>
      <c r="BB1544" s="58" t="n">
        <f aca="false">IF(AND(OR(BY1544="L1",BY1544="L23"),AX1544&gt;0),SUMIFS($AX$7:$AX$1843,$BY$7:$BY$1843,BY1544,$BA$7:$BA$1843,"&gt;"&amp;BA1544)+SUMIFS($AX$7:$AX$1843,$BY$7:$BY$1843,BY1544,$BA$7:$BA$1843,BA1544,$BQ$7:$BQ$1843,"&lt;="&amp;BQ1544),"")</f>
        <v>119.056949089558</v>
      </c>
      <c r="BC1544" s="65" t="n">
        <f aca="false">IF(BB1544="",0,MAX(0,MIN(1,(IF(BY1544="L1",Parameter!$E$5,Parameter!$E$6+Parameter!$E$7)-(BB1544-AX1544))/AX1544)))</f>
        <v>0</v>
      </c>
      <c r="BD1544" s="55" t="str">
        <f aca="false">IF(AH1544&lt;=0,"",IF(BY1544="Aussen","Aussenlager",IF(BY1544="-","Nicht im Lift",IF(AM1544&gt;=1,"Lift",IF(AM1544&lt;=0,"Aussenlager","teilweise")))))</f>
        <v>Lift</v>
      </c>
      <c r="BE1544" s="55" t="str">
        <f aca="false">IF(AP1544&lt;=0,"",IF(BY1544="Aussen","Aussenlager",IF(BY1544="-","Nicht im Lift",IF(AU1544&gt;=1,"Lift",IF(AU1544&lt;=0,"Aussenlager","teilweise")))))</f>
        <v>Aussenlager</v>
      </c>
      <c r="BF1544" s="55" t="str">
        <f aca="false">IF(AX1544&lt;=0,"",IF(BY1544="Aussen","Aussenlager",IF(BY1544="-","Nicht im Lift",IF(BC1544&gt;=1,"Lift",IF(BC1544&lt;=0,"Aussenlager","teilweise")))))</f>
        <v>Aussenlager</v>
      </c>
      <c r="BG1544" s="55" t="str">
        <f aca="false">IF(A1544="","",IF(BP1544=1,"Neu; ","")&amp;IF(AND(BP1544=0,BK1544&lt;0),"negativer Bestand (Export "&amp;BK1544&amp;"); ","")&amp;IF(J1544&lt;=0,"Kein Verbrauch; ","")&amp;IF(CH1544&gt;0,"Lift "&amp;W1544&amp;" lt. Liftbericht (Fach "&amp;X1544&amp;" Stk); ",IF(BU1544=1,"Gebinde geschätzt ("&amp;T1544&amp;"); ",IF(BT1544=1,"Lose – Tablare geschätzt; ","")))&amp;IF(H1544&gt;AR1544,"Überbestand "&amp;ROUND(H1544-AR1544,0)&amp;" Stk / CHF "&amp;ROUND((H1544-AR1544)*G1544,0)&amp;"; ","")&amp;IF(AND(CA1544=1,CB1544&lt;CC1544),"MAX &lt; MB+LG; ","")&amp;IF(AND(CG1544&gt;0,CF1544*10&gt;CG1544),"zu hoch für Tablar; ","")&amp;IF(AND(BP1544=0,OR(CA1544=1,AA1544&lt;&gt;"",U1544&lt;&gt;"",V1544&lt;&gt;"",AB1544&lt;&gt;"")),"manuell übersteuert; ","")&amp;IF(AND(BT1544=0,R1544=0),"Gebinde unbekannt / Stellmass fehlt; ","")&amp;IF(AND(BT1544=0,N(V1544)&lt;=0,N(Q1544)&lt;=0),"Menge pro Gebinde fehlt (Ist = 1 Gebinde); ","")&amp;BO1544)</f>
        <v>Kein Verbrauch; nur im Artikelstamm (Bestand 23.06.2026); Neu</v>
      </c>
      <c r="BH1544" s="55"/>
      <c r="BI1544" s="55"/>
      <c r="BJ1544" s="62"/>
      <c r="BK1544" s="57" t="n">
        <v>14</v>
      </c>
      <c r="BL1544" s="57" t="n">
        <v>0</v>
      </c>
      <c r="BM1544" s="56" t="n">
        <v>0</v>
      </c>
      <c r="BN1544" s="57" t="n">
        <v>0</v>
      </c>
      <c r="BO1544" s="55" t="s">
        <v>2667</v>
      </c>
      <c r="BP1544" s="60" t="n">
        <v>0</v>
      </c>
      <c r="BQ1544" s="60" t="n">
        <v>1544</v>
      </c>
      <c r="BR1544" s="55" t="str">
        <f aca="false">IF(U1544&lt;&gt;"",UPPER(TRIM(U1544)),IF(BU1544=1,UPPER(VLOOKUP(T1544,Parameter!$I$27:$K$29,2,0)),IF(P1544="","LOSE",P1544)))</f>
        <v>S22</v>
      </c>
      <c r="BS1544" s="57" t="n">
        <f aca="false">IF(BR1544="LOSE",1,IF(N(V1544)&gt;0,V1544,IF(BU1544=1,MAX(1,N(VLOOKUP(T1544,Parameter!$I$27:$K$29,3,0)),H1544,N(N1544)),IF(N(Q1544)&gt;0,Q1544,MAX(1,H1544)))))</f>
        <v>14</v>
      </c>
      <c r="BT1544" s="60" t="n">
        <f aca="false">IF(BR1544="LOSE",1,0)</f>
        <v>0</v>
      </c>
      <c r="BU1544" s="60" t="n">
        <f aca="false">IF(AND(U1544="",OR(P1544="",P1544="LOSE"),T1544&lt;&gt;"",N(S1544)&lt;=0,ISNUMBER(MATCH(T1544,Parameter!$I$27:$I$29,0))),1,0)</f>
        <v>0</v>
      </c>
      <c r="BV1544" s="55" t="str">
        <f aca="false">IF(AND(Parameter!$B$19="Ja",E1544&lt;&gt;"",ISNUMBER(MATCH(E1544,Parameter!$I$35:$I$52,0))),VLOOKUP(E1544,Parameter!$I$35:$J$52,2,0),IFERROR(VLOOKUP(D1544,Parameter!$A$35:$C$64,2,0),"Nein"))</f>
        <v>2+3</v>
      </c>
      <c r="BW1544" s="59" t="n">
        <f aca="false">IF(BT1544=0,0,IF(N(S1544)&gt;0,S1544,IFERROR(VLOOKUP(D1544,Parameter!$A$35:$C$64,3,0)+0,0)))</f>
        <v>0</v>
      </c>
      <c r="BX1544" s="55" t="n">
        <f aca="false">IF(AA1544&lt;&gt;"",AA1544,Z1544)</f>
        <v>3</v>
      </c>
      <c r="BY1544" s="55" t="str">
        <f aca="false">IF(BX1544=1,"L1",IF(OR(BX1544=2,BX1544=3),"L23",IF(BX1544="Aussen","Aussen","-")))</f>
        <v>L23</v>
      </c>
      <c r="BZ1544" s="66" t="n">
        <f aca="false">IF(N(AB1544)&gt;0,AB1544,0)</f>
        <v>0</v>
      </c>
      <c r="CA1544" s="60" t="n">
        <f aca="false">IF(ISNUMBER(AE1544),1,0)</f>
        <v>0</v>
      </c>
      <c r="CB1544" s="57" t="n">
        <f aca="false">N(AE1544)</f>
        <v>0</v>
      </c>
      <c r="CC1544" s="57" t="n">
        <f aca="false">N(M1544)+N(N1544)</f>
        <v>10</v>
      </c>
      <c r="CD1544" s="57" t="n">
        <f aca="false">ROUNDUP(H1544/BS1544,0)</f>
        <v>1</v>
      </c>
      <c r="CE1544" s="57" t="n">
        <f aca="false">ROUNDUP(CB1544/BS1544,0)</f>
        <v>0</v>
      </c>
      <c r="CF1544" s="60" t="n">
        <f aca="false">IF(BT1544=1,0,IFERROR(VLOOKUP(BR1544,'Gebinde-Kategorie'!$A$5:$M$45,5,0)+0,0))</f>
        <v>8</v>
      </c>
      <c r="CG1544" s="60" t="n">
        <f aca="false">IFERROR(IF(OR(BX1544=1,BX1544=2,BX1544=3),N(INDEX(Parameter!$I$5:$I$7,BX1544)),0),0)</f>
        <v>0</v>
      </c>
      <c r="CH1544" s="59" t="n">
        <f aca="false">IF(AND(Parameter!$B$21="Ja",ISNUMBER(W1544),N(X1544)&gt;0),IFERROR(N(INDEX(Parameter!$L$5:$L$7,W1544))*INDEX(Parameter!$E$5:$E$7,W1544)*X1544/SUMIFS($X$7:$X$1843,$W$7:$W$1843,W1544),0),0)</f>
        <v>0</v>
      </c>
    </row>
    <row r="1545" customFormat="false" ht="15" hidden="false" customHeight="false" outlineLevel="0" collapsed="false">
      <c r="A1545" s="55" t="s">
        <v>2701</v>
      </c>
      <c r="B1545" s="55" t="s">
        <v>2702</v>
      </c>
      <c r="C1545" s="55" t="s">
        <v>164</v>
      </c>
      <c r="D1545" s="55" t="s">
        <v>184</v>
      </c>
      <c r="E1545" s="55" t="s">
        <v>185</v>
      </c>
      <c r="F1545" s="55"/>
      <c r="G1545" s="56" t="n">
        <v>17.15</v>
      </c>
      <c r="H1545" s="57" t="n">
        <f aca="false">MAX(0,IF(AND(Parameter!$B$21="Ja",ISNUMBER(Y1545)),Y1545,IF(Parameter!$B$20="Jahresanfang 2025 + Export",BL1545+BK1545,BK1545)))</f>
        <v>29</v>
      </c>
      <c r="I1545" s="57" t="n">
        <f aca="false">H1545*G1545</f>
        <v>497.35</v>
      </c>
      <c r="J1545" s="57" t="n">
        <f aca="false">BN1545*Parameter!$B$18</f>
        <v>0</v>
      </c>
      <c r="K1545" s="58"/>
      <c r="L1545" s="59"/>
      <c r="M1545" s="57" t="n">
        <v>2</v>
      </c>
      <c r="N1545" s="57" t="n">
        <v>10</v>
      </c>
      <c r="O1545" s="60" t="n">
        <v>28</v>
      </c>
      <c r="P1545" s="55" t="s">
        <v>421</v>
      </c>
      <c r="Q1545" s="57" t="n">
        <v>29</v>
      </c>
      <c r="R1545" s="60" t="n">
        <f aca="false">IF(BT1545=1,0,IFERROR(VLOOKUP(BR1545,'Gebinde-Kategorie'!$A$5:$M$45,13,0)+0,0))</f>
        <v>132</v>
      </c>
      <c r="S1545" s="61"/>
      <c r="T1545" s="62"/>
      <c r="U1545" s="62"/>
      <c r="V1545" s="62"/>
      <c r="W1545" s="55"/>
      <c r="X1545" s="57"/>
      <c r="Y1545" s="57"/>
      <c r="Z1545" s="55" t="n">
        <f aca="false">IF(A1545="","",IF(AND(Parameter!$B$21="Ja",ISNUMBER(W1545)),W1545,IF(BV1545="2+3",IF(ISNUMBER(SEARCH("grosser Artikel",BO1545)),2,IFERROR(VLOOKUP(BR1545,Parameter!$F$35:$G$64,2,0),2)),IF(OR(BV1545="Nein",BV1545=""),"-",BV1545))))</f>
        <v>3</v>
      </c>
      <c r="AA1545" s="62"/>
      <c r="AB1545" s="63"/>
      <c r="AC1545" s="57" t="n">
        <f aca="false">AR1545</f>
        <v>29</v>
      </c>
      <c r="AD1545" s="57" t="n">
        <f aca="false">MAX(AR1545,H1545)</f>
        <v>29</v>
      </c>
      <c r="AE1545" s="64"/>
      <c r="AF1545" s="57" t="n">
        <f aca="false">IF(LEFT(Cockpit!$C$5,1)="A",H1545,IF(CA1545=1,CB1545,IF(LEFT(Cockpit!$C$5,1)="B",AJ1545,MAX(AJ1545,H1545))))</f>
        <v>29</v>
      </c>
      <c r="AG1545" s="57" t="n">
        <f aca="false">IF(BT1545=1,0,ROUNDUP(AF1545/BS1545,0))</f>
        <v>1</v>
      </c>
      <c r="AH1545" s="59" t="n">
        <f aca="false">IF(CH1545&gt;0,CH1545*MAX(1,AF1545/X1545),IF(BT1545=1,IF(AF1545&lt;=0,0,BW1545*MAX(1,IF(H1545&gt;0,AF1545/H1545,1))),IF(R1545&gt;0,AG1545/R1545,0))/MAX(0.1,N(Parameter!$M$21)))</f>
        <v>0.00757575757575758</v>
      </c>
      <c r="AI1545" s="57" t="n">
        <f aca="false">AF1545*G1545</f>
        <v>497.35</v>
      </c>
      <c r="AJ1545" s="57" t="n">
        <f aca="false">ROUNDUP(MAX(J1545/IF(BZ1545&gt;0,BZ1545,MAX(0.1,N(Cockpit!$C$6))),CC1545)/BS1545,0)*BS1545</f>
        <v>29</v>
      </c>
      <c r="AK1545" s="58" t="n">
        <f aca="false">IF(AH1545&gt;0,J1545/AH1545,-1)</f>
        <v>0</v>
      </c>
      <c r="AL1545" s="58" t="n">
        <f aca="false">IF(AND(OR(BY1545="L1",BY1545="L23"),AH1545&gt;0),SUMIFS($AH$7:$AH$1843,$BY$7:$BY$1843,BY1545,$AK$7:$AK$1843,"&gt;"&amp;AK1545)+SUMIFS($AH$7:$AH$1843,$BY$7:$BY$1843,BY1545,$AK$7:$AK$1843,AK1545,$BQ$7:$BQ$1843,"&lt;="&amp;BQ1545),"")</f>
        <v>83.059474342083</v>
      </c>
      <c r="AM1545" s="65" t="n">
        <f aca="false">IF(AL1545="",0,MAX(0,MIN(1,(IF(BY1545="L1",Parameter!$E$5,Parameter!$E$6+Parameter!$E$7)-(AL1545-AH1545))/AH1545)))</f>
        <v>1</v>
      </c>
      <c r="AN1545" s="57" t="n">
        <f aca="false">IF(LEFT(Cockpit!$I$5,1)="A",H1545,IF(CA1545=1,CB1545,IF(LEFT(Cockpit!$I$5,1)="B",AR1545,MAX(AR1545,H1545))))</f>
        <v>29</v>
      </c>
      <c r="AO1545" s="57" t="n">
        <f aca="false">IF(BT1545=1,0,ROUNDUP(AN1545/BS1545,0))</f>
        <v>1</v>
      </c>
      <c r="AP1545" s="59" t="n">
        <f aca="false">IF(CH1545&gt;0,CH1545*MAX(1,AN1545/X1545),IF(BT1545=1,IF(AN1545&lt;=0,0,BW1545*MAX(1,IF(H1545&gt;0,AN1545/H1545,1))),IF(R1545&gt;0,AO1545/R1545,0))/MAX(0.1,N(Parameter!$M$21)))</f>
        <v>0.00757575757575758</v>
      </c>
      <c r="AQ1545" s="57" t="n">
        <f aca="false">AN1545*G1545</f>
        <v>497.35</v>
      </c>
      <c r="AR1545" s="57" t="n">
        <f aca="false">ROUNDUP(MAX(J1545/IF(BZ1545&gt;0,BZ1545,MAX(0.1,N(Cockpit!$I$6))),CC1545)/BS1545,0)*BS1545</f>
        <v>29</v>
      </c>
      <c r="AS1545" s="58" t="n">
        <f aca="false">IF(AP1545&gt;0,J1545/AP1545,-1)</f>
        <v>0</v>
      </c>
      <c r="AT1545" s="58" t="n">
        <f aca="false">IF(AND(OR(BY1545="L1",BY1545="L23"),AP1545&gt;0),SUMIFS($AP$7:$AP$1843,$BY$7:$BY$1843,BY1545,$AS$7:$AS$1843,"&gt;"&amp;AS1545)+SUMIFS($AP$7:$AP$1843,$BY$7:$BY$1843,BY1545,$AS$7:$AS$1843,AS1545,$BQ$7:$BQ$1843,"&lt;="&amp;BQ1545),"")</f>
        <v>128.234688017297</v>
      </c>
      <c r="AU1545" s="65" t="n">
        <f aca="false">IF(AT1545="",0,MAX(0,MIN(1,(IF(BY1545="L1",Parameter!$E$5,Parameter!$E$6+Parameter!$E$7)-(AT1545-AP1545))/AP1545)))</f>
        <v>0</v>
      </c>
      <c r="AV1545" s="57" t="n">
        <f aca="false">IF(LEFT(Cockpit!$O$5,1)="A",H1545,IF(CA1545=1,CB1545,IF(LEFT(Cockpit!$O$5,1)="B",AZ1545,MAX(AZ1545,H1545))))</f>
        <v>29</v>
      </c>
      <c r="AW1545" s="57" t="n">
        <f aca="false">IF(BT1545=1,0,ROUNDUP(AV1545/BS1545,0))</f>
        <v>1</v>
      </c>
      <c r="AX1545" s="59" t="n">
        <f aca="false">IF(CH1545&gt;0,CH1545*MAX(1,AV1545/X1545),IF(BT1545=1,IF(AV1545&lt;=0,0,BW1545*MAX(1,IF(H1545&gt;0,AV1545/H1545,1))),IF(R1545&gt;0,AW1545/R1545,0))/MAX(0.1,N(Parameter!$M$21)))</f>
        <v>0.00757575757575758</v>
      </c>
      <c r="AY1545" s="57" t="n">
        <f aca="false">AV1545*G1545</f>
        <v>497.35</v>
      </c>
      <c r="AZ1545" s="57" t="n">
        <f aca="false">ROUNDUP(MAX(J1545/IF(BZ1545&gt;0,BZ1545,MAX(0.1,N(Cockpit!$O$6))),CC1545)/BS1545,0)*BS1545</f>
        <v>29</v>
      </c>
      <c r="BA1545" s="58" t="n">
        <f aca="false">IF(AX1545&gt;0,J1545/AX1545,-1)</f>
        <v>0</v>
      </c>
      <c r="BB1545" s="58" t="n">
        <f aca="false">IF(AND(OR(BY1545="L1",BY1545="L23"),AX1545&gt;0),SUMIFS($AX$7:$AX$1843,$BY$7:$BY$1843,BY1545,$BA$7:$BA$1843,"&gt;"&amp;BA1545)+SUMIFS($AX$7:$AX$1843,$BY$7:$BY$1843,BY1545,$BA$7:$BA$1843,BA1545,$BQ$7:$BQ$1843,"&lt;="&amp;BQ1545),"")</f>
        <v>119.064524847134</v>
      </c>
      <c r="BC1545" s="65" t="n">
        <f aca="false">IF(BB1545="",0,MAX(0,MIN(1,(IF(BY1545="L1",Parameter!$E$5,Parameter!$E$6+Parameter!$E$7)-(BB1545-AX1545))/AX1545)))</f>
        <v>0</v>
      </c>
      <c r="BD1545" s="55" t="str">
        <f aca="false">IF(AH1545&lt;=0,"",IF(BY1545="Aussen","Aussenlager",IF(BY1545="-","Nicht im Lift",IF(AM1545&gt;=1,"Lift",IF(AM1545&lt;=0,"Aussenlager","teilweise")))))</f>
        <v>Lift</v>
      </c>
      <c r="BE1545" s="55" t="str">
        <f aca="false">IF(AP1545&lt;=0,"",IF(BY1545="Aussen","Aussenlager",IF(BY1545="-","Nicht im Lift",IF(AU1545&gt;=1,"Lift",IF(AU1545&lt;=0,"Aussenlager","teilweise")))))</f>
        <v>Aussenlager</v>
      </c>
      <c r="BF1545" s="55" t="str">
        <f aca="false">IF(AX1545&lt;=0,"",IF(BY1545="Aussen","Aussenlager",IF(BY1545="-","Nicht im Lift",IF(BC1545&gt;=1,"Lift",IF(BC1545&lt;=0,"Aussenlager","teilweise")))))</f>
        <v>Aussenlager</v>
      </c>
      <c r="BG1545" s="55" t="str">
        <f aca="false">IF(A1545="","",IF(BP1545=1,"Neu; ","")&amp;IF(AND(BP1545=0,BK1545&lt;0),"negativer Bestand (Export "&amp;BK1545&amp;"); ","")&amp;IF(J1545&lt;=0,"Kein Verbrauch; ","")&amp;IF(CH1545&gt;0,"Lift "&amp;W1545&amp;" lt. Liftbericht (Fach "&amp;X1545&amp;" Stk); ",IF(BU1545=1,"Gebinde geschätzt ("&amp;T1545&amp;"); ",IF(BT1545=1,"Lose – Tablare geschätzt; ","")))&amp;IF(H1545&gt;AR1545,"Überbestand "&amp;ROUND(H1545-AR1545,0)&amp;" Stk / CHF "&amp;ROUND((H1545-AR1545)*G1545,0)&amp;"; ","")&amp;IF(AND(CA1545=1,CB1545&lt;CC1545),"MAX &lt; MB+LG; ","")&amp;IF(AND(CG1545&gt;0,CF1545*10&gt;CG1545),"zu hoch für Tablar; ","")&amp;IF(AND(BP1545=0,OR(CA1545=1,AA1545&lt;&gt;"",U1545&lt;&gt;"",V1545&lt;&gt;"",AB1545&lt;&gt;"")),"manuell übersteuert; ","")&amp;IF(AND(BT1545=0,R1545=0),"Gebinde unbekannt / Stellmass fehlt; ","")&amp;IF(AND(BT1545=0,N(V1545)&lt;=0,N(Q1545)&lt;=0),"Menge pro Gebinde fehlt (Ist = 1 Gebinde); ","")&amp;BO1545)</f>
        <v>Kein Verbrauch; nur im Artikelstamm (Bestand 23.06.2026); Neu</v>
      </c>
      <c r="BH1545" s="55"/>
      <c r="BI1545" s="55"/>
      <c r="BJ1545" s="62"/>
      <c r="BK1545" s="57" t="n">
        <v>29</v>
      </c>
      <c r="BL1545" s="57" t="n">
        <v>0</v>
      </c>
      <c r="BM1545" s="56" t="n">
        <v>0</v>
      </c>
      <c r="BN1545" s="57" t="n">
        <v>0</v>
      </c>
      <c r="BO1545" s="55" t="s">
        <v>2667</v>
      </c>
      <c r="BP1545" s="60" t="n">
        <v>0</v>
      </c>
      <c r="BQ1545" s="60" t="n">
        <v>1545</v>
      </c>
      <c r="BR1545" s="55" t="str">
        <f aca="false">IF(U1545&lt;&gt;"",UPPER(TRIM(U1545)),IF(BU1545=1,UPPER(VLOOKUP(T1545,Parameter!$I$27:$K$29,2,0)),IF(P1545="","LOSE",P1545)))</f>
        <v>S32</v>
      </c>
      <c r="BS1545" s="57" t="n">
        <f aca="false">IF(BR1545="LOSE",1,IF(N(V1545)&gt;0,V1545,IF(BU1545=1,MAX(1,N(VLOOKUP(T1545,Parameter!$I$27:$K$29,3,0)),H1545,N(N1545)),IF(N(Q1545)&gt;0,Q1545,MAX(1,H1545)))))</f>
        <v>29</v>
      </c>
      <c r="BT1545" s="60" t="n">
        <f aca="false">IF(BR1545="LOSE",1,0)</f>
        <v>0</v>
      </c>
      <c r="BU1545" s="60" t="n">
        <f aca="false">IF(AND(U1545="",OR(P1545="",P1545="LOSE"),T1545&lt;&gt;"",N(S1545)&lt;=0,ISNUMBER(MATCH(T1545,Parameter!$I$27:$I$29,0))),1,0)</f>
        <v>0</v>
      </c>
      <c r="BV1545" s="55" t="str">
        <f aca="false">IF(AND(Parameter!$B$19="Ja",E1545&lt;&gt;"",ISNUMBER(MATCH(E1545,Parameter!$I$35:$I$52,0))),VLOOKUP(E1545,Parameter!$I$35:$J$52,2,0),IFERROR(VLOOKUP(D1545,Parameter!$A$35:$C$64,2,0),"Nein"))</f>
        <v>2+3</v>
      </c>
      <c r="BW1545" s="59" t="n">
        <f aca="false">IF(BT1545=0,0,IF(N(S1545)&gt;0,S1545,IFERROR(VLOOKUP(D1545,Parameter!$A$35:$C$64,3,0)+0,0)))</f>
        <v>0</v>
      </c>
      <c r="BX1545" s="55" t="n">
        <f aca="false">IF(AA1545&lt;&gt;"",AA1545,Z1545)</f>
        <v>3</v>
      </c>
      <c r="BY1545" s="55" t="str">
        <f aca="false">IF(BX1545=1,"L1",IF(OR(BX1545=2,BX1545=3),"L23",IF(BX1545="Aussen","Aussen","-")))</f>
        <v>L23</v>
      </c>
      <c r="BZ1545" s="66" t="n">
        <f aca="false">IF(N(AB1545)&gt;0,AB1545,0)</f>
        <v>0</v>
      </c>
      <c r="CA1545" s="60" t="n">
        <f aca="false">IF(ISNUMBER(AE1545),1,0)</f>
        <v>0</v>
      </c>
      <c r="CB1545" s="57" t="n">
        <f aca="false">N(AE1545)</f>
        <v>0</v>
      </c>
      <c r="CC1545" s="57" t="n">
        <f aca="false">N(M1545)+N(N1545)</f>
        <v>12</v>
      </c>
      <c r="CD1545" s="57" t="n">
        <f aca="false">ROUNDUP(H1545/BS1545,0)</f>
        <v>1</v>
      </c>
      <c r="CE1545" s="57" t="n">
        <f aca="false">ROUNDUP(CB1545/BS1545,0)</f>
        <v>0</v>
      </c>
      <c r="CF1545" s="60" t="n">
        <f aca="false">IF(BT1545=1,0,IFERROR(VLOOKUP(BR1545,'Gebinde-Kategorie'!$A$5:$M$45,5,0)+0,0))</f>
        <v>8</v>
      </c>
      <c r="CG1545" s="60" t="n">
        <f aca="false">IFERROR(IF(OR(BX1545=1,BX1545=2,BX1545=3),N(INDEX(Parameter!$I$5:$I$7,BX1545)),0),0)</f>
        <v>0</v>
      </c>
      <c r="CH1545" s="59" t="n">
        <f aca="false">IF(AND(Parameter!$B$21="Ja",ISNUMBER(W1545),N(X1545)&gt;0),IFERROR(N(INDEX(Parameter!$L$5:$L$7,W1545))*INDEX(Parameter!$E$5:$E$7,W1545)*X1545/SUMIFS($X$7:$X$1843,$W$7:$W$1843,W1545),0),0)</f>
        <v>0</v>
      </c>
    </row>
    <row r="1546" customFormat="false" ht="15" hidden="false" customHeight="false" outlineLevel="0" collapsed="false">
      <c r="A1546" s="55" t="s">
        <v>2703</v>
      </c>
      <c r="B1546" s="55" t="s">
        <v>1820</v>
      </c>
      <c r="C1546" s="55" t="s">
        <v>164</v>
      </c>
      <c r="D1546" s="55" t="s">
        <v>184</v>
      </c>
      <c r="E1546" s="55" t="s">
        <v>185</v>
      </c>
      <c r="F1546" s="55"/>
      <c r="G1546" s="56" t="n">
        <v>72.87</v>
      </c>
      <c r="H1546" s="57" t="n">
        <f aca="false">MAX(0,IF(AND(Parameter!$B$21="Ja",ISNUMBER(Y1546)),Y1546,IF(Parameter!$B$20="Jahresanfang 2025 + Export",BL1546+BK1546,BK1546)))</f>
        <v>76</v>
      </c>
      <c r="I1546" s="57" t="n">
        <f aca="false">H1546*G1546</f>
        <v>5538.12</v>
      </c>
      <c r="J1546" s="57" t="n">
        <f aca="false">BN1546*Parameter!$B$18</f>
        <v>0</v>
      </c>
      <c r="K1546" s="58"/>
      <c r="L1546" s="59"/>
      <c r="M1546" s="57" t="n">
        <v>0</v>
      </c>
      <c r="N1546" s="57" t="n">
        <v>40</v>
      </c>
      <c r="O1546" s="60" t="n">
        <v>308</v>
      </c>
      <c r="P1546" s="55" t="s">
        <v>302</v>
      </c>
      <c r="Q1546" s="57" t="n">
        <v>76</v>
      </c>
      <c r="R1546" s="60" t="n">
        <f aca="false">IF(BT1546=1,0,IFERROR(VLOOKUP(BR1546,'Gebinde-Kategorie'!$A$5:$M$45,13,0)+0,0))</f>
        <v>26</v>
      </c>
      <c r="S1546" s="61"/>
      <c r="T1546" s="62"/>
      <c r="U1546" s="62"/>
      <c r="V1546" s="62"/>
      <c r="W1546" s="55"/>
      <c r="X1546" s="57"/>
      <c r="Y1546" s="57"/>
      <c r="Z1546" s="55" t="n">
        <f aca="false">IF(A1546="","",IF(AND(Parameter!$B$21="Ja",ISNUMBER(W1546)),W1546,IF(BV1546="2+3",IF(ISNUMBER(SEARCH("grosser Artikel",BO1546)),2,IFERROR(VLOOKUP(BR1546,Parameter!$F$35:$G$64,2,0),2)),IF(OR(BV1546="Nein",BV1546=""),"-",BV1546))))</f>
        <v>3</v>
      </c>
      <c r="AA1546" s="62"/>
      <c r="AB1546" s="63"/>
      <c r="AC1546" s="57" t="n">
        <f aca="false">AR1546</f>
        <v>76</v>
      </c>
      <c r="AD1546" s="57" t="n">
        <f aca="false">MAX(AR1546,H1546)</f>
        <v>76</v>
      </c>
      <c r="AE1546" s="64"/>
      <c r="AF1546" s="57" t="n">
        <f aca="false">IF(LEFT(Cockpit!$C$5,1)="A",H1546,IF(CA1546=1,CB1546,IF(LEFT(Cockpit!$C$5,1)="B",AJ1546,MAX(AJ1546,H1546))))</f>
        <v>76</v>
      </c>
      <c r="AG1546" s="57" t="n">
        <f aca="false">IF(BT1546=1,0,ROUNDUP(AF1546/BS1546,0))</f>
        <v>1</v>
      </c>
      <c r="AH1546" s="59" t="n">
        <f aca="false">IF(CH1546&gt;0,CH1546*MAX(1,AF1546/X1546),IF(BT1546=1,IF(AF1546&lt;=0,0,BW1546*MAX(1,IF(H1546&gt;0,AF1546/H1546,1))),IF(R1546&gt;0,AG1546/R1546,0))/MAX(0.1,N(Parameter!$M$21)))</f>
        <v>0.0384615384615385</v>
      </c>
      <c r="AI1546" s="57" t="n">
        <f aca="false">AF1546*G1546</f>
        <v>5538.12</v>
      </c>
      <c r="AJ1546" s="57" t="n">
        <f aca="false">ROUNDUP(MAX(J1546/IF(BZ1546&gt;0,BZ1546,MAX(0.1,N(Cockpit!$C$6))),CC1546)/BS1546,0)*BS1546</f>
        <v>76</v>
      </c>
      <c r="AK1546" s="58" t="n">
        <f aca="false">IF(AH1546&gt;0,J1546/AH1546,-1)</f>
        <v>0</v>
      </c>
      <c r="AL1546" s="58" t="n">
        <f aca="false">IF(AND(OR(BY1546="L1",BY1546="L23"),AH1546&gt;0),SUMIFS($AH$7:$AH$1843,$BY$7:$BY$1843,BY1546,$AK$7:$AK$1843,"&gt;"&amp;AK1546)+SUMIFS($AH$7:$AH$1843,$BY$7:$BY$1843,BY1546,$AK$7:$AK$1843,AK1546,$BQ$7:$BQ$1843,"&lt;="&amp;BQ1546),"")</f>
        <v>83.0979358805446</v>
      </c>
      <c r="AM1546" s="65" t="n">
        <f aca="false">IF(AL1546="",0,MAX(0,MIN(1,(IF(BY1546="L1",Parameter!$E$5,Parameter!$E$6+Parameter!$E$7)-(AL1546-AH1546))/AH1546)))</f>
        <v>1</v>
      </c>
      <c r="AN1546" s="57" t="n">
        <f aca="false">IF(LEFT(Cockpit!$I$5,1)="A",H1546,IF(CA1546=1,CB1546,IF(LEFT(Cockpit!$I$5,1)="B",AR1546,MAX(AR1546,H1546))))</f>
        <v>76</v>
      </c>
      <c r="AO1546" s="57" t="n">
        <f aca="false">IF(BT1546=1,0,ROUNDUP(AN1546/BS1546,0))</f>
        <v>1</v>
      </c>
      <c r="AP1546" s="59" t="n">
        <f aca="false">IF(CH1546&gt;0,CH1546*MAX(1,AN1546/X1546),IF(BT1546=1,IF(AN1546&lt;=0,0,BW1546*MAX(1,IF(H1546&gt;0,AN1546/H1546,1))),IF(R1546&gt;0,AO1546/R1546,0))/MAX(0.1,N(Parameter!$M$21)))</f>
        <v>0.0384615384615385</v>
      </c>
      <c r="AQ1546" s="57" t="n">
        <f aca="false">AN1546*G1546</f>
        <v>5538.12</v>
      </c>
      <c r="AR1546" s="57" t="n">
        <f aca="false">ROUNDUP(MAX(J1546/IF(BZ1546&gt;0,BZ1546,MAX(0.1,N(Cockpit!$I$6))),CC1546)/BS1546,0)*BS1546</f>
        <v>76</v>
      </c>
      <c r="AS1546" s="58" t="n">
        <f aca="false">IF(AP1546&gt;0,J1546/AP1546,-1)</f>
        <v>0</v>
      </c>
      <c r="AT1546" s="58" t="n">
        <f aca="false">IF(AND(OR(BY1546="L1",BY1546="L23"),AP1546&gt;0),SUMIFS($AP$7:$AP$1843,$BY$7:$BY$1843,BY1546,$AS$7:$AS$1843,"&gt;"&amp;AS1546)+SUMIFS($AP$7:$AP$1843,$BY$7:$BY$1843,BY1546,$AS$7:$AS$1843,AS1546,$BQ$7:$BQ$1843,"&lt;="&amp;BQ1546),"")</f>
        <v>128.273149555758</v>
      </c>
      <c r="AU1546" s="65" t="n">
        <f aca="false">IF(AT1546="",0,MAX(0,MIN(1,(IF(BY1546="L1",Parameter!$E$5,Parameter!$E$6+Parameter!$E$7)-(AT1546-AP1546))/AP1546)))</f>
        <v>0</v>
      </c>
      <c r="AV1546" s="57" t="n">
        <f aca="false">IF(LEFT(Cockpit!$O$5,1)="A",H1546,IF(CA1546=1,CB1546,IF(LEFT(Cockpit!$O$5,1)="B",AZ1546,MAX(AZ1546,H1546))))</f>
        <v>76</v>
      </c>
      <c r="AW1546" s="57" t="n">
        <f aca="false">IF(BT1546=1,0,ROUNDUP(AV1546/BS1546,0))</f>
        <v>1</v>
      </c>
      <c r="AX1546" s="59" t="n">
        <f aca="false">IF(CH1546&gt;0,CH1546*MAX(1,AV1546/X1546),IF(BT1546=1,IF(AV1546&lt;=0,0,BW1546*MAX(1,IF(H1546&gt;0,AV1546/H1546,1))),IF(R1546&gt;0,AW1546/R1546,0))/MAX(0.1,N(Parameter!$M$21)))</f>
        <v>0.0384615384615385</v>
      </c>
      <c r="AY1546" s="57" t="n">
        <f aca="false">AV1546*G1546</f>
        <v>5538.12</v>
      </c>
      <c r="AZ1546" s="57" t="n">
        <f aca="false">ROUNDUP(MAX(J1546/IF(BZ1546&gt;0,BZ1546,MAX(0.1,N(Cockpit!$O$6))),CC1546)/BS1546,0)*BS1546</f>
        <v>76</v>
      </c>
      <c r="BA1546" s="58" t="n">
        <f aca="false">IF(AX1546&gt;0,J1546/AX1546,-1)</f>
        <v>0</v>
      </c>
      <c r="BB1546" s="58" t="n">
        <f aca="false">IF(AND(OR(BY1546="L1",BY1546="L23"),AX1546&gt;0),SUMIFS($AX$7:$AX$1843,$BY$7:$BY$1843,BY1546,$BA$7:$BA$1843,"&gt;"&amp;BA1546)+SUMIFS($AX$7:$AX$1843,$BY$7:$BY$1843,BY1546,$BA$7:$BA$1843,BA1546,$BQ$7:$BQ$1843,"&lt;="&amp;BQ1546),"")</f>
        <v>119.102986385595</v>
      </c>
      <c r="BC1546" s="65" t="n">
        <f aca="false">IF(BB1546="",0,MAX(0,MIN(1,(IF(BY1546="L1",Parameter!$E$5,Parameter!$E$6+Parameter!$E$7)-(BB1546-AX1546))/AX1546)))</f>
        <v>0</v>
      </c>
      <c r="BD1546" s="55" t="str">
        <f aca="false">IF(AH1546&lt;=0,"",IF(BY1546="Aussen","Aussenlager",IF(BY1546="-","Nicht im Lift",IF(AM1546&gt;=1,"Lift",IF(AM1546&lt;=0,"Aussenlager","teilweise")))))</f>
        <v>Lift</v>
      </c>
      <c r="BE1546" s="55" t="str">
        <f aca="false">IF(AP1546&lt;=0,"",IF(BY1546="Aussen","Aussenlager",IF(BY1546="-","Nicht im Lift",IF(AU1546&gt;=1,"Lift",IF(AU1546&lt;=0,"Aussenlager","teilweise")))))</f>
        <v>Aussenlager</v>
      </c>
      <c r="BF1546" s="55" t="str">
        <f aca="false">IF(AX1546&lt;=0,"",IF(BY1546="Aussen","Aussenlager",IF(BY1546="-","Nicht im Lift",IF(BC1546&gt;=1,"Lift",IF(BC1546&lt;=0,"Aussenlager","teilweise")))))</f>
        <v>Aussenlager</v>
      </c>
      <c r="BG1546" s="55" t="str">
        <f aca="false">IF(A1546="","",IF(BP1546=1,"Neu; ","")&amp;IF(AND(BP1546=0,BK1546&lt;0),"negativer Bestand (Export "&amp;BK1546&amp;"); ","")&amp;IF(J1546&lt;=0,"Kein Verbrauch; ","")&amp;IF(CH1546&gt;0,"Lift "&amp;W1546&amp;" lt. Liftbericht (Fach "&amp;X1546&amp;" Stk); ",IF(BU1546=1,"Gebinde geschätzt ("&amp;T1546&amp;"); ",IF(BT1546=1,"Lose – Tablare geschätzt; ","")))&amp;IF(H1546&gt;AR1546,"Überbestand "&amp;ROUND(H1546-AR1546,0)&amp;" Stk / CHF "&amp;ROUND((H1546-AR1546)*G1546,0)&amp;"; ","")&amp;IF(AND(CA1546=1,CB1546&lt;CC1546),"MAX &lt; MB+LG; ","")&amp;IF(AND(CG1546&gt;0,CF1546*10&gt;CG1546),"zu hoch für Tablar; ","")&amp;IF(AND(BP1546=0,OR(CA1546=1,AA1546&lt;&gt;"",U1546&lt;&gt;"",V1546&lt;&gt;"",AB1546&lt;&gt;"")),"manuell übersteuert; ","")&amp;IF(AND(BT1546=0,R1546=0),"Gebinde unbekannt / Stellmass fehlt; ","")&amp;IF(AND(BT1546=0,N(V1546)&lt;=0,N(Q1546)&lt;=0),"Menge pro Gebinde fehlt (Ist = 1 Gebinde); ","")&amp;BO1546)</f>
        <v>Kein Verbrauch; nur im Artikelstamm (Bestand 23.06.2026); Neu</v>
      </c>
      <c r="BH1546" s="55"/>
      <c r="BI1546" s="55"/>
      <c r="BJ1546" s="62"/>
      <c r="BK1546" s="57" t="n">
        <v>76</v>
      </c>
      <c r="BL1546" s="57" t="n">
        <v>0</v>
      </c>
      <c r="BM1546" s="56" t="n">
        <v>0</v>
      </c>
      <c r="BN1546" s="57" t="n">
        <v>0</v>
      </c>
      <c r="BO1546" s="55" t="s">
        <v>2667</v>
      </c>
      <c r="BP1546" s="60" t="n">
        <v>0</v>
      </c>
      <c r="BQ1546" s="60" t="n">
        <v>1546</v>
      </c>
      <c r="BR1546" s="55" t="str">
        <f aca="false">IF(U1546&lt;&gt;"",UPPER(TRIM(U1546)),IF(BU1546=1,UPPER(VLOOKUP(T1546,Parameter!$I$27:$K$29,2,0)),IF(P1546="","LOSE",P1546)))</f>
        <v>S51</v>
      </c>
      <c r="BS1546" s="57" t="n">
        <f aca="false">IF(BR1546="LOSE",1,IF(N(V1546)&gt;0,V1546,IF(BU1546=1,MAX(1,N(VLOOKUP(T1546,Parameter!$I$27:$K$29,3,0)),H1546,N(N1546)),IF(N(Q1546)&gt;0,Q1546,MAX(1,H1546)))))</f>
        <v>76</v>
      </c>
      <c r="BT1546" s="60" t="n">
        <f aca="false">IF(BR1546="LOSE",1,0)</f>
        <v>0</v>
      </c>
      <c r="BU1546" s="60" t="n">
        <f aca="false">IF(AND(U1546="",OR(P1546="",P1546="LOSE"),T1546&lt;&gt;"",N(S1546)&lt;=0,ISNUMBER(MATCH(T1546,Parameter!$I$27:$I$29,0))),1,0)</f>
        <v>0</v>
      </c>
      <c r="BV1546" s="55" t="str">
        <f aca="false">IF(AND(Parameter!$B$19="Ja",E1546&lt;&gt;"",ISNUMBER(MATCH(E1546,Parameter!$I$35:$I$52,0))),VLOOKUP(E1546,Parameter!$I$35:$J$52,2,0),IFERROR(VLOOKUP(D1546,Parameter!$A$35:$C$64,2,0),"Nein"))</f>
        <v>2+3</v>
      </c>
      <c r="BW1546" s="59" t="n">
        <f aca="false">IF(BT1546=0,0,IF(N(S1546)&gt;0,S1546,IFERROR(VLOOKUP(D1546,Parameter!$A$35:$C$64,3,0)+0,0)))</f>
        <v>0</v>
      </c>
      <c r="BX1546" s="55" t="n">
        <f aca="false">IF(AA1546&lt;&gt;"",AA1546,Z1546)</f>
        <v>3</v>
      </c>
      <c r="BY1546" s="55" t="str">
        <f aca="false">IF(BX1546=1,"L1",IF(OR(BX1546=2,BX1546=3),"L23",IF(BX1546="Aussen","Aussen","-")))</f>
        <v>L23</v>
      </c>
      <c r="BZ1546" s="66" t="n">
        <f aca="false">IF(N(AB1546)&gt;0,AB1546,0)</f>
        <v>0</v>
      </c>
      <c r="CA1546" s="60" t="n">
        <f aca="false">IF(ISNUMBER(AE1546),1,0)</f>
        <v>0</v>
      </c>
      <c r="CB1546" s="57" t="n">
        <f aca="false">N(AE1546)</f>
        <v>0</v>
      </c>
      <c r="CC1546" s="57" t="n">
        <f aca="false">N(M1546)+N(N1546)</f>
        <v>40</v>
      </c>
      <c r="CD1546" s="57" t="n">
        <f aca="false">ROUNDUP(H1546/BS1546,0)</f>
        <v>1</v>
      </c>
      <c r="CE1546" s="57" t="n">
        <f aca="false">ROUNDUP(CB1546/BS1546,0)</f>
        <v>0</v>
      </c>
      <c r="CF1546" s="60" t="n">
        <f aca="false">IF(BT1546=1,0,IFERROR(VLOOKUP(BR1546,'Gebinde-Kategorie'!$A$5:$M$45,5,0)+0,0))</f>
        <v>11</v>
      </c>
      <c r="CG1546" s="60" t="n">
        <f aca="false">IFERROR(IF(OR(BX1546=1,BX1546=2,BX1546=3),N(INDEX(Parameter!$I$5:$I$7,BX1546)),0),0)</f>
        <v>0</v>
      </c>
      <c r="CH1546" s="59" t="n">
        <f aca="false">IF(AND(Parameter!$B$21="Ja",ISNUMBER(W1546),N(X1546)&gt;0),IFERROR(N(INDEX(Parameter!$L$5:$L$7,W1546))*INDEX(Parameter!$E$5:$E$7,W1546)*X1546/SUMIFS($X$7:$X$1843,$W$7:$W$1843,W1546),0),0)</f>
        <v>0</v>
      </c>
    </row>
    <row r="1547" customFormat="false" ht="15" hidden="false" customHeight="false" outlineLevel="0" collapsed="false">
      <c r="A1547" s="55" t="s">
        <v>2704</v>
      </c>
      <c r="B1547" s="55" t="s">
        <v>440</v>
      </c>
      <c r="C1547" s="55" t="s">
        <v>164</v>
      </c>
      <c r="D1547" s="55" t="s">
        <v>184</v>
      </c>
      <c r="E1547" s="55" t="s">
        <v>185</v>
      </c>
      <c r="F1547" s="55"/>
      <c r="G1547" s="56" t="n">
        <v>47.74</v>
      </c>
      <c r="H1547" s="57" t="n">
        <f aca="false">MAX(0,IF(AND(Parameter!$B$21="Ja",ISNUMBER(Y1547)),Y1547,IF(Parameter!$B$20="Jahresanfang 2025 + Export",BL1547+BK1547,BK1547)))</f>
        <v>5</v>
      </c>
      <c r="I1547" s="57" t="n">
        <f aca="false">H1547*G1547</f>
        <v>238.7</v>
      </c>
      <c r="J1547" s="57" t="n">
        <f aca="false">BN1547*Parameter!$B$18</f>
        <v>0</v>
      </c>
      <c r="K1547" s="58"/>
      <c r="L1547" s="59"/>
      <c r="M1547" s="57" t="n">
        <v>0</v>
      </c>
      <c r="N1547" s="57" t="n">
        <v>1</v>
      </c>
      <c r="O1547" s="60" t="n">
        <v>35</v>
      </c>
      <c r="P1547" s="55" t="s">
        <v>421</v>
      </c>
      <c r="Q1547" s="57" t="n">
        <v>5</v>
      </c>
      <c r="R1547" s="60" t="n">
        <f aca="false">IF(BT1547=1,0,IFERROR(VLOOKUP(BR1547,'Gebinde-Kategorie'!$A$5:$M$45,13,0)+0,0))</f>
        <v>132</v>
      </c>
      <c r="S1547" s="61"/>
      <c r="T1547" s="62"/>
      <c r="U1547" s="62"/>
      <c r="V1547" s="62"/>
      <c r="W1547" s="55"/>
      <c r="X1547" s="57"/>
      <c r="Y1547" s="57"/>
      <c r="Z1547" s="55" t="n">
        <f aca="false">IF(A1547="","",IF(AND(Parameter!$B$21="Ja",ISNUMBER(W1547)),W1547,IF(BV1547="2+3",IF(ISNUMBER(SEARCH("grosser Artikel",BO1547)),2,IFERROR(VLOOKUP(BR1547,Parameter!$F$35:$G$64,2,0),2)),IF(OR(BV1547="Nein",BV1547=""),"-",BV1547))))</f>
        <v>3</v>
      </c>
      <c r="AA1547" s="62"/>
      <c r="AB1547" s="63"/>
      <c r="AC1547" s="57" t="n">
        <f aca="false">AR1547</f>
        <v>5</v>
      </c>
      <c r="AD1547" s="57" t="n">
        <f aca="false">MAX(AR1547,H1547)</f>
        <v>5</v>
      </c>
      <c r="AE1547" s="64"/>
      <c r="AF1547" s="57" t="n">
        <f aca="false">IF(LEFT(Cockpit!$C$5,1)="A",H1547,IF(CA1547=1,CB1547,IF(LEFT(Cockpit!$C$5,1)="B",AJ1547,MAX(AJ1547,H1547))))</f>
        <v>5</v>
      </c>
      <c r="AG1547" s="57" t="n">
        <f aca="false">IF(BT1547=1,0,ROUNDUP(AF1547/BS1547,0))</f>
        <v>1</v>
      </c>
      <c r="AH1547" s="59" t="n">
        <f aca="false">IF(CH1547&gt;0,CH1547*MAX(1,AF1547/X1547),IF(BT1547=1,IF(AF1547&lt;=0,0,BW1547*MAX(1,IF(H1547&gt;0,AF1547/H1547,1))),IF(R1547&gt;0,AG1547/R1547,0))/MAX(0.1,N(Parameter!$M$21)))</f>
        <v>0.00757575757575758</v>
      </c>
      <c r="AI1547" s="57" t="n">
        <f aca="false">AF1547*G1547</f>
        <v>238.7</v>
      </c>
      <c r="AJ1547" s="57" t="n">
        <f aca="false">ROUNDUP(MAX(J1547/IF(BZ1547&gt;0,BZ1547,MAX(0.1,N(Cockpit!$C$6))),CC1547)/BS1547,0)*BS1547</f>
        <v>5</v>
      </c>
      <c r="AK1547" s="58" t="n">
        <f aca="false">IF(AH1547&gt;0,J1547/AH1547,-1)</f>
        <v>0</v>
      </c>
      <c r="AL1547" s="58" t="n">
        <f aca="false">IF(AND(OR(BY1547="L1",BY1547="L23"),AH1547&gt;0),SUMIFS($AH$7:$AH$1843,$BY$7:$BY$1843,BY1547,$AK$7:$AK$1843,"&gt;"&amp;AK1547)+SUMIFS($AH$7:$AH$1843,$BY$7:$BY$1843,BY1547,$AK$7:$AK$1843,AK1547,$BQ$7:$BQ$1843,"&lt;="&amp;BQ1547),"")</f>
        <v>83.1055116381203</v>
      </c>
      <c r="AM1547" s="65" t="n">
        <f aca="false">IF(AL1547="",0,MAX(0,MIN(1,(IF(BY1547="L1",Parameter!$E$5,Parameter!$E$6+Parameter!$E$7)-(AL1547-AH1547))/AH1547)))</f>
        <v>1</v>
      </c>
      <c r="AN1547" s="57" t="n">
        <f aca="false">IF(LEFT(Cockpit!$I$5,1)="A",H1547,IF(CA1547=1,CB1547,IF(LEFT(Cockpit!$I$5,1)="B",AR1547,MAX(AR1547,H1547))))</f>
        <v>5</v>
      </c>
      <c r="AO1547" s="57" t="n">
        <f aca="false">IF(BT1547=1,0,ROUNDUP(AN1547/BS1547,0))</f>
        <v>1</v>
      </c>
      <c r="AP1547" s="59" t="n">
        <f aca="false">IF(CH1547&gt;0,CH1547*MAX(1,AN1547/X1547),IF(BT1547=1,IF(AN1547&lt;=0,0,BW1547*MAX(1,IF(H1547&gt;0,AN1547/H1547,1))),IF(R1547&gt;0,AO1547/R1547,0))/MAX(0.1,N(Parameter!$M$21)))</f>
        <v>0.00757575757575758</v>
      </c>
      <c r="AQ1547" s="57" t="n">
        <f aca="false">AN1547*G1547</f>
        <v>238.7</v>
      </c>
      <c r="AR1547" s="57" t="n">
        <f aca="false">ROUNDUP(MAX(J1547/IF(BZ1547&gt;0,BZ1547,MAX(0.1,N(Cockpit!$I$6))),CC1547)/BS1547,0)*BS1547</f>
        <v>5</v>
      </c>
      <c r="AS1547" s="58" t="n">
        <f aca="false">IF(AP1547&gt;0,J1547/AP1547,-1)</f>
        <v>0</v>
      </c>
      <c r="AT1547" s="58" t="n">
        <f aca="false">IF(AND(OR(BY1547="L1",BY1547="L23"),AP1547&gt;0),SUMIFS($AP$7:$AP$1843,$BY$7:$BY$1843,BY1547,$AS$7:$AS$1843,"&gt;"&amp;AS1547)+SUMIFS($AP$7:$AP$1843,$BY$7:$BY$1843,BY1547,$AS$7:$AS$1843,AS1547,$BQ$7:$BQ$1843,"&lt;="&amp;BQ1547),"")</f>
        <v>128.280725313334</v>
      </c>
      <c r="AU1547" s="65" t="n">
        <f aca="false">IF(AT1547="",0,MAX(0,MIN(1,(IF(BY1547="L1",Parameter!$E$5,Parameter!$E$6+Parameter!$E$7)-(AT1547-AP1547))/AP1547)))</f>
        <v>0</v>
      </c>
      <c r="AV1547" s="57" t="n">
        <f aca="false">IF(LEFT(Cockpit!$O$5,1)="A",H1547,IF(CA1547=1,CB1547,IF(LEFT(Cockpit!$O$5,1)="B",AZ1547,MAX(AZ1547,H1547))))</f>
        <v>5</v>
      </c>
      <c r="AW1547" s="57" t="n">
        <f aca="false">IF(BT1547=1,0,ROUNDUP(AV1547/BS1547,0))</f>
        <v>1</v>
      </c>
      <c r="AX1547" s="59" t="n">
        <f aca="false">IF(CH1547&gt;0,CH1547*MAX(1,AV1547/X1547),IF(BT1547=1,IF(AV1547&lt;=0,0,BW1547*MAX(1,IF(H1547&gt;0,AV1547/H1547,1))),IF(R1547&gt;0,AW1547/R1547,0))/MAX(0.1,N(Parameter!$M$21)))</f>
        <v>0.00757575757575758</v>
      </c>
      <c r="AY1547" s="57" t="n">
        <f aca="false">AV1547*G1547</f>
        <v>238.7</v>
      </c>
      <c r="AZ1547" s="57" t="n">
        <f aca="false">ROUNDUP(MAX(J1547/IF(BZ1547&gt;0,BZ1547,MAX(0.1,N(Cockpit!$O$6))),CC1547)/BS1547,0)*BS1547</f>
        <v>5</v>
      </c>
      <c r="BA1547" s="58" t="n">
        <f aca="false">IF(AX1547&gt;0,J1547/AX1547,-1)</f>
        <v>0</v>
      </c>
      <c r="BB1547" s="58" t="n">
        <f aca="false">IF(AND(OR(BY1547="L1",BY1547="L23"),AX1547&gt;0),SUMIFS($AX$7:$AX$1843,$BY$7:$BY$1843,BY1547,$BA$7:$BA$1843,"&gt;"&amp;BA1547)+SUMIFS($AX$7:$AX$1843,$BY$7:$BY$1843,BY1547,$BA$7:$BA$1843,BA1547,$BQ$7:$BQ$1843,"&lt;="&amp;BQ1547),"")</f>
        <v>119.110562143171</v>
      </c>
      <c r="BC1547" s="65" t="n">
        <f aca="false">IF(BB1547="",0,MAX(0,MIN(1,(IF(BY1547="L1",Parameter!$E$5,Parameter!$E$6+Parameter!$E$7)-(BB1547-AX1547))/AX1547)))</f>
        <v>0</v>
      </c>
      <c r="BD1547" s="55" t="str">
        <f aca="false">IF(AH1547&lt;=0,"",IF(BY1547="Aussen","Aussenlager",IF(BY1547="-","Nicht im Lift",IF(AM1547&gt;=1,"Lift",IF(AM1547&lt;=0,"Aussenlager","teilweise")))))</f>
        <v>Lift</v>
      </c>
      <c r="BE1547" s="55" t="str">
        <f aca="false">IF(AP1547&lt;=0,"",IF(BY1547="Aussen","Aussenlager",IF(BY1547="-","Nicht im Lift",IF(AU1547&gt;=1,"Lift",IF(AU1547&lt;=0,"Aussenlager","teilweise")))))</f>
        <v>Aussenlager</v>
      </c>
      <c r="BF1547" s="55" t="str">
        <f aca="false">IF(AX1547&lt;=0,"",IF(BY1547="Aussen","Aussenlager",IF(BY1547="-","Nicht im Lift",IF(BC1547&gt;=1,"Lift",IF(BC1547&lt;=0,"Aussenlager","teilweise")))))</f>
        <v>Aussenlager</v>
      </c>
      <c r="BG1547" s="55" t="str">
        <f aca="false">IF(A1547="","",IF(BP1547=1,"Neu; ","")&amp;IF(AND(BP1547=0,BK1547&lt;0),"negativer Bestand (Export "&amp;BK1547&amp;"); ","")&amp;IF(J1547&lt;=0,"Kein Verbrauch; ","")&amp;IF(CH1547&gt;0,"Lift "&amp;W1547&amp;" lt. Liftbericht (Fach "&amp;X1547&amp;" Stk); ",IF(BU1547=1,"Gebinde geschätzt ("&amp;T1547&amp;"); ",IF(BT1547=1,"Lose – Tablare geschätzt; ","")))&amp;IF(H1547&gt;AR1547,"Überbestand "&amp;ROUND(H1547-AR1547,0)&amp;" Stk / CHF "&amp;ROUND((H1547-AR1547)*G1547,0)&amp;"; ","")&amp;IF(AND(CA1547=1,CB1547&lt;CC1547),"MAX &lt; MB+LG; ","")&amp;IF(AND(CG1547&gt;0,CF1547*10&gt;CG1547),"zu hoch für Tablar; ","")&amp;IF(AND(BP1547=0,OR(CA1547=1,AA1547&lt;&gt;"",U1547&lt;&gt;"",V1547&lt;&gt;"",AB1547&lt;&gt;"")),"manuell übersteuert; ","")&amp;IF(AND(BT1547=0,R1547=0),"Gebinde unbekannt / Stellmass fehlt; ","")&amp;IF(AND(BT1547=0,N(V1547)&lt;=0,N(Q1547)&lt;=0),"Menge pro Gebinde fehlt (Ist = 1 Gebinde); ","")&amp;BO1547)</f>
        <v>Kein Verbrauch; nur im Artikelstamm (Bestand 23.06.2026)</v>
      </c>
      <c r="BH1547" s="55"/>
      <c r="BI1547" s="55"/>
      <c r="BJ1547" s="62"/>
      <c r="BK1547" s="57" t="n">
        <v>5</v>
      </c>
      <c r="BL1547" s="57" t="n">
        <v>0</v>
      </c>
      <c r="BM1547" s="56" t="n">
        <v>0</v>
      </c>
      <c r="BN1547" s="57" t="n">
        <v>0</v>
      </c>
      <c r="BO1547" s="55" t="s">
        <v>2575</v>
      </c>
      <c r="BP1547" s="60" t="n">
        <v>0</v>
      </c>
      <c r="BQ1547" s="60" t="n">
        <v>1547</v>
      </c>
      <c r="BR1547" s="55" t="str">
        <f aca="false">IF(U1547&lt;&gt;"",UPPER(TRIM(U1547)),IF(BU1547=1,UPPER(VLOOKUP(T1547,Parameter!$I$27:$K$29,2,0)),IF(P1547="","LOSE",P1547)))</f>
        <v>S32</v>
      </c>
      <c r="BS1547" s="57" t="n">
        <f aca="false">IF(BR1547="LOSE",1,IF(N(V1547)&gt;0,V1547,IF(BU1547=1,MAX(1,N(VLOOKUP(T1547,Parameter!$I$27:$K$29,3,0)),H1547,N(N1547)),IF(N(Q1547)&gt;0,Q1547,MAX(1,H1547)))))</f>
        <v>5</v>
      </c>
      <c r="BT1547" s="60" t="n">
        <f aca="false">IF(BR1547="LOSE",1,0)</f>
        <v>0</v>
      </c>
      <c r="BU1547" s="60" t="n">
        <f aca="false">IF(AND(U1547="",OR(P1547="",P1547="LOSE"),T1547&lt;&gt;"",N(S1547)&lt;=0,ISNUMBER(MATCH(T1547,Parameter!$I$27:$I$29,0))),1,0)</f>
        <v>0</v>
      </c>
      <c r="BV1547" s="55" t="str">
        <f aca="false">IF(AND(Parameter!$B$19="Ja",E1547&lt;&gt;"",ISNUMBER(MATCH(E1547,Parameter!$I$35:$I$52,0))),VLOOKUP(E1547,Parameter!$I$35:$J$52,2,0),IFERROR(VLOOKUP(D1547,Parameter!$A$35:$C$64,2,0),"Nein"))</f>
        <v>2+3</v>
      </c>
      <c r="BW1547" s="59" t="n">
        <f aca="false">IF(BT1547=0,0,IF(N(S1547)&gt;0,S1547,IFERROR(VLOOKUP(D1547,Parameter!$A$35:$C$64,3,0)+0,0)))</f>
        <v>0</v>
      </c>
      <c r="BX1547" s="55" t="n">
        <f aca="false">IF(AA1547&lt;&gt;"",AA1547,Z1547)</f>
        <v>3</v>
      </c>
      <c r="BY1547" s="55" t="str">
        <f aca="false">IF(BX1547=1,"L1",IF(OR(BX1547=2,BX1547=3),"L23",IF(BX1547="Aussen","Aussen","-")))</f>
        <v>L23</v>
      </c>
      <c r="BZ1547" s="66" t="n">
        <f aca="false">IF(N(AB1547)&gt;0,AB1547,0)</f>
        <v>0</v>
      </c>
      <c r="CA1547" s="60" t="n">
        <f aca="false">IF(ISNUMBER(AE1547),1,0)</f>
        <v>0</v>
      </c>
      <c r="CB1547" s="57" t="n">
        <f aca="false">N(AE1547)</f>
        <v>0</v>
      </c>
      <c r="CC1547" s="57" t="n">
        <f aca="false">N(M1547)+N(N1547)</f>
        <v>1</v>
      </c>
      <c r="CD1547" s="57" t="n">
        <f aca="false">ROUNDUP(H1547/BS1547,0)</f>
        <v>1</v>
      </c>
      <c r="CE1547" s="57" t="n">
        <f aca="false">ROUNDUP(CB1547/BS1547,0)</f>
        <v>0</v>
      </c>
      <c r="CF1547" s="60" t="n">
        <f aca="false">IF(BT1547=1,0,IFERROR(VLOOKUP(BR1547,'Gebinde-Kategorie'!$A$5:$M$45,5,0)+0,0))</f>
        <v>8</v>
      </c>
      <c r="CG1547" s="60" t="n">
        <f aca="false">IFERROR(IF(OR(BX1547=1,BX1547=2,BX1547=3),N(INDEX(Parameter!$I$5:$I$7,BX1547)),0),0)</f>
        <v>0</v>
      </c>
      <c r="CH1547" s="59" t="n">
        <f aca="false">IF(AND(Parameter!$B$21="Ja",ISNUMBER(W1547),N(X1547)&gt;0),IFERROR(N(INDEX(Parameter!$L$5:$L$7,W1547))*INDEX(Parameter!$E$5:$E$7,W1547)*X1547/SUMIFS($X$7:$X$1843,$W$7:$W$1843,W1547),0),0)</f>
        <v>0</v>
      </c>
    </row>
    <row r="1548" customFormat="false" ht="15" hidden="false" customHeight="false" outlineLevel="0" collapsed="false">
      <c r="A1548" s="55" t="s">
        <v>2705</v>
      </c>
      <c r="B1548" s="55" t="s">
        <v>2706</v>
      </c>
      <c r="C1548" s="55" t="s">
        <v>164</v>
      </c>
      <c r="D1548" s="55" t="s">
        <v>184</v>
      </c>
      <c r="E1548" s="55" t="s">
        <v>185</v>
      </c>
      <c r="F1548" s="55"/>
      <c r="G1548" s="56" t="n">
        <v>118.14</v>
      </c>
      <c r="H1548" s="57" t="n">
        <f aca="false">MAX(0,IF(AND(Parameter!$B$21="Ja",ISNUMBER(Y1548)),Y1548,IF(Parameter!$B$20="Jahresanfang 2025 + Export",BL1548+BK1548,BK1548)))</f>
        <v>5</v>
      </c>
      <c r="I1548" s="57" t="n">
        <f aca="false">H1548*G1548</f>
        <v>590.7</v>
      </c>
      <c r="J1548" s="57" t="n">
        <f aca="false">BN1548*Parameter!$B$18</f>
        <v>0</v>
      </c>
      <c r="K1548" s="58"/>
      <c r="L1548" s="59"/>
      <c r="M1548" s="57" t="n">
        <v>0</v>
      </c>
      <c r="N1548" s="57" t="n">
        <v>5</v>
      </c>
      <c r="O1548" s="60" t="n">
        <v>35</v>
      </c>
      <c r="P1548" s="55" t="s">
        <v>421</v>
      </c>
      <c r="Q1548" s="57" t="n">
        <v>5</v>
      </c>
      <c r="R1548" s="60" t="n">
        <f aca="false">IF(BT1548=1,0,IFERROR(VLOOKUP(BR1548,'Gebinde-Kategorie'!$A$5:$M$45,13,0)+0,0))</f>
        <v>132</v>
      </c>
      <c r="S1548" s="61"/>
      <c r="T1548" s="62"/>
      <c r="U1548" s="62"/>
      <c r="V1548" s="62"/>
      <c r="W1548" s="55"/>
      <c r="X1548" s="57"/>
      <c r="Y1548" s="57"/>
      <c r="Z1548" s="55" t="n">
        <f aca="false">IF(A1548="","",IF(AND(Parameter!$B$21="Ja",ISNUMBER(W1548)),W1548,IF(BV1548="2+3",IF(ISNUMBER(SEARCH("grosser Artikel",BO1548)),2,IFERROR(VLOOKUP(BR1548,Parameter!$F$35:$G$64,2,0),2)),IF(OR(BV1548="Nein",BV1548=""),"-",BV1548))))</f>
        <v>3</v>
      </c>
      <c r="AA1548" s="62"/>
      <c r="AB1548" s="63"/>
      <c r="AC1548" s="57" t="n">
        <f aca="false">AR1548</f>
        <v>5</v>
      </c>
      <c r="AD1548" s="57" t="n">
        <f aca="false">MAX(AR1548,H1548)</f>
        <v>5</v>
      </c>
      <c r="AE1548" s="64"/>
      <c r="AF1548" s="57" t="n">
        <f aca="false">IF(LEFT(Cockpit!$C$5,1)="A",H1548,IF(CA1548=1,CB1548,IF(LEFT(Cockpit!$C$5,1)="B",AJ1548,MAX(AJ1548,H1548))))</f>
        <v>5</v>
      </c>
      <c r="AG1548" s="57" t="n">
        <f aca="false">IF(BT1548=1,0,ROUNDUP(AF1548/BS1548,0))</f>
        <v>1</v>
      </c>
      <c r="AH1548" s="59" t="n">
        <f aca="false">IF(CH1548&gt;0,CH1548*MAX(1,AF1548/X1548),IF(BT1548=1,IF(AF1548&lt;=0,0,BW1548*MAX(1,IF(H1548&gt;0,AF1548/H1548,1))),IF(R1548&gt;0,AG1548/R1548,0))/MAX(0.1,N(Parameter!$M$21)))</f>
        <v>0.00757575757575758</v>
      </c>
      <c r="AI1548" s="57" t="n">
        <f aca="false">AF1548*G1548</f>
        <v>590.7</v>
      </c>
      <c r="AJ1548" s="57" t="n">
        <f aca="false">ROUNDUP(MAX(J1548/IF(BZ1548&gt;0,BZ1548,MAX(0.1,N(Cockpit!$C$6))),CC1548)/BS1548,0)*BS1548</f>
        <v>5</v>
      </c>
      <c r="AK1548" s="58" t="n">
        <f aca="false">IF(AH1548&gt;0,J1548/AH1548,-1)</f>
        <v>0</v>
      </c>
      <c r="AL1548" s="58" t="n">
        <f aca="false">IF(AND(OR(BY1548="L1",BY1548="L23"),AH1548&gt;0),SUMIFS($AH$7:$AH$1843,$BY$7:$BY$1843,BY1548,$AK$7:$AK$1843,"&gt;"&amp;AK1548)+SUMIFS($AH$7:$AH$1843,$BY$7:$BY$1843,BY1548,$AK$7:$AK$1843,AK1548,$BQ$7:$BQ$1843,"&lt;="&amp;BQ1548),"")</f>
        <v>83.1130873956961</v>
      </c>
      <c r="AM1548" s="65" t="n">
        <f aca="false">IF(AL1548="",0,MAX(0,MIN(1,(IF(BY1548="L1",Parameter!$E$5,Parameter!$E$6+Parameter!$E$7)-(AL1548-AH1548))/AH1548)))</f>
        <v>1</v>
      </c>
      <c r="AN1548" s="57" t="n">
        <f aca="false">IF(LEFT(Cockpit!$I$5,1)="A",H1548,IF(CA1548=1,CB1548,IF(LEFT(Cockpit!$I$5,1)="B",AR1548,MAX(AR1548,H1548))))</f>
        <v>5</v>
      </c>
      <c r="AO1548" s="57" t="n">
        <f aca="false">IF(BT1548=1,0,ROUNDUP(AN1548/BS1548,0))</f>
        <v>1</v>
      </c>
      <c r="AP1548" s="59" t="n">
        <f aca="false">IF(CH1548&gt;0,CH1548*MAX(1,AN1548/X1548),IF(BT1548=1,IF(AN1548&lt;=0,0,BW1548*MAX(1,IF(H1548&gt;0,AN1548/H1548,1))),IF(R1548&gt;0,AO1548/R1548,0))/MAX(0.1,N(Parameter!$M$21)))</f>
        <v>0.00757575757575758</v>
      </c>
      <c r="AQ1548" s="57" t="n">
        <f aca="false">AN1548*G1548</f>
        <v>590.7</v>
      </c>
      <c r="AR1548" s="57" t="n">
        <f aca="false">ROUNDUP(MAX(J1548/IF(BZ1548&gt;0,BZ1548,MAX(0.1,N(Cockpit!$I$6))),CC1548)/BS1548,0)*BS1548</f>
        <v>5</v>
      </c>
      <c r="AS1548" s="58" t="n">
        <f aca="false">IF(AP1548&gt;0,J1548/AP1548,-1)</f>
        <v>0</v>
      </c>
      <c r="AT1548" s="58" t="n">
        <f aca="false">IF(AND(OR(BY1548="L1",BY1548="L23"),AP1548&gt;0),SUMIFS($AP$7:$AP$1843,$BY$7:$BY$1843,BY1548,$AS$7:$AS$1843,"&gt;"&amp;AS1548)+SUMIFS($AP$7:$AP$1843,$BY$7:$BY$1843,BY1548,$AS$7:$AS$1843,AS1548,$BQ$7:$BQ$1843,"&lt;="&amp;BQ1548),"")</f>
        <v>128.28830107091</v>
      </c>
      <c r="AU1548" s="65" t="n">
        <f aca="false">IF(AT1548="",0,MAX(0,MIN(1,(IF(BY1548="L1",Parameter!$E$5,Parameter!$E$6+Parameter!$E$7)-(AT1548-AP1548))/AP1548)))</f>
        <v>0</v>
      </c>
      <c r="AV1548" s="57" t="n">
        <f aca="false">IF(LEFT(Cockpit!$O$5,1)="A",H1548,IF(CA1548=1,CB1548,IF(LEFT(Cockpit!$O$5,1)="B",AZ1548,MAX(AZ1548,H1548))))</f>
        <v>5</v>
      </c>
      <c r="AW1548" s="57" t="n">
        <f aca="false">IF(BT1548=1,0,ROUNDUP(AV1548/BS1548,0))</f>
        <v>1</v>
      </c>
      <c r="AX1548" s="59" t="n">
        <f aca="false">IF(CH1548&gt;0,CH1548*MAX(1,AV1548/X1548),IF(BT1548=1,IF(AV1548&lt;=0,0,BW1548*MAX(1,IF(H1548&gt;0,AV1548/H1548,1))),IF(R1548&gt;0,AW1548/R1548,0))/MAX(0.1,N(Parameter!$M$21)))</f>
        <v>0.00757575757575758</v>
      </c>
      <c r="AY1548" s="57" t="n">
        <f aca="false">AV1548*G1548</f>
        <v>590.7</v>
      </c>
      <c r="AZ1548" s="57" t="n">
        <f aca="false">ROUNDUP(MAX(J1548/IF(BZ1548&gt;0,BZ1548,MAX(0.1,N(Cockpit!$O$6))),CC1548)/BS1548,0)*BS1548</f>
        <v>5</v>
      </c>
      <c r="BA1548" s="58" t="n">
        <f aca="false">IF(AX1548&gt;0,J1548/AX1548,-1)</f>
        <v>0</v>
      </c>
      <c r="BB1548" s="58" t="n">
        <f aca="false">IF(AND(OR(BY1548="L1",BY1548="L23"),AX1548&gt;0),SUMIFS($AX$7:$AX$1843,$BY$7:$BY$1843,BY1548,$BA$7:$BA$1843,"&gt;"&amp;BA1548)+SUMIFS($AX$7:$AX$1843,$BY$7:$BY$1843,BY1548,$BA$7:$BA$1843,BA1548,$BQ$7:$BQ$1843,"&lt;="&amp;BQ1548),"")</f>
        <v>119.118137900747</v>
      </c>
      <c r="BC1548" s="65" t="n">
        <f aca="false">IF(BB1548="",0,MAX(0,MIN(1,(IF(BY1548="L1",Parameter!$E$5,Parameter!$E$6+Parameter!$E$7)-(BB1548-AX1548))/AX1548)))</f>
        <v>0</v>
      </c>
      <c r="BD1548" s="55" t="str">
        <f aca="false">IF(AH1548&lt;=0,"",IF(BY1548="Aussen","Aussenlager",IF(BY1548="-","Nicht im Lift",IF(AM1548&gt;=1,"Lift",IF(AM1548&lt;=0,"Aussenlager","teilweise")))))</f>
        <v>Lift</v>
      </c>
      <c r="BE1548" s="55" t="str">
        <f aca="false">IF(AP1548&lt;=0,"",IF(BY1548="Aussen","Aussenlager",IF(BY1548="-","Nicht im Lift",IF(AU1548&gt;=1,"Lift",IF(AU1548&lt;=0,"Aussenlager","teilweise")))))</f>
        <v>Aussenlager</v>
      </c>
      <c r="BF1548" s="55" t="str">
        <f aca="false">IF(AX1548&lt;=0,"",IF(BY1548="Aussen","Aussenlager",IF(BY1548="-","Nicht im Lift",IF(BC1548&gt;=1,"Lift",IF(BC1548&lt;=0,"Aussenlager","teilweise")))))</f>
        <v>Aussenlager</v>
      </c>
      <c r="BG1548" s="55" t="str">
        <f aca="false">IF(A1548="","",IF(BP1548=1,"Neu; ","")&amp;IF(AND(BP1548=0,BK1548&lt;0),"negativer Bestand (Export "&amp;BK1548&amp;"); ","")&amp;IF(J1548&lt;=0,"Kein Verbrauch; ","")&amp;IF(CH1548&gt;0,"Lift "&amp;W1548&amp;" lt. Liftbericht (Fach "&amp;X1548&amp;" Stk); ",IF(BU1548=1,"Gebinde geschätzt ("&amp;T1548&amp;"); ",IF(BT1548=1,"Lose – Tablare geschätzt; ","")))&amp;IF(H1548&gt;AR1548,"Überbestand "&amp;ROUND(H1548-AR1548,0)&amp;" Stk / CHF "&amp;ROUND((H1548-AR1548)*G1548,0)&amp;"; ","")&amp;IF(AND(CA1548=1,CB1548&lt;CC1548),"MAX &lt; MB+LG; ","")&amp;IF(AND(CG1548&gt;0,CF1548*10&gt;CG1548),"zu hoch für Tablar; ","")&amp;IF(AND(BP1548=0,OR(CA1548=1,AA1548&lt;&gt;"",U1548&lt;&gt;"",V1548&lt;&gt;"",AB1548&lt;&gt;"")),"manuell übersteuert; ","")&amp;IF(AND(BT1548=0,R1548=0),"Gebinde unbekannt / Stellmass fehlt; ","")&amp;IF(AND(BT1548=0,N(V1548)&lt;=0,N(Q1548)&lt;=0),"Menge pro Gebinde fehlt (Ist = 1 Gebinde); ","")&amp;BO1548)</f>
        <v>Kein Verbrauch; nur im Artikelstamm (Bestand 23.06.2026)</v>
      </c>
      <c r="BH1548" s="55"/>
      <c r="BI1548" s="55"/>
      <c r="BJ1548" s="62"/>
      <c r="BK1548" s="57" t="n">
        <v>5</v>
      </c>
      <c r="BL1548" s="57" t="n">
        <v>0</v>
      </c>
      <c r="BM1548" s="56" t="n">
        <v>0</v>
      </c>
      <c r="BN1548" s="57" t="n">
        <v>0</v>
      </c>
      <c r="BO1548" s="55" t="s">
        <v>2575</v>
      </c>
      <c r="BP1548" s="60" t="n">
        <v>0</v>
      </c>
      <c r="BQ1548" s="60" t="n">
        <v>1548</v>
      </c>
      <c r="BR1548" s="55" t="str">
        <f aca="false">IF(U1548&lt;&gt;"",UPPER(TRIM(U1548)),IF(BU1548=1,UPPER(VLOOKUP(T1548,Parameter!$I$27:$K$29,2,0)),IF(P1548="","LOSE",P1548)))</f>
        <v>S32</v>
      </c>
      <c r="BS1548" s="57" t="n">
        <f aca="false">IF(BR1548="LOSE",1,IF(N(V1548)&gt;0,V1548,IF(BU1548=1,MAX(1,N(VLOOKUP(T1548,Parameter!$I$27:$K$29,3,0)),H1548,N(N1548)),IF(N(Q1548)&gt;0,Q1548,MAX(1,H1548)))))</f>
        <v>5</v>
      </c>
      <c r="BT1548" s="60" t="n">
        <f aca="false">IF(BR1548="LOSE",1,0)</f>
        <v>0</v>
      </c>
      <c r="BU1548" s="60" t="n">
        <f aca="false">IF(AND(U1548="",OR(P1548="",P1548="LOSE"),T1548&lt;&gt;"",N(S1548)&lt;=0,ISNUMBER(MATCH(T1548,Parameter!$I$27:$I$29,0))),1,0)</f>
        <v>0</v>
      </c>
      <c r="BV1548" s="55" t="str">
        <f aca="false">IF(AND(Parameter!$B$19="Ja",E1548&lt;&gt;"",ISNUMBER(MATCH(E1548,Parameter!$I$35:$I$52,0))),VLOOKUP(E1548,Parameter!$I$35:$J$52,2,0),IFERROR(VLOOKUP(D1548,Parameter!$A$35:$C$64,2,0),"Nein"))</f>
        <v>2+3</v>
      </c>
      <c r="BW1548" s="59" t="n">
        <f aca="false">IF(BT1548=0,0,IF(N(S1548)&gt;0,S1548,IFERROR(VLOOKUP(D1548,Parameter!$A$35:$C$64,3,0)+0,0)))</f>
        <v>0</v>
      </c>
      <c r="BX1548" s="55" t="n">
        <f aca="false">IF(AA1548&lt;&gt;"",AA1548,Z1548)</f>
        <v>3</v>
      </c>
      <c r="BY1548" s="55" t="str">
        <f aca="false">IF(BX1548=1,"L1",IF(OR(BX1548=2,BX1548=3),"L23",IF(BX1548="Aussen","Aussen","-")))</f>
        <v>L23</v>
      </c>
      <c r="BZ1548" s="66" t="n">
        <f aca="false">IF(N(AB1548)&gt;0,AB1548,0)</f>
        <v>0</v>
      </c>
      <c r="CA1548" s="60" t="n">
        <f aca="false">IF(ISNUMBER(AE1548),1,0)</f>
        <v>0</v>
      </c>
      <c r="CB1548" s="57" t="n">
        <f aca="false">N(AE1548)</f>
        <v>0</v>
      </c>
      <c r="CC1548" s="57" t="n">
        <f aca="false">N(M1548)+N(N1548)</f>
        <v>5</v>
      </c>
      <c r="CD1548" s="57" t="n">
        <f aca="false">ROUNDUP(H1548/BS1548,0)</f>
        <v>1</v>
      </c>
      <c r="CE1548" s="57" t="n">
        <f aca="false">ROUNDUP(CB1548/BS1548,0)</f>
        <v>0</v>
      </c>
      <c r="CF1548" s="60" t="n">
        <f aca="false">IF(BT1548=1,0,IFERROR(VLOOKUP(BR1548,'Gebinde-Kategorie'!$A$5:$M$45,5,0)+0,0))</f>
        <v>8</v>
      </c>
      <c r="CG1548" s="60" t="n">
        <f aca="false">IFERROR(IF(OR(BX1548=1,BX1548=2,BX1548=3),N(INDEX(Parameter!$I$5:$I$7,BX1548)),0),0)</f>
        <v>0</v>
      </c>
      <c r="CH1548" s="59" t="n">
        <f aca="false">IF(AND(Parameter!$B$21="Ja",ISNUMBER(W1548),N(X1548)&gt;0),IFERROR(N(INDEX(Parameter!$L$5:$L$7,W1548))*INDEX(Parameter!$E$5:$E$7,W1548)*X1548/SUMIFS($X$7:$X$1843,$W$7:$W$1843,W1548),0),0)</f>
        <v>0</v>
      </c>
    </row>
    <row r="1549" customFormat="false" ht="15" hidden="false" customHeight="false" outlineLevel="0" collapsed="false">
      <c r="A1549" s="55" t="s">
        <v>2707</v>
      </c>
      <c r="B1549" s="55" t="s">
        <v>2708</v>
      </c>
      <c r="C1549" s="55" t="s">
        <v>164</v>
      </c>
      <c r="D1549" s="55" t="s">
        <v>173</v>
      </c>
      <c r="E1549" s="55" t="s">
        <v>185</v>
      </c>
      <c r="F1549" s="55"/>
      <c r="G1549" s="56" t="n">
        <v>240</v>
      </c>
      <c r="H1549" s="57" t="n">
        <f aca="false">MAX(0,IF(AND(Parameter!$B$21="Ja",ISNUMBER(Y1549)),Y1549,IF(Parameter!$B$20="Jahresanfang 2025 + Export",BL1549+BK1549,BK1549)))</f>
        <v>46</v>
      </c>
      <c r="I1549" s="57" t="n">
        <f aca="false">H1549*G1549</f>
        <v>11040</v>
      </c>
      <c r="J1549" s="57" t="n">
        <f aca="false">BN1549*Parameter!$B$18</f>
        <v>0</v>
      </c>
      <c r="K1549" s="58"/>
      <c r="L1549" s="59"/>
      <c r="M1549" s="57" t="n">
        <v>0</v>
      </c>
      <c r="N1549" s="57" t="n">
        <v>20</v>
      </c>
      <c r="O1549" s="60" t="n">
        <v>28</v>
      </c>
      <c r="P1549" s="55" t="s">
        <v>226</v>
      </c>
      <c r="Q1549" s="57" t="n">
        <v>23</v>
      </c>
      <c r="R1549" s="60" t="n">
        <f aca="false">IF(BT1549=1,0,IFERROR(VLOOKUP(BR1549,'Gebinde-Kategorie'!$A$5:$M$45,13,0)+0,0))</f>
        <v>12</v>
      </c>
      <c r="S1549" s="61"/>
      <c r="T1549" s="62"/>
      <c r="U1549" s="62"/>
      <c r="V1549" s="62"/>
      <c r="W1549" s="55"/>
      <c r="X1549" s="57"/>
      <c r="Y1549" s="57"/>
      <c r="Z1549" s="55" t="n">
        <f aca="false">IF(A1549="","",IF(AND(Parameter!$B$21="Ja",ISNUMBER(W1549)),W1549,IF(BV1549="2+3",IF(ISNUMBER(SEARCH("grosser Artikel",BO1549)),2,IFERROR(VLOOKUP(BR1549,Parameter!$F$35:$G$64,2,0),2)),IF(OR(BV1549="Nein",BV1549=""),"-",BV1549))))</f>
        <v>2</v>
      </c>
      <c r="AA1549" s="62"/>
      <c r="AB1549" s="63"/>
      <c r="AC1549" s="57" t="n">
        <f aca="false">AR1549</f>
        <v>23</v>
      </c>
      <c r="AD1549" s="57" t="n">
        <f aca="false">MAX(AR1549,H1549)</f>
        <v>46</v>
      </c>
      <c r="AE1549" s="64"/>
      <c r="AF1549" s="57" t="n">
        <f aca="false">IF(LEFT(Cockpit!$C$5,1)="A",H1549,IF(CA1549=1,CB1549,IF(LEFT(Cockpit!$C$5,1)="B",AJ1549,MAX(AJ1549,H1549))))</f>
        <v>46</v>
      </c>
      <c r="AG1549" s="57" t="n">
        <f aca="false">IF(BT1549=1,0,ROUNDUP(AF1549/BS1549,0))</f>
        <v>2</v>
      </c>
      <c r="AH1549" s="59" t="n">
        <f aca="false">IF(CH1549&gt;0,CH1549*MAX(1,AF1549/X1549),IF(BT1549=1,IF(AF1549&lt;=0,0,BW1549*MAX(1,IF(H1549&gt;0,AF1549/H1549,1))),IF(R1549&gt;0,AG1549/R1549,0))/MAX(0.1,N(Parameter!$M$21)))</f>
        <v>0.166666666666667</v>
      </c>
      <c r="AI1549" s="57" t="n">
        <f aca="false">AF1549*G1549</f>
        <v>11040</v>
      </c>
      <c r="AJ1549" s="57" t="n">
        <f aca="false">ROUNDUP(MAX(J1549/IF(BZ1549&gt;0,BZ1549,MAX(0.1,N(Cockpit!$C$6))),CC1549)/BS1549,0)*BS1549</f>
        <v>23</v>
      </c>
      <c r="AK1549" s="58" t="n">
        <f aca="false">IF(AH1549&gt;0,J1549/AH1549,-1)</f>
        <v>0</v>
      </c>
      <c r="AL1549" s="58" t="n">
        <f aca="false">IF(AND(OR(BY1549="L1",BY1549="L23"),AH1549&gt;0),SUMIFS($AH$7:$AH$1843,$BY$7:$BY$1843,BY1549,$AK$7:$AK$1843,"&gt;"&amp;AK1549)+SUMIFS($AH$7:$AH$1843,$BY$7:$BY$1843,BY1549,$AK$7:$AK$1843,AK1549,$BQ$7:$BQ$1843,"&lt;="&amp;BQ1549),"")</f>
        <v>83.2797540623628</v>
      </c>
      <c r="AM1549" s="65" t="n">
        <f aca="false">IF(AL1549="",0,MAX(0,MIN(1,(IF(BY1549="L1",Parameter!$E$5,Parameter!$E$6+Parameter!$E$7)-(AL1549-AH1549))/AH1549)))</f>
        <v>1</v>
      </c>
      <c r="AN1549" s="57" t="n">
        <f aca="false">IF(LEFT(Cockpit!$I$5,1)="A",H1549,IF(CA1549=1,CB1549,IF(LEFT(Cockpit!$I$5,1)="B",AR1549,MAX(AR1549,H1549))))</f>
        <v>46</v>
      </c>
      <c r="AO1549" s="57" t="n">
        <f aca="false">IF(BT1549=1,0,ROUNDUP(AN1549/BS1549,0))</f>
        <v>2</v>
      </c>
      <c r="AP1549" s="59" t="n">
        <f aca="false">IF(CH1549&gt;0,CH1549*MAX(1,AN1549/X1549),IF(BT1549=1,IF(AN1549&lt;=0,0,BW1549*MAX(1,IF(H1549&gt;0,AN1549/H1549,1))),IF(R1549&gt;0,AO1549/R1549,0))/MAX(0.1,N(Parameter!$M$21)))</f>
        <v>0.166666666666667</v>
      </c>
      <c r="AQ1549" s="57" t="n">
        <f aca="false">AN1549*G1549</f>
        <v>11040</v>
      </c>
      <c r="AR1549" s="57" t="n">
        <f aca="false">ROUNDUP(MAX(J1549/IF(BZ1549&gt;0,BZ1549,MAX(0.1,N(Cockpit!$I$6))),CC1549)/BS1549,0)*BS1549</f>
        <v>23</v>
      </c>
      <c r="AS1549" s="58" t="n">
        <f aca="false">IF(AP1549&gt;0,J1549/AP1549,-1)</f>
        <v>0</v>
      </c>
      <c r="AT1549" s="58" t="n">
        <f aca="false">IF(AND(OR(BY1549="L1",BY1549="L23"),AP1549&gt;0),SUMIFS($AP$7:$AP$1843,$BY$7:$BY$1843,BY1549,$AS$7:$AS$1843,"&gt;"&amp;AS1549)+SUMIFS($AP$7:$AP$1843,$BY$7:$BY$1843,BY1549,$AS$7:$AS$1843,AS1549,$BQ$7:$BQ$1843,"&lt;="&amp;BQ1549),"")</f>
        <v>128.454967737576</v>
      </c>
      <c r="AU1549" s="65" t="n">
        <f aca="false">IF(AT1549="",0,MAX(0,MIN(1,(IF(BY1549="L1",Parameter!$E$5,Parameter!$E$6+Parameter!$E$7)-(AT1549-AP1549))/AP1549)))</f>
        <v>0</v>
      </c>
      <c r="AV1549" s="57" t="n">
        <f aca="false">IF(LEFT(Cockpit!$O$5,1)="A",H1549,IF(CA1549=1,CB1549,IF(LEFT(Cockpit!$O$5,1)="B",AZ1549,MAX(AZ1549,H1549))))</f>
        <v>46</v>
      </c>
      <c r="AW1549" s="57" t="n">
        <f aca="false">IF(BT1549=1,0,ROUNDUP(AV1549/BS1549,0))</f>
        <v>2</v>
      </c>
      <c r="AX1549" s="59" t="n">
        <f aca="false">IF(CH1549&gt;0,CH1549*MAX(1,AV1549/X1549),IF(BT1549=1,IF(AV1549&lt;=0,0,BW1549*MAX(1,IF(H1549&gt;0,AV1549/H1549,1))),IF(R1549&gt;0,AW1549/R1549,0))/MAX(0.1,N(Parameter!$M$21)))</f>
        <v>0.166666666666667</v>
      </c>
      <c r="AY1549" s="57" t="n">
        <f aca="false">AV1549*G1549</f>
        <v>11040</v>
      </c>
      <c r="AZ1549" s="57" t="n">
        <f aca="false">ROUNDUP(MAX(J1549/IF(BZ1549&gt;0,BZ1549,MAX(0.1,N(Cockpit!$O$6))),CC1549)/BS1549,0)*BS1549</f>
        <v>23</v>
      </c>
      <c r="BA1549" s="58" t="n">
        <f aca="false">IF(AX1549&gt;0,J1549/AX1549,-1)</f>
        <v>0</v>
      </c>
      <c r="BB1549" s="58" t="n">
        <f aca="false">IF(AND(OR(BY1549="L1",BY1549="L23"),AX1549&gt;0),SUMIFS($AX$7:$AX$1843,$BY$7:$BY$1843,BY1549,$BA$7:$BA$1843,"&gt;"&amp;BA1549)+SUMIFS($AX$7:$AX$1843,$BY$7:$BY$1843,BY1549,$BA$7:$BA$1843,BA1549,$BQ$7:$BQ$1843,"&lt;="&amp;BQ1549),"")</f>
        <v>119.284804567413</v>
      </c>
      <c r="BC1549" s="65" t="n">
        <f aca="false">IF(BB1549="",0,MAX(0,MIN(1,(IF(BY1549="L1",Parameter!$E$5,Parameter!$E$6+Parameter!$E$7)-(BB1549-AX1549))/AX1549)))</f>
        <v>0</v>
      </c>
      <c r="BD1549" s="55" t="str">
        <f aca="false">IF(AH1549&lt;=0,"",IF(BY1549="Aussen","Aussenlager",IF(BY1549="-","Nicht im Lift",IF(AM1549&gt;=1,"Lift",IF(AM1549&lt;=0,"Aussenlager","teilweise")))))</f>
        <v>Lift</v>
      </c>
      <c r="BE1549" s="55" t="str">
        <f aca="false">IF(AP1549&lt;=0,"",IF(BY1549="Aussen","Aussenlager",IF(BY1549="-","Nicht im Lift",IF(AU1549&gt;=1,"Lift",IF(AU1549&lt;=0,"Aussenlager","teilweise")))))</f>
        <v>Aussenlager</v>
      </c>
      <c r="BF1549" s="55" t="str">
        <f aca="false">IF(AX1549&lt;=0,"",IF(BY1549="Aussen","Aussenlager",IF(BY1549="-","Nicht im Lift",IF(BC1549&gt;=1,"Lift",IF(BC1549&lt;=0,"Aussenlager","teilweise")))))</f>
        <v>Aussenlager</v>
      </c>
      <c r="BG1549" s="55" t="str">
        <f aca="false">IF(A1549="","",IF(BP1549=1,"Neu; ","")&amp;IF(AND(BP1549=0,BK1549&lt;0),"negativer Bestand (Export "&amp;BK1549&amp;"); ","")&amp;IF(J1549&lt;=0,"Kein Verbrauch; ","")&amp;IF(CH1549&gt;0,"Lift "&amp;W1549&amp;" lt. Liftbericht (Fach "&amp;X1549&amp;" Stk); ",IF(BU1549=1,"Gebinde geschätzt ("&amp;T1549&amp;"); ",IF(BT1549=1,"Lose – Tablare geschätzt; ","")))&amp;IF(H1549&gt;AR1549,"Überbestand "&amp;ROUND(H1549-AR1549,0)&amp;" Stk / CHF "&amp;ROUND((H1549-AR1549)*G1549,0)&amp;"; ","")&amp;IF(AND(CA1549=1,CB1549&lt;CC1549),"MAX &lt; MB+LG; ","")&amp;IF(AND(CG1549&gt;0,CF1549*10&gt;CG1549),"zu hoch für Tablar; ","")&amp;IF(AND(BP1549=0,OR(CA1549=1,AA1549&lt;&gt;"",U1549&lt;&gt;"",V1549&lt;&gt;"",AB1549&lt;&gt;"")),"manuell übersteuert; ","")&amp;IF(AND(BT1549=0,R1549=0),"Gebinde unbekannt / Stellmass fehlt; ","")&amp;IF(AND(BT1549=0,N(V1549)&lt;=0,N(Q1549)&lt;=0),"Menge pro Gebinde fehlt (Ist = 1 Gebinde); ","")&amp;BO1549)</f>
        <v>Kein Verbrauch; Überbestand 23 Stk / CHF 5520; nur im Artikelstamm (Bestand 23.06.2026)</v>
      </c>
      <c r="BH1549" s="55"/>
      <c r="BI1549" s="55"/>
      <c r="BJ1549" s="62"/>
      <c r="BK1549" s="57" t="n">
        <v>46</v>
      </c>
      <c r="BL1549" s="57" t="n">
        <v>0</v>
      </c>
      <c r="BM1549" s="56" t="n">
        <v>0</v>
      </c>
      <c r="BN1549" s="57" t="n">
        <v>0</v>
      </c>
      <c r="BO1549" s="55" t="s">
        <v>2575</v>
      </c>
      <c r="BP1549" s="60" t="n">
        <v>0</v>
      </c>
      <c r="BQ1549" s="60" t="n">
        <v>1549</v>
      </c>
      <c r="BR1549" s="55" t="str">
        <f aca="false">IF(U1549&lt;&gt;"",UPPER(TRIM(U1549)),IF(BU1549=1,UPPER(VLOOKUP(T1549,Parameter!$I$27:$K$29,2,0)),IF(P1549="","LOSE",P1549)))</f>
        <v>S63</v>
      </c>
      <c r="BS1549" s="57" t="n">
        <f aca="false">IF(BR1549="LOSE",1,IF(N(V1549)&gt;0,V1549,IF(BU1549=1,MAX(1,N(VLOOKUP(T1549,Parameter!$I$27:$K$29,3,0)),H1549,N(N1549)),IF(N(Q1549)&gt;0,Q1549,MAX(1,H1549)))))</f>
        <v>23</v>
      </c>
      <c r="BT1549" s="60" t="n">
        <f aca="false">IF(BR1549="LOSE",1,0)</f>
        <v>0</v>
      </c>
      <c r="BU1549" s="60" t="n">
        <f aca="false">IF(AND(U1549="",OR(P1549="",P1549="LOSE"),T1549&lt;&gt;"",N(S1549)&lt;=0,ISNUMBER(MATCH(T1549,Parameter!$I$27:$I$29,0))),1,0)</f>
        <v>0</v>
      </c>
      <c r="BV1549" s="55" t="str">
        <f aca="false">IF(AND(Parameter!$B$19="Ja",E1549&lt;&gt;"",ISNUMBER(MATCH(E1549,Parameter!$I$35:$I$52,0))),VLOOKUP(E1549,Parameter!$I$35:$J$52,2,0),IFERROR(VLOOKUP(D1549,Parameter!$A$35:$C$64,2,0),"Nein"))</f>
        <v>2+3</v>
      </c>
      <c r="BW1549" s="59" t="n">
        <f aca="false">IF(BT1549=0,0,IF(N(S1549)&gt;0,S1549,IFERROR(VLOOKUP(D1549,Parameter!$A$35:$C$64,3,0)+0,0)))</f>
        <v>0</v>
      </c>
      <c r="BX1549" s="55" t="n">
        <f aca="false">IF(AA1549&lt;&gt;"",AA1549,Z1549)</f>
        <v>2</v>
      </c>
      <c r="BY1549" s="55" t="str">
        <f aca="false">IF(BX1549=1,"L1",IF(OR(BX1549=2,BX1549=3),"L23",IF(BX1549="Aussen","Aussen","-")))</f>
        <v>L23</v>
      </c>
      <c r="BZ1549" s="66" t="n">
        <f aca="false">IF(N(AB1549)&gt;0,AB1549,0)</f>
        <v>0</v>
      </c>
      <c r="CA1549" s="60" t="n">
        <f aca="false">IF(ISNUMBER(AE1549),1,0)</f>
        <v>0</v>
      </c>
      <c r="CB1549" s="57" t="n">
        <f aca="false">N(AE1549)</f>
        <v>0</v>
      </c>
      <c r="CC1549" s="57" t="n">
        <f aca="false">N(M1549)+N(N1549)</f>
        <v>20</v>
      </c>
      <c r="CD1549" s="57" t="n">
        <f aca="false">ROUNDUP(H1549/BS1549,0)</f>
        <v>2</v>
      </c>
      <c r="CE1549" s="57" t="n">
        <f aca="false">ROUNDUP(CB1549/BS1549,0)</f>
        <v>0</v>
      </c>
      <c r="CF1549" s="60" t="n">
        <f aca="false">IF(BT1549=1,0,IFERROR(VLOOKUP(BR1549,'Gebinde-Kategorie'!$A$5:$M$45,5,0)+0,0))</f>
        <v>31</v>
      </c>
      <c r="CG1549" s="60" t="n">
        <f aca="false">IFERROR(IF(OR(BX1549=1,BX1549=2,BX1549=3),N(INDEX(Parameter!$I$5:$I$7,BX1549)),0),0)</f>
        <v>0</v>
      </c>
      <c r="CH1549" s="59" t="n">
        <f aca="false">IF(AND(Parameter!$B$21="Ja",ISNUMBER(W1549),N(X1549)&gt;0),IFERROR(N(INDEX(Parameter!$L$5:$L$7,W1549))*INDEX(Parameter!$E$5:$E$7,W1549)*X1549/SUMIFS($X$7:$X$1843,$W$7:$W$1843,W1549),0),0)</f>
        <v>0</v>
      </c>
    </row>
    <row r="1550" customFormat="false" ht="15" hidden="false" customHeight="false" outlineLevel="0" collapsed="false">
      <c r="A1550" s="55" t="s">
        <v>2709</v>
      </c>
      <c r="B1550" s="55" t="s">
        <v>2710</v>
      </c>
      <c r="C1550" s="55" t="s">
        <v>164</v>
      </c>
      <c r="D1550" s="55" t="s">
        <v>184</v>
      </c>
      <c r="E1550" s="55" t="s">
        <v>185</v>
      </c>
      <c r="F1550" s="55"/>
      <c r="G1550" s="56" t="n">
        <v>9.09</v>
      </c>
      <c r="H1550" s="57" t="n">
        <f aca="false">MAX(0,IF(AND(Parameter!$B$21="Ja",ISNUMBER(Y1550)),Y1550,IF(Parameter!$B$20="Jahresanfang 2025 + Export",BL1550+BK1550,BK1550)))</f>
        <v>11</v>
      </c>
      <c r="I1550" s="57" t="n">
        <f aca="false">H1550*G1550</f>
        <v>99.99</v>
      </c>
      <c r="J1550" s="57" t="n">
        <f aca="false">BN1550*Parameter!$B$18</f>
        <v>0</v>
      </c>
      <c r="K1550" s="58"/>
      <c r="L1550" s="59"/>
      <c r="M1550" s="57" t="n">
        <v>0</v>
      </c>
      <c r="N1550" s="57" t="n">
        <v>1</v>
      </c>
      <c r="O1550" s="60" t="n">
        <v>28</v>
      </c>
      <c r="P1550" s="55" t="s">
        <v>328</v>
      </c>
      <c r="Q1550" s="57" t="n">
        <v>11</v>
      </c>
      <c r="R1550" s="60" t="n">
        <f aca="false">IF(BT1550=1,0,IFERROR(VLOOKUP(BR1550,'Gebinde-Kategorie'!$A$5:$M$45,13,0)+0,0))</f>
        <v>52</v>
      </c>
      <c r="S1550" s="61"/>
      <c r="T1550" s="62"/>
      <c r="U1550" s="62"/>
      <c r="V1550" s="62"/>
      <c r="W1550" s="55"/>
      <c r="X1550" s="57"/>
      <c r="Y1550" s="57"/>
      <c r="Z1550" s="55" t="n">
        <f aca="false">IF(A1550="","",IF(AND(Parameter!$B$21="Ja",ISNUMBER(W1550)),W1550,IF(BV1550="2+3",IF(ISNUMBER(SEARCH("grosser Artikel",BO1550)),2,IFERROR(VLOOKUP(BR1550,Parameter!$F$35:$G$64,2,0),2)),IF(OR(BV1550="Nein",BV1550=""),"-",BV1550))))</f>
        <v>3</v>
      </c>
      <c r="AA1550" s="62"/>
      <c r="AB1550" s="63"/>
      <c r="AC1550" s="57" t="n">
        <f aca="false">AR1550</f>
        <v>11</v>
      </c>
      <c r="AD1550" s="57" t="n">
        <f aca="false">MAX(AR1550,H1550)</f>
        <v>11</v>
      </c>
      <c r="AE1550" s="64"/>
      <c r="AF1550" s="57" t="n">
        <f aca="false">IF(LEFT(Cockpit!$C$5,1)="A",H1550,IF(CA1550=1,CB1550,IF(LEFT(Cockpit!$C$5,1)="B",AJ1550,MAX(AJ1550,H1550))))</f>
        <v>11</v>
      </c>
      <c r="AG1550" s="57" t="n">
        <f aca="false">IF(BT1550=1,0,ROUNDUP(AF1550/BS1550,0))</f>
        <v>1</v>
      </c>
      <c r="AH1550" s="59" t="n">
        <f aca="false">IF(CH1550&gt;0,CH1550*MAX(1,AF1550/X1550),IF(BT1550=1,IF(AF1550&lt;=0,0,BW1550*MAX(1,IF(H1550&gt;0,AF1550/H1550,1))),IF(R1550&gt;0,AG1550/R1550,0))/MAX(0.1,N(Parameter!$M$21)))</f>
        <v>0.0192307692307692</v>
      </c>
      <c r="AI1550" s="57" t="n">
        <f aca="false">AF1550*G1550</f>
        <v>99.99</v>
      </c>
      <c r="AJ1550" s="57" t="n">
        <f aca="false">ROUNDUP(MAX(J1550/IF(BZ1550&gt;0,BZ1550,MAX(0.1,N(Cockpit!$C$6))),CC1550)/BS1550,0)*BS1550</f>
        <v>11</v>
      </c>
      <c r="AK1550" s="58" t="n">
        <f aca="false">IF(AH1550&gt;0,J1550/AH1550,-1)</f>
        <v>0</v>
      </c>
      <c r="AL1550" s="58" t="n">
        <f aca="false">IF(AND(OR(BY1550="L1",BY1550="L23"),AH1550&gt;0),SUMIFS($AH$7:$AH$1843,$BY$7:$BY$1843,BY1550,$AK$7:$AK$1843,"&gt;"&amp;AK1550)+SUMIFS($AH$7:$AH$1843,$BY$7:$BY$1843,BY1550,$AK$7:$AK$1843,AK1550,$BQ$7:$BQ$1843,"&lt;="&amp;BQ1550),"")</f>
        <v>83.2989848315935</v>
      </c>
      <c r="AM1550" s="65" t="n">
        <f aca="false">IF(AL1550="",0,MAX(0,MIN(1,(IF(BY1550="L1",Parameter!$E$5,Parameter!$E$6+Parameter!$E$7)-(AL1550-AH1550))/AH1550)))</f>
        <v>1</v>
      </c>
      <c r="AN1550" s="57" t="n">
        <f aca="false">IF(LEFT(Cockpit!$I$5,1)="A",H1550,IF(CA1550=1,CB1550,IF(LEFT(Cockpit!$I$5,1)="B",AR1550,MAX(AR1550,H1550))))</f>
        <v>11</v>
      </c>
      <c r="AO1550" s="57" t="n">
        <f aca="false">IF(BT1550=1,0,ROUNDUP(AN1550/BS1550,0))</f>
        <v>1</v>
      </c>
      <c r="AP1550" s="59" t="n">
        <f aca="false">IF(CH1550&gt;0,CH1550*MAX(1,AN1550/X1550),IF(BT1550=1,IF(AN1550&lt;=0,0,BW1550*MAX(1,IF(H1550&gt;0,AN1550/H1550,1))),IF(R1550&gt;0,AO1550/R1550,0))/MAX(0.1,N(Parameter!$M$21)))</f>
        <v>0.0192307692307692</v>
      </c>
      <c r="AQ1550" s="57" t="n">
        <f aca="false">AN1550*G1550</f>
        <v>99.99</v>
      </c>
      <c r="AR1550" s="57" t="n">
        <f aca="false">ROUNDUP(MAX(J1550/IF(BZ1550&gt;0,BZ1550,MAX(0.1,N(Cockpit!$I$6))),CC1550)/BS1550,0)*BS1550</f>
        <v>11</v>
      </c>
      <c r="AS1550" s="58" t="n">
        <f aca="false">IF(AP1550&gt;0,J1550/AP1550,-1)</f>
        <v>0</v>
      </c>
      <c r="AT1550" s="58" t="n">
        <f aca="false">IF(AND(OR(BY1550="L1",BY1550="L23"),AP1550&gt;0),SUMIFS($AP$7:$AP$1843,$BY$7:$BY$1843,BY1550,$AS$7:$AS$1843,"&gt;"&amp;AS1550)+SUMIFS($AP$7:$AP$1843,$BY$7:$BY$1843,BY1550,$AS$7:$AS$1843,AS1550,$BQ$7:$BQ$1843,"&lt;="&amp;BQ1550),"")</f>
        <v>128.474198506807</v>
      </c>
      <c r="AU1550" s="65" t="n">
        <f aca="false">IF(AT1550="",0,MAX(0,MIN(1,(IF(BY1550="L1",Parameter!$E$5,Parameter!$E$6+Parameter!$E$7)-(AT1550-AP1550))/AP1550)))</f>
        <v>0</v>
      </c>
      <c r="AV1550" s="57" t="n">
        <f aca="false">IF(LEFT(Cockpit!$O$5,1)="A",H1550,IF(CA1550=1,CB1550,IF(LEFT(Cockpit!$O$5,1)="B",AZ1550,MAX(AZ1550,H1550))))</f>
        <v>11</v>
      </c>
      <c r="AW1550" s="57" t="n">
        <f aca="false">IF(BT1550=1,0,ROUNDUP(AV1550/BS1550,0))</f>
        <v>1</v>
      </c>
      <c r="AX1550" s="59" t="n">
        <f aca="false">IF(CH1550&gt;0,CH1550*MAX(1,AV1550/X1550),IF(BT1550=1,IF(AV1550&lt;=0,0,BW1550*MAX(1,IF(H1550&gt;0,AV1550/H1550,1))),IF(R1550&gt;0,AW1550/R1550,0))/MAX(0.1,N(Parameter!$M$21)))</f>
        <v>0.0192307692307692</v>
      </c>
      <c r="AY1550" s="57" t="n">
        <f aca="false">AV1550*G1550</f>
        <v>99.99</v>
      </c>
      <c r="AZ1550" s="57" t="n">
        <f aca="false">ROUNDUP(MAX(J1550/IF(BZ1550&gt;0,BZ1550,MAX(0.1,N(Cockpit!$O$6))),CC1550)/BS1550,0)*BS1550</f>
        <v>11</v>
      </c>
      <c r="BA1550" s="58" t="n">
        <f aca="false">IF(AX1550&gt;0,J1550/AX1550,-1)</f>
        <v>0</v>
      </c>
      <c r="BB1550" s="58" t="n">
        <f aca="false">IF(AND(OR(BY1550="L1",BY1550="L23"),AX1550&gt;0),SUMIFS($AX$7:$AX$1843,$BY$7:$BY$1843,BY1550,$BA$7:$BA$1843,"&gt;"&amp;BA1550)+SUMIFS($AX$7:$AX$1843,$BY$7:$BY$1843,BY1550,$BA$7:$BA$1843,BA1550,$BQ$7:$BQ$1843,"&lt;="&amp;BQ1550),"")</f>
        <v>119.304035336644</v>
      </c>
      <c r="BC1550" s="65" t="n">
        <f aca="false">IF(BB1550="",0,MAX(0,MIN(1,(IF(BY1550="L1",Parameter!$E$5,Parameter!$E$6+Parameter!$E$7)-(BB1550-AX1550))/AX1550)))</f>
        <v>0</v>
      </c>
      <c r="BD1550" s="55" t="str">
        <f aca="false">IF(AH1550&lt;=0,"",IF(BY1550="Aussen","Aussenlager",IF(BY1550="-","Nicht im Lift",IF(AM1550&gt;=1,"Lift",IF(AM1550&lt;=0,"Aussenlager","teilweise")))))</f>
        <v>Lift</v>
      </c>
      <c r="BE1550" s="55" t="str">
        <f aca="false">IF(AP1550&lt;=0,"",IF(BY1550="Aussen","Aussenlager",IF(BY1550="-","Nicht im Lift",IF(AU1550&gt;=1,"Lift",IF(AU1550&lt;=0,"Aussenlager","teilweise")))))</f>
        <v>Aussenlager</v>
      </c>
      <c r="BF1550" s="55" t="str">
        <f aca="false">IF(AX1550&lt;=0,"",IF(BY1550="Aussen","Aussenlager",IF(BY1550="-","Nicht im Lift",IF(BC1550&gt;=1,"Lift",IF(BC1550&lt;=0,"Aussenlager","teilweise")))))</f>
        <v>Aussenlager</v>
      </c>
      <c r="BG1550" s="55" t="str">
        <f aca="false">IF(A1550="","",IF(BP1550=1,"Neu; ","")&amp;IF(AND(BP1550=0,BK1550&lt;0),"negativer Bestand (Export "&amp;BK1550&amp;"); ","")&amp;IF(J1550&lt;=0,"Kein Verbrauch; ","")&amp;IF(CH1550&gt;0,"Lift "&amp;W1550&amp;" lt. Liftbericht (Fach "&amp;X1550&amp;" Stk); ",IF(BU1550=1,"Gebinde geschätzt ("&amp;T1550&amp;"); ",IF(BT1550=1,"Lose – Tablare geschätzt; ","")))&amp;IF(H1550&gt;AR1550,"Überbestand "&amp;ROUND(H1550-AR1550,0)&amp;" Stk / CHF "&amp;ROUND((H1550-AR1550)*G1550,0)&amp;"; ","")&amp;IF(AND(CA1550=1,CB1550&lt;CC1550),"MAX &lt; MB+LG; ","")&amp;IF(AND(CG1550&gt;0,CF1550*10&gt;CG1550),"zu hoch für Tablar; ","")&amp;IF(AND(BP1550=0,OR(CA1550=1,AA1550&lt;&gt;"",U1550&lt;&gt;"",V1550&lt;&gt;"",AB1550&lt;&gt;"")),"manuell übersteuert; ","")&amp;IF(AND(BT1550=0,R1550=0),"Gebinde unbekannt / Stellmass fehlt; ","")&amp;IF(AND(BT1550=0,N(V1550)&lt;=0,N(Q1550)&lt;=0),"Menge pro Gebinde fehlt (Ist = 1 Gebinde); ","")&amp;BO1550)</f>
        <v>Kein Verbrauch; nur im Artikelstamm (Bestand 23.06.2026)</v>
      </c>
      <c r="BH1550" s="55"/>
      <c r="BI1550" s="55"/>
      <c r="BJ1550" s="62"/>
      <c r="BK1550" s="57" t="n">
        <v>11</v>
      </c>
      <c r="BL1550" s="57" t="n">
        <v>0</v>
      </c>
      <c r="BM1550" s="56" t="n">
        <v>0</v>
      </c>
      <c r="BN1550" s="57" t="n">
        <v>0</v>
      </c>
      <c r="BO1550" s="55" t="s">
        <v>2575</v>
      </c>
      <c r="BP1550" s="60" t="n">
        <v>0</v>
      </c>
      <c r="BQ1550" s="60" t="n">
        <v>1550</v>
      </c>
      <c r="BR1550" s="55" t="str">
        <f aca="false">IF(U1550&lt;&gt;"",UPPER(TRIM(U1550)),IF(BU1550=1,UPPER(VLOOKUP(T1550,Parameter!$I$27:$K$29,2,0)),IF(P1550="","LOSE",P1550)))</f>
        <v>S41</v>
      </c>
      <c r="BS1550" s="57" t="n">
        <f aca="false">IF(BR1550="LOSE",1,IF(N(V1550)&gt;0,V1550,IF(BU1550=1,MAX(1,N(VLOOKUP(T1550,Parameter!$I$27:$K$29,3,0)),H1550,N(N1550)),IF(N(Q1550)&gt;0,Q1550,MAX(1,H1550)))))</f>
        <v>11</v>
      </c>
      <c r="BT1550" s="60" t="n">
        <f aca="false">IF(BR1550="LOSE",1,0)</f>
        <v>0</v>
      </c>
      <c r="BU1550" s="60" t="n">
        <f aca="false">IF(AND(U1550="",OR(P1550="",P1550="LOSE"),T1550&lt;&gt;"",N(S1550)&lt;=0,ISNUMBER(MATCH(T1550,Parameter!$I$27:$I$29,0))),1,0)</f>
        <v>0</v>
      </c>
      <c r="BV1550" s="55" t="str">
        <f aca="false">IF(AND(Parameter!$B$19="Ja",E1550&lt;&gt;"",ISNUMBER(MATCH(E1550,Parameter!$I$35:$I$52,0))),VLOOKUP(E1550,Parameter!$I$35:$J$52,2,0),IFERROR(VLOOKUP(D1550,Parameter!$A$35:$C$64,2,0),"Nein"))</f>
        <v>2+3</v>
      </c>
      <c r="BW1550" s="59" t="n">
        <f aca="false">IF(BT1550=0,0,IF(N(S1550)&gt;0,S1550,IFERROR(VLOOKUP(D1550,Parameter!$A$35:$C$64,3,0)+0,0)))</f>
        <v>0</v>
      </c>
      <c r="BX1550" s="55" t="n">
        <f aca="false">IF(AA1550&lt;&gt;"",AA1550,Z1550)</f>
        <v>3</v>
      </c>
      <c r="BY1550" s="55" t="str">
        <f aca="false">IF(BX1550=1,"L1",IF(OR(BX1550=2,BX1550=3),"L23",IF(BX1550="Aussen","Aussen","-")))</f>
        <v>L23</v>
      </c>
      <c r="BZ1550" s="66" t="n">
        <f aca="false">IF(N(AB1550)&gt;0,AB1550,0)</f>
        <v>0</v>
      </c>
      <c r="CA1550" s="60" t="n">
        <f aca="false">IF(ISNUMBER(AE1550),1,0)</f>
        <v>0</v>
      </c>
      <c r="CB1550" s="57" t="n">
        <f aca="false">N(AE1550)</f>
        <v>0</v>
      </c>
      <c r="CC1550" s="57" t="n">
        <f aca="false">N(M1550)+N(N1550)</f>
        <v>1</v>
      </c>
      <c r="CD1550" s="57" t="n">
        <f aca="false">ROUNDUP(H1550/BS1550,0)</f>
        <v>1</v>
      </c>
      <c r="CE1550" s="57" t="n">
        <f aca="false">ROUNDUP(CB1550/BS1550,0)</f>
        <v>0</v>
      </c>
      <c r="CF1550" s="60" t="n">
        <f aca="false">IF(BT1550=1,0,IFERROR(VLOOKUP(BR1550,'Gebinde-Kategorie'!$A$5:$M$45,5,0)+0,0))</f>
        <v>11</v>
      </c>
      <c r="CG1550" s="60" t="n">
        <f aca="false">IFERROR(IF(OR(BX1550=1,BX1550=2,BX1550=3),N(INDEX(Parameter!$I$5:$I$7,BX1550)),0),0)</f>
        <v>0</v>
      </c>
      <c r="CH1550" s="59" t="n">
        <f aca="false">IF(AND(Parameter!$B$21="Ja",ISNUMBER(W1550),N(X1550)&gt;0),IFERROR(N(INDEX(Parameter!$L$5:$L$7,W1550))*INDEX(Parameter!$E$5:$E$7,W1550)*X1550/SUMIFS($X$7:$X$1843,$W$7:$W$1843,W1550),0),0)</f>
        <v>0</v>
      </c>
    </row>
    <row r="1551" customFormat="false" ht="15" hidden="false" customHeight="false" outlineLevel="0" collapsed="false">
      <c r="A1551" s="55" t="s">
        <v>2711</v>
      </c>
      <c r="B1551" s="55" t="s">
        <v>598</v>
      </c>
      <c r="C1551" s="55" t="s">
        <v>164</v>
      </c>
      <c r="D1551" s="55" t="s">
        <v>173</v>
      </c>
      <c r="E1551" s="55" t="s">
        <v>185</v>
      </c>
      <c r="F1551" s="55"/>
      <c r="G1551" s="56" t="n">
        <v>40.28</v>
      </c>
      <c r="H1551" s="57" t="n">
        <f aca="false">MAX(0,IF(AND(Parameter!$B$21="Ja",ISNUMBER(Y1551)),Y1551,IF(Parameter!$B$20="Jahresanfang 2025 + Export",BL1551+BK1551,BK1551)))</f>
        <v>13</v>
      </c>
      <c r="I1551" s="57" t="n">
        <f aca="false">H1551*G1551</f>
        <v>523.64</v>
      </c>
      <c r="J1551" s="57" t="n">
        <f aca="false">BN1551*Parameter!$B$18</f>
        <v>0</v>
      </c>
      <c r="K1551" s="58"/>
      <c r="L1551" s="59"/>
      <c r="M1551" s="57" t="n">
        <v>0</v>
      </c>
      <c r="N1551" s="57" t="n">
        <v>1</v>
      </c>
      <c r="O1551" s="60" t="n">
        <v>84</v>
      </c>
      <c r="P1551" s="55" t="s">
        <v>421</v>
      </c>
      <c r="Q1551" s="57" t="n">
        <v>13</v>
      </c>
      <c r="R1551" s="60" t="n">
        <f aca="false">IF(BT1551=1,0,IFERROR(VLOOKUP(BR1551,'Gebinde-Kategorie'!$A$5:$M$45,13,0)+0,0))</f>
        <v>132</v>
      </c>
      <c r="S1551" s="61"/>
      <c r="T1551" s="62"/>
      <c r="U1551" s="62"/>
      <c r="V1551" s="62"/>
      <c r="W1551" s="55"/>
      <c r="X1551" s="57"/>
      <c r="Y1551" s="57"/>
      <c r="Z1551" s="55" t="n">
        <f aca="false">IF(A1551="","",IF(AND(Parameter!$B$21="Ja",ISNUMBER(W1551)),W1551,IF(BV1551="2+3",IF(ISNUMBER(SEARCH("grosser Artikel",BO1551)),2,IFERROR(VLOOKUP(BR1551,Parameter!$F$35:$G$64,2,0),2)),IF(OR(BV1551="Nein",BV1551=""),"-",BV1551))))</f>
        <v>3</v>
      </c>
      <c r="AA1551" s="62"/>
      <c r="AB1551" s="63"/>
      <c r="AC1551" s="57" t="n">
        <f aca="false">AR1551</f>
        <v>13</v>
      </c>
      <c r="AD1551" s="57" t="n">
        <f aca="false">MAX(AR1551,H1551)</f>
        <v>13</v>
      </c>
      <c r="AE1551" s="64"/>
      <c r="AF1551" s="57" t="n">
        <f aca="false">IF(LEFT(Cockpit!$C$5,1)="A",H1551,IF(CA1551=1,CB1551,IF(LEFT(Cockpit!$C$5,1)="B",AJ1551,MAX(AJ1551,H1551))))</f>
        <v>13</v>
      </c>
      <c r="AG1551" s="57" t="n">
        <f aca="false">IF(BT1551=1,0,ROUNDUP(AF1551/BS1551,0))</f>
        <v>1</v>
      </c>
      <c r="AH1551" s="59" t="n">
        <f aca="false">IF(CH1551&gt;0,CH1551*MAX(1,AF1551/X1551),IF(BT1551=1,IF(AF1551&lt;=0,0,BW1551*MAX(1,IF(H1551&gt;0,AF1551/H1551,1))),IF(R1551&gt;0,AG1551/R1551,0))/MAX(0.1,N(Parameter!$M$21)))</f>
        <v>0.00757575757575758</v>
      </c>
      <c r="AI1551" s="57" t="n">
        <f aca="false">AF1551*G1551</f>
        <v>523.64</v>
      </c>
      <c r="AJ1551" s="57" t="n">
        <f aca="false">ROUNDUP(MAX(J1551/IF(BZ1551&gt;0,BZ1551,MAX(0.1,N(Cockpit!$C$6))),CC1551)/BS1551,0)*BS1551</f>
        <v>13</v>
      </c>
      <c r="AK1551" s="58" t="n">
        <f aca="false">IF(AH1551&gt;0,J1551/AH1551,-1)</f>
        <v>0</v>
      </c>
      <c r="AL1551" s="58" t="n">
        <f aca="false">IF(AND(OR(BY1551="L1",BY1551="L23"),AH1551&gt;0),SUMIFS($AH$7:$AH$1843,$BY$7:$BY$1843,BY1551,$AK$7:$AK$1843,"&gt;"&amp;AK1551)+SUMIFS($AH$7:$AH$1843,$BY$7:$BY$1843,BY1551,$AK$7:$AK$1843,AK1551,$BQ$7:$BQ$1843,"&lt;="&amp;BQ1551),"")</f>
        <v>83.3065605891693</v>
      </c>
      <c r="AM1551" s="65" t="n">
        <f aca="false">IF(AL1551="",0,MAX(0,MIN(1,(IF(BY1551="L1",Parameter!$E$5,Parameter!$E$6+Parameter!$E$7)-(AL1551-AH1551))/AH1551)))</f>
        <v>1</v>
      </c>
      <c r="AN1551" s="57" t="n">
        <f aca="false">IF(LEFT(Cockpit!$I$5,1)="A",H1551,IF(CA1551=1,CB1551,IF(LEFT(Cockpit!$I$5,1)="B",AR1551,MAX(AR1551,H1551))))</f>
        <v>13</v>
      </c>
      <c r="AO1551" s="57" t="n">
        <f aca="false">IF(BT1551=1,0,ROUNDUP(AN1551/BS1551,0))</f>
        <v>1</v>
      </c>
      <c r="AP1551" s="59" t="n">
        <f aca="false">IF(CH1551&gt;0,CH1551*MAX(1,AN1551/X1551),IF(BT1551=1,IF(AN1551&lt;=0,0,BW1551*MAX(1,IF(H1551&gt;0,AN1551/H1551,1))),IF(R1551&gt;0,AO1551/R1551,0))/MAX(0.1,N(Parameter!$M$21)))</f>
        <v>0.00757575757575758</v>
      </c>
      <c r="AQ1551" s="57" t="n">
        <f aca="false">AN1551*G1551</f>
        <v>523.64</v>
      </c>
      <c r="AR1551" s="57" t="n">
        <f aca="false">ROUNDUP(MAX(J1551/IF(BZ1551&gt;0,BZ1551,MAX(0.1,N(Cockpit!$I$6))),CC1551)/BS1551,0)*BS1551</f>
        <v>13</v>
      </c>
      <c r="AS1551" s="58" t="n">
        <f aca="false">IF(AP1551&gt;0,J1551/AP1551,-1)</f>
        <v>0</v>
      </c>
      <c r="AT1551" s="58" t="n">
        <f aca="false">IF(AND(OR(BY1551="L1",BY1551="L23"),AP1551&gt;0),SUMIFS($AP$7:$AP$1843,$BY$7:$BY$1843,BY1551,$AS$7:$AS$1843,"&gt;"&amp;AS1551)+SUMIFS($AP$7:$AP$1843,$BY$7:$BY$1843,BY1551,$AS$7:$AS$1843,AS1551,$BQ$7:$BQ$1843,"&lt;="&amp;BQ1551),"")</f>
        <v>128.481774264383</v>
      </c>
      <c r="AU1551" s="65" t="n">
        <f aca="false">IF(AT1551="",0,MAX(0,MIN(1,(IF(BY1551="L1",Parameter!$E$5,Parameter!$E$6+Parameter!$E$7)-(AT1551-AP1551))/AP1551)))</f>
        <v>0</v>
      </c>
      <c r="AV1551" s="57" t="n">
        <f aca="false">IF(LEFT(Cockpit!$O$5,1)="A",H1551,IF(CA1551=1,CB1551,IF(LEFT(Cockpit!$O$5,1)="B",AZ1551,MAX(AZ1551,H1551))))</f>
        <v>13</v>
      </c>
      <c r="AW1551" s="57" t="n">
        <f aca="false">IF(BT1551=1,0,ROUNDUP(AV1551/BS1551,0))</f>
        <v>1</v>
      </c>
      <c r="AX1551" s="59" t="n">
        <f aca="false">IF(CH1551&gt;0,CH1551*MAX(1,AV1551/X1551),IF(BT1551=1,IF(AV1551&lt;=0,0,BW1551*MAX(1,IF(H1551&gt;0,AV1551/H1551,1))),IF(R1551&gt;0,AW1551/R1551,0))/MAX(0.1,N(Parameter!$M$21)))</f>
        <v>0.00757575757575758</v>
      </c>
      <c r="AY1551" s="57" t="n">
        <f aca="false">AV1551*G1551</f>
        <v>523.64</v>
      </c>
      <c r="AZ1551" s="57" t="n">
        <f aca="false">ROUNDUP(MAX(J1551/IF(BZ1551&gt;0,BZ1551,MAX(0.1,N(Cockpit!$O$6))),CC1551)/BS1551,0)*BS1551</f>
        <v>13</v>
      </c>
      <c r="BA1551" s="58" t="n">
        <f aca="false">IF(AX1551&gt;0,J1551/AX1551,-1)</f>
        <v>0</v>
      </c>
      <c r="BB1551" s="58" t="n">
        <f aca="false">IF(AND(OR(BY1551="L1",BY1551="L23"),AX1551&gt;0),SUMIFS($AX$7:$AX$1843,$BY$7:$BY$1843,BY1551,$BA$7:$BA$1843,"&gt;"&amp;BA1551)+SUMIFS($AX$7:$AX$1843,$BY$7:$BY$1843,BY1551,$BA$7:$BA$1843,BA1551,$BQ$7:$BQ$1843,"&lt;="&amp;BQ1551),"")</f>
        <v>119.31161109422</v>
      </c>
      <c r="BC1551" s="65" t="n">
        <f aca="false">IF(BB1551="",0,MAX(0,MIN(1,(IF(BY1551="L1",Parameter!$E$5,Parameter!$E$6+Parameter!$E$7)-(BB1551-AX1551))/AX1551)))</f>
        <v>0</v>
      </c>
      <c r="BD1551" s="55" t="str">
        <f aca="false">IF(AH1551&lt;=0,"",IF(BY1551="Aussen","Aussenlager",IF(BY1551="-","Nicht im Lift",IF(AM1551&gt;=1,"Lift",IF(AM1551&lt;=0,"Aussenlager","teilweise")))))</f>
        <v>Lift</v>
      </c>
      <c r="BE1551" s="55" t="str">
        <f aca="false">IF(AP1551&lt;=0,"",IF(BY1551="Aussen","Aussenlager",IF(BY1551="-","Nicht im Lift",IF(AU1551&gt;=1,"Lift",IF(AU1551&lt;=0,"Aussenlager","teilweise")))))</f>
        <v>Aussenlager</v>
      </c>
      <c r="BF1551" s="55" t="str">
        <f aca="false">IF(AX1551&lt;=0,"",IF(BY1551="Aussen","Aussenlager",IF(BY1551="-","Nicht im Lift",IF(BC1551&gt;=1,"Lift",IF(BC1551&lt;=0,"Aussenlager","teilweise")))))</f>
        <v>Aussenlager</v>
      </c>
      <c r="BG1551" s="55" t="str">
        <f aca="false">IF(A1551="","",IF(BP1551=1,"Neu; ","")&amp;IF(AND(BP1551=0,BK1551&lt;0),"negativer Bestand (Export "&amp;BK1551&amp;"); ","")&amp;IF(J1551&lt;=0,"Kein Verbrauch; ","")&amp;IF(CH1551&gt;0,"Lift "&amp;W1551&amp;" lt. Liftbericht (Fach "&amp;X1551&amp;" Stk); ",IF(BU1551=1,"Gebinde geschätzt ("&amp;T1551&amp;"); ",IF(BT1551=1,"Lose – Tablare geschätzt; ","")))&amp;IF(H1551&gt;AR1551,"Überbestand "&amp;ROUND(H1551-AR1551,0)&amp;" Stk / CHF "&amp;ROUND((H1551-AR1551)*G1551,0)&amp;"; ","")&amp;IF(AND(CA1551=1,CB1551&lt;CC1551),"MAX &lt; MB+LG; ","")&amp;IF(AND(CG1551&gt;0,CF1551*10&gt;CG1551),"zu hoch für Tablar; ","")&amp;IF(AND(BP1551=0,OR(CA1551=1,AA1551&lt;&gt;"",U1551&lt;&gt;"",V1551&lt;&gt;"",AB1551&lt;&gt;"")),"manuell übersteuert; ","")&amp;IF(AND(BT1551=0,R1551=0),"Gebinde unbekannt / Stellmass fehlt; ","")&amp;IF(AND(BT1551=0,N(V1551)&lt;=0,N(Q1551)&lt;=0),"Menge pro Gebinde fehlt (Ist = 1 Gebinde); ","")&amp;BO1551)</f>
        <v>Kein Verbrauch; nur im Artikelstamm (Bestand 23.06.2026); Neu</v>
      </c>
      <c r="BH1551" s="55"/>
      <c r="BI1551" s="55"/>
      <c r="BJ1551" s="62"/>
      <c r="BK1551" s="57" t="n">
        <v>13</v>
      </c>
      <c r="BL1551" s="57" t="n">
        <v>0</v>
      </c>
      <c r="BM1551" s="56" t="n">
        <v>0</v>
      </c>
      <c r="BN1551" s="57" t="n">
        <v>0</v>
      </c>
      <c r="BO1551" s="55" t="s">
        <v>2667</v>
      </c>
      <c r="BP1551" s="60" t="n">
        <v>0</v>
      </c>
      <c r="BQ1551" s="60" t="n">
        <v>1551</v>
      </c>
      <c r="BR1551" s="55" t="str">
        <f aca="false">IF(U1551&lt;&gt;"",UPPER(TRIM(U1551)),IF(BU1551=1,UPPER(VLOOKUP(T1551,Parameter!$I$27:$K$29,2,0)),IF(P1551="","LOSE",P1551)))</f>
        <v>S32</v>
      </c>
      <c r="BS1551" s="57" t="n">
        <f aca="false">IF(BR1551="LOSE",1,IF(N(V1551)&gt;0,V1551,IF(BU1551=1,MAX(1,N(VLOOKUP(T1551,Parameter!$I$27:$K$29,3,0)),H1551,N(N1551)),IF(N(Q1551)&gt;0,Q1551,MAX(1,H1551)))))</f>
        <v>13</v>
      </c>
      <c r="BT1551" s="60" t="n">
        <f aca="false">IF(BR1551="LOSE",1,0)</f>
        <v>0</v>
      </c>
      <c r="BU1551" s="60" t="n">
        <f aca="false">IF(AND(U1551="",OR(P1551="",P1551="LOSE"),T1551&lt;&gt;"",N(S1551)&lt;=0,ISNUMBER(MATCH(T1551,Parameter!$I$27:$I$29,0))),1,0)</f>
        <v>0</v>
      </c>
      <c r="BV1551" s="55" t="str">
        <f aca="false">IF(AND(Parameter!$B$19="Ja",E1551&lt;&gt;"",ISNUMBER(MATCH(E1551,Parameter!$I$35:$I$52,0))),VLOOKUP(E1551,Parameter!$I$35:$J$52,2,0),IFERROR(VLOOKUP(D1551,Parameter!$A$35:$C$64,2,0),"Nein"))</f>
        <v>2+3</v>
      </c>
      <c r="BW1551" s="59" t="n">
        <f aca="false">IF(BT1551=0,0,IF(N(S1551)&gt;0,S1551,IFERROR(VLOOKUP(D1551,Parameter!$A$35:$C$64,3,0)+0,0)))</f>
        <v>0</v>
      </c>
      <c r="BX1551" s="55" t="n">
        <f aca="false">IF(AA1551&lt;&gt;"",AA1551,Z1551)</f>
        <v>3</v>
      </c>
      <c r="BY1551" s="55" t="str">
        <f aca="false">IF(BX1551=1,"L1",IF(OR(BX1551=2,BX1551=3),"L23",IF(BX1551="Aussen","Aussen","-")))</f>
        <v>L23</v>
      </c>
      <c r="BZ1551" s="66" t="n">
        <f aca="false">IF(N(AB1551)&gt;0,AB1551,0)</f>
        <v>0</v>
      </c>
      <c r="CA1551" s="60" t="n">
        <f aca="false">IF(ISNUMBER(AE1551),1,0)</f>
        <v>0</v>
      </c>
      <c r="CB1551" s="57" t="n">
        <f aca="false">N(AE1551)</f>
        <v>0</v>
      </c>
      <c r="CC1551" s="57" t="n">
        <f aca="false">N(M1551)+N(N1551)</f>
        <v>1</v>
      </c>
      <c r="CD1551" s="57" t="n">
        <f aca="false">ROUNDUP(H1551/BS1551,0)</f>
        <v>1</v>
      </c>
      <c r="CE1551" s="57" t="n">
        <f aca="false">ROUNDUP(CB1551/BS1551,0)</f>
        <v>0</v>
      </c>
      <c r="CF1551" s="60" t="n">
        <f aca="false">IF(BT1551=1,0,IFERROR(VLOOKUP(BR1551,'Gebinde-Kategorie'!$A$5:$M$45,5,0)+0,0))</f>
        <v>8</v>
      </c>
      <c r="CG1551" s="60" t="n">
        <f aca="false">IFERROR(IF(OR(BX1551=1,BX1551=2,BX1551=3),N(INDEX(Parameter!$I$5:$I$7,BX1551)),0),0)</f>
        <v>0</v>
      </c>
      <c r="CH1551" s="59" t="n">
        <f aca="false">IF(AND(Parameter!$B$21="Ja",ISNUMBER(W1551),N(X1551)&gt;0),IFERROR(N(INDEX(Parameter!$L$5:$L$7,W1551))*INDEX(Parameter!$E$5:$E$7,W1551)*X1551/SUMIFS($X$7:$X$1843,$W$7:$W$1843,W1551),0),0)</f>
        <v>0</v>
      </c>
    </row>
    <row r="1552" customFormat="false" ht="15" hidden="false" customHeight="false" outlineLevel="0" collapsed="false">
      <c r="A1552" s="55" t="s">
        <v>2712</v>
      </c>
      <c r="B1552" s="55" t="s">
        <v>1868</v>
      </c>
      <c r="C1552" s="55" t="s">
        <v>164</v>
      </c>
      <c r="D1552" s="55" t="s">
        <v>184</v>
      </c>
      <c r="E1552" s="55" t="s">
        <v>185</v>
      </c>
      <c r="F1552" s="55"/>
      <c r="G1552" s="56" t="n">
        <v>157.32</v>
      </c>
      <c r="H1552" s="57" t="n">
        <f aca="false">MAX(0,IF(AND(Parameter!$B$21="Ja",ISNUMBER(Y1552)),Y1552,IF(Parameter!$B$20="Jahresanfang 2025 + Export",BL1552+BK1552,BK1552)))</f>
        <v>4</v>
      </c>
      <c r="I1552" s="57" t="n">
        <f aca="false">H1552*G1552</f>
        <v>629.28</v>
      </c>
      <c r="J1552" s="57" t="n">
        <f aca="false">BN1552*Parameter!$B$18</f>
        <v>0</v>
      </c>
      <c r="K1552" s="58"/>
      <c r="L1552" s="59"/>
      <c r="M1552" s="57" t="n">
        <v>0</v>
      </c>
      <c r="N1552" s="57" t="n">
        <v>5</v>
      </c>
      <c r="O1552" s="60" t="n">
        <v>119</v>
      </c>
      <c r="P1552" s="55" t="s">
        <v>302</v>
      </c>
      <c r="Q1552" s="57" t="n">
        <v>4</v>
      </c>
      <c r="R1552" s="60" t="n">
        <f aca="false">IF(BT1552=1,0,IFERROR(VLOOKUP(BR1552,'Gebinde-Kategorie'!$A$5:$M$45,13,0)+0,0))</f>
        <v>26</v>
      </c>
      <c r="S1552" s="61"/>
      <c r="T1552" s="62"/>
      <c r="U1552" s="62"/>
      <c r="V1552" s="62"/>
      <c r="W1552" s="55"/>
      <c r="X1552" s="57"/>
      <c r="Y1552" s="57"/>
      <c r="Z1552" s="55" t="n">
        <f aca="false">IF(A1552="","",IF(AND(Parameter!$B$21="Ja",ISNUMBER(W1552)),W1552,IF(BV1552="2+3",IF(ISNUMBER(SEARCH("grosser Artikel",BO1552)),2,IFERROR(VLOOKUP(BR1552,Parameter!$F$35:$G$64,2,0),2)),IF(OR(BV1552="Nein",BV1552=""),"-",BV1552))))</f>
        <v>3</v>
      </c>
      <c r="AA1552" s="62"/>
      <c r="AB1552" s="63"/>
      <c r="AC1552" s="57" t="n">
        <f aca="false">AR1552</f>
        <v>8</v>
      </c>
      <c r="AD1552" s="57" t="n">
        <f aca="false">MAX(AR1552,H1552)</f>
        <v>8</v>
      </c>
      <c r="AE1552" s="64"/>
      <c r="AF1552" s="57" t="n">
        <f aca="false">IF(LEFT(Cockpit!$C$5,1)="A",H1552,IF(CA1552=1,CB1552,IF(LEFT(Cockpit!$C$5,1)="B",AJ1552,MAX(AJ1552,H1552))))</f>
        <v>4</v>
      </c>
      <c r="AG1552" s="57" t="n">
        <f aca="false">IF(BT1552=1,0,ROUNDUP(AF1552/BS1552,0))</f>
        <v>1</v>
      </c>
      <c r="AH1552" s="59" t="n">
        <f aca="false">IF(CH1552&gt;0,CH1552*MAX(1,AF1552/X1552),IF(BT1552=1,IF(AF1552&lt;=0,0,BW1552*MAX(1,IF(H1552&gt;0,AF1552/H1552,1))),IF(R1552&gt;0,AG1552/R1552,0))/MAX(0.1,N(Parameter!$M$21)))</f>
        <v>0.0384615384615385</v>
      </c>
      <c r="AI1552" s="57" t="n">
        <f aca="false">AF1552*G1552</f>
        <v>629.28</v>
      </c>
      <c r="AJ1552" s="57" t="n">
        <f aca="false">ROUNDUP(MAX(J1552/IF(BZ1552&gt;0,BZ1552,MAX(0.1,N(Cockpit!$C$6))),CC1552)/BS1552,0)*BS1552</f>
        <v>8</v>
      </c>
      <c r="AK1552" s="58" t="n">
        <f aca="false">IF(AH1552&gt;0,J1552/AH1552,-1)</f>
        <v>0</v>
      </c>
      <c r="AL1552" s="58" t="n">
        <f aca="false">IF(AND(OR(BY1552="L1",BY1552="L23"),AH1552&gt;0),SUMIFS($AH$7:$AH$1843,$BY$7:$BY$1843,BY1552,$AK$7:$AK$1843,"&gt;"&amp;AK1552)+SUMIFS($AH$7:$AH$1843,$BY$7:$BY$1843,BY1552,$AK$7:$AK$1843,AK1552,$BQ$7:$BQ$1843,"&lt;="&amp;BQ1552),"")</f>
        <v>83.3450221276308</v>
      </c>
      <c r="AM1552" s="65" t="n">
        <f aca="false">IF(AL1552="",0,MAX(0,MIN(1,(IF(BY1552="L1",Parameter!$E$5,Parameter!$E$6+Parameter!$E$7)-(AL1552-AH1552))/AH1552)))</f>
        <v>1</v>
      </c>
      <c r="AN1552" s="57" t="n">
        <f aca="false">IF(LEFT(Cockpit!$I$5,1)="A",H1552,IF(CA1552=1,CB1552,IF(LEFT(Cockpit!$I$5,1)="B",AR1552,MAX(AR1552,H1552))))</f>
        <v>8</v>
      </c>
      <c r="AO1552" s="57" t="n">
        <f aca="false">IF(BT1552=1,0,ROUNDUP(AN1552/BS1552,0))</f>
        <v>2</v>
      </c>
      <c r="AP1552" s="59" t="n">
        <f aca="false">IF(CH1552&gt;0,CH1552*MAX(1,AN1552/X1552),IF(BT1552=1,IF(AN1552&lt;=0,0,BW1552*MAX(1,IF(H1552&gt;0,AN1552/H1552,1))),IF(R1552&gt;0,AO1552/R1552,0))/MAX(0.1,N(Parameter!$M$21)))</f>
        <v>0.0769230769230769</v>
      </c>
      <c r="AQ1552" s="57" t="n">
        <f aca="false">AN1552*G1552</f>
        <v>1258.56</v>
      </c>
      <c r="AR1552" s="57" t="n">
        <f aca="false">ROUNDUP(MAX(J1552/IF(BZ1552&gt;0,BZ1552,MAX(0.1,N(Cockpit!$I$6))),CC1552)/BS1552,0)*BS1552</f>
        <v>8</v>
      </c>
      <c r="AS1552" s="58" t="n">
        <f aca="false">IF(AP1552&gt;0,J1552/AP1552,-1)</f>
        <v>0</v>
      </c>
      <c r="AT1552" s="58" t="n">
        <f aca="false">IF(AND(OR(BY1552="L1",BY1552="L23"),AP1552&gt;0),SUMIFS($AP$7:$AP$1843,$BY$7:$BY$1843,BY1552,$AS$7:$AS$1843,"&gt;"&amp;AS1552)+SUMIFS($AP$7:$AP$1843,$BY$7:$BY$1843,BY1552,$AS$7:$AS$1843,AS1552,$BQ$7:$BQ$1843,"&lt;="&amp;BQ1552),"")</f>
        <v>128.558697341306</v>
      </c>
      <c r="AU1552" s="65" t="n">
        <f aca="false">IF(AT1552="",0,MAX(0,MIN(1,(IF(BY1552="L1",Parameter!$E$5,Parameter!$E$6+Parameter!$E$7)-(AT1552-AP1552))/AP1552)))</f>
        <v>0</v>
      </c>
      <c r="AV1552" s="57" t="n">
        <f aca="false">IF(LEFT(Cockpit!$O$5,1)="A",H1552,IF(CA1552=1,CB1552,IF(LEFT(Cockpit!$O$5,1)="B",AZ1552,MAX(AZ1552,H1552))))</f>
        <v>8</v>
      </c>
      <c r="AW1552" s="57" t="n">
        <f aca="false">IF(BT1552=1,0,ROUNDUP(AV1552/BS1552,0))</f>
        <v>2</v>
      </c>
      <c r="AX1552" s="59" t="n">
        <f aca="false">IF(CH1552&gt;0,CH1552*MAX(1,AV1552/X1552),IF(BT1552=1,IF(AV1552&lt;=0,0,BW1552*MAX(1,IF(H1552&gt;0,AV1552/H1552,1))),IF(R1552&gt;0,AW1552/R1552,0))/MAX(0.1,N(Parameter!$M$21)))</f>
        <v>0.0769230769230769</v>
      </c>
      <c r="AY1552" s="57" t="n">
        <f aca="false">AV1552*G1552</f>
        <v>1258.56</v>
      </c>
      <c r="AZ1552" s="57" t="n">
        <f aca="false">ROUNDUP(MAX(J1552/IF(BZ1552&gt;0,BZ1552,MAX(0.1,N(Cockpit!$O$6))),CC1552)/BS1552,0)*BS1552</f>
        <v>8</v>
      </c>
      <c r="BA1552" s="58" t="n">
        <f aca="false">IF(AX1552&gt;0,J1552/AX1552,-1)</f>
        <v>0</v>
      </c>
      <c r="BB1552" s="58" t="n">
        <f aca="false">IF(AND(OR(BY1552="L1",BY1552="L23"),AX1552&gt;0),SUMIFS($AX$7:$AX$1843,$BY$7:$BY$1843,BY1552,$BA$7:$BA$1843,"&gt;"&amp;BA1552)+SUMIFS($AX$7:$AX$1843,$BY$7:$BY$1843,BY1552,$BA$7:$BA$1843,BA1552,$BQ$7:$BQ$1843,"&lt;="&amp;BQ1552),"")</f>
        <v>119.388534171143</v>
      </c>
      <c r="BC1552" s="65" t="n">
        <f aca="false">IF(BB1552="",0,MAX(0,MIN(1,(IF(BY1552="L1",Parameter!$E$5,Parameter!$E$6+Parameter!$E$7)-(BB1552-AX1552))/AX1552)))</f>
        <v>0</v>
      </c>
      <c r="BD1552" s="55" t="str">
        <f aca="false">IF(AH1552&lt;=0,"",IF(BY1552="Aussen","Aussenlager",IF(BY1552="-","Nicht im Lift",IF(AM1552&gt;=1,"Lift",IF(AM1552&lt;=0,"Aussenlager","teilweise")))))</f>
        <v>Lift</v>
      </c>
      <c r="BE1552" s="55" t="str">
        <f aca="false">IF(AP1552&lt;=0,"",IF(BY1552="Aussen","Aussenlager",IF(BY1552="-","Nicht im Lift",IF(AU1552&gt;=1,"Lift",IF(AU1552&lt;=0,"Aussenlager","teilweise")))))</f>
        <v>Aussenlager</v>
      </c>
      <c r="BF1552" s="55" t="str">
        <f aca="false">IF(AX1552&lt;=0,"",IF(BY1552="Aussen","Aussenlager",IF(BY1552="-","Nicht im Lift",IF(BC1552&gt;=1,"Lift",IF(BC1552&lt;=0,"Aussenlager","teilweise")))))</f>
        <v>Aussenlager</v>
      </c>
      <c r="BG1552" s="55" t="str">
        <f aca="false">IF(A1552="","",IF(BP1552=1,"Neu; ","")&amp;IF(AND(BP1552=0,BK1552&lt;0),"negativer Bestand (Export "&amp;BK1552&amp;"); ","")&amp;IF(J1552&lt;=0,"Kein Verbrauch; ","")&amp;IF(CH1552&gt;0,"Lift "&amp;W1552&amp;" lt. Liftbericht (Fach "&amp;X1552&amp;" Stk); ",IF(BU1552=1,"Gebinde geschätzt ("&amp;T1552&amp;"); ",IF(BT1552=1,"Lose – Tablare geschätzt; ","")))&amp;IF(H1552&gt;AR1552,"Überbestand "&amp;ROUND(H1552-AR1552,0)&amp;" Stk / CHF "&amp;ROUND((H1552-AR1552)*G1552,0)&amp;"; ","")&amp;IF(AND(CA1552=1,CB1552&lt;CC1552),"MAX &lt; MB+LG; ","")&amp;IF(AND(CG1552&gt;0,CF1552*10&gt;CG1552),"zu hoch für Tablar; ","")&amp;IF(AND(BP1552=0,OR(CA1552=1,AA1552&lt;&gt;"",U1552&lt;&gt;"",V1552&lt;&gt;"",AB1552&lt;&gt;"")),"manuell übersteuert; ","")&amp;IF(AND(BT1552=0,R1552=0),"Gebinde unbekannt / Stellmass fehlt; ","")&amp;IF(AND(BT1552=0,N(V1552)&lt;=0,N(Q1552)&lt;=0),"Menge pro Gebinde fehlt (Ist = 1 Gebinde); ","")&amp;BO1552)</f>
        <v>Kein Verbrauch; nur im Artikelstamm (Bestand 23.06.2026); Neu</v>
      </c>
      <c r="BH1552" s="55"/>
      <c r="BI1552" s="55"/>
      <c r="BJ1552" s="62"/>
      <c r="BK1552" s="57" t="n">
        <v>4</v>
      </c>
      <c r="BL1552" s="57" t="n">
        <v>0</v>
      </c>
      <c r="BM1552" s="56" t="n">
        <v>0</v>
      </c>
      <c r="BN1552" s="57" t="n">
        <v>0</v>
      </c>
      <c r="BO1552" s="55" t="s">
        <v>2667</v>
      </c>
      <c r="BP1552" s="60" t="n">
        <v>0</v>
      </c>
      <c r="BQ1552" s="60" t="n">
        <v>1552</v>
      </c>
      <c r="BR1552" s="55" t="str">
        <f aca="false">IF(U1552&lt;&gt;"",UPPER(TRIM(U1552)),IF(BU1552=1,UPPER(VLOOKUP(T1552,Parameter!$I$27:$K$29,2,0)),IF(P1552="","LOSE",P1552)))</f>
        <v>S51</v>
      </c>
      <c r="BS1552" s="57" t="n">
        <f aca="false">IF(BR1552="LOSE",1,IF(N(V1552)&gt;0,V1552,IF(BU1552=1,MAX(1,N(VLOOKUP(T1552,Parameter!$I$27:$K$29,3,0)),H1552,N(N1552)),IF(N(Q1552)&gt;0,Q1552,MAX(1,H1552)))))</f>
        <v>4</v>
      </c>
      <c r="BT1552" s="60" t="n">
        <f aca="false">IF(BR1552="LOSE",1,0)</f>
        <v>0</v>
      </c>
      <c r="BU1552" s="60" t="n">
        <f aca="false">IF(AND(U1552="",OR(P1552="",P1552="LOSE"),T1552&lt;&gt;"",N(S1552)&lt;=0,ISNUMBER(MATCH(T1552,Parameter!$I$27:$I$29,0))),1,0)</f>
        <v>0</v>
      </c>
      <c r="BV1552" s="55" t="str">
        <f aca="false">IF(AND(Parameter!$B$19="Ja",E1552&lt;&gt;"",ISNUMBER(MATCH(E1552,Parameter!$I$35:$I$52,0))),VLOOKUP(E1552,Parameter!$I$35:$J$52,2,0),IFERROR(VLOOKUP(D1552,Parameter!$A$35:$C$64,2,0),"Nein"))</f>
        <v>2+3</v>
      </c>
      <c r="BW1552" s="59" t="n">
        <f aca="false">IF(BT1552=0,0,IF(N(S1552)&gt;0,S1552,IFERROR(VLOOKUP(D1552,Parameter!$A$35:$C$64,3,0)+0,0)))</f>
        <v>0</v>
      </c>
      <c r="BX1552" s="55" t="n">
        <f aca="false">IF(AA1552&lt;&gt;"",AA1552,Z1552)</f>
        <v>3</v>
      </c>
      <c r="BY1552" s="55" t="str">
        <f aca="false">IF(BX1552=1,"L1",IF(OR(BX1552=2,BX1552=3),"L23",IF(BX1552="Aussen","Aussen","-")))</f>
        <v>L23</v>
      </c>
      <c r="BZ1552" s="66" t="n">
        <f aca="false">IF(N(AB1552)&gt;0,AB1552,0)</f>
        <v>0</v>
      </c>
      <c r="CA1552" s="60" t="n">
        <f aca="false">IF(ISNUMBER(AE1552),1,0)</f>
        <v>0</v>
      </c>
      <c r="CB1552" s="57" t="n">
        <f aca="false">N(AE1552)</f>
        <v>0</v>
      </c>
      <c r="CC1552" s="57" t="n">
        <f aca="false">N(M1552)+N(N1552)</f>
        <v>5</v>
      </c>
      <c r="CD1552" s="57" t="n">
        <f aca="false">ROUNDUP(H1552/BS1552,0)</f>
        <v>1</v>
      </c>
      <c r="CE1552" s="57" t="n">
        <f aca="false">ROUNDUP(CB1552/BS1552,0)</f>
        <v>0</v>
      </c>
      <c r="CF1552" s="60" t="n">
        <f aca="false">IF(BT1552=1,0,IFERROR(VLOOKUP(BR1552,'Gebinde-Kategorie'!$A$5:$M$45,5,0)+0,0))</f>
        <v>11</v>
      </c>
      <c r="CG1552" s="60" t="n">
        <f aca="false">IFERROR(IF(OR(BX1552=1,BX1552=2,BX1552=3),N(INDEX(Parameter!$I$5:$I$7,BX1552)),0),0)</f>
        <v>0</v>
      </c>
      <c r="CH1552" s="59" t="n">
        <f aca="false">IF(AND(Parameter!$B$21="Ja",ISNUMBER(W1552),N(X1552)&gt;0),IFERROR(N(INDEX(Parameter!$L$5:$L$7,W1552))*INDEX(Parameter!$E$5:$E$7,W1552)*X1552/SUMIFS($X$7:$X$1843,$W$7:$W$1843,W1552),0),0)</f>
        <v>0</v>
      </c>
    </row>
    <row r="1553" customFormat="false" ht="15" hidden="false" customHeight="false" outlineLevel="0" collapsed="false">
      <c r="A1553" s="55" t="s">
        <v>2713</v>
      </c>
      <c r="B1553" s="55" t="s">
        <v>2714</v>
      </c>
      <c r="C1553" s="55" t="s">
        <v>164</v>
      </c>
      <c r="D1553" s="55" t="s">
        <v>184</v>
      </c>
      <c r="E1553" s="55" t="s">
        <v>185</v>
      </c>
      <c r="F1553" s="55"/>
      <c r="G1553" s="56" t="n">
        <v>35.4</v>
      </c>
      <c r="H1553" s="57" t="n">
        <f aca="false">MAX(0,IF(AND(Parameter!$B$21="Ja",ISNUMBER(Y1553)),Y1553,IF(Parameter!$B$20="Jahresanfang 2025 + Export",BL1553+BK1553,BK1553)))</f>
        <v>34</v>
      </c>
      <c r="I1553" s="57" t="n">
        <f aca="false">H1553*G1553</f>
        <v>1203.6</v>
      </c>
      <c r="J1553" s="57" t="n">
        <f aca="false">BN1553*Parameter!$B$18</f>
        <v>0</v>
      </c>
      <c r="K1553" s="58"/>
      <c r="L1553" s="59"/>
      <c r="M1553" s="57" t="n">
        <v>0</v>
      </c>
      <c r="N1553" s="57" t="n">
        <v>20</v>
      </c>
      <c r="O1553" s="60" t="n">
        <v>28</v>
      </c>
      <c r="P1553" s="55" t="s">
        <v>293</v>
      </c>
      <c r="Q1553" s="57" t="n">
        <v>34</v>
      </c>
      <c r="R1553" s="60" t="n">
        <f aca="false">IF(BT1553=1,0,IFERROR(VLOOKUP(BR1553,'Gebinde-Kategorie'!$A$5:$M$45,13,0)+0,0))</f>
        <v>12</v>
      </c>
      <c r="S1553" s="61"/>
      <c r="T1553" s="62"/>
      <c r="U1553" s="62"/>
      <c r="V1553" s="62"/>
      <c r="W1553" s="55"/>
      <c r="X1553" s="57"/>
      <c r="Y1553" s="57"/>
      <c r="Z1553" s="55" t="n">
        <f aca="false">IF(A1553="","",IF(AND(Parameter!$B$21="Ja",ISNUMBER(W1553)),W1553,IF(BV1553="2+3",IF(ISNUMBER(SEARCH("grosser Artikel",BO1553)),2,IFERROR(VLOOKUP(BR1553,Parameter!$F$35:$G$64,2,0),2)),IF(OR(BV1553="Nein",BV1553=""),"-",BV1553))))</f>
        <v>2</v>
      </c>
      <c r="AA1553" s="62"/>
      <c r="AB1553" s="63"/>
      <c r="AC1553" s="57" t="n">
        <f aca="false">AR1553</f>
        <v>34</v>
      </c>
      <c r="AD1553" s="57" t="n">
        <f aca="false">MAX(AR1553,H1553)</f>
        <v>34</v>
      </c>
      <c r="AE1553" s="64"/>
      <c r="AF1553" s="57" t="n">
        <f aca="false">IF(LEFT(Cockpit!$C$5,1)="A",H1553,IF(CA1553=1,CB1553,IF(LEFT(Cockpit!$C$5,1)="B",AJ1553,MAX(AJ1553,H1553))))</f>
        <v>34</v>
      </c>
      <c r="AG1553" s="57" t="n">
        <f aca="false">IF(BT1553=1,0,ROUNDUP(AF1553/BS1553,0))</f>
        <v>1</v>
      </c>
      <c r="AH1553" s="59" t="n">
        <f aca="false">IF(CH1553&gt;0,CH1553*MAX(1,AF1553/X1553),IF(BT1553=1,IF(AF1553&lt;=0,0,BW1553*MAX(1,IF(H1553&gt;0,AF1553/H1553,1))),IF(R1553&gt;0,AG1553/R1553,0))/MAX(0.1,N(Parameter!$M$21)))</f>
        <v>0.0833333333333333</v>
      </c>
      <c r="AI1553" s="57" t="n">
        <f aca="false">AF1553*G1553</f>
        <v>1203.6</v>
      </c>
      <c r="AJ1553" s="57" t="n">
        <f aca="false">ROUNDUP(MAX(J1553/IF(BZ1553&gt;0,BZ1553,MAX(0.1,N(Cockpit!$C$6))),CC1553)/BS1553,0)*BS1553</f>
        <v>34</v>
      </c>
      <c r="AK1553" s="58" t="n">
        <f aca="false">IF(AH1553&gt;0,J1553/AH1553,-1)</f>
        <v>0</v>
      </c>
      <c r="AL1553" s="58" t="n">
        <f aca="false">IF(AND(OR(BY1553="L1",BY1553="L23"),AH1553&gt;0),SUMIFS($AH$7:$AH$1843,$BY$7:$BY$1843,BY1553,$AK$7:$AK$1843,"&gt;"&amp;AK1553)+SUMIFS($AH$7:$AH$1843,$BY$7:$BY$1843,BY1553,$AK$7:$AK$1843,AK1553,$BQ$7:$BQ$1843,"&lt;="&amp;BQ1553),"")</f>
        <v>83.4283554609642</v>
      </c>
      <c r="AM1553" s="65" t="n">
        <f aca="false">IF(AL1553="",0,MAX(0,MIN(1,(IF(BY1553="L1",Parameter!$E$5,Parameter!$E$6+Parameter!$E$7)-(AL1553-AH1553))/AH1553)))</f>
        <v>1</v>
      </c>
      <c r="AN1553" s="57" t="n">
        <f aca="false">IF(LEFT(Cockpit!$I$5,1)="A",H1553,IF(CA1553=1,CB1553,IF(LEFT(Cockpit!$I$5,1)="B",AR1553,MAX(AR1553,H1553))))</f>
        <v>34</v>
      </c>
      <c r="AO1553" s="57" t="n">
        <f aca="false">IF(BT1553=1,0,ROUNDUP(AN1553/BS1553,0))</f>
        <v>1</v>
      </c>
      <c r="AP1553" s="59" t="n">
        <f aca="false">IF(CH1553&gt;0,CH1553*MAX(1,AN1553/X1553),IF(BT1553=1,IF(AN1553&lt;=0,0,BW1553*MAX(1,IF(H1553&gt;0,AN1553/H1553,1))),IF(R1553&gt;0,AO1553/R1553,0))/MAX(0.1,N(Parameter!$M$21)))</f>
        <v>0.0833333333333333</v>
      </c>
      <c r="AQ1553" s="57" t="n">
        <f aca="false">AN1553*G1553</f>
        <v>1203.6</v>
      </c>
      <c r="AR1553" s="57" t="n">
        <f aca="false">ROUNDUP(MAX(J1553/IF(BZ1553&gt;0,BZ1553,MAX(0.1,N(Cockpit!$I$6))),CC1553)/BS1553,0)*BS1553</f>
        <v>34</v>
      </c>
      <c r="AS1553" s="58" t="n">
        <f aca="false">IF(AP1553&gt;0,J1553/AP1553,-1)</f>
        <v>0</v>
      </c>
      <c r="AT1553" s="58" t="n">
        <f aca="false">IF(AND(OR(BY1553="L1",BY1553="L23"),AP1553&gt;0),SUMIFS($AP$7:$AP$1843,$BY$7:$BY$1843,BY1553,$AS$7:$AS$1843,"&gt;"&amp;AS1553)+SUMIFS($AP$7:$AP$1843,$BY$7:$BY$1843,BY1553,$AS$7:$AS$1843,AS1553,$BQ$7:$BQ$1843,"&lt;="&amp;BQ1553),"")</f>
        <v>128.642030674639</v>
      </c>
      <c r="AU1553" s="65" t="n">
        <f aca="false">IF(AT1553="",0,MAX(0,MIN(1,(IF(BY1553="L1",Parameter!$E$5,Parameter!$E$6+Parameter!$E$7)-(AT1553-AP1553))/AP1553)))</f>
        <v>0</v>
      </c>
      <c r="AV1553" s="57" t="n">
        <f aca="false">IF(LEFT(Cockpit!$O$5,1)="A",H1553,IF(CA1553=1,CB1553,IF(LEFT(Cockpit!$O$5,1)="B",AZ1553,MAX(AZ1553,H1553))))</f>
        <v>34</v>
      </c>
      <c r="AW1553" s="57" t="n">
        <f aca="false">IF(BT1553=1,0,ROUNDUP(AV1553/BS1553,0))</f>
        <v>1</v>
      </c>
      <c r="AX1553" s="59" t="n">
        <f aca="false">IF(CH1553&gt;0,CH1553*MAX(1,AV1553/X1553),IF(BT1553=1,IF(AV1553&lt;=0,0,BW1553*MAX(1,IF(H1553&gt;0,AV1553/H1553,1))),IF(R1553&gt;0,AW1553/R1553,0))/MAX(0.1,N(Parameter!$M$21)))</f>
        <v>0.0833333333333333</v>
      </c>
      <c r="AY1553" s="57" t="n">
        <f aca="false">AV1553*G1553</f>
        <v>1203.6</v>
      </c>
      <c r="AZ1553" s="57" t="n">
        <f aca="false">ROUNDUP(MAX(J1553/IF(BZ1553&gt;0,BZ1553,MAX(0.1,N(Cockpit!$O$6))),CC1553)/BS1553,0)*BS1553</f>
        <v>34</v>
      </c>
      <c r="BA1553" s="58" t="n">
        <f aca="false">IF(AX1553&gt;0,J1553/AX1553,-1)</f>
        <v>0</v>
      </c>
      <c r="BB1553" s="58" t="n">
        <f aca="false">IF(AND(OR(BY1553="L1",BY1553="L23"),AX1553&gt;0),SUMIFS($AX$7:$AX$1843,$BY$7:$BY$1843,BY1553,$BA$7:$BA$1843,"&gt;"&amp;BA1553)+SUMIFS($AX$7:$AX$1843,$BY$7:$BY$1843,BY1553,$BA$7:$BA$1843,BA1553,$BQ$7:$BQ$1843,"&lt;="&amp;BQ1553),"")</f>
        <v>119.471867504476</v>
      </c>
      <c r="BC1553" s="65" t="n">
        <f aca="false">IF(BB1553="",0,MAX(0,MIN(1,(IF(BY1553="L1",Parameter!$E$5,Parameter!$E$6+Parameter!$E$7)-(BB1553-AX1553))/AX1553)))</f>
        <v>0</v>
      </c>
      <c r="BD1553" s="55" t="str">
        <f aca="false">IF(AH1553&lt;=0,"",IF(BY1553="Aussen","Aussenlager",IF(BY1553="-","Nicht im Lift",IF(AM1553&gt;=1,"Lift",IF(AM1553&lt;=0,"Aussenlager","teilweise")))))</f>
        <v>Lift</v>
      </c>
      <c r="BE1553" s="55" t="str">
        <f aca="false">IF(AP1553&lt;=0,"",IF(BY1553="Aussen","Aussenlager",IF(BY1553="-","Nicht im Lift",IF(AU1553&gt;=1,"Lift",IF(AU1553&lt;=0,"Aussenlager","teilweise")))))</f>
        <v>Aussenlager</v>
      </c>
      <c r="BF1553" s="55" t="str">
        <f aca="false">IF(AX1553&lt;=0,"",IF(BY1553="Aussen","Aussenlager",IF(BY1553="-","Nicht im Lift",IF(BC1553&gt;=1,"Lift",IF(BC1553&lt;=0,"Aussenlager","teilweise")))))</f>
        <v>Aussenlager</v>
      </c>
      <c r="BG1553" s="55" t="str">
        <f aca="false">IF(A1553="","",IF(BP1553=1,"Neu; ","")&amp;IF(AND(BP1553=0,BK1553&lt;0),"negativer Bestand (Export "&amp;BK1553&amp;"); ","")&amp;IF(J1553&lt;=0,"Kein Verbrauch; ","")&amp;IF(CH1553&gt;0,"Lift "&amp;W1553&amp;" lt. Liftbericht (Fach "&amp;X1553&amp;" Stk); ",IF(BU1553=1,"Gebinde geschätzt ("&amp;T1553&amp;"); ",IF(BT1553=1,"Lose – Tablare geschätzt; ","")))&amp;IF(H1553&gt;AR1553,"Überbestand "&amp;ROUND(H1553-AR1553,0)&amp;" Stk / CHF "&amp;ROUND((H1553-AR1553)*G1553,0)&amp;"; ","")&amp;IF(AND(CA1553=1,CB1553&lt;CC1553),"MAX &lt; MB+LG; ","")&amp;IF(AND(CG1553&gt;0,CF1553*10&gt;CG1553),"zu hoch für Tablar; ","")&amp;IF(AND(BP1553=0,OR(CA1553=1,AA1553&lt;&gt;"",U1553&lt;&gt;"",V1553&lt;&gt;"",AB1553&lt;&gt;"")),"manuell übersteuert; ","")&amp;IF(AND(BT1553=0,R1553=0),"Gebinde unbekannt / Stellmass fehlt; ","")&amp;IF(AND(BT1553=0,N(V1553)&lt;=0,N(Q1553)&lt;=0),"Menge pro Gebinde fehlt (Ist = 1 Gebinde); ","")&amp;BO1553)</f>
        <v>Kein Verbrauch; nur im Artikelstamm (Bestand 23.06.2026); Neu</v>
      </c>
      <c r="BH1553" s="55"/>
      <c r="BI1553" s="55"/>
      <c r="BJ1553" s="62"/>
      <c r="BK1553" s="57" t="n">
        <v>34</v>
      </c>
      <c r="BL1553" s="57" t="n">
        <v>0</v>
      </c>
      <c r="BM1553" s="56" t="n">
        <v>0</v>
      </c>
      <c r="BN1553" s="57" t="n">
        <v>0</v>
      </c>
      <c r="BO1553" s="55" t="s">
        <v>2667</v>
      </c>
      <c r="BP1553" s="60" t="n">
        <v>0</v>
      </c>
      <c r="BQ1553" s="60" t="n">
        <v>1553</v>
      </c>
      <c r="BR1553" s="55" t="str">
        <f aca="false">IF(U1553&lt;&gt;"",UPPER(TRIM(U1553)),IF(BU1553=1,UPPER(VLOOKUP(T1553,Parameter!$I$27:$K$29,2,0)),IF(P1553="","LOSE",P1553)))</f>
        <v>S62</v>
      </c>
      <c r="BS1553" s="57" t="n">
        <f aca="false">IF(BR1553="LOSE",1,IF(N(V1553)&gt;0,V1553,IF(BU1553=1,MAX(1,N(VLOOKUP(T1553,Parameter!$I$27:$K$29,3,0)),H1553,N(N1553)),IF(N(Q1553)&gt;0,Q1553,MAX(1,H1553)))))</f>
        <v>34</v>
      </c>
      <c r="BT1553" s="60" t="n">
        <f aca="false">IF(BR1553="LOSE",1,0)</f>
        <v>0</v>
      </c>
      <c r="BU1553" s="60" t="n">
        <f aca="false">IF(AND(U1553="",OR(P1553="",P1553="LOSE"),T1553&lt;&gt;"",N(S1553)&lt;=0,ISNUMBER(MATCH(T1553,Parameter!$I$27:$I$29,0))),1,0)</f>
        <v>0</v>
      </c>
      <c r="BV1553" s="55" t="str">
        <f aca="false">IF(AND(Parameter!$B$19="Ja",E1553&lt;&gt;"",ISNUMBER(MATCH(E1553,Parameter!$I$35:$I$52,0))),VLOOKUP(E1553,Parameter!$I$35:$J$52,2,0),IFERROR(VLOOKUP(D1553,Parameter!$A$35:$C$64,2,0),"Nein"))</f>
        <v>2+3</v>
      </c>
      <c r="BW1553" s="59" t="n">
        <f aca="false">IF(BT1553=0,0,IF(N(S1553)&gt;0,S1553,IFERROR(VLOOKUP(D1553,Parameter!$A$35:$C$64,3,0)+0,0)))</f>
        <v>0</v>
      </c>
      <c r="BX1553" s="55" t="n">
        <f aca="false">IF(AA1553&lt;&gt;"",AA1553,Z1553)</f>
        <v>2</v>
      </c>
      <c r="BY1553" s="55" t="str">
        <f aca="false">IF(BX1553=1,"L1",IF(OR(BX1553=2,BX1553=3),"L23",IF(BX1553="Aussen","Aussen","-")))</f>
        <v>L23</v>
      </c>
      <c r="BZ1553" s="66" t="n">
        <f aca="false">IF(N(AB1553)&gt;0,AB1553,0)</f>
        <v>0</v>
      </c>
      <c r="CA1553" s="60" t="n">
        <f aca="false">IF(ISNUMBER(AE1553),1,0)</f>
        <v>0</v>
      </c>
      <c r="CB1553" s="57" t="n">
        <f aca="false">N(AE1553)</f>
        <v>0</v>
      </c>
      <c r="CC1553" s="57" t="n">
        <f aca="false">N(M1553)+N(N1553)</f>
        <v>20</v>
      </c>
      <c r="CD1553" s="57" t="n">
        <f aca="false">ROUNDUP(H1553/BS1553,0)</f>
        <v>1</v>
      </c>
      <c r="CE1553" s="57" t="n">
        <f aca="false">ROUNDUP(CB1553/BS1553,0)</f>
        <v>0</v>
      </c>
      <c r="CF1553" s="60" t="n">
        <f aca="false">IF(BT1553=1,0,IFERROR(VLOOKUP(BR1553,'Gebinde-Kategorie'!$A$5:$M$45,5,0)+0,0))</f>
        <v>21</v>
      </c>
      <c r="CG1553" s="60" t="n">
        <f aca="false">IFERROR(IF(OR(BX1553=1,BX1553=2,BX1553=3),N(INDEX(Parameter!$I$5:$I$7,BX1553)),0),0)</f>
        <v>0</v>
      </c>
      <c r="CH1553" s="59" t="n">
        <f aca="false">IF(AND(Parameter!$B$21="Ja",ISNUMBER(W1553),N(X1553)&gt;0),IFERROR(N(INDEX(Parameter!$L$5:$L$7,W1553))*INDEX(Parameter!$E$5:$E$7,W1553)*X1553/SUMIFS($X$7:$X$1843,$W$7:$W$1843,W1553),0),0)</f>
        <v>0</v>
      </c>
    </row>
    <row r="1554" customFormat="false" ht="15" hidden="false" customHeight="false" outlineLevel="0" collapsed="false">
      <c r="A1554" s="55" t="s">
        <v>2715</v>
      </c>
      <c r="B1554" s="55" t="s">
        <v>2716</v>
      </c>
      <c r="C1554" s="55" t="s">
        <v>164</v>
      </c>
      <c r="D1554" s="55" t="s">
        <v>184</v>
      </c>
      <c r="E1554" s="55" t="s">
        <v>185</v>
      </c>
      <c r="F1554" s="55"/>
      <c r="G1554" s="56" t="n">
        <v>45.8</v>
      </c>
      <c r="H1554" s="57" t="n">
        <f aca="false">MAX(0,IF(AND(Parameter!$B$21="Ja",ISNUMBER(Y1554)),Y1554,IF(Parameter!$B$20="Jahresanfang 2025 + Export",BL1554+BK1554,BK1554)))</f>
        <v>14</v>
      </c>
      <c r="I1554" s="57" t="n">
        <f aca="false">H1554*G1554</f>
        <v>641.2</v>
      </c>
      <c r="J1554" s="57" t="n">
        <f aca="false">BN1554*Parameter!$B$18</f>
        <v>0</v>
      </c>
      <c r="K1554" s="58"/>
      <c r="L1554" s="59"/>
      <c r="M1554" s="57" t="n">
        <v>0</v>
      </c>
      <c r="N1554" s="57" t="n">
        <v>10</v>
      </c>
      <c r="O1554" s="60" t="n">
        <v>0</v>
      </c>
      <c r="P1554" s="55" t="s">
        <v>302</v>
      </c>
      <c r="Q1554" s="57" t="n">
        <v>14</v>
      </c>
      <c r="R1554" s="60" t="n">
        <f aca="false">IF(BT1554=1,0,IFERROR(VLOOKUP(BR1554,'Gebinde-Kategorie'!$A$5:$M$45,13,0)+0,0))</f>
        <v>26</v>
      </c>
      <c r="S1554" s="61"/>
      <c r="T1554" s="62"/>
      <c r="U1554" s="62"/>
      <c r="V1554" s="62"/>
      <c r="W1554" s="55"/>
      <c r="X1554" s="57"/>
      <c r="Y1554" s="57"/>
      <c r="Z1554" s="55" t="n">
        <f aca="false">IF(A1554="","",IF(AND(Parameter!$B$21="Ja",ISNUMBER(W1554)),W1554,IF(BV1554="2+3",IF(ISNUMBER(SEARCH("grosser Artikel",BO1554)),2,IFERROR(VLOOKUP(BR1554,Parameter!$F$35:$G$64,2,0),2)),IF(OR(BV1554="Nein",BV1554=""),"-",BV1554))))</f>
        <v>3</v>
      </c>
      <c r="AA1554" s="62"/>
      <c r="AB1554" s="63"/>
      <c r="AC1554" s="57" t="n">
        <f aca="false">AR1554</f>
        <v>14</v>
      </c>
      <c r="AD1554" s="57" t="n">
        <f aca="false">MAX(AR1554,H1554)</f>
        <v>14</v>
      </c>
      <c r="AE1554" s="64"/>
      <c r="AF1554" s="57" t="n">
        <f aca="false">IF(LEFT(Cockpit!$C$5,1)="A",H1554,IF(CA1554=1,CB1554,IF(LEFT(Cockpit!$C$5,1)="B",AJ1554,MAX(AJ1554,H1554))))</f>
        <v>14</v>
      </c>
      <c r="AG1554" s="57" t="n">
        <f aca="false">IF(BT1554=1,0,ROUNDUP(AF1554/BS1554,0))</f>
        <v>1</v>
      </c>
      <c r="AH1554" s="59" t="n">
        <f aca="false">IF(CH1554&gt;0,CH1554*MAX(1,AF1554/X1554),IF(BT1554=1,IF(AF1554&lt;=0,0,BW1554*MAX(1,IF(H1554&gt;0,AF1554/H1554,1))),IF(R1554&gt;0,AG1554/R1554,0))/MAX(0.1,N(Parameter!$M$21)))</f>
        <v>0.0384615384615385</v>
      </c>
      <c r="AI1554" s="57" t="n">
        <f aca="false">AF1554*G1554</f>
        <v>641.2</v>
      </c>
      <c r="AJ1554" s="57" t="n">
        <f aca="false">ROUNDUP(MAX(J1554/IF(BZ1554&gt;0,BZ1554,MAX(0.1,N(Cockpit!$C$6))),CC1554)/BS1554,0)*BS1554</f>
        <v>14</v>
      </c>
      <c r="AK1554" s="58" t="n">
        <f aca="false">IF(AH1554&gt;0,J1554/AH1554,-1)</f>
        <v>0</v>
      </c>
      <c r="AL1554" s="58" t="n">
        <f aca="false">IF(AND(OR(BY1554="L1",BY1554="L23"),AH1554&gt;0),SUMIFS($AH$7:$AH$1843,$BY$7:$BY$1843,BY1554,$AK$7:$AK$1843,"&gt;"&amp;AK1554)+SUMIFS($AH$7:$AH$1843,$BY$7:$BY$1843,BY1554,$AK$7:$AK$1843,AK1554,$BQ$7:$BQ$1843,"&lt;="&amp;BQ1554),"")</f>
        <v>83.4668169994257</v>
      </c>
      <c r="AM1554" s="65" t="n">
        <f aca="false">IF(AL1554="",0,MAX(0,MIN(1,(IF(BY1554="L1",Parameter!$E$5,Parameter!$E$6+Parameter!$E$7)-(AL1554-AH1554))/AH1554)))</f>
        <v>1</v>
      </c>
      <c r="AN1554" s="57" t="n">
        <f aca="false">IF(LEFT(Cockpit!$I$5,1)="A",H1554,IF(CA1554=1,CB1554,IF(LEFT(Cockpit!$I$5,1)="B",AR1554,MAX(AR1554,H1554))))</f>
        <v>14</v>
      </c>
      <c r="AO1554" s="57" t="n">
        <f aca="false">IF(BT1554=1,0,ROUNDUP(AN1554/BS1554,0))</f>
        <v>1</v>
      </c>
      <c r="AP1554" s="59" t="n">
        <f aca="false">IF(CH1554&gt;0,CH1554*MAX(1,AN1554/X1554),IF(BT1554=1,IF(AN1554&lt;=0,0,BW1554*MAX(1,IF(H1554&gt;0,AN1554/H1554,1))),IF(R1554&gt;0,AO1554/R1554,0))/MAX(0.1,N(Parameter!$M$21)))</f>
        <v>0.0384615384615385</v>
      </c>
      <c r="AQ1554" s="57" t="n">
        <f aca="false">AN1554*G1554</f>
        <v>641.2</v>
      </c>
      <c r="AR1554" s="57" t="n">
        <f aca="false">ROUNDUP(MAX(J1554/IF(BZ1554&gt;0,BZ1554,MAX(0.1,N(Cockpit!$I$6))),CC1554)/BS1554,0)*BS1554</f>
        <v>14</v>
      </c>
      <c r="AS1554" s="58" t="n">
        <f aca="false">IF(AP1554&gt;0,J1554/AP1554,-1)</f>
        <v>0</v>
      </c>
      <c r="AT1554" s="58" t="n">
        <f aca="false">IF(AND(OR(BY1554="L1",BY1554="L23"),AP1554&gt;0),SUMIFS($AP$7:$AP$1843,$BY$7:$BY$1843,BY1554,$AS$7:$AS$1843,"&gt;"&amp;AS1554)+SUMIFS($AP$7:$AP$1843,$BY$7:$BY$1843,BY1554,$AS$7:$AS$1843,AS1554,$BQ$7:$BQ$1843,"&lt;="&amp;BQ1554),"")</f>
        <v>128.680492213101</v>
      </c>
      <c r="AU1554" s="65" t="n">
        <f aca="false">IF(AT1554="",0,MAX(0,MIN(1,(IF(BY1554="L1",Parameter!$E$5,Parameter!$E$6+Parameter!$E$7)-(AT1554-AP1554))/AP1554)))</f>
        <v>0</v>
      </c>
      <c r="AV1554" s="57" t="n">
        <f aca="false">IF(LEFT(Cockpit!$O$5,1)="A",H1554,IF(CA1554=1,CB1554,IF(LEFT(Cockpit!$O$5,1)="B",AZ1554,MAX(AZ1554,H1554))))</f>
        <v>14</v>
      </c>
      <c r="AW1554" s="57" t="n">
        <f aca="false">IF(BT1554=1,0,ROUNDUP(AV1554/BS1554,0))</f>
        <v>1</v>
      </c>
      <c r="AX1554" s="59" t="n">
        <f aca="false">IF(CH1554&gt;0,CH1554*MAX(1,AV1554/X1554),IF(BT1554=1,IF(AV1554&lt;=0,0,BW1554*MAX(1,IF(H1554&gt;0,AV1554/H1554,1))),IF(R1554&gt;0,AW1554/R1554,0))/MAX(0.1,N(Parameter!$M$21)))</f>
        <v>0.0384615384615385</v>
      </c>
      <c r="AY1554" s="57" t="n">
        <f aca="false">AV1554*G1554</f>
        <v>641.2</v>
      </c>
      <c r="AZ1554" s="57" t="n">
        <f aca="false">ROUNDUP(MAX(J1554/IF(BZ1554&gt;0,BZ1554,MAX(0.1,N(Cockpit!$O$6))),CC1554)/BS1554,0)*BS1554</f>
        <v>14</v>
      </c>
      <c r="BA1554" s="58" t="n">
        <f aca="false">IF(AX1554&gt;0,J1554/AX1554,-1)</f>
        <v>0</v>
      </c>
      <c r="BB1554" s="58" t="n">
        <f aca="false">IF(AND(OR(BY1554="L1",BY1554="L23"),AX1554&gt;0),SUMIFS($AX$7:$AX$1843,$BY$7:$BY$1843,BY1554,$BA$7:$BA$1843,"&gt;"&amp;BA1554)+SUMIFS($AX$7:$AX$1843,$BY$7:$BY$1843,BY1554,$BA$7:$BA$1843,BA1554,$BQ$7:$BQ$1843,"&lt;="&amp;BQ1554),"")</f>
        <v>119.510329042938</v>
      </c>
      <c r="BC1554" s="65" t="n">
        <f aca="false">IF(BB1554="",0,MAX(0,MIN(1,(IF(BY1554="L1",Parameter!$E$5,Parameter!$E$6+Parameter!$E$7)-(BB1554-AX1554))/AX1554)))</f>
        <v>0</v>
      </c>
      <c r="BD1554" s="55" t="str">
        <f aca="false">IF(AH1554&lt;=0,"",IF(BY1554="Aussen","Aussenlager",IF(BY1554="-","Nicht im Lift",IF(AM1554&gt;=1,"Lift",IF(AM1554&lt;=0,"Aussenlager","teilweise")))))</f>
        <v>Lift</v>
      </c>
      <c r="BE1554" s="55" t="str">
        <f aca="false">IF(AP1554&lt;=0,"",IF(BY1554="Aussen","Aussenlager",IF(BY1554="-","Nicht im Lift",IF(AU1554&gt;=1,"Lift",IF(AU1554&lt;=0,"Aussenlager","teilweise")))))</f>
        <v>Aussenlager</v>
      </c>
      <c r="BF1554" s="55" t="str">
        <f aca="false">IF(AX1554&lt;=0,"",IF(BY1554="Aussen","Aussenlager",IF(BY1554="-","Nicht im Lift",IF(BC1554&gt;=1,"Lift",IF(BC1554&lt;=0,"Aussenlager","teilweise")))))</f>
        <v>Aussenlager</v>
      </c>
      <c r="BG1554" s="55" t="str">
        <f aca="false">IF(A1554="","",IF(BP1554=1,"Neu; ","")&amp;IF(AND(BP1554=0,BK1554&lt;0),"negativer Bestand (Export "&amp;BK1554&amp;"); ","")&amp;IF(J1554&lt;=0,"Kein Verbrauch; ","")&amp;IF(CH1554&gt;0,"Lift "&amp;W1554&amp;" lt. Liftbericht (Fach "&amp;X1554&amp;" Stk); ",IF(BU1554=1,"Gebinde geschätzt ("&amp;T1554&amp;"); ",IF(BT1554=1,"Lose – Tablare geschätzt; ","")))&amp;IF(H1554&gt;AR1554,"Überbestand "&amp;ROUND(H1554-AR1554,0)&amp;" Stk / CHF "&amp;ROUND((H1554-AR1554)*G1554,0)&amp;"; ","")&amp;IF(AND(CA1554=1,CB1554&lt;CC1554),"MAX &lt; MB+LG; ","")&amp;IF(AND(CG1554&gt;0,CF1554*10&gt;CG1554),"zu hoch für Tablar; ","")&amp;IF(AND(BP1554=0,OR(CA1554=1,AA1554&lt;&gt;"",U1554&lt;&gt;"",V1554&lt;&gt;"",AB1554&lt;&gt;"")),"manuell übersteuert; ","")&amp;IF(AND(BT1554=0,R1554=0),"Gebinde unbekannt / Stellmass fehlt; ","")&amp;IF(AND(BT1554=0,N(V1554)&lt;=0,N(Q1554)&lt;=0),"Menge pro Gebinde fehlt (Ist = 1 Gebinde); ","")&amp;BO1554)</f>
        <v>Kein Verbrauch; nur im Artikelstamm (Bestand 23.06.2026)</v>
      </c>
      <c r="BH1554" s="55"/>
      <c r="BI1554" s="55"/>
      <c r="BJ1554" s="62"/>
      <c r="BK1554" s="57" t="n">
        <v>14</v>
      </c>
      <c r="BL1554" s="57" t="n">
        <v>0</v>
      </c>
      <c r="BM1554" s="56" t="n">
        <v>0</v>
      </c>
      <c r="BN1554" s="57" t="n">
        <v>0</v>
      </c>
      <c r="BO1554" s="55" t="s">
        <v>2575</v>
      </c>
      <c r="BP1554" s="60" t="n">
        <v>0</v>
      </c>
      <c r="BQ1554" s="60" t="n">
        <v>1554</v>
      </c>
      <c r="BR1554" s="55" t="str">
        <f aca="false">IF(U1554&lt;&gt;"",UPPER(TRIM(U1554)),IF(BU1554=1,UPPER(VLOOKUP(T1554,Parameter!$I$27:$K$29,2,0)),IF(P1554="","LOSE",P1554)))</f>
        <v>S51</v>
      </c>
      <c r="BS1554" s="57" t="n">
        <f aca="false">IF(BR1554="LOSE",1,IF(N(V1554)&gt;0,V1554,IF(BU1554=1,MAX(1,N(VLOOKUP(T1554,Parameter!$I$27:$K$29,3,0)),H1554,N(N1554)),IF(N(Q1554)&gt;0,Q1554,MAX(1,H1554)))))</f>
        <v>14</v>
      </c>
      <c r="BT1554" s="60" t="n">
        <f aca="false">IF(BR1554="LOSE",1,0)</f>
        <v>0</v>
      </c>
      <c r="BU1554" s="60" t="n">
        <f aca="false">IF(AND(U1554="",OR(P1554="",P1554="LOSE"),T1554&lt;&gt;"",N(S1554)&lt;=0,ISNUMBER(MATCH(T1554,Parameter!$I$27:$I$29,0))),1,0)</f>
        <v>0</v>
      </c>
      <c r="BV1554" s="55" t="str">
        <f aca="false">IF(AND(Parameter!$B$19="Ja",E1554&lt;&gt;"",ISNUMBER(MATCH(E1554,Parameter!$I$35:$I$52,0))),VLOOKUP(E1554,Parameter!$I$35:$J$52,2,0),IFERROR(VLOOKUP(D1554,Parameter!$A$35:$C$64,2,0),"Nein"))</f>
        <v>2+3</v>
      </c>
      <c r="BW1554" s="59" t="n">
        <f aca="false">IF(BT1554=0,0,IF(N(S1554)&gt;0,S1554,IFERROR(VLOOKUP(D1554,Parameter!$A$35:$C$64,3,0)+0,0)))</f>
        <v>0</v>
      </c>
      <c r="BX1554" s="55" t="n">
        <f aca="false">IF(AA1554&lt;&gt;"",AA1554,Z1554)</f>
        <v>3</v>
      </c>
      <c r="BY1554" s="55" t="str">
        <f aca="false">IF(BX1554=1,"L1",IF(OR(BX1554=2,BX1554=3),"L23",IF(BX1554="Aussen","Aussen","-")))</f>
        <v>L23</v>
      </c>
      <c r="BZ1554" s="66" t="n">
        <f aca="false">IF(N(AB1554)&gt;0,AB1554,0)</f>
        <v>0</v>
      </c>
      <c r="CA1554" s="60" t="n">
        <f aca="false">IF(ISNUMBER(AE1554),1,0)</f>
        <v>0</v>
      </c>
      <c r="CB1554" s="57" t="n">
        <f aca="false">N(AE1554)</f>
        <v>0</v>
      </c>
      <c r="CC1554" s="57" t="n">
        <f aca="false">N(M1554)+N(N1554)</f>
        <v>10</v>
      </c>
      <c r="CD1554" s="57" t="n">
        <f aca="false">ROUNDUP(H1554/BS1554,0)</f>
        <v>1</v>
      </c>
      <c r="CE1554" s="57" t="n">
        <f aca="false">ROUNDUP(CB1554/BS1554,0)</f>
        <v>0</v>
      </c>
      <c r="CF1554" s="60" t="n">
        <f aca="false">IF(BT1554=1,0,IFERROR(VLOOKUP(BR1554,'Gebinde-Kategorie'!$A$5:$M$45,5,0)+0,0))</f>
        <v>11</v>
      </c>
      <c r="CG1554" s="60" t="n">
        <f aca="false">IFERROR(IF(OR(BX1554=1,BX1554=2,BX1554=3),N(INDEX(Parameter!$I$5:$I$7,BX1554)),0),0)</f>
        <v>0</v>
      </c>
      <c r="CH1554" s="59" t="n">
        <f aca="false">IF(AND(Parameter!$B$21="Ja",ISNUMBER(W1554),N(X1554)&gt;0),IFERROR(N(INDEX(Parameter!$L$5:$L$7,W1554))*INDEX(Parameter!$E$5:$E$7,W1554)*X1554/SUMIFS($X$7:$X$1843,$W$7:$W$1843,W1554),0),0)</f>
        <v>0</v>
      </c>
    </row>
    <row r="1555" customFormat="false" ht="15" hidden="false" customHeight="false" outlineLevel="0" collapsed="false">
      <c r="A1555" s="55" t="s">
        <v>2717</v>
      </c>
      <c r="B1555" s="55" t="s">
        <v>2716</v>
      </c>
      <c r="C1555" s="55" t="s">
        <v>164</v>
      </c>
      <c r="D1555" s="55" t="s">
        <v>184</v>
      </c>
      <c r="E1555" s="55" t="s">
        <v>185</v>
      </c>
      <c r="F1555" s="55"/>
      <c r="G1555" s="56" t="n">
        <v>43.8</v>
      </c>
      <c r="H1555" s="57" t="n">
        <f aca="false">MAX(0,IF(AND(Parameter!$B$21="Ja",ISNUMBER(Y1555)),Y1555,IF(Parameter!$B$20="Jahresanfang 2025 + Export",BL1555+BK1555,BK1555)))</f>
        <v>9</v>
      </c>
      <c r="I1555" s="57" t="n">
        <f aca="false">H1555*G1555</f>
        <v>394.2</v>
      </c>
      <c r="J1555" s="57" t="n">
        <f aca="false">BN1555*Parameter!$B$18</f>
        <v>0</v>
      </c>
      <c r="K1555" s="58"/>
      <c r="L1555" s="59"/>
      <c r="M1555" s="57" t="n">
        <v>0</v>
      </c>
      <c r="N1555" s="57" t="n">
        <v>10</v>
      </c>
      <c r="O1555" s="60" t="n">
        <v>0</v>
      </c>
      <c r="P1555" s="55" t="s">
        <v>302</v>
      </c>
      <c r="Q1555" s="57" t="n">
        <v>9</v>
      </c>
      <c r="R1555" s="60" t="n">
        <f aca="false">IF(BT1555=1,0,IFERROR(VLOOKUP(BR1555,'Gebinde-Kategorie'!$A$5:$M$45,13,0)+0,0))</f>
        <v>26</v>
      </c>
      <c r="S1555" s="61"/>
      <c r="T1555" s="62"/>
      <c r="U1555" s="62"/>
      <c r="V1555" s="62"/>
      <c r="W1555" s="55"/>
      <c r="X1555" s="57"/>
      <c r="Y1555" s="57"/>
      <c r="Z1555" s="55" t="n">
        <f aca="false">IF(A1555="","",IF(AND(Parameter!$B$21="Ja",ISNUMBER(W1555)),W1555,IF(BV1555="2+3",IF(ISNUMBER(SEARCH("grosser Artikel",BO1555)),2,IFERROR(VLOOKUP(BR1555,Parameter!$F$35:$G$64,2,0),2)),IF(OR(BV1555="Nein",BV1555=""),"-",BV1555))))</f>
        <v>3</v>
      </c>
      <c r="AA1555" s="62"/>
      <c r="AB1555" s="63"/>
      <c r="AC1555" s="57" t="n">
        <f aca="false">AR1555</f>
        <v>18</v>
      </c>
      <c r="AD1555" s="57" t="n">
        <f aca="false">MAX(AR1555,H1555)</f>
        <v>18</v>
      </c>
      <c r="AE1555" s="64"/>
      <c r="AF1555" s="57" t="n">
        <f aca="false">IF(LEFT(Cockpit!$C$5,1)="A",H1555,IF(CA1555=1,CB1555,IF(LEFT(Cockpit!$C$5,1)="B",AJ1555,MAX(AJ1555,H1555))))</f>
        <v>9</v>
      </c>
      <c r="AG1555" s="57" t="n">
        <f aca="false">IF(BT1555=1,0,ROUNDUP(AF1555/BS1555,0))</f>
        <v>1</v>
      </c>
      <c r="AH1555" s="59" t="n">
        <f aca="false">IF(CH1555&gt;0,CH1555*MAX(1,AF1555/X1555),IF(BT1555=1,IF(AF1555&lt;=0,0,BW1555*MAX(1,IF(H1555&gt;0,AF1555/H1555,1))),IF(R1555&gt;0,AG1555/R1555,0))/MAX(0.1,N(Parameter!$M$21)))</f>
        <v>0.0384615384615385</v>
      </c>
      <c r="AI1555" s="57" t="n">
        <f aca="false">AF1555*G1555</f>
        <v>394.2</v>
      </c>
      <c r="AJ1555" s="57" t="n">
        <f aca="false">ROUNDUP(MAX(J1555/IF(BZ1555&gt;0,BZ1555,MAX(0.1,N(Cockpit!$C$6))),CC1555)/BS1555,0)*BS1555</f>
        <v>18</v>
      </c>
      <c r="AK1555" s="58" t="n">
        <f aca="false">IF(AH1555&gt;0,J1555/AH1555,-1)</f>
        <v>0</v>
      </c>
      <c r="AL1555" s="58" t="n">
        <f aca="false">IF(AND(OR(BY1555="L1",BY1555="L23"),AH1555&gt;0),SUMIFS($AH$7:$AH$1843,$BY$7:$BY$1843,BY1555,$AK$7:$AK$1843,"&gt;"&amp;AK1555)+SUMIFS($AH$7:$AH$1843,$BY$7:$BY$1843,BY1555,$AK$7:$AK$1843,AK1555,$BQ$7:$BQ$1843,"&lt;="&amp;BQ1555),"")</f>
        <v>83.5052785378872</v>
      </c>
      <c r="AM1555" s="65" t="n">
        <f aca="false">IF(AL1555="",0,MAX(0,MIN(1,(IF(BY1555="L1",Parameter!$E$5,Parameter!$E$6+Parameter!$E$7)-(AL1555-AH1555))/AH1555)))</f>
        <v>1</v>
      </c>
      <c r="AN1555" s="57" t="n">
        <f aca="false">IF(LEFT(Cockpit!$I$5,1)="A",H1555,IF(CA1555=1,CB1555,IF(LEFT(Cockpit!$I$5,1)="B",AR1555,MAX(AR1555,H1555))))</f>
        <v>18</v>
      </c>
      <c r="AO1555" s="57" t="n">
        <f aca="false">IF(BT1555=1,0,ROUNDUP(AN1555/BS1555,0))</f>
        <v>2</v>
      </c>
      <c r="AP1555" s="59" t="n">
        <f aca="false">IF(CH1555&gt;0,CH1555*MAX(1,AN1555/X1555),IF(BT1555=1,IF(AN1555&lt;=0,0,BW1555*MAX(1,IF(H1555&gt;0,AN1555/H1555,1))),IF(R1555&gt;0,AO1555/R1555,0))/MAX(0.1,N(Parameter!$M$21)))</f>
        <v>0.0769230769230769</v>
      </c>
      <c r="AQ1555" s="57" t="n">
        <f aca="false">AN1555*G1555</f>
        <v>788.4</v>
      </c>
      <c r="AR1555" s="57" t="n">
        <f aca="false">ROUNDUP(MAX(J1555/IF(BZ1555&gt;0,BZ1555,MAX(0.1,N(Cockpit!$I$6))),CC1555)/BS1555,0)*BS1555</f>
        <v>18</v>
      </c>
      <c r="AS1555" s="58" t="n">
        <f aca="false">IF(AP1555&gt;0,J1555/AP1555,-1)</f>
        <v>0</v>
      </c>
      <c r="AT1555" s="58" t="n">
        <f aca="false">IF(AND(OR(BY1555="L1",BY1555="L23"),AP1555&gt;0),SUMIFS($AP$7:$AP$1843,$BY$7:$BY$1843,BY1555,$AS$7:$AS$1843,"&gt;"&amp;AS1555)+SUMIFS($AP$7:$AP$1843,$BY$7:$BY$1843,BY1555,$AS$7:$AS$1843,AS1555,$BQ$7:$BQ$1843,"&lt;="&amp;BQ1555),"")</f>
        <v>128.757415290024</v>
      </c>
      <c r="AU1555" s="65" t="n">
        <f aca="false">IF(AT1555="",0,MAX(0,MIN(1,(IF(BY1555="L1",Parameter!$E$5,Parameter!$E$6+Parameter!$E$7)-(AT1555-AP1555))/AP1555)))</f>
        <v>0</v>
      </c>
      <c r="AV1555" s="57" t="n">
        <f aca="false">IF(LEFT(Cockpit!$O$5,1)="A",H1555,IF(CA1555=1,CB1555,IF(LEFT(Cockpit!$O$5,1)="B",AZ1555,MAX(AZ1555,H1555))))</f>
        <v>18</v>
      </c>
      <c r="AW1555" s="57" t="n">
        <f aca="false">IF(BT1555=1,0,ROUNDUP(AV1555/BS1555,0))</f>
        <v>2</v>
      </c>
      <c r="AX1555" s="59" t="n">
        <f aca="false">IF(CH1555&gt;0,CH1555*MAX(1,AV1555/X1555),IF(BT1555=1,IF(AV1555&lt;=0,0,BW1555*MAX(1,IF(H1555&gt;0,AV1555/H1555,1))),IF(R1555&gt;0,AW1555/R1555,0))/MAX(0.1,N(Parameter!$M$21)))</f>
        <v>0.0769230769230769</v>
      </c>
      <c r="AY1555" s="57" t="n">
        <f aca="false">AV1555*G1555</f>
        <v>788.4</v>
      </c>
      <c r="AZ1555" s="57" t="n">
        <f aca="false">ROUNDUP(MAX(J1555/IF(BZ1555&gt;0,BZ1555,MAX(0.1,N(Cockpit!$O$6))),CC1555)/BS1555,0)*BS1555</f>
        <v>18</v>
      </c>
      <c r="BA1555" s="58" t="n">
        <f aca="false">IF(AX1555&gt;0,J1555/AX1555,-1)</f>
        <v>0</v>
      </c>
      <c r="BB1555" s="58" t="n">
        <f aca="false">IF(AND(OR(BY1555="L1",BY1555="L23"),AX1555&gt;0),SUMIFS($AX$7:$AX$1843,$BY$7:$BY$1843,BY1555,$BA$7:$BA$1843,"&gt;"&amp;BA1555)+SUMIFS($AX$7:$AX$1843,$BY$7:$BY$1843,BY1555,$BA$7:$BA$1843,BA1555,$BQ$7:$BQ$1843,"&lt;="&amp;BQ1555),"")</f>
        <v>119.587252119861</v>
      </c>
      <c r="BC1555" s="65" t="n">
        <f aca="false">IF(BB1555="",0,MAX(0,MIN(1,(IF(BY1555="L1",Parameter!$E$5,Parameter!$E$6+Parameter!$E$7)-(BB1555-AX1555))/AX1555)))</f>
        <v>0</v>
      </c>
      <c r="BD1555" s="55" t="str">
        <f aca="false">IF(AH1555&lt;=0,"",IF(BY1555="Aussen","Aussenlager",IF(BY1555="-","Nicht im Lift",IF(AM1555&gt;=1,"Lift",IF(AM1555&lt;=0,"Aussenlager","teilweise")))))</f>
        <v>Lift</v>
      </c>
      <c r="BE1555" s="55" t="str">
        <f aca="false">IF(AP1555&lt;=0,"",IF(BY1555="Aussen","Aussenlager",IF(BY1555="-","Nicht im Lift",IF(AU1555&gt;=1,"Lift",IF(AU1555&lt;=0,"Aussenlager","teilweise")))))</f>
        <v>Aussenlager</v>
      </c>
      <c r="BF1555" s="55" t="str">
        <f aca="false">IF(AX1555&lt;=0,"",IF(BY1555="Aussen","Aussenlager",IF(BY1555="-","Nicht im Lift",IF(BC1555&gt;=1,"Lift",IF(BC1555&lt;=0,"Aussenlager","teilweise")))))</f>
        <v>Aussenlager</v>
      </c>
      <c r="BG1555" s="55" t="str">
        <f aca="false">IF(A1555="","",IF(BP1555=1,"Neu; ","")&amp;IF(AND(BP1555=0,BK1555&lt;0),"negativer Bestand (Export "&amp;BK1555&amp;"); ","")&amp;IF(J1555&lt;=0,"Kein Verbrauch; ","")&amp;IF(CH1555&gt;0,"Lift "&amp;W1555&amp;" lt. Liftbericht (Fach "&amp;X1555&amp;" Stk); ",IF(BU1555=1,"Gebinde geschätzt ("&amp;T1555&amp;"); ",IF(BT1555=1,"Lose – Tablare geschätzt; ","")))&amp;IF(H1555&gt;AR1555,"Überbestand "&amp;ROUND(H1555-AR1555,0)&amp;" Stk / CHF "&amp;ROUND((H1555-AR1555)*G1555,0)&amp;"; ","")&amp;IF(AND(CA1555=1,CB1555&lt;CC1555),"MAX &lt; MB+LG; ","")&amp;IF(AND(CG1555&gt;0,CF1555*10&gt;CG1555),"zu hoch für Tablar; ","")&amp;IF(AND(BP1555=0,OR(CA1555=1,AA1555&lt;&gt;"",U1555&lt;&gt;"",V1555&lt;&gt;"",AB1555&lt;&gt;"")),"manuell übersteuert; ","")&amp;IF(AND(BT1555=0,R1555=0),"Gebinde unbekannt / Stellmass fehlt; ","")&amp;IF(AND(BT1555=0,N(V1555)&lt;=0,N(Q1555)&lt;=0),"Menge pro Gebinde fehlt (Ist = 1 Gebinde); ","")&amp;BO1555)</f>
        <v>Kein Verbrauch; nur im Artikelstamm (Bestand 23.06.2026)</v>
      </c>
      <c r="BH1555" s="55"/>
      <c r="BI1555" s="55"/>
      <c r="BJ1555" s="62"/>
      <c r="BK1555" s="57" t="n">
        <v>9</v>
      </c>
      <c r="BL1555" s="57" t="n">
        <v>0</v>
      </c>
      <c r="BM1555" s="56" t="n">
        <v>0</v>
      </c>
      <c r="BN1555" s="57" t="n">
        <v>0</v>
      </c>
      <c r="BO1555" s="55" t="s">
        <v>2575</v>
      </c>
      <c r="BP1555" s="60" t="n">
        <v>0</v>
      </c>
      <c r="BQ1555" s="60" t="n">
        <v>1555</v>
      </c>
      <c r="BR1555" s="55" t="str">
        <f aca="false">IF(U1555&lt;&gt;"",UPPER(TRIM(U1555)),IF(BU1555=1,UPPER(VLOOKUP(T1555,Parameter!$I$27:$K$29,2,0)),IF(P1555="","LOSE",P1555)))</f>
        <v>S51</v>
      </c>
      <c r="BS1555" s="57" t="n">
        <f aca="false">IF(BR1555="LOSE",1,IF(N(V1555)&gt;0,V1555,IF(BU1555=1,MAX(1,N(VLOOKUP(T1555,Parameter!$I$27:$K$29,3,0)),H1555,N(N1555)),IF(N(Q1555)&gt;0,Q1555,MAX(1,H1555)))))</f>
        <v>9</v>
      </c>
      <c r="BT1555" s="60" t="n">
        <f aca="false">IF(BR1555="LOSE",1,0)</f>
        <v>0</v>
      </c>
      <c r="BU1555" s="60" t="n">
        <f aca="false">IF(AND(U1555="",OR(P1555="",P1555="LOSE"),T1555&lt;&gt;"",N(S1555)&lt;=0,ISNUMBER(MATCH(T1555,Parameter!$I$27:$I$29,0))),1,0)</f>
        <v>0</v>
      </c>
      <c r="BV1555" s="55" t="str">
        <f aca="false">IF(AND(Parameter!$B$19="Ja",E1555&lt;&gt;"",ISNUMBER(MATCH(E1555,Parameter!$I$35:$I$52,0))),VLOOKUP(E1555,Parameter!$I$35:$J$52,2,0),IFERROR(VLOOKUP(D1555,Parameter!$A$35:$C$64,2,0),"Nein"))</f>
        <v>2+3</v>
      </c>
      <c r="BW1555" s="59" t="n">
        <f aca="false">IF(BT1555=0,0,IF(N(S1555)&gt;0,S1555,IFERROR(VLOOKUP(D1555,Parameter!$A$35:$C$64,3,0)+0,0)))</f>
        <v>0</v>
      </c>
      <c r="BX1555" s="55" t="n">
        <f aca="false">IF(AA1555&lt;&gt;"",AA1555,Z1555)</f>
        <v>3</v>
      </c>
      <c r="BY1555" s="55" t="str">
        <f aca="false">IF(BX1555=1,"L1",IF(OR(BX1555=2,BX1555=3),"L23",IF(BX1555="Aussen","Aussen","-")))</f>
        <v>L23</v>
      </c>
      <c r="BZ1555" s="66" t="n">
        <f aca="false">IF(N(AB1555)&gt;0,AB1555,0)</f>
        <v>0</v>
      </c>
      <c r="CA1555" s="60" t="n">
        <f aca="false">IF(ISNUMBER(AE1555),1,0)</f>
        <v>0</v>
      </c>
      <c r="CB1555" s="57" t="n">
        <f aca="false">N(AE1555)</f>
        <v>0</v>
      </c>
      <c r="CC1555" s="57" t="n">
        <f aca="false">N(M1555)+N(N1555)</f>
        <v>10</v>
      </c>
      <c r="CD1555" s="57" t="n">
        <f aca="false">ROUNDUP(H1555/BS1555,0)</f>
        <v>1</v>
      </c>
      <c r="CE1555" s="57" t="n">
        <f aca="false">ROUNDUP(CB1555/BS1555,0)</f>
        <v>0</v>
      </c>
      <c r="CF1555" s="60" t="n">
        <f aca="false">IF(BT1555=1,0,IFERROR(VLOOKUP(BR1555,'Gebinde-Kategorie'!$A$5:$M$45,5,0)+0,0))</f>
        <v>11</v>
      </c>
      <c r="CG1555" s="60" t="n">
        <f aca="false">IFERROR(IF(OR(BX1555=1,BX1555=2,BX1555=3),N(INDEX(Parameter!$I$5:$I$7,BX1555)),0),0)</f>
        <v>0</v>
      </c>
      <c r="CH1555" s="59" t="n">
        <f aca="false">IF(AND(Parameter!$B$21="Ja",ISNUMBER(W1555),N(X1555)&gt;0),IFERROR(N(INDEX(Parameter!$L$5:$L$7,W1555))*INDEX(Parameter!$E$5:$E$7,W1555)*X1555/SUMIFS($X$7:$X$1843,$W$7:$W$1843,W1555),0),0)</f>
        <v>0</v>
      </c>
    </row>
    <row r="1556" customFormat="false" ht="15" hidden="false" customHeight="false" outlineLevel="0" collapsed="false">
      <c r="A1556" s="55" t="s">
        <v>2718</v>
      </c>
      <c r="B1556" s="55" t="s">
        <v>520</v>
      </c>
      <c r="C1556" s="55" t="s">
        <v>164</v>
      </c>
      <c r="D1556" s="55" t="s">
        <v>184</v>
      </c>
      <c r="E1556" s="55" t="s">
        <v>185</v>
      </c>
      <c r="F1556" s="55"/>
      <c r="G1556" s="56" t="n">
        <v>27.17</v>
      </c>
      <c r="H1556" s="57" t="n">
        <f aca="false">MAX(0,IF(AND(Parameter!$B$21="Ja",ISNUMBER(Y1556)),Y1556,IF(Parameter!$B$20="Jahresanfang 2025 + Export",BL1556+BK1556,BK1556)))</f>
        <v>54</v>
      </c>
      <c r="I1556" s="57" t="n">
        <f aca="false">H1556*G1556</f>
        <v>1467.18</v>
      </c>
      <c r="J1556" s="57" t="n">
        <f aca="false">BN1556*Parameter!$B$18</f>
        <v>0</v>
      </c>
      <c r="K1556" s="58"/>
      <c r="L1556" s="59"/>
      <c r="M1556" s="57" t="n">
        <v>0</v>
      </c>
      <c r="N1556" s="57" t="n">
        <v>20</v>
      </c>
      <c r="O1556" s="60" t="n">
        <v>56</v>
      </c>
      <c r="P1556" s="55" t="s">
        <v>476</v>
      </c>
      <c r="Q1556" s="57" t="n">
        <v>54</v>
      </c>
      <c r="R1556" s="60" t="n">
        <f aca="false">IF(BT1556=1,0,IFERROR(VLOOKUP(BR1556,'Gebinde-Kategorie'!$A$5:$M$45,13,0)+0,0))</f>
        <v>66</v>
      </c>
      <c r="S1556" s="61"/>
      <c r="T1556" s="62"/>
      <c r="U1556" s="62"/>
      <c r="V1556" s="62"/>
      <c r="W1556" s="55"/>
      <c r="X1556" s="57"/>
      <c r="Y1556" s="57"/>
      <c r="Z1556" s="55" t="n">
        <f aca="false">IF(A1556="","",IF(AND(Parameter!$B$21="Ja",ISNUMBER(W1556)),W1556,IF(BV1556="2+3",IF(ISNUMBER(SEARCH("grosser Artikel",BO1556)),2,IFERROR(VLOOKUP(BR1556,Parameter!$F$35:$G$64,2,0),2)),IF(OR(BV1556="Nein",BV1556=""),"-",BV1556))))</f>
        <v>3</v>
      </c>
      <c r="AA1556" s="62"/>
      <c r="AB1556" s="63"/>
      <c r="AC1556" s="57" t="n">
        <f aca="false">AR1556</f>
        <v>54</v>
      </c>
      <c r="AD1556" s="57" t="n">
        <f aca="false">MAX(AR1556,H1556)</f>
        <v>54</v>
      </c>
      <c r="AE1556" s="64"/>
      <c r="AF1556" s="57" t="n">
        <f aca="false">IF(LEFT(Cockpit!$C$5,1)="A",H1556,IF(CA1556=1,CB1556,IF(LEFT(Cockpit!$C$5,1)="B",AJ1556,MAX(AJ1556,H1556))))</f>
        <v>54</v>
      </c>
      <c r="AG1556" s="57" t="n">
        <f aca="false">IF(BT1556=1,0,ROUNDUP(AF1556/BS1556,0))</f>
        <v>1</v>
      </c>
      <c r="AH1556" s="59" t="n">
        <f aca="false">IF(CH1556&gt;0,CH1556*MAX(1,AF1556/X1556),IF(BT1556=1,IF(AF1556&lt;=0,0,BW1556*MAX(1,IF(H1556&gt;0,AF1556/H1556,1))),IF(R1556&gt;0,AG1556/R1556,0))/MAX(0.1,N(Parameter!$M$21)))</f>
        <v>0.0151515151515152</v>
      </c>
      <c r="AI1556" s="57" t="n">
        <f aca="false">AF1556*G1556</f>
        <v>1467.18</v>
      </c>
      <c r="AJ1556" s="57" t="n">
        <f aca="false">ROUNDUP(MAX(J1556/IF(BZ1556&gt;0,BZ1556,MAX(0.1,N(Cockpit!$C$6))),CC1556)/BS1556,0)*BS1556</f>
        <v>54</v>
      </c>
      <c r="AK1556" s="58" t="n">
        <f aca="false">IF(AH1556&gt;0,J1556/AH1556,-1)</f>
        <v>0</v>
      </c>
      <c r="AL1556" s="58" t="n">
        <f aca="false">IF(AND(OR(BY1556="L1",BY1556="L23"),AH1556&gt;0),SUMIFS($AH$7:$AH$1843,$BY$7:$BY$1843,BY1556,$AK$7:$AK$1843,"&gt;"&amp;AK1556)+SUMIFS($AH$7:$AH$1843,$BY$7:$BY$1843,BY1556,$AK$7:$AK$1843,AK1556,$BQ$7:$BQ$1843,"&lt;="&amp;BQ1556),"")</f>
        <v>83.5204300530388</v>
      </c>
      <c r="AM1556" s="65" t="n">
        <f aca="false">IF(AL1556="",0,MAX(0,MIN(1,(IF(BY1556="L1",Parameter!$E$5,Parameter!$E$6+Parameter!$E$7)-(AL1556-AH1556))/AH1556)))</f>
        <v>1</v>
      </c>
      <c r="AN1556" s="57" t="n">
        <f aca="false">IF(LEFT(Cockpit!$I$5,1)="A",H1556,IF(CA1556=1,CB1556,IF(LEFT(Cockpit!$I$5,1)="B",AR1556,MAX(AR1556,H1556))))</f>
        <v>54</v>
      </c>
      <c r="AO1556" s="57" t="n">
        <f aca="false">IF(BT1556=1,0,ROUNDUP(AN1556/BS1556,0))</f>
        <v>1</v>
      </c>
      <c r="AP1556" s="59" t="n">
        <f aca="false">IF(CH1556&gt;0,CH1556*MAX(1,AN1556/X1556),IF(BT1556=1,IF(AN1556&lt;=0,0,BW1556*MAX(1,IF(H1556&gt;0,AN1556/H1556,1))),IF(R1556&gt;0,AO1556/R1556,0))/MAX(0.1,N(Parameter!$M$21)))</f>
        <v>0.0151515151515152</v>
      </c>
      <c r="AQ1556" s="57" t="n">
        <f aca="false">AN1556*G1556</f>
        <v>1467.18</v>
      </c>
      <c r="AR1556" s="57" t="n">
        <f aca="false">ROUNDUP(MAX(J1556/IF(BZ1556&gt;0,BZ1556,MAX(0.1,N(Cockpit!$I$6))),CC1556)/BS1556,0)*BS1556</f>
        <v>54</v>
      </c>
      <c r="AS1556" s="58" t="n">
        <f aca="false">IF(AP1556&gt;0,J1556/AP1556,-1)</f>
        <v>0</v>
      </c>
      <c r="AT1556" s="58" t="n">
        <f aca="false">IF(AND(OR(BY1556="L1",BY1556="L23"),AP1556&gt;0),SUMIFS($AP$7:$AP$1843,$BY$7:$BY$1843,BY1556,$AS$7:$AS$1843,"&gt;"&amp;AS1556)+SUMIFS($AP$7:$AP$1843,$BY$7:$BY$1843,BY1556,$AS$7:$AS$1843,AS1556,$BQ$7:$BQ$1843,"&lt;="&amp;BQ1556),"")</f>
        <v>128.772566805176</v>
      </c>
      <c r="AU1556" s="65" t="n">
        <f aca="false">IF(AT1556="",0,MAX(0,MIN(1,(IF(BY1556="L1",Parameter!$E$5,Parameter!$E$6+Parameter!$E$7)-(AT1556-AP1556))/AP1556)))</f>
        <v>0</v>
      </c>
      <c r="AV1556" s="57" t="n">
        <f aca="false">IF(LEFT(Cockpit!$O$5,1)="A",H1556,IF(CA1556=1,CB1556,IF(LEFT(Cockpit!$O$5,1)="B",AZ1556,MAX(AZ1556,H1556))))</f>
        <v>54</v>
      </c>
      <c r="AW1556" s="57" t="n">
        <f aca="false">IF(BT1556=1,0,ROUNDUP(AV1556/BS1556,0))</f>
        <v>1</v>
      </c>
      <c r="AX1556" s="59" t="n">
        <f aca="false">IF(CH1556&gt;0,CH1556*MAX(1,AV1556/X1556),IF(BT1556=1,IF(AV1556&lt;=0,0,BW1556*MAX(1,IF(H1556&gt;0,AV1556/H1556,1))),IF(R1556&gt;0,AW1556/R1556,0))/MAX(0.1,N(Parameter!$M$21)))</f>
        <v>0.0151515151515152</v>
      </c>
      <c r="AY1556" s="57" t="n">
        <f aca="false">AV1556*G1556</f>
        <v>1467.18</v>
      </c>
      <c r="AZ1556" s="57" t="n">
        <f aca="false">ROUNDUP(MAX(J1556/IF(BZ1556&gt;0,BZ1556,MAX(0.1,N(Cockpit!$O$6))),CC1556)/BS1556,0)*BS1556</f>
        <v>54</v>
      </c>
      <c r="BA1556" s="58" t="n">
        <f aca="false">IF(AX1556&gt;0,J1556/AX1556,-1)</f>
        <v>0</v>
      </c>
      <c r="BB1556" s="58" t="n">
        <f aca="false">IF(AND(OR(BY1556="L1",BY1556="L23"),AX1556&gt;0),SUMIFS($AX$7:$AX$1843,$BY$7:$BY$1843,BY1556,$BA$7:$BA$1843,"&gt;"&amp;BA1556)+SUMIFS($AX$7:$AX$1843,$BY$7:$BY$1843,BY1556,$BA$7:$BA$1843,BA1556,$BQ$7:$BQ$1843,"&lt;="&amp;BQ1556),"")</f>
        <v>119.602403635012</v>
      </c>
      <c r="BC1556" s="65" t="n">
        <f aca="false">IF(BB1556="",0,MAX(0,MIN(1,(IF(BY1556="L1",Parameter!$E$5,Parameter!$E$6+Parameter!$E$7)-(BB1556-AX1556))/AX1556)))</f>
        <v>0</v>
      </c>
      <c r="BD1556" s="55" t="str">
        <f aca="false">IF(AH1556&lt;=0,"",IF(BY1556="Aussen","Aussenlager",IF(BY1556="-","Nicht im Lift",IF(AM1556&gt;=1,"Lift",IF(AM1556&lt;=0,"Aussenlager","teilweise")))))</f>
        <v>Lift</v>
      </c>
      <c r="BE1556" s="55" t="str">
        <f aca="false">IF(AP1556&lt;=0,"",IF(BY1556="Aussen","Aussenlager",IF(BY1556="-","Nicht im Lift",IF(AU1556&gt;=1,"Lift",IF(AU1556&lt;=0,"Aussenlager","teilweise")))))</f>
        <v>Aussenlager</v>
      </c>
      <c r="BF1556" s="55" t="str">
        <f aca="false">IF(AX1556&lt;=0,"",IF(BY1556="Aussen","Aussenlager",IF(BY1556="-","Nicht im Lift",IF(BC1556&gt;=1,"Lift",IF(BC1556&lt;=0,"Aussenlager","teilweise")))))</f>
        <v>Aussenlager</v>
      </c>
      <c r="BG1556" s="55" t="str">
        <f aca="false">IF(A1556="","",IF(BP1556=1,"Neu; ","")&amp;IF(AND(BP1556=0,BK1556&lt;0),"negativer Bestand (Export "&amp;BK1556&amp;"); ","")&amp;IF(J1556&lt;=0,"Kein Verbrauch; ","")&amp;IF(CH1556&gt;0,"Lift "&amp;W1556&amp;" lt. Liftbericht (Fach "&amp;X1556&amp;" Stk); ",IF(BU1556=1,"Gebinde geschätzt ("&amp;T1556&amp;"); ",IF(BT1556=1,"Lose – Tablare geschätzt; ","")))&amp;IF(H1556&gt;AR1556,"Überbestand "&amp;ROUND(H1556-AR1556,0)&amp;" Stk / CHF "&amp;ROUND((H1556-AR1556)*G1556,0)&amp;"; ","")&amp;IF(AND(CA1556=1,CB1556&lt;CC1556),"MAX &lt; MB+LG; ","")&amp;IF(AND(CG1556&gt;0,CF1556*10&gt;CG1556),"zu hoch für Tablar; ","")&amp;IF(AND(BP1556=0,OR(CA1556=1,AA1556&lt;&gt;"",U1556&lt;&gt;"",V1556&lt;&gt;"",AB1556&lt;&gt;"")),"manuell übersteuert; ","")&amp;IF(AND(BT1556=0,R1556=0),"Gebinde unbekannt / Stellmass fehlt; ","")&amp;IF(AND(BT1556=0,N(V1556)&lt;=0,N(Q1556)&lt;=0),"Menge pro Gebinde fehlt (Ist = 1 Gebinde); ","")&amp;BO1556)</f>
        <v>Kein Verbrauch; nur im Artikelstamm (Bestand 23.06.2026)</v>
      </c>
      <c r="BH1556" s="55"/>
      <c r="BI1556" s="55"/>
      <c r="BJ1556" s="62"/>
      <c r="BK1556" s="57" t="n">
        <v>54</v>
      </c>
      <c r="BL1556" s="57" t="n">
        <v>0</v>
      </c>
      <c r="BM1556" s="56" t="n">
        <v>0</v>
      </c>
      <c r="BN1556" s="57" t="n">
        <v>0</v>
      </c>
      <c r="BO1556" s="55" t="s">
        <v>2575</v>
      </c>
      <c r="BP1556" s="60" t="n">
        <v>0</v>
      </c>
      <c r="BQ1556" s="60" t="n">
        <v>1556</v>
      </c>
      <c r="BR1556" s="55" t="str">
        <f aca="false">IF(U1556&lt;&gt;"",UPPER(TRIM(U1556)),IF(BU1556=1,UPPER(VLOOKUP(T1556,Parameter!$I$27:$K$29,2,0)),IF(P1556="","LOSE",P1556)))</f>
        <v>S33</v>
      </c>
      <c r="BS1556" s="57" t="n">
        <f aca="false">IF(BR1556="LOSE",1,IF(N(V1556)&gt;0,V1556,IF(BU1556=1,MAX(1,N(VLOOKUP(T1556,Parameter!$I$27:$K$29,3,0)),H1556,N(N1556)),IF(N(Q1556)&gt;0,Q1556,MAX(1,H1556)))))</f>
        <v>54</v>
      </c>
      <c r="BT1556" s="60" t="n">
        <f aca="false">IF(BR1556="LOSE",1,0)</f>
        <v>0</v>
      </c>
      <c r="BU1556" s="60" t="n">
        <f aca="false">IF(AND(U1556="",OR(P1556="",P1556="LOSE"),T1556&lt;&gt;"",N(S1556)&lt;=0,ISNUMBER(MATCH(T1556,Parameter!$I$27:$I$29,0))),1,0)</f>
        <v>0</v>
      </c>
      <c r="BV1556" s="55" t="str">
        <f aca="false">IF(AND(Parameter!$B$19="Ja",E1556&lt;&gt;"",ISNUMBER(MATCH(E1556,Parameter!$I$35:$I$52,0))),VLOOKUP(E1556,Parameter!$I$35:$J$52,2,0),IFERROR(VLOOKUP(D1556,Parameter!$A$35:$C$64,2,0),"Nein"))</f>
        <v>2+3</v>
      </c>
      <c r="BW1556" s="59" t="n">
        <f aca="false">IF(BT1556=0,0,IF(N(S1556)&gt;0,S1556,IFERROR(VLOOKUP(D1556,Parameter!$A$35:$C$64,3,0)+0,0)))</f>
        <v>0</v>
      </c>
      <c r="BX1556" s="55" t="n">
        <f aca="false">IF(AA1556&lt;&gt;"",AA1556,Z1556)</f>
        <v>3</v>
      </c>
      <c r="BY1556" s="55" t="str">
        <f aca="false">IF(BX1556=1,"L1",IF(OR(BX1556=2,BX1556=3),"L23",IF(BX1556="Aussen","Aussen","-")))</f>
        <v>L23</v>
      </c>
      <c r="BZ1556" s="66" t="n">
        <f aca="false">IF(N(AB1556)&gt;0,AB1556,0)</f>
        <v>0</v>
      </c>
      <c r="CA1556" s="60" t="n">
        <f aca="false">IF(ISNUMBER(AE1556),1,0)</f>
        <v>0</v>
      </c>
      <c r="CB1556" s="57" t="n">
        <f aca="false">N(AE1556)</f>
        <v>0</v>
      </c>
      <c r="CC1556" s="57" t="n">
        <f aca="false">N(M1556)+N(N1556)</f>
        <v>20</v>
      </c>
      <c r="CD1556" s="57" t="n">
        <f aca="false">ROUNDUP(H1556/BS1556,0)</f>
        <v>1</v>
      </c>
      <c r="CE1556" s="57" t="n">
        <f aca="false">ROUNDUP(CB1556/BS1556,0)</f>
        <v>0</v>
      </c>
      <c r="CF1556" s="60" t="n">
        <f aca="false">IF(BT1556=1,0,IFERROR(VLOOKUP(BR1556,'Gebinde-Kategorie'!$A$5:$M$45,5,0)+0,0))</f>
        <v>8</v>
      </c>
      <c r="CG1556" s="60" t="n">
        <f aca="false">IFERROR(IF(OR(BX1556=1,BX1556=2,BX1556=3),N(INDEX(Parameter!$I$5:$I$7,BX1556)),0),0)</f>
        <v>0</v>
      </c>
      <c r="CH1556" s="59" t="n">
        <f aca="false">IF(AND(Parameter!$B$21="Ja",ISNUMBER(W1556),N(X1556)&gt;0),IFERROR(N(INDEX(Parameter!$L$5:$L$7,W1556))*INDEX(Parameter!$E$5:$E$7,W1556)*X1556/SUMIFS($X$7:$X$1843,$W$7:$W$1843,W1556),0),0)</f>
        <v>0</v>
      </c>
    </row>
    <row r="1557" customFormat="false" ht="15" hidden="false" customHeight="false" outlineLevel="0" collapsed="false">
      <c r="A1557" s="55" t="s">
        <v>2719</v>
      </c>
      <c r="B1557" s="55" t="s">
        <v>2720</v>
      </c>
      <c r="C1557" s="55" t="s">
        <v>164</v>
      </c>
      <c r="D1557" s="55" t="s">
        <v>184</v>
      </c>
      <c r="E1557" s="55"/>
      <c r="F1557" s="55"/>
      <c r="G1557" s="56" t="n">
        <v>48.77</v>
      </c>
      <c r="H1557" s="57" t="n">
        <f aca="false">MAX(0,IF(AND(Parameter!$B$21="Ja",ISNUMBER(Y1557)),Y1557,IF(Parameter!$B$20="Jahresanfang 2025 + Export",BL1557+BK1557,BK1557)))</f>
        <v>5</v>
      </c>
      <c r="I1557" s="57" t="n">
        <f aca="false">H1557*G1557</f>
        <v>243.85</v>
      </c>
      <c r="J1557" s="57" t="n">
        <f aca="false">BN1557*Parameter!$B$18</f>
        <v>0</v>
      </c>
      <c r="K1557" s="58"/>
      <c r="L1557" s="59"/>
      <c r="M1557" s="57" t="n">
        <v>0</v>
      </c>
      <c r="N1557" s="57" t="n">
        <v>1</v>
      </c>
      <c r="O1557" s="60" t="n">
        <v>0</v>
      </c>
      <c r="P1557" s="55" t="s">
        <v>168</v>
      </c>
      <c r="Q1557" s="57"/>
      <c r="R1557" s="60" t="n">
        <f aca="false">IF(BT1557=1,0,IFERROR(VLOOKUP(BR1557,'Gebinde-Kategorie'!$A$5:$M$45,13,0)+0,0))</f>
        <v>26</v>
      </c>
      <c r="S1557" s="61"/>
      <c r="T1557" s="62" t="s">
        <v>275</v>
      </c>
      <c r="U1557" s="62"/>
      <c r="V1557" s="62"/>
      <c r="W1557" s="55"/>
      <c r="X1557" s="57"/>
      <c r="Y1557" s="57"/>
      <c r="Z1557" s="55" t="n">
        <f aca="false">IF(A1557="","",IF(AND(Parameter!$B$21="Ja",ISNUMBER(W1557)),W1557,IF(BV1557="2+3",IF(ISNUMBER(SEARCH("grosser Artikel",BO1557)),2,IFERROR(VLOOKUP(BR1557,Parameter!$F$35:$G$64,2,0),2)),IF(OR(BV1557="Nein",BV1557=""),"-",BV1557))))</f>
        <v>3</v>
      </c>
      <c r="AA1557" s="62"/>
      <c r="AB1557" s="63"/>
      <c r="AC1557" s="57" t="n">
        <f aca="false">AR1557</f>
        <v>20</v>
      </c>
      <c r="AD1557" s="57" t="n">
        <f aca="false">MAX(AR1557,H1557)</f>
        <v>20</v>
      </c>
      <c r="AE1557" s="64"/>
      <c r="AF1557" s="57" t="n">
        <f aca="false">IF(LEFT(Cockpit!$C$5,1)="A",H1557,IF(CA1557=1,CB1557,IF(LEFT(Cockpit!$C$5,1)="B",AJ1557,MAX(AJ1557,H1557))))</f>
        <v>5</v>
      </c>
      <c r="AG1557" s="57" t="n">
        <f aca="false">IF(BT1557=1,0,ROUNDUP(AF1557/BS1557,0))</f>
        <v>1</v>
      </c>
      <c r="AH1557" s="59" t="n">
        <f aca="false">IF(CH1557&gt;0,CH1557*MAX(1,AF1557/X1557),IF(BT1557=1,IF(AF1557&lt;=0,0,BW1557*MAX(1,IF(H1557&gt;0,AF1557/H1557,1))),IF(R1557&gt;0,AG1557/R1557,0))/MAX(0.1,N(Parameter!$M$21)))</f>
        <v>0.0384615384615385</v>
      </c>
      <c r="AI1557" s="57" t="n">
        <f aca="false">AF1557*G1557</f>
        <v>243.85</v>
      </c>
      <c r="AJ1557" s="57" t="n">
        <f aca="false">ROUNDUP(MAX(J1557/IF(BZ1557&gt;0,BZ1557,MAX(0.1,N(Cockpit!$C$6))),CC1557)/BS1557,0)*BS1557</f>
        <v>20</v>
      </c>
      <c r="AK1557" s="58" t="n">
        <f aca="false">IF(AH1557&gt;0,J1557/AH1557,-1)</f>
        <v>0</v>
      </c>
      <c r="AL1557" s="58" t="n">
        <f aca="false">IF(AND(OR(BY1557="L1",BY1557="L23"),AH1557&gt;0),SUMIFS($AH$7:$AH$1843,$BY$7:$BY$1843,BY1557,$AK$7:$AK$1843,"&gt;"&amp;AK1557)+SUMIFS($AH$7:$AH$1843,$BY$7:$BY$1843,BY1557,$AK$7:$AK$1843,AK1557,$BQ$7:$BQ$1843,"&lt;="&amp;BQ1557),"")</f>
        <v>83.5588915915003</v>
      </c>
      <c r="AM1557" s="65" t="n">
        <f aca="false">IF(AL1557="",0,MAX(0,MIN(1,(IF(BY1557="L1",Parameter!$E$5,Parameter!$E$6+Parameter!$E$7)-(AL1557-AH1557))/AH1557)))</f>
        <v>1</v>
      </c>
      <c r="AN1557" s="57" t="n">
        <f aca="false">IF(LEFT(Cockpit!$I$5,1)="A",H1557,IF(CA1557=1,CB1557,IF(LEFT(Cockpit!$I$5,1)="B",AR1557,MAX(AR1557,H1557))))</f>
        <v>20</v>
      </c>
      <c r="AO1557" s="57" t="n">
        <f aca="false">IF(BT1557=1,0,ROUNDUP(AN1557/BS1557,0))</f>
        <v>1</v>
      </c>
      <c r="AP1557" s="59" t="n">
        <f aca="false">IF(CH1557&gt;0,CH1557*MAX(1,AN1557/X1557),IF(BT1557=1,IF(AN1557&lt;=0,0,BW1557*MAX(1,IF(H1557&gt;0,AN1557/H1557,1))),IF(R1557&gt;0,AO1557/R1557,0))/MAX(0.1,N(Parameter!$M$21)))</f>
        <v>0.0384615384615385</v>
      </c>
      <c r="AQ1557" s="57" t="n">
        <f aca="false">AN1557*G1557</f>
        <v>975.4</v>
      </c>
      <c r="AR1557" s="57" t="n">
        <f aca="false">ROUNDUP(MAX(J1557/IF(BZ1557&gt;0,BZ1557,MAX(0.1,N(Cockpit!$I$6))),CC1557)/BS1557,0)*BS1557</f>
        <v>20</v>
      </c>
      <c r="AS1557" s="58" t="n">
        <f aca="false">IF(AP1557&gt;0,J1557/AP1557,-1)</f>
        <v>0</v>
      </c>
      <c r="AT1557" s="58" t="n">
        <f aca="false">IF(AND(OR(BY1557="L1",BY1557="L23"),AP1557&gt;0),SUMIFS($AP$7:$AP$1843,$BY$7:$BY$1843,BY1557,$AS$7:$AS$1843,"&gt;"&amp;AS1557)+SUMIFS($AP$7:$AP$1843,$BY$7:$BY$1843,BY1557,$AS$7:$AS$1843,AS1557,$BQ$7:$BQ$1843,"&lt;="&amp;BQ1557),"")</f>
        <v>128.811028343637</v>
      </c>
      <c r="AU1557" s="65" t="n">
        <f aca="false">IF(AT1557="",0,MAX(0,MIN(1,(IF(BY1557="L1",Parameter!$E$5,Parameter!$E$6+Parameter!$E$7)-(AT1557-AP1557))/AP1557)))</f>
        <v>0</v>
      </c>
      <c r="AV1557" s="57" t="n">
        <f aca="false">IF(LEFT(Cockpit!$O$5,1)="A",H1557,IF(CA1557=1,CB1557,IF(LEFT(Cockpit!$O$5,1)="B",AZ1557,MAX(AZ1557,H1557))))</f>
        <v>20</v>
      </c>
      <c r="AW1557" s="57" t="n">
        <f aca="false">IF(BT1557=1,0,ROUNDUP(AV1557/BS1557,0))</f>
        <v>1</v>
      </c>
      <c r="AX1557" s="59" t="n">
        <f aca="false">IF(CH1557&gt;0,CH1557*MAX(1,AV1557/X1557),IF(BT1557=1,IF(AV1557&lt;=0,0,BW1557*MAX(1,IF(H1557&gt;0,AV1557/H1557,1))),IF(R1557&gt;0,AW1557/R1557,0))/MAX(0.1,N(Parameter!$M$21)))</f>
        <v>0.0384615384615385</v>
      </c>
      <c r="AY1557" s="57" t="n">
        <f aca="false">AV1557*G1557</f>
        <v>975.4</v>
      </c>
      <c r="AZ1557" s="57" t="n">
        <f aca="false">ROUNDUP(MAX(J1557/IF(BZ1557&gt;0,BZ1557,MAX(0.1,N(Cockpit!$O$6))),CC1557)/BS1557,0)*BS1557</f>
        <v>20</v>
      </c>
      <c r="BA1557" s="58" t="n">
        <f aca="false">IF(AX1557&gt;0,J1557/AX1557,-1)</f>
        <v>0</v>
      </c>
      <c r="BB1557" s="58" t="n">
        <f aca="false">IF(AND(OR(BY1557="L1",BY1557="L23"),AX1557&gt;0),SUMIFS($AX$7:$AX$1843,$BY$7:$BY$1843,BY1557,$BA$7:$BA$1843,"&gt;"&amp;BA1557)+SUMIFS($AX$7:$AX$1843,$BY$7:$BY$1843,BY1557,$BA$7:$BA$1843,BA1557,$BQ$7:$BQ$1843,"&lt;="&amp;BQ1557),"")</f>
        <v>119.640865173474</v>
      </c>
      <c r="BC1557" s="65" t="n">
        <f aca="false">IF(BB1557="",0,MAX(0,MIN(1,(IF(BY1557="L1",Parameter!$E$5,Parameter!$E$6+Parameter!$E$7)-(BB1557-AX1557))/AX1557)))</f>
        <v>0</v>
      </c>
      <c r="BD1557" s="55" t="str">
        <f aca="false">IF(AH1557&lt;=0,"",IF(BY1557="Aussen","Aussenlager",IF(BY1557="-","Nicht im Lift",IF(AM1557&gt;=1,"Lift",IF(AM1557&lt;=0,"Aussenlager","teilweise")))))</f>
        <v>Lift</v>
      </c>
      <c r="BE1557" s="55" t="str">
        <f aca="false">IF(AP1557&lt;=0,"",IF(BY1557="Aussen","Aussenlager",IF(BY1557="-","Nicht im Lift",IF(AU1557&gt;=1,"Lift",IF(AU1557&lt;=0,"Aussenlager","teilweise")))))</f>
        <v>Aussenlager</v>
      </c>
      <c r="BF1557" s="55" t="str">
        <f aca="false">IF(AX1557&lt;=0,"",IF(BY1557="Aussen","Aussenlager",IF(BY1557="-","Nicht im Lift",IF(BC1557&gt;=1,"Lift",IF(BC1557&lt;=0,"Aussenlager","teilweise")))))</f>
        <v>Aussenlager</v>
      </c>
      <c r="BG1557" s="55" t="str">
        <f aca="false">IF(A1557="","",IF(BP1557=1,"Neu; ","")&amp;IF(AND(BP1557=0,BK1557&lt;0),"negativer Bestand (Export "&amp;BK1557&amp;"); ","")&amp;IF(J1557&lt;=0,"Kein Verbrauch; ","")&amp;IF(CH1557&gt;0,"Lift "&amp;W1557&amp;" lt. Liftbericht (Fach "&amp;X1557&amp;" Stk); ",IF(BU1557=1,"Gebinde geschätzt ("&amp;T1557&amp;"); ",IF(BT1557=1,"Lose – Tablare geschätzt; ","")))&amp;IF(H1557&gt;AR1557,"Überbestand "&amp;ROUND(H1557-AR1557,0)&amp;" Stk / CHF "&amp;ROUND((H1557-AR1557)*G1557,0)&amp;"; ","")&amp;IF(AND(CA1557=1,CB1557&lt;CC1557),"MAX &lt; MB+LG; ","")&amp;IF(AND(CG1557&gt;0,CF1557*10&gt;CG1557),"zu hoch für Tablar; ","")&amp;IF(AND(BP1557=0,OR(CA1557=1,AA1557&lt;&gt;"",U1557&lt;&gt;"",V1557&lt;&gt;"",AB1557&lt;&gt;"")),"manuell übersteuert; ","")&amp;IF(AND(BT1557=0,R1557=0),"Gebinde unbekannt / Stellmass fehlt; ","")&amp;IF(AND(BT1557=0,N(V1557)&lt;=0,N(Q1557)&lt;=0),"Menge pro Gebinde fehlt (Ist = 1 Gebinde); ","")&amp;BO1557)</f>
        <v>Kein Verbrauch; Gebinde geschätzt (Klein); Menge pro Gebinde fehlt (Ist = 1 Gebinde); nur im Artikelstamm (Bestand 23.06.2026); Verb.Lager</v>
      </c>
      <c r="BH1557" s="55"/>
      <c r="BI1557" s="55"/>
      <c r="BJ1557" s="62"/>
      <c r="BK1557" s="57" t="n">
        <v>5</v>
      </c>
      <c r="BL1557" s="57" t="n">
        <v>0</v>
      </c>
      <c r="BM1557" s="56" t="n">
        <v>0</v>
      </c>
      <c r="BN1557" s="57" t="n">
        <v>0</v>
      </c>
      <c r="BO1557" s="55" t="s">
        <v>2569</v>
      </c>
      <c r="BP1557" s="60" t="n">
        <v>0</v>
      </c>
      <c r="BQ1557" s="60" t="n">
        <v>1557</v>
      </c>
      <c r="BR1557" s="55" t="str">
        <f aca="false">IF(U1557&lt;&gt;"",UPPER(TRIM(U1557)),IF(BU1557=1,UPPER(VLOOKUP(T1557,Parameter!$I$27:$K$29,2,0)),IF(P1557="","LOSE",P1557)))</f>
        <v>S51</v>
      </c>
      <c r="BS1557" s="57" t="n">
        <f aca="false">IF(BR1557="LOSE",1,IF(N(V1557)&gt;0,V1557,IF(BU1557=1,MAX(1,N(VLOOKUP(T1557,Parameter!$I$27:$K$29,3,0)),H1557,N(N1557)),IF(N(Q1557)&gt;0,Q1557,MAX(1,H1557)))))</f>
        <v>20</v>
      </c>
      <c r="BT1557" s="60" t="n">
        <f aca="false">IF(BR1557="LOSE",1,0)</f>
        <v>0</v>
      </c>
      <c r="BU1557" s="60" t="n">
        <f aca="false">IF(AND(U1557="",OR(P1557="",P1557="LOSE"),T1557&lt;&gt;"",N(S1557)&lt;=0,ISNUMBER(MATCH(T1557,Parameter!$I$27:$I$29,0))),1,0)</f>
        <v>1</v>
      </c>
      <c r="BV1557" s="55" t="str">
        <f aca="false">IF(AND(Parameter!$B$19="Ja",E1557&lt;&gt;"",ISNUMBER(MATCH(E1557,Parameter!$I$35:$I$52,0))),VLOOKUP(E1557,Parameter!$I$35:$J$52,2,0),IFERROR(VLOOKUP(D1557,Parameter!$A$35:$C$64,2,0),"Nein"))</f>
        <v>2+3</v>
      </c>
      <c r="BW1557" s="59" t="n">
        <f aca="false">IF(BT1557=0,0,IF(N(S1557)&gt;0,S1557,IFERROR(VLOOKUP(D1557,Parameter!$A$35:$C$64,3,0)+0,0)))</f>
        <v>0</v>
      </c>
      <c r="BX1557" s="55" t="n">
        <f aca="false">IF(AA1557&lt;&gt;"",AA1557,Z1557)</f>
        <v>3</v>
      </c>
      <c r="BY1557" s="55" t="str">
        <f aca="false">IF(BX1557=1,"L1",IF(OR(BX1557=2,BX1557=3),"L23",IF(BX1557="Aussen","Aussen","-")))</f>
        <v>L23</v>
      </c>
      <c r="BZ1557" s="66" t="n">
        <f aca="false">IF(N(AB1557)&gt;0,AB1557,0)</f>
        <v>0</v>
      </c>
      <c r="CA1557" s="60" t="n">
        <f aca="false">IF(ISNUMBER(AE1557),1,0)</f>
        <v>0</v>
      </c>
      <c r="CB1557" s="57" t="n">
        <f aca="false">N(AE1557)</f>
        <v>0</v>
      </c>
      <c r="CC1557" s="57" t="n">
        <f aca="false">N(M1557)+N(N1557)</f>
        <v>1</v>
      </c>
      <c r="CD1557" s="57" t="n">
        <f aca="false">ROUNDUP(H1557/BS1557,0)</f>
        <v>1</v>
      </c>
      <c r="CE1557" s="57" t="n">
        <f aca="false">ROUNDUP(CB1557/BS1557,0)</f>
        <v>0</v>
      </c>
      <c r="CF1557" s="60" t="n">
        <f aca="false">IF(BT1557=1,0,IFERROR(VLOOKUP(BR1557,'Gebinde-Kategorie'!$A$5:$M$45,5,0)+0,0))</f>
        <v>11</v>
      </c>
      <c r="CG1557" s="60" t="n">
        <f aca="false">IFERROR(IF(OR(BX1557=1,BX1557=2,BX1557=3),N(INDEX(Parameter!$I$5:$I$7,BX1557)),0),0)</f>
        <v>0</v>
      </c>
      <c r="CH1557" s="59" t="n">
        <f aca="false">IF(AND(Parameter!$B$21="Ja",ISNUMBER(W1557),N(X1557)&gt;0),IFERROR(N(INDEX(Parameter!$L$5:$L$7,W1557))*INDEX(Parameter!$E$5:$E$7,W1557)*X1557/SUMIFS($X$7:$X$1843,$W$7:$W$1843,W1557),0),0)</f>
        <v>0</v>
      </c>
    </row>
    <row r="1558" customFormat="false" ht="15" hidden="false" customHeight="false" outlineLevel="0" collapsed="false">
      <c r="A1558" s="55" t="s">
        <v>2721</v>
      </c>
      <c r="B1558" s="55" t="s">
        <v>2722</v>
      </c>
      <c r="C1558" s="55" t="s">
        <v>164</v>
      </c>
      <c r="D1558" s="55" t="s">
        <v>184</v>
      </c>
      <c r="E1558" s="55"/>
      <c r="F1558" s="55"/>
      <c r="G1558" s="56" t="n">
        <v>10.43</v>
      </c>
      <c r="H1558" s="57" t="n">
        <f aca="false">MAX(0,IF(AND(Parameter!$B$21="Ja",ISNUMBER(Y1558)),Y1558,IF(Parameter!$B$20="Jahresanfang 2025 + Export",BL1558+BK1558,BK1558)))</f>
        <v>2</v>
      </c>
      <c r="I1558" s="57" t="n">
        <f aca="false">H1558*G1558</f>
        <v>20.86</v>
      </c>
      <c r="J1558" s="57" t="n">
        <f aca="false">BN1558*Parameter!$B$18</f>
        <v>0</v>
      </c>
      <c r="K1558" s="58"/>
      <c r="L1558" s="59"/>
      <c r="M1558" s="57" t="n">
        <v>0</v>
      </c>
      <c r="N1558" s="57" t="n">
        <v>1</v>
      </c>
      <c r="O1558" s="60" t="n">
        <v>14</v>
      </c>
      <c r="P1558" s="55" t="s">
        <v>168</v>
      </c>
      <c r="Q1558" s="57"/>
      <c r="R1558" s="60" t="n">
        <f aca="false">IF(BT1558=1,0,IFERROR(VLOOKUP(BR1558,'Gebinde-Kategorie'!$A$5:$M$45,13,0)+0,0))</f>
        <v>26</v>
      </c>
      <c r="S1558" s="61"/>
      <c r="T1558" s="62" t="s">
        <v>275</v>
      </c>
      <c r="U1558" s="62"/>
      <c r="V1558" s="62"/>
      <c r="W1558" s="55"/>
      <c r="X1558" s="57"/>
      <c r="Y1558" s="57"/>
      <c r="Z1558" s="55" t="n">
        <f aca="false">IF(A1558="","",IF(AND(Parameter!$B$21="Ja",ISNUMBER(W1558)),W1558,IF(BV1558="2+3",IF(ISNUMBER(SEARCH("grosser Artikel",BO1558)),2,IFERROR(VLOOKUP(BR1558,Parameter!$F$35:$G$64,2,0),2)),IF(OR(BV1558="Nein",BV1558=""),"-",BV1558))))</f>
        <v>3</v>
      </c>
      <c r="AA1558" s="62"/>
      <c r="AB1558" s="63"/>
      <c r="AC1558" s="57" t="n">
        <f aca="false">AR1558</f>
        <v>20</v>
      </c>
      <c r="AD1558" s="57" t="n">
        <f aca="false">MAX(AR1558,H1558)</f>
        <v>20</v>
      </c>
      <c r="AE1558" s="64"/>
      <c r="AF1558" s="57" t="n">
        <f aca="false">IF(LEFT(Cockpit!$C$5,1)="A",H1558,IF(CA1558=1,CB1558,IF(LEFT(Cockpit!$C$5,1)="B",AJ1558,MAX(AJ1558,H1558))))</f>
        <v>2</v>
      </c>
      <c r="AG1558" s="57" t="n">
        <f aca="false">IF(BT1558=1,0,ROUNDUP(AF1558/BS1558,0))</f>
        <v>1</v>
      </c>
      <c r="AH1558" s="59" t="n">
        <f aca="false">IF(CH1558&gt;0,CH1558*MAX(1,AF1558/X1558),IF(BT1558=1,IF(AF1558&lt;=0,0,BW1558*MAX(1,IF(H1558&gt;0,AF1558/H1558,1))),IF(R1558&gt;0,AG1558/R1558,0))/MAX(0.1,N(Parameter!$M$21)))</f>
        <v>0.0384615384615385</v>
      </c>
      <c r="AI1558" s="57" t="n">
        <f aca="false">AF1558*G1558</f>
        <v>20.86</v>
      </c>
      <c r="AJ1558" s="57" t="n">
        <f aca="false">ROUNDUP(MAX(J1558/IF(BZ1558&gt;0,BZ1558,MAX(0.1,N(Cockpit!$C$6))),CC1558)/BS1558,0)*BS1558</f>
        <v>20</v>
      </c>
      <c r="AK1558" s="58" t="n">
        <f aca="false">IF(AH1558&gt;0,J1558/AH1558,-1)</f>
        <v>0</v>
      </c>
      <c r="AL1558" s="58" t="n">
        <f aca="false">IF(AND(OR(BY1558="L1",BY1558="L23"),AH1558&gt;0),SUMIFS($AH$7:$AH$1843,$BY$7:$BY$1843,BY1558,$AK$7:$AK$1843,"&gt;"&amp;AK1558)+SUMIFS($AH$7:$AH$1843,$BY$7:$BY$1843,BY1558,$AK$7:$AK$1843,AK1558,$BQ$7:$BQ$1843,"&lt;="&amp;BQ1558),"")</f>
        <v>83.5973531299618</v>
      </c>
      <c r="AM1558" s="65" t="n">
        <f aca="false">IF(AL1558="",0,MAX(0,MIN(1,(IF(BY1558="L1",Parameter!$E$5,Parameter!$E$6+Parameter!$E$7)-(AL1558-AH1558))/AH1558)))</f>
        <v>1</v>
      </c>
      <c r="AN1558" s="57" t="n">
        <f aca="false">IF(LEFT(Cockpit!$I$5,1)="A",H1558,IF(CA1558=1,CB1558,IF(LEFT(Cockpit!$I$5,1)="B",AR1558,MAX(AR1558,H1558))))</f>
        <v>20</v>
      </c>
      <c r="AO1558" s="57" t="n">
        <f aca="false">IF(BT1558=1,0,ROUNDUP(AN1558/BS1558,0))</f>
        <v>1</v>
      </c>
      <c r="AP1558" s="59" t="n">
        <f aca="false">IF(CH1558&gt;0,CH1558*MAX(1,AN1558/X1558),IF(BT1558=1,IF(AN1558&lt;=0,0,BW1558*MAX(1,IF(H1558&gt;0,AN1558/H1558,1))),IF(R1558&gt;0,AO1558/R1558,0))/MAX(0.1,N(Parameter!$M$21)))</f>
        <v>0.0384615384615385</v>
      </c>
      <c r="AQ1558" s="57" t="n">
        <f aca="false">AN1558*G1558</f>
        <v>208.6</v>
      </c>
      <c r="AR1558" s="57" t="n">
        <f aca="false">ROUNDUP(MAX(J1558/IF(BZ1558&gt;0,BZ1558,MAX(0.1,N(Cockpit!$I$6))),CC1558)/BS1558,0)*BS1558</f>
        <v>20</v>
      </c>
      <c r="AS1558" s="58" t="n">
        <f aca="false">IF(AP1558&gt;0,J1558/AP1558,-1)</f>
        <v>0</v>
      </c>
      <c r="AT1558" s="58" t="n">
        <f aca="false">IF(AND(OR(BY1558="L1",BY1558="L23"),AP1558&gt;0),SUMIFS($AP$7:$AP$1843,$BY$7:$BY$1843,BY1558,$AS$7:$AS$1843,"&gt;"&amp;AS1558)+SUMIFS($AP$7:$AP$1843,$BY$7:$BY$1843,BY1558,$AS$7:$AS$1843,AS1558,$BQ$7:$BQ$1843,"&lt;="&amp;BQ1558),"")</f>
        <v>128.849489882099</v>
      </c>
      <c r="AU1558" s="65" t="n">
        <f aca="false">IF(AT1558="",0,MAX(0,MIN(1,(IF(BY1558="L1",Parameter!$E$5,Parameter!$E$6+Parameter!$E$7)-(AT1558-AP1558))/AP1558)))</f>
        <v>0</v>
      </c>
      <c r="AV1558" s="57" t="n">
        <f aca="false">IF(LEFT(Cockpit!$O$5,1)="A",H1558,IF(CA1558=1,CB1558,IF(LEFT(Cockpit!$O$5,1)="B",AZ1558,MAX(AZ1558,H1558))))</f>
        <v>20</v>
      </c>
      <c r="AW1558" s="57" t="n">
        <f aca="false">IF(BT1558=1,0,ROUNDUP(AV1558/BS1558,0))</f>
        <v>1</v>
      </c>
      <c r="AX1558" s="59" t="n">
        <f aca="false">IF(CH1558&gt;0,CH1558*MAX(1,AV1558/X1558),IF(BT1558=1,IF(AV1558&lt;=0,0,BW1558*MAX(1,IF(H1558&gt;0,AV1558/H1558,1))),IF(R1558&gt;0,AW1558/R1558,0))/MAX(0.1,N(Parameter!$M$21)))</f>
        <v>0.0384615384615385</v>
      </c>
      <c r="AY1558" s="57" t="n">
        <f aca="false">AV1558*G1558</f>
        <v>208.6</v>
      </c>
      <c r="AZ1558" s="57" t="n">
        <f aca="false">ROUNDUP(MAX(J1558/IF(BZ1558&gt;0,BZ1558,MAX(0.1,N(Cockpit!$O$6))),CC1558)/BS1558,0)*BS1558</f>
        <v>20</v>
      </c>
      <c r="BA1558" s="58" t="n">
        <f aca="false">IF(AX1558&gt;0,J1558/AX1558,-1)</f>
        <v>0</v>
      </c>
      <c r="BB1558" s="58" t="n">
        <f aca="false">IF(AND(OR(BY1558="L1",BY1558="L23"),AX1558&gt;0),SUMIFS($AX$7:$AX$1843,$BY$7:$BY$1843,BY1558,$BA$7:$BA$1843,"&gt;"&amp;BA1558)+SUMIFS($AX$7:$AX$1843,$BY$7:$BY$1843,BY1558,$BA$7:$BA$1843,BA1558,$BQ$7:$BQ$1843,"&lt;="&amp;BQ1558),"")</f>
        <v>119.679326711935</v>
      </c>
      <c r="BC1558" s="65" t="n">
        <f aca="false">IF(BB1558="",0,MAX(0,MIN(1,(IF(BY1558="L1",Parameter!$E$5,Parameter!$E$6+Parameter!$E$7)-(BB1558-AX1558))/AX1558)))</f>
        <v>0</v>
      </c>
      <c r="BD1558" s="55" t="str">
        <f aca="false">IF(AH1558&lt;=0,"",IF(BY1558="Aussen","Aussenlager",IF(BY1558="-","Nicht im Lift",IF(AM1558&gt;=1,"Lift",IF(AM1558&lt;=0,"Aussenlager","teilweise")))))</f>
        <v>Lift</v>
      </c>
      <c r="BE1558" s="55" t="str">
        <f aca="false">IF(AP1558&lt;=0,"",IF(BY1558="Aussen","Aussenlager",IF(BY1558="-","Nicht im Lift",IF(AU1558&gt;=1,"Lift",IF(AU1558&lt;=0,"Aussenlager","teilweise")))))</f>
        <v>Aussenlager</v>
      </c>
      <c r="BF1558" s="55" t="str">
        <f aca="false">IF(AX1558&lt;=0,"",IF(BY1558="Aussen","Aussenlager",IF(BY1558="-","Nicht im Lift",IF(BC1558&gt;=1,"Lift",IF(BC1558&lt;=0,"Aussenlager","teilweise")))))</f>
        <v>Aussenlager</v>
      </c>
      <c r="BG1558" s="55" t="str">
        <f aca="false">IF(A1558="","",IF(BP1558=1,"Neu; ","")&amp;IF(AND(BP1558=0,BK1558&lt;0),"negativer Bestand (Export "&amp;BK1558&amp;"); ","")&amp;IF(J1558&lt;=0,"Kein Verbrauch; ","")&amp;IF(CH1558&gt;0,"Lift "&amp;W1558&amp;" lt. Liftbericht (Fach "&amp;X1558&amp;" Stk); ",IF(BU1558=1,"Gebinde geschätzt ("&amp;T1558&amp;"); ",IF(BT1558=1,"Lose – Tablare geschätzt; ","")))&amp;IF(H1558&gt;AR1558,"Überbestand "&amp;ROUND(H1558-AR1558,0)&amp;" Stk / CHF "&amp;ROUND((H1558-AR1558)*G1558,0)&amp;"; ","")&amp;IF(AND(CA1558=1,CB1558&lt;CC1558),"MAX &lt; MB+LG; ","")&amp;IF(AND(CG1558&gt;0,CF1558*10&gt;CG1558),"zu hoch für Tablar; ","")&amp;IF(AND(BP1558=0,OR(CA1558=1,AA1558&lt;&gt;"",U1558&lt;&gt;"",V1558&lt;&gt;"",AB1558&lt;&gt;"")),"manuell übersteuert; ","")&amp;IF(AND(BT1558=0,R1558=0),"Gebinde unbekannt / Stellmass fehlt; ","")&amp;IF(AND(BT1558=0,N(V1558)&lt;=0,N(Q1558)&lt;=0),"Menge pro Gebinde fehlt (Ist = 1 Gebinde); ","")&amp;BO1558)</f>
        <v>Kein Verbrauch; Gebinde geschätzt (Klein); Menge pro Gebinde fehlt (Ist = 1 Gebinde); nur im Artikelstamm (Bestand 23.06.2026)</v>
      </c>
      <c r="BH1558" s="55"/>
      <c r="BI1558" s="55"/>
      <c r="BJ1558" s="62"/>
      <c r="BK1558" s="57" t="n">
        <v>2</v>
      </c>
      <c r="BL1558" s="57" t="n">
        <v>0</v>
      </c>
      <c r="BM1558" s="56" t="n">
        <v>0</v>
      </c>
      <c r="BN1558" s="57" t="n">
        <v>0</v>
      </c>
      <c r="BO1558" s="55" t="s">
        <v>2575</v>
      </c>
      <c r="BP1558" s="60" t="n">
        <v>0</v>
      </c>
      <c r="BQ1558" s="60" t="n">
        <v>1558</v>
      </c>
      <c r="BR1558" s="55" t="str">
        <f aca="false">IF(U1558&lt;&gt;"",UPPER(TRIM(U1558)),IF(BU1558=1,UPPER(VLOOKUP(T1558,Parameter!$I$27:$K$29,2,0)),IF(P1558="","LOSE",P1558)))</f>
        <v>S51</v>
      </c>
      <c r="BS1558" s="57" t="n">
        <f aca="false">IF(BR1558="LOSE",1,IF(N(V1558)&gt;0,V1558,IF(BU1558=1,MAX(1,N(VLOOKUP(T1558,Parameter!$I$27:$K$29,3,0)),H1558,N(N1558)),IF(N(Q1558)&gt;0,Q1558,MAX(1,H1558)))))</f>
        <v>20</v>
      </c>
      <c r="BT1558" s="60" t="n">
        <f aca="false">IF(BR1558="LOSE",1,0)</f>
        <v>0</v>
      </c>
      <c r="BU1558" s="60" t="n">
        <f aca="false">IF(AND(U1558="",OR(P1558="",P1558="LOSE"),T1558&lt;&gt;"",N(S1558)&lt;=0,ISNUMBER(MATCH(T1558,Parameter!$I$27:$I$29,0))),1,0)</f>
        <v>1</v>
      </c>
      <c r="BV1558" s="55" t="str">
        <f aca="false">IF(AND(Parameter!$B$19="Ja",E1558&lt;&gt;"",ISNUMBER(MATCH(E1558,Parameter!$I$35:$I$52,0))),VLOOKUP(E1558,Parameter!$I$35:$J$52,2,0),IFERROR(VLOOKUP(D1558,Parameter!$A$35:$C$64,2,0),"Nein"))</f>
        <v>2+3</v>
      </c>
      <c r="BW1558" s="59" t="n">
        <f aca="false">IF(BT1558=0,0,IF(N(S1558)&gt;0,S1558,IFERROR(VLOOKUP(D1558,Parameter!$A$35:$C$64,3,0)+0,0)))</f>
        <v>0</v>
      </c>
      <c r="BX1558" s="55" t="n">
        <f aca="false">IF(AA1558&lt;&gt;"",AA1558,Z1558)</f>
        <v>3</v>
      </c>
      <c r="BY1558" s="55" t="str">
        <f aca="false">IF(BX1558=1,"L1",IF(OR(BX1558=2,BX1558=3),"L23",IF(BX1558="Aussen","Aussen","-")))</f>
        <v>L23</v>
      </c>
      <c r="BZ1558" s="66" t="n">
        <f aca="false">IF(N(AB1558)&gt;0,AB1558,0)</f>
        <v>0</v>
      </c>
      <c r="CA1558" s="60" t="n">
        <f aca="false">IF(ISNUMBER(AE1558),1,0)</f>
        <v>0</v>
      </c>
      <c r="CB1558" s="57" t="n">
        <f aca="false">N(AE1558)</f>
        <v>0</v>
      </c>
      <c r="CC1558" s="57" t="n">
        <f aca="false">N(M1558)+N(N1558)</f>
        <v>1</v>
      </c>
      <c r="CD1558" s="57" t="n">
        <f aca="false">ROUNDUP(H1558/BS1558,0)</f>
        <v>1</v>
      </c>
      <c r="CE1558" s="57" t="n">
        <f aca="false">ROUNDUP(CB1558/BS1558,0)</f>
        <v>0</v>
      </c>
      <c r="CF1558" s="60" t="n">
        <f aca="false">IF(BT1558=1,0,IFERROR(VLOOKUP(BR1558,'Gebinde-Kategorie'!$A$5:$M$45,5,0)+0,0))</f>
        <v>11</v>
      </c>
      <c r="CG1558" s="60" t="n">
        <f aca="false">IFERROR(IF(OR(BX1558=1,BX1558=2,BX1558=3),N(INDEX(Parameter!$I$5:$I$7,BX1558)),0),0)</f>
        <v>0</v>
      </c>
      <c r="CH1558" s="59" t="n">
        <f aca="false">IF(AND(Parameter!$B$21="Ja",ISNUMBER(W1558),N(X1558)&gt;0),IFERROR(N(INDEX(Parameter!$L$5:$L$7,W1558))*INDEX(Parameter!$E$5:$E$7,W1558)*X1558/SUMIFS($X$7:$X$1843,$W$7:$W$1843,W1558),0),0)</f>
        <v>0</v>
      </c>
    </row>
    <row r="1559" customFormat="false" ht="15" hidden="false" customHeight="false" outlineLevel="0" collapsed="false">
      <c r="A1559" s="55" t="s">
        <v>2723</v>
      </c>
      <c r="B1559" s="55" t="s">
        <v>2724</v>
      </c>
      <c r="C1559" s="55" t="s">
        <v>164</v>
      </c>
      <c r="D1559" s="55" t="s">
        <v>173</v>
      </c>
      <c r="E1559" s="55" t="s">
        <v>370</v>
      </c>
      <c r="F1559" s="55"/>
      <c r="G1559" s="56" t="n">
        <v>707.5</v>
      </c>
      <c r="H1559" s="57" t="n">
        <f aca="false">MAX(0,IF(AND(Parameter!$B$21="Ja",ISNUMBER(Y1559)),Y1559,IF(Parameter!$B$20="Jahresanfang 2025 + Export",BL1559+BK1559,BK1559)))</f>
        <v>4</v>
      </c>
      <c r="I1559" s="57" t="n">
        <f aca="false">H1559*G1559</f>
        <v>2830</v>
      </c>
      <c r="J1559" s="57" t="n">
        <f aca="false">BN1559*Parameter!$B$18</f>
        <v>0</v>
      </c>
      <c r="K1559" s="58"/>
      <c r="L1559" s="59"/>
      <c r="M1559" s="57" t="n">
        <v>0</v>
      </c>
      <c r="N1559" s="57" t="n">
        <v>1</v>
      </c>
      <c r="O1559" s="60" t="n">
        <v>21</v>
      </c>
      <c r="P1559" s="55" t="s">
        <v>168</v>
      </c>
      <c r="Q1559" s="57"/>
      <c r="R1559" s="60" t="n">
        <f aca="false">IF(BT1559=1,0,IFERROR(VLOOKUP(BR1559,'Gebinde-Kategorie'!$A$5:$M$45,13,0)+0,0))</f>
        <v>3</v>
      </c>
      <c r="S1559" s="61"/>
      <c r="T1559" s="62" t="s">
        <v>189</v>
      </c>
      <c r="U1559" s="62"/>
      <c r="V1559" s="62"/>
      <c r="W1559" s="55"/>
      <c r="X1559" s="57"/>
      <c r="Y1559" s="57"/>
      <c r="Z1559" s="55" t="str">
        <f aca="false">IF(A1559="","",IF(AND(Parameter!$B$21="Ja",ISNUMBER(W1559)),W1559,IF(BV1559="2+3",IF(ISNUMBER(SEARCH("grosser Artikel",BO1559)),2,IFERROR(VLOOKUP(BR1559,Parameter!$F$35:$G$64,2,0),2)),IF(OR(BV1559="Nein",BV1559=""),"-",BV1559))))</f>
        <v>-</v>
      </c>
      <c r="AA1559" s="62"/>
      <c r="AB1559" s="63"/>
      <c r="AC1559" s="57" t="n">
        <f aca="false">AR1559</f>
        <v>4</v>
      </c>
      <c r="AD1559" s="57" t="n">
        <f aca="false">MAX(AR1559,H1559)</f>
        <v>4</v>
      </c>
      <c r="AE1559" s="64"/>
      <c r="AF1559" s="57" t="n">
        <f aca="false">IF(LEFT(Cockpit!$C$5,1)="A",H1559,IF(CA1559=1,CB1559,IF(LEFT(Cockpit!$C$5,1)="B",AJ1559,MAX(AJ1559,H1559))))</f>
        <v>4</v>
      </c>
      <c r="AG1559" s="57" t="n">
        <f aca="false">IF(BT1559=1,0,ROUNDUP(AF1559/BS1559,0))</f>
        <v>1</v>
      </c>
      <c r="AH1559" s="59" t="n">
        <f aca="false">IF(CH1559&gt;0,CH1559*MAX(1,AF1559/X1559),IF(BT1559=1,IF(AF1559&lt;=0,0,BW1559*MAX(1,IF(H1559&gt;0,AF1559/H1559,1))),IF(R1559&gt;0,AG1559/R1559,0))/MAX(0.1,N(Parameter!$M$21)))</f>
        <v>0.333333333333333</v>
      </c>
      <c r="AI1559" s="57" t="n">
        <f aca="false">AF1559*G1559</f>
        <v>2830</v>
      </c>
      <c r="AJ1559" s="57" t="n">
        <f aca="false">ROUNDUP(MAX(J1559/IF(BZ1559&gt;0,BZ1559,MAX(0.1,N(Cockpit!$C$6))),CC1559)/BS1559,0)*BS1559</f>
        <v>4</v>
      </c>
      <c r="AK1559" s="58" t="n">
        <f aca="false">IF(AH1559&gt;0,J1559/AH1559,-1)</f>
        <v>0</v>
      </c>
      <c r="AL1559" s="58" t="str">
        <f aca="false">IF(AND(OR(BY1559="L1",BY1559="L23"),AH1559&gt;0),SUMIFS($AH$7:$AH$1843,$BY$7:$BY$1843,BY1559,$AK$7:$AK$1843,"&gt;"&amp;AK1559)+SUMIFS($AH$7:$AH$1843,$BY$7:$BY$1843,BY1559,$AK$7:$AK$1843,AK1559,$BQ$7:$BQ$1843,"&lt;="&amp;BQ1559),"")</f>
        <v/>
      </c>
      <c r="AM1559" s="65" t="n">
        <f aca="false">IF(AL1559="",0,MAX(0,MIN(1,(IF(BY1559="L1",Parameter!$E$5,Parameter!$E$6+Parameter!$E$7)-(AL1559-AH1559))/AH1559)))</f>
        <v>0</v>
      </c>
      <c r="AN1559" s="57" t="n">
        <f aca="false">IF(LEFT(Cockpit!$I$5,1)="A",H1559,IF(CA1559=1,CB1559,IF(LEFT(Cockpit!$I$5,1)="B",AR1559,MAX(AR1559,H1559))))</f>
        <v>4</v>
      </c>
      <c r="AO1559" s="57" t="n">
        <f aca="false">IF(BT1559=1,0,ROUNDUP(AN1559/BS1559,0))</f>
        <v>1</v>
      </c>
      <c r="AP1559" s="59" t="n">
        <f aca="false">IF(CH1559&gt;0,CH1559*MAX(1,AN1559/X1559),IF(BT1559=1,IF(AN1559&lt;=0,0,BW1559*MAX(1,IF(H1559&gt;0,AN1559/H1559,1))),IF(R1559&gt;0,AO1559/R1559,0))/MAX(0.1,N(Parameter!$M$21)))</f>
        <v>0.333333333333333</v>
      </c>
      <c r="AQ1559" s="57" t="n">
        <f aca="false">AN1559*G1559</f>
        <v>2830</v>
      </c>
      <c r="AR1559" s="57" t="n">
        <f aca="false">ROUNDUP(MAX(J1559/IF(BZ1559&gt;0,BZ1559,MAX(0.1,N(Cockpit!$I$6))),CC1559)/BS1559,0)*BS1559</f>
        <v>4</v>
      </c>
      <c r="AS1559" s="58" t="n">
        <f aca="false">IF(AP1559&gt;0,J1559/AP1559,-1)</f>
        <v>0</v>
      </c>
      <c r="AT1559" s="58" t="str">
        <f aca="false">IF(AND(OR(BY1559="L1",BY1559="L23"),AP1559&gt;0),SUMIFS($AP$7:$AP$1843,$BY$7:$BY$1843,BY1559,$AS$7:$AS$1843,"&gt;"&amp;AS1559)+SUMIFS($AP$7:$AP$1843,$BY$7:$BY$1843,BY1559,$AS$7:$AS$1843,AS1559,$BQ$7:$BQ$1843,"&lt;="&amp;BQ1559),"")</f>
        <v/>
      </c>
      <c r="AU1559" s="65" t="n">
        <f aca="false">IF(AT1559="",0,MAX(0,MIN(1,(IF(BY1559="L1",Parameter!$E$5,Parameter!$E$6+Parameter!$E$7)-(AT1559-AP1559))/AP1559)))</f>
        <v>0</v>
      </c>
      <c r="AV1559" s="57" t="n">
        <f aca="false">IF(LEFT(Cockpit!$O$5,1)="A",H1559,IF(CA1559=1,CB1559,IF(LEFT(Cockpit!$O$5,1)="B",AZ1559,MAX(AZ1559,H1559))))</f>
        <v>4</v>
      </c>
      <c r="AW1559" s="57" t="n">
        <f aca="false">IF(BT1559=1,0,ROUNDUP(AV1559/BS1559,0))</f>
        <v>1</v>
      </c>
      <c r="AX1559" s="59" t="n">
        <f aca="false">IF(CH1559&gt;0,CH1559*MAX(1,AV1559/X1559),IF(BT1559=1,IF(AV1559&lt;=0,0,BW1559*MAX(1,IF(H1559&gt;0,AV1559/H1559,1))),IF(R1559&gt;0,AW1559/R1559,0))/MAX(0.1,N(Parameter!$M$21)))</f>
        <v>0.333333333333333</v>
      </c>
      <c r="AY1559" s="57" t="n">
        <f aca="false">AV1559*G1559</f>
        <v>2830</v>
      </c>
      <c r="AZ1559" s="57" t="n">
        <f aca="false">ROUNDUP(MAX(J1559/IF(BZ1559&gt;0,BZ1559,MAX(0.1,N(Cockpit!$O$6))),CC1559)/BS1559,0)*BS1559</f>
        <v>4</v>
      </c>
      <c r="BA1559" s="58" t="n">
        <f aca="false">IF(AX1559&gt;0,J1559/AX1559,-1)</f>
        <v>0</v>
      </c>
      <c r="BB1559" s="58" t="str">
        <f aca="false">IF(AND(OR(BY1559="L1",BY1559="L23"),AX1559&gt;0),SUMIFS($AX$7:$AX$1843,$BY$7:$BY$1843,BY1559,$BA$7:$BA$1843,"&gt;"&amp;BA1559)+SUMIFS($AX$7:$AX$1843,$BY$7:$BY$1843,BY1559,$BA$7:$BA$1843,BA1559,$BQ$7:$BQ$1843,"&lt;="&amp;BQ1559),"")</f>
        <v/>
      </c>
      <c r="BC1559" s="65" t="n">
        <f aca="false">IF(BB1559="",0,MAX(0,MIN(1,(IF(BY1559="L1",Parameter!$E$5,Parameter!$E$6+Parameter!$E$7)-(BB1559-AX1559))/AX1559)))</f>
        <v>0</v>
      </c>
      <c r="BD1559" s="55" t="str">
        <f aca="false">IF(AH1559&lt;=0,"",IF(BY1559="Aussen","Aussenlager",IF(BY1559="-","Nicht im Lift",IF(AM1559&gt;=1,"Lift",IF(AM1559&lt;=0,"Aussenlager","teilweise")))))</f>
        <v>Nicht im Lift</v>
      </c>
      <c r="BE1559" s="55" t="str">
        <f aca="false">IF(AP1559&lt;=0,"",IF(BY1559="Aussen","Aussenlager",IF(BY1559="-","Nicht im Lift",IF(AU1559&gt;=1,"Lift",IF(AU1559&lt;=0,"Aussenlager","teilweise")))))</f>
        <v>Nicht im Lift</v>
      </c>
      <c r="BF1559" s="55" t="str">
        <f aca="false">IF(AX1559&lt;=0,"",IF(BY1559="Aussen","Aussenlager",IF(BY1559="-","Nicht im Lift",IF(BC1559&gt;=1,"Lift",IF(BC1559&lt;=0,"Aussenlager","teilweise")))))</f>
        <v>Nicht im Lift</v>
      </c>
      <c r="BG1559" s="55" t="str">
        <f aca="false">IF(A1559="","",IF(BP1559=1,"Neu; ","")&amp;IF(AND(BP1559=0,BK1559&lt;0),"negativer Bestand (Export "&amp;BK1559&amp;"); ","")&amp;IF(J1559&lt;=0,"Kein Verbrauch; ","")&amp;IF(CH1559&gt;0,"Lift "&amp;W1559&amp;" lt. Liftbericht (Fach "&amp;X1559&amp;" Stk); ",IF(BU1559=1,"Gebinde geschätzt ("&amp;T1559&amp;"); ",IF(BT1559=1,"Lose – Tablare geschätzt; ","")))&amp;IF(H1559&gt;AR1559,"Überbestand "&amp;ROUND(H1559-AR1559,0)&amp;" Stk / CHF "&amp;ROUND((H1559-AR1559)*G1559,0)&amp;"; ","")&amp;IF(AND(CA1559=1,CB1559&lt;CC1559),"MAX &lt; MB+LG; ","")&amp;IF(AND(CG1559&gt;0,CF1559*10&gt;CG1559),"zu hoch für Tablar; ","")&amp;IF(AND(BP1559=0,OR(CA1559=1,AA1559&lt;&gt;"",U1559&lt;&gt;"",V1559&lt;&gt;"",AB1559&lt;&gt;"")),"manuell übersteuert; ","")&amp;IF(AND(BT1559=0,R1559=0),"Gebinde unbekannt / Stellmass fehlt; ","")&amp;IF(AND(BT1559=0,N(V1559)&lt;=0,N(Q1559)&lt;=0),"Menge pro Gebinde fehlt (Ist = 1 Gebinde); ","")&amp;BO1559)</f>
        <v>Kein Verbrauch; Gebinde geschätzt (Gross); Menge pro Gebinde fehlt (Ist = 1 Gebinde); nur im Artikelstamm (Bestand 23.06.2026)</v>
      </c>
      <c r="BH1559" s="55"/>
      <c r="BI1559" s="55"/>
      <c r="BJ1559" s="62"/>
      <c r="BK1559" s="57" t="n">
        <v>4</v>
      </c>
      <c r="BL1559" s="57" t="n">
        <v>0</v>
      </c>
      <c r="BM1559" s="56" t="n">
        <v>0</v>
      </c>
      <c r="BN1559" s="57" t="n">
        <v>0</v>
      </c>
      <c r="BO1559" s="55" t="s">
        <v>2575</v>
      </c>
      <c r="BP1559" s="60" t="n">
        <v>0</v>
      </c>
      <c r="BQ1559" s="60" t="n">
        <v>1559</v>
      </c>
      <c r="BR1559" s="55" t="str">
        <f aca="false">IF(U1559&lt;&gt;"",UPPER(TRIM(U1559)),IF(BU1559=1,UPPER(VLOOKUP(T1559,Parameter!$I$27:$K$29,2,0)),IF(P1559="","LOSE",P1559)))</f>
        <v>S81</v>
      </c>
      <c r="BS1559" s="57" t="n">
        <f aca="false">IF(BR1559="LOSE",1,IF(N(V1559)&gt;0,V1559,IF(BU1559=1,MAX(1,N(VLOOKUP(T1559,Parameter!$I$27:$K$29,3,0)),H1559,N(N1559)),IF(N(Q1559)&gt;0,Q1559,MAX(1,H1559)))))</f>
        <v>4</v>
      </c>
      <c r="BT1559" s="60" t="n">
        <f aca="false">IF(BR1559="LOSE",1,0)</f>
        <v>0</v>
      </c>
      <c r="BU1559" s="60" t="n">
        <f aca="false">IF(AND(U1559="",OR(P1559="",P1559="LOSE"),T1559&lt;&gt;"",N(S1559)&lt;=0,ISNUMBER(MATCH(T1559,Parameter!$I$27:$I$29,0))),1,0)</f>
        <v>1</v>
      </c>
      <c r="BV1559" s="55" t="str">
        <f aca="false">IF(AND(Parameter!$B$19="Ja",E1559&lt;&gt;"",ISNUMBER(MATCH(E1559,Parameter!$I$35:$I$52,0))),VLOOKUP(E1559,Parameter!$I$35:$J$52,2,0),IFERROR(VLOOKUP(D1559,Parameter!$A$35:$C$64,2,0),"Nein"))</f>
        <v>Nein</v>
      </c>
      <c r="BW1559" s="59" t="n">
        <f aca="false">IF(BT1559=0,0,IF(N(S1559)&gt;0,S1559,IFERROR(VLOOKUP(D1559,Parameter!$A$35:$C$64,3,0)+0,0)))</f>
        <v>0</v>
      </c>
      <c r="BX1559" s="55" t="str">
        <f aca="false">IF(AA1559&lt;&gt;"",AA1559,Z1559)</f>
        <v>-</v>
      </c>
      <c r="BY1559" s="55" t="str">
        <f aca="false">IF(BX1559=1,"L1",IF(OR(BX1559=2,BX1559=3),"L23",IF(BX1559="Aussen","Aussen","-")))</f>
        <v>-</v>
      </c>
      <c r="BZ1559" s="66" t="n">
        <f aca="false">IF(N(AB1559)&gt;0,AB1559,0)</f>
        <v>0</v>
      </c>
      <c r="CA1559" s="60" t="n">
        <f aca="false">IF(ISNUMBER(AE1559),1,0)</f>
        <v>0</v>
      </c>
      <c r="CB1559" s="57" t="n">
        <f aca="false">N(AE1559)</f>
        <v>0</v>
      </c>
      <c r="CC1559" s="57" t="n">
        <f aca="false">N(M1559)+N(N1559)</f>
        <v>1</v>
      </c>
      <c r="CD1559" s="57" t="n">
        <f aca="false">ROUNDUP(H1559/BS1559,0)</f>
        <v>1</v>
      </c>
      <c r="CE1559" s="57" t="n">
        <f aca="false">ROUNDUP(CB1559/BS1559,0)</f>
        <v>0</v>
      </c>
      <c r="CF1559" s="60" t="n">
        <f aca="false">IF(BT1559=1,0,IFERROR(VLOOKUP(BR1559,'Gebinde-Kategorie'!$A$5:$M$45,5,0)+0,0))</f>
        <v>20</v>
      </c>
      <c r="CG1559" s="60" t="n">
        <f aca="false">IFERROR(IF(OR(BX1559=1,BX1559=2,BX1559=3),N(INDEX(Parameter!$I$5:$I$7,BX1559)),0),0)</f>
        <v>0</v>
      </c>
      <c r="CH1559" s="59" t="n">
        <f aca="false">IF(AND(Parameter!$B$21="Ja",ISNUMBER(W1559),N(X1559)&gt;0),IFERROR(N(INDEX(Parameter!$L$5:$L$7,W1559))*INDEX(Parameter!$E$5:$E$7,W1559)*X1559/SUMIFS($X$7:$X$1843,$W$7:$W$1843,W1559),0),0)</f>
        <v>0</v>
      </c>
    </row>
    <row r="1560" customFormat="false" ht="15" hidden="false" customHeight="false" outlineLevel="0" collapsed="false">
      <c r="A1560" s="55" t="s">
        <v>2725</v>
      </c>
      <c r="B1560" s="55" t="s">
        <v>2726</v>
      </c>
      <c r="C1560" s="55" t="s">
        <v>164</v>
      </c>
      <c r="D1560" s="55" t="s">
        <v>173</v>
      </c>
      <c r="E1560" s="55" t="s">
        <v>370</v>
      </c>
      <c r="F1560" s="55"/>
      <c r="G1560" s="56" t="n">
        <v>697</v>
      </c>
      <c r="H1560" s="57" t="n">
        <f aca="false">MAX(0,IF(AND(Parameter!$B$21="Ja",ISNUMBER(Y1560)),Y1560,IF(Parameter!$B$20="Jahresanfang 2025 + Export",BL1560+BK1560,BK1560)))</f>
        <v>8</v>
      </c>
      <c r="I1560" s="57" t="n">
        <f aca="false">H1560*G1560</f>
        <v>5576</v>
      </c>
      <c r="J1560" s="57" t="n">
        <f aca="false">BN1560*Parameter!$B$18</f>
        <v>0</v>
      </c>
      <c r="K1560" s="58"/>
      <c r="L1560" s="59"/>
      <c r="M1560" s="57" t="n">
        <v>0</v>
      </c>
      <c r="N1560" s="57" t="n">
        <v>1</v>
      </c>
      <c r="O1560" s="60" t="n">
        <v>21</v>
      </c>
      <c r="P1560" s="55" t="s">
        <v>168</v>
      </c>
      <c r="Q1560" s="57"/>
      <c r="R1560" s="60" t="n">
        <f aca="false">IF(BT1560=1,0,IFERROR(VLOOKUP(BR1560,'Gebinde-Kategorie'!$A$5:$M$45,13,0)+0,0))</f>
        <v>3</v>
      </c>
      <c r="S1560" s="61"/>
      <c r="T1560" s="62" t="s">
        <v>189</v>
      </c>
      <c r="U1560" s="62"/>
      <c r="V1560" s="62"/>
      <c r="W1560" s="55"/>
      <c r="X1560" s="57"/>
      <c r="Y1560" s="57"/>
      <c r="Z1560" s="55" t="str">
        <f aca="false">IF(A1560="","",IF(AND(Parameter!$B$21="Ja",ISNUMBER(W1560)),W1560,IF(BV1560="2+3",IF(ISNUMBER(SEARCH("grosser Artikel",BO1560)),2,IFERROR(VLOOKUP(BR1560,Parameter!$F$35:$G$64,2,0),2)),IF(OR(BV1560="Nein",BV1560=""),"-",BV1560))))</f>
        <v>-</v>
      </c>
      <c r="AA1560" s="62"/>
      <c r="AB1560" s="63"/>
      <c r="AC1560" s="57" t="n">
        <f aca="false">AR1560</f>
        <v>8</v>
      </c>
      <c r="AD1560" s="57" t="n">
        <f aca="false">MAX(AR1560,H1560)</f>
        <v>8</v>
      </c>
      <c r="AE1560" s="64"/>
      <c r="AF1560" s="57" t="n">
        <f aca="false">IF(LEFT(Cockpit!$C$5,1)="A",H1560,IF(CA1560=1,CB1560,IF(LEFT(Cockpit!$C$5,1)="B",AJ1560,MAX(AJ1560,H1560))))</f>
        <v>8</v>
      </c>
      <c r="AG1560" s="57" t="n">
        <f aca="false">IF(BT1560=1,0,ROUNDUP(AF1560/BS1560,0))</f>
        <v>1</v>
      </c>
      <c r="AH1560" s="59" t="n">
        <f aca="false">IF(CH1560&gt;0,CH1560*MAX(1,AF1560/X1560),IF(BT1560=1,IF(AF1560&lt;=0,0,BW1560*MAX(1,IF(H1560&gt;0,AF1560/H1560,1))),IF(R1560&gt;0,AG1560/R1560,0))/MAX(0.1,N(Parameter!$M$21)))</f>
        <v>0.333333333333333</v>
      </c>
      <c r="AI1560" s="57" t="n">
        <f aca="false">AF1560*G1560</f>
        <v>5576</v>
      </c>
      <c r="AJ1560" s="57" t="n">
        <f aca="false">ROUNDUP(MAX(J1560/IF(BZ1560&gt;0,BZ1560,MAX(0.1,N(Cockpit!$C$6))),CC1560)/BS1560,0)*BS1560</f>
        <v>8</v>
      </c>
      <c r="AK1560" s="58" t="n">
        <f aca="false">IF(AH1560&gt;0,J1560/AH1560,-1)</f>
        <v>0</v>
      </c>
      <c r="AL1560" s="58" t="str">
        <f aca="false">IF(AND(OR(BY1560="L1",BY1560="L23"),AH1560&gt;0),SUMIFS($AH$7:$AH$1843,$BY$7:$BY$1843,BY1560,$AK$7:$AK$1843,"&gt;"&amp;AK1560)+SUMIFS($AH$7:$AH$1843,$BY$7:$BY$1843,BY1560,$AK$7:$AK$1843,AK1560,$BQ$7:$BQ$1843,"&lt;="&amp;BQ1560),"")</f>
        <v/>
      </c>
      <c r="AM1560" s="65" t="n">
        <f aca="false">IF(AL1560="",0,MAX(0,MIN(1,(IF(BY1560="L1",Parameter!$E$5,Parameter!$E$6+Parameter!$E$7)-(AL1560-AH1560))/AH1560)))</f>
        <v>0</v>
      </c>
      <c r="AN1560" s="57" t="n">
        <f aca="false">IF(LEFT(Cockpit!$I$5,1)="A",H1560,IF(CA1560=1,CB1560,IF(LEFT(Cockpit!$I$5,1)="B",AR1560,MAX(AR1560,H1560))))</f>
        <v>8</v>
      </c>
      <c r="AO1560" s="57" t="n">
        <f aca="false">IF(BT1560=1,0,ROUNDUP(AN1560/BS1560,0))</f>
        <v>1</v>
      </c>
      <c r="AP1560" s="59" t="n">
        <f aca="false">IF(CH1560&gt;0,CH1560*MAX(1,AN1560/X1560),IF(BT1560=1,IF(AN1560&lt;=0,0,BW1560*MAX(1,IF(H1560&gt;0,AN1560/H1560,1))),IF(R1560&gt;0,AO1560/R1560,0))/MAX(0.1,N(Parameter!$M$21)))</f>
        <v>0.333333333333333</v>
      </c>
      <c r="AQ1560" s="57" t="n">
        <f aca="false">AN1560*G1560</f>
        <v>5576</v>
      </c>
      <c r="AR1560" s="57" t="n">
        <f aca="false">ROUNDUP(MAX(J1560/IF(BZ1560&gt;0,BZ1560,MAX(0.1,N(Cockpit!$I$6))),CC1560)/BS1560,0)*BS1560</f>
        <v>8</v>
      </c>
      <c r="AS1560" s="58" t="n">
        <f aca="false">IF(AP1560&gt;0,J1560/AP1560,-1)</f>
        <v>0</v>
      </c>
      <c r="AT1560" s="58" t="str">
        <f aca="false">IF(AND(OR(BY1560="L1",BY1560="L23"),AP1560&gt;0),SUMIFS($AP$7:$AP$1843,$BY$7:$BY$1843,BY1560,$AS$7:$AS$1843,"&gt;"&amp;AS1560)+SUMIFS($AP$7:$AP$1843,$BY$7:$BY$1843,BY1560,$AS$7:$AS$1843,AS1560,$BQ$7:$BQ$1843,"&lt;="&amp;BQ1560),"")</f>
        <v/>
      </c>
      <c r="AU1560" s="65" t="n">
        <f aca="false">IF(AT1560="",0,MAX(0,MIN(1,(IF(BY1560="L1",Parameter!$E$5,Parameter!$E$6+Parameter!$E$7)-(AT1560-AP1560))/AP1560)))</f>
        <v>0</v>
      </c>
      <c r="AV1560" s="57" t="n">
        <f aca="false">IF(LEFT(Cockpit!$O$5,1)="A",H1560,IF(CA1560=1,CB1560,IF(LEFT(Cockpit!$O$5,1)="B",AZ1560,MAX(AZ1560,H1560))))</f>
        <v>8</v>
      </c>
      <c r="AW1560" s="57" t="n">
        <f aca="false">IF(BT1560=1,0,ROUNDUP(AV1560/BS1560,0))</f>
        <v>1</v>
      </c>
      <c r="AX1560" s="59" t="n">
        <f aca="false">IF(CH1560&gt;0,CH1560*MAX(1,AV1560/X1560),IF(BT1560=1,IF(AV1560&lt;=0,0,BW1560*MAX(1,IF(H1560&gt;0,AV1560/H1560,1))),IF(R1560&gt;0,AW1560/R1560,0))/MAX(0.1,N(Parameter!$M$21)))</f>
        <v>0.333333333333333</v>
      </c>
      <c r="AY1560" s="57" t="n">
        <f aca="false">AV1560*G1560</f>
        <v>5576</v>
      </c>
      <c r="AZ1560" s="57" t="n">
        <f aca="false">ROUNDUP(MAX(J1560/IF(BZ1560&gt;0,BZ1560,MAX(0.1,N(Cockpit!$O$6))),CC1560)/BS1560,0)*BS1560</f>
        <v>8</v>
      </c>
      <c r="BA1560" s="58" t="n">
        <f aca="false">IF(AX1560&gt;0,J1560/AX1560,-1)</f>
        <v>0</v>
      </c>
      <c r="BB1560" s="58" t="str">
        <f aca="false">IF(AND(OR(BY1560="L1",BY1560="L23"),AX1560&gt;0),SUMIFS($AX$7:$AX$1843,$BY$7:$BY$1843,BY1560,$BA$7:$BA$1843,"&gt;"&amp;BA1560)+SUMIFS($AX$7:$AX$1843,$BY$7:$BY$1843,BY1560,$BA$7:$BA$1843,BA1560,$BQ$7:$BQ$1843,"&lt;="&amp;BQ1560),"")</f>
        <v/>
      </c>
      <c r="BC1560" s="65" t="n">
        <f aca="false">IF(BB1560="",0,MAX(0,MIN(1,(IF(BY1560="L1",Parameter!$E$5,Parameter!$E$6+Parameter!$E$7)-(BB1560-AX1560))/AX1560)))</f>
        <v>0</v>
      </c>
      <c r="BD1560" s="55" t="str">
        <f aca="false">IF(AH1560&lt;=0,"",IF(BY1560="Aussen","Aussenlager",IF(BY1560="-","Nicht im Lift",IF(AM1560&gt;=1,"Lift",IF(AM1560&lt;=0,"Aussenlager","teilweise")))))</f>
        <v>Nicht im Lift</v>
      </c>
      <c r="BE1560" s="55" t="str">
        <f aca="false">IF(AP1560&lt;=0,"",IF(BY1560="Aussen","Aussenlager",IF(BY1560="-","Nicht im Lift",IF(AU1560&gt;=1,"Lift",IF(AU1560&lt;=0,"Aussenlager","teilweise")))))</f>
        <v>Nicht im Lift</v>
      </c>
      <c r="BF1560" s="55" t="str">
        <f aca="false">IF(AX1560&lt;=0,"",IF(BY1560="Aussen","Aussenlager",IF(BY1560="-","Nicht im Lift",IF(BC1560&gt;=1,"Lift",IF(BC1560&lt;=0,"Aussenlager","teilweise")))))</f>
        <v>Nicht im Lift</v>
      </c>
      <c r="BG1560" s="55" t="str">
        <f aca="false">IF(A1560="","",IF(BP1560=1,"Neu; ","")&amp;IF(AND(BP1560=0,BK1560&lt;0),"negativer Bestand (Export "&amp;BK1560&amp;"); ","")&amp;IF(J1560&lt;=0,"Kein Verbrauch; ","")&amp;IF(CH1560&gt;0,"Lift "&amp;W1560&amp;" lt. Liftbericht (Fach "&amp;X1560&amp;" Stk); ",IF(BU1560=1,"Gebinde geschätzt ("&amp;T1560&amp;"); ",IF(BT1560=1,"Lose – Tablare geschätzt; ","")))&amp;IF(H1560&gt;AR1560,"Überbestand "&amp;ROUND(H1560-AR1560,0)&amp;" Stk / CHF "&amp;ROUND((H1560-AR1560)*G1560,0)&amp;"; ","")&amp;IF(AND(CA1560=1,CB1560&lt;CC1560),"MAX &lt; MB+LG; ","")&amp;IF(AND(CG1560&gt;0,CF1560*10&gt;CG1560),"zu hoch für Tablar; ","")&amp;IF(AND(BP1560=0,OR(CA1560=1,AA1560&lt;&gt;"",U1560&lt;&gt;"",V1560&lt;&gt;"",AB1560&lt;&gt;"")),"manuell übersteuert; ","")&amp;IF(AND(BT1560=0,R1560=0),"Gebinde unbekannt / Stellmass fehlt; ","")&amp;IF(AND(BT1560=0,N(V1560)&lt;=0,N(Q1560)&lt;=0),"Menge pro Gebinde fehlt (Ist = 1 Gebinde); ","")&amp;BO1560)</f>
        <v>Kein Verbrauch; Gebinde geschätzt (Gross); Menge pro Gebinde fehlt (Ist = 1 Gebinde); nur im Artikelstamm (Bestand 23.06.2026)</v>
      </c>
      <c r="BH1560" s="55"/>
      <c r="BI1560" s="55"/>
      <c r="BJ1560" s="62"/>
      <c r="BK1560" s="57" t="n">
        <v>8</v>
      </c>
      <c r="BL1560" s="57" t="n">
        <v>0</v>
      </c>
      <c r="BM1560" s="56" t="n">
        <v>0</v>
      </c>
      <c r="BN1560" s="57" t="n">
        <v>0</v>
      </c>
      <c r="BO1560" s="55" t="s">
        <v>2575</v>
      </c>
      <c r="BP1560" s="60" t="n">
        <v>0</v>
      </c>
      <c r="BQ1560" s="60" t="n">
        <v>1560</v>
      </c>
      <c r="BR1560" s="55" t="str">
        <f aca="false">IF(U1560&lt;&gt;"",UPPER(TRIM(U1560)),IF(BU1560=1,UPPER(VLOOKUP(T1560,Parameter!$I$27:$K$29,2,0)),IF(P1560="","LOSE",P1560)))</f>
        <v>S81</v>
      </c>
      <c r="BS1560" s="57" t="n">
        <f aca="false">IF(BR1560="LOSE",1,IF(N(V1560)&gt;0,V1560,IF(BU1560=1,MAX(1,N(VLOOKUP(T1560,Parameter!$I$27:$K$29,3,0)),H1560,N(N1560)),IF(N(Q1560)&gt;0,Q1560,MAX(1,H1560)))))</f>
        <v>8</v>
      </c>
      <c r="BT1560" s="60" t="n">
        <f aca="false">IF(BR1560="LOSE",1,0)</f>
        <v>0</v>
      </c>
      <c r="BU1560" s="60" t="n">
        <f aca="false">IF(AND(U1560="",OR(P1560="",P1560="LOSE"),T1560&lt;&gt;"",N(S1560)&lt;=0,ISNUMBER(MATCH(T1560,Parameter!$I$27:$I$29,0))),1,0)</f>
        <v>1</v>
      </c>
      <c r="BV1560" s="55" t="str">
        <f aca="false">IF(AND(Parameter!$B$19="Ja",E1560&lt;&gt;"",ISNUMBER(MATCH(E1560,Parameter!$I$35:$I$52,0))),VLOOKUP(E1560,Parameter!$I$35:$J$52,2,0),IFERROR(VLOOKUP(D1560,Parameter!$A$35:$C$64,2,0),"Nein"))</f>
        <v>Nein</v>
      </c>
      <c r="BW1560" s="59" t="n">
        <f aca="false">IF(BT1560=0,0,IF(N(S1560)&gt;0,S1560,IFERROR(VLOOKUP(D1560,Parameter!$A$35:$C$64,3,0)+0,0)))</f>
        <v>0</v>
      </c>
      <c r="BX1560" s="55" t="str">
        <f aca="false">IF(AA1560&lt;&gt;"",AA1560,Z1560)</f>
        <v>-</v>
      </c>
      <c r="BY1560" s="55" t="str">
        <f aca="false">IF(BX1560=1,"L1",IF(OR(BX1560=2,BX1560=3),"L23",IF(BX1560="Aussen","Aussen","-")))</f>
        <v>-</v>
      </c>
      <c r="BZ1560" s="66" t="n">
        <f aca="false">IF(N(AB1560)&gt;0,AB1560,0)</f>
        <v>0</v>
      </c>
      <c r="CA1560" s="60" t="n">
        <f aca="false">IF(ISNUMBER(AE1560),1,0)</f>
        <v>0</v>
      </c>
      <c r="CB1560" s="57" t="n">
        <f aca="false">N(AE1560)</f>
        <v>0</v>
      </c>
      <c r="CC1560" s="57" t="n">
        <f aca="false">N(M1560)+N(N1560)</f>
        <v>1</v>
      </c>
      <c r="CD1560" s="57" t="n">
        <f aca="false">ROUNDUP(H1560/BS1560,0)</f>
        <v>1</v>
      </c>
      <c r="CE1560" s="57" t="n">
        <f aca="false">ROUNDUP(CB1560/BS1560,0)</f>
        <v>0</v>
      </c>
      <c r="CF1560" s="60" t="n">
        <f aca="false">IF(BT1560=1,0,IFERROR(VLOOKUP(BR1560,'Gebinde-Kategorie'!$A$5:$M$45,5,0)+0,0))</f>
        <v>20</v>
      </c>
      <c r="CG1560" s="60" t="n">
        <f aca="false">IFERROR(IF(OR(BX1560=1,BX1560=2,BX1560=3),N(INDEX(Parameter!$I$5:$I$7,BX1560)),0),0)</f>
        <v>0</v>
      </c>
      <c r="CH1560" s="59" t="n">
        <f aca="false">IF(AND(Parameter!$B$21="Ja",ISNUMBER(W1560),N(X1560)&gt;0),IFERROR(N(INDEX(Parameter!$L$5:$L$7,W1560))*INDEX(Parameter!$E$5:$E$7,W1560)*X1560/SUMIFS($X$7:$X$1843,$W$7:$W$1843,W1560),0),0)</f>
        <v>0</v>
      </c>
    </row>
    <row r="1561" customFormat="false" ht="15" hidden="false" customHeight="false" outlineLevel="0" collapsed="false">
      <c r="A1561" s="55" t="s">
        <v>2727</v>
      </c>
      <c r="B1561" s="55" t="s">
        <v>2728</v>
      </c>
      <c r="C1561" s="55" t="s">
        <v>164</v>
      </c>
      <c r="D1561" s="55" t="s">
        <v>184</v>
      </c>
      <c r="E1561" s="55"/>
      <c r="F1561" s="55"/>
      <c r="G1561" s="56" t="n">
        <v>40.4</v>
      </c>
      <c r="H1561" s="57" t="n">
        <f aca="false">MAX(0,IF(AND(Parameter!$B$21="Ja",ISNUMBER(Y1561)),Y1561,IF(Parameter!$B$20="Jahresanfang 2025 + Export",BL1561+BK1561,BK1561)))</f>
        <v>4</v>
      </c>
      <c r="I1561" s="57" t="n">
        <f aca="false">H1561*G1561</f>
        <v>161.6</v>
      </c>
      <c r="J1561" s="57" t="n">
        <f aca="false">BN1561*Parameter!$B$18</f>
        <v>0</v>
      </c>
      <c r="K1561" s="58"/>
      <c r="L1561" s="59"/>
      <c r="M1561" s="57" t="n">
        <v>0</v>
      </c>
      <c r="N1561" s="57" t="n">
        <v>1</v>
      </c>
      <c r="O1561" s="60" t="n">
        <v>21</v>
      </c>
      <c r="P1561" s="55" t="s">
        <v>168</v>
      </c>
      <c r="Q1561" s="57"/>
      <c r="R1561" s="60" t="n">
        <f aca="false">IF(BT1561=1,0,IFERROR(VLOOKUP(BR1561,'Gebinde-Kategorie'!$A$5:$M$45,13,0)+0,0))</f>
        <v>26</v>
      </c>
      <c r="S1561" s="61"/>
      <c r="T1561" s="62" t="s">
        <v>275</v>
      </c>
      <c r="U1561" s="62"/>
      <c r="V1561" s="62"/>
      <c r="W1561" s="55"/>
      <c r="X1561" s="57"/>
      <c r="Y1561" s="57"/>
      <c r="Z1561" s="55" t="n">
        <f aca="false">IF(A1561="","",IF(AND(Parameter!$B$21="Ja",ISNUMBER(W1561)),W1561,IF(BV1561="2+3",IF(ISNUMBER(SEARCH("grosser Artikel",BO1561)),2,IFERROR(VLOOKUP(BR1561,Parameter!$F$35:$G$64,2,0),2)),IF(OR(BV1561="Nein",BV1561=""),"-",BV1561))))</f>
        <v>3</v>
      </c>
      <c r="AA1561" s="62"/>
      <c r="AB1561" s="63"/>
      <c r="AC1561" s="57" t="n">
        <f aca="false">AR1561</f>
        <v>20</v>
      </c>
      <c r="AD1561" s="57" t="n">
        <f aca="false">MAX(AR1561,H1561)</f>
        <v>20</v>
      </c>
      <c r="AE1561" s="64"/>
      <c r="AF1561" s="57" t="n">
        <f aca="false">IF(LEFT(Cockpit!$C$5,1)="A",H1561,IF(CA1561=1,CB1561,IF(LEFT(Cockpit!$C$5,1)="B",AJ1561,MAX(AJ1561,H1561))))</f>
        <v>4</v>
      </c>
      <c r="AG1561" s="57" t="n">
        <f aca="false">IF(BT1561=1,0,ROUNDUP(AF1561/BS1561,0))</f>
        <v>1</v>
      </c>
      <c r="AH1561" s="59" t="n">
        <f aca="false">IF(CH1561&gt;0,CH1561*MAX(1,AF1561/X1561),IF(BT1561=1,IF(AF1561&lt;=0,0,BW1561*MAX(1,IF(H1561&gt;0,AF1561/H1561,1))),IF(R1561&gt;0,AG1561/R1561,0))/MAX(0.1,N(Parameter!$M$21)))</f>
        <v>0.0384615384615385</v>
      </c>
      <c r="AI1561" s="57" t="n">
        <f aca="false">AF1561*G1561</f>
        <v>161.6</v>
      </c>
      <c r="AJ1561" s="57" t="n">
        <f aca="false">ROUNDUP(MAX(J1561/IF(BZ1561&gt;0,BZ1561,MAX(0.1,N(Cockpit!$C$6))),CC1561)/BS1561,0)*BS1561</f>
        <v>20</v>
      </c>
      <c r="AK1561" s="58" t="n">
        <f aca="false">IF(AH1561&gt;0,J1561/AH1561,-1)</f>
        <v>0</v>
      </c>
      <c r="AL1561" s="58" t="n">
        <f aca="false">IF(AND(OR(BY1561="L1",BY1561="L23"),AH1561&gt;0),SUMIFS($AH$7:$AH$1843,$BY$7:$BY$1843,BY1561,$AK$7:$AK$1843,"&gt;"&amp;AK1561)+SUMIFS($AH$7:$AH$1843,$BY$7:$BY$1843,BY1561,$AK$7:$AK$1843,AK1561,$BQ$7:$BQ$1843,"&lt;="&amp;BQ1561),"")</f>
        <v>83.6358146684234</v>
      </c>
      <c r="AM1561" s="65" t="n">
        <f aca="false">IF(AL1561="",0,MAX(0,MIN(1,(IF(BY1561="L1",Parameter!$E$5,Parameter!$E$6+Parameter!$E$7)-(AL1561-AH1561))/AH1561)))</f>
        <v>1</v>
      </c>
      <c r="AN1561" s="57" t="n">
        <f aca="false">IF(LEFT(Cockpit!$I$5,1)="A",H1561,IF(CA1561=1,CB1561,IF(LEFT(Cockpit!$I$5,1)="B",AR1561,MAX(AR1561,H1561))))</f>
        <v>20</v>
      </c>
      <c r="AO1561" s="57" t="n">
        <f aca="false">IF(BT1561=1,0,ROUNDUP(AN1561/BS1561,0))</f>
        <v>1</v>
      </c>
      <c r="AP1561" s="59" t="n">
        <f aca="false">IF(CH1561&gt;0,CH1561*MAX(1,AN1561/X1561),IF(BT1561=1,IF(AN1561&lt;=0,0,BW1561*MAX(1,IF(H1561&gt;0,AN1561/H1561,1))),IF(R1561&gt;0,AO1561/R1561,0))/MAX(0.1,N(Parameter!$M$21)))</f>
        <v>0.0384615384615385</v>
      </c>
      <c r="AQ1561" s="57" t="n">
        <f aca="false">AN1561*G1561</f>
        <v>808</v>
      </c>
      <c r="AR1561" s="57" t="n">
        <f aca="false">ROUNDUP(MAX(J1561/IF(BZ1561&gt;0,BZ1561,MAX(0.1,N(Cockpit!$I$6))),CC1561)/BS1561,0)*BS1561</f>
        <v>20</v>
      </c>
      <c r="AS1561" s="58" t="n">
        <f aca="false">IF(AP1561&gt;0,J1561/AP1561,-1)</f>
        <v>0</v>
      </c>
      <c r="AT1561" s="58" t="n">
        <f aca="false">IF(AND(OR(BY1561="L1",BY1561="L23"),AP1561&gt;0),SUMIFS($AP$7:$AP$1843,$BY$7:$BY$1843,BY1561,$AS$7:$AS$1843,"&gt;"&amp;AS1561)+SUMIFS($AP$7:$AP$1843,$BY$7:$BY$1843,BY1561,$AS$7:$AS$1843,AS1561,$BQ$7:$BQ$1843,"&lt;="&amp;BQ1561),"")</f>
        <v>128.88795142056</v>
      </c>
      <c r="AU1561" s="65" t="n">
        <f aca="false">IF(AT1561="",0,MAX(0,MIN(1,(IF(BY1561="L1",Parameter!$E$5,Parameter!$E$6+Parameter!$E$7)-(AT1561-AP1561))/AP1561)))</f>
        <v>0</v>
      </c>
      <c r="AV1561" s="57" t="n">
        <f aca="false">IF(LEFT(Cockpit!$O$5,1)="A",H1561,IF(CA1561=1,CB1561,IF(LEFT(Cockpit!$O$5,1)="B",AZ1561,MAX(AZ1561,H1561))))</f>
        <v>20</v>
      </c>
      <c r="AW1561" s="57" t="n">
        <f aca="false">IF(BT1561=1,0,ROUNDUP(AV1561/BS1561,0))</f>
        <v>1</v>
      </c>
      <c r="AX1561" s="59" t="n">
        <f aca="false">IF(CH1561&gt;0,CH1561*MAX(1,AV1561/X1561),IF(BT1561=1,IF(AV1561&lt;=0,0,BW1561*MAX(1,IF(H1561&gt;0,AV1561/H1561,1))),IF(R1561&gt;0,AW1561/R1561,0))/MAX(0.1,N(Parameter!$M$21)))</f>
        <v>0.0384615384615385</v>
      </c>
      <c r="AY1561" s="57" t="n">
        <f aca="false">AV1561*G1561</f>
        <v>808</v>
      </c>
      <c r="AZ1561" s="57" t="n">
        <f aca="false">ROUNDUP(MAX(J1561/IF(BZ1561&gt;0,BZ1561,MAX(0.1,N(Cockpit!$O$6))),CC1561)/BS1561,0)*BS1561</f>
        <v>20</v>
      </c>
      <c r="BA1561" s="58" t="n">
        <f aca="false">IF(AX1561&gt;0,J1561/AX1561,-1)</f>
        <v>0</v>
      </c>
      <c r="BB1561" s="58" t="n">
        <f aca="false">IF(AND(OR(BY1561="L1",BY1561="L23"),AX1561&gt;0),SUMIFS($AX$7:$AX$1843,$BY$7:$BY$1843,BY1561,$BA$7:$BA$1843,"&gt;"&amp;BA1561)+SUMIFS($AX$7:$AX$1843,$BY$7:$BY$1843,BY1561,$BA$7:$BA$1843,BA1561,$BQ$7:$BQ$1843,"&lt;="&amp;BQ1561),"")</f>
        <v>119.717788250397</v>
      </c>
      <c r="BC1561" s="65" t="n">
        <f aca="false">IF(BB1561="",0,MAX(0,MIN(1,(IF(BY1561="L1",Parameter!$E$5,Parameter!$E$6+Parameter!$E$7)-(BB1561-AX1561))/AX1561)))</f>
        <v>0</v>
      </c>
      <c r="BD1561" s="55" t="str">
        <f aca="false">IF(AH1561&lt;=0,"",IF(BY1561="Aussen","Aussenlager",IF(BY1561="-","Nicht im Lift",IF(AM1561&gt;=1,"Lift",IF(AM1561&lt;=0,"Aussenlager","teilweise")))))</f>
        <v>Lift</v>
      </c>
      <c r="BE1561" s="55" t="str">
        <f aca="false">IF(AP1561&lt;=0,"",IF(BY1561="Aussen","Aussenlager",IF(BY1561="-","Nicht im Lift",IF(AU1561&gt;=1,"Lift",IF(AU1561&lt;=0,"Aussenlager","teilweise")))))</f>
        <v>Aussenlager</v>
      </c>
      <c r="BF1561" s="55" t="str">
        <f aca="false">IF(AX1561&lt;=0,"",IF(BY1561="Aussen","Aussenlager",IF(BY1561="-","Nicht im Lift",IF(BC1561&gt;=1,"Lift",IF(BC1561&lt;=0,"Aussenlager","teilweise")))))</f>
        <v>Aussenlager</v>
      </c>
      <c r="BG1561" s="55" t="str">
        <f aca="false">IF(A1561="","",IF(BP1561=1,"Neu; ","")&amp;IF(AND(BP1561=0,BK1561&lt;0),"negativer Bestand (Export "&amp;BK1561&amp;"); ","")&amp;IF(J1561&lt;=0,"Kein Verbrauch; ","")&amp;IF(CH1561&gt;0,"Lift "&amp;W1561&amp;" lt. Liftbericht (Fach "&amp;X1561&amp;" Stk); ",IF(BU1561=1,"Gebinde geschätzt ("&amp;T1561&amp;"); ",IF(BT1561=1,"Lose – Tablare geschätzt; ","")))&amp;IF(H1561&gt;AR1561,"Überbestand "&amp;ROUND(H1561-AR1561,0)&amp;" Stk / CHF "&amp;ROUND((H1561-AR1561)*G1561,0)&amp;"; ","")&amp;IF(AND(CA1561=1,CB1561&lt;CC1561),"MAX &lt; MB+LG; ","")&amp;IF(AND(CG1561&gt;0,CF1561*10&gt;CG1561),"zu hoch für Tablar; ","")&amp;IF(AND(BP1561=0,OR(CA1561=1,AA1561&lt;&gt;"",U1561&lt;&gt;"",V1561&lt;&gt;"",AB1561&lt;&gt;"")),"manuell übersteuert; ","")&amp;IF(AND(BT1561=0,R1561=0),"Gebinde unbekannt / Stellmass fehlt; ","")&amp;IF(AND(BT1561=0,N(V1561)&lt;=0,N(Q1561)&lt;=0),"Menge pro Gebinde fehlt (Ist = 1 Gebinde); ","")&amp;BO1561)</f>
        <v>Kein Verbrauch; Gebinde geschätzt (Klein); Menge pro Gebinde fehlt (Ist = 1 Gebinde); nur im Artikelstamm (Bestand 23.06.2026)</v>
      </c>
      <c r="BH1561" s="55"/>
      <c r="BI1561" s="55"/>
      <c r="BJ1561" s="62"/>
      <c r="BK1561" s="57" t="n">
        <v>4</v>
      </c>
      <c r="BL1561" s="57" t="n">
        <v>0</v>
      </c>
      <c r="BM1561" s="56" t="n">
        <v>0</v>
      </c>
      <c r="BN1561" s="57" t="n">
        <v>0</v>
      </c>
      <c r="BO1561" s="55" t="s">
        <v>2575</v>
      </c>
      <c r="BP1561" s="60" t="n">
        <v>0</v>
      </c>
      <c r="BQ1561" s="60" t="n">
        <v>1561</v>
      </c>
      <c r="BR1561" s="55" t="str">
        <f aca="false">IF(U1561&lt;&gt;"",UPPER(TRIM(U1561)),IF(BU1561=1,UPPER(VLOOKUP(T1561,Parameter!$I$27:$K$29,2,0)),IF(P1561="","LOSE",P1561)))</f>
        <v>S51</v>
      </c>
      <c r="BS1561" s="57" t="n">
        <f aca="false">IF(BR1561="LOSE",1,IF(N(V1561)&gt;0,V1561,IF(BU1561=1,MAX(1,N(VLOOKUP(T1561,Parameter!$I$27:$K$29,3,0)),H1561,N(N1561)),IF(N(Q1561)&gt;0,Q1561,MAX(1,H1561)))))</f>
        <v>20</v>
      </c>
      <c r="BT1561" s="60" t="n">
        <f aca="false">IF(BR1561="LOSE",1,0)</f>
        <v>0</v>
      </c>
      <c r="BU1561" s="60" t="n">
        <f aca="false">IF(AND(U1561="",OR(P1561="",P1561="LOSE"),T1561&lt;&gt;"",N(S1561)&lt;=0,ISNUMBER(MATCH(T1561,Parameter!$I$27:$I$29,0))),1,0)</f>
        <v>1</v>
      </c>
      <c r="BV1561" s="55" t="str">
        <f aca="false">IF(AND(Parameter!$B$19="Ja",E1561&lt;&gt;"",ISNUMBER(MATCH(E1561,Parameter!$I$35:$I$52,0))),VLOOKUP(E1561,Parameter!$I$35:$J$52,2,0),IFERROR(VLOOKUP(D1561,Parameter!$A$35:$C$64,2,0),"Nein"))</f>
        <v>2+3</v>
      </c>
      <c r="BW1561" s="59" t="n">
        <f aca="false">IF(BT1561=0,0,IF(N(S1561)&gt;0,S1561,IFERROR(VLOOKUP(D1561,Parameter!$A$35:$C$64,3,0)+0,0)))</f>
        <v>0</v>
      </c>
      <c r="BX1561" s="55" t="n">
        <f aca="false">IF(AA1561&lt;&gt;"",AA1561,Z1561)</f>
        <v>3</v>
      </c>
      <c r="BY1561" s="55" t="str">
        <f aca="false">IF(BX1561=1,"L1",IF(OR(BX1561=2,BX1561=3),"L23",IF(BX1561="Aussen","Aussen","-")))</f>
        <v>L23</v>
      </c>
      <c r="BZ1561" s="66" t="n">
        <f aca="false">IF(N(AB1561)&gt;0,AB1561,0)</f>
        <v>0</v>
      </c>
      <c r="CA1561" s="60" t="n">
        <f aca="false">IF(ISNUMBER(AE1561),1,0)</f>
        <v>0</v>
      </c>
      <c r="CB1561" s="57" t="n">
        <f aca="false">N(AE1561)</f>
        <v>0</v>
      </c>
      <c r="CC1561" s="57" t="n">
        <f aca="false">N(M1561)+N(N1561)</f>
        <v>1</v>
      </c>
      <c r="CD1561" s="57" t="n">
        <f aca="false">ROUNDUP(H1561/BS1561,0)</f>
        <v>1</v>
      </c>
      <c r="CE1561" s="57" t="n">
        <f aca="false">ROUNDUP(CB1561/BS1561,0)</f>
        <v>0</v>
      </c>
      <c r="CF1561" s="60" t="n">
        <f aca="false">IF(BT1561=1,0,IFERROR(VLOOKUP(BR1561,'Gebinde-Kategorie'!$A$5:$M$45,5,0)+0,0))</f>
        <v>11</v>
      </c>
      <c r="CG1561" s="60" t="n">
        <f aca="false">IFERROR(IF(OR(BX1561=1,BX1561=2,BX1561=3),N(INDEX(Parameter!$I$5:$I$7,BX1561)),0),0)</f>
        <v>0</v>
      </c>
      <c r="CH1561" s="59" t="n">
        <f aca="false">IF(AND(Parameter!$B$21="Ja",ISNUMBER(W1561),N(X1561)&gt;0),IFERROR(N(INDEX(Parameter!$L$5:$L$7,W1561))*INDEX(Parameter!$E$5:$E$7,W1561)*X1561/SUMIFS($X$7:$X$1843,$W$7:$W$1843,W1561),0),0)</f>
        <v>0</v>
      </c>
    </row>
    <row r="1562" customFormat="false" ht="15" hidden="false" customHeight="false" outlineLevel="0" collapsed="false">
      <c r="A1562" s="55" t="s">
        <v>2729</v>
      </c>
      <c r="B1562" s="55" t="s">
        <v>2730</v>
      </c>
      <c r="C1562" s="55" t="s">
        <v>164</v>
      </c>
      <c r="D1562" s="55" t="s">
        <v>184</v>
      </c>
      <c r="E1562" s="55"/>
      <c r="F1562" s="55"/>
      <c r="G1562" s="56" t="n">
        <v>13.75</v>
      </c>
      <c r="H1562" s="57" t="n">
        <f aca="false">MAX(0,IF(AND(Parameter!$B$21="Ja",ISNUMBER(Y1562)),Y1562,IF(Parameter!$B$20="Jahresanfang 2025 + Export",BL1562+BK1562,BK1562)))</f>
        <v>2</v>
      </c>
      <c r="I1562" s="57" t="n">
        <f aca="false">H1562*G1562</f>
        <v>27.5</v>
      </c>
      <c r="J1562" s="57" t="n">
        <f aca="false">BN1562*Parameter!$B$18</f>
        <v>0</v>
      </c>
      <c r="K1562" s="58"/>
      <c r="L1562" s="59"/>
      <c r="M1562" s="57" t="n">
        <v>0</v>
      </c>
      <c r="N1562" s="57" t="n">
        <v>25</v>
      </c>
      <c r="O1562" s="60" t="n">
        <v>21</v>
      </c>
      <c r="P1562" s="55" t="s">
        <v>168</v>
      </c>
      <c r="Q1562" s="57"/>
      <c r="R1562" s="60" t="n">
        <f aca="false">IF(BT1562=1,0,IFERROR(VLOOKUP(BR1562,'Gebinde-Kategorie'!$A$5:$M$45,13,0)+0,0))</f>
        <v>26</v>
      </c>
      <c r="S1562" s="61"/>
      <c r="T1562" s="62" t="s">
        <v>275</v>
      </c>
      <c r="U1562" s="62"/>
      <c r="V1562" s="62"/>
      <c r="W1562" s="55"/>
      <c r="X1562" s="57"/>
      <c r="Y1562" s="57"/>
      <c r="Z1562" s="55" t="n">
        <f aca="false">IF(A1562="","",IF(AND(Parameter!$B$21="Ja",ISNUMBER(W1562)),W1562,IF(BV1562="2+3",IF(ISNUMBER(SEARCH("grosser Artikel",BO1562)),2,IFERROR(VLOOKUP(BR1562,Parameter!$F$35:$G$64,2,0),2)),IF(OR(BV1562="Nein",BV1562=""),"-",BV1562))))</f>
        <v>3</v>
      </c>
      <c r="AA1562" s="62"/>
      <c r="AB1562" s="63"/>
      <c r="AC1562" s="57" t="n">
        <f aca="false">AR1562</f>
        <v>25</v>
      </c>
      <c r="AD1562" s="57" t="n">
        <f aca="false">MAX(AR1562,H1562)</f>
        <v>25</v>
      </c>
      <c r="AE1562" s="64"/>
      <c r="AF1562" s="57" t="n">
        <f aca="false">IF(LEFT(Cockpit!$C$5,1)="A",H1562,IF(CA1562=1,CB1562,IF(LEFT(Cockpit!$C$5,1)="B",AJ1562,MAX(AJ1562,H1562))))</f>
        <v>2</v>
      </c>
      <c r="AG1562" s="57" t="n">
        <f aca="false">IF(BT1562=1,0,ROUNDUP(AF1562/BS1562,0))</f>
        <v>1</v>
      </c>
      <c r="AH1562" s="59" t="n">
        <f aca="false">IF(CH1562&gt;0,CH1562*MAX(1,AF1562/X1562),IF(BT1562=1,IF(AF1562&lt;=0,0,BW1562*MAX(1,IF(H1562&gt;0,AF1562/H1562,1))),IF(R1562&gt;0,AG1562/R1562,0))/MAX(0.1,N(Parameter!$M$21)))</f>
        <v>0.0384615384615385</v>
      </c>
      <c r="AI1562" s="57" t="n">
        <f aca="false">AF1562*G1562</f>
        <v>27.5</v>
      </c>
      <c r="AJ1562" s="57" t="n">
        <f aca="false">ROUNDUP(MAX(J1562/IF(BZ1562&gt;0,BZ1562,MAX(0.1,N(Cockpit!$C$6))),CC1562)/BS1562,0)*BS1562</f>
        <v>25</v>
      </c>
      <c r="AK1562" s="58" t="n">
        <f aca="false">IF(AH1562&gt;0,J1562/AH1562,-1)</f>
        <v>0</v>
      </c>
      <c r="AL1562" s="58" t="n">
        <f aca="false">IF(AND(OR(BY1562="L1",BY1562="L23"),AH1562&gt;0),SUMIFS($AH$7:$AH$1843,$BY$7:$BY$1843,BY1562,$AK$7:$AK$1843,"&gt;"&amp;AK1562)+SUMIFS($AH$7:$AH$1843,$BY$7:$BY$1843,BY1562,$AK$7:$AK$1843,AK1562,$BQ$7:$BQ$1843,"&lt;="&amp;BQ1562),"")</f>
        <v>83.6742762068849</v>
      </c>
      <c r="AM1562" s="65" t="n">
        <f aca="false">IF(AL1562="",0,MAX(0,MIN(1,(IF(BY1562="L1",Parameter!$E$5,Parameter!$E$6+Parameter!$E$7)-(AL1562-AH1562))/AH1562)))</f>
        <v>1</v>
      </c>
      <c r="AN1562" s="57" t="n">
        <f aca="false">IF(LEFT(Cockpit!$I$5,1)="A",H1562,IF(CA1562=1,CB1562,IF(LEFT(Cockpit!$I$5,1)="B",AR1562,MAX(AR1562,H1562))))</f>
        <v>25</v>
      </c>
      <c r="AO1562" s="57" t="n">
        <f aca="false">IF(BT1562=1,0,ROUNDUP(AN1562/BS1562,0))</f>
        <v>1</v>
      </c>
      <c r="AP1562" s="59" t="n">
        <f aca="false">IF(CH1562&gt;0,CH1562*MAX(1,AN1562/X1562),IF(BT1562=1,IF(AN1562&lt;=0,0,BW1562*MAX(1,IF(H1562&gt;0,AN1562/H1562,1))),IF(R1562&gt;0,AO1562/R1562,0))/MAX(0.1,N(Parameter!$M$21)))</f>
        <v>0.0384615384615385</v>
      </c>
      <c r="AQ1562" s="57" t="n">
        <f aca="false">AN1562*G1562</f>
        <v>343.75</v>
      </c>
      <c r="AR1562" s="57" t="n">
        <f aca="false">ROUNDUP(MAX(J1562/IF(BZ1562&gt;0,BZ1562,MAX(0.1,N(Cockpit!$I$6))),CC1562)/BS1562,0)*BS1562</f>
        <v>25</v>
      </c>
      <c r="AS1562" s="58" t="n">
        <f aca="false">IF(AP1562&gt;0,J1562/AP1562,-1)</f>
        <v>0</v>
      </c>
      <c r="AT1562" s="58" t="n">
        <f aca="false">IF(AND(OR(BY1562="L1",BY1562="L23"),AP1562&gt;0),SUMIFS($AP$7:$AP$1843,$BY$7:$BY$1843,BY1562,$AS$7:$AS$1843,"&gt;"&amp;AS1562)+SUMIFS($AP$7:$AP$1843,$BY$7:$BY$1843,BY1562,$AS$7:$AS$1843,AS1562,$BQ$7:$BQ$1843,"&lt;="&amp;BQ1562),"")</f>
        <v>128.926412959022</v>
      </c>
      <c r="AU1562" s="65" t="n">
        <f aca="false">IF(AT1562="",0,MAX(0,MIN(1,(IF(BY1562="L1",Parameter!$E$5,Parameter!$E$6+Parameter!$E$7)-(AT1562-AP1562))/AP1562)))</f>
        <v>0</v>
      </c>
      <c r="AV1562" s="57" t="n">
        <f aca="false">IF(LEFT(Cockpit!$O$5,1)="A",H1562,IF(CA1562=1,CB1562,IF(LEFT(Cockpit!$O$5,1)="B",AZ1562,MAX(AZ1562,H1562))))</f>
        <v>25</v>
      </c>
      <c r="AW1562" s="57" t="n">
        <f aca="false">IF(BT1562=1,0,ROUNDUP(AV1562/BS1562,0))</f>
        <v>1</v>
      </c>
      <c r="AX1562" s="59" t="n">
        <f aca="false">IF(CH1562&gt;0,CH1562*MAX(1,AV1562/X1562),IF(BT1562=1,IF(AV1562&lt;=0,0,BW1562*MAX(1,IF(H1562&gt;0,AV1562/H1562,1))),IF(R1562&gt;0,AW1562/R1562,0))/MAX(0.1,N(Parameter!$M$21)))</f>
        <v>0.0384615384615385</v>
      </c>
      <c r="AY1562" s="57" t="n">
        <f aca="false">AV1562*G1562</f>
        <v>343.75</v>
      </c>
      <c r="AZ1562" s="57" t="n">
        <f aca="false">ROUNDUP(MAX(J1562/IF(BZ1562&gt;0,BZ1562,MAX(0.1,N(Cockpit!$O$6))),CC1562)/BS1562,0)*BS1562</f>
        <v>25</v>
      </c>
      <c r="BA1562" s="58" t="n">
        <f aca="false">IF(AX1562&gt;0,J1562/AX1562,-1)</f>
        <v>0</v>
      </c>
      <c r="BB1562" s="58" t="n">
        <f aca="false">IF(AND(OR(BY1562="L1",BY1562="L23"),AX1562&gt;0),SUMIFS($AX$7:$AX$1843,$BY$7:$BY$1843,BY1562,$BA$7:$BA$1843,"&gt;"&amp;BA1562)+SUMIFS($AX$7:$AX$1843,$BY$7:$BY$1843,BY1562,$BA$7:$BA$1843,BA1562,$BQ$7:$BQ$1843,"&lt;="&amp;BQ1562),"")</f>
        <v>119.756249788858</v>
      </c>
      <c r="BC1562" s="65" t="n">
        <f aca="false">IF(BB1562="",0,MAX(0,MIN(1,(IF(BY1562="L1",Parameter!$E$5,Parameter!$E$6+Parameter!$E$7)-(BB1562-AX1562))/AX1562)))</f>
        <v>0</v>
      </c>
      <c r="BD1562" s="55" t="str">
        <f aca="false">IF(AH1562&lt;=0,"",IF(BY1562="Aussen","Aussenlager",IF(BY1562="-","Nicht im Lift",IF(AM1562&gt;=1,"Lift",IF(AM1562&lt;=0,"Aussenlager","teilweise")))))</f>
        <v>Lift</v>
      </c>
      <c r="BE1562" s="55" t="str">
        <f aca="false">IF(AP1562&lt;=0,"",IF(BY1562="Aussen","Aussenlager",IF(BY1562="-","Nicht im Lift",IF(AU1562&gt;=1,"Lift",IF(AU1562&lt;=0,"Aussenlager","teilweise")))))</f>
        <v>Aussenlager</v>
      </c>
      <c r="BF1562" s="55" t="str">
        <f aca="false">IF(AX1562&lt;=0,"",IF(BY1562="Aussen","Aussenlager",IF(BY1562="-","Nicht im Lift",IF(BC1562&gt;=1,"Lift",IF(BC1562&lt;=0,"Aussenlager","teilweise")))))</f>
        <v>Aussenlager</v>
      </c>
      <c r="BG1562" s="55" t="str">
        <f aca="false">IF(A1562="","",IF(BP1562=1,"Neu; ","")&amp;IF(AND(BP1562=0,BK1562&lt;0),"negativer Bestand (Export "&amp;BK1562&amp;"); ","")&amp;IF(J1562&lt;=0,"Kein Verbrauch; ","")&amp;IF(CH1562&gt;0,"Lift "&amp;W1562&amp;" lt. Liftbericht (Fach "&amp;X1562&amp;" Stk); ",IF(BU1562=1,"Gebinde geschätzt ("&amp;T1562&amp;"); ",IF(BT1562=1,"Lose – Tablare geschätzt; ","")))&amp;IF(H1562&gt;AR1562,"Überbestand "&amp;ROUND(H1562-AR1562,0)&amp;" Stk / CHF "&amp;ROUND((H1562-AR1562)*G1562,0)&amp;"; ","")&amp;IF(AND(CA1562=1,CB1562&lt;CC1562),"MAX &lt; MB+LG; ","")&amp;IF(AND(CG1562&gt;0,CF1562*10&gt;CG1562),"zu hoch für Tablar; ","")&amp;IF(AND(BP1562=0,OR(CA1562=1,AA1562&lt;&gt;"",U1562&lt;&gt;"",V1562&lt;&gt;"",AB1562&lt;&gt;"")),"manuell übersteuert; ","")&amp;IF(AND(BT1562=0,R1562=0),"Gebinde unbekannt / Stellmass fehlt; ","")&amp;IF(AND(BT1562=0,N(V1562)&lt;=0,N(Q1562)&lt;=0),"Menge pro Gebinde fehlt (Ist = 1 Gebinde); ","")&amp;BO1562)</f>
        <v>Kein Verbrauch; Gebinde geschätzt (Klein); Menge pro Gebinde fehlt (Ist = 1 Gebinde); nur im Artikelstamm (Bestand 23.06.2026)</v>
      </c>
      <c r="BH1562" s="55"/>
      <c r="BI1562" s="55"/>
      <c r="BJ1562" s="62"/>
      <c r="BK1562" s="57" t="n">
        <v>2</v>
      </c>
      <c r="BL1562" s="57" t="n">
        <v>0</v>
      </c>
      <c r="BM1562" s="56" t="n">
        <v>0</v>
      </c>
      <c r="BN1562" s="57" t="n">
        <v>0</v>
      </c>
      <c r="BO1562" s="55" t="s">
        <v>2575</v>
      </c>
      <c r="BP1562" s="60" t="n">
        <v>0</v>
      </c>
      <c r="BQ1562" s="60" t="n">
        <v>1562</v>
      </c>
      <c r="BR1562" s="55" t="str">
        <f aca="false">IF(U1562&lt;&gt;"",UPPER(TRIM(U1562)),IF(BU1562=1,UPPER(VLOOKUP(T1562,Parameter!$I$27:$K$29,2,0)),IF(P1562="","LOSE",P1562)))</f>
        <v>S51</v>
      </c>
      <c r="BS1562" s="57" t="n">
        <f aca="false">IF(BR1562="LOSE",1,IF(N(V1562)&gt;0,V1562,IF(BU1562=1,MAX(1,N(VLOOKUP(T1562,Parameter!$I$27:$K$29,3,0)),H1562,N(N1562)),IF(N(Q1562)&gt;0,Q1562,MAX(1,H1562)))))</f>
        <v>25</v>
      </c>
      <c r="BT1562" s="60" t="n">
        <f aca="false">IF(BR1562="LOSE",1,0)</f>
        <v>0</v>
      </c>
      <c r="BU1562" s="60" t="n">
        <f aca="false">IF(AND(U1562="",OR(P1562="",P1562="LOSE"),T1562&lt;&gt;"",N(S1562)&lt;=0,ISNUMBER(MATCH(T1562,Parameter!$I$27:$I$29,0))),1,0)</f>
        <v>1</v>
      </c>
      <c r="BV1562" s="55" t="str">
        <f aca="false">IF(AND(Parameter!$B$19="Ja",E1562&lt;&gt;"",ISNUMBER(MATCH(E1562,Parameter!$I$35:$I$52,0))),VLOOKUP(E1562,Parameter!$I$35:$J$52,2,0),IFERROR(VLOOKUP(D1562,Parameter!$A$35:$C$64,2,0),"Nein"))</f>
        <v>2+3</v>
      </c>
      <c r="BW1562" s="59" t="n">
        <f aca="false">IF(BT1562=0,0,IF(N(S1562)&gt;0,S1562,IFERROR(VLOOKUP(D1562,Parameter!$A$35:$C$64,3,0)+0,0)))</f>
        <v>0</v>
      </c>
      <c r="BX1562" s="55" t="n">
        <f aca="false">IF(AA1562&lt;&gt;"",AA1562,Z1562)</f>
        <v>3</v>
      </c>
      <c r="BY1562" s="55" t="str">
        <f aca="false">IF(BX1562=1,"L1",IF(OR(BX1562=2,BX1562=3),"L23",IF(BX1562="Aussen","Aussen","-")))</f>
        <v>L23</v>
      </c>
      <c r="BZ1562" s="66" t="n">
        <f aca="false">IF(N(AB1562)&gt;0,AB1562,0)</f>
        <v>0</v>
      </c>
      <c r="CA1562" s="60" t="n">
        <f aca="false">IF(ISNUMBER(AE1562),1,0)</f>
        <v>0</v>
      </c>
      <c r="CB1562" s="57" t="n">
        <f aca="false">N(AE1562)</f>
        <v>0</v>
      </c>
      <c r="CC1562" s="57" t="n">
        <f aca="false">N(M1562)+N(N1562)</f>
        <v>25</v>
      </c>
      <c r="CD1562" s="57" t="n">
        <f aca="false">ROUNDUP(H1562/BS1562,0)</f>
        <v>1</v>
      </c>
      <c r="CE1562" s="57" t="n">
        <f aca="false">ROUNDUP(CB1562/BS1562,0)</f>
        <v>0</v>
      </c>
      <c r="CF1562" s="60" t="n">
        <f aca="false">IF(BT1562=1,0,IFERROR(VLOOKUP(BR1562,'Gebinde-Kategorie'!$A$5:$M$45,5,0)+0,0))</f>
        <v>11</v>
      </c>
      <c r="CG1562" s="60" t="n">
        <f aca="false">IFERROR(IF(OR(BX1562=1,BX1562=2,BX1562=3),N(INDEX(Parameter!$I$5:$I$7,BX1562)),0),0)</f>
        <v>0</v>
      </c>
      <c r="CH1562" s="59" t="n">
        <f aca="false">IF(AND(Parameter!$B$21="Ja",ISNUMBER(W1562),N(X1562)&gt;0),IFERROR(N(INDEX(Parameter!$L$5:$L$7,W1562))*INDEX(Parameter!$E$5:$E$7,W1562)*X1562/SUMIFS($X$7:$X$1843,$W$7:$W$1843,W1562),0),0)</f>
        <v>0</v>
      </c>
    </row>
    <row r="1563" customFormat="false" ht="15" hidden="false" customHeight="false" outlineLevel="0" collapsed="false">
      <c r="A1563" s="55" t="s">
        <v>2731</v>
      </c>
      <c r="B1563" s="55" t="s">
        <v>2732</v>
      </c>
      <c r="C1563" s="55" t="s">
        <v>456</v>
      </c>
      <c r="D1563" s="55" t="s">
        <v>173</v>
      </c>
      <c r="E1563" s="55"/>
      <c r="F1563" s="55"/>
      <c r="G1563" s="56" t="n">
        <v>118</v>
      </c>
      <c r="H1563" s="57" t="n">
        <f aca="false">MAX(0,IF(AND(Parameter!$B$21="Ja",ISNUMBER(Y1563)),Y1563,IF(Parameter!$B$20="Jahresanfang 2025 + Export",BL1563+BK1563,BK1563)))</f>
        <v>6</v>
      </c>
      <c r="I1563" s="57" t="n">
        <f aca="false">H1563*G1563</f>
        <v>708</v>
      </c>
      <c r="J1563" s="57" t="n">
        <f aca="false">BN1563*Parameter!$B$18</f>
        <v>0</v>
      </c>
      <c r="K1563" s="58"/>
      <c r="L1563" s="59"/>
      <c r="M1563" s="57" t="n">
        <v>0</v>
      </c>
      <c r="N1563" s="57" t="n">
        <v>1</v>
      </c>
      <c r="O1563" s="60" t="n">
        <v>0</v>
      </c>
      <c r="P1563" s="55" t="s">
        <v>168</v>
      </c>
      <c r="Q1563" s="57"/>
      <c r="R1563" s="60" t="n">
        <f aca="false">IF(BT1563=1,0,IFERROR(VLOOKUP(BR1563,'Gebinde-Kategorie'!$A$5:$M$45,13,0)+0,0))</f>
        <v>12</v>
      </c>
      <c r="S1563" s="61"/>
      <c r="T1563" s="62" t="s">
        <v>179</v>
      </c>
      <c r="U1563" s="62"/>
      <c r="V1563" s="62"/>
      <c r="W1563" s="55"/>
      <c r="X1563" s="57"/>
      <c r="Y1563" s="57"/>
      <c r="Z1563" s="55" t="n">
        <f aca="false">IF(A1563="","",IF(AND(Parameter!$B$21="Ja",ISNUMBER(W1563)),W1563,IF(BV1563="2+3",IF(ISNUMBER(SEARCH("grosser Artikel",BO1563)),2,IFERROR(VLOOKUP(BR1563,Parameter!$F$35:$G$64,2,0),2)),IF(OR(BV1563="Nein",BV1563=""),"-",BV1563))))</f>
        <v>2</v>
      </c>
      <c r="AA1563" s="62"/>
      <c r="AB1563" s="63"/>
      <c r="AC1563" s="57" t="n">
        <f aca="false">AR1563</f>
        <v>6</v>
      </c>
      <c r="AD1563" s="57" t="n">
        <f aca="false">MAX(AR1563,H1563)</f>
        <v>6</v>
      </c>
      <c r="AE1563" s="64"/>
      <c r="AF1563" s="57" t="n">
        <f aca="false">IF(LEFT(Cockpit!$C$5,1)="A",H1563,IF(CA1563=1,CB1563,IF(LEFT(Cockpit!$C$5,1)="B",AJ1563,MAX(AJ1563,H1563))))</f>
        <v>6</v>
      </c>
      <c r="AG1563" s="57" t="n">
        <f aca="false">IF(BT1563=1,0,ROUNDUP(AF1563/BS1563,0))</f>
        <v>1</v>
      </c>
      <c r="AH1563" s="59" t="n">
        <f aca="false">IF(CH1563&gt;0,CH1563*MAX(1,AF1563/X1563),IF(BT1563=1,IF(AF1563&lt;=0,0,BW1563*MAX(1,IF(H1563&gt;0,AF1563/H1563,1))),IF(R1563&gt;0,AG1563/R1563,0))/MAX(0.1,N(Parameter!$M$21)))</f>
        <v>0.0833333333333333</v>
      </c>
      <c r="AI1563" s="57" t="n">
        <f aca="false">AF1563*G1563</f>
        <v>708</v>
      </c>
      <c r="AJ1563" s="57" t="n">
        <f aca="false">ROUNDUP(MAX(J1563/IF(BZ1563&gt;0,BZ1563,MAX(0.1,N(Cockpit!$C$6))),CC1563)/BS1563,0)*BS1563</f>
        <v>6</v>
      </c>
      <c r="AK1563" s="58" t="n">
        <f aca="false">IF(AH1563&gt;0,J1563/AH1563,-1)</f>
        <v>0</v>
      </c>
      <c r="AL1563" s="58" t="n">
        <f aca="false">IF(AND(OR(BY1563="L1",BY1563="L23"),AH1563&gt;0),SUMIFS($AH$7:$AH$1843,$BY$7:$BY$1843,BY1563,$AK$7:$AK$1843,"&gt;"&amp;AK1563)+SUMIFS($AH$7:$AH$1843,$BY$7:$BY$1843,BY1563,$AK$7:$AK$1843,AK1563,$BQ$7:$BQ$1843,"&lt;="&amp;BQ1563),"")</f>
        <v>83.7576095402182</v>
      </c>
      <c r="AM1563" s="65" t="n">
        <f aca="false">IF(AL1563="",0,MAX(0,MIN(1,(IF(BY1563="L1",Parameter!$E$5,Parameter!$E$6+Parameter!$E$7)-(AL1563-AH1563))/AH1563)))</f>
        <v>1</v>
      </c>
      <c r="AN1563" s="57" t="n">
        <f aca="false">IF(LEFT(Cockpit!$I$5,1)="A",H1563,IF(CA1563=1,CB1563,IF(LEFT(Cockpit!$I$5,1)="B",AR1563,MAX(AR1563,H1563))))</f>
        <v>6</v>
      </c>
      <c r="AO1563" s="57" t="n">
        <f aca="false">IF(BT1563=1,0,ROUNDUP(AN1563/BS1563,0))</f>
        <v>1</v>
      </c>
      <c r="AP1563" s="59" t="n">
        <f aca="false">IF(CH1563&gt;0,CH1563*MAX(1,AN1563/X1563),IF(BT1563=1,IF(AN1563&lt;=0,0,BW1563*MAX(1,IF(H1563&gt;0,AN1563/H1563,1))),IF(R1563&gt;0,AO1563/R1563,0))/MAX(0.1,N(Parameter!$M$21)))</f>
        <v>0.0833333333333333</v>
      </c>
      <c r="AQ1563" s="57" t="n">
        <f aca="false">AN1563*G1563</f>
        <v>708</v>
      </c>
      <c r="AR1563" s="57" t="n">
        <f aca="false">ROUNDUP(MAX(J1563/IF(BZ1563&gt;0,BZ1563,MAX(0.1,N(Cockpit!$I$6))),CC1563)/BS1563,0)*BS1563</f>
        <v>6</v>
      </c>
      <c r="AS1563" s="58" t="n">
        <f aca="false">IF(AP1563&gt;0,J1563/AP1563,-1)</f>
        <v>0</v>
      </c>
      <c r="AT1563" s="58" t="n">
        <f aca="false">IF(AND(OR(BY1563="L1",BY1563="L23"),AP1563&gt;0),SUMIFS($AP$7:$AP$1843,$BY$7:$BY$1843,BY1563,$AS$7:$AS$1843,"&gt;"&amp;AS1563)+SUMIFS($AP$7:$AP$1843,$BY$7:$BY$1843,BY1563,$AS$7:$AS$1843,AS1563,$BQ$7:$BQ$1843,"&lt;="&amp;BQ1563),"")</f>
        <v>129.009746292355</v>
      </c>
      <c r="AU1563" s="65" t="n">
        <f aca="false">IF(AT1563="",0,MAX(0,MIN(1,(IF(BY1563="L1",Parameter!$E$5,Parameter!$E$6+Parameter!$E$7)-(AT1563-AP1563))/AP1563)))</f>
        <v>0</v>
      </c>
      <c r="AV1563" s="57" t="n">
        <f aca="false">IF(LEFT(Cockpit!$O$5,1)="A",H1563,IF(CA1563=1,CB1563,IF(LEFT(Cockpit!$O$5,1)="B",AZ1563,MAX(AZ1563,H1563))))</f>
        <v>6</v>
      </c>
      <c r="AW1563" s="57" t="n">
        <f aca="false">IF(BT1563=1,0,ROUNDUP(AV1563/BS1563,0))</f>
        <v>1</v>
      </c>
      <c r="AX1563" s="59" t="n">
        <f aca="false">IF(CH1563&gt;0,CH1563*MAX(1,AV1563/X1563),IF(BT1563=1,IF(AV1563&lt;=0,0,BW1563*MAX(1,IF(H1563&gt;0,AV1563/H1563,1))),IF(R1563&gt;0,AW1563/R1563,0))/MAX(0.1,N(Parameter!$M$21)))</f>
        <v>0.0833333333333333</v>
      </c>
      <c r="AY1563" s="57" t="n">
        <f aca="false">AV1563*G1563</f>
        <v>708</v>
      </c>
      <c r="AZ1563" s="57" t="n">
        <f aca="false">ROUNDUP(MAX(J1563/IF(BZ1563&gt;0,BZ1563,MAX(0.1,N(Cockpit!$O$6))),CC1563)/BS1563,0)*BS1563</f>
        <v>6</v>
      </c>
      <c r="BA1563" s="58" t="n">
        <f aca="false">IF(AX1563&gt;0,J1563/AX1563,-1)</f>
        <v>0</v>
      </c>
      <c r="BB1563" s="58" t="n">
        <f aca="false">IF(AND(OR(BY1563="L1",BY1563="L23"),AX1563&gt;0),SUMIFS($AX$7:$AX$1843,$BY$7:$BY$1843,BY1563,$BA$7:$BA$1843,"&gt;"&amp;BA1563)+SUMIFS($AX$7:$AX$1843,$BY$7:$BY$1843,BY1563,$BA$7:$BA$1843,BA1563,$BQ$7:$BQ$1843,"&lt;="&amp;BQ1563),"")</f>
        <v>119.839583122192</v>
      </c>
      <c r="BC1563" s="65" t="n">
        <f aca="false">IF(BB1563="",0,MAX(0,MIN(1,(IF(BY1563="L1",Parameter!$E$5,Parameter!$E$6+Parameter!$E$7)-(BB1563-AX1563))/AX1563)))</f>
        <v>0</v>
      </c>
      <c r="BD1563" s="55" t="str">
        <f aca="false">IF(AH1563&lt;=0,"",IF(BY1563="Aussen","Aussenlager",IF(BY1563="-","Nicht im Lift",IF(AM1563&gt;=1,"Lift",IF(AM1563&lt;=0,"Aussenlager","teilweise")))))</f>
        <v>Lift</v>
      </c>
      <c r="BE1563" s="55" t="str">
        <f aca="false">IF(AP1563&lt;=0,"",IF(BY1563="Aussen","Aussenlager",IF(BY1563="-","Nicht im Lift",IF(AU1563&gt;=1,"Lift",IF(AU1563&lt;=0,"Aussenlager","teilweise")))))</f>
        <v>Aussenlager</v>
      </c>
      <c r="BF1563" s="55" t="str">
        <f aca="false">IF(AX1563&lt;=0,"",IF(BY1563="Aussen","Aussenlager",IF(BY1563="-","Nicht im Lift",IF(BC1563&gt;=1,"Lift",IF(BC1563&lt;=0,"Aussenlager","teilweise")))))</f>
        <v>Aussenlager</v>
      </c>
      <c r="BG1563" s="55" t="str">
        <f aca="false">IF(A1563="","",IF(BP1563=1,"Neu; ","")&amp;IF(AND(BP1563=0,BK1563&lt;0),"negativer Bestand (Export "&amp;BK1563&amp;"); ","")&amp;IF(J1563&lt;=0,"Kein Verbrauch; ","")&amp;IF(CH1563&gt;0,"Lift "&amp;W1563&amp;" lt. Liftbericht (Fach "&amp;X1563&amp;" Stk); ",IF(BU1563=1,"Gebinde geschätzt ("&amp;T1563&amp;"); ",IF(BT1563=1,"Lose – Tablare geschätzt; ","")))&amp;IF(H1563&gt;AR1563,"Überbestand "&amp;ROUND(H1563-AR1563,0)&amp;" Stk / CHF "&amp;ROUND((H1563-AR1563)*G1563,0)&amp;"; ","")&amp;IF(AND(CA1563=1,CB1563&lt;CC1563),"MAX &lt; MB+LG; ","")&amp;IF(AND(CG1563&gt;0,CF1563*10&gt;CG1563),"zu hoch für Tablar; ","")&amp;IF(AND(BP1563=0,OR(CA1563=1,AA1563&lt;&gt;"",U1563&lt;&gt;"",V1563&lt;&gt;"",AB1563&lt;&gt;"")),"manuell übersteuert; ","")&amp;IF(AND(BT1563=0,R1563=0),"Gebinde unbekannt / Stellmass fehlt; ","")&amp;IF(AND(BT1563=0,N(V1563)&lt;=0,N(Q1563)&lt;=0),"Menge pro Gebinde fehlt (Ist = 1 Gebinde); ","")&amp;BO1563)</f>
        <v>Kein Verbrauch; Gebinde geschätzt (Mittel); Menge pro Gebinde fehlt (Ist = 1 Gebinde); nur im Artikelstamm (Bestand 23.06.2026)</v>
      </c>
      <c r="BH1563" s="55"/>
      <c r="BI1563" s="55"/>
      <c r="BJ1563" s="62"/>
      <c r="BK1563" s="57" t="n">
        <v>6</v>
      </c>
      <c r="BL1563" s="57" t="n">
        <v>0</v>
      </c>
      <c r="BM1563" s="56" t="n">
        <v>0</v>
      </c>
      <c r="BN1563" s="57" t="n">
        <v>0</v>
      </c>
      <c r="BO1563" s="55" t="s">
        <v>2575</v>
      </c>
      <c r="BP1563" s="60" t="n">
        <v>0</v>
      </c>
      <c r="BQ1563" s="60" t="n">
        <v>1563</v>
      </c>
      <c r="BR1563" s="55" t="str">
        <f aca="false">IF(U1563&lt;&gt;"",UPPER(TRIM(U1563)),IF(BU1563=1,UPPER(VLOOKUP(T1563,Parameter!$I$27:$K$29,2,0)),IF(P1563="","LOSE",P1563)))</f>
        <v>S61</v>
      </c>
      <c r="BS1563" s="57" t="n">
        <f aca="false">IF(BR1563="LOSE",1,IF(N(V1563)&gt;0,V1563,IF(BU1563=1,MAX(1,N(VLOOKUP(T1563,Parameter!$I$27:$K$29,3,0)),H1563,N(N1563)),IF(N(Q1563)&gt;0,Q1563,MAX(1,H1563)))))</f>
        <v>6</v>
      </c>
      <c r="BT1563" s="60" t="n">
        <f aca="false">IF(BR1563="LOSE",1,0)</f>
        <v>0</v>
      </c>
      <c r="BU1563" s="60" t="n">
        <f aca="false">IF(AND(U1563="",OR(P1563="",P1563="LOSE"),T1563&lt;&gt;"",N(S1563)&lt;=0,ISNUMBER(MATCH(T1563,Parameter!$I$27:$I$29,0))),1,0)</f>
        <v>1</v>
      </c>
      <c r="BV1563" s="55" t="str">
        <f aca="false">IF(AND(Parameter!$B$19="Ja",E1563&lt;&gt;"",ISNUMBER(MATCH(E1563,Parameter!$I$35:$I$52,0))),VLOOKUP(E1563,Parameter!$I$35:$J$52,2,0),IFERROR(VLOOKUP(D1563,Parameter!$A$35:$C$64,2,0),"Nein"))</f>
        <v>2+3</v>
      </c>
      <c r="BW1563" s="59" t="n">
        <f aca="false">IF(BT1563=0,0,IF(N(S1563)&gt;0,S1563,IFERROR(VLOOKUP(D1563,Parameter!$A$35:$C$64,3,0)+0,0)))</f>
        <v>0</v>
      </c>
      <c r="BX1563" s="55" t="n">
        <f aca="false">IF(AA1563&lt;&gt;"",AA1563,Z1563)</f>
        <v>2</v>
      </c>
      <c r="BY1563" s="55" t="str">
        <f aca="false">IF(BX1563=1,"L1",IF(OR(BX1563=2,BX1563=3),"L23",IF(BX1563="Aussen","Aussen","-")))</f>
        <v>L23</v>
      </c>
      <c r="BZ1563" s="66" t="n">
        <f aca="false">IF(N(AB1563)&gt;0,AB1563,0)</f>
        <v>0</v>
      </c>
      <c r="CA1563" s="60" t="n">
        <f aca="false">IF(ISNUMBER(AE1563),1,0)</f>
        <v>0</v>
      </c>
      <c r="CB1563" s="57" t="n">
        <f aca="false">N(AE1563)</f>
        <v>0</v>
      </c>
      <c r="CC1563" s="57" t="n">
        <f aca="false">N(M1563)+N(N1563)</f>
        <v>1</v>
      </c>
      <c r="CD1563" s="57" t="n">
        <f aca="false">ROUNDUP(H1563/BS1563,0)</f>
        <v>1</v>
      </c>
      <c r="CE1563" s="57" t="n">
        <f aca="false">ROUNDUP(CB1563/BS1563,0)</f>
        <v>0</v>
      </c>
      <c r="CF1563" s="60" t="n">
        <f aca="false">IF(BT1563=1,0,IFERROR(VLOOKUP(BR1563,'Gebinde-Kategorie'!$A$5:$M$45,5,0)+0,0))</f>
        <v>11</v>
      </c>
      <c r="CG1563" s="60" t="n">
        <f aca="false">IFERROR(IF(OR(BX1563=1,BX1563=2,BX1563=3),N(INDEX(Parameter!$I$5:$I$7,BX1563)),0),0)</f>
        <v>0</v>
      </c>
      <c r="CH1563" s="59" t="n">
        <f aca="false">IF(AND(Parameter!$B$21="Ja",ISNUMBER(W1563),N(X1563)&gt;0),IFERROR(N(INDEX(Parameter!$L$5:$L$7,W1563))*INDEX(Parameter!$E$5:$E$7,W1563)*X1563/SUMIFS($X$7:$X$1843,$W$7:$W$1843,W1563),0),0)</f>
        <v>0</v>
      </c>
    </row>
    <row r="1564" customFormat="false" ht="15" hidden="false" customHeight="false" outlineLevel="0" collapsed="false">
      <c r="A1564" s="55" t="s">
        <v>2733</v>
      </c>
      <c r="B1564" s="55" t="s">
        <v>2732</v>
      </c>
      <c r="C1564" s="55" t="s">
        <v>456</v>
      </c>
      <c r="D1564" s="55" t="s">
        <v>173</v>
      </c>
      <c r="E1564" s="55"/>
      <c r="F1564" s="55"/>
      <c r="G1564" s="56" t="n">
        <v>178</v>
      </c>
      <c r="H1564" s="57" t="n">
        <f aca="false">MAX(0,IF(AND(Parameter!$B$21="Ja",ISNUMBER(Y1564)),Y1564,IF(Parameter!$B$20="Jahresanfang 2025 + Export",BL1564+BK1564,BK1564)))</f>
        <v>10</v>
      </c>
      <c r="I1564" s="57" t="n">
        <f aca="false">H1564*G1564</f>
        <v>1780</v>
      </c>
      <c r="J1564" s="57" t="n">
        <f aca="false">BN1564*Parameter!$B$18</f>
        <v>0</v>
      </c>
      <c r="K1564" s="58"/>
      <c r="L1564" s="59"/>
      <c r="M1564" s="57" t="n">
        <v>0</v>
      </c>
      <c r="N1564" s="57" t="n">
        <v>1</v>
      </c>
      <c r="O1564" s="60" t="n">
        <v>0</v>
      </c>
      <c r="P1564" s="55" t="s">
        <v>168</v>
      </c>
      <c r="Q1564" s="57"/>
      <c r="R1564" s="60" t="n">
        <f aca="false">IF(BT1564=1,0,IFERROR(VLOOKUP(BR1564,'Gebinde-Kategorie'!$A$5:$M$45,13,0)+0,0))</f>
        <v>12</v>
      </c>
      <c r="S1564" s="61"/>
      <c r="T1564" s="62" t="s">
        <v>179</v>
      </c>
      <c r="U1564" s="62"/>
      <c r="V1564" s="62"/>
      <c r="W1564" s="55"/>
      <c r="X1564" s="57"/>
      <c r="Y1564" s="57"/>
      <c r="Z1564" s="55" t="n">
        <f aca="false">IF(A1564="","",IF(AND(Parameter!$B$21="Ja",ISNUMBER(W1564)),W1564,IF(BV1564="2+3",IF(ISNUMBER(SEARCH("grosser Artikel",BO1564)),2,IFERROR(VLOOKUP(BR1564,Parameter!$F$35:$G$64,2,0),2)),IF(OR(BV1564="Nein",BV1564=""),"-",BV1564))))</f>
        <v>2</v>
      </c>
      <c r="AA1564" s="62"/>
      <c r="AB1564" s="63"/>
      <c r="AC1564" s="57" t="n">
        <f aca="false">AR1564</f>
        <v>10</v>
      </c>
      <c r="AD1564" s="57" t="n">
        <f aca="false">MAX(AR1564,H1564)</f>
        <v>10</v>
      </c>
      <c r="AE1564" s="64"/>
      <c r="AF1564" s="57" t="n">
        <f aca="false">IF(LEFT(Cockpit!$C$5,1)="A",H1564,IF(CA1564=1,CB1564,IF(LEFT(Cockpit!$C$5,1)="B",AJ1564,MAX(AJ1564,H1564))))</f>
        <v>10</v>
      </c>
      <c r="AG1564" s="57" t="n">
        <f aca="false">IF(BT1564=1,0,ROUNDUP(AF1564/BS1564,0))</f>
        <v>1</v>
      </c>
      <c r="AH1564" s="59" t="n">
        <f aca="false">IF(CH1564&gt;0,CH1564*MAX(1,AF1564/X1564),IF(BT1564=1,IF(AF1564&lt;=0,0,BW1564*MAX(1,IF(H1564&gt;0,AF1564/H1564,1))),IF(R1564&gt;0,AG1564/R1564,0))/MAX(0.1,N(Parameter!$M$21)))</f>
        <v>0.0833333333333333</v>
      </c>
      <c r="AI1564" s="57" t="n">
        <f aca="false">AF1564*G1564</f>
        <v>1780</v>
      </c>
      <c r="AJ1564" s="57" t="n">
        <f aca="false">ROUNDUP(MAX(J1564/IF(BZ1564&gt;0,BZ1564,MAX(0.1,N(Cockpit!$C$6))),CC1564)/BS1564,0)*BS1564</f>
        <v>10</v>
      </c>
      <c r="AK1564" s="58" t="n">
        <f aca="false">IF(AH1564&gt;0,J1564/AH1564,-1)</f>
        <v>0</v>
      </c>
      <c r="AL1564" s="58" t="n">
        <f aca="false">IF(AND(OR(BY1564="L1",BY1564="L23"),AH1564&gt;0),SUMIFS($AH$7:$AH$1843,$BY$7:$BY$1843,BY1564,$AK$7:$AK$1843,"&gt;"&amp;AK1564)+SUMIFS($AH$7:$AH$1843,$BY$7:$BY$1843,BY1564,$AK$7:$AK$1843,AK1564,$BQ$7:$BQ$1843,"&lt;="&amp;BQ1564),"")</f>
        <v>83.8409428735516</v>
      </c>
      <c r="AM1564" s="65" t="n">
        <f aca="false">IF(AL1564="",0,MAX(0,MIN(1,(IF(BY1564="L1",Parameter!$E$5,Parameter!$E$6+Parameter!$E$7)-(AL1564-AH1564))/AH1564)))</f>
        <v>1</v>
      </c>
      <c r="AN1564" s="57" t="n">
        <f aca="false">IF(LEFT(Cockpit!$I$5,1)="A",H1564,IF(CA1564=1,CB1564,IF(LEFT(Cockpit!$I$5,1)="B",AR1564,MAX(AR1564,H1564))))</f>
        <v>10</v>
      </c>
      <c r="AO1564" s="57" t="n">
        <f aca="false">IF(BT1564=1,0,ROUNDUP(AN1564/BS1564,0))</f>
        <v>1</v>
      </c>
      <c r="AP1564" s="59" t="n">
        <f aca="false">IF(CH1564&gt;0,CH1564*MAX(1,AN1564/X1564),IF(BT1564=1,IF(AN1564&lt;=0,0,BW1564*MAX(1,IF(H1564&gt;0,AN1564/H1564,1))),IF(R1564&gt;0,AO1564/R1564,0))/MAX(0.1,N(Parameter!$M$21)))</f>
        <v>0.0833333333333333</v>
      </c>
      <c r="AQ1564" s="57" t="n">
        <f aca="false">AN1564*G1564</f>
        <v>1780</v>
      </c>
      <c r="AR1564" s="57" t="n">
        <f aca="false">ROUNDUP(MAX(J1564/IF(BZ1564&gt;0,BZ1564,MAX(0.1,N(Cockpit!$I$6))),CC1564)/BS1564,0)*BS1564</f>
        <v>10</v>
      </c>
      <c r="AS1564" s="58" t="n">
        <f aca="false">IF(AP1564&gt;0,J1564/AP1564,-1)</f>
        <v>0</v>
      </c>
      <c r="AT1564" s="58" t="n">
        <f aca="false">IF(AND(OR(BY1564="L1",BY1564="L23"),AP1564&gt;0),SUMIFS($AP$7:$AP$1843,$BY$7:$BY$1843,BY1564,$AS$7:$AS$1843,"&gt;"&amp;AS1564)+SUMIFS($AP$7:$AP$1843,$BY$7:$BY$1843,BY1564,$AS$7:$AS$1843,AS1564,$BQ$7:$BQ$1843,"&lt;="&amp;BQ1564),"")</f>
        <v>129.093079625688</v>
      </c>
      <c r="AU1564" s="65" t="n">
        <f aca="false">IF(AT1564="",0,MAX(0,MIN(1,(IF(BY1564="L1",Parameter!$E$5,Parameter!$E$6+Parameter!$E$7)-(AT1564-AP1564))/AP1564)))</f>
        <v>0</v>
      </c>
      <c r="AV1564" s="57" t="n">
        <f aca="false">IF(LEFT(Cockpit!$O$5,1)="A",H1564,IF(CA1564=1,CB1564,IF(LEFT(Cockpit!$O$5,1)="B",AZ1564,MAX(AZ1564,H1564))))</f>
        <v>10</v>
      </c>
      <c r="AW1564" s="57" t="n">
        <f aca="false">IF(BT1564=1,0,ROUNDUP(AV1564/BS1564,0))</f>
        <v>1</v>
      </c>
      <c r="AX1564" s="59" t="n">
        <f aca="false">IF(CH1564&gt;0,CH1564*MAX(1,AV1564/X1564),IF(BT1564=1,IF(AV1564&lt;=0,0,BW1564*MAX(1,IF(H1564&gt;0,AV1564/H1564,1))),IF(R1564&gt;0,AW1564/R1564,0))/MAX(0.1,N(Parameter!$M$21)))</f>
        <v>0.0833333333333333</v>
      </c>
      <c r="AY1564" s="57" t="n">
        <f aca="false">AV1564*G1564</f>
        <v>1780</v>
      </c>
      <c r="AZ1564" s="57" t="n">
        <f aca="false">ROUNDUP(MAX(J1564/IF(BZ1564&gt;0,BZ1564,MAX(0.1,N(Cockpit!$O$6))),CC1564)/BS1564,0)*BS1564</f>
        <v>10</v>
      </c>
      <c r="BA1564" s="58" t="n">
        <f aca="false">IF(AX1564&gt;0,J1564/AX1564,-1)</f>
        <v>0</v>
      </c>
      <c r="BB1564" s="58" t="n">
        <f aca="false">IF(AND(OR(BY1564="L1",BY1564="L23"),AX1564&gt;0),SUMIFS($AX$7:$AX$1843,$BY$7:$BY$1843,BY1564,$BA$7:$BA$1843,"&gt;"&amp;BA1564)+SUMIFS($AX$7:$AX$1843,$BY$7:$BY$1843,BY1564,$BA$7:$BA$1843,BA1564,$BQ$7:$BQ$1843,"&lt;="&amp;BQ1564),"")</f>
        <v>119.922916455525</v>
      </c>
      <c r="BC1564" s="65" t="n">
        <f aca="false">IF(BB1564="",0,MAX(0,MIN(1,(IF(BY1564="L1",Parameter!$E$5,Parameter!$E$6+Parameter!$E$7)-(BB1564-AX1564))/AX1564)))</f>
        <v>0</v>
      </c>
      <c r="BD1564" s="55" t="str">
        <f aca="false">IF(AH1564&lt;=0,"",IF(BY1564="Aussen","Aussenlager",IF(BY1564="-","Nicht im Lift",IF(AM1564&gt;=1,"Lift",IF(AM1564&lt;=0,"Aussenlager","teilweise")))))</f>
        <v>Lift</v>
      </c>
      <c r="BE1564" s="55" t="str">
        <f aca="false">IF(AP1564&lt;=0,"",IF(BY1564="Aussen","Aussenlager",IF(BY1564="-","Nicht im Lift",IF(AU1564&gt;=1,"Lift",IF(AU1564&lt;=0,"Aussenlager","teilweise")))))</f>
        <v>Aussenlager</v>
      </c>
      <c r="BF1564" s="55" t="str">
        <f aca="false">IF(AX1564&lt;=0,"",IF(BY1564="Aussen","Aussenlager",IF(BY1564="-","Nicht im Lift",IF(BC1564&gt;=1,"Lift",IF(BC1564&lt;=0,"Aussenlager","teilweise")))))</f>
        <v>Aussenlager</v>
      </c>
      <c r="BG1564" s="55" t="str">
        <f aca="false">IF(A1564="","",IF(BP1564=1,"Neu; ","")&amp;IF(AND(BP1564=0,BK1564&lt;0),"negativer Bestand (Export "&amp;BK1564&amp;"); ","")&amp;IF(J1564&lt;=0,"Kein Verbrauch; ","")&amp;IF(CH1564&gt;0,"Lift "&amp;W1564&amp;" lt. Liftbericht (Fach "&amp;X1564&amp;" Stk); ",IF(BU1564=1,"Gebinde geschätzt ("&amp;T1564&amp;"); ",IF(BT1564=1,"Lose – Tablare geschätzt; ","")))&amp;IF(H1564&gt;AR1564,"Überbestand "&amp;ROUND(H1564-AR1564,0)&amp;" Stk / CHF "&amp;ROUND((H1564-AR1564)*G1564,0)&amp;"; ","")&amp;IF(AND(CA1564=1,CB1564&lt;CC1564),"MAX &lt; MB+LG; ","")&amp;IF(AND(CG1564&gt;0,CF1564*10&gt;CG1564),"zu hoch für Tablar; ","")&amp;IF(AND(BP1564=0,OR(CA1564=1,AA1564&lt;&gt;"",U1564&lt;&gt;"",V1564&lt;&gt;"",AB1564&lt;&gt;"")),"manuell übersteuert; ","")&amp;IF(AND(BT1564=0,R1564=0),"Gebinde unbekannt / Stellmass fehlt; ","")&amp;IF(AND(BT1564=0,N(V1564)&lt;=0,N(Q1564)&lt;=0),"Menge pro Gebinde fehlt (Ist = 1 Gebinde); ","")&amp;BO1564)</f>
        <v>Kein Verbrauch; Gebinde geschätzt (Mittel); Menge pro Gebinde fehlt (Ist = 1 Gebinde); nur im Artikelstamm (Bestand 23.06.2026)</v>
      </c>
      <c r="BH1564" s="55"/>
      <c r="BI1564" s="55"/>
      <c r="BJ1564" s="62"/>
      <c r="BK1564" s="57" t="n">
        <v>10</v>
      </c>
      <c r="BL1564" s="57" t="n">
        <v>0</v>
      </c>
      <c r="BM1564" s="56" t="n">
        <v>0</v>
      </c>
      <c r="BN1564" s="57" t="n">
        <v>0</v>
      </c>
      <c r="BO1564" s="55" t="s">
        <v>2575</v>
      </c>
      <c r="BP1564" s="60" t="n">
        <v>0</v>
      </c>
      <c r="BQ1564" s="60" t="n">
        <v>1564</v>
      </c>
      <c r="BR1564" s="55" t="str">
        <f aca="false">IF(U1564&lt;&gt;"",UPPER(TRIM(U1564)),IF(BU1564=1,UPPER(VLOOKUP(T1564,Parameter!$I$27:$K$29,2,0)),IF(P1564="","LOSE",P1564)))</f>
        <v>S61</v>
      </c>
      <c r="BS1564" s="57" t="n">
        <f aca="false">IF(BR1564="LOSE",1,IF(N(V1564)&gt;0,V1564,IF(BU1564=1,MAX(1,N(VLOOKUP(T1564,Parameter!$I$27:$K$29,3,0)),H1564,N(N1564)),IF(N(Q1564)&gt;0,Q1564,MAX(1,H1564)))))</f>
        <v>10</v>
      </c>
      <c r="BT1564" s="60" t="n">
        <f aca="false">IF(BR1564="LOSE",1,0)</f>
        <v>0</v>
      </c>
      <c r="BU1564" s="60" t="n">
        <f aca="false">IF(AND(U1564="",OR(P1564="",P1564="LOSE"),T1564&lt;&gt;"",N(S1564)&lt;=0,ISNUMBER(MATCH(T1564,Parameter!$I$27:$I$29,0))),1,0)</f>
        <v>1</v>
      </c>
      <c r="BV1564" s="55" t="str">
        <f aca="false">IF(AND(Parameter!$B$19="Ja",E1564&lt;&gt;"",ISNUMBER(MATCH(E1564,Parameter!$I$35:$I$52,0))),VLOOKUP(E1564,Parameter!$I$35:$J$52,2,0),IFERROR(VLOOKUP(D1564,Parameter!$A$35:$C$64,2,0),"Nein"))</f>
        <v>2+3</v>
      </c>
      <c r="BW1564" s="59" t="n">
        <f aca="false">IF(BT1564=0,0,IF(N(S1564)&gt;0,S1564,IFERROR(VLOOKUP(D1564,Parameter!$A$35:$C$64,3,0)+0,0)))</f>
        <v>0</v>
      </c>
      <c r="BX1564" s="55" t="n">
        <f aca="false">IF(AA1564&lt;&gt;"",AA1564,Z1564)</f>
        <v>2</v>
      </c>
      <c r="BY1564" s="55" t="str">
        <f aca="false">IF(BX1564=1,"L1",IF(OR(BX1564=2,BX1564=3),"L23",IF(BX1564="Aussen","Aussen","-")))</f>
        <v>L23</v>
      </c>
      <c r="BZ1564" s="66" t="n">
        <f aca="false">IF(N(AB1564)&gt;0,AB1564,0)</f>
        <v>0</v>
      </c>
      <c r="CA1564" s="60" t="n">
        <f aca="false">IF(ISNUMBER(AE1564),1,0)</f>
        <v>0</v>
      </c>
      <c r="CB1564" s="57" t="n">
        <f aca="false">N(AE1564)</f>
        <v>0</v>
      </c>
      <c r="CC1564" s="57" t="n">
        <f aca="false">N(M1564)+N(N1564)</f>
        <v>1</v>
      </c>
      <c r="CD1564" s="57" t="n">
        <f aca="false">ROUNDUP(H1564/BS1564,0)</f>
        <v>1</v>
      </c>
      <c r="CE1564" s="57" t="n">
        <f aca="false">ROUNDUP(CB1564/BS1564,0)</f>
        <v>0</v>
      </c>
      <c r="CF1564" s="60" t="n">
        <f aca="false">IF(BT1564=1,0,IFERROR(VLOOKUP(BR1564,'Gebinde-Kategorie'!$A$5:$M$45,5,0)+0,0))</f>
        <v>11</v>
      </c>
      <c r="CG1564" s="60" t="n">
        <f aca="false">IFERROR(IF(OR(BX1564=1,BX1564=2,BX1564=3),N(INDEX(Parameter!$I$5:$I$7,BX1564)),0),0)</f>
        <v>0</v>
      </c>
      <c r="CH1564" s="59" t="n">
        <f aca="false">IF(AND(Parameter!$B$21="Ja",ISNUMBER(W1564),N(X1564)&gt;0),IFERROR(N(INDEX(Parameter!$L$5:$L$7,W1564))*INDEX(Parameter!$E$5:$E$7,W1564)*X1564/SUMIFS($X$7:$X$1843,$W$7:$W$1843,W1564),0),0)</f>
        <v>0</v>
      </c>
    </row>
    <row r="1565" customFormat="false" ht="15" hidden="false" customHeight="false" outlineLevel="0" collapsed="false">
      <c r="A1565" s="55" t="s">
        <v>2734</v>
      </c>
      <c r="B1565" s="55" t="s">
        <v>1441</v>
      </c>
      <c r="C1565" s="55" t="s">
        <v>164</v>
      </c>
      <c r="D1565" s="55" t="s">
        <v>173</v>
      </c>
      <c r="E1565" s="55" t="s">
        <v>173</v>
      </c>
      <c r="F1565" s="55"/>
      <c r="G1565" s="56" t="n">
        <v>407.15</v>
      </c>
      <c r="H1565" s="57" t="n">
        <f aca="false">MAX(0,IF(AND(Parameter!$B$21="Ja",ISNUMBER(Y1565)),Y1565,IF(Parameter!$B$20="Jahresanfang 2025 + Export",BL1565+BK1565,BK1565)))</f>
        <v>2</v>
      </c>
      <c r="I1565" s="57" t="n">
        <f aca="false">H1565*G1565</f>
        <v>814.3</v>
      </c>
      <c r="J1565" s="57" t="n">
        <f aca="false">BN1565*Parameter!$B$18</f>
        <v>0</v>
      </c>
      <c r="K1565" s="58"/>
      <c r="L1565" s="59"/>
      <c r="M1565" s="57" t="n">
        <v>0</v>
      </c>
      <c r="N1565" s="57" t="n">
        <v>1</v>
      </c>
      <c r="O1565" s="60" t="n">
        <v>28</v>
      </c>
      <c r="P1565" s="55" t="s">
        <v>168</v>
      </c>
      <c r="Q1565" s="57"/>
      <c r="R1565" s="60" t="n">
        <f aca="false">IF(BT1565=1,0,IFERROR(VLOOKUP(BR1565,'Gebinde-Kategorie'!$A$5:$M$45,13,0)+0,0))</f>
        <v>12</v>
      </c>
      <c r="S1565" s="61"/>
      <c r="T1565" s="62" t="s">
        <v>179</v>
      </c>
      <c r="U1565" s="62"/>
      <c r="V1565" s="62"/>
      <c r="W1565" s="55"/>
      <c r="X1565" s="57"/>
      <c r="Y1565" s="57"/>
      <c r="Z1565" s="55" t="str">
        <f aca="false">IF(A1565="","",IF(AND(Parameter!$B$21="Ja",ISNUMBER(W1565)),W1565,IF(BV1565="2+3",IF(ISNUMBER(SEARCH("grosser Artikel",BO1565)),2,IFERROR(VLOOKUP(BR1565,Parameter!$F$35:$G$64,2,0),2)),IF(OR(BV1565="Nein",BV1565=""),"-",BV1565))))</f>
        <v>-</v>
      </c>
      <c r="AA1565" s="62"/>
      <c r="AB1565" s="63"/>
      <c r="AC1565" s="57" t="n">
        <f aca="false">AR1565</f>
        <v>4</v>
      </c>
      <c r="AD1565" s="57" t="n">
        <f aca="false">MAX(AR1565,H1565)</f>
        <v>4</v>
      </c>
      <c r="AE1565" s="64"/>
      <c r="AF1565" s="57" t="n">
        <f aca="false">IF(LEFT(Cockpit!$C$5,1)="A",H1565,IF(CA1565=1,CB1565,IF(LEFT(Cockpit!$C$5,1)="B",AJ1565,MAX(AJ1565,H1565))))</f>
        <v>2</v>
      </c>
      <c r="AG1565" s="57" t="n">
        <f aca="false">IF(BT1565=1,0,ROUNDUP(AF1565/BS1565,0))</f>
        <v>1</v>
      </c>
      <c r="AH1565" s="59" t="n">
        <f aca="false">IF(CH1565&gt;0,CH1565*MAX(1,AF1565/X1565),IF(BT1565=1,IF(AF1565&lt;=0,0,BW1565*MAX(1,IF(H1565&gt;0,AF1565/H1565,1))),IF(R1565&gt;0,AG1565/R1565,0))/MAX(0.1,N(Parameter!$M$21)))</f>
        <v>0.0833333333333333</v>
      </c>
      <c r="AI1565" s="57" t="n">
        <f aca="false">AF1565*G1565</f>
        <v>814.3</v>
      </c>
      <c r="AJ1565" s="57" t="n">
        <f aca="false">ROUNDUP(MAX(J1565/IF(BZ1565&gt;0,BZ1565,MAX(0.1,N(Cockpit!$C$6))),CC1565)/BS1565,0)*BS1565</f>
        <v>4</v>
      </c>
      <c r="AK1565" s="58" t="n">
        <f aca="false">IF(AH1565&gt;0,J1565/AH1565,-1)</f>
        <v>0</v>
      </c>
      <c r="AL1565" s="58" t="str">
        <f aca="false">IF(AND(OR(BY1565="L1",BY1565="L23"),AH1565&gt;0),SUMIFS($AH$7:$AH$1843,$BY$7:$BY$1843,BY1565,$AK$7:$AK$1843,"&gt;"&amp;AK1565)+SUMIFS($AH$7:$AH$1843,$BY$7:$BY$1843,BY1565,$AK$7:$AK$1843,AK1565,$BQ$7:$BQ$1843,"&lt;="&amp;BQ1565),"")</f>
        <v/>
      </c>
      <c r="AM1565" s="65" t="n">
        <f aca="false">IF(AL1565="",0,MAX(0,MIN(1,(IF(BY1565="L1",Parameter!$E$5,Parameter!$E$6+Parameter!$E$7)-(AL1565-AH1565))/AH1565)))</f>
        <v>0</v>
      </c>
      <c r="AN1565" s="57" t="n">
        <f aca="false">IF(LEFT(Cockpit!$I$5,1)="A",H1565,IF(CA1565=1,CB1565,IF(LEFT(Cockpit!$I$5,1)="B",AR1565,MAX(AR1565,H1565))))</f>
        <v>4</v>
      </c>
      <c r="AO1565" s="57" t="n">
        <f aca="false">IF(BT1565=1,0,ROUNDUP(AN1565/BS1565,0))</f>
        <v>1</v>
      </c>
      <c r="AP1565" s="59" t="n">
        <f aca="false">IF(CH1565&gt;0,CH1565*MAX(1,AN1565/X1565),IF(BT1565=1,IF(AN1565&lt;=0,0,BW1565*MAX(1,IF(H1565&gt;0,AN1565/H1565,1))),IF(R1565&gt;0,AO1565/R1565,0))/MAX(0.1,N(Parameter!$M$21)))</f>
        <v>0.0833333333333333</v>
      </c>
      <c r="AQ1565" s="57" t="n">
        <f aca="false">AN1565*G1565</f>
        <v>1628.6</v>
      </c>
      <c r="AR1565" s="57" t="n">
        <f aca="false">ROUNDUP(MAX(J1565/IF(BZ1565&gt;0,BZ1565,MAX(0.1,N(Cockpit!$I$6))),CC1565)/BS1565,0)*BS1565</f>
        <v>4</v>
      </c>
      <c r="AS1565" s="58" t="n">
        <f aca="false">IF(AP1565&gt;0,J1565/AP1565,-1)</f>
        <v>0</v>
      </c>
      <c r="AT1565" s="58" t="str">
        <f aca="false">IF(AND(OR(BY1565="L1",BY1565="L23"),AP1565&gt;0),SUMIFS($AP$7:$AP$1843,$BY$7:$BY$1843,BY1565,$AS$7:$AS$1843,"&gt;"&amp;AS1565)+SUMIFS($AP$7:$AP$1843,$BY$7:$BY$1843,BY1565,$AS$7:$AS$1843,AS1565,$BQ$7:$BQ$1843,"&lt;="&amp;BQ1565),"")</f>
        <v/>
      </c>
      <c r="AU1565" s="65" t="n">
        <f aca="false">IF(AT1565="",0,MAX(0,MIN(1,(IF(BY1565="L1",Parameter!$E$5,Parameter!$E$6+Parameter!$E$7)-(AT1565-AP1565))/AP1565)))</f>
        <v>0</v>
      </c>
      <c r="AV1565" s="57" t="n">
        <f aca="false">IF(LEFT(Cockpit!$O$5,1)="A",H1565,IF(CA1565=1,CB1565,IF(LEFT(Cockpit!$O$5,1)="B",AZ1565,MAX(AZ1565,H1565))))</f>
        <v>4</v>
      </c>
      <c r="AW1565" s="57" t="n">
        <f aca="false">IF(BT1565=1,0,ROUNDUP(AV1565/BS1565,0))</f>
        <v>1</v>
      </c>
      <c r="AX1565" s="59" t="n">
        <f aca="false">IF(CH1565&gt;0,CH1565*MAX(1,AV1565/X1565),IF(BT1565=1,IF(AV1565&lt;=0,0,BW1565*MAX(1,IF(H1565&gt;0,AV1565/H1565,1))),IF(R1565&gt;0,AW1565/R1565,0))/MAX(0.1,N(Parameter!$M$21)))</f>
        <v>0.0833333333333333</v>
      </c>
      <c r="AY1565" s="57" t="n">
        <f aca="false">AV1565*G1565</f>
        <v>1628.6</v>
      </c>
      <c r="AZ1565" s="57" t="n">
        <f aca="false">ROUNDUP(MAX(J1565/IF(BZ1565&gt;0,BZ1565,MAX(0.1,N(Cockpit!$O$6))),CC1565)/BS1565,0)*BS1565</f>
        <v>4</v>
      </c>
      <c r="BA1565" s="58" t="n">
        <f aca="false">IF(AX1565&gt;0,J1565/AX1565,-1)</f>
        <v>0</v>
      </c>
      <c r="BB1565" s="58" t="str">
        <f aca="false">IF(AND(OR(BY1565="L1",BY1565="L23"),AX1565&gt;0),SUMIFS($AX$7:$AX$1843,$BY$7:$BY$1843,BY1565,$BA$7:$BA$1843,"&gt;"&amp;BA1565)+SUMIFS($AX$7:$AX$1843,$BY$7:$BY$1843,BY1565,$BA$7:$BA$1843,BA1565,$BQ$7:$BQ$1843,"&lt;="&amp;BQ1565),"")</f>
        <v/>
      </c>
      <c r="BC1565" s="65" t="n">
        <f aca="false">IF(BB1565="",0,MAX(0,MIN(1,(IF(BY1565="L1",Parameter!$E$5,Parameter!$E$6+Parameter!$E$7)-(BB1565-AX1565))/AX1565)))</f>
        <v>0</v>
      </c>
      <c r="BD1565" s="55" t="str">
        <f aca="false">IF(AH1565&lt;=0,"",IF(BY1565="Aussen","Aussenlager",IF(BY1565="-","Nicht im Lift",IF(AM1565&gt;=1,"Lift",IF(AM1565&lt;=0,"Aussenlager","teilweise")))))</f>
        <v>Nicht im Lift</v>
      </c>
      <c r="BE1565" s="55" t="str">
        <f aca="false">IF(AP1565&lt;=0,"",IF(BY1565="Aussen","Aussenlager",IF(BY1565="-","Nicht im Lift",IF(AU1565&gt;=1,"Lift",IF(AU1565&lt;=0,"Aussenlager","teilweise")))))</f>
        <v>Nicht im Lift</v>
      </c>
      <c r="BF1565" s="55" t="str">
        <f aca="false">IF(AX1565&lt;=0,"",IF(BY1565="Aussen","Aussenlager",IF(BY1565="-","Nicht im Lift",IF(BC1565&gt;=1,"Lift",IF(BC1565&lt;=0,"Aussenlager","teilweise")))))</f>
        <v>Nicht im Lift</v>
      </c>
      <c r="BG1565" s="55" t="str">
        <f aca="false">IF(A1565="","",IF(BP1565=1,"Neu; ","")&amp;IF(AND(BP1565=0,BK1565&lt;0),"negativer Bestand (Export "&amp;BK1565&amp;"); ","")&amp;IF(J1565&lt;=0,"Kein Verbrauch; ","")&amp;IF(CH1565&gt;0,"Lift "&amp;W1565&amp;" lt. Liftbericht (Fach "&amp;X1565&amp;" Stk); ",IF(BU1565=1,"Gebinde geschätzt ("&amp;T1565&amp;"); ",IF(BT1565=1,"Lose – Tablare geschätzt; ","")))&amp;IF(H1565&gt;AR1565,"Überbestand "&amp;ROUND(H1565-AR1565,0)&amp;" Stk / CHF "&amp;ROUND((H1565-AR1565)*G1565,0)&amp;"; ","")&amp;IF(AND(CA1565=1,CB1565&lt;CC1565),"MAX &lt; MB+LG; ","")&amp;IF(AND(CG1565&gt;0,CF1565*10&gt;CG1565),"zu hoch für Tablar; ","")&amp;IF(AND(BP1565=0,OR(CA1565=1,AA1565&lt;&gt;"",U1565&lt;&gt;"",V1565&lt;&gt;"",AB1565&lt;&gt;"")),"manuell übersteuert; ","")&amp;IF(AND(BT1565=0,R1565=0),"Gebinde unbekannt / Stellmass fehlt; ","")&amp;IF(AND(BT1565=0,N(V1565)&lt;=0,N(Q1565)&lt;=0),"Menge pro Gebinde fehlt (Ist = 1 Gebinde); ","")&amp;BO1565)</f>
        <v>Kein Verbrauch; Gebinde geschätzt (Mittel); Menge pro Gebinde fehlt (Ist = 1 Gebinde); nur im Artikelstamm (Bestand 23.06.2026)</v>
      </c>
      <c r="BH1565" s="55"/>
      <c r="BI1565" s="55"/>
      <c r="BJ1565" s="62"/>
      <c r="BK1565" s="57" t="n">
        <v>2</v>
      </c>
      <c r="BL1565" s="57" t="n">
        <v>0</v>
      </c>
      <c r="BM1565" s="56" t="n">
        <v>0</v>
      </c>
      <c r="BN1565" s="57" t="n">
        <v>0</v>
      </c>
      <c r="BO1565" s="55" t="s">
        <v>2575</v>
      </c>
      <c r="BP1565" s="60" t="n">
        <v>0</v>
      </c>
      <c r="BQ1565" s="60" t="n">
        <v>1565</v>
      </c>
      <c r="BR1565" s="55" t="str">
        <f aca="false">IF(U1565&lt;&gt;"",UPPER(TRIM(U1565)),IF(BU1565=1,UPPER(VLOOKUP(T1565,Parameter!$I$27:$K$29,2,0)),IF(P1565="","LOSE",P1565)))</f>
        <v>S61</v>
      </c>
      <c r="BS1565" s="57" t="n">
        <f aca="false">IF(BR1565="LOSE",1,IF(N(V1565)&gt;0,V1565,IF(BU1565=1,MAX(1,N(VLOOKUP(T1565,Parameter!$I$27:$K$29,3,0)),H1565,N(N1565)),IF(N(Q1565)&gt;0,Q1565,MAX(1,H1565)))))</f>
        <v>4</v>
      </c>
      <c r="BT1565" s="60" t="n">
        <f aca="false">IF(BR1565="LOSE",1,0)</f>
        <v>0</v>
      </c>
      <c r="BU1565" s="60" t="n">
        <f aca="false">IF(AND(U1565="",OR(P1565="",P1565="LOSE"),T1565&lt;&gt;"",N(S1565)&lt;=0,ISNUMBER(MATCH(T1565,Parameter!$I$27:$I$29,0))),1,0)</f>
        <v>1</v>
      </c>
      <c r="BV1565" s="55" t="str">
        <f aca="false">IF(AND(Parameter!$B$19="Ja",E1565&lt;&gt;"",ISNUMBER(MATCH(E1565,Parameter!$I$35:$I$52,0))),VLOOKUP(E1565,Parameter!$I$35:$J$52,2,0),IFERROR(VLOOKUP(D1565,Parameter!$A$35:$C$64,2,0),"Nein"))</f>
        <v>Nein</v>
      </c>
      <c r="BW1565" s="59" t="n">
        <f aca="false">IF(BT1565=0,0,IF(N(S1565)&gt;0,S1565,IFERROR(VLOOKUP(D1565,Parameter!$A$35:$C$64,3,0)+0,0)))</f>
        <v>0</v>
      </c>
      <c r="BX1565" s="55" t="str">
        <f aca="false">IF(AA1565&lt;&gt;"",AA1565,Z1565)</f>
        <v>-</v>
      </c>
      <c r="BY1565" s="55" t="str">
        <f aca="false">IF(BX1565=1,"L1",IF(OR(BX1565=2,BX1565=3),"L23",IF(BX1565="Aussen","Aussen","-")))</f>
        <v>-</v>
      </c>
      <c r="BZ1565" s="66" t="n">
        <f aca="false">IF(N(AB1565)&gt;0,AB1565,0)</f>
        <v>0</v>
      </c>
      <c r="CA1565" s="60" t="n">
        <f aca="false">IF(ISNUMBER(AE1565),1,0)</f>
        <v>0</v>
      </c>
      <c r="CB1565" s="57" t="n">
        <f aca="false">N(AE1565)</f>
        <v>0</v>
      </c>
      <c r="CC1565" s="57" t="n">
        <f aca="false">N(M1565)+N(N1565)</f>
        <v>1</v>
      </c>
      <c r="CD1565" s="57" t="n">
        <f aca="false">ROUNDUP(H1565/BS1565,0)</f>
        <v>1</v>
      </c>
      <c r="CE1565" s="57" t="n">
        <f aca="false">ROUNDUP(CB1565/BS1565,0)</f>
        <v>0</v>
      </c>
      <c r="CF1565" s="60" t="n">
        <f aca="false">IF(BT1565=1,0,IFERROR(VLOOKUP(BR1565,'Gebinde-Kategorie'!$A$5:$M$45,5,0)+0,0))</f>
        <v>11</v>
      </c>
      <c r="CG1565" s="60" t="n">
        <f aca="false">IFERROR(IF(OR(BX1565=1,BX1565=2,BX1565=3),N(INDEX(Parameter!$I$5:$I$7,BX1565)),0),0)</f>
        <v>0</v>
      </c>
      <c r="CH1565" s="59" t="n">
        <f aca="false">IF(AND(Parameter!$B$21="Ja",ISNUMBER(W1565),N(X1565)&gt;0),IFERROR(N(INDEX(Parameter!$L$5:$L$7,W1565))*INDEX(Parameter!$E$5:$E$7,W1565)*X1565/SUMIFS($X$7:$X$1843,$W$7:$W$1843,W1565),0),0)</f>
        <v>0</v>
      </c>
    </row>
    <row r="1566" customFormat="false" ht="15" hidden="false" customHeight="false" outlineLevel="0" collapsed="false">
      <c r="A1566" s="55" t="s">
        <v>2735</v>
      </c>
      <c r="B1566" s="55" t="s">
        <v>2736</v>
      </c>
      <c r="C1566" s="55" t="s">
        <v>164</v>
      </c>
      <c r="D1566" s="55" t="s">
        <v>184</v>
      </c>
      <c r="E1566" s="55"/>
      <c r="F1566" s="55"/>
      <c r="G1566" s="56" t="n">
        <v>28</v>
      </c>
      <c r="H1566" s="57" t="n">
        <f aca="false">MAX(0,IF(AND(Parameter!$B$21="Ja",ISNUMBER(Y1566)),Y1566,IF(Parameter!$B$20="Jahresanfang 2025 + Export",BL1566+BK1566,BK1566)))</f>
        <v>17</v>
      </c>
      <c r="I1566" s="57" t="n">
        <f aca="false">H1566*G1566</f>
        <v>476</v>
      </c>
      <c r="J1566" s="57" t="n">
        <f aca="false">BN1566*Parameter!$B$18</f>
        <v>0</v>
      </c>
      <c r="K1566" s="58"/>
      <c r="L1566" s="59"/>
      <c r="M1566" s="57" t="n">
        <v>0</v>
      </c>
      <c r="N1566" s="57" t="n">
        <v>10</v>
      </c>
      <c r="O1566" s="60" t="n">
        <v>21</v>
      </c>
      <c r="P1566" s="55" t="s">
        <v>168</v>
      </c>
      <c r="Q1566" s="57"/>
      <c r="R1566" s="60" t="n">
        <f aca="false">IF(BT1566=1,0,IFERROR(VLOOKUP(BR1566,'Gebinde-Kategorie'!$A$5:$M$45,13,0)+0,0))</f>
        <v>12</v>
      </c>
      <c r="S1566" s="61"/>
      <c r="T1566" s="62" t="s">
        <v>179</v>
      </c>
      <c r="U1566" s="62"/>
      <c r="V1566" s="62"/>
      <c r="W1566" s="55"/>
      <c r="X1566" s="57"/>
      <c r="Y1566" s="57"/>
      <c r="Z1566" s="55" t="n">
        <f aca="false">IF(A1566="","",IF(AND(Parameter!$B$21="Ja",ISNUMBER(W1566)),W1566,IF(BV1566="2+3",IF(ISNUMBER(SEARCH("grosser Artikel",BO1566)),2,IFERROR(VLOOKUP(BR1566,Parameter!$F$35:$G$64,2,0),2)),IF(OR(BV1566="Nein",BV1566=""),"-",BV1566))))</f>
        <v>2</v>
      </c>
      <c r="AA1566" s="62"/>
      <c r="AB1566" s="63"/>
      <c r="AC1566" s="57" t="n">
        <f aca="false">AR1566</f>
        <v>17</v>
      </c>
      <c r="AD1566" s="57" t="n">
        <f aca="false">MAX(AR1566,H1566)</f>
        <v>17</v>
      </c>
      <c r="AE1566" s="64"/>
      <c r="AF1566" s="57" t="n">
        <f aca="false">IF(LEFT(Cockpit!$C$5,1)="A",H1566,IF(CA1566=1,CB1566,IF(LEFT(Cockpit!$C$5,1)="B",AJ1566,MAX(AJ1566,H1566))))</f>
        <v>17</v>
      </c>
      <c r="AG1566" s="57" t="n">
        <f aca="false">IF(BT1566=1,0,ROUNDUP(AF1566/BS1566,0))</f>
        <v>1</v>
      </c>
      <c r="AH1566" s="59" t="n">
        <f aca="false">IF(CH1566&gt;0,CH1566*MAX(1,AF1566/X1566),IF(BT1566=1,IF(AF1566&lt;=0,0,BW1566*MAX(1,IF(H1566&gt;0,AF1566/H1566,1))),IF(R1566&gt;0,AG1566/R1566,0))/MAX(0.1,N(Parameter!$M$21)))</f>
        <v>0.0833333333333333</v>
      </c>
      <c r="AI1566" s="57" t="n">
        <f aca="false">AF1566*G1566</f>
        <v>476</v>
      </c>
      <c r="AJ1566" s="57" t="n">
        <f aca="false">ROUNDUP(MAX(J1566/IF(BZ1566&gt;0,BZ1566,MAX(0.1,N(Cockpit!$C$6))),CC1566)/BS1566,0)*BS1566</f>
        <v>17</v>
      </c>
      <c r="AK1566" s="58" t="n">
        <f aca="false">IF(AH1566&gt;0,J1566/AH1566,-1)</f>
        <v>0</v>
      </c>
      <c r="AL1566" s="58" t="n">
        <f aca="false">IF(AND(OR(BY1566="L1",BY1566="L23"),AH1566&gt;0),SUMIFS($AH$7:$AH$1843,$BY$7:$BY$1843,BY1566,$AK$7:$AK$1843,"&gt;"&amp;AK1566)+SUMIFS($AH$7:$AH$1843,$BY$7:$BY$1843,BY1566,$AK$7:$AK$1843,AK1566,$BQ$7:$BQ$1843,"&lt;="&amp;BQ1566),"")</f>
        <v>83.9242762068849</v>
      </c>
      <c r="AM1566" s="65" t="n">
        <f aca="false">IF(AL1566="",0,MAX(0,MIN(1,(IF(BY1566="L1",Parameter!$E$5,Parameter!$E$6+Parameter!$E$7)-(AL1566-AH1566))/AH1566)))</f>
        <v>1</v>
      </c>
      <c r="AN1566" s="57" t="n">
        <f aca="false">IF(LEFT(Cockpit!$I$5,1)="A",H1566,IF(CA1566=1,CB1566,IF(LEFT(Cockpit!$I$5,1)="B",AR1566,MAX(AR1566,H1566))))</f>
        <v>17</v>
      </c>
      <c r="AO1566" s="57" t="n">
        <f aca="false">IF(BT1566=1,0,ROUNDUP(AN1566/BS1566,0))</f>
        <v>1</v>
      </c>
      <c r="AP1566" s="59" t="n">
        <f aca="false">IF(CH1566&gt;0,CH1566*MAX(1,AN1566/X1566),IF(BT1566=1,IF(AN1566&lt;=0,0,BW1566*MAX(1,IF(H1566&gt;0,AN1566/H1566,1))),IF(R1566&gt;0,AO1566/R1566,0))/MAX(0.1,N(Parameter!$M$21)))</f>
        <v>0.0833333333333333</v>
      </c>
      <c r="AQ1566" s="57" t="n">
        <f aca="false">AN1566*G1566</f>
        <v>476</v>
      </c>
      <c r="AR1566" s="57" t="n">
        <f aca="false">ROUNDUP(MAX(J1566/IF(BZ1566&gt;0,BZ1566,MAX(0.1,N(Cockpit!$I$6))),CC1566)/BS1566,0)*BS1566</f>
        <v>17</v>
      </c>
      <c r="AS1566" s="58" t="n">
        <f aca="false">IF(AP1566&gt;0,J1566/AP1566,-1)</f>
        <v>0</v>
      </c>
      <c r="AT1566" s="58" t="n">
        <f aca="false">IF(AND(OR(BY1566="L1",BY1566="L23"),AP1566&gt;0),SUMIFS($AP$7:$AP$1843,$BY$7:$BY$1843,BY1566,$AS$7:$AS$1843,"&gt;"&amp;AS1566)+SUMIFS($AP$7:$AP$1843,$BY$7:$BY$1843,BY1566,$AS$7:$AS$1843,AS1566,$BQ$7:$BQ$1843,"&lt;="&amp;BQ1566),"")</f>
        <v>129.176412959022</v>
      </c>
      <c r="AU1566" s="65" t="n">
        <f aca="false">IF(AT1566="",0,MAX(0,MIN(1,(IF(BY1566="L1",Parameter!$E$5,Parameter!$E$6+Parameter!$E$7)-(AT1566-AP1566))/AP1566)))</f>
        <v>0</v>
      </c>
      <c r="AV1566" s="57" t="n">
        <f aca="false">IF(LEFT(Cockpit!$O$5,1)="A",H1566,IF(CA1566=1,CB1566,IF(LEFT(Cockpit!$O$5,1)="B",AZ1566,MAX(AZ1566,H1566))))</f>
        <v>17</v>
      </c>
      <c r="AW1566" s="57" t="n">
        <f aca="false">IF(BT1566=1,0,ROUNDUP(AV1566/BS1566,0))</f>
        <v>1</v>
      </c>
      <c r="AX1566" s="59" t="n">
        <f aca="false">IF(CH1566&gt;0,CH1566*MAX(1,AV1566/X1566),IF(BT1566=1,IF(AV1566&lt;=0,0,BW1566*MAX(1,IF(H1566&gt;0,AV1566/H1566,1))),IF(R1566&gt;0,AW1566/R1566,0))/MAX(0.1,N(Parameter!$M$21)))</f>
        <v>0.0833333333333333</v>
      </c>
      <c r="AY1566" s="57" t="n">
        <f aca="false">AV1566*G1566</f>
        <v>476</v>
      </c>
      <c r="AZ1566" s="57" t="n">
        <f aca="false">ROUNDUP(MAX(J1566/IF(BZ1566&gt;0,BZ1566,MAX(0.1,N(Cockpit!$O$6))),CC1566)/BS1566,0)*BS1566</f>
        <v>17</v>
      </c>
      <c r="BA1566" s="58" t="n">
        <f aca="false">IF(AX1566&gt;0,J1566/AX1566,-1)</f>
        <v>0</v>
      </c>
      <c r="BB1566" s="58" t="n">
        <f aca="false">IF(AND(OR(BY1566="L1",BY1566="L23"),AX1566&gt;0),SUMIFS($AX$7:$AX$1843,$BY$7:$BY$1843,BY1566,$BA$7:$BA$1843,"&gt;"&amp;BA1566)+SUMIFS($AX$7:$AX$1843,$BY$7:$BY$1843,BY1566,$BA$7:$BA$1843,BA1566,$BQ$7:$BQ$1843,"&lt;="&amp;BQ1566),"")</f>
        <v>120.006249788858</v>
      </c>
      <c r="BC1566" s="65" t="n">
        <f aca="false">IF(BB1566="",0,MAX(0,MIN(1,(IF(BY1566="L1",Parameter!$E$5,Parameter!$E$6+Parameter!$E$7)-(BB1566-AX1566))/AX1566)))</f>
        <v>0</v>
      </c>
      <c r="BD1566" s="55" t="str">
        <f aca="false">IF(AH1566&lt;=0,"",IF(BY1566="Aussen","Aussenlager",IF(BY1566="-","Nicht im Lift",IF(AM1566&gt;=1,"Lift",IF(AM1566&lt;=0,"Aussenlager","teilweise")))))</f>
        <v>Lift</v>
      </c>
      <c r="BE1566" s="55" t="str">
        <f aca="false">IF(AP1566&lt;=0,"",IF(BY1566="Aussen","Aussenlager",IF(BY1566="-","Nicht im Lift",IF(AU1566&gt;=1,"Lift",IF(AU1566&lt;=0,"Aussenlager","teilweise")))))</f>
        <v>Aussenlager</v>
      </c>
      <c r="BF1566" s="55" t="str">
        <f aca="false">IF(AX1566&lt;=0,"",IF(BY1566="Aussen","Aussenlager",IF(BY1566="-","Nicht im Lift",IF(BC1566&gt;=1,"Lift",IF(BC1566&lt;=0,"Aussenlager","teilweise")))))</f>
        <v>Aussenlager</v>
      </c>
      <c r="BG1566" s="55" t="str">
        <f aca="false">IF(A1566="","",IF(BP1566=1,"Neu; ","")&amp;IF(AND(BP1566=0,BK1566&lt;0),"negativer Bestand (Export "&amp;BK1566&amp;"); ","")&amp;IF(J1566&lt;=0,"Kein Verbrauch; ","")&amp;IF(CH1566&gt;0,"Lift "&amp;W1566&amp;" lt. Liftbericht (Fach "&amp;X1566&amp;" Stk); ",IF(BU1566=1,"Gebinde geschätzt ("&amp;T1566&amp;"); ",IF(BT1566=1,"Lose – Tablare geschätzt; ","")))&amp;IF(H1566&gt;AR1566,"Überbestand "&amp;ROUND(H1566-AR1566,0)&amp;" Stk / CHF "&amp;ROUND((H1566-AR1566)*G1566,0)&amp;"; ","")&amp;IF(AND(CA1566=1,CB1566&lt;CC1566),"MAX &lt; MB+LG; ","")&amp;IF(AND(CG1566&gt;0,CF1566*10&gt;CG1566),"zu hoch für Tablar; ","")&amp;IF(AND(BP1566=0,OR(CA1566=1,AA1566&lt;&gt;"",U1566&lt;&gt;"",V1566&lt;&gt;"",AB1566&lt;&gt;"")),"manuell übersteuert; ","")&amp;IF(AND(BT1566=0,R1566=0),"Gebinde unbekannt / Stellmass fehlt; ","")&amp;IF(AND(BT1566=0,N(V1566)&lt;=0,N(Q1566)&lt;=0),"Menge pro Gebinde fehlt (Ist = 1 Gebinde); ","")&amp;BO1566)</f>
        <v>Kein Verbrauch; Gebinde geschätzt (Mittel); Menge pro Gebinde fehlt (Ist = 1 Gebinde); nur im Artikelstamm (Bestand 23.06.2026)</v>
      </c>
      <c r="BH1566" s="55"/>
      <c r="BI1566" s="55"/>
      <c r="BJ1566" s="62"/>
      <c r="BK1566" s="57" t="n">
        <v>17</v>
      </c>
      <c r="BL1566" s="57" t="n">
        <v>0</v>
      </c>
      <c r="BM1566" s="56" t="n">
        <v>0</v>
      </c>
      <c r="BN1566" s="57" t="n">
        <v>0</v>
      </c>
      <c r="BO1566" s="55" t="s">
        <v>2575</v>
      </c>
      <c r="BP1566" s="60" t="n">
        <v>0</v>
      </c>
      <c r="BQ1566" s="60" t="n">
        <v>1566</v>
      </c>
      <c r="BR1566" s="55" t="str">
        <f aca="false">IF(U1566&lt;&gt;"",UPPER(TRIM(U1566)),IF(BU1566=1,UPPER(VLOOKUP(T1566,Parameter!$I$27:$K$29,2,0)),IF(P1566="","LOSE",P1566)))</f>
        <v>S61</v>
      </c>
      <c r="BS1566" s="57" t="n">
        <f aca="false">IF(BR1566="LOSE",1,IF(N(V1566)&gt;0,V1566,IF(BU1566=1,MAX(1,N(VLOOKUP(T1566,Parameter!$I$27:$K$29,3,0)),H1566,N(N1566)),IF(N(Q1566)&gt;0,Q1566,MAX(1,H1566)))))</f>
        <v>17</v>
      </c>
      <c r="BT1566" s="60" t="n">
        <f aca="false">IF(BR1566="LOSE",1,0)</f>
        <v>0</v>
      </c>
      <c r="BU1566" s="60" t="n">
        <f aca="false">IF(AND(U1566="",OR(P1566="",P1566="LOSE"),T1566&lt;&gt;"",N(S1566)&lt;=0,ISNUMBER(MATCH(T1566,Parameter!$I$27:$I$29,0))),1,0)</f>
        <v>1</v>
      </c>
      <c r="BV1566" s="55" t="str">
        <f aca="false">IF(AND(Parameter!$B$19="Ja",E1566&lt;&gt;"",ISNUMBER(MATCH(E1566,Parameter!$I$35:$I$52,0))),VLOOKUP(E1566,Parameter!$I$35:$J$52,2,0),IFERROR(VLOOKUP(D1566,Parameter!$A$35:$C$64,2,0),"Nein"))</f>
        <v>2+3</v>
      </c>
      <c r="BW1566" s="59" t="n">
        <f aca="false">IF(BT1566=0,0,IF(N(S1566)&gt;0,S1566,IFERROR(VLOOKUP(D1566,Parameter!$A$35:$C$64,3,0)+0,0)))</f>
        <v>0</v>
      </c>
      <c r="BX1566" s="55" t="n">
        <f aca="false">IF(AA1566&lt;&gt;"",AA1566,Z1566)</f>
        <v>2</v>
      </c>
      <c r="BY1566" s="55" t="str">
        <f aca="false">IF(BX1566=1,"L1",IF(OR(BX1566=2,BX1566=3),"L23",IF(BX1566="Aussen","Aussen","-")))</f>
        <v>L23</v>
      </c>
      <c r="BZ1566" s="66" t="n">
        <f aca="false">IF(N(AB1566)&gt;0,AB1566,0)</f>
        <v>0</v>
      </c>
      <c r="CA1566" s="60" t="n">
        <f aca="false">IF(ISNUMBER(AE1566),1,0)</f>
        <v>0</v>
      </c>
      <c r="CB1566" s="57" t="n">
        <f aca="false">N(AE1566)</f>
        <v>0</v>
      </c>
      <c r="CC1566" s="57" t="n">
        <f aca="false">N(M1566)+N(N1566)</f>
        <v>10</v>
      </c>
      <c r="CD1566" s="57" t="n">
        <f aca="false">ROUNDUP(H1566/BS1566,0)</f>
        <v>1</v>
      </c>
      <c r="CE1566" s="57" t="n">
        <f aca="false">ROUNDUP(CB1566/BS1566,0)</f>
        <v>0</v>
      </c>
      <c r="CF1566" s="60" t="n">
        <f aca="false">IF(BT1566=1,0,IFERROR(VLOOKUP(BR1566,'Gebinde-Kategorie'!$A$5:$M$45,5,0)+0,0))</f>
        <v>11</v>
      </c>
      <c r="CG1566" s="60" t="n">
        <f aca="false">IFERROR(IF(OR(BX1566=1,BX1566=2,BX1566=3),N(INDEX(Parameter!$I$5:$I$7,BX1566)),0),0)</f>
        <v>0</v>
      </c>
      <c r="CH1566" s="59" t="n">
        <f aca="false">IF(AND(Parameter!$B$21="Ja",ISNUMBER(W1566),N(X1566)&gt;0),IFERROR(N(INDEX(Parameter!$L$5:$L$7,W1566))*INDEX(Parameter!$E$5:$E$7,W1566)*X1566/SUMIFS($X$7:$X$1843,$W$7:$W$1843,W1566),0),0)</f>
        <v>0</v>
      </c>
    </row>
    <row r="1567" customFormat="false" ht="15" hidden="false" customHeight="false" outlineLevel="0" collapsed="false">
      <c r="A1567" s="55" t="s">
        <v>2737</v>
      </c>
      <c r="B1567" s="55" t="s">
        <v>2738</v>
      </c>
      <c r="C1567" s="55" t="s">
        <v>164</v>
      </c>
      <c r="D1567" s="55" t="s">
        <v>184</v>
      </c>
      <c r="E1567" s="55"/>
      <c r="F1567" s="55"/>
      <c r="G1567" s="56" t="n">
        <v>100</v>
      </c>
      <c r="H1567" s="57" t="n">
        <f aca="false">MAX(0,IF(AND(Parameter!$B$21="Ja",ISNUMBER(Y1567)),Y1567,IF(Parameter!$B$20="Jahresanfang 2025 + Export",BL1567+BK1567,BK1567)))</f>
        <v>7</v>
      </c>
      <c r="I1567" s="57" t="n">
        <f aca="false">H1567*G1567</f>
        <v>700</v>
      </c>
      <c r="J1567" s="57" t="n">
        <f aca="false">BN1567*Parameter!$B$18</f>
        <v>0</v>
      </c>
      <c r="K1567" s="58"/>
      <c r="L1567" s="59"/>
      <c r="M1567" s="57" t="n">
        <v>0</v>
      </c>
      <c r="N1567" s="57" t="n">
        <v>5</v>
      </c>
      <c r="O1567" s="60" t="n">
        <v>21</v>
      </c>
      <c r="P1567" s="55" t="s">
        <v>168</v>
      </c>
      <c r="Q1567" s="57"/>
      <c r="R1567" s="60" t="n">
        <f aca="false">IF(BT1567=1,0,IFERROR(VLOOKUP(BR1567,'Gebinde-Kategorie'!$A$5:$M$45,13,0)+0,0))</f>
        <v>12</v>
      </c>
      <c r="S1567" s="61"/>
      <c r="T1567" s="62" t="s">
        <v>179</v>
      </c>
      <c r="U1567" s="62"/>
      <c r="V1567" s="62"/>
      <c r="W1567" s="55"/>
      <c r="X1567" s="57"/>
      <c r="Y1567" s="57"/>
      <c r="Z1567" s="55" t="n">
        <f aca="false">IF(A1567="","",IF(AND(Parameter!$B$21="Ja",ISNUMBER(W1567)),W1567,IF(BV1567="2+3",IF(ISNUMBER(SEARCH("grosser Artikel",BO1567)),2,IFERROR(VLOOKUP(BR1567,Parameter!$F$35:$G$64,2,0),2)),IF(OR(BV1567="Nein",BV1567=""),"-",BV1567))))</f>
        <v>2</v>
      </c>
      <c r="AA1567" s="62"/>
      <c r="AB1567" s="63"/>
      <c r="AC1567" s="57" t="n">
        <f aca="false">AR1567</f>
        <v>7</v>
      </c>
      <c r="AD1567" s="57" t="n">
        <f aca="false">MAX(AR1567,H1567)</f>
        <v>7</v>
      </c>
      <c r="AE1567" s="64"/>
      <c r="AF1567" s="57" t="n">
        <f aca="false">IF(LEFT(Cockpit!$C$5,1)="A",H1567,IF(CA1567=1,CB1567,IF(LEFT(Cockpit!$C$5,1)="B",AJ1567,MAX(AJ1567,H1567))))</f>
        <v>7</v>
      </c>
      <c r="AG1567" s="57" t="n">
        <f aca="false">IF(BT1567=1,0,ROUNDUP(AF1567/BS1567,0))</f>
        <v>1</v>
      </c>
      <c r="AH1567" s="59" t="n">
        <f aca="false">IF(CH1567&gt;0,CH1567*MAX(1,AF1567/X1567),IF(BT1567=1,IF(AF1567&lt;=0,0,BW1567*MAX(1,IF(H1567&gt;0,AF1567/H1567,1))),IF(R1567&gt;0,AG1567/R1567,0))/MAX(0.1,N(Parameter!$M$21)))</f>
        <v>0.0833333333333333</v>
      </c>
      <c r="AI1567" s="57" t="n">
        <f aca="false">AF1567*G1567</f>
        <v>700</v>
      </c>
      <c r="AJ1567" s="57" t="n">
        <f aca="false">ROUNDUP(MAX(J1567/IF(BZ1567&gt;0,BZ1567,MAX(0.1,N(Cockpit!$C$6))),CC1567)/BS1567,0)*BS1567</f>
        <v>7</v>
      </c>
      <c r="AK1567" s="58" t="n">
        <f aca="false">IF(AH1567&gt;0,J1567/AH1567,-1)</f>
        <v>0</v>
      </c>
      <c r="AL1567" s="58" t="n">
        <f aca="false">IF(AND(OR(BY1567="L1",BY1567="L23"),AH1567&gt;0),SUMIFS($AH$7:$AH$1843,$BY$7:$BY$1843,BY1567,$AK$7:$AK$1843,"&gt;"&amp;AK1567)+SUMIFS($AH$7:$AH$1843,$BY$7:$BY$1843,BY1567,$AK$7:$AK$1843,AK1567,$BQ$7:$BQ$1843,"&lt;="&amp;BQ1567),"")</f>
        <v>84.0076095402182</v>
      </c>
      <c r="AM1567" s="65" t="n">
        <f aca="false">IF(AL1567="",0,MAX(0,MIN(1,(IF(BY1567="L1",Parameter!$E$5,Parameter!$E$6+Parameter!$E$7)-(AL1567-AH1567))/AH1567)))</f>
        <v>1</v>
      </c>
      <c r="AN1567" s="57" t="n">
        <f aca="false">IF(LEFT(Cockpit!$I$5,1)="A",H1567,IF(CA1567=1,CB1567,IF(LEFT(Cockpit!$I$5,1)="B",AR1567,MAX(AR1567,H1567))))</f>
        <v>7</v>
      </c>
      <c r="AO1567" s="57" t="n">
        <f aca="false">IF(BT1567=1,0,ROUNDUP(AN1567/BS1567,0))</f>
        <v>1</v>
      </c>
      <c r="AP1567" s="59" t="n">
        <f aca="false">IF(CH1567&gt;0,CH1567*MAX(1,AN1567/X1567),IF(BT1567=1,IF(AN1567&lt;=0,0,BW1567*MAX(1,IF(H1567&gt;0,AN1567/H1567,1))),IF(R1567&gt;0,AO1567/R1567,0))/MAX(0.1,N(Parameter!$M$21)))</f>
        <v>0.0833333333333333</v>
      </c>
      <c r="AQ1567" s="57" t="n">
        <f aca="false">AN1567*G1567</f>
        <v>700</v>
      </c>
      <c r="AR1567" s="57" t="n">
        <f aca="false">ROUNDUP(MAX(J1567/IF(BZ1567&gt;0,BZ1567,MAX(0.1,N(Cockpit!$I$6))),CC1567)/BS1567,0)*BS1567</f>
        <v>7</v>
      </c>
      <c r="AS1567" s="58" t="n">
        <f aca="false">IF(AP1567&gt;0,J1567/AP1567,-1)</f>
        <v>0</v>
      </c>
      <c r="AT1567" s="58" t="n">
        <f aca="false">IF(AND(OR(BY1567="L1",BY1567="L23"),AP1567&gt;0),SUMIFS($AP$7:$AP$1843,$BY$7:$BY$1843,BY1567,$AS$7:$AS$1843,"&gt;"&amp;AS1567)+SUMIFS($AP$7:$AP$1843,$BY$7:$BY$1843,BY1567,$AS$7:$AS$1843,AS1567,$BQ$7:$BQ$1843,"&lt;="&amp;BQ1567),"")</f>
        <v>129.259746292355</v>
      </c>
      <c r="AU1567" s="65" t="n">
        <f aca="false">IF(AT1567="",0,MAX(0,MIN(1,(IF(BY1567="L1",Parameter!$E$5,Parameter!$E$6+Parameter!$E$7)-(AT1567-AP1567))/AP1567)))</f>
        <v>0</v>
      </c>
      <c r="AV1567" s="57" t="n">
        <f aca="false">IF(LEFT(Cockpit!$O$5,1)="A",H1567,IF(CA1567=1,CB1567,IF(LEFT(Cockpit!$O$5,1)="B",AZ1567,MAX(AZ1567,H1567))))</f>
        <v>7</v>
      </c>
      <c r="AW1567" s="57" t="n">
        <f aca="false">IF(BT1567=1,0,ROUNDUP(AV1567/BS1567,0))</f>
        <v>1</v>
      </c>
      <c r="AX1567" s="59" t="n">
        <f aca="false">IF(CH1567&gt;0,CH1567*MAX(1,AV1567/X1567),IF(BT1567=1,IF(AV1567&lt;=0,0,BW1567*MAX(1,IF(H1567&gt;0,AV1567/H1567,1))),IF(R1567&gt;0,AW1567/R1567,0))/MAX(0.1,N(Parameter!$M$21)))</f>
        <v>0.0833333333333333</v>
      </c>
      <c r="AY1567" s="57" t="n">
        <f aca="false">AV1567*G1567</f>
        <v>700</v>
      </c>
      <c r="AZ1567" s="57" t="n">
        <f aca="false">ROUNDUP(MAX(J1567/IF(BZ1567&gt;0,BZ1567,MAX(0.1,N(Cockpit!$O$6))),CC1567)/BS1567,0)*BS1567</f>
        <v>7</v>
      </c>
      <c r="BA1567" s="58" t="n">
        <f aca="false">IF(AX1567&gt;0,J1567/AX1567,-1)</f>
        <v>0</v>
      </c>
      <c r="BB1567" s="58" t="n">
        <f aca="false">IF(AND(OR(BY1567="L1",BY1567="L23"),AX1567&gt;0),SUMIFS($AX$7:$AX$1843,$BY$7:$BY$1843,BY1567,$BA$7:$BA$1843,"&gt;"&amp;BA1567)+SUMIFS($AX$7:$AX$1843,$BY$7:$BY$1843,BY1567,$BA$7:$BA$1843,BA1567,$BQ$7:$BQ$1843,"&lt;="&amp;BQ1567),"")</f>
        <v>120.089583122192</v>
      </c>
      <c r="BC1567" s="65" t="n">
        <f aca="false">IF(BB1567="",0,MAX(0,MIN(1,(IF(BY1567="L1",Parameter!$E$5,Parameter!$E$6+Parameter!$E$7)-(BB1567-AX1567))/AX1567)))</f>
        <v>0</v>
      </c>
      <c r="BD1567" s="55" t="str">
        <f aca="false">IF(AH1567&lt;=0,"",IF(BY1567="Aussen","Aussenlager",IF(BY1567="-","Nicht im Lift",IF(AM1567&gt;=1,"Lift",IF(AM1567&lt;=0,"Aussenlager","teilweise")))))</f>
        <v>Lift</v>
      </c>
      <c r="BE1567" s="55" t="str">
        <f aca="false">IF(AP1567&lt;=0,"",IF(BY1567="Aussen","Aussenlager",IF(BY1567="-","Nicht im Lift",IF(AU1567&gt;=1,"Lift",IF(AU1567&lt;=0,"Aussenlager","teilweise")))))</f>
        <v>Aussenlager</v>
      </c>
      <c r="BF1567" s="55" t="str">
        <f aca="false">IF(AX1567&lt;=0,"",IF(BY1567="Aussen","Aussenlager",IF(BY1567="-","Nicht im Lift",IF(BC1567&gt;=1,"Lift",IF(BC1567&lt;=0,"Aussenlager","teilweise")))))</f>
        <v>Aussenlager</v>
      </c>
      <c r="BG1567" s="55" t="str">
        <f aca="false">IF(A1567="","",IF(BP1567=1,"Neu; ","")&amp;IF(AND(BP1567=0,BK1567&lt;0),"negativer Bestand (Export "&amp;BK1567&amp;"); ","")&amp;IF(J1567&lt;=0,"Kein Verbrauch; ","")&amp;IF(CH1567&gt;0,"Lift "&amp;W1567&amp;" lt. Liftbericht (Fach "&amp;X1567&amp;" Stk); ",IF(BU1567=1,"Gebinde geschätzt ("&amp;T1567&amp;"); ",IF(BT1567=1,"Lose – Tablare geschätzt; ","")))&amp;IF(H1567&gt;AR1567,"Überbestand "&amp;ROUND(H1567-AR1567,0)&amp;" Stk / CHF "&amp;ROUND((H1567-AR1567)*G1567,0)&amp;"; ","")&amp;IF(AND(CA1567=1,CB1567&lt;CC1567),"MAX &lt; MB+LG; ","")&amp;IF(AND(CG1567&gt;0,CF1567*10&gt;CG1567),"zu hoch für Tablar; ","")&amp;IF(AND(BP1567=0,OR(CA1567=1,AA1567&lt;&gt;"",U1567&lt;&gt;"",V1567&lt;&gt;"",AB1567&lt;&gt;"")),"manuell übersteuert; ","")&amp;IF(AND(BT1567=0,R1567=0),"Gebinde unbekannt / Stellmass fehlt; ","")&amp;IF(AND(BT1567=0,N(V1567)&lt;=0,N(Q1567)&lt;=0),"Menge pro Gebinde fehlt (Ist = 1 Gebinde); ","")&amp;BO1567)</f>
        <v>Kein Verbrauch; Gebinde geschätzt (Mittel); Menge pro Gebinde fehlt (Ist = 1 Gebinde); nur im Artikelstamm (Bestand 23.06.2026)</v>
      </c>
      <c r="BH1567" s="55"/>
      <c r="BI1567" s="55"/>
      <c r="BJ1567" s="62"/>
      <c r="BK1567" s="57" t="n">
        <v>7</v>
      </c>
      <c r="BL1567" s="57" t="n">
        <v>0</v>
      </c>
      <c r="BM1567" s="56" t="n">
        <v>0</v>
      </c>
      <c r="BN1567" s="57" t="n">
        <v>0</v>
      </c>
      <c r="BO1567" s="55" t="s">
        <v>2575</v>
      </c>
      <c r="BP1567" s="60" t="n">
        <v>0</v>
      </c>
      <c r="BQ1567" s="60" t="n">
        <v>1567</v>
      </c>
      <c r="BR1567" s="55" t="str">
        <f aca="false">IF(U1567&lt;&gt;"",UPPER(TRIM(U1567)),IF(BU1567=1,UPPER(VLOOKUP(T1567,Parameter!$I$27:$K$29,2,0)),IF(P1567="","LOSE",P1567)))</f>
        <v>S61</v>
      </c>
      <c r="BS1567" s="57" t="n">
        <f aca="false">IF(BR1567="LOSE",1,IF(N(V1567)&gt;0,V1567,IF(BU1567=1,MAX(1,N(VLOOKUP(T1567,Parameter!$I$27:$K$29,3,0)),H1567,N(N1567)),IF(N(Q1567)&gt;0,Q1567,MAX(1,H1567)))))</f>
        <v>7</v>
      </c>
      <c r="BT1567" s="60" t="n">
        <f aca="false">IF(BR1567="LOSE",1,0)</f>
        <v>0</v>
      </c>
      <c r="BU1567" s="60" t="n">
        <f aca="false">IF(AND(U1567="",OR(P1567="",P1567="LOSE"),T1567&lt;&gt;"",N(S1567)&lt;=0,ISNUMBER(MATCH(T1567,Parameter!$I$27:$I$29,0))),1,0)</f>
        <v>1</v>
      </c>
      <c r="BV1567" s="55" t="str">
        <f aca="false">IF(AND(Parameter!$B$19="Ja",E1567&lt;&gt;"",ISNUMBER(MATCH(E1567,Parameter!$I$35:$I$52,0))),VLOOKUP(E1567,Parameter!$I$35:$J$52,2,0),IFERROR(VLOOKUP(D1567,Parameter!$A$35:$C$64,2,0),"Nein"))</f>
        <v>2+3</v>
      </c>
      <c r="BW1567" s="59" t="n">
        <f aca="false">IF(BT1567=0,0,IF(N(S1567)&gt;0,S1567,IFERROR(VLOOKUP(D1567,Parameter!$A$35:$C$64,3,0)+0,0)))</f>
        <v>0</v>
      </c>
      <c r="BX1567" s="55" t="n">
        <f aca="false">IF(AA1567&lt;&gt;"",AA1567,Z1567)</f>
        <v>2</v>
      </c>
      <c r="BY1567" s="55" t="str">
        <f aca="false">IF(BX1567=1,"L1",IF(OR(BX1567=2,BX1567=3),"L23",IF(BX1567="Aussen","Aussen","-")))</f>
        <v>L23</v>
      </c>
      <c r="BZ1567" s="66" t="n">
        <f aca="false">IF(N(AB1567)&gt;0,AB1567,0)</f>
        <v>0</v>
      </c>
      <c r="CA1567" s="60" t="n">
        <f aca="false">IF(ISNUMBER(AE1567),1,0)</f>
        <v>0</v>
      </c>
      <c r="CB1567" s="57" t="n">
        <f aca="false">N(AE1567)</f>
        <v>0</v>
      </c>
      <c r="CC1567" s="57" t="n">
        <f aca="false">N(M1567)+N(N1567)</f>
        <v>5</v>
      </c>
      <c r="CD1567" s="57" t="n">
        <f aca="false">ROUNDUP(H1567/BS1567,0)</f>
        <v>1</v>
      </c>
      <c r="CE1567" s="57" t="n">
        <f aca="false">ROUNDUP(CB1567/BS1567,0)</f>
        <v>0</v>
      </c>
      <c r="CF1567" s="60" t="n">
        <f aca="false">IF(BT1567=1,0,IFERROR(VLOOKUP(BR1567,'Gebinde-Kategorie'!$A$5:$M$45,5,0)+0,0))</f>
        <v>11</v>
      </c>
      <c r="CG1567" s="60" t="n">
        <f aca="false">IFERROR(IF(OR(BX1567=1,BX1567=2,BX1567=3),N(INDEX(Parameter!$I$5:$I$7,BX1567)),0),0)</f>
        <v>0</v>
      </c>
      <c r="CH1567" s="59" t="n">
        <f aca="false">IF(AND(Parameter!$B$21="Ja",ISNUMBER(W1567),N(X1567)&gt;0),IFERROR(N(INDEX(Parameter!$L$5:$L$7,W1567))*INDEX(Parameter!$E$5:$E$7,W1567)*X1567/SUMIFS($X$7:$X$1843,$W$7:$W$1843,W1567),0),0)</f>
        <v>0</v>
      </c>
    </row>
    <row r="1568" customFormat="false" ht="15" hidden="false" customHeight="false" outlineLevel="0" collapsed="false">
      <c r="A1568" s="55" t="s">
        <v>2739</v>
      </c>
      <c r="B1568" s="55" t="s">
        <v>2740</v>
      </c>
      <c r="C1568" s="55" t="s">
        <v>164</v>
      </c>
      <c r="D1568" s="55" t="s">
        <v>184</v>
      </c>
      <c r="E1568" s="55"/>
      <c r="F1568" s="55"/>
      <c r="G1568" s="56" t="n">
        <v>143</v>
      </c>
      <c r="H1568" s="57" t="n">
        <f aca="false">MAX(0,IF(AND(Parameter!$B$21="Ja",ISNUMBER(Y1568)),Y1568,IF(Parameter!$B$20="Jahresanfang 2025 + Export",BL1568+BK1568,BK1568)))</f>
        <v>2</v>
      </c>
      <c r="I1568" s="57" t="n">
        <f aca="false">H1568*G1568</f>
        <v>286</v>
      </c>
      <c r="J1568" s="57" t="n">
        <f aca="false">BN1568*Parameter!$B$18</f>
        <v>0</v>
      </c>
      <c r="K1568" s="58"/>
      <c r="L1568" s="59"/>
      <c r="M1568" s="57" t="n">
        <v>0</v>
      </c>
      <c r="N1568" s="57" t="n">
        <v>10</v>
      </c>
      <c r="O1568" s="60" t="n">
        <v>35</v>
      </c>
      <c r="P1568" s="55" t="s">
        <v>168</v>
      </c>
      <c r="Q1568" s="57"/>
      <c r="R1568" s="60" t="n">
        <f aca="false">IF(BT1568=1,0,IFERROR(VLOOKUP(BR1568,'Gebinde-Kategorie'!$A$5:$M$45,13,0)+0,0))</f>
        <v>26</v>
      </c>
      <c r="S1568" s="61"/>
      <c r="T1568" s="62" t="s">
        <v>275</v>
      </c>
      <c r="U1568" s="62"/>
      <c r="V1568" s="62"/>
      <c r="W1568" s="55"/>
      <c r="X1568" s="57"/>
      <c r="Y1568" s="57"/>
      <c r="Z1568" s="55" t="n">
        <f aca="false">IF(A1568="","",IF(AND(Parameter!$B$21="Ja",ISNUMBER(W1568)),W1568,IF(BV1568="2+3",IF(ISNUMBER(SEARCH("grosser Artikel",BO1568)),2,IFERROR(VLOOKUP(BR1568,Parameter!$F$35:$G$64,2,0),2)),IF(OR(BV1568="Nein",BV1568=""),"-",BV1568))))</f>
        <v>3</v>
      </c>
      <c r="AA1568" s="62"/>
      <c r="AB1568" s="63"/>
      <c r="AC1568" s="57" t="n">
        <f aca="false">AR1568</f>
        <v>20</v>
      </c>
      <c r="AD1568" s="57" t="n">
        <f aca="false">MAX(AR1568,H1568)</f>
        <v>20</v>
      </c>
      <c r="AE1568" s="64"/>
      <c r="AF1568" s="57" t="n">
        <f aca="false">IF(LEFT(Cockpit!$C$5,1)="A",H1568,IF(CA1568=1,CB1568,IF(LEFT(Cockpit!$C$5,1)="B",AJ1568,MAX(AJ1568,H1568))))</f>
        <v>2</v>
      </c>
      <c r="AG1568" s="57" t="n">
        <f aca="false">IF(BT1568=1,0,ROUNDUP(AF1568/BS1568,0))</f>
        <v>1</v>
      </c>
      <c r="AH1568" s="59" t="n">
        <f aca="false">IF(CH1568&gt;0,CH1568*MAX(1,AF1568/X1568),IF(BT1568=1,IF(AF1568&lt;=0,0,BW1568*MAX(1,IF(H1568&gt;0,AF1568/H1568,1))),IF(R1568&gt;0,AG1568/R1568,0))/MAX(0.1,N(Parameter!$M$21)))</f>
        <v>0.0384615384615385</v>
      </c>
      <c r="AI1568" s="57" t="n">
        <f aca="false">AF1568*G1568</f>
        <v>286</v>
      </c>
      <c r="AJ1568" s="57" t="n">
        <f aca="false">ROUNDUP(MAX(J1568/IF(BZ1568&gt;0,BZ1568,MAX(0.1,N(Cockpit!$C$6))),CC1568)/BS1568,0)*BS1568</f>
        <v>20</v>
      </c>
      <c r="AK1568" s="58" t="n">
        <f aca="false">IF(AH1568&gt;0,J1568/AH1568,-1)</f>
        <v>0</v>
      </c>
      <c r="AL1568" s="58" t="n">
        <f aca="false">IF(AND(OR(BY1568="L1",BY1568="L23"),AH1568&gt;0),SUMIFS($AH$7:$AH$1843,$BY$7:$BY$1843,BY1568,$AK$7:$AK$1843,"&gt;"&amp;AK1568)+SUMIFS($AH$7:$AH$1843,$BY$7:$BY$1843,BY1568,$AK$7:$AK$1843,AK1568,$BQ$7:$BQ$1843,"&lt;="&amp;BQ1568),"")</f>
        <v>84.0460710786798</v>
      </c>
      <c r="AM1568" s="65" t="n">
        <f aca="false">IF(AL1568="",0,MAX(0,MIN(1,(IF(BY1568="L1",Parameter!$E$5,Parameter!$E$6+Parameter!$E$7)-(AL1568-AH1568))/AH1568)))</f>
        <v>1</v>
      </c>
      <c r="AN1568" s="57" t="n">
        <f aca="false">IF(LEFT(Cockpit!$I$5,1)="A",H1568,IF(CA1568=1,CB1568,IF(LEFT(Cockpit!$I$5,1)="B",AR1568,MAX(AR1568,H1568))))</f>
        <v>20</v>
      </c>
      <c r="AO1568" s="57" t="n">
        <f aca="false">IF(BT1568=1,0,ROUNDUP(AN1568/BS1568,0))</f>
        <v>1</v>
      </c>
      <c r="AP1568" s="59" t="n">
        <f aca="false">IF(CH1568&gt;0,CH1568*MAX(1,AN1568/X1568),IF(BT1568=1,IF(AN1568&lt;=0,0,BW1568*MAX(1,IF(H1568&gt;0,AN1568/H1568,1))),IF(R1568&gt;0,AO1568/R1568,0))/MAX(0.1,N(Parameter!$M$21)))</f>
        <v>0.0384615384615385</v>
      </c>
      <c r="AQ1568" s="57" t="n">
        <f aca="false">AN1568*G1568</f>
        <v>2860</v>
      </c>
      <c r="AR1568" s="57" t="n">
        <f aca="false">ROUNDUP(MAX(J1568/IF(BZ1568&gt;0,BZ1568,MAX(0.1,N(Cockpit!$I$6))),CC1568)/BS1568,0)*BS1568</f>
        <v>20</v>
      </c>
      <c r="AS1568" s="58" t="n">
        <f aca="false">IF(AP1568&gt;0,J1568/AP1568,-1)</f>
        <v>0</v>
      </c>
      <c r="AT1568" s="58" t="n">
        <f aca="false">IF(AND(OR(BY1568="L1",BY1568="L23"),AP1568&gt;0),SUMIFS($AP$7:$AP$1843,$BY$7:$BY$1843,BY1568,$AS$7:$AS$1843,"&gt;"&amp;AS1568)+SUMIFS($AP$7:$AP$1843,$BY$7:$BY$1843,BY1568,$AS$7:$AS$1843,AS1568,$BQ$7:$BQ$1843,"&lt;="&amp;BQ1568),"")</f>
        <v>129.298207830817</v>
      </c>
      <c r="AU1568" s="65" t="n">
        <f aca="false">IF(AT1568="",0,MAX(0,MIN(1,(IF(BY1568="L1",Parameter!$E$5,Parameter!$E$6+Parameter!$E$7)-(AT1568-AP1568))/AP1568)))</f>
        <v>0</v>
      </c>
      <c r="AV1568" s="57" t="n">
        <f aca="false">IF(LEFT(Cockpit!$O$5,1)="A",H1568,IF(CA1568=1,CB1568,IF(LEFT(Cockpit!$O$5,1)="B",AZ1568,MAX(AZ1568,H1568))))</f>
        <v>20</v>
      </c>
      <c r="AW1568" s="57" t="n">
        <f aca="false">IF(BT1568=1,0,ROUNDUP(AV1568/BS1568,0))</f>
        <v>1</v>
      </c>
      <c r="AX1568" s="59" t="n">
        <f aca="false">IF(CH1568&gt;0,CH1568*MAX(1,AV1568/X1568),IF(BT1568=1,IF(AV1568&lt;=0,0,BW1568*MAX(1,IF(H1568&gt;0,AV1568/H1568,1))),IF(R1568&gt;0,AW1568/R1568,0))/MAX(0.1,N(Parameter!$M$21)))</f>
        <v>0.0384615384615385</v>
      </c>
      <c r="AY1568" s="57" t="n">
        <f aca="false">AV1568*G1568</f>
        <v>2860</v>
      </c>
      <c r="AZ1568" s="57" t="n">
        <f aca="false">ROUNDUP(MAX(J1568/IF(BZ1568&gt;0,BZ1568,MAX(0.1,N(Cockpit!$O$6))),CC1568)/BS1568,0)*BS1568</f>
        <v>20</v>
      </c>
      <c r="BA1568" s="58" t="n">
        <f aca="false">IF(AX1568&gt;0,J1568/AX1568,-1)</f>
        <v>0</v>
      </c>
      <c r="BB1568" s="58" t="n">
        <f aca="false">IF(AND(OR(BY1568="L1",BY1568="L23"),AX1568&gt;0),SUMIFS($AX$7:$AX$1843,$BY$7:$BY$1843,BY1568,$BA$7:$BA$1843,"&gt;"&amp;BA1568)+SUMIFS($AX$7:$AX$1843,$BY$7:$BY$1843,BY1568,$BA$7:$BA$1843,BA1568,$BQ$7:$BQ$1843,"&lt;="&amp;BQ1568),"")</f>
        <v>120.128044660653</v>
      </c>
      <c r="BC1568" s="65" t="n">
        <f aca="false">IF(BB1568="",0,MAX(0,MIN(1,(IF(BY1568="L1",Parameter!$E$5,Parameter!$E$6+Parameter!$E$7)-(BB1568-AX1568))/AX1568)))</f>
        <v>0</v>
      </c>
      <c r="BD1568" s="55" t="str">
        <f aca="false">IF(AH1568&lt;=0,"",IF(BY1568="Aussen","Aussenlager",IF(BY1568="-","Nicht im Lift",IF(AM1568&gt;=1,"Lift",IF(AM1568&lt;=0,"Aussenlager","teilweise")))))</f>
        <v>Lift</v>
      </c>
      <c r="BE1568" s="55" t="str">
        <f aca="false">IF(AP1568&lt;=0,"",IF(BY1568="Aussen","Aussenlager",IF(BY1568="-","Nicht im Lift",IF(AU1568&gt;=1,"Lift",IF(AU1568&lt;=0,"Aussenlager","teilweise")))))</f>
        <v>Aussenlager</v>
      </c>
      <c r="BF1568" s="55" t="str">
        <f aca="false">IF(AX1568&lt;=0,"",IF(BY1568="Aussen","Aussenlager",IF(BY1568="-","Nicht im Lift",IF(BC1568&gt;=1,"Lift",IF(BC1568&lt;=0,"Aussenlager","teilweise")))))</f>
        <v>Aussenlager</v>
      </c>
      <c r="BG1568" s="55" t="str">
        <f aca="false">IF(A1568="","",IF(BP1568=1,"Neu; ","")&amp;IF(AND(BP1568=0,BK1568&lt;0),"negativer Bestand (Export "&amp;BK1568&amp;"); ","")&amp;IF(J1568&lt;=0,"Kein Verbrauch; ","")&amp;IF(CH1568&gt;0,"Lift "&amp;W1568&amp;" lt. Liftbericht (Fach "&amp;X1568&amp;" Stk); ",IF(BU1568=1,"Gebinde geschätzt ("&amp;T1568&amp;"); ",IF(BT1568=1,"Lose – Tablare geschätzt; ","")))&amp;IF(H1568&gt;AR1568,"Überbestand "&amp;ROUND(H1568-AR1568,0)&amp;" Stk / CHF "&amp;ROUND((H1568-AR1568)*G1568,0)&amp;"; ","")&amp;IF(AND(CA1568=1,CB1568&lt;CC1568),"MAX &lt; MB+LG; ","")&amp;IF(AND(CG1568&gt;0,CF1568*10&gt;CG1568),"zu hoch für Tablar; ","")&amp;IF(AND(BP1568=0,OR(CA1568=1,AA1568&lt;&gt;"",U1568&lt;&gt;"",V1568&lt;&gt;"",AB1568&lt;&gt;"")),"manuell übersteuert; ","")&amp;IF(AND(BT1568=0,R1568=0),"Gebinde unbekannt / Stellmass fehlt; ","")&amp;IF(AND(BT1568=0,N(V1568)&lt;=0,N(Q1568)&lt;=0),"Menge pro Gebinde fehlt (Ist = 1 Gebinde); ","")&amp;BO1568)</f>
        <v>Kein Verbrauch; Gebinde geschätzt (Klein); Menge pro Gebinde fehlt (Ist = 1 Gebinde); nur im Artikelstamm (Bestand 23.06.2026)</v>
      </c>
      <c r="BH1568" s="55"/>
      <c r="BI1568" s="55"/>
      <c r="BJ1568" s="62"/>
      <c r="BK1568" s="57" t="n">
        <v>2</v>
      </c>
      <c r="BL1568" s="57" t="n">
        <v>0</v>
      </c>
      <c r="BM1568" s="56" t="n">
        <v>0</v>
      </c>
      <c r="BN1568" s="57" t="n">
        <v>0</v>
      </c>
      <c r="BO1568" s="55" t="s">
        <v>2575</v>
      </c>
      <c r="BP1568" s="60" t="n">
        <v>0</v>
      </c>
      <c r="BQ1568" s="60" t="n">
        <v>1568</v>
      </c>
      <c r="BR1568" s="55" t="str">
        <f aca="false">IF(U1568&lt;&gt;"",UPPER(TRIM(U1568)),IF(BU1568=1,UPPER(VLOOKUP(T1568,Parameter!$I$27:$K$29,2,0)),IF(P1568="","LOSE",P1568)))</f>
        <v>S51</v>
      </c>
      <c r="BS1568" s="57" t="n">
        <f aca="false">IF(BR1568="LOSE",1,IF(N(V1568)&gt;0,V1568,IF(BU1568=1,MAX(1,N(VLOOKUP(T1568,Parameter!$I$27:$K$29,3,0)),H1568,N(N1568)),IF(N(Q1568)&gt;0,Q1568,MAX(1,H1568)))))</f>
        <v>20</v>
      </c>
      <c r="BT1568" s="60" t="n">
        <f aca="false">IF(BR1568="LOSE",1,0)</f>
        <v>0</v>
      </c>
      <c r="BU1568" s="60" t="n">
        <f aca="false">IF(AND(U1568="",OR(P1568="",P1568="LOSE"),T1568&lt;&gt;"",N(S1568)&lt;=0,ISNUMBER(MATCH(T1568,Parameter!$I$27:$I$29,0))),1,0)</f>
        <v>1</v>
      </c>
      <c r="BV1568" s="55" t="str">
        <f aca="false">IF(AND(Parameter!$B$19="Ja",E1568&lt;&gt;"",ISNUMBER(MATCH(E1568,Parameter!$I$35:$I$52,0))),VLOOKUP(E1568,Parameter!$I$35:$J$52,2,0),IFERROR(VLOOKUP(D1568,Parameter!$A$35:$C$64,2,0),"Nein"))</f>
        <v>2+3</v>
      </c>
      <c r="BW1568" s="59" t="n">
        <f aca="false">IF(BT1568=0,0,IF(N(S1568)&gt;0,S1568,IFERROR(VLOOKUP(D1568,Parameter!$A$35:$C$64,3,0)+0,0)))</f>
        <v>0</v>
      </c>
      <c r="BX1568" s="55" t="n">
        <f aca="false">IF(AA1568&lt;&gt;"",AA1568,Z1568)</f>
        <v>3</v>
      </c>
      <c r="BY1568" s="55" t="str">
        <f aca="false">IF(BX1568=1,"L1",IF(OR(BX1568=2,BX1568=3),"L23",IF(BX1568="Aussen","Aussen","-")))</f>
        <v>L23</v>
      </c>
      <c r="BZ1568" s="66" t="n">
        <f aca="false">IF(N(AB1568)&gt;0,AB1568,0)</f>
        <v>0</v>
      </c>
      <c r="CA1568" s="60" t="n">
        <f aca="false">IF(ISNUMBER(AE1568),1,0)</f>
        <v>0</v>
      </c>
      <c r="CB1568" s="57" t="n">
        <f aca="false">N(AE1568)</f>
        <v>0</v>
      </c>
      <c r="CC1568" s="57" t="n">
        <f aca="false">N(M1568)+N(N1568)</f>
        <v>10</v>
      </c>
      <c r="CD1568" s="57" t="n">
        <f aca="false">ROUNDUP(H1568/BS1568,0)</f>
        <v>1</v>
      </c>
      <c r="CE1568" s="57" t="n">
        <f aca="false">ROUNDUP(CB1568/BS1568,0)</f>
        <v>0</v>
      </c>
      <c r="CF1568" s="60" t="n">
        <f aca="false">IF(BT1568=1,0,IFERROR(VLOOKUP(BR1568,'Gebinde-Kategorie'!$A$5:$M$45,5,0)+0,0))</f>
        <v>11</v>
      </c>
      <c r="CG1568" s="60" t="n">
        <f aca="false">IFERROR(IF(OR(BX1568=1,BX1568=2,BX1568=3),N(INDEX(Parameter!$I$5:$I$7,BX1568)),0),0)</f>
        <v>0</v>
      </c>
      <c r="CH1568" s="59" t="n">
        <f aca="false">IF(AND(Parameter!$B$21="Ja",ISNUMBER(W1568),N(X1568)&gt;0),IFERROR(N(INDEX(Parameter!$L$5:$L$7,W1568))*INDEX(Parameter!$E$5:$E$7,W1568)*X1568/SUMIFS($X$7:$X$1843,$W$7:$W$1843,W1568),0),0)</f>
        <v>0</v>
      </c>
    </row>
    <row r="1569" customFormat="false" ht="15" hidden="false" customHeight="false" outlineLevel="0" collapsed="false">
      <c r="A1569" s="55" t="s">
        <v>2741</v>
      </c>
      <c r="B1569" s="55" t="s">
        <v>2742</v>
      </c>
      <c r="C1569" s="55" t="s">
        <v>164</v>
      </c>
      <c r="D1569" s="55" t="s">
        <v>184</v>
      </c>
      <c r="E1569" s="55"/>
      <c r="F1569" s="55"/>
      <c r="G1569" s="56" t="n">
        <v>37</v>
      </c>
      <c r="H1569" s="57" t="n">
        <f aca="false">MAX(0,IF(AND(Parameter!$B$21="Ja",ISNUMBER(Y1569)),Y1569,IF(Parameter!$B$20="Jahresanfang 2025 + Export",BL1569+BK1569,BK1569)))</f>
        <v>5</v>
      </c>
      <c r="I1569" s="57" t="n">
        <f aca="false">H1569*G1569</f>
        <v>185</v>
      </c>
      <c r="J1569" s="57" t="n">
        <f aca="false">BN1569*Parameter!$B$18</f>
        <v>0</v>
      </c>
      <c r="K1569" s="58"/>
      <c r="L1569" s="59"/>
      <c r="M1569" s="57" t="n">
        <v>0</v>
      </c>
      <c r="N1569" s="57" t="n">
        <v>2</v>
      </c>
      <c r="O1569" s="60" t="n">
        <v>21</v>
      </c>
      <c r="P1569" s="55" t="s">
        <v>168</v>
      </c>
      <c r="Q1569" s="57"/>
      <c r="R1569" s="60" t="n">
        <f aca="false">IF(BT1569=1,0,IFERROR(VLOOKUP(BR1569,'Gebinde-Kategorie'!$A$5:$M$45,13,0)+0,0))</f>
        <v>12</v>
      </c>
      <c r="S1569" s="61"/>
      <c r="T1569" s="62" t="s">
        <v>179</v>
      </c>
      <c r="U1569" s="62"/>
      <c r="V1569" s="62"/>
      <c r="W1569" s="55"/>
      <c r="X1569" s="57"/>
      <c r="Y1569" s="57"/>
      <c r="Z1569" s="55" t="n">
        <f aca="false">IF(A1569="","",IF(AND(Parameter!$B$21="Ja",ISNUMBER(W1569)),W1569,IF(BV1569="2+3",IF(ISNUMBER(SEARCH("grosser Artikel",BO1569)),2,IFERROR(VLOOKUP(BR1569,Parameter!$F$35:$G$64,2,0),2)),IF(OR(BV1569="Nein",BV1569=""),"-",BV1569))))</f>
        <v>2</v>
      </c>
      <c r="AA1569" s="62"/>
      <c r="AB1569" s="63"/>
      <c r="AC1569" s="57" t="n">
        <f aca="false">AR1569</f>
        <v>5</v>
      </c>
      <c r="AD1569" s="57" t="n">
        <f aca="false">MAX(AR1569,H1569)</f>
        <v>5</v>
      </c>
      <c r="AE1569" s="64"/>
      <c r="AF1569" s="57" t="n">
        <f aca="false">IF(LEFT(Cockpit!$C$5,1)="A",H1569,IF(CA1569=1,CB1569,IF(LEFT(Cockpit!$C$5,1)="B",AJ1569,MAX(AJ1569,H1569))))</f>
        <v>5</v>
      </c>
      <c r="AG1569" s="57" t="n">
        <f aca="false">IF(BT1569=1,0,ROUNDUP(AF1569/BS1569,0))</f>
        <v>1</v>
      </c>
      <c r="AH1569" s="59" t="n">
        <f aca="false">IF(CH1569&gt;0,CH1569*MAX(1,AF1569/X1569),IF(BT1569=1,IF(AF1569&lt;=0,0,BW1569*MAX(1,IF(H1569&gt;0,AF1569/H1569,1))),IF(R1569&gt;0,AG1569/R1569,0))/MAX(0.1,N(Parameter!$M$21)))</f>
        <v>0.0833333333333333</v>
      </c>
      <c r="AI1569" s="57" t="n">
        <f aca="false">AF1569*G1569</f>
        <v>185</v>
      </c>
      <c r="AJ1569" s="57" t="n">
        <f aca="false">ROUNDUP(MAX(J1569/IF(BZ1569&gt;0,BZ1569,MAX(0.1,N(Cockpit!$C$6))),CC1569)/BS1569,0)*BS1569</f>
        <v>5</v>
      </c>
      <c r="AK1569" s="58" t="n">
        <f aca="false">IF(AH1569&gt;0,J1569/AH1569,-1)</f>
        <v>0</v>
      </c>
      <c r="AL1569" s="58" t="n">
        <f aca="false">IF(AND(OR(BY1569="L1",BY1569="L23"),AH1569&gt;0),SUMIFS($AH$7:$AH$1843,$BY$7:$BY$1843,BY1569,$AK$7:$AK$1843,"&gt;"&amp;AK1569)+SUMIFS($AH$7:$AH$1843,$BY$7:$BY$1843,BY1569,$AK$7:$AK$1843,AK1569,$BQ$7:$BQ$1843,"&lt;="&amp;BQ1569),"")</f>
        <v>84.1294044120131</v>
      </c>
      <c r="AM1569" s="65" t="n">
        <f aca="false">IF(AL1569="",0,MAX(0,MIN(1,(IF(BY1569="L1",Parameter!$E$5,Parameter!$E$6+Parameter!$E$7)-(AL1569-AH1569))/AH1569)))</f>
        <v>1</v>
      </c>
      <c r="AN1569" s="57" t="n">
        <f aca="false">IF(LEFT(Cockpit!$I$5,1)="A",H1569,IF(CA1569=1,CB1569,IF(LEFT(Cockpit!$I$5,1)="B",AR1569,MAX(AR1569,H1569))))</f>
        <v>5</v>
      </c>
      <c r="AO1569" s="57" t="n">
        <f aca="false">IF(BT1569=1,0,ROUNDUP(AN1569/BS1569,0))</f>
        <v>1</v>
      </c>
      <c r="AP1569" s="59" t="n">
        <f aca="false">IF(CH1569&gt;0,CH1569*MAX(1,AN1569/X1569),IF(BT1569=1,IF(AN1569&lt;=0,0,BW1569*MAX(1,IF(H1569&gt;0,AN1569/H1569,1))),IF(R1569&gt;0,AO1569/R1569,0))/MAX(0.1,N(Parameter!$M$21)))</f>
        <v>0.0833333333333333</v>
      </c>
      <c r="AQ1569" s="57" t="n">
        <f aca="false">AN1569*G1569</f>
        <v>185</v>
      </c>
      <c r="AR1569" s="57" t="n">
        <f aca="false">ROUNDUP(MAX(J1569/IF(BZ1569&gt;0,BZ1569,MAX(0.1,N(Cockpit!$I$6))),CC1569)/BS1569,0)*BS1569</f>
        <v>5</v>
      </c>
      <c r="AS1569" s="58" t="n">
        <f aca="false">IF(AP1569&gt;0,J1569/AP1569,-1)</f>
        <v>0</v>
      </c>
      <c r="AT1569" s="58" t="n">
        <f aca="false">IF(AND(OR(BY1569="L1",BY1569="L23"),AP1569&gt;0),SUMIFS($AP$7:$AP$1843,$BY$7:$BY$1843,BY1569,$AS$7:$AS$1843,"&gt;"&amp;AS1569)+SUMIFS($AP$7:$AP$1843,$BY$7:$BY$1843,BY1569,$AS$7:$AS$1843,AS1569,$BQ$7:$BQ$1843,"&lt;="&amp;BQ1569),"")</f>
        <v>129.38154116415</v>
      </c>
      <c r="AU1569" s="65" t="n">
        <f aca="false">IF(AT1569="",0,MAX(0,MIN(1,(IF(BY1569="L1",Parameter!$E$5,Parameter!$E$6+Parameter!$E$7)-(AT1569-AP1569))/AP1569)))</f>
        <v>0</v>
      </c>
      <c r="AV1569" s="57" t="n">
        <f aca="false">IF(LEFT(Cockpit!$O$5,1)="A",H1569,IF(CA1569=1,CB1569,IF(LEFT(Cockpit!$O$5,1)="B",AZ1569,MAX(AZ1569,H1569))))</f>
        <v>5</v>
      </c>
      <c r="AW1569" s="57" t="n">
        <f aca="false">IF(BT1569=1,0,ROUNDUP(AV1569/BS1569,0))</f>
        <v>1</v>
      </c>
      <c r="AX1569" s="59" t="n">
        <f aca="false">IF(CH1569&gt;0,CH1569*MAX(1,AV1569/X1569),IF(BT1569=1,IF(AV1569&lt;=0,0,BW1569*MAX(1,IF(H1569&gt;0,AV1569/H1569,1))),IF(R1569&gt;0,AW1569/R1569,0))/MAX(0.1,N(Parameter!$M$21)))</f>
        <v>0.0833333333333333</v>
      </c>
      <c r="AY1569" s="57" t="n">
        <f aca="false">AV1569*G1569</f>
        <v>185</v>
      </c>
      <c r="AZ1569" s="57" t="n">
        <f aca="false">ROUNDUP(MAX(J1569/IF(BZ1569&gt;0,BZ1569,MAX(0.1,N(Cockpit!$O$6))),CC1569)/BS1569,0)*BS1569</f>
        <v>5</v>
      </c>
      <c r="BA1569" s="58" t="n">
        <f aca="false">IF(AX1569&gt;0,J1569/AX1569,-1)</f>
        <v>0</v>
      </c>
      <c r="BB1569" s="58" t="n">
        <f aca="false">IF(AND(OR(BY1569="L1",BY1569="L23"),AX1569&gt;0),SUMIFS($AX$7:$AX$1843,$BY$7:$BY$1843,BY1569,$BA$7:$BA$1843,"&gt;"&amp;BA1569)+SUMIFS($AX$7:$AX$1843,$BY$7:$BY$1843,BY1569,$BA$7:$BA$1843,BA1569,$BQ$7:$BQ$1843,"&lt;="&amp;BQ1569),"")</f>
        <v>120.211377993987</v>
      </c>
      <c r="BC1569" s="65" t="n">
        <f aca="false">IF(BB1569="",0,MAX(0,MIN(1,(IF(BY1569="L1",Parameter!$E$5,Parameter!$E$6+Parameter!$E$7)-(BB1569-AX1569))/AX1569)))</f>
        <v>0</v>
      </c>
      <c r="BD1569" s="55" t="str">
        <f aca="false">IF(AH1569&lt;=0,"",IF(BY1569="Aussen","Aussenlager",IF(BY1569="-","Nicht im Lift",IF(AM1569&gt;=1,"Lift",IF(AM1569&lt;=0,"Aussenlager","teilweise")))))</f>
        <v>Lift</v>
      </c>
      <c r="BE1569" s="55" t="str">
        <f aca="false">IF(AP1569&lt;=0,"",IF(BY1569="Aussen","Aussenlager",IF(BY1569="-","Nicht im Lift",IF(AU1569&gt;=1,"Lift",IF(AU1569&lt;=0,"Aussenlager","teilweise")))))</f>
        <v>Aussenlager</v>
      </c>
      <c r="BF1569" s="55" t="str">
        <f aca="false">IF(AX1569&lt;=0,"",IF(BY1569="Aussen","Aussenlager",IF(BY1569="-","Nicht im Lift",IF(BC1569&gt;=1,"Lift",IF(BC1569&lt;=0,"Aussenlager","teilweise")))))</f>
        <v>Aussenlager</v>
      </c>
      <c r="BG1569" s="55" t="str">
        <f aca="false">IF(A1569="","",IF(BP1569=1,"Neu; ","")&amp;IF(AND(BP1569=0,BK1569&lt;0),"negativer Bestand (Export "&amp;BK1569&amp;"); ","")&amp;IF(J1569&lt;=0,"Kein Verbrauch; ","")&amp;IF(CH1569&gt;0,"Lift "&amp;W1569&amp;" lt. Liftbericht (Fach "&amp;X1569&amp;" Stk); ",IF(BU1569=1,"Gebinde geschätzt ("&amp;T1569&amp;"); ",IF(BT1569=1,"Lose – Tablare geschätzt; ","")))&amp;IF(H1569&gt;AR1569,"Überbestand "&amp;ROUND(H1569-AR1569,0)&amp;" Stk / CHF "&amp;ROUND((H1569-AR1569)*G1569,0)&amp;"; ","")&amp;IF(AND(CA1569=1,CB1569&lt;CC1569),"MAX &lt; MB+LG; ","")&amp;IF(AND(CG1569&gt;0,CF1569*10&gt;CG1569),"zu hoch für Tablar; ","")&amp;IF(AND(BP1569=0,OR(CA1569=1,AA1569&lt;&gt;"",U1569&lt;&gt;"",V1569&lt;&gt;"",AB1569&lt;&gt;"")),"manuell übersteuert; ","")&amp;IF(AND(BT1569=0,R1569=0),"Gebinde unbekannt / Stellmass fehlt; ","")&amp;IF(AND(BT1569=0,N(V1569)&lt;=0,N(Q1569)&lt;=0),"Menge pro Gebinde fehlt (Ist = 1 Gebinde); ","")&amp;BO1569)</f>
        <v>Kein Verbrauch; Gebinde geschätzt (Mittel); Menge pro Gebinde fehlt (Ist = 1 Gebinde); nur im Artikelstamm (Bestand 23.06.2026)</v>
      </c>
      <c r="BH1569" s="55"/>
      <c r="BI1569" s="55"/>
      <c r="BJ1569" s="62"/>
      <c r="BK1569" s="57" t="n">
        <v>5</v>
      </c>
      <c r="BL1569" s="57" t="n">
        <v>0</v>
      </c>
      <c r="BM1569" s="56" t="n">
        <v>0</v>
      </c>
      <c r="BN1569" s="57" t="n">
        <v>0</v>
      </c>
      <c r="BO1569" s="55" t="s">
        <v>2575</v>
      </c>
      <c r="BP1569" s="60" t="n">
        <v>0</v>
      </c>
      <c r="BQ1569" s="60" t="n">
        <v>1569</v>
      </c>
      <c r="BR1569" s="55" t="str">
        <f aca="false">IF(U1569&lt;&gt;"",UPPER(TRIM(U1569)),IF(BU1569=1,UPPER(VLOOKUP(T1569,Parameter!$I$27:$K$29,2,0)),IF(P1569="","LOSE",P1569)))</f>
        <v>S61</v>
      </c>
      <c r="BS1569" s="57" t="n">
        <f aca="false">IF(BR1569="LOSE",1,IF(N(V1569)&gt;0,V1569,IF(BU1569=1,MAX(1,N(VLOOKUP(T1569,Parameter!$I$27:$K$29,3,0)),H1569,N(N1569)),IF(N(Q1569)&gt;0,Q1569,MAX(1,H1569)))))</f>
        <v>5</v>
      </c>
      <c r="BT1569" s="60" t="n">
        <f aca="false">IF(BR1569="LOSE",1,0)</f>
        <v>0</v>
      </c>
      <c r="BU1569" s="60" t="n">
        <f aca="false">IF(AND(U1569="",OR(P1569="",P1569="LOSE"),T1569&lt;&gt;"",N(S1569)&lt;=0,ISNUMBER(MATCH(T1569,Parameter!$I$27:$I$29,0))),1,0)</f>
        <v>1</v>
      </c>
      <c r="BV1569" s="55" t="str">
        <f aca="false">IF(AND(Parameter!$B$19="Ja",E1569&lt;&gt;"",ISNUMBER(MATCH(E1569,Parameter!$I$35:$I$52,0))),VLOOKUP(E1569,Parameter!$I$35:$J$52,2,0),IFERROR(VLOOKUP(D1569,Parameter!$A$35:$C$64,2,0),"Nein"))</f>
        <v>2+3</v>
      </c>
      <c r="BW1569" s="59" t="n">
        <f aca="false">IF(BT1569=0,0,IF(N(S1569)&gt;0,S1569,IFERROR(VLOOKUP(D1569,Parameter!$A$35:$C$64,3,0)+0,0)))</f>
        <v>0</v>
      </c>
      <c r="BX1569" s="55" t="n">
        <f aca="false">IF(AA1569&lt;&gt;"",AA1569,Z1569)</f>
        <v>2</v>
      </c>
      <c r="BY1569" s="55" t="str">
        <f aca="false">IF(BX1569=1,"L1",IF(OR(BX1569=2,BX1569=3),"L23",IF(BX1569="Aussen","Aussen","-")))</f>
        <v>L23</v>
      </c>
      <c r="BZ1569" s="66" t="n">
        <f aca="false">IF(N(AB1569)&gt;0,AB1569,0)</f>
        <v>0</v>
      </c>
      <c r="CA1569" s="60" t="n">
        <f aca="false">IF(ISNUMBER(AE1569),1,0)</f>
        <v>0</v>
      </c>
      <c r="CB1569" s="57" t="n">
        <f aca="false">N(AE1569)</f>
        <v>0</v>
      </c>
      <c r="CC1569" s="57" t="n">
        <f aca="false">N(M1569)+N(N1569)</f>
        <v>2</v>
      </c>
      <c r="CD1569" s="57" t="n">
        <f aca="false">ROUNDUP(H1569/BS1569,0)</f>
        <v>1</v>
      </c>
      <c r="CE1569" s="57" t="n">
        <f aca="false">ROUNDUP(CB1569/BS1569,0)</f>
        <v>0</v>
      </c>
      <c r="CF1569" s="60" t="n">
        <f aca="false">IF(BT1569=1,0,IFERROR(VLOOKUP(BR1569,'Gebinde-Kategorie'!$A$5:$M$45,5,0)+0,0))</f>
        <v>11</v>
      </c>
      <c r="CG1569" s="60" t="n">
        <f aca="false">IFERROR(IF(OR(BX1569=1,BX1569=2,BX1569=3),N(INDEX(Parameter!$I$5:$I$7,BX1569)),0),0)</f>
        <v>0</v>
      </c>
      <c r="CH1569" s="59" t="n">
        <f aca="false">IF(AND(Parameter!$B$21="Ja",ISNUMBER(W1569),N(X1569)&gt;0),IFERROR(N(INDEX(Parameter!$L$5:$L$7,W1569))*INDEX(Parameter!$E$5:$E$7,W1569)*X1569/SUMIFS($X$7:$X$1843,$W$7:$W$1843,W1569),0),0)</f>
        <v>0</v>
      </c>
    </row>
    <row r="1570" customFormat="false" ht="15" hidden="false" customHeight="false" outlineLevel="0" collapsed="false">
      <c r="A1570" s="55" t="s">
        <v>2743</v>
      </c>
      <c r="B1570" s="55" t="s">
        <v>2744</v>
      </c>
      <c r="C1570" s="55" t="s">
        <v>164</v>
      </c>
      <c r="D1570" s="55" t="s">
        <v>184</v>
      </c>
      <c r="E1570" s="55"/>
      <c r="F1570" s="55"/>
      <c r="G1570" s="56" t="n">
        <v>8</v>
      </c>
      <c r="H1570" s="57" t="n">
        <f aca="false">MAX(0,IF(AND(Parameter!$B$21="Ja",ISNUMBER(Y1570)),Y1570,IF(Parameter!$B$20="Jahresanfang 2025 + Export",BL1570+BK1570,BK1570)))</f>
        <v>10</v>
      </c>
      <c r="I1570" s="57" t="n">
        <f aca="false">H1570*G1570</f>
        <v>80</v>
      </c>
      <c r="J1570" s="57" t="n">
        <f aca="false">BN1570*Parameter!$B$18</f>
        <v>0</v>
      </c>
      <c r="K1570" s="58"/>
      <c r="L1570" s="59"/>
      <c r="M1570" s="57" t="n">
        <v>0</v>
      </c>
      <c r="N1570" s="57" t="n">
        <v>5</v>
      </c>
      <c r="O1570" s="60" t="n">
        <v>0</v>
      </c>
      <c r="P1570" s="55" t="s">
        <v>168</v>
      </c>
      <c r="Q1570" s="57"/>
      <c r="R1570" s="60" t="n">
        <f aca="false">IF(BT1570=1,0,IFERROR(VLOOKUP(BR1570,'Gebinde-Kategorie'!$A$5:$M$45,13,0)+0,0))</f>
        <v>26</v>
      </c>
      <c r="S1570" s="61"/>
      <c r="T1570" s="62" t="s">
        <v>275</v>
      </c>
      <c r="U1570" s="62"/>
      <c r="V1570" s="62"/>
      <c r="W1570" s="55"/>
      <c r="X1570" s="57"/>
      <c r="Y1570" s="57"/>
      <c r="Z1570" s="55" t="n">
        <f aca="false">IF(A1570="","",IF(AND(Parameter!$B$21="Ja",ISNUMBER(W1570)),W1570,IF(BV1570="2+3",IF(ISNUMBER(SEARCH("grosser Artikel",BO1570)),2,IFERROR(VLOOKUP(BR1570,Parameter!$F$35:$G$64,2,0),2)),IF(OR(BV1570="Nein",BV1570=""),"-",BV1570))))</f>
        <v>3</v>
      </c>
      <c r="AA1570" s="62"/>
      <c r="AB1570" s="63"/>
      <c r="AC1570" s="57" t="n">
        <f aca="false">AR1570</f>
        <v>20</v>
      </c>
      <c r="AD1570" s="57" t="n">
        <f aca="false">MAX(AR1570,H1570)</f>
        <v>20</v>
      </c>
      <c r="AE1570" s="64"/>
      <c r="AF1570" s="57" t="n">
        <f aca="false">IF(LEFT(Cockpit!$C$5,1)="A",H1570,IF(CA1570=1,CB1570,IF(LEFT(Cockpit!$C$5,1)="B",AJ1570,MAX(AJ1570,H1570))))</f>
        <v>10</v>
      </c>
      <c r="AG1570" s="57" t="n">
        <f aca="false">IF(BT1570=1,0,ROUNDUP(AF1570/BS1570,0))</f>
        <v>1</v>
      </c>
      <c r="AH1570" s="59" t="n">
        <f aca="false">IF(CH1570&gt;0,CH1570*MAX(1,AF1570/X1570),IF(BT1570=1,IF(AF1570&lt;=0,0,BW1570*MAX(1,IF(H1570&gt;0,AF1570/H1570,1))),IF(R1570&gt;0,AG1570/R1570,0))/MAX(0.1,N(Parameter!$M$21)))</f>
        <v>0.0384615384615385</v>
      </c>
      <c r="AI1570" s="57" t="n">
        <f aca="false">AF1570*G1570</f>
        <v>80</v>
      </c>
      <c r="AJ1570" s="57" t="n">
        <f aca="false">ROUNDUP(MAX(J1570/IF(BZ1570&gt;0,BZ1570,MAX(0.1,N(Cockpit!$C$6))),CC1570)/BS1570,0)*BS1570</f>
        <v>20</v>
      </c>
      <c r="AK1570" s="58" t="n">
        <f aca="false">IF(AH1570&gt;0,J1570/AH1570,-1)</f>
        <v>0</v>
      </c>
      <c r="AL1570" s="58" t="n">
        <f aca="false">IF(AND(OR(BY1570="L1",BY1570="L23"),AH1570&gt;0),SUMIFS($AH$7:$AH$1843,$BY$7:$BY$1843,BY1570,$AK$7:$AK$1843,"&gt;"&amp;AK1570)+SUMIFS($AH$7:$AH$1843,$BY$7:$BY$1843,BY1570,$AK$7:$AK$1843,AK1570,$BQ$7:$BQ$1843,"&lt;="&amp;BQ1570),"")</f>
        <v>84.1678659504747</v>
      </c>
      <c r="AM1570" s="65" t="n">
        <f aca="false">IF(AL1570="",0,MAX(0,MIN(1,(IF(BY1570="L1",Parameter!$E$5,Parameter!$E$6+Parameter!$E$7)-(AL1570-AH1570))/AH1570)))</f>
        <v>1</v>
      </c>
      <c r="AN1570" s="57" t="n">
        <f aca="false">IF(LEFT(Cockpit!$I$5,1)="A",H1570,IF(CA1570=1,CB1570,IF(LEFT(Cockpit!$I$5,1)="B",AR1570,MAX(AR1570,H1570))))</f>
        <v>20</v>
      </c>
      <c r="AO1570" s="57" t="n">
        <f aca="false">IF(BT1570=1,0,ROUNDUP(AN1570/BS1570,0))</f>
        <v>1</v>
      </c>
      <c r="AP1570" s="59" t="n">
        <f aca="false">IF(CH1570&gt;0,CH1570*MAX(1,AN1570/X1570),IF(BT1570=1,IF(AN1570&lt;=0,0,BW1570*MAX(1,IF(H1570&gt;0,AN1570/H1570,1))),IF(R1570&gt;0,AO1570/R1570,0))/MAX(0.1,N(Parameter!$M$21)))</f>
        <v>0.0384615384615385</v>
      </c>
      <c r="AQ1570" s="57" t="n">
        <f aca="false">AN1570*G1570</f>
        <v>160</v>
      </c>
      <c r="AR1570" s="57" t="n">
        <f aca="false">ROUNDUP(MAX(J1570/IF(BZ1570&gt;0,BZ1570,MAX(0.1,N(Cockpit!$I$6))),CC1570)/BS1570,0)*BS1570</f>
        <v>20</v>
      </c>
      <c r="AS1570" s="58" t="n">
        <f aca="false">IF(AP1570&gt;0,J1570/AP1570,-1)</f>
        <v>0</v>
      </c>
      <c r="AT1570" s="58" t="n">
        <f aca="false">IF(AND(OR(BY1570="L1",BY1570="L23"),AP1570&gt;0),SUMIFS($AP$7:$AP$1843,$BY$7:$BY$1843,BY1570,$AS$7:$AS$1843,"&gt;"&amp;AS1570)+SUMIFS($AP$7:$AP$1843,$BY$7:$BY$1843,BY1570,$AS$7:$AS$1843,AS1570,$BQ$7:$BQ$1843,"&lt;="&amp;BQ1570),"")</f>
        <v>129.420002702611</v>
      </c>
      <c r="AU1570" s="65" t="n">
        <f aca="false">IF(AT1570="",0,MAX(0,MIN(1,(IF(BY1570="L1",Parameter!$E$5,Parameter!$E$6+Parameter!$E$7)-(AT1570-AP1570))/AP1570)))</f>
        <v>0</v>
      </c>
      <c r="AV1570" s="57" t="n">
        <f aca="false">IF(LEFT(Cockpit!$O$5,1)="A",H1570,IF(CA1570=1,CB1570,IF(LEFT(Cockpit!$O$5,1)="B",AZ1570,MAX(AZ1570,H1570))))</f>
        <v>20</v>
      </c>
      <c r="AW1570" s="57" t="n">
        <f aca="false">IF(BT1570=1,0,ROUNDUP(AV1570/BS1570,0))</f>
        <v>1</v>
      </c>
      <c r="AX1570" s="59" t="n">
        <f aca="false">IF(CH1570&gt;0,CH1570*MAX(1,AV1570/X1570),IF(BT1570=1,IF(AV1570&lt;=0,0,BW1570*MAX(1,IF(H1570&gt;0,AV1570/H1570,1))),IF(R1570&gt;0,AW1570/R1570,0))/MAX(0.1,N(Parameter!$M$21)))</f>
        <v>0.0384615384615385</v>
      </c>
      <c r="AY1570" s="57" t="n">
        <f aca="false">AV1570*G1570</f>
        <v>160</v>
      </c>
      <c r="AZ1570" s="57" t="n">
        <f aca="false">ROUNDUP(MAX(J1570/IF(BZ1570&gt;0,BZ1570,MAX(0.1,N(Cockpit!$O$6))),CC1570)/BS1570,0)*BS1570</f>
        <v>20</v>
      </c>
      <c r="BA1570" s="58" t="n">
        <f aca="false">IF(AX1570&gt;0,J1570/AX1570,-1)</f>
        <v>0</v>
      </c>
      <c r="BB1570" s="58" t="n">
        <f aca="false">IF(AND(OR(BY1570="L1",BY1570="L23"),AX1570&gt;0),SUMIFS($AX$7:$AX$1843,$BY$7:$BY$1843,BY1570,$BA$7:$BA$1843,"&gt;"&amp;BA1570)+SUMIFS($AX$7:$AX$1843,$BY$7:$BY$1843,BY1570,$BA$7:$BA$1843,BA1570,$BQ$7:$BQ$1843,"&lt;="&amp;BQ1570),"")</f>
        <v>120.249839532448</v>
      </c>
      <c r="BC1570" s="65" t="n">
        <f aca="false">IF(BB1570="",0,MAX(0,MIN(1,(IF(BY1570="L1",Parameter!$E$5,Parameter!$E$6+Parameter!$E$7)-(BB1570-AX1570))/AX1570)))</f>
        <v>0</v>
      </c>
      <c r="BD1570" s="55" t="str">
        <f aca="false">IF(AH1570&lt;=0,"",IF(BY1570="Aussen","Aussenlager",IF(BY1570="-","Nicht im Lift",IF(AM1570&gt;=1,"Lift",IF(AM1570&lt;=0,"Aussenlager","teilweise")))))</f>
        <v>Lift</v>
      </c>
      <c r="BE1570" s="55" t="str">
        <f aca="false">IF(AP1570&lt;=0,"",IF(BY1570="Aussen","Aussenlager",IF(BY1570="-","Nicht im Lift",IF(AU1570&gt;=1,"Lift",IF(AU1570&lt;=0,"Aussenlager","teilweise")))))</f>
        <v>Aussenlager</v>
      </c>
      <c r="BF1570" s="55" t="str">
        <f aca="false">IF(AX1570&lt;=0,"",IF(BY1570="Aussen","Aussenlager",IF(BY1570="-","Nicht im Lift",IF(BC1570&gt;=1,"Lift",IF(BC1570&lt;=0,"Aussenlager","teilweise")))))</f>
        <v>Aussenlager</v>
      </c>
      <c r="BG1570" s="55" t="str">
        <f aca="false">IF(A1570="","",IF(BP1570=1,"Neu; ","")&amp;IF(AND(BP1570=0,BK1570&lt;0),"negativer Bestand (Export "&amp;BK1570&amp;"); ","")&amp;IF(J1570&lt;=0,"Kein Verbrauch; ","")&amp;IF(CH1570&gt;0,"Lift "&amp;W1570&amp;" lt. Liftbericht (Fach "&amp;X1570&amp;" Stk); ",IF(BU1570=1,"Gebinde geschätzt ("&amp;T1570&amp;"); ",IF(BT1570=1,"Lose – Tablare geschätzt; ","")))&amp;IF(H1570&gt;AR1570,"Überbestand "&amp;ROUND(H1570-AR1570,0)&amp;" Stk / CHF "&amp;ROUND((H1570-AR1570)*G1570,0)&amp;"; ","")&amp;IF(AND(CA1570=1,CB1570&lt;CC1570),"MAX &lt; MB+LG; ","")&amp;IF(AND(CG1570&gt;0,CF1570*10&gt;CG1570),"zu hoch für Tablar; ","")&amp;IF(AND(BP1570=0,OR(CA1570=1,AA1570&lt;&gt;"",U1570&lt;&gt;"",V1570&lt;&gt;"",AB1570&lt;&gt;"")),"manuell übersteuert; ","")&amp;IF(AND(BT1570=0,R1570=0),"Gebinde unbekannt / Stellmass fehlt; ","")&amp;IF(AND(BT1570=0,N(V1570)&lt;=0,N(Q1570)&lt;=0),"Menge pro Gebinde fehlt (Ist = 1 Gebinde); ","")&amp;BO1570)</f>
        <v>Kein Verbrauch; Gebinde geschätzt (Klein); Menge pro Gebinde fehlt (Ist = 1 Gebinde); nur im Artikelstamm (Bestand 23.06.2026)</v>
      </c>
      <c r="BH1570" s="55"/>
      <c r="BI1570" s="55"/>
      <c r="BJ1570" s="62"/>
      <c r="BK1570" s="57" t="n">
        <v>10</v>
      </c>
      <c r="BL1570" s="57" t="n">
        <v>0</v>
      </c>
      <c r="BM1570" s="56" t="n">
        <v>0</v>
      </c>
      <c r="BN1570" s="57" t="n">
        <v>0</v>
      </c>
      <c r="BO1570" s="55" t="s">
        <v>2575</v>
      </c>
      <c r="BP1570" s="60" t="n">
        <v>0</v>
      </c>
      <c r="BQ1570" s="60" t="n">
        <v>1570</v>
      </c>
      <c r="BR1570" s="55" t="str">
        <f aca="false">IF(U1570&lt;&gt;"",UPPER(TRIM(U1570)),IF(BU1570=1,UPPER(VLOOKUP(T1570,Parameter!$I$27:$K$29,2,0)),IF(P1570="","LOSE",P1570)))</f>
        <v>S51</v>
      </c>
      <c r="BS1570" s="57" t="n">
        <f aca="false">IF(BR1570="LOSE",1,IF(N(V1570)&gt;0,V1570,IF(BU1570=1,MAX(1,N(VLOOKUP(T1570,Parameter!$I$27:$K$29,3,0)),H1570,N(N1570)),IF(N(Q1570)&gt;0,Q1570,MAX(1,H1570)))))</f>
        <v>20</v>
      </c>
      <c r="BT1570" s="60" t="n">
        <f aca="false">IF(BR1570="LOSE",1,0)</f>
        <v>0</v>
      </c>
      <c r="BU1570" s="60" t="n">
        <f aca="false">IF(AND(U1570="",OR(P1570="",P1570="LOSE"),T1570&lt;&gt;"",N(S1570)&lt;=0,ISNUMBER(MATCH(T1570,Parameter!$I$27:$I$29,0))),1,0)</f>
        <v>1</v>
      </c>
      <c r="BV1570" s="55" t="str">
        <f aca="false">IF(AND(Parameter!$B$19="Ja",E1570&lt;&gt;"",ISNUMBER(MATCH(E1570,Parameter!$I$35:$I$52,0))),VLOOKUP(E1570,Parameter!$I$35:$J$52,2,0),IFERROR(VLOOKUP(D1570,Parameter!$A$35:$C$64,2,0),"Nein"))</f>
        <v>2+3</v>
      </c>
      <c r="BW1570" s="59" t="n">
        <f aca="false">IF(BT1570=0,0,IF(N(S1570)&gt;0,S1570,IFERROR(VLOOKUP(D1570,Parameter!$A$35:$C$64,3,0)+0,0)))</f>
        <v>0</v>
      </c>
      <c r="BX1570" s="55" t="n">
        <f aca="false">IF(AA1570&lt;&gt;"",AA1570,Z1570)</f>
        <v>3</v>
      </c>
      <c r="BY1570" s="55" t="str">
        <f aca="false">IF(BX1570=1,"L1",IF(OR(BX1570=2,BX1570=3),"L23",IF(BX1570="Aussen","Aussen","-")))</f>
        <v>L23</v>
      </c>
      <c r="BZ1570" s="66" t="n">
        <f aca="false">IF(N(AB1570)&gt;0,AB1570,0)</f>
        <v>0</v>
      </c>
      <c r="CA1570" s="60" t="n">
        <f aca="false">IF(ISNUMBER(AE1570),1,0)</f>
        <v>0</v>
      </c>
      <c r="CB1570" s="57" t="n">
        <f aca="false">N(AE1570)</f>
        <v>0</v>
      </c>
      <c r="CC1570" s="57" t="n">
        <f aca="false">N(M1570)+N(N1570)</f>
        <v>5</v>
      </c>
      <c r="CD1570" s="57" t="n">
        <f aca="false">ROUNDUP(H1570/BS1570,0)</f>
        <v>1</v>
      </c>
      <c r="CE1570" s="57" t="n">
        <f aca="false">ROUNDUP(CB1570/BS1570,0)</f>
        <v>0</v>
      </c>
      <c r="CF1570" s="60" t="n">
        <f aca="false">IF(BT1570=1,0,IFERROR(VLOOKUP(BR1570,'Gebinde-Kategorie'!$A$5:$M$45,5,0)+0,0))</f>
        <v>11</v>
      </c>
      <c r="CG1570" s="60" t="n">
        <f aca="false">IFERROR(IF(OR(BX1570=1,BX1570=2,BX1570=3),N(INDEX(Parameter!$I$5:$I$7,BX1570)),0),0)</f>
        <v>0</v>
      </c>
      <c r="CH1570" s="59" t="n">
        <f aca="false">IF(AND(Parameter!$B$21="Ja",ISNUMBER(W1570),N(X1570)&gt;0),IFERROR(N(INDEX(Parameter!$L$5:$L$7,W1570))*INDEX(Parameter!$E$5:$E$7,W1570)*X1570/SUMIFS($X$7:$X$1843,$W$7:$W$1843,W1570),0),0)</f>
        <v>0</v>
      </c>
    </row>
    <row r="1571" customFormat="false" ht="15" hidden="false" customHeight="false" outlineLevel="0" collapsed="false">
      <c r="A1571" s="55" t="s">
        <v>2745</v>
      </c>
      <c r="B1571" s="55" t="s">
        <v>2746</v>
      </c>
      <c r="C1571" s="55" t="s">
        <v>164</v>
      </c>
      <c r="D1571" s="55" t="s">
        <v>184</v>
      </c>
      <c r="E1571" s="55"/>
      <c r="F1571" s="55"/>
      <c r="G1571" s="56" t="n">
        <v>4</v>
      </c>
      <c r="H1571" s="57" t="n">
        <f aca="false">MAX(0,IF(AND(Parameter!$B$21="Ja",ISNUMBER(Y1571)),Y1571,IF(Parameter!$B$20="Jahresanfang 2025 + Export",BL1571+BK1571,BK1571)))</f>
        <v>75</v>
      </c>
      <c r="I1571" s="57" t="n">
        <f aca="false">H1571*G1571</f>
        <v>300</v>
      </c>
      <c r="J1571" s="57" t="n">
        <f aca="false">BN1571*Parameter!$B$18</f>
        <v>0</v>
      </c>
      <c r="K1571" s="58"/>
      <c r="L1571" s="59"/>
      <c r="M1571" s="57" t="n">
        <v>0</v>
      </c>
      <c r="N1571" s="57" t="n">
        <v>30</v>
      </c>
      <c r="O1571" s="60" t="n">
        <v>0</v>
      </c>
      <c r="P1571" s="55" t="s">
        <v>168</v>
      </c>
      <c r="Q1571" s="57"/>
      <c r="R1571" s="60" t="n">
        <f aca="false">IF(BT1571=1,0,IFERROR(VLOOKUP(BR1571,'Gebinde-Kategorie'!$A$5:$M$45,13,0)+0,0))</f>
        <v>26</v>
      </c>
      <c r="S1571" s="61"/>
      <c r="T1571" s="62" t="s">
        <v>275</v>
      </c>
      <c r="U1571" s="62"/>
      <c r="V1571" s="62"/>
      <c r="W1571" s="55"/>
      <c r="X1571" s="57"/>
      <c r="Y1571" s="57"/>
      <c r="Z1571" s="55" t="n">
        <f aca="false">IF(A1571="","",IF(AND(Parameter!$B$21="Ja",ISNUMBER(W1571)),W1571,IF(BV1571="2+3",IF(ISNUMBER(SEARCH("grosser Artikel",BO1571)),2,IFERROR(VLOOKUP(BR1571,Parameter!$F$35:$G$64,2,0),2)),IF(OR(BV1571="Nein",BV1571=""),"-",BV1571))))</f>
        <v>3</v>
      </c>
      <c r="AA1571" s="62"/>
      <c r="AB1571" s="63"/>
      <c r="AC1571" s="57" t="n">
        <f aca="false">AR1571</f>
        <v>75</v>
      </c>
      <c r="AD1571" s="57" t="n">
        <f aca="false">MAX(AR1571,H1571)</f>
        <v>75</v>
      </c>
      <c r="AE1571" s="64"/>
      <c r="AF1571" s="57" t="n">
        <f aca="false">IF(LEFT(Cockpit!$C$5,1)="A",H1571,IF(CA1571=1,CB1571,IF(LEFT(Cockpit!$C$5,1)="B",AJ1571,MAX(AJ1571,H1571))))</f>
        <v>75</v>
      </c>
      <c r="AG1571" s="57" t="n">
        <f aca="false">IF(BT1571=1,0,ROUNDUP(AF1571/BS1571,0))</f>
        <v>1</v>
      </c>
      <c r="AH1571" s="59" t="n">
        <f aca="false">IF(CH1571&gt;0,CH1571*MAX(1,AF1571/X1571),IF(BT1571=1,IF(AF1571&lt;=0,0,BW1571*MAX(1,IF(H1571&gt;0,AF1571/H1571,1))),IF(R1571&gt;0,AG1571/R1571,0))/MAX(0.1,N(Parameter!$M$21)))</f>
        <v>0.0384615384615385</v>
      </c>
      <c r="AI1571" s="57" t="n">
        <f aca="false">AF1571*G1571</f>
        <v>300</v>
      </c>
      <c r="AJ1571" s="57" t="n">
        <f aca="false">ROUNDUP(MAX(J1571/IF(BZ1571&gt;0,BZ1571,MAX(0.1,N(Cockpit!$C$6))),CC1571)/BS1571,0)*BS1571</f>
        <v>75</v>
      </c>
      <c r="AK1571" s="58" t="n">
        <f aca="false">IF(AH1571&gt;0,J1571/AH1571,-1)</f>
        <v>0</v>
      </c>
      <c r="AL1571" s="58" t="n">
        <f aca="false">IF(AND(OR(BY1571="L1",BY1571="L23"),AH1571&gt;0),SUMIFS($AH$7:$AH$1843,$BY$7:$BY$1843,BY1571,$AK$7:$AK$1843,"&gt;"&amp;AK1571)+SUMIFS($AH$7:$AH$1843,$BY$7:$BY$1843,BY1571,$AK$7:$AK$1843,AK1571,$BQ$7:$BQ$1843,"&lt;="&amp;BQ1571),"")</f>
        <v>84.2063274889362</v>
      </c>
      <c r="AM1571" s="65" t="n">
        <f aca="false">IF(AL1571="",0,MAX(0,MIN(1,(IF(BY1571="L1",Parameter!$E$5,Parameter!$E$6+Parameter!$E$7)-(AL1571-AH1571))/AH1571)))</f>
        <v>1</v>
      </c>
      <c r="AN1571" s="57" t="n">
        <f aca="false">IF(LEFT(Cockpit!$I$5,1)="A",H1571,IF(CA1571=1,CB1571,IF(LEFT(Cockpit!$I$5,1)="B",AR1571,MAX(AR1571,H1571))))</f>
        <v>75</v>
      </c>
      <c r="AO1571" s="57" t="n">
        <f aca="false">IF(BT1571=1,0,ROUNDUP(AN1571/BS1571,0))</f>
        <v>1</v>
      </c>
      <c r="AP1571" s="59" t="n">
        <f aca="false">IF(CH1571&gt;0,CH1571*MAX(1,AN1571/X1571),IF(BT1571=1,IF(AN1571&lt;=0,0,BW1571*MAX(1,IF(H1571&gt;0,AN1571/H1571,1))),IF(R1571&gt;0,AO1571/R1571,0))/MAX(0.1,N(Parameter!$M$21)))</f>
        <v>0.0384615384615385</v>
      </c>
      <c r="AQ1571" s="57" t="n">
        <f aca="false">AN1571*G1571</f>
        <v>300</v>
      </c>
      <c r="AR1571" s="57" t="n">
        <f aca="false">ROUNDUP(MAX(J1571/IF(BZ1571&gt;0,BZ1571,MAX(0.1,N(Cockpit!$I$6))),CC1571)/BS1571,0)*BS1571</f>
        <v>75</v>
      </c>
      <c r="AS1571" s="58" t="n">
        <f aca="false">IF(AP1571&gt;0,J1571/AP1571,-1)</f>
        <v>0</v>
      </c>
      <c r="AT1571" s="58" t="n">
        <f aca="false">IF(AND(OR(BY1571="L1",BY1571="L23"),AP1571&gt;0),SUMIFS($AP$7:$AP$1843,$BY$7:$BY$1843,BY1571,$AS$7:$AS$1843,"&gt;"&amp;AS1571)+SUMIFS($AP$7:$AP$1843,$BY$7:$BY$1843,BY1571,$AS$7:$AS$1843,AS1571,$BQ$7:$BQ$1843,"&lt;="&amp;BQ1571),"")</f>
        <v>129.458464241073</v>
      </c>
      <c r="AU1571" s="65" t="n">
        <f aca="false">IF(AT1571="",0,MAX(0,MIN(1,(IF(BY1571="L1",Parameter!$E$5,Parameter!$E$6+Parameter!$E$7)-(AT1571-AP1571))/AP1571)))</f>
        <v>0</v>
      </c>
      <c r="AV1571" s="57" t="n">
        <f aca="false">IF(LEFT(Cockpit!$O$5,1)="A",H1571,IF(CA1571=1,CB1571,IF(LEFT(Cockpit!$O$5,1)="B",AZ1571,MAX(AZ1571,H1571))))</f>
        <v>75</v>
      </c>
      <c r="AW1571" s="57" t="n">
        <f aca="false">IF(BT1571=1,0,ROUNDUP(AV1571/BS1571,0))</f>
        <v>1</v>
      </c>
      <c r="AX1571" s="59" t="n">
        <f aca="false">IF(CH1571&gt;0,CH1571*MAX(1,AV1571/X1571),IF(BT1571=1,IF(AV1571&lt;=0,0,BW1571*MAX(1,IF(H1571&gt;0,AV1571/H1571,1))),IF(R1571&gt;0,AW1571/R1571,0))/MAX(0.1,N(Parameter!$M$21)))</f>
        <v>0.0384615384615385</v>
      </c>
      <c r="AY1571" s="57" t="n">
        <f aca="false">AV1571*G1571</f>
        <v>300</v>
      </c>
      <c r="AZ1571" s="57" t="n">
        <f aca="false">ROUNDUP(MAX(J1571/IF(BZ1571&gt;0,BZ1571,MAX(0.1,N(Cockpit!$O$6))),CC1571)/BS1571,0)*BS1571</f>
        <v>75</v>
      </c>
      <c r="BA1571" s="58" t="n">
        <f aca="false">IF(AX1571&gt;0,J1571/AX1571,-1)</f>
        <v>0</v>
      </c>
      <c r="BB1571" s="58" t="n">
        <f aca="false">IF(AND(OR(BY1571="L1",BY1571="L23"),AX1571&gt;0),SUMIFS($AX$7:$AX$1843,$BY$7:$BY$1843,BY1571,$BA$7:$BA$1843,"&gt;"&amp;BA1571)+SUMIFS($AX$7:$AX$1843,$BY$7:$BY$1843,BY1571,$BA$7:$BA$1843,BA1571,$BQ$7:$BQ$1843,"&lt;="&amp;BQ1571),"")</f>
        <v>120.28830107091</v>
      </c>
      <c r="BC1571" s="65" t="n">
        <f aca="false">IF(BB1571="",0,MAX(0,MIN(1,(IF(BY1571="L1",Parameter!$E$5,Parameter!$E$6+Parameter!$E$7)-(BB1571-AX1571))/AX1571)))</f>
        <v>0</v>
      </c>
      <c r="BD1571" s="55" t="str">
        <f aca="false">IF(AH1571&lt;=0,"",IF(BY1571="Aussen","Aussenlager",IF(BY1571="-","Nicht im Lift",IF(AM1571&gt;=1,"Lift",IF(AM1571&lt;=0,"Aussenlager","teilweise")))))</f>
        <v>Lift</v>
      </c>
      <c r="BE1571" s="55" t="str">
        <f aca="false">IF(AP1571&lt;=0,"",IF(BY1571="Aussen","Aussenlager",IF(BY1571="-","Nicht im Lift",IF(AU1571&gt;=1,"Lift",IF(AU1571&lt;=0,"Aussenlager","teilweise")))))</f>
        <v>Aussenlager</v>
      </c>
      <c r="BF1571" s="55" t="str">
        <f aca="false">IF(AX1571&lt;=0,"",IF(BY1571="Aussen","Aussenlager",IF(BY1571="-","Nicht im Lift",IF(BC1571&gt;=1,"Lift",IF(BC1571&lt;=0,"Aussenlager","teilweise")))))</f>
        <v>Aussenlager</v>
      </c>
      <c r="BG1571" s="55" t="str">
        <f aca="false">IF(A1571="","",IF(BP1571=1,"Neu; ","")&amp;IF(AND(BP1571=0,BK1571&lt;0),"negativer Bestand (Export "&amp;BK1571&amp;"); ","")&amp;IF(J1571&lt;=0,"Kein Verbrauch; ","")&amp;IF(CH1571&gt;0,"Lift "&amp;W1571&amp;" lt. Liftbericht (Fach "&amp;X1571&amp;" Stk); ",IF(BU1571=1,"Gebinde geschätzt ("&amp;T1571&amp;"); ",IF(BT1571=1,"Lose – Tablare geschätzt; ","")))&amp;IF(H1571&gt;AR1571,"Überbestand "&amp;ROUND(H1571-AR1571,0)&amp;" Stk / CHF "&amp;ROUND((H1571-AR1571)*G1571,0)&amp;"; ","")&amp;IF(AND(CA1571=1,CB1571&lt;CC1571),"MAX &lt; MB+LG; ","")&amp;IF(AND(CG1571&gt;0,CF1571*10&gt;CG1571),"zu hoch für Tablar; ","")&amp;IF(AND(BP1571=0,OR(CA1571=1,AA1571&lt;&gt;"",U1571&lt;&gt;"",V1571&lt;&gt;"",AB1571&lt;&gt;"")),"manuell übersteuert; ","")&amp;IF(AND(BT1571=0,R1571=0),"Gebinde unbekannt / Stellmass fehlt; ","")&amp;IF(AND(BT1571=0,N(V1571)&lt;=0,N(Q1571)&lt;=0),"Menge pro Gebinde fehlt (Ist = 1 Gebinde); ","")&amp;BO1571)</f>
        <v>Kein Verbrauch; Gebinde geschätzt (Klein); Menge pro Gebinde fehlt (Ist = 1 Gebinde); nur im Artikelstamm (Bestand 23.06.2026)</v>
      </c>
      <c r="BH1571" s="55"/>
      <c r="BI1571" s="55"/>
      <c r="BJ1571" s="62"/>
      <c r="BK1571" s="57" t="n">
        <v>75</v>
      </c>
      <c r="BL1571" s="57" t="n">
        <v>0</v>
      </c>
      <c r="BM1571" s="56" t="n">
        <v>0</v>
      </c>
      <c r="BN1571" s="57" t="n">
        <v>0</v>
      </c>
      <c r="BO1571" s="55" t="s">
        <v>2575</v>
      </c>
      <c r="BP1571" s="60" t="n">
        <v>0</v>
      </c>
      <c r="BQ1571" s="60" t="n">
        <v>1571</v>
      </c>
      <c r="BR1571" s="55" t="str">
        <f aca="false">IF(U1571&lt;&gt;"",UPPER(TRIM(U1571)),IF(BU1571=1,UPPER(VLOOKUP(T1571,Parameter!$I$27:$K$29,2,0)),IF(P1571="","LOSE",P1571)))</f>
        <v>S51</v>
      </c>
      <c r="BS1571" s="57" t="n">
        <f aca="false">IF(BR1571="LOSE",1,IF(N(V1571)&gt;0,V1571,IF(BU1571=1,MAX(1,N(VLOOKUP(T1571,Parameter!$I$27:$K$29,3,0)),H1571,N(N1571)),IF(N(Q1571)&gt;0,Q1571,MAX(1,H1571)))))</f>
        <v>75</v>
      </c>
      <c r="BT1571" s="60" t="n">
        <f aca="false">IF(BR1571="LOSE",1,0)</f>
        <v>0</v>
      </c>
      <c r="BU1571" s="60" t="n">
        <f aca="false">IF(AND(U1571="",OR(P1571="",P1571="LOSE"),T1571&lt;&gt;"",N(S1571)&lt;=0,ISNUMBER(MATCH(T1571,Parameter!$I$27:$I$29,0))),1,0)</f>
        <v>1</v>
      </c>
      <c r="BV1571" s="55" t="str">
        <f aca="false">IF(AND(Parameter!$B$19="Ja",E1571&lt;&gt;"",ISNUMBER(MATCH(E1571,Parameter!$I$35:$I$52,0))),VLOOKUP(E1571,Parameter!$I$35:$J$52,2,0),IFERROR(VLOOKUP(D1571,Parameter!$A$35:$C$64,2,0),"Nein"))</f>
        <v>2+3</v>
      </c>
      <c r="BW1571" s="59" t="n">
        <f aca="false">IF(BT1571=0,0,IF(N(S1571)&gt;0,S1571,IFERROR(VLOOKUP(D1571,Parameter!$A$35:$C$64,3,0)+0,0)))</f>
        <v>0</v>
      </c>
      <c r="BX1571" s="55" t="n">
        <f aca="false">IF(AA1571&lt;&gt;"",AA1571,Z1571)</f>
        <v>3</v>
      </c>
      <c r="BY1571" s="55" t="str">
        <f aca="false">IF(BX1571=1,"L1",IF(OR(BX1571=2,BX1571=3),"L23",IF(BX1571="Aussen","Aussen","-")))</f>
        <v>L23</v>
      </c>
      <c r="BZ1571" s="66" t="n">
        <f aca="false">IF(N(AB1571)&gt;0,AB1571,0)</f>
        <v>0</v>
      </c>
      <c r="CA1571" s="60" t="n">
        <f aca="false">IF(ISNUMBER(AE1571),1,0)</f>
        <v>0</v>
      </c>
      <c r="CB1571" s="57" t="n">
        <f aca="false">N(AE1571)</f>
        <v>0</v>
      </c>
      <c r="CC1571" s="57" t="n">
        <f aca="false">N(M1571)+N(N1571)</f>
        <v>30</v>
      </c>
      <c r="CD1571" s="57" t="n">
        <f aca="false">ROUNDUP(H1571/BS1571,0)</f>
        <v>1</v>
      </c>
      <c r="CE1571" s="57" t="n">
        <f aca="false">ROUNDUP(CB1571/BS1571,0)</f>
        <v>0</v>
      </c>
      <c r="CF1571" s="60" t="n">
        <f aca="false">IF(BT1571=1,0,IFERROR(VLOOKUP(BR1571,'Gebinde-Kategorie'!$A$5:$M$45,5,0)+0,0))</f>
        <v>11</v>
      </c>
      <c r="CG1571" s="60" t="n">
        <f aca="false">IFERROR(IF(OR(BX1571=1,BX1571=2,BX1571=3),N(INDEX(Parameter!$I$5:$I$7,BX1571)),0),0)</f>
        <v>0</v>
      </c>
      <c r="CH1571" s="59" t="n">
        <f aca="false">IF(AND(Parameter!$B$21="Ja",ISNUMBER(W1571),N(X1571)&gt;0),IFERROR(N(INDEX(Parameter!$L$5:$L$7,W1571))*INDEX(Parameter!$E$5:$E$7,W1571)*X1571/SUMIFS($X$7:$X$1843,$W$7:$W$1843,W1571),0),0)</f>
        <v>0</v>
      </c>
    </row>
    <row r="1572" customFormat="false" ht="15" hidden="false" customHeight="false" outlineLevel="0" collapsed="false">
      <c r="A1572" s="55" t="s">
        <v>2747</v>
      </c>
      <c r="B1572" s="55" t="s">
        <v>2748</v>
      </c>
      <c r="C1572" s="55" t="s">
        <v>164</v>
      </c>
      <c r="D1572" s="55" t="s">
        <v>184</v>
      </c>
      <c r="E1572" s="55"/>
      <c r="F1572" s="55"/>
      <c r="G1572" s="56" t="n">
        <v>0.65</v>
      </c>
      <c r="H1572" s="57" t="n">
        <f aca="false">MAX(0,IF(AND(Parameter!$B$21="Ja",ISNUMBER(Y1572)),Y1572,IF(Parameter!$B$20="Jahresanfang 2025 + Export",BL1572+BK1572,BK1572)))</f>
        <v>20</v>
      </c>
      <c r="I1572" s="57" t="n">
        <f aca="false">H1572*G1572</f>
        <v>13</v>
      </c>
      <c r="J1572" s="57" t="n">
        <f aca="false">BN1572*Parameter!$B$18</f>
        <v>0</v>
      </c>
      <c r="K1572" s="58"/>
      <c r="L1572" s="59"/>
      <c r="M1572" s="57" t="n">
        <v>0</v>
      </c>
      <c r="N1572" s="57" t="n">
        <v>30</v>
      </c>
      <c r="O1572" s="60" t="n">
        <v>0</v>
      </c>
      <c r="P1572" s="55" t="s">
        <v>168</v>
      </c>
      <c r="Q1572" s="57"/>
      <c r="R1572" s="60" t="n">
        <f aca="false">IF(BT1572=1,0,IFERROR(VLOOKUP(BR1572,'Gebinde-Kategorie'!$A$5:$M$45,13,0)+0,0))</f>
        <v>26</v>
      </c>
      <c r="S1572" s="61"/>
      <c r="T1572" s="62" t="s">
        <v>275</v>
      </c>
      <c r="U1572" s="62"/>
      <c r="V1572" s="62"/>
      <c r="W1572" s="55"/>
      <c r="X1572" s="57"/>
      <c r="Y1572" s="57"/>
      <c r="Z1572" s="55" t="n">
        <f aca="false">IF(A1572="","",IF(AND(Parameter!$B$21="Ja",ISNUMBER(W1572)),W1572,IF(BV1572="2+3",IF(ISNUMBER(SEARCH("grosser Artikel",BO1572)),2,IFERROR(VLOOKUP(BR1572,Parameter!$F$35:$G$64,2,0),2)),IF(OR(BV1572="Nein",BV1572=""),"-",BV1572))))</f>
        <v>3</v>
      </c>
      <c r="AA1572" s="62"/>
      <c r="AB1572" s="63"/>
      <c r="AC1572" s="57" t="n">
        <f aca="false">AR1572</f>
        <v>30</v>
      </c>
      <c r="AD1572" s="57" t="n">
        <f aca="false">MAX(AR1572,H1572)</f>
        <v>30</v>
      </c>
      <c r="AE1572" s="64"/>
      <c r="AF1572" s="57" t="n">
        <f aca="false">IF(LEFT(Cockpit!$C$5,1)="A",H1572,IF(CA1572=1,CB1572,IF(LEFT(Cockpit!$C$5,1)="B",AJ1572,MAX(AJ1572,H1572))))</f>
        <v>20</v>
      </c>
      <c r="AG1572" s="57" t="n">
        <f aca="false">IF(BT1572=1,0,ROUNDUP(AF1572/BS1572,0))</f>
        <v>1</v>
      </c>
      <c r="AH1572" s="59" t="n">
        <f aca="false">IF(CH1572&gt;0,CH1572*MAX(1,AF1572/X1572),IF(BT1572=1,IF(AF1572&lt;=0,0,BW1572*MAX(1,IF(H1572&gt;0,AF1572/H1572,1))),IF(R1572&gt;0,AG1572/R1572,0))/MAX(0.1,N(Parameter!$M$21)))</f>
        <v>0.0384615384615385</v>
      </c>
      <c r="AI1572" s="57" t="n">
        <f aca="false">AF1572*G1572</f>
        <v>13</v>
      </c>
      <c r="AJ1572" s="57" t="n">
        <f aca="false">ROUNDUP(MAX(J1572/IF(BZ1572&gt;0,BZ1572,MAX(0.1,N(Cockpit!$C$6))),CC1572)/BS1572,0)*BS1572</f>
        <v>30</v>
      </c>
      <c r="AK1572" s="58" t="n">
        <f aca="false">IF(AH1572&gt;0,J1572/AH1572,-1)</f>
        <v>0</v>
      </c>
      <c r="AL1572" s="58" t="n">
        <f aca="false">IF(AND(OR(BY1572="L1",BY1572="L23"),AH1572&gt;0),SUMIFS($AH$7:$AH$1843,$BY$7:$BY$1843,BY1572,$AK$7:$AK$1843,"&gt;"&amp;AK1572)+SUMIFS($AH$7:$AH$1843,$BY$7:$BY$1843,BY1572,$AK$7:$AK$1843,AK1572,$BQ$7:$BQ$1843,"&lt;="&amp;BQ1572),"")</f>
        <v>84.2447890273977</v>
      </c>
      <c r="AM1572" s="65" t="n">
        <f aca="false">IF(AL1572="",0,MAX(0,MIN(1,(IF(BY1572="L1",Parameter!$E$5,Parameter!$E$6+Parameter!$E$7)-(AL1572-AH1572))/AH1572)))</f>
        <v>1</v>
      </c>
      <c r="AN1572" s="57" t="n">
        <f aca="false">IF(LEFT(Cockpit!$I$5,1)="A",H1572,IF(CA1572=1,CB1572,IF(LEFT(Cockpit!$I$5,1)="B",AR1572,MAX(AR1572,H1572))))</f>
        <v>30</v>
      </c>
      <c r="AO1572" s="57" t="n">
        <f aca="false">IF(BT1572=1,0,ROUNDUP(AN1572/BS1572,0))</f>
        <v>1</v>
      </c>
      <c r="AP1572" s="59" t="n">
        <f aca="false">IF(CH1572&gt;0,CH1572*MAX(1,AN1572/X1572),IF(BT1572=1,IF(AN1572&lt;=0,0,BW1572*MAX(1,IF(H1572&gt;0,AN1572/H1572,1))),IF(R1572&gt;0,AO1572/R1572,0))/MAX(0.1,N(Parameter!$M$21)))</f>
        <v>0.0384615384615385</v>
      </c>
      <c r="AQ1572" s="57" t="n">
        <f aca="false">AN1572*G1572</f>
        <v>19.5</v>
      </c>
      <c r="AR1572" s="57" t="n">
        <f aca="false">ROUNDUP(MAX(J1572/IF(BZ1572&gt;0,BZ1572,MAX(0.1,N(Cockpit!$I$6))),CC1572)/BS1572,0)*BS1572</f>
        <v>30</v>
      </c>
      <c r="AS1572" s="58" t="n">
        <f aca="false">IF(AP1572&gt;0,J1572/AP1572,-1)</f>
        <v>0</v>
      </c>
      <c r="AT1572" s="58" t="n">
        <f aca="false">IF(AND(OR(BY1572="L1",BY1572="L23"),AP1572&gt;0),SUMIFS($AP$7:$AP$1843,$BY$7:$BY$1843,BY1572,$AS$7:$AS$1843,"&gt;"&amp;AS1572)+SUMIFS($AP$7:$AP$1843,$BY$7:$BY$1843,BY1572,$AS$7:$AS$1843,AS1572,$BQ$7:$BQ$1843,"&lt;="&amp;BQ1572),"")</f>
        <v>129.496925779534</v>
      </c>
      <c r="AU1572" s="65" t="n">
        <f aca="false">IF(AT1572="",0,MAX(0,MIN(1,(IF(BY1572="L1",Parameter!$E$5,Parameter!$E$6+Parameter!$E$7)-(AT1572-AP1572))/AP1572)))</f>
        <v>0</v>
      </c>
      <c r="AV1572" s="57" t="n">
        <f aca="false">IF(LEFT(Cockpit!$O$5,1)="A",H1572,IF(CA1572=1,CB1572,IF(LEFT(Cockpit!$O$5,1)="B",AZ1572,MAX(AZ1572,H1572))))</f>
        <v>30</v>
      </c>
      <c r="AW1572" s="57" t="n">
        <f aca="false">IF(BT1572=1,0,ROUNDUP(AV1572/BS1572,0))</f>
        <v>1</v>
      </c>
      <c r="AX1572" s="59" t="n">
        <f aca="false">IF(CH1572&gt;0,CH1572*MAX(1,AV1572/X1572),IF(BT1572=1,IF(AV1572&lt;=0,0,BW1572*MAX(1,IF(H1572&gt;0,AV1572/H1572,1))),IF(R1572&gt;0,AW1572/R1572,0))/MAX(0.1,N(Parameter!$M$21)))</f>
        <v>0.0384615384615385</v>
      </c>
      <c r="AY1572" s="57" t="n">
        <f aca="false">AV1572*G1572</f>
        <v>19.5</v>
      </c>
      <c r="AZ1572" s="57" t="n">
        <f aca="false">ROUNDUP(MAX(J1572/IF(BZ1572&gt;0,BZ1572,MAX(0.1,N(Cockpit!$O$6))),CC1572)/BS1572,0)*BS1572</f>
        <v>30</v>
      </c>
      <c r="BA1572" s="58" t="n">
        <f aca="false">IF(AX1572&gt;0,J1572/AX1572,-1)</f>
        <v>0</v>
      </c>
      <c r="BB1572" s="58" t="n">
        <f aca="false">IF(AND(OR(BY1572="L1",BY1572="L23"),AX1572&gt;0),SUMIFS($AX$7:$AX$1843,$BY$7:$BY$1843,BY1572,$BA$7:$BA$1843,"&gt;"&amp;BA1572)+SUMIFS($AX$7:$AX$1843,$BY$7:$BY$1843,BY1572,$BA$7:$BA$1843,BA1572,$BQ$7:$BQ$1843,"&lt;="&amp;BQ1572),"")</f>
        <v>120.326762609371</v>
      </c>
      <c r="BC1572" s="65" t="n">
        <f aca="false">IF(BB1572="",0,MAX(0,MIN(1,(IF(BY1572="L1",Parameter!$E$5,Parameter!$E$6+Parameter!$E$7)-(BB1572-AX1572))/AX1572)))</f>
        <v>0</v>
      </c>
      <c r="BD1572" s="55" t="str">
        <f aca="false">IF(AH1572&lt;=0,"",IF(BY1572="Aussen","Aussenlager",IF(BY1572="-","Nicht im Lift",IF(AM1572&gt;=1,"Lift",IF(AM1572&lt;=0,"Aussenlager","teilweise")))))</f>
        <v>Lift</v>
      </c>
      <c r="BE1572" s="55" t="str">
        <f aca="false">IF(AP1572&lt;=0,"",IF(BY1572="Aussen","Aussenlager",IF(BY1572="-","Nicht im Lift",IF(AU1572&gt;=1,"Lift",IF(AU1572&lt;=0,"Aussenlager","teilweise")))))</f>
        <v>Aussenlager</v>
      </c>
      <c r="BF1572" s="55" t="str">
        <f aca="false">IF(AX1572&lt;=0,"",IF(BY1572="Aussen","Aussenlager",IF(BY1572="-","Nicht im Lift",IF(BC1572&gt;=1,"Lift",IF(BC1572&lt;=0,"Aussenlager","teilweise")))))</f>
        <v>Aussenlager</v>
      </c>
      <c r="BG1572" s="55" t="str">
        <f aca="false">IF(A1572="","",IF(BP1572=1,"Neu; ","")&amp;IF(AND(BP1572=0,BK1572&lt;0),"negativer Bestand (Export "&amp;BK1572&amp;"); ","")&amp;IF(J1572&lt;=0,"Kein Verbrauch; ","")&amp;IF(CH1572&gt;0,"Lift "&amp;W1572&amp;" lt. Liftbericht (Fach "&amp;X1572&amp;" Stk); ",IF(BU1572=1,"Gebinde geschätzt ("&amp;T1572&amp;"); ",IF(BT1572=1,"Lose – Tablare geschätzt; ","")))&amp;IF(H1572&gt;AR1572,"Überbestand "&amp;ROUND(H1572-AR1572,0)&amp;" Stk / CHF "&amp;ROUND((H1572-AR1572)*G1572,0)&amp;"; ","")&amp;IF(AND(CA1572=1,CB1572&lt;CC1572),"MAX &lt; MB+LG; ","")&amp;IF(AND(CG1572&gt;0,CF1572*10&gt;CG1572),"zu hoch für Tablar; ","")&amp;IF(AND(BP1572=0,OR(CA1572=1,AA1572&lt;&gt;"",U1572&lt;&gt;"",V1572&lt;&gt;"",AB1572&lt;&gt;"")),"manuell übersteuert; ","")&amp;IF(AND(BT1572=0,R1572=0),"Gebinde unbekannt / Stellmass fehlt; ","")&amp;IF(AND(BT1572=0,N(V1572)&lt;=0,N(Q1572)&lt;=0),"Menge pro Gebinde fehlt (Ist = 1 Gebinde); ","")&amp;BO1572)</f>
        <v>Kein Verbrauch; Gebinde geschätzt (Klein); Menge pro Gebinde fehlt (Ist = 1 Gebinde); nur im Artikelstamm (Bestand 23.06.2026)</v>
      </c>
      <c r="BH1572" s="55"/>
      <c r="BI1572" s="55"/>
      <c r="BJ1572" s="62"/>
      <c r="BK1572" s="57" t="n">
        <v>20</v>
      </c>
      <c r="BL1572" s="57" t="n">
        <v>0</v>
      </c>
      <c r="BM1572" s="56" t="n">
        <v>0</v>
      </c>
      <c r="BN1572" s="57" t="n">
        <v>0</v>
      </c>
      <c r="BO1572" s="55" t="s">
        <v>2575</v>
      </c>
      <c r="BP1572" s="60" t="n">
        <v>0</v>
      </c>
      <c r="BQ1572" s="60" t="n">
        <v>1572</v>
      </c>
      <c r="BR1572" s="55" t="str">
        <f aca="false">IF(U1572&lt;&gt;"",UPPER(TRIM(U1572)),IF(BU1572=1,UPPER(VLOOKUP(T1572,Parameter!$I$27:$K$29,2,0)),IF(P1572="","LOSE",P1572)))</f>
        <v>S51</v>
      </c>
      <c r="BS1572" s="57" t="n">
        <f aca="false">IF(BR1572="LOSE",1,IF(N(V1572)&gt;0,V1572,IF(BU1572=1,MAX(1,N(VLOOKUP(T1572,Parameter!$I$27:$K$29,3,0)),H1572,N(N1572)),IF(N(Q1572)&gt;0,Q1572,MAX(1,H1572)))))</f>
        <v>30</v>
      </c>
      <c r="BT1572" s="60" t="n">
        <f aca="false">IF(BR1572="LOSE",1,0)</f>
        <v>0</v>
      </c>
      <c r="BU1572" s="60" t="n">
        <f aca="false">IF(AND(U1572="",OR(P1572="",P1572="LOSE"),T1572&lt;&gt;"",N(S1572)&lt;=0,ISNUMBER(MATCH(T1572,Parameter!$I$27:$I$29,0))),1,0)</f>
        <v>1</v>
      </c>
      <c r="BV1572" s="55" t="str">
        <f aca="false">IF(AND(Parameter!$B$19="Ja",E1572&lt;&gt;"",ISNUMBER(MATCH(E1572,Parameter!$I$35:$I$52,0))),VLOOKUP(E1572,Parameter!$I$35:$J$52,2,0),IFERROR(VLOOKUP(D1572,Parameter!$A$35:$C$64,2,0),"Nein"))</f>
        <v>2+3</v>
      </c>
      <c r="BW1572" s="59" t="n">
        <f aca="false">IF(BT1572=0,0,IF(N(S1572)&gt;0,S1572,IFERROR(VLOOKUP(D1572,Parameter!$A$35:$C$64,3,0)+0,0)))</f>
        <v>0</v>
      </c>
      <c r="BX1572" s="55" t="n">
        <f aca="false">IF(AA1572&lt;&gt;"",AA1572,Z1572)</f>
        <v>3</v>
      </c>
      <c r="BY1572" s="55" t="str">
        <f aca="false">IF(BX1572=1,"L1",IF(OR(BX1572=2,BX1572=3),"L23",IF(BX1572="Aussen","Aussen","-")))</f>
        <v>L23</v>
      </c>
      <c r="BZ1572" s="66" t="n">
        <f aca="false">IF(N(AB1572)&gt;0,AB1572,0)</f>
        <v>0</v>
      </c>
      <c r="CA1572" s="60" t="n">
        <f aca="false">IF(ISNUMBER(AE1572),1,0)</f>
        <v>0</v>
      </c>
      <c r="CB1572" s="57" t="n">
        <f aca="false">N(AE1572)</f>
        <v>0</v>
      </c>
      <c r="CC1572" s="57" t="n">
        <f aca="false">N(M1572)+N(N1572)</f>
        <v>30</v>
      </c>
      <c r="CD1572" s="57" t="n">
        <f aca="false">ROUNDUP(H1572/BS1572,0)</f>
        <v>1</v>
      </c>
      <c r="CE1572" s="57" t="n">
        <f aca="false">ROUNDUP(CB1572/BS1572,0)</f>
        <v>0</v>
      </c>
      <c r="CF1572" s="60" t="n">
        <f aca="false">IF(BT1572=1,0,IFERROR(VLOOKUP(BR1572,'Gebinde-Kategorie'!$A$5:$M$45,5,0)+0,0))</f>
        <v>11</v>
      </c>
      <c r="CG1572" s="60" t="n">
        <f aca="false">IFERROR(IF(OR(BX1572=1,BX1572=2,BX1572=3),N(INDEX(Parameter!$I$5:$I$7,BX1572)),0),0)</f>
        <v>0</v>
      </c>
      <c r="CH1572" s="59" t="n">
        <f aca="false">IF(AND(Parameter!$B$21="Ja",ISNUMBER(W1572),N(X1572)&gt;0),IFERROR(N(INDEX(Parameter!$L$5:$L$7,W1572))*INDEX(Parameter!$E$5:$E$7,W1572)*X1572/SUMIFS($X$7:$X$1843,$W$7:$W$1843,W1572),0),0)</f>
        <v>0</v>
      </c>
    </row>
    <row r="1573" customFormat="false" ht="15" hidden="false" customHeight="false" outlineLevel="0" collapsed="false">
      <c r="A1573" s="55" t="s">
        <v>2749</v>
      </c>
      <c r="B1573" s="55" t="s">
        <v>2738</v>
      </c>
      <c r="C1573" s="55" t="s">
        <v>164</v>
      </c>
      <c r="D1573" s="55" t="s">
        <v>184</v>
      </c>
      <c r="E1573" s="55"/>
      <c r="F1573" s="55"/>
      <c r="G1573" s="56" t="n">
        <v>486.19</v>
      </c>
      <c r="H1573" s="57" t="n">
        <f aca="false">MAX(0,IF(AND(Parameter!$B$21="Ja",ISNUMBER(Y1573)),Y1573,IF(Parameter!$B$20="Jahresanfang 2025 + Export",BL1573+BK1573,BK1573)))</f>
        <v>4</v>
      </c>
      <c r="I1573" s="57" t="n">
        <f aca="false">H1573*G1573</f>
        <v>1944.76</v>
      </c>
      <c r="J1573" s="57" t="n">
        <f aca="false">BN1573*Parameter!$B$18</f>
        <v>0</v>
      </c>
      <c r="K1573" s="58"/>
      <c r="L1573" s="59"/>
      <c r="M1573" s="57" t="n">
        <v>0</v>
      </c>
      <c r="N1573" s="57" t="n">
        <v>1</v>
      </c>
      <c r="O1573" s="60" t="n">
        <v>21</v>
      </c>
      <c r="P1573" s="55" t="s">
        <v>168</v>
      </c>
      <c r="Q1573" s="57"/>
      <c r="R1573" s="60" t="n">
        <f aca="false">IF(BT1573=1,0,IFERROR(VLOOKUP(BR1573,'Gebinde-Kategorie'!$A$5:$M$45,13,0)+0,0))</f>
        <v>12</v>
      </c>
      <c r="S1573" s="61"/>
      <c r="T1573" s="62" t="s">
        <v>179</v>
      </c>
      <c r="U1573" s="62"/>
      <c r="V1573" s="62"/>
      <c r="W1573" s="55"/>
      <c r="X1573" s="57"/>
      <c r="Y1573" s="57"/>
      <c r="Z1573" s="55" t="n">
        <f aca="false">IF(A1573="","",IF(AND(Parameter!$B$21="Ja",ISNUMBER(W1573)),W1573,IF(BV1573="2+3",IF(ISNUMBER(SEARCH("grosser Artikel",BO1573)),2,IFERROR(VLOOKUP(BR1573,Parameter!$F$35:$G$64,2,0),2)),IF(OR(BV1573="Nein",BV1573=""),"-",BV1573))))</f>
        <v>2</v>
      </c>
      <c r="AA1573" s="62"/>
      <c r="AB1573" s="63"/>
      <c r="AC1573" s="57" t="n">
        <f aca="false">AR1573</f>
        <v>4</v>
      </c>
      <c r="AD1573" s="57" t="n">
        <f aca="false">MAX(AR1573,H1573)</f>
        <v>4</v>
      </c>
      <c r="AE1573" s="64"/>
      <c r="AF1573" s="57" t="n">
        <f aca="false">IF(LEFT(Cockpit!$C$5,1)="A",H1573,IF(CA1573=1,CB1573,IF(LEFT(Cockpit!$C$5,1)="B",AJ1573,MAX(AJ1573,H1573))))</f>
        <v>4</v>
      </c>
      <c r="AG1573" s="57" t="n">
        <f aca="false">IF(BT1573=1,0,ROUNDUP(AF1573/BS1573,0))</f>
        <v>1</v>
      </c>
      <c r="AH1573" s="59" t="n">
        <f aca="false">IF(CH1573&gt;0,CH1573*MAX(1,AF1573/X1573),IF(BT1573=1,IF(AF1573&lt;=0,0,BW1573*MAX(1,IF(H1573&gt;0,AF1573/H1573,1))),IF(R1573&gt;0,AG1573/R1573,0))/MAX(0.1,N(Parameter!$M$21)))</f>
        <v>0.0833333333333333</v>
      </c>
      <c r="AI1573" s="57" t="n">
        <f aca="false">AF1573*G1573</f>
        <v>1944.76</v>
      </c>
      <c r="AJ1573" s="57" t="n">
        <f aca="false">ROUNDUP(MAX(J1573/IF(BZ1573&gt;0,BZ1573,MAX(0.1,N(Cockpit!$C$6))),CC1573)/BS1573,0)*BS1573</f>
        <v>4</v>
      </c>
      <c r="AK1573" s="58" t="n">
        <f aca="false">IF(AH1573&gt;0,J1573/AH1573,-1)</f>
        <v>0</v>
      </c>
      <c r="AL1573" s="58" t="n">
        <f aca="false">IF(AND(OR(BY1573="L1",BY1573="L23"),AH1573&gt;0),SUMIFS($AH$7:$AH$1843,$BY$7:$BY$1843,BY1573,$AK$7:$AK$1843,"&gt;"&amp;AK1573)+SUMIFS($AH$7:$AH$1843,$BY$7:$BY$1843,BY1573,$AK$7:$AK$1843,AK1573,$BQ$7:$BQ$1843,"&lt;="&amp;BQ1573),"")</f>
        <v>84.3281223607311</v>
      </c>
      <c r="AM1573" s="65" t="n">
        <f aca="false">IF(AL1573="",0,MAX(0,MIN(1,(IF(BY1573="L1",Parameter!$E$5,Parameter!$E$6+Parameter!$E$7)-(AL1573-AH1573))/AH1573)))</f>
        <v>1</v>
      </c>
      <c r="AN1573" s="57" t="n">
        <f aca="false">IF(LEFT(Cockpit!$I$5,1)="A",H1573,IF(CA1573=1,CB1573,IF(LEFT(Cockpit!$I$5,1)="B",AR1573,MAX(AR1573,H1573))))</f>
        <v>4</v>
      </c>
      <c r="AO1573" s="57" t="n">
        <f aca="false">IF(BT1573=1,0,ROUNDUP(AN1573/BS1573,0))</f>
        <v>1</v>
      </c>
      <c r="AP1573" s="59" t="n">
        <f aca="false">IF(CH1573&gt;0,CH1573*MAX(1,AN1573/X1573),IF(BT1573=1,IF(AN1573&lt;=0,0,BW1573*MAX(1,IF(H1573&gt;0,AN1573/H1573,1))),IF(R1573&gt;0,AO1573/R1573,0))/MAX(0.1,N(Parameter!$M$21)))</f>
        <v>0.0833333333333333</v>
      </c>
      <c r="AQ1573" s="57" t="n">
        <f aca="false">AN1573*G1573</f>
        <v>1944.76</v>
      </c>
      <c r="AR1573" s="57" t="n">
        <f aca="false">ROUNDUP(MAX(J1573/IF(BZ1573&gt;0,BZ1573,MAX(0.1,N(Cockpit!$I$6))),CC1573)/BS1573,0)*BS1573</f>
        <v>4</v>
      </c>
      <c r="AS1573" s="58" t="n">
        <f aca="false">IF(AP1573&gt;0,J1573/AP1573,-1)</f>
        <v>0</v>
      </c>
      <c r="AT1573" s="58" t="n">
        <f aca="false">IF(AND(OR(BY1573="L1",BY1573="L23"),AP1573&gt;0),SUMIFS($AP$7:$AP$1843,$BY$7:$BY$1843,BY1573,$AS$7:$AS$1843,"&gt;"&amp;AS1573)+SUMIFS($AP$7:$AP$1843,$BY$7:$BY$1843,BY1573,$AS$7:$AS$1843,AS1573,$BQ$7:$BQ$1843,"&lt;="&amp;BQ1573),"")</f>
        <v>129.580259112868</v>
      </c>
      <c r="AU1573" s="65" t="n">
        <f aca="false">IF(AT1573="",0,MAX(0,MIN(1,(IF(BY1573="L1",Parameter!$E$5,Parameter!$E$6+Parameter!$E$7)-(AT1573-AP1573))/AP1573)))</f>
        <v>0</v>
      </c>
      <c r="AV1573" s="57" t="n">
        <f aca="false">IF(LEFT(Cockpit!$O$5,1)="A",H1573,IF(CA1573=1,CB1573,IF(LEFT(Cockpit!$O$5,1)="B",AZ1573,MAX(AZ1573,H1573))))</f>
        <v>4</v>
      </c>
      <c r="AW1573" s="57" t="n">
        <f aca="false">IF(BT1573=1,0,ROUNDUP(AV1573/BS1573,0))</f>
        <v>1</v>
      </c>
      <c r="AX1573" s="59" t="n">
        <f aca="false">IF(CH1573&gt;0,CH1573*MAX(1,AV1573/X1573),IF(BT1573=1,IF(AV1573&lt;=0,0,BW1573*MAX(1,IF(H1573&gt;0,AV1573/H1573,1))),IF(R1573&gt;0,AW1573/R1573,0))/MAX(0.1,N(Parameter!$M$21)))</f>
        <v>0.0833333333333333</v>
      </c>
      <c r="AY1573" s="57" t="n">
        <f aca="false">AV1573*G1573</f>
        <v>1944.76</v>
      </c>
      <c r="AZ1573" s="57" t="n">
        <f aca="false">ROUNDUP(MAX(J1573/IF(BZ1573&gt;0,BZ1573,MAX(0.1,N(Cockpit!$O$6))),CC1573)/BS1573,0)*BS1573</f>
        <v>4</v>
      </c>
      <c r="BA1573" s="58" t="n">
        <f aca="false">IF(AX1573&gt;0,J1573/AX1573,-1)</f>
        <v>0</v>
      </c>
      <c r="BB1573" s="58" t="n">
        <f aca="false">IF(AND(OR(BY1573="L1",BY1573="L23"),AX1573&gt;0),SUMIFS($AX$7:$AX$1843,$BY$7:$BY$1843,BY1573,$BA$7:$BA$1843,"&gt;"&amp;BA1573)+SUMIFS($AX$7:$AX$1843,$BY$7:$BY$1843,BY1573,$BA$7:$BA$1843,BA1573,$BQ$7:$BQ$1843,"&lt;="&amp;BQ1573),"")</f>
        <v>120.410095942705</v>
      </c>
      <c r="BC1573" s="65" t="n">
        <f aca="false">IF(BB1573="",0,MAX(0,MIN(1,(IF(BY1573="L1",Parameter!$E$5,Parameter!$E$6+Parameter!$E$7)-(BB1573-AX1573))/AX1573)))</f>
        <v>0</v>
      </c>
      <c r="BD1573" s="55" t="str">
        <f aca="false">IF(AH1573&lt;=0,"",IF(BY1573="Aussen","Aussenlager",IF(BY1573="-","Nicht im Lift",IF(AM1573&gt;=1,"Lift",IF(AM1573&lt;=0,"Aussenlager","teilweise")))))</f>
        <v>Lift</v>
      </c>
      <c r="BE1573" s="55" t="str">
        <f aca="false">IF(AP1573&lt;=0,"",IF(BY1573="Aussen","Aussenlager",IF(BY1573="-","Nicht im Lift",IF(AU1573&gt;=1,"Lift",IF(AU1573&lt;=0,"Aussenlager","teilweise")))))</f>
        <v>Aussenlager</v>
      </c>
      <c r="BF1573" s="55" t="str">
        <f aca="false">IF(AX1573&lt;=0,"",IF(BY1573="Aussen","Aussenlager",IF(BY1573="-","Nicht im Lift",IF(BC1573&gt;=1,"Lift",IF(BC1573&lt;=0,"Aussenlager","teilweise")))))</f>
        <v>Aussenlager</v>
      </c>
      <c r="BG1573" s="55" t="str">
        <f aca="false">IF(A1573="","",IF(BP1573=1,"Neu; ","")&amp;IF(AND(BP1573=0,BK1573&lt;0),"negativer Bestand (Export "&amp;BK1573&amp;"); ","")&amp;IF(J1573&lt;=0,"Kein Verbrauch; ","")&amp;IF(CH1573&gt;0,"Lift "&amp;W1573&amp;" lt. Liftbericht (Fach "&amp;X1573&amp;" Stk); ",IF(BU1573=1,"Gebinde geschätzt ("&amp;T1573&amp;"); ",IF(BT1573=1,"Lose – Tablare geschätzt; ","")))&amp;IF(H1573&gt;AR1573,"Überbestand "&amp;ROUND(H1573-AR1573,0)&amp;" Stk / CHF "&amp;ROUND((H1573-AR1573)*G1573,0)&amp;"; ","")&amp;IF(AND(CA1573=1,CB1573&lt;CC1573),"MAX &lt; MB+LG; ","")&amp;IF(AND(CG1573&gt;0,CF1573*10&gt;CG1573),"zu hoch für Tablar; ","")&amp;IF(AND(BP1573=0,OR(CA1573=1,AA1573&lt;&gt;"",U1573&lt;&gt;"",V1573&lt;&gt;"",AB1573&lt;&gt;"")),"manuell übersteuert; ","")&amp;IF(AND(BT1573=0,R1573=0),"Gebinde unbekannt / Stellmass fehlt; ","")&amp;IF(AND(BT1573=0,N(V1573)&lt;=0,N(Q1573)&lt;=0),"Menge pro Gebinde fehlt (Ist = 1 Gebinde); ","")&amp;BO1573)</f>
        <v>Kein Verbrauch; Gebinde geschätzt (Mittel); Menge pro Gebinde fehlt (Ist = 1 Gebinde); nur im Artikelstamm (Bestand 23.06.2026)</v>
      </c>
      <c r="BH1573" s="55"/>
      <c r="BI1573" s="55"/>
      <c r="BJ1573" s="62"/>
      <c r="BK1573" s="57" t="n">
        <v>4</v>
      </c>
      <c r="BL1573" s="57" t="n">
        <v>0</v>
      </c>
      <c r="BM1573" s="56" t="n">
        <v>0</v>
      </c>
      <c r="BN1573" s="57" t="n">
        <v>0</v>
      </c>
      <c r="BO1573" s="55" t="s">
        <v>2575</v>
      </c>
      <c r="BP1573" s="60" t="n">
        <v>0</v>
      </c>
      <c r="BQ1573" s="60" t="n">
        <v>1573</v>
      </c>
      <c r="BR1573" s="55" t="str">
        <f aca="false">IF(U1573&lt;&gt;"",UPPER(TRIM(U1573)),IF(BU1573=1,UPPER(VLOOKUP(T1573,Parameter!$I$27:$K$29,2,0)),IF(P1573="","LOSE",P1573)))</f>
        <v>S61</v>
      </c>
      <c r="BS1573" s="57" t="n">
        <f aca="false">IF(BR1573="LOSE",1,IF(N(V1573)&gt;0,V1573,IF(BU1573=1,MAX(1,N(VLOOKUP(T1573,Parameter!$I$27:$K$29,3,0)),H1573,N(N1573)),IF(N(Q1573)&gt;0,Q1573,MAX(1,H1573)))))</f>
        <v>4</v>
      </c>
      <c r="BT1573" s="60" t="n">
        <f aca="false">IF(BR1573="LOSE",1,0)</f>
        <v>0</v>
      </c>
      <c r="BU1573" s="60" t="n">
        <f aca="false">IF(AND(U1573="",OR(P1573="",P1573="LOSE"),T1573&lt;&gt;"",N(S1573)&lt;=0,ISNUMBER(MATCH(T1573,Parameter!$I$27:$I$29,0))),1,0)</f>
        <v>1</v>
      </c>
      <c r="BV1573" s="55" t="str">
        <f aca="false">IF(AND(Parameter!$B$19="Ja",E1573&lt;&gt;"",ISNUMBER(MATCH(E1573,Parameter!$I$35:$I$52,0))),VLOOKUP(E1573,Parameter!$I$35:$J$52,2,0),IFERROR(VLOOKUP(D1573,Parameter!$A$35:$C$64,2,0),"Nein"))</f>
        <v>2+3</v>
      </c>
      <c r="BW1573" s="59" t="n">
        <f aca="false">IF(BT1573=0,0,IF(N(S1573)&gt;0,S1573,IFERROR(VLOOKUP(D1573,Parameter!$A$35:$C$64,3,0)+0,0)))</f>
        <v>0</v>
      </c>
      <c r="BX1573" s="55" t="n">
        <f aca="false">IF(AA1573&lt;&gt;"",AA1573,Z1573)</f>
        <v>2</v>
      </c>
      <c r="BY1573" s="55" t="str">
        <f aca="false">IF(BX1573=1,"L1",IF(OR(BX1573=2,BX1573=3),"L23",IF(BX1573="Aussen","Aussen","-")))</f>
        <v>L23</v>
      </c>
      <c r="BZ1573" s="66" t="n">
        <f aca="false">IF(N(AB1573)&gt;0,AB1573,0)</f>
        <v>0</v>
      </c>
      <c r="CA1573" s="60" t="n">
        <f aca="false">IF(ISNUMBER(AE1573),1,0)</f>
        <v>0</v>
      </c>
      <c r="CB1573" s="57" t="n">
        <f aca="false">N(AE1573)</f>
        <v>0</v>
      </c>
      <c r="CC1573" s="57" t="n">
        <f aca="false">N(M1573)+N(N1573)</f>
        <v>1</v>
      </c>
      <c r="CD1573" s="57" t="n">
        <f aca="false">ROUNDUP(H1573/BS1573,0)</f>
        <v>1</v>
      </c>
      <c r="CE1573" s="57" t="n">
        <f aca="false">ROUNDUP(CB1573/BS1573,0)</f>
        <v>0</v>
      </c>
      <c r="CF1573" s="60" t="n">
        <f aca="false">IF(BT1573=1,0,IFERROR(VLOOKUP(BR1573,'Gebinde-Kategorie'!$A$5:$M$45,5,0)+0,0))</f>
        <v>11</v>
      </c>
      <c r="CG1573" s="60" t="n">
        <f aca="false">IFERROR(IF(OR(BX1573=1,BX1573=2,BX1573=3),N(INDEX(Parameter!$I$5:$I$7,BX1573)),0),0)</f>
        <v>0</v>
      </c>
      <c r="CH1573" s="59" t="n">
        <f aca="false">IF(AND(Parameter!$B$21="Ja",ISNUMBER(W1573),N(X1573)&gt;0),IFERROR(N(INDEX(Parameter!$L$5:$L$7,W1573))*INDEX(Parameter!$E$5:$E$7,W1573)*X1573/SUMIFS($X$7:$X$1843,$W$7:$W$1843,W1573),0),0)</f>
        <v>0</v>
      </c>
    </row>
    <row r="1574" customFormat="false" ht="15" hidden="false" customHeight="false" outlineLevel="0" collapsed="false">
      <c r="A1574" s="55" t="s">
        <v>2750</v>
      </c>
      <c r="B1574" s="55" t="s">
        <v>2746</v>
      </c>
      <c r="C1574" s="55" t="s">
        <v>164</v>
      </c>
      <c r="D1574" s="55" t="s">
        <v>184</v>
      </c>
      <c r="E1574" s="55"/>
      <c r="F1574" s="55"/>
      <c r="G1574" s="56" t="n">
        <v>4.22</v>
      </c>
      <c r="H1574" s="57" t="n">
        <f aca="false">MAX(0,IF(AND(Parameter!$B$21="Ja",ISNUMBER(Y1574)),Y1574,IF(Parameter!$B$20="Jahresanfang 2025 + Export",BL1574+BK1574,BK1574)))</f>
        <v>45</v>
      </c>
      <c r="I1574" s="57" t="n">
        <f aca="false">H1574*G1574</f>
        <v>189.9</v>
      </c>
      <c r="J1574" s="57" t="n">
        <f aca="false">BN1574*Parameter!$B$18</f>
        <v>0</v>
      </c>
      <c r="K1574" s="58"/>
      <c r="L1574" s="59"/>
      <c r="M1574" s="57" t="n">
        <v>0</v>
      </c>
      <c r="N1574" s="57" t="n">
        <v>30</v>
      </c>
      <c r="O1574" s="60" t="n">
        <v>0</v>
      </c>
      <c r="P1574" s="55" t="s">
        <v>168</v>
      </c>
      <c r="Q1574" s="57"/>
      <c r="R1574" s="60" t="n">
        <f aca="false">IF(BT1574=1,0,IFERROR(VLOOKUP(BR1574,'Gebinde-Kategorie'!$A$5:$M$45,13,0)+0,0))</f>
        <v>26</v>
      </c>
      <c r="S1574" s="61"/>
      <c r="T1574" s="62" t="s">
        <v>275</v>
      </c>
      <c r="U1574" s="62"/>
      <c r="V1574" s="62"/>
      <c r="W1574" s="55"/>
      <c r="X1574" s="57"/>
      <c r="Y1574" s="57"/>
      <c r="Z1574" s="55" t="n">
        <f aca="false">IF(A1574="","",IF(AND(Parameter!$B$21="Ja",ISNUMBER(W1574)),W1574,IF(BV1574="2+3",IF(ISNUMBER(SEARCH("grosser Artikel",BO1574)),2,IFERROR(VLOOKUP(BR1574,Parameter!$F$35:$G$64,2,0),2)),IF(OR(BV1574="Nein",BV1574=""),"-",BV1574))))</f>
        <v>3</v>
      </c>
      <c r="AA1574" s="62"/>
      <c r="AB1574" s="63"/>
      <c r="AC1574" s="57" t="n">
        <f aca="false">AR1574</f>
        <v>45</v>
      </c>
      <c r="AD1574" s="57" t="n">
        <f aca="false">MAX(AR1574,H1574)</f>
        <v>45</v>
      </c>
      <c r="AE1574" s="64"/>
      <c r="AF1574" s="57" t="n">
        <f aca="false">IF(LEFT(Cockpit!$C$5,1)="A",H1574,IF(CA1574=1,CB1574,IF(LEFT(Cockpit!$C$5,1)="B",AJ1574,MAX(AJ1574,H1574))))</f>
        <v>45</v>
      </c>
      <c r="AG1574" s="57" t="n">
        <f aca="false">IF(BT1574=1,0,ROUNDUP(AF1574/BS1574,0))</f>
        <v>1</v>
      </c>
      <c r="AH1574" s="59" t="n">
        <f aca="false">IF(CH1574&gt;0,CH1574*MAX(1,AF1574/X1574),IF(BT1574=1,IF(AF1574&lt;=0,0,BW1574*MAX(1,IF(H1574&gt;0,AF1574/H1574,1))),IF(R1574&gt;0,AG1574/R1574,0))/MAX(0.1,N(Parameter!$M$21)))</f>
        <v>0.0384615384615385</v>
      </c>
      <c r="AI1574" s="57" t="n">
        <f aca="false">AF1574*G1574</f>
        <v>189.9</v>
      </c>
      <c r="AJ1574" s="57" t="n">
        <f aca="false">ROUNDUP(MAX(J1574/IF(BZ1574&gt;0,BZ1574,MAX(0.1,N(Cockpit!$C$6))),CC1574)/BS1574,0)*BS1574</f>
        <v>45</v>
      </c>
      <c r="AK1574" s="58" t="n">
        <f aca="false">IF(AH1574&gt;0,J1574/AH1574,-1)</f>
        <v>0</v>
      </c>
      <c r="AL1574" s="58" t="n">
        <f aca="false">IF(AND(OR(BY1574="L1",BY1574="L23"),AH1574&gt;0),SUMIFS($AH$7:$AH$1843,$BY$7:$BY$1843,BY1574,$AK$7:$AK$1843,"&gt;"&amp;AK1574)+SUMIFS($AH$7:$AH$1843,$BY$7:$BY$1843,BY1574,$AK$7:$AK$1843,AK1574,$BQ$7:$BQ$1843,"&lt;="&amp;BQ1574),"")</f>
        <v>84.3665838991926</v>
      </c>
      <c r="AM1574" s="65" t="n">
        <f aca="false">IF(AL1574="",0,MAX(0,MIN(1,(IF(BY1574="L1",Parameter!$E$5,Parameter!$E$6+Parameter!$E$7)-(AL1574-AH1574))/AH1574)))</f>
        <v>1</v>
      </c>
      <c r="AN1574" s="57" t="n">
        <f aca="false">IF(LEFT(Cockpit!$I$5,1)="A",H1574,IF(CA1574=1,CB1574,IF(LEFT(Cockpit!$I$5,1)="B",AR1574,MAX(AR1574,H1574))))</f>
        <v>45</v>
      </c>
      <c r="AO1574" s="57" t="n">
        <f aca="false">IF(BT1574=1,0,ROUNDUP(AN1574/BS1574,0))</f>
        <v>1</v>
      </c>
      <c r="AP1574" s="59" t="n">
        <f aca="false">IF(CH1574&gt;0,CH1574*MAX(1,AN1574/X1574),IF(BT1574=1,IF(AN1574&lt;=0,0,BW1574*MAX(1,IF(H1574&gt;0,AN1574/H1574,1))),IF(R1574&gt;0,AO1574/R1574,0))/MAX(0.1,N(Parameter!$M$21)))</f>
        <v>0.0384615384615385</v>
      </c>
      <c r="AQ1574" s="57" t="n">
        <f aca="false">AN1574*G1574</f>
        <v>189.9</v>
      </c>
      <c r="AR1574" s="57" t="n">
        <f aca="false">ROUNDUP(MAX(J1574/IF(BZ1574&gt;0,BZ1574,MAX(0.1,N(Cockpit!$I$6))),CC1574)/BS1574,0)*BS1574</f>
        <v>45</v>
      </c>
      <c r="AS1574" s="58" t="n">
        <f aca="false">IF(AP1574&gt;0,J1574/AP1574,-1)</f>
        <v>0</v>
      </c>
      <c r="AT1574" s="58" t="n">
        <f aca="false">IF(AND(OR(BY1574="L1",BY1574="L23"),AP1574&gt;0),SUMIFS($AP$7:$AP$1843,$BY$7:$BY$1843,BY1574,$AS$7:$AS$1843,"&gt;"&amp;AS1574)+SUMIFS($AP$7:$AP$1843,$BY$7:$BY$1843,BY1574,$AS$7:$AS$1843,AS1574,$BQ$7:$BQ$1843,"&lt;="&amp;BQ1574),"")</f>
        <v>129.618720651329</v>
      </c>
      <c r="AU1574" s="65" t="n">
        <f aca="false">IF(AT1574="",0,MAX(0,MIN(1,(IF(BY1574="L1",Parameter!$E$5,Parameter!$E$6+Parameter!$E$7)-(AT1574-AP1574))/AP1574)))</f>
        <v>0</v>
      </c>
      <c r="AV1574" s="57" t="n">
        <f aca="false">IF(LEFT(Cockpit!$O$5,1)="A",H1574,IF(CA1574=1,CB1574,IF(LEFT(Cockpit!$O$5,1)="B",AZ1574,MAX(AZ1574,H1574))))</f>
        <v>45</v>
      </c>
      <c r="AW1574" s="57" t="n">
        <f aca="false">IF(BT1574=1,0,ROUNDUP(AV1574/BS1574,0))</f>
        <v>1</v>
      </c>
      <c r="AX1574" s="59" t="n">
        <f aca="false">IF(CH1574&gt;0,CH1574*MAX(1,AV1574/X1574),IF(BT1574=1,IF(AV1574&lt;=0,0,BW1574*MAX(1,IF(H1574&gt;0,AV1574/H1574,1))),IF(R1574&gt;0,AW1574/R1574,0))/MAX(0.1,N(Parameter!$M$21)))</f>
        <v>0.0384615384615385</v>
      </c>
      <c r="AY1574" s="57" t="n">
        <f aca="false">AV1574*G1574</f>
        <v>189.9</v>
      </c>
      <c r="AZ1574" s="57" t="n">
        <f aca="false">ROUNDUP(MAX(J1574/IF(BZ1574&gt;0,BZ1574,MAX(0.1,N(Cockpit!$O$6))),CC1574)/BS1574,0)*BS1574</f>
        <v>45</v>
      </c>
      <c r="BA1574" s="58" t="n">
        <f aca="false">IF(AX1574&gt;0,J1574/AX1574,-1)</f>
        <v>0</v>
      </c>
      <c r="BB1574" s="58" t="n">
        <f aca="false">IF(AND(OR(BY1574="L1",BY1574="L23"),AX1574&gt;0),SUMIFS($AX$7:$AX$1843,$BY$7:$BY$1843,BY1574,$BA$7:$BA$1843,"&gt;"&amp;BA1574)+SUMIFS($AX$7:$AX$1843,$BY$7:$BY$1843,BY1574,$BA$7:$BA$1843,BA1574,$BQ$7:$BQ$1843,"&lt;="&amp;BQ1574),"")</f>
        <v>120.448557481166</v>
      </c>
      <c r="BC1574" s="65" t="n">
        <f aca="false">IF(BB1574="",0,MAX(0,MIN(1,(IF(BY1574="L1",Parameter!$E$5,Parameter!$E$6+Parameter!$E$7)-(BB1574-AX1574))/AX1574)))</f>
        <v>0</v>
      </c>
      <c r="BD1574" s="55" t="str">
        <f aca="false">IF(AH1574&lt;=0,"",IF(BY1574="Aussen","Aussenlager",IF(BY1574="-","Nicht im Lift",IF(AM1574&gt;=1,"Lift",IF(AM1574&lt;=0,"Aussenlager","teilweise")))))</f>
        <v>Lift</v>
      </c>
      <c r="BE1574" s="55" t="str">
        <f aca="false">IF(AP1574&lt;=0,"",IF(BY1574="Aussen","Aussenlager",IF(BY1574="-","Nicht im Lift",IF(AU1574&gt;=1,"Lift",IF(AU1574&lt;=0,"Aussenlager","teilweise")))))</f>
        <v>Aussenlager</v>
      </c>
      <c r="BF1574" s="55" t="str">
        <f aca="false">IF(AX1574&lt;=0,"",IF(BY1574="Aussen","Aussenlager",IF(BY1574="-","Nicht im Lift",IF(BC1574&gt;=1,"Lift",IF(BC1574&lt;=0,"Aussenlager","teilweise")))))</f>
        <v>Aussenlager</v>
      </c>
      <c r="BG1574" s="55" t="str">
        <f aca="false">IF(A1574="","",IF(BP1574=1,"Neu; ","")&amp;IF(AND(BP1574=0,BK1574&lt;0),"negativer Bestand (Export "&amp;BK1574&amp;"); ","")&amp;IF(J1574&lt;=0,"Kein Verbrauch; ","")&amp;IF(CH1574&gt;0,"Lift "&amp;W1574&amp;" lt. Liftbericht (Fach "&amp;X1574&amp;" Stk); ",IF(BU1574=1,"Gebinde geschätzt ("&amp;T1574&amp;"); ",IF(BT1574=1,"Lose – Tablare geschätzt; ","")))&amp;IF(H1574&gt;AR1574,"Überbestand "&amp;ROUND(H1574-AR1574,0)&amp;" Stk / CHF "&amp;ROUND((H1574-AR1574)*G1574,0)&amp;"; ","")&amp;IF(AND(CA1574=1,CB1574&lt;CC1574),"MAX &lt; MB+LG; ","")&amp;IF(AND(CG1574&gt;0,CF1574*10&gt;CG1574),"zu hoch für Tablar; ","")&amp;IF(AND(BP1574=0,OR(CA1574=1,AA1574&lt;&gt;"",U1574&lt;&gt;"",V1574&lt;&gt;"",AB1574&lt;&gt;"")),"manuell übersteuert; ","")&amp;IF(AND(BT1574=0,R1574=0),"Gebinde unbekannt / Stellmass fehlt; ","")&amp;IF(AND(BT1574=0,N(V1574)&lt;=0,N(Q1574)&lt;=0),"Menge pro Gebinde fehlt (Ist = 1 Gebinde); ","")&amp;BO1574)</f>
        <v>Kein Verbrauch; Gebinde geschätzt (Klein); Menge pro Gebinde fehlt (Ist = 1 Gebinde); nur im Artikelstamm (Bestand 23.06.2026); Überbestand</v>
      </c>
      <c r="BH1574" s="55"/>
      <c r="BI1574" s="55"/>
      <c r="BJ1574" s="62"/>
      <c r="BK1574" s="57" t="n">
        <v>45</v>
      </c>
      <c r="BL1574" s="57" t="n">
        <v>0</v>
      </c>
      <c r="BM1574" s="56" t="n">
        <v>0</v>
      </c>
      <c r="BN1574" s="57" t="n">
        <v>0</v>
      </c>
      <c r="BO1574" s="55" t="s">
        <v>2572</v>
      </c>
      <c r="BP1574" s="60" t="n">
        <v>0</v>
      </c>
      <c r="BQ1574" s="60" t="n">
        <v>1574</v>
      </c>
      <c r="BR1574" s="55" t="str">
        <f aca="false">IF(U1574&lt;&gt;"",UPPER(TRIM(U1574)),IF(BU1574=1,UPPER(VLOOKUP(T1574,Parameter!$I$27:$K$29,2,0)),IF(P1574="","LOSE",P1574)))</f>
        <v>S51</v>
      </c>
      <c r="BS1574" s="57" t="n">
        <f aca="false">IF(BR1574="LOSE",1,IF(N(V1574)&gt;0,V1574,IF(BU1574=1,MAX(1,N(VLOOKUP(T1574,Parameter!$I$27:$K$29,3,0)),H1574,N(N1574)),IF(N(Q1574)&gt;0,Q1574,MAX(1,H1574)))))</f>
        <v>45</v>
      </c>
      <c r="BT1574" s="60" t="n">
        <f aca="false">IF(BR1574="LOSE",1,0)</f>
        <v>0</v>
      </c>
      <c r="BU1574" s="60" t="n">
        <f aca="false">IF(AND(U1574="",OR(P1574="",P1574="LOSE"),T1574&lt;&gt;"",N(S1574)&lt;=0,ISNUMBER(MATCH(T1574,Parameter!$I$27:$I$29,0))),1,0)</f>
        <v>1</v>
      </c>
      <c r="BV1574" s="55" t="str">
        <f aca="false">IF(AND(Parameter!$B$19="Ja",E1574&lt;&gt;"",ISNUMBER(MATCH(E1574,Parameter!$I$35:$I$52,0))),VLOOKUP(E1574,Parameter!$I$35:$J$52,2,0),IFERROR(VLOOKUP(D1574,Parameter!$A$35:$C$64,2,0),"Nein"))</f>
        <v>2+3</v>
      </c>
      <c r="BW1574" s="59" t="n">
        <f aca="false">IF(BT1574=0,0,IF(N(S1574)&gt;0,S1574,IFERROR(VLOOKUP(D1574,Parameter!$A$35:$C$64,3,0)+0,0)))</f>
        <v>0</v>
      </c>
      <c r="BX1574" s="55" t="n">
        <f aca="false">IF(AA1574&lt;&gt;"",AA1574,Z1574)</f>
        <v>3</v>
      </c>
      <c r="BY1574" s="55" t="str">
        <f aca="false">IF(BX1574=1,"L1",IF(OR(BX1574=2,BX1574=3),"L23",IF(BX1574="Aussen","Aussen","-")))</f>
        <v>L23</v>
      </c>
      <c r="BZ1574" s="66" t="n">
        <f aca="false">IF(N(AB1574)&gt;0,AB1574,0)</f>
        <v>0</v>
      </c>
      <c r="CA1574" s="60" t="n">
        <f aca="false">IF(ISNUMBER(AE1574),1,0)</f>
        <v>0</v>
      </c>
      <c r="CB1574" s="57" t="n">
        <f aca="false">N(AE1574)</f>
        <v>0</v>
      </c>
      <c r="CC1574" s="57" t="n">
        <f aca="false">N(M1574)+N(N1574)</f>
        <v>30</v>
      </c>
      <c r="CD1574" s="57" t="n">
        <f aca="false">ROUNDUP(H1574/BS1574,0)</f>
        <v>1</v>
      </c>
      <c r="CE1574" s="57" t="n">
        <f aca="false">ROUNDUP(CB1574/BS1574,0)</f>
        <v>0</v>
      </c>
      <c r="CF1574" s="60" t="n">
        <f aca="false">IF(BT1574=1,0,IFERROR(VLOOKUP(BR1574,'Gebinde-Kategorie'!$A$5:$M$45,5,0)+0,0))</f>
        <v>11</v>
      </c>
      <c r="CG1574" s="60" t="n">
        <f aca="false">IFERROR(IF(OR(BX1574=1,BX1574=2,BX1574=3),N(INDEX(Parameter!$I$5:$I$7,BX1574)),0),0)</f>
        <v>0</v>
      </c>
      <c r="CH1574" s="59" t="n">
        <f aca="false">IF(AND(Parameter!$B$21="Ja",ISNUMBER(W1574),N(X1574)&gt;0),IFERROR(N(INDEX(Parameter!$L$5:$L$7,W1574))*INDEX(Parameter!$E$5:$E$7,W1574)*X1574/SUMIFS($X$7:$X$1843,$W$7:$W$1843,W1574),0),0)</f>
        <v>0</v>
      </c>
    </row>
    <row r="1575" customFormat="false" ht="15" hidden="false" customHeight="false" outlineLevel="0" collapsed="false">
      <c r="A1575" s="55" t="s">
        <v>2751</v>
      </c>
      <c r="B1575" s="55" t="s">
        <v>405</v>
      </c>
      <c r="C1575" s="55" t="s">
        <v>164</v>
      </c>
      <c r="D1575" s="55" t="s">
        <v>184</v>
      </c>
      <c r="E1575" s="55"/>
      <c r="F1575" s="55"/>
      <c r="G1575" s="56" t="n">
        <v>0.03</v>
      </c>
      <c r="H1575" s="57" t="n">
        <f aca="false">MAX(0,IF(AND(Parameter!$B$21="Ja",ISNUMBER(Y1575)),Y1575,IF(Parameter!$B$20="Jahresanfang 2025 + Export",BL1575+BK1575,BK1575)))</f>
        <v>171</v>
      </c>
      <c r="I1575" s="57" t="n">
        <f aca="false">H1575*G1575</f>
        <v>5.13</v>
      </c>
      <c r="J1575" s="57" t="n">
        <f aca="false">BN1575*Parameter!$B$18</f>
        <v>0</v>
      </c>
      <c r="K1575" s="58"/>
      <c r="L1575" s="59"/>
      <c r="M1575" s="57" t="n">
        <v>0</v>
      </c>
      <c r="N1575" s="57" t="n">
        <v>100</v>
      </c>
      <c r="O1575" s="60" t="n">
        <v>0</v>
      </c>
      <c r="P1575" s="55" t="s">
        <v>168</v>
      </c>
      <c r="Q1575" s="57"/>
      <c r="R1575" s="60" t="n">
        <f aca="false">IF(BT1575=1,0,IFERROR(VLOOKUP(BR1575,'Gebinde-Kategorie'!$A$5:$M$45,13,0)+0,0))</f>
        <v>26</v>
      </c>
      <c r="S1575" s="61"/>
      <c r="T1575" s="62" t="s">
        <v>275</v>
      </c>
      <c r="U1575" s="62"/>
      <c r="V1575" s="62"/>
      <c r="W1575" s="55"/>
      <c r="X1575" s="57"/>
      <c r="Y1575" s="57"/>
      <c r="Z1575" s="55" t="n">
        <f aca="false">IF(A1575="","",IF(AND(Parameter!$B$21="Ja",ISNUMBER(W1575)),W1575,IF(BV1575="2+3",IF(ISNUMBER(SEARCH("grosser Artikel",BO1575)),2,IFERROR(VLOOKUP(BR1575,Parameter!$F$35:$G$64,2,0),2)),IF(OR(BV1575="Nein",BV1575=""),"-",BV1575))))</f>
        <v>3</v>
      </c>
      <c r="AA1575" s="62"/>
      <c r="AB1575" s="63"/>
      <c r="AC1575" s="57" t="n">
        <f aca="false">AR1575</f>
        <v>171</v>
      </c>
      <c r="AD1575" s="57" t="n">
        <f aca="false">MAX(AR1575,H1575)</f>
        <v>171</v>
      </c>
      <c r="AE1575" s="64"/>
      <c r="AF1575" s="57" t="n">
        <f aca="false">IF(LEFT(Cockpit!$C$5,1)="A",H1575,IF(CA1575=1,CB1575,IF(LEFT(Cockpit!$C$5,1)="B",AJ1575,MAX(AJ1575,H1575))))</f>
        <v>171</v>
      </c>
      <c r="AG1575" s="57" t="n">
        <f aca="false">IF(BT1575=1,0,ROUNDUP(AF1575/BS1575,0))</f>
        <v>1</v>
      </c>
      <c r="AH1575" s="59" t="n">
        <f aca="false">IF(CH1575&gt;0,CH1575*MAX(1,AF1575/X1575),IF(BT1575=1,IF(AF1575&lt;=0,0,BW1575*MAX(1,IF(H1575&gt;0,AF1575/H1575,1))),IF(R1575&gt;0,AG1575/R1575,0))/MAX(0.1,N(Parameter!$M$21)))</f>
        <v>0.0384615384615385</v>
      </c>
      <c r="AI1575" s="57" t="n">
        <f aca="false">AF1575*G1575</f>
        <v>5.13</v>
      </c>
      <c r="AJ1575" s="57" t="n">
        <f aca="false">ROUNDUP(MAX(J1575/IF(BZ1575&gt;0,BZ1575,MAX(0.1,N(Cockpit!$C$6))),CC1575)/BS1575,0)*BS1575</f>
        <v>171</v>
      </c>
      <c r="AK1575" s="58" t="n">
        <f aca="false">IF(AH1575&gt;0,J1575/AH1575,-1)</f>
        <v>0</v>
      </c>
      <c r="AL1575" s="58" t="n">
        <f aca="false">IF(AND(OR(BY1575="L1",BY1575="L23"),AH1575&gt;0),SUMIFS($AH$7:$AH$1843,$BY$7:$BY$1843,BY1575,$AK$7:$AK$1843,"&gt;"&amp;AK1575)+SUMIFS($AH$7:$AH$1843,$BY$7:$BY$1843,BY1575,$AK$7:$AK$1843,AK1575,$BQ$7:$BQ$1843,"&lt;="&amp;BQ1575),"")</f>
        <v>84.4050454376541</v>
      </c>
      <c r="AM1575" s="65" t="n">
        <f aca="false">IF(AL1575="",0,MAX(0,MIN(1,(IF(BY1575="L1",Parameter!$E$5,Parameter!$E$6+Parameter!$E$7)-(AL1575-AH1575))/AH1575)))</f>
        <v>1</v>
      </c>
      <c r="AN1575" s="57" t="n">
        <f aca="false">IF(LEFT(Cockpit!$I$5,1)="A",H1575,IF(CA1575=1,CB1575,IF(LEFT(Cockpit!$I$5,1)="B",AR1575,MAX(AR1575,H1575))))</f>
        <v>171</v>
      </c>
      <c r="AO1575" s="57" t="n">
        <f aca="false">IF(BT1575=1,0,ROUNDUP(AN1575/BS1575,0))</f>
        <v>1</v>
      </c>
      <c r="AP1575" s="59" t="n">
        <f aca="false">IF(CH1575&gt;0,CH1575*MAX(1,AN1575/X1575),IF(BT1575=1,IF(AN1575&lt;=0,0,BW1575*MAX(1,IF(H1575&gt;0,AN1575/H1575,1))),IF(R1575&gt;0,AO1575/R1575,0))/MAX(0.1,N(Parameter!$M$21)))</f>
        <v>0.0384615384615385</v>
      </c>
      <c r="AQ1575" s="57" t="n">
        <f aca="false">AN1575*G1575</f>
        <v>5.13</v>
      </c>
      <c r="AR1575" s="57" t="n">
        <f aca="false">ROUNDUP(MAX(J1575/IF(BZ1575&gt;0,BZ1575,MAX(0.1,N(Cockpit!$I$6))),CC1575)/BS1575,0)*BS1575</f>
        <v>171</v>
      </c>
      <c r="AS1575" s="58" t="n">
        <f aca="false">IF(AP1575&gt;0,J1575/AP1575,-1)</f>
        <v>0</v>
      </c>
      <c r="AT1575" s="58" t="n">
        <f aca="false">IF(AND(OR(BY1575="L1",BY1575="L23"),AP1575&gt;0),SUMIFS($AP$7:$AP$1843,$BY$7:$BY$1843,BY1575,$AS$7:$AS$1843,"&gt;"&amp;AS1575)+SUMIFS($AP$7:$AP$1843,$BY$7:$BY$1843,BY1575,$AS$7:$AS$1843,AS1575,$BQ$7:$BQ$1843,"&lt;="&amp;BQ1575),"")</f>
        <v>129.657182189791</v>
      </c>
      <c r="AU1575" s="65" t="n">
        <f aca="false">IF(AT1575="",0,MAX(0,MIN(1,(IF(BY1575="L1",Parameter!$E$5,Parameter!$E$6+Parameter!$E$7)-(AT1575-AP1575))/AP1575)))</f>
        <v>0</v>
      </c>
      <c r="AV1575" s="57" t="n">
        <f aca="false">IF(LEFT(Cockpit!$O$5,1)="A",H1575,IF(CA1575=1,CB1575,IF(LEFT(Cockpit!$O$5,1)="B",AZ1575,MAX(AZ1575,H1575))))</f>
        <v>171</v>
      </c>
      <c r="AW1575" s="57" t="n">
        <f aca="false">IF(BT1575=1,0,ROUNDUP(AV1575/BS1575,0))</f>
        <v>1</v>
      </c>
      <c r="AX1575" s="59" t="n">
        <f aca="false">IF(CH1575&gt;0,CH1575*MAX(1,AV1575/X1575),IF(BT1575=1,IF(AV1575&lt;=0,0,BW1575*MAX(1,IF(H1575&gt;0,AV1575/H1575,1))),IF(R1575&gt;0,AW1575/R1575,0))/MAX(0.1,N(Parameter!$M$21)))</f>
        <v>0.0384615384615385</v>
      </c>
      <c r="AY1575" s="57" t="n">
        <f aca="false">AV1575*G1575</f>
        <v>5.13</v>
      </c>
      <c r="AZ1575" s="57" t="n">
        <f aca="false">ROUNDUP(MAX(J1575/IF(BZ1575&gt;0,BZ1575,MAX(0.1,N(Cockpit!$O$6))),CC1575)/BS1575,0)*BS1575</f>
        <v>171</v>
      </c>
      <c r="BA1575" s="58" t="n">
        <f aca="false">IF(AX1575&gt;0,J1575/AX1575,-1)</f>
        <v>0</v>
      </c>
      <c r="BB1575" s="58" t="n">
        <f aca="false">IF(AND(OR(BY1575="L1",BY1575="L23"),AX1575&gt;0),SUMIFS($AX$7:$AX$1843,$BY$7:$BY$1843,BY1575,$BA$7:$BA$1843,"&gt;"&amp;BA1575)+SUMIFS($AX$7:$AX$1843,$BY$7:$BY$1843,BY1575,$BA$7:$BA$1843,BA1575,$BQ$7:$BQ$1843,"&lt;="&amp;BQ1575),"")</f>
        <v>120.487019019628</v>
      </c>
      <c r="BC1575" s="65" t="n">
        <f aca="false">IF(BB1575="",0,MAX(0,MIN(1,(IF(BY1575="L1",Parameter!$E$5,Parameter!$E$6+Parameter!$E$7)-(BB1575-AX1575))/AX1575)))</f>
        <v>0</v>
      </c>
      <c r="BD1575" s="55" t="str">
        <f aca="false">IF(AH1575&lt;=0,"",IF(BY1575="Aussen","Aussenlager",IF(BY1575="-","Nicht im Lift",IF(AM1575&gt;=1,"Lift",IF(AM1575&lt;=0,"Aussenlager","teilweise")))))</f>
        <v>Lift</v>
      </c>
      <c r="BE1575" s="55" t="str">
        <f aca="false">IF(AP1575&lt;=0,"",IF(BY1575="Aussen","Aussenlager",IF(BY1575="-","Nicht im Lift",IF(AU1575&gt;=1,"Lift",IF(AU1575&lt;=0,"Aussenlager","teilweise")))))</f>
        <v>Aussenlager</v>
      </c>
      <c r="BF1575" s="55" t="str">
        <f aca="false">IF(AX1575&lt;=0,"",IF(BY1575="Aussen","Aussenlager",IF(BY1575="-","Nicht im Lift",IF(BC1575&gt;=1,"Lift",IF(BC1575&lt;=0,"Aussenlager","teilweise")))))</f>
        <v>Aussenlager</v>
      </c>
      <c r="BG1575" s="55" t="str">
        <f aca="false">IF(A1575="","",IF(BP1575=1,"Neu; ","")&amp;IF(AND(BP1575=0,BK1575&lt;0),"negativer Bestand (Export "&amp;BK1575&amp;"); ","")&amp;IF(J1575&lt;=0,"Kein Verbrauch; ","")&amp;IF(CH1575&gt;0,"Lift "&amp;W1575&amp;" lt. Liftbericht (Fach "&amp;X1575&amp;" Stk); ",IF(BU1575=1,"Gebinde geschätzt ("&amp;T1575&amp;"); ",IF(BT1575=1,"Lose – Tablare geschätzt; ","")))&amp;IF(H1575&gt;AR1575,"Überbestand "&amp;ROUND(H1575-AR1575,0)&amp;" Stk / CHF "&amp;ROUND((H1575-AR1575)*G1575,0)&amp;"; ","")&amp;IF(AND(CA1575=1,CB1575&lt;CC1575),"MAX &lt; MB+LG; ","")&amp;IF(AND(CG1575&gt;0,CF1575*10&gt;CG1575),"zu hoch für Tablar; ","")&amp;IF(AND(BP1575=0,OR(CA1575=1,AA1575&lt;&gt;"",U1575&lt;&gt;"",V1575&lt;&gt;"",AB1575&lt;&gt;"")),"manuell übersteuert; ","")&amp;IF(AND(BT1575=0,R1575=0),"Gebinde unbekannt / Stellmass fehlt; ","")&amp;IF(AND(BT1575=0,N(V1575)&lt;=0,N(Q1575)&lt;=0),"Menge pro Gebinde fehlt (Ist = 1 Gebinde); ","")&amp;BO1575)</f>
        <v>Kein Verbrauch; Gebinde geschätzt (Klein); Menge pro Gebinde fehlt (Ist = 1 Gebinde); nur im Artikelstamm (Bestand 23.06.2026); Überbestand</v>
      </c>
      <c r="BH1575" s="55"/>
      <c r="BI1575" s="55"/>
      <c r="BJ1575" s="62"/>
      <c r="BK1575" s="57" t="n">
        <v>171</v>
      </c>
      <c r="BL1575" s="57" t="n">
        <v>0</v>
      </c>
      <c r="BM1575" s="56" t="n">
        <v>0</v>
      </c>
      <c r="BN1575" s="57" t="n">
        <v>0</v>
      </c>
      <c r="BO1575" s="55" t="s">
        <v>2572</v>
      </c>
      <c r="BP1575" s="60" t="n">
        <v>0</v>
      </c>
      <c r="BQ1575" s="60" t="n">
        <v>1575</v>
      </c>
      <c r="BR1575" s="55" t="str">
        <f aca="false">IF(U1575&lt;&gt;"",UPPER(TRIM(U1575)),IF(BU1575=1,UPPER(VLOOKUP(T1575,Parameter!$I$27:$K$29,2,0)),IF(P1575="","LOSE",P1575)))</f>
        <v>S51</v>
      </c>
      <c r="BS1575" s="57" t="n">
        <f aca="false">IF(BR1575="LOSE",1,IF(N(V1575)&gt;0,V1575,IF(BU1575=1,MAX(1,N(VLOOKUP(T1575,Parameter!$I$27:$K$29,3,0)),H1575,N(N1575)),IF(N(Q1575)&gt;0,Q1575,MAX(1,H1575)))))</f>
        <v>171</v>
      </c>
      <c r="BT1575" s="60" t="n">
        <f aca="false">IF(BR1575="LOSE",1,0)</f>
        <v>0</v>
      </c>
      <c r="BU1575" s="60" t="n">
        <f aca="false">IF(AND(U1575="",OR(P1575="",P1575="LOSE"),T1575&lt;&gt;"",N(S1575)&lt;=0,ISNUMBER(MATCH(T1575,Parameter!$I$27:$I$29,0))),1,0)</f>
        <v>1</v>
      </c>
      <c r="BV1575" s="55" t="str">
        <f aca="false">IF(AND(Parameter!$B$19="Ja",E1575&lt;&gt;"",ISNUMBER(MATCH(E1575,Parameter!$I$35:$I$52,0))),VLOOKUP(E1575,Parameter!$I$35:$J$52,2,0),IFERROR(VLOOKUP(D1575,Parameter!$A$35:$C$64,2,0),"Nein"))</f>
        <v>2+3</v>
      </c>
      <c r="BW1575" s="59" t="n">
        <f aca="false">IF(BT1575=0,0,IF(N(S1575)&gt;0,S1575,IFERROR(VLOOKUP(D1575,Parameter!$A$35:$C$64,3,0)+0,0)))</f>
        <v>0</v>
      </c>
      <c r="BX1575" s="55" t="n">
        <f aca="false">IF(AA1575&lt;&gt;"",AA1575,Z1575)</f>
        <v>3</v>
      </c>
      <c r="BY1575" s="55" t="str">
        <f aca="false">IF(BX1575=1,"L1",IF(OR(BX1575=2,BX1575=3),"L23",IF(BX1575="Aussen","Aussen","-")))</f>
        <v>L23</v>
      </c>
      <c r="BZ1575" s="66" t="n">
        <f aca="false">IF(N(AB1575)&gt;0,AB1575,0)</f>
        <v>0</v>
      </c>
      <c r="CA1575" s="60" t="n">
        <f aca="false">IF(ISNUMBER(AE1575),1,0)</f>
        <v>0</v>
      </c>
      <c r="CB1575" s="57" t="n">
        <f aca="false">N(AE1575)</f>
        <v>0</v>
      </c>
      <c r="CC1575" s="57" t="n">
        <f aca="false">N(M1575)+N(N1575)</f>
        <v>100</v>
      </c>
      <c r="CD1575" s="57" t="n">
        <f aca="false">ROUNDUP(H1575/BS1575,0)</f>
        <v>1</v>
      </c>
      <c r="CE1575" s="57" t="n">
        <f aca="false">ROUNDUP(CB1575/BS1575,0)</f>
        <v>0</v>
      </c>
      <c r="CF1575" s="60" t="n">
        <f aca="false">IF(BT1575=1,0,IFERROR(VLOOKUP(BR1575,'Gebinde-Kategorie'!$A$5:$M$45,5,0)+0,0))</f>
        <v>11</v>
      </c>
      <c r="CG1575" s="60" t="n">
        <f aca="false">IFERROR(IF(OR(BX1575=1,BX1575=2,BX1575=3),N(INDEX(Parameter!$I$5:$I$7,BX1575)),0),0)</f>
        <v>0</v>
      </c>
      <c r="CH1575" s="59" t="n">
        <f aca="false">IF(AND(Parameter!$B$21="Ja",ISNUMBER(W1575),N(X1575)&gt;0),IFERROR(N(INDEX(Parameter!$L$5:$L$7,W1575))*INDEX(Parameter!$E$5:$E$7,W1575)*X1575/SUMIFS($X$7:$X$1843,$W$7:$W$1843,W1575),0),0)</f>
        <v>0</v>
      </c>
    </row>
    <row r="1576" customFormat="false" ht="15" hidden="false" customHeight="false" outlineLevel="0" collapsed="false">
      <c r="A1576" s="55" t="s">
        <v>2752</v>
      </c>
      <c r="B1576" s="55" t="s">
        <v>2753</v>
      </c>
      <c r="C1576" s="55" t="s">
        <v>164</v>
      </c>
      <c r="D1576" s="55" t="s">
        <v>184</v>
      </c>
      <c r="E1576" s="55"/>
      <c r="F1576" s="55"/>
      <c r="G1576" s="56" t="n">
        <v>2.05</v>
      </c>
      <c r="H1576" s="57" t="n">
        <f aca="false">MAX(0,IF(AND(Parameter!$B$21="Ja",ISNUMBER(Y1576)),Y1576,IF(Parameter!$B$20="Jahresanfang 2025 + Export",BL1576+BK1576,BK1576)))</f>
        <v>24</v>
      </c>
      <c r="I1576" s="57" t="n">
        <f aca="false">H1576*G1576</f>
        <v>49.2</v>
      </c>
      <c r="J1576" s="57" t="n">
        <f aca="false">BN1576*Parameter!$B$18</f>
        <v>0</v>
      </c>
      <c r="K1576" s="58"/>
      <c r="L1576" s="59"/>
      <c r="M1576" s="57" t="n">
        <v>0</v>
      </c>
      <c r="N1576" s="57" t="n">
        <v>20</v>
      </c>
      <c r="O1576" s="60" t="n">
        <v>0</v>
      </c>
      <c r="P1576" s="55" t="s">
        <v>168</v>
      </c>
      <c r="Q1576" s="57"/>
      <c r="R1576" s="60" t="n">
        <f aca="false">IF(BT1576=1,0,IFERROR(VLOOKUP(BR1576,'Gebinde-Kategorie'!$A$5:$M$45,13,0)+0,0))</f>
        <v>12</v>
      </c>
      <c r="S1576" s="61"/>
      <c r="T1576" s="62" t="s">
        <v>179</v>
      </c>
      <c r="U1576" s="62"/>
      <c r="V1576" s="62"/>
      <c r="W1576" s="55"/>
      <c r="X1576" s="57"/>
      <c r="Y1576" s="57"/>
      <c r="Z1576" s="55" t="n">
        <f aca="false">IF(A1576="","",IF(AND(Parameter!$B$21="Ja",ISNUMBER(W1576)),W1576,IF(BV1576="2+3",IF(ISNUMBER(SEARCH("grosser Artikel",BO1576)),2,IFERROR(VLOOKUP(BR1576,Parameter!$F$35:$G$64,2,0),2)),IF(OR(BV1576="Nein",BV1576=""),"-",BV1576))))</f>
        <v>2</v>
      </c>
      <c r="AA1576" s="62"/>
      <c r="AB1576" s="63"/>
      <c r="AC1576" s="57" t="n">
        <f aca="false">AR1576</f>
        <v>24</v>
      </c>
      <c r="AD1576" s="57" t="n">
        <f aca="false">MAX(AR1576,H1576)</f>
        <v>24</v>
      </c>
      <c r="AE1576" s="64"/>
      <c r="AF1576" s="57" t="n">
        <f aca="false">IF(LEFT(Cockpit!$C$5,1)="A",H1576,IF(CA1576=1,CB1576,IF(LEFT(Cockpit!$C$5,1)="B",AJ1576,MAX(AJ1576,H1576))))</f>
        <v>24</v>
      </c>
      <c r="AG1576" s="57" t="n">
        <f aca="false">IF(BT1576=1,0,ROUNDUP(AF1576/BS1576,0))</f>
        <v>1</v>
      </c>
      <c r="AH1576" s="59" t="n">
        <f aca="false">IF(CH1576&gt;0,CH1576*MAX(1,AF1576/X1576),IF(BT1576=1,IF(AF1576&lt;=0,0,BW1576*MAX(1,IF(H1576&gt;0,AF1576/H1576,1))),IF(R1576&gt;0,AG1576/R1576,0))/MAX(0.1,N(Parameter!$M$21)))</f>
        <v>0.0833333333333333</v>
      </c>
      <c r="AI1576" s="57" t="n">
        <f aca="false">AF1576*G1576</f>
        <v>49.2</v>
      </c>
      <c r="AJ1576" s="57" t="n">
        <f aca="false">ROUNDUP(MAX(J1576/IF(BZ1576&gt;0,BZ1576,MAX(0.1,N(Cockpit!$C$6))),CC1576)/BS1576,0)*BS1576</f>
        <v>24</v>
      </c>
      <c r="AK1576" s="58" t="n">
        <f aca="false">IF(AH1576&gt;0,J1576/AH1576,-1)</f>
        <v>0</v>
      </c>
      <c r="AL1576" s="58" t="n">
        <f aca="false">IF(AND(OR(BY1576="L1",BY1576="L23"),AH1576&gt;0),SUMIFS($AH$7:$AH$1843,$BY$7:$BY$1843,BY1576,$AK$7:$AK$1843,"&gt;"&amp;AK1576)+SUMIFS($AH$7:$AH$1843,$BY$7:$BY$1843,BY1576,$AK$7:$AK$1843,AK1576,$BQ$7:$BQ$1843,"&lt;="&amp;BQ1576),"")</f>
        <v>84.4883787709875</v>
      </c>
      <c r="AM1576" s="65" t="n">
        <f aca="false">IF(AL1576="",0,MAX(0,MIN(1,(IF(BY1576="L1",Parameter!$E$5,Parameter!$E$6+Parameter!$E$7)-(AL1576-AH1576))/AH1576)))</f>
        <v>1</v>
      </c>
      <c r="AN1576" s="57" t="n">
        <f aca="false">IF(LEFT(Cockpit!$I$5,1)="A",H1576,IF(CA1576=1,CB1576,IF(LEFT(Cockpit!$I$5,1)="B",AR1576,MAX(AR1576,H1576))))</f>
        <v>24</v>
      </c>
      <c r="AO1576" s="57" t="n">
        <f aca="false">IF(BT1576=1,0,ROUNDUP(AN1576/BS1576,0))</f>
        <v>1</v>
      </c>
      <c r="AP1576" s="59" t="n">
        <f aca="false">IF(CH1576&gt;0,CH1576*MAX(1,AN1576/X1576),IF(BT1576=1,IF(AN1576&lt;=0,0,BW1576*MAX(1,IF(H1576&gt;0,AN1576/H1576,1))),IF(R1576&gt;0,AO1576/R1576,0))/MAX(0.1,N(Parameter!$M$21)))</f>
        <v>0.0833333333333333</v>
      </c>
      <c r="AQ1576" s="57" t="n">
        <f aca="false">AN1576*G1576</f>
        <v>49.2</v>
      </c>
      <c r="AR1576" s="57" t="n">
        <f aca="false">ROUNDUP(MAX(J1576/IF(BZ1576&gt;0,BZ1576,MAX(0.1,N(Cockpit!$I$6))),CC1576)/BS1576,0)*BS1576</f>
        <v>24</v>
      </c>
      <c r="AS1576" s="58" t="n">
        <f aca="false">IF(AP1576&gt;0,J1576/AP1576,-1)</f>
        <v>0</v>
      </c>
      <c r="AT1576" s="58" t="n">
        <f aca="false">IF(AND(OR(BY1576="L1",BY1576="L23"),AP1576&gt;0),SUMIFS($AP$7:$AP$1843,$BY$7:$BY$1843,BY1576,$AS$7:$AS$1843,"&gt;"&amp;AS1576)+SUMIFS($AP$7:$AP$1843,$BY$7:$BY$1843,BY1576,$AS$7:$AS$1843,AS1576,$BQ$7:$BQ$1843,"&lt;="&amp;BQ1576),"")</f>
        <v>129.740515523124</v>
      </c>
      <c r="AU1576" s="65" t="n">
        <f aca="false">IF(AT1576="",0,MAX(0,MIN(1,(IF(BY1576="L1",Parameter!$E$5,Parameter!$E$6+Parameter!$E$7)-(AT1576-AP1576))/AP1576)))</f>
        <v>0</v>
      </c>
      <c r="AV1576" s="57" t="n">
        <f aca="false">IF(LEFT(Cockpit!$O$5,1)="A",H1576,IF(CA1576=1,CB1576,IF(LEFT(Cockpit!$O$5,1)="B",AZ1576,MAX(AZ1576,H1576))))</f>
        <v>24</v>
      </c>
      <c r="AW1576" s="57" t="n">
        <f aca="false">IF(BT1576=1,0,ROUNDUP(AV1576/BS1576,0))</f>
        <v>1</v>
      </c>
      <c r="AX1576" s="59" t="n">
        <f aca="false">IF(CH1576&gt;0,CH1576*MAX(1,AV1576/X1576),IF(BT1576=1,IF(AV1576&lt;=0,0,BW1576*MAX(1,IF(H1576&gt;0,AV1576/H1576,1))),IF(R1576&gt;0,AW1576/R1576,0))/MAX(0.1,N(Parameter!$M$21)))</f>
        <v>0.0833333333333333</v>
      </c>
      <c r="AY1576" s="57" t="n">
        <f aca="false">AV1576*G1576</f>
        <v>49.2</v>
      </c>
      <c r="AZ1576" s="57" t="n">
        <f aca="false">ROUNDUP(MAX(J1576/IF(BZ1576&gt;0,BZ1576,MAX(0.1,N(Cockpit!$O$6))),CC1576)/BS1576,0)*BS1576</f>
        <v>24</v>
      </c>
      <c r="BA1576" s="58" t="n">
        <f aca="false">IF(AX1576&gt;0,J1576/AX1576,-1)</f>
        <v>0</v>
      </c>
      <c r="BB1576" s="58" t="n">
        <f aca="false">IF(AND(OR(BY1576="L1",BY1576="L23"),AX1576&gt;0),SUMIFS($AX$7:$AX$1843,$BY$7:$BY$1843,BY1576,$BA$7:$BA$1843,"&gt;"&amp;BA1576)+SUMIFS($AX$7:$AX$1843,$BY$7:$BY$1843,BY1576,$BA$7:$BA$1843,BA1576,$BQ$7:$BQ$1843,"&lt;="&amp;BQ1576),"")</f>
        <v>120.570352352961</v>
      </c>
      <c r="BC1576" s="65" t="n">
        <f aca="false">IF(BB1576="",0,MAX(0,MIN(1,(IF(BY1576="L1",Parameter!$E$5,Parameter!$E$6+Parameter!$E$7)-(BB1576-AX1576))/AX1576)))</f>
        <v>0</v>
      </c>
      <c r="BD1576" s="55" t="str">
        <f aca="false">IF(AH1576&lt;=0,"",IF(BY1576="Aussen","Aussenlager",IF(BY1576="-","Nicht im Lift",IF(AM1576&gt;=1,"Lift",IF(AM1576&lt;=0,"Aussenlager","teilweise")))))</f>
        <v>Lift</v>
      </c>
      <c r="BE1576" s="55" t="str">
        <f aca="false">IF(AP1576&lt;=0,"",IF(BY1576="Aussen","Aussenlager",IF(BY1576="-","Nicht im Lift",IF(AU1576&gt;=1,"Lift",IF(AU1576&lt;=0,"Aussenlager","teilweise")))))</f>
        <v>Aussenlager</v>
      </c>
      <c r="BF1576" s="55" t="str">
        <f aca="false">IF(AX1576&lt;=0,"",IF(BY1576="Aussen","Aussenlager",IF(BY1576="-","Nicht im Lift",IF(BC1576&gt;=1,"Lift",IF(BC1576&lt;=0,"Aussenlager","teilweise")))))</f>
        <v>Aussenlager</v>
      </c>
      <c r="BG1576" s="55" t="str">
        <f aca="false">IF(A1576="","",IF(BP1576=1,"Neu; ","")&amp;IF(AND(BP1576=0,BK1576&lt;0),"negativer Bestand (Export "&amp;BK1576&amp;"); ","")&amp;IF(J1576&lt;=0,"Kein Verbrauch; ","")&amp;IF(CH1576&gt;0,"Lift "&amp;W1576&amp;" lt. Liftbericht (Fach "&amp;X1576&amp;" Stk); ",IF(BU1576=1,"Gebinde geschätzt ("&amp;T1576&amp;"); ",IF(BT1576=1,"Lose – Tablare geschätzt; ","")))&amp;IF(H1576&gt;AR1576,"Überbestand "&amp;ROUND(H1576-AR1576,0)&amp;" Stk / CHF "&amp;ROUND((H1576-AR1576)*G1576,0)&amp;"; ","")&amp;IF(AND(CA1576=1,CB1576&lt;CC1576),"MAX &lt; MB+LG; ","")&amp;IF(AND(CG1576&gt;0,CF1576*10&gt;CG1576),"zu hoch für Tablar; ","")&amp;IF(AND(BP1576=0,OR(CA1576=1,AA1576&lt;&gt;"",U1576&lt;&gt;"",V1576&lt;&gt;"",AB1576&lt;&gt;"")),"manuell übersteuert; ","")&amp;IF(AND(BT1576=0,R1576=0),"Gebinde unbekannt / Stellmass fehlt; ","")&amp;IF(AND(BT1576=0,N(V1576)&lt;=0,N(Q1576)&lt;=0),"Menge pro Gebinde fehlt (Ist = 1 Gebinde); ","")&amp;BO1576)</f>
        <v>Kein Verbrauch; Gebinde geschätzt (Mittel); Menge pro Gebinde fehlt (Ist = 1 Gebinde); nur im Artikelstamm (Bestand 23.06.2026)</v>
      </c>
      <c r="BH1576" s="55"/>
      <c r="BI1576" s="55"/>
      <c r="BJ1576" s="62"/>
      <c r="BK1576" s="57" t="n">
        <v>24</v>
      </c>
      <c r="BL1576" s="57" t="n">
        <v>0</v>
      </c>
      <c r="BM1576" s="56" t="n">
        <v>0</v>
      </c>
      <c r="BN1576" s="57" t="n">
        <v>0</v>
      </c>
      <c r="BO1576" s="55" t="s">
        <v>2575</v>
      </c>
      <c r="BP1576" s="60" t="n">
        <v>0</v>
      </c>
      <c r="BQ1576" s="60" t="n">
        <v>1576</v>
      </c>
      <c r="BR1576" s="55" t="str">
        <f aca="false">IF(U1576&lt;&gt;"",UPPER(TRIM(U1576)),IF(BU1576=1,UPPER(VLOOKUP(T1576,Parameter!$I$27:$K$29,2,0)),IF(P1576="","LOSE",P1576)))</f>
        <v>S61</v>
      </c>
      <c r="BS1576" s="57" t="n">
        <f aca="false">IF(BR1576="LOSE",1,IF(N(V1576)&gt;0,V1576,IF(BU1576=1,MAX(1,N(VLOOKUP(T1576,Parameter!$I$27:$K$29,3,0)),H1576,N(N1576)),IF(N(Q1576)&gt;0,Q1576,MAX(1,H1576)))))</f>
        <v>24</v>
      </c>
      <c r="BT1576" s="60" t="n">
        <f aca="false">IF(BR1576="LOSE",1,0)</f>
        <v>0</v>
      </c>
      <c r="BU1576" s="60" t="n">
        <f aca="false">IF(AND(U1576="",OR(P1576="",P1576="LOSE"),T1576&lt;&gt;"",N(S1576)&lt;=0,ISNUMBER(MATCH(T1576,Parameter!$I$27:$I$29,0))),1,0)</f>
        <v>1</v>
      </c>
      <c r="BV1576" s="55" t="str">
        <f aca="false">IF(AND(Parameter!$B$19="Ja",E1576&lt;&gt;"",ISNUMBER(MATCH(E1576,Parameter!$I$35:$I$52,0))),VLOOKUP(E1576,Parameter!$I$35:$J$52,2,0),IFERROR(VLOOKUP(D1576,Parameter!$A$35:$C$64,2,0),"Nein"))</f>
        <v>2+3</v>
      </c>
      <c r="BW1576" s="59" t="n">
        <f aca="false">IF(BT1576=0,0,IF(N(S1576)&gt;0,S1576,IFERROR(VLOOKUP(D1576,Parameter!$A$35:$C$64,3,0)+0,0)))</f>
        <v>0</v>
      </c>
      <c r="BX1576" s="55" t="n">
        <f aca="false">IF(AA1576&lt;&gt;"",AA1576,Z1576)</f>
        <v>2</v>
      </c>
      <c r="BY1576" s="55" t="str">
        <f aca="false">IF(BX1576=1,"L1",IF(OR(BX1576=2,BX1576=3),"L23",IF(BX1576="Aussen","Aussen","-")))</f>
        <v>L23</v>
      </c>
      <c r="BZ1576" s="66" t="n">
        <f aca="false">IF(N(AB1576)&gt;0,AB1576,0)</f>
        <v>0</v>
      </c>
      <c r="CA1576" s="60" t="n">
        <f aca="false">IF(ISNUMBER(AE1576),1,0)</f>
        <v>0</v>
      </c>
      <c r="CB1576" s="57" t="n">
        <f aca="false">N(AE1576)</f>
        <v>0</v>
      </c>
      <c r="CC1576" s="57" t="n">
        <f aca="false">N(M1576)+N(N1576)</f>
        <v>20</v>
      </c>
      <c r="CD1576" s="57" t="n">
        <f aca="false">ROUNDUP(H1576/BS1576,0)</f>
        <v>1</v>
      </c>
      <c r="CE1576" s="57" t="n">
        <f aca="false">ROUNDUP(CB1576/BS1576,0)</f>
        <v>0</v>
      </c>
      <c r="CF1576" s="60" t="n">
        <f aca="false">IF(BT1576=1,0,IFERROR(VLOOKUP(BR1576,'Gebinde-Kategorie'!$A$5:$M$45,5,0)+0,0))</f>
        <v>11</v>
      </c>
      <c r="CG1576" s="60" t="n">
        <f aca="false">IFERROR(IF(OR(BX1576=1,BX1576=2,BX1576=3),N(INDEX(Parameter!$I$5:$I$7,BX1576)),0),0)</f>
        <v>0</v>
      </c>
      <c r="CH1576" s="59" t="n">
        <f aca="false">IF(AND(Parameter!$B$21="Ja",ISNUMBER(W1576),N(X1576)&gt;0),IFERROR(N(INDEX(Parameter!$L$5:$L$7,W1576))*INDEX(Parameter!$E$5:$E$7,W1576)*X1576/SUMIFS($X$7:$X$1843,$W$7:$W$1843,W1576),0),0)</f>
        <v>0</v>
      </c>
    </row>
    <row r="1577" customFormat="false" ht="15" hidden="false" customHeight="false" outlineLevel="0" collapsed="false">
      <c r="A1577" s="55" t="s">
        <v>2754</v>
      </c>
      <c r="B1577" s="55" t="s">
        <v>2755</v>
      </c>
      <c r="C1577" s="55" t="s">
        <v>164</v>
      </c>
      <c r="D1577" s="55" t="s">
        <v>173</v>
      </c>
      <c r="E1577" s="55" t="s">
        <v>185</v>
      </c>
      <c r="F1577" s="55"/>
      <c r="G1577" s="56" t="n">
        <v>1.52</v>
      </c>
      <c r="H1577" s="57" t="n">
        <f aca="false">MAX(0,IF(AND(Parameter!$B$21="Ja",ISNUMBER(Y1577)),Y1577,IF(Parameter!$B$20="Jahresanfang 2025 + Export",BL1577+BK1577,BK1577)))</f>
        <v>1150</v>
      </c>
      <c r="I1577" s="57" t="n">
        <f aca="false">H1577*G1577</f>
        <v>1748</v>
      </c>
      <c r="J1577" s="57" t="n">
        <f aca="false">BN1577*Parameter!$B$18</f>
        <v>0</v>
      </c>
      <c r="K1577" s="58"/>
      <c r="L1577" s="59"/>
      <c r="M1577" s="57" t="n">
        <v>0</v>
      </c>
      <c r="N1577" s="57" t="n">
        <v>1000</v>
      </c>
      <c r="O1577" s="60" t="n">
        <v>42</v>
      </c>
      <c r="P1577" s="55" t="s">
        <v>168</v>
      </c>
      <c r="Q1577" s="57"/>
      <c r="R1577" s="60" t="n">
        <f aca="false">IF(BT1577=1,0,IFERROR(VLOOKUP(BR1577,'Gebinde-Kategorie'!$A$5:$M$45,13,0)+0,0))</f>
        <v>12</v>
      </c>
      <c r="S1577" s="61"/>
      <c r="T1577" s="62" t="s">
        <v>179</v>
      </c>
      <c r="U1577" s="62"/>
      <c r="V1577" s="62"/>
      <c r="W1577" s="55"/>
      <c r="X1577" s="57"/>
      <c r="Y1577" s="57"/>
      <c r="Z1577" s="55" t="n">
        <f aca="false">IF(A1577="","",IF(AND(Parameter!$B$21="Ja",ISNUMBER(W1577)),W1577,IF(BV1577="2+3",IF(ISNUMBER(SEARCH("grosser Artikel",BO1577)),2,IFERROR(VLOOKUP(BR1577,Parameter!$F$35:$G$64,2,0),2)),IF(OR(BV1577="Nein",BV1577=""),"-",BV1577))))</f>
        <v>2</v>
      </c>
      <c r="AA1577" s="62"/>
      <c r="AB1577" s="63"/>
      <c r="AC1577" s="57" t="n">
        <f aca="false">AR1577</f>
        <v>1150</v>
      </c>
      <c r="AD1577" s="57" t="n">
        <f aca="false">MAX(AR1577,H1577)</f>
        <v>1150</v>
      </c>
      <c r="AE1577" s="64"/>
      <c r="AF1577" s="57" t="n">
        <f aca="false">IF(LEFT(Cockpit!$C$5,1)="A",H1577,IF(CA1577=1,CB1577,IF(LEFT(Cockpit!$C$5,1)="B",AJ1577,MAX(AJ1577,H1577))))</f>
        <v>1150</v>
      </c>
      <c r="AG1577" s="57" t="n">
        <f aca="false">IF(BT1577=1,0,ROUNDUP(AF1577/BS1577,0))</f>
        <v>1</v>
      </c>
      <c r="AH1577" s="59" t="n">
        <f aca="false">IF(CH1577&gt;0,CH1577*MAX(1,AF1577/X1577),IF(BT1577=1,IF(AF1577&lt;=0,0,BW1577*MAX(1,IF(H1577&gt;0,AF1577/H1577,1))),IF(R1577&gt;0,AG1577/R1577,0))/MAX(0.1,N(Parameter!$M$21)))</f>
        <v>0.0833333333333333</v>
      </c>
      <c r="AI1577" s="57" t="n">
        <f aca="false">AF1577*G1577</f>
        <v>1748</v>
      </c>
      <c r="AJ1577" s="57" t="n">
        <f aca="false">ROUNDUP(MAX(J1577/IF(BZ1577&gt;0,BZ1577,MAX(0.1,N(Cockpit!$C$6))),CC1577)/BS1577,0)*BS1577</f>
        <v>1150</v>
      </c>
      <c r="AK1577" s="58" t="n">
        <f aca="false">IF(AH1577&gt;0,J1577/AH1577,-1)</f>
        <v>0</v>
      </c>
      <c r="AL1577" s="58" t="n">
        <f aca="false">IF(AND(OR(BY1577="L1",BY1577="L23"),AH1577&gt;0),SUMIFS($AH$7:$AH$1843,$BY$7:$BY$1843,BY1577,$AK$7:$AK$1843,"&gt;"&amp;AK1577)+SUMIFS($AH$7:$AH$1843,$BY$7:$BY$1843,BY1577,$AK$7:$AK$1843,AK1577,$BQ$7:$BQ$1843,"&lt;="&amp;BQ1577),"")</f>
        <v>84.5717121043208</v>
      </c>
      <c r="AM1577" s="65" t="n">
        <f aca="false">IF(AL1577="",0,MAX(0,MIN(1,(IF(BY1577="L1",Parameter!$E$5,Parameter!$E$6+Parameter!$E$7)-(AL1577-AH1577))/AH1577)))</f>
        <v>1</v>
      </c>
      <c r="AN1577" s="57" t="n">
        <f aca="false">IF(LEFT(Cockpit!$I$5,1)="A",H1577,IF(CA1577=1,CB1577,IF(LEFT(Cockpit!$I$5,1)="B",AR1577,MAX(AR1577,H1577))))</f>
        <v>1150</v>
      </c>
      <c r="AO1577" s="57" t="n">
        <f aca="false">IF(BT1577=1,0,ROUNDUP(AN1577/BS1577,0))</f>
        <v>1</v>
      </c>
      <c r="AP1577" s="59" t="n">
        <f aca="false">IF(CH1577&gt;0,CH1577*MAX(1,AN1577/X1577),IF(BT1577=1,IF(AN1577&lt;=0,0,BW1577*MAX(1,IF(H1577&gt;0,AN1577/H1577,1))),IF(R1577&gt;0,AO1577/R1577,0))/MAX(0.1,N(Parameter!$M$21)))</f>
        <v>0.0833333333333333</v>
      </c>
      <c r="AQ1577" s="57" t="n">
        <f aca="false">AN1577*G1577</f>
        <v>1748</v>
      </c>
      <c r="AR1577" s="57" t="n">
        <f aca="false">ROUNDUP(MAX(J1577/IF(BZ1577&gt;0,BZ1577,MAX(0.1,N(Cockpit!$I$6))),CC1577)/BS1577,0)*BS1577</f>
        <v>1150</v>
      </c>
      <c r="AS1577" s="58" t="n">
        <f aca="false">IF(AP1577&gt;0,J1577/AP1577,-1)</f>
        <v>0</v>
      </c>
      <c r="AT1577" s="58" t="n">
        <f aca="false">IF(AND(OR(BY1577="L1",BY1577="L23"),AP1577&gt;0),SUMIFS($AP$7:$AP$1843,$BY$7:$BY$1843,BY1577,$AS$7:$AS$1843,"&gt;"&amp;AS1577)+SUMIFS($AP$7:$AP$1843,$BY$7:$BY$1843,BY1577,$AS$7:$AS$1843,AS1577,$BQ$7:$BQ$1843,"&lt;="&amp;BQ1577),"")</f>
        <v>129.823848856458</v>
      </c>
      <c r="AU1577" s="65" t="n">
        <f aca="false">IF(AT1577="",0,MAX(0,MIN(1,(IF(BY1577="L1",Parameter!$E$5,Parameter!$E$6+Parameter!$E$7)-(AT1577-AP1577))/AP1577)))</f>
        <v>0</v>
      </c>
      <c r="AV1577" s="57" t="n">
        <f aca="false">IF(LEFT(Cockpit!$O$5,1)="A",H1577,IF(CA1577=1,CB1577,IF(LEFT(Cockpit!$O$5,1)="B",AZ1577,MAX(AZ1577,H1577))))</f>
        <v>1150</v>
      </c>
      <c r="AW1577" s="57" t="n">
        <f aca="false">IF(BT1577=1,0,ROUNDUP(AV1577/BS1577,0))</f>
        <v>1</v>
      </c>
      <c r="AX1577" s="59" t="n">
        <f aca="false">IF(CH1577&gt;0,CH1577*MAX(1,AV1577/X1577),IF(BT1577=1,IF(AV1577&lt;=0,0,BW1577*MAX(1,IF(H1577&gt;0,AV1577/H1577,1))),IF(R1577&gt;0,AW1577/R1577,0))/MAX(0.1,N(Parameter!$M$21)))</f>
        <v>0.0833333333333333</v>
      </c>
      <c r="AY1577" s="57" t="n">
        <f aca="false">AV1577*G1577</f>
        <v>1748</v>
      </c>
      <c r="AZ1577" s="57" t="n">
        <f aca="false">ROUNDUP(MAX(J1577/IF(BZ1577&gt;0,BZ1577,MAX(0.1,N(Cockpit!$O$6))),CC1577)/BS1577,0)*BS1577</f>
        <v>1150</v>
      </c>
      <c r="BA1577" s="58" t="n">
        <f aca="false">IF(AX1577&gt;0,J1577/AX1577,-1)</f>
        <v>0</v>
      </c>
      <c r="BB1577" s="58" t="n">
        <f aca="false">IF(AND(OR(BY1577="L1",BY1577="L23"),AX1577&gt;0),SUMIFS($AX$7:$AX$1843,$BY$7:$BY$1843,BY1577,$BA$7:$BA$1843,"&gt;"&amp;BA1577)+SUMIFS($AX$7:$AX$1843,$BY$7:$BY$1843,BY1577,$BA$7:$BA$1843,BA1577,$BQ$7:$BQ$1843,"&lt;="&amp;BQ1577),"")</f>
        <v>120.653685686294</v>
      </c>
      <c r="BC1577" s="65" t="n">
        <f aca="false">IF(BB1577="",0,MAX(0,MIN(1,(IF(BY1577="L1",Parameter!$E$5,Parameter!$E$6+Parameter!$E$7)-(BB1577-AX1577))/AX1577)))</f>
        <v>0</v>
      </c>
      <c r="BD1577" s="55" t="str">
        <f aca="false">IF(AH1577&lt;=0,"",IF(BY1577="Aussen","Aussenlager",IF(BY1577="-","Nicht im Lift",IF(AM1577&gt;=1,"Lift",IF(AM1577&lt;=0,"Aussenlager","teilweise")))))</f>
        <v>Lift</v>
      </c>
      <c r="BE1577" s="55" t="str">
        <f aca="false">IF(AP1577&lt;=0,"",IF(BY1577="Aussen","Aussenlager",IF(BY1577="-","Nicht im Lift",IF(AU1577&gt;=1,"Lift",IF(AU1577&lt;=0,"Aussenlager","teilweise")))))</f>
        <v>Aussenlager</v>
      </c>
      <c r="BF1577" s="55" t="str">
        <f aca="false">IF(AX1577&lt;=0,"",IF(BY1577="Aussen","Aussenlager",IF(BY1577="-","Nicht im Lift",IF(BC1577&gt;=1,"Lift",IF(BC1577&lt;=0,"Aussenlager","teilweise")))))</f>
        <v>Aussenlager</v>
      </c>
      <c r="BG1577" s="55" t="str">
        <f aca="false">IF(A1577="","",IF(BP1577=1,"Neu; ","")&amp;IF(AND(BP1577=0,BK1577&lt;0),"negativer Bestand (Export "&amp;BK1577&amp;"); ","")&amp;IF(J1577&lt;=0,"Kein Verbrauch; ","")&amp;IF(CH1577&gt;0,"Lift "&amp;W1577&amp;" lt. Liftbericht (Fach "&amp;X1577&amp;" Stk); ",IF(BU1577=1,"Gebinde geschätzt ("&amp;T1577&amp;"); ",IF(BT1577=1,"Lose – Tablare geschätzt; ","")))&amp;IF(H1577&gt;AR1577,"Überbestand "&amp;ROUND(H1577-AR1577,0)&amp;" Stk / CHF "&amp;ROUND((H1577-AR1577)*G1577,0)&amp;"; ","")&amp;IF(AND(CA1577=1,CB1577&lt;CC1577),"MAX &lt; MB+LG; ","")&amp;IF(AND(CG1577&gt;0,CF1577*10&gt;CG1577),"zu hoch für Tablar; ","")&amp;IF(AND(BP1577=0,OR(CA1577=1,AA1577&lt;&gt;"",U1577&lt;&gt;"",V1577&lt;&gt;"",AB1577&lt;&gt;"")),"manuell übersteuert; ","")&amp;IF(AND(BT1577=0,R1577=0),"Gebinde unbekannt / Stellmass fehlt; ","")&amp;IF(AND(BT1577=0,N(V1577)&lt;=0,N(Q1577)&lt;=0),"Menge pro Gebinde fehlt (Ist = 1 Gebinde); ","")&amp;BO1577)</f>
        <v>Kein Verbrauch; Gebinde geschätzt (Mittel); Menge pro Gebinde fehlt (Ist = 1 Gebinde); nur im Artikelstamm (Bestand 23.06.2026); Überbestand; grosser Artikel &amp; nicht im KTL</v>
      </c>
      <c r="BH1577" s="55"/>
      <c r="BI1577" s="55"/>
      <c r="BJ1577" s="62"/>
      <c r="BK1577" s="57" t="n">
        <v>1150</v>
      </c>
      <c r="BL1577" s="57" t="n">
        <v>0</v>
      </c>
      <c r="BM1577" s="56" t="n">
        <v>0</v>
      </c>
      <c r="BN1577" s="57" t="n">
        <v>0</v>
      </c>
      <c r="BO1577" s="55" t="s">
        <v>2756</v>
      </c>
      <c r="BP1577" s="60" t="n">
        <v>0</v>
      </c>
      <c r="BQ1577" s="60" t="n">
        <v>1577</v>
      </c>
      <c r="BR1577" s="55" t="str">
        <f aca="false">IF(U1577&lt;&gt;"",UPPER(TRIM(U1577)),IF(BU1577=1,UPPER(VLOOKUP(T1577,Parameter!$I$27:$K$29,2,0)),IF(P1577="","LOSE",P1577)))</f>
        <v>S61</v>
      </c>
      <c r="BS1577" s="57" t="n">
        <f aca="false">IF(BR1577="LOSE",1,IF(N(V1577)&gt;0,V1577,IF(BU1577=1,MAX(1,N(VLOOKUP(T1577,Parameter!$I$27:$K$29,3,0)),H1577,N(N1577)),IF(N(Q1577)&gt;0,Q1577,MAX(1,H1577)))))</f>
        <v>1150</v>
      </c>
      <c r="BT1577" s="60" t="n">
        <f aca="false">IF(BR1577="LOSE",1,0)</f>
        <v>0</v>
      </c>
      <c r="BU1577" s="60" t="n">
        <f aca="false">IF(AND(U1577="",OR(P1577="",P1577="LOSE"),T1577&lt;&gt;"",N(S1577)&lt;=0,ISNUMBER(MATCH(T1577,Parameter!$I$27:$I$29,0))),1,0)</f>
        <v>1</v>
      </c>
      <c r="BV1577" s="55" t="str">
        <f aca="false">IF(AND(Parameter!$B$19="Ja",E1577&lt;&gt;"",ISNUMBER(MATCH(E1577,Parameter!$I$35:$I$52,0))),VLOOKUP(E1577,Parameter!$I$35:$J$52,2,0),IFERROR(VLOOKUP(D1577,Parameter!$A$35:$C$64,2,0),"Nein"))</f>
        <v>2+3</v>
      </c>
      <c r="BW1577" s="59" t="n">
        <f aca="false">IF(BT1577=0,0,IF(N(S1577)&gt;0,S1577,IFERROR(VLOOKUP(D1577,Parameter!$A$35:$C$64,3,0)+0,0)))</f>
        <v>0</v>
      </c>
      <c r="BX1577" s="55" t="n">
        <f aca="false">IF(AA1577&lt;&gt;"",AA1577,Z1577)</f>
        <v>2</v>
      </c>
      <c r="BY1577" s="55" t="str">
        <f aca="false">IF(BX1577=1,"L1",IF(OR(BX1577=2,BX1577=3),"L23",IF(BX1577="Aussen","Aussen","-")))</f>
        <v>L23</v>
      </c>
      <c r="BZ1577" s="66" t="n">
        <f aca="false">IF(N(AB1577)&gt;0,AB1577,0)</f>
        <v>0</v>
      </c>
      <c r="CA1577" s="60" t="n">
        <f aca="false">IF(ISNUMBER(AE1577),1,0)</f>
        <v>0</v>
      </c>
      <c r="CB1577" s="57" t="n">
        <f aca="false">N(AE1577)</f>
        <v>0</v>
      </c>
      <c r="CC1577" s="57" t="n">
        <f aca="false">N(M1577)+N(N1577)</f>
        <v>1000</v>
      </c>
      <c r="CD1577" s="57" t="n">
        <f aca="false">ROUNDUP(H1577/BS1577,0)</f>
        <v>1</v>
      </c>
      <c r="CE1577" s="57" t="n">
        <f aca="false">ROUNDUP(CB1577/BS1577,0)</f>
        <v>0</v>
      </c>
      <c r="CF1577" s="60" t="n">
        <f aca="false">IF(BT1577=1,0,IFERROR(VLOOKUP(BR1577,'Gebinde-Kategorie'!$A$5:$M$45,5,0)+0,0))</f>
        <v>11</v>
      </c>
      <c r="CG1577" s="60" t="n">
        <f aca="false">IFERROR(IF(OR(BX1577=1,BX1577=2,BX1577=3),N(INDEX(Parameter!$I$5:$I$7,BX1577)),0),0)</f>
        <v>0</v>
      </c>
      <c r="CH1577" s="59" t="n">
        <f aca="false">IF(AND(Parameter!$B$21="Ja",ISNUMBER(W1577),N(X1577)&gt;0),IFERROR(N(INDEX(Parameter!$L$5:$L$7,W1577))*INDEX(Parameter!$E$5:$E$7,W1577)*X1577/SUMIFS($X$7:$X$1843,$W$7:$W$1843,W1577),0),0)</f>
        <v>0</v>
      </c>
    </row>
    <row r="1578" customFormat="false" ht="15" hidden="false" customHeight="false" outlineLevel="0" collapsed="false">
      <c r="A1578" s="55" t="s">
        <v>2757</v>
      </c>
      <c r="B1578" s="55" t="s">
        <v>2424</v>
      </c>
      <c r="C1578" s="55" t="s">
        <v>164</v>
      </c>
      <c r="D1578" s="55" t="s">
        <v>173</v>
      </c>
      <c r="E1578" s="55" t="s">
        <v>166</v>
      </c>
      <c r="F1578" s="55"/>
      <c r="G1578" s="56" t="n">
        <v>1090</v>
      </c>
      <c r="H1578" s="57" t="n">
        <f aca="false">MAX(0,IF(AND(Parameter!$B$21="Ja",ISNUMBER(Y1578)),Y1578,IF(Parameter!$B$20="Jahresanfang 2025 + Export",BL1578+BK1578,BK1578)))</f>
        <v>2</v>
      </c>
      <c r="I1578" s="57" t="n">
        <f aca="false">H1578*G1578</f>
        <v>2180</v>
      </c>
      <c r="J1578" s="57" t="n">
        <f aca="false">BN1578*Parameter!$B$18</f>
        <v>0</v>
      </c>
      <c r="K1578" s="58"/>
      <c r="L1578" s="59"/>
      <c r="M1578" s="57" t="n">
        <v>1</v>
      </c>
      <c r="N1578" s="57" t="n">
        <v>1</v>
      </c>
      <c r="O1578" s="60" t="n">
        <v>0</v>
      </c>
      <c r="P1578" s="55" t="s">
        <v>168</v>
      </c>
      <c r="Q1578" s="57"/>
      <c r="R1578" s="60" t="n">
        <f aca="false">IF(BT1578=1,0,IFERROR(VLOOKUP(BR1578,'Gebinde-Kategorie'!$A$5:$M$45,13,0)+0,0))</f>
        <v>0</v>
      </c>
      <c r="S1578" s="61"/>
      <c r="T1578" s="62"/>
      <c r="U1578" s="62"/>
      <c r="V1578" s="62"/>
      <c r="W1578" s="55" t="n">
        <v>1</v>
      </c>
      <c r="X1578" s="57" t="n">
        <v>2</v>
      </c>
      <c r="Y1578" s="57" t="n">
        <v>2</v>
      </c>
      <c r="Z1578" s="55" t="n">
        <f aca="false">IF(A1578="","",IF(AND(Parameter!$B$21="Ja",ISNUMBER(W1578)),W1578,IF(BV1578="2+3",IF(ISNUMBER(SEARCH("grosser Artikel",BO1578)),2,IFERROR(VLOOKUP(BR1578,Parameter!$F$35:$G$64,2,0),2)),IF(OR(BV1578="Nein",BV1578=""),"-",BV1578))))</f>
        <v>1</v>
      </c>
      <c r="AA1578" s="62"/>
      <c r="AB1578" s="63"/>
      <c r="AC1578" s="57" t="n">
        <f aca="false">AR1578</f>
        <v>2</v>
      </c>
      <c r="AD1578" s="57" t="n">
        <f aca="false">MAX(AR1578,H1578)</f>
        <v>2</v>
      </c>
      <c r="AE1578" s="64"/>
      <c r="AF1578" s="57" t="n">
        <f aca="false">IF(LEFT(Cockpit!$C$5,1)="A",H1578,IF(CA1578=1,CB1578,IF(LEFT(Cockpit!$C$5,1)="B",AJ1578,MAX(AJ1578,H1578))))</f>
        <v>2</v>
      </c>
      <c r="AG1578" s="57" t="n">
        <f aca="false">IF(BT1578=1,0,ROUNDUP(AF1578/BS1578,0))</f>
        <v>0</v>
      </c>
      <c r="AH1578" s="59" t="n">
        <f aca="false">IF(CH1578&gt;0,CH1578*MAX(1,AF1578/X1578),IF(BT1578=1,IF(AF1578&lt;=0,0,BW1578*MAX(1,IF(H1578&gt;0,AF1578/H1578,1))),IF(R1578&gt;0,AG1578/R1578,0))/MAX(0.1,N(Parameter!$M$21)))</f>
        <v>0.160075329566855</v>
      </c>
      <c r="AI1578" s="57" t="n">
        <f aca="false">AF1578*G1578</f>
        <v>2180</v>
      </c>
      <c r="AJ1578" s="57" t="n">
        <f aca="false">ROUNDUP(MAX(J1578/IF(BZ1578&gt;0,BZ1578,MAX(0.1,N(Cockpit!$C$6))),CC1578)/BS1578,0)*BS1578</f>
        <v>2</v>
      </c>
      <c r="AK1578" s="58" t="n">
        <f aca="false">IF(AH1578&gt;0,J1578/AH1578,-1)</f>
        <v>0</v>
      </c>
      <c r="AL1578" s="58" t="n">
        <f aca="false">IF(AND(OR(BY1578="L1",BY1578="L23"),AH1578&gt;0),SUMIFS($AH$7:$AH$1843,$BY$7:$BY$1843,BY1578,$AK$7:$AK$1843,"&gt;"&amp;AK1578)+SUMIFS($AH$7:$AH$1843,$BY$7:$BY$1843,BY1578,$AK$7:$AK$1843,AK1578,$BQ$7:$BQ$1843,"&lt;="&amp;BQ1578),"")</f>
        <v>52.7356253424787</v>
      </c>
      <c r="AM1578" s="65" t="n">
        <f aca="false">IF(AL1578="",0,MAX(0,MIN(1,(IF(BY1578="L1",Parameter!$E$5,Parameter!$E$6+Parameter!$E$7)-(AL1578-AH1578))/AH1578)))</f>
        <v>0</v>
      </c>
      <c r="AN1578" s="57" t="n">
        <f aca="false">IF(LEFT(Cockpit!$I$5,1)="A",H1578,IF(CA1578=1,CB1578,IF(LEFT(Cockpit!$I$5,1)="B",AR1578,MAX(AR1578,H1578))))</f>
        <v>2</v>
      </c>
      <c r="AO1578" s="57" t="n">
        <f aca="false">IF(BT1578=1,0,ROUNDUP(AN1578/BS1578,0))</f>
        <v>0</v>
      </c>
      <c r="AP1578" s="59" t="n">
        <f aca="false">IF(CH1578&gt;0,CH1578*MAX(1,AN1578/X1578),IF(BT1578=1,IF(AN1578&lt;=0,0,BW1578*MAX(1,IF(H1578&gt;0,AN1578/H1578,1))),IF(R1578&gt;0,AO1578/R1578,0))/MAX(0.1,N(Parameter!$M$21)))</f>
        <v>0.160075329566855</v>
      </c>
      <c r="AQ1578" s="57" t="n">
        <f aca="false">AN1578*G1578</f>
        <v>2180</v>
      </c>
      <c r="AR1578" s="57" t="n">
        <f aca="false">ROUNDUP(MAX(J1578/IF(BZ1578&gt;0,BZ1578,MAX(0.1,N(Cockpit!$I$6))),CC1578)/BS1578,0)*BS1578</f>
        <v>2</v>
      </c>
      <c r="AS1578" s="58" t="n">
        <f aca="false">IF(AP1578&gt;0,J1578/AP1578,-1)</f>
        <v>0</v>
      </c>
      <c r="AT1578" s="58" t="n">
        <f aca="false">IF(AND(OR(BY1578="L1",BY1578="L23"),AP1578&gt;0),SUMIFS($AP$7:$AP$1843,$BY$7:$BY$1843,BY1578,$AS$7:$AS$1843,"&gt;"&amp;AS1578)+SUMIFS($AP$7:$AP$1843,$BY$7:$BY$1843,BY1578,$AS$7:$AS$1843,AS1578,$BQ$7:$BQ$1843,"&lt;="&amp;BQ1578),"")</f>
        <v>68.4151849542417</v>
      </c>
      <c r="AU1578" s="65" t="n">
        <f aca="false">IF(AT1578="",0,MAX(0,MIN(1,(IF(BY1578="L1",Parameter!$E$5,Parameter!$E$6+Parameter!$E$7)-(AT1578-AP1578))/AP1578)))</f>
        <v>0</v>
      </c>
      <c r="AV1578" s="57" t="n">
        <f aca="false">IF(LEFT(Cockpit!$O$5,1)="A",H1578,IF(CA1578=1,CB1578,IF(LEFT(Cockpit!$O$5,1)="B",AZ1578,MAX(AZ1578,H1578))))</f>
        <v>2</v>
      </c>
      <c r="AW1578" s="57" t="n">
        <f aca="false">IF(BT1578=1,0,ROUNDUP(AV1578/BS1578,0))</f>
        <v>0</v>
      </c>
      <c r="AX1578" s="59" t="n">
        <f aca="false">IF(CH1578&gt;0,CH1578*MAX(1,AV1578/X1578),IF(BT1578=1,IF(AV1578&lt;=0,0,BW1578*MAX(1,IF(H1578&gt;0,AV1578/H1578,1))),IF(R1578&gt;0,AW1578/R1578,0))/MAX(0.1,N(Parameter!$M$21)))</f>
        <v>0.160075329566855</v>
      </c>
      <c r="AY1578" s="57" t="n">
        <f aca="false">AV1578*G1578</f>
        <v>2180</v>
      </c>
      <c r="AZ1578" s="57" t="n">
        <f aca="false">ROUNDUP(MAX(J1578/IF(BZ1578&gt;0,BZ1578,MAX(0.1,N(Cockpit!$O$6))),CC1578)/BS1578,0)*BS1578</f>
        <v>2</v>
      </c>
      <c r="BA1578" s="58" t="n">
        <f aca="false">IF(AX1578&gt;0,J1578/AX1578,-1)</f>
        <v>0</v>
      </c>
      <c r="BB1578" s="58" t="n">
        <f aca="false">IF(AND(OR(BY1578="L1",BY1578="L23"),AX1578&gt;0),SUMIFS($AX$7:$AX$1843,$BY$7:$BY$1843,BY1578,$BA$7:$BA$1843,"&gt;"&amp;BA1578)+SUMIFS($AX$7:$AX$1843,$BY$7:$BY$1843,BY1578,$BA$7:$BA$1843,BA1578,$BQ$7:$BQ$1843,"&lt;="&amp;BQ1578),"")</f>
        <v>62.08199648546</v>
      </c>
      <c r="BC1578" s="65" t="n">
        <f aca="false">IF(BB1578="",0,MAX(0,MIN(1,(IF(BY1578="L1",Parameter!$E$5,Parameter!$E$6+Parameter!$E$7)-(BB1578-AX1578))/AX1578)))</f>
        <v>0</v>
      </c>
      <c r="BD1578" s="55" t="str">
        <f aca="false">IF(AH1578&lt;=0,"",IF(BY1578="Aussen","Aussenlager",IF(BY1578="-","Nicht im Lift",IF(AM1578&gt;=1,"Lift",IF(AM1578&lt;=0,"Aussenlager","teilweise")))))</f>
        <v>Aussenlager</v>
      </c>
      <c r="BE1578" s="55" t="str">
        <f aca="false">IF(AP1578&lt;=0,"",IF(BY1578="Aussen","Aussenlager",IF(BY1578="-","Nicht im Lift",IF(AU1578&gt;=1,"Lift",IF(AU1578&lt;=0,"Aussenlager","teilweise")))))</f>
        <v>Aussenlager</v>
      </c>
      <c r="BF1578" s="55" t="str">
        <f aca="false">IF(AX1578&lt;=0,"",IF(BY1578="Aussen","Aussenlager",IF(BY1578="-","Nicht im Lift",IF(BC1578&gt;=1,"Lift",IF(BC1578&lt;=0,"Aussenlager","teilweise")))))</f>
        <v>Aussenlager</v>
      </c>
      <c r="BG1578" s="55" t="str">
        <f aca="false">IF(A1578="","",IF(BP1578=1,"Neu; ","")&amp;IF(AND(BP1578=0,BK1578&lt;0),"negativer Bestand (Export "&amp;BK1578&amp;"); ","")&amp;IF(J1578&lt;=0,"Kein Verbrauch; ","")&amp;IF(CH1578&gt;0,"Lift "&amp;W1578&amp;" lt. Liftbericht (Fach "&amp;X1578&amp;" Stk); ",IF(BU1578=1,"Gebinde geschätzt ("&amp;T1578&amp;"); ",IF(BT1578=1,"Lose – Tablare geschätzt; ","")))&amp;IF(H1578&gt;AR1578,"Überbestand "&amp;ROUND(H1578-AR1578,0)&amp;" Stk / CHF "&amp;ROUND((H1578-AR1578)*G1578,0)&amp;"; ","")&amp;IF(AND(CA1578=1,CB1578&lt;CC1578),"MAX &lt; MB+LG; ","")&amp;IF(AND(CG1578&gt;0,CF1578*10&gt;CG1578),"zu hoch für Tablar; ","")&amp;IF(AND(BP1578=0,OR(CA1578=1,AA1578&lt;&gt;"",U1578&lt;&gt;"",V1578&lt;&gt;"",AB1578&lt;&gt;"")),"manuell übersteuert; ","")&amp;IF(AND(BT1578=0,R1578=0),"Gebinde unbekannt / Stellmass fehlt; ","")&amp;IF(AND(BT1578=0,N(V1578)&lt;=0,N(Q1578)&lt;=0),"Menge pro Gebinde fehlt (Ist = 1 Gebinde); ","")&amp;BO1578)</f>
        <v>Kein Verbrauch; Lift 1 lt. Liftbericht (Fach 2 Stk); nur im Artikelstamm (Bestand 23.06.2026)</v>
      </c>
      <c r="BH1578" s="55"/>
      <c r="BI1578" s="55"/>
      <c r="BJ1578" s="62"/>
      <c r="BK1578" s="57" t="n">
        <v>2</v>
      </c>
      <c r="BL1578" s="57" t="n">
        <v>0</v>
      </c>
      <c r="BM1578" s="56" t="n">
        <v>0</v>
      </c>
      <c r="BN1578" s="57" t="n">
        <v>0</v>
      </c>
      <c r="BO1578" s="55" t="s">
        <v>2575</v>
      </c>
      <c r="BP1578" s="60" t="n">
        <v>0</v>
      </c>
      <c r="BQ1578" s="60" t="n">
        <v>1578</v>
      </c>
      <c r="BR1578" s="55" t="str">
        <f aca="false">IF(U1578&lt;&gt;"",UPPER(TRIM(U1578)),IF(BU1578=1,UPPER(VLOOKUP(T1578,Parameter!$I$27:$K$29,2,0)),IF(P1578="","LOSE",P1578)))</f>
        <v>LOSE</v>
      </c>
      <c r="BS1578" s="57" t="n">
        <f aca="false">IF(BR1578="LOSE",1,IF(N(V1578)&gt;0,V1578,IF(BU1578=1,MAX(1,N(VLOOKUP(T1578,Parameter!$I$27:$K$29,3,0)),H1578,N(N1578)),IF(N(Q1578)&gt;0,Q1578,MAX(1,H1578)))))</f>
        <v>1</v>
      </c>
      <c r="BT1578" s="60" t="n">
        <f aca="false">IF(BR1578="LOSE",1,0)</f>
        <v>1</v>
      </c>
      <c r="BU1578" s="60" t="n">
        <f aca="false">IF(AND(U1578="",OR(P1578="",P1578="LOSE"),T1578&lt;&gt;"",N(S1578)&lt;=0,ISNUMBER(MATCH(T1578,Parameter!$I$27:$I$29,0))),1,0)</f>
        <v>0</v>
      </c>
      <c r="BV1578" s="55" t="n">
        <f aca="false">IF(AND(Parameter!$B$19="Ja",E1578&lt;&gt;"",ISNUMBER(MATCH(E1578,Parameter!$I$35:$I$52,0))),VLOOKUP(E1578,Parameter!$I$35:$J$52,2,0),IFERROR(VLOOKUP(D1578,Parameter!$A$35:$C$64,2,0),"Nein"))</f>
        <v>1</v>
      </c>
      <c r="BW1578" s="59" t="n">
        <f aca="false">IF(BT1578=0,0,IF(N(S1578)&gt;0,S1578,IFERROR(VLOOKUP(D1578,Parameter!$A$35:$C$64,3,0)+0,0)))</f>
        <v>0.15</v>
      </c>
      <c r="BX1578" s="55" t="n">
        <f aca="false">IF(AA1578&lt;&gt;"",AA1578,Z1578)</f>
        <v>1</v>
      </c>
      <c r="BY1578" s="55" t="str">
        <f aca="false">IF(BX1578=1,"L1",IF(OR(BX1578=2,BX1578=3),"L23",IF(BX1578="Aussen","Aussen","-")))</f>
        <v>L1</v>
      </c>
      <c r="BZ1578" s="66" t="n">
        <f aca="false">IF(N(AB1578)&gt;0,AB1578,0)</f>
        <v>0</v>
      </c>
      <c r="CA1578" s="60" t="n">
        <f aca="false">IF(ISNUMBER(AE1578),1,0)</f>
        <v>0</v>
      </c>
      <c r="CB1578" s="57" t="n">
        <f aca="false">N(AE1578)</f>
        <v>0</v>
      </c>
      <c r="CC1578" s="57" t="n">
        <f aca="false">N(M1578)+N(N1578)</f>
        <v>2</v>
      </c>
      <c r="CD1578" s="57" t="n">
        <f aca="false">ROUNDUP(H1578/BS1578,0)</f>
        <v>2</v>
      </c>
      <c r="CE1578" s="57" t="n">
        <f aca="false">ROUNDUP(CB1578/BS1578,0)</f>
        <v>0</v>
      </c>
      <c r="CF1578" s="60" t="n">
        <f aca="false">IF(BT1578=1,0,IFERROR(VLOOKUP(BR1578,'Gebinde-Kategorie'!$A$5:$M$45,5,0)+0,0))</f>
        <v>0</v>
      </c>
      <c r="CG1578" s="60" t="n">
        <f aca="false">IFERROR(IF(OR(BX1578=1,BX1578=2,BX1578=3),N(INDEX(Parameter!$I$5:$I$7,BX1578)),0),0)</f>
        <v>0</v>
      </c>
      <c r="CH1578" s="59" t="n">
        <f aca="false">IF(AND(Parameter!$B$21="Ja",ISNUMBER(W1578),N(X1578)&gt;0),IFERROR(N(INDEX(Parameter!$L$5:$L$7,W1578))*INDEX(Parameter!$E$5:$E$7,W1578)*X1578/SUMIFS($X$7:$X$1843,$W$7:$W$1843,W1578),0),0)</f>
        <v>0.160075329566855</v>
      </c>
    </row>
    <row r="1579" customFormat="false" ht="15" hidden="false" customHeight="false" outlineLevel="0" collapsed="false">
      <c r="A1579" s="55" t="s">
        <v>2758</v>
      </c>
      <c r="B1579" s="55" t="s">
        <v>1143</v>
      </c>
      <c r="C1579" s="55" t="s">
        <v>164</v>
      </c>
      <c r="D1579" s="55" t="s">
        <v>184</v>
      </c>
      <c r="E1579" s="55"/>
      <c r="F1579" s="55"/>
      <c r="G1579" s="56" t="n">
        <v>28.7</v>
      </c>
      <c r="H1579" s="57" t="n">
        <f aca="false">MAX(0,IF(AND(Parameter!$B$21="Ja",ISNUMBER(Y1579)),Y1579,IF(Parameter!$B$20="Jahresanfang 2025 + Export",BL1579+BK1579,BK1579)))</f>
        <v>6</v>
      </c>
      <c r="I1579" s="57" t="n">
        <f aca="false">H1579*G1579</f>
        <v>172.2</v>
      </c>
      <c r="J1579" s="57" t="n">
        <f aca="false">BN1579*Parameter!$B$18</f>
        <v>0</v>
      </c>
      <c r="K1579" s="58"/>
      <c r="L1579" s="59"/>
      <c r="M1579" s="57" t="n">
        <v>0</v>
      </c>
      <c r="N1579" s="57" t="n">
        <v>3</v>
      </c>
      <c r="O1579" s="60" t="n">
        <v>0</v>
      </c>
      <c r="P1579" s="55" t="s">
        <v>168</v>
      </c>
      <c r="Q1579" s="57"/>
      <c r="R1579" s="60" t="n">
        <f aca="false">IF(BT1579=1,0,IFERROR(VLOOKUP(BR1579,'Gebinde-Kategorie'!$A$5:$M$45,13,0)+0,0))</f>
        <v>26</v>
      </c>
      <c r="S1579" s="61"/>
      <c r="T1579" s="62" t="s">
        <v>275</v>
      </c>
      <c r="U1579" s="62"/>
      <c r="V1579" s="62"/>
      <c r="W1579" s="55"/>
      <c r="X1579" s="57"/>
      <c r="Y1579" s="57"/>
      <c r="Z1579" s="55" t="n">
        <f aca="false">IF(A1579="","",IF(AND(Parameter!$B$21="Ja",ISNUMBER(W1579)),W1579,IF(BV1579="2+3",IF(ISNUMBER(SEARCH("grosser Artikel",BO1579)),2,IFERROR(VLOOKUP(BR1579,Parameter!$F$35:$G$64,2,0),2)),IF(OR(BV1579="Nein",BV1579=""),"-",BV1579))))</f>
        <v>3</v>
      </c>
      <c r="AA1579" s="62"/>
      <c r="AB1579" s="63"/>
      <c r="AC1579" s="57" t="n">
        <f aca="false">AR1579</f>
        <v>20</v>
      </c>
      <c r="AD1579" s="57" t="n">
        <f aca="false">MAX(AR1579,H1579)</f>
        <v>20</v>
      </c>
      <c r="AE1579" s="64"/>
      <c r="AF1579" s="57" t="n">
        <f aca="false">IF(LEFT(Cockpit!$C$5,1)="A",H1579,IF(CA1579=1,CB1579,IF(LEFT(Cockpit!$C$5,1)="B",AJ1579,MAX(AJ1579,H1579))))</f>
        <v>6</v>
      </c>
      <c r="AG1579" s="57" t="n">
        <f aca="false">IF(BT1579=1,0,ROUNDUP(AF1579/BS1579,0))</f>
        <v>1</v>
      </c>
      <c r="AH1579" s="59" t="n">
        <f aca="false">IF(CH1579&gt;0,CH1579*MAX(1,AF1579/X1579),IF(BT1579=1,IF(AF1579&lt;=0,0,BW1579*MAX(1,IF(H1579&gt;0,AF1579/H1579,1))),IF(R1579&gt;0,AG1579/R1579,0))/MAX(0.1,N(Parameter!$M$21)))</f>
        <v>0.0384615384615385</v>
      </c>
      <c r="AI1579" s="57" t="n">
        <f aca="false">AF1579*G1579</f>
        <v>172.2</v>
      </c>
      <c r="AJ1579" s="57" t="n">
        <f aca="false">ROUNDUP(MAX(J1579/IF(BZ1579&gt;0,BZ1579,MAX(0.1,N(Cockpit!$C$6))),CC1579)/BS1579,0)*BS1579</f>
        <v>20</v>
      </c>
      <c r="AK1579" s="58" t="n">
        <f aca="false">IF(AH1579&gt;0,J1579/AH1579,-1)</f>
        <v>0</v>
      </c>
      <c r="AL1579" s="58" t="n">
        <f aca="false">IF(AND(OR(BY1579="L1",BY1579="L23"),AH1579&gt;0),SUMIFS($AH$7:$AH$1843,$BY$7:$BY$1843,BY1579,$AK$7:$AK$1843,"&gt;"&amp;AK1579)+SUMIFS($AH$7:$AH$1843,$BY$7:$BY$1843,BY1579,$AK$7:$AK$1843,AK1579,$BQ$7:$BQ$1843,"&lt;="&amp;BQ1579),"")</f>
        <v>84.6101736427823</v>
      </c>
      <c r="AM1579" s="65" t="n">
        <f aca="false">IF(AL1579="",0,MAX(0,MIN(1,(IF(BY1579="L1",Parameter!$E$5,Parameter!$E$6+Parameter!$E$7)-(AL1579-AH1579))/AH1579)))</f>
        <v>1</v>
      </c>
      <c r="AN1579" s="57" t="n">
        <f aca="false">IF(LEFT(Cockpit!$I$5,1)="A",H1579,IF(CA1579=1,CB1579,IF(LEFT(Cockpit!$I$5,1)="B",AR1579,MAX(AR1579,H1579))))</f>
        <v>20</v>
      </c>
      <c r="AO1579" s="57" t="n">
        <f aca="false">IF(BT1579=1,0,ROUNDUP(AN1579/BS1579,0))</f>
        <v>1</v>
      </c>
      <c r="AP1579" s="59" t="n">
        <f aca="false">IF(CH1579&gt;0,CH1579*MAX(1,AN1579/X1579),IF(BT1579=1,IF(AN1579&lt;=0,0,BW1579*MAX(1,IF(H1579&gt;0,AN1579/H1579,1))),IF(R1579&gt;0,AO1579/R1579,0))/MAX(0.1,N(Parameter!$M$21)))</f>
        <v>0.0384615384615385</v>
      </c>
      <c r="AQ1579" s="57" t="n">
        <f aca="false">AN1579*G1579</f>
        <v>574</v>
      </c>
      <c r="AR1579" s="57" t="n">
        <f aca="false">ROUNDUP(MAX(J1579/IF(BZ1579&gt;0,BZ1579,MAX(0.1,N(Cockpit!$I$6))),CC1579)/BS1579,0)*BS1579</f>
        <v>20</v>
      </c>
      <c r="AS1579" s="58" t="n">
        <f aca="false">IF(AP1579&gt;0,J1579/AP1579,-1)</f>
        <v>0</v>
      </c>
      <c r="AT1579" s="58" t="n">
        <f aca="false">IF(AND(OR(BY1579="L1",BY1579="L23"),AP1579&gt;0),SUMIFS($AP$7:$AP$1843,$BY$7:$BY$1843,BY1579,$AS$7:$AS$1843,"&gt;"&amp;AS1579)+SUMIFS($AP$7:$AP$1843,$BY$7:$BY$1843,BY1579,$AS$7:$AS$1843,AS1579,$BQ$7:$BQ$1843,"&lt;="&amp;BQ1579),"")</f>
        <v>129.862310394919</v>
      </c>
      <c r="AU1579" s="65" t="n">
        <f aca="false">IF(AT1579="",0,MAX(0,MIN(1,(IF(BY1579="L1",Parameter!$E$5,Parameter!$E$6+Parameter!$E$7)-(AT1579-AP1579))/AP1579)))</f>
        <v>0</v>
      </c>
      <c r="AV1579" s="57" t="n">
        <f aca="false">IF(LEFT(Cockpit!$O$5,1)="A",H1579,IF(CA1579=1,CB1579,IF(LEFT(Cockpit!$O$5,1)="B",AZ1579,MAX(AZ1579,H1579))))</f>
        <v>20</v>
      </c>
      <c r="AW1579" s="57" t="n">
        <f aca="false">IF(BT1579=1,0,ROUNDUP(AV1579/BS1579,0))</f>
        <v>1</v>
      </c>
      <c r="AX1579" s="59" t="n">
        <f aca="false">IF(CH1579&gt;0,CH1579*MAX(1,AV1579/X1579),IF(BT1579=1,IF(AV1579&lt;=0,0,BW1579*MAX(1,IF(H1579&gt;0,AV1579/H1579,1))),IF(R1579&gt;0,AW1579/R1579,0))/MAX(0.1,N(Parameter!$M$21)))</f>
        <v>0.0384615384615385</v>
      </c>
      <c r="AY1579" s="57" t="n">
        <f aca="false">AV1579*G1579</f>
        <v>574</v>
      </c>
      <c r="AZ1579" s="57" t="n">
        <f aca="false">ROUNDUP(MAX(J1579/IF(BZ1579&gt;0,BZ1579,MAX(0.1,N(Cockpit!$O$6))),CC1579)/BS1579,0)*BS1579</f>
        <v>20</v>
      </c>
      <c r="BA1579" s="58" t="n">
        <f aca="false">IF(AX1579&gt;0,J1579/AX1579,-1)</f>
        <v>0</v>
      </c>
      <c r="BB1579" s="58" t="n">
        <f aca="false">IF(AND(OR(BY1579="L1",BY1579="L23"),AX1579&gt;0),SUMIFS($AX$7:$AX$1843,$BY$7:$BY$1843,BY1579,$BA$7:$BA$1843,"&gt;"&amp;BA1579)+SUMIFS($AX$7:$AX$1843,$BY$7:$BY$1843,BY1579,$BA$7:$BA$1843,BA1579,$BQ$7:$BQ$1843,"&lt;="&amp;BQ1579),"")</f>
        <v>120.692147224756</v>
      </c>
      <c r="BC1579" s="65" t="n">
        <f aca="false">IF(BB1579="",0,MAX(0,MIN(1,(IF(BY1579="L1",Parameter!$E$5,Parameter!$E$6+Parameter!$E$7)-(BB1579-AX1579))/AX1579)))</f>
        <v>0</v>
      </c>
      <c r="BD1579" s="55" t="str">
        <f aca="false">IF(AH1579&lt;=0,"",IF(BY1579="Aussen","Aussenlager",IF(BY1579="-","Nicht im Lift",IF(AM1579&gt;=1,"Lift",IF(AM1579&lt;=0,"Aussenlager","teilweise")))))</f>
        <v>Lift</v>
      </c>
      <c r="BE1579" s="55" t="str">
        <f aca="false">IF(AP1579&lt;=0,"",IF(BY1579="Aussen","Aussenlager",IF(BY1579="-","Nicht im Lift",IF(AU1579&gt;=1,"Lift",IF(AU1579&lt;=0,"Aussenlager","teilweise")))))</f>
        <v>Aussenlager</v>
      </c>
      <c r="BF1579" s="55" t="str">
        <f aca="false">IF(AX1579&lt;=0,"",IF(BY1579="Aussen","Aussenlager",IF(BY1579="-","Nicht im Lift",IF(BC1579&gt;=1,"Lift",IF(BC1579&lt;=0,"Aussenlager","teilweise")))))</f>
        <v>Aussenlager</v>
      </c>
      <c r="BG1579" s="55" t="str">
        <f aca="false">IF(A1579="","",IF(BP1579=1,"Neu; ","")&amp;IF(AND(BP1579=0,BK1579&lt;0),"negativer Bestand (Export "&amp;BK1579&amp;"); ","")&amp;IF(J1579&lt;=0,"Kein Verbrauch; ","")&amp;IF(CH1579&gt;0,"Lift "&amp;W1579&amp;" lt. Liftbericht (Fach "&amp;X1579&amp;" Stk); ",IF(BU1579=1,"Gebinde geschätzt ("&amp;T1579&amp;"); ",IF(BT1579=1,"Lose – Tablare geschätzt; ","")))&amp;IF(H1579&gt;AR1579,"Überbestand "&amp;ROUND(H1579-AR1579,0)&amp;" Stk / CHF "&amp;ROUND((H1579-AR1579)*G1579,0)&amp;"; ","")&amp;IF(AND(CA1579=1,CB1579&lt;CC1579),"MAX &lt; MB+LG; ","")&amp;IF(AND(CG1579&gt;0,CF1579*10&gt;CG1579),"zu hoch für Tablar; ","")&amp;IF(AND(BP1579=0,OR(CA1579=1,AA1579&lt;&gt;"",U1579&lt;&gt;"",V1579&lt;&gt;"",AB1579&lt;&gt;"")),"manuell übersteuert; ","")&amp;IF(AND(BT1579=0,R1579=0),"Gebinde unbekannt / Stellmass fehlt; ","")&amp;IF(AND(BT1579=0,N(V1579)&lt;=0,N(Q1579)&lt;=0),"Menge pro Gebinde fehlt (Ist = 1 Gebinde); ","")&amp;BO1579)</f>
        <v>Kein Verbrauch; Gebinde geschätzt (Klein); Menge pro Gebinde fehlt (Ist = 1 Gebinde); nur im Artikelstamm (Bestand 23.06.2026)</v>
      </c>
      <c r="BH1579" s="55"/>
      <c r="BI1579" s="55"/>
      <c r="BJ1579" s="62"/>
      <c r="BK1579" s="57" t="n">
        <v>6</v>
      </c>
      <c r="BL1579" s="57" t="n">
        <v>0</v>
      </c>
      <c r="BM1579" s="56" t="n">
        <v>0</v>
      </c>
      <c r="BN1579" s="57" t="n">
        <v>0</v>
      </c>
      <c r="BO1579" s="55" t="s">
        <v>2575</v>
      </c>
      <c r="BP1579" s="60" t="n">
        <v>0</v>
      </c>
      <c r="BQ1579" s="60" t="n">
        <v>1579</v>
      </c>
      <c r="BR1579" s="55" t="str">
        <f aca="false">IF(U1579&lt;&gt;"",UPPER(TRIM(U1579)),IF(BU1579=1,UPPER(VLOOKUP(T1579,Parameter!$I$27:$K$29,2,0)),IF(P1579="","LOSE",P1579)))</f>
        <v>S51</v>
      </c>
      <c r="BS1579" s="57" t="n">
        <f aca="false">IF(BR1579="LOSE",1,IF(N(V1579)&gt;0,V1579,IF(BU1579=1,MAX(1,N(VLOOKUP(T1579,Parameter!$I$27:$K$29,3,0)),H1579,N(N1579)),IF(N(Q1579)&gt;0,Q1579,MAX(1,H1579)))))</f>
        <v>20</v>
      </c>
      <c r="BT1579" s="60" t="n">
        <f aca="false">IF(BR1579="LOSE",1,0)</f>
        <v>0</v>
      </c>
      <c r="BU1579" s="60" t="n">
        <f aca="false">IF(AND(U1579="",OR(P1579="",P1579="LOSE"),T1579&lt;&gt;"",N(S1579)&lt;=0,ISNUMBER(MATCH(T1579,Parameter!$I$27:$I$29,0))),1,0)</f>
        <v>1</v>
      </c>
      <c r="BV1579" s="55" t="str">
        <f aca="false">IF(AND(Parameter!$B$19="Ja",E1579&lt;&gt;"",ISNUMBER(MATCH(E1579,Parameter!$I$35:$I$52,0))),VLOOKUP(E1579,Parameter!$I$35:$J$52,2,0),IFERROR(VLOOKUP(D1579,Parameter!$A$35:$C$64,2,0),"Nein"))</f>
        <v>2+3</v>
      </c>
      <c r="BW1579" s="59" t="n">
        <f aca="false">IF(BT1579=0,0,IF(N(S1579)&gt;0,S1579,IFERROR(VLOOKUP(D1579,Parameter!$A$35:$C$64,3,0)+0,0)))</f>
        <v>0</v>
      </c>
      <c r="BX1579" s="55" t="n">
        <f aca="false">IF(AA1579&lt;&gt;"",AA1579,Z1579)</f>
        <v>3</v>
      </c>
      <c r="BY1579" s="55" t="str">
        <f aca="false">IF(BX1579=1,"L1",IF(OR(BX1579=2,BX1579=3),"L23",IF(BX1579="Aussen","Aussen","-")))</f>
        <v>L23</v>
      </c>
      <c r="BZ1579" s="66" t="n">
        <f aca="false">IF(N(AB1579)&gt;0,AB1579,0)</f>
        <v>0</v>
      </c>
      <c r="CA1579" s="60" t="n">
        <f aca="false">IF(ISNUMBER(AE1579),1,0)</f>
        <v>0</v>
      </c>
      <c r="CB1579" s="57" t="n">
        <f aca="false">N(AE1579)</f>
        <v>0</v>
      </c>
      <c r="CC1579" s="57" t="n">
        <f aca="false">N(M1579)+N(N1579)</f>
        <v>3</v>
      </c>
      <c r="CD1579" s="57" t="n">
        <f aca="false">ROUNDUP(H1579/BS1579,0)</f>
        <v>1</v>
      </c>
      <c r="CE1579" s="57" t="n">
        <f aca="false">ROUNDUP(CB1579/BS1579,0)</f>
        <v>0</v>
      </c>
      <c r="CF1579" s="60" t="n">
        <f aca="false">IF(BT1579=1,0,IFERROR(VLOOKUP(BR1579,'Gebinde-Kategorie'!$A$5:$M$45,5,0)+0,0))</f>
        <v>11</v>
      </c>
      <c r="CG1579" s="60" t="n">
        <f aca="false">IFERROR(IF(OR(BX1579=1,BX1579=2,BX1579=3),N(INDEX(Parameter!$I$5:$I$7,BX1579)),0),0)</f>
        <v>0</v>
      </c>
      <c r="CH1579" s="59" t="n">
        <f aca="false">IF(AND(Parameter!$B$21="Ja",ISNUMBER(W1579),N(X1579)&gt;0),IFERROR(N(INDEX(Parameter!$L$5:$L$7,W1579))*INDEX(Parameter!$E$5:$E$7,W1579)*X1579/SUMIFS($X$7:$X$1843,$W$7:$W$1843,W1579),0),0)</f>
        <v>0</v>
      </c>
    </row>
    <row r="1580" customFormat="false" ht="15" hidden="false" customHeight="false" outlineLevel="0" collapsed="false">
      <c r="A1580" s="55" t="s">
        <v>2759</v>
      </c>
      <c r="B1580" s="55" t="s">
        <v>2760</v>
      </c>
      <c r="C1580" s="55" t="s">
        <v>164</v>
      </c>
      <c r="D1580" s="55" t="s">
        <v>184</v>
      </c>
      <c r="E1580" s="55"/>
      <c r="F1580" s="55"/>
      <c r="G1580" s="56" t="n">
        <v>58.6</v>
      </c>
      <c r="H1580" s="57" t="n">
        <f aca="false">MAX(0,IF(AND(Parameter!$B$21="Ja",ISNUMBER(Y1580)),Y1580,IF(Parameter!$B$20="Jahresanfang 2025 + Export",BL1580+BK1580,BK1580)))</f>
        <v>3</v>
      </c>
      <c r="I1580" s="57" t="n">
        <f aca="false">H1580*G1580</f>
        <v>175.8</v>
      </c>
      <c r="J1580" s="57" t="n">
        <f aca="false">BN1580*Parameter!$B$18</f>
        <v>0</v>
      </c>
      <c r="K1580" s="58"/>
      <c r="L1580" s="59"/>
      <c r="M1580" s="57" t="n">
        <v>0</v>
      </c>
      <c r="N1580" s="57" t="n">
        <v>1</v>
      </c>
      <c r="O1580" s="60" t="n">
        <v>0</v>
      </c>
      <c r="P1580" s="55" t="s">
        <v>168</v>
      </c>
      <c r="Q1580" s="57"/>
      <c r="R1580" s="60" t="n">
        <f aca="false">IF(BT1580=1,0,IFERROR(VLOOKUP(BR1580,'Gebinde-Kategorie'!$A$5:$M$45,13,0)+0,0))</f>
        <v>26</v>
      </c>
      <c r="S1580" s="61"/>
      <c r="T1580" s="62" t="s">
        <v>275</v>
      </c>
      <c r="U1580" s="62"/>
      <c r="V1580" s="62"/>
      <c r="W1580" s="55"/>
      <c r="X1580" s="57"/>
      <c r="Y1580" s="57"/>
      <c r="Z1580" s="55" t="n">
        <f aca="false">IF(A1580="","",IF(AND(Parameter!$B$21="Ja",ISNUMBER(W1580)),W1580,IF(BV1580="2+3",IF(ISNUMBER(SEARCH("grosser Artikel",BO1580)),2,IFERROR(VLOOKUP(BR1580,Parameter!$F$35:$G$64,2,0),2)),IF(OR(BV1580="Nein",BV1580=""),"-",BV1580))))</f>
        <v>3</v>
      </c>
      <c r="AA1580" s="62"/>
      <c r="AB1580" s="63"/>
      <c r="AC1580" s="57" t="n">
        <f aca="false">AR1580</f>
        <v>20</v>
      </c>
      <c r="AD1580" s="57" t="n">
        <f aca="false">MAX(AR1580,H1580)</f>
        <v>20</v>
      </c>
      <c r="AE1580" s="64"/>
      <c r="AF1580" s="57" t="n">
        <f aca="false">IF(LEFT(Cockpit!$C$5,1)="A",H1580,IF(CA1580=1,CB1580,IF(LEFT(Cockpit!$C$5,1)="B",AJ1580,MAX(AJ1580,H1580))))</f>
        <v>3</v>
      </c>
      <c r="AG1580" s="57" t="n">
        <f aca="false">IF(BT1580=1,0,ROUNDUP(AF1580/BS1580,0))</f>
        <v>1</v>
      </c>
      <c r="AH1580" s="59" t="n">
        <f aca="false">IF(CH1580&gt;0,CH1580*MAX(1,AF1580/X1580),IF(BT1580=1,IF(AF1580&lt;=0,0,BW1580*MAX(1,IF(H1580&gt;0,AF1580/H1580,1))),IF(R1580&gt;0,AG1580/R1580,0))/MAX(0.1,N(Parameter!$M$21)))</f>
        <v>0.0384615384615385</v>
      </c>
      <c r="AI1580" s="57" t="n">
        <f aca="false">AF1580*G1580</f>
        <v>175.8</v>
      </c>
      <c r="AJ1580" s="57" t="n">
        <f aca="false">ROUNDUP(MAX(J1580/IF(BZ1580&gt;0,BZ1580,MAX(0.1,N(Cockpit!$C$6))),CC1580)/BS1580,0)*BS1580</f>
        <v>20</v>
      </c>
      <c r="AK1580" s="58" t="n">
        <f aca="false">IF(AH1580&gt;0,J1580/AH1580,-1)</f>
        <v>0</v>
      </c>
      <c r="AL1580" s="58" t="n">
        <f aca="false">IF(AND(OR(BY1580="L1",BY1580="L23"),AH1580&gt;0),SUMIFS($AH$7:$AH$1843,$BY$7:$BY$1843,BY1580,$AK$7:$AK$1843,"&gt;"&amp;AK1580)+SUMIFS($AH$7:$AH$1843,$BY$7:$BY$1843,BY1580,$AK$7:$AK$1843,AK1580,$BQ$7:$BQ$1843,"&lt;="&amp;BQ1580),"")</f>
        <v>84.6486351812439</v>
      </c>
      <c r="AM1580" s="65" t="n">
        <f aca="false">IF(AL1580="",0,MAX(0,MIN(1,(IF(BY1580="L1",Parameter!$E$5,Parameter!$E$6+Parameter!$E$7)-(AL1580-AH1580))/AH1580)))</f>
        <v>1</v>
      </c>
      <c r="AN1580" s="57" t="n">
        <f aca="false">IF(LEFT(Cockpit!$I$5,1)="A",H1580,IF(CA1580=1,CB1580,IF(LEFT(Cockpit!$I$5,1)="B",AR1580,MAX(AR1580,H1580))))</f>
        <v>20</v>
      </c>
      <c r="AO1580" s="57" t="n">
        <f aca="false">IF(BT1580=1,0,ROUNDUP(AN1580/BS1580,0))</f>
        <v>1</v>
      </c>
      <c r="AP1580" s="59" t="n">
        <f aca="false">IF(CH1580&gt;0,CH1580*MAX(1,AN1580/X1580),IF(BT1580=1,IF(AN1580&lt;=0,0,BW1580*MAX(1,IF(H1580&gt;0,AN1580/H1580,1))),IF(R1580&gt;0,AO1580/R1580,0))/MAX(0.1,N(Parameter!$M$21)))</f>
        <v>0.0384615384615385</v>
      </c>
      <c r="AQ1580" s="57" t="n">
        <f aca="false">AN1580*G1580</f>
        <v>1172</v>
      </c>
      <c r="AR1580" s="57" t="n">
        <f aca="false">ROUNDUP(MAX(J1580/IF(BZ1580&gt;0,BZ1580,MAX(0.1,N(Cockpit!$I$6))),CC1580)/BS1580,0)*BS1580</f>
        <v>20</v>
      </c>
      <c r="AS1580" s="58" t="n">
        <f aca="false">IF(AP1580&gt;0,J1580/AP1580,-1)</f>
        <v>0</v>
      </c>
      <c r="AT1580" s="58" t="n">
        <f aca="false">IF(AND(OR(BY1580="L1",BY1580="L23"),AP1580&gt;0),SUMIFS($AP$7:$AP$1843,$BY$7:$BY$1843,BY1580,$AS$7:$AS$1843,"&gt;"&amp;AS1580)+SUMIFS($AP$7:$AP$1843,$BY$7:$BY$1843,BY1580,$AS$7:$AS$1843,AS1580,$BQ$7:$BQ$1843,"&lt;="&amp;BQ1580),"")</f>
        <v>129.900771933381</v>
      </c>
      <c r="AU1580" s="65" t="n">
        <f aca="false">IF(AT1580="",0,MAX(0,MIN(1,(IF(BY1580="L1",Parameter!$E$5,Parameter!$E$6+Parameter!$E$7)-(AT1580-AP1580))/AP1580)))</f>
        <v>0</v>
      </c>
      <c r="AV1580" s="57" t="n">
        <f aca="false">IF(LEFT(Cockpit!$O$5,1)="A",H1580,IF(CA1580=1,CB1580,IF(LEFT(Cockpit!$O$5,1)="B",AZ1580,MAX(AZ1580,H1580))))</f>
        <v>20</v>
      </c>
      <c r="AW1580" s="57" t="n">
        <f aca="false">IF(BT1580=1,0,ROUNDUP(AV1580/BS1580,0))</f>
        <v>1</v>
      </c>
      <c r="AX1580" s="59" t="n">
        <f aca="false">IF(CH1580&gt;0,CH1580*MAX(1,AV1580/X1580),IF(BT1580=1,IF(AV1580&lt;=0,0,BW1580*MAX(1,IF(H1580&gt;0,AV1580/H1580,1))),IF(R1580&gt;0,AW1580/R1580,0))/MAX(0.1,N(Parameter!$M$21)))</f>
        <v>0.0384615384615385</v>
      </c>
      <c r="AY1580" s="57" t="n">
        <f aca="false">AV1580*G1580</f>
        <v>1172</v>
      </c>
      <c r="AZ1580" s="57" t="n">
        <f aca="false">ROUNDUP(MAX(J1580/IF(BZ1580&gt;0,BZ1580,MAX(0.1,N(Cockpit!$O$6))),CC1580)/BS1580,0)*BS1580</f>
        <v>20</v>
      </c>
      <c r="BA1580" s="58" t="n">
        <f aca="false">IF(AX1580&gt;0,J1580/AX1580,-1)</f>
        <v>0</v>
      </c>
      <c r="BB1580" s="58" t="n">
        <f aca="false">IF(AND(OR(BY1580="L1",BY1580="L23"),AX1580&gt;0),SUMIFS($AX$7:$AX$1843,$BY$7:$BY$1843,BY1580,$BA$7:$BA$1843,"&gt;"&amp;BA1580)+SUMIFS($AX$7:$AX$1843,$BY$7:$BY$1843,BY1580,$BA$7:$BA$1843,BA1580,$BQ$7:$BQ$1843,"&lt;="&amp;BQ1580),"")</f>
        <v>120.730608763217</v>
      </c>
      <c r="BC1580" s="65" t="n">
        <f aca="false">IF(BB1580="",0,MAX(0,MIN(1,(IF(BY1580="L1",Parameter!$E$5,Parameter!$E$6+Parameter!$E$7)-(BB1580-AX1580))/AX1580)))</f>
        <v>0</v>
      </c>
      <c r="BD1580" s="55" t="str">
        <f aca="false">IF(AH1580&lt;=0,"",IF(BY1580="Aussen","Aussenlager",IF(BY1580="-","Nicht im Lift",IF(AM1580&gt;=1,"Lift",IF(AM1580&lt;=0,"Aussenlager","teilweise")))))</f>
        <v>Lift</v>
      </c>
      <c r="BE1580" s="55" t="str">
        <f aca="false">IF(AP1580&lt;=0,"",IF(BY1580="Aussen","Aussenlager",IF(BY1580="-","Nicht im Lift",IF(AU1580&gt;=1,"Lift",IF(AU1580&lt;=0,"Aussenlager","teilweise")))))</f>
        <v>Aussenlager</v>
      </c>
      <c r="BF1580" s="55" t="str">
        <f aca="false">IF(AX1580&lt;=0,"",IF(BY1580="Aussen","Aussenlager",IF(BY1580="-","Nicht im Lift",IF(BC1580&gt;=1,"Lift",IF(BC1580&lt;=0,"Aussenlager","teilweise")))))</f>
        <v>Aussenlager</v>
      </c>
      <c r="BG1580" s="55" t="str">
        <f aca="false">IF(A1580="","",IF(BP1580=1,"Neu; ","")&amp;IF(AND(BP1580=0,BK1580&lt;0),"negativer Bestand (Export "&amp;BK1580&amp;"); ","")&amp;IF(J1580&lt;=0,"Kein Verbrauch; ","")&amp;IF(CH1580&gt;0,"Lift "&amp;W1580&amp;" lt. Liftbericht (Fach "&amp;X1580&amp;" Stk); ",IF(BU1580=1,"Gebinde geschätzt ("&amp;T1580&amp;"); ",IF(BT1580=1,"Lose – Tablare geschätzt; ","")))&amp;IF(H1580&gt;AR1580,"Überbestand "&amp;ROUND(H1580-AR1580,0)&amp;" Stk / CHF "&amp;ROUND((H1580-AR1580)*G1580,0)&amp;"; ","")&amp;IF(AND(CA1580=1,CB1580&lt;CC1580),"MAX &lt; MB+LG; ","")&amp;IF(AND(CG1580&gt;0,CF1580*10&gt;CG1580),"zu hoch für Tablar; ","")&amp;IF(AND(BP1580=0,OR(CA1580=1,AA1580&lt;&gt;"",U1580&lt;&gt;"",V1580&lt;&gt;"",AB1580&lt;&gt;"")),"manuell übersteuert; ","")&amp;IF(AND(BT1580=0,R1580=0),"Gebinde unbekannt / Stellmass fehlt; ","")&amp;IF(AND(BT1580=0,N(V1580)&lt;=0,N(Q1580)&lt;=0),"Menge pro Gebinde fehlt (Ist = 1 Gebinde); ","")&amp;BO1580)</f>
        <v>Kein Verbrauch; Gebinde geschätzt (Klein); Menge pro Gebinde fehlt (Ist = 1 Gebinde); nur im Artikelstamm (Bestand 23.06.2026); Überbestand</v>
      </c>
      <c r="BH1580" s="55"/>
      <c r="BI1580" s="55"/>
      <c r="BJ1580" s="62"/>
      <c r="BK1580" s="57" t="n">
        <v>3</v>
      </c>
      <c r="BL1580" s="57" t="n">
        <v>0</v>
      </c>
      <c r="BM1580" s="56" t="n">
        <v>0</v>
      </c>
      <c r="BN1580" s="57" t="n">
        <v>0</v>
      </c>
      <c r="BO1580" s="55" t="s">
        <v>2572</v>
      </c>
      <c r="BP1580" s="60" t="n">
        <v>0</v>
      </c>
      <c r="BQ1580" s="60" t="n">
        <v>1580</v>
      </c>
      <c r="BR1580" s="55" t="str">
        <f aca="false">IF(U1580&lt;&gt;"",UPPER(TRIM(U1580)),IF(BU1580=1,UPPER(VLOOKUP(T1580,Parameter!$I$27:$K$29,2,0)),IF(P1580="","LOSE",P1580)))</f>
        <v>S51</v>
      </c>
      <c r="BS1580" s="57" t="n">
        <f aca="false">IF(BR1580="LOSE",1,IF(N(V1580)&gt;0,V1580,IF(BU1580=1,MAX(1,N(VLOOKUP(T1580,Parameter!$I$27:$K$29,3,0)),H1580,N(N1580)),IF(N(Q1580)&gt;0,Q1580,MAX(1,H1580)))))</f>
        <v>20</v>
      </c>
      <c r="BT1580" s="60" t="n">
        <f aca="false">IF(BR1580="LOSE",1,0)</f>
        <v>0</v>
      </c>
      <c r="BU1580" s="60" t="n">
        <f aca="false">IF(AND(U1580="",OR(P1580="",P1580="LOSE"),T1580&lt;&gt;"",N(S1580)&lt;=0,ISNUMBER(MATCH(T1580,Parameter!$I$27:$I$29,0))),1,0)</f>
        <v>1</v>
      </c>
      <c r="BV1580" s="55" t="str">
        <f aca="false">IF(AND(Parameter!$B$19="Ja",E1580&lt;&gt;"",ISNUMBER(MATCH(E1580,Parameter!$I$35:$I$52,0))),VLOOKUP(E1580,Parameter!$I$35:$J$52,2,0),IFERROR(VLOOKUP(D1580,Parameter!$A$35:$C$64,2,0),"Nein"))</f>
        <v>2+3</v>
      </c>
      <c r="BW1580" s="59" t="n">
        <f aca="false">IF(BT1580=0,0,IF(N(S1580)&gt;0,S1580,IFERROR(VLOOKUP(D1580,Parameter!$A$35:$C$64,3,0)+0,0)))</f>
        <v>0</v>
      </c>
      <c r="BX1580" s="55" t="n">
        <f aca="false">IF(AA1580&lt;&gt;"",AA1580,Z1580)</f>
        <v>3</v>
      </c>
      <c r="BY1580" s="55" t="str">
        <f aca="false">IF(BX1580=1,"L1",IF(OR(BX1580=2,BX1580=3),"L23",IF(BX1580="Aussen","Aussen","-")))</f>
        <v>L23</v>
      </c>
      <c r="BZ1580" s="66" t="n">
        <f aca="false">IF(N(AB1580)&gt;0,AB1580,0)</f>
        <v>0</v>
      </c>
      <c r="CA1580" s="60" t="n">
        <f aca="false">IF(ISNUMBER(AE1580),1,0)</f>
        <v>0</v>
      </c>
      <c r="CB1580" s="57" t="n">
        <f aca="false">N(AE1580)</f>
        <v>0</v>
      </c>
      <c r="CC1580" s="57" t="n">
        <f aca="false">N(M1580)+N(N1580)</f>
        <v>1</v>
      </c>
      <c r="CD1580" s="57" t="n">
        <f aca="false">ROUNDUP(H1580/BS1580,0)</f>
        <v>1</v>
      </c>
      <c r="CE1580" s="57" t="n">
        <f aca="false">ROUNDUP(CB1580/BS1580,0)</f>
        <v>0</v>
      </c>
      <c r="CF1580" s="60" t="n">
        <f aca="false">IF(BT1580=1,0,IFERROR(VLOOKUP(BR1580,'Gebinde-Kategorie'!$A$5:$M$45,5,0)+0,0))</f>
        <v>11</v>
      </c>
      <c r="CG1580" s="60" t="n">
        <f aca="false">IFERROR(IF(OR(BX1580=1,BX1580=2,BX1580=3),N(INDEX(Parameter!$I$5:$I$7,BX1580)),0),0)</f>
        <v>0</v>
      </c>
      <c r="CH1580" s="59" t="n">
        <f aca="false">IF(AND(Parameter!$B$21="Ja",ISNUMBER(W1580),N(X1580)&gt;0),IFERROR(N(INDEX(Parameter!$L$5:$L$7,W1580))*INDEX(Parameter!$E$5:$E$7,W1580)*X1580/SUMIFS($X$7:$X$1843,$W$7:$W$1843,W1580),0),0)</f>
        <v>0</v>
      </c>
    </row>
    <row r="1581" customFormat="false" ht="15" hidden="false" customHeight="false" outlineLevel="0" collapsed="false">
      <c r="A1581" s="55" t="s">
        <v>2761</v>
      </c>
      <c r="B1581" s="55" t="s">
        <v>1820</v>
      </c>
      <c r="C1581" s="55" t="s">
        <v>164</v>
      </c>
      <c r="D1581" s="55" t="s">
        <v>173</v>
      </c>
      <c r="E1581" s="55"/>
      <c r="F1581" s="55"/>
      <c r="G1581" s="56" t="n">
        <v>8.7</v>
      </c>
      <c r="H1581" s="57" t="n">
        <f aca="false">MAX(0,IF(AND(Parameter!$B$21="Ja",ISNUMBER(Y1581)),Y1581,IF(Parameter!$B$20="Jahresanfang 2025 + Export",BL1581+BK1581,BK1581)))</f>
        <v>17</v>
      </c>
      <c r="I1581" s="57" t="n">
        <f aca="false">H1581*G1581</f>
        <v>147.9</v>
      </c>
      <c r="J1581" s="57" t="n">
        <f aca="false">BN1581*Parameter!$B$18</f>
        <v>0</v>
      </c>
      <c r="K1581" s="58"/>
      <c r="L1581" s="59"/>
      <c r="M1581" s="57" t="n">
        <v>0</v>
      </c>
      <c r="N1581" s="57" t="n">
        <v>1</v>
      </c>
      <c r="O1581" s="60" t="n">
        <v>0</v>
      </c>
      <c r="P1581" s="55" t="s">
        <v>168</v>
      </c>
      <c r="Q1581" s="57"/>
      <c r="R1581" s="60" t="n">
        <f aca="false">IF(BT1581=1,0,IFERROR(VLOOKUP(BR1581,'Gebinde-Kategorie'!$A$5:$M$45,13,0)+0,0))</f>
        <v>12</v>
      </c>
      <c r="S1581" s="61"/>
      <c r="T1581" s="62" t="s">
        <v>179</v>
      </c>
      <c r="U1581" s="62"/>
      <c r="V1581" s="62"/>
      <c r="W1581" s="55"/>
      <c r="X1581" s="57"/>
      <c r="Y1581" s="57"/>
      <c r="Z1581" s="55" t="n">
        <f aca="false">IF(A1581="","",IF(AND(Parameter!$B$21="Ja",ISNUMBER(W1581)),W1581,IF(BV1581="2+3",IF(ISNUMBER(SEARCH("grosser Artikel",BO1581)),2,IFERROR(VLOOKUP(BR1581,Parameter!$F$35:$G$64,2,0),2)),IF(OR(BV1581="Nein",BV1581=""),"-",BV1581))))</f>
        <v>2</v>
      </c>
      <c r="AA1581" s="62"/>
      <c r="AB1581" s="63"/>
      <c r="AC1581" s="57" t="n">
        <f aca="false">AR1581</f>
        <v>17</v>
      </c>
      <c r="AD1581" s="57" t="n">
        <f aca="false">MAX(AR1581,H1581)</f>
        <v>17</v>
      </c>
      <c r="AE1581" s="64"/>
      <c r="AF1581" s="57" t="n">
        <f aca="false">IF(LEFT(Cockpit!$C$5,1)="A",H1581,IF(CA1581=1,CB1581,IF(LEFT(Cockpit!$C$5,1)="B",AJ1581,MAX(AJ1581,H1581))))</f>
        <v>17</v>
      </c>
      <c r="AG1581" s="57" t="n">
        <f aca="false">IF(BT1581=1,0,ROUNDUP(AF1581/BS1581,0))</f>
        <v>1</v>
      </c>
      <c r="AH1581" s="59" t="n">
        <f aca="false">IF(CH1581&gt;0,CH1581*MAX(1,AF1581/X1581),IF(BT1581=1,IF(AF1581&lt;=0,0,BW1581*MAX(1,IF(H1581&gt;0,AF1581/H1581,1))),IF(R1581&gt;0,AG1581/R1581,0))/MAX(0.1,N(Parameter!$M$21)))</f>
        <v>0.0833333333333333</v>
      </c>
      <c r="AI1581" s="57" t="n">
        <f aca="false">AF1581*G1581</f>
        <v>147.9</v>
      </c>
      <c r="AJ1581" s="57" t="n">
        <f aca="false">ROUNDUP(MAX(J1581/IF(BZ1581&gt;0,BZ1581,MAX(0.1,N(Cockpit!$C$6))),CC1581)/BS1581,0)*BS1581</f>
        <v>17</v>
      </c>
      <c r="AK1581" s="58" t="n">
        <f aca="false">IF(AH1581&gt;0,J1581/AH1581,-1)</f>
        <v>0</v>
      </c>
      <c r="AL1581" s="58" t="n">
        <f aca="false">IF(AND(OR(BY1581="L1",BY1581="L23"),AH1581&gt;0),SUMIFS($AH$7:$AH$1843,$BY$7:$BY$1843,BY1581,$AK$7:$AK$1843,"&gt;"&amp;AK1581)+SUMIFS($AH$7:$AH$1843,$BY$7:$BY$1843,BY1581,$AK$7:$AK$1843,AK1581,$BQ$7:$BQ$1843,"&lt;="&amp;BQ1581),"")</f>
        <v>84.7319685145772</v>
      </c>
      <c r="AM1581" s="65" t="n">
        <f aca="false">IF(AL1581="",0,MAX(0,MIN(1,(IF(BY1581="L1",Parameter!$E$5,Parameter!$E$6+Parameter!$E$7)-(AL1581-AH1581))/AH1581)))</f>
        <v>1</v>
      </c>
      <c r="AN1581" s="57" t="n">
        <f aca="false">IF(LEFT(Cockpit!$I$5,1)="A",H1581,IF(CA1581=1,CB1581,IF(LEFT(Cockpit!$I$5,1)="B",AR1581,MAX(AR1581,H1581))))</f>
        <v>17</v>
      </c>
      <c r="AO1581" s="57" t="n">
        <f aca="false">IF(BT1581=1,0,ROUNDUP(AN1581/BS1581,0))</f>
        <v>1</v>
      </c>
      <c r="AP1581" s="59" t="n">
        <f aca="false">IF(CH1581&gt;0,CH1581*MAX(1,AN1581/X1581),IF(BT1581=1,IF(AN1581&lt;=0,0,BW1581*MAX(1,IF(H1581&gt;0,AN1581/H1581,1))),IF(R1581&gt;0,AO1581/R1581,0))/MAX(0.1,N(Parameter!$M$21)))</f>
        <v>0.0833333333333333</v>
      </c>
      <c r="AQ1581" s="57" t="n">
        <f aca="false">AN1581*G1581</f>
        <v>147.9</v>
      </c>
      <c r="AR1581" s="57" t="n">
        <f aca="false">ROUNDUP(MAX(J1581/IF(BZ1581&gt;0,BZ1581,MAX(0.1,N(Cockpit!$I$6))),CC1581)/BS1581,0)*BS1581</f>
        <v>17</v>
      </c>
      <c r="AS1581" s="58" t="n">
        <f aca="false">IF(AP1581&gt;0,J1581/AP1581,-1)</f>
        <v>0</v>
      </c>
      <c r="AT1581" s="58" t="n">
        <f aca="false">IF(AND(OR(BY1581="L1",BY1581="L23"),AP1581&gt;0),SUMIFS($AP$7:$AP$1843,$BY$7:$BY$1843,BY1581,$AS$7:$AS$1843,"&gt;"&amp;AS1581)+SUMIFS($AP$7:$AP$1843,$BY$7:$BY$1843,BY1581,$AS$7:$AS$1843,AS1581,$BQ$7:$BQ$1843,"&lt;="&amp;BQ1581),"")</f>
        <v>129.984105266714</v>
      </c>
      <c r="AU1581" s="65" t="n">
        <f aca="false">IF(AT1581="",0,MAX(0,MIN(1,(IF(BY1581="L1",Parameter!$E$5,Parameter!$E$6+Parameter!$E$7)-(AT1581-AP1581))/AP1581)))</f>
        <v>0</v>
      </c>
      <c r="AV1581" s="57" t="n">
        <f aca="false">IF(LEFT(Cockpit!$O$5,1)="A",H1581,IF(CA1581=1,CB1581,IF(LEFT(Cockpit!$O$5,1)="B",AZ1581,MAX(AZ1581,H1581))))</f>
        <v>17</v>
      </c>
      <c r="AW1581" s="57" t="n">
        <f aca="false">IF(BT1581=1,0,ROUNDUP(AV1581/BS1581,0))</f>
        <v>1</v>
      </c>
      <c r="AX1581" s="59" t="n">
        <f aca="false">IF(CH1581&gt;0,CH1581*MAX(1,AV1581/X1581),IF(BT1581=1,IF(AV1581&lt;=0,0,BW1581*MAX(1,IF(H1581&gt;0,AV1581/H1581,1))),IF(R1581&gt;0,AW1581/R1581,0))/MAX(0.1,N(Parameter!$M$21)))</f>
        <v>0.0833333333333333</v>
      </c>
      <c r="AY1581" s="57" t="n">
        <f aca="false">AV1581*G1581</f>
        <v>147.9</v>
      </c>
      <c r="AZ1581" s="57" t="n">
        <f aca="false">ROUNDUP(MAX(J1581/IF(BZ1581&gt;0,BZ1581,MAX(0.1,N(Cockpit!$O$6))),CC1581)/BS1581,0)*BS1581</f>
        <v>17</v>
      </c>
      <c r="BA1581" s="58" t="n">
        <f aca="false">IF(AX1581&gt;0,J1581/AX1581,-1)</f>
        <v>0</v>
      </c>
      <c r="BB1581" s="58" t="n">
        <f aca="false">IF(AND(OR(BY1581="L1",BY1581="L23"),AX1581&gt;0),SUMIFS($AX$7:$AX$1843,$BY$7:$BY$1843,BY1581,$BA$7:$BA$1843,"&gt;"&amp;BA1581)+SUMIFS($AX$7:$AX$1843,$BY$7:$BY$1843,BY1581,$BA$7:$BA$1843,BA1581,$BQ$7:$BQ$1843,"&lt;="&amp;BQ1581),"")</f>
        <v>120.813942096551</v>
      </c>
      <c r="BC1581" s="65" t="n">
        <f aca="false">IF(BB1581="",0,MAX(0,MIN(1,(IF(BY1581="L1",Parameter!$E$5,Parameter!$E$6+Parameter!$E$7)-(BB1581-AX1581))/AX1581)))</f>
        <v>0</v>
      </c>
      <c r="BD1581" s="55" t="str">
        <f aca="false">IF(AH1581&lt;=0,"",IF(BY1581="Aussen","Aussenlager",IF(BY1581="-","Nicht im Lift",IF(AM1581&gt;=1,"Lift",IF(AM1581&lt;=0,"Aussenlager","teilweise")))))</f>
        <v>Lift</v>
      </c>
      <c r="BE1581" s="55" t="str">
        <f aca="false">IF(AP1581&lt;=0,"",IF(BY1581="Aussen","Aussenlager",IF(BY1581="-","Nicht im Lift",IF(AU1581&gt;=1,"Lift",IF(AU1581&lt;=0,"Aussenlager","teilweise")))))</f>
        <v>Aussenlager</v>
      </c>
      <c r="BF1581" s="55" t="str">
        <f aca="false">IF(AX1581&lt;=0,"",IF(BY1581="Aussen","Aussenlager",IF(BY1581="-","Nicht im Lift",IF(BC1581&gt;=1,"Lift",IF(BC1581&lt;=0,"Aussenlager","teilweise")))))</f>
        <v>Aussenlager</v>
      </c>
      <c r="BG1581" s="55" t="str">
        <f aca="false">IF(A1581="","",IF(BP1581=1,"Neu; ","")&amp;IF(AND(BP1581=0,BK1581&lt;0),"negativer Bestand (Export "&amp;BK1581&amp;"); ","")&amp;IF(J1581&lt;=0,"Kein Verbrauch; ","")&amp;IF(CH1581&gt;0,"Lift "&amp;W1581&amp;" lt. Liftbericht (Fach "&amp;X1581&amp;" Stk); ",IF(BU1581=1,"Gebinde geschätzt ("&amp;T1581&amp;"); ",IF(BT1581=1,"Lose – Tablare geschätzt; ","")))&amp;IF(H1581&gt;AR1581,"Überbestand "&amp;ROUND(H1581-AR1581,0)&amp;" Stk / CHF "&amp;ROUND((H1581-AR1581)*G1581,0)&amp;"; ","")&amp;IF(AND(CA1581=1,CB1581&lt;CC1581),"MAX &lt; MB+LG; ","")&amp;IF(AND(CG1581&gt;0,CF1581*10&gt;CG1581),"zu hoch für Tablar; ","")&amp;IF(AND(BP1581=0,OR(CA1581=1,AA1581&lt;&gt;"",U1581&lt;&gt;"",V1581&lt;&gt;"",AB1581&lt;&gt;"")),"manuell übersteuert; ","")&amp;IF(AND(BT1581=0,R1581=0),"Gebinde unbekannt / Stellmass fehlt; ","")&amp;IF(AND(BT1581=0,N(V1581)&lt;=0,N(Q1581)&lt;=0),"Menge pro Gebinde fehlt (Ist = 1 Gebinde); ","")&amp;BO1581)</f>
        <v>Kein Verbrauch; Gebinde geschätzt (Mittel); Menge pro Gebinde fehlt (Ist = 1 Gebinde); nur im Artikelstamm (Bestand 23.06.2026)</v>
      </c>
      <c r="BH1581" s="55"/>
      <c r="BI1581" s="55"/>
      <c r="BJ1581" s="62"/>
      <c r="BK1581" s="57" t="n">
        <v>17</v>
      </c>
      <c r="BL1581" s="57" t="n">
        <v>0</v>
      </c>
      <c r="BM1581" s="56" t="n">
        <v>0</v>
      </c>
      <c r="BN1581" s="57" t="n">
        <v>0</v>
      </c>
      <c r="BO1581" s="55" t="s">
        <v>2575</v>
      </c>
      <c r="BP1581" s="60" t="n">
        <v>0</v>
      </c>
      <c r="BQ1581" s="60" t="n">
        <v>1581</v>
      </c>
      <c r="BR1581" s="55" t="str">
        <f aca="false">IF(U1581&lt;&gt;"",UPPER(TRIM(U1581)),IF(BU1581=1,UPPER(VLOOKUP(T1581,Parameter!$I$27:$K$29,2,0)),IF(P1581="","LOSE",P1581)))</f>
        <v>S61</v>
      </c>
      <c r="BS1581" s="57" t="n">
        <f aca="false">IF(BR1581="LOSE",1,IF(N(V1581)&gt;0,V1581,IF(BU1581=1,MAX(1,N(VLOOKUP(T1581,Parameter!$I$27:$K$29,3,0)),H1581,N(N1581)),IF(N(Q1581)&gt;0,Q1581,MAX(1,H1581)))))</f>
        <v>17</v>
      </c>
      <c r="BT1581" s="60" t="n">
        <f aca="false">IF(BR1581="LOSE",1,0)</f>
        <v>0</v>
      </c>
      <c r="BU1581" s="60" t="n">
        <f aca="false">IF(AND(U1581="",OR(P1581="",P1581="LOSE"),T1581&lt;&gt;"",N(S1581)&lt;=0,ISNUMBER(MATCH(T1581,Parameter!$I$27:$I$29,0))),1,0)</f>
        <v>1</v>
      </c>
      <c r="BV1581" s="55" t="str">
        <f aca="false">IF(AND(Parameter!$B$19="Ja",E1581&lt;&gt;"",ISNUMBER(MATCH(E1581,Parameter!$I$35:$I$52,0))),VLOOKUP(E1581,Parameter!$I$35:$J$52,2,0),IFERROR(VLOOKUP(D1581,Parameter!$A$35:$C$64,2,0),"Nein"))</f>
        <v>2+3</v>
      </c>
      <c r="BW1581" s="59" t="n">
        <f aca="false">IF(BT1581=0,0,IF(N(S1581)&gt;0,S1581,IFERROR(VLOOKUP(D1581,Parameter!$A$35:$C$64,3,0)+0,0)))</f>
        <v>0</v>
      </c>
      <c r="BX1581" s="55" t="n">
        <f aca="false">IF(AA1581&lt;&gt;"",AA1581,Z1581)</f>
        <v>2</v>
      </c>
      <c r="BY1581" s="55" t="str">
        <f aca="false">IF(BX1581=1,"L1",IF(OR(BX1581=2,BX1581=3),"L23",IF(BX1581="Aussen","Aussen","-")))</f>
        <v>L23</v>
      </c>
      <c r="BZ1581" s="66" t="n">
        <f aca="false">IF(N(AB1581)&gt;0,AB1581,0)</f>
        <v>0</v>
      </c>
      <c r="CA1581" s="60" t="n">
        <f aca="false">IF(ISNUMBER(AE1581),1,0)</f>
        <v>0</v>
      </c>
      <c r="CB1581" s="57" t="n">
        <f aca="false">N(AE1581)</f>
        <v>0</v>
      </c>
      <c r="CC1581" s="57" t="n">
        <f aca="false">N(M1581)+N(N1581)</f>
        <v>1</v>
      </c>
      <c r="CD1581" s="57" t="n">
        <f aca="false">ROUNDUP(H1581/BS1581,0)</f>
        <v>1</v>
      </c>
      <c r="CE1581" s="57" t="n">
        <f aca="false">ROUNDUP(CB1581/BS1581,0)</f>
        <v>0</v>
      </c>
      <c r="CF1581" s="60" t="n">
        <f aca="false">IF(BT1581=1,0,IFERROR(VLOOKUP(BR1581,'Gebinde-Kategorie'!$A$5:$M$45,5,0)+0,0))</f>
        <v>11</v>
      </c>
      <c r="CG1581" s="60" t="n">
        <f aca="false">IFERROR(IF(OR(BX1581=1,BX1581=2,BX1581=3),N(INDEX(Parameter!$I$5:$I$7,BX1581)),0),0)</f>
        <v>0</v>
      </c>
      <c r="CH1581" s="59" t="n">
        <f aca="false">IF(AND(Parameter!$B$21="Ja",ISNUMBER(W1581),N(X1581)&gt;0),IFERROR(N(INDEX(Parameter!$L$5:$L$7,W1581))*INDEX(Parameter!$E$5:$E$7,W1581)*X1581/SUMIFS($X$7:$X$1843,$W$7:$W$1843,W1581),0),0)</f>
        <v>0</v>
      </c>
    </row>
    <row r="1582" customFormat="false" ht="15" hidden="false" customHeight="false" outlineLevel="0" collapsed="false">
      <c r="A1582" s="55" t="s">
        <v>2762</v>
      </c>
      <c r="B1582" s="55" t="s">
        <v>2635</v>
      </c>
      <c r="C1582" s="55" t="s">
        <v>164</v>
      </c>
      <c r="D1582" s="55" t="s">
        <v>173</v>
      </c>
      <c r="E1582" s="55"/>
      <c r="F1582" s="55"/>
      <c r="G1582" s="56" t="n">
        <v>265</v>
      </c>
      <c r="H1582" s="57" t="n">
        <f aca="false">MAX(0,IF(AND(Parameter!$B$21="Ja",ISNUMBER(Y1582)),Y1582,IF(Parameter!$B$20="Jahresanfang 2025 + Export",BL1582+BK1582,BK1582)))</f>
        <v>12</v>
      </c>
      <c r="I1582" s="57" t="n">
        <f aca="false">H1582*G1582</f>
        <v>3180</v>
      </c>
      <c r="J1582" s="57" t="n">
        <f aca="false">BN1582*Parameter!$B$18</f>
        <v>0</v>
      </c>
      <c r="K1582" s="58"/>
      <c r="L1582" s="59"/>
      <c r="M1582" s="57" t="n">
        <v>0</v>
      </c>
      <c r="N1582" s="57" t="n">
        <v>1</v>
      </c>
      <c r="O1582" s="60" t="n">
        <v>0</v>
      </c>
      <c r="P1582" s="55" t="s">
        <v>168</v>
      </c>
      <c r="Q1582" s="57"/>
      <c r="R1582" s="60" t="n">
        <f aca="false">IF(BT1582=1,0,IFERROR(VLOOKUP(BR1582,'Gebinde-Kategorie'!$A$5:$M$45,13,0)+0,0))</f>
        <v>12</v>
      </c>
      <c r="S1582" s="61"/>
      <c r="T1582" s="62" t="s">
        <v>179</v>
      </c>
      <c r="U1582" s="62"/>
      <c r="V1582" s="62"/>
      <c r="W1582" s="55"/>
      <c r="X1582" s="57"/>
      <c r="Y1582" s="57"/>
      <c r="Z1582" s="55" t="n">
        <f aca="false">IF(A1582="","",IF(AND(Parameter!$B$21="Ja",ISNUMBER(W1582)),W1582,IF(BV1582="2+3",IF(ISNUMBER(SEARCH("grosser Artikel",BO1582)),2,IFERROR(VLOOKUP(BR1582,Parameter!$F$35:$G$64,2,0),2)),IF(OR(BV1582="Nein",BV1582=""),"-",BV1582))))</f>
        <v>2</v>
      </c>
      <c r="AA1582" s="62"/>
      <c r="AB1582" s="63"/>
      <c r="AC1582" s="57" t="n">
        <f aca="false">AR1582</f>
        <v>12</v>
      </c>
      <c r="AD1582" s="57" t="n">
        <f aca="false">MAX(AR1582,H1582)</f>
        <v>12</v>
      </c>
      <c r="AE1582" s="64"/>
      <c r="AF1582" s="57" t="n">
        <f aca="false">IF(LEFT(Cockpit!$C$5,1)="A",H1582,IF(CA1582=1,CB1582,IF(LEFT(Cockpit!$C$5,1)="B",AJ1582,MAX(AJ1582,H1582))))</f>
        <v>12</v>
      </c>
      <c r="AG1582" s="57" t="n">
        <f aca="false">IF(BT1582=1,0,ROUNDUP(AF1582/BS1582,0))</f>
        <v>1</v>
      </c>
      <c r="AH1582" s="59" t="n">
        <f aca="false">IF(CH1582&gt;0,CH1582*MAX(1,AF1582/X1582),IF(BT1582=1,IF(AF1582&lt;=0,0,BW1582*MAX(1,IF(H1582&gt;0,AF1582/H1582,1))),IF(R1582&gt;0,AG1582/R1582,0))/MAX(0.1,N(Parameter!$M$21)))</f>
        <v>0.0833333333333333</v>
      </c>
      <c r="AI1582" s="57" t="n">
        <f aca="false">AF1582*G1582</f>
        <v>3180</v>
      </c>
      <c r="AJ1582" s="57" t="n">
        <f aca="false">ROUNDUP(MAX(J1582/IF(BZ1582&gt;0,BZ1582,MAX(0.1,N(Cockpit!$C$6))),CC1582)/BS1582,0)*BS1582</f>
        <v>12</v>
      </c>
      <c r="AK1582" s="58" t="n">
        <f aca="false">IF(AH1582&gt;0,J1582/AH1582,-1)</f>
        <v>0</v>
      </c>
      <c r="AL1582" s="58" t="n">
        <f aca="false">IF(AND(OR(BY1582="L1",BY1582="L23"),AH1582&gt;0),SUMIFS($AH$7:$AH$1843,$BY$7:$BY$1843,BY1582,$AK$7:$AK$1843,"&gt;"&amp;AK1582)+SUMIFS($AH$7:$AH$1843,$BY$7:$BY$1843,BY1582,$AK$7:$AK$1843,AK1582,$BQ$7:$BQ$1843,"&lt;="&amp;BQ1582),"")</f>
        <v>84.8153018479106</v>
      </c>
      <c r="AM1582" s="65" t="n">
        <f aca="false">IF(AL1582="",0,MAX(0,MIN(1,(IF(BY1582="L1",Parameter!$E$5,Parameter!$E$6+Parameter!$E$7)-(AL1582-AH1582))/AH1582)))</f>
        <v>1</v>
      </c>
      <c r="AN1582" s="57" t="n">
        <f aca="false">IF(LEFT(Cockpit!$I$5,1)="A",H1582,IF(CA1582=1,CB1582,IF(LEFT(Cockpit!$I$5,1)="B",AR1582,MAX(AR1582,H1582))))</f>
        <v>12</v>
      </c>
      <c r="AO1582" s="57" t="n">
        <f aca="false">IF(BT1582=1,0,ROUNDUP(AN1582/BS1582,0))</f>
        <v>1</v>
      </c>
      <c r="AP1582" s="59" t="n">
        <f aca="false">IF(CH1582&gt;0,CH1582*MAX(1,AN1582/X1582),IF(BT1582=1,IF(AN1582&lt;=0,0,BW1582*MAX(1,IF(H1582&gt;0,AN1582/H1582,1))),IF(R1582&gt;0,AO1582/R1582,0))/MAX(0.1,N(Parameter!$M$21)))</f>
        <v>0.0833333333333333</v>
      </c>
      <c r="AQ1582" s="57" t="n">
        <f aca="false">AN1582*G1582</f>
        <v>3180</v>
      </c>
      <c r="AR1582" s="57" t="n">
        <f aca="false">ROUNDUP(MAX(J1582/IF(BZ1582&gt;0,BZ1582,MAX(0.1,N(Cockpit!$I$6))),CC1582)/BS1582,0)*BS1582</f>
        <v>12</v>
      </c>
      <c r="AS1582" s="58" t="n">
        <f aca="false">IF(AP1582&gt;0,J1582/AP1582,-1)</f>
        <v>0</v>
      </c>
      <c r="AT1582" s="58" t="n">
        <f aca="false">IF(AND(OR(BY1582="L1",BY1582="L23"),AP1582&gt;0),SUMIFS($AP$7:$AP$1843,$BY$7:$BY$1843,BY1582,$AS$7:$AS$1843,"&gt;"&amp;AS1582)+SUMIFS($AP$7:$AP$1843,$BY$7:$BY$1843,BY1582,$AS$7:$AS$1843,AS1582,$BQ$7:$BQ$1843,"&lt;="&amp;BQ1582),"")</f>
        <v>130.067438600047</v>
      </c>
      <c r="AU1582" s="65" t="n">
        <f aca="false">IF(AT1582="",0,MAX(0,MIN(1,(IF(BY1582="L1",Parameter!$E$5,Parameter!$E$6+Parameter!$E$7)-(AT1582-AP1582))/AP1582)))</f>
        <v>0</v>
      </c>
      <c r="AV1582" s="57" t="n">
        <f aca="false">IF(LEFT(Cockpit!$O$5,1)="A",H1582,IF(CA1582=1,CB1582,IF(LEFT(Cockpit!$O$5,1)="B",AZ1582,MAX(AZ1582,H1582))))</f>
        <v>12</v>
      </c>
      <c r="AW1582" s="57" t="n">
        <f aca="false">IF(BT1582=1,0,ROUNDUP(AV1582/BS1582,0))</f>
        <v>1</v>
      </c>
      <c r="AX1582" s="59" t="n">
        <f aca="false">IF(CH1582&gt;0,CH1582*MAX(1,AV1582/X1582),IF(BT1582=1,IF(AV1582&lt;=0,0,BW1582*MAX(1,IF(H1582&gt;0,AV1582/H1582,1))),IF(R1582&gt;0,AW1582/R1582,0))/MAX(0.1,N(Parameter!$M$21)))</f>
        <v>0.0833333333333333</v>
      </c>
      <c r="AY1582" s="57" t="n">
        <f aca="false">AV1582*G1582</f>
        <v>3180</v>
      </c>
      <c r="AZ1582" s="57" t="n">
        <f aca="false">ROUNDUP(MAX(J1582/IF(BZ1582&gt;0,BZ1582,MAX(0.1,N(Cockpit!$O$6))),CC1582)/BS1582,0)*BS1582</f>
        <v>12</v>
      </c>
      <c r="BA1582" s="58" t="n">
        <f aca="false">IF(AX1582&gt;0,J1582/AX1582,-1)</f>
        <v>0</v>
      </c>
      <c r="BB1582" s="58" t="n">
        <f aca="false">IF(AND(OR(BY1582="L1",BY1582="L23"),AX1582&gt;0),SUMIFS($AX$7:$AX$1843,$BY$7:$BY$1843,BY1582,$BA$7:$BA$1843,"&gt;"&amp;BA1582)+SUMIFS($AX$7:$AX$1843,$BY$7:$BY$1843,BY1582,$BA$7:$BA$1843,BA1582,$BQ$7:$BQ$1843,"&lt;="&amp;BQ1582),"")</f>
        <v>120.897275429884</v>
      </c>
      <c r="BC1582" s="65" t="n">
        <f aca="false">IF(BB1582="",0,MAX(0,MIN(1,(IF(BY1582="L1",Parameter!$E$5,Parameter!$E$6+Parameter!$E$7)-(BB1582-AX1582))/AX1582)))</f>
        <v>0</v>
      </c>
      <c r="BD1582" s="55" t="str">
        <f aca="false">IF(AH1582&lt;=0,"",IF(BY1582="Aussen","Aussenlager",IF(BY1582="-","Nicht im Lift",IF(AM1582&gt;=1,"Lift",IF(AM1582&lt;=0,"Aussenlager","teilweise")))))</f>
        <v>Lift</v>
      </c>
      <c r="BE1582" s="55" t="str">
        <f aca="false">IF(AP1582&lt;=0,"",IF(BY1582="Aussen","Aussenlager",IF(BY1582="-","Nicht im Lift",IF(AU1582&gt;=1,"Lift",IF(AU1582&lt;=0,"Aussenlager","teilweise")))))</f>
        <v>Aussenlager</v>
      </c>
      <c r="BF1582" s="55" t="str">
        <f aca="false">IF(AX1582&lt;=0,"",IF(BY1582="Aussen","Aussenlager",IF(BY1582="-","Nicht im Lift",IF(BC1582&gt;=1,"Lift",IF(BC1582&lt;=0,"Aussenlager","teilweise")))))</f>
        <v>Aussenlager</v>
      </c>
      <c r="BG1582" s="55" t="str">
        <f aca="false">IF(A1582="","",IF(BP1582=1,"Neu; ","")&amp;IF(AND(BP1582=0,BK1582&lt;0),"negativer Bestand (Export "&amp;BK1582&amp;"); ","")&amp;IF(J1582&lt;=0,"Kein Verbrauch; ","")&amp;IF(CH1582&gt;0,"Lift "&amp;W1582&amp;" lt. Liftbericht (Fach "&amp;X1582&amp;" Stk); ",IF(BU1582=1,"Gebinde geschätzt ("&amp;T1582&amp;"); ",IF(BT1582=1,"Lose – Tablare geschätzt; ","")))&amp;IF(H1582&gt;AR1582,"Überbestand "&amp;ROUND(H1582-AR1582,0)&amp;" Stk / CHF "&amp;ROUND((H1582-AR1582)*G1582,0)&amp;"; ","")&amp;IF(AND(CA1582=1,CB1582&lt;CC1582),"MAX &lt; MB+LG; ","")&amp;IF(AND(CG1582&gt;0,CF1582*10&gt;CG1582),"zu hoch für Tablar; ","")&amp;IF(AND(BP1582=0,OR(CA1582=1,AA1582&lt;&gt;"",U1582&lt;&gt;"",V1582&lt;&gt;"",AB1582&lt;&gt;"")),"manuell übersteuert; ","")&amp;IF(AND(BT1582=0,R1582=0),"Gebinde unbekannt / Stellmass fehlt; ","")&amp;IF(AND(BT1582=0,N(V1582)&lt;=0,N(Q1582)&lt;=0),"Menge pro Gebinde fehlt (Ist = 1 Gebinde); ","")&amp;BO1582)</f>
        <v>Kein Verbrauch; Gebinde geschätzt (Mittel); Menge pro Gebinde fehlt (Ist = 1 Gebinde); nur im Artikelstamm (Bestand 23.06.2026)</v>
      </c>
      <c r="BH1582" s="55"/>
      <c r="BI1582" s="55"/>
      <c r="BJ1582" s="62"/>
      <c r="BK1582" s="57" t="n">
        <v>12</v>
      </c>
      <c r="BL1582" s="57" t="n">
        <v>0</v>
      </c>
      <c r="BM1582" s="56" t="n">
        <v>0</v>
      </c>
      <c r="BN1582" s="57" t="n">
        <v>0</v>
      </c>
      <c r="BO1582" s="55" t="s">
        <v>2575</v>
      </c>
      <c r="BP1582" s="60" t="n">
        <v>0</v>
      </c>
      <c r="BQ1582" s="60" t="n">
        <v>1582</v>
      </c>
      <c r="BR1582" s="55" t="str">
        <f aca="false">IF(U1582&lt;&gt;"",UPPER(TRIM(U1582)),IF(BU1582=1,UPPER(VLOOKUP(T1582,Parameter!$I$27:$K$29,2,0)),IF(P1582="","LOSE",P1582)))</f>
        <v>S61</v>
      </c>
      <c r="BS1582" s="57" t="n">
        <f aca="false">IF(BR1582="LOSE",1,IF(N(V1582)&gt;0,V1582,IF(BU1582=1,MAX(1,N(VLOOKUP(T1582,Parameter!$I$27:$K$29,3,0)),H1582,N(N1582)),IF(N(Q1582)&gt;0,Q1582,MAX(1,H1582)))))</f>
        <v>12</v>
      </c>
      <c r="BT1582" s="60" t="n">
        <f aca="false">IF(BR1582="LOSE",1,0)</f>
        <v>0</v>
      </c>
      <c r="BU1582" s="60" t="n">
        <f aca="false">IF(AND(U1582="",OR(P1582="",P1582="LOSE"),T1582&lt;&gt;"",N(S1582)&lt;=0,ISNUMBER(MATCH(T1582,Parameter!$I$27:$I$29,0))),1,0)</f>
        <v>1</v>
      </c>
      <c r="BV1582" s="55" t="str">
        <f aca="false">IF(AND(Parameter!$B$19="Ja",E1582&lt;&gt;"",ISNUMBER(MATCH(E1582,Parameter!$I$35:$I$52,0))),VLOOKUP(E1582,Parameter!$I$35:$J$52,2,0),IFERROR(VLOOKUP(D1582,Parameter!$A$35:$C$64,2,0),"Nein"))</f>
        <v>2+3</v>
      </c>
      <c r="BW1582" s="59" t="n">
        <f aca="false">IF(BT1582=0,0,IF(N(S1582)&gt;0,S1582,IFERROR(VLOOKUP(D1582,Parameter!$A$35:$C$64,3,0)+0,0)))</f>
        <v>0</v>
      </c>
      <c r="BX1582" s="55" t="n">
        <f aca="false">IF(AA1582&lt;&gt;"",AA1582,Z1582)</f>
        <v>2</v>
      </c>
      <c r="BY1582" s="55" t="str">
        <f aca="false">IF(BX1582=1,"L1",IF(OR(BX1582=2,BX1582=3),"L23",IF(BX1582="Aussen","Aussen","-")))</f>
        <v>L23</v>
      </c>
      <c r="BZ1582" s="66" t="n">
        <f aca="false">IF(N(AB1582)&gt;0,AB1582,0)</f>
        <v>0</v>
      </c>
      <c r="CA1582" s="60" t="n">
        <f aca="false">IF(ISNUMBER(AE1582),1,0)</f>
        <v>0</v>
      </c>
      <c r="CB1582" s="57" t="n">
        <f aca="false">N(AE1582)</f>
        <v>0</v>
      </c>
      <c r="CC1582" s="57" t="n">
        <f aca="false">N(M1582)+N(N1582)</f>
        <v>1</v>
      </c>
      <c r="CD1582" s="57" t="n">
        <f aca="false">ROUNDUP(H1582/BS1582,0)</f>
        <v>1</v>
      </c>
      <c r="CE1582" s="57" t="n">
        <f aca="false">ROUNDUP(CB1582/BS1582,0)</f>
        <v>0</v>
      </c>
      <c r="CF1582" s="60" t="n">
        <f aca="false">IF(BT1582=1,0,IFERROR(VLOOKUP(BR1582,'Gebinde-Kategorie'!$A$5:$M$45,5,0)+0,0))</f>
        <v>11</v>
      </c>
      <c r="CG1582" s="60" t="n">
        <f aca="false">IFERROR(IF(OR(BX1582=1,BX1582=2,BX1582=3),N(INDEX(Parameter!$I$5:$I$7,BX1582)),0),0)</f>
        <v>0</v>
      </c>
      <c r="CH1582" s="59" t="n">
        <f aca="false">IF(AND(Parameter!$B$21="Ja",ISNUMBER(W1582),N(X1582)&gt;0),IFERROR(N(INDEX(Parameter!$L$5:$L$7,W1582))*INDEX(Parameter!$E$5:$E$7,W1582)*X1582/SUMIFS($X$7:$X$1843,$W$7:$W$1843,W1582),0),0)</f>
        <v>0</v>
      </c>
    </row>
    <row r="1583" customFormat="false" ht="15" hidden="false" customHeight="false" outlineLevel="0" collapsed="false">
      <c r="A1583" s="55" t="s">
        <v>2763</v>
      </c>
      <c r="B1583" s="55" t="s">
        <v>2764</v>
      </c>
      <c r="C1583" s="55" t="s">
        <v>164</v>
      </c>
      <c r="D1583" s="55" t="s">
        <v>173</v>
      </c>
      <c r="E1583" s="55"/>
      <c r="F1583" s="55"/>
      <c r="G1583" s="56" t="n">
        <v>323</v>
      </c>
      <c r="H1583" s="57" t="n">
        <f aca="false">MAX(0,IF(AND(Parameter!$B$21="Ja",ISNUMBER(Y1583)),Y1583,IF(Parameter!$B$20="Jahresanfang 2025 + Export",BL1583+BK1583,BK1583)))</f>
        <v>2</v>
      </c>
      <c r="I1583" s="57" t="n">
        <f aca="false">H1583*G1583</f>
        <v>646</v>
      </c>
      <c r="J1583" s="57" t="n">
        <f aca="false">BN1583*Parameter!$B$18</f>
        <v>0</v>
      </c>
      <c r="K1583" s="58"/>
      <c r="L1583" s="59"/>
      <c r="M1583" s="57" t="n">
        <v>0</v>
      </c>
      <c r="N1583" s="57" t="n">
        <v>1</v>
      </c>
      <c r="O1583" s="60" t="n">
        <v>0</v>
      </c>
      <c r="P1583" s="55" t="s">
        <v>168</v>
      </c>
      <c r="Q1583" s="57"/>
      <c r="R1583" s="60" t="n">
        <f aca="false">IF(BT1583=1,0,IFERROR(VLOOKUP(BR1583,'Gebinde-Kategorie'!$A$5:$M$45,13,0)+0,0))</f>
        <v>12</v>
      </c>
      <c r="S1583" s="61"/>
      <c r="T1583" s="62" t="s">
        <v>179</v>
      </c>
      <c r="U1583" s="62"/>
      <c r="V1583" s="62"/>
      <c r="W1583" s="55"/>
      <c r="X1583" s="57"/>
      <c r="Y1583" s="57"/>
      <c r="Z1583" s="55" t="n">
        <f aca="false">IF(A1583="","",IF(AND(Parameter!$B$21="Ja",ISNUMBER(W1583)),W1583,IF(BV1583="2+3",IF(ISNUMBER(SEARCH("grosser Artikel",BO1583)),2,IFERROR(VLOOKUP(BR1583,Parameter!$F$35:$G$64,2,0),2)),IF(OR(BV1583="Nein",BV1583=""),"-",BV1583))))</f>
        <v>2</v>
      </c>
      <c r="AA1583" s="62"/>
      <c r="AB1583" s="63"/>
      <c r="AC1583" s="57" t="n">
        <f aca="false">AR1583</f>
        <v>4</v>
      </c>
      <c r="AD1583" s="57" t="n">
        <f aca="false">MAX(AR1583,H1583)</f>
        <v>4</v>
      </c>
      <c r="AE1583" s="64"/>
      <c r="AF1583" s="57" t="n">
        <f aca="false">IF(LEFT(Cockpit!$C$5,1)="A",H1583,IF(CA1583=1,CB1583,IF(LEFT(Cockpit!$C$5,1)="B",AJ1583,MAX(AJ1583,H1583))))</f>
        <v>2</v>
      </c>
      <c r="AG1583" s="57" t="n">
        <f aca="false">IF(BT1583=1,0,ROUNDUP(AF1583/BS1583,0))</f>
        <v>1</v>
      </c>
      <c r="AH1583" s="59" t="n">
        <f aca="false">IF(CH1583&gt;0,CH1583*MAX(1,AF1583/X1583),IF(BT1583=1,IF(AF1583&lt;=0,0,BW1583*MAX(1,IF(H1583&gt;0,AF1583/H1583,1))),IF(R1583&gt;0,AG1583/R1583,0))/MAX(0.1,N(Parameter!$M$21)))</f>
        <v>0.0833333333333333</v>
      </c>
      <c r="AI1583" s="57" t="n">
        <f aca="false">AF1583*G1583</f>
        <v>646</v>
      </c>
      <c r="AJ1583" s="57" t="n">
        <f aca="false">ROUNDUP(MAX(J1583/IF(BZ1583&gt;0,BZ1583,MAX(0.1,N(Cockpit!$C$6))),CC1583)/BS1583,0)*BS1583</f>
        <v>4</v>
      </c>
      <c r="AK1583" s="58" t="n">
        <f aca="false">IF(AH1583&gt;0,J1583/AH1583,-1)</f>
        <v>0</v>
      </c>
      <c r="AL1583" s="58" t="n">
        <f aca="false">IF(AND(OR(BY1583="L1",BY1583="L23"),AH1583&gt;0),SUMIFS($AH$7:$AH$1843,$BY$7:$BY$1843,BY1583,$AK$7:$AK$1843,"&gt;"&amp;AK1583)+SUMIFS($AH$7:$AH$1843,$BY$7:$BY$1843,BY1583,$AK$7:$AK$1843,AK1583,$BQ$7:$BQ$1843,"&lt;="&amp;BQ1583),"")</f>
        <v>84.8986351812439</v>
      </c>
      <c r="AM1583" s="65" t="n">
        <f aca="false">IF(AL1583="",0,MAX(0,MIN(1,(IF(BY1583="L1",Parameter!$E$5,Parameter!$E$6+Parameter!$E$7)-(AL1583-AH1583))/AH1583)))</f>
        <v>1</v>
      </c>
      <c r="AN1583" s="57" t="n">
        <f aca="false">IF(LEFT(Cockpit!$I$5,1)="A",H1583,IF(CA1583=1,CB1583,IF(LEFT(Cockpit!$I$5,1)="B",AR1583,MAX(AR1583,H1583))))</f>
        <v>4</v>
      </c>
      <c r="AO1583" s="57" t="n">
        <f aca="false">IF(BT1583=1,0,ROUNDUP(AN1583/BS1583,0))</f>
        <v>1</v>
      </c>
      <c r="AP1583" s="59" t="n">
        <f aca="false">IF(CH1583&gt;0,CH1583*MAX(1,AN1583/X1583),IF(BT1583=1,IF(AN1583&lt;=0,0,BW1583*MAX(1,IF(H1583&gt;0,AN1583/H1583,1))),IF(R1583&gt;0,AO1583/R1583,0))/MAX(0.1,N(Parameter!$M$21)))</f>
        <v>0.0833333333333333</v>
      </c>
      <c r="AQ1583" s="57" t="n">
        <f aca="false">AN1583*G1583</f>
        <v>1292</v>
      </c>
      <c r="AR1583" s="57" t="n">
        <f aca="false">ROUNDUP(MAX(J1583/IF(BZ1583&gt;0,BZ1583,MAX(0.1,N(Cockpit!$I$6))),CC1583)/BS1583,0)*BS1583</f>
        <v>4</v>
      </c>
      <c r="AS1583" s="58" t="n">
        <f aca="false">IF(AP1583&gt;0,J1583/AP1583,-1)</f>
        <v>0</v>
      </c>
      <c r="AT1583" s="58" t="n">
        <f aca="false">IF(AND(OR(BY1583="L1",BY1583="L23"),AP1583&gt;0),SUMIFS($AP$7:$AP$1843,$BY$7:$BY$1843,BY1583,$AS$7:$AS$1843,"&gt;"&amp;AS1583)+SUMIFS($AP$7:$AP$1843,$BY$7:$BY$1843,BY1583,$AS$7:$AS$1843,AS1583,$BQ$7:$BQ$1843,"&lt;="&amp;BQ1583),"")</f>
        <v>130.150771933381</v>
      </c>
      <c r="AU1583" s="65" t="n">
        <f aca="false">IF(AT1583="",0,MAX(0,MIN(1,(IF(BY1583="L1",Parameter!$E$5,Parameter!$E$6+Parameter!$E$7)-(AT1583-AP1583))/AP1583)))</f>
        <v>0</v>
      </c>
      <c r="AV1583" s="57" t="n">
        <f aca="false">IF(LEFT(Cockpit!$O$5,1)="A",H1583,IF(CA1583=1,CB1583,IF(LEFT(Cockpit!$O$5,1)="B",AZ1583,MAX(AZ1583,H1583))))</f>
        <v>4</v>
      </c>
      <c r="AW1583" s="57" t="n">
        <f aca="false">IF(BT1583=1,0,ROUNDUP(AV1583/BS1583,0))</f>
        <v>1</v>
      </c>
      <c r="AX1583" s="59" t="n">
        <f aca="false">IF(CH1583&gt;0,CH1583*MAX(1,AV1583/X1583),IF(BT1583=1,IF(AV1583&lt;=0,0,BW1583*MAX(1,IF(H1583&gt;0,AV1583/H1583,1))),IF(R1583&gt;0,AW1583/R1583,0))/MAX(0.1,N(Parameter!$M$21)))</f>
        <v>0.0833333333333333</v>
      </c>
      <c r="AY1583" s="57" t="n">
        <f aca="false">AV1583*G1583</f>
        <v>1292</v>
      </c>
      <c r="AZ1583" s="57" t="n">
        <f aca="false">ROUNDUP(MAX(J1583/IF(BZ1583&gt;0,BZ1583,MAX(0.1,N(Cockpit!$O$6))),CC1583)/BS1583,0)*BS1583</f>
        <v>4</v>
      </c>
      <c r="BA1583" s="58" t="n">
        <f aca="false">IF(AX1583&gt;0,J1583/AX1583,-1)</f>
        <v>0</v>
      </c>
      <c r="BB1583" s="58" t="n">
        <f aca="false">IF(AND(OR(BY1583="L1",BY1583="L23"),AX1583&gt;0),SUMIFS($AX$7:$AX$1843,$BY$7:$BY$1843,BY1583,$BA$7:$BA$1843,"&gt;"&amp;BA1583)+SUMIFS($AX$7:$AX$1843,$BY$7:$BY$1843,BY1583,$BA$7:$BA$1843,BA1583,$BQ$7:$BQ$1843,"&lt;="&amp;BQ1583),"")</f>
        <v>120.980608763217</v>
      </c>
      <c r="BC1583" s="65" t="n">
        <f aca="false">IF(BB1583="",0,MAX(0,MIN(1,(IF(BY1583="L1",Parameter!$E$5,Parameter!$E$6+Parameter!$E$7)-(BB1583-AX1583))/AX1583)))</f>
        <v>0</v>
      </c>
      <c r="BD1583" s="55" t="str">
        <f aca="false">IF(AH1583&lt;=0,"",IF(BY1583="Aussen","Aussenlager",IF(BY1583="-","Nicht im Lift",IF(AM1583&gt;=1,"Lift",IF(AM1583&lt;=0,"Aussenlager","teilweise")))))</f>
        <v>Lift</v>
      </c>
      <c r="BE1583" s="55" t="str">
        <f aca="false">IF(AP1583&lt;=0,"",IF(BY1583="Aussen","Aussenlager",IF(BY1583="-","Nicht im Lift",IF(AU1583&gt;=1,"Lift",IF(AU1583&lt;=0,"Aussenlager","teilweise")))))</f>
        <v>Aussenlager</v>
      </c>
      <c r="BF1583" s="55" t="str">
        <f aca="false">IF(AX1583&lt;=0,"",IF(BY1583="Aussen","Aussenlager",IF(BY1583="-","Nicht im Lift",IF(BC1583&gt;=1,"Lift",IF(BC1583&lt;=0,"Aussenlager","teilweise")))))</f>
        <v>Aussenlager</v>
      </c>
      <c r="BG1583" s="55" t="str">
        <f aca="false">IF(A1583="","",IF(BP1583=1,"Neu; ","")&amp;IF(AND(BP1583=0,BK1583&lt;0),"negativer Bestand (Export "&amp;BK1583&amp;"); ","")&amp;IF(J1583&lt;=0,"Kein Verbrauch; ","")&amp;IF(CH1583&gt;0,"Lift "&amp;W1583&amp;" lt. Liftbericht (Fach "&amp;X1583&amp;" Stk); ",IF(BU1583=1,"Gebinde geschätzt ("&amp;T1583&amp;"); ",IF(BT1583=1,"Lose – Tablare geschätzt; ","")))&amp;IF(H1583&gt;AR1583,"Überbestand "&amp;ROUND(H1583-AR1583,0)&amp;" Stk / CHF "&amp;ROUND((H1583-AR1583)*G1583,0)&amp;"; ","")&amp;IF(AND(CA1583=1,CB1583&lt;CC1583),"MAX &lt; MB+LG; ","")&amp;IF(AND(CG1583&gt;0,CF1583*10&gt;CG1583),"zu hoch für Tablar; ","")&amp;IF(AND(BP1583=0,OR(CA1583=1,AA1583&lt;&gt;"",U1583&lt;&gt;"",V1583&lt;&gt;"",AB1583&lt;&gt;"")),"manuell übersteuert; ","")&amp;IF(AND(BT1583=0,R1583=0),"Gebinde unbekannt / Stellmass fehlt; ","")&amp;IF(AND(BT1583=0,N(V1583)&lt;=0,N(Q1583)&lt;=0),"Menge pro Gebinde fehlt (Ist = 1 Gebinde); ","")&amp;BO1583)</f>
        <v>Kein Verbrauch; Gebinde geschätzt (Mittel); Menge pro Gebinde fehlt (Ist = 1 Gebinde); nur im Artikelstamm (Bestand 23.06.2026)</v>
      </c>
      <c r="BH1583" s="55"/>
      <c r="BI1583" s="55"/>
      <c r="BJ1583" s="62"/>
      <c r="BK1583" s="57" t="n">
        <v>2</v>
      </c>
      <c r="BL1583" s="57" t="n">
        <v>0</v>
      </c>
      <c r="BM1583" s="56" t="n">
        <v>0</v>
      </c>
      <c r="BN1583" s="57" t="n">
        <v>0</v>
      </c>
      <c r="BO1583" s="55" t="s">
        <v>2575</v>
      </c>
      <c r="BP1583" s="60" t="n">
        <v>0</v>
      </c>
      <c r="BQ1583" s="60" t="n">
        <v>1583</v>
      </c>
      <c r="BR1583" s="55" t="str">
        <f aca="false">IF(U1583&lt;&gt;"",UPPER(TRIM(U1583)),IF(BU1583=1,UPPER(VLOOKUP(T1583,Parameter!$I$27:$K$29,2,0)),IF(P1583="","LOSE",P1583)))</f>
        <v>S61</v>
      </c>
      <c r="BS1583" s="57" t="n">
        <f aca="false">IF(BR1583="LOSE",1,IF(N(V1583)&gt;0,V1583,IF(BU1583=1,MAX(1,N(VLOOKUP(T1583,Parameter!$I$27:$K$29,3,0)),H1583,N(N1583)),IF(N(Q1583)&gt;0,Q1583,MAX(1,H1583)))))</f>
        <v>4</v>
      </c>
      <c r="BT1583" s="60" t="n">
        <f aca="false">IF(BR1583="LOSE",1,0)</f>
        <v>0</v>
      </c>
      <c r="BU1583" s="60" t="n">
        <f aca="false">IF(AND(U1583="",OR(P1583="",P1583="LOSE"),T1583&lt;&gt;"",N(S1583)&lt;=0,ISNUMBER(MATCH(T1583,Parameter!$I$27:$I$29,0))),1,0)</f>
        <v>1</v>
      </c>
      <c r="BV1583" s="55" t="str">
        <f aca="false">IF(AND(Parameter!$B$19="Ja",E1583&lt;&gt;"",ISNUMBER(MATCH(E1583,Parameter!$I$35:$I$52,0))),VLOOKUP(E1583,Parameter!$I$35:$J$52,2,0),IFERROR(VLOOKUP(D1583,Parameter!$A$35:$C$64,2,0),"Nein"))</f>
        <v>2+3</v>
      </c>
      <c r="BW1583" s="59" t="n">
        <f aca="false">IF(BT1583=0,0,IF(N(S1583)&gt;0,S1583,IFERROR(VLOOKUP(D1583,Parameter!$A$35:$C$64,3,0)+0,0)))</f>
        <v>0</v>
      </c>
      <c r="BX1583" s="55" t="n">
        <f aca="false">IF(AA1583&lt;&gt;"",AA1583,Z1583)</f>
        <v>2</v>
      </c>
      <c r="BY1583" s="55" t="str">
        <f aca="false">IF(BX1583=1,"L1",IF(OR(BX1583=2,BX1583=3),"L23",IF(BX1583="Aussen","Aussen","-")))</f>
        <v>L23</v>
      </c>
      <c r="BZ1583" s="66" t="n">
        <f aca="false">IF(N(AB1583)&gt;0,AB1583,0)</f>
        <v>0</v>
      </c>
      <c r="CA1583" s="60" t="n">
        <f aca="false">IF(ISNUMBER(AE1583),1,0)</f>
        <v>0</v>
      </c>
      <c r="CB1583" s="57" t="n">
        <f aca="false">N(AE1583)</f>
        <v>0</v>
      </c>
      <c r="CC1583" s="57" t="n">
        <f aca="false">N(M1583)+N(N1583)</f>
        <v>1</v>
      </c>
      <c r="CD1583" s="57" t="n">
        <f aca="false">ROUNDUP(H1583/BS1583,0)</f>
        <v>1</v>
      </c>
      <c r="CE1583" s="57" t="n">
        <f aca="false">ROUNDUP(CB1583/BS1583,0)</f>
        <v>0</v>
      </c>
      <c r="CF1583" s="60" t="n">
        <f aca="false">IF(BT1583=1,0,IFERROR(VLOOKUP(BR1583,'Gebinde-Kategorie'!$A$5:$M$45,5,0)+0,0))</f>
        <v>11</v>
      </c>
      <c r="CG1583" s="60" t="n">
        <f aca="false">IFERROR(IF(OR(BX1583=1,BX1583=2,BX1583=3),N(INDEX(Parameter!$I$5:$I$7,BX1583)),0),0)</f>
        <v>0</v>
      </c>
      <c r="CH1583" s="59" t="n">
        <f aca="false">IF(AND(Parameter!$B$21="Ja",ISNUMBER(W1583),N(X1583)&gt;0),IFERROR(N(INDEX(Parameter!$L$5:$L$7,W1583))*INDEX(Parameter!$E$5:$E$7,W1583)*X1583/SUMIFS($X$7:$X$1843,$W$7:$W$1843,W1583),0),0)</f>
        <v>0</v>
      </c>
    </row>
    <row r="1584" customFormat="false" ht="15" hidden="false" customHeight="false" outlineLevel="0" collapsed="false">
      <c r="A1584" s="55" t="s">
        <v>2765</v>
      </c>
      <c r="B1584" s="55" t="s">
        <v>2764</v>
      </c>
      <c r="C1584" s="55" t="s">
        <v>164</v>
      </c>
      <c r="D1584" s="55" t="s">
        <v>173</v>
      </c>
      <c r="E1584" s="55"/>
      <c r="F1584" s="55"/>
      <c r="G1584" s="56" t="n">
        <v>323</v>
      </c>
      <c r="H1584" s="57" t="n">
        <f aca="false">MAX(0,IF(AND(Parameter!$B$21="Ja",ISNUMBER(Y1584)),Y1584,IF(Parameter!$B$20="Jahresanfang 2025 + Export",BL1584+BK1584,BK1584)))</f>
        <v>2</v>
      </c>
      <c r="I1584" s="57" t="n">
        <f aca="false">H1584*G1584</f>
        <v>646</v>
      </c>
      <c r="J1584" s="57" t="n">
        <f aca="false">BN1584*Parameter!$B$18</f>
        <v>0</v>
      </c>
      <c r="K1584" s="58"/>
      <c r="L1584" s="59"/>
      <c r="M1584" s="57" t="n">
        <v>0</v>
      </c>
      <c r="N1584" s="57" t="n">
        <v>1</v>
      </c>
      <c r="O1584" s="60" t="n">
        <v>0</v>
      </c>
      <c r="P1584" s="55" t="s">
        <v>168</v>
      </c>
      <c r="Q1584" s="57"/>
      <c r="R1584" s="60" t="n">
        <f aca="false">IF(BT1584=1,0,IFERROR(VLOOKUP(BR1584,'Gebinde-Kategorie'!$A$5:$M$45,13,0)+0,0))</f>
        <v>12</v>
      </c>
      <c r="S1584" s="61"/>
      <c r="T1584" s="62" t="s">
        <v>179</v>
      </c>
      <c r="U1584" s="62"/>
      <c r="V1584" s="62"/>
      <c r="W1584" s="55"/>
      <c r="X1584" s="57"/>
      <c r="Y1584" s="57"/>
      <c r="Z1584" s="55" t="n">
        <f aca="false">IF(A1584="","",IF(AND(Parameter!$B$21="Ja",ISNUMBER(W1584)),W1584,IF(BV1584="2+3",IF(ISNUMBER(SEARCH("grosser Artikel",BO1584)),2,IFERROR(VLOOKUP(BR1584,Parameter!$F$35:$G$64,2,0),2)),IF(OR(BV1584="Nein",BV1584=""),"-",BV1584))))</f>
        <v>2</v>
      </c>
      <c r="AA1584" s="62"/>
      <c r="AB1584" s="63"/>
      <c r="AC1584" s="57" t="n">
        <f aca="false">AR1584</f>
        <v>4</v>
      </c>
      <c r="AD1584" s="57" t="n">
        <f aca="false">MAX(AR1584,H1584)</f>
        <v>4</v>
      </c>
      <c r="AE1584" s="64"/>
      <c r="AF1584" s="57" t="n">
        <f aca="false">IF(LEFT(Cockpit!$C$5,1)="A",H1584,IF(CA1584=1,CB1584,IF(LEFT(Cockpit!$C$5,1)="B",AJ1584,MAX(AJ1584,H1584))))</f>
        <v>2</v>
      </c>
      <c r="AG1584" s="57" t="n">
        <f aca="false">IF(BT1584=1,0,ROUNDUP(AF1584/BS1584,0))</f>
        <v>1</v>
      </c>
      <c r="AH1584" s="59" t="n">
        <f aca="false">IF(CH1584&gt;0,CH1584*MAX(1,AF1584/X1584),IF(BT1584=1,IF(AF1584&lt;=0,0,BW1584*MAX(1,IF(H1584&gt;0,AF1584/H1584,1))),IF(R1584&gt;0,AG1584/R1584,0))/MAX(0.1,N(Parameter!$M$21)))</f>
        <v>0.0833333333333333</v>
      </c>
      <c r="AI1584" s="57" t="n">
        <f aca="false">AF1584*G1584</f>
        <v>646</v>
      </c>
      <c r="AJ1584" s="57" t="n">
        <f aca="false">ROUNDUP(MAX(J1584/IF(BZ1584&gt;0,BZ1584,MAX(0.1,N(Cockpit!$C$6))),CC1584)/BS1584,0)*BS1584</f>
        <v>4</v>
      </c>
      <c r="AK1584" s="58" t="n">
        <f aca="false">IF(AH1584&gt;0,J1584/AH1584,-1)</f>
        <v>0</v>
      </c>
      <c r="AL1584" s="58" t="n">
        <f aca="false">IF(AND(OR(BY1584="L1",BY1584="L23"),AH1584&gt;0),SUMIFS($AH$7:$AH$1843,$BY$7:$BY$1843,BY1584,$AK$7:$AK$1843,"&gt;"&amp;AK1584)+SUMIFS($AH$7:$AH$1843,$BY$7:$BY$1843,BY1584,$AK$7:$AK$1843,AK1584,$BQ$7:$BQ$1843,"&lt;="&amp;BQ1584),"")</f>
        <v>84.9819685145772</v>
      </c>
      <c r="AM1584" s="65" t="n">
        <f aca="false">IF(AL1584="",0,MAX(0,MIN(1,(IF(BY1584="L1",Parameter!$E$5,Parameter!$E$6+Parameter!$E$7)-(AL1584-AH1584))/AH1584)))</f>
        <v>1</v>
      </c>
      <c r="AN1584" s="57" t="n">
        <f aca="false">IF(LEFT(Cockpit!$I$5,1)="A",H1584,IF(CA1584=1,CB1584,IF(LEFT(Cockpit!$I$5,1)="B",AR1584,MAX(AR1584,H1584))))</f>
        <v>4</v>
      </c>
      <c r="AO1584" s="57" t="n">
        <f aca="false">IF(BT1584=1,0,ROUNDUP(AN1584/BS1584,0))</f>
        <v>1</v>
      </c>
      <c r="AP1584" s="59" t="n">
        <f aca="false">IF(CH1584&gt;0,CH1584*MAX(1,AN1584/X1584),IF(BT1584=1,IF(AN1584&lt;=0,0,BW1584*MAX(1,IF(H1584&gt;0,AN1584/H1584,1))),IF(R1584&gt;0,AO1584/R1584,0))/MAX(0.1,N(Parameter!$M$21)))</f>
        <v>0.0833333333333333</v>
      </c>
      <c r="AQ1584" s="57" t="n">
        <f aca="false">AN1584*G1584</f>
        <v>1292</v>
      </c>
      <c r="AR1584" s="57" t="n">
        <f aca="false">ROUNDUP(MAX(J1584/IF(BZ1584&gt;0,BZ1584,MAX(0.1,N(Cockpit!$I$6))),CC1584)/BS1584,0)*BS1584</f>
        <v>4</v>
      </c>
      <c r="AS1584" s="58" t="n">
        <f aca="false">IF(AP1584&gt;0,J1584/AP1584,-1)</f>
        <v>0</v>
      </c>
      <c r="AT1584" s="58" t="n">
        <f aca="false">IF(AND(OR(BY1584="L1",BY1584="L23"),AP1584&gt;0),SUMIFS($AP$7:$AP$1843,$BY$7:$BY$1843,BY1584,$AS$7:$AS$1843,"&gt;"&amp;AS1584)+SUMIFS($AP$7:$AP$1843,$BY$7:$BY$1843,BY1584,$AS$7:$AS$1843,AS1584,$BQ$7:$BQ$1843,"&lt;="&amp;BQ1584),"")</f>
        <v>130.234105266714</v>
      </c>
      <c r="AU1584" s="65" t="n">
        <f aca="false">IF(AT1584="",0,MAX(0,MIN(1,(IF(BY1584="L1",Parameter!$E$5,Parameter!$E$6+Parameter!$E$7)-(AT1584-AP1584))/AP1584)))</f>
        <v>0</v>
      </c>
      <c r="AV1584" s="57" t="n">
        <f aca="false">IF(LEFT(Cockpit!$O$5,1)="A",H1584,IF(CA1584=1,CB1584,IF(LEFT(Cockpit!$O$5,1)="B",AZ1584,MAX(AZ1584,H1584))))</f>
        <v>4</v>
      </c>
      <c r="AW1584" s="57" t="n">
        <f aca="false">IF(BT1584=1,0,ROUNDUP(AV1584/BS1584,0))</f>
        <v>1</v>
      </c>
      <c r="AX1584" s="59" t="n">
        <f aca="false">IF(CH1584&gt;0,CH1584*MAX(1,AV1584/X1584),IF(BT1584=1,IF(AV1584&lt;=0,0,BW1584*MAX(1,IF(H1584&gt;0,AV1584/H1584,1))),IF(R1584&gt;0,AW1584/R1584,0))/MAX(0.1,N(Parameter!$M$21)))</f>
        <v>0.0833333333333333</v>
      </c>
      <c r="AY1584" s="57" t="n">
        <f aca="false">AV1584*G1584</f>
        <v>1292</v>
      </c>
      <c r="AZ1584" s="57" t="n">
        <f aca="false">ROUNDUP(MAX(J1584/IF(BZ1584&gt;0,BZ1584,MAX(0.1,N(Cockpit!$O$6))),CC1584)/BS1584,0)*BS1584</f>
        <v>4</v>
      </c>
      <c r="BA1584" s="58" t="n">
        <f aca="false">IF(AX1584&gt;0,J1584/AX1584,-1)</f>
        <v>0</v>
      </c>
      <c r="BB1584" s="58" t="n">
        <f aca="false">IF(AND(OR(BY1584="L1",BY1584="L23"),AX1584&gt;0),SUMIFS($AX$7:$AX$1843,$BY$7:$BY$1843,BY1584,$BA$7:$BA$1843,"&gt;"&amp;BA1584)+SUMIFS($AX$7:$AX$1843,$BY$7:$BY$1843,BY1584,$BA$7:$BA$1843,BA1584,$BQ$7:$BQ$1843,"&lt;="&amp;BQ1584),"")</f>
        <v>121.063942096551</v>
      </c>
      <c r="BC1584" s="65" t="n">
        <f aca="false">IF(BB1584="",0,MAX(0,MIN(1,(IF(BY1584="L1",Parameter!$E$5,Parameter!$E$6+Parameter!$E$7)-(BB1584-AX1584))/AX1584)))</f>
        <v>0</v>
      </c>
      <c r="BD1584" s="55" t="str">
        <f aca="false">IF(AH1584&lt;=0,"",IF(BY1584="Aussen","Aussenlager",IF(BY1584="-","Nicht im Lift",IF(AM1584&gt;=1,"Lift",IF(AM1584&lt;=0,"Aussenlager","teilweise")))))</f>
        <v>Lift</v>
      </c>
      <c r="BE1584" s="55" t="str">
        <f aca="false">IF(AP1584&lt;=0,"",IF(BY1584="Aussen","Aussenlager",IF(BY1584="-","Nicht im Lift",IF(AU1584&gt;=1,"Lift",IF(AU1584&lt;=0,"Aussenlager","teilweise")))))</f>
        <v>Aussenlager</v>
      </c>
      <c r="BF1584" s="55" t="str">
        <f aca="false">IF(AX1584&lt;=0,"",IF(BY1584="Aussen","Aussenlager",IF(BY1584="-","Nicht im Lift",IF(BC1584&gt;=1,"Lift",IF(BC1584&lt;=0,"Aussenlager","teilweise")))))</f>
        <v>Aussenlager</v>
      </c>
      <c r="BG1584" s="55" t="str">
        <f aca="false">IF(A1584="","",IF(BP1584=1,"Neu; ","")&amp;IF(AND(BP1584=0,BK1584&lt;0),"negativer Bestand (Export "&amp;BK1584&amp;"); ","")&amp;IF(J1584&lt;=0,"Kein Verbrauch; ","")&amp;IF(CH1584&gt;0,"Lift "&amp;W1584&amp;" lt. Liftbericht (Fach "&amp;X1584&amp;" Stk); ",IF(BU1584=1,"Gebinde geschätzt ("&amp;T1584&amp;"); ",IF(BT1584=1,"Lose – Tablare geschätzt; ","")))&amp;IF(H1584&gt;AR1584,"Überbestand "&amp;ROUND(H1584-AR1584,0)&amp;" Stk / CHF "&amp;ROUND((H1584-AR1584)*G1584,0)&amp;"; ","")&amp;IF(AND(CA1584=1,CB1584&lt;CC1584),"MAX &lt; MB+LG; ","")&amp;IF(AND(CG1584&gt;0,CF1584*10&gt;CG1584),"zu hoch für Tablar; ","")&amp;IF(AND(BP1584=0,OR(CA1584=1,AA1584&lt;&gt;"",U1584&lt;&gt;"",V1584&lt;&gt;"",AB1584&lt;&gt;"")),"manuell übersteuert; ","")&amp;IF(AND(BT1584=0,R1584=0),"Gebinde unbekannt / Stellmass fehlt; ","")&amp;IF(AND(BT1584=0,N(V1584)&lt;=0,N(Q1584)&lt;=0),"Menge pro Gebinde fehlt (Ist = 1 Gebinde); ","")&amp;BO1584)</f>
        <v>Kein Verbrauch; Gebinde geschätzt (Mittel); Menge pro Gebinde fehlt (Ist = 1 Gebinde); nur im Artikelstamm (Bestand 23.06.2026)</v>
      </c>
      <c r="BH1584" s="55"/>
      <c r="BI1584" s="55"/>
      <c r="BJ1584" s="62"/>
      <c r="BK1584" s="57" t="n">
        <v>2</v>
      </c>
      <c r="BL1584" s="57" t="n">
        <v>0</v>
      </c>
      <c r="BM1584" s="56" t="n">
        <v>0</v>
      </c>
      <c r="BN1584" s="57" t="n">
        <v>0</v>
      </c>
      <c r="BO1584" s="55" t="s">
        <v>2575</v>
      </c>
      <c r="BP1584" s="60" t="n">
        <v>0</v>
      </c>
      <c r="BQ1584" s="60" t="n">
        <v>1584</v>
      </c>
      <c r="BR1584" s="55" t="str">
        <f aca="false">IF(U1584&lt;&gt;"",UPPER(TRIM(U1584)),IF(BU1584=1,UPPER(VLOOKUP(T1584,Parameter!$I$27:$K$29,2,0)),IF(P1584="","LOSE",P1584)))</f>
        <v>S61</v>
      </c>
      <c r="BS1584" s="57" t="n">
        <f aca="false">IF(BR1584="LOSE",1,IF(N(V1584)&gt;0,V1584,IF(BU1584=1,MAX(1,N(VLOOKUP(T1584,Parameter!$I$27:$K$29,3,0)),H1584,N(N1584)),IF(N(Q1584)&gt;0,Q1584,MAX(1,H1584)))))</f>
        <v>4</v>
      </c>
      <c r="BT1584" s="60" t="n">
        <f aca="false">IF(BR1584="LOSE",1,0)</f>
        <v>0</v>
      </c>
      <c r="BU1584" s="60" t="n">
        <f aca="false">IF(AND(U1584="",OR(P1584="",P1584="LOSE"),T1584&lt;&gt;"",N(S1584)&lt;=0,ISNUMBER(MATCH(T1584,Parameter!$I$27:$I$29,0))),1,0)</f>
        <v>1</v>
      </c>
      <c r="BV1584" s="55" t="str">
        <f aca="false">IF(AND(Parameter!$B$19="Ja",E1584&lt;&gt;"",ISNUMBER(MATCH(E1584,Parameter!$I$35:$I$52,0))),VLOOKUP(E1584,Parameter!$I$35:$J$52,2,0),IFERROR(VLOOKUP(D1584,Parameter!$A$35:$C$64,2,0),"Nein"))</f>
        <v>2+3</v>
      </c>
      <c r="BW1584" s="59" t="n">
        <f aca="false">IF(BT1584=0,0,IF(N(S1584)&gt;0,S1584,IFERROR(VLOOKUP(D1584,Parameter!$A$35:$C$64,3,0)+0,0)))</f>
        <v>0</v>
      </c>
      <c r="BX1584" s="55" t="n">
        <f aca="false">IF(AA1584&lt;&gt;"",AA1584,Z1584)</f>
        <v>2</v>
      </c>
      <c r="BY1584" s="55" t="str">
        <f aca="false">IF(BX1584=1,"L1",IF(OR(BX1584=2,BX1584=3),"L23",IF(BX1584="Aussen","Aussen","-")))</f>
        <v>L23</v>
      </c>
      <c r="BZ1584" s="66" t="n">
        <f aca="false">IF(N(AB1584)&gt;0,AB1584,0)</f>
        <v>0</v>
      </c>
      <c r="CA1584" s="60" t="n">
        <f aca="false">IF(ISNUMBER(AE1584),1,0)</f>
        <v>0</v>
      </c>
      <c r="CB1584" s="57" t="n">
        <f aca="false">N(AE1584)</f>
        <v>0</v>
      </c>
      <c r="CC1584" s="57" t="n">
        <f aca="false">N(M1584)+N(N1584)</f>
        <v>1</v>
      </c>
      <c r="CD1584" s="57" t="n">
        <f aca="false">ROUNDUP(H1584/BS1584,0)</f>
        <v>1</v>
      </c>
      <c r="CE1584" s="57" t="n">
        <f aca="false">ROUNDUP(CB1584/BS1584,0)</f>
        <v>0</v>
      </c>
      <c r="CF1584" s="60" t="n">
        <f aca="false">IF(BT1584=1,0,IFERROR(VLOOKUP(BR1584,'Gebinde-Kategorie'!$A$5:$M$45,5,0)+0,0))</f>
        <v>11</v>
      </c>
      <c r="CG1584" s="60" t="n">
        <f aca="false">IFERROR(IF(OR(BX1584=1,BX1584=2,BX1584=3),N(INDEX(Parameter!$I$5:$I$7,BX1584)),0),0)</f>
        <v>0</v>
      </c>
      <c r="CH1584" s="59" t="n">
        <f aca="false">IF(AND(Parameter!$B$21="Ja",ISNUMBER(W1584),N(X1584)&gt;0),IFERROR(N(INDEX(Parameter!$L$5:$L$7,W1584))*INDEX(Parameter!$E$5:$E$7,W1584)*X1584/SUMIFS($X$7:$X$1843,$W$7:$W$1843,W1584),0),0)</f>
        <v>0</v>
      </c>
    </row>
    <row r="1585" customFormat="false" ht="15" hidden="false" customHeight="false" outlineLevel="0" collapsed="false">
      <c r="A1585" s="55" t="s">
        <v>2766</v>
      </c>
      <c r="B1585" s="55" t="s">
        <v>2764</v>
      </c>
      <c r="C1585" s="55" t="s">
        <v>164</v>
      </c>
      <c r="D1585" s="55" t="s">
        <v>173</v>
      </c>
      <c r="E1585" s="55"/>
      <c r="F1585" s="55"/>
      <c r="G1585" s="56" t="n">
        <v>323</v>
      </c>
      <c r="H1585" s="57" t="n">
        <f aca="false">MAX(0,IF(AND(Parameter!$B$21="Ja",ISNUMBER(Y1585)),Y1585,IF(Parameter!$B$20="Jahresanfang 2025 + Export",BL1585+BK1585,BK1585)))</f>
        <v>1</v>
      </c>
      <c r="I1585" s="57" t="n">
        <f aca="false">H1585*G1585</f>
        <v>323</v>
      </c>
      <c r="J1585" s="57" t="n">
        <f aca="false">BN1585*Parameter!$B$18</f>
        <v>0</v>
      </c>
      <c r="K1585" s="58"/>
      <c r="L1585" s="59"/>
      <c r="M1585" s="57" t="n">
        <v>0</v>
      </c>
      <c r="N1585" s="57" t="n">
        <v>1</v>
      </c>
      <c r="O1585" s="60" t="n">
        <v>0</v>
      </c>
      <c r="P1585" s="55" t="s">
        <v>168</v>
      </c>
      <c r="Q1585" s="57"/>
      <c r="R1585" s="60" t="n">
        <f aca="false">IF(BT1585=1,0,IFERROR(VLOOKUP(BR1585,'Gebinde-Kategorie'!$A$5:$M$45,13,0)+0,0))</f>
        <v>12</v>
      </c>
      <c r="S1585" s="61"/>
      <c r="T1585" s="62" t="s">
        <v>179</v>
      </c>
      <c r="U1585" s="62"/>
      <c r="V1585" s="62"/>
      <c r="W1585" s="55"/>
      <c r="X1585" s="57"/>
      <c r="Y1585" s="57"/>
      <c r="Z1585" s="55" t="n">
        <f aca="false">IF(A1585="","",IF(AND(Parameter!$B$21="Ja",ISNUMBER(W1585)),W1585,IF(BV1585="2+3",IF(ISNUMBER(SEARCH("grosser Artikel",BO1585)),2,IFERROR(VLOOKUP(BR1585,Parameter!$F$35:$G$64,2,0),2)),IF(OR(BV1585="Nein",BV1585=""),"-",BV1585))))</f>
        <v>2</v>
      </c>
      <c r="AA1585" s="62"/>
      <c r="AB1585" s="63"/>
      <c r="AC1585" s="57" t="n">
        <f aca="false">AR1585</f>
        <v>4</v>
      </c>
      <c r="AD1585" s="57" t="n">
        <f aca="false">MAX(AR1585,H1585)</f>
        <v>4</v>
      </c>
      <c r="AE1585" s="64"/>
      <c r="AF1585" s="57" t="n">
        <f aca="false">IF(LEFT(Cockpit!$C$5,1)="A",H1585,IF(CA1585=1,CB1585,IF(LEFT(Cockpit!$C$5,1)="B",AJ1585,MAX(AJ1585,H1585))))</f>
        <v>1</v>
      </c>
      <c r="AG1585" s="57" t="n">
        <f aca="false">IF(BT1585=1,0,ROUNDUP(AF1585/BS1585,0))</f>
        <v>1</v>
      </c>
      <c r="AH1585" s="59" t="n">
        <f aca="false">IF(CH1585&gt;0,CH1585*MAX(1,AF1585/X1585),IF(BT1585=1,IF(AF1585&lt;=0,0,BW1585*MAX(1,IF(H1585&gt;0,AF1585/H1585,1))),IF(R1585&gt;0,AG1585/R1585,0))/MAX(0.1,N(Parameter!$M$21)))</f>
        <v>0.0833333333333333</v>
      </c>
      <c r="AI1585" s="57" t="n">
        <f aca="false">AF1585*G1585</f>
        <v>323</v>
      </c>
      <c r="AJ1585" s="57" t="n">
        <f aca="false">ROUNDUP(MAX(J1585/IF(BZ1585&gt;0,BZ1585,MAX(0.1,N(Cockpit!$C$6))),CC1585)/BS1585,0)*BS1585</f>
        <v>4</v>
      </c>
      <c r="AK1585" s="58" t="n">
        <f aca="false">IF(AH1585&gt;0,J1585/AH1585,-1)</f>
        <v>0</v>
      </c>
      <c r="AL1585" s="58" t="n">
        <f aca="false">IF(AND(OR(BY1585="L1",BY1585="L23"),AH1585&gt;0),SUMIFS($AH$7:$AH$1843,$BY$7:$BY$1843,BY1585,$AK$7:$AK$1843,"&gt;"&amp;AK1585)+SUMIFS($AH$7:$AH$1843,$BY$7:$BY$1843,BY1585,$AK$7:$AK$1843,AK1585,$BQ$7:$BQ$1843,"&lt;="&amp;BQ1585),"")</f>
        <v>85.0653018479106</v>
      </c>
      <c r="AM1585" s="65" t="n">
        <f aca="false">IF(AL1585="",0,MAX(0,MIN(1,(IF(BY1585="L1",Parameter!$E$5,Parameter!$E$6+Parameter!$E$7)-(AL1585-AH1585))/AH1585)))</f>
        <v>1</v>
      </c>
      <c r="AN1585" s="57" t="n">
        <f aca="false">IF(LEFT(Cockpit!$I$5,1)="A",H1585,IF(CA1585=1,CB1585,IF(LEFT(Cockpit!$I$5,1)="B",AR1585,MAX(AR1585,H1585))))</f>
        <v>4</v>
      </c>
      <c r="AO1585" s="57" t="n">
        <f aca="false">IF(BT1585=1,0,ROUNDUP(AN1585/BS1585,0))</f>
        <v>1</v>
      </c>
      <c r="AP1585" s="59" t="n">
        <f aca="false">IF(CH1585&gt;0,CH1585*MAX(1,AN1585/X1585),IF(BT1585=1,IF(AN1585&lt;=0,0,BW1585*MAX(1,IF(H1585&gt;0,AN1585/H1585,1))),IF(R1585&gt;0,AO1585/R1585,0))/MAX(0.1,N(Parameter!$M$21)))</f>
        <v>0.0833333333333333</v>
      </c>
      <c r="AQ1585" s="57" t="n">
        <f aca="false">AN1585*G1585</f>
        <v>1292</v>
      </c>
      <c r="AR1585" s="57" t="n">
        <f aca="false">ROUNDUP(MAX(J1585/IF(BZ1585&gt;0,BZ1585,MAX(0.1,N(Cockpit!$I$6))),CC1585)/BS1585,0)*BS1585</f>
        <v>4</v>
      </c>
      <c r="AS1585" s="58" t="n">
        <f aca="false">IF(AP1585&gt;0,J1585/AP1585,-1)</f>
        <v>0</v>
      </c>
      <c r="AT1585" s="58" t="n">
        <f aca="false">IF(AND(OR(BY1585="L1",BY1585="L23"),AP1585&gt;0),SUMIFS($AP$7:$AP$1843,$BY$7:$BY$1843,BY1585,$AS$7:$AS$1843,"&gt;"&amp;AS1585)+SUMIFS($AP$7:$AP$1843,$BY$7:$BY$1843,BY1585,$AS$7:$AS$1843,AS1585,$BQ$7:$BQ$1843,"&lt;="&amp;BQ1585),"")</f>
        <v>130.317438600047</v>
      </c>
      <c r="AU1585" s="65" t="n">
        <f aca="false">IF(AT1585="",0,MAX(0,MIN(1,(IF(BY1585="L1",Parameter!$E$5,Parameter!$E$6+Parameter!$E$7)-(AT1585-AP1585))/AP1585)))</f>
        <v>0</v>
      </c>
      <c r="AV1585" s="57" t="n">
        <f aca="false">IF(LEFT(Cockpit!$O$5,1)="A",H1585,IF(CA1585=1,CB1585,IF(LEFT(Cockpit!$O$5,1)="B",AZ1585,MAX(AZ1585,H1585))))</f>
        <v>4</v>
      </c>
      <c r="AW1585" s="57" t="n">
        <f aca="false">IF(BT1585=1,0,ROUNDUP(AV1585/BS1585,0))</f>
        <v>1</v>
      </c>
      <c r="AX1585" s="59" t="n">
        <f aca="false">IF(CH1585&gt;0,CH1585*MAX(1,AV1585/X1585),IF(BT1585=1,IF(AV1585&lt;=0,0,BW1585*MAX(1,IF(H1585&gt;0,AV1585/H1585,1))),IF(R1585&gt;0,AW1585/R1585,0))/MAX(0.1,N(Parameter!$M$21)))</f>
        <v>0.0833333333333333</v>
      </c>
      <c r="AY1585" s="57" t="n">
        <f aca="false">AV1585*G1585</f>
        <v>1292</v>
      </c>
      <c r="AZ1585" s="57" t="n">
        <f aca="false">ROUNDUP(MAX(J1585/IF(BZ1585&gt;0,BZ1585,MAX(0.1,N(Cockpit!$O$6))),CC1585)/BS1585,0)*BS1585</f>
        <v>4</v>
      </c>
      <c r="BA1585" s="58" t="n">
        <f aca="false">IF(AX1585&gt;0,J1585/AX1585,-1)</f>
        <v>0</v>
      </c>
      <c r="BB1585" s="58" t="n">
        <f aca="false">IF(AND(OR(BY1585="L1",BY1585="L23"),AX1585&gt;0),SUMIFS($AX$7:$AX$1843,$BY$7:$BY$1843,BY1585,$BA$7:$BA$1843,"&gt;"&amp;BA1585)+SUMIFS($AX$7:$AX$1843,$BY$7:$BY$1843,BY1585,$BA$7:$BA$1843,BA1585,$BQ$7:$BQ$1843,"&lt;="&amp;BQ1585),"")</f>
        <v>121.147275429884</v>
      </c>
      <c r="BC1585" s="65" t="n">
        <f aca="false">IF(BB1585="",0,MAX(0,MIN(1,(IF(BY1585="L1",Parameter!$E$5,Parameter!$E$6+Parameter!$E$7)-(BB1585-AX1585))/AX1585)))</f>
        <v>0</v>
      </c>
      <c r="BD1585" s="55" t="str">
        <f aca="false">IF(AH1585&lt;=0,"",IF(BY1585="Aussen","Aussenlager",IF(BY1585="-","Nicht im Lift",IF(AM1585&gt;=1,"Lift",IF(AM1585&lt;=0,"Aussenlager","teilweise")))))</f>
        <v>Lift</v>
      </c>
      <c r="BE1585" s="55" t="str">
        <f aca="false">IF(AP1585&lt;=0,"",IF(BY1585="Aussen","Aussenlager",IF(BY1585="-","Nicht im Lift",IF(AU1585&gt;=1,"Lift",IF(AU1585&lt;=0,"Aussenlager","teilweise")))))</f>
        <v>Aussenlager</v>
      </c>
      <c r="BF1585" s="55" t="str">
        <f aca="false">IF(AX1585&lt;=0,"",IF(BY1585="Aussen","Aussenlager",IF(BY1585="-","Nicht im Lift",IF(BC1585&gt;=1,"Lift",IF(BC1585&lt;=0,"Aussenlager","teilweise")))))</f>
        <v>Aussenlager</v>
      </c>
      <c r="BG1585" s="55" t="str">
        <f aca="false">IF(A1585="","",IF(BP1585=1,"Neu; ","")&amp;IF(AND(BP1585=0,BK1585&lt;0),"negativer Bestand (Export "&amp;BK1585&amp;"); ","")&amp;IF(J1585&lt;=0,"Kein Verbrauch; ","")&amp;IF(CH1585&gt;0,"Lift "&amp;W1585&amp;" lt. Liftbericht (Fach "&amp;X1585&amp;" Stk); ",IF(BU1585=1,"Gebinde geschätzt ("&amp;T1585&amp;"); ",IF(BT1585=1,"Lose – Tablare geschätzt; ","")))&amp;IF(H1585&gt;AR1585,"Überbestand "&amp;ROUND(H1585-AR1585,0)&amp;" Stk / CHF "&amp;ROUND((H1585-AR1585)*G1585,0)&amp;"; ","")&amp;IF(AND(CA1585=1,CB1585&lt;CC1585),"MAX &lt; MB+LG; ","")&amp;IF(AND(CG1585&gt;0,CF1585*10&gt;CG1585),"zu hoch für Tablar; ","")&amp;IF(AND(BP1585=0,OR(CA1585=1,AA1585&lt;&gt;"",U1585&lt;&gt;"",V1585&lt;&gt;"",AB1585&lt;&gt;"")),"manuell übersteuert; ","")&amp;IF(AND(BT1585=0,R1585=0),"Gebinde unbekannt / Stellmass fehlt; ","")&amp;IF(AND(BT1585=0,N(V1585)&lt;=0,N(Q1585)&lt;=0),"Menge pro Gebinde fehlt (Ist = 1 Gebinde); ","")&amp;BO1585)</f>
        <v>Kein Verbrauch; Gebinde geschätzt (Mittel); Menge pro Gebinde fehlt (Ist = 1 Gebinde); nur im Artikelstamm (Bestand 23.06.2026)</v>
      </c>
      <c r="BH1585" s="55"/>
      <c r="BI1585" s="55"/>
      <c r="BJ1585" s="62"/>
      <c r="BK1585" s="57" t="n">
        <v>1</v>
      </c>
      <c r="BL1585" s="57" t="n">
        <v>0</v>
      </c>
      <c r="BM1585" s="56" t="n">
        <v>0</v>
      </c>
      <c r="BN1585" s="57" t="n">
        <v>0</v>
      </c>
      <c r="BO1585" s="55" t="s">
        <v>2575</v>
      </c>
      <c r="BP1585" s="60" t="n">
        <v>0</v>
      </c>
      <c r="BQ1585" s="60" t="n">
        <v>1585</v>
      </c>
      <c r="BR1585" s="55" t="str">
        <f aca="false">IF(U1585&lt;&gt;"",UPPER(TRIM(U1585)),IF(BU1585=1,UPPER(VLOOKUP(T1585,Parameter!$I$27:$K$29,2,0)),IF(P1585="","LOSE",P1585)))</f>
        <v>S61</v>
      </c>
      <c r="BS1585" s="57" t="n">
        <f aca="false">IF(BR1585="LOSE",1,IF(N(V1585)&gt;0,V1585,IF(BU1585=1,MAX(1,N(VLOOKUP(T1585,Parameter!$I$27:$K$29,3,0)),H1585,N(N1585)),IF(N(Q1585)&gt;0,Q1585,MAX(1,H1585)))))</f>
        <v>4</v>
      </c>
      <c r="BT1585" s="60" t="n">
        <f aca="false">IF(BR1585="LOSE",1,0)</f>
        <v>0</v>
      </c>
      <c r="BU1585" s="60" t="n">
        <f aca="false">IF(AND(U1585="",OR(P1585="",P1585="LOSE"),T1585&lt;&gt;"",N(S1585)&lt;=0,ISNUMBER(MATCH(T1585,Parameter!$I$27:$I$29,0))),1,0)</f>
        <v>1</v>
      </c>
      <c r="BV1585" s="55" t="str">
        <f aca="false">IF(AND(Parameter!$B$19="Ja",E1585&lt;&gt;"",ISNUMBER(MATCH(E1585,Parameter!$I$35:$I$52,0))),VLOOKUP(E1585,Parameter!$I$35:$J$52,2,0),IFERROR(VLOOKUP(D1585,Parameter!$A$35:$C$64,2,0),"Nein"))</f>
        <v>2+3</v>
      </c>
      <c r="BW1585" s="59" t="n">
        <f aca="false">IF(BT1585=0,0,IF(N(S1585)&gt;0,S1585,IFERROR(VLOOKUP(D1585,Parameter!$A$35:$C$64,3,0)+0,0)))</f>
        <v>0</v>
      </c>
      <c r="BX1585" s="55" t="n">
        <f aca="false">IF(AA1585&lt;&gt;"",AA1585,Z1585)</f>
        <v>2</v>
      </c>
      <c r="BY1585" s="55" t="str">
        <f aca="false">IF(BX1585=1,"L1",IF(OR(BX1585=2,BX1585=3),"L23",IF(BX1585="Aussen","Aussen","-")))</f>
        <v>L23</v>
      </c>
      <c r="BZ1585" s="66" t="n">
        <f aca="false">IF(N(AB1585)&gt;0,AB1585,0)</f>
        <v>0</v>
      </c>
      <c r="CA1585" s="60" t="n">
        <f aca="false">IF(ISNUMBER(AE1585),1,0)</f>
        <v>0</v>
      </c>
      <c r="CB1585" s="57" t="n">
        <f aca="false">N(AE1585)</f>
        <v>0</v>
      </c>
      <c r="CC1585" s="57" t="n">
        <f aca="false">N(M1585)+N(N1585)</f>
        <v>1</v>
      </c>
      <c r="CD1585" s="57" t="n">
        <f aca="false">ROUNDUP(H1585/BS1585,0)</f>
        <v>1</v>
      </c>
      <c r="CE1585" s="57" t="n">
        <f aca="false">ROUNDUP(CB1585/BS1585,0)</f>
        <v>0</v>
      </c>
      <c r="CF1585" s="60" t="n">
        <f aca="false">IF(BT1585=1,0,IFERROR(VLOOKUP(BR1585,'Gebinde-Kategorie'!$A$5:$M$45,5,0)+0,0))</f>
        <v>11</v>
      </c>
      <c r="CG1585" s="60" t="n">
        <f aca="false">IFERROR(IF(OR(BX1585=1,BX1585=2,BX1585=3),N(INDEX(Parameter!$I$5:$I$7,BX1585)),0),0)</f>
        <v>0</v>
      </c>
      <c r="CH1585" s="59" t="n">
        <f aca="false">IF(AND(Parameter!$B$21="Ja",ISNUMBER(W1585),N(X1585)&gt;0),IFERROR(N(INDEX(Parameter!$L$5:$L$7,W1585))*INDEX(Parameter!$E$5:$E$7,W1585)*X1585/SUMIFS($X$7:$X$1843,$W$7:$W$1843,W1585),0),0)</f>
        <v>0</v>
      </c>
    </row>
    <row r="1586" customFormat="false" ht="15" hidden="false" customHeight="false" outlineLevel="0" collapsed="false">
      <c r="A1586" s="55" t="s">
        <v>2767</v>
      </c>
      <c r="B1586" s="55" t="s">
        <v>2764</v>
      </c>
      <c r="C1586" s="55" t="s">
        <v>164</v>
      </c>
      <c r="D1586" s="55" t="s">
        <v>173</v>
      </c>
      <c r="E1586" s="55"/>
      <c r="F1586" s="55"/>
      <c r="G1586" s="56" t="n">
        <v>323</v>
      </c>
      <c r="H1586" s="57" t="n">
        <f aca="false">MAX(0,IF(AND(Parameter!$B$21="Ja",ISNUMBER(Y1586)),Y1586,IF(Parameter!$B$20="Jahresanfang 2025 + Export",BL1586+BK1586,BK1586)))</f>
        <v>2</v>
      </c>
      <c r="I1586" s="57" t="n">
        <f aca="false">H1586*G1586</f>
        <v>646</v>
      </c>
      <c r="J1586" s="57" t="n">
        <f aca="false">BN1586*Parameter!$B$18</f>
        <v>0</v>
      </c>
      <c r="K1586" s="58"/>
      <c r="L1586" s="59"/>
      <c r="M1586" s="57" t="n">
        <v>0</v>
      </c>
      <c r="N1586" s="57" t="n">
        <v>1</v>
      </c>
      <c r="O1586" s="60" t="n">
        <v>0</v>
      </c>
      <c r="P1586" s="55" t="s">
        <v>168</v>
      </c>
      <c r="Q1586" s="57"/>
      <c r="R1586" s="60" t="n">
        <f aca="false">IF(BT1586=1,0,IFERROR(VLOOKUP(BR1586,'Gebinde-Kategorie'!$A$5:$M$45,13,0)+0,0))</f>
        <v>12</v>
      </c>
      <c r="S1586" s="61"/>
      <c r="T1586" s="62" t="s">
        <v>179</v>
      </c>
      <c r="U1586" s="62"/>
      <c r="V1586" s="62"/>
      <c r="W1586" s="55"/>
      <c r="X1586" s="57"/>
      <c r="Y1586" s="57"/>
      <c r="Z1586" s="55" t="n">
        <f aca="false">IF(A1586="","",IF(AND(Parameter!$B$21="Ja",ISNUMBER(W1586)),W1586,IF(BV1586="2+3",IF(ISNUMBER(SEARCH("grosser Artikel",BO1586)),2,IFERROR(VLOOKUP(BR1586,Parameter!$F$35:$G$64,2,0),2)),IF(OR(BV1586="Nein",BV1586=""),"-",BV1586))))</f>
        <v>2</v>
      </c>
      <c r="AA1586" s="62"/>
      <c r="AB1586" s="63"/>
      <c r="AC1586" s="57" t="n">
        <f aca="false">AR1586</f>
        <v>4</v>
      </c>
      <c r="AD1586" s="57" t="n">
        <f aca="false">MAX(AR1586,H1586)</f>
        <v>4</v>
      </c>
      <c r="AE1586" s="64"/>
      <c r="AF1586" s="57" t="n">
        <f aca="false">IF(LEFT(Cockpit!$C$5,1)="A",H1586,IF(CA1586=1,CB1586,IF(LEFT(Cockpit!$C$5,1)="B",AJ1586,MAX(AJ1586,H1586))))</f>
        <v>2</v>
      </c>
      <c r="AG1586" s="57" t="n">
        <f aca="false">IF(BT1586=1,0,ROUNDUP(AF1586/BS1586,0))</f>
        <v>1</v>
      </c>
      <c r="AH1586" s="59" t="n">
        <f aca="false">IF(CH1586&gt;0,CH1586*MAX(1,AF1586/X1586),IF(BT1586=1,IF(AF1586&lt;=0,0,BW1586*MAX(1,IF(H1586&gt;0,AF1586/H1586,1))),IF(R1586&gt;0,AG1586/R1586,0))/MAX(0.1,N(Parameter!$M$21)))</f>
        <v>0.0833333333333333</v>
      </c>
      <c r="AI1586" s="57" t="n">
        <f aca="false">AF1586*G1586</f>
        <v>646</v>
      </c>
      <c r="AJ1586" s="57" t="n">
        <f aca="false">ROUNDUP(MAX(J1586/IF(BZ1586&gt;0,BZ1586,MAX(0.1,N(Cockpit!$C$6))),CC1586)/BS1586,0)*BS1586</f>
        <v>4</v>
      </c>
      <c r="AK1586" s="58" t="n">
        <f aca="false">IF(AH1586&gt;0,J1586/AH1586,-1)</f>
        <v>0</v>
      </c>
      <c r="AL1586" s="58" t="n">
        <f aca="false">IF(AND(OR(BY1586="L1",BY1586="L23"),AH1586&gt;0),SUMIFS($AH$7:$AH$1843,$BY$7:$BY$1843,BY1586,$AK$7:$AK$1843,"&gt;"&amp;AK1586)+SUMIFS($AH$7:$AH$1843,$BY$7:$BY$1843,BY1586,$AK$7:$AK$1843,AK1586,$BQ$7:$BQ$1843,"&lt;="&amp;BQ1586),"")</f>
        <v>85.1486351812439</v>
      </c>
      <c r="AM1586" s="65" t="n">
        <f aca="false">IF(AL1586="",0,MAX(0,MIN(1,(IF(BY1586="L1",Parameter!$E$5,Parameter!$E$6+Parameter!$E$7)-(AL1586-AH1586))/AH1586)))</f>
        <v>1</v>
      </c>
      <c r="AN1586" s="57" t="n">
        <f aca="false">IF(LEFT(Cockpit!$I$5,1)="A",H1586,IF(CA1586=1,CB1586,IF(LEFT(Cockpit!$I$5,1)="B",AR1586,MAX(AR1586,H1586))))</f>
        <v>4</v>
      </c>
      <c r="AO1586" s="57" t="n">
        <f aca="false">IF(BT1586=1,0,ROUNDUP(AN1586/BS1586,0))</f>
        <v>1</v>
      </c>
      <c r="AP1586" s="59" t="n">
        <f aca="false">IF(CH1586&gt;0,CH1586*MAX(1,AN1586/X1586),IF(BT1586=1,IF(AN1586&lt;=0,0,BW1586*MAX(1,IF(H1586&gt;0,AN1586/H1586,1))),IF(R1586&gt;0,AO1586/R1586,0))/MAX(0.1,N(Parameter!$M$21)))</f>
        <v>0.0833333333333333</v>
      </c>
      <c r="AQ1586" s="57" t="n">
        <f aca="false">AN1586*G1586</f>
        <v>1292</v>
      </c>
      <c r="AR1586" s="57" t="n">
        <f aca="false">ROUNDUP(MAX(J1586/IF(BZ1586&gt;0,BZ1586,MAX(0.1,N(Cockpit!$I$6))),CC1586)/BS1586,0)*BS1586</f>
        <v>4</v>
      </c>
      <c r="AS1586" s="58" t="n">
        <f aca="false">IF(AP1586&gt;0,J1586/AP1586,-1)</f>
        <v>0</v>
      </c>
      <c r="AT1586" s="58" t="n">
        <f aca="false">IF(AND(OR(BY1586="L1",BY1586="L23"),AP1586&gt;0),SUMIFS($AP$7:$AP$1843,$BY$7:$BY$1843,BY1586,$AS$7:$AS$1843,"&gt;"&amp;AS1586)+SUMIFS($AP$7:$AP$1843,$BY$7:$BY$1843,BY1586,$AS$7:$AS$1843,AS1586,$BQ$7:$BQ$1843,"&lt;="&amp;BQ1586),"")</f>
        <v>130.400771933381</v>
      </c>
      <c r="AU1586" s="65" t="n">
        <f aca="false">IF(AT1586="",0,MAX(0,MIN(1,(IF(BY1586="L1",Parameter!$E$5,Parameter!$E$6+Parameter!$E$7)-(AT1586-AP1586))/AP1586)))</f>
        <v>0</v>
      </c>
      <c r="AV1586" s="57" t="n">
        <f aca="false">IF(LEFT(Cockpit!$O$5,1)="A",H1586,IF(CA1586=1,CB1586,IF(LEFT(Cockpit!$O$5,1)="B",AZ1586,MAX(AZ1586,H1586))))</f>
        <v>4</v>
      </c>
      <c r="AW1586" s="57" t="n">
        <f aca="false">IF(BT1586=1,0,ROUNDUP(AV1586/BS1586,0))</f>
        <v>1</v>
      </c>
      <c r="AX1586" s="59" t="n">
        <f aca="false">IF(CH1586&gt;0,CH1586*MAX(1,AV1586/X1586),IF(BT1586=1,IF(AV1586&lt;=0,0,BW1586*MAX(1,IF(H1586&gt;0,AV1586/H1586,1))),IF(R1586&gt;0,AW1586/R1586,0))/MAX(0.1,N(Parameter!$M$21)))</f>
        <v>0.0833333333333333</v>
      </c>
      <c r="AY1586" s="57" t="n">
        <f aca="false">AV1586*G1586</f>
        <v>1292</v>
      </c>
      <c r="AZ1586" s="57" t="n">
        <f aca="false">ROUNDUP(MAX(J1586/IF(BZ1586&gt;0,BZ1586,MAX(0.1,N(Cockpit!$O$6))),CC1586)/BS1586,0)*BS1586</f>
        <v>4</v>
      </c>
      <c r="BA1586" s="58" t="n">
        <f aca="false">IF(AX1586&gt;0,J1586/AX1586,-1)</f>
        <v>0</v>
      </c>
      <c r="BB1586" s="58" t="n">
        <f aca="false">IF(AND(OR(BY1586="L1",BY1586="L23"),AX1586&gt;0),SUMIFS($AX$7:$AX$1843,$BY$7:$BY$1843,BY1586,$BA$7:$BA$1843,"&gt;"&amp;BA1586)+SUMIFS($AX$7:$AX$1843,$BY$7:$BY$1843,BY1586,$BA$7:$BA$1843,BA1586,$BQ$7:$BQ$1843,"&lt;="&amp;BQ1586),"")</f>
        <v>121.230608763217</v>
      </c>
      <c r="BC1586" s="65" t="n">
        <f aca="false">IF(BB1586="",0,MAX(0,MIN(1,(IF(BY1586="L1",Parameter!$E$5,Parameter!$E$6+Parameter!$E$7)-(BB1586-AX1586))/AX1586)))</f>
        <v>0</v>
      </c>
      <c r="BD1586" s="55" t="str">
        <f aca="false">IF(AH1586&lt;=0,"",IF(BY1586="Aussen","Aussenlager",IF(BY1586="-","Nicht im Lift",IF(AM1586&gt;=1,"Lift",IF(AM1586&lt;=0,"Aussenlager","teilweise")))))</f>
        <v>Lift</v>
      </c>
      <c r="BE1586" s="55" t="str">
        <f aca="false">IF(AP1586&lt;=0,"",IF(BY1586="Aussen","Aussenlager",IF(BY1586="-","Nicht im Lift",IF(AU1586&gt;=1,"Lift",IF(AU1586&lt;=0,"Aussenlager","teilweise")))))</f>
        <v>Aussenlager</v>
      </c>
      <c r="BF1586" s="55" t="str">
        <f aca="false">IF(AX1586&lt;=0,"",IF(BY1586="Aussen","Aussenlager",IF(BY1586="-","Nicht im Lift",IF(BC1586&gt;=1,"Lift",IF(BC1586&lt;=0,"Aussenlager","teilweise")))))</f>
        <v>Aussenlager</v>
      </c>
      <c r="BG1586" s="55" t="str">
        <f aca="false">IF(A1586="","",IF(BP1586=1,"Neu; ","")&amp;IF(AND(BP1586=0,BK1586&lt;0),"negativer Bestand (Export "&amp;BK1586&amp;"); ","")&amp;IF(J1586&lt;=0,"Kein Verbrauch; ","")&amp;IF(CH1586&gt;0,"Lift "&amp;W1586&amp;" lt. Liftbericht (Fach "&amp;X1586&amp;" Stk); ",IF(BU1586=1,"Gebinde geschätzt ("&amp;T1586&amp;"); ",IF(BT1586=1,"Lose – Tablare geschätzt; ","")))&amp;IF(H1586&gt;AR1586,"Überbestand "&amp;ROUND(H1586-AR1586,0)&amp;" Stk / CHF "&amp;ROUND((H1586-AR1586)*G1586,0)&amp;"; ","")&amp;IF(AND(CA1586=1,CB1586&lt;CC1586),"MAX &lt; MB+LG; ","")&amp;IF(AND(CG1586&gt;0,CF1586*10&gt;CG1586),"zu hoch für Tablar; ","")&amp;IF(AND(BP1586=0,OR(CA1586=1,AA1586&lt;&gt;"",U1586&lt;&gt;"",V1586&lt;&gt;"",AB1586&lt;&gt;"")),"manuell übersteuert; ","")&amp;IF(AND(BT1586=0,R1586=0),"Gebinde unbekannt / Stellmass fehlt; ","")&amp;IF(AND(BT1586=0,N(V1586)&lt;=0,N(Q1586)&lt;=0),"Menge pro Gebinde fehlt (Ist = 1 Gebinde); ","")&amp;BO1586)</f>
        <v>Kein Verbrauch; Gebinde geschätzt (Mittel); Menge pro Gebinde fehlt (Ist = 1 Gebinde); nur im Artikelstamm (Bestand 23.06.2026)</v>
      </c>
      <c r="BH1586" s="55"/>
      <c r="BI1586" s="55"/>
      <c r="BJ1586" s="62"/>
      <c r="BK1586" s="57" t="n">
        <v>2</v>
      </c>
      <c r="BL1586" s="57" t="n">
        <v>0</v>
      </c>
      <c r="BM1586" s="56" t="n">
        <v>0</v>
      </c>
      <c r="BN1586" s="57" t="n">
        <v>0</v>
      </c>
      <c r="BO1586" s="55" t="s">
        <v>2575</v>
      </c>
      <c r="BP1586" s="60" t="n">
        <v>0</v>
      </c>
      <c r="BQ1586" s="60" t="n">
        <v>1586</v>
      </c>
      <c r="BR1586" s="55" t="str">
        <f aca="false">IF(U1586&lt;&gt;"",UPPER(TRIM(U1586)),IF(BU1586=1,UPPER(VLOOKUP(T1586,Parameter!$I$27:$K$29,2,0)),IF(P1586="","LOSE",P1586)))</f>
        <v>S61</v>
      </c>
      <c r="BS1586" s="57" t="n">
        <f aca="false">IF(BR1586="LOSE",1,IF(N(V1586)&gt;0,V1586,IF(BU1586=1,MAX(1,N(VLOOKUP(T1586,Parameter!$I$27:$K$29,3,0)),H1586,N(N1586)),IF(N(Q1586)&gt;0,Q1586,MAX(1,H1586)))))</f>
        <v>4</v>
      </c>
      <c r="BT1586" s="60" t="n">
        <f aca="false">IF(BR1586="LOSE",1,0)</f>
        <v>0</v>
      </c>
      <c r="BU1586" s="60" t="n">
        <f aca="false">IF(AND(U1586="",OR(P1586="",P1586="LOSE"),T1586&lt;&gt;"",N(S1586)&lt;=0,ISNUMBER(MATCH(T1586,Parameter!$I$27:$I$29,0))),1,0)</f>
        <v>1</v>
      </c>
      <c r="BV1586" s="55" t="str">
        <f aca="false">IF(AND(Parameter!$B$19="Ja",E1586&lt;&gt;"",ISNUMBER(MATCH(E1586,Parameter!$I$35:$I$52,0))),VLOOKUP(E1586,Parameter!$I$35:$J$52,2,0),IFERROR(VLOOKUP(D1586,Parameter!$A$35:$C$64,2,0),"Nein"))</f>
        <v>2+3</v>
      </c>
      <c r="BW1586" s="59" t="n">
        <f aca="false">IF(BT1586=0,0,IF(N(S1586)&gt;0,S1586,IFERROR(VLOOKUP(D1586,Parameter!$A$35:$C$64,3,0)+0,0)))</f>
        <v>0</v>
      </c>
      <c r="BX1586" s="55" t="n">
        <f aca="false">IF(AA1586&lt;&gt;"",AA1586,Z1586)</f>
        <v>2</v>
      </c>
      <c r="BY1586" s="55" t="str">
        <f aca="false">IF(BX1586=1,"L1",IF(OR(BX1586=2,BX1586=3),"L23",IF(BX1586="Aussen","Aussen","-")))</f>
        <v>L23</v>
      </c>
      <c r="BZ1586" s="66" t="n">
        <f aca="false">IF(N(AB1586)&gt;0,AB1586,0)</f>
        <v>0</v>
      </c>
      <c r="CA1586" s="60" t="n">
        <f aca="false">IF(ISNUMBER(AE1586),1,0)</f>
        <v>0</v>
      </c>
      <c r="CB1586" s="57" t="n">
        <f aca="false">N(AE1586)</f>
        <v>0</v>
      </c>
      <c r="CC1586" s="57" t="n">
        <f aca="false">N(M1586)+N(N1586)</f>
        <v>1</v>
      </c>
      <c r="CD1586" s="57" t="n">
        <f aca="false">ROUNDUP(H1586/BS1586,0)</f>
        <v>1</v>
      </c>
      <c r="CE1586" s="57" t="n">
        <f aca="false">ROUNDUP(CB1586/BS1586,0)</f>
        <v>0</v>
      </c>
      <c r="CF1586" s="60" t="n">
        <f aca="false">IF(BT1586=1,0,IFERROR(VLOOKUP(BR1586,'Gebinde-Kategorie'!$A$5:$M$45,5,0)+0,0))</f>
        <v>11</v>
      </c>
      <c r="CG1586" s="60" t="n">
        <f aca="false">IFERROR(IF(OR(BX1586=1,BX1586=2,BX1586=3),N(INDEX(Parameter!$I$5:$I$7,BX1586)),0),0)</f>
        <v>0</v>
      </c>
      <c r="CH1586" s="59" t="n">
        <f aca="false">IF(AND(Parameter!$B$21="Ja",ISNUMBER(W1586),N(X1586)&gt;0),IFERROR(N(INDEX(Parameter!$L$5:$L$7,W1586))*INDEX(Parameter!$E$5:$E$7,W1586)*X1586/SUMIFS($X$7:$X$1843,$W$7:$W$1843,W1586),0),0)</f>
        <v>0</v>
      </c>
    </row>
    <row r="1587" customFormat="false" ht="15" hidden="false" customHeight="false" outlineLevel="0" collapsed="false">
      <c r="A1587" s="55" t="s">
        <v>2768</v>
      </c>
      <c r="B1587" s="55" t="s">
        <v>2764</v>
      </c>
      <c r="C1587" s="55" t="s">
        <v>164</v>
      </c>
      <c r="D1587" s="55" t="s">
        <v>173</v>
      </c>
      <c r="E1587" s="55"/>
      <c r="F1587" s="55"/>
      <c r="G1587" s="56" t="n">
        <v>323</v>
      </c>
      <c r="H1587" s="57" t="n">
        <f aca="false">MAX(0,IF(AND(Parameter!$B$21="Ja",ISNUMBER(Y1587)),Y1587,IF(Parameter!$B$20="Jahresanfang 2025 + Export",BL1587+BK1587,BK1587)))</f>
        <v>1</v>
      </c>
      <c r="I1587" s="57" t="n">
        <f aca="false">H1587*G1587</f>
        <v>323</v>
      </c>
      <c r="J1587" s="57" t="n">
        <f aca="false">BN1587*Parameter!$B$18</f>
        <v>0</v>
      </c>
      <c r="K1587" s="58"/>
      <c r="L1587" s="59"/>
      <c r="M1587" s="57" t="n">
        <v>0</v>
      </c>
      <c r="N1587" s="57" t="n">
        <v>1</v>
      </c>
      <c r="O1587" s="60" t="n">
        <v>0</v>
      </c>
      <c r="P1587" s="55" t="s">
        <v>168</v>
      </c>
      <c r="Q1587" s="57"/>
      <c r="R1587" s="60" t="n">
        <f aca="false">IF(BT1587=1,0,IFERROR(VLOOKUP(BR1587,'Gebinde-Kategorie'!$A$5:$M$45,13,0)+0,0))</f>
        <v>12</v>
      </c>
      <c r="S1587" s="61"/>
      <c r="T1587" s="62" t="s">
        <v>179</v>
      </c>
      <c r="U1587" s="62"/>
      <c r="V1587" s="62"/>
      <c r="W1587" s="55"/>
      <c r="X1587" s="57"/>
      <c r="Y1587" s="57"/>
      <c r="Z1587" s="55" t="n">
        <f aca="false">IF(A1587="","",IF(AND(Parameter!$B$21="Ja",ISNUMBER(W1587)),W1587,IF(BV1587="2+3",IF(ISNUMBER(SEARCH("grosser Artikel",BO1587)),2,IFERROR(VLOOKUP(BR1587,Parameter!$F$35:$G$64,2,0),2)),IF(OR(BV1587="Nein",BV1587=""),"-",BV1587))))</f>
        <v>2</v>
      </c>
      <c r="AA1587" s="62"/>
      <c r="AB1587" s="63"/>
      <c r="AC1587" s="57" t="n">
        <f aca="false">AR1587</f>
        <v>4</v>
      </c>
      <c r="AD1587" s="57" t="n">
        <f aca="false">MAX(AR1587,H1587)</f>
        <v>4</v>
      </c>
      <c r="AE1587" s="64"/>
      <c r="AF1587" s="57" t="n">
        <f aca="false">IF(LEFT(Cockpit!$C$5,1)="A",H1587,IF(CA1587=1,CB1587,IF(LEFT(Cockpit!$C$5,1)="B",AJ1587,MAX(AJ1587,H1587))))</f>
        <v>1</v>
      </c>
      <c r="AG1587" s="57" t="n">
        <f aca="false">IF(BT1587=1,0,ROUNDUP(AF1587/BS1587,0))</f>
        <v>1</v>
      </c>
      <c r="AH1587" s="59" t="n">
        <f aca="false">IF(CH1587&gt;0,CH1587*MAX(1,AF1587/X1587),IF(BT1587=1,IF(AF1587&lt;=0,0,BW1587*MAX(1,IF(H1587&gt;0,AF1587/H1587,1))),IF(R1587&gt;0,AG1587/R1587,0))/MAX(0.1,N(Parameter!$M$21)))</f>
        <v>0.0833333333333333</v>
      </c>
      <c r="AI1587" s="57" t="n">
        <f aca="false">AF1587*G1587</f>
        <v>323</v>
      </c>
      <c r="AJ1587" s="57" t="n">
        <f aca="false">ROUNDUP(MAX(J1587/IF(BZ1587&gt;0,BZ1587,MAX(0.1,N(Cockpit!$C$6))),CC1587)/BS1587,0)*BS1587</f>
        <v>4</v>
      </c>
      <c r="AK1587" s="58" t="n">
        <f aca="false">IF(AH1587&gt;0,J1587/AH1587,-1)</f>
        <v>0</v>
      </c>
      <c r="AL1587" s="58" t="n">
        <f aca="false">IF(AND(OR(BY1587="L1",BY1587="L23"),AH1587&gt;0),SUMIFS($AH$7:$AH$1843,$BY$7:$BY$1843,BY1587,$AK$7:$AK$1843,"&gt;"&amp;AK1587)+SUMIFS($AH$7:$AH$1843,$BY$7:$BY$1843,BY1587,$AK$7:$AK$1843,AK1587,$BQ$7:$BQ$1843,"&lt;="&amp;BQ1587),"")</f>
        <v>85.2319685145772</v>
      </c>
      <c r="AM1587" s="65" t="n">
        <f aca="false">IF(AL1587="",0,MAX(0,MIN(1,(IF(BY1587="L1",Parameter!$E$5,Parameter!$E$6+Parameter!$E$7)-(AL1587-AH1587))/AH1587)))</f>
        <v>1</v>
      </c>
      <c r="AN1587" s="57" t="n">
        <f aca="false">IF(LEFT(Cockpit!$I$5,1)="A",H1587,IF(CA1587=1,CB1587,IF(LEFT(Cockpit!$I$5,1)="B",AR1587,MAX(AR1587,H1587))))</f>
        <v>4</v>
      </c>
      <c r="AO1587" s="57" t="n">
        <f aca="false">IF(BT1587=1,0,ROUNDUP(AN1587/BS1587,0))</f>
        <v>1</v>
      </c>
      <c r="AP1587" s="59" t="n">
        <f aca="false">IF(CH1587&gt;0,CH1587*MAX(1,AN1587/X1587),IF(BT1587=1,IF(AN1587&lt;=0,0,BW1587*MAX(1,IF(H1587&gt;0,AN1587/H1587,1))),IF(R1587&gt;0,AO1587/R1587,0))/MAX(0.1,N(Parameter!$M$21)))</f>
        <v>0.0833333333333333</v>
      </c>
      <c r="AQ1587" s="57" t="n">
        <f aca="false">AN1587*G1587</f>
        <v>1292</v>
      </c>
      <c r="AR1587" s="57" t="n">
        <f aca="false">ROUNDUP(MAX(J1587/IF(BZ1587&gt;0,BZ1587,MAX(0.1,N(Cockpit!$I$6))),CC1587)/BS1587,0)*BS1587</f>
        <v>4</v>
      </c>
      <c r="AS1587" s="58" t="n">
        <f aca="false">IF(AP1587&gt;0,J1587/AP1587,-1)</f>
        <v>0</v>
      </c>
      <c r="AT1587" s="58" t="n">
        <f aca="false">IF(AND(OR(BY1587="L1",BY1587="L23"),AP1587&gt;0),SUMIFS($AP$7:$AP$1843,$BY$7:$BY$1843,BY1587,$AS$7:$AS$1843,"&gt;"&amp;AS1587)+SUMIFS($AP$7:$AP$1843,$BY$7:$BY$1843,BY1587,$AS$7:$AS$1843,AS1587,$BQ$7:$BQ$1843,"&lt;="&amp;BQ1587),"")</f>
        <v>130.484105266714</v>
      </c>
      <c r="AU1587" s="65" t="n">
        <f aca="false">IF(AT1587="",0,MAX(0,MIN(1,(IF(BY1587="L1",Parameter!$E$5,Parameter!$E$6+Parameter!$E$7)-(AT1587-AP1587))/AP1587)))</f>
        <v>0</v>
      </c>
      <c r="AV1587" s="57" t="n">
        <f aca="false">IF(LEFT(Cockpit!$O$5,1)="A",H1587,IF(CA1587=1,CB1587,IF(LEFT(Cockpit!$O$5,1)="B",AZ1587,MAX(AZ1587,H1587))))</f>
        <v>4</v>
      </c>
      <c r="AW1587" s="57" t="n">
        <f aca="false">IF(BT1587=1,0,ROUNDUP(AV1587/BS1587,0))</f>
        <v>1</v>
      </c>
      <c r="AX1587" s="59" t="n">
        <f aca="false">IF(CH1587&gt;0,CH1587*MAX(1,AV1587/X1587),IF(BT1587=1,IF(AV1587&lt;=0,0,BW1587*MAX(1,IF(H1587&gt;0,AV1587/H1587,1))),IF(R1587&gt;0,AW1587/R1587,0))/MAX(0.1,N(Parameter!$M$21)))</f>
        <v>0.0833333333333333</v>
      </c>
      <c r="AY1587" s="57" t="n">
        <f aca="false">AV1587*G1587</f>
        <v>1292</v>
      </c>
      <c r="AZ1587" s="57" t="n">
        <f aca="false">ROUNDUP(MAX(J1587/IF(BZ1587&gt;0,BZ1587,MAX(0.1,N(Cockpit!$O$6))),CC1587)/BS1587,0)*BS1587</f>
        <v>4</v>
      </c>
      <c r="BA1587" s="58" t="n">
        <f aca="false">IF(AX1587&gt;0,J1587/AX1587,-1)</f>
        <v>0</v>
      </c>
      <c r="BB1587" s="58" t="n">
        <f aca="false">IF(AND(OR(BY1587="L1",BY1587="L23"),AX1587&gt;0),SUMIFS($AX$7:$AX$1843,$BY$7:$BY$1843,BY1587,$BA$7:$BA$1843,"&gt;"&amp;BA1587)+SUMIFS($AX$7:$AX$1843,$BY$7:$BY$1843,BY1587,$BA$7:$BA$1843,BA1587,$BQ$7:$BQ$1843,"&lt;="&amp;BQ1587),"")</f>
        <v>121.313942096551</v>
      </c>
      <c r="BC1587" s="65" t="n">
        <f aca="false">IF(BB1587="",0,MAX(0,MIN(1,(IF(BY1587="L1",Parameter!$E$5,Parameter!$E$6+Parameter!$E$7)-(BB1587-AX1587))/AX1587)))</f>
        <v>0</v>
      </c>
      <c r="BD1587" s="55" t="str">
        <f aca="false">IF(AH1587&lt;=0,"",IF(BY1587="Aussen","Aussenlager",IF(BY1587="-","Nicht im Lift",IF(AM1587&gt;=1,"Lift",IF(AM1587&lt;=0,"Aussenlager","teilweise")))))</f>
        <v>Lift</v>
      </c>
      <c r="BE1587" s="55" t="str">
        <f aca="false">IF(AP1587&lt;=0,"",IF(BY1587="Aussen","Aussenlager",IF(BY1587="-","Nicht im Lift",IF(AU1587&gt;=1,"Lift",IF(AU1587&lt;=0,"Aussenlager","teilweise")))))</f>
        <v>Aussenlager</v>
      </c>
      <c r="BF1587" s="55" t="str">
        <f aca="false">IF(AX1587&lt;=0,"",IF(BY1587="Aussen","Aussenlager",IF(BY1587="-","Nicht im Lift",IF(BC1587&gt;=1,"Lift",IF(BC1587&lt;=0,"Aussenlager","teilweise")))))</f>
        <v>Aussenlager</v>
      </c>
      <c r="BG1587" s="55" t="str">
        <f aca="false">IF(A1587="","",IF(BP1587=1,"Neu; ","")&amp;IF(AND(BP1587=0,BK1587&lt;0),"negativer Bestand (Export "&amp;BK1587&amp;"); ","")&amp;IF(J1587&lt;=0,"Kein Verbrauch; ","")&amp;IF(CH1587&gt;0,"Lift "&amp;W1587&amp;" lt. Liftbericht (Fach "&amp;X1587&amp;" Stk); ",IF(BU1587=1,"Gebinde geschätzt ("&amp;T1587&amp;"); ",IF(BT1587=1,"Lose – Tablare geschätzt; ","")))&amp;IF(H1587&gt;AR1587,"Überbestand "&amp;ROUND(H1587-AR1587,0)&amp;" Stk / CHF "&amp;ROUND((H1587-AR1587)*G1587,0)&amp;"; ","")&amp;IF(AND(CA1587=1,CB1587&lt;CC1587),"MAX &lt; MB+LG; ","")&amp;IF(AND(CG1587&gt;0,CF1587*10&gt;CG1587),"zu hoch für Tablar; ","")&amp;IF(AND(BP1587=0,OR(CA1587=1,AA1587&lt;&gt;"",U1587&lt;&gt;"",V1587&lt;&gt;"",AB1587&lt;&gt;"")),"manuell übersteuert; ","")&amp;IF(AND(BT1587=0,R1587=0),"Gebinde unbekannt / Stellmass fehlt; ","")&amp;IF(AND(BT1587=0,N(V1587)&lt;=0,N(Q1587)&lt;=0),"Menge pro Gebinde fehlt (Ist = 1 Gebinde); ","")&amp;BO1587)</f>
        <v>Kein Verbrauch; Gebinde geschätzt (Mittel); Menge pro Gebinde fehlt (Ist = 1 Gebinde); nur im Artikelstamm (Bestand 23.06.2026)</v>
      </c>
      <c r="BH1587" s="55"/>
      <c r="BI1587" s="55"/>
      <c r="BJ1587" s="62"/>
      <c r="BK1587" s="57" t="n">
        <v>1</v>
      </c>
      <c r="BL1587" s="57" t="n">
        <v>0</v>
      </c>
      <c r="BM1587" s="56" t="n">
        <v>0</v>
      </c>
      <c r="BN1587" s="57" t="n">
        <v>0</v>
      </c>
      <c r="BO1587" s="55" t="s">
        <v>2575</v>
      </c>
      <c r="BP1587" s="60" t="n">
        <v>0</v>
      </c>
      <c r="BQ1587" s="60" t="n">
        <v>1587</v>
      </c>
      <c r="BR1587" s="55" t="str">
        <f aca="false">IF(U1587&lt;&gt;"",UPPER(TRIM(U1587)),IF(BU1587=1,UPPER(VLOOKUP(T1587,Parameter!$I$27:$K$29,2,0)),IF(P1587="","LOSE",P1587)))</f>
        <v>S61</v>
      </c>
      <c r="BS1587" s="57" t="n">
        <f aca="false">IF(BR1587="LOSE",1,IF(N(V1587)&gt;0,V1587,IF(BU1587=1,MAX(1,N(VLOOKUP(T1587,Parameter!$I$27:$K$29,3,0)),H1587,N(N1587)),IF(N(Q1587)&gt;0,Q1587,MAX(1,H1587)))))</f>
        <v>4</v>
      </c>
      <c r="BT1587" s="60" t="n">
        <f aca="false">IF(BR1587="LOSE",1,0)</f>
        <v>0</v>
      </c>
      <c r="BU1587" s="60" t="n">
        <f aca="false">IF(AND(U1587="",OR(P1587="",P1587="LOSE"),T1587&lt;&gt;"",N(S1587)&lt;=0,ISNUMBER(MATCH(T1587,Parameter!$I$27:$I$29,0))),1,0)</f>
        <v>1</v>
      </c>
      <c r="BV1587" s="55" t="str">
        <f aca="false">IF(AND(Parameter!$B$19="Ja",E1587&lt;&gt;"",ISNUMBER(MATCH(E1587,Parameter!$I$35:$I$52,0))),VLOOKUP(E1587,Parameter!$I$35:$J$52,2,0),IFERROR(VLOOKUP(D1587,Parameter!$A$35:$C$64,2,0),"Nein"))</f>
        <v>2+3</v>
      </c>
      <c r="BW1587" s="59" t="n">
        <f aca="false">IF(BT1587=0,0,IF(N(S1587)&gt;0,S1587,IFERROR(VLOOKUP(D1587,Parameter!$A$35:$C$64,3,0)+0,0)))</f>
        <v>0</v>
      </c>
      <c r="BX1587" s="55" t="n">
        <f aca="false">IF(AA1587&lt;&gt;"",AA1587,Z1587)</f>
        <v>2</v>
      </c>
      <c r="BY1587" s="55" t="str">
        <f aca="false">IF(BX1587=1,"L1",IF(OR(BX1587=2,BX1587=3),"L23",IF(BX1587="Aussen","Aussen","-")))</f>
        <v>L23</v>
      </c>
      <c r="BZ1587" s="66" t="n">
        <f aca="false">IF(N(AB1587)&gt;0,AB1587,0)</f>
        <v>0</v>
      </c>
      <c r="CA1587" s="60" t="n">
        <f aca="false">IF(ISNUMBER(AE1587),1,0)</f>
        <v>0</v>
      </c>
      <c r="CB1587" s="57" t="n">
        <f aca="false">N(AE1587)</f>
        <v>0</v>
      </c>
      <c r="CC1587" s="57" t="n">
        <f aca="false">N(M1587)+N(N1587)</f>
        <v>1</v>
      </c>
      <c r="CD1587" s="57" t="n">
        <f aca="false">ROUNDUP(H1587/BS1587,0)</f>
        <v>1</v>
      </c>
      <c r="CE1587" s="57" t="n">
        <f aca="false">ROUNDUP(CB1587/BS1587,0)</f>
        <v>0</v>
      </c>
      <c r="CF1587" s="60" t="n">
        <f aca="false">IF(BT1587=1,0,IFERROR(VLOOKUP(BR1587,'Gebinde-Kategorie'!$A$5:$M$45,5,0)+0,0))</f>
        <v>11</v>
      </c>
      <c r="CG1587" s="60" t="n">
        <f aca="false">IFERROR(IF(OR(BX1587=1,BX1587=2,BX1587=3),N(INDEX(Parameter!$I$5:$I$7,BX1587)),0),0)</f>
        <v>0</v>
      </c>
      <c r="CH1587" s="59" t="n">
        <f aca="false">IF(AND(Parameter!$B$21="Ja",ISNUMBER(W1587),N(X1587)&gt;0),IFERROR(N(INDEX(Parameter!$L$5:$L$7,W1587))*INDEX(Parameter!$E$5:$E$7,W1587)*X1587/SUMIFS($X$7:$X$1843,$W$7:$W$1843,W1587),0),0)</f>
        <v>0</v>
      </c>
    </row>
    <row r="1588" customFormat="false" ht="15" hidden="false" customHeight="false" outlineLevel="0" collapsed="false">
      <c r="A1588" s="55" t="s">
        <v>2769</v>
      </c>
      <c r="B1588" s="55" t="s">
        <v>2764</v>
      </c>
      <c r="C1588" s="55" t="s">
        <v>164</v>
      </c>
      <c r="D1588" s="55" t="s">
        <v>173</v>
      </c>
      <c r="E1588" s="55"/>
      <c r="F1588" s="55"/>
      <c r="G1588" s="56" t="n">
        <v>323</v>
      </c>
      <c r="H1588" s="57" t="n">
        <f aca="false">MAX(0,IF(AND(Parameter!$B$21="Ja",ISNUMBER(Y1588)),Y1588,IF(Parameter!$B$20="Jahresanfang 2025 + Export",BL1588+BK1588,BK1588)))</f>
        <v>2</v>
      </c>
      <c r="I1588" s="57" t="n">
        <f aca="false">H1588*G1588</f>
        <v>646</v>
      </c>
      <c r="J1588" s="57" t="n">
        <f aca="false">BN1588*Parameter!$B$18</f>
        <v>0</v>
      </c>
      <c r="K1588" s="58"/>
      <c r="L1588" s="59"/>
      <c r="M1588" s="57" t="n">
        <v>0</v>
      </c>
      <c r="N1588" s="57" t="n">
        <v>1</v>
      </c>
      <c r="O1588" s="60" t="n">
        <v>0</v>
      </c>
      <c r="P1588" s="55" t="s">
        <v>168</v>
      </c>
      <c r="Q1588" s="57"/>
      <c r="R1588" s="60" t="n">
        <f aca="false">IF(BT1588=1,0,IFERROR(VLOOKUP(BR1588,'Gebinde-Kategorie'!$A$5:$M$45,13,0)+0,0))</f>
        <v>12</v>
      </c>
      <c r="S1588" s="61"/>
      <c r="T1588" s="62" t="s">
        <v>179</v>
      </c>
      <c r="U1588" s="62"/>
      <c r="V1588" s="62"/>
      <c r="W1588" s="55"/>
      <c r="X1588" s="57"/>
      <c r="Y1588" s="57"/>
      <c r="Z1588" s="55" t="n">
        <f aca="false">IF(A1588="","",IF(AND(Parameter!$B$21="Ja",ISNUMBER(W1588)),W1588,IF(BV1588="2+3",IF(ISNUMBER(SEARCH("grosser Artikel",BO1588)),2,IFERROR(VLOOKUP(BR1588,Parameter!$F$35:$G$64,2,0),2)),IF(OR(BV1588="Nein",BV1588=""),"-",BV1588))))</f>
        <v>2</v>
      </c>
      <c r="AA1588" s="62"/>
      <c r="AB1588" s="63"/>
      <c r="AC1588" s="57" t="n">
        <f aca="false">AR1588</f>
        <v>4</v>
      </c>
      <c r="AD1588" s="57" t="n">
        <f aca="false">MAX(AR1588,H1588)</f>
        <v>4</v>
      </c>
      <c r="AE1588" s="64"/>
      <c r="AF1588" s="57" t="n">
        <f aca="false">IF(LEFT(Cockpit!$C$5,1)="A",H1588,IF(CA1588=1,CB1588,IF(LEFT(Cockpit!$C$5,1)="B",AJ1588,MAX(AJ1588,H1588))))</f>
        <v>2</v>
      </c>
      <c r="AG1588" s="57" t="n">
        <f aca="false">IF(BT1588=1,0,ROUNDUP(AF1588/BS1588,0))</f>
        <v>1</v>
      </c>
      <c r="AH1588" s="59" t="n">
        <f aca="false">IF(CH1588&gt;0,CH1588*MAX(1,AF1588/X1588),IF(BT1588=1,IF(AF1588&lt;=0,0,BW1588*MAX(1,IF(H1588&gt;0,AF1588/H1588,1))),IF(R1588&gt;0,AG1588/R1588,0))/MAX(0.1,N(Parameter!$M$21)))</f>
        <v>0.0833333333333333</v>
      </c>
      <c r="AI1588" s="57" t="n">
        <f aca="false">AF1588*G1588</f>
        <v>646</v>
      </c>
      <c r="AJ1588" s="57" t="n">
        <f aca="false">ROUNDUP(MAX(J1588/IF(BZ1588&gt;0,BZ1588,MAX(0.1,N(Cockpit!$C$6))),CC1588)/BS1588,0)*BS1588</f>
        <v>4</v>
      </c>
      <c r="AK1588" s="58" t="n">
        <f aca="false">IF(AH1588&gt;0,J1588/AH1588,-1)</f>
        <v>0</v>
      </c>
      <c r="AL1588" s="58" t="n">
        <f aca="false">IF(AND(OR(BY1588="L1",BY1588="L23"),AH1588&gt;0),SUMIFS($AH$7:$AH$1843,$BY$7:$BY$1843,BY1588,$AK$7:$AK$1843,"&gt;"&amp;AK1588)+SUMIFS($AH$7:$AH$1843,$BY$7:$BY$1843,BY1588,$AK$7:$AK$1843,AK1588,$BQ$7:$BQ$1843,"&lt;="&amp;BQ1588),"")</f>
        <v>85.3153018479106</v>
      </c>
      <c r="AM1588" s="65" t="n">
        <f aca="false">IF(AL1588="",0,MAX(0,MIN(1,(IF(BY1588="L1",Parameter!$E$5,Parameter!$E$6+Parameter!$E$7)-(AL1588-AH1588))/AH1588)))</f>
        <v>1</v>
      </c>
      <c r="AN1588" s="57" t="n">
        <f aca="false">IF(LEFT(Cockpit!$I$5,1)="A",H1588,IF(CA1588=1,CB1588,IF(LEFT(Cockpit!$I$5,1)="B",AR1588,MAX(AR1588,H1588))))</f>
        <v>4</v>
      </c>
      <c r="AO1588" s="57" t="n">
        <f aca="false">IF(BT1588=1,0,ROUNDUP(AN1588/BS1588,0))</f>
        <v>1</v>
      </c>
      <c r="AP1588" s="59" t="n">
        <f aca="false">IF(CH1588&gt;0,CH1588*MAX(1,AN1588/X1588),IF(BT1588=1,IF(AN1588&lt;=0,0,BW1588*MAX(1,IF(H1588&gt;0,AN1588/H1588,1))),IF(R1588&gt;0,AO1588/R1588,0))/MAX(0.1,N(Parameter!$M$21)))</f>
        <v>0.0833333333333333</v>
      </c>
      <c r="AQ1588" s="57" t="n">
        <f aca="false">AN1588*G1588</f>
        <v>1292</v>
      </c>
      <c r="AR1588" s="57" t="n">
        <f aca="false">ROUNDUP(MAX(J1588/IF(BZ1588&gt;0,BZ1588,MAX(0.1,N(Cockpit!$I$6))),CC1588)/BS1588,0)*BS1588</f>
        <v>4</v>
      </c>
      <c r="AS1588" s="58" t="n">
        <f aca="false">IF(AP1588&gt;0,J1588/AP1588,-1)</f>
        <v>0</v>
      </c>
      <c r="AT1588" s="58" t="n">
        <f aca="false">IF(AND(OR(BY1588="L1",BY1588="L23"),AP1588&gt;0),SUMIFS($AP$7:$AP$1843,$BY$7:$BY$1843,BY1588,$AS$7:$AS$1843,"&gt;"&amp;AS1588)+SUMIFS($AP$7:$AP$1843,$BY$7:$BY$1843,BY1588,$AS$7:$AS$1843,AS1588,$BQ$7:$BQ$1843,"&lt;="&amp;BQ1588),"")</f>
        <v>130.567438600047</v>
      </c>
      <c r="AU1588" s="65" t="n">
        <f aca="false">IF(AT1588="",0,MAX(0,MIN(1,(IF(BY1588="L1",Parameter!$E$5,Parameter!$E$6+Parameter!$E$7)-(AT1588-AP1588))/AP1588)))</f>
        <v>0</v>
      </c>
      <c r="AV1588" s="57" t="n">
        <f aca="false">IF(LEFT(Cockpit!$O$5,1)="A",H1588,IF(CA1588=1,CB1588,IF(LEFT(Cockpit!$O$5,1)="B",AZ1588,MAX(AZ1588,H1588))))</f>
        <v>4</v>
      </c>
      <c r="AW1588" s="57" t="n">
        <f aca="false">IF(BT1588=1,0,ROUNDUP(AV1588/BS1588,0))</f>
        <v>1</v>
      </c>
      <c r="AX1588" s="59" t="n">
        <f aca="false">IF(CH1588&gt;0,CH1588*MAX(1,AV1588/X1588),IF(BT1588=1,IF(AV1588&lt;=0,0,BW1588*MAX(1,IF(H1588&gt;0,AV1588/H1588,1))),IF(R1588&gt;0,AW1588/R1588,0))/MAX(0.1,N(Parameter!$M$21)))</f>
        <v>0.0833333333333333</v>
      </c>
      <c r="AY1588" s="57" t="n">
        <f aca="false">AV1588*G1588</f>
        <v>1292</v>
      </c>
      <c r="AZ1588" s="57" t="n">
        <f aca="false">ROUNDUP(MAX(J1588/IF(BZ1588&gt;0,BZ1588,MAX(0.1,N(Cockpit!$O$6))),CC1588)/BS1588,0)*BS1588</f>
        <v>4</v>
      </c>
      <c r="BA1588" s="58" t="n">
        <f aca="false">IF(AX1588&gt;0,J1588/AX1588,-1)</f>
        <v>0</v>
      </c>
      <c r="BB1588" s="58" t="n">
        <f aca="false">IF(AND(OR(BY1588="L1",BY1588="L23"),AX1588&gt;0),SUMIFS($AX$7:$AX$1843,$BY$7:$BY$1843,BY1588,$BA$7:$BA$1843,"&gt;"&amp;BA1588)+SUMIFS($AX$7:$AX$1843,$BY$7:$BY$1843,BY1588,$BA$7:$BA$1843,BA1588,$BQ$7:$BQ$1843,"&lt;="&amp;BQ1588),"")</f>
        <v>121.397275429884</v>
      </c>
      <c r="BC1588" s="65" t="n">
        <f aca="false">IF(BB1588="",0,MAX(0,MIN(1,(IF(BY1588="L1",Parameter!$E$5,Parameter!$E$6+Parameter!$E$7)-(BB1588-AX1588))/AX1588)))</f>
        <v>0</v>
      </c>
      <c r="BD1588" s="55" t="str">
        <f aca="false">IF(AH1588&lt;=0,"",IF(BY1588="Aussen","Aussenlager",IF(BY1588="-","Nicht im Lift",IF(AM1588&gt;=1,"Lift",IF(AM1588&lt;=0,"Aussenlager","teilweise")))))</f>
        <v>Lift</v>
      </c>
      <c r="BE1588" s="55" t="str">
        <f aca="false">IF(AP1588&lt;=0,"",IF(BY1588="Aussen","Aussenlager",IF(BY1588="-","Nicht im Lift",IF(AU1588&gt;=1,"Lift",IF(AU1588&lt;=0,"Aussenlager","teilweise")))))</f>
        <v>Aussenlager</v>
      </c>
      <c r="BF1588" s="55" t="str">
        <f aca="false">IF(AX1588&lt;=0,"",IF(BY1588="Aussen","Aussenlager",IF(BY1588="-","Nicht im Lift",IF(BC1588&gt;=1,"Lift",IF(BC1588&lt;=0,"Aussenlager","teilweise")))))</f>
        <v>Aussenlager</v>
      </c>
      <c r="BG1588" s="55" t="str">
        <f aca="false">IF(A1588="","",IF(BP1588=1,"Neu; ","")&amp;IF(AND(BP1588=0,BK1588&lt;0),"negativer Bestand (Export "&amp;BK1588&amp;"); ","")&amp;IF(J1588&lt;=0,"Kein Verbrauch; ","")&amp;IF(CH1588&gt;0,"Lift "&amp;W1588&amp;" lt. Liftbericht (Fach "&amp;X1588&amp;" Stk); ",IF(BU1588=1,"Gebinde geschätzt ("&amp;T1588&amp;"); ",IF(BT1588=1,"Lose – Tablare geschätzt; ","")))&amp;IF(H1588&gt;AR1588,"Überbestand "&amp;ROUND(H1588-AR1588,0)&amp;" Stk / CHF "&amp;ROUND((H1588-AR1588)*G1588,0)&amp;"; ","")&amp;IF(AND(CA1588=1,CB1588&lt;CC1588),"MAX &lt; MB+LG; ","")&amp;IF(AND(CG1588&gt;0,CF1588*10&gt;CG1588),"zu hoch für Tablar; ","")&amp;IF(AND(BP1588=0,OR(CA1588=1,AA1588&lt;&gt;"",U1588&lt;&gt;"",V1588&lt;&gt;"",AB1588&lt;&gt;"")),"manuell übersteuert; ","")&amp;IF(AND(BT1588=0,R1588=0),"Gebinde unbekannt / Stellmass fehlt; ","")&amp;IF(AND(BT1588=0,N(V1588)&lt;=0,N(Q1588)&lt;=0),"Menge pro Gebinde fehlt (Ist = 1 Gebinde); ","")&amp;BO1588)</f>
        <v>Kein Verbrauch; Gebinde geschätzt (Mittel); Menge pro Gebinde fehlt (Ist = 1 Gebinde); nur im Artikelstamm (Bestand 23.06.2026)</v>
      </c>
      <c r="BH1588" s="55"/>
      <c r="BI1588" s="55"/>
      <c r="BJ1588" s="62"/>
      <c r="BK1588" s="57" t="n">
        <v>2</v>
      </c>
      <c r="BL1588" s="57" t="n">
        <v>0</v>
      </c>
      <c r="BM1588" s="56" t="n">
        <v>0</v>
      </c>
      <c r="BN1588" s="57" t="n">
        <v>0</v>
      </c>
      <c r="BO1588" s="55" t="s">
        <v>2575</v>
      </c>
      <c r="BP1588" s="60" t="n">
        <v>0</v>
      </c>
      <c r="BQ1588" s="60" t="n">
        <v>1588</v>
      </c>
      <c r="BR1588" s="55" t="str">
        <f aca="false">IF(U1588&lt;&gt;"",UPPER(TRIM(U1588)),IF(BU1588=1,UPPER(VLOOKUP(T1588,Parameter!$I$27:$K$29,2,0)),IF(P1588="","LOSE",P1588)))</f>
        <v>S61</v>
      </c>
      <c r="BS1588" s="57" t="n">
        <f aca="false">IF(BR1588="LOSE",1,IF(N(V1588)&gt;0,V1588,IF(BU1588=1,MAX(1,N(VLOOKUP(T1588,Parameter!$I$27:$K$29,3,0)),H1588,N(N1588)),IF(N(Q1588)&gt;0,Q1588,MAX(1,H1588)))))</f>
        <v>4</v>
      </c>
      <c r="BT1588" s="60" t="n">
        <f aca="false">IF(BR1588="LOSE",1,0)</f>
        <v>0</v>
      </c>
      <c r="BU1588" s="60" t="n">
        <f aca="false">IF(AND(U1588="",OR(P1588="",P1588="LOSE"),T1588&lt;&gt;"",N(S1588)&lt;=0,ISNUMBER(MATCH(T1588,Parameter!$I$27:$I$29,0))),1,0)</f>
        <v>1</v>
      </c>
      <c r="BV1588" s="55" t="str">
        <f aca="false">IF(AND(Parameter!$B$19="Ja",E1588&lt;&gt;"",ISNUMBER(MATCH(E1588,Parameter!$I$35:$I$52,0))),VLOOKUP(E1588,Parameter!$I$35:$J$52,2,0),IFERROR(VLOOKUP(D1588,Parameter!$A$35:$C$64,2,0),"Nein"))</f>
        <v>2+3</v>
      </c>
      <c r="BW1588" s="59" t="n">
        <f aca="false">IF(BT1588=0,0,IF(N(S1588)&gt;0,S1588,IFERROR(VLOOKUP(D1588,Parameter!$A$35:$C$64,3,0)+0,0)))</f>
        <v>0</v>
      </c>
      <c r="BX1588" s="55" t="n">
        <f aca="false">IF(AA1588&lt;&gt;"",AA1588,Z1588)</f>
        <v>2</v>
      </c>
      <c r="BY1588" s="55" t="str">
        <f aca="false">IF(BX1588=1,"L1",IF(OR(BX1588=2,BX1588=3),"L23",IF(BX1588="Aussen","Aussen","-")))</f>
        <v>L23</v>
      </c>
      <c r="BZ1588" s="66" t="n">
        <f aca="false">IF(N(AB1588)&gt;0,AB1588,0)</f>
        <v>0</v>
      </c>
      <c r="CA1588" s="60" t="n">
        <f aca="false">IF(ISNUMBER(AE1588),1,0)</f>
        <v>0</v>
      </c>
      <c r="CB1588" s="57" t="n">
        <f aca="false">N(AE1588)</f>
        <v>0</v>
      </c>
      <c r="CC1588" s="57" t="n">
        <f aca="false">N(M1588)+N(N1588)</f>
        <v>1</v>
      </c>
      <c r="CD1588" s="57" t="n">
        <f aca="false">ROUNDUP(H1588/BS1588,0)</f>
        <v>1</v>
      </c>
      <c r="CE1588" s="57" t="n">
        <f aca="false">ROUNDUP(CB1588/BS1588,0)</f>
        <v>0</v>
      </c>
      <c r="CF1588" s="60" t="n">
        <f aca="false">IF(BT1588=1,0,IFERROR(VLOOKUP(BR1588,'Gebinde-Kategorie'!$A$5:$M$45,5,0)+0,0))</f>
        <v>11</v>
      </c>
      <c r="CG1588" s="60" t="n">
        <f aca="false">IFERROR(IF(OR(BX1588=1,BX1588=2,BX1588=3),N(INDEX(Parameter!$I$5:$I$7,BX1588)),0),0)</f>
        <v>0</v>
      </c>
      <c r="CH1588" s="59" t="n">
        <f aca="false">IF(AND(Parameter!$B$21="Ja",ISNUMBER(W1588),N(X1588)&gt;0),IFERROR(N(INDEX(Parameter!$L$5:$L$7,W1588))*INDEX(Parameter!$E$5:$E$7,W1588)*X1588/SUMIFS($X$7:$X$1843,$W$7:$W$1843,W1588),0),0)</f>
        <v>0</v>
      </c>
    </row>
    <row r="1589" customFormat="false" ht="15" hidden="false" customHeight="false" outlineLevel="0" collapsed="false">
      <c r="A1589" s="55" t="s">
        <v>2770</v>
      </c>
      <c r="B1589" s="55" t="s">
        <v>2771</v>
      </c>
      <c r="C1589" s="55" t="s">
        <v>164</v>
      </c>
      <c r="D1589" s="55" t="s">
        <v>173</v>
      </c>
      <c r="E1589" s="55"/>
      <c r="F1589" s="55"/>
      <c r="G1589" s="56" t="n">
        <v>78.35</v>
      </c>
      <c r="H1589" s="57" t="n">
        <f aca="false">MAX(0,IF(AND(Parameter!$B$21="Ja",ISNUMBER(Y1589)),Y1589,IF(Parameter!$B$20="Jahresanfang 2025 + Export",BL1589+BK1589,BK1589)))</f>
        <v>2</v>
      </c>
      <c r="I1589" s="57" t="n">
        <f aca="false">H1589*G1589</f>
        <v>156.7</v>
      </c>
      <c r="J1589" s="57" t="n">
        <f aca="false">BN1589*Parameter!$B$18</f>
        <v>0</v>
      </c>
      <c r="K1589" s="58"/>
      <c r="L1589" s="59"/>
      <c r="M1589" s="57" t="n">
        <v>0</v>
      </c>
      <c r="N1589" s="57" t="n">
        <v>1</v>
      </c>
      <c r="O1589" s="60" t="n">
        <v>0</v>
      </c>
      <c r="P1589" s="55" t="s">
        <v>168</v>
      </c>
      <c r="Q1589" s="57"/>
      <c r="R1589" s="60" t="n">
        <f aca="false">IF(BT1589=1,0,IFERROR(VLOOKUP(BR1589,'Gebinde-Kategorie'!$A$5:$M$45,13,0)+0,0))</f>
        <v>12</v>
      </c>
      <c r="S1589" s="61"/>
      <c r="T1589" s="62" t="s">
        <v>179</v>
      </c>
      <c r="U1589" s="62"/>
      <c r="V1589" s="62"/>
      <c r="W1589" s="55"/>
      <c r="X1589" s="57"/>
      <c r="Y1589" s="57"/>
      <c r="Z1589" s="55" t="n">
        <f aca="false">IF(A1589="","",IF(AND(Parameter!$B$21="Ja",ISNUMBER(W1589)),W1589,IF(BV1589="2+3",IF(ISNUMBER(SEARCH("grosser Artikel",BO1589)),2,IFERROR(VLOOKUP(BR1589,Parameter!$F$35:$G$64,2,0),2)),IF(OR(BV1589="Nein",BV1589=""),"-",BV1589))))</f>
        <v>2</v>
      </c>
      <c r="AA1589" s="62"/>
      <c r="AB1589" s="63"/>
      <c r="AC1589" s="57" t="n">
        <f aca="false">AR1589</f>
        <v>4</v>
      </c>
      <c r="AD1589" s="57" t="n">
        <f aca="false">MAX(AR1589,H1589)</f>
        <v>4</v>
      </c>
      <c r="AE1589" s="64"/>
      <c r="AF1589" s="57" t="n">
        <f aca="false">IF(LEFT(Cockpit!$C$5,1)="A",H1589,IF(CA1589=1,CB1589,IF(LEFT(Cockpit!$C$5,1)="B",AJ1589,MAX(AJ1589,H1589))))</f>
        <v>2</v>
      </c>
      <c r="AG1589" s="57" t="n">
        <f aca="false">IF(BT1589=1,0,ROUNDUP(AF1589/BS1589,0))</f>
        <v>1</v>
      </c>
      <c r="AH1589" s="59" t="n">
        <f aca="false">IF(CH1589&gt;0,CH1589*MAX(1,AF1589/X1589),IF(BT1589=1,IF(AF1589&lt;=0,0,BW1589*MAX(1,IF(H1589&gt;0,AF1589/H1589,1))),IF(R1589&gt;0,AG1589/R1589,0))/MAX(0.1,N(Parameter!$M$21)))</f>
        <v>0.0833333333333333</v>
      </c>
      <c r="AI1589" s="57" t="n">
        <f aca="false">AF1589*G1589</f>
        <v>156.7</v>
      </c>
      <c r="AJ1589" s="57" t="n">
        <f aca="false">ROUNDUP(MAX(J1589/IF(BZ1589&gt;0,BZ1589,MAX(0.1,N(Cockpit!$C$6))),CC1589)/BS1589,0)*BS1589</f>
        <v>4</v>
      </c>
      <c r="AK1589" s="58" t="n">
        <f aca="false">IF(AH1589&gt;0,J1589/AH1589,-1)</f>
        <v>0</v>
      </c>
      <c r="AL1589" s="58" t="n">
        <f aca="false">IF(AND(OR(BY1589="L1",BY1589="L23"),AH1589&gt;0),SUMIFS($AH$7:$AH$1843,$BY$7:$BY$1843,BY1589,$AK$7:$AK$1843,"&gt;"&amp;AK1589)+SUMIFS($AH$7:$AH$1843,$BY$7:$BY$1843,BY1589,$AK$7:$AK$1843,AK1589,$BQ$7:$BQ$1843,"&lt;="&amp;BQ1589),"")</f>
        <v>85.3986351812439</v>
      </c>
      <c r="AM1589" s="65" t="n">
        <f aca="false">IF(AL1589="",0,MAX(0,MIN(1,(IF(BY1589="L1",Parameter!$E$5,Parameter!$E$6+Parameter!$E$7)-(AL1589-AH1589))/AH1589)))</f>
        <v>1</v>
      </c>
      <c r="AN1589" s="57" t="n">
        <f aca="false">IF(LEFT(Cockpit!$I$5,1)="A",H1589,IF(CA1589=1,CB1589,IF(LEFT(Cockpit!$I$5,1)="B",AR1589,MAX(AR1589,H1589))))</f>
        <v>4</v>
      </c>
      <c r="AO1589" s="57" t="n">
        <f aca="false">IF(BT1589=1,0,ROUNDUP(AN1589/BS1589,0))</f>
        <v>1</v>
      </c>
      <c r="AP1589" s="59" t="n">
        <f aca="false">IF(CH1589&gt;0,CH1589*MAX(1,AN1589/X1589),IF(BT1589=1,IF(AN1589&lt;=0,0,BW1589*MAX(1,IF(H1589&gt;0,AN1589/H1589,1))),IF(R1589&gt;0,AO1589/R1589,0))/MAX(0.1,N(Parameter!$M$21)))</f>
        <v>0.0833333333333333</v>
      </c>
      <c r="AQ1589" s="57" t="n">
        <f aca="false">AN1589*G1589</f>
        <v>313.4</v>
      </c>
      <c r="AR1589" s="57" t="n">
        <f aca="false">ROUNDUP(MAX(J1589/IF(BZ1589&gt;0,BZ1589,MAX(0.1,N(Cockpit!$I$6))),CC1589)/BS1589,0)*BS1589</f>
        <v>4</v>
      </c>
      <c r="AS1589" s="58" t="n">
        <f aca="false">IF(AP1589&gt;0,J1589/AP1589,-1)</f>
        <v>0</v>
      </c>
      <c r="AT1589" s="58" t="n">
        <f aca="false">IF(AND(OR(BY1589="L1",BY1589="L23"),AP1589&gt;0),SUMIFS($AP$7:$AP$1843,$BY$7:$BY$1843,BY1589,$AS$7:$AS$1843,"&gt;"&amp;AS1589)+SUMIFS($AP$7:$AP$1843,$BY$7:$BY$1843,BY1589,$AS$7:$AS$1843,AS1589,$BQ$7:$BQ$1843,"&lt;="&amp;BQ1589),"")</f>
        <v>130.650771933381</v>
      </c>
      <c r="AU1589" s="65" t="n">
        <f aca="false">IF(AT1589="",0,MAX(0,MIN(1,(IF(BY1589="L1",Parameter!$E$5,Parameter!$E$6+Parameter!$E$7)-(AT1589-AP1589))/AP1589)))</f>
        <v>0</v>
      </c>
      <c r="AV1589" s="57" t="n">
        <f aca="false">IF(LEFT(Cockpit!$O$5,1)="A",H1589,IF(CA1589=1,CB1589,IF(LEFT(Cockpit!$O$5,1)="B",AZ1589,MAX(AZ1589,H1589))))</f>
        <v>4</v>
      </c>
      <c r="AW1589" s="57" t="n">
        <f aca="false">IF(BT1589=1,0,ROUNDUP(AV1589/BS1589,0))</f>
        <v>1</v>
      </c>
      <c r="AX1589" s="59" t="n">
        <f aca="false">IF(CH1589&gt;0,CH1589*MAX(1,AV1589/X1589),IF(BT1589=1,IF(AV1589&lt;=0,0,BW1589*MAX(1,IF(H1589&gt;0,AV1589/H1589,1))),IF(R1589&gt;0,AW1589/R1589,0))/MAX(0.1,N(Parameter!$M$21)))</f>
        <v>0.0833333333333333</v>
      </c>
      <c r="AY1589" s="57" t="n">
        <f aca="false">AV1589*G1589</f>
        <v>313.4</v>
      </c>
      <c r="AZ1589" s="57" t="n">
        <f aca="false">ROUNDUP(MAX(J1589/IF(BZ1589&gt;0,BZ1589,MAX(0.1,N(Cockpit!$O$6))),CC1589)/BS1589,0)*BS1589</f>
        <v>4</v>
      </c>
      <c r="BA1589" s="58" t="n">
        <f aca="false">IF(AX1589&gt;0,J1589/AX1589,-1)</f>
        <v>0</v>
      </c>
      <c r="BB1589" s="58" t="n">
        <f aca="false">IF(AND(OR(BY1589="L1",BY1589="L23"),AX1589&gt;0),SUMIFS($AX$7:$AX$1843,$BY$7:$BY$1843,BY1589,$BA$7:$BA$1843,"&gt;"&amp;BA1589)+SUMIFS($AX$7:$AX$1843,$BY$7:$BY$1843,BY1589,$BA$7:$BA$1843,BA1589,$BQ$7:$BQ$1843,"&lt;="&amp;BQ1589),"")</f>
        <v>121.480608763217</v>
      </c>
      <c r="BC1589" s="65" t="n">
        <f aca="false">IF(BB1589="",0,MAX(0,MIN(1,(IF(BY1589="L1",Parameter!$E$5,Parameter!$E$6+Parameter!$E$7)-(BB1589-AX1589))/AX1589)))</f>
        <v>0</v>
      </c>
      <c r="BD1589" s="55" t="str">
        <f aca="false">IF(AH1589&lt;=0,"",IF(BY1589="Aussen","Aussenlager",IF(BY1589="-","Nicht im Lift",IF(AM1589&gt;=1,"Lift",IF(AM1589&lt;=0,"Aussenlager","teilweise")))))</f>
        <v>Lift</v>
      </c>
      <c r="BE1589" s="55" t="str">
        <f aca="false">IF(AP1589&lt;=0,"",IF(BY1589="Aussen","Aussenlager",IF(BY1589="-","Nicht im Lift",IF(AU1589&gt;=1,"Lift",IF(AU1589&lt;=0,"Aussenlager","teilweise")))))</f>
        <v>Aussenlager</v>
      </c>
      <c r="BF1589" s="55" t="str">
        <f aca="false">IF(AX1589&lt;=0,"",IF(BY1589="Aussen","Aussenlager",IF(BY1589="-","Nicht im Lift",IF(BC1589&gt;=1,"Lift",IF(BC1589&lt;=0,"Aussenlager","teilweise")))))</f>
        <v>Aussenlager</v>
      </c>
      <c r="BG1589" s="55" t="str">
        <f aca="false">IF(A1589="","",IF(BP1589=1,"Neu; ","")&amp;IF(AND(BP1589=0,BK1589&lt;0),"negativer Bestand (Export "&amp;BK1589&amp;"); ","")&amp;IF(J1589&lt;=0,"Kein Verbrauch; ","")&amp;IF(CH1589&gt;0,"Lift "&amp;W1589&amp;" lt. Liftbericht (Fach "&amp;X1589&amp;" Stk); ",IF(BU1589=1,"Gebinde geschätzt ("&amp;T1589&amp;"); ",IF(BT1589=1,"Lose – Tablare geschätzt; ","")))&amp;IF(H1589&gt;AR1589,"Überbestand "&amp;ROUND(H1589-AR1589,0)&amp;" Stk / CHF "&amp;ROUND((H1589-AR1589)*G1589,0)&amp;"; ","")&amp;IF(AND(CA1589=1,CB1589&lt;CC1589),"MAX &lt; MB+LG; ","")&amp;IF(AND(CG1589&gt;0,CF1589*10&gt;CG1589),"zu hoch für Tablar; ","")&amp;IF(AND(BP1589=0,OR(CA1589=1,AA1589&lt;&gt;"",U1589&lt;&gt;"",V1589&lt;&gt;"",AB1589&lt;&gt;"")),"manuell übersteuert; ","")&amp;IF(AND(BT1589=0,R1589=0),"Gebinde unbekannt / Stellmass fehlt; ","")&amp;IF(AND(BT1589=0,N(V1589)&lt;=0,N(Q1589)&lt;=0),"Menge pro Gebinde fehlt (Ist = 1 Gebinde); ","")&amp;BO1589)</f>
        <v>Kein Verbrauch; Gebinde geschätzt (Mittel); Menge pro Gebinde fehlt (Ist = 1 Gebinde); nur im Artikelstamm (Bestand 23.06.2026)</v>
      </c>
      <c r="BH1589" s="55"/>
      <c r="BI1589" s="55"/>
      <c r="BJ1589" s="62"/>
      <c r="BK1589" s="57" t="n">
        <v>2</v>
      </c>
      <c r="BL1589" s="57" t="n">
        <v>0</v>
      </c>
      <c r="BM1589" s="56" t="n">
        <v>0</v>
      </c>
      <c r="BN1589" s="57" t="n">
        <v>0</v>
      </c>
      <c r="BO1589" s="55" t="s">
        <v>2575</v>
      </c>
      <c r="BP1589" s="60" t="n">
        <v>0</v>
      </c>
      <c r="BQ1589" s="60" t="n">
        <v>1589</v>
      </c>
      <c r="BR1589" s="55" t="str">
        <f aca="false">IF(U1589&lt;&gt;"",UPPER(TRIM(U1589)),IF(BU1589=1,UPPER(VLOOKUP(T1589,Parameter!$I$27:$K$29,2,0)),IF(P1589="","LOSE",P1589)))</f>
        <v>S61</v>
      </c>
      <c r="BS1589" s="57" t="n">
        <f aca="false">IF(BR1589="LOSE",1,IF(N(V1589)&gt;0,V1589,IF(BU1589=1,MAX(1,N(VLOOKUP(T1589,Parameter!$I$27:$K$29,3,0)),H1589,N(N1589)),IF(N(Q1589)&gt;0,Q1589,MAX(1,H1589)))))</f>
        <v>4</v>
      </c>
      <c r="BT1589" s="60" t="n">
        <f aca="false">IF(BR1589="LOSE",1,0)</f>
        <v>0</v>
      </c>
      <c r="BU1589" s="60" t="n">
        <f aca="false">IF(AND(U1589="",OR(P1589="",P1589="LOSE"),T1589&lt;&gt;"",N(S1589)&lt;=0,ISNUMBER(MATCH(T1589,Parameter!$I$27:$I$29,0))),1,0)</f>
        <v>1</v>
      </c>
      <c r="BV1589" s="55" t="str">
        <f aca="false">IF(AND(Parameter!$B$19="Ja",E1589&lt;&gt;"",ISNUMBER(MATCH(E1589,Parameter!$I$35:$I$52,0))),VLOOKUP(E1589,Parameter!$I$35:$J$52,2,0),IFERROR(VLOOKUP(D1589,Parameter!$A$35:$C$64,2,0),"Nein"))</f>
        <v>2+3</v>
      </c>
      <c r="BW1589" s="59" t="n">
        <f aca="false">IF(BT1589=0,0,IF(N(S1589)&gt;0,S1589,IFERROR(VLOOKUP(D1589,Parameter!$A$35:$C$64,3,0)+0,0)))</f>
        <v>0</v>
      </c>
      <c r="BX1589" s="55" t="n">
        <f aca="false">IF(AA1589&lt;&gt;"",AA1589,Z1589)</f>
        <v>2</v>
      </c>
      <c r="BY1589" s="55" t="str">
        <f aca="false">IF(BX1589=1,"L1",IF(OR(BX1589=2,BX1589=3),"L23",IF(BX1589="Aussen","Aussen","-")))</f>
        <v>L23</v>
      </c>
      <c r="BZ1589" s="66" t="n">
        <f aca="false">IF(N(AB1589)&gt;0,AB1589,0)</f>
        <v>0</v>
      </c>
      <c r="CA1589" s="60" t="n">
        <f aca="false">IF(ISNUMBER(AE1589),1,0)</f>
        <v>0</v>
      </c>
      <c r="CB1589" s="57" t="n">
        <f aca="false">N(AE1589)</f>
        <v>0</v>
      </c>
      <c r="CC1589" s="57" t="n">
        <f aca="false">N(M1589)+N(N1589)</f>
        <v>1</v>
      </c>
      <c r="CD1589" s="57" t="n">
        <f aca="false">ROUNDUP(H1589/BS1589,0)</f>
        <v>1</v>
      </c>
      <c r="CE1589" s="57" t="n">
        <f aca="false">ROUNDUP(CB1589/BS1589,0)</f>
        <v>0</v>
      </c>
      <c r="CF1589" s="60" t="n">
        <f aca="false">IF(BT1589=1,0,IFERROR(VLOOKUP(BR1589,'Gebinde-Kategorie'!$A$5:$M$45,5,0)+0,0))</f>
        <v>11</v>
      </c>
      <c r="CG1589" s="60" t="n">
        <f aca="false">IFERROR(IF(OR(BX1589=1,BX1589=2,BX1589=3),N(INDEX(Parameter!$I$5:$I$7,BX1589)),0),0)</f>
        <v>0</v>
      </c>
      <c r="CH1589" s="59" t="n">
        <f aca="false">IF(AND(Parameter!$B$21="Ja",ISNUMBER(W1589),N(X1589)&gt;0),IFERROR(N(INDEX(Parameter!$L$5:$L$7,W1589))*INDEX(Parameter!$E$5:$E$7,W1589)*X1589/SUMIFS($X$7:$X$1843,$W$7:$W$1843,W1589),0),0)</f>
        <v>0</v>
      </c>
    </row>
    <row r="1590" customFormat="false" ht="15" hidden="false" customHeight="false" outlineLevel="0" collapsed="false">
      <c r="A1590" s="55" t="s">
        <v>2772</v>
      </c>
      <c r="B1590" s="55" t="s">
        <v>2773</v>
      </c>
      <c r="C1590" s="55" t="s">
        <v>164</v>
      </c>
      <c r="D1590" s="55" t="s">
        <v>173</v>
      </c>
      <c r="E1590" s="55"/>
      <c r="F1590" s="55"/>
      <c r="G1590" s="56" t="n">
        <v>78.35</v>
      </c>
      <c r="H1590" s="57" t="n">
        <f aca="false">MAX(0,IF(AND(Parameter!$B$21="Ja",ISNUMBER(Y1590)),Y1590,IF(Parameter!$B$20="Jahresanfang 2025 + Export",BL1590+BK1590,BK1590)))</f>
        <v>3</v>
      </c>
      <c r="I1590" s="57" t="n">
        <f aca="false">H1590*G1590</f>
        <v>235.05</v>
      </c>
      <c r="J1590" s="57" t="n">
        <f aca="false">BN1590*Parameter!$B$18</f>
        <v>0</v>
      </c>
      <c r="K1590" s="58"/>
      <c r="L1590" s="59"/>
      <c r="M1590" s="57" t="n">
        <v>0</v>
      </c>
      <c r="N1590" s="57" t="n">
        <v>1</v>
      </c>
      <c r="O1590" s="60" t="n">
        <v>0</v>
      </c>
      <c r="P1590" s="55" t="s">
        <v>168</v>
      </c>
      <c r="Q1590" s="57"/>
      <c r="R1590" s="60" t="n">
        <f aca="false">IF(BT1590=1,0,IFERROR(VLOOKUP(BR1590,'Gebinde-Kategorie'!$A$5:$M$45,13,0)+0,0))</f>
        <v>12</v>
      </c>
      <c r="S1590" s="61"/>
      <c r="T1590" s="62" t="s">
        <v>179</v>
      </c>
      <c r="U1590" s="62"/>
      <c r="V1590" s="62"/>
      <c r="W1590" s="55"/>
      <c r="X1590" s="57"/>
      <c r="Y1590" s="57"/>
      <c r="Z1590" s="55" t="n">
        <f aca="false">IF(A1590="","",IF(AND(Parameter!$B$21="Ja",ISNUMBER(W1590)),W1590,IF(BV1590="2+3",IF(ISNUMBER(SEARCH("grosser Artikel",BO1590)),2,IFERROR(VLOOKUP(BR1590,Parameter!$F$35:$G$64,2,0),2)),IF(OR(BV1590="Nein",BV1590=""),"-",BV1590))))</f>
        <v>2</v>
      </c>
      <c r="AA1590" s="62"/>
      <c r="AB1590" s="63"/>
      <c r="AC1590" s="57" t="n">
        <f aca="false">AR1590</f>
        <v>4</v>
      </c>
      <c r="AD1590" s="57" t="n">
        <f aca="false">MAX(AR1590,H1590)</f>
        <v>4</v>
      </c>
      <c r="AE1590" s="64"/>
      <c r="AF1590" s="57" t="n">
        <f aca="false">IF(LEFT(Cockpit!$C$5,1)="A",H1590,IF(CA1590=1,CB1590,IF(LEFT(Cockpit!$C$5,1)="B",AJ1590,MAX(AJ1590,H1590))))</f>
        <v>3</v>
      </c>
      <c r="AG1590" s="57" t="n">
        <f aca="false">IF(BT1590=1,0,ROUNDUP(AF1590/BS1590,0))</f>
        <v>1</v>
      </c>
      <c r="AH1590" s="59" t="n">
        <f aca="false">IF(CH1590&gt;0,CH1590*MAX(1,AF1590/X1590),IF(BT1590=1,IF(AF1590&lt;=0,0,BW1590*MAX(1,IF(H1590&gt;0,AF1590/H1590,1))),IF(R1590&gt;0,AG1590/R1590,0))/MAX(0.1,N(Parameter!$M$21)))</f>
        <v>0.0833333333333333</v>
      </c>
      <c r="AI1590" s="57" t="n">
        <f aca="false">AF1590*G1590</f>
        <v>235.05</v>
      </c>
      <c r="AJ1590" s="57" t="n">
        <f aca="false">ROUNDUP(MAX(J1590/IF(BZ1590&gt;0,BZ1590,MAX(0.1,N(Cockpit!$C$6))),CC1590)/BS1590,0)*BS1590</f>
        <v>4</v>
      </c>
      <c r="AK1590" s="58" t="n">
        <f aca="false">IF(AH1590&gt;0,J1590/AH1590,-1)</f>
        <v>0</v>
      </c>
      <c r="AL1590" s="58" t="n">
        <f aca="false">IF(AND(OR(BY1590="L1",BY1590="L23"),AH1590&gt;0),SUMIFS($AH$7:$AH$1843,$BY$7:$BY$1843,BY1590,$AK$7:$AK$1843,"&gt;"&amp;AK1590)+SUMIFS($AH$7:$AH$1843,$BY$7:$BY$1843,BY1590,$AK$7:$AK$1843,AK1590,$BQ$7:$BQ$1843,"&lt;="&amp;BQ1590),"")</f>
        <v>85.4819685145772</v>
      </c>
      <c r="AM1590" s="65" t="n">
        <f aca="false">IF(AL1590="",0,MAX(0,MIN(1,(IF(BY1590="L1",Parameter!$E$5,Parameter!$E$6+Parameter!$E$7)-(AL1590-AH1590))/AH1590)))</f>
        <v>1</v>
      </c>
      <c r="AN1590" s="57" t="n">
        <f aca="false">IF(LEFT(Cockpit!$I$5,1)="A",H1590,IF(CA1590=1,CB1590,IF(LEFT(Cockpit!$I$5,1)="B",AR1590,MAX(AR1590,H1590))))</f>
        <v>4</v>
      </c>
      <c r="AO1590" s="57" t="n">
        <f aca="false">IF(BT1590=1,0,ROUNDUP(AN1590/BS1590,0))</f>
        <v>1</v>
      </c>
      <c r="AP1590" s="59" t="n">
        <f aca="false">IF(CH1590&gt;0,CH1590*MAX(1,AN1590/X1590),IF(BT1590=1,IF(AN1590&lt;=0,0,BW1590*MAX(1,IF(H1590&gt;0,AN1590/H1590,1))),IF(R1590&gt;0,AO1590/R1590,0))/MAX(0.1,N(Parameter!$M$21)))</f>
        <v>0.0833333333333333</v>
      </c>
      <c r="AQ1590" s="57" t="n">
        <f aca="false">AN1590*G1590</f>
        <v>313.4</v>
      </c>
      <c r="AR1590" s="57" t="n">
        <f aca="false">ROUNDUP(MAX(J1590/IF(BZ1590&gt;0,BZ1590,MAX(0.1,N(Cockpit!$I$6))),CC1590)/BS1590,0)*BS1590</f>
        <v>4</v>
      </c>
      <c r="AS1590" s="58" t="n">
        <f aca="false">IF(AP1590&gt;0,J1590/AP1590,-1)</f>
        <v>0</v>
      </c>
      <c r="AT1590" s="58" t="n">
        <f aca="false">IF(AND(OR(BY1590="L1",BY1590="L23"),AP1590&gt;0),SUMIFS($AP$7:$AP$1843,$BY$7:$BY$1843,BY1590,$AS$7:$AS$1843,"&gt;"&amp;AS1590)+SUMIFS($AP$7:$AP$1843,$BY$7:$BY$1843,BY1590,$AS$7:$AS$1843,AS1590,$BQ$7:$BQ$1843,"&lt;="&amp;BQ1590),"")</f>
        <v>130.734105266714</v>
      </c>
      <c r="AU1590" s="65" t="n">
        <f aca="false">IF(AT1590="",0,MAX(0,MIN(1,(IF(BY1590="L1",Parameter!$E$5,Parameter!$E$6+Parameter!$E$7)-(AT1590-AP1590))/AP1590)))</f>
        <v>0</v>
      </c>
      <c r="AV1590" s="57" t="n">
        <f aca="false">IF(LEFT(Cockpit!$O$5,1)="A",H1590,IF(CA1590=1,CB1590,IF(LEFT(Cockpit!$O$5,1)="B",AZ1590,MAX(AZ1590,H1590))))</f>
        <v>4</v>
      </c>
      <c r="AW1590" s="57" t="n">
        <f aca="false">IF(BT1590=1,0,ROUNDUP(AV1590/BS1590,0))</f>
        <v>1</v>
      </c>
      <c r="AX1590" s="59" t="n">
        <f aca="false">IF(CH1590&gt;0,CH1590*MAX(1,AV1590/X1590),IF(BT1590=1,IF(AV1590&lt;=0,0,BW1590*MAX(1,IF(H1590&gt;0,AV1590/H1590,1))),IF(R1590&gt;0,AW1590/R1590,0))/MAX(0.1,N(Parameter!$M$21)))</f>
        <v>0.0833333333333333</v>
      </c>
      <c r="AY1590" s="57" t="n">
        <f aca="false">AV1590*G1590</f>
        <v>313.4</v>
      </c>
      <c r="AZ1590" s="57" t="n">
        <f aca="false">ROUNDUP(MAX(J1590/IF(BZ1590&gt;0,BZ1590,MAX(0.1,N(Cockpit!$O$6))),CC1590)/BS1590,0)*BS1590</f>
        <v>4</v>
      </c>
      <c r="BA1590" s="58" t="n">
        <f aca="false">IF(AX1590&gt;0,J1590/AX1590,-1)</f>
        <v>0</v>
      </c>
      <c r="BB1590" s="58" t="n">
        <f aca="false">IF(AND(OR(BY1590="L1",BY1590="L23"),AX1590&gt;0),SUMIFS($AX$7:$AX$1843,$BY$7:$BY$1843,BY1590,$BA$7:$BA$1843,"&gt;"&amp;BA1590)+SUMIFS($AX$7:$AX$1843,$BY$7:$BY$1843,BY1590,$BA$7:$BA$1843,BA1590,$BQ$7:$BQ$1843,"&lt;="&amp;BQ1590),"")</f>
        <v>121.563942096551</v>
      </c>
      <c r="BC1590" s="65" t="n">
        <f aca="false">IF(BB1590="",0,MAX(0,MIN(1,(IF(BY1590="L1",Parameter!$E$5,Parameter!$E$6+Parameter!$E$7)-(BB1590-AX1590))/AX1590)))</f>
        <v>0</v>
      </c>
      <c r="BD1590" s="55" t="str">
        <f aca="false">IF(AH1590&lt;=0,"",IF(BY1590="Aussen","Aussenlager",IF(BY1590="-","Nicht im Lift",IF(AM1590&gt;=1,"Lift",IF(AM1590&lt;=0,"Aussenlager","teilweise")))))</f>
        <v>Lift</v>
      </c>
      <c r="BE1590" s="55" t="str">
        <f aca="false">IF(AP1590&lt;=0,"",IF(BY1590="Aussen","Aussenlager",IF(BY1590="-","Nicht im Lift",IF(AU1590&gt;=1,"Lift",IF(AU1590&lt;=0,"Aussenlager","teilweise")))))</f>
        <v>Aussenlager</v>
      </c>
      <c r="BF1590" s="55" t="str">
        <f aca="false">IF(AX1590&lt;=0,"",IF(BY1590="Aussen","Aussenlager",IF(BY1590="-","Nicht im Lift",IF(BC1590&gt;=1,"Lift",IF(BC1590&lt;=0,"Aussenlager","teilweise")))))</f>
        <v>Aussenlager</v>
      </c>
      <c r="BG1590" s="55" t="str">
        <f aca="false">IF(A1590="","",IF(BP1590=1,"Neu; ","")&amp;IF(AND(BP1590=0,BK1590&lt;0),"negativer Bestand (Export "&amp;BK1590&amp;"); ","")&amp;IF(J1590&lt;=0,"Kein Verbrauch; ","")&amp;IF(CH1590&gt;0,"Lift "&amp;W1590&amp;" lt. Liftbericht (Fach "&amp;X1590&amp;" Stk); ",IF(BU1590=1,"Gebinde geschätzt ("&amp;T1590&amp;"); ",IF(BT1590=1,"Lose – Tablare geschätzt; ","")))&amp;IF(H1590&gt;AR1590,"Überbestand "&amp;ROUND(H1590-AR1590,0)&amp;" Stk / CHF "&amp;ROUND((H1590-AR1590)*G1590,0)&amp;"; ","")&amp;IF(AND(CA1590=1,CB1590&lt;CC1590),"MAX &lt; MB+LG; ","")&amp;IF(AND(CG1590&gt;0,CF1590*10&gt;CG1590),"zu hoch für Tablar; ","")&amp;IF(AND(BP1590=0,OR(CA1590=1,AA1590&lt;&gt;"",U1590&lt;&gt;"",V1590&lt;&gt;"",AB1590&lt;&gt;"")),"manuell übersteuert; ","")&amp;IF(AND(BT1590=0,R1590=0),"Gebinde unbekannt / Stellmass fehlt; ","")&amp;IF(AND(BT1590=0,N(V1590)&lt;=0,N(Q1590)&lt;=0),"Menge pro Gebinde fehlt (Ist = 1 Gebinde); ","")&amp;BO1590)</f>
        <v>Kein Verbrauch; Gebinde geschätzt (Mittel); Menge pro Gebinde fehlt (Ist = 1 Gebinde); nur im Artikelstamm (Bestand 23.06.2026)</v>
      </c>
      <c r="BH1590" s="55"/>
      <c r="BI1590" s="55"/>
      <c r="BJ1590" s="62"/>
      <c r="BK1590" s="57" t="n">
        <v>3</v>
      </c>
      <c r="BL1590" s="57" t="n">
        <v>0</v>
      </c>
      <c r="BM1590" s="56" t="n">
        <v>0</v>
      </c>
      <c r="BN1590" s="57" t="n">
        <v>0</v>
      </c>
      <c r="BO1590" s="55" t="s">
        <v>2575</v>
      </c>
      <c r="BP1590" s="60" t="n">
        <v>0</v>
      </c>
      <c r="BQ1590" s="60" t="n">
        <v>1590</v>
      </c>
      <c r="BR1590" s="55" t="str">
        <f aca="false">IF(U1590&lt;&gt;"",UPPER(TRIM(U1590)),IF(BU1590=1,UPPER(VLOOKUP(T1590,Parameter!$I$27:$K$29,2,0)),IF(P1590="","LOSE",P1590)))</f>
        <v>S61</v>
      </c>
      <c r="BS1590" s="57" t="n">
        <f aca="false">IF(BR1590="LOSE",1,IF(N(V1590)&gt;0,V1590,IF(BU1590=1,MAX(1,N(VLOOKUP(T1590,Parameter!$I$27:$K$29,3,0)),H1590,N(N1590)),IF(N(Q1590)&gt;0,Q1590,MAX(1,H1590)))))</f>
        <v>4</v>
      </c>
      <c r="BT1590" s="60" t="n">
        <f aca="false">IF(BR1590="LOSE",1,0)</f>
        <v>0</v>
      </c>
      <c r="BU1590" s="60" t="n">
        <f aca="false">IF(AND(U1590="",OR(P1590="",P1590="LOSE"),T1590&lt;&gt;"",N(S1590)&lt;=0,ISNUMBER(MATCH(T1590,Parameter!$I$27:$I$29,0))),1,0)</f>
        <v>1</v>
      </c>
      <c r="BV1590" s="55" t="str">
        <f aca="false">IF(AND(Parameter!$B$19="Ja",E1590&lt;&gt;"",ISNUMBER(MATCH(E1590,Parameter!$I$35:$I$52,0))),VLOOKUP(E1590,Parameter!$I$35:$J$52,2,0),IFERROR(VLOOKUP(D1590,Parameter!$A$35:$C$64,2,0),"Nein"))</f>
        <v>2+3</v>
      </c>
      <c r="BW1590" s="59" t="n">
        <f aca="false">IF(BT1590=0,0,IF(N(S1590)&gt;0,S1590,IFERROR(VLOOKUP(D1590,Parameter!$A$35:$C$64,3,0)+0,0)))</f>
        <v>0</v>
      </c>
      <c r="BX1590" s="55" t="n">
        <f aca="false">IF(AA1590&lt;&gt;"",AA1590,Z1590)</f>
        <v>2</v>
      </c>
      <c r="BY1590" s="55" t="str">
        <f aca="false">IF(BX1590=1,"L1",IF(OR(BX1590=2,BX1590=3),"L23",IF(BX1590="Aussen","Aussen","-")))</f>
        <v>L23</v>
      </c>
      <c r="BZ1590" s="66" t="n">
        <f aca="false">IF(N(AB1590)&gt;0,AB1590,0)</f>
        <v>0</v>
      </c>
      <c r="CA1590" s="60" t="n">
        <f aca="false">IF(ISNUMBER(AE1590),1,0)</f>
        <v>0</v>
      </c>
      <c r="CB1590" s="57" t="n">
        <f aca="false">N(AE1590)</f>
        <v>0</v>
      </c>
      <c r="CC1590" s="57" t="n">
        <f aca="false">N(M1590)+N(N1590)</f>
        <v>1</v>
      </c>
      <c r="CD1590" s="57" t="n">
        <f aca="false">ROUNDUP(H1590/BS1590,0)</f>
        <v>1</v>
      </c>
      <c r="CE1590" s="57" t="n">
        <f aca="false">ROUNDUP(CB1590/BS1590,0)</f>
        <v>0</v>
      </c>
      <c r="CF1590" s="60" t="n">
        <f aca="false">IF(BT1590=1,0,IFERROR(VLOOKUP(BR1590,'Gebinde-Kategorie'!$A$5:$M$45,5,0)+0,0))</f>
        <v>11</v>
      </c>
      <c r="CG1590" s="60" t="n">
        <f aca="false">IFERROR(IF(OR(BX1590=1,BX1590=2,BX1590=3),N(INDEX(Parameter!$I$5:$I$7,BX1590)),0),0)</f>
        <v>0</v>
      </c>
      <c r="CH1590" s="59" t="n">
        <f aca="false">IF(AND(Parameter!$B$21="Ja",ISNUMBER(W1590),N(X1590)&gt;0),IFERROR(N(INDEX(Parameter!$L$5:$L$7,W1590))*INDEX(Parameter!$E$5:$E$7,W1590)*X1590/SUMIFS($X$7:$X$1843,$W$7:$W$1843,W1590),0),0)</f>
        <v>0</v>
      </c>
    </row>
    <row r="1591" customFormat="false" ht="15" hidden="false" customHeight="false" outlineLevel="0" collapsed="false">
      <c r="A1591" s="55" t="s">
        <v>2774</v>
      </c>
      <c r="B1591" s="55" t="s">
        <v>2775</v>
      </c>
      <c r="C1591" s="55" t="s">
        <v>164</v>
      </c>
      <c r="D1591" s="55" t="s">
        <v>173</v>
      </c>
      <c r="E1591" s="55"/>
      <c r="F1591" s="55"/>
      <c r="G1591" s="56" t="n">
        <v>78.35</v>
      </c>
      <c r="H1591" s="57" t="n">
        <f aca="false">MAX(0,IF(AND(Parameter!$B$21="Ja",ISNUMBER(Y1591)),Y1591,IF(Parameter!$B$20="Jahresanfang 2025 + Export",BL1591+BK1591,BK1591)))</f>
        <v>5</v>
      </c>
      <c r="I1591" s="57" t="n">
        <f aca="false">H1591*G1591</f>
        <v>391.75</v>
      </c>
      <c r="J1591" s="57" t="n">
        <f aca="false">BN1591*Parameter!$B$18</f>
        <v>0</v>
      </c>
      <c r="K1591" s="58"/>
      <c r="L1591" s="59"/>
      <c r="M1591" s="57" t="n">
        <v>0</v>
      </c>
      <c r="N1591" s="57" t="n">
        <v>1</v>
      </c>
      <c r="O1591" s="60" t="n">
        <v>0</v>
      </c>
      <c r="P1591" s="55" t="s">
        <v>168</v>
      </c>
      <c r="Q1591" s="57"/>
      <c r="R1591" s="60" t="n">
        <f aca="false">IF(BT1591=1,0,IFERROR(VLOOKUP(BR1591,'Gebinde-Kategorie'!$A$5:$M$45,13,0)+0,0))</f>
        <v>12</v>
      </c>
      <c r="S1591" s="61"/>
      <c r="T1591" s="62" t="s">
        <v>179</v>
      </c>
      <c r="U1591" s="62"/>
      <c r="V1591" s="62"/>
      <c r="W1591" s="55"/>
      <c r="X1591" s="57"/>
      <c r="Y1591" s="57"/>
      <c r="Z1591" s="55" t="n">
        <f aca="false">IF(A1591="","",IF(AND(Parameter!$B$21="Ja",ISNUMBER(W1591)),W1591,IF(BV1591="2+3",IF(ISNUMBER(SEARCH("grosser Artikel",BO1591)),2,IFERROR(VLOOKUP(BR1591,Parameter!$F$35:$G$64,2,0),2)),IF(OR(BV1591="Nein",BV1591=""),"-",BV1591))))</f>
        <v>2</v>
      </c>
      <c r="AA1591" s="62"/>
      <c r="AB1591" s="63"/>
      <c r="AC1591" s="57" t="n">
        <f aca="false">AR1591</f>
        <v>5</v>
      </c>
      <c r="AD1591" s="57" t="n">
        <f aca="false">MAX(AR1591,H1591)</f>
        <v>5</v>
      </c>
      <c r="AE1591" s="64"/>
      <c r="AF1591" s="57" t="n">
        <f aca="false">IF(LEFT(Cockpit!$C$5,1)="A",H1591,IF(CA1591=1,CB1591,IF(LEFT(Cockpit!$C$5,1)="B",AJ1591,MAX(AJ1591,H1591))))</f>
        <v>5</v>
      </c>
      <c r="AG1591" s="57" t="n">
        <f aca="false">IF(BT1591=1,0,ROUNDUP(AF1591/BS1591,0))</f>
        <v>1</v>
      </c>
      <c r="AH1591" s="59" t="n">
        <f aca="false">IF(CH1591&gt;0,CH1591*MAX(1,AF1591/X1591),IF(BT1591=1,IF(AF1591&lt;=0,0,BW1591*MAX(1,IF(H1591&gt;0,AF1591/H1591,1))),IF(R1591&gt;0,AG1591/R1591,0))/MAX(0.1,N(Parameter!$M$21)))</f>
        <v>0.0833333333333333</v>
      </c>
      <c r="AI1591" s="57" t="n">
        <f aca="false">AF1591*G1591</f>
        <v>391.75</v>
      </c>
      <c r="AJ1591" s="57" t="n">
        <f aca="false">ROUNDUP(MAX(J1591/IF(BZ1591&gt;0,BZ1591,MAX(0.1,N(Cockpit!$C$6))),CC1591)/BS1591,0)*BS1591</f>
        <v>5</v>
      </c>
      <c r="AK1591" s="58" t="n">
        <f aca="false">IF(AH1591&gt;0,J1591/AH1591,-1)</f>
        <v>0</v>
      </c>
      <c r="AL1591" s="58" t="n">
        <f aca="false">IF(AND(OR(BY1591="L1",BY1591="L23"),AH1591&gt;0),SUMIFS($AH$7:$AH$1843,$BY$7:$BY$1843,BY1591,$AK$7:$AK$1843,"&gt;"&amp;AK1591)+SUMIFS($AH$7:$AH$1843,$BY$7:$BY$1843,BY1591,$AK$7:$AK$1843,AK1591,$BQ$7:$BQ$1843,"&lt;="&amp;BQ1591),"")</f>
        <v>85.5653018479106</v>
      </c>
      <c r="AM1591" s="65" t="n">
        <f aca="false">IF(AL1591="",0,MAX(0,MIN(1,(IF(BY1591="L1",Parameter!$E$5,Parameter!$E$6+Parameter!$E$7)-(AL1591-AH1591))/AH1591)))</f>
        <v>1</v>
      </c>
      <c r="AN1591" s="57" t="n">
        <f aca="false">IF(LEFT(Cockpit!$I$5,1)="A",H1591,IF(CA1591=1,CB1591,IF(LEFT(Cockpit!$I$5,1)="B",AR1591,MAX(AR1591,H1591))))</f>
        <v>5</v>
      </c>
      <c r="AO1591" s="57" t="n">
        <f aca="false">IF(BT1591=1,0,ROUNDUP(AN1591/BS1591,0))</f>
        <v>1</v>
      </c>
      <c r="AP1591" s="59" t="n">
        <f aca="false">IF(CH1591&gt;0,CH1591*MAX(1,AN1591/X1591),IF(BT1591=1,IF(AN1591&lt;=0,0,BW1591*MAX(1,IF(H1591&gt;0,AN1591/H1591,1))),IF(R1591&gt;0,AO1591/R1591,0))/MAX(0.1,N(Parameter!$M$21)))</f>
        <v>0.0833333333333333</v>
      </c>
      <c r="AQ1591" s="57" t="n">
        <f aca="false">AN1591*G1591</f>
        <v>391.75</v>
      </c>
      <c r="AR1591" s="57" t="n">
        <f aca="false">ROUNDUP(MAX(J1591/IF(BZ1591&gt;0,BZ1591,MAX(0.1,N(Cockpit!$I$6))),CC1591)/BS1591,0)*BS1591</f>
        <v>5</v>
      </c>
      <c r="AS1591" s="58" t="n">
        <f aca="false">IF(AP1591&gt;0,J1591/AP1591,-1)</f>
        <v>0</v>
      </c>
      <c r="AT1591" s="58" t="n">
        <f aca="false">IF(AND(OR(BY1591="L1",BY1591="L23"),AP1591&gt;0),SUMIFS($AP$7:$AP$1843,$BY$7:$BY$1843,BY1591,$AS$7:$AS$1843,"&gt;"&amp;AS1591)+SUMIFS($AP$7:$AP$1843,$BY$7:$BY$1843,BY1591,$AS$7:$AS$1843,AS1591,$BQ$7:$BQ$1843,"&lt;="&amp;BQ1591),"")</f>
        <v>130.817438600047</v>
      </c>
      <c r="AU1591" s="65" t="n">
        <f aca="false">IF(AT1591="",0,MAX(0,MIN(1,(IF(BY1591="L1",Parameter!$E$5,Parameter!$E$6+Parameter!$E$7)-(AT1591-AP1591))/AP1591)))</f>
        <v>0</v>
      </c>
      <c r="AV1591" s="57" t="n">
        <f aca="false">IF(LEFT(Cockpit!$O$5,1)="A",H1591,IF(CA1591=1,CB1591,IF(LEFT(Cockpit!$O$5,1)="B",AZ1591,MAX(AZ1591,H1591))))</f>
        <v>5</v>
      </c>
      <c r="AW1591" s="57" t="n">
        <f aca="false">IF(BT1591=1,0,ROUNDUP(AV1591/BS1591,0))</f>
        <v>1</v>
      </c>
      <c r="AX1591" s="59" t="n">
        <f aca="false">IF(CH1591&gt;0,CH1591*MAX(1,AV1591/X1591),IF(BT1591=1,IF(AV1591&lt;=0,0,BW1591*MAX(1,IF(H1591&gt;0,AV1591/H1591,1))),IF(R1591&gt;0,AW1591/R1591,0))/MAX(0.1,N(Parameter!$M$21)))</f>
        <v>0.0833333333333333</v>
      </c>
      <c r="AY1591" s="57" t="n">
        <f aca="false">AV1591*G1591</f>
        <v>391.75</v>
      </c>
      <c r="AZ1591" s="57" t="n">
        <f aca="false">ROUNDUP(MAX(J1591/IF(BZ1591&gt;0,BZ1591,MAX(0.1,N(Cockpit!$O$6))),CC1591)/BS1591,0)*BS1591</f>
        <v>5</v>
      </c>
      <c r="BA1591" s="58" t="n">
        <f aca="false">IF(AX1591&gt;0,J1591/AX1591,-1)</f>
        <v>0</v>
      </c>
      <c r="BB1591" s="58" t="n">
        <f aca="false">IF(AND(OR(BY1591="L1",BY1591="L23"),AX1591&gt;0),SUMIFS($AX$7:$AX$1843,$BY$7:$BY$1843,BY1591,$BA$7:$BA$1843,"&gt;"&amp;BA1591)+SUMIFS($AX$7:$AX$1843,$BY$7:$BY$1843,BY1591,$BA$7:$BA$1843,BA1591,$BQ$7:$BQ$1843,"&lt;="&amp;BQ1591),"")</f>
        <v>121.647275429884</v>
      </c>
      <c r="BC1591" s="65" t="n">
        <f aca="false">IF(BB1591="",0,MAX(0,MIN(1,(IF(BY1591="L1",Parameter!$E$5,Parameter!$E$6+Parameter!$E$7)-(BB1591-AX1591))/AX1591)))</f>
        <v>0</v>
      </c>
      <c r="BD1591" s="55" t="str">
        <f aca="false">IF(AH1591&lt;=0,"",IF(BY1591="Aussen","Aussenlager",IF(BY1591="-","Nicht im Lift",IF(AM1591&gt;=1,"Lift",IF(AM1591&lt;=0,"Aussenlager","teilweise")))))</f>
        <v>Lift</v>
      </c>
      <c r="BE1591" s="55" t="str">
        <f aca="false">IF(AP1591&lt;=0,"",IF(BY1591="Aussen","Aussenlager",IF(BY1591="-","Nicht im Lift",IF(AU1591&gt;=1,"Lift",IF(AU1591&lt;=0,"Aussenlager","teilweise")))))</f>
        <v>Aussenlager</v>
      </c>
      <c r="BF1591" s="55" t="str">
        <f aca="false">IF(AX1591&lt;=0,"",IF(BY1591="Aussen","Aussenlager",IF(BY1591="-","Nicht im Lift",IF(BC1591&gt;=1,"Lift",IF(BC1591&lt;=0,"Aussenlager","teilweise")))))</f>
        <v>Aussenlager</v>
      </c>
      <c r="BG1591" s="55" t="str">
        <f aca="false">IF(A1591="","",IF(BP1591=1,"Neu; ","")&amp;IF(AND(BP1591=0,BK1591&lt;0),"negativer Bestand (Export "&amp;BK1591&amp;"); ","")&amp;IF(J1591&lt;=0,"Kein Verbrauch; ","")&amp;IF(CH1591&gt;0,"Lift "&amp;W1591&amp;" lt. Liftbericht (Fach "&amp;X1591&amp;" Stk); ",IF(BU1591=1,"Gebinde geschätzt ("&amp;T1591&amp;"); ",IF(BT1591=1,"Lose – Tablare geschätzt; ","")))&amp;IF(H1591&gt;AR1591,"Überbestand "&amp;ROUND(H1591-AR1591,0)&amp;" Stk / CHF "&amp;ROUND((H1591-AR1591)*G1591,0)&amp;"; ","")&amp;IF(AND(CA1591=1,CB1591&lt;CC1591),"MAX &lt; MB+LG; ","")&amp;IF(AND(CG1591&gt;0,CF1591*10&gt;CG1591),"zu hoch für Tablar; ","")&amp;IF(AND(BP1591=0,OR(CA1591=1,AA1591&lt;&gt;"",U1591&lt;&gt;"",V1591&lt;&gt;"",AB1591&lt;&gt;"")),"manuell übersteuert; ","")&amp;IF(AND(BT1591=0,R1591=0),"Gebinde unbekannt / Stellmass fehlt; ","")&amp;IF(AND(BT1591=0,N(V1591)&lt;=0,N(Q1591)&lt;=0),"Menge pro Gebinde fehlt (Ist = 1 Gebinde); ","")&amp;BO1591)</f>
        <v>Kein Verbrauch; Gebinde geschätzt (Mittel); Menge pro Gebinde fehlt (Ist = 1 Gebinde); nur im Artikelstamm (Bestand 23.06.2026)</v>
      </c>
      <c r="BH1591" s="55"/>
      <c r="BI1591" s="55"/>
      <c r="BJ1591" s="62"/>
      <c r="BK1591" s="57" t="n">
        <v>5</v>
      </c>
      <c r="BL1591" s="57" t="n">
        <v>0</v>
      </c>
      <c r="BM1591" s="56" t="n">
        <v>0</v>
      </c>
      <c r="BN1591" s="57" t="n">
        <v>0</v>
      </c>
      <c r="BO1591" s="55" t="s">
        <v>2575</v>
      </c>
      <c r="BP1591" s="60" t="n">
        <v>0</v>
      </c>
      <c r="BQ1591" s="60" t="n">
        <v>1591</v>
      </c>
      <c r="BR1591" s="55" t="str">
        <f aca="false">IF(U1591&lt;&gt;"",UPPER(TRIM(U1591)),IF(BU1591=1,UPPER(VLOOKUP(T1591,Parameter!$I$27:$K$29,2,0)),IF(P1591="","LOSE",P1591)))</f>
        <v>S61</v>
      </c>
      <c r="BS1591" s="57" t="n">
        <f aca="false">IF(BR1591="LOSE",1,IF(N(V1591)&gt;0,V1591,IF(BU1591=1,MAX(1,N(VLOOKUP(T1591,Parameter!$I$27:$K$29,3,0)),H1591,N(N1591)),IF(N(Q1591)&gt;0,Q1591,MAX(1,H1591)))))</f>
        <v>5</v>
      </c>
      <c r="BT1591" s="60" t="n">
        <f aca="false">IF(BR1591="LOSE",1,0)</f>
        <v>0</v>
      </c>
      <c r="BU1591" s="60" t="n">
        <f aca="false">IF(AND(U1591="",OR(P1591="",P1591="LOSE"),T1591&lt;&gt;"",N(S1591)&lt;=0,ISNUMBER(MATCH(T1591,Parameter!$I$27:$I$29,0))),1,0)</f>
        <v>1</v>
      </c>
      <c r="BV1591" s="55" t="str">
        <f aca="false">IF(AND(Parameter!$B$19="Ja",E1591&lt;&gt;"",ISNUMBER(MATCH(E1591,Parameter!$I$35:$I$52,0))),VLOOKUP(E1591,Parameter!$I$35:$J$52,2,0),IFERROR(VLOOKUP(D1591,Parameter!$A$35:$C$64,2,0),"Nein"))</f>
        <v>2+3</v>
      </c>
      <c r="BW1591" s="59" t="n">
        <f aca="false">IF(BT1591=0,0,IF(N(S1591)&gt;0,S1591,IFERROR(VLOOKUP(D1591,Parameter!$A$35:$C$64,3,0)+0,0)))</f>
        <v>0</v>
      </c>
      <c r="BX1591" s="55" t="n">
        <f aca="false">IF(AA1591&lt;&gt;"",AA1591,Z1591)</f>
        <v>2</v>
      </c>
      <c r="BY1591" s="55" t="str">
        <f aca="false">IF(BX1591=1,"L1",IF(OR(BX1591=2,BX1591=3),"L23",IF(BX1591="Aussen","Aussen","-")))</f>
        <v>L23</v>
      </c>
      <c r="BZ1591" s="66" t="n">
        <f aca="false">IF(N(AB1591)&gt;0,AB1591,0)</f>
        <v>0</v>
      </c>
      <c r="CA1591" s="60" t="n">
        <f aca="false">IF(ISNUMBER(AE1591),1,0)</f>
        <v>0</v>
      </c>
      <c r="CB1591" s="57" t="n">
        <f aca="false">N(AE1591)</f>
        <v>0</v>
      </c>
      <c r="CC1591" s="57" t="n">
        <f aca="false">N(M1591)+N(N1591)</f>
        <v>1</v>
      </c>
      <c r="CD1591" s="57" t="n">
        <f aca="false">ROUNDUP(H1591/BS1591,0)</f>
        <v>1</v>
      </c>
      <c r="CE1591" s="57" t="n">
        <f aca="false">ROUNDUP(CB1591/BS1591,0)</f>
        <v>0</v>
      </c>
      <c r="CF1591" s="60" t="n">
        <f aca="false">IF(BT1591=1,0,IFERROR(VLOOKUP(BR1591,'Gebinde-Kategorie'!$A$5:$M$45,5,0)+0,0))</f>
        <v>11</v>
      </c>
      <c r="CG1591" s="60" t="n">
        <f aca="false">IFERROR(IF(OR(BX1591=1,BX1591=2,BX1591=3),N(INDEX(Parameter!$I$5:$I$7,BX1591)),0),0)</f>
        <v>0</v>
      </c>
      <c r="CH1591" s="59" t="n">
        <f aca="false">IF(AND(Parameter!$B$21="Ja",ISNUMBER(W1591),N(X1591)&gt;0),IFERROR(N(INDEX(Parameter!$L$5:$L$7,W1591))*INDEX(Parameter!$E$5:$E$7,W1591)*X1591/SUMIFS($X$7:$X$1843,$W$7:$W$1843,W1591),0),0)</f>
        <v>0</v>
      </c>
    </row>
    <row r="1592" customFormat="false" ht="15" hidden="false" customHeight="false" outlineLevel="0" collapsed="false">
      <c r="A1592" s="55" t="s">
        <v>2776</v>
      </c>
      <c r="B1592" s="55" t="s">
        <v>1209</v>
      </c>
      <c r="C1592" s="55" t="s">
        <v>164</v>
      </c>
      <c r="D1592" s="55" t="s">
        <v>184</v>
      </c>
      <c r="E1592" s="55"/>
      <c r="F1592" s="55"/>
      <c r="G1592" s="56" t="n">
        <v>0.05</v>
      </c>
      <c r="H1592" s="57" t="n">
        <f aca="false">MAX(0,IF(AND(Parameter!$B$21="Ja",ISNUMBER(Y1592)),Y1592,IF(Parameter!$B$20="Jahresanfang 2025 + Export",BL1592+BK1592,BK1592)))</f>
        <v>2406</v>
      </c>
      <c r="I1592" s="57" t="n">
        <f aca="false">H1592*G1592</f>
        <v>120.3</v>
      </c>
      <c r="J1592" s="57" t="n">
        <f aca="false">BN1592*Parameter!$B$18</f>
        <v>0</v>
      </c>
      <c r="K1592" s="58"/>
      <c r="L1592" s="59"/>
      <c r="M1592" s="57" t="n">
        <v>0</v>
      </c>
      <c r="N1592" s="57" t="n">
        <v>300</v>
      </c>
      <c r="O1592" s="60" t="n">
        <v>0</v>
      </c>
      <c r="P1592" s="55" t="s">
        <v>168</v>
      </c>
      <c r="Q1592" s="57"/>
      <c r="R1592" s="60" t="n">
        <f aca="false">IF(BT1592=1,0,IFERROR(VLOOKUP(BR1592,'Gebinde-Kategorie'!$A$5:$M$45,13,0)+0,0))</f>
        <v>26</v>
      </c>
      <c r="S1592" s="61"/>
      <c r="T1592" s="62" t="s">
        <v>275</v>
      </c>
      <c r="U1592" s="62"/>
      <c r="V1592" s="62"/>
      <c r="W1592" s="55"/>
      <c r="X1592" s="57"/>
      <c r="Y1592" s="57"/>
      <c r="Z1592" s="55" t="n">
        <f aca="false">IF(A1592="","",IF(AND(Parameter!$B$21="Ja",ISNUMBER(W1592)),W1592,IF(BV1592="2+3",IF(ISNUMBER(SEARCH("grosser Artikel",BO1592)),2,IFERROR(VLOOKUP(BR1592,Parameter!$F$35:$G$64,2,0),2)),IF(OR(BV1592="Nein",BV1592=""),"-",BV1592))))</f>
        <v>3</v>
      </c>
      <c r="AA1592" s="62"/>
      <c r="AB1592" s="63"/>
      <c r="AC1592" s="57" t="n">
        <f aca="false">AR1592</f>
        <v>2406</v>
      </c>
      <c r="AD1592" s="57" t="n">
        <f aca="false">MAX(AR1592,H1592)</f>
        <v>2406</v>
      </c>
      <c r="AE1592" s="64"/>
      <c r="AF1592" s="57" t="n">
        <f aca="false">IF(LEFT(Cockpit!$C$5,1)="A",H1592,IF(CA1592=1,CB1592,IF(LEFT(Cockpit!$C$5,1)="B",AJ1592,MAX(AJ1592,H1592))))</f>
        <v>2406</v>
      </c>
      <c r="AG1592" s="57" t="n">
        <f aca="false">IF(BT1592=1,0,ROUNDUP(AF1592/BS1592,0))</f>
        <v>1</v>
      </c>
      <c r="AH1592" s="59" t="n">
        <f aca="false">IF(CH1592&gt;0,CH1592*MAX(1,AF1592/X1592),IF(BT1592=1,IF(AF1592&lt;=0,0,BW1592*MAX(1,IF(H1592&gt;0,AF1592/H1592,1))),IF(R1592&gt;0,AG1592/R1592,0))/MAX(0.1,N(Parameter!$M$21)))</f>
        <v>0.0384615384615385</v>
      </c>
      <c r="AI1592" s="57" t="n">
        <f aca="false">AF1592*G1592</f>
        <v>120.3</v>
      </c>
      <c r="AJ1592" s="57" t="n">
        <f aca="false">ROUNDUP(MAX(J1592/IF(BZ1592&gt;0,BZ1592,MAX(0.1,N(Cockpit!$C$6))),CC1592)/BS1592,0)*BS1592</f>
        <v>2406</v>
      </c>
      <c r="AK1592" s="58" t="n">
        <f aca="false">IF(AH1592&gt;0,J1592/AH1592,-1)</f>
        <v>0</v>
      </c>
      <c r="AL1592" s="58" t="n">
        <f aca="false">IF(AND(OR(BY1592="L1",BY1592="L23"),AH1592&gt;0),SUMIFS($AH$7:$AH$1843,$BY$7:$BY$1843,BY1592,$AK$7:$AK$1843,"&gt;"&amp;AK1592)+SUMIFS($AH$7:$AH$1843,$BY$7:$BY$1843,BY1592,$AK$7:$AK$1843,AK1592,$BQ$7:$BQ$1843,"&lt;="&amp;BQ1592),"")</f>
        <v>85.6037633863721</v>
      </c>
      <c r="AM1592" s="65" t="n">
        <f aca="false">IF(AL1592="",0,MAX(0,MIN(1,(IF(BY1592="L1",Parameter!$E$5,Parameter!$E$6+Parameter!$E$7)-(AL1592-AH1592))/AH1592)))</f>
        <v>1</v>
      </c>
      <c r="AN1592" s="57" t="n">
        <f aca="false">IF(LEFT(Cockpit!$I$5,1)="A",H1592,IF(CA1592=1,CB1592,IF(LEFT(Cockpit!$I$5,1)="B",AR1592,MAX(AR1592,H1592))))</f>
        <v>2406</v>
      </c>
      <c r="AO1592" s="57" t="n">
        <f aca="false">IF(BT1592=1,0,ROUNDUP(AN1592/BS1592,0))</f>
        <v>1</v>
      </c>
      <c r="AP1592" s="59" t="n">
        <f aca="false">IF(CH1592&gt;0,CH1592*MAX(1,AN1592/X1592),IF(BT1592=1,IF(AN1592&lt;=0,0,BW1592*MAX(1,IF(H1592&gt;0,AN1592/H1592,1))),IF(R1592&gt;0,AO1592/R1592,0))/MAX(0.1,N(Parameter!$M$21)))</f>
        <v>0.0384615384615385</v>
      </c>
      <c r="AQ1592" s="57" t="n">
        <f aca="false">AN1592*G1592</f>
        <v>120.3</v>
      </c>
      <c r="AR1592" s="57" t="n">
        <f aca="false">ROUNDUP(MAX(J1592/IF(BZ1592&gt;0,BZ1592,MAX(0.1,N(Cockpit!$I$6))),CC1592)/BS1592,0)*BS1592</f>
        <v>2406</v>
      </c>
      <c r="AS1592" s="58" t="n">
        <f aca="false">IF(AP1592&gt;0,J1592/AP1592,-1)</f>
        <v>0</v>
      </c>
      <c r="AT1592" s="58" t="n">
        <f aca="false">IF(AND(OR(BY1592="L1",BY1592="L23"),AP1592&gt;0),SUMIFS($AP$7:$AP$1843,$BY$7:$BY$1843,BY1592,$AS$7:$AS$1843,"&gt;"&amp;AS1592)+SUMIFS($AP$7:$AP$1843,$BY$7:$BY$1843,BY1592,$AS$7:$AS$1843,AS1592,$BQ$7:$BQ$1843,"&lt;="&amp;BQ1592),"")</f>
        <v>130.855900138509</v>
      </c>
      <c r="AU1592" s="65" t="n">
        <f aca="false">IF(AT1592="",0,MAX(0,MIN(1,(IF(BY1592="L1",Parameter!$E$5,Parameter!$E$6+Parameter!$E$7)-(AT1592-AP1592))/AP1592)))</f>
        <v>0</v>
      </c>
      <c r="AV1592" s="57" t="n">
        <f aca="false">IF(LEFT(Cockpit!$O$5,1)="A",H1592,IF(CA1592=1,CB1592,IF(LEFT(Cockpit!$O$5,1)="B",AZ1592,MAX(AZ1592,H1592))))</f>
        <v>2406</v>
      </c>
      <c r="AW1592" s="57" t="n">
        <f aca="false">IF(BT1592=1,0,ROUNDUP(AV1592/BS1592,0))</f>
        <v>1</v>
      </c>
      <c r="AX1592" s="59" t="n">
        <f aca="false">IF(CH1592&gt;0,CH1592*MAX(1,AV1592/X1592),IF(BT1592=1,IF(AV1592&lt;=0,0,BW1592*MAX(1,IF(H1592&gt;0,AV1592/H1592,1))),IF(R1592&gt;0,AW1592/R1592,0))/MAX(0.1,N(Parameter!$M$21)))</f>
        <v>0.0384615384615385</v>
      </c>
      <c r="AY1592" s="57" t="n">
        <f aca="false">AV1592*G1592</f>
        <v>120.3</v>
      </c>
      <c r="AZ1592" s="57" t="n">
        <f aca="false">ROUNDUP(MAX(J1592/IF(BZ1592&gt;0,BZ1592,MAX(0.1,N(Cockpit!$O$6))),CC1592)/BS1592,0)*BS1592</f>
        <v>2406</v>
      </c>
      <c r="BA1592" s="58" t="n">
        <f aca="false">IF(AX1592&gt;0,J1592/AX1592,-1)</f>
        <v>0</v>
      </c>
      <c r="BB1592" s="58" t="n">
        <f aca="false">IF(AND(OR(BY1592="L1",BY1592="L23"),AX1592&gt;0),SUMIFS($AX$7:$AX$1843,$BY$7:$BY$1843,BY1592,$BA$7:$BA$1843,"&gt;"&amp;BA1592)+SUMIFS($AX$7:$AX$1843,$BY$7:$BY$1843,BY1592,$BA$7:$BA$1843,BA1592,$BQ$7:$BQ$1843,"&lt;="&amp;BQ1592),"")</f>
        <v>121.685736968346</v>
      </c>
      <c r="BC1592" s="65" t="n">
        <f aca="false">IF(BB1592="",0,MAX(0,MIN(1,(IF(BY1592="L1",Parameter!$E$5,Parameter!$E$6+Parameter!$E$7)-(BB1592-AX1592))/AX1592)))</f>
        <v>0</v>
      </c>
      <c r="BD1592" s="55" t="str">
        <f aca="false">IF(AH1592&lt;=0,"",IF(BY1592="Aussen","Aussenlager",IF(BY1592="-","Nicht im Lift",IF(AM1592&gt;=1,"Lift",IF(AM1592&lt;=0,"Aussenlager","teilweise")))))</f>
        <v>Lift</v>
      </c>
      <c r="BE1592" s="55" t="str">
        <f aca="false">IF(AP1592&lt;=0,"",IF(BY1592="Aussen","Aussenlager",IF(BY1592="-","Nicht im Lift",IF(AU1592&gt;=1,"Lift",IF(AU1592&lt;=0,"Aussenlager","teilweise")))))</f>
        <v>Aussenlager</v>
      </c>
      <c r="BF1592" s="55" t="str">
        <f aca="false">IF(AX1592&lt;=0,"",IF(BY1592="Aussen","Aussenlager",IF(BY1592="-","Nicht im Lift",IF(BC1592&gt;=1,"Lift",IF(BC1592&lt;=0,"Aussenlager","teilweise")))))</f>
        <v>Aussenlager</v>
      </c>
      <c r="BG1592" s="55" t="str">
        <f aca="false">IF(A1592="","",IF(BP1592=1,"Neu; ","")&amp;IF(AND(BP1592=0,BK1592&lt;0),"negativer Bestand (Export "&amp;BK1592&amp;"); ","")&amp;IF(J1592&lt;=0,"Kein Verbrauch; ","")&amp;IF(CH1592&gt;0,"Lift "&amp;W1592&amp;" lt. Liftbericht (Fach "&amp;X1592&amp;" Stk); ",IF(BU1592=1,"Gebinde geschätzt ("&amp;T1592&amp;"); ",IF(BT1592=1,"Lose – Tablare geschätzt; ","")))&amp;IF(H1592&gt;AR1592,"Überbestand "&amp;ROUND(H1592-AR1592,0)&amp;" Stk / CHF "&amp;ROUND((H1592-AR1592)*G1592,0)&amp;"; ","")&amp;IF(AND(CA1592=1,CB1592&lt;CC1592),"MAX &lt; MB+LG; ","")&amp;IF(AND(CG1592&gt;0,CF1592*10&gt;CG1592),"zu hoch für Tablar; ","")&amp;IF(AND(BP1592=0,OR(CA1592=1,AA1592&lt;&gt;"",U1592&lt;&gt;"",V1592&lt;&gt;"",AB1592&lt;&gt;"")),"manuell übersteuert; ","")&amp;IF(AND(BT1592=0,R1592=0),"Gebinde unbekannt / Stellmass fehlt; ","")&amp;IF(AND(BT1592=0,N(V1592)&lt;=0,N(Q1592)&lt;=0),"Menge pro Gebinde fehlt (Ist = 1 Gebinde); ","")&amp;BO1592)</f>
        <v>Kein Verbrauch; Gebinde geschätzt (Klein); Menge pro Gebinde fehlt (Ist = 1 Gebinde); nur im Artikelstamm (Bestand 23.06.2026)</v>
      </c>
      <c r="BH1592" s="55"/>
      <c r="BI1592" s="55"/>
      <c r="BJ1592" s="62"/>
      <c r="BK1592" s="57" t="n">
        <v>2406</v>
      </c>
      <c r="BL1592" s="57" t="n">
        <v>0</v>
      </c>
      <c r="BM1592" s="56" t="n">
        <v>0</v>
      </c>
      <c r="BN1592" s="57" t="n">
        <v>0</v>
      </c>
      <c r="BO1592" s="55" t="s">
        <v>2575</v>
      </c>
      <c r="BP1592" s="60" t="n">
        <v>0</v>
      </c>
      <c r="BQ1592" s="60" t="n">
        <v>1592</v>
      </c>
      <c r="BR1592" s="55" t="str">
        <f aca="false">IF(U1592&lt;&gt;"",UPPER(TRIM(U1592)),IF(BU1592=1,UPPER(VLOOKUP(T1592,Parameter!$I$27:$K$29,2,0)),IF(P1592="","LOSE",P1592)))</f>
        <v>S51</v>
      </c>
      <c r="BS1592" s="57" t="n">
        <f aca="false">IF(BR1592="LOSE",1,IF(N(V1592)&gt;0,V1592,IF(BU1592=1,MAX(1,N(VLOOKUP(T1592,Parameter!$I$27:$K$29,3,0)),H1592,N(N1592)),IF(N(Q1592)&gt;0,Q1592,MAX(1,H1592)))))</f>
        <v>2406</v>
      </c>
      <c r="BT1592" s="60" t="n">
        <f aca="false">IF(BR1592="LOSE",1,0)</f>
        <v>0</v>
      </c>
      <c r="BU1592" s="60" t="n">
        <f aca="false">IF(AND(U1592="",OR(P1592="",P1592="LOSE"),T1592&lt;&gt;"",N(S1592)&lt;=0,ISNUMBER(MATCH(T1592,Parameter!$I$27:$I$29,0))),1,0)</f>
        <v>1</v>
      </c>
      <c r="BV1592" s="55" t="str">
        <f aca="false">IF(AND(Parameter!$B$19="Ja",E1592&lt;&gt;"",ISNUMBER(MATCH(E1592,Parameter!$I$35:$I$52,0))),VLOOKUP(E1592,Parameter!$I$35:$J$52,2,0),IFERROR(VLOOKUP(D1592,Parameter!$A$35:$C$64,2,0),"Nein"))</f>
        <v>2+3</v>
      </c>
      <c r="BW1592" s="59" t="n">
        <f aca="false">IF(BT1592=0,0,IF(N(S1592)&gt;0,S1592,IFERROR(VLOOKUP(D1592,Parameter!$A$35:$C$64,3,0)+0,0)))</f>
        <v>0</v>
      </c>
      <c r="BX1592" s="55" t="n">
        <f aca="false">IF(AA1592&lt;&gt;"",AA1592,Z1592)</f>
        <v>3</v>
      </c>
      <c r="BY1592" s="55" t="str">
        <f aca="false">IF(BX1592=1,"L1",IF(OR(BX1592=2,BX1592=3),"L23",IF(BX1592="Aussen","Aussen","-")))</f>
        <v>L23</v>
      </c>
      <c r="BZ1592" s="66" t="n">
        <f aca="false">IF(N(AB1592)&gt;0,AB1592,0)</f>
        <v>0</v>
      </c>
      <c r="CA1592" s="60" t="n">
        <f aca="false">IF(ISNUMBER(AE1592),1,0)</f>
        <v>0</v>
      </c>
      <c r="CB1592" s="57" t="n">
        <f aca="false">N(AE1592)</f>
        <v>0</v>
      </c>
      <c r="CC1592" s="57" t="n">
        <f aca="false">N(M1592)+N(N1592)</f>
        <v>300</v>
      </c>
      <c r="CD1592" s="57" t="n">
        <f aca="false">ROUNDUP(H1592/BS1592,0)</f>
        <v>1</v>
      </c>
      <c r="CE1592" s="57" t="n">
        <f aca="false">ROUNDUP(CB1592/BS1592,0)</f>
        <v>0</v>
      </c>
      <c r="CF1592" s="60" t="n">
        <f aca="false">IF(BT1592=1,0,IFERROR(VLOOKUP(BR1592,'Gebinde-Kategorie'!$A$5:$M$45,5,0)+0,0))</f>
        <v>11</v>
      </c>
      <c r="CG1592" s="60" t="n">
        <f aca="false">IFERROR(IF(OR(BX1592=1,BX1592=2,BX1592=3),N(INDEX(Parameter!$I$5:$I$7,BX1592)),0),0)</f>
        <v>0</v>
      </c>
      <c r="CH1592" s="59" t="n">
        <f aca="false">IF(AND(Parameter!$B$21="Ja",ISNUMBER(W1592),N(X1592)&gt;0),IFERROR(N(INDEX(Parameter!$L$5:$L$7,W1592))*INDEX(Parameter!$E$5:$E$7,W1592)*X1592/SUMIFS($X$7:$X$1843,$W$7:$W$1843,W1592),0),0)</f>
        <v>0</v>
      </c>
    </row>
    <row r="1593" customFormat="false" ht="15" hidden="false" customHeight="false" outlineLevel="0" collapsed="false">
      <c r="A1593" s="55" t="s">
        <v>2777</v>
      </c>
      <c r="B1593" s="55" t="s">
        <v>2778</v>
      </c>
      <c r="C1593" s="55" t="s">
        <v>164</v>
      </c>
      <c r="D1593" s="55" t="s">
        <v>173</v>
      </c>
      <c r="E1593" s="55"/>
      <c r="F1593" s="55"/>
      <c r="G1593" s="56" t="n">
        <v>2.33</v>
      </c>
      <c r="H1593" s="57" t="n">
        <f aca="false">MAX(0,IF(AND(Parameter!$B$21="Ja",ISNUMBER(Y1593)),Y1593,IF(Parameter!$B$20="Jahresanfang 2025 + Export",BL1593+BK1593,BK1593)))</f>
        <v>226</v>
      </c>
      <c r="I1593" s="57" t="n">
        <f aca="false">H1593*G1593</f>
        <v>526.58</v>
      </c>
      <c r="J1593" s="57" t="n">
        <f aca="false">BN1593*Parameter!$B$18</f>
        <v>0</v>
      </c>
      <c r="K1593" s="58"/>
      <c r="L1593" s="59"/>
      <c r="M1593" s="57" t="n">
        <v>0</v>
      </c>
      <c r="N1593" s="57" t="n">
        <v>100</v>
      </c>
      <c r="O1593" s="60" t="n">
        <v>56</v>
      </c>
      <c r="P1593" s="55" t="s">
        <v>168</v>
      </c>
      <c r="Q1593" s="57"/>
      <c r="R1593" s="60" t="n">
        <f aca="false">IF(BT1593=1,0,IFERROR(VLOOKUP(BR1593,'Gebinde-Kategorie'!$A$5:$M$45,13,0)+0,0))</f>
        <v>12</v>
      </c>
      <c r="S1593" s="61"/>
      <c r="T1593" s="62" t="s">
        <v>179</v>
      </c>
      <c r="U1593" s="62"/>
      <c r="V1593" s="62"/>
      <c r="W1593" s="55"/>
      <c r="X1593" s="57"/>
      <c r="Y1593" s="57"/>
      <c r="Z1593" s="55" t="n">
        <f aca="false">IF(A1593="","",IF(AND(Parameter!$B$21="Ja",ISNUMBER(W1593)),W1593,IF(BV1593="2+3",IF(ISNUMBER(SEARCH("grosser Artikel",BO1593)),2,IFERROR(VLOOKUP(BR1593,Parameter!$F$35:$G$64,2,0),2)),IF(OR(BV1593="Nein",BV1593=""),"-",BV1593))))</f>
        <v>2</v>
      </c>
      <c r="AA1593" s="62"/>
      <c r="AB1593" s="63"/>
      <c r="AC1593" s="57" t="n">
        <f aca="false">AR1593</f>
        <v>226</v>
      </c>
      <c r="AD1593" s="57" t="n">
        <f aca="false">MAX(AR1593,H1593)</f>
        <v>226</v>
      </c>
      <c r="AE1593" s="64"/>
      <c r="AF1593" s="57" t="n">
        <f aca="false">IF(LEFT(Cockpit!$C$5,1)="A",H1593,IF(CA1593=1,CB1593,IF(LEFT(Cockpit!$C$5,1)="B",AJ1593,MAX(AJ1593,H1593))))</f>
        <v>226</v>
      </c>
      <c r="AG1593" s="57" t="n">
        <f aca="false">IF(BT1593=1,0,ROUNDUP(AF1593/BS1593,0))</f>
        <v>1</v>
      </c>
      <c r="AH1593" s="59" t="n">
        <f aca="false">IF(CH1593&gt;0,CH1593*MAX(1,AF1593/X1593),IF(BT1593=1,IF(AF1593&lt;=0,0,BW1593*MAX(1,IF(H1593&gt;0,AF1593/H1593,1))),IF(R1593&gt;0,AG1593/R1593,0))/MAX(0.1,N(Parameter!$M$21)))</f>
        <v>0.0833333333333333</v>
      </c>
      <c r="AI1593" s="57" t="n">
        <f aca="false">AF1593*G1593</f>
        <v>526.58</v>
      </c>
      <c r="AJ1593" s="57" t="n">
        <f aca="false">ROUNDUP(MAX(J1593/IF(BZ1593&gt;0,BZ1593,MAX(0.1,N(Cockpit!$C$6))),CC1593)/BS1593,0)*BS1593</f>
        <v>226</v>
      </c>
      <c r="AK1593" s="58" t="n">
        <f aca="false">IF(AH1593&gt;0,J1593/AH1593,-1)</f>
        <v>0</v>
      </c>
      <c r="AL1593" s="58" t="n">
        <f aca="false">IF(AND(OR(BY1593="L1",BY1593="L23"),AH1593&gt;0),SUMIFS($AH$7:$AH$1843,$BY$7:$BY$1843,BY1593,$AK$7:$AK$1843,"&gt;"&amp;AK1593)+SUMIFS($AH$7:$AH$1843,$BY$7:$BY$1843,BY1593,$AK$7:$AK$1843,AK1593,$BQ$7:$BQ$1843,"&lt;="&amp;BQ1593),"")</f>
        <v>85.6870967197054</v>
      </c>
      <c r="AM1593" s="65" t="n">
        <f aca="false">IF(AL1593="",0,MAX(0,MIN(1,(IF(BY1593="L1",Parameter!$E$5,Parameter!$E$6+Parameter!$E$7)-(AL1593-AH1593))/AH1593)))</f>
        <v>1</v>
      </c>
      <c r="AN1593" s="57" t="n">
        <f aca="false">IF(LEFT(Cockpit!$I$5,1)="A",H1593,IF(CA1593=1,CB1593,IF(LEFT(Cockpit!$I$5,1)="B",AR1593,MAX(AR1593,H1593))))</f>
        <v>226</v>
      </c>
      <c r="AO1593" s="57" t="n">
        <f aca="false">IF(BT1593=1,0,ROUNDUP(AN1593/BS1593,0))</f>
        <v>1</v>
      </c>
      <c r="AP1593" s="59" t="n">
        <f aca="false">IF(CH1593&gt;0,CH1593*MAX(1,AN1593/X1593),IF(BT1593=1,IF(AN1593&lt;=0,0,BW1593*MAX(1,IF(H1593&gt;0,AN1593/H1593,1))),IF(R1593&gt;0,AO1593/R1593,0))/MAX(0.1,N(Parameter!$M$21)))</f>
        <v>0.0833333333333333</v>
      </c>
      <c r="AQ1593" s="57" t="n">
        <f aca="false">AN1593*G1593</f>
        <v>526.58</v>
      </c>
      <c r="AR1593" s="57" t="n">
        <f aca="false">ROUNDUP(MAX(J1593/IF(BZ1593&gt;0,BZ1593,MAX(0.1,N(Cockpit!$I$6))),CC1593)/BS1593,0)*BS1593</f>
        <v>226</v>
      </c>
      <c r="AS1593" s="58" t="n">
        <f aca="false">IF(AP1593&gt;0,J1593/AP1593,-1)</f>
        <v>0</v>
      </c>
      <c r="AT1593" s="58" t="n">
        <f aca="false">IF(AND(OR(BY1593="L1",BY1593="L23"),AP1593&gt;0),SUMIFS($AP$7:$AP$1843,$BY$7:$BY$1843,BY1593,$AS$7:$AS$1843,"&gt;"&amp;AS1593)+SUMIFS($AP$7:$AP$1843,$BY$7:$BY$1843,BY1593,$AS$7:$AS$1843,AS1593,$BQ$7:$BQ$1843,"&lt;="&amp;BQ1593),"")</f>
        <v>130.939233471842</v>
      </c>
      <c r="AU1593" s="65" t="n">
        <f aca="false">IF(AT1593="",0,MAX(0,MIN(1,(IF(BY1593="L1",Parameter!$E$5,Parameter!$E$6+Parameter!$E$7)-(AT1593-AP1593))/AP1593)))</f>
        <v>0</v>
      </c>
      <c r="AV1593" s="57" t="n">
        <f aca="false">IF(LEFT(Cockpit!$O$5,1)="A",H1593,IF(CA1593=1,CB1593,IF(LEFT(Cockpit!$O$5,1)="B",AZ1593,MAX(AZ1593,H1593))))</f>
        <v>226</v>
      </c>
      <c r="AW1593" s="57" t="n">
        <f aca="false">IF(BT1593=1,0,ROUNDUP(AV1593/BS1593,0))</f>
        <v>1</v>
      </c>
      <c r="AX1593" s="59" t="n">
        <f aca="false">IF(CH1593&gt;0,CH1593*MAX(1,AV1593/X1593),IF(BT1593=1,IF(AV1593&lt;=0,0,BW1593*MAX(1,IF(H1593&gt;0,AV1593/H1593,1))),IF(R1593&gt;0,AW1593/R1593,0))/MAX(0.1,N(Parameter!$M$21)))</f>
        <v>0.0833333333333333</v>
      </c>
      <c r="AY1593" s="57" t="n">
        <f aca="false">AV1593*G1593</f>
        <v>526.58</v>
      </c>
      <c r="AZ1593" s="57" t="n">
        <f aca="false">ROUNDUP(MAX(J1593/IF(BZ1593&gt;0,BZ1593,MAX(0.1,N(Cockpit!$O$6))),CC1593)/BS1593,0)*BS1593</f>
        <v>226</v>
      </c>
      <c r="BA1593" s="58" t="n">
        <f aca="false">IF(AX1593&gt;0,J1593/AX1593,-1)</f>
        <v>0</v>
      </c>
      <c r="BB1593" s="58" t="n">
        <f aca="false">IF(AND(OR(BY1593="L1",BY1593="L23"),AX1593&gt;0),SUMIFS($AX$7:$AX$1843,$BY$7:$BY$1843,BY1593,$BA$7:$BA$1843,"&gt;"&amp;BA1593)+SUMIFS($AX$7:$AX$1843,$BY$7:$BY$1843,BY1593,$BA$7:$BA$1843,BA1593,$BQ$7:$BQ$1843,"&lt;="&amp;BQ1593),"")</f>
        <v>121.769070301679</v>
      </c>
      <c r="BC1593" s="65" t="n">
        <f aca="false">IF(BB1593="",0,MAX(0,MIN(1,(IF(BY1593="L1",Parameter!$E$5,Parameter!$E$6+Parameter!$E$7)-(BB1593-AX1593))/AX1593)))</f>
        <v>0</v>
      </c>
      <c r="BD1593" s="55" t="str">
        <f aca="false">IF(AH1593&lt;=0,"",IF(BY1593="Aussen","Aussenlager",IF(BY1593="-","Nicht im Lift",IF(AM1593&gt;=1,"Lift",IF(AM1593&lt;=0,"Aussenlager","teilweise")))))</f>
        <v>Lift</v>
      </c>
      <c r="BE1593" s="55" t="str">
        <f aca="false">IF(AP1593&lt;=0,"",IF(BY1593="Aussen","Aussenlager",IF(BY1593="-","Nicht im Lift",IF(AU1593&gt;=1,"Lift",IF(AU1593&lt;=0,"Aussenlager","teilweise")))))</f>
        <v>Aussenlager</v>
      </c>
      <c r="BF1593" s="55" t="str">
        <f aca="false">IF(AX1593&lt;=0,"",IF(BY1593="Aussen","Aussenlager",IF(BY1593="-","Nicht im Lift",IF(BC1593&gt;=1,"Lift",IF(BC1593&lt;=0,"Aussenlager","teilweise")))))</f>
        <v>Aussenlager</v>
      </c>
      <c r="BG1593" s="55" t="str">
        <f aca="false">IF(A1593="","",IF(BP1593=1,"Neu; ","")&amp;IF(AND(BP1593=0,BK1593&lt;0),"negativer Bestand (Export "&amp;BK1593&amp;"); ","")&amp;IF(J1593&lt;=0,"Kein Verbrauch; ","")&amp;IF(CH1593&gt;0,"Lift "&amp;W1593&amp;" lt. Liftbericht (Fach "&amp;X1593&amp;" Stk); ",IF(BU1593=1,"Gebinde geschätzt ("&amp;T1593&amp;"); ",IF(BT1593=1,"Lose – Tablare geschätzt; ","")))&amp;IF(H1593&gt;AR1593,"Überbestand "&amp;ROUND(H1593-AR1593,0)&amp;" Stk / CHF "&amp;ROUND((H1593-AR1593)*G1593,0)&amp;"; ","")&amp;IF(AND(CA1593=1,CB1593&lt;CC1593),"MAX &lt; MB+LG; ","")&amp;IF(AND(CG1593&gt;0,CF1593*10&gt;CG1593),"zu hoch für Tablar; ","")&amp;IF(AND(BP1593=0,OR(CA1593=1,AA1593&lt;&gt;"",U1593&lt;&gt;"",V1593&lt;&gt;"",AB1593&lt;&gt;"")),"manuell übersteuert; ","")&amp;IF(AND(BT1593=0,R1593=0),"Gebinde unbekannt / Stellmass fehlt; ","")&amp;IF(AND(BT1593=0,N(V1593)&lt;=0,N(Q1593)&lt;=0),"Menge pro Gebinde fehlt (Ist = 1 Gebinde); ","")&amp;BO1593)</f>
        <v>Kein Verbrauch; Gebinde geschätzt (Mittel); Menge pro Gebinde fehlt (Ist = 1 Gebinde); nur im Artikelstamm (Bestand 23.06.2026)</v>
      </c>
      <c r="BH1593" s="55"/>
      <c r="BI1593" s="55"/>
      <c r="BJ1593" s="62"/>
      <c r="BK1593" s="57" t="n">
        <v>226</v>
      </c>
      <c r="BL1593" s="57" t="n">
        <v>0</v>
      </c>
      <c r="BM1593" s="56" t="n">
        <v>0</v>
      </c>
      <c r="BN1593" s="57" t="n">
        <v>0</v>
      </c>
      <c r="BO1593" s="55" t="s">
        <v>2575</v>
      </c>
      <c r="BP1593" s="60" t="n">
        <v>0</v>
      </c>
      <c r="BQ1593" s="60" t="n">
        <v>1593</v>
      </c>
      <c r="BR1593" s="55" t="str">
        <f aca="false">IF(U1593&lt;&gt;"",UPPER(TRIM(U1593)),IF(BU1593=1,UPPER(VLOOKUP(T1593,Parameter!$I$27:$K$29,2,0)),IF(P1593="","LOSE",P1593)))</f>
        <v>S61</v>
      </c>
      <c r="BS1593" s="57" t="n">
        <f aca="false">IF(BR1593="LOSE",1,IF(N(V1593)&gt;0,V1593,IF(BU1593=1,MAX(1,N(VLOOKUP(T1593,Parameter!$I$27:$K$29,3,0)),H1593,N(N1593)),IF(N(Q1593)&gt;0,Q1593,MAX(1,H1593)))))</f>
        <v>226</v>
      </c>
      <c r="BT1593" s="60" t="n">
        <f aca="false">IF(BR1593="LOSE",1,0)</f>
        <v>0</v>
      </c>
      <c r="BU1593" s="60" t="n">
        <f aca="false">IF(AND(U1593="",OR(P1593="",P1593="LOSE"),T1593&lt;&gt;"",N(S1593)&lt;=0,ISNUMBER(MATCH(T1593,Parameter!$I$27:$I$29,0))),1,0)</f>
        <v>1</v>
      </c>
      <c r="BV1593" s="55" t="str">
        <f aca="false">IF(AND(Parameter!$B$19="Ja",E1593&lt;&gt;"",ISNUMBER(MATCH(E1593,Parameter!$I$35:$I$52,0))),VLOOKUP(E1593,Parameter!$I$35:$J$52,2,0),IFERROR(VLOOKUP(D1593,Parameter!$A$35:$C$64,2,0),"Nein"))</f>
        <v>2+3</v>
      </c>
      <c r="BW1593" s="59" t="n">
        <f aca="false">IF(BT1593=0,0,IF(N(S1593)&gt;0,S1593,IFERROR(VLOOKUP(D1593,Parameter!$A$35:$C$64,3,0)+0,0)))</f>
        <v>0</v>
      </c>
      <c r="BX1593" s="55" t="n">
        <f aca="false">IF(AA1593&lt;&gt;"",AA1593,Z1593)</f>
        <v>2</v>
      </c>
      <c r="BY1593" s="55" t="str">
        <f aca="false">IF(BX1593=1,"L1",IF(OR(BX1593=2,BX1593=3),"L23",IF(BX1593="Aussen","Aussen","-")))</f>
        <v>L23</v>
      </c>
      <c r="BZ1593" s="66" t="n">
        <f aca="false">IF(N(AB1593)&gt;0,AB1593,0)</f>
        <v>0</v>
      </c>
      <c r="CA1593" s="60" t="n">
        <f aca="false">IF(ISNUMBER(AE1593),1,0)</f>
        <v>0</v>
      </c>
      <c r="CB1593" s="57" t="n">
        <f aca="false">N(AE1593)</f>
        <v>0</v>
      </c>
      <c r="CC1593" s="57" t="n">
        <f aca="false">N(M1593)+N(N1593)</f>
        <v>100</v>
      </c>
      <c r="CD1593" s="57" t="n">
        <f aca="false">ROUNDUP(H1593/BS1593,0)</f>
        <v>1</v>
      </c>
      <c r="CE1593" s="57" t="n">
        <f aca="false">ROUNDUP(CB1593/BS1593,0)</f>
        <v>0</v>
      </c>
      <c r="CF1593" s="60" t="n">
        <f aca="false">IF(BT1593=1,0,IFERROR(VLOOKUP(BR1593,'Gebinde-Kategorie'!$A$5:$M$45,5,0)+0,0))</f>
        <v>11</v>
      </c>
      <c r="CG1593" s="60" t="n">
        <f aca="false">IFERROR(IF(OR(BX1593=1,BX1593=2,BX1593=3),N(INDEX(Parameter!$I$5:$I$7,BX1593)),0),0)</f>
        <v>0</v>
      </c>
      <c r="CH1593" s="59" t="n">
        <f aca="false">IF(AND(Parameter!$B$21="Ja",ISNUMBER(W1593),N(X1593)&gt;0),IFERROR(N(INDEX(Parameter!$L$5:$L$7,W1593))*INDEX(Parameter!$E$5:$E$7,W1593)*X1593/SUMIFS($X$7:$X$1843,$W$7:$W$1843,W1593),0),0)</f>
        <v>0</v>
      </c>
    </row>
    <row r="1594" customFormat="false" ht="15" hidden="false" customHeight="false" outlineLevel="0" collapsed="false">
      <c r="A1594" s="55" t="s">
        <v>2779</v>
      </c>
      <c r="B1594" s="55" t="s">
        <v>2780</v>
      </c>
      <c r="C1594" s="55" t="s">
        <v>164</v>
      </c>
      <c r="D1594" s="55" t="s">
        <v>173</v>
      </c>
      <c r="E1594" s="55"/>
      <c r="F1594" s="55"/>
      <c r="G1594" s="56" t="n">
        <v>1.67</v>
      </c>
      <c r="H1594" s="57" t="n">
        <f aca="false">MAX(0,IF(AND(Parameter!$B$21="Ja",ISNUMBER(Y1594)),Y1594,IF(Parameter!$B$20="Jahresanfang 2025 + Export",BL1594+BK1594,BK1594)))</f>
        <v>800</v>
      </c>
      <c r="I1594" s="57" t="n">
        <f aca="false">H1594*G1594</f>
        <v>1336</v>
      </c>
      <c r="J1594" s="57" t="n">
        <f aca="false">BN1594*Parameter!$B$18</f>
        <v>0</v>
      </c>
      <c r="K1594" s="58"/>
      <c r="L1594" s="59"/>
      <c r="M1594" s="57" t="n">
        <v>0</v>
      </c>
      <c r="N1594" s="57" t="n">
        <v>100</v>
      </c>
      <c r="O1594" s="60" t="n">
        <v>35</v>
      </c>
      <c r="P1594" s="55" t="s">
        <v>168</v>
      </c>
      <c r="Q1594" s="57"/>
      <c r="R1594" s="60" t="n">
        <f aca="false">IF(BT1594=1,0,IFERROR(VLOOKUP(BR1594,'Gebinde-Kategorie'!$A$5:$M$45,13,0)+0,0))</f>
        <v>12</v>
      </c>
      <c r="S1594" s="61"/>
      <c r="T1594" s="62" t="s">
        <v>179</v>
      </c>
      <c r="U1594" s="62"/>
      <c r="V1594" s="62"/>
      <c r="W1594" s="55"/>
      <c r="X1594" s="57"/>
      <c r="Y1594" s="57"/>
      <c r="Z1594" s="55" t="n">
        <f aca="false">IF(A1594="","",IF(AND(Parameter!$B$21="Ja",ISNUMBER(W1594)),W1594,IF(BV1594="2+3",IF(ISNUMBER(SEARCH("grosser Artikel",BO1594)),2,IFERROR(VLOOKUP(BR1594,Parameter!$F$35:$G$64,2,0),2)),IF(OR(BV1594="Nein",BV1594=""),"-",BV1594))))</f>
        <v>2</v>
      </c>
      <c r="AA1594" s="62"/>
      <c r="AB1594" s="63"/>
      <c r="AC1594" s="57" t="n">
        <f aca="false">AR1594</f>
        <v>800</v>
      </c>
      <c r="AD1594" s="57" t="n">
        <f aca="false">MAX(AR1594,H1594)</f>
        <v>800</v>
      </c>
      <c r="AE1594" s="64"/>
      <c r="AF1594" s="57" t="n">
        <f aca="false">IF(LEFT(Cockpit!$C$5,1)="A",H1594,IF(CA1594=1,CB1594,IF(LEFT(Cockpit!$C$5,1)="B",AJ1594,MAX(AJ1594,H1594))))</f>
        <v>800</v>
      </c>
      <c r="AG1594" s="57" t="n">
        <f aca="false">IF(BT1594=1,0,ROUNDUP(AF1594/BS1594,0))</f>
        <v>1</v>
      </c>
      <c r="AH1594" s="59" t="n">
        <f aca="false">IF(CH1594&gt;0,CH1594*MAX(1,AF1594/X1594),IF(BT1594=1,IF(AF1594&lt;=0,0,BW1594*MAX(1,IF(H1594&gt;0,AF1594/H1594,1))),IF(R1594&gt;0,AG1594/R1594,0))/MAX(0.1,N(Parameter!$M$21)))</f>
        <v>0.0833333333333333</v>
      </c>
      <c r="AI1594" s="57" t="n">
        <f aca="false">AF1594*G1594</f>
        <v>1336</v>
      </c>
      <c r="AJ1594" s="57" t="n">
        <f aca="false">ROUNDUP(MAX(J1594/IF(BZ1594&gt;0,BZ1594,MAX(0.1,N(Cockpit!$C$6))),CC1594)/BS1594,0)*BS1594</f>
        <v>800</v>
      </c>
      <c r="AK1594" s="58" t="n">
        <f aca="false">IF(AH1594&gt;0,J1594/AH1594,-1)</f>
        <v>0</v>
      </c>
      <c r="AL1594" s="58" t="n">
        <f aca="false">IF(AND(OR(BY1594="L1",BY1594="L23"),AH1594&gt;0),SUMIFS($AH$7:$AH$1843,$BY$7:$BY$1843,BY1594,$AK$7:$AK$1843,"&gt;"&amp;AK1594)+SUMIFS($AH$7:$AH$1843,$BY$7:$BY$1843,BY1594,$AK$7:$AK$1843,AK1594,$BQ$7:$BQ$1843,"&lt;="&amp;BQ1594),"")</f>
        <v>85.7704300530388</v>
      </c>
      <c r="AM1594" s="65" t="n">
        <f aca="false">IF(AL1594="",0,MAX(0,MIN(1,(IF(BY1594="L1",Parameter!$E$5,Parameter!$E$6+Parameter!$E$7)-(AL1594-AH1594))/AH1594)))</f>
        <v>1</v>
      </c>
      <c r="AN1594" s="57" t="n">
        <f aca="false">IF(LEFT(Cockpit!$I$5,1)="A",H1594,IF(CA1594=1,CB1594,IF(LEFT(Cockpit!$I$5,1)="B",AR1594,MAX(AR1594,H1594))))</f>
        <v>800</v>
      </c>
      <c r="AO1594" s="57" t="n">
        <f aca="false">IF(BT1594=1,0,ROUNDUP(AN1594/BS1594,0))</f>
        <v>1</v>
      </c>
      <c r="AP1594" s="59" t="n">
        <f aca="false">IF(CH1594&gt;0,CH1594*MAX(1,AN1594/X1594),IF(BT1594=1,IF(AN1594&lt;=0,0,BW1594*MAX(1,IF(H1594&gt;0,AN1594/H1594,1))),IF(R1594&gt;0,AO1594/R1594,0))/MAX(0.1,N(Parameter!$M$21)))</f>
        <v>0.0833333333333333</v>
      </c>
      <c r="AQ1594" s="57" t="n">
        <f aca="false">AN1594*G1594</f>
        <v>1336</v>
      </c>
      <c r="AR1594" s="57" t="n">
        <f aca="false">ROUNDUP(MAX(J1594/IF(BZ1594&gt;0,BZ1594,MAX(0.1,N(Cockpit!$I$6))),CC1594)/BS1594,0)*BS1594</f>
        <v>800</v>
      </c>
      <c r="AS1594" s="58" t="n">
        <f aca="false">IF(AP1594&gt;0,J1594/AP1594,-1)</f>
        <v>0</v>
      </c>
      <c r="AT1594" s="58" t="n">
        <f aca="false">IF(AND(OR(BY1594="L1",BY1594="L23"),AP1594&gt;0),SUMIFS($AP$7:$AP$1843,$BY$7:$BY$1843,BY1594,$AS$7:$AS$1843,"&gt;"&amp;AS1594)+SUMIFS($AP$7:$AP$1843,$BY$7:$BY$1843,BY1594,$AS$7:$AS$1843,AS1594,$BQ$7:$BQ$1843,"&lt;="&amp;BQ1594),"")</f>
        <v>131.022566805176</v>
      </c>
      <c r="AU1594" s="65" t="n">
        <f aca="false">IF(AT1594="",0,MAX(0,MIN(1,(IF(BY1594="L1",Parameter!$E$5,Parameter!$E$6+Parameter!$E$7)-(AT1594-AP1594))/AP1594)))</f>
        <v>0</v>
      </c>
      <c r="AV1594" s="57" t="n">
        <f aca="false">IF(LEFT(Cockpit!$O$5,1)="A",H1594,IF(CA1594=1,CB1594,IF(LEFT(Cockpit!$O$5,1)="B",AZ1594,MAX(AZ1594,H1594))))</f>
        <v>800</v>
      </c>
      <c r="AW1594" s="57" t="n">
        <f aca="false">IF(BT1594=1,0,ROUNDUP(AV1594/BS1594,0))</f>
        <v>1</v>
      </c>
      <c r="AX1594" s="59" t="n">
        <f aca="false">IF(CH1594&gt;0,CH1594*MAX(1,AV1594/X1594),IF(BT1594=1,IF(AV1594&lt;=0,0,BW1594*MAX(1,IF(H1594&gt;0,AV1594/H1594,1))),IF(R1594&gt;0,AW1594/R1594,0))/MAX(0.1,N(Parameter!$M$21)))</f>
        <v>0.0833333333333333</v>
      </c>
      <c r="AY1594" s="57" t="n">
        <f aca="false">AV1594*G1594</f>
        <v>1336</v>
      </c>
      <c r="AZ1594" s="57" t="n">
        <f aca="false">ROUNDUP(MAX(J1594/IF(BZ1594&gt;0,BZ1594,MAX(0.1,N(Cockpit!$O$6))),CC1594)/BS1594,0)*BS1594</f>
        <v>800</v>
      </c>
      <c r="BA1594" s="58" t="n">
        <f aca="false">IF(AX1594&gt;0,J1594/AX1594,-1)</f>
        <v>0</v>
      </c>
      <c r="BB1594" s="58" t="n">
        <f aca="false">IF(AND(OR(BY1594="L1",BY1594="L23"),AX1594&gt;0),SUMIFS($AX$7:$AX$1843,$BY$7:$BY$1843,BY1594,$BA$7:$BA$1843,"&gt;"&amp;BA1594)+SUMIFS($AX$7:$AX$1843,$BY$7:$BY$1843,BY1594,$BA$7:$BA$1843,BA1594,$BQ$7:$BQ$1843,"&lt;="&amp;BQ1594),"")</f>
        <v>121.852403635012</v>
      </c>
      <c r="BC1594" s="65" t="n">
        <f aca="false">IF(BB1594="",0,MAX(0,MIN(1,(IF(BY1594="L1",Parameter!$E$5,Parameter!$E$6+Parameter!$E$7)-(BB1594-AX1594))/AX1594)))</f>
        <v>0</v>
      </c>
      <c r="BD1594" s="55" t="str">
        <f aca="false">IF(AH1594&lt;=0,"",IF(BY1594="Aussen","Aussenlager",IF(BY1594="-","Nicht im Lift",IF(AM1594&gt;=1,"Lift",IF(AM1594&lt;=0,"Aussenlager","teilweise")))))</f>
        <v>Lift</v>
      </c>
      <c r="BE1594" s="55" t="str">
        <f aca="false">IF(AP1594&lt;=0,"",IF(BY1594="Aussen","Aussenlager",IF(BY1594="-","Nicht im Lift",IF(AU1594&gt;=1,"Lift",IF(AU1594&lt;=0,"Aussenlager","teilweise")))))</f>
        <v>Aussenlager</v>
      </c>
      <c r="BF1594" s="55" t="str">
        <f aca="false">IF(AX1594&lt;=0,"",IF(BY1594="Aussen","Aussenlager",IF(BY1594="-","Nicht im Lift",IF(BC1594&gt;=1,"Lift",IF(BC1594&lt;=0,"Aussenlager","teilweise")))))</f>
        <v>Aussenlager</v>
      </c>
      <c r="BG1594" s="55" t="str">
        <f aca="false">IF(A1594="","",IF(BP1594=1,"Neu; ","")&amp;IF(AND(BP1594=0,BK1594&lt;0),"negativer Bestand (Export "&amp;BK1594&amp;"); ","")&amp;IF(J1594&lt;=0,"Kein Verbrauch; ","")&amp;IF(CH1594&gt;0,"Lift "&amp;W1594&amp;" lt. Liftbericht (Fach "&amp;X1594&amp;" Stk); ",IF(BU1594=1,"Gebinde geschätzt ("&amp;T1594&amp;"); ",IF(BT1594=1,"Lose – Tablare geschätzt; ","")))&amp;IF(H1594&gt;AR1594,"Überbestand "&amp;ROUND(H1594-AR1594,0)&amp;" Stk / CHF "&amp;ROUND((H1594-AR1594)*G1594,0)&amp;"; ","")&amp;IF(AND(CA1594=1,CB1594&lt;CC1594),"MAX &lt; MB+LG; ","")&amp;IF(AND(CG1594&gt;0,CF1594*10&gt;CG1594),"zu hoch für Tablar; ","")&amp;IF(AND(BP1594=0,OR(CA1594=1,AA1594&lt;&gt;"",U1594&lt;&gt;"",V1594&lt;&gt;"",AB1594&lt;&gt;"")),"manuell übersteuert; ","")&amp;IF(AND(BT1594=0,R1594=0),"Gebinde unbekannt / Stellmass fehlt; ","")&amp;IF(AND(BT1594=0,N(V1594)&lt;=0,N(Q1594)&lt;=0),"Menge pro Gebinde fehlt (Ist = 1 Gebinde); ","")&amp;BO1594)</f>
        <v>Kein Verbrauch; Gebinde geschätzt (Mittel); Menge pro Gebinde fehlt (Ist = 1 Gebinde); nur im Artikelstamm (Bestand 23.06.2026)</v>
      </c>
      <c r="BH1594" s="55"/>
      <c r="BI1594" s="55"/>
      <c r="BJ1594" s="62"/>
      <c r="BK1594" s="57" t="n">
        <v>800</v>
      </c>
      <c r="BL1594" s="57" t="n">
        <v>0</v>
      </c>
      <c r="BM1594" s="56" t="n">
        <v>0</v>
      </c>
      <c r="BN1594" s="57" t="n">
        <v>0</v>
      </c>
      <c r="BO1594" s="55" t="s">
        <v>2575</v>
      </c>
      <c r="BP1594" s="60" t="n">
        <v>0</v>
      </c>
      <c r="BQ1594" s="60" t="n">
        <v>1594</v>
      </c>
      <c r="BR1594" s="55" t="str">
        <f aca="false">IF(U1594&lt;&gt;"",UPPER(TRIM(U1594)),IF(BU1594=1,UPPER(VLOOKUP(T1594,Parameter!$I$27:$K$29,2,0)),IF(P1594="","LOSE",P1594)))</f>
        <v>S61</v>
      </c>
      <c r="BS1594" s="57" t="n">
        <f aca="false">IF(BR1594="LOSE",1,IF(N(V1594)&gt;0,V1594,IF(BU1594=1,MAX(1,N(VLOOKUP(T1594,Parameter!$I$27:$K$29,3,0)),H1594,N(N1594)),IF(N(Q1594)&gt;0,Q1594,MAX(1,H1594)))))</f>
        <v>800</v>
      </c>
      <c r="BT1594" s="60" t="n">
        <f aca="false">IF(BR1594="LOSE",1,0)</f>
        <v>0</v>
      </c>
      <c r="BU1594" s="60" t="n">
        <f aca="false">IF(AND(U1594="",OR(P1594="",P1594="LOSE"),T1594&lt;&gt;"",N(S1594)&lt;=0,ISNUMBER(MATCH(T1594,Parameter!$I$27:$I$29,0))),1,0)</f>
        <v>1</v>
      </c>
      <c r="BV1594" s="55" t="str">
        <f aca="false">IF(AND(Parameter!$B$19="Ja",E1594&lt;&gt;"",ISNUMBER(MATCH(E1594,Parameter!$I$35:$I$52,0))),VLOOKUP(E1594,Parameter!$I$35:$J$52,2,0),IFERROR(VLOOKUP(D1594,Parameter!$A$35:$C$64,2,0),"Nein"))</f>
        <v>2+3</v>
      </c>
      <c r="BW1594" s="59" t="n">
        <f aca="false">IF(BT1594=0,0,IF(N(S1594)&gt;0,S1594,IFERROR(VLOOKUP(D1594,Parameter!$A$35:$C$64,3,0)+0,0)))</f>
        <v>0</v>
      </c>
      <c r="BX1594" s="55" t="n">
        <f aca="false">IF(AA1594&lt;&gt;"",AA1594,Z1594)</f>
        <v>2</v>
      </c>
      <c r="BY1594" s="55" t="str">
        <f aca="false">IF(BX1594=1,"L1",IF(OR(BX1594=2,BX1594=3),"L23",IF(BX1594="Aussen","Aussen","-")))</f>
        <v>L23</v>
      </c>
      <c r="BZ1594" s="66" t="n">
        <f aca="false">IF(N(AB1594)&gt;0,AB1594,0)</f>
        <v>0</v>
      </c>
      <c r="CA1594" s="60" t="n">
        <f aca="false">IF(ISNUMBER(AE1594),1,0)</f>
        <v>0</v>
      </c>
      <c r="CB1594" s="57" t="n">
        <f aca="false">N(AE1594)</f>
        <v>0</v>
      </c>
      <c r="CC1594" s="57" t="n">
        <f aca="false">N(M1594)+N(N1594)</f>
        <v>100</v>
      </c>
      <c r="CD1594" s="57" t="n">
        <f aca="false">ROUNDUP(H1594/BS1594,0)</f>
        <v>1</v>
      </c>
      <c r="CE1594" s="57" t="n">
        <f aca="false">ROUNDUP(CB1594/BS1594,0)</f>
        <v>0</v>
      </c>
      <c r="CF1594" s="60" t="n">
        <f aca="false">IF(BT1594=1,0,IFERROR(VLOOKUP(BR1594,'Gebinde-Kategorie'!$A$5:$M$45,5,0)+0,0))</f>
        <v>11</v>
      </c>
      <c r="CG1594" s="60" t="n">
        <f aca="false">IFERROR(IF(OR(BX1594=1,BX1594=2,BX1594=3),N(INDEX(Parameter!$I$5:$I$7,BX1594)),0),0)</f>
        <v>0</v>
      </c>
      <c r="CH1594" s="59" t="n">
        <f aca="false">IF(AND(Parameter!$B$21="Ja",ISNUMBER(W1594),N(X1594)&gt;0),IFERROR(N(INDEX(Parameter!$L$5:$L$7,W1594))*INDEX(Parameter!$E$5:$E$7,W1594)*X1594/SUMIFS($X$7:$X$1843,$W$7:$W$1843,W1594),0),0)</f>
        <v>0</v>
      </c>
    </row>
    <row r="1595" customFormat="false" ht="15" hidden="false" customHeight="false" outlineLevel="0" collapsed="false">
      <c r="A1595" s="55" t="s">
        <v>2781</v>
      </c>
      <c r="B1595" s="55" t="s">
        <v>509</v>
      </c>
      <c r="C1595" s="55" t="s">
        <v>164</v>
      </c>
      <c r="D1595" s="55" t="s">
        <v>173</v>
      </c>
      <c r="E1595" s="55" t="s">
        <v>173</v>
      </c>
      <c r="F1595" s="55"/>
      <c r="G1595" s="56" t="n">
        <v>444.6</v>
      </c>
      <c r="H1595" s="57" t="n">
        <f aca="false">MAX(0,IF(AND(Parameter!$B$21="Ja",ISNUMBER(Y1595)),Y1595,IF(Parameter!$B$20="Jahresanfang 2025 + Export",BL1595+BK1595,BK1595)))</f>
        <v>1</v>
      </c>
      <c r="I1595" s="57" t="n">
        <f aca="false">H1595*G1595</f>
        <v>444.6</v>
      </c>
      <c r="J1595" s="57" t="n">
        <f aca="false">BN1595*Parameter!$B$18</f>
        <v>0</v>
      </c>
      <c r="K1595" s="58"/>
      <c r="L1595" s="59"/>
      <c r="M1595" s="57" t="n">
        <v>0</v>
      </c>
      <c r="N1595" s="57" t="n">
        <v>1</v>
      </c>
      <c r="O1595" s="60" t="n">
        <v>28</v>
      </c>
      <c r="P1595" s="55" t="s">
        <v>168</v>
      </c>
      <c r="Q1595" s="57"/>
      <c r="R1595" s="60" t="n">
        <f aca="false">IF(BT1595=1,0,IFERROR(VLOOKUP(BR1595,'Gebinde-Kategorie'!$A$5:$M$45,13,0)+0,0))</f>
        <v>12</v>
      </c>
      <c r="S1595" s="61"/>
      <c r="T1595" s="62" t="s">
        <v>179</v>
      </c>
      <c r="U1595" s="62"/>
      <c r="V1595" s="62"/>
      <c r="W1595" s="55"/>
      <c r="X1595" s="57"/>
      <c r="Y1595" s="57"/>
      <c r="Z1595" s="55" t="str">
        <f aca="false">IF(A1595="","",IF(AND(Parameter!$B$21="Ja",ISNUMBER(W1595)),W1595,IF(BV1595="2+3",IF(ISNUMBER(SEARCH("grosser Artikel",BO1595)),2,IFERROR(VLOOKUP(BR1595,Parameter!$F$35:$G$64,2,0),2)),IF(OR(BV1595="Nein",BV1595=""),"-",BV1595))))</f>
        <v>-</v>
      </c>
      <c r="AA1595" s="62"/>
      <c r="AB1595" s="63"/>
      <c r="AC1595" s="57" t="n">
        <f aca="false">AR1595</f>
        <v>4</v>
      </c>
      <c r="AD1595" s="57" t="n">
        <f aca="false">MAX(AR1595,H1595)</f>
        <v>4</v>
      </c>
      <c r="AE1595" s="64"/>
      <c r="AF1595" s="57" t="n">
        <f aca="false">IF(LEFT(Cockpit!$C$5,1)="A",H1595,IF(CA1595=1,CB1595,IF(LEFT(Cockpit!$C$5,1)="B",AJ1595,MAX(AJ1595,H1595))))</f>
        <v>1</v>
      </c>
      <c r="AG1595" s="57" t="n">
        <f aca="false">IF(BT1595=1,0,ROUNDUP(AF1595/BS1595,0))</f>
        <v>1</v>
      </c>
      <c r="AH1595" s="59" t="n">
        <f aca="false">IF(CH1595&gt;0,CH1595*MAX(1,AF1595/X1595),IF(BT1595=1,IF(AF1595&lt;=0,0,BW1595*MAX(1,IF(H1595&gt;0,AF1595/H1595,1))),IF(R1595&gt;0,AG1595/R1595,0))/MAX(0.1,N(Parameter!$M$21)))</f>
        <v>0.0833333333333333</v>
      </c>
      <c r="AI1595" s="57" t="n">
        <f aca="false">AF1595*G1595</f>
        <v>444.6</v>
      </c>
      <c r="AJ1595" s="57" t="n">
        <f aca="false">ROUNDUP(MAX(J1595/IF(BZ1595&gt;0,BZ1595,MAX(0.1,N(Cockpit!$C$6))),CC1595)/BS1595,0)*BS1595</f>
        <v>4</v>
      </c>
      <c r="AK1595" s="58" t="n">
        <f aca="false">IF(AH1595&gt;0,J1595/AH1595,-1)</f>
        <v>0</v>
      </c>
      <c r="AL1595" s="58" t="str">
        <f aca="false">IF(AND(OR(BY1595="L1",BY1595="L23"),AH1595&gt;0),SUMIFS($AH$7:$AH$1843,$BY$7:$BY$1843,BY1595,$AK$7:$AK$1843,"&gt;"&amp;AK1595)+SUMIFS($AH$7:$AH$1843,$BY$7:$BY$1843,BY1595,$AK$7:$AK$1843,AK1595,$BQ$7:$BQ$1843,"&lt;="&amp;BQ1595),"")</f>
        <v/>
      </c>
      <c r="AM1595" s="65" t="n">
        <f aca="false">IF(AL1595="",0,MAX(0,MIN(1,(IF(BY1595="L1",Parameter!$E$5,Parameter!$E$6+Parameter!$E$7)-(AL1595-AH1595))/AH1595)))</f>
        <v>0</v>
      </c>
      <c r="AN1595" s="57" t="n">
        <f aca="false">IF(LEFT(Cockpit!$I$5,1)="A",H1595,IF(CA1595=1,CB1595,IF(LEFT(Cockpit!$I$5,1)="B",AR1595,MAX(AR1595,H1595))))</f>
        <v>4</v>
      </c>
      <c r="AO1595" s="57" t="n">
        <f aca="false">IF(BT1595=1,0,ROUNDUP(AN1595/BS1595,0))</f>
        <v>1</v>
      </c>
      <c r="AP1595" s="59" t="n">
        <f aca="false">IF(CH1595&gt;0,CH1595*MAX(1,AN1595/X1595),IF(BT1595=1,IF(AN1595&lt;=0,0,BW1595*MAX(1,IF(H1595&gt;0,AN1595/H1595,1))),IF(R1595&gt;0,AO1595/R1595,0))/MAX(0.1,N(Parameter!$M$21)))</f>
        <v>0.0833333333333333</v>
      </c>
      <c r="AQ1595" s="57" t="n">
        <f aca="false">AN1595*G1595</f>
        <v>1778.4</v>
      </c>
      <c r="AR1595" s="57" t="n">
        <f aca="false">ROUNDUP(MAX(J1595/IF(BZ1595&gt;0,BZ1595,MAX(0.1,N(Cockpit!$I$6))),CC1595)/BS1595,0)*BS1595</f>
        <v>4</v>
      </c>
      <c r="AS1595" s="58" t="n">
        <f aca="false">IF(AP1595&gt;0,J1595/AP1595,-1)</f>
        <v>0</v>
      </c>
      <c r="AT1595" s="58" t="str">
        <f aca="false">IF(AND(OR(BY1595="L1",BY1595="L23"),AP1595&gt;0),SUMIFS($AP$7:$AP$1843,$BY$7:$BY$1843,BY1595,$AS$7:$AS$1843,"&gt;"&amp;AS1595)+SUMIFS($AP$7:$AP$1843,$BY$7:$BY$1843,BY1595,$AS$7:$AS$1843,AS1595,$BQ$7:$BQ$1843,"&lt;="&amp;BQ1595),"")</f>
        <v/>
      </c>
      <c r="AU1595" s="65" t="n">
        <f aca="false">IF(AT1595="",0,MAX(0,MIN(1,(IF(BY1595="L1",Parameter!$E$5,Parameter!$E$6+Parameter!$E$7)-(AT1595-AP1595))/AP1595)))</f>
        <v>0</v>
      </c>
      <c r="AV1595" s="57" t="n">
        <f aca="false">IF(LEFT(Cockpit!$O$5,1)="A",H1595,IF(CA1595=1,CB1595,IF(LEFT(Cockpit!$O$5,1)="B",AZ1595,MAX(AZ1595,H1595))))</f>
        <v>4</v>
      </c>
      <c r="AW1595" s="57" t="n">
        <f aca="false">IF(BT1595=1,0,ROUNDUP(AV1595/BS1595,0))</f>
        <v>1</v>
      </c>
      <c r="AX1595" s="59" t="n">
        <f aca="false">IF(CH1595&gt;0,CH1595*MAX(1,AV1595/X1595),IF(BT1595=1,IF(AV1595&lt;=0,0,BW1595*MAX(1,IF(H1595&gt;0,AV1595/H1595,1))),IF(R1595&gt;0,AW1595/R1595,0))/MAX(0.1,N(Parameter!$M$21)))</f>
        <v>0.0833333333333333</v>
      </c>
      <c r="AY1595" s="57" t="n">
        <f aca="false">AV1595*G1595</f>
        <v>1778.4</v>
      </c>
      <c r="AZ1595" s="57" t="n">
        <f aca="false">ROUNDUP(MAX(J1595/IF(BZ1595&gt;0,BZ1595,MAX(0.1,N(Cockpit!$O$6))),CC1595)/BS1595,0)*BS1595</f>
        <v>4</v>
      </c>
      <c r="BA1595" s="58" t="n">
        <f aca="false">IF(AX1595&gt;0,J1595/AX1595,-1)</f>
        <v>0</v>
      </c>
      <c r="BB1595" s="58" t="str">
        <f aca="false">IF(AND(OR(BY1595="L1",BY1595="L23"),AX1595&gt;0),SUMIFS($AX$7:$AX$1843,$BY$7:$BY$1843,BY1595,$BA$7:$BA$1843,"&gt;"&amp;BA1595)+SUMIFS($AX$7:$AX$1843,$BY$7:$BY$1843,BY1595,$BA$7:$BA$1843,BA1595,$BQ$7:$BQ$1843,"&lt;="&amp;BQ1595),"")</f>
        <v/>
      </c>
      <c r="BC1595" s="65" t="n">
        <f aca="false">IF(BB1595="",0,MAX(0,MIN(1,(IF(BY1595="L1",Parameter!$E$5,Parameter!$E$6+Parameter!$E$7)-(BB1595-AX1595))/AX1595)))</f>
        <v>0</v>
      </c>
      <c r="BD1595" s="55" t="str">
        <f aca="false">IF(AH1595&lt;=0,"",IF(BY1595="Aussen","Aussenlager",IF(BY1595="-","Nicht im Lift",IF(AM1595&gt;=1,"Lift",IF(AM1595&lt;=0,"Aussenlager","teilweise")))))</f>
        <v>Nicht im Lift</v>
      </c>
      <c r="BE1595" s="55" t="str">
        <f aca="false">IF(AP1595&lt;=0,"",IF(BY1595="Aussen","Aussenlager",IF(BY1595="-","Nicht im Lift",IF(AU1595&gt;=1,"Lift",IF(AU1595&lt;=0,"Aussenlager","teilweise")))))</f>
        <v>Nicht im Lift</v>
      </c>
      <c r="BF1595" s="55" t="str">
        <f aca="false">IF(AX1595&lt;=0,"",IF(BY1595="Aussen","Aussenlager",IF(BY1595="-","Nicht im Lift",IF(BC1595&gt;=1,"Lift",IF(BC1595&lt;=0,"Aussenlager","teilweise")))))</f>
        <v>Nicht im Lift</v>
      </c>
      <c r="BG1595" s="55" t="str">
        <f aca="false">IF(A1595="","",IF(BP1595=1,"Neu; ","")&amp;IF(AND(BP1595=0,BK1595&lt;0),"negativer Bestand (Export "&amp;BK1595&amp;"); ","")&amp;IF(J1595&lt;=0,"Kein Verbrauch; ","")&amp;IF(CH1595&gt;0,"Lift "&amp;W1595&amp;" lt. Liftbericht (Fach "&amp;X1595&amp;" Stk); ",IF(BU1595=1,"Gebinde geschätzt ("&amp;T1595&amp;"); ",IF(BT1595=1,"Lose – Tablare geschätzt; ","")))&amp;IF(H1595&gt;AR1595,"Überbestand "&amp;ROUND(H1595-AR1595,0)&amp;" Stk / CHF "&amp;ROUND((H1595-AR1595)*G1595,0)&amp;"; ","")&amp;IF(AND(CA1595=1,CB1595&lt;CC1595),"MAX &lt; MB+LG; ","")&amp;IF(AND(CG1595&gt;0,CF1595*10&gt;CG1595),"zu hoch für Tablar; ","")&amp;IF(AND(BP1595=0,OR(CA1595=1,AA1595&lt;&gt;"",U1595&lt;&gt;"",V1595&lt;&gt;"",AB1595&lt;&gt;"")),"manuell übersteuert; ","")&amp;IF(AND(BT1595=0,R1595=0),"Gebinde unbekannt / Stellmass fehlt; ","")&amp;IF(AND(BT1595=0,N(V1595)&lt;=0,N(Q1595)&lt;=0),"Menge pro Gebinde fehlt (Ist = 1 Gebinde); ","")&amp;BO1595)</f>
        <v>Kein Verbrauch; Gebinde geschätzt (Mittel); Menge pro Gebinde fehlt (Ist = 1 Gebinde); nur im Artikelstamm (Bestand 23.06.2026)</v>
      </c>
      <c r="BH1595" s="55"/>
      <c r="BI1595" s="55"/>
      <c r="BJ1595" s="62"/>
      <c r="BK1595" s="57" t="n">
        <v>1</v>
      </c>
      <c r="BL1595" s="57" t="n">
        <v>0</v>
      </c>
      <c r="BM1595" s="56" t="n">
        <v>0</v>
      </c>
      <c r="BN1595" s="57" t="n">
        <v>0</v>
      </c>
      <c r="BO1595" s="55" t="s">
        <v>2575</v>
      </c>
      <c r="BP1595" s="60" t="n">
        <v>0</v>
      </c>
      <c r="BQ1595" s="60" t="n">
        <v>1595</v>
      </c>
      <c r="BR1595" s="55" t="str">
        <f aca="false">IF(U1595&lt;&gt;"",UPPER(TRIM(U1595)),IF(BU1595=1,UPPER(VLOOKUP(T1595,Parameter!$I$27:$K$29,2,0)),IF(P1595="","LOSE",P1595)))</f>
        <v>S61</v>
      </c>
      <c r="BS1595" s="57" t="n">
        <f aca="false">IF(BR1595="LOSE",1,IF(N(V1595)&gt;0,V1595,IF(BU1595=1,MAX(1,N(VLOOKUP(T1595,Parameter!$I$27:$K$29,3,0)),H1595,N(N1595)),IF(N(Q1595)&gt;0,Q1595,MAX(1,H1595)))))</f>
        <v>4</v>
      </c>
      <c r="BT1595" s="60" t="n">
        <f aca="false">IF(BR1595="LOSE",1,0)</f>
        <v>0</v>
      </c>
      <c r="BU1595" s="60" t="n">
        <f aca="false">IF(AND(U1595="",OR(P1595="",P1595="LOSE"),T1595&lt;&gt;"",N(S1595)&lt;=0,ISNUMBER(MATCH(T1595,Parameter!$I$27:$I$29,0))),1,0)</f>
        <v>1</v>
      </c>
      <c r="BV1595" s="55" t="str">
        <f aca="false">IF(AND(Parameter!$B$19="Ja",E1595&lt;&gt;"",ISNUMBER(MATCH(E1595,Parameter!$I$35:$I$52,0))),VLOOKUP(E1595,Parameter!$I$35:$J$52,2,0),IFERROR(VLOOKUP(D1595,Parameter!$A$35:$C$64,2,0),"Nein"))</f>
        <v>Nein</v>
      </c>
      <c r="BW1595" s="59" t="n">
        <f aca="false">IF(BT1595=0,0,IF(N(S1595)&gt;0,S1595,IFERROR(VLOOKUP(D1595,Parameter!$A$35:$C$64,3,0)+0,0)))</f>
        <v>0</v>
      </c>
      <c r="BX1595" s="55" t="str">
        <f aca="false">IF(AA1595&lt;&gt;"",AA1595,Z1595)</f>
        <v>-</v>
      </c>
      <c r="BY1595" s="55" t="str">
        <f aca="false">IF(BX1595=1,"L1",IF(OR(BX1595=2,BX1595=3),"L23",IF(BX1595="Aussen","Aussen","-")))</f>
        <v>-</v>
      </c>
      <c r="BZ1595" s="66" t="n">
        <f aca="false">IF(N(AB1595)&gt;0,AB1595,0)</f>
        <v>0</v>
      </c>
      <c r="CA1595" s="60" t="n">
        <f aca="false">IF(ISNUMBER(AE1595),1,0)</f>
        <v>0</v>
      </c>
      <c r="CB1595" s="57" t="n">
        <f aca="false">N(AE1595)</f>
        <v>0</v>
      </c>
      <c r="CC1595" s="57" t="n">
        <f aca="false">N(M1595)+N(N1595)</f>
        <v>1</v>
      </c>
      <c r="CD1595" s="57" t="n">
        <f aca="false">ROUNDUP(H1595/BS1595,0)</f>
        <v>1</v>
      </c>
      <c r="CE1595" s="57" t="n">
        <f aca="false">ROUNDUP(CB1595/BS1595,0)</f>
        <v>0</v>
      </c>
      <c r="CF1595" s="60" t="n">
        <f aca="false">IF(BT1595=1,0,IFERROR(VLOOKUP(BR1595,'Gebinde-Kategorie'!$A$5:$M$45,5,0)+0,0))</f>
        <v>11</v>
      </c>
      <c r="CG1595" s="60" t="n">
        <f aca="false">IFERROR(IF(OR(BX1595=1,BX1595=2,BX1595=3),N(INDEX(Parameter!$I$5:$I$7,BX1595)),0),0)</f>
        <v>0</v>
      </c>
      <c r="CH1595" s="59" t="n">
        <f aca="false">IF(AND(Parameter!$B$21="Ja",ISNUMBER(W1595),N(X1595)&gt;0),IFERROR(N(INDEX(Parameter!$L$5:$L$7,W1595))*INDEX(Parameter!$E$5:$E$7,W1595)*X1595/SUMIFS($X$7:$X$1843,$W$7:$W$1843,W1595),0),0)</f>
        <v>0</v>
      </c>
    </row>
    <row r="1596" customFormat="false" ht="15" hidden="false" customHeight="false" outlineLevel="0" collapsed="false">
      <c r="A1596" s="55" t="s">
        <v>2782</v>
      </c>
      <c r="B1596" s="55" t="s">
        <v>698</v>
      </c>
      <c r="C1596" s="55" t="s">
        <v>164</v>
      </c>
      <c r="D1596" s="55" t="s">
        <v>173</v>
      </c>
      <c r="E1596" s="55" t="s">
        <v>173</v>
      </c>
      <c r="F1596" s="55"/>
      <c r="G1596" s="56" t="n">
        <v>444.6</v>
      </c>
      <c r="H1596" s="57" t="n">
        <f aca="false">MAX(0,IF(AND(Parameter!$B$21="Ja",ISNUMBER(Y1596)),Y1596,IF(Parameter!$B$20="Jahresanfang 2025 + Export",BL1596+BK1596,BK1596)))</f>
        <v>1</v>
      </c>
      <c r="I1596" s="57" t="n">
        <f aca="false">H1596*G1596</f>
        <v>444.6</v>
      </c>
      <c r="J1596" s="57" t="n">
        <f aca="false">BN1596*Parameter!$B$18</f>
        <v>0</v>
      </c>
      <c r="K1596" s="58"/>
      <c r="L1596" s="59"/>
      <c r="M1596" s="57" t="n">
        <v>0</v>
      </c>
      <c r="N1596" s="57" t="n">
        <v>1</v>
      </c>
      <c r="O1596" s="60" t="n">
        <v>28</v>
      </c>
      <c r="P1596" s="55" t="s">
        <v>168</v>
      </c>
      <c r="Q1596" s="57"/>
      <c r="R1596" s="60" t="n">
        <f aca="false">IF(BT1596=1,0,IFERROR(VLOOKUP(BR1596,'Gebinde-Kategorie'!$A$5:$M$45,13,0)+0,0))</f>
        <v>12</v>
      </c>
      <c r="S1596" s="61"/>
      <c r="T1596" s="62" t="s">
        <v>179</v>
      </c>
      <c r="U1596" s="62"/>
      <c r="V1596" s="62"/>
      <c r="W1596" s="55"/>
      <c r="X1596" s="57"/>
      <c r="Y1596" s="57"/>
      <c r="Z1596" s="55" t="str">
        <f aca="false">IF(A1596="","",IF(AND(Parameter!$B$21="Ja",ISNUMBER(W1596)),W1596,IF(BV1596="2+3",IF(ISNUMBER(SEARCH("grosser Artikel",BO1596)),2,IFERROR(VLOOKUP(BR1596,Parameter!$F$35:$G$64,2,0),2)),IF(OR(BV1596="Nein",BV1596=""),"-",BV1596))))</f>
        <v>-</v>
      </c>
      <c r="AA1596" s="62"/>
      <c r="AB1596" s="63"/>
      <c r="AC1596" s="57" t="n">
        <f aca="false">AR1596</f>
        <v>4</v>
      </c>
      <c r="AD1596" s="57" t="n">
        <f aca="false">MAX(AR1596,H1596)</f>
        <v>4</v>
      </c>
      <c r="AE1596" s="64"/>
      <c r="AF1596" s="57" t="n">
        <f aca="false">IF(LEFT(Cockpit!$C$5,1)="A",H1596,IF(CA1596=1,CB1596,IF(LEFT(Cockpit!$C$5,1)="B",AJ1596,MAX(AJ1596,H1596))))</f>
        <v>1</v>
      </c>
      <c r="AG1596" s="57" t="n">
        <f aca="false">IF(BT1596=1,0,ROUNDUP(AF1596/BS1596,0))</f>
        <v>1</v>
      </c>
      <c r="AH1596" s="59" t="n">
        <f aca="false">IF(CH1596&gt;0,CH1596*MAX(1,AF1596/X1596),IF(BT1596=1,IF(AF1596&lt;=0,0,BW1596*MAX(1,IF(H1596&gt;0,AF1596/H1596,1))),IF(R1596&gt;0,AG1596/R1596,0))/MAX(0.1,N(Parameter!$M$21)))</f>
        <v>0.0833333333333333</v>
      </c>
      <c r="AI1596" s="57" t="n">
        <f aca="false">AF1596*G1596</f>
        <v>444.6</v>
      </c>
      <c r="AJ1596" s="57" t="n">
        <f aca="false">ROUNDUP(MAX(J1596/IF(BZ1596&gt;0,BZ1596,MAX(0.1,N(Cockpit!$C$6))),CC1596)/BS1596,0)*BS1596</f>
        <v>4</v>
      </c>
      <c r="AK1596" s="58" t="n">
        <f aca="false">IF(AH1596&gt;0,J1596/AH1596,-1)</f>
        <v>0</v>
      </c>
      <c r="AL1596" s="58" t="str">
        <f aca="false">IF(AND(OR(BY1596="L1",BY1596="L23"),AH1596&gt;0),SUMIFS($AH$7:$AH$1843,$BY$7:$BY$1843,BY1596,$AK$7:$AK$1843,"&gt;"&amp;AK1596)+SUMIFS($AH$7:$AH$1843,$BY$7:$BY$1843,BY1596,$AK$7:$AK$1843,AK1596,$BQ$7:$BQ$1843,"&lt;="&amp;BQ1596),"")</f>
        <v/>
      </c>
      <c r="AM1596" s="65" t="n">
        <f aca="false">IF(AL1596="",0,MAX(0,MIN(1,(IF(BY1596="L1",Parameter!$E$5,Parameter!$E$6+Parameter!$E$7)-(AL1596-AH1596))/AH1596)))</f>
        <v>0</v>
      </c>
      <c r="AN1596" s="57" t="n">
        <f aca="false">IF(LEFT(Cockpit!$I$5,1)="A",H1596,IF(CA1596=1,CB1596,IF(LEFT(Cockpit!$I$5,1)="B",AR1596,MAX(AR1596,H1596))))</f>
        <v>4</v>
      </c>
      <c r="AO1596" s="57" t="n">
        <f aca="false">IF(BT1596=1,0,ROUNDUP(AN1596/BS1596,0))</f>
        <v>1</v>
      </c>
      <c r="AP1596" s="59" t="n">
        <f aca="false">IF(CH1596&gt;0,CH1596*MAX(1,AN1596/X1596),IF(BT1596=1,IF(AN1596&lt;=0,0,BW1596*MAX(1,IF(H1596&gt;0,AN1596/H1596,1))),IF(R1596&gt;0,AO1596/R1596,0))/MAX(0.1,N(Parameter!$M$21)))</f>
        <v>0.0833333333333333</v>
      </c>
      <c r="AQ1596" s="57" t="n">
        <f aca="false">AN1596*G1596</f>
        <v>1778.4</v>
      </c>
      <c r="AR1596" s="57" t="n">
        <f aca="false">ROUNDUP(MAX(J1596/IF(BZ1596&gt;0,BZ1596,MAX(0.1,N(Cockpit!$I$6))),CC1596)/BS1596,0)*BS1596</f>
        <v>4</v>
      </c>
      <c r="AS1596" s="58" t="n">
        <f aca="false">IF(AP1596&gt;0,J1596/AP1596,-1)</f>
        <v>0</v>
      </c>
      <c r="AT1596" s="58" t="str">
        <f aca="false">IF(AND(OR(BY1596="L1",BY1596="L23"),AP1596&gt;0),SUMIFS($AP$7:$AP$1843,$BY$7:$BY$1843,BY1596,$AS$7:$AS$1843,"&gt;"&amp;AS1596)+SUMIFS($AP$7:$AP$1843,$BY$7:$BY$1843,BY1596,$AS$7:$AS$1843,AS1596,$BQ$7:$BQ$1843,"&lt;="&amp;BQ1596),"")</f>
        <v/>
      </c>
      <c r="AU1596" s="65" t="n">
        <f aca="false">IF(AT1596="",0,MAX(0,MIN(1,(IF(BY1596="L1",Parameter!$E$5,Parameter!$E$6+Parameter!$E$7)-(AT1596-AP1596))/AP1596)))</f>
        <v>0</v>
      </c>
      <c r="AV1596" s="57" t="n">
        <f aca="false">IF(LEFT(Cockpit!$O$5,1)="A",H1596,IF(CA1596=1,CB1596,IF(LEFT(Cockpit!$O$5,1)="B",AZ1596,MAX(AZ1596,H1596))))</f>
        <v>4</v>
      </c>
      <c r="AW1596" s="57" t="n">
        <f aca="false">IF(BT1596=1,0,ROUNDUP(AV1596/BS1596,0))</f>
        <v>1</v>
      </c>
      <c r="AX1596" s="59" t="n">
        <f aca="false">IF(CH1596&gt;0,CH1596*MAX(1,AV1596/X1596),IF(BT1596=1,IF(AV1596&lt;=0,0,BW1596*MAX(1,IF(H1596&gt;0,AV1596/H1596,1))),IF(R1596&gt;0,AW1596/R1596,0))/MAX(0.1,N(Parameter!$M$21)))</f>
        <v>0.0833333333333333</v>
      </c>
      <c r="AY1596" s="57" t="n">
        <f aca="false">AV1596*G1596</f>
        <v>1778.4</v>
      </c>
      <c r="AZ1596" s="57" t="n">
        <f aca="false">ROUNDUP(MAX(J1596/IF(BZ1596&gt;0,BZ1596,MAX(0.1,N(Cockpit!$O$6))),CC1596)/BS1596,0)*BS1596</f>
        <v>4</v>
      </c>
      <c r="BA1596" s="58" t="n">
        <f aca="false">IF(AX1596&gt;0,J1596/AX1596,-1)</f>
        <v>0</v>
      </c>
      <c r="BB1596" s="58" t="str">
        <f aca="false">IF(AND(OR(BY1596="L1",BY1596="L23"),AX1596&gt;0),SUMIFS($AX$7:$AX$1843,$BY$7:$BY$1843,BY1596,$BA$7:$BA$1843,"&gt;"&amp;BA1596)+SUMIFS($AX$7:$AX$1843,$BY$7:$BY$1843,BY1596,$BA$7:$BA$1843,BA1596,$BQ$7:$BQ$1843,"&lt;="&amp;BQ1596),"")</f>
        <v/>
      </c>
      <c r="BC1596" s="65" t="n">
        <f aca="false">IF(BB1596="",0,MAX(0,MIN(1,(IF(BY1596="L1",Parameter!$E$5,Parameter!$E$6+Parameter!$E$7)-(BB1596-AX1596))/AX1596)))</f>
        <v>0</v>
      </c>
      <c r="BD1596" s="55" t="str">
        <f aca="false">IF(AH1596&lt;=0,"",IF(BY1596="Aussen","Aussenlager",IF(BY1596="-","Nicht im Lift",IF(AM1596&gt;=1,"Lift",IF(AM1596&lt;=0,"Aussenlager","teilweise")))))</f>
        <v>Nicht im Lift</v>
      </c>
      <c r="BE1596" s="55" t="str">
        <f aca="false">IF(AP1596&lt;=0,"",IF(BY1596="Aussen","Aussenlager",IF(BY1596="-","Nicht im Lift",IF(AU1596&gt;=1,"Lift",IF(AU1596&lt;=0,"Aussenlager","teilweise")))))</f>
        <v>Nicht im Lift</v>
      </c>
      <c r="BF1596" s="55" t="str">
        <f aca="false">IF(AX1596&lt;=0,"",IF(BY1596="Aussen","Aussenlager",IF(BY1596="-","Nicht im Lift",IF(BC1596&gt;=1,"Lift",IF(BC1596&lt;=0,"Aussenlager","teilweise")))))</f>
        <v>Nicht im Lift</v>
      </c>
      <c r="BG1596" s="55" t="str">
        <f aca="false">IF(A1596="","",IF(BP1596=1,"Neu; ","")&amp;IF(AND(BP1596=0,BK1596&lt;0),"negativer Bestand (Export "&amp;BK1596&amp;"); ","")&amp;IF(J1596&lt;=0,"Kein Verbrauch; ","")&amp;IF(CH1596&gt;0,"Lift "&amp;W1596&amp;" lt. Liftbericht (Fach "&amp;X1596&amp;" Stk); ",IF(BU1596=1,"Gebinde geschätzt ("&amp;T1596&amp;"); ",IF(BT1596=1,"Lose – Tablare geschätzt; ","")))&amp;IF(H1596&gt;AR1596,"Überbestand "&amp;ROUND(H1596-AR1596,0)&amp;" Stk / CHF "&amp;ROUND((H1596-AR1596)*G1596,0)&amp;"; ","")&amp;IF(AND(CA1596=1,CB1596&lt;CC1596),"MAX &lt; MB+LG; ","")&amp;IF(AND(CG1596&gt;0,CF1596*10&gt;CG1596),"zu hoch für Tablar; ","")&amp;IF(AND(BP1596=0,OR(CA1596=1,AA1596&lt;&gt;"",U1596&lt;&gt;"",V1596&lt;&gt;"",AB1596&lt;&gt;"")),"manuell übersteuert; ","")&amp;IF(AND(BT1596=0,R1596=0),"Gebinde unbekannt / Stellmass fehlt; ","")&amp;IF(AND(BT1596=0,N(V1596)&lt;=0,N(Q1596)&lt;=0),"Menge pro Gebinde fehlt (Ist = 1 Gebinde); ","")&amp;BO1596)</f>
        <v>Kein Verbrauch; Gebinde geschätzt (Mittel); Menge pro Gebinde fehlt (Ist = 1 Gebinde); nur im Artikelstamm (Bestand 23.06.2026)</v>
      </c>
      <c r="BH1596" s="55"/>
      <c r="BI1596" s="55"/>
      <c r="BJ1596" s="62"/>
      <c r="BK1596" s="57" t="n">
        <v>1</v>
      </c>
      <c r="BL1596" s="57" t="n">
        <v>0</v>
      </c>
      <c r="BM1596" s="56" t="n">
        <v>0</v>
      </c>
      <c r="BN1596" s="57" t="n">
        <v>0</v>
      </c>
      <c r="BO1596" s="55" t="s">
        <v>2575</v>
      </c>
      <c r="BP1596" s="60" t="n">
        <v>0</v>
      </c>
      <c r="BQ1596" s="60" t="n">
        <v>1596</v>
      </c>
      <c r="BR1596" s="55" t="str">
        <f aca="false">IF(U1596&lt;&gt;"",UPPER(TRIM(U1596)),IF(BU1596=1,UPPER(VLOOKUP(T1596,Parameter!$I$27:$K$29,2,0)),IF(P1596="","LOSE",P1596)))</f>
        <v>S61</v>
      </c>
      <c r="BS1596" s="57" t="n">
        <f aca="false">IF(BR1596="LOSE",1,IF(N(V1596)&gt;0,V1596,IF(BU1596=1,MAX(1,N(VLOOKUP(T1596,Parameter!$I$27:$K$29,3,0)),H1596,N(N1596)),IF(N(Q1596)&gt;0,Q1596,MAX(1,H1596)))))</f>
        <v>4</v>
      </c>
      <c r="BT1596" s="60" t="n">
        <f aca="false">IF(BR1596="LOSE",1,0)</f>
        <v>0</v>
      </c>
      <c r="BU1596" s="60" t="n">
        <f aca="false">IF(AND(U1596="",OR(P1596="",P1596="LOSE"),T1596&lt;&gt;"",N(S1596)&lt;=0,ISNUMBER(MATCH(T1596,Parameter!$I$27:$I$29,0))),1,0)</f>
        <v>1</v>
      </c>
      <c r="BV1596" s="55" t="str">
        <f aca="false">IF(AND(Parameter!$B$19="Ja",E1596&lt;&gt;"",ISNUMBER(MATCH(E1596,Parameter!$I$35:$I$52,0))),VLOOKUP(E1596,Parameter!$I$35:$J$52,2,0),IFERROR(VLOOKUP(D1596,Parameter!$A$35:$C$64,2,0),"Nein"))</f>
        <v>Nein</v>
      </c>
      <c r="BW1596" s="59" t="n">
        <f aca="false">IF(BT1596=0,0,IF(N(S1596)&gt;0,S1596,IFERROR(VLOOKUP(D1596,Parameter!$A$35:$C$64,3,0)+0,0)))</f>
        <v>0</v>
      </c>
      <c r="BX1596" s="55" t="str">
        <f aca="false">IF(AA1596&lt;&gt;"",AA1596,Z1596)</f>
        <v>-</v>
      </c>
      <c r="BY1596" s="55" t="str">
        <f aca="false">IF(BX1596=1,"L1",IF(OR(BX1596=2,BX1596=3),"L23",IF(BX1596="Aussen","Aussen","-")))</f>
        <v>-</v>
      </c>
      <c r="BZ1596" s="66" t="n">
        <f aca="false">IF(N(AB1596)&gt;0,AB1596,0)</f>
        <v>0</v>
      </c>
      <c r="CA1596" s="60" t="n">
        <f aca="false">IF(ISNUMBER(AE1596),1,0)</f>
        <v>0</v>
      </c>
      <c r="CB1596" s="57" t="n">
        <f aca="false">N(AE1596)</f>
        <v>0</v>
      </c>
      <c r="CC1596" s="57" t="n">
        <f aca="false">N(M1596)+N(N1596)</f>
        <v>1</v>
      </c>
      <c r="CD1596" s="57" t="n">
        <f aca="false">ROUNDUP(H1596/BS1596,0)</f>
        <v>1</v>
      </c>
      <c r="CE1596" s="57" t="n">
        <f aca="false">ROUNDUP(CB1596/BS1596,0)</f>
        <v>0</v>
      </c>
      <c r="CF1596" s="60" t="n">
        <f aca="false">IF(BT1596=1,0,IFERROR(VLOOKUP(BR1596,'Gebinde-Kategorie'!$A$5:$M$45,5,0)+0,0))</f>
        <v>11</v>
      </c>
      <c r="CG1596" s="60" t="n">
        <f aca="false">IFERROR(IF(OR(BX1596=1,BX1596=2,BX1596=3),N(INDEX(Parameter!$I$5:$I$7,BX1596)),0),0)</f>
        <v>0</v>
      </c>
      <c r="CH1596" s="59" t="n">
        <f aca="false">IF(AND(Parameter!$B$21="Ja",ISNUMBER(W1596),N(X1596)&gt;0),IFERROR(N(INDEX(Parameter!$L$5:$L$7,W1596))*INDEX(Parameter!$E$5:$E$7,W1596)*X1596/SUMIFS($X$7:$X$1843,$W$7:$W$1843,W1596),0),0)</f>
        <v>0</v>
      </c>
    </row>
    <row r="1597" customFormat="false" ht="15" hidden="false" customHeight="false" outlineLevel="0" collapsed="false">
      <c r="A1597" s="55" t="s">
        <v>2783</v>
      </c>
      <c r="B1597" s="55" t="s">
        <v>2784</v>
      </c>
      <c r="C1597" s="55" t="s">
        <v>164</v>
      </c>
      <c r="D1597" s="55" t="s">
        <v>184</v>
      </c>
      <c r="E1597" s="55"/>
      <c r="F1597" s="55"/>
      <c r="G1597" s="56" t="n">
        <v>356.24</v>
      </c>
      <c r="H1597" s="57" t="n">
        <f aca="false">MAX(0,IF(AND(Parameter!$B$21="Ja",ISNUMBER(Y1597)),Y1597,IF(Parameter!$B$20="Jahresanfang 2025 + Export",BL1597+BK1597,BK1597)))</f>
        <v>2</v>
      </c>
      <c r="I1597" s="57" t="n">
        <f aca="false">H1597*G1597</f>
        <v>712.48</v>
      </c>
      <c r="J1597" s="57" t="n">
        <f aca="false">BN1597*Parameter!$B$18</f>
        <v>0</v>
      </c>
      <c r="K1597" s="58"/>
      <c r="L1597" s="59"/>
      <c r="M1597" s="57" t="n">
        <v>0</v>
      </c>
      <c r="N1597" s="57" t="n">
        <v>1</v>
      </c>
      <c r="O1597" s="60" t="n">
        <v>35</v>
      </c>
      <c r="P1597" s="55" t="s">
        <v>168</v>
      </c>
      <c r="Q1597" s="57"/>
      <c r="R1597" s="60" t="n">
        <f aca="false">IF(BT1597=1,0,IFERROR(VLOOKUP(BR1597,'Gebinde-Kategorie'!$A$5:$M$45,13,0)+0,0))</f>
        <v>26</v>
      </c>
      <c r="S1597" s="61"/>
      <c r="T1597" s="62" t="s">
        <v>275</v>
      </c>
      <c r="U1597" s="62"/>
      <c r="V1597" s="62"/>
      <c r="W1597" s="55"/>
      <c r="X1597" s="57"/>
      <c r="Y1597" s="57"/>
      <c r="Z1597" s="55" t="n">
        <f aca="false">IF(A1597="","",IF(AND(Parameter!$B$21="Ja",ISNUMBER(W1597)),W1597,IF(BV1597="2+3",IF(ISNUMBER(SEARCH("grosser Artikel",BO1597)),2,IFERROR(VLOOKUP(BR1597,Parameter!$F$35:$G$64,2,0),2)),IF(OR(BV1597="Nein",BV1597=""),"-",BV1597))))</f>
        <v>3</v>
      </c>
      <c r="AA1597" s="62"/>
      <c r="AB1597" s="63"/>
      <c r="AC1597" s="57" t="n">
        <f aca="false">AR1597</f>
        <v>20</v>
      </c>
      <c r="AD1597" s="57" t="n">
        <f aca="false">MAX(AR1597,H1597)</f>
        <v>20</v>
      </c>
      <c r="AE1597" s="64"/>
      <c r="AF1597" s="57" t="n">
        <f aca="false">IF(LEFT(Cockpit!$C$5,1)="A",H1597,IF(CA1597=1,CB1597,IF(LEFT(Cockpit!$C$5,1)="B",AJ1597,MAX(AJ1597,H1597))))</f>
        <v>2</v>
      </c>
      <c r="AG1597" s="57" t="n">
        <f aca="false">IF(BT1597=1,0,ROUNDUP(AF1597/BS1597,0))</f>
        <v>1</v>
      </c>
      <c r="AH1597" s="59" t="n">
        <f aca="false">IF(CH1597&gt;0,CH1597*MAX(1,AF1597/X1597),IF(BT1597=1,IF(AF1597&lt;=0,0,BW1597*MAX(1,IF(H1597&gt;0,AF1597/H1597,1))),IF(R1597&gt;0,AG1597/R1597,0))/MAX(0.1,N(Parameter!$M$21)))</f>
        <v>0.0384615384615385</v>
      </c>
      <c r="AI1597" s="57" t="n">
        <f aca="false">AF1597*G1597</f>
        <v>712.48</v>
      </c>
      <c r="AJ1597" s="57" t="n">
        <f aca="false">ROUNDUP(MAX(J1597/IF(BZ1597&gt;0,BZ1597,MAX(0.1,N(Cockpit!$C$6))),CC1597)/BS1597,0)*BS1597</f>
        <v>20</v>
      </c>
      <c r="AK1597" s="58" t="n">
        <f aca="false">IF(AH1597&gt;0,J1597/AH1597,-1)</f>
        <v>0</v>
      </c>
      <c r="AL1597" s="58" t="n">
        <f aca="false">IF(AND(OR(BY1597="L1",BY1597="L23"),AH1597&gt;0),SUMIFS($AH$7:$AH$1843,$BY$7:$BY$1843,BY1597,$AK$7:$AK$1843,"&gt;"&amp;AK1597)+SUMIFS($AH$7:$AH$1843,$BY$7:$BY$1843,BY1597,$AK$7:$AK$1843,AK1597,$BQ$7:$BQ$1843,"&lt;="&amp;BQ1597),"")</f>
        <v>85.8088915915003</v>
      </c>
      <c r="AM1597" s="65" t="n">
        <f aca="false">IF(AL1597="",0,MAX(0,MIN(1,(IF(BY1597="L1",Parameter!$E$5,Parameter!$E$6+Parameter!$E$7)-(AL1597-AH1597))/AH1597)))</f>
        <v>1</v>
      </c>
      <c r="AN1597" s="57" t="n">
        <f aca="false">IF(LEFT(Cockpit!$I$5,1)="A",H1597,IF(CA1597=1,CB1597,IF(LEFT(Cockpit!$I$5,1)="B",AR1597,MAX(AR1597,H1597))))</f>
        <v>20</v>
      </c>
      <c r="AO1597" s="57" t="n">
        <f aca="false">IF(BT1597=1,0,ROUNDUP(AN1597/BS1597,0))</f>
        <v>1</v>
      </c>
      <c r="AP1597" s="59" t="n">
        <f aca="false">IF(CH1597&gt;0,CH1597*MAX(1,AN1597/X1597),IF(BT1597=1,IF(AN1597&lt;=0,0,BW1597*MAX(1,IF(H1597&gt;0,AN1597/H1597,1))),IF(R1597&gt;0,AO1597/R1597,0))/MAX(0.1,N(Parameter!$M$21)))</f>
        <v>0.0384615384615385</v>
      </c>
      <c r="AQ1597" s="57" t="n">
        <f aca="false">AN1597*G1597</f>
        <v>7124.8</v>
      </c>
      <c r="AR1597" s="57" t="n">
        <f aca="false">ROUNDUP(MAX(J1597/IF(BZ1597&gt;0,BZ1597,MAX(0.1,N(Cockpit!$I$6))),CC1597)/BS1597,0)*BS1597</f>
        <v>20</v>
      </c>
      <c r="AS1597" s="58" t="n">
        <f aca="false">IF(AP1597&gt;0,J1597/AP1597,-1)</f>
        <v>0</v>
      </c>
      <c r="AT1597" s="58" t="n">
        <f aca="false">IF(AND(OR(BY1597="L1",BY1597="L23"),AP1597&gt;0),SUMIFS($AP$7:$AP$1843,$BY$7:$BY$1843,BY1597,$AS$7:$AS$1843,"&gt;"&amp;AS1597)+SUMIFS($AP$7:$AP$1843,$BY$7:$BY$1843,BY1597,$AS$7:$AS$1843,AS1597,$BQ$7:$BQ$1843,"&lt;="&amp;BQ1597),"")</f>
        <v>131.061028343637</v>
      </c>
      <c r="AU1597" s="65" t="n">
        <f aca="false">IF(AT1597="",0,MAX(0,MIN(1,(IF(BY1597="L1",Parameter!$E$5,Parameter!$E$6+Parameter!$E$7)-(AT1597-AP1597))/AP1597)))</f>
        <v>0</v>
      </c>
      <c r="AV1597" s="57" t="n">
        <f aca="false">IF(LEFT(Cockpit!$O$5,1)="A",H1597,IF(CA1597=1,CB1597,IF(LEFT(Cockpit!$O$5,1)="B",AZ1597,MAX(AZ1597,H1597))))</f>
        <v>20</v>
      </c>
      <c r="AW1597" s="57" t="n">
        <f aca="false">IF(BT1597=1,0,ROUNDUP(AV1597/BS1597,0))</f>
        <v>1</v>
      </c>
      <c r="AX1597" s="59" t="n">
        <f aca="false">IF(CH1597&gt;0,CH1597*MAX(1,AV1597/X1597),IF(BT1597=1,IF(AV1597&lt;=0,0,BW1597*MAX(1,IF(H1597&gt;0,AV1597/H1597,1))),IF(R1597&gt;0,AW1597/R1597,0))/MAX(0.1,N(Parameter!$M$21)))</f>
        <v>0.0384615384615385</v>
      </c>
      <c r="AY1597" s="57" t="n">
        <f aca="false">AV1597*G1597</f>
        <v>7124.8</v>
      </c>
      <c r="AZ1597" s="57" t="n">
        <f aca="false">ROUNDUP(MAX(J1597/IF(BZ1597&gt;0,BZ1597,MAX(0.1,N(Cockpit!$O$6))),CC1597)/BS1597,0)*BS1597</f>
        <v>20</v>
      </c>
      <c r="BA1597" s="58" t="n">
        <f aca="false">IF(AX1597&gt;0,J1597/AX1597,-1)</f>
        <v>0</v>
      </c>
      <c r="BB1597" s="58" t="n">
        <f aca="false">IF(AND(OR(BY1597="L1",BY1597="L23"),AX1597&gt;0),SUMIFS($AX$7:$AX$1843,$BY$7:$BY$1843,BY1597,$BA$7:$BA$1843,"&gt;"&amp;BA1597)+SUMIFS($AX$7:$AX$1843,$BY$7:$BY$1843,BY1597,$BA$7:$BA$1843,BA1597,$BQ$7:$BQ$1843,"&lt;="&amp;BQ1597),"")</f>
        <v>121.890865173474</v>
      </c>
      <c r="BC1597" s="65" t="n">
        <f aca="false">IF(BB1597="",0,MAX(0,MIN(1,(IF(BY1597="L1",Parameter!$E$5,Parameter!$E$6+Parameter!$E$7)-(BB1597-AX1597))/AX1597)))</f>
        <v>0</v>
      </c>
      <c r="BD1597" s="55" t="str">
        <f aca="false">IF(AH1597&lt;=0,"",IF(BY1597="Aussen","Aussenlager",IF(BY1597="-","Nicht im Lift",IF(AM1597&gt;=1,"Lift",IF(AM1597&lt;=0,"Aussenlager","teilweise")))))</f>
        <v>Lift</v>
      </c>
      <c r="BE1597" s="55" t="str">
        <f aca="false">IF(AP1597&lt;=0,"",IF(BY1597="Aussen","Aussenlager",IF(BY1597="-","Nicht im Lift",IF(AU1597&gt;=1,"Lift",IF(AU1597&lt;=0,"Aussenlager","teilweise")))))</f>
        <v>Aussenlager</v>
      </c>
      <c r="BF1597" s="55" t="str">
        <f aca="false">IF(AX1597&lt;=0,"",IF(BY1597="Aussen","Aussenlager",IF(BY1597="-","Nicht im Lift",IF(BC1597&gt;=1,"Lift",IF(BC1597&lt;=0,"Aussenlager","teilweise")))))</f>
        <v>Aussenlager</v>
      </c>
      <c r="BG1597" s="55" t="str">
        <f aca="false">IF(A1597="","",IF(BP1597=1,"Neu; ","")&amp;IF(AND(BP1597=0,BK1597&lt;0),"negativer Bestand (Export "&amp;BK1597&amp;"); ","")&amp;IF(J1597&lt;=0,"Kein Verbrauch; ","")&amp;IF(CH1597&gt;0,"Lift "&amp;W1597&amp;" lt. Liftbericht (Fach "&amp;X1597&amp;" Stk); ",IF(BU1597=1,"Gebinde geschätzt ("&amp;T1597&amp;"); ",IF(BT1597=1,"Lose – Tablare geschätzt; ","")))&amp;IF(H1597&gt;AR1597,"Überbestand "&amp;ROUND(H1597-AR1597,0)&amp;" Stk / CHF "&amp;ROUND((H1597-AR1597)*G1597,0)&amp;"; ","")&amp;IF(AND(CA1597=1,CB1597&lt;CC1597),"MAX &lt; MB+LG; ","")&amp;IF(AND(CG1597&gt;0,CF1597*10&gt;CG1597),"zu hoch für Tablar; ","")&amp;IF(AND(BP1597=0,OR(CA1597=1,AA1597&lt;&gt;"",U1597&lt;&gt;"",V1597&lt;&gt;"",AB1597&lt;&gt;"")),"manuell übersteuert; ","")&amp;IF(AND(BT1597=0,R1597=0),"Gebinde unbekannt / Stellmass fehlt; ","")&amp;IF(AND(BT1597=0,N(V1597)&lt;=0,N(Q1597)&lt;=0),"Menge pro Gebinde fehlt (Ist = 1 Gebinde); ","")&amp;BO1597)</f>
        <v>Kein Verbrauch; Gebinde geschätzt (Klein); Menge pro Gebinde fehlt (Ist = 1 Gebinde); nur im Artikelstamm (Bestand 23.06.2026)</v>
      </c>
      <c r="BH1597" s="55"/>
      <c r="BI1597" s="55"/>
      <c r="BJ1597" s="62"/>
      <c r="BK1597" s="57" t="n">
        <v>2</v>
      </c>
      <c r="BL1597" s="57" t="n">
        <v>0</v>
      </c>
      <c r="BM1597" s="56" t="n">
        <v>0</v>
      </c>
      <c r="BN1597" s="57" t="n">
        <v>0</v>
      </c>
      <c r="BO1597" s="55" t="s">
        <v>2575</v>
      </c>
      <c r="BP1597" s="60" t="n">
        <v>0</v>
      </c>
      <c r="BQ1597" s="60" t="n">
        <v>1597</v>
      </c>
      <c r="BR1597" s="55" t="str">
        <f aca="false">IF(U1597&lt;&gt;"",UPPER(TRIM(U1597)),IF(BU1597=1,UPPER(VLOOKUP(T1597,Parameter!$I$27:$K$29,2,0)),IF(P1597="","LOSE",P1597)))</f>
        <v>S51</v>
      </c>
      <c r="BS1597" s="57" t="n">
        <f aca="false">IF(BR1597="LOSE",1,IF(N(V1597)&gt;0,V1597,IF(BU1597=1,MAX(1,N(VLOOKUP(T1597,Parameter!$I$27:$K$29,3,0)),H1597,N(N1597)),IF(N(Q1597)&gt;0,Q1597,MAX(1,H1597)))))</f>
        <v>20</v>
      </c>
      <c r="BT1597" s="60" t="n">
        <f aca="false">IF(BR1597="LOSE",1,0)</f>
        <v>0</v>
      </c>
      <c r="BU1597" s="60" t="n">
        <f aca="false">IF(AND(U1597="",OR(P1597="",P1597="LOSE"),T1597&lt;&gt;"",N(S1597)&lt;=0,ISNUMBER(MATCH(T1597,Parameter!$I$27:$I$29,0))),1,0)</f>
        <v>1</v>
      </c>
      <c r="BV1597" s="55" t="str">
        <f aca="false">IF(AND(Parameter!$B$19="Ja",E1597&lt;&gt;"",ISNUMBER(MATCH(E1597,Parameter!$I$35:$I$52,0))),VLOOKUP(E1597,Parameter!$I$35:$J$52,2,0),IFERROR(VLOOKUP(D1597,Parameter!$A$35:$C$64,2,0),"Nein"))</f>
        <v>2+3</v>
      </c>
      <c r="BW1597" s="59" t="n">
        <f aca="false">IF(BT1597=0,0,IF(N(S1597)&gt;0,S1597,IFERROR(VLOOKUP(D1597,Parameter!$A$35:$C$64,3,0)+0,0)))</f>
        <v>0</v>
      </c>
      <c r="BX1597" s="55" t="n">
        <f aca="false">IF(AA1597&lt;&gt;"",AA1597,Z1597)</f>
        <v>3</v>
      </c>
      <c r="BY1597" s="55" t="str">
        <f aca="false">IF(BX1597=1,"L1",IF(OR(BX1597=2,BX1597=3),"L23",IF(BX1597="Aussen","Aussen","-")))</f>
        <v>L23</v>
      </c>
      <c r="BZ1597" s="66" t="n">
        <f aca="false">IF(N(AB1597)&gt;0,AB1597,0)</f>
        <v>0</v>
      </c>
      <c r="CA1597" s="60" t="n">
        <f aca="false">IF(ISNUMBER(AE1597),1,0)</f>
        <v>0</v>
      </c>
      <c r="CB1597" s="57" t="n">
        <f aca="false">N(AE1597)</f>
        <v>0</v>
      </c>
      <c r="CC1597" s="57" t="n">
        <f aca="false">N(M1597)+N(N1597)</f>
        <v>1</v>
      </c>
      <c r="CD1597" s="57" t="n">
        <f aca="false">ROUNDUP(H1597/BS1597,0)</f>
        <v>1</v>
      </c>
      <c r="CE1597" s="57" t="n">
        <f aca="false">ROUNDUP(CB1597/BS1597,0)</f>
        <v>0</v>
      </c>
      <c r="CF1597" s="60" t="n">
        <f aca="false">IF(BT1597=1,0,IFERROR(VLOOKUP(BR1597,'Gebinde-Kategorie'!$A$5:$M$45,5,0)+0,0))</f>
        <v>11</v>
      </c>
      <c r="CG1597" s="60" t="n">
        <f aca="false">IFERROR(IF(OR(BX1597=1,BX1597=2,BX1597=3),N(INDEX(Parameter!$I$5:$I$7,BX1597)),0),0)</f>
        <v>0</v>
      </c>
      <c r="CH1597" s="59" t="n">
        <f aca="false">IF(AND(Parameter!$B$21="Ja",ISNUMBER(W1597),N(X1597)&gt;0),IFERROR(N(INDEX(Parameter!$L$5:$L$7,W1597))*INDEX(Parameter!$E$5:$E$7,W1597)*X1597/SUMIFS($X$7:$X$1843,$W$7:$W$1843,W1597),0),0)</f>
        <v>0</v>
      </c>
    </row>
    <row r="1598" customFormat="false" ht="15" hidden="false" customHeight="false" outlineLevel="0" collapsed="false">
      <c r="A1598" s="55" t="s">
        <v>2785</v>
      </c>
      <c r="B1598" s="55" t="s">
        <v>2786</v>
      </c>
      <c r="C1598" s="55" t="s">
        <v>164</v>
      </c>
      <c r="D1598" s="55" t="s">
        <v>184</v>
      </c>
      <c r="E1598" s="55"/>
      <c r="F1598" s="55"/>
      <c r="G1598" s="56" t="n">
        <v>7</v>
      </c>
      <c r="H1598" s="57" t="n">
        <f aca="false">MAX(0,IF(AND(Parameter!$B$21="Ja",ISNUMBER(Y1598)),Y1598,IF(Parameter!$B$20="Jahresanfang 2025 + Export",BL1598+BK1598,BK1598)))</f>
        <v>25</v>
      </c>
      <c r="I1598" s="57" t="n">
        <f aca="false">H1598*G1598</f>
        <v>175</v>
      </c>
      <c r="J1598" s="57" t="n">
        <f aca="false">BN1598*Parameter!$B$18</f>
        <v>0</v>
      </c>
      <c r="K1598" s="58"/>
      <c r="L1598" s="59"/>
      <c r="M1598" s="57" t="n">
        <v>0</v>
      </c>
      <c r="N1598" s="57" t="n">
        <v>3</v>
      </c>
      <c r="O1598" s="60" t="n">
        <v>14</v>
      </c>
      <c r="P1598" s="55" t="s">
        <v>168</v>
      </c>
      <c r="Q1598" s="57"/>
      <c r="R1598" s="60" t="n">
        <f aca="false">IF(BT1598=1,0,IFERROR(VLOOKUP(BR1598,'Gebinde-Kategorie'!$A$5:$M$45,13,0)+0,0))</f>
        <v>26</v>
      </c>
      <c r="S1598" s="61"/>
      <c r="T1598" s="62" t="s">
        <v>275</v>
      </c>
      <c r="U1598" s="62"/>
      <c r="V1598" s="62"/>
      <c r="W1598" s="55"/>
      <c r="X1598" s="57"/>
      <c r="Y1598" s="57"/>
      <c r="Z1598" s="55" t="n">
        <f aca="false">IF(A1598="","",IF(AND(Parameter!$B$21="Ja",ISNUMBER(W1598)),W1598,IF(BV1598="2+3",IF(ISNUMBER(SEARCH("grosser Artikel",BO1598)),2,IFERROR(VLOOKUP(BR1598,Parameter!$F$35:$G$64,2,0),2)),IF(OR(BV1598="Nein",BV1598=""),"-",BV1598))))</f>
        <v>3</v>
      </c>
      <c r="AA1598" s="62"/>
      <c r="AB1598" s="63"/>
      <c r="AC1598" s="57" t="n">
        <f aca="false">AR1598</f>
        <v>25</v>
      </c>
      <c r="AD1598" s="57" t="n">
        <f aca="false">MAX(AR1598,H1598)</f>
        <v>25</v>
      </c>
      <c r="AE1598" s="64"/>
      <c r="AF1598" s="57" t="n">
        <f aca="false">IF(LEFT(Cockpit!$C$5,1)="A",H1598,IF(CA1598=1,CB1598,IF(LEFT(Cockpit!$C$5,1)="B",AJ1598,MAX(AJ1598,H1598))))</f>
        <v>25</v>
      </c>
      <c r="AG1598" s="57" t="n">
        <f aca="false">IF(BT1598=1,0,ROUNDUP(AF1598/BS1598,0))</f>
        <v>1</v>
      </c>
      <c r="AH1598" s="59" t="n">
        <f aca="false">IF(CH1598&gt;0,CH1598*MAX(1,AF1598/X1598),IF(BT1598=1,IF(AF1598&lt;=0,0,BW1598*MAX(1,IF(H1598&gt;0,AF1598/H1598,1))),IF(R1598&gt;0,AG1598/R1598,0))/MAX(0.1,N(Parameter!$M$21)))</f>
        <v>0.0384615384615385</v>
      </c>
      <c r="AI1598" s="57" t="n">
        <f aca="false">AF1598*G1598</f>
        <v>175</v>
      </c>
      <c r="AJ1598" s="57" t="n">
        <f aca="false">ROUNDUP(MAX(J1598/IF(BZ1598&gt;0,BZ1598,MAX(0.1,N(Cockpit!$C$6))),CC1598)/BS1598,0)*BS1598</f>
        <v>25</v>
      </c>
      <c r="AK1598" s="58" t="n">
        <f aca="false">IF(AH1598&gt;0,J1598/AH1598,-1)</f>
        <v>0</v>
      </c>
      <c r="AL1598" s="58" t="n">
        <f aca="false">IF(AND(OR(BY1598="L1",BY1598="L23"),AH1598&gt;0),SUMIFS($AH$7:$AH$1843,$BY$7:$BY$1843,BY1598,$AK$7:$AK$1843,"&gt;"&amp;AK1598)+SUMIFS($AH$7:$AH$1843,$BY$7:$BY$1843,BY1598,$AK$7:$AK$1843,AK1598,$BQ$7:$BQ$1843,"&lt;="&amp;BQ1598),"")</f>
        <v>85.8473531299618</v>
      </c>
      <c r="AM1598" s="65" t="n">
        <f aca="false">IF(AL1598="",0,MAX(0,MIN(1,(IF(BY1598="L1",Parameter!$E$5,Parameter!$E$6+Parameter!$E$7)-(AL1598-AH1598))/AH1598)))</f>
        <v>1</v>
      </c>
      <c r="AN1598" s="57" t="n">
        <f aca="false">IF(LEFT(Cockpit!$I$5,1)="A",H1598,IF(CA1598=1,CB1598,IF(LEFT(Cockpit!$I$5,1)="B",AR1598,MAX(AR1598,H1598))))</f>
        <v>25</v>
      </c>
      <c r="AO1598" s="57" t="n">
        <f aca="false">IF(BT1598=1,0,ROUNDUP(AN1598/BS1598,0))</f>
        <v>1</v>
      </c>
      <c r="AP1598" s="59" t="n">
        <f aca="false">IF(CH1598&gt;0,CH1598*MAX(1,AN1598/X1598),IF(BT1598=1,IF(AN1598&lt;=0,0,BW1598*MAX(1,IF(H1598&gt;0,AN1598/H1598,1))),IF(R1598&gt;0,AO1598/R1598,0))/MAX(0.1,N(Parameter!$M$21)))</f>
        <v>0.0384615384615385</v>
      </c>
      <c r="AQ1598" s="57" t="n">
        <f aca="false">AN1598*G1598</f>
        <v>175</v>
      </c>
      <c r="AR1598" s="57" t="n">
        <f aca="false">ROUNDUP(MAX(J1598/IF(BZ1598&gt;0,BZ1598,MAX(0.1,N(Cockpit!$I$6))),CC1598)/BS1598,0)*BS1598</f>
        <v>25</v>
      </c>
      <c r="AS1598" s="58" t="n">
        <f aca="false">IF(AP1598&gt;0,J1598/AP1598,-1)</f>
        <v>0</v>
      </c>
      <c r="AT1598" s="58" t="n">
        <f aca="false">IF(AND(OR(BY1598="L1",BY1598="L23"),AP1598&gt;0),SUMIFS($AP$7:$AP$1843,$BY$7:$BY$1843,BY1598,$AS$7:$AS$1843,"&gt;"&amp;AS1598)+SUMIFS($AP$7:$AP$1843,$BY$7:$BY$1843,BY1598,$AS$7:$AS$1843,AS1598,$BQ$7:$BQ$1843,"&lt;="&amp;BQ1598),"")</f>
        <v>131.099489882099</v>
      </c>
      <c r="AU1598" s="65" t="n">
        <f aca="false">IF(AT1598="",0,MAX(0,MIN(1,(IF(BY1598="L1",Parameter!$E$5,Parameter!$E$6+Parameter!$E$7)-(AT1598-AP1598))/AP1598)))</f>
        <v>0</v>
      </c>
      <c r="AV1598" s="57" t="n">
        <f aca="false">IF(LEFT(Cockpit!$O$5,1)="A",H1598,IF(CA1598=1,CB1598,IF(LEFT(Cockpit!$O$5,1)="B",AZ1598,MAX(AZ1598,H1598))))</f>
        <v>25</v>
      </c>
      <c r="AW1598" s="57" t="n">
        <f aca="false">IF(BT1598=1,0,ROUNDUP(AV1598/BS1598,0))</f>
        <v>1</v>
      </c>
      <c r="AX1598" s="59" t="n">
        <f aca="false">IF(CH1598&gt;0,CH1598*MAX(1,AV1598/X1598),IF(BT1598=1,IF(AV1598&lt;=0,0,BW1598*MAX(1,IF(H1598&gt;0,AV1598/H1598,1))),IF(R1598&gt;0,AW1598/R1598,0))/MAX(0.1,N(Parameter!$M$21)))</f>
        <v>0.0384615384615385</v>
      </c>
      <c r="AY1598" s="57" t="n">
        <f aca="false">AV1598*G1598</f>
        <v>175</v>
      </c>
      <c r="AZ1598" s="57" t="n">
        <f aca="false">ROUNDUP(MAX(J1598/IF(BZ1598&gt;0,BZ1598,MAX(0.1,N(Cockpit!$O$6))),CC1598)/BS1598,0)*BS1598</f>
        <v>25</v>
      </c>
      <c r="BA1598" s="58" t="n">
        <f aca="false">IF(AX1598&gt;0,J1598/AX1598,-1)</f>
        <v>0</v>
      </c>
      <c r="BB1598" s="58" t="n">
        <f aca="false">IF(AND(OR(BY1598="L1",BY1598="L23"),AX1598&gt;0),SUMIFS($AX$7:$AX$1843,$BY$7:$BY$1843,BY1598,$BA$7:$BA$1843,"&gt;"&amp;BA1598)+SUMIFS($AX$7:$AX$1843,$BY$7:$BY$1843,BY1598,$BA$7:$BA$1843,BA1598,$BQ$7:$BQ$1843,"&lt;="&amp;BQ1598),"")</f>
        <v>121.929326711935</v>
      </c>
      <c r="BC1598" s="65" t="n">
        <f aca="false">IF(BB1598="",0,MAX(0,MIN(1,(IF(BY1598="L1",Parameter!$E$5,Parameter!$E$6+Parameter!$E$7)-(BB1598-AX1598))/AX1598)))</f>
        <v>0</v>
      </c>
      <c r="BD1598" s="55" t="str">
        <f aca="false">IF(AH1598&lt;=0,"",IF(BY1598="Aussen","Aussenlager",IF(BY1598="-","Nicht im Lift",IF(AM1598&gt;=1,"Lift",IF(AM1598&lt;=0,"Aussenlager","teilweise")))))</f>
        <v>Lift</v>
      </c>
      <c r="BE1598" s="55" t="str">
        <f aca="false">IF(AP1598&lt;=0,"",IF(BY1598="Aussen","Aussenlager",IF(BY1598="-","Nicht im Lift",IF(AU1598&gt;=1,"Lift",IF(AU1598&lt;=0,"Aussenlager","teilweise")))))</f>
        <v>Aussenlager</v>
      </c>
      <c r="BF1598" s="55" t="str">
        <f aca="false">IF(AX1598&lt;=0,"",IF(BY1598="Aussen","Aussenlager",IF(BY1598="-","Nicht im Lift",IF(BC1598&gt;=1,"Lift",IF(BC1598&lt;=0,"Aussenlager","teilweise")))))</f>
        <v>Aussenlager</v>
      </c>
      <c r="BG1598" s="55" t="str">
        <f aca="false">IF(A1598="","",IF(BP1598=1,"Neu; ","")&amp;IF(AND(BP1598=0,BK1598&lt;0),"negativer Bestand (Export "&amp;BK1598&amp;"); ","")&amp;IF(J1598&lt;=0,"Kein Verbrauch; ","")&amp;IF(CH1598&gt;0,"Lift "&amp;W1598&amp;" lt. Liftbericht (Fach "&amp;X1598&amp;" Stk); ",IF(BU1598=1,"Gebinde geschätzt ("&amp;T1598&amp;"); ",IF(BT1598=1,"Lose – Tablare geschätzt; ","")))&amp;IF(H1598&gt;AR1598,"Überbestand "&amp;ROUND(H1598-AR1598,0)&amp;" Stk / CHF "&amp;ROUND((H1598-AR1598)*G1598,0)&amp;"; ","")&amp;IF(AND(CA1598=1,CB1598&lt;CC1598),"MAX &lt; MB+LG; ","")&amp;IF(AND(CG1598&gt;0,CF1598*10&gt;CG1598),"zu hoch für Tablar; ","")&amp;IF(AND(BP1598=0,OR(CA1598=1,AA1598&lt;&gt;"",U1598&lt;&gt;"",V1598&lt;&gt;"",AB1598&lt;&gt;"")),"manuell übersteuert; ","")&amp;IF(AND(BT1598=0,R1598=0),"Gebinde unbekannt / Stellmass fehlt; ","")&amp;IF(AND(BT1598=0,N(V1598)&lt;=0,N(Q1598)&lt;=0),"Menge pro Gebinde fehlt (Ist = 1 Gebinde); ","")&amp;BO1598)</f>
        <v>Kein Verbrauch; Gebinde geschätzt (Klein); Menge pro Gebinde fehlt (Ist = 1 Gebinde); nur im Artikelstamm (Bestand 23.06.2026)</v>
      </c>
      <c r="BH1598" s="55"/>
      <c r="BI1598" s="55"/>
      <c r="BJ1598" s="62"/>
      <c r="BK1598" s="57" t="n">
        <v>25</v>
      </c>
      <c r="BL1598" s="57" t="n">
        <v>0</v>
      </c>
      <c r="BM1598" s="56" t="n">
        <v>0</v>
      </c>
      <c r="BN1598" s="57" t="n">
        <v>0</v>
      </c>
      <c r="BO1598" s="55" t="s">
        <v>2575</v>
      </c>
      <c r="BP1598" s="60" t="n">
        <v>0</v>
      </c>
      <c r="BQ1598" s="60" t="n">
        <v>1598</v>
      </c>
      <c r="BR1598" s="55" t="str">
        <f aca="false">IF(U1598&lt;&gt;"",UPPER(TRIM(U1598)),IF(BU1598=1,UPPER(VLOOKUP(T1598,Parameter!$I$27:$K$29,2,0)),IF(P1598="","LOSE",P1598)))</f>
        <v>S51</v>
      </c>
      <c r="BS1598" s="57" t="n">
        <f aca="false">IF(BR1598="LOSE",1,IF(N(V1598)&gt;0,V1598,IF(BU1598=1,MAX(1,N(VLOOKUP(T1598,Parameter!$I$27:$K$29,3,0)),H1598,N(N1598)),IF(N(Q1598)&gt;0,Q1598,MAX(1,H1598)))))</f>
        <v>25</v>
      </c>
      <c r="BT1598" s="60" t="n">
        <f aca="false">IF(BR1598="LOSE",1,0)</f>
        <v>0</v>
      </c>
      <c r="BU1598" s="60" t="n">
        <f aca="false">IF(AND(U1598="",OR(P1598="",P1598="LOSE"),T1598&lt;&gt;"",N(S1598)&lt;=0,ISNUMBER(MATCH(T1598,Parameter!$I$27:$I$29,0))),1,0)</f>
        <v>1</v>
      </c>
      <c r="BV1598" s="55" t="str">
        <f aca="false">IF(AND(Parameter!$B$19="Ja",E1598&lt;&gt;"",ISNUMBER(MATCH(E1598,Parameter!$I$35:$I$52,0))),VLOOKUP(E1598,Parameter!$I$35:$J$52,2,0),IFERROR(VLOOKUP(D1598,Parameter!$A$35:$C$64,2,0),"Nein"))</f>
        <v>2+3</v>
      </c>
      <c r="BW1598" s="59" t="n">
        <f aca="false">IF(BT1598=0,0,IF(N(S1598)&gt;0,S1598,IFERROR(VLOOKUP(D1598,Parameter!$A$35:$C$64,3,0)+0,0)))</f>
        <v>0</v>
      </c>
      <c r="BX1598" s="55" t="n">
        <f aca="false">IF(AA1598&lt;&gt;"",AA1598,Z1598)</f>
        <v>3</v>
      </c>
      <c r="BY1598" s="55" t="str">
        <f aca="false">IF(BX1598=1,"L1",IF(OR(BX1598=2,BX1598=3),"L23",IF(BX1598="Aussen","Aussen","-")))</f>
        <v>L23</v>
      </c>
      <c r="BZ1598" s="66" t="n">
        <f aca="false">IF(N(AB1598)&gt;0,AB1598,0)</f>
        <v>0</v>
      </c>
      <c r="CA1598" s="60" t="n">
        <f aca="false">IF(ISNUMBER(AE1598),1,0)</f>
        <v>0</v>
      </c>
      <c r="CB1598" s="57" t="n">
        <f aca="false">N(AE1598)</f>
        <v>0</v>
      </c>
      <c r="CC1598" s="57" t="n">
        <f aca="false">N(M1598)+N(N1598)</f>
        <v>3</v>
      </c>
      <c r="CD1598" s="57" t="n">
        <f aca="false">ROUNDUP(H1598/BS1598,0)</f>
        <v>1</v>
      </c>
      <c r="CE1598" s="57" t="n">
        <f aca="false">ROUNDUP(CB1598/BS1598,0)</f>
        <v>0</v>
      </c>
      <c r="CF1598" s="60" t="n">
        <f aca="false">IF(BT1598=1,0,IFERROR(VLOOKUP(BR1598,'Gebinde-Kategorie'!$A$5:$M$45,5,0)+0,0))</f>
        <v>11</v>
      </c>
      <c r="CG1598" s="60" t="n">
        <f aca="false">IFERROR(IF(OR(BX1598=1,BX1598=2,BX1598=3),N(INDEX(Parameter!$I$5:$I$7,BX1598)),0),0)</f>
        <v>0</v>
      </c>
      <c r="CH1598" s="59" t="n">
        <f aca="false">IF(AND(Parameter!$B$21="Ja",ISNUMBER(W1598),N(X1598)&gt;0),IFERROR(N(INDEX(Parameter!$L$5:$L$7,W1598))*INDEX(Parameter!$E$5:$E$7,W1598)*X1598/SUMIFS($X$7:$X$1843,$W$7:$W$1843,W1598),0),0)</f>
        <v>0</v>
      </c>
    </row>
    <row r="1599" customFormat="false" ht="15" hidden="false" customHeight="false" outlineLevel="0" collapsed="false">
      <c r="A1599" s="55" t="s">
        <v>2787</v>
      </c>
      <c r="B1599" s="55" t="s">
        <v>2788</v>
      </c>
      <c r="C1599" s="55" t="s">
        <v>164</v>
      </c>
      <c r="D1599" s="55" t="s">
        <v>184</v>
      </c>
      <c r="E1599" s="55"/>
      <c r="F1599" s="55"/>
      <c r="G1599" s="56" t="n">
        <v>397.38</v>
      </c>
      <c r="H1599" s="57" t="n">
        <f aca="false">MAX(0,IF(AND(Parameter!$B$21="Ja",ISNUMBER(Y1599)),Y1599,IF(Parameter!$B$20="Jahresanfang 2025 + Export",BL1599+BK1599,BK1599)))</f>
        <v>2</v>
      </c>
      <c r="I1599" s="57" t="n">
        <f aca="false">H1599*G1599</f>
        <v>794.76</v>
      </c>
      <c r="J1599" s="57" t="n">
        <f aca="false">BN1599*Parameter!$B$18</f>
        <v>0</v>
      </c>
      <c r="K1599" s="58"/>
      <c r="L1599" s="59"/>
      <c r="M1599" s="57" t="n">
        <v>0</v>
      </c>
      <c r="N1599" s="57" t="n">
        <v>1</v>
      </c>
      <c r="O1599" s="60" t="n">
        <v>35</v>
      </c>
      <c r="P1599" s="55" t="s">
        <v>168</v>
      </c>
      <c r="Q1599" s="57"/>
      <c r="R1599" s="60" t="n">
        <f aca="false">IF(BT1599=1,0,IFERROR(VLOOKUP(BR1599,'Gebinde-Kategorie'!$A$5:$M$45,13,0)+0,0))</f>
        <v>26</v>
      </c>
      <c r="S1599" s="61"/>
      <c r="T1599" s="62" t="s">
        <v>275</v>
      </c>
      <c r="U1599" s="62"/>
      <c r="V1599" s="62"/>
      <c r="W1599" s="55"/>
      <c r="X1599" s="57"/>
      <c r="Y1599" s="57"/>
      <c r="Z1599" s="55" t="n">
        <f aca="false">IF(A1599="","",IF(AND(Parameter!$B$21="Ja",ISNUMBER(W1599)),W1599,IF(BV1599="2+3",IF(ISNUMBER(SEARCH("grosser Artikel",BO1599)),2,IFERROR(VLOOKUP(BR1599,Parameter!$F$35:$G$64,2,0),2)),IF(OR(BV1599="Nein",BV1599=""),"-",BV1599))))</f>
        <v>3</v>
      </c>
      <c r="AA1599" s="62"/>
      <c r="AB1599" s="63"/>
      <c r="AC1599" s="57" t="n">
        <f aca="false">AR1599</f>
        <v>20</v>
      </c>
      <c r="AD1599" s="57" t="n">
        <f aca="false">MAX(AR1599,H1599)</f>
        <v>20</v>
      </c>
      <c r="AE1599" s="64"/>
      <c r="AF1599" s="57" t="n">
        <f aca="false">IF(LEFT(Cockpit!$C$5,1)="A",H1599,IF(CA1599=1,CB1599,IF(LEFT(Cockpit!$C$5,1)="B",AJ1599,MAX(AJ1599,H1599))))</f>
        <v>2</v>
      </c>
      <c r="AG1599" s="57" t="n">
        <f aca="false">IF(BT1599=1,0,ROUNDUP(AF1599/BS1599,0))</f>
        <v>1</v>
      </c>
      <c r="AH1599" s="59" t="n">
        <f aca="false">IF(CH1599&gt;0,CH1599*MAX(1,AF1599/X1599),IF(BT1599=1,IF(AF1599&lt;=0,0,BW1599*MAX(1,IF(H1599&gt;0,AF1599/H1599,1))),IF(R1599&gt;0,AG1599/R1599,0))/MAX(0.1,N(Parameter!$M$21)))</f>
        <v>0.0384615384615385</v>
      </c>
      <c r="AI1599" s="57" t="n">
        <f aca="false">AF1599*G1599</f>
        <v>794.76</v>
      </c>
      <c r="AJ1599" s="57" t="n">
        <f aca="false">ROUNDUP(MAX(J1599/IF(BZ1599&gt;0,BZ1599,MAX(0.1,N(Cockpit!$C$6))),CC1599)/BS1599,0)*BS1599</f>
        <v>20</v>
      </c>
      <c r="AK1599" s="58" t="n">
        <f aca="false">IF(AH1599&gt;0,J1599/AH1599,-1)</f>
        <v>0</v>
      </c>
      <c r="AL1599" s="58" t="n">
        <f aca="false">IF(AND(OR(BY1599="L1",BY1599="L23"),AH1599&gt;0),SUMIFS($AH$7:$AH$1843,$BY$7:$BY$1843,BY1599,$AK$7:$AK$1843,"&gt;"&amp;AK1599)+SUMIFS($AH$7:$AH$1843,$BY$7:$BY$1843,BY1599,$AK$7:$AK$1843,AK1599,$BQ$7:$BQ$1843,"&lt;="&amp;BQ1599),"")</f>
        <v>85.8858146684234</v>
      </c>
      <c r="AM1599" s="65" t="n">
        <f aca="false">IF(AL1599="",0,MAX(0,MIN(1,(IF(BY1599="L1",Parameter!$E$5,Parameter!$E$6+Parameter!$E$7)-(AL1599-AH1599))/AH1599)))</f>
        <v>1</v>
      </c>
      <c r="AN1599" s="57" t="n">
        <f aca="false">IF(LEFT(Cockpit!$I$5,1)="A",H1599,IF(CA1599=1,CB1599,IF(LEFT(Cockpit!$I$5,1)="B",AR1599,MAX(AR1599,H1599))))</f>
        <v>20</v>
      </c>
      <c r="AO1599" s="57" t="n">
        <f aca="false">IF(BT1599=1,0,ROUNDUP(AN1599/BS1599,0))</f>
        <v>1</v>
      </c>
      <c r="AP1599" s="59" t="n">
        <f aca="false">IF(CH1599&gt;0,CH1599*MAX(1,AN1599/X1599),IF(BT1599=1,IF(AN1599&lt;=0,0,BW1599*MAX(1,IF(H1599&gt;0,AN1599/H1599,1))),IF(R1599&gt;0,AO1599/R1599,0))/MAX(0.1,N(Parameter!$M$21)))</f>
        <v>0.0384615384615385</v>
      </c>
      <c r="AQ1599" s="57" t="n">
        <f aca="false">AN1599*G1599</f>
        <v>7947.6</v>
      </c>
      <c r="AR1599" s="57" t="n">
        <f aca="false">ROUNDUP(MAX(J1599/IF(BZ1599&gt;0,BZ1599,MAX(0.1,N(Cockpit!$I$6))),CC1599)/BS1599,0)*BS1599</f>
        <v>20</v>
      </c>
      <c r="AS1599" s="58" t="n">
        <f aca="false">IF(AP1599&gt;0,J1599/AP1599,-1)</f>
        <v>0</v>
      </c>
      <c r="AT1599" s="58" t="n">
        <f aca="false">IF(AND(OR(BY1599="L1",BY1599="L23"),AP1599&gt;0),SUMIFS($AP$7:$AP$1843,$BY$7:$BY$1843,BY1599,$AS$7:$AS$1843,"&gt;"&amp;AS1599)+SUMIFS($AP$7:$AP$1843,$BY$7:$BY$1843,BY1599,$AS$7:$AS$1843,AS1599,$BQ$7:$BQ$1843,"&lt;="&amp;BQ1599),"")</f>
        <v>131.13795142056</v>
      </c>
      <c r="AU1599" s="65" t="n">
        <f aca="false">IF(AT1599="",0,MAX(0,MIN(1,(IF(BY1599="L1",Parameter!$E$5,Parameter!$E$6+Parameter!$E$7)-(AT1599-AP1599))/AP1599)))</f>
        <v>0</v>
      </c>
      <c r="AV1599" s="57" t="n">
        <f aca="false">IF(LEFT(Cockpit!$O$5,1)="A",H1599,IF(CA1599=1,CB1599,IF(LEFT(Cockpit!$O$5,1)="B",AZ1599,MAX(AZ1599,H1599))))</f>
        <v>20</v>
      </c>
      <c r="AW1599" s="57" t="n">
        <f aca="false">IF(BT1599=1,0,ROUNDUP(AV1599/BS1599,0))</f>
        <v>1</v>
      </c>
      <c r="AX1599" s="59" t="n">
        <f aca="false">IF(CH1599&gt;0,CH1599*MAX(1,AV1599/X1599),IF(BT1599=1,IF(AV1599&lt;=0,0,BW1599*MAX(1,IF(H1599&gt;0,AV1599/H1599,1))),IF(R1599&gt;0,AW1599/R1599,0))/MAX(0.1,N(Parameter!$M$21)))</f>
        <v>0.0384615384615385</v>
      </c>
      <c r="AY1599" s="57" t="n">
        <f aca="false">AV1599*G1599</f>
        <v>7947.6</v>
      </c>
      <c r="AZ1599" s="57" t="n">
        <f aca="false">ROUNDUP(MAX(J1599/IF(BZ1599&gt;0,BZ1599,MAX(0.1,N(Cockpit!$O$6))),CC1599)/BS1599,0)*BS1599</f>
        <v>20</v>
      </c>
      <c r="BA1599" s="58" t="n">
        <f aca="false">IF(AX1599&gt;0,J1599/AX1599,-1)</f>
        <v>0</v>
      </c>
      <c r="BB1599" s="58" t="n">
        <f aca="false">IF(AND(OR(BY1599="L1",BY1599="L23"),AX1599&gt;0),SUMIFS($AX$7:$AX$1843,$BY$7:$BY$1843,BY1599,$BA$7:$BA$1843,"&gt;"&amp;BA1599)+SUMIFS($AX$7:$AX$1843,$BY$7:$BY$1843,BY1599,$BA$7:$BA$1843,BA1599,$BQ$7:$BQ$1843,"&lt;="&amp;BQ1599),"")</f>
        <v>121.967788250397</v>
      </c>
      <c r="BC1599" s="65" t="n">
        <f aca="false">IF(BB1599="",0,MAX(0,MIN(1,(IF(BY1599="L1",Parameter!$E$5,Parameter!$E$6+Parameter!$E$7)-(BB1599-AX1599))/AX1599)))</f>
        <v>0</v>
      </c>
      <c r="BD1599" s="55" t="str">
        <f aca="false">IF(AH1599&lt;=0,"",IF(BY1599="Aussen","Aussenlager",IF(BY1599="-","Nicht im Lift",IF(AM1599&gt;=1,"Lift",IF(AM1599&lt;=0,"Aussenlager","teilweise")))))</f>
        <v>Lift</v>
      </c>
      <c r="BE1599" s="55" t="str">
        <f aca="false">IF(AP1599&lt;=0,"",IF(BY1599="Aussen","Aussenlager",IF(BY1599="-","Nicht im Lift",IF(AU1599&gt;=1,"Lift",IF(AU1599&lt;=0,"Aussenlager","teilweise")))))</f>
        <v>Aussenlager</v>
      </c>
      <c r="BF1599" s="55" t="str">
        <f aca="false">IF(AX1599&lt;=0,"",IF(BY1599="Aussen","Aussenlager",IF(BY1599="-","Nicht im Lift",IF(BC1599&gt;=1,"Lift",IF(BC1599&lt;=0,"Aussenlager","teilweise")))))</f>
        <v>Aussenlager</v>
      </c>
      <c r="BG1599" s="55" t="str">
        <f aca="false">IF(A1599="","",IF(BP1599=1,"Neu; ","")&amp;IF(AND(BP1599=0,BK1599&lt;0),"negativer Bestand (Export "&amp;BK1599&amp;"); ","")&amp;IF(J1599&lt;=0,"Kein Verbrauch; ","")&amp;IF(CH1599&gt;0,"Lift "&amp;W1599&amp;" lt. Liftbericht (Fach "&amp;X1599&amp;" Stk); ",IF(BU1599=1,"Gebinde geschätzt ("&amp;T1599&amp;"); ",IF(BT1599=1,"Lose – Tablare geschätzt; ","")))&amp;IF(H1599&gt;AR1599,"Überbestand "&amp;ROUND(H1599-AR1599,0)&amp;" Stk / CHF "&amp;ROUND((H1599-AR1599)*G1599,0)&amp;"; ","")&amp;IF(AND(CA1599=1,CB1599&lt;CC1599),"MAX &lt; MB+LG; ","")&amp;IF(AND(CG1599&gt;0,CF1599*10&gt;CG1599),"zu hoch für Tablar; ","")&amp;IF(AND(BP1599=0,OR(CA1599=1,AA1599&lt;&gt;"",U1599&lt;&gt;"",V1599&lt;&gt;"",AB1599&lt;&gt;"")),"manuell übersteuert; ","")&amp;IF(AND(BT1599=0,R1599=0),"Gebinde unbekannt / Stellmass fehlt; ","")&amp;IF(AND(BT1599=0,N(V1599)&lt;=0,N(Q1599)&lt;=0),"Menge pro Gebinde fehlt (Ist = 1 Gebinde); ","")&amp;BO1599)</f>
        <v>Kein Verbrauch; Gebinde geschätzt (Klein); Menge pro Gebinde fehlt (Ist = 1 Gebinde); nur im Artikelstamm (Bestand 23.06.2026)</v>
      </c>
      <c r="BH1599" s="55"/>
      <c r="BI1599" s="55"/>
      <c r="BJ1599" s="62"/>
      <c r="BK1599" s="57" t="n">
        <v>2</v>
      </c>
      <c r="BL1599" s="57" t="n">
        <v>0</v>
      </c>
      <c r="BM1599" s="56" t="n">
        <v>0</v>
      </c>
      <c r="BN1599" s="57" t="n">
        <v>0</v>
      </c>
      <c r="BO1599" s="55" t="s">
        <v>2575</v>
      </c>
      <c r="BP1599" s="60" t="n">
        <v>0</v>
      </c>
      <c r="BQ1599" s="60" t="n">
        <v>1599</v>
      </c>
      <c r="BR1599" s="55" t="str">
        <f aca="false">IF(U1599&lt;&gt;"",UPPER(TRIM(U1599)),IF(BU1599=1,UPPER(VLOOKUP(T1599,Parameter!$I$27:$K$29,2,0)),IF(P1599="","LOSE",P1599)))</f>
        <v>S51</v>
      </c>
      <c r="BS1599" s="57" t="n">
        <f aca="false">IF(BR1599="LOSE",1,IF(N(V1599)&gt;0,V1599,IF(BU1599=1,MAX(1,N(VLOOKUP(T1599,Parameter!$I$27:$K$29,3,0)),H1599,N(N1599)),IF(N(Q1599)&gt;0,Q1599,MAX(1,H1599)))))</f>
        <v>20</v>
      </c>
      <c r="BT1599" s="60" t="n">
        <f aca="false">IF(BR1599="LOSE",1,0)</f>
        <v>0</v>
      </c>
      <c r="BU1599" s="60" t="n">
        <f aca="false">IF(AND(U1599="",OR(P1599="",P1599="LOSE"),T1599&lt;&gt;"",N(S1599)&lt;=0,ISNUMBER(MATCH(T1599,Parameter!$I$27:$I$29,0))),1,0)</f>
        <v>1</v>
      </c>
      <c r="BV1599" s="55" t="str">
        <f aca="false">IF(AND(Parameter!$B$19="Ja",E1599&lt;&gt;"",ISNUMBER(MATCH(E1599,Parameter!$I$35:$I$52,0))),VLOOKUP(E1599,Parameter!$I$35:$J$52,2,0),IFERROR(VLOOKUP(D1599,Parameter!$A$35:$C$64,2,0),"Nein"))</f>
        <v>2+3</v>
      </c>
      <c r="BW1599" s="59" t="n">
        <f aca="false">IF(BT1599=0,0,IF(N(S1599)&gt;0,S1599,IFERROR(VLOOKUP(D1599,Parameter!$A$35:$C$64,3,0)+0,0)))</f>
        <v>0</v>
      </c>
      <c r="BX1599" s="55" t="n">
        <f aca="false">IF(AA1599&lt;&gt;"",AA1599,Z1599)</f>
        <v>3</v>
      </c>
      <c r="BY1599" s="55" t="str">
        <f aca="false">IF(BX1599=1,"L1",IF(OR(BX1599=2,BX1599=3),"L23",IF(BX1599="Aussen","Aussen","-")))</f>
        <v>L23</v>
      </c>
      <c r="BZ1599" s="66" t="n">
        <f aca="false">IF(N(AB1599)&gt;0,AB1599,0)</f>
        <v>0</v>
      </c>
      <c r="CA1599" s="60" t="n">
        <f aca="false">IF(ISNUMBER(AE1599),1,0)</f>
        <v>0</v>
      </c>
      <c r="CB1599" s="57" t="n">
        <f aca="false">N(AE1599)</f>
        <v>0</v>
      </c>
      <c r="CC1599" s="57" t="n">
        <f aca="false">N(M1599)+N(N1599)</f>
        <v>1</v>
      </c>
      <c r="CD1599" s="57" t="n">
        <f aca="false">ROUNDUP(H1599/BS1599,0)</f>
        <v>1</v>
      </c>
      <c r="CE1599" s="57" t="n">
        <f aca="false">ROUNDUP(CB1599/BS1599,0)</f>
        <v>0</v>
      </c>
      <c r="CF1599" s="60" t="n">
        <f aca="false">IF(BT1599=1,0,IFERROR(VLOOKUP(BR1599,'Gebinde-Kategorie'!$A$5:$M$45,5,0)+0,0))</f>
        <v>11</v>
      </c>
      <c r="CG1599" s="60" t="n">
        <f aca="false">IFERROR(IF(OR(BX1599=1,BX1599=2,BX1599=3),N(INDEX(Parameter!$I$5:$I$7,BX1599)),0),0)</f>
        <v>0</v>
      </c>
      <c r="CH1599" s="59" t="n">
        <f aca="false">IF(AND(Parameter!$B$21="Ja",ISNUMBER(W1599),N(X1599)&gt;0),IFERROR(N(INDEX(Parameter!$L$5:$L$7,W1599))*INDEX(Parameter!$E$5:$E$7,W1599)*X1599/SUMIFS($X$7:$X$1843,$W$7:$W$1843,W1599),0),0)</f>
        <v>0</v>
      </c>
    </row>
    <row r="1600" customFormat="false" ht="15" hidden="false" customHeight="false" outlineLevel="0" collapsed="false">
      <c r="A1600" s="55" t="s">
        <v>2789</v>
      </c>
      <c r="B1600" s="55" t="s">
        <v>2790</v>
      </c>
      <c r="C1600" s="55" t="s">
        <v>164</v>
      </c>
      <c r="D1600" s="55" t="s">
        <v>184</v>
      </c>
      <c r="E1600" s="55"/>
      <c r="F1600" s="55"/>
      <c r="G1600" s="56" t="n">
        <v>356.21</v>
      </c>
      <c r="H1600" s="57" t="n">
        <f aca="false">MAX(0,IF(AND(Parameter!$B$21="Ja",ISNUMBER(Y1600)),Y1600,IF(Parameter!$B$20="Jahresanfang 2025 + Export",BL1600+BK1600,BK1600)))</f>
        <v>2</v>
      </c>
      <c r="I1600" s="57" t="n">
        <f aca="false">H1600*G1600</f>
        <v>712.42</v>
      </c>
      <c r="J1600" s="57" t="n">
        <f aca="false">BN1600*Parameter!$B$18</f>
        <v>0</v>
      </c>
      <c r="K1600" s="58"/>
      <c r="L1600" s="59"/>
      <c r="M1600" s="57" t="n">
        <v>0</v>
      </c>
      <c r="N1600" s="57" t="n">
        <v>1</v>
      </c>
      <c r="O1600" s="60" t="n">
        <v>35</v>
      </c>
      <c r="P1600" s="55" t="s">
        <v>168</v>
      </c>
      <c r="Q1600" s="57"/>
      <c r="R1600" s="60" t="n">
        <f aca="false">IF(BT1600=1,0,IFERROR(VLOOKUP(BR1600,'Gebinde-Kategorie'!$A$5:$M$45,13,0)+0,0))</f>
        <v>26</v>
      </c>
      <c r="S1600" s="61"/>
      <c r="T1600" s="62" t="s">
        <v>275</v>
      </c>
      <c r="U1600" s="62"/>
      <c r="V1600" s="62"/>
      <c r="W1600" s="55"/>
      <c r="X1600" s="57"/>
      <c r="Y1600" s="57"/>
      <c r="Z1600" s="55" t="n">
        <f aca="false">IF(A1600="","",IF(AND(Parameter!$B$21="Ja",ISNUMBER(W1600)),W1600,IF(BV1600="2+3",IF(ISNUMBER(SEARCH("grosser Artikel",BO1600)),2,IFERROR(VLOOKUP(BR1600,Parameter!$F$35:$G$64,2,0),2)),IF(OR(BV1600="Nein",BV1600=""),"-",BV1600))))</f>
        <v>3</v>
      </c>
      <c r="AA1600" s="62"/>
      <c r="AB1600" s="63"/>
      <c r="AC1600" s="57" t="n">
        <f aca="false">AR1600</f>
        <v>20</v>
      </c>
      <c r="AD1600" s="57" t="n">
        <f aca="false">MAX(AR1600,H1600)</f>
        <v>20</v>
      </c>
      <c r="AE1600" s="64"/>
      <c r="AF1600" s="57" t="n">
        <f aca="false">IF(LEFT(Cockpit!$C$5,1)="A",H1600,IF(CA1600=1,CB1600,IF(LEFT(Cockpit!$C$5,1)="B",AJ1600,MAX(AJ1600,H1600))))</f>
        <v>2</v>
      </c>
      <c r="AG1600" s="57" t="n">
        <f aca="false">IF(BT1600=1,0,ROUNDUP(AF1600/BS1600,0))</f>
        <v>1</v>
      </c>
      <c r="AH1600" s="59" t="n">
        <f aca="false">IF(CH1600&gt;0,CH1600*MAX(1,AF1600/X1600),IF(BT1600=1,IF(AF1600&lt;=0,0,BW1600*MAX(1,IF(H1600&gt;0,AF1600/H1600,1))),IF(R1600&gt;0,AG1600/R1600,0))/MAX(0.1,N(Parameter!$M$21)))</f>
        <v>0.0384615384615385</v>
      </c>
      <c r="AI1600" s="57" t="n">
        <f aca="false">AF1600*G1600</f>
        <v>712.42</v>
      </c>
      <c r="AJ1600" s="57" t="n">
        <f aca="false">ROUNDUP(MAX(J1600/IF(BZ1600&gt;0,BZ1600,MAX(0.1,N(Cockpit!$C$6))),CC1600)/BS1600,0)*BS1600</f>
        <v>20</v>
      </c>
      <c r="AK1600" s="58" t="n">
        <f aca="false">IF(AH1600&gt;0,J1600/AH1600,-1)</f>
        <v>0</v>
      </c>
      <c r="AL1600" s="58" t="n">
        <f aca="false">IF(AND(OR(BY1600="L1",BY1600="L23"),AH1600&gt;0),SUMIFS($AH$7:$AH$1843,$BY$7:$BY$1843,BY1600,$AK$7:$AK$1843,"&gt;"&amp;AK1600)+SUMIFS($AH$7:$AH$1843,$BY$7:$BY$1843,BY1600,$AK$7:$AK$1843,AK1600,$BQ$7:$BQ$1843,"&lt;="&amp;BQ1600),"")</f>
        <v>85.9242762068849</v>
      </c>
      <c r="AM1600" s="65" t="n">
        <f aca="false">IF(AL1600="",0,MAX(0,MIN(1,(IF(BY1600="L1",Parameter!$E$5,Parameter!$E$6+Parameter!$E$7)-(AL1600-AH1600))/AH1600)))</f>
        <v>1</v>
      </c>
      <c r="AN1600" s="57" t="n">
        <f aca="false">IF(LEFT(Cockpit!$I$5,1)="A",H1600,IF(CA1600=1,CB1600,IF(LEFT(Cockpit!$I$5,1)="B",AR1600,MAX(AR1600,H1600))))</f>
        <v>20</v>
      </c>
      <c r="AO1600" s="57" t="n">
        <f aca="false">IF(BT1600=1,0,ROUNDUP(AN1600/BS1600,0))</f>
        <v>1</v>
      </c>
      <c r="AP1600" s="59" t="n">
        <f aca="false">IF(CH1600&gt;0,CH1600*MAX(1,AN1600/X1600),IF(BT1600=1,IF(AN1600&lt;=0,0,BW1600*MAX(1,IF(H1600&gt;0,AN1600/H1600,1))),IF(R1600&gt;0,AO1600/R1600,0))/MAX(0.1,N(Parameter!$M$21)))</f>
        <v>0.0384615384615385</v>
      </c>
      <c r="AQ1600" s="57" t="n">
        <f aca="false">AN1600*G1600</f>
        <v>7124.2</v>
      </c>
      <c r="AR1600" s="57" t="n">
        <f aca="false">ROUNDUP(MAX(J1600/IF(BZ1600&gt;0,BZ1600,MAX(0.1,N(Cockpit!$I$6))),CC1600)/BS1600,0)*BS1600</f>
        <v>20</v>
      </c>
      <c r="AS1600" s="58" t="n">
        <f aca="false">IF(AP1600&gt;0,J1600/AP1600,-1)</f>
        <v>0</v>
      </c>
      <c r="AT1600" s="58" t="n">
        <f aca="false">IF(AND(OR(BY1600="L1",BY1600="L23"),AP1600&gt;0),SUMIFS($AP$7:$AP$1843,$BY$7:$BY$1843,BY1600,$AS$7:$AS$1843,"&gt;"&amp;AS1600)+SUMIFS($AP$7:$AP$1843,$BY$7:$BY$1843,BY1600,$AS$7:$AS$1843,AS1600,$BQ$7:$BQ$1843,"&lt;="&amp;BQ1600),"")</f>
        <v>131.176412959022</v>
      </c>
      <c r="AU1600" s="65" t="n">
        <f aca="false">IF(AT1600="",0,MAX(0,MIN(1,(IF(BY1600="L1",Parameter!$E$5,Parameter!$E$6+Parameter!$E$7)-(AT1600-AP1600))/AP1600)))</f>
        <v>0</v>
      </c>
      <c r="AV1600" s="57" t="n">
        <f aca="false">IF(LEFT(Cockpit!$O$5,1)="A",H1600,IF(CA1600=1,CB1600,IF(LEFT(Cockpit!$O$5,1)="B",AZ1600,MAX(AZ1600,H1600))))</f>
        <v>20</v>
      </c>
      <c r="AW1600" s="57" t="n">
        <f aca="false">IF(BT1600=1,0,ROUNDUP(AV1600/BS1600,0))</f>
        <v>1</v>
      </c>
      <c r="AX1600" s="59" t="n">
        <f aca="false">IF(CH1600&gt;0,CH1600*MAX(1,AV1600/X1600),IF(BT1600=1,IF(AV1600&lt;=0,0,BW1600*MAX(1,IF(H1600&gt;0,AV1600/H1600,1))),IF(R1600&gt;0,AW1600/R1600,0))/MAX(0.1,N(Parameter!$M$21)))</f>
        <v>0.0384615384615385</v>
      </c>
      <c r="AY1600" s="57" t="n">
        <f aca="false">AV1600*G1600</f>
        <v>7124.2</v>
      </c>
      <c r="AZ1600" s="57" t="n">
        <f aca="false">ROUNDUP(MAX(J1600/IF(BZ1600&gt;0,BZ1600,MAX(0.1,N(Cockpit!$O$6))),CC1600)/BS1600,0)*BS1600</f>
        <v>20</v>
      </c>
      <c r="BA1600" s="58" t="n">
        <f aca="false">IF(AX1600&gt;0,J1600/AX1600,-1)</f>
        <v>0</v>
      </c>
      <c r="BB1600" s="58" t="n">
        <f aca="false">IF(AND(OR(BY1600="L1",BY1600="L23"),AX1600&gt;0),SUMIFS($AX$7:$AX$1843,$BY$7:$BY$1843,BY1600,$BA$7:$BA$1843,"&gt;"&amp;BA1600)+SUMIFS($AX$7:$AX$1843,$BY$7:$BY$1843,BY1600,$BA$7:$BA$1843,BA1600,$BQ$7:$BQ$1843,"&lt;="&amp;BQ1600),"")</f>
        <v>122.006249788858</v>
      </c>
      <c r="BC1600" s="65" t="n">
        <f aca="false">IF(BB1600="",0,MAX(0,MIN(1,(IF(BY1600="L1",Parameter!$E$5,Parameter!$E$6+Parameter!$E$7)-(BB1600-AX1600))/AX1600)))</f>
        <v>0</v>
      </c>
      <c r="BD1600" s="55" t="str">
        <f aca="false">IF(AH1600&lt;=0,"",IF(BY1600="Aussen","Aussenlager",IF(BY1600="-","Nicht im Lift",IF(AM1600&gt;=1,"Lift",IF(AM1600&lt;=0,"Aussenlager","teilweise")))))</f>
        <v>Lift</v>
      </c>
      <c r="BE1600" s="55" t="str">
        <f aca="false">IF(AP1600&lt;=0,"",IF(BY1600="Aussen","Aussenlager",IF(BY1600="-","Nicht im Lift",IF(AU1600&gt;=1,"Lift",IF(AU1600&lt;=0,"Aussenlager","teilweise")))))</f>
        <v>Aussenlager</v>
      </c>
      <c r="BF1600" s="55" t="str">
        <f aca="false">IF(AX1600&lt;=0,"",IF(BY1600="Aussen","Aussenlager",IF(BY1600="-","Nicht im Lift",IF(BC1600&gt;=1,"Lift",IF(BC1600&lt;=0,"Aussenlager","teilweise")))))</f>
        <v>Aussenlager</v>
      </c>
      <c r="BG1600" s="55" t="str">
        <f aca="false">IF(A1600="","",IF(BP1600=1,"Neu; ","")&amp;IF(AND(BP1600=0,BK1600&lt;0),"negativer Bestand (Export "&amp;BK1600&amp;"); ","")&amp;IF(J1600&lt;=0,"Kein Verbrauch; ","")&amp;IF(CH1600&gt;0,"Lift "&amp;W1600&amp;" lt. Liftbericht (Fach "&amp;X1600&amp;" Stk); ",IF(BU1600=1,"Gebinde geschätzt ("&amp;T1600&amp;"); ",IF(BT1600=1,"Lose – Tablare geschätzt; ","")))&amp;IF(H1600&gt;AR1600,"Überbestand "&amp;ROUND(H1600-AR1600,0)&amp;" Stk / CHF "&amp;ROUND((H1600-AR1600)*G1600,0)&amp;"; ","")&amp;IF(AND(CA1600=1,CB1600&lt;CC1600),"MAX &lt; MB+LG; ","")&amp;IF(AND(CG1600&gt;0,CF1600*10&gt;CG1600),"zu hoch für Tablar; ","")&amp;IF(AND(BP1600=0,OR(CA1600=1,AA1600&lt;&gt;"",U1600&lt;&gt;"",V1600&lt;&gt;"",AB1600&lt;&gt;"")),"manuell übersteuert; ","")&amp;IF(AND(BT1600=0,R1600=0),"Gebinde unbekannt / Stellmass fehlt; ","")&amp;IF(AND(BT1600=0,N(V1600)&lt;=0,N(Q1600)&lt;=0),"Menge pro Gebinde fehlt (Ist = 1 Gebinde); ","")&amp;BO1600)</f>
        <v>Kein Verbrauch; Gebinde geschätzt (Klein); Menge pro Gebinde fehlt (Ist = 1 Gebinde); nur im Artikelstamm (Bestand 23.06.2026)</v>
      </c>
      <c r="BH1600" s="55"/>
      <c r="BI1600" s="55"/>
      <c r="BJ1600" s="62"/>
      <c r="BK1600" s="57" t="n">
        <v>2</v>
      </c>
      <c r="BL1600" s="57" t="n">
        <v>0</v>
      </c>
      <c r="BM1600" s="56" t="n">
        <v>0</v>
      </c>
      <c r="BN1600" s="57" t="n">
        <v>0</v>
      </c>
      <c r="BO1600" s="55" t="s">
        <v>2575</v>
      </c>
      <c r="BP1600" s="60" t="n">
        <v>0</v>
      </c>
      <c r="BQ1600" s="60" t="n">
        <v>1600</v>
      </c>
      <c r="BR1600" s="55" t="str">
        <f aca="false">IF(U1600&lt;&gt;"",UPPER(TRIM(U1600)),IF(BU1600=1,UPPER(VLOOKUP(T1600,Parameter!$I$27:$K$29,2,0)),IF(P1600="","LOSE",P1600)))</f>
        <v>S51</v>
      </c>
      <c r="BS1600" s="57" t="n">
        <f aca="false">IF(BR1600="LOSE",1,IF(N(V1600)&gt;0,V1600,IF(BU1600=1,MAX(1,N(VLOOKUP(T1600,Parameter!$I$27:$K$29,3,0)),H1600,N(N1600)),IF(N(Q1600)&gt;0,Q1600,MAX(1,H1600)))))</f>
        <v>20</v>
      </c>
      <c r="BT1600" s="60" t="n">
        <f aca="false">IF(BR1600="LOSE",1,0)</f>
        <v>0</v>
      </c>
      <c r="BU1600" s="60" t="n">
        <f aca="false">IF(AND(U1600="",OR(P1600="",P1600="LOSE"),T1600&lt;&gt;"",N(S1600)&lt;=0,ISNUMBER(MATCH(T1600,Parameter!$I$27:$I$29,0))),1,0)</f>
        <v>1</v>
      </c>
      <c r="BV1600" s="55" t="str">
        <f aca="false">IF(AND(Parameter!$B$19="Ja",E1600&lt;&gt;"",ISNUMBER(MATCH(E1600,Parameter!$I$35:$I$52,0))),VLOOKUP(E1600,Parameter!$I$35:$J$52,2,0),IFERROR(VLOOKUP(D1600,Parameter!$A$35:$C$64,2,0),"Nein"))</f>
        <v>2+3</v>
      </c>
      <c r="BW1600" s="59" t="n">
        <f aca="false">IF(BT1600=0,0,IF(N(S1600)&gt;0,S1600,IFERROR(VLOOKUP(D1600,Parameter!$A$35:$C$64,3,0)+0,0)))</f>
        <v>0</v>
      </c>
      <c r="BX1600" s="55" t="n">
        <f aca="false">IF(AA1600&lt;&gt;"",AA1600,Z1600)</f>
        <v>3</v>
      </c>
      <c r="BY1600" s="55" t="str">
        <f aca="false">IF(BX1600=1,"L1",IF(OR(BX1600=2,BX1600=3),"L23",IF(BX1600="Aussen","Aussen","-")))</f>
        <v>L23</v>
      </c>
      <c r="BZ1600" s="66" t="n">
        <f aca="false">IF(N(AB1600)&gt;0,AB1600,0)</f>
        <v>0</v>
      </c>
      <c r="CA1600" s="60" t="n">
        <f aca="false">IF(ISNUMBER(AE1600),1,0)</f>
        <v>0</v>
      </c>
      <c r="CB1600" s="57" t="n">
        <f aca="false">N(AE1600)</f>
        <v>0</v>
      </c>
      <c r="CC1600" s="57" t="n">
        <f aca="false">N(M1600)+N(N1600)</f>
        <v>1</v>
      </c>
      <c r="CD1600" s="57" t="n">
        <f aca="false">ROUNDUP(H1600/BS1600,0)</f>
        <v>1</v>
      </c>
      <c r="CE1600" s="57" t="n">
        <f aca="false">ROUNDUP(CB1600/BS1600,0)</f>
        <v>0</v>
      </c>
      <c r="CF1600" s="60" t="n">
        <f aca="false">IF(BT1600=1,0,IFERROR(VLOOKUP(BR1600,'Gebinde-Kategorie'!$A$5:$M$45,5,0)+0,0))</f>
        <v>11</v>
      </c>
      <c r="CG1600" s="60" t="n">
        <f aca="false">IFERROR(IF(OR(BX1600=1,BX1600=2,BX1600=3),N(INDEX(Parameter!$I$5:$I$7,BX1600)),0),0)</f>
        <v>0</v>
      </c>
      <c r="CH1600" s="59" t="n">
        <f aca="false">IF(AND(Parameter!$B$21="Ja",ISNUMBER(W1600),N(X1600)&gt;0),IFERROR(N(INDEX(Parameter!$L$5:$L$7,W1600))*INDEX(Parameter!$E$5:$E$7,W1600)*X1600/SUMIFS($X$7:$X$1843,$W$7:$W$1843,W1600),0),0)</f>
        <v>0</v>
      </c>
    </row>
    <row r="1601" customFormat="false" ht="15" hidden="false" customHeight="false" outlineLevel="0" collapsed="false">
      <c r="A1601" s="55" t="s">
        <v>2791</v>
      </c>
      <c r="B1601" s="55" t="s">
        <v>2790</v>
      </c>
      <c r="C1601" s="55" t="s">
        <v>164</v>
      </c>
      <c r="D1601" s="55" t="s">
        <v>184</v>
      </c>
      <c r="E1601" s="55"/>
      <c r="F1601" s="55"/>
      <c r="G1601" s="56" t="n">
        <v>556.97</v>
      </c>
      <c r="H1601" s="57" t="n">
        <f aca="false">MAX(0,IF(AND(Parameter!$B$21="Ja",ISNUMBER(Y1601)),Y1601,IF(Parameter!$B$20="Jahresanfang 2025 + Export",BL1601+BK1601,BK1601)))</f>
        <v>2</v>
      </c>
      <c r="I1601" s="57" t="n">
        <f aca="false">H1601*G1601</f>
        <v>1113.94</v>
      </c>
      <c r="J1601" s="57" t="n">
        <f aca="false">BN1601*Parameter!$B$18</f>
        <v>0</v>
      </c>
      <c r="K1601" s="58"/>
      <c r="L1601" s="59"/>
      <c r="M1601" s="57" t="n">
        <v>0</v>
      </c>
      <c r="N1601" s="57" t="n">
        <v>1</v>
      </c>
      <c r="O1601" s="60" t="n">
        <v>35</v>
      </c>
      <c r="P1601" s="55" t="s">
        <v>168</v>
      </c>
      <c r="Q1601" s="57"/>
      <c r="R1601" s="60" t="n">
        <f aca="false">IF(BT1601=1,0,IFERROR(VLOOKUP(BR1601,'Gebinde-Kategorie'!$A$5:$M$45,13,0)+0,0))</f>
        <v>26</v>
      </c>
      <c r="S1601" s="61"/>
      <c r="T1601" s="62" t="s">
        <v>275</v>
      </c>
      <c r="U1601" s="62"/>
      <c r="V1601" s="62"/>
      <c r="W1601" s="55"/>
      <c r="X1601" s="57"/>
      <c r="Y1601" s="57"/>
      <c r="Z1601" s="55" t="n">
        <f aca="false">IF(A1601="","",IF(AND(Parameter!$B$21="Ja",ISNUMBER(W1601)),W1601,IF(BV1601="2+3",IF(ISNUMBER(SEARCH("grosser Artikel",BO1601)),2,IFERROR(VLOOKUP(BR1601,Parameter!$F$35:$G$64,2,0),2)),IF(OR(BV1601="Nein",BV1601=""),"-",BV1601))))</f>
        <v>3</v>
      </c>
      <c r="AA1601" s="62"/>
      <c r="AB1601" s="63"/>
      <c r="AC1601" s="57" t="n">
        <f aca="false">AR1601</f>
        <v>20</v>
      </c>
      <c r="AD1601" s="57" t="n">
        <f aca="false">MAX(AR1601,H1601)</f>
        <v>20</v>
      </c>
      <c r="AE1601" s="64"/>
      <c r="AF1601" s="57" t="n">
        <f aca="false">IF(LEFT(Cockpit!$C$5,1)="A",H1601,IF(CA1601=1,CB1601,IF(LEFT(Cockpit!$C$5,1)="B",AJ1601,MAX(AJ1601,H1601))))</f>
        <v>2</v>
      </c>
      <c r="AG1601" s="57" t="n">
        <f aca="false">IF(BT1601=1,0,ROUNDUP(AF1601/BS1601,0))</f>
        <v>1</v>
      </c>
      <c r="AH1601" s="59" t="n">
        <f aca="false">IF(CH1601&gt;0,CH1601*MAX(1,AF1601/X1601),IF(BT1601=1,IF(AF1601&lt;=0,0,BW1601*MAX(1,IF(H1601&gt;0,AF1601/H1601,1))),IF(R1601&gt;0,AG1601/R1601,0))/MAX(0.1,N(Parameter!$M$21)))</f>
        <v>0.0384615384615385</v>
      </c>
      <c r="AI1601" s="57" t="n">
        <f aca="false">AF1601*G1601</f>
        <v>1113.94</v>
      </c>
      <c r="AJ1601" s="57" t="n">
        <f aca="false">ROUNDUP(MAX(J1601/IF(BZ1601&gt;0,BZ1601,MAX(0.1,N(Cockpit!$C$6))),CC1601)/BS1601,0)*BS1601</f>
        <v>20</v>
      </c>
      <c r="AK1601" s="58" t="n">
        <f aca="false">IF(AH1601&gt;0,J1601/AH1601,-1)</f>
        <v>0</v>
      </c>
      <c r="AL1601" s="58" t="n">
        <f aca="false">IF(AND(OR(BY1601="L1",BY1601="L23"),AH1601&gt;0),SUMIFS($AH$7:$AH$1843,$BY$7:$BY$1843,BY1601,$AK$7:$AK$1843,"&gt;"&amp;AK1601)+SUMIFS($AH$7:$AH$1843,$BY$7:$BY$1843,BY1601,$AK$7:$AK$1843,AK1601,$BQ$7:$BQ$1843,"&lt;="&amp;BQ1601),"")</f>
        <v>85.9627377453464</v>
      </c>
      <c r="AM1601" s="65" t="n">
        <f aca="false">IF(AL1601="",0,MAX(0,MIN(1,(IF(BY1601="L1",Parameter!$E$5,Parameter!$E$6+Parameter!$E$7)-(AL1601-AH1601))/AH1601)))</f>
        <v>1</v>
      </c>
      <c r="AN1601" s="57" t="n">
        <f aca="false">IF(LEFT(Cockpit!$I$5,1)="A",H1601,IF(CA1601=1,CB1601,IF(LEFT(Cockpit!$I$5,1)="B",AR1601,MAX(AR1601,H1601))))</f>
        <v>20</v>
      </c>
      <c r="AO1601" s="57" t="n">
        <f aca="false">IF(BT1601=1,0,ROUNDUP(AN1601/BS1601,0))</f>
        <v>1</v>
      </c>
      <c r="AP1601" s="59" t="n">
        <f aca="false">IF(CH1601&gt;0,CH1601*MAX(1,AN1601/X1601),IF(BT1601=1,IF(AN1601&lt;=0,0,BW1601*MAX(1,IF(H1601&gt;0,AN1601/H1601,1))),IF(R1601&gt;0,AO1601/R1601,0))/MAX(0.1,N(Parameter!$M$21)))</f>
        <v>0.0384615384615385</v>
      </c>
      <c r="AQ1601" s="57" t="n">
        <f aca="false">AN1601*G1601</f>
        <v>11139.4</v>
      </c>
      <c r="AR1601" s="57" t="n">
        <f aca="false">ROUNDUP(MAX(J1601/IF(BZ1601&gt;0,BZ1601,MAX(0.1,N(Cockpit!$I$6))),CC1601)/BS1601,0)*BS1601</f>
        <v>20</v>
      </c>
      <c r="AS1601" s="58" t="n">
        <f aca="false">IF(AP1601&gt;0,J1601/AP1601,-1)</f>
        <v>0</v>
      </c>
      <c r="AT1601" s="58" t="n">
        <f aca="false">IF(AND(OR(BY1601="L1",BY1601="L23"),AP1601&gt;0),SUMIFS($AP$7:$AP$1843,$BY$7:$BY$1843,BY1601,$AS$7:$AS$1843,"&gt;"&amp;AS1601)+SUMIFS($AP$7:$AP$1843,$BY$7:$BY$1843,BY1601,$AS$7:$AS$1843,AS1601,$BQ$7:$BQ$1843,"&lt;="&amp;BQ1601),"")</f>
        <v>131.214874497483</v>
      </c>
      <c r="AU1601" s="65" t="n">
        <f aca="false">IF(AT1601="",0,MAX(0,MIN(1,(IF(BY1601="L1",Parameter!$E$5,Parameter!$E$6+Parameter!$E$7)-(AT1601-AP1601))/AP1601)))</f>
        <v>0</v>
      </c>
      <c r="AV1601" s="57" t="n">
        <f aca="false">IF(LEFT(Cockpit!$O$5,1)="A",H1601,IF(CA1601=1,CB1601,IF(LEFT(Cockpit!$O$5,1)="B",AZ1601,MAX(AZ1601,H1601))))</f>
        <v>20</v>
      </c>
      <c r="AW1601" s="57" t="n">
        <f aca="false">IF(BT1601=1,0,ROUNDUP(AV1601/BS1601,0))</f>
        <v>1</v>
      </c>
      <c r="AX1601" s="59" t="n">
        <f aca="false">IF(CH1601&gt;0,CH1601*MAX(1,AV1601/X1601),IF(BT1601=1,IF(AV1601&lt;=0,0,BW1601*MAX(1,IF(H1601&gt;0,AV1601/H1601,1))),IF(R1601&gt;0,AW1601/R1601,0))/MAX(0.1,N(Parameter!$M$21)))</f>
        <v>0.0384615384615385</v>
      </c>
      <c r="AY1601" s="57" t="n">
        <f aca="false">AV1601*G1601</f>
        <v>11139.4</v>
      </c>
      <c r="AZ1601" s="57" t="n">
        <f aca="false">ROUNDUP(MAX(J1601/IF(BZ1601&gt;0,BZ1601,MAX(0.1,N(Cockpit!$O$6))),CC1601)/BS1601,0)*BS1601</f>
        <v>20</v>
      </c>
      <c r="BA1601" s="58" t="n">
        <f aca="false">IF(AX1601&gt;0,J1601/AX1601,-1)</f>
        <v>0</v>
      </c>
      <c r="BB1601" s="58" t="n">
        <f aca="false">IF(AND(OR(BY1601="L1",BY1601="L23"),AX1601&gt;0),SUMIFS($AX$7:$AX$1843,$BY$7:$BY$1843,BY1601,$BA$7:$BA$1843,"&gt;"&amp;BA1601)+SUMIFS($AX$7:$AX$1843,$BY$7:$BY$1843,BY1601,$BA$7:$BA$1843,BA1601,$BQ$7:$BQ$1843,"&lt;="&amp;BQ1601),"")</f>
        <v>122.04471132732</v>
      </c>
      <c r="BC1601" s="65" t="n">
        <f aca="false">IF(BB1601="",0,MAX(0,MIN(1,(IF(BY1601="L1",Parameter!$E$5,Parameter!$E$6+Parameter!$E$7)-(BB1601-AX1601))/AX1601)))</f>
        <v>0</v>
      </c>
      <c r="BD1601" s="55" t="str">
        <f aca="false">IF(AH1601&lt;=0,"",IF(BY1601="Aussen","Aussenlager",IF(BY1601="-","Nicht im Lift",IF(AM1601&gt;=1,"Lift",IF(AM1601&lt;=0,"Aussenlager","teilweise")))))</f>
        <v>Lift</v>
      </c>
      <c r="BE1601" s="55" t="str">
        <f aca="false">IF(AP1601&lt;=0,"",IF(BY1601="Aussen","Aussenlager",IF(BY1601="-","Nicht im Lift",IF(AU1601&gt;=1,"Lift",IF(AU1601&lt;=0,"Aussenlager","teilweise")))))</f>
        <v>Aussenlager</v>
      </c>
      <c r="BF1601" s="55" t="str">
        <f aca="false">IF(AX1601&lt;=0,"",IF(BY1601="Aussen","Aussenlager",IF(BY1601="-","Nicht im Lift",IF(BC1601&gt;=1,"Lift",IF(BC1601&lt;=0,"Aussenlager","teilweise")))))</f>
        <v>Aussenlager</v>
      </c>
      <c r="BG1601" s="55" t="str">
        <f aca="false">IF(A1601="","",IF(BP1601=1,"Neu; ","")&amp;IF(AND(BP1601=0,BK1601&lt;0),"negativer Bestand (Export "&amp;BK1601&amp;"); ","")&amp;IF(J1601&lt;=0,"Kein Verbrauch; ","")&amp;IF(CH1601&gt;0,"Lift "&amp;W1601&amp;" lt. Liftbericht (Fach "&amp;X1601&amp;" Stk); ",IF(BU1601=1,"Gebinde geschätzt ("&amp;T1601&amp;"); ",IF(BT1601=1,"Lose – Tablare geschätzt; ","")))&amp;IF(H1601&gt;AR1601,"Überbestand "&amp;ROUND(H1601-AR1601,0)&amp;" Stk / CHF "&amp;ROUND((H1601-AR1601)*G1601,0)&amp;"; ","")&amp;IF(AND(CA1601=1,CB1601&lt;CC1601),"MAX &lt; MB+LG; ","")&amp;IF(AND(CG1601&gt;0,CF1601*10&gt;CG1601),"zu hoch für Tablar; ","")&amp;IF(AND(BP1601=0,OR(CA1601=1,AA1601&lt;&gt;"",U1601&lt;&gt;"",V1601&lt;&gt;"",AB1601&lt;&gt;"")),"manuell übersteuert; ","")&amp;IF(AND(BT1601=0,R1601=0),"Gebinde unbekannt / Stellmass fehlt; ","")&amp;IF(AND(BT1601=0,N(V1601)&lt;=0,N(Q1601)&lt;=0),"Menge pro Gebinde fehlt (Ist = 1 Gebinde); ","")&amp;BO1601)</f>
        <v>Kein Verbrauch; Gebinde geschätzt (Klein); Menge pro Gebinde fehlt (Ist = 1 Gebinde); nur im Artikelstamm (Bestand 23.06.2026)</v>
      </c>
      <c r="BH1601" s="55"/>
      <c r="BI1601" s="55"/>
      <c r="BJ1601" s="62"/>
      <c r="BK1601" s="57" t="n">
        <v>2</v>
      </c>
      <c r="BL1601" s="57" t="n">
        <v>0</v>
      </c>
      <c r="BM1601" s="56" t="n">
        <v>0</v>
      </c>
      <c r="BN1601" s="57" t="n">
        <v>0</v>
      </c>
      <c r="BO1601" s="55" t="s">
        <v>2575</v>
      </c>
      <c r="BP1601" s="60" t="n">
        <v>0</v>
      </c>
      <c r="BQ1601" s="60" t="n">
        <v>1601</v>
      </c>
      <c r="BR1601" s="55" t="str">
        <f aca="false">IF(U1601&lt;&gt;"",UPPER(TRIM(U1601)),IF(BU1601=1,UPPER(VLOOKUP(T1601,Parameter!$I$27:$K$29,2,0)),IF(P1601="","LOSE",P1601)))</f>
        <v>S51</v>
      </c>
      <c r="BS1601" s="57" t="n">
        <f aca="false">IF(BR1601="LOSE",1,IF(N(V1601)&gt;0,V1601,IF(BU1601=1,MAX(1,N(VLOOKUP(T1601,Parameter!$I$27:$K$29,3,0)),H1601,N(N1601)),IF(N(Q1601)&gt;0,Q1601,MAX(1,H1601)))))</f>
        <v>20</v>
      </c>
      <c r="BT1601" s="60" t="n">
        <f aca="false">IF(BR1601="LOSE",1,0)</f>
        <v>0</v>
      </c>
      <c r="BU1601" s="60" t="n">
        <f aca="false">IF(AND(U1601="",OR(P1601="",P1601="LOSE"),T1601&lt;&gt;"",N(S1601)&lt;=0,ISNUMBER(MATCH(T1601,Parameter!$I$27:$I$29,0))),1,0)</f>
        <v>1</v>
      </c>
      <c r="BV1601" s="55" t="str">
        <f aca="false">IF(AND(Parameter!$B$19="Ja",E1601&lt;&gt;"",ISNUMBER(MATCH(E1601,Parameter!$I$35:$I$52,0))),VLOOKUP(E1601,Parameter!$I$35:$J$52,2,0),IFERROR(VLOOKUP(D1601,Parameter!$A$35:$C$64,2,0),"Nein"))</f>
        <v>2+3</v>
      </c>
      <c r="BW1601" s="59" t="n">
        <f aca="false">IF(BT1601=0,0,IF(N(S1601)&gt;0,S1601,IFERROR(VLOOKUP(D1601,Parameter!$A$35:$C$64,3,0)+0,0)))</f>
        <v>0</v>
      </c>
      <c r="BX1601" s="55" t="n">
        <f aca="false">IF(AA1601&lt;&gt;"",AA1601,Z1601)</f>
        <v>3</v>
      </c>
      <c r="BY1601" s="55" t="str">
        <f aca="false">IF(BX1601=1,"L1",IF(OR(BX1601=2,BX1601=3),"L23",IF(BX1601="Aussen","Aussen","-")))</f>
        <v>L23</v>
      </c>
      <c r="BZ1601" s="66" t="n">
        <f aca="false">IF(N(AB1601)&gt;0,AB1601,0)</f>
        <v>0</v>
      </c>
      <c r="CA1601" s="60" t="n">
        <f aca="false">IF(ISNUMBER(AE1601),1,0)</f>
        <v>0</v>
      </c>
      <c r="CB1601" s="57" t="n">
        <f aca="false">N(AE1601)</f>
        <v>0</v>
      </c>
      <c r="CC1601" s="57" t="n">
        <f aca="false">N(M1601)+N(N1601)</f>
        <v>1</v>
      </c>
      <c r="CD1601" s="57" t="n">
        <f aca="false">ROUNDUP(H1601/BS1601,0)</f>
        <v>1</v>
      </c>
      <c r="CE1601" s="57" t="n">
        <f aca="false">ROUNDUP(CB1601/BS1601,0)</f>
        <v>0</v>
      </c>
      <c r="CF1601" s="60" t="n">
        <f aca="false">IF(BT1601=1,0,IFERROR(VLOOKUP(BR1601,'Gebinde-Kategorie'!$A$5:$M$45,5,0)+0,0))</f>
        <v>11</v>
      </c>
      <c r="CG1601" s="60" t="n">
        <f aca="false">IFERROR(IF(OR(BX1601=1,BX1601=2,BX1601=3),N(INDEX(Parameter!$I$5:$I$7,BX1601)),0),0)</f>
        <v>0</v>
      </c>
      <c r="CH1601" s="59" t="n">
        <f aca="false">IF(AND(Parameter!$B$21="Ja",ISNUMBER(W1601),N(X1601)&gt;0),IFERROR(N(INDEX(Parameter!$L$5:$L$7,W1601))*INDEX(Parameter!$E$5:$E$7,W1601)*X1601/SUMIFS($X$7:$X$1843,$W$7:$W$1843,W1601),0),0)</f>
        <v>0</v>
      </c>
    </row>
    <row r="1602" customFormat="false" ht="15" hidden="false" customHeight="false" outlineLevel="0" collapsed="false">
      <c r="A1602" s="55" t="s">
        <v>2792</v>
      </c>
      <c r="B1602" s="55" t="s">
        <v>947</v>
      </c>
      <c r="C1602" s="55" t="s">
        <v>164</v>
      </c>
      <c r="D1602" s="55" t="s">
        <v>184</v>
      </c>
      <c r="E1602" s="55"/>
      <c r="F1602" s="55"/>
      <c r="G1602" s="56" t="n">
        <v>1.84</v>
      </c>
      <c r="H1602" s="57" t="n">
        <f aca="false">MAX(0,IF(AND(Parameter!$B$21="Ja",ISNUMBER(Y1602)),Y1602,IF(Parameter!$B$20="Jahresanfang 2025 + Export",BL1602+BK1602,BK1602)))</f>
        <v>45</v>
      </c>
      <c r="I1602" s="57" t="n">
        <f aca="false">H1602*G1602</f>
        <v>82.8</v>
      </c>
      <c r="J1602" s="57" t="n">
        <f aca="false">BN1602*Parameter!$B$18</f>
        <v>0</v>
      </c>
      <c r="K1602" s="58"/>
      <c r="L1602" s="59"/>
      <c r="M1602" s="57" t="n">
        <v>0</v>
      </c>
      <c r="N1602" s="57" t="n">
        <v>1</v>
      </c>
      <c r="O1602" s="60" t="n">
        <v>28</v>
      </c>
      <c r="P1602" s="55" t="s">
        <v>168</v>
      </c>
      <c r="Q1602" s="57"/>
      <c r="R1602" s="60" t="n">
        <f aca="false">IF(BT1602=1,0,IFERROR(VLOOKUP(BR1602,'Gebinde-Kategorie'!$A$5:$M$45,13,0)+0,0))</f>
        <v>26</v>
      </c>
      <c r="S1602" s="61"/>
      <c r="T1602" s="62" t="s">
        <v>275</v>
      </c>
      <c r="U1602" s="62"/>
      <c r="V1602" s="62"/>
      <c r="W1602" s="55"/>
      <c r="X1602" s="57"/>
      <c r="Y1602" s="57"/>
      <c r="Z1602" s="55" t="n">
        <f aca="false">IF(A1602="","",IF(AND(Parameter!$B$21="Ja",ISNUMBER(W1602)),W1602,IF(BV1602="2+3",IF(ISNUMBER(SEARCH("grosser Artikel",BO1602)),2,IFERROR(VLOOKUP(BR1602,Parameter!$F$35:$G$64,2,0),2)),IF(OR(BV1602="Nein",BV1602=""),"-",BV1602))))</f>
        <v>3</v>
      </c>
      <c r="AA1602" s="62"/>
      <c r="AB1602" s="63"/>
      <c r="AC1602" s="57" t="n">
        <f aca="false">AR1602</f>
        <v>45</v>
      </c>
      <c r="AD1602" s="57" t="n">
        <f aca="false">MAX(AR1602,H1602)</f>
        <v>45</v>
      </c>
      <c r="AE1602" s="64"/>
      <c r="AF1602" s="57" t="n">
        <f aca="false">IF(LEFT(Cockpit!$C$5,1)="A",H1602,IF(CA1602=1,CB1602,IF(LEFT(Cockpit!$C$5,1)="B",AJ1602,MAX(AJ1602,H1602))))</f>
        <v>45</v>
      </c>
      <c r="AG1602" s="57" t="n">
        <f aca="false">IF(BT1602=1,0,ROUNDUP(AF1602/BS1602,0))</f>
        <v>1</v>
      </c>
      <c r="AH1602" s="59" t="n">
        <f aca="false">IF(CH1602&gt;0,CH1602*MAX(1,AF1602/X1602),IF(BT1602=1,IF(AF1602&lt;=0,0,BW1602*MAX(1,IF(H1602&gt;0,AF1602/H1602,1))),IF(R1602&gt;0,AG1602/R1602,0))/MAX(0.1,N(Parameter!$M$21)))</f>
        <v>0.0384615384615385</v>
      </c>
      <c r="AI1602" s="57" t="n">
        <f aca="false">AF1602*G1602</f>
        <v>82.8</v>
      </c>
      <c r="AJ1602" s="57" t="n">
        <f aca="false">ROUNDUP(MAX(J1602/IF(BZ1602&gt;0,BZ1602,MAX(0.1,N(Cockpit!$C$6))),CC1602)/BS1602,0)*BS1602</f>
        <v>45</v>
      </c>
      <c r="AK1602" s="58" t="n">
        <f aca="false">IF(AH1602&gt;0,J1602/AH1602,-1)</f>
        <v>0</v>
      </c>
      <c r="AL1602" s="58" t="n">
        <f aca="false">IF(AND(OR(BY1602="L1",BY1602="L23"),AH1602&gt;0),SUMIFS($AH$7:$AH$1843,$BY$7:$BY$1843,BY1602,$AK$7:$AK$1843,"&gt;"&amp;AK1602)+SUMIFS($AH$7:$AH$1843,$BY$7:$BY$1843,BY1602,$AK$7:$AK$1843,AK1602,$BQ$7:$BQ$1843,"&lt;="&amp;BQ1602),"")</f>
        <v>86.001199283808</v>
      </c>
      <c r="AM1602" s="65" t="n">
        <f aca="false">IF(AL1602="",0,MAX(0,MIN(1,(IF(BY1602="L1",Parameter!$E$5,Parameter!$E$6+Parameter!$E$7)-(AL1602-AH1602))/AH1602)))</f>
        <v>1</v>
      </c>
      <c r="AN1602" s="57" t="n">
        <f aca="false">IF(LEFT(Cockpit!$I$5,1)="A",H1602,IF(CA1602=1,CB1602,IF(LEFT(Cockpit!$I$5,1)="B",AR1602,MAX(AR1602,H1602))))</f>
        <v>45</v>
      </c>
      <c r="AO1602" s="57" t="n">
        <f aca="false">IF(BT1602=1,0,ROUNDUP(AN1602/BS1602,0))</f>
        <v>1</v>
      </c>
      <c r="AP1602" s="59" t="n">
        <f aca="false">IF(CH1602&gt;0,CH1602*MAX(1,AN1602/X1602),IF(BT1602=1,IF(AN1602&lt;=0,0,BW1602*MAX(1,IF(H1602&gt;0,AN1602/H1602,1))),IF(R1602&gt;0,AO1602/R1602,0))/MAX(0.1,N(Parameter!$M$21)))</f>
        <v>0.0384615384615385</v>
      </c>
      <c r="AQ1602" s="57" t="n">
        <f aca="false">AN1602*G1602</f>
        <v>82.8</v>
      </c>
      <c r="AR1602" s="57" t="n">
        <f aca="false">ROUNDUP(MAX(J1602/IF(BZ1602&gt;0,BZ1602,MAX(0.1,N(Cockpit!$I$6))),CC1602)/BS1602,0)*BS1602</f>
        <v>45</v>
      </c>
      <c r="AS1602" s="58" t="n">
        <f aca="false">IF(AP1602&gt;0,J1602/AP1602,-1)</f>
        <v>0</v>
      </c>
      <c r="AT1602" s="58" t="n">
        <f aca="false">IF(AND(OR(BY1602="L1",BY1602="L23"),AP1602&gt;0),SUMIFS($AP$7:$AP$1843,$BY$7:$BY$1843,BY1602,$AS$7:$AS$1843,"&gt;"&amp;AS1602)+SUMIFS($AP$7:$AP$1843,$BY$7:$BY$1843,BY1602,$AS$7:$AS$1843,AS1602,$BQ$7:$BQ$1843,"&lt;="&amp;BQ1602),"")</f>
        <v>131.253336035945</v>
      </c>
      <c r="AU1602" s="65" t="n">
        <f aca="false">IF(AT1602="",0,MAX(0,MIN(1,(IF(BY1602="L1",Parameter!$E$5,Parameter!$E$6+Parameter!$E$7)-(AT1602-AP1602))/AP1602)))</f>
        <v>0</v>
      </c>
      <c r="AV1602" s="57" t="n">
        <f aca="false">IF(LEFT(Cockpit!$O$5,1)="A",H1602,IF(CA1602=1,CB1602,IF(LEFT(Cockpit!$O$5,1)="B",AZ1602,MAX(AZ1602,H1602))))</f>
        <v>45</v>
      </c>
      <c r="AW1602" s="57" t="n">
        <f aca="false">IF(BT1602=1,0,ROUNDUP(AV1602/BS1602,0))</f>
        <v>1</v>
      </c>
      <c r="AX1602" s="59" t="n">
        <f aca="false">IF(CH1602&gt;0,CH1602*MAX(1,AV1602/X1602),IF(BT1602=1,IF(AV1602&lt;=0,0,BW1602*MAX(1,IF(H1602&gt;0,AV1602/H1602,1))),IF(R1602&gt;0,AW1602/R1602,0))/MAX(0.1,N(Parameter!$M$21)))</f>
        <v>0.0384615384615385</v>
      </c>
      <c r="AY1602" s="57" t="n">
        <f aca="false">AV1602*G1602</f>
        <v>82.8</v>
      </c>
      <c r="AZ1602" s="57" t="n">
        <f aca="false">ROUNDUP(MAX(J1602/IF(BZ1602&gt;0,BZ1602,MAX(0.1,N(Cockpit!$O$6))),CC1602)/BS1602,0)*BS1602</f>
        <v>45</v>
      </c>
      <c r="BA1602" s="58" t="n">
        <f aca="false">IF(AX1602&gt;0,J1602/AX1602,-1)</f>
        <v>0</v>
      </c>
      <c r="BB1602" s="58" t="n">
        <f aca="false">IF(AND(OR(BY1602="L1",BY1602="L23"),AX1602&gt;0),SUMIFS($AX$7:$AX$1843,$BY$7:$BY$1843,BY1602,$BA$7:$BA$1843,"&gt;"&amp;BA1602)+SUMIFS($AX$7:$AX$1843,$BY$7:$BY$1843,BY1602,$BA$7:$BA$1843,BA1602,$BQ$7:$BQ$1843,"&lt;="&amp;BQ1602),"")</f>
        <v>122.083172865782</v>
      </c>
      <c r="BC1602" s="65" t="n">
        <f aca="false">IF(BB1602="",0,MAX(0,MIN(1,(IF(BY1602="L1",Parameter!$E$5,Parameter!$E$6+Parameter!$E$7)-(BB1602-AX1602))/AX1602)))</f>
        <v>0</v>
      </c>
      <c r="BD1602" s="55" t="str">
        <f aca="false">IF(AH1602&lt;=0,"",IF(BY1602="Aussen","Aussenlager",IF(BY1602="-","Nicht im Lift",IF(AM1602&gt;=1,"Lift",IF(AM1602&lt;=0,"Aussenlager","teilweise")))))</f>
        <v>Lift</v>
      </c>
      <c r="BE1602" s="55" t="str">
        <f aca="false">IF(AP1602&lt;=0,"",IF(BY1602="Aussen","Aussenlager",IF(BY1602="-","Nicht im Lift",IF(AU1602&gt;=1,"Lift",IF(AU1602&lt;=0,"Aussenlager","teilweise")))))</f>
        <v>Aussenlager</v>
      </c>
      <c r="BF1602" s="55" t="str">
        <f aca="false">IF(AX1602&lt;=0,"",IF(BY1602="Aussen","Aussenlager",IF(BY1602="-","Nicht im Lift",IF(BC1602&gt;=1,"Lift",IF(BC1602&lt;=0,"Aussenlager","teilweise")))))</f>
        <v>Aussenlager</v>
      </c>
      <c r="BG1602" s="55" t="str">
        <f aca="false">IF(A1602="","",IF(BP1602=1,"Neu; ","")&amp;IF(AND(BP1602=0,BK1602&lt;0),"negativer Bestand (Export "&amp;BK1602&amp;"); ","")&amp;IF(J1602&lt;=0,"Kein Verbrauch; ","")&amp;IF(CH1602&gt;0,"Lift "&amp;W1602&amp;" lt. Liftbericht (Fach "&amp;X1602&amp;" Stk); ",IF(BU1602=1,"Gebinde geschätzt ("&amp;T1602&amp;"); ",IF(BT1602=1,"Lose – Tablare geschätzt; ","")))&amp;IF(H1602&gt;AR1602,"Überbestand "&amp;ROUND(H1602-AR1602,0)&amp;" Stk / CHF "&amp;ROUND((H1602-AR1602)*G1602,0)&amp;"; ","")&amp;IF(AND(CA1602=1,CB1602&lt;CC1602),"MAX &lt; MB+LG; ","")&amp;IF(AND(CG1602&gt;0,CF1602*10&gt;CG1602),"zu hoch für Tablar; ","")&amp;IF(AND(BP1602=0,OR(CA1602=1,AA1602&lt;&gt;"",U1602&lt;&gt;"",V1602&lt;&gt;"",AB1602&lt;&gt;"")),"manuell übersteuert; ","")&amp;IF(AND(BT1602=0,R1602=0),"Gebinde unbekannt / Stellmass fehlt; ","")&amp;IF(AND(BT1602=0,N(V1602)&lt;=0,N(Q1602)&lt;=0),"Menge pro Gebinde fehlt (Ist = 1 Gebinde); ","")&amp;BO1602)</f>
        <v>Kein Verbrauch; Gebinde geschätzt (Klein); Menge pro Gebinde fehlt (Ist = 1 Gebinde); nur im Artikelstamm (Bestand 23.06.2026)</v>
      </c>
      <c r="BH1602" s="55"/>
      <c r="BI1602" s="55"/>
      <c r="BJ1602" s="62"/>
      <c r="BK1602" s="57" t="n">
        <v>45</v>
      </c>
      <c r="BL1602" s="57" t="n">
        <v>0</v>
      </c>
      <c r="BM1602" s="56" t="n">
        <v>0</v>
      </c>
      <c r="BN1602" s="57" t="n">
        <v>0</v>
      </c>
      <c r="BO1602" s="55" t="s">
        <v>2575</v>
      </c>
      <c r="BP1602" s="60" t="n">
        <v>0</v>
      </c>
      <c r="BQ1602" s="60" t="n">
        <v>1602</v>
      </c>
      <c r="BR1602" s="55" t="str">
        <f aca="false">IF(U1602&lt;&gt;"",UPPER(TRIM(U1602)),IF(BU1602=1,UPPER(VLOOKUP(T1602,Parameter!$I$27:$K$29,2,0)),IF(P1602="","LOSE",P1602)))</f>
        <v>S51</v>
      </c>
      <c r="BS1602" s="57" t="n">
        <f aca="false">IF(BR1602="LOSE",1,IF(N(V1602)&gt;0,V1602,IF(BU1602=1,MAX(1,N(VLOOKUP(T1602,Parameter!$I$27:$K$29,3,0)),H1602,N(N1602)),IF(N(Q1602)&gt;0,Q1602,MAX(1,H1602)))))</f>
        <v>45</v>
      </c>
      <c r="BT1602" s="60" t="n">
        <f aca="false">IF(BR1602="LOSE",1,0)</f>
        <v>0</v>
      </c>
      <c r="BU1602" s="60" t="n">
        <f aca="false">IF(AND(U1602="",OR(P1602="",P1602="LOSE"),T1602&lt;&gt;"",N(S1602)&lt;=0,ISNUMBER(MATCH(T1602,Parameter!$I$27:$I$29,0))),1,0)</f>
        <v>1</v>
      </c>
      <c r="BV1602" s="55" t="str">
        <f aca="false">IF(AND(Parameter!$B$19="Ja",E1602&lt;&gt;"",ISNUMBER(MATCH(E1602,Parameter!$I$35:$I$52,0))),VLOOKUP(E1602,Parameter!$I$35:$J$52,2,0),IFERROR(VLOOKUP(D1602,Parameter!$A$35:$C$64,2,0),"Nein"))</f>
        <v>2+3</v>
      </c>
      <c r="BW1602" s="59" t="n">
        <f aca="false">IF(BT1602=0,0,IF(N(S1602)&gt;0,S1602,IFERROR(VLOOKUP(D1602,Parameter!$A$35:$C$64,3,0)+0,0)))</f>
        <v>0</v>
      </c>
      <c r="BX1602" s="55" t="n">
        <f aca="false">IF(AA1602&lt;&gt;"",AA1602,Z1602)</f>
        <v>3</v>
      </c>
      <c r="BY1602" s="55" t="str">
        <f aca="false">IF(BX1602=1,"L1",IF(OR(BX1602=2,BX1602=3),"L23",IF(BX1602="Aussen","Aussen","-")))</f>
        <v>L23</v>
      </c>
      <c r="BZ1602" s="66" t="n">
        <f aca="false">IF(N(AB1602)&gt;0,AB1602,0)</f>
        <v>0</v>
      </c>
      <c r="CA1602" s="60" t="n">
        <f aca="false">IF(ISNUMBER(AE1602),1,0)</f>
        <v>0</v>
      </c>
      <c r="CB1602" s="57" t="n">
        <f aca="false">N(AE1602)</f>
        <v>0</v>
      </c>
      <c r="CC1602" s="57" t="n">
        <f aca="false">N(M1602)+N(N1602)</f>
        <v>1</v>
      </c>
      <c r="CD1602" s="57" t="n">
        <f aca="false">ROUNDUP(H1602/BS1602,0)</f>
        <v>1</v>
      </c>
      <c r="CE1602" s="57" t="n">
        <f aca="false">ROUNDUP(CB1602/BS1602,0)</f>
        <v>0</v>
      </c>
      <c r="CF1602" s="60" t="n">
        <f aca="false">IF(BT1602=1,0,IFERROR(VLOOKUP(BR1602,'Gebinde-Kategorie'!$A$5:$M$45,5,0)+0,0))</f>
        <v>11</v>
      </c>
      <c r="CG1602" s="60" t="n">
        <f aca="false">IFERROR(IF(OR(BX1602=1,BX1602=2,BX1602=3),N(INDEX(Parameter!$I$5:$I$7,BX1602)),0),0)</f>
        <v>0</v>
      </c>
      <c r="CH1602" s="59" t="n">
        <f aca="false">IF(AND(Parameter!$B$21="Ja",ISNUMBER(W1602),N(X1602)&gt;0),IFERROR(N(INDEX(Parameter!$L$5:$L$7,W1602))*INDEX(Parameter!$E$5:$E$7,W1602)*X1602/SUMIFS($X$7:$X$1843,$W$7:$W$1843,W1602),0),0)</f>
        <v>0</v>
      </c>
    </row>
    <row r="1603" customFormat="false" ht="15" hidden="false" customHeight="false" outlineLevel="0" collapsed="false">
      <c r="A1603" s="55" t="s">
        <v>2793</v>
      </c>
      <c r="B1603" s="55" t="s">
        <v>2794</v>
      </c>
      <c r="C1603" s="55" t="s">
        <v>164</v>
      </c>
      <c r="D1603" s="55" t="s">
        <v>184</v>
      </c>
      <c r="E1603" s="55"/>
      <c r="F1603" s="55"/>
      <c r="G1603" s="56" t="n">
        <v>28.6</v>
      </c>
      <c r="H1603" s="57" t="n">
        <f aca="false">MAX(0,IF(AND(Parameter!$B$21="Ja",ISNUMBER(Y1603)),Y1603,IF(Parameter!$B$20="Jahresanfang 2025 + Export",BL1603+BK1603,BK1603)))</f>
        <v>6</v>
      </c>
      <c r="I1603" s="57" t="n">
        <f aca="false">H1603*G1603</f>
        <v>171.6</v>
      </c>
      <c r="J1603" s="57" t="n">
        <f aca="false">BN1603*Parameter!$B$18</f>
        <v>0</v>
      </c>
      <c r="K1603" s="58"/>
      <c r="L1603" s="59"/>
      <c r="M1603" s="57" t="n">
        <v>0</v>
      </c>
      <c r="N1603" s="57" t="n">
        <v>10</v>
      </c>
      <c r="O1603" s="60" t="n">
        <v>14</v>
      </c>
      <c r="P1603" s="55" t="s">
        <v>168</v>
      </c>
      <c r="Q1603" s="57"/>
      <c r="R1603" s="60" t="n">
        <f aca="false">IF(BT1603=1,0,IFERROR(VLOOKUP(BR1603,'Gebinde-Kategorie'!$A$5:$M$45,13,0)+0,0))</f>
        <v>26</v>
      </c>
      <c r="S1603" s="61"/>
      <c r="T1603" s="62" t="s">
        <v>275</v>
      </c>
      <c r="U1603" s="62"/>
      <c r="V1603" s="62"/>
      <c r="W1603" s="55"/>
      <c r="X1603" s="57"/>
      <c r="Y1603" s="57"/>
      <c r="Z1603" s="55" t="n">
        <f aca="false">IF(A1603="","",IF(AND(Parameter!$B$21="Ja",ISNUMBER(W1603)),W1603,IF(BV1603="2+3",IF(ISNUMBER(SEARCH("grosser Artikel",BO1603)),2,IFERROR(VLOOKUP(BR1603,Parameter!$F$35:$G$64,2,0),2)),IF(OR(BV1603="Nein",BV1603=""),"-",BV1603))))</f>
        <v>3</v>
      </c>
      <c r="AA1603" s="62"/>
      <c r="AB1603" s="63"/>
      <c r="AC1603" s="57" t="n">
        <f aca="false">AR1603</f>
        <v>20</v>
      </c>
      <c r="AD1603" s="57" t="n">
        <f aca="false">MAX(AR1603,H1603)</f>
        <v>20</v>
      </c>
      <c r="AE1603" s="64"/>
      <c r="AF1603" s="57" t="n">
        <f aca="false">IF(LEFT(Cockpit!$C$5,1)="A",H1603,IF(CA1603=1,CB1603,IF(LEFT(Cockpit!$C$5,1)="B",AJ1603,MAX(AJ1603,H1603))))</f>
        <v>6</v>
      </c>
      <c r="AG1603" s="57" t="n">
        <f aca="false">IF(BT1603=1,0,ROUNDUP(AF1603/BS1603,0))</f>
        <v>1</v>
      </c>
      <c r="AH1603" s="59" t="n">
        <f aca="false">IF(CH1603&gt;0,CH1603*MAX(1,AF1603/X1603),IF(BT1603=1,IF(AF1603&lt;=0,0,BW1603*MAX(1,IF(H1603&gt;0,AF1603/H1603,1))),IF(R1603&gt;0,AG1603/R1603,0))/MAX(0.1,N(Parameter!$M$21)))</f>
        <v>0.0384615384615385</v>
      </c>
      <c r="AI1603" s="57" t="n">
        <f aca="false">AF1603*G1603</f>
        <v>171.6</v>
      </c>
      <c r="AJ1603" s="57" t="n">
        <f aca="false">ROUNDUP(MAX(J1603/IF(BZ1603&gt;0,BZ1603,MAX(0.1,N(Cockpit!$C$6))),CC1603)/BS1603,0)*BS1603</f>
        <v>20</v>
      </c>
      <c r="AK1603" s="58" t="n">
        <f aca="false">IF(AH1603&gt;0,J1603/AH1603,-1)</f>
        <v>0</v>
      </c>
      <c r="AL1603" s="58" t="n">
        <f aca="false">IF(AND(OR(BY1603="L1",BY1603="L23"),AH1603&gt;0),SUMIFS($AH$7:$AH$1843,$BY$7:$BY$1843,BY1603,$AK$7:$AK$1843,"&gt;"&amp;AK1603)+SUMIFS($AH$7:$AH$1843,$BY$7:$BY$1843,BY1603,$AK$7:$AK$1843,AK1603,$BQ$7:$BQ$1843,"&lt;="&amp;BQ1603),"")</f>
        <v>86.0396608222695</v>
      </c>
      <c r="AM1603" s="65" t="n">
        <f aca="false">IF(AL1603="",0,MAX(0,MIN(1,(IF(BY1603="L1",Parameter!$E$5,Parameter!$E$6+Parameter!$E$7)-(AL1603-AH1603))/AH1603)))</f>
        <v>1</v>
      </c>
      <c r="AN1603" s="57" t="n">
        <f aca="false">IF(LEFT(Cockpit!$I$5,1)="A",H1603,IF(CA1603=1,CB1603,IF(LEFT(Cockpit!$I$5,1)="B",AR1603,MAX(AR1603,H1603))))</f>
        <v>20</v>
      </c>
      <c r="AO1603" s="57" t="n">
        <f aca="false">IF(BT1603=1,0,ROUNDUP(AN1603/BS1603,0))</f>
        <v>1</v>
      </c>
      <c r="AP1603" s="59" t="n">
        <f aca="false">IF(CH1603&gt;0,CH1603*MAX(1,AN1603/X1603),IF(BT1603=1,IF(AN1603&lt;=0,0,BW1603*MAX(1,IF(H1603&gt;0,AN1603/H1603,1))),IF(R1603&gt;0,AO1603/R1603,0))/MAX(0.1,N(Parameter!$M$21)))</f>
        <v>0.0384615384615385</v>
      </c>
      <c r="AQ1603" s="57" t="n">
        <f aca="false">AN1603*G1603</f>
        <v>572</v>
      </c>
      <c r="AR1603" s="57" t="n">
        <f aca="false">ROUNDUP(MAX(J1603/IF(BZ1603&gt;0,BZ1603,MAX(0.1,N(Cockpit!$I$6))),CC1603)/BS1603,0)*BS1603</f>
        <v>20</v>
      </c>
      <c r="AS1603" s="58" t="n">
        <f aca="false">IF(AP1603&gt;0,J1603/AP1603,-1)</f>
        <v>0</v>
      </c>
      <c r="AT1603" s="58" t="n">
        <f aca="false">IF(AND(OR(BY1603="L1",BY1603="L23"),AP1603&gt;0),SUMIFS($AP$7:$AP$1843,$BY$7:$BY$1843,BY1603,$AS$7:$AS$1843,"&gt;"&amp;AS1603)+SUMIFS($AP$7:$AP$1843,$BY$7:$BY$1843,BY1603,$AS$7:$AS$1843,AS1603,$BQ$7:$BQ$1843,"&lt;="&amp;BQ1603),"")</f>
        <v>131.291797574406</v>
      </c>
      <c r="AU1603" s="65" t="n">
        <f aca="false">IF(AT1603="",0,MAX(0,MIN(1,(IF(BY1603="L1",Parameter!$E$5,Parameter!$E$6+Parameter!$E$7)-(AT1603-AP1603))/AP1603)))</f>
        <v>0</v>
      </c>
      <c r="AV1603" s="57" t="n">
        <f aca="false">IF(LEFT(Cockpit!$O$5,1)="A",H1603,IF(CA1603=1,CB1603,IF(LEFT(Cockpit!$O$5,1)="B",AZ1603,MAX(AZ1603,H1603))))</f>
        <v>20</v>
      </c>
      <c r="AW1603" s="57" t="n">
        <f aca="false">IF(BT1603=1,0,ROUNDUP(AV1603/BS1603,0))</f>
        <v>1</v>
      </c>
      <c r="AX1603" s="59" t="n">
        <f aca="false">IF(CH1603&gt;0,CH1603*MAX(1,AV1603/X1603),IF(BT1603=1,IF(AV1603&lt;=0,0,BW1603*MAX(1,IF(H1603&gt;0,AV1603/H1603,1))),IF(R1603&gt;0,AW1603/R1603,0))/MAX(0.1,N(Parameter!$M$21)))</f>
        <v>0.0384615384615385</v>
      </c>
      <c r="AY1603" s="57" t="n">
        <f aca="false">AV1603*G1603</f>
        <v>572</v>
      </c>
      <c r="AZ1603" s="57" t="n">
        <f aca="false">ROUNDUP(MAX(J1603/IF(BZ1603&gt;0,BZ1603,MAX(0.1,N(Cockpit!$O$6))),CC1603)/BS1603,0)*BS1603</f>
        <v>20</v>
      </c>
      <c r="BA1603" s="58" t="n">
        <f aca="false">IF(AX1603&gt;0,J1603/AX1603,-1)</f>
        <v>0</v>
      </c>
      <c r="BB1603" s="58" t="n">
        <f aca="false">IF(AND(OR(BY1603="L1",BY1603="L23"),AX1603&gt;0),SUMIFS($AX$7:$AX$1843,$BY$7:$BY$1843,BY1603,$BA$7:$BA$1843,"&gt;"&amp;BA1603)+SUMIFS($AX$7:$AX$1843,$BY$7:$BY$1843,BY1603,$BA$7:$BA$1843,BA1603,$BQ$7:$BQ$1843,"&lt;="&amp;BQ1603),"")</f>
        <v>122.121634404243</v>
      </c>
      <c r="BC1603" s="65" t="n">
        <f aca="false">IF(BB1603="",0,MAX(0,MIN(1,(IF(BY1603="L1",Parameter!$E$5,Parameter!$E$6+Parameter!$E$7)-(BB1603-AX1603))/AX1603)))</f>
        <v>0</v>
      </c>
      <c r="BD1603" s="55" t="str">
        <f aca="false">IF(AH1603&lt;=0,"",IF(BY1603="Aussen","Aussenlager",IF(BY1603="-","Nicht im Lift",IF(AM1603&gt;=1,"Lift",IF(AM1603&lt;=0,"Aussenlager","teilweise")))))</f>
        <v>Lift</v>
      </c>
      <c r="BE1603" s="55" t="str">
        <f aca="false">IF(AP1603&lt;=0,"",IF(BY1603="Aussen","Aussenlager",IF(BY1603="-","Nicht im Lift",IF(AU1603&gt;=1,"Lift",IF(AU1603&lt;=0,"Aussenlager","teilweise")))))</f>
        <v>Aussenlager</v>
      </c>
      <c r="BF1603" s="55" t="str">
        <f aca="false">IF(AX1603&lt;=0,"",IF(BY1603="Aussen","Aussenlager",IF(BY1603="-","Nicht im Lift",IF(BC1603&gt;=1,"Lift",IF(BC1603&lt;=0,"Aussenlager","teilweise")))))</f>
        <v>Aussenlager</v>
      </c>
      <c r="BG1603" s="55" t="str">
        <f aca="false">IF(A1603="","",IF(BP1603=1,"Neu; ","")&amp;IF(AND(BP1603=0,BK1603&lt;0),"negativer Bestand (Export "&amp;BK1603&amp;"); ","")&amp;IF(J1603&lt;=0,"Kein Verbrauch; ","")&amp;IF(CH1603&gt;0,"Lift "&amp;W1603&amp;" lt. Liftbericht (Fach "&amp;X1603&amp;" Stk); ",IF(BU1603=1,"Gebinde geschätzt ("&amp;T1603&amp;"); ",IF(BT1603=1,"Lose – Tablare geschätzt; ","")))&amp;IF(H1603&gt;AR1603,"Überbestand "&amp;ROUND(H1603-AR1603,0)&amp;" Stk / CHF "&amp;ROUND((H1603-AR1603)*G1603,0)&amp;"; ","")&amp;IF(AND(CA1603=1,CB1603&lt;CC1603),"MAX &lt; MB+LG; ","")&amp;IF(AND(CG1603&gt;0,CF1603*10&gt;CG1603),"zu hoch für Tablar; ","")&amp;IF(AND(BP1603=0,OR(CA1603=1,AA1603&lt;&gt;"",U1603&lt;&gt;"",V1603&lt;&gt;"",AB1603&lt;&gt;"")),"manuell übersteuert; ","")&amp;IF(AND(BT1603=0,R1603=0),"Gebinde unbekannt / Stellmass fehlt; ","")&amp;IF(AND(BT1603=0,N(V1603)&lt;=0,N(Q1603)&lt;=0),"Menge pro Gebinde fehlt (Ist = 1 Gebinde); ","")&amp;BO1603)</f>
        <v>Kein Verbrauch; Gebinde geschätzt (Klein); Menge pro Gebinde fehlt (Ist = 1 Gebinde); nur im Artikelstamm (Bestand 23.06.2026)</v>
      </c>
      <c r="BH1603" s="55"/>
      <c r="BI1603" s="55"/>
      <c r="BJ1603" s="62"/>
      <c r="BK1603" s="57" t="n">
        <v>6</v>
      </c>
      <c r="BL1603" s="57" t="n">
        <v>0</v>
      </c>
      <c r="BM1603" s="56" t="n">
        <v>0</v>
      </c>
      <c r="BN1603" s="57" t="n">
        <v>0</v>
      </c>
      <c r="BO1603" s="55" t="s">
        <v>2575</v>
      </c>
      <c r="BP1603" s="60" t="n">
        <v>0</v>
      </c>
      <c r="BQ1603" s="60" t="n">
        <v>1603</v>
      </c>
      <c r="BR1603" s="55" t="str">
        <f aca="false">IF(U1603&lt;&gt;"",UPPER(TRIM(U1603)),IF(BU1603=1,UPPER(VLOOKUP(T1603,Parameter!$I$27:$K$29,2,0)),IF(P1603="","LOSE",P1603)))</f>
        <v>S51</v>
      </c>
      <c r="BS1603" s="57" t="n">
        <f aca="false">IF(BR1603="LOSE",1,IF(N(V1603)&gt;0,V1603,IF(BU1603=1,MAX(1,N(VLOOKUP(T1603,Parameter!$I$27:$K$29,3,0)),H1603,N(N1603)),IF(N(Q1603)&gt;0,Q1603,MAX(1,H1603)))))</f>
        <v>20</v>
      </c>
      <c r="BT1603" s="60" t="n">
        <f aca="false">IF(BR1603="LOSE",1,0)</f>
        <v>0</v>
      </c>
      <c r="BU1603" s="60" t="n">
        <f aca="false">IF(AND(U1603="",OR(P1603="",P1603="LOSE"),T1603&lt;&gt;"",N(S1603)&lt;=0,ISNUMBER(MATCH(T1603,Parameter!$I$27:$I$29,0))),1,0)</f>
        <v>1</v>
      </c>
      <c r="BV1603" s="55" t="str">
        <f aca="false">IF(AND(Parameter!$B$19="Ja",E1603&lt;&gt;"",ISNUMBER(MATCH(E1603,Parameter!$I$35:$I$52,0))),VLOOKUP(E1603,Parameter!$I$35:$J$52,2,0),IFERROR(VLOOKUP(D1603,Parameter!$A$35:$C$64,2,0),"Nein"))</f>
        <v>2+3</v>
      </c>
      <c r="BW1603" s="59" t="n">
        <f aca="false">IF(BT1603=0,0,IF(N(S1603)&gt;0,S1603,IFERROR(VLOOKUP(D1603,Parameter!$A$35:$C$64,3,0)+0,0)))</f>
        <v>0</v>
      </c>
      <c r="BX1603" s="55" t="n">
        <f aca="false">IF(AA1603&lt;&gt;"",AA1603,Z1603)</f>
        <v>3</v>
      </c>
      <c r="BY1603" s="55" t="str">
        <f aca="false">IF(BX1603=1,"L1",IF(OR(BX1603=2,BX1603=3),"L23",IF(BX1603="Aussen","Aussen","-")))</f>
        <v>L23</v>
      </c>
      <c r="BZ1603" s="66" t="n">
        <f aca="false">IF(N(AB1603)&gt;0,AB1603,0)</f>
        <v>0</v>
      </c>
      <c r="CA1603" s="60" t="n">
        <f aca="false">IF(ISNUMBER(AE1603),1,0)</f>
        <v>0</v>
      </c>
      <c r="CB1603" s="57" t="n">
        <f aca="false">N(AE1603)</f>
        <v>0</v>
      </c>
      <c r="CC1603" s="57" t="n">
        <f aca="false">N(M1603)+N(N1603)</f>
        <v>10</v>
      </c>
      <c r="CD1603" s="57" t="n">
        <f aca="false">ROUNDUP(H1603/BS1603,0)</f>
        <v>1</v>
      </c>
      <c r="CE1603" s="57" t="n">
        <f aca="false">ROUNDUP(CB1603/BS1603,0)</f>
        <v>0</v>
      </c>
      <c r="CF1603" s="60" t="n">
        <f aca="false">IF(BT1603=1,0,IFERROR(VLOOKUP(BR1603,'Gebinde-Kategorie'!$A$5:$M$45,5,0)+0,0))</f>
        <v>11</v>
      </c>
      <c r="CG1603" s="60" t="n">
        <f aca="false">IFERROR(IF(OR(BX1603=1,BX1603=2,BX1603=3),N(INDEX(Parameter!$I$5:$I$7,BX1603)),0),0)</f>
        <v>0</v>
      </c>
      <c r="CH1603" s="59" t="n">
        <f aca="false">IF(AND(Parameter!$B$21="Ja",ISNUMBER(W1603),N(X1603)&gt;0),IFERROR(N(INDEX(Parameter!$L$5:$L$7,W1603))*INDEX(Parameter!$E$5:$E$7,W1603)*X1603/SUMIFS($X$7:$X$1843,$W$7:$W$1843,W1603),0),0)</f>
        <v>0</v>
      </c>
    </row>
    <row r="1604" customFormat="false" ht="15" hidden="false" customHeight="false" outlineLevel="0" collapsed="false">
      <c r="A1604" s="55" t="s">
        <v>2795</v>
      </c>
      <c r="B1604" s="55" t="s">
        <v>2796</v>
      </c>
      <c r="C1604" s="55" t="s">
        <v>164</v>
      </c>
      <c r="D1604" s="55" t="s">
        <v>184</v>
      </c>
      <c r="E1604" s="55"/>
      <c r="F1604" s="55"/>
      <c r="G1604" s="56" t="n">
        <v>0.08</v>
      </c>
      <c r="H1604" s="57" t="n">
        <f aca="false">MAX(0,IF(AND(Parameter!$B$21="Ja",ISNUMBER(Y1604)),Y1604,IF(Parameter!$B$20="Jahresanfang 2025 + Export",BL1604+BK1604,BK1604)))</f>
        <v>1700</v>
      </c>
      <c r="I1604" s="57" t="n">
        <f aca="false">H1604*G1604</f>
        <v>136</v>
      </c>
      <c r="J1604" s="57" t="n">
        <f aca="false">BN1604*Parameter!$B$18</f>
        <v>0</v>
      </c>
      <c r="K1604" s="58"/>
      <c r="L1604" s="59"/>
      <c r="M1604" s="57" t="n">
        <v>0</v>
      </c>
      <c r="N1604" s="57" t="n">
        <v>100</v>
      </c>
      <c r="O1604" s="60" t="n">
        <v>14</v>
      </c>
      <c r="P1604" s="55" t="s">
        <v>168</v>
      </c>
      <c r="Q1604" s="57"/>
      <c r="R1604" s="60" t="n">
        <f aca="false">IF(BT1604=1,0,IFERROR(VLOOKUP(BR1604,'Gebinde-Kategorie'!$A$5:$M$45,13,0)+0,0))</f>
        <v>26</v>
      </c>
      <c r="S1604" s="61"/>
      <c r="T1604" s="62" t="s">
        <v>275</v>
      </c>
      <c r="U1604" s="62"/>
      <c r="V1604" s="62"/>
      <c r="W1604" s="55"/>
      <c r="X1604" s="57"/>
      <c r="Y1604" s="57"/>
      <c r="Z1604" s="55" t="n">
        <f aca="false">IF(A1604="","",IF(AND(Parameter!$B$21="Ja",ISNUMBER(W1604)),W1604,IF(BV1604="2+3",IF(ISNUMBER(SEARCH("grosser Artikel",BO1604)),2,IFERROR(VLOOKUP(BR1604,Parameter!$F$35:$G$64,2,0),2)),IF(OR(BV1604="Nein",BV1604=""),"-",BV1604))))</f>
        <v>3</v>
      </c>
      <c r="AA1604" s="62"/>
      <c r="AB1604" s="63"/>
      <c r="AC1604" s="57" t="n">
        <f aca="false">AR1604</f>
        <v>1700</v>
      </c>
      <c r="AD1604" s="57" t="n">
        <f aca="false">MAX(AR1604,H1604)</f>
        <v>1700</v>
      </c>
      <c r="AE1604" s="64"/>
      <c r="AF1604" s="57" t="n">
        <f aca="false">IF(LEFT(Cockpit!$C$5,1)="A",H1604,IF(CA1604=1,CB1604,IF(LEFT(Cockpit!$C$5,1)="B",AJ1604,MAX(AJ1604,H1604))))</f>
        <v>1700</v>
      </c>
      <c r="AG1604" s="57" t="n">
        <f aca="false">IF(BT1604=1,0,ROUNDUP(AF1604/BS1604,0))</f>
        <v>1</v>
      </c>
      <c r="AH1604" s="59" t="n">
        <f aca="false">IF(CH1604&gt;0,CH1604*MAX(1,AF1604/X1604),IF(BT1604=1,IF(AF1604&lt;=0,0,BW1604*MAX(1,IF(H1604&gt;0,AF1604/H1604,1))),IF(R1604&gt;0,AG1604/R1604,0))/MAX(0.1,N(Parameter!$M$21)))</f>
        <v>0.0384615384615385</v>
      </c>
      <c r="AI1604" s="57" t="n">
        <f aca="false">AF1604*G1604</f>
        <v>136</v>
      </c>
      <c r="AJ1604" s="57" t="n">
        <f aca="false">ROUNDUP(MAX(J1604/IF(BZ1604&gt;0,BZ1604,MAX(0.1,N(Cockpit!$C$6))),CC1604)/BS1604,0)*BS1604</f>
        <v>1700</v>
      </c>
      <c r="AK1604" s="58" t="n">
        <f aca="false">IF(AH1604&gt;0,J1604/AH1604,-1)</f>
        <v>0</v>
      </c>
      <c r="AL1604" s="58" t="n">
        <f aca="false">IF(AND(OR(BY1604="L1",BY1604="L23"),AH1604&gt;0),SUMIFS($AH$7:$AH$1843,$BY$7:$BY$1843,BY1604,$AK$7:$AK$1843,"&gt;"&amp;AK1604)+SUMIFS($AH$7:$AH$1843,$BY$7:$BY$1843,BY1604,$AK$7:$AK$1843,AK1604,$BQ$7:$BQ$1843,"&lt;="&amp;BQ1604),"")</f>
        <v>86.0781223607311</v>
      </c>
      <c r="AM1604" s="65" t="n">
        <f aca="false">IF(AL1604="",0,MAX(0,MIN(1,(IF(BY1604="L1",Parameter!$E$5,Parameter!$E$6+Parameter!$E$7)-(AL1604-AH1604))/AH1604)))</f>
        <v>1</v>
      </c>
      <c r="AN1604" s="57" t="n">
        <f aca="false">IF(LEFT(Cockpit!$I$5,1)="A",H1604,IF(CA1604=1,CB1604,IF(LEFT(Cockpit!$I$5,1)="B",AR1604,MAX(AR1604,H1604))))</f>
        <v>1700</v>
      </c>
      <c r="AO1604" s="57" t="n">
        <f aca="false">IF(BT1604=1,0,ROUNDUP(AN1604/BS1604,0))</f>
        <v>1</v>
      </c>
      <c r="AP1604" s="59" t="n">
        <f aca="false">IF(CH1604&gt;0,CH1604*MAX(1,AN1604/X1604),IF(BT1604=1,IF(AN1604&lt;=0,0,BW1604*MAX(1,IF(H1604&gt;0,AN1604/H1604,1))),IF(R1604&gt;0,AO1604/R1604,0))/MAX(0.1,N(Parameter!$M$21)))</f>
        <v>0.0384615384615385</v>
      </c>
      <c r="AQ1604" s="57" t="n">
        <f aca="false">AN1604*G1604</f>
        <v>136</v>
      </c>
      <c r="AR1604" s="57" t="n">
        <f aca="false">ROUNDUP(MAX(J1604/IF(BZ1604&gt;0,BZ1604,MAX(0.1,N(Cockpit!$I$6))),CC1604)/BS1604,0)*BS1604</f>
        <v>1700</v>
      </c>
      <c r="AS1604" s="58" t="n">
        <f aca="false">IF(AP1604&gt;0,J1604/AP1604,-1)</f>
        <v>0</v>
      </c>
      <c r="AT1604" s="58" t="n">
        <f aca="false">IF(AND(OR(BY1604="L1",BY1604="L23"),AP1604&gt;0),SUMIFS($AP$7:$AP$1843,$BY$7:$BY$1843,BY1604,$AS$7:$AS$1843,"&gt;"&amp;AS1604)+SUMIFS($AP$7:$AP$1843,$BY$7:$BY$1843,BY1604,$AS$7:$AS$1843,AS1604,$BQ$7:$BQ$1843,"&lt;="&amp;BQ1604),"")</f>
        <v>131.330259112868</v>
      </c>
      <c r="AU1604" s="65" t="n">
        <f aca="false">IF(AT1604="",0,MAX(0,MIN(1,(IF(BY1604="L1",Parameter!$E$5,Parameter!$E$6+Parameter!$E$7)-(AT1604-AP1604))/AP1604)))</f>
        <v>0</v>
      </c>
      <c r="AV1604" s="57" t="n">
        <f aca="false">IF(LEFT(Cockpit!$O$5,1)="A",H1604,IF(CA1604=1,CB1604,IF(LEFT(Cockpit!$O$5,1)="B",AZ1604,MAX(AZ1604,H1604))))</f>
        <v>1700</v>
      </c>
      <c r="AW1604" s="57" t="n">
        <f aca="false">IF(BT1604=1,0,ROUNDUP(AV1604/BS1604,0))</f>
        <v>1</v>
      </c>
      <c r="AX1604" s="59" t="n">
        <f aca="false">IF(CH1604&gt;0,CH1604*MAX(1,AV1604/X1604),IF(BT1604=1,IF(AV1604&lt;=0,0,BW1604*MAX(1,IF(H1604&gt;0,AV1604/H1604,1))),IF(R1604&gt;0,AW1604/R1604,0))/MAX(0.1,N(Parameter!$M$21)))</f>
        <v>0.0384615384615385</v>
      </c>
      <c r="AY1604" s="57" t="n">
        <f aca="false">AV1604*G1604</f>
        <v>136</v>
      </c>
      <c r="AZ1604" s="57" t="n">
        <f aca="false">ROUNDUP(MAX(J1604/IF(BZ1604&gt;0,BZ1604,MAX(0.1,N(Cockpit!$O$6))),CC1604)/BS1604,0)*BS1604</f>
        <v>1700</v>
      </c>
      <c r="BA1604" s="58" t="n">
        <f aca="false">IF(AX1604&gt;0,J1604/AX1604,-1)</f>
        <v>0</v>
      </c>
      <c r="BB1604" s="58" t="n">
        <f aca="false">IF(AND(OR(BY1604="L1",BY1604="L23"),AX1604&gt;0),SUMIFS($AX$7:$AX$1843,$BY$7:$BY$1843,BY1604,$BA$7:$BA$1843,"&gt;"&amp;BA1604)+SUMIFS($AX$7:$AX$1843,$BY$7:$BY$1843,BY1604,$BA$7:$BA$1843,BA1604,$BQ$7:$BQ$1843,"&lt;="&amp;BQ1604),"")</f>
        <v>122.160095942705</v>
      </c>
      <c r="BC1604" s="65" t="n">
        <f aca="false">IF(BB1604="",0,MAX(0,MIN(1,(IF(BY1604="L1",Parameter!$E$5,Parameter!$E$6+Parameter!$E$7)-(BB1604-AX1604))/AX1604)))</f>
        <v>0</v>
      </c>
      <c r="BD1604" s="55" t="str">
        <f aca="false">IF(AH1604&lt;=0,"",IF(BY1604="Aussen","Aussenlager",IF(BY1604="-","Nicht im Lift",IF(AM1604&gt;=1,"Lift",IF(AM1604&lt;=0,"Aussenlager","teilweise")))))</f>
        <v>Lift</v>
      </c>
      <c r="BE1604" s="55" t="str">
        <f aca="false">IF(AP1604&lt;=0,"",IF(BY1604="Aussen","Aussenlager",IF(BY1604="-","Nicht im Lift",IF(AU1604&gt;=1,"Lift",IF(AU1604&lt;=0,"Aussenlager","teilweise")))))</f>
        <v>Aussenlager</v>
      </c>
      <c r="BF1604" s="55" t="str">
        <f aca="false">IF(AX1604&lt;=0,"",IF(BY1604="Aussen","Aussenlager",IF(BY1604="-","Nicht im Lift",IF(BC1604&gt;=1,"Lift",IF(BC1604&lt;=0,"Aussenlager","teilweise")))))</f>
        <v>Aussenlager</v>
      </c>
      <c r="BG1604" s="55" t="str">
        <f aca="false">IF(A1604="","",IF(BP1604=1,"Neu; ","")&amp;IF(AND(BP1604=0,BK1604&lt;0),"negativer Bestand (Export "&amp;BK1604&amp;"); ","")&amp;IF(J1604&lt;=0,"Kein Verbrauch; ","")&amp;IF(CH1604&gt;0,"Lift "&amp;W1604&amp;" lt. Liftbericht (Fach "&amp;X1604&amp;" Stk); ",IF(BU1604=1,"Gebinde geschätzt ("&amp;T1604&amp;"); ",IF(BT1604=1,"Lose – Tablare geschätzt; ","")))&amp;IF(H1604&gt;AR1604,"Überbestand "&amp;ROUND(H1604-AR1604,0)&amp;" Stk / CHF "&amp;ROUND((H1604-AR1604)*G1604,0)&amp;"; ","")&amp;IF(AND(CA1604=1,CB1604&lt;CC1604),"MAX &lt; MB+LG; ","")&amp;IF(AND(CG1604&gt;0,CF1604*10&gt;CG1604),"zu hoch für Tablar; ","")&amp;IF(AND(BP1604=0,OR(CA1604=1,AA1604&lt;&gt;"",U1604&lt;&gt;"",V1604&lt;&gt;"",AB1604&lt;&gt;"")),"manuell übersteuert; ","")&amp;IF(AND(BT1604=0,R1604=0),"Gebinde unbekannt / Stellmass fehlt; ","")&amp;IF(AND(BT1604=0,N(V1604)&lt;=0,N(Q1604)&lt;=0),"Menge pro Gebinde fehlt (Ist = 1 Gebinde); ","")&amp;BO1604)</f>
        <v>Kein Verbrauch; Gebinde geschätzt (Klein); Menge pro Gebinde fehlt (Ist = 1 Gebinde); nur im Artikelstamm (Bestand 23.06.2026)</v>
      </c>
      <c r="BH1604" s="55"/>
      <c r="BI1604" s="55"/>
      <c r="BJ1604" s="62"/>
      <c r="BK1604" s="57" t="n">
        <v>1700</v>
      </c>
      <c r="BL1604" s="57" t="n">
        <v>0</v>
      </c>
      <c r="BM1604" s="56" t="n">
        <v>0</v>
      </c>
      <c r="BN1604" s="57" t="n">
        <v>0</v>
      </c>
      <c r="BO1604" s="55" t="s">
        <v>2575</v>
      </c>
      <c r="BP1604" s="60" t="n">
        <v>0</v>
      </c>
      <c r="BQ1604" s="60" t="n">
        <v>1604</v>
      </c>
      <c r="BR1604" s="55" t="str">
        <f aca="false">IF(U1604&lt;&gt;"",UPPER(TRIM(U1604)),IF(BU1604=1,UPPER(VLOOKUP(T1604,Parameter!$I$27:$K$29,2,0)),IF(P1604="","LOSE",P1604)))</f>
        <v>S51</v>
      </c>
      <c r="BS1604" s="57" t="n">
        <f aca="false">IF(BR1604="LOSE",1,IF(N(V1604)&gt;0,V1604,IF(BU1604=1,MAX(1,N(VLOOKUP(T1604,Parameter!$I$27:$K$29,3,0)),H1604,N(N1604)),IF(N(Q1604)&gt;0,Q1604,MAX(1,H1604)))))</f>
        <v>1700</v>
      </c>
      <c r="BT1604" s="60" t="n">
        <f aca="false">IF(BR1604="LOSE",1,0)</f>
        <v>0</v>
      </c>
      <c r="BU1604" s="60" t="n">
        <f aca="false">IF(AND(U1604="",OR(P1604="",P1604="LOSE"),T1604&lt;&gt;"",N(S1604)&lt;=0,ISNUMBER(MATCH(T1604,Parameter!$I$27:$I$29,0))),1,0)</f>
        <v>1</v>
      </c>
      <c r="BV1604" s="55" t="str">
        <f aca="false">IF(AND(Parameter!$B$19="Ja",E1604&lt;&gt;"",ISNUMBER(MATCH(E1604,Parameter!$I$35:$I$52,0))),VLOOKUP(E1604,Parameter!$I$35:$J$52,2,0),IFERROR(VLOOKUP(D1604,Parameter!$A$35:$C$64,2,0),"Nein"))</f>
        <v>2+3</v>
      </c>
      <c r="BW1604" s="59" t="n">
        <f aca="false">IF(BT1604=0,0,IF(N(S1604)&gt;0,S1604,IFERROR(VLOOKUP(D1604,Parameter!$A$35:$C$64,3,0)+0,0)))</f>
        <v>0</v>
      </c>
      <c r="BX1604" s="55" t="n">
        <f aca="false">IF(AA1604&lt;&gt;"",AA1604,Z1604)</f>
        <v>3</v>
      </c>
      <c r="BY1604" s="55" t="str">
        <f aca="false">IF(BX1604=1,"L1",IF(OR(BX1604=2,BX1604=3),"L23",IF(BX1604="Aussen","Aussen","-")))</f>
        <v>L23</v>
      </c>
      <c r="BZ1604" s="66" t="n">
        <f aca="false">IF(N(AB1604)&gt;0,AB1604,0)</f>
        <v>0</v>
      </c>
      <c r="CA1604" s="60" t="n">
        <f aca="false">IF(ISNUMBER(AE1604),1,0)</f>
        <v>0</v>
      </c>
      <c r="CB1604" s="57" t="n">
        <f aca="false">N(AE1604)</f>
        <v>0</v>
      </c>
      <c r="CC1604" s="57" t="n">
        <f aca="false">N(M1604)+N(N1604)</f>
        <v>100</v>
      </c>
      <c r="CD1604" s="57" t="n">
        <f aca="false">ROUNDUP(H1604/BS1604,0)</f>
        <v>1</v>
      </c>
      <c r="CE1604" s="57" t="n">
        <f aca="false">ROUNDUP(CB1604/BS1604,0)</f>
        <v>0</v>
      </c>
      <c r="CF1604" s="60" t="n">
        <f aca="false">IF(BT1604=1,0,IFERROR(VLOOKUP(BR1604,'Gebinde-Kategorie'!$A$5:$M$45,5,0)+0,0))</f>
        <v>11</v>
      </c>
      <c r="CG1604" s="60" t="n">
        <f aca="false">IFERROR(IF(OR(BX1604=1,BX1604=2,BX1604=3),N(INDEX(Parameter!$I$5:$I$7,BX1604)),0),0)</f>
        <v>0</v>
      </c>
      <c r="CH1604" s="59" t="n">
        <f aca="false">IF(AND(Parameter!$B$21="Ja",ISNUMBER(W1604),N(X1604)&gt;0),IFERROR(N(INDEX(Parameter!$L$5:$L$7,W1604))*INDEX(Parameter!$E$5:$E$7,W1604)*X1604/SUMIFS($X$7:$X$1843,$W$7:$W$1843,W1604),0),0)</f>
        <v>0</v>
      </c>
    </row>
    <row r="1605" customFormat="false" ht="15" hidden="false" customHeight="false" outlineLevel="0" collapsed="false">
      <c r="A1605" s="55" t="s">
        <v>2797</v>
      </c>
      <c r="B1605" s="55" t="s">
        <v>2798</v>
      </c>
      <c r="C1605" s="55" t="s">
        <v>164</v>
      </c>
      <c r="D1605" s="55" t="s">
        <v>173</v>
      </c>
      <c r="E1605" s="55"/>
      <c r="F1605" s="55"/>
      <c r="G1605" s="56" t="n">
        <v>0.4</v>
      </c>
      <c r="H1605" s="57" t="n">
        <f aca="false">MAX(0,IF(AND(Parameter!$B$21="Ja",ISNUMBER(Y1605)),Y1605,IF(Parameter!$B$20="Jahresanfang 2025 + Export",BL1605+BK1605,BK1605)))</f>
        <v>30</v>
      </c>
      <c r="I1605" s="57" t="n">
        <f aca="false">H1605*G1605</f>
        <v>12</v>
      </c>
      <c r="J1605" s="57" t="n">
        <f aca="false">BN1605*Parameter!$B$18</f>
        <v>0</v>
      </c>
      <c r="K1605" s="58"/>
      <c r="L1605" s="59"/>
      <c r="M1605" s="57" t="n">
        <v>0</v>
      </c>
      <c r="N1605" s="57" t="n">
        <v>1</v>
      </c>
      <c r="O1605" s="60" t="n">
        <v>14</v>
      </c>
      <c r="P1605" s="55" t="s">
        <v>168</v>
      </c>
      <c r="Q1605" s="57"/>
      <c r="R1605" s="60" t="n">
        <f aca="false">IF(BT1605=1,0,IFERROR(VLOOKUP(BR1605,'Gebinde-Kategorie'!$A$5:$M$45,13,0)+0,0))</f>
        <v>12</v>
      </c>
      <c r="S1605" s="61"/>
      <c r="T1605" s="62" t="s">
        <v>179</v>
      </c>
      <c r="U1605" s="62"/>
      <c r="V1605" s="62"/>
      <c r="W1605" s="55"/>
      <c r="X1605" s="57"/>
      <c r="Y1605" s="57"/>
      <c r="Z1605" s="55" t="n">
        <f aca="false">IF(A1605="","",IF(AND(Parameter!$B$21="Ja",ISNUMBER(W1605)),W1605,IF(BV1605="2+3",IF(ISNUMBER(SEARCH("grosser Artikel",BO1605)),2,IFERROR(VLOOKUP(BR1605,Parameter!$F$35:$G$64,2,0),2)),IF(OR(BV1605="Nein",BV1605=""),"-",BV1605))))</f>
        <v>2</v>
      </c>
      <c r="AA1605" s="62"/>
      <c r="AB1605" s="63"/>
      <c r="AC1605" s="57" t="n">
        <f aca="false">AR1605</f>
        <v>30</v>
      </c>
      <c r="AD1605" s="57" t="n">
        <f aca="false">MAX(AR1605,H1605)</f>
        <v>30</v>
      </c>
      <c r="AE1605" s="64"/>
      <c r="AF1605" s="57" t="n">
        <f aca="false">IF(LEFT(Cockpit!$C$5,1)="A",H1605,IF(CA1605=1,CB1605,IF(LEFT(Cockpit!$C$5,1)="B",AJ1605,MAX(AJ1605,H1605))))</f>
        <v>30</v>
      </c>
      <c r="AG1605" s="57" t="n">
        <f aca="false">IF(BT1605=1,0,ROUNDUP(AF1605/BS1605,0))</f>
        <v>1</v>
      </c>
      <c r="AH1605" s="59" t="n">
        <f aca="false">IF(CH1605&gt;0,CH1605*MAX(1,AF1605/X1605),IF(BT1605=1,IF(AF1605&lt;=0,0,BW1605*MAX(1,IF(H1605&gt;0,AF1605/H1605,1))),IF(R1605&gt;0,AG1605/R1605,0))/MAX(0.1,N(Parameter!$M$21)))</f>
        <v>0.0833333333333333</v>
      </c>
      <c r="AI1605" s="57" t="n">
        <f aca="false">AF1605*G1605</f>
        <v>12</v>
      </c>
      <c r="AJ1605" s="57" t="n">
        <f aca="false">ROUNDUP(MAX(J1605/IF(BZ1605&gt;0,BZ1605,MAX(0.1,N(Cockpit!$C$6))),CC1605)/BS1605,0)*BS1605</f>
        <v>30</v>
      </c>
      <c r="AK1605" s="58" t="n">
        <f aca="false">IF(AH1605&gt;0,J1605/AH1605,-1)</f>
        <v>0</v>
      </c>
      <c r="AL1605" s="58" t="n">
        <f aca="false">IF(AND(OR(BY1605="L1",BY1605="L23"),AH1605&gt;0),SUMIFS($AH$7:$AH$1843,$BY$7:$BY$1843,BY1605,$AK$7:$AK$1843,"&gt;"&amp;AK1605)+SUMIFS($AH$7:$AH$1843,$BY$7:$BY$1843,BY1605,$AK$7:$AK$1843,AK1605,$BQ$7:$BQ$1843,"&lt;="&amp;BQ1605),"")</f>
        <v>86.1614556940644</v>
      </c>
      <c r="AM1605" s="65" t="n">
        <f aca="false">IF(AL1605="",0,MAX(0,MIN(1,(IF(BY1605="L1",Parameter!$E$5,Parameter!$E$6+Parameter!$E$7)-(AL1605-AH1605))/AH1605)))</f>
        <v>1</v>
      </c>
      <c r="AN1605" s="57" t="n">
        <f aca="false">IF(LEFT(Cockpit!$I$5,1)="A",H1605,IF(CA1605=1,CB1605,IF(LEFT(Cockpit!$I$5,1)="B",AR1605,MAX(AR1605,H1605))))</f>
        <v>30</v>
      </c>
      <c r="AO1605" s="57" t="n">
        <f aca="false">IF(BT1605=1,0,ROUNDUP(AN1605/BS1605,0))</f>
        <v>1</v>
      </c>
      <c r="AP1605" s="59" t="n">
        <f aca="false">IF(CH1605&gt;0,CH1605*MAX(1,AN1605/X1605),IF(BT1605=1,IF(AN1605&lt;=0,0,BW1605*MAX(1,IF(H1605&gt;0,AN1605/H1605,1))),IF(R1605&gt;0,AO1605/R1605,0))/MAX(0.1,N(Parameter!$M$21)))</f>
        <v>0.0833333333333333</v>
      </c>
      <c r="AQ1605" s="57" t="n">
        <f aca="false">AN1605*G1605</f>
        <v>12</v>
      </c>
      <c r="AR1605" s="57" t="n">
        <f aca="false">ROUNDUP(MAX(J1605/IF(BZ1605&gt;0,BZ1605,MAX(0.1,N(Cockpit!$I$6))),CC1605)/BS1605,0)*BS1605</f>
        <v>30</v>
      </c>
      <c r="AS1605" s="58" t="n">
        <f aca="false">IF(AP1605&gt;0,J1605/AP1605,-1)</f>
        <v>0</v>
      </c>
      <c r="AT1605" s="58" t="n">
        <f aca="false">IF(AND(OR(BY1605="L1",BY1605="L23"),AP1605&gt;0),SUMIFS($AP$7:$AP$1843,$BY$7:$BY$1843,BY1605,$AS$7:$AS$1843,"&gt;"&amp;AS1605)+SUMIFS($AP$7:$AP$1843,$BY$7:$BY$1843,BY1605,$AS$7:$AS$1843,AS1605,$BQ$7:$BQ$1843,"&lt;="&amp;BQ1605),"")</f>
        <v>131.413592446201</v>
      </c>
      <c r="AU1605" s="65" t="n">
        <f aca="false">IF(AT1605="",0,MAX(0,MIN(1,(IF(BY1605="L1",Parameter!$E$5,Parameter!$E$6+Parameter!$E$7)-(AT1605-AP1605))/AP1605)))</f>
        <v>0</v>
      </c>
      <c r="AV1605" s="57" t="n">
        <f aca="false">IF(LEFT(Cockpit!$O$5,1)="A",H1605,IF(CA1605=1,CB1605,IF(LEFT(Cockpit!$O$5,1)="B",AZ1605,MAX(AZ1605,H1605))))</f>
        <v>30</v>
      </c>
      <c r="AW1605" s="57" t="n">
        <f aca="false">IF(BT1605=1,0,ROUNDUP(AV1605/BS1605,0))</f>
        <v>1</v>
      </c>
      <c r="AX1605" s="59" t="n">
        <f aca="false">IF(CH1605&gt;0,CH1605*MAX(1,AV1605/X1605),IF(BT1605=1,IF(AV1605&lt;=0,0,BW1605*MAX(1,IF(H1605&gt;0,AV1605/H1605,1))),IF(R1605&gt;0,AW1605/R1605,0))/MAX(0.1,N(Parameter!$M$21)))</f>
        <v>0.0833333333333333</v>
      </c>
      <c r="AY1605" s="57" t="n">
        <f aca="false">AV1605*G1605</f>
        <v>12</v>
      </c>
      <c r="AZ1605" s="57" t="n">
        <f aca="false">ROUNDUP(MAX(J1605/IF(BZ1605&gt;0,BZ1605,MAX(0.1,N(Cockpit!$O$6))),CC1605)/BS1605,0)*BS1605</f>
        <v>30</v>
      </c>
      <c r="BA1605" s="58" t="n">
        <f aca="false">IF(AX1605&gt;0,J1605/AX1605,-1)</f>
        <v>0</v>
      </c>
      <c r="BB1605" s="58" t="n">
        <f aca="false">IF(AND(OR(BY1605="L1",BY1605="L23"),AX1605&gt;0),SUMIFS($AX$7:$AX$1843,$BY$7:$BY$1843,BY1605,$BA$7:$BA$1843,"&gt;"&amp;BA1605)+SUMIFS($AX$7:$AX$1843,$BY$7:$BY$1843,BY1605,$BA$7:$BA$1843,BA1605,$BQ$7:$BQ$1843,"&lt;="&amp;BQ1605),"")</f>
        <v>122.243429276038</v>
      </c>
      <c r="BC1605" s="65" t="n">
        <f aca="false">IF(BB1605="",0,MAX(0,MIN(1,(IF(BY1605="L1",Parameter!$E$5,Parameter!$E$6+Parameter!$E$7)-(BB1605-AX1605))/AX1605)))</f>
        <v>0</v>
      </c>
      <c r="BD1605" s="55" t="str">
        <f aca="false">IF(AH1605&lt;=0,"",IF(BY1605="Aussen","Aussenlager",IF(BY1605="-","Nicht im Lift",IF(AM1605&gt;=1,"Lift",IF(AM1605&lt;=0,"Aussenlager","teilweise")))))</f>
        <v>Lift</v>
      </c>
      <c r="BE1605" s="55" t="str">
        <f aca="false">IF(AP1605&lt;=0,"",IF(BY1605="Aussen","Aussenlager",IF(BY1605="-","Nicht im Lift",IF(AU1605&gt;=1,"Lift",IF(AU1605&lt;=0,"Aussenlager","teilweise")))))</f>
        <v>Aussenlager</v>
      </c>
      <c r="BF1605" s="55" t="str">
        <f aca="false">IF(AX1605&lt;=0,"",IF(BY1605="Aussen","Aussenlager",IF(BY1605="-","Nicht im Lift",IF(BC1605&gt;=1,"Lift",IF(BC1605&lt;=0,"Aussenlager","teilweise")))))</f>
        <v>Aussenlager</v>
      </c>
      <c r="BG1605" s="55" t="str">
        <f aca="false">IF(A1605="","",IF(BP1605=1,"Neu; ","")&amp;IF(AND(BP1605=0,BK1605&lt;0),"negativer Bestand (Export "&amp;BK1605&amp;"); ","")&amp;IF(J1605&lt;=0,"Kein Verbrauch; ","")&amp;IF(CH1605&gt;0,"Lift "&amp;W1605&amp;" lt. Liftbericht (Fach "&amp;X1605&amp;" Stk); ",IF(BU1605=1,"Gebinde geschätzt ("&amp;T1605&amp;"); ",IF(BT1605=1,"Lose – Tablare geschätzt; ","")))&amp;IF(H1605&gt;AR1605,"Überbestand "&amp;ROUND(H1605-AR1605,0)&amp;" Stk / CHF "&amp;ROUND((H1605-AR1605)*G1605,0)&amp;"; ","")&amp;IF(AND(CA1605=1,CB1605&lt;CC1605),"MAX &lt; MB+LG; ","")&amp;IF(AND(CG1605&gt;0,CF1605*10&gt;CG1605),"zu hoch für Tablar; ","")&amp;IF(AND(BP1605=0,OR(CA1605=1,AA1605&lt;&gt;"",U1605&lt;&gt;"",V1605&lt;&gt;"",AB1605&lt;&gt;"")),"manuell übersteuert; ","")&amp;IF(AND(BT1605=0,R1605=0),"Gebinde unbekannt / Stellmass fehlt; ","")&amp;IF(AND(BT1605=0,N(V1605)&lt;=0,N(Q1605)&lt;=0),"Menge pro Gebinde fehlt (Ist = 1 Gebinde); ","")&amp;BO1605)</f>
        <v>Kein Verbrauch; Gebinde geschätzt (Mittel); Menge pro Gebinde fehlt (Ist = 1 Gebinde); nur im Artikelstamm (Bestand 23.06.2026)</v>
      </c>
      <c r="BH1605" s="55"/>
      <c r="BI1605" s="55"/>
      <c r="BJ1605" s="62"/>
      <c r="BK1605" s="57" t="n">
        <v>30</v>
      </c>
      <c r="BL1605" s="57" t="n">
        <v>0</v>
      </c>
      <c r="BM1605" s="56" t="n">
        <v>0</v>
      </c>
      <c r="BN1605" s="57" t="n">
        <v>0</v>
      </c>
      <c r="BO1605" s="55" t="s">
        <v>2575</v>
      </c>
      <c r="BP1605" s="60" t="n">
        <v>0</v>
      </c>
      <c r="BQ1605" s="60" t="n">
        <v>1605</v>
      </c>
      <c r="BR1605" s="55" t="str">
        <f aca="false">IF(U1605&lt;&gt;"",UPPER(TRIM(U1605)),IF(BU1605=1,UPPER(VLOOKUP(T1605,Parameter!$I$27:$K$29,2,0)),IF(P1605="","LOSE",P1605)))</f>
        <v>S61</v>
      </c>
      <c r="BS1605" s="57" t="n">
        <f aca="false">IF(BR1605="LOSE",1,IF(N(V1605)&gt;0,V1605,IF(BU1605=1,MAX(1,N(VLOOKUP(T1605,Parameter!$I$27:$K$29,3,0)),H1605,N(N1605)),IF(N(Q1605)&gt;0,Q1605,MAX(1,H1605)))))</f>
        <v>30</v>
      </c>
      <c r="BT1605" s="60" t="n">
        <f aca="false">IF(BR1605="LOSE",1,0)</f>
        <v>0</v>
      </c>
      <c r="BU1605" s="60" t="n">
        <f aca="false">IF(AND(U1605="",OR(P1605="",P1605="LOSE"),T1605&lt;&gt;"",N(S1605)&lt;=0,ISNUMBER(MATCH(T1605,Parameter!$I$27:$I$29,0))),1,0)</f>
        <v>1</v>
      </c>
      <c r="BV1605" s="55" t="str">
        <f aca="false">IF(AND(Parameter!$B$19="Ja",E1605&lt;&gt;"",ISNUMBER(MATCH(E1605,Parameter!$I$35:$I$52,0))),VLOOKUP(E1605,Parameter!$I$35:$J$52,2,0),IFERROR(VLOOKUP(D1605,Parameter!$A$35:$C$64,2,0),"Nein"))</f>
        <v>2+3</v>
      </c>
      <c r="BW1605" s="59" t="n">
        <f aca="false">IF(BT1605=0,0,IF(N(S1605)&gt;0,S1605,IFERROR(VLOOKUP(D1605,Parameter!$A$35:$C$64,3,0)+0,0)))</f>
        <v>0</v>
      </c>
      <c r="BX1605" s="55" t="n">
        <f aca="false">IF(AA1605&lt;&gt;"",AA1605,Z1605)</f>
        <v>2</v>
      </c>
      <c r="BY1605" s="55" t="str">
        <f aca="false">IF(BX1605=1,"L1",IF(OR(BX1605=2,BX1605=3),"L23",IF(BX1605="Aussen","Aussen","-")))</f>
        <v>L23</v>
      </c>
      <c r="BZ1605" s="66" t="n">
        <f aca="false">IF(N(AB1605)&gt;0,AB1605,0)</f>
        <v>0</v>
      </c>
      <c r="CA1605" s="60" t="n">
        <f aca="false">IF(ISNUMBER(AE1605),1,0)</f>
        <v>0</v>
      </c>
      <c r="CB1605" s="57" t="n">
        <f aca="false">N(AE1605)</f>
        <v>0</v>
      </c>
      <c r="CC1605" s="57" t="n">
        <f aca="false">N(M1605)+N(N1605)</f>
        <v>1</v>
      </c>
      <c r="CD1605" s="57" t="n">
        <f aca="false">ROUNDUP(H1605/BS1605,0)</f>
        <v>1</v>
      </c>
      <c r="CE1605" s="57" t="n">
        <f aca="false">ROUNDUP(CB1605/BS1605,0)</f>
        <v>0</v>
      </c>
      <c r="CF1605" s="60" t="n">
        <f aca="false">IF(BT1605=1,0,IFERROR(VLOOKUP(BR1605,'Gebinde-Kategorie'!$A$5:$M$45,5,0)+0,0))</f>
        <v>11</v>
      </c>
      <c r="CG1605" s="60" t="n">
        <f aca="false">IFERROR(IF(OR(BX1605=1,BX1605=2,BX1605=3),N(INDEX(Parameter!$I$5:$I$7,BX1605)),0),0)</f>
        <v>0</v>
      </c>
      <c r="CH1605" s="59" t="n">
        <f aca="false">IF(AND(Parameter!$B$21="Ja",ISNUMBER(W1605),N(X1605)&gt;0),IFERROR(N(INDEX(Parameter!$L$5:$L$7,W1605))*INDEX(Parameter!$E$5:$E$7,W1605)*X1605/SUMIFS($X$7:$X$1843,$W$7:$W$1843,W1605),0),0)</f>
        <v>0</v>
      </c>
    </row>
    <row r="1606" customFormat="false" ht="15" hidden="false" customHeight="false" outlineLevel="0" collapsed="false">
      <c r="A1606" s="55" t="s">
        <v>2799</v>
      </c>
      <c r="B1606" s="55" t="s">
        <v>2800</v>
      </c>
      <c r="C1606" s="55" t="s">
        <v>164</v>
      </c>
      <c r="D1606" s="55" t="s">
        <v>184</v>
      </c>
      <c r="E1606" s="55"/>
      <c r="F1606" s="55"/>
      <c r="G1606" s="56" t="n">
        <v>14.58</v>
      </c>
      <c r="H1606" s="57" t="n">
        <f aca="false">MAX(0,IF(AND(Parameter!$B$21="Ja",ISNUMBER(Y1606)),Y1606,IF(Parameter!$B$20="Jahresanfang 2025 + Export",BL1606+BK1606,BK1606)))</f>
        <v>4</v>
      </c>
      <c r="I1606" s="57" t="n">
        <f aca="false">H1606*G1606</f>
        <v>58.32</v>
      </c>
      <c r="J1606" s="57" t="n">
        <f aca="false">BN1606*Parameter!$B$18</f>
        <v>0</v>
      </c>
      <c r="K1606" s="58"/>
      <c r="L1606" s="59"/>
      <c r="M1606" s="57" t="n">
        <v>0</v>
      </c>
      <c r="N1606" s="57" t="n">
        <v>5</v>
      </c>
      <c r="O1606" s="60" t="n">
        <v>14</v>
      </c>
      <c r="P1606" s="55" t="s">
        <v>168</v>
      </c>
      <c r="Q1606" s="57"/>
      <c r="R1606" s="60" t="n">
        <f aca="false">IF(BT1606=1,0,IFERROR(VLOOKUP(BR1606,'Gebinde-Kategorie'!$A$5:$M$45,13,0)+0,0))</f>
        <v>26</v>
      </c>
      <c r="S1606" s="61"/>
      <c r="T1606" s="62" t="s">
        <v>275</v>
      </c>
      <c r="U1606" s="62"/>
      <c r="V1606" s="62"/>
      <c r="W1606" s="55"/>
      <c r="X1606" s="57"/>
      <c r="Y1606" s="57"/>
      <c r="Z1606" s="55" t="n">
        <f aca="false">IF(A1606="","",IF(AND(Parameter!$B$21="Ja",ISNUMBER(W1606)),W1606,IF(BV1606="2+3",IF(ISNUMBER(SEARCH("grosser Artikel",BO1606)),2,IFERROR(VLOOKUP(BR1606,Parameter!$F$35:$G$64,2,0),2)),IF(OR(BV1606="Nein",BV1606=""),"-",BV1606))))</f>
        <v>3</v>
      </c>
      <c r="AA1606" s="62"/>
      <c r="AB1606" s="63"/>
      <c r="AC1606" s="57" t="n">
        <f aca="false">AR1606</f>
        <v>20</v>
      </c>
      <c r="AD1606" s="57" t="n">
        <f aca="false">MAX(AR1606,H1606)</f>
        <v>20</v>
      </c>
      <c r="AE1606" s="64"/>
      <c r="AF1606" s="57" t="n">
        <f aca="false">IF(LEFT(Cockpit!$C$5,1)="A",H1606,IF(CA1606=1,CB1606,IF(LEFT(Cockpit!$C$5,1)="B",AJ1606,MAX(AJ1606,H1606))))</f>
        <v>4</v>
      </c>
      <c r="AG1606" s="57" t="n">
        <f aca="false">IF(BT1606=1,0,ROUNDUP(AF1606/BS1606,0))</f>
        <v>1</v>
      </c>
      <c r="AH1606" s="59" t="n">
        <f aca="false">IF(CH1606&gt;0,CH1606*MAX(1,AF1606/X1606),IF(BT1606=1,IF(AF1606&lt;=0,0,BW1606*MAX(1,IF(H1606&gt;0,AF1606/H1606,1))),IF(R1606&gt;0,AG1606/R1606,0))/MAX(0.1,N(Parameter!$M$21)))</f>
        <v>0.0384615384615385</v>
      </c>
      <c r="AI1606" s="57" t="n">
        <f aca="false">AF1606*G1606</f>
        <v>58.32</v>
      </c>
      <c r="AJ1606" s="57" t="n">
        <f aca="false">ROUNDUP(MAX(J1606/IF(BZ1606&gt;0,BZ1606,MAX(0.1,N(Cockpit!$C$6))),CC1606)/BS1606,0)*BS1606</f>
        <v>20</v>
      </c>
      <c r="AK1606" s="58" t="n">
        <f aca="false">IF(AH1606&gt;0,J1606/AH1606,-1)</f>
        <v>0</v>
      </c>
      <c r="AL1606" s="58" t="n">
        <f aca="false">IF(AND(OR(BY1606="L1",BY1606="L23"),AH1606&gt;0),SUMIFS($AH$7:$AH$1843,$BY$7:$BY$1843,BY1606,$AK$7:$AK$1843,"&gt;"&amp;AK1606)+SUMIFS($AH$7:$AH$1843,$BY$7:$BY$1843,BY1606,$AK$7:$AK$1843,AK1606,$BQ$7:$BQ$1843,"&lt;="&amp;BQ1606),"")</f>
        <v>86.1999172325259</v>
      </c>
      <c r="AM1606" s="65" t="n">
        <f aca="false">IF(AL1606="",0,MAX(0,MIN(1,(IF(BY1606="L1",Parameter!$E$5,Parameter!$E$6+Parameter!$E$7)-(AL1606-AH1606))/AH1606)))</f>
        <v>1</v>
      </c>
      <c r="AN1606" s="57" t="n">
        <f aca="false">IF(LEFT(Cockpit!$I$5,1)="A",H1606,IF(CA1606=1,CB1606,IF(LEFT(Cockpit!$I$5,1)="B",AR1606,MAX(AR1606,H1606))))</f>
        <v>20</v>
      </c>
      <c r="AO1606" s="57" t="n">
        <f aca="false">IF(BT1606=1,0,ROUNDUP(AN1606/BS1606,0))</f>
        <v>1</v>
      </c>
      <c r="AP1606" s="59" t="n">
        <f aca="false">IF(CH1606&gt;0,CH1606*MAX(1,AN1606/X1606),IF(BT1606=1,IF(AN1606&lt;=0,0,BW1606*MAX(1,IF(H1606&gt;0,AN1606/H1606,1))),IF(R1606&gt;0,AO1606/R1606,0))/MAX(0.1,N(Parameter!$M$21)))</f>
        <v>0.0384615384615385</v>
      </c>
      <c r="AQ1606" s="57" t="n">
        <f aca="false">AN1606*G1606</f>
        <v>291.6</v>
      </c>
      <c r="AR1606" s="57" t="n">
        <f aca="false">ROUNDUP(MAX(J1606/IF(BZ1606&gt;0,BZ1606,MAX(0.1,N(Cockpit!$I$6))),CC1606)/BS1606,0)*BS1606</f>
        <v>20</v>
      </c>
      <c r="AS1606" s="58" t="n">
        <f aca="false">IF(AP1606&gt;0,J1606/AP1606,-1)</f>
        <v>0</v>
      </c>
      <c r="AT1606" s="58" t="n">
        <f aca="false">IF(AND(OR(BY1606="L1",BY1606="L23"),AP1606&gt;0),SUMIFS($AP$7:$AP$1843,$BY$7:$BY$1843,BY1606,$AS$7:$AS$1843,"&gt;"&amp;AS1606)+SUMIFS($AP$7:$AP$1843,$BY$7:$BY$1843,BY1606,$AS$7:$AS$1843,AS1606,$BQ$7:$BQ$1843,"&lt;="&amp;BQ1606),"")</f>
        <v>131.452053984663</v>
      </c>
      <c r="AU1606" s="65" t="n">
        <f aca="false">IF(AT1606="",0,MAX(0,MIN(1,(IF(BY1606="L1",Parameter!$E$5,Parameter!$E$6+Parameter!$E$7)-(AT1606-AP1606))/AP1606)))</f>
        <v>0</v>
      </c>
      <c r="AV1606" s="57" t="n">
        <f aca="false">IF(LEFT(Cockpit!$O$5,1)="A",H1606,IF(CA1606=1,CB1606,IF(LEFT(Cockpit!$O$5,1)="B",AZ1606,MAX(AZ1606,H1606))))</f>
        <v>20</v>
      </c>
      <c r="AW1606" s="57" t="n">
        <f aca="false">IF(BT1606=1,0,ROUNDUP(AV1606/BS1606,0))</f>
        <v>1</v>
      </c>
      <c r="AX1606" s="59" t="n">
        <f aca="false">IF(CH1606&gt;0,CH1606*MAX(1,AV1606/X1606),IF(BT1606=1,IF(AV1606&lt;=0,0,BW1606*MAX(1,IF(H1606&gt;0,AV1606/H1606,1))),IF(R1606&gt;0,AW1606/R1606,0))/MAX(0.1,N(Parameter!$M$21)))</f>
        <v>0.0384615384615385</v>
      </c>
      <c r="AY1606" s="57" t="n">
        <f aca="false">AV1606*G1606</f>
        <v>291.6</v>
      </c>
      <c r="AZ1606" s="57" t="n">
        <f aca="false">ROUNDUP(MAX(J1606/IF(BZ1606&gt;0,BZ1606,MAX(0.1,N(Cockpit!$O$6))),CC1606)/BS1606,0)*BS1606</f>
        <v>20</v>
      </c>
      <c r="BA1606" s="58" t="n">
        <f aca="false">IF(AX1606&gt;0,J1606/AX1606,-1)</f>
        <v>0</v>
      </c>
      <c r="BB1606" s="58" t="n">
        <f aca="false">IF(AND(OR(BY1606="L1",BY1606="L23"),AX1606&gt;0),SUMIFS($AX$7:$AX$1843,$BY$7:$BY$1843,BY1606,$BA$7:$BA$1843,"&gt;"&amp;BA1606)+SUMIFS($AX$7:$AX$1843,$BY$7:$BY$1843,BY1606,$BA$7:$BA$1843,BA1606,$BQ$7:$BQ$1843,"&lt;="&amp;BQ1606),"")</f>
        <v>122.2818908145</v>
      </c>
      <c r="BC1606" s="65" t="n">
        <f aca="false">IF(BB1606="",0,MAX(0,MIN(1,(IF(BY1606="L1",Parameter!$E$5,Parameter!$E$6+Parameter!$E$7)-(BB1606-AX1606))/AX1606)))</f>
        <v>0</v>
      </c>
      <c r="BD1606" s="55" t="str">
        <f aca="false">IF(AH1606&lt;=0,"",IF(BY1606="Aussen","Aussenlager",IF(BY1606="-","Nicht im Lift",IF(AM1606&gt;=1,"Lift",IF(AM1606&lt;=0,"Aussenlager","teilweise")))))</f>
        <v>Lift</v>
      </c>
      <c r="BE1606" s="55" t="str">
        <f aca="false">IF(AP1606&lt;=0,"",IF(BY1606="Aussen","Aussenlager",IF(BY1606="-","Nicht im Lift",IF(AU1606&gt;=1,"Lift",IF(AU1606&lt;=0,"Aussenlager","teilweise")))))</f>
        <v>Aussenlager</v>
      </c>
      <c r="BF1606" s="55" t="str">
        <f aca="false">IF(AX1606&lt;=0,"",IF(BY1606="Aussen","Aussenlager",IF(BY1606="-","Nicht im Lift",IF(BC1606&gt;=1,"Lift",IF(BC1606&lt;=0,"Aussenlager","teilweise")))))</f>
        <v>Aussenlager</v>
      </c>
      <c r="BG1606" s="55" t="str">
        <f aca="false">IF(A1606="","",IF(BP1606=1,"Neu; ","")&amp;IF(AND(BP1606=0,BK1606&lt;0),"negativer Bestand (Export "&amp;BK1606&amp;"); ","")&amp;IF(J1606&lt;=0,"Kein Verbrauch; ","")&amp;IF(CH1606&gt;0,"Lift "&amp;W1606&amp;" lt. Liftbericht (Fach "&amp;X1606&amp;" Stk); ",IF(BU1606=1,"Gebinde geschätzt ("&amp;T1606&amp;"); ",IF(BT1606=1,"Lose – Tablare geschätzt; ","")))&amp;IF(H1606&gt;AR1606,"Überbestand "&amp;ROUND(H1606-AR1606,0)&amp;" Stk / CHF "&amp;ROUND((H1606-AR1606)*G1606,0)&amp;"; ","")&amp;IF(AND(CA1606=1,CB1606&lt;CC1606),"MAX &lt; MB+LG; ","")&amp;IF(AND(CG1606&gt;0,CF1606*10&gt;CG1606),"zu hoch für Tablar; ","")&amp;IF(AND(BP1606=0,OR(CA1606=1,AA1606&lt;&gt;"",U1606&lt;&gt;"",V1606&lt;&gt;"",AB1606&lt;&gt;"")),"manuell übersteuert; ","")&amp;IF(AND(BT1606=0,R1606=0),"Gebinde unbekannt / Stellmass fehlt; ","")&amp;IF(AND(BT1606=0,N(V1606)&lt;=0,N(Q1606)&lt;=0),"Menge pro Gebinde fehlt (Ist = 1 Gebinde); ","")&amp;BO1606)</f>
        <v>Kein Verbrauch; Gebinde geschätzt (Klein); Menge pro Gebinde fehlt (Ist = 1 Gebinde); nur im Artikelstamm (Bestand 23.06.2026)</v>
      </c>
      <c r="BH1606" s="55"/>
      <c r="BI1606" s="55"/>
      <c r="BJ1606" s="62"/>
      <c r="BK1606" s="57" t="n">
        <v>4</v>
      </c>
      <c r="BL1606" s="57" t="n">
        <v>0</v>
      </c>
      <c r="BM1606" s="56" t="n">
        <v>0</v>
      </c>
      <c r="BN1606" s="57" t="n">
        <v>0</v>
      </c>
      <c r="BO1606" s="55" t="s">
        <v>2575</v>
      </c>
      <c r="BP1606" s="60" t="n">
        <v>0</v>
      </c>
      <c r="BQ1606" s="60" t="n">
        <v>1606</v>
      </c>
      <c r="BR1606" s="55" t="str">
        <f aca="false">IF(U1606&lt;&gt;"",UPPER(TRIM(U1606)),IF(BU1606=1,UPPER(VLOOKUP(T1606,Parameter!$I$27:$K$29,2,0)),IF(P1606="","LOSE",P1606)))</f>
        <v>S51</v>
      </c>
      <c r="BS1606" s="57" t="n">
        <f aca="false">IF(BR1606="LOSE",1,IF(N(V1606)&gt;0,V1606,IF(BU1606=1,MAX(1,N(VLOOKUP(T1606,Parameter!$I$27:$K$29,3,0)),H1606,N(N1606)),IF(N(Q1606)&gt;0,Q1606,MAX(1,H1606)))))</f>
        <v>20</v>
      </c>
      <c r="BT1606" s="60" t="n">
        <f aca="false">IF(BR1606="LOSE",1,0)</f>
        <v>0</v>
      </c>
      <c r="BU1606" s="60" t="n">
        <f aca="false">IF(AND(U1606="",OR(P1606="",P1606="LOSE"),T1606&lt;&gt;"",N(S1606)&lt;=0,ISNUMBER(MATCH(T1606,Parameter!$I$27:$I$29,0))),1,0)</f>
        <v>1</v>
      </c>
      <c r="BV1606" s="55" t="str">
        <f aca="false">IF(AND(Parameter!$B$19="Ja",E1606&lt;&gt;"",ISNUMBER(MATCH(E1606,Parameter!$I$35:$I$52,0))),VLOOKUP(E1606,Parameter!$I$35:$J$52,2,0),IFERROR(VLOOKUP(D1606,Parameter!$A$35:$C$64,2,0),"Nein"))</f>
        <v>2+3</v>
      </c>
      <c r="BW1606" s="59" t="n">
        <f aca="false">IF(BT1606=0,0,IF(N(S1606)&gt;0,S1606,IFERROR(VLOOKUP(D1606,Parameter!$A$35:$C$64,3,0)+0,0)))</f>
        <v>0</v>
      </c>
      <c r="BX1606" s="55" t="n">
        <f aca="false">IF(AA1606&lt;&gt;"",AA1606,Z1606)</f>
        <v>3</v>
      </c>
      <c r="BY1606" s="55" t="str">
        <f aca="false">IF(BX1606=1,"L1",IF(OR(BX1606=2,BX1606=3),"L23",IF(BX1606="Aussen","Aussen","-")))</f>
        <v>L23</v>
      </c>
      <c r="BZ1606" s="66" t="n">
        <f aca="false">IF(N(AB1606)&gt;0,AB1606,0)</f>
        <v>0</v>
      </c>
      <c r="CA1606" s="60" t="n">
        <f aca="false">IF(ISNUMBER(AE1606),1,0)</f>
        <v>0</v>
      </c>
      <c r="CB1606" s="57" t="n">
        <f aca="false">N(AE1606)</f>
        <v>0</v>
      </c>
      <c r="CC1606" s="57" t="n">
        <f aca="false">N(M1606)+N(N1606)</f>
        <v>5</v>
      </c>
      <c r="CD1606" s="57" t="n">
        <f aca="false">ROUNDUP(H1606/BS1606,0)</f>
        <v>1</v>
      </c>
      <c r="CE1606" s="57" t="n">
        <f aca="false">ROUNDUP(CB1606/BS1606,0)</f>
        <v>0</v>
      </c>
      <c r="CF1606" s="60" t="n">
        <f aca="false">IF(BT1606=1,0,IFERROR(VLOOKUP(BR1606,'Gebinde-Kategorie'!$A$5:$M$45,5,0)+0,0))</f>
        <v>11</v>
      </c>
      <c r="CG1606" s="60" t="n">
        <f aca="false">IFERROR(IF(OR(BX1606=1,BX1606=2,BX1606=3),N(INDEX(Parameter!$I$5:$I$7,BX1606)),0),0)</f>
        <v>0</v>
      </c>
      <c r="CH1606" s="59" t="n">
        <f aca="false">IF(AND(Parameter!$B$21="Ja",ISNUMBER(W1606),N(X1606)&gt;0),IFERROR(N(INDEX(Parameter!$L$5:$L$7,W1606))*INDEX(Parameter!$E$5:$E$7,W1606)*X1606/SUMIFS($X$7:$X$1843,$W$7:$W$1843,W1606),0),0)</f>
        <v>0</v>
      </c>
    </row>
    <row r="1607" customFormat="false" ht="15" hidden="false" customHeight="false" outlineLevel="0" collapsed="false">
      <c r="A1607" s="55" t="s">
        <v>2801</v>
      </c>
      <c r="B1607" s="55" t="s">
        <v>2802</v>
      </c>
      <c r="C1607" s="55" t="s">
        <v>164</v>
      </c>
      <c r="D1607" s="55" t="s">
        <v>184</v>
      </c>
      <c r="E1607" s="55"/>
      <c r="F1607" s="55"/>
      <c r="G1607" s="56" t="n">
        <v>2.17</v>
      </c>
      <c r="H1607" s="57" t="n">
        <f aca="false">MAX(0,IF(AND(Parameter!$B$21="Ja",ISNUMBER(Y1607)),Y1607,IF(Parameter!$B$20="Jahresanfang 2025 + Export",BL1607+BK1607,BK1607)))</f>
        <v>89</v>
      </c>
      <c r="I1607" s="57" t="n">
        <f aca="false">H1607*G1607</f>
        <v>193.13</v>
      </c>
      <c r="J1607" s="57" t="n">
        <f aca="false">BN1607*Parameter!$B$18</f>
        <v>0</v>
      </c>
      <c r="K1607" s="58"/>
      <c r="L1607" s="59"/>
      <c r="M1607" s="57" t="n">
        <v>0</v>
      </c>
      <c r="N1607" s="57" t="n">
        <v>40</v>
      </c>
      <c r="O1607" s="60" t="n">
        <v>28</v>
      </c>
      <c r="P1607" s="55" t="s">
        <v>168</v>
      </c>
      <c r="Q1607" s="57"/>
      <c r="R1607" s="60" t="n">
        <f aca="false">IF(BT1607=1,0,IFERROR(VLOOKUP(BR1607,'Gebinde-Kategorie'!$A$5:$M$45,13,0)+0,0))</f>
        <v>26</v>
      </c>
      <c r="S1607" s="61"/>
      <c r="T1607" s="62" t="s">
        <v>275</v>
      </c>
      <c r="U1607" s="62"/>
      <c r="V1607" s="62"/>
      <c r="W1607" s="55"/>
      <c r="X1607" s="57"/>
      <c r="Y1607" s="57"/>
      <c r="Z1607" s="55" t="n">
        <f aca="false">IF(A1607="","",IF(AND(Parameter!$B$21="Ja",ISNUMBER(W1607)),W1607,IF(BV1607="2+3",IF(ISNUMBER(SEARCH("grosser Artikel",BO1607)),2,IFERROR(VLOOKUP(BR1607,Parameter!$F$35:$G$64,2,0),2)),IF(OR(BV1607="Nein",BV1607=""),"-",BV1607))))</f>
        <v>3</v>
      </c>
      <c r="AA1607" s="62"/>
      <c r="AB1607" s="63"/>
      <c r="AC1607" s="57" t="n">
        <f aca="false">AR1607</f>
        <v>89</v>
      </c>
      <c r="AD1607" s="57" t="n">
        <f aca="false">MAX(AR1607,H1607)</f>
        <v>89</v>
      </c>
      <c r="AE1607" s="64"/>
      <c r="AF1607" s="57" t="n">
        <f aca="false">IF(LEFT(Cockpit!$C$5,1)="A",H1607,IF(CA1607=1,CB1607,IF(LEFT(Cockpit!$C$5,1)="B",AJ1607,MAX(AJ1607,H1607))))</f>
        <v>89</v>
      </c>
      <c r="AG1607" s="57" t="n">
        <f aca="false">IF(BT1607=1,0,ROUNDUP(AF1607/BS1607,0))</f>
        <v>1</v>
      </c>
      <c r="AH1607" s="59" t="n">
        <f aca="false">IF(CH1607&gt;0,CH1607*MAX(1,AF1607/X1607),IF(BT1607=1,IF(AF1607&lt;=0,0,BW1607*MAX(1,IF(H1607&gt;0,AF1607/H1607,1))),IF(R1607&gt;0,AG1607/R1607,0))/MAX(0.1,N(Parameter!$M$21)))</f>
        <v>0.0384615384615385</v>
      </c>
      <c r="AI1607" s="57" t="n">
        <f aca="false">AF1607*G1607</f>
        <v>193.13</v>
      </c>
      <c r="AJ1607" s="57" t="n">
        <f aca="false">ROUNDUP(MAX(J1607/IF(BZ1607&gt;0,BZ1607,MAX(0.1,N(Cockpit!$C$6))),CC1607)/BS1607,0)*BS1607</f>
        <v>89</v>
      </c>
      <c r="AK1607" s="58" t="n">
        <f aca="false">IF(AH1607&gt;0,J1607/AH1607,-1)</f>
        <v>0</v>
      </c>
      <c r="AL1607" s="58" t="n">
        <f aca="false">IF(AND(OR(BY1607="L1",BY1607="L23"),AH1607&gt;0),SUMIFS($AH$7:$AH$1843,$BY$7:$BY$1843,BY1607,$AK$7:$AK$1843,"&gt;"&amp;AK1607)+SUMIFS($AH$7:$AH$1843,$BY$7:$BY$1843,BY1607,$AK$7:$AK$1843,AK1607,$BQ$7:$BQ$1843,"&lt;="&amp;BQ1607),"")</f>
        <v>86.2383787709875</v>
      </c>
      <c r="AM1607" s="65" t="n">
        <f aca="false">IF(AL1607="",0,MAX(0,MIN(1,(IF(BY1607="L1",Parameter!$E$5,Parameter!$E$6+Parameter!$E$7)-(AL1607-AH1607))/AH1607)))</f>
        <v>1</v>
      </c>
      <c r="AN1607" s="57" t="n">
        <f aca="false">IF(LEFT(Cockpit!$I$5,1)="A",H1607,IF(CA1607=1,CB1607,IF(LEFT(Cockpit!$I$5,1)="B",AR1607,MAX(AR1607,H1607))))</f>
        <v>89</v>
      </c>
      <c r="AO1607" s="57" t="n">
        <f aca="false">IF(BT1607=1,0,ROUNDUP(AN1607/BS1607,0))</f>
        <v>1</v>
      </c>
      <c r="AP1607" s="59" t="n">
        <f aca="false">IF(CH1607&gt;0,CH1607*MAX(1,AN1607/X1607),IF(BT1607=1,IF(AN1607&lt;=0,0,BW1607*MAX(1,IF(H1607&gt;0,AN1607/H1607,1))),IF(R1607&gt;0,AO1607/R1607,0))/MAX(0.1,N(Parameter!$M$21)))</f>
        <v>0.0384615384615385</v>
      </c>
      <c r="AQ1607" s="57" t="n">
        <f aca="false">AN1607*G1607</f>
        <v>193.13</v>
      </c>
      <c r="AR1607" s="57" t="n">
        <f aca="false">ROUNDUP(MAX(J1607/IF(BZ1607&gt;0,BZ1607,MAX(0.1,N(Cockpit!$I$6))),CC1607)/BS1607,0)*BS1607</f>
        <v>89</v>
      </c>
      <c r="AS1607" s="58" t="n">
        <f aca="false">IF(AP1607&gt;0,J1607/AP1607,-1)</f>
        <v>0</v>
      </c>
      <c r="AT1607" s="58" t="n">
        <f aca="false">IF(AND(OR(BY1607="L1",BY1607="L23"),AP1607&gt;0),SUMIFS($AP$7:$AP$1843,$BY$7:$BY$1843,BY1607,$AS$7:$AS$1843,"&gt;"&amp;AS1607)+SUMIFS($AP$7:$AP$1843,$BY$7:$BY$1843,BY1607,$AS$7:$AS$1843,AS1607,$BQ$7:$BQ$1843,"&lt;="&amp;BQ1607),"")</f>
        <v>131.490515523124</v>
      </c>
      <c r="AU1607" s="65" t="n">
        <f aca="false">IF(AT1607="",0,MAX(0,MIN(1,(IF(BY1607="L1",Parameter!$E$5,Parameter!$E$6+Parameter!$E$7)-(AT1607-AP1607))/AP1607)))</f>
        <v>0</v>
      </c>
      <c r="AV1607" s="57" t="n">
        <f aca="false">IF(LEFT(Cockpit!$O$5,1)="A",H1607,IF(CA1607=1,CB1607,IF(LEFT(Cockpit!$O$5,1)="B",AZ1607,MAX(AZ1607,H1607))))</f>
        <v>89</v>
      </c>
      <c r="AW1607" s="57" t="n">
        <f aca="false">IF(BT1607=1,0,ROUNDUP(AV1607/BS1607,0))</f>
        <v>1</v>
      </c>
      <c r="AX1607" s="59" t="n">
        <f aca="false">IF(CH1607&gt;0,CH1607*MAX(1,AV1607/X1607),IF(BT1607=1,IF(AV1607&lt;=0,0,BW1607*MAX(1,IF(H1607&gt;0,AV1607/H1607,1))),IF(R1607&gt;0,AW1607/R1607,0))/MAX(0.1,N(Parameter!$M$21)))</f>
        <v>0.0384615384615385</v>
      </c>
      <c r="AY1607" s="57" t="n">
        <f aca="false">AV1607*G1607</f>
        <v>193.13</v>
      </c>
      <c r="AZ1607" s="57" t="n">
        <f aca="false">ROUNDUP(MAX(J1607/IF(BZ1607&gt;0,BZ1607,MAX(0.1,N(Cockpit!$O$6))),CC1607)/BS1607,0)*BS1607</f>
        <v>89</v>
      </c>
      <c r="BA1607" s="58" t="n">
        <f aca="false">IF(AX1607&gt;0,J1607/AX1607,-1)</f>
        <v>0</v>
      </c>
      <c r="BB1607" s="58" t="n">
        <f aca="false">IF(AND(OR(BY1607="L1",BY1607="L23"),AX1607&gt;0),SUMIFS($AX$7:$AX$1843,$BY$7:$BY$1843,BY1607,$BA$7:$BA$1843,"&gt;"&amp;BA1607)+SUMIFS($AX$7:$AX$1843,$BY$7:$BY$1843,BY1607,$BA$7:$BA$1843,BA1607,$BQ$7:$BQ$1843,"&lt;="&amp;BQ1607),"")</f>
        <v>122.320352352961</v>
      </c>
      <c r="BC1607" s="65" t="n">
        <f aca="false">IF(BB1607="",0,MAX(0,MIN(1,(IF(BY1607="L1",Parameter!$E$5,Parameter!$E$6+Parameter!$E$7)-(BB1607-AX1607))/AX1607)))</f>
        <v>0</v>
      </c>
      <c r="BD1607" s="55" t="str">
        <f aca="false">IF(AH1607&lt;=0,"",IF(BY1607="Aussen","Aussenlager",IF(BY1607="-","Nicht im Lift",IF(AM1607&gt;=1,"Lift",IF(AM1607&lt;=0,"Aussenlager","teilweise")))))</f>
        <v>Lift</v>
      </c>
      <c r="BE1607" s="55" t="str">
        <f aca="false">IF(AP1607&lt;=0,"",IF(BY1607="Aussen","Aussenlager",IF(BY1607="-","Nicht im Lift",IF(AU1607&gt;=1,"Lift",IF(AU1607&lt;=0,"Aussenlager","teilweise")))))</f>
        <v>Aussenlager</v>
      </c>
      <c r="BF1607" s="55" t="str">
        <f aca="false">IF(AX1607&lt;=0,"",IF(BY1607="Aussen","Aussenlager",IF(BY1607="-","Nicht im Lift",IF(BC1607&gt;=1,"Lift",IF(BC1607&lt;=0,"Aussenlager","teilweise")))))</f>
        <v>Aussenlager</v>
      </c>
      <c r="BG1607" s="55" t="str">
        <f aca="false">IF(A1607="","",IF(BP1607=1,"Neu; ","")&amp;IF(AND(BP1607=0,BK1607&lt;0),"negativer Bestand (Export "&amp;BK1607&amp;"); ","")&amp;IF(J1607&lt;=0,"Kein Verbrauch; ","")&amp;IF(CH1607&gt;0,"Lift "&amp;W1607&amp;" lt. Liftbericht (Fach "&amp;X1607&amp;" Stk); ",IF(BU1607=1,"Gebinde geschätzt ("&amp;T1607&amp;"); ",IF(BT1607=1,"Lose – Tablare geschätzt; ","")))&amp;IF(H1607&gt;AR1607,"Überbestand "&amp;ROUND(H1607-AR1607,0)&amp;" Stk / CHF "&amp;ROUND((H1607-AR1607)*G1607,0)&amp;"; ","")&amp;IF(AND(CA1607=1,CB1607&lt;CC1607),"MAX &lt; MB+LG; ","")&amp;IF(AND(CG1607&gt;0,CF1607*10&gt;CG1607),"zu hoch für Tablar; ","")&amp;IF(AND(BP1607=0,OR(CA1607=1,AA1607&lt;&gt;"",U1607&lt;&gt;"",V1607&lt;&gt;"",AB1607&lt;&gt;"")),"manuell übersteuert; ","")&amp;IF(AND(BT1607=0,R1607=0),"Gebinde unbekannt / Stellmass fehlt; ","")&amp;IF(AND(BT1607=0,N(V1607)&lt;=0,N(Q1607)&lt;=0),"Menge pro Gebinde fehlt (Ist = 1 Gebinde); ","")&amp;BO1607)</f>
        <v>Kein Verbrauch; Gebinde geschätzt (Klein); Menge pro Gebinde fehlt (Ist = 1 Gebinde); nur im Artikelstamm (Bestand 23.06.2026)</v>
      </c>
      <c r="BH1607" s="55"/>
      <c r="BI1607" s="55"/>
      <c r="BJ1607" s="62"/>
      <c r="BK1607" s="57" t="n">
        <v>89</v>
      </c>
      <c r="BL1607" s="57" t="n">
        <v>0</v>
      </c>
      <c r="BM1607" s="56" t="n">
        <v>0</v>
      </c>
      <c r="BN1607" s="57" t="n">
        <v>0</v>
      </c>
      <c r="BO1607" s="55" t="s">
        <v>2575</v>
      </c>
      <c r="BP1607" s="60" t="n">
        <v>0</v>
      </c>
      <c r="BQ1607" s="60" t="n">
        <v>1607</v>
      </c>
      <c r="BR1607" s="55" t="str">
        <f aca="false">IF(U1607&lt;&gt;"",UPPER(TRIM(U1607)),IF(BU1607=1,UPPER(VLOOKUP(T1607,Parameter!$I$27:$K$29,2,0)),IF(P1607="","LOSE",P1607)))</f>
        <v>S51</v>
      </c>
      <c r="BS1607" s="57" t="n">
        <f aca="false">IF(BR1607="LOSE",1,IF(N(V1607)&gt;0,V1607,IF(BU1607=1,MAX(1,N(VLOOKUP(T1607,Parameter!$I$27:$K$29,3,0)),H1607,N(N1607)),IF(N(Q1607)&gt;0,Q1607,MAX(1,H1607)))))</f>
        <v>89</v>
      </c>
      <c r="BT1607" s="60" t="n">
        <f aca="false">IF(BR1607="LOSE",1,0)</f>
        <v>0</v>
      </c>
      <c r="BU1607" s="60" t="n">
        <f aca="false">IF(AND(U1607="",OR(P1607="",P1607="LOSE"),T1607&lt;&gt;"",N(S1607)&lt;=0,ISNUMBER(MATCH(T1607,Parameter!$I$27:$I$29,0))),1,0)</f>
        <v>1</v>
      </c>
      <c r="BV1607" s="55" t="str">
        <f aca="false">IF(AND(Parameter!$B$19="Ja",E1607&lt;&gt;"",ISNUMBER(MATCH(E1607,Parameter!$I$35:$I$52,0))),VLOOKUP(E1607,Parameter!$I$35:$J$52,2,0),IFERROR(VLOOKUP(D1607,Parameter!$A$35:$C$64,2,0),"Nein"))</f>
        <v>2+3</v>
      </c>
      <c r="BW1607" s="59" t="n">
        <f aca="false">IF(BT1607=0,0,IF(N(S1607)&gt;0,S1607,IFERROR(VLOOKUP(D1607,Parameter!$A$35:$C$64,3,0)+0,0)))</f>
        <v>0</v>
      </c>
      <c r="BX1607" s="55" t="n">
        <f aca="false">IF(AA1607&lt;&gt;"",AA1607,Z1607)</f>
        <v>3</v>
      </c>
      <c r="BY1607" s="55" t="str">
        <f aca="false">IF(BX1607=1,"L1",IF(OR(BX1607=2,BX1607=3),"L23",IF(BX1607="Aussen","Aussen","-")))</f>
        <v>L23</v>
      </c>
      <c r="BZ1607" s="66" t="n">
        <f aca="false">IF(N(AB1607)&gt;0,AB1607,0)</f>
        <v>0</v>
      </c>
      <c r="CA1607" s="60" t="n">
        <f aca="false">IF(ISNUMBER(AE1607),1,0)</f>
        <v>0</v>
      </c>
      <c r="CB1607" s="57" t="n">
        <f aca="false">N(AE1607)</f>
        <v>0</v>
      </c>
      <c r="CC1607" s="57" t="n">
        <f aca="false">N(M1607)+N(N1607)</f>
        <v>40</v>
      </c>
      <c r="CD1607" s="57" t="n">
        <f aca="false">ROUNDUP(H1607/BS1607,0)</f>
        <v>1</v>
      </c>
      <c r="CE1607" s="57" t="n">
        <f aca="false">ROUNDUP(CB1607/BS1607,0)</f>
        <v>0</v>
      </c>
      <c r="CF1607" s="60" t="n">
        <f aca="false">IF(BT1607=1,0,IFERROR(VLOOKUP(BR1607,'Gebinde-Kategorie'!$A$5:$M$45,5,0)+0,0))</f>
        <v>11</v>
      </c>
      <c r="CG1607" s="60" t="n">
        <f aca="false">IFERROR(IF(OR(BX1607=1,BX1607=2,BX1607=3),N(INDEX(Parameter!$I$5:$I$7,BX1607)),0),0)</f>
        <v>0</v>
      </c>
      <c r="CH1607" s="59" t="n">
        <f aca="false">IF(AND(Parameter!$B$21="Ja",ISNUMBER(W1607),N(X1607)&gt;0),IFERROR(N(INDEX(Parameter!$L$5:$L$7,W1607))*INDEX(Parameter!$E$5:$E$7,W1607)*X1607/SUMIFS($X$7:$X$1843,$W$7:$W$1843,W1607),0),0)</f>
        <v>0</v>
      </c>
    </row>
    <row r="1608" customFormat="false" ht="15" hidden="false" customHeight="false" outlineLevel="0" collapsed="false">
      <c r="A1608" s="55" t="s">
        <v>2803</v>
      </c>
      <c r="B1608" s="55" t="s">
        <v>2804</v>
      </c>
      <c r="C1608" s="55" t="s">
        <v>164</v>
      </c>
      <c r="D1608" s="55" t="s">
        <v>184</v>
      </c>
      <c r="E1608" s="55"/>
      <c r="F1608" s="55"/>
      <c r="G1608" s="56" t="n">
        <v>1.95</v>
      </c>
      <c r="H1608" s="57" t="n">
        <f aca="false">MAX(0,IF(AND(Parameter!$B$21="Ja",ISNUMBER(Y1608)),Y1608,IF(Parameter!$B$20="Jahresanfang 2025 + Export",BL1608+BK1608,BK1608)))</f>
        <v>44</v>
      </c>
      <c r="I1608" s="57" t="n">
        <f aca="false">H1608*G1608</f>
        <v>85.8</v>
      </c>
      <c r="J1608" s="57" t="n">
        <f aca="false">BN1608*Parameter!$B$18</f>
        <v>0</v>
      </c>
      <c r="K1608" s="58"/>
      <c r="L1608" s="59"/>
      <c r="M1608" s="57" t="n">
        <v>0</v>
      </c>
      <c r="N1608" s="57" t="n">
        <v>40</v>
      </c>
      <c r="O1608" s="60" t="n">
        <v>28</v>
      </c>
      <c r="P1608" s="55" t="s">
        <v>168</v>
      </c>
      <c r="Q1608" s="57"/>
      <c r="R1608" s="60" t="n">
        <f aca="false">IF(BT1608=1,0,IFERROR(VLOOKUP(BR1608,'Gebinde-Kategorie'!$A$5:$M$45,13,0)+0,0))</f>
        <v>26</v>
      </c>
      <c r="S1608" s="61"/>
      <c r="T1608" s="62" t="s">
        <v>275</v>
      </c>
      <c r="U1608" s="62"/>
      <c r="V1608" s="62"/>
      <c r="W1608" s="55"/>
      <c r="X1608" s="57"/>
      <c r="Y1608" s="57"/>
      <c r="Z1608" s="55" t="n">
        <f aca="false">IF(A1608="","",IF(AND(Parameter!$B$21="Ja",ISNUMBER(W1608)),W1608,IF(BV1608="2+3",IF(ISNUMBER(SEARCH("grosser Artikel",BO1608)),2,IFERROR(VLOOKUP(BR1608,Parameter!$F$35:$G$64,2,0),2)),IF(OR(BV1608="Nein",BV1608=""),"-",BV1608))))</f>
        <v>3</v>
      </c>
      <c r="AA1608" s="62"/>
      <c r="AB1608" s="63"/>
      <c r="AC1608" s="57" t="n">
        <f aca="false">AR1608</f>
        <v>44</v>
      </c>
      <c r="AD1608" s="57" t="n">
        <f aca="false">MAX(AR1608,H1608)</f>
        <v>44</v>
      </c>
      <c r="AE1608" s="64"/>
      <c r="AF1608" s="57" t="n">
        <f aca="false">IF(LEFT(Cockpit!$C$5,1)="A",H1608,IF(CA1608=1,CB1608,IF(LEFT(Cockpit!$C$5,1)="B",AJ1608,MAX(AJ1608,H1608))))</f>
        <v>44</v>
      </c>
      <c r="AG1608" s="57" t="n">
        <f aca="false">IF(BT1608=1,0,ROUNDUP(AF1608/BS1608,0))</f>
        <v>1</v>
      </c>
      <c r="AH1608" s="59" t="n">
        <f aca="false">IF(CH1608&gt;0,CH1608*MAX(1,AF1608/X1608),IF(BT1608=1,IF(AF1608&lt;=0,0,BW1608*MAX(1,IF(H1608&gt;0,AF1608/H1608,1))),IF(R1608&gt;0,AG1608/R1608,0))/MAX(0.1,N(Parameter!$M$21)))</f>
        <v>0.0384615384615385</v>
      </c>
      <c r="AI1608" s="57" t="n">
        <f aca="false">AF1608*G1608</f>
        <v>85.8</v>
      </c>
      <c r="AJ1608" s="57" t="n">
        <f aca="false">ROUNDUP(MAX(J1608/IF(BZ1608&gt;0,BZ1608,MAX(0.1,N(Cockpit!$C$6))),CC1608)/BS1608,0)*BS1608</f>
        <v>44</v>
      </c>
      <c r="AK1608" s="58" t="n">
        <f aca="false">IF(AH1608&gt;0,J1608/AH1608,-1)</f>
        <v>0</v>
      </c>
      <c r="AL1608" s="58" t="n">
        <f aca="false">IF(AND(OR(BY1608="L1",BY1608="L23"),AH1608&gt;0),SUMIFS($AH$7:$AH$1843,$BY$7:$BY$1843,BY1608,$AK$7:$AK$1843,"&gt;"&amp;AK1608)+SUMIFS($AH$7:$AH$1843,$BY$7:$BY$1843,BY1608,$AK$7:$AK$1843,AK1608,$BQ$7:$BQ$1843,"&lt;="&amp;BQ1608),"")</f>
        <v>86.276840309449</v>
      </c>
      <c r="AM1608" s="65" t="n">
        <f aca="false">IF(AL1608="",0,MAX(0,MIN(1,(IF(BY1608="L1",Parameter!$E$5,Parameter!$E$6+Parameter!$E$7)-(AL1608-AH1608))/AH1608)))</f>
        <v>1</v>
      </c>
      <c r="AN1608" s="57" t="n">
        <f aca="false">IF(LEFT(Cockpit!$I$5,1)="A",H1608,IF(CA1608=1,CB1608,IF(LEFT(Cockpit!$I$5,1)="B",AR1608,MAX(AR1608,H1608))))</f>
        <v>44</v>
      </c>
      <c r="AO1608" s="57" t="n">
        <f aca="false">IF(BT1608=1,0,ROUNDUP(AN1608/BS1608,0))</f>
        <v>1</v>
      </c>
      <c r="AP1608" s="59" t="n">
        <f aca="false">IF(CH1608&gt;0,CH1608*MAX(1,AN1608/X1608),IF(BT1608=1,IF(AN1608&lt;=0,0,BW1608*MAX(1,IF(H1608&gt;0,AN1608/H1608,1))),IF(R1608&gt;0,AO1608/R1608,0))/MAX(0.1,N(Parameter!$M$21)))</f>
        <v>0.0384615384615385</v>
      </c>
      <c r="AQ1608" s="57" t="n">
        <f aca="false">AN1608*G1608</f>
        <v>85.8</v>
      </c>
      <c r="AR1608" s="57" t="n">
        <f aca="false">ROUNDUP(MAX(J1608/IF(BZ1608&gt;0,BZ1608,MAX(0.1,N(Cockpit!$I$6))),CC1608)/BS1608,0)*BS1608</f>
        <v>44</v>
      </c>
      <c r="AS1608" s="58" t="n">
        <f aca="false">IF(AP1608&gt;0,J1608/AP1608,-1)</f>
        <v>0</v>
      </c>
      <c r="AT1608" s="58" t="n">
        <f aca="false">IF(AND(OR(BY1608="L1",BY1608="L23"),AP1608&gt;0),SUMIFS($AP$7:$AP$1843,$BY$7:$BY$1843,BY1608,$AS$7:$AS$1843,"&gt;"&amp;AS1608)+SUMIFS($AP$7:$AP$1843,$BY$7:$BY$1843,BY1608,$AS$7:$AS$1843,AS1608,$BQ$7:$BQ$1843,"&lt;="&amp;BQ1608),"")</f>
        <v>131.528977061586</v>
      </c>
      <c r="AU1608" s="65" t="n">
        <f aca="false">IF(AT1608="",0,MAX(0,MIN(1,(IF(BY1608="L1",Parameter!$E$5,Parameter!$E$6+Parameter!$E$7)-(AT1608-AP1608))/AP1608)))</f>
        <v>0</v>
      </c>
      <c r="AV1608" s="57" t="n">
        <f aca="false">IF(LEFT(Cockpit!$O$5,1)="A",H1608,IF(CA1608=1,CB1608,IF(LEFT(Cockpit!$O$5,1)="B",AZ1608,MAX(AZ1608,H1608))))</f>
        <v>44</v>
      </c>
      <c r="AW1608" s="57" t="n">
        <f aca="false">IF(BT1608=1,0,ROUNDUP(AV1608/BS1608,0))</f>
        <v>1</v>
      </c>
      <c r="AX1608" s="59" t="n">
        <f aca="false">IF(CH1608&gt;0,CH1608*MAX(1,AV1608/X1608),IF(BT1608=1,IF(AV1608&lt;=0,0,BW1608*MAX(1,IF(H1608&gt;0,AV1608/H1608,1))),IF(R1608&gt;0,AW1608/R1608,0))/MAX(0.1,N(Parameter!$M$21)))</f>
        <v>0.0384615384615385</v>
      </c>
      <c r="AY1608" s="57" t="n">
        <f aca="false">AV1608*G1608</f>
        <v>85.8</v>
      </c>
      <c r="AZ1608" s="57" t="n">
        <f aca="false">ROUNDUP(MAX(J1608/IF(BZ1608&gt;0,BZ1608,MAX(0.1,N(Cockpit!$O$6))),CC1608)/BS1608,0)*BS1608</f>
        <v>44</v>
      </c>
      <c r="BA1608" s="58" t="n">
        <f aca="false">IF(AX1608&gt;0,J1608/AX1608,-1)</f>
        <v>0</v>
      </c>
      <c r="BB1608" s="58" t="n">
        <f aca="false">IF(AND(OR(BY1608="L1",BY1608="L23"),AX1608&gt;0),SUMIFS($AX$7:$AX$1843,$BY$7:$BY$1843,BY1608,$BA$7:$BA$1843,"&gt;"&amp;BA1608)+SUMIFS($AX$7:$AX$1843,$BY$7:$BY$1843,BY1608,$BA$7:$BA$1843,BA1608,$BQ$7:$BQ$1843,"&lt;="&amp;BQ1608),"")</f>
        <v>122.358813891423</v>
      </c>
      <c r="BC1608" s="65" t="n">
        <f aca="false">IF(BB1608="",0,MAX(0,MIN(1,(IF(BY1608="L1",Parameter!$E$5,Parameter!$E$6+Parameter!$E$7)-(BB1608-AX1608))/AX1608)))</f>
        <v>0</v>
      </c>
      <c r="BD1608" s="55" t="str">
        <f aca="false">IF(AH1608&lt;=0,"",IF(BY1608="Aussen","Aussenlager",IF(BY1608="-","Nicht im Lift",IF(AM1608&gt;=1,"Lift",IF(AM1608&lt;=0,"Aussenlager","teilweise")))))</f>
        <v>Lift</v>
      </c>
      <c r="BE1608" s="55" t="str">
        <f aca="false">IF(AP1608&lt;=0,"",IF(BY1608="Aussen","Aussenlager",IF(BY1608="-","Nicht im Lift",IF(AU1608&gt;=1,"Lift",IF(AU1608&lt;=0,"Aussenlager","teilweise")))))</f>
        <v>Aussenlager</v>
      </c>
      <c r="BF1608" s="55" t="str">
        <f aca="false">IF(AX1608&lt;=0,"",IF(BY1608="Aussen","Aussenlager",IF(BY1608="-","Nicht im Lift",IF(BC1608&gt;=1,"Lift",IF(BC1608&lt;=0,"Aussenlager","teilweise")))))</f>
        <v>Aussenlager</v>
      </c>
      <c r="BG1608" s="55" t="str">
        <f aca="false">IF(A1608="","",IF(BP1608=1,"Neu; ","")&amp;IF(AND(BP1608=0,BK1608&lt;0),"negativer Bestand (Export "&amp;BK1608&amp;"); ","")&amp;IF(J1608&lt;=0,"Kein Verbrauch; ","")&amp;IF(CH1608&gt;0,"Lift "&amp;W1608&amp;" lt. Liftbericht (Fach "&amp;X1608&amp;" Stk); ",IF(BU1608=1,"Gebinde geschätzt ("&amp;T1608&amp;"); ",IF(BT1608=1,"Lose – Tablare geschätzt; ","")))&amp;IF(H1608&gt;AR1608,"Überbestand "&amp;ROUND(H1608-AR1608,0)&amp;" Stk / CHF "&amp;ROUND((H1608-AR1608)*G1608,0)&amp;"; ","")&amp;IF(AND(CA1608=1,CB1608&lt;CC1608),"MAX &lt; MB+LG; ","")&amp;IF(AND(CG1608&gt;0,CF1608*10&gt;CG1608),"zu hoch für Tablar; ","")&amp;IF(AND(BP1608=0,OR(CA1608=1,AA1608&lt;&gt;"",U1608&lt;&gt;"",V1608&lt;&gt;"",AB1608&lt;&gt;"")),"manuell übersteuert; ","")&amp;IF(AND(BT1608=0,R1608=0),"Gebinde unbekannt / Stellmass fehlt; ","")&amp;IF(AND(BT1608=0,N(V1608)&lt;=0,N(Q1608)&lt;=0),"Menge pro Gebinde fehlt (Ist = 1 Gebinde); ","")&amp;BO1608)</f>
        <v>Kein Verbrauch; Gebinde geschätzt (Klein); Menge pro Gebinde fehlt (Ist = 1 Gebinde); nur im Artikelstamm (Bestand 23.06.2026)</v>
      </c>
      <c r="BH1608" s="55"/>
      <c r="BI1608" s="55"/>
      <c r="BJ1608" s="62"/>
      <c r="BK1608" s="57" t="n">
        <v>44</v>
      </c>
      <c r="BL1608" s="57" t="n">
        <v>0</v>
      </c>
      <c r="BM1608" s="56" t="n">
        <v>0</v>
      </c>
      <c r="BN1608" s="57" t="n">
        <v>0</v>
      </c>
      <c r="BO1608" s="55" t="s">
        <v>2575</v>
      </c>
      <c r="BP1608" s="60" t="n">
        <v>0</v>
      </c>
      <c r="BQ1608" s="60" t="n">
        <v>1608</v>
      </c>
      <c r="BR1608" s="55" t="str">
        <f aca="false">IF(U1608&lt;&gt;"",UPPER(TRIM(U1608)),IF(BU1608=1,UPPER(VLOOKUP(T1608,Parameter!$I$27:$K$29,2,0)),IF(P1608="","LOSE",P1608)))</f>
        <v>S51</v>
      </c>
      <c r="BS1608" s="57" t="n">
        <f aca="false">IF(BR1608="LOSE",1,IF(N(V1608)&gt;0,V1608,IF(BU1608=1,MAX(1,N(VLOOKUP(T1608,Parameter!$I$27:$K$29,3,0)),H1608,N(N1608)),IF(N(Q1608)&gt;0,Q1608,MAX(1,H1608)))))</f>
        <v>44</v>
      </c>
      <c r="BT1608" s="60" t="n">
        <f aca="false">IF(BR1608="LOSE",1,0)</f>
        <v>0</v>
      </c>
      <c r="BU1608" s="60" t="n">
        <f aca="false">IF(AND(U1608="",OR(P1608="",P1608="LOSE"),T1608&lt;&gt;"",N(S1608)&lt;=0,ISNUMBER(MATCH(T1608,Parameter!$I$27:$I$29,0))),1,0)</f>
        <v>1</v>
      </c>
      <c r="BV1608" s="55" t="str">
        <f aca="false">IF(AND(Parameter!$B$19="Ja",E1608&lt;&gt;"",ISNUMBER(MATCH(E1608,Parameter!$I$35:$I$52,0))),VLOOKUP(E1608,Parameter!$I$35:$J$52,2,0),IFERROR(VLOOKUP(D1608,Parameter!$A$35:$C$64,2,0),"Nein"))</f>
        <v>2+3</v>
      </c>
      <c r="BW1608" s="59" t="n">
        <f aca="false">IF(BT1608=0,0,IF(N(S1608)&gt;0,S1608,IFERROR(VLOOKUP(D1608,Parameter!$A$35:$C$64,3,0)+0,0)))</f>
        <v>0</v>
      </c>
      <c r="BX1608" s="55" t="n">
        <f aca="false">IF(AA1608&lt;&gt;"",AA1608,Z1608)</f>
        <v>3</v>
      </c>
      <c r="BY1608" s="55" t="str">
        <f aca="false">IF(BX1608=1,"L1",IF(OR(BX1608=2,BX1608=3),"L23",IF(BX1608="Aussen","Aussen","-")))</f>
        <v>L23</v>
      </c>
      <c r="BZ1608" s="66" t="n">
        <f aca="false">IF(N(AB1608)&gt;0,AB1608,0)</f>
        <v>0</v>
      </c>
      <c r="CA1608" s="60" t="n">
        <f aca="false">IF(ISNUMBER(AE1608),1,0)</f>
        <v>0</v>
      </c>
      <c r="CB1608" s="57" t="n">
        <f aca="false">N(AE1608)</f>
        <v>0</v>
      </c>
      <c r="CC1608" s="57" t="n">
        <f aca="false">N(M1608)+N(N1608)</f>
        <v>40</v>
      </c>
      <c r="CD1608" s="57" t="n">
        <f aca="false">ROUNDUP(H1608/BS1608,0)</f>
        <v>1</v>
      </c>
      <c r="CE1608" s="57" t="n">
        <f aca="false">ROUNDUP(CB1608/BS1608,0)</f>
        <v>0</v>
      </c>
      <c r="CF1608" s="60" t="n">
        <f aca="false">IF(BT1608=1,0,IFERROR(VLOOKUP(BR1608,'Gebinde-Kategorie'!$A$5:$M$45,5,0)+0,0))</f>
        <v>11</v>
      </c>
      <c r="CG1608" s="60" t="n">
        <f aca="false">IFERROR(IF(OR(BX1608=1,BX1608=2,BX1608=3),N(INDEX(Parameter!$I$5:$I$7,BX1608)),0),0)</f>
        <v>0</v>
      </c>
      <c r="CH1608" s="59" t="n">
        <f aca="false">IF(AND(Parameter!$B$21="Ja",ISNUMBER(W1608),N(X1608)&gt;0),IFERROR(N(INDEX(Parameter!$L$5:$L$7,W1608))*INDEX(Parameter!$E$5:$E$7,W1608)*X1608/SUMIFS($X$7:$X$1843,$W$7:$W$1843,W1608),0),0)</f>
        <v>0</v>
      </c>
    </row>
    <row r="1609" customFormat="false" ht="15" hidden="false" customHeight="false" outlineLevel="0" collapsed="false">
      <c r="A1609" s="55" t="s">
        <v>2805</v>
      </c>
      <c r="B1609" s="55" t="s">
        <v>2804</v>
      </c>
      <c r="C1609" s="55" t="s">
        <v>164</v>
      </c>
      <c r="D1609" s="55" t="s">
        <v>184</v>
      </c>
      <c r="E1609" s="55"/>
      <c r="F1609" s="55"/>
      <c r="G1609" s="56" t="n">
        <v>2.24</v>
      </c>
      <c r="H1609" s="57" t="n">
        <f aca="false">MAX(0,IF(AND(Parameter!$B$21="Ja",ISNUMBER(Y1609)),Y1609,IF(Parameter!$B$20="Jahresanfang 2025 + Export",BL1609+BK1609,BK1609)))</f>
        <v>9</v>
      </c>
      <c r="I1609" s="57" t="n">
        <f aca="false">H1609*G1609</f>
        <v>20.16</v>
      </c>
      <c r="J1609" s="57" t="n">
        <f aca="false">BN1609*Parameter!$B$18</f>
        <v>0</v>
      </c>
      <c r="K1609" s="58"/>
      <c r="L1609" s="59"/>
      <c r="M1609" s="57" t="n">
        <v>0</v>
      </c>
      <c r="N1609" s="57" t="n">
        <v>40</v>
      </c>
      <c r="O1609" s="60" t="n">
        <v>28</v>
      </c>
      <c r="P1609" s="55" t="s">
        <v>168</v>
      </c>
      <c r="Q1609" s="57"/>
      <c r="R1609" s="60" t="n">
        <f aca="false">IF(BT1609=1,0,IFERROR(VLOOKUP(BR1609,'Gebinde-Kategorie'!$A$5:$M$45,13,0)+0,0))</f>
        <v>26</v>
      </c>
      <c r="S1609" s="61"/>
      <c r="T1609" s="62" t="s">
        <v>275</v>
      </c>
      <c r="U1609" s="62"/>
      <c r="V1609" s="62"/>
      <c r="W1609" s="55"/>
      <c r="X1609" s="57"/>
      <c r="Y1609" s="57"/>
      <c r="Z1609" s="55" t="n">
        <f aca="false">IF(A1609="","",IF(AND(Parameter!$B$21="Ja",ISNUMBER(W1609)),W1609,IF(BV1609="2+3",IF(ISNUMBER(SEARCH("grosser Artikel",BO1609)),2,IFERROR(VLOOKUP(BR1609,Parameter!$F$35:$G$64,2,0),2)),IF(OR(BV1609="Nein",BV1609=""),"-",BV1609))))</f>
        <v>3</v>
      </c>
      <c r="AA1609" s="62"/>
      <c r="AB1609" s="63"/>
      <c r="AC1609" s="57" t="n">
        <f aca="false">AR1609</f>
        <v>40</v>
      </c>
      <c r="AD1609" s="57" t="n">
        <f aca="false">MAX(AR1609,H1609)</f>
        <v>40</v>
      </c>
      <c r="AE1609" s="64"/>
      <c r="AF1609" s="57" t="n">
        <f aca="false">IF(LEFT(Cockpit!$C$5,1)="A",H1609,IF(CA1609=1,CB1609,IF(LEFT(Cockpit!$C$5,1)="B",AJ1609,MAX(AJ1609,H1609))))</f>
        <v>9</v>
      </c>
      <c r="AG1609" s="57" t="n">
        <f aca="false">IF(BT1609=1,0,ROUNDUP(AF1609/BS1609,0))</f>
        <v>1</v>
      </c>
      <c r="AH1609" s="59" t="n">
        <f aca="false">IF(CH1609&gt;0,CH1609*MAX(1,AF1609/X1609),IF(BT1609=1,IF(AF1609&lt;=0,0,BW1609*MAX(1,IF(H1609&gt;0,AF1609/H1609,1))),IF(R1609&gt;0,AG1609/R1609,0))/MAX(0.1,N(Parameter!$M$21)))</f>
        <v>0.0384615384615385</v>
      </c>
      <c r="AI1609" s="57" t="n">
        <f aca="false">AF1609*G1609</f>
        <v>20.16</v>
      </c>
      <c r="AJ1609" s="57" t="n">
        <f aca="false">ROUNDUP(MAX(J1609/IF(BZ1609&gt;0,BZ1609,MAX(0.1,N(Cockpit!$C$6))),CC1609)/BS1609,0)*BS1609</f>
        <v>40</v>
      </c>
      <c r="AK1609" s="58" t="n">
        <f aca="false">IF(AH1609&gt;0,J1609/AH1609,-1)</f>
        <v>0</v>
      </c>
      <c r="AL1609" s="58" t="n">
        <f aca="false">IF(AND(OR(BY1609="L1",BY1609="L23"),AH1609&gt;0),SUMIFS($AH$7:$AH$1843,$BY$7:$BY$1843,BY1609,$AK$7:$AK$1843,"&gt;"&amp;AK1609)+SUMIFS($AH$7:$AH$1843,$BY$7:$BY$1843,BY1609,$AK$7:$AK$1843,AK1609,$BQ$7:$BQ$1843,"&lt;="&amp;BQ1609),"")</f>
        <v>86.3153018479106</v>
      </c>
      <c r="AM1609" s="65" t="n">
        <f aca="false">IF(AL1609="",0,MAX(0,MIN(1,(IF(BY1609="L1",Parameter!$E$5,Parameter!$E$6+Parameter!$E$7)-(AL1609-AH1609))/AH1609)))</f>
        <v>1</v>
      </c>
      <c r="AN1609" s="57" t="n">
        <f aca="false">IF(LEFT(Cockpit!$I$5,1)="A",H1609,IF(CA1609=1,CB1609,IF(LEFT(Cockpit!$I$5,1)="B",AR1609,MAX(AR1609,H1609))))</f>
        <v>40</v>
      </c>
      <c r="AO1609" s="57" t="n">
        <f aca="false">IF(BT1609=1,0,ROUNDUP(AN1609/BS1609,0))</f>
        <v>1</v>
      </c>
      <c r="AP1609" s="59" t="n">
        <f aca="false">IF(CH1609&gt;0,CH1609*MAX(1,AN1609/X1609),IF(BT1609=1,IF(AN1609&lt;=0,0,BW1609*MAX(1,IF(H1609&gt;0,AN1609/H1609,1))),IF(R1609&gt;0,AO1609/R1609,0))/MAX(0.1,N(Parameter!$M$21)))</f>
        <v>0.0384615384615385</v>
      </c>
      <c r="AQ1609" s="57" t="n">
        <f aca="false">AN1609*G1609</f>
        <v>89.6</v>
      </c>
      <c r="AR1609" s="57" t="n">
        <f aca="false">ROUNDUP(MAX(J1609/IF(BZ1609&gt;0,BZ1609,MAX(0.1,N(Cockpit!$I$6))),CC1609)/BS1609,0)*BS1609</f>
        <v>40</v>
      </c>
      <c r="AS1609" s="58" t="n">
        <f aca="false">IF(AP1609&gt;0,J1609/AP1609,-1)</f>
        <v>0</v>
      </c>
      <c r="AT1609" s="58" t="n">
        <f aca="false">IF(AND(OR(BY1609="L1",BY1609="L23"),AP1609&gt;0),SUMIFS($AP$7:$AP$1843,$BY$7:$BY$1843,BY1609,$AS$7:$AS$1843,"&gt;"&amp;AS1609)+SUMIFS($AP$7:$AP$1843,$BY$7:$BY$1843,BY1609,$AS$7:$AS$1843,AS1609,$BQ$7:$BQ$1843,"&lt;="&amp;BQ1609),"")</f>
        <v>131.567438600047</v>
      </c>
      <c r="AU1609" s="65" t="n">
        <f aca="false">IF(AT1609="",0,MAX(0,MIN(1,(IF(BY1609="L1",Parameter!$E$5,Parameter!$E$6+Parameter!$E$7)-(AT1609-AP1609))/AP1609)))</f>
        <v>0</v>
      </c>
      <c r="AV1609" s="57" t="n">
        <f aca="false">IF(LEFT(Cockpit!$O$5,1)="A",H1609,IF(CA1609=1,CB1609,IF(LEFT(Cockpit!$O$5,1)="B",AZ1609,MAX(AZ1609,H1609))))</f>
        <v>40</v>
      </c>
      <c r="AW1609" s="57" t="n">
        <f aca="false">IF(BT1609=1,0,ROUNDUP(AV1609/BS1609,0))</f>
        <v>1</v>
      </c>
      <c r="AX1609" s="59" t="n">
        <f aca="false">IF(CH1609&gt;0,CH1609*MAX(1,AV1609/X1609),IF(BT1609=1,IF(AV1609&lt;=0,0,BW1609*MAX(1,IF(H1609&gt;0,AV1609/H1609,1))),IF(R1609&gt;0,AW1609/R1609,0))/MAX(0.1,N(Parameter!$M$21)))</f>
        <v>0.0384615384615385</v>
      </c>
      <c r="AY1609" s="57" t="n">
        <f aca="false">AV1609*G1609</f>
        <v>89.6</v>
      </c>
      <c r="AZ1609" s="57" t="n">
        <f aca="false">ROUNDUP(MAX(J1609/IF(BZ1609&gt;0,BZ1609,MAX(0.1,N(Cockpit!$O$6))),CC1609)/BS1609,0)*BS1609</f>
        <v>40</v>
      </c>
      <c r="BA1609" s="58" t="n">
        <f aca="false">IF(AX1609&gt;0,J1609/AX1609,-1)</f>
        <v>0</v>
      </c>
      <c r="BB1609" s="58" t="n">
        <f aca="false">IF(AND(OR(BY1609="L1",BY1609="L23"),AX1609&gt;0),SUMIFS($AX$7:$AX$1843,$BY$7:$BY$1843,BY1609,$BA$7:$BA$1843,"&gt;"&amp;BA1609)+SUMIFS($AX$7:$AX$1843,$BY$7:$BY$1843,BY1609,$BA$7:$BA$1843,BA1609,$BQ$7:$BQ$1843,"&lt;="&amp;BQ1609),"")</f>
        <v>122.397275429884</v>
      </c>
      <c r="BC1609" s="65" t="n">
        <f aca="false">IF(BB1609="",0,MAX(0,MIN(1,(IF(BY1609="L1",Parameter!$E$5,Parameter!$E$6+Parameter!$E$7)-(BB1609-AX1609))/AX1609)))</f>
        <v>0</v>
      </c>
      <c r="BD1609" s="55" t="str">
        <f aca="false">IF(AH1609&lt;=0,"",IF(BY1609="Aussen","Aussenlager",IF(BY1609="-","Nicht im Lift",IF(AM1609&gt;=1,"Lift",IF(AM1609&lt;=0,"Aussenlager","teilweise")))))</f>
        <v>Lift</v>
      </c>
      <c r="BE1609" s="55" t="str">
        <f aca="false">IF(AP1609&lt;=0,"",IF(BY1609="Aussen","Aussenlager",IF(BY1609="-","Nicht im Lift",IF(AU1609&gt;=1,"Lift",IF(AU1609&lt;=0,"Aussenlager","teilweise")))))</f>
        <v>Aussenlager</v>
      </c>
      <c r="BF1609" s="55" t="str">
        <f aca="false">IF(AX1609&lt;=0,"",IF(BY1609="Aussen","Aussenlager",IF(BY1609="-","Nicht im Lift",IF(BC1609&gt;=1,"Lift",IF(BC1609&lt;=0,"Aussenlager","teilweise")))))</f>
        <v>Aussenlager</v>
      </c>
      <c r="BG1609" s="55" t="str">
        <f aca="false">IF(A1609="","",IF(BP1609=1,"Neu; ","")&amp;IF(AND(BP1609=0,BK1609&lt;0),"negativer Bestand (Export "&amp;BK1609&amp;"); ","")&amp;IF(J1609&lt;=0,"Kein Verbrauch; ","")&amp;IF(CH1609&gt;0,"Lift "&amp;W1609&amp;" lt. Liftbericht (Fach "&amp;X1609&amp;" Stk); ",IF(BU1609=1,"Gebinde geschätzt ("&amp;T1609&amp;"); ",IF(BT1609=1,"Lose – Tablare geschätzt; ","")))&amp;IF(H1609&gt;AR1609,"Überbestand "&amp;ROUND(H1609-AR1609,0)&amp;" Stk / CHF "&amp;ROUND((H1609-AR1609)*G1609,0)&amp;"; ","")&amp;IF(AND(CA1609=1,CB1609&lt;CC1609),"MAX &lt; MB+LG; ","")&amp;IF(AND(CG1609&gt;0,CF1609*10&gt;CG1609),"zu hoch für Tablar; ","")&amp;IF(AND(BP1609=0,OR(CA1609=1,AA1609&lt;&gt;"",U1609&lt;&gt;"",V1609&lt;&gt;"",AB1609&lt;&gt;"")),"manuell übersteuert; ","")&amp;IF(AND(BT1609=0,R1609=0),"Gebinde unbekannt / Stellmass fehlt; ","")&amp;IF(AND(BT1609=0,N(V1609)&lt;=0,N(Q1609)&lt;=0),"Menge pro Gebinde fehlt (Ist = 1 Gebinde); ","")&amp;BO1609)</f>
        <v>Kein Verbrauch; Gebinde geschätzt (Klein); Menge pro Gebinde fehlt (Ist = 1 Gebinde); nur im Artikelstamm (Bestand 23.06.2026)</v>
      </c>
      <c r="BH1609" s="55"/>
      <c r="BI1609" s="55"/>
      <c r="BJ1609" s="62"/>
      <c r="BK1609" s="57" t="n">
        <v>9</v>
      </c>
      <c r="BL1609" s="57" t="n">
        <v>0</v>
      </c>
      <c r="BM1609" s="56" t="n">
        <v>0</v>
      </c>
      <c r="BN1609" s="57" t="n">
        <v>0</v>
      </c>
      <c r="BO1609" s="55" t="s">
        <v>2575</v>
      </c>
      <c r="BP1609" s="60" t="n">
        <v>0</v>
      </c>
      <c r="BQ1609" s="60" t="n">
        <v>1609</v>
      </c>
      <c r="BR1609" s="55" t="str">
        <f aca="false">IF(U1609&lt;&gt;"",UPPER(TRIM(U1609)),IF(BU1609=1,UPPER(VLOOKUP(T1609,Parameter!$I$27:$K$29,2,0)),IF(P1609="","LOSE",P1609)))</f>
        <v>S51</v>
      </c>
      <c r="BS1609" s="57" t="n">
        <f aca="false">IF(BR1609="LOSE",1,IF(N(V1609)&gt;0,V1609,IF(BU1609=1,MAX(1,N(VLOOKUP(T1609,Parameter!$I$27:$K$29,3,0)),H1609,N(N1609)),IF(N(Q1609)&gt;0,Q1609,MAX(1,H1609)))))</f>
        <v>40</v>
      </c>
      <c r="BT1609" s="60" t="n">
        <f aca="false">IF(BR1609="LOSE",1,0)</f>
        <v>0</v>
      </c>
      <c r="BU1609" s="60" t="n">
        <f aca="false">IF(AND(U1609="",OR(P1609="",P1609="LOSE"),T1609&lt;&gt;"",N(S1609)&lt;=0,ISNUMBER(MATCH(T1609,Parameter!$I$27:$I$29,0))),1,0)</f>
        <v>1</v>
      </c>
      <c r="BV1609" s="55" t="str">
        <f aca="false">IF(AND(Parameter!$B$19="Ja",E1609&lt;&gt;"",ISNUMBER(MATCH(E1609,Parameter!$I$35:$I$52,0))),VLOOKUP(E1609,Parameter!$I$35:$J$52,2,0),IFERROR(VLOOKUP(D1609,Parameter!$A$35:$C$64,2,0),"Nein"))</f>
        <v>2+3</v>
      </c>
      <c r="BW1609" s="59" t="n">
        <f aca="false">IF(BT1609=0,0,IF(N(S1609)&gt;0,S1609,IFERROR(VLOOKUP(D1609,Parameter!$A$35:$C$64,3,0)+0,0)))</f>
        <v>0</v>
      </c>
      <c r="BX1609" s="55" t="n">
        <f aca="false">IF(AA1609&lt;&gt;"",AA1609,Z1609)</f>
        <v>3</v>
      </c>
      <c r="BY1609" s="55" t="str">
        <f aca="false">IF(BX1609=1,"L1",IF(OR(BX1609=2,BX1609=3),"L23",IF(BX1609="Aussen","Aussen","-")))</f>
        <v>L23</v>
      </c>
      <c r="BZ1609" s="66" t="n">
        <f aca="false">IF(N(AB1609)&gt;0,AB1609,0)</f>
        <v>0</v>
      </c>
      <c r="CA1609" s="60" t="n">
        <f aca="false">IF(ISNUMBER(AE1609),1,0)</f>
        <v>0</v>
      </c>
      <c r="CB1609" s="57" t="n">
        <f aca="false">N(AE1609)</f>
        <v>0</v>
      </c>
      <c r="CC1609" s="57" t="n">
        <f aca="false">N(M1609)+N(N1609)</f>
        <v>40</v>
      </c>
      <c r="CD1609" s="57" t="n">
        <f aca="false">ROUNDUP(H1609/BS1609,0)</f>
        <v>1</v>
      </c>
      <c r="CE1609" s="57" t="n">
        <f aca="false">ROUNDUP(CB1609/BS1609,0)</f>
        <v>0</v>
      </c>
      <c r="CF1609" s="60" t="n">
        <f aca="false">IF(BT1609=1,0,IFERROR(VLOOKUP(BR1609,'Gebinde-Kategorie'!$A$5:$M$45,5,0)+0,0))</f>
        <v>11</v>
      </c>
      <c r="CG1609" s="60" t="n">
        <f aca="false">IFERROR(IF(OR(BX1609=1,BX1609=2,BX1609=3),N(INDEX(Parameter!$I$5:$I$7,BX1609)),0),0)</f>
        <v>0</v>
      </c>
      <c r="CH1609" s="59" t="n">
        <f aca="false">IF(AND(Parameter!$B$21="Ja",ISNUMBER(W1609),N(X1609)&gt;0),IFERROR(N(INDEX(Parameter!$L$5:$L$7,W1609))*INDEX(Parameter!$E$5:$E$7,W1609)*X1609/SUMIFS($X$7:$X$1843,$W$7:$W$1843,W1609),0),0)</f>
        <v>0</v>
      </c>
    </row>
    <row r="1610" customFormat="false" ht="15" hidden="false" customHeight="false" outlineLevel="0" collapsed="false">
      <c r="A1610" s="55" t="s">
        <v>2806</v>
      </c>
      <c r="B1610" s="55" t="s">
        <v>1441</v>
      </c>
      <c r="C1610" s="55" t="s">
        <v>164</v>
      </c>
      <c r="D1610" s="55" t="s">
        <v>173</v>
      </c>
      <c r="E1610" s="55"/>
      <c r="F1610" s="55"/>
      <c r="G1610" s="56" t="n">
        <v>603.2</v>
      </c>
      <c r="H1610" s="57" t="n">
        <f aca="false">MAX(0,IF(AND(Parameter!$B$21="Ja",ISNUMBER(Y1610)),Y1610,IF(Parameter!$B$20="Jahresanfang 2025 + Export",BL1610+BK1610,BK1610)))</f>
        <v>2</v>
      </c>
      <c r="I1610" s="57" t="n">
        <f aca="false">H1610*G1610</f>
        <v>1206.4</v>
      </c>
      <c r="J1610" s="57" t="n">
        <f aca="false">BN1610*Parameter!$B$18</f>
        <v>0</v>
      </c>
      <c r="K1610" s="58"/>
      <c r="L1610" s="59"/>
      <c r="M1610" s="57" t="n">
        <v>0</v>
      </c>
      <c r="N1610" s="57" t="n">
        <v>1</v>
      </c>
      <c r="O1610" s="60" t="n">
        <v>28</v>
      </c>
      <c r="P1610" s="55" t="s">
        <v>168</v>
      </c>
      <c r="Q1610" s="57"/>
      <c r="R1610" s="60" t="n">
        <f aca="false">IF(BT1610=1,0,IFERROR(VLOOKUP(BR1610,'Gebinde-Kategorie'!$A$5:$M$45,13,0)+0,0))</f>
        <v>12</v>
      </c>
      <c r="S1610" s="61"/>
      <c r="T1610" s="62" t="s">
        <v>179</v>
      </c>
      <c r="U1610" s="62"/>
      <c r="V1610" s="62"/>
      <c r="W1610" s="55"/>
      <c r="X1610" s="57"/>
      <c r="Y1610" s="57"/>
      <c r="Z1610" s="55" t="n">
        <f aca="false">IF(A1610="","",IF(AND(Parameter!$B$21="Ja",ISNUMBER(W1610)),W1610,IF(BV1610="2+3",IF(ISNUMBER(SEARCH("grosser Artikel",BO1610)),2,IFERROR(VLOOKUP(BR1610,Parameter!$F$35:$G$64,2,0),2)),IF(OR(BV1610="Nein",BV1610=""),"-",BV1610))))</f>
        <v>2</v>
      </c>
      <c r="AA1610" s="62"/>
      <c r="AB1610" s="63"/>
      <c r="AC1610" s="57" t="n">
        <f aca="false">AR1610</f>
        <v>4</v>
      </c>
      <c r="AD1610" s="57" t="n">
        <f aca="false">MAX(AR1610,H1610)</f>
        <v>4</v>
      </c>
      <c r="AE1610" s="64"/>
      <c r="AF1610" s="57" t="n">
        <f aca="false">IF(LEFT(Cockpit!$C$5,1)="A",H1610,IF(CA1610=1,CB1610,IF(LEFT(Cockpit!$C$5,1)="B",AJ1610,MAX(AJ1610,H1610))))</f>
        <v>2</v>
      </c>
      <c r="AG1610" s="57" t="n">
        <f aca="false">IF(BT1610=1,0,ROUNDUP(AF1610/BS1610,0))</f>
        <v>1</v>
      </c>
      <c r="AH1610" s="59" t="n">
        <f aca="false">IF(CH1610&gt;0,CH1610*MAX(1,AF1610/X1610),IF(BT1610=1,IF(AF1610&lt;=0,0,BW1610*MAX(1,IF(H1610&gt;0,AF1610/H1610,1))),IF(R1610&gt;0,AG1610/R1610,0))/MAX(0.1,N(Parameter!$M$21)))</f>
        <v>0.0833333333333333</v>
      </c>
      <c r="AI1610" s="57" t="n">
        <f aca="false">AF1610*G1610</f>
        <v>1206.4</v>
      </c>
      <c r="AJ1610" s="57" t="n">
        <f aca="false">ROUNDUP(MAX(J1610/IF(BZ1610&gt;0,BZ1610,MAX(0.1,N(Cockpit!$C$6))),CC1610)/BS1610,0)*BS1610</f>
        <v>4</v>
      </c>
      <c r="AK1610" s="58" t="n">
        <f aca="false">IF(AH1610&gt;0,J1610/AH1610,-1)</f>
        <v>0</v>
      </c>
      <c r="AL1610" s="58" t="n">
        <f aca="false">IF(AND(OR(BY1610="L1",BY1610="L23"),AH1610&gt;0),SUMIFS($AH$7:$AH$1843,$BY$7:$BY$1843,BY1610,$AK$7:$AK$1843,"&gt;"&amp;AK1610)+SUMIFS($AH$7:$AH$1843,$BY$7:$BY$1843,BY1610,$AK$7:$AK$1843,AK1610,$BQ$7:$BQ$1843,"&lt;="&amp;BQ1610),"")</f>
        <v>86.3986351812439</v>
      </c>
      <c r="AM1610" s="65" t="n">
        <f aca="false">IF(AL1610="",0,MAX(0,MIN(1,(IF(BY1610="L1",Parameter!$E$5,Parameter!$E$6+Parameter!$E$7)-(AL1610-AH1610))/AH1610)))</f>
        <v>1</v>
      </c>
      <c r="AN1610" s="57" t="n">
        <f aca="false">IF(LEFT(Cockpit!$I$5,1)="A",H1610,IF(CA1610=1,CB1610,IF(LEFT(Cockpit!$I$5,1)="B",AR1610,MAX(AR1610,H1610))))</f>
        <v>4</v>
      </c>
      <c r="AO1610" s="57" t="n">
        <f aca="false">IF(BT1610=1,0,ROUNDUP(AN1610/BS1610,0))</f>
        <v>1</v>
      </c>
      <c r="AP1610" s="59" t="n">
        <f aca="false">IF(CH1610&gt;0,CH1610*MAX(1,AN1610/X1610),IF(BT1610=1,IF(AN1610&lt;=0,0,BW1610*MAX(1,IF(H1610&gt;0,AN1610/H1610,1))),IF(R1610&gt;0,AO1610/R1610,0))/MAX(0.1,N(Parameter!$M$21)))</f>
        <v>0.0833333333333333</v>
      </c>
      <c r="AQ1610" s="57" t="n">
        <f aca="false">AN1610*G1610</f>
        <v>2412.8</v>
      </c>
      <c r="AR1610" s="57" t="n">
        <f aca="false">ROUNDUP(MAX(J1610/IF(BZ1610&gt;0,BZ1610,MAX(0.1,N(Cockpit!$I$6))),CC1610)/BS1610,0)*BS1610</f>
        <v>4</v>
      </c>
      <c r="AS1610" s="58" t="n">
        <f aca="false">IF(AP1610&gt;0,J1610/AP1610,-1)</f>
        <v>0</v>
      </c>
      <c r="AT1610" s="58" t="n">
        <f aca="false">IF(AND(OR(BY1610="L1",BY1610="L23"),AP1610&gt;0),SUMIFS($AP$7:$AP$1843,$BY$7:$BY$1843,BY1610,$AS$7:$AS$1843,"&gt;"&amp;AS1610)+SUMIFS($AP$7:$AP$1843,$BY$7:$BY$1843,BY1610,$AS$7:$AS$1843,AS1610,$BQ$7:$BQ$1843,"&lt;="&amp;BQ1610),"")</f>
        <v>131.650771933381</v>
      </c>
      <c r="AU1610" s="65" t="n">
        <f aca="false">IF(AT1610="",0,MAX(0,MIN(1,(IF(BY1610="L1",Parameter!$E$5,Parameter!$E$6+Parameter!$E$7)-(AT1610-AP1610))/AP1610)))</f>
        <v>0</v>
      </c>
      <c r="AV1610" s="57" t="n">
        <f aca="false">IF(LEFT(Cockpit!$O$5,1)="A",H1610,IF(CA1610=1,CB1610,IF(LEFT(Cockpit!$O$5,1)="B",AZ1610,MAX(AZ1610,H1610))))</f>
        <v>4</v>
      </c>
      <c r="AW1610" s="57" t="n">
        <f aca="false">IF(BT1610=1,0,ROUNDUP(AV1610/BS1610,0))</f>
        <v>1</v>
      </c>
      <c r="AX1610" s="59" t="n">
        <f aca="false">IF(CH1610&gt;0,CH1610*MAX(1,AV1610/X1610),IF(BT1610=1,IF(AV1610&lt;=0,0,BW1610*MAX(1,IF(H1610&gt;0,AV1610/H1610,1))),IF(R1610&gt;0,AW1610/R1610,0))/MAX(0.1,N(Parameter!$M$21)))</f>
        <v>0.0833333333333333</v>
      </c>
      <c r="AY1610" s="57" t="n">
        <f aca="false">AV1610*G1610</f>
        <v>2412.8</v>
      </c>
      <c r="AZ1610" s="57" t="n">
        <f aca="false">ROUNDUP(MAX(J1610/IF(BZ1610&gt;0,BZ1610,MAX(0.1,N(Cockpit!$O$6))),CC1610)/BS1610,0)*BS1610</f>
        <v>4</v>
      </c>
      <c r="BA1610" s="58" t="n">
        <f aca="false">IF(AX1610&gt;0,J1610/AX1610,-1)</f>
        <v>0</v>
      </c>
      <c r="BB1610" s="58" t="n">
        <f aca="false">IF(AND(OR(BY1610="L1",BY1610="L23"),AX1610&gt;0),SUMIFS($AX$7:$AX$1843,$BY$7:$BY$1843,BY1610,$BA$7:$BA$1843,"&gt;"&amp;BA1610)+SUMIFS($AX$7:$AX$1843,$BY$7:$BY$1843,BY1610,$BA$7:$BA$1843,BA1610,$BQ$7:$BQ$1843,"&lt;="&amp;BQ1610),"")</f>
        <v>122.480608763217</v>
      </c>
      <c r="BC1610" s="65" t="n">
        <f aca="false">IF(BB1610="",0,MAX(0,MIN(1,(IF(BY1610="L1",Parameter!$E$5,Parameter!$E$6+Parameter!$E$7)-(BB1610-AX1610))/AX1610)))</f>
        <v>0</v>
      </c>
      <c r="BD1610" s="55" t="str">
        <f aca="false">IF(AH1610&lt;=0,"",IF(BY1610="Aussen","Aussenlager",IF(BY1610="-","Nicht im Lift",IF(AM1610&gt;=1,"Lift",IF(AM1610&lt;=0,"Aussenlager","teilweise")))))</f>
        <v>Lift</v>
      </c>
      <c r="BE1610" s="55" t="str">
        <f aca="false">IF(AP1610&lt;=0,"",IF(BY1610="Aussen","Aussenlager",IF(BY1610="-","Nicht im Lift",IF(AU1610&gt;=1,"Lift",IF(AU1610&lt;=0,"Aussenlager","teilweise")))))</f>
        <v>Aussenlager</v>
      </c>
      <c r="BF1610" s="55" t="str">
        <f aca="false">IF(AX1610&lt;=0,"",IF(BY1610="Aussen","Aussenlager",IF(BY1610="-","Nicht im Lift",IF(BC1610&gt;=1,"Lift",IF(BC1610&lt;=0,"Aussenlager","teilweise")))))</f>
        <v>Aussenlager</v>
      </c>
      <c r="BG1610" s="55" t="str">
        <f aca="false">IF(A1610="","",IF(BP1610=1,"Neu; ","")&amp;IF(AND(BP1610=0,BK1610&lt;0),"negativer Bestand (Export "&amp;BK1610&amp;"); ","")&amp;IF(J1610&lt;=0,"Kein Verbrauch; ","")&amp;IF(CH1610&gt;0,"Lift "&amp;W1610&amp;" lt. Liftbericht (Fach "&amp;X1610&amp;" Stk); ",IF(BU1610=1,"Gebinde geschätzt ("&amp;T1610&amp;"); ",IF(BT1610=1,"Lose – Tablare geschätzt; ","")))&amp;IF(H1610&gt;AR1610,"Überbestand "&amp;ROUND(H1610-AR1610,0)&amp;" Stk / CHF "&amp;ROUND((H1610-AR1610)*G1610,0)&amp;"; ","")&amp;IF(AND(CA1610=1,CB1610&lt;CC1610),"MAX &lt; MB+LG; ","")&amp;IF(AND(CG1610&gt;0,CF1610*10&gt;CG1610),"zu hoch für Tablar; ","")&amp;IF(AND(BP1610=0,OR(CA1610=1,AA1610&lt;&gt;"",U1610&lt;&gt;"",V1610&lt;&gt;"",AB1610&lt;&gt;"")),"manuell übersteuert; ","")&amp;IF(AND(BT1610=0,R1610=0),"Gebinde unbekannt / Stellmass fehlt; ","")&amp;IF(AND(BT1610=0,N(V1610)&lt;=0,N(Q1610)&lt;=0),"Menge pro Gebinde fehlt (Ist = 1 Gebinde); ","")&amp;BO1610)</f>
        <v>Kein Verbrauch; Gebinde geschätzt (Mittel); Menge pro Gebinde fehlt (Ist = 1 Gebinde); nur im Artikelstamm (Bestand 23.06.2026)</v>
      </c>
      <c r="BH1610" s="55"/>
      <c r="BI1610" s="55"/>
      <c r="BJ1610" s="62"/>
      <c r="BK1610" s="57" t="n">
        <v>2</v>
      </c>
      <c r="BL1610" s="57" t="n">
        <v>0</v>
      </c>
      <c r="BM1610" s="56" t="n">
        <v>0</v>
      </c>
      <c r="BN1610" s="57" t="n">
        <v>0</v>
      </c>
      <c r="BO1610" s="55" t="s">
        <v>2575</v>
      </c>
      <c r="BP1610" s="60" t="n">
        <v>0</v>
      </c>
      <c r="BQ1610" s="60" t="n">
        <v>1610</v>
      </c>
      <c r="BR1610" s="55" t="str">
        <f aca="false">IF(U1610&lt;&gt;"",UPPER(TRIM(U1610)),IF(BU1610=1,UPPER(VLOOKUP(T1610,Parameter!$I$27:$K$29,2,0)),IF(P1610="","LOSE",P1610)))</f>
        <v>S61</v>
      </c>
      <c r="BS1610" s="57" t="n">
        <f aca="false">IF(BR1610="LOSE",1,IF(N(V1610)&gt;0,V1610,IF(BU1610=1,MAX(1,N(VLOOKUP(T1610,Parameter!$I$27:$K$29,3,0)),H1610,N(N1610)),IF(N(Q1610)&gt;0,Q1610,MAX(1,H1610)))))</f>
        <v>4</v>
      </c>
      <c r="BT1610" s="60" t="n">
        <f aca="false">IF(BR1610="LOSE",1,0)</f>
        <v>0</v>
      </c>
      <c r="BU1610" s="60" t="n">
        <f aca="false">IF(AND(U1610="",OR(P1610="",P1610="LOSE"),T1610&lt;&gt;"",N(S1610)&lt;=0,ISNUMBER(MATCH(T1610,Parameter!$I$27:$I$29,0))),1,0)</f>
        <v>1</v>
      </c>
      <c r="BV1610" s="55" t="str">
        <f aca="false">IF(AND(Parameter!$B$19="Ja",E1610&lt;&gt;"",ISNUMBER(MATCH(E1610,Parameter!$I$35:$I$52,0))),VLOOKUP(E1610,Parameter!$I$35:$J$52,2,0),IFERROR(VLOOKUP(D1610,Parameter!$A$35:$C$64,2,0),"Nein"))</f>
        <v>2+3</v>
      </c>
      <c r="BW1610" s="59" t="n">
        <f aca="false">IF(BT1610=0,0,IF(N(S1610)&gt;0,S1610,IFERROR(VLOOKUP(D1610,Parameter!$A$35:$C$64,3,0)+0,0)))</f>
        <v>0</v>
      </c>
      <c r="BX1610" s="55" t="n">
        <f aca="false">IF(AA1610&lt;&gt;"",AA1610,Z1610)</f>
        <v>2</v>
      </c>
      <c r="BY1610" s="55" t="str">
        <f aca="false">IF(BX1610=1,"L1",IF(OR(BX1610=2,BX1610=3),"L23",IF(BX1610="Aussen","Aussen","-")))</f>
        <v>L23</v>
      </c>
      <c r="BZ1610" s="66" t="n">
        <f aca="false">IF(N(AB1610)&gt;0,AB1610,0)</f>
        <v>0</v>
      </c>
      <c r="CA1610" s="60" t="n">
        <f aca="false">IF(ISNUMBER(AE1610),1,0)</f>
        <v>0</v>
      </c>
      <c r="CB1610" s="57" t="n">
        <f aca="false">N(AE1610)</f>
        <v>0</v>
      </c>
      <c r="CC1610" s="57" t="n">
        <f aca="false">N(M1610)+N(N1610)</f>
        <v>1</v>
      </c>
      <c r="CD1610" s="57" t="n">
        <f aca="false">ROUNDUP(H1610/BS1610,0)</f>
        <v>1</v>
      </c>
      <c r="CE1610" s="57" t="n">
        <f aca="false">ROUNDUP(CB1610/BS1610,0)</f>
        <v>0</v>
      </c>
      <c r="CF1610" s="60" t="n">
        <f aca="false">IF(BT1610=1,0,IFERROR(VLOOKUP(BR1610,'Gebinde-Kategorie'!$A$5:$M$45,5,0)+0,0))</f>
        <v>11</v>
      </c>
      <c r="CG1610" s="60" t="n">
        <f aca="false">IFERROR(IF(OR(BX1610=1,BX1610=2,BX1610=3),N(INDEX(Parameter!$I$5:$I$7,BX1610)),0),0)</f>
        <v>0</v>
      </c>
      <c r="CH1610" s="59" t="n">
        <f aca="false">IF(AND(Parameter!$B$21="Ja",ISNUMBER(W1610),N(X1610)&gt;0),IFERROR(N(INDEX(Parameter!$L$5:$L$7,W1610))*INDEX(Parameter!$E$5:$E$7,W1610)*X1610/SUMIFS($X$7:$X$1843,$W$7:$W$1843,W1610),0),0)</f>
        <v>0</v>
      </c>
    </row>
    <row r="1611" customFormat="false" ht="15" hidden="false" customHeight="false" outlineLevel="0" collapsed="false">
      <c r="A1611" s="55" t="s">
        <v>2807</v>
      </c>
      <c r="B1611" s="55" t="s">
        <v>698</v>
      </c>
      <c r="C1611" s="55" t="s">
        <v>164</v>
      </c>
      <c r="D1611" s="55" t="s">
        <v>173</v>
      </c>
      <c r="E1611" s="55"/>
      <c r="F1611" s="55"/>
      <c r="G1611" s="56" t="n">
        <v>649</v>
      </c>
      <c r="H1611" s="57" t="n">
        <f aca="false">MAX(0,IF(AND(Parameter!$B$21="Ja",ISNUMBER(Y1611)),Y1611,IF(Parameter!$B$20="Jahresanfang 2025 + Export",BL1611+BK1611,BK1611)))</f>
        <v>2</v>
      </c>
      <c r="I1611" s="57" t="n">
        <f aca="false">H1611*G1611</f>
        <v>1298</v>
      </c>
      <c r="J1611" s="57" t="n">
        <f aca="false">BN1611*Parameter!$B$18</f>
        <v>0</v>
      </c>
      <c r="K1611" s="58"/>
      <c r="L1611" s="59"/>
      <c r="M1611" s="57" t="n">
        <v>0</v>
      </c>
      <c r="N1611" s="57" t="n">
        <v>1</v>
      </c>
      <c r="O1611" s="60" t="n">
        <v>28</v>
      </c>
      <c r="P1611" s="55" t="s">
        <v>168</v>
      </c>
      <c r="Q1611" s="57"/>
      <c r="R1611" s="60" t="n">
        <f aca="false">IF(BT1611=1,0,IFERROR(VLOOKUP(BR1611,'Gebinde-Kategorie'!$A$5:$M$45,13,0)+0,0))</f>
        <v>12</v>
      </c>
      <c r="S1611" s="61"/>
      <c r="T1611" s="62" t="s">
        <v>179</v>
      </c>
      <c r="U1611" s="62"/>
      <c r="V1611" s="62"/>
      <c r="W1611" s="55"/>
      <c r="X1611" s="57"/>
      <c r="Y1611" s="57"/>
      <c r="Z1611" s="55" t="n">
        <f aca="false">IF(A1611="","",IF(AND(Parameter!$B$21="Ja",ISNUMBER(W1611)),W1611,IF(BV1611="2+3",IF(ISNUMBER(SEARCH("grosser Artikel",BO1611)),2,IFERROR(VLOOKUP(BR1611,Parameter!$F$35:$G$64,2,0),2)),IF(OR(BV1611="Nein",BV1611=""),"-",BV1611))))</f>
        <v>2</v>
      </c>
      <c r="AA1611" s="62"/>
      <c r="AB1611" s="63"/>
      <c r="AC1611" s="57" t="n">
        <f aca="false">AR1611</f>
        <v>4</v>
      </c>
      <c r="AD1611" s="57" t="n">
        <f aca="false">MAX(AR1611,H1611)</f>
        <v>4</v>
      </c>
      <c r="AE1611" s="64"/>
      <c r="AF1611" s="57" t="n">
        <f aca="false">IF(LEFT(Cockpit!$C$5,1)="A",H1611,IF(CA1611=1,CB1611,IF(LEFT(Cockpit!$C$5,1)="B",AJ1611,MAX(AJ1611,H1611))))</f>
        <v>2</v>
      </c>
      <c r="AG1611" s="57" t="n">
        <f aca="false">IF(BT1611=1,0,ROUNDUP(AF1611/BS1611,0))</f>
        <v>1</v>
      </c>
      <c r="AH1611" s="59" t="n">
        <f aca="false">IF(CH1611&gt;0,CH1611*MAX(1,AF1611/X1611),IF(BT1611=1,IF(AF1611&lt;=0,0,BW1611*MAX(1,IF(H1611&gt;0,AF1611/H1611,1))),IF(R1611&gt;0,AG1611/R1611,0))/MAX(0.1,N(Parameter!$M$21)))</f>
        <v>0.0833333333333333</v>
      </c>
      <c r="AI1611" s="57" t="n">
        <f aca="false">AF1611*G1611</f>
        <v>1298</v>
      </c>
      <c r="AJ1611" s="57" t="n">
        <f aca="false">ROUNDUP(MAX(J1611/IF(BZ1611&gt;0,BZ1611,MAX(0.1,N(Cockpit!$C$6))),CC1611)/BS1611,0)*BS1611</f>
        <v>4</v>
      </c>
      <c r="AK1611" s="58" t="n">
        <f aca="false">IF(AH1611&gt;0,J1611/AH1611,-1)</f>
        <v>0</v>
      </c>
      <c r="AL1611" s="58" t="n">
        <f aca="false">IF(AND(OR(BY1611="L1",BY1611="L23"),AH1611&gt;0),SUMIFS($AH$7:$AH$1843,$BY$7:$BY$1843,BY1611,$AK$7:$AK$1843,"&gt;"&amp;AK1611)+SUMIFS($AH$7:$AH$1843,$BY$7:$BY$1843,BY1611,$AK$7:$AK$1843,AK1611,$BQ$7:$BQ$1843,"&lt;="&amp;BQ1611),"")</f>
        <v>86.4819685145772</v>
      </c>
      <c r="AM1611" s="65" t="n">
        <f aca="false">IF(AL1611="",0,MAX(0,MIN(1,(IF(BY1611="L1",Parameter!$E$5,Parameter!$E$6+Parameter!$E$7)-(AL1611-AH1611))/AH1611)))</f>
        <v>1</v>
      </c>
      <c r="AN1611" s="57" t="n">
        <f aca="false">IF(LEFT(Cockpit!$I$5,1)="A",H1611,IF(CA1611=1,CB1611,IF(LEFT(Cockpit!$I$5,1)="B",AR1611,MAX(AR1611,H1611))))</f>
        <v>4</v>
      </c>
      <c r="AO1611" s="57" t="n">
        <f aca="false">IF(BT1611=1,0,ROUNDUP(AN1611/BS1611,0))</f>
        <v>1</v>
      </c>
      <c r="AP1611" s="59" t="n">
        <f aca="false">IF(CH1611&gt;0,CH1611*MAX(1,AN1611/X1611),IF(BT1611=1,IF(AN1611&lt;=0,0,BW1611*MAX(1,IF(H1611&gt;0,AN1611/H1611,1))),IF(R1611&gt;0,AO1611/R1611,0))/MAX(0.1,N(Parameter!$M$21)))</f>
        <v>0.0833333333333333</v>
      </c>
      <c r="AQ1611" s="57" t="n">
        <f aca="false">AN1611*G1611</f>
        <v>2596</v>
      </c>
      <c r="AR1611" s="57" t="n">
        <f aca="false">ROUNDUP(MAX(J1611/IF(BZ1611&gt;0,BZ1611,MAX(0.1,N(Cockpit!$I$6))),CC1611)/BS1611,0)*BS1611</f>
        <v>4</v>
      </c>
      <c r="AS1611" s="58" t="n">
        <f aca="false">IF(AP1611&gt;0,J1611/AP1611,-1)</f>
        <v>0</v>
      </c>
      <c r="AT1611" s="58" t="n">
        <f aca="false">IF(AND(OR(BY1611="L1",BY1611="L23"),AP1611&gt;0),SUMIFS($AP$7:$AP$1843,$BY$7:$BY$1843,BY1611,$AS$7:$AS$1843,"&gt;"&amp;AS1611)+SUMIFS($AP$7:$AP$1843,$BY$7:$BY$1843,BY1611,$AS$7:$AS$1843,AS1611,$BQ$7:$BQ$1843,"&lt;="&amp;BQ1611),"")</f>
        <v>131.734105266714</v>
      </c>
      <c r="AU1611" s="65" t="n">
        <f aca="false">IF(AT1611="",0,MAX(0,MIN(1,(IF(BY1611="L1",Parameter!$E$5,Parameter!$E$6+Parameter!$E$7)-(AT1611-AP1611))/AP1611)))</f>
        <v>0</v>
      </c>
      <c r="AV1611" s="57" t="n">
        <f aca="false">IF(LEFT(Cockpit!$O$5,1)="A",H1611,IF(CA1611=1,CB1611,IF(LEFT(Cockpit!$O$5,1)="B",AZ1611,MAX(AZ1611,H1611))))</f>
        <v>4</v>
      </c>
      <c r="AW1611" s="57" t="n">
        <f aca="false">IF(BT1611=1,0,ROUNDUP(AV1611/BS1611,0))</f>
        <v>1</v>
      </c>
      <c r="AX1611" s="59" t="n">
        <f aca="false">IF(CH1611&gt;0,CH1611*MAX(1,AV1611/X1611),IF(BT1611=1,IF(AV1611&lt;=0,0,BW1611*MAX(1,IF(H1611&gt;0,AV1611/H1611,1))),IF(R1611&gt;0,AW1611/R1611,0))/MAX(0.1,N(Parameter!$M$21)))</f>
        <v>0.0833333333333333</v>
      </c>
      <c r="AY1611" s="57" t="n">
        <f aca="false">AV1611*G1611</f>
        <v>2596</v>
      </c>
      <c r="AZ1611" s="57" t="n">
        <f aca="false">ROUNDUP(MAX(J1611/IF(BZ1611&gt;0,BZ1611,MAX(0.1,N(Cockpit!$O$6))),CC1611)/BS1611,0)*BS1611</f>
        <v>4</v>
      </c>
      <c r="BA1611" s="58" t="n">
        <f aca="false">IF(AX1611&gt;0,J1611/AX1611,-1)</f>
        <v>0</v>
      </c>
      <c r="BB1611" s="58" t="n">
        <f aca="false">IF(AND(OR(BY1611="L1",BY1611="L23"),AX1611&gt;0),SUMIFS($AX$7:$AX$1843,$BY$7:$BY$1843,BY1611,$BA$7:$BA$1843,"&gt;"&amp;BA1611)+SUMIFS($AX$7:$AX$1843,$BY$7:$BY$1843,BY1611,$BA$7:$BA$1843,BA1611,$BQ$7:$BQ$1843,"&lt;="&amp;BQ1611),"")</f>
        <v>122.563942096551</v>
      </c>
      <c r="BC1611" s="65" t="n">
        <f aca="false">IF(BB1611="",0,MAX(0,MIN(1,(IF(BY1611="L1",Parameter!$E$5,Parameter!$E$6+Parameter!$E$7)-(BB1611-AX1611))/AX1611)))</f>
        <v>0</v>
      </c>
      <c r="BD1611" s="55" t="str">
        <f aca="false">IF(AH1611&lt;=0,"",IF(BY1611="Aussen","Aussenlager",IF(BY1611="-","Nicht im Lift",IF(AM1611&gt;=1,"Lift",IF(AM1611&lt;=0,"Aussenlager","teilweise")))))</f>
        <v>Lift</v>
      </c>
      <c r="BE1611" s="55" t="str">
        <f aca="false">IF(AP1611&lt;=0,"",IF(BY1611="Aussen","Aussenlager",IF(BY1611="-","Nicht im Lift",IF(AU1611&gt;=1,"Lift",IF(AU1611&lt;=0,"Aussenlager","teilweise")))))</f>
        <v>Aussenlager</v>
      </c>
      <c r="BF1611" s="55" t="str">
        <f aca="false">IF(AX1611&lt;=0,"",IF(BY1611="Aussen","Aussenlager",IF(BY1611="-","Nicht im Lift",IF(BC1611&gt;=1,"Lift",IF(BC1611&lt;=0,"Aussenlager","teilweise")))))</f>
        <v>Aussenlager</v>
      </c>
      <c r="BG1611" s="55" t="str">
        <f aca="false">IF(A1611="","",IF(BP1611=1,"Neu; ","")&amp;IF(AND(BP1611=0,BK1611&lt;0),"negativer Bestand (Export "&amp;BK1611&amp;"); ","")&amp;IF(J1611&lt;=0,"Kein Verbrauch; ","")&amp;IF(CH1611&gt;0,"Lift "&amp;W1611&amp;" lt. Liftbericht (Fach "&amp;X1611&amp;" Stk); ",IF(BU1611=1,"Gebinde geschätzt ("&amp;T1611&amp;"); ",IF(BT1611=1,"Lose – Tablare geschätzt; ","")))&amp;IF(H1611&gt;AR1611,"Überbestand "&amp;ROUND(H1611-AR1611,0)&amp;" Stk / CHF "&amp;ROUND((H1611-AR1611)*G1611,0)&amp;"; ","")&amp;IF(AND(CA1611=1,CB1611&lt;CC1611),"MAX &lt; MB+LG; ","")&amp;IF(AND(CG1611&gt;0,CF1611*10&gt;CG1611),"zu hoch für Tablar; ","")&amp;IF(AND(BP1611=0,OR(CA1611=1,AA1611&lt;&gt;"",U1611&lt;&gt;"",V1611&lt;&gt;"",AB1611&lt;&gt;"")),"manuell übersteuert; ","")&amp;IF(AND(BT1611=0,R1611=0),"Gebinde unbekannt / Stellmass fehlt; ","")&amp;IF(AND(BT1611=0,N(V1611)&lt;=0,N(Q1611)&lt;=0),"Menge pro Gebinde fehlt (Ist = 1 Gebinde); ","")&amp;BO1611)</f>
        <v>Kein Verbrauch; Gebinde geschätzt (Mittel); Menge pro Gebinde fehlt (Ist = 1 Gebinde); nur im Artikelstamm (Bestand 23.06.2026); Überbestand</v>
      </c>
      <c r="BH1611" s="55"/>
      <c r="BI1611" s="55"/>
      <c r="BJ1611" s="62"/>
      <c r="BK1611" s="57" t="n">
        <v>2</v>
      </c>
      <c r="BL1611" s="57" t="n">
        <v>0</v>
      </c>
      <c r="BM1611" s="56" t="n">
        <v>0</v>
      </c>
      <c r="BN1611" s="57" t="n">
        <v>0</v>
      </c>
      <c r="BO1611" s="55" t="s">
        <v>2572</v>
      </c>
      <c r="BP1611" s="60" t="n">
        <v>0</v>
      </c>
      <c r="BQ1611" s="60" t="n">
        <v>1611</v>
      </c>
      <c r="BR1611" s="55" t="str">
        <f aca="false">IF(U1611&lt;&gt;"",UPPER(TRIM(U1611)),IF(BU1611=1,UPPER(VLOOKUP(T1611,Parameter!$I$27:$K$29,2,0)),IF(P1611="","LOSE",P1611)))</f>
        <v>S61</v>
      </c>
      <c r="BS1611" s="57" t="n">
        <f aca="false">IF(BR1611="LOSE",1,IF(N(V1611)&gt;0,V1611,IF(BU1611=1,MAX(1,N(VLOOKUP(T1611,Parameter!$I$27:$K$29,3,0)),H1611,N(N1611)),IF(N(Q1611)&gt;0,Q1611,MAX(1,H1611)))))</f>
        <v>4</v>
      </c>
      <c r="BT1611" s="60" t="n">
        <f aca="false">IF(BR1611="LOSE",1,0)</f>
        <v>0</v>
      </c>
      <c r="BU1611" s="60" t="n">
        <f aca="false">IF(AND(U1611="",OR(P1611="",P1611="LOSE"),T1611&lt;&gt;"",N(S1611)&lt;=0,ISNUMBER(MATCH(T1611,Parameter!$I$27:$I$29,0))),1,0)</f>
        <v>1</v>
      </c>
      <c r="BV1611" s="55" t="str">
        <f aca="false">IF(AND(Parameter!$B$19="Ja",E1611&lt;&gt;"",ISNUMBER(MATCH(E1611,Parameter!$I$35:$I$52,0))),VLOOKUP(E1611,Parameter!$I$35:$J$52,2,0),IFERROR(VLOOKUP(D1611,Parameter!$A$35:$C$64,2,0),"Nein"))</f>
        <v>2+3</v>
      </c>
      <c r="BW1611" s="59" t="n">
        <f aca="false">IF(BT1611=0,0,IF(N(S1611)&gt;0,S1611,IFERROR(VLOOKUP(D1611,Parameter!$A$35:$C$64,3,0)+0,0)))</f>
        <v>0</v>
      </c>
      <c r="BX1611" s="55" t="n">
        <f aca="false">IF(AA1611&lt;&gt;"",AA1611,Z1611)</f>
        <v>2</v>
      </c>
      <c r="BY1611" s="55" t="str">
        <f aca="false">IF(BX1611=1,"L1",IF(OR(BX1611=2,BX1611=3),"L23",IF(BX1611="Aussen","Aussen","-")))</f>
        <v>L23</v>
      </c>
      <c r="BZ1611" s="66" t="n">
        <f aca="false">IF(N(AB1611)&gt;0,AB1611,0)</f>
        <v>0</v>
      </c>
      <c r="CA1611" s="60" t="n">
        <f aca="false">IF(ISNUMBER(AE1611),1,0)</f>
        <v>0</v>
      </c>
      <c r="CB1611" s="57" t="n">
        <f aca="false">N(AE1611)</f>
        <v>0</v>
      </c>
      <c r="CC1611" s="57" t="n">
        <f aca="false">N(M1611)+N(N1611)</f>
        <v>1</v>
      </c>
      <c r="CD1611" s="57" t="n">
        <f aca="false">ROUNDUP(H1611/BS1611,0)</f>
        <v>1</v>
      </c>
      <c r="CE1611" s="57" t="n">
        <f aca="false">ROUNDUP(CB1611/BS1611,0)</f>
        <v>0</v>
      </c>
      <c r="CF1611" s="60" t="n">
        <f aca="false">IF(BT1611=1,0,IFERROR(VLOOKUP(BR1611,'Gebinde-Kategorie'!$A$5:$M$45,5,0)+0,0))</f>
        <v>11</v>
      </c>
      <c r="CG1611" s="60" t="n">
        <f aca="false">IFERROR(IF(OR(BX1611=1,BX1611=2,BX1611=3),N(INDEX(Parameter!$I$5:$I$7,BX1611)),0),0)</f>
        <v>0</v>
      </c>
      <c r="CH1611" s="59" t="n">
        <f aca="false">IF(AND(Parameter!$B$21="Ja",ISNUMBER(W1611),N(X1611)&gt;0),IFERROR(N(INDEX(Parameter!$L$5:$L$7,W1611))*INDEX(Parameter!$E$5:$E$7,W1611)*X1611/SUMIFS($X$7:$X$1843,$W$7:$W$1843,W1611),0),0)</f>
        <v>0</v>
      </c>
    </row>
    <row r="1612" customFormat="false" ht="15" hidden="false" customHeight="false" outlineLevel="0" collapsed="false">
      <c r="A1612" s="55" t="s">
        <v>2808</v>
      </c>
      <c r="B1612" s="55" t="s">
        <v>2809</v>
      </c>
      <c r="C1612" s="55" t="s">
        <v>164</v>
      </c>
      <c r="D1612" s="55" t="s">
        <v>184</v>
      </c>
      <c r="E1612" s="55"/>
      <c r="F1612" s="55"/>
      <c r="G1612" s="56" t="n">
        <v>23</v>
      </c>
      <c r="H1612" s="57" t="n">
        <f aca="false">MAX(0,IF(AND(Parameter!$B$21="Ja",ISNUMBER(Y1612)),Y1612,IF(Parameter!$B$20="Jahresanfang 2025 + Export",BL1612+BK1612,BK1612)))</f>
        <v>6</v>
      </c>
      <c r="I1612" s="57" t="n">
        <f aca="false">H1612*G1612</f>
        <v>138</v>
      </c>
      <c r="J1612" s="57" t="n">
        <f aca="false">BN1612*Parameter!$B$18</f>
        <v>0</v>
      </c>
      <c r="K1612" s="58"/>
      <c r="L1612" s="59"/>
      <c r="M1612" s="57" t="n">
        <v>0</v>
      </c>
      <c r="N1612" s="57" t="n">
        <v>20</v>
      </c>
      <c r="O1612" s="60" t="n">
        <v>21</v>
      </c>
      <c r="P1612" s="55" t="s">
        <v>168</v>
      </c>
      <c r="Q1612" s="57"/>
      <c r="R1612" s="60" t="n">
        <f aca="false">IF(BT1612=1,0,IFERROR(VLOOKUP(BR1612,'Gebinde-Kategorie'!$A$5:$M$45,13,0)+0,0))</f>
        <v>3</v>
      </c>
      <c r="S1612" s="61"/>
      <c r="T1612" s="62" t="s">
        <v>189</v>
      </c>
      <c r="U1612" s="62"/>
      <c r="V1612" s="62"/>
      <c r="W1612" s="55"/>
      <c r="X1612" s="57"/>
      <c r="Y1612" s="57"/>
      <c r="Z1612" s="55" t="n">
        <f aca="false">IF(A1612="","",IF(AND(Parameter!$B$21="Ja",ISNUMBER(W1612)),W1612,IF(BV1612="2+3",IF(ISNUMBER(SEARCH("grosser Artikel",BO1612)),2,IFERROR(VLOOKUP(BR1612,Parameter!$F$35:$G$64,2,0),2)),IF(OR(BV1612="Nein",BV1612=""),"-",BV1612))))</f>
        <v>2</v>
      </c>
      <c r="AA1612" s="62"/>
      <c r="AB1612" s="63"/>
      <c r="AC1612" s="57" t="n">
        <f aca="false">AR1612</f>
        <v>20</v>
      </c>
      <c r="AD1612" s="57" t="n">
        <f aca="false">MAX(AR1612,H1612)</f>
        <v>20</v>
      </c>
      <c r="AE1612" s="64"/>
      <c r="AF1612" s="57" t="n">
        <f aca="false">IF(LEFT(Cockpit!$C$5,1)="A",H1612,IF(CA1612=1,CB1612,IF(LEFT(Cockpit!$C$5,1)="B",AJ1612,MAX(AJ1612,H1612))))</f>
        <v>6</v>
      </c>
      <c r="AG1612" s="57" t="n">
        <f aca="false">IF(BT1612=1,0,ROUNDUP(AF1612/BS1612,0))</f>
        <v>1</v>
      </c>
      <c r="AH1612" s="59" t="n">
        <f aca="false">IF(CH1612&gt;0,CH1612*MAX(1,AF1612/X1612),IF(BT1612=1,IF(AF1612&lt;=0,0,BW1612*MAX(1,IF(H1612&gt;0,AF1612/H1612,1))),IF(R1612&gt;0,AG1612/R1612,0))/MAX(0.1,N(Parameter!$M$21)))</f>
        <v>0.333333333333333</v>
      </c>
      <c r="AI1612" s="57" t="n">
        <f aca="false">AF1612*G1612</f>
        <v>138</v>
      </c>
      <c r="AJ1612" s="57" t="n">
        <f aca="false">ROUNDUP(MAX(J1612/IF(BZ1612&gt;0,BZ1612,MAX(0.1,N(Cockpit!$C$6))),CC1612)/BS1612,0)*BS1612</f>
        <v>20</v>
      </c>
      <c r="AK1612" s="58" t="n">
        <f aca="false">IF(AH1612&gt;0,J1612/AH1612,-1)</f>
        <v>0</v>
      </c>
      <c r="AL1612" s="58" t="n">
        <f aca="false">IF(AND(OR(BY1612="L1",BY1612="L23"),AH1612&gt;0),SUMIFS($AH$7:$AH$1843,$BY$7:$BY$1843,BY1612,$AK$7:$AK$1843,"&gt;"&amp;AK1612)+SUMIFS($AH$7:$AH$1843,$BY$7:$BY$1843,BY1612,$AK$7:$AK$1843,AK1612,$BQ$7:$BQ$1843,"&lt;="&amp;BQ1612),"")</f>
        <v>86.8153018479106</v>
      </c>
      <c r="AM1612" s="65" t="n">
        <f aca="false">IF(AL1612="",0,MAX(0,MIN(1,(IF(BY1612="L1",Parameter!$E$5,Parameter!$E$6+Parameter!$E$7)-(AL1612-AH1612))/AH1612)))</f>
        <v>1</v>
      </c>
      <c r="AN1612" s="57" t="n">
        <f aca="false">IF(LEFT(Cockpit!$I$5,1)="A",H1612,IF(CA1612=1,CB1612,IF(LEFT(Cockpit!$I$5,1)="B",AR1612,MAX(AR1612,H1612))))</f>
        <v>20</v>
      </c>
      <c r="AO1612" s="57" t="n">
        <f aca="false">IF(BT1612=1,0,ROUNDUP(AN1612/BS1612,0))</f>
        <v>1</v>
      </c>
      <c r="AP1612" s="59" t="n">
        <f aca="false">IF(CH1612&gt;0,CH1612*MAX(1,AN1612/X1612),IF(BT1612=1,IF(AN1612&lt;=0,0,BW1612*MAX(1,IF(H1612&gt;0,AN1612/H1612,1))),IF(R1612&gt;0,AO1612/R1612,0))/MAX(0.1,N(Parameter!$M$21)))</f>
        <v>0.333333333333333</v>
      </c>
      <c r="AQ1612" s="57" t="n">
        <f aca="false">AN1612*G1612</f>
        <v>460</v>
      </c>
      <c r="AR1612" s="57" t="n">
        <f aca="false">ROUNDUP(MAX(J1612/IF(BZ1612&gt;0,BZ1612,MAX(0.1,N(Cockpit!$I$6))),CC1612)/BS1612,0)*BS1612</f>
        <v>20</v>
      </c>
      <c r="AS1612" s="58" t="n">
        <f aca="false">IF(AP1612&gt;0,J1612/AP1612,-1)</f>
        <v>0</v>
      </c>
      <c r="AT1612" s="58" t="n">
        <f aca="false">IF(AND(OR(BY1612="L1",BY1612="L23"),AP1612&gt;0),SUMIFS($AP$7:$AP$1843,$BY$7:$BY$1843,BY1612,$AS$7:$AS$1843,"&gt;"&amp;AS1612)+SUMIFS($AP$7:$AP$1843,$BY$7:$BY$1843,BY1612,$AS$7:$AS$1843,AS1612,$BQ$7:$BQ$1843,"&lt;="&amp;BQ1612),"")</f>
        <v>132.067438600047</v>
      </c>
      <c r="AU1612" s="65" t="n">
        <f aca="false">IF(AT1612="",0,MAX(0,MIN(1,(IF(BY1612="L1",Parameter!$E$5,Parameter!$E$6+Parameter!$E$7)-(AT1612-AP1612))/AP1612)))</f>
        <v>0</v>
      </c>
      <c r="AV1612" s="57" t="n">
        <f aca="false">IF(LEFT(Cockpit!$O$5,1)="A",H1612,IF(CA1612=1,CB1612,IF(LEFT(Cockpit!$O$5,1)="B",AZ1612,MAX(AZ1612,H1612))))</f>
        <v>20</v>
      </c>
      <c r="AW1612" s="57" t="n">
        <f aca="false">IF(BT1612=1,0,ROUNDUP(AV1612/BS1612,0))</f>
        <v>1</v>
      </c>
      <c r="AX1612" s="59" t="n">
        <f aca="false">IF(CH1612&gt;0,CH1612*MAX(1,AV1612/X1612),IF(BT1612=1,IF(AV1612&lt;=0,0,BW1612*MAX(1,IF(H1612&gt;0,AV1612/H1612,1))),IF(R1612&gt;0,AW1612/R1612,0))/MAX(0.1,N(Parameter!$M$21)))</f>
        <v>0.333333333333333</v>
      </c>
      <c r="AY1612" s="57" t="n">
        <f aca="false">AV1612*G1612</f>
        <v>460</v>
      </c>
      <c r="AZ1612" s="57" t="n">
        <f aca="false">ROUNDUP(MAX(J1612/IF(BZ1612&gt;0,BZ1612,MAX(0.1,N(Cockpit!$O$6))),CC1612)/BS1612,0)*BS1612</f>
        <v>20</v>
      </c>
      <c r="BA1612" s="58" t="n">
        <f aca="false">IF(AX1612&gt;0,J1612/AX1612,-1)</f>
        <v>0</v>
      </c>
      <c r="BB1612" s="58" t="n">
        <f aca="false">IF(AND(OR(BY1612="L1",BY1612="L23"),AX1612&gt;0),SUMIFS($AX$7:$AX$1843,$BY$7:$BY$1843,BY1612,$BA$7:$BA$1843,"&gt;"&amp;BA1612)+SUMIFS($AX$7:$AX$1843,$BY$7:$BY$1843,BY1612,$BA$7:$BA$1843,BA1612,$BQ$7:$BQ$1843,"&lt;="&amp;BQ1612),"")</f>
        <v>122.897275429884</v>
      </c>
      <c r="BC1612" s="65" t="n">
        <f aca="false">IF(BB1612="",0,MAX(0,MIN(1,(IF(BY1612="L1",Parameter!$E$5,Parameter!$E$6+Parameter!$E$7)-(BB1612-AX1612))/AX1612)))</f>
        <v>0</v>
      </c>
      <c r="BD1612" s="55" t="str">
        <f aca="false">IF(AH1612&lt;=0,"",IF(BY1612="Aussen","Aussenlager",IF(BY1612="-","Nicht im Lift",IF(AM1612&gt;=1,"Lift",IF(AM1612&lt;=0,"Aussenlager","teilweise")))))</f>
        <v>Lift</v>
      </c>
      <c r="BE1612" s="55" t="str">
        <f aca="false">IF(AP1612&lt;=0,"",IF(BY1612="Aussen","Aussenlager",IF(BY1612="-","Nicht im Lift",IF(AU1612&gt;=1,"Lift",IF(AU1612&lt;=0,"Aussenlager","teilweise")))))</f>
        <v>Aussenlager</v>
      </c>
      <c r="BF1612" s="55" t="str">
        <f aca="false">IF(AX1612&lt;=0,"",IF(BY1612="Aussen","Aussenlager",IF(BY1612="-","Nicht im Lift",IF(BC1612&gt;=1,"Lift",IF(BC1612&lt;=0,"Aussenlager","teilweise")))))</f>
        <v>Aussenlager</v>
      </c>
      <c r="BG1612" s="55" t="str">
        <f aca="false">IF(A1612="","",IF(BP1612=1,"Neu; ","")&amp;IF(AND(BP1612=0,BK1612&lt;0),"negativer Bestand (Export "&amp;BK1612&amp;"); ","")&amp;IF(J1612&lt;=0,"Kein Verbrauch; ","")&amp;IF(CH1612&gt;0,"Lift "&amp;W1612&amp;" lt. Liftbericht (Fach "&amp;X1612&amp;" Stk); ",IF(BU1612=1,"Gebinde geschätzt ("&amp;T1612&amp;"); ",IF(BT1612=1,"Lose – Tablare geschätzt; ","")))&amp;IF(H1612&gt;AR1612,"Überbestand "&amp;ROUND(H1612-AR1612,0)&amp;" Stk / CHF "&amp;ROUND((H1612-AR1612)*G1612,0)&amp;"; ","")&amp;IF(AND(CA1612=1,CB1612&lt;CC1612),"MAX &lt; MB+LG; ","")&amp;IF(AND(CG1612&gt;0,CF1612*10&gt;CG1612),"zu hoch für Tablar; ","")&amp;IF(AND(BP1612=0,OR(CA1612=1,AA1612&lt;&gt;"",U1612&lt;&gt;"",V1612&lt;&gt;"",AB1612&lt;&gt;"")),"manuell übersteuert; ","")&amp;IF(AND(BT1612=0,R1612=0),"Gebinde unbekannt / Stellmass fehlt; ","")&amp;IF(AND(BT1612=0,N(V1612)&lt;=0,N(Q1612)&lt;=0),"Menge pro Gebinde fehlt (Ist = 1 Gebinde); ","")&amp;BO1612)</f>
        <v>Kein Verbrauch; Gebinde geschätzt (Gross); Menge pro Gebinde fehlt (Ist = 1 Gebinde); nur im Artikelstamm (Bestand 23.06.2026)</v>
      </c>
      <c r="BH1612" s="55"/>
      <c r="BI1612" s="55"/>
      <c r="BJ1612" s="62"/>
      <c r="BK1612" s="57" t="n">
        <v>6</v>
      </c>
      <c r="BL1612" s="57" t="n">
        <v>0</v>
      </c>
      <c r="BM1612" s="56" t="n">
        <v>0</v>
      </c>
      <c r="BN1612" s="57" t="n">
        <v>0</v>
      </c>
      <c r="BO1612" s="55" t="s">
        <v>2575</v>
      </c>
      <c r="BP1612" s="60" t="n">
        <v>0</v>
      </c>
      <c r="BQ1612" s="60" t="n">
        <v>1612</v>
      </c>
      <c r="BR1612" s="55" t="str">
        <f aca="false">IF(U1612&lt;&gt;"",UPPER(TRIM(U1612)),IF(BU1612=1,UPPER(VLOOKUP(T1612,Parameter!$I$27:$K$29,2,0)),IF(P1612="","LOSE",P1612)))</f>
        <v>S81</v>
      </c>
      <c r="BS1612" s="57" t="n">
        <f aca="false">IF(BR1612="LOSE",1,IF(N(V1612)&gt;0,V1612,IF(BU1612=1,MAX(1,N(VLOOKUP(T1612,Parameter!$I$27:$K$29,3,0)),H1612,N(N1612)),IF(N(Q1612)&gt;0,Q1612,MAX(1,H1612)))))</f>
        <v>20</v>
      </c>
      <c r="BT1612" s="60" t="n">
        <f aca="false">IF(BR1612="LOSE",1,0)</f>
        <v>0</v>
      </c>
      <c r="BU1612" s="60" t="n">
        <f aca="false">IF(AND(U1612="",OR(P1612="",P1612="LOSE"),T1612&lt;&gt;"",N(S1612)&lt;=0,ISNUMBER(MATCH(T1612,Parameter!$I$27:$I$29,0))),1,0)</f>
        <v>1</v>
      </c>
      <c r="BV1612" s="55" t="str">
        <f aca="false">IF(AND(Parameter!$B$19="Ja",E1612&lt;&gt;"",ISNUMBER(MATCH(E1612,Parameter!$I$35:$I$52,0))),VLOOKUP(E1612,Parameter!$I$35:$J$52,2,0),IFERROR(VLOOKUP(D1612,Parameter!$A$35:$C$64,2,0),"Nein"))</f>
        <v>2+3</v>
      </c>
      <c r="BW1612" s="59" t="n">
        <f aca="false">IF(BT1612=0,0,IF(N(S1612)&gt;0,S1612,IFERROR(VLOOKUP(D1612,Parameter!$A$35:$C$64,3,0)+0,0)))</f>
        <v>0</v>
      </c>
      <c r="BX1612" s="55" t="n">
        <f aca="false">IF(AA1612&lt;&gt;"",AA1612,Z1612)</f>
        <v>2</v>
      </c>
      <c r="BY1612" s="55" t="str">
        <f aca="false">IF(BX1612=1,"L1",IF(OR(BX1612=2,BX1612=3),"L23",IF(BX1612="Aussen","Aussen","-")))</f>
        <v>L23</v>
      </c>
      <c r="BZ1612" s="66" t="n">
        <f aca="false">IF(N(AB1612)&gt;0,AB1612,0)</f>
        <v>0</v>
      </c>
      <c r="CA1612" s="60" t="n">
        <f aca="false">IF(ISNUMBER(AE1612),1,0)</f>
        <v>0</v>
      </c>
      <c r="CB1612" s="57" t="n">
        <f aca="false">N(AE1612)</f>
        <v>0</v>
      </c>
      <c r="CC1612" s="57" t="n">
        <f aca="false">N(M1612)+N(N1612)</f>
        <v>20</v>
      </c>
      <c r="CD1612" s="57" t="n">
        <f aca="false">ROUNDUP(H1612/BS1612,0)</f>
        <v>1</v>
      </c>
      <c r="CE1612" s="57" t="n">
        <f aca="false">ROUNDUP(CB1612/BS1612,0)</f>
        <v>0</v>
      </c>
      <c r="CF1612" s="60" t="n">
        <f aca="false">IF(BT1612=1,0,IFERROR(VLOOKUP(BR1612,'Gebinde-Kategorie'!$A$5:$M$45,5,0)+0,0))</f>
        <v>20</v>
      </c>
      <c r="CG1612" s="60" t="n">
        <f aca="false">IFERROR(IF(OR(BX1612=1,BX1612=2,BX1612=3),N(INDEX(Parameter!$I$5:$I$7,BX1612)),0),0)</f>
        <v>0</v>
      </c>
      <c r="CH1612" s="59" t="n">
        <f aca="false">IF(AND(Parameter!$B$21="Ja",ISNUMBER(W1612),N(X1612)&gt;0),IFERROR(N(INDEX(Parameter!$L$5:$L$7,W1612))*INDEX(Parameter!$E$5:$E$7,W1612)*X1612/SUMIFS($X$7:$X$1843,$W$7:$W$1843,W1612),0),0)</f>
        <v>0</v>
      </c>
    </row>
    <row r="1613" customFormat="false" ht="15" hidden="false" customHeight="false" outlineLevel="0" collapsed="false">
      <c r="A1613" s="55" t="s">
        <v>2810</v>
      </c>
      <c r="B1613" s="55" t="s">
        <v>2811</v>
      </c>
      <c r="C1613" s="55" t="s">
        <v>164</v>
      </c>
      <c r="D1613" s="55" t="s">
        <v>184</v>
      </c>
      <c r="E1613" s="55"/>
      <c r="F1613" s="55"/>
      <c r="G1613" s="56" t="n">
        <v>59.27</v>
      </c>
      <c r="H1613" s="57" t="n">
        <f aca="false">MAX(0,IF(AND(Parameter!$B$21="Ja",ISNUMBER(Y1613)),Y1613,IF(Parameter!$B$20="Jahresanfang 2025 + Export",BL1613+BK1613,BK1613)))</f>
        <v>1</v>
      </c>
      <c r="I1613" s="57" t="n">
        <f aca="false">H1613*G1613</f>
        <v>59.27</v>
      </c>
      <c r="J1613" s="57" t="n">
        <f aca="false">BN1613*Parameter!$B$18</f>
        <v>0</v>
      </c>
      <c r="K1613" s="58"/>
      <c r="L1613" s="59"/>
      <c r="M1613" s="57" t="n">
        <v>0</v>
      </c>
      <c r="N1613" s="57" t="n">
        <v>1</v>
      </c>
      <c r="O1613" s="60" t="n">
        <v>0</v>
      </c>
      <c r="P1613" s="55" t="s">
        <v>168</v>
      </c>
      <c r="Q1613" s="57"/>
      <c r="R1613" s="60" t="n">
        <f aca="false">IF(BT1613=1,0,IFERROR(VLOOKUP(BR1613,'Gebinde-Kategorie'!$A$5:$M$45,13,0)+0,0))</f>
        <v>12</v>
      </c>
      <c r="S1613" s="61"/>
      <c r="T1613" s="62" t="s">
        <v>179</v>
      </c>
      <c r="U1613" s="62"/>
      <c r="V1613" s="62"/>
      <c r="W1613" s="55"/>
      <c r="X1613" s="57"/>
      <c r="Y1613" s="57"/>
      <c r="Z1613" s="55" t="n">
        <f aca="false">IF(A1613="","",IF(AND(Parameter!$B$21="Ja",ISNUMBER(W1613)),W1613,IF(BV1613="2+3",IF(ISNUMBER(SEARCH("grosser Artikel",BO1613)),2,IFERROR(VLOOKUP(BR1613,Parameter!$F$35:$G$64,2,0),2)),IF(OR(BV1613="Nein",BV1613=""),"-",BV1613))))</f>
        <v>2</v>
      </c>
      <c r="AA1613" s="62"/>
      <c r="AB1613" s="63"/>
      <c r="AC1613" s="57" t="n">
        <f aca="false">AR1613</f>
        <v>4</v>
      </c>
      <c r="AD1613" s="57" t="n">
        <f aca="false">MAX(AR1613,H1613)</f>
        <v>4</v>
      </c>
      <c r="AE1613" s="64"/>
      <c r="AF1613" s="57" t="n">
        <f aca="false">IF(LEFT(Cockpit!$C$5,1)="A",H1613,IF(CA1613=1,CB1613,IF(LEFT(Cockpit!$C$5,1)="B",AJ1613,MAX(AJ1613,H1613))))</f>
        <v>1</v>
      </c>
      <c r="AG1613" s="57" t="n">
        <f aca="false">IF(BT1613=1,0,ROUNDUP(AF1613/BS1613,0))</f>
        <v>1</v>
      </c>
      <c r="AH1613" s="59" t="n">
        <f aca="false">IF(CH1613&gt;0,CH1613*MAX(1,AF1613/X1613),IF(BT1613=1,IF(AF1613&lt;=0,0,BW1613*MAX(1,IF(H1613&gt;0,AF1613/H1613,1))),IF(R1613&gt;0,AG1613/R1613,0))/MAX(0.1,N(Parameter!$M$21)))</f>
        <v>0.0833333333333333</v>
      </c>
      <c r="AI1613" s="57" t="n">
        <f aca="false">AF1613*G1613</f>
        <v>59.27</v>
      </c>
      <c r="AJ1613" s="57" t="n">
        <f aca="false">ROUNDUP(MAX(J1613/IF(BZ1613&gt;0,BZ1613,MAX(0.1,N(Cockpit!$C$6))),CC1613)/BS1613,0)*BS1613</f>
        <v>4</v>
      </c>
      <c r="AK1613" s="58" t="n">
        <f aca="false">IF(AH1613&gt;0,J1613/AH1613,-1)</f>
        <v>0</v>
      </c>
      <c r="AL1613" s="58" t="n">
        <f aca="false">IF(AND(OR(BY1613="L1",BY1613="L23"),AH1613&gt;0),SUMIFS($AH$7:$AH$1843,$BY$7:$BY$1843,BY1613,$AK$7:$AK$1843,"&gt;"&amp;AK1613)+SUMIFS($AH$7:$AH$1843,$BY$7:$BY$1843,BY1613,$AK$7:$AK$1843,AK1613,$BQ$7:$BQ$1843,"&lt;="&amp;BQ1613),"")</f>
        <v>86.8986351812439</v>
      </c>
      <c r="AM1613" s="65" t="n">
        <f aca="false">IF(AL1613="",0,MAX(0,MIN(1,(IF(BY1613="L1",Parameter!$E$5,Parameter!$E$6+Parameter!$E$7)-(AL1613-AH1613))/AH1613)))</f>
        <v>1</v>
      </c>
      <c r="AN1613" s="57" t="n">
        <f aca="false">IF(LEFT(Cockpit!$I$5,1)="A",H1613,IF(CA1613=1,CB1613,IF(LEFT(Cockpit!$I$5,1)="B",AR1613,MAX(AR1613,H1613))))</f>
        <v>4</v>
      </c>
      <c r="AO1613" s="57" t="n">
        <f aca="false">IF(BT1613=1,0,ROUNDUP(AN1613/BS1613,0))</f>
        <v>1</v>
      </c>
      <c r="AP1613" s="59" t="n">
        <f aca="false">IF(CH1613&gt;0,CH1613*MAX(1,AN1613/X1613),IF(BT1613=1,IF(AN1613&lt;=0,0,BW1613*MAX(1,IF(H1613&gt;0,AN1613/H1613,1))),IF(R1613&gt;0,AO1613/R1613,0))/MAX(0.1,N(Parameter!$M$21)))</f>
        <v>0.0833333333333333</v>
      </c>
      <c r="AQ1613" s="57" t="n">
        <f aca="false">AN1613*G1613</f>
        <v>237.08</v>
      </c>
      <c r="AR1613" s="57" t="n">
        <f aca="false">ROUNDUP(MAX(J1613/IF(BZ1613&gt;0,BZ1613,MAX(0.1,N(Cockpit!$I$6))),CC1613)/BS1613,0)*BS1613</f>
        <v>4</v>
      </c>
      <c r="AS1613" s="58" t="n">
        <f aca="false">IF(AP1613&gt;0,J1613/AP1613,-1)</f>
        <v>0</v>
      </c>
      <c r="AT1613" s="58" t="n">
        <f aca="false">IF(AND(OR(BY1613="L1",BY1613="L23"),AP1613&gt;0),SUMIFS($AP$7:$AP$1843,$BY$7:$BY$1843,BY1613,$AS$7:$AS$1843,"&gt;"&amp;AS1613)+SUMIFS($AP$7:$AP$1843,$BY$7:$BY$1843,BY1613,$AS$7:$AS$1843,AS1613,$BQ$7:$BQ$1843,"&lt;="&amp;BQ1613),"")</f>
        <v>132.150771933381</v>
      </c>
      <c r="AU1613" s="65" t="n">
        <f aca="false">IF(AT1613="",0,MAX(0,MIN(1,(IF(BY1613="L1",Parameter!$E$5,Parameter!$E$6+Parameter!$E$7)-(AT1613-AP1613))/AP1613)))</f>
        <v>0</v>
      </c>
      <c r="AV1613" s="57" t="n">
        <f aca="false">IF(LEFT(Cockpit!$O$5,1)="A",H1613,IF(CA1613=1,CB1613,IF(LEFT(Cockpit!$O$5,1)="B",AZ1613,MAX(AZ1613,H1613))))</f>
        <v>4</v>
      </c>
      <c r="AW1613" s="57" t="n">
        <f aca="false">IF(BT1613=1,0,ROUNDUP(AV1613/BS1613,0))</f>
        <v>1</v>
      </c>
      <c r="AX1613" s="59" t="n">
        <f aca="false">IF(CH1613&gt;0,CH1613*MAX(1,AV1613/X1613),IF(BT1613=1,IF(AV1613&lt;=0,0,BW1613*MAX(1,IF(H1613&gt;0,AV1613/H1613,1))),IF(R1613&gt;0,AW1613/R1613,0))/MAX(0.1,N(Parameter!$M$21)))</f>
        <v>0.0833333333333333</v>
      </c>
      <c r="AY1613" s="57" t="n">
        <f aca="false">AV1613*G1613</f>
        <v>237.08</v>
      </c>
      <c r="AZ1613" s="57" t="n">
        <f aca="false">ROUNDUP(MAX(J1613/IF(BZ1613&gt;0,BZ1613,MAX(0.1,N(Cockpit!$O$6))),CC1613)/BS1613,0)*BS1613</f>
        <v>4</v>
      </c>
      <c r="BA1613" s="58" t="n">
        <f aca="false">IF(AX1613&gt;0,J1613/AX1613,-1)</f>
        <v>0</v>
      </c>
      <c r="BB1613" s="58" t="n">
        <f aca="false">IF(AND(OR(BY1613="L1",BY1613="L23"),AX1613&gt;0),SUMIFS($AX$7:$AX$1843,$BY$7:$BY$1843,BY1613,$BA$7:$BA$1843,"&gt;"&amp;BA1613)+SUMIFS($AX$7:$AX$1843,$BY$7:$BY$1843,BY1613,$BA$7:$BA$1843,BA1613,$BQ$7:$BQ$1843,"&lt;="&amp;BQ1613),"")</f>
        <v>122.980608763217</v>
      </c>
      <c r="BC1613" s="65" t="n">
        <f aca="false">IF(BB1613="",0,MAX(0,MIN(1,(IF(BY1613="L1",Parameter!$E$5,Parameter!$E$6+Parameter!$E$7)-(BB1613-AX1613))/AX1613)))</f>
        <v>0</v>
      </c>
      <c r="BD1613" s="55" t="str">
        <f aca="false">IF(AH1613&lt;=0,"",IF(BY1613="Aussen","Aussenlager",IF(BY1613="-","Nicht im Lift",IF(AM1613&gt;=1,"Lift",IF(AM1613&lt;=0,"Aussenlager","teilweise")))))</f>
        <v>Lift</v>
      </c>
      <c r="BE1613" s="55" t="str">
        <f aca="false">IF(AP1613&lt;=0,"",IF(BY1613="Aussen","Aussenlager",IF(BY1613="-","Nicht im Lift",IF(AU1613&gt;=1,"Lift",IF(AU1613&lt;=0,"Aussenlager","teilweise")))))</f>
        <v>Aussenlager</v>
      </c>
      <c r="BF1613" s="55" t="str">
        <f aca="false">IF(AX1613&lt;=0,"",IF(BY1613="Aussen","Aussenlager",IF(BY1613="-","Nicht im Lift",IF(BC1613&gt;=1,"Lift",IF(BC1613&lt;=0,"Aussenlager","teilweise")))))</f>
        <v>Aussenlager</v>
      </c>
      <c r="BG1613" s="55" t="str">
        <f aca="false">IF(A1613="","",IF(BP1613=1,"Neu; ","")&amp;IF(AND(BP1613=0,BK1613&lt;0),"negativer Bestand (Export "&amp;BK1613&amp;"); ","")&amp;IF(J1613&lt;=0,"Kein Verbrauch; ","")&amp;IF(CH1613&gt;0,"Lift "&amp;W1613&amp;" lt. Liftbericht (Fach "&amp;X1613&amp;" Stk); ",IF(BU1613=1,"Gebinde geschätzt ("&amp;T1613&amp;"); ",IF(BT1613=1,"Lose – Tablare geschätzt; ","")))&amp;IF(H1613&gt;AR1613,"Überbestand "&amp;ROUND(H1613-AR1613,0)&amp;" Stk / CHF "&amp;ROUND((H1613-AR1613)*G1613,0)&amp;"; ","")&amp;IF(AND(CA1613=1,CB1613&lt;CC1613),"MAX &lt; MB+LG; ","")&amp;IF(AND(CG1613&gt;0,CF1613*10&gt;CG1613),"zu hoch für Tablar; ","")&amp;IF(AND(BP1613=0,OR(CA1613=1,AA1613&lt;&gt;"",U1613&lt;&gt;"",V1613&lt;&gt;"",AB1613&lt;&gt;"")),"manuell übersteuert; ","")&amp;IF(AND(BT1613=0,R1613=0),"Gebinde unbekannt / Stellmass fehlt; ","")&amp;IF(AND(BT1613=0,N(V1613)&lt;=0,N(Q1613)&lt;=0),"Menge pro Gebinde fehlt (Ist = 1 Gebinde); ","")&amp;BO1613)</f>
        <v>Kein Verbrauch; Gebinde geschätzt (Mittel); Menge pro Gebinde fehlt (Ist = 1 Gebinde); nur im Artikelstamm (Bestand 23.06.2026)</v>
      </c>
      <c r="BH1613" s="55"/>
      <c r="BI1613" s="55"/>
      <c r="BJ1613" s="62"/>
      <c r="BK1613" s="57" t="n">
        <v>1</v>
      </c>
      <c r="BL1613" s="57" t="n">
        <v>0</v>
      </c>
      <c r="BM1613" s="56" t="n">
        <v>0</v>
      </c>
      <c r="BN1613" s="57" t="n">
        <v>0</v>
      </c>
      <c r="BO1613" s="55" t="s">
        <v>2575</v>
      </c>
      <c r="BP1613" s="60" t="n">
        <v>0</v>
      </c>
      <c r="BQ1613" s="60" t="n">
        <v>1613</v>
      </c>
      <c r="BR1613" s="55" t="str">
        <f aca="false">IF(U1613&lt;&gt;"",UPPER(TRIM(U1613)),IF(BU1613=1,UPPER(VLOOKUP(T1613,Parameter!$I$27:$K$29,2,0)),IF(P1613="","LOSE",P1613)))</f>
        <v>S61</v>
      </c>
      <c r="BS1613" s="57" t="n">
        <f aca="false">IF(BR1613="LOSE",1,IF(N(V1613)&gt;0,V1613,IF(BU1613=1,MAX(1,N(VLOOKUP(T1613,Parameter!$I$27:$K$29,3,0)),H1613,N(N1613)),IF(N(Q1613)&gt;0,Q1613,MAX(1,H1613)))))</f>
        <v>4</v>
      </c>
      <c r="BT1613" s="60" t="n">
        <f aca="false">IF(BR1613="LOSE",1,0)</f>
        <v>0</v>
      </c>
      <c r="BU1613" s="60" t="n">
        <f aca="false">IF(AND(U1613="",OR(P1613="",P1613="LOSE"),T1613&lt;&gt;"",N(S1613)&lt;=0,ISNUMBER(MATCH(T1613,Parameter!$I$27:$I$29,0))),1,0)</f>
        <v>1</v>
      </c>
      <c r="BV1613" s="55" t="str">
        <f aca="false">IF(AND(Parameter!$B$19="Ja",E1613&lt;&gt;"",ISNUMBER(MATCH(E1613,Parameter!$I$35:$I$52,0))),VLOOKUP(E1613,Parameter!$I$35:$J$52,2,0),IFERROR(VLOOKUP(D1613,Parameter!$A$35:$C$64,2,0),"Nein"))</f>
        <v>2+3</v>
      </c>
      <c r="BW1613" s="59" t="n">
        <f aca="false">IF(BT1613=0,0,IF(N(S1613)&gt;0,S1613,IFERROR(VLOOKUP(D1613,Parameter!$A$35:$C$64,3,0)+0,0)))</f>
        <v>0</v>
      </c>
      <c r="BX1613" s="55" t="n">
        <f aca="false">IF(AA1613&lt;&gt;"",AA1613,Z1613)</f>
        <v>2</v>
      </c>
      <c r="BY1613" s="55" t="str">
        <f aca="false">IF(BX1613=1,"L1",IF(OR(BX1613=2,BX1613=3),"L23",IF(BX1613="Aussen","Aussen","-")))</f>
        <v>L23</v>
      </c>
      <c r="BZ1613" s="66" t="n">
        <f aca="false">IF(N(AB1613)&gt;0,AB1613,0)</f>
        <v>0</v>
      </c>
      <c r="CA1613" s="60" t="n">
        <f aca="false">IF(ISNUMBER(AE1613),1,0)</f>
        <v>0</v>
      </c>
      <c r="CB1613" s="57" t="n">
        <f aca="false">N(AE1613)</f>
        <v>0</v>
      </c>
      <c r="CC1613" s="57" t="n">
        <f aca="false">N(M1613)+N(N1613)</f>
        <v>1</v>
      </c>
      <c r="CD1613" s="57" t="n">
        <f aca="false">ROUNDUP(H1613/BS1613,0)</f>
        <v>1</v>
      </c>
      <c r="CE1613" s="57" t="n">
        <f aca="false">ROUNDUP(CB1613/BS1613,0)</f>
        <v>0</v>
      </c>
      <c r="CF1613" s="60" t="n">
        <f aca="false">IF(BT1613=1,0,IFERROR(VLOOKUP(BR1613,'Gebinde-Kategorie'!$A$5:$M$45,5,0)+0,0))</f>
        <v>11</v>
      </c>
      <c r="CG1613" s="60" t="n">
        <f aca="false">IFERROR(IF(OR(BX1613=1,BX1613=2,BX1613=3),N(INDEX(Parameter!$I$5:$I$7,BX1613)),0),0)</f>
        <v>0</v>
      </c>
      <c r="CH1613" s="59" t="n">
        <f aca="false">IF(AND(Parameter!$B$21="Ja",ISNUMBER(W1613),N(X1613)&gt;0),IFERROR(N(INDEX(Parameter!$L$5:$L$7,W1613))*INDEX(Parameter!$E$5:$E$7,W1613)*X1613/SUMIFS($X$7:$X$1843,$W$7:$W$1843,W1613),0),0)</f>
        <v>0</v>
      </c>
    </row>
    <row r="1614" customFormat="false" ht="15" hidden="false" customHeight="false" outlineLevel="0" collapsed="false">
      <c r="A1614" s="55" t="s">
        <v>2812</v>
      </c>
      <c r="B1614" s="55" t="s">
        <v>2813</v>
      </c>
      <c r="C1614" s="55" t="s">
        <v>164</v>
      </c>
      <c r="D1614" s="55" t="s">
        <v>184</v>
      </c>
      <c r="E1614" s="55"/>
      <c r="F1614" s="55"/>
      <c r="G1614" s="56" t="n">
        <v>7.56</v>
      </c>
      <c r="H1614" s="57" t="n">
        <f aca="false">MAX(0,IF(AND(Parameter!$B$21="Ja",ISNUMBER(Y1614)),Y1614,IF(Parameter!$B$20="Jahresanfang 2025 + Export",BL1614+BK1614,BK1614)))</f>
        <v>3</v>
      </c>
      <c r="I1614" s="57" t="n">
        <f aca="false">H1614*G1614</f>
        <v>22.68</v>
      </c>
      <c r="J1614" s="57" t="n">
        <f aca="false">BN1614*Parameter!$B$18</f>
        <v>0</v>
      </c>
      <c r="K1614" s="58"/>
      <c r="L1614" s="59"/>
      <c r="M1614" s="57" t="n">
        <v>0</v>
      </c>
      <c r="N1614" s="57" t="n">
        <v>1</v>
      </c>
      <c r="O1614" s="60" t="n">
        <v>0</v>
      </c>
      <c r="P1614" s="55" t="s">
        <v>168</v>
      </c>
      <c r="Q1614" s="57"/>
      <c r="R1614" s="60" t="n">
        <f aca="false">IF(BT1614=1,0,IFERROR(VLOOKUP(BR1614,'Gebinde-Kategorie'!$A$5:$M$45,13,0)+0,0))</f>
        <v>26</v>
      </c>
      <c r="S1614" s="61"/>
      <c r="T1614" s="62" t="s">
        <v>275</v>
      </c>
      <c r="U1614" s="62"/>
      <c r="V1614" s="62"/>
      <c r="W1614" s="55"/>
      <c r="X1614" s="57"/>
      <c r="Y1614" s="57"/>
      <c r="Z1614" s="55" t="n">
        <f aca="false">IF(A1614="","",IF(AND(Parameter!$B$21="Ja",ISNUMBER(W1614)),W1614,IF(BV1614="2+3",IF(ISNUMBER(SEARCH("grosser Artikel",BO1614)),2,IFERROR(VLOOKUP(BR1614,Parameter!$F$35:$G$64,2,0),2)),IF(OR(BV1614="Nein",BV1614=""),"-",BV1614))))</f>
        <v>3</v>
      </c>
      <c r="AA1614" s="62"/>
      <c r="AB1614" s="63"/>
      <c r="AC1614" s="57" t="n">
        <f aca="false">AR1614</f>
        <v>20</v>
      </c>
      <c r="AD1614" s="57" t="n">
        <f aca="false">MAX(AR1614,H1614)</f>
        <v>20</v>
      </c>
      <c r="AE1614" s="64"/>
      <c r="AF1614" s="57" t="n">
        <f aca="false">IF(LEFT(Cockpit!$C$5,1)="A",H1614,IF(CA1614=1,CB1614,IF(LEFT(Cockpit!$C$5,1)="B",AJ1614,MAX(AJ1614,H1614))))</f>
        <v>3</v>
      </c>
      <c r="AG1614" s="57" t="n">
        <f aca="false">IF(BT1614=1,0,ROUNDUP(AF1614/BS1614,0))</f>
        <v>1</v>
      </c>
      <c r="AH1614" s="59" t="n">
        <f aca="false">IF(CH1614&gt;0,CH1614*MAX(1,AF1614/X1614),IF(BT1614=1,IF(AF1614&lt;=0,0,BW1614*MAX(1,IF(H1614&gt;0,AF1614/H1614,1))),IF(R1614&gt;0,AG1614/R1614,0))/MAX(0.1,N(Parameter!$M$21)))</f>
        <v>0.0384615384615385</v>
      </c>
      <c r="AI1614" s="57" t="n">
        <f aca="false">AF1614*G1614</f>
        <v>22.68</v>
      </c>
      <c r="AJ1614" s="57" t="n">
        <f aca="false">ROUNDUP(MAX(J1614/IF(BZ1614&gt;0,BZ1614,MAX(0.1,N(Cockpit!$C$6))),CC1614)/BS1614,0)*BS1614</f>
        <v>20</v>
      </c>
      <c r="AK1614" s="58" t="n">
        <f aca="false">IF(AH1614&gt;0,J1614/AH1614,-1)</f>
        <v>0</v>
      </c>
      <c r="AL1614" s="58" t="n">
        <f aca="false">IF(AND(OR(BY1614="L1",BY1614="L23"),AH1614&gt;0),SUMIFS($AH$7:$AH$1843,$BY$7:$BY$1843,BY1614,$AK$7:$AK$1843,"&gt;"&amp;AK1614)+SUMIFS($AH$7:$AH$1843,$BY$7:$BY$1843,BY1614,$AK$7:$AK$1843,AK1614,$BQ$7:$BQ$1843,"&lt;="&amp;BQ1614),"")</f>
        <v>86.9370967197054</v>
      </c>
      <c r="AM1614" s="65" t="n">
        <f aca="false">IF(AL1614="",0,MAX(0,MIN(1,(IF(BY1614="L1",Parameter!$E$5,Parameter!$E$6+Parameter!$E$7)-(AL1614-AH1614))/AH1614)))</f>
        <v>1</v>
      </c>
      <c r="AN1614" s="57" t="n">
        <f aca="false">IF(LEFT(Cockpit!$I$5,1)="A",H1614,IF(CA1614=1,CB1614,IF(LEFT(Cockpit!$I$5,1)="B",AR1614,MAX(AR1614,H1614))))</f>
        <v>20</v>
      </c>
      <c r="AO1614" s="57" t="n">
        <f aca="false">IF(BT1614=1,0,ROUNDUP(AN1614/BS1614,0))</f>
        <v>1</v>
      </c>
      <c r="AP1614" s="59" t="n">
        <f aca="false">IF(CH1614&gt;0,CH1614*MAX(1,AN1614/X1614),IF(BT1614=1,IF(AN1614&lt;=0,0,BW1614*MAX(1,IF(H1614&gt;0,AN1614/H1614,1))),IF(R1614&gt;0,AO1614/R1614,0))/MAX(0.1,N(Parameter!$M$21)))</f>
        <v>0.0384615384615385</v>
      </c>
      <c r="AQ1614" s="57" t="n">
        <f aca="false">AN1614*G1614</f>
        <v>151.2</v>
      </c>
      <c r="AR1614" s="57" t="n">
        <f aca="false">ROUNDUP(MAX(J1614/IF(BZ1614&gt;0,BZ1614,MAX(0.1,N(Cockpit!$I$6))),CC1614)/BS1614,0)*BS1614</f>
        <v>20</v>
      </c>
      <c r="AS1614" s="58" t="n">
        <f aca="false">IF(AP1614&gt;0,J1614/AP1614,-1)</f>
        <v>0</v>
      </c>
      <c r="AT1614" s="58" t="n">
        <f aca="false">IF(AND(OR(BY1614="L1",BY1614="L23"),AP1614&gt;0),SUMIFS($AP$7:$AP$1843,$BY$7:$BY$1843,BY1614,$AS$7:$AS$1843,"&gt;"&amp;AS1614)+SUMIFS($AP$7:$AP$1843,$BY$7:$BY$1843,BY1614,$AS$7:$AS$1843,AS1614,$BQ$7:$BQ$1843,"&lt;="&amp;BQ1614),"")</f>
        <v>132.189233471842</v>
      </c>
      <c r="AU1614" s="65" t="n">
        <f aca="false">IF(AT1614="",0,MAX(0,MIN(1,(IF(BY1614="L1",Parameter!$E$5,Parameter!$E$6+Parameter!$E$7)-(AT1614-AP1614))/AP1614)))</f>
        <v>0</v>
      </c>
      <c r="AV1614" s="57" t="n">
        <f aca="false">IF(LEFT(Cockpit!$O$5,1)="A",H1614,IF(CA1614=1,CB1614,IF(LEFT(Cockpit!$O$5,1)="B",AZ1614,MAX(AZ1614,H1614))))</f>
        <v>20</v>
      </c>
      <c r="AW1614" s="57" t="n">
        <f aca="false">IF(BT1614=1,0,ROUNDUP(AV1614/BS1614,0))</f>
        <v>1</v>
      </c>
      <c r="AX1614" s="59" t="n">
        <f aca="false">IF(CH1614&gt;0,CH1614*MAX(1,AV1614/X1614),IF(BT1614=1,IF(AV1614&lt;=0,0,BW1614*MAX(1,IF(H1614&gt;0,AV1614/H1614,1))),IF(R1614&gt;0,AW1614/R1614,0))/MAX(0.1,N(Parameter!$M$21)))</f>
        <v>0.0384615384615385</v>
      </c>
      <c r="AY1614" s="57" t="n">
        <f aca="false">AV1614*G1614</f>
        <v>151.2</v>
      </c>
      <c r="AZ1614" s="57" t="n">
        <f aca="false">ROUNDUP(MAX(J1614/IF(BZ1614&gt;0,BZ1614,MAX(0.1,N(Cockpit!$O$6))),CC1614)/BS1614,0)*BS1614</f>
        <v>20</v>
      </c>
      <c r="BA1614" s="58" t="n">
        <f aca="false">IF(AX1614&gt;0,J1614/AX1614,-1)</f>
        <v>0</v>
      </c>
      <c r="BB1614" s="58" t="n">
        <f aca="false">IF(AND(OR(BY1614="L1",BY1614="L23"),AX1614&gt;0),SUMIFS($AX$7:$AX$1843,$BY$7:$BY$1843,BY1614,$BA$7:$BA$1843,"&gt;"&amp;BA1614)+SUMIFS($AX$7:$AX$1843,$BY$7:$BY$1843,BY1614,$BA$7:$BA$1843,BA1614,$BQ$7:$BQ$1843,"&lt;="&amp;BQ1614),"")</f>
        <v>123.019070301679</v>
      </c>
      <c r="BC1614" s="65" t="n">
        <f aca="false">IF(BB1614="",0,MAX(0,MIN(1,(IF(BY1614="L1",Parameter!$E$5,Parameter!$E$6+Parameter!$E$7)-(BB1614-AX1614))/AX1614)))</f>
        <v>0</v>
      </c>
      <c r="BD1614" s="55" t="str">
        <f aca="false">IF(AH1614&lt;=0,"",IF(BY1614="Aussen","Aussenlager",IF(BY1614="-","Nicht im Lift",IF(AM1614&gt;=1,"Lift",IF(AM1614&lt;=0,"Aussenlager","teilweise")))))</f>
        <v>Lift</v>
      </c>
      <c r="BE1614" s="55" t="str">
        <f aca="false">IF(AP1614&lt;=0,"",IF(BY1614="Aussen","Aussenlager",IF(BY1614="-","Nicht im Lift",IF(AU1614&gt;=1,"Lift",IF(AU1614&lt;=0,"Aussenlager","teilweise")))))</f>
        <v>Aussenlager</v>
      </c>
      <c r="BF1614" s="55" t="str">
        <f aca="false">IF(AX1614&lt;=0,"",IF(BY1614="Aussen","Aussenlager",IF(BY1614="-","Nicht im Lift",IF(BC1614&gt;=1,"Lift",IF(BC1614&lt;=0,"Aussenlager","teilweise")))))</f>
        <v>Aussenlager</v>
      </c>
      <c r="BG1614" s="55" t="str">
        <f aca="false">IF(A1614="","",IF(BP1614=1,"Neu; ","")&amp;IF(AND(BP1614=0,BK1614&lt;0),"negativer Bestand (Export "&amp;BK1614&amp;"); ","")&amp;IF(J1614&lt;=0,"Kein Verbrauch; ","")&amp;IF(CH1614&gt;0,"Lift "&amp;W1614&amp;" lt. Liftbericht (Fach "&amp;X1614&amp;" Stk); ",IF(BU1614=1,"Gebinde geschätzt ("&amp;T1614&amp;"); ",IF(BT1614=1,"Lose – Tablare geschätzt; ","")))&amp;IF(H1614&gt;AR1614,"Überbestand "&amp;ROUND(H1614-AR1614,0)&amp;" Stk / CHF "&amp;ROUND((H1614-AR1614)*G1614,0)&amp;"; ","")&amp;IF(AND(CA1614=1,CB1614&lt;CC1614),"MAX &lt; MB+LG; ","")&amp;IF(AND(CG1614&gt;0,CF1614*10&gt;CG1614),"zu hoch für Tablar; ","")&amp;IF(AND(BP1614=0,OR(CA1614=1,AA1614&lt;&gt;"",U1614&lt;&gt;"",V1614&lt;&gt;"",AB1614&lt;&gt;"")),"manuell übersteuert; ","")&amp;IF(AND(BT1614=0,R1614=0),"Gebinde unbekannt / Stellmass fehlt; ","")&amp;IF(AND(BT1614=0,N(V1614)&lt;=0,N(Q1614)&lt;=0),"Menge pro Gebinde fehlt (Ist = 1 Gebinde); ","")&amp;BO1614)</f>
        <v>Kein Verbrauch; Gebinde geschätzt (Klein); Menge pro Gebinde fehlt (Ist = 1 Gebinde); nur im Artikelstamm (Bestand 23.06.2026)</v>
      </c>
      <c r="BH1614" s="55"/>
      <c r="BI1614" s="55"/>
      <c r="BJ1614" s="62"/>
      <c r="BK1614" s="57" t="n">
        <v>3</v>
      </c>
      <c r="BL1614" s="57" t="n">
        <v>0</v>
      </c>
      <c r="BM1614" s="56" t="n">
        <v>0</v>
      </c>
      <c r="BN1614" s="57" t="n">
        <v>0</v>
      </c>
      <c r="BO1614" s="55" t="s">
        <v>2575</v>
      </c>
      <c r="BP1614" s="60" t="n">
        <v>0</v>
      </c>
      <c r="BQ1614" s="60" t="n">
        <v>1614</v>
      </c>
      <c r="BR1614" s="55" t="str">
        <f aca="false">IF(U1614&lt;&gt;"",UPPER(TRIM(U1614)),IF(BU1614=1,UPPER(VLOOKUP(T1614,Parameter!$I$27:$K$29,2,0)),IF(P1614="","LOSE",P1614)))</f>
        <v>S51</v>
      </c>
      <c r="BS1614" s="57" t="n">
        <f aca="false">IF(BR1614="LOSE",1,IF(N(V1614)&gt;0,V1614,IF(BU1614=1,MAX(1,N(VLOOKUP(T1614,Parameter!$I$27:$K$29,3,0)),H1614,N(N1614)),IF(N(Q1614)&gt;0,Q1614,MAX(1,H1614)))))</f>
        <v>20</v>
      </c>
      <c r="BT1614" s="60" t="n">
        <f aca="false">IF(BR1614="LOSE",1,0)</f>
        <v>0</v>
      </c>
      <c r="BU1614" s="60" t="n">
        <f aca="false">IF(AND(U1614="",OR(P1614="",P1614="LOSE"),T1614&lt;&gt;"",N(S1614)&lt;=0,ISNUMBER(MATCH(T1614,Parameter!$I$27:$I$29,0))),1,0)</f>
        <v>1</v>
      </c>
      <c r="BV1614" s="55" t="str">
        <f aca="false">IF(AND(Parameter!$B$19="Ja",E1614&lt;&gt;"",ISNUMBER(MATCH(E1614,Parameter!$I$35:$I$52,0))),VLOOKUP(E1614,Parameter!$I$35:$J$52,2,0),IFERROR(VLOOKUP(D1614,Parameter!$A$35:$C$64,2,0),"Nein"))</f>
        <v>2+3</v>
      </c>
      <c r="BW1614" s="59" t="n">
        <f aca="false">IF(BT1614=0,0,IF(N(S1614)&gt;0,S1614,IFERROR(VLOOKUP(D1614,Parameter!$A$35:$C$64,3,0)+0,0)))</f>
        <v>0</v>
      </c>
      <c r="BX1614" s="55" t="n">
        <f aca="false">IF(AA1614&lt;&gt;"",AA1614,Z1614)</f>
        <v>3</v>
      </c>
      <c r="BY1614" s="55" t="str">
        <f aca="false">IF(BX1614=1,"L1",IF(OR(BX1614=2,BX1614=3),"L23",IF(BX1614="Aussen","Aussen","-")))</f>
        <v>L23</v>
      </c>
      <c r="BZ1614" s="66" t="n">
        <f aca="false">IF(N(AB1614)&gt;0,AB1614,0)</f>
        <v>0</v>
      </c>
      <c r="CA1614" s="60" t="n">
        <f aca="false">IF(ISNUMBER(AE1614),1,0)</f>
        <v>0</v>
      </c>
      <c r="CB1614" s="57" t="n">
        <f aca="false">N(AE1614)</f>
        <v>0</v>
      </c>
      <c r="CC1614" s="57" t="n">
        <f aca="false">N(M1614)+N(N1614)</f>
        <v>1</v>
      </c>
      <c r="CD1614" s="57" t="n">
        <f aca="false">ROUNDUP(H1614/BS1614,0)</f>
        <v>1</v>
      </c>
      <c r="CE1614" s="57" t="n">
        <f aca="false">ROUNDUP(CB1614/BS1614,0)</f>
        <v>0</v>
      </c>
      <c r="CF1614" s="60" t="n">
        <f aca="false">IF(BT1614=1,0,IFERROR(VLOOKUP(BR1614,'Gebinde-Kategorie'!$A$5:$M$45,5,0)+0,0))</f>
        <v>11</v>
      </c>
      <c r="CG1614" s="60" t="n">
        <f aca="false">IFERROR(IF(OR(BX1614=1,BX1614=2,BX1614=3),N(INDEX(Parameter!$I$5:$I$7,BX1614)),0),0)</f>
        <v>0</v>
      </c>
      <c r="CH1614" s="59" t="n">
        <f aca="false">IF(AND(Parameter!$B$21="Ja",ISNUMBER(W1614),N(X1614)&gt;0),IFERROR(N(INDEX(Parameter!$L$5:$L$7,W1614))*INDEX(Parameter!$E$5:$E$7,W1614)*X1614/SUMIFS($X$7:$X$1843,$W$7:$W$1843,W1614),0),0)</f>
        <v>0</v>
      </c>
    </row>
    <row r="1615" customFormat="false" ht="15" hidden="false" customHeight="false" outlineLevel="0" collapsed="false">
      <c r="A1615" s="55" t="s">
        <v>2814</v>
      </c>
      <c r="B1615" s="55" t="s">
        <v>1448</v>
      </c>
      <c r="C1615" s="55" t="s">
        <v>164</v>
      </c>
      <c r="D1615" s="55" t="s">
        <v>184</v>
      </c>
      <c r="E1615" s="55"/>
      <c r="F1615" s="55"/>
      <c r="G1615" s="56" t="n">
        <v>35.5</v>
      </c>
      <c r="H1615" s="57" t="n">
        <f aca="false">MAX(0,IF(AND(Parameter!$B$21="Ja",ISNUMBER(Y1615)),Y1615,IF(Parameter!$B$20="Jahresanfang 2025 + Export",BL1615+BK1615,BK1615)))</f>
        <v>2</v>
      </c>
      <c r="I1615" s="57" t="n">
        <f aca="false">H1615*G1615</f>
        <v>71</v>
      </c>
      <c r="J1615" s="57" t="n">
        <f aca="false">BN1615*Parameter!$B$18</f>
        <v>0</v>
      </c>
      <c r="K1615" s="58"/>
      <c r="L1615" s="59"/>
      <c r="M1615" s="57" t="n">
        <v>0</v>
      </c>
      <c r="N1615" s="57" t="n">
        <v>10</v>
      </c>
      <c r="O1615" s="60" t="n">
        <v>112</v>
      </c>
      <c r="P1615" s="55" t="s">
        <v>168</v>
      </c>
      <c r="Q1615" s="57"/>
      <c r="R1615" s="60" t="n">
        <f aca="false">IF(BT1615=1,0,IFERROR(VLOOKUP(BR1615,'Gebinde-Kategorie'!$A$5:$M$45,13,0)+0,0))</f>
        <v>26</v>
      </c>
      <c r="S1615" s="61"/>
      <c r="T1615" s="62" t="s">
        <v>275</v>
      </c>
      <c r="U1615" s="62"/>
      <c r="V1615" s="62"/>
      <c r="W1615" s="55"/>
      <c r="X1615" s="57"/>
      <c r="Y1615" s="57"/>
      <c r="Z1615" s="55" t="n">
        <f aca="false">IF(A1615="","",IF(AND(Parameter!$B$21="Ja",ISNUMBER(W1615)),W1615,IF(BV1615="2+3",IF(ISNUMBER(SEARCH("grosser Artikel",BO1615)),2,IFERROR(VLOOKUP(BR1615,Parameter!$F$35:$G$64,2,0),2)),IF(OR(BV1615="Nein",BV1615=""),"-",BV1615))))</f>
        <v>3</v>
      </c>
      <c r="AA1615" s="62"/>
      <c r="AB1615" s="63"/>
      <c r="AC1615" s="57" t="n">
        <f aca="false">AR1615</f>
        <v>20</v>
      </c>
      <c r="AD1615" s="57" t="n">
        <f aca="false">MAX(AR1615,H1615)</f>
        <v>20</v>
      </c>
      <c r="AE1615" s="64"/>
      <c r="AF1615" s="57" t="n">
        <f aca="false">IF(LEFT(Cockpit!$C$5,1)="A",H1615,IF(CA1615=1,CB1615,IF(LEFT(Cockpit!$C$5,1)="B",AJ1615,MAX(AJ1615,H1615))))</f>
        <v>2</v>
      </c>
      <c r="AG1615" s="57" t="n">
        <f aca="false">IF(BT1615=1,0,ROUNDUP(AF1615/BS1615,0))</f>
        <v>1</v>
      </c>
      <c r="AH1615" s="59" t="n">
        <f aca="false">IF(CH1615&gt;0,CH1615*MAX(1,AF1615/X1615),IF(BT1615=1,IF(AF1615&lt;=0,0,BW1615*MAX(1,IF(H1615&gt;0,AF1615/H1615,1))),IF(R1615&gt;0,AG1615/R1615,0))/MAX(0.1,N(Parameter!$M$21)))</f>
        <v>0.0384615384615385</v>
      </c>
      <c r="AI1615" s="57" t="n">
        <f aca="false">AF1615*G1615</f>
        <v>71</v>
      </c>
      <c r="AJ1615" s="57" t="n">
        <f aca="false">ROUNDUP(MAX(J1615/IF(BZ1615&gt;0,BZ1615,MAX(0.1,N(Cockpit!$C$6))),CC1615)/BS1615,0)*BS1615</f>
        <v>20</v>
      </c>
      <c r="AK1615" s="58" t="n">
        <f aca="false">IF(AH1615&gt;0,J1615/AH1615,-1)</f>
        <v>0</v>
      </c>
      <c r="AL1615" s="58" t="n">
        <f aca="false">IF(AND(OR(BY1615="L1",BY1615="L23"),AH1615&gt;0),SUMIFS($AH$7:$AH$1843,$BY$7:$BY$1843,BY1615,$AK$7:$AK$1843,"&gt;"&amp;AK1615)+SUMIFS($AH$7:$AH$1843,$BY$7:$BY$1843,BY1615,$AK$7:$AK$1843,AK1615,$BQ$7:$BQ$1843,"&lt;="&amp;BQ1615),"")</f>
        <v>86.975558258167</v>
      </c>
      <c r="AM1615" s="65" t="n">
        <f aca="false">IF(AL1615="",0,MAX(0,MIN(1,(IF(BY1615="L1",Parameter!$E$5,Parameter!$E$6+Parameter!$E$7)-(AL1615-AH1615))/AH1615)))</f>
        <v>1</v>
      </c>
      <c r="AN1615" s="57" t="n">
        <f aca="false">IF(LEFT(Cockpit!$I$5,1)="A",H1615,IF(CA1615=1,CB1615,IF(LEFT(Cockpit!$I$5,1)="B",AR1615,MAX(AR1615,H1615))))</f>
        <v>20</v>
      </c>
      <c r="AO1615" s="57" t="n">
        <f aca="false">IF(BT1615=1,0,ROUNDUP(AN1615/BS1615,0))</f>
        <v>1</v>
      </c>
      <c r="AP1615" s="59" t="n">
        <f aca="false">IF(CH1615&gt;0,CH1615*MAX(1,AN1615/X1615),IF(BT1615=1,IF(AN1615&lt;=0,0,BW1615*MAX(1,IF(H1615&gt;0,AN1615/H1615,1))),IF(R1615&gt;0,AO1615/R1615,0))/MAX(0.1,N(Parameter!$M$21)))</f>
        <v>0.0384615384615385</v>
      </c>
      <c r="AQ1615" s="57" t="n">
        <f aca="false">AN1615*G1615</f>
        <v>710</v>
      </c>
      <c r="AR1615" s="57" t="n">
        <f aca="false">ROUNDUP(MAX(J1615/IF(BZ1615&gt;0,BZ1615,MAX(0.1,N(Cockpit!$I$6))),CC1615)/BS1615,0)*BS1615</f>
        <v>20</v>
      </c>
      <c r="AS1615" s="58" t="n">
        <f aca="false">IF(AP1615&gt;0,J1615/AP1615,-1)</f>
        <v>0</v>
      </c>
      <c r="AT1615" s="58" t="n">
        <f aca="false">IF(AND(OR(BY1615="L1",BY1615="L23"),AP1615&gt;0),SUMIFS($AP$7:$AP$1843,$BY$7:$BY$1843,BY1615,$AS$7:$AS$1843,"&gt;"&amp;AS1615)+SUMIFS($AP$7:$AP$1843,$BY$7:$BY$1843,BY1615,$AS$7:$AS$1843,AS1615,$BQ$7:$BQ$1843,"&lt;="&amp;BQ1615),"")</f>
        <v>132.227695010304</v>
      </c>
      <c r="AU1615" s="65" t="n">
        <f aca="false">IF(AT1615="",0,MAX(0,MIN(1,(IF(BY1615="L1",Parameter!$E$5,Parameter!$E$6+Parameter!$E$7)-(AT1615-AP1615))/AP1615)))</f>
        <v>0</v>
      </c>
      <c r="AV1615" s="57" t="n">
        <f aca="false">IF(LEFT(Cockpit!$O$5,1)="A",H1615,IF(CA1615=1,CB1615,IF(LEFT(Cockpit!$O$5,1)="B",AZ1615,MAX(AZ1615,H1615))))</f>
        <v>20</v>
      </c>
      <c r="AW1615" s="57" t="n">
        <f aca="false">IF(BT1615=1,0,ROUNDUP(AV1615/BS1615,0))</f>
        <v>1</v>
      </c>
      <c r="AX1615" s="59" t="n">
        <f aca="false">IF(CH1615&gt;0,CH1615*MAX(1,AV1615/X1615),IF(BT1615=1,IF(AV1615&lt;=0,0,BW1615*MAX(1,IF(H1615&gt;0,AV1615/H1615,1))),IF(R1615&gt;0,AW1615/R1615,0))/MAX(0.1,N(Parameter!$M$21)))</f>
        <v>0.0384615384615385</v>
      </c>
      <c r="AY1615" s="57" t="n">
        <f aca="false">AV1615*G1615</f>
        <v>710</v>
      </c>
      <c r="AZ1615" s="57" t="n">
        <f aca="false">ROUNDUP(MAX(J1615/IF(BZ1615&gt;0,BZ1615,MAX(0.1,N(Cockpit!$O$6))),CC1615)/BS1615,0)*BS1615</f>
        <v>20</v>
      </c>
      <c r="BA1615" s="58" t="n">
        <f aca="false">IF(AX1615&gt;0,J1615/AX1615,-1)</f>
        <v>0</v>
      </c>
      <c r="BB1615" s="58" t="n">
        <f aca="false">IF(AND(OR(BY1615="L1",BY1615="L23"),AX1615&gt;0),SUMIFS($AX$7:$AX$1843,$BY$7:$BY$1843,BY1615,$BA$7:$BA$1843,"&gt;"&amp;BA1615)+SUMIFS($AX$7:$AX$1843,$BY$7:$BY$1843,BY1615,$BA$7:$BA$1843,BA1615,$BQ$7:$BQ$1843,"&lt;="&amp;BQ1615),"")</f>
        <v>123.057531840141</v>
      </c>
      <c r="BC1615" s="65" t="n">
        <f aca="false">IF(BB1615="",0,MAX(0,MIN(1,(IF(BY1615="L1",Parameter!$E$5,Parameter!$E$6+Parameter!$E$7)-(BB1615-AX1615))/AX1615)))</f>
        <v>0</v>
      </c>
      <c r="BD1615" s="55" t="str">
        <f aca="false">IF(AH1615&lt;=0,"",IF(BY1615="Aussen","Aussenlager",IF(BY1615="-","Nicht im Lift",IF(AM1615&gt;=1,"Lift",IF(AM1615&lt;=0,"Aussenlager","teilweise")))))</f>
        <v>Lift</v>
      </c>
      <c r="BE1615" s="55" t="str">
        <f aca="false">IF(AP1615&lt;=0,"",IF(BY1615="Aussen","Aussenlager",IF(BY1615="-","Nicht im Lift",IF(AU1615&gt;=1,"Lift",IF(AU1615&lt;=0,"Aussenlager","teilweise")))))</f>
        <v>Aussenlager</v>
      </c>
      <c r="BF1615" s="55" t="str">
        <f aca="false">IF(AX1615&lt;=0,"",IF(BY1615="Aussen","Aussenlager",IF(BY1615="-","Nicht im Lift",IF(BC1615&gt;=1,"Lift",IF(BC1615&lt;=0,"Aussenlager","teilweise")))))</f>
        <v>Aussenlager</v>
      </c>
      <c r="BG1615" s="55" t="str">
        <f aca="false">IF(A1615="","",IF(BP1615=1,"Neu; ","")&amp;IF(AND(BP1615=0,BK1615&lt;0),"negativer Bestand (Export "&amp;BK1615&amp;"); ","")&amp;IF(J1615&lt;=0,"Kein Verbrauch; ","")&amp;IF(CH1615&gt;0,"Lift "&amp;W1615&amp;" lt. Liftbericht (Fach "&amp;X1615&amp;" Stk); ",IF(BU1615=1,"Gebinde geschätzt ("&amp;T1615&amp;"); ",IF(BT1615=1,"Lose – Tablare geschätzt; ","")))&amp;IF(H1615&gt;AR1615,"Überbestand "&amp;ROUND(H1615-AR1615,0)&amp;" Stk / CHF "&amp;ROUND((H1615-AR1615)*G1615,0)&amp;"; ","")&amp;IF(AND(CA1615=1,CB1615&lt;CC1615),"MAX &lt; MB+LG; ","")&amp;IF(AND(CG1615&gt;0,CF1615*10&gt;CG1615),"zu hoch für Tablar; ","")&amp;IF(AND(BP1615=0,OR(CA1615=1,AA1615&lt;&gt;"",U1615&lt;&gt;"",V1615&lt;&gt;"",AB1615&lt;&gt;"")),"manuell übersteuert; ","")&amp;IF(AND(BT1615=0,R1615=0),"Gebinde unbekannt / Stellmass fehlt; ","")&amp;IF(AND(BT1615=0,N(V1615)&lt;=0,N(Q1615)&lt;=0),"Menge pro Gebinde fehlt (Ist = 1 Gebinde); ","")&amp;BO1615)</f>
        <v>Kein Verbrauch; Gebinde geschätzt (Klein); Menge pro Gebinde fehlt (Ist = 1 Gebinde); nur im Artikelstamm (Bestand 23.06.2026)</v>
      </c>
      <c r="BH1615" s="55"/>
      <c r="BI1615" s="55"/>
      <c r="BJ1615" s="62"/>
      <c r="BK1615" s="57" t="n">
        <v>2</v>
      </c>
      <c r="BL1615" s="57" t="n">
        <v>0</v>
      </c>
      <c r="BM1615" s="56" t="n">
        <v>0</v>
      </c>
      <c r="BN1615" s="57" t="n">
        <v>0</v>
      </c>
      <c r="BO1615" s="55" t="s">
        <v>2575</v>
      </c>
      <c r="BP1615" s="60" t="n">
        <v>0</v>
      </c>
      <c r="BQ1615" s="60" t="n">
        <v>1615</v>
      </c>
      <c r="BR1615" s="55" t="str">
        <f aca="false">IF(U1615&lt;&gt;"",UPPER(TRIM(U1615)),IF(BU1615=1,UPPER(VLOOKUP(T1615,Parameter!$I$27:$K$29,2,0)),IF(P1615="","LOSE",P1615)))</f>
        <v>S51</v>
      </c>
      <c r="BS1615" s="57" t="n">
        <f aca="false">IF(BR1615="LOSE",1,IF(N(V1615)&gt;0,V1615,IF(BU1615=1,MAX(1,N(VLOOKUP(T1615,Parameter!$I$27:$K$29,3,0)),H1615,N(N1615)),IF(N(Q1615)&gt;0,Q1615,MAX(1,H1615)))))</f>
        <v>20</v>
      </c>
      <c r="BT1615" s="60" t="n">
        <f aca="false">IF(BR1615="LOSE",1,0)</f>
        <v>0</v>
      </c>
      <c r="BU1615" s="60" t="n">
        <f aca="false">IF(AND(U1615="",OR(P1615="",P1615="LOSE"),T1615&lt;&gt;"",N(S1615)&lt;=0,ISNUMBER(MATCH(T1615,Parameter!$I$27:$I$29,0))),1,0)</f>
        <v>1</v>
      </c>
      <c r="BV1615" s="55" t="str">
        <f aca="false">IF(AND(Parameter!$B$19="Ja",E1615&lt;&gt;"",ISNUMBER(MATCH(E1615,Parameter!$I$35:$I$52,0))),VLOOKUP(E1615,Parameter!$I$35:$J$52,2,0),IFERROR(VLOOKUP(D1615,Parameter!$A$35:$C$64,2,0),"Nein"))</f>
        <v>2+3</v>
      </c>
      <c r="BW1615" s="59" t="n">
        <f aca="false">IF(BT1615=0,0,IF(N(S1615)&gt;0,S1615,IFERROR(VLOOKUP(D1615,Parameter!$A$35:$C$64,3,0)+0,0)))</f>
        <v>0</v>
      </c>
      <c r="BX1615" s="55" t="n">
        <f aca="false">IF(AA1615&lt;&gt;"",AA1615,Z1615)</f>
        <v>3</v>
      </c>
      <c r="BY1615" s="55" t="str">
        <f aca="false">IF(BX1615=1,"L1",IF(OR(BX1615=2,BX1615=3),"L23",IF(BX1615="Aussen","Aussen","-")))</f>
        <v>L23</v>
      </c>
      <c r="BZ1615" s="66" t="n">
        <f aca="false">IF(N(AB1615)&gt;0,AB1615,0)</f>
        <v>0</v>
      </c>
      <c r="CA1615" s="60" t="n">
        <f aca="false">IF(ISNUMBER(AE1615),1,0)</f>
        <v>0</v>
      </c>
      <c r="CB1615" s="57" t="n">
        <f aca="false">N(AE1615)</f>
        <v>0</v>
      </c>
      <c r="CC1615" s="57" t="n">
        <f aca="false">N(M1615)+N(N1615)</f>
        <v>10</v>
      </c>
      <c r="CD1615" s="57" t="n">
        <f aca="false">ROUNDUP(H1615/BS1615,0)</f>
        <v>1</v>
      </c>
      <c r="CE1615" s="57" t="n">
        <f aca="false">ROUNDUP(CB1615/BS1615,0)</f>
        <v>0</v>
      </c>
      <c r="CF1615" s="60" t="n">
        <f aca="false">IF(BT1615=1,0,IFERROR(VLOOKUP(BR1615,'Gebinde-Kategorie'!$A$5:$M$45,5,0)+0,0))</f>
        <v>11</v>
      </c>
      <c r="CG1615" s="60" t="n">
        <f aca="false">IFERROR(IF(OR(BX1615=1,BX1615=2,BX1615=3),N(INDEX(Parameter!$I$5:$I$7,BX1615)),0),0)</f>
        <v>0</v>
      </c>
      <c r="CH1615" s="59" t="n">
        <f aca="false">IF(AND(Parameter!$B$21="Ja",ISNUMBER(W1615),N(X1615)&gt;0),IFERROR(N(INDEX(Parameter!$L$5:$L$7,W1615))*INDEX(Parameter!$E$5:$E$7,W1615)*X1615/SUMIFS($X$7:$X$1843,$W$7:$W$1843,W1615),0),0)</f>
        <v>0</v>
      </c>
    </row>
    <row r="1616" customFormat="false" ht="15" hidden="false" customHeight="false" outlineLevel="0" collapsed="false">
      <c r="A1616" s="55" t="s">
        <v>2815</v>
      </c>
      <c r="B1616" s="55" t="s">
        <v>2816</v>
      </c>
      <c r="C1616" s="55" t="s">
        <v>164</v>
      </c>
      <c r="D1616" s="55" t="s">
        <v>184</v>
      </c>
      <c r="E1616" s="55"/>
      <c r="F1616" s="55"/>
      <c r="G1616" s="56" t="n">
        <v>15</v>
      </c>
      <c r="H1616" s="57" t="n">
        <f aca="false">MAX(0,IF(AND(Parameter!$B$21="Ja",ISNUMBER(Y1616)),Y1616,IF(Parameter!$B$20="Jahresanfang 2025 + Export",BL1616+BK1616,BK1616)))</f>
        <v>100</v>
      </c>
      <c r="I1616" s="57" t="n">
        <f aca="false">H1616*G1616</f>
        <v>1500</v>
      </c>
      <c r="J1616" s="57" t="n">
        <f aca="false">BN1616*Parameter!$B$18</f>
        <v>0</v>
      </c>
      <c r="K1616" s="58"/>
      <c r="L1616" s="59"/>
      <c r="M1616" s="57" t="n">
        <v>0</v>
      </c>
      <c r="N1616" s="57" t="n">
        <v>1</v>
      </c>
      <c r="O1616" s="60" t="n">
        <v>0</v>
      </c>
      <c r="P1616" s="55" t="s">
        <v>168</v>
      </c>
      <c r="Q1616" s="57"/>
      <c r="R1616" s="60" t="n">
        <f aca="false">IF(BT1616=1,0,IFERROR(VLOOKUP(BR1616,'Gebinde-Kategorie'!$A$5:$M$45,13,0)+0,0))</f>
        <v>26</v>
      </c>
      <c r="S1616" s="61"/>
      <c r="T1616" s="62" t="s">
        <v>275</v>
      </c>
      <c r="U1616" s="62"/>
      <c r="V1616" s="62"/>
      <c r="W1616" s="55"/>
      <c r="X1616" s="57"/>
      <c r="Y1616" s="57"/>
      <c r="Z1616" s="55" t="n">
        <f aca="false">IF(A1616="","",IF(AND(Parameter!$B$21="Ja",ISNUMBER(W1616)),W1616,IF(BV1616="2+3",IF(ISNUMBER(SEARCH("grosser Artikel",BO1616)),2,IFERROR(VLOOKUP(BR1616,Parameter!$F$35:$G$64,2,0),2)),IF(OR(BV1616="Nein",BV1616=""),"-",BV1616))))</f>
        <v>3</v>
      </c>
      <c r="AA1616" s="62"/>
      <c r="AB1616" s="63"/>
      <c r="AC1616" s="57" t="n">
        <f aca="false">AR1616</f>
        <v>100</v>
      </c>
      <c r="AD1616" s="57" t="n">
        <f aca="false">MAX(AR1616,H1616)</f>
        <v>100</v>
      </c>
      <c r="AE1616" s="64"/>
      <c r="AF1616" s="57" t="n">
        <f aca="false">IF(LEFT(Cockpit!$C$5,1)="A",H1616,IF(CA1616=1,CB1616,IF(LEFT(Cockpit!$C$5,1)="B",AJ1616,MAX(AJ1616,H1616))))</f>
        <v>100</v>
      </c>
      <c r="AG1616" s="57" t="n">
        <f aca="false">IF(BT1616=1,0,ROUNDUP(AF1616/BS1616,0))</f>
        <v>1</v>
      </c>
      <c r="AH1616" s="59" t="n">
        <f aca="false">IF(CH1616&gt;0,CH1616*MAX(1,AF1616/X1616),IF(BT1616=1,IF(AF1616&lt;=0,0,BW1616*MAX(1,IF(H1616&gt;0,AF1616/H1616,1))),IF(R1616&gt;0,AG1616/R1616,0))/MAX(0.1,N(Parameter!$M$21)))</f>
        <v>0.0384615384615385</v>
      </c>
      <c r="AI1616" s="57" t="n">
        <f aca="false">AF1616*G1616</f>
        <v>1500</v>
      </c>
      <c r="AJ1616" s="57" t="n">
        <f aca="false">ROUNDUP(MAX(J1616/IF(BZ1616&gt;0,BZ1616,MAX(0.1,N(Cockpit!$C$6))),CC1616)/BS1616,0)*BS1616</f>
        <v>100</v>
      </c>
      <c r="AK1616" s="58" t="n">
        <f aca="false">IF(AH1616&gt;0,J1616/AH1616,-1)</f>
        <v>0</v>
      </c>
      <c r="AL1616" s="58" t="n">
        <f aca="false">IF(AND(OR(BY1616="L1",BY1616="L23"),AH1616&gt;0),SUMIFS($AH$7:$AH$1843,$BY$7:$BY$1843,BY1616,$AK$7:$AK$1843,"&gt;"&amp;AK1616)+SUMIFS($AH$7:$AH$1843,$BY$7:$BY$1843,BY1616,$AK$7:$AK$1843,AK1616,$BQ$7:$BQ$1843,"&lt;="&amp;BQ1616),"")</f>
        <v>87.0140197966285</v>
      </c>
      <c r="AM1616" s="65" t="n">
        <f aca="false">IF(AL1616="",0,MAX(0,MIN(1,(IF(BY1616="L1",Parameter!$E$5,Parameter!$E$6+Parameter!$E$7)-(AL1616-AH1616))/AH1616)))</f>
        <v>1</v>
      </c>
      <c r="AN1616" s="57" t="n">
        <f aca="false">IF(LEFT(Cockpit!$I$5,1)="A",H1616,IF(CA1616=1,CB1616,IF(LEFT(Cockpit!$I$5,1)="B",AR1616,MAX(AR1616,H1616))))</f>
        <v>100</v>
      </c>
      <c r="AO1616" s="57" t="n">
        <f aca="false">IF(BT1616=1,0,ROUNDUP(AN1616/BS1616,0))</f>
        <v>1</v>
      </c>
      <c r="AP1616" s="59" t="n">
        <f aca="false">IF(CH1616&gt;0,CH1616*MAX(1,AN1616/X1616),IF(BT1616=1,IF(AN1616&lt;=0,0,BW1616*MAX(1,IF(H1616&gt;0,AN1616/H1616,1))),IF(R1616&gt;0,AO1616/R1616,0))/MAX(0.1,N(Parameter!$M$21)))</f>
        <v>0.0384615384615385</v>
      </c>
      <c r="AQ1616" s="57" t="n">
        <f aca="false">AN1616*G1616</f>
        <v>1500</v>
      </c>
      <c r="AR1616" s="57" t="n">
        <f aca="false">ROUNDUP(MAX(J1616/IF(BZ1616&gt;0,BZ1616,MAX(0.1,N(Cockpit!$I$6))),CC1616)/BS1616,0)*BS1616</f>
        <v>100</v>
      </c>
      <c r="AS1616" s="58" t="n">
        <f aca="false">IF(AP1616&gt;0,J1616/AP1616,-1)</f>
        <v>0</v>
      </c>
      <c r="AT1616" s="58" t="n">
        <f aca="false">IF(AND(OR(BY1616="L1",BY1616="L23"),AP1616&gt;0),SUMIFS($AP$7:$AP$1843,$BY$7:$BY$1843,BY1616,$AS$7:$AS$1843,"&gt;"&amp;AS1616)+SUMIFS($AP$7:$AP$1843,$BY$7:$BY$1843,BY1616,$AS$7:$AS$1843,AS1616,$BQ$7:$BQ$1843,"&lt;="&amp;BQ1616),"")</f>
        <v>132.266156548765</v>
      </c>
      <c r="AU1616" s="65" t="n">
        <f aca="false">IF(AT1616="",0,MAX(0,MIN(1,(IF(BY1616="L1",Parameter!$E$5,Parameter!$E$6+Parameter!$E$7)-(AT1616-AP1616))/AP1616)))</f>
        <v>0</v>
      </c>
      <c r="AV1616" s="57" t="n">
        <f aca="false">IF(LEFT(Cockpit!$O$5,1)="A",H1616,IF(CA1616=1,CB1616,IF(LEFT(Cockpit!$O$5,1)="B",AZ1616,MAX(AZ1616,H1616))))</f>
        <v>100</v>
      </c>
      <c r="AW1616" s="57" t="n">
        <f aca="false">IF(BT1616=1,0,ROUNDUP(AV1616/BS1616,0))</f>
        <v>1</v>
      </c>
      <c r="AX1616" s="59" t="n">
        <f aca="false">IF(CH1616&gt;0,CH1616*MAX(1,AV1616/X1616),IF(BT1616=1,IF(AV1616&lt;=0,0,BW1616*MAX(1,IF(H1616&gt;0,AV1616/H1616,1))),IF(R1616&gt;0,AW1616/R1616,0))/MAX(0.1,N(Parameter!$M$21)))</f>
        <v>0.0384615384615385</v>
      </c>
      <c r="AY1616" s="57" t="n">
        <f aca="false">AV1616*G1616</f>
        <v>1500</v>
      </c>
      <c r="AZ1616" s="57" t="n">
        <f aca="false">ROUNDUP(MAX(J1616/IF(BZ1616&gt;0,BZ1616,MAX(0.1,N(Cockpit!$O$6))),CC1616)/BS1616,0)*BS1616</f>
        <v>100</v>
      </c>
      <c r="BA1616" s="58" t="n">
        <f aca="false">IF(AX1616&gt;0,J1616/AX1616,-1)</f>
        <v>0</v>
      </c>
      <c r="BB1616" s="58" t="n">
        <f aca="false">IF(AND(OR(BY1616="L1",BY1616="L23"),AX1616&gt;0),SUMIFS($AX$7:$AX$1843,$BY$7:$BY$1843,BY1616,$BA$7:$BA$1843,"&gt;"&amp;BA1616)+SUMIFS($AX$7:$AX$1843,$BY$7:$BY$1843,BY1616,$BA$7:$BA$1843,BA1616,$BQ$7:$BQ$1843,"&lt;="&amp;BQ1616),"")</f>
        <v>123.095993378602</v>
      </c>
      <c r="BC1616" s="65" t="n">
        <f aca="false">IF(BB1616="",0,MAX(0,MIN(1,(IF(BY1616="L1",Parameter!$E$5,Parameter!$E$6+Parameter!$E$7)-(BB1616-AX1616))/AX1616)))</f>
        <v>0</v>
      </c>
      <c r="BD1616" s="55" t="str">
        <f aca="false">IF(AH1616&lt;=0,"",IF(BY1616="Aussen","Aussenlager",IF(BY1616="-","Nicht im Lift",IF(AM1616&gt;=1,"Lift",IF(AM1616&lt;=0,"Aussenlager","teilweise")))))</f>
        <v>Lift</v>
      </c>
      <c r="BE1616" s="55" t="str">
        <f aca="false">IF(AP1616&lt;=0,"",IF(BY1616="Aussen","Aussenlager",IF(BY1616="-","Nicht im Lift",IF(AU1616&gt;=1,"Lift",IF(AU1616&lt;=0,"Aussenlager","teilweise")))))</f>
        <v>Aussenlager</v>
      </c>
      <c r="BF1616" s="55" t="str">
        <f aca="false">IF(AX1616&lt;=0,"",IF(BY1616="Aussen","Aussenlager",IF(BY1616="-","Nicht im Lift",IF(BC1616&gt;=1,"Lift",IF(BC1616&lt;=0,"Aussenlager","teilweise")))))</f>
        <v>Aussenlager</v>
      </c>
      <c r="BG1616" s="55" t="str">
        <f aca="false">IF(A1616="","",IF(BP1616=1,"Neu; ","")&amp;IF(AND(BP1616=0,BK1616&lt;0),"negativer Bestand (Export "&amp;BK1616&amp;"); ","")&amp;IF(J1616&lt;=0,"Kein Verbrauch; ","")&amp;IF(CH1616&gt;0,"Lift "&amp;W1616&amp;" lt. Liftbericht (Fach "&amp;X1616&amp;" Stk); ",IF(BU1616=1,"Gebinde geschätzt ("&amp;T1616&amp;"); ",IF(BT1616=1,"Lose – Tablare geschätzt; ","")))&amp;IF(H1616&gt;AR1616,"Überbestand "&amp;ROUND(H1616-AR1616,0)&amp;" Stk / CHF "&amp;ROUND((H1616-AR1616)*G1616,0)&amp;"; ","")&amp;IF(AND(CA1616=1,CB1616&lt;CC1616),"MAX &lt; MB+LG; ","")&amp;IF(AND(CG1616&gt;0,CF1616*10&gt;CG1616),"zu hoch für Tablar; ","")&amp;IF(AND(BP1616=0,OR(CA1616=1,AA1616&lt;&gt;"",U1616&lt;&gt;"",V1616&lt;&gt;"",AB1616&lt;&gt;"")),"manuell übersteuert; ","")&amp;IF(AND(BT1616=0,R1616=0),"Gebinde unbekannt / Stellmass fehlt; ","")&amp;IF(AND(BT1616=0,N(V1616)&lt;=0,N(Q1616)&lt;=0),"Menge pro Gebinde fehlt (Ist = 1 Gebinde); ","")&amp;BO1616)</f>
        <v>Kein Verbrauch; Gebinde geschätzt (Klein); Menge pro Gebinde fehlt (Ist = 1 Gebinde); nur im Artikelstamm (Bestand 23.06.2026)</v>
      </c>
      <c r="BH1616" s="55"/>
      <c r="BI1616" s="55"/>
      <c r="BJ1616" s="62"/>
      <c r="BK1616" s="57" t="n">
        <v>100</v>
      </c>
      <c r="BL1616" s="57" t="n">
        <v>0</v>
      </c>
      <c r="BM1616" s="56" t="n">
        <v>0</v>
      </c>
      <c r="BN1616" s="57" t="n">
        <v>0</v>
      </c>
      <c r="BO1616" s="55" t="s">
        <v>2575</v>
      </c>
      <c r="BP1616" s="60" t="n">
        <v>0</v>
      </c>
      <c r="BQ1616" s="60" t="n">
        <v>1616</v>
      </c>
      <c r="BR1616" s="55" t="str">
        <f aca="false">IF(U1616&lt;&gt;"",UPPER(TRIM(U1616)),IF(BU1616=1,UPPER(VLOOKUP(T1616,Parameter!$I$27:$K$29,2,0)),IF(P1616="","LOSE",P1616)))</f>
        <v>S51</v>
      </c>
      <c r="BS1616" s="57" t="n">
        <f aca="false">IF(BR1616="LOSE",1,IF(N(V1616)&gt;0,V1616,IF(BU1616=1,MAX(1,N(VLOOKUP(T1616,Parameter!$I$27:$K$29,3,0)),H1616,N(N1616)),IF(N(Q1616)&gt;0,Q1616,MAX(1,H1616)))))</f>
        <v>100</v>
      </c>
      <c r="BT1616" s="60" t="n">
        <f aca="false">IF(BR1616="LOSE",1,0)</f>
        <v>0</v>
      </c>
      <c r="BU1616" s="60" t="n">
        <f aca="false">IF(AND(U1616="",OR(P1616="",P1616="LOSE"),T1616&lt;&gt;"",N(S1616)&lt;=0,ISNUMBER(MATCH(T1616,Parameter!$I$27:$I$29,0))),1,0)</f>
        <v>1</v>
      </c>
      <c r="BV1616" s="55" t="str">
        <f aca="false">IF(AND(Parameter!$B$19="Ja",E1616&lt;&gt;"",ISNUMBER(MATCH(E1616,Parameter!$I$35:$I$52,0))),VLOOKUP(E1616,Parameter!$I$35:$J$52,2,0),IFERROR(VLOOKUP(D1616,Parameter!$A$35:$C$64,2,0),"Nein"))</f>
        <v>2+3</v>
      </c>
      <c r="BW1616" s="59" t="n">
        <f aca="false">IF(BT1616=0,0,IF(N(S1616)&gt;0,S1616,IFERROR(VLOOKUP(D1616,Parameter!$A$35:$C$64,3,0)+0,0)))</f>
        <v>0</v>
      </c>
      <c r="BX1616" s="55" t="n">
        <f aca="false">IF(AA1616&lt;&gt;"",AA1616,Z1616)</f>
        <v>3</v>
      </c>
      <c r="BY1616" s="55" t="str">
        <f aca="false">IF(BX1616=1,"L1",IF(OR(BX1616=2,BX1616=3),"L23",IF(BX1616="Aussen","Aussen","-")))</f>
        <v>L23</v>
      </c>
      <c r="BZ1616" s="66" t="n">
        <f aca="false">IF(N(AB1616)&gt;0,AB1616,0)</f>
        <v>0</v>
      </c>
      <c r="CA1616" s="60" t="n">
        <f aca="false">IF(ISNUMBER(AE1616),1,0)</f>
        <v>0</v>
      </c>
      <c r="CB1616" s="57" t="n">
        <f aca="false">N(AE1616)</f>
        <v>0</v>
      </c>
      <c r="CC1616" s="57" t="n">
        <f aca="false">N(M1616)+N(N1616)</f>
        <v>1</v>
      </c>
      <c r="CD1616" s="57" t="n">
        <f aca="false">ROUNDUP(H1616/BS1616,0)</f>
        <v>1</v>
      </c>
      <c r="CE1616" s="57" t="n">
        <f aca="false">ROUNDUP(CB1616/BS1616,0)</f>
        <v>0</v>
      </c>
      <c r="CF1616" s="60" t="n">
        <f aca="false">IF(BT1616=1,0,IFERROR(VLOOKUP(BR1616,'Gebinde-Kategorie'!$A$5:$M$45,5,0)+0,0))</f>
        <v>11</v>
      </c>
      <c r="CG1616" s="60" t="n">
        <f aca="false">IFERROR(IF(OR(BX1616=1,BX1616=2,BX1616=3),N(INDEX(Parameter!$I$5:$I$7,BX1616)),0),0)</f>
        <v>0</v>
      </c>
      <c r="CH1616" s="59" t="n">
        <f aca="false">IF(AND(Parameter!$B$21="Ja",ISNUMBER(W1616),N(X1616)&gt;0),IFERROR(N(INDEX(Parameter!$L$5:$L$7,W1616))*INDEX(Parameter!$E$5:$E$7,W1616)*X1616/SUMIFS($X$7:$X$1843,$W$7:$W$1843,W1616),0),0)</f>
        <v>0</v>
      </c>
    </row>
    <row r="1617" customFormat="false" ht="15" hidden="false" customHeight="false" outlineLevel="0" collapsed="false">
      <c r="A1617" s="55" t="s">
        <v>2817</v>
      </c>
      <c r="B1617" s="55" t="s">
        <v>2818</v>
      </c>
      <c r="C1617" s="55" t="s">
        <v>164</v>
      </c>
      <c r="D1617" s="55" t="s">
        <v>184</v>
      </c>
      <c r="E1617" s="55"/>
      <c r="F1617" s="55"/>
      <c r="G1617" s="56" t="n">
        <v>28.4</v>
      </c>
      <c r="H1617" s="57" t="n">
        <f aca="false">MAX(0,IF(AND(Parameter!$B$21="Ja",ISNUMBER(Y1617)),Y1617,IF(Parameter!$B$20="Jahresanfang 2025 + Export",BL1617+BK1617,BK1617)))</f>
        <v>1</v>
      </c>
      <c r="I1617" s="57" t="n">
        <f aca="false">H1617*G1617</f>
        <v>28.4</v>
      </c>
      <c r="J1617" s="57" t="n">
        <f aca="false">BN1617*Parameter!$B$18</f>
        <v>0</v>
      </c>
      <c r="K1617" s="58"/>
      <c r="L1617" s="59"/>
      <c r="M1617" s="57" t="n">
        <v>0</v>
      </c>
      <c r="N1617" s="57" t="n">
        <v>5</v>
      </c>
      <c r="O1617" s="60" t="n">
        <v>14</v>
      </c>
      <c r="P1617" s="55" t="s">
        <v>168</v>
      </c>
      <c r="Q1617" s="57"/>
      <c r="R1617" s="60" t="n">
        <f aca="false">IF(BT1617=1,0,IFERROR(VLOOKUP(BR1617,'Gebinde-Kategorie'!$A$5:$M$45,13,0)+0,0))</f>
        <v>26</v>
      </c>
      <c r="S1617" s="61"/>
      <c r="T1617" s="62" t="s">
        <v>275</v>
      </c>
      <c r="U1617" s="62"/>
      <c r="V1617" s="62"/>
      <c r="W1617" s="55"/>
      <c r="X1617" s="57"/>
      <c r="Y1617" s="57"/>
      <c r="Z1617" s="55" t="n">
        <f aca="false">IF(A1617="","",IF(AND(Parameter!$B$21="Ja",ISNUMBER(W1617)),W1617,IF(BV1617="2+3",IF(ISNUMBER(SEARCH("grosser Artikel",BO1617)),2,IFERROR(VLOOKUP(BR1617,Parameter!$F$35:$G$64,2,0),2)),IF(OR(BV1617="Nein",BV1617=""),"-",BV1617))))</f>
        <v>3</v>
      </c>
      <c r="AA1617" s="62"/>
      <c r="AB1617" s="63"/>
      <c r="AC1617" s="57" t="n">
        <f aca="false">AR1617</f>
        <v>20</v>
      </c>
      <c r="AD1617" s="57" t="n">
        <f aca="false">MAX(AR1617,H1617)</f>
        <v>20</v>
      </c>
      <c r="AE1617" s="64"/>
      <c r="AF1617" s="57" t="n">
        <f aca="false">IF(LEFT(Cockpit!$C$5,1)="A",H1617,IF(CA1617=1,CB1617,IF(LEFT(Cockpit!$C$5,1)="B",AJ1617,MAX(AJ1617,H1617))))</f>
        <v>1</v>
      </c>
      <c r="AG1617" s="57" t="n">
        <f aca="false">IF(BT1617=1,0,ROUNDUP(AF1617/BS1617,0))</f>
        <v>1</v>
      </c>
      <c r="AH1617" s="59" t="n">
        <f aca="false">IF(CH1617&gt;0,CH1617*MAX(1,AF1617/X1617),IF(BT1617=1,IF(AF1617&lt;=0,0,BW1617*MAX(1,IF(H1617&gt;0,AF1617/H1617,1))),IF(R1617&gt;0,AG1617/R1617,0))/MAX(0.1,N(Parameter!$M$21)))</f>
        <v>0.0384615384615385</v>
      </c>
      <c r="AI1617" s="57" t="n">
        <f aca="false">AF1617*G1617</f>
        <v>28.4</v>
      </c>
      <c r="AJ1617" s="57" t="n">
        <f aca="false">ROUNDUP(MAX(J1617/IF(BZ1617&gt;0,BZ1617,MAX(0.1,N(Cockpit!$C$6))),CC1617)/BS1617,0)*BS1617</f>
        <v>20</v>
      </c>
      <c r="AK1617" s="58" t="n">
        <f aca="false">IF(AH1617&gt;0,J1617/AH1617,-1)</f>
        <v>0</v>
      </c>
      <c r="AL1617" s="58" t="n">
        <f aca="false">IF(AND(OR(BY1617="L1",BY1617="L23"),AH1617&gt;0),SUMIFS($AH$7:$AH$1843,$BY$7:$BY$1843,BY1617,$AK$7:$AK$1843,"&gt;"&amp;AK1617)+SUMIFS($AH$7:$AH$1843,$BY$7:$BY$1843,BY1617,$AK$7:$AK$1843,AK1617,$BQ$7:$BQ$1843,"&lt;="&amp;BQ1617),"")</f>
        <v>87.05248133509</v>
      </c>
      <c r="AM1617" s="65" t="n">
        <f aca="false">IF(AL1617="",0,MAX(0,MIN(1,(IF(BY1617="L1",Parameter!$E$5,Parameter!$E$6+Parameter!$E$7)-(AL1617-AH1617))/AH1617)))</f>
        <v>1</v>
      </c>
      <c r="AN1617" s="57" t="n">
        <f aca="false">IF(LEFT(Cockpit!$I$5,1)="A",H1617,IF(CA1617=1,CB1617,IF(LEFT(Cockpit!$I$5,1)="B",AR1617,MAX(AR1617,H1617))))</f>
        <v>20</v>
      </c>
      <c r="AO1617" s="57" t="n">
        <f aca="false">IF(BT1617=1,0,ROUNDUP(AN1617/BS1617,0))</f>
        <v>1</v>
      </c>
      <c r="AP1617" s="59" t="n">
        <f aca="false">IF(CH1617&gt;0,CH1617*MAX(1,AN1617/X1617),IF(BT1617=1,IF(AN1617&lt;=0,0,BW1617*MAX(1,IF(H1617&gt;0,AN1617/H1617,1))),IF(R1617&gt;0,AO1617/R1617,0))/MAX(0.1,N(Parameter!$M$21)))</f>
        <v>0.0384615384615385</v>
      </c>
      <c r="AQ1617" s="57" t="n">
        <f aca="false">AN1617*G1617</f>
        <v>568</v>
      </c>
      <c r="AR1617" s="57" t="n">
        <f aca="false">ROUNDUP(MAX(J1617/IF(BZ1617&gt;0,BZ1617,MAX(0.1,N(Cockpit!$I$6))),CC1617)/BS1617,0)*BS1617</f>
        <v>20</v>
      </c>
      <c r="AS1617" s="58" t="n">
        <f aca="false">IF(AP1617&gt;0,J1617/AP1617,-1)</f>
        <v>0</v>
      </c>
      <c r="AT1617" s="58" t="n">
        <f aca="false">IF(AND(OR(BY1617="L1",BY1617="L23"),AP1617&gt;0),SUMIFS($AP$7:$AP$1843,$BY$7:$BY$1843,BY1617,$AS$7:$AS$1843,"&gt;"&amp;AS1617)+SUMIFS($AP$7:$AP$1843,$BY$7:$BY$1843,BY1617,$AS$7:$AS$1843,AS1617,$BQ$7:$BQ$1843,"&lt;="&amp;BQ1617),"")</f>
        <v>132.304618087227</v>
      </c>
      <c r="AU1617" s="65" t="n">
        <f aca="false">IF(AT1617="",0,MAX(0,MIN(1,(IF(BY1617="L1",Parameter!$E$5,Parameter!$E$6+Parameter!$E$7)-(AT1617-AP1617))/AP1617)))</f>
        <v>0</v>
      </c>
      <c r="AV1617" s="57" t="n">
        <f aca="false">IF(LEFT(Cockpit!$O$5,1)="A",H1617,IF(CA1617=1,CB1617,IF(LEFT(Cockpit!$O$5,1)="B",AZ1617,MAX(AZ1617,H1617))))</f>
        <v>20</v>
      </c>
      <c r="AW1617" s="57" t="n">
        <f aca="false">IF(BT1617=1,0,ROUNDUP(AV1617/BS1617,0))</f>
        <v>1</v>
      </c>
      <c r="AX1617" s="59" t="n">
        <f aca="false">IF(CH1617&gt;0,CH1617*MAX(1,AV1617/X1617),IF(BT1617=1,IF(AV1617&lt;=0,0,BW1617*MAX(1,IF(H1617&gt;0,AV1617/H1617,1))),IF(R1617&gt;0,AW1617/R1617,0))/MAX(0.1,N(Parameter!$M$21)))</f>
        <v>0.0384615384615385</v>
      </c>
      <c r="AY1617" s="57" t="n">
        <f aca="false">AV1617*G1617</f>
        <v>568</v>
      </c>
      <c r="AZ1617" s="57" t="n">
        <f aca="false">ROUNDUP(MAX(J1617/IF(BZ1617&gt;0,BZ1617,MAX(0.1,N(Cockpit!$O$6))),CC1617)/BS1617,0)*BS1617</f>
        <v>20</v>
      </c>
      <c r="BA1617" s="58" t="n">
        <f aca="false">IF(AX1617&gt;0,J1617/AX1617,-1)</f>
        <v>0</v>
      </c>
      <c r="BB1617" s="58" t="n">
        <f aca="false">IF(AND(OR(BY1617="L1",BY1617="L23"),AX1617&gt;0),SUMIFS($AX$7:$AX$1843,$BY$7:$BY$1843,BY1617,$BA$7:$BA$1843,"&gt;"&amp;BA1617)+SUMIFS($AX$7:$AX$1843,$BY$7:$BY$1843,BY1617,$BA$7:$BA$1843,BA1617,$BQ$7:$BQ$1843,"&lt;="&amp;BQ1617),"")</f>
        <v>123.134454917064</v>
      </c>
      <c r="BC1617" s="65" t="n">
        <f aca="false">IF(BB1617="",0,MAX(0,MIN(1,(IF(BY1617="L1",Parameter!$E$5,Parameter!$E$6+Parameter!$E$7)-(BB1617-AX1617))/AX1617)))</f>
        <v>0</v>
      </c>
      <c r="BD1617" s="55" t="str">
        <f aca="false">IF(AH1617&lt;=0,"",IF(BY1617="Aussen","Aussenlager",IF(BY1617="-","Nicht im Lift",IF(AM1617&gt;=1,"Lift",IF(AM1617&lt;=0,"Aussenlager","teilweise")))))</f>
        <v>Lift</v>
      </c>
      <c r="BE1617" s="55" t="str">
        <f aca="false">IF(AP1617&lt;=0,"",IF(BY1617="Aussen","Aussenlager",IF(BY1617="-","Nicht im Lift",IF(AU1617&gt;=1,"Lift",IF(AU1617&lt;=0,"Aussenlager","teilweise")))))</f>
        <v>Aussenlager</v>
      </c>
      <c r="BF1617" s="55" t="str">
        <f aca="false">IF(AX1617&lt;=0,"",IF(BY1617="Aussen","Aussenlager",IF(BY1617="-","Nicht im Lift",IF(BC1617&gt;=1,"Lift",IF(BC1617&lt;=0,"Aussenlager","teilweise")))))</f>
        <v>Aussenlager</v>
      </c>
      <c r="BG1617" s="55" t="str">
        <f aca="false">IF(A1617="","",IF(BP1617=1,"Neu; ","")&amp;IF(AND(BP1617=0,BK1617&lt;0),"negativer Bestand (Export "&amp;BK1617&amp;"); ","")&amp;IF(J1617&lt;=0,"Kein Verbrauch; ","")&amp;IF(CH1617&gt;0,"Lift "&amp;W1617&amp;" lt. Liftbericht (Fach "&amp;X1617&amp;" Stk); ",IF(BU1617=1,"Gebinde geschätzt ("&amp;T1617&amp;"); ",IF(BT1617=1,"Lose – Tablare geschätzt; ","")))&amp;IF(H1617&gt;AR1617,"Überbestand "&amp;ROUND(H1617-AR1617,0)&amp;" Stk / CHF "&amp;ROUND((H1617-AR1617)*G1617,0)&amp;"; ","")&amp;IF(AND(CA1617=1,CB1617&lt;CC1617),"MAX &lt; MB+LG; ","")&amp;IF(AND(CG1617&gt;0,CF1617*10&gt;CG1617),"zu hoch für Tablar; ","")&amp;IF(AND(BP1617=0,OR(CA1617=1,AA1617&lt;&gt;"",U1617&lt;&gt;"",V1617&lt;&gt;"",AB1617&lt;&gt;"")),"manuell übersteuert; ","")&amp;IF(AND(BT1617=0,R1617=0),"Gebinde unbekannt / Stellmass fehlt; ","")&amp;IF(AND(BT1617=0,N(V1617)&lt;=0,N(Q1617)&lt;=0),"Menge pro Gebinde fehlt (Ist = 1 Gebinde); ","")&amp;BO1617)</f>
        <v>Kein Verbrauch; Gebinde geschätzt (Klein); Menge pro Gebinde fehlt (Ist = 1 Gebinde); nur im Artikelstamm (Bestand 23.06.2026)</v>
      </c>
      <c r="BH1617" s="55"/>
      <c r="BI1617" s="55"/>
      <c r="BJ1617" s="62"/>
      <c r="BK1617" s="57" t="n">
        <v>1</v>
      </c>
      <c r="BL1617" s="57" t="n">
        <v>0</v>
      </c>
      <c r="BM1617" s="56" t="n">
        <v>0</v>
      </c>
      <c r="BN1617" s="57" t="n">
        <v>0</v>
      </c>
      <c r="BO1617" s="55" t="s">
        <v>2575</v>
      </c>
      <c r="BP1617" s="60" t="n">
        <v>0</v>
      </c>
      <c r="BQ1617" s="60" t="n">
        <v>1617</v>
      </c>
      <c r="BR1617" s="55" t="str">
        <f aca="false">IF(U1617&lt;&gt;"",UPPER(TRIM(U1617)),IF(BU1617=1,UPPER(VLOOKUP(T1617,Parameter!$I$27:$K$29,2,0)),IF(P1617="","LOSE",P1617)))</f>
        <v>S51</v>
      </c>
      <c r="BS1617" s="57" t="n">
        <f aca="false">IF(BR1617="LOSE",1,IF(N(V1617)&gt;0,V1617,IF(BU1617=1,MAX(1,N(VLOOKUP(T1617,Parameter!$I$27:$K$29,3,0)),H1617,N(N1617)),IF(N(Q1617)&gt;0,Q1617,MAX(1,H1617)))))</f>
        <v>20</v>
      </c>
      <c r="BT1617" s="60" t="n">
        <f aca="false">IF(BR1617="LOSE",1,0)</f>
        <v>0</v>
      </c>
      <c r="BU1617" s="60" t="n">
        <f aca="false">IF(AND(U1617="",OR(P1617="",P1617="LOSE"),T1617&lt;&gt;"",N(S1617)&lt;=0,ISNUMBER(MATCH(T1617,Parameter!$I$27:$I$29,0))),1,0)</f>
        <v>1</v>
      </c>
      <c r="BV1617" s="55" t="str">
        <f aca="false">IF(AND(Parameter!$B$19="Ja",E1617&lt;&gt;"",ISNUMBER(MATCH(E1617,Parameter!$I$35:$I$52,0))),VLOOKUP(E1617,Parameter!$I$35:$J$52,2,0),IFERROR(VLOOKUP(D1617,Parameter!$A$35:$C$64,2,0),"Nein"))</f>
        <v>2+3</v>
      </c>
      <c r="BW1617" s="59" t="n">
        <f aca="false">IF(BT1617=0,0,IF(N(S1617)&gt;0,S1617,IFERROR(VLOOKUP(D1617,Parameter!$A$35:$C$64,3,0)+0,0)))</f>
        <v>0</v>
      </c>
      <c r="BX1617" s="55" t="n">
        <f aca="false">IF(AA1617&lt;&gt;"",AA1617,Z1617)</f>
        <v>3</v>
      </c>
      <c r="BY1617" s="55" t="str">
        <f aca="false">IF(BX1617=1,"L1",IF(OR(BX1617=2,BX1617=3),"L23",IF(BX1617="Aussen","Aussen","-")))</f>
        <v>L23</v>
      </c>
      <c r="BZ1617" s="66" t="n">
        <f aca="false">IF(N(AB1617)&gt;0,AB1617,0)</f>
        <v>0</v>
      </c>
      <c r="CA1617" s="60" t="n">
        <f aca="false">IF(ISNUMBER(AE1617),1,0)</f>
        <v>0</v>
      </c>
      <c r="CB1617" s="57" t="n">
        <f aca="false">N(AE1617)</f>
        <v>0</v>
      </c>
      <c r="CC1617" s="57" t="n">
        <f aca="false">N(M1617)+N(N1617)</f>
        <v>5</v>
      </c>
      <c r="CD1617" s="57" t="n">
        <f aca="false">ROUNDUP(H1617/BS1617,0)</f>
        <v>1</v>
      </c>
      <c r="CE1617" s="57" t="n">
        <f aca="false">ROUNDUP(CB1617/BS1617,0)</f>
        <v>0</v>
      </c>
      <c r="CF1617" s="60" t="n">
        <f aca="false">IF(BT1617=1,0,IFERROR(VLOOKUP(BR1617,'Gebinde-Kategorie'!$A$5:$M$45,5,0)+0,0))</f>
        <v>11</v>
      </c>
      <c r="CG1617" s="60" t="n">
        <f aca="false">IFERROR(IF(OR(BX1617=1,BX1617=2,BX1617=3),N(INDEX(Parameter!$I$5:$I$7,BX1617)),0),0)</f>
        <v>0</v>
      </c>
      <c r="CH1617" s="59" t="n">
        <f aca="false">IF(AND(Parameter!$B$21="Ja",ISNUMBER(W1617),N(X1617)&gt;0),IFERROR(N(INDEX(Parameter!$L$5:$L$7,W1617))*INDEX(Parameter!$E$5:$E$7,W1617)*X1617/SUMIFS($X$7:$X$1843,$W$7:$W$1843,W1617),0),0)</f>
        <v>0</v>
      </c>
    </row>
    <row r="1618" customFormat="false" ht="15" hidden="false" customHeight="false" outlineLevel="0" collapsed="false">
      <c r="A1618" s="55" t="s">
        <v>2819</v>
      </c>
      <c r="B1618" s="55" t="s">
        <v>2816</v>
      </c>
      <c r="C1618" s="55" t="s">
        <v>164</v>
      </c>
      <c r="D1618" s="55" t="s">
        <v>184</v>
      </c>
      <c r="E1618" s="55"/>
      <c r="F1618" s="55"/>
      <c r="G1618" s="56" t="n">
        <v>15</v>
      </c>
      <c r="H1618" s="57" t="n">
        <f aca="false">MAX(0,IF(AND(Parameter!$B$21="Ja",ISNUMBER(Y1618)),Y1618,IF(Parameter!$B$20="Jahresanfang 2025 + Export",BL1618+BK1618,BK1618)))</f>
        <v>32</v>
      </c>
      <c r="I1618" s="57" t="n">
        <f aca="false">H1618*G1618</f>
        <v>480</v>
      </c>
      <c r="J1618" s="57" t="n">
        <f aca="false">BN1618*Parameter!$B$18</f>
        <v>0</v>
      </c>
      <c r="K1618" s="58"/>
      <c r="L1618" s="59"/>
      <c r="M1618" s="57" t="n">
        <v>0</v>
      </c>
      <c r="N1618" s="57" t="n">
        <v>1</v>
      </c>
      <c r="O1618" s="60" t="n">
        <v>0</v>
      </c>
      <c r="P1618" s="55" t="s">
        <v>168</v>
      </c>
      <c r="Q1618" s="57"/>
      <c r="R1618" s="60" t="n">
        <f aca="false">IF(BT1618=1,0,IFERROR(VLOOKUP(BR1618,'Gebinde-Kategorie'!$A$5:$M$45,13,0)+0,0))</f>
        <v>26</v>
      </c>
      <c r="S1618" s="61"/>
      <c r="T1618" s="62" t="s">
        <v>275</v>
      </c>
      <c r="U1618" s="62"/>
      <c r="V1618" s="62"/>
      <c r="W1618" s="55"/>
      <c r="X1618" s="57"/>
      <c r="Y1618" s="57"/>
      <c r="Z1618" s="55" t="n">
        <f aca="false">IF(A1618="","",IF(AND(Parameter!$B$21="Ja",ISNUMBER(W1618)),W1618,IF(BV1618="2+3",IF(ISNUMBER(SEARCH("grosser Artikel",BO1618)),2,IFERROR(VLOOKUP(BR1618,Parameter!$F$35:$G$64,2,0),2)),IF(OR(BV1618="Nein",BV1618=""),"-",BV1618))))</f>
        <v>3</v>
      </c>
      <c r="AA1618" s="62"/>
      <c r="AB1618" s="63"/>
      <c r="AC1618" s="57" t="n">
        <f aca="false">AR1618</f>
        <v>32</v>
      </c>
      <c r="AD1618" s="57" t="n">
        <f aca="false">MAX(AR1618,H1618)</f>
        <v>32</v>
      </c>
      <c r="AE1618" s="64"/>
      <c r="AF1618" s="57" t="n">
        <f aca="false">IF(LEFT(Cockpit!$C$5,1)="A",H1618,IF(CA1618=1,CB1618,IF(LEFT(Cockpit!$C$5,1)="B",AJ1618,MAX(AJ1618,H1618))))</f>
        <v>32</v>
      </c>
      <c r="AG1618" s="57" t="n">
        <f aca="false">IF(BT1618=1,0,ROUNDUP(AF1618/BS1618,0))</f>
        <v>1</v>
      </c>
      <c r="AH1618" s="59" t="n">
        <f aca="false">IF(CH1618&gt;0,CH1618*MAX(1,AF1618/X1618),IF(BT1618=1,IF(AF1618&lt;=0,0,BW1618*MAX(1,IF(H1618&gt;0,AF1618/H1618,1))),IF(R1618&gt;0,AG1618/R1618,0))/MAX(0.1,N(Parameter!$M$21)))</f>
        <v>0.0384615384615385</v>
      </c>
      <c r="AI1618" s="57" t="n">
        <f aca="false">AF1618*G1618</f>
        <v>480</v>
      </c>
      <c r="AJ1618" s="57" t="n">
        <f aca="false">ROUNDUP(MAX(J1618/IF(BZ1618&gt;0,BZ1618,MAX(0.1,N(Cockpit!$C$6))),CC1618)/BS1618,0)*BS1618</f>
        <v>32</v>
      </c>
      <c r="AK1618" s="58" t="n">
        <f aca="false">IF(AH1618&gt;0,J1618/AH1618,-1)</f>
        <v>0</v>
      </c>
      <c r="AL1618" s="58" t="n">
        <f aca="false">IF(AND(OR(BY1618="L1",BY1618="L23"),AH1618&gt;0),SUMIFS($AH$7:$AH$1843,$BY$7:$BY$1843,BY1618,$AK$7:$AK$1843,"&gt;"&amp;AK1618)+SUMIFS($AH$7:$AH$1843,$BY$7:$BY$1843,BY1618,$AK$7:$AK$1843,AK1618,$BQ$7:$BQ$1843,"&lt;="&amp;BQ1618),"")</f>
        <v>87.0909428735516</v>
      </c>
      <c r="AM1618" s="65" t="n">
        <f aca="false">IF(AL1618="",0,MAX(0,MIN(1,(IF(BY1618="L1",Parameter!$E$5,Parameter!$E$6+Parameter!$E$7)-(AL1618-AH1618))/AH1618)))</f>
        <v>1</v>
      </c>
      <c r="AN1618" s="57" t="n">
        <f aca="false">IF(LEFT(Cockpit!$I$5,1)="A",H1618,IF(CA1618=1,CB1618,IF(LEFT(Cockpit!$I$5,1)="B",AR1618,MAX(AR1618,H1618))))</f>
        <v>32</v>
      </c>
      <c r="AO1618" s="57" t="n">
        <f aca="false">IF(BT1618=1,0,ROUNDUP(AN1618/BS1618,0))</f>
        <v>1</v>
      </c>
      <c r="AP1618" s="59" t="n">
        <f aca="false">IF(CH1618&gt;0,CH1618*MAX(1,AN1618/X1618),IF(BT1618=1,IF(AN1618&lt;=0,0,BW1618*MAX(1,IF(H1618&gt;0,AN1618/H1618,1))),IF(R1618&gt;0,AO1618/R1618,0))/MAX(0.1,N(Parameter!$M$21)))</f>
        <v>0.0384615384615385</v>
      </c>
      <c r="AQ1618" s="57" t="n">
        <f aca="false">AN1618*G1618</f>
        <v>480</v>
      </c>
      <c r="AR1618" s="57" t="n">
        <f aca="false">ROUNDUP(MAX(J1618/IF(BZ1618&gt;0,BZ1618,MAX(0.1,N(Cockpit!$I$6))),CC1618)/BS1618,0)*BS1618</f>
        <v>32</v>
      </c>
      <c r="AS1618" s="58" t="n">
        <f aca="false">IF(AP1618&gt;0,J1618/AP1618,-1)</f>
        <v>0</v>
      </c>
      <c r="AT1618" s="58" t="n">
        <f aca="false">IF(AND(OR(BY1618="L1",BY1618="L23"),AP1618&gt;0),SUMIFS($AP$7:$AP$1843,$BY$7:$BY$1843,BY1618,$AS$7:$AS$1843,"&gt;"&amp;AS1618)+SUMIFS($AP$7:$AP$1843,$BY$7:$BY$1843,BY1618,$AS$7:$AS$1843,AS1618,$BQ$7:$BQ$1843,"&lt;="&amp;BQ1618),"")</f>
        <v>132.343079625688</v>
      </c>
      <c r="AU1618" s="65" t="n">
        <f aca="false">IF(AT1618="",0,MAX(0,MIN(1,(IF(BY1618="L1",Parameter!$E$5,Parameter!$E$6+Parameter!$E$7)-(AT1618-AP1618))/AP1618)))</f>
        <v>0</v>
      </c>
      <c r="AV1618" s="57" t="n">
        <f aca="false">IF(LEFT(Cockpit!$O$5,1)="A",H1618,IF(CA1618=1,CB1618,IF(LEFT(Cockpit!$O$5,1)="B",AZ1618,MAX(AZ1618,H1618))))</f>
        <v>32</v>
      </c>
      <c r="AW1618" s="57" t="n">
        <f aca="false">IF(BT1618=1,0,ROUNDUP(AV1618/BS1618,0))</f>
        <v>1</v>
      </c>
      <c r="AX1618" s="59" t="n">
        <f aca="false">IF(CH1618&gt;0,CH1618*MAX(1,AV1618/X1618),IF(BT1618=1,IF(AV1618&lt;=0,0,BW1618*MAX(1,IF(H1618&gt;0,AV1618/H1618,1))),IF(R1618&gt;0,AW1618/R1618,0))/MAX(0.1,N(Parameter!$M$21)))</f>
        <v>0.0384615384615385</v>
      </c>
      <c r="AY1618" s="57" t="n">
        <f aca="false">AV1618*G1618</f>
        <v>480</v>
      </c>
      <c r="AZ1618" s="57" t="n">
        <f aca="false">ROUNDUP(MAX(J1618/IF(BZ1618&gt;0,BZ1618,MAX(0.1,N(Cockpit!$O$6))),CC1618)/BS1618,0)*BS1618</f>
        <v>32</v>
      </c>
      <c r="BA1618" s="58" t="n">
        <f aca="false">IF(AX1618&gt;0,J1618/AX1618,-1)</f>
        <v>0</v>
      </c>
      <c r="BB1618" s="58" t="n">
        <f aca="false">IF(AND(OR(BY1618="L1",BY1618="L23"),AX1618&gt;0),SUMIFS($AX$7:$AX$1843,$BY$7:$BY$1843,BY1618,$BA$7:$BA$1843,"&gt;"&amp;BA1618)+SUMIFS($AX$7:$AX$1843,$BY$7:$BY$1843,BY1618,$BA$7:$BA$1843,BA1618,$BQ$7:$BQ$1843,"&lt;="&amp;BQ1618),"")</f>
        <v>123.172916455525</v>
      </c>
      <c r="BC1618" s="65" t="n">
        <f aca="false">IF(BB1618="",0,MAX(0,MIN(1,(IF(BY1618="L1",Parameter!$E$5,Parameter!$E$6+Parameter!$E$7)-(BB1618-AX1618))/AX1618)))</f>
        <v>0</v>
      </c>
      <c r="BD1618" s="55" t="str">
        <f aca="false">IF(AH1618&lt;=0,"",IF(BY1618="Aussen","Aussenlager",IF(BY1618="-","Nicht im Lift",IF(AM1618&gt;=1,"Lift",IF(AM1618&lt;=0,"Aussenlager","teilweise")))))</f>
        <v>Lift</v>
      </c>
      <c r="BE1618" s="55" t="str">
        <f aca="false">IF(AP1618&lt;=0,"",IF(BY1618="Aussen","Aussenlager",IF(BY1618="-","Nicht im Lift",IF(AU1618&gt;=1,"Lift",IF(AU1618&lt;=0,"Aussenlager","teilweise")))))</f>
        <v>Aussenlager</v>
      </c>
      <c r="BF1618" s="55" t="str">
        <f aca="false">IF(AX1618&lt;=0,"",IF(BY1618="Aussen","Aussenlager",IF(BY1618="-","Nicht im Lift",IF(BC1618&gt;=1,"Lift",IF(BC1618&lt;=0,"Aussenlager","teilweise")))))</f>
        <v>Aussenlager</v>
      </c>
      <c r="BG1618" s="55" t="str">
        <f aca="false">IF(A1618="","",IF(BP1618=1,"Neu; ","")&amp;IF(AND(BP1618=0,BK1618&lt;0),"negativer Bestand (Export "&amp;BK1618&amp;"); ","")&amp;IF(J1618&lt;=0,"Kein Verbrauch; ","")&amp;IF(CH1618&gt;0,"Lift "&amp;W1618&amp;" lt. Liftbericht (Fach "&amp;X1618&amp;" Stk); ",IF(BU1618=1,"Gebinde geschätzt ("&amp;T1618&amp;"); ",IF(BT1618=1,"Lose – Tablare geschätzt; ","")))&amp;IF(H1618&gt;AR1618,"Überbestand "&amp;ROUND(H1618-AR1618,0)&amp;" Stk / CHF "&amp;ROUND((H1618-AR1618)*G1618,0)&amp;"; ","")&amp;IF(AND(CA1618=1,CB1618&lt;CC1618),"MAX &lt; MB+LG; ","")&amp;IF(AND(CG1618&gt;0,CF1618*10&gt;CG1618),"zu hoch für Tablar; ","")&amp;IF(AND(BP1618=0,OR(CA1618=1,AA1618&lt;&gt;"",U1618&lt;&gt;"",V1618&lt;&gt;"",AB1618&lt;&gt;"")),"manuell übersteuert; ","")&amp;IF(AND(BT1618=0,R1618=0),"Gebinde unbekannt / Stellmass fehlt; ","")&amp;IF(AND(BT1618=0,N(V1618)&lt;=0,N(Q1618)&lt;=0),"Menge pro Gebinde fehlt (Ist = 1 Gebinde); ","")&amp;BO1618)</f>
        <v>Kein Verbrauch; Gebinde geschätzt (Klein); Menge pro Gebinde fehlt (Ist = 1 Gebinde); nur im Artikelstamm (Bestand 23.06.2026)</v>
      </c>
      <c r="BH1618" s="55"/>
      <c r="BI1618" s="55"/>
      <c r="BJ1618" s="62"/>
      <c r="BK1618" s="57" t="n">
        <v>32</v>
      </c>
      <c r="BL1618" s="57" t="n">
        <v>0</v>
      </c>
      <c r="BM1618" s="56" t="n">
        <v>0</v>
      </c>
      <c r="BN1618" s="57" t="n">
        <v>0</v>
      </c>
      <c r="BO1618" s="55" t="s">
        <v>2575</v>
      </c>
      <c r="BP1618" s="60" t="n">
        <v>0</v>
      </c>
      <c r="BQ1618" s="60" t="n">
        <v>1618</v>
      </c>
      <c r="BR1618" s="55" t="str">
        <f aca="false">IF(U1618&lt;&gt;"",UPPER(TRIM(U1618)),IF(BU1618=1,UPPER(VLOOKUP(T1618,Parameter!$I$27:$K$29,2,0)),IF(P1618="","LOSE",P1618)))</f>
        <v>S51</v>
      </c>
      <c r="BS1618" s="57" t="n">
        <f aca="false">IF(BR1618="LOSE",1,IF(N(V1618)&gt;0,V1618,IF(BU1618=1,MAX(1,N(VLOOKUP(T1618,Parameter!$I$27:$K$29,3,0)),H1618,N(N1618)),IF(N(Q1618)&gt;0,Q1618,MAX(1,H1618)))))</f>
        <v>32</v>
      </c>
      <c r="BT1618" s="60" t="n">
        <f aca="false">IF(BR1618="LOSE",1,0)</f>
        <v>0</v>
      </c>
      <c r="BU1618" s="60" t="n">
        <f aca="false">IF(AND(U1618="",OR(P1618="",P1618="LOSE"),T1618&lt;&gt;"",N(S1618)&lt;=0,ISNUMBER(MATCH(T1618,Parameter!$I$27:$I$29,0))),1,0)</f>
        <v>1</v>
      </c>
      <c r="BV1618" s="55" t="str">
        <f aca="false">IF(AND(Parameter!$B$19="Ja",E1618&lt;&gt;"",ISNUMBER(MATCH(E1618,Parameter!$I$35:$I$52,0))),VLOOKUP(E1618,Parameter!$I$35:$J$52,2,0),IFERROR(VLOOKUP(D1618,Parameter!$A$35:$C$64,2,0),"Nein"))</f>
        <v>2+3</v>
      </c>
      <c r="BW1618" s="59" t="n">
        <f aca="false">IF(BT1618=0,0,IF(N(S1618)&gt;0,S1618,IFERROR(VLOOKUP(D1618,Parameter!$A$35:$C$64,3,0)+0,0)))</f>
        <v>0</v>
      </c>
      <c r="BX1618" s="55" t="n">
        <f aca="false">IF(AA1618&lt;&gt;"",AA1618,Z1618)</f>
        <v>3</v>
      </c>
      <c r="BY1618" s="55" t="str">
        <f aca="false">IF(BX1618=1,"L1",IF(OR(BX1618=2,BX1618=3),"L23",IF(BX1618="Aussen","Aussen","-")))</f>
        <v>L23</v>
      </c>
      <c r="BZ1618" s="66" t="n">
        <f aca="false">IF(N(AB1618)&gt;0,AB1618,0)</f>
        <v>0</v>
      </c>
      <c r="CA1618" s="60" t="n">
        <f aca="false">IF(ISNUMBER(AE1618),1,0)</f>
        <v>0</v>
      </c>
      <c r="CB1618" s="57" t="n">
        <f aca="false">N(AE1618)</f>
        <v>0</v>
      </c>
      <c r="CC1618" s="57" t="n">
        <f aca="false">N(M1618)+N(N1618)</f>
        <v>1</v>
      </c>
      <c r="CD1618" s="57" t="n">
        <f aca="false">ROUNDUP(H1618/BS1618,0)</f>
        <v>1</v>
      </c>
      <c r="CE1618" s="57" t="n">
        <f aca="false">ROUNDUP(CB1618/BS1618,0)</f>
        <v>0</v>
      </c>
      <c r="CF1618" s="60" t="n">
        <f aca="false">IF(BT1618=1,0,IFERROR(VLOOKUP(BR1618,'Gebinde-Kategorie'!$A$5:$M$45,5,0)+0,0))</f>
        <v>11</v>
      </c>
      <c r="CG1618" s="60" t="n">
        <f aca="false">IFERROR(IF(OR(BX1618=1,BX1618=2,BX1618=3),N(INDEX(Parameter!$I$5:$I$7,BX1618)),0),0)</f>
        <v>0</v>
      </c>
      <c r="CH1618" s="59" t="n">
        <f aca="false">IF(AND(Parameter!$B$21="Ja",ISNUMBER(W1618),N(X1618)&gt;0),IFERROR(N(INDEX(Parameter!$L$5:$L$7,W1618))*INDEX(Parameter!$E$5:$E$7,W1618)*X1618/SUMIFS($X$7:$X$1843,$W$7:$W$1843,W1618),0),0)</f>
        <v>0</v>
      </c>
    </row>
    <row r="1619" customFormat="false" ht="15" hidden="false" customHeight="false" outlineLevel="0" collapsed="false">
      <c r="A1619" s="55" t="s">
        <v>2820</v>
      </c>
      <c r="B1619" s="55" t="s">
        <v>2816</v>
      </c>
      <c r="C1619" s="55" t="s">
        <v>164</v>
      </c>
      <c r="D1619" s="55" t="s">
        <v>184</v>
      </c>
      <c r="E1619" s="55"/>
      <c r="F1619" s="55"/>
      <c r="G1619" s="56" t="n">
        <v>15</v>
      </c>
      <c r="H1619" s="57" t="n">
        <f aca="false">MAX(0,IF(AND(Parameter!$B$21="Ja",ISNUMBER(Y1619)),Y1619,IF(Parameter!$B$20="Jahresanfang 2025 + Export",BL1619+BK1619,BK1619)))</f>
        <v>231</v>
      </c>
      <c r="I1619" s="57" t="n">
        <f aca="false">H1619*G1619</f>
        <v>3465</v>
      </c>
      <c r="J1619" s="57" t="n">
        <f aca="false">BN1619*Parameter!$B$18</f>
        <v>0</v>
      </c>
      <c r="K1619" s="58"/>
      <c r="L1619" s="59"/>
      <c r="M1619" s="57" t="n">
        <v>0</v>
      </c>
      <c r="N1619" s="57" t="n">
        <v>1</v>
      </c>
      <c r="O1619" s="60" t="n">
        <v>0</v>
      </c>
      <c r="P1619" s="55" t="s">
        <v>168</v>
      </c>
      <c r="Q1619" s="57"/>
      <c r="R1619" s="60" t="n">
        <f aca="false">IF(BT1619=1,0,IFERROR(VLOOKUP(BR1619,'Gebinde-Kategorie'!$A$5:$M$45,13,0)+0,0))</f>
        <v>26</v>
      </c>
      <c r="S1619" s="61"/>
      <c r="T1619" s="62" t="s">
        <v>275</v>
      </c>
      <c r="U1619" s="62"/>
      <c r="V1619" s="62"/>
      <c r="W1619" s="55"/>
      <c r="X1619" s="57"/>
      <c r="Y1619" s="57"/>
      <c r="Z1619" s="55" t="n">
        <f aca="false">IF(A1619="","",IF(AND(Parameter!$B$21="Ja",ISNUMBER(W1619)),W1619,IF(BV1619="2+3",IF(ISNUMBER(SEARCH("grosser Artikel",BO1619)),2,IFERROR(VLOOKUP(BR1619,Parameter!$F$35:$G$64,2,0),2)),IF(OR(BV1619="Nein",BV1619=""),"-",BV1619))))</f>
        <v>3</v>
      </c>
      <c r="AA1619" s="62"/>
      <c r="AB1619" s="63"/>
      <c r="AC1619" s="57" t="n">
        <f aca="false">AR1619</f>
        <v>231</v>
      </c>
      <c r="AD1619" s="57" t="n">
        <f aca="false">MAX(AR1619,H1619)</f>
        <v>231</v>
      </c>
      <c r="AE1619" s="64"/>
      <c r="AF1619" s="57" t="n">
        <f aca="false">IF(LEFT(Cockpit!$C$5,1)="A",H1619,IF(CA1619=1,CB1619,IF(LEFT(Cockpit!$C$5,1)="B",AJ1619,MAX(AJ1619,H1619))))</f>
        <v>231</v>
      </c>
      <c r="AG1619" s="57" t="n">
        <f aca="false">IF(BT1619=1,0,ROUNDUP(AF1619/BS1619,0))</f>
        <v>1</v>
      </c>
      <c r="AH1619" s="59" t="n">
        <f aca="false">IF(CH1619&gt;0,CH1619*MAX(1,AF1619/X1619),IF(BT1619=1,IF(AF1619&lt;=0,0,BW1619*MAX(1,IF(H1619&gt;0,AF1619/H1619,1))),IF(R1619&gt;0,AG1619/R1619,0))/MAX(0.1,N(Parameter!$M$21)))</f>
        <v>0.0384615384615385</v>
      </c>
      <c r="AI1619" s="57" t="n">
        <f aca="false">AF1619*G1619</f>
        <v>3465</v>
      </c>
      <c r="AJ1619" s="57" t="n">
        <f aca="false">ROUNDUP(MAX(J1619/IF(BZ1619&gt;0,BZ1619,MAX(0.1,N(Cockpit!$C$6))),CC1619)/BS1619,0)*BS1619</f>
        <v>231</v>
      </c>
      <c r="AK1619" s="58" t="n">
        <f aca="false">IF(AH1619&gt;0,J1619/AH1619,-1)</f>
        <v>0</v>
      </c>
      <c r="AL1619" s="58" t="n">
        <f aca="false">IF(AND(OR(BY1619="L1",BY1619="L23"),AH1619&gt;0),SUMIFS($AH$7:$AH$1843,$BY$7:$BY$1843,BY1619,$AK$7:$AK$1843,"&gt;"&amp;AK1619)+SUMIFS($AH$7:$AH$1843,$BY$7:$BY$1843,BY1619,$AK$7:$AK$1843,AK1619,$BQ$7:$BQ$1843,"&lt;="&amp;BQ1619),"")</f>
        <v>87.1294044120131</v>
      </c>
      <c r="AM1619" s="65" t="n">
        <f aca="false">IF(AL1619="",0,MAX(0,MIN(1,(IF(BY1619="L1",Parameter!$E$5,Parameter!$E$6+Parameter!$E$7)-(AL1619-AH1619))/AH1619)))</f>
        <v>1</v>
      </c>
      <c r="AN1619" s="57" t="n">
        <f aca="false">IF(LEFT(Cockpit!$I$5,1)="A",H1619,IF(CA1619=1,CB1619,IF(LEFT(Cockpit!$I$5,1)="B",AR1619,MAX(AR1619,H1619))))</f>
        <v>231</v>
      </c>
      <c r="AO1619" s="57" t="n">
        <f aca="false">IF(BT1619=1,0,ROUNDUP(AN1619/BS1619,0))</f>
        <v>1</v>
      </c>
      <c r="AP1619" s="59" t="n">
        <f aca="false">IF(CH1619&gt;0,CH1619*MAX(1,AN1619/X1619),IF(BT1619=1,IF(AN1619&lt;=0,0,BW1619*MAX(1,IF(H1619&gt;0,AN1619/H1619,1))),IF(R1619&gt;0,AO1619/R1619,0))/MAX(0.1,N(Parameter!$M$21)))</f>
        <v>0.0384615384615385</v>
      </c>
      <c r="AQ1619" s="57" t="n">
        <f aca="false">AN1619*G1619</f>
        <v>3465</v>
      </c>
      <c r="AR1619" s="57" t="n">
        <f aca="false">ROUNDUP(MAX(J1619/IF(BZ1619&gt;0,BZ1619,MAX(0.1,N(Cockpit!$I$6))),CC1619)/BS1619,0)*BS1619</f>
        <v>231</v>
      </c>
      <c r="AS1619" s="58" t="n">
        <f aca="false">IF(AP1619&gt;0,J1619/AP1619,-1)</f>
        <v>0</v>
      </c>
      <c r="AT1619" s="58" t="n">
        <f aca="false">IF(AND(OR(BY1619="L1",BY1619="L23"),AP1619&gt;0),SUMIFS($AP$7:$AP$1843,$BY$7:$BY$1843,BY1619,$AS$7:$AS$1843,"&gt;"&amp;AS1619)+SUMIFS($AP$7:$AP$1843,$BY$7:$BY$1843,BY1619,$AS$7:$AS$1843,AS1619,$BQ$7:$BQ$1843,"&lt;="&amp;BQ1619),"")</f>
        <v>132.38154116415</v>
      </c>
      <c r="AU1619" s="65" t="n">
        <f aca="false">IF(AT1619="",0,MAX(0,MIN(1,(IF(BY1619="L1",Parameter!$E$5,Parameter!$E$6+Parameter!$E$7)-(AT1619-AP1619))/AP1619)))</f>
        <v>0</v>
      </c>
      <c r="AV1619" s="57" t="n">
        <f aca="false">IF(LEFT(Cockpit!$O$5,1)="A",H1619,IF(CA1619=1,CB1619,IF(LEFT(Cockpit!$O$5,1)="B",AZ1619,MAX(AZ1619,H1619))))</f>
        <v>231</v>
      </c>
      <c r="AW1619" s="57" t="n">
        <f aca="false">IF(BT1619=1,0,ROUNDUP(AV1619/BS1619,0))</f>
        <v>1</v>
      </c>
      <c r="AX1619" s="59" t="n">
        <f aca="false">IF(CH1619&gt;0,CH1619*MAX(1,AV1619/X1619),IF(BT1619=1,IF(AV1619&lt;=0,0,BW1619*MAX(1,IF(H1619&gt;0,AV1619/H1619,1))),IF(R1619&gt;0,AW1619/R1619,0))/MAX(0.1,N(Parameter!$M$21)))</f>
        <v>0.0384615384615385</v>
      </c>
      <c r="AY1619" s="57" t="n">
        <f aca="false">AV1619*G1619</f>
        <v>3465</v>
      </c>
      <c r="AZ1619" s="57" t="n">
        <f aca="false">ROUNDUP(MAX(J1619/IF(BZ1619&gt;0,BZ1619,MAX(0.1,N(Cockpit!$O$6))),CC1619)/BS1619,0)*BS1619</f>
        <v>231</v>
      </c>
      <c r="BA1619" s="58" t="n">
        <f aca="false">IF(AX1619&gt;0,J1619/AX1619,-1)</f>
        <v>0</v>
      </c>
      <c r="BB1619" s="58" t="n">
        <f aca="false">IF(AND(OR(BY1619="L1",BY1619="L23"),AX1619&gt;0),SUMIFS($AX$7:$AX$1843,$BY$7:$BY$1843,BY1619,$BA$7:$BA$1843,"&gt;"&amp;BA1619)+SUMIFS($AX$7:$AX$1843,$BY$7:$BY$1843,BY1619,$BA$7:$BA$1843,BA1619,$BQ$7:$BQ$1843,"&lt;="&amp;BQ1619),"")</f>
        <v>123.211377993987</v>
      </c>
      <c r="BC1619" s="65" t="n">
        <f aca="false">IF(BB1619="",0,MAX(0,MIN(1,(IF(BY1619="L1",Parameter!$E$5,Parameter!$E$6+Parameter!$E$7)-(BB1619-AX1619))/AX1619)))</f>
        <v>0</v>
      </c>
      <c r="BD1619" s="55" t="str">
        <f aca="false">IF(AH1619&lt;=0,"",IF(BY1619="Aussen","Aussenlager",IF(BY1619="-","Nicht im Lift",IF(AM1619&gt;=1,"Lift",IF(AM1619&lt;=0,"Aussenlager","teilweise")))))</f>
        <v>Lift</v>
      </c>
      <c r="BE1619" s="55" t="str">
        <f aca="false">IF(AP1619&lt;=0,"",IF(BY1619="Aussen","Aussenlager",IF(BY1619="-","Nicht im Lift",IF(AU1619&gt;=1,"Lift",IF(AU1619&lt;=0,"Aussenlager","teilweise")))))</f>
        <v>Aussenlager</v>
      </c>
      <c r="BF1619" s="55" t="str">
        <f aca="false">IF(AX1619&lt;=0,"",IF(BY1619="Aussen","Aussenlager",IF(BY1619="-","Nicht im Lift",IF(BC1619&gt;=1,"Lift",IF(BC1619&lt;=0,"Aussenlager","teilweise")))))</f>
        <v>Aussenlager</v>
      </c>
      <c r="BG1619" s="55" t="str">
        <f aca="false">IF(A1619="","",IF(BP1619=1,"Neu; ","")&amp;IF(AND(BP1619=0,BK1619&lt;0),"negativer Bestand (Export "&amp;BK1619&amp;"); ","")&amp;IF(J1619&lt;=0,"Kein Verbrauch; ","")&amp;IF(CH1619&gt;0,"Lift "&amp;W1619&amp;" lt. Liftbericht (Fach "&amp;X1619&amp;" Stk); ",IF(BU1619=1,"Gebinde geschätzt ("&amp;T1619&amp;"); ",IF(BT1619=1,"Lose – Tablare geschätzt; ","")))&amp;IF(H1619&gt;AR1619,"Überbestand "&amp;ROUND(H1619-AR1619,0)&amp;" Stk / CHF "&amp;ROUND((H1619-AR1619)*G1619,0)&amp;"; ","")&amp;IF(AND(CA1619=1,CB1619&lt;CC1619),"MAX &lt; MB+LG; ","")&amp;IF(AND(CG1619&gt;0,CF1619*10&gt;CG1619),"zu hoch für Tablar; ","")&amp;IF(AND(BP1619=0,OR(CA1619=1,AA1619&lt;&gt;"",U1619&lt;&gt;"",V1619&lt;&gt;"",AB1619&lt;&gt;"")),"manuell übersteuert; ","")&amp;IF(AND(BT1619=0,R1619=0),"Gebinde unbekannt / Stellmass fehlt; ","")&amp;IF(AND(BT1619=0,N(V1619)&lt;=0,N(Q1619)&lt;=0),"Menge pro Gebinde fehlt (Ist = 1 Gebinde); ","")&amp;BO1619)</f>
        <v>Kein Verbrauch; Gebinde geschätzt (Klein); Menge pro Gebinde fehlt (Ist = 1 Gebinde); nur im Artikelstamm (Bestand 23.06.2026)</v>
      </c>
      <c r="BH1619" s="55"/>
      <c r="BI1619" s="55"/>
      <c r="BJ1619" s="62"/>
      <c r="BK1619" s="57" t="n">
        <v>231</v>
      </c>
      <c r="BL1619" s="57" t="n">
        <v>0</v>
      </c>
      <c r="BM1619" s="56" t="n">
        <v>0</v>
      </c>
      <c r="BN1619" s="57" t="n">
        <v>0</v>
      </c>
      <c r="BO1619" s="55" t="s">
        <v>2575</v>
      </c>
      <c r="BP1619" s="60" t="n">
        <v>0</v>
      </c>
      <c r="BQ1619" s="60" t="n">
        <v>1619</v>
      </c>
      <c r="BR1619" s="55" t="str">
        <f aca="false">IF(U1619&lt;&gt;"",UPPER(TRIM(U1619)),IF(BU1619=1,UPPER(VLOOKUP(T1619,Parameter!$I$27:$K$29,2,0)),IF(P1619="","LOSE",P1619)))</f>
        <v>S51</v>
      </c>
      <c r="BS1619" s="57" t="n">
        <f aca="false">IF(BR1619="LOSE",1,IF(N(V1619)&gt;0,V1619,IF(BU1619=1,MAX(1,N(VLOOKUP(T1619,Parameter!$I$27:$K$29,3,0)),H1619,N(N1619)),IF(N(Q1619)&gt;0,Q1619,MAX(1,H1619)))))</f>
        <v>231</v>
      </c>
      <c r="BT1619" s="60" t="n">
        <f aca="false">IF(BR1619="LOSE",1,0)</f>
        <v>0</v>
      </c>
      <c r="BU1619" s="60" t="n">
        <f aca="false">IF(AND(U1619="",OR(P1619="",P1619="LOSE"),T1619&lt;&gt;"",N(S1619)&lt;=0,ISNUMBER(MATCH(T1619,Parameter!$I$27:$I$29,0))),1,0)</f>
        <v>1</v>
      </c>
      <c r="BV1619" s="55" t="str">
        <f aca="false">IF(AND(Parameter!$B$19="Ja",E1619&lt;&gt;"",ISNUMBER(MATCH(E1619,Parameter!$I$35:$I$52,0))),VLOOKUP(E1619,Parameter!$I$35:$J$52,2,0),IFERROR(VLOOKUP(D1619,Parameter!$A$35:$C$64,2,0),"Nein"))</f>
        <v>2+3</v>
      </c>
      <c r="BW1619" s="59" t="n">
        <f aca="false">IF(BT1619=0,0,IF(N(S1619)&gt;0,S1619,IFERROR(VLOOKUP(D1619,Parameter!$A$35:$C$64,3,0)+0,0)))</f>
        <v>0</v>
      </c>
      <c r="BX1619" s="55" t="n">
        <f aca="false">IF(AA1619&lt;&gt;"",AA1619,Z1619)</f>
        <v>3</v>
      </c>
      <c r="BY1619" s="55" t="str">
        <f aca="false">IF(BX1619=1,"L1",IF(OR(BX1619=2,BX1619=3),"L23",IF(BX1619="Aussen","Aussen","-")))</f>
        <v>L23</v>
      </c>
      <c r="BZ1619" s="66" t="n">
        <f aca="false">IF(N(AB1619)&gt;0,AB1619,0)</f>
        <v>0</v>
      </c>
      <c r="CA1619" s="60" t="n">
        <f aca="false">IF(ISNUMBER(AE1619),1,0)</f>
        <v>0</v>
      </c>
      <c r="CB1619" s="57" t="n">
        <f aca="false">N(AE1619)</f>
        <v>0</v>
      </c>
      <c r="CC1619" s="57" t="n">
        <f aca="false">N(M1619)+N(N1619)</f>
        <v>1</v>
      </c>
      <c r="CD1619" s="57" t="n">
        <f aca="false">ROUNDUP(H1619/BS1619,0)</f>
        <v>1</v>
      </c>
      <c r="CE1619" s="57" t="n">
        <f aca="false">ROUNDUP(CB1619/BS1619,0)</f>
        <v>0</v>
      </c>
      <c r="CF1619" s="60" t="n">
        <f aca="false">IF(BT1619=1,0,IFERROR(VLOOKUP(BR1619,'Gebinde-Kategorie'!$A$5:$M$45,5,0)+0,0))</f>
        <v>11</v>
      </c>
      <c r="CG1619" s="60" t="n">
        <f aca="false">IFERROR(IF(OR(BX1619=1,BX1619=2,BX1619=3),N(INDEX(Parameter!$I$5:$I$7,BX1619)),0),0)</f>
        <v>0</v>
      </c>
      <c r="CH1619" s="59" t="n">
        <f aca="false">IF(AND(Parameter!$B$21="Ja",ISNUMBER(W1619),N(X1619)&gt;0),IFERROR(N(INDEX(Parameter!$L$5:$L$7,W1619))*INDEX(Parameter!$E$5:$E$7,W1619)*X1619/SUMIFS($X$7:$X$1843,$W$7:$W$1843,W1619),0),0)</f>
        <v>0</v>
      </c>
    </row>
    <row r="1620" customFormat="false" ht="15" hidden="false" customHeight="false" outlineLevel="0" collapsed="false">
      <c r="A1620" s="55" t="s">
        <v>2821</v>
      </c>
      <c r="B1620" s="55" t="s">
        <v>1266</v>
      </c>
      <c r="C1620" s="55" t="s">
        <v>164</v>
      </c>
      <c r="D1620" s="55" t="s">
        <v>184</v>
      </c>
      <c r="E1620" s="55"/>
      <c r="F1620" s="55"/>
      <c r="G1620" s="56" t="n">
        <v>0.07</v>
      </c>
      <c r="H1620" s="57" t="n">
        <f aca="false">MAX(0,IF(AND(Parameter!$B$21="Ja",ISNUMBER(Y1620)),Y1620,IF(Parameter!$B$20="Jahresanfang 2025 + Export",BL1620+BK1620,BK1620)))</f>
        <v>452</v>
      </c>
      <c r="I1620" s="57" t="n">
        <f aca="false">H1620*G1620</f>
        <v>31.64</v>
      </c>
      <c r="J1620" s="57" t="n">
        <f aca="false">BN1620*Parameter!$B$18</f>
        <v>0</v>
      </c>
      <c r="K1620" s="58"/>
      <c r="L1620" s="59"/>
      <c r="M1620" s="57" t="n">
        <v>0</v>
      </c>
      <c r="N1620" s="57" t="n">
        <v>200</v>
      </c>
      <c r="O1620" s="60" t="n">
        <v>0</v>
      </c>
      <c r="P1620" s="55" t="s">
        <v>168</v>
      </c>
      <c r="Q1620" s="57"/>
      <c r="R1620" s="60" t="n">
        <f aca="false">IF(BT1620=1,0,IFERROR(VLOOKUP(BR1620,'Gebinde-Kategorie'!$A$5:$M$45,13,0)+0,0))</f>
        <v>26</v>
      </c>
      <c r="S1620" s="61"/>
      <c r="T1620" s="62" t="s">
        <v>275</v>
      </c>
      <c r="U1620" s="62"/>
      <c r="V1620" s="62"/>
      <c r="W1620" s="55"/>
      <c r="X1620" s="57"/>
      <c r="Y1620" s="57"/>
      <c r="Z1620" s="55" t="n">
        <f aca="false">IF(A1620="","",IF(AND(Parameter!$B$21="Ja",ISNUMBER(W1620)),W1620,IF(BV1620="2+3",IF(ISNUMBER(SEARCH("grosser Artikel",BO1620)),2,IFERROR(VLOOKUP(BR1620,Parameter!$F$35:$G$64,2,0),2)),IF(OR(BV1620="Nein",BV1620=""),"-",BV1620))))</f>
        <v>3</v>
      </c>
      <c r="AA1620" s="62"/>
      <c r="AB1620" s="63"/>
      <c r="AC1620" s="57" t="n">
        <f aca="false">AR1620</f>
        <v>452</v>
      </c>
      <c r="AD1620" s="57" t="n">
        <f aca="false">MAX(AR1620,H1620)</f>
        <v>452</v>
      </c>
      <c r="AE1620" s="64"/>
      <c r="AF1620" s="57" t="n">
        <f aca="false">IF(LEFT(Cockpit!$C$5,1)="A",H1620,IF(CA1620=1,CB1620,IF(LEFT(Cockpit!$C$5,1)="B",AJ1620,MAX(AJ1620,H1620))))</f>
        <v>452</v>
      </c>
      <c r="AG1620" s="57" t="n">
        <f aca="false">IF(BT1620=1,0,ROUNDUP(AF1620/BS1620,0))</f>
        <v>1</v>
      </c>
      <c r="AH1620" s="59" t="n">
        <f aca="false">IF(CH1620&gt;0,CH1620*MAX(1,AF1620/X1620),IF(BT1620=1,IF(AF1620&lt;=0,0,BW1620*MAX(1,IF(H1620&gt;0,AF1620/H1620,1))),IF(R1620&gt;0,AG1620/R1620,0))/MAX(0.1,N(Parameter!$M$21)))</f>
        <v>0.0384615384615385</v>
      </c>
      <c r="AI1620" s="57" t="n">
        <f aca="false">AF1620*G1620</f>
        <v>31.64</v>
      </c>
      <c r="AJ1620" s="57" t="n">
        <f aca="false">ROUNDUP(MAX(J1620/IF(BZ1620&gt;0,BZ1620,MAX(0.1,N(Cockpit!$C$6))),CC1620)/BS1620,0)*BS1620</f>
        <v>452</v>
      </c>
      <c r="AK1620" s="58" t="n">
        <f aca="false">IF(AH1620&gt;0,J1620/AH1620,-1)</f>
        <v>0</v>
      </c>
      <c r="AL1620" s="58" t="n">
        <f aca="false">IF(AND(OR(BY1620="L1",BY1620="L23"),AH1620&gt;0),SUMIFS($AH$7:$AH$1843,$BY$7:$BY$1843,BY1620,$AK$7:$AK$1843,"&gt;"&amp;AK1620)+SUMIFS($AH$7:$AH$1843,$BY$7:$BY$1843,BY1620,$AK$7:$AK$1843,AK1620,$BQ$7:$BQ$1843,"&lt;="&amp;BQ1620),"")</f>
        <v>87.1678659504747</v>
      </c>
      <c r="AM1620" s="65" t="n">
        <f aca="false">IF(AL1620="",0,MAX(0,MIN(1,(IF(BY1620="L1",Parameter!$E$5,Parameter!$E$6+Parameter!$E$7)-(AL1620-AH1620))/AH1620)))</f>
        <v>1</v>
      </c>
      <c r="AN1620" s="57" t="n">
        <f aca="false">IF(LEFT(Cockpit!$I$5,1)="A",H1620,IF(CA1620=1,CB1620,IF(LEFT(Cockpit!$I$5,1)="B",AR1620,MAX(AR1620,H1620))))</f>
        <v>452</v>
      </c>
      <c r="AO1620" s="57" t="n">
        <f aca="false">IF(BT1620=1,0,ROUNDUP(AN1620/BS1620,0))</f>
        <v>1</v>
      </c>
      <c r="AP1620" s="59" t="n">
        <f aca="false">IF(CH1620&gt;0,CH1620*MAX(1,AN1620/X1620),IF(BT1620=1,IF(AN1620&lt;=0,0,BW1620*MAX(1,IF(H1620&gt;0,AN1620/H1620,1))),IF(R1620&gt;0,AO1620/R1620,0))/MAX(0.1,N(Parameter!$M$21)))</f>
        <v>0.0384615384615385</v>
      </c>
      <c r="AQ1620" s="57" t="n">
        <f aca="false">AN1620*G1620</f>
        <v>31.64</v>
      </c>
      <c r="AR1620" s="57" t="n">
        <f aca="false">ROUNDUP(MAX(J1620/IF(BZ1620&gt;0,BZ1620,MAX(0.1,N(Cockpit!$I$6))),CC1620)/BS1620,0)*BS1620</f>
        <v>452</v>
      </c>
      <c r="AS1620" s="58" t="n">
        <f aca="false">IF(AP1620&gt;0,J1620/AP1620,-1)</f>
        <v>0</v>
      </c>
      <c r="AT1620" s="58" t="n">
        <f aca="false">IF(AND(OR(BY1620="L1",BY1620="L23"),AP1620&gt;0),SUMIFS($AP$7:$AP$1843,$BY$7:$BY$1843,BY1620,$AS$7:$AS$1843,"&gt;"&amp;AS1620)+SUMIFS($AP$7:$AP$1843,$BY$7:$BY$1843,BY1620,$AS$7:$AS$1843,AS1620,$BQ$7:$BQ$1843,"&lt;="&amp;BQ1620),"")</f>
        <v>132.420002702611</v>
      </c>
      <c r="AU1620" s="65" t="n">
        <f aca="false">IF(AT1620="",0,MAX(0,MIN(1,(IF(BY1620="L1",Parameter!$E$5,Parameter!$E$6+Parameter!$E$7)-(AT1620-AP1620))/AP1620)))</f>
        <v>0</v>
      </c>
      <c r="AV1620" s="57" t="n">
        <f aca="false">IF(LEFT(Cockpit!$O$5,1)="A",H1620,IF(CA1620=1,CB1620,IF(LEFT(Cockpit!$O$5,1)="B",AZ1620,MAX(AZ1620,H1620))))</f>
        <v>452</v>
      </c>
      <c r="AW1620" s="57" t="n">
        <f aca="false">IF(BT1620=1,0,ROUNDUP(AV1620/BS1620,0))</f>
        <v>1</v>
      </c>
      <c r="AX1620" s="59" t="n">
        <f aca="false">IF(CH1620&gt;0,CH1620*MAX(1,AV1620/X1620),IF(BT1620=1,IF(AV1620&lt;=0,0,BW1620*MAX(1,IF(H1620&gt;0,AV1620/H1620,1))),IF(R1620&gt;0,AW1620/R1620,0))/MAX(0.1,N(Parameter!$M$21)))</f>
        <v>0.0384615384615385</v>
      </c>
      <c r="AY1620" s="57" t="n">
        <f aca="false">AV1620*G1620</f>
        <v>31.64</v>
      </c>
      <c r="AZ1620" s="57" t="n">
        <f aca="false">ROUNDUP(MAX(J1620/IF(BZ1620&gt;0,BZ1620,MAX(0.1,N(Cockpit!$O$6))),CC1620)/BS1620,0)*BS1620</f>
        <v>452</v>
      </c>
      <c r="BA1620" s="58" t="n">
        <f aca="false">IF(AX1620&gt;0,J1620/AX1620,-1)</f>
        <v>0</v>
      </c>
      <c r="BB1620" s="58" t="n">
        <f aca="false">IF(AND(OR(BY1620="L1",BY1620="L23"),AX1620&gt;0),SUMIFS($AX$7:$AX$1843,$BY$7:$BY$1843,BY1620,$BA$7:$BA$1843,"&gt;"&amp;BA1620)+SUMIFS($AX$7:$AX$1843,$BY$7:$BY$1843,BY1620,$BA$7:$BA$1843,BA1620,$BQ$7:$BQ$1843,"&lt;="&amp;BQ1620),"")</f>
        <v>123.249839532448</v>
      </c>
      <c r="BC1620" s="65" t="n">
        <f aca="false">IF(BB1620="",0,MAX(0,MIN(1,(IF(BY1620="L1",Parameter!$E$5,Parameter!$E$6+Parameter!$E$7)-(BB1620-AX1620))/AX1620)))</f>
        <v>0</v>
      </c>
      <c r="BD1620" s="55" t="str">
        <f aca="false">IF(AH1620&lt;=0,"",IF(BY1620="Aussen","Aussenlager",IF(BY1620="-","Nicht im Lift",IF(AM1620&gt;=1,"Lift",IF(AM1620&lt;=0,"Aussenlager","teilweise")))))</f>
        <v>Lift</v>
      </c>
      <c r="BE1620" s="55" t="str">
        <f aca="false">IF(AP1620&lt;=0,"",IF(BY1620="Aussen","Aussenlager",IF(BY1620="-","Nicht im Lift",IF(AU1620&gt;=1,"Lift",IF(AU1620&lt;=0,"Aussenlager","teilweise")))))</f>
        <v>Aussenlager</v>
      </c>
      <c r="BF1620" s="55" t="str">
        <f aca="false">IF(AX1620&lt;=0,"",IF(BY1620="Aussen","Aussenlager",IF(BY1620="-","Nicht im Lift",IF(BC1620&gt;=1,"Lift",IF(BC1620&lt;=0,"Aussenlager","teilweise")))))</f>
        <v>Aussenlager</v>
      </c>
      <c r="BG1620" s="55" t="str">
        <f aca="false">IF(A1620="","",IF(BP1620=1,"Neu; ","")&amp;IF(AND(BP1620=0,BK1620&lt;0),"negativer Bestand (Export "&amp;BK1620&amp;"); ","")&amp;IF(J1620&lt;=0,"Kein Verbrauch; ","")&amp;IF(CH1620&gt;0,"Lift "&amp;W1620&amp;" lt. Liftbericht (Fach "&amp;X1620&amp;" Stk); ",IF(BU1620=1,"Gebinde geschätzt ("&amp;T1620&amp;"); ",IF(BT1620=1,"Lose – Tablare geschätzt; ","")))&amp;IF(H1620&gt;AR1620,"Überbestand "&amp;ROUND(H1620-AR1620,0)&amp;" Stk / CHF "&amp;ROUND((H1620-AR1620)*G1620,0)&amp;"; ","")&amp;IF(AND(CA1620=1,CB1620&lt;CC1620),"MAX &lt; MB+LG; ","")&amp;IF(AND(CG1620&gt;0,CF1620*10&gt;CG1620),"zu hoch für Tablar; ","")&amp;IF(AND(BP1620=0,OR(CA1620=1,AA1620&lt;&gt;"",U1620&lt;&gt;"",V1620&lt;&gt;"",AB1620&lt;&gt;"")),"manuell übersteuert; ","")&amp;IF(AND(BT1620=0,R1620=0),"Gebinde unbekannt / Stellmass fehlt; ","")&amp;IF(AND(BT1620=0,N(V1620)&lt;=0,N(Q1620)&lt;=0),"Menge pro Gebinde fehlt (Ist = 1 Gebinde); ","")&amp;BO1620)</f>
        <v>Kein Verbrauch; Gebinde geschätzt (Klein); Menge pro Gebinde fehlt (Ist = 1 Gebinde); nur im Artikelstamm (Bestand 23.06.2026)</v>
      </c>
      <c r="BH1620" s="55"/>
      <c r="BI1620" s="55"/>
      <c r="BJ1620" s="62"/>
      <c r="BK1620" s="57" t="n">
        <v>452</v>
      </c>
      <c r="BL1620" s="57" t="n">
        <v>0</v>
      </c>
      <c r="BM1620" s="56" t="n">
        <v>0</v>
      </c>
      <c r="BN1620" s="57" t="n">
        <v>0</v>
      </c>
      <c r="BO1620" s="55" t="s">
        <v>2575</v>
      </c>
      <c r="BP1620" s="60" t="n">
        <v>0</v>
      </c>
      <c r="BQ1620" s="60" t="n">
        <v>1620</v>
      </c>
      <c r="BR1620" s="55" t="str">
        <f aca="false">IF(U1620&lt;&gt;"",UPPER(TRIM(U1620)),IF(BU1620=1,UPPER(VLOOKUP(T1620,Parameter!$I$27:$K$29,2,0)),IF(P1620="","LOSE",P1620)))</f>
        <v>S51</v>
      </c>
      <c r="BS1620" s="57" t="n">
        <f aca="false">IF(BR1620="LOSE",1,IF(N(V1620)&gt;0,V1620,IF(BU1620=1,MAX(1,N(VLOOKUP(T1620,Parameter!$I$27:$K$29,3,0)),H1620,N(N1620)),IF(N(Q1620)&gt;0,Q1620,MAX(1,H1620)))))</f>
        <v>452</v>
      </c>
      <c r="BT1620" s="60" t="n">
        <f aca="false">IF(BR1620="LOSE",1,0)</f>
        <v>0</v>
      </c>
      <c r="BU1620" s="60" t="n">
        <f aca="false">IF(AND(U1620="",OR(P1620="",P1620="LOSE"),T1620&lt;&gt;"",N(S1620)&lt;=0,ISNUMBER(MATCH(T1620,Parameter!$I$27:$I$29,0))),1,0)</f>
        <v>1</v>
      </c>
      <c r="BV1620" s="55" t="str">
        <f aca="false">IF(AND(Parameter!$B$19="Ja",E1620&lt;&gt;"",ISNUMBER(MATCH(E1620,Parameter!$I$35:$I$52,0))),VLOOKUP(E1620,Parameter!$I$35:$J$52,2,0),IFERROR(VLOOKUP(D1620,Parameter!$A$35:$C$64,2,0),"Nein"))</f>
        <v>2+3</v>
      </c>
      <c r="BW1620" s="59" t="n">
        <f aca="false">IF(BT1620=0,0,IF(N(S1620)&gt;0,S1620,IFERROR(VLOOKUP(D1620,Parameter!$A$35:$C$64,3,0)+0,0)))</f>
        <v>0</v>
      </c>
      <c r="BX1620" s="55" t="n">
        <f aca="false">IF(AA1620&lt;&gt;"",AA1620,Z1620)</f>
        <v>3</v>
      </c>
      <c r="BY1620" s="55" t="str">
        <f aca="false">IF(BX1620=1,"L1",IF(OR(BX1620=2,BX1620=3),"L23",IF(BX1620="Aussen","Aussen","-")))</f>
        <v>L23</v>
      </c>
      <c r="BZ1620" s="66" t="n">
        <f aca="false">IF(N(AB1620)&gt;0,AB1620,0)</f>
        <v>0</v>
      </c>
      <c r="CA1620" s="60" t="n">
        <f aca="false">IF(ISNUMBER(AE1620),1,0)</f>
        <v>0</v>
      </c>
      <c r="CB1620" s="57" t="n">
        <f aca="false">N(AE1620)</f>
        <v>0</v>
      </c>
      <c r="CC1620" s="57" t="n">
        <f aca="false">N(M1620)+N(N1620)</f>
        <v>200</v>
      </c>
      <c r="CD1620" s="57" t="n">
        <f aca="false">ROUNDUP(H1620/BS1620,0)</f>
        <v>1</v>
      </c>
      <c r="CE1620" s="57" t="n">
        <f aca="false">ROUNDUP(CB1620/BS1620,0)</f>
        <v>0</v>
      </c>
      <c r="CF1620" s="60" t="n">
        <f aca="false">IF(BT1620=1,0,IFERROR(VLOOKUP(BR1620,'Gebinde-Kategorie'!$A$5:$M$45,5,0)+0,0))</f>
        <v>11</v>
      </c>
      <c r="CG1620" s="60" t="n">
        <f aca="false">IFERROR(IF(OR(BX1620=1,BX1620=2,BX1620=3),N(INDEX(Parameter!$I$5:$I$7,BX1620)),0),0)</f>
        <v>0</v>
      </c>
      <c r="CH1620" s="59" t="n">
        <f aca="false">IF(AND(Parameter!$B$21="Ja",ISNUMBER(W1620),N(X1620)&gt;0),IFERROR(N(INDEX(Parameter!$L$5:$L$7,W1620))*INDEX(Parameter!$E$5:$E$7,W1620)*X1620/SUMIFS($X$7:$X$1843,$W$7:$W$1843,W1620),0),0)</f>
        <v>0</v>
      </c>
    </row>
    <row r="1621" customFormat="false" ht="15" hidden="false" customHeight="false" outlineLevel="0" collapsed="false">
      <c r="A1621" s="55" t="s">
        <v>2822</v>
      </c>
      <c r="B1621" s="55" t="s">
        <v>2823</v>
      </c>
      <c r="C1621" s="55" t="s">
        <v>164</v>
      </c>
      <c r="D1621" s="55" t="s">
        <v>184</v>
      </c>
      <c r="E1621" s="55"/>
      <c r="F1621" s="55"/>
      <c r="G1621" s="56" t="n">
        <v>8.1</v>
      </c>
      <c r="H1621" s="57" t="n">
        <f aca="false">MAX(0,IF(AND(Parameter!$B$21="Ja",ISNUMBER(Y1621)),Y1621,IF(Parameter!$B$20="Jahresanfang 2025 + Export",BL1621+BK1621,BK1621)))</f>
        <v>15</v>
      </c>
      <c r="I1621" s="57" t="n">
        <f aca="false">H1621*G1621</f>
        <v>121.5</v>
      </c>
      <c r="J1621" s="57" t="n">
        <f aca="false">BN1621*Parameter!$B$18</f>
        <v>0</v>
      </c>
      <c r="K1621" s="58"/>
      <c r="L1621" s="59"/>
      <c r="M1621" s="57" t="n">
        <v>0</v>
      </c>
      <c r="N1621" s="57" t="n">
        <v>1</v>
      </c>
      <c r="O1621" s="60" t="n">
        <v>0</v>
      </c>
      <c r="P1621" s="55" t="s">
        <v>168</v>
      </c>
      <c r="Q1621" s="57"/>
      <c r="R1621" s="60" t="n">
        <f aca="false">IF(BT1621=1,0,IFERROR(VLOOKUP(BR1621,'Gebinde-Kategorie'!$A$5:$M$45,13,0)+0,0))</f>
        <v>26</v>
      </c>
      <c r="S1621" s="61"/>
      <c r="T1621" s="62" t="s">
        <v>275</v>
      </c>
      <c r="U1621" s="62"/>
      <c r="V1621" s="62"/>
      <c r="W1621" s="55"/>
      <c r="X1621" s="57"/>
      <c r="Y1621" s="57"/>
      <c r="Z1621" s="55" t="n">
        <f aca="false">IF(A1621="","",IF(AND(Parameter!$B$21="Ja",ISNUMBER(W1621)),W1621,IF(BV1621="2+3",IF(ISNUMBER(SEARCH("grosser Artikel",BO1621)),2,IFERROR(VLOOKUP(BR1621,Parameter!$F$35:$G$64,2,0),2)),IF(OR(BV1621="Nein",BV1621=""),"-",BV1621))))</f>
        <v>3</v>
      </c>
      <c r="AA1621" s="62"/>
      <c r="AB1621" s="63"/>
      <c r="AC1621" s="57" t="n">
        <f aca="false">AR1621</f>
        <v>20</v>
      </c>
      <c r="AD1621" s="57" t="n">
        <f aca="false">MAX(AR1621,H1621)</f>
        <v>20</v>
      </c>
      <c r="AE1621" s="64"/>
      <c r="AF1621" s="57" t="n">
        <f aca="false">IF(LEFT(Cockpit!$C$5,1)="A",H1621,IF(CA1621=1,CB1621,IF(LEFT(Cockpit!$C$5,1)="B",AJ1621,MAX(AJ1621,H1621))))</f>
        <v>15</v>
      </c>
      <c r="AG1621" s="57" t="n">
        <f aca="false">IF(BT1621=1,0,ROUNDUP(AF1621/BS1621,0))</f>
        <v>1</v>
      </c>
      <c r="AH1621" s="59" t="n">
        <f aca="false">IF(CH1621&gt;0,CH1621*MAX(1,AF1621/X1621),IF(BT1621=1,IF(AF1621&lt;=0,0,BW1621*MAX(1,IF(H1621&gt;0,AF1621/H1621,1))),IF(R1621&gt;0,AG1621/R1621,0))/MAX(0.1,N(Parameter!$M$21)))</f>
        <v>0.0384615384615385</v>
      </c>
      <c r="AI1621" s="57" t="n">
        <f aca="false">AF1621*G1621</f>
        <v>121.5</v>
      </c>
      <c r="AJ1621" s="57" t="n">
        <f aca="false">ROUNDUP(MAX(J1621/IF(BZ1621&gt;0,BZ1621,MAX(0.1,N(Cockpit!$C$6))),CC1621)/BS1621,0)*BS1621</f>
        <v>20</v>
      </c>
      <c r="AK1621" s="58" t="n">
        <f aca="false">IF(AH1621&gt;0,J1621/AH1621,-1)</f>
        <v>0</v>
      </c>
      <c r="AL1621" s="58" t="n">
        <f aca="false">IF(AND(OR(BY1621="L1",BY1621="L23"),AH1621&gt;0),SUMIFS($AH$7:$AH$1843,$BY$7:$BY$1843,BY1621,$AK$7:$AK$1843,"&gt;"&amp;AK1621)+SUMIFS($AH$7:$AH$1843,$BY$7:$BY$1843,BY1621,$AK$7:$AK$1843,AK1621,$BQ$7:$BQ$1843,"&lt;="&amp;BQ1621),"")</f>
        <v>87.2063274889362</v>
      </c>
      <c r="AM1621" s="65" t="n">
        <f aca="false">IF(AL1621="",0,MAX(0,MIN(1,(IF(BY1621="L1",Parameter!$E$5,Parameter!$E$6+Parameter!$E$7)-(AL1621-AH1621))/AH1621)))</f>
        <v>1</v>
      </c>
      <c r="AN1621" s="57" t="n">
        <f aca="false">IF(LEFT(Cockpit!$I$5,1)="A",H1621,IF(CA1621=1,CB1621,IF(LEFT(Cockpit!$I$5,1)="B",AR1621,MAX(AR1621,H1621))))</f>
        <v>20</v>
      </c>
      <c r="AO1621" s="57" t="n">
        <f aca="false">IF(BT1621=1,0,ROUNDUP(AN1621/BS1621,0))</f>
        <v>1</v>
      </c>
      <c r="AP1621" s="59" t="n">
        <f aca="false">IF(CH1621&gt;0,CH1621*MAX(1,AN1621/X1621),IF(BT1621=1,IF(AN1621&lt;=0,0,BW1621*MAX(1,IF(H1621&gt;0,AN1621/H1621,1))),IF(R1621&gt;0,AO1621/R1621,0))/MAX(0.1,N(Parameter!$M$21)))</f>
        <v>0.0384615384615385</v>
      </c>
      <c r="AQ1621" s="57" t="n">
        <f aca="false">AN1621*G1621</f>
        <v>162</v>
      </c>
      <c r="AR1621" s="57" t="n">
        <f aca="false">ROUNDUP(MAX(J1621/IF(BZ1621&gt;0,BZ1621,MAX(0.1,N(Cockpit!$I$6))),CC1621)/BS1621,0)*BS1621</f>
        <v>20</v>
      </c>
      <c r="AS1621" s="58" t="n">
        <f aca="false">IF(AP1621&gt;0,J1621/AP1621,-1)</f>
        <v>0</v>
      </c>
      <c r="AT1621" s="58" t="n">
        <f aca="false">IF(AND(OR(BY1621="L1",BY1621="L23"),AP1621&gt;0),SUMIFS($AP$7:$AP$1843,$BY$7:$BY$1843,BY1621,$AS$7:$AS$1843,"&gt;"&amp;AS1621)+SUMIFS($AP$7:$AP$1843,$BY$7:$BY$1843,BY1621,$AS$7:$AS$1843,AS1621,$BQ$7:$BQ$1843,"&lt;="&amp;BQ1621),"")</f>
        <v>132.458464241073</v>
      </c>
      <c r="AU1621" s="65" t="n">
        <f aca="false">IF(AT1621="",0,MAX(0,MIN(1,(IF(BY1621="L1",Parameter!$E$5,Parameter!$E$6+Parameter!$E$7)-(AT1621-AP1621))/AP1621)))</f>
        <v>0</v>
      </c>
      <c r="AV1621" s="57" t="n">
        <f aca="false">IF(LEFT(Cockpit!$O$5,1)="A",H1621,IF(CA1621=1,CB1621,IF(LEFT(Cockpit!$O$5,1)="B",AZ1621,MAX(AZ1621,H1621))))</f>
        <v>20</v>
      </c>
      <c r="AW1621" s="57" t="n">
        <f aca="false">IF(BT1621=1,0,ROUNDUP(AV1621/BS1621,0))</f>
        <v>1</v>
      </c>
      <c r="AX1621" s="59" t="n">
        <f aca="false">IF(CH1621&gt;0,CH1621*MAX(1,AV1621/X1621),IF(BT1621=1,IF(AV1621&lt;=0,0,BW1621*MAX(1,IF(H1621&gt;0,AV1621/H1621,1))),IF(R1621&gt;0,AW1621/R1621,0))/MAX(0.1,N(Parameter!$M$21)))</f>
        <v>0.0384615384615385</v>
      </c>
      <c r="AY1621" s="57" t="n">
        <f aca="false">AV1621*G1621</f>
        <v>162</v>
      </c>
      <c r="AZ1621" s="57" t="n">
        <f aca="false">ROUNDUP(MAX(J1621/IF(BZ1621&gt;0,BZ1621,MAX(0.1,N(Cockpit!$O$6))),CC1621)/BS1621,0)*BS1621</f>
        <v>20</v>
      </c>
      <c r="BA1621" s="58" t="n">
        <f aca="false">IF(AX1621&gt;0,J1621/AX1621,-1)</f>
        <v>0</v>
      </c>
      <c r="BB1621" s="58" t="n">
        <f aca="false">IF(AND(OR(BY1621="L1",BY1621="L23"),AX1621&gt;0),SUMIFS($AX$7:$AX$1843,$BY$7:$BY$1843,BY1621,$BA$7:$BA$1843,"&gt;"&amp;BA1621)+SUMIFS($AX$7:$AX$1843,$BY$7:$BY$1843,BY1621,$BA$7:$BA$1843,BA1621,$BQ$7:$BQ$1843,"&lt;="&amp;BQ1621),"")</f>
        <v>123.28830107091</v>
      </c>
      <c r="BC1621" s="65" t="n">
        <f aca="false">IF(BB1621="",0,MAX(0,MIN(1,(IF(BY1621="L1",Parameter!$E$5,Parameter!$E$6+Parameter!$E$7)-(BB1621-AX1621))/AX1621)))</f>
        <v>0</v>
      </c>
      <c r="BD1621" s="55" t="str">
        <f aca="false">IF(AH1621&lt;=0,"",IF(BY1621="Aussen","Aussenlager",IF(BY1621="-","Nicht im Lift",IF(AM1621&gt;=1,"Lift",IF(AM1621&lt;=0,"Aussenlager","teilweise")))))</f>
        <v>Lift</v>
      </c>
      <c r="BE1621" s="55" t="str">
        <f aca="false">IF(AP1621&lt;=0,"",IF(BY1621="Aussen","Aussenlager",IF(BY1621="-","Nicht im Lift",IF(AU1621&gt;=1,"Lift",IF(AU1621&lt;=0,"Aussenlager","teilweise")))))</f>
        <v>Aussenlager</v>
      </c>
      <c r="BF1621" s="55" t="str">
        <f aca="false">IF(AX1621&lt;=0,"",IF(BY1621="Aussen","Aussenlager",IF(BY1621="-","Nicht im Lift",IF(BC1621&gt;=1,"Lift",IF(BC1621&lt;=0,"Aussenlager","teilweise")))))</f>
        <v>Aussenlager</v>
      </c>
      <c r="BG1621" s="55" t="str">
        <f aca="false">IF(A1621="","",IF(BP1621=1,"Neu; ","")&amp;IF(AND(BP1621=0,BK1621&lt;0),"negativer Bestand (Export "&amp;BK1621&amp;"); ","")&amp;IF(J1621&lt;=0,"Kein Verbrauch; ","")&amp;IF(CH1621&gt;0,"Lift "&amp;W1621&amp;" lt. Liftbericht (Fach "&amp;X1621&amp;" Stk); ",IF(BU1621=1,"Gebinde geschätzt ("&amp;T1621&amp;"); ",IF(BT1621=1,"Lose – Tablare geschätzt; ","")))&amp;IF(H1621&gt;AR1621,"Überbestand "&amp;ROUND(H1621-AR1621,0)&amp;" Stk / CHF "&amp;ROUND((H1621-AR1621)*G1621,0)&amp;"; ","")&amp;IF(AND(CA1621=1,CB1621&lt;CC1621),"MAX &lt; MB+LG; ","")&amp;IF(AND(CG1621&gt;0,CF1621*10&gt;CG1621),"zu hoch für Tablar; ","")&amp;IF(AND(BP1621=0,OR(CA1621=1,AA1621&lt;&gt;"",U1621&lt;&gt;"",V1621&lt;&gt;"",AB1621&lt;&gt;"")),"manuell übersteuert; ","")&amp;IF(AND(BT1621=0,R1621=0),"Gebinde unbekannt / Stellmass fehlt; ","")&amp;IF(AND(BT1621=0,N(V1621)&lt;=0,N(Q1621)&lt;=0),"Menge pro Gebinde fehlt (Ist = 1 Gebinde); ","")&amp;BO1621)</f>
        <v>Kein Verbrauch; Gebinde geschätzt (Klein); Menge pro Gebinde fehlt (Ist = 1 Gebinde); nur im Artikelstamm (Bestand 23.06.2026)</v>
      </c>
      <c r="BH1621" s="55"/>
      <c r="BI1621" s="55"/>
      <c r="BJ1621" s="62"/>
      <c r="BK1621" s="57" t="n">
        <v>15</v>
      </c>
      <c r="BL1621" s="57" t="n">
        <v>0</v>
      </c>
      <c r="BM1621" s="56" t="n">
        <v>0</v>
      </c>
      <c r="BN1621" s="57" t="n">
        <v>0</v>
      </c>
      <c r="BO1621" s="55" t="s">
        <v>2575</v>
      </c>
      <c r="BP1621" s="60" t="n">
        <v>0</v>
      </c>
      <c r="BQ1621" s="60" t="n">
        <v>1621</v>
      </c>
      <c r="BR1621" s="55" t="str">
        <f aca="false">IF(U1621&lt;&gt;"",UPPER(TRIM(U1621)),IF(BU1621=1,UPPER(VLOOKUP(T1621,Parameter!$I$27:$K$29,2,0)),IF(P1621="","LOSE",P1621)))</f>
        <v>S51</v>
      </c>
      <c r="BS1621" s="57" t="n">
        <f aca="false">IF(BR1621="LOSE",1,IF(N(V1621)&gt;0,V1621,IF(BU1621=1,MAX(1,N(VLOOKUP(T1621,Parameter!$I$27:$K$29,3,0)),H1621,N(N1621)),IF(N(Q1621)&gt;0,Q1621,MAX(1,H1621)))))</f>
        <v>20</v>
      </c>
      <c r="BT1621" s="60" t="n">
        <f aca="false">IF(BR1621="LOSE",1,0)</f>
        <v>0</v>
      </c>
      <c r="BU1621" s="60" t="n">
        <f aca="false">IF(AND(U1621="",OR(P1621="",P1621="LOSE"),T1621&lt;&gt;"",N(S1621)&lt;=0,ISNUMBER(MATCH(T1621,Parameter!$I$27:$I$29,0))),1,0)</f>
        <v>1</v>
      </c>
      <c r="BV1621" s="55" t="str">
        <f aca="false">IF(AND(Parameter!$B$19="Ja",E1621&lt;&gt;"",ISNUMBER(MATCH(E1621,Parameter!$I$35:$I$52,0))),VLOOKUP(E1621,Parameter!$I$35:$J$52,2,0),IFERROR(VLOOKUP(D1621,Parameter!$A$35:$C$64,2,0),"Nein"))</f>
        <v>2+3</v>
      </c>
      <c r="BW1621" s="59" t="n">
        <f aca="false">IF(BT1621=0,0,IF(N(S1621)&gt;0,S1621,IFERROR(VLOOKUP(D1621,Parameter!$A$35:$C$64,3,0)+0,0)))</f>
        <v>0</v>
      </c>
      <c r="BX1621" s="55" t="n">
        <f aca="false">IF(AA1621&lt;&gt;"",AA1621,Z1621)</f>
        <v>3</v>
      </c>
      <c r="BY1621" s="55" t="str">
        <f aca="false">IF(BX1621=1,"L1",IF(OR(BX1621=2,BX1621=3),"L23",IF(BX1621="Aussen","Aussen","-")))</f>
        <v>L23</v>
      </c>
      <c r="BZ1621" s="66" t="n">
        <f aca="false">IF(N(AB1621)&gt;0,AB1621,0)</f>
        <v>0</v>
      </c>
      <c r="CA1621" s="60" t="n">
        <f aca="false">IF(ISNUMBER(AE1621),1,0)</f>
        <v>0</v>
      </c>
      <c r="CB1621" s="57" t="n">
        <f aca="false">N(AE1621)</f>
        <v>0</v>
      </c>
      <c r="CC1621" s="57" t="n">
        <f aca="false">N(M1621)+N(N1621)</f>
        <v>1</v>
      </c>
      <c r="CD1621" s="57" t="n">
        <f aca="false">ROUNDUP(H1621/BS1621,0)</f>
        <v>1</v>
      </c>
      <c r="CE1621" s="57" t="n">
        <f aca="false">ROUNDUP(CB1621/BS1621,0)</f>
        <v>0</v>
      </c>
      <c r="CF1621" s="60" t="n">
        <f aca="false">IF(BT1621=1,0,IFERROR(VLOOKUP(BR1621,'Gebinde-Kategorie'!$A$5:$M$45,5,0)+0,0))</f>
        <v>11</v>
      </c>
      <c r="CG1621" s="60" t="n">
        <f aca="false">IFERROR(IF(OR(BX1621=1,BX1621=2,BX1621=3),N(INDEX(Parameter!$I$5:$I$7,BX1621)),0),0)</f>
        <v>0</v>
      </c>
      <c r="CH1621" s="59" t="n">
        <f aca="false">IF(AND(Parameter!$B$21="Ja",ISNUMBER(W1621),N(X1621)&gt;0),IFERROR(N(INDEX(Parameter!$L$5:$L$7,W1621))*INDEX(Parameter!$E$5:$E$7,W1621)*X1621/SUMIFS($X$7:$X$1843,$W$7:$W$1843,W1621),0),0)</f>
        <v>0</v>
      </c>
    </row>
    <row r="1622" customFormat="false" ht="15" hidden="false" customHeight="false" outlineLevel="0" collapsed="false">
      <c r="A1622" s="55" t="s">
        <v>2824</v>
      </c>
      <c r="B1622" s="55" t="s">
        <v>405</v>
      </c>
      <c r="C1622" s="55" t="s">
        <v>164</v>
      </c>
      <c r="D1622" s="55" t="s">
        <v>184</v>
      </c>
      <c r="E1622" s="55"/>
      <c r="F1622" s="55"/>
      <c r="G1622" s="56" t="n">
        <v>0.08</v>
      </c>
      <c r="H1622" s="57" t="n">
        <f aca="false">MAX(0,IF(AND(Parameter!$B$21="Ja",ISNUMBER(Y1622)),Y1622,IF(Parameter!$B$20="Jahresanfang 2025 + Export",BL1622+BK1622,BK1622)))</f>
        <v>1143</v>
      </c>
      <c r="I1622" s="57" t="n">
        <f aca="false">H1622*G1622</f>
        <v>91.44</v>
      </c>
      <c r="J1622" s="57" t="n">
        <f aca="false">BN1622*Parameter!$B$18</f>
        <v>0</v>
      </c>
      <c r="K1622" s="58"/>
      <c r="L1622" s="59"/>
      <c r="M1622" s="57" t="n">
        <v>0</v>
      </c>
      <c r="N1622" s="57" t="n">
        <v>200</v>
      </c>
      <c r="O1622" s="60" t="n">
        <v>14</v>
      </c>
      <c r="P1622" s="55" t="s">
        <v>168</v>
      </c>
      <c r="Q1622" s="57"/>
      <c r="R1622" s="60" t="n">
        <f aca="false">IF(BT1622=1,0,IFERROR(VLOOKUP(BR1622,'Gebinde-Kategorie'!$A$5:$M$45,13,0)+0,0))</f>
        <v>26</v>
      </c>
      <c r="S1622" s="61"/>
      <c r="T1622" s="62" t="s">
        <v>275</v>
      </c>
      <c r="U1622" s="62"/>
      <c r="V1622" s="62"/>
      <c r="W1622" s="55"/>
      <c r="X1622" s="57"/>
      <c r="Y1622" s="57"/>
      <c r="Z1622" s="55" t="n">
        <f aca="false">IF(A1622="","",IF(AND(Parameter!$B$21="Ja",ISNUMBER(W1622)),W1622,IF(BV1622="2+3",IF(ISNUMBER(SEARCH("grosser Artikel",BO1622)),2,IFERROR(VLOOKUP(BR1622,Parameter!$F$35:$G$64,2,0),2)),IF(OR(BV1622="Nein",BV1622=""),"-",BV1622))))</f>
        <v>3</v>
      </c>
      <c r="AA1622" s="62"/>
      <c r="AB1622" s="63"/>
      <c r="AC1622" s="57" t="n">
        <f aca="false">AR1622</f>
        <v>1143</v>
      </c>
      <c r="AD1622" s="57" t="n">
        <f aca="false">MAX(AR1622,H1622)</f>
        <v>1143</v>
      </c>
      <c r="AE1622" s="64"/>
      <c r="AF1622" s="57" t="n">
        <f aca="false">IF(LEFT(Cockpit!$C$5,1)="A",H1622,IF(CA1622=1,CB1622,IF(LEFT(Cockpit!$C$5,1)="B",AJ1622,MAX(AJ1622,H1622))))</f>
        <v>1143</v>
      </c>
      <c r="AG1622" s="57" t="n">
        <f aca="false">IF(BT1622=1,0,ROUNDUP(AF1622/BS1622,0))</f>
        <v>1</v>
      </c>
      <c r="AH1622" s="59" t="n">
        <f aca="false">IF(CH1622&gt;0,CH1622*MAX(1,AF1622/X1622),IF(BT1622=1,IF(AF1622&lt;=0,0,BW1622*MAX(1,IF(H1622&gt;0,AF1622/H1622,1))),IF(R1622&gt;0,AG1622/R1622,0))/MAX(0.1,N(Parameter!$M$21)))</f>
        <v>0.0384615384615385</v>
      </c>
      <c r="AI1622" s="57" t="n">
        <f aca="false">AF1622*G1622</f>
        <v>91.44</v>
      </c>
      <c r="AJ1622" s="57" t="n">
        <f aca="false">ROUNDUP(MAX(J1622/IF(BZ1622&gt;0,BZ1622,MAX(0.1,N(Cockpit!$C$6))),CC1622)/BS1622,0)*BS1622</f>
        <v>1143</v>
      </c>
      <c r="AK1622" s="58" t="n">
        <f aca="false">IF(AH1622&gt;0,J1622/AH1622,-1)</f>
        <v>0</v>
      </c>
      <c r="AL1622" s="58" t="n">
        <f aca="false">IF(AND(OR(BY1622="L1",BY1622="L23"),AH1622&gt;0),SUMIFS($AH$7:$AH$1843,$BY$7:$BY$1843,BY1622,$AK$7:$AK$1843,"&gt;"&amp;AK1622)+SUMIFS($AH$7:$AH$1843,$BY$7:$BY$1843,BY1622,$AK$7:$AK$1843,AK1622,$BQ$7:$BQ$1843,"&lt;="&amp;BQ1622),"")</f>
        <v>87.2447890273977</v>
      </c>
      <c r="AM1622" s="65" t="n">
        <f aca="false">IF(AL1622="",0,MAX(0,MIN(1,(IF(BY1622="L1",Parameter!$E$5,Parameter!$E$6+Parameter!$E$7)-(AL1622-AH1622))/AH1622)))</f>
        <v>1</v>
      </c>
      <c r="AN1622" s="57" t="n">
        <f aca="false">IF(LEFT(Cockpit!$I$5,1)="A",H1622,IF(CA1622=1,CB1622,IF(LEFT(Cockpit!$I$5,1)="B",AR1622,MAX(AR1622,H1622))))</f>
        <v>1143</v>
      </c>
      <c r="AO1622" s="57" t="n">
        <f aca="false">IF(BT1622=1,0,ROUNDUP(AN1622/BS1622,0))</f>
        <v>1</v>
      </c>
      <c r="AP1622" s="59" t="n">
        <f aca="false">IF(CH1622&gt;0,CH1622*MAX(1,AN1622/X1622),IF(BT1622=1,IF(AN1622&lt;=0,0,BW1622*MAX(1,IF(H1622&gt;0,AN1622/H1622,1))),IF(R1622&gt;0,AO1622/R1622,0))/MAX(0.1,N(Parameter!$M$21)))</f>
        <v>0.0384615384615385</v>
      </c>
      <c r="AQ1622" s="57" t="n">
        <f aca="false">AN1622*G1622</f>
        <v>91.44</v>
      </c>
      <c r="AR1622" s="57" t="n">
        <f aca="false">ROUNDUP(MAX(J1622/IF(BZ1622&gt;0,BZ1622,MAX(0.1,N(Cockpit!$I$6))),CC1622)/BS1622,0)*BS1622</f>
        <v>1143</v>
      </c>
      <c r="AS1622" s="58" t="n">
        <f aca="false">IF(AP1622&gt;0,J1622/AP1622,-1)</f>
        <v>0</v>
      </c>
      <c r="AT1622" s="58" t="n">
        <f aca="false">IF(AND(OR(BY1622="L1",BY1622="L23"),AP1622&gt;0),SUMIFS($AP$7:$AP$1843,$BY$7:$BY$1843,BY1622,$AS$7:$AS$1843,"&gt;"&amp;AS1622)+SUMIFS($AP$7:$AP$1843,$BY$7:$BY$1843,BY1622,$AS$7:$AS$1843,AS1622,$BQ$7:$BQ$1843,"&lt;="&amp;BQ1622),"")</f>
        <v>132.496925779534</v>
      </c>
      <c r="AU1622" s="65" t="n">
        <f aca="false">IF(AT1622="",0,MAX(0,MIN(1,(IF(BY1622="L1",Parameter!$E$5,Parameter!$E$6+Parameter!$E$7)-(AT1622-AP1622))/AP1622)))</f>
        <v>0</v>
      </c>
      <c r="AV1622" s="57" t="n">
        <f aca="false">IF(LEFT(Cockpit!$O$5,1)="A",H1622,IF(CA1622=1,CB1622,IF(LEFT(Cockpit!$O$5,1)="B",AZ1622,MAX(AZ1622,H1622))))</f>
        <v>1143</v>
      </c>
      <c r="AW1622" s="57" t="n">
        <f aca="false">IF(BT1622=1,0,ROUNDUP(AV1622/BS1622,0))</f>
        <v>1</v>
      </c>
      <c r="AX1622" s="59" t="n">
        <f aca="false">IF(CH1622&gt;0,CH1622*MAX(1,AV1622/X1622),IF(BT1622=1,IF(AV1622&lt;=0,0,BW1622*MAX(1,IF(H1622&gt;0,AV1622/H1622,1))),IF(R1622&gt;0,AW1622/R1622,0))/MAX(0.1,N(Parameter!$M$21)))</f>
        <v>0.0384615384615385</v>
      </c>
      <c r="AY1622" s="57" t="n">
        <f aca="false">AV1622*G1622</f>
        <v>91.44</v>
      </c>
      <c r="AZ1622" s="57" t="n">
        <f aca="false">ROUNDUP(MAX(J1622/IF(BZ1622&gt;0,BZ1622,MAX(0.1,N(Cockpit!$O$6))),CC1622)/BS1622,0)*BS1622</f>
        <v>1143</v>
      </c>
      <c r="BA1622" s="58" t="n">
        <f aca="false">IF(AX1622&gt;0,J1622/AX1622,-1)</f>
        <v>0</v>
      </c>
      <c r="BB1622" s="58" t="n">
        <f aca="false">IF(AND(OR(BY1622="L1",BY1622="L23"),AX1622&gt;0),SUMIFS($AX$7:$AX$1843,$BY$7:$BY$1843,BY1622,$BA$7:$BA$1843,"&gt;"&amp;BA1622)+SUMIFS($AX$7:$AX$1843,$BY$7:$BY$1843,BY1622,$BA$7:$BA$1843,BA1622,$BQ$7:$BQ$1843,"&lt;="&amp;BQ1622),"")</f>
        <v>123.326762609371</v>
      </c>
      <c r="BC1622" s="65" t="n">
        <f aca="false">IF(BB1622="",0,MAX(0,MIN(1,(IF(BY1622="L1",Parameter!$E$5,Parameter!$E$6+Parameter!$E$7)-(BB1622-AX1622))/AX1622)))</f>
        <v>0</v>
      </c>
      <c r="BD1622" s="55" t="str">
        <f aca="false">IF(AH1622&lt;=0,"",IF(BY1622="Aussen","Aussenlager",IF(BY1622="-","Nicht im Lift",IF(AM1622&gt;=1,"Lift",IF(AM1622&lt;=0,"Aussenlager","teilweise")))))</f>
        <v>Lift</v>
      </c>
      <c r="BE1622" s="55" t="str">
        <f aca="false">IF(AP1622&lt;=0,"",IF(BY1622="Aussen","Aussenlager",IF(BY1622="-","Nicht im Lift",IF(AU1622&gt;=1,"Lift",IF(AU1622&lt;=0,"Aussenlager","teilweise")))))</f>
        <v>Aussenlager</v>
      </c>
      <c r="BF1622" s="55" t="str">
        <f aca="false">IF(AX1622&lt;=0,"",IF(BY1622="Aussen","Aussenlager",IF(BY1622="-","Nicht im Lift",IF(BC1622&gt;=1,"Lift",IF(BC1622&lt;=0,"Aussenlager","teilweise")))))</f>
        <v>Aussenlager</v>
      </c>
      <c r="BG1622" s="55" t="str">
        <f aca="false">IF(A1622="","",IF(BP1622=1,"Neu; ","")&amp;IF(AND(BP1622=0,BK1622&lt;0),"negativer Bestand (Export "&amp;BK1622&amp;"); ","")&amp;IF(J1622&lt;=0,"Kein Verbrauch; ","")&amp;IF(CH1622&gt;0,"Lift "&amp;W1622&amp;" lt. Liftbericht (Fach "&amp;X1622&amp;" Stk); ",IF(BU1622=1,"Gebinde geschätzt ("&amp;T1622&amp;"); ",IF(BT1622=1,"Lose – Tablare geschätzt; ","")))&amp;IF(H1622&gt;AR1622,"Überbestand "&amp;ROUND(H1622-AR1622,0)&amp;" Stk / CHF "&amp;ROUND((H1622-AR1622)*G1622,0)&amp;"; ","")&amp;IF(AND(CA1622=1,CB1622&lt;CC1622),"MAX &lt; MB+LG; ","")&amp;IF(AND(CG1622&gt;0,CF1622*10&gt;CG1622),"zu hoch für Tablar; ","")&amp;IF(AND(BP1622=0,OR(CA1622=1,AA1622&lt;&gt;"",U1622&lt;&gt;"",V1622&lt;&gt;"",AB1622&lt;&gt;"")),"manuell übersteuert; ","")&amp;IF(AND(BT1622=0,R1622=0),"Gebinde unbekannt / Stellmass fehlt; ","")&amp;IF(AND(BT1622=0,N(V1622)&lt;=0,N(Q1622)&lt;=0),"Menge pro Gebinde fehlt (Ist = 1 Gebinde); ","")&amp;BO1622)</f>
        <v>Kein Verbrauch; Gebinde geschätzt (Klein); Menge pro Gebinde fehlt (Ist = 1 Gebinde); nur im Artikelstamm (Bestand 23.06.2026)</v>
      </c>
      <c r="BH1622" s="55"/>
      <c r="BI1622" s="55"/>
      <c r="BJ1622" s="62"/>
      <c r="BK1622" s="57" t="n">
        <v>1143</v>
      </c>
      <c r="BL1622" s="57" t="n">
        <v>0</v>
      </c>
      <c r="BM1622" s="56" t="n">
        <v>0</v>
      </c>
      <c r="BN1622" s="57" t="n">
        <v>0</v>
      </c>
      <c r="BO1622" s="55" t="s">
        <v>2575</v>
      </c>
      <c r="BP1622" s="60" t="n">
        <v>0</v>
      </c>
      <c r="BQ1622" s="60" t="n">
        <v>1622</v>
      </c>
      <c r="BR1622" s="55" t="str">
        <f aca="false">IF(U1622&lt;&gt;"",UPPER(TRIM(U1622)),IF(BU1622=1,UPPER(VLOOKUP(T1622,Parameter!$I$27:$K$29,2,0)),IF(P1622="","LOSE",P1622)))</f>
        <v>S51</v>
      </c>
      <c r="BS1622" s="57" t="n">
        <f aca="false">IF(BR1622="LOSE",1,IF(N(V1622)&gt;0,V1622,IF(BU1622=1,MAX(1,N(VLOOKUP(T1622,Parameter!$I$27:$K$29,3,0)),H1622,N(N1622)),IF(N(Q1622)&gt;0,Q1622,MAX(1,H1622)))))</f>
        <v>1143</v>
      </c>
      <c r="BT1622" s="60" t="n">
        <f aca="false">IF(BR1622="LOSE",1,0)</f>
        <v>0</v>
      </c>
      <c r="BU1622" s="60" t="n">
        <f aca="false">IF(AND(U1622="",OR(P1622="",P1622="LOSE"),T1622&lt;&gt;"",N(S1622)&lt;=0,ISNUMBER(MATCH(T1622,Parameter!$I$27:$I$29,0))),1,0)</f>
        <v>1</v>
      </c>
      <c r="BV1622" s="55" t="str">
        <f aca="false">IF(AND(Parameter!$B$19="Ja",E1622&lt;&gt;"",ISNUMBER(MATCH(E1622,Parameter!$I$35:$I$52,0))),VLOOKUP(E1622,Parameter!$I$35:$J$52,2,0),IFERROR(VLOOKUP(D1622,Parameter!$A$35:$C$64,2,0),"Nein"))</f>
        <v>2+3</v>
      </c>
      <c r="BW1622" s="59" t="n">
        <f aca="false">IF(BT1622=0,0,IF(N(S1622)&gt;0,S1622,IFERROR(VLOOKUP(D1622,Parameter!$A$35:$C$64,3,0)+0,0)))</f>
        <v>0</v>
      </c>
      <c r="BX1622" s="55" t="n">
        <f aca="false">IF(AA1622&lt;&gt;"",AA1622,Z1622)</f>
        <v>3</v>
      </c>
      <c r="BY1622" s="55" t="str">
        <f aca="false">IF(BX1622=1,"L1",IF(OR(BX1622=2,BX1622=3),"L23",IF(BX1622="Aussen","Aussen","-")))</f>
        <v>L23</v>
      </c>
      <c r="BZ1622" s="66" t="n">
        <f aca="false">IF(N(AB1622)&gt;0,AB1622,0)</f>
        <v>0</v>
      </c>
      <c r="CA1622" s="60" t="n">
        <f aca="false">IF(ISNUMBER(AE1622),1,0)</f>
        <v>0</v>
      </c>
      <c r="CB1622" s="57" t="n">
        <f aca="false">N(AE1622)</f>
        <v>0</v>
      </c>
      <c r="CC1622" s="57" t="n">
        <f aca="false">N(M1622)+N(N1622)</f>
        <v>200</v>
      </c>
      <c r="CD1622" s="57" t="n">
        <f aca="false">ROUNDUP(H1622/BS1622,0)</f>
        <v>1</v>
      </c>
      <c r="CE1622" s="57" t="n">
        <f aca="false">ROUNDUP(CB1622/BS1622,0)</f>
        <v>0</v>
      </c>
      <c r="CF1622" s="60" t="n">
        <f aca="false">IF(BT1622=1,0,IFERROR(VLOOKUP(BR1622,'Gebinde-Kategorie'!$A$5:$M$45,5,0)+0,0))</f>
        <v>11</v>
      </c>
      <c r="CG1622" s="60" t="n">
        <f aca="false">IFERROR(IF(OR(BX1622=1,BX1622=2,BX1622=3),N(INDEX(Parameter!$I$5:$I$7,BX1622)),0),0)</f>
        <v>0</v>
      </c>
      <c r="CH1622" s="59" t="n">
        <f aca="false">IF(AND(Parameter!$B$21="Ja",ISNUMBER(W1622),N(X1622)&gt;0),IFERROR(N(INDEX(Parameter!$L$5:$L$7,W1622))*INDEX(Parameter!$E$5:$E$7,W1622)*X1622/SUMIFS($X$7:$X$1843,$W$7:$W$1843,W1622),0),0)</f>
        <v>0</v>
      </c>
    </row>
    <row r="1623" customFormat="false" ht="15" hidden="false" customHeight="false" outlineLevel="0" collapsed="false">
      <c r="A1623" s="55" t="s">
        <v>2825</v>
      </c>
      <c r="B1623" s="55" t="s">
        <v>2331</v>
      </c>
      <c r="C1623" s="55" t="s">
        <v>164</v>
      </c>
      <c r="D1623" s="55" t="s">
        <v>173</v>
      </c>
      <c r="E1623" s="55" t="s">
        <v>173</v>
      </c>
      <c r="F1623" s="55"/>
      <c r="G1623" s="56" t="n">
        <v>3273.53</v>
      </c>
      <c r="H1623" s="57" t="n">
        <f aca="false">MAX(0,IF(AND(Parameter!$B$21="Ja",ISNUMBER(Y1623)),Y1623,IF(Parameter!$B$20="Jahresanfang 2025 + Export",BL1623+BK1623,BK1623)))</f>
        <v>12</v>
      </c>
      <c r="I1623" s="57" t="n">
        <f aca="false">H1623*G1623</f>
        <v>39282.36</v>
      </c>
      <c r="J1623" s="57" t="n">
        <f aca="false">BN1623*Parameter!$B$18</f>
        <v>0</v>
      </c>
      <c r="K1623" s="58"/>
      <c r="L1623" s="59"/>
      <c r="M1623" s="57" t="n">
        <v>0</v>
      </c>
      <c r="N1623" s="57" t="n">
        <v>1</v>
      </c>
      <c r="O1623" s="60" t="n">
        <v>77</v>
      </c>
      <c r="P1623" s="55" t="s">
        <v>168</v>
      </c>
      <c r="Q1623" s="57"/>
      <c r="R1623" s="60" t="n">
        <f aca="false">IF(BT1623=1,0,IFERROR(VLOOKUP(BR1623,'Gebinde-Kategorie'!$A$5:$M$45,13,0)+0,0))</f>
        <v>12</v>
      </c>
      <c r="S1623" s="61"/>
      <c r="T1623" s="62" t="s">
        <v>179</v>
      </c>
      <c r="U1623" s="62"/>
      <c r="V1623" s="62"/>
      <c r="W1623" s="55"/>
      <c r="X1623" s="57"/>
      <c r="Y1623" s="57"/>
      <c r="Z1623" s="55" t="str">
        <f aca="false">IF(A1623="","",IF(AND(Parameter!$B$21="Ja",ISNUMBER(W1623)),W1623,IF(BV1623="2+3",IF(ISNUMBER(SEARCH("grosser Artikel",BO1623)),2,IFERROR(VLOOKUP(BR1623,Parameter!$F$35:$G$64,2,0),2)),IF(OR(BV1623="Nein",BV1623=""),"-",BV1623))))</f>
        <v>-</v>
      </c>
      <c r="AA1623" s="62"/>
      <c r="AB1623" s="63"/>
      <c r="AC1623" s="57" t="n">
        <f aca="false">AR1623</f>
        <v>12</v>
      </c>
      <c r="AD1623" s="57" t="n">
        <f aca="false">MAX(AR1623,H1623)</f>
        <v>12</v>
      </c>
      <c r="AE1623" s="64"/>
      <c r="AF1623" s="57" t="n">
        <f aca="false">IF(LEFT(Cockpit!$C$5,1)="A",H1623,IF(CA1623=1,CB1623,IF(LEFT(Cockpit!$C$5,1)="B",AJ1623,MAX(AJ1623,H1623))))</f>
        <v>12</v>
      </c>
      <c r="AG1623" s="57" t="n">
        <f aca="false">IF(BT1623=1,0,ROUNDUP(AF1623/BS1623,0))</f>
        <v>1</v>
      </c>
      <c r="AH1623" s="59" t="n">
        <f aca="false">IF(CH1623&gt;0,CH1623*MAX(1,AF1623/X1623),IF(BT1623=1,IF(AF1623&lt;=0,0,BW1623*MAX(1,IF(H1623&gt;0,AF1623/H1623,1))),IF(R1623&gt;0,AG1623/R1623,0))/MAX(0.1,N(Parameter!$M$21)))</f>
        <v>0.0833333333333333</v>
      </c>
      <c r="AI1623" s="57" t="n">
        <f aca="false">AF1623*G1623</f>
        <v>39282.36</v>
      </c>
      <c r="AJ1623" s="57" t="n">
        <f aca="false">ROUNDUP(MAX(J1623/IF(BZ1623&gt;0,BZ1623,MAX(0.1,N(Cockpit!$C$6))),CC1623)/BS1623,0)*BS1623</f>
        <v>12</v>
      </c>
      <c r="AK1623" s="58" t="n">
        <f aca="false">IF(AH1623&gt;0,J1623/AH1623,-1)</f>
        <v>0</v>
      </c>
      <c r="AL1623" s="58" t="str">
        <f aca="false">IF(AND(OR(BY1623="L1",BY1623="L23"),AH1623&gt;0),SUMIFS($AH$7:$AH$1843,$BY$7:$BY$1843,BY1623,$AK$7:$AK$1843,"&gt;"&amp;AK1623)+SUMIFS($AH$7:$AH$1843,$BY$7:$BY$1843,BY1623,$AK$7:$AK$1843,AK1623,$BQ$7:$BQ$1843,"&lt;="&amp;BQ1623),"")</f>
        <v/>
      </c>
      <c r="AM1623" s="65" t="n">
        <f aca="false">IF(AL1623="",0,MAX(0,MIN(1,(IF(BY1623="L1",Parameter!$E$5,Parameter!$E$6+Parameter!$E$7)-(AL1623-AH1623))/AH1623)))</f>
        <v>0</v>
      </c>
      <c r="AN1623" s="57" t="n">
        <f aca="false">IF(LEFT(Cockpit!$I$5,1)="A",H1623,IF(CA1623=1,CB1623,IF(LEFT(Cockpit!$I$5,1)="B",AR1623,MAX(AR1623,H1623))))</f>
        <v>12</v>
      </c>
      <c r="AO1623" s="57" t="n">
        <f aca="false">IF(BT1623=1,0,ROUNDUP(AN1623/BS1623,0))</f>
        <v>1</v>
      </c>
      <c r="AP1623" s="59" t="n">
        <f aca="false">IF(CH1623&gt;0,CH1623*MAX(1,AN1623/X1623),IF(BT1623=1,IF(AN1623&lt;=0,0,BW1623*MAX(1,IF(H1623&gt;0,AN1623/H1623,1))),IF(R1623&gt;0,AO1623/R1623,0))/MAX(0.1,N(Parameter!$M$21)))</f>
        <v>0.0833333333333333</v>
      </c>
      <c r="AQ1623" s="57" t="n">
        <f aca="false">AN1623*G1623</f>
        <v>39282.36</v>
      </c>
      <c r="AR1623" s="57" t="n">
        <f aca="false">ROUNDUP(MAX(J1623/IF(BZ1623&gt;0,BZ1623,MAX(0.1,N(Cockpit!$I$6))),CC1623)/BS1623,0)*BS1623</f>
        <v>12</v>
      </c>
      <c r="AS1623" s="58" t="n">
        <f aca="false">IF(AP1623&gt;0,J1623/AP1623,-1)</f>
        <v>0</v>
      </c>
      <c r="AT1623" s="58" t="str">
        <f aca="false">IF(AND(OR(BY1623="L1",BY1623="L23"),AP1623&gt;0),SUMIFS($AP$7:$AP$1843,$BY$7:$BY$1843,BY1623,$AS$7:$AS$1843,"&gt;"&amp;AS1623)+SUMIFS($AP$7:$AP$1843,$BY$7:$BY$1843,BY1623,$AS$7:$AS$1843,AS1623,$BQ$7:$BQ$1843,"&lt;="&amp;BQ1623),"")</f>
        <v/>
      </c>
      <c r="AU1623" s="65" t="n">
        <f aca="false">IF(AT1623="",0,MAX(0,MIN(1,(IF(BY1623="L1",Parameter!$E$5,Parameter!$E$6+Parameter!$E$7)-(AT1623-AP1623))/AP1623)))</f>
        <v>0</v>
      </c>
      <c r="AV1623" s="57" t="n">
        <f aca="false">IF(LEFT(Cockpit!$O$5,1)="A",H1623,IF(CA1623=1,CB1623,IF(LEFT(Cockpit!$O$5,1)="B",AZ1623,MAX(AZ1623,H1623))))</f>
        <v>12</v>
      </c>
      <c r="AW1623" s="57" t="n">
        <f aca="false">IF(BT1623=1,0,ROUNDUP(AV1623/BS1623,0))</f>
        <v>1</v>
      </c>
      <c r="AX1623" s="59" t="n">
        <f aca="false">IF(CH1623&gt;0,CH1623*MAX(1,AV1623/X1623),IF(BT1623=1,IF(AV1623&lt;=0,0,BW1623*MAX(1,IF(H1623&gt;0,AV1623/H1623,1))),IF(R1623&gt;0,AW1623/R1623,0))/MAX(0.1,N(Parameter!$M$21)))</f>
        <v>0.0833333333333333</v>
      </c>
      <c r="AY1623" s="57" t="n">
        <f aca="false">AV1623*G1623</f>
        <v>39282.36</v>
      </c>
      <c r="AZ1623" s="57" t="n">
        <f aca="false">ROUNDUP(MAX(J1623/IF(BZ1623&gt;0,BZ1623,MAX(0.1,N(Cockpit!$O$6))),CC1623)/BS1623,0)*BS1623</f>
        <v>12</v>
      </c>
      <c r="BA1623" s="58" t="n">
        <f aca="false">IF(AX1623&gt;0,J1623/AX1623,-1)</f>
        <v>0</v>
      </c>
      <c r="BB1623" s="58" t="str">
        <f aca="false">IF(AND(OR(BY1623="L1",BY1623="L23"),AX1623&gt;0),SUMIFS($AX$7:$AX$1843,$BY$7:$BY$1843,BY1623,$BA$7:$BA$1843,"&gt;"&amp;BA1623)+SUMIFS($AX$7:$AX$1843,$BY$7:$BY$1843,BY1623,$BA$7:$BA$1843,BA1623,$BQ$7:$BQ$1843,"&lt;="&amp;BQ1623),"")</f>
        <v/>
      </c>
      <c r="BC1623" s="65" t="n">
        <f aca="false">IF(BB1623="",0,MAX(0,MIN(1,(IF(BY1623="L1",Parameter!$E$5,Parameter!$E$6+Parameter!$E$7)-(BB1623-AX1623))/AX1623)))</f>
        <v>0</v>
      </c>
      <c r="BD1623" s="55" t="str">
        <f aca="false">IF(AH1623&lt;=0,"",IF(BY1623="Aussen","Aussenlager",IF(BY1623="-","Nicht im Lift",IF(AM1623&gt;=1,"Lift",IF(AM1623&lt;=0,"Aussenlager","teilweise")))))</f>
        <v>Nicht im Lift</v>
      </c>
      <c r="BE1623" s="55" t="str">
        <f aca="false">IF(AP1623&lt;=0,"",IF(BY1623="Aussen","Aussenlager",IF(BY1623="-","Nicht im Lift",IF(AU1623&gt;=1,"Lift",IF(AU1623&lt;=0,"Aussenlager","teilweise")))))</f>
        <v>Nicht im Lift</v>
      </c>
      <c r="BF1623" s="55" t="str">
        <f aca="false">IF(AX1623&lt;=0,"",IF(BY1623="Aussen","Aussenlager",IF(BY1623="-","Nicht im Lift",IF(BC1623&gt;=1,"Lift",IF(BC1623&lt;=0,"Aussenlager","teilweise")))))</f>
        <v>Nicht im Lift</v>
      </c>
      <c r="BG1623" s="55" t="str">
        <f aca="false">IF(A1623="","",IF(BP1623=1,"Neu; ","")&amp;IF(AND(BP1623=0,BK1623&lt;0),"negativer Bestand (Export "&amp;BK1623&amp;"); ","")&amp;IF(J1623&lt;=0,"Kein Verbrauch; ","")&amp;IF(CH1623&gt;0,"Lift "&amp;W1623&amp;" lt. Liftbericht (Fach "&amp;X1623&amp;" Stk); ",IF(BU1623=1,"Gebinde geschätzt ("&amp;T1623&amp;"); ",IF(BT1623=1,"Lose – Tablare geschätzt; ","")))&amp;IF(H1623&gt;AR1623,"Überbestand "&amp;ROUND(H1623-AR1623,0)&amp;" Stk / CHF "&amp;ROUND((H1623-AR1623)*G1623,0)&amp;"; ","")&amp;IF(AND(CA1623=1,CB1623&lt;CC1623),"MAX &lt; MB+LG; ","")&amp;IF(AND(CG1623&gt;0,CF1623*10&gt;CG1623),"zu hoch für Tablar; ","")&amp;IF(AND(BP1623=0,OR(CA1623=1,AA1623&lt;&gt;"",U1623&lt;&gt;"",V1623&lt;&gt;"",AB1623&lt;&gt;"")),"manuell übersteuert; ","")&amp;IF(AND(BT1623=0,R1623=0),"Gebinde unbekannt / Stellmass fehlt; ","")&amp;IF(AND(BT1623=0,N(V1623)&lt;=0,N(Q1623)&lt;=0),"Menge pro Gebinde fehlt (Ist = 1 Gebinde); ","")&amp;BO1623)</f>
        <v>Kein Verbrauch; Gebinde geschätzt (Mittel); Menge pro Gebinde fehlt (Ist = 1 Gebinde); nur im Artikelstamm (Bestand 23.06.2026)</v>
      </c>
      <c r="BH1623" s="55"/>
      <c r="BI1623" s="55"/>
      <c r="BJ1623" s="62"/>
      <c r="BK1623" s="57" t="n">
        <v>12</v>
      </c>
      <c r="BL1623" s="57" t="n">
        <v>0</v>
      </c>
      <c r="BM1623" s="56" t="n">
        <v>0</v>
      </c>
      <c r="BN1623" s="57" t="n">
        <v>0</v>
      </c>
      <c r="BO1623" s="55" t="s">
        <v>2575</v>
      </c>
      <c r="BP1623" s="60" t="n">
        <v>0</v>
      </c>
      <c r="BQ1623" s="60" t="n">
        <v>1623</v>
      </c>
      <c r="BR1623" s="55" t="str">
        <f aca="false">IF(U1623&lt;&gt;"",UPPER(TRIM(U1623)),IF(BU1623=1,UPPER(VLOOKUP(T1623,Parameter!$I$27:$K$29,2,0)),IF(P1623="","LOSE",P1623)))</f>
        <v>S61</v>
      </c>
      <c r="BS1623" s="57" t="n">
        <f aca="false">IF(BR1623="LOSE",1,IF(N(V1623)&gt;0,V1623,IF(BU1623=1,MAX(1,N(VLOOKUP(T1623,Parameter!$I$27:$K$29,3,0)),H1623,N(N1623)),IF(N(Q1623)&gt;0,Q1623,MAX(1,H1623)))))</f>
        <v>12</v>
      </c>
      <c r="BT1623" s="60" t="n">
        <f aca="false">IF(BR1623="LOSE",1,0)</f>
        <v>0</v>
      </c>
      <c r="BU1623" s="60" t="n">
        <f aca="false">IF(AND(U1623="",OR(P1623="",P1623="LOSE"),T1623&lt;&gt;"",N(S1623)&lt;=0,ISNUMBER(MATCH(T1623,Parameter!$I$27:$I$29,0))),1,0)</f>
        <v>1</v>
      </c>
      <c r="BV1623" s="55" t="str">
        <f aca="false">IF(AND(Parameter!$B$19="Ja",E1623&lt;&gt;"",ISNUMBER(MATCH(E1623,Parameter!$I$35:$I$52,0))),VLOOKUP(E1623,Parameter!$I$35:$J$52,2,0),IFERROR(VLOOKUP(D1623,Parameter!$A$35:$C$64,2,0),"Nein"))</f>
        <v>Nein</v>
      </c>
      <c r="BW1623" s="59" t="n">
        <f aca="false">IF(BT1623=0,0,IF(N(S1623)&gt;0,S1623,IFERROR(VLOOKUP(D1623,Parameter!$A$35:$C$64,3,0)+0,0)))</f>
        <v>0</v>
      </c>
      <c r="BX1623" s="55" t="str">
        <f aca="false">IF(AA1623&lt;&gt;"",AA1623,Z1623)</f>
        <v>-</v>
      </c>
      <c r="BY1623" s="55" t="str">
        <f aca="false">IF(BX1623=1,"L1",IF(OR(BX1623=2,BX1623=3),"L23",IF(BX1623="Aussen","Aussen","-")))</f>
        <v>-</v>
      </c>
      <c r="BZ1623" s="66" t="n">
        <f aca="false">IF(N(AB1623)&gt;0,AB1623,0)</f>
        <v>0</v>
      </c>
      <c r="CA1623" s="60" t="n">
        <f aca="false">IF(ISNUMBER(AE1623),1,0)</f>
        <v>0</v>
      </c>
      <c r="CB1623" s="57" t="n">
        <f aca="false">N(AE1623)</f>
        <v>0</v>
      </c>
      <c r="CC1623" s="57" t="n">
        <f aca="false">N(M1623)+N(N1623)</f>
        <v>1</v>
      </c>
      <c r="CD1623" s="57" t="n">
        <f aca="false">ROUNDUP(H1623/BS1623,0)</f>
        <v>1</v>
      </c>
      <c r="CE1623" s="57" t="n">
        <f aca="false">ROUNDUP(CB1623/BS1623,0)</f>
        <v>0</v>
      </c>
      <c r="CF1623" s="60" t="n">
        <f aca="false">IF(BT1623=1,0,IFERROR(VLOOKUP(BR1623,'Gebinde-Kategorie'!$A$5:$M$45,5,0)+0,0))</f>
        <v>11</v>
      </c>
      <c r="CG1623" s="60" t="n">
        <f aca="false">IFERROR(IF(OR(BX1623=1,BX1623=2,BX1623=3),N(INDEX(Parameter!$I$5:$I$7,BX1623)),0),0)</f>
        <v>0</v>
      </c>
      <c r="CH1623" s="59" t="n">
        <f aca="false">IF(AND(Parameter!$B$21="Ja",ISNUMBER(W1623),N(X1623)&gt;0),IFERROR(N(INDEX(Parameter!$L$5:$L$7,W1623))*INDEX(Parameter!$E$5:$E$7,W1623)*X1623/SUMIFS($X$7:$X$1843,$W$7:$W$1843,W1623),0),0)</f>
        <v>0</v>
      </c>
    </row>
    <row r="1624" customFormat="false" ht="15" hidden="false" customHeight="false" outlineLevel="0" collapsed="false">
      <c r="A1624" s="55" t="s">
        <v>2826</v>
      </c>
      <c r="B1624" s="55" t="s">
        <v>1850</v>
      </c>
      <c r="C1624" s="55" t="s">
        <v>164</v>
      </c>
      <c r="D1624" s="55" t="s">
        <v>173</v>
      </c>
      <c r="E1624" s="55"/>
      <c r="F1624" s="55"/>
      <c r="G1624" s="56" t="n">
        <v>92.44</v>
      </c>
      <c r="H1624" s="57" t="n">
        <f aca="false">MAX(0,IF(AND(Parameter!$B$21="Ja",ISNUMBER(Y1624)),Y1624,IF(Parameter!$B$20="Jahresanfang 2025 + Export",BL1624+BK1624,BK1624)))</f>
        <v>12</v>
      </c>
      <c r="I1624" s="57" t="n">
        <f aca="false">H1624*G1624</f>
        <v>1109.28</v>
      </c>
      <c r="J1624" s="57" t="n">
        <f aca="false">BN1624*Parameter!$B$18</f>
        <v>0</v>
      </c>
      <c r="K1624" s="58"/>
      <c r="L1624" s="59"/>
      <c r="M1624" s="57" t="n">
        <v>0</v>
      </c>
      <c r="N1624" s="57" t="n">
        <v>1</v>
      </c>
      <c r="O1624" s="60" t="n">
        <v>28</v>
      </c>
      <c r="P1624" s="55" t="s">
        <v>168</v>
      </c>
      <c r="Q1624" s="57"/>
      <c r="R1624" s="60" t="n">
        <f aca="false">IF(BT1624=1,0,IFERROR(VLOOKUP(BR1624,'Gebinde-Kategorie'!$A$5:$M$45,13,0)+0,0))</f>
        <v>12</v>
      </c>
      <c r="S1624" s="61"/>
      <c r="T1624" s="62" t="s">
        <v>179</v>
      </c>
      <c r="U1624" s="62"/>
      <c r="V1624" s="62"/>
      <c r="W1624" s="55"/>
      <c r="X1624" s="57"/>
      <c r="Y1624" s="57"/>
      <c r="Z1624" s="55" t="n">
        <f aca="false">IF(A1624="","",IF(AND(Parameter!$B$21="Ja",ISNUMBER(W1624)),W1624,IF(BV1624="2+3",IF(ISNUMBER(SEARCH("grosser Artikel",BO1624)),2,IFERROR(VLOOKUP(BR1624,Parameter!$F$35:$G$64,2,0),2)),IF(OR(BV1624="Nein",BV1624=""),"-",BV1624))))</f>
        <v>2</v>
      </c>
      <c r="AA1624" s="62"/>
      <c r="AB1624" s="63"/>
      <c r="AC1624" s="57" t="n">
        <f aca="false">AR1624</f>
        <v>12</v>
      </c>
      <c r="AD1624" s="57" t="n">
        <f aca="false">MAX(AR1624,H1624)</f>
        <v>12</v>
      </c>
      <c r="AE1624" s="64"/>
      <c r="AF1624" s="57" t="n">
        <f aca="false">IF(LEFT(Cockpit!$C$5,1)="A",H1624,IF(CA1624=1,CB1624,IF(LEFT(Cockpit!$C$5,1)="B",AJ1624,MAX(AJ1624,H1624))))</f>
        <v>12</v>
      </c>
      <c r="AG1624" s="57" t="n">
        <f aca="false">IF(BT1624=1,0,ROUNDUP(AF1624/BS1624,0))</f>
        <v>1</v>
      </c>
      <c r="AH1624" s="59" t="n">
        <f aca="false">IF(CH1624&gt;0,CH1624*MAX(1,AF1624/X1624),IF(BT1624=1,IF(AF1624&lt;=0,0,BW1624*MAX(1,IF(H1624&gt;0,AF1624/H1624,1))),IF(R1624&gt;0,AG1624/R1624,0))/MAX(0.1,N(Parameter!$M$21)))</f>
        <v>0.0833333333333333</v>
      </c>
      <c r="AI1624" s="57" t="n">
        <f aca="false">AF1624*G1624</f>
        <v>1109.28</v>
      </c>
      <c r="AJ1624" s="57" t="n">
        <f aca="false">ROUNDUP(MAX(J1624/IF(BZ1624&gt;0,BZ1624,MAX(0.1,N(Cockpit!$C$6))),CC1624)/BS1624,0)*BS1624</f>
        <v>12</v>
      </c>
      <c r="AK1624" s="58" t="n">
        <f aca="false">IF(AH1624&gt;0,J1624/AH1624,-1)</f>
        <v>0</v>
      </c>
      <c r="AL1624" s="58" t="n">
        <f aca="false">IF(AND(OR(BY1624="L1",BY1624="L23"),AH1624&gt;0),SUMIFS($AH$7:$AH$1843,$BY$7:$BY$1843,BY1624,$AK$7:$AK$1843,"&gt;"&amp;AK1624)+SUMIFS($AH$7:$AH$1843,$BY$7:$BY$1843,BY1624,$AK$7:$AK$1843,AK1624,$BQ$7:$BQ$1843,"&lt;="&amp;BQ1624),"")</f>
        <v>87.3281223607311</v>
      </c>
      <c r="AM1624" s="65" t="n">
        <f aca="false">IF(AL1624="",0,MAX(0,MIN(1,(IF(BY1624="L1",Parameter!$E$5,Parameter!$E$6+Parameter!$E$7)-(AL1624-AH1624))/AH1624)))</f>
        <v>1</v>
      </c>
      <c r="AN1624" s="57" t="n">
        <f aca="false">IF(LEFT(Cockpit!$I$5,1)="A",H1624,IF(CA1624=1,CB1624,IF(LEFT(Cockpit!$I$5,1)="B",AR1624,MAX(AR1624,H1624))))</f>
        <v>12</v>
      </c>
      <c r="AO1624" s="57" t="n">
        <f aca="false">IF(BT1624=1,0,ROUNDUP(AN1624/BS1624,0))</f>
        <v>1</v>
      </c>
      <c r="AP1624" s="59" t="n">
        <f aca="false">IF(CH1624&gt;0,CH1624*MAX(1,AN1624/X1624),IF(BT1624=1,IF(AN1624&lt;=0,0,BW1624*MAX(1,IF(H1624&gt;0,AN1624/H1624,1))),IF(R1624&gt;0,AO1624/R1624,0))/MAX(0.1,N(Parameter!$M$21)))</f>
        <v>0.0833333333333333</v>
      </c>
      <c r="AQ1624" s="57" t="n">
        <f aca="false">AN1624*G1624</f>
        <v>1109.28</v>
      </c>
      <c r="AR1624" s="57" t="n">
        <f aca="false">ROUNDUP(MAX(J1624/IF(BZ1624&gt;0,BZ1624,MAX(0.1,N(Cockpit!$I$6))),CC1624)/BS1624,0)*BS1624</f>
        <v>12</v>
      </c>
      <c r="AS1624" s="58" t="n">
        <f aca="false">IF(AP1624&gt;0,J1624/AP1624,-1)</f>
        <v>0</v>
      </c>
      <c r="AT1624" s="58" t="n">
        <f aca="false">IF(AND(OR(BY1624="L1",BY1624="L23"),AP1624&gt;0),SUMIFS($AP$7:$AP$1843,$BY$7:$BY$1843,BY1624,$AS$7:$AS$1843,"&gt;"&amp;AS1624)+SUMIFS($AP$7:$AP$1843,$BY$7:$BY$1843,BY1624,$AS$7:$AS$1843,AS1624,$BQ$7:$BQ$1843,"&lt;="&amp;BQ1624),"")</f>
        <v>132.580259112868</v>
      </c>
      <c r="AU1624" s="65" t="n">
        <f aca="false">IF(AT1624="",0,MAX(0,MIN(1,(IF(BY1624="L1",Parameter!$E$5,Parameter!$E$6+Parameter!$E$7)-(AT1624-AP1624))/AP1624)))</f>
        <v>0</v>
      </c>
      <c r="AV1624" s="57" t="n">
        <f aca="false">IF(LEFT(Cockpit!$O$5,1)="A",H1624,IF(CA1624=1,CB1624,IF(LEFT(Cockpit!$O$5,1)="B",AZ1624,MAX(AZ1624,H1624))))</f>
        <v>12</v>
      </c>
      <c r="AW1624" s="57" t="n">
        <f aca="false">IF(BT1624=1,0,ROUNDUP(AV1624/BS1624,0))</f>
        <v>1</v>
      </c>
      <c r="AX1624" s="59" t="n">
        <f aca="false">IF(CH1624&gt;0,CH1624*MAX(1,AV1624/X1624),IF(BT1624=1,IF(AV1624&lt;=0,0,BW1624*MAX(1,IF(H1624&gt;0,AV1624/H1624,1))),IF(R1624&gt;0,AW1624/R1624,0))/MAX(0.1,N(Parameter!$M$21)))</f>
        <v>0.0833333333333333</v>
      </c>
      <c r="AY1624" s="57" t="n">
        <f aca="false">AV1624*G1624</f>
        <v>1109.28</v>
      </c>
      <c r="AZ1624" s="57" t="n">
        <f aca="false">ROUNDUP(MAX(J1624/IF(BZ1624&gt;0,BZ1624,MAX(0.1,N(Cockpit!$O$6))),CC1624)/BS1624,0)*BS1624</f>
        <v>12</v>
      </c>
      <c r="BA1624" s="58" t="n">
        <f aca="false">IF(AX1624&gt;0,J1624/AX1624,-1)</f>
        <v>0</v>
      </c>
      <c r="BB1624" s="58" t="n">
        <f aca="false">IF(AND(OR(BY1624="L1",BY1624="L23"),AX1624&gt;0),SUMIFS($AX$7:$AX$1843,$BY$7:$BY$1843,BY1624,$BA$7:$BA$1843,"&gt;"&amp;BA1624)+SUMIFS($AX$7:$AX$1843,$BY$7:$BY$1843,BY1624,$BA$7:$BA$1843,BA1624,$BQ$7:$BQ$1843,"&lt;="&amp;BQ1624),"")</f>
        <v>123.410095942705</v>
      </c>
      <c r="BC1624" s="65" t="n">
        <f aca="false">IF(BB1624="",0,MAX(0,MIN(1,(IF(BY1624="L1",Parameter!$E$5,Parameter!$E$6+Parameter!$E$7)-(BB1624-AX1624))/AX1624)))</f>
        <v>0</v>
      </c>
      <c r="BD1624" s="55" t="str">
        <f aca="false">IF(AH1624&lt;=0,"",IF(BY1624="Aussen","Aussenlager",IF(BY1624="-","Nicht im Lift",IF(AM1624&gt;=1,"Lift",IF(AM1624&lt;=0,"Aussenlager","teilweise")))))</f>
        <v>Lift</v>
      </c>
      <c r="BE1624" s="55" t="str">
        <f aca="false">IF(AP1624&lt;=0,"",IF(BY1624="Aussen","Aussenlager",IF(BY1624="-","Nicht im Lift",IF(AU1624&gt;=1,"Lift",IF(AU1624&lt;=0,"Aussenlager","teilweise")))))</f>
        <v>Aussenlager</v>
      </c>
      <c r="BF1624" s="55" t="str">
        <f aca="false">IF(AX1624&lt;=0,"",IF(BY1624="Aussen","Aussenlager",IF(BY1624="-","Nicht im Lift",IF(BC1624&gt;=1,"Lift",IF(BC1624&lt;=0,"Aussenlager","teilweise")))))</f>
        <v>Aussenlager</v>
      </c>
      <c r="BG1624" s="55" t="str">
        <f aca="false">IF(A1624="","",IF(BP1624=1,"Neu; ","")&amp;IF(AND(BP1624=0,BK1624&lt;0),"negativer Bestand (Export "&amp;BK1624&amp;"); ","")&amp;IF(J1624&lt;=0,"Kein Verbrauch; ","")&amp;IF(CH1624&gt;0,"Lift "&amp;W1624&amp;" lt. Liftbericht (Fach "&amp;X1624&amp;" Stk); ",IF(BU1624=1,"Gebinde geschätzt ("&amp;T1624&amp;"); ",IF(BT1624=1,"Lose – Tablare geschätzt; ","")))&amp;IF(H1624&gt;AR1624,"Überbestand "&amp;ROUND(H1624-AR1624,0)&amp;" Stk / CHF "&amp;ROUND((H1624-AR1624)*G1624,0)&amp;"; ","")&amp;IF(AND(CA1624=1,CB1624&lt;CC1624),"MAX &lt; MB+LG; ","")&amp;IF(AND(CG1624&gt;0,CF1624*10&gt;CG1624),"zu hoch für Tablar; ","")&amp;IF(AND(BP1624=0,OR(CA1624=1,AA1624&lt;&gt;"",U1624&lt;&gt;"",V1624&lt;&gt;"",AB1624&lt;&gt;"")),"manuell übersteuert; ","")&amp;IF(AND(BT1624=0,R1624=0),"Gebinde unbekannt / Stellmass fehlt; ","")&amp;IF(AND(BT1624=0,N(V1624)&lt;=0,N(Q1624)&lt;=0),"Menge pro Gebinde fehlt (Ist = 1 Gebinde); ","")&amp;BO1624)</f>
        <v>Kein Verbrauch; Gebinde geschätzt (Mittel); Menge pro Gebinde fehlt (Ist = 1 Gebinde); nur im Artikelstamm (Bestand 23.06.2026)</v>
      </c>
      <c r="BH1624" s="55"/>
      <c r="BI1624" s="55"/>
      <c r="BJ1624" s="62"/>
      <c r="BK1624" s="57" t="n">
        <v>12</v>
      </c>
      <c r="BL1624" s="57" t="n">
        <v>0</v>
      </c>
      <c r="BM1624" s="56" t="n">
        <v>0</v>
      </c>
      <c r="BN1624" s="57" t="n">
        <v>0</v>
      </c>
      <c r="BO1624" s="55" t="s">
        <v>2575</v>
      </c>
      <c r="BP1624" s="60" t="n">
        <v>0</v>
      </c>
      <c r="BQ1624" s="60" t="n">
        <v>1624</v>
      </c>
      <c r="BR1624" s="55" t="str">
        <f aca="false">IF(U1624&lt;&gt;"",UPPER(TRIM(U1624)),IF(BU1624=1,UPPER(VLOOKUP(T1624,Parameter!$I$27:$K$29,2,0)),IF(P1624="","LOSE",P1624)))</f>
        <v>S61</v>
      </c>
      <c r="BS1624" s="57" t="n">
        <f aca="false">IF(BR1624="LOSE",1,IF(N(V1624)&gt;0,V1624,IF(BU1624=1,MAX(1,N(VLOOKUP(T1624,Parameter!$I$27:$K$29,3,0)),H1624,N(N1624)),IF(N(Q1624)&gt;0,Q1624,MAX(1,H1624)))))</f>
        <v>12</v>
      </c>
      <c r="BT1624" s="60" t="n">
        <f aca="false">IF(BR1624="LOSE",1,0)</f>
        <v>0</v>
      </c>
      <c r="BU1624" s="60" t="n">
        <f aca="false">IF(AND(U1624="",OR(P1624="",P1624="LOSE"),T1624&lt;&gt;"",N(S1624)&lt;=0,ISNUMBER(MATCH(T1624,Parameter!$I$27:$I$29,0))),1,0)</f>
        <v>1</v>
      </c>
      <c r="BV1624" s="55" t="str">
        <f aca="false">IF(AND(Parameter!$B$19="Ja",E1624&lt;&gt;"",ISNUMBER(MATCH(E1624,Parameter!$I$35:$I$52,0))),VLOOKUP(E1624,Parameter!$I$35:$J$52,2,0),IFERROR(VLOOKUP(D1624,Parameter!$A$35:$C$64,2,0),"Nein"))</f>
        <v>2+3</v>
      </c>
      <c r="BW1624" s="59" t="n">
        <f aca="false">IF(BT1624=0,0,IF(N(S1624)&gt;0,S1624,IFERROR(VLOOKUP(D1624,Parameter!$A$35:$C$64,3,0)+0,0)))</f>
        <v>0</v>
      </c>
      <c r="BX1624" s="55" t="n">
        <f aca="false">IF(AA1624&lt;&gt;"",AA1624,Z1624)</f>
        <v>2</v>
      </c>
      <c r="BY1624" s="55" t="str">
        <f aca="false">IF(BX1624=1,"L1",IF(OR(BX1624=2,BX1624=3),"L23",IF(BX1624="Aussen","Aussen","-")))</f>
        <v>L23</v>
      </c>
      <c r="BZ1624" s="66" t="n">
        <f aca="false">IF(N(AB1624)&gt;0,AB1624,0)</f>
        <v>0</v>
      </c>
      <c r="CA1624" s="60" t="n">
        <f aca="false">IF(ISNUMBER(AE1624),1,0)</f>
        <v>0</v>
      </c>
      <c r="CB1624" s="57" t="n">
        <f aca="false">N(AE1624)</f>
        <v>0</v>
      </c>
      <c r="CC1624" s="57" t="n">
        <f aca="false">N(M1624)+N(N1624)</f>
        <v>1</v>
      </c>
      <c r="CD1624" s="57" t="n">
        <f aca="false">ROUNDUP(H1624/BS1624,0)</f>
        <v>1</v>
      </c>
      <c r="CE1624" s="57" t="n">
        <f aca="false">ROUNDUP(CB1624/BS1624,0)</f>
        <v>0</v>
      </c>
      <c r="CF1624" s="60" t="n">
        <f aca="false">IF(BT1624=1,0,IFERROR(VLOOKUP(BR1624,'Gebinde-Kategorie'!$A$5:$M$45,5,0)+0,0))</f>
        <v>11</v>
      </c>
      <c r="CG1624" s="60" t="n">
        <f aca="false">IFERROR(IF(OR(BX1624=1,BX1624=2,BX1624=3),N(INDEX(Parameter!$I$5:$I$7,BX1624)),0),0)</f>
        <v>0</v>
      </c>
      <c r="CH1624" s="59" t="n">
        <f aca="false">IF(AND(Parameter!$B$21="Ja",ISNUMBER(W1624),N(X1624)&gt;0),IFERROR(N(INDEX(Parameter!$L$5:$L$7,W1624))*INDEX(Parameter!$E$5:$E$7,W1624)*X1624/SUMIFS($X$7:$X$1843,$W$7:$W$1843,W1624),0),0)</f>
        <v>0</v>
      </c>
    </row>
    <row r="1625" customFormat="false" ht="15" hidden="false" customHeight="false" outlineLevel="0" collapsed="false">
      <c r="A1625" s="55" t="s">
        <v>2827</v>
      </c>
      <c r="B1625" s="55" t="s">
        <v>1850</v>
      </c>
      <c r="C1625" s="55" t="s">
        <v>456</v>
      </c>
      <c r="D1625" s="55" t="s">
        <v>173</v>
      </c>
      <c r="E1625" s="55"/>
      <c r="F1625" s="55"/>
      <c r="G1625" s="56" t="n">
        <v>103.75</v>
      </c>
      <c r="H1625" s="57" t="n">
        <f aca="false">MAX(0,IF(AND(Parameter!$B$21="Ja",ISNUMBER(Y1625)),Y1625,IF(Parameter!$B$20="Jahresanfang 2025 + Export",BL1625+BK1625,BK1625)))</f>
        <v>9</v>
      </c>
      <c r="I1625" s="57" t="n">
        <f aca="false">H1625*G1625</f>
        <v>933.75</v>
      </c>
      <c r="J1625" s="57" t="n">
        <f aca="false">BN1625*Parameter!$B$18</f>
        <v>0</v>
      </c>
      <c r="K1625" s="58"/>
      <c r="L1625" s="59"/>
      <c r="M1625" s="57" t="n">
        <v>0</v>
      </c>
      <c r="N1625" s="57" t="n">
        <v>1</v>
      </c>
      <c r="O1625" s="60" t="n">
        <v>14</v>
      </c>
      <c r="P1625" s="55" t="s">
        <v>168</v>
      </c>
      <c r="Q1625" s="57"/>
      <c r="R1625" s="60" t="n">
        <f aca="false">IF(BT1625=1,0,IFERROR(VLOOKUP(BR1625,'Gebinde-Kategorie'!$A$5:$M$45,13,0)+0,0))</f>
        <v>12</v>
      </c>
      <c r="S1625" s="61"/>
      <c r="T1625" s="62" t="s">
        <v>179</v>
      </c>
      <c r="U1625" s="62"/>
      <c r="V1625" s="62"/>
      <c r="W1625" s="55"/>
      <c r="X1625" s="57"/>
      <c r="Y1625" s="57"/>
      <c r="Z1625" s="55" t="n">
        <f aca="false">IF(A1625="","",IF(AND(Parameter!$B$21="Ja",ISNUMBER(W1625)),W1625,IF(BV1625="2+3",IF(ISNUMBER(SEARCH("grosser Artikel",BO1625)),2,IFERROR(VLOOKUP(BR1625,Parameter!$F$35:$G$64,2,0),2)),IF(OR(BV1625="Nein",BV1625=""),"-",BV1625))))</f>
        <v>2</v>
      </c>
      <c r="AA1625" s="62"/>
      <c r="AB1625" s="63"/>
      <c r="AC1625" s="57" t="n">
        <f aca="false">AR1625</f>
        <v>9</v>
      </c>
      <c r="AD1625" s="57" t="n">
        <f aca="false">MAX(AR1625,H1625)</f>
        <v>9</v>
      </c>
      <c r="AE1625" s="64"/>
      <c r="AF1625" s="57" t="n">
        <f aca="false">IF(LEFT(Cockpit!$C$5,1)="A",H1625,IF(CA1625=1,CB1625,IF(LEFT(Cockpit!$C$5,1)="B",AJ1625,MAX(AJ1625,H1625))))</f>
        <v>9</v>
      </c>
      <c r="AG1625" s="57" t="n">
        <f aca="false">IF(BT1625=1,0,ROUNDUP(AF1625/BS1625,0))</f>
        <v>1</v>
      </c>
      <c r="AH1625" s="59" t="n">
        <f aca="false">IF(CH1625&gt;0,CH1625*MAX(1,AF1625/X1625),IF(BT1625=1,IF(AF1625&lt;=0,0,BW1625*MAX(1,IF(H1625&gt;0,AF1625/H1625,1))),IF(R1625&gt;0,AG1625/R1625,0))/MAX(0.1,N(Parameter!$M$21)))</f>
        <v>0.0833333333333333</v>
      </c>
      <c r="AI1625" s="57" t="n">
        <f aca="false">AF1625*G1625</f>
        <v>933.75</v>
      </c>
      <c r="AJ1625" s="57" t="n">
        <f aca="false">ROUNDUP(MAX(J1625/IF(BZ1625&gt;0,BZ1625,MAX(0.1,N(Cockpit!$C$6))),CC1625)/BS1625,0)*BS1625</f>
        <v>9</v>
      </c>
      <c r="AK1625" s="58" t="n">
        <f aca="false">IF(AH1625&gt;0,J1625/AH1625,-1)</f>
        <v>0</v>
      </c>
      <c r="AL1625" s="58" t="n">
        <f aca="false">IF(AND(OR(BY1625="L1",BY1625="L23"),AH1625&gt;0),SUMIFS($AH$7:$AH$1843,$BY$7:$BY$1843,BY1625,$AK$7:$AK$1843,"&gt;"&amp;AK1625)+SUMIFS($AH$7:$AH$1843,$BY$7:$BY$1843,BY1625,$AK$7:$AK$1843,AK1625,$BQ$7:$BQ$1843,"&lt;="&amp;BQ1625),"")</f>
        <v>87.4114556940644</v>
      </c>
      <c r="AM1625" s="65" t="n">
        <f aca="false">IF(AL1625="",0,MAX(0,MIN(1,(IF(BY1625="L1",Parameter!$E$5,Parameter!$E$6+Parameter!$E$7)-(AL1625-AH1625))/AH1625)))</f>
        <v>1</v>
      </c>
      <c r="AN1625" s="57" t="n">
        <f aca="false">IF(LEFT(Cockpit!$I$5,1)="A",H1625,IF(CA1625=1,CB1625,IF(LEFT(Cockpit!$I$5,1)="B",AR1625,MAX(AR1625,H1625))))</f>
        <v>9</v>
      </c>
      <c r="AO1625" s="57" t="n">
        <f aca="false">IF(BT1625=1,0,ROUNDUP(AN1625/BS1625,0))</f>
        <v>1</v>
      </c>
      <c r="AP1625" s="59" t="n">
        <f aca="false">IF(CH1625&gt;0,CH1625*MAX(1,AN1625/X1625),IF(BT1625=1,IF(AN1625&lt;=0,0,BW1625*MAX(1,IF(H1625&gt;0,AN1625/H1625,1))),IF(R1625&gt;0,AO1625/R1625,0))/MAX(0.1,N(Parameter!$M$21)))</f>
        <v>0.0833333333333333</v>
      </c>
      <c r="AQ1625" s="57" t="n">
        <f aca="false">AN1625*G1625</f>
        <v>933.75</v>
      </c>
      <c r="AR1625" s="57" t="n">
        <f aca="false">ROUNDUP(MAX(J1625/IF(BZ1625&gt;0,BZ1625,MAX(0.1,N(Cockpit!$I$6))),CC1625)/BS1625,0)*BS1625</f>
        <v>9</v>
      </c>
      <c r="AS1625" s="58" t="n">
        <f aca="false">IF(AP1625&gt;0,J1625/AP1625,-1)</f>
        <v>0</v>
      </c>
      <c r="AT1625" s="58" t="n">
        <f aca="false">IF(AND(OR(BY1625="L1",BY1625="L23"),AP1625&gt;0),SUMIFS($AP$7:$AP$1843,$BY$7:$BY$1843,BY1625,$AS$7:$AS$1843,"&gt;"&amp;AS1625)+SUMIFS($AP$7:$AP$1843,$BY$7:$BY$1843,BY1625,$AS$7:$AS$1843,AS1625,$BQ$7:$BQ$1843,"&lt;="&amp;BQ1625),"")</f>
        <v>132.663592446201</v>
      </c>
      <c r="AU1625" s="65" t="n">
        <f aca="false">IF(AT1625="",0,MAX(0,MIN(1,(IF(BY1625="L1",Parameter!$E$5,Parameter!$E$6+Parameter!$E$7)-(AT1625-AP1625))/AP1625)))</f>
        <v>0</v>
      </c>
      <c r="AV1625" s="57" t="n">
        <f aca="false">IF(LEFT(Cockpit!$O$5,1)="A",H1625,IF(CA1625=1,CB1625,IF(LEFT(Cockpit!$O$5,1)="B",AZ1625,MAX(AZ1625,H1625))))</f>
        <v>9</v>
      </c>
      <c r="AW1625" s="57" t="n">
        <f aca="false">IF(BT1625=1,0,ROUNDUP(AV1625/BS1625,0))</f>
        <v>1</v>
      </c>
      <c r="AX1625" s="59" t="n">
        <f aca="false">IF(CH1625&gt;0,CH1625*MAX(1,AV1625/X1625),IF(BT1625=1,IF(AV1625&lt;=0,0,BW1625*MAX(1,IF(H1625&gt;0,AV1625/H1625,1))),IF(R1625&gt;0,AW1625/R1625,0))/MAX(0.1,N(Parameter!$M$21)))</f>
        <v>0.0833333333333333</v>
      </c>
      <c r="AY1625" s="57" t="n">
        <f aca="false">AV1625*G1625</f>
        <v>933.75</v>
      </c>
      <c r="AZ1625" s="57" t="n">
        <f aca="false">ROUNDUP(MAX(J1625/IF(BZ1625&gt;0,BZ1625,MAX(0.1,N(Cockpit!$O$6))),CC1625)/BS1625,0)*BS1625</f>
        <v>9</v>
      </c>
      <c r="BA1625" s="58" t="n">
        <f aca="false">IF(AX1625&gt;0,J1625/AX1625,-1)</f>
        <v>0</v>
      </c>
      <c r="BB1625" s="58" t="n">
        <f aca="false">IF(AND(OR(BY1625="L1",BY1625="L23"),AX1625&gt;0),SUMIFS($AX$7:$AX$1843,$BY$7:$BY$1843,BY1625,$BA$7:$BA$1843,"&gt;"&amp;BA1625)+SUMIFS($AX$7:$AX$1843,$BY$7:$BY$1843,BY1625,$BA$7:$BA$1843,BA1625,$BQ$7:$BQ$1843,"&lt;="&amp;BQ1625),"")</f>
        <v>123.493429276038</v>
      </c>
      <c r="BC1625" s="65" t="n">
        <f aca="false">IF(BB1625="",0,MAX(0,MIN(1,(IF(BY1625="L1",Parameter!$E$5,Parameter!$E$6+Parameter!$E$7)-(BB1625-AX1625))/AX1625)))</f>
        <v>0</v>
      </c>
      <c r="BD1625" s="55" t="str">
        <f aca="false">IF(AH1625&lt;=0,"",IF(BY1625="Aussen","Aussenlager",IF(BY1625="-","Nicht im Lift",IF(AM1625&gt;=1,"Lift",IF(AM1625&lt;=0,"Aussenlager","teilweise")))))</f>
        <v>Lift</v>
      </c>
      <c r="BE1625" s="55" t="str">
        <f aca="false">IF(AP1625&lt;=0,"",IF(BY1625="Aussen","Aussenlager",IF(BY1625="-","Nicht im Lift",IF(AU1625&gt;=1,"Lift",IF(AU1625&lt;=0,"Aussenlager","teilweise")))))</f>
        <v>Aussenlager</v>
      </c>
      <c r="BF1625" s="55" t="str">
        <f aca="false">IF(AX1625&lt;=0,"",IF(BY1625="Aussen","Aussenlager",IF(BY1625="-","Nicht im Lift",IF(BC1625&gt;=1,"Lift",IF(BC1625&lt;=0,"Aussenlager","teilweise")))))</f>
        <v>Aussenlager</v>
      </c>
      <c r="BG1625" s="55" t="str">
        <f aca="false">IF(A1625="","",IF(BP1625=1,"Neu; ","")&amp;IF(AND(BP1625=0,BK1625&lt;0),"negativer Bestand (Export "&amp;BK1625&amp;"); ","")&amp;IF(J1625&lt;=0,"Kein Verbrauch; ","")&amp;IF(CH1625&gt;0,"Lift "&amp;W1625&amp;" lt. Liftbericht (Fach "&amp;X1625&amp;" Stk); ",IF(BU1625=1,"Gebinde geschätzt ("&amp;T1625&amp;"); ",IF(BT1625=1,"Lose – Tablare geschätzt; ","")))&amp;IF(H1625&gt;AR1625,"Überbestand "&amp;ROUND(H1625-AR1625,0)&amp;" Stk / CHF "&amp;ROUND((H1625-AR1625)*G1625,0)&amp;"; ","")&amp;IF(AND(CA1625=1,CB1625&lt;CC1625),"MAX &lt; MB+LG; ","")&amp;IF(AND(CG1625&gt;0,CF1625*10&gt;CG1625),"zu hoch für Tablar; ","")&amp;IF(AND(BP1625=0,OR(CA1625=1,AA1625&lt;&gt;"",U1625&lt;&gt;"",V1625&lt;&gt;"",AB1625&lt;&gt;"")),"manuell übersteuert; ","")&amp;IF(AND(BT1625=0,R1625=0),"Gebinde unbekannt / Stellmass fehlt; ","")&amp;IF(AND(BT1625=0,N(V1625)&lt;=0,N(Q1625)&lt;=0),"Menge pro Gebinde fehlt (Ist = 1 Gebinde); ","")&amp;BO1625)</f>
        <v>Kein Verbrauch; Gebinde geschätzt (Mittel); Menge pro Gebinde fehlt (Ist = 1 Gebinde); nur im Artikelstamm (Bestand 23.06.2026)</v>
      </c>
      <c r="BH1625" s="55"/>
      <c r="BI1625" s="55"/>
      <c r="BJ1625" s="62"/>
      <c r="BK1625" s="57" t="n">
        <v>9</v>
      </c>
      <c r="BL1625" s="57" t="n">
        <v>0</v>
      </c>
      <c r="BM1625" s="56" t="n">
        <v>0</v>
      </c>
      <c r="BN1625" s="57" t="n">
        <v>0</v>
      </c>
      <c r="BO1625" s="55" t="s">
        <v>2575</v>
      </c>
      <c r="BP1625" s="60" t="n">
        <v>0</v>
      </c>
      <c r="BQ1625" s="60" t="n">
        <v>1625</v>
      </c>
      <c r="BR1625" s="55" t="str">
        <f aca="false">IF(U1625&lt;&gt;"",UPPER(TRIM(U1625)),IF(BU1625=1,UPPER(VLOOKUP(T1625,Parameter!$I$27:$K$29,2,0)),IF(P1625="","LOSE",P1625)))</f>
        <v>S61</v>
      </c>
      <c r="BS1625" s="57" t="n">
        <f aca="false">IF(BR1625="LOSE",1,IF(N(V1625)&gt;0,V1625,IF(BU1625=1,MAX(1,N(VLOOKUP(T1625,Parameter!$I$27:$K$29,3,0)),H1625,N(N1625)),IF(N(Q1625)&gt;0,Q1625,MAX(1,H1625)))))</f>
        <v>9</v>
      </c>
      <c r="BT1625" s="60" t="n">
        <f aca="false">IF(BR1625="LOSE",1,0)</f>
        <v>0</v>
      </c>
      <c r="BU1625" s="60" t="n">
        <f aca="false">IF(AND(U1625="",OR(P1625="",P1625="LOSE"),T1625&lt;&gt;"",N(S1625)&lt;=0,ISNUMBER(MATCH(T1625,Parameter!$I$27:$I$29,0))),1,0)</f>
        <v>1</v>
      </c>
      <c r="BV1625" s="55" t="str">
        <f aca="false">IF(AND(Parameter!$B$19="Ja",E1625&lt;&gt;"",ISNUMBER(MATCH(E1625,Parameter!$I$35:$I$52,0))),VLOOKUP(E1625,Parameter!$I$35:$J$52,2,0),IFERROR(VLOOKUP(D1625,Parameter!$A$35:$C$64,2,0),"Nein"))</f>
        <v>2+3</v>
      </c>
      <c r="BW1625" s="59" t="n">
        <f aca="false">IF(BT1625=0,0,IF(N(S1625)&gt;0,S1625,IFERROR(VLOOKUP(D1625,Parameter!$A$35:$C$64,3,0)+0,0)))</f>
        <v>0</v>
      </c>
      <c r="BX1625" s="55" t="n">
        <f aca="false">IF(AA1625&lt;&gt;"",AA1625,Z1625)</f>
        <v>2</v>
      </c>
      <c r="BY1625" s="55" t="str">
        <f aca="false">IF(BX1625=1,"L1",IF(OR(BX1625=2,BX1625=3),"L23",IF(BX1625="Aussen","Aussen","-")))</f>
        <v>L23</v>
      </c>
      <c r="BZ1625" s="66" t="n">
        <f aca="false">IF(N(AB1625)&gt;0,AB1625,0)</f>
        <v>0</v>
      </c>
      <c r="CA1625" s="60" t="n">
        <f aca="false">IF(ISNUMBER(AE1625),1,0)</f>
        <v>0</v>
      </c>
      <c r="CB1625" s="57" t="n">
        <f aca="false">N(AE1625)</f>
        <v>0</v>
      </c>
      <c r="CC1625" s="57" t="n">
        <f aca="false">N(M1625)+N(N1625)</f>
        <v>1</v>
      </c>
      <c r="CD1625" s="57" t="n">
        <f aca="false">ROUNDUP(H1625/BS1625,0)</f>
        <v>1</v>
      </c>
      <c r="CE1625" s="57" t="n">
        <f aca="false">ROUNDUP(CB1625/BS1625,0)</f>
        <v>0</v>
      </c>
      <c r="CF1625" s="60" t="n">
        <f aca="false">IF(BT1625=1,0,IFERROR(VLOOKUP(BR1625,'Gebinde-Kategorie'!$A$5:$M$45,5,0)+0,0))</f>
        <v>11</v>
      </c>
      <c r="CG1625" s="60" t="n">
        <f aca="false">IFERROR(IF(OR(BX1625=1,BX1625=2,BX1625=3),N(INDEX(Parameter!$I$5:$I$7,BX1625)),0),0)</f>
        <v>0</v>
      </c>
      <c r="CH1625" s="59" t="n">
        <f aca="false">IF(AND(Parameter!$B$21="Ja",ISNUMBER(W1625),N(X1625)&gt;0),IFERROR(N(INDEX(Parameter!$L$5:$L$7,W1625))*INDEX(Parameter!$E$5:$E$7,W1625)*X1625/SUMIFS($X$7:$X$1843,$W$7:$W$1843,W1625),0),0)</f>
        <v>0</v>
      </c>
    </row>
    <row r="1626" customFormat="false" ht="15" hidden="false" customHeight="false" outlineLevel="0" collapsed="false">
      <c r="A1626" s="55" t="s">
        <v>2828</v>
      </c>
      <c r="B1626" s="55" t="s">
        <v>2829</v>
      </c>
      <c r="C1626" s="55" t="s">
        <v>164</v>
      </c>
      <c r="D1626" s="55" t="s">
        <v>173</v>
      </c>
      <c r="E1626" s="55"/>
      <c r="F1626" s="55"/>
      <c r="G1626" s="56" t="n">
        <v>49.21</v>
      </c>
      <c r="H1626" s="57" t="n">
        <f aca="false">MAX(0,IF(AND(Parameter!$B$21="Ja",ISNUMBER(Y1626)),Y1626,IF(Parameter!$B$20="Jahresanfang 2025 + Export",BL1626+BK1626,BK1626)))</f>
        <v>37</v>
      </c>
      <c r="I1626" s="57" t="n">
        <f aca="false">H1626*G1626</f>
        <v>1820.77</v>
      </c>
      <c r="J1626" s="57" t="n">
        <f aca="false">BN1626*Parameter!$B$18</f>
        <v>0</v>
      </c>
      <c r="K1626" s="58"/>
      <c r="L1626" s="59"/>
      <c r="M1626" s="57" t="n">
        <v>0</v>
      </c>
      <c r="N1626" s="57" t="n">
        <v>40</v>
      </c>
      <c r="O1626" s="60" t="n">
        <v>35</v>
      </c>
      <c r="P1626" s="55" t="s">
        <v>168</v>
      </c>
      <c r="Q1626" s="57"/>
      <c r="R1626" s="60" t="n">
        <f aca="false">IF(BT1626=1,0,IFERROR(VLOOKUP(BR1626,'Gebinde-Kategorie'!$A$5:$M$45,13,0)+0,0))</f>
        <v>26</v>
      </c>
      <c r="S1626" s="61"/>
      <c r="T1626" s="62" t="s">
        <v>275</v>
      </c>
      <c r="U1626" s="62"/>
      <c r="V1626" s="62"/>
      <c r="W1626" s="55"/>
      <c r="X1626" s="57"/>
      <c r="Y1626" s="57"/>
      <c r="Z1626" s="55" t="n">
        <f aca="false">IF(A1626="","",IF(AND(Parameter!$B$21="Ja",ISNUMBER(W1626)),W1626,IF(BV1626="2+3",IF(ISNUMBER(SEARCH("grosser Artikel",BO1626)),2,IFERROR(VLOOKUP(BR1626,Parameter!$F$35:$G$64,2,0),2)),IF(OR(BV1626="Nein",BV1626=""),"-",BV1626))))</f>
        <v>3</v>
      </c>
      <c r="AA1626" s="62"/>
      <c r="AB1626" s="63"/>
      <c r="AC1626" s="57" t="n">
        <f aca="false">AR1626</f>
        <v>40</v>
      </c>
      <c r="AD1626" s="57" t="n">
        <f aca="false">MAX(AR1626,H1626)</f>
        <v>40</v>
      </c>
      <c r="AE1626" s="64"/>
      <c r="AF1626" s="57" t="n">
        <f aca="false">IF(LEFT(Cockpit!$C$5,1)="A",H1626,IF(CA1626=1,CB1626,IF(LEFT(Cockpit!$C$5,1)="B",AJ1626,MAX(AJ1626,H1626))))</f>
        <v>37</v>
      </c>
      <c r="AG1626" s="57" t="n">
        <f aca="false">IF(BT1626=1,0,ROUNDUP(AF1626/BS1626,0))</f>
        <v>1</v>
      </c>
      <c r="AH1626" s="59" t="n">
        <f aca="false">IF(CH1626&gt;0,CH1626*MAX(1,AF1626/X1626),IF(BT1626=1,IF(AF1626&lt;=0,0,BW1626*MAX(1,IF(H1626&gt;0,AF1626/H1626,1))),IF(R1626&gt;0,AG1626/R1626,0))/MAX(0.1,N(Parameter!$M$21)))</f>
        <v>0.0384615384615385</v>
      </c>
      <c r="AI1626" s="57" t="n">
        <f aca="false">AF1626*G1626</f>
        <v>1820.77</v>
      </c>
      <c r="AJ1626" s="57" t="n">
        <f aca="false">ROUNDUP(MAX(J1626/IF(BZ1626&gt;0,BZ1626,MAX(0.1,N(Cockpit!$C$6))),CC1626)/BS1626,0)*BS1626</f>
        <v>40</v>
      </c>
      <c r="AK1626" s="58" t="n">
        <f aca="false">IF(AH1626&gt;0,J1626/AH1626,-1)</f>
        <v>0</v>
      </c>
      <c r="AL1626" s="58" t="n">
        <f aca="false">IF(AND(OR(BY1626="L1",BY1626="L23"),AH1626&gt;0),SUMIFS($AH$7:$AH$1843,$BY$7:$BY$1843,BY1626,$AK$7:$AK$1843,"&gt;"&amp;AK1626)+SUMIFS($AH$7:$AH$1843,$BY$7:$BY$1843,BY1626,$AK$7:$AK$1843,AK1626,$BQ$7:$BQ$1843,"&lt;="&amp;BQ1626),"")</f>
        <v>87.4499172325259</v>
      </c>
      <c r="AM1626" s="65" t="n">
        <f aca="false">IF(AL1626="",0,MAX(0,MIN(1,(IF(BY1626="L1",Parameter!$E$5,Parameter!$E$6+Parameter!$E$7)-(AL1626-AH1626))/AH1626)))</f>
        <v>1</v>
      </c>
      <c r="AN1626" s="57" t="n">
        <f aca="false">IF(LEFT(Cockpit!$I$5,1)="A",H1626,IF(CA1626=1,CB1626,IF(LEFT(Cockpit!$I$5,1)="B",AR1626,MAX(AR1626,H1626))))</f>
        <v>40</v>
      </c>
      <c r="AO1626" s="57" t="n">
        <f aca="false">IF(BT1626=1,0,ROUNDUP(AN1626/BS1626,0))</f>
        <v>1</v>
      </c>
      <c r="AP1626" s="59" t="n">
        <f aca="false">IF(CH1626&gt;0,CH1626*MAX(1,AN1626/X1626),IF(BT1626=1,IF(AN1626&lt;=0,0,BW1626*MAX(1,IF(H1626&gt;0,AN1626/H1626,1))),IF(R1626&gt;0,AO1626/R1626,0))/MAX(0.1,N(Parameter!$M$21)))</f>
        <v>0.0384615384615385</v>
      </c>
      <c r="AQ1626" s="57" t="n">
        <f aca="false">AN1626*G1626</f>
        <v>1968.4</v>
      </c>
      <c r="AR1626" s="57" t="n">
        <f aca="false">ROUNDUP(MAX(J1626/IF(BZ1626&gt;0,BZ1626,MAX(0.1,N(Cockpit!$I$6))),CC1626)/BS1626,0)*BS1626</f>
        <v>40</v>
      </c>
      <c r="AS1626" s="58" t="n">
        <f aca="false">IF(AP1626&gt;0,J1626/AP1626,-1)</f>
        <v>0</v>
      </c>
      <c r="AT1626" s="58" t="n">
        <f aca="false">IF(AND(OR(BY1626="L1",BY1626="L23"),AP1626&gt;0),SUMIFS($AP$7:$AP$1843,$BY$7:$BY$1843,BY1626,$AS$7:$AS$1843,"&gt;"&amp;AS1626)+SUMIFS($AP$7:$AP$1843,$BY$7:$BY$1843,BY1626,$AS$7:$AS$1843,AS1626,$BQ$7:$BQ$1843,"&lt;="&amp;BQ1626),"")</f>
        <v>132.702053984663</v>
      </c>
      <c r="AU1626" s="65" t="n">
        <f aca="false">IF(AT1626="",0,MAX(0,MIN(1,(IF(BY1626="L1",Parameter!$E$5,Parameter!$E$6+Parameter!$E$7)-(AT1626-AP1626))/AP1626)))</f>
        <v>0</v>
      </c>
      <c r="AV1626" s="57" t="n">
        <f aca="false">IF(LEFT(Cockpit!$O$5,1)="A",H1626,IF(CA1626=1,CB1626,IF(LEFT(Cockpit!$O$5,1)="B",AZ1626,MAX(AZ1626,H1626))))</f>
        <v>40</v>
      </c>
      <c r="AW1626" s="57" t="n">
        <f aca="false">IF(BT1626=1,0,ROUNDUP(AV1626/BS1626,0))</f>
        <v>1</v>
      </c>
      <c r="AX1626" s="59" t="n">
        <f aca="false">IF(CH1626&gt;0,CH1626*MAX(1,AV1626/X1626),IF(BT1626=1,IF(AV1626&lt;=0,0,BW1626*MAX(1,IF(H1626&gt;0,AV1626/H1626,1))),IF(R1626&gt;0,AW1626/R1626,0))/MAX(0.1,N(Parameter!$M$21)))</f>
        <v>0.0384615384615385</v>
      </c>
      <c r="AY1626" s="57" t="n">
        <f aca="false">AV1626*G1626</f>
        <v>1968.4</v>
      </c>
      <c r="AZ1626" s="57" t="n">
        <f aca="false">ROUNDUP(MAX(J1626/IF(BZ1626&gt;0,BZ1626,MAX(0.1,N(Cockpit!$O$6))),CC1626)/BS1626,0)*BS1626</f>
        <v>40</v>
      </c>
      <c r="BA1626" s="58" t="n">
        <f aca="false">IF(AX1626&gt;0,J1626/AX1626,-1)</f>
        <v>0</v>
      </c>
      <c r="BB1626" s="58" t="n">
        <f aca="false">IF(AND(OR(BY1626="L1",BY1626="L23"),AX1626&gt;0),SUMIFS($AX$7:$AX$1843,$BY$7:$BY$1843,BY1626,$BA$7:$BA$1843,"&gt;"&amp;BA1626)+SUMIFS($AX$7:$AX$1843,$BY$7:$BY$1843,BY1626,$BA$7:$BA$1843,BA1626,$BQ$7:$BQ$1843,"&lt;="&amp;BQ1626),"")</f>
        <v>123.5318908145</v>
      </c>
      <c r="BC1626" s="65" t="n">
        <f aca="false">IF(BB1626="",0,MAX(0,MIN(1,(IF(BY1626="L1",Parameter!$E$5,Parameter!$E$6+Parameter!$E$7)-(BB1626-AX1626))/AX1626)))</f>
        <v>0</v>
      </c>
      <c r="BD1626" s="55" t="str">
        <f aca="false">IF(AH1626&lt;=0,"",IF(BY1626="Aussen","Aussenlager",IF(BY1626="-","Nicht im Lift",IF(AM1626&gt;=1,"Lift",IF(AM1626&lt;=0,"Aussenlager","teilweise")))))</f>
        <v>Lift</v>
      </c>
      <c r="BE1626" s="55" t="str">
        <f aca="false">IF(AP1626&lt;=0,"",IF(BY1626="Aussen","Aussenlager",IF(BY1626="-","Nicht im Lift",IF(AU1626&gt;=1,"Lift",IF(AU1626&lt;=0,"Aussenlager","teilweise")))))</f>
        <v>Aussenlager</v>
      </c>
      <c r="BF1626" s="55" t="str">
        <f aca="false">IF(AX1626&lt;=0,"",IF(BY1626="Aussen","Aussenlager",IF(BY1626="-","Nicht im Lift",IF(BC1626&gt;=1,"Lift",IF(BC1626&lt;=0,"Aussenlager","teilweise")))))</f>
        <v>Aussenlager</v>
      </c>
      <c r="BG1626" s="55" t="str">
        <f aca="false">IF(A1626="","",IF(BP1626=1,"Neu; ","")&amp;IF(AND(BP1626=0,BK1626&lt;0),"negativer Bestand (Export "&amp;BK1626&amp;"); ","")&amp;IF(J1626&lt;=0,"Kein Verbrauch; ","")&amp;IF(CH1626&gt;0,"Lift "&amp;W1626&amp;" lt. Liftbericht (Fach "&amp;X1626&amp;" Stk); ",IF(BU1626=1,"Gebinde geschätzt ("&amp;T1626&amp;"); ",IF(BT1626=1,"Lose – Tablare geschätzt; ","")))&amp;IF(H1626&gt;AR1626,"Überbestand "&amp;ROUND(H1626-AR1626,0)&amp;" Stk / CHF "&amp;ROUND((H1626-AR1626)*G1626,0)&amp;"; ","")&amp;IF(AND(CA1626=1,CB1626&lt;CC1626),"MAX &lt; MB+LG; ","")&amp;IF(AND(CG1626&gt;0,CF1626*10&gt;CG1626),"zu hoch für Tablar; ","")&amp;IF(AND(BP1626=0,OR(CA1626=1,AA1626&lt;&gt;"",U1626&lt;&gt;"",V1626&lt;&gt;"",AB1626&lt;&gt;"")),"manuell übersteuert; ","")&amp;IF(AND(BT1626=0,R1626=0),"Gebinde unbekannt / Stellmass fehlt; ","")&amp;IF(AND(BT1626=0,N(V1626)&lt;=0,N(Q1626)&lt;=0),"Menge pro Gebinde fehlt (Ist = 1 Gebinde); ","")&amp;BO1626)</f>
        <v>Kein Verbrauch; Gebinde geschätzt (Klein); Menge pro Gebinde fehlt (Ist = 1 Gebinde); nur im Artikelstamm (Bestand 23.06.2026)</v>
      </c>
      <c r="BH1626" s="55"/>
      <c r="BI1626" s="55"/>
      <c r="BJ1626" s="62"/>
      <c r="BK1626" s="57" t="n">
        <v>37</v>
      </c>
      <c r="BL1626" s="57" t="n">
        <v>0</v>
      </c>
      <c r="BM1626" s="56" t="n">
        <v>0</v>
      </c>
      <c r="BN1626" s="57" t="n">
        <v>0</v>
      </c>
      <c r="BO1626" s="55" t="s">
        <v>2575</v>
      </c>
      <c r="BP1626" s="60" t="n">
        <v>0</v>
      </c>
      <c r="BQ1626" s="60" t="n">
        <v>1626</v>
      </c>
      <c r="BR1626" s="55" t="str">
        <f aca="false">IF(U1626&lt;&gt;"",UPPER(TRIM(U1626)),IF(BU1626=1,UPPER(VLOOKUP(T1626,Parameter!$I$27:$K$29,2,0)),IF(P1626="","LOSE",P1626)))</f>
        <v>S51</v>
      </c>
      <c r="BS1626" s="57" t="n">
        <f aca="false">IF(BR1626="LOSE",1,IF(N(V1626)&gt;0,V1626,IF(BU1626=1,MAX(1,N(VLOOKUP(T1626,Parameter!$I$27:$K$29,3,0)),H1626,N(N1626)),IF(N(Q1626)&gt;0,Q1626,MAX(1,H1626)))))</f>
        <v>40</v>
      </c>
      <c r="BT1626" s="60" t="n">
        <f aca="false">IF(BR1626="LOSE",1,0)</f>
        <v>0</v>
      </c>
      <c r="BU1626" s="60" t="n">
        <f aca="false">IF(AND(U1626="",OR(P1626="",P1626="LOSE"),T1626&lt;&gt;"",N(S1626)&lt;=0,ISNUMBER(MATCH(T1626,Parameter!$I$27:$I$29,0))),1,0)</f>
        <v>1</v>
      </c>
      <c r="BV1626" s="55" t="str">
        <f aca="false">IF(AND(Parameter!$B$19="Ja",E1626&lt;&gt;"",ISNUMBER(MATCH(E1626,Parameter!$I$35:$I$52,0))),VLOOKUP(E1626,Parameter!$I$35:$J$52,2,0),IFERROR(VLOOKUP(D1626,Parameter!$A$35:$C$64,2,0),"Nein"))</f>
        <v>2+3</v>
      </c>
      <c r="BW1626" s="59" t="n">
        <f aca="false">IF(BT1626=0,0,IF(N(S1626)&gt;0,S1626,IFERROR(VLOOKUP(D1626,Parameter!$A$35:$C$64,3,0)+0,0)))</f>
        <v>0</v>
      </c>
      <c r="BX1626" s="55" t="n">
        <f aca="false">IF(AA1626&lt;&gt;"",AA1626,Z1626)</f>
        <v>3</v>
      </c>
      <c r="BY1626" s="55" t="str">
        <f aca="false">IF(BX1626=1,"L1",IF(OR(BX1626=2,BX1626=3),"L23",IF(BX1626="Aussen","Aussen","-")))</f>
        <v>L23</v>
      </c>
      <c r="BZ1626" s="66" t="n">
        <f aca="false">IF(N(AB1626)&gt;0,AB1626,0)</f>
        <v>0</v>
      </c>
      <c r="CA1626" s="60" t="n">
        <f aca="false">IF(ISNUMBER(AE1626),1,0)</f>
        <v>0</v>
      </c>
      <c r="CB1626" s="57" t="n">
        <f aca="false">N(AE1626)</f>
        <v>0</v>
      </c>
      <c r="CC1626" s="57" t="n">
        <f aca="false">N(M1626)+N(N1626)</f>
        <v>40</v>
      </c>
      <c r="CD1626" s="57" t="n">
        <f aca="false">ROUNDUP(H1626/BS1626,0)</f>
        <v>1</v>
      </c>
      <c r="CE1626" s="57" t="n">
        <f aca="false">ROUNDUP(CB1626/BS1626,0)</f>
        <v>0</v>
      </c>
      <c r="CF1626" s="60" t="n">
        <f aca="false">IF(BT1626=1,0,IFERROR(VLOOKUP(BR1626,'Gebinde-Kategorie'!$A$5:$M$45,5,0)+0,0))</f>
        <v>11</v>
      </c>
      <c r="CG1626" s="60" t="n">
        <f aca="false">IFERROR(IF(OR(BX1626=1,BX1626=2,BX1626=3),N(INDEX(Parameter!$I$5:$I$7,BX1626)),0),0)</f>
        <v>0</v>
      </c>
      <c r="CH1626" s="59" t="n">
        <f aca="false">IF(AND(Parameter!$B$21="Ja",ISNUMBER(W1626),N(X1626)&gt;0),IFERROR(N(INDEX(Parameter!$L$5:$L$7,W1626))*INDEX(Parameter!$E$5:$E$7,W1626)*X1626/SUMIFS($X$7:$X$1843,$W$7:$W$1843,W1626),0),0)</f>
        <v>0</v>
      </c>
    </row>
    <row r="1627" customFormat="false" ht="15" hidden="false" customHeight="false" outlineLevel="0" collapsed="false">
      <c r="A1627" s="55" t="s">
        <v>2830</v>
      </c>
      <c r="B1627" s="55" t="s">
        <v>2831</v>
      </c>
      <c r="C1627" s="55" t="s">
        <v>164</v>
      </c>
      <c r="D1627" s="55" t="s">
        <v>184</v>
      </c>
      <c r="E1627" s="55"/>
      <c r="F1627" s="55"/>
      <c r="G1627" s="56" t="n">
        <v>25.71</v>
      </c>
      <c r="H1627" s="57" t="n">
        <f aca="false">MAX(0,IF(AND(Parameter!$B$21="Ja",ISNUMBER(Y1627)),Y1627,IF(Parameter!$B$20="Jahresanfang 2025 + Export",BL1627+BK1627,BK1627)))</f>
        <v>37</v>
      </c>
      <c r="I1627" s="57" t="n">
        <f aca="false">H1627*G1627</f>
        <v>951.27</v>
      </c>
      <c r="J1627" s="57" t="n">
        <f aca="false">BN1627*Parameter!$B$18</f>
        <v>0</v>
      </c>
      <c r="K1627" s="58"/>
      <c r="L1627" s="59"/>
      <c r="M1627" s="57" t="n">
        <v>0</v>
      </c>
      <c r="N1627" s="57" t="n">
        <v>40</v>
      </c>
      <c r="O1627" s="60" t="n">
        <v>35</v>
      </c>
      <c r="P1627" s="55" t="s">
        <v>168</v>
      </c>
      <c r="Q1627" s="57"/>
      <c r="R1627" s="60" t="n">
        <f aca="false">IF(BT1627=1,0,IFERROR(VLOOKUP(BR1627,'Gebinde-Kategorie'!$A$5:$M$45,13,0)+0,0))</f>
        <v>26</v>
      </c>
      <c r="S1627" s="61"/>
      <c r="T1627" s="62" t="s">
        <v>275</v>
      </c>
      <c r="U1627" s="62"/>
      <c r="V1627" s="62"/>
      <c r="W1627" s="55"/>
      <c r="X1627" s="57"/>
      <c r="Y1627" s="57"/>
      <c r="Z1627" s="55" t="n">
        <f aca="false">IF(A1627="","",IF(AND(Parameter!$B$21="Ja",ISNUMBER(W1627)),W1627,IF(BV1627="2+3",IF(ISNUMBER(SEARCH("grosser Artikel",BO1627)),2,IFERROR(VLOOKUP(BR1627,Parameter!$F$35:$G$64,2,0),2)),IF(OR(BV1627="Nein",BV1627=""),"-",BV1627))))</f>
        <v>3</v>
      </c>
      <c r="AA1627" s="62"/>
      <c r="AB1627" s="63"/>
      <c r="AC1627" s="57" t="n">
        <f aca="false">AR1627</f>
        <v>40</v>
      </c>
      <c r="AD1627" s="57" t="n">
        <f aca="false">MAX(AR1627,H1627)</f>
        <v>40</v>
      </c>
      <c r="AE1627" s="64"/>
      <c r="AF1627" s="57" t="n">
        <f aca="false">IF(LEFT(Cockpit!$C$5,1)="A",H1627,IF(CA1627=1,CB1627,IF(LEFT(Cockpit!$C$5,1)="B",AJ1627,MAX(AJ1627,H1627))))</f>
        <v>37</v>
      </c>
      <c r="AG1627" s="57" t="n">
        <f aca="false">IF(BT1627=1,0,ROUNDUP(AF1627/BS1627,0))</f>
        <v>1</v>
      </c>
      <c r="AH1627" s="59" t="n">
        <f aca="false">IF(CH1627&gt;0,CH1627*MAX(1,AF1627/X1627),IF(BT1627=1,IF(AF1627&lt;=0,0,BW1627*MAX(1,IF(H1627&gt;0,AF1627/H1627,1))),IF(R1627&gt;0,AG1627/R1627,0))/MAX(0.1,N(Parameter!$M$21)))</f>
        <v>0.0384615384615385</v>
      </c>
      <c r="AI1627" s="57" t="n">
        <f aca="false">AF1627*G1627</f>
        <v>951.27</v>
      </c>
      <c r="AJ1627" s="57" t="n">
        <f aca="false">ROUNDUP(MAX(J1627/IF(BZ1627&gt;0,BZ1627,MAX(0.1,N(Cockpit!$C$6))),CC1627)/BS1627,0)*BS1627</f>
        <v>40</v>
      </c>
      <c r="AK1627" s="58" t="n">
        <f aca="false">IF(AH1627&gt;0,J1627/AH1627,-1)</f>
        <v>0</v>
      </c>
      <c r="AL1627" s="58" t="n">
        <f aca="false">IF(AND(OR(BY1627="L1",BY1627="L23"),AH1627&gt;0),SUMIFS($AH$7:$AH$1843,$BY$7:$BY$1843,BY1627,$AK$7:$AK$1843,"&gt;"&amp;AK1627)+SUMIFS($AH$7:$AH$1843,$BY$7:$BY$1843,BY1627,$AK$7:$AK$1843,AK1627,$BQ$7:$BQ$1843,"&lt;="&amp;BQ1627),"")</f>
        <v>87.4883787709875</v>
      </c>
      <c r="AM1627" s="65" t="n">
        <f aca="false">IF(AL1627="",0,MAX(0,MIN(1,(IF(BY1627="L1",Parameter!$E$5,Parameter!$E$6+Parameter!$E$7)-(AL1627-AH1627))/AH1627)))</f>
        <v>1</v>
      </c>
      <c r="AN1627" s="57" t="n">
        <f aca="false">IF(LEFT(Cockpit!$I$5,1)="A",H1627,IF(CA1627=1,CB1627,IF(LEFT(Cockpit!$I$5,1)="B",AR1627,MAX(AR1627,H1627))))</f>
        <v>40</v>
      </c>
      <c r="AO1627" s="57" t="n">
        <f aca="false">IF(BT1627=1,0,ROUNDUP(AN1627/BS1627,0))</f>
        <v>1</v>
      </c>
      <c r="AP1627" s="59" t="n">
        <f aca="false">IF(CH1627&gt;0,CH1627*MAX(1,AN1627/X1627),IF(BT1627=1,IF(AN1627&lt;=0,0,BW1627*MAX(1,IF(H1627&gt;0,AN1627/H1627,1))),IF(R1627&gt;0,AO1627/R1627,0))/MAX(0.1,N(Parameter!$M$21)))</f>
        <v>0.0384615384615385</v>
      </c>
      <c r="AQ1627" s="57" t="n">
        <f aca="false">AN1627*G1627</f>
        <v>1028.4</v>
      </c>
      <c r="AR1627" s="57" t="n">
        <f aca="false">ROUNDUP(MAX(J1627/IF(BZ1627&gt;0,BZ1627,MAX(0.1,N(Cockpit!$I$6))),CC1627)/BS1627,0)*BS1627</f>
        <v>40</v>
      </c>
      <c r="AS1627" s="58" t="n">
        <f aca="false">IF(AP1627&gt;0,J1627/AP1627,-1)</f>
        <v>0</v>
      </c>
      <c r="AT1627" s="58" t="n">
        <f aca="false">IF(AND(OR(BY1627="L1",BY1627="L23"),AP1627&gt;0),SUMIFS($AP$7:$AP$1843,$BY$7:$BY$1843,BY1627,$AS$7:$AS$1843,"&gt;"&amp;AS1627)+SUMIFS($AP$7:$AP$1843,$BY$7:$BY$1843,BY1627,$AS$7:$AS$1843,AS1627,$BQ$7:$BQ$1843,"&lt;="&amp;BQ1627),"")</f>
        <v>132.740515523124</v>
      </c>
      <c r="AU1627" s="65" t="n">
        <f aca="false">IF(AT1627="",0,MAX(0,MIN(1,(IF(BY1627="L1",Parameter!$E$5,Parameter!$E$6+Parameter!$E$7)-(AT1627-AP1627))/AP1627)))</f>
        <v>0</v>
      </c>
      <c r="AV1627" s="57" t="n">
        <f aca="false">IF(LEFT(Cockpit!$O$5,1)="A",H1627,IF(CA1627=1,CB1627,IF(LEFT(Cockpit!$O$5,1)="B",AZ1627,MAX(AZ1627,H1627))))</f>
        <v>40</v>
      </c>
      <c r="AW1627" s="57" t="n">
        <f aca="false">IF(BT1627=1,0,ROUNDUP(AV1627/BS1627,0))</f>
        <v>1</v>
      </c>
      <c r="AX1627" s="59" t="n">
        <f aca="false">IF(CH1627&gt;0,CH1627*MAX(1,AV1627/X1627),IF(BT1627=1,IF(AV1627&lt;=0,0,BW1627*MAX(1,IF(H1627&gt;0,AV1627/H1627,1))),IF(R1627&gt;0,AW1627/R1627,0))/MAX(0.1,N(Parameter!$M$21)))</f>
        <v>0.0384615384615385</v>
      </c>
      <c r="AY1627" s="57" t="n">
        <f aca="false">AV1627*G1627</f>
        <v>1028.4</v>
      </c>
      <c r="AZ1627" s="57" t="n">
        <f aca="false">ROUNDUP(MAX(J1627/IF(BZ1627&gt;0,BZ1627,MAX(0.1,N(Cockpit!$O$6))),CC1627)/BS1627,0)*BS1627</f>
        <v>40</v>
      </c>
      <c r="BA1627" s="58" t="n">
        <f aca="false">IF(AX1627&gt;0,J1627/AX1627,-1)</f>
        <v>0</v>
      </c>
      <c r="BB1627" s="58" t="n">
        <f aca="false">IF(AND(OR(BY1627="L1",BY1627="L23"),AX1627&gt;0),SUMIFS($AX$7:$AX$1843,$BY$7:$BY$1843,BY1627,$BA$7:$BA$1843,"&gt;"&amp;BA1627)+SUMIFS($AX$7:$AX$1843,$BY$7:$BY$1843,BY1627,$BA$7:$BA$1843,BA1627,$BQ$7:$BQ$1843,"&lt;="&amp;BQ1627),"")</f>
        <v>123.570352352961</v>
      </c>
      <c r="BC1627" s="65" t="n">
        <f aca="false">IF(BB1627="",0,MAX(0,MIN(1,(IF(BY1627="L1",Parameter!$E$5,Parameter!$E$6+Parameter!$E$7)-(BB1627-AX1627))/AX1627)))</f>
        <v>0</v>
      </c>
      <c r="BD1627" s="55" t="str">
        <f aca="false">IF(AH1627&lt;=0,"",IF(BY1627="Aussen","Aussenlager",IF(BY1627="-","Nicht im Lift",IF(AM1627&gt;=1,"Lift",IF(AM1627&lt;=0,"Aussenlager","teilweise")))))</f>
        <v>Lift</v>
      </c>
      <c r="BE1627" s="55" t="str">
        <f aca="false">IF(AP1627&lt;=0,"",IF(BY1627="Aussen","Aussenlager",IF(BY1627="-","Nicht im Lift",IF(AU1627&gt;=1,"Lift",IF(AU1627&lt;=0,"Aussenlager","teilweise")))))</f>
        <v>Aussenlager</v>
      </c>
      <c r="BF1627" s="55" t="str">
        <f aca="false">IF(AX1627&lt;=0,"",IF(BY1627="Aussen","Aussenlager",IF(BY1627="-","Nicht im Lift",IF(BC1627&gt;=1,"Lift",IF(BC1627&lt;=0,"Aussenlager","teilweise")))))</f>
        <v>Aussenlager</v>
      </c>
      <c r="BG1627" s="55" t="str">
        <f aca="false">IF(A1627="","",IF(BP1627=1,"Neu; ","")&amp;IF(AND(BP1627=0,BK1627&lt;0),"negativer Bestand (Export "&amp;BK1627&amp;"); ","")&amp;IF(J1627&lt;=0,"Kein Verbrauch; ","")&amp;IF(CH1627&gt;0,"Lift "&amp;W1627&amp;" lt. Liftbericht (Fach "&amp;X1627&amp;" Stk); ",IF(BU1627=1,"Gebinde geschätzt ("&amp;T1627&amp;"); ",IF(BT1627=1,"Lose – Tablare geschätzt; ","")))&amp;IF(H1627&gt;AR1627,"Überbestand "&amp;ROUND(H1627-AR1627,0)&amp;" Stk / CHF "&amp;ROUND((H1627-AR1627)*G1627,0)&amp;"; ","")&amp;IF(AND(CA1627=1,CB1627&lt;CC1627),"MAX &lt; MB+LG; ","")&amp;IF(AND(CG1627&gt;0,CF1627*10&gt;CG1627),"zu hoch für Tablar; ","")&amp;IF(AND(BP1627=0,OR(CA1627=1,AA1627&lt;&gt;"",U1627&lt;&gt;"",V1627&lt;&gt;"",AB1627&lt;&gt;"")),"manuell übersteuert; ","")&amp;IF(AND(BT1627=0,R1627=0),"Gebinde unbekannt / Stellmass fehlt; ","")&amp;IF(AND(BT1627=0,N(V1627)&lt;=0,N(Q1627)&lt;=0),"Menge pro Gebinde fehlt (Ist = 1 Gebinde); ","")&amp;BO1627)</f>
        <v>Kein Verbrauch; Gebinde geschätzt (Klein); Menge pro Gebinde fehlt (Ist = 1 Gebinde); nur im Artikelstamm (Bestand 23.06.2026)</v>
      </c>
      <c r="BH1627" s="55"/>
      <c r="BI1627" s="55"/>
      <c r="BJ1627" s="62"/>
      <c r="BK1627" s="57" t="n">
        <v>37</v>
      </c>
      <c r="BL1627" s="57" t="n">
        <v>0</v>
      </c>
      <c r="BM1627" s="56" t="n">
        <v>0</v>
      </c>
      <c r="BN1627" s="57" t="n">
        <v>0</v>
      </c>
      <c r="BO1627" s="55" t="s">
        <v>2575</v>
      </c>
      <c r="BP1627" s="60" t="n">
        <v>0</v>
      </c>
      <c r="BQ1627" s="60" t="n">
        <v>1627</v>
      </c>
      <c r="BR1627" s="55" t="str">
        <f aca="false">IF(U1627&lt;&gt;"",UPPER(TRIM(U1627)),IF(BU1627=1,UPPER(VLOOKUP(T1627,Parameter!$I$27:$K$29,2,0)),IF(P1627="","LOSE",P1627)))</f>
        <v>S51</v>
      </c>
      <c r="BS1627" s="57" t="n">
        <f aca="false">IF(BR1627="LOSE",1,IF(N(V1627)&gt;0,V1627,IF(BU1627=1,MAX(1,N(VLOOKUP(T1627,Parameter!$I$27:$K$29,3,0)),H1627,N(N1627)),IF(N(Q1627)&gt;0,Q1627,MAX(1,H1627)))))</f>
        <v>40</v>
      </c>
      <c r="BT1627" s="60" t="n">
        <f aca="false">IF(BR1627="LOSE",1,0)</f>
        <v>0</v>
      </c>
      <c r="BU1627" s="60" t="n">
        <f aca="false">IF(AND(U1627="",OR(P1627="",P1627="LOSE"),T1627&lt;&gt;"",N(S1627)&lt;=0,ISNUMBER(MATCH(T1627,Parameter!$I$27:$I$29,0))),1,0)</f>
        <v>1</v>
      </c>
      <c r="BV1627" s="55" t="str">
        <f aca="false">IF(AND(Parameter!$B$19="Ja",E1627&lt;&gt;"",ISNUMBER(MATCH(E1627,Parameter!$I$35:$I$52,0))),VLOOKUP(E1627,Parameter!$I$35:$J$52,2,0),IFERROR(VLOOKUP(D1627,Parameter!$A$35:$C$64,2,0),"Nein"))</f>
        <v>2+3</v>
      </c>
      <c r="BW1627" s="59" t="n">
        <f aca="false">IF(BT1627=0,0,IF(N(S1627)&gt;0,S1627,IFERROR(VLOOKUP(D1627,Parameter!$A$35:$C$64,3,0)+0,0)))</f>
        <v>0</v>
      </c>
      <c r="BX1627" s="55" t="n">
        <f aca="false">IF(AA1627&lt;&gt;"",AA1627,Z1627)</f>
        <v>3</v>
      </c>
      <c r="BY1627" s="55" t="str">
        <f aca="false">IF(BX1627=1,"L1",IF(OR(BX1627=2,BX1627=3),"L23",IF(BX1627="Aussen","Aussen","-")))</f>
        <v>L23</v>
      </c>
      <c r="BZ1627" s="66" t="n">
        <f aca="false">IF(N(AB1627)&gt;0,AB1627,0)</f>
        <v>0</v>
      </c>
      <c r="CA1627" s="60" t="n">
        <f aca="false">IF(ISNUMBER(AE1627),1,0)</f>
        <v>0</v>
      </c>
      <c r="CB1627" s="57" t="n">
        <f aca="false">N(AE1627)</f>
        <v>0</v>
      </c>
      <c r="CC1627" s="57" t="n">
        <f aca="false">N(M1627)+N(N1627)</f>
        <v>40</v>
      </c>
      <c r="CD1627" s="57" t="n">
        <f aca="false">ROUNDUP(H1627/BS1627,0)</f>
        <v>1</v>
      </c>
      <c r="CE1627" s="57" t="n">
        <f aca="false">ROUNDUP(CB1627/BS1627,0)</f>
        <v>0</v>
      </c>
      <c r="CF1627" s="60" t="n">
        <f aca="false">IF(BT1627=1,0,IFERROR(VLOOKUP(BR1627,'Gebinde-Kategorie'!$A$5:$M$45,5,0)+0,0))</f>
        <v>11</v>
      </c>
      <c r="CG1627" s="60" t="n">
        <f aca="false">IFERROR(IF(OR(BX1627=1,BX1627=2,BX1627=3),N(INDEX(Parameter!$I$5:$I$7,BX1627)),0),0)</f>
        <v>0</v>
      </c>
      <c r="CH1627" s="59" t="n">
        <f aca="false">IF(AND(Parameter!$B$21="Ja",ISNUMBER(W1627),N(X1627)&gt;0),IFERROR(N(INDEX(Parameter!$L$5:$L$7,W1627))*INDEX(Parameter!$E$5:$E$7,W1627)*X1627/SUMIFS($X$7:$X$1843,$W$7:$W$1843,W1627),0),0)</f>
        <v>0</v>
      </c>
    </row>
    <row r="1628" customFormat="false" ht="15" hidden="false" customHeight="false" outlineLevel="0" collapsed="false">
      <c r="A1628" s="55" t="s">
        <v>2832</v>
      </c>
      <c r="B1628" s="55" t="s">
        <v>2833</v>
      </c>
      <c r="C1628" s="55" t="s">
        <v>164</v>
      </c>
      <c r="D1628" s="55" t="s">
        <v>184</v>
      </c>
      <c r="E1628" s="55"/>
      <c r="F1628" s="55"/>
      <c r="G1628" s="56" t="n">
        <v>10.99</v>
      </c>
      <c r="H1628" s="57" t="n">
        <f aca="false">MAX(0,IF(AND(Parameter!$B$21="Ja",ISNUMBER(Y1628)),Y1628,IF(Parameter!$B$20="Jahresanfang 2025 + Export",BL1628+BK1628,BK1628)))</f>
        <v>74</v>
      </c>
      <c r="I1628" s="57" t="n">
        <f aca="false">H1628*G1628</f>
        <v>813.26</v>
      </c>
      <c r="J1628" s="57" t="n">
        <f aca="false">BN1628*Parameter!$B$18</f>
        <v>0</v>
      </c>
      <c r="K1628" s="58"/>
      <c r="L1628" s="59"/>
      <c r="M1628" s="57" t="n">
        <v>0</v>
      </c>
      <c r="N1628" s="57" t="n">
        <v>50</v>
      </c>
      <c r="O1628" s="60" t="n">
        <v>14</v>
      </c>
      <c r="P1628" s="55" t="s">
        <v>168</v>
      </c>
      <c r="Q1628" s="57"/>
      <c r="R1628" s="60" t="n">
        <f aca="false">IF(BT1628=1,0,IFERROR(VLOOKUP(BR1628,'Gebinde-Kategorie'!$A$5:$M$45,13,0)+0,0))</f>
        <v>26</v>
      </c>
      <c r="S1628" s="61"/>
      <c r="T1628" s="62" t="s">
        <v>275</v>
      </c>
      <c r="U1628" s="62"/>
      <c r="V1628" s="62"/>
      <c r="W1628" s="55"/>
      <c r="X1628" s="57"/>
      <c r="Y1628" s="57"/>
      <c r="Z1628" s="55" t="n">
        <f aca="false">IF(A1628="","",IF(AND(Parameter!$B$21="Ja",ISNUMBER(W1628)),W1628,IF(BV1628="2+3",IF(ISNUMBER(SEARCH("grosser Artikel",BO1628)),2,IFERROR(VLOOKUP(BR1628,Parameter!$F$35:$G$64,2,0),2)),IF(OR(BV1628="Nein",BV1628=""),"-",BV1628))))</f>
        <v>3</v>
      </c>
      <c r="AA1628" s="62"/>
      <c r="AB1628" s="63"/>
      <c r="AC1628" s="57" t="n">
        <f aca="false">AR1628</f>
        <v>74</v>
      </c>
      <c r="AD1628" s="57" t="n">
        <f aca="false">MAX(AR1628,H1628)</f>
        <v>74</v>
      </c>
      <c r="AE1628" s="64"/>
      <c r="AF1628" s="57" t="n">
        <f aca="false">IF(LEFT(Cockpit!$C$5,1)="A",H1628,IF(CA1628=1,CB1628,IF(LEFT(Cockpit!$C$5,1)="B",AJ1628,MAX(AJ1628,H1628))))</f>
        <v>74</v>
      </c>
      <c r="AG1628" s="57" t="n">
        <f aca="false">IF(BT1628=1,0,ROUNDUP(AF1628/BS1628,0))</f>
        <v>1</v>
      </c>
      <c r="AH1628" s="59" t="n">
        <f aca="false">IF(CH1628&gt;0,CH1628*MAX(1,AF1628/X1628),IF(BT1628=1,IF(AF1628&lt;=0,0,BW1628*MAX(1,IF(H1628&gt;0,AF1628/H1628,1))),IF(R1628&gt;0,AG1628/R1628,0))/MAX(0.1,N(Parameter!$M$21)))</f>
        <v>0.0384615384615385</v>
      </c>
      <c r="AI1628" s="57" t="n">
        <f aca="false">AF1628*G1628</f>
        <v>813.26</v>
      </c>
      <c r="AJ1628" s="57" t="n">
        <f aca="false">ROUNDUP(MAX(J1628/IF(BZ1628&gt;0,BZ1628,MAX(0.1,N(Cockpit!$C$6))),CC1628)/BS1628,0)*BS1628</f>
        <v>74</v>
      </c>
      <c r="AK1628" s="58" t="n">
        <f aca="false">IF(AH1628&gt;0,J1628/AH1628,-1)</f>
        <v>0</v>
      </c>
      <c r="AL1628" s="58" t="n">
        <f aca="false">IF(AND(OR(BY1628="L1",BY1628="L23"),AH1628&gt;0),SUMIFS($AH$7:$AH$1843,$BY$7:$BY$1843,BY1628,$AK$7:$AK$1843,"&gt;"&amp;AK1628)+SUMIFS($AH$7:$AH$1843,$BY$7:$BY$1843,BY1628,$AK$7:$AK$1843,AK1628,$BQ$7:$BQ$1843,"&lt;="&amp;BQ1628),"")</f>
        <v>87.526840309449</v>
      </c>
      <c r="AM1628" s="65" t="n">
        <f aca="false">IF(AL1628="",0,MAX(0,MIN(1,(IF(BY1628="L1",Parameter!$E$5,Parameter!$E$6+Parameter!$E$7)-(AL1628-AH1628))/AH1628)))</f>
        <v>1</v>
      </c>
      <c r="AN1628" s="57" t="n">
        <f aca="false">IF(LEFT(Cockpit!$I$5,1)="A",H1628,IF(CA1628=1,CB1628,IF(LEFT(Cockpit!$I$5,1)="B",AR1628,MAX(AR1628,H1628))))</f>
        <v>74</v>
      </c>
      <c r="AO1628" s="57" t="n">
        <f aca="false">IF(BT1628=1,0,ROUNDUP(AN1628/BS1628,0))</f>
        <v>1</v>
      </c>
      <c r="AP1628" s="59" t="n">
        <f aca="false">IF(CH1628&gt;0,CH1628*MAX(1,AN1628/X1628),IF(BT1628=1,IF(AN1628&lt;=0,0,BW1628*MAX(1,IF(H1628&gt;0,AN1628/H1628,1))),IF(R1628&gt;0,AO1628/R1628,0))/MAX(0.1,N(Parameter!$M$21)))</f>
        <v>0.0384615384615385</v>
      </c>
      <c r="AQ1628" s="57" t="n">
        <f aca="false">AN1628*G1628</f>
        <v>813.26</v>
      </c>
      <c r="AR1628" s="57" t="n">
        <f aca="false">ROUNDUP(MAX(J1628/IF(BZ1628&gt;0,BZ1628,MAX(0.1,N(Cockpit!$I$6))),CC1628)/BS1628,0)*BS1628</f>
        <v>74</v>
      </c>
      <c r="AS1628" s="58" t="n">
        <f aca="false">IF(AP1628&gt;0,J1628/AP1628,-1)</f>
        <v>0</v>
      </c>
      <c r="AT1628" s="58" t="n">
        <f aca="false">IF(AND(OR(BY1628="L1",BY1628="L23"),AP1628&gt;0),SUMIFS($AP$7:$AP$1843,$BY$7:$BY$1843,BY1628,$AS$7:$AS$1843,"&gt;"&amp;AS1628)+SUMIFS($AP$7:$AP$1843,$BY$7:$BY$1843,BY1628,$AS$7:$AS$1843,AS1628,$BQ$7:$BQ$1843,"&lt;="&amp;BQ1628),"")</f>
        <v>132.778977061586</v>
      </c>
      <c r="AU1628" s="65" t="n">
        <f aca="false">IF(AT1628="",0,MAX(0,MIN(1,(IF(BY1628="L1",Parameter!$E$5,Parameter!$E$6+Parameter!$E$7)-(AT1628-AP1628))/AP1628)))</f>
        <v>0</v>
      </c>
      <c r="AV1628" s="57" t="n">
        <f aca="false">IF(LEFT(Cockpit!$O$5,1)="A",H1628,IF(CA1628=1,CB1628,IF(LEFT(Cockpit!$O$5,1)="B",AZ1628,MAX(AZ1628,H1628))))</f>
        <v>74</v>
      </c>
      <c r="AW1628" s="57" t="n">
        <f aca="false">IF(BT1628=1,0,ROUNDUP(AV1628/BS1628,0))</f>
        <v>1</v>
      </c>
      <c r="AX1628" s="59" t="n">
        <f aca="false">IF(CH1628&gt;0,CH1628*MAX(1,AV1628/X1628),IF(BT1628=1,IF(AV1628&lt;=0,0,BW1628*MAX(1,IF(H1628&gt;0,AV1628/H1628,1))),IF(R1628&gt;0,AW1628/R1628,0))/MAX(0.1,N(Parameter!$M$21)))</f>
        <v>0.0384615384615385</v>
      </c>
      <c r="AY1628" s="57" t="n">
        <f aca="false">AV1628*G1628</f>
        <v>813.26</v>
      </c>
      <c r="AZ1628" s="57" t="n">
        <f aca="false">ROUNDUP(MAX(J1628/IF(BZ1628&gt;0,BZ1628,MAX(0.1,N(Cockpit!$O$6))),CC1628)/BS1628,0)*BS1628</f>
        <v>74</v>
      </c>
      <c r="BA1628" s="58" t="n">
        <f aca="false">IF(AX1628&gt;0,J1628/AX1628,-1)</f>
        <v>0</v>
      </c>
      <c r="BB1628" s="58" t="n">
        <f aca="false">IF(AND(OR(BY1628="L1",BY1628="L23"),AX1628&gt;0),SUMIFS($AX$7:$AX$1843,$BY$7:$BY$1843,BY1628,$BA$7:$BA$1843,"&gt;"&amp;BA1628)+SUMIFS($AX$7:$AX$1843,$BY$7:$BY$1843,BY1628,$BA$7:$BA$1843,BA1628,$BQ$7:$BQ$1843,"&lt;="&amp;BQ1628),"")</f>
        <v>123.608813891423</v>
      </c>
      <c r="BC1628" s="65" t="n">
        <f aca="false">IF(BB1628="",0,MAX(0,MIN(1,(IF(BY1628="L1",Parameter!$E$5,Parameter!$E$6+Parameter!$E$7)-(BB1628-AX1628))/AX1628)))</f>
        <v>0</v>
      </c>
      <c r="BD1628" s="55" t="str">
        <f aca="false">IF(AH1628&lt;=0,"",IF(BY1628="Aussen","Aussenlager",IF(BY1628="-","Nicht im Lift",IF(AM1628&gt;=1,"Lift",IF(AM1628&lt;=0,"Aussenlager","teilweise")))))</f>
        <v>Lift</v>
      </c>
      <c r="BE1628" s="55" t="str">
        <f aca="false">IF(AP1628&lt;=0,"",IF(BY1628="Aussen","Aussenlager",IF(BY1628="-","Nicht im Lift",IF(AU1628&gt;=1,"Lift",IF(AU1628&lt;=0,"Aussenlager","teilweise")))))</f>
        <v>Aussenlager</v>
      </c>
      <c r="BF1628" s="55" t="str">
        <f aca="false">IF(AX1628&lt;=0,"",IF(BY1628="Aussen","Aussenlager",IF(BY1628="-","Nicht im Lift",IF(BC1628&gt;=1,"Lift",IF(BC1628&lt;=0,"Aussenlager","teilweise")))))</f>
        <v>Aussenlager</v>
      </c>
      <c r="BG1628" s="55" t="str">
        <f aca="false">IF(A1628="","",IF(BP1628=1,"Neu; ","")&amp;IF(AND(BP1628=0,BK1628&lt;0),"negativer Bestand (Export "&amp;BK1628&amp;"); ","")&amp;IF(J1628&lt;=0,"Kein Verbrauch; ","")&amp;IF(CH1628&gt;0,"Lift "&amp;W1628&amp;" lt. Liftbericht (Fach "&amp;X1628&amp;" Stk); ",IF(BU1628=1,"Gebinde geschätzt ("&amp;T1628&amp;"); ",IF(BT1628=1,"Lose – Tablare geschätzt; ","")))&amp;IF(H1628&gt;AR1628,"Überbestand "&amp;ROUND(H1628-AR1628,0)&amp;" Stk / CHF "&amp;ROUND((H1628-AR1628)*G1628,0)&amp;"; ","")&amp;IF(AND(CA1628=1,CB1628&lt;CC1628),"MAX &lt; MB+LG; ","")&amp;IF(AND(CG1628&gt;0,CF1628*10&gt;CG1628),"zu hoch für Tablar; ","")&amp;IF(AND(BP1628=0,OR(CA1628=1,AA1628&lt;&gt;"",U1628&lt;&gt;"",V1628&lt;&gt;"",AB1628&lt;&gt;"")),"manuell übersteuert; ","")&amp;IF(AND(BT1628=0,R1628=0),"Gebinde unbekannt / Stellmass fehlt; ","")&amp;IF(AND(BT1628=0,N(V1628)&lt;=0,N(Q1628)&lt;=0),"Menge pro Gebinde fehlt (Ist = 1 Gebinde); ","")&amp;BO1628)</f>
        <v>Kein Verbrauch; Gebinde geschätzt (Klein); Menge pro Gebinde fehlt (Ist = 1 Gebinde); nur im Artikelstamm (Bestand 23.06.2026)</v>
      </c>
      <c r="BH1628" s="55"/>
      <c r="BI1628" s="55"/>
      <c r="BJ1628" s="62"/>
      <c r="BK1628" s="57" t="n">
        <v>74</v>
      </c>
      <c r="BL1628" s="57" t="n">
        <v>0</v>
      </c>
      <c r="BM1628" s="56" t="n">
        <v>0</v>
      </c>
      <c r="BN1628" s="57" t="n">
        <v>0</v>
      </c>
      <c r="BO1628" s="55" t="s">
        <v>2575</v>
      </c>
      <c r="BP1628" s="60" t="n">
        <v>0</v>
      </c>
      <c r="BQ1628" s="60" t="n">
        <v>1628</v>
      </c>
      <c r="BR1628" s="55" t="str">
        <f aca="false">IF(U1628&lt;&gt;"",UPPER(TRIM(U1628)),IF(BU1628=1,UPPER(VLOOKUP(T1628,Parameter!$I$27:$K$29,2,0)),IF(P1628="","LOSE",P1628)))</f>
        <v>S51</v>
      </c>
      <c r="BS1628" s="57" t="n">
        <f aca="false">IF(BR1628="LOSE",1,IF(N(V1628)&gt;0,V1628,IF(BU1628=1,MAX(1,N(VLOOKUP(T1628,Parameter!$I$27:$K$29,3,0)),H1628,N(N1628)),IF(N(Q1628)&gt;0,Q1628,MAX(1,H1628)))))</f>
        <v>74</v>
      </c>
      <c r="BT1628" s="60" t="n">
        <f aca="false">IF(BR1628="LOSE",1,0)</f>
        <v>0</v>
      </c>
      <c r="BU1628" s="60" t="n">
        <f aca="false">IF(AND(U1628="",OR(P1628="",P1628="LOSE"),T1628&lt;&gt;"",N(S1628)&lt;=0,ISNUMBER(MATCH(T1628,Parameter!$I$27:$I$29,0))),1,0)</f>
        <v>1</v>
      </c>
      <c r="BV1628" s="55" t="str">
        <f aca="false">IF(AND(Parameter!$B$19="Ja",E1628&lt;&gt;"",ISNUMBER(MATCH(E1628,Parameter!$I$35:$I$52,0))),VLOOKUP(E1628,Parameter!$I$35:$J$52,2,0),IFERROR(VLOOKUP(D1628,Parameter!$A$35:$C$64,2,0),"Nein"))</f>
        <v>2+3</v>
      </c>
      <c r="BW1628" s="59" t="n">
        <f aca="false">IF(BT1628=0,0,IF(N(S1628)&gt;0,S1628,IFERROR(VLOOKUP(D1628,Parameter!$A$35:$C$64,3,0)+0,0)))</f>
        <v>0</v>
      </c>
      <c r="BX1628" s="55" t="n">
        <f aca="false">IF(AA1628&lt;&gt;"",AA1628,Z1628)</f>
        <v>3</v>
      </c>
      <c r="BY1628" s="55" t="str">
        <f aca="false">IF(BX1628=1,"L1",IF(OR(BX1628=2,BX1628=3),"L23",IF(BX1628="Aussen","Aussen","-")))</f>
        <v>L23</v>
      </c>
      <c r="BZ1628" s="66" t="n">
        <f aca="false">IF(N(AB1628)&gt;0,AB1628,0)</f>
        <v>0</v>
      </c>
      <c r="CA1628" s="60" t="n">
        <f aca="false">IF(ISNUMBER(AE1628),1,0)</f>
        <v>0</v>
      </c>
      <c r="CB1628" s="57" t="n">
        <f aca="false">N(AE1628)</f>
        <v>0</v>
      </c>
      <c r="CC1628" s="57" t="n">
        <f aca="false">N(M1628)+N(N1628)</f>
        <v>50</v>
      </c>
      <c r="CD1628" s="57" t="n">
        <f aca="false">ROUNDUP(H1628/BS1628,0)</f>
        <v>1</v>
      </c>
      <c r="CE1628" s="57" t="n">
        <f aca="false">ROUNDUP(CB1628/BS1628,0)</f>
        <v>0</v>
      </c>
      <c r="CF1628" s="60" t="n">
        <f aca="false">IF(BT1628=1,0,IFERROR(VLOOKUP(BR1628,'Gebinde-Kategorie'!$A$5:$M$45,5,0)+0,0))</f>
        <v>11</v>
      </c>
      <c r="CG1628" s="60" t="n">
        <f aca="false">IFERROR(IF(OR(BX1628=1,BX1628=2,BX1628=3),N(INDEX(Parameter!$I$5:$I$7,BX1628)),0),0)</f>
        <v>0</v>
      </c>
      <c r="CH1628" s="59" t="n">
        <f aca="false">IF(AND(Parameter!$B$21="Ja",ISNUMBER(W1628),N(X1628)&gt;0),IFERROR(N(INDEX(Parameter!$L$5:$L$7,W1628))*INDEX(Parameter!$E$5:$E$7,W1628)*X1628/SUMIFS($X$7:$X$1843,$W$7:$W$1843,W1628),0),0)</f>
        <v>0</v>
      </c>
    </row>
    <row r="1629" customFormat="false" ht="15" hidden="false" customHeight="false" outlineLevel="0" collapsed="false">
      <c r="A1629" s="55" t="s">
        <v>2834</v>
      </c>
      <c r="B1629" s="55" t="s">
        <v>2835</v>
      </c>
      <c r="C1629" s="55" t="s">
        <v>164</v>
      </c>
      <c r="D1629" s="55" t="s">
        <v>173</v>
      </c>
      <c r="E1629" s="55" t="s">
        <v>173</v>
      </c>
      <c r="F1629" s="55"/>
      <c r="G1629" s="56" t="n">
        <v>960</v>
      </c>
      <c r="H1629" s="57" t="n">
        <f aca="false">MAX(0,IF(AND(Parameter!$B$21="Ja",ISNUMBER(Y1629)),Y1629,IF(Parameter!$B$20="Jahresanfang 2025 + Export",BL1629+BK1629,BK1629)))</f>
        <v>7</v>
      </c>
      <c r="I1629" s="57" t="n">
        <f aca="false">H1629*G1629</f>
        <v>6720</v>
      </c>
      <c r="J1629" s="57" t="n">
        <f aca="false">BN1629*Parameter!$B$18</f>
        <v>0</v>
      </c>
      <c r="K1629" s="58"/>
      <c r="L1629" s="59"/>
      <c r="M1629" s="57" t="n">
        <v>0</v>
      </c>
      <c r="N1629" s="57" t="n">
        <v>3</v>
      </c>
      <c r="O1629" s="60" t="n">
        <v>28</v>
      </c>
      <c r="P1629" s="55" t="s">
        <v>168</v>
      </c>
      <c r="Q1629" s="57"/>
      <c r="R1629" s="60" t="n">
        <f aca="false">IF(BT1629=1,0,IFERROR(VLOOKUP(BR1629,'Gebinde-Kategorie'!$A$5:$M$45,13,0)+0,0))</f>
        <v>3</v>
      </c>
      <c r="S1629" s="61"/>
      <c r="T1629" s="62" t="s">
        <v>189</v>
      </c>
      <c r="U1629" s="62"/>
      <c r="V1629" s="62"/>
      <c r="W1629" s="55"/>
      <c r="X1629" s="57"/>
      <c r="Y1629" s="57"/>
      <c r="Z1629" s="55" t="str">
        <f aca="false">IF(A1629="","",IF(AND(Parameter!$B$21="Ja",ISNUMBER(W1629)),W1629,IF(BV1629="2+3",IF(ISNUMBER(SEARCH("grosser Artikel",BO1629)),2,IFERROR(VLOOKUP(BR1629,Parameter!$F$35:$G$64,2,0),2)),IF(OR(BV1629="Nein",BV1629=""),"-",BV1629))))</f>
        <v>-</v>
      </c>
      <c r="AA1629" s="62"/>
      <c r="AB1629" s="63"/>
      <c r="AC1629" s="57" t="n">
        <f aca="false">AR1629</f>
        <v>7</v>
      </c>
      <c r="AD1629" s="57" t="n">
        <f aca="false">MAX(AR1629,H1629)</f>
        <v>7</v>
      </c>
      <c r="AE1629" s="64"/>
      <c r="AF1629" s="57" t="n">
        <f aca="false">IF(LEFT(Cockpit!$C$5,1)="A",H1629,IF(CA1629=1,CB1629,IF(LEFT(Cockpit!$C$5,1)="B",AJ1629,MAX(AJ1629,H1629))))</f>
        <v>7</v>
      </c>
      <c r="AG1629" s="57" t="n">
        <f aca="false">IF(BT1629=1,0,ROUNDUP(AF1629/BS1629,0))</f>
        <v>1</v>
      </c>
      <c r="AH1629" s="59" t="n">
        <f aca="false">IF(CH1629&gt;0,CH1629*MAX(1,AF1629/X1629),IF(BT1629=1,IF(AF1629&lt;=0,0,BW1629*MAX(1,IF(H1629&gt;0,AF1629/H1629,1))),IF(R1629&gt;0,AG1629/R1629,0))/MAX(0.1,N(Parameter!$M$21)))</f>
        <v>0.333333333333333</v>
      </c>
      <c r="AI1629" s="57" t="n">
        <f aca="false">AF1629*G1629</f>
        <v>6720</v>
      </c>
      <c r="AJ1629" s="57" t="n">
        <f aca="false">ROUNDUP(MAX(J1629/IF(BZ1629&gt;0,BZ1629,MAX(0.1,N(Cockpit!$C$6))),CC1629)/BS1629,0)*BS1629</f>
        <v>7</v>
      </c>
      <c r="AK1629" s="58" t="n">
        <f aca="false">IF(AH1629&gt;0,J1629/AH1629,-1)</f>
        <v>0</v>
      </c>
      <c r="AL1629" s="58" t="str">
        <f aca="false">IF(AND(OR(BY1629="L1",BY1629="L23"),AH1629&gt;0),SUMIFS($AH$7:$AH$1843,$BY$7:$BY$1843,BY1629,$AK$7:$AK$1843,"&gt;"&amp;AK1629)+SUMIFS($AH$7:$AH$1843,$BY$7:$BY$1843,BY1629,$AK$7:$AK$1843,AK1629,$BQ$7:$BQ$1843,"&lt;="&amp;BQ1629),"")</f>
        <v/>
      </c>
      <c r="AM1629" s="65" t="n">
        <f aca="false">IF(AL1629="",0,MAX(0,MIN(1,(IF(BY1629="L1",Parameter!$E$5,Parameter!$E$6+Parameter!$E$7)-(AL1629-AH1629))/AH1629)))</f>
        <v>0</v>
      </c>
      <c r="AN1629" s="57" t="n">
        <f aca="false">IF(LEFT(Cockpit!$I$5,1)="A",H1629,IF(CA1629=1,CB1629,IF(LEFT(Cockpit!$I$5,1)="B",AR1629,MAX(AR1629,H1629))))</f>
        <v>7</v>
      </c>
      <c r="AO1629" s="57" t="n">
        <f aca="false">IF(BT1629=1,0,ROUNDUP(AN1629/BS1629,0))</f>
        <v>1</v>
      </c>
      <c r="AP1629" s="59" t="n">
        <f aca="false">IF(CH1629&gt;0,CH1629*MAX(1,AN1629/X1629),IF(BT1629=1,IF(AN1629&lt;=0,0,BW1629*MAX(1,IF(H1629&gt;0,AN1629/H1629,1))),IF(R1629&gt;0,AO1629/R1629,0))/MAX(0.1,N(Parameter!$M$21)))</f>
        <v>0.333333333333333</v>
      </c>
      <c r="AQ1629" s="57" t="n">
        <f aca="false">AN1629*G1629</f>
        <v>6720</v>
      </c>
      <c r="AR1629" s="57" t="n">
        <f aca="false">ROUNDUP(MAX(J1629/IF(BZ1629&gt;0,BZ1629,MAX(0.1,N(Cockpit!$I$6))),CC1629)/BS1629,0)*BS1629</f>
        <v>7</v>
      </c>
      <c r="AS1629" s="58" t="n">
        <f aca="false">IF(AP1629&gt;0,J1629/AP1629,-1)</f>
        <v>0</v>
      </c>
      <c r="AT1629" s="58" t="str">
        <f aca="false">IF(AND(OR(BY1629="L1",BY1629="L23"),AP1629&gt;0),SUMIFS($AP$7:$AP$1843,$BY$7:$BY$1843,BY1629,$AS$7:$AS$1843,"&gt;"&amp;AS1629)+SUMIFS($AP$7:$AP$1843,$BY$7:$BY$1843,BY1629,$AS$7:$AS$1843,AS1629,$BQ$7:$BQ$1843,"&lt;="&amp;BQ1629),"")</f>
        <v/>
      </c>
      <c r="AU1629" s="65" t="n">
        <f aca="false">IF(AT1629="",0,MAX(0,MIN(1,(IF(BY1629="L1",Parameter!$E$5,Parameter!$E$6+Parameter!$E$7)-(AT1629-AP1629))/AP1629)))</f>
        <v>0</v>
      </c>
      <c r="AV1629" s="57" t="n">
        <f aca="false">IF(LEFT(Cockpit!$O$5,1)="A",H1629,IF(CA1629=1,CB1629,IF(LEFT(Cockpit!$O$5,1)="B",AZ1629,MAX(AZ1629,H1629))))</f>
        <v>7</v>
      </c>
      <c r="AW1629" s="57" t="n">
        <f aca="false">IF(BT1629=1,0,ROUNDUP(AV1629/BS1629,0))</f>
        <v>1</v>
      </c>
      <c r="AX1629" s="59" t="n">
        <f aca="false">IF(CH1629&gt;0,CH1629*MAX(1,AV1629/X1629),IF(BT1629=1,IF(AV1629&lt;=0,0,BW1629*MAX(1,IF(H1629&gt;0,AV1629/H1629,1))),IF(R1629&gt;0,AW1629/R1629,0))/MAX(0.1,N(Parameter!$M$21)))</f>
        <v>0.333333333333333</v>
      </c>
      <c r="AY1629" s="57" t="n">
        <f aca="false">AV1629*G1629</f>
        <v>6720</v>
      </c>
      <c r="AZ1629" s="57" t="n">
        <f aca="false">ROUNDUP(MAX(J1629/IF(BZ1629&gt;0,BZ1629,MAX(0.1,N(Cockpit!$O$6))),CC1629)/BS1629,0)*BS1629</f>
        <v>7</v>
      </c>
      <c r="BA1629" s="58" t="n">
        <f aca="false">IF(AX1629&gt;0,J1629/AX1629,-1)</f>
        <v>0</v>
      </c>
      <c r="BB1629" s="58" t="str">
        <f aca="false">IF(AND(OR(BY1629="L1",BY1629="L23"),AX1629&gt;0),SUMIFS($AX$7:$AX$1843,$BY$7:$BY$1843,BY1629,$BA$7:$BA$1843,"&gt;"&amp;BA1629)+SUMIFS($AX$7:$AX$1843,$BY$7:$BY$1843,BY1629,$BA$7:$BA$1843,BA1629,$BQ$7:$BQ$1843,"&lt;="&amp;BQ1629),"")</f>
        <v/>
      </c>
      <c r="BC1629" s="65" t="n">
        <f aca="false">IF(BB1629="",0,MAX(0,MIN(1,(IF(BY1629="L1",Parameter!$E$5,Parameter!$E$6+Parameter!$E$7)-(BB1629-AX1629))/AX1629)))</f>
        <v>0</v>
      </c>
      <c r="BD1629" s="55" t="str">
        <f aca="false">IF(AH1629&lt;=0,"",IF(BY1629="Aussen","Aussenlager",IF(BY1629="-","Nicht im Lift",IF(AM1629&gt;=1,"Lift",IF(AM1629&lt;=0,"Aussenlager","teilweise")))))</f>
        <v>Nicht im Lift</v>
      </c>
      <c r="BE1629" s="55" t="str">
        <f aca="false">IF(AP1629&lt;=0,"",IF(BY1629="Aussen","Aussenlager",IF(BY1629="-","Nicht im Lift",IF(AU1629&gt;=1,"Lift",IF(AU1629&lt;=0,"Aussenlager","teilweise")))))</f>
        <v>Nicht im Lift</v>
      </c>
      <c r="BF1629" s="55" t="str">
        <f aca="false">IF(AX1629&lt;=0,"",IF(BY1629="Aussen","Aussenlager",IF(BY1629="-","Nicht im Lift",IF(BC1629&gt;=1,"Lift",IF(BC1629&lt;=0,"Aussenlager","teilweise")))))</f>
        <v>Nicht im Lift</v>
      </c>
      <c r="BG1629" s="55" t="str">
        <f aca="false">IF(A1629="","",IF(BP1629=1,"Neu; ","")&amp;IF(AND(BP1629=0,BK1629&lt;0),"negativer Bestand (Export "&amp;BK1629&amp;"); ","")&amp;IF(J1629&lt;=0,"Kein Verbrauch; ","")&amp;IF(CH1629&gt;0,"Lift "&amp;W1629&amp;" lt. Liftbericht (Fach "&amp;X1629&amp;" Stk); ",IF(BU1629=1,"Gebinde geschätzt ("&amp;T1629&amp;"); ",IF(BT1629=1,"Lose – Tablare geschätzt; ","")))&amp;IF(H1629&gt;AR1629,"Überbestand "&amp;ROUND(H1629-AR1629,0)&amp;" Stk / CHF "&amp;ROUND((H1629-AR1629)*G1629,0)&amp;"; ","")&amp;IF(AND(CA1629=1,CB1629&lt;CC1629),"MAX &lt; MB+LG; ","")&amp;IF(AND(CG1629&gt;0,CF1629*10&gt;CG1629),"zu hoch für Tablar; ","")&amp;IF(AND(BP1629=0,OR(CA1629=1,AA1629&lt;&gt;"",U1629&lt;&gt;"",V1629&lt;&gt;"",AB1629&lt;&gt;"")),"manuell übersteuert; ","")&amp;IF(AND(BT1629=0,R1629=0),"Gebinde unbekannt / Stellmass fehlt; ","")&amp;IF(AND(BT1629=0,N(V1629)&lt;=0,N(Q1629)&lt;=0),"Menge pro Gebinde fehlt (Ist = 1 Gebinde); ","")&amp;BO1629)</f>
        <v>Kein Verbrauch; Gebinde geschätzt (Gross); Menge pro Gebinde fehlt (Ist = 1 Gebinde); nur im Artikelstamm (Bestand 23.06.2026)</v>
      </c>
      <c r="BH1629" s="55"/>
      <c r="BI1629" s="55"/>
      <c r="BJ1629" s="62"/>
      <c r="BK1629" s="57" t="n">
        <v>7</v>
      </c>
      <c r="BL1629" s="57" t="n">
        <v>0</v>
      </c>
      <c r="BM1629" s="56" t="n">
        <v>0</v>
      </c>
      <c r="BN1629" s="57" t="n">
        <v>0</v>
      </c>
      <c r="BO1629" s="55" t="s">
        <v>2575</v>
      </c>
      <c r="BP1629" s="60" t="n">
        <v>0</v>
      </c>
      <c r="BQ1629" s="60" t="n">
        <v>1629</v>
      </c>
      <c r="BR1629" s="55" t="str">
        <f aca="false">IF(U1629&lt;&gt;"",UPPER(TRIM(U1629)),IF(BU1629=1,UPPER(VLOOKUP(T1629,Parameter!$I$27:$K$29,2,0)),IF(P1629="","LOSE",P1629)))</f>
        <v>S81</v>
      </c>
      <c r="BS1629" s="57" t="n">
        <f aca="false">IF(BR1629="LOSE",1,IF(N(V1629)&gt;0,V1629,IF(BU1629=1,MAX(1,N(VLOOKUP(T1629,Parameter!$I$27:$K$29,3,0)),H1629,N(N1629)),IF(N(Q1629)&gt;0,Q1629,MAX(1,H1629)))))</f>
        <v>7</v>
      </c>
      <c r="BT1629" s="60" t="n">
        <f aca="false">IF(BR1629="LOSE",1,0)</f>
        <v>0</v>
      </c>
      <c r="BU1629" s="60" t="n">
        <f aca="false">IF(AND(U1629="",OR(P1629="",P1629="LOSE"),T1629&lt;&gt;"",N(S1629)&lt;=0,ISNUMBER(MATCH(T1629,Parameter!$I$27:$I$29,0))),1,0)</f>
        <v>1</v>
      </c>
      <c r="BV1629" s="55" t="str">
        <f aca="false">IF(AND(Parameter!$B$19="Ja",E1629&lt;&gt;"",ISNUMBER(MATCH(E1629,Parameter!$I$35:$I$52,0))),VLOOKUP(E1629,Parameter!$I$35:$J$52,2,0),IFERROR(VLOOKUP(D1629,Parameter!$A$35:$C$64,2,0),"Nein"))</f>
        <v>Nein</v>
      </c>
      <c r="BW1629" s="59" t="n">
        <f aca="false">IF(BT1629=0,0,IF(N(S1629)&gt;0,S1629,IFERROR(VLOOKUP(D1629,Parameter!$A$35:$C$64,3,0)+0,0)))</f>
        <v>0</v>
      </c>
      <c r="BX1629" s="55" t="str">
        <f aca="false">IF(AA1629&lt;&gt;"",AA1629,Z1629)</f>
        <v>-</v>
      </c>
      <c r="BY1629" s="55" t="str">
        <f aca="false">IF(BX1629=1,"L1",IF(OR(BX1629=2,BX1629=3),"L23",IF(BX1629="Aussen","Aussen","-")))</f>
        <v>-</v>
      </c>
      <c r="BZ1629" s="66" t="n">
        <f aca="false">IF(N(AB1629)&gt;0,AB1629,0)</f>
        <v>0</v>
      </c>
      <c r="CA1629" s="60" t="n">
        <f aca="false">IF(ISNUMBER(AE1629),1,0)</f>
        <v>0</v>
      </c>
      <c r="CB1629" s="57" t="n">
        <f aca="false">N(AE1629)</f>
        <v>0</v>
      </c>
      <c r="CC1629" s="57" t="n">
        <f aca="false">N(M1629)+N(N1629)</f>
        <v>3</v>
      </c>
      <c r="CD1629" s="57" t="n">
        <f aca="false">ROUNDUP(H1629/BS1629,0)</f>
        <v>1</v>
      </c>
      <c r="CE1629" s="57" t="n">
        <f aca="false">ROUNDUP(CB1629/BS1629,0)</f>
        <v>0</v>
      </c>
      <c r="CF1629" s="60" t="n">
        <f aca="false">IF(BT1629=1,0,IFERROR(VLOOKUP(BR1629,'Gebinde-Kategorie'!$A$5:$M$45,5,0)+0,0))</f>
        <v>20</v>
      </c>
      <c r="CG1629" s="60" t="n">
        <f aca="false">IFERROR(IF(OR(BX1629=1,BX1629=2,BX1629=3),N(INDEX(Parameter!$I$5:$I$7,BX1629)),0),0)</f>
        <v>0</v>
      </c>
      <c r="CH1629" s="59" t="n">
        <f aca="false">IF(AND(Parameter!$B$21="Ja",ISNUMBER(W1629),N(X1629)&gt;0),IFERROR(N(INDEX(Parameter!$L$5:$L$7,W1629))*INDEX(Parameter!$E$5:$E$7,W1629)*X1629/SUMIFS($X$7:$X$1843,$W$7:$W$1843,W1629),0),0)</f>
        <v>0</v>
      </c>
    </row>
    <row r="1630" customFormat="false" ht="15" hidden="false" customHeight="false" outlineLevel="0" collapsed="false">
      <c r="A1630" s="55" t="s">
        <v>2836</v>
      </c>
      <c r="B1630" s="55" t="s">
        <v>2837</v>
      </c>
      <c r="C1630" s="55" t="s">
        <v>456</v>
      </c>
      <c r="D1630" s="55" t="s">
        <v>173</v>
      </c>
      <c r="E1630" s="55"/>
      <c r="F1630" s="55"/>
      <c r="G1630" s="56" t="n">
        <v>918.55</v>
      </c>
      <c r="H1630" s="57" t="n">
        <f aca="false">MAX(0,IF(AND(Parameter!$B$21="Ja",ISNUMBER(Y1630)),Y1630,IF(Parameter!$B$20="Jahresanfang 2025 + Export",BL1630+BK1630,BK1630)))</f>
        <v>4</v>
      </c>
      <c r="I1630" s="57" t="n">
        <f aca="false">H1630*G1630</f>
        <v>3674.2</v>
      </c>
      <c r="J1630" s="57" t="n">
        <f aca="false">BN1630*Parameter!$B$18</f>
        <v>0</v>
      </c>
      <c r="K1630" s="58"/>
      <c r="L1630" s="59"/>
      <c r="M1630" s="57" t="n">
        <v>0</v>
      </c>
      <c r="N1630" s="57" t="n">
        <v>4</v>
      </c>
      <c r="O1630" s="60" t="n">
        <v>84</v>
      </c>
      <c r="P1630" s="55" t="s">
        <v>168</v>
      </c>
      <c r="Q1630" s="57"/>
      <c r="R1630" s="60" t="n">
        <f aca="false">IF(BT1630=1,0,IFERROR(VLOOKUP(BR1630,'Gebinde-Kategorie'!$A$5:$M$45,13,0)+0,0))</f>
        <v>12</v>
      </c>
      <c r="S1630" s="61"/>
      <c r="T1630" s="62" t="s">
        <v>179</v>
      </c>
      <c r="U1630" s="62"/>
      <c r="V1630" s="62"/>
      <c r="W1630" s="55"/>
      <c r="X1630" s="57"/>
      <c r="Y1630" s="57"/>
      <c r="Z1630" s="55" t="n">
        <f aca="false">IF(A1630="","",IF(AND(Parameter!$B$21="Ja",ISNUMBER(W1630)),W1630,IF(BV1630="2+3",IF(ISNUMBER(SEARCH("grosser Artikel",BO1630)),2,IFERROR(VLOOKUP(BR1630,Parameter!$F$35:$G$64,2,0),2)),IF(OR(BV1630="Nein",BV1630=""),"-",BV1630))))</f>
        <v>2</v>
      </c>
      <c r="AA1630" s="62"/>
      <c r="AB1630" s="63"/>
      <c r="AC1630" s="57" t="n">
        <f aca="false">AR1630</f>
        <v>4</v>
      </c>
      <c r="AD1630" s="57" t="n">
        <f aca="false">MAX(AR1630,H1630)</f>
        <v>4</v>
      </c>
      <c r="AE1630" s="64"/>
      <c r="AF1630" s="57" t="n">
        <f aca="false">IF(LEFT(Cockpit!$C$5,1)="A",H1630,IF(CA1630=1,CB1630,IF(LEFT(Cockpit!$C$5,1)="B",AJ1630,MAX(AJ1630,H1630))))</f>
        <v>4</v>
      </c>
      <c r="AG1630" s="57" t="n">
        <f aca="false">IF(BT1630=1,0,ROUNDUP(AF1630/BS1630,0))</f>
        <v>1</v>
      </c>
      <c r="AH1630" s="59" t="n">
        <f aca="false">IF(CH1630&gt;0,CH1630*MAX(1,AF1630/X1630),IF(BT1630=1,IF(AF1630&lt;=0,0,BW1630*MAX(1,IF(H1630&gt;0,AF1630/H1630,1))),IF(R1630&gt;0,AG1630/R1630,0))/MAX(0.1,N(Parameter!$M$21)))</f>
        <v>0.0833333333333333</v>
      </c>
      <c r="AI1630" s="57" t="n">
        <f aca="false">AF1630*G1630</f>
        <v>3674.2</v>
      </c>
      <c r="AJ1630" s="57" t="n">
        <f aca="false">ROUNDUP(MAX(J1630/IF(BZ1630&gt;0,BZ1630,MAX(0.1,N(Cockpit!$C$6))),CC1630)/BS1630,0)*BS1630</f>
        <v>4</v>
      </c>
      <c r="AK1630" s="58" t="n">
        <f aca="false">IF(AH1630&gt;0,J1630/AH1630,-1)</f>
        <v>0</v>
      </c>
      <c r="AL1630" s="58" t="n">
        <f aca="false">IF(AND(OR(BY1630="L1",BY1630="L23"),AH1630&gt;0),SUMIFS($AH$7:$AH$1843,$BY$7:$BY$1843,BY1630,$AK$7:$AK$1843,"&gt;"&amp;AK1630)+SUMIFS($AH$7:$AH$1843,$BY$7:$BY$1843,BY1630,$AK$7:$AK$1843,AK1630,$BQ$7:$BQ$1843,"&lt;="&amp;BQ1630),"")</f>
        <v>87.6101736427823</v>
      </c>
      <c r="AM1630" s="65" t="n">
        <f aca="false">IF(AL1630="",0,MAX(0,MIN(1,(IF(BY1630="L1",Parameter!$E$5,Parameter!$E$6+Parameter!$E$7)-(AL1630-AH1630))/AH1630)))</f>
        <v>1</v>
      </c>
      <c r="AN1630" s="57" t="n">
        <f aca="false">IF(LEFT(Cockpit!$I$5,1)="A",H1630,IF(CA1630=1,CB1630,IF(LEFT(Cockpit!$I$5,1)="B",AR1630,MAX(AR1630,H1630))))</f>
        <v>4</v>
      </c>
      <c r="AO1630" s="57" t="n">
        <f aca="false">IF(BT1630=1,0,ROUNDUP(AN1630/BS1630,0))</f>
        <v>1</v>
      </c>
      <c r="AP1630" s="59" t="n">
        <f aca="false">IF(CH1630&gt;0,CH1630*MAX(1,AN1630/X1630),IF(BT1630=1,IF(AN1630&lt;=0,0,BW1630*MAX(1,IF(H1630&gt;0,AN1630/H1630,1))),IF(R1630&gt;0,AO1630/R1630,0))/MAX(0.1,N(Parameter!$M$21)))</f>
        <v>0.0833333333333333</v>
      </c>
      <c r="AQ1630" s="57" t="n">
        <f aca="false">AN1630*G1630</f>
        <v>3674.2</v>
      </c>
      <c r="AR1630" s="57" t="n">
        <f aca="false">ROUNDUP(MAX(J1630/IF(BZ1630&gt;0,BZ1630,MAX(0.1,N(Cockpit!$I$6))),CC1630)/BS1630,0)*BS1630</f>
        <v>4</v>
      </c>
      <c r="AS1630" s="58" t="n">
        <f aca="false">IF(AP1630&gt;0,J1630/AP1630,-1)</f>
        <v>0</v>
      </c>
      <c r="AT1630" s="58" t="n">
        <f aca="false">IF(AND(OR(BY1630="L1",BY1630="L23"),AP1630&gt;0),SUMIFS($AP$7:$AP$1843,$BY$7:$BY$1843,BY1630,$AS$7:$AS$1843,"&gt;"&amp;AS1630)+SUMIFS($AP$7:$AP$1843,$BY$7:$BY$1843,BY1630,$AS$7:$AS$1843,AS1630,$BQ$7:$BQ$1843,"&lt;="&amp;BQ1630),"")</f>
        <v>132.862310394919</v>
      </c>
      <c r="AU1630" s="65" t="n">
        <f aca="false">IF(AT1630="",0,MAX(0,MIN(1,(IF(BY1630="L1",Parameter!$E$5,Parameter!$E$6+Parameter!$E$7)-(AT1630-AP1630))/AP1630)))</f>
        <v>0</v>
      </c>
      <c r="AV1630" s="57" t="n">
        <f aca="false">IF(LEFT(Cockpit!$O$5,1)="A",H1630,IF(CA1630=1,CB1630,IF(LEFT(Cockpit!$O$5,1)="B",AZ1630,MAX(AZ1630,H1630))))</f>
        <v>4</v>
      </c>
      <c r="AW1630" s="57" t="n">
        <f aca="false">IF(BT1630=1,0,ROUNDUP(AV1630/BS1630,0))</f>
        <v>1</v>
      </c>
      <c r="AX1630" s="59" t="n">
        <f aca="false">IF(CH1630&gt;0,CH1630*MAX(1,AV1630/X1630),IF(BT1630=1,IF(AV1630&lt;=0,0,BW1630*MAX(1,IF(H1630&gt;0,AV1630/H1630,1))),IF(R1630&gt;0,AW1630/R1630,0))/MAX(0.1,N(Parameter!$M$21)))</f>
        <v>0.0833333333333333</v>
      </c>
      <c r="AY1630" s="57" t="n">
        <f aca="false">AV1630*G1630</f>
        <v>3674.2</v>
      </c>
      <c r="AZ1630" s="57" t="n">
        <f aca="false">ROUNDUP(MAX(J1630/IF(BZ1630&gt;0,BZ1630,MAX(0.1,N(Cockpit!$O$6))),CC1630)/BS1630,0)*BS1630</f>
        <v>4</v>
      </c>
      <c r="BA1630" s="58" t="n">
        <f aca="false">IF(AX1630&gt;0,J1630/AX1630,-1)</f>
        <v>0</v>
      </c>
      <c r="BB1630" s="58" t="n">
        <f aca="false">IF(AND(OR(BY1630="L1",BY1630="L23"),AX1630&gt;0),SUMIFS($AX$7:$AX$1843,$BY$7:$BY$1843,BY1630,$BA$7:$BA$1843,"&gt;"&amp;BA1630)+SUMIFS($AX$7:$AX$1843,$BY$7:$BY$1843,BY1630,$BA$7:$BA$1843,BA1630,$BQ$7:$BQ$1843,"&lt;="&amp;BQ1630),"")</f>
        <v>123.692147224756</v>
      </c>
      <c r="BC1630" s="65" t="n">
        <f aca="false">IF(BB1630="",0,MAX(0,MIN(1,(IF(BY1630="L1",Parameter!$E$5,Parameter!$E$6+Parameter!$E$7)-(BB1630-AX1630))/AX1630)))</f>
        <v>0</v>
      </c>
      <c r="BD1630" s="55" t="str">
        <f aca="false">IF(AH1630&lt;=0,"",IF(BY1630="Aussen","Aussenlager",IF(BY1630="-","Nicht im Lift",IF(AM1630&gt;=1,"Lift",IF(AM1630&lt;=0,"Aussenlager","teilweise")))))</f>
        <v>Lift</v>
      </c>
      <c r="BE1630" s="55" t="str">
        <f aca="false">IF(AP1630&lt;=0,"",IF(BY1630="Aussen","Aussenlager",IF(BY1630="-","Nicht im Lift",IF(AU1630&gt;=1,"Lift",IF(AU1630&lt;=0,"Aussenlager","teilweise")))))</f>
        <v>Aussenlager</v>
      </c>
      <c r="BF1630" s="55" t="str">
        <f aca="false">IF(AX1630&lt;=0,"",IF(BY1630="Aussen","Aussenlager",IF(BY1630="-","Nicht im Lift",IF(BC1630&gt;=1,"Lift",IF(BC1630&lt;=0,"Aussenlager","teilweise")))))</f>
        <v>Aussenlager</v>
      </c>
      <c r="BG1630" s="55" t="str">
        <f aca="false">IF(A1630="","",IF(BP1630=1,"Neu; ","")&amp;IF(AND(BP1630=0,BK1630&lt;0),"negativer Bestand (Export "&amp;BK1630&amp;"); ","")&amp;IF(J1630&lt;=0,"Kein Verbrauch; ","")&amp;IF(CH1630&gt;0,"Lift "&amp;W1630&amp;" lt. Liftbericht (Fach "&amp;X1630&amp;" Stk); ",IF(BU1630=1,"Gebinde geschätzt ("&amp;T1630&amp;"); ",IF(BT1630=1,"Lose – Tablare geschätzt; ","")))&amp;IF(H1630&gt;AR1630,"Überbestand "&amp;ROUND(H1630-AR1630,0)&amp;" Stk / CHF "&amp;ROUND((H1630-AR1630)*G1630,0)&amp;"; ","")&amp;IF(AND(CA1630=1,CB1630&lt;CC1630),"MAX &lt; MB+LG; ","")&amp;IF(AND(CG1630&gt;0,CF1630*10&gt;CG1630),"zu hoch für Tablar; ","")&amp;IF(AND(BP1630=0,OR(CA1630=1,AA1630&lt;&gt;"",U1630&lt;&gt;"",V1630&lt;&gt;"",AB1630&lt;&gt;"")),"manuell übersteuert; ","")&amp;IF(AND(BT1630=0,R1630=0),"Gebinde unbekannt / Stellmass fehlt; ","")&amp;IF(AND(BT1630=0,N(V1630)&lt;=0,N(Q1630)&lt;=0),"Menge pro Gebinde fehlt (Ist = 1 Gebinde); ","")&amp;BO1630)</f>
        <v>Kein Verbrauch; Gebinde geschätzt (Mittel); Menge pro Gebinde fehlt (Ist = 1 Gebinde); nur im Artikelstamm (Bestand 23.06.2026)</v>
      </c>
      <c r="BH1630" s="55"/>
      <c r="BI1630" s="55"/>
      <c r="BJ1630" s="62"/>
      <c r="BK1630" s="57" t="n">
        <v>4</v>
      </c>
      <c r="BL1630" s="57" t="n">
        <v>0</v>
      </c>
      <c r="BM1630" s="56" t="n">
        <v>0</v>
      </c>
      <c r="BN1630" s="57" t="n">
        <v>0</v>
      </c>
      <c r="BO1630" s="55" t="s">
        <v>2575</v>
      </c>
      <c r="BP1630" s="60" t="n">
        <v>0</v>
      </c>
      <c r="BQ1630" s="60" t="n">
        <v>1630</v>
      </c>
      <c r="BR1630" s="55" t="str">
        <f aca="false">IF(U1630&lt;&gt;"",UPPER(TRIM(U1630)),IF(BU1630=1,UPPER(VLOOKUP(T1630,Parameter!$I$27:$K$29,2,0)),IF(P1630="","LOSE",P1630)))</f>
        <v>S61</v>
      </c>
      <c r="BS1630" s="57" t="n">
        <f aca="false">IF(BR1630="LOSE",1,IF(N(V1630)&gt;0,V1630,IF(BU1630=1,MAX(1,N(VLOOKUP(T1630,Parameter!$I$27:$K$29,3,0)),H1630,N(N1630)),IF(N(Q1630)&gt;0,Q1630,MAX(1,H1630)))))</f>
        <v>4</v>
      </c>
      <c r="BT1630" s="60" t="n">
        <f aca="false">IF(BR1630="LOSE",1,0)</f>
        <v>0</v>
      </c>
      <c r="BU1630" s="60" t="n">
        <f aca="false">IF(AND(U1630="",OR(P1630="",P1630="LOSE"),T1630&lt;&gt;"",N(S1630)&lt;=0,ISNUMBER(MATCH(T1630,Parameter!$I$27:$I$29,0))),1,0)</f>
        <v>1</v>
      </c>
      <c r="BV1630" s="55" t="str">
        <f aca="false">IF(AND(Parameter!$B$19="Ja",E1630&lt;&gt;"",ISNUMBER(MATCH(E1630,Parameter!$I$35:$I$52,0))),VLOOKUP(E1630,Parameter!$I$35:$J$52,2,0),IFERROR(VLOOKUP(D1630,Parameter!$A$35:$C$64,2,0),"Nein"))</f>
        <v>2+3</v>
      </c>
      <c r="BW1630" s="59" t="n">
        <f aca="false">IF(BT1630=0,0,IF(N(S1630)&gt;0,S1630,IFERROR(VLOOKUP(D1630,Parameter!$A$35:$C$64,3,0)+0,0)))</f>
        <v>0</v>
      </c>
      <c r="BX1630" s="55" t="n">
        <f aca="false">IF(AA1630&lt;&gt;"",AA1630,Z1630)</f>
        <v>2</v>
      </c>
      <c r="BY1630" s="55" t="str">
        <f aca="false">IF(BX1630=1,"L1",IF(OR(BX1630=2,BX1630=3),"L23",IF(BX1630="Aussen","Aussen","-")))</f>
        <v>L23</v>
      </c>
      <c r="BZ1630" s="66" t="n">
        <f aca="false">IF(N(AB1630)&gt;0,AB1630,0)</f>
        <v>0</v>
      </c>
      <c r="CA1630" s="60" t="n">
        <f aca="false">IF(ISNUMBER(AE1630),1,0)</f>
        <v>0</v>
      </c>
      <c r="CB1630" s="57" t="n">
        <f aca="false">N(AE1630)</f>
        <v>0</v>
      </c>
      <c r="CC1630" s="57" t="n">
        <f aca="false">N(M1630)+N(N1630)</f>
        <v>4</v>
      </c>
      <c r="CD1630" s="57" t="n">
        <f aca="false">ROUNDUP(H1630/BS1630,0)</f>
        <v>1</v>
      </c>
      <c r="CE1630" s="57" t="n">
        <f aca="false">ROUNDUP(CB1630/BS1630,0)</f>
        <v>0</v>
      </c>
      <c r="CF1630" s="60" t="n">
        <f aca="false">IF(BT1630=1,0,IFERROR(VLOOKUP(BR1630,'Gebinde-Kategorie'!$A$5:$M$45,5,0)+0,0))</f>
        <v>11</v>
      </c>
      <c r="CG1630" s="60" t="n">
        <f aca="false">IFERROR(IF(OR(BX1630=1,BX1630=2,BX1630=3),N(INDEX(Parameter!$I$5:$I$7,BX1630)),0),0)</f>
        <v>0</v>
      </c>
      <c r="CH1630" s="59" t="n">
        <f aca="false">IF(AND(Parameter!$B$21="Ja",ISNUMBER(W1630),N(X1630)&gt;0),IFERROR(N(INDEX(Parameter!$L$5:$L$7,W1630))*INDEX(Parameter!$E$5:$E$7,W1630)*X1630/SUMIFS($X$7:$X$1843,$W$7:$W$1843,W1630),0),0)</f>
        <v>0</v>
      </c>
    </row>
    <row r="1631" customFormat="false" ht="15" hidden="false" customHeight="false" outlineLevel="0" collapsed="false">
      <c r="A1631" s="55" t="s">
        <v>2838</v>
      </c>
      <c r="B1631" s="55" t="s">
        <v>2839</v>
      </c>
      <c r="C1631" s="55" t="s">
        <v>164</v>
      </c>
      <c r="D1631" s="55" t="s">
        <v>173</v>
      </c>
      <c r="E1631" s="55" t="s">
        <v>166</v>
      </c>
      <c r="F1631" s="55"/>
      <c r="G1631" s="56" t="n">
        <v>132.8</v>
      </c>
      <c r="H1631" s="57" t="n">
        <f aca="false">MAX(0,IF(AND(Parameter!$B$21="Ja",ISNUMBER(Y1631)),Y1631,IF(Parameter!$B$20="Jahresanfang 2025 + Export",BL1631+BK1631,BK1631)))</f>
        <v>1</v>
      </c>
      <c r="I1631" s="57" t="n">
        <f aca="false">H1631*G1631</f>
        <v>132.8</v>
      </c>
      <c r="J1631" s="57" t="n">
        <f aca="false">BN1631*Parameter!$B$18</f>
        <v>0</v>
      </c>
      <c r="K1631" s="58"/>
      <c r="L1631" s="59"/>
      <c r="M1631" s="57" t="n">
        <v>0</v>
      </c>
      <c r="N1631" s="57" t="n">
        <v>1</v>
      </c>
      <c r="O1631" s="60" t="n">
        <v>21</v>
      </c>
      <c r="P1631" s="55" t="s">
        <v>168</v>
      </c>
      <c r="Q1631" s="57"/>
      <c r="R1631" s="60" t="n">
        <f aca="false">IF(BT1631=1,0,IFERROR(VLOOKUP(BR1631,'Gebinde-Kategorie'!$A$5:$M$45,13,0)+0,0))</f>
        <v>0</v>
      </c>
      <c r="S1631" s="61"/>
      <c r="T1631" s="62"/>
      <c r="U1631" s="62"/>
      <c r="V1631" s="62"/>
      <c r="W1631" s="55" t="n">
        <v>1</v>
      </c>
      <c r="X1631" s="57" t="n">
        <v>1</v>
      </c>
      <c r="Y1631" s="57" t="n">
        <v>1</v>
      </c>
      <c r="Z1631" s="55" t="n">
        <f aca="false">IF(A1631="","",IF(AND(Parameter!$B$21="Ja",ISNUMBER(W1631)),W1631,IF(BV1631="2+3",IF(ISNUMBER(SEARCH("grosser Artikel",BO1631)),2,IFERROR(VLOOKUP(BR1631,Parameter!$F$35:$G$64,2,0),2)),IF(OR(BV1631="Nein",BV1631=""),"-",BV1631))))</f>
        <v>1</v>
      </c>
      <c r="AA1631" s="62"/>
      <c r="AB1631" s="63"/>
      <c r="AC1631" s="57" t="n">
        <f aca="false">AR1631</f>
        <v>1</v>
      </c>
      <c r="AD1631" s="57" t="n">
        <f aca="false">MAX(AR1631,H1631)</f>
        <v>1</v>
      </c>
      <c r="AE1631" s="64"/>
      <c r="AF1631" s="57" t="n">
        <f aca="false">IF(LEFT(Cockpit!$C$5,1)="A",H1631,IF(CA1631=1,CB1631,IF(LEFT(Cockpit!$C$5,1)="B",AJ1631,MAX(AJ1631,H1631))))</f>
        <v>1</v>
      </c>
      <c r="AG1631" s="57" t="n">
        <f aca="false">IF(BT1631=1,0,ROUNDUP(AF1631/BS1631,0))</f>
        <v>0</v>
      </c>
      <c r="AH1631" s="59" t="n">
        <f aca="false">IF(CH1631&gt;0,CH1631*MAX(1,AF1631/X1631),IF(BT1631=1,IF(AF1631&lt;=0,0,BW1631*MAX(1,IF(H1631&gt;0,AF1631/H1631,1))),IF(R1631&gt;0,AG1631/R1631,0))/MAX(0.1,N(Parameter!$M$21)))</f>
        <v>0.0800376647834275</v>
      </c>
      <c r="AI1631" s="57" t="n">
        <f aca="false">AF1631*G1631</f>
        <v>132.8</v>
      </c>
      <c r="AJ1631" s="57" t="n">
        <f aca="false">ROUNDUP(MAX(J1631/IF(BZ1631&gt;0,BZ1631,MAX(0.1,N(Cockpit!$C$6))),CC1631)/BS1631,0)*BS1631</f>
        <v>1</v>
      </c>
      <c r="AK1631" s="58" t="n">
        <f aca="false">IF(AH1631&gt;0,J1631/AH1631,-1)</f>
        <v>0</v>
      </c>
      <c r="AL1631" s="58" t="n">
        <f aca="false">IF(AND(OR(BY1631="L1",BY1631="L23"),AH1631&gt;0),SUMIFS($AH$7:$AH$1843,$BY$7:$BY$1843,BY1631,$AK$7:$AK$1843,"&gt;"&amp;AK1631)+SUMIFS($AH$7:$AH$1843,$BY$7:$BY$1843,BY1631,$AK$7:$AK$1843,AK1631,$BQ$7:$BQ$1843,"&lt;="&amp;BQ1631),"")</f>
        <v>52.8156630072621</v>
      </c>
      <c r="AM1631" s="65" t="n">
        <f aca="false">IF(AL1631="",0,MAX(0,MIN(1,(IF(BY1631="L1",Parameter!$E$5,Parameter!$E$6+Parameter!$E$7)-(AL1631-AH1631))/AH1631)))</f>
        <v>0</v>
      </c>
      <c r="AN1631" s="57" t="n">
        <f aca="false">IF(LEFT(Cockpit!$I$5,1)="A",H1631,IF(CA1631=1,CB1631,IF(LEFT(Cockpit!$I$5,1)="B",AR1631,MAX(AR1631,H1631))))</f>
        <v>1</v>
      </c>
      <c r="AO1631" s="57" t="n">
        <f aca="false">IF(BT1631=1,0,ROUNDUP(AN1631/BS1631,0))</f>
        <v>0</v>
      </c>
      <c r="AP1631" s="59" t="n">
        <f aca="false">IF(CH1631&gt;0,CH1631*MAX(1,AN1631/X1631),IF(BT1631=1,IF(AN1631&lt;=0,0,BW1631*MAX(1,IF(H1631&gt;0,AN1631/H1631,1))),IF(R1631&gt;0,AO1631/R1631,0))/MAX(0.1,N(Parameter!$M$21)))</f>
        <v>0.0800376647834275</v>
      </c>
      <c r="AQ1631" s="57" t="n">
        <f aca="false">AN1631*G1631</f>
        <v>132.8</v>
      </c>
      <c r="AR1631" s="57" t="n">
        <f aca="false">ROUNDUP(MAX(J1631/IF(BZ1631&gt;0,BZ1631,MAX(0.1,N(Cockpit!$I$6))),CC1631)/BS1631,0)*BS1631</f>
        <v>1</v>
      </c>
      <c r="AS1631" s="58" t="n">
        <f aca="false">IF(AP1631&gt;0,J1631/AP1631,-1)</f>
        <v>0</v>
      </c>
      <c r="AT1631" s="58" t="n">
        <f aca="false">IF(AND(OR(BY1631="L1",BY1631="L23"),AP1631&gt;0),SUMIFS($AP$7:$AP$1843,$BY$7:$BY$1843,BY1631,$AS$7:$AS$1843,"&gt;"&amp;AS1631)+SUMIFS($AP$7:$AP$1843,$BY$7:$BY$1843,BY1631,$AS$7:$AS$1843,AS1631,$BQ$7:$BQ$1843,"&lt;="&amp;BQ1631),"")</f>
        <v>68.4952226190251</v>
      </c>
      <c r="AU1631" s="65" t="n">
        <f aca="false">IF(AT1631="",0,MAX(0,MIN(1,(IF(BY1631="L1",Parameter!$E$5,Parameter!$E$6+Parameter!$E$7)-(AT1631-AP1631))/AP1631)))</f>
        <v>0</v>
      </c>
      <c r="AV1631" s="57" t="n">
        <f aca="false">IF(LEFT(Cockpit!$O$5,1)="A",H1631,IF(CA1631=1,CB1631,IF(LEFT(Cockpit!$O$5,1)="B",AZ1631,MAX(AZ1631,H1631))))</f>
        <v>1</v>
      </c>
      <c r="AW1631" s="57" t="n">
        <f aca="false">IF(BT1631=1,0,ROUNDUP(AV1631/BS1631,0))</f>
        <v>0</v>
      </c>
      <c r="AX1631" s="59" t="n">
        <f aca="false">IF(CH1631&gt;0,CH1631*MAX(1,AV1631/X1631),IF(BT1631=1,IF(AV1631&lt;=0,0,BW1631*MAX(1,IF(H1631&gt;0,AV1631/H1631,1))),IF(R1631&gt;0,AW1631/R1631,0))/MAX(0.1,N(Parameter!$M$21)))</f>
        <v>0.0800376647834275</v>
      </c>
      <c r="AY1631" s="57" t="n">
        <f aca="false">AV1631*G1631</f>
        <v>132.8</v>
      </c>
      <c r="AZ1631" s="57" t="n">
        <f aca="false">ROUNDUP(MAX(J1631/IF(BZ1631&gt;0,BZ1631,MAX(0.1,N(Cockpit!$O$6))),CC1631)/BS1631,0)*BS1631</f>
        <v>1</v>
      </c>
      <c r="BA1631" s="58" t="n">
        <f aca="false">IF(AX1631&gt;0,J1631/AX1631,-1)</f>
        <v>0</v>
      </c>
      <c r="BB1631" s="58" t="n">
        <f aca="false">IF(AND(OR(BY1631="L1",BY1631="L23"),AX1631&gt;0),SUMIFS($AX$7:$AX$1843,$BY$7:$BY$1843,BY1631,$BA$7:$BA$1843,"&gt;"&amp;BA1631)+SUMIFS($AX$7:$AX$1843,$BY$7:$BY$1843,BY1631,$BA$7:$BA$1843,BA1631,$BQ$7:$BQ$1843,"&lt;="&amp;BQ1631),"")</f>
        <v>62.1620341502434</v>
      </c>
      <c r="BC1631" s="65" t="n">
        <f aca="false">IF(BB1631="",0,MAX(0,MIN(1,(IF(BY1631="L1",Parameter!$E$5,Parameter!$E$6+Parameter!$E$7)-(BB1631-AX1631))/AX1631)))</f>
        <v>0</v>
      </c>
      <c r="BD1631" s="55" t="str">
        <f aca="false">IF(AH1631&lt;=0,"",IF(BY1631="Aussen","Aussenlager",IF(BY1631="-","Nicht im Lift",IF(AM1631&gt;=1,"Lift",IF(AM1631&lt;=0,"Aussenlager","teilweise")))))</f>
        <v>Aussenlager</v>
      </c>
      <c r="BE1631" s="55" t="str">
        <f aca="false">IF(AP1631&lt;=0,"",IF(BY1631="Aussen","Aussenlager",IF(BY1631="-","Nicht im Lift",IF(AU1631&gt;=1,"Lift",IF(AU1631&lt;=0,"Aussenlager","teilweise")))))</f>
        <v>Aussenlager</v>
      </c>
      <c r="BF1631" s="55" t="str">
        <f aca="false">IF(AX1631&lt;=0,"",IF(BY1631="Aussen","Aussenlager",IF(BY1631="-","Nicht im Lift",IF(BC1631&gt;=1,"Lift",IF(BC1631&lt;=0,"Aussenlager","teilweise")))))</f>
        <v>Aussenlager</v>
      </c>
      <c r="BG1631" s="55" t="str">
        <f aca="false">IF(A1631="","",IF(BP1631=1,"Neu; ","")&amp;IF(AND(BP1631=0,BK1631&lt;0),"negativer Bestand (Export "&amp;BK1631&amp;"); ","")&amp;IF(J1631&lt;=0,"Kein Verbrauch; ","")&amp;IF(CH1631&gt;0,"Lift "&amp;W1631&amp;" lt. Liftbericht (Fach "&amp;X1631&amp;" Stk); ",IF(BU1631=1,"Gebinde geschätzt ("&amp;T1631&amp;"); ",IF(BT1631=1,"Lose – Tablare geschätzt; ","")))&amp;IF(H1631&gt;AR1631,"Überbestand "&amp;ROUND(H1631-AR1631,0)&amp;" Stk / CHF "&amp;ROUND((H1631-AR1631)*G1631,0)&amp;"; ","")&amp;IF(AND(CA1631=1,CB1631&lt;CC1631),"MAX &lt; MB+LG; ","")&amp;IF(AND(CG1631&gt;0,CF1631*10&gt;CG1631),"zu hoch für Tablar; ","")&amp;IF(AND(BP1631=0,OR(CA1631=1,AA1631&lt;&gt;"",U1631&lt;&gt;"",V1631&lt;&gt;"",AB1631&lt;&gt;"")),"manuell übersteuert; ","")&amp;IF(AND(BT1631=0,R1631=0),"Gebinde unbekannt / Stellmass fehlt; ","")&amp;IF(AND(BT1631=0,N(V1631)&lt;=0,N(Q1631)&lt;=0),"Menge pro Gebinde fehlt (Ist = 1 Gebinde); ","")&amp;BO1631)</f>
        <v>Kein Verbrauch; Lift 1 lt. Liftbericht (Fach 1 Stk); nur im Artikelstamm (Bestand 23.06.2026)</v>
      </c>
      <c r="BH1631" s="55"/>
      <c r="BI1631" s="55"/>
      <c r="BJ1631" s="62"/>
      <c r="BK1631" s="57" t="n">
        <v>1</v>
      </c>
      <c r="BL1631" s="57" t="n">
        <v>0</v>
      </c>
      <c r="BM1631" s="56" t="n">
        <v>0</v>
      </c>
      <c r="BN1631" s="57" t="n">
        <v>0</v>
      </c>
      <c r="BO1631" s="55" t="s">
        <v>2575</v>
      </c>
      <c r="BP1631" s="60" t="n">
        <v>0</v>
      </c>
      <c r="BQ1631" s="60" t="n">
        <v>1631</v>
      </c>
      <c r="BR1631" s="55" t="str">
        <f aca="false">IF(U1631&lt;&gt;"",UPPER(TRIM(U1631)),IF(BU1631=1,UPPER(VLOOKUP(T1631,Parameter!$I$27:$K$29,2,0)),IF(P1631="","LOSE",P1631)))</f>
        <v>LOSE</v>
      </c>
      <c r="BS1631" s="57" t="n">
        <f aca="false">IF(BR1631="LOSE",1,IF(N(V1631)&gt;0,V1631,IF(BU1631=1,MAX(1,N(VLOOKUP(T1631,Parameter!$I$27:$K$29,3,0)),H1631,N(N1631)),IF(N(Q1631)&gt;0,Q1631,MAX(1,H1631)))))</f>
        <v>1</v>
      </c>
      <c r="BT1631" s="60" t="n">
        <f aca="false">IF(BR1631="LOSE",1,0)</f>
        <v>1</v>
      </c>
      <c r="BU1631" s="60" t="n">
        <f aca="false">IF(AND(U1631="",OR(P1631="",P1631="LOSE"),T1631&lt;&gt;"",N(S1631)&lt;=0,ISNUMBER(MATCH(T1631,Parameter!$I$27:$I$29,0))),1,0)</f>
        <v>0</v>
      </c>
      <c r="BV1631" s="55" t="n">
        <f aca="false">IF(AND(Parameter!$B$19="Ja",E1631&lt;&gt;"",ISNUMBER(MATCH(E1631,Parameter!$I$35:$I$52,0))),VLOOKUP(E1631,Parameter!$I$35:$J$52,2,0),IFERROR(VLOOKUP(D1631,Parameter!$A$35:$C$64,2,0),"Nein"))</f>
        <v>1</v>
      </c>
      <c r="BW1631" s="59" t="n">
        <f aca="false">IF(BT1631=0,0,IF(N(S1631)&gt;0,S1631,IFERROR(VLOOKUP(D1631,Parameter!$A$35:$C$64,3,0)+0,0)))</f>
        <v>0.15</v>
      </c>
      <c r="BX1631" s="55" t="n">
        <f aca="false">IF(AA1631&lt;&gt;"",AA1631,Z1631)</f>
        <v>1</v>
      </c>
      <c r="BY1631" s="55" t="str">
        <f aca="false">IF(BX1631=1,"L1",IF(OR(BX1631=2,BX1631=3),"L23",IF(BX1631="Aussen","Aussen","-")))</f>
        <v>L1</v>
      </c>
      <c r="BZ1631" s="66" t="n">
        <f aca="false">IF(N(AB1631)&gt;0,AB1631,0)</f>
        <v>0</v>
      </c>
      <c r="CA1631" s="60" t="n">
        <f aca="false">IF(ISNUMBER(AE1631),1,0)</f>
        <v>0</v>
      </c>
      <c r="CB1631" s="57" t="n">
        <f aca="false">N(AE1631)</f>
        <v>0</v>
      </c>
      <c r="CC1631" s="57" t="n">
        <f aca="false">N(M1631)+N(N1631)</f>
        <v>1</v>
      </c>
      <c r="CD1631" s="57" t="n">
        <f aca="false">ROUNDUP(H1631/BS1631,0)</f>
        <v>1</v>
      </c>
      <c r="CE1631" s="57" t="n">
        <f aca="false">ROUNDUP(CB1631/BS1631,0)</f>
        <v>0</v>
      </c>
      <c r="CF1631" s="60" t="n">
        <f aca="false">IF(BT1631=1,0,IFERROR(VLOOKUP(BR1631,'Gebinde-Kategorie'!$A$5:$M$45,5,0)+0,0))</f>
        <v>0</v>
      </c>
      <c r="CG1631" s="60" t="n">
        <f aca="false">IFERROR(IF(OR(BX1631=1,BX1631=2,BX1631=3),N(INDEX(Parameter!$I$5:$I$7,BX1631)),0),0)</f>
        <v>0</v>
      </c>
      <c r="CH1631" s="59" t="n">
        <f aca="false">IF(AND(Parameter!$B$21="Ja",ISNUMBER(W1631),N(X1631)&gt;0),IFERROR(N(INDEX(Parameter!$L$5:$L$7,W1631))*INDEX(Parameter!$E$5:$E$7,W1631)*X1631/SUMIFS($X$7:$X$1843,$W$7:$W$1843,W1631),0),0)</f>
        <v>0.0800376647834275</v>
      </c>
    </row>
    <row r="1632" customFormat="false" ht="15" hidden="false" customHeight="false" outlineLevel="0" collapsed="false">
      <c r="A1632" s="55" t="s">
        <v>2840</v>
      </c>
      <c r="B1632" s="55" t="s">
        <v>468</v>
      </c>
      <c r="C1632" s="55" t="s">
        <v>164</v>
      </c>
      <c r="D1632" s="55" t="s">
        <v>184</v>
      </c>
      <c r="E1632" s="55"/>
      <c r="F1632" s="55"/>
      <c r="G1632" s="56" t="n">
        <v>6</v>
      </c>
      <c r="H1632" s="57" t="n">
        <f aca="false">MAX(0,IF(AND(Parameter!$B$21="Ja",ISNUMBER(Y1632)),Y1632,IF(Parameter!$B$20="Jahresanfang 2025 + Export",BL1632+BK1632,BK1632)))</f>
        <v>37</v>
      </c>
      <c r="I1632" s="57" t="n">
        <f aca="false">H1632*G1632</f>
        <v>222</v>
      </c>
      <c r="J1632" s="57" t="n">
        <f aca="false">BN1632*Parameter!$B$18</f>
        <v>0</v>
      </c>
      <c r="K1632" s="58"/>
      <c r="L1632" s="59"/>
      <c r="M1632" s="57" t="n">
        <v>0</v>
      </c>
      <c r="N1632" s="57" t="n">
        <v>20</v>
      </c>
      <c r="O1632" s="60" t="n">
        <v>14</v>
      </c>
      <c r="P1632" s="55" t="s">
        <v>168</v>
      </c>
      <c r="Q1632" s="57"/>
      <c r="R1632" s="60" t="n">
        <f aca="false">IF(BT1632=1,0,IFERROR(VLOOKUP(BR1632,'Gebinde-Kategorie'!$A$5:$M$45,13,0)+0,0))</f>
        <v>26</v>
      </c>
      <c r="S1632" s="61"/>
      <c r="T1632" s="62" t="s">
        <v>275</v>
      </c>
      <c r="U1632" s="62"/>
      <c r="V1632" s="62"/>
      <c r="W1632" s="55"/>
      <c r="X1632" s="57"/>
      <c r="Y1632" s="57"/>
      <c r="Z1632" s="55" t="n">
        <f aca="false">IF(A1632="","",IF(AND(Parameter!$B$21="Ja",ISNUMBER(W1632)),W1632,IF(BV1632="2+3",IF(ISNUMBER(SEARCH("grosser Artikel",BO1632)),2,IFERROR(VLOOKUP(BR1632,Parameter!$F$35:$G$64,2,0),2)),IF(OR(BV1632="Nein",BV1632=""),"-",BV1632))))</f>
        <v>3</v>
      </c>
      <c r="AA1632" s="62"/>
      <c r="AB1632" s="63"/>
      <c r="AC1632" s="57" t="n">
        <f aca="false">AR1632</f>
        <v>37</v>
      </c>
      <c r="AD1632" s="57" t="n">
        <f aca="false">MAX(AR1632,H1632)</f>
        <v>37</v>
      </c>
      <c r="AE1632" s="64"/>
      <c r="AF1632" s="57" t="n">
        <f aca="false">IF(LEFT(Cockpit!$C$5,1)="A",H1632,IF(CA1632=1,CB1632,IF(LEFT(Cockpit!$C$5,1)="B",AJ1632,MAX(AJ1632,H1632))))</f>
        <v>37</v>
      </c>
      <c r="AG1632" s="57" t="n">
        <f aca="false">IF(BT1632=1,0,ROUNDUP(AF1632/BS1632,0))</f>
        <v>1</v>
      </c>
      <c r="AH1632" s="59" t="n">
        <f aca="false">IF(CH1632&gt;0,CH1632*MAX(1,AF1632/X1632),IF(BT1632=1,IF(AF1632&lt;=0,0,BW1632*MAX(1,IF(H1632&gt;0,AF1632/H1632,1))),IF(R1632&gt;0,AG1632/R1632,0))/MAX(0.1,N(Parameter!$M$21)))</f>
        <v>0.0384615384615385</v>
      </c>
      <c r="AI1632" s="57" t="n">
        <f aca="false">AF1632*G1632</f>
        <v>222</v>
      </c>
      <c r="AJ1632" s="57" t="n">
        <f aca="false">ROUNDUP(MAX(J1632/IF(BZ1632&gt;0,BZ1632,MAX(0.1,N(Cockpit!$C$6))),CC1632)/BS1632,0)*BS1632</f>
        <v>37</v>
      </c>
      <c r="AK1632" s="58" t="n">
        <f aca="false">IF(AH1632&gt;0,J1632/AH1632,-1)</f>
        <v>0</v>
      </c>
      <c r="AL1632" s="58" t="n">
        <f aca="false">IF(AND(OR(BY1632="L1",BY1632="L23"),AH1632&gt;0),SUMIFS($AH$7:$AH$1843,$BY$7:$BY$1843,BY1632,$AK$7:$AK$1843,"&gt;"&amp;AK1632)+SUMIFS($AH$7:$AH$1843,$BY$7:$BY$1843,BY1632,$AK$7:$AK$1843,AK1632,$BQ$7:$BQ$1843,"&lt;="&amp;BQ1632),"")</f>
        <v>87.6486351812439</v>
      </c>
      <c r="AM1632" s="65" t="n">
        <f aca="false">IF(AL1632="",0,MAX(0,MIN(1,(IF(BY1632="L1",Parameter!$E$5,Parameter!$E$6+Parameter!$E$7)-(AL1632-AH1632))/AH1632)))</f>
        <v>1</v>
      </c>
      <c r="AN1632" s="57" t="n">
        <f aca="false">IF(LEFT(Cockpit!$I$5,1)="A",H1632,IF(CA1632=1,CB1632,IF(LEFT(Cockpit!$I$5,1)="B",AR1632,MAX(AR1632,H1632))))</f>
        <v>37</v>
      </c>
      <c r="AO1632" s="57" t="n">
        <f aca="false">IF(BT1632=1,0,ROUNDUP(AN1632/BS1632,0))</f>
        <v>1</v>
      </c>
      <c r="AP1632" s="59" t="n">
        <f aca="false">IF(CH1632&gt;0,CH1632*MAX(1,AN1632/X1632),IF(BT1632=1,IF(AN1632&lt;=0,0,BW1632*MAX(1,IF(H1632&gt;0,AN1632/H1632,1))),IF(R1632&gt;0,AO1632/R1632,0))/MAX(0.1,N(Parameter!$M$21)))</f>
        <v>0.0384615384615385</v>
      </c>
      <c r="AQ1632" s="57" t="n">
        <f aca="false">AN1632*G1632</f>
        <v>222</v>
      </c>
      <c r="AR1632" s="57" t="n">
        <f aca="false">ROUNDUP(MAX(J1632/IF(BZ1632&gt;0,BZ1632,MAX(0.1,N(Cockpit!$I$6))),CC1632)/BS1632,0)*BS1632</f>
        <v>37</v>
      </c>
      <c r="AS1632" s="58" t="n">
        <f aca="false">IF(AP1632&gt;0,J1632/AP1632,-1)</f>
        <v>0</v>
      </c>
      <c r="AT1632" s="58" t="n">
        <f aca="false">IF(AND(OR(BY1632="L1",BY1632="L23"),AP1632&gt;0),SUMIFS($AP$7:$AP$1843,$BY$7:$BY$1843,BY1632,$AS$7:$AS$1843,"&gt;"&amp;AS1632)+SUMIFS($AP$7:$AP$1843,$BY$7:$BY$1843,BY1632,$AS$7:$AS$1843,AS1632,$BQ$7:$BQ$1843,"&lt;="&amp;BQ1632),"")</f>
        <v>132.900771933381</v>
      </c>
      <c r="AU1632" s="65" t="n">
        <f aca="false">IF(AT1632="",0,MAX(0,MIN(1,(IF(BY1632="L1",Parameter!$E$5,Parameter!$E$6+Parameter!$E$7)-(AT1632-AP1632))/AP1632)))</f>
        <v>0</v>
      </c>
      <c r="AV1632" s="57" t="n">
        <f aca="false">IF(LEFT(Cockpit!$O$5,1)="A",H1632,IF(CA1632=1,CB1632,IF(LEFT(Cockpit!$O$5,1)="B",AZ1632,MAX(AZ1632,H1632))))</f>
        <v>37</v>
      </c>
      <c r="AW1632" s="57" t="n">
        <f aca="false">IF(BT1632=1,0,ROUNDUP(AV1632/BS1632,0))</f>
        <v>1</v>
      </c>
      <c r="AX1632" s="59" t="n">
        <f aca="false">IF(CH1632&gt;0,CH1632*MAX(1,AV1632/X1632),IF(BT1632=1,IF(AV1632&lt;=0,0,BW1632*MAX(1,IF(H1632&gt;0,AV1632/H1632,1))),IF(R1632&gt;0,AW1632/R1632,0))/MAX(0.1,N(Parameter!$M$21)))</f>
        <v>0.0384615384615385</v>
      </c>
      <c r="AY1632" s="57" t="n">
        <f aca="false">AV1632*G1632</f>
        <v>222</v>
      </c>
      <c r="AZ1632" s="57" t="n">
        <f aca="false">ROUNDUP(MAX(J1632/IF(BZ1632&gt;0,BZ1632,MAX(0.1,N(Cockpit!$O$6))),CC1632)/BS1632,0)*BS1632</f>
        <v>37</v>
      </c>
      <c r="BA1632" s="58" t="n">
        <f aca="false">IF(AX1632&gt;0,J1632/AX1632,-1)</f>
        <v>0</v>
      </c>
      <c r="BB1632" s="58" t="n">
        <f aca="false">IF(AND(OR(BY1632="L1",BY1632="L23"),AX1632&gt;0),SUMIFS($AX$7:$AX$1843,$BY$7:$BY$1843,BY1632,$BA$7:$BA$1843,"&gt;"&amp;BA1632)+SUMIFS($AX$7:$AX$1843,$BY$7:$BY$1843,BY1632,$BA$7:$BA$1843,BA1632,$BQ$7:$BQ$1843,"&lt;="&amp;BQ1632),"")</f>
        <v>123.730608763217</v>
      </c>
      <c r="BC1632" s="65" t="n">
        <f aca="false">IF(BB1632="",0,MAX(0,MIN(1,(IF(BY1632="L1",Parameter!$E$5,Parameter!$E$6+Parameter!$E$7)-(BB1632-AX1632))/AX1632)))</f>
        <v>0</v>
      </c>
      <c r="BD1632" s="55" t="str">
        <f aca="false">IF(AH1632&lt;=0,"",IF(BY1632="Aussen","Aussenlager",IF(BY1632="-","Nicht im Lift",IF(AM1632&gt;=1,"Lift",IF(AM1632&lt;=0,"Aussenlager","teilweise")))))</f>
        <v>Lift</v>
      </c>
      <c r="BE1632" s="55" t="str">
        <f aca="false">IF(AP1632&lt;=0,"",IF(BY1632="Aussen","Aussenlager",IF(BY1632="-","Nicht im Lift",IF(AU1632&gt;=1,"Lift",IF(AU1632&lt;=0,"Aussenlager","teilweise")))))</f>
        <v>Aussenlager</v>
      </c>
      <c r="BF1632" s="55" t="str">
        <f aca="false">IF(AX1632&lt;=0,"",IF(BY1632="Aussen","Aussenlager",IF(BY1632="-","Nicht im Lift",IF(BC1632&gt;=1,"Lift",IF(BC1632&lt;=0,"Aussenlager","teilweise")))))</f>
        <v>Aussenlager</v>
      </c>
      <c r="BG1632" s="55" t="str">
        <f aca="false">IF(A1632="","",IF(BP1632=1,"Neu; ","")&amp;IF(AND(BP1632=0,BK1632&lt;0),"negativer Bestand (Export "&amp;BK1632&amp;"); ","")&amp;IF(J1632&lt;=0,"Kein Verbrauch; ","")&amp;IF(CH1632&gt;0,"Lift "&amp;W1632&amp;" lt. Liftbericht (Fach "&amp;X1632&amp;" Stk); ",IF(BU1632=1,"Gebinde geschätzt ("&amp;T1632&amp;"); ",IF(BT1632=1,"Lose – Tablare geschätzt; ","")))&amp;IF(H1632&gt;AR1632,"Überbestand "&amp;ROUND(H1632-AR1632,0)&amp;" Stk / CHF "&amp;ROUND((H1632-AR1632)*G1632,0)&amp;"; ","")&amp;IF(AND(CA1632=1,CB1632&lt;CC1632),"MAX &lt; MB+LG; ","")&amp;IF(AND(CG1632&gt;0,CF1632*10&gt;CG1632),"zu hoch für Tablar; ","")&amp;IF(AND(BP1632=0,OR(CA1632=1,AA1632&lt;&gt;"",U1632&lt;&gt;"",V1632&lt;&gt;"",AB1632&lt;&gt;"")),"manuell übersteuert; ","")&amp;IF(AND(BT1632=0,R1632=0),"Gebinde unbekannt / Stellmass fehlt; ","")&amp;IF(AND(BT1632=0,N(V1632)&lt;=0,N(Q1632)&lt;=0),"Menge pro Gebinde fehlt (Ist = 1 Gebinde); ","")&amp;BO1632)</f>
        <v>Kein Verbrauch; Gebinde geschätzt (Klein); Menge pro Gebinde fehlt (Ist = 1 Gebinde); nur im Artikelstamm (Bestand 23.06.2026)</v>
      </c>
      <c r="BH1632" s="55"/>
      <c r="BI1632" s="55"/>
      <c r="BJ1632" s="62"/>
      <c r="BK1632" s="57" t="n">
        <v>37</v>
      </c>
      <c r="BL1632" s="57" t="n">
        <v>0</v>
      </c>
      <c r="BM1632" s="56" t="n">
        <v>0</v>
      </c>
      <c r="BN1632" s="57" t="n">
        <v>0</v>
      </c>
      <c r="BO1632" s="55" t="s">
        <v>2575</v>
      </c>
      <c r="BP1632" s="60" t="n">
        <v>0</v>
      </c>
      <c r="BQ1632" s="60" t="n">
        <v>1632</v>
      </c>
      <c r="BR1632" s="55" t="str">
        <f aca="false">IF(U1632&lt;&gt;"",UPPER(TRIM(U1632)),IF(BU1632=1,UPPER(VLOOKUP(T1632,Parameter!$I$27:$K$29,2,0)),IF(P1632="","LOSE",P1632)))</f>
        <v>S51</v>
      </c>
      <c r="BS1632" s="57" t="n">
        <f aca="false">IF(BR1632="LOSE",1,IF(N(V1632)&gt;0,V1632,IF(BU1632=1,MAX(1,N(VLOOKUP(T1632,Parameter!$I$27:$K$29,3,0)),H1632,N(N1632)),IF(N(Q1632)&gt;0,Q1632,MAX(1,H1632)))))</f>
        <v>37</v>
      </c>
      <c r="BT1632" s="60" t="n">
        <f aca="false">IF(BR1632="LOSE",1,0)</f>
        <v>0</v>
      </c>
      <c r="BU1632" s="60" t="n">
        <f aca="false">IF(AND(U1632="",OR(P1632="",P1632="LOSE"),T1632&lt;&gt;"",N(S1632)&lt;=0,ISNUMBER(MATCH(T1632,Parameter!$I$27:$I$29,0))),1,0)</f>
        <v>1</v>
      </c>
      <c r="BV1632" s="55" t="str">
        <f aca="false">IF(AND(Parameter!$B$19="Ja",E1632&lt;&gt;"",ISNUMBER(MATCH(E1632,Parameter!$I$35:$I$52,0))),VLOOKUP(E1632,Parameter!$I$35:$J$52,2,0),IFERROR(VLOOKUP(D1632,Parameter!$A$35:$C$64,2,0),"Nein"))</f>
        <v>2+3</v>
      </c>
      <c r="BW1632" s="59" t="n">
        <f aca="false">IF(BT1632=0,0,IF(N(S1632)&gt;0,S1632,IFERROR(VLOOKUP(D1632,Parameter!$A$35:$C$64,3,0)+0,0)))</f>
        <v>0</v>
      </c>
      <c r="BX1632" s="55" t="n">
        <f aca="false">IF(AA1632&lt;&gt;"",AA1632,Z1632)</f>
        <v>3</v>
      </c>
      <c r="BY1632" s="55" t="str">
        <f aca="false">IF(BX1632=1,"L1",IF(OR(BX1632=2,BX1632=3),"L23",IF(BX1632="Aussen","Aussen","-")))</f>
        <v>L23</v>
      </c>
      <c r="BZ1632" s="66" t="n">
        <f aca="false">IF(N(AB1632)&gt;0,AB1632,0)</f>
        <v>0</v>
      </c>
      <c r="CA1632" s="60" t="n">
        <f aca="false">IF(ISNUMBER(AE1632),1,0)</f>
        <v>0</v>
      </c>
      <c r="CB1632" s="57" t="n">
        <f aca="false">N(AE1632)</f>
        <v>0</v>
      </c>
      <c r="CC1632" s="57" t="n">
        <f aca="false">N(M1632)+N(N1632)</f>
        <v>20</v>
      </c>
      <c r="CD1632" s="57" t="n">
        <f aca="false">ROUNDUP(H1632/BS1632,0)</f>
        <v>1</v>
      </c>
      <c r="CE1632" s="57" t="n">
        <f aca="false">ROUNDUP(CB1632/BS1632,0)</f>
        <v>0</v>
      </c>
      <c r="CF1632" s="60" t="n">
        <f aca="false">IF(BT1632=1,0,IFERROR(VLOOKUP(BR1632,'Gebinde-Kategorie'!$A$5:$M$45,5,0)+0,0))</f>
        <v>11</v>
      </c>
      <c r="CG1632" s="60" t="n">
        <f aca="false">IFERROR(IF(OR(BX1632=1,BX1632=2,BX1632=3),N(INDEX(Parameter!$I$5:$I$7,BX1632)),0),0)</f>
        <v>0</v>
      </c>
      <c r="CH1632" s="59" t="n">
        <f aca="false">IF(AND(Parameter!$B$21="Ja",ISNUMBER(W1632),N(X1632)&gt;0),IFERROR(N(INDEX(Parameter!$L$5:$L$7,W1632))*INDEX(Parameter!$E$5:$E$7,W1632)*X1632/SUMIFS($X$7:$X$1843,$W$7:$W$1843,W1632),0),0)</f>
        <v>0</v>
      </c>
    </row>
    <row r="1633" customFormat="false" ht="15" hidden="false" customHeight="false" outlineLevel="0" collapsed="false">
      <c r="A1633" s="55" t="s">
        <v>2841</v>
      </c>
      <c r="B1633" s="55" t="s">
        <v>468</v>
      </c>
      <c r="C1633" s="55" t="s">
        <v>164</v>
      </c>
      <c r="D1633" s="55" t="s">
        <v>184</v>
      </c>
      <c r="E1633" s="55"/>
      <c r="F1633" s="55"/>
      <c r="G1633" s="56" t="n">
        <v>3.1</v>
      </c>
      <c r="H1633" s="57" t="n">
        <f aca="false">MAX(0,IF(AND(Parameter!$B$21="Ja",ISNUMBER(Y1633)),Y1633,IF(Parameter!$B$20="Jahresanfang 2025 + Export",BL1633+BK1633,BK1633)))</f>
        <v>7</v>
      </c>
      <c r="I1633" s="57" t="n">
        <f aca="false">H1633*G1633</f>
        <v>21.7</v>
      </c>
      <c r="J1633" s="57" t="n">
        <f aca="false">BN1633*Parameter!$B$18</f>
        <v>0</v>
      </c>
      <c r="K1633" s="58"/>
      <c r="L1633" s="59"/>
      <c r="M1633" s="57" t="n">
        <v>0</v>
      </c>
      <c r="N1633" s="57" t="n">
        <v>20</v>
      </c>
      <c r="O1633" s="60" t="n">
        <v>14</v>
      </c>
      <c r="P1633" s="55" t="s">
        <v>168</v>
      </c>
      <c r="Q1633" s="57"/>
      <c r="R1633" s="60" t="n">
        <f aca="false">IF(BT1633=1,0,IFERROR(VLOOKUP(BR1633,'Gebinde-Kategorie'!$A$5:$M$45,13,0)+0,0))</f>
        <v>26</v>
      </c>
      <c r="S1633" s="61"/>
      <c r="T1633" s="62" t="s">
        <v>275</v>
      </c>
      <c r="U1633" s="62"/>
      <c r="V1633" s="62"/>
      <c r="W1633" s="55"/>
      <c r="X1633" s="57"/>
      <c r="Y1633" s="57"/>
      <c r="Z1633" s="55" t="n">
        <f aca="false">IF(A1633="","",IF(AND(Parameter!$B$21="Ja",ISNUMBER(W1633)),W1633,IF(BV1633="2+3",IF(ISNUMBER(SEARCH("grosser Artikel",BO1633)),2,IFERROR(VLOOKUP(BR1633,Parameter!$F$35:$G$64,2,0),2)),IF(OR(BV1633="Nein",BV1633=""),"-",BV1633))))</f>
        <v>3</v>
      </c>
      <c r="AA1633" s="62"/>
      <c r="AB1633" s="63"/>
      <c r="AC1633" s="57" t="n">
        <f aca="false">AR1633</f>
        <v>20</v>
      </c>
      <c r="AD1633" s="57" t="n">
        <f aca="false">MAX(AR1633,H1633)</f>
        <v>20</v>
      </c>
      <c r="AE1633" s="64"/>
      <c r="AF1633" s="57" t="n">
        <f aca="false">IF(LEFT(Cockpit!$C$5,1)="A",H1633,IF(CA1633=1,CB1633,IF(LEFT(Cockpit!$C$5,1)="B",AJ1633,MAX(AJ1633,H1633))))</f>
        <v>7</v>
      </c>
      <c r="AG1633" s="57" t="n">
        <f aca="false">IF(BT1633=1,0,ROUNDUP(AF1633/BS1633,0))</f>
        <v>1</v>
      </c>
      <c r="AH1633" s="59" t="n">
        <f aca="false">IF(CH1633&gt;0,CH1633*MAX(1,AF1633/X1633),IF(BT1633=1,IF(AF1633&lt;=0,0,BW1633*MAX(1,IF(H1633&gt;0,AF1633/H1633,1))),IF(R1633&gt;0,AG1633/R1633,0))/MAX(0.1,N(Parameter!$M$21)))</f>
        <v>0.0384615384615385</v>
      </c>
      <c r="AI1633" s="57" t="n">
        <f aca="false">AF1633*G1633</f>
        <v>21.7</v>
      </c>
      <c r="AJ1633" s="57" t="n">
        <f aca="false">ROUNDUP(MAX(J1633/IF(BZ1633&gt;0,BZ1633,MAX(0.1,N(Cockpit!$C$6))),CC1633)/BS1633,0)*BS1633</f>
        <v>20</v>
      </c>
      <c r="AK1633" s="58" t="n">
        <f aca="false">IF(AH1633&gt;0,J1633/AH1633,-1)</f>
        <v>0</v>
      </c>
      <c r="AL1633" s="58" t="n">
        <f aca="false">IF(AND(OR(BY1633="L1",BY1633="L23"),AH1633&gt;0),SUMIFS($AH$7:$AH$1843,$BY$7:$BY$1843,BY1633,$AK$7:$AK$1843,"&gt;"&amp;AK1633)+SUMIFS($AH$7:$AH$1843,$BY$7:$BY$1843,BY1633,$AK$7:$AK$1843,AK1633,$BQ$7:$BQ$1843,"&lt;="&amp;BQ1633),"")</f>
        <v>87.6870967197054</v>
      </c>
      <c r="AM1633" s="65" t="n">
        <f aca="false">IF(AL1633="",0,MAX(0,MIN(1,(IF(BY1633="L1",Parameter!$E$5,Parameter!$E$6+Parameter!$E$7)-(AL1633-AH1633))/AH1633)))</f>
        <v>1</v>
      </c>
      <c r="AN1633" s="57" t="n">
        <f aca="false">IF(LEFT(Cockpit!$I$5,1)="A",H1633,IF(CA1633=1,CB1633,IF(LEFT(Cockpit!$I$5,1)="B",AR1633,MAX(AR1633,H1633))))</f>
        <v>20</v>
      </c>
      <c r="AO1633" s="57" t="n">
        <f aca="false">IF(BT1633=1,0,ROUNDUP(AN1633/BS1633,0))</f>
        <v>1</v>
      </c>
      <c r="AP1633" s="59" t="n">
        <f aca="false">IF(CH1633&gt;0,CH1633*MAX(1,AN1633/X1633),IF(BT1633=1,IF(AN1633&lt;=0,0,BW1633*MAX(1,IF(H1633&gt;0,AN1633/H1633,1))),IF(R1633&gt;0,AO1633/R1633,0))/MAX(0.1,N(Parameter!$M$21)))</f>
        <v>0.0384615384615385</v>
      </c>
      <c r="AQ1633" s="57" t="n">
        <f aca="false">AN1633*G1633</f>
        <v>62</v>
      </c>
      <c r="AR1633" s="57" t="n">
        <f aca="false">ROUNDUP(MAX(J1633/IF(BZ1633&gt;0,BZ1633,MAX(0.1,N(Cockpit!$I$6))),CC1633)/BS1633,0)*BS1633</f>
        <v>20</v>
      </c>
      <c r="AS1633" s="58" t="n">
        <f aca="false">IF(AP1633&gt;0,J1633/AP1633,-1)</f>
        <v>0</v>
      </c>
      <c r="AT1633" s="58" t="n">
        <f aca="false">IF(AND(OR(BY1633="L1",BY1633="L23"),AP1633&gt;0),SUMIFS($AP$7:$AP$1843,$BY$7:$BY$1843,BY1633,$AS$7:$AS$1843,"&gt;"&amp;AS1633)+SUMIFS($AP$7:$AP$1843,$BY$7:$BY$1843,BY1633,$AS$7:$AS$1843,AS1633,$BQ$7:$BQ$1843,"&lt;="&amp;BQ1633),"")</f>
        <v>132.939233471842</v>
      </c>
      <c r="AU1633" s="65" t="n">
        <f aca="false">IF(AT1633="",0,MAX(0,MIN(1,(IF(BY1633="L1",Parameter!$E$5,Parameter!$E$6+Parameter!$E$7)-(AT1633-AP1633))/AP1633)))</f>
        <v>0</v>
      </c>
      <c r="AV1633" s="57" t="n">
        <f aca="false">IF(LEFT(Cockpit!$O$5,1)="A",H1633,IF(CA1633=1,CB1633,IF(LEFT(Cockpit!$O$5,1)="B",AZ1633,MAX(AZ1633,H1633))))</f>
        <v>20</v>
      </c>
      <c r="AW1633" s="57" t="n">
        <f aca="false">IF(BT1633=1,0,ROUNDUP(AV1633/BS1633,0))</f>
        <v>1</v>
      </c>
      <c r="AX1633" s="59" t="n">
        <f aca="false">IF(CH1633&gt;0,CH1633*MAX(1,AV1633/X1633),IF(BT1633=1,IF(AV1633&lt;=0,0,BW1633*MAX(1,IF(H1633&gt;0,AV1633/H1633,1))),IF(R1633&gt;0,AW1633/R1633,0))/MAX(0.1,N(Parameter!$M$21)))</f>
        <v>0.0384615384615385</v>
      </c>
      <c r="AY1633" s="57" t="n">
        <f aca="false">AV1633*G1633</f>
        <v>62</v>
      </c>
      <c r="AZ1633" s="57" t="n">
        <f aca="false">ROUNDUP(MAX(J1633/IF(BZ1633&gt;0,BZ1633,MAX(0.1,N(Cockpit!$O$6))),CC1633)/BS1633,0)*BS1633</f>
        <v>20</v>
      </c>
      <c r="BA1633" s="58" t="n">
        <f aca="false">IF(AX1633&gt;0,J1633/AX1633,-1)</f>
        <v>0</v>
      </c>
      <c r="BB1633" s="58" t="n">
        <f aca="false">IF(AND(OR(BY1633="L1",BY1633="L23"),AX1633&gt;0),SUMIFS($AX$7:$AX$1843,$BY$7:$BY$1843,BY1633,$BA$7:$BA$1843,"&gt;"&amp;BA1633)+SUMIFS($AX$7:$AX$1843,$BY$7:$BY$1843,BY1633,$BA$7:$BA$1843,BA1633,$BQ$7:$BQ$1843,"&lt;="&amp;BQ1633),"")</f>
        <v>123.769070301679</v>
      </c>
      <c r="BC1633" s="65" t="n">
        <f aca="false">IF(BB1633="",0,MAX(0,MIN(1,(IF(BY1633="L1",Parameter!$E$5,Parameter!$E$6+Parameter!$E$7)-(BB1633-AX1633))/AX1633)))</f>
        <v>0</v>
      </c>
      <c r="BD1633" s="55" t="str">
        <f aca="false">IF(AH1633&lt;=0,"",IF(BY1633="Aussen","Aussenlager",IF(BY1633="-","Nicht im Lift",IF(AM1633&gt;=1,"Lift",IF(AM1633&lt;=0,"Aussenlager","teilweise")))))</f>
        <v>Lift</v>
      </c>
      <c r="BE1633" s="55" t="str">
        <f aca="false">IF(AP1633&lt;=0,"",IF(BY1633="Aussen","Aussenlager",IF(BY1633="-","Nicht im Lift",IF(AU1633&gt;=1,"Lift",IF(AU1633&lt;=0,"Aussenlager","teilweise")))))</f>
        <v>Aussenlager</v>
      </c>
      <c r="BF1633" s="55" t="str">
        <f aca="false">IF(AX1633&lt;=0,"",IF(BY1633="Aussen","Aussenlager",IF(BY1633="-","Nicht im Lift",IF(BC1633&gt;=1,"Lift",IF(BC1633&lt;=0,"Aussenlager","teilweise")))))</f>
        <v>Aussenlager</v>
      </c>
      <c r="BG1633" s="55" t="str">
        <f aca="false">IF(A1633="","",IF(BP1633=1,"Neu; ","")&amp;IF(AND(BP1633=0,BK1633&lt;0),"negativer Bestand (Export "&amp;BK1633&amp;"); ","")&amp;IF(J1633&lt;=0,"Kein Verbrauch; ","")&amp;IF(CH1633&gt;0,"Lift "&amp;W1633&amp;" lt. Liftbericht (Fach "&amp;X1633&amp;" Stk); ",IF(BU1633=1,"Gebinde geschätzt ("&amp;T1633&amp;"); ",IF(BT1633=1,"Lose – Tablare geschätzt; ","")))&amp;IF(H1633&gt;AR1633,"Überbestand "&amp;ROUND(H1633-AR1633,0)&amp;" Stk / CHF "&amp;ROUND((H1633-AR1633)*G1633,0)&amp;"; ","")&amp;IF(AND(CA1633=1,CB1633&lt;CC1633),"MAX &lt; MB+LG; ","")&amp;IF(AND(CG1633&gt;0,CF1633*10&gt;CG1633),"zu hoch für Tablar; ","")&amp;IF(AND(BP1633=0,OR(CA1633=1,AA1633&lt;&gt;"",U1633&lt;&gt;"",V1633&lt;&gt;"",AB1633&lt;&gt;"")),"manuell übersteuert; ","")&amp;IF(AND(BT1633=0,R1633=0),"Gebinde unbekannt / Stellmass fehlt; ","")&amp;IF(AND(BT1633=0,N(V1633)&lt;=0,N(Q1633)&lt;=0),"Menge pro Gebinde fehlt (Ist = 1 Gebinde); ","")&amp;BO1633)</f>
        <v>Kein Verbrauch; Gebinde geschätzt (Klein); Menge pro Gebinde fehlt (Ist = 1 Gebinde); nur im Artikelstamm (Bestand 23.06.2026)</v>
      </c>
      <c r="BH1633" s="55"/>
      <c r="BI1633" s="55"/>
      <c r="BJ1633" s="62"/>
      <c r="BK1633" s="57" t="n">
        <v>7</v>
      </c>
      <c r="BL1633" s="57" t="n">
        <v>0</v>
      </c>
      <c r="BM1633" s="56" t="n">
        <v>0</v>
      </c>
      <c r="BN1633" s="57" t="n">
        <v>0</v>
      </c>
      <c r="BO1633" s="55" t="s">
        <v>2575</v>
      </c>
      <c r="BP1633" s="60" t="n">
        <v>0</v>
      </c>
      <c r="BQ1633" s="60" t="n">
        <v>1633</v>
      </c>
      <c r="BR1633" s="55" t="str">
        <f aca="false">IF(U1633&lt;&gt;"",UPPER(TRIM(U1633)),IF(BU1633=1,UPPER(VLOOKUP(T1633,Parameter!$I$27:$K$29,2,0)),IF(P1633="","LOSE",P1633)))</f>
        <v>S51</v>
      </c>
      <c r="BS1633" s="57" t="n">
        <f aca="false">IF(BR1633="LOSE",1,IF(N(V1633)&gt;0,V1633,IF(BU1633=1,MAX(1,N(VLOOKUP(T1633,Parameter!$I$27:$K$29,3,0)),H1633,N(N1633)),IF(N(Q1633)&gt;0,Q1633,MAX(1,H1633)))))</f>
        <v>20</v>
      </c>
      <c r="BT1633" s="60" t="n">
        <f aca="false">IF(BR1633="LOSE",1,0)</f>
        <v>0</v>
      </c>
      <c r="BU1633" s="60" t="n">
        <f aca="false">IF(AND(U1633="",OR(P1633="",P1633="LOSE"),T1633&lt;&gt;"",N(S1633)&lt;=0,ISNUMBER(MATCH(T1633,Parameter!$I$27:$I$29,0))),1,0)</f>
        <v>1</v>
      </c>
      <c r="BV1633" s="55" t="str">
        <f aca="false">IF(AND(Parameter!$B$19="Ja",E1633&lt;&gt;"",ISNUMBER(MATCH(E1633,Parameter!$I$35:$I$52,0))),VLOOKUP(E1633,Parameter!$I$35:$J$52,2,0),IFERROR(VLOOKUP(D1633,Parameter!$A$35:$C$64,2,0),"Nein"))</f>
        <v>2+3</v>
      </c>
      <c r="BW1633" s="59" t="n">
        <f aca="false">IF(BT1633=0,0,IF(N(S1633)&gt;0,S1633,IFERROR(VLOOKUP(D1633,Parameter!$A$35:$C$64,3,0)+0,0)))</f>
        <v>0</v>
      </c>
      <c r="BX1633" s="55" t="n">
        <f aca="false">IF(AA1633&lt;&gt;"",AA1633,Z1633)</f>
        <v>3</v>
      </c>
      <c r="BY1633" s="55" t="str">
        <f aca="false">IF(BX1633=1,"L1",IF(OR(BX1633=2,BX1633=3),"L23",IF(BX1633="Aussen","Aussen","-")))</f>
        <v>L23</v>
      </c>
      <c r="BZ1633" s="66" t="n">
        <f aca="false">IF(N(AB1633)&gt;0,AB1633,0)</f>
        <v>0</v>
      </c>
      <c r="CA1633" s="60" t="n">
        <f aca="false">IF(ISNUMBER(AE1633),1,0)</f>
        <v>0</v>
      </c>
      <c r="CB1633" s="57" t="n">
        <f aca="false">N(AE1633)</f>
        <v>0</v>
      </c>
      <c r="CC1633" s="57" t="n">
        <f aca="false">N(M1633)+N(N1633)</f>
        <v>20</v>
      </c>
      <c r="CD1633" s="57" t="n">
        <f aca="false">ROUNDUP(H1633/BS1633,0)</f>
        <v>1</v>
      </c>
      <c r="CE1633" s="57" t="n">
        <f aca="false">ROUNDUP(CB1633/BS1633,0)</f>
        <v>0</v>
      </c>
      <c r="CF1633" s="60" t="n">
        <f aca="false">IF(BT1633=1,0,IFERROR(VLOOKUP(BR1633,'Gebinde-Kategorie'!$A$5:$M$45,5,0)+0,0))</f>
        <v>11</v>
      </c>
      <c r="CG1633" s="60" t="n">
        <f aca="false">IFERROR(IF(OR(BX1633=1,BX1633=2,BX1633=3),N(INDEX(Parameter!$I$5:$I$7,BX1633)),0),0)</f>
        <v>0</v>
      </c>
      <c r="CH1633" s="59" t="n">
        <f aca="false">IF(AND(Parameter!$B$21="Ja",ISNUMBER(W1633),N(X1633)&gt;0),IFERROR(N(INDEX(Parameter!$L$5:$L$7,W1633))*INDEX(Parameter!$E$5:$E$7,W1633)*X1633/SUMIFS($X$7:$X$1843,$W$7:$W$1843,W1633),0),0)</f>
        <v>0</v>
      </c>
    </row>
    <row r="1634" customFormat="false" ht="15" hidden="false" customHeight="false" outlineLevel="0" collapsed="false">
      <c r="A1634" s="55" t="s">
        <v>2842</v>
      </c>
      <c r="B1634" s="55" t="s">
        <v>2843</v>
      </c>
      <c r="C1634" s="55" t="s">
        <v>164</v>
      </c>
      <c r="D1634" s="55" t="s">
        <v>184</v>
      </c>
      <c r="E1634" s="55"/>
      <c r="F1634" s="55"/>
      <c r="G1634" s="56" t="n">
        <v>26.1</v>
      </c>
      <c r="H1634" s="57" t="n">
        <f aca="false">MAX(0,IF(AND(Parameter!$B$21="Ja",ISNUMBER(Y1634)),Y1634,IF(Parameter!$B$20="Jahresanfang 2025 + Export",BL1634+BK1634,BK1634)))</f>
        <v>12</v>
      </c>
      <c r="I1634" s="57" t="n">
        <f aca="false">H1634*G1634</f>
        <v>313.2</v>
      </c>
      <c r="J1634" s="57" t="n">
        <f aca="false">BN1634*Parameter!$B$18</f>
        <v>0</v>
      </c>
      <c r="K1634" s="58"/>
      <c r="L1634" s="59"/>
      <c r="M1634" s="57" t="n">
        <v>0</v>
      </c>
      <c r="N1634" s="57" t="n">
        <v>10</v>
      </c>
      <c r="O1634" s="60" t="n">
        <v>14</v>
      </c>
      <c r="P1634" s="55" t="s">
        <v>168</v>
      </c>
      <c r="Q1634" s="57"/>
      <c r="R1634" s="60" t="n">
        <f aca="false">IF(BT1634=1,0,IFERROR(VLOOKUP(BR1634,'Gebinde-Kategorie'!$A$5:$M$45,13,0)+0,0))</f>
        <v>26</v>
      </c>
      <c r="S1634" s="61"/>
      <c r="T1634" s="62" t="s">
        <v>275</v>
      </c>
      <c r="U1634" s="62"/>
      <c r="V1634" s="62"/>
      <c r="W1634" s="55"/>
      <c r="X1634" s="57"/>
      <c r="Y1634" s="57"/>
      <c r="Z1634" s="55" t="n">
        <f aca="false">IF(A1634="","",IF(AND(Parameter!$B$21="Ja",ISNUMBER(W1634)),W1634,IF(BV1634="2+3",IF(ISNUMBER(SEARCH("grosser Artikel",BO1634)),2,IFERROR(VLOOKUP(BR1634,Parameter!$F$35:$G$64,2,0),2)),IF(OR(BV1634="Nein",BV1634=""),"-",BV1634))))</f>
        <v>3</v>
      </c>
      <c r="AA1634" s="62"/>
      <c r="AB1634" s="63"/>
      <c r="AC1634" s="57" t="n">
        <f aca="false">AR1634</f>
        <v>20</v>
      </c>
      <c r="AD1634" s="57" t="n">
        <f aca="false">MAX(AR1634,H1634)</f>
        <v>20</v>
      </c>
      <c r="AE1634" s="64"/>
      <c r="AF1634" s="57" t="n">
        <f aca="false">IF(LEFT(Cockpit!$C$5,1)="A",H1634,IF(CA1634=1,CB1634,IF(LEFT(Cockpit!$C$5,1)="B",AJ1634,MAX(AJ1634,H1634))))</f>
        <v>12</v>
      </c>
      <c r="AG1634" s="57" t="n">
        <f aca="false">IF(BT1634=1,0,ROUNDUP(AF1634/BS1634,0))</f>
        <v>1</v>
      </c>
      <c r="AH1634" s="59" t="n">
        <f aca="false">IF(CH1634&gt;0,CH1634*MAX(1,AF1634/X1634),IF(BT1634=1,IF(AF1634&lt;=0,0,BW1634*MAX(1,IF(H1634&gt;0,AF1634/H1634,1))),IF(R1634&gt;0,AG1634/R1634,0))/MAX(0.1,N(Parameter!$M$21)))</f>
        <v>0.0384615384615385</v>
      </c>
      <c r="AI1634" s="57" t="n">
        <f aca="false">AF1634*G1634</f>
        <v>313.2</v>
      </c>
      <c r="AJ1634" s="57" t="n">
        <f aca="false">ROUNDUP(MAX(J1634/IF(BZ1634&gt;0,BZ1634,MAX(0.1,N(Cockpit!$C$6))),CC1634)/BS1634,0)*BS1634</f>
        <v>20</v>
      </c>
      <c r="AK1634" s="58" t="n">
        <f aca="false">IF(AH1634&gt;0,J1634/AH1634,-1)</f>
        <v>0</v>
      </c>
      <c r="AL1634" s="58" t="n">
        <f aca="false">IF(AND(OR(BY1634="L1",BY1634="L23"),AH1634&gt;0),SUMIFS($AH$7:$AH$1843,$BY$7:$BY$1843,BY1634,$AK$7:$AK$1843,"&gt;"&amp;AK1634)+SUMIFS($AH$7:$AH$1843,$BY$7:$BY$1843,BY1634,$AK$7:$AK$1843,AK1634,$BQ$7:$BQ$1843,"&lt;="&amp;BQ1634),"")</f>
        <v>87.725558258167</v>
      </c>
      <c r="AM1634" s="65" t="n">
        <f aca="false">IF(AL1634="",0,MAX(0,MIN(1,(IF(BY1634="L1",Parameter!$E$5,Parameter!$E$6+Parameter!$E$7)-(AL1634-AH1634))/AH1634)))</f>
        <v>1</v>
      </c>
      <c r="AN1634" s="57" t="n">
        <f aca="false">IF(LEFT(Cockpit!$I$5,1)="A",H1634,IF(CA1634=1,CB1634,IF(LEFT(Cockpit!$I$5,1)="B",AR1634,MAX(AR1634,H1634))))</f>
        <v>20</v>
      </c>
      <c r="AO1634" s="57" t="n">
        <f aca="false">IF(BT1634=1,0,ROUNDUP(AN1634/BS1634,0))</f>
        <v>1</v>
      </c>
      <c r="AP1634" s="59" t="n">
        <f aca="false">IF(CH1634&gt;0,CH1634*MAX(1,AN1634/X1634),IF(BT1634=1,IF(AN1634&lt;=0,0,BW1634*MAX(1,IF(H1634&gt;0,AN1634/H1634,1))),IF(R1634&gt;0,AO1634/R1634,0))/MAX(0.1,N(Parameter!$M$21)))</f>
        <v>0.0384615384615385</v>
      </c>
      <c r="AQ1634" s="57" t="n">
        <f aca="false">AN1634*G1634</f>
        <v>522</v>
      </c>
      <c r="AR1634" s="57" t="n">
        <f aca="false">ROUNDUP(MAX(J1634/IF(BZ1634&gt;0,BZ1634,MAX(0.1,N(Cockpit!$I$6))),CC1634)/BS1634,0)*BS1634</f>
        <v>20</v>
      </c>
      <c r="AS1634" s="58" t="n">
        <f aca="false">IF(AP1634&gt;0,J1634/AP1634,-1)</f>
        <v>0</v>
      </c>
      <c r="AT1634" s="58" t="n">
        <f aca="false">IF(AND(OR(BY1634="L1",BY1634="L23"),AP1634&gt;0),SUMIFS($AP$7:$AP$1843,$BY$7:$BY$1843,BY1634,$AS$7:$AS$1843,"&gt;"&amp;AS1634)+SUMIFS($AP$7:$AP$1843,$BY$7:$BY$1843,BY1634,$AS$7:$AS$1843,AS1634,$BQ$7:$BQ$1843,"&lt;="&amp;BQ1634),"")</f>
        <v>132.977695010304</v>
      </c>
      <c r="AU1634" s="65" t="n">
        <f aca="false">IF(AT1634="",0,MAX(0,MIN(1,(IF(BY1634="L1",Parameter!$E$5,Parameter!$E$6+Parameter!$E$7)-(AT1634-AP1634))/AP1634)))</f>
        <v>0</v>
      </c>
      <c r="AV1634" s="57" t="n">
        <f aca="false">IF(LEFT(Cockpit!$O$5,1)="A",H1634,IF(CA1634=1,CB1634,IF(LEFT(Cockpit!$O$5,1)="B",AZ1634,MAX(AZ1634,H1634))))</f>
        <v>20</v>
      </c>
      <c r="AW1634" s="57" t="n">
        <f aca="false">IF(BT1634=1,0,ROUNDUP(AV1634/BS1634,0))</f>
        <v>1</v>
      </c>
      <c r="AX1634" s="59" t="n">
        <f aca="false">IF(CH1634&gt;0,CH1634*MAX(1,AV1634/X1634),IF(BT1634=1,IF(AV1634&lt;=0,0,BW1634*MAX(1,IF(H1634&gt;0,AV1634/H1634,1))),IF(R1634&gt;0,AW1634/R1634,0))/MAX(0.1,N(Parameter!$M$21)))</f>
        <v>0.0384615384615385</v>
      </c>
      <c r="AY1634" s="57" t="n">
        <f aca="false">AV1634*G1634</f>
        <v>522</v>
      </c>
      <c r="AZ1634" s="57" t="n">
        <f aca="false">ROUNDUP(MAX(J1634/IF(BZ1634&gt;0,BZ1634,MAX(0.1,N(Cockpit!$O$6))),CC1634)/BS1634,0)*BS1634</f>
        <v>20</v>
      </c>
      <c r="BA1634" s="58" t="n">
        <f aca="false">IF(AX1634&gt;0,J1634/AX1634,-1)</f>
        <v>0</v>
      </c>
      <c r="BB1634" s="58" t="n">
        <f aca="false">IF(AND(OR(BY1634="L1",BY1634="L23"),AX1634&gt;0),SUMIFS($AX$7:$AX$1843,$BY$7:$BY$1843,BY1634,$BA$7:$BA$1843,"&gt;"&amp;BA1634)+SUMIFS($AX$7:$AX$1843,$BY$7:$BY$1843,BY1634,$BA$7:$BA$1843,BA1634,$BQ$7:$BQ$1843,"&lt;="&amp;BQ1634),"")</f>
        <v>123.807531840141</v>
      </c>
      <c r="BC1634" s="65" t="n">
        <f aca="false">IF(BB1634="",0,MAX(0,MIN(1,(IF(BY1634="L1",Parameter!$E$5,Parameter!$E$6+Parameter!$E$7)-(BB1634-AX1634))/AX1634)))</f>
        <v>0</v>
      </c>
      <c r="BD1634" s="55" t="str">
        <f aca="false">IF(AH1634&lt;=0,"",IF(BY1634="Aussen","Aussenlager",IF(BY1634="-","Nicht im Lift",IF(AM1634&gt;=1,"Lift",IF(AM1634&lt;=0,"Aussenlager","teilweise")))))</f>
        <v>Lift</v>
      </c>
      <c r="BE1634" s="55" t="str">
        <f aca="false">IF(AP1634&lt;=0,"",IF(BY1634="Aussen","Aussenlager",IF(BY1634="-","Nicht im Lift",IF(AU1634&gt;=1,"Lift",IF(AU1634&lt;=0,"Aussenlager","teilweise")))))</f>
        <v>Aussenlager</v>
      </c>
      <c r="BF1634" s="55" t="str">
        <f aca="false">IF(AX1634&lt;=0,"",IF(BY1634="Aussen","Aussenlager",IF(BY1634="-","Nicht im Lift",IF(BC1634&gt;=1,"Lift",IF(BC1634&lt;=0,"Aussenlager","teilweise")))))</f>
        <v>Aussenlager</v>
      </c>
      <c r="BG1634" s="55" t="str">
        <f aca="false">IF(A1634="","",IF(BP1634=1,"Neu; ","")&amp;IF(AND(BP1634=0,BK1634&lt;0),"negativer Bestand (Export "&amp;BK1634&amp;"); ","")&amp;IF(J1634&lt;=0,"Kein Verbrauch; ","")&amp;IF(CH1634&gt;0,"Lift "&amp;W1634&amp;" lt. Liftbericht (Fach "&amp;X1634&amp;" Stk); ",IF(BU1634=1,"Gebinde geschätzt ("&amp;T1634&amp;"); ",IF(BT1634=1,"Lose – Tablare geschätzt; ","")))&amp;IF(H1634&gt;AR1634,"Überbestand "&amp;ROUND(H1634-AR1634,0)&amp;" Stk / CHF "&amp;ROUND((H1634-AR1634)*G1634,0)&amp;"; ","")&amp;IF(AND(CA1634=1,CB1634&lt;CC1634),"MAX &lt; MB+LG; ","")&amp;IF(AND(CG1634&gt;0,CF1634*10&gt;CG1634),"zu hoch für Tablar; ","")&amp;IF(AND(BP1634=0,OR(CA1634=1,AA1634&lt;&gt;"",U1634&lt;&gt;"",V1634&lt;&gt;"",AB1634&lt;&gt;"")),"manuell übersteuert; ","")&amp;IF(AND(BT1634=0,R1634=0),"Gebinde unbekannt / Stellmass fehlt; ","")&amp;IF(AND(BT1634=0,N(V1634)&lt;=0,N(Q1634)&lt;=0),"Menge pro Gebinde fehlt (Ist = 1 Gebinde); ","")&amp;BO1634)</f>
        <v>Kein Verbrauch; Gebinde geschätzt (Klein); Menge pro Gebinde fehlt (Ist = 1 Gebinde); nur im Artikelstamm (Bestand 23.06.2026)</v>
      </c>
      <c r="BH1634" s="55"/>
      <c r="BI1634" s="55"/>
      <c r="BJ1634" s="62"/>
      <c r="BK1634" s="57" t="n">
        <v>12</v>
      </c>
      <c r="BL1634" s="57" t="n">
        <v>0</v>
      </c>
      <c r="BM1634" s="56" t="n">
        <v>0</v>
      </c>
      <c r="BN1634" s="57" t="n">
        <v>0</v>
      </c>
      <c r="BO1634" s="55" t="s">
        <v>2575</v>
      </c>
      <c r="BP1634" s="60" t="n">
        <v>0</v>
      </c>
      <c r="BQ1634" s="60" t="n">
        <v>1634</v>
      </c>
      <c r="BR1634" s="55" t="str">
        <f aca="false">IF(U1634&lt;&gt;"",UPPER(TRIM(U1634)),IF(BU1634=1,UPPER(VLOOKUP(T1634,Parameter!$I$27:$K$29,2,0)),IF(P1634="","LOSE",P1634)))</f>
        <v>S51</v>
      </c>
      <c r="BS1634" s="57" t="n">
        <f aca="false">IF(BR1634="LOSE",1,IF(N(V1634)&gt;0,V1634,IF(BU1634=1,MAX(1,N(VLOOKUP(T1634,Parameter!$I$27:$K$29,3,0)),H1634,N(N1634)),IF(N(Q1634)&gt;0,Q1634,MAX(1,H1634)))))</f>
        <v>20</v>
      </c>
      <c r="BT1634" s="60" t="n">
        <f aca="false">IF(BR1634="LOSE",1,0)</f>
        <v>0</v>
      </c>
      <c r="BU1634" s="60" t="n">
        <f aca="false">IF(AND(U1634="",OR(P1634="",P1634="LOSE"),T1634&lt;&gt;"",N(S1634)&lt;=0,ISNUMBER(MATCH(T1634,Parameter!$I$27:$I$29,0))),1,0)</f>
        <v>1</v>
      </c>
      <c r="BV1634" s="55" t="str">
        <f aca="false">IF(AND(Parameter!$B$19="Ja",E1634&lt;&gt;"",ISNUMBER(MATCH(E1634,Parameter!$I$35:$I$52,0))),VLOOKUP(E1634,Parameter!$I$35:$J$52,2,0),IFERROR(VLOOKUP(D1634,Parameter!$A$35:$C$64,2,0),"Nein"))</f>
        <v>2+3</v>
      </c>
      <c r="BW1634" s="59" t="n">
        <f aca="false">IF(BT1634=0,0,IF(N(S1634)&gt;0,S1634,IFERROR(VLOOKUP(D1634,Parameter!$A$35:$C$64,3,0)+0,0)))</f>
        <v>0</v>
      </c>
      <c r="BX1634" s="55" t="n">
        <f aca="false">IF(AA1634&lt;&gt;"",AA1634,Z1634)</f>
        <v>3</v>
      </c>
      <c r="BY1634" s="55" t="str">
        <f aca="false">IF(BX1634=1,"L1",IF(OR(BX1634=2,BX1634=3),"L23",IF(BX1634="Aussen","Aussen","-")))</f>
        <v>L23</v>
      </c>
      <c r="BZ1634" s="66" t="n">
        <f aca="false">IF(N(AB1634)&gt;0,AB1634,0)</f>
        <v>0</v>
      </c>
      <c r="CA1634" s="60" t="n">
        <f aca="false">IF(ISNUMBER(AE1634),1,0)</f>
        <v>0</v>
      </c>
      <c r="CB1634" s="57" t="n">
        <f aca="false">N(AE1634)</f>
        <v>0</v>
      </c>
      <c r="CC1634" s="57" t="n">
        <f aca="false">N(M1634)+N(N1634)</f>
        <v>10</v>
      </c>
      <c r="CD1634" s="57" t="n">
        <f aca="false">ROUNDUP(H1634/BS1634,0)</f>
        <v>1</v>
      </c>
      <c r="CE1634" s="57" t="n">
        <f aca="false">ROUNDUP(CB1634/BS1634,0)</f>
        <v>0</v>
      </c>
      <c r="CF1634" s="60" t="n">
        <f aca="false">IF(BT1634=1,0,IFERROR(VLOOKUP(BR1634,'Gebinde-Kategorie'!$A$5:$M$45,5,0)+0,0))</f>
        <v>11</v>
      </c>
      <c r="CG1634" s="60" t="n">
        <f aca="false">IFERROR(IF(OR(BX1634=1,BX1634=2,BX1634=3),N(INDEX(Parameter!$I$5:$I$7,BX1634)),0),0)</f>
        <v>0</v>
      </c>
      <c r="CH1634" s="59" t="n">
        <f aca="false">IF(AND(Parameter!$B$21="Ja",ISNUMBER(W1634),N(X1634)&gt;0),IFERROR(N(INDEX(Parameter!$L$5:$L$7,W1634))*INDEX(Parameter!$E$5:$E$7,W1634)*X1634/SUMIFS($X$7:$X$1843,$W$7:$W$1843,W1634),0),0)</f>
        <v>0</v>
      </c>
    </row>
    <row r="1635" customFormat="false" ht="15" hidden="false" customHeight="false" outlineLevel="0" collapsed="false">
      <c r="A1635" s="55" t="s">
        <v>2844</v>
      </c>
      <c r="B1635" s="55" t="s">
        <v>2845</v>
      </c>
      <c r="C1635" s="55" t="s">
        <v>164</v>
      </c>
      <c r="D1635" s="55" t="s">
        <v>173</v>
      </c>
      <c r="E1635" s="55"/>
      <c r="F1635" s="55"/>
      <c r="G1635" s="56" t="n">
        <v>3705</v>
      </c>
      <c r="H1635" s="57" t="n">
        <f aca="false">MAX(0,IF(AND(Parameter!$B$21="Ja",ISNUMBER(Y1635)),Y1635,IF(Parameter!$B$20="Jahresanfang 2025 + Export",BL1635+BK1635,BK1635)))</f>
        <v>1</v>
      </c>
      <c r="I1635" s="57" t="n">
        <f aca="false">H1635*G1635</f>
        <v>3705</v>
      </c>
      <c r="J1635" s="57" t="n">
        <f aca="false">BN1635*Parameter!$B$18</f>
        <v>0</v>
      </c>
      <c r="K1635" s="58"/>
      <c r="L1635" s="59"/>
      <c r="M1635" s="57" t="n">
        <v>0</v>
      </c>
      <c r="N1635" s="57" t="n">
        <v>5</v>
      </c>
      <c r="O1635" s="60" t="n">
        <v>28</v>
      </c>
      <c r="P1635" s="55" t="s">
        <v>168</v>
      </c>
      <c r="Q1635" s="57"/>
      <c r="R1635" s="60" t="n">
        <f aca="false">IF(BT1635=1,0,IFERROR(VLOOKUP(BR1635,'Gebinde-Kategorie'!$A$5:$M$45,13,0)+0,0))</f>
        <v>12</v>
      </c>
      <c r="S1635" s="61"/>
      <c r="T1635" s="62" t="s">
        <v>179</v>
      </c>
      <c r="U1635" s="62"/>
      <c r="V1635" s="62"/>
      <c r="W1635" s="55"/>
      <c r="X1635" s="57"/>
      <c r="Y1635" s="57"/>
      <c r="Z1635" s="55" t="n">
        <f aca="false">IF(A1635="","",IF(AND(Parameter!$B$21="Ja",ISNUMBER(W1635)),W1635,IF(BV1635="2+3",IF(ISNUMBER(SEARCH("grosser Artikel",BO1635)),2,IFERROR(VLOOKUP(BR1635,Parameter!$F$35:$G$64,2,0),2)),IF(OR(BV1635="Nein",BV1635=""),"-",BV1635))))</f>
        <v>2</v>
      </c>
      <c r="AA1635" s="62"/>
      <c r="AB1635" s="63"/>
      <c r="AC1635" s="57" t="n">
        <f aca="false">AR1635</f>
        <v>5</v>
      </c>
      <c r="AD1635" s="57" t="n">
        <f aca="false">MAX(AR1635,H1635)</f>
        <v>5</v>
      </c>
      <c r="AE1635" s="64"/>
      <c r="AF1635" s="57" t="n">
        <f aca="false">IF(LEFT(Cockpit!$C$5,1)="A",H1635,IF(CA1635=1,CB1635,IF(LEFT(Cockpit!$C$5,1)="B",AJ1635,MAX(AJ1635,H1635))))</f>
        <v>1</v>
      </c>
      <c r="AG1635" s="57" t="n">
        <f aca="false">IF(BT1635=1,0,ROUNDUP(AF1635/BS1635,0))</f>
        <v>1</v>
      </c>
      <c r="AH1635" s="59" t="n">
        <f aca="false">IF(CH1635&gt;0,CH1635*MAX(1,AF1635/X1635),IF(BT1635=1,IF(AF1635&lt;=0,0,BW1635*MAX(1,IF(H1635&gt;0,AF1635/H1635,1))),IF(R1635&gt;0,AG1635/R1635,0))/MAX(0.1,N(Parameter!$M$21)))</f>
        <v>0.0833333333333333</v>
      </c>
      <c r="AI1635" s="57" t="n">
        <f aca="false">AF1635*G1635</f>
        <v>3705</v>
      </c>
      <c r="AJ1635" s="57" t="n">
        <f aca="false">ROUNDUP(MAX(J1635/IF(BZ1635&gt;0,BZ1635,MAX(0.1,N(Cockpit!$C$6))),CC1635)/BS1635,0)*BS1635</f>
        <v>5</v>
      </c>
      <c r="AK1635" s="58" t="n">
        <f aca="false">IF(AH1635&gt;0,J1635/AH1635,-1)</f>
        <v>0</v>
      </c>
      <c r="AL1635" s="58" t="n">
        <f aca="false">IF(AND(OR(BY1635="L1",BY1635="L23"),AH1635&gt;0),SUMIFS($AH$7:$AH$1843,$BY$7:$BY$1843,BY1635,$AK$7:$AK$1843,"&gt;"&amp;AK1635)+SUMIFS($AH$7:$AH$1843,$BY$7:$BY$1843,BY1635,$AK$7:$AK$1843,AK1635,$BQ$7:$BQ$1843,"&lt;="&amp;BQ1635),"")</f>
        <v>87.8088915915003</v>
      </c>
      <c r="AM1635" s="65" t="n">
        <f aca="false">IF(AL1635="",0,MAX(0,MIN(1,(IF(BY1635="L1",Parameter!$E$5,Parameter!$E$6+Parameter!$E$7)-(AL1635-AH1635))/AH1635)))</f>
        <v>1</v>
      </c>
      <c r="AN1635" s="57" t="n">
        <f aca="false">IF(LEFT(Cockpit!$I$5,1)="A",H1635,IF(CA1635=1,CB1635,IF(LEFT(Cockpit!$I$5,1)="B",AR1635,MAX(AR1635,H1635))))</f>
        <v>5</v>
      </c>
      <c r="AO1635" s="57" t="n">
        <f aca="false">IF(BT1635=1,0,ROUNDUP(AN1635/BS1635,0))</f>
        <v>1</v>
      </c>
      <c r="AP1635" s="59" t="n">
        <f aca="false">IF(CH1635&gt;0,CH1635*MAX(1,AN1635/X1635),IF(BT1635=1,IF(AN1635&lt;=0,0,BW1635*MAX(1,IF(H1635&gt;0,AN1635/H1635,1))),IF(R1635&gt;0,AO1635/R1635,0))/MAX(0.1,N(Parameter!$M$21)))</f>
        <v>0.0833333333333333</v>
      </c>
      <c r="AQ1635" s="57" t="n">
        <f aca="false">AN1635*G1635</f>
        <v>18525</v>
      </c>
      <c r="AR1635" s="57" t="n">
        <f aca="false">ROUNDUP(MAX(J1635/IF(BZ1635&gt;0,BZ1635,MAX(0.1,N(Cockpit!$I$6))),CC1635)/BS1635,0)*BS1635</f>
        <v>5</v>
      </c>
      <c r="AS1635" s="58" t="n">
        <f aca="false">IF(AP1635&gt;0,J1635/AP1635,-1)</f>
        <v>0</v>
      </c>
      <c r="AT1635" s="58" t="n">
        <f aca="false">IF(AND(OR(BY1635="L1",BY1635="L23"),AP1635&gt;0),SUMIFS($AP$7:$AP$1843,$BY$7:$BY$1843,BY1635,$AS$7:$AS$1843,"&gt;"&amp;AS1635)+SUMIFS($AP$7:$AP$1843,$BY$7:$BY$1843,BY1635,$AS$7:$AS$1843,AS1635,$BQ$7:$BQ$1843,"&lt;="&amp;BQ1635),"")</f>
        <v>133.061028343637</v>
      </c>
      <c r="AU1635" s="65" t="n">
        <f aca="false">IF(AT1635="",0,MAX(0,MIN(1,(IF(BY1635="L1",Parameter!$E$5,Parameter!$E$6+Parameter!$E$7)-(AT1635-AP1635))/AP1635)))</f>
        <v>0</v>
      </c>
      <c r="AV1635" s="57" t="n">
        <f aca="false">IF(LEFT(Cockpit!$O$5,1)="A",H1635,IF(CA1635=1,CB1635,IF(LEFT(Cockpit!$O$5,1)="B",AZ1635,MAX(AZ1635,H1635))))</f>
        <v>5</v>
      </c>
      <c r="AW1635" s="57" t="n">
        <f aca="false">IF(BT1635=1,0,ROUNDUP(AV1635/BS1635,0))</f>
        <v>1</v>
      </c>
      <c r="AX1635" s="59" t="n">
        <f aca="false">IF(CH1635&gt;0,CH1635*MAX(1,AV1635/X1635),IF(BT1635=1,IF(AV1635&lt;=0,0,BW1635*MAX(1,IF(H1635&gt;0,AV1635/H1635,1))),IF(R1635&gt;0,AW1635/R1635,0))/MAX(0.1,N(Parameter!$M$21)))</f>
        <v>0.0833333333333333</v>
      </c>
      <c r="AY1635" s="57" t="n">
        <f aca="false">AV1635*G1635</f>
        <v>18525</v>
      </c>
      <c r="AZ1635" s="57" t="n">
        <f aca="false">ROUNDUP(MAX(J1635/IF(BZ1635&gt;0,BZ1635,MAX(0.1,N(Cockpit!$O$6))),CC1635)/BS1635,0)*BS1635</f>
        <v>5</v>
      </c>
      <c r="BA1635" s="58" t="n">
        <f aca="false">IF(AX1635&gt;0,J1635/AX1635,-1)</f>
        <v>0</v>
      </c>
      <c r="BB1635" s="58" t="n">
        <f aca="false">IF(AND(OR(BY1635="L1",BY1635="L23"),AX1635&gt;0),SUMIFS($AX$7:$AX$1843,$BY$7:$BY$1843,BY1635,$BA$7:$BA$1843,"&gt;"&amp;BA1635)+SUMIFS($AX$7:$AX$1843,$BY$7:$BY$1843,BY1635,$BA$7:$BA$1843,BA1635,$BQ$7:$BQ$1843,"&lt;="&amp;BQ1635),"")</f>
        <v>123.890865173474</v>
      </c>
      <c r="BC1635" s="65" t="n">
        <f aca="false">IF(BB1635="",0,MAX(0,MIN(1,(IF(BY1635="L1",Parameter!$E$5,Parameter!$E$6+Parameter!$E$7)-(BB1635-AX1635))/AX1635)))</f>
        <v>0</v>
      </c>
      <c r="BD1635" s="55" t="str">
        <f aca="false">IF(AH1635&lt;=0,"",IF(BY1635="Aussen","Aussenlager",IF(BY1635="-","Nicht im Lift",IF(AM1635&gt;=1,"Lift",IF(AM1635&lt;=0,"Aussenlager","teilweise")))))</f>
        <v>Lift</v>
      </c>
      <c r="BE1635" s="55" t="str">
        <f aca="false">IF(AP1635&lt;=0,"",IF(BY1635="Aussen","Aussenlager",IF(BY1635="-","Nicht im Lift",IF(AU1635&gt;=1,"Lift",IF(AU1635&lt;=0,"Aussenlager","teilweise")))))</f>
        <v>Aussenlager</v>
      </c>
      <c r="BF1635" s="55" t="str">
        <f aca="false">IF(AX1635&lt;=0,"",IF(BY1635="Aussen","Aussenlager",IF(BY1635="-","Nicht im Lift",IF(BC1635&gt;=1,"Lift",IF(BC1635&lt;=0,"Aussenlager","teilweise")))))</f>
        <v>Aussenlager</v>
      </c>
      <c r="BG1635" s="55" t="str">
        <f aca="false">IF(A1635="","",IF(BP1635=1,"Neu; ","")&amp;IF(AND(BP1635=0,BK1635&lt;0),"negativer Bestand (Export "&amp;BK1635&amp;"); ","")&amp;IF(J1635&lt;=0,"Kein Verbrauch; ","")&amp;IF(CH1635&gt;0,"Lift "&amp;W1635&amp;" lt. Liftbericht (Fach "&amp;X1635&amp;" Stk); ",IF(BU1635=1,"Gebinde geschätzt ("&amp;T1635&amp;"); ",IF(BT1635=1,"Lose – Tablare geschätzt; ","")))&amp;IF(H1635&gt;AR1635,"Überbestand "&amp;ROUND(H1635-AR1635,0)&amp;" Stk / CHF "&amp;ROUND((H1635-AR1635)*G1635,0)&amp;"; ","")&amp;IF(AND(CA1635=1,CB1635&lt;CC1635),"MAX &lt; MB+LG; ","")&amp;IF(AND(CG1635&gt;0,CF1635*10&gt;CG1635),"zu hoch für Tablar; ","")&amp;IF(AND(BP1635=0,OR(CA1635=1,AA1635&lt;&gt;"",U1635&lt;&gt;"",V1635&lt;&gt;"",AB1635&lt;&gt;"")),"manuell übersteuert; ","")&amp;IF(AND(BT1635=0,R1635=0),"Gebinde unbekannt / Stellmass fehlt; ","")&amp;IF(AND(BT1635=0,N(V1635)&lt;=0,N(Q1635)&lt;=0),"Menge pro Gebinde fehlt (Ist = 1 Gebinde); ","")&amp;BO1635)</f>
        <v>Kein Verbrauch; Gebinde geschätzt (Mittel); Menge pro Gebinde fehlt (Ist = 1 Gebinde); nur im Artikelstamm (Bestand 23.06.2026)</v>
      </c>
      <c r="BH1635" s="55"/>
      <c r="BI1635" s="55"/>
      <c r="BJ1635" s="62"/>
      <c r="BK1635" s="57" t="n">
        <v>1</v>
      </c>
      <c r="BL1635" s="57" t="n">
        <v>0</v>
      </c>
      <c r="BM1635" s="56" t="n">
        <v>0</v>
      </c>
      <c r="BN1635" s="57" t="n">
        <v>0</v>
      </c>
      <c r="BO1635" s="55" t="s">
        <v>2575</v>
      </c>
      <c r="BP1635" s="60" t="n">
        <v>0</v>
      </c>
      <c r="BQ1635" s="60" t="n">
        <v>1635</v>
      </c>
      <c r="BR1635" s="55" t="str">
        <f aca="false">IF(U1635&lt;&gt;"",UPPER(TRIM(U1635)),IF(BU1635=1,UPPER(VLOOKUP(T1635,Parameter!$I$27:$K$29,2,0)),IF(P1635="","LOSE",P1635)))</f>
        <v>S61</v>
      </c>
      <c r="BS1635" s="57" t="n">
        <f aca="false">IF(BR1635="LOSE",1,IF(N(V1635)&gt;0,V1635,IF(BU1635=1,MAX(1,N(VLOOKUP(T1635,Parameter!$I$27:$K$29,3,0)),H1635,N(N1635)),IF(N(Q1635)&gt;0,Q1635,MAX(1,H1635)))))</f>
        <v>5</v>
      </c>
      <c r="BT1635" s="60" t="n">
        <f aca="false">IF(BR1635="LOSE",1,0)</f>
        <v>0</v>
      </c>
      <c r="BU1635" s="60" t="n">
        <f aca="false">IF(AND(U1635="",OR(P1635="",P1635="LOSE"),T1635&lt;&gt;"",N(S1635)&lt;=0,ISNUMBER(MATCH(T1635,Parameter!$I$27:$I$29,0))),1,0)</f>
        <v>1</v>
      </c>
      <c r="BV1635" s="55" t="str">
        <f aca="false">IF(AND(Parameter!$B$19="Ja",E1635&lt;&gt;"",ISNUMBER(MATCH(E1635,Parameter!$I$35:$I$52,0))),VLOOKUP(E1635,Parameter!$I$35:$J$52,2,0),IFERROR(VLOOKUP(D1635,Parameter!$A$35:$C$64,2,0),"Nein"))</f>
        <v>2+3</v>
      </c>
      <c r="BW1635" s="59" t="n">
        <f aca="false">IF(BT1635=0,0,IF(N(S1635)&gt;0,S1635,IFERROR(VLOOKUP(D1635,Parameter!$A$35:$C$64,3,0)+0,0)))</f>
        <v>0</v>
      </c>
      <c r="BX1635" s="55" t="n">
        <f aca="false">IF(AA1635&lt;&gt;"",AA1635,Z1635)</f>
        <v>2</v>
      </c>
      <c r="BY1635" s="55" t="str">
        <f aca="false">IF(BX1635=1,"L1",IF(OR(BX1635=2,BX1635=3),"L23",IF(BX1635="Aussen","Aussen","-")))</f>
        <v>L23</v>
      </c>
      <c r="BZ1635" s="66" t="n">
        <f aca="false">IF(N(AB1635)&gt;0,AB1635,0)</f>
        <v>0</v>
      </c>
      <c r="CA1635" s="60" t="n">
        <f aca="false">IF(ISNUMBER(AE1635),1,0)</f>
        <v>0</v>
      </c>
      <c r="CB1635" s="57" t="n">
        <f aca="false">N(AE1635)</f>
        <v>0</v>
      </c>
      <c r="CC1635" s="57" t="n">
        <f aca="false">N(M1635)+N(N1635)</f>
        <v>5</v>
      </c>
      <c r="CD1635" s="57" t="n">
        <f aca="false">ROUNDUP(H1635/BS1635,0)</f>
        <v>1</v>
      </c>
      <c r="CE1635" s="57" t="n">
        <f aca="false">ROUNDUP(CB1635/BS1635,0)</f>
        <v>0</v>
      </c>
      <c r="CF1635" s="60" t="n">
        <f aca="false">IF(BT1635=1,0,IFERROR(VLOOKUP(BR1635,'Gebinde-Kategorie'!$A$5:$M$45,5,0)+0,0))</f>
        <v>11</v>
      </c>
      <c r="CG1635" s="60" t="n">
        <f aca="false">IFERROR(IF(OR(BX1635=1,BX1635=2,BX1635=3),N(INDEX(Parameter!$I$5:$I$7,BX1635)),0),0)</f>
        <v>0</v>
      </c>
      <c r="CH1635" s="59" t="n">
        <f aca="false">IF(AND(Parameter!$B$21="Ja",ISNUMBER(W1635),N(X1635)&gt;0),IFERROR(N(INDEX(Parameter!$L$5:$L$7,W1635))*INDEX(Parameter!$E$5:$E$7,W1635)*X1635/SUMIFS($X$7:$X$1843,$W$7:$W$1843,W1635),0),0)</f>
        <v>0</v>
      </c>
    </row>
    <row r="1636" customFormat="false" ht="15" hidden="false" customHeight="false" outlineLevel="0" collapsed="false">
      <c r="A1636" s="55" t="s">
        <v>2846</v>
      </c>
      <c r="B1636" s="55" t="s">
        <v>2847</v>
      </c>
      <c r="C1636" s="55" t="s">
        <v>164</v>
      </c>
      <c r="D1636" s="55" t="s">
        <v>184</v>
      </c>
      <c r="E1636" s="55"/>
      <c r="F1636" s="55"/>
      <c r="G1636" s="56" t="n">
        <v>350</v>
      </c>
      <c r="H1636" s="57" t="n">
        <f aca="false">MAX(0,IF(AND(Parameter!$B$21="Ja",ISNUMBER(Y1636)),Y1636,IF(Parameter!$B$20="Jahresanfang 2025 + Export",BL1636+BK1636,BK1636)))</f>
        <v>4</v>
      </c>
      <c r="I1636" s="57" t="n">
        <f aca="false">H1636*G1636</f>
        <v>1400</v>
      </c>
      <c r="J1636" s="57" t="n">
        <f aca="false">BN1636*Parameter!$B$18</f>
        <v>0</v>
      </c>
      <c r="K1636" s="58"/>
      <c r="L1636" s="59"/>
      <c r="M1636" s="57" t="n">
        <v>0</v>
      </c>
      <c r="N1636" s="57" t="n">
        <v>1</v>
      </c>
      <c r="O1636" s="60" t="n">
        <v>0</v>
      </c>
      <c r="P1636" s="55" t="s">
        <v>168</v>
      </c>
      <c r="Q1636" s="57"/>
      <c r="R1636" s="60" t="n">
        <f aca="false">IF(BT1636=1,0,IFERROR(VLOOKUP(BR1636,'Gebinde-Kategorie'!$A$5:$M$45,13,0)+0,0))</f>
        <v>26</v>
      </c>
      <c r="S1636" s="61"/>
      <c r="T1636" s="62" t="s">
        <v>275</v>
      </c>
      <c r="U1636" s="62"/>
      <c r="V1636" s="62"/>
      <c r="W1636" s="55"/>
      <c r="X1636" s="57"/>
      <c r="Y1636" s="57"/>
      <c r="Z1636" s="55" t="n">
        <f aca="false">IF(A1636="","",IF(AND(Parameter!$B$21="Ja",ISNUMBER(W1636)),W1636,IF(BV1636="2+3",IF(ISNUMBER(SEARCH("grosser Artikel",BO1636)),2,IFERROR(VLOOKUP(BR1636,Parameter!$F$35:$G$64,2,0),2)),IF(OR(BV1636="Nein",BV1636=""),"-",BV1636))))</f>
        <v>3</v>
      </c>
      <c r="AA1636" s="62"/>
      <c r="AB1636" s="63"/>
      <c r="AC1636" s="57" t="n">
        <f aca="false">AR1636</f>
        <v>20</v>
      </c>
      <c r="AD1636" s="57" t="n">
        <f aca="false">MAX(AR1636,H1636)</f>
        <v>20</v>
      </c>
      <c r="AE1636" s="64"/>
      <c r="AF1636" s="57" t="n">
        <f aca="false">IF(LEFT(Cockpit!$C$5,1)="A",H1636,IF(CA1636=1,CB1636,IF(LEFT(Cockpit!$C$5,1)="B",AJ1636,MAX(AJ1636,H1636))))</f>
        <v>4</v>
      </c>
      <c r="AG1636" s="57" t="n">
        <f aca="false">IF(BT1636=1,0,ROUNDUP(AF1636/BS1636,0))</f>
        <v>1</v>
      </c>
      <c r="AH1636" s="59" t="n">
        <f aca="false">IF(CH1636&gt;0,CH1636*MAX(1,AF1636/X1636),IF(BT1636=1,IF(AF1636&lt;=0,0,BW1636*MAX(1,IF(H1636&gt;0,AF1636/H1636,1))),IF(R1636&gt;0,AG1636/R1636,0))/MAX(0.1,N(Parameter!$M$21)))</f>
        <v>0.0384615384615385</v>
      </c>
      <c r="AI1636" s="57" t="n">
        <f aca="false">AF1636*G1636</f>
        <v>1400</v>
      </c>
      <c r="AJ1636" s="57" t="n">
        <f aca="false">ROUNDUP(MAX(J1636/IF(BZ1636&gt;0,BZ1636,MAX(0.1,N(Cockpit!$C$6))),CC1636)/BS1636,0)*BS1636</f>
        <v>20</v>
      </c>
      <c r="AK1636" s="58" t="n">
        <f aca="false">IF(AH1636&gt;0,J1636/AH1636,-1)</f>
        <v>0</v>
      </c>
      <c r="AL1636" s="58" t="n">
        <f aca="false">IF(AND(OR(BY1636="L1",BY1636="L23"),AH1636&gt;0),SUMIFS($AH$7:$AH$1843,$BY$7:$BY$1843,BY1636,$AK$7:$AK$1843,"&gt;"&amp;AK1636)+SUMIFS($AH$7:$AH$1843,$BY$7:$BY$1843,BY1636,$AK$7:$AK$1843,AK1636,$BQ$7:$BQ$1843,"&lt;="&amp;BQ1636),"")</f>
        <v>87.8473531299618</v>
      </c>
      <c r="AM1636" s="65" t="n">
        <f aca="false">IF(AL1636="",0,MAX(0,MIN(1,(IF(BY1636="L1",Parameter!$E$5,Parameter!$E$6+Parameter!$E$7)-(AL1636-AH1636))/AH1636)))</f>
        <v>1</v>
      </c>
      <c r="AN1636" s="57" t="n">
        <f aca="false">IF(LEFT(Cockpit!$I$5,1)="A",H1636,IF(CA1636=1,CB1636,IF(LEFT(Cockpit!$I$5,1)="B",AR1636,MAX(AR1636,H1636))))</f>
        <v>20</v>
      </c>
      <c r="AO1636" s="57" t="n">
        <f aca="false">IF(BT1636=1,0,ROUNDUP(AN1636/BS1636,0))</f>
        <v>1</v>
      </c>
      <c r="AP1636" s="59" t="n">
        <f aca="false">IF(CH1636&gt;0,CH1636*MAX(1,AN1636/X1636),IF(BT1636=1,IF(AN1636&lt;=0,0,BW1636*MAX(1,IF(H1636&gt;0,AN1636/H1636,1))),IF(R1636&gt;0,AO1636/R1636,0))/MAX(0.1,N(Parameter!$M$21)))</f>
        <v>0.0384615384615385</v>
      </c>
      <c r="AQ1636" s="57" t="n">
        <f aca="false">AN1636*G1636</f>
        <v>7000</v>
      </c>
      <c r="AR1636" s="57" t="n">
        <f aca="false">ROUNDUP(MAX(J1636/IF(BZ1636&gt;0,BZ1636,MAX(0.1,N(Cockpit!$I$6))),CC1636)/BS1636,0)*BS1636</f>
        <v>20</v>
      </c>
      <c r="AS1636" s="58" t="n">
        <f aca="false">IF(AP1636&gt;0,J1636/AP1636,-1)</f>
        <v>0</v>
      </c>
      <c r="AT1636" s="58" t="n">
        <f aca="false">IF(AND(OR(BY1636="L1",BY1636="L23"),AP1636&gt;0),SUMIFS($AP$7:$AP$1843,$BY$7:$BY$1843,BY1636,$AS$7:$AS$1843,"&gt;"&amp;AS1636)+SUMIFS($AP$7:$AP$1843,$BY$7:$BY$1843,BY1636,$AS$7:$AS$1843,AS1636,$BQ$7:$BQ$1843,"&lt;="&amp;BQ1636),"")</f>
        <v>133.099489882099</v>
      </c>
      <c r="AU1636" s="65" t="n">
        <f aca="false">IF(AT1636="",0,MAX(0,MIN(1,(IF(BY1636="L1",Parameter!$E$5,Parameter!$E$6+Parameter!$E$7)-(AT1636-AP1636))/AP1636)))</f>
        <v>0</v>
      </c>
      <c r="AV1636" s="57" t="n">
        <f aca="false">IF(LEFT(Cockpit!$O$5,1)="A",H1636,IF(CA1636=1,CB1636,IF(LEFT(Cockpit!$O$5,1)="B",AZ1636,MAX(AZ1636,H1636))))</f>
        <v>20</v>
      </c>
      <c r="AW1636" s="57" t="n">
        <f aca="false">IF(BT1636=1,0,ROUNDUP(AV1636/BS1636,0))</f>
        <v>1</v>
      </c>
      <c r="AX1636" s="59" t="n">
        <f aca="false">IF(CH1636&gt;0,CH1636*MAX(1,AV1636/X1636),IF(BT1636=1,IF(AV1636&lt;=0,0,BW1636*MAX(1,IF(H1636&gt;0,AV1636/H1636,1))),IF(R1636&gt;0,AW1636/R1636,0))/MAX(0.1,N(Parameter!$M$21)))</f>
        <v>0.0384615384615385</v>
      </c>
      <c r="AY1636" s="57" t="n">
        <f aca="false">AV1636*G1636</f>
        <v>7000</v>
      </c>
      <c r="AZ1636" s="57" t="n">
        <f aca="false">ROUNDUP(MAX(J1636/IF(BZ1636&gt;0,BZ1636,MAX(0.1,N(Cockpit!$O$6))),CC1636)/BS1636,0)*BS1636</f>
        <v>20</v>
      </c>
      <c r="BA1636" s="58" t="n">
        <f aca="false">IF(AX1636&gt;0,J1636/AX1636,-1)</f>
        <v>0</v>
      </c>
      <c r="BB1636" s="58" t="n">
        <f aca="false">IF(AND(OR(BY1636="L1",BY1636="L23"),AX1636&gt;0),SUMIFS($AX$7:$AX$1843,$BY$7:$BY$1843,BY1636,$BA$7:$BA$1843,"&gt;"&amp;BA1636)+SUMIFS($AX$7:$AX$1843,$BY$7:$BY$1843,BY1636,$BA$7:$BA$1843,BA1636,$BQ$7:$BQ$1843,"&lt;="&amp;BQ1636),"")</f>
        <v>123.929326711935</v>
      </c>
      <c r="BC1636" s="65" t="n">
        <f aca="false">IF(BB1636="",0,MAX(0,MIN(1,(IF(BY1636="L1",Parameter!$E$5,Parameter!$E$6+Parameter!$E$7)-(BB1636-AX1636))/AX1636)))</f>
        <v>0</v>
      </c>
      <c r="BD1636" s="55" t="str">
        <f aca="false">IF(AH1636&lt;=0,"",IF(BY1636="Aussen","Aussenlager",IF(BY1636="-","Nicht im Lift",IF(AM1636&gt;=1,"Lift",IF(AM1636&lt;=0,"Aussenlager","teilweise")))))</f>
        <v>Lift</v>
      </c>
      <c r="BE1636" s="55" t="str">
        <f aca="false">IF(AP1636&lt;=0,"",IF(BY1636="Aussen","Aussenlager",IF(BY1636="-","Nicht im Lift",IF(AU1636&gt;=1,"Lift",IF(AU1636&lt;=0,"Aussenlager","teilweise")))))</f>
        <v>Aussenlager</v>
      </c>
      <c r="BF1636" s="55" t="str">
        <f aca="false">IF(AX1636&lt;=0,"",IF(BY1636="Aussen","Aussenlager",IF(BY1636="-","Nicht im Lift",IF(BC1636&gt;=1,"Lift",IF(BC1636&lt;=0,"Aussenlager","teilweise")))))</f>
        <v>Aussenlager</v>
      </c>
      <c r="BG1636" s="55" t="str">
        <f aca="false">IF(A1636="","",IF(BP1636=1,"Neu; ","")&amp;IF(AND(BP1636=0,BK1636&lt;0),"negativer Bestand (Export "&amp;BK1636&amp;"); ","")&amp;IF(J1636&lt;=0,"Kein Verbrauch; ","")&amp;IF(CH1636&gt;0,"Lift "&amp;W1636&amp;" lt. Liftbericht (Fach "&amp;X1636&amp;" Stk); ",IF(BU1636=1,"Gebinde geschätzt ("&amp;T1636&amp;"); ",IF(BT1636=1,"Lose – Tablare geschätzt; ","")))&amp;IF(H1636&gt;AR1636,"Überbestand "&amp;ROUND(H1636-AR1636,0)&amp;" Stk / CHF "&amp;ROUND((H1636-AR1636)*G1636,0)&amp;"; ","")&amp;IF(AND(CA1636=1,CB1636&lt;CC1636),"MAX &lt; MB+LG; ","")&amp;IF(AND(CG1636&gt;0,CF1636*10&gt;CG1636),"zu hoch für Tablar; ","")&amp;IF(AND(BP1636=0,OR(CA1636=1,AA1636&lt;&gt;"",U1636&lt;&gt;"",V1636&lt;&gt;"",AB1636&lt;&gt;"")),"manuell übersteuert; ","")&amp;IF(AND(BT1636=0,R1636=0),"Gebinde unbekannt / Stellmass fehlt; ","")&amp;IF(AND(BT1636=0,N(V1636)&lt;=0,N(Q1636)&lt;=0),"Menge pro Gebinde fehlt (Ist = 1 Gebinde); ","")&amp;BO1636)</f>
        <v>Kein Verbrauch; Gebinde geschätzt (Klein); Menge pro Gebinde fehlt (Ist = 1 Gebinde); nur im Artikelstamm (Bestand 23.06.2026)</v>
      </c>
      <c r="BH1636" s="55"/>
      <c r="BI1636" s="55"/>
      <c r="BJ1636" s="62"/>
      <c r="BK1636" s="57" t="n">
        <v>4</v>
      </c>
      <c r="BL1636" s="57" t="n">
        <v>0</v>
      </c>
      <c r="BM1636" s="56" t="n">
        <v>0</v>
      </c>
      <c r="BN1636" s="57" t="n">
        <v>0</v>
      </c>
      <c r="BO1636" s="55" t="s">
        <v>2575</v>
      </c>
      <c r="BP1636" s="60" t="n">
        <v>0</v>
      </c>
      <c r="BQ1636" s="60" t="n">
        <v>1636</v>
      </c>
      <c r="BR1636" s="55" t="str">
        <f aca="false">IF(U1636&lt;&gt;"",UPPER(TRIM(U1636)),IF(BU1636=1,UPPER(VLOOKUP(T1636,Parameter!$I$27:$K$29,2,0)),IF(P1636="","LOSE",P1636)))</f>
        <v>S51</v>
      </c>
      <c r="BS1636" s="57" t="n">
        <f aca="false">IF(BR1636="LOSE",1,IF(N(V1636)&gt;0,V1636,IF(BU1636=1,MAX(1,N(VLOOKUP(T1636,Parameter!$I$27:$K$29,3,0)),H1636,N(N1636)),IF(N(Q1636)&gt;0,Q1636,MAX(1,H1636)))))</f>
        <v>20</v>
      </c>
      <c r="BT1636" s="60" t="n">
        <f aca="false">IF(BR1636="LOSE",1,0)</f>
        <v>0</v>
      </c>
      <c r="BU1636" s="60" t="n">
        <f aca="false">IF(AND(U1636="",OR(P1636="",P1636="LOSE"),T1636&lt;&gt;"",N(S1636)&lt;=0,ISNUMBER(MATCH(T1636,Parameter!$I$27:$I$29,0))),1,0)</f>
        <v>1</v>
      </c>
      <c r="BV1636" s="55" t="str">
        <f aca="false">IF(AND(Parameter!$B$19="Ja",E1636&lt;&gt;"",ISNUMBER(MATCH(E1636,Parameter!$I$35:$I$52,0))),VLOOKUP(E1636,Parameter!$I$35:$J$52,2,0),IFERROR(VLOOKUP(D1636,Parameter!$A$35:$C$64,2,0),"Nein"))</f>
        <v>2+3</v>
      </c>
      <c r="BW1636" s="59" t="n">
        <f aca="false">IF(BT1636=0,0,IF(N(S1636)&gt;0,S1636,IFERROR(VLOOKUP(D1636,Parameter!$A$35:$C$64,3,0)+0,0)))</f>
        <v>0</v>
      </c>
      <c r="BX1636" s="55" t="n">
        <f aca="false">IF(AA1636&lt;&gt;"",AA1636,Z1636)</f>
        <v>3</v>
      </c>
      <c r="BY1636" s="55" t="str">
        <f aca="false">IF(BX1636=1,"L1",IF(OR(BX1636=2,BX1636=3),"L23",IF(BX1636="Aussen","Aussen","-")))</f>
        <v>L23</v>
      </c>
      <c r="BZ1636" s="66" t="n">
        <f aca="false">IF(N(AB1636)&gt;0,AB1636,0)</f>
        <v>0</v>
      </c>
      <c r="CA1636" s="60" t="n">
        <f aca="false">IF(ISNUMBER(AE1636),1,0)</f>
        <v>0</v>
      </c>
      <c r="CB1636" s="57" t="n">
        <f aca="false">N(AE1636)</f>
        <v>0</v>
      </c>
      <c r="CC1636" s="57" t="n">
        <f aca="false">N(M1636)+N(N1636)</f>
        <v>1</v>
      </c>
      <c r="CD1636" s="57" t="n">
        <f aca="false">ROUNDUP(H1636/BS1636,0)</f>
        <v>1</v>
      </c>
      <c r="CE1636" s="57" t="n">
        <f aca="false">ROUNDUP(CB1636/BS1636,0)</f>
        <v>0</v>
      </c>
      <c r="CF1636" s="60" t="n">
        <f aca="false">IF(BT1636=1,0,IFERROR(VLOOKUP(BR1636,'Gebinde-Kategorie'!$A$5:$M$45,5,0)+0,0))</f>
        <v>11</v>
      </c>
      <c r="CG1636" s="60" t="n">
        <f aca="false">IFERROR(IF(OR(BX1636=1,BX1636=2,BX1636=3),N(INDEX(Parameter!$I$5:$I$7,BX1636)),0),0)</f>
        <v>0</v>
      </c>
      <c r="CH1636" s="59" t="n">
        <f aca="false">IF(AND(Parameter!$B$21="Ja",ISNUMBER(W1636),N(X1636)&gt;0),IFERROR(N(INDEX(Parameter!$L$5:$L$7,W1636))*INDEX(Parameter!$E$5:$E$7,W1636)*X1636/SUMIFS($X$7:$X$1843,$W$7:$W$1843,W1636),0),0)</f>
        <v>0</v>
      </c>
    </row>
    <row r="1637" customFormat="false" ht="15" hidden="false" customHeight="false" outlineLevel="0" collapsed="false">
      <c r="A1637" s="55" t="s">
        <v>2848</v>
      </c>
      <c r="B1637" s="55" t="s">
        <v>374</v>
      </c>
      <c r="C1637" s="55" t="s">
        <v>164</v>
      </c>
      <c r="D1637" s="55" t="s">
        <v>184</v>
      </c>
      <c r="E1637" s="55"/>
      <c r="F1637" s="55"/>
      <c r="G1637" s="56" t="n">
        <v>100</v>
      </c>
      <c r="H1637" s="57" t="n">
        <f aca="false">MAX(0,IF(AND(Parameter!$B$21="Ja",ISNUMBER(Y1637)),Y1637,IF(Parameter!$B$20="Jahresanfang 2025 + Export",BL1637+BK1637,BK1637)))</f>
        <v>10</v>
      </c>
      <c r="I1637" s="57" t="n">
        <f aca="false">H1637*G1637</f>
        <v>1000</v>
      </c>
      <c r="J1637" s="57" t="n">
        <f aca="false">BN1637*Parameter!$B$18</f>
        <v>0</v>
      </c>
      <c r="K1637" s="58"/>
      <c r="L1637" s="59"/>
      <c r="M1637" s="57" t="n">
        <v>0</v>
      </c>
      <c r="N1637" s="57" t="n">
        <v>4</v>
      </c>
      <c r="O1637" s="60" t="n">
        <v>35</v>
      </c>
      <c r="P1637" s="55" t="s">
        <v>168</v>
      </c>
      <c r="Q1637" s="57"/>
      <c r="R1637" s="60" t="n">
        <f aca="false">IF(BT1637=1,0,IFERROR(VLOOKUP(BR1637,'Gebinde-Kategorie'!$A$5:$M$45,13,0)+0,0))</f>
        <v>26</v>
      </c>
      <c r="S1637" s="61"/>
      <c r="T1637" s="62" t="s">
        <v>275</v>
      </c>
      <c r="U1637" s="62"/>
      <c r="V1637" s="62"/>
      <c r="W1637" s="55"/>
      <c r="X1637" s="57"/>
      <c r="Y1637" s="57"/>
      <c r="Z1637" s="55" t="n">
        <f aca="false">IF(A1637="","",IF(AND(Parameter!$B$21="Ja",ISNUMBER(W1637)),W1637,IF(BV1637="2+3",IF(ISNUMBER(SEARCH("grosser Artikel",BO1637)),2,IFERROR(VLOOKUP(BR1637,Parameter!$F$35:$G$64,2,0),2)),IF(OR(BV1637="Nein",BV1637=""),"-",BV1637))))</f>
        <v>3</v>
      </c>
      <c r="AA1637" s="62"/>
      <c r="AB1637" s="63"/>
      <c r="AC1637" s="57" t="n">
        <f aca="false">AR1637</f>
        <v>20</v>
      </c>
      <c r="AD1637" s="57" t="n">
        <f aca="false">MAX(AR1637,H1637)</f>
        <v>20</v>
      </c>
      <c r="AE1637" s="64"/>
      <c r="AF1637" s="57" t="n">
        <f aca="false">IF(LEFT(Cockpit!$C$5,1)="A",H1637,IF(CA1637=1,CB1637,IF(LEFT(Cockpit!$C$5,1)="B",AJ1637,MAX(AJ1637,H1637))))</f>
        <v>10</v>
      </c>
      <c r="AG1637" s="57" t="n">
        <f aca="false">IF(BT1637=1,0,ROUNDUP(AF1637/BS1637,0))</f>
        <v>1</v>
      </c>
      <c r="AH1637" s="59" t="n">
        <f aca="false">IF(CH1637&gt;0,CH1637*MAX(1,AF1637/X1637),IF(BT1637=1,IF(AF1637&lt;=0,0,BW1637*MAX(1,IF(H1637&gt;0,AF1637/H1637,1))),IF(R1637&gt;0,AG1637/R1637,0))/MAX(0.1,N(Parameter!$M$21)))</f>
        <v>0.0384615384615385</v>
      </c>
      <c r="AI1637" s="57" t="n">
        <f aca="false">AF1637*G1637</f>
        <v>1000</v>
      </c>
      <c r="AJ1637" s="57" t="n">
        <f aca="false">ROUNDUP(MAX(J1637/IF(BZ1637&gt;0,BZ1637,MAX(0.1,N(Cockpit!$C$6))),CC1637)/BS1637,0)*BS1637</f>
        <v>20</v>
      </c>
      <c r="AK1637" s="58" t="n">
        <f aca="false">IF(AH1637&gt;0,J1637/AH1637,-1)</f>
        <v>0</v>
      </c>
      <c r="AL1637" s="58" t="n">
        <f aca="false">IF(AND(OR(BY1637="L1",BY1637="L23"),AH1637&gt;0),SUMIFS($AH$7:$AH$1843,$BY$7:$BY$1843,BY1637,$AK$7:$AK$1843,"&gt;"&amp;AK1637)+SUMIFS($AH$7:$AH$1843,$BY$7:$BY$1843,BY1637,$AK$7:$AK$1843,AK1637,$BQ$7:$BQ$1843,"&lt;="&amp;BQ1637),"")</f>
        <v>87.8858146684234</v>
      </c>
      <c r="AM1637" s="65" t="n">
        <f aca="false">IF(AL1637="",0,MAX(0,MIN(1,(IF(BY1637="L1",Parameter!$E$5,Parameter!$E$6+Parameter!$E$7)-(AL1637-AH1637))/AH1637)))</f>
        <v>1</v>
      </c>
      <c r="AN1637" s="57" t="n">
        <f aca="false">IF(LEFT(Cockpit!$I$5,1)="A",H1637,IF(CA1637=1,CB1637,IF(LEFT(Cockpit!$I$5,1)="B",AR1637,MAX(AR1637,H1637))))</f>
        <v>20</v>
      </c>
      <c r="AO1637" s="57" t="n">
        <f aca="false">IF(BT1637=1,0,ROUNDUP(AN1637/BS1637,0))</f>
        <v>1</v>
      </c>
      <c r="AP1637" s="59" t="n">
        <f aca="false">IF(CH1637&gt;0,CH1637*MAX(1,AN1637/X1637),IF(BT1637=1,IF(AN1637&lt;=0,0,BW1637*MAX(1,IF(H1637&gt;0,AN1637/H1637,1))),IF(R1637&gt;0,AO1637/R1637,0))/MAX(0.1,N(Parameter!$M$21)))</f>
        <v>0.0384615384615385</v>
      </c>
      <c r="AQ1637" s="57" t="n">
        <f aca="false">AN1637*G1637</f>
        <v>2000</v>
      </c>
      <c r="AR1637" s="57" t="n">
        <f aca="false">ROUNDUP(MAX(J1637/IF(BZ1637&gt;0,BZ1637,MAX(0.1,N(Cockpit!$I$6))),CC1637)/BS1637,0)*BS1637</f>
        <v>20</v>
      </c>
      <c r="AS1637" s="58" t="n">
        <f aca="false">IF(AP1637&gt;0,J1637/AP1637,-1)</f>
        <v>0</v>
      </c>
      <c r="AT1637" s="58" t="n">
        <f aca="false">IF(AND(OR(BY1637="L1",BY1637="L23"),AP1637&gt;0),SUMIFS($AP$7:$AP$1843,$BY$7:$BY$1843,BY1637,$AS$7:$AS$1843,"&gt;"&amp;AS1637)+SUMIFS($AP$7:$AP$1843,$BY$7:$BY$1843,BY1637,$AS$7:$AS$1843,AS1637,$BQ$7:$BQ$1843,"&lt;="&amp;BQ1637),"")</f>
        <v>133.13795142056</v>
      </c>
      <c r="AU1637" s="65" t="n">
        <f aca="false">IF(AT1637="",0,MAX(0,MIN(1,(IF(BY1637="L1",Parameter!$E$5,Parameter!$E$6+Parameter!$E$7)-(AT1637-AP1637))/AP1637)))</f>
        <v>0</v>
      </c>
      <c r="AV1637" s="57" t="n">
        <f aca="false">IF(LEFT(Cockpit!$O$5,1)="A",H1637,IF(CA1637=1,CB1637,IF(LEFT(Cockpit!$O$5,1)="B",AZ1637,MAX(AZ1637,H1637))))</f>
        <v>20</v>
      </c>
      <c r="AW1637" s="57" t="n">
        <f aca="false">IF(BT1637=1,0,ROUNDUP(AV1637/BS1637,0))</f>
        <v>1</v>
      </c>
      <c r="AX1637" s="59" t="n">
        <f aca="false">IF(CH1637&gt;0,CH1637*MAX(1,AV1637/X1637),IF(BT1637=1,IF(AV1637&lt;=0,0,BW1637*MAX(1,IF(H1637&gt;0,AV1637/H1637,1))),IF(R1637&gt;0,AW1637/R1637,0))/MAX(0.1,N(Parameter!$M$21)))</f>
        <v>0.0384615384615385</v>
      </c>
      <c r="AY1637" s="57" t="n">
        <f aca="false">AV1637*G1637</f>
        <v>2000</v>
      </c>
      <c r="AZ1637" s="57" t="n">
        <f aca="false">ROUNDUP(MAX(J1637/IF(BZ1637&gt;0,BZ1637,MAX(0.1,N(Cockpit!$O$6))),CC1637)/BS1637,0)*BS1637</f>
        <v>20</v>
      </c>
      <c r="BA1637" s="58" t="n">
        <f aca="false">IF(AX1637&gt;0,J1637/AX1637,-1)</f>
        <v>0</v>
      </c>
      <c r="BB1637" s="58" t="n">
        <f aca="false">IF(AND(OR(BY1637="L1",BY1637="L23"),AX1637&gt;0),SUMIFS($AX$7:$AX$1843,$BY$7:$BY$1843,BY1637,$BA$7:$BA$1843,"&gt;"&amp;BA1637)+SUMIFS($AX$7:$AX$1843,$BY$7:$BY$1843,BY1637,$BA$7:$BA$1843,BA1637,$BQ$7:$BQ$1843,"&lt;="&amp;BQ1637),"")</f>
        <v>123.967788250397</v>
      </c>
      <c r="BC1637" s="65" t="n">
        <f aca="false">IF(BB1637="",0,MAX(0,MIN(1,(IF(BY1637="L1",Parameter!$E$5,Parameter!$E$6+Parameter!$E$7)-(BB1637-AX1637))/AX1637)))</f>
        <v>0</v>
      </c>
      <c r="BD1637" s="55" t="str">
        <f aca="false">IF(AH1637&lt;=0,"",IF(BY1637="Aussen","Aussenlager",IF(BY1637="-","Nicht im Lift",IF(AM1637&gt;=1,"Lift",IF(AM1637&lt;=0,"Aussenlager","teilweise")))))</f>
        <v>Lift</v>
      </c>
      <c r="BE1637" s="55" t="str">
        <f aca="false">IF(AP1637&lt;=0,"",IF(BY1637="Aussen","Aussenlager",IF(BY1637="-","Nicht im Lift",IF(AU1637&gt;=1,"Lift",IF(AU1637&lt;=0,"Aussenlager","teilweise")))))</f>
        <v>Aussenlager</v>
      </c>
      <c r="BF1637" s="55" t="str">
        <f aca="false">IF(AX1637&lt;=0,"",IF(BY1637="Aussen","Aussenlager",IF(BY1637="-","Nicht im Lift",IF(BC1637&gt;=1,"Lift",IF(BC1637&lt;=0,"Aussenlager","teilweise")))))</f>
        <v>Aussenlager</v>
      </c>
      <c r="BG1637" s="55" t="str">
        <f aca="false">IF(A1637="","",IF(BP1637=1,"Neu; ","")&amp;IF(AND(BP1637=0,BK1637&lt;0),"negativer Bestand (Export "&amp;BK1637&amp;"); ","")&amp;IF(J1637&lt;=0,"Kein Verbrauch; ","")&amp;IF(CH1637&gt;0,"Lift "&amp;W1637&amp;" lt. Liftbericht (Fach "&amp;X1637&amp;" Stk); ",IF(BU1637=1,"Gebinde geschätzt ("&amp;T1637&amp;"); ",IF(BT1637=1,"Lose – Tablare geschätzt; ","")))&amp;IF(H1637&gt;AR1637,"Überbestand "&amp;ROUND(H1637-AR1637,0)&amp;" Stk / CHF "&amp;ROUND((H1637-AR1637)*G1637,0)&amp;"; ","")&amp;IF(AND(CA1637=1,CB1637&lt;CC1637),"MAX &lt; MB+LG; ","")&amp;IF(AND(CG1637&gt;0,CF1637*10&gt;CG1637),"zu hoch für Tablar; ","")&amp;IF(AND(BP1637=0,OR(CA1637=1,AA1637&lt;&gt;"",U1637&lt;&gt;"",V1637&lt;&gt;"",AB1637&lt;&gt;"")),"manuell übersteuert; ","")&amp;IF(AND(BT1637=0,R1637=0),"Gebinde unbekannt / Stellmass fehlt; ","")&amp;IF(AND(BT1637=0,N(V1637)&lt;=0,N(Q1637)&lt;=0),"Menge pro Gebinde fehlt (Ist = 1 Gebinde); ","")&amp;BO1637)</f>
        <v>Kein Verbrauch; Gebinde geschätzt (Klein); Menge pro Gebinde fehlt (Ist = 1 Gebinde); nur im Artikelstamm (Bestand 23.06.2026)</v>
      </c>
      <c r="BH1637" s="55"/>
      <c r="BI1637" s="55"/>
      <c r="BJ1637" s="62"/>
      <c r="BK1637" s="57" t="n">
        <v>10</v>
      </c>
      <c r="BL1637" s="57" t="n">
        <v>0</v>
      </c>
      <c r="BM1637" s="56" t="n">
        <v>0</v>
      </c>
      <c r="BN1637" s="57" t="n">
        <v>0</v>
      </c>
      <c r="BO1637" s="55" t="s">
        <v>2575</v>
      </c>
      <c r="BP1637" s="60" t="n">
        <v>0</v>
      </c>
      <c r="BQ1637" s="60" t="n">
        <v>1637</v>
      </c>
      <c r="BR1637" s="55" t="str">
        <f aca="false">IF(U1637&lt;&gt;"",UPPER(TRIM(U1637)),IF(BU1637=1,UPPER(VLOOKUP(T1637,Parameter!$I$27:$K$29,2,0)),IF(P1637="","LOSE",P1637)))</f>
        <v>S51</v>
      </c>
      <c r="BS1637" s="57" t="n">
        <f aca="false">IF(BR1637="LOSE",1,IF(N(V1637)&gt;0,V1637,IF(BU1637=1,MAX(1,N(VLOOKUP(T1637,Parameter!$I$27:$K$29,3,0)),H1637,N(N1637)),IF(N(Q1637)&gt;0,Q1637,MAX(1,H1637)))))</f>
        <v>20</v>
      </c>
      <c r="BT1637" s="60" t="n">
        <f aca="false">IF(BR1637="LOSE",1,0)</f>
        <v>0</v>
      </c>
      <c r="BU1637" s="60" t="n">
        <f aca="false">IF(AND(U1637="",OR(P1637="",P1637="LOSE"),T1637&lt;&gt;"",N(S1637)&lt;=0,ISNUMBER(MATCH(T1637,Parameter!$I$27:$I$29,0))),1,0)</f>
        <v>1</v>
      </c>
      <c r="BV1637" s="55" t="str">
        <f aca="false">IF(AND(Parameter!$B$19="Ja",E1637&lt;&gt;"",ISNUMBER(MATCH(E1637,Parameter!$I$35:$I$52,0))),VLOOKUP(E1637,Parameter!$I$35:$J$52,2,0),IFERROR(VLOOKUP(D1637,Parameter!$A$35:$C$64,2,0),"Nein"))</f>
        <v>2+3</v>
      </c>
      <c r="BW1637" s="59" t="n">
        <f aca="false">IF(BT1637=0,0,IF(N(S1637)&gt;0,S1637,IFERROR(VLOOKUP(D1637,Parameter!$A$35:$C$64,3,0)+0,0)))</f>
        <v>0</v>
      </c>
      <c r="BX1637" s="55" t="n">
        <f aca="false">IF(AA1637&lt;&gt;"",AA1637,Z1637)</f>
        <v>3</v>
      </c>
      <c r="BY1637" s="55" t="str">
        <f aca="false">IF(BX1637=1,"L1",IF(OR(BX1637=2,BX1637=3),"L23",IF(BX1637="Aussen","Aussen","-")))</f>
        <v>L23</v>
      </c>
      <c r="BZ1637" s="66" t="n">
        <f aca="false">IF(N(AB1637)&gt;0,AB1637,0)</f>
        <v>0</v>
      </c>
      <c r="CA1637" s="60" t="n">
        <f aca="false">IF(ISNUMBER(AE1637),1,0)</f>
        <v>0</v>
      </c>
      <c r="CB1637" s="57" t="n">
        <f aca="false">N(AE1637)</f>
        <v>0</v>
      </c>
      <c r="CC1637" s="57" t="n">
        <f aca="false">N(M1637)+N(N1637)</f>
        <v>4</v>
      </c>
      <c r="CD1637" s="57" t="n">
        <f aca="false">ROUNDUP(H1637/BS1637,0)</f>
        <v>1</v>
      </c>
      <c r="CE1637" s="57" t="n">
        <f aca="false">ROUNDUP(CB1637/BS1637,0)</f>
        <v>0</v>
      </c>
      <c r="CF1637" s="60" t="n">
        <f aca="false">IF(BT1637=1,0,IFERROR(VLOOKUP(BR1637,'Gebinde-Kategorie'!$A$5:$M$45,5,0)+0,0))</f>
        <v>11</v>
      </c>
      <c r="CG1637" s="60" t="n">
        <f aca="false">IFERROR(IF(OR(BX1637=1,BX1637=2,BX1637=3),N(INDEX(Parameter!$I$5:$I$7,BX1637)),0),0)</f>
        <v>0</v>
      </c>
      <c r="CH1637" s="59" t="n">
        <f aca="false">IF(AND(Parameter!$B$21="Ja",ISNUMBER(W1637),N(X1637)&gt;0),IFERROR(N(INDEX(Parameter!$L$5:$L$7,W1637))*INDEX(Parameter!$E$5:$E$7,W1637)*X1637/SUMIFS($X$7:$X$1843,$W$7:$W$1843,W1637),0),0)</f>
        <v>0</v>
      </c>
    </row>
    <row r="1638" customFormat="false" ht="15" hidden="false" customHeight="false" outlineLevel="0" collapsed="false">
      <c r="A1638" s="55" t="s">
        <v>2849</v>
      </c>
      <c r="B1638" s="55" t="s">
        <v>405</v>
      </c>
      <c r="C1638" s="55" t="s">
        <v>164</v>
      </c>
      <c r="D1638" s="55" t="s">
        <v>184</v>
      </c>
      <c r="E1638" s="55"/>
      <c r="F1638" s="55"/>
      <c r="G1638" s="56" t="n">
        <v>0.67</v>
      </c>
      <c r="H1638" s="57" t="n">
        <f aca="false">MAX(0,IF(AND(Parameter!$B$21="Ja",ISNUMBER(Y1638)),Y1638,IF(Parameter!$B$20="Jahresanfang 2025 + Export",BL1638+BK1638,BK1638)))</f>
        <v>500</v>
      </c>
      <c r="I1638" s="57" t="n">
        <f aca="false">H1638*G1638</f>
        <v>335</v>
      </c>
      <c r="J1638" s="57" t="n">
        <f aca="false">BN1638*Parameter!$B$18</f>
        <v>0</v>
      </c>
      <c r="K1638" s="58"/>
      <c r="L1638" s="59"/>
      <c r="M1638" s="57" t="n">
        <v>0</v>
      </c>
      <c r="N1638" s="57" t="n">
        <v>100</v>
      </c>
      <c r="O1638" s="60" t="n">
        <v>28</v>
      </c>
      <c r="P1638" s="55" t="s">
        <v>168</v>
      </c>
      <c r="Q1638" s="57"/>
      <c r="R1638" s="60" t="n">
        <f aca="false">IF(BT1638=1,0,IFERROR(VLOOKUP(BR1638,'Gebinde-Kategorie'!$A$5:$M$45,13,0)+0,0))</f>
        <v>26</v>
      </c>
      <c r="S1638" s="61"/>
      <c r="T1638" s="62" t="s">
        <v>275</v>
      </c>
      <c r="U1638" s="62"/>
      <c r="V1638" s="62"/>
      <c r="W1638" s="55"/>
      <c r="X1638" s="57"/>
      <c r="Y1638" s="57"/>
      <c r="Z1638" s="55" t="n">
        <f aca="false">IF(A1638="","",IF(AND(Parameter!$B$21="Ja",ISNUMBER(W1638)),W1638,IF(BV1638="2+3",IF(ISNUMBER(SEARCH("grosser Artikel",BO1638)),2,IFERROR(VLOOKUP(BR1638,Parameter!$F$35:$G$64,2,0),2)),IF(OR(BV1638="Nein",BV1638=""),"-",BV1638))))</f>
        <v>3</v>
      </c>
      <c r="AA1638" s="62"/>
      <c r="AB1638" s="63"/>
      <c r="AC1638" s="57" t="n">
        <f aca="false">AR1638</f>
        <v>500</v>
      </c>
      <c r="AD1638" s="57" t="n">
        <f aca="false">MAX(AR1638,H1638)</f>
        <v>500</v>
      </c>
      <c r="AE1638" s="64"/>
      <c r="AF1638" s="57" t="n">
        <f aca="false">IF(LEFT(Cockpit!$C$5,1)="A",H1638,IF(CA1638=1,CB1638,IF(LEFT(Cockpit!$C$5,1)="B",AJ1638,MAX(AJ1638,H1638))))</f>
        <v>500</v>
      </c>
      <c r="AG1638" s="57" t="n">
        <f aca="false">IF(BT1638=1,0,ROUNDUP(AF1638/BS1638,0))</f>
        <v>1</v>
      </c>
      <c r="AH1638" s="59" t="n">
        <f aca="false">IF(CH1638&gt;0,CH1638*MAX(1,AF1638/X1638),IF(BT1638=1,IF(AF1638&lt;=0,0,BW1638*MAX(1,IF(H1638&gt;0,AF1638/H1638,1))),IF(R1638&gt;0,AG1638/R1638,0))/MAX(0.1,N(Parameter!$M$21)))</f>
        <v>0.0384615384615385</v>
      </c>
      <c r="AI1638" s="57" t="n">
        <f aca="false">AF1638*G1638</f>
        <v>335</v>
      </c>
      <c r="AJ1638" s="57" t="n">
        <f aca="false">ROUNDUP(MAX(J1638/IF(BZ1638&gt;0,BZ1638,MAX(0.1,N(Cockpit!$C$6))),CC1638)/BS1638,0)*BS1638</f>
        <v>500</v>
      </c>
      <c r="AK1638" s="58" t="n">
        <f aca="false">IF(AH1638&gt;0,J1638/AH1638,-1)</f>
        <v>0</v>
      </c>
      <c r="AL1638" s="58" t="n">
        <f aca="false">IF(AND(OR(BY1638="L1",BY1638="L23"),AH1638&gt;0),SUMIFS($AH$7:$AH$1843,$BY$7:$BY$1843,BY1638,$AK$7:$AK$1843,"&gt;"&amp;AK1638)+SUMIFS($AH$7:$AH$1843,$BY$7:$BY$1843,BY1638,$AK$7:$AK$1843,AK1638,$BQ$7:$BQ$1843,"&lt;="&amp;BQ1638),"")</f>
        <v>87.9242762068849</v>
      </c>
      <c r="AM1638" s="65" t="n">
        <f aca="false">IF(AL1638="",0,MAX(0,MIN(1,(IF(BY1638="L1",Parameter!$E$5,Parameter!$E$6+Parameter!$E$7)-(AL1638-AH1638))/AH1638)))</f>
        <v>1</v>
      </c>
      <c r="AN1638" s="57" t="n">
        <f aca="false">IF(LEFT(Cockpit!$I$5,1)="A",H1638,IF(CA1638=1,CB1638,IF(LEFT(Cockpit!$I$5,1)="B",AR1638,MAX(AR1638,H1638))))</f>
        <v>500</v>
      </c>
      <c r="AO1638" s="57" t="n">
        <f aca="false">IF(BT1638=1,0,ROUNDUP(AN1638/BS1638,0))</f>
        <v>1</v>
      </c>
      <c r="AP1638" s="59" t="n">
        <f aca="false">IF(CH1638&gt;0,CH1638*MAX(1,AN1638/X1638),IF(BT1638=1,IF(AN1638&lt;=0,0,BW1638*MAX(1,IF(H1638&gt;0,AN1638/H1638,1))),IF(R1638&gt;0,AO1638/R1638,0))/MAX(0.1,N(Parameter!$M$21)))</f>
        <v>0.0384615384615385</v>
      </c>
      <c r="AQ1638" s="57" t="n">
        <f aca="false">AN1638*G1638</f>
        <v>335</v>
      </c>
      <c r="AR1638" s="57" t="n">
        <f aca="false">ROUNDUP(MAX(J1638/IF(BZ1638&gt;0,BZ1638,MAX(0.1,N(Cockpit!$I$6))),CC1638)/BS1638,0)*BS1638</f>
        <v>500</v>
      </c>
      <c r="AS1638" s="58" t="n">
        <f aca="false">IF(AP1638&gt;0,J1638/AP1638,-1)</f>
        <v>0</v>
      </c>
      <c r="AT1638" s="58" t="n">
        <f aca="false">IF(AND(OR(BY1638="L1",BY1638="L23"),AP1638&gt;0),SUMIFS($AP$7:$AP$1843,$BY$7:$BY$1843,BY1638,$AS$7:$AS$1843,"&gt;"&amp;AS1638)+SUMIFS($AP$7:$AP$1843,$BY$7:$BY$1843,BY1638,$AS$7:$AS$1843,AS1638,$BQ$7:$BQ$1843,"&lt;="&amp;BQ1638),"")</f>
        <v>133.176412959022</v>
      </c>
      <c r="AU1638" s="65" t="n">
        <f aca="false">IF(AT1638="",0,MAX(0,MIN(1,(IF(BY1638="L1",Parameter!$E$5,Parameter!$E$6+Parameter!$E$7)-(AT1638-AP1638))/AP1638)))</f>
        <v>0</v>
      </c>
      <c r="AV1638" s="57" t="n">
        <f aca="false">IF(LEFT(Cockpit!$O$5,1)="A",H1638,IF(CA1638=1,CB1638,IF(LEFT(Cockpit!$O$5,1)="B",AZ1638,MAX(AZ1638,H1638))))</f>
        <v>500</v>
      </c>
      <c r="AW1638" s="57" t="n">
        <f aca="false">IF(BT1638=1,0,ROUNDUP(AV1638/BS1638,0))</f>
        <v>1</v>
      </c>
      <c r="AX1638" s="59" t="n">
        <f aca="false">IF(CH1638&gt;0,CH1638*MAX(1,AV1638/X1638),IF(BT1638=1,IF(AV1638&lt;=0,0,BW1638*MAX(1,IF(H1638&gt;0,AV1638/H1638,1))),IF(R1638&gt;0,AW1638/R1638,0))/MAX(0.1,N(Parameter!$M$21)))</f>
        <v>0.0384615384615385</v>
      </c>
      <c r="AY1638" s="57" t="n">
        <f aca="false">AV1638*G1638</f>
        <v>335</v>
      </c>
      <c r="AZ1638" s="57" t="n">
        <f aca="false">ROUNDUP(MAX(J1638/IF(BZ1638&gt;0,BZ1638,MAX(0.1,N(Cockpit!$O$6))),CC1638)/BS1638,0)*BS1638</f>
        <v>500</v>
      </c>
      <c r="BA1638" s="58" t="n">
        <f aca="false">IF(AX1638&gt;0,J1638/AX1638,-1)</f>
        <v>0</v>
      </c>
      <c r="BB1638" s="58" t="n">
        <f aca="false">IF(AND(OR(BY1638="L1",BY1638="L23"),AX1638&gt;0),SUMIFS($AX$7:$AX$1843,$BY$7:$BY$1843,BY1638,$BA$7:$BA$1843,"&gt;"&amp;BA1638)+SUMIFS($AX$7:$AX$1843,$BY$7:$BY$1843,BY1638,$BA$7:$BA$1843,BA1638,$BQ$7:$BQ$1843,"&lt;="&amp;BQ1638),"")</f>
        <v>124.006249788858</v>
      </c>
      <c r="BC1638" s="65" t="n">
        <f aca="false">IF(BB1638="",0,MAX(0,MIN(1,(IF(BY1638="L1",Parameter!$E$5,Parameter!$E$6+Parameter!$E$7)-(BB1638-AX1638))/AX1638)))</f>
        <v>0</v>
      </c>
      <c r="BD1638" s="55" t="str">
        <f aca="false">IF(AH1638&lt;=0,"",IF(BY1638="Aussen","Aussenlager",IF(BY1638="-","Nicht im Lift",IF(AM1638&gt;=1,"Lift",IF(AM1638&lt;=0,"Aussenlager","teilweise")))))</f>
        <v>Lift</v>
      </c>
      <c r="BE1638" s="55" t="str">
        <f aca="false">IF(AP1638&lt;=0,"",IF(BY1638="Aussen","Aussenlager",IF(BY1638="-","Nicht im Lift",IF(AU1638&gt;=1,"Lift",IF(AU1638&lt;=0,"Aussenlager","teilweise")))))</f>
        <v>Aussenlager</v>
      </c>
      <c r="BF1638" s="55" t="str">
        <f aca="false">IF(AX1638&lt;=0,"",IF(BY1638="Aussen","Aussenlager",IF(BY1638="-","Nicht im Lift",IF(BC1638&gt;=1,"Lift",IF(BC1638&lt;=0,"Aussenlager","teilweise")))))</f>
        <v>Aussenlager</v>
      </c>
      <c r="BG1638" s="55" t="str">
        <f aca="false">IF(A1638="","",IF(BP1638=1,"Neu; ","")&amp;IF(AND(BP1638=0,BK1638&lt;0),"negativer Bestand (Export "&amp;BK1638&amp;"); ","")&amp;IF(J1638&lt;=0,"Kein Verbrauch; ","")&amp;IF(CH1638&gt;0,"Lift "&amp;W1638&amp;" lt. Liftbericht (Fach "&amp;X1638&amp;" Stk); ",IF(BU1638=1,"Gebinde geschätzt ("&amp;T1638&amp;"); ",IF(BT1638=1,"Lose – Tablare geschätzt; ","")))&amp;IF(H1638&gt;AR1638,"Überbestand "&amp;ROUND(H1638-AR1638,0)&amp;" Stk / CHF "&amp;ROUND((H1638-AR1638)*G1638,0)&amp;"; ","")&amp;IF(AND(CA1638=1,CB1638&lt;CC1638),"MAX &lt; MB+LG; ","")&amp;IF(AND(CG1638&gt;0,CF1638*10&gt;CG1638),"zu hoch für Tablar; ","")&amp;IF(AND(BP1638=0,OR(CA1638=1,AA1638&lt;&gt;"",U1638&lt;&gt;"",V1638&lt;&gt;"",AB1638&lt;&gt;"")),"manuell übersteuert; ","")&amp;IF(AND(BT1638=0,R1638=0),"Gebinde unbekannt / Stellmass fehlt; ","")&amp;IF(AND(BT1638=0,N(V1638)&lt;=0,N(Q1638)&lt;=0),"Menge pro Gebinde fehlt (Ist = 1 Gebinde); ","")&amp;BO1638)</f>
        <v>Kein Verbrauch; Gebinde geschätzt (Klein); Menge pro Gebinde fehlt (Ist = 1 Gebinde); nur im Artikelstamm (Bestand 23.06.2026)</v>
      </c>
      <c r="BH1638" s="55"/>
      <c r="BI1638" s="55"/>
      <c r="BJ1638" s="62"/>
      <c r="BK1638" s="57" t="n">
        <v>500</v>
      </c>
      <c r="BL1638" s="57" t="n">
        <v>0</v>
      </c>
      <c r="BM1638" s="56" t="n">
        <v>0</v>
      </c>
      <c r="BN1638" s="57" t="n">
        <v>0</v>
      </c>
      <c r="BO1638" s="55" t="s">
        <v>2575</v>
      </c>
      <c r="BP1638" s="60" t="n">
        <v>0</v>
      </c>
      <c r="BQ1638" s="60" t="n">
        <v>1638</v>
      </c>
      <c r="BR1638" s="55" t="str">
        <f aca="false">IF(U1638&lt;&gt;"",UPPER(TRIM(U1638)),IF(BU1638=1,UPPER(VLOOKUP(T1638,Parameter!$I$27:$K$29,2,0)),IF(P1638="","LOSE",P1638)))</f>
        <v>S51</v>
      </c>
      <c r="BS1638" s="57" t="n">
        <f aca="false">IF(BR1638="LOSE",1,IF(N(V1638)&gt;0,V1638,IF(BU1638=1,MAX(1,N(VLOOKUP(T1638,Parameter!$I$27:$K$29,3,0)),H1638,N(N1638)),IF(N(Q1638)&gt;0,Q1638,MAX(1,H1638)))))</f>
        <v>500</v>
      </c>
      <c r="BT1638" s="60" t="n">
        <f aca="false">IF(BR1638="LOSE",1,0)</f>
        <v>0</v>
      </c>
      <c r="BU1638" s="60" t="n">
        <f aca="false">IF(AND(U1638="",OR(P1638="",P1638="LOSE"),T1638&lt;&gt;"",N(S1638)&lt;=0,ISNUMBER(MATCH(T1638,Parameter!$I$27:$I$29,0))),1,0)</f>
        <v>1</v>
      </c>
      <c r="BV1638" s="55" t="str">
        <f aca="false">IF(AND(Parameter!$B$19="Ja",E1638&lt;&gt;"",ISNUMBER(MATCH(E1638,Parameter!$I$35:$I$52,0))),VLOOKUP(E1638,Parameter!$I$35:$J$52,2,0),IFERROR(VLOOKUP(D1638,Parameter!$A$35:$C$64,2,0),"Nein"))</f>
        <v>2+3</v>
      </c>
      <c r="BW1638" s="59" t="n">
        <f aca="false">IF(BT1638=0,0,IF(N(S1638)&gt;0,S1638,IFERROR(VLOOKUP(D1638,Parameter!$A$35:$C$64,3,0)+0,0)))</f>
        <v>0</v>
      </c>
      <c r="BX1638" s="55" t="n">
        <f aca="false">IF(AA1638&lt;&gt;"",AA1638,Z1638)</f>
        <v>3</v>
      </c>
      <c r="BY1638" s="55" t="str">
        <f aca="false">IF(BX1638=1,"L1",IF(OR(BX1638=2,BX1638=3),"L23",IF(BX1638="Aussen","Aussen","-")))</f>
        <v>L23</v>
      </c>
      <c r="BZ1638" s="66" t="n">
        <f aca="false">IF(N(AB1638)&gt;0,AB1638,0)</f>
        <v>0</v>
      </c>
      <c r="CA1638" s="60" t="n">
        <f aca="false">IF(ISNUMBER(AE1638),1,0)</f>
        <v>0</v>
      </c>
      <c r="CB1638" s="57" t="n">
        <f aca="false">N(AE1638)</f>
        <v>0</v>
      </c>
      <c r="CC1638" s="57" t="n">
        <f aca="false">N(M1638)+N(N1638)</f>
        <v>100</v>
      </c>
      <c r="CD1638" s="57" t="n">
        <f aca="false">ROUNDUP(H1638/BS1638,0)</f>
        <v>1</v>
      </c>
      <c r="CE1638" s="57" t="n">
        <f aca="false">ROUNDUP(CB1638/BS1638,0)</f>
        <v>0</v>
      </c>
      <c r="CF1638" s="60" t="n">
        <f aca="false">IF(BT1638=1,0,IFERROR(VLOOKUP(BR1638,'Gebinde-Kategorie'!$A$5:$M$45,5,0)+0,0))</f>
        <v>11</v>
      </c>
      <c r="CG1638" s="60" t="n">
        <f aca="false">IFERROR(IF(OR(BX1638=1,BX1638=2,BX1638=3),N(INDEX(Parameter!$I$5:$I$7,BX1638)),0),0)</f>
        <v>0</v>
      </c>
      <c r="CH1638" s="59" t="n">
        <f aca="false">IF(AND(Parameter!$B$21="Ja",ISNUMBER(W1638),N(X1638)&gt;0),IFERROR(N(INDEX(Parameter!$L$5:$L$7,W1638))*INDEX(Parameter!$E$5:$E$7,W1638)*X1638/SUMIFS($X$7:$X$1843,$W$7:$W$1843,W1638),0),0)</f>
        <v>0</v>
      </c>
    </row>
    <row r="1639" customFormat="false" ht="15" hidden="false" customHeight="false" outlineLevel="0" collapsed="false">
      <c r="A1639" s="55" t="s">
        <v>2850</v>
      </c>
      <c r="B1639" s="55" t="s">
        <v>2851</v>
      </c>
      <c r="C1639" s="55" t="s">
        <v>164</v>
      </c>
      <c r="D1639" s="55" t="s">
        <v>184</v>
      </c>
      <c r="E1639" s="55"/>
      <c r="F1639" s="55"/>
      <c r="G1639" s="56" t="n">
        <v>1.5</v>
      </c>
      <c r="H1639" s="57" t="n">
        <f aca="false">MAX(0,IF(AND(Parameter!$B$21="Ja",ISNUMBER(Y1639)),Y1639,IF(Parameter!$B$20="Jahresanfang 2025 + Export",BL1639+BK1639,BK1639)))</f>
        <v>83</v>
      </c>
      <c r="I1639" s="57" t="n">
        <f aca="false">H1639*G1639</f>
        <v>124.5</v>
      </c>
      <c r="J1639" s="57" t="n">
        <f aca="false">BN1639*Parameter!$B$18</f>
        <v>0</v>
      </c>
      <c r="K1639" s="58"/>
      <c r="L1639" s="59"/>
      <c r="M1639" s="57" t="n">
        <v>0</v>
      </c>
      <c r="N1639" s="57" t="n">
        <v>50</v>
      </c>
      <c r="O1639" s="60" t="n">
        <v>14</v>
      </c>
      <c r="P1639" s="55" t="s">
        <v>168</v>
      </c>
      <c r="Q1639" s="57"/>
      <c r="R1639" s="60" t="n">
        <f aca="false">IF(BT1639=1,0,IFERROR(VLOOKUP(BR1639,'Gebinde-Kategorie'!$A$5:$M$45,13,0)+0,0))</f>
        <v>26</v>
      </c>
      <c r="S1639" s="61"/>
      <c r="T1639" s="62" t="s">
        <v>275</v>
      </c>
      <c r="U1639" s="62"/>
      <c r="V1639" s="62"/>
      <c r="W1639" s="55"/>
      <c r="X1639" s="57"/>
      <c r="Y1639" s="57"/>
      <c r="Z1639" s="55" t="n">
        <f aca="false">IF(A1639="","",IF(AND(Parameter!$B$21="Ja",ISNUMBER(W1639)),W1639,IF(BV1639="2+3",IF(ISNUMBER(SEARCH("grosser Artikel",BO1639)),2,IFERROR(VLOOKUP(BR1639,Parameter!$F$35:$G$64,2,0),2)),IF(OR(BV1639="Nein",BV1639=""),"-",BV1639))))</f>
        <v>3</v>
      </c>
      <c r="AA1639" s="62"/>
      <c r="AB1639" s="63"/>
      <c r="AC1639" s="57" t="n">
        <f aca="false">AR1639</f>
        <v>83</v>
      </c>
      <c r="AD1639" s="57" t="n">
        <f aca="false">MAX(AR1639,H1639)</f>
        <v>83</v>
      </c>
      <c r="AE1639" s="64"/>
      <c r="AF1639" s="57" t="n">
        <f aca="false">IF(LEFT(Cockpit!$C$5,1)="A",H1639,IF(CA1639=1,CB1639,IF(LEFT(Cockpit!$C$5,1)="B",AJ1639,MAX(AJ1639,H1639))))</f>
        <v>83</v>
      </c>
      <c r="AG1639" s="57" t="n">
        <f aca="false">IF(BT1639=1,0,ROUNDUP(AF1639/BS1639,0))</f>
        <v>1</v>
      </c>
      <c r="AH1639" s="59" t="n">
        <f aca="false">IF(CH1639&gt;0,CH1639*MAX(1,AF1639/X1639),IF(BT1639=1,IF(AF1639&lt;=0,0,BW1639*MAX(1,IF(H1639&gt;0,AF1639/H1639,1))),IF(R1639&gt;0,AG1639/R1639,0))/MAX(0.1,N(Parameter!$M$21)))</f>
        <v>0.0384615384615385</v>
      </c>
      <c r="AI1639" s="57" t="n">
        <f aca="false">AF1639*G1639</f>
        <v>124.5</v>
      </c>
      <c r="AJ1639" s="57" t="n">
        <f aca="false">ROUNDUP(MAX(J1639/IF(BZ1639&gt;0,BZ1639,MAX(0.1,N(Cockpit!$C$6))),CC1639)/BS1639,0)*BS1639</f>
        <v>83</v>
      </c>
      <c r="AK1639" s="58" t="n">
        <f aca="false">IF(AH1639&gt;0,J1639/AH1639,-1)</f>
        <v>0</v>
      </c>
      <c r="AL1639" s="58" t="n">
        <f aca="false">IF(AND(OR(BY1639="L1",BY1639="L23"),AH1639&gt;0),SUMIFS($AH$7:$AH$1843,$BY$7:$BY$1843,BY1639,$AK$7:$AK$1843,"&gt;"&amp;AK1639)+SUMIFS($AH$7:$AH$1843,$BY$7:$BY$1843,BY1639,$AK$7:$AK$1843,AK1639,$BQ$7:$BQ$1843,"&lt;="&amp;BQ1639),"")</f>
        <v>87.9627377453464</v>
      </c>
      <c r="AM1639" s="65" t="n">
        <f aca="false">IF(AL1639="",0,MAX(0,MIN(1,(IF(BY1639="L1",Parameter!$E$5,Parameter!$E$6+Parameter!$E$7)-(AL1639-AH1639))/AH1639)))</f>
        <v>1</v>
      </c>
      <c r="AN1639" s="57" t="n">
        <f aca="false">IF(LEFT(Cockpit!$I$5,1)="A",H1639,IF(CA1639=1,CB1639,IF(LEFT(Cockpit!$I$5,1)="B",AR1639,MAX(AR1639,H1639))))</f>
        <v>83</v>
      </c>
      <c r="AO1639" s="57" t="n">
        <f aca="false">IF(BT1639=1,0,ROUNDUP(AN1639/BS1639,0))</f>
        <v>1</v>
      </c>
      <c r="AP1639" s="59" t="n">
        <f aca="false">IF(CH1639&gt;0,CH1639*MAX(1,AN1639/X1639),IF(BT1639=1,IF(AN1639&lt;=0,0,BW1639*MAX(1,IF(H1639&gt;0,AN1639/H1639,1))),IF(R1639&gt;0,AO1639/R1639,0))/MAX(0.1,N(Parameter!$M$21)))</f>
        <v>0.0384615384615385</v>
      </c>
      <c r="AQ1639" s="57" t="n">
        <f aca="false">AN1639*G1639</f>
        <v>124.5</v>
      </c>
      <c r="AR1639" s="57" t="n">
        <f aca="false">ROUNDUP(MAX(J1639/IF(BZ1639&gt;0,BZ1639,MAX(0.1,N(Cockpit!$I$6))),CC1639)/BS1639,0)*BS1639</f>
        <v>83</v>
      </c>
      <c r="AS1639" s="58" t="n">
        <f aca="false">IF(AP1639&gt;0,J1639/AP1639,-1)</f>
        <v>0</v>
      </c>
      <c r="AT1639" s="58" t="n">
        <f aca="false">IF(AND(OR(BY1639="L1",BY1639="L23"),AP1639&gt;0),SUMIFS($AP$7:$AP$1843,$BY$7:$BY$1843,BY1639,$AS$7:$AS$1843,"&gt;"&amp;AS1639)+SUMIFS($AP$7:$AP$1843,$BY$7:$BY$1843,BY1639,$AS$7:$AS$1843,AS1639,$BQ$7:$BQ$1843,"&lt;="&amp;BQ1639),"")</f>
        <v>133.214874497483</v>
      </c>
      <c r="AU1639" s="65" t="n">
        <f aca="false">IF(AT1639="",0,MAX(0,MIN(1,(IF(BY1639="L1",Parameter!$E$5,Parameter!$E$6+Parameter!$E$7)-(AT1639-AP1639))/AP1639)))</f>
        <v>0</v>
      </c>
      <c r="AV1639" s="57" t="n">
        <f aca="false">IF(LEFT(Cockpit!$O$5,1)="A",H1639,IF(CA1639=1,CB1639,IF(LEFT(Cockpit!$O$5,1)="B",AZ1639,MAX(AZ1639,H1639))))</f>
        <v>83</v>
      </c>
      <c r="AW1639" s="57" t="n">
        <f aca="false">IF(BT1639=1,0,ROUNDUP(AV1639/BS1639,0))</f>
        <v>1</v>
      </c>
      <c r="AX1639" s="59" t="n">
        <f aca="false">IF(CH1639&gt;0,CH1639*MAX(1,AV1639/X1639),IF(BT1639=1,IF(AV1639&lt;=0,0,BW1639*MAX(1,IF(H1639&gt;0,AV1639/H1639,1))),IF(R1639&gt;0,AW1639/R1639,0))/MAX(0.1,N(Parameter!$M$21)))</f>
        <v>0.0384615384615385</v>
      </c>
      <c r="AY1639" s="57" t="n">
        <f aca="false">AV1639*G1639</f>
        <v>124.5</v>
      </c>
      <c r="AZ1639" s="57" t="n">
        <f aca="false">ROUNDUP(MAX(J1639/IF(BZ1639&gt;0,BZ1639,MAX(0.1,N(Cockpit!$O$6))),CC1639)/BS1639,0)*BS1639</f>
        <v>83</v>
      </c>
      <c r="BA1639" s="58" t="n">
        <f aca="false">IF(AX1639&gt;0,J1639/AX1639,-1)</f>
        <v>0</v>
      </c>
      <c r="BB1639" s="58" t="n">
        <f aca="false">IF(AND(OR(BY1639="L1",BY1639="L23"),AX1639&gt;0),SUMIFS($AX$7:$AX$1843,$BY$7:$BY$1843,BY1639,$BA$7:$BA$1843,"&gt;"&amp;BA1639)+SUMIFS($AX$7:$AX$1843,$BY$7:$BY$1843,BY1639,$BA$7:$BA$1843,BA1639,$BQ$7:$BQ$1843,"&lt;="&amp;BQ1639),"")</f>
        <v>124.04471132732</v>
      </c>
      <c r="BC1639" s="65" t="n">
        <f aca="false">IF(BB1639="",0,MAX(0,MIN(1,(IF(BY1639="L1",Parameter!$E$5,Parameter!$E$6+Parameter!$E$7)-(BB1639-AX1639))/AX1639)))</f>
        <v>0</v>
      </c>
      <c r="BD1639" s="55" t="str">
        <f aca="false">IF(AH1639&lt;=0,"",IF(BY1639="Aussen","Aussenlager",IF(BY1639="-","Nicht im Lift",IF(AM1639&gt;=1,"Lift",IF(AM1639&lt;=0,"Aussenlager","teilweise")))))</f>
        <v>Lift</v>
      </c>
      <c r="BE1639" s="55" t="str">
        <f aca="false">IF(AP1639&lt;=0,"",IF(BY1639="Aussen","Aussenlager",IF(BY1639="-","Nicht im Lift",IF(AU1639&gt;=1,"Lift",IF(AU1639&lt;=0,"Aussenlager","teilweise")))))</f>
        <v>Aussenlager</v>
      </c>
      <c r="BF1639" s="55" t="str">
        <f aca="false">IF(AX1639&lt;=0,"",IF(BY1639="Aussen","Aussenlager",IF(BY1639="-","Nicht im Lift",IF(BC1639&gt;=1,"Lift",IF(BC1639&lt;=0,"Aussenlager","teilweise")))))</f>
        <v>Aussenlager</v>
      </c>
      <c r="BG1639" s="55" t="str">
        <f aca="false">IF(A1639="","",IF(BP1639=1,"Neu; ","")&amp;IF(AND(BP1639=0,BK1639&lt;0),"negativer Bestand (Export "&amp;BK1639&amp;"); ","")&amp;IF(J1639&lt;=0,"Kein Verbrauch; ","")&amp;IF(CH1639&gt;0,"Lift "&amp;W1639&amp;" lt. Liftbericht (Fach "&amp;X1639&amp;" Stk); ",IF(BU1639=1,"Gebinde geschätzt ("&amp;T1639&amp;"); ",IF(BT1639=1,"Lose – Tablare geschätzt; ","")))&amp;IF(H1639&gt;AR1639,"Überbestand "&amp;ROUND(H1639-AR1639,0)&amp;" Stk / CHF "&amp;ROUND((H1639-AR1639)*G1639,0)&amp;"; ","")&amp;IF(AND(CA1639=1,CB1639&lt;CC1639),"MAX &lt; MB+LG; ","")&amp;IF(AND(CG1639&gt;0,CF1639*10&gt;CG1639),"zu hoch für Tablar; ","")&amp;IF(AND(BP1639=0,OR(CA1639=1,AA1639&lt;&gt;"",U1639&lt;&gt;"",V1639&lt;&gt;"",AB1639&lt;&gt;"")),"manuell übersteuert; ","")&amp;IF(AND(BT1639=0,R1639=0),"Gebinde unbekannt / Stellmass fehlt; ","")&amp;IF(AND(BT1639=0,N(V1639)&lt;=0,N(Q1639)&lt;=0),"Menge pro Gebinde fehlt (Ist = 1 Gebinde); ","")&amp;BO1639)</f>
        <v>Kein Verbrauch; Gebinde geschätzt (Klein); Menge pro Gebinde fehlt (Ist = 1 Gebinde); nur im Artikelstamm (Bestand 23.06.2026)</v>
      </c>
      <c r="BH1639" s="55"/>
      <c r="BI1639" s="55"/>
      <c r="BJ1639" s="62"/>
      <c r="BK1639" s="57" t="n">
        <v>83</v>
      </c>
      <c r="BL1639" s="57" t="n">
        <v>0</v>
      </c>
      <c r="BM1639" s="56" t="n">
        <v>0</v>
      </c>
      <c r="BN1639" s="57" t="n">
        <v>0</v>
      </c>
      <c r="BO1639" s="55" t="s">
        <v>2575</v>
      </c>
      <c r="BP1639" s="60" t="n">
        <v>0</v>
      </c>
      <c r="BQ1639" s="60" t="n">
        <v>1639</v>
      </c>
      <c r="BR1639" s="55" t="str">
        <f aca="false">IF(U1639&lt;&gt;"",UPPER(TRIM(U1639)),IF(BU1639=1,UPPER(VLOOKUP(T1639,Parameter!$I$27:$K$29,2,0)),IF(P1639="","LOSE",P1639)))</f>
        <v>S51</v>
      </c>
      <c r="BS1639" s="57" t="n">
        <f aca="false">IF(BR1639="LOSE",1,IF(N(V1639)&gt;0,V1639,IF(BU1639=1,MAX(1,N(VLOOKUP(T1639,Parameter!$I$27:$K$29,3,0)),H1639,N(N1639)),IF(N(Q1639)&gt;0,Q1639,MAX(1,H1639)))))</f>
        <v>83</v>
      </c>
      <c r="BT1639" s="60" t="n">
        <f aca="false">IF(BR1639="LOSE",1,0)</f>
        <v>0</v>
      </c>
      <c r="BU1639" s="60" t="n">
        <f aca="false">IF(AND(U1639="",OR(P1639="",P1639="LOSE"),T1639&lt;&gt;"",N(S1639)&lt;=0,ISNUMBER(MATCH(T1639,Parameter!$I$27:$I$29,0))),1,0)</f>
        <v>1</v>
      </c>
      <c r="BV1639" s="55" t="str">
        <f aca="false">IF(AND(Parameter!$B$19="Ja",E1639&lt;&gt;"",ISNUMBER(MATCH(E1639,Parameter!$I$35:$I$52,0))),VLOOKUP(E1639,Parameter!$I$35:$J$52,2,0),IFERROR(VLOOKUP(D1639,Parameter!$A$35:$C$64,2,0),"Nein"))</f>
        <v>2+3</v>
      </c>
      <c r="BW1639" s="59" t="n">
        <f aca="false">IF(BT1639=0,0,IF(N(S1639)&gt;0,S1639,IFERROR(VLOOKUP(D1639,Parameter!$A$35:$C$64,3,0)+0,0)))</f>
        <v>0</v>
      </c>
      <c r="BX1639" s="55" t="n">
        <f aca="false">IF(AA1639&lt;&gt;"",AA1639,Z1639)</f>
        <v>3</v>
      </c>
      <c r="BY1639" s="55" t="str">
        <f aca="false">IF(BX1639=1,"L1",IF(OR(BX1639=2,BX1639=3),"L23",IF(BX1639="Aussen","Aussen","-")))</f>
        <v>L23</v>
      </c>
      <c r="BZ1639" s="66" t="n">
        <f aca="false">IF(N(AB1639)&gt;0,AB1639,0)</f>
        <v>0</v>
      </c>
      <c r="CA1639" s="60" t="n">
        <f aca="false">IF(ISNUMBER(AE1639),1,0)</f>
        <v>0</v>
      </c>
      <c r="CB1639" s="57" t="n">
        <f aca="false">N(AE1639)</f>
        <v>0</v>
      </c>
      <c r="CC1639" s="57" t="n">
        <f aca="false">N(M1639)+N(N1639)</f>
        <v>50</v>
      </c>
      <c r="CD1639" s="57" t="n">
        <f aca="false">ROUNDUP(H1639/BS1639,0)</f>
        <v>1</v>
      </c>
      <c r="CE1639" s="57" t="n">
        <f aca="false">ROUNDUP(CB1639/BS1639,0)</f>
        <v>0</v>
      </c>
      <c r="CF1639" s="60" t="n">
        <f aca="false">IF(BT1639=1,0,IFERROR(VLOOKUP(BR1639,'Gebinde-Kategorie'!$A$5:$M$45,5,0)+0,0))</f>
        <v>11</v>
      </c>
      <c r="CG1639" s="60" t="n">
        <f aca="false">IFERROR(IF(OR(BX1639=1,BX1639=2,BX1639=3),N(INDEX(Parameter!$I$5:$I$7,BX1639)),0),0)</f>
        <v>0</v>
      </c>
      <c r="CH1639" s="59" t="n">
        <f aca="false">IF(AND(Parameter!$B$21="Ja",ISNUMBER(W1639),N(X1639)&gt;0),IFERROR(N(INDEX(Parameter!$L$5:$L$7,W1639))*INDEX(Parameter!$E$5:$E$7,W1639)*X1639/SUMIFS($X$7:$X$1843,$W$7:$W$1843,W1639),0),0)</f>
        <v>0</v>
      </c>
    </row>
    <row r="1640" customFormat="false" ht="15" hidden="false" customHeight="false" outlineLevel="0" collapsed="false">
      <c r="A1640" s="55" t="s">
        <v>2852</v>
      </c>
      <c r="B1640" s="55" t="s">
        <v>2853</v>
      </c>
      <c r="C1640" s="55" t="s">
        <v>167</v>
      </c>
      <c r="D1640" s="55" t="s">
        <v>173</v>
      </c>
      <c r="E1640" s="55" t="s">
        <v>166</v>
      </c>
      <c r="F1640" s="55"/>
      <c r="G1640" s="56" t="n">
        <v>165.63</v>
      </c>
      <c r="H1640" s="57" t="n">
        <f aca="false">MAX(0,IF(AND(Parameter!$B$21="Ja",ISNUMBER(Y1640)),Y1640,IF(Parameter!$B$20="Jahresanfang 2025 + Export",BL1640+BK1640,BK1640)))</f>
        <v>53</v>
      </c>
      <c r="I1640" s="57" t="n">
        <f aca="false">H1640*G1640</f>
        <v>8778.39</v>
      </c>
      <c r="J1640" s="57" t="n">
        <f aca="false">BN1640*Parameter!$B$18</f>
        <v>0</v>
      </c>
      <c r="K1640" s="58"/>
      <c r="L1640" s="59"/>
      <c r="M1640" s="57" t="n">
        <v>0</v>
      </c>
      <c r="N1640" s="57" t="n">
        <v>25</v>
      </c>
      <c r="O1640" s="60" t="n">
        <v>105</v>
      </c>
      <c r="P1640" s="55" t="s">
        <v>168</v>
      </c>
      <c r="Q1640" s="57"/>
      <c r="R1640" s="60" t="n">
        <f aca="false">IF(BT1640=1,0,IFERROR(VLOOKUP(BR1640,'Gebinde-Kategorie'!$A$5:$M$45,13,0)+0,0))</f>
        <v>12</v>
      </c>
      <c r="S1640" s="61"/>
      <c r="T1640" s="62" t="s">
        <v>179</v>
      </c>
      <c r="U1640" s="62"/>
      <c r="V1640" s="62"/>
      <c r="W1640" s="55"/>
      <c r="X1640" s="57"/>
      <c r="Y1640" s="57"/>
      <c r="Z1640" s="55" t="n">
        <f aca="false">IF(A1640="","",IF(AND(Parameter!$B$21="Ja",ISNUMBER(W1640)),W1640,IF(BV1640="2+3",IF(ISNUMBER(SEARCH("grosser Artikel",BO1640)),2,IFERROR(VLOOKUP(BR1640,Parameter!$F$35:$G$64,2,0),2)),IF(OR(BV1640="Nein",BV1640=""),"-",BV1640))))</f>
        <v>1</v>
      </c>
      <c r="AA1640" s="62"/>
      <c r="AB1640" s="63"/>
      <c r="AC1640" s="57" t="n">
        <f aca="false">AR1640</f>
        <v>53</v>
      </c>
      <c r="AD1640" s="57" t="n">
        <f aca="false">MAX(AR1640,H1640)</f>
        <v>53</v>
      </c>
      <c r="AE1640" s="64"/>
      <c r="AF1640" s="57" t="n">
        <f aca="false">IF(LEFT(Cockpit!$C$5,1)="A",H1640,IF(CA1640=1,CB1640,IF(LEFT(Cockpit!$C$5,1)="B",AJ1640,MAX(AJ1640,H1640))))</f>
        <v>53</v>
      </c>
      <c r="AG1640" s="57" t="n">
        <f aca="false">IF(BT1640=1,0,ROUNDUP(AF1640/BS1640,0))</f>
        <v>1</v>
      </c>
      <c r="AH1640" s="59" t="n">
        <f aca="false">IF(CH1640&gt;0,CH1640*MAX(1,AF1640/X1640),IF(BT1640=1,IF(AF1640&lt;=0,0,BW1640*MAX(1,IF(H1640&gt;0,AF1640/H1640,1))),IF(R1640&gt;0,AG1640/R1640,0))/MAX(0.1,N(Parameter!$M$21)))</f>
        <v>0.0833333333333333</v>
      </c>
      <c r="AI1640" s="57" t="n">
        <f aca="false">AF1640*G1640</f>
        <v>8778.39</v>
      </c>
      <c r="AJ1640" s="57" t="n">
        <f aca="false">ROUNDUP(MAX(J1640/IF(BZ1640&gt;0,BZ1640,MAX(0.1,N(Cockpit!$C$6))),CC1640)/BS1640,0)*BS1640</f>
        <v>53</v>
      </c>
      <c r="AK1640" s="58" t="n">
        <f aca="false">IF(AH1640&gt;0,J1640/AH1640,-1)</f>
        <v>0</v>
      </c>
      <c r="AL1640" s="58" t="n">
        <f aca="false">IF(AND(OR(BY1640="L1",BY1640="L23"),AH1640&gt;0),SUMIFS($AH$7:$AH$1843,$BY$7:$BY$1843,BY1640,$AK$7:$AK$1843,"&gt;"&amp;AK1640)+SUMIFS($AH$7:$AH$1843,$BY$7:$BY$1843,BY1640,$AK$7:$AK$1843,AK1640,$BQ$7:$BQ$1843,"&lt;="&amp;BQ1640),"")</f>
        <v>52.8989963405955</v>
      </c>
      <c r="AM1640" s="65" t="n">
        <f aca="false">IF(AL1640="",0,MAX(0,MIN(1,(IF(BY1640="L1",Parameter!$E$5,Parameter!$E$6+Parameter!$E$7)-(AL1640-AH1640))/AH1640)))</f>
        <v>0</v>
      </c>
      <c r="AN1640" s="57" t="n">
        <f aca="false">IF(LEFT(Cockpit!$I$5,1)="A",H1640,IF(CA1640=1,CB1640,IF(LEFT(Cockpit!$I$5,1)="B",AR1640,MAX(AR1640,H1640))))</f>
        <v>53</v>
      </c>
      <c r="AO1640" s="57" t="n">
        <f aca="false">IF(BT1640=1,0,ROUNDUP(AN1640/BS1640,0))</f>
        <v>1</v>
      </c>
      <c r="AP1640" s="59" t="n">
        <f aca="false">IF(CH1640&gt;0,CH1640*MAX(1,AN1640/X1640),IF(BT1640=1,IF(AN1640&lt;=0,0,BW1640*MAX(1,IF(H1640&gt;0,AN1640/H1640,1))),IF(R1640&gt;0,AO1640/R1640,0))/MAX(0.1,N(Parameter!$M$21)))</f>
        <v>0.0833333333333333</v>
      </c>
      <c r="AQ1640" s="57" t="n">
        <f aca="false">AN1640*G1640</f>
        <v>8778.39</v>
      </c>
      <c r="AR1640" s="57" t="n">
        <f aca="false">ROUNDUP(MAX(J1640/IF(BZ1640&gt;0,BZ1640,MAX(0.1,N(Cockpit!$I$6))),CC1640)/BS1640,0)*BS1640</f>
        <v>53</v>
      </c>
      <c r="AS1640" s="58" t="n">
        <f aca="false">IF(AP1640&gt;0,J1640/AP1640,-1)</f>
        <v>0</v>
      </c>
      <c r="AT1640" s="58" t="n">
        <f aca="false">IF(AND(OR(BY1640="L1",BY1640="L23"),AP1640&gt;0),SUMIFS($AP$7:$AP$1843,$BY$7:$BY$1843,BY1640,$AS$7:$AS$1843,"&gt;"&amp;AS1640)+SUMIFS($AP$7:$AP$1843,$BY$7:$BY$1843,BY1640,$AS$7:$AS$1843,AS1640,$BQ$7:$BQ$1843,"&lt;="&amp;BQ1640),"")</f>
        <v>68.5785559523585</v>
      </c>
      <c r="AU1640" s="65" t="n">
        <f aca="false">IF(AT1640="",0,MAX(0,MIN(1,(IF(BY1640="L1",Parameter!$E$5,Parameter!$E$6+Parameter!$E$7)-(AT1640-AP1640))/AP1640)))</f>
        <v>0</v>
      </c>
      <c r="AV1640" s="57" t="n">
        <f aca="false">IF(LEFT(Cockpit!$O$5,1)="A",H1640,IF(CA1640=1,CB1640,IF(LEFT(Cockpit!$O$5,1)="B",AZ1640,MAX(AZ1640,H1640))))</f>
        <v>53</v>
      </c>
      <c r="AW1640" s="57" t="n">
        <f aca="false">IF(BT1640=1,0,ROUNDUP(AV1640/BS1640,0))</f>
        <v>1</v>
      </c>
      <c r="AX1640" s="59" t="n">
        <f aca="false">IF(CH1640&gt;0,CH1640*MAX(1,AV1640/X1640),IF(BT1640=1,IF(AV1640&lt;=0,0,BW1640*MAX(1,IF(H1640&gt;0,AV1640/H1640,1))),IF(R1640&gt;0,AW1640/R1640,0))/MAX(0.1,N(Parameter!$M$21)))</f>
        <v>0.0833333333333333</v>
      </c>
      <c r="AY1640" s="57" t="n">
        <f aca="false">AV1640*G1640</f>
        <v>8778.39</v>
      </c>
      <c r="AZ1640" s="57" t="n">
        <f aca="false">ROUNDUP(MAX(J1640/IF(BZ1640&gt;0,BZ1640,MAX(0.1,N(Cockpit!$O$6))),CC1640)/BS1640,0)*BS1640</f>
        <v>53</v>
      </c>
      <c r="BA1640" s="58" t="n">
        <f aca="false">IF(AX1640&gt;0,J1640/AX1640,-1)</f>
        <v>0</v>
      </c>
      <c r="BB1640" s="58" t="n">
        <f aca="false">IF(AND(OR(BY1640="L1",BY1640="L23"),AX1640&gt;0),SUMIFS($AX$7:$AX$1843,$BY$7:$BY$1843,BY1640,$BA$7:$BA$1843,"&gt;"&amp;BA1640)+SUMIFS($AX$7:$AX$1843,$BY$7:$BY$1843,BY1640,$BA$7:$BA$1843,BA1640,$BQ$7:$BQ$1843,"&lt;="&amp;BQ1640),"")</f>
        <v>62.2453674835768</v>
      </c>
      <c r="BC1640" s="65" t="n">
        <f aca="false">IF(BB1640="",0,MAX(0,MIN(1,(IF(BY1640="L1",Parameter!$E$5,Parameter!$E$6+Parameter!$E$7)-(BB1640-AX1640))/AX1640)))</f>
        <v>0</v>
      </c>
      <c r="BD1640" s="55" t="str">
        <f aca="false">IF(AH1640&lt;=0,"",IF(BY1640="Aussen","Aussenlager",IF(BY1640="-","Nicht im Lift",IF(AM1640&gt;=1,"Lift",IF(AM1640&lt;=0,"Aussenlager","teilweise")))))</f>
        <v>Aussenlager</v>
      </c>
      <c r="BE1640" s="55" t="str">
        <f aca="false">IF(AP1640&lt;=0,"",IF(BY1640="Aussen","Aussenlager",IF(BY1640="-","Nicht im Lift",IF(AU1640&gt;=1,"Lift",IF(AU1640&lt;=0,"Aussenlager","teilweise")))))</f>
        <v>Aussenlager</v>
      </c>
      <c r="BF1640" s="55" t="str">
        <f aca="false">IF(AX1640&lt;=0,"",IF(BY1640="Aussen","Aussenlager",IF(BY1640="-","Nicht im Lift",IF(BC1640&gt;=1,"Lift",IF(BC1640&lt;=0,"Aussenlager","teilweise")))))</f>
        <v>Aussenlager</v>
      </c>
      <c r="BG1640" s="55" t="str">
        <f aca="false">IF(A1640="","",IF(BP1640=1,"Neu; ","")&amp;IF(AND(BP1640=0,BK1640&lt;0),"negativer Bestand (Export "&amp;BK1640&amp;"); ","")&amp;IF(J1640&lt;=0,"Kein Verbrauch; ","")&amp;IF(CH1640&gt;0,"Lift "&amp;W1640&amp;" lt. Liftbericht (Fach "&amp;X1640&amp;" Stk); ",IF(BU1640=1,"Gebinde geschätzt ("&amp;T1640&amp;"); ",IF(BT1640=1,"Lose – Tablare geschätzt; ","")))&amp;IF(H1640&gt;AR1640,"Überbestand "&amp;ROUND(H1640-AR1640,0)&amp;" Stk / CHF "&amp;ROUND((H1640-AR1640)*G1640,0)&amp;"; ","")&amp;IF(AND(CA1640=1,CB1640&lt;CC1640),"MAX &lt; MB+LG; ","")&amp;IF(AND(CG1640&gt;0,CF1640*10&gt;CG1640),"zu hoch für Tablar; ","")&amp;IF(AND(BP1640=0,OR(CA1640=1,AA1640&lt;&gt;"",U1640&lt;&gt;"",V1640&lt;&gt;"",AB1640&lt;&gt;"")),"manuell übersteuert; ","")&amp;IF(AND(BT1640=0,R1640=0),"Gebinde unbekannt / Stellmass fehlt; ","")&amp;IF(AND(BT1640=0,N(V1640)&lt;=0,N(Q1640)&lt;=0),"Menge pro Gebinde fehlt (Ist = 1 Gebinde); ","")&amp;BO1640)</f>
        <v>Kein Verbrauch; Gebinde geschätzt (Mittel); Menge pro Gebinde fehlt (Ist = 1 Gebinde); nur im Artikelstamm (Bestand 23.06.2026)</v>
      </c>
      <c r="BH1640" s="55"/>
      <c r="BI1640" s="55"/>
      <c r="BJ1640" s="62"/>
      <c r="BK1640" s="57" t="n">
        <v>53</v>
      </c>
      <c r="BL1640" s="57" t="n">
        <v>0</v>
      </c>
      <c r="BM1640" s="56" t="n">
        <v>0</v>
      </c>
      <c r="BN1640" s="57" t="n">
        <v>0</v>
      </c>
      <c r="BO1640" s="55" t="s">
        <v>2575</v>
      </c>
      <c r="BP1640" s="60" t="n">
        <v>0</v>
      </c>
      <c r="BQ1640" s="60" t="n">
        <v>1640</v>
      </c>
      <c r="BR1640" s="55" t="str">
        <f aca="false">IF(U1640&lt;&gt;"",UPPER(TRIM(U1640)),IF(BU1640=1,UPPER(VLOOKUP(T1640,Parameter!$I$27:$K$29,2,0)),IF(P1640="","LOSE",P1640)))</f>
        <v>S61</v>
      </c>
      <c r="BS1640" s="57" t="n">
        <f aca="false">IF(BR1640="LOSE",1,IF(N(V1640)&gt;0,V1640,IF(BU1640=1,MAX(1,N(VLOOKUP(T1640,Parameter!$I$27:$K$29,3,0)),H1640,N(N1640)),IF(N(Q1640)&gt;0,Q1640,MAX(1,H1640)))))</f>
        <v>53</v>
      </c>
      <c r="BT1640" s="60" t="n">
        <f aca="false">IF(BR1640="LOSE",1,0)</f>
        <v>0</v>
      </c>
      <c r="BU1640" s="60" t="n">
        <f aca="false">IF(AND(U1640="",OR(P1640="",P1640="LOSE"),T1640&lt;&gt;"",N(S1640)&lt;=0,ISNUMBER(MATCH(T1640,Parameter!$I$27:$I$29,0))),1,0)</f>
        <v>1</v>
      </c>
      <c r="BV1640" s="55" t="n">
        <f aca="false">IF(AND(Parameter!$B$19="Ja",E1640&lt;&gt;"",ISNUMBER(MATCH(E1640,Parameter!$I$35:$I$52,0))),VLOOKUP(E1640,Parameter!$I$35:$J$52,2,0),IFERROR(VLOOKUP(D1640,Parameter!$A$35:$C$64,2,0),"Nein"))</f>
        <v>1</v>
      </c>
      <c r="BW1640" s="59" t="n">
        <f aca="false">IF(BT1640=0,0,IF(N(S1640)&gt;0,S1640,IFERROR(VLOOKUP(D1640,Parameter!$A$35:$C$64,3,0)+0,0)))</f>
        <v>0</v>
      </c>
      <c r="BX1640" s="55" t="n">
        <f aca="false">IF(AA1640&lt;&gt;"",AA1640,Z1640)</f>
        <v>1</v>
      </c>
      <c r="BY1640" s="55" t="str">
        <f aca="false">IF(BX1640=1,"L1",IF(OR(BX1640=2,BX1640=3),"L23",IF(BX1640="Aussen","Aussen","-")))</f>
        <v>L1</v>
      </c>
      <c r="BZ1640" s="66" t="n">
        <f aca="false">IF(N(AB1640)&gt;0,AB1640,0)</f>
        <v>0</v>
      </c>
      <c r="CA1640" s="60" t="n">
        <f aca="false">IF(ISNUMBER(AE1640),1,0)</f>
        <v>0</v>
      </c>
      <c r="CB1640" s="57" t="n">
        <f aca="false">N(AE1640)</f>
        <v>0</v>
      </c>
      <c r="CC1640" s="57" t="n">
        <f aca="false">N(M1640)+N(N1640)</f>
        <v>25</v>
      </c>
      <c r="CD1640" s="57" t="n">
        <f aca="false">ROUNDUP(H1640/BS1640,0)</f>
        <v>1</v>
      </c>
      <c r="CE1640" s="57" t="n">
        <f aca="false">ROUNDUP(CB1640/BS1640,0)</f>
        <v>0</v>
      </c>
      <c r="CF1640" s="60" t="n">
        <f aca="false">IF(BT1640=1,0,IFERROR(VLOOKUP(BR1640,'Gebinde-Kategorie'!$A$5:$M$45,5,0)+0,0))</f>
        <v>11</v>
      </c>
      <c r="CG1640" s="60" t="n">
        <f aca="false">IFERROR(IF(OR(BX1640=1,BX1640=2,BX1640=3),N(INDEX(Parameter!$I$5:$I$7,BX1640)),0),0)</f>
        <v>0</v>
      </c>
      <c r="CH1640" s="59" t="n">
        <f aca="false">IF(AND(Parameter!$B$21="Ja",ISNUMBER(W1640),N(X1640)&gt;0),IFERROR(N(INDEX(Parameter!$L$5:$L$7,W1640))*INDEX(Parameter!$E$5:$E$7,W1640)*X1640/SUMIFS($X$7:$X$1843,$W$7:$W$1843,W1640),0),0)</f>
        <v>0</v>
      </c>
    </row>
    <row r="1641" customFormat="false" ht="15" hidden="false" customHeight="false" outlineLevel="0" collapsed="false">
      <c r="A1641" s="55" t="s">
        <v>2854</v>
      </c>
      <c r="B1641" s="55" t="s">
        <v>2855</v>
      </c>
      <c r="C1641" s="55" t="s">
        <v>167</v>
      </c>
      <c r="D1641" s="55" t="s">
        <v>173</v>
      </c>
      <c r="E1641" s="55" t="s">
        <v>166</v>
      </c>
      <c r="F1641" s="55"/>
      <c r="G1641" s="56" t="n">
        <v>242.48</v>
      </c>
      <c r="H1641" s="57" t="n">
        <f aca="false">MAX(0,IF(AND(Parameter!$B$21="Ja",ISNUMBER(Y1641)),Y1641,IF(Parameter!$B$20="Jahresanfang 2025 + Export",BL1641+BK1641,BK1641)))</f>
        <v>48</v>
      </c>
      <c r="I1641" s="57" t="n">
        <f aca="false">H1641*G1641</f>
        <v>11639.04</v>
      </c>
      <c r="J1641" s="57" t="n">
        <f aca="false">BN1641*Parameter!$B$18</f>
        <v>0</v>
      </c>
      <c r="K1641" s="58"/>
      <c r="L1641" s="59"/>
      <c r="M1641" s="57" t="n">
        <v>0</v>
      </c>
      <c r="N1641" s="57" t="n">
        <v>15</v>
      </c>
      <c r="O1641" s="60" t="n">
        <v>105</v>
      </c>
      <c r="P1641" s="55" t="s">
        <v>168</v>
      </c>
      <c r="Q1641" s="57"/>
      <c r="R1641" s="60" t="n">
        <f aca="false">IF(BT1641=1,0,IFERROR(VLOOKUP(BR1641,'Gebinde-Kategorie'!$A$5:$M$45,13,0)+0,0))</f>
        <v>12</v>
      </c>
      <c r="S1641" s="61"/>
      <c r="T1641" s="62" t="s">
        <v>179</v>
      </c>
      <c r="U1641" s="62"/>
      <c r="V1641" s="62"/>
      <c r="W1641" s="55"/>
      <c r="X1641" s="57"/>
      <c r="Y1641" s="57"/>
      <c r="Z1641" s="55" t="n">
        <f aca="false">IF(A1641="","",IF(AND(Parameter!$B$21="Ja",ISNUMBER(W1641)),W1641,IF(BV1641="2+3",IF(ISNUMBER(SEARCH("grosser Artikel",BO1641)),2,IFERROR(VLOOKUP(BR1641,Parameter!$F$35:$G$64,2,0),2)),IF(OR(BV1641="Nein",BV1641=""),"-",BV1641))))</f>
        <v>1</v>
      </c>
      <c r="AA1641" s="62"/>
      <c r="AB1641" s="63"/>
      <c r="AC1641" s="57" t="n">
        <f aca="false">AR1641</f>
        <v>48</v>
      </c>
      <c r="AD1641" s="57" t="n">
        <f aca="false">MAX(AR1641,H1641)</f>
        <v>48</v>
      </c>
      <c r="AE1641" s="64"/>
      <c r="AF1641" s="57" t="n">
        <f aca="false">IF(LEFT(Cockpit!$C$5,1)="A",H1641,IF(CA1641=1,CB1641,IF(LEFT(Cockpit!$C$5,1)="B",AJ1641,MAX(AJ1641,H1641))))</f>
        <v>48</v>
      </c>
      <c r="AG1641" s="57" t="n">
        <f aca="false">IF(BT1641=1,0,ROUNDUP(AF1641/BS1641,0))</f>
        <v>1</v>
      </c>
      <c r="AH1641" s="59" t="n">
        <f aca="false">IF(CH1641&gt;0,CH1641*MAX(1,AF1641/X1641),IF(BT1641=1,IF(AF1641&lt;=0,0,BW1641*MAX(1,IF(H1641&gt;0,AF1641/H1641,1))),IF(R1641&gt;0,AG1641/R1641,0))/MAX(0.1,N(Parameter!$M$21)))</f>
        <v>0.0833333333333333</v>
      </c>
      <c r="AI1641" s="57" t="n">
        <f aca="false">AF1641*G1641</f>
        <v>11639.04</v>
      </c>
      <c r="AJ1641" s="57" t="n">
        <f aca="false">ROUNDUP(MAX(J1641/IF(BZ1641&gt;0,BZ1641,MAX(0.1,N(Cockpit!$C$6))),CC1641)/BS1641,0)*BS1641</f>
        <v>48</v>
      </c>
      <c r="AK1641" s="58" t="n">
        <f aca="false">IF(AH1641&gt;0,J1641/AH1641,-1)</f>
        <v>0</v>
      </c>
      <c r="AL1641" s="58" t="n">
        <f aca="false">IF(AND(OR(BY1641="L1",BY1641="L23"),AH1641&gt;0),SUMIFS($AH$7:$AH$1843,$BY$7:$BY$1843,BY1641,$AK$7:$AK$1843,"&gt;"&amp;AK1641)+SUMIFS($AH$7:$AH$1843,$BY$7:$BY$1843,BY1641,$AK$7:$AK$1843,AK1641,$BQ$7:$BQ$1843,"&lt;="&amp;BQ1641),"")</f>
        <v>52.9823296739288</v>
      </c>
      <c r="AM1641" s="65" t="n">
        <f aca="false">IF(AL1641="",0,MAX(0,MIN(1,(IF(BY1641="L1",Parameter!$E$5,Parameter!$E$6+Parameter!$E$7)-(AL1641-AH1641))/AH1641)))</f>
        <v>0</v>
      </c>
      <c r="AN1641" s="57" t="n">
        <f aca="false">IF(LEFT(Cockpit!$I$5,1)="A",H1641,IF(CA1641=1,CB1641,IF(LEFT(Cockpit!$I$5,1)="B",AR1641,MAX(AR1641,H1641))))</f>
        <v>48</v>
      </c>
      <c r="AO1641" s="57" t="n">
        <f aca="false">IF(BT1641=1,0,ROUNDUP(AN1641/BS1641,0))</f>
        <v>1</v>
      </c>
      <c r="AP1641" s="59" t="n">
        <f aca="false">IF(CH1641&gt;0,CH1641*MAX(1,AN1641/X1641),IF(BT1641=1,IF(AN1641&lt;=0,0,BW1641*MAX(1,IF(H1641&gt;0,AN1641/H1641,1))),IF(R1641&gt;0,AO1641/R1641,0))/MAX(0.1,N(Parameter!$M$21)))</f>
        <v>0.0833333333333333</v>
      </c>
      <c r="AQ1641" s="57" t="n">
        <f aca="false">AN1641*G1641</f>
        <v>11639.04</v>
      </c>
      <c r="AR1641" s="57" t="n">
        <f aca="false">ROUNDUP(MAX(J1641/IF(BZ1641&gt;0,BZ1641,MAX(0.1,N(Cockpit!$I$6))),CC1641)/BS1641,0)*BS1641</f>
        <v>48</v>
      </c>
      <c r="AS1641" s="58" t="n">
        <f aca="false">IF(AP1641&gt;0,J1641/AP1641,-1)</f>
        <v>0</v>
      </c>
      <c r="AT1641" s="58" t="n">
        <f aca="false">IF(AND(OR(BY1641="L1",BY1641="L23"),AP1641&gt;0),SUMIFS($AP$7:$AP$1843,$BY$7:$BY$1843,BY1641,$AS$7:$AS$1843,"&gt;"&amp;AS1641)+SUMIFS($AP$7:$AP$1843,$BY$7:$BY$1843,BY1641,$AS$7:$AS$1843,AS1641,$BQ$7:$BQ$1843,"&lt;="&amp;BQ1641),"")</f>
        <v>68.6618892856918</v>
      </c>
      <c r="AU1641" s="65" t="n">
        <f aca="false">IF(AT1641="",0,MAX(0,MIN(1,(IF(BY1641="L1",Parameter!$E$5,Parameter!$E$6+Parameter!$E$7)-(AT1641-AP1641))/AP1641)))</f>
        <v>0</v>
      </c>
      <c r="AV1641" s="57" t="n">
        <f aca="false">IF(LEFT(Cockpit!$O$5,1)="A",H1641,IF(CA1641=1,CB1641,IF(LEFT(Cockpit!$O$5,1)="B",AZ1641,MAX(AZ1641,H1641))))</f>
        <v>48</v>
      </c>
      <c r="AW1641" s="57" t="n">
        <f aca="false">IF(BT1641=1,0,ROUNDUP(AV1641/BS1641,0))</f>
        <v>1</v>
      </c>
      <c r="AX1641" s="59" t="n">
        <f aca="false">IF(CH1641&gt;0,CH1641*MAX(1,AV1641/X1641),IF(BT1641=1,IF(AV1641&lt;=0,0,BW1641*MAX(1,IF(H1641&gt;0,AV1641/H1641,1))),IF(R1641&gt;0,AW1641/R1641,0))/MAX(0.1,N(Parameter!$M$21)))</f>
        <v>0.0833333333333333</v>
      </c>
      <c r="AY1641" s="57" t="n">
        <f aca="false">AV1641*G1641</f>
        <v>11639.04</v>
      </c>
      <c r="AZ1641" s="57" t="n">
        <f aca="false">ROUNDUP(MAX(J1641/IF(BZ1641&gt;0,BZ1641,MAX(0.1,N(Cockpit!$O$6))),CC1641)/BS1641,0)*BS1641</f>
        <v>48</v>
      </c>
      <c r="BA1641" s="58" t="n">
        <f aca="false">IF(AX1641&gt;0,J1641/AX1641,-1)</f>
        <v>0</v>
      </c>
      <c r="BB1641" s="58" t="n">
        <f aca="false">IF(AND(OR(BY1641="L1",BY1641="L23"),AX1641&gt;0),SUMIFS($AX$7:$AX$1843,$BY$7:$BY$1843,BY1641,$BA$7:$BA$1843,"&gt;"&amp;BA1641)+SUMIFS($AX$7:$AX$1843,$BY$7:$BY$1843,BY1641,$BA$7:$BA$1843,BA1641,$BQ$7:$BQ$1843,"&lt;="&amp;BQ1641),"")</f>
        <v>62.3287008169101</v>
      </c>
      <c r="BC1641" s="65" t="n">
        <f aca="false">IF(BB1641="",0,MAX(0,MIN(1,(IF(BY1641="L1",Parameter!$E$5,Parameter!$E$6+Parameter!$E$7)-(BB1641-AX1641))/AX1641)))</f>
        <v>0</v>
      </c>
      <c r="BD1641" s="55" t="str">
        <f aca="false">IF(AH1641&lt;=0,"",IF(BY1641="Aussen","Aussenlager",IF(BY1641="-","Nicht im Lift",IF(AM1641&gt;=1,"Lift",IF(AM1641&lt;=0,"Aussenlager","teilweise")))))</f>
        <v>Aussenlager</v>
      </c>
      <c r="BE1641" s="55" t="str">
        <f aca="false">IF(AP1641&lt;=0,"",IF(BY1641="Aussen","Aussenlager",IF(BY1641="-","Nicht im Lift",IF(AU1641&gt;=1,"Lift",IF(AU1641&lt;=0,"Aussenlager","teilweise")))))</f>
        <v>Aussenlager</v>
      </c>
      <c r="BF1641" s="55" t="str">
        <f aca="false">IF(AX1641&lt;=0,"",IF(BY1641="Aussen","Aussenlager",IF(BY1641="-","Nicht im Lift",IF(BC1641&gt;=1,"Lift",IF(BC1641&lt;=0,"Aussenlager","teilweise")))))</f>
        <v>Aussenlager</v>
      </c>
      <c r="BG1641" s="55" t="str">
        <f aca="false">IF(A1641="","",IF(BP1641=1,"Neu; ","")&amp;IF(AND(BP1641=0,BK1641&lt;0),"negativer Bestand (Export "&amp;BK1641&amp;"); ","")&amp;IF(J1641&lt;=0,"Kein Verbrauch; ","")&amp;IF(CH1641&gt;0,"Lift "&amp;W1641&amp;" lt. Liftbericht (Fach "&amp;X1641&amp;" Stk); ",IF(BU1641=1,"Gebinde geschätzt ("&amp;T1641&amp;"); ",IF(BT1641=1,"Lose – Tablare geschätzt; ","")))&amp;IF(H1641&gt;AR1641,"Überbestand "&amp;ROUND(H1641-AR1641,0)&amp;" Stk / CHF "&amp;ROUND((H1641-AR1641)*G1641,0)&amp;"; ","")&amp;IF(AND(CA1641=1,CB1641&lt;CC1641),"MAX &lt; MB+LG; ","")&amp;IF(AND(CG1641&gt;0,CF1641*10&gt;CG1641),"zu hoch für Tablar; ","")&amp;IF(AND(BP1641=0,OR(CA1641=1,AA1641&lt;&gt;"",U1641&lt;&gt;"",V1641&lt;&gt;"",AB1641&lt;&gt;"")),"manuell übersteuert; ","")&amp;IF(AND(BT1641=0,R1641=0),"Gebinde unbekannt / Stellmass fehlt; ","")&amp;IF(AND(BT1641=0,N(V1641)&lt;=0,N(Q1641)&lt;=0),"Menge pro Gebinde fehlt (Ist = 1 Gebinde); ","")&amp;BO1641)</f>
        <v>Kein Verbrauch; Gebinde geschätzt (Mittel); Menge pro Gebinde fehlt (Ist = 1 Gebinde); nur im Artikelstamm (Bestand 23.06.2026)</v>
      </c>
      <c r="BH1641" s="55"/>
      <c r="BI1641" s="55"/>
      <c r="BJ1641" s="62"/>
      <c r="BK1641" s="57" t="n">
        <v>48</v>
      </c>
      <c r="BL1641" s="57" t="n">
        <v>0</v>
      </c>
      <c r="BM1641" s="56" t="n">
        <v>0</v>
      </c>
      <c r="BN1641" s="57" t="n">
        <v>0</v>
      </c>
      <c r="BO1641" s="55" t="s">
        <v>2575</v>
      </c>
      <c r="BP1641" s="60" t="n">
        <v>0</v>
      </c>
      <c r="BQ1641" s="60" t="n">
        <v>1641</v>
      </c>
      <c r="BR1641" s="55" t="str">
        <f aca="false">IF(U1641&lt;&gt;"",UPPER(TRIM(U1641)),IF(BU1641=1,UPPER(VLOOKUP(T1641,Parameter!$I$27:$K$29,2,0)),IF(P1641="","LOSE",P1641)))</f>
        <v>S61</v>
      </c>
      <c r="BS1641" s="57" t="n">
        <f aca="false">IF(BR1641="LOSE",1,IF(N(V1641)&gt;0,V1641,IF(BU1641=1,MAX(1,N(VLOOKUP(T1641,Parameter!$I$27:$K$29,3,0)),H1641,N(N1641)),IF(N(Q1641)&gt;0,Q1641,MAX(1,H1641)))))</f>
        <v>48</v>
      </c>
      <c r="BT1641" s="60" t="n">
        <f aca="false">IF(BR1641="LOSE",1,0)</f>
        <v>0</v>
      </c>
      <c r="BU1641" s="60" t="n">
        <f aca="false">IF(AND(U1641="",OR(P1641="",P1641="LOSE"),T1641&lt;&gt;"",N(S1641)&lt;=0,ISNUMBER(MATCH(T1641,Parameter!$I$27:$I$29,0))),1,0)</f>
        <v>1</v>
      </c>
      <c r="BV1641" s="55" t="n">
        <f aca="false">IF(AND(Parameter!$B$19="Ja",E1641&lt;&gt;"",ISNUMBER(MATCH(E1641,Parameter!$I$35:$I$52,0))),VLOOKUP(E1641,Parameter!$I$35:$J$52,2,0),IFERROR(VLOOKUP(D1641,Parameter!$A$35:$C$64,2,0),"Nein"))</f>
        <v>1</v>
      </c>
      <c r="BW1641" s="59" t="n">
        <f aca="false">IF(BT1641=0,0,IF(N(S1641)&gt;0,S1641,IFERROR(VLOOKUP(D1641,Parameter!$A$35:$C$64,3,0)+0,0)))</f>
        <v>0</v>
      </c>
      <c r="BX1641" s="55" t="n">
        <f aca="false">IF(AA1641&lt;&gt;"",AA1641,Z1641)</f>
        <v>1</v>
      </c>
      <c r="BY1641" s="55" t="str">
        <f aca="false">IF(BX1641=1,"L1",IF(OR(BX1641=2,BX1641=3),"L23",IF(BX1641="Aussen","Aussen","-")))</f>
        <v>L1</v>
      </c>
      <c r="BZ1641" s="66" t="n">
        <f aca="false">IF(N(AB1641)&gt;0,AB1641,0)</f>
        <v>0</v>
      </c>
      <c r="CA1641" s="60" t="n">
        <f aca="false">IF(ISNUMBER(AE1641),1,0)</f>
        <v>0</v>
      </c>
      <c r="CB1641" s="57" t="n">
        <f aca="false">N(AE1641)</f>
        <v>0</v>
      </c>
      <c r="CC1641" s="57" t="n">
        <f aca="false">N(M1641)+N(N1641)</f>
        <v>15</v>
      </c>
      <c r="CD1641" s="57" t="n">
        <f aca="false">ROUNDUP(H1641/BS1641,0)</f>
        <v>1</v>
      </c>
      <c r="CE1641" s="57" t="n">
        <f aca="false">ROUNDUP(CB1641/BS1641,0)</f>
        <v>0</v>
      </c>
      <c r="CF1641" s="60" t="n">
        <f aca="false">IF(BT1641=1,0,IFERROR(VLOOKUP(BR1641,'Gebinde-Kategorie'!$A$5:$M$45,5,0)+0,0))</f>
        <v>11</v>
      </c>
      <c r="CG1641" s="60" t="n">
        <f aca="false">IFERROR(IF(OR(BX1641=1,BX1641=2,BX1641=3),N(INDEX(Parameter!$I$5:$I$7,BX1641)),0),0)</f>
        <v>0</v>
      </c>
      <c r="CH1641" s="59" t="n">
        <f aca="false">IF(AND(Parameter!$B$21="Ja",ISNUMBER(W1641),N(X1641)&gt;0),IFERROR(N(INDEX(Parameter!$L$5:$L$7,W1641))*INDEX(Parameter!$E$5:$E$7,W1641)*X1641/SUMIFS($X$7:$X$1843,$W$7:$W$1843,W1641),0),0)</f>
        <v>0</v>
      </c>
    </row>
    <row r="1642" customFormat="false" ht="15" hidden="false" customHeight="false" outlineLevel="0" collapsed="false">
      <c r="A1642" s="55" t="s">
        <v>2856</v>
      </c>
      <c r="B1642" s="55" t="s">
        <v>2857</v>
      </c>
      <c r="C1642" s="55" t="s">
        <v>164</v>
      </c>
      <c r="D1642" s="55" t="s">
        <v>173</v>
      </c>
      <c r="E1642" s="55"/>
      <c r="F1642" s="55"/>
      <c r="G1642" s="56" t="n">
        <v>11054.86</v>
      </c>
      <c r="H1642" s="57" t="n">
        <f aca="false">MAX(0,IF(AND(Parameter!$B$21="Ja",ISNUMBER(Y1642)),Y1642,IF(Parameter!$B$20="Jahresanfang 2025 + Export",BL1642+BK1642,BK1642)))</f>
        <v>1</v>
      </c>
      <c r="I1642" s="57" t="n">
        <f aca="false">H1642*G1642</f>
        <v>11054.86</v>
      </c>
      <c r="J1642" s="57" t="n">
        <f aca="false">BN1642*Parameter!$B$18</f>
        <v>0</v>
      </c>
      <c r="K1642" s="58"/>
      <c r="L1642" s="59"/>
      <c r="M1642" s="57" t="n">
        <v>0</v>
      </c>
      <c r="N1642" s="57" t="n">
        <v>1</v>
      </c>
      <c r="O1642" s="60" t="n">
        <v>0</v>
      </c>
      <c r="P1642" s="55" t="s">
        <v>168</v>
      </c>
      <c r="Q1642" s="57"/>
      <c r="R1642" s="60" t="n">
        <f aca="false">IF(BT1642=1,0,IFERROR(VLOOKUP(BR1642,'Gebinde-Kategorie'!$A$5:$M$45,13,0)+0,0))</f>
        <v>12</v>
      </c>
      <c r="S1642" s="61"/>
      <c r="T1642" s="62" t="s">
        <v>179</v>
      </c>
      <c r="U1642" s="62"/>
      <c r="V1642" s="62"/>
      <c r="W1642" s="55"/>
      <c r="X1642" s="57"/>
      <c r="Y1642" s="57"/>
      <c r="Z1642" s="55" t="n">
        <f aca="false">IF(A1642="","",IF(AND(Parameter!$B$21="Ja",ISNUMBER(W1642)),W1642,IF(BV1642="2+3",IF(ISNUMBER(SEARCH("grosser Artikel",BO1642)),2,IFERROR(VLOOKUP(BR1642,Parameter!$F$35:$G$64,2,0),2)),IF(OR(BV1642="Nein",BV1642=""),"-",BV1642))))</f>
        <v>2</v>
      </c>
      <c r="AA1642" s="62"/>
      <c r="AB1642" s="63"/>
      <c r="AC1642" s="57" t="n">
        <f aca="false">AR1642</f>
        <v>4</v>
      </c>
      <c r="AD1642" s="57" t="n">
        <f aca="false">MAX(AR1642,H1642)</f>
        <v>4</v>
      </c>
      <c r="AE1642" s="64"/>
      <c r="AF1642" s="57" t="n">
        <f aca="false">IF(LEFT(Cockpit!$C$5,1)="A",H1642,IF(CA1642=1,CB1642,IF(LEFT(Cockpit!$C$5,1)="B",AJ1642,MAX(AJ1642,H1642))))</f>
        <v>1</v>
      </c>
      <c r="AG1642" s="57" t="n">
        <f aca="false">IF(BT1642=1,0,ROUNDUP(AF1642/BS1642,0))</f>
        <v>1</v>
      </c>
      <c r="AH1642" s="59" t="n">
        <f aca="false">IF(CH1642&gt;0,CH1642*MAX(1,AF1642/X1642),IF(BT1642=1,IF(AF1642&lt;=0,0,BW1642*MAX(1,IF(H1642&gt;0,AF1642/H1642,1))),IF(R1642&gt;0,AG1642/R1642,0))/MAX(0.1,N(Parameter!$M$21)))</f>
        <v>0.0833333333333333</v>
      </c>
      <c r="AI1642" s="57" t="n">
        <f aca="false">AF1642*G1642</f>
        <v>11054.86</v>
      </c>
      <c r="AJ1642" s="57" t="n">
        <f aca="false">ROUNDUP(MAX(J1642/IF(BZ1642&gt;0,BZ1642,MAX(0.1,N(Cockpit!$C$6))),CC1642)/BS1642,0)*BS1642</f>
        <v>4</v>
      </c>
      <c r="AK1642" s="58" t="n">
        <f aca="false">IF(AH1642&gt;0,J1642/AH1642,-1)</f>
        <v>0</v>
      </c>
      <c r="AL1642" s="58" t="n">
        <f aca="false">IF(AND(OR(BY1642="L1",BY1642="L23"),AH1642&gt;0),SUMIFS($AH$7:$AH$1843,$BY$7:$BY$1843,BY1642,$AK$7:$AK$1843,"&gt;"&amp;AK1642)+SUMIFS($AH$7:$AH$1843,$BY$7:$BY$1843,BY1642,$AK$7:$AK$1843,AK1642,$BQ$7:$BQ$1843,"&lt;="&amp;BQ1642),"")</f>
        <v>88.0460710786798</v>
      </c>
      <c r="AM1642" s="65" t="n">
        <f aca="false">IF(AL1642="",0,MAX(0,MIN(1,(IF(BY1642="L1",Parameter!$E$5,Parameter!$E$6+Parameter!$E$7)-(AL1642-AH1642))/AH1642)))</f>
        <v>1</v>
      </c>
      <c r="AN1642" s="57" t="n">
        <f aca="false">IF(LEFT(Cockpit!$I$5,1)="A",H1642,IF(CA1642=1,CB1642,IF(LEFT(Cockpit!$I$5,1)="B",AR1642,MAX(AR1642,H1642))))</f>
        <v>4</v>
      </c>
      <c r="AO1642" s="57" t="n">
        <f aca="false">IF(BT1642=1,0,ROUNDUP(AN1642/BS1642,0))</f>
        <v>1</v>
      </c>
      <c r="AP1642" s="59" t="n">
        <f aca="false">IF(CH1642&gt;0,CH1642*MAX(1,AN1642/X1642),IF(BT1642=1,IF(AN1642&lt;=0,0,BW1642*MAX(1,IF(H1642&gt;0,AN1642/H1642,1))),IF(R1642&gt;0,AO1642/R1642,0))/MAX(0.1,N(Parameter!$M$21)))</f>
        <v>0.0833333333333333</v>
      </c>
      <c r="AQ1642" s="57" t="n">
        <f aca="false">AN1642*G1642</f>
        <v>44219.44</v>
      </c>
      <c r="AR1642" s="57" t="n">
        <f aca="false">ROUNDUP(MAX(J1642/IF(BZ1642&gt;0,BZ1642,MAX(0.1,N(Cockpit!$I$6))),CC1642)/BS1642,0)*BS1642</f>
        <v>4</v>
      </c>
      <c r="AS1642" s="58" t="n">
        <f aca="false">IF(AP1642&gt;0,J1642/AP1642,-1)</f>
        <v>0</v>
      </c>
      <c r="AT1642" s="58" t="n">
        <f aca="false">IF(AND(OR(BY1642="L1",BY1642="L23"),AP1642&gt;0),SUMIFS($AP$7:$AP$1843,$BY$7:$BY$1843,BY1642,$AS$7:$AS$1843,"&gt;"&amp;AS1642)+SUMIFS($AP$7:$AP$1843,$BY$7:$BY$1843,BY1642,$AS$7:$AS$1843,AS1642,$BQ$7:$BQ$1843,"&lt;="&amp;BQ1642),"")</f>
        <v>133.298207830817</v>
      </c>
      <c r="AU1642" s="65" t="n">
        <f aca="false">IF(AT1642="",0,MAX(0,MIN(1,(IF(BY1642="L1",Parameter!$E$5,Parameter!$E$6+Parameter!$E$7)-(AT1642-AP1642))/AP1642)))</f>
        <v>0</v>
      </c>
      <c r="AV1642" s="57" t="n">
        <f aca="false">IF(LEFT(Cockpit!$O$5,1)="A",H1642,IF(CA1642=1,CB1642,IF(LEFT(Cockpit!$O$5,1)="B",AZ1642,MAX(AZ1642,H1642))))</f>
        <v>4</v>
      </c>
      <c r="AW1642" s="57" t="n">
        <f aca="false">IF(BT1642=1,0,ROUNDUP(AV1642/BS1642,0))</f>
        <v>1</v>
      </c>
      <c r="AX1642" s="59" t="n">
        <f aca="false">IF(CH1642&gt;0,CH1642*MAX(1,AV1642/X1642),IF(BT1642=1,IF(AV1642&lt;=0,0,BW1642*MAX(1,IF(H1642&gt;0,AV1642/H1642,1))),IF(R1642&gt;0,AW1642/R1642,0))/MAX(0.1,N(Parameter!$M$21)))</f>
        <v>0.0833333333333333</v>
      </c>
      <c r="AY1642" s="57" t="n">
        <f aca="false">AV1642*G1642</f>
        <v>44219.44</v>
      </c>
      <c r="AZ1642" s="57" t="n">
        <f aca="false">ROUNDUP(MAX(J1642/IF(BZ1642&gt;0,BZ1642,MAX(0.1,N(Cockpit!$O$6))),CC1642)/BS1642,0)*BS1642</f>
        <v>4</v>
      </c>
      <c r="BA1642" s="58" t="n">
        <f aca="false">IF(AX1642&gt;0,J1642/AX1642,-1)</f>
        <v>0</v>
      </c>
      <c r="BB1642" s="58" t="n">
        <f aca="false">IF(AND(OR(BY1642="L1",BY1642="L23"),AX1642&gt;0),SUMIFS($AX$7:$AX$1843,$BY$7:$BY$1843,BY1642,$BA$7:$BA$1843,"&gt;"&amp;BA1642)+SUMIFS($AX$7:$AX$1843,$BY$7:$BY$1843,BY1642,$BA$7:$BA$1843,BA1642,$BQ$7:$BQ$1843,"&lt;="&amp;BQ1642),"")</f>
        <v>124.128044660653</v>
      </c>
      <c r="BC1642" s="65" t="n">
        <f aca="false">IF(BB1642="",0,MAX(0,MIN(1,(IF(BY1642="L1",Parameter!$E$5,Parameter!$E$6+Parameter!$E$7)-(BB1642-AX1642))/AX1642)))</f>
        <v>0</v>
      </c>
      <c r="BD1642" s="55" t="str">
        <f aca="false">IF(AH1642&lt;=0,"",IF(BY1642="Aussen","Aussenlager",IF(BY1642="-","Nicht im Lift",IF(AM1642&gt;=1,"Lift",IF(AM1642&lt;=0,"Aussenlager","teilweise")))))</f>
        <v>Lift</v>
      </c>
      <c r="BE1642" s="55" t="str">
        <f aca="false">IF(AP1642&lt;=0,"",IF(BY1642="Aussen","Aussenlager",IF(BY1642="-","Nicht im Lift",IF(AU1642&gt;=1,"Lift",IF(AU1642&lt;=0,"Aussenlager","teilweise")))))</f>
        <v>Aussenlager</v>
      </c>
      <c r="BF1642" s="55" t="str">
        <f aca="false">IF(AX1642&lt;=0,"",IF(BY1642="Aussen","Aussenlager",IF(BY1642="-","Nicht im Lift",IF(BC1642&gt;=1,"Lift",IF(BC1642&lt;=0,"Aussenlager","teilweise")))))</f>
        <v>Aussenlager</v>
      </c>
      <c r="BG1642" s="55" t="str">
        <f aca="false">IF(A1642="","",IF(BP1642=1,"Neu; ","")&amp;IF(AND(BP1642=0,BK1642&lt;0),"negativer Bestand (Export "&amp;BK1642&amp;"); ","")&amp;IF(J1642&lt;=0,"Kein Verbrauch; ","")&amp;IF(CH1642&gt;0,"Lift "&amp;W1642&amp;" lt. Liftbericht (Fach "&amp;X1642&amp;" Stk); ",IF(BU1642=1,"Gebinde geschätzt ("&amp;T1642&amp;"); ",IF(BT1642=1,"Lose – Tablare geschätzt; ","")))&amp;IF(H1642&gt;AR1642,"Überbestand "&amp;ROUND(H1642-AR1642,0)&amp;" Stk / CHF "&amp;ROUND((H1642-AR1642)*G1642,0)&amp;"; ","")&amp;IF(AND(CA1642=1,CB1642&lt;CC1642),"MAX &lt; MB+LG; ","")&amp;IF(AND(CG1642&gt;0,CF1642*10&gt;CG1642),"zu hoch für Tablar; ","")&amp;IF(AND(BP1642=0,OR(CA1642=1,AA1642&lt;&gt;"",U1642&lt;&gt;"",V1642&lt;&gt;"",AB1642&lt;&gt;"")),"manuell übersteuert; ","")&amp;IF(AND(BT1642=0,R1642=0),"Gebinde unbekannt / Stellmass fehlt; ","")&amp;IF(AND(BT1642=0,N(V1642)&lt;=0,N(Q1642)&lt;=0),"Menge pro Gebinde fehlt (Ist = 1 Gebinde); ","")&amp;BO1642)</f>
        <v>Kein Verbrauch; Gebinde geschätzt (Mittel); Menge pro Gebinde fehlt (Ist = 1 Gebinde); nur im Artikelstamm (Bestand 23.06.2026)</v>
      </c>
      <c r="BH1642" s="55"/>
      <c r="BI1642" s="55"/>
      <c r="BJ1642" s="62"/>
      <c r="BK1642" s="57" t="n">
        <v>1</v>
      </c>
      <c r="BL1642" s="57" t="n">
        <v>0</v>
      </c>
      <c r="BM1642" s="56" t="n">
        <v>0</v>
      </c>
      <c r="BN1642" s="57" t="n">
        <v>0</v>
      </c>
      <c r="BO1642" s="55" t="s">
        <v>2575</v>
      </c>
      <c r="BP1642" s="60" t="n">
        <v>0</v>
      </c>
      <c r="BQ1642" s="60" t="n">
        <v>1642</v>
      </c>
      <c r="BR1642" s="55" t="str">
        <f aca="false">IF(U1642&lt;&gt;"",UPPER(TRIM(U1642)),IF(BU1642=1,UPPER(VLOOKUP(T1642,Parameter!$I$27:$K$29,2,0)),IF(P1642="","LOSE",P1642)))</f>
        <v>S61</v>
      </c>
      <c r="BS1642" s="57" t="n">
        <f aca="false">IF(BR1642="LOSE",1,IF(N(V1642)&gt;0,V1642,IF(BU1642=1,MAX(1,N(VLOOKUP(T1642,Parameter!$I$27:$K$29,3,0)),H1642,N(N1642)),IF(N(Q1642)&gt;0,Q1642,MAX(1,H1642)))))</f>
        <v>4</v>
      </c>
      <c r="BT1642" s="60" t="n">
        <f aca="false">IF(BR1642="LOSE",1,0)</f>
        <v>0</v>
      </c>
      <c r="BU1642" s="60" t="n">
        <f aca="false">IF(AND(U1642="",OR(P1642="",P1642="LOSE"),T1642&lt;&gt;"",N(S1642)&lt;=0,ISNUMBER(MATCH(T1642,Parameter!$I$27:$I$29,0))),1,0)</f>
        <v>1</v>
      </c>
      <c r="BV1642" s="55" t="str">
        <f aca="false">IF(AND(Parameter!$B$19="Ja",E1642&lt;&gt;"",ISNUMBER(MATCH(E1642,Parameter!$I$35:$I$52,0))),VLOOKUP(E1642,Parameter!$I$35:$J$52,2,0),IFERROR(VLOOKUP(D1642,Parameter!$A$35:$C$64,2,0),"Nein"))</f>
        <v>2+3</v>
      </c>
      <c r="BW1642" s="59" t="n">
        <f aca="false">IF(BT1642=0,0,IF(N(S1642)&gt;0,S1642,IFERROR(VLOOKUP(D1642,Parameter!$A$35:$C$64,3,0)+0,0)))</f>
        <v>0</v>
      </c>
      <c r="BX1642" s="55" t="n">
        <f aca="false">IF(AA1642&lt;&gt;"",AA1642,Z1642)</f>
        <v>2</v>
      </c>
      <c r="BY1642" s="55" t="str">
        <f aca="false">IF(BX1642=1,"L1",IF(OR(BX1642=2,BX1642=3),"L23",IF(BX1642="Aussen","Aussen","-")))</f>
        <v>L23</v>
      </c>
      <c r="BZ1642" s="66" t="n">
        <f aca="false">IF(N(AB1642)&gt;0,AB1642,0)</f>
        <v>0</v>
      </c>
      <c r="CA1642" s="60" t="n">
        <f aca="false">IF(ISNUMBER(AE1642),1,0)</f>
        <v>0</v>
      </c>
      <c r="CB1642" s="57" t="n">
        <f aca="false">N(AE1642)</f>
        <v>0</v>
      </c>
      <c r="CC1642" s="57" t="n">
        <f aca="false">N(M1642)+N(N1642)</f>
        <v>1</v>
      </c>
      <c r="CD1642" s="57" t="n">
        <f aca="false">ROUNDUP(H1642/BS1642,0)</f>
        <v>1</v>
      </c>
      <c r="CE1642" s="57" t="n">
        <f aca="false">ROUNDUP(CB1642/BS1642,0)</f>
        <v>0</v>
      </c>
      <c r="CF1642" s="60" t="n">
        <f aca="false">IF(BT1642=1,0,IFERROR(VLOOKUP(BR1642,'Gebinde-Kategorie'!$A$5:$M$45,5,0)+0,0))</f>
        <v>11</v>
      </c>
      <c r="CG1642" s="60" t="n">
        <f aca="false">IFERROR(IF(OR(BX1642=1,BX1642=2,BX1642=3),N(INDEX(Parameter!$I$5:$I$7,BX1642)),0),0)</f>
        <v>0</v>
      </c>
      <c r="CH1642" s="59" t="n">
        <f aca="false">IF(AND(Parameter!$B$21="Ja",ISNUMBER(W1642),N(X1642)&gt;0),IFERROR(N(INDEX(Parameter!$L$5:$L$7,W1642))*INDEX(Parameter!$E$5:$E$7,W1642)*X1642/SUMIFS($X$7:$X$1843,$W$7:$W$1843,W1642),0),0)</f>
        <v>0</v>
      </c>
    </row>
    <row r="1643" customFormat="false" ht="15" hidden="false" customHeight="false" outlineLevel="0" collapsed="false">
      <c r="A1643" s="55" t="s">
        <v>2858</v>
      </c>
      <c r="B1643" s="55" t="s">
        <v>2384</v>
      </c>
      <c r="C1643" s="55" t="s">
        <v>167</v>
      </c>
      <c r="D1643" s="55" t="s">
        <v>173</v>
      </c>
      <c r="E1643" s="55" t="s">
        <v>185</v>
      </c>
      <c r="F1643" s="55"/>
      <c r="G1643" s="56" t="n">
        <v>2289.27</v>
      </c>
      <c r="H1643" s="57" t="n">
        <f aca="false">MAX(0,IF(AND(Parameter!$B$21="Ja",ISNUMBER(Y1643)),Y1643,IF(Parameter!$B$20="Jahresanfang 2025 + Export",BL1643+BK1643,BK1643)))</f>
        <v>3</v>
      </c>
      <c r="I1643" s="57" t="n">
        <f aca="false">H1643*G1643</f>
        <v>6867.81</v>
      </c>
      <c r="J1643" s="57" t="n">
        <f aca="false">BN1643*Parameter!$B$18</f>
        <v>0</v>
      </c>
      <c r="K1643" s="58"/>
      <c r="L1643" s="59"/>
      <c r="M1643" s="57" t="n">
        <v>0</v>
      </c>
      <c r="N1643" s="57" t="n">
        <v>6</v>
      </c>
      <c r="O1643" s="60" t="n">
        <v>70</v>
      </c>
      <c r="P1643" s="55" t="s">
        <v>168</v>
      </c>
      <c r="Q1643" s="57"/>
      <c r="R1643" s="60" t="n">
        <f aca="false">IF(BT1643=1,0,IFERROR(VLOOKUP(BR1643,'Gebinde-Kategorie'!$A$5:$M$45,13,0)+0,0))</f>
        <v>0</v>
      </c>
      <c r="S1643" s="61"/>
      <c r="T1643" s="62"/>
      <c r="U1643" s="62"/>
      <c r="V1643" s="62"/>
      <c r="W1643" s="55" t="n">
        <v>1</v>
      </c>
      <c r="X1643" s="57" t="n">
        <v>4</v>
      </c>
      <c r="Y1643" s="57" t="n">
        <v>3</v>
      </c>
      <c r="Z1643" s="55" t="n">
        <f aca="false">IF(A1643="","",IF(AND(Parameter!$B$21="Ja",ISNUMBER(W1643)),W1643,IF(BV1643="2+3",IF(ISNUMBER(SEARCH("grosser Artikel",BO1643)),2,IFERROR(VLOOKUP(BR1643,Parameter!$F$35:$G$64,2,0),2)),IF(OR(BV1643="Nein",BV1643=""),"-",BV1643))))</f>
        <v>1</v>
      </c>
      <c r="AA1643" s="62"/>
      <c r="AB1643" s="63"/>
      <c r="AC1643" s="57" t="n">
        <f aca="false">AR1643</f>
        <v>6</v>
      </c>
      <c r="AD1643" s="57" t="n">
        <f aca="false">MAX(AR1643,H1643)</f>
        <v>6</v>
      </c>
      <c r="AE1643" s="64"/>
      <c r="AF1643" s="57" t="n">
        <f aca="false">IF(LEFT(Cockpit!$C$5,1)="A",H1643,IF(CA1643=1,CB1643,IF(LEFT(Cockpit!$C$5,1)="B",AJ1643,MAX(AJ1643,H1643))))</f>
        <v>3</v>
      </c>
      <c r="AG1643" s="57" t="n">
        <f aca="false">IF(BT1643=1,0,ROUNDUP(AF1643/BS1643,0))</f>
        <v>0</v>
      </c>
      <c r="AH1643" s="59" t="n">
        <f aca="false">IF(CH1643&gt;0,CH1643*MAX(1,AF1643/X1643),IF(BT1643=1,IF(AF1643&lt;=0,0,BW1643*MAX(1,IF(H1643&gt;0,AF1643/H1643,1))),IF(R1643&gt;0,AG1643/R1643,0))/MAX(0.1,N(Parameter!$M$21)))</f>
        <v>0.32015065913371</v>
      </c>
      <c r="AI1643" s="57" t="n">
        <f aca="false">AF1643*G1643</f>
        <v>6867.81</v>
      </c>
      <c r="AJ1643" s="57" t="n">
        <f aca="false">ROUNDUP(MAX(J1643/IF(BZ1643&gt;0,BZ1643,MAX(0.1,N(Cockpit!$C$6))),CC1643)/BS1643,0)*BS1643</f>
        <v>6</v>
      </c>
      <c r="AK1643" s="58" t="n">
        <f aca="false">IF(AH1643&gt;0,J1643/AH1643,-1)</f>
        <v>0</v>
      </c>
      <c r="AL1643" s="58" t="n">
        <f aca="false">IF(AND(OR(BY1643="L1",BY1643="L23"),AH1643&gt;0),SUMIFS($AH$7:$AH$1843,$BY$7:$BY$1843,BY1643,$AK$7:$AK$1843,"&gt;"&amp;AK1643)+SUMIFS($AH$7:$AH$1843,$BY$7:$BY$1843,BY1643,$AK$7:$AK$1843,AK1643,$BQ$7:$BQ$1843,"&lt;="&amp;BQ1643),"")</f>
        <v>53.3024803330625</v>
      </c>
      <c r="AM1643" s="65" t="n">
        <f aca="false">IF(AL1643="",0,MAX(0,MIN(1,(IF(BY1643="L1",Parameter!$E$5,Parameter!$E$6+Parameter!$E$7)-(AL1643-AH1643))/AH1643)))</f>
        <v>0</v>
      </c>
      <c r="AN1643" s="57" t="n">
        <f aca="false">IF(LEFT(Cockpit!$I$5,1)="A",H1643,IF(CA1643=1,CB1643,IF(LEFT(Cockpit!$I$5,1)="B",AR1643,MAX(AR1643,H1643))))</f>
        <v>6</v>
      </c>
      <c r="AO1643" s="57" t="n">
        <f aca="false">IF(BT1643=1,0,ROUNDUP(AN1643/BS1643,0))</f>
        <v>0</v>
      </c>
      <c r="AP1643" s="59" t="n">
        <f aca="false">IF(CH1643&gt;0,CH1643*MAX(1,AN1643/X1643),IF(BT1643=1,IF(AN1643&lt;=0,0,BW1643*MAX(1,IF(H1643&gt;0,AN1643/H1643,1))),IF(R1643&gt;0,AO1643/R1643,0))/MAX(0.1,N(Parameter!$M$21)))</f>
        <v>0.480225988700565</v>
      </c>
      <c r="AQ1643" s="57" t="n">
        <f aca="false">AN1643*G1643</f>
        <v>13735.62</v>
      </c>
      <c r="AR1643" s="57" t="n">
        <f aca="false">ROUNDUP(MAX(J1643/IF(BZ1643&gt;0,BZ1643,MAX(0.1,N(Cockpit!$I$6))),CC1643)/BS1643,0)*BS1643</f>
        <v>6</v>
      </c>
      <c r="AS1643" s="58" t="n">
        <f aca="false">IF(AP1643&gt;0,J1643/AP1643,-1)</f>
        <v>0</v>
      </c>
      <c r="AT1643" s="58" t="n">
        <f aca="false">IF(AND(OR(BY1643="L1",BY1643="L23"),AP1643&gt;0),SUMIFS($AP$7:$AP$1843,$BY$7:$BY$1843,BY1643,$AS$7:$AS$1843,"&gt;"&amp;AS1643)+SUMIFS($AP$7:$AP$1843,$BY$7:$BY$1843,BY1643,$AS$7:$AS$1843,AS1643,$BQ$7:$BQ$1843,"&lt;="&amp;BQ1643),"")</f>
        <v>69.1421152743924</v>
      </c>
      <c r="AU1643" s="65" t="n">
        <f aca="false">IF(AT1643="",0,MAX(0,MIN(1,(IF(BY1643="L1",Parameter!$E$5,Parameter!$E$6+Parameter!$E$7)-(AT1643-AP1643))/AP1643)))</f>
        <v>0</v>
      </c>
      <c r="AV1643" s="57" t="n">
        <f aca="false">IF(LEFT(Cockpit!$O$5,1)="A",H1643,IF(CA1643=1,CB1643,IF(LEFT(Cockpit!$O$5,1)="B",AZ1643,MAX(AZ1643,H1643))))</f>
        <v>6</v>
      </c>
      <c r="AW1643" s="57" t="n">
        <f aca="false">IF(BT1643=1,0,ROUNDUP(AV1643/BS1643,0))</f>
        <v>0</v>
      </c>
      <c r="AX1643" s="59" t="n">
        <f aca="false">IF(CH1643&gt;0,CH1643*MAX(1,AV1643/X1643),IF(BT1643=1,IF(AV1643&lt;=0,0,BW1643*MAX(1,IF(H1643&gt;0,AV1643/H1643,1))),IF(R1643&gt;0,AW1643/R1643,0))/MAX(0.1,N(Parameter!$M$21)))</f>
        <v>0.480225988700565</v>
      </c>
      <c r="AY1643" s="57" t="n">
        <f aca="false">AV1643*G1643</f>
        <v>13735.62</v>
      </c>
      <c r="AZ1643" s="57" t="n">
        <f aca="false">ROUNDUP(MAX(J1643/IF(BZ1643&gt;0,BZ1643,MAX(0.1,N(Cockpit!$O$6))),CC1643)/BS1643,0)*BS1643</f>
        <v>6</v>
      </c>
      <c r="BA1643" s="58" t="n">
        <f aca="false">IF(AX1643&gt;0,J1643/AX1643,-1)</f>
        <v>0</v>
      </c>
      <c r="BB1643" s="58" t="n">
        <f aca="false">IF(AND(OR(BY1643="L1",BY1643="L23"),AX1643&gt;0),SUMIFS($AX$7:$AX$1843,$BY$7:$BY$1843,BY1643,$BA$7:$BA$1843,"&gt;"&amp;BA1643)+SUMIFS($AX$7:$AX$1843,$BY$7:$BY$1843,BY1643,$BA$7:$BA$1843,BA1643,$BQ$7:$BQ$1843,"&lt;="&amp;BQ1643),"")</f>
        <v>62.8089268056107</v>
      </c>
      <c r="BC1643" s="65" t="n">
        <f aca="false">IF(BB1643="",0,MAX(0,MIN(1,(IF(BY1643="L1",Parameter!$E$5,Parameter!$E$6+Parameter!$E$7)-(BB1643-AX1643))/AX1643)))</f>
        <v>0</v>
      </c>
      <c r="BD1643" s="55" t="str">
        <f aca="false">IF(AH1643&lt;=0,"",IF(BY1643="Aussen","Aussenlager",IF(BY1643="-","Nicht im Lift",IF(AM1643&gt;=1,"Lift",IF(AM1643&lt;=0,"Aussenlager","teilweise")))))</f>
        <v>Aussenlager</v>
      </c>
      <c r="BE1643" s="55" t="str">
        <f aca="false">IF(AP1643&lt;=0,"",IF(BY1643="Aussen","Aussenlager",IF(BY1643="-","Nicht im Lift",IF(AU1643&gt;=1,"Lift",IF(AU1643&lt;=0,"Aussenlager","teilweise")))))</f>
        <v>Aussenlager</v>
      </c>
      <c r="BF1643" s="55" t="str">
        <f aca="false">IF(AX1643&lt;=0,"",IF(BY1643="Aussen","Aussenlager",IF(BY1643="-","Nicht im Lift",IF(BC1643&gt;=1,"Lift",IF(BC1643&lt;=0,"Aussenlager","teilweise")))))</f>
        <v>Aussenlager</v>
      </c>
      <c r="BG1643" s="55" t="str">
        <f aca="false">IF(A1643="","",IF(BP1643=1,"Neu; ","")&amp;IF(AND(BP1643=0,BK1643&lt;0),"negativer Bestand (Export "&amp;BK1643&amp;"); ","")&amp;IF(J1643&lt;=0,"Kein Verbrauch; ","")&amp;IF(CH1643&gt;0,"Lift "&amp;W1643&amp;" lt. Liftbericht (Fach "&amp;X1643&amp;" Stk); ",IF(BU1643=1,"Gebinde geschätzt ("&amp;T1643&amp;"); ",IF(BT1643=1,"Lose – Tablare geschätzt; ","")))&amp;IF(H1643&gt;AR1643,"Überbestand "&amp;ROUND(H1643-AR1643,0)&amp;" Stk / CHF "&amp;ROUND((H1643-AR1643)*G1643,0)&amp;"; ","")&amp;IF(AND(CA1643=1,CB1643&lt;CC1643),"MAX &lt; MB+LG; ","")&amp;IF(AND(CG1643&gt;0,CF1643*10&gt;CG1643),"zu hoch für Tablar; ","")&amp;IF(AND(BP1643=0,OR(CA1643=1,AA1643&lt;&gt;"",U1643&lt;&gt;"",V1643&lt;&gt;"",AB1643&lt;&gt;"")),"manuell übersteuert; ","")&amp;IF(AND(BT1643=0,R1643=0),"Gebinde unbekannt / Stellmass fehlt; ","")&amp;IF(AND(BT1643=0,N(V1643)&lt;=0,N(Q1643)&lt;=0),"Menge pro Gebinde fehlt (Ist = 1 Gebinde); ","")&amp;BO1643)</f>
        <v>Kein Verbrauch; Lift 1 lt. Liftbericht (Fach 4 Stk); nur im Artikelstamm (Bestand 23.06.2026); grosser Artikel &amp; nicht im KTL</v>
      </c>
      <c r="BH1643" s="55"/>
      <c r="BI1643" s="55"/>
      <c r="BJ1643" s="62"/>
      <c r="BK1643" s="57" t="n">
        <v>8</v>
      </c>
      <c r="BL1643" s="57" t="n">
        <v>0</v>
      </c>
      <c r="BM1643" s="56" t="n">
        <v>0</v>
      </c>
      <c r="BN1643" s="57" t="n">
        <v>0</v>
      </c>
      <c r="BO1643" s="55" t="s">
        <v>2859</v>
      </c>
      <c r="BP1643" s="60" t="n">
        <v>0</v>
      </c>
      <c r="BQ1643" s="60" t="n">
        <v>1643</v>
      </c>
      <c r="BR1643" s="55" t="str">
        <f aca="false">IF(U1643&lt;&gt;"",UPPER(TRIM(U1643)),IF(BU1643=1,UPPER(VLOOKUP(T1643,Parameter!$I$27:$K$29,2,0)),IF(P1643="","LOSE",P1643)))</f>
        <v>LOSE</v>
      </c>
      <c r="BS1643" s="57" t="n">
        <f aca="false">IF(BR1643="LOSE",1,IF(N(V1643)&gt;0,V1643,IF(BU1643=1,MAX(1,N(VLOOKUP(T1643,Parameter!$I$27:$K$29,3,0)),H1643,N(N1643)),IF(N(Q1643)&gt;0,Q1643,MAX(1,H1643)))))</f>
        <v>1</v>
      </c>
      <c r="BT1643" s="60" t="n">
        <f aca="false">IF(BR1643="LOSE",1,0)</f>
        <v>1</v>
      </c>
      <c r="BU1643" s="60" t="n">
        <f aca="false">IF(AND(U1643="",OR(P1643="",P1643="LOSE"),T1643&lt;&gt;"",N(S1643)&lt;=0,ISNUMBER(MATCH(T1643,Parameter!$I$27:$I$29,0))),1,0)</f>
        <v>0</v>
      </c>
      <c r="BV1643" s="55" t="str">
        <f aca="false">IF(AND(Parameter!$B$19="Ja",E1643&lt;&gt;"",ISNUMBER(MATCH(E1643,Parameter!$I$35:$I$52,0))),VLOOKUP(E1643,Parameter!$I$35:$J$52,2,0),IFERROR(VLOOKUP(D1643,Parameter!$A$35:$C$64,2,0),"Nein"))</f>
        <v>2+3</v>
      </c>
      <c r="BW1643" s="59" t="n">
        <f aca="false">IF(BT1643=0,0,IF(N(S1643)&gt;0,S1643,IFERROR(VLOOKUP(D1643,Parameter!$A$35:$C$64,3,0)+0,0)))</f>
        <v>0.15</v>
      </c>
      <c r="BX1643" s="55" t="n">
        <f aca="false">IF(AA1643&lt;&gt;"",AA1643,Z1643)</f>
        <v>1</v>
      </c>
      <c r="BY1643" s="55" t="str">
        <f aca="false">IF(BX1643=1,"L1",IF(OR(BX1643=2,BX1643=3),"L23",IF(BX1643="Aussen","Aussen","-")))</f>
        <v>L1</v>
      </c>
      <c r="BZ1643" s="66" t="n">
        <f aca="false">IF(N(AB1643)&gt;0,AB1643,0)</f>
        <v>0</v>
      </c>
      <c r="CA1643" s="60" t="n">
        <f aca="false">IF(ISNUMBER(AE1643),1,0)</f>
        <v>0</v>
      </c>
      <c r="CB1643" s="57" t="n">
        <f aca="false">N(AE1643)</f>
        <v>0</v>
      </c>
      <c r="CC1643" s="57" t="n">
        <f aca="false">N(M1643)+N(N1643)</f>
        <v>6</v>
      </c>
      <c r="CD1643" s="57" t="n">
        <f aca="false">ROUNDUP(H1643/BS1643,0)</f>
        <v>3</v>
      </c>
      <c r="CE1643" s="57" t="n">
        <f aca="false">ROUNDUP(CB1643/BS1643,0)</f>
        <v>0</v>
      </c>
      <c r="CF1643" s="60" t="n">
        <f aca="false">IF(BT1643=1,0,IFERROR(VLOOKUP(BR1643,'Gebinde-Kategorie'!$A$5:$M$45,5,0)+0,0))</f>
        <v>0</v>
      </c>
      <c r="CG1643" s="60" t="n">
        <f aca="false">IFERROR(IF(OR(BX1643=1,BX1643=2,BX1643=3),N(INDEX(Parameter!$I$5:$I$7,BX1643)),0),0)</f>
        <v>0</v>
      </c>
      <c r="CH1643" s="59" t="n">
        <f aca="false">IF(AND(Parameter!$B$21="Ja",ISNUMBER(W1643),N(X1643)&gt;0),IFERROR(N(INDEX(Parameter!$L$5:$L$7,W1643))*INDEX(Parameter!$E$5:$E$7,W1643)*X1643/SUMIFS($X$7:$X$1843,$W$7:$W$1843,W1643),0),0)</f>
        <v>0.32015065913371</v>
      </c>
    </row>
    <row r="1644" customFormat="false" ht="15" hidden="false" customHeight="false" outlineLevel="0" collapsed="false">
      <c r="A1644" s="55" t="s">
        <v>2860</v>
      </c>
      <c r="B1644" s="55" t="s">
        <v>717</v>
      </c>
      <c r="C1644" s="55" t="s">
        <v>164</v>
      </c>
      <c r="D1644" s="55" t="s">
        <v>173</v>
      </c>
      <c r="E1644" s="55" t="s">
        <v>166</v>
      </c>
      <c r="F1644" s="55"/>
      <c r="G1644" s="56" t="n">
        <v>60.43</v>
      </c>
      <c r="H1644" s="57" t="n">
        <f aca="false">MAX(0,IF(AND(Parameter!$B$21="Ja",ISNUMBER(Y1644)),Y1644,IF(Parameter!$B$20="Jahresanfang 2025 + Export",BL1644+BK1644,BK1644)))</f>
        <v>13</v>
      </c>
      <c r="I1644" s="57" t="n">
        <f aca="false">H1644*G1644</f>
        <v>785.59</v>
      </c>
      <c r="J1644" s="57" t="n">
        <f aca="false">BN1644*Parameter!$B$18</f>
        <v>0</v>
      </c>
      <c r="K1644" s="58"/>
      <c r="L1644" s="59"/>
      <c r="M1644" s="57" t="n">
        <v>0</v>
      </c>
      <c r="N1644" s="57" t="n">
        <v>10</v>
      </c>
      <c r="O1644" s="60" t="n">
        <v>28</v>
      </c>
      <c r="P1644" s="55" t="s">
        <v>168</v>
      </c>
      <c r="Q1644" s="57"/>
      <c r="R1644" s="60" t="n">
        <f aca="false">IF(BT1644=1,0,IFERROR(VLOOKUP(BR1644,'Gebinde-Kategorie'!$A$5:$M$45,13,0)+0,0))</f>
        <v>12</v>
      </c>
      <c r="S1644" s="61"/>
      <c r="T1644" s="62" t="s">
        <v>179</v>
      </c>
      <c r="U1644" s="62"/>
      <c r="V1644" s="62"/>
      <c r="W1644" s="55"/>
      <c r="X1644" s="57"/>
      <c r="Y1644" s="57"/>
      <c r="Z1644" s="55" t="n">
        <f aca="false">IF(A1644="","",IF(AND(Parameter!$B$21="Ja",ISNUMBER(W1644)),W1644,IF(BV1644="2+3",IF(ISNUMBER(SEARCH("grosser Artikel",BO1644)),2,IFERROR(VLOOKUP(BR1644,Parameter!$F$35:$G$64,2,0),2)),IF(OR(BV1644="Nein",BV1644=""),"-",BV1644))))</f>
        <v>1</v>
      </c>
      <c r="AA1644" s="62"/>
      <c r="AB1644" s="63"/>
      <c r="AC1644" s="57" t="n">
        <f aca="false">AR1644</f>
        <v>13</v>
      </c>
      <c r="AD1644" s="57" t="n">
        <f aca="false">MAX(AR1644,H1644)</f>
        <v>13</v>
      </c>
      <c r="AE1644" s="64"/>
      <c r="AF1644" s="57" t="n">
        <f aca="false">IF(LEFT(Cockpit!$C$5,1)="A",H1644,IF(CA1644=1,CB1644,IF(LEFT(Cockpit!$C$5,1)="B",AJ1644,MAX(AJ1644,H1644))))</f>
        <v>13</v>
      </c>
      <c r="AG1644" s="57" t="n">
        <f aca="false">IF(BT1644=1,0,ROUNDUP(AF1644/BS1644,0))</f>
        <v>1</v>
      </c>
      <c r="AH1644" s="59" t="n">
        <f aca="false">IF(CH1644&gt;0,CH1644*MAX(1,AF1644/X1644),IF(BT1644=1,IF(AF1644&lt;=0,0,BW1644*MAX(1,IF(H1644&gt;0,AF1644/H1644,1))),IF(R1644&gt;0,AG1644/R1644,0))/MAX(0.1,N(Parameter!$M$21)))</f>
        <v>0.0833333333333333</v>
      </c>
      <c r="AI1644" s="57" t="n">
        <f aca="false">AF1644*G1644</f>
        <v>785.59</v>
      </c>
      <c r="AJ1644" s="57" t="n">
        <f aca="false">ROUNDUP(MAX(J1644/IF(BZ1644&gt;0,BZ1644,MAX(0.1,N(Cockpit!$C$6))),CC1644)/BS1644,0)*BS1644</f>
        <v>13</v>
      </c>
      <c r="AK1644" s="58" t="n">
        <f aca="false">IF(AH1644&gt;0,J1644/AH1644,-1)</f>
        <v>0</v>
      </c>
      <c r="AL1644" s="58" t="n">
        <f aca="false">IF(AND(OR(BY1644="L1",BY1644="L23"),AH1644&gt;0),SUMIFS($AH$7:$AH$1843,$BY$7:$BY$1843,BY1644,$AK$7:$AK$1843,"&gt;"&amp;AK1644)+SUMIFS($AH$7:$AH$1843,$BY$7:$BY$1843,BY1644,$AK$7:$AK$1843,AK1644,$BQ$7:$BQ$1843,"&lt;="&amp;BQ1644),"")</f>
        <v>53.3858136663958</v>
      </c>
      <c r="AM1644" s="65" t="n">
        <f aca="false">IF(AL1644="",0,MAX(0,MIN(1,(IF(BY1644="L1",Parameter!$E$5,Parameter!$E$6+Parameter!$E$7)-(AL1644-AH1644))/AH1644)))</f>
        <v>0</v>
      </c>
      <c r="AN1644" s="57" t="n">
        <f aca="false">IF(LEFT(Cockpit!$I$5,1)="A",H1644,IF(CA1644=1,CB1644,IF(LEFT(Cockpit!$I$5,1)="B",AR1644,MAX(AR1644,H1644))))</f>
        <v>13</v>
      </c>
      <c r="AO1644" s="57" t="n">
        <f aca="false">IF(BT1644=1,0,ROUNDUP(AN1644/BS1644,0))</f>
        <v>1</v>
      </c>
      <c r="AP1644" s="59" t="n">
        <f aca="false">IF(CH1644&gt;0,CH1644*MAX(1,AN1644/X1644),IF(BT1644=1,IF(AN1644&lt;=0,0,BW1644*MAX(1,IF(H1644&gt;0,AN1644/H1644,1))),IF(R1644&gt;0,AO1644/R1644,0))/MAX(0.1,N(Parameter!$M$21)))</f>
        <v>0.0833333333333333</v>
      </c>
      <c r="AQ1644" s="57" t="n">
        <f aca="false">AN1644*G1644</f>
        <v>785.59</v>
      </c>
      <c r="AR1644" s="57" t="n">
        <f aca="false">ROUNDUP(MAX(J1644/IF(BZ1644&gt;0,BZ1644,MAX(0.1,N(Cockpit!$I$6))),CC1644)/BS1644,0)*BS1644</f>
        <v>13</v>
      </c>
      <c r="AS1644" s="58" t="n">
        <f aca="false">IF(AP1644&gt;0,J1644/AP1644,-1)</f>
        <v>0</v>
      </c>
      <c r="AT1644" s="58" t="n">
        <f aca="false">IF(AND(OR(BY1644="L1",BY1644="L23"),AP1644&gt;0),SUMIFS($AP$7:$AP$1843,$BY$7:$BY$1843,BY1644,$AS$7:$AS$1843,"&gt;"&amp;AS1644)+SUMIFS($AP$7:$AP$1843,$BY$7:$BY$1843,BY1644,$AS$7:$AS$1843,AS1644,$BQ$7:$BQ$1843,"&lt;="&amp;BQ1644),"")</f>
        <v>69.2254486077257</v>
      </c>
      <c r="AU1644" s="65" t="n">
        <f aca="false">IF(AT1644="",0,MAX(0,MIN(1,(IF(BY1644="L1",Parameter!$E$5,Parameter!$E$6+Parameter!$E$7)-(AT1644-AP1644))/AP1644)))</f>
        <v>0</v>
      </c>
      <c r="AV1644" s="57" t="n">
        <f aca="false">IF(LEFT(Cockpit!$O$5,1)="A",H1644,IF(CA1644=1,CB1644,IF(LEFT(Cockpit!$O$5,1)="B",AZ1644,MAX(AZ1644,H1644))))</f>
        <v>13</v>
      </c>
      <c r="AW1644" s="57" t="n">
        <f aca="false">IF(BT1644=1,0,ROUNDUP(AV1644/BS1644,0))</f>
        <v>1</v>
      </c>
      <c r="AX1644" s="59" t="n">
        <f aca="false">IF(CH1644&gt;0,CH1644*MAX(1,AV1644/X1644),IF(BT1644=1,IF(AV1644&lt;=0,0,BW1644*MAX(1,IF(H1644&gt;0,AV1644/H1644,1))),IF(R1644&gt;0,AW1644/R1644,0))/MAX(0.1,N(Parameter!$M$21)))</f>
        <v>0.0833333333333333</v>
      </c>
      <c r="AY1644" s="57" t="n">
        <f aca="false">AV1644*G1644</f>
        <v>785.59</v>
      </c>
      <c r="AZ1644" s="57" t="n">
        <f aca="false">ROUNDUP(MAX(J1644/IF(BZ1644&gt;0,BZ1644,MAX(0.1,N(Cockpit!$O$6))),CC1644)/BS1644,0)*BS1644</f>
        <v>13</v>
      </c>
      <c r="BA1644" s="58" t="n">
        <f aca="false">IF(AX1644&gt;0,J1644/AX1644,-1)</f>
        <v>0</v>
      </c>
      <c r="BB1644" s="58" t="n">
        <f aca="false">IF(AND(OR(BY1644="L1",BY1644="L23"),AX1644&gt;0),SUMIFS($AX$7:$AX$1843,$BY$7:$BY$1843,BY1644,$BA$7:$BA$1843,"&gt;"&amp;BA1644)+SUMIFS($AX$7:$AX$1843,$BY$7:$BY$1843,BY1644,$BA$7:$BA$1843,BA1644,$BQ$7:$BQ$1843,"&lt;="&amp;BQ1644),"")</f>
        <v>62.892260138944</v>
      </c>
      <c r="BC1644" s="65" t="n">
        <f aca="false">IF(BB1644="",0,MAX(0,MIN(1,(IF(BY1644="L1",Parameter!$E$5,Parameter!$E$6+Parameter!$E$7)-(BB1644-AX1644))/AX1644)))</f>
        <v>0</v>
      </c>
      <c r="BD1644" s="55" t="str">
        <f aca="false">IF(AH1644&lt;=0,"",IF(BY1644="Aussen","Aussenlager",IF(BY1644="-","Nicht im Lift",IF(AM1644&gt;=1,"Lift",IF(AM1644&lt;=0,"Aussenlager","teilweise")))))</f>
        <v>Aussenlager</v>
      </c>
      <c r="BE1644" s="55" t="str">
        <f aca="false">IF(AP1644&lt;=0,"",IF(BY1644="Aussen","Aussenlager",IF(BY1644="-","Nicht im Lift",IF(AU1644&gt;=1,"Lift",IF(AU1644&lt;=0,"Aussenlager","teilweise")))))</f>
        <v>Aussenlager</v>
      </c>
      <c r="BF1644" s="55" t="str">
        <f aca="false">IF(AX1644&lt;=0,"",IF(BY1644="Aussen","Aussenlager",IF(BY1644="-","Nicht im Lift",IF(BC1644&gt;=1,"Lift",IF(BC1644&lt;=0,"Aussenlager","teilweise")))))</f>
        <v>Aussenlager</v>
      </c>
      <c r="BG1644" s="55" t="str">
        <f aca="false">IF(A1644="","",IF(BP1644=1,"Neu; ","")&amp;IF(AND(BP1644=0,BK1644&lt;0),"negativer Bestand (Export "&amp;BK1644&amp;"); ","")&amp;IF(J1644&lt;=0,"Kein Verbrauch; ","")&amp;IF(CH1644&gt;0,"Lift "&amp;W1644&amp;" lt. Liftbericht (Fach "&amp;X1644&amp;" Stk); ",IF(BU1644=1,"Gebinde geschätzt ("&amp;T1644&amp;"); ",IF(BT1644=1,"Lose – Tablare geschätzt; ","")))&amp;IF(H1644&gt;AR1644,"Überbestand "&amp;ROUND(H1644-AR1644,0)&amp;" Stk / CHF "&amp;ROUND((H1644-AR1644)*G1644,0)&amp;"; ","")&amp;IF(AND(CA1644=1,CB1644&lt;CC1644),"MAX &lt; MB+LG; ","")&amp;IF(AND(CG1644&gt;0,CF1644*10&gt;CG1644),"zu hoch für Tablar; ","")&amp;IF(AND(BP1644=0,OR(CA1644=1,AA1644&lt;&gt;"",U1644&lt;&gt;"",V1644&lt;&gt;"",AB1644&lt;&gt;"")),"manuell übersteuert; ","")&amp;IF(AND(BT1644=0,R1644=0),"Gebinde unbekannt / Stellmass fehlt; ","")&amp;IF(AND(BT1644=0,N(V1644)&lt;=0,N(Q1644)&lt;=0),"Menge pro Gebinde fehlt (Ist = 1 Gebinde); ","")&amp;BO1644)</f>
        <v>Kein Verbrauch; Gebinde geschätzt (Mittel); Menge pro Gebinde fehlt (Ist = 1 Gebinde); nur im Artikelstamm (Bestand 23.06.2026); Überbestand</v>
      </c>
      <c r="BH1644" s="55"/>
      <c r="BI1644" s="55"/>
      <c r="BJ1644" s="62"/>
      <c r="BK1644" s="57" t="n">
        <v>13</v>
      </c>
      <c r="BL1644" s="57" t="n">
        <v>0</v>
      </c>
      <c r="BM1644" s="56" t="n">
        <v>0</v>
      </c>
      <c r="BN1644" s="57" t="n">
        <v>0</v>
      </c>
      <c r="BO1644" s="55" t="s">
        <v>2572</v>
      </c>
      <c r="BP1644" s="60" t="n">
        <v>0</v>
      </c>
      <c r="BQ1644" s="60" t="n">
        <v>1644</v>
      </c>
      <c r="BR1644" s="55" t="str">
        <f aca="false">IF(U1644&lt;&gt;"",UPPER(TRIM(U1644)),IF(BU1644=1,UPPER(VLOOKUP(T1644,Parameter!$I$27:$K$29,2,0)),IF(P1644="","LOSE",P1644)))</f>
        <v>S61</v>
      </c>
      <c r="BS1644" s="57" t="n">
        <f aca="false">IF(BR1644="LOSE",1,IF(N(V1644)&gt;0,V1644,IF(BU1644=1,MAX(1,N(VLOOKUP(T1644,Parameter!$I$27:$K$29,3,0)),H1644,N(N1644)),IF(N(Q1644)&gt;0,Q1644,MAX(1,H1644)))))</f>
        <v>13</v>
      </c>
      <c r="BT1644" s="60" t="n">
        <f aca="false">IF(BR1644="LOSE",1,0)</f>
        <v>0</v>
      </c>
      <c r="BU1644" s="60" t="n">
        <f aca="false">IF(AND(U1644="",OR(P1644="",P1644="LOSE"),T1644&lt;&gt;"",N(S1644)&lt;=0,ISNUMBER(MATCH(T1644,Parameter!$I$27:$I$29,0))),1,0)</f>
        <v>1</v>
      </c>
      <c r="BV1644" s="55" t="n">
        <f aca="false">IF(AND(Parameter!$B$19="Ja",E1644&lt;&gt;"",ISNUMBER(MATCH(E1644,Parameter!$I$35:$I$52,0))),VLOOKUP(E1644,Parameter!$I$35:$J$52,2,0),IFERROR(VLOOKUP(D1644,Parameter!$A$35:$C$64,2,0),"Nein"))</f>
        <v>1</v>
      </c>
      <c r="BW1644" s="59" t="n">
        <f aca="false">IF(BT1644=0,0,IF(N(S1644)&gt;0,S1644,IFERROR(VLOOKUP(D1644,Parameter!$A$35:$C$64,3,0)+0,0)))</f>
        <v>0</v>
      </c>
      <c r="BX1644" s="55" t="n">
        <f aca="false">IF(AA1644&lt;&gt;"",AA1644,Z1644)</f>
        <v>1</v>
      </c>
      <c r="BY1644" s="55" t="str">
        <f aca="false">IF(BX1644=1,"L1",IF(OR(BX1644=2,BX1644=3),"L23",IF(BX1644="Aussen","Aussen","-")))</f>
        <v>L1</v>
      </c>
      <c r="BZ1644" s="66" t="n">
        <f aca="false">IF(N(AB1644)&gt;0,AB1644,0)</f>
        <v>0</v>
      </c>
      <c r="CA1644" s="60" t="n">
        <f aca="false">IF(ISNUMBER(AE1644),1,0)</f>
        <v>0</v>
      </c>
      <c r="CB1644" s="57" t="n">
        <f aca="false">N(AE1644)</f>
        <v>0</v>
      </c>
      <c r="CC1644" s="57" t="n">
        <f aca="false">N(M1644)+N(N1644)</f>
        <v>10</v>
      </c>
      <c r="CD1644" s="57" t="n">
        <f aca="false">ROUNDUP(H1644/BS1644,0)</f>
        <v>1</v>
      </c>
      <c r="CE1644" s="57" t="n">
        <f aca="false">ROUNDUP(CB1644/BS1644,0)</f>
        <v>0</v>
      </c>
      <c r="CF1644" s="60" t="n">
        <f aca="false">IF(BT1644=1,0,IFERROR(VLOOKUP(BR1644,'Gebinde-Kategorie'!$A$5:$M$45,5,0)+0,0))</f>
        <v>11</v>
      </c>
      <c r="CG1644" s="60" t="n">
        <f aca="false">IFERROR(IF(OR(BX1644=1,BX1644=2,BX1644=3),N(INDEX(Parameter!$I$5:$I$7,BX1644)),0),0)</f>
        <v>0</v>
      </c>
      <c r="CH1644" s="59" t="n">
        <f aca="false">IF(AND(Parameter!$B$21="Ja",ISNUMBER(W1644),N(X1644)&gt;0),IFERROR(N(INDEX(Parameter!$L$5:$L$7,W1644))*INDEX(Parameter!$E$5:$E$7,W1644)*X1644/SUMIFS($X$7:$X$1843,$W$7:$W$1843,W1644),0),0)</f>
        <v>0</v>
      </c>
    </row>
    <row r="1645" customFormat="false" ht="15" hidden="false" customHeight="false" outlineLevel="0" collapsed="false">
      <c r="A1645" s="55" t="s">
        <v>2861</v>
      </c>
      <c r="B1645" s="55" t="s">
        <v>2862</v>
      </c>
      <c r="C1645" s="55" t="s">
        <v>456</v>
      </c>
      <c r="D1645" s="55" t="s">
        <v>184</v>
      </c>
      <c r="E1645" s="55"/>
      <c r="F1645" s="55"/>
      <c r="G1645" s="56" t="n">
        <v>10.35</v>
      </c>
      <c r="H1645" s="57" t="n">
        <f aca="false">MAX(0,IF(AND(Parameter!$B$21="Ja",ISNUMBER(Y1645)),Y1645,IF(Parameter!$B$20="Jahresanfang 2025 + Export",BL1645+BK1645,BK1645)))</f>
        <v>2</v>
      </c>
      <c r="I1645" s="57" t="n">
        <f aca="false">H1645*G1645</f>
        <v>20.7</v>
      </c>
      <c r="J1645" s="57" t="n">
        <f aca="false">BN1645*Parameter!$B$18</f>
        <v>0</v>
      </c>
      <c r="K1645" s="58"/>
      <c r="L1645" s="59"/>
      <c r="M1645" s="57" t="n">
        <v>0</v>
      </c>
      <c r="N1645" s="57" t="n">
        <v>1</v>
      </c>
      <c r="O1645" s="60" t="n">
        <v>97</v>
      </c>
      <c r="P1645" s="55" t="s">
        <v>168</v>
      </c>
      <c r="Q1645" s="57"/>
      <c r="R1645" s="60" t="n">
        <f aca="false">IF(BT1645=1,0,IFERROR(VLOOKUP(BR1645,'Gebinde-Kategorie'!$A$5:$M$45,13,0)+0,0))</f>
        <v>26</v>
      </c>
      <c r="S1645" s="61"/>
      <c r="T1645" s="62" t="s">
        <v>275</v>
      </c>
      <c r="U1645" s="62"/>
      <c r="V1645" s="62"/>
      <c r="W1645" s="55"/>
      <c r="X1645" s="57"/>
      <c r="Y1645" s="57"/>
      <c r="Z1645" s="55" t="n">
        <f aca="false">IF(A1645="","",IF(AND(Parameter!$B$21="Ja",ISNUMBER(W1645)),W1645,IF(BV1645="2+3",IF(ISNUMBER(SEARCH("grosser Artikel",BO1645)),2,IFERROR(VLOOKUP(BR1645,Parameter!$F$35:$G$64,2,0),2)),IF(OR(BV1645="Nein",BV1645=""),"-",BV1645))))</f>
        <v>3</v>
      </c>
      <c r="AA1645" s="62"/>
      <c r="AB1645" s="63"/>
      <c r="AC1645" s="57" t="n">
        <f aca="false">AR1645</f>
        <v>20</v>
      </c>
      <c r="AD1645" s="57" t="n">
        <f aca="false">MAX(AR1645,H1645)</f>
        <v>20</v>
      </c>
      <c r="AE1645" s="64"/>
      <c r="AF1645" s="57" t="n">
        <f aca="false">IF(LEFT(Cockpit!$C$5,1)="A",H1645,IF(CA1645=1,CB1645,IF(LEFT(Cockpit!$C$5,1)="B",AJ1645,MAX(AJ1645,H1645))))</f>
        <v>2</v>
      </c>
      <c r="AG1645" s="57" t="n">
        <f aca="false">IF(BT1645=1,0,ROUNDUP(AF1645/BS1645,0))</f>
        <v>1</v>
      </c>
      <c r="AH1645" s="59" t="n">
        <f aca="false">IF(CH1645&gt;0,CH1645*MAX(1,AF1645/X1645),IF(BT1645=1,IF(AF1645&lt;=0,0,BW1645*MAX(1,IF(H1645&gt;0,AF1645/H1645,1))),IF(R1645&gt;0,AG1645/R1645,0))/MAX(0.1,N(Parameter!$M$21)))</f>
        <v>0.0384615384615385</v>
      </c>
      <c r="AI1645" s="57" t="n">
        <f aca="false">AF1645*G1645</f>
        <v>20.7</v>
      </c>
      <c r="AJ1645" s="57" t="n">
        <f aca="false">ROUNDUP(MAX(J1645/IF(BZ1645&gt;0,BZ1645,MAX(0.1,N(Cockpit!$C$6))),CC1645)/BS1645,0)*BS1645</f>
        <v>20</v>
      </c>
      <c r="AK1645" s="58" t="n">
        <f aca="false">IF(AH1645&gt;0,J1645/AH1645,-1)</f>
        <v>0</v>
      </c>
      <c r="AL1645" s="58" t="n">
        <f aca="false">IF(AND(OR(BY1645="L1",BY1645="L23"),AH1645&gt;0),SUMIFS($AH$7:$AH$1843,$BY$7:$BY$1843,BY1645,$AK$7:$AK$1843,"&gt;"&amp;AK1645)+SUMIFS($AH$7:$AH$1843,$BY$7:$BY$1843,BY1645,$AK$7:$AK$1843,AK1645,$BQ$7:$BQ$1843,"&lt;="&amp;BQ1645),"")</f>
        <v>88.0845326171413</v>
      </c>
      <c r="AM1645" s="65" t="n">
        <f aca="false">IF(AL1645="",0,MAX(0,MIN(1,(IF(BY1645="L1",Parameter!$E$5,Parameter!$E$6+Parameter!$E$7)-(AL1645-AH1645))/AH1645)))</f>
        <v>1</v>
      </c>
      <c r="AN1645" s="57" t="n">
        <f aca="false">IF(LEFT(Cockpit!$I$5,1)="A",H1645,IF(CA1645=1,CB1645,IF(LEFT(Cockpit!$I$5,1)="B",AR1645,MAX(AR1645,H1645))))</f>
        <v>20</v>
      </c>
      <c r="AO1645" s="57" t="n">
        <f aca="false">IF(BT1645=1,0,ROUNDUP(AN1645/BS1645,0))</f>
        <v>1</v>
      </c>
      <c r="AP1645" s="59" t="n">
        <f aca="false">IF(CH1645&gt;0,CH1645*MAX(1,AN1645/X1645),IF(BT1645=1,IF(AN1645&lt;=0,0,BW1645*MAX(1,IF(H1645&gt;0,AN1645/H1645,1))),IF(R1645&gt;0,AO1645/R1645,0))/MAX(0.1,N(Parameter!$M$21)))</f>
        <v>0.0384615384615385</v>
      </c>
      <c r="AQ1645" s="57" t="n">
        <f aca="false">AN1645*G1645</f>
        <v>207</v>
      </c>
      <c r="AR1645" s="57" t="n">
        <f aca="false">ROUNDUP(MAX(J1645/IF(BZ1645&gt;0,BZ1645,MAX(0.1,N(Cockpit!$I$6))),CC1645)/BS1645,0)*BS1645</f>
        <v>20</v>
      </c>
      <c r="AS1645" s="58" t="n">
        <f aca="false">IF(AP1645&gt;0,J1645/AP1645,-1)</f>
        <v>0</v>
      </c>
      <c r="AT1645" s="58" t="n">
        <f aca="false">IF(AND(OR(BY1645="L1",BY1645="L23"),AP1645&gt;0),SUMIFS($AP$7:$AP$1843,$BY$7:$BY$1843,BY1645,$AS$7:$AS$1843,"&gt;"&amp;AS1645)+SUMIFS($AP$7:$AP$1843,$BY$7:$BY$1843,BY1645,$AS$7:$AS$1843,AS1645,$BQ$7:$BQ$1843,"&lt;="&amp;BQ1645),"")</f>
        <v>133.336669369278</v>
      </c>
      <c r="AU1645" s="65" t="n">
        <f aca="false">IF(AT1645="",0,MAX(0,MIN(1,(IF(BY1645="L1",Parameter!$E$5,Parameter!$E$6+Parameter!$E$7)-(AT1645-AP1645))/AP1645)))</f>
        <v>0</v>
      </c>
      <c r="AV1645" s="57" t="n">
        <f aca="false">IF(LEFT(Cockpit!$O$5,1)="A",H1645,IF(CA1645=1,CB1645,IF(LEFT(Cockpit!$O$5,1)="B",AZ1645,MAX(AZ1645,H1645))))</f>
        <v>20</v>
      </c>
      <c r="AW1645" s="57" t="n">
        <f aca="false">IF(BT1645=1,0,ROUNDUP(AV1645/BS1645,0))</f>
        <v>1</v>
      </c>
      <c r="AX1645" s="59" t="n">
        <f aca="false">IF(CH1645&gt;0,CH1645*MAX(1,AV1645/X1645),IF(BT1645=1,IF(AV1645&lt;=0,0,BW1645*MAX(1,IF(H1645&gt;0,AV1645/H1645,1))),IF(R1645&gt;0,AW1645/R1645,0))/MAX(0.1,N(Parameter!$M$21)))</f>
        <v>0.0384615384615385</v>
      </c>
      <c r="AY1645" s="57" t="n">
        <f aca="false">AV1645*G1645</f>
        <v>207</v>
      </c>
      <c r="AZ1645" s="57" t="n">
        <f aca="false">ROUNDUP(MAX(J1645/IF(BZ1645&gt;0,BZ1645,MAX(0.1,N(Cockpit!$O$6))),CC1645)/BS1645,0)*BS1645</f>
        <v>20</v>
      </c>
      <c r="BA1645" s="58" t="n">
        <f aca="false">IF(AX1645&gt;0,J1645/AX1645,-1)</f>
        <v>0</v>
      </c>
      <c r="BB1645" s="58" t="n">
        <f aca="false">IF(AND(OR(BY1645="L1",BY1645="L23"),AX1645&gt;0),SUMIFS($AX$7:$AX$1843,$BY$7:$BY$1843,BY1645,$BA$7:$BA$1843,"&gt;"&amp;BA1645)+SUMIFS($AX$7:$AX$1843,$BY$7:$BY$1843,BY1645,$BA$7:$BA$1843,BA1645,$BQ$7:$BQ$1843,"&lt;="&amp;BQ1645),"")</f>
        <v>124.166506199115</v>
      </c>
      <c r="BC1645" s="65" t="n">
        <f aca="false">IF(BB1645="",0,MAX(0,MIN(1,(IF(BY1645="L1",Parameter!$E$5,Parameter!$E$6+Parameter!$E$7)-(BB1645-AX1645))/AX1645)))</f>
        <v>0</v>
      </c>
      <c r="BD1645" s="55" t="str">
        <f aca="false">IF(AH1645&lt;=0,"",IF(BY1645="Aussen","Aussenlager",IF(BY1645="-","Nicht im Lift",IF(AM1645&gt;=1,"Lift",IF(AM1645&lt;=0,"Aussenlager","teilweise")))))</f>
        <v>Lift</v>
      </c>
      <c r="BE1645" s="55" t="str">
        <f aca="false">IF(AP1645&lt;=0,"",IF(BY1645="Aussen","Aussenlager",IF(BY1645="-","Nicht im Lift",IF(AU1645&gt;=1,"Lift",IF(AU1645&lt;=0,"Aussenlager","teilweise")))))</f>
        <v>Aussenlager</v>
      </c>
      <c r="BF1645" s="55" t="str">
        <f aca="false">IF(AX1645&lt;=0,"",IF(BY1645="Aussen","Aussenlager",IF(BY1645="-","Nicht im Lift",IF(BC1645&gt;=1,"Lift",IF(BC1645&lt;=0,"Aussenlager","teilweise")))))</f>
        <v>Aussenlager</v>
      </c>
      <c r="BG1645" s="55" t="str">
        <f aca="false">IF(A1645="","",IF(BP1645=1,"Neu; ","")&amp;IF(AND(BP1645=0,BK1645&lt;0),"negativer Bestand (Export "&amp;BK1645&amp;"); ","")&amp;IF(J1645&lt;=0,"Kein Verbrauch; ","")&amp;IF(CH1645&gt;0,"Lift "&amp;W1645&amp;" lt. Liftbericht (Fach "&amp;X1645&amp;" Stk); ",IF(BU1645=1,"Gebinde geschätzt ("&amp;T1645&amp;"); ",IF(BT1645=1,"Lose – Tablare geschätzt; ","")))&amp;IF(H1645&gt;AR1645,"Überbestand "&amp;ROUND(H1645-AR1645,0)&amp;" Stk / CHF "&amp;ROUND((H1645-AR1645)*G1645,0)&amp;"; ","")&amp;IF(AND(CA1645=1,CB1645&lt;CC1645),"MAX &lt; MB+LG; ","")&amp;IF(AND(CG1645&gt;0,CF1645*10&gt;CG1645),"zu hoch für Tablar; ","")&amp;IF(AND(BP1645=0,OR(CA1645=1,AA1645&lt;&gt;"",U1645&lt;&gt;"",V1645&lt;&gt;"",AB1645&lt;&gt;"")),"manuell übersteuert; ","")&amp;IF(AND(BT1645=0,R1645=0),"Gebinde unbekannt / Stellmass fehlt; ","")&amp;IF(AND(BT1645=0,N(V1645)&lt;=0,N(Q1645)&lt;=0),"Menge pro Gebinde fehlt (Ist = 1 Gebinde); ","")&amp;BO1645)</f>
        <v>Kein Verbrauch; Gebinde geschätzt (Klein); Menge pro Gebinde fehlt (Ist = 1 Gebinde); nur im Artikelstamm (Bestand 23.06.2026)</v>
      </c>
      <c r="BH1645" s="55"/>
      <c r="BI1645" s="55"/>
      <c r="BJ1645" s="62"/>
      <c r="BK1645" s="57" t="n">
        <v>2</v>
      </c>
      <c r="BL1645" s="57" t="n">
        <v>0</v>
      </c>
      <c r="BM1645" s="56" t="n">
        <v>0</v>
      </c>
      <c r="BN1645" s="57" t="n">
        <v>0</v>
      </c>
      <c r="BO1645" s="55" t="s">
        <v>2575</v>
      </c>
      <c r="BP1645" s="60" t="n">
        <v>0</v>
      </c>
      <c r="BQ1645" s="60" t="n">
        <v>1645</v>
      </c>
      <c r="BR1645" s="55" t="str">
        <f aca="false">IF(U1645&lt;&gt;"",UPPER(TRIM(U1645)),IF(BU1645=1,UPPER(VLOOKUP(T1645,Parameter!$I$27:$K$29,2,0)),IF(P1645="","LOSE",P1645)))</f>
        <v>S51</v>
      </c>
      <c r="BS1645" s="57" t="n">
        <f aca="false">IF(BR1645="LOSE",1,IF(N(V1645)&gt;0,V1645,IF(BU1645=1,MAX(1,N(VLOOKUP(T1645,Parameter!$I$27:$K$29,3,0)),H1645,N(N1645)),IF(N(Q1645)&gt;0,Q1645,MAX(1,H1645)))))</f>
        <v>20</v>
      </c>
      <c r="BT1645" s="60" t="n">
        <f aca="false">IF(BR1645="LOSE",1,0)</f>
        <v>0</v>
      </c>
      <c r="BU1645" s="60" t="n">
        <f aca="false">IF(AND(U1645="",OR(P1645="",P1645="LOSE"),T1645&lt;&gt;"",N(S1645)&lt;=0,ISNUMBER(MATCH(T1645,Parameter!$I$27:$I$29,0))),1,0)</f>
        <v>1</v>
      </c>
      <c r="BV1645" s="55" t="str">
        <f aca="false">IF(AND(Parameter!$B$19="Ja",E1645&lt;&gt;"",ISNUMBER(MATCH(E1645,Parameter!$I$35:$I$52,0))),VLOOKUP(E1645,Parameter!$I$35:$J$52,2,0),IFERROR(VLOOKUP(D1645,Parameter!$A$35:$C$64,2,0),"Nein"))</f>
        <v>2+3</v>
      </c>
      <c r="BW1645" s="59" t="n">
        <f aca="false">IF(BT1645=0,0,IF(N(S1645)&gt;0,S1645,IFERROR(VLOOKUP(D1645,Parameter!$A$35:$C$64,3,0)+0,0)))</f>
        <v>0</v>
      </c>
      <c r="BX1645" s="55" t="n">
        <f aca="false">IF(AA1645&lt;&gt;"",AA1645,Z1645)</f>
        <v>3</v>
      </c>
      <c r="BY1645" s="55" t="str">
        <f aca="false">IF(BX1645=1,"L1",IF(OR(BX1645=2,BX1645=3),"L23",IF(BX1645="Aussen","Aussen","-")))</f>
        <v>L23</v>
      </c>
      <c r="BZ1645" s="66" t="n">
        <f aca="false">IF(N(AB1645)&gt;0,AB1645,0)</f>
        <v>0</v>
      </c>
      <c r="CA1645" s="60" t="n">
        <f aca="false">IF(ISNUMBER(AE1645),1,0)</f>
        <v>0</v>
      </c>
      <c r="CB1645" s="57" t="n">
        <f aca="false">N(AE1645)</f>
        <v>0</v>
      </c>
      <c r="CC1645" s="57" t="n">
        <f aca="false">N(M1645)+N(N1645)</f>
        <v>1</v>
      </c>
      <c r="CD1645" s="57" t="n">
        <f aca="false">ROUNDUP(H1645/BS1645,0)</f>
        <v>1</v>
      </c>
      <c r="CE1645" s="57" t="n">
        <f aca="false">ROUNDUP(CB1645/BS1645,0)</f>
        <v>0</v>
      </c>
      <c r="CF1645" s="60" t="n">
        <f aca="false">IF(BT1645=1,0,IFERROR(VLOOKUP(BR1645,'Gebinde-Kategorie'!$A$5:$M$45,5,0)+0,0))</f>
        <v>11</v>
      </c>
      <c r="CG1645" s="60" t="n">
        <f aca="false">IFERROR(IF(OR(BX1645=1,BX1645=2,BX1645=3),N(INDEX(Parameter!$I$5:$I$7,BX1645)),0),0)</f>
        <v>0</v>
      </c>
      <c r="CH1645" s="59" t="n">
        <f aca="false">IF(AND(Parameter!$B$21="Ja",ISNUMBER(W1645),N(X1645)&gt;0),IFERROR(N(INDEX(Parameter!$L$5:$L$7,W1645))*INDEX(Parameter!$E$5:$E$7,W1645)*X1645/SUMIFS($X$7:$X$1843,$W$7:$W$1843,W1645),0),0)</f>
        <v>0</v>
      </c>
    </row>
    <row r="1646" customFormat="false" ht="15" hidden="false" customHeight="false" outlineLevel="0" collapsed="false">
      <c r="A1646" s="55" t="s">
        <v>2863</v>
      </c>
      <c r="B1646" s="55" t="s">
        <v>2455</v>
      </c>
      <c r="C1646" s="55" t="s">
        <v>164</v>
      </c>
      <c r="D1646" s="55" t="s">
        <v>173</v>
      </c>
      <c r="E1646" s="55"/>
      <c r="F1646" s="55"/>
      <c r="G1646" s="56" t="n">
        <v>600</v>
      </c>
      <c r="H1646" s="57" t="n">
        <f aca="false">MAX(0,IF(AND(Parameter!$B$21="Ja",ISNUMBER(Y1646)),Y1646,IF(Parameter!$B$20="Jahresanfang 2025 + Export",BL1646+BK1646,BK1646)))</f>
        <v>1</v>
      </c>
      <c r="I1646" s="57" t="n">
        <f aca="false">H1646*G1646</f>
        <v>600</v>
      </c>
      <c r="J1646" s="57" t="n">
        <f aca="false">BN1646*Parameter!$B$18</f>
        <v>0</v>
      </c>
      <c r="K1646" s="58"/>
      <c r="L1646" s="59"/>
      <c r="M1646" s="57" t="n">
        <v>0</v>
      </c>
      <c r="N1646" s="57" t="n">
        <v>1</v>
      </c>
      <c r="O1646" s="60" t="n">
        <v>0</v>
      </c>
      <c r="P1646" s="55" t="s">
        <v>168</v>
      </c>
      <c r="Q1646" s="57"/>
      <c r="R1646" s="60" t="n">
        <f aca="false">IF(BT1646=1,0,IFERROR(VLOOKUP(BR1646,'Gebinde-Kategorie'!$A$5:$M$45,13,0)+0,0))</f>
        <v>3</v>
      </c>
      <c r="S1646" s="61"/>
      <c r="T1646" s="62" t="s">
        <v>189</v>
      </c>
      <c r="U1646" s="62"/>
      <c r="V1646" s="62"/>
      <c r="W1646" s="55"/>
      <c r="X1646" s="57"/>
      <c r="Y1646" s="57"/>
      <c r="Z1646" s="55" t="n">
        <f aca="false">IF(A1646="","",IF(AND(Parameter!$B$21="Ja",ISNUMBER(W1646)),W1646,IF(BV1646="2+3",IF(ISNUMBER(SEARCH("grosser Artikel",BO1646)),2,IFERROR(VLOOKUP(BR1646,Parameter!$F$35:$G$64,2,0),2)),IF(OR(BV1646="Nein",BV1646=""),"-",BV1646))))</f>
        <v>2</v>
      </c>
      <c r="AA1646" s="62"/>
      <c r="AB1646" s="63"/>
      <c r="AC1646" s="57" t="n">
        <f aca="false">AR1646</f>
        <v>2</v>
      </c>
      <c r="AD1646" s="57" t="n">
        <f aca="false">MAX(AR1646,H1646)</f>
        <v>2</v>
      </c>
      <c r="AE1646" s="64"/>
      <c r="AF1646" s="57" t="n">
        <f aca="false">IF(LEFT(Cockpit!$C$5,1)="A",H1646,IF(CA1646=1,CB1646,IF(LEFT(Cockpit!$C$5,1)="B",AJ1646,MAX(AJ1646,H1646))))</f>
        <v>1</v>
      </c>
      <c r="AG1646" s="57" t="n">
        <f aca="false">IF(BT1646=1,0,ROUNDUP(AF1646/BS1646,0))</f>
        <v>1</v>
      </c>
      <c r="AH1646" s="59" t="n">
        <f aca="false">IF(CH1646&gt;0,CH1646*MAX(1,AF1646/X1646),IF(BT1646=1,IF(AF1646&lt;=0,0,BW1646*MAX(1,IF(H1646&gt;0,AF1646/H1646,1))),IF(R1646&gt;0,AG1646/R1646,0))/MAX(0.1,N(Parameter!$M$21)))</f>
        <v>0.333333333333333</v>
      </c>
      <c r="AI1646" s="57" t="n">
        <f aca="false">AF1646*G1646</f>
        <v>600</v>
      </c>
      <c r="AJ1646" s="57" t="n">
        <f aca="false">ROUNDUP(MAX(J1646/IF(BZ1646&gt;0,BZ1646,MAX(0.1,N(Cockpit!$C$6))),CC1646)/BS1646,0)*BS1646</f>
        <v>2</v>
      </c>
      <c r="AK1646" s="58" t="n">
        <f aca="false">IF(AH1646&gt;0,J1646/AH1646,-1)</f>
        <v>0</v>
      </c>
      <c r="AL1646" s="58" t="n">
        <f aca="false">IF(AND(OR(BY1646="L1",BY1646="L23"),AH1646&gt;0),SUMIFS($AH$7:$AH$1843,$BY$7:$BY$1843,BY1646,$AK$7:$AK$1843,"&gt;"&amp;AK1646)+SUMIFS($AH$7:$AH$1843,$BY$7:$BY$1843,BY1646,$AK$7:$AK$1843,AK1646,$BQ$7:$BQ$1843,"&lt;="&amp;BQ1646),"")</f>
        <v>88.4178659504747</v>
      </c>
      <c r="AM1646" s="65" t="n">
        <f aca="false">IF(AL1646="",0,MAX(0,MIN(1,(IF(BY1646="L1",Parameter!$E$5,Parameter!$E$6+Parameter!$E$7)-(AL1646-AH1646))/AH1646)))</f>
        <v>1</v>
      </c>
      <c r="AN1646" s="57" t="n">
        <f aca="false">IF(LEFT(Cockpit!$I$5,1)="A",H1646,IF(CA1646=1,CB1646,IF(LEFT(Cockpit!$I$5,1)="B",AR1646,MAX(AR1646,H1646))))</f>
        <v>2</v>
      </c>
      <c r="AO1646" s="57" t="n">
        <f aca="false">IF(BT1646=1,0,ROUNDUP(AN1646/BS1646,0))</f>
        <v>1</v>
      </c>
      <c r="AP1646" s="59" t="n">
        <f aca="false">IF(CH1646&gt;0,CH1646*MAX(1,AN1646/X1646),IF(BT1646=1,IF(AN1646&lt;=0,0,BW1646*MAX(1,IF(H1646&gt;0,AN1646/H1646,1))),IF(R1646&gt;0,AO1646/R1646,0))/MAX(0.1,N(Parameter!$M$21)))</f>
        <v>0.333333333333333</v>
      </c>
      <c r="AQ1646" s="57" t="n">
        <f aca="false">AN1646*G1646</f>
        <v>1200</v>
      </c>
      <c r="AR1646" s="57" t="n">
        <f aca="false">ROUNDUP(MAX(J1646/IF(BZ1646&gt;0,BZ1646,MAX(0.1,N(Cockpit!$I$6))),CC1646)/BS1646,0)*BS1646</f>
        <v>2</v>
      </c>
      <c r="AS1646" s="58" t="n">
        <f aca="false">IF(AP1646&gt;0,J1646/AP1646,-1)</f>
        <v>0</v>
      </c>
      <c r="AT1646" s="58" t="n">
        <f aca="false">IF(AND(OR(BY1646="L1",BY1646="L23"),AP1646&gt;0),SUMIFS($AP$7:$AP$1843,$BY$7:$BY$1843,BY1646,$AS$7:$AS$1843,"&gt;"&amp;AS1646)+SUMIFS($AP$7:$AP$1843,$BY$7:$BY$1843,BY1646,$AS$7:$AS$1843,AS1646,$BQ$7:$BQ$1843,"&lt;="&amp;BQ1646),"")</f>
        <v>133.670002702611</v>
      </c>
      <c r="AU1646" s="65" t="n">
        <f aca="false">IF(AT1646="",0,MAX(0,MIN(1,(IF(BY1646="L1",Parameter!$E$5,Parameter!$E$6+Parameter!$E$7)-(AT1646-AP1646))/AP1646)))</f>
        <v>0</v>
      </c>
      <c r="AV1646" s="57" t="n">
        <f aca="false">IF(LEFT(Cockpit!$O$5,1)="A",H1646,IF(CA1646=1,CB1646,IF(LEFT(Cockpit!$O$5,1)="B",AZ1646,MAX(AZ1646,H1646))))</f>
        <v>2</v>
      </c>
      <c r="AW1646" s="57" t="n">
        <f aca="false">IF(BT1646=1,0,ROUNDUP(AV1646/BS1646,0))</f>
        <v>1</v>
      </c>
      <c r="AX1646" s="59" t="n">
        <f aca="false">IF(CH1646&gt;0,CH1646*MAX(1,AV1646/X1646),IF(BT1646=1,IF(AV1646&lt;=0,0,BW1646*MAX(1,IF(H1646&gt;0,AV1646/H1646,1))),IF(R1646&gt;0,AW1646/R1646,0))/MAX(0.1,N(Parameter!$M$21)))</f>
        <v>0.333333333333333</v>
      </c>
      <c r="AY1646" s="57" t="n">
        <f aca="false">AV1646*G1646</f>
        <v>1200</v>
      </c>
      <c r="AZ1646" s="57" t="n">
        <f aca="false">ROUNDUP(MAX(J1646/IF(BZ1646&gt;0,BZ1646,MAX(0.1,N(Cockpit!$O$6))),CC1646)/BS1646,0)*BS1646</f>
        <v>2</v>
      </c>
      <c r="BA1646" s="58" t="n">
        <f aca="false">IF(AX1646&gt;0,J1646/AX1646,-1)</f>
        <v>0</v>
      </c>
      <c r="BB1646" s="58" t="n">
        <f aca="false">IF(AND(OR(BY1646="L1",BY1646="L23"),AX1646&gt;0),SUMIFS($AX$7:$AX$1843,$BY$7:$BY$1843,BY1646,$BA$7:$BA$1843,"&gt;"&amp;BA1646)+SUMIFS($AX$7:$AX$1843,$BY$7:$BY$1843,BY1646,$BA$7:$BA$1843,BA1646,$BQ$7:$BQ$1843,"&lt;="&amp;BQ1646),"")</f>
        <v>124.499839532448</v>
      </c>
      <c r="BC1646" s="65" t="n">
        <f aca="false">IF(BB1646="",0,MAX(0,MIN(1,(IF(BY1646="L1",Parameter!$E$5,Parameter!$E$6+Parameter!$E$7)-(BB1646-AX1646))/AX1646)))</f>
        <v>0</v>
      </c>
      <c r="BD1646" s="55" t="str">
        <f aca="false">IF(AH1646&lt;=0,"",IF(BY1646="Aussen","Aussenlager",IF(BY1646="-","Nicht im Lift",IF(AM1646&gt;=1,"Lift",IF(AM1646&lt;=0,"Aussenlager","teilweise")))))</f>
        <v>Lift</v>
      </c>
      <c r="BE1646" s="55" t="str">
        <f aca="false">IF(AP1646&lt;=0,"",IF(BY1646="Aussen","Aussenlager",IF(BY1646="-","Nicht im Lift",IF(AU1646&gt;=1,"Lift",IF(AU1646&lt;=0,"Aussenlager","teilweise")))))</f>
        <v>Aussenlager</v>
      </c>
      <c r="BF1646" s="55" t="str">
        <f aca="false">IF(AX1646&lt;=0,"",IF(BY1646="Aussen","Aussenlager",IF(BY1646="-","Nicht im Lift",IF(BC1646&gt;=1,"Lift",IF(BC1646&lt;=0,"Aussenlager","teilweise")))))</f>
        <v>Aussenlager</v>
      </c>
      <c r="BG1646" s="55" t="str">
        <f aca="false">IF(A1646="","",IF(BP1646=1,"Neu; ","")&amp;IF(AND(BP1646=0,BK1646&lt;0),"negativer Bestand (Export "&amp;BK1646&amp;"); ","")&amp;IF(J1646&lt;=0,"Kein Verbrauch; ","")&amp;IF(CH1646&gt;0,"Lift "&amp;W1646&amp;" lt. Liftbericht (Fach "&amp;X1646&amp;" Stk); ",IF(BU1646=1,"Gebinde geschätzt ("&amp;T1646&amp;"); ",IF(BT1646=1,"Lose – Tablare geschätzt; ","")))&amp;IF(H1646&gt;AR1646,"Überbestand "&amp;ROUND(H1646-AR1646,0)&amp;" Stk / CHF "&amp;ROUND((H1646-AR1646)*G1646,0)&amp;"; ","")&amp;IF(AND(CA1646=1,CB1646&lt;CC1646),"MAX &lt; MB+LG; ","")&amp;IF(AND(CG1646&gt;0,CF1646*10&gt;CG1646),"zu hoch für Tablar; ","")&amp;IF(AND(BP1646=0,OR(CA1646=1,AA1646&lt;&gt;"",U1646&lt;&gt;"",V1646&lt;&gt;"",AB1646&lt;&gt;"")),"manuell übersteuert; ","")&amp;IF(AND(BT1646=0,R1646=0),"Gebinde unbekannt / Stellmass fehlt; ","")&amp;IF(AND(BT1646=0,N(V1646)&lt;=0,N(Q1646)&lt;=0),"Menge pro Gebinde fehlt (Ist = 1 Gebinde); ","")&amp;BO1646)</f>
        <v>Kein Verbrauch; Gebinde geschätzt (Gross); Menge pro Gebinde fehlt (Ist = 1 Gebinde); nur im Artikelstamm (Bestand 23.06.2026)</v>
      </c>
      <c r="BH1646" s="55"/>
      <c r="BI1646" s="55"/>
      <c r="BJ1646" s="62"/>
      <c r="BK1646" s="57" t="n">
        <v>1</v>
      </c>
      <c r="BL1646" s="57" t="n">
        <v>0</v>
      </c>
      <c r="BM1646" s="56" t="n">
        <v>0</v>
      </c>
      <c r="BN1646" s="57" t="n">
        <v>0</v>
      </c>
      <c r="BO1646" s="55" t="s">
        <v>2575</v>
      </c>
      <c r="BP1646" s="60" t="n">
        <v>0</v>
      </c>
      <c r="BQ1646" s="60" t="n">
        <v>1646</v>
      </c>
      <c r="BR1646" s="55" t="str">
        <f aca="false">IF(U1646&lt;&gt;"",UPPER(TRIM(U1646)),IF(BU1646=1,UPPER(VLOOKUP(T1646,Parameter!$I$27:$K$29,2,0)),IF(P1646="","LOSE",P1646)))</f>
        <v>S81</v>
      </c>
      <c r="BS1646" s="57" t="n">
        <f aca="false">IF(BR1646="LOSE",1,IF(N(V1646)&gt;0,V1646,IF(BU1646=1,MAX(1,N(VLOOKUP(T1646,Parameter!$I$27:$K$29,3,0)),H1646,N(N1646)),IF(N(Q1646)&gt;0,Q1646,MAX(1,H1646)))))</f>
        <v>2</v>
      </c>
      <c r="BT1646" s="60" t="n">
        <f aca="false">IF(BR1646="LOSE",1,0)</f>
        <v>0</v>
      </c>
      <c r="BU1646" s="60" t="n">
        <f aca="false">IF(AND(U1646="",OR(P1646="",P1646="LOSE"),T1646&lt;&gt;"",N(S1646)&lt;=0,ISNUMBER(MATCH(T1646,Parameter!$I$27:$I$29,0))),1,0)</f>
        <v>1</v>
      </c>
      <c r="BV1646" s="55" t="str">
        <f aca="false">IF(AND(Parameter!$B$19="Ja",E1646&lt;&gt;"",ISNUMBER(MATCH(E1646,Parameter!$I$35:$I$52,0))),VLOOKUP(E1646,Parameter!$I$35:$J$52,2,0),IFERROR(VLOOKUP(D1646,Parameter!$A$35:$C$64,2,0),"Nein"))</f>
        <v>2+3</v>
      </c>
      <c r="BW1646" s="59" t="n">
        <f aca="false">IF(BT1646=0,0,IF(N(S1646)&gt;0,S1646,IFERROR(VLOOKUP(D1646,Parameter!$A$35:$C$64,3,0)+0,0)))</f>
        <v>0</v>
      </c>
      <c r="BX1646" s="55" t="n">
        <f aca="false">IF(AA1646&lt;&gt;"",AA1646,Z1646)</f>
        <v>2</v>
      </c>
      <c r="BY1646" s="55" t="str">
        <f aca="false">IF(BX1646=1,"L1",IF(OR(BX1646=2,BX1646=3),"L23",IF(BX1646="Aussen","Aussen","-")))</f>
        <v>L23</v>
      </c>
      <c r="BZ1646" s="66" t="n">
        <f aca="false">IF(N(AB1646)&gt;0,AB1646,0)</f>
        <v>0</v>
      </c>
      <c r="CA1646" s="60" t="n">
        <f aca="false">IF(ISNUMBER(AE1646),1,0)</f>
        <v>0</v>
      </c>
      <c r="CB1646" s="57" t="n">
        <f aca="false">N(AE1646)</f>
        <v>0</v>
      </c>
      <c r="CC1646" s="57" t="n">
        <f aca="false">N(M1646)+N(N1646)</f>
        <v>1</v>
      </c>
      <c r="CD1646" s="57" t="n">
        <f aca="false">ROUNDUP(H1646/BS1646,0)</f>
        <v>1</v>
      </c>
      <c r="CE1646" s="57" t="n">
        <f aca="false">ROUNDUP(CB1646/BS1646,0)</f>
        <v>0</v>
      </c>
      <c r="CF1646" s="60" t="n">
        <f aca="false">IF(BT1646=1,0,IFERROR(VLOOKUP(BR1646,'Gebinde-Kategorie'!$A$5:$M$45,5,0)+0,0))</f>
        <v>20</v>
      </c>
      <c r="CG1646" s="60" t="n">
        <f aca="false">IFERROR(IF(OR(BX1646=1,BX1646=2,BX1646=3),N(INDEX(Parameter!$I$5:$I$7,BX1646)),0),0)</f>
        <v>0</v>
      </c>
      <c r="CH1646" s="59" t="n">
        <f aca="false">IF(AND(Parameter!$B$21="Ja",ISNUMBER(W1646),N(X1646)&gt;0),IFERROR(N(INDEX(Parameter!$L$5:$L$7,W1646))*INDEX(Parameter!$E$5:$E$7,W1646)*X1646/SUMIFS($X$7:$X$1843,$W$7:$W$1843,W1646),0),0)</f>
        <v>0</v>
      </c>
    </row>
    <row r="1647" customFormat="false" ht="15" hidden="false" customHeight="false" outlineLevel="0" collapsed="false">
      <c r="A1647" s="55" t="s">
        <v>2864</v>
      </c>
      <c r="B1647" s="55" t="s">
        <v>2865</v>
      </c>
      <c r="C1647" s="55" t="s">
        <v>164</v>
      </c>
      <c r="D1647" s="55" t="s">
        <v>173</v>
      </c>
      <c r="E1647" s="55" t="s">
        <v>185</v>
      </c>
      <c r="F1647" s="55"/>
      <c r="G1647" s="56" t="n">
        <v>5.42</v>
      </c>
      <c r="H1647" s="57" t="n">
        <f aca="false">MAX(0,IF(AND(Parameter!$B$21="Ja",ISNUMBER(Y1647)),Y1647,IF(Parameter!$B$20="Jahresanfang 2025 + Export",BL1647+BK1647,BK1647)))</f>
        <v>203</v>
      </c>
      <c r="I1647" s="57" t="n">
        <f aca="false">H1647*G1647</f>
        <v>1100.26</v>
      </c>
      <c r="J1647" s="57" t="n">
        <f aca="false">BN1647*Parameter!$B$18</f>
        <v>0</v>
      </c>
      <c r="K1647" s="58"/>
      <c r="L1647" s="59"/>
      <c r="M1647" s="57" t="n">
        <v>0</v>
      </c>
      <c r="N1647" s="57" t="n">
        <v>50</v>
      </c>
      <c r="O1647" s="60" t="n">
        <v>14</v>
      </c>
      <c r="P1647" s="55" t="s">
        <v>168</v>
      </c>
      <c r="Q1647" s="57"/>
      <c r="R1647" s="60" t="n">
        <f aca="false">IF(BT1647=1,0,IFERROR(VLOOKUP(BR1647,'Gebinde-Kategorie'!$A$5:$M$45,13,0)+0,0))</f>
        <v>12</v>
      </c>
      <c r="S1647" s="61"/>
      <c r="T1647" s="62" t="s">
        <v>179</v>
      </c>
      <c r="U1647" s="62"/>
      <c r="V1647" s="62"/>
      <c r="W1647" s="55"/>
      <c r="X1647" s="57"/>
      <c r="Y1647" s="57"/>
      <c r="Z1647" s="55" t="n">
        <f aca="false">IF(A1647="","",IF(AND(Parameter!$B$21="Ja",ISNUMBER(W1647)),W1647,IF(BV1647="2+3",IF(ISNUMBER(SEARCH("grosser Artikel",BO1647)),2,IFERROR(VLOOKUP(BR1647,Parameter!$F$35:$G$64,2,0),2)),IF(OR(BV1647="Nein",BV1647=""),"-",BV1647))))</f>
        <v>2</v>
      </c>
      <c r="AA1647" s="62"/>
      <c r="AB1647" s="63"/>
      <c r="AC1647" s="57" t="n">
        <f aca="false">AR1647</f>
        <v>203</v>
      </c>
      <c r="AD1647" s="57" t="n">
        <f aca="false">MAX(AR1647,H1647)</f>
        <v>203</v>
      </c>
      <c r="AE1647" s="64"/>
      <c r="AF1647" s="57" t="n">
        <f aca="false">IF(LEFT(Cockpit!$C$5,1)="A",H1647,IF(CA1647=1,CB1647,IF(LEFT(Cockpit!$C$5,1)="B",AJ1647,MAX(AJ1647,H1647))))</f>
        <v>203</v>
      </c>
      <c r="AG1647" s="57" t="n">
        <f aca="false">IF(BT1647=1,0,ROUNDUP(AF1647/BS1647,0))</f>
        <v>1</v>
      </c>
      <c r="AH1647" s="59" t="n">
        <f aca="false">IF(CH1647&gt;0,CH1647*MAX(1,AF1647/X1647),IF(BT1647=1,IF(AF1647&lt;=0,0,BW1647*MAX(1,IF(H1647&gt;0,AF1647/H1647,1))),IF(R1647&gt;0,AG1647/R1647,0))/MAX(0.1,N(Parameter!$M$21)))</f>
        <v>0.0833333333333333</v>
      </c>
      <c r="AI1647" s="57" t="n">
        <f aca="false">AF1647*G1647</f>
        <v>1100.26</v>
      </c>
      <c r="AJ1647" s="57" t="n">
        <f aca="false">ROUNDUP(MAX(J1647/IF(BZ1647&gt;0,BZ1647,MAX(0.1,N(Cockpit!$C$6))),CC1647)/BS1647,0)*BS1647</f>
        <v>203</v>
      </c>
      <c r="AK1647" s="58" t="n">
        <f aca="false">IF(AH1647&gt;0,J1647/AH1647,-1)</f>
        <v>0</v>
      </c>
      <c r="AL1647" s="58" t="n">
        <f aca="false">IF(AND(OR(BY1647="L1",BY1647="L23"),AH1647&gt;0),SUMIFS($AH$7:$AH$1843,$BY$7:$BY$1843,BY1647,$AK$7:$AK$1843,"&gt;"&amp;AK1647)+SUMIFS($AH$7:$AH$1843,$BY$7:$BY$1843,BY1647,$AK$7:$AK$1843,AK1647,$BQ$7:$BQ$1843,"&lt;="&amp;BQ1647),"")</f>
        <v>88.501199283808</v>
      </c>
      <c r="AM1647" s="65" t="n">
        <f aca="false">IF(AL1647="",0,MAX(0,MIN(1,(IF(BY1647="L1",Parameter!$E$5,Parameter!$E$6+Parameter!$E$7)-(AL1647-AH1647))/AH1647)))</f>
        <v>1</v>
      </c>
      <c r="AN1647" s="57" t="n">
        <f aca="false">IF(LEFT(Cockpit!$I$5,1)="A",H1647,IF(CA1647=1,CB1647,IF(LEFT(Cockpit!$I$5,1)="B",AR1647,MAX(AR1647,H1647))))</f>
        <v>203</v>
      </c>
      <c r="AO1647" s="57" t="n">
        <f aca="false">IF(BT1647=1,0,ROUNDUP(AN1647/BS1647,0))</f>
        <v>1</v>
      </c>
      <c r="AP1647" s="59" t="n">
        <f aca="false">IF(CH1647&gt;0,CH1647*MAX(1,AN1647/X1647),IF(BT1647=1,IF(AN1647&lt;=0,0,BW1647*MAX(1,IF(H1647&gt;0,AN1647/H1647,1))),IF(R1647&gt;0,AO1647/R1647,0))/MAX(0.1,N(Parameter!$M$21)))</f>
        <v>0.0833333333333333</v>
      </c>
      <c r="AQ1647" s="57" t="n">
        <f aca="false">AN1647*G1647</f>
        <v>1100.26</v>
      </c>
      <c r="AR1647" s="57" t="n">
        <f aca="false">ROUNDUP(MAX(J1647/IF(BZ1647&gt;0,BZ1647,MAX(0.1,N(Cockpit!$I$6))),CC1647)/BS1647,0)*BS1647</f>
        <v>203</v>
      </c>
      <c r="AS1647" s="58" t="n">
        <f aca="false">IF(AP1647&gt;0,J1647/AP1647,-1)</f>
        <v>0</v>
      </c>
      <c r="AT1647" s="58" t="n">
        <f aca="false">IF(AND(OR(BY1647="L1",BY1647="L23"),AP1647&gt;0),SUMIFS($AP$7:$AP$1843,$BY$7:$BY$1843,BY1647,$AS$7:$AS$1843,"&gt;"&amp;AS1647)+SUMIFS($AP$7:$AP$1843,$BY$7:$BY$1843,BY1647,$AS$7:$AS$1843,AS1647,$BQ$7:$BQ$1843,"&lt;="&amp;BQ1647),"")</f>
        <v>133.753336035945</v>
      </c>
      <c r="AU1647" s="65" t="n">
        <f aca="false">IF(AT1647="",0,MAX(0,MIN(1,(IF(BY1647="L1",Parameter!$E$5,Parameter!$E$6+Parameter!$E$7)-(AT1647-AP1647))/AP1647)))</f>
        <v>0</v>
      </c>
      <c r="AV1647" s="57" t="n">
        <f aca="false">IF(LEFT(Cockpit!$O$5,1)="A",H1647,IF(CA1647=1,CB1647,IF(LEFT(Cockpit!$O$5,1)="B",AZ1647,MAX(AZ1647,H1647))))</f>
        <v>203</v>
      </c>
      <c r="AW1647" s="57" t="n">
        <f aca="false">IF(BT1647=1,0,ROUNDUP(AV1647/BS1647,0))</f>
        <v>1</v>
      </c>
      <c r="AX1647" s="59" t="n">
        <f aca="false">IF(CH1647&gt;0,CH1647*MAX(1,AV1647/X1647),IF(BT1647=1,IF(AV1647&lt;=0,0,BW1647*MAX(1,IF(H1647&gt;0,AV1647/H1647,1))),IF(R1647&gt;0,AW1647/R1647,0))/MAX(0.1,N(Parameter!$M$21)))</f>
        <v>0.0833333333333333</v>
      </c>
      <c r="AY1647" s="57" t="n">
        <f aca="false">AV1647*G1647</f>
        <v>1100.26</v>
      </c>
      <c r="AZ1647" s="57" t="n">
        <f aca="false">ROUNDUP(MAX(J1647/IF(BZ1647&gt;0,BZ1647,MAX(0.1,N(Cockpit!$O$6))),CC1647)/BS1647,0)*BS1647</f>
        <v>203</v>
      </c>
      <c r="BA1647" s="58" t="n">
        <f aca="false">IF(AX1647&gt;0,J1647/AX1647,-1)</f>
        <v>0</v>
      </c>
      <c r="BB1647" s="58" t="n">
        <f aca="false">IF(AND(OR(BY1647="L1",BY1647="L23"),AX1647&gt;0),SUMIFS($AX$7:$AX$1843,$BY$7:$BY$1843,BY1647,$BA$7:$BA$1843,"&gt;"&amp;BA1647)+SUMIFS($AX$7:$AX$1843,$BY$7:$BY$1843,BY1647,$BA$7:$BA$1843,BA1647,$BQ$7:$BQ$1843,"&lt;="&amp;BQ1647),"")</f>
        <v>124.583172865782</v>
      </c>
      <c r="BC1647" s="65" t="n">
        <f aca="false">IF(BB1647="",0,MAX(0,MIN(1,(IF(BY1647="L1",Parameter!$E$5,Parameter!$E$6+Parameter!$E$7)-(BB1647-AX1647))/AX1647)))</f>
        <v>0</v>
      </c>
      <c r="BD1647" s="55" t="str">
        <f aca="false">IF(AH1647&lt;=0,"",IF(BY1647="Aussen","Aussenlager",IF(BY1647="-","Nicht im Lift",IF(AM1647&gt;=1,"Lift",IF(AM1647&lt;=0,"Aussenlager","teilweise")))))</f>
        <v>Lift</v>
      </c>
      <c r="BE1647" s="55" t="str">
        <f aca="false">IF(AP1647&lt;=0,"",IF(BY1647="Aussen","Aussenlager",IF(BY1647="-","Nicht im Lift",IF(AU1647&gt;=1,"Lift",IF(AU1647&lt;=0,"Aussenlager","teilweise")))))</f>
        <v>Aussenlager</v>
      </c>
      <c r="BF1647" s="55" t="str">
        <f aca="false">IF(AX1647&lt;=0,"",IF(BY1647="Aussen","Aussenlager",IF(BY1647="-","Nicht im Lift",IF(BC1647&gt;=1,"Lift",IF(BC1647&lt;=0,"Aussenlager","teilweise")))))</f>
        <v>Aussenlager</v>
      </c>
      <c r="BG1647" s="55" t="str">
        <f aca="false">IF(A1647="","",IF(BP1647=1,"Neu; ","")&amp;IF(AND(BP1647=0,BK1647&lt;0),"negativer Bestand (Export "&amp;BK1647&amp;"); ","")&amp;IF(J1647&lt;=0,"Kein Verbrauch; ","")&amp;IF(CH1647&gt;0,"Lift "&amp;W1647&amp;" lt. Liftbericht (Fach "&amp;X1647&amp;" Stk); ",IF(BU1647=1,"Gebinde geschätzt ("&amp;T1647&amp;"); ",IF(BT1647=1,"Lose – Tablare geschätzt; ","")))&amp;IF(H1647&gt;AR1647,"Überbestand "&amp;ROUND(H1647-AR1647,0)&amp;" Stk / CHF "&amp;ROUND((H1647-AR1647)*G1647,0)&amp;"; ","")&amp;IF(AND(CA1647=1,CB1647&lt;CC1647),"MAX &lt; MB+LG; ","")&amp;IF(AND(CG1647&gt;0,CF1647*10&gt;CG1647),"zu hoch für Tablar; ","")&amp;IF(AND(BP1647=0,OR(CA1647=1,AA1647&lt;&gt;"",U1647&lt;&gt;"",V1647&lt;&gt;"",AB1647&lt;&gt;"")),"manuell übersteuert; ","")&amp;IF(AND(BT1647=0,R1647=0),"Gebinde unbekannt / Stellmass fehlt; ","")&amp;IF(AND(BT1647=0,N(V1647)&lt;=0,N(Q1647)&lt;=0),"Menge pro Gebinde fehlt (Ist = 1 Gebinde); ","")&amp;BO1647)</f>
        <v>Kein Verbrauch; Gebinde geschätzt (Mittel); Menge pro Gebinde fehlt (Ist = 1 Gebinde); nur im Artikelstamm (Bestand 23.06.2026); Neu; nicht im KTL vorhanden</v>
      </c>
      <c r="BH1647" s="55"/>
      <c r="BI1647" s="55"/>
      <c r="BJ1647" s="62"/>
      <c r="BK1647" s="57" t="n">
        <v>203</v>
      </c>
      <c r="BL1647" s="57" t="n">
        <v>0</v>
      </c>
      <c r="BM1647" s="56" t="n">
        <v>0</v>
      </c>
      <c r="BN1647" s="57" t="n">
        <v>0</v>
      </c>
      <c r="BO1647" s="55" t="s">
        <v>2866</v>
      </c>
      <c r="BP1647" s="60" t="n">
        <v>0</v>
      </c>
      <c r="BQ1647" s="60" t="n">
        <v>1647</v>
      </c>
      <c r="BR1647" s="55" t="str">
        <f aca="false">IF(U1647&lt;&gt;"",UPPER(TRIM(U1647)),IF(BU1647=1,UPPER(VLOOKUP(T1647,Parameter!$I$27:$K$29,2,0)),IF(P1647="","LOSE",P1647)))</f>
        <v>S61</v>
      </c>
      <c r="BS1647" s="57" t="n">
        <f aca="false">IF(BR1647="LOSE",1,IF(N(V1647)&gt;0,V1647,IF(BU1647=1,MAX(1,N(VLOOKUP(T1647,Parameter!$I$27:$K$29,3,0)),H1647,N(N1647)),IF(N(Q1647)&gt;0,Q1647,MAX(1,H1647)))))</f>
        <v>203</v>
      </c>
      <c r="BT1647" s="60" t="n">
        <f aca="false">IF(BR1647="LOSE",1,0)</f>
        <v>0</v>
      </c>
      <c r="BU1647" s="60" t="n">
        <f aca="false">IF(AND(U1647="",OR(P1647="",P1647="LOSE"),T1647&lt;&gt;"",N(S1647)&lt;=0,ISNUMBER(MATCH(T1647,Parameter!$I$27:$I$29,0))),1,0)</f>
        <v>1</v>
      </c>
      <c r="BV1647" s="55" t="str">
        <f aca="false">IF(AND(Parameter!$B$19="Ja",E1647&lt;&gt;"",ISNUMBER(MATCH(E1647,Parameter!$I$35:$I$52,0))),VLOOKUP(E1647,Parameter!$I$35:$J$52,2,0),IFERROR(VLOOKUP(D1647,Parameter!$A$35:$C$64,2,0),"Nein"))</f>
        <v>2+3</v>
      </c>
      <c r="BW1647" s="59" t="n">
        <f aca="false">IF(BT1647=0,0,IF(N(S1647)&gt;0,S1647,IFERROR(VLOOKUP(D1647,Parameter!$A$35:$C$64,3,0)+0,0)))</f>
        <v>0</v>
      </c>
      <c r="BX1647" s="55" t="n">
        <f aca="false">IF(AA1647&lt;&gt;"",AA1647,Z1647)</f>
        <v>2</v>
      </c>
      <c r="BY1647" s="55" t="str">
        <f aca="false">IF(BX1647=1,"L1",IF(OR(BX1647=2,BX1647=3),"L23",IF(BX1647="Aussen","Aussen","-")))</f>
        <v>L23</v>
      </c>
      <c r="BZ1647" s="66" t="n">
        <f aca="false">IF(N(AB1647)&gt;0,AB1647,0)</f>
        <v>0</v>
      </c>
      <c r="CA1647" s="60" t="n">
        <f aca="false">IF(ISNUMBER(AE1647),1,0)</f>
        <v>0</v>
      </c>
      <c r="CB1647" s="57" t="n">
        <f aca="false">N(AE1647)</f>
        <v>0</v>
      </c>
      <c r="CC1647" s="57" t="n">
        <f aca="false">N(M1647)+N(N1647)</f>
        <v>50</v>
      </c>
      <c r="CD1647" s="57" t="n">
        <f aca="false">ROUNDUP(H1647/BS1647,0)</f>
        <v>1</v>
      </c>
      <c r="CE1647" s="57" t="n">
        <f aca="false">ROUNDUP(CB1647/BS1647,0)</f>
        <v>0</v>
      </c>
      <c r="CF1647" s="60" t="n">
        <f aca="false">IF(BT1647=1,0,IFERROR(VLOOKUP(BR1647,'Gebinde-Kategorie'!$A$5:$M$45,5,0)+0,0))</f>
        <v>11</v>
      </c>
      <c r="CG1647" s="60" t="n">
        <f aca="false">IFERROR(IF(OR(BX1647=1,BX1647=2,BX1647=3),N(INDEX(Parameter!$I$5:$I$7,BX1647)),0),0)</f>
        <v>0</v>
      </c>
      <c r="CH1647" s="59" t="n">
        <f aca="false">IF(AND(Parameter!$B$21="Ja",ISNUMBER(W1647),N(X1647)&gt;0),IFERROR(N(INDEX(Parameter!$L$5:$L$7,W1647))*INDEX(Parameter!$E$5:$E$7,W1647)*X1647/SUMIFS($X$7:$X$1843,$W$7:$W$1843,W1647),0),0)</f>
        <v>0</v>
      </c>
    </row>
    <row r="1648" customFormat="false" ht="15" hidden="false" customHeight="false" outlineLevel="0" collapsed="false">
      <c r="A1648" s="55" t="s">
        <v>2867</v>
      </c>
      <c r="B1648" s="55" t="s">
        <v>2868</v>
      </c>
      <c r="C1648" s="55" t="s">
        <v>164</v>
      </c>
      <c r="D1648" s="55" t="s">
        <v>184</v>
      </c>
      <c r="E1648" s="55"/>
      <c r="F1648" s="55"/>
      <c r="G1648" s="56" t="n">
        <v>1.87</v>
      </c>
      <c r="H1648" s="57" t="n">
        <f aca="false">MAX(0,IF(AND(Parameter!$B$21="Ja",ISNUMBER(Y1648)),Y1648,IF(Parameter!$B$20="Jahresanfang 2025 + Export",BL1648+BK1648,BK1648)))</f>
        <v>44</v>
      </c>
      <c r="I1648" s="57" t="n">
        <f aca="false">H1648*G1648</f>
        <v>82.28</v>
      </c>
      <c r="J1648" s="57" t="n">
        <f aca="false">BN1648*Parameter!$B$18</f>
        <v>0</v>
      </c>
      <c r="K1648" s="58"/>
      <c r="L1648" s="59"/>
      <c r="M1648" s="57" t="n">
        <v>0</v>
      </c>
      <c r="N1648" s="57" t="n">
        <v>25</v>
      </c>
      <c r="O1648" s="60" t="n">
        <v>42</v>
      </c>
      <c r="P1648" s="55" t="s">
        <v>168</v>
      </c>
      <c r="Q1648" s="57"/>
      <c r="R1648" s="60" t="n">
        <f aca="false">IF(BT1648=1,0,IFERROR(VLOOKUP(BR1648,'Gebinde-Kategorie'!$A$5:$M$45,13,0)+0,0))</f>
        <v>26</v>
      </c>
      <c r="S1648" s="61"/>
      <c r="T1648" s="62" t="s">
        <v>275</v>
      </c>
      <c r="U1648" s="62"/>
      <c r="V1648" s="62"/>
      <c r="W1648" s="55"/>
      <c r="X1648" s="57"/>
      <c r="Y1648" s="57"/>
      <c r="Z1648" s="55" t="n">
        <f aca="false">IF(A1648="","",IF(AND(Parameter!$B$21="Ja",ISNUMBER(W1648)),W1648,IF(BV1648="2+3",IF(ISNUMBER(SEARCH("grosser Artikel",BO1648)),2,IFERROR(VLOOKUP(BR1648,Parameter!$F$35:$G$64,2,0),2)),IF(OR(BV1648="Nein",BV1648=""),"-",BV1648))))</f>
        <v>3</v>
      </c>
      <c r="AA1648" s="62"/>
      <c r="AB1648" s="63"/>
      <c r="AC1648" s="57" t="n">
        <f aca="false">AR1648</f>
        <v>44</v>
      </c>
      <c r="AD1648" s="57" t="n">
        <f aca="false">MAX(AR1648,H1648)</f>
        <v>44</v>
      </c>
      <c r="AE1648" s="64"/>
      <c r="AF1648" s="57" t="n">
        <f aca="false">IF(LEFT(Cockpit!$C$5,1)="A",H1648,IF(CA1648=1,CB1648,IF(LEFT(Cockpit!$C$5,1)="B",AJ1648,MAX(AJ1648,H1648))))</f>
        <v>44</v>
      </c>
      <c r="AG1648" s="57" t="n">
        <f aca="false">IF(BT1648=1,0,ROUNDUP(AF1648/BS1648,0))</f>
        <v>1</v>
      </c>
      <c r="AH1648" s="59" t="n">
        <f aca="false">IF(CH1648&gt;0,CH1648*MAX(1,AF1648/X1648),IF(BT1648=1,IF(AF1648&lt;=0,0,BW1648*MAX(1,IF(H1648&gt;0,AF1648/H1648,1))),IF(R1648&gt;0,AG1648/R1648,0))/MAX(0.1,N(Parameter!$M$21)))</f>
        <v>0.0384615384615385</v>
      </c>
      <c r="AI1648" s="57" t="n">
        <f aca="false">AF1648*G1648</f>
        <v>82.28</v>
      </c>
      <c r="AJ1648" s="57" t="n">
        <f aca="false">ROUNDUP(MAX(J1648/IF(BZ1648&gt;0,BZ1648,MAX(0.1,N(Cockpit!$C$6))),CC1648)/BS1648,0)*BS1648</f>
        <v>44</v>
      </c>
      <c r="AK1648" s="58" t="n">
        <f aca="false">IF(AH1648&gt;0,J1648/AH1648,-1)</f>
        <v>0</v>
      </c>
      <c r="AL1648" s="58" t="n">
        <f aca="false">IF(AND(OR(BY1648="L1",BY1648="L23"),AH1648&gt;0),SUMIFS($AH$7:$AH$1843,$BY$7:$BY$1843,BY1648,$AK$7:$AK$1843,"&gt;"&amp;AK1648)+SUMIFS($AH$7:$AH$1843,$BY$7:$BY$1843,BY1648,$AK$7:$AK$1843,AK1648,$BQ$7:$BQ$1843,"&lt;="&amp;BQ1648),"")</f>
        <v>88.5396608222695</v>
      </c>
      <c r="AM1648" s="65" t="n">
        <f aca="false">IF(AL1648="",0,MAX(0,MIN(1,(IF(BY1648="L1",Parameter!$E$5,Parameter!$E$6+Parameter!$E$7)-(AL1648-AH1648))/AH1648)))</f>
        <v>1</v>
      </c>
      <c r="AN1648" s="57" t="n">
        <f aca="false">IF(LEFT(Cockpit!$I$5,1)="A",H1648,IF(CA1648=1,CB1648,IF(LEFT(Cockpit!$I$5,1)="B",AR1648,MAX(AR1648,H1648))))</f>
        <v>44</v>
      </c>
      <c r="AO1648" s="57" t="n">
        <f aca="false">IF(BT1648=1,0,ROUNDUP(AN1648/BS1648,0))</f>
        <v>1</v>
      </c>
      <c r="AP1648" s="59" t="n">
        <f aca="false">IF(CH1648&gt;0,CH1648*MAX(1,AN1648/X1648),IF(BT1648=1,IF(AN1648&lt;=0,0,BW1648*MAX(1,IF(H1648&gt;0,AN1648/H1648,1))),IF(R1648&gt;0,AO1648/R1648,0))/MAX(0.1,N(Parameter!$M$21)))</f>
        <v>0.0384615384615385</v>
      </c>
      <c r="AQ1648" s="57" t="n">
        <f aca="false">AN1648*G1648</f>
        <v>82.28</v>
      </c>
      <c r="AR1648" s="57" t="n">
        <f aca="false">ROUNDUP(MAX(J1648/IF(BZ1648&gt;0,BZ1648,MAX(0.1,N(Cockpit!$I$6))),CC1648)/BS1648,0)*BS1648</f>
        <v>44</v>
      </c>
      <c r="AS1648" s="58" t="n">
        <f aca="false">IF(AP1648&gt;0,J1648/AP1648,-1)</f>
        <v>0</v>
      </c>
      <c r="AT1648" s="58" t="n">
        <f aca="false">IF(AND(OR(BY1648="L1",BY1648="L23"),AP1648&gt;0),SUMIFS($AP$7:$AP$1843,$BY$7:$BY$1843,BY1648,$AS$7:$AS$1843,"&gt;"&amp;AS1648)+SUMIFS($AP$7:$AP$1843,$BY$7:$BY$1843,BY1648,$AS$7:$AS$1843,AS1648,$BQ$7:$BQ$1843,"&lt;="&amp;BQ1648),"")</f>
        <v>133.791797574406</v>
      </c>
      <c r="AU1648" s="65" t="n">
        <f aca="false">IF(AT1648="",0,MAX(0,MIN(1,(IF(BY1648="L1",Parameter!$E$5,Parameter!$E$6+Parameter!$E$7)-(AT1648-AP1648))/AP1648)))</f>
        <v>0</v>
      </c>
      <c r="AV1648" s="57" t="n">
        <f aca="false">IF(LEFT(Cockpit!$O$5,1)="A",H1648,IF(CA1648=1,CB1648,IF(LEFT(Cockpit!$O$5,1)="B",AZ1648,MAX(AZ1648,H1648))))</f>
        <v>44</v>
      </c>
      <c r="AW1648" s="57" t="n">
        <f aca="false">IF(BT1648=1,0,ROUNDUP(AV1648/BS1648,0))</f>
        <v>1</v>
      </c>
      <c r="AX1648" s="59" t="n">
        <f aca="false">IF(CH1648&gt;0,CH1648*MAX(1,AV1648/X1648),IF(BT1648=1,IF(AV1648&lt;=0,0,BW1648*MAX(1,IF(H1648&gt;0,AV1648/H1648,1))),IF(R1648&gt;0,AW1648/R1648,0))/MAX(0.1,N(Parameter!$M$21)))</f>
        <v>0.0384615384615385</v>
      </c>
      <c r="AY1648" s="57" t="n">
        <f aca="false">AV1648*G1648</f>
        <v>82.28</v>
      </c>
      <c r="AZ1648" s="57" t="n">
        <f aca="false">ROUNDUP(MAX(J1648/IF(BZ1648&gt;0,BZ1648,MAX(0.1,N(Cockpit!$O$6))),CC1648)/BS1648,0)*BS1648</f>
        <v>44</v>
      </c>
      <c r="BA1648" s="58" t="n">
        <f aca="false">IF(AX1648&gt;0,J1648/AX1648,-1)</f>
        <v>0</v>
      </c>
      <c r="BB1648" s="58" t="n">
        <f aca="false">IF(AND(OR(BY1648="L1",BY1648="L23"),AX1648&gt;0),SUMIFS($AX$7:$AX$1843,$BY$7:$BY$1843,BY1648,$BA$7:$BA$1843,"&gt;"&amp;BA1648)+SUMIFS($AX$7:$AX$1843,$BY$7:$BY$1843,BY1648,$BA$7:$BA$1843,BA1648,$BQ$7:$BQ$1843,"&lt;="&amp;BQ1648),"")</f>
        <v>124.621634404243</v>
      </c>
      <c r="BC1648" s="65" t="n">
        <f aca="false">IF(BB1648="",0,MAX(0,MIN(1,(IF(BY1648="L1",Parameter!$E$5,Parameter!$E$6+Parameter!$E$7)-(BB1648-AX1648))/AX1648)))</f>
        <v>0</v>
      </c>
      <c r="BD1648" s="55" t="str">
        <f aca="false">IF(AH1648&lt;=0,"",IF(BY1648="Aussen","Aussenlager",IF(BY1648="-","Nicht im Lift",IF(AM1648&gt;=1,"Lift",IF(AM1648&lt;=0,"Aussenlager","teilweise")))))</f>
        <v>Lift</v>
      </c>
      <c r="BE1648" s="55" t="str">
        <f aca="false">IF(AP1648&lt;=0,"",IF(BY1648="Aussen","Aussenlager",IF(BY1648="-","Nicht im Lift",IF(AU1648&gt;=1,"Lift",IF(AU1648&lt;=0,"Aussenlager","teilweise")))))</f>
        <v>Aussenlager</v>
      </c>
      <c r="BF1648" s="55" t="str">
        <f aca="false">IF(AX1648&lt;=0,"",IF(BY1648="Aussen","Aussenlager",IF(BY1648="-","Nicht im Lift",IF(BC1648&gt;=1,"Lift",IF(BC1648&lt;=0,"Aussenlager","teilweise")))))</f>
        <v>Aussenlager</v>
      </c>
      <c r="BG1648" s="55" t="str">
        <f aca="false">IF(A1648="","",IF(BP1648=1,"Neu; ","")&amp;IF(AND(BP1648=0,BK1648&lt;0),"negativer Bestand (Export "&amp;BK1648&amp;"); ","")&amp;IF(J1648&lt;=0,"Kein Verbrauch; ","")&amp;IF(CH1648&gt;0,"Lift "&amp;W1648&amp;" lt. Liftbericht (Fach "&amp;X1648&amp;" Stk); ",IF(BU1648=1,"Gebinde geschätzt ("&amp;T1648&amp;"); ",IF(BT1648=1,"Lose – Tablare geschätzt; ","")))&amp;IF(H1648&gt;AR1648,"Überbestand "&amp;ROUND(H1648-AR1648,0)&amp;" Stk / CHF "&amp;ROUND((H1648-AR1648)*G1648,0)&amp;"; ","")&amp;IF(AND(CA1648=1,CB1648&lt;CC1648),"MAX &lt; MB+LG; ","")&amp;IF(AND(CG1648&gt;0,CF1648*10&gt;CG1648),"zu hoch für Tablar; ","")&amp;IF(AND(BP1648=0,OR(CA1648=1,AA1648&lt;&gt;"",U1648&lt;&gt;"",V1648&lt;&gt;"",AB1648&lt;&gt;"")),"manuell übersteuert; ","")&amp;IF(AND(BT1648=0,R1648=0),"Gebinde unbekannt / Stellmass fehlt; ","")&amp;IF(AND(BT1648=0,N(V1648)&lt;=0,N(Q1648)&lt;=0),"Menge pro Gebinde fehlt (Ist = 1 Gebinde); ","")&amp;BO1648)</f>
        <v>Kein Verbrauch; Gebinde geschätzt (Klein); Menge pro Gebinde fehlt (Ist = 1 Gebinde); nur im Artikelstamm (Bestand 23.06.2026)</v>
      </c>
      <c r="BH1648" s="55"/>
      <c r="BI1648" s="55"/>
      <c r="BJ1648" s="62"/>
      <c r="BK1648" s="57" t="n">
        <v>44</v>
      </c>
      <c r="BL1648" s="57" t="n">
        <v>0</v>
      </c>
      <c r="BM1648" s="56" t="n">
        <v>0</v>
      </c>
      <c r="BN1648" s="57" t="n">
        <v>0</v>
      </c>
      <c r="BO1648" s="55" t="s">
        <v>2575</v>
      </c>
      <c r="BP1648" s="60" t="n">
        <v>0</v>
      </c>
      <c r="BQ1648" s="60" t="n">
        <v>1648</v>
      </c>
      <c r="BR1648" s="55" t="str">
        <f aca="false">IF(U1648&lt;&gt;"",UPPER(TRIM(U1648)),IF(BU1648=1,UPPER(VLOOKUP(T1648,Parameter!$I$27:$K$29,2,0)),IF(P1648="","LOSE",P1648)))</f>
        <v>S51</v>
      </c>
      <c r="BS1648" s="57" t="n">
        <f aca="false">IF(BR1648="LOSE",1,IF(N(V1648)&gt;0,V1648,IF(BU1648=1,MAX(1,N(VLOOKUP(T1648,Parameter!$I$27:$K$29,3,0)),H1648,N(N1648)),IF(N(Q1648)&gt;0,Q1648,MAX(1,H1648)))))</f>
        <v>44</v>
      </c>
      <c r="BT1648" s="60" t="n">
        <f aca="false">IF(BR1648="LOSE",1,0)</f>
        <v>0</v>
      </c>
      <c r="BU1648" s="60" t="n">
        <f aca="false">IF(AND(U1648="",OR(P1648="",P1648="LOSE"),T1648&lt;&gt;"",N(S1648)&lt;=0,ISNUMBER(MATCH(T1648,Parameter!$I$27:$I$29,0))),1,0)</f>
        <v>1</v>
      </c>
      <c r="BV1648" s="55" t="str">
        <f aca="false">IF(AND(Parameter!$B$19="Ja",E1648&lt;&gt;"",ISNUMBER(MATCH(E1648,Parameter!$I$35:$I$52,0))),VLOOKUP(E1648,Parameter!$I$35:$J$52,2,0),IFERROR(VLOOKUP(D1648,Parameter!$A$35:$C$64,2,0),"Nein"))</f>
        <v>2+3</v>
      </c>
      <c r="BW1648" s="59" t="n">
        <f aca="false">IF(BT1648=0,0,IF(N(S1648)&gt;0,S1648,IFERROR(VLOOKUP(D1648,Parameter!$A$35:$C$64,3,0)+0,0)))</f>
        <v>0</v>
      </c>
      <c r="BX1648" s="55" t="n">
        <f aca="false">IF(AA1648&lt;&gt;"",AA1648,Z1648)</f>
        <v>3</v>
      </c>
      <c r="BY1648" s="55" t="str">
        <f aca="false">IF(BX1648=1,"L1",IF(OR(BX1648=2,BX1648=3),"L23",IF(BX1648="Aussen","Aussen","-")))</f>
        <v>L23</v>
      </c>
      <c r="BZ1648" s="66" t="n">
        <f aca="false">IF(N(AB1648)&gt;0,AB1648,0)</f>
        <v>0</v>
      </c>
      <c r="CA1648" s="60" t="n">
        <f aca="false">IF(ISNUMBER(AE1648),1,0)</f>
        <v>0</v>
      </c>
      <c r="CB1648" s="57" t="n">
        <f aca="false">N(AE1648)</f>
        <v>0</v>
      </c>
      <c r="CC1648" s="57" t="n">
        <f aca="false">N(M1648)+N(N1648)</f>
        <v>25</v>
      </c>
      <c r="CD1648" s="57" t="n">
        <f aca="false">ROUNDUP(H1648/BS1648,0)</f>
        <v>1</v>
      </c>
      <c r="CE1648" s="57" t="n">
        <f aca="false">ROUNDUP(CB1648/BS1648,0)</f>
        <v>0</v>
      </c>
      <c r="CF1648" s="60" t="n">
        <f aca="false">IF(BT1648=1,0,IFERROR(VLOOKUP(BR1648,'Gebinde-Kategorie'!$A$5:$M$45,5,0)+0,0))</f>
        <v>11</v>
      </c>
      <c r="CG1648" s="60" t="n">
        <f aca="false">IFERROR(IF(OR(BX1648=1,BX1648=2,BX1648=3),N(INDEX(Parameter!$I$5:$I$7,BX1648)),0),0)</f>
        <v>0</v>
      </c>
      <c r="CH1648" s="59" t="n">
        <f aca="false">IF(AND(Parameter!$B$21="Ja",ISNUMBER(W1648),N(X1648)&gt;0),IFERROR(N(INDEX(Parameter!$L$5:$L$7,W1648))*INDEX(Parameter!$E$5:$E$7,W1648)*X1648/SUMIFS($X$7:$X$1843,$W$7:$W$1843,W1648),0),0)</f>
        <v>0</v>
      </c>
    </row>
    <row r="1649" customFormat="false" ht="15" hidden="false" customHeight="false" outlineLevel="0" collapsed="false">
      <c r="A1649" s="55" t="s">
        <v>2869</v>
      </c>
      <c r="B1649" s="55" t="s">
        <v>2424</v>
      </c>
      <c r="C1649" s="55" t="s">
        <v>164</v>
      </c>
      <c r="D1649" s="55" t="s">
        <v>173</v>
      </c>
      <c r="E1649" s="55"/>
      <c r="F1649" s="55"/>
      <c r="G1649" s="56" t="n">
        <v>341</v>
      </c>
      <c r="H1649" s="57" t="n">
        <f aca="false">MAX(0,IF(AND(Parameter!$B$21="Ja",ISNUMBER(Y1649)),Y1649,IF(Parameter!$B$20="Jahresanfang 2025 + Export",BL1649+BK1649,BK1649)))</f>
        <v>1</v>
      </c>
      <c r="I1649" s="57" t="n">
        <f aca="false">H1649*G1649</f>
        <v>341</v>
      </c>
      <c r="J1649" s="57" t="n">
        <f aca="false">BN1649*Parameter!$B$18</f>
        <v>0</v>
      </c>
      <c r="K1649" s="58"/>
      <c r="L1649" s="59"/>
      <c r="M1649" s="57" t="n">
        <v>1</v>
      </c>
      <c r="N1649" s="57" t="n">
        <v>7</v>
      </c>
      <c r="O1649" s="60" t="n">
        <v>56</v>
      </c>
      <c r="P1649" s="55" t="s">
        <v>168</v>
      </c>
      <c r="Q1649" s="57"/>
      <c r="R1649" s="60" t="n">
        <f aca="false">IF(BT1649=1,0,IFERROR(VLOOKUP(BR1649,'Gebinde-Kategorie'!$A$5:$M$45,13,0)+0,0))</f>
        <v>0</v>
      </c>
      <c r="S1649" s="61"/>
      <c r="T1649" s="62"/>
      <c r="U1649" s="62"/>
      <c r="V1649" s="62"/>
      <c r="W1649" s="55" t="n">
        <v>1</v>
      </c>
      <c r="X1649" s="57" t="n">
        <v>1</v>
      </c>
      <c r="Y1649" s="57" t="n">
        <v>1</v>
      </c>
      <c r="Z1649" s="55" t="n">
        <f aca="false">IF(A1649="","",IF(AND(Parameter!$B$21="Ja",ISNUMBER(W1649)),W1649,IF(BV1649="2+3",IF(ISNUMBER(SEARCH("grosser Artikel",BO1649)),2,IFERROR(VLOOKUP(BR1649,Parameter!$F$35:$G$64,2,0),2)),IF(OR(BV1649="Nein",BV1649=""),"-",BV1649))))</f>
        <v>1</v>
      </c>
      <c r="AA1649" s="62"/>
      <c r="AB1649" s="63"/>
      <c r="AC1649" s="57" t="n">
        <f aca="false">AR1649</f>
        <v>8</v>
      </c>
      <c r="AD1649" s="57" t="n">
        <f aca="false">MAX(AR1649,H1649)</f>
        <v>8</v>
      </c>
      <c r="AE1649" s="64"/>
      <c r="AF1649" s="57" t="n">
        <f aca="false">IF(LEFT(Cockpit!$C$5,1)="A",H1649,IF(CA1649=1,CB1649,IF(LEFT(Cockpit!$C$5,1)="B",AJ1649,MAX(AJ1649,H1649))))</f>
        <v>1</v>
      </c>
      <c r="AG1649" s="57" t="n">
        <f aca="false">IF(BT1649=1,0,ROUNDUP(AF1649/BS1649,0))</f>
        <v>0</v>
      </c>
      <c r="AH1649" s="59" t="n">
        <f aca="false">IF(CH1649&gt;0,CH1649*MAX(1,AF1649/X1649),IF(BT1649=1,IF(AF1649&lt;=0,0,BW1649*MAX(1,IF(H1649&gt;0,AF1649/H1649,1))),IF(R1649&gt;0,AG1649/R1649,0))/MAX(0.1,N(Parameter!$M$21)))</f>
        <v>0.0800376647834275</v>
      </c>
      <c r="AI1649" s="57" t="n">
        <f aca="false">AF1649*G1649</f>
        <v>341</v>
      </c>
      <c r="AJ1649" s="57" t="n">
        <f aca="false">ROUNDUP(MAX(J1649/IF(BZ1649&gt;0,BZ1649,MAX(0.1,N(Cockpit!$C$6))),CC1649)/BS1649,0)*BS1649</f>
        <v>8</v>
      </c>
      <c r="AK1649" s="58" t="n">
        <f aca="false">IF(AH1649&gt;0,J1649/AH1649,-1)</f>
        <v>0</v>
      </c>
      <c r="AL1649" s="58" t="n">
        <f aca="false">IF(AND(OR(BY1649="L1",BY1649="L23"),AH1649&gt;0),SUMIFS($AH$7:$AH$1843,$BY$7:$BY$1843,BY1649,$AK$7:$AK$1843,"&gt;"&amp;AK1649)+SUMIFS($AH$7:$AH$1843,$BY$7:$BY$1843,BY1649,$AK$7:$AK$1843,AK1649,$BQ$7:$BQ$1843,"&lt;="&amp;BQ1649),"")</f>
        <v>53.4658513311793</v>
      </c>
      <c r="AM1649" s="65" t="n">
        <f aca="false">IF(AL1649="",0,MAX(0,MIN(1,(IF(BY1649="L1",Parameter!$E$5,Parameter!$E$6+Parameter!$E$7)-(AL1649-AH1649))/AH1649)))</f>
        <v>0</v>
      </c>
      <c r="AN1649" s="57" t="n">
        <f aca="false">IF(LEFT(Cockpit!$I$5,1)="A",H1649,IF(CA1649=1,CB1649,IF(LEFT(Cockpit!$I$5,1)="B",AR1649,MAX(AR1649,H1649))))</f>
        <v>8</v>
      </c>
      <c r="AO1649" s="57" t="n">
        <f aca="false">IF(BT1649=1,0,ROUNDUP(AN1649/BS1649,0))</f>
        <v>0</v>
      </c>
      <c r="AP1649" s="59" t="n">
        <f aca="false">IF(CH1649&gt;0,CH1649*MAX(1,AN1649/X1649),IF(BT1649=1,IF(AN1649&lt;=0,0,BW1649*MAX(1,IF(H1649&gt;0,AN1649/H1649,1))),IF(R1649&gt;0,AO1649/R1649,0))/MAX(0.1,N(Parameter!$M$21)))</f>
        <v>0.64030131826742</v>
      </c>
      <c r="AQ1649" s="57" t="n">
        <f aca="false">AN1649*G1649</f>
        <v>2728</v>
      </c>
      <c r="AR1649" s="57" t="n">
        <f aca="false">ROUNDUP(MAX(J1649/IF(BZ1649&gt;0,BZ1649,MAX(0.1,N(Cockpit!$I$6))),CC1649)/BS1649,0)*BS1649</f>
        <v>8</v>
      </c>
      <c r="AS1649" s="58" t="n">
        <f aca="false">IF(AP1649&gt;0,J1649/AP1649,-1)</f>
        <v>0</v>
      </c>
      <c r="AT1649" s="58" t="n">
        <f aca="false">IF(AND(OR(BY1649="L1",BY1649="L23"),AP1649&gt;0),SUMIFS($AP$7:$AP$1843,$BY$7:$BY$1843,BY1649,$AS$7:$AS$1843,"&gt;"&amp;AS1649)+SUMIFS($AP$7:$AP$1843,$BY$7:$BY$1843,BY1649,$AS$7:$AS$1843,AS1649,$BQ$7:$BQ$1843,"&lt;="&amp;BQ1649),"")</f>
        <v>69.8657499259931</v>
      </c>
      <c r="AU1649" s="65" t="n">
        <f aca="false">IF(AT1649="",0,MAX(0,MIN(1,(IF(BY1649="L1",Parameter!$E$5,Parameter!$E$6+Parameter!$E$7)-(AT1649-AP1649))/AP1649)))</f>
        <v>0</v>
      </c>
      <c r="AV1649" s="57" t="n">
        <f aca="false">IF(LEFT(Cockpit!$O$5,1)="A",H1649,IF(CA1649=1,CB1649,IF(LEFT(Cockpit!$O$5,1)="B",AZ1649,MAX(AZ1649,H1649))))</f>
        <v>8</v>
      </c>
      <c r="AW1649" s="57" t="n">
        <f aca="false">IF(BT1649=1,0,ROUNDUP(AV1649/BS1649,0))</f>
        <v>0</v>
      </c>
      <c r="AX1649" s="59" t="n">
        <f aca="false">IF(CH1649&gt;0,CH1649*MAX(1,AV1649/X1649),IF(BT1649=1,IF(AV1649&lt;=0,0,BW1649*MAX(1,IF(H1649&gt;0,AV1649/H1649,1))),IF(R1649&gt;0,AW1649/R1649,0))/MAX(0.1,N(Parameter!$M$21)))</f>
        <v>0.64030131826742</v>
      </c>
      <c r="AY1649" s="57" t="n">
        <f aca="false">AV1649*G1649</f>
        <v>2728</v>
      </c>
      <c r="AZ1649" s="57" t="n">
        <f aca="false">ROUNDUP(MAX(J1649/IF(BZ1649&gt;0,BZ1649,MAX(0.1,N(Cockpit!$O$6))),CC1649)/BS1649,0)*BS1649</f>
        <v>8</v>
      </c>
      <c r="BA1649" s="58" t="n">
        <f aca="false">IF(AX1649&gt;0,J1649/AX1649,-1)</f>
        <v>0</v>
      </c>
      <c r="BB1649" s="58" t="n">
        <f aca="false">IF(AND(OR(BY1649="L1",BY1649="L23"),AX1649&gt;0),SUMIFS($AX$7:$AX$1843,$BY$7:$BY$1843,BY1649,$BA$7:$BA$1843,"&gt;"&amp;BA1649)+SUMIFS($AX$7:$AX$1843,$BY$7:$BY$1843,BY1649,$BA$7:$BA$1843,BA1649,$BQ$7:$BQ$1843,"&lt;="&amp;BQ1649),"")</f>
        <v>63.5325614572114</v>
      </c>
      <c r="BC1649" s="65" t="n">
        <f aca="false">IF(BB1649="",0,MAX(0,MIN(1,(IF(BY1649="L1",Parameter!$E$5,Parameter!$E$6+Parameter!$E$7)-(BB1649-AX1649))/AX1649)))</f>
        <v>0</v>
      </c>
      <c r="BD1649" s="55" t="str">
        <f aca="false">IF(AH1649&lt;=0,"",IF(BY1649="Aussen","Aussenlager",IF(BY1649="-","Nicht im Lift",IF(AM1649&gt;=1,"Lift",IF(AM1649&lt;=0,"Aussenlager","teilweise")))))</f>
        <v>Aussenlager</v>
      </c>
      <c r="BE1649" s="55" t="str">
        <f aca="false">IF(AP1649&lt;=0,"",IF(BY1649="Aussen","Aussenlager",IF(BY1649="-","Nicht im Lift",IF(AU1649&gt;=1,"Lift",IF(AU1649&lt;=0,"Aussenlager","teilweise")))))</f>
        <v>Aussenlager</v>
      </c>
      <c r="BF1649" s="55" t="str">
        <f aca="false">IF(AX1649&lt;=0,"",IF(BY1649="Aussen","Aussenlager",IF(BY1649="-","Nicht im Lift",IF(BC1649&gt;=1,"Lift",IF(BC1649&lt;=0,"Aussenlager","teilweise")))))</f>
        <v>Aussenlager</v>
      </c>
      <c r="BG1649" s="55" t="str">
        <f aca="false">IF(A1649="","",IF(BP1649=1,"Neu; ","")&amp;IF(AND(BP1649=0,BK1649&lt;0),"negativer Bestand (Export "&amp;BK1649&amp;"); ","")&amp;IF(J1649&lt;=0,"Kein Verbrauch; ","")&amp;IF(CH1649&gt;0,"Lift "&amp;W1649&amp;" lt. Liftbericht (Fach "&amp;X1649&amp;" Stk); ",IF(BU1649=1,"Gebinde geschätzt ("&amp;T1649&amp;"); ",IF(BT1649=1,"Lose – Tablare geschätzt; ","")))&amp;IF(H1649&gt;AR1649,"Überbestand "&amp;ROUND(H1649-AR1649,0)&amp;" Stk / CHF "&amp;ROUND((H1649-AR1649)*G1649,0)&amp;"; ","")&amp;IF(AND(CA1649=1,CB1649&lt;CC1649),"MAX &lt; MB+LG; ","")&amp;IF(AND(CG1649&gt;0,CF1649*10&gt;CG1649),"zu hoch für Tablar; ","")&amp;IF(AND(BP1649=0,OR(CA1649=1,AA1649&lt;&gt;"",U1649&lt;&gt;"",V1649&lt;&gt;"",AB1649&lt;&gt;"")),"manuell übersteuert; ","")&amp;IF(AND(BT1649=0,R1649=0),"Gebinde unbekannt / Stellmass fehlt; ","")&amp;IF(AND(BT1649=0,N(V1649)&lt;=0,N(Q1649)&lt;=0),"Menge pro Gebinde fehlt (Ist = 1 Gebinde); ","")&amp;BO1649)</f>
        <v>Kein Verbrauch; Lift 1 lt. Liftbericht (Fach 1 Stk); nur im Artikelstamm (Bestand 23.06.2026)</v>
      </c>
      <c r="BH1649" s="55"/>
      <c r="BI1649" s="55"/>
      <c r="BJ1649" s="62"/>
      <c r="BK1649" s="57" t="n">
        <v>1</v>
      </c>
      <c r="BL1649" s="57" t="n">
        <v>0</v>
      </c>
      <c r="BM1649" s="56" t="n">
        <v>0</v>
      </c>
      <c r="BN1649" s="57" t="n">
        <v>0</v>
      </c>
      <c r="BO1649" s="55" t="s">
        <v>2575</v>
      </c>
      <c r="BP1649" s="60" t="n">
        <v>0</v>
      </c>
      <c r="BQ1649" s="60" t="n">
        <v>1649</v>
      </c>
      <c r="BR1649" s="55" t="str">
        <f aca="false">IF(U1649&lt;&gt;"",UPPER(TRIM(U1649)),IF(BU1649=1,UPPER(VLOOKUP(T1649,Parameter!$I$27:$K$29,2,0)),IF(P1649="","LOSE",P1649)))</f>
        <v>LOSE</v>
      </c>
      <c r="BS1649" s="57" t="n">
        <f aca="false">IF(BR1649="LOSE",1,IF(N(V1649)&gt;0,V1649,IF(BU1649=1,MAX(1,N(VLOOKUP(T1649,Parameter!$I$27:$K$29,3,0)),H1649,N(N1649)),IF(N(Q1649)&gt;0,Q1649,MAX(1,H1649)))))</f>
        <v>1</v>
      </c>
      <c r="BT1649" s="60" t="n">
        <f aca="false">IF(BR1649="LOSE",1,0)</f>
        <v>1</v>
      </c>
      <c r="BU1649" s="60" t="n">
        <f aca="false">IF(AND(U1649="",OR(P1649="",P1649="LOSE"),T1649&lt;&gt;"",N(S1649)&lt;=0,ISNUMBER(MATCH(T1649,Parameter!$I$27:$I$29,0))),1,0)</f>
        <v>0</v>
      </c>
      <c r="BV1649" s="55" t="str">
        <f aca="false">IF(AND(Parameter!$B$19="Ja",E1649&lt;&gt;"",ISNUMBER(MATCH(E1649,Parameter!$I$35:$I$52,0))),VLOOKUP(E1649,Parameter!$I$35:$J$52,2,0),IFERROR(VLOOKUP(D1649,Parameter!$A$35:$C$64,2,0),"Nein"))</f>
        <v>2+3</v>
      </c>
      <c r="BW1649" s="59" t="n">
        <f aca="false">IF(BT1649=0,0,IF(N(S1649)&gt;0,S1649,IFERROR(VLOOKUP(D1649,Parameter!$A$35:$C$64,3,0)+0,0)))</f>
        <v>0.15</v>
      </c>
      <c r="BX1649" s="55" t="n">
        <f aca="false">IF(AA1649&lt;&gt;"",AA1649,Z1649)</f>
        <v>1</v>
      </c>
      <c r="BY1649" s="55" t="str">
        <f aca="false">IF(BX1649=1,"L1",IF(OR(BX1649=2,BX1649=3),"L23",IF(BX1649="Aussen","Aussen","-")))</f>
        <v>L1</v>
      </c>
      <c r="BZ1649" s="66" t="n">
        <f aca="false">IF(N(AB1649)&gt;0,AB1649,0)</f>
        <v>0</v>
      </c>
      <c r="CA1649" s="60" t="n">
        <f aca="false">IF(ISNUMBER(AE1649),1,0)</f>
        <v>0</v>
      </c>
      <c r="CB1649" s="57" t="n">
        <f aca="false">N(AE1649)</f>
        <v>0</v>
      </c>
      <c r="CC1649" s="57" t="n">
        <f aca="false">N(M1649)+N(N1649)</f>
        <v>8</v>
      </c>
      <c r="CD1649" s="57" t="n">
        <f aca="false">ROUNDUP(H1649/BS1649,0)</f>
        <v>1</v>
      </c>
      <c r="CE1649" s="57" t="n">
        <f aca="false">ROUNDUP(CB1649/BS1649,0)</f>
        <v>0</v>
      </c>
      <c r="CF1649" s="60" t="n">
        <f aca="false">IF(BT1649=1,0,IFERROR(VLOOKUP(BR1649,'Gebinde-Kategorie'!$A$5:$M$45,5,0)+0,0))</f>
        <v>0</v>
      </c>
      <c r="CG1649" s="60" t="n">
        <f aca="false">IFERROR(IF(OR(BX1649=1,BX1649=2,BX1649=3),N(INDEX(Parameter!$I$5:$I$7,BX1649)),0),0)</f>
        <v>0</v>
      </c>
      <c r="CH1649" s="59" t="n">
        <f aca="false">IF(AND(Parameter!$B$21="Ja",ISNUMBER(W1649),N(X1649)&gt;0),IFERROR(N(INDEX(Parameter!$L$5:$L$7,W1649))*INDEX(Parameter!$E$5:$E$7,W1649)*X1649/SUMIFS($X$7:$X$1843,$W$7:$W$1843,W1649),0),0)</f>
        <v>0.0800376647834275</v>
      </c>
    </row>
    <row r="1650" customFormat="false" ht="15" hidden="false" customHeight="false" outlineLevel="0" collapsed="false">
      <c r="A1650" s="55" t="s">
        <v>2870</v>
      </c>
      <c r="B1650" s="55" t="s">
        <v>2424</v>
      </c>
      <c r="C1650" s="55" t="s">
        <v>164</v>
      </c>
      <c r="D1650" s="55" t="s">
        <v>173</v>
      </c>
      <c r="E1650" s="55"/>
      <c r="F1650" s="55"/>
      <c r="G1650" s="56" t="n">
        <v>463.5</v>
      </c>
      <c r="H1650" s="57" t="n">
        <f aca="false">MAX(0,IF(AND(Parameter!$B$21="Ja",ISNUMBER(Y1650)),Y1650,IF(Parameter!$B$20="Jahresanfang 2025 + Export",BL1650+BK1650,BK1650)))</f>
        <v>1</v>
      </c>
      <c r="I1650" s="57" t="n">
        <f aca="false">H1650*G1650</f>
        <v>463.5</v>
      </c>
      <c r="J1650" s="57" t="n">
        <f aca="false">BN1650*Parameter!$B$18</f>
        <v>0</v>
      </c>
      <c r="K1650" s="58"/>
      <c r="L1650" s="59"/>
      <c r="M1650" s="57" t="n">
        <v>1</v>
      </c>
      <c r="N1650" s="57" t="n">
        <v>7</v>
      </c>
      <c r="O1650" s="60" t="n">
        <v>56</v>
      </c>
      <c r="P1650" s="55" t="s">
        <v>168</v>
      </c>
      <c r="Q1650" s="57"/>
      <c r="R1650" s="60" t="n">
        <f aca="false">IF(BT1650=1,0,IFERROR(VLOOKUP(BR1650,'Gebinde-Kategorie'!$A$5:$M$45,13,0)+0,0))</f>
        <v>0</v>
      </c>
      <c r="S1650" s="61"/>
      <c r="T1650" s="62"/>
      <c r="U1650" s="62"/>
      <c r="V1650" s="62"/>
      <c r="W1650" s="55" t="n">
        <v>1</v>
      </c>
      <c r="X1650" s="57" t="n">
        <v>1</v>
      </c>
      <c r="Y1650" s="57" t="n">
        <v>1</v>
      </c>
      <c r="Z1650" s="55" t="n">
        <f aca="false">IF(A1650="","",IF(AND(Parameter!$B$21="Ja",ISNUMBER(W1650)),W1650,IF(BV1650="2+3",IF(ISNUMBER(SEARCH("grosser Artikel",BO1650)),2,IFERROR(VLOOKUP(BR1650,Parameter!$F$35:$G$64,2,0),2)),IF(OR(BV1650="Nein",BV1650=""),"-",BV1650))))</f>
        <v>1</v>
      </c>
      <c r="AA1650" s="62"/>
      <c r="AB1650" s="63"/>
      <c r="AC1650" s="57" t="n">
        <f aca="false">AR1650</f>
        <v>8</v>
      </c>
      <c r="AD1650" s="57" t="n">
        <f aca="false">MAX(AR1650,H1650)</f>
        <v>8</v>
      </c>
      <c r="AE1650" s="64"/>
      <c r="AF1650" s="57" t="n">
        <f aca="false">IF(LEFT(Cockpit!$C$5,1)="A",H1650,IF(CA1650=1,CB1650,IF(LEFT(Cockpit!$C$5,1)="B",AJ1650,MAX(AJ1650,H1650))))</f>
        <v>1</v>
      </c>
      <c r="AG1650" s="57" t="n">
        <f aca="false">IF(BT1650=1,0,ROUNDUP(AF1650/BS1650,0))</f>
        <v>0</v>
      </c>
      <c r="AH1650" s="59" t="n">
        <f aca="false">IF(CH1650&gt;0,CH1650*MAX(1,AF1650/X1650),IF(BT1650=1,IF(AF1650&lt;=0,0,BW1650*MAX(1,IF(H1650&gt;0,AF1650/H1650,1))),IF(R1650&gt;0,AG1650/R1650,0))/MAX(0.1,N(Parameter!$M$21)))</f>
        <v>0.0800376647834275</v>
      </c>
      <c r="AI1650" s="57" t="n">
        <f aca="false">AF1650*G1650</f>
        <v>463.5</v>
      </c>
      <c r="AJ1650" s="57" t="n">
        <f aca="false">ROUNDUP(MAX(J1650/IF(BZ1650&gt;0,BZ1650,MAX(0.1,N(Cockpit!$C$6))),CC1650)/BS1650,0)*BS1650</f>
        <v>8</v>
      </c>
      <c r="AK1650" s="58" t="n">
        <f aca="false">IF(AH1650&gt;0,J1650/AH1650,-1)</f>
        <v>0</v>
      </c>
      <c r="AL1650" s="58" t="n">
        <f aca="false">IF(AND(OR(BY1650="L1",BY1650="L23"),AH1650&gt;0),SUMIFS($AH$7:$AH$1843,$BY$7:$BY$1843,BY1650,$AK$7:$AK$1843,"&gt;"&amp;AK1650)+SUMIFS($AH$7:$AH$1843,$BY$7:$BY$1843,BY1650,$AK$7:$AK$1843,AK1650,$BQ$7:$BQ$1843,"&lt;="&amp;BQ1650),"")</f>
        <v>53.5458889959627</v>
      </c>
      <c r="AM1650" s="65" t="n">
        <f aca="false">IF(AL1650="",0,MAX(0,MIN(1,(IF(BY1650="L1",Parameter!$E$5,Parameter!$E$6+Parameter!$E$7)-(AL1650-AH1650))/AH1650)))</f>
        <v>0</v>
      </c>
      <c r="AN1650" s="57" t="n">
        <f aca="false">IF(LEFT(Cockpit!$I$5,1)="A",H1650,IF(CA1650=1,CB1650,IF(LEFT(Cockpit!$I$5,1)="B",AR1650,MAX(AR1650,H1650))))</f>
        <v>8</v>
      </c>
      <c r="AO1650" s="57" t="n">
        <f aca="false">IF(BT1650=1,0,ROUNDUP(AN1650/BS1650,0))</f>
        <v>0</v>
      </c>
      <c r="AP1650" s="59" t="n">
        <f aca="false">IF(CH1650&gt;0,CH1650*MAX(1,AN1650/X1650),IF(BT1650=1,IF(AN1650&lt;=0,0,BW1650*MAX(1,IF(H1650&gt;0,AN1650/H1650,1))),IF(R1650&gt;0,AO1650/R1650,0))/MAX(0.1,N(Parameter!$M$21)))</f>
        <v>0.64030131826742</v>
      </c>
      <c r="AQ1650" s="57" t="n">
        <f aca="false">AN1650*G1650</f>
        <v>3708</v>
      </c>
      <c r="AR1650" s="57" t="n">
        <f aca="false">ROUNDUP(MAX(J1650/IF(BZ1650&gt;0,BZ1650,MAX(0.1,N(Cockpit!$I$6))),CC1650)/BS1650,0)*BS1650</f>
        <v>8</v>
      </c>
      <c r="AS1650" s="58" t="n">
        <f aca="false">IF(AP1650&gt;0,J1650/AP1650,-1)</f>
        <v>0</v>
      </c>
      <c r="AT1650" s="58" t="n">
        <f aca="false">IF(AND(OR(BY1650="L1",BY1650="L23"),AP1650&gt;0),SUMIFS($AP$7:$AP$1843,$BY$7:$BY$1843,BY1650,$AS$7:$AS$1843,"&gt;"&amp;AS1650)+SUMIFS($AP$7:$AP$1843,$BY$7:$BY$1843,BY1650,$AS$7:$AS$1843,AS1650,$BQ$7:$BQ$1843,"&lt;="&amp;BQ1650),"")</f>
        <v>70.5060512442605</v>
      </c>
      <c r="AU1650" s="65" t="n">
        <f aca="false">IF(AT1650="",0,MAX(0,MIN(1,(IF(BY1650="L1",Parameter!$E$5,Parameter!$E$6+Parameter!$E$7)-(AT1650-AP1650))/AP1650)))</f>
        <v>0</v>
      </c>
      <c r="AV1650" s="57" t="n">
        <f aca="false">IF(LEFT(Cockpit!$O$5,1)="A",H1650,IF(CA1650=1,CB1650,IF(LEFT(Cockpit!$O$5,1)="B",AZ1650,MAX(AZ1650,H1650))))</f>
        <v>8</v>
      </c>
      <c r="AW1650" s="57" t="n">
        <f aca="false">IF(BT1650=1,0,ROUNDUP(AV1650/BS1650,0))</f>
        <v>0</v>
      </c>
      <c r="AX1650" s="59" t="n">
        <f aca="false">IF(CH1650&gt;0,CH1650*MAX(1,AV1650/X1650),IF(BT1650=1,IF(AV1650&lt;=0,0,BW1650*MAX(1,IF(H1650&gt;0,AV1650/H1650,1))),IF(R1650&gt;0,AW1650/R1650,0))/MAX(0.1,N(Parameter!$M$21)))</f>
        <v>0.64030131826742</v>
      </c>
      <c r="AY1650" s="57" t="n">
        <f aca="false">AV1650*G1650</f>
        <v>3708</v>
      </c>
      <c r="AZ1650" s="57" t="n">
        <f aca="false">ROUNDUP(MAX(J1650/IF(BZ1650&gt;0,BZ1650,MAX(0.1,N(Cockpit!$O$6))),CC1650)/BS1650,0)*BS1650</f>
        <v>8</v>
      </c>
      <c r="BA1650" s="58" t="n">
        <f aca="false">IF(AX1650&gt;0,J1650/AX1650,-1)</f>
        <v>0</v>
      </c>
      <c r="BB1650" s="58" t="n">
        <f aca="false">IF(AND(OR(BY1650="L1",BY1650="L23"),AX1650&gt;0),SUMIFS($AX$7:$AX$1843,$BY$7:$BY$1843,BY1650,$BA$7:$BA$1843,"&gt;"&amp;BA1650)+SUMIFS($AX$7:$AX$1843,$BY$7:$BY$1843,BY1650,$BA$7:$BA$1843,BA1650,$BQ$7:$BQ$1843,"&lt;="&amp;BQ1650),"")</f>
        <v>64.1728627754789</v>
      </c>
      <c r="BC1650" s="65" t="n">
        <f aca="false">IF(BB1650="",0,MAX(0,MIN(1,(IF(BY1650="L1",Parameter!$E$5,Parameter!$E$6+Parameter!$E$7)-(BB1650-AX1650))/AX1650)))</f>
        <v>0</v>
      </c>
      <c r="BD1650" s="55" t="str">
        <f aca="false">IF(AH1650&lt;=0,"",IF(BY1650="Aussen","Aussenlager",IF(BY1650="-","Nicht im Lift",IF(AM1650&gt;=1,"Lift",IF(AM1650&lt;=0,"Aussenlager","teilweise")))))</f>
        <v>Aussenlager</v>
      </c>
      <c r="BE1650" s="55" t="str">
        <f aca="false">IF(AP1650&lt;=0,"",IF(BY1650="Aussen","Aussenlager",IF(BY1650="-","Nicht im Lift",IF(AU1650&gt;=1,"Lift",IF(AU1650&lt;=0,"Aussenlager","teilweise")))))</f>
        <v>Aussenlager</v>
      </c>
      <c r="BF1650" s="55" t="str">
        <f aca="false">IF(AX1650&lt;=0,"",IF(BY1650="Aussen","Aussenlager",IF(BY1650="-","Nicht im Lift",IF(BC1650&gt;=1,"Lift",IF(BC1650&lt;=0,"Aussenlager","teilweise")))))</f>
        <v>Aussenlager</v>
      </c>
      <c r="BG1650" s="55" t="str">
        <f aca="false">IF(A1650="","",IF(BP1650=1,"Neu; ","")&amp;IF(AND(BP1650=0,BK1650&lt;0),"negativer Bestand (Export "&amp;BK1650&amp;"); ","")&amp;IF(J1650&lt;=0,"Kein Verbrauch; ","")&amp;IF(CH1650&gt;0,"Lift "&amp;W1650&amp;" lt. Liftbericht (Fach "&amp;X1650&amp;" Stk); ",IF(BU1650=1,"Gebinde geschätzt ("&amp;T1650&amp;"); ",IF(BT1650=1,"Lose – Tablare geschätzt; ","")))&amp;IF(H1650&gt;AR1650,"Überbestand "&amp;ROUND(H1650-AR1650,0)&amp;" Stk / CHF "&amp;ROUND((H1650-AR1650)*G1650,0)&amp;"; ","")&amp;IF(AND(CA1650=1,CB1650&lt;CC1650),"MAX &lt; MB+LG; ","")&amp;IF(AND(CG1650&gt;0,CF1650*10&gt;CG1650),"zu hoch für Tablar; ","")&amp;IF(AND(BP1650=0,OR(CA1650=1,AA1650&lt;&gt;"",U1650&lt;&gt;"",V1650&lt;&gt;"",AB1650&lt;&gt;"")),"manuell übersteuert; ","")&amp;IF(AND(BT1650=0,R1650=0),"Gebinde unbekannt / Stellmass fehlt; ","")&amp;IF(AND(BT1650=0,N(V1650)&lt;=0,N(Q1650)&lt;=0),"Menge pro Gebinde fehlt (Ist = 1 Gebinde); ","")&amp;BO1650)</f>
        <v>Kein Verbrauch; Lift 1 lt. Liftbericht (Fach 1 Stk); nur im Artikelstamm (Bestand 23.06.2026)</v>
      </c>
      <c r="BH1650" s="55"/>
      <c r="BI1650" s="55"/>
      <c r="BJ1650" s="62"/>
      <c r="BK1650" s="57" t="n">
        <v>1</v>
      </c>
      <c r="BL1650" s="57" t="n">
        <v>0</v>
      </c>
      <c r="BM1650" s="56" t="n">
        <v>0</v>
      </c>
      <c r="BN1650" s="57" t="n">
        <v>0</v>
      </c>
      <c r="BO1650" s="55" t="s">
        <v>2575</v>
      </c>
      <c r="BP1650" s="60" t="n">
        <v>0</v>
      </c>
      <c r="BQ1650" s="60" t="n">
        <v>1650</v>
      </c>
      <c r="BR1650" s="55" t="str">
        <f aca="false">IF(U1650&lt;&gt;"",UPPER(TRIM(U1650)),IF(BU1650=1,UPPER(VLOOKUP(T1650,Parameter!$I$27:$K$29,2,0)),IF(P1650="","LOSE",P1650)))</f>
        <v>LOSE</v>
      </c>
      <c r="BS1650" s="57" t="n">
        <f aca="false">IF(BR1650="LOSE",1,IF(N(V1650)&gt;0,V1650,IF(BU1650=1,MAX(1,N(VLOOKUP(T1650,Parameter!$I$27:$K$29,3,0)),H1650,N(N1650)),IF(N(Q1650)&gt;0,Q1650,MAX(1,H1650)))))</f>
        <v>1</v>
      </c>
      <c r="BT1650" s="60" t="n">
        <f aca="false">IF(BR1650="LOSE",1,0)</f>
        <v>1</v>
      </c>
      <c r="BU1650" s="60" t="n">
        <f aca="false">IF(AND(U1650="",OR(P1650="",P1650="LOSE"),T1650&lt;&gt;"",N(S1650)&lt;=0,ISNUMBER(MATCH(T1650,Parameter!$I$27:$I$29,0))),1,0)</f>
        <v>0</v>
      </c>
      <c r="BV1650" s="55" t="str">
        <f aca="false">IF(AND(Parameter!$B$19="Ja",E1650&lt;&gt;"",ISNUMBER(MATCH(E1650,Parameter!$I$35:$I$52,0))),VLOOKUP(E1650,Parameter!$I$35:$J$52,2,0),IFERROR(VLOOKUP(D1650,Parameter!$A$35:$C$64,2,0),"Nein"))</f>
        <v>2+3</v>
      </c>
      <c r="BW1650" s="59" t="n">
        <f aca="false">IF(BT1650=0,0,IF(N(S1650)&gt;0,S1650,IFERROR(VLOOKUP(D1650,Parameter!$A$35:$C$64,3,0)+0,0)))</f>
        <v>0.15</v>
      </c>
      <c r="BX1650" s="55" t="n">
        <f aca="false">IF(AA1650&lt;&gt;"",AA1650,Z1650)</f>
        <v>1</v>
      </c>
      <c r="BY1650" s="55" t="str">
        <f aca="false">IF(BX1650=1,"L1",IF(OR(BX1650=2,BX1650=3),"L23",IF(BX1650="Aussen","Aussen","-")))</f>
        <v>L1</v>
      </c>
      <c r="BZ1650" s="66" t="n">
        <f aca="false">IF(N(AB1650)&gt;0,AB1650,0)</f>
        <v>0</v>
      </c>
      <c r="CA1650" s="60" t="n">
        <f aca="false">IF(ISNUMBER(AE1650),1,0)</f>
        <v>0</v>
      </c>
      <c r="CB1650" s="57" t="n">
        <f aca="false">N(AE1650)</f>
        <v>0</v>
      </c>
      <c r="CC1650" s="57" t="n">
        <f aca="false">N(M1650)+N(N1650)</f>
        <v>8</v>
      </c>
      <c r="CD1650" s="57" t="n">
        <f aca="false">ROUNDUP(H1650/BS1650,0)</f>
        <v>1</v>
      </c>
      <c r="CE1650" s="57" t="n">
        <f aca="false">ROUNDUP(CB1650/BS1650,0)</f>
        <v>0</v>
      </c>
      <c r="CF1650" s="60" t="n">
        <f aca="false">IF(BT1650=1,0,IFERROR(VLOOKUP(BR1650,'Gebinde-Kategorie'!$A$5:$M$45,5,0)+0,0))</f>
        <v>0</v>
      </c>
      <c r="CG1650" s="60" t="n">
        <f aca="false">IFERROR(IF(OR(BX1650=1,BX1650=2,BX1650=3),N(INDEX(Parameter!$I$5:$I$7,BX1650)),0),0)</f>
        <v>0</v>
      </c>
      <c r="CH1650" s="59" t="n">
        <f aca="false">IF(AND(Parameter!$B$21="Ja",ISNUMBER(W1650),N(X1650)&gt;0),IFERROR(N(INDEX(Parameter!$L$5:$L$7,W1650))*INDEX(Parameter!$E$5:$E$7,W1650)*X1650/SUMIFS($X$7:$X$1843,$W$7:$W$1843,W1650),0),0)</f>
        <v>0.0800376647834275</v>
      </c>
    </row>
    <row r="1651" customFormat="false" ht="15" hidden="false" customHeight="false" outlineLevel="0" collapsed="false">
      <c r="A1651" s="55" t="s">
        <v>2871</v>
      </c>
      <c r="B1651" s="55" t="s">
        <v>339</v>
      </c>
      <c r="C1651" s="55" t="s">
        <v>164</v>
      </c>
      <c r="D1651" s="55" t="s">
        <v>173</v>
      </c>
      <c r="E1651" s="55"/>
      <c r="F1651" s="55"/>
      <c r="G1651" s="56" t="n">
        <v>368</v>
      </c>
      <c r="H1651" s="57" t="n">
        <f aca="false">MAX(0,IF(AND(Parameter!$B$21="Ja",ISNUMBER(Y1651)),Y1651,IF(Parameter!$B$20="Jahresanfang 2025 + Export",BL1651+BK1651,BK1651)))</f>
        <v>8</v>
      </c>
      <c r="I1651" s="57" t="n">
        <f aca="false">H1651*G1651</f>
        <v>2944</v>
      </c>
      <c r="J1651" s="57" t="n">
        <f aca="false">BN1651*Parameter!$B$18</f>
        <v>0</v>
      </c>
      <c r="K1651" s="58"/>
      <c r="L1651" s="59"/>
      <c r="M1651" s="57" t="n">
        <v>0</v>
      </c>
      <c r="N1651" s="57" t="n">
        <v>5</v>
      </c>
      <c r="O1651" s="60" t="n">
        <v>42</v>
      </c>
      <c r="P1651" s="55" t="s">
        <v>168</v>
      </c>
      <c r="Q1651" s="57"/>
      <c r="R1651" s="60" t="n">
        <f aca="false">IF(BT1651=1,0,IFERROR(VLOOKUP(BR1651,'Gebinde-Kategorie'!$A$5:$M$45,13,0)+0,0))</f>
        <v>26</v>
      </c>
      <c r="S1651" s="61"/>
      <c r="T1651" s="62" t="s">
        <v>275</v>
      </c>
      <c r="U1651" s="62"/>
      <c r="V1651" s="62"/>
      <c r="W1651" s="55"/>
      <c r="X1651" s="57"/>
      <c r="Y1651" s="57"/>
      <c r="Z1651" s="55" t="n">
        <f aca="false">IF(A1651="","",IF(AND(Parameter!$B$21="Ja",ISNUMBER(W1651)),W1651,IF(BV1651="2+3",IF(ISNUMBER(SEARCH("grosser Artikel",BO1651)),2,IFERROR(VLOOKUP(BR1651,Parameter!$F$35:$G$64,2,0),2)),IF(OR(BV1651="Nein",BV1651=""),"-",BV1651))))</f>
        <v>3</v>
      </c>
      <c r="AA1651" s="62"/>
      <c r="AB1651" s="63"/>
      <c r="AC1651" s="57" t="n">
        <f aca="false">AR1651</f>
        <v>20</v>
      </c>
      <c r="AD1651" s="57" t="n">
        <f aca="false">MAX(AR1651,H1651)</f>
        <v>20</v>
      </c>
      <c r="AE1651" s="64"/>
      <c r="AF1651" s="57" t="n">
        <f aca="false">IF(LEFT(Cockpit!$C$5,1)="A",H1651,IF(CA1651=1,CB1651,IF(LEFT(Cockpit!$C$5,1)="B",AJ1651,MAX(AJ1651,H1651))))</f>
        <v>8</v>
      </c>
      <c r="AG1651" s="57" t="n">
        <f aca="false">IF(BT1651=1,0,ROUNDUP(AF1651/BS1651,0))</f>
        <v>1</v>
      </c>
      <c r="AH1651" s="59" t="n">
        <f aca="false">IF(CH1651&gt;0,CH1651*MAX(1,AF1651/X1651),IF(BT1651=1,IF(AF1651&lt;=0,0,BW1651*MAX(1,IF(H1651&gt;0,AF1651/H1651,1))),IF(R1651&gt;0,AG1651/R1651,0))/MAX(0.1,N(Parameter!$M$21)))</f>
        <v>0.0384615384615385</v>
      </c>
      <c r="AI1651" s="57" t="n">
        <f aca="false">AF1651*G1651</f>
        <v>2944</v>
      </c>
      <c r="AJ1651" s="57" t="n">
        <f aca="false">ROUNDUP(MAX(J1651/IF(BZ1651&gt;0,BZ1651,MAX(0.1,N(Cockpit!$C$6))),CC1651)/BS1651,0)*BS1651</f>
        <v>20</v>
      </c>
      <c r="AK1651" s="58" t="n">
        <f aca="false">IF(AH1651&gt;0,J1651/AH1651,-1)</f>
        <v>0</v>
      </c>
      <c r="AL1651" s="58" t="n">
        <f aca="false">IF(AND(OR(BY1651="L1",BY1651="L23"),AH1651&gt;0),SUMIFS($AH$7:$AH$1843,$BY$7:$BY$1843,BY1651,$AK$7:$AK$1843,"&gt;"&amp;AK1651)+SUMIFS($AH$7:$AH$1843,$BY$7:$BY$1843,BY1651,$AK$7:$AK$1843,AK1651,$BQ$7:$BQ$1843,"&lt;="&amp;BQ1651),"")</f>
        <v>88.5781223607311</v>
      </c>
      <c r="AM1651" s="65" t="n">
        <f aca="false">IF(AL1651="",0,MAX(0,MIN(1,(IF(BY1651="L1",Parameter!$E$5,Parameter!$E$6+Parameter!$E$7)-(AL1651-AH1651))/AH1651)))</f>
        <v>1</v>
      </c>
      <c r="AN1651" s="57" t="n">
        <f aca="false">IF(LEFT(Cockpit!$I$5,1)="A",H1651,IF(CA1651=1,CB1651,IF(LEFT(Cockpit!$I$5,1)="B",AR1651,MAX(AR1651,H1651))))</f>
        <v>20</v>
      </c>
      <c r="AO1651" s="57" t="n">
        <f aca="false">IF(BT1651=1,0,ROUNDUP(AN1651/BS1651,0))</f>
        <v>1</v>
      </c>
      <c r="AP1651" s="59" t="n">
        <f aca="false">IF(CH1651&gt;0,CH1651*MAX(1,AN1651/X1651),IF(BT1651=1,IF(AN1651&lt;=0,0,BW1651*MAX(1,IF(H1651&gt;0,AN1651/H1651,1))),IF(R1651&gt;0,AO1651/R1651,0))/MAX(0.1,N(Parameter!$M$21)))</f>
        <v>0.0384615384615385</v>
      </c>
      <c r="AQ1651" s="57" t="n">
        <f aca="false">AN1651*G1651</f>
        <v>7360</v>
      </c>
      <c r="AR1651" s="57" t="n">
        <f aca="false">ROUNDUP(MAX(J1651/IF(BZ1651&gt;0,BZ1651,MAX(0.1,N(Cockpit!$I$6))),CC1651)/BS1651,0)*BS1651</f>
        <v>20</v>
      </c>
      <c r="AS1651" s="58" t="n">
        <f aca="false">IF(AP1651&gt;0,J1651/AP1651,-1)</f>
        <v>0</v>
      </c>
      <c r="AT1651" s="58" t="n">
        <f aca="false">IF(AND(OR(BY1651="L1",BY1651="L23"),AP1651&gt;0),SUMIFS($AP$7:$AP$1843,$BY$7:$BY$1843,BY1651,$AS$7:$AS$1843,"&gt;"&amp;AS1651)+SUMIFS($AP$7:$AP$1843,$BY$7:$BY$1843,BY1651,$AS$7:$AS$1843,AS1651,$BQ$7:$BQ$1843,"&lt;="&amp;BQ1651),"")</f>
        <v>133.830259112868</v>
      </c>
      <c r="AU1651" s="65" t="n">
        <f aca="false">IF(AT1651="",0,MAX(0,MIN(1,(IF(BY1651="L1",Parameter!$E$5,Parameter!$E$6+Parameter!$E$7)-(AT1651-AP1651))/AP1651)))</f>
        <v>0</v>
      </c>
      <c r="AV1651" s="57" t="n">
        <f aca="false">IF(LEFT(Cockpit!$O$5,1)="A",H1651,IF(CA1651=1,CB1651,IF(LEFT(Cockpit!$O$5,1)="B",AZ1651,MAX(AZ1651,H1651))))</f>
        <v>20</v>
      </c>
      <c r="AW1651" s="57" t="n">
        <f aca="false">IF(BT1651=1,0,ROUNDUP(AV1651/BS1651,0))</f>
        <v>1</v>
      </c>
      <c r="AX1651" s="59" t="n">
        <f aca="false">IF(CH1651&gt;0,CH1651*MAX(1,AV1651/X1651),IF(BT1651=1,IF(AV1651&lt;=0,0,BW1651*MAX(1,IF(H1651&gt;0,AV1651/H1651,1))),IF(R1651&gt;0,AW1651/R1651,0))/MAX(0.1,N(Parameter!$M$21)))</f>
        <v>0.0384615384615385</v>
      </c>
      <c r="AY1651" s="57" t="n">
        <f aca="false">AV1651*G1651</f>
        <v>7360</v>
      </c>
      <c r="AZ1651" s="57" t="n">
        <f aca="false">ROUNDUP(MAX(J1651/IF(BZ1651&gt;0,BZ1651,MAX(0.1,N(Cockpit!$O$6))),CC1651)/BS1651,0)*BS1651</f>
        <v>20</v>
      </c>
      <c r="BA1651" s="58" t="n">
        <f aca="false">IF(AX1651&gt;0,J1651/AX1651,-1)</f>
        <v>0</v>
      </c>
      <c r="BB1651" s="58" t="n">
        <f aca="false">IF(AND(OR(BY1651="L1",BY1651="L23"),AX1651&gt;0),SUMIFS($AX$7:$AX$1843,$BY$7:$BY$1843,BY1651,$BA$7:$BA$1843,"&gt;"&amp;BA1651)+SUMIFS($AX$7:$AX$1843,$BY$7:$BY$1843,BY1651,$BA$7:$BA$1843,BA1651,$BQ$7:$BQ$1843,"&lt;="&amp;BQ1651),"")</f>
        <v>124.660095942705</v>
      </c>
      <c r="BC1651" s="65" t="n">
        <f aca="false">IF(BB1651="",0,MAX(0,MIN(1,(IF(BY1651="L1",Parameter!$E$5,Parameter!$E$6+Parameter!$E$7)-(BB1651-AX1651))/AX1651)))</f>
        <v>0</v>
      </c>
      <c r="BD1651" s="55" t="str">
        <f aca="false">IF(AH1651&lt;=0,"",IF(BY1651="Aussen","Aussenlager",IF(BY1651="-","Nicht im Lift",IF(AM1651&gt;=1,"Lift",IF(AM1651&lt;=0,"Aussenlager","teilweise")))))</f>
        <v>Lift</v>
      </c>
      <c r="BE1651" s="55" t="str">
        <f aca="false">IF(AP1651&lt;=0,"",IF(BY1651="Aussen","Aussenlager",IF(BY1651="-","Nicht im Lift",IF(AU1651&gt;=1,"Lift",IF(AU1651&lt;=0,"Aussenlager","teilweise")))))</f>
        <v>Aussenlager</v>
      </c>
      <c r="BF1651" s="55" t="str">
        <f aca="false">IF(AX1651&lt;=0,"",IF(BY1651="Aussen","Aussenlager",IF(BY1651="-","Nicht im Lift",IF(BC1651&gt;=1,"Lift",IF(BC1651&lt;=0,"Aussenlager","teilweise")))))</f>
        <v>Aussenlager</v>
      </c>
      <c r="BG1651" s="55" t="str">
        <f aca="false">IF(A1651="","",IF(BP1651=1,"Neu; ","")&amp;IF(AND(BP1651=0,BK1651&lt;0),"negativer Bestand (Export "&amp;BK1651&amp;"); ","")&amp;IF(J1651&lt;=0,"Kein Verbrauch; ","")&amp;IF(CH1651&gt;0,"Lift "&amp;W1651&amp;" lt. Liftbericht (Fach "&amp;X1651&amp;" Stk); ",IF(BU1651=1,"Gebinde geschätzt ("&amp;T1651&amp;"); ",IF(BT1651=1,"Lose – Tablare geschätzt; ","")))&amp;IF(H1651&gt;AR1651,"Überbestand "&amp;ROUND(H1651-AR1651,0)&amp;" Stk / CHF "&amp;ROUND((H1651-AR1651)*G1651,0)&amp;"; ","")&amp;IF(AND(CA1651=1,CB1651&lt;CC1651),"MAX &lt; MB+LG; ","")&amp;IF(AND(CG1651&gt;0,CF1651*10&gt;CG1651),"zu hoch für Tablar; ","")&amp;IF(AND(BP1651=0,OR(CA1651=1,AA1651&lt;&gt;"",U1651&lt;&gt;"",V1651&lt;&gt;"",AB1651&lt;&gt;"")),"manuell übersteuert; ","")&amp;IF(AND(BT1651=0,R1651=0),"Gebinde unbekannt / Stellmass fehlt; ","")&amp;IF(AND(BT1651=0,N(V1651)&lt;=0,N(Q1651)&lt;=0),"Menge pro Gebinde fehlt (Ist = 1 Gebinde); ","")&amp;BO1651)</f>
        <v>Kein Verbrauch; Gebinde geschätzt (Klein); Menge pro Gebinde fehlt (Ist = 1 Gebinde); nur im Artikelstamm (Bestand 23.06.2026)</v>
      </c>
      <c r="BH1651" s="55"/>
      <c r="BI1651" s="55"/>
      <c r="BJ1651" s="62"/>
      <c r="BK1651" s="57" t="n">
        <v>8</v>
      </c>
      <c r="BL1651" s="57" t="n">
        <v>0</v>
      </c>
      <c r="BM1651" s="56" t="n">
        <v>0</v>
      </c>
      <c r="BN1651" s="57" t="n">
        <v>0</v>
      </c>
      <c r="BO1651" s="55" t="s">
        <v>2575</v>
      </c>
      <c r="BP1651" s="60" t="n">
        <v>0</v>
      </c>
      <c r="BQ1651" s="60" t="n">
        <v>1651</v>
      </c>
      <c r="BR1651" s="55" t="str">
        <f aca="false">IF(U1651&lt;&gt;"",UPPER(TRIM(U1651)),IF(BU1651=1,UPPER(VLOOKUP(T1651,Parameter!$I$27:$K$29,2,0)),IF(P1651="","LOSE",P1651)))</f>
        <v>S51</v>
      </c>
      <c r="BS1651" s="57" t="n">
        <f aca="false">IF(BR1651="LOSE",1,IF(N(V1651)&gt;0,V1651,IF(BU1651=1,MAX(1,N(VLOOKUP(T1651,Parameter!$I$27:$K$29,3,0)),H1651,N(N1651)),IF(N(Q1651)&gt;0,Q1651,MAX(1,H1651)))))</f>
        <v>20</v>
      </c>
      <c r="BT1651" s="60" t="n">
        <f aca="false">IF(BR1651="LOSE",1,0)</f>
        <v>0</v>
      </c>
      <c r="BU1651" s="60" t="n">
        <f aca="false">IF(AND(U1651="",OR(P1651="",P1651="LOSE"),T1651&lt;&gt;"",N(S1651)&lt;=0,ISNUMBER(MATCH(T1651,Parameter!$I$27:$I$29,0))),1,0)</f>
        <v>1</v>
      </c>
      <c r="BV1651" s="55" t="str">
        <f aca="false">IF(AND(Parameter!$B$19="Ja",E1651&lt;&gt;"",ISNUMBER(MATCH(E1651,Parameter!$I$35:$I$52,0))),VLOOKUP(E1651,Parameter!$I$35:$J$52,2,0),IFERROR(VLOOKUP(D1651,Parameter!$A$35:$C$64,2,0),"Nein"))</f>
        <v>2+3</v>
      </c>
      <c r="BW1651" s="59" t="n">
        <f aca="false">IF(BT1651=0,0,IF(N(S1651)&gt;0,S1651,IFERROR(VLOOKUP(D1651,Parameter!$A$35:$C$64,3,0)+0,0)))</f>
        <v>0</v>
      </c>
      <c r="BX1651" s="55" t="n">
        <f aca="false">IF(AA1651&lt;&gt;"",AA1651,Z1651)</f>
        <v>3</v>
      </c>
      <c r="BY1651" s="55" t="str">
        <f aca="false">IF(BX1651=1,"L1",IF(OR(BX1651=2,BX1651=3),"L23",IF(BX1651="Aussen","Aussen","-")))</f>
        <v>L23</v>
      </c>
      <c r="BZ1651" s="66" t="n">
        <f aca="false">IF(N(AB1651)&gt;0,AB1651,0)</f>
        <v>0</v>
      </c>
      <c r="CA1651" s="60" t="n">
        <f aca="false">IF(ISNUMBER(AE1651),1,0)</f>
        <v>0</v>
      </c>
      <c r="CB1651" s="57" t="n">
        <f aca="false">N(AE1651)</f>
        <v>0</v>
      </c>
      <c r="CC1651" s="57" t="n">
        <f aca="false">N(M1651)+N(N1651)</f>
        <v>5</v>
      </c>
      <c r="CD1651" s="57" t="n">
        <f aca="false">ROUNDUP(H1651/BS1651,0)</f>
        <v>1</v>
      </c>
      <c r="CE1651" s="57" t="n">
        <f aca="false">ROUNDUP(CB1651/BS1651,0)</f>
        <v>0</v>
      </c>
      <c r="CF1651" s="60" t="n">
        <f aca="false">IF(BT1651=1,0,IFERROR(VLOOKUP(BR1651,'Gebinde-Kategorie'!$A$5:$M$45,5,0)+0,0))</f>
        <v>11</v>
      </c>
      <c r="CG1651" s="60" t="n">
        <f aca="false">IFERROR(IF(OR(BX1651=1,BX1651=2,BX1651=3),N(INDEX(Parameter!$I$5:$I$7,BX1651)),0),0)</f>
        <v>0</v>
      </c>
      <c r="CH1651" s="59" t="n">
        <f aca="false">IF(AND(Parameter!$B$21="Ja",ISNUMBER(W1651),N(X1651)&gt;0),IFERROR(N(INDEX(Parameter!$L$5:$L$7,W1651))*INDEX(Parameter!$E$5:$E$7,W1651)*X1651/SUMIFS($X$7:$X$1843,$W$7:$W$1843,W1651),0),0)</f>
        <v>0</v>
      </c>
    </row>
    <row r="1652" customFormat="false" ht="15" hidden="false" customHeight="false" outlineLevel="0" collapsed="false">
      <c r="A1652" s="55" t="s">
        <v>2872</v>
      </c>
      <c r="B1652" s="55" t="s">
        <v>206</v>
      </c>
      <c r="C1652" s="55" t="s">
        <v>167</v>
      </c>
      <c r="D1652" s="55" t="s">
        <v>173</v>
      </c>
      <c r="E1652" s="55"/>
      <c r="F1652" s="55"/>
      <c r="G1652" s="56" t="n">
        <v>1370</v>
      </c>
      <c r="H1652" s="57" t="n">
        <f aca="false">MAX(0,IF(AND(Parameter!$B$21="Ja",ISNUMBER(Y1652)),Y1652,IF(Parameter!$B$20="Jahresanfang 2025 + Export",BL1652+BK1652,BK1652)))</f>
        <v>1</v>
      </c>
      <c r="I1652" s="57" t="n">
        <f aca="false">H1652*G1652</f>
        <v>1370</v>
      </c>
      <c r="J1652" s="57" t="n">
        <f aca="false">BN1652*Parameter!$B$18</f>
        <v>0</v>
      </c>
      <c r="K1652" s="58"/>
      <c r="L1652" s="59"/>
      <c r="M1652" s="57" t="n">
        <v>0</v>
      </c>
      <c r="N1652" s="57" t="n">
        <v>5</v>
      </c>
      <c r="O1652" s="60" t="n">
        <v>35</v>
      </c>
      <c r="P1652" s="55" t="s">
        <v>168</v>
      </c>
      <c r="Q1652" s="57"/>
      <c r="R1652" s="60" t="n">
        <f aca="false">IF(BT1652=1,0,IFERROR(VLOOKUP(BR1652,'Gebinde-Kategorie'!$A$5:$M$45,13,0)+0,0))</f>
        <v>12</v>
      </c>
      <c r="S1652" s="61"/>
      <c r="T1652" s="62" t="s">
        <v>179</v>
      </c>
      <c r="U1652" s="62"/>
      <c r="V1652" s="62"/>
      <c r="W1652" s="55"/>
      <c r="X1652" s="57"/>
      <c r="Y1652" s="57"/>
      <c r="Z1652" s="55" t="n">
        <f aca="false">IF(A1652="","",IF(AND(Parameter!$B$21="Ja",ISNUMBER(W1652)),W1652,IF(BV1652="2+3",IF(ISNUMBER(SEARCH("grosser Artikel",BO1652)),2,IFERROR(VLOOKUP(BR1652,Parameter!$F$35:$G$64,2,0),2)),IF(OR(BV1652="Nein",BV1652=""),"-",BV1652))))</f>
        <v>2</v>
      </c>
      <c r="AA1652" s="62"/>
      <c r="AB1652" s="63"/>
      <c r="AC1652" s="57" t="n">
        <f aca="false">AR1652</f>
        <v>5</v>
      </c>
      <c r="AD1652" s="57" t="n">
        <f aca="false">MAX(AR1652,H1652)</f>
        <v>5</v>
      </c>
      <c r="AE1652" s="64"/>
      <c r="AF1652" s="57" t="n">
        <f aca="false">IF(LEFT(Cockpit!$C$5,1)="A",H1652,IF(CA1652=1,CB1652,IF(LEFT(Cockpit!$C$5,1)="B",AJ1652,MAX(AJ1652,H1652))))</f>
        <v>1</v>
      </c>
      <c r="AG1652" s="57" t="n">
        <f aca="false">IF(BT1652=1,0,ROUNDUP(AF1652/BS1652,0))</f>
        <v>1</v>
      </c>
      <c r="AH1652" s="59" t="n">
        <f aca="false">IF(CH1652&gt;0,CH1652*MAX(1,AF1652/X1652),IF(BT1652=1,IF(AF1652&lt;=0,0,BW1652*MAX(1,IF(H1652&gt;0,AF1652/H1652,1))),IF(R1652&gt;0,AG1652/R1652,0))/MAX(0.1,N(Parameter!$M$21)))</f>
        <v>0.0833333333333333</v>
      </c>
      <c r="AI1652" s="57" t="n">
        <f aca="false">AF1652*G1652</f>
        <v>1370</v>
      </c>
      <c r="AJ1652" s="57" t="n">
        <f aca="false">ROUNDUP(MAX(J1652/IF(BZ1652&gt;0,BZ1652,MAX(0.1,N(Cockpit!$C$6))),CC1652)/BS1652,0)*BS1652</f>
        <v>5</v>
      </c>
      <c r="AK1652" s="58" t="n">
        <f aca="false">IF(AH1652&gt;0,J1652/AH1652,-1)</f>
        <v>0</v>
      </c>
      <c r="AL1652" s="58" t="n">
        <f aca="false">IF(AND(OR(BY1652="L1",BY1652="L23"),AH1652&gt;0),SUMIFS($AH$7:$AH$1843,$BY$7:$BY$1843,BY1652,$AK$7:$AK$1843,"&gt;"&amp;AK1652)+SUMIFS($AH$7:$AH$1843,$BY$7:$BY$1843,BY1652,$AK$7:$AK$1843,AK1652,$BQ$7:$BQ$1843,"&lt;="&amp;BQ1652),"")</f>
        <v>88.6614556940644</v>
      </c>
      <c r="AM1652" s="65" t="n">
        <f aca="false">IF(AL1652="",0,MAX(0,MIN(1,(IF(BY1652="L1",Parameter!$E$5,Parameter!$E$6+Parameter!$E$7)-(AL1652-AH1652))/AH1652)))</f>
        <v>1</v>
      </c>
      <c r="AN1652" s="57" t="n">
        <f aca="false">IF(LEFT(Cockpit!$I$5,1)="A",H1652,IF(CA1652=1,CB1652,IF(LEFT(Cockpit!$I$5,1)="B",AR1652,MAX(AR1652,H1652))))</f>
        <v>5</v>
      </c>
      <c r="AO1652" s="57" t="n">
        <f aca="false">IF(BT1652=1,0,ROUNDUP(AN1652/BS1652,0))</f>
        <v>1</v>
      </c>
      <c r="AP1652" s="59" t="n">
        <f aca="false">IF(CH1652&gt;0,CH1652*MAX(1,AN1652/X1652),IF(BT1652=1,IF(AN1652&lt;=0,0,BW1652*MAX(1,IF(H1652&gt;0,AN1652/H1652,1))),IF(R1652&gt;0,AO1652/R1652,0))/MAX(0.1,N(Parameter!$M$21)))</f>
        <v>0.0833333333333333</v>
      </c>
      <c r="AQ1652" s="57" t="n">
        <f aca="false">AN1652*G1652</f>
        <v>6850</v>
      </c>
      <c r="AR1652" s="57" t="n">
        <f aca="false">ROUNDUP(MAX(J1652/IF(BZ1652&gt;0,BZ1652,MAX(0.1,N(Cockpit!$I$6))),CC1652)/BS1652,0)*BS1652</f>
        <v>5</v>
      </c>
      <c r="AS1652" s="58" t="n">
        <f aca="false">IF(AP1652&gt;0,J1652/AP1652,-1)</f>
        <v>0</v>
      </c>
      <c r="AT1652" s="58" t="n">
        <f aca="false">IF(AND(OR(BY1652="L1",BY1652="L23"),AP1652&gt;0),SUMIFS($AP$7:$AP$1843,$BY$7:$BY$1843,BY1652,$AS$7:$AS$1843,"&gt;"&amp;AS1652)+SUMIFS($AP$7:$AP$1843,$BY$7:$BY$1843,BY1652,$AS$7:$AS$1843,AS1652,$BQ$7:$BQ$1843,"&lt;="&amp;BQ1652),"")</f>
        <v>133.913592446201</v>
      </c>
      <c r="AU1652" s="65" t="n">
        <f aca="false">IF(AT1652="",0,MAX(0,MIN(1,(IF(BY1652="L1",Parameter!$E$5,Parameter!$E$6+Parameter!$E$7)-(AT1652-AP1652))/AP1652)))</f>
        <v>0</v>
      </c>
      <c r="AV1652" s="57" t="n">
        <f aca="false">IF(LEFT(Cockpit!$O$5,1)="A",H1652,IF(CA1652=1,CB1652,IF(LEFT(Cockpit!$O$5,1)="B",AZ1652,MAX(AZ1652,H1652))))</f>
        <v>5</v>
      </c>
      <c r="AW1652" s="57" t="n">
        <f aca="false">IF(BT1652=1,0,ROUNDUP(AV1652/BS1652,0))</f>
        <v>1</v>
      </c>
      <c r="AX1652" s="59" t="n">
        <f aca="false">IF(CH1652&gt;0,CH1652*MAX(1,AV1652/X1652),IF(BT1652=1,IF(AV1652&lt;=0,0,BW1652*MAX(1,IF(H1652&gt;0,AV1652/H1652,1))),IF(R1652&gt;0,AW1652/R1652,0))/MAX(0.1,N(Parameter!$M$21)))</f>
        <v>0.0833333333333333</v>
      </c>
      <c r="AY1652" s="57" t="n">
        <f aca="false">AV1652*G1652</f>
        <v>6850</v>
      </c>
      <c r="AZ1652" s="57" t="n">
        <f aca="false">ROUNDUP(MAX(J1652/IF(BZ1652&gt;0,BZ1652,MAX(0.1,N(Cockpit!$O$6))),CC1652)/BS1652,0)*BS1652</f>
        <v>5</v>
      </c>
      <c r="BA1652" s="58" t="n">
        <f aca="false">IF(AX1652&gt;0,J1652/AX1652,-1)</f>
        <v>0</v>
      </c>
      <c r="BB1652" s="58" t="n">
        <f aca="false">IF(AND(OR(BY1652="L1",BY1652="L23"),AX1652&gt;0),SUMIFS($AX$7:$AX$1843,$BY$7:$BY$1843,BY1652,$BA$7:$BA$1843,"&gt;"&amp;BA1652)+SUMIFS($AX$7:$AX$1843,$BY$7:$BY$1843,BY1652,$BA$7:$BA$1843,BA1652,$BQ$7:$BQ$1843,"&lt;="&amp;BQ1652),"")</f>
        <v>124.743429276038</v>
      </c>
      <c r="BC1652" s="65" t="n">
        <f aca="false">IF(BB1652="",0,MAX(0,MIN(1,(IF(BY1652="L1",Parameter!$E$5,Parameter!$E$6+Parameter!$E$7)-(BB1652-AX1652))/AX1652)))</f>
        <v>0</v>
      </c>
      <c r="BD1652" s="55" t="str">
        <f aca="false">IF(AH1652&lt;=0,"",IF(BY1652="Aussen","Aussenlager",IF(BY1652="-","Nicht im Lift",IF(AM1652&gt;=1,"Lift",IF(AM1652&lt;=0,"Aussenlager","teilweise")))))</f>
        <v>Lift</v>
      </c>
      <c r="BE1652" s="55" t="str">
        <f aca="false">IF(AP1652&lt;=0,"",IF(BY1652="Aussen","Aussenlager",IF(BY1652="-","Nicht im Lift",IF(AU1652&gt;=1,"Lift",IF(AU1652&lt;=0,"Aussenlager","teilweise")))))</f>
        <v>Aussenlager</v>
      </c>
      <c r="BF1652" s="55" t="str">
        <f aca="false">IF(AX1652&lt;=0,"",IF(BY1652="Aussen","Aussenlager",IF(BY1652="-","Nicht im Lift",IF(BC1652&gt;=1,"Lift",IF(BC1652&lt;=0,"Aussenlager","teilweise")))))</f>
        <v>Aussenlager</v>
      </c>
      <c r="BG1652" s="55" t="str">
        <f aca="false">IF(A1652="","",IF(BP1652=1,"Neu; ","")&amp;IF(AND(BP1652=0,BK1652&lt;0),"negativer Bestand (Export "&amp;BK1652&amp;"); ","")&amp;IF(J1652&lt;=0,"Kein Verbrauch; ","")&amp;IF(CH1652&gt;0,"Lift "&amp;W1652&amp;" lt. Liftbericht (Fach "&amp;X1652&amp;" Stk); ",IF(BU1652=1,"Gebinde geschätzt ("&amp;T1652&amp;"); ",IF(BT1652=1,"Lose – Tablare geschätzt; ","")))&amp;IF(H1652&gt;AR1652,"Überbestand "&amp;ROUND(H1652-AR1652,0)&amp;" Stk / CHF "&amp;ROUND((H1652-AR1652)*G1652,0)&amp;"; ","")&amp;IF(AND(CA1652=1,CB1652&lt;CC1652),"MAX &lt; MB+LG; ","")&amp;IF(AND(CG1652&gt;0,CF1652*10&gt;CG1652),"zu hoch für Tablar; ","")&amp;IF(AND(BP1652=0,OR(CA1652=1,AA1652&lt;&gt;"",U1652&lt;&gt;"",V1652&lt;&gt;"",AB1652&lt;&gt;"")),"manuell übersteuert; ","")&amp;IF(AND(BT1652=0,R1652=0),"Gebinde unbekannt / Stellmass fehlt; ","")&amp;IF(AND(BT1652=0,N(V1652)&lt;=0,N(Q1652)&lt;=0),"Menge pro Gebinde fehlt (Ist = 1 Gebinde); ","")&amp;BO1652)</f>
        <v>Kein Verbrauch; Gebinde geschätzt (Mittel); Menge pro Gebinde fehlt (Ist = 1 Gebinde); nur im Artikelstamm (Bestand 23.06.2026); Neuer Art.</v>
      </c>
      <c r="BH1652" s="55"/>
      <c r="BI1652" s="55"/>
      <c r="BJ1652" s="62"/>
      <c r="BK1652" s="57" t="n">
        <v>1</v>
      </c>
      <c r="BL1652" s="57" t="n">
        <v>0</v>
      </c>
      <c r="BM1652" s="56" t="n">
        <v>0</v>
      </c>
      <c r="BN1652" s="57" t="n">
        <v>0</v>
      </c>
      <c r="BO1652" s="55" t="s">
        <v>2873</v>
      </c>
      <c r="BP1652" s="60" t="n">
        <v>0</v>
      </c>
      <c r="BQ1652" s="60" t="n">
        <v>1652</v>
      </c>
      <c r="BR1652" s="55" t="str">
        <f aca="false">IF(U1652&lt;&gt;"",UPPER(TRIM(U1652)),IF(BU1652=1,UPPER(VLOOKUP(T1652,Parameter!$I$27:$K$29,2,0)),IF(P1652="","LOSE",P1652)))</f>
        <v>S61</v>
      </c>
      <c r="BS1652" s="57" t="n">
        <f aca="false">IF(BR1652="LOSE",1,IF(N(V1652)&gt;0,V1652,IF(BU1652=1,MAX(1,N(VLOOKUP(T1652,Parameter!$I$27:$K$29,3,0)),H1652,N(N1652)),IF(N(Q1652)&gt;0,Q1652,MAX(1,H1652)))))</f>
        <v>5</v>
      </c>
      <c r="BT1652" s="60" t="n">
        <f aca="false">IF(BR1652="LOSE",1,0)</f>
        <v>0</v>
      </c>
      <c r="BU1652" s="60" t="n">
        <f aca="false">IF(AND(U1652="",OR(P1652="",P1652="LOSE"),T1652&lt;&gt;"",N(S1652)&lt;=0,ISNUMBER(MATCH(T1652,Parameter!$I$27:$I$29,0))),1,0)</f>
        <v>1</v>
      </c>
      <c r="BV1652" s="55" t="str">
        <f aca="false">IF(AND(Parameter!$B$19="Ja",E1652&lt;&gt;"",ISNUMBER(MATCH(E1652,Parameter!$I$35:$I$52,0))),VLOOKUP(E1652,Parameter!$I$35:$J$52,2,0),IFERROR(VLOOKUP(D1652,Parameter!$A$35:$C$64,2,0),"Nein"))</f>
        <v>2+3</v>
      </c>
      <c r="BW1652" s="59" t="n">
        <f aca="false">IF(BT1652=0,0,IF(N(S1652)&gt;0,S1652,IFERROR(VLOOKUP(D1652,Parameter!$A$35:$C$64,3,0)+0,0)))</f>
        <v>0</v>
      </c>
      <c r="BX1652" s="55" t="n">
        <f aca="false">IF(AA1652&lt;&gt;"",AA1652,Z1652)</f>
        <v>2</v>
      </c>
      <c r="BY1652" s="55" t="str">
        <f aca="false">IF(BX1652=1,"L1",IF(OR(BX1652=2,BX1652=3),"L23",IF(BX1652="Aussen","Aussen","-")))</f>
        <v>L23</v>
      </c>
      <c r="BZ1652" s="66" t="n">
        <f aca="false">IF(N(AB1652)&gt;0,AB1652,0)</f>
        <v>0</v>
      </c>
      <c r="CA1652" s="60" t="n">
        <f aca="false">IF(ISNUMBER(AE1652),1,0)</f>
        <v>0</v>
      </c>
      <c r="CB1652" s="57" t="n">
        <f aca="false">N(AE1652)</f>
        <v>0</v>
      </c>
      <c r="CC1652" s="57" t="n">
        <f aca="false">N(M1652)+N(N1652)</f>
        <v>5</v>
      </c>
      <c r="CD1652" s="57" t="n">
        <f aca="false">ROUNDUP(H1652/BS1652,0)</f>
        <v>1</v>
      </c>
      <c r="CE1652" s="57" t="n">
        <f aca="false">ROUNDUP(CB1652/BS1652,0)</f>
        <v>0</v>
      </c>
      <c r="CF1652" s="60" t="n">
        <f aca="false">IF(BT1652=1,0,IFERROR(VLOOKUP(BR1652,'Gebinde-Kategorie'!$A$5:$M$45,5,0)+0,0))</f>
        <v>11</v>
      </c>
      <c r="CG1652" s="60" t="n">
        <f aca="false">IFERROR(IF(OR(BX1652=1,BX1652=2,BX1652=3),N(INDEX(Parameter!$I$5:$I$7,BX1652)),0),0)</f>
        <v>0</v>
      </c>
      <c r="CH1652" s="59" t="n">
        <f aca="false">IF(AND(Parameter!$B$21="Ja",ISNUMBER(W1652),N(X1652)&gt;0),IFERROR(N(INDEX(Parameter!$L$5:$L$7,W1652))*INDEX(Parameter!$E$5:$E$7,W1652)*X1652/SUMIFS($X$7:$X$1843,$W$7:$W$1843,W1652),0),0)</f>
        <v>0</v>
      </c>
    </row>
    <row r="1653" customFormat="false" ht="15" hidden="false" customHeight="false" outlineLevel="0" collapsed="false">
      <c r="A1653" s="55" t="s">
        <v>2874</v>
      </c>
      <c r="B1653" s="55" t="s">
        <v>2875</v>
      </c>
      <c r="C1653" s="55" t="s">
        <v>164</v>
      </c>
      <c r="D1653" s="55" t="s">
        <v>173</v>
      </c>
      <c r="E1653" s="55" t="s">
        <v>173</v>
      </c>
      <c r="F1653" s="55"/>
      <c r="G1653" s="56" t="n">
        <v>444.6</v>
      </c>
      <c r="H1653" s="57" t="n">
        <f aca="false">MAX(0,IF(AND(Parameter!$B$21="Ja",ISNUMBER(Y1653)),Y1653,IF(Parameter!$B$20="Jahresanfang 2025 + Export",BL1653+BK1653,BK1653)))</f>
        <v>1</v>
      </c>
      <c r="I1653" s="57" t="n">
        <f aca="false">H1653*G1653</f>
        <v>444.6</v>
      </c>
      <c r="J1653" s="57" t="n">
        <f aca="false">BN1653*Parameter!$B$18</f>
        <v>0</v>
      </c>
      <c r="K1653" s="58"/>
      <c r="L1653" s="59"/>
      <c r="M1653" s="57" t="n">
        <v>0</v>
      </c>
      <c r="N1653" s="57" t="n">
        <v>1</v>
      </c>
      <c r="O1653" s="60" t="n">
        <v>28</v>
      </c>
      <c r="P1653" s="55" t="s">
        <v>168</v>
      </c>
      <c r="Q1653" s="57"/>
      <c r="R1653" s="60" t="n">
        <f aca="false">IF(BT1653=1,0,IFERROR(VLOOKUP(BR1653,'Gebinde-Kategorie'!$A$5:$M$45,13,0)+0,0))</f>
        <v>12</v>
      </c>
      <c r="S1653" s="61"/>
      <c r="T1653" s="62" t="s">
        <v>179</v>
      </c>
      <c r="U1653" s="62"/>
      <c r="V1653" s="62"/>
      <c r="W1653" s="55"/>
      <c r="X1653" s="57"/>
      <c r="Y1653" s="57"/>
      <c r="Z1653" s="55" t="str">
        <f aca="false">IF(A1653="","",IF(AND(Parameter!$B$21="Ja",ISNUMBER(W1653)),W1653,IF(BV1653="2+3",IF(ISNUMBER(SEARCH("grosser Artikel",BO1653)),2,IFERROR(VLOOKUP(BR1653,Parameter!$F$35:$G$64,2,0),2)),IF(OR(BV1653="Nein",BV1653=""),"-",BV1653))))</f>
        <v>-</v>
      </c>
      <c r="AA1653" s="62"/>
      <c r="AB1653" s="63"/>
      <c r="AC1653" s="57" t="n">
        <f aca="false">AR1653</f>
        <v>4</v>
      </c>
      <c r="AD1653" s="57" t="n">
        <f aca="false">MAX(AR1653,H1653)</f>
        <v>4</v>
      </c>
      <c r="AE1653" s="64"/>
      <c r="AF1653" s="57" t="n">
        <f aca="false">IF(LEFT(Cockpit!$C$5,1)="A",H1653,IF(CA1653=1,CB1653,IF(LEFT(Cockpit!$C$5,1)="B",AJ1653,MAX(AJ1653,H1653))))</f>
        <v>1</v>
      </c>
      <c r="AG1653" s="57" t="n">
        <f aca="false">IF(BT1653=1,0,ROUNDUP(AF1653/BS1653,0))</f>
        <v>1</v>
      </c>
      <c r="AH1653" s="59" t="n">
        <f aca="false">IF(CH1653&gt;0,CH1653*MAX(1,AF1653/X1653),IF(BT1653=1,IF(AF1653&lt;=0,0,BW1653*MAX(1,IF(H1653&gt;0,AF1653/H1653,1))),IF(R1653&gt;0,AG1653/R1653,0))/MAX(0.1,N(Parameter!$M$21)))</f>
        <v>0.0833333333333333</v>
      </c>
      <c r="AI1653" s="57" t="n">
        <f aca="false">AF1653*G1653</f>
        <v>444.6</v>
      </c>
      <c r="AJ1653" s="57" t="n">
        <f aca="false">ROUNDUP(MAX(J1653/IF(BZ1653&gt;0,BZ1653,MAX(0.1,N(Cockpit!$C$6))),CC1653)/BS1653,0)*BS1653</f>
        <v>4</v>
      </c>
      <c r="AK1653" s="58" t="n">
        <f aca="false">IF(AH1653&gt;0,J1653/AH1653,-1)</f>
        <v>0</v>
      </c>
      <c r="AL1653" s="58" t="str">
        <f aca="false">IF(AND(OR(BY1653="L1",BY1653="L23"),AH1653&gt;0),SUMIFS($AH$7:$AH$1843,$BY$7:$BY$1843,BY1653,$AK$7:$AK$1843,"&gt;"&amp;AK1653)+SUMIFS($AH$7:$AH$1843,$BY$7:$BY$1843,BY1653,$AK$7:$AK$1843,AK1653,$BQ$7:$BQ$1843,"&lt;="&amp;BQ1653),"")</f>
        <v/>
      </c>
      <c r="AM1653" s="65" t="n">
        <f aca="false">IF(AL1653="",0,MAX(0,MIN(1,(IF(BY1653="L1",Parameter!$E$5,Parameter!$E$6+Parameter!$E$7)-(AL1653-AH1653))/AH1653)))</f>
        <v>0</v>
      </c>
      <c r="AN1653" s="57" t="n">
        <f aca="false">IF(LEFT(Cockpit!$I$5,1)="A",H1653,IF(CA1653=1,CB1653,IF(LEFT(Cockpit!$I$5,1)="B",AR1653,MAX(AR1653,H1653))))</f>
        <v>4</v>
      </c>
      <c r="AO1653" s="57" t="n">
        <f aca="false">IF(BT1653=1,0,ROUNDUP(AN1653/BS1653,0))</f>
        <v>1</v>
      </c>
      <c r="AP1653" s="59" t="n">
        <f aca="false">IF(CH1653&gt;0,CH1653*MAX(1,AN1653/X1653),IF(BT1653=1,IF(AN1653&lt;=0,0,BW1653*MAX(1,IF(H1653&gt;0,AN1653/H1653,1))),IF(R1653&gt;0,AO1653/R1653,0))/MAX(0.1,N(Parameter!$M$21)))</f>
        <v>0.0833333333333333</v>
      </c>
      <c r="AQ1653" s="57" t="n">
        <f aca="false">AN1653*G1653</f>
        <v>1778.4</v>
      </c>
      <c r="AR1653" s="57" t="n">
        <f aca="false">ROUNDUP(MAX(J1653/IF(BZ1653&gt;0,BZ1653,MAX(0.1,N(Cockpit!$I$6))),CC1653)/BS1653,0)*BS1653</f>
        <v>4</v>
      </c>
      <c r="AS1653" s="58" t="n">
        <f aca="false">IF(AP1653&gt;0,J1653/AP1653,-1)</f>
        <v>0</v>
      </c>
      <c r="AT1653" s="58" t="str">
        <f aca="false">IF(AND(OR(BY1653="L1",BY1653="L23"),AP1653&gt;0),SUMIFS($AP$7:$AP$1843,$BY$7:$BY$1843,BY1653,$AS$7:$AS$1843,"&gt;"&amp;AS1653)+SUMIFS($AP$7:$AP$1843,$BY$7:$BY$1843,BY1653,$AS$7:$AS$1843,AS1653,$BQ$7:$BQ$1843,"&lt;="&amp;BQ1653),"")</f>
        <v/>
      </c>
      <c r="AU1653" s="65" t="n">
        <f aca="false">IF(AT1653="",0,MAX(0,MIN(1,(IF(BY1653="L1",Parameter!$E$5,Parameter!$E$6+Parameter!$E$7)-(AT1653-AP1653))/AP1653)))</f>
        <v>0</v>
      </c>
      <c r="AV1653" s="57" t="n">
        <f aca="false">IF(LEFT(Cockpit!$O$5,1)="A",H1653,IF(CA1653=1,CB1653,IF(LEFT(Cockpit!$O$5,1)="B",AZ1653,MAX(AZ1653,H1653))))</f>
        <v>4</v>
      </c>
      <c r="AW1653" s="57" t="n">
        <f aca="false">IF(BT1653=1,0,ROUNDUP(AV1653/BS1653,0))</f>
        <v>1</v>
      </c>
      <c r="AX1653" s="59" t="n">
        <f aca="false">IF(CH1653&gt;0,CH1653*MAX(1,AV1653/X1653),IF(BT1653=1,IF(AV1653&lt;=0,0,BW1653*MAX(1,IF(H1653&gt;0,AV1653/H1653,1))),IF(R1653&gt;0,AW1653/R1653,0))/MAX(0.1,N(Parameter!$M$21)))</f>
        <v>0.0833333333333333</v>
      </c>
      <c r="AY1653" s="57" t="n">
        <f aca="false">AV1653*G1653</f>
        <v>1778.4</v>
      </c>
      <c r="AZ1653" s="57" t="n">
        <f aca="false">ROUNDUP(MAX(J1653/IF(BZ1653&gt;0,BZ1653,MAX(0.1,N(Cockpit!$O$6))),CC1653)/BS1653,0)*BS1653</f>
        <v>4</v>
      </c>
      <c r="BA1653" s="58" t="n">
        <f aca="false">IF(AX1653&gt;0,J1653/AX1653,-1)</f>
        <v>0</v>
      </c>
      <c r="BB1653" s="58" t="str">
        <f aca="false">IF(AND(OR(BY1653="L1",BY1653="L23"),AX1653&gt;0),SUMIFS($AX$7:$AX$1843,$BY$7:$BY$1843,BY1653,$BA$7:$BA$1843,"&gt;"&amp;BA1653)+SUMIFS($AX$7:$AX$1843,$BY$7:$BY$1843,BY1653,$BA$7:$BA$1843,BA1653,$BQ$7:$BQ$1843,"&lt;="&amp;BQ1653),"")</f>
        <v/>
      </c>
      <c r="BC1653" s="65" t="n">
        <f aca="false">IF(BB1653="",0,MAX(0,MIN(1,(IF(BY1653="L1",Parameter!$E$5,Parameter!$E$6+Parameter!$E$7)-(BB1653-AX1653))/AX1653)))</f>
        <v>0</v>
      </c>
      <c r="BD1653" s="55" t="str">
        <f aca="false">IF(AH1653&lt;=0,"",IF(BY1653="Aussen","Aussenlager",IF(BY1653="-","Nicht im Lift",IF(AM1653&gt;=1,"Lift",IF(AM1653&lt;=0,"Aussenlager","teilweise")))))</f>
        <v>Nicht im Lift</v>
      </c>
      <c r="BE1653" s="55" t="str">
        <f aca="false">IF(AP1653&lt;=0,"",IF(BY1653="Aussen","Aussenlager",IF(BY1653="-","Nicht im Lift",IF(AU1653&gt;=1,"Lift",IF(AU1653&lt;=0,"Aussenlager","teilweise")))))</f>
        <v>Nicht im Lift</v>
      </c>
      <c r="BF1653" s="55" t="str">
        <f aca="false">IF(AX1653&lt;=0,"",IF(BY1653="Aussen","Aussenlager",IF(BY1653="-","Nicht im Lift",IF(BC1653&gt;=1,"Lift",IF(BC1653&lt;=0,"Aussenlager","teilweise")))))</f>
        <v>Nicht im Lift</v>
      </c>
      <c r="BG1653" s="55" t="str">
        <f aca="false">IF(A1653="","",IF(BP1653=1,"Neu; ","")&amp;IF(AND(BP1653=0,BK1653&lt;0),"negativer Bestand (Export "&amp;BK1653&amp;"); ","")&amp;IF(J1653&lt;=0,"Kein Verbrauch; ","")&amp;IF(CH1653&gt;0,"Lift "&amp;W1653&amp;" lt. Liftbericht (Fach "&amp;X1653&amp;" Stk); ",IF(BU1653=1,"Gebinde geschätzt ("&amp;T1653&amp;"); ",IF(BT1653=1,"Lose – Tablare geschätzt; ","")))&amp;IF(H1653&gt;AR1653,"Überbestand "&amp;ROUND(H1653-AR1653,0)&amp;" Stk / CHF "&amp;ROUND((H1653-AR1653)*G1653,0)&amp;"; ","")&amp;IF(AND(CA1653=1,CB1653&lt;CC1653),"MAX &lt; MB+LG; ","")&amp;IF(AND(CG1653&gt;0,CF1653*10&gt;CG1653),"zu hoch für Tablar; ","")&amp;IF(AND(BP1653=0,OR(CA1653=1,AA1653&lt;&gt;"",U1653&lt;&gt;"",V1653&lt;&gt;"",AB1653&lt;&gt;"")),"manuell übersteuert; ","")&amp;IF(AND(BT1653=0,R1653=0),"Gebinde unbekannt / Stellmass fehlt; ","")&amp;IF(AND(BT1653=0,N(V1653)&lt;=0,N(Q1653)&lt;=0),"Menge pro Gebinde fehlt (Ist = 1 Gebinde); ","")&amp;BO1653)</f>
        <v>Kein Verbrauch; Gebinde geschätzt (Mittel); Menge pro Gebinde fehlt (Ist = 1 Gebinde); nur im Artikelstamm (Bestand 23.06.2026)</v>
      </c>
      <c r="BH1653" s="55"/>
      <c r="BI1653" s="55"/>
      <c r="BJ1653" s="62"/>
      <c r="BK1653" s="57" t="n">
        <v>1</v>
      </c>
      <c r="BL1653" s="57" t="n">
        <v>0</v>
      </c>
      <c r="BM1653" s="56" t="n">
        <v>0</v>
      </c>
      <c r="BN1653" s="57" t="n">
        <v>0</v>
      </c>
      <c r="BO1653" s="55" t="s">
        <v>2575</v>
      </c>
      <c r="BP1653" s="60" t="n">
        <v>0</v>
      </c>
      <c r="BQ1653" s="60" t="n">
        <v>1653</v>
      </c>
      <c r="BR1653" s="55" t="str">
        <f aca="false">IF(U1653&lt;&gt;"",UPPER(TRIM(U1653)),IF(BU1653=1,UPPER(VLOOKUP(T1653,Parameter!$I$27:$K$29,2,0)),IF(P1653="","LOSE",P1653)))</f>
        <v>S61</v>
      </c>
      <c r="BS1653" s="57" t="n">
        <f aca="false">IF(BR1653="LOSE",1,IF(N(V1653)&gt;0,V1653,IF(BU1653=1,MAX(1,N(VLOOKUP(T1653,Parameter!$I$27:$K$29,3,0)),H1653,N(N1653)),IF(N(Q1653)&gt;0,Q1653,MAX(1,H1653)))))</f>
        <v>4</v>
      </c>
      <c r="BT1653" s="60" t="n">
        <f aca="false">IF(BR1653="LOSE",1,0)</f>
        <v>0</v>
      </c>
      <c r="BU1653" s="60" t="n">
        <f aca="false">IF(AND(U1653="",OR(P1653="",P1653="LOSE"),T1653&lt;&gt;"",N(S1653)&lt;=0,ISNUMBER(MATCH(T1653,Parameter!$I$27:$I$29,0))),1,0)</f>
        <v>1</v>
      </c>
      <c r="BV1653" s="55" t="str">
        <f aca="false">IF(AND(Parameter!$B$19="Ja",E1653&lt;&gt;"",ISNUMBER(MATCH(E1653,Parameter!$I$35:$I$52,0))),VLOOKUP(E1653,Parameter!$I$35:$J$52,2,0),IFERROR(VLOOKUP(D1653,Parameter!$A$35:$C$64,2,0),"Nein"))</f>
        <v>Nein</v>
      </c>
      <c r="BW1653" s="59" t="n">
        <f aca="false">IF(BT1653=0,0,IF(N(S1653)&gt;0,S1653,IFERROR(VLOOKUP(D1653,Parameter!$A$35:$C$64,3,0)+0,0)))</f>
        <v>0</v>
      </c>
      <c r="BX1653" s="55" t="str">
        <f aca="false">IF(AA1653&lt;&gt;"",AA1653,Z1653)</f>
        <v>-</v>
      </c>
      <c r="BY1653" s="55" t="str">
        <f aca="false">IF(BX1653=1,"L1",IF(OR(BX1653=2,BX1653=3),"L23",IF(BX1653="Aussen","Aussen","-")))</f>
        <v>-</v>
      </c>
      <c r="BZ1653" s="66" t="n">
        <f aca="false">IF(N(AB1653)&gt;0,AB1653,0)</f>
        <v>0</v>
      </c>
      <c r="CA1653" s="60" t="n">
        <f aca="false">IF(ISNUMBER(AE1653),1,0)</f>
        <v>0</v>
      </c>
      <c r="CB1653" s="57" t="n">
        <f aca="false">N(AE1653)</f>
        <v>0</v>
      </c>
      <c r="CC1653" s="57" t="n">
        <f aca="false">N(M1653)+N(N1653)</f>
        <v>1</v>
      </c>
      <c r="CD1653" s="57" t="n">
        <f aca="false">ROUNDUP(H1653/BS1653,0)</f>
        <v>1</v>
      </c>
      <c r="CE1653" s="57" t="n">
        <f aca="false">ROUNDUP(CB1653/BS1653,0)</f>
        <v>0</v>
      </c>
      <c r="CF1653" s="60" t="n">
        <f aca="false">IF(BT1653=1,0,IFERROR(VLOOKUP(BR1653,'Gebinde-Kategorie'!$A$5:$M$45,5,0)+0,0))</f>
        <v>11</v>
      </c>
      <c r="CG1653" s="60" t="n">
        <f aca="false">IFERROR(IF(OR(BX1653=1,BX1653=2,BX1653=3),N(INDEX(Parameter!$I$5:$I$7,BX1653)),0),0)</f>
        <v>0</v>
      </c>
      <c r="CH1653" s="59" t="n">
        <f aca="false">IF(AND(Parameter!$B$21="Ja",ISNUMBER(W1653),N(X1653)&gt;0),IFERROR(N(INDEX(Parameter!$L$5:$L$7,W1653))*INDEX(Parameter!$E$5:$E$7,W1653)*X1653/SUMIFS($X$7:$X$1843,$W$7:$W$1843,W1653),0),0)</f>
        <v>0</v>
      </c>
    </row>
    <row r="1654" customFormat="false" ht="15" hidden="false" customHeight="false" outlineLevel="0" collapsed="false">
      <c r="A1654" s="55" t="s">
        <v>2876</v>
      </c>
      <c r="B1654" s="55" t="s">
        <v>2877</v>
      </c>
      <c r="C1654" s="55" t="s">
        <v>164</v>
      </c>
      <c r="D1654" s="55" t="s">
        <v>184</v>
      </c>
      <c r="E1654" s="55" t="s">
        <v>185</v>
      </c>
      <c r="F1654" s="55"/>
      <c r="G1654" s="56" t="n">
        <v>19</v>
      </c>
      <c r="H1654" s="57" t="n">
        <f aca="false">MAX(0,IF(AND(Parameter!$B$21="Ja",ISNUMBER(Y1654)),Y1654,IF(Parameter!$B$20="Jahresanfang 2025 + Export",BL1654+BK1654,BK1654)))</f>
        <v>45</v>
      </c>
      <c r="I1654" s="57" t="n">
        <f aca="false">H1654*G1654</f>
        <v>855</v>
      </c>
      <c r="J1654" s="57" t="n">
        <f aca="false">BN1654*Parameter!$B$18</f>
        <v>0</v>
      </c>
      <c r="K1654" s="58"/>
      <c r="L1654" s="59"/>
      <c r="M1654" s="57" t="n">
        <v>0</v>
      </c>
      <c r="N1654" s="57" t="n">
        <v>20</v>
      </c>
      <c r="O1654" s="60" t="n">
        <v>28</v>
      </c>
      <c r="P1654" s="55" t="s">
        <v>168</v>
      </c>
      <c r="Q1654" s="57"/>
      <c r="R1654" s="60" t="n">
        <f aca="false">IF(BT1654=1,0,IFERROR(VLOOKUP(BR1654,'Gebinde-Kategorie'!$A$5:$M$45,13,0)+0,0))</f>
        <v>26</v>
      </c>
      <c r="S1654" s="61"/>
      <c r="T1654" s="62" t="s">
        <v>275</v>
      </c>
      <c r="U1654" s="62"/>
      <c r="V1654" s="62"/>
      <c r="W1654" s="55"/>
      <c r="X1654" s="57"/>
      <c r="Y1654" s="57"/>
      <c r="Z1654" s="55" t="n">
        <f aca="false">IF(A1654="","",IF(AND(Parameter!$B$21="Ja",ISNUMBER(W1654)),W1654,IF(BV1654="2+3",IF(ISNUMBER(SEARCH("grosser Artikel",BO1654)),2,IFERROR(VLOOKUP(BR1654,Parameter!$F$35:$G$64,2,0),2)),IF(OR(BV1654="Nein",BV1654=""),"-",BV1654))))</f>
        <v>3</v>
      </c>
      <c r="AA1654" s="62"/>
      <c r="AB1654" s="63"/>
      <c r="AC1654" s="57" t="n">
        <f aca="false">AR1654</f>
        <v>45</v>
      </c>
      <c r="AD1654" s="57" t="n">
        <f aca="false">MAX(AR1654,H1654)</f>
        <v>45</v>
      </c>
      <c r="AE1654" s="64"/>
      <c r="AF1654" s="57" t="n">
        <f aca="false">IF(LEFT(Cockpit!$C$5,1)="A",H1654,IF(CA1654=1,CB1654,IF(LEFT(Cockpit!$C$5,1)="B",AJ1654,MAX(AJ1654,H1654))))</f>
        <v>45</v>
      </c>
      <c r="AG1654" s="57" t="n">
        <f aca="false">IF(BT1654=1,0,ROUNDUP(AF1654/BS1654,0))</f>
        <v>1</v>
      </c>
      <c r="AH1654" s="59" t="n">
        <f aca="false">IF(CH1654&gt;0,CH1654*MAX(1,AF1654/X1654),IF(BT1654=1,IF(AF1654&lt;=0,0,BW1654*MAX(1,IF(H1654&gt;0,AF1654/H1654,1))),IF(R1654&gt;0,AG1654/R1654,0))/MAX(0.1,N(Parameter!$M$21)))</f>
        <v>0.0384615384615385</v>
      </c>
      <c r="AI1654" s="57" t="n">
        <f aca="false">AF1654*G1654</f>
        <v>855</v>
      </c>
      <c r="AJ1654" s="57" t="n">
        <f aca="false">ROUNDUP(MAX(J1654/IF(BZ1654&gt;0,BZ1654,MAX(0.1,N(Cockpit!$C$6))),CC1654)/BS1654,0)*BS1654</f>
        <v>45</v>
      </c>
      <c r="AK1654" s="58" t="n">
        <f aca="false">IF(AH1654&gt;0,J1654/AH1654,-1)</f>
        <v>0</v>
      </c>
      <c r="AL1654" s="58" t="n">
        <f aca="false">IF(AND(OR(BY1654="L1",BY1654="L23"),AH1654&gt;0),SUMIFS($AH$7:$AH$1843,$BY$7:$BY$1843,BY1654,$AK$7:$AK$1843,"&gt;"&amp;AK1654)+SUMIFS($AH$7:$AH$1843,$BY$7:$BY$1843,BY1654,$AK$7:$AK$1843,AK1654,$BQ$7:$BQ$1843,"&lt;="&amp;BQ1654),"")</f>
        <v>88.6999172325259</v>
      </c>
      <c r="AM1654" s="65" t="n">
        <f aca="false">IF(AL1654="",0,MAX(0,MIN(1,(IF(BY1654="L1",Parameter!$E$5,Parameter!$E$6+Parameter!$E$7)-(AL1654-AH1654))/AH1654)))</f>
        <v>1</v>
      </c>
      <c r="AN1654" s="57" t="n">
        <f aca="false">IF(LEFT(Cockpit!$I$5,1)="A",H1654,IF(CA1654=1,CB1654,IF(LEFT(Cockpit!$I$5,1)="B",AR1654,MAX(AR1654,H1654))))</f>
        <v>45</v>
      </c>
      <c r="AO1654" s="57" t="n">
        <f aca="false">IF(BT1654=1,0,ROUNDUP(AN1654/BS1654,0))</f>
        <v>1</v>
      </c>
      <c r="AP1654" s="59" t="n">
        <f aca="false">IF(CH1654&gt;0,CH1654*MAX(1,AN1654/X1654),IF(BT1654=1,IF(AN1654&lt;=0,0,BW1654*MAX(1,IF(H1654&gt;0,AN1654/H1654,1))),IF(R1654&gt;0,AO1654/R1654,0))/MAX(0.1,N(Parameter!$M$21)))</f>
        <v>0.0384615384615385</v>
      </c>
      <c r="AQ1654" s="57" t="n">
        <f aca="false">AN1654*G1654</f>
        <v>855</v>
      </c>
      <c r="AR1654" s="57" t="n">
        <f aca="false">ROUNDUP(MAX(J1654/IF(BZ1654&gt;0,BZ1654,MAX(0.1,N(Cockpit!$I$6))),CC1654)/BS1654,0)*BS1654</f>
        <v>45</v>
      </c>
      <c r="AS1654" s="58" t="n">
        <f aca="false">IF(AP1654&gt;0,J1654/AP1654,-1)</f>
        <v>0</v>
      </c>
      <c r="AT1654" s="58" t="n">
        <f aca="false">IF(AND(OR(BY1654="L1",BY1654="L23"),AP1654&gt;0),SUMIFS($AP$7:$AP$1843,$BY$7:$BY$1843,BY1654,$AS$7:$AS$1843,"&gt;"&amp;AS1654)+SUMIFS($AP$7:$AP$1843,$BY$7:$BY$1843,BY1654,$AS$7:$AS$1843,AS1654,$BQ$7:$BQ$1843,"&lt;="&amp;BQ1654),"")</f>
        <v>133.952053984663</v>
      </c>
      <c r="AU1654" s="65" t="n">
        <f aca="false">IF(AT1654="",0,MAX(0,MIN(1,(IF(BY1654="L1",Parameter!$E$5,Parameter!$E$6+Parameter!$E$7)-(AT1654-AP1654))/AP1654)))</f>
        <v>0</v>
      </c>
      <c r="AV1654" s="57" t="n">
        <f aca="false">IF(LEFT(Cockpit!$O$5,1)="A",H1654,IF(CA1654=1,CB1654,IF(LEFT(Cockpit!$O$5,1)="B",AZ1654,MAX(AZ1654,H1654))))</f>
        <v>45</v>
      </c>
      <c r="AW1654" s="57" t="n">
        <f aca="false">IF(BT1654=1,0,ROUNDUP(AV1654/BS1654,0))</f>
        <v>1</v>
      </c>
      <c r="AX1654" s="59" t="n">
        <f aca="false">IF(CH1654&gt;0,CH1654*MAX(1,AV1654/X1654),IF(BT1654=1,IF(AV1654&lt;=0,0,BW1654*MAX(1,IF(H1654&gt;0,AV1654/H1654,1))),IF(R1654&gt;0,AW1654/R1654,0))/MAX(0.1,N(Parameter!$M$21)))</f>
        <v>0.0384615384615385</v>
      </c>
      <c r="AY1654" s="57" t="n">
        <f aca="false">AV1654*G1654</f>
        <v>855</v>
      </c>
      <c r="AZ1654" s="57" t="n">
        <f aca="false">ROUNDUP(MAX(J1654/IF(BZ1654&gt;0,BZ1654,MAX(0.1,N(Cockpit!$O$6))),CC1654)/BS1654,0)*BS1654</f>
        <v>45</v>
      </c>
      <c r="BA1654" s="58" t="n">
        <f aca="false">IF(AX1654&gt;0,J1654/AX1654,-1)</f>
        <v>0</v>
      </c>
      <c r="BB1654" s="58" t="n">
        <f aca="false">IF(AND(OR(BY1654="L1",BY1654="L23"),AX1654&gt;0),SUMIFS($AX$7:$AX$1843,$BY$7:$BY$1843,BY1654,$BA$7:$BA$1843,"&gt;"&amp;BA1654)+SUMIFS($AX$7:$AX$1843,$BY$7:$BY$1843,BY1654,$BA$7:$BA$1843,BA1654,$BQ$7:$BQ$1843,"&lt;="&amp;BQ1654),"")</f>
        <v>124.7818908145</v>
      </c>
      <c r="BC1654" s="65" t="n">
        <f aca="false">IF(BB1654="",0,MAX(0,MIN(1,(IF(BY1654="L1",Parameter!$E$5,Parameter!$E$6+Parameter!$E$7)-(BB1654-AX1654))/AX1654)))</f>
        <v>0</v>
      </c>
      <c r="BD1654" s="55" t="str">
        <f aca="false">IF(AH1654&lt;=0,"",IF(BY1654="Aussen","Aussenlager",IF(BY1654="-","Nicht im Lift",IF(AM1654&gt;=1,"Lift",IF(AM1654&lt;=0,"Aussenlager","teilweise")))))</f>
        <v>Lift</v>
      </c>
      <c r="BE1654" s="55" t="str">
        <f aca="false">IF(AP1654&lt;=0,"",IF(BY1654="Aussen","Aussenlager",IF(BY1654="-","Nicht im Lift",IF(AU1654&gt;=1,"Lift",IF(AU1654&lt;=0,"Aussenlager","teilweise")))))</f>
        <v>Aussenlager</v>
      </c>
      <c r="BF1654" s="55" t="str">
        <f aca="false">IF(AX1654&lt;=0,"",IF(BY1654="Aussen","Aussenlager",IF(BY1654="-","Nicht im Lift",IF(BC1654&gt;=1,"Lift",IF(BC1654&lt;=0,"Aussenlager","teilweise")))))</f>
        <v>Aussenlager</v>
      </c>
      <c r="BG1654" s="55" t="str">
        <f aca="false">IF(A1654="","",IF(BP1654=1,"Neu; ","")&amp;IF(AND(BP1654=0,BK1654&lt;0),"negativer Bestand (Export "&amp;BK1654&amp;"); ","")&amp;IF(J1654&lt;=0,"Kein Verbrauch; ","")&amp;IF(CH1654&gt;0,"Lift "&amp;W1654&amp;" lt. Liftbericht (Fach "&amp;X1654&amp;" Stk); ",IF(BU1654=1,"Gebinde geschätzt ("&amp;T1654&amp;"); ",IF(BT1654=1,"Lose – Tablare geschätzt; ","")))&amp;IF(H1654&gt;AR1654,"Überbestand "&amp;ROUND(H1654-AR1654,0)&amp;" Stk / CHF "&amp;ROUND((H1654-AR1654)*G1654,0)&amp;"; ","")&amp;IF(AND(CA1654=1,CB1654&lt;CC1654),"MAX &lt; MB+LG; ","")&amp;IF(AND(CG1654&gt;0,CF1654*10&gt;CG1654),"zu hoch für Tablar; ","")&amp;IF(AND(BP1654=0,OR(CA1654=1,AA1654&lt;&gt;"",U1654&lt;&gt;"",V1654&lt;&gt;"",AB1654&lt;&gt;"")),"manuell übersteuert; ","")&amp;IF(AND(BT1654=0,R1654=0),"Gebinde unbekannt / Stellmass fehlt; ","")&amp;IF(AND(BT1654=0,N(V1654)&lt;=0,N(Q1654)&lt;=0),"Menge pro Gebinde fehlt (Ist = 1 Gebinde); ","")&amp;BO1654)</f>
        <v>Kein Verbrauch; Gebinde geschätzt (Klein); Menge pro Gebinde fehlt (Ist = 1 Gebinde); nur im Artikelstamm (Bestand 23.06.2026); nicht im KTL vorhanden</v>
      </c>
      <c r="BH1654" s="55"/>
      <c r="BI1654" s="55"/>
      <c r="BJ1654" s="62"/>
      <c r="BK1654" s="57" t="n">
        <v>45</v>
      </c>
      <c r="BL1654" s="57" t="n">
        <v>0</v>
      </c>
      <c r="BM1654" s="56" t="n">
        <v>0</v>
      </c>
      <c r="BN1654" s="57" t="n">
        <v>0</v>
      </c>
      <c r="BO1654" s="55" t="s">
        <v>2878</v>
      </c>
      <c r="BP1654" s="60" t="n">
        <v>0</v>
      </c>
      <c r="BQ1654" s="60" t="n">
        <v>1654</v>
      </c>
      <c r="BR1654" s="55" t="str">
        <f aca="false">IF(U1654&lt;&gt;"",UPPER(TRIM(U1654)),IF(BU1654=1,UPPER(VLOOKUP(T1654,Parameter!$I$27:$K$29,2,0)),IF(P1654="","LOSE",P1654)))</f>
        <v>S51</v>
      </c>
      <c r="BS1654" s="57" t="n">
        <f aca="false">IF(BR1654="LOSE",1,IF(N(V1654)&gt;0,V1654,IF(BU1654=1,MAX(1,N(VLOOKUP(T1654,Parameter!$I$27:$K$29,3,0)),H1654,N(N1654)),IF(N(Q1654)&gt;0,Q1654,MAX(1,H1654)))))</f>
        <v>45</v>
      </c>
      <c r="BT1654" s="60" t="n">
        <f aca="false">IF(BR1654="LOSE",1,0)</f>
        <v>0</v>
      </c>
      <c r="BU1654" s="60" t="n">
        <f aca="false">IF(AND(U1654="",OR(P1654="",P1654="LOSE"),T1654&lt;&gt;"",N(S1654)&lt;=0,ISNUMBER(MATCH(T1654,Parameter!$I$27:$I$29,0))),1,0)</f>
        <v>1</v>
      </c>
      <c r="BV1654" s="55" t="str">
        <f aca="false">IF(AND(Parameter!$B$19="Ja",E1654&lt;&gt;"",ISNUMBER(MATCH(E1654,Parameter!$I$35:$I$52,0))),VLOOKUP(E1654,Parameter!$I$35:$J$52,2,0),IFERROR(VLOOKUP(D1654,Parameter!$A$35:$C$64,2,0),"Nein"))</f>
        <v>2+3</v>
      </c>
      <c r="BW1654" s="59" t="n">
        <f aca="false">IF(BT1654=0,0,IF(N(S1654)&gt;0,S1654,IFERROR(VLOOKUP(D1654,Parameter!$A$35:$C$64,3,0)+0,0)))</f>
        <v>0</v>
      </c>
      <c r="BX1654" s="55" t="n">
        <f aca="false">IF(AA1654&lt;&gt;"",AA1654,Z1654)</f>
        <v>3</v>
      </c>
      <c r="BY1654" s="55" t="str">
        <f aca="false">IF(BX1654=1,"L1",IF(OR(BX1654=2,BX1654=3),"L23",IF(BX1654="Aussen","Aussen","-")))</f>
        <v>L23</v>
      </c>
      <c r="BZ1654" s="66" t="n">
        <f aca="false">IF(N(AB1654)&gt;0,AB1654,0)</f>
        <v>0</v>
      </c>
      <c r="CA1654" s="60" t="n">
        <f aca="false">IF(ISNUMBER(AE1654),1,0)</f>
        <v>0</v>
      </c>
      <c r="CB1654" s="57" t="n">
        <f aca="false">N(AE1654)</f>
        <v>0</v>
      </c>
      <c r="CC1654" s="57" t="n">
        <f aca="false">N(M1654)+N(N1654)</f>
        <v>20</v>
      </c>
      <c r="CD1654" s="57" t="n">
        <f aca="false">ROUNDUP(H1654/BS1654,0)</f>
        <v>1</v>
      </c>
      <c r="CE1654" s="57" t="n">
        <f aca="false">ROUNDUP(CB1654/BS1654,0)</f>
        <v>0</v>
      </c>
      <c r="CF1654" s="60" t="n">
        <f aca="false">IF(BT1654=1,0,IFERROR(VLOOKUP(BR1654,'Gebinde-Kategorie'!$A$5:$M$45,5,0)+0,0))</f>
        <v>11</v>
      </c>
      <c r="CG1654" s="60" t="n">
        <f aca="false">IFERROR(IF(OR(BX1654=1,BX1654=2,BX1654=3),N(INDEX(Parameter!$I$5:$I$7,BX1654)),0),0)</f>
        <v>0</v>
      </c>
      <c r="CH1654" s="59" t="n">
        <f aca="false">IF(AND(Parameter!$B$21="Ja",ISNUMBER(W1654),N(X1654)&gt;0),IFERROR(N(INDEX(Parameter!$L$5:$L$7,W1654))*INDEX(Parameter!$E$5:$E$7,W1654)*X1654/SUMIFS($X$7:$X$1843,$W$7:$W$1843,W1654),0),0)</f>
        <v>0</v>
      </c>
    </row>
    <row r="1655" customFormat="false" ht="15" hidden="false" customHeight="false" outlineLevel="0" collapsed="false">
      <c r="A1655" s="55" t="s">
        <v>2879</v>
      </c>
      <c r="B1655" s="55" t="s">
        <v>287</v>
      </c>
      <c r="C1655" s="55" t="s">
        <v>164</v>
      </c>
      <c r="D1655" s="55" t="s">
        <v>173</v>
      </c>
      <c r="E1655" s="55"/>
      <c r="F1655" s="55"/>
      <c r="G1655" s="56" t="n">
        <v>1770</v>
      </c>
      <c r="H1655" s="57" t="n">
        <f aca="false">MAX(0,IF(AND(Parameter!$B$21="Ja",ISNUMBER(Y1655)),Y1655,IF(Parameter!$B$20="Jahresanfang 2025 + Export",BL1655+BK1655,BK1655)))</f>
        <v>1</v>
      </c>
      <c r="I1655" s="57" t="n">
        <f aca="false">H1655*G1655</f>
        <v>1770</v>
      </c>
      <c r="J1655" s="57" t="n">
        <f aca="false">BN1655*Parameter!$B$18</f>
        <v>0</v>
      </c>
      <c r="K1655" s="58"/>
      <c r="L1655" s="59"/>
      <c r="M1655" s="57" t="n">
        <v>0</v>
      </c>
      <c r="N1655" s="57" t="n">
        <v>1</v>
      </c>
      <c r="O1655" s="60" t="n">
        <v>35</v>
      </c>
      <c r="P1655" s="55" t="s">
        <v>168</v>
      </c>
      <c r="Q1655" s="57"/>
      <c r="R1655" s="60" t="n">
        <f aca="false">IF(BT1655=1,0,IFERROR(VLOOKUP(BR1655,'Gebinde-Kategorie'!$A$5:$M$45,13,0)+0,0))</f>
        <v>12</v>
      </c>
      <c r="S1655" s="61"/>
      <c r="T1655" s="62" t="s">
        <v>179</v>
      </c>
      <c r="U1655" s="62"/>
      <c r="V1655" s="62"/>
      <c r="W1655" s="55"/>
      <c r="X1655" s="57"/>
      <c r="Y1655" s="57"/>
      <c r="Z1655" s="55" t="n">
        <f aca="false">IF(A1655="","",IF(AND(Parameter!$B$21="Ja",ISNUMBER(W1655)),W1655,IF(BV1655="2+3",IF(ISNUMBER(SEARCH("grosser Artikel",BO1655)),2,IFERROR(VLOOKUP(BR1655,Parameter!$F$35:$G$64,2,0),2)),IF(OR(BV1655="Nein",BV1655=""),"-",BV1655))))</f>
        <v>2</v>
      </c>
      <c r="AA1655" s="62"/>
      <c r="AB1655" s="63"/>
      <c r="AC1655" s="57" t="n">
        <f aca="false">AR1655</f>
        <v>4</v>
      </c>
      <c r="AD1655" s="57" t="n">
        <f aca="false">MAX(AR1655,H1655)</f>
        <v>4</v>
      </c>
      <c r="AE1655" s="64"/>
      <c r="AF1655" s="57" t="n">
        <f aca="false">IF(LEFT(Cockpit!$C$5,1)="A",H1655,IF(CA1655=1,CB1655,IF(LEFT(Cockpit!$C$5,1)="B",AJ1655,MAX(AJ1655,H1655))))</f>
        <v>1</v>
      </c>
      <c r="AG1655" s="57" t="n">
        <f aca="false">IF(BT1655=1,0,ROUNDUP(AF1655/BS1655,0))</f>
        <v>1</v>
      </c>
      <c r="AH1655" s="59" t="n">
        <f aca="false">IF(CH1655&gt;0,CH1655*MAX(1,AF1655/X1655),IF(BT1655=1,IF(AF1655&lt;=0,0,BW1655*MAX(1,IF(H1655&gt;0,AF1655/H1655,1))),IF(R1655&gt;0,AG1655/R1655,0))/MAX(0.1,N(Parameter!$M$21)))</f>
        <v>0.0833333333333333</v>
      </c>
      <c r="AI1655" s="57" t="n">
        <f aca="false">AF1655*G1655</f>
        <v>1770</v>
      </c>
      <c r="AJ1655" s="57" t="n">
        <f aca="false">ROUNDUP(MAX(J1655/IF(BZ1655&gt;0,BZ1655,MAX(0.1,N(Cockpit!$C$6))),CC1655)/BS1655,0)*BS1655</f>
        <v>4</v>
      </c>
      <c r="AK1655" s="58" t="n">
        <f aca="false">IF(AH1655&gt;0,J1655/AH1655,-1)</f>
        <v>0</v>
      </c>
      <c r="AL1655" s="58" t="n">
        <f aca="false">IF(AND(OR(BY1655="L1",BY1655="L23"),AH1655&gt;0),SUMIFS($AH$7:$AH$1843,$BY$7:$BY$1843,BY1655,$AK$7:$AK$1843,"&gt;"&amp;AK1655)+SUMIFS($AH$7:$AH$1843,$BY$7:$BY$1843,BY1655,$AK$7:$AK$1843,AK1655,$BQ$7:$BQ$1843,"&lt;="&amp;BQ1655),"")</f>
        <v>88.7832505658593</v>
      </c>
      <c r="AM1655" s="65" t="n">
        <f aca="false">IF(AL1655="",0,MAX(0,MIN(1,(IF(BY1655="L1",Parameter!$E$5,Parameter!$E$6+Parameter!$E$7)-(AL1655-AH1655))/AH1655)))</f>
        <v>1</v>
      </c>
      <c r="AN1655" s="57" t="n">
        <f aca="false">IF(LEFT(Cockpit!$I$5,1)="A",H1655,IF(CA1655=1,CB1655,IF(LEFT(Cockpit!$I$5,1)="B",AR1655,MAX(AR1655,H1655))))</f>
        <v>4</v>
      </c>
      <c r="AO1655" s="57" t="n">
        <f aca="false">IF(BT1655=1,0,ROUNDUP(AN1655/BS1655,0))</f>
        <v>1</v>
      </c>
      <c r="AP1655" s="59" t="n">
        <f aca="false">IF(CH1655&gt;0,CH1655*MAX(1,AN1655/X1655),IF(BT1655=1,IF(AN1655&lt;=0,0,BW1655*MAX(1,IF(H1655&gt;0,AN1655/H1655,1))),IF(R1655&gt;0,AO1655/R1655,0))/MAX(0.1,N(Parameter!$M$21)))</f>
        <v>0.0833333333333333</v>
      </c>
      <c r="AQ1655" s="57" t="n">
        <f aca="false">AN1655*G1655</f>
        <v>7080</v>
      </c>
      <c r="AR1655" s="57" t="n">
        <f aca="false">ROUNDUP(MAX(J1655/IF(BZ1655&gt;0,BZ1655,MAX(0.1,N(Cockpit!$I$6))),CC1655)/BS1655,0)*BS1655</f>
        <v>4</v>
      </c>
      <c r="AS1655" s="58" t="n">
        <f aca="false">IF(AP1655&gt;0,J1655/AP1655,-1)</f>
        <v>0</v>
      </c>
      <c r="AT1655" s="58" t="n">
        <f aca="false">IF(AND(OR(BY1655="L1",BY1655="L23"),AP1655&gt;0),SUMIFS($AP$7:$AP$1843,$BY$7:$BY$1843,BY1655,$AS$7:$AS$1843,"&gt;"&amp;AS1655)+SUMIFS($AP$7:$AP$1843,$BY$7:$BY$1843,BY1655,$AS$7:$AS$1843,AS1655,$BQ$7:$BQ$1843,"&lt;="&amp;BQ1655),"")</f>
        <v>134.035387317996</v>
      </c>
      <c r="AU1655" s="65" t="n">
        <f aca="false">IF(AT1655="",0,MAX(0,MIN(1,(IF(BY1655="L1",Parameter!$E$5,Parameter!$E$6+Parameter!$E$7)-(AT1655-AP1655))/AP1655)))</f>
        <v>0</v>
      </c>
      <c r="AV1655" s="57" t="n">
        <f aca="false">IF(LEFT(Cockpit!$O$5,1)="A",H1655,IF(CA1655=1,CB1655,IF(LEFT(Cockpit!$O$5,1)="B",AZ1655,MAX(AZ1655,H1655))))</f>
        <v>4</v>
      </c>
      <c r="AW1655" s="57" t="n">
        <f aca="false">IF(BT1655=1,0,ROUNDUP(AV1655/BS1655,0))</f>
        <v>1</v>
      </c>
      <c r="AX1655" s="59" t="n">
        <f aca="false">IF(CH1655&gt;0,CH1655*MAX(1,AV1655/X1655),IF(BT1655=1,IF(AV1655&lt;=0,0,BW1655*MAX(1,IF(H1655&gt;0,AV1655/H1655,1))),IF(R1655&gt;0,AW1655/R1655,0))/MAX(0.1,N(Parameter!$M$21)))</f>
        <v>0.0833333333333333</v>
      </c>
      <c r="AY1655" s="57" t="n">
        <f aca="false">AV1655*G1655</f>
        <v>7080</v>
      </c>
      <c r="AZ1655" s="57" t="n">
        <f aca="false">ROUNDUP(MAX(J1655/IF(BZ1655&gt;0,BZ1655,MAX(0.1,N(Cockpit!$O$6))),CC1655)/BS1655,0)*BS1655</f>
        <v>4</v>
      </c>
      <c r="BA1655" s="58" t="n">
        <f aca="false">IF(AX1655&gt;0,J1655/AX1655,-1)</f>
        <v>0</v>
      </c>
      <c r="BB1655" s="58" t="n">
        <f aca="false">IF(AND(OR(BY1655="L1",BY1655="L23"),AX1655&gt;0),SUMIFS($AX$7:$AX$1843,$BY$7:$BY$1843,BY1655,$BA$7:$BA$1843,"&gt;"&amp;BA1655)+SUMIFS($AX$7:$AX$1843,$BY$7:$BY$1843,BY1655,$BA$7:$BA$1843,BA1655,$BQ$7:$BQ$1843,"&lt;="&amp;BQ1655),"")</f>
        <v>124.865224147833</v>
      </c>
      <c r="BC1655" s="65" t="n">
        <f aca="false">IF(BB1655="",0,MAX(0,MIN(1,(IF(BY1655="L1",Parameter!$E$5,Parameter!$E$6+Parameter!$E$7)-(BB1655-AX1655))/AX1655)))</f>
        <v>0</v>
      </c>
      <c r="BD1655" s="55" t="str">
        <f aca="false">IF(AH1655&lt;=0,"",IF(BY1655="Aussen","Aussenlager",IF(BY1655="-","Nicht im Lift",IF(AM1655&gt;=1,"Lift",IF(AM1655&lt;=0,"Aussenlager","teilweise")))))</f>
        <v>Lift</v>
      </c>
      <c r="BE1655" s="55" t="str">
        <f aca="false">IF(AP1655&lt;=0,"",IF(BY1655="Aussen","Aussenlager",IF(BY1655="-","Nicht im Lift",IF(AU1655&gt;=1,"Lift",IF(AU1655&lt;=0,"Aussenlager","teilweise")))))</f>
        <v>Aussenlager</v>
      </c>
      <c r="BF1655" s="55" t="str">
        <f aca="false">IF(AX1655&lt;=0,"",IF(BY1655="Aussen","Aussenlager",IF(BY1655="-","Nicht im Lift",IF(BC1655&gt;=1,"Lift",IF(BC1655&lt;=0,"Aussenlager","teilweise")))))</f>
        <v>Aussenlager</v>
      </c>
      <c r="BG1655" s="55" t="str">
        <f aca="false">IF(A1655="","",IF(BP1655=1,"Neu; ","")&amp;IF(AND(BP1655=0,BK1655&lt;0),"negativer Bestand (Export "&amp;BK1655&amp;"); ","")&amp;IF(J1655&lt;=0,"Kein Verbrauch; ","")&amp;IF(CH1655&gt;0,"Lift "&amp;W1655&amp;" lt. Liftbericht (Fach "&amp;X1655&amp;" Stk); ",IF(BU1655=1,"Gebinde geschätzt ("&amp;T1655&amp;"); ",IF(BT1655=1,"Lose – Tablare geschätzt; ","")))&amp;IF(H1655&gt;AR1655,"Überbestand "&amp;ROUND(H1655-AR1655,0)&amp;" Stk / CHF "&amp;ROUND((H1655-AR1655)*G1655,0)&amp;"; ","")&amp;IF(AND(CA1655=1,CB1655&lt;CC1655),"MAX &lt; MB+LG; ","")&amp;IF(AND(CG1655&gt;0,CF1655*10&gt;CG1655),"zu hoch für Tablar; ","")&amp;IF(AND(BP1655=0,OR(CA1655=1,AA1655&lt;&gt;"",U1655&lt;&gt;"",V1655&lt;&gt;"",AB1655&lt;&gt;"")),"manuell übersteuert; ","")&amp;IF(AND(BT1655=0,R1655=0),"Gebinde unbekannt / Stellmass fehlt; ","")&amp;IF(AND(BT1655=0,N(V1655)&lt;=0,N(Q1655)&lt;=0),"Menge pro Gebinde fehlt (Ist = 1 Gebinde); ","")&amp;BO1655)</f>
        <v>Kein Verbrauch; Gebinde geschätzt (Mittel); Menge pro Gebinde fehlt (Ist = 1 Gebinde); nur im Artikelstamm (Bestand 23.06.2026)</v>
      </c>
      <c r="BH1655" s="55"/>
      <c r="BI1655" s="55"/>
      <c r="BJ1655" s="62"/>
      <c r="BK1655" s="57" t="n">
        <v>1</v>
      </c>
      <c r="BL1655" s="57" t="n">
        <v>0</v>
      </c>
      <c r="BM1655" s="56" t="n">
        <v>0</v>
      </c>
      <c r="BN1655" s="57" t="n">
        <v>0</v>
      </c>
      <c r="BO1655" s="55" t="s">
        <v>2575</v>
      </c>
      <c r="BP1655" s="60" t="n">
        <v>0</v>
      </c>
      <c r="BQ1655" s="60" t="n">
        <v>1655</v>
      </c>
      <c r="BR1655" s="55" t="str">
        <f aca="false">IF(U1655&lt;&gt;"",UPPER(TRIM(U1655)),IF(BU1655=1,UPPER(VLOOKUP(T1655,Parameter!$I$27:$K$29,2,0)),IF(P1655="","LOSE",P1655)))</f>
        <v>S61</v>
      </c>
      <c r="BS1655" s="57" t="n">
        <f aca="false">IF(BR1655="LOSE",1,IF(N(V1655)&gt;0,V1655,IF(BU1655=1,MAX(1,N(VLOOKUP(T1655,Parameter!$I$27:$K$29,3,0)),H1655,N(N1655)),IF(N(Q1655)&gt;0,Q1655,MAX(1,H1655)))))</f>
        <v>4</v>
      </c>
      <c r="BT1655" s="60" t="n">
        <f aca="false">IF(BR1655="LOSE",1,0)</f>
        <v>0</v>
      </c>
      <c r="BU1655" s="60" t="n">
        <f aca="false">IF(AND(U1655="",OR(P1655="",P1655="LOSE"),T1655&lt;&gt;"",N(S1655)&lt;=0,ISNUMBER(MATCH(T1655,Parameter!$I$27:$I$29,0))),1,0)</f>
        <v>1</v>
      </c>
      <c r="BV1655" s="55" t="str">
        <f aca="false">IF(AND(Parameter!$B$19="Ja",E1655&lt;&gt;"",ISNUMBER(MATCH(E1655,Parameter!$I$35:$I$52,0))),VLOOKUP(E1655,Parameter!$I$35:$J$52,2,0),IFERROR(VLOOKUP(D1655,Parameter!$A$35:$C$64,2,0),"Nein"))</f>
        <v>2+3</v>
      </c>
      <c r="BW1655" s="59" t="n">
        <f aca="false">IF(BT1655=0,0,IF(N(S1655)&gt;0,S1655,IFERROR(VLOOKUP(D1655,Parameter!$A$35:$C$64,3,0)+0,0)))</f>
        <v>0</v>
      </c>
      <c r="BX1655" s="55" t="n">
        <f aca="false">IF(AA1655&lt;&gt;"",AA1655,Z1655)</f>
        <v>2</v>
      </c>
      <c r="BY1655" s="55" t="str">
        <f aca="false">IF(BX1655=1,"L1",IF(OR(BX1655=2,BX1655=3),"L23",IF(BX1655="Aussen","Aussen","-")))</f>
        <v>L23</v>
      </c>
      <c r="BZ1655" s="66" t="n">
        <f aca="false">IF(N(AB1655)&gt;0,AB1655,0)</f>
        <v>0</v>
      </c>
      <c r="CA1655" s="60" t="n">
        <f aca="false">IF(ISNUMBER(AE1655),1,0)</f>
        <v>0</v>
      </c>
      <c r="CB1655" s="57" t="n">
        <f aca="false">N(AE1655)</f>
        <v>0</v>
      </c>
      <c r="CC1655" s="57" t="n">
        <f aca="false">N(M1655)+N(N1655)</f>
        <v>1</v>
      </c>
      <c r="CD1655" s="57" t="n">
        <f aca="false">ROUNDUP(H1655/BS1655,0)</f>
        <v>1</v>
      </c>
      <c r="CE1655" s="57" t="n">
        <f aca="false">ROUNDUP(CB1655/BS1655,0)</f>
        <v>0</v>
      </c>
      <c r="CF1655" s="60" t="n">
        <f aca="false">IF(BT1655=1,0,IFERROR(VLOOKUP(BR1655,'Gebinde-Kategorie'!$A$5:$M$45,5,0)+0,0))</f>
        <v>11</v>
      </c>
      <c r="CG1655" s="60" t="n">
        <f aca="false">IFERROR(IF(OR(BX1655=1,BX1655=2,BX1655=3),N(INDEX(Parameter!$I$5:$I$7,BX1655)),0),0)</f>
        <v>0</v>
      </c>
      <c r="CH1655" s="59" t="n">
        <f aca="false">IF(AND(Parameter!$B$21="Ja",ISNUMBER(W1655),N(X1655)&gt;0),IFERROR(N(INDEX(Parameter!$L$5:$L$7,W1655))*INDEX(Parameter!$E$5:$E$7,W1655)*X1655/SUMIFS($X$7:$X$1843,$W$7:$W$1843,W1655),0),0)</f>
        <v>0</v>
      </c>
    </row>
    <row r="1656" customFormat="false" ht="15" hidden="false" customHeight="false" outlineLevel="0" collapsed="false">
      <c r="A1656" s="55" t="s">
        <v>2880</v>
      </c>
      <c r="B1656" s="55" t="s">
        <v>2669</v>
      </c>
      <c r="C1656" s="55" t="s">
        <v>164</v>
      </c>
      <c r="D1656" s="55" t="s">
        <v>184</v>
      </c>
      <c r="E1656" s="55"/>
      <c r="F1656" s="55"/>
      <c r="G1656" s="56" t="n">
        <v>66.7</v>
      </c>
      <c r="H1656" s="57" t="n">
        <f aca="false">MAX(0,IF(AND(Parameter!$B$21="Ja",ISNUMBER(Y1656)),Y1656,IF(Parameter!$B$20="Jahresanfang 2025 + Export",BL1656+BK1656,BK1656)))</f>
        <v>32</v>
      </c>
      <c r="I1656" s="57" t="n">
        <f aca="false">H1656*G1656</f>
        <v>2134.4</v>
      </c>
      <c r="J1656" s="57" t="n">
        <f aca="false">BN1656*Parameter!$B$18</f>
        <v>0</v>
      </c>
      <c r="K1656" s="58"/>
      <c r="L1656" s="59"/>
      <c r="M1656" s="57" t="n">
        <v>0</v>
      </c>
      <c r="N1656" s="57" t="n">
        <v>8</v>
      </c>
      <c r="O1656" s="60" t="n">
        <v>42</v>
      </c>
      <c r="P1656" s="55" t="s">
        <v>168</v>
      </c>
      <c r="Q1656" s="57"/>
      <c r="R1656" s="60" t="n">
        <f aca="false">IF(BT1656=1,0,IFERROR(VLOOKUP(BR1656,'Gebinde-Kategorie'!$A$5:$M$45,13,0)+0,0))</f>
        <v>26</v>
      </c>
      <c r="S1656" s="61"/>
      <c r="T1656" s="62" t="s">
        <v>275</v>
      </c>
      <c r="U1656" s="62"/>
      <c r="V1656" s="62"/>
      <c r="W1656" s="55"/>
      <c r="X1656" s="57"/>
      <c r="Y1656" s="57"/>
      <c r="Z1656" s="55" t="n">
        <f aca="false">IF(A1656="","",IF(AND(Parameter!$B$21="Ja",ISNUMBER(W1656)),W1656,IF(BV1656="2+3",IF(ISNUMBER(SEARCH("grosser Artikel",BO1656)),2,IFERROR(VLOOKUP(BR1656,Parameter!$F$35:$G$64,2,0),2)),IF(OR(BV1656="Nein",BV1656=""),"-",BV1656))))</f>
        <v>3</v>
      </c>
      <c r="AA1656" s="62"/>
      <c r="AB1656" s="63"/>
      <c r="AC1656" s="57" t="n">
        <f aca="false">AR1656</f>
        <v>32</v>
      </c>
      <c r="AD1656" s="57" t="n">
        <f aca="false">MAX(AR1656,H1656)</f>
        <v>32</v>
      </c>
      <c r="AE1656" s="64"/>
      <c r="AF1656" s="57" t="n">
        <f aca="false">IF(LEFT(Cockpit!$C$5,1)="A",H1656,IF(CA1656=1,CB1656,IF(LEFT(Cockpit!$C$5,1)="B",AJ1656,MAX(AJ1656,H1656))))</f>
        <v>32</v>
      </c>
      <c r="AG1656" s="57" t="n">
        <f aca="false">IF(BT1656=1,0,ROUNDUP(AF1656/BS1656,0))</f>
        <v>1</v>
      </c>
      <c r="AH1656" s="59" t="n">
        <f aca="false">IF(CH1656&gt;0,CH1656*MAX(1,AF1656/X1656),IF(BT1656=1,IF(AF1656&lt;=0,0,BW1656*MAX(1,IF(H1656&gt;0,AF1656/H1656,1))),IF(R1656&gt;0,AG1656/R1656,0))/MAX(0.1,N(Parameter!$M$21)))</f>
        <v>0.0384615384615385</v>
      </c>
      <c r="AI1656" s="57" t="n">
        <f aca="false">AF1656*G1656</f>
        <v>2134.4</v>
      </c>
      <c r="AJ1656" s="57" t="n">
        <f aca="false">ROUNDUP(MAX(J1656/IF(BZ1656&gt;0,BZ1656,MAX(0.1,N(Cockpit!$C$6))),CC1656)/BS1656,0)*BS1656</f>
        <v>32</v>
      </c>
      <c r="AK1656" s="58" t="n">
        <f aca="false">IF(AH1656&gt;0,J1656/AH1656,-1)</f>
        <v>0</v>
      </c>
      <c r="AL1656" s="58" t="n">
        <f aca="false">IF(AND(OR(BY1656="L1",BY1656="L23"),AH1656&gt;0),SUMIFS($AH$7:$AH$1843,$BY$7:$BY$1843,BY1656,$AK$7:$AK$1843,"&gt;"&amp;AK1656)+SUMIFS($AH$7:$AH$1843,$BY$7:$BY$1843,BY1656,$AK$7:$AK$1843,AK1656,$BQ$7:$BQ$1843,"&lt;="&amp;BQ1656),"")</f>
        <v>88.8217121043208</v>
      </c>
      <c r="AM1656" s="65" t="n">
        <f aca="false">IF(AL1656="",0,MAX(0,MIN(1,(IF(BY1656="L1",Parameter!$E$5,Parameter!$E$6+Parameter!$E$7)-(AL1656-AH1656))/AH1656)))</f>
        <v>1</v>
      </c>
      <c r="AN1656" s="57" t="n">
        <f aca="false">IF(LEFT(Cockpit!$I$5,1)="A",H1656,IF(CA1656=1,CB1656,IF(LEFT(Cockpit!$I$5,1)="B",AR1656,MAX(AR1656,H1656))))</f>
        <v>32</v>
      </c>
      <c r="AO1656" s="57" t="n">
        <f aca="false">IF(BT1656=1,0,ROUNDUP(AN1656/BS1656,0))</f>
        <v>1</v>
      </c>
      <c r="AP1656" s="59" t="n">
        <f aca="false">IF(CH1656&gt;0,CH1656*MAX(1,AN1656/X1656),IF(BT1656=1,IF(AN1656&lt;=0,0,BW1656*MAX(1,IF(H1656&gt;0,AN1656/H1656,1))),IF(R1656&gt;0,AO1656/R1656,0))/MAX(0.1,N(Parameter!$M$21)))</f>
        <v>0.0384615384615385</v>
      </c>
      <c r="AQ1656" s="57" t="n">
        <f aca="false">AN1656*G1656</f>
        <v>2134.4</v>
      </c>
      <c r="AR1656" s="57" t="n">
        <f aca="false">ROUNDUP(MAX(J1656/IF(BZ1656&gt;0,BZ1656,MAX(0.1,N(Cockpit!$I$6))),CC1656)/BS1656,0)*BS1656</f>
        <v>32</v>
      </c>
      <c r="AS1656" s="58" t="n">
        <f aca="false">IF(AP1656&gt;0,J1656/AP1656,-1)</f>
        <v>0</v>
      </c>
      <c r="AT1656" s="58" t="n">
        <f aca="false">IF(AND(OR(BY1656="L1",BY1656="L23"),AP1656&gt;0),SUMIFS($AP$7:$AP$1843,$BY$7:$BY$1843,BY1656,$AS$7:$AS$1843,"&gt;"&amp;AS1656)+SUMIFS($AP$7:$AP$1843,$BY$7:$BY$1843,BY1656,$AS$7:$AS$1843,AS1656,$BQ$7:$BQ$1843,"&lt;="&amp;BQ1656),"")</f>
        <v>134.073848856458</v>
      </c>
      <c r="AU1656" s="65" t="n">
        <f aca="false">IF(AT1656="",0,MAX(0,MIN(1,(IF(BY1656="L1",Parameter!$E$5,Parameter!$E$6+Parameter!$E$7)-(AT1656-AP1656))/AP1656)))</f>
        <v>0</v>
      </c>
      <c r="AV1656" s="57" t="n">
        <f aca="false">IF(LEFT(Cockpit!$O$5,1)="A",H1656,IF(CA1656=1,CB1656,IF(LEFT(Cockpit!$O$5,1)="B",AZ1656,MAX(AZ1656,H1656))))</f>
        <v>32</v>
      </c>
      <c r="AW1656" s="57" t="n">
        <f aca="false">IF(BT1656=1,0,ROUNDUP(AV1656/BS1656,0))</f>
        <v>1</v>
      </c>
      <c r="AX1656" s="59" t="n">
        <f aca="false">IF(CH1656&gt;0,CH1656*MAX(1,AV1656/X1656),IF(BT1656=1,IF(AV1656&lt;=0,0,BW1656*MAX(1,IF(H1656&gt;0,AV1656/H1656,1))),IF(R1656&gt;0,AW1656/R1656,0))/MAX(0.1,N(Parameter!$M$21)))</f>
        <v>0.0384615384615385</v>
      </c>
      <c r="AY1656" s="57" t="n">
        <f aca="false">AV1656*G1656</f>
        <v>2134.4</v>
      </c>
      <c r="AZ1656" s="57" t="n">
        <f aca="false">ROUNDUP(MAX(J1656/IF(BZ1656&gt;0,BZ1656,MAX(0.1,N(Cockpit!$O$6))),CC1656)/BS1656,0)*BS1656</f>
        <v>32</v>
      </c>
      <c r="BA1656" s="58" t="n">
        <f aca="false">IF(AX1656&gt;0,J1656/AX1656,-1)</f>
        <v>0</v>
      </c>
      <c r="BB1656" s="58" t="n">
        <f aca="false">IF(AND(OR(BY1656="L1",BY1656="L23"),AX1656&gt;0),SUMIFS($AX$7:$AX$1843,$BY$7:$BY$1843,BY1656,$BA$7:$BA$1843,"&gt;"&amp;BA1656)+SUMIFS($AX$7:$AX$1843,$BY$7:$BY$1843,BY1656,$BA$7:$BA$1843,BA1656,$BQ$7:$BQ$1843,"&lt;="&amp;BQ1656),"")</f>
        <v>124.903685686294</v>
      </c>
      <c r="BC1656" s="65" t="n">
        <f aca="false">IF(BB1656="",0,MAX(0,MIN(1,(IF(BY1656="L1",Parameter!$E$5,Parameter!$E$6+Parameter!$E$7)-(BB1656-AX1656))/AX1656)))</f>
        <v>0</v>
      </c>
      <c r="BD1656" s="55" t="str">
        <f aca="false">IF(AH1656&lt;=0,"",IF(BY1656="Aussen","Aussenlager",IF(BY1656="-","Nicht im Lift",IF(AM1656&gt;=1,"Lift",IF(AM1656&lt;=0,"Aussenlager","teilweise")))))</f>
        <v>Lift</v>
      </c>
      <c r="BE1656" s="55" t="str">
        <f aca="false">IF(AP1656&lt;=0,"",IF(BY1656="Aussen","Aussenlager",IF(BY1656="-","Nicht im Lift",IF(AU1656&gt;=1,"Lift",IF(AU1656&lt;=0,"Aussenlager","teilweise")))))</f>
        <v>Aussenlager</v>
      </c>
      <c r="BF1656" s="55" t="str">
        <f aca="false">IF(AX1656&lt;=0,"",IF(BY1656="Aussen","Aussenlager",IF(BY1656="-","Nicht im Lift",IF(BC1656&gt;=1,"Lift",IF(BC1656&lt;=0,"Aussenlager","teilweise")))))</f>
        <v>Aussenlager</v>
      </c>
      <c r="BG1656" s="55" t="str">
        <f aca="false">IF(A1656="","",IF(BP1656=1,"Neu; ","")&amp;IF(AND(BP1656=0,BK1656&lt;0),"negativer Bestand (Export "&amp;BK1656&amp;"); ","")&amp;IF(J1656&lt;=0,"Kein Verbrauch; ","")&amp;IF(CH1656&gt;0,"Lift "&amp;W1656&amp;" lt. Liftbericht (Fach "&amp;X1656&amp;" Stk); ",IF(BU1656=1,"Gebinde geschätzt ("&amp;T1656&amp;"); ",IF(BT1656=1,"Lose – Tablare geschätzt; ","")))&amp;IF(H1656&gt;AR1656,"Überbestand "&amp;ROUND(H1656-AR1656,0)&amp;" Stk / CHF "&amp;ROUND((H1656-AR1656)*G1656,0)&amp;"; ","")&amp;IF(AND(CA1656=1,CB1656&lt;CC1656),"MAX &lt; MB+LG; ","")&amp;IF(AND(CG1656&gt;0,CF1656*10&gt;CG1656),"zu hoch für Tablar; ","")&amp;IF(AND(BP1656=0,OR(CA1656=1,AA1656&lt;&gt;"",U1656&lt;&gt;"",V1656&lt;&gt;"",AB1656&lt;&gt;"")),"manuell übersteuert; ","")&amp;IF(AND(BT1656=0,R1656=0),"Gebinde unbekannt / Stellmass fehlt; ","")&amp;IF(AND(BT1656=0,N(V1656)&lt;=0,N(Q1656)&lt;=0),"Menge pro Gebinde fehlt (Ist = 1 Gebinde); ","")&amp;BO1656)</f>
        <v>Kein Verbrauch; Gebinde geschätzt (Klein); Menge pro Gebinde fehlt (Ist = 1 Gebinde); nur im Artikelstamm (Bestand 23.06.2026)</v>
      </c>
      <c r="BH1656" s="55"/>
      <c r="BI1656" s="55"/>
      <c r="BJ1656" s="62"/>
      <c r="BK1656" s="57" t="n">
        <v>32</v>
      </c>
      <c r="BL1656" s="57" t="n">
        <v>0</v>
      </c>
      <c r="BM1656" s="56" t="n">
        <v>0</v>
      </c>
      <c r="BN1656" s="57" t="n">
        <v>0</v>
      </c>
      <c r="BO1656" s="55" t="s">
        <v>2575</v>
      </c>
      <c r="BP1656" s="60" t="n">
        <v>0</v>
      </c>
      <c r="BQ1656" s="60" t="n">
        <v>1656</v>
      </c>
      <c r="BR1656" s="55" t="str">
        <f aca="false">IF(U1656&lt;&gt;"",UPPER(TRIM(U1656)),IF(BU1656=1,UPPER(VLOOKUP(T1656,Parameter!$I$27:$K$29,2,0)),IF(P1656="","LOSE",P1656)))</f>
        <v>S51</v>
      </c>
      <c r="BS1656" s="57" t="n">
        <f aca="false">IF(BR1656="LOSE",1,IF(N(V1656)&gt;0,V1656,IF(BU1656=1,MAX(1,N(VLOOKUP(T1656,Parameter!$I$27:$K$29,3,0)),H1656,N(N1656)),IF(N(Q1656)&gt;0,Q1656,MAX(1,H1656)))))</f>
        <v>32</v>
      </c>
      <c r="BT1656" s="60" t="n">
        <f aca="false">IF(BR1656="LOSE",1,0)</f>
        <v>0</v>
      </c>
      <c r="BU1656" s="60" t="n">
        <f aca="false">IF(AND(U1656="",OR(P1656="",P1656="LOSE"),T1656&lt;&gt;"",N(S1656)&lt;=0,ISNUMBER(MATCH(T1656,Parameter!$I$27:$I$29,0))),1,0)</f>
        <v>1</v>
      </c>
      <c r="BV1656" s="55" t="str">
        <f aca="false">IF(AND(Parameter!$B$19="Ja",E1656&lt;&gt;"",ISNUMBER(MATCH(E1656,Parameter!$I$35:$I$52,0))),VLOOKUP(E1656,Parameter!$I$35:$J$52,2,0),IFERROR(VLOOKUP(D1656,Parameter!$A$35:$C$64,2,0),"Nein"))</f>
        <v>2+3</v>
      </c>
      <c r="BW1656" s="59" t="n">
        <f aca="false">IF(BT1656=0,0,IF(N(S1656)&gt;0,S1656,IFERROR(VLOOKUP(D1656,Parameter!$A$35:$C$64,3,0)+0,0)))</f>
        <v>0</v>
      </c>
      <c r="BX1656" s="55" t="n">
        <f aca="false">IF(AA1656&lt;&gt;"",AA1656,Z1656)</f>
        <v>3</v>
      </c>
      <c r="BY1656" s="55" t="str">
        <f aca="false">IF(BX1656=1,"L1",IF(OR(BX1656=2,BX1656=3),"L23",IF(BX1656="Aussen","Aussen","-")))</f>
        <v>L23</v>
      </c>
      <c r="BZ1656" s="66" t="n">
        <f aca="false">IF(N(AB1656)&gt;0,AB1656,0)</f>
        <v>0</v>
      </c>
      <c r="CA1656" s="60" t="n">
        <f aca="false">IF(ISNUMBER(AE1656),1,0)</f>
        <v>0</v>
      </c>
      <c r="CB1656" s="57" t="n">
        <f aca="false">N(AE1656)</f>
        <v>0</v>
      </c>
      <c r="CC1656" s="57" t="n">
        <f aca="false">N(M1656)+N(N1656)</f>
        <v>8</v>
      </c>
      <c r="CD1656" s="57" t="n">
        <f aca="false">ROUNDUP(H1656/BS1656,0)</f>
        <v>1</v>
      </c>
      <c r="CE1656" s="57" t="n">
        <f aca="false">ROUNDUP(CB1656/BS1656,0)</f>
        <v>0</v>
      </c>
      <c r="CF1656" s="60" t="n">
        <f aca="false">IF(BT1656=1,0,IFERROR(VLOOKUP(BR1656,'Gebinde-Kategorie'!$A$5:$M$45,5,0)+0,0))</f>
        <v>11</v>
      </c>
      <c r="CG1656" s="60" t="n">
        <f aca="false">IFERROR(IF(OR(BX1656=1,BX1656=2,BX1656=3),N(INDEX(Parameter!$I$5:$I$7,BX1656)),0),0)</f>
        <v>0</v>
      </c>
      <c r="CH1656" s="59" t="n">
        <f aca="false">IF(AND(Parameter!$B$21="Ja",ISNUMBER(W1656),N(X1656)&gt;0),IFERROR(N(INDEX(Parameter!$L$5:$L$7,W1656))*INDEX(Parameter!$E$5:$E$7,W1656)*X1656/SUMIFS($X$7:$X$1843,$W$7:$W$1843,W1656),0),0)</f>
        <v>0</v>
      </c>
    </row>
    <row r="1657" customFormat="false" ht="15" hidden="false" customHeight="false" outlineLevel="0" collapsed="false">
      <c r="A1657" s="55" t="s">
        <v>2881</v>
      </c>
      <c r="B1657" s="55" t="s">
        <v>314</v>
      </c>
      <c r="C1657" s="55" t="s">
        <v>164</v>
      </c>
      <c r="D1657" s="55" t="s">
        <v>173</v>
      </c>
      <c r="E1657" s="55"/>
      <c r="F1657" s="55"/>
      <c r="G1657" s="56" t="n">
        <v>1596</v>
      </c>
      <c r="H1657" s="57" t="n">
        <f aca="false">MAX(0,IF(AND(Parameter!$B$21="Ja",ISNUMBER(Y1657)),Y1657,IF(Parameter!$B$20="Jahresanfang 2025 + Export",BL1657+BK1657,BK1657)))</f>
        <v>1</v>
      </c>
      <c r="I1657" s="57" t="n">
        <f aca="false">H1657*G1657</f>
        <v>1596</v>
      </c>
      <c r="J1657" s="57" t="n">
        <f aca="false">BN1657*Parameter!$B$18</f>
        <v>0</v>
      </c>
      <c r="K1657" s="58"/>
      <c r="L1657" s="59"/>
      <c r="M1657" s="57" t="n">
        <v>0</v>
      </c>
      <c r="N1657" s="57" t="n">
        <v>1</v>
      </c>
      <c r="O1657" s="60" t="n">
        <v>35</v>
      </c>
      <c r="P1657" s="55" t="s">
        <v>168</v>
      </c>
      <c r="Q1657" s="57"/>
      <c r="R1657" s="60" t="n">
        <f aca="false">IF(BT1657=1,0,IFERROR(VLOOKUP(BR1657,'Gebinde-Kategorie'!$A$5:$M$45,13,0)+0,0))</f>
        <v>12</v>
      </c>
      <c r="S1657" s="61"/>
      <c r="T1657" s="62" t="s">
        <v>179</v>
      </c>
      <c r="U1657" s="62"/>
      <c r="V1657" s="62"/>
      <c r="W1657" s="55"/>
      <c r="X1657" s="57"/>
      <c r="Y1657" s="57"/>
      <c r="Z1657" s="55" t="n">
        <f aca="false">IF(A1657="","",IF(AND(Parameter!$B$21="Ja",ISNUMBER(W1657)),W1657,IF(BV1657="2+3",IF(ISNUMBER(SEARCH("grosser Artikel",BO1657)),2,IFERROR(VLOOKUP(BR1657,Parameter!$F$35:$G$64,2,0),2)),IF(OR(BV1657="Nein",BV1657=""),"-",BV1657))))</f>
        <v>2</v>
      </c>
      <c r="AA1657" s="62"/>
      <c r="AB1657" s="63"/>
      <c r="AC1657" s="57" t="n">
        <f aca="false">AR1657</f>
        <v>4</v>
      </c>
      <c r="AD1657" s="57" t="n">
        <f aca="false">MAX(AR1657,H1657)</f>
        <v>4</v>
      </c>
      <c r="AE1657" s="64"/>
      <c r="AF1657" s="57" t="n">
        <f aca="false">IF(LEFT(Cockpit!$C$5,1)="A",H1657,IF(CA1657=1,CB1657,IF(LEFT(Cockpit!$C$5,1)="B",AJ1657,MAX(AJ1657,H1657))))</f>
        <v>1</v>
      </c>
      <c r="AG1657" s="57" t="n">
        <f aca="false">IF(BT1657=1,0,ROUNDUP(AF1657/BS1657,0))</f>
        <v>1</v>
      </c>
      <c r="AH1657" s="59" t="n">
        <f aca="false">IF(CH1657&gt;0,CH1657*MAX(1,AF1657/X1657),IF(BT1657=1,IF(AF1657&lt;=0,0,BW1657*MAX(1,IF(H1657&gt;0,AF1657/H1657,1))),IF(R1657&gt;0,AG1657/R1657,0))/MAX(0.1,N(Parameter!$M$21)))</f>
        <v>0.0833333333333333</v>
      </c>
      <c r="AI1657" s="57" t="n">
        <f aca="false">AF1657*G1657</f>
        <v>1596</v>
      </c>
      <c r="AJ1657" s="57" t="n">
        <f aca="false">ROUNDUP(MAX(J1657/IF(BZ1657&gt;0,BZ1657,MAX(0.1,N(Cockpit!$C$6))),CC1657)/BS1657,0)*BS1657</f>
        <v>4</v>
      </c>
      <c r="AK1657" s="58" t="n">
        <f aca="false">IF(AH1657&gt;0,J1657/AH1657,-1)</f>
        <v>0</v>
      </c>
      <c r="AL1657" s="58" t="n">
        <f aca="false">IF(AND(OR(BY1657="L1",BY1657="L23"),AH1657&gt;0),SUMIFS($AH$7:$AH$1843,$BY$7:$BY$1843,BY1657,$AK$7:$AK$1843,"&gt;"&amp;AK1657)+SUMIFS($AH$7:$AH$1843,$BY$7:$BY$1843,BY1657,$AK$7:$AK$1843,AK1657,$BQ$7:$BQ$1843,"&lt;="&amp;BQ1657),"")</f>
        <v>88.9050454376541</v>
      </c>
      <c r="AM1657" s="65" t="n">
        <f aca="false">IF(AL1657="",0,MAX(0,MIN(1,(IF(BY1657="L1",Parameter!$E$5,Parameter!$E$6+Parameter!$E$7)-(AL1657-AH1657))/AH1657)))</f>
        <v>1</v>
      </c>
      <c r="AN1657" s="57" t="n">
        <f aca="false">IF(LEFT(Cockpit!$I$5,1)="A",H1657,IF(CA1657=1,CB1657,IF(LEFT(Cockpit!$I$5,1)="B",AR1657,MAX(AR1657,H1657))))</f>
        <v>4</v>
      </c>
      <c r="AO1657" s="57" t="n">
        <f aca="false">IF(BT1657=1,0,ROUNDUP(AN1657/BS1657,0))</f>
        <v>1</v>
      </c>
      <c r="AP1657" s="59" t="n">
        <f aca="false">IF(CH1657&gt;0,CH1657*MAX(1,AN1657/X1657),IF(BT1657=1,IF(AN1657&lt;=0,0,BW1657*MAX(1,IF(H1657&gt;0,AN1657/H1657,1))),IF(R1657&gt;0,AO1657/R1657,0))/MAX(0.1,N(Parameter!$M$21)))</f>
        <v>0.0833333333333333</v>
      </c>
      <c r="AQ1657" s="57" t="n">
        <f aca="false">AN1657*G1657</f>
        <v>6384</v>
      </c>
      <c r="AR1657" s="57" t="n">
        <f aca="false">ROUNDUP(MAX(J1657/IF(BZ1657&gt;0,BZ1657,MAX(0.1,N(Cockpit!$I$6))),CC1657)/BS1657,0)*BS1657</f>
        <v>4</v>
      </c>
      <c r="AS1657" s="58" t="n">
        <f aca="false">IF(AP1657&gt;0,J1657/AP1657,-1)</f>
        <v>0</v>
      </c>
      <c r="AT1657" s="58" t="n">
        <f aca="false">IF(AND(OR(BY1657="L1",BY1657="L23"),AP1657&gt;0),SUMIFS($AP$7:$AP$1843,$BY$7:$BY$1843,BY1657,$AS$7:$AS$1843,"&gt;"&amp;AS1657)+SUMIFS($AP$7:$AP$1843,$BY$7:$BY$1843,BY1657,$AS$7:$AS$1843,AS1657,$BQ$7:$BQ$1843,"&lt;="&amp;BQ1657),"")</f>
        <v>134.157182189791</v>
      </c>
      <c r="AU1657" s="65" t="n">
        <f aca="false">IF(AT1657="",0,MAX(0,MIN(1,(IF(BY1657="L1",Parameter!$E$5,Parameter!$E$6+Parameter!$E$7)-(AT1657-AP1657))/AP1657)))</f>
        <v>0</v>
      </c>
      <c r="AV1657" s="57" t="n">
        <f aca="false">IF(LEFT(Cockpit!$O$5,1)="A",H1657,IF(CA1657=1,CB1657,IF(LEFT(Cockpit!$O$5,1)="B",AZ1657,MAX(AZ1657,H1657))))</f>
        <v>4</v>
      </c>
      <c r="AW1657" s="57" t="n">
        <f aca="false">IF(BT1657=1,0,ROUNDUP(AV1657/BS1657,0))</f>
        <v>1</v>
      </c>
      <c r="AX1657" s="59" t="n">
        <f aca="false">IF(CH1657&gt;0,CH1657*MAX(1,AV1657/X1657),IF(BT1657=1,IF(AV1657&lt;=0,0,BW1657*MAX(1,IF(H1657&gt;0,AV1657/H1657,1))),IF(R1657&gt;0,AW1657/R1657,0))/MAX(0.1,N(Parameter!$M$21)))</f>
        <v>0.0833333333333333</v>
      </c>
      <c r="AY1657" s="57" t="n">
        <f aca="false">AV1657*G1657</f>
        <v>6384</v>
      </c>
      <c r="AZ1657" s="57" t="n">
        <f aca="false">ROUNDUP(MAX(J1657/IF(BZ1657&gt;0,BZ1657,MAX(0.1,N(Cockpit!$O$6))),CC1657)/BS1657,0)*BS1657</f>
        <v>4</v>
      </c>
      <c r="BA1657" s="58" t="n">
        <f aca="false">IF(AX1657&gt;0,J1657/AX1657,-1)</f>
        <v>0</v>
      </c>
      <c r="BB1657" s="58" t="n">
        <f aca="false">IF(AND(OR(BY1657="L1",BY1657="L23"),AX1657&gt;0),SUMIFS($AX$7:$AX$1843,$BY$7:$BY$1843,BY1657,$BA$7:$BA$1843,"&gt;"&amp;BA1657)+SUMIFS($AX$7:$AX$1843,$BY$7:$BY$1843,BY1657,$BA$7:$BA$1843,BA1657,$BQ$7:$BQ$1843,"&lt;="&amp;BQ1657),"")</f>
        <v>124.987019019628</v>
      </c>
      <c r="BC1657" s="65" t="n">
        <f aca="false">IF(BB1657="",0,MAX(0,MIN(1,(IF(BY1657="L1",Parameter!$E$5,Parameter!$E$6+Parameter!$E$7)-(BB1657-AX1657))/AX1657)))</f>
        <v>0</v>
      </c>
      <c r="BD1657" s="55" t="str">
        <f aca="false">IF(AH1657&lt;=0,"",IF(BY1657="Aussen","Aussenlager",IF(BY1657="-","Nicht im Lift",IF(AM1657&gt;=1,"Lift",IF(AM1657&lt;=0,"Aussenlager","teilweise")))))</f>
        <v>Lift</v>
      </c>
      <c r="BE1657" s="55" t="str">
        <f aca="false">IF(AP1657&lt;=0,"",IF(BY1657="Aussen","Aussenlager",IF(BY1657="-","Nicht im Lift",IF(AU1657&gt;=1,"Lift",IF(AU1657&lt;=0,"Aussenlager","teilweise")))))</f>
        <v>Aussenlager</v>
      </c>
      <c r="BF1657" s="55" t="str">
        <f aca="false">IF(AX1657&lt;=0,"",IF(BY1657="Aussen","Aussenlager",IF(BY1657="-","Nicht im Lift",IF(BC1657&gt;=1,"Lift",IF(BC1657&lt;=0,"Aussenlager","teilweise")))))</f>
        <v>Aussenlager</v>
      </c>
      <c r="BG1657" s="55" t="str">
        <f aca="false">IF(A1657="","",IF(BP1657=1,"Neu; ","")&amp;IF(AND(BP1657=0,BK1657&lt;0),"negativer Bestand (Export "&amp;BK1657&amp;"); ","")&amp;IF(J1657&lt;=0,"Kein Verbrauch; ","")&amp;IF(CH1657&gt;0,"Lift "&amp;W1657&amp;" lt. Liftbericht (Fach "&amp;X1657&amp;" Stk); ",IF(BU1657=1,"Gebinde geschätzt ("&amp;T1657&amp;"); ",IF(BT1657=1,"Lose – Tablare geschätzt; ","")))&amp;IF(H1657&gt;AR1657,"Überbestand "&amp;ROUND(H1657-AR1657,0)&amp;" Stk / CHF "&amp;ROUND((H1657-AR1657)*G1657,0)&amp;"; ","")&amp;IF(AND(CA1657=1,CB1657&lt;CC1657),"MAX &lt; MB+LG; ","")&amp;IF(AND(CG1657&gt;0,CF1657*10&gt;CG1657),"zu hoch für Tablar; ","")&amp;IF(AND(BP1657=0,OR(CA1657=1,AA1657&lt;&gt;"",U1657&lt;&gt;"",V1657&lt;&gt;"",AB1657&lt;&gt;"")),"manuell übersteuert; ","")&amp;IF(AND(BT1657=0,R1657=0),"Gebinde unbekannt / Stellmass fehlt; ","")&amp;IF(AND(BT1657=0,N(V1657)&lt;=0,N(Q1657)&lt;=0),"Menge pro Gebinde fehlt (Ist = 1 Gebinde); ","")&amp;BO1657)</f>
        <v>Kein Verbrauch; Gebinde geschätzt (Mittel); Menge pro Gebinde fehlt (Ist = 1 Gebinde); nur im Artikelstamm (Bestand 23.06.2026)</v>
      </c>
      <c r="BH1657" s="55"/>
      <c r="BI1657" s="55"/>
      <c r="BJ1657" s="62"/>
      <c r="BK1657" s="57" t="n">
        <v>1</v>
      </c>
      <c r="BL1657" s="57" t="n">
        <v>0</v>
      </c>
      <c r="BM1657" s="56" t="n">
        <v>0</v>
      </c>
      <c r="BN1657" s="57" t="n">
        <v>0</v>
      </c>
      <c r="BO1657" s="55" t="s">
        <v>2575</v>
      </c>
      <c r="BP1657" s="60" t="n">
        <v>0</v>
      </c>
      <c r="BQ1657" s="60" t="n">
        <v>1657</v>
      </c>
      <c r="BR1657" s="55" t="str">
        <f aca="false">IF(U1657&lt;&gt;"",UPPER(TRIM(U1657)),IF(BU1657=1,UPPER(VLOOKUP(T1657,Parameter!$I$27:$K$29,2,0)),IF(P1657="","LOSE",P1657)))</f>
        <v>S61</v>
      </c>
      <c r="BS1657" s="57" t="n">
        <f aca="false">IF(BR1657="LOSE",1,IF(N(V1657)&gt;0,V1657,IF(BU1657=1,MAX(1,N(VLOOKUP(T1657,Parameter!$I$27:$K$29,3,0)),H1657,N(N1657)),IF(N(Q1657)&gt;0,Q1657,MAX(1,H1657)))))</f>
        <v>4</v>
      </c>
      <c r="BT1657" s="60" t="n">
        <f aca="false">IF(BR1657="LOSE",1,0)</f>
        <v>0</v>
      </c>
      <c r="BU1657" s="60" t="n">
        <f aca="false">IF(AND(U1657="",OR(P1657="",P1657="LOSE"),T1657&lt;&gt;"",N(S1657)&lt;=0,ISNUMBER(MATCH(T1657,Parameter!$I$27:$I$29,0))),1,0)</f>
        <v>1</v>
      </c>
      <c r="BV1657" s="55" t="str">
        <f aca="false">IF(AND(Parameter!$B$19="Ja",E1657&lt;&gt;"",ISNUMBER(MATCH(E1657,Parameter!$I$35:$I$52,0))),VLOOKUP(E1657,Parameter!$I$35:$J$52,2,0),IFERROR(VLOOKUP(D1657,Parameter!$A$35:$C$64,2,0),"Nein"))</f>
        <v>2+3</v>
      </c>
      <c r="BW1657" s="59" t="n">
        <f aca="false">IF(BT1657=0,0,IF(N(S1657)&gt;0,S1657,IFERROR(VLOOKUP(D1657,Parameter!$A$35:$C$64,3,0)+0,0)))</f>
        <v>0</v>
      </c>
      <c r="BX1657" s="55" t="n">
        <f aca="false">IF(AA1657&lt;&gt;"",AA1657,Z1657)</f>
        <v>2</v>
      </c>
      <c r="BY1657" s="55" t="str">
        <f aca="false">IF(BX1657=1,"L1",IF(OR(BX1657=2,BX1657=3),"L23",IF(BX1657="Aussen","Aussen","-")))</f>
        <v>L23</v>
      </c>
      <c r="BZ1657" s="66" t="n">
        <f aca="false">IF(N(AB1657)&gt;0,AB1657,0)</f>
        <v>0</v>
      </c>
      <c r="CA1657" s="60" t="n">
        <f aca="false">IF(ISNUMBER(AE1657),1,0)</f>
        <v>0</v>
      </c>
      <c r="CB1657" s="57" t="n">
        <f aca="false">N(AE1657)</f>
        <v>0</v>
      </c>
      <c r="CC1657" s="57" t="n">
        <f aca="false">N(M1657)+N(N1657)</f>
        <v>1</v>
      </c>
      <c r="CD1657" s="57" t="n">
        <f aca="false">ROUNDUP(H1657/BS1657,0)</f>
        <v>1</v>
      </c>
      <c r="CE1657" s="57" t="n">
        <f aca="false">ROUNDUP(CB1657/BS1657,0)</f>
        <v>0</v>
      </c>
      <c r="CF1657" s="60" t="n">
        <f aca="false">IF(BT1657=1,0,IFERROR(VLOOKUP(BR1657,'Gebinde-Kategorie'!$A$5:$M$45,5,0)+0,0))</f>
        <v>11</v>
      </c>
      <c r="CG1657" s="60" t="n">
        <f aca="false">IFERROR(IF(OR(BX1657=1,BX1657=2,BX1657=3),N(INDEX(Parameter!$I$5:$I$7,BX1657)),0),0)</f>
        <v>0</v>
      </c>
      <c r="CH1657" s="59" t="n">
        <f aca="false">IF(AND(Parameter!$B$21="Ja",ISNUMBER(W1657),N(X1657)&gt;0),IFERROR(N(INDEX(Parameter!$L$5:$L$7,W1657))*INDEX(Parameter!$E$5:$E$7,W1657)*X1657/SUMIFS($X$7:$X$1843,$W$7:$W$1843,W1657),0),0)</f>
        <v>0</v>
      </c>
    </row>
    <row r="1658" customFormat="false" ht="15" hidden="false" customHeight="false" outlineLevel="0" collapsed="false">
      <c r="A1658" s="55" t="s">
        <v>2882</v>
      </c>
      <c r="B1658" s="55" t="s">
        <v>2883</v>
      </c>
      <c r="C1658" s="55" t="s">
        <v>167</v>
      </c>
      <c r="D1658" s="55" t="s">
        <v>173</v>
      </c>
      <c r="E1658" s="55"/>
      <c r="F1658" s="55"/>
      <c r="G1658" s="56" t="n">
        <v>65.21</v>
      </c>
      <c r="H1658" s="57" t="n">
        <f aca="false">MAX(0,IF(AND(Parameter!$B$21="Ja",ISNUMBER(Y1658)),Y1658,IF(Parameter!$B$20="Jahresanfang 2025 + Export",BL1658+BK1658,BK1658)))</f>
        <v>10</v>
      </c>
      <c r="I1658" s="57" t="n">
        <f aca="false">H1658*G1658</f>
        <v>652.1</v>
      </c>
      <c r="J1658" s="57" t="n">
        <f aca="false">BN1658*Parameter!$B$18</f>
        <v>0</v>
      </c>
      <c r="K1658" s="58"/>
      <c r="L1658" s="59"/>
      <c r="M1658" s="57" t="n">
        <v>0</v>
      </c>
      <c r="N1658" s="57" t="n">
        <v>10</v>
      </c>
      <c r="O1658" s="60" t="n">
        <v>150</v>
      </c>
      <c r="P1658" s="55" t="s">
        <v>168</v>
      </c>
      <c r="Q1658" s="57"/>
      <c r="R1658" s="60" t="n">
        <f aca="false">IF(BT1658=1,0,IFERROR(VLOOKUP(BR1658,'Gebinde-Kategorie'!$A$5:$M$45,13,0)+0,0))</f>
        <v>12</v>
      </c>
      <c r="S1658" s="61"/>
      <c r="T1658" s="62" t="s">
        <v>179</v>
      </c>
      <c r="U1658" s="62"/>
      <c r="V1658" s="62"/>
      <c r="W1658" s="55"/>
      <c r="X1658" s="57"/>
      <c r="Y1658" s="57"/>
      <c r="Z1658" s="55" t="n">
        <f aca="false">IF(A1658="","",IF(AND(Parameter!$B$21="Ja",ISNUMBER(W1658)),W1658,IF(BV1658="2+3",IF(ISNUMBER(SEARCH("grosser Artikel",BO1658)),2,IFERROR(VLOOKUP(BR1658,Parameter!$F$35:$G$64,2,0),2)),IF(OR(BV1658="Nein",BV1658=""),"-",BV1658))))</f>
        <v>2</v>
      </c>
      <c r="AA1658" s="62"/>
      <c r="AB1658" s="63"/>
      <c r="AC1658" s="57" t="n">
        <f aca="false">AR1658</f>
        <v>10</v>
      </c>
      <c r="AD1658" s="57" t="n">
        <f aca="false">MAX(AR1658,H1658)</f>
        <v>10</v>
      </c>
      <c r="AE1658" s="64"/>
      <c r="AF1658" s="57" t="n">
        <f aca="false">IF(LEFT(Cockpit!$C$5,1)="A",H1658,IF(CA1658=1,CB1658,IF(LEFT(Cockpit!$C$5,1)="B",AJ1658,MAX(AJ1658,H1658))))</f>
        <v>10</v>
      </c>
      <c r="AG1658" s="57" t="n">
        <f aca="false">IF(BT1658=1,0,ROUNDUP(AF1658/BS1658,0))</f>
        <v>1</v>
      </c>
      <c r="AH1658" s="59" t="n">
        <f aca="false">IF(CH1658&gt;0,CH1658*MAX(1,AF1658/X1658),IF(BT1658=1,IF(AF1658&lt;=0,0,BW1658*MAX(1,IF(H1658&gt;0,AF1658/H1658,1))),IF(R1658&gt;0,AG1658/R1658,0))/MAX(0.1,N(Parameter!$M$21)))</f>
        <v>0.0833333333333333</v>
      </c>
      <c r="AI1658" s="57" t="n">
        <f aca="false">AF1658*G1658</f>
        <v>652.1</v>
      </c>
      <c r="AJ1658" s="57" t="n">
        <f aca="false">ROUNDUP(MAX(J1658/IF(BZ1658&gt;0,BZ1658,MAX(0.1,N(Cockpit!$C$6))),CC1658)/BS1658,0)*BS1658</f>
        <v>10</v>
      </c>
      <c r="AK1658" s="58" t="n">
        <f aca="false">IF(AH1658&gt;0,J1658/AH1658,-1)</f>
        <v>0</v>
      </c>
      <c r="AL1658" s="58" t="n">
        <f aca="false">IF(AND(OR(BY1658="L1",BY1658="L23"),AH1658&gt;0),SUMIFS($AH$7:$AH$1843,$BY$7:$BY$1843,BY1658,$AK$7:$AK$1843,"&gt;"&amp;AK1658)+SUMIFS($AH$7:$AH$1843,$BY$7:$BY$1843,BY1658,$AK$7:$AK$1843,AK1658,$BQ$7:$BQ$1843,"&lt;="&amp;BQ1658),"")</f>
        <v>88.9883787709875</v>
      </c>
      <c r="AM1658" s="65" t="n">
        <f aca="false">IF(AL1658="",0,MAX(0,MIN(1,(IF(BY1658="L1",Parameter!$E$5,Parameter!$E$6+Parameter!$E$7)-(AL1658-AH1658))/AH1658)))</f>
        <v>1</v>
      </c>
      <c r="AN1658" s="57" t="n">
        <f aca="false">IF(LEFT(Cockpit!$I$5,1)="A",H1658,IF(CA1658=1,CB1658,IF(LEFT(Cockpit!$I$5,1)="B",AR1658,MAX(AR1658,H1658))))</f>
        <v>10</v>
      </c>
      <c r="AO1658" s="57" t="n">
        <f aca="false">IF(BT1658=1,0,ROUNDUP(AN1658/BS1658,0))</f>
        <v>1</v>
      </c>
      <c r="AP1658" s="59" t="n">
        <f aca="false">IF(CH1658&gt;0,CH1658*MAX(1,AN1658/X1658),IF(BT1658=1,IF(AN1658&lt;=0,0,BW1658*MAX(1,IF(H1658&gt;0,AN1658/H1658,1))),IF(R1658&gt;0,AO1658/R1658,0))/MAX(0.1,N(Parameter!$M$21)))</f>
        <v>0.0833333333333333</v>
      </c>
      <c r="AQ1658" s="57" t="n">
        <f aca="false">AN1658*G1658</f>
        <v>652.1</v>
      </c>
      <c r="AR1658" s="57" t="n">
        <f aca="false">ROUNDUP(MAX(J1658/IF(BZ1658&gt;0,BZ1658,MAX(0.1,N(Cockpit!$I$6))),CC1658)/BS1658,0)*BS1658</f>
        <v>10</v>
      </c>
      <c r="AS1658" s="58" t="n">
        <f aca="false">IF(AP1658&gt;0,J1658/AP1658,-1)</f>
        <v>0</v>
      </c>
      <c r="AT1658" s="58" t="n">
        <f aca="false">IF(AND(OR(BY1658="L1",BY1658="L23"),AP1658&gt;0),SUMIFS($AP$7:$AP$1843,$BY$7:$BY$1843,BY1658,$AS$7:$AS$1843,"&gt;"&amp;AS1658)+SUMIFS($AP$7:$AP$1843,$BY$7:$BY$1843,BY1658,$AS$7:$AS$1843,AS1658,$BQ$7:$BQ$1843,"&lt;="&amp;BQ1658),"")</f>
        <v>134.240515523124</v>
      </c>
      <c r="AU1658" s="65" t="n">
        <f aca="false">IF(AT1658="",0,MAX(0,MIN(1,(IF(BY1658="L1",Parameter!$E$5,Parameter!$E$6+Parameter!$E$7)-(AT1658-AP1658))/AP1658)))</f>
        <v>0</v>
      </c>
      <c r="AV1658" s="57" t="n">
        <f aca="false">IF(LEFT(Cockpit!$O$5,1)="A",H1658,IF(CA1658=1,CB1658,IF(LEFT(Cockpit!$O$5,1)="B",AZ1658,MAX(AZ1658,H1658))))</f>
        <v>10</v>
      </c>
      <c r="AW1658" s="57" t="n">
        <f aca="false">IF(BT1658=1,0,ROUNDUP(AV1658/BS1658,0))</f>
        <v>1</v>
      </c>
      <c r="AX1658" s="59" t="n">
        <f aca="false">IF(CH1658&gt;0,CH1658*MAX(1,AV1658/X1658),IF(BT1658=1,IF(AV1658&lt;=0,0,BW1658*MAX(1,IF(H1658&gt;0,AV1658/H1658,1))),IF(R1658&gt;0,AW1658/R1658,0))/MAX(0.1,N(Parameter!$M$21)))</f>
        <v>0.0833333333333333</v>
      </c>
      <c r="AY1658" s="57" t="n">
        <f aca="false">AV1658*G1658</f>
        <v>652.1</v>
      </c>
      <c r="AZ1658" s="57" t="n">
        <f aca="false">ROUNDUP(MAX(J1658/IF(BZ1658&gt;0,BZ1658,MAX(0.1,N(Cockpit!$O$6))),CC1658)/BS1658,0)*BS1658</f>
        <v>10</v>
      </c>
      <c r="BA1658" s="58" t="n">
        <f aca="false">IF(AX1658&gt;0,J1658/AX1658,-1)</f>
        <v>0</v>
      </c>
      <c r="BB1658" s="58" t="n">
        <f aca="false">IF(AND(OR(BY1658="L1",BY1658="L23"),AX1658&gt;0),SUMIFS($AX$7:$AX$1843,$BY$7:$BY$1843,BY1658,$BA$7:$BA$1843,"&gt;"&amp;BA1658)+SUMIFS($AX$7:$AX$1843,$BY$7:$BY$1843,BY1658,$BA$7:$BA$1843,BA1658,$BQ$7:$BQ$1843,"&lt;="&amp;BQ1658),"")</f>
        <v>125.070352352961</v>
      </c>
      <c r="BC1658" s="65" t="n">
        <f aca="false">IF(BB1658="",0,MAX(0,MIN(1,(IF(BY1658="L1",Parameter!$E$5,Parameter!$E$6+Parameter!$E$7)-(BB1658-AX1658))/AX1658)))</f>
        <v>0</v>
      </c>
      <c r="BD1658" s="55" t="str">
        <f aca="false">IF(AH1658&lt;=0,"",IF(BY1658="Aussen","Aussenlager",IF(BY1658="-","Nicht im Lift",IF(AM1658&gt;=1,"Lift",IF(AM1658&lt;=0,"Aussenlager","teilweise")))))</f>
        <v>Lift</v>
      </c>
      <c r="BE1658" s="55" t="str">
        <f aca="false">IF(AP1658&lt;=0,"",IF(BY1658="Aussen","Aussenlager",IF(BY1658="-","Nicht im Lift",IF(AU1658&gt;=1,"Lift",IF(AU1658&lt;=0,"Aussenlager","teilweise")))))</f>
        <v>Aussenlager</v>
      </c>
      <c r="BF1658" s="55" t="str">
        <f aca="false">IF(AX1658&lt;=0,"",IF(BY1658="Aussen","Aussenlager",IF(BY1658="-","Nicht im Lift",IF(BC1658&gt;=1,"Lift",IF(BC1658&lt;=0,"Aussenlager","teilweise")))))</f>
        <v>Aussenlager</v>
      </c>
      <c r="BG1658" s="55" t="str">
        <f aca="false">IF(A1658="","",IF(BP1658=1,"Neu; ","")&amp;IF(AND(BP1658=0,BK1658&lt;0),"negativer Bestand (Export "&amp;BK1658&amp;"); ","")&amp;IF(J1658&lt;=0,"Kein Verbrauch; ","")&amp;IF(CH1658&gt;0,"Lift "&amp;W1658&amp;" lt. Liftbericht (Fach "&amp;X1658&amp;" Stk); ",IF(BU1658=1,"Gebinde geschätzt ("&amp;T1658&amp;"); ",IF(BT1658=1,"Lose – Tablare geschätzt; ","")))&amp;IF(H1658&gt;AR1658,"Überbestand "&amp;ROUND(H1658-AR1658,0)&amp;" Stk / CHF "&amp;ROUND((H1658-AR1658)*G1658,0)&amp;"; ","")&amp;IF(AND(CA1658=1,CB1658&lt;CC1658),"MAX &lt; MB+LG; ","")&amp;IF(AND(CG1658&gt;0,CF1658*10&gt;CG1658),"zu hoch für Tablar; ","")&amp;IF(AND(BP1658=0,OR(CA1658=1,AA1658&lt;&gt;"",U1658&lt;&gt;"",V1658&lt;&gt;"",AB1658&lt;&gt;"")),"manuell übersteuert; ","")&amp;IF(AND(BT1658=0,R1658=0),"Gebinde unbekannt / Stellmass fehlt; ","")&amp;IF(AND(BT1658=0,N(V1658)&lt;=0,N(Q1658)&lt;=0),"Menge pro Gebinde fehlt (Ist = 1 Gebinde); ","")&amp;BO1658)</f>
        <v>Kein Verbrauch; Gebinde geschätzt (Mittel); Menge pro Gebinde fehlt (Ist = 1 Gebinde); nur im Artikelstamm (Bestand 23.06.2026)</v>
      </c>
      <c r="BH1658" s="55"/>
      <c r="BI1658" s="55"/>
      <c r="BJ1658" s="62"/>
      <c r="BK1658" s="57" t="n">
        <v>10</v>
      </c>
      <c r="BL1658" s="57" t="n">
        <v>0</v>
      </c>
      <c r="BM1658" s="56" t="n">
        <v>0</v>
      </c>
      <c r="BN1658" s="57" t="n">
        <v>0</v>
      </c>
      <c r="BO1658" s="55" t="s">
        <v>2575</v>
      </c>
      <c r="BP1658" s="60" t="n">
        <v>0</v>
      </c>
      <c r="BQ1658" s="60" t="n">
        <v>1658</v>
      </c>
      <c r="BR1658" s="55" t="str">
        <f aca="false">IF(U1658&lt;&gt;"",UPPER(TRIM(U1658)),IF(BU1658=1,UPPER(VLOOKUP(T1658,Parameter!$I$27:$K$29,2,0)),IF(P1658="","LOSE",P1658)))</f>
        <v>S61</v>
      </c>
      <c r="BS1658" s="57" t="n">
        <f aca="false">IF(BR1658="LOSE",1,IF(N(V1658)&gt;0,V1658,IF(BU1658=1,MAX(1,N(VLOOKUP(T1658,Parameter!$I$27:$K$29,3,0)),H1658,N(N1658)),IF(N(Q1658)&gt;0,Q1658,MAX(1,H1658)))))</f>
        <v>10</v>
      </c>
      <c r="BT1658" s="60" t="n">
        <f aca="false">IF(BR1658="LOSE",1,0)</f>
        <v>0</v>
      </c>
      <c r="BU1658" s="60" t="n">
        <f aca="false">IF(AND(U1658="",OR(P1658="",P1658="LOSE"),T1658&lt;&gt;"",N(S1658)&lt;=0,ISNUMBER(MATCH(T1658,Parameter!$I$27:$I$29,0))),1,0)</f>
        <v>1</v>
      </c>
      <c r="BV1658" s="55" t="str">
        <f aca="false">IF(AND(Parameter!$B$19="Ja",E1658&lt;&gt;"",ISNUMBER(MATCH(E1658,Parameter!$I$35:$I$52,0))),VLOOKUP(E1658,Parameter!$I$35:$J$52,2,0),IFERROR(VLOOKUP(D1658,Parameter!$A$35:$C$64,2,0),"Nein"))</f>
        <v>2+3</v>
      </c>
      <c r="BW1658" s="59" t="n">
        <f aca="false">IF(BT1658=0,0,IF(N(S1658)&gt;0,S1658,IFERROR(VLOOKUP(D1658,Parameter!$A$35:$C$64,3,0)+0,0)))</f>
        <v>0</v>
      </c>
      <c r="BX1658" s="55" t="n">
        <f aca="false">IF(AA1658&lt;&gt;"",AA1658,Z1658)</f>
        <v>2</v>
      </c>
      <c r="BY1658" s="55" t="str">
        <f aca="false">IF(BX1658=1,"L1",IF(OR(BX1658=2,BX1658=3),"L23",IF(BX1658="Aussen","Aussen","-")))</f>
        <v>L23</v>
      </c>
      <c r="BZ1658" s="66" t="n">
        <f aca="false">IF(N(AB1658)&gt;0,AB1658,0)</f>
        <v>0</v>
      </c>
      <c r="CA1658" s="60" t="n">
        <f aca="false">IF(ISNUMBER(AE1658),1,0)</f>
        <v>0</v>
      </c>
      <c r="CB1658" s="57" t="n">
        <f aca="false">N(AE1658)</f>
        <v>0</v>
      </c>
      <c r="CC1658" s="57" t="n">
        <f aca="false">N(M1658)+N(N1658)</f>
        <v>10</v>
      </c>
      <c r="CD1658" s="57" t="n">
        <f aca="false">ROUNDUP(H1658/BS1658,0)</f>
        <v>1</v>
      </c>
      <c r="CE1658" s="57" t="n">
        <f aca="false">ROUNDUP(CB1658/BS1658,0)</f>
        <v>0</v>
      </c>
      <c r="CF1658" s="60" t="n">
        <f aca="false">IF(BT1658=1,0,IFERROR(VLOOKUP(BR1658,'Gebinde-Kategorie'!$A$5:$M$45,5,0)+0,0))</f>
        <v>11</v>
      </c>
      <c r="CG1658" s="60" t="n">
        <f aca="false">IFERROR(IF(OR(BX1658=1,BX1658=2,BX1658=3),N(INDEX(Parameter!$I$5:$I$7,BX1658)),0),0)</f>
        <v>0</v>
      </c>
      <c r="CH1658" s="59" t="n">
        <f aca="false">IF(AND(Parameter!$B$21="Ja",ISNUMBER(W1658),N(X1658)&gt;0),IFERROR(N(INDEX(Parameter!$L$5:$L$7,W1658))*INDEX(Parameter!$E$5:$E$7,W1658)*X1658/SUMIFS($X$7:$X$1843,$W$7:$W$1843,W1658),0),0)</f>
        <v>0</v>
      </c>
    </row>
    <row r="1659" customFormat="false" ht="15" hidden="false" customHeight="false" outlineLevel="0" collapsed="false">
      <c r="A1659" s="55" t="s">
        <v>2884</v>
      </c>
      <c r="B1659" s="55" t="s">
        <v>2424</v>
      </c>
      <c r="C1659" s="55" t="s">
        <v>164</v>
      </c>
      <c r="D1659" s="55" t="s">
        <v>173</v>
      </c>
      <c r="E1659" s="55"/>
      <c r="F1659" s="55"/>
      <c r="G1659" s="56" t="n">
        <v>607.5</v>
      </c>
      <c r="H1659" s="57" t="n">
        <f aca="false">MAX(0,IF(AND(Parameter!$B$21="Ja",ISNUMBER(Y1659)),Y1659,IF(Parameter!$B$20="Jahresanfang 2025 + Export",BL1659+BK1659,BK1659)))</f>
        <v>1</v>
      </c>
      <c r="I1659" s="57" t="n">
        <f aca="false">H1659*G1659</f>
        <v>607.5</v>
      </c>
      <c r="J1659" s="57" t="n">
        <f aca="false">BN1659*Parameter!$B$18</f>
        <v>0</v>
      </c>
      <c r="K1659" s="58"/>
      <c r="L1659" s="59"/>
      <c r="M1659" s="57" t="n">
        <v>1</v>
      </c>
      <c r="N1659" s="57" t="n">
        <v>1</v>
      </c>
      <c r="O1659" s="60" t="n">
        <v>42</v>
      </c>
      <c r="P1659" s="55" t="s">
        <v>168</v>
      </c>
      <c r="Q1659" s="57"/>
      <c r="R1659" s="60" t="n">
        <f aca="false">IF(BT1659=1,0,IFERROR(VLOOKUP(BR1659,'Gebinde-Kategorie'!$A$5:$M$45,13,0)+0,0))</f>
        <v>3</v>
      </c>
      <c r="S1659" s="61"/>
      <c r="T1659" s="62" t="s">
        <v>189</v>
      </c>
      <c r="U1659" s="62"/>
      <c r="V1659" s="62"/>
      <c r="W1659" s="55"/>
      <c r="X1659" s="57"/>
      <c r="Y1659" s="57"/>
      <c r="Z1659" s="55" t="n">
        <f aca="false">IF(A1659="","",IF(AND(Parameter!$B$21="Ja",ISNUMBER(W1659)),W1659,IF(BV1659="2+3",IF(ISNUMBER(SEARCH("grosser Artikel",BO1659)),2,IFERROR(VLOOKUP(BR1659,Parameter!$F$35:$G$64,2,0),2)),IF(OR(BV1659="Nein",BV1659=""),"-",BV1659))))</f>
        <v>2</v>
      </c>
      <c r="AA1659" s="62"/>
      <c r="AB1659" s="63"/>
      <c r="AC1659" s="57" t="n">
        <f aca="false">AR1659</f>
        <v>2</v>
      </c>
      <c r="AD1659" s="57" t="n">
        <f aca="false">MAX(AR1659,H1659)</f>
        <v>2</v>
      </c>
      <c r="AE1659" s="64"/>
      <c r="AF1659" s="57" t="n">
        <f aca="false">IF(LEFT(Cockpit!$C$5,1)="A",H1659,IF(CA1659=1,CB1659,IF(LEFT(Cockpit!$C$5,1)="B",AJ1659,MAX(AJ1659,H1659))))</f>
        <v>1</v>
      </c>
      <c r="AG1659" s="57" t="n">
        <f aca="false">IF(BT1659=1,0,ROUNDUP(AF1659/BS1659,0))</f>
        <v>1</v>
      </c>
      <c r="AH1659" s="59" t="n">
        <f aca="false">IF(CH1659&gt;0,CH1659*MAX(1,AF1659/X1659),IF(BT1659=1,IF(AF1659&lt;=0,0,BW1659*MAX(1,IF(H1659&gt;0,AF1659/H1659,1))),IF(R1659&gt;0,AG1659/R1659,0))/MAX(0.1,N(Parameter!$M$21)))</f>
        <v>0.333333333333333</v>
      </c>
      <c r="AI1659" s="57" t="n">
        <f aca="false">AF1659*G1659</f>
        <v>607.5</v>
      </c>
      <c r="AJ1659" s="57" t="n">
        <f aca="false">ROUNDUP(MAX(J1659/IF(BZ1659&gt;0,BZ1659,MAX(0.1,N(Cockpit!$C$6))),CC1659)/BS1659,0)*BS1659</f>
        <v>2</v>
      </c>
      <c r="AK1659" s="58" t="n">
        <f aca="false">IF(AH1659&gt;0,J1659/AH1659,-1)</f>
        <v>0</v>
      </c>
      <c r="AL1659" s="58" t="n">
        <f aca="false">IF(AND(OR(BY1659="L1",BY1659="L23"),AH1659&gt;0),SUMIFS($AH$7:$AH$1843,$BY$7:$BY$1843,BY1659,$AK$7:$AK$1843,"&gt;"&amp;AK1659)+SUMIFS($AH$7:$AH$1843,$BY$7:$BY$1843,BY1659,$AK$7:$AK$1843,AK1659,$BQ$7:$BQ$1843,"&lt;="&amp;BQ1659),"")</f>
        <v>89.3217121043208</v>
      </c>
      <c r="AM1659" s="65" t="n">
        <f aca="false">IF(AL1659="",0,MAX(0,MIN(1,(IF(BY1659="L1",Parameter!$E$5,Parameter!$E$6+Parameter!$E$7)-(AL1659-AH1659))/AH1659)))</f>
        <v>1</v>
      </c>
      <c r="AN1659" s="57" t="n">
        <f aca="false">IF(LEFT(Cockpit!$I$5,1)="A",H1659,IF(CA1659=1,CB1659,IF(LEFT(Cockpit!$I$5,1)="B",AR1659,MAX(AR1659,H1659))))</f>
        <v>2</v>
      </c>
      <c r="AO1659" s="57" t="n">
        <f aca="false">IF(BT1659=1,0,ROUNDUP(AN1659/BS1659,0))</f>
        <v>1</v>
      </c>
      <c r="AP1659" s="59" t="n">
        <f aca="false">IF(CH1659&gt;0,CH1659*MAX(1,AN1659/X1659),IF(BT1659=1,IF(AN1659&lt;=0,0,BW1659*MAX(1,IF(H1659&gt;0,AN1659/H1659,1))),IF(R1659&gt;0,AO1659/R1659,0))/MAX(0.1,N(Parameter!$M$21)))</f>
        <v>0.333333333333333</v>
      </c>
      <c r="AQ1659" s="57" t="n">
        <f aca="false">AN1659*G1659</f>
        <v>1215</v>
      </c>
      <c r="AR1659" s="57" t="n">
        <f aca="false">ROUNDUP(MAX(J1659/IF(BZ1659&gt;0,BZ1659,MAX(0.1,N(Cockpit!$I$6))),CC1659)/BS1659,0)*BS1659</f>
        <v>2</v>
      </c>
      <c r="AS1659" s="58" t="n">
        <f aca="false">IF(AP1659&gt;0,J1659/AP1659,-1)</f>
        <v>0</v>
      </c>
      <c r="AT1659" s="58" t="n">
        <f aca="false">IF(AND(OR(BY1659="L1",BY1659="L23"),AP1659&gt;0),SUMIFS($AP$7:$AP$1843,$BY$7:$BY$1843,BY1659,$AS$7:$AS$1843,"&gt;"&amp;AS1659)+SUMIFS($AP$7:$AP$1843,$BY$7:$BY$1843,BY1659,$AS$7:$AS$1843,AS1659,$BQ$7:$BQ$1843,"&lt;="&amp;BQ1659),"")</f>
        <v>134.573848856458</v>
      </c>
      <c r="AU1659" s="65" t="n">
        <f aca="false">IF(AT1659="",0,MAX(0,MIN(1,(IF(BY1659="L1",Parameter!$E$5,Parameter!$E$6+Parameter!$E$7)-(AT1659-AP1659))/AP1659)))</f>
        <v>0</v>
      </c>
      <c r="AV1659" s="57" t="n">
        <f aca="false">IF(LEFT(Cockpit!$O$5,1)="A",H1659,IF(CA1659=1,CB1659,IF(LEFT(Cockpit!$O$5,1)="B",AZ1659,MAX(AZ1659,H1659))))</f>
        <v>2</v>
      </c>
      <c r="AW1659" s="57" t="n">
        <f aca="false">IF(BT1659=1,0,ROUNDUP(AV1659/BS1659,0))</f>
        <v>1</v>
      </c>
      <c r="AX1659" s="59" t="n">
        <f aca="false">IF(CH1659&gt;0,CH1659*MAX(1,AV1659/X1659),IF(BT1659=1,IF(AV1659&lt;=0,0,BW1659*MAX(1,IF(H1659&gt;0,AV1659/H1659,1))),IF(R1659&gt;0,AW1659/R1659,0))/MAX(0.1,N(Parameter!$M$21)))</f>
        <v>0.333333333333333</v>
      </c>
      <c r="AY1659" s="57" t="n">
        <f aca="false">AV1659*G1659</f>
        <v>1215</v>
      </c>
      <c r="AZ1659" s="57" t="n">
        <f aca="false">ROUNDUP(MAX(J1659/IF(BZ1659&gt;0,BZ1659,MAX(0.1,N(Cockpit!$O$6))),CC1659)/BS1659,0)*BS1659</f>
        <v>2</v>
      </c>
      <c r="BA1659" s="58" t="n">
        <f aca="false">IF(AX1659&gt;0,J1659/AX1659,-1)</f>
        <v>0</v>
      </c>
      <c r="BB1659" s="58" t="n">
        <f aca="false">IF(AND(OR(BY1659="L1",BY1659="L23"),AX1659&gt;0),SUMIFS($AX$7:$AX$1843,$BY$7:$BY$1843,BY1659,$BA$7:$BA$1843,"&gt;"&amp;BA1659)+SUMIFS($AX$7:$AX$1843,$BY$7:$BY$1843,BY1659,$BA$7:$BA$1843,BA1659,$BQ$7:$BQ$1843,"&lt;="&amp;BQ1659),"")</f>
        <v>125.403685686294</v>
      </c>
      <c r="BC1659" s="65" t="n">
        <f aca="false">IF(BB1659="",0,MAX(0,MIN(1,(IF(BY1659="L1",Parameter!$E$5,Parameter!$E$6+Parameter!$E$7)-(BB1659-AX1659))/AX1659)))</f>
        <v>0</v>
      </c>
      <c r="BD1659" s="55" t="str">
        <f aca="false">IF(AH1659&lt;=0,"",IF(BY1659="Aussen","Aussenlager",IF(BY1659="-","Nicht im Lift",IF(AM1659&gt;=1,"Lift",IF(AM1659&lt;=0,"Aussenlager","teilweise")))))</f>
        <v>Lift</v>
      </c>
      <c r="BE1659" s="55" t="str">
        <f aca="false">IF(AP1659&lt;=0,"",IF(BY1659="Aussen","Aussenlager",IF(BY1659="-","Nicht im Lift",IF(AU1659&gt;=1,"Lift",IF(AU1659&lt;=0,"Aussenlager","teilweise")))))</f>
        <v>Aussenlager</v>
      </c>
      <c r="BF1659" s="55" t="str">
        <f aca="false">IF(AX1659&lt;=0,"",IF(BY1659="Aussen","Aussenlager",IF(BY1659="-","Nicht im Lift",IF(BC1659&gt;=1,"Lift",IF(BC1659&lt;=0,"Aussenlager","teilweise")))))</f>
        <v>Aussenlager</v>
      </c>
      <c r="BG1659" s="55" t="str">
        <f aca="false">IF(A1659="","",IF(BP1659=1,"Neu; ","")&amp;IF(AND(BP1659=0,BK1659&lt;0),"negativer Bestand (Export "&amp;BK1659&amp;"); ","")&amp;IF(J1659&lt;=0,"Kein Verbrauch; ","")&amp;IF(CH1659&gt;0,"Lift "&amp;W1659&amp;" lt. Liftbericht (Fach "&amp;X1659&amp;" Stk); ",IF(BU1659=1,"Gebinde geschätzt ("&amp;T1659&amp;"); ",IF(BT1659=1,"Lose – Tablare geschätzt; ","")))&amp;IF(H1659&gt;AR1659,"Überbestand "&amp;ROUND(H1659-AR1659,0)&amp;" Stk / CHF "&amp;ROUND((H1659-AR1659)*G1659,0)&amp;"; ","")&amp;IF(AND(CA1659=1,CB1659&lt;CC1659),"MAX &lt; MB+LG; ","")&amp;IF(AND(CG1659&gt;0,CF1659*10&gt;CG1659),"zu hoch für Tablar; ","")&amp;IF(AND(BP1659=0,OR(CA1659=1,AA1659&lt;&gt;"",U1659&lt;&gt;"",V1659&lt;&gt;"",AB1659&lt;&gt;"")),"manuell übersteuert; ","")&amp;IF(AND(BT1659=0,R1659=0),"Gebinde unbekannt / Stellmass fehlt; ","")&amp;IF(AND(BT1659=0,N(V1659)&lt;=0,N(Q1659)&lt;=0),"Menge pro Gebinde fehlt (Ist = 1 Gebinde); ","")&amp;BO1659)</f>
        <v>Kein Verbrauch; Gebinde geschätzt (Gross); Menge pro Gebinde fehlt (Ist = 1 Gebinde); nur im Artikelstamm (Bestand 23.06.2026)</v>
      </c>
      <c r="BH1659" s="55"/>
      <c r="BI1659" s="55"/>
      <c r="BJ1659" s="62"/>
      <c r="BK1659" s="57" t="n">
        <v>1</v>
      </c>
      <c r="BL1659" s="57" t="n">
        <v>0</v>
      </c>
      <c r="BM1659" s="56" t="n">
        <v>0</v>
      </c>
      <c r="BN1659" s="57" t="n">
        <v>0</v>
      </c>
      <c r="BO1659" s="55" t="s">
        <v>2575</v>
      </c>
      <c r="BP1659" s="60" t="n">
        <v>0</v>
      </c>
      <c r="BQ1659" s="60" t="n">
        <v>1659</v>
      </c>
      <c r="BR1659" s="55" t="str">
        <f aca="false">IF(U1659&lt;&gt;"",UPPER(TRIM(U1659)),IF(BU1659=1,UPPER(VLOOKUP(T1659,Parameter!$I$27:$K$29,2,0)),IF(P1659="","LOSE",P1659)))</f>
        <v>S81</v>
      </c>
      <c r="BS1659" s="57" t="n">
        <f aca="false">IF(BR1659="LOSE",1,IF(N(V1659)&gt;0,V1659,IF(BU1659=1,MAX(1,N(VLOOKUP(T1659,Parameter!$I$27:$K$29,3,0)),H1659,N(N1659)),IF(N(Q1659)&gt;0,Q1659,MAX(1,H1659)))))</f>
        <v>2</v>
      </c>
      <c r="BT1659" s="60" t="n">
        <f aca="false">IF(BR1659="LOSE",1,0)</f>
        <v>0</v>
      </c>
      <c r="BU1659" s="60" t="n">
        <f aca="false">IF(AND(U1659="",OR(P1659="",P1659="LOSE"),T1659&lt;&gt;"",N(S1659)&lt;=0,ISNUMBER(MATCH(T1659,Parameter!$I$27:$I$29,0))),1,0)</f>
        <v>1</v>
      </c>
      <c r="BV1659" s="55" t="str">
        <f aca="false">IF(AND(Parameter!$B$19="Ja",E1659&lt;&gt;"",ISNUMBER(MATCH(E1659,Parameter!$I$35:$I$52,0))),VLOOKUP(E1659,Parameter!$I$35:$J$52,2,0),IFERROR(VLOOKUP(D1659,Parameter!$A$35:$C$64,2,0),"Nein"))</f>
        <v>2+3</v>
      </c>
      <c r="BW1659" s="59" t="n">
        <f aca="false">IF(BT1659=0,0,IF(N(S1659)&gt;0,S1659,IFERROR(VLOOKUP(D1659,Parameter!$A$35:$C$64,3,0)+0,0)))</f>
        <v>0</v>
      </c>
      <c r="BX1659" s="55" t="n">
        <f aca="false">IF(AA1659&lt;&gt;"",AA1659,Z1659)</f>
        <v>2</v>
      </c>
      <c r="BY1659" s="55" t="str">
        <f aca="false">IF(BX1659=1,"L1",IF(OR(BX1659=2,BX1659=3),"L23",IF(BX1659="Aussen","Aussen","-")))</f>
        <v>L23</v>
      </c>
      <c r="BZ1659" s="66" t="n">
        <f aca="false">IF(N(AB1659)&gt;0,AB1659,0)</f>
        <v>0</v>
      </c>
      <c r="CA1659" s="60" t="n">
        <f aca="false">IF(ISNUMBER(AE1659),1,0)</f>
        <v>0</v>
      </c>
      <c r="CB1659" s="57" t="n">
        <f aca="false">N(AE1659)</f>
        <v>0</v>
      </c>
      <c r="CC1659" s="57" t="n">
        <f aca="false">N(M1659)+N(N1659)</f>
        <v>2</v>
      </c>
      <c r="CD1659" s="57" t="n">
        <f aca="false">ROUNDUP(H1659/BS1659,0)</f>
        <v>1</v>
      </c>
      <c r="CE1659" s="57" t="n">
        <f aca="false">ROUNDUP(CB1659/BS1659,0)</f>
        <v>0</v>
      </c>
      <c r="CF1659" s="60" t="n">
        <f aca="false">IF(BT1659=1,0,IFERROR(VLOOKUP(BR1659,'Gebinde-Kategorie'!$A$5:$M$45,5,0)+0,0))</f>
        <v>20</v>
      </c>
      <c r="CG1659" s="60" t="n">
        <f aca="false">IFERROR(IF(OR(BX1659=1,BX1659=2,BX1659=3),N(INDEX(Parameter!$I$5:$I$7,BX1659)),0),0)</f>
        <v>0</v>
      </c>
      <c r="CH1659" s="59" t="n">
        <f aca="false">IF(AND(Parameter!$B$21="Ja",ISNUMBER(W1659),N(X1659)&gt;0),IFERROR(N(INDEX(Parameter!$L$5:$L$7,W1659))*INDEX(Parameter!$E$5:$E$7,W1659)*X1659/SUMIFS($X$7:$X$1843,$W$7:$W$1843,W1659),0),0)</f>
        <v>0</v>
      </c>
    </row>
    <row r="1660" customFormat="false" ht="15" hidden="false" customHeight="false" outlineLevel="0" collapsed="false">
      <c r="A1660" s="55" t="s">
        <v>2885</v>
      </c>
      <c r="B1660" s="55" t="s">
        <v>181</v>
      </c>
      <c r="C1660" s="55" t="s">
        <v>167</v>
      </c>
      <c r="D1660" s="55" t="s">
        <v>173</v>
      </c>
      <c r="E1660" s="55" t="s">
        <v>166</v>
      </c>
      <c r="F1660" s="55"/>
      <c r="G1660" s="56" t="n">
        <v>5331</v>
      </c>
      <c r="H1660" s="57" t="n">
        <f aca="false">MAX(0,IF(AND(Parameter!$B$21="Ja",ISNUMBER(Y1660)),Y1660,IF(Parameter!$B$20="Jahresanfang 2025 + Export",BL1660+BK1660,BK1660)))</f>
        <v>6</v>
      </c>
      <c r="I1660" s="57" t="n">
        <f aca="false">H1660*G1660</f>
        <v>31986</v>
      </c>
      <c r="J1660" s="57" t="n">
        <f aca="false">BN1660*Parameter!$B$18</f>
        <v>0</v>
      </c>
      <c r="K1660" s="58"/>
      <c r="L1660" s="59"/>
      <c r="M1660" s="57" t="n">
        <v>0</v>
      </c>
      <c r="N1660" s="57" t="n">
        <v>1</v>
      </c>
      <c r="O1660" s="60" t="n">
        <v>42</v>
      </c>
      <c r="P1660" s="55" t="s">
        <v>168</v>
      </c>
      <c r="Q1660" s="57"/>
      <c r="R1660" s="60" t="n">
        <f aca="false">IF(BT1660=1,0,IFERROR(VLOOKUP(BR1660,'Gebinde-Kategorie'!$A$5:$M$45,13,0)+0,0))</f>
        <v>12</v>
      </c>
      <c r="S1660" s="61"/>
      <c r="T1660" s="62" t="s">
        <v>179</v>
      </c>
      <c r="U1660" s="62"/>
      <c r="V1660" s="62"/>
      <c r="W1660" s="55"/>
      <c r="X1660" s="57"/>
      <c r="Y1660" s="57"/>
      <c r="Z1660" s="55" t="n">
        <f aca="false">IF(A1660="","",IF(AND(Parameter!$B$21="Ja",ISNUMBER(W1660)),W1660,IF(BV1660="2+3",IF(ISNUMBER(SEARCH("grosser Artikel",BO1660)),2,IFERROR(VLOOKUP(BR1660,Parameter!$F$35:$G$64,2,0),2)),IF(OR(BV1660="Nein",BV1660=""),"-",BV1660))))</f>
        <v>1</v>
      </c>
      <c r="AA1660" s="62"/>
      <c r="AB1660" s="63"/>
      <c r="AC1660" s="57" t="n">
        <f aca="false">AR1660</f>
        <v>6</v>
      </c>
      <c r="AD1660" s="57" t="n">
        <f aca="false">MAX(AR1660,H1660)</f>
        <v>6</v>
      </c>
      <c r="AE1660" s="64"/>
      <c r="AF1660" s="57" t="n">
        <f aca="false">IF(LEFT(Cockpit!$C$5,1)="A",H1660,IF(CA1660=1,CB1660,IF(LEFT(Cockpit!$C$5,1)="B",AJ1660,MAX(AJ1660,H1660))))</f>
        <v>6</v>
      </c>
      <c r="AG1660" s="57" t="n">
        <f aca="false">IF(BT1660=1,0,ROUNDUP(AF1660/BS1660,0))</f>
        <v>1</v>
      </c>
      <c r="AH1660" s="59" t="n">
        <f aca="false">IF(CH1660&gt;0,CH1660*MAX(1,AF1660/X1660),IF(BT1660=1,IF(AF1660&lt;=0,0,BW1660*MAX(1,IF(H1660&gt;0,AF1660/H1660,1))),IF(R1660&gt;0,AG1660/R1660,0))/MAX(0.1,N(Parameter!$M$21)))</f>
        <v>0.0833333333333333</v>
      </c>
      <c r="AI1660" s="57" t="n">
        <f aca="false">AF1660*G1660</f>
        <v>31986</v>
      </c>
      <c r="AJ1660" s="57" t="n">
        <f aca="false">ROUNDUP(MAX(J1660/IF(BZ1660&gt;0,BZ1660,MAX(0.1,N(Cockpit!$C$6))),CC1660)/BS1660,0)*BS1660</f>
        <v>6</v>
      </c>
      <c r="AK1660" s="58" t="n">
        <f aca="false">IF(AH1660&gt;0,J1660/AH1660,-1)</f>
        <v>0</v>
      </c>
      <c r="AL1660" s="58" t="n">
        <f aca="false">IF(AND(OR(BY1660="L1",BY1660="L23"),AH1660&gt;0),SUMIFS($AH$7:$AH$1843,$BY$7:$BY$1843,BY1660,$AK$7:$AK$1843,"&gt;"&amp;AK1660)+SUMIFS($AH$7:$AH$1843,$BY$7:$BY$1843,BY1660,$AK$7:$AK$1843,AK1660,$BQ$7:$BQ$1843,"&lt;="&amp;BQ1660),"")</f>
        <v>53.629222329296</v>
      </c>
      <c r="AM1660" s="65" t="n">
        <f aca="false">IF(AL1660="",0,MAX(0,MIN(1,(IF(BY1660="L1",Parameter!$E$5,Parameter!$E$6+Parameter!$E$7)-(AL1660-AH1660))/AH1660)))</f>
        <v>0</v>
      </c>
      <c r="AN1660" s="57" t="n">
        <f aca="false">IF(LEFT(Cockpit!$I$5,1)="A",H1660,IF(CA1660=1,CB1660,IF(LEFT(Cockpit!$I$5,1)="B",AR1660,MAX(AR1660,H1660))))</f>
        <v>6</v>
      </c>
      <c r="AO1660" s="57" t="n">
        <f aca="false">IF(BT1660=1,0,ROUNDUP(AN1660/BS1660,0))</f>
        <v>1</v>
      </c>
      <c r="AP1660" s="59" t="n">
        <f aca="false">IF(CH1660&gt;0,CH1660*MAX(1,AN1660/X1660),IF(BT1660=1,IF(AN1660&lt;=0,0,BW1660*MAX(1,IF(H1660&gt;0,AN1660/H1660,1))),IF(R1660&gt;0,AO1660/R1660,0))/MAX(0.1,N(Parameter!$M$21)))</f>
        <v>0.0833333333333333</v>
      </c>
      <c r="AQ1660" s="57" t="n">
        <f aca="false">AN1660*G1660</f>
        <v>31986</v>
      </c>
      <c r="AR1660" s="57" t="n">
        <f aca="false">ROUNDUP(MAX(J1660/IF(BZ1660&gt;0,BZ1660,MAX(0.1,N(Cockpit!$I$6))),CC1660)/BS1660,0)*BS1660</f>
        <v>6</v>
      </c>
      <c r="AS1660" s="58" t="n">
        <f aca="false">IF(AP1660&gt;0,J1660/AP1660,-1)</f>
        <v>0</v>
      </c>
      <c r="AT1660" s="58" t="n">
        <f aca="false">IF(AND(OR(BY1660="L1",BY1660="L23"),AP1660&gt;0),SUMIFS($AP$7:$AP$1843,$BY$7:$BY$1843,BY1660,$AS$7:$AS$1843,"&gt;"&amp;AS1660)+SUMIFS($AP$7:$AP$1843,$BY$7:$BY$1843,BY1660,$AS$7:$AS$1843,AS1660,$BQ$7:$BQ$1843,"&lt;="&amp;BQ1660),"")</f>
        <v>70.5893845775939</v>
      </c>
      <c r="AU1660" s="65" t="n">
        <f aca="false">IF(AT1660="",0,MAX(0,MIN(1,(IF(BY1660="L1",Parameter!$E$5,Parameter!$E$6+Parameter!$E$7)-(AT1660-AP1660))/AP1660)))</f>
        <v>0</v>
      </c>
      <c r="AV1660" s="57" t="n">
        <f aca="false">IF(LEFT(Cockpit!$O$5,1)="A",H1660,IF(CA1660=1,CB1660,IF(LEFT(Cockpit!$O$5,1)="B",AZ1660,MAX(AZ1660,H1660))))</f>
        <v>6</v>
      </c>
      <c r="AW1660" s="57" t="n">
        <f aca="false">IF(BT1660=1,0,ROUNDUP(AV1660/BS1660,0))</f>
        <v>1</v>
      </c>
      <c r="AX1660" s="59" t="n">
        <f aca="false">IF(CH1660&gt;0,CH1660*MAX(1,AV1660/X1660),IF(BT1660=1,IF(AV1660&lt;=0,0,BW1660*MAX(1,IF(H1660&gt;0,AV1660/H1660,1))),IF(R1660&gt;0,AW1660/R1660,0))/MAX(0.1,N(Parameter!$M$21)))</f>
        <v>0.0833333333333333</v>
      </c>
      <c r="AY1660" s="57" t="n">
        <f aca="false">AV1660*G1660</f>
        <v>31986</v>
      </c>
      <c r="AZ1660" s="57" t="n">
        <f aca="false">ROUNDUP(MAX(J1660/IF(BZ1660&gt;0,BZ1660,MAX(0.1,N(Cockpit!$O$6))),CC1660)/BS1660,0)*BS1660</f>
        <v>6</v>
      </c>
      <c r="BA1660" s="58" t="n">
        <f aca="false">IF(AX1660&gt;0,J1660/AX1660,-1)</f>
        <v>0</v>
      </c>
      <c r="BB1660" s="58" t="n">
        <f aca="false">IF(AND(OR(BY1660="L1",BY1660="L23"),AX1660&gt;0),SUMIFS($AX$7:$AX$1843,$BY$7:$BY$1843,BY1660,$BA$7:$BA$1843,"&gt;"&amp;BA1660)+SUMIFS($AX$7:$AX$1843,$BY$7:$BY$1843,BY1660,$BA$7:$BA$1843,BA1660,$BQ$7:$BQ$1843,"&lt;="&amp;BQ1660),"")</f>
        <v>64.2561961088122</v>
      </c>
      <c r="BC1660" s="65" t="n">
        <f aca="false">IF(BB1660="",0,MAX(0,MIN(1,(IF(BY1660="L1",Parameter!$E$5,Parameter!$E$6+Parameter!$E$7)-(BB1660-AX1660))/AX1660)))</f>
        <v>0</v>
      </c>
      <c r="BD1660" s="55" t="str">
        <f aca="false">IF(AH1660&lt;=0,"",IF(BY1660="Aussen","Aussenlager",IF(BY1660="-","Nicht im Lift",IF(AM1660&gt;=1,"Lift",IF(AM1660&lt;=0,"Aussenlager","teilweise")))))</f>
        <v>Aussenlager</v>
      </c>
      <c r="BE1660" s="55" t="str">
        <f aca="false">IF(AP1660&lt;=0,"",IF(BY1660="Aussen","Aussenlager",IF(BY1660="-","Nicht im Lift",IF(AU1660&gt;=1,"Lift",IF(AU1660&lt;=0,"Aussenlager","teilweise")))))</f>
        <v>Aussenlager</v>
      </c>
      <c r="BF1660" s="55" t="str">
        <f aca="false">IF(AX1660&lt;=0,"",IF(BY1660="Aussen","Aussenlager",IF(BY1660="-","Nicht im Lift",IF(BC1660&gt;=1,"Lift",IF(BC1660&lt;=0,"Aussenlager","teilweise")))))</f>
        <v>Aussenlager</v>
      </c>
      <c r="BG1660" s="55" t="str">
        <f aca="false">IF(A1660="","",IF(BP1660=1,"Neu; ","")&amp;IF(AND(BP1660=0,BK1660&lt;0),"negativer Bestand (Export "&amp;BK1660&amp;"); ","")&amp;IF(J1660&lt;=0,"Kein Verbrauch; ","")&amp;IF(CH1660&gt;0,"Lift "&amp;W1660&amp;" lt. Liftbericht (Fach "&amp;X1660&amp;" Stk); ",IF(BU1660=1,"Gebinde geschätzt ("&amp;T1660&amp;"); ",IF(BT1660=1,"Lose – Tablare geschätzt; ","")))&amp;IF(H1660&gt;AR1660,"Überbestand "&amp;ROUND(H1660-AR1660,0)&amp;" Stk / CHF "&amp;ROUND((H1660-AR1660)*G1660,0)&amp;"; ","")&amp;IF(AND(CA1660=1,CB1660&lt;CC1660),"MAX &lt; MB+LG; ","")&amp;IF(AND(CG1660&gt;0,CF1660*10&gt;CG1660),"zu hoch für Tablar; ","")&amp;IF(AND(BP1660=0,OR(CA1660=1,AA1660&lt;&gt;"",U1660&lt;&gt;"",V1660&lt;&gt;"",AB1660&lt;&gt;"")),"manuell übersteuert; ","")&amp;IF(AND(BT1660=0,R1660=0),"Gebinde unbekannt / Stellmass fehlt; ","")&amp;IF(AND(BT1660=0,N(V1660)&lt;=0,N(Q1660)&lt;=0),"Menge pro Gebinde fehlt (Ist = 1 Gebinde); ","")&amp;BO1660)</f>
        <v>Kein Verbrauch; Gebinde geschätzt (Mittel); Menge pro Gebinde fehlt (Ist = 1 Gebinde); nur im Artikelstamm (Bestand 23.06.2026)</v>
      </c>
      <c r="BH1660" s="55"/>
      <c r="BI1660" s="55"/>
      <c r="BJ1660" s="62"/>
      <c r="BK1660" s="57" t="n">
        <v>6</v>
      </c>
      <c r="BL1660" s="57" t="n">
        <v>0</v>
      </c>
      <c r="BM1660" s="56" t="n">
        <v>0</v>
      </c>
      <c r="BN1660" s="57" t="n">
        <v>0</v>
      </c>
      <c r="BO1660" s="55" t="s">
        <v>2575</v>
      </c>
      <c r="BP1660" s="60" t="n">
        <v>0</v>
      </c>
      <c r="BQ1660" s="60" t="n">
        <v>1660</v>
      </c>
      <c r="BR1660" s="55" t="str">
        <f aca="false">IF(U1660&lt;&gt;"",UPPER(TRIM(U1660)),IF(BU1660=1,UPPER(VLOOKUP(T1660,Parameter!$I$27:$K$29,2,0)),IF(P1660="","LOSE",P1660)))</f>
        <v>S61</v>
      </c>
      <c r="BS1660" s="57" t="n">
        <f aca="false">IF(BR1660="LOSE",1,IF(N(V1660)&gt;0,V1660,IF(BU1660=1,MAX(1,N(VLOOKUP(T1660,Parameter!$I$27:$K$29,3,0)),H1660,N(N1660)),IF(N(Q1660)&gt;0,Q1660,MAX(1,H1660)))))</f>
        <v>6</v>
      </c>
      <c r="BT1660" s="60" t="n">
        <f aca="false">IF(BR1660="LOSE",1,0)</f>
        <v>0</v>
      </c>
      <c r="BU1660" s="60" t="n">
        <f aca="false">IF(AND(U1660="",OR(P1660="",P1660="LOSE"),T1660&lt;&gt;"",N(S1660)&lt;=0,ISNUMBER(MATCH(T1660,Parameter!$I$27:$I$29,0))),1,0)</f>
        <v>1</v>
      </c>
      <c r="BV1660" s="55" t="n">
        <f aca="false">IF(AND(Parameter!$B$19="Ja",E1660&lt;&gt;"",ISNUMBER(MATCH(E1660,Parameter!$I$35:$I$52,0))),VLOOKUP(E1660,Parameter!$I$35:$J$52,2,0),IFERROR(VLOOKUP(D1660,Parameter!$A$35:$C$64,2,0),"Nein"))</f>
        <v>1</v>
      </c>
      <c r="BW1660" s="59" t="n">
        <f aca="false">IF(BT1660=0,0,IF(N(S1660)&gt;0,S1660,IFERROR(VLOOKUP(D1660,Parameter!$A$35:$C$64,3,0)+0,0)))</f>
        <v>0</v>
      </c>
      <c r="BX1660" s="55" t="n">
        <f aca="false">IF(AA1660&lt;&gt;"",AA1660,Z1660)</f>
        <v>1</v>
      </c>
      <c r="BY1660" s="55" t="str">
        <f aca="false">IF(BX1660=1,"L1",IF(OR(BX1660=2,BX1660=3),"L23",IF(BX1660="Aussen","Aussen","-")))</f>
        <v>L1</v>
      </c>
      <c r="BZ1660" s="66" t="n">
        <f aca="false">IF(N(AB1660)&gt;0,AB1660,0)</f>
        <v>0</v>
      </c>
      <c r="CA1660" s="60" t="n">
        <f aca="false">IF(ISNUMBER(AE1660),1,0)</f>
        <v>0</v>
      </c>
      <c r="CB1660" s="57" t="n">
        <f aca="false">N(AE1660)</f>
        <v>0</v>
      </c>
      <c r="CC1660" s="57" t="n">
        <f aca="false">N(M1660)+N(N1660)</f>
        <v>1</v>
      </c>
      <c r="CD1660" s="57" t="n">
        <f aca="false">ROUNDUP(H1660/BS1660,0)</f>
        <v>1</v>
      </c>
      <c r="CE1660" s="57" t="n">
        <f aca="false">ROUNDUP(CB1660/BS1660,0)</f>
        <v>0</v>
      </c>
      <c r="CF1660" s="60" t="n">
        <f aca="false">IF(BT1660=1,0,IFERROR(VLOOKUP(BR1660,'Gebinde-Kategorie'!$A$5:$M$45,5,0)+0,0))</f>
        <v>11</v>
      </c>
      <c r="CG1660" s="60" t="n">
        <f aca="false">IFERROR(IF(OR(BX1660=1,BX1660=2,BX1660=3),N(INDEX(Parameter!$I$5:$I$7,BX1660)),0),0)</f>
        <v>0</v>
      </c>
      <c r="CH1660" s="59" t="n">
        <f aca="false">IF(AND(Parameter!$B$21="Ja",ISNUMBER(W1660),N(X1660)&gt;0),IFERROR(N(INDEX(Parameter!$L$5:$L$7,W1660))*INDEX(Parameter!$E$5:$E$7,W1660)*X1660/SUMIFS($X$7:$X$1843,$W$7:$W$1843,W1660),0),0)</f>
        <v>0</v>
      </c>
    </row>
    <row r="1661" customFormat="false" ht="15" hidden="false" customHeight="false" outlineLevel="0" collapsed="false">
      <c r="A1661" s="55" t="s">
        <v>2886</v>
      </c>
      <c r="B1661" s="55" t="s">
        <v>196</v>
      </c>
      <c r="C1661" s="55" t="s">
        <v>167</v>
      </c>
      <c r="D1661" s="55" t="s">
        <v>173</v>
      </c>
      <c r="E1661" s="55" t="s">
        <v>166</v>
      </c>
      <c r="F1661" s="55"/>
      <c r="G1661" s="56" t="n">
        <v>4983</v>
      </c>
      <c r="H1661" s="57" t="n">
        <f aca="false">MAX(0,IF(AND(Parameter!$B$21="Ja",ISNUMBER(Y1661)),Y1661,IF(Parameter!$B$20="Jahresanfang 2025 + Export",BL1661+BK1661,BK1661)))</f>
        <v>1</v>
      </c>
      <c r="I1661" s="57" t="n">
        <f aca="false">H1661*G1661</f>
        <v>4983</v>
      </c>
      <c r="J1661" s="57" t="n">
        <f aca="false">BN1661*Parameter!$B$18</f>
        <v>0</v>
      </c>
      <c r="K1661" s="58"/>
      <c r="L1661" s="59"/>
      <c r="M1661" s="57" t="n">
        <v>0</v>
      </c>
      <c r="N1661" s="57" t="n">
        <v>1</v>
      </c>
      <c r="O1661" s="60" t="n">
        <v>42</v>
      </c>
      <c r="P1661" s="55" t="s">
        <v>168</v>
      </c>
      <c r="Q1661" s="57"/>
      <c r="R1661" s="60" t="n">
        <f aca="false">IF(BT1661=1,0,IFERROR(VLOOKUP(BR1661,'Gebinde-Kategorie'!$A$5:$M$45,13,0)+0,0))</f>
        <v>12</v>
      </c>
      <c r="S1661" s="61"/>
      <c r="T1661" s="62" t="s">
        <v>179</v>
      </c>
      <c r="U1661" s="62"/>
      <c r="V1661" s="62"/>
      <c r="W1661" s="55"/>
      <c r="X1661" s="57"/>
      <c r="Y1661" s="57"/>
      <c r="Z1661" s="55" t="n">
        <f aca="false">IF(A1661="","",IF(AND(Parameter!$B$21="Ja",ISNUMBER(W1661)),W1661,IF(BV1661="2+3",IF(ISNUMBER(SEARCH("grosser Artikel",BO1661)),2,IFERROR(VLOOKUP(BR1661,Parameter!$F$35:$G$64,2,0),2)),IF(OR(BV1661="Nein",BV1661=""),"-",BV1661))))</f>
        <v>1</v>
      </c>
      <c r="AA1661" s="62"/>
      <c r="AB1661" s="63"/>
      <c r="AC1661" s="57" t="n">
        <f aca="false">AR1661</f>
        <v>4</v>
      </c>
      <c r="AD1661" s="57" t="n">
        <f aca="false">MAX(AR1661,H1661)</f>
        <v>4</v>
      </c>
      <c r="AE1661" s="64"/>
      <c r="AF1661" s="57" t="n">
        <f aca="false">IF(LEFT(Cockpit!$C$5,1)="A",H1661,IF(CA1661=1,CB1661,IF(LEFT(Cockpit!$C$5,1)="B",AJ1661,MAX(AJ1661,H1661))))</f>
        <v>1</v>
      </c>
      <c r="AG1661" s="57" t="n">
        <f aca="false">IF(BT1661=1,0,ROUNDUP(AF1661/BS1661,0))</f>
        <v>1</v>
      </c>
      <c r="AH1661" s="59" t="n">
        <f aca="false">IF(CH1661&gt;0,CH1661*MAX(1,AF1661/X1661),IF(BT1661=1,IF(AF1661&lt;=0,0,BW1661*MAX(1,IF(H1661&gt;0,AF1661/H1661,1))),IF(R1661&gt;0,AG1661/R1661,0))/MAX(0.1,N(Parameter!$M$21)))</f>
        <v>0.0833333333333333</v>
      </c>
      <c r="AI1661" s="57" t="n">
        <f aca="false">AF1661*G1661</f>
        <v>4983</v>
      </c>
      <c r="AJ1661" s="57" t="n">
        <f aca="false">ROUNDUP(MAX(J1661/IF(BZ1661&gt;0,BZ1661,MAX(0.1,N(Cockpit!$C$6))),CC1661)/BS1661,0)*BS1661</f>
        <v>4</v>
      </c>
      <c r="AK1661" s="58" t="n">
        <f aca="false">IF(AH1661&gt;0,J1661/AH1661,-1)</f>
        <v>0</v>
      </c>
      <c r="AL1661" s="58" t="n">
        <f aca="false">IF(AND(OR(BY1661="L1",BY1661="L23"),AH1661&gt;0),SUMIFS($AH$7:$AH$1843,$BY$7:$BY$1843,BY1661,$AK$7:$AK$1843,"&gt;"&amp;AK1661)+SUMIFS($AH$7:$AH$1843,$BY$7:$BY$1843,BY1661,$AK$7:$AK$1843,AK1661,$BQ$7:$BQ$1843,"&lt;="&amp;BQ1661),"")</f>
        <v>53.7125556626294</v>
      </c>
      <c r="AM1661" s="65" t="n">
        <f aca="false">IF(AL1661="",0,MAX(0,MIN(1,(IF(BY1661="L1",Parameter!$E$5,Parameter!$E$6+Parameter!$E$7)-(AL1661-AH1661))/AH1661)))</f>
        <v>0</v>
      </c>
      <c r="AN1661" s="57" t="n">
        <f aca="false">IF(LEFT(Cockpit!$I$5,1)="A",H1661,IF(CA1661=1,CB1661,IF(LEFT(Cockpit!$I$5,1)="B",AR1661,MAX(AR1661,H1661))))</f>
        <v>4</v>
      </c>
      <c r="AO1661" s="57" t="n">
        <f aca="false">IF(BT1661=1,0,ROUNDUP(AN1661/BS1661,0))</f>
        <v>1</v>
      </c>
      <c r="AP1661" s="59" t="n">
        <f aca="false">IF(CH1661&gt;0,CH1661*MAX(1,AN1661/X1661),IF(BT1661=1,IF(AN1661&lt;=0,0,BW1661*MAX(1,IF(H1661&gt;0,AN1661/H1661,1))),IF(R1661&gt;0,AO1661/R1661,0))/MAX(0.1,N(Parameter!$M$21)))</f>
        <v>0.0833333333333333</v>
      </c>
      <c r="AQ1661" s="57" t="n">
        <f aca="false">AN1661*G1661</f>
        <v>19932</v>
      </c>
      <c r="AR1661" s="57" t="n">
        <f aca="false">ROUNDUP(MAX(J1661/IF(BZ1661&gt;0,BZ1661,MAX(0.1,N(Cockpit!$I$6))),CC1661)/BS1661,0)*BS1661</f>
        <v>4</v>
      </c>
      <c r="AS1661" s="58" t="n">
        <f aca="false">IF(AP1661&gt;0,J1661/AP1661,-1)</f>
        <v>0</v>
      </c>
      <c r="AT1661" s="58" t="n">
        <f aca="false">IF(AND(OR(BY1661="L1",BY1661="L23"),AP1661&gt;0),SUMIFS($AP$7:$AP$1843,$BY$7:$BY$1843,BY1661,$AS$7:$AS$1843,"&gt;"&amp;AS1661)+SUMIFS($AP$7:$AP$1843,$BY$7:$BY$1843,BY1661,$AS$7:$AS$1843,AS1661,$BQ$7:$BQ$1843,"&lt;="&amp;BQ1661),"")</f>
        <v>70.6727179109272</v>
      </c>
      <c r="AU1661" s="65" t="n">
        <f aca="false">IF(AT1661="",0,MAX(0,MIN(1,(IF(BY1661="L1",Parameter!$E$5,Parameter!$E$6+Parameter!$E$7)-(AT1661-AP1661))/AP1661)))</f>
        <v>0</v>
      </c>
      <c r="AV1661" s="57" t="n">
        <f aca="false">IF(LEFT(Cockpit!$O$5,1)="A",H1661,IF(CA1661=1,CB1661,IF(LEFT(Cockpit!$O$5,1)="B",AZ1661,MAX(AZ1661,H1661))))</f>
        <v>4</v>
      </c>
      <c r="AW1661" s="57" t="n">
        <f aca="false">IF(BT1661=1,0,ROUNDUP(AV1661/BS1661,0))</f>
        <v>1</v>
      </c>
      <c r="AX1661" s="59" t="n">
        <f aca="false">IF(CH1661&gt;0,CH1661*MAX(1,AV1661/X1661),IF(BT1661=1,IF(AV1661&lt;=0,0,BW1661*MAX(1,IF(H1661&gt;0,AV1661/H1661,1))),IF(R1661&gt;0,AW1661/R1661,0))/MAX(0.1,N(Parameter!$M$21)))</f>
        <v>0.0833333333333333</v>
      </c>
      <c r="AY1661" s="57" t="n">
        <f aca="false">AV1661*G1661</f>
        <v>19932</v>
      </c>
      <c r="AZ1661" s="57" t="n">
        <f aca="false">ROUNDUP(MAX(J1661/IF(BZ1661&gt;0,BZ1661,MAX(0.1,N(Cockpit!$O$6))),CC1661)/BS1661,0)*BS1661</f>
        <v>4</v>
      </c>
      <c r="BA1661" s="58" t="n">
        <f aca="false">IF(AX1661&gt;0,J1661/AX1661,-1)</f>
        <v>0</v>
      </c>
      <c r="BB1661" s="58" t="n">
        <f aca="false">IF(AND(OR(BY1661="L1",BY1661="L23"),AX1661&gt;0),SUMIFS($AX$7:$AX$1843,$BY$7:$BY$1843,BY1661,$BA$7:$BA$1843,"&gt;"&amp;BA1661)+SUMIFS($AX$7:$AX$1843,$BY$7:$BY$1843,BY1661,$BA$7:$BA$1843,BA1661,$BQ$7:$BQ$1843,"&lt;="&amp;BQ1661),"")</f>
        <v>64.3395294421455</v>
      </c>
      <c r="BC1661" s="65" t="n">
        <f aca="false">IF(BB1661="",0,MAX(0,MIN(1,(IF(BY1661="L1",Parameter!$E$5,Parameter!$E$6+Parameter!$E$7)-(BB1661-AX1661))/AX1661)))</f>
        <v>0</v>
      </c>
      <c r="BD1661" s="55" t="str">
        <f aca="false">IF(AH1661&lt;=0,"",IF(BY1661="Aussen","Aussenlager",IF(BY1661="-","Nicht im Lift",IF(AM1661&gt;=1,"Lift",IF(AM1661&lt;=0,"Aussenlager","teilweise")))))</f>
        <v>Aussenlager</v>
      </c>
      <c r="BE1661" s="55" t="str">
        <f aca="false">IF(AP1661&lt;=0,"",IF(BY1661="Aussen","Aussenlager",IF(BY1661="-","Nicht im Lift",IF(AU1661&gt;=1,"Lift",IF(AU1661&lt;=0,"Aussenlager","teilweise")))))</f>
        <v>Aussenlager</v>
      </c>
      <c r="BF1661" s="55" t="str">
        <f aca="false">IF(AX1661&lt;=0,"",IF(BY1661="Aussen","Aussenlager",IF(BY1661="-","Nicht im Lift",IF(BC1661&gt;=1,"Lift",IF(BC1661&lt;=0,"Aussenlager","teilweise")))))</f>
        <v>Aussenlager</v>
      </c>
      <c r="BG1661" s="55" t="str">
        <f aca="false">IF(A1661="","",IF(BP1661=1,"Neu; ","")&amp;IF(AND(BP1661=0,BK1661&lt;0),"negativer Bestand (Export "&amp;BK1661&amp;"); ","")&amp;IF(J1661&lt;=0,"Kein Verbrauch; ","")&amp;IF(CH1661&gt;0,"Lift "&amp;W1661&amp;" lt. Liftbericht (Fach "&amp;X1661&amp;" Stk); ",IF(BU1661=1,"Gebinde geschätzt ("&amp;T1661&amp;"); ",IF(BT1661=1,"Lose – Tablare geschätzt; ","")))&amp;IF(H1661&gt;AR1661,"Überbestand "&amp;ROUND(H1661-AR1661,0)&amp;" Stk / CHF "&amp;ROUND((H1661-AR1661)*G1661,0)&amp;"; ","")&amp;IF(AND(CA1661=1,CB1661&lt;CC1661),"MAX &lt; MB+LG; ","")&amp;IF(AND(CG1661&gt;0,CF1661*10&gt;CG1661),"zu hoch für Tablar; ","")&amp;IF(AND(BP1661=0,OR(CA1661=1,AA1661&lt;&gt;"",U1661&lt;&gt;"",V1661&lt;&gt;"",AB1661&lt;&gt;"")),"manuell übersteuert; ","")&amp;IF(AND(BT1661=0,R1661=0),"Gebinde unbekannt / Stellmass fehlt; ","")&amp;IF(AND(BT1661=0,N(V1661)&lt;=0,N(Q1661)&lt;=0),"Menge pro Gebinde fehlt (Ist = 1 Gebinde); ","")&amp;BO1661)</f>
        <v>Kein Verbrauch; Gebinde geschätzt (Mittel); Menge pro Gebinde fehlt (Ist = 1 Gebinde); nur im Artikelstamm (Bestand 23.06.2026)</v>
      </c>
      <c r="BH1661" s="55"/>
      <c r="BI1661" s="55"/>
      <c r="BJ1661" s="62"/>
      <c r="BK1661" s="57" t="n">
        <v>1</v>
      </c>
      <c r="BL1661" s="57" t="n">
        <v>0</v>
      </c>
      <c r="BM1661" s="56" t="n">
        <v>0</v>
      </c>
      <c r="BN1661" s="57" t="n">
        <v>0</v>
      </c>
      <c r="BO1661" s="55" t="s">
        <v>2575</v>
      </c>
      <c r="BP1661" s="60" t="n">
        <v>0</v>
      </c>
      <c r="BQ1661" s="60" t="n">
        <v>1661</v>
      </c>
      <c r="BR1661" s="55" t="str">
        <f aca="false">IF(U1661&lt;&gt;"",UPPER(TRIM(U1661)),IF(BU1661=1,UPPER(VLOOKUP(T1661,Parameter!$I$27:$K$29,2,0)),IF(P1661="","LOSE",P1661)))</f>
        <v>S61</v>
      </c>
      <c r="BS1661" s="57" t="n">
        <f aca="false">IF(BR1661="LOSE",1,IF(N(V1661)&gt;0,V1661,IF(BU1661=1,MAX(1,N(VLOOKUP(T1661,Parameter!$I$27:$K$29,3,0)),H1661,N(N1661)),IF(N(Q1661)&gt;0,Q1661,MAX(1,H1661)))))</f>
        <v>4</v>
      </c>
      <c r="BT1661" s="60" t="n">
        <f aca="false">IF(BR1661="LOSE",1,0)</f>
        <v>0</v>
      </c>
      <c r="BU1661" s="60" t="n">
        <f aca="false">IF(AND(U1661="",OR(P1661="",P1661="LOSE"),T1661&lt;&gt;"",N(S1661)&lt;=0,ISNUMBER(MATCH(T1661,Parameter!$I$27:$I$29,0))),1,0)</f>
        <v>1</v>
      </c>
      <c r="BV1661" s="55" t="n">
        <f aca="false">IF(AND(Parameter!$B$19="Ja",E1661&lt;&gt;"",ISNUMBER(MATCH(E1661,Parameter!$I$35:$I$52,0))),VLOOKUP(E1661,Parameter!$I$35:$J$52,2,0),IFERROR(VLOOKUP(D1661,Parameter!$A$35:$C$64,2,0),"Nein"))</f>
        <v>1</v>
      </c>
      <c r="BW1661" s="59" t="n">
        <f aca="false">IF(BT1661=0,0,IF(N(S1661)&gt;0,S1661,IFERROR(VLOOKUP(D1661,Parameter!$A$35:$C$64,3,0)+0,0)))</f>
        <v>0</v>
      </c>
      <c r="BX1661" s="55" t="n">
        <f aca="false">IF(AA1661&lt;&gt;"",AA1661,Z1661)</f>
        <v>1</v>
      </c>
      <c r="BY1661" s="55" t="str">
        <f aca="false">IF(BX1661=1,"L1",IF(OR(BX1661=2,BX1661=3),"L23",IF(BX1661="Aussen","Aussen","-")))</f>
        <v>L1</v>
      </c>
      <c r="BZ1661" s="66" t="n">
        <f aca="false">IF(N(AB1661)&gt;0,AB1661,0)</f>
        <v>0</v>
      </c>
      <c r="CA1661" s="60" t="n">
        <f aca="false">IF(ISNUMBER(AE1661),1,0)</f>
        <v>0</v>
      </c>
      <c r="CB1661" s="57" t="n">
        <f aca="false">N(AE1661)</f>
        <v>0</v>
      </c>
      <c r="CC1661" s="57" t="n">
        <f aca="false">N(M1661)+N(N1661)</f>
        <v>1</v>
      </c>
      <c r="CD1661" s="57" t="n">
        <f aca="false">ROUNDUP(H1661/BS1661,0)</f>
        <v>1</v>
      </c>
      <c r="CE1661" s="57" t="n">
        <f aca="false">ROUNDUP(CB1661/BS1661,0)</f>
        <v>0</v>
      </c>
      <c r="CF1661" s="60" t="n">
        <f aca="false">IF(BT1661=1,0,IFERROR(VLOOKUP(BR1661,'Gebinde-Kategorie'!$A$5:$M$45,5,0)+0,0))</f>
        <v>11</v>
      </c>
      <c r="CG1661" s="60" t="n">
        <f aca="false">IFERROR(IF(OR(BX1661=1,BX1661=2,BX1661=3),N(INDEX(Parameter!$I$5:$I$7,BX1661)),0),0)</f>
        <v>0</v>
      </c>
      <c r="CH1661" s="59" t="n">
        <f aca="false">IF(AND(Parameter!$B$21="Ja",ISNUMBER(W1661),N(X1661)&gt;0),IFERROR(N(INDEX(Parameter!$L$5:$L$7,W1661))*INDEX(Parameter!$E$5:$E$7,W1661)*X1661/SUMIFS($X$7:$X$1843,$W$7:$W$1843,W1661),0),0)</f>
        <v>0</v>
      </c>
    </row>
    <row r="1662" customFormat="false" ht="15" hidden="false" customHeight="false" outlineLevel="0" collapsed="false">
      <c r="A1662" s="55" t="s">
        <v>2887</v>
      </c>
      <c r="B1662" s="55" t="s">
        <v>2034</v>
      </c>
      <c r="C1662" s="55" t="s">
        <v>456</v>
      </c>
      <c r="D1662" s="55" t="s">
        <v>184</v>
      </c>
      <c r="E1662" s="55" t="s">
        <v>185</v>
      </c>
      <c r="F1662" s="55"/>
      <c r="G1662" s="56" t="n">
        <v>72.8</v>
      </c>
      <c r="H1662" s="57" t="n">
        <f aca="false">MAX(0,IF(AND(Parameter!$B$21="Ja",ISNUMBER(Y1662)),Y1662,IF(Parameter!$B$20="Jahresanfang 2025 + Export",BL1662+BK1662,BK1662)))</f>
        <v>10</v>
      </c>
      <c r="I1662" s="57" t="n">
        <f aca="false">H1662*G1662</f>
        <v>728</v>
      </c>
      <c r="J1662" s="57" t="n">
        <f aca="false">BN1662*Parameter!$B$18</f>
        <v>0</v>
      </c>
      <c r="K1662" s="58"/>
      <c r="L1662" s="59"/>
      <c r="M1662" s="57" t="n">
        <v>0</v>
      </c>
      <c r="N1662" s="57" t="n">
        <v>1</v>
      </c>
      <c r="O1662" s="60" t="n">
        <v>0</v>
      </c>
      <c r="P1662" s="55" t="s">
        <v>168</v>
      </c>
      <c r="Q1662" s="57"/>
      <c r="R1662" s="60" t="n">
        <f aca="false">IF(BT1662=1,0,IFERROR(VLOOKUP(BR1662,'Gebinde-Kategorie'!$A$5:$M$45,13,0)+0,0))</f>
        <v>26</v>
      </c>
      <c r="S1662" s="61"/>
      <c r="T1662" s="62" t="s">
        <v>275</v>
      </c>
      <c r="U1662" s="62"/>
      <c r="V1662" s="62"/>
      <c r="W1662" s="55"/>
      <c r="X1662" s="57"/>
      <c r="Y1662" s="57"/>
      <c r="Z1662" s="55" t="n">
        <f aca="false">IF(A1662="","",IF(AND(Parameter!$B$21="Ja",ISNUMBER(W1662)),W1662,IF(BV1662="2+3",IF(ISNUMBER(SEARCH("grosser Artikel",BO1662)),2,IFERROR(VLOOKUP(BR1662,Parameter!$F$35:$G$64,2,0),2)),IF(OR(BV1662="Nein",BV1662=""),"-",BV1662))))</f>
        <v>3</v>
      </c>
      <c r="AA1662" s="62"/>
      <c r="AB1662" s="63"/>
      <c r="AC1662" s="57" t="n">
        <f aca="false">AR1662</f>
        <v>20</v>
      </c>
      <c r="AD1662" s="57" t="n">
        <f aca="false">MAX(AR1662,H1662)</f>
        <v>20</v>
      </c>
      <c r="AE1662" s="64"/>
      <c r="AF1662" s="57" t="n">
        <f aca="false">IF(LEFT(Cockpit!$C$5,1)="A",H1662,IF(CA1662=1,CB1662,IF(LEFT(Cockpit!$C$5,1)="B",AJ1662,MAX(AJ1662,H1662))))</f>
        <v>10</v>
      </c>
      <c r="AG1662" s="57" t="n">
        <f aca="false">IF(BT1662=1,0,ROUNDUP(AF1662/BS1662,0))</f>
        <v>1</v>
      </c>
      <c r="AH1662" s="59" t="n">
        <f aca="false">IF(CH1662&gt;0,CH1662*MAX(1,AF1662/X1662),IF(BT1662=1,IF(AF1662&lt;=0,0,BW1662*MAX(1,IF(H1662&gt;0,AF1662/H1662,1))),IF(R1662&gt;0,AG1662/R1662,0))/MAX(0.1,N(Parameter!$M$21)))</f>
        <v>0.0384615384615385</v>
      </c>
      <c r="AI1662" s="57" t="n">
        <f aca="false">AF1662*G1662</f>
        <v>728</v>
      </c>
      <c r="AJ1662" s="57" t="n">
        <f aca="false">ROUNDUP(MAX(J1662/IF(BZ1662&gt;0,BZ1662,MAX(0.1,N(Cockpit!$C$6))),CC1662)/BS1662,0)*BS1662</f>
        <v>20</v>
      </c>
      <c r="AK1662" s="58" t="n">
        <f aca="false">IF(AH1662&gt;0,J1662/AH1662,-1)</f>
        <v>0</v>
      </c>
      <c r="AL1662" s="58" t="n">
        <f aca="false">IF(AND(OR(BY1662="L1",BY1662="L23"),AH1662&gt;0),SUMIFS($AH$7:$AH$1843,$BY$7:$BY$1843,BY1662,$AK$7:$AK$1843,"&gt;"&amp;AK1662)+SUMIFS($AH$7:$AH$1843,$BY$7:$BY$1843,BY1662,$AK$7:$AK$1843,AK1662,$BQ$7:$BQ$1843,"&lt;="&amp;BQ1662),"")</f>
        <v>89.3601736427823</v>
      </c>
      <c r="AM1662" s="65" t="n">
        <f aca="false">IF(AL1662="",0,MAX(0,MIN(1,(IF(BY1662="L1",Parameter!$E$5,Parameter!$E$6+Parameter!$E$7)-(AL1662-AH1662))/AH1662)))</f>
        <v>1</v>
      </c>
      <c r="AN1662" s="57" t="n">
        <f aca="false">IF(LEFT(Cockpit!$I$5,1)="A",H1662,IF(CA1662=1,CB1662,IF(LEFT(Cockpit!$I$5,1)="B",AR1662,MAX(AR1662,H1662))))</f>
        <v>20</v>
      </c>
      <c r="AO1662" s="57" t="n">
        <f aca="false">IF(BT1662=1,0,ROUNDUP(AN1662/BS1662,0))</f>
        <v>1</v>
      </c>
      <c r="AP1662" s="59" t="n">
        <f aca="false">IF(CH1662&gt;0,CH1662*MAX(1,AN1662/X1662),IF(BT1662=1,IF(AN1662&lt;=0,0,BW1662*MAX(1,IF(H1662&gt;0,AN1662/H1662,1))),IF(R1662&gt;0,AO1662/R1662,0))/MAX(0.1,N(Parameter!$M$21)))</f>
        <v>0.0384615384615385</v>
      </c>
      <c r="AQ1662" s="57" t="n">
        <f aca="false">AN1662*G1662</f>
        <v>1456</v>
      </c>
      <c r="AR1662" s="57" t="n">
        <f aca="false">ROUNDUP(MAX(J1662/IF(BZ1662&gt;0,BZ1662,MAX(0.1,N(Cockpit!$I$6))),CC1662)/BS1662,0)*BS1662</f>
        <v>20</v>
      </c>
      <c r="AS1662" s="58" t="n">
        <f aca="false">IF(AP1662&gt;0,J1662/AP1662,-1)</f>
        <v>0</v>
      </c>
      <c r="AT1662" s="58" t="n">
        <f aca="false">IF(AND(OR(BY1662="L1",BY1662="L23"),AP1662&gt;0),SUMIFS($AP$7:$AP$1843,$BY$7:$BY$1843,BY1662,$AS$7:$AS$1843,"&gt;"&amp;AS1662)+SUMIFS($AP$7:$AP$1843,$BY$7:$BY$1843,BY1662,$AS$7:$AS$1843,AS1662,$BQ$7:$BQ$1843,"&lt;="&amp;BQ1662),"")</f>
        <v>134.612310394919</v>
      </c>
      <c r="AU1662" s="65" t="n">
        <f aca="false">IF(AT1662="",0,MAX(0,MIN(1,(IF(BY1662="L1",Parameter!$E$5,Parameter!$E$6+Parameter!$E$7)-(AT1662-AP1662))/AP1662)))</f>
        <v>0</v>
      </c>
      <c r="AV1662" s="57" t="n">
        <f aca="false">IF(LEFT(Cockpit!$O$5,1)="A",H1662,IF(CA1662=1,CB1662,IF(LEFT(Cockpit!$O$5,1)="B",AZ1662,MAX(AZ1662,H1662))))</f>
        <v>20</v>
      </c>
      <c r="AW1662" s="57" t="n">
        <f aca="false">IF(BT1662=1,0,ROUNDUP(AV1662/BS1662,0))</f>
        <v>1</v>
      </c>
      <c r="AX1662" s="59" t="n">
        <f aca="false">IF(CH1662&gt;0,CH1662*MAX(1,AV1662/X1662),IF(BT1662=1,IF(AV1662&lt;=0,0,BW1662*MAX(1,IF(H1662&gt;0,AV1662/H1662,1))),IF(R1662&gt;0,AW1662/R1662,0))/MAX(0.1,N(Parameter!$M$21)))</f>
        <v>0.0384615384615385</v>
      </c>
      <c r="AY1662" s="57" t="n">
        <f aca="false">AV1662*G1662</f>
        <v>1456</v>
      </c>
      <c r="AZ1662" s="57" t="n">
        <f aca="false">ROUNDUP(MAX(J1662/IF(BZ1662&gt;0,BZ1662,MAX(0.1,N(Cockpit!$O$6))),CC1662)/BS1662,0)*BS1662</f>
        <v>20</v>
      </c>
      <c r="BA1662" s="58" t="n">
        <f aca="false">IF(AX1662&gt;0,J1662/AX1662,-1)</f>
        <v>0</v>
      </c>
      <c r="BB1662" s="58" t="n">
        <f aca="false">IF(AND(OR(BY1662="L1",BY1662="L23"),AX1662&gt;0),SUMIFS($AX$7:$AX$1843,$BY$7:$BY$1843,BY1662,$BA$7:$BA$1843,"&gt;"&amp;BA1662)+SUMIFS($AX$7:$AX$1843,$BY$7:$BY$1843,BY1662,$BA$7:$BA$1843,BA1662,$BQ$7:$BQ$1843,"&lt;="&amp;BQ1662),"")</f>
        <v>125.442147224756</v>
      </c>
      <c r="BC1662" s="65" t="n">
        <f aca="false">IF(BB1662="",0,MAX(0,MIN(1,(IF(BY1662="L1",Parameter!$E$5,Parameter!$E$6+Parameter!$E$7)-(BB1662-AX1662))/AX1662)))</f>
        <v>0</v>
      </c>
      <c r="BD1662" s="55" t="str">
        <f aca="false">IF(AH1662&lt;=0,"",IF(BY1662="Aussen","Aussenlager",IF(BY1662="-","Nicht im Lift",IF(AM1662&gt;=1,"Lift",IF(AM1662&lt;=0,"Aussenlager","teilweise")))))</f>
        <v>Lift</v>
      </c>
      <c r="BE1662" s="55" t="str">
        <f aca="false">IF(AP1662&lt;=0,"",IF(BY1662="Aussen","Aussenlager",IF(BY1662="-","Nicht im Lift",IF(AU1662&gt;=1,"Lift",IF(AU1662&lt;=0,"Aussenlager","teilweise")))))</f>
        <v>Aussenlager</v>
      </c>
      <c r="BF1662" s="55" t="str">
        <f aca="false">IF(AX1662&lt;=0,"",IF(BY1662="Aussen","Aussenlager",IF(BY1662="-","Nicht im Lift",IF(BC1662&gt;=1,"Lift",IF(BC1662&lt;=0,"Aussenlager","teilweise")))))</f>
        <v>Aussenlager</v>
      </c>
      <c r="BG1662" s="55" t="str">
        <f aca="false">IF(A1662="","",IF(BP1662=1,"Neu; ","")&amp;IF(AND(BP1662=0,BK1662&lt;0),"negativer Bestand (Export "&amp;BK1662&amp;"); ","")&amp;IF(J1662&lt;=0,"Kein Verbrauch; ","")&amp;IF(CH1662&gt;0,"Lift "&amp;W1662&amp;" lt. Liftbericht (Fach "&amp;X1662&amp;" Stk); ",IF(BU1662=1,"Gebinde geschätzt ("&amp;T1662&amp;"); ",IF(BT1662=1,"Lose – Tablare geschätzt; ","")))&amp;IF(H1662&gt;AR1662,"Überbestand "&amp;ROUND(H1662-AR1662,0)&amp;" Stk / CHF "&amp;ROUND((H1662-AR1662)*G1662,0)&amp;"; ","")&amp;IF(AND(CA1662=1,CB1662&lt;CC1662),"MAX &lt; MB+LG; ","")&amp;IF(AND(CG1662&gt;0,CF1662*10&gt;CG1662),"zu hoch für Tablar; ","")&amp;IF(AND(BP1662=0,OR(CA1662=1,AA1662&lt;&gt;"",U1662&lt;&gt;"",V1662&lt;&gt;"",AB1662&lt;&gt;"")),"manuell übersteuert; ","")&amp;IF(AND(BT1662=0,R1662=0),"Gebinde unbekannt / Stellmass fehlt; ","")&amp;IF(AND(BT1662=0,N(V1662)&lt;=0,N(Q1662)&lt;=0),"Menge pro Gebinde fehlt (Ist = 1 Gebinde); ","")&amp;BO1662)</f>
        <v>Kein Verbrauch; Gebinde geschätzt (Klein); Menge pro Gebinde fehlt (Ist = 1 Gebinde); nur im Artikelstamm (Bestand 23.06.2026); nicht im KTL vorhanden</v>
      </c>
      <c r="BH1662" s="55"/>
      <c r="BI1662" s="55"/>
      <c r="BJ1662" s="62"/>
      <c r="BK1662" s="57" t="n">
        <v>10</v>
      </c>
      <c r="BL1662" s="57" t="n">
        <v>0</v>
      </c>
      <c r="BM1662" s="56" t="n">
        <v>0</v>
      </c>
      <c r="BN1662" s="57" t="n">
        <v>0</v>
      </c>
      <c r="BO1662" s="55" t="s">
        <v>2878</v>
      </c>
      <c r="BP1662" s="60" t="n">
        <v>0</v>
      </c>
      <c r="BQ1662" s="60" t="n">
        <v>1662</v>
      </c>
      <c r="BR1662" s="55" t="str">
        <f aca="false">IF(U1662&lt;&gt;"",UPPER(TRIM(U1662)),IF(BU1662=1,UPPER(VLOOKUP(T1662,Parameter!$I$27:$K$29,2,0)),IF(P1662="","LOSE",P1662)))</f>
        <v>S51</v>
      </c>
      <c r="BS1662" s="57" t="n">
        <f aca="false">IF(BR1662="LOSE",1,IF(N(V1662)&gt;0,V1662,IF(BU1662=1,MAX(1,N(VLOOKUP(T1662,Parameter!$I$27:$K$29,3,0)),H1662,N(N1662)),IF(N(Q1662)&gt;0,Q1662,MAX(1,H1662)))))</f>
        <v>20</v>
      </c>
      <c r="BT1662" s="60" t="n">
        <f aca="false">IF(BR1662="LOSE",1,0)</f>
        <v>0</v>
      </c>
      <c r="BU1662" s="60" t="n">
        <f aca="false">IF(AND(U1662="",OR(P1662="",P1662="LOSE"),T1662&lt;&gt;"",N(S1662)&lt;=0,ISNUMBER(MATCH(T1662,Parameter!$I$27:$I$29,0))),1,0)</f>
        <v>1</v>
      </c>
      <c r="BV1662" s="55" t="str">
        <f aca="false">IF(AND(Parameter!$B$19="Ja",E1662&lt;&gt;"",ISNUMBER(MATCH(E1662,Parameter!$I$35:$I$52,0))),VLOOKUP(E1662,Parameter!$I$35:$J$52,2,0),IFERROR(VLOOKUP(D1662,Parameter!$A$35:$C$64,2,0),"Nein"))</f>
        <v>2+3</v>
      </c>
      <c r="BW1662" s="59" t="n">
        <f aca="false">IF(BT1662=0,0,IF(N(S1662)&gt;0,S1662,IFERROR(VLOOKUP(D1662,Parameter!$A$35:$C$64,3,0)+0,0)))</f>
        <v>0</v>
      </c>
      <c r="BX1662" s="55" t="n">
        <f aca="false">IF(AA1662&lt;&gt;"",AA1662,Z1662)</f>
        <v>3</v>
      </c>
      <c r="BY1662" s="55" t="str">
        <f aca="false">IF(BX1662=1,"L1",IF(OR(BX1662=2,BX1662=3),"L23",IF(BX1662="Aussen","Aussen","-")))</f>
        <v>L23</v>
      </c>
      <c r="BZ1662" s="66" t="n">
        <f aca="false">IF(N(AB1662)&gt;0,AB1662,0)</f>
        <v>0</v>
      </c>
      <c r="CA1662" s="60" t="n">
        <f aca="false">IF(ISNUMBER(AE1662),1,0)</f>
        <v>0</v>
      </c>
      <c r="CB1662" s="57" t="n">
        <f aca="false">N(AE1662)</f>
        <v>0</v>
      </c>
      <c r="CC1662" s="57" t="n">
        <f aca="false">N(M1662)+N(N1662)</f>
        <v>1</v>
      </c>
      <c r="CD1662" s="57" t="n">
        <f aca="false">ROUNDUP(H1662/BS1662,0)</f>
        <v>1</v>
      </c>
      <c r="CE1662" s="57" t="n">
        <f aca="false">ROUNDUP(CB1662/BS1662,0)</f>
        <v>0</v>
      </c>
      <c r="CF1662" s="60" t="n">
        <f aca="false">IF(BT1662=1,0,IFERROR(VLOOKUP(BR1662,'Gebinde-Kategorie'!$A$5:$M$45,5,0)+0,0))</f>
        <v>11</v>
      </c>
      <c r="CG1662" s="60" t="n">
        <f aca="false">IFERROR(IF(OR(BX1662=1,BX1662=2,BX1662=3),N(INDEX(Parameter!$I$5:$I$7,BX1662)),0),0)</f>
        <v>0</v>
      </c>
      <c r="CH1662" s="59" t="n">
        <f aca="false">IF(AND(Parameter!$B$21="Ja",ISNUMBER(W1662),N(X1662)&gt;0),IFERROR(N(INDEX(Parameter!$L$5:$L$7,W1662))*INDEX(Parameter!$E$5:$E$7,W1662)*X1662/SUMIFS($X$7:$X$1843,$W$7:$W$1843,W1662),0),0)</f>
        <v>0</v>
      </c>
    </row>
    <row r="1663" customFormat="false" ht="15" hidden="false" customHeight="false" outlineLevel="0" collapsed="false">
      <c r="A1663" s="55" t="s">
        <v>2888</v>
      </c>
      <c r="B1663" s="55" t="s">
        <v>509</v>
      </c>
      <c r="C1663" s="55" t="s">
        <v>164</v>
      </c>
      <c r="D1663" s="55" t="s">
        <v>173</v>
      </c>
      <c r="E1663" s="55"/>
      <c r="F1663" s="55"/>
      <c r="G1663" s="56" t="n">
        <v>648.9</v>
      </c>
      <c r="H1663" s="57" t="n">
        <f aca="false">MAX(0,IF(AND(Parameter!$B$21="Ja",ISNUMBER(Y1663)),Y1663,IF(Parameter!$B$20="Jahresanfang 2025 + Export",BL1663+BK1663,BK1663)))</f>
        <v>1</v>
      </c>
      <c r="I1663" s="57" t="n">
        <f aca="false">H1663*G1663</f>
        <v>648.9</v>
      </c>
      <c r="J1663" s="57" t="n">
        <f aca="false">BN1663*Parameter!$B$18</f>
        <v>0</v>
      </c>
      <c r="K1663" s="58"/>
      <c r="L1663" s="59"/>
      <c r="M1663" s="57" t="n">
        <v>0</v>
      </c>
      <c r="N1663" s="57" t="n">
        <v>1</v>
      </c>
      <c r="O1663" s="60" t="n">
        <v>42</v>
      </c>
      <c r="P1663" s="55" t="s">
        <v>168</v>
      </c>
      <c r="Q1663" s="57"/>
      <c r="R1663" s="60" t="n">
        <f aca="false">IF(BT1663=1,0,IFERROR(VLOOKUP(BR1663,'Gebinde-Kategorie'!$A$5:$M$45,13,0)+0,0))</f>
        <v>12</v>
      </c>
      <c r="S1663" s="61"/>
      <c r="T1663" s="62" t="s">
        <v>179</v>
      </c>
      <c r="U1663" s="62"/>
      <c r="V1663" s="62"/>
      <c r="W1663" s="55"/>
      <c r="X1663" s="57"/>
      <c r="Y1663" s="57"/>
      <c r="Z1663" s="55" t="n">
        <f aca="false">IF(A1663="","",IF(AND(Parameter!$B$21="Ja",ISNUMBER(W1663)),W1663,IF(BV1663="2+3",IF(ISNUMBER(SEARCH("grosser Artikel",BO1663)),2,IFERROR(VLOOKUP(BR1663,Parameter!$F$35:$G$64,2,0),2)),IF(OR(BV1663="Nein",BV1663=""),"-",BV1663))))</f>
        <v>2</v>
      </c>
      <c r="AA1663" s="62"/>
      <c r="AB1663" s="63"/>
      <c r="AC1663" s="57" t="n">
        <f aca="false">AR1663</f>
        <v>4</v>
      </c>
      <c r="AD1663" s="57" t="n">
        <f aca="false">MAX(AR1663,H1663)</f>
        <v>4</v>
      </c>
      <c r="AE1663" s="64"/>
      <c r="AF1663" s="57" t="n">
        <f aca="false">IF(LEFT(Cockpit!$C$5,1)="A",H1663,IF(CA1663=1,CB1663,IF(LEFT(Cockpit!$C$5,1)="B",AJ1663,MAX(AJ1663,H1663))))</f>
        <v>1</v>
      </c>
      <c r="AG1663" s="57" t="n">
        <f aca="false">IF(BT1663=1,0,ROUNDUP(AF1663/BS1663,0))</f>
        <v>1</v>
      </c>
      <c r="AH1663" s="59" t="n">
        <f aca="false">IF(CH1663&gt;0,CH1663*MAX(1,AF1663/X1663),IF(BT1663=1,IF(AF1663&lt;=0,0,BW1663*MAX(1,IF(H1663&gt;0,AF1663/H1663,1))),IF(R1663&gt;0,AG1663/R1663,0))/MAX(0.1,N(Parameter!$M$21)))</f>
        <v>0.0833333333333333</v>
      </c>
      <c r="AI1663" s="57" t="n">
        <f aca="false">AF1663*G1663</f>
        <v>648.9</v>
      </c>
      <c r="AJ1663" s="57" t="n">
        <f aca="false">ROUNDUP(MAX(J1663/IF(BZ1663&gt;0,BZ1663,MAX(0.1,N(Cockpit!$C$6))),CC1663)/BS1663,0)*BS1663</f>
        <v>4</v>
      </c>
      <c r="AK1663" s="58" t="n">
        <f aca="false">IF(AH1663&gt;0,J1663/AH1663,-1)</f>
        <v>0</v>
      </c>
      <c r="AL1663" s="58" t="n">
        <f aca="false">IF(AND(OR(BY1663="L1",BY1663="L23"),AH1663&gt;0),SUMIFS($AH$7:$AH$1843,$BY$7:$BY$1843,BY1663,$AK$7:$AK$1843,"&gt;"&amp;AK1663)+SUMIFS($AH$7:$AH$1843,$BY$7:$BY$1843,BY1663,$AK$7:$AK$1843,AK1663,$BQ$7:$BQ$1843,"&lt;="&amp;BQ1663),"")</f>
        <v>89.4435069761157</v>
      </c>
      <c r="AM1663" s="65" t="n">
        <f aca="false">IF(AL1663="",0,MAX(0,MIN(1,(IF(BY1663="L1",Parameter!$E$5,Parameter!$E$6+Parameter!$E$7)-(AL1663-AH1663))/AH1663)))</f>
        <v>1</v>
      </c>
      <c r="AN1663" s="57" t="n">
        <f aca="false">IF(LEFT(Cockpit!$I$5,1)="A",H1663,IF(CA1663=1,CB1663,IF(LEFT(Cockpit!$I$5,1)="B",AR1663,MAX(AR1663,H1663))))</f>
        <v>4</v>
      </c>
      <c r="AO1663" s="57" t="n">
        <f aca="false">IF(BT1663=1,0,ROUNDUP(AN1663/BS1663,0))</f>
        <v>1</v>
      </c>
      <c r="AP1663" s="59" t="n">
        <f aca="false">IF(CH1663&gt;0,CH1663*MAX(1,AN1663/X1663),IF(BT1663=1,IF(AN1663&lt;=0,0,BW1663*MAX(1,IF(H1663&gt;0,AN1663/H1663,1))),IF(R1663&gt;0,AO1663/R1663,0))/MAX(0.1,N(Parameter!$M$21)))</f>
        <v>0.0833333333333333</v>
      </c>
      <c r="AQ1663" s="57" t="n">
        <f aca="false">AN1663*G1663</f>
        <v>2595.6</v>
      </c>
      <c r="AR1663" s="57" t="n">
        <f aca="false">ROUNDUP(MAX(J1663/IF(BZ1663&gt;0,BZ1663,MAX(0.1,N(Cockpit!$I$6))),CC1663)/BS1663,0)*BS1663</f>
        <v>4</v>
      </c>
      <c r="AS1663" s="58" t="n">
        <f aca="false">IF(AP1663&gt;0,J1663/AP1663,-1)</f>
        <v>0</v>
      </c>
      <c r="AT1663" s="58" t="n">
        <f aca="false">IF(AND(OR(BY1663="L1",BY1663="L23"),AP1663&gt;0),SUMIFS($AP$7:$AP$1843,$BY$7:$BY$1843,BY1663,$AS$7:$AS$1843,"&gt;"&amp;AS1663)+SUMIFS($AP$7:$AP$1843,$BY$7:$BY$1843,BY1663,$AS$7:$AS$1843,AS1663,$BQ$7:$BQ$1843,"&lt;="&amp;BQ1663),"")</f>
        <v>134.695643728252</v>
      </c>
      <c r="AU1663" s="65" t="n">
        <f aca="false">IF(AT1663="",0,MAX(0,MIN(1,(IF(BY1663="L1",Parameter!$E$5,Parameter!$E$6+Parameter!$E$7)-(AT1663-AP1663))/AP1663)))</f>
        <v>0</v>
      </c>
      <c r="AV1663" s="57" t="n">
        <f aca="false">IF(LEFT(Cockpit!$O$5,1)="A",H1663,IF(CA1663=1,CB1663,IF(LEFT(Cockpit!$O$5,1)="B",AZ1663,MAX(AZ1663,H1663))))</f>
        <v>4</v>
      </c>
      <c r="AW1663" s="57" t="n">
        <f aca="false">IF(BT1663=1,0,ROUNDUP(AV1663/BS1663,0))</f>
        <v>1</v>
      </c>
      <c r="AX1663" s="59" t="n">
        <f aca="false">IF(CH1663&gt;0,CH1663*MAX(1,AV1663/X1663),IF(BT1663=1,IF(AV1663&lt;=0,0,BW1663*MAX(1,IF(H1663&gt;0,AV1663/H1663,1))),IF(R1663&gt;0,AW1663/R1663,0))/MAX(0.1,N(Parameter!$M$21)))</f>
        <v>0.0833333333333333</v>
      </c>
      <c r="AY1663" s="57" t="n">
        <f aca="false">AV1663*G1663</f>
        <v>2595.6</v>
      </c>
      <c r="AZ1663" s="57" t="n">
        <f aca="false">ROUNDUP(MAX(J1663/IF(BZ1663&gt;0,BZ1663,MAX(0.1,N(Cockpit!$O$6))),CC1663)/BS1663,0)*BS1663</f>
        <v>4</v>
      </c>
      <c r="BA1663" s="58" t="n">
        <f aca="false">IF(AX1663&gt;0,J1663/AX1663,-1)</f>
        <v>0</v>
      </c>
      <c r="BB1663" s="58" t="n">
        <f aca="false">IF(AND(OR(BY1663="L1",BY1663="L23"),AX1663&gt;0),SUMIFS($AX$7:$AX$1843,$BY$7:$BY$1843,BY1663,$BA$7:$BA$1843,"&gt;"&amp;BA1663)+SUMIFS($AX$7:$AX$1843,$BY$7:$BY$1843,BY1663,$BA$7:$BA$1843,BA1663,$BQ$7:$BQ$1843,"&lt;="&amp;BQ1663),"")</f>
        <v>125.525480558089</v>
      </c>
      <c r="BC1663" s="65" t="n">
        <f aca="false">IF(BB1663="",0,MAX(0,MIN(1,(IF(BY1663="L1",Parameter!$E$5,Parameter!$E$6+Parameter!$E$7)-(BB1663-AX1663))/AX1663)))</f>
        <v>0</v>
      </c>
      <c r="BD1663" s="55" t="str">
        <f aca="false">IF(AH1663&lt;=0,"",IF(BY1663="Aussen","Aussenlager",IF(BY1663="-","Nicht im Lift",IF(AM1663&gt;=1,"Lift",IF(AM1663&lt;=0,"Aussenlager","teilweise")))))</f>
        <v>Lift</v>
      </c>
      <c r="BE1663" s="55" t="str">
        <f aca="false">IF(AP1663&lt;=0,"",IF(BY1663="Aussen","Aussenlager",IF(BY1663="-","Nicht im Lift",IF(AU1663&gt;=1,"Lift",IF(AU1663&lt;=0,"Aussenlager","teilweise")))))</f>
        <v>Aussenlager</v>
      </c>
      <c r="BF1663" s="55" t="str">
        <f aca="false">IF(AX1663&lt;=0,"",IF(BY1663="Aussen","Aussenlager",IF(BY1663="-","Nicht im Lift",IF(BC1663&gt;=1,"Lift",IF(BC1663&lt;=0,"Aussenlager","teilweise")))))</f>
        <v>Aussenlager</v>
      </c>
      <c r="BG1663" s="55" t="str">
        <f aca="false">IF(A1663="","",IF(BP1663=1,"Neu; ","")&amp;IF(AND(BP1663=0,BK1663&lt;0),"negativer Bestand (Export "&amp;BK1663&amp;"); ","")&amp;IF(J1663&lt;=0,"Kein Verbrauch; ","")&amp;IF(CH1663&gt;0,"Lift "&amp;W1663&amp;" lt. Liftbericht (Fach "&amp;X1663&amp;" Stk); ",IF(BU1663=1,"Gebinde geschätzt ("&amp;T1663&amp;"); ",IF(BT1663=1,"Lose – Tablare geschätzt; ","")))&amp;IF(H1663&gt;AR1663,"Überbestand "&amp;ROUND(H1663-AR1663,0)&amp;" Stk / CHF "&amp;ROUND((H1663-AR1663)*G1663,0)&amp;"; ","")&amp;IF(AND(CA1663=1,CB1663&lt;CC1663),"MAX &lt; MB+LG; ","")&amp;IF(AND(CG1663&gt;0,CF1663*10&gt;CG1663),"zu hoch für Tablar; ","")&amp;IF(AND(BP1663=0,OR(CA1663=1,AA1663&lt;&gt;"",U1663&lt;&gt;"",V1663&lt;&gt;"",AB1663&lt;&gt;"")),"manuell übersteuert; ","")&amp;IF(AND(BT1663=0,R1663=0),"Gebinde unbekannt / Stellmass fehlt; ","")&amp;IF(AND(BT1663=0,N(V1663)&lt;=0,N(Q1663)&lt;=0),"Menge pro Gebinde fehlt (Ist = 1 Gebinde); ","")&amp;BO1663)</f>
        <v>Kein Verbrauch; Gebinde geschätzt (Mittel); Menge pro Gebinde fehlt (Ist = 1 Gebinde); nur im Artikelstamm (Bestand 23.06.2026); Neuer Art.</v>
      </c>
      <c r="BH1663" s="55"/>
      <c r="BI1663" s="55"/>
      <c r="BJ1663" s="62"/>
      <c r="BK1663" s="57" t="n">
        <v>1</v>
      </c>
      <c r="BL1663" s="57" t="n">
        <v>0</v>
      </c>
      <c r="BM1663" s="56" t="n">
        <v>0</v>
      </c>
      <c r="BN1663" s="57" t="n">
        <v>0</v>
      </c>
      <c r="BO1663" s="55" t="s">
        <v>2873</v>
      </c>
      <c r="BP1663" s="60" t="n">
        <v>0</v>
      </c>
      <c r="BQ1663" s="60" t="n">
        <v>1663</v>
      </c>
      <c r="BR1663" s="55" t="str">
        <f aca="false">IF(U1663&lt;&gt;"",UPPER(TRIM(U1663)),IF(BU1663=1,UPPER(VLOOKUP(T1663,Parameter!$I$27:$K$29,2,0)),IF(P1663="","LOSE",P1663)))</f>
        <v>S61</v>
      </c>
      <c r="BS1663" s="57" t="n">
        <f aca="false">IF(BR1663="LOSE",1,IF(N(V1663)&gt;0,V1663,IF(BU1663=1,MAX(1,N(VLOOKUP(T1663,Parameter!$I$27:$K$29,3,0)),H1663,N(N1663)),IF(N(Q1663)&gt;0,Q1663,MAX(1,H1663)))))</f>
        <v>4</v>
      </c>
      <c r="BT1663" s="60" t="n">
        <f aca="false">IF(BR1663="LOSE",1,0)</f>
        <v>0</v>
      </c>
      <c r="BU1663" s="60" t="n">
        <f aca="false">IF(AND(U1663="",OR(P1663="",P1663="LOSE"),T1663&lt;&gt;"",N(S1663)&lt;=0,ISNUMBER(MATCH(T1663,Parameter!$I$27:$I$29,0))),1,0)</f>
        <v>1</v>
      </c>
      <c r="BV1663" s="55" t="str">
        <f aca="false">IF(AND(Parameter!$B$19="Ja",E1663&lt;&gt;"",ISNUMBER(MATCH(E1663,Parameter!$I$35:$I$52,0))),VLOOKUP(E1663,Parameter!$I$35:$J$52,2,0),IFERROR(VLOOKUP(D1663,Parameter!$A$35:$C$64,2,0),"Nein"))</f>
        <v>2+3</v>
      </c>
      <c r="BW1663" s="59" t="n">
        <f aca="false">IF(BT1663=0,0,IF(N(S1663)&gt;0,S1663,IFERROR(VLOOKUP(D1663,Parameter!$A$35:$C$64,3,0)+0,0)))</f>
        <v>0</v>
      </c>
      <c r="BX1663" s="55" t="n">
        <f aca="false">IF(AA1663&lt;&gt;"",AA1663,Z1663)</f>
        <v>2</v>
      </c>
      <c r="BY1663" s="55" t="str">
        <f aca="false">IF(BX1663=1,"L1",IF(OR(BX1663=2,BX1663=3),"L23",IF(BX1663="Aussen","Aussen","-")))</f>
        <v>L23</v>
      </c>
      <c r="BZ1663" s="66" t="n">
        <f aca="false">IF(N(AB1663)&gt;0,AB1663,0)</f>
        <v>0</v>
      </c>
      <c r="CA1663" s="60" t="n">
        <f aca="false">IF(ISNUMBER(AE1663),1,0)</f>
        <v>0</v>
      </c>
      <c r="CB1663" s="57" t="n">
        <f aca="false">N(AE1663)</f>
        <v>0</v>
      </c>
      <c r="CC1663" s="57" t="n">
        <f aca="false">N(M1663)+N(N1663)</f>
        <v>1</v>
      </c>
      <c r="CD1663" s="57" t="n">
        <f aca="false">ROUNDUP(H1663/BS1663,0)</f>
        <v>1</v>
      </c>
      <c r="CE1663" s="57" t="n">
        <f aca="false">ROUNDUP(CB1663/BS1663,0)</f>
        <v>0</v>
      </c>
      <c r="CF1663" s="60" t="n">
        <f aca="false">IF(BT1663=1,0,IFERROR(VLOOKUP(BR1663,'Gebinde-Kategorie'!$A$5:$M$45,5,0)+0,0))</f>
        <v>11</v>
      </c>
      <c r="CG1663" s="60" t="n">
        <f aca="false">IFERROR(IF(OR(BX1663=1,BX1663=2,BX1663=3),N(INDEX(Parameter!$I$5:$I$7,BX1663)),0),0)</f>
        <v>0</v>
      </c>
      <c r="CH1663" s="59" t="n">
        <f aca="false">IF(AND(Parameter!$B$21="Ja",ISNUMBER(W1663),N(X1663)&gt;0),IFERROR(N(INDEX(Parameter!$L$5:$L$7,W1663))*INDEX(Parameter!$E$5:$E$7,W1663)*X1663/SUMIFS($X$7:$X$1843,$W$7:$W$1843,W1663),0),0)</f>
        <v>0</v>
      </c>
    </row>
    <row r="1664" customFormat="false" ht="15" hidden="false" customHeight="false" outlineLevel="0" collapsed="false">
      <c r="A1664" s="55" t="s">
        <v>2889</v>
      </c>
      <c r="B1664" s="55" t="s">
        <v>698</v>
      </c>
      <c r="C1664" s="55" t="s">
        <v>164</v>
      </c>
      <c r="D1664" s="55" t="s">
        <v>173</v>
      </c>
      <c r="E1664" s="55"/>
      <c r="F1664" s="55"/>
      <c r="G1664" s="56" t="n">
        <v>648.9</v>
      </c>
      <c r="H1664" s="57" t="n">
        <f aca="false">MAX(0,IF(AND(Parameter!$B$21="Ja",ISNUMBER(Y1664)),Y1664,IF(Parameter!$B$20="Jahresanfang 2025 + Export",BL1664+BK1664,BK1664)))</f>
        <v>1</v>
      </c>
      <c r="I1664" s="57" t="n">
        <f aca="false">H1664*G1664</f>
        <v>648.9</v>
      </c>
      <c r="J1664" s="57" t="n">
        <f aca="false">BN1664*Parameter!$B$18</f>
        <v>0</v>
      </c>
      <c r="K1664" s="58"/>
      <c r="L1664" s="59"/>
      <c r="M1664" s="57" t="n">
        <v>0</v>
      </c>
      <c r="N1664" s="57" t="n">
        <v>1</v>
      </c>
      <c r="O1664" s="60" t="n">
        <v>42</v>
      </c>
      <c r="P1664" s="55" t="s">
        <v>168</v>
      </c>
      <c r="Q1664" s="57"/>
      <c r="R1664" s="60" t="n">
        <f aca="false">IF(BT1664=1,0,IFERROR(VLOOKUP(BR1664,'Gebinde-Kategorie'!$A$5:$M$45,13,0)+0,0))</f>
        <v>12</v>
      </c>
      <c r="S1664" s="61"/>
      <c r="T1664" s="62" t="s">
        <v>179</v>
      </c>
      <c r="U1664" s="62"/>
      <c r="V1664" s="62"/>
      <c r="W1664" s="55"/>
      <c r="X1664" s="57"/>
      <c r="Y1664" s="57"/>
      <c r="Z1664" s="55" t="n">
        <f aca="false">IF(A1664="","",IF(AND(Parameter!$B$21="Ja",ISNUMBER(W1664)),W1664,IF(BV1664="2+3",IF(ISNUMBER(SEARCH("grosser Artikel",BO1664)),2,IFERROR(VLOOKUP(BR1664,Parameter!$F$35:$G$64,2,0),2)),IF(OR(BV1664="Nein",BV1664=""),"-",BV1664))))</f>
        <v>2</v>
      </c>
      <c r="AA1664" s="62"/>
      <c r="AB1664" s="63"/>
      <c r="AC1664" s="57" t="n">
        <f aca="false">AR1664</f>
        <v>4</v>
      </c>
      <c r="AD1664" s="57" t="n">
        <f aca="false">MAX(AR1664,H1664)</f>
        <v>4</v>
      </c>
      <c r="AE1664" s="64"/>
      <c r="AF1664" s="57" t="n">
        <f aca="false">IF(LEFT(Cockpit!$C$5,1)="A",H1664,IF(CA1664=1,CB1664,IF(LEFT(Cockpit!$C$5,1)="B",AJ1664,MAX(AJ1664,H1664))))</f>
        <v>1</v>
      </c>
      <c r="AG1664" s="57" t="n">
        <f aca="false">IF(BT1664=1,0,ROUNDUP(AF1664/BS1664,0))</f>
        <v>1</v>
      </c>
      <c r="AH1664" s="59" t="n">
        <f aca="false">IF(CH1664&gt;0,CH1664*MAX(1,AF1664/X1664),IF(BT1664=1,IF(AF1664&lt;=0,0,BW1664*MAX(1,IF(H1664&gt;0,AF1664/H1664,1))),IF(R1664&gt;0,AG1664/R1664,0))/MAX(0.1,N(Parameter!$M$21)))</f>
        <v>0.0833333333333333</v>
      </c>
      <c r="AI1664" s="57" t="n">
        <f aca="false">AF1664*G1664</f>
        <v>648.9</v>
      </c>
      <c r="AJ1664" s="57" t="n">
        <f aca="false">ROUNDUP(MAX(J1664/IF(BZ1664&gt;0,BZ1664,MAX(0.1,N(Cockpit!$C$6))),CC1664)/BS1664,0)*BS1664</f>
        <v>4</v>
      </c>
      <c r="AK1664" s="58" t="n">
        <f aca="false">IF(AH1664&gt;0,J1664/AH1664,-1)</f>
        <v>0</v>
      </c>
      <c r="AL1664" s="58" t="n">
        <f aca="false">IF(AND(OR(BY1664="L1",BY1664="L23"),AH1664&gt;0),SUMIFS($AH$7:$AH$1843,$BY$7:$BY$1843,BY1664,$AK$7:$AK$1843,"&gt;"&amp;AK1664)+SUMIFS($AH$7:$AH$1843,$BY$7:$BY$1843,BY1664,$AK$7:$AK$1843,AK1664,$BQ$7:$BQ$1843,"&lt;="&amp;BQ1664),"")</f>
        <v>89.526840309449</v>
      </c>
      <c r="AM1664" s="65" t="n">
        <f aca="false">IF(AL1664="",0,MAX(0,MIN(1,(IF(BY1664="L1",Parameter!$E$5,Parameter!$E$6+Parameter!$E$7)-(AL1664-AH1664))/AH1664)))</f>
        <v>1</v>
      </c>
      <c r="AN1664" s="57" t="n">
        <f aca="false">IF(LEFT(Cockpit!$I$5,1)="A",H1664,IF(CA1664=1,CB1664,IF(LEFT(Cockpit!$I$5,1)="B",AR1664,MAX(AR1664,H1664))))</f>
        <v>4</v>
      </c>
      <c r="AO1664" s="57" t="n">
        <f aca="false">IF(BT1664=1,0,ROUNDUP(AN1664/BS1664,0))</f>
        <v>1</v>
      </c>
      <c r="AP1664" s="59" t="n">
        <f aca="false">IF(CH1664&gt;0,CH1664*MAX(1,AN1664/X1664),IF(BT1664=1,IF(AN1664&lt;=0,0,BW1664*MAX(1,IF(H1664&gt;0,AN1664/H1664,1))),IF(R1664&gt;0,AO1664/R1664,0))/MAX(0.1,N(Parameter!$M$21)))</f>
        <v>0.0833333333333333</v>
      </c>
      <c r="AQ1664" s="57" t="n">
        <f aca="false">AN1664*G1664</f>
        <v>2595.6</v>
      </c>
      <c r="AR1664" s="57" t="n">
        <f aca="false">ROUNDUP(MAX(J1664/IF(BZ1664&gt;0,BZ1664,MAX(0.1,N(Cockpit!$I$6))),CC1664)/BS1664,0)*BS1664</f>
        <v>4</v>
      </c>
      <c r="AS1664" s="58" t="n">
        <f aca="false">IF(AP1664&gt;0,J1664/AP1664,-1)</f>
        <v>0</v>
      </c>
      <c r="AT1664" s="58" t="n">
        <f aca="false">IF(AND(OR(BY1664="L1",BY1664="L23"),AP1664&gt;0),SUMIFS($AP$7:$AP$1843,$BY$7:$BY$1843,BY1664,$AS$7:$AS$1843,"&gt;"&amp;AS1664)+SUMIFS($AP$7:$AP$1843,$BY$7:$BY$1843,BY1664,$AS$7:$AS$1843,AS1664,$BQ$7:$BQ$1843,"&lt;="&amp;BQ1664),"")</f>
        <v>134.778977061586</v>
      </c>
      <c r="AU1664" s="65" t="n">
        <f aca="false">IF(AT1664="",0,MAX(0,MIN(1,(IF(BY1664="L1",Parameter!$E$5,Parameter!$E$6+Parameter!$E$7)-(AT1664-AP1664))/AP1664)))</f>
        <v>0</v>
      </c>
      <c r="AV1664" s="57" t="n">
        <f aca="false">IF(LEFT(Cockpit!$O$5,1)="A",H1664,IF(CA1664=1,CB1664,IF(LEFT(Cockpit!$O$5,1)="B",AZ1664,MAX(AZ1664,H1664))))</f>
        <v>4</v>
      </c>
      <c r="AW1664" s="57" t="n">
        <f aca="false">IF(BT1664=1,0,ROUNDUP(AV1664/BS1664,0))</f>
        <v>1</v>
      </c>
      <c r="AX1664" s="59" t="n">
        <f aca="false">IF(CH1664&gt;0,CH1664*MAX(1,AV1664/X1664),IF(BT1664=1,IF(AV1664&lt;=0,0,BW1664*MAX(1,IF(H1664&gt;0,AV1664/H1664,1))),IF(R1664&gt;0,AW1664/R1664,0))/MAX(0.1,N(Parameter!$M$21)))</f>
        <v>0.0833333333333333</v>
      </c>
      <c r="AY1664" s="57" t="n">
        <f aca="false">AV1664*G1664</f>
        <v>2595.6</v>
      </c>
      <c r="AZ1664" s="57" t="n">
        <f aca="false">ROUNDUP(MAX(J1664/IF(BZ1664&gt;0,BZ1664,MAX(0.1,N(Cockpit!$O$6))),CC1664)/BS1664,0)*BS1664</f>
        <v>4</v>
      </c>
      <c r="BA1664" s="58" t="n">
        <f aca="false">IF(AX1664&gt;0,J1664/AX1664,-1)</f>
        <v>0</v>
      </c>
      <c r="BB1664" s="58" t="n">
        <f aca="false">IF(AND(OR(BY1664="L1",BY1664="L23"),AX1664&gt;0),SUMIFS($AX$7:$AX$1843,$BY$7:$BY$1843,BY1664,$BA$7:$BA$1843,"&gt;"&amp;BA1664)+SUMIFS($AX$7:$AX$1843,$BY$7:$BY$1843,BY1664,$BA$7:$BA$1843,BA1664,$BQ$7:$BQ$1843,"&lt;="&amp;BQ1664),"")</f>
        <v>125.608813891423</v>
      </c>
      <c r="BC1664" s="65" t="n">
        <f aca="false">IF(BB1664="",0,MAX(0,MIN(1,(IF(BY1664="L1",Parameter!$E$5,Parameter!$E$6+Parameter!$E$7)-(BB1664-AX1664))/AX1664)))</f>
        <v>0</v>
      </c>
      <c r="BD1664" s="55" t="str">
        <f aca="false">IF(AH1664&lt;=0,"",IF(BY1664="Aussen","Aussenlager",IF(BY1664="-","Nicht im Lift",IF(AM1664&gt;=1,"Lift",IF(AM1664&lt;=0,"Aussenlager","teilweise")))))</f>
        <v>Lift</v>
      </c>
      <c r="BE1664" s="55" t="str">
        <f aca="false">IF(AP1664&lt;=0,"",IF(BY1664="Aussen","Aussenlager",IF(BY1664="-","Nicht im Lift",IF(AU1664&gt;=1,"Lift",IF(AU1664&lt;=0,"Aussenlager","teilweise")))))</f>
        <v>Aussenlager</v>
      </c>
      <c r="BF1664" s="55" t="str">
        <f aca="false">IF(AX1664&lt;=0,"",IF(BY1664="Aussen","Aussenlager",IF(BY1664="-","Nicht im Lift",IF(BC1664&gt;=1,"Lift",IF(BC1664&lt;=0,"Aussenlager","teilweise")))))</f>
        <v>Aussenlager</v>
      </c>
      <c r="BG1664" s="55" t="str">
        <f aca="false">IF(A1664="","",IF(BP1664=1,"Neu; ","")&amp;IF(AND(BP1664=0,BK1664&lt;0),"negativer Bestand (Export "&amp;BK1664&amp;"); ","")&amp;IF(J1664&lt;=0,"Kein Verbrauch; ","")&amp;IF(CH1664&gt;0,"Lift "&amp;W1664&amp;" lt. Liftbericht (Fach "&amp;X1664&amp;" Stk); ",IF(BU1664=1,"Gebinde geschätzt ("&amp;T1664&amp;"); ",IF(BT1664=1,"Lose – Tablare geschätzt; ","")))&amp;IF(H1664&gt;AR1664,"Überbestand "&amp;ROUND(H1664-AR1664,0)&amp;" Stk / CHF "&amp;ROUND((H1664-AR1664)*G1664,0)&amp;"; ","")&amp;IF(AND(CA1664=1,CB1664&lt;CC1664),"MAX &lt; MB+LG; ","")&amp;IF(AND(CG1664&gt;0,CF1664*10&gt;CG1664),"zu hoch für Tablar; ","")&amp;IF(AND(BP1664=0,OR(CA1664=1,AA1664&lt;&gt;"",U1664&lt;&gt;"",V1664&lt;&gt;"",AB1664&lt;&gt;"")),"manuell übersteuert; ","")&amp;IF(AND(BT1664=0,R1664=0),"Gebinde unbekannt / Stellmass fehlt; ","")&amp;IF(AND(BT1664=0,N(V1664)&lt;=0,N(Q1664)&lt;=0),"Menge pro Gebinde fehlt (Ist = 1 Gebinde); ","")&amp;BO1664)</f>
        <v>Kein Verbrauch; Gebinde geschätzt (Mittel); Menge pro Gebinde fehlt (Ist = 1 Gebinde); nur im Artikelstamm (Bestand 23.06.2026); Neuer Art.</v>
      </c>
      <c r="BH1664" s="55"/>
      <c r="BI1664" s="55"/>
      <c r="BJ1664" s="62"/>
      <c r="BK1664" s="57" t="n">
        <v>1</v>
      </c>
      <c r="BL1664" s="57" t="n">
        <v>0</v>
      </c>
      <c r="BM1664" s="56" t="n">
        <v>0</v>
      </c>
      <c r="BN1664" s="57" t="n">
        <v>0</v>
      </c>
      <c r="BO1664" s="55" t="s">
        <v>2873</v>
      </c>
      <c r="BP1664" s="60" t="n">
        <v>0</v>
      </c>
      <c r="BQ1664" s="60" t="n">
        <v>1664</v>
      </c>
      <c r="BR1664" s="55" t="str">
        <f aca="false">IF(U1664&lt;&gt;"",UPPER(TRIM(U1664)),IF(BU1664=1,UPPER(VLOOKUP(T1664,Parameter!$I$27:$K$29,2,0)),IF(P1664="","LOSE",P1664)))</f>
        <v>S61</v>
      </c>
      <c r="BS1664" s="57" t="n">
        <f aca="false">IF(BR1664="LOSE",1,IF(N(V1664)&gt;0,V1664,IF(BU1664=1,MAX(1,N(VLOOKUP(T1664,Parameter!$I$27:$K$29,3,0)),H1664,N(N1664)),IF(N(Q1664)&gt;0,Q1664,MAX(1,H1664)))))</f>
        <v>4</v>
      </c>
      <c r="BT1664" s="60" t="n">
        <f aca="false">IF(BR1664="LOSE",1,0)</f>
        <v>0</v>
      </c>
      <c r="BU1664" s="60" t="n">
        <f aca="false">IF(AND(U1664="",OR(P1664="",P1664="LOSE"),T1664&lt;&gt;"",N(S1664)&lt;=0,ISNUMBER(MATCH(T1664,Parameter!$I$27:$I$29,0))),1,0)</f>
        <v>1</v>
      </c>
      <c r="BV1664" s="55" t="str">
        <f aca="false">IF(AND(Parameter!$B$19="Ja",E1664&lt;&gt;"",ISNUMBER(MATCH(E1664,Parameter!$I$35:$I$52,0))),VLOOKUP(E1664,Parameter!$I$35:$J$52,2,0),IFERROR(VLOOKUP(D1664,Parameter!$A$35:$C$64,2,0),"Nein"))</f>
        <v>2+3</v>
      </c>
      <c r="BW1664" s="59" t="n">
        <f aca="false">IF(BT1664=0,0,IF(N(S1664)&gt;0,S1664,IFERROR(VLOOKUP(D1664,Parameter!$A$35:$C$64,3,0)+0,0)))</f>
        <v>0</v>
      </c>
      <c r="BX1664" s="55" t="n">
        <f aca="false">IF(AA1664&lt;&gt;"",AA1664,Z1664)</f>
        <v>2</v>
      </c>
      <c r="BY1664" s="55" t="str">
        <f aca="false">IF(BX1664=1,"L1",IF(OR(BX1664=2,BX1664=3),"L23",IF(BX1664="Aussen","Aussen","-")))</f>
        <v>L23</v>
      </c>
      <c r="BZ1664" s="66" t="n">
        <f aca="false">IF(N(AB1664)&gt;0,AB1664,0)</f>
        <v>0</v>
      </c>
      <c r="CA1664" s="60" t="n">
        <f aca="false">IF(ISNUMBER(AE1664),1,0)</f>
        <v>0</v>
      </c>
      <c r="CB1664" s="57" t="n">
        <f aca="false">N(AE1664)</f>
        <v>0</v>
      </c>
      <c r="CC1664" s="57" t="n">
        <f aca="false">N(M1664)+N(N1664)</f>
        <v>1</v>
      </c>
      <c r="CD1664" s="57" t="n">
        <f aca="false">ROUNDUP(H1664/BS1664,0)</f>
        <v>1</v>
      </c>
      <c r="CE1664" s="57" t="n">
        <f aca="false">ROUNDUP(CB1664/BS1664,0)</f>
        <v>0</v>
      </c>
      <c r="CF1664" s="60" t="n">
        <f aca="false">IF(BT1664=1,0,IFERROR(VLOOKUP(BR1664,'Gebinde-Kategorie'!$A$5:$M$45,5,0)+0,0))</f>
        <v>11</v>
      </c>
      <c r="CG1664" s="60" t="n">
        <f aca="false">IFERROR(IF(OR(BX1664=1,BX1664=2,BX1664=3),N(INDEX(Parameter!$I$5:$I$7,BX1664)),0),0)</f>
        <v>0</v>
      </c>
      <c r="CH1664" s="59" t="n">
        <f aca="false">IF(AND(Parameter!$B$21="Ja",ISNUMBER(W1664),N(X1664)&gt;0),IFERROR(N(INDEX(Parameter!$L$5:$L$7,W1664))*INDEX(Parameter!$E$5:$E$7,W1664)*X1664/SUMIFS($X$7:$X$1843,$W$7:$W$1843,W1664),0),0)</f>
        <v>0</v>
      </c>
    </row>
    <row r="1665" customFormat="false" ht="15" hidden="false" customHeight="false" outlineLevel="0" collapsed="false">
      <c r="A1665" s="55" t="s">
        <v>2890</v>
      </c>
      <c r="B1665" s="55" t="s">
        <v>339</v>
      </c>
      <c r="C1665" s="55" t="s">
        <v>456</v>
      </c>
      <c r="D1665" s="55" t="s">
        <v>173</v>
      </c>
      <c r="E1665" s="55"/>
      <c r="F1665" s="55"/>
      <c r="G1665" s="56" t="n">
        <v>338</v>
      </c>
      <c r="H1665" s="57" t="n">
        <f aca="false">MAX(0,IF(AND(Parameter!$B$21="Ja",ISNUMBER(Y1665)),Y1665,IF(Parameter!$B$20="Jahresanfang 2025 + Export",BL1665+BK1665,BK1665)))</f>
        <v>2</v>
      </c>
      <c r="I1665" s="57" t="n">
        <f aca="false">H1665*G1665</f>
        <v>676</v>
      </c>
      <c r="J1665" s="57" t="n">
        <f aca="false">BN1665*Parameter!$B$18</f>
        <v>0</v>
      </c>
      <c r="K1665" s="58"/>
      <c r="L1665" s="59"/>
      <c r="M1665" s="57" t="n">
        <v>0</v>
      </c>
      <c r="N1665" s="57" t="n">
        <v>2</v>
      </c>
      <c r="O1665" s="60" t="n">
        <v>21</v>
      </c>
      <c r="P1665" s="55" t="s">
        <v>168</v>
      </c>
      <c r="Q1665" s="57"/>
      <c r="R1665" s="60" t="n">
        <f aca="false">IF(BT1665=1,0,IFERROR(VLOOKUP(BR1665,'Gebinde-Kategorie'!$A$5:$M$45,13,0)+0,0))</f>
        <v>26</v>
      </c>
      <c r="S1665" s="61"/>
      <c r="T1665" s="62" t="s">
        <v>275</v>
      </c>
      <c r="U1665" s="62"/>
      <c r="V1665" s="62"/>
      <c r="W1665" s="55"/>
      <c r="X1665" s="57"/>
      <c r="Y1665" s="57"/>
      <c r="Z1665" s="55" t="n">
        <f aca="false">IF(A1665="","",IF(AND(Parameter!$B$21="Ja",ISNUMBER(W1665)),W1665,IF(BV1665="2+3",IF(ISNUMBER(SEARCH("grosser Artikel",BO1665)),2,IFERROR(VLOOKUP(BR1665,Parameter!$F$35:$G$64,2,0),2)),IF(OR(BV1665="Nein",BV1665=""),"-",BV1665))))</f>
        <v>3</v>
      </c>
      <c r="AA1665" s="62"/>
      <c r="AB1665" s="63"/>
      <c r="AC1665" s="57" t="n">
        <f aca="false">AR1665</f>
        <v>20</v>
      </c>
      <c r="AD1665" s="57" t="n">
        <f aca="false">MAX(AR1665,H1665)</f>
        <v>20</v>
      </c>
      <c r="AE1665" s="64"/>
      <c r="AF1665" s="57" t="n">
        <f aca="false">IF(LEFT(Cockpit!$C$5,1)="A",H1665,IF(CA1665=1,CB1665,IF(LEFT(Cockpit!$C$5,1)="B",AJ1665,MAX(AJ1665,H1665))))</f>
        <v>2</v>
      </c>
      <c r="AG1665" s="57" t="n">
        <f aca="false">IF(BT1665=1,0,ROUNDUP(AF1665/BS1665,0))</f>
        <v>1</v>
      </c>
      <c r="AH1665" s="59" t="n">
        <f aca="false">IF(CH1665&gt;0,CH1665*MAX(1,AF1665/X1665),IF(BT1665=1,IF(AF1665&lt;=0,0,BW1665*MAX(1,IF(H1665&gt;0,AF1665/H1665,1))),IF(R1665&gt;0,AG1665/R1665,0))/MAX(0.1,N(Parameter!$M$21)))</f>
        <v>0.0384615384615385</v>
      </c>
      <c r="AI1665" s="57" t="n">
        <f aca="false">AF1665*G1665</f>
        <v>676</v>
      </c>
      <c r="AJ1665" s="57" t="n">
        <f aca="false">ROUNDUP(MAX(J1665/IF(BZ1665&gt;0,BZ1665,MAX(0.1,N(Cockpit!$C$6))),CC1665)/BS1665,0)*BS1665</f>
        <v>20</v>
      </c>
      <c r="AK1665" s="58" t="n">
        <f aca="false">IF(AH1665&gt;0,J1665/AH1665,-1)</f>
        <v>0</v>
      </c>
      <c r="AL1665" s="58" t="n">
        <f aca="false">IF(AND(OR(BY1665="L1",BY1665="L23"),AH1665&gt;0),SUMIFS($AH$7:$AH$1843,$BY$7:$BY$1843,BY1665,$AK$7:$AK$1843,"&gt;"&amp;AK1665)+SUMIFS($AH$7:$AH$1843,$BY$7:$BY$1843,BY1665,$AK$7:$AK$1843,AK1665,$BQ$7:$BQ$1843,"&lt;="&amp;BQ1665),"")</f>
        <v>89.5653018479106</v>
      </c>
      <c r="AM1665" s="65" t="n">
        <f aca="false">IF(AL1665="",0,MAX(0,MIN(1,(IF(BY1665="L1",Parameter!$E$5,Parameter!$E$6+Parameter!$E$7)-(AL1665-AH1665))/AH1665)))</f>
        <v>1</v>
      </c>
      <c r="AN1665" s="57" t="n">
        <f aca="false">IF(LEFT(Cockpit!$I$5,1)="A",H1665,IF(CA1665=1,CB1665,IF(LEFT(Cockpit!$I$5,1)="B",AR1665,MAX(AR1665,H1665))))</f>
        <v>20</v>
      </c>
      <c r="AO1665" s="57" t="n">
        <f aca="false">IF(BT1665=1,0,ROUNDUP(AN1665/BS1665,0))</f>
        <v>1</v>
      </c>
      <c r="AP1665" s="59" t="n">
        <f aca="false">IF(CH1665&gt;0,CH1665*MAX(1,AN1665/X1665),IF(BT1665=1,IF(AN1665&lt;=0,0,BW1665*MAX(1,IF(H1665&gt;0,AN1665/H1665,1))),IF(R1665&gt;0,AO1665/R1665,0))/MAX(0.1,N(Parameter!$M$21)))</f>
        <v>0.0384615384615385</v>
      </c>
      <c r="AQ1665" s="57" t="n">
        <f aca="false">AN1665*G1665</f>
        <v>6760</v>
      </c>
      <c r="AR1665" s="57" t="n">
        <f aca="false">ROUNDUP(MAX(J1665/IF(BZ1665&gt;0,BZ1665,MAX(0.1,N(Cockpit!$I$6))),CC1665)/BS1665,0)*BS1665</f>
        <v>20</v>
      </c>
      <c r="AS1665" s="58" t="n">
        <f aca="false">IF(AP1665&gt;0,J1665/AP1665,-1)</f>
        <v>0</v>
      </c>
      <c r="AT1665" s="58" t="n">
        <f aca="false">IF(AND(OR(BY1665="L1",BY1665="L23"),AP1665&gt;0),SUMIFS($AP$7:$AP$1843,$BY$7:$BY$1843,BY1665,$AS$7:$AS$1843,"&gt;"&amp;AS1665)+SUMIFS($AP$7:$AP$1843,$BY$7:$BY$1843,BY1665,$AS$7:$AS$1843,AS1665,$BQ$7:$BQ$1843,"&lt;="&amp;BQ1665),"")</f>
        <v>134.817438600047</v>
      </c>
      <c r="AU1665" s="65" t="n">
        <f aca="false">IF(AT1665="",0,MAX(0,MIN(1,(IF(BY1665="L1",Parameter!$E$5,Parameter!$E$6+Parameter!$E$7)-(AT1665-AP1665))/AP1665)))</f>
        <v>0</v>
      </c>
      <c r="AV1665" s="57" t="n">
        <f aca="false">IF(LEFT(Cockpit!$O$5,1)="A",H1665,IF(CA1665=1,CB1665,IF(LEFT(Cockpit!$O$5,1)="B",AZ1665,MAX(AZ1665,H1665))))</f>
        <v>20</v>
      </c>
      <c r="AW1665" s="57" t="n">
        <f aca="false">IF(BT1665=1,0,ROUNDUP(AV1665/BS1665,0))</f>
        <v>1</v>
      </c>
      <c r="AX1665" s="59" t="n">
        <f aca="false">IF(CH1665&gt;0,CH1665*MAX(1,AV1665/X1665),IF(BT1665=1,IF(AV1665&lt;=0,0,BW1665*MAX(1,IF(H1665&gt;0,AV1665/H1665,1))),IF(R1665&gt;0,AW1665/R1665,0))/MAX(0.1,N(Parameter!$M$21)))</f>
        <v>0.0384615384615385</v>
      </c>
      <c r="AY1665" s="57" t="n">
        <f aca="false">AV1665*G1665</f>
        <v>6760</v>
      </c>
      <c r="AZ1665" s="57" t="n">
        <f aca="false">ROUNDUP(MAX(J1665/IF(BZ1665&gt;0,BZ1665,MAX(0.1,N(Cockpit!$O$6))),CC1665)/BS1665,0)*BS1665</f>
        <v>20</v>
      </c>
      <c r="BA1665" s="58" t="n">
        <f aca="false">IF(AX1665&gt;0,J1665/AX1665,-1)</f>
        <v>0</v>
      </c>
      <c r="BB1665" s="58" t="n">
        <f aca="false">IF(AND(OR(BY1665="L1",BY1665="L23"),AX1665&gt;0),SUMIFS($AX$7:$AX$1843,$BY$7:$BY$1843,BY1665,$BA$7:$BA$1843,"&gt;"&amp;BA1665)+SUMIFS($AX$7:$AX$1843,$BY$7:$BY$1843,BY1665,$BA$7:$BA$1843,BA1665,$BQ$7:$BQ$1843,"&lt;="&amp;BQ1665),"")</f>
        <v>125.647275429884</v>
      </c>
      <c r="BC1665" s="65" t="n">
        <f aca="false">IF(BB1665="",0,MAX(0,MIN(1,(IF(BY1665="L1",Parameter!$E$5,Parameter!$E$6+Parameter!$E$7)-(BB1665-AX1665))/AX1665)))</f>
        <v>0</v>
      </c>
      <c r="BD1665" s="55" t="str">
        <f aca="false">IF(AH1665&lt;=0,"",IF(BY1665="Aussen","Aussenlager",IF(BY1665="-","Nicht im Lift",IF(AM1665&gt;=1,"Lift",IF(AM1665&lt;=0,"Aussenlager","teilweise")))))</f>
        <v>Lift</v>
      </c>
      <c r="BE1665" s="55" t="str">
        <f aca="false">IF(AP1665&lt;=0,"",IF(BY1665="Aussen","Aussenlager",IF(BY1665="-","Nicht im Lift",IF(AU1665&gt;=1,"Lift",IF(AU1665&lt;=0,"Aussenlager","teilweise")))))</f>
        <v>Aussenlager</v>
      </c>
      <c r="BF1665" s="55" t="str">
        <f aca="false">IF(AX1665&lt;=0,"",IF(BY1665="Aussen","Aussenlager",IF(BY1665="-","Nicht im Lift",IF(BC1665&gt;=1,"Lift",IF(BC1665&lt;=0,"Aussenlager","teilweise")))))</f>
        <v>Aussenlager</v>
      </c>
      <c r="BG1665" s="55" t="str">
        <f aca="false">IF(A1665="","",IF(BP1665=1,"Neu; ","")&amp;IF(AND(BP1665=0,BK1665&lt;0),"negativer Bestand (Export "&amp;BK1665&amp;"); ","")&amp;IF(J1665&lt;=0,"Kein Verbrauch; ","")&amp;IF(CH1665&gt;0,"Lift "&amp;W1665&amp;" lt. Liftbericht (Fach "&amp;X1665&amp;" Stk); ",IF(BU1665=1,"Gebinde geschätzt ("&amp;T1665&amp;"); ",IF(BT1665=1,"Lose – Tablare geschätzt; ","")))&amp;IF(H1665&gt;AR1665,"Überbestand "&amp;ROUND(H1665-AR1665,0)&amp;" Stk / CHF "&amp;ROUND((H1665-AR1665)*G1665,0)&amp;"; ","")&amp;IF(AND(CA1665=1,CB1665&lt;CC1665),"MAX &lt; MB+LG; ","")&amp;IF(AND(CG1665&gt;0,CF1665*10&gt;CG1665),"zu hoch für Tablar; ","")&amp;IF(AND(BP1665=0,OR(CA1665=1,AA1665&lt;&gt;"",U1665&lt;&gt;"",V1665&lt;&gt;"",AB1665&lt;&gt;"")),"manuell übersteuert; ","")&amp;IF(AND(BT1665=0,R1665=0),"Gebinde unbekannt / Stellmass fehlt; ","")&amp;IF(AND(BT1665=0,N(V1665)&lt;=0,N(Q1665)&lt;=0),"Menge pro Gebinde fehlt (Ist = 1 Gebinde); ","")&amp;BO1665)</f>
        <v>Kein Verbrauch; Gebinde geschätzt (Klein); Menge pro Gebinde fehlt (Ist = 1 Gebinde); nur im Artikelstamm (Bestand 23.06.2026)</v>
      </c>
      <c r="BH1665" s="55"/>
      <c r="BI1665" s="55"/>
      <c r="BJ1665" s="62"/>
      <c r="BK1665" s="57" t="n">
        <v>2</v>
      </c>
      <c r="BL1665" s="57" t="n">
        <v>0</v>
      </c>
      <c r="BM1665" s="56" t="n">
        <v>0</v>
      </c>
      <c r="BN1665" s="57" t="n">
        <v>0</v>
      </c>
      <c r="BO1665" s="55" t="s">
        <v>2575</v>
      </c>
      <c r="BP1665" s="60" t="n">
        <v>0</v>
      </c>
      <c r="BQ1665" s="60" t="n">
        <v>1665</v>
      </c>
      <c r="BR1665" s="55" t="str">
        <f aca="false">IF(U1665&lt;&gt;"",UPPER(TRIM(U1665)),IF(BU1665=1,UPPER(VLOOKUP(T1665,Parameter!$I$27:$K$29,2,0)),IF(P1665="","LOSE",P1665)))</f>
        <v>S51</v>
      </c>
      <c r="BS1665" s="57" t="n">
        <f aca="false">IF(BR1665="LOSE",1,IF(N(V1665)&gt;0,V1665,IF(BU1665=1,MAX(1,N(VLOOKUP(T1665,Parameter!$I$27:$K$29,3,0)),H1665,N(N1665)),IF(N(Q1665)&gt;0,Q1665,MAX(1,H1665)))))</f>
        <v>20</v>
      </c>
      <c r="BT1665" s="60" t="n">
        <f aca="false">IF(BR1665="LOSE",1,0)</f>
        <v>0</v>
      </c>
      <c r="BU1665" s="60" t="n">
        <f aca="false">IF(AND(U1665="",OR(P1665="",P1665="LOSE"),T1665&lt;&gt;"",N(S1665)&lt;=0,ISNUMBER(MATCH(T1665,Parameter!$I$27:$I$29,0))),1,0)</f>
        <v>1</v>
      </c>
      <c r="BV1665" s="55" t="str">
        <f aca="false">IF(AND(Parameter!$B$19="Ja",E1665&lt;&gt;"",ISNUMBER(MATCH(E1665,Parameter!$I$35:$I$52,0))),VLOOKUP(E1665,Parameter!$I$35:$J$52,2,0),IFERROR(VLOOKUP(D1665,Parameter!$A$35:$C$64,2,0),"Nein"))</f>
        <v>2+3</v>
      </c>
      <c r="BW1665" s="59" t="n">
        <f aca="false">IF(BT1665=0,0,IF(N(S1665)&gt;0,S1665,IFERROR(VLOOKUP(D1665,Parameter!$A$35:$C$64,3,0)+0,0)))</f>
        <v>0</v>
      </c>
      <c r="BX1665" s="55" t="n">
        <f aca="false">IF(AA1665&lt;&gt;"",AA1665,Z1665)</f>
        <v>3</v>
      </c>
      <c r="BY1665" s="55" t="str">
        <f aca="false">IF(BX1665=1,"L1",IF(OR(BX1665=2,BX1665=3),"L23",IF(BX1665="Aussen","Aussen","-")))</f>
        <v>L23</v>
      </c>
      <c r="BZ1665" s="66" t="n">
        <f aca="false">IF(N(AB1665)&gt;0,AB1665,0)</f>
        <v>0</v>
      </c>
      <c r="CA1665" s="60" t="n">
        <f aca="false">IF(ISNUMBER(AE1665),1,0)</f>
        <v>0</v>
      </c>
      <c r="CB1665" s="57" t="n">
        <f aca="false">N(AE1665)</f>
        <v>0</v>
      </c>
      <c r="CC1665" s="57" t="n">
        <f aca="false">N(M1665)+N(N1665)</f>
        <v>2</v>
      </c>
      <c r="CD1665" s="57" t="n">
        <f aca="false">ROUNDUP(H1665/BS1665,0)</f>
        <v>1</v>
      </c>
      <c r="CE1665" s="57" t="n">
        <f aca="false">ROUNDUP(CB1665/BS1665,0)</f>
        <v>0</v>
      </c>
      <c r="CF1665" s="60" t="n">
        <f aca="false">IF(BT1665=1,0,IFERROR(VLOOKUP(BR1665,'Gebinde-Kategorie'!$A$5:$M$45,5,0)+0,0))</f>
        <v>11</v>
      </c>
      <c r="CG1665" s="60" t="n">
        <f aca="false">IFERROR(IF(OR(BX1665=1,BX1665=2,BX1665=3),N(INDEX(Parameter!$I$5:$I$7,BX1665)),0),0)</f>
        <v>0</v>
      </c>
      <c r="CH1665" s="59" t="n">
        <f aca="false">IF(AND(Parameter!$B$21="Ja",ISNUMBER(W1665),N(X1665)&gt;0),IFERROR(N(INDEX(Parameter!$L$5:$L$7,W1665))*INDEX(Parameter!$E$5:$E$7,W1665)*X1665/SUMIFS($X$7:$X$1843,$W$7:$W$1843,W1665),0),0)</f>
        <v>0</v>
      </c>
    </row>
    <row r="1666" customFormat="false" ht="15" hidden="false" customHeight="false" outlineLevel="0" collapsed="false">
      <c r="A1666" s="55" t="s">
        <v>2891</v>
      </c>
      <c r="B1666" s="55" t="s">
        <v>339</v>
      </c>
      <c r="C1666" s="55" t="s">
        <v>456</v>
      </c>
      <c r="D1666" s="55" t="s">
        <v>173</v>
      </c>
      <c r="E1666" s="55"/>
      <c r="F1666" s="55"/>
      <c r="G1666" s="56" t="n">
        <v>465</v>
      </c>
      <c r="H1666" s="57" t="n">
        <f aca="false">MAX(0,IF(AND(Parameter!$B$21="Ja",ISNUMBER(Y1666)),Y1666,IF(Parameter!$B$20="Jahresanfang 2025 + Export",BL1666+BK1666,BK1666)))</f>
        <v>7</v>
      </c>
      <c r="I1666" s="57" t="n">
        <f aca="false">H1666*G1666</f>
        <v>3255</v>
      </c>
      <c r="J1666" s="57" t="n">
        <f aca="false">BN1666*Parameter!$B$18</f>
        <v>0</v>
      </c>
      <c r="K1666" s="58"/>
      <c r="L1666" s="59"/>
      <c r="M1666" s="57" t="n">
        <v>0</v>
      </c>
      <c r="N1666" s="57" t="n">
        <v>3</v>
      </c>
      <c r="O1666" s="60" t="n">
        <v>14</v>
      </c>
      <c r="P1666" s="55" t="s">
        <v>168</v>
      </c>
      <c r="Q1666" s="57"/>
      <c r="R1666" s="60" t="n">
        <f aca="false">IF(BT1666=1,0,IFERROR(VLOOKUP(BR1666,'Gebinde-Kategorie'!$A$5:$M$45,13,0)+0,0))</f>
        <v>26</v>
      </c>
      <c r="S1666" s="61"/>
      <c r="T1666" s="62" t="s">
        <v>275</v>
      </c>
      <c r="U1666" s="62"/>
      <c r="V1666" s="62"/>
      <c r="W1666" s="55"/>
      <c r="X1666" s="57"/>
      <c r="Y1666" s="57"/>
      <c r="Z1666" s="55" t="n">
        <f aca="false">IF(A1666="","",IF(AND(Parameter!$B$21="Ja",ISNUMBER(W1666)),W1666,IF(BV1666="2+3",IF(ISNUMBER(SEARCH("grosser Artikel",BO1666)),2,IFERROR(VLOOKUP(BR1666,Parameter!$F$35:$G$64,2,0),2)),IF(OR(BV1666="Nein",BV1666=""),"-",BV1666))))</f>
        <v>3</v>
      </c>
      <c r="AA1666" s="62"/>
      <c r="AB1666" s="63"/>
      <c r="AC1666" s="57" t="n">
        <f aca="false">AR1666</f>
        <v>20</v>
      </c>
      <c r="AD1666" s="57" t="n">
        <f aca="false">MAX(AR1666,H1666)</f>
        <v>20</v>
      </c>
      <c r="AE1666" s="64"/>
      <c r="AF1666" s="57" t="n">
        <f aca="false">IF(LEFT(Cockpit!$C$5,1)="A",H1666,IF(CA1666=1,CB1666,IF(LEFT(Cockpit!$C$5,1)="B",AJ1666,MAX(AJ1666,H1666))))</f>
        <v>7</v>
      </c>
      <c r="AG1666" s="57" t="n">
        <f aca="false">IF(BT1666=1,0,ROUNDUP(AF1666/BS1666,0))</f>
        <v>1</v>
      </c>
      <c r="AH1666" s="59" t="n">
        <f aca="false">IF(CH1666&gt;0,CH1666*MAX(1,AF1666/X1666),IF(BT1666=1,IF(AF1666&lt;=0,0,BW1666*MAX(1,IF(H1666&gt;0,AF1666/H1666,1))),IF(R1666&gt;0,AG1666/R1666,0))/MAX(0.1,N(Parameter!$M$21)))</f>
        <v>0.0384615384615385</v>
      </c>
      <c r="AI1666" s="57" t="n">
        <f aca="false">AF1666*G1666</f>
        <v>3255</v>
      </c>
      <c r="AJ1666" s="57" t="n">
        <f aca="false">ROUNDUP(MAX(J1666/IF(BZ1666&gt;0,BZ1666,MAX(0.1,N(Cockpit!$C$6))),CC1666)/BS1666,0)*BS1666</f>
        <v>20</v>
      </c>
      <c r="AK1666" s="58" t="n">
        <f aca="false">IF(AH1666&gt;0,J1666/AH1666,-1)</f>
        <v>0</v>
      </c>
      <c r="AL1666" s="58" t="n">
        <f aca="false">IF(AND(OR(BY1666="L1",BY1666="L23"),AH1666&gt;0),SUMIFS($AH$7:$AH$1843,$BY$7:$BY$1843,BY1666,$AK$7:$AK$1843,"&gt;"&amp;AK1666)+SUMIFS($AH$7:$AH$1843,$BY$7:$BY$1843,BY1666,$AK$7:$AK$1843,AK1666,$BQ$7:$BQ$1843,"&lt;="&amp;BQ1666),"")</f>
        <v>89.6037633863721</v>
      </c>
      <c r="AM1666" s="65" t="n">
        <f aca="false">IF(AL1666="",0,MAX(0,MIN(1,(IF(BY1666="L1",Parameter!$E$5,Parameter!$E$6+Parameter!$E$7)-(AL1666-AH1666))/AH1666)))</f>
        <v>1</v>
      </c>
      <c r="AN1666" s="57" t="n">
        <f aca="false">IF(LEFT(Cockpit!$I$5,1)="A",H1666,IF(CA1666=1,CB1666,IF(LEFT(Cockpit!$I$5,1)="B",AR1666,MAX(AR1666,H1666))))</f>
        <v>20</v>
      </c>
      <c r="AO1666" s="57" t="n">
        <f aca="false">IF(BT1666=1,0,ROUNDUP(AN1666/BS1666,0))</f>
        <v>1</v>
      </c>
      <c r="AP1666" s="59" t="n">
        <f aca="false">IF(CH1666&gt;0,CH1666*MAX(1,AN1666/X1666),IF(BT1666=1,IF(AN1666&lt;=0,0,BW1666*MAX(1,IF(H1666&gt;0,AN1666/H1666,1))),IF(R1666&gt;0,AO1666/R1666,0))/MAX(0.1,N(Parameter!$M$21)))</f>
        <v>0.0384615384615385</v>
      </c>
      <c r="AQ1666" s="57" t="n">
        <f aca="false">AN1666*G1666</f>
        <v>9300</v>
      </c>
      <c r="AR1666" s="57" t="n">
        <f aca="false">ROUNDUP(MAX(J1666/IF(BZ1666&gt;0,BZ1666,MAX(0.1,N(Cockpit!$I$6))),CC1666)/BS1666,0)*BS1666</f>
        <v>20</v>
      </c>
      <c r="AS1666" s="58" t="n">
        <f aca="false">IF(AP1666&gt;0,J1666/AP1666,-1)</f>
        <v>0</v>
      </c>
      <c r="AT1666" s="58" t="n">
        <f aca="false">IF(AND(OR(BY1666="L1",BY1666="L23"),AP1666&gt;0),SUMIFS($AP$7:$AP$1843,$BY$7:$BY$1843,BY1666,$AS$7:$AS$1843,"&gt;"&amp;AS1666)+SUMIFS($AP$7:$AP$1843,$BY$7:$BY$1843,BY1666,$AS$7:$AS$1843,AS1666,$BQ$7:$BQ$1843,"&lt;="&amp;BQ1666),"")</f>
        <v>134.855900138509</v>
      </c>
      <c r="AU1666" s="65" t="n">
        <f aca="false">IF(AT1666="",0,MAX(0,MIN(1,(IF(BY1666="L1",Parameter!$E$5,Parameter!$E$6+Parameter!$E$7)-(AT1666-AP1666))/AP1666)))</f>
        <v>0</v>
      </c>
      <c r="AV1666" s="57" t="n">
        <f aca="false">IF(LEFT(Cockpit!$O$5,1)="A",H1666,IF(CA1666=1,CB1666,IF(LEFT(Cockpit!$O$5,1)="B",AZ1666,MAX(AZ1666,H1666))))</f>
        <v>20</v>
      </c>
      <c r="AW1666" s="57" t="n">
        <f aca="false">IF(BT1666=1,0,ROUNDUP(AV1666/BS1666,0))</f>
        <v>1</v>
      </c>
      <c r="AX1666" s="59" t="n">
        <f aca="false">IF(CH1666&gt;0,CH1666*MAX(1,AV1666/X1666),IF(BT1666=1,IF(AV1666&lt;=0,0,BW1666*MAX(1,IF(H1666&gt;0,AV1666/H1666,1))),IF(R1666&gt;0,AW1666/R1666,0))/MAX(0.1,N(Parameter!$M$21)))</f>
        <v>0.0384615384615385</v>
      </c>
      <c r="AY1666" s="57" t="n">
        <f aca="false">AV1666*G1666</f>
        <v>9300</v>
      </c>
      <c r="AZ1666" s="57" t="n">
        <f aca="false">ROUNDUP(MAX(J1666/IF(BZ1666&gt;0,BZ1666,MAX(0.1,N(Cockpit!$O$6))),CC1666)/BS1666,0)*BS1666</f>
        <v>20</v>
      </c>
      <c r="BA1666" s="58" t="n">
        <f aca="false">IF(AX1666&gt;0,J1666/AX1666,-1)</f>
        <v>0</v>
      </c>
      <c r="BB1666" s="58" t="n">
        <f aca="false">IF(AND(OR(BY1666="L1",BY1666="L23"),AX1666&gt;0),SUMIFS($AX$7:$AX$1843,$BY$7:$BY$1843,BY1666,$BA$7:$BA$1843,"&gt;"&amp;BA1666)+SUMIFS($AX$7:$AX$1843,$BY$7:$BY$1843,BY1666,$BA$7:$BA$1843,BA1666,$BQ$7:$BQ$1843,"&lt;="&amp;BQ1666),"")</f>
        <v>125.685736968346</v>
      </c>
      <c r="BC1666" s="65" t="n">
        <f aca="false">IF(BB1666="",0,MAX(0,MIN(1,(IF(BY1666="L1",Parameter!$E$5,Parameter!$E$6+Parameter!$E$7)-(BB1666-AX1666))/AX1666)))</f>
        <v>0</v>
      </c>
      <c r="BD1666" s="55" t="str">
        <f aca="false">IF(AH1666&lt;=0,"",IF(BY1666="Aussen","Aussenlager",IF(BY1666="-","Nicht im Lift",IF(AM1666&gt;=1,"Lift",IF(AM1666&lt;=0,"Aussenlager","teilweise")))))</f>
        <v>Lift</v>
      </c>
      <c r="BE1666" s="55" t="str">
        <f aca="false">IF(AP1666&lt;=0,"",IF(BY1666="Aussen","Aussenlager",IF(BY1666="-","Nicht im Lift",IF(AU1666&gt;=1,"Lift",IF(AU1666&lt;=0,"Aussenlager","teilweise")))))</f>
        <v>Aussenlager</v>
      </c>
      <c r="BF1666" s="55" t="str">
        <f aca="false">IF(AX1666&lt;=0,"",IF(BY1666="Aussen","Aussenlager",IF(BY1666="-","Nicht im Lift",IF(BC1666&gt;=1,"Lift",IF(BC1666&lt;=0,"Aussenlager","teilweise")))))</f>
        <v>Aussenlager</v>
      </c>
      <c r="BG1666" s="55" t="str">
        <f aca="false">IF(A1666="","",IF(BP1666=1,"Neu; ","")&amp;IF(AND(BP1666=0,BK1666&lt;0),"negativer Bestand (Export "&amp;BK1666&amp;"); ","")&amp;IF(J1666&lt;=0,"Kein Verbrauch; ","")&amp;IF(CH1666&gt;0,"Lift "&amp;W1666&amp;" lt. Liftbericht (Fach "&amp;X1666&amp;" Stk); ",IF(BU1666=1,"Gebinde geschätzt ("&amp;T1666&amp;"); ",IF(BT1666=1,"Lose – Tablare geschätzt; ","")))&amp;IF(H1666&gt;AR1666,"Überbestand "&amp;ROUND(H1666-AR1666,0)&amp;" Stk / CHF "&amp;ROUND((H1666-AR1666)*G1666,0)&amp;"; ","")&amp;IF(AND(CA1666=1,CB1666&lt;CC1666),"MAX &lt; MB+LG; ","")&amp;IF(AND(CG1666&gt;0,CF1666*10&gt;CG1666),"zu hoch für Tablar; ","")&amp;IF(AND(BP1666=0,OR(CA1666=1,AA1666&lt;&gt;"",U1666&lt;&gt;"",V1666&lt;&gt;"",AB1666&lt;&gt;"")),"manuell übersteuert; ","")&amp;IF(AND(BT1666=0,R1666=0),"Gebinde unbekannt / Stellmass fehlt; ","")&amp;IF(AND(BT1666=0,N(V1666)&lt;=0,N(Q1666)&lt;=0),"Menge pro Gebinde fehlt (Ist = 1 Gebinde); ","")&amp;BO1666)</f>
        <v>Kein Verbrauch; Gebinde geschätzt (Klein); Menge pro Gebinde fehlt (Ist = 1 Gebinde); nur im Artikelstamm (Bestand 23.06.2026)</v>
      </c>
      <c r="BH1666" s="55"/>
      <c r="BI1666" s="55"/>
      <c r="BJ1666" s="62"/>
      <c r="BK1666" s="57" t="n">
        <v>7</v>
      </c>
      <c r="BL1666" s="57" t="n">
        <v>0</v>
      </c>
      <c r="BM1666" s="56" t="n">
        <v>0</v>
      </c>
      <c r="BN1666" s="57" t="n">
        <v>0</v>
      </c>
      <c r="BO1666" s="55" t="s">
        <v>2575</v>
      </c>
      <c r="BP1666" s="60" t="n">
        <v>0</v>
      </c>
      <c r="BQ1666" s="60" t="n">
        <v>1666</v>
      </c>
      <c r="BR1666" s="55" t="str">
        <f aca="false">IF(U1666&lt;&gt;"",UPPER(TRIM(U1666)),IF(BU1666=1,UPPER(VLOOKUP(T1666,Parameter!$I$27:$K$29,2,0)),IF(P1666="","LOSE",P1666)))</f>
        <v>S51</v>
      </c>
      <c r="BS1666" s="57" t="n">
        <f aca="false">IF(BR1666="LOSE",1,IF(N(V1666)&gt;0,V1666,IF(BU1666=1,MAX(1,N(VLOOKUP(T1666,Parameter!$I$27:$K$29,3,0)),H1666,N(N1666)),IF(N(Q1666)&gt;0,Q1666,MAX(1,H1666)))))</f>
        <v>20</v>
      </c>
      <c r="BT1666" s="60" t="n">
        <f aca="false">IF(BR1666="LOSE",1,0)</f>
        <v>0</v>
      </c>
      <c r="BU1666" s="60" t="n">
        <f aca="false">IF(AND(U1666="",OR(P1666="",P1666="LOSE"),T1666&lt;&gt;"",N(S1666)&lt;=0,ISNUMBER(MATCH(T1666,Parameter!$I$27:$I$29,0))),1,0)</f>
        <v>1</v>
      </c>
      <c r="BV1666" s="55" t="str">
        <f aca="false">IF(AND(Parameter!$B$19="Ja",E1666&lt;&gt;"",ISNUMBER(MATCH(E1666,Parameter!$I$35:$I$52,0))),VLOOKUP(E1666,Parameter!$I$35:$J$52,2,0),IFERROR(VLOOKUP(D1666,Parameter!$A$35:$C$64,2,0),"Nein"))</f>
        <v>2+3</v>
      </c>
      <c r="BW1666" s="59" t="n">
        <f aca="false">IF(BT1666=0,0,IF(N(S1666)&gt;0,S1666,IFERROR(VLOOKUP(D1666,Parameter!$A$35:$C$64,3,0)+0,0)))</f>
        <v>0</v>
      </c>
      <c r="BX1666" s="55" t="n">
        <f aca="false">IF(AA1666&lt;&gt;"",AA1666,Z1666)</f>
        <v>3</v>
      </c>
      <c r="BY1666" s="55" t="str">
        <f aca="false">IF(BX1666=1,"L1",IF(OR(BX1666=2,BX1666=3),"L23",IF(BX1666="Aussen","Aussen","-")))</f>
        <v>L23</v>
      </c>
      <c r="BZ1666" s="66" t="n">
        <f aca="false">IF(N(AB1666)&gt;0,AB1666,0)</f>
        <v>0</v>
      </c>
      <c r="CA1666" s="60" t="n">
        <f aca="false">IF(ISNUMBER(AE1666),1,0)</f>
        <v>0</v>
      </c>
      <c r="CB1666" s="57" t="n">
        <f aca="false">N(AE1666)</f>
        <v>0</v>
      </c>
      <c r="CC1666" s="57" t="n">
        <f aca="false">N(M1666)+N(N1666)</f>
        <v>3</v>
      </c>
      <c r="CD1666" s="57" t="n">
        <f aca="false">ROUNDUP(H1666/BS1666,0)</f>
        <v>1</v>
      </c>
      <c r="CE1666" s="57" t="n">
        <f aca="false">ROUNDUP(CB1666/BS1666,0)</f>
        <v>0</v>
      </c>
      <c r="CF1666" s="60" t="n">
        <f aca="false">IF(BT1666=1,0,IFERROR(VLOOKUP(BR1666,'Gebinde-Kategorie'!$A$5:$M$45,5,0)+0,0))</f>
        <v>11</v>
      </c>
      <c r="CG1666" s="60" t="n">
        <f aca="false">IFERROR(IF(OR(BX1666=1,BX1666=2,BX1666=3),N(INDEX(Parameter!$I$5:$I$7,BX1666)),0),0)</f>
        <v>0</v>
      </c>
      <c r="CH1666" s="59" t="n">
        <f aca="false">IF(AND(Parameter!$B$21="Ja",ISNUMBER(W1666),N(X1666)&gt;0),IFERROR(N(INDEX(Parameter!$L$5:$L$7,W1666))*INDEX(Parameter!$E$5:$E$7,W1666)*X1666/SUMIFS($X$7:$X$1843,$W$7:$W$1843,W1666),0),0)</f>
        <v>0</v>
      </c>
    </row>
    <row r="1667" customFormat="false" ht="15" hidden="false" customHeight="false" outlineLevel="0" collapsed="false">
      <c r="A1667" s="55" t="s">
        <v>2892</v>
      </c>
      <c r="B1667" s="55" t="s">
        <v>2893</v>
      </c>
      <c r="C1667" s="55" t="s">
        <v>164</v>
      </c>
      <c r="D1667" s="55" t="s">
        <v>173</v>
      </c>
      <c r="E1667" s="55"/>
      <c r="F1667" s="55"/>
      <c r="G1667" s="56" t="n">
        <v>17553.7</v>
      </c>
      <c r="H1667" s="57" t="n">
        <f aca="false">MAX(0,IF(AND(Parameter!$B$21="Ja",ISNUMBER(Y1667)),Y1667,IF(Parameter!$B$20="Jahresanfang 2025 + Export",BL1667+BK1667,BK1667)))</f>
        <v>1</v>
      </c>
      <c r="I1667" s="57" t="n">
        <f aca="false">H1667*G1667</f>
        <v>17553.7</v>
      </c>
      <c r="J1667" s="57" t="n">
        <f aca="false">BN1667*Parameter!$B$18</f>
        <v>0</v>
      </c>
      <c r="K1667" s="58"/>
      <c r="L1667" s="59"/>
      <c r="M1667" s="57" t="n">
        <v>0</v>
      </c>
      <c r="N1667" s="57" t="n">
        <v>1</v>
      </c>
      <c r="O1667" s="60" t="n">
        <v>7</v>
      </c>
      <c r="P1667" s="55" t="s">
        <v>168</v>
      </c>
      <c r="Q1667" s="57"/>
      <c r="R1667" s="60" t="n">
        <f aca="false">IF(BT1667=1,0,IFERROR(VLOOKUP(BR1667,'Gebinde-Kategorie'!$A$5:$M$45,13,0)+0,0))</f>
        <v>12</v>
      </c>
      <c r="S1667" s="61"/>
      <c r="T1667" s="62" t="s">
        <v>179</v>
      </c>
      <c r="U1667" s="62"/>
      <c r="V1667" s="62"/>
      <c r="W1667" s="55"/>
      <c r="X1667" s="57"/>
      <c r="Y1667" s="57"/>
      <c r="Z1667" s="55" t="n">
        <f aca="false">IF(A1667="","",IF(AND(Parameter!$B$21="Ja",ISNUMBER(W1667)),W1667,IF(BV1667="2+3",IF(ISNUMBER(SEARCH("grosser Artikel",BO1667)),2,IFERROR(VLOOKUP(BR1667,Parameter!$F$35:$G$64,2,0),2)),IF(OR(BV1667="Nein",BV1667=""),"-",BV1667))))</f>
        <v>2</v>
      </c>
      <c r="AA1667" s="62"/>
      <c r="AB1667" s="63"/>
      <c r="AC1667" s="57" t="n">
        <f aca="false">AR1667</f>
        <v>4</v>
      </c>
      <c r="AD1667" s="57" t="n">
        <f aca="false">MAX(AR1667,H1667)</f>
        <v>4</v>
      </c>
      <c r="AE1667" s="64"/>
      <c r="AF1667" s="57" t="n">
        <f aca="false">IF(LEFT(Cockpit!$C$5,1)="A",H1667,IF(CA1667=1,CB1667,IF(LEFT(Cockpit!$C$5,1)="B",AJ1667,MAX(AJ1667,H1667))))</f>
        <v>1</v>
      </c>
      <c r="AG1667" s="57" t="n">
        <f aca="false">IF(BT1667=1,0,ROUNDUP(AF1667/BS1667,0))</f>
        <v>1</v>
      </c>
      <c r="AH1667" s="59" t="n">
        <f aca="false">IF(CH1667&gt;0,CH1667*MAX(1,AF1667/X1667),IF(BT1667=1,IF(AF1667&lt;=0,0,BW1667*MAX(1,IF(H1667&gt;0,AF1667/H1667,1))),IF(R1667&gt;0,AG1667/R1667,0))/MAX(0.1,N(Parameter!$M$21)))</f>
        <v>0.0833333333333333</v>
      </c>
      <c r="AI1667" s="57" t="n">
        <f aca="false">AF1667*G1667</f>
        <v>17553.7</v>
      </c>
      <c r="AJ1667" s="57" t="n">
        <f aca="false">ROUNDUP(MAX(J1667/IF(BZ1667&gt;0,BZ1667,MAX(0.1,N(Cockpit!$C$6))),CC1667)/BS1667,0)*BS1667</f>
        <v>4</v>
      </c>
      <c r="AK1667" s="58" t="n">
        <f aca="false">IF(AH1667&gt;0,J1667/AH1667,-1)</f>
        <v>0</v>
      </c>
      <c r="AL1667" s="58" t="n">
        <f aca="false">IF(AND(OR(BY1667="L1",BY1667="L23"),AH1667&gt;0),SUMIFS($AH$7:$AH$1843,$BY$7:$BY$1843,BY1667,$AK$7:$AK$1843,"&gt;"&amp;AK1667)+SUMIFS($AH$7:$AH$1843,$BY$7:$BY$1843,BY1667,$AK$7:$AK$1843,AK1667,$BQ$7:$BQ$1843,"&lt;="&amp;BQ1667),"")</f>
        <v>89.6870967197054</v>
      </c>
      <c r="AM1667" s="65" t="n">
        <f aca="false">IF(AL1667="",0,MAX(0,MIN(1,(IF(BY1667="L1",Parameter!$E$5,Parameter!$E$6+Parameter!$E$7)-(AL1667-AH1667))/AH1667)))</f>
        <v>1</v>
      </c>
      <c r="AN1667" s="57" t="n">
        <f aca="false">IF(LEFT(Cockpit!$I$5,1)="A",H1667,IF(CA1667=1,CB1667,IF(LEFT(Cockpit!$I$5,1)="B",AR1667,MAX(AR1667,H1667))))</f>
        <v>4</v>
      </c>
      <c r="AO1667" s="57" t="n">
        <f aca="false">IF(BT1667=1,0,ROUNDUP(AN1667/BS1667,0))</f>
        <v>1</v>
      </c>
      <c r="AP1667" s="59" t="n">
        <f aca="false">IF(CH1667&gt;0,CH1667*MAX(1,AN1667/X1667),IF(BT1667=1,IF(AN1667&lt;=0,0,BW1667*MAX(1,IF(H1667&gt;0,AN1667/H1667,1))),IF(R1667&gt;0,AO1667/R1667,0))/MAX(0.1,N(Parameter!$M$21)))</f>
        <v>0.0833333333333333</v>
      </c>
      <c r="AQ1667" s="57" t="n">
        <f aca="false">AN1667*G1667</f>
        <v>70214.8</v>
      </c>
      <c r="AR1667" s="57" t="n">
        <f aca="false">ROUNDUP(MAX(J1667/IF(BZ1667&gt;0,BZ1667,MAX(0.1,N(Cockpit!$I$6))),CC1667)/BS1667,0)*BS1667</f>
        <v>4</v>
      </c>
      <c r="AS1667" s="58" t="n">
        <f aca="false">IF(AP1667&gt;0,J1667/AP1667,-1)</f>
        <v>0</v>
      </c>
      <c r="AT1667" s="58" t="n">
        <f aca="false">IF(AND(OR(BY1667="L1",BY1667="L23"),AP1667&gt;0),SUMIFS($AP$7:$AP$1843,$BY$7:$BY$1843,BY1667,$AS$7:$AS$1843,"&gt;"&amp;AS1667)+SUMIFS($AP$7:$AP$1843,$BY$7:$BY$1843,BY1667,$AS$7:$AS$1843,AS1667,$BQ$7:$BQ$1843,"&lt;="&amp;BQ1667),"")</f>
        <v>134.939233471842</v>
      </c>
      <c r="AU1667" s="65" t="n">
        <f aca="false">IF(AT1667="",0,MAX(0,MIN(1,(IF(BY1667="L1",Parameter!$E$5,Parameter!$E$6+Parameter!$E$7)-(AT1667-AP1667))/AP1667)))</f>
        <v>0</v>
      </c>
      <c r="AV1667" s="57" t="n">
        <f aca="false">IF(LEFT(Cockpit!$O$5,1)="A",H1667,IF(CA1667=1,CB1667,IF(LEFT(Cockpit!$O$5,1)="B",AZ1667,MAX(AZ1667,H1667))))</f>
        <v>4</v>
      </c>
      <c r="AW1667" s="57" t="n">
        <f aca="false">IF(BT1667=1,0,ROUNDUP(AV1667/BS1667,0))</f>
        <v>1</v>
      </c>
      <c r="AX1667" s="59" t="n">
        <f aca="false">IF(CH1667&gt;0,CH1667*MAX(1,AV1667/X1667),IF(BT1667=1,IF(AV1667&lt;=0,0,BW1667*MAX(1,IF(H1667&gt;0,AV1667/H1667,1))),IF(R1667&gt;0,AW1667/R1667,0))/MAX(0.1,N(Parameter!$M$21)))</f>
        <v>0.0833333333333333</v>
      </c>
      <c r="AY1667" s="57" t="n">
        <f aca="false">AV1667*G1667</f>
        <v>70214.8</v>
      </c>
      <c r="AZ1667" s="57" t="n">
        <f aca="false">ROUNDUP(MAX(J1667/IF(BZ1667&gt;0,BZ1667,MAX(0.1,N(Cockpit!$O$6))),CC1667)/BS1667,0)*BS1667</f>
        <v>4</v>
      </c>
      <c r="BA1667" s="58" t="n">
        <f aca="false">IF(AX1667&gt;0,J1667/AX1667,-1)</f>
        <v>0</v>
      </c>
      <c r="BB1667" s="58" t="n">
        <f aca="false">IF(AND(OR(BY1667="L1",BY1667="L23"),AX1667&gt;0),SUMIFS($AX$7:$AX$1843,$BY$7:$BY$1843,BY1667,$BA$7:$BA$1843,"&gt;"&amp;BA1667)+SUMIFS($AX$7:$AX$1843,$BY$7:$BY$1843,BY1667,$BA$7:$BA$1843,BA1667,$BQ$7:$BQ$1843,"&lt;="&amp;BQ1667),"")</f>
        <v>125.769070301679</v>
      </c>
      <c r="BC1667" s="65" t="n">
        <f aca="false">IF(BB1667="",0,MAX(0,MIN(1,(IF(BY1667="L1",Parameter!$E$5,Parameter!$E$6+Parameter!$E$7)-(BB1667-AX1667))/AX1667)))</f>
        <v>0</v>
      </c>
      <c r="BD1667" s="55" t="str">
        <f aca="false">IF(AH1667&lt;=0,"",IF(BY1667="Aussen","Aussenlager",IF(BY1667="-","Nicht im Lift",IF(AM1667&gt;=1,"Lift",IF(AM1667&lt;=0,"Aussenlager","teilweise")))))</f>
        <v>Lift</v>
      </c>
      <c r="BE1667" s="55" t="str">
        <f aca="false">IF(AP1667&lt;=0,"",IF(BY1667="Aussen","Aussenlager",IF(BY1667="-","Nicht im Lift",IF(AU1667&gt;=1,"Lift",IF(AU1667&lt;=0,"Aussenlager","teilweise")))))</f>
        <v>Aussenlager</v>
      </c>
      <c r="BF1667" s="55" t="str">
        <f aca="false">IF(AX1667&lt;=0,"",IF(BY1667="Aussen","Aussenlager",IF(BY1667="-","Nicht im Lift",IF(BC1667&gt;=1,"Lift",IF(BC1667&lt;=0,"Aussenlager","teilweise")))))</f>
        <v>Aussenlager</v>
      </c>
      <c r="BG1667" s="55" t="str">
        <f aca="false">IF(A1667="","",IF(BP1667=1,"Neu; ","")&amp;IF(AND(BP1667=0,BK1667&lt;0),"negativer Bestand (Export "&amp;BK1667&amp;"); ","")&amp;IF(J1667&lt;=0,"Kein Verbrauch; ","")&amp;IF(CH1667&gt;0,"Lift "&amp;W1667&amp;" lt. Liftbericht (Fach "&amp;X1667&amp;" Stk); ",IF(BU1667=1,"Gebinde geschätzt ("&amp;T1667&amp;"); ",IF(BT1667=1,"Lose – Tablare geschätzt; ","")))&amp;IF(H1667&gt;AR1667,"Überbestand "&amp;ROUND(H1667-AR1667,0)&amp;" Stk / CHF "&amp;ROUND((H1667-AR1667)*G1667,0)&amp;"; ","")&amp;IF(AND(CA1667=1,CB1667&lt;CC1667),"MAX &lt; MB+LG; ","")&amp;IF(AND(CG1667&gt;0,CF1667*10&gt;CG1667),"zu hoch für Tablar; ","")&amp;IF(AND(BP1667=0,OR(CA1667=1,AA1667&lt;&gt;"",U1667&lt;&gt;"",V1667&lt;&gt;"",AB1667&lt;&gt;"")),"manuell übersteuert; ","")&amp;IF(AND(BT1667=0,R1667=0),"Gebinde unbekannt / Stellmass fehlt; ","")&amp;IF(AND(BT1667=0,N(V1667)&lt;=0,N(Q1667)&lt;=0),"Menge pro Gebinde fehlt (Ist = 1 Gebinde); ","")&amp;BO1667)</f>
        <v>Kein Verbrauch; Gebinde geschätzt (Mittel); Menge pro Gebinde fehlt (Ist = 1 Gebinde); nur im Artikelstamm (Bestand 23.06.2026)</v>
      </c>
      <c r="BH1667" s="55"/>
      <c r="BI1667" s="55"/>
      <c r="BJ1667" s="62"/>
      <c r="BK1667" s="57" t="n">
        <v>1</v>
      </c>
      <c r="BL1667" s="57" t="n">
        <v>0</v>
      </c>
      <c r="BM1667" s="56" t="n">
        <v>0</v>
      </c>
      <c r="BN1667" s="57" t="n">
        <v>0</v>
      </c>
      <c r="BO1667" s="55" t="s">
        <v>2575</v>
      </c>
      <c r="BP1667" s="60" t="n">
        <v>0</v>
      </c>
      <c r="BQ1667" s="60" t="n">
        <v>1667</v>
      </c>
      <c r="BR1667" s="55" t="str">
        <f aca="false">IF(U1667&lt;&gt;"",UPPER(TRIM(U1667)),IF(BU1667=1,UPPER(VLOOKUP(T1667,Parameter!$I$27:$K$29,2,0)),IF(P1667="","LOSE",P1667)))</f>
        <v>S61</v>
      </c>
      <c r="BS1667" s="57" t="n">
        <f aca="false">IF(BR1667="LOSE",1,IF(N(V1667)&gt;0,V1667,IF(BU1667=1,MAX(1,N(VLOOKUP(T1667,Parameter!$I$27:$K$29,3,0)),H1667,N(N1667)),IF(N(Q1667)&gt;0,Q1667,MAX(1,H1667)))))</f>
        <v>4</v>
      </c>
      <c r="BT1667" s="60" t="n">
        <f aca="false">IF(BR1667="LOSE",1,0)</f>
        <v>0</v>
      </c>
      <c r="BU1667" s="60" t="n">
        <f aca="false">IF(AND(U1667="",OR(P1667="",P1667="LOSE"),T1667&lt;&gt;"",N(S1667)&lt;=0,ISNUMBER(MATCH(T1667,Parameter!$I$27:$I$29,0))),1,0)</f>
        <v>1</v>
      </c>
      <c r="BV1667" s="55" t="str">
        <f aca="false">IF(AND(Parameter!$B$19="Ja",E1667&lt;&gt;"",ISNUMBER(MATCH(E1667,Parameter!$I$35:$I$52,0))),VLOOKUP(E1667,Parameter!$I$35:$J$52,2,0),IFERROR(VLOOKUP(D1667,Parameter!$A$35:$C$64,2,0),"Nein"))</f>
        <v>2+3</v>
      </c>
      <c r="BW1667" s="59" t="n">
        <f aca="false">IF(BT1667=0,0,IF(N(S1667)&gt;0,S1667,IFERROR(VLOOKUP(D1667,Parameter!$A$35:$C$64,3,0)+0,0)))</f>
        <v>0</v>
      </c>
      <c r="BX1667" s="55" t="n">
        <f aca="false">IF(AA1667&lt;&gt;"",AA1667,Z1667)</f>
        <v>2</v>
      </c>
      <c r="BY1667" s="55" t="str">
        <f aca="false">IF(BX1667=1,"L1",IF(OR(BX1667=2,BX1667=3),"L23",IF(BX1667="Aussen","Aussen","-")))</f>
        <v>L23</v>
      </c>
      <c r="BZ1667" s="66" t="n">
        <f aca="false">IF(N(AB1667)&gt;0,AB1667,0)</f>
        <v>0</v>
      </c>
      <c r="CA1667" s="60" t="n">
        <f aca="false">IF(ISNUMBER(AE1667),1,0)</f>
        <v>0</v>
      </c>
      <c r="CB1667" s="57" t="n">
        <f aca="false">N(AE1667)</f>
        <v>0</v>
      </c>
      <c r="CC1667" s="57" t="n">
        <f aca="false">N(M1667)+N(N1667)</f>
        <v>1</v>
      </c>
      <c r="CD1667" s="57" t="n">
        <f aca="false">ROUNDUP(H1667/BS1667,0)</f>
        <v>1</v>
      </c>
      <c r="CE1667" s="57" t="n">
        <f aca="false">ROUNDUP(CB1667/BS1667,0)</f>
        <v>0</v>
      </c>
      <c r="CF1667" s="60" t="n">
        <f aca="false">IF(BT1667=1,0,IFERROR(VLOOKUP(BR1667,'Gebinde-Kategorie'!$A$5:$M$45,5,0)+0,0))</f>
        <v>11</v>
      </c>
      <c r="CG1667" s="60" t="n">
        <f aca="false">IFERROR(IF(OR(BX1667=1,BX1667=2,BX1667=3),N(INDEX(Parameter!$I$5:$I$7,BX1667)),0),0)</f>
        <v>0</v>
      </c>
      <c r="CH1667" s="59" t="n">
        <f aca="false">IF(AND(Parameter!$B$21="Ja",ISNUMBER(W1667),N(X1667)&gt;0),IFERROR(N(INDEX(Parameter!$L$5:$L$7,W1667))*INDEX(Parameter!$E$5:$E$7,W1667)*X1667/SUMIFS($X$7:$X$1843,$W$7:$W$1843,W1667),0),0)</f>
        <v>0</v>
      </c>
    </row>
    <row r="1668" customFormat="false" ht="15" hidden="false" customHeight="false" outlineLevel="0" collapsed="false">
      <c r="A1668" s="55" t="s">
        <v>2894</v>
      </c>
      <c r="B1668" s="55" t="s">
        <v>2895</v>
      </c>
      <c r="C1668" s="55" t="s">
        <v>164</v>
      </c>
      <c r="D1668" s="55" t="s">
        <v>173</v>
      </c>
      <c r="E1668" s="55" t="s">
        <v>185</v>
      </c>
      <c r="F1668" s="55"/>
      <c r="G1668" s="56" t="n">
        <v>168</v>
      </c>
      <c r="H1668" s="57" t="n">
        <f aca="false">MAX(0,IF(AND(Parameter!$B$21="Ja",ISNUMBER(Y1668)),Y1668,IF(Parameter!$B$20="Jahresanfang 2025 + Export",BL1668+BK1668,BK1668)))</f>
        <v>23</v>
      </c>
      <c r="I1668" s="57" t="n">
        <f aca="false">H1668*G1668</f>
        <v>3864</v>
      </c>
      <c r="J1668" s="57" t="n">
        <f aca="false">BN1668*Parameter!$B$18</f>
        <v>0</v>
      </c>
      <c r="K1668" s="58"/>
      <c r="L1668" s="59"/>
      <c r="M1668" s="57" t="n">
        <v>0</v>
      </c>
      <c r="N1668" s="57" t="n">
        <v>10</v>
      </c>
      <c r="O1668" s="60" t="n">
        <v>84</v>
      </c>
      <c r="P1668" s="55" t="s">
        <v>174</v>
      </c>
      <c r="Q1668" s="57" t="n">
        <v>9</v>
      </c>
      <c r="R1668" s="60" t="n">
        <f aca="false">IF(BT1668=1,0,IFERROR(VLOOKUP(BR1668,'Gebinde-Kategorie'!$A$5:$M$45,13,0)+0,0))</f>
        <v>6</v>
      </c>
      <c r="S1668" s="61"/>
      <c r="T1668" s="62"/>
      <c r="U1668" s="62"/>
      <c r="V1668" s="62"/>
      <c r="W1668" s="55"/>
      <c r="X1668" s="57"/>
      <c r="Y1668" s="57"/>
      <c r="Z1668" s="55" t="n">
        <f aca="false">IF(A1668="","",IF(AND(Parameter!$B$21="Ja",ISNUMBER(W1668)),W1668,IF(BV1668="2+3",IF(ISNUMBER(SEARCH("grosser Artikel",BO1668)),2,IFERROR(VLOOKUP(BR1668,Parameter!$F$35:$G$64,2,0),2)),IF(OR(BV1668="Nein",BV1668=""),"-",BV1668))))</f>
        <v>2</v>
      </c>
      <c r="AA1668" s="62"/>
      <c r="AB1668" s="63"/>
      <c r="AC1668" s="57" t="n">
        <f aca="false">AR1668</f>
        <v>18</v>
      </c>
      <c r="AD1668" s="57" t="n">
        <f aca="false">MAX(AR1668,H1668)</f>
        <v>23</v>
      </c>
      <c r="AE1668" s="64"/>
      <c r="AF1668" s="57" t="n">
        <f aca="false">IF(LEFT(Cockpit!$C$5,1)="A",H1668,IF(CA1668=1,CB1668,IF(LEFT(Cockpit!$C$5,1)="B",AJ1668,MAX(AJ1668,H1668))))</f>
        <v>23</v>
      </c>
      <c r="AG1668" s="57" t="n">
        <f aca="false">IF(BT1668=1,0,ROUNDUP(AF1668/BS1668,0))</f>
        <v>3</v>
      </c>
      <c r="AH1668" s="59" t="n">
        <f aca="false">IF(CH1668&gt;0,CH1668*MAX(1,AF1668/X1668),IF(BT1668=1,IF(AF1668&lt;=0,0,BW1668*MAX(1,IF(H1668&gt;0,AF1668/H1668,1))),IF(R1668&gt;0,AG1668/R1668,0))/MAX(0.1,N(Parameter!$M$21)))</f>
        <v>0.5</v>
      </c>
      <c r="AI1668" s="57" t="n">
        <f aca="false">AF1668*G1668</f>
        <v>3864</v>
      </c>
      <c r="AJ1668" s="57" t="n">
        <f aca="false">ROUNDUP(MAX(J1668/IF(BZ1668&gt;0,BZ1668,MAX(0.1,N(Cockpit!$C$6))),CC1668)/BS1668,0)*BS1668</f>
        <v>18</v>
      </c>
      <c r="AK1668" s="58" t="n">
        <f aca="false">IF(AH1668&gt;0,J1668/AH1668,-1)</f>
        <v>0</v>
      </c>
      <c r="AL1668" s="58" t="n">
        <f aca="false">IF(AND(OR(BY1668="L1",BY1668="L23"),AH1668&gt;0),SUMIFS($AH$7:$AH$1843,$BY$7:$BY$1843,BY1668,$AK$7:$AK$1843,"&gt;"&amp;AK1668)+SUMIFS($AH$7:$AH$1843,$BY$7:$BY$1843,BY1668,$AK$7:$AK$1843,AK1668,$BQ$7:$BQ$1843,"&lt;="&amp;BQ1668),"")</f>
        <v>90.1870967197054</v>
      </c>
      <c r="AM1668" s="65" t="n">
        <f aca="false">IF(AL1668="",0,MAX(0,MIN(1,(IF(BY1668="L1",Parameter!$E$5,Parameter!$E$6+Parameter!$E$7)-(AL1668-AH1668))/AH1668)))</f>
        <v>1</v>
      </c>
      <c r="AN1668" s="57" t="n">
        <f aca="false">IF(LEFT(Cockpit!$I$5,1)="A",H1668,IF(CA1668=1,CB1668,IF(LEFT(Cockpit!$I$5,1)="B",AR1668,MAX(AR1668,H1668))))</f>
        <v>23</v>
      </c>
      <c r="AO1668" s="57" t="n">
        <f aca="false">IF(BT1668=1,0,ROUNDUP(AN1668/BS1668,0))</f>
        <v>3</v>
      </c>
      <c r="AP1668" s="59" t="n">
        <f aca="false">IF(CH1668&gt;0,CH1668*MAX(1,AN1668/X1668),IF(BT1668=1,IF(AN1668&lt;=0,0,BW1668*MAX(1,IF(H1668&gt;0,AN1668/H1668,1))),IF(R1668&gt;0,AO1668/R1668,0))/MAX(0.1,N(Parameter!$M$21)))</f>
        <v>0.5</v>
      </c>
      <c r="AQ1668" s="57" t="n">
        <f aca="false">AN1668*G1668</f>
        <v>3864</v>
      </c>
      <c r="AR1668" s="57" t="n">
        <f aca="false">ROUNDUP(MAX(J1668/IF(BZ1668&gt;0,BZ1668,MAX(0.1,N(Cockpit!$I$6))),CC1668)/BS1668,0)*BS1668</f>
        <v>18</v>
      </c>
      <c r="AS1668" s="58" t="n">
        <f aca="false">IF(AP1668&gt;0,J1668/AP1668,-1)</f>
        <v>0</v>
      </c>
      <c r="AT1668" s="58" t="n">
        <f aca="false">IF(AND(OR(BY1668="L1",BY1668="L23"),AP1668&gt;0),SUMIFS($AP$7:$AP$1843,$BY$7:$BY$1843,BY1668,$AS$7:$AS$1843,"&gt;"&amp;AS1668)+SUMIFS($AP$7:$AP$1843,$BY$7:$BY$1843,BY1668,$AS$7:$AS$1843,AS1668,$BQ$7:$BQ$1843,"&lt;="&amp;BQ1668),"")</f>
        <v>135.439233471842</v>
      </c>
      <c r="AU1668" s="65" t="n">
        <f aca="false">IF(AT1668="",0,MAX(0,MIN(1,(IF(BY1668="L1",Parameter!$E$5,Parameter!$E$6+Parameter!$E$7)-(AT1668-AP1668))/AP1668)))</f>
        <v>0</v>
      </c>
      <c r="AV1668" s="57" t="n">
        <f aca="false">IF(LEFT(Cockpit!$O$5,1)="A",H1668,IF(CA1668=1,CB1668,IF(LEFT(Cockpit!$O$5,1)="B",AZ1668,MAX(AZ1668,H1668))))</f>
        <v>23</v>
      </c>
      <c r="AW1668" s="57" t="n">
        <f aca="false">IF(BT1668=1,0,ROUNDUP(AV1668/BS1668,0))</f>
        <v>3</v>
      </c>
      <c r="AX1668" s="59" t="n">
        <f aca="false">IF(CH1668&gt;0,CH1668*MAX(1,AV1668/X1668),IF(BT1668=1,IF(AV1668&lt;=0,0,BW1668*MAX(1,IF(H1668&gt;0,AV1668/H1668,1))),IF(R1668&gt;0,AW1668/R1668,0))/MAX(0.1,N(Parameter!$M$21)))</f>
        <v>0.5</v>
      </c>
      <c r="AY1668" s="57" t="n">
        <f aca="false">AV1668*G1668</f>
        <v>3864</v>
      </c>
      <c r="AZ1668" s="57" t="n">
        <f aca="false">ROUNDUP(MAX(J1668/IF(BZ1668&gt;0,BZ1668,MAX(0.1,N(Cockpit!$O$6))),CC1668)/BS1668,0)*BS1668</f>
        <v>18</v>
      </c>
      <c r="BA1668" s="58" t="n">
        <f aca="false">IF(AX1668&gt;0,J1668/AX1668,-1)</f>
        <v>0</v>
      </c>
      <c r="BB1668" s="58" t="n">
        <f aca="false">IF(AND(OR(BY1668="L1",BY1668="L23"),AX1668&gt;0),SUMIFS($AX$7:$AX$1843,$BY$7:$BY$1843,BY1668,$BA$7:$BA$1843,"&gt;"&amp;BA1668)+SUMIFS($AX$7:$AX$1843,$BY$7:$BY$1843,BY1668,$BA$7:$BA$1843,BA1668,$BQ$7:$BQ$1843,"&lt;="&amp;BQ1668),"")</f>
        <v>126.269070301679</v>
      </c>
      <c r="BC1668" s="65" t="n">
        <f aca="false">IF(BB1668="",0,MAX(0,MIN(1,(IF(BY1668="L1",Parameter!$E$5,Parameter!$E$6+Parameter!$E$7)-(BB1668-AX1668))/AX1668)))</f>
        <v>0</v>
      </c>
      <c r="BD1668" s="55" t="str">
        <f aca="false">IF(AH1668&lt;=0,"",IF(BY1668="Aussen","Aussenlager",IF(BY1668="-","Nicht im Lift",IF(AM1668&gt;=1,"Lift",IF(AM1668&lt;=0,"Aussenlager","teilweise")))))</f>
        <v>Lift</v>
      </c>
      <c r="BE1668" s="55" t="str">
        <f aca="false">IF(AP1668&lt;=0,"",IF(BY1668="Aussen","Aussenlager",IF(BY1668="-","Nicht im Lift",IF(AU1668&gt;=1,"Lift",IF(AU1668&lt;=0,"Aussenlager","teilweise")))))</f>
        <v>Aussenlager</v>
      </c>
      <c r="BF1668" s="55" t="str">
        <f aca="false">IF(AX1668&lt;=0,"",IF(BY1668="Aussen","Aussenlager",IF(BY1668="-","Nicht im Lift",IF(BC1668&gt;=1,"Lift",IF(BC1668&lt;=0,"Aussenlager","teilweise")))))</f>
        <v>Aussenlager</v>
      </c>
      <c r="BG1668" s="55" t="str">
        <f aca="false">IF(A1668="","",IF(BP1668=1,"Neu; ","")&amp;IF(AND(BP1668=0,BK1668&lt;0),"negativer Bestand (Export "&amp;BK1668&amp;"); ","")&amp;IF(J1668&lt;=0,"Kein Verbrauch; ","")&amp;IF(CH1668&gt;0,"Lift "&amp;W1668&amp;" lt. Liftbericht (Fach "&amp;X1668&amp;" Stk); ",IF(BU1668=1,"Gebinde geschätzt ("&amp;T1668&amp;"); ",IF(BT1668=1,"Lose – Tablare geschätzt; ","")))&amp;IF(H1668&gt;AR1668,"Überbestand "&amp;ROUND(H1668-AR1668,0)&amp;" Stk / CHF "&amp;ROUND((H1668-AR1668)*G1668,0)&amp;"; ","")&amp;IF(AND(CA1668=1,CB1668&lt;CC1668),"MAX &lt; MB+LG; ","")&amp;IF(AND(CG1668&gt;0,CF1668*10&gt;CG1668),"zu hoch für Tablar; ","")&amp;IF(AND(BP1668=0,OR(CA1668=1,AA1668&lt;&gt;"",U1668&lt;&gt;"",V1668&lt;&gt;"",AB1668&lt;&gt;"")),"manuell übersteuert; ","")&amp;IF(AND(BT1668=0,R1668=0),"Gebinde unbekannt / Stellmass fehlt; ","")&amp;IF(AND(BT1668=0,N(V1668)&lt;=0,N(Q1668)&lt;=0),"Menge pro Gebinde fehlt (Ist = 1 Gebinde); ","")&amp;BO1668)</f>
        <v>Kein Verbrauch; Überbestand 5 Stk / CHF 840; nur im Artikelstamm (Bestand 23.06.2026); Überbestand; grosser Artikel &amp; nicht im KTL</v>
      </c>
      <c r="BH1668" s="55"/>
      <c r="BI1668" s="55"/>
      <c r="BJ1668" s="62"/>
      <c r="BK1668" s="57" t="n">
        <v>23</v>
      </c>
      <c r="BL1668" s="57" t="n">
        <v>0</v>
      </c>
      <c r="BM1668" s="56" t="n">
        <v>0</v>
      </c>
      <c r="BN1668" s="57" t="n">
        <v>0</v>
      </c>
      <c r="BO1668" s="55" t="s">
        <v>2756</v>
      </c>
      <c r="BP1668" s="60" t="n">
        <v>0</v>
      </c>
      <c r="BQ1668" s="60" t="n">
        <v>1668</v>
      </c>
      <c r="BR1668" s="55" t="str">
        <f aca="false">IF(U1668&lt;&gt;"",UPPER(TRIM(U1668)),IF(BU1668=1,UPPER(VLOOKUP(T1668,Parameter!$I$27:$K$29,2,0)),IF(P1668="","LOSE",P1668)))</f>
        <v>S71</v>
      </c>
      <c r="BS1668" s="57" t="n">
        <f aca="false">IF(BR1668="LOSE",1,IF(N(V1668)&gt;0,V1668,IF(BU1668=1,MAX(1,N(VLOOKUP(T1668,Parameter!$I$27:$K$29,3,0)),H1668,N(N1668)),IF(N(Q1668)&gt;0,Q1668,MAX(1,H1668)))))</f>
        <v>9</v>
      </c>
      <c r="BT1668" s="60" t="n">
        <f aca="false">IF(BR1668="LOSE",1,0)</f>
        <v>0</v>
      </c>
      <c r="BU1668" s="60" t="n">
        <f aca="false">IF(AND(U1668="",OR(P1668="",P1668="LOSE"),T1668&lt;&gt;"",N(S1668)&lt;=0,ISNUMBER(MATCH(T1668,Parameter!$I$27:$I$29,0))),1,0)</f>
        <v>0</v>
      </c>
      <c r="BV1668" s="55" t="str">
        <f aca="false">IF(AND(Parameter!$B$19="Ja",E1668&lt;&gt;"",ISNUMBER(MATCH(E1668,Parameter!$I$35:$I$52,0))),VLOOKUP(E1668,Parameter!$I$35:$J$52,2,0),IFERROR(VLOOKUP(D1668,Parameter!$A$35:$C$64,2,0),"Nein"))</f>
        <v>2+3</v>
      </c>
      <c r="BW1668" s="59" t="n">
        <f aca="false">IF(BT1668=0,0,IF(N(S1668)&gt;0,S1668,IFERROR(VLOOKUP(D1668,Parameter!$A$35:$C$64,3,0)+0,0)))</f>
        <v>0</v>
      </c>
      <c r="BX1668" s="55" t="n">
        <f aca="false">IF(AA1668&lt;&gt;"",AA1668,Z1668)</f>
        <v>2</v>
      </c>
      <c r="BY1668" s="55" t="str">
        <f aca="false">IF(BX1668=1,"L1",IF(OR(BX1668=2,BX1668=3),"L23",IF(BX1668="Aussen","Aussen","-")))</f>
        <v>L23</v>
      </c>
      <c r="BZ1668" s="66" t="n">
        <f aca="false">IF(N(AB1668)&gt;0,AB1668,0)</f>
        <v>0</v>
      </c>
      <c r="CA1668" s="60" t="n">
        <f aca="false">IF(ISNUMBER(AE1668),1,0)</f>
        <v>0</v>
      </c>
      <c r="CB1668" s="57" t="n">
        <f aca="false">N(AE1668)</f>
        <v>0</v>
      </c>
      <c r="CC1668" s="57" t="n">
        <f aca="false">N(M1668)+N(N1668)</f>
        <v>10</v>
      </c>
      <c r="CD1668" s="57" t="n">
        <f aca="false">ROUNDUP(H1668/BS1668,0)</f>
        <v>3</v>
      </c>
      <c r="CE1668" s="57" t="n">
        <f aca="false">ROUNDUP(CB1668/BS1668,0)</f>
        <v>0</v>
      </c>
      <c r="CF1668" s="60" t="n">
        <f aca="false">IF(BT1668=1,0,IFERROR(VLOOKUP(BR1668,'Gebinde-Kategorie'!$A$5:$M$45,5,0)+0,0))</f>
        <v>20</v>
      </c>
      <c r="CG1668" s="60" t="n">
        <f aca="false">IFERROR(IF(OR(BX1668=1,BX1668=2,BX1668=3),N(INDEX(Parameter!$I$5:$I$7,BX1668)),0),0)</f>
        <v>0</v>
      </c>
      <c r="CH1668" s="59" t="n">
        <f aca="false">IF(AND(Parameter!$B$21="Ja",ISNUMBER(W1668),N(X1668)&gt;0),IFERROR(N(INDEX(Parameter!$L$5:$L$7,W1668))*INDEX(Parameter!$E$5:$E$7,W1668)*X1668/SUMIFS($X$7:$X$1843,$W$7:$W$1843,W1668),0),0)</f>
        <v>0</v>
      </c>
    </row>
    <row r="1669" customFormat="false" ht="15" hidden="false" customHeight="false" outlineLevel="0" collapsed="false">
      <c r="A1669" s="55" t="s">
        <v>2896</v>
      </c>
      <c r="B1669" s="55" t="s">
        <v>2897</v>
      </c>
      <c r="C1669" s="55" t="s">
        <v>164</v>
      </c>
      <c r="D1669" s="55" t="s">
        <v>173</v>
      </c>
      <c r="E1669" s="55" t="s">
        <v>185</v>
      </c>
      <c r="F1669" s="55"/>
      <c r="G1669" s="56" t="n">
        <v>291.88</v>
      </c>
      <c r="H1669" s="57" t="n">
        <f aca="false">MAX(0,IF(AND(Parameter!$B$21="Ja",ISNUMBER(Y1669)),Y1669,IF(Parameter!$B$20="Jahresanfang 2025 + Export",BL1669+BK1669,BK1669)))</f>
        <v>16</v>
      </c>
      <c r="I1669" s="57" t="n">
        <f aca="false">H1669*G1669</f>
        <v>4670.08</v>
      </c>
      <c r="J1669" s="57" t="n">
        <f aca="false">BN1669*Parameter!$B$18</f>
        <v>0</v>
      </c>
      <c r="K1669" s="58"/>
      <c r="L1669" s="59"/>
      <c r="M1669" s="57" t="n">
        <v>0</v>
      </c>
      <c r="N1669" s="57" t="n">
        <v>5</v>
      </c>
      <c r="O1669" s="60" t="n">
        <v>84</v>
      </c>
      <c r="P1669" s="55" t="s">
        <v>174</v>
      </c>
      <c r="Q1669" s="57" t="n">
        <v>6</v>
      </c>
      <c r="R1669" s="60" t="n">
        <f aca="false">IF(BT1669=1,0,IFERROR(VLOOKUP(BR1669,'Gebinde-Kategorie'!$A$5:$M$45,13,0)+0,0))</f>
        <v>6</v>
      </c>
      <c r="S1669" s="61"/>
      <c r="T1669" s="62"/>
      <c r="U1669" s="62"/>
      <c r="V1669" s="62"/>
      <c r="W1669" s="55"/>
      <c r="X1669" s="57"/>
      <c r="Y1669" s="57"/>
      <c r="Z1669" s="55" t="n">
        <f aca="false">IF(A1669="","",IF(AND(Parameter!$B$21="Ja",ISNUMBER(W1669)),W1669,IF(BV1669="2+3",IF(ISNUMBER(SEARCH("grosser Artikel",BO1669)),2,IFERROR(VLOOKUP(BR1669,Parameter!$F$35:$G$64,2,0),2)),IF(OR(BV1669="Nein",BV1669=""),"-",BV1669))))</f>
        <v>2</v>
      </c>
      <c r="AA1669" s="62"/>
      <c r="AB1669" s="63"/>
      <c r="AC1669" s="57" t="n">
        <f aca="false">AR1669</f>
        <v>6</v>
      </c>
      <c r="AD1669" s="57" t="n">
        <f aca="false">MAX(AR1669,H1669)</f>
        <v>16</v>
      </c>
      <c r="AE1669" s="64"/>
      <c r="AF1669" s="57" t="n">
        <f aca="false">IF(LEFT(Cockpit!$C$5,1)="A",H1669,IF(CA1669=1,CB1669,IF(LEFT(Cockpit!$C$5,1)="B",AJ1669,MAX(AJ1669,H1669))))</f>
        <v>16</v>
      </c>
      <c r="AG1669" s="57" t="n">
        <f aca="false">IF(BT1669=1,0,ROUNDUP(AF1669/BS1669,0))</f>
        <v>3</v>
      </c>
      <c r="AH1669" s="59" t="n">
        <f aca="false">IF(CH1669&gt;0,CH1669*MAX(1,AF1669/X1669),IF(BT1669=1,IF(AF1669&lt;=0,0,BW1669*MAX(1,IF(H1669&gt;0,AF1669/H1669,1))),IF(R1669&gt;0,AG1669/R1669,0))/MAX(0.1,N(Parameter!$M$21)))</f>
        <v>0.5</v>
      </c>
      <c r="AI1669" s="57" t="n">
        <f aca="false">AF1669*G1669</f>
        <v>4670.08</v>
      </c>
      <c r="AJ1669" s="57" t="n">
        <f aca="false">ROUNDUP(MAX(J1669/IF(BZ1669&gt;0,BZ1669,MAX(0.1,N(Cockpit!$C$6))),CC1669)/BS1669,0)*BS1669</f>
        <v>6</v>
      </c>
      <c r="AK1669" s="58" t="n">
        <f aca="false">IF(AH1669&gt;0,J1669/AH1669,-1)</f>
        <v>0</v>
      </c>
      <c r="AL1669" s="58" t="n">
        <f aca="false">IF(AND(OR(BY1669="L1",BY1669="L23"),AH1669&gt;0),SUMIFS($AH$7:$AH$1843,$BY$7:$BY$1843,BY1669,$AK$7:$AK$1843,"&gt;"&amp;AK1669)+SUMIFS($AH$7:$AH$1843,$BY$7:$BY$1843,BY1669,$AK$7:$AK$1843,AK1669,$BQ$7:$BQ$1843,"&lt;="&amp;BQ1669),"")</f>
        <v>90.6870967197054</v>
      </c>
      <c r="AM1669" s="65" t="n">
        <f aca="false">IF(AL1669="",0,MAX(0,MIN(1,(IF(BY1669="L1",Parameter!$E$5,Parameter!$E$6+Parameter!$E$7)-(AL1669-AH1669))/AH1669)))</f>
        <v>1</v>
      </c>
      <c r="AN1669" s="57" t="n">
        <f aca="false">IF(LEFT(Cockpit!$I$5,1)="A",H1669,IF(CA1669=1,CB1669,IF(LEFT(Cockpit!$I$5,1)="B",AR1669,MAX(AR1669,H1669))))</f>
        <v>16</v>
      </c>
      <c r="AO1669" s="57" t="n">
        <f aca="false">IF(BT1669=1,0,ROUNDUP(AN1669/BS1669,0))</f>
        <v>3</v>
      </c>
      <c r="AP1669" s="59" t="n">
        <f aca="false">IF(CH1669&gt;0,CH1669*MAX(1,AN1669/X1669),IF(BT1669=1,IF(AN1669&lt;=0,0,BW1669*MAX(1,IF(H1669&gt;0,AN1669/H1669,1))),IF(R1669&gt;0,AO1669/R1669,0))/MAX(0.1,N(Parameter!$M$21)))</f>
        <v>0.5</v>
      </c>
      <c r="AQ1669" s="57" t="n">
        <f aca="false">AN1669*G1669</f>
        <v>4670.08</v>
      </c>
      <c r="AR1669" s="57" t="n">
        <f aca="false">ROUNDUP(MAX(J1669/IF(BZ1669&gt;0,BZ1669,MAX(0.1,N(Cockpit!$I$6))),CC1669)/BS1669,0)*BS1669</f>
        <v>6</v>
      </c>
      <c r="AS1669" s="58" t="n">
        <f aca="false">IF(AP1669&gt;0,J1669/AP1669,-1)</f>
        <v>0</v>
      </c>
      <c r="AT1669" s="58" t="n">
        <f aca="false">IF(AND(OR(BY1669="L1",BY1669="L23"),AP1669&gt;0),SUMIFS($AP$7:$AP$1843,$BY$7:$BY$1843,BY1669,$AS$7:$AS$1843,"&gt;"&amp;AS1669)+SUMIFS($AP$7:$AP$1843,$BY$7:$BY$1843,BY1669,$AS$7:$AS$1843,AS1669,$BQ$7:$BQ$1843,"&lt;="&amp;BQ1669),"")</f>
        <v>135.939233471842</v>
      </c>
      <c r="AU1669" s="65" t="n">
        <f aca="false">IF(AT1669="",0,MAX(0,MIN(1,(IF(BY1669="L1",Parameter!$E$5,Parameter!$E$6+Parameter!$E$7)-(AT1669-AP1669))/AP1669)))</f>
        <v>0</v>
      </c>
      <c r="AV1669" s="57" t="n">
        <f aca="false">IF(LEFT(Cockpit!$O$5,1)="A",H1669,IF(CA1669=1,CB1669,IF(LEFT(Cockpit!$O$5,1)="B",AZ1669,MAX(AZ1669,H1669))))</f>
        <v>16</v>
      </c>
      <c r="AW1669" s="57" t="n">
        <f aca="false">IF(BT1669=1,0,ROUNDUP(AV1669/BS1669,0))</f>
        <v>3</v>
      </c>
      <c r="AX1669" s="59" t="n">
        <f aca="false">IF(CH1669&gt;0,CH1669*MAX(1,AV1669/X1669),IF(BT1669=1,IF(AV1669&lt;=0,0,BW1669*MAX(1,IF(H1669&gt;0,AV1669/H1669,1))),IF(R1669&gt;0,AW1669/R1669,0))/MAX(0.1,N(Parameter!$M$21)))</f>
        <v>0.5</v>
      </c>
      <c r="AY1669" s="57" t="n">
        <f aca="false">AV1669*G1669</f>
        <v>4670.08</v>
      </c>
      <c r="AZ1669" s="57" t="n">
        <f aca="false">ROUNDUP(MAX(J1669/IF(BZ1669&gt;0,BZ1669,MAX(0.1,N(Cockpit!$O$6))),CC1669)/BS1669,0)*BS1669</f>
        <v>6</v>
      </c>
      <c r="BA1669" s="58" t="n">
        <f aca="false">IF(AX1669&gt;0,J1669/AX1669,-1)</f>
        <v>0</v>
      </c>
      <c r="BB1669" s="58" t="n">
        <f aca="false">IF(AND(OR(BY1669="L1",BY1669="L23"),AX1669&gt;0),SUMIFS($AX$7:$AX$1843,$BY$7:$BY$1843,BY1669,$BA$7:$BA$1843,"&gt;"&amp;BA1669)+SUMIFS($AX$7:$AX$1843,$BY$7:$BY$1843,BY1669,$BA$7:$BA$1843,BA1669,$BQ$7:$BQ$1843,"&lt;="&amp;BQ1669),"")</f>
        <v>126.769070301679</v>
      </c>
      <c r="BC1669" s="65" t="n">
        <f aca="false">IF(BB1669="",0,MAX(0,MIN(1,(IF(BY1669="L1",Parameter!$E$5,Parameter!$E$6+Parameter!$E$7)-(BB1669-AX1669))/AX1669)))</f>
        <v>0</v>
      </c>
      <c r="BD1669" s="55" t="str">
        <f aca="false">IF(AH1669&lt;=0,"",IF(BY1669="Aussen","Aussenlager",IF(BY1669="-","Nicht im Lift",IF(AM1669&gt;=1,"Lift",IF(AM1669&lt;=0,"Aussenlager","teilweise")))))</f>
        <v>Lift</v>
      </c>
      <c r="BE1669" s="55" t="str">
        <f aca="false">IF(AP1669&lt;=0,"",IF(BY1669="Aussen","Aussenlager",IF(BY1669="-","Nicht im Lift",IF(AU1669&gt;=1,"Lift",IF(AU1669&lt;=0,"Aussenlager","teilweise")))))</f>
        <v>Aussenlager</v>
      </c>
      <c r="BF1669" s="55" t="str">
        <f aca="false">IF(AX1669&lt;=0,"",IF(BY1669="Aussen","Aussenlager",IF(BY1669="-","Nicht im Lift",IF(BC1669&gt;=1,"Lift",IF(BC1669&lt;=0,"Aussenlager","teilweise")))))</f>
        <v>Aussenlager</v>
      </c>
      <c r="BG1669" s="55" t="str">
        <f aca="false">IF(A1669="","",IF(BP1669=1,"Neu; ","")&amp;IF(AND(BP1669=0,BK1669&lt;0),"negativer Bestand (Export "&amp;BK1669&amp;"); ","")&amp;IF(J1669&lt;=0,"Kein Verbrauch; ","")&amp;IF(CH1669&gt;0,"Lift "&amp;W1669&amp;" lt. Liftbericht (Fach "&amp;X1669&amp;" Stk); ",IF(BU1669=1,"Gebinde geschätzt ("&amp;T1669&amp;"); ",IF(BT1669=1,"Lose – Tablare geschätzt; ","")))&amp;IF(H1669&gt;AR1669,"Überbestand "&amp;ROUND(H1669-AR1669,0)&amp;" Stk / CHF "&amp;ROUND((H1669-AR1669)*G1669,0)&amp;"; ","")&amp;IF(AND(CA1669=1,CB1669&lt;CC1669),"MAX &lt; MB+LG; ","")&amp;IF(AND(CG1669&gt;0,CF1669*10&gt;CG1669),"zu hoch für Tablar; ","")&amp;IF(AND(BP1669=0,OR(CA1669=1,AA1669&lt;&gt;"",U1669&lt;&gt;"",V1669&lt;&gt;"",AB1669&lt;&gt;"")),"manuell übersteuert; ","")&amp;IF(AND(BT1669=0,R1669=0),"Gebinde unbekannt / Stellmass fehlt; ","")&amp;IF(AND(BT1669=0,N(V1669)&lt;=0,N(Q1669)&lt;=0),"Menge pro Gebinde fehlt (Ist = 1 Gebinde); ","")&amp;BO1669)</f>
        <v>Kein Verbrauch; Überbestand 10 Stk / CHF 2919; nur im Artikelstamm (Bestand 23.06.2026); Überbestand; grosser Artikel &amp; nicht im KTL</v>
      </c>
      <c r="BH1669" s="55"/>
      <c r="BI1669" s="55"/>
      <c r="BJ1669" s="62"/>
      <c r="BK1669" s="57" t="n">
        <v>16</v>
      </c>
      <c r="BL1669" s="57" t="n">
        <v>0</v>
      </c>
      <c r="BM1669" s="56" t="n">
        <v>0</v>
      </c>
      <c r="BN1669" s="57" t="n">
        <v>0</v>
      </c>
      <c r="BO1669" s="55" t="s">
        <v>2756</v>
      </c>
      <c r="BP1669" s="60" t="n">
        <v>0</v>
      </c>
      <c r="BQ1669" s="60" t="n">
        <v>1669</v>
      </c>
      <c r="BR1669" s="55" t="str">
        <f aca="false">IF(U1669&lt;&gt;"",UPPER(TRIM(U1669)),IF(BU1669=1,UPPER(VLOOKUP(T1669,Parameter!$I$27:$K$29,2,0)),IF(P1669="","LOSE",P1669)))</f>
        <v>S71</v>
      </c>
      <c r="BS1669" s="57" t="n">
        <f aca="false">IF(BR1669="LOSE",1,IF(N(V1669)&gt;0,V1669,IF(BU1669=1,MAX(1,N(VLOOKUP(T1669,Parameter!$I$27:$K$29,3,0)),H1669,N(N1669)),IF(N(Q1669)&gt;0,Q1669,MAX(1,H1669)))))</f>
        <v>6</v>
      </c>
      <c r="BT1669" s="60" t="n">
        <f aca="false">IF(BR1669="LOSE",1,0)</f>
        <v>0</v>
      </c>
      <c r="BU1669" s="60" t="n">
        <f aca="false">IF(AND(U1669="",OR(P1669="",P1669="LOSE"),T1669&lt;&gt;"",N(S1669)&lt;=0,ISNUMBER(MATCH(T1669,Parameter!$I$27:$I$29,0))),1,0)</f>
        <v>0</v>
      </c>
      <c r="BV1669" s="55" t="str">
        <f aca="false">IF(AND(Parameter!$B$19="Ja",E1669&lt;&gt;"",ISNUMBER(MATCH(E1669,Parameter!$I$35:$I$52,0))),VLOOKUP(E1669,Parameter!$I$35:$J$52,2,0),IFERROR(VLOOKUP(D1669,Parameter!$A$35:$C$64,2,0),"Nein"))</f>
        <v>2+3</v>
      </c>
      <c r="BW1669" s="59" t="n">
        <f aca="false">IF(BT1669=0,0,IF(N(S1669)&gt;0,S1669,IFERROR(VLOOKUP(D1669,Parameter!$A$35:$C$64,3,0)+0,0)))</f>
        <v>0</v>
      </c>
      <c r="BX1669" s="55" t="n">
        <f aca="false">IF(AA1669&lt;&gt;"",AA1669,Z1669)</f>
        <v>2</v>
      </c>
      <c r="BY1669" s="55" t="str">
        <f aca="false">IF(BX1669=1,"L1",IF(OR(BX1669=2,BX1669=3),"L23",IF(BX1669="Aussen","Aussen","-")))</f>
        <v>L23</v>
      </c>
      <c r="BZ1669" s="66" t="n">
        <f aca="false">IF(N(AB1669)&gt;0,AB1669,0)</f>
        <v>0</v>
      </c>
      <c r="CA1669" s="60" t="n">
        <f aca="false">IF(ISNUMBER(AE1669),1,0)</f>
        <v>0</v>
      </c>
      <c r="CB1669" s="57" t="n">
        <f aca="false">N(AE1669)</f>
        <v>0</v>
      </c>
      <c r="CC1669" s="57" t="n">
        <f aca="false">N(M1669)+N(N1669)</f>
        <v>5</v>
      </c>
      <c r="CD1669" s="57" t="n">
        <f aca="false">ROUNDUP(H1669/BS1669,0)</f>
        <v>3</v>
      </c>
      <c r="CE1669" s="57" t="n">
        <f aca="false">ROUNDUP(CB1669/BS1669,0)</f>
        <v>0</v>
      </c>
      <c r="CF1669" s="60" t="n">
        <f aca="false">IF(BT1669=1,0,IFERROR(VLOOKUP(BR1669,'Gebinde-Kategorie'!$A$5:$M$45,5,0)+0,0))</f>
        <v>20</v>
      </c>
      <c r="CG1669" s="60" t="n">
        <f aca="false">IFERROR(IF(OR(BX1669=1,BX1669=2,BX1669=3),N(INDEX(Parameter!$I$5:$I$7,BX1669)),0),0)</f>
        <v>0</v>
      </c>
      <c r="CH1669" s="59" t="n">
        <f aca="false">IF(AND(Parameter!$B$21="Ja",ISNUMBER(W1669),N(X1669)&gt;0),IFERROR(N(INDEX(Parameter!$L$5:$L$7,W1669))*INDEX(Parameter!$E$5:$E$7,W1669)*X1669/SUMIFS($X$7:$X$1843,$W$7:$W$1843,W1669),0),0)</f>
        <v>0</v>
      </c>
    </row>
    <row r="1670" customFormat="false" ht="15" hidden="false" customHeight="false" outlineLevel="0" collapsed="false">
      <c r="A1670" s="55" t="s">
        <v>2898</v>
      </c>
      <c r="B1670" s="55" t="s">
        <v>2895</v>
      </c>
      <c r="C1670" s="55" t="s">
        <v>164</v>
      </c>
      <c r="D1670" s="55" t="s">
        <v>173</v>
      </c>
      <c r="E1670" s="55" t="s">
        <v>185</v>
      </c>
      <c r="F1670" s="55"/>
      <c r="G1670" s="56" t="n">
        <v>292.31</v>
      </c>
      <c r="H1670" s="57" t="n">
        <f aca="false">MAX(0,IF(AND(Parameter!$B$21="Ja",ISNUMBER(Y1670)),Y1670,IF(Parameter!$B$20="Jahresanfang 2025 + Export",BL1670+BK1670,BK1670)))</f>
        <v>11</v>
      </c>
      <c r="I1670" s="57" t="n">
        <f aca="false">H1670*G1670</f>
        <v>3215.41</v>
      </c>
      <c r="J1670" s="57" t="n">
        <f aca="false">BN1670*Parameter!$B$18</f>
        <v>0</v>
      </c>
      <c r="K1670" s="58"/>
      <c r="L1670" s="59"/>
      <c r="M1670" s="57" t="n">
        <v>0</v>
      </c>
      <c r="N1670" s="57" t="n">
        <v>5</v>
      </c>
      <c r="O1670" s="60" t="n">
        <v>84</v>
      </c>
      <c r="P1670" s="55" t="s">
        <v>174</v>
      </c>
      <c r="Q1670" s="57" t="n">
        <v>5</v>
      </c>
      <c r="R1670" s="60" t="n">
        <f aca="false">IF(BT1670=1,0,IFERROR(VLOOKUP(BR1670,'Gebinde-Kategorie'!$A$5:$M$45,13,0)+0,0))</f>
        <v>6</v>
      </c>
      <c r="S1670" s="61"/>
      <c r="T1670" s="62"/>
      <c r="U1670" s="62"/>
      <c r="V1670" s="62"/>
      <c r="W1670" s="55"/>
      <c r="X1670" s="57"/>
      <c r="Y1670" s="57"/>
      <c r="Z1670" s="55" t="n">
        <f aca="false">IF(A1670="","",IF(AND(Parameter!$B$21="Ja",ISNUMBER(W1670)),W1670,IF(BV1670="2+3",IF(ISNUMBER(SEARCH("grosser Artikel",BO1670)),2,IFERROR(VLOOKUP(BR1670,Parameter!$F$35:$G$64,2,0),2)),IF(OR(BV1670="Nein",BV1670=""),"-",BV1670))))</f>
        <v>2</v>
      </c>
      <c r="AA1670" s="62"/>
      <c r="AB1670" s="63"/>
      <c r="AC1670" s="57" t="n">
        <f aca="false">AR1670</f>
        <v>5</v>
      </c>
      <c r="AD1670" s="57" t="n">
        <f aca="false">MAX(AR1670,H1670)</f>
        <v>11</v>
      </c>
      <c r="AE1670" s="64"/>
      <c r="AF1670" s="57" t="n">
        <f aca="false">IF(LEFT(Cockpit!$C$5,1)="A",H1670,IF(CA1670=1,CB1670,IF(LEFT(Cockpit!$C$5,1)="B",AJ1670,MAX(AJ1670,H1670))))</f>
        <v>11</v>
      </c>
      <c r="AG1670" s="57" t="n">
        <f aca="false">IF(BT1670=1,0,ROUNDUP(AF1670/BS1670,0))</f>
        <v>3</v>
      </c>
      <c r="AH1670" s="59" t="n">
        <f aca="false">IF(CH1670&gt;0,CH1670*MAX(1,AF1670/X1670),IF(BT1670=1,IF(AF1670&lt;=0,0,BW1670*MAX(1,IF(H1670&gt;0,AF1670/H1670,1))),IF(R1670&gt;0,AG1670/R1670,0))/MAX(0.1,N(Parameter!$M$21)))</f>
        <v>0.5</v>
      </c>
      <c r="AI1670" s="57" t="n">
        <f aca="false">AF1670*G1670</f>
        <v>3215.41</v>
      </c>
      <c r="AJ1670" s="57" t="n">
        <f aca="false">ROUNDUP(MAX(J1670/IF(BZ1670&gt;0,BZ1670,MAX(0.1,N(Cockpit!$C$6))),CC1670)/BS1670,0)*BS1670</f>
        <v>5</v>
      </c>
      <c r="AK1670" s="58" t="n">
        <f aca="false">IF(AH1670&gt;0,J1670/AH1670,-1)</f>
        <v>0</v>
      </c>
      <c r="AL1670" s="58" t="n">
        <f aca="false">IF(AND(OR(BY1670="L1",BY1670="L23"),AH1670&gt;0),SUMIFS($AH$7:$AH$1843,$BY$7:$BY$1843,BY1670,$AK$7:$AK$1843,"&gt;"&amp;AK1670)+SUMIFS($AH$7:$AH$1843,$BY$7:$BY$1843,BY1670,$AK$7:$AK$1843,AK1670,$BQ$7:$BQ$1843,"&lt;="&amp;BQ1670),"")</f>
        <v>91.1870967197054</v>
      </c>
      <c r="AM1670" s="65" t="n">
        <f aca="false">IF(AL1670="",0,MAX(0,MIN(1,(IF(BY1670="L1",Parameter!$E$5,Parameter!$E$6+Parameter!$E$7)-(AL1670-AH1670))/AH1670)))</f>
        <v>1</v>
      </c>
      <c r="AN1670" s="57" t="n">
        <f aca="false">IF(LEFT(Cockpit!$I$5,1)="A",H1670,IF(CA1670=1,CB1670,IF(LEFT(Cockpit!$I$5,1)="B",AR1670,MAX(AR1670,H1670))))</f>
        <v>11</v>
      </c>
      <c r="AO1670" s="57" t="n">
        <f aca="false">IF(BT1670=1,0,ROUNDUP(AN1670/BS1670,0))</f>
        <v>3</v>
      </c>
      <c r="AP1670" s="59" t="n">
        <f aca="false">IF(CH1670&gt;0,CH1670*MAX(1,AN1670/X1670),IF(BT1670=1,IF(AN1670&lt;=0,0,BW1670*MAX(1,IF(H1670&gt;0,AN1670/H1670,1))),IF(R1670&gt;0,AO1670/R1670,0))/MAX(0.1,N(Parameter!$M$21)))</f>
        <v>0.5</v>
      </c>
      <c r="AQ1670" s="57" t="n">
        <f aca="false">AN1670*G1670</f>
        <v>3215.41</v>
      </c>
      <c r="AR1670" s="57" t="n">
        <f aca="false">ROUNDUP(MAX(J1670/IF(BZ1670&gt;0,BZ1670,MAX(0.1,N(Cockpit!$I$6))),CC1670)/BS1670,0)*BS1670</f>
        <v>5</v>
      </c>
      <c r="AS1670" s="58" t="n">
        <f aca="false">IF(AP1670&gt;0,J1670/AP1670,-1)</f>
        <v>0</v>
      </c>
      <c r="AT1670" s="58" t="n">
        <f aca="false">IF(AND(OR(BY1670="L1",BY1670="L23"),AP1670&gt;0),SUMIFS($AP$7:$AP$1843,$BY$7:$BY$1843,BY1670,$AS$7:$AS$1843,"&gt;"&amp;AS1670)+SUMIFS($AP$7:$AP$1843,$BY$7:$BY$1843,BY1670,$AS$7:$AS$1843,AS1670,$BQ$7:$BQ$1843,"&lt;="&amp;BQ1670),"")</f>
        <v>136.439233471842</v>
      </c>
      <c r="AU1670" s="65" t="n">
        <f aca="false">IF(AT1670="",0,MAX(0,MIN(1,(IF(BY1670="L1",Parameter!$E$5,Parameter!$E$6+Parameter!$E$7)-(AT1670-AP1670))/AP1670)))</f>
        <v>0</v>
      </c>
      <c r="AV1670" s="57" t="n">
        <f aca="false">IF(LEFT(Cockpit!$O$5,1)="A",H1670,IF(CA1670=1,CB1670,IF(LEFT(Cockpit!$O$5,1)="B",AZ1670,MAX(AZ1670,H1670))))</f>
        <v>11</v>
      </c>
      <c r="AW1670" s="57" t="n">
        <f aca="false">IF(BT1670=1,0,ROUNDUP(AV1670/BS1670,0))</f>
        <v>3</v>
      </c>
      <c r="AX1670" s="59" t="n">
        <f aca="false">IF(CH1670&gt;0,CH1670*MAX(1,AV1670/X1670),IF(BT1670=1,IF(AV1670&lt;=0,0,BW1670*MAX(1,IF(H1670&gt;0,AV1670/H1670,1))),IF(R1670&gt;0,AW1670/R1670,0))/MAX(0.1,N(Parameter!$M$21)))</f>
        <v>0.5</v>
      </c>
      <c r="AY1670" s="57" t="n">
        <f aca="false">AV1670*G1670</f>
        <v>3215.41</v>
      </c>
      <c r="AZ1670" s="57" t="n">
        <f aca="false">ROUNDUP(MAX(J1670/IF(BZ1670&gt;0,BZ1670,MAX(0.1,N(Cockpit!$O$6))),CC1670)/BS1670,0)*BS1670</f>
        <v>5</v>
      </c>
      <c r="BA1670" s="58" t="n">
        <f aca="false">IF(AX1670&gt;0,J1670/AX1670,-1)</f>
        <v>0</v>
      </c>
      <c r="BB1670" s="58" t="n">
        <f aca="false">IF(AND(OR(BY1670="L1",BY1670="L23"),AX1670&gt;0),SUMIFS($AX$7:$AX$1843,$BY$7:$BY$1843,BY1670,$BA$7:$BA$1843,"&gt;"&amp;BA1670)+SUMIFS($AX$7:$AX$1843,$BY$7:$BY$1843,BY1670,$BA$7:$BA$1843,BA1670,$BQ$7:$BQ$1843,"&lt;="&amp;BQ1670),"")</f>
        <v>127.269070301679</v>
      </c>
      <c r="BC1670" s="65" t="n">
        <f aca="false">IF(BB1670="",0,MAX(0,MIN(1,(IF(BY1670="L1",Parameter!$E$5,Parameter!$E$6+Parameter!$E$7)-(BB1670-AX1670))/AX1670)))</f>
        <v>0</v>
      </c>
      <c r="BD1670" s="55" t="str">
        <f aca="false">IF(AH1670&lt;=0,"",IF(BY1670="Aussen","Aussenlager",IF(BY1670="-","Nicht im Lift",IF(AM1670&gt;=1,"Lift",IF(AM1670&lt;=0,"Aussenlager","teilweise")))))</f>
        <v>Lift</v>
      </c>
      <c r="BE1670" s="55" t="str">
        <f aca="false">IF(AP1670&lt;=0,"",IF(BY1670="Aussen","Aussenlager",IF(BY1670="-","Nicht im Lift",IF(AU1670&gt;=1,"Lift",IF(AU1670&lt;=0,"Aussenlager","teilweise")))))</f>
        <v>Aussenlager</v>
      </c>
      <c r="BF1670" s="55" t="str">
        <f aca="false">IF(AX1670&lt;=0,"",IF(BY1670="Aussen","Aussenlager",IF(BY1670="-","Nicht im Lift",IF(BC1670&gt;=1,"Lift",IF(BC1670&lt;=0,"Aussenlager","teilweise")))))</f>
        <v>Aussenlager</v>
      </c>
      <c r="BG1670" s="55" t="str">
        <f aca="false">IF(A1670="","",IF(BP1670=1,"Neu; ","")&amp;IF(AND(BP1670=0,BK1670&lt;0),"negativer Bestand (Export "&amp;BK1670&amp;"); ","")&amp;IF(J1670&lt;=0,"Kein Verbrauch; ","")&amp;IF(CH1670&gt;0,"Lift "&amp;W1670&amp;" lt. Liftbericht (Fach "&amp;X1670&amp;" Stk); ",IF(BU1670=1,"Gebinde geschätzt ("&amp;T1670&amp;"); ",IF(BT1670=1,"Lose – Tablare geschätzt; ","")))&amp;IF(H1670&gt;AR1670,"Überbestand "&amp;ROUND(H1670-AR1670,0)&amp;" Stk / CHF "&amp;ROUND((H1670-AR1670)*G1670,0)&amp;"; ","")&amp;IF(AND(CA1670=1,CB1670&lt;CC1670),"MAX &lt; MB+LG; ","")&amp;IF(AND(CG1670&gt;0,CF1670*10&gt;CG1670),"zu hoch für Tablar; ","")&amp;IF(AND(BP1670=0,OR(CA1670=1,AA1670&lt;&gt;"",U1670&lt;&gt;"",V1670&lt;&gt;"",AB1670&lt;&gt;"")),"manuell übersteuert; ","")&amp;IF(AND(BT1670=0,R1670=0),"Gebinde unbekannt / Stellmass fehlt; ","")&amp;IF(AND(BT1670=0,N(V1670)&lt;=0,N(Q1670)&lt;=0),"Menge pro Gebinde fehlt (Ist = 1 Gebinde); ","")&amp;BO1670)</f>
        <v>Kein Verbrauch; Überbestand 6 Stk / CHF 1754; nur im Artikelstamm (Bestand 23.06.2026); Überbestand; grosser Artikel &amp; nicht im KTL</v>
      </c>
      <c r="BH1670" s="55"/>
      <c r="BI1670" s="55"/>
      <c r="BJ1670" s="62"/>
      <c r="BK1670" s="57" t="n">
        <v>11</v>
      </c>
      <c r="BL1670" s="57" t="n">
        <v>0</v>
      </c>
      <c r="BM1670" s="56" t="n">
        <v>0</v>
      </c>
      <c r="BN1670" s="57" t="n">
        <v>0</v>
      </c>
      <c r="BO1670" s="55" t="s">
        <v>2756</v>
      </c>
      <c r="BP1670" s="60" t="n">
        <v>0</v>
      </c>
      <c r="BQ1670" s="60" t="n">
        <v>1670</v>
      </c>
      <c r="BR1670" s="55" t="str">
        <f aca="false">IF(U1670&lt;&gt;"",UPPER(TRIM(U1670)),IF(BU1670=1,UPPER(VLOOKUP(T1670,Parameter!$I$27:$K$29,2,0)),IF(P1670="","LOSE",P1670)))</f>
        <v>S71</v>
      </c>
      <c r="BS1670" s="57" t="n">
        <f aca="false">IF(BR1670="LOSE",1,IF(N(V1670)&gt;0,V1670,IF(BU1670=1,MAX(1,N(VLOOKUP(T1670,Parameter!$I$27:$K$29,3,0)),H1670,N(N1670)),IF(N(Q1670)&gt;0,Q1670,MAX(1,H1670)))))</f>
        <v>5</v>
      </c>
      <c r="BT1670" s="60" t="n">
        <f aca="false">IF(BR1670="LOSE",1,0)</f>
        <v>0</v>
      </c>
      <c r="BU1670" s="60" t="n">
        <f aca="false">IF(AND(U1670="",OR(P1670="",P1670="LOSE"),T1670&lt;&gt;"",N(S1670)&lt;=0,ISNUMBER(MATCH(T1670,Parameter!$I$27:$I$29,0))),1,0)</f>
        <v>0</v>
      </c>
      <c r="BV1670" s="55" t="str">
        <f aca="false">IF(AND(Parameter!$B$19="Ja",E1670&lt;&gt;"",ISNUMBER(MATCH(E1670,Parameter!$I$35:$I$52,0))),VLOOKUP(E1670,Parameter!$I$35:$J$52,2,0),IFERROR(VLOOKUP(D1670,Parameter!$A$35:$C$64,2,0),"Nein"))</f>
        <v>2+3</v>
      </c>
      <c r="BW1670" s="59" t="n">
        <f aca="false">IF(BT1670=0,0,IF(N(S1670)&gt;0,S1670,IFERROR(VLOOKUP(D1670,Parameter!$A$35:$C$64,3,0)+0,0)))</f>
        <v>0</v>
      </c>
      <c r="BX1670" s="55" t="n">
        <f aca="false">IF(AA1670&lt;&gt;"",AA1670,Z1670)</f>
        <v>2</v>
      </c>
      <c r="BY1670" s="55" t="str">
        <f aca="false">IF(BX1670=1,"L1",IF(OR(BX1670=2,BX1670=3),"L23",IF(BX1670="Aussen","Aussen","-")))</f>
        <v>L23</v>
      </c>
      <c r="BZ1670" s="66" t="n">
        <f aca="false">IF(N(AB1670)&gt;0,AB1670,0)</f>
        <v>0</v>
      </c>
      <c r="CA1670" s="60" t="n">
        <f aca="false">IF(ISNUMBER(AE1670),1,0)</f>
        <v>0</v>
      </c>
      <c r="CB1670" s="57" t="n">
        <f aca="false">N(AE1670)</f>
        <v>0</v>
      </c>
      <c r="CC1670" s="57" t="n">
        <f aca="false">N(M1670)+N(N1670)</f>
        <v>5</v>
      </c>
      <c r="CD1670" s="57" t="n">
        <f aca="false">ROUNDUP(H1670/BS1670,0)</f>
        <v>3</v>
      </c>
      <c r="CE1670" s="57" t="n">
        <f aca="false">ROUNDUP(CB1670/BS1670,0)</f>
        <v>0</v>
      </c>
      <c r="CF1670" s="60" t="n">
        <f aca="false">IF(BT1670=1,0,IFERROR(VLOOKUP(BR1670,'Gebinde-Kategorie'!$A$5:$M$45,5,0)+0,0))</f>
        <v>20</v>
      </c>
      <c r="CG1670" s="60" t="n">
        <f aca="false">IFERROR(IF(OR(BX1670=1,BX1670=2,BX1670=3),N(INDEX(Parameter!$I$5:$I$7,BX1670)),0),0)</f>
        <v>0</v>
      </c>
      <c r="CH1670" s="59" t="n">
        <f aca="false">IF(AND(Parameter!$B$21="Ja",ISNUMBER(W1670),N(X1670)&gt;0),IFERROR(N(INDEX(Parameter!$L$5:$L$7,W1670))*INDEX(Parameter!$E$5:$E$7,W1670)*X1670/SUMIFS($X$7:$X$1843,$W$7:$W$1843,W1670),0),0)</f>
        <v>0</v>
      </c>
    </row>
    <row r="1671" customFormat="false" ht="15" hidden="false" customHeight="false" outlineLevel="0" collapsed="false">
      <c r="A1671" s="55" t="s">
        <v>2899</v>
      </c>
      <c r="B1671" s="55" t="s">
        <v>2900</v>
      </c>
      <c r="C1671" s="55" t="s">
        <v>164</v>
      </c>
      <c r="D1671" s="55" t="s">
        <v>173</v>
      </c>
      <c r="E1671" s="55"/>
      <c r="F1671" s="55"/>
      <c r="G1671" s="56" t="n">
        <v>0</v>
      </c>
      <c r="H1671" s="57" t="n">
        <f aca="false">MAX(0,IF(AND(Parameter!$B$21="Ja",ISNUMBER(Y1671)),Y1671,IF(Parameter!$B$20="Jahresanfang 2025 + Export",BL1671+BK1671,BK1671)))</f>
        <v>2</v>
      </c>
      <c r="I1671" s="57" t="n">
        <f aca="false">H1671*G1671</f>
        <v>0</v>
      </c>
      <c r="J1671" s="57" t="n">
        <f aca="false">BN1671*Parameter!$B$18</f>
        <v>0</v>
      </c>
      <c r="K1671" s="58"/>
      <c r="L1671" s="59"/>
      <c r="M1671" s="57" t="n">
        <v>0</v>
      </c>
      <c r="N1671" s="57" t="n">
        <v>1</v>
      </c>
      <c r="O1671" s="60" t="n">
        <v>0</v>
      </c>
      <c r="P1671" s="55" t="s">
        <v>223</v>
      </c>
      <c r="Q1671" s="57" t="n">
        <v>10</v>
      </c>
      <c r="R1671" s="60" t="n">
        <f aca="false">IF(BT1671=1,0,IFERROR(VLOOKUP(BR1671,'Gebinde-Kategorie'!$A$5:$M$45,13,0)+0,0))</f>
        <v>3</v>
      </c>
      <c r="S1671" s="61"/>
      <c r="T1671" s="62"/>
      <c r="U1671" s="62"/>
      <c r="V1671" s="62"/>
      <c r="W1671" s="55"/>
      <c r="X1671" s="57"/>
      <c r="Y1671" s="57"/>
      <c r="Z1671" s="55" t="n">
        <f aca="false">IF(A1671="","",IF(AND(Parameter!$B$21="Ja",ISNUMBER(W1671)),W1671,IF(BV1671="2+3",IF(ISNUMBER(SEARCH("grosser Artikel",BO1671)),2,IFERROR(VLOOKUP(BR1671,Parameter!$F$35:$G$64,2,0),2)),IF(OR(BV1671="Nein",BV1671=""),"-",BV1671))))</f>
        <v>2</v>
      </c>
      <c r="AA1671" s="62"/>
      <c r="AB1671" s="63"/>
      <c r="AC1671" s="57" t="n">
        <f aca="false">AR1671</f>
        <v>10</v>
      </c>
      <c r="AD1671" s="57" t="n">
        <f aca="false">MAX(AR1671,H1671)</f>
        <v>10</v>
      </c>
      <c r="AE1671" s="64"/>
      <c r="AF1671" s="57" t="n">
        <f aca="false">IF(LEFT(Cockpit!$C$5,1)="A",H1671,IF(CA1671=1,CB1671,IF(LEFT(Cockpit!$C$5,1)="B",AJ1671,MAX(AJ1671,H1671))))</f>
        <v>2</v>
      </c>
      <c r="AG1671" s="57" t="n">
        <f aca="false">IF(BT1671=1,0,ROUNDUP(AF1671/BS1671,0))</f>
        <v>1</v>
      </c>
      <c r="AH1671" s="59" t="n">
        <f aca="false">IF(CH1671&gt;0,CH1671*MAX(1,AF1671/X1671),IF(BT1671=1,IF(AF1671&lt;=0,0,BW1671*MAX(1,IF(H1671&gt;0,AF1671/H1671,1))),IF(R1671&gt;0,AG1671/R1671,0))/MAX(0.1,N(Parameter!$M$21)))</f>
        <v>0.333333333333333</v>
      </c>
      <c r="AI1671" s="57" t="n">
        <f aca="false">AF1671*G1671</f>
        <v>0</v>
      </c>
      <c r="AJ1671" s="57" t="n">
        <f aca="false">ROUNDUP(MAX(J1671/IF(BZ1671&gt;0,BZ1671,MAX(0.1,N(Cockpit!$C$6))),CC1671)/BS1671,0)*BS1671</f>
        <v>10</v>
      </c>
      <c r="AK1671" s="58" t="n">
        <f aca="false">IF(AH1671&gt;0,J1671/AH1671,-1)</f>
        <v>0</v>
      </c>
      <c r="AL1671" s="58" t="n">
        <f aca="false">IF(AND(OR(BY1671="L1",BY1671="L23"),AH1671&gt;0),SUMIFS($AH$7:$AH$1843,$BY$7:$BY$1843,BY1671,$AK$7:$AK$1843,"&gt;"&amp;AK1671)+SUMIFS($AH$7:$AH$1843,$BY$7:$BY$1843,BY1671,$AK$7:$AK$1843,AK1671,$BQ$7:$BQ$1843,"&lt;="&amp;BQ1671),"")</f>
        <v>91.5204300530388</v>
      </c>
      <c r="AM1671" s="65" t="n">
        <f aca="false">IF(AL1671="",0,MAX(0,MIN(1,(IF(BY1671="L1",Parameter!$E$5,Parameter!$E$6+Parameter!$E$7)-(AL1671-AH1671))/AH1671)))</f>
        <v>1</v>
      </c>
      <c r="AN1671" s="57" t="n">
        <f aca="false">IF(LEFT(Cockpit!$I$5,1)="A",H1671,IF(CA1671=1,CB1671,IF(LEFT(Cockpit!$I$5,1)="B",AR1671,MAX(AR1671,H1671))))</f>
        <v>10</v>
      </c>
      <c r="AO1671" s="57" t="n">
        <f aca="false">IF(BT1671=1,0,ROUNDUP(AN1671/BS1671,0))</f>
        <v>1</v>
      </c>
      <c r="AP1671" s="59" t="n">
        <f aca="false">IF(CH1671&gt;0,CH1671*MAX(1,AN1671/X1671),IF(BT1671=1,IF(AN1671&lt;=0,0,BW1671*MAX(1,IF(H1671&gt;0,AN1671/H1671,1))),IF(R1671&gt;0,AO1671/R1671,0))/MAX(0.1,N(Parameter!$M$21)))</f>
        <v>0.333333333333333</v>
      </c>
      <c r="AQ1671" s="57" t="n">
        <f aca="false">AN1671*G1671</f>
        <v>0</v>
      </c>
      <c r="AR1671" s="57" t="n">
        <f aca="false">ROUNDUP(MAX(J1671/IF(BZ1671&gt;0,BZ1671,MAX(0.1,N(Cockpit!$I$6))),CC1671)/BS1671,0)*BS1671</f>
        <v>10</v>
      </c>
      <c r="AS1671" s="58" t="n">
        <f aca="false">IF(AP1671&gt;0,J1671/AP1671,-1)</f>
        <v>0</v>
      </c>
      <c r="AT1671" s="58" t="n">
        <f aca="false">IF(AND(OR(BY1671="L1",BY1671="L23"),AP1671&gt;0),SUMIFS($AP$7:$AP$1843,$BY$7:$BY$1843,BY1671,$AS$7:$AS$1843,"&gt;"&amp;AS1671)+SUMIFS($AP$7:$AP$1843,$BY$7:$BY$1843,BY1671,$AS$7:$AS$1843,AS1671,$BQ$7:$BQ$1843,"&lt;="&amp;BQ1671),"")</f>
        <v>136.772566805176</v>
      </c>
      <c r="AU1671" s="65" t="n">
        <f aca="false">IF(AT1671="",0,MAX(0,MIN(1,(IF(BY1671="L1",Parameter!$E$5,Parameter!$E$6+Parameter!$E$7)-(AT1671-AP1671))/AP1671)))</f>
        <v>0</v>
      </c>
      <c r="AV1671" s="57" t="n">
        <f aca="false">IF(LEFT(Cockpit!$O$5,1)="A",H1671,IF(CA1671=1,CB1671,IF(LEFT(Cockpit!$O$5,1)="B",AZ1671,MAX(AZ1671,H1671))))</f>
        <v>10</v>
      </c>
      <c r="AW1671" s="57" t="n">
        <f aca="false">IF(BT1671=1,0,ROUNDUP(AV1671/BS1671,0))</f>
        <v>1</v>
      </c>
      <c r="AX1671" s="59" t="n">
        <f aca="false">IF(CH1671&gt;0,CH1671*MAX(1,AV1671/X1671),IF(BT1671=1,IF(AV1671&lt;=0,0,BW1671*MAX(1,IF(H1671&gt;0,AV1671/H1671,1))),IF(R1671&gt;0,AW1671/R1671,0))/MAX(0.1,N(Parameter!$M$21)))</f>
        <v>0.333333333333333</v>
      </c>
      <c r="AY1671" s="57" t="n">
        <f aca="false">AV1671*G1671</f>
        <v>0</v>
      </c>
      <c r="AZ1671" s="57" t="n">
        <f aca="false">ROUNDUP(MAX(J1671/IF(BZ1671&gt;0,BZ1671,MAX(0.1,N(Cockpit!$O$6))),CC1671)/BS1671,0)*BS1671</f>
        <v>10</v>
      </c>
      <c r="BA1671" s="58" t="n">
        <f aca="false">IF(AX1671&gt;0,J1671/AX1671,-1)</f>
        <v>0</v>
      </c>
      <c r="BB1671" s="58" t="n">
        <f aca="false">IF(AND(OR(BY1671="L1",BY1671="L23"),AX1671&gt;0),SUMIFS($AX$7:$AX$1843,$BY$7:$BY$1843,BY1671,$BA$7:$BA$1843,"&gt;"&amp;BA1671)+SUMIFS($AX$7:$AX$1843,$BY$7:$BY$1843,BY1671,$BA$7:$BA$1843,BA1671,$BQ$7:$BQ$1843,"&lt;="&amp;BQ1671),"")</f>
        <v>127.602403635012</v>
      </c>
      <c r="BC1671" s="65" t="n">
        <f aca="false">IF(BB1671="",0,MAX(0,MIN(1,(IF(BY1671="L1",Parameter!$E$5,Parameter!$E$6+Parameter!$E$7)-(BB1671-AX1671))/AX1671)))</f>
        <v>0</v>
      </c>
      <c r="BD1671" s="55" t="str">
        <f aca="false">IF(AH1671&lt;=0,"",IF(BY1671="Aussen","Aussenlager",IF(BY1671="-","Nicht im Lift",IF(AM1671&gt;=1,"Lift",IF(AM1671&lt;=0,"Aussenlager","teilweise")))))</f>
        <v>Lift</v>
      </c>
      <c r="BE1671" s="55" t="str">
        <f aca="false">IF(AP1671&lt;=0,"",IF(BY1671="Aussen","Aussenlager",IF(BY1671="-","Nicht im Lift",IF(AU1671&gt;=1,"Lift",IF(AU1671&lt;=0,"Aussenlager","teilweise")))))</f>
        <v>Aussenlager</v>
      </c>
      <c r="BF1671" s="55" t="str">
        <f aca="false">IF(AX1671&lt;=0,"",IF(BY1671="Aussen","Aussenlager",IF(BY1671="-","Nicht im Lift",IF(BC1671&gt;=1,"Lift",IF(BC1671&lt;=0,"Aussenlager","teilweise")))))</f>
        <v>Aussenlager</v>
      </c>
      <c r="BG1671" s="55" t="str">
        <f aca="false">IF(A1671="","",IF(BP1671=1,"Neu; ","")&amp;IF(AND(BP1671=0,BK1671&lt;0),"negativer Bestand (Export "&amp;BK1671&amp;"); ","")&amp;IF(J1671&lt;=0,"Kein Verbrauch; ","")&amp;IF(CH1671&gt;0,"Lift "&amp;W1671&amp;" lt. Liftbericht (Fach "&amp;X1671&amp;" Stk); ",IF(BU1671=1,"Gebinde geschätzt ("&amp;T1671&amp;"); ",IF(BT1671=1,"Lose – Tablare geschätzt; ","")))&amp;IF(H1671&gt;AR1671,"Überbestand "&amp;ROUND(H1671-AR1671,0)&amp;" Stk / CHF "&amp;ROUND((H1671-AR1671)*G1671,0)&amp;"; ","")&amp;IF(AND(CA1671=1,CB1671&lt;CC1671),"MAX &lt; MB+LG; ","")&amp;IF(AND(CG1671&gt;0,CF1671*10&gt;CG1671),"zu hoch für Tablar; ","")&amp;IF(AND(BP1671=0,OR(CA1671=1,AA1671&lt;&gt;"",U1671&lt;&gt;"",V1671&lt;&gt;"",AB1671&lt;&gt;"")),"manuell übersteuert; ","")&amp;IF(AND(BT1671=0,R1671=0),"Gebinde unbekannt / Stellmass fehlt; ","")&amp;IF(AND(BT1671=0,N(V1671)&lt;=0,N(Q1671)&lt;=0),"Menge pro Gebinde fehlt (Ist = 1 Gebinde); ","")&amp;BO1671)</f>
        <v>Kein Verbrauch; nur im Artikelstamm (Bestand 23.06.2026)</v>
      </c>
      <c r="BH1671" s="55"/>
      <c r="BI1671" s="55"/>
      <c r="BJ1671" s="62"/>
      <c r="BK1671" s="57" t="n">
        <v>2</v>
      </c>
      <c r="BL1671" s="57" t="n">
        <v>0</v>
      </c>
      <c r="BM1671" s="56" t="n">
        <v>0</v>
      </c>
      <c r="BN1671" s="57" t="n">
        <v>0</v>
      </c>
      <c r="BO1671" s="55" t="s">
        <v>2575</v>
      </c>
      <c r="BP1671" s="60" t="n">
        <v>0</v>
      </c>
      <c r="BQ1671" s="60" t="n">
        <v>1671</v>
      </c>
      <c r="BR1671" s="55" t="str">
        <f aca="false">IF(U1671&lt;&gt;"",UPPER(TRIM(U1671)),IF(BU1671=1,UPPER(VLOOKUP(T1671,Parameter!$I$27:$K$29,2,0)),IF(P1671="","LOSE",P1671)))</f>
        <v>S81</v>
      </c>
      <c r="BS1671" s="57" t="n">
        <f aca="false">IF(BR1671="LOSE",1,IF(N(V1671)&gt;0,V1671,IF(BU1671=1,MAX(1,N(VLOOKUP(T1671,Parameter!$I$27:$K$29,3,0)),H1671,N(N1671)),IF(N(Q1671)&gt;0,Q1671,MAX(1,H1671)))))</f>
        <v>10</v>
      </c>
      <c r="BT1671" s="60" t="n">
        <f aca="false">IF(BR1671="LOSE",1,0)</f>
        <v>0</v>
      </c>
      <c r="BU1671" s="60" t="n">
        <f aca="false">IF(AND(U1671="",OR(P1671="",P1671="LOSE"),T1671&lt;&gt;"",N(S1671)&lt;=0,ISNUMBER(MATCH(T1671,Parameter!$I$27:$I$29,0))),1,0)</f>
        <v>0</v>
      </c>
      <c r="BV1671" s="55" t="str">
        <f aca="false">IF(AND(Parameter!$B$19="Ja",E1671&lt;&gt;"",ISNUMBER(MATCH(E1671,Parameter!$I$35:$I$52,0))),VLOOKUP(E1671,Parameter!$I$35:$J$52,2,0),IFERROR(VLOOKUP(D1671,Parameter!$A$35:$C$64,2,0),"Nein"))</f>
        <v>2+3</v>
      </c>
      <c r="BW1671" s="59" t="n">
        <f aca="false">IF(BT1671=0,0,IF(N(S1671)&gt;0,S1671,IFERROR(VLOOKUP(D1671,Parameter!$A$35:$C$64,3,0)+0,0)))</f>
        <v>0</v>
      </c>
      <c r="BX1671" s="55" t="n">
        <f aca="false">IF(AA1671&lt;&gt;"",AA1671,Z1671)</f>
        <v>2</v>
      </c>
      <c r="BY1671" s="55" t="str">
        <f aca="false">IF(BX1671=1,"L1",IF(OR(BX1671=2,BX1671=3),"L23",IF(BX1671="Aussen","Aussen","-")))</f>
        <v>L23</v>
      </c>
      <c r="BZ1671" s="66" t="n">
        <f aca="false">IF(N(AB1671)&gt;0,AB1671,0)</f>
        <v>0</v>
      </c>
      <c r="CA1671" s="60" t="n">
        <f aca="false">IF(ISNUMBER(AE1671),1,0)</f>
        <v>0</v>
      </c>
      <c r="CB1671" s="57" t="n">
        <f aca="false">N(AE1671)</f>
        <v>0</v>
      </c>
      <c r="CC1671" s="57" t="n">
        <f aca="false">N(M1671)+N(N1671)</f>
        <v>1</v>
      </c>
      <c r="CD1671" s="57" t="n">
        <f aca="false">ROUNDUP(H1671/BS1671,0)</f>
        <v>1</v>
      </c>
      <c r="CE1671" s="57" t="n">
        <f aca="false">ROUNDUP(CB1671/BS1671,0)</f>
        <v>0</v>
      </c>
      <c r="CF1671" s="60" t="n">
        <f aca="false">IF(BT1671=1,0,IFERROR(VLOOKUP(BR1671,'Gebinde-Kategorie'!$A$5:$M$45,5,0)+0,0))</f>
        <v>20</v>
      </c>
      <c r="CG1671" s="60" t="n">
        <f aca="false">IFERROR(IF(OR(BX1671=1,BX1671=2,BX1671=3),N(INDEX(Parameter!$I$5:$I$7,BX1671)),0),0)</f>
        <v>0</v>
      </c>
      <c r="CH1671" s="59" t="n">
        <f aca="false">IF(AND(Parameter!$B$21="Ja",ISNUMBER(W1671),N(X1671)&gt;0),IFERROR(N(INDEX(Parameter!$L$5:$L$7,W1671))*INDEX(Parameter!$E$5:$E$7,W1671)*X1671/SUMIFS($X$7:$X$1843,$W$7:$W$1843,W1671),0),0)</f>
        <v>0</v>
      </c>
    </row>
    <row r="1672" customFormat="false" ht="15" hidden="false" customHeight="false" outlineLevel="0" collapsed="false">
      <c r="A1672" s="55" t="s">
        <v>2901</v>
      </c>
      <c r="B1672" s="55" t="s">
        <v>2902</v>
      </c>
      <c r="C1672" s="55" t="s">
        <v>164</v>
      </c>
      <c r="D1672" s="55" t="s">
        <v>173</v>
      </c>
      <c r="E1672" s="55"/>
      <c r="F1672" s="55"/>
      <c r="G1672" s="56" t="n">
        <v>1426.13</v>
      </c>
      <c r="H1672" s="57" t="n">
        <f aca="false">MAX(0,IF(AND(Parameter!$B$21="Ja",ISNUMBER(Y1672)),Y1672,IF(Parameter!$B$20="Jahresanfang 2025 + Export",BL1672+BK1672,BK1672)))</f>
        <v>7</v>
      </c>
      <c r="I1672" s="57" t="n">
        <f aca="false">H1672*G1672</f>
        <v>9982.91</v>
      </c>
      <c r="J1672" s="57" t="n">
        <f aca="false">BN1672*Parameter!$B$18</f>
        <v>0</v>
      </c>
      <c r="K1672" s="58"/>
      <c r="L1672" s="59"/>
      <c r="M1672" s="57" t="n">
        <v>0</v>
      </c>
      <c r="N1672" s="57" t="n">
        <v>1</v>
      </c>
      <c r="O1672" s="60" t="n">
        <v>35</v>
      </c>
      <c r="P1672" s="55" t="s">
        <v>223</v>
      </c>
      <c r="Q1672" s="57" t="n">
        <v>10</v>
      </c>
      <c r="R1672" s="60" t="n">
        <f aca="false">IF(BT1672=1,0,IFERROR(VLOOKUP(BR1672,'Gebinde-Kategorie'!$A$5:$M$45,13,0)+0,0))</f>
        <v>3</v>
      </c>
      <c r="S1672" s="61"/>
      <c r="T1672" s="62"/>
      <c r="U1672" s="62"/>
      <c r="V1672" s="62"/>
      <c r="W1672" s="55"/>
      <c r="X1672" s="57"/>
      <c r="Y1672" s="57"/>
      <c r="Z1672" s="55" t="n">
        <f aca="false">IF(A1672="","",IF(AND(Parameter!$B$21="Ja",ISNUMBER(W1672)),W1672,IF(BV1672="2+3",IF(ISNUMBER(SEARCH("grosser Artikel",BO1672)),2,IFERROR(VLOOKUP(BR1672,Parameter!$F$35:$G$64,2,0),2)),IF(OR(BV1672="Nein",BV1672=""),"-",BV1672))))</f>
        <v>2</v>
      </c>
      <c r="AA1672" s="62"/>
      <c r="AB1672" s="63"/>
      <c r="AC1672" s="57" t="n">
        <f aca="false">AR1672</f>
        <v>10</v>
      </c>
      <c r="AD1672" s="57" t="n">
        <f aca="false">MAX(AR1672,H1672)</f>
        <v>10</v>
      </c>
      <c r="AE1672" s="64"/>
      <c r="AF1672" s="57" t="n">
        <f aca="false">IF(LEFT(Cockpit!$C$5,1)="A",H1672,IF(CA1672=1,CB1672,IF(LEFT(Cockpit!$C$5,1)="B",AJ1672,MAX(AJ1672,H1672))))</f>
        <v>7</v>
      </c>
      <c r="AG1672" s="57" t="n">
        <f aca="false">IF(BT1672=1,0,ROUNDUP(AF1672/BS1672,0))</f>
        <v>1</v>
      </c>
      <c r="AH1672" s="59" t="n">
        <f aca="false">IF(CH1672&gt;0,CH1672*MAX(1,AF1672/X1672),IF(BT1672=1,IF(AF1672&lt;=0,0,BW1672*MAX(1,IF(H1672&gt;0,AF1672/H1672,1))),IF(R1672&gt;0,AG1672/R1672,0))/MAX(0.1,N(Parameter!$M$21)))</f>
        <v>0.333333333333333</v>
      </c>
      <c r="AI1672" s="57" t="n">
        <f aca="false">AF1672*G1672</f>
        <v>9982.91</v>
      </c>
      <c r="AJ1672" s="57" t="n">
        <f aca="false">ROUNDUP(MAX(J1672/IF(BZ1672&gt;0,BZ1672,MAX(0.1,N(Cockpit!$C$6))),CC1672)/BS1672,0)*BS1672</f>
        <v>10</v>
      </c>
      <c r="AK1672" s="58" t="n">
        <f aca="false">IF(AH1672&gt;0,J1672/AH1672,-1)</f>
        <v>0</v>
      </c>
      <c r="AL1672" s="58" t="n">
        <f aca="false">IF(AND(OR(BY1672="L1",BY1672="L23"),AH1672&gt;0),SUMIFS($AH$7:$AH$1843,$BY$7:$BY$1843,BY1672,$AK$7:$AK$1843,"&gt;"&amp;AK1672)+SUMIFS($AH$7:$AH$1843,$BY$7:$BY$1843,BY1672,$AK$7:$AK$1843,AK1672,$BQ$7:$BQ$1843,"&lt;="&amp;BQ1672),"")</f>
        <v>91.8537633863721</v>
      </c>
      <c r="AM1672" s="65" t="n">
        <f aca="false">IF(AL1672="",0,MAX(0,MIN(1,(IF(BY1672="L1",Parameter!$E$5,Parameter!$E$6+Parameter!$E$7)-(AL1672-AH1672))/AH1672)))</f>
        <v>1</v>
      </c>
      <c r="AN1672" s="57" t="n">
        <f aca="false">IF(LEFT(Cockpit!$I$5,1)="A",H1672,IF(CA1672=1,CB1672,IF(LEFT(Cockpit!$I$5,1)="B",AR1672,MAX(AR1672,H1672))))</f>
        <v>10</v>
      </c>
      <c r="AO1672" s="57" t="n">
        <f aca="false">IF(BT1672=1,0,ROUNDUP(AN1672/BS1672,0))</f>
        <v>1</v>
      </c>
      <c r="AP1672" s="59" t="n">
        <f aca="false">IF(CH1672&gt;0,CH1672*MAX(1,AN1672/X1672),IF(BT1672=1,IF(AN1672&lt;=0,0,BW1672*MAX(1,IF(H1672&gt;0,AN1672/H1672,1))),IF(R1672&gt;0,AO1672/R1672,0))/MAX(0.1,N(Parameter!$M$21)))</f>
        <v>0.333333333333333</v>
      </c>
      <c r="AQ1672" s="57" t="n">
        <f aca="false">AN1672*G1672</f>
        <v>14261.3</v>
      </c>
      <c r="AR1672" s="57" t="n">
        <f aca="false">ROUNDUP(MAX(J1672/IF(BZ1672&gt;0,BZ1672,MAX(0.1,N(Cockpit!$I$6))),CC1672)/BS1672,0)*BS1672</f>
        <v>10</v>
      </c>
      <c r="AS1672" s="58" t="n">
        <f aca="false">IF(AP1672&gt;0,J1672/AP1672,-1)</f>
        <v>0</v>
      </c>
      <c r="AT1672" s="58" t="n">
        <f aca="false">IF(AND(OR(BY1672="L1",BY1672="L23"),AP1672&gt;0),SUMIFS($AP$7:$AP$1843,$BY$7:$BY$1843,BY1672,$AS$7:$AS$1843,"&gt;"&amp;AS1672)+SUMIFS($AP$7:$AP$1843,$BY$7:$BY$1843,BY1672,$AS$7:$AS$1843,AS1672,$BQ$7:$BQ$1843,"&lt;="&amp;BQ1672),"")</f>
        <v>137.105900138509</v>
      </c>
      <c r="AU1672" s="65" t="n">
        <f aca="false">IF(AT1672="",0,MAX(0,MIN(1,(IF(BY1672="L1",Parameter!$E$5,Parameter!$E$6+Parameter!$E$7)-(AT1672-AP1672))/AP1672)))</f>
        <v>0</v>
      </c>
      <c r="AV1672" s="57" t="n">
        <f aca="false">IF(LEFT(Cockpit!$O$5,1)="A",H1672,IF(CA1672=1,CB1672,IF(LEFT(Cockpit!$O$5,1)="B",AZ1672,MAX(AZ1672,H1672))))</f>
        <v>10</v>
      </c>
      <c r="AW1672" s="57" t="n">
        <f aca="false">IF(BT1672=1,0,ROUNDUP(AV1672/BS1672,0))</f>
        <v>1</v>
      </c>
      <c r="AX1672" s="59" t="n">
        <f aca="false">IF(CH1672&gt;0,CH1672*MAX(1,AV1672/X1672),IF(BT1672=1,IF(AV1672&lt;=0,0,BW1672*MAX(1,IF(H1672&gt;0,AV1672/H1672,1))),IF(R1672&gt;0,AW1672/R1672,0))/MAX(0.1,N(Parameter!$M$21)))</f>
        <v>0.333333333333333</v>
      </c>
      <c r="AY1672" s="57" t="n">
        <f aca="false">AV1672*G1672</f>
        <v>14261.3</v>
      </c>
      <c r="AZ1672" s="57" t="n">
        <f aca="false">ROUNDUP(MAX(J1672/IF(BZ1672&gt;0,BZ1672,MAX(0.1,N(Cockpit!$O$6))),CC1672)/BS1672,0)*BS1672</f>
        <v>10</v>
      </c>
      <c r="BA1672" s="58" t="n">
        <f aca="false">IF(AX1672&gt;0,J1672/AX1672,-1)</f>
        <v>0</v>
      </c>
      <c r="BB1672" s="58" t="n">
        <f aca="false">IF(AND(OR(BY1672="L1",BY1672="L23"),AX1672&gt;0),SUMIFS($AX$7:$AX$1843,$BY$7:$BY$1843,BY1672,$BA$7:$BA$1843,"&gt;"&amp;BA1672)+SUMIFS($AX$7:$AX$1843,$BY$7:$BY$1843,BY1672,$BA$7:$BA$1843,BA1672,$BQ$7:$BQ$1843,"&lt;="&amp;BQ1672),"")</f>
        <v>127.935736968346</v>
      </c>
      <c r="BC1672" s="65" t="n">
        <f aca="false">IF(BB1672="",0,MAX(0,MIN(1,(IF(BY1672="L1",Parameter!$E$5,Parameter!$E$6+Parameter!$E$7)-(BB1672-AX1672))/AX1672)))</f>
        <v>0</v>
      </c>
      <c r="BD1672" s="55" t="str">
        <f aca="false">IF(AH1672&lt;=0,"",IF(BY1672="Aussen","Aussenlager",IF(BY1672="-","Nicht im Lift",IF(AM1672&gt;=1,"Lift",IF(AM1672&lt;=0,"Aussenlager","teilweise")))))</f>
        <v>Lift</v>
      </c>
      <c r="BE1672" s="55" t="str">
        <f aca="false">IF(AP1672&lt;=0,"",IF(BY1672="Aussen","Aussenlager",IF(BY1672="-","Nicht im Lift",IF(AU1672&gt;=1,"Lift",IF(AU1672&lt;=0,"Aussenlager","teilweise")))))</f>
        <v>Aussenlager</v>
      </c>
      <c r="BF1672" s="55" t="str">
        <f aca="false">IF(AX1672&lt;=0,"",IF(BY1672="Aussen","Aussenlager",IF(BY1672="-","Nicht im Lift",IF(BC1672&gt;=1,"Lift",IF(BC1672&lt;=0,"Aussenlager","teilweise")))))</f>
        <v>Aussenlager</v>
      </c>
      <c r="BG1672" s="55" t="str">
        <f aca="false">IF(A1672="","",IF(BP1672=1,"Neu; ","")&amp;IF(AND(BP1672=0,BK1672&lt;0),"negativer Bestand (Export "&amp;BK1672&amp;"); ","")&amp;IF(J1672&lt;=0,"Kein Verbrauch; ","")&amp;IF(CH1672&gt;0,"Lift "&amp;W1672&amp;" lt. Liftbericht (Fach "&amp;X1672&amp;" Stk); ",IF(BU1672=1,"Gebinde geschätzt ("&amp;T1672&amp;"); ",IF(BT1672=1,"Lose – Tablare geschätzt; ","")))&amp;IF(H1672&gt;AR1672,"Überbestand "&amp;ROUND(H1672-AR1672,0)&amp;" Stk / CHF "&amp;ROUND((H1672-AR1672)*G1672,0)&amp;"; ","")&amp;IF(AND(CA1672=1,CB1672&lt;CC1672),"MAX &lt; MB+LG; ","")&amp;IF(AND(CG1672&gt;0,CF1672*10&gt;CG1672),"zu hoch für Tablar; ","")&amp;IF(AND(BP1672=0,OR(CA1672=1,AA1672&lt;&gt;"",U1672&lt;&gt;"",V1672&lt;&gt;"",AB1672&lt;&gt;"")),"manuell übersteuert; ","")&amp;IF(AND(BT1672=0,R1672=0),"Gebinde unbekannt / Stellmass fehlt; ","")&amp;IF(AND(BT1672=0,N(V1672)&lt;=0,N(Q1672)&lt;=0),"Menge pro Gebinde fehlt (Ist = 1 Gebinde); ","")&amp;BO1672)</f>
        <v>Kein Verbrauch; nur im Artikelstamm (Bestand 23.06.2026)</v>
      </c>
      <c r="BH1672" s="55"/>
      <c r="BI1672" s="55"/>
      <c r="BJ1672" s="62"/>
      <c r="BK1672" s="57" t="n">
        <v>7</v>
      </c>
      <c r="BL1672" s="57" t="n">
        <v>0</v>
      </c>
      <c r="BM1672" s="56" t="n">
        <v>0</v>
      </c>
      <c r="BN1672" s="57" t="n">
        <v>0</v>
      </c>
      <c r="BO1672" s="55" t="s">
        <v>2575</v>
      </c>
      <c r="BP1672" s="60" t="n">
        <v>0</v>
      </c>
      <c r="BQ1672" s="60" t="n">
        <v>1672</v>
      </c>
      <c r="BR1672" s="55" t="str">
        <f aca="false">IF(U1672&lt;&gt;"",UPPER(TRIM(U1672)),IF(BU1672=1,UPPER(VLOOKUP(T1672,Parameter!$I$27:$K$29,2,0)),IF(P1672="","LOSE",P1672)))</f>
        <v>S81</v>
      </c>
      <c r="BS1672" s="57" t="n">
        <f aca="false">IF(BR1672="LOSE",1,IF(N(V1672)&gt;0,V1672,IF(BU1672=1,MAX(1,N(VLOOKUP(T1672,Parameter!$I$27:$K$29,3,0)),H1672,N(N1672)),IF(N(Q1672)&gt;0,Q1672,MAX(1,H1672)))))</f>
        <v>10</v>
      </c>
      <c r="BT1672" s="60" t="n">
        <f aca="false">IF(BR1672="LOSE",1,0)</f>
        <v>0</v>
      </c>
      <c r="BU1672" s="60" t="n">
        <f aca="false">IF(AND(U1672="",OR(P1672="",P1672="LOSE"),T1672&lt;&gt;"",N(S1672)&lt;=0,ISNUMBER(MATCH(T1672,Parameter!$I$27:$I$29,0))),1,0)</f>
        <v>0</v>
      </c>
      <c r="BV1672" s="55" t="str">
        <f aca="false">IF(AND(Parameter!$B$19="Ja",E1672&lt;&gt;"",ISNUMBER(MATCH(E1672,Parameter!$I$35:$I$52,0))),VLOOKUP(E1672,Parameter!$I$35:$J$52,2,0),IFERROR(VLOOKUP(D1672,Parameter!$A$35:$C$64,2,0),"Nein"))</f>
        <v>2+3</v>
      </c>
      <c r="BW1672" s="59" t="n">
        <f aca="false">IF(BT1672=0,0,IF(N(S1672)&gt;0,S1672,IFERROR(VLOOKUP(D1672,Parameter!$A$35:$C$64,3,0)+0,0)))</f>
        <v>0</v>
      </c>
      <c r="BX1672" s="55" t="n">
        <f aca="false">IF(AA1672&lt;&gt;"",AA1672,Z1672)</f>
        <v>2</v>
      </c>
      <c r="BY1672" s="55" t="str">
        <f aca="false">IF(BX1672=1,"L1",IF(OR(BX1672=2,BX1672=3),"L23",IF(BX1672="Aussen","Aussen","-")))</f>
        <v>L23</v>
      </c>
      <c r="BZ1672" s="66" t="n">
        <f aca="false">IF(N(AB1672)&gt;0,AB1672,0)</f>
        <v>0</v>
      </c>
      <c r="CA1672" s="60" t="n">
        <f aca="false">IF(ISNUMBER(AE1672),1,0)</f>
        <v>0</v>
      </c>
      <c r="CB1672" s="57" t="n">
        <f aca="false">N(AE1672)</f>
        <v>0</v>
      </c>
      <c r="CC1672" s="57" t="n">
        <f aca="false">N(M1672)+N(N1672)</f>
        <v>1</v>
      </c>
      <c r="CD1672" s="57" t="n">
        <f aca="false">ROUNDUP(H1672/BS1672,0)</f>
        <v>1</v>
      </c>
      <c r="CE1672" s="57" t="n">
        <f aca="false">ROUNDUP(CB1672/BS1672,0)</f>
        <v>0</v>
      </c>
      <c r="CF1672" s="60" t="n">
        <f aca="false">IF(BT1672=1,0,IFERROR(VLOOKUP(BR1672,'Gebinde-Kategorie'!$A$5:$M$45,5,0)+0,0))</f>
        <v>20</v>
      </c>
      <c r="CG1672" s="60" t="n">
        <f aca="false">IFERROR(IF(OR(BX1672=1,BX1672=2,BX1672=3),N(INDEX(Parameter!$I$5:$I$7,BX1672)),0),0)</f>
        <v>0</v>
      </c>
      <c r="CH1672" s="59" t="n">
        <f aca="false">IF(AND(Parameter!$B$21="Ja",ISNUMBER(W1672),N(X1672)&gt;0),IFERROR(N(INDEX(Parameter!$L$5:$L$7,W1672))*INDEX(Parameter!$E$5:$E$7,W1672)*X1672/SUMIFS($X$7:$X$1843,$W$7:$W$1843,W1672),0),0)</f>
        <v>0</v>
      </c>
    </row>
    <row r="1673" customFormat="false" ht="15" hidden="false" customHeight="false" outlineLevel="0" collapsed="false">
      <c r="A1673" s="55" t="s">
        <v>2903</v>
      </c>
      <c r="B1673" s="55" t="s">
        <v>297</v>
      </c>
      <c r="C1673" s="55" t="s">
        <v>164</v>
      </c>
      <c r="D1673" s="55" t="s">
        <v>173</v>
      </c>
      <c r="E1673" s="55"/>
      <c r="F1673" s="55"/>
      <c r="G1673" s="56" t="n">
        <v>330.76</v>
      </c>
      <c r="H1673" s="57" t="n">
        <f aca="false">MAX(0,IF(AND(Parameter!$B$21="Ja",ISNUMBER(Y1673)),Y1673,IF(Parameter!$B$20="Jahresanfang 2025 + Export",BL1673+BK1673,BK1673)))</f>
        <v>8</v>
      </c>
      <c r="I1673" s="57" t="n">
        <f aca="false">H1673*G1673</f>
        <v>2646.08</v>
      </c>
      <c r="J1673" s="57" t="n">
        <f aca="false">BN1673*Parameter!$B$18</f>
        <v>0</v>
      </c>
      <c r="K1673" s="58"/>
      <c r="L1673" s="59"/>
      <c r="M1673" s="57" t="n">
        <v>0</v>
      </c>
      <c r="N1673" s="57" t="n">
        <v>1</v>
      </c>
      <c r="O1673" s="60" t="n">
        <v>21</v>
      </c>
      <c r="P1673" s="55" t="s">
        <v>223</v>
      </c>
      <c r="Q1673" s="57" t="n">
        <v>7</v>
      </c>
      <c r="R1673" s="60" t="n">
        <f aca="false">IF(BT1673=1,0,IFERROR(VLOOKUP(BR1673,'Gebinde-Kategorie'!$A$5:$M$45,13,0)+0,0))</f>
        <v>3</v>
      </c>
      <c r="S1673" s="61"/>
      <c r="T1673" s="62"/>
      <c r="U1673" s="62"/>
      <c r="V1673" s="62"/>
      <c r="W1673" s="55"/>
      <c r="X1673" s="57"/>
      <c r="Y1673" s="57"/>
      <c r="Z1673" s="55" t="n">
        <f aca="false">IF(A1673="","",IF(AND(Parameter!$B$21="Ja",ISNUMBER(W1673)),W1673,IF(BV1673="2+3",IF(ISNUMBER(SEARCH("grosser Artikel",BO1673)),2,IFERROR(VLOOKUP(BR1673,Parameter!$F$35:$G$64,2,0),2)),IF(OR(BV1673="Nein",BV1673=""),"-",BV1673))))</f>
        <v>2</v>
      </c>
      <c r="AA1673" s="62"/>
      <c r="AB1673" s="63"/>
      <c r="AC1673" s="57" t="n">
        <f aca="false">AR1673</f>
        <v>7</v>
      </c>
      <c r="AD1673" s="57" t="n">
        <f aca="false">MAX(AR1673,H1673)</f>
        <v>8</v>
      </c>
      <c r="AE1673" s="64"/>
      <c r="AF1673" s="57" t="n">
        <f aca="false">IF(LEFT(Cockpit!$C$5,1)="A",H1673,IF(CA1673=1,CB1673,IF(LEFT(Cockpit!$C$5,1)="B",AJ1673,MAX(AJ1673,H1673))))</f>
        <v>8</v>
      </c>
      <c r="AG1673" s="57" t="n">
        <f aca="false">IF(BT1673=1,0,ROUNDUP(AF1673/BS1673,0))</f>
        <v>2</v>
      </c>
      <c r="AH1673" s="59" t="n">
        <f aca="false">IF(CH1673&gt;0,CH1673*MAX(1,AF1673/X1673),IF(BT1673=1,IF(AF1673&lt;=0,0,BW1673*MAX(1,IF(H1673&gt;0,AF1673/H1673,1))),IF(R1673&gt;0,AG1673/R1673,0))/MAX(0.1,N(Parameter!$M$21)))</f>
        <v>0.666666666666667</v>
      </c>
      <c r="AI1673" s="57" t="n">
        <f aca="false">AF1673*G1673</f>
        <v>2646.08</v>
      </c>
      <c r="AJ1673" s="57" t="n">
        <f aca="false">ROUNDUP(MAX(J1673/IF(BZ1673&gt;0,BZ1673,MAX(0.1,N(Cockpit!$C$6))),CC1673)/BS1673,0)*BS1673</f>
        <v>7</v>
      </c>
      <c r="AK1673" s="58" t="n">
        <f aca="false">IF(AH1673&gt;0,J1673/AH1673,-1)</f>
        <v>0</v>
      </c>
      <c r="AL1673" s="58" t="n">
        <f aca="false">IF(AND(OR(BY1673="L1",BY1673="L23"),AH1673&gt;0),SUMIFS($AH$7:$AH$1843,$BY$7:$BY$1843,BY1673,$AK$7:$AK$1843,"&gt;"&amp;AK1673)+SUMIFS($AH$7:$AH$1843,$BY$7:$BY$1843,BY1673,$AK$7:$AK$1843,AK1673,$BQ$7:$BQ$1843,"&lt;="&amp;BQ1673),"")</f>
        <v>92.5204300530388</v>
      </c>
      <c r="AM1673" s="65" t="n">
        <f aca="false">IF(AL1673="",0,MAX(0,MIN(1,(IF(BY1673="L1",Parameter!$E$5,Parameter!$E$6+Parameter!$E$7)-(AL1673-AH1673))/AH1673)))</f>
        <v>1</v>
      </c>
      <c r="AN1673" s="57" t="n">
        <f aca="false">IF(LEFT(Cockpit!$I$5,1)="A",H1673,IF(CA1673=1,CB1673,IF(LEFT(Cockpit!$I$5,1)="B",AR1673,MAX(AR1673,H1673))))</f>
        <v>8</v>
      </c>
      <c r="AO1673" s="57" t="n">
        <f aca="false">IF(BT1673=1,0,ROUNDUP(AN1673/BS1673,0))</f>
        <v>2</v>
      </c>
      <c r="AP1673" s="59" t="n">
        <f aca="false">IF(CH1673&gt;0,CH1673*MAX(1,AN1673/X1673),IF(BT1673=1,IF(AN1673&lt;=0,0,BW1673*MAX(1,IF(H1673&gt;0,AN1673/H1673,1))),IF(R1673&gt;0,AO1673/R1673,0))/MAX(0.1,N(Parameter!$M$21)))</f>
        <v>0.666666666666667</v>
      </c>
      <c r="AQ1673" s="57" t="n">
        <f aca="false">AN1673*G1673</f>
        <v>2646.08</v>
      </c>
      <c r="AR1673" s="57" t="n">
        <f aca="false">ROUNDUP(MAX(J1673/IF(BZ1673&gt;0,BZ1673,MAX(0.1,N(Cockpit!$I$6))),CC1673)/BS1673,0)*BS1673</f>
        <v>7</v>
      </c>
      <c r="AS1673" s="58" t="n">
        <f aca="false">IF(AP1673&gt;0,J1673/AP1673,-1)</f>
        <v>0</v>
      </c>
      <c r="AT1673" s="58" t="n">
        <f aca="false">IF(AND(OR(BY1673="L1",BY1673="L23"),AP1673&gt;0),SUMIFS($AP$7:$AP$1843,$BY$7:$BY$1843,BY1673,$AS$7:$AS$1843,"&gt;"&amp;AS1673)+SUMIFS($AP$7:$AP$1843,$BY$7:$BY$1843,BY1673,$AS$7:$AS$1843,AS1673,$BQ$7:$BQ$1843,"&lt;="&amp;BQ1673),"")</f>
        <v>137.772566805176</v>
      </c>
      <c r="AU1673" s="65" t="n">
        <f aca="false">IF(AT1673="",0,MAX(0,MIN(1,(IF(BY1673="L1",Parameter!$E$5,Parameter!$E$6+Parameter!$E$7)-(AT1673-AP1673))/AP1673)))</f>
        <v>0</v>
      </c>
      <c r="AV1673" s="57" t="n">
        <f aca="false">IF(LEFT(Cockpit!$O$5,1)="A",H1673,IF(CA1673=1,CB1673,IF(LEFT(Cockpit!$O$5,1)="B",AZ1673,MAX(AZ1673,H1673))))</f>
        <v>8</v>
      </c>
      <c r="AW1673" s="57" t="n">
        <f aca="false">IF(BT1673=1,0,ROUNDUP(AV1673/BS1673,0))</f>
        <v>2</v>
      </c>
      <c r="AX1673" s="59" t="n">
        <f aca="false">IF(CH1673&gt;0,CH1673*MAX(1,AV1673/X1673),IF(BT1673=1,IF(AV1673&lt;=0,0,BW1673*MAX(1,IF(H1673&gt;0,AV1673/H1673,1))),IF(R1673&gt;0,AW1673/R1673,0))/MAX(0.1,N(Parameter!$M$21)))</f>
        <v>0.666666666666667</v>
      </c>
      <c r="AY1673" s="57" t="n">
        <f aca="false">AV1673*G1673</f>
        <v>2646.08</v>
      </c>
      <c r="AZ1673" s="57" t="n">
        <f aca="false">ROUNDUP(MAX(J1673/IF(BZ1673&gt;0,BZ1673,MAX(0.1,N(Cockpit!$O$6))),CC1673)/BS1673,0)*BS1673</f>
        <v>7</v>
      </c>
      <c r="BA1673" s="58" t="n">
        <f aca="false">IF(AX1673&gt;0,J1673/AX1673,-1)</f>
        <v>0</v>
      </c>
      <c r="BB1673" s="58" t="n">
        <f aca="false">IF(AND(OR(BY1673="L1",BY1673="L23"),AX1673&gt;0),SUMIFS($AX$7:$AX$1843,$BY$7:$BY$1843,BY1673,$BA$7:$BA$1843,"&gt;"&amp;BA1673)+SUMIFS($AX$7:$AX$1843,$BY$7:$BY$1843,BY1673,$BA$7:$BA$1843,BA1673,$BQ$7:$BQ$1843,"&lt;="&amp;BQ1673),"")</f>
        <v>128.602403635012</v>
      </c>
      <c r="BC1673" s="65" t="n">
        <f aca="false">IF(BB1673="",0,MAX(0,MIN(1,(IF(BY1673="L1",Parameter!$E$5,Parameter!$E$6+Parameter!$E$7)-(BB1673-AX1673))/AX1673)))</f>
        <v>0</v>
      </c>
      <c r="BD1673" s="55" t="str">
        <f aca="false">IF(AH1673&lt;=0,"",IF(BY1673="Aussen","Aussenlager",IF(BY1673="-","Nicht im Lift",IF(AM1673&gt;=1,"Lift",IF(AM1673&lt;=0,"Aussenlager","teilweise")))))</f>
        <v>Lift</v>
      </c>
      <c r="BE1673" s="55" t="str">
        <f aca="false">IF(AP1673&lt;=0,"",IF(BY1673="Aussen","Aussenlager",IF(BY1673="-","Nicht im Lift",IF(AU1673&gt;=1,"Lift",IF(AU1673&lt;=0,"Aussenlager","teilweise")))))</f>
        <v>Aussenlager</v>
      </c>
      <c r="BF1673" s="55" t="str">
        <f aca="false">IF(AX1673&lt;=0,"",IF(BY1673="Aussen","Aussenlager",IF(BY1673="-","Nicht im Lift",IF(BC1673&gt;=1,"Lift",IF(BC1673&lt;=0,"Aussenlager","teilweise")))))</f>
        <v>Aussenlager</v>
      </c>
      <c r="BG1673" s="55" t="str">
        <f aca="false">IF(A1673="","",IF(BP1673=1,"Neu; ","")&amp;IF(AND(BP1673=0,BK1673&lt;0),"negativer Bestand (Export "&amp;BK1673&amp;"); ","")&amp;IF(J1673&lt;=0,"Kein Verbrauch; ","")&amp;IF(CH1673&gt;0,"Lift "&amp;W1673&amp;" lt. Liftbericht (Fach "&amp;X1673&amp;" Stk); ",IF(BU1673=1,"Gebinde geschätzt ("&amp;T1673&amp;"); ",IF(BT1673=1,"Lose – Tablare geschätzt; ","")))&amp;IF(H1673&gt;AR1673,"Überbestand "&amp;ROUND(H1673-AR1673,0)&amp;" Stk / CHF "&amp;ROUND((H1673-AR1673)*G1673,0)&amp;"; ","")&amp;IF(AND(CA1673=1,CB1673&lt;CC1673),"MAX &lt; MB+LG; ","")&amp;IF(AND(CG1673&gt;0,CF1673*10&gt;CG1673),"zu hoch für Tablar; ","")&amp;IF(AND(BP1673=0,OR(CA1673=1,AA1673&lt;&gt;"",U1673&lt;&gt;"",V1673&lt;&gt;"",AB1673&lt;&gt;"")),"manuell übersteuert; ","")&amp;IF(AND(BT1673=0,R1673=0),"Gebinde unbekannt / Stellmass fehlt; ","")&amp;IF(AND(BT1673=0,N(V1673)&lt;=0,N(Q1673)&lt;=0),"Menge pro Gebinde fehlt (Ist = 1 Gebinde); ","")&amp;BO1673)</f>
        <v>Kein Verbrauch; Überbestand 1 Stk / CHF 331; nur im Artikelstamm (Bestand 23.06.2026)</v>
      </c>
      <c r="BH1673" s="55"/>
      <c r="BI1673" s="55"/>
      <c r="BJ1673" s="62"/>
      <c r="BK1673" s="57" t="n">
        <v>8</v>
      </c>
      <c r="BL1673" s="57" t="n">
        <v>0</v>
      </c>
      <c r="BM1673" s="56" t="n">
        <v>0</v>
      </c>
      <c r="BN1673" s="57" t="n">
        <v>0</v>
      </c>
      <c r="BO1673" s="55" t="s">
        <v>2575</v>
      </c>
      <c r="BP1673" s="60" t="n">
        <v>0</v>
      </c>
      <c r="BQ1673" s="60" t="n">
        <v>1673</v>
      </c>
      <c r="BR1673" s="55" t="str">
        <f aca="false">IF(U1673&lt;&gt;"",UPPER(TRIM(U1673)),IF(BU1673=1,UPPER(VLOOKUP(T1673,Parameter!$I$27:$K$29,2,0)),IF(P1673="","LOSE",P1673)))</f>
        <v>S81</v>
      </c>
      <c r="BS1673" s="57" t="n">
        <f aca="false">IF(BR1673="LOSE",1,IF(N(V1673)&gt;0,V1673,IF(BU1673=1,MAX(1,N(VLOOKUP(T1673,Parameter!$I$27:$K$29,3,0)),H1673,N(N1673)),IF(N(Q1673)&gt;0,Q1673,MAX(1,H1673)))))</f>
        <v>7</v>
      </c>
      <c r="BT1673" s="60" t="n">
        <f aca="false">IF(BR1673="LOSE",1,0)</f>
        <v>0</v>
      </c>
      <c r="BU1673" s="60" t="n">
        <f aca="false">IF(AND(U1673="",OR(P1673="",P1673="LOSE"),T1673&lt;&gt;"",N(S1673)&lt;=0,ISNUMBER(MATCH(T1673,Parameter!$I$27:$I$29,0))),1,0)</f>
        <v>0</v>
      </c>
      <c r="BV1673" s="55" t="str">
        <f aca="false">IF(AND(Parameter!$B$19="Ja",E1673&lt;&gt;"",ISNUMBER(MATCH(E1673,Parameter!$I$35:$I$52,0))),VLOOKUP(E1673,Parameter!$I$35:$J$52,2,0),IFERROR(VLOOKUP(D1673,Parameter!$A$35:$C$64,2,0),"Nein"))</f>
        <v>2+3</v>
      </c>
      <c r="BW1673" s="59" t="n">
        <f aca="false">IF(BT1673=0,0,IF(N(S1673)&gt;0,S1673,IFERROR(VLOOKUP(D1673,Parameter!$A$35:$C$64,3,0)+0,0)))</f>
        <v>0</v>
      </c>
      <c r="BX1673" s="55" t="n">
        <f aca="false">IF(AA1673&lt;&gt;"",AA1673,Z1673)</f>
        <v>2</v>
      </c>
      <c r="BY1673" s="55" t="str">
        <f aca="false">IF(BX1673=1,"L1",IF(OR(BX1673=2,BX1673=3),"L23",IF(BX1673="Aussen","Aussen","-")))</f>
        <v>L23</v>
      </c>
      <c r="BZ1673" s="66" t="n">
        <f aca="false">IF(N(AB1673)&gt;0,AB1673,0)</f>
        <v>0</v>
      </c>
      <c r="CA1673" s="60" t="n">
        <f aca="false">IF(ISNUMBER(AE1673),1,0)</f>
        <v>0</v>
      </c>
      <c r="CB1673" s="57" t="n">
        <f aca="false">N(AE1673)</f>
        <v>0</v>
      </c>
      <c r="CC1673" s="57" t="n">
        <f aca="false">N(M1673)+N(N1673)</f>
        <v>1</v>
      </c>
      <c r="CD1673" s="57" t="n">
        <f aca="false">ROUNDUP(H1673/BS1673,0)</f>
        <v>2</v>
      </c>
      <c r="CE1673" s="57" t="n">
        <f aca="false">ROUNDUP(CB1673/BS1673,0)</f>
        <v>0</v>
      </c>
      <c r="CF1673" s="60" t="n">
        <f aca="false">IF(BT1673=1,0,IFERROR(VLOOKUP(BR1673,'Gebinde-Kategorie'!$A$5:$M$45,5,0)+0,0))</f>
        <v>20</v>
      </c>
      <c r="CG1673" s="60" t="n">
        <f aca="false">IFERROR(IF(OR(BX1673=1,BX1673=2,BX1673=3),N(INDEX(Parameter!$I$5:$I$7,BX1673)),0),0)</f>
        <v>0</v>
      </c>
      <c r="CH1673" s="59" t="n">
        <f aca="false">IF(AND(Parameter!$B$21="Ja",ISNUMBER(W1673),N(X1673)&gt;0),IFERROR(N(INDEX(Parameter!$L$5:$L$7,W1673))*INDEX(Parameter!$E$5:$E$7,W1673)*X1673/SUMIFS($X$7:$X$1843,$W$7:$W$1843,W1673),0),0)</f>
        <v>0</v>
      </c>
    </row>
    <row r="1674" customFormat="false" ht="15" hidden="false" customHeight="false" outlineLevel="0" collapsed="false">
      <c r="A1674" s="55" t="s">
        <v>2904</v>
      </c>
      <c r="B1674" s="55" t="s">
        <v>1422</v>
      </c>
      <c r="C1674" s="55" t="s">
        <v>164</v>
      </c>
      <c r="D1674" s="55" t="s">
        <v>173</v>
      </c>
      <c r="E1674" s="55"/>
      <c r="F1674" s="55"/>
      <c r="G1674" s="56" t="n">
        <v>785</v>
      </c>
      <c r="H1674" s="57" t="n">
        <f aca="false">MAX(0,IF(AND(Parameter!$B$21="Ja",ISNUMBER(Y1674)),Y1674,IF(Parameter!$B$20="Jahresanfang 2025 + Export",BL1674+BK1674,BK1674)))</f>
        <v>26</v>
      </c>
      <c r="I1674" s="57" t="n">
        <f aca="false">H1674*G1674</f>
        <v>20410</v>
      </c>
      <c r="J1674" s="57" t="n">
        <f aca="false">BN1674*Parameter!$B$18</f>
        <v>0</v>
      </c>
      <c r="K1674" s="58"/>
      <c r="L1674" s="59"/>
      <c r="M1674" s="57" t="n">
        <v>0</v>
      </c>
      <c r="N1674" s="57" t="n">
        <v>1</v>
      </c>
      <c r="O1674" s="60" t="n">
        <v>0</v>
      </c>
      <c r="P1674" s="55" t="s">
        <v>223</v>
      </c>
      <c r="Q1674" s="57" t="n">
        <v>5</v>
      </c>
      <c r="R1674" s="60" t="n">
        <f aca="false">IF(BT1674=1,0,IFERROR(VLOOKUP(BR1674,'Gebinde-Kategorie'!$A$5:$M$45,13,0)+0,0))</f>
        <v>3</v>
      </c>
      <c r="S1674" s="61"/>
      <c r="T1674" s="62"/>
      <c r="U1674" s="62"/>
      <c r="V1674" s="62"/>
      <c r="W1674" s="55"/>
      <c r="X1674" s="57"/>
      <c r="Y1674" s="57"/>
      <c r="Z1674" s="55" t="n">
        <f aca="false">IF(A1674="","",IF(AND(Parameter!$B$21="Ja",ISNUMBER(W1674)),W1674,IF(BV1674="2+3",IF(ISNUMBER(SEARCH("grosser Artikel",BO1674)),2,IFERROR(VLOOKUP(BR1674,Parameter!$F$35:$G$64,2,0),2)),IF(OR(BV1674="Nein",BV1674=""),"-",BV1674))))</f>
        <v>2</v>
      </c>
      <c r="AA1674" s="62"/>
      <c r="AB1674" s="63"/>
      <c r="AC1674" s="57" t="n">
        <f aca="false">AR1674</f>
        <v>5</v>
      </c>
      <c r="AD1674" s="57" t="n">
        <f aca="false">MAX(AR1674,H1674)</f>
        <v>26</v>
      </c>
      <c r="AE1674" s="64"/>
      <c r="AF1674" s="57" t="n">
        <f aca="false">IF(LEFT(Cockpit!$C$5,1)="A",H1674,IF(CA1674=1,CB1674,IF(LEFT(Cockpit!$C$5,1)="B",AJ1674,MAX(AJ1674,H1674))))</f>
        <v>26</v>
      </c>
      <c r="AG1674" s="57" t="n">
        <f aca="false">IF(BT1674=1,0,ROUNDUP(AF1674/BS1674,0))</f>
        <v>6</v>
      </c>
      <c r="AH1674" s="59" t="n">
        <f aca="false">IF(CH1674&gt;0,CH1674*MAX(1,AF1674/X1674),IF(BT1674=1,IF(AF1674&lt;=0,0,BW1674*MAX(1,IF(H1674&gt;0,AF1674/H1674,1))),IF(R1674&gt;0,AG1674/R1674,0))/MAX(0.1,N(Parameter!$M$21)))</f>
        <v>2</v>
      </c>
      <c r="AI1674" s="57" t="n">
        <f aca="false">AF1674*G1674</f>
        <v>20410</v>
      </c>
      <c r="AJ1674" s="57" t="n">
        <f aca="false">ROUNDUP(MAX(J1674/IF(BZ1674&gt;0,BZ1674,MAX(0.1,N(Cockpit!$C$6))),CC1674)/BS1674,0)*BS1674</f>
        <v>5</v>
      </c>
      <c r="AK1674" s="58" t="n">
        <f aca="false">IF(AH1674&gt;0,J1674/AH1674,-1)</f>
        <v>0</v>
      </c>
      <c r="AL1674" s="58" t="n">
        <f aca="false">IF(AND(OR(BY1674="L1",BY1674="L23"),AH1674&gt;0),SUMIFS($AH$7:$AH$1843,$BY$7:$BY$1843,BY1674,$AK$7:$AK$1843,"&gt;"&amp;AK1674)+SUMIFS($AH$7:$AH$1843,$BY$7:$BY$1843,BY1674,$AK$7:$AK$1843,AK1674,$BQ$7:$BQ$1843,"&lt;="&amp;BQ1674),"")</f>
        <v>94.5204300530388</v>
      </c>
      <c r="AM1674" s="65" t="n">
        <f aca="false">IF(AL1674="",0,MAX(0,MIN(1,(IF(BY1674="L1",Parameter!$E$5,Parameter!$E$6+Parameter!$E$7)-(AL1674-AH1674))/AH1674)))</f>
        <v>1</v>
      </c>
      <c r="AN1674" s="57" t="n">
        <f aca="false">IF(LEFT(Cockpit!$I$5,1)="A",H1674,IF(CA1674=1,CB1674,IF(LEFT(Cockpit!$I$5,1)="B",AR1674,MAX(AR1674,H1674))))</f>
        <v>26</v>
      </c>
      <c r="AO1674" s="57" t="n">
        <f aca="false">IF(BT1674=1,0,ROUNDUP(AN1674/BS1674,0))</f>
        <v>6</v>
      </c>
      <c r="AP1674" s="59" t="n">
        <f aca="false">IF(CH1674&gt;0,CH1674*MAX(1,AN1674/X1674),IF(BT1674=1,IF(AN1674&lt;=0,0,BW1674*MAX(1,IF(H1674&gt;0,AN1674/H1674,1))),IF(R1674&gt;0,AO1674/R1674,0))/MAX(0.1,N(Parameter!$M$21)))</f>
        <v>2</v>
      </c>
      <c r="AQ1674" s="57" t="n">
        <f aca="false">AN1674*G1674</f>
        <v>20410</v>
      </c>
      <c r="AR1674" s="57" t="n">
        <f aca="false">ROUNDUP(MAX(J1674/IF(BZ1674&gt;0,BZ1674,MAX(0.1,N(Cockpit!$I$6))),CC1674)/BS1674,0)*BS1674</f>
        <v>5</v>
      </c>
      <c r="AS1674" s="58" t="n">
        <f aca="false">IF(AP1674&gt;0,J1674/AP1674,-1)</f>
        <v>0</v>
      </c>
      <c r="AT1674" s="58" t="n">
        <f aca="false">IF(AND(OR(BY1674="L1",BY1674="L23"),AP1674&gt;0),SUMIFS($AP$7:$AP$1843,$BY$7:$BY$1843,BY1674,$AS$7:$AS$1843,"&gt;"&amp;AS1674)+SUMIFS($AP$7:$AP$1843,$BY$7:$BY$1843,BY1674,$AS$7:$AS$1843,AS1674,$BQ$7:$BQ$1843,"&lt;="&amp;BQ1674),"")</f>
        <v>139.772566805176</v>
      </c>
      <c r="AU1674" s="65" t="n">
        <f aca="false">IF(AT1674="",0,MAX(0,MIN(1,(IF(BY1674="L1",Parameter!$E$5,Parameter!$E$6+Parameter!$E$7)-(AT1674-AP1674))/AP1674)))</f>
        <v>0</v>
      </c>
      <c r="AV1674" s="57" t="n">
        <f aca="false">IF(LEFT(Cockpit!$O$5,1)="A",H1674,IF(CA1674=1,CB1674,IF(LEFT(Cockpit!$O$5,1)="B",AZ1674,MAX(AZ1674,H1674))))</f>
        <v>26</v>
      </c>
      <c r="AW1674" s="57" t="n">
        <f aca="false">IF(BT1674=1,0,ROUNDUP(AV1674/BS1674,0))</f>
        <v>6</v>
      </c>
      <c r="AX1674" s="59" t="n">
        <f aca="false">IF(CH1674&gt;0,CH1674*MAX(1,AV1674/X1674),IF(BT1674=1,IF(AV1674&lt;=0,0,BW1674*MAX(1,IF(H1674&gt;0,AV1674/H1674,1))),IF(R1674&gt;0,AW1674/R1674,0))/MAX(0.1,N(Parameter!$M$21)))</f>
        <v>2</v>
      </c>
      <c r="AY1674" s="57" t="n">
        <f aca="false">AV1674*G1674</f>
        <v>20410</v>
      </c>
      <c r="AZ1674" s="57" t="n">
        <f aca="false">ROUNDUP(MAX(J1674/IF(BZ1674&gt;0,BZ1674,MAX(0.1,N(Cockpit!$O$6))),CC1674)/BS1674,0)*BS1674</f>
        <v>5</v>
      </c>
      <c r="BA1674" s="58" t="n">
        <f aca="false">IF(AX1674&gt;0,J1674/AX1674,-1)</f>
        <v>0</v>
      </c>
      <c r="BB1674" s="58" t="n">
        <f aca="false">IF(AND(OR(BY1674="L1",BY1674="L23"),AX1674&gt;0),SUMIFS($AX$7:$AX$1843,$BY$7:$BY$1843,BY1674,$BA$7:$BA$1843,"&gt;"&amp;BA1674)+SUMIFS($AX$7:$AX$1843,$BY$7:$BY$1843,BY1674,$BA$7:$BA$1843,BA1674,$BQ$7:$BQ$1843,"&lt;="&amp;BQ1674),"")</f>
        <v>130.602403635012</v>
      </c>
      <c r="BC1674" s="65" t="n">
        <f aca="false">IF(BB1674="",0,MAX(0,MIN(1,(IF(BY1674="L1",Parameter!$E$5,Parameter!$E$6+Parameter!$E$7)-(BB1674-AX1674))/AX1674)))</f>
        <v>0</v>
      </c>
      <c r="BD1674" s="55" t="str">
        <f aca="false">IF(AH1674&lt;=0,"",IF(BY1674="Aussen","Aussenlager",IF(BY1674="-","Nicht im Lift",IF(AM1674&gt;=1,"Lift",IF(AM1674&lt;=0,"Aussenlager","teilweise")))))</f>
        <v>Lift</v>
      </c>
      <c r="BE1674" s="55" t="str">
        <f aca="false">IF(AP1674&lt;=0,"",IF(BY1674="Aussen","Aussenlager",IF(BY1674="-","Nicht im Lift",IF(AU1674&gt;=1,"Lift",IF(AU1674&lt;=0,"Aussenlager","teilweise")))))</f>
        <v>Aussenlager</v>
      </c>
      <c r="BF1674" s="55" t="str">
        <f aca="false">IF(AX1674&lt;=0,"",IF(BY1674="Aussen","Aussenlager",IF(BY1674="-","Nicht im Lift",IF(BC1674&gt;=1,"Lift",IF(BC1674&lt;=0,"Aussenlager","teilweise")))))</f>
        <v>Aussenlager</v>
      </c>
      <c r="BG1674" s="55" t="str">
        <f aca="false">IF(A1674="","",IF(BP1674=1,"Neu; ","")&amp;IF(AND(BP1674=0,BK1674&lt;0),"negativer Bestand (Export "&amp;BK1674&amp;"); ","")&amp;IF(J1674&lt;=0,"Kein Verbrauch; ","")&amp;IF(CH1674&gt;0,"Lift "&amp;W1674&amp;" lt. Liftbericht (Fach "&amp;X1674&amp;" Stk); ",IF(BU1674=1,"Gebinde geschätzt ("&amp;T1674&amp;"); ",IF(BT1674=1,"Lose – Tablare geschätzt; ","")))&amp;IF(H1674&gt;AR1674,"Überbestand "&amp;ROUND(H1674-AR1674,0)&amp;" Stk / CHF "&amp;ROUND((H1674-AR1674)*G1674,0)&amp;"; ","")&amp;IF(AND(CA1674=1,CB1674&lt;CC1674),"MAX &lt; MB+LG; ","")&amp;IF(AND(CG1674&gt;0,CF1674*10&gt;CG1674),"zu hoch für Tablar; ","")&amp;IF(AND(BP1674=0,OR(CA1674=1,AA1674&lt;&gt;"",U1674&lt;&gt;"",V1674&lt;&gt;"",AB1674&lt;&gt;"")),"manuell übersteuert; ","")&amp;IF(AND(BT1674=0,R1674=0),"Gebinde unbekannt / Stellmass fehlt; ","")&amp;IF(AND(BT1674=0,N(V1674)&lt;=0,N(Q1674)&lt;=0),"Menge pro Gebinde fehlt (Ist = 1 Gebinde); ","")&amp;BO1674)</f>
        <v>Kein Verbrauch; Überbestand 21 Stk / CHF 16485; nur im Artikelstamm (Bestand 23.06.2026)</v>
      </c>
      <c r="BH1674" s="55"/>
      <c r="BI1674" s="55"/>
      <c r="BJ1674" s="62"/>
      <c r="BK1674" s="57" t="n">
        <v>26</v>
      </c>
      <c r="BL1674" s="57" t="n">
        <v>0</v>
      </c>
      <c r="BM1674" s="56" t="n">
        <v>0</v>
      </c>
      <c r="BN1674" s="57" t="n">
        <v>0</v>
      </c>
      <c r="BO1674" s="55" t="s">
        <v>2575</v>
      </c>
      <c r="BP1674" s="60" t="n">
        <v>0</v>
      </c>
      <c r="BQ1674" s="60" t="n">
        <v>1674</v>
      </c>
      <c r="BR1674" s="55" t="str">
        <f aca="false">IF(U1674&lt;&gt;"",UPPER(TRIM(U1674)),IF(BU1674=1,UPPER(VLOOKUP(T1674,Parameter!$I$27:$K$29,2,0)),IF(P1674="","LOSE",P1674)))</f>
        <v>S81</v>
      </c>
      <c r="BS1674" s="57" t="n">
        <f aca="false">IF(BR1674="LOSE",1,IF(N(V1674)&gt;0,V1674,IF(BU1674=1,MAX(1,N(VLOOKUP(T1674,Parameter!$I$27:$K$29,3,0)),H1674,N(N1674)),IF(N(Q1674)&gt;0,Q1674,MAX(1,H1674)))))</f>
        <v>5</v>
      </c>
      <c r="BT1674" s="60" t="n">
        <f aca="false">IF(BR1674="LOSE",1,0)</f>
        <v>0</v>
      </c>
      <c r="BU1674" s="60" t="n">
        <f aca="false">IF(AND(U1674="",OR(P1674="",P1674="LOSE"),T1674&lt;&gt;"",N(S1674)&lt;=0,ISNUMBER(MATCH(T1674,Parameter!$I$27:$I$29,0))),1,0)</f>
        <v>0</v>
      </c>
      <c r="BV1674" s="55" t="str">
        <f aca="false">IF(AND(Parameter!$B$19="Ja",E1674&lt;&gt;"",ISNUMBER(MATCH(E1674,Parameter!$I$35:$I$52,0))),VLOOKUP(E1674,Parameter!$I$35:$J$52,2,0),IFERROR(VLOOKUP(D1674,Parameter!$A$35:$C$64,2,0),"Nein"))</f>
        <v>2+3</v>
      </c>
      <c r="BW1674" s="59" t="n">
        <f aca="false">IF(BT1674=0,0,IF(N(S1674)&gt;0,S1674,IFERROR(VLOOKUP(D1674,Parameter!$A$35:$C$64,3,0)+0,0)))</f>
        <v>0</v>
      </c>
      <c r="BX1674" s="55" t="n">
        <f aca="false">IF(AA1674&lt;&gt;"",AA1674,Z1674)</f>
        <v>2</v>
      </c>
      <c r="BY1674" s="55" t="str">
        <f aca="false">IF(BX1674=1,"L1",IF(OR(BX1674=2,BX1674=3),"L23",IF(BX1674="Aussen","Aussen","-")))</f>
        <v>L23</v>
      </c>
      <c r="BZ1674" s="66" t="n">
        <f aca="false">IF(N(AB1674)&gt;0,AB1674,0)</f>
        <v>0</v>
      </c>
      <c r="CA1674" s="60" t="n">
        <f aca="false">IF(ISNUMBER(AE1674),1,0)</f>
        <v>0</v>
      </c>
      <c r="CB1674" s="57" t="n">
        <f aca="false">N(AE1674)</f>
        <v>0</v>
      </c>
      <c r="CC1674" s="57" t="n">
        <f aca="false">N(M1674)+N(N1674)</f>
        <v>1</v>
      </c>
      <c r="CD1674" s="57" t="n">
        <f aca="false">ROUNDUP(H1674/BS1674,0)</f>
        <v>6</v>
      </c>
      <c r="CE1674" s="57" t="n">
        <f aca="false">ROUNDUP(CB1674/BS1674,0)</f>
        <v>0</v>
      </c>
      <c r="CF1674" s="60" t="n">
        <f aca="false">IF(BT1674=1,0,IFERROR(VLOOKUP(BR1674,'Gebinde-Kategorie'!$A$5:$M$45,5,0)+0,0))</f>
        <v>20</v>
      </c>
      <c r="CG1674" s="60" t="n">
        <f aca="false">IFERROR(IF(OR(BX1674=1,BX1674=2,BX1674=3),N(INDEX(Parameter!$I$5:$I$7,BX1674)),0),0)</f>
        <v>0</v>
      </c>
      <c r="CH1674" s="59" t="n">
        <f aca="false">IF(AND(Parameter!$B$21="Ja",ISNUMBER(W1674),N(X1674)&gt;0),IFERROR(N(INDEX(Parameter!$L$5:$L$7,W1674))*INDEX(Parameter!$E$5:$E$7,W1674)*X1674/SUMIFS($X$7:$X$1843,$W$7:$W$1843,W1674),0),0)</f>
        <v>0</v>
      </c>
    </row>
    <row r="1675" customFormat="false" ht="15" hidden="false" customHeight="false" outlineLevel="0" collapsed="false">
      <c r="A1675" s="55" t="s">
        <v>2905</v>
      </c>
      <c r="B1675" s="55" t="s">
        <v>2906</v>
      </c>
      <c r="C1675" s="55" t="s">
        <v>164</v>
      </c>
      <c r="D1675" s="55" t="s">
        <v>173</v>
      </c>
      <c r="E1675" s="55"/>
      <c r="F1675" s="55"/>
      <c r="G1675" s="56" t="n">
        <v>288.29</v>
      </c>
      <c r="H1675" s="57" t="n">
        <f aca="false">MAX(0,IF(AND(Parameter!$B$21="Ja",ISNUMBER(Y1675)),Y1675,IF(Parameter!$B$20="Jahresanfang 2025 + Export",BL1675+BK1675,BK1675)))</f>
        <v>13</v>
      </c>
      <c r="I1675" s="57" t="n">
        <f aca="false">H1675*G1675</f>
        <v>3747.77</v>
      </c>
      <c r="J1675" s="57" t="n">
        <f aca="false">BN1675*Parameter!$B$18</f>
        <v>0</v>
      </c>
      <c r="K1675" s="58"/>
      <c r="L1675" s="59"/>
      <c r="M1675" s="57" t="n">
        <v>0</v>
      </c>
      <c r="N1675" s="57" t="n">
        <v>5</v>
      </c>
      <c r="O1675" s="60" t="n">
        <v>84</v>
      </c>
      <c r="P1675" s="55" t="s">
        <v>174</v>
      </c>
      <c r="Q1675" s="57" t="n">
        <v>15</v>
      </c>
      <c r="R1675" s="60" t="n">
        <f aca="false">IF(BT1675=1,0,IFERROR(VLOOKUP(BR1675,'Gebinde-Kategorie'!$A$5:$M$45,13,0)+0,0))</f>
        <v>6</v>
      </c>
      <c r="S1675" s="61"/>
      <c r="T1675" s="62"/>
      <c r="U1675" s="62"/>
      <c r="V1675" s="62"/>
      <c r="W1675" s="55"/>
      <c r="X1675" s="57"/>
      <c r="Y1675" s="57"/>
      <c r="Z1675" s="55" t="n">
        <f aca="false">IF(A1675="","",IF(AND(Parameter!$B$21="Ja",ISNUMBER(W1675)),W1675,IF(BV1675="2+3",IF(ISNUMBER(SEARCH("grosser Artikel",BO1675)),2,IFERROR(VLOOKUP(BR1675,Parameter!$F$35:$G$64,2,0),2)),IF(OR(BV1675="Nein",BV1675=""),"-",BV1675))))</f>
        <v>2</v>
      </c>
      <c r="AA1675" s="62"/>
      <c r="AB1675" s="63"/>
      <c r="AC1675" s="57" t="n">
        <f aca="false">AR1675</f>
        <v>15</v>
      </c>
      <c r="AD1675" s="57" t="n">
        <f aca="false">MAX(AR1675,H1675)</f>
        <v>15</v>
      </c>
      <c r="AE1675" s="64"/>
      <c r="AF1675" s="57" t="n">
        <f aca="false">IF(LEFT(Cockpit!$C$5,1)="A",H1675,IF(CA1675=1,CB1675,IF(LEFT(Cockpit!$C$5,1)="B",AJ1675,MAX(AJ1675,H1675))))</f>
        <v>13</v>
      </c>
      <c r="AG1675" s="57" t="n">
        <f aca="false">IF(BT1675=1,0,ROUNDUP(AF1675/BS1675,0))</f>
        <v>1</v>
      </c>
      <c r="AH1675" s="59" t="n">
        <f aca="false">IF(CH1675&gt;0,CH1675*MAX(1,AF1675/X1675),IF(BT1675=1,IF(AF1675&lt;=0,0,BW1675*MAX(1,IF(H1675&gt;0,AF1675/H1675,1))),IF(R1675&gt;0,AG1675/R1675,0))/MAX(0.1,N(Parameter!$M$21)))</f>
        <v>0.166666666666667</v>
      </c>
      <c r="AI1675" s="57" t="n">
        <f aca="false">AF1675*G1675</f>
        <v>3747.77</v>
      </c>
      <c r="AJ1675" s="57" t="n">
        <f aca="false">ROUNDUP(MAX(J1675/IF(BZ1675&gt;0,BZ1675,MAX(0.1,N(Cockpit!$C$6))),CC1675)/BS1675,0)*BS1675</f>
        <v>15</v>
      </c>
      <c r="AK1675" s="58" t="n">
        <f aca="false">IF(AH1675&gt;0,J1675/AH1675,-1)</f>
        <v>0</v>
      </c>
      <c r="AL1675" s="58" t="n">
        <f aca="false">IF(AND(OR(BY1675="L1",BY1675="L23"),AH1675&gt;0),SUMIFS($AH$7:$AH$1843,$BY$7:$BY$1843,BY1675,$AK$7:$AK$1843,"&gt;"&amp;AK1675)+SUMIFS($AH$7:$AH$1843,$BY$7:$BY$1843,BY1675,$AK$7:$AK$1843,AK1675,$BQ$7:$BQ$1843,"&lt;="&amp;BQ1675),"")</f>
        <v>94.6870967197054</v>
      </c>
      <c r="AM1675" s="65" t="n">
        <f aca="false">IF(AL1675="",0,MAX(0,MIN(1,(IF(BY1675="L1",Parameter!$E$5,Parameter!$E$6+Parameter!$E$7)-(AL1675-AH1675))/AH1675)))</f>
        <v>1</v>
      </c>
      <c r="AN1675" s="57" t="n">
        <f aca="false">IF(LEFT(Cockpit!$I$5,1)="A",H1675,IF(CA1675=1,CB1675,IF(LEFT(Cockpit!$I$5,1)="B",AR1675,MAX(AR1675,H1675))))</f>
        <v>15</v>
      </c>
      <c r="AO1675" s="57" t="n">
        <f aca="false">IF(BT1675=1,0,ROUNDUP(AN1675/BS1675,0))</f>
        <v>1</v>
      </c>
      <c r="AP1675" s="59" t="n">
        <f aca="false">IF(CH1675&gt;0,CH1675*MAX(1,AN1675/X1675),IF(BT1675=1,IF(AN1675&lt;=0,0,BW1675*MAX(1,IF(H1675&gt;0,AN1675/H1675,1))),IF(R1675&gt;0,AO1675/R1675,0))/MAX(0.1,N(Parameter!$M$21)))</f>
        <v>0.166666666666667</v>
      </c>
      <c r="AQ1675" s="57" t="n">
        <f aca="false">AN1675*G1675</f>
        <v>4324.35</v>
      </c>
      <c r="AR1675" s="57" t="n">
        <f aca="false">ROUNDUP(MAX(J1675/IF(BZ1675&gt;0,BZ1675,MAX(0.1,N(Cockpit!$I$6))),CC1675)/BS1675,0)*BS1675</f>
        <v>15</v>
      </c>
      <c r="AS1675" s="58" t="n">
        <f aca="false">IF(AP1675&gt;0,J1675/AP1675,-1)</f>
        <v>0</v>
      </c>
      <c r="AT1675" s="58" t="n">
        <f aca="false">IF(AND(OR(BY1675="L1",BY1675="L23"),AP1675&gt;0),SUMIFS($AP$7:$AP$1843,$BY$7:$BY$1843,BY1675,$AS$7:$AS$1843,"&gt;"&amp;AS1675)+SUMIFS($AP$7:$AP$1843,$BY$7:$BY$1843,BY1675,$AS$7:$AS$1843,AS1675,$BQ$7:$BQ$1843,"&lt;="&amp;BQ1675),"")</f>
        <v>139.939233471842</v>
      </c>
      <c r="AU1675" s="65" t="n">
        <f aca="false">IF(AT1675="",0,MAX(0,MIN(1,(IF(BY1675="L1",Parameter!$E$5,Parameter!$E$6+Parameter!$E$7)-(AT1675-AP1675))/AP1675)))</f>
        <v>0</v>
      </c>
      <c r="AV1675" s="57" t="n">
        <f aca="false">IF(LEFT(Cockpit!$O$5,1)="A",H1675,IF(CA1675=1,CB1675,IF(LEFT(Cockpit!$O$5,1)="B",AZ1675,MAX(AZ1675,H1675))))</f>
        <v>15</v>
      </c>
      <c r="AW1675" s="57" t="n">
        <f aca="false">IF(BT1675=1,0,ROUNDUP(AV1675/BS1675,0))</f>
        <v>1</v>
      </c>
      <c r="AX1675" s="59" t="n">
        <f aca="false">IF(CH1675&gt;0,CH1675*MAX(1,AV1675/X1675),IF(BT1675=1,IF(AV1675&lt;=0,0,BW1675*MAX(1,IF(H1675&gt;0,AV1675/H1675,1))),IF(R1675&gt;0,AW1675/R1675,0))/MAX(0.1,N(Parameter!$M$21)))</f>
        <v>0.166666666666667</v>
      </c>
      <c r="AY1675" s="57" t="n">
        <f aca="false">AV1675*G1675</f>
        <v>4324.35</v>
      </c>
      <c r="AZ1675" s="57" t="n">
        <f aca="false">ROUNDUP(MAX(J1675/IF(BZ1675&gt;0,BZ1675,MAX(0.1,N(Cockpit!$O$6))),CC1675)/BS1675,0)*BS1675</f>
        <v>15</v>
      </c>
      <c r="BA1675" s="58" t="n">
        <f aca="false">IF(AX1675&gt;0,J1675/AX1675,-1)</f>
        <v>0</v>
      </c>
      <c r="BB1675" s="58" t="n">
        <f aca="false">IF(AND(OR(BY1675="L1",BY1675="L23"),AX1675&gt;0),SUMIFS($AX$7:$AX$1843,$BY$7:$BY$1843,BY1675,$BA$7:$BA$1843,"&gt;"&amp;BA1675)+SUMIFS($AX$7:$AX$1843,$BY$7:$BY$1843,BY1675,$BA$7:$BA$1843,BA1675,$BQ$7:$BQ$1843,"&lt;="&amp;BQ1675),"")</f>
        <v>130.769070301679</v>
      </c>
      <c r="BC1675" s="65" t="n">
        <f aca="false">IF(BB1675="",0,MAX(0,MIN(1,(IF(BY1675="L1",Parameter!$E$5,Parameter!$E$6+Parameter!$E$7)-(BB1675-AX1675))/AX1675)))</f>
        <v>0</v>
      </c>
      <c r="BD1675" s="55" t="str">
        <f aca="false">IF(AH1675&lt;=0,"",IF(BY1675="Aussen","Aussenlager",IF(BY1675="-","Nicht im Lift",IF(AM1675&gt;=1,"Lift",IF(AM1675&lt;=0,"Aussenlager","teilweise")))))</f>
        <v>Lift</v>
      </c>
      <c r="BE1675" s="55" t="str">
        <f aca="false">IF(AP1675&lt;=0,"",IF(BY1675="Aussen","Aussenlager",IF(BY1675="-","Nicht im Lift",IF(AU1675&gt;=1,"Lift",IF(AU1675&lt;=0,"Aussenlager","teilweise")))))</f>
        <v>Aussenlager</v>
      </c>
      <c r="BF1675" s="55" t="str">
        <f aca="false">IF(AX1675&lt;=0,"",IF(BY1675="Aussen","Aussenlager",IF(BY1675="-","Nicht im Lift",IF(BC1675&gt;=1,"Lift",IF(BC1675&lt;=0,"Aussenlager","teilweise")))))</f>
        <v>Aussenlager</v>
      </c>
      <c r="BG1675" s="55" t="str">
        <f aca="false">IF(A1675="","",IF(BP1675=1,"Neu; ","")&amp;IF(AND(BP1675=0,BK1675&lt;0),"negativer Bestand (Export "&amp;BK1675&amp;"); ","")&amp;IF(J1675&lt;=0,"Kein Verbrauch; ","")&amp;IF(CH1675&gt;0,"Lift "&amp;W1675&amp;" lt. Liftbericht (Fach "&amp;X1675&amp;" Stk); ",IF(BU1675=1,"Gebinde geschätzt ("&amp;T1675&amp;"); ",IF(BT1675=1,"Lose – Tablare geschätzt; ","")))&amp;IF(H1675&gt;AR1675,"Überbestand "&amp;ROUND(H1675-AR1675,0)&amp;" Stk / CHF "&amp;ROUND((H1675-AR1675)*G1675,0)&amp;"; ","")&amp;IF(AND(CA1675=1,CB1675&lt;CC1675),"MAX &lt; MB+LG; ","")&amp;IF(AND(CG1675&gt;0,CF1675*10&gt;CG1675),"zu hoch für Tablar; ","")&amp;IF(AND(BP1675=0,OR(CA1675=1,AA1675&lt;&gt;"",U1675&lt;&gt;"",V1675&lt;&gt;"",AB1675&lt;&gt;"")),"manuell übersteuert; ","")&amp;IF(AND(BT1675=0,R1675=0),"Gebinde unbekannt / Stellmass fehlt; ","")&amp;IF(AND(BT1675=0,N(V1675)&lt;=0,N(Q1675)&lt;=0),"Menge pro Gebinde fehlt (Ist = 1 Gebinde); ","")&amp;BO1675)</f>
        <v>Kein Verbrauch; nur im Artikelstamm (Bestand 23.06.2026); Überbestand</v>
      </c>
      <c r="BH1675" s="55"/>
      <c r="BI1675" s="55"/>
      <c r="BJ1675" s="62"/>
      <c r="BK1675" s="57" t="n">
        <v>13</v>
      </c>
      <c r="BL1675" s="57" t="n">
        <v>0</v>
      </c>
      <c r="BM1675" s="56" t="n">
        <v>0</v>
      </c>
      <c r="BN1675" s="57" t="n">
        <v>0</v>
      </c>
      <c r="BO1675" s="55" t="s">
        <v>2572</v>
      </c>
      <c r="BP1675" s="60" t="n">
        <v>0</v>
      </c>
      <c r="BQ1675" s="60" t="n">
        <v>1675</v>
      </c>
      <c r="BR1675" s="55" t="str">
        <f aca="false">IF(U1675&lt;&gt;"",UPPER(TRIM(U1675)),IF(BU1675=1,UPPER(VLOOKUP(T1675,Parameter!$I$27:$K$29,2,0)),IF(P1675="","LOSE",P1675)))</f>
        <v>S71</v>
      </c>
      <c r="BS1675" s="57" t="n">
        <f aca="false">IF(BR1675="LOSE",1,IF(N(V1675)&gt;0,V1675,IF(BU1675=1,MAX(1,N(VLOOKUP(T1675,Parameter!$I$27:$K$29,3,0)),H1675,N(N1675)),IF(N(Q1675)&gt;0,Q1675,MAX(1,H1675)))))</f>
        <v>15</v>
      </c>
      <c r="BT1675" s="60" t="n">
        <f aca="false">IF(BR1675="LOSE",1,0)</f>
        <v>0</v>
      </c>
      <c r="BU1675" s="60" t="n">
        <f aca="false">IF(AND(U1675="",OR(P1675="",P1675="LOSE"),T1675&lt;&gt;"",N(S1675)&lt;=0,ISNUMBER(MATCH(T1675,Parameter!$I$27:$I$29,0))),1,0)</f>
        <v>0</v>
      </c>
      <c r="BV1675" s="55" t="str">
        <f aca="false">IF(AND(Parameter!$B$19="Ja",E1675&lt;&gt;"",ISNUMBER(MATCH(E1675,Parameter!$I$35:$I$52,0))),VLOOKUP(E1675,Parameter!$I$35:$J$52,2,0),IFERROR(VLOOKUP(D1675,Parameter!$A$35:$C$64,2,0),"Nein"))</f>
        <v>2+3</v>
      </c>
      <c r="BW1675" s="59" t="n">
        <f aca="false">IF(BT1675=0,0,IF(N(S1675)&gt;0,S1675,IFERROR(VLOOKUP(D1675,Parameter!$A$35:$C$64,3,0)+0,0)))</f>
        <v>0</v>
      </c>
      <c r="BX1675" s="55" t="n">
        <f aca="false">IF(AA1675&lt;&gt;"",AA1675,Z1675)</f>
        <v>2</v>
      </c>
      <c r="BY1675" s="55" t="str">
        <f aca="false">IF(BX1675=1,"L1",IF(OR(BX1675=2,BX1675=3),"L23",IF(BX1675="Aussen","Aussen","-")))</f>
        <v>L23</v>
      </c>
      <c r="BZ1675" s="66" t="n">
        <f aca="false">IF(N(AB1675)&gt;0,AB1675,0)</f>
        <v>0</v>
      </c>
      <c r="CA1675" s="60" t="n">
        <f aca="false">IF(ISNUMBER(AE1675),1,0)</f>
        <v>0</v>
      </c>
      <c r="CB1675" s="57" t="n">
        <f aca="false">N(AE1675)</f>
        <v>0</v>
      </c>
      <c r="CC1675" s="57" t="n">
        <f aca="false">N(M1675)+N(N1675)</f>
        <v>5</v>
      </c>
      <c r="CD1675" s="57" t="n">
        <f aca="false">ROUNDUP(H1675/BS1675,0)</f>
        <v>1</v>
      </c>
      <c r="CE1675" s="57" t="n">
        <f aca="false">ROUNDUP(CB1675/BS1675,0)</f>
        <v>0</v>
      </c>
      <c r="CF1675" s="60" t="n">
        <f aca="false">IF(BT1675=1,0,IFERROR(VLOOKUP(BR1675,'Gebinde-Kategorie'!$A$5:$M$45,5,0)+0,0))</f>
        <v>20</v>
      </c>
      <c r="CG1675" s="60" t="n">
        <f aca="false">IFERROR(IF(OR(BX1675=1,BX1675=2,BX1675=3),N(INDEX(Parameter!$I$5:$I$7,BX1675)),0),0)</f>
        <v>0</v>
      </c>
      <c r="CH1675" s="59" t="n">
        <f aca="false">IF(AND(Parameter!$B$21="Ja",ISNUMBER(W1675),N(X1675)&gt;0),IFERROR(N(INDEX(Parameter!$L$5:$L$7,W1675))*INDEX(Parameter!$E$5:$E$7,W1675)*X1675/SUMIFS($X$7:$X$1843,$W$7:$W$1843,W1675),0),0)</f>
        <v>0</v>
      </c>
    </row>
    <row r="1676" customFormat="false" ht="15" hidden="false" customHeight="false" outlineLevel="0" collapsed="false">
      <c r="A1676" s="55" t="s">
        <v>2907</v>
      </c>
      <c r="B1676" s="55" t="s">
        <v>522</v>
      </c>
      <c r="C1676" s="55" t="s">
        <v>164</v>
      </c>
      <c r="D1676" s="55" t="s">
        <v>173</v>
      </c>
      <c r="E1676" s="55" t="s">
        <v>185</v>
      </c>
      <c r="F1676" s="55"/>
      <c r="G1676" s="56" t="n">
        <v>486.67</v>
      </c>
      <c r="H1676" s="57" t="n">
        <f aca="false">MAX(0,IF(AND(Parameter!$B$21="Ja",ISNUMBER(Y1676)),Y1676,IF(Parameter!$B$20="Jahresanfang 2025 + Export",BL1676+BK1676,BK1676)))</f>
        <v>2</v>
      </c>
      <c r="I1676" s="57" t="n">
        <f aca="false">H1676*G1676</f>
        <v>973.34</v>
      </c>
      <c r="J1676" s="57" t="n">
        <f aca="false">BN1676*Parameter!$B$18</f>
        <v>0</v>
      </c>
      <c r="K1676" s="58"/>
      <c r="L1676" s="59"/>
      <c r="M1676" s="57" t="n">
        <v>0</v>
      </c>
      <c r="N1676" s="57" t="n">
        <v>1</v>
      </c>
      <c r="O1676" s="60" t="n">
        <v>56</v>
      </c>
      <c r="P1676" s="55" t="s">
        <v>174</v>
      </c>
      <c r="Q1676" s="57" t="n">
        <v>7</v>
      </c>
      <c r="R1676" s="60" t="n">
        <f aca="false">IF(BT1676=1,0,IFERROR(VLOOKUP(BR1676,'Gebinde-Kategorie'!$A$5:$M$45,13,0)+0,0))</f>
        <v>6</v>
      </c>
      <c r="S1676" s="61"/>
      <c r="T1676" s="62"/>
      <c r="U1676" s="62"/>
      <c r="V1676" s="62"/>
      <c r="W1676" s="55"/>
      <c r="X1676" s="57"/>
      <c r="Y1676" s="57"/>
      <c r="Z1676" s="55" t="n">
        <f aca="false">IF(A1676="","",IF(AND(Parameter!$B$21="Ja",ISNUMBER(W1676)),W1676,IF(BV1676="2+3",IF(ISNUMBER(SEARCH("grosser Artikel",BO1676)),2,IFERROR(VLOOKUP(BR1676,Parameter!$F$35:$G$64,2,0),2)),IF(OR(BV1676="Nein",BV1676=""),"-",BV1676))))</f>
        <v>2</v>
      </c>
      <c r="AA1676" s="62"/>
      <c r="AB1676" s="63"/>
      <c r="AC1676" s="57" t="n">
        <f aca="false">AR1676</f>
        <v>7</v>
      </c>
      <c r="AD1676" s="57" t="n">
        <f aca="false">MAX(AR1676,H1676)</f>
        <v>7</v>
      </c>
      <c r="AE1676" s="64"/>
      <c r="AF1676" s="57" t="n">
        <f aca="false">IF(LEFT(Cockpit!$C$5,1)="A",H1676,IF(CA1676=1,CB1676,IF(LEFT(Cockpit!$C$5,1)="B",AJ1676,MAX(AJ1676,H1676))))</f>
        <v>2</v>
      </c>
      <c r="AG1676" s="57" t="n">
        <f aca="false">IF(BT1676=1,0,ROUNDUP(AF1676/BS1676,0))</f>
        <v>1</v>
      </c>
      <c r="AH1676" s="59" t="n">
        <f aca="false">IF(CH1676&gt;0,CH1676*MAX(1,AF1676/X1676),IF(BT1676=1,IF(AF1676&lt;=0,0,BW1676*MAX(1,IF(H1676&gt;0,AF1676/H1676,1))),IF(R1676&gt;0,AG1676/R1676,0))/MAX(0.1,N(Parameter!$M$21)))</f>
        <v>0.166666666666667</v>
      </c>
      <c r="AI1676" s="57" t="n">
        <f aca="false">AF1676*G1676</f>
        <v>973.34</v>
      </c>
      <c r="AJ1676" s="57" t="n">
        <f aca="false">ROUNDUP(MAX(J1676/IF(BZ1676&gt;0,BZ1676,MAX(0.1,N(Cockpit!$C$6))),CC1676)/BS1676,0)*BS1676</f>
        <v>7</v>
      </c>
      <c r="AK1676" s="58" t="n">
        <f aca="false">IF(AH1676&gt;0,J1676/AH1676,-1)</f>
        <v>0</v>
      </c>
      <c r="AL1676" s="58" t="n">
        <f aca="false">IF(AND(OR(BY1676="L1",BY1676="L23"),AH1676&gt;0),SUMIFS($AH$7:$AH$1843,$BY$7:$BY$1843,BY1676,$AK$7:$AK$1843,"&gt;"&amp;AK1676)+SUMIFS($AH$7:$AH$1843,$BY$7:$BY$1843,BY1676,$AK$7:$AK$1843,AK1676,$BQ$7:$BQ$1843,"&lt;="&amp;BQ1676),"")</f>
        <v>94.8537633863721</v>
      </c>
      <c r="AM1676" s="65" t="n">
        <f aca="false">IF(AL1676="",0,MAX(0,MIN(1,(IF(BY1676="L1",Parameter!$E$5,Parameter!$E$6+Parameter!$E$7)-(AL1676-AH1676))/AH1676)))</f>
        <v>1</v>
      </c>
      <c r="AN1676" s="57" t="n">
        <f aca="false">IF(LEFT(Cockpit!$I$5,1)="A",H1676,IF(CA1676=1,CB1676,IF(LEFT(Cockpit!$I$5,1)="B",AR1676,MAX(AR1676,H1676))))</f>
        <v>7</v>
      </c>
      <c r="AO1676" s="57" t="n">
        <f aca="false">IF(BT1676=1,0,ROUNDUP(AN1676/BS1676,0))</f>
        <v>1</v>
      </c>
      <c r="AP1676" s="59" t="n">
        <f aca="false">IF(CH1676&gt;0,CH1676*MAX(1,AN1676/X1676),IF(BT1676=1,IF(AN1676&lt;=0,0,BW1676*MAX(1,IF(H1676&gt;0,AN1676/H1676,1))),IF(R1676&gt;0,AO1676/R1676,0))/MAX(0.1,N(Parameter!$M$21)))</f>
        <v>0.166666666666667</v>
      </c>
      <c r="AQ1676" s="57" t="n">
        <f aca="false">AN1676*G1676</f>
        <v>3406.69</v>
      </c>
      <c r="AR1676" s="57" t="n">
        <f aca="false">ROUNDUP(MAX(J1676/IF(BZ1676&gt;0,BZ1676,MAX(0.1,N(Cockpit!$I$6))),CC1676)/BS1676,0)*BS1676</f>
        <v>7</v>
      </c>
      <c r="AS1676" s="58" t="n">
        <f aca="false">IF(AP1676&gt;0,J1676/AP1676,-1)</f>
        <v>0</v>
      </c>
      <c r="AT1676" s="58" t="n">
        <f aca="false">IF(AND(OR(BY1676="L1",BY1676="L23"),AP1676&gt;0),SUMIFS($AP$7:$AP$1843,$BY$7:$BY$1843,BY1676,$AS$7:$AS$1843,"&gt;"&amp;AS1676)+SUMIFS($AP$7:$AP$1843,$BY$7:$BY$1843,BY1676,$AS$7:$AS$1843,AS1676,$BQ$7:$BQ$1843,"&lt;="&amp;BQ1676),"")</f>
        <v>140.105900138509</v>
      </c>
      <c r="AU1676" s="65" t="n">
        <f aca="false">IF(AT1676="",0,MAX(0,MIN(1,(IF(BY1676="L1",Parameter!$E$5,Parameter!$E$6+Parameter!$E$7)-(AT1676-AP1676))/AP1676)))</f>
        <v>0</v>
      </c>
      <c r="AV1676" s="57" t="n">
        <f aca="false">IF(LEFT(Cockpit!$O$5,1)="A",H1676,IF(CA1676=1,CB1676,IF(LEFT(Cockpit!$O$5,1)="B",AZ1676,MAX(AZ1676,H1676))))</f>
        <v>7</v>
      </c>
      <c r="AW1676" s="57" t="n">
        <f aca="false">IF(BT1676=1,0,ROUNDUP(AV1676/BS1676,0))</f>
        <v>1</v>
      </c>
      <c r="AX1676" s="59" t="n">
        <f aca="false">IF(CH1676&gt;0,CH1676*MAX(1,AV1676/X1676),IF(BT1676=1,IF(AV1676&lt;=0,0,BW1676*MAX(1,IF(H1676&gt;0,AV1676/H1676,1))),IF(R1676&gt;0,AW1676/R1676,0))/MAX(0.1,N(Parameter!$M$21)))</f>
        <v>0.166666666666667</v>
      </c>
      <c r="AY1676" s="57" t="n">
        <f aca="false">AV1676*G1676</f>
        <v>3406.69</v>
      </c>
      <c r="AZ1676" s="57" t="n">
        <f aca="false">ROUNDUP(MAX(J1676/IF(BZ1676&gt;0,BZ1676,MAX(0.1,N(Cockpit!$O$6))),CC1676)/BS1676,0)*BS1676</f>
        <v>7</v>
      </c>
      <c r="BA1676" s="58" t="n">
        <f aca="false">IF(AX1676&gt;0,J1676/AX1676,-1)</f>
        <v>0</v>
      </c>
      <c r="BB1676" s="58" t="n">
        <f aca="false">IF(AND(OR(BY1676="L1",BY1676="L23"),AX1676&gt;0),SUMIFS($AX$7:$AX$1843,$BY$7:$BY$1843,BY1676,$BA$7:$BA$1843,"&gt;"&amp;BA1676)+SUMIFS($AX$7:$AX$1843,$BY$7:$BY$1843,BY1676,$BA$7:$BA$1843,BA1676,$BQ$7:$BQ$1843,"&lt;="&amp;BQ1676),"")</f>
        <v>130.935736968346</v>
      </c>
      <c r="BC1676" s="65" t="n">
        <f aca="false">IF(BB1676="",0,MAX(0,MIN(1,(IF(BY1676="L1",Parameter!$E$5,Parameter!$E$6+Parameter!$E$7)-(BB1676-AX1676))/AX1676)))</f>
        <v>0</v>
      </c>
      <c r="BD1676" s="55" t="str">
        <f aca="false">IF(AH1676&lt;=0,"",IF(BY1676="Aussen","Aussenlager",IF(BY1676="-","Nicht im Lift",IF(AM1676&gt;=1,"Lift",IF(AM1676&lt;=0,"Aussenlager","teilweise")))))</f>
        <v>Lift</v>
      </c>
      <c r="BE1676" s="55" t="str">
        <f aca="false">IF(AP1676&lt;=0,"",IF(BY1676="Aussen","Aussenlager",IF(BY1676="-","Nicht im Lift",IF(AU1676&gt;=1,"Lift",IF(AU1676&lt;=0,"Aussenlager","teilweise")))))</f>
        <v>Aussenlager</v>
      </c>
      <c r="BF1676" s="55" t="str">
        <f aca="false">IF(AX1676&lt;=0,"",IF(BY1676="Aussen","Aussenlager",IF(BY1676="-","Nicht im Lift",IF(BC1676&gt;=1,"Lift",IF(BC1676&lt;=0,"Aussenlager","teilweise")))))</f>
        <v>Aussenlager</v>
      </c>
      <c r="BG1676" s="55" t="str">
        <f aca="false">IF(A1676="","",IF(BP1676=1,"Neu; ","")&amp;IF(AND(BP1676=0,BK1676&lt;0),"negativer Bestand (Export "&amp;BK1676&amp;"); ","")&amp;IF(J1676&lt;=0,"Kein Verbrauch; ","")&amp;IF(CH1676&gt;0,"Lift "&amp;W1676&amp;" lt. Liftbericht (Fach "&amp;X1676&amp;" Stk); ",IF(BU1676=1,"Gebinde geschätzt ("&amp;T1676&amp;"); ",IF(BT1676=1,"Lose – Tablare geschätzt; ","")))&amp;IF(H1676&gt;AR1676,"Überbestand "&amp;ROUND(H1676-AR1676,0)&amp;" Stk / CHF "&amp;ROUND((H1676-AR1676)*G1676,0)&amp;"; ","")&amp;IF(AND(CA1676=1,CB1676&lt;CC1676),"MAX &lt; MB+LG; ","")&amp;IF(AND(CG1676&gt;0,CF1676*10&gt;CG1676),"zu hoch für Tablar; ","")&amp;IF(AND(BP1676=0,OR(CA1676=1,AA1676&lt;&gt;"",U1676&lt;&gt;"",V1676&lt;&gt;"",AB1676&lt;&gt;"")),"manuell übersteuert; ","")&amp;IF(AND(BT1676=0,R1676=0),"Gebinde unbekannt / Stellmass fehlt; ","")&amp;IF(AND(BT1676=0,N(V1676)&lt;=0,N(Q1676)&lt;=0),"Menge pro Gebinde fehlt (Ist = 1 Gebinde); ","")&amp;BO1676)</f>
        <v>Kein Verbrauch; nur im Artikelstamm (Bestand 23.06.2026); grosser Artikel &amp; nicht im KTL</v>
      </c>
      <c r="BH1676" s="55"/>
      <c r="BI1676" s="55"/>
      <c r="BJ1676" s="62"/>
      <c r="BK1676" s="57" t="n">
        <v>2</v>
      </c>
      <c r="BL1676" s="57" t="n">
        <v>0</v>
      </c>
      <c r="BM1676" s="56" t="n">
        <v>0</v>
      </c>
      <c r="BN1676" s="57" t="n">
        <v>0</v>
      </c>
      <c r="BO1676" s="55" t="s">
        <v>2859</v>
      </c>
      <c r="BP1676" s="60" t="n">
        <v>0</v>
      </c>
      <c r="BQ1676" s="60" t="n">
        <v>1676</v>
      </c>
      <c r="BR1676" s="55" t="str">
        <f aca="false">IF(U1676&lt;&gt;"",UPPER(TRIM(U1676)),IF(BU1676=1,UPPER(VLOOKUP(T1676,Parameter!$I$27:$K$29,2,0)),IF(P1676="","LOSE",P1676)))</f>
        <v>S71</v>
      </c>
      <c r="BS1676" s="57" t="n">
        <f aca="false">IF(BR1676="LOSE",1,IF(N(V1676)&gt;0,V1676,IF(BU1676=1,MAX(1,N(VLOOKUP(T1676,Parameter!$I$27:$K$29,3,0)),H1676,N(N1676)),IF(N(Q1676)&gt;0,Q1676,MAX(1,H1676)))))</f>
        <v>7</v>
      </c>
      <c r="BT1676" s="60" t="n">
        <f aca="false">IF(BR1676="LOSE",1,0)</f>
        <v>0</v>
      </c>
      <c r="BU1676" s="60" t="n">
        <f aca="false">IF(AND(U1676="",OR(P1676="",P1676="LOSE"),T1676&lt;&gt;"",N(S1676)&lt;=0,ISNUMBER(MATCH(T1676,Parameter!$I$27:$I$29,0))),1,0)</f>
        <v>0</v>
      </c>
      <c r="BV1676" s="55" t="str">
        <f aca="false">IF(AND(Parameter!$B$19="Ja",E1676&lt;&gt;"",ISNUMBER(MATCH(E1676,Parameter!$I$35:$I$52,0))),VLOOKUP(E1676,Parameter!$I$35:$J$52,2,0),IFERROR(VLOOKUP(D1676,Parameter!$A$35:$C$64,2,0),"Nein"))</f>
        <v>2+3</v>
      </c>
      <c r="BW1676" s="59" t="n">
        <f aca="false">IF(BT1676=0,0,IF(N(S1676)&gt;0,S1676,IFERROR(VLOOKUP(D1676,Parameter!$A$35:$C$64,3,0)+0,0)))</f>
        <v>0</v>
      </c>
      <c r="BX1676" s="55" t="n">
        <f aca="false">IF(AA1676&lt;&gt;"",AA1676,Z1676)</f>
        <v>2</v>
      </c>
      <c r="BY1676" s="55" t="str">
        <f aca="false">IF(BX1676=1,"L1",IF(OR(BX1676=2,BX1676=3),"L23",IF(BX1676="Aussen","Aussen","-")))</f>
        <v>L23</v>
      </c>
      <c r="BZ1676" s="66" t="n">
        <f aca="false">IF(N(AB1676)&gt;0,AB1676,0)</f>
        <v>0</v>
      </c>
      <c r="CA1676" s="60" t="n">
        <f aca="false">IF(ISNUMBER(AE1676),1,0)</f>
        <v>0</v>
      </c>
      <c r="CB1676" s="57" t="n">
        <f aca="false">N(AE1676)</f>
        <v>0</v>
      </c>
      <c r="CC1676" s="57" t="n">
        <f aca="false">N(M1676)+N(N1676)</f>
        <v>1</v>
      </c>
      <c r="CD1676" s="57" t="n">
        <f aca="false">ROUNDUP(H1676/BS1676,0)</f>
        <v>1</v>
      </c>
      <c r="CE1676" s="57" t="n">
        <f aca="false">ROUNDUP(CB1676/BS1676,0)</f>
        <v>0</v>
      </c>
      <c r="CF1676" s="60" t="n">
        <f aca="false">IF(BT1676=1,0,IFERROR(VLOOKUP(BR1676,'Gebinde-Kategorie'!$A$5:$M$45,5,0)+0,0))</f>
        <v>20</v>
      </c>
      <c r="CG1676" s="60" t="n">
        <f aca="false">IFERROR(IF(OR(BX1676=1,BX1676=2,BX1676=3),N(INDEX(Parameter!$I$5:$I$7,BX1676)),0),0)</f>
        <v>0</v>
      </c>
      <c r="CH1676" s="59" t="n">
        <f aca="false">IF(AND(Parameter!$B$21="Ja",ISNUMBER(W1676),N(X1676)&gt;0),IFERROR(N(INDEX(Parameter!$L$5:$L$7,W1676))*INDEX(Parameter!$E$5:$E$7,W1676)*X1676/SUMIFS($X$7:$X$1843,$W$7:$W$1843,W1676),0),0)</f>
        <v>0</v>
      </c>
    </row>
    <row r="1677" customFormat="false" ht="15" hidden="false" customHeight="false" outlineLevel="0" collapsed="false">
      <c r="A1677" s="55" t="s">
        <v>2908</v>
      </c>
      <c r="B1677" s="55" t="s">
        <v>1422</v>
      </c>
      <c r="C1677" s="55" t="s">
        <v>164</v>
      </c>
      <c r="D1677" s="55" t="s">
        <v>173</v>
      </c>
      <c r="E1677" s="55"/>
      <c r="F1677" s="55"/>
      <c r="G1677" s="56" t="n">
        <v>550</v>
      </c>
      <c r="H1677" s="57" t="n">
        <f aca="false">MAX(0,IF(AND(Parameter!$B$21="Ja",ISNUMBER(Y1677)),Y1677,IF(Parameter!$B$20="Jahresanfang 2025 + Export",BL1677+BK1677,BK1677)))</f>
        <v>10</v>
      </c>
      <c r="I1677" s="57" t="n">
        <f aca="false">H1677*G1677</f>
        <v>5500</v>
      </c>
      <c r="J1677" s="57" t="n">
        <f aca="false">BN1677*Parameter!$B$18</f>
        <v>0</v>
      </c>
      <c r="K1677" s="58"/>
      <c r="L1677" s="59"/>
      <c r="M1677" s="57" t="n">
        <v>0</v>
      </c>
      <c r="N1677" s="57" t="n">
        <v>1</v>
      </c>
      <c r="O1677" s="60" t="n">
        <v>0</v>
      </c>
      <c r="P1677" s="55" t="s">
        <v>174</v>
      </c>
      <c r="Q1677" s="57" t="n">
        <v>6</v>
      </c>
      <c r="R1677" s="60" t="n">
        <f aca="false">IF(BT1677=1,0,IFERROR(VLOOKUP(BR1677,'Gebinde-Kategorie'!$A$5:$M$45,13,0)+0,0))</f>
        <v>6</v>
      </c>
      <c r="S1677" s="61"/>
      <c r="T1677" s="62"/>
      <c r="U1677" s="62"/>
      <c r="V1677" s="62"/>
      <c r="W1677" s="55"/>
      <c r="X1677" s="57"/>
      <c r="Y1677" s="57"/>
      <c r="Z1677" s="55" t="n">
        <f aca="false">IF(A1677="","",IF(AND(Parameter!$B$21="Ja",ISNUMBER(W1677)),W1677,IF(BV1677="2+3",IF(ISNUMBER(SEARCH("grosser Artikel",BO1677)),2,IFERROR(VLOOKUP(BR1677,Parameter!$F$35:$G$64,2,0),2)),IF(OR(BV1677="Nein",BV1677=""),"-",BV1677))))</f>
        <v>2</v>
      </c>
      <c r="AA1677" s="62"/>
      <c r="AB1677" s="63"/>
      <c r="AC1677" s="57" t="n">
        <f aca="false">AR1677</f>
        <v>6</v>
      </c>
      <c r="AD1677" s="57" t="n">
        <f aca="false">MAX(AR1677,H1677)</f>
        <v>10</v>
      </c>
      <c r="AE1677" s="64"/>
      <c r="AF1677" s="57" t="n">
        <f aca="false">IF(LEFT(Cockpit!$C$5,1)="A",H1677,IF(CA1677=1,CB1677,IF(LEFT(Cockpit!$C$5,1)="B",AJ1677,MAX(AJ1677,H1677))))</f>
        <v>10</v>
      </c>
      <c r="AG1677" s="57" t="n">
        <f aca="false">IF(BT1677=1,0,ROUNDUP(AF1677/BS1677,0))</f>
        <v>2</v>
      </c>
      <c r="AH1677" s="59" t="n">
        <f aca="false">IF(CH1677&gt;0,CH1677*MAX(1,AF1677/X1677),IF(BT1677=1,IF(AF1677&lt;=0,0,BW1677*MAX(1,IF(H1677&gt;0,AF1677/H1677,1))),IF(R1677&gt;0,AG1677/R1677,0))/MAX(0.1,N(Parameter!$M$21)))</f>
        <v>0.333333333333333</v>
      </c>
      <c r="AI1677" s="57" t="n">
        <f aca="false">AF1677*G1677</f>
        <v>5500</v>
      </c>
      <c r="AJ1677" s="57" t="n">
        <f aca="false">ROUNDUP(MAX(J1677/IF(BZ1677&gt;0,BZ1677,MAX(0.1,N(Cockpit!$C$6))),CC1677)/BS1677,0)*BS1677</f>
        <v>6</v>
      </c>
      <c r="AK1677" s="58" t="n">
        <f aca="false">IF(AH1677&gt;0,J1677/AH1677,-1)</f>
        <v>0</v>
      </c>
      <c r="AL1677" s="58" t="n">
        <f aca="false">IF(AND(OR(BY1677="L1",BY1677="L23"),AH1677&gt;0),SUMIFS($AH$7:$AH$1843,$BY$7:$BY$1843,BY1677,$AK$7:$AK$1843,"&gt;"&amp;AK1677)+SUMIFS($AH$7:$AH$1843,$BY$7:$BY$1843,BY1677,$AK$7:$AK$1843,AK1677,$BQ$7:$BQ$1843,"&lt;="&amp;BQ1677),"")</f>
        <v>95.1870967197054</v>
      </c>
      <c r="AM1677" s="65" t="n">
        <f aca="false">IF(AL1677="",0,MAX(0,MIN(1,(IF(BY1677="L1",Parameter!$E$5,Parameter!$E$6+Parameter!$E$7)-(AL1677-AH1677))/AH1677)))</f>
        <v>1</v>
      </c>
      <c r="AN1677" s="57" t="n">
        <f aca="false">IF(LEFT(Cockpit!$I$5,1)="A",H1677,IF(CA1677=1,CB1677,IF(LEFT(Cockpit!$I$5,1)="B",AR1677,MAX(AR1677,H1677))))</f>
        <v>10</v>
      </c>
      <c r="AO1677" s="57" t="n">
        <f aca="false">IF(BT1677=1,0,ROUNDUP(AN1677/BS1677,0))</f>
        <v>2</v>
      </c>
      <c r="AP1677" s="59" t="n">
        <f aca="false">IF(CH1677&gt;0,CH1677*MAX(1,AN1677/X1677),IF(BT1677=1,IF(AN1677&lt;=0,0,BW1677*MAX(1,IF(H1677&gt;0,AN1677/H1677,1))),IF(R1677&gt;0,AO1677/R1677,0))/MAX(0.1,N(Parameter!$M$21)))</f>
        <v>0.333333333333333</v>
      </c>
      <c r="AQ1677" s="57" t="n">
        <f aca="false">AN1677*G1677</f>
        <v>5500</v>
      </c>
      <c r="AR1677" s="57" t="n">
        <f aca="false">ROUNDUP(MAX(J1677/IF(BZ1677&gt;0,BZ1677,MAX(0.1,N(Cockpit!$I$6))),CC1677)/BS1677,0)*BS1677</f>
        <v>6</v>
      </c>
      <c r="AS1677" s="58" t="n">
        <f aca="false">IF(AP1677&gt;0,J1677/AP1677,-1)</f>
        <v>0</v>
      </c>
      <c r="AT1677" s="58" t="n">
        <f aca="false">IF(AND(OR(BY1677="L1",BY1677="L23"),AP1677&gt;0),SUMIFS($AP$7:$AP$1843,$BY$7:$BY$1843,BY1677,$AS$7:$AS$1843,"&gt;"&amp;AS1677)+SUMIFS($AP$7:$AP$1843,$BY$7:$BY$1843,BY1677,$AS$7:$AS$1843,AS1677,$BQ$7:$BQ$1843,"&lt;="&amp;BQ1677),"")</f>
        <v>140.439233471842</v>
      </c>
      <c r="AU1677" s="65" t="n">
        <f aca="false">IF(AT1677="",0,MAX(0,MIN(1,(IF(BY1677="L1",Parameter!$E$5,Parameter!$E$6+Parameter!$E$7)-(AT1677-AP1677))/AP1677)))</f>
        <v>0</v>
      </c>
      <c r="AV1677" s="57" t="n">
        <f aca="false">IF(LEFT(Cockpit!$O$5,1)="A",H1677,IF(CA1677=1,CB1677,IF(LEFT(Cockpit!$O$5,1)="B",AZ1677,MAX(AZ1677,H1677))))</f>
        <v>10</v>
      </c>
      <c r="AW1677" s="57" t="n">
        <f aca="false">IF(BT1677=1,0,ROUNDUP(AV1677/BS1677,0))</f>
        <v>2</v>
      </c>
      <c r="AX1677" s="59" t="n">
        <f aca="false">IF(CH1677&gt;0,CH1677*MAX(1,AV1677/X1677),IF(BT1677=1,IF(AV1677&lt;=0,0,BW1677*MAX(1,IF(H1677&gt;0,AV1677/H1677,1))),IF(R1677&gt;0,AW1677/R1677,0))/MAX(0.1,N(Parameter!$M$21)))</f>
        <v>0.333333333333333</v>
      </c>
      <c r="AY1677" s="57" t="n">
        <f aca="false">AV1677*G1677</f>
        <v>5500</v>
      </c>
      <c r="AZ1677" s="57" t="n">
        <f aca="false">ROUNDUP(MAX(J1677/IF(BZ1677&gt;0,BZ1677,MAX(0.1,N(Cockpit!$O$6))),CC1677)/BS1677,0)*BS1677</f>
        <v>6</v>
      </c>
      <c r="BA1677" s="58" t="n">
        <f aca="false">IF(AX1677&gt;0,J1677/AX1677,-1)</f>
        <v>0</v>
      </c>
      <c r="BB1677" s="58" t="n">
        <f aca="false">IF(AND(OR(BY1677="L1",BY1677="L23"),AX1677&gt;0),SUMIFS($AX$7:$AX$1843,$BY$7:$BY$1843,BY1677,$BA$7:$BA$1843,"&gt;"&amp;BA1677)+SUMIFS($AX$7:$AX$1843,$BY$7:$BY$1843,BY1677,$BA$7:$BA$1843,BA1677,$BQ$7:$BQ$1843,"&lt;="&amp;BQ1677),"")</f>
        <v>131.269070301679</v>
      </c>
      <c r="BC1677" s="65" t="n">
        <f aca="false">IF(BB1677="",0,MAX(0,MIN(1,(IF(BY1677="L1",Parameter!$E$5,Parameter!$E$6+Parameter!$E$7)-(BB1677-AX1677))/AX1677)))</f>
        <v>0</v>
      </c>
      <c r="BD1677" s="55" t="str">
        <f aca="false">IF(AH1677&lt;=0,"",IF(BY1677="Aussen","Aussenlager",IF(BY1677="-","Nicht im Lift",IF(AM1677&gt;=1,"Lift",IF(AM1677&lt;=0,"Aussenlager","teilweise")))))</f>
        <v>Lift</v>
      </c>
      <c r="BE1677" s="55" t="str">
        <f aca="false">IF(AP1677&lt;=0,"",IF(BY1677="Aussen","Aussenlager",IF(BY1677="-","Nicht im Lift",IF(AU1677&gt;=1,"Lift",IF(AU1677&lt;=0,"Aussenlager","teilweise")))))</f>
        <v>Aussenlager</v>
      </c>
      <c r="BF1677" s="55" t="str">
        <f aca="false">IF(AX1677&lt;=0,"",IF(BY1677="Aussen","Aussenlager",IF(BY1677="-","Nicht im Lift",IF(BC1677&gt;=1,"Lift",IF(BC1677&lt;=0,"Aussenlager","teilweise")))))</f>
        <v>Aussenlager</v>
      </c>
      <c r="BG1677" s="55" t="str">
        <f aca="false">IF(A1677="","",IF(BP1677=1,"Neu; ","")&amp;IF(AND(BP1677=0,BK1677&lt;0),"negativer Bestand (Export "&amp;BK1677&amp;"); ","")&amp;IF(J1677&lt;=0,"Kein Verbrauch; ","")&amp;IF(CH1677&gt;0,"Lift "&amp;W1677&amp;" lt. Liftbericht (Fach "&amp;X1677&amp;" Stk); ",IF(BU1677=1,"Gebinde geschätzt ("&amp;T1677&amp;"); ",IF(BT1677=1,"Lose – Tablare geschätzt; ","")))&amp;IF(H1677&gt;AR1677,"Überbestand "&amp;ROUND(H1677-AR1677,0)&amp;" Stk / CHF "&amp;ROUND((H1677-AR1677)*G1677,0)&amp;"; ","")&amp;IF(AND(CA1677=1,CB1677&lt;CC1677),"MAX &lt; MB+LG; ","")&amp;IF(AND(CG1677&gt;0,CF1677*10&gt;CG1677),"zu hoch für Tablar; ","")&amp;IF(AND(BP1677=0,OR(CA1677=1,AA1677&lt;&gt;"",U1677&lt;&gt;"",V1677&lt;&gt;"",AB1677&lt;&gt;"")),"manuell übersteuert; ","")&amp;IF(AND(BT1677=0,R1677=0),"Gebinde unbekannt / Stellmass fehlt; ","")&amp;IF(AND(BT1677=0,N(V1677)&lt;=0,N(Q1677)&lt;=0),"Menge pro Gebinde fehlt (Ist = 1 Gebinde); ","")&amp;BO1677)</f>
        <v>Kein Verbrauch; Überbestand 4 Stk / CHF 2200; nur im Artikelstamm (Bestand 23.06.2026)</v>
      </c>
      <c r="BH1677" s="55"/>
      <c r="BI1677" s="55"/>
      <c r="BJ1677" s="62"/>
      <c r="BK1677" s="57" t="n">
        <v>10</v>
      </c>
      <c r="BL1677" s="57" t="n">
        <v>0</v>
      </c>
      <c r="BM1677" s="56" t="n">
        <v>0</v>
      </c>
      <c r="BN1677" s="57" t="n">
        <v>0</v>
      </c>
      <c r="BO1677" s="55" t="s">
        <v>2575</v>
      </c>
      <c r="BP1677" s="60" t="n">
        <v>0</v>
      </c>
      <c r="BQ1677" s="60" t="n">
        <v>1677</v>
      </c>
      <c r="BR1677" s="55" t="str">
        <f aca="false">IF(U1677&lt;&gt;"",UPPER(TRIM(U1677)),IF(BU1677=1,UPPER(VLOOKUP(T1677,Parameter!$I$27:$K$29,2,0)),IF(P1677="","LOSE",P1677)))</f>
        <v>S71</v>
      </c>
      <c r="BS1677" s="57" t="n">
        <f aca="false">IF(BR1677="LOSE",1,IF(N(V1677)&gt;0,V1677,IF(BU1677=1,MAX(1,N(VLOOKUP(T1677,Parameter!$I$27:$K$29,3,0)),H1677,N(N1677)),IF(N(Q1677)&gt;0,Q1677,MAX(1,H1677)))))</f>
        <v>6</v>
      </c>
      <c r="BT1677" s="60" t="n">
        <f aca="false">IF(BR1677="LOSE",1,0)</f>
        <v>0</v>
      </c>
      <c r="BU1677" s="60" t="n">
        <f aca="false">IF(AND(U1677="",OR(P1677="",P1677="LOSE"),T1677&lt;&gt;"",N(S1677)&lt;=0,ISNUMBER(MATCH(T1677,Parameter!$I$27:$I$29,0))),1,0)</f>
        <v>0</v>
      </c>
      <c r="BV1677" s="55" t="str">
        <f aca="false">IF(AND(Parameter!$B$19="Ja",E1677&lt;&gt;"",ISNUMBER(MATCH(E1677,Parameter!$I$35:$I$52,0))),VLOOKUP(E1677,Parameter!$I$35:$J$52,2,0),IFERROR(VLOOKUP(D1677,Parameter!$A$35:$C$64,2,0),"Nein"))</f>
        <v>2+3</v>
      </c>
      <c r="BW1677" s="59" t="n">
        <f aca="false">IF(BT1677=0,0,IF(N(S1677)&gt;0,S1677,IFERROR(VLOOKUP(D1677,Parameter!$A$35:$C$64,3,0)+0,0)))</f>
        <v>0</v>
      </c>
      <c r="BX1677" s="55" t="n">
        <f aca="false">IF(AA1677&lt;&gt;"",AA1677,Z1677)</f>
        <v>2</v>
      </c>
      <c r="BY1677" s="55" t="str">
        <f aca="false">IF(BX1677=1,"L1",IF(OR(BX1677=2,BX1677=3),"L23",IF(BX1677="Aussen","Aussen","-")))</f>
        <v>L23</v>
      </c>
      <c r="BZ1677" s="66" t="n">
        <f aca="false">IF(N(AB1677)&gt;0,AB1677,0)</f>
        <v>0</v>
      </c>
      <c r="CA1677" s="60" t="n">
        <f aca="false">IF(ISNUMBER(AE1677),1,0)</f>
        <v>0</v>
      </c>
      <c r="CB1677" s="57" t="n">
        <f aca="false">N(AE1677)</f>
        <v>0</v>
      </c>
      <c r="CC1677" s="57" t="n">
        <f aca="false">N(M1677)+N(N1677)</f>
        <v>1</v>
      </c>
      <c r="CD1677" s="57" t="n">
        <f aca="false">ROUNDUP(H1677/BS1677,0)</f>
        <v>2</v>
      </c>
      <c r="CE1677" s="57" t="n">
        <f aca="false">ROUNDUP(CB1677/BS1677,0)</f>
        <v>0</v>
      </c>
      <c r="CF1677" s="60" t="n">
        <f aca="false">IF(BT1677=1,0,IFERROR(VLOOKUP(BR1677,'Gebinde-Kategorie'!$A$5:$M$45,5,0)+0,0))</f>
        <v>20</v>
      </c>
      <c r="CG1677" s="60" t="n">
        <f aca="false">IFERROR(IF(OR(BX1677=1,BX1677=2,BX1677=3),N(INDEX(Parameter!$I$5:$I$7,BX1677)),0),0)</f>
        <v>0</v>
      </c>
      <c r="CH1677" s="59" t="n">
        <f aca="false">IF(AND(Parameter!$B$21="Ja",ISNUMBER(W1677),N(X1677)&gt;0),IFERROR(N(INDEX(Parameter!$L$5:$L$7,W1677))*INDEX(Parameter!$E$5:$E$7,W1677)*X1677/SUMIFS($X$7:$X$1843,$W$7:$W$1843,W1677),0),0)</f>
        <v>0</v>
      </c>
    </row>
    <row r="1678" customFormat="false" ht="15" hidden="false" customHeight="false" outlineLevel="0" collapsed="false">
      <c r="A1678" s="55" t="s">
        <v>2909</v>
      </c>
      <c r="B1678" s="55" t="s">
        <v>347</v>
      </c>
      <c r="C1678" s="55" t="s">
        <v>164</v>
      </c>
      <c r="D1678" s="55" t="s">
        <v>173</v>
      </c>
      <c r="E1678" s="55" t="s">
        <v>173</v>
      </c>
      <c r="F1678" s="55"/>
      <c r="G1678" s="56" t="n">
        <v>100.12</v>
      </c>
      <c r="H1678" s="57" t="n">
        <f aca="false">MAX(0,IF(AND(Parameter!$B$21="Ja",ISNUMBER(Y1678)),Y1678,IF(Parameter!$B$20="Jahresanfang 2025 + Export",BL1678+BK1678,BK1678)))</f>
        <v>25</v>
      </c>
      <c r="I1678" s="57" t="n">
        <f aca="false">H1678*G1678</f>
        <v>2503</v>
      </c>
      <c r="J1678" s="57" t="n">
        <f aca="false">BN1678*Parameter!$B$18</f>
        <v>0</v>
      </c>
      <c r="K1678" s="58"/>
      <c r="L1678" s="59"/>
      <c r="M1678" s="57" t="n">
        <v>0</v>
      </c>
      <c r="N1678" s="57" t="n">
        <v>10</v>
      </c>
      <c r="O1678" s="60" t="n">
        <v>77</v>
      </c>
      <c r="P1678" s="55" t="s">
        <v>293</v>
      </c>
      <c r="Q1678" s="57" t="n">
        <v>25</v>
      </c>
      <c r="R1678" s="60" t="n">
        <f aca="false">IF(BT1678=1,0,IFERROR(VLOOKUP(BR1678,'Gebinde-Kategorie'!$A$5:$M$45,13,0)+0,0))</f>
        <v>12</v>
      </c>
      <c r="S1678" s="61"/>
      <c r="T1678" s="62"/>
      <c r="U1678" s="62"/>
      <c r="V1678" s="62"/>
      <c r="W1678" s="55"/>
      <c r="X1678" s="57"/>
      <c r="Y1678" s="57"/>
      <c r="Z1678" s="55" t="str">
        <f aca="false">IF(A1678="","",IF(AND(Parameter!$B$21="Ja",ISNUMBER(W1678)),W1678,IF(BV1678="2+3",IF(ISNUMBER(SEARCH("grosser Artikel",BO1678)),2,IFERROR(VLOOKUP(BR1678,Parameter!$F$35:$G$64,2,0),2)),IF(OR(BV1678="Nein",BV1678=""),"-",BV1678))))</f>
        <v>-</v>
      </c>
      <c r="AA1678" s="62"/>
      <c r="AB1678" s="63"/>
      <c r="AC1678" s="57" t="n">
        <f aca="false">AR1678</f>
        <v>25</v>
      </c>
      <c r="AD1678" s="57" t="n">
        <f aca="false">MAX(AR1678,H1678)</f>
        <v>25</v>
      </c>
      <c r="AE1678" s="64"/>
      <c r="AF1678" s="57" t="n">
        <f aca="false">IF(LEFT(Cockpit!$C$5,1)="A",H1678,IF(CA1678=1,CB1678,IF(LEFT(Cockpit!$C$5,1)="B",AJ1678,MAX(AJ1678,H1678))))</f>
        <v>25</v>
      </c>
      <c r="AG1678" s="57" t="n">
        <f aca="false">IF(BT1678=1,0,ROUNDUP(AF1678/BS1678,0))</f>
        <v>1</v>
      </c>
      <c r="AH1678" s="59" t="n">
        <f aca="false">IF(CH1678&gt;0,CH1678*MAX(1,AF1678/X1678),IF(BT1678=1,IF(AF1678&lt;=0,0,BW1678*MAX(1,IF(H1678&gt;0,AF1678/H1678,1))),IF(R1678&gt;0,AG1678/R1678,0))/MAX(0.1,N(Parameter!$M$21)))</f>
        <v>0.0833333333333333</v>
      </c>
      <c r="AI1678" s="57" t="n">
        <f aca="false">AF1678*G1678</f>
        <v>2503</v>
      </c>
      <c r="AJ1678" s="57" t="n">
        <f aca="false">ROUNDUP(MAX(J1678/IF(BZ1678&gt;0,BZ1678,MAX(0.1,N(Cockpit!$C$6))),CC1678)/BS1678,0)*BS1678</f>
        <v>25</v>
      </c>
      <c r="AK1678" s="58" t="n">
        <f aca="false">IF(AH1678&gt;0,J1678/AH1678,-1)</f>
        <v>0</v>
      </c>
      <c r="AL1678" s="58" t="str">
        <f aca="false">IF(AND(OR(BY1678="L1",BY1678="L23"),AH1678&gt;0),SUMIFS($AH$7:$AH$1843,$BY$7:$BY$1843,BY1678,$AK$7:$AK$1843,"&gt;"&amp;AK1678)+SUMIFS($AH$7:$AH$1843,$BY$7:$BY$1843,BY1678,$AK$7:$AK$1843,AK1678,$BQ$7:$BQ$1843,"&lt;="&amp;BQ1678),"")</f>
        <v/>
      </c>
      <c r="AM1678" s="65" t="n">
        <f aca="false">IF(AL1678="",0,MAX(0,MIN(1,(IF(BY1678="L1",Parameter!$E$5,Parameter!$E$6+Parameter!$E$7)-(AL1678-AH1678))/AH1678)))</f>
        <v>0</v>
      </c>
      <c r="AN1678" s="57" t="n">
        <f aca="false">IF(LEFT(Cockpit!$I$5,1)="A",H1678,IF(CA1678=1,CB1678,IF(LEFT(Cockpit!$I$5,1)="B",AR1678,MAX(AR1678,H1678))))</f>
        <v>25</v>
      </c>
      <c r="AO1678" s="57" t="n">
        <f aca="false">IF(BT1678=1,0,ROUNDUP(AN1678/BS1678,0))</f>
        <v>1</v>
      </c>
      <c r="AP1678" s="59" t="n">
        <f aca="false">IF(CH1678&gt;0,CH1678*MAX(1,AN1678/X1678),IF(BT1678=1,IF(AN1678&lt;=0,0,BW1678*MAX(1,IF(H1678&gt;0,AN1678/H1678,1))),IF(R1678&gt;0,AO1678/R1678,0))/MAX(0.1,N(Parameter!$M$21)))</f>
        <v>0.0833333333333333</v>
      </c>
      <c r="AQ1678" s="57" t="n">
        <f aca="false">AN1678*G1678</f>
        <v>2503</v>
      </c>
      <c r="AR1678" s="57" t="n">
        <f aca="false">ROUNDUP(MAX(J1678/IF(BZ1678&gt;0,BZ1678,MAX(0.1,N(Cockpit!$I$6))),CC1678)/BS1678,0)*BS1678</f>
        <v>25</v>
      </c>
      <c r="AS1678" s="58" t="n">
        <f aca="false">IF(AP1678&gt;0,J1678/AP1678,-1)</f>
        <v>0</v>
      </c>
      <c r="AT1678" s="58" t="str">
        <f aca="false">IF(AND(OR(BY1678="L1",BY1678="L23"),AP1678&gt;0),SUMIFS($AP$7:$AP$1843,$BY$7:$BY$1843,BY1678,$AS$7:$AS$1843,"&gt;"&amp;AS1678)+SUMIFS($AP$7:$AP$1843,$BY$7:$BY$1843,BY1678,$AS$7:$AS$1843,AS1678,$BQ$7:$BQ$1843,"&lt;="&amp;BQ1678),"")</f>
        <v/>
      </c>
      <c r="AU1678" s="65" t="n">
        <f aca="false">IF(AT1678="",0,MAX(0,MIN(1,(IF(BY1678="L1",Parameter!$E$5,Parameter!$E$6+Parameter!$E$7)-(AT1678-AP1678))/AP1678)))</f>
        <v>0</v>
      </c>
      <c r="AV1678" s="57" t="n">
        <f aca="false">IF(LEFT(Cockpit!$O$5,1)="A",H1678,IF(CA1678=1,CB1678,IF(LEFT(Cockpit!$O$5,1)="B",AZ1678,MAX(AZ1678,H1678))))</f>
        <v>25</v>
      </c>
      <c r="AW1678" s="57" t="n">
        <f aca="false">IF(BT1678=1,0,ROUNDUP(AV1678/BS1678,0))</f>
        <v>1</v>
      </c>
      <c r="AX1678" s="59" t="n">
        <f aca="false">IF(CH1678&gt;0,CH1678*MAX(1,AV1678/X1678),IF(BT1678=1,IF(AV1678&lt;=0,0,BW1678*MAX(1,IF(H1678&gt;0,AV1678/H1678,1))),IF(R1678&gt;0,AW1678/R1678,0))/MAX(0.1,N(Parameter!$M$21)))</f>
        <v>0.0833333333333333</v>
      </c>
      <c r="AY1678" s="57" t="n">
        <f aca="false">AV1678*G1678</f>
        <v>2503</v>
      </c>
      <c r="AZ1678" s="57" t="n">
        <f aca="false">ROUNDUP(MAX(J1678/IF(BZ1678&gt;0,BZ1678,MAX(0.1,N(Cockpit!$O$6))),CC1678)/BS1678,0)*BS1678</f>
        <v>25</v>
      </c>
      <c r="BA1678" s="58" t="n">
        <f aca="false">IF(AX1678&gt;0,J1678/AX1678,-1)</f>
        <v>0</v>
      </c>
      <c r="BB1678" s="58" t="str">
        <f aca="false">IF(AND(OR(BY1678="L1",BY1678="L23"),AX1678&gt;0),SUMIFS($AX$7:$AX$1843,$BY$7:$BY$1843,BY1678,$BA$7:$BA$1843,"&gt;"&amp;BA1678)+SUMIFS($AX$7:$AX$1843,$BY$7:$BY$1843,BY1678,$BA$7:$BA$1843,BA1678,$BQ$7:$BQ$1843,"&lt;="&amp;BQ1678),"")</f>
        <v/>
      </c>
      <c r="BC1678" s="65" t="n">
        <f aca="false">IF(BB1678="",0,MAX(0,MIN(1,(IF(BY1678="L1",Parameter!$E$5,Parameter!$E$6+Parameter!$E$7)-(BB1678-AX1678))/AX1678)))</f>
        <v>0</v>
      </c>
      <c r="BD1678" s="55" t="str">
        <f aca="false">IF(AH1678&lt;=0,"",IF(BY1678="Aussen","Aussenlager",IF(BY1678="-","Nicht im Lift",IF(AM1678&gt;=1,"Lift",IF(AM1678&lt;=0,"Aussenlager","teilweise")))))</f>
        <v>Nicht im Lift</v>
      </c>
      <c r="BE1678" s="55" t="str">
        <f aca="false">IF(AP1678&lt;=0,"",IF(BY1678="Aussen","Aussenlager",IF(BY1678="-","Nicht im Lift",IF(AU1678&gt;=1,"Lift",IF(AU1678&lt;=0,"Aussenlager","teilweise")))))</f>
        <v>Nicht im Lift</v>
      </c>
      <c r="BF1678" s="55" t="str">
        <f aca="false">IF(AX1678&lt;=0,"",IF(BY1678="Aussen","Aussenlager",IF(BY1678="-","Nicht im Lift",IF(BC1678&gt;=1,"Lift",IF(BC1678&lt;=0,"Aussenlager","teilweise")))))</f>
        <v>Nicht im Lift</v>
      </c>
      <c r="BG1678" s="55" t="str">
        <f aca="false">IF(A1678="","",IF(BP1678=1,"Neu; ","")&amp;IF(AND(BP1678=0,BK1678&lt;0),"negativer Bestand (Export "&amp;BK1678&amp;"); ","")&amp;IF(J1678&lt;=0,"Kein Verbrauch; ","")&amp;IF(CH1678&gt;0,"Lift "&amp;W1678&amp;" lt. Liftbericht (Fach "&amp;X1678&amp;" Stk); ",IF(BU1678=1,"Gebinde geschätzt ("&amp;T1678&amp;"); ",IF(BT1678=1,"Lose – Tablare geschätzt; ","")))&amp;IF(H1678&gt;AR1678,"Überbestand "&amp;ROUND(H1678-AR1678,0)&amp;" Stk / CHF "&amp;ROUND((H1678-AR1678)*G1678,0)&amp;"; ","")&amp;IF(AND(CA1678=1,CB1678&lt;CC1678),"MAX &lt; MB+LG; ","")&amp;IF(AND(CG1678&gt;0,CF1678*10&gt;CG1678),"zu hoch für Tablar; ","")&amp;IF(AND(BP1678=0,OR(CA1678=1,AA1678&lt;&gt;"",U1678&lt;&gt;"",V1678&lt;&gt;"",AB1678&lt;&gt;"")),"manuell übersteuert; ","")&amp;IF(AND(BT1678=0,R1678=0),"Gebinde unbekannt / Stellmass fehlt; ","")&amp;IF(AND(BT1678=0,N(V1678)&lt;=0,N(Q1678)&lt;=0),"Menge pro Gebinde fehlt (Ist = 1 Gebinde); ","")&amp;BO1678)</f>
        <v>Kein Verbrauch; nur im Artikelstamm (Bestand 23.06.2026); Überbestand</v>
      </c>
      <c r="BH1678" s="55"/>
      <c r="BI1678" s="55"/>
      <c r="BJ1678" s="62"/>
      <c r="BK1678" s="57" t="n">
        <v>25</v>
      </c>
      <c r="BL1678" s="57" t="n">
        <v>0</v>
      </c>
      <c r="BM1678" s="56" t="n">
        <v>0</v>
      </c>
      <c r="BN1678" s="57" t="n">
        <v>0</v>
      </c>
      <c r="BO1678" s="55" t="s">
        <v>2572</v>
      </c>
      <c r="BP1678" s="60" t="n">
        <v>0</v>
      </c>
      <c r="BQ1678" s="60" t="n">
        <v>1678</v>
      </c>
      <c r="BR1678" s="55" t="str">
        <f aca="false">IF(U1678&lt;&gt;"",UPPER(TRIM(U1678)),IF(BU1678=1,UPPER(VLOOKUP(T1678,Parameter!$I$27:$K$29,2,0)),IF(P1678="","LOSE",P1678)))</f>
        <v>S62</v>
      </c>
      <c r="BS1678" s="57" t="n">
        <f aca="false">IF(BR1678="LOSE",1,IF(N(V1678)&gt;0,V1678,IF(BU1678=1,MAX(1,N(VLOOKUP(T1678,Parameter!$I$27:$K$29,3,0)),H1678,N(N1678)),IF(N(Q1678)&gt;0,Q1678,MAX(1,H1678)))))</f>
        <v>25</v>
      </c>
      <c r="BT1678" s="60" t="n">
        <f aca="false">IF(BR1678="LOSE",1,0)</f>
        <v>0</v>
      </c>
      <c r="BU1678" s="60" t="n">
        <f aca="false">IF(AND(U1678="",OR(P1678="",P1678="LOSE"),T1678&lt;&gt;"",N(S1678)&lt;=0,ISNUMBER(MATCH(T1678,Parameter!$I$27:$I$29,0))),1,0)</f>
        <v>0</v>
      </c>
      <c r="BV1678" s="55" t="str">
        <f aca="false">IF(AND(Parameter!$B$19="Ja",E1678&lt;&gt;"",ISNUMBER(MATCH(E1678,Parameter!$I$35:$I$52,0))),VLOOKUP(E1678,Parameter!$I$35:$J$52,2,0),IFERROR(VLOOKUP(D1678,Parameter!$A$35:$C$64,2,0),"Nein"))</f>
        <v>Nein</v>
      </c>
      <c r="BW1678" s="59" t="n">
        <f aca="false">IF(BT1678=0,0,IF(N(S1678)&gt;0,S1678,IFERROR(VLOOKUP(D1678,Parameter!$A$35:$C$64,3,0)+0,0)))</f>
        <v>0</v>
      </c>
      <c r="BX1678" s="55" t="str">
        <f aca="false">IF(AA1678&lt;&gt;"",AA1678,Z1678)</f>
        <v>-</v>
      </c>
      <c r="BY1678" s="55" t="str">
        <f aca="false">IF(BX1678=1,"L1",IF(OR(BX1678=2,BX1678=3),"L23",IF(BX1678="Aussen","Aussen","-")))</f>
        <v>-</v>
      </c>
      <c r="BZ1678" s="66" t="n">
        <f aca="false">IF(N(AB1678)&gt;0,AB1678,0)</f>
        <v>0</v>
      </c>
      <c r="CA1678" s="60" t="n">
        <f aca="false">IF(ISNUMBER(AE1678),1,0)</f>
        <v>0</v>
      </c>
      <c r="CB1678" s="57" t="n">
        <f aca="false">N(AE1678)</f>
        <v>0</v>
      </c>
      <c r="CC1678" s="57" t="n">
        <f aca="false">N(M1678)+N(N1678)</f>
        <v>10</v>
      </c>
      <c r="CD1678" s="57" t="n">
        <f aca="false">ROUNDUP(H1678/BS1678,0)</f>
        <v>1</v>
      </c>
      <c r="CE1678" s="57" t="n">
        <f aca="false">ROUNDUP(CB1678/BS1678,0)</f>
        <v>0</v>
      </c>
      <c r="CF1678" s="60" t="n">
        <f aca="false">IF(BT1678=1,0,IFERROR(VLOOKUP(BR1678,'Gebinde-Kategorie'!$A$5:$M$45,5,0)+0,0))</f>
        <v>21</v>
      </c>
      <c r="CG1678" s="60" t="n">
        <f aca="false">IFERROR(IF(OR(BX1678=1,BX1678=2,BX1678=3),N(INDEX(Parameter!$I$5:$I$7,BX1678)),0),0)</f>
        <v>0</v>
      </c>
      <c r="CH1678" s="59" t="n">
        <f aca="false">IF(AND(Parameter!$B$21="Ja",ISNUMBER(W1678),N(X1678)&gt;0),IFERROR(N(INDEX(Parameter!$L$5:$L$7,W1678))*INDEX(Parameter!$E$5:$E$7,W1678)*X1678/SUMIFS($X$7:$X$1843,$W$7:$W$1843,W1678),0),0)</f>
        <v>0</v>
      </c>
    </row>
    <row r="1679" customFormat="false" ht="15" hidden="false" customHeight="false" outlineLevel="0" collapsed="false">
      <c r="A1679" s="55" t="s">
        <v>2910</v>
      </c>
      <c r="B1679" s="55" t="s">
        <v>2714</v>
      </c>
      <c r="C1679" s="55" t="s">
        <v>164</v>
      </c>
      <c r="D1679" s="55" t="s">
        <v>184</v>
      </c>
      <c r="E1679" s="55"/>
      <c r="F1679" s="55"/>
      <c r="G1679" s="56" t="n">
        <v>14.43</v>
      </c>
      <c r="H1679" s="57" t="n">
        <f aca="false">MAX(0,IF(AND(Parameter!$B$21="Ja",ISNUMBER(Y1679)),Y1679,IF(Parameter!$B$20="Jahresanfang 2025 + Export",BL1679+BK1679,BK1679)))</f>
        <v>20</v>
      </c>
      <c r="I1679" s="57" t="n">
        <f aca="false">H1679*G1679</f>
        <v>288.6</v>
      </c>
      <c r="J1679" s="57" t="n">
        <f aca="false">BN1679*Parameter!$B$18</f>
        <v>0</v>
      </c>
      <c r="K1679" s="58"/>
      <c r="L1679" s="59"/>
      <c r="M1679" s="57" t="n">
        <v>0</v>
      </c>
      <c r="N1679" s="57" t="n">
        <v>20</v>
      </c>
      <c r="O1679" s="60" t="n">
        <v>28</v>
      </c>
      <c r="P1679" s="55" t="s">
        <v>293</v>
      </c>
      <c r="Q1679" s="57" t="n">
        <v>19</v>
      </c>
      <c r="R1679" s="60" t="n">
        <f aca="false">IF(BT1679=1,0,IFERROR(VLOOKUP(BR1679,'Gebinde-Kategorie'!$A$5:$M$45,13,0)+0,0))</f>
        <v>12</v>
      </c>
      <c r="S1679" s="61"/>
      <c r="T1679" s="62"/>
      <c r="U1679" s="62"/>
      <c r="V1679" s="62"/>
      <c r="W1679" s="55"/>
      <c r="X1679" s="57"/>
      <c r="Y1679" s="57"/>
      <c r="Z1679" s="55" t="n">
        <f aca="false">IF(A1679="","",IF(AND(Parameter!$B$21="Ja",ISNUMBER(W1679)),W1679,IF(BV1679="2+3",IF(ISNUMBER(SEARCH("grosser Artikel",BO1679)),2,IFERROR(VLOOKUP(BR1679,Parameter!$F$35:$G$64,2,0),2)),IF(OR(BV1679="Nein",BV1679=""),"-",BV1679))))</f>
        <v>2</v>
      </c>
      <c r="AA1679" s="62"/>
      <c r="AB1679" s="63"/>
      <c r="AC1679" s="57" t="n">
        <f aca="false">AR1679</f>
        <v>38</v>
      </c>
      <c r="AD1679" s="57" t="n">
        <f aca="false">MAX(AR1679,H1679)</f>
        <v>38</v>
      </c>
      <c r="AE1679" s="64"/>
      <c r="AF1679" s="57" t="n">
        <f aca="false">IF(LEFT(Cockpit!$C$5,1)="A",H1679,IF(CA1679=1,CB1679,IF(LEFT(Cockpit!$C$5,1)="B",AJ1679,MAX(AJ1679,H1679))))</f>
        <v>20</v>
      </c>
      <c r="AG1679" s="57" t="n">
        <f aca="false">IF(BT1679=1,0,ROUNDUP(AF1679/BS1679,0))</f>
        <v>2</v>
      </c>
      <c r="AH1679" s="59" t="n">
        <f aca="false">IF(CH1679&gt;0,CH1679*MAX(1,AF1679/X1679),IF(BT1679=1,IF(AF1679&lt;=0,0,BW1679*MAX(1,IF(H1679&gt;0,AF1679/H1679,1))),IF(R1679&gt;0,AG1679/R1679,0))/MAX(0.1,N(Parameter!$M$21)))</f>
        <v>0.166666666666667</v>
      </c>
      <c r="AI1679" s="57" t="n">
        <f aca="false">AF1679*G1679</f>
        <v>288.6</v>
      </c>
      <c r="AJ1679" s="57" t="n">
        <f aca="false">ROUNDUP(MAX(J1679/IF(BZ1679&gt;0,BZ1679,MAX(0.1,N(Cockpit!$C$6))),CC1679)/BS1679,0)*BS1679</f>
        <v>38</v>
      </c>
      <c r="AK1679" s="58" t="n">
        <f aca="false">IF(AH1679&gt;0,J1679/AH1679,-1)</f>
        <v>0</v>
      </c>
      <c r="AL1679" s="58" t="n">
        <f aca="false">IF(AND(OR(BY1679="L1",BY1679="L23"),AH1679&gt;0),SUMIFS($AH$7:$AH$1843,$BY$7:$BY$1843,BY1679,$AK$7:$AK$1843,"&gt;"&amp;AK1679)+SUMIFS($AH$7:$AH$1843,$BY$7:$BY$1843,BY1679,$AK$7:$AK$1843,AK1679,$BQ$7:$BQ$1843,"&lt;="&amp;BQ1679),"")</f>
        <v>95.3537633863721</v>
      </c>
      <c r="AM1679" s="65" t="n">
        <f aca="false">IF(AL1679="",0,MAX(0,MIN(1,(IF(BY1679="L1",Parameter!$E$5,Parameter!$E$6+Parameter!$E$7)-(AL1679-AH1679))/AH1679)))</f>
        <v>1</v>
      </c>
      <c r="AN1679" s="57" t="n">
        <f aca="false">IF(LEFT(Cockpit!$I$5,1)="A",H1679,IF(CA1679=1,CB1679,IF(LEFT(Cockpit!$I$5,1)="B",AR1679,MAX(AR1679,H1679))))</f>
        <v>38</v>
      </c>
      <c r="AO1679" s="57" t="n">
        <f aca="false">IF(BT1679=1,0,ROUNDUP(AN1679/BS1679,0))</f>
        <v>2</v>
      </c>
      <c r="AP1679" s="59" t="n">
        <f aca="false">IF(CH1679&gt;0,CH1679*MAX(1,AN1679/X1679),IF(BT1679=1,IF(AN1679&lt;=0,0,BW1679*MAX(1,IF(H1679&gt;0,AN1679/H1679,1))),IF(R1679&gt;0,AO1679/R1679,0))/MAX(0.1,N(Parameter!$M$21)))</f>
        <v>0.166666666666667</v>
      </c>
      <c r="AQ1679" s="57" t="n">
        <f aca="false">AN1679*G1679</f>
        <v>548.34</v>
      </c>
      <c r="AR1679" s="57" t="n">
        <f aca="false">ROUNDUP(MAX(J1679/IF(BZ1679&gt;0,BZ1679,MAX(0.1,N(Cockpit!$I$6))),CC1679)/BS1679,0)*BS1679</f>
        <v>38</v>
      </c>
      <c r="AS1679" s="58" t="n">
        <f aca="false">IF(AP1679&gt;0,J1679/AP1679,-1)</f>
        <v>0</v>
      </c>
      <c r="AT1679" s="58" t="n">
        <f aca="false">IF(AND(OR(BY1679="L1",BY1679="L23"),AP1679&gt;0),SUMIFS($AP$7:$AP$1843,$BY$7:$BY$1843,BY1679,$AS$7:$AS$1843,"&gt;"&amp;AS1679)+SUMIFS($AP$7:$AP$1843,$BY$7:$BY$1843,BY1679,$AS$7:$AS$1843,AS1679,$BQ$7:$BQ$1843,"&lt;="&amp;BQ1679),"")</f>
        <v>140.605900138509</v>
      </c>
      <c r="AU1679" s="65" t="n">
        <f aca="false">IF(AT1679="",0,MAX(0,MIN(1,(IF(BY1679="L1",Parameter!$E$5,Parameter!$E$6+Parameter!$E$7)-(AT1679-AP1679))/AP1679)))</f>
        <v>0</v>
      </c>
      <c r="AV1679" s="57" t="n">
        <f aca="false">IF(LEFT(Cockpit!$O$5,1)="A",H1679,IF(CA1679=1,CB1679,IF(LEFT(Cockpit!$O$5,1)="B",AZ1679,MAX(AZ1679,H1679))))</f>
        <v>38</v>
      </c>
      <c r="AW1679" s="57" t="n">
        <f aca="false">IF(BT1679=1,0,ROUNDUP(AV1679/BS1679,0))</f>
        <v>2</v>
      </c>
      <c r="AX1679" s="59" t="n">
        <f aca="false">IF(CH1679&gt;0,CH1679*MAX(1,AV1679/X1679),IF(BT1679=1,IF(AV1679&lt;=0,0,BW1679*MAX(1,IF(H1679&gt;0,AV1679/H1679,1))),IF(R1679&gt;0,AW1679/R1679,0))/MAX(0.1,N(Parameter!$M$21)))</f>
        <v>0.166666666666667</v>
      </c>
      <c r="AY1679" s="57" t="n">
        <f aca="false">AV1679*G1679</f>
        <v>548.34</v>
      </c>
      <c r="AZ1679" s="57" t="n">
        <f aca="false">ROUNDUP(MAX(J1679/IF(BZ1679&gt;0,BZ1679,MAX(0.1,N(Cockpit!$O$6))),CC1679)/BS1679,0)*BS1679</f>
        <v>38</v>
      </c>
      <c r="BA1679" s="58" t="n">
        <f aca="false">IF(AX1679&gt;0,J1679/AX1679,-1)</f>
        <v>0</v>
      </c>
      <c r="BB1679" s="58" t="n">
        <f aca="false">IF(AND(OR(BY1679="L1",BY1679="L23"),AX1679&gt;0),SUMIFS($AX$7:$AX$1843,$BY$7:$BY$1843,BY1679,$BA$7:$BA$1843,"&gt;"&amp;BA1679)+SUMIFS($AX$7:$AX$1843,$BY$7:$BY$1843,BY1679,$BA$7:$BA$1843,BA1679,$BQ$7:$BQ$1843,"&lt;="&amp;BQ1679),"")</f>
        <v>131.435736968346</v>
      </c>
      <c r="BC1679" s="65" t="n">
        <f aca="false">IF(BB1679="",0,MAX(0,MIN(1,(IF(BY1679="L1",Parameter!$E$5,Parameter!$E$6+Parameter!$E$7)-(BB1679-AX1679))/AX1679)))</f>
        <v>0</v>
      </c>
      <c r="BD1679" s="55" t="str">
        <f aca="false">IF(AH1679&lt;=0,"",IF(BY1679="Aussen","Aussenlager",IF(BY1679="-","Nicht im Lift",IF(AM1679&gt;=1,"Lift",IF(AM1679&lt;=0,"Aussenlager","teilweise")))))</f>
        <v>Lift</v>
      </c>
      <c r="BE1679" s="55" t="str">
        <f aca="false">IF(AP1679&lt;=0,"",IF(BY1679="Aussen","Aussenlager",IF(BY1679="-","Nicht im Lift",IF(AU1679&gt;=1,"Lift",IF(AU1679&lt;=0,"Aussenlager","teilweise")))))</f>
        <v>Aussenlager</v>
      </c>
      <c r="BF1679" s="55" t="str">
        <f aca="false">IF(AX1679&lt;=0,"",IF(BY1679="Aussen","Aussenlager",IF(BY1679="-","Nicht im Lift",IF(BC1679&gt;=1,"Lift",IF(BC1679&lt;=0,"Aussenlager","teilweise")))))</f>
        <v>Aussenlager</v>
      </c>
      <c r="BG1679" s="55" t="str">
        <f aca="false">IF(A1679="","",IF(BP1679=1,"Neu; ","")&amp;IF(AND(BP1679=0,BK1679&lt;0),"negativer Bestand (Export "&amp;BK1679&amp;"); ","")&amp;IF(J1679&lt;=0,"Kein Verbrauch; ","")&amp;IF(CH1679&gt;0,"Lift "&amp;W1679&amp;" lt. Liftbericht (Fach "&amp;X1679&amp;" Stk); ",IF(BU1679=1,"Gebinde geschätzt ("&amp;T1679&amp;"); ",IF(BT1679=1,"Lose – Tablare geschätzt; ","")))&amp;IF(H1679&gt;AR1679,"Überbestand "&amp;ROUND(H1679-AR1679,0)&amp;" Stk / CHF "&amp;ROUND((H1679-AR1679)*G1679,0)&amp;"; ","")&amp;IF(AND(CA1679=1,CB1679&lt;CC1679),"MAX &lt; MB+LG; ","")&amp;IF(AND(CG1679&gt;0,CF1679*10&gt;CG1679),"zu hoch für Tablar; ","")&amp;IF(AND(BP1679=0,OR(CA1679=1,AA1679&lt;&gt;"",U1679&lt;&gt;"",V1679&lt;&gt;"",AB1679&lt;&gt;"")),"manuell übersteuert; ","")&amp;IF(AND(BT1679=0,R1679=0),"Gebinde unbekannt / Stellmass fehlt; ","")&amp;IF(AND(BT1679=0,N(V1679)&lt;=0,N(Q1679)&lt;=0),"Menge pro Gebinde fehlt (Ist = 1 Gebinde); ","")&amp;BO1679)</f>
        <v>Kein Verbrauch; nur im Artikelstamm (Bestand 23.06.2026)</v>
      </c>
      <c r="BH1679" s="55"/>
      <c r="BI1679" s="55"/>
      <c r="BJ1679" s="62"/>
      <c r="BK1679" s="57" t="n">
        <v>20</v>
      </c>
      <c r="BL1679" s="57" t="n">
        <v>0</v>
      </c>
      <c r="BM1679" s="56" t="n">
        <v>0</v>
      </c>
      <c r="BN1679" s="57" t="n">
        <v>0</v>
      </c>
      <c r="BO1679" s="55" t="s">
        <v>2575</v>
      </c>
      <c r="BP1679" s="60" t="n">
        <v>0</v>
      </c>
      <c r="BQ1679" s="60" t="n">
        <v>1679</v>
      </c>
      <c r="BR1679" s="55" t="str">
        <f aca="false">IF(U1679&lt;&gt;"",UPPER(TRIM(U1679)),IF(BU1679=1,UPPER(VLOOKUP(T1679,Parameter!$I$27:$K$29,2,0)),IF(P1679="","LOSE",P1679)))</f>
        <v>S62</v>
      </c>
      <c r="BS1679" s="57" t="n">
        <f aca="false">IF(BR1679="LOSE",1,IF(N(V1679)&gt;0,V1679,IF(BU1679=1,MAX(1,N(VLOOKUP(T1679,Parameter!$I$27:$K$29,3,0)),H1679,N(N1679)),IF(N(Q1679)&gt;0,Q1679,MAX(1,H1679)))))</f>
        <v>19</v>
      </c>
      <c r="BT1679" s="60" t="n">
        <f aca="false">IF(BR1679="LOSE",1,0)</f>
        <v>0</v>
      </c>
      <c r="BU1679" s="60" t="n">
        <f aca="false">IF(AND(U1679="",OR(P1679="",P1679="LOSE"),T1679&lt;&gt;"",N(S1679)&lt;=0,ISNUMBER(MATCH(T1679,Parameter!$I$27:$I$29,0))),1,0)</f>
        <v>0</v>
      </c>
      <c r="BV1679" s="55" t="str">
        <f aca="false">IF(AND(Parameter!$B$19="Ja",E1679&lt;&gt;"",ISNUMBER(MATCH(E1679,Parameter!$I$35:$I$52,0))),VLOOKUP(E1679,Parameter!$I$35:$J$52,2,0),IFERROR(VLOOKUP(D1679,Parameter!$A$35:$C$64,2,0),"Nein"))</f>
        <v>2+3</v>
      </c>
      <c r="BW1679" s="59" t="n">
        <f aca="false">IF(BT1679=0,0,IF(N(S1679)&gt;0,S1679,IFERROR(VLOOKUP(D1679,Parameter!$A$35:$C$64,3,0)+0,0)))</f>
        <v>0</v>
      </c>
      <c r="BX1679" s="55" t="n">
        <f aca="false">IF(AA1679&lt;&gt;"",AA1679,Z1679)</f>
        <v>2</v>
      </c>
      <c r="BY1679" s="55" t="str">
        <f aca="false">IF(BX1679=1,"L1",IF(OR(BX1679=2,BX1679=3),"L23",IF(BX1679="Aussen","Aussen","-")))</f>
        <v>L23</v>
      </c>
      <c r="BZ1679" s="66" t="n">
        <f aca="false">IF(N(AB1679)&gt;0,AB1679,0)</f>
        <v>0</v>
      </c>
      <c r="CA1679" s="60" t="n">
        <f aca="false">IF(ISNUMBER(AE1679),1,0)</f>
        <v>0</v>
      </c>
      <c r="CB1679" s="57" t="n">
        <f aca="false">N(AE1679)</f>
        <v>0</v>
      </c>
      <c r="CC1679" s="57" t="n">
        <f aca="false">N(M1679)+N(N1679)</f>
        <v>20</v>
      </c>
      <c r="CD1679" s="57" t="n">
        <f aca="false">ROUNDUP(H1679/BS1679,0)</f>
        <v>2</v>
      </c>
      <c r="CE1679" s="57" t="n">
        <f aca="false">ROUNDUP(CB1679/BS1679,0)</f>
        <v>0</v>
      </c>
      <c r="CF1679" s="60" t="n">
        <f aca="false">IF(BT1679=1,0,IFERROR(VLOOKUP(BR1679,'Gebinde-Kategorie'!$A$5:$M$45,5,0)+0,0))</f>
        <v>21</v>
      </c>
      <c r="CG1679" s="60" t="n">
        <f aca="false">IFERROR(IF(OR(BX1679=1,BX1679=2,BX1679=3),N(INDEX(Parameter!$I$5:$I$7,BX1679)),0),0)</f>
        <v>0</v>
      </c>
      <c r="CH1679" s="59" t="n">
        <f aca="false">IF(AND(Parameter!$B$21="Ja",ISNUMBER(W1679),N(X1679)&gt;0),IFERROR(N(INDEX(Parameter!$L$5:$L$7,W1679))*INDEX(Parameter!$E$5:$E$7,W1679)*X1679/SUMIFS($X$7:$X$1843,$W$7:$W$1843,W1679),0),0)</f>
        <v>0</v>
      </c>
    </row>
    <row r="1680" customFormat="false" ht="15" hidden="false" customHeight="false" outlineLevel="0" collapsed="false">
      <c r="A1680" s="55" t="s">
        <v>2911</v>
      </c>
      <c r="B1680" s="55" t="s">
        <v>2912</v>
      </c>
      <c r="C1680" s="55" t="s">
        <v>164</v>
      </c>
      <c r="D1680" s="55" t="s">
        <v>173</v>
      </c>
      <c r="E1680" s="55"/>
      <c r="F1680" s="55"/>
      <c r="G1680" s="56" t="n">
        <v>434.06</v>
      </c>
      <c r="H1680" s="57" t="n">
        <f aca="false">MAX(0,IF(AND(Parameter!$B$21="Ja",ISNUMBER(Y1680)),Y1680,IF(Parameter!$B$20="Jahresanfang 2025 + Export",BL1680+BK1680,BK1680)))</f>
        <v>16</v>
      </c>
      <c r="I1680" s="57" t="n">
        <f aca="false">H1680*G1680</f>
        <v>6944.96</v>
      </c>
      <c r="J1680" s="57" t="n">
        <f aca="false">BN1680*Parameter!$B$18</f>
        <v>0</v>
      </c>
      <c r="K1680" s="58"/>
      <c r="L1680" s="59"/>
      <c r="M1680" s="57" t="n">
        <v>0</v>
      </c>
      <c r="N1680" s="57" t="n">
        <v>10</v>
      </c>
      <c r="O1680" s="60" t="n">
        <v>70</v>
      </c>
      <c r="P1680" s="55" t="s">
        <v>293</v>
      </c>
      <c r="Q1680" s="57" t="n">
        <v>16</v>
      </c>
      <c r="R1680" s="60" t="n">
        <f aca="false">IF(BT1680=1,0,IFERROR(VLOOKUP(BR1680,'Gebinde-Kategorie'!$A$5:$M$45,13,0)+0,0))</f>
        <v>12</v>
      </c>
      <c r="S1680" s="61"/>
      <c r="T1680" s="62"/>
      <c r="U1680" s="62"/>
      <c r="V1680" s="62"/>
      <c r="W1680" s="55"/>
      <c r="X1680" s="57"/>
      <c r="Y1680" s="57"/>
      <c r="Z1680" s="55" t="n">
        <f aca="false">IF(A1680="","",IF(AND(Parameter!$B$21="Ja",ISNUMBER(W1680)),W1680,IF(BV1680="2+3",IF(ISNUMBER(SEARCH("grosser Artikel",BO1680)),2,IFERROR(VLOOKUP(BR1680,Parameter!$F$35:$G$64,2,0),2)),IF(OR(BV1680="Nein",BV1680=""),"-",BV1680))))</f>
        <v>2</v>
      </c>
      <c r="AA1680" s="62"/>
      <c r="AB1680" s="63"/>
      <c r="AC1680" s="57" t="n">
        <f aca="false">AR1680</f>
        <v>16</v>
      </c>
      <c r="AD1680" s="57" t="n">
        <f aca="false">MAX(AR1680,H1680)</f>
        <v>16</v>
      </c>
      <c r="AE1680" s="64"/>
      <c r="AF1680" s="57" t="n">
        <f aca="false">IF(LEFT(Cockpit!$C$5,1)="A",H1680,IF(CA1680=1,CB1680,IF(LEFT(Cockpit!$C$5,1)="B",AJ1680,MAX(AJ1680,H1680))))</f>
        <v>16</v>
      </c>
      <c r="AG1680" s="57" t="n">
        <f aca="false">IF(BT1680=1,0,ROUNDUP(AF1680/BS1680,0))</f>
        <v>1</v>
      </c>
      <c r="AH1680" s="59" t="n">
        <f aca="false">IF(CH1680&gt;0,CH1680*MAX(1,AF1680/X1680),IF(BT1680=1,IF(AF1680&lt;=0,0,BW1680*MAX(1,IF(H1680&gt;0,AF1680/H1680,1))),IF(R1680&gt;0,AG1680/R1680,0))/MAX(0.1,N(Parameter!$M$21)))</f>
        <v>0.0833333333333333</v>
      </c>
      <c r="AI1680" s="57" t="n">
        <f aca="false">AF1680*G1680</f>
        <v>6944.96</v>
      </c>
      <c r="AJ1680" s="57" t="n">
        <f aca="false">ROUNDUP(MAX(J1680/IF(BZ1680&gt;0,BZ1680,MAX(0.1,N(Cockpit!$C$6))),CC1680)/BS1680,0)*BS1680</f>
        <v>16</v>
      </c>
      <c r="AK1680" s="58" t="n">
        <f aca="false">IF(AH1680&gt;0,J1680/AH1680,-1)</f>
        <v>0</v>
      </c>
      <c r="AL1680" s="58" t="n">
        <f aca="false">IF(AND(OR(BY1680="L1",BY1680="L23"),AH1680&gt;0),SUMIFS($AH$7:$AH$1843,$BY$7:$BY$1843,BY1680,$AK$7:$AK$1843,"&gt;"&amp;AK1680)+SUMIFS($AH$7:$AH$1843,$BY$7:$BY$1843,BY1680,$AK$7:$AK$1843,AK1680,$BQ$7:$BQ$1843,"&lt;="&amp;BQ1680),"")</f>
        <v>95.4370967197054</v>
      </c>
      <c r="AM1680" s="65" t="n">
        <f aca="false">IF(AL1680="",0,MAX(0,MIN(1,(IF(BY1680="L1",Parameter!$E$5,Parameter!$E$6+Parameter!$E$7)-(AL1680-AH1680))/AH1680)))</f>
        <v>1</v>
      </c>
      <c r="AN1680" s="57" t="n">
        <f aca="false">IF(LEFT(Cockpit!$I$5,1)="A",H1680,IF(CA1680=1,CB1680,IF(LEFT(Cockpit!$I$5,1)="B",AR1680,MAX(AR1680,H1680))))</f>
        <v>16</v>
      </c>
      <c r="AO1680" s="57" t="n">
        <f aca="false">IF(BT1680=1,0,ROUNDUP(AN1680/BS1680,0))</f>
        <v>1</v>
      </c>
      <c r="AP1680" s="59" t="n">
        <f aca="false">IF(CH1680&gt;0,CH1680*MAX(1,AN1680/X1680),IF(BT1680=1,IF(AN1680&lt;=0,0,BW1680*MAX(1,IF(H1680&gt;0,AN1680/H1680,1))),IF(R1680&gt;0,AO1680/R1680,0))/MAX(0.1,N(Parameter!$M$21)))</f>
        <v>0.0833333333333333</v>
      </c>
      <c r="AQ1680" s="57" t="n">
        <f aca="false">AN1680*G1680</f>
        <v>6944.96</v>
      </c>
      <c r="AR1680" s="57" t="n">
        <f aca="false">ROUNDUP(MAX(J1680/IF(BZ1680&gt;0,BZ1680,MAX(0.1,N(Cockpit!$I$6))),CC1680)/BS1680,0)*BS1680</f>
        <v>16</v>
      </c>
      <c r="AS1680" s="58" t="n">
        <f aca="false">IF(AP1680&gt;0,J1680/AP1680,-1)</f>
        <v>0</v>
      </c>
      <c r="AT1680" s="58" t="n">
        <f aca="false">IF(AND(OR(BY1680="L1",BY1680="L23"),AP1680&gt;0),SUMIFS($AP$7:$AP$1843,$BY$7:$BY$1843,BY1680,$AS$7:$AS$1843,"&gt;"&amp;AS1680)+SUMIFS($AP$7:$AP$1843,$BY$7:$BY$1843,BY1680,$AS$7:$AS$1843,AS1680,$BQ$7:$BQ$1843,"&lt;="&amp;BQ1680),"")</f>
        <v>140.689233471842</v>
      </c>
      <c r="AU1680" s="65" t="n">
        <f aca="false">IF(AT1680="",0,MAX(0,MIN(1,(IF(BY1680="L1",Parameter!$E$5,Parameter!$E$6+Parameter!$E$7)-(AT1680-AP1680))/AP1680)))</f>
        <v>0</v>
      </c>
      <c r="AV1680" s="57" t="n">
        <f aca="false">IF(LEFT(Cockpit!$O$5,1)="A",H1680,IF(CA1680=1,CB1680,IF(LEFT(Cockpit!$O$5,1)="B",AZ1680,MAX(AZ1680,H1680))))</f>
        <v>16</v>
      </c>
      <c r="AW1680" s="57" t="n">
        <f aca="false">IF(BT1680=1,0,ROUNDUP(AV1680/BS1680,0))</f>
        <v>1</v>
      </c>
      <c r="AX1680" s="59" t="n">
        <f aca="false">IF(CH1680&gt;0,CH1680*MAX(1,AV1680/X1680),IF(BT1680=1,IF(AV1680&lt;=0,0,BW1680*MAX(1,IF(H1680&gt;0,AV1680/H1680,1))),IF(R1680&gt;0,AW1680/R1680,0))/MAX(0.1,N(Parameter!$M$21)))</f>
        <v>0.0833333333333333</v>
      </c>
      <c r="AY1680" s="57" t="n">
        <f aca="false">AV1680*G1680</f>
        <v>6944.96</v>
      </c>
      <c r="AZ1680" s="57" t="n">
        <f aca="false">ROUNDUP(MAX(J1680/IF(BZ1680&gt;0,BZ1680,MAX(0.1,N(Cockpit!$O$6))),CC1680)/BS1680,0)*BS1680</f>
        <v>16</v>
      </c>
      <c r="BA1680" s="58" t="n">
        <f aca="false">IF(AX1680&gt;0,J1680/AX1680,-1)</f>
        <v>0</v>
      </c>
      <c r="BB1680" s="58" t="n">
        <f aca="false">IF(AND(OR(BY1680="L1",BY1680="L23"),AX1680&gt;0),SUMIFS($AX$7:$AX$1843,$BY$7:$BY$1843,BY1680,$BA$7:$BA$1843,"&gt;"&amp;BA1680)+SUMIFS($AX$7:$AX$1843,$BY$7:$BY$1843,BY1680,$BA$7:$BA$1843,BA1680,$BQ$7:$BQ$1843,"&lt;="&amp;BQ1680),"")</f>
        <v>131.519070301679</v>
      </c>
      <c r="BC1680" s="65" t="n">
        <f aca="false">IF(BB1680="",0,MAX(0,MIN(1,(IF(BY1680="L1",Parameter!$E$5,Parameter!$E$6+Parameter!$E$7)-(BB1680-AX1680))/AX1680)))</f>
        <v>0</v>
      </c>
      <c r="BD1680" s="55" t="str">
        <f aca="false">IF(AH1680&lt;=0,"",IF(BY1680="Aussen","Aussenlager",IF(BY1680="-","Nicht im Lift",IF(AM1680&gt;=1,"Lift",IF(AM1680&lt;=0,"Aussenlager","teilweise")))))</f>
        <v>Lift</v>
      </c>
      <c r="BE1680" s="55" t="str">
        <f aca="false">IF(AP1680&lt;=0,"",IF(BY1680="Aussen","Aussenlager",IF(BY1680="-","Nicht im Lift",IF(AU1680&gt;=1,"Lift",IF(AU1680&lt;=0,"Aussenlager","teilweise")))))</f>
        <v>Aussenlager</v>
      </c>
      <c r="BF1680" s="55" t="str">
        <f aca="false">IF(AX1680&lt;=0,"",IF(BY1680="Aussen","Aussenlager",IF(BY1680="-","Nicht im Lift",IF(BC1680&gt;=1,"Lift",IF(BC1680&lt;=0,"Aussenlager","teilweise")))))</f>
        <v>Aussenlager</v>
      </c>
      <c r="BG1680" s="55" t="str">
        <f aca="false">IF(A1680="","",IF(BP1680=1,"Neu; ","")&amp;IF(AND(BP1680=0,BK1680&lt;0),"negativer Bestand (Export "&amp;BK1680&amp;"); ","")&amp;IF(J1680&lt;=0,"Kein Verbrauch; ","")&amp;IF(CH1680&gt;0,"Lift "&amp;W1680&amp;" lt. Liftbericht (Fach "&amp;X1680&amp;" Stk); ",IF(BU1680=1,"Gebinde geschätzt ("&amp;T1680&amp;"); ",IF(BT1680=1,"Lose – Tablare geschätzt; ","")))&amp;IF(H1680&gt;AR1680,"Überbestand "&amp;ROUND(H1680-AR1680,0)&amp;" Stk / CHF "&amp;ROUND((H1680-AR1680)*G1680,0)&amp;"; ","")&amp;IF(AND(CA1680=1,CB1680&lt;CC1680),"MAX &lt; MB+LG; ","")&amp;IF(AND(CG1680&gt;0,CF1680*10&gt;CG1680),"zu hoch für Tablar; ","")&amp;IF(AND(BP1680=0,OR(CA1680=1,AA1680&lt;&gt;"",U1680&lt;&gt;"",V1680&lt;&gt;"",AB1680&lt;&gt;"")),"manuell übersteuert; ","")&amp;IF(AND(BT1680=0,R1680=0),"Gebinde unbekannt / Stellmass fehlt; ","")&amp;IF(AND(BT1680=0,N(V1680)&lt;=0,N(Q1680)&lt;=0),"Menge pro Gebinde fehlt (Ist = 1 Gebinde); ","")&amp;BO1680)</f>
        <v>Kein Verbrauch; nur im Artikelstamm (Bestand 23.06.2026)</v>
      </c>
      <c r="BH1680" s="55"/>
      <c r="BI1680" s="55"/>
      <c r="BJ1680" s="62"/>
      <c r="BK1680" s="57" t="n">
        <v>16</v>
      </c>
      <c r="BL1680" s="57" t="n">
        <v>0</v>
      </c>
      <c r="BM1680" s="56" t="n">
        <v>0</v>
      </c>
      <c r="BN1680" s="57" t="n">
        <v>0</v>
      </c>
      <c r="BO1680" s="55" t="s">
        <v>2575</v>
      </c>
      <c r="BP1680" s="60" t="n">
        <v>0</v>
      </c>
      <c r="BQ1680" s="60" t="n">
        <v>1680</v>
      </c>
      <c r="BR1680" s="55" t="str">
        <f aca="false">IF(U1680&lt;&gt;"",UPPER(TRIM(U1680)),IF(BU1680=1,UPPER(VLOOKUP(T1680,Parameter!$I$27:$K$29,2,0)),IF(P1680="","LOSE",P1680)))</f>
        <v>S62</v>
      </c>
      <c r="BS1680" s="57" t="n">
        <f aca="false">IF(BR1680="LOSE",1,IF(N(V1680)&gt;0,V1680,IF(BU1680=1,MAX(1,N(VLOOKUP(T1680,Parameter!$I$27:$K$29,3,0)),H1680,N(N1680)),IF(N(Q1680)&gt;0,Q1680,MAX(1,H1680)))))</f>
        <v>16</v>
      </c>
      <c r="BT1680" s="60" t="n">
        <f aca="false">IF(BR1680="LOSE",1,0)</f>
        <v>0</v>
      </c>
      <c r="BU1680" s="60" t="n">
        <f aca="false">IF(AND(U1680="",OR(P1680="",P1680="LOSE"),T1680&lt;&gt;"",N(S1680)&lt;=0,ISNUMBER(MATCH(T1680,Parameter!$I$27:$I$29,0))),1,0)</f>
        <v>0</v>
      </c>
      <c r="BV1680" s="55" t="str">
        <f aca="false">IF(AND(Parameter!$B$19="Ja",E1680&lt;&gt;"",ISNUMBER(MATCH(E1680,Parameter!$I$35:$I$52,0))),VLOOKUP(E1680,Parameter!$I$35:$J$52,2,0),IFERROR(VLOOKUP(D1680,Parameter!$A$35:$C$64,2,0),"Nein"))</f>
        <v>2+3</v>
      </c>
      <c r="BW1680" s="59" t="n">
        <f aca="false">IF(BT1680=0,0,IF(N(S1680)&gt;0,S1680,IFERROR(VLOOKUP(D1680,Parameter!$A$35:$C$64,3,0)+0,0)))</f>
        <v>0</v>
      </c>
      <c r="BX1680" s="55" t="n">
        <f aca="false">IF(AA1680&lt;&gt;"",AA1680,Z1680)</f>
        <v>2</v>
      </c>
      <c r="BY1680" s="55" t="str">
        <f aca="false">IF(BX1680=1,"L1",IF(OR(BX1680=2,BX1680=3),"L23",IF(BX1680="Aussen","Aussen","-")))</f>
        <v>L23</v>
      </c>
      <c r="BZ1680" s="66" t="n">
        <f aca="false">IF(N(AB1680)&gt;0,AB1680,0)</f>
        <v>0</v>
      </c>
      <c r="CA1680" s="60" t="n">
        <f aca="false">IF(ISNUMBER(AE1680),1,0)</f>
        <v>0</v>
      </c>
      <c r="CB1680" s="57" t="n">
        <f aca="false">N(AE1680)</f>
        <v>0</v>
      </c>
      <c r="CC1680" s="57" t="n">
        <f aca="false">N(M1680)+N(N1680)</f>
        <v>10</v>
      </c>
      <c r="CD1680" s="57" t="n">
        <f aca="false">ROUNDUP(H1680/BS1680,0)</f>
        <v>1</v>
      </c>
      <c r="CE1680" s="57" t="n">
        <f aca="false">ROUNDUP(CB1680/BS1680,0)</f>
        <v>0</v>
      </c>
      <c r="CF1680" s="60" t="n">
        <f aca="false">IF(BT1680=1,0,IFERROR(VLOOKUP(BR1680,'Gebinde-Kategorie'!$A$5:$M$45,5,0)+0,0))</f>
        <v>21</v>
      </c>
      <c r="CG1680" s="60" t="n">
        <f aca="false">IFERROR(IF(OR(BX1680=1,BX1680=2,BX1680=3),N(INDEX(Parameter!$I$5:$I$7,BX1680)),0),0)</f>
        <v>0</v>
      </c>
      <c r="CH1680" s="59" t="n">
        <f aca="false">IF(AND(Parameter!$B$21="Ja",ISNUMBER(W1680),N(X1680)&gt;0),IFERROR(N(INDEX(Parameter!$L$5:$L$7,W1680))*INDEX(Parameter!$E$5:$E$7,W1680)*X1680/SUMIFS($X$7:$X$1843,$W$7:$W$1843,W1680),0),0)</f>
        <v>0</v>
      </c>
    </row>
    <row r="1681" customFormat="false" ht="15" hidden="false" customHeight="false" outlineLevel="0" collapsed="false">
      <c r="A1681" s="55" t="s">
        <v>2913</v>
      </c>
      <c r="B1681" s="55" t="s">
        <v>2111</v>
      </c>
      <c r="C1681" s="55" t="s">
        <v>164</v>
      </c>
      <c r="D1681" s="55" t="s">
        <v>173</v>
      </c>
      <c r="E1681" s="55" t="s">
        <v>166</v>
      </c>
      <c r="F1681" s="55"/>
      <c r="G1681" s="56" t="n">
        <v>377.25</v>
      </c>
      <c r="H1681" s="57" t="n">
        <f aca="false">MAX(0,IF(AND(Parameter!$B$21="Ja",ISNUMBER(Y1681)),Y1681,IF(Parameter!$B$20="Jahresanfang 2025 + Export",BL1681+BK1681,BK1681)))</f>
        <v>14</v>
      </c>
      <c r="I1681" s="57" t="n">
        <f aca="false">H1681*G1681</f>
        <v>5281.5</v>
      </c>
      <c r="J1681" s="57" t="n">
        <f aca="false">BN1681*Parameter!$B$18</f>
        <v>0</v>
      </c>
      <c r="K1681" s="58"/>
      <c r="L1681" s="59"/>
      <c r="M1681" s="57" t="n">
        <v>0</v>
      </c>
      <c r="N1681" s="57" t="n">
        <v>10</v>
      </c>
      <c r="O1681" s="60" t="n">
        <v>35</v>
      </c>
      <c r="P1681" s="55" t="s">
        <v>293</v>
      </c>
      <c r="Q1681" s="57" t="n">
        <v>15</v>
      </c>
      <c r="R1681" s="60" t="n">
        <f aca="false">IF(BT1681=1,0,IFERROR(VLOOKUP(BR1681,'Gebinde-Kategorie'!$A$5:$M$45,13,0)+0,0))</f>
        <v>12</v>
      </c>
      <c r="S1681" s="61"/>
      <c r="T1681" s="62"/>
      <c r="U1681" s="62"/>
      <c r="V1681" s="62"/>
      <c r="W1681" s="55"/>
      <c r="X1681" s="57"/>
      <c r="Y1681" s="57"/>
      <c r="Z1681" s="55" t="n">
        <f aca="false">IF(A1681="","",IF(AND(Parameter!$B$21="Ja",ISNUMBER(W1681)),W1681,IF(BV1681="2+3",IF(ISNUMBER(SEARCH("grosser Artikel",BO1681)),2,IFERROR(VLOOKUP(BR1681,Parameter!$F$35:$G$64,2,0),2)),IF(OR(BV1681="Nein",BV1681=""),"-",BV1681))))</f>
        <v>1</v>
      </c>
      <c r="AA1681" s="62"/>
      <c r="AB1681" s="63"/>
      <c r="AC1681" s="57" t="n">
        <f aca="false">AR1681</f>
        <v>15</v>
      </c>
      <c r="AD1681" s="57" t="n">
        <f aca="false">MAX(AR1681,H1681)</f>
        <v>15</v>
      </c>
      <c r="AE1681" s="64"/>
      <c r="AF1681" s="57" t="n">
        <f aca="false">IF(LEFT(Cockpit!$C$5,1)="A",H1681,IF(CA1681=1,CB1681,IF(LEFT(Cockpit!$C$5,1)="B",AJ1681,MAX(AJ1681,H1681))))</f>
        <v>14</v>
      </c>
      <c r="AG1681" s="57" t="n">
        <f aca="false">IF(BT1681=1,0,ROUNDUP(AF1681/BS1681,0))</f>
        <v>1</v>
      </c>
      <c r="AH1681" s="59" t="n">
        <f aca="false">IF(CH1681&gt;0,CH1681*MAX(1,AF1681/X1681),IF(BT1681=1,IF(AF1681&lt;=0,0,BW1681*MAX(1,IF(H1681&gt;0,AF1681/H1681,1))),IF(R1681&gt;0,AG1681/R1681,0))/MAX(0.1,N(Parameter!$M$21)))</f>
        <v>0.0833333333333333</v>
      </c>
      <c r="AI1681" s="57" t="n">
        <f aca="false">AF1681*G1681</f>
        <v>5281.5</v>
      </c>
      <c r="AJ1681" s="57" t="n">
        <f aca="false">ROUNDUP(MAX(J1681/IF(BZ1681&gt;0,BZ1681,MAX(0.1,N(Cockpit!$C$6))),CC1681)/BS1681,0)*BS1681</f>
        <v>15</v>
      </c>
      <c r="AK1681" s="58" t="n">
        <f aca="false">IF(AH1681&gt;0,J1681/AH1681,-1)</f>
        <v>0</v>
      </c>
      <c r="AL1681" s="58" t="n">
        <f aca="false">IF(AND(OR(BY1681="L1",BY1681="L23"),AH1681&gt;0),SUMIFS($AH$7:$AH$1843,$BY$7:$BY$1843,BY1681,$AK$7:$AK$1843,"&gt;"&amp;AK1681)+SUMIFS($AH$7:$AH$1843,$BY$7:$BY$1843,BY1681,$AK$7:$AK$1843,AK1681,$BQ$7:$BQ$1843,"&lt;="&amp;BQ1681),"")</f>
        <v>53.7958889959627</v>
      </c>
      <c r="AM1681" s="65" t="n">
        <f aca="false">IF(AL1681="",0,MAX(0,MIN(1,(IF(BY1681="L1",Parameter!$E$5,Parameter!$E$6+Parameter!$E$7)-(AL1681-AH1681))/AH1681)))</f>
        <v>0</v>
      </c>
      <c r="AN1681" s="57" t="n">
        <f aca="false">IF(LEFT(Cockpit!$I$5,1)="A",H1681,IF(CA1681=1,CB1681,IF(LEFT(Cockpit!$I$5,1)="B",AR1681,MAX(AR1681,H1681))))</f>
        <v>15</v>
      </c>
      <c r="AO1681" s="57" t="n">
        <f aca="false">IF(BT1681=1,0,ROUNDUP(AN1681/BS1681,0))</f>
        <v>1</v>
      </c>
      <c r="AP1681" s="59" t="n">
        <f aca="false">IF(CH1681&gt;0,CH1681*MAX(1,AN1681/X1681),IF(BT1681=1,IF(AN1681&lt;=0,0,BW1681*MAX(1,IF(H1681&gt;0,AN1681/H1681,1))),IF(R1681&gt;0,AO1681/R1681,0))/MAX(0.1,N(Parameter!$M$21)))</f>
        <v>0.0833333333333333</v>
      </c>
      <c r="AQ1681" s="57" t="n">
        <f aca="false">AN1681*G1681</f>
        <v>5658.75</v>
      </c>
      <c r="AR1681" s="57" t="n">
        <f aca="false">ROUNDUP(MAX(J1681/IF(BZ1681&gt;0,BZ1681,MAX(0.1,N(Cockpit!$I$6))),CC1681)/BS1681,0)*BS1681</f>
        <v>15</v>
      </c>
      <c r="AS1681" s="58" t="n">
        <f aca="false">IF(AP1681&gt;0,J1681/AP1681,-1)</f>
        <v>0</v>
      </c>
      <c r="AT1681" s="58" t="n">
        <f aca="false">IF(AND(OR(BY1681="L1",BY1681="L23"),AP1681&gt;0),SUMIFS($AP$7:$AP$1843,$BY$7:$BY$1843,BY1681,$AS$7:$AS$1843,"&gt;"&amp;AS1681)+SUMIFS($AP$7:$AP$1843,$BY$7:$BY$1843,BY1681,$AS$7:$AS$1843,AS1681,$BQ$7:$BQ$1843,"&lt;="&amp;BQ1681),"")</f>
        <v>70.7560512442605</v>
      </c>
      <c r="AU1681" s="65" t="n">
        <f aca="false">IF(AT1681="",0,MAX(0,MIN(1,(IF(BY1681="L1",Parameter!$E$5,Parameter!$E$6+Parameter!$E$7)-(AT1681-AP1681))/AP1681)))</f>
        <v>0</v>
      </c>
      <c r="AV1681" s="57" t="n">
        <f aca="false">IF(LEFT(Cockpit!$O$5,1)="A",H1681,IF(CA1681=1,CB1681,IF(LEFT(Cockpit!$O$5,1)="B",AZ1681,MAX(AZ1681,H1681))))</f>
        <v>15</v>
      </c>
      <c r="AW1681" s="57" t="n">
        <f aca="false">IF(BT1681=1,0,ROUNDUP(AV1681/BS1681,0))</f>
        <v>1</v>
      </c>
      <c r="AX1681" s="59" t="n">
        <f aca="false">IF(CH1681&gt;0,CH1681*MAX(1,AV1681/X1681),IF(BT1681=1,IF(AV1681&lt;=0,0,BW1681*MAX(1,IF(H1681&gt;0,AV1681/H1681,1))),IF(R1681&gt;0,AW1681/R1681,0))/MAX(0.1,N(Parameter!$M$21)))</f>
        <v>0.0833333333333333</v>
      </c>
      <c r="AY1681" s="57" t="n">
        <f aca="false">AV1681*G1681</f>
        <v>5658.75</v>
      </c>
      <c r="AZ1681" s="57" t="n">
        <f aca="false">ROUNDUP(MAX(J1681/IF(BZ1681&gt;0,BZ1681,MAX(0.1,N(Cockpit!$O$6))),CC1681)/BS1681,0)*BS1681</f>
        <v>15</v>
      </c>
      <c r="BA1681" s="58" t="n">
        <f aca="false">IF(AX1681&gt;0,J1681/AX1681,-1)</f>
        <v>0</v>
      </c>
      <c r="BB1681" s="58" t="n">
        <f aca="false">IF(AND(OR(BY1681="L1",BY1681="L23"),AX1681&gt;0),SUMIFS($AX$7:$AX$1843,$BY$7:$BY$1843,BY1681,$BA$7:$BA$1843,"&gt;"&amp;BA1681)+SUMIFS($AX$7:$AX$1843,$BY$7:$BY$1843,BY1681,$BA$7:$BA$1843,BA1681,$BQ$7:$BQ$1843,"&lt;="&amp;BQ1681),"")</f>
        <v>64.4228627754789</v>
      </c>
      <c r="BC1681" s="65" t="n">
        <f aca="false">IF(BB1681="",0,MAX(0,MIN(1,(IF(BY1681="L1",Parameter!$E$5,Parameter!$E$6+Parameter!$E$7)-(BB1681-AX1681))/AX1681)))</f>
        <v>0</v>
      </c>
      <c r="BD1681" s="55" t="str">
        <f aca="false">IF(AH1681&lt;=0,"",IF(BY1681="Aussen","Aussenlager",IF(BY1681="-","Nicht im Lift",IF(AM1681&gt;=1,"Lift",IF(AM1681&lt;=0,"Aussenlager","teilweise")))))</f>
        <v>Aussenlager</v>
      </c>
      <c r="BE1681" s="55" t="str">
        <f aca="false">IF(AP1681&lt;=0,"",IF(BY1681="Aussen","Aussenlager",IF(BY1681="-","Nicht im Lift",IF(AU1681&gt;=1,"Lift",IF(AU1681&lt;=0,"Aussenlager","teilweise")))))</f>
        <v>Aussenlager</v>
      </c>
      <c r="BF1681" s="55" t="str">
        <f aca="false">IF(AX1681&lt;=0,"",IF(BY1681="Aussen","Aussenlager",IF(BY1681="-","Nicht im Lift",IF(BC1681&gt;=1,"Lift",IF(BC1681&lt;=0,"Aussenlager","teilweise")))))</f>
        <v>Aussenlager</v>
      </c>
      <c r="BG1681" s="55" t="str">
        <f aca="false">IF(A1681="","",IF(BP1681=1,"Neu; ","")&amp;IF(AND(BP1681=0,BK1681&lt;0),"negativer Bestand (Export "&amp;BK1681&amp;"); ","")&amp;IF(J1681&lt;=0,"Kein Verbrauch; ","")&amp;IF(CH1681&gt;0,"Lift "&amp;W1681&amp;" lt. Liftbericht (Fach "&amp;X1681&amp;" Stk); ",IF(BU1681=1,"Gebinde geschätzt ("&amp;T1681&amp;"); ",IF(BT1681=1,"Lose – Tablare geschätzt; ","")))&amp;IF(H1681&gt;AR1681,"Überbestand "&amp;ROUND(H1681-AR1681,0)&amp;" Stk / CHF "&amp;ROUND((H1681-AR1681)*G1681,0)&amp;"; ","")&amp;IF(AND(CA1681=1,CB1681&lt;CC1681),"MAX &lt; MB+LG; ","")&amp;IF(AND(CG1681&gt;0,CF1681*10&gt;CG1681),"zu hoch für Tablar; ","")&amp;IF(AND(BP1681=0,OR(CA1681=1,AA1681&lt;&gt;"",U1681&lt;&gt;"",V1681&lt;&gt;"",AB1681&lt;&gt;"")),"manuell übersteuert; ","")&amp;IF(AND(BT1681=0,R1681=0),"Gebinde unbekannt / Stellmass fehlt; ","")&amp;IF(AND(BT1681=0,N(V1681)&lt;=0,N(Q1681)&lt;=0),"Menge pro Gebinde fehlt (Ist = 1 Gebinde); ","")&amp;BO1681)</f>
        <v>Kein Verbrauch; nur im Artikelstamm (Bestand 23.06.2026)</v>
      </c>
      <c r="BH1681" s="55"/>
      <c r="BI1681" s="55"/>
      <c r="BJ1681" s="62"/>
      <c r="BK1681" s="57" t="n">
        <v>14</v>
      </c>
      <c r="BL1681" s="57" t="n">
        <v>0</v>
      </c>
      <c r="BM1681" s="56" t="n">
        <v>0</v>
      </c>
      <c r="BN1681" s="57" t="n">
        <v>0</v>
      </c>
      <c r="BO1681" s="55" t="s">
        <v>2575</v>
      </c>
      <c r="BP1681" s="60" t="n">
        <v>0</v>
      </c>
      <c r="BQ1681" s="60" t="n">
        <v>1681</v>
      </c>
      <c r="BR1681" s="55" t="str">
        <f aca="false">IF(U1681&lt;&gt;"",UPPER(TRIM(U1681)),IF(BU1681=1,UPPER(VLOOKUP(T1681,Parameter!$I$27:$K$29,2,0)),IF(P1681="","LOSE",P1681)))</f>
        <v>S62</v>
      </c>
      <c r="BS1681" s="57" t="n">
        <f aca="false">IF(BR1681="LOSE",1,IF(N(V1681)&gt;0,V1681,IF(BU1681=1,MAX(1,N(VLOOKUP(T1681,Parameter!$I$27:$K$29,3,0)),H1681,N(N1681)),IF(N(Q1681)&gt;0,Q1681,MAX(1,H1681)))))</f>
        <v>15</v>
      </c>
      <c r="BT1681" s="60" t="n">
        <f aca="false">IF(BR1681="LOSE",1,0)</f>
        <v>0</v>
      </c>
      <c r="BU1681" s="60" t="n">
        <f aca="false">IF(AND(U1681="",OR(P1681="",P1681="LOSE"),T1681&lt;&gt;"",N(S1681)&lt;=0,ISNUMBER(MATCH(T1681,Parameter!$I$27:$I$29,0))),1,0)</f>
        <v>0</v>
      </c>
      <c r="BV1681" s="55" t="n">
        <f aca="false">IF(AND(Parameter!$B$19="Ja",E1681&lt;&gt;"",ISNUMBER(MATCH(E1681,Parameter!$I$35:$I$52,0))),VLOOKUP(E1681,Parameter!$I$35:$J$52,2,0),IFERROR(VLOOKUP(D1681,Parameter!$A$35:$C$64,2,0),"Nein"))</f>
        <v>1</v>
      </c>
      <c r="BW1681" s="59" t="n">
        <f aca="false">IF(BT1681=0,0,IF(N(S1681)&gt;0,S1681,IFERROR(VLOOKUP(D1681,Parameter!$A$35:$C$64,3,0)+0,0)))</f>
        <v>0</v>
      </c>
      <c r="BX1681" s="55" t="n">
        <f aca="false">IF(AA1681&lt;&gt;"",AA1681,Z1681)</f>
        <v>1</v>
      </c>
      <c r="BY1681" s="55" t="str">
        <f aca="false">IF(BX1681=1,"L1",IF(OR(BX1681=2,BX1681=3),"L23",IF(BX1681="Aussen","Aussen","-")))</f>
        <v>L1</v>
      </c>
      <c r="BZ1681" s="66" t="n">
        <f aca="false">IF(N(AB1681)&gt;0,AB1681,0)</f>
        <v>0</v>
      </c>
      <c r="CA1681" s="60" t="n">
        <f aca="false">IF(ISNUMBER(AE1681),1,0)</f>
        <v>0</v>
      </c>
      <c r="CB1681" s="57" t="n">
        <f aca="false">N(AE1681)</f>
        <v>0</v>
      </c>
      <c r="CC1681" s="57" t="n">
        <f aca="false">N(M1681)+N(N1681)</f>
        <v>10</v>
      </c>
      <c r="CD1681" s="57" t="n">
        <f aca="false">ROUNDUP(H1681/BS1681,0)</f>
        <v>1</v>
      </c>
      <c r="CE1681" s="57" t="n">
        <f aca="false">ROUNDUP(CB1681/BS1681,0)</f>
        <v>0</v>
      </c>
      <c r="CF1681" s="60" t="n">
        <f aca="false">IF(BT1681=1,0,IFERROR(VLOOKUP(BR1681,'Gebinde-Kategorie'!$A$5:$M$45,5,0)+0,0))</f>
        <v>21</v>
      </c>
      <c r="CG1681" s="60" t="n">
        <f aca="false">IFERROR(IF(OR(BX1681=1,BX1681=2,BX1681=3),N(INDEX(Parameter!$I$5:$I$7,BX1681)),0),0)</f>
        <v>0</v>
      </c>
      <c r="CH1681" s="59" t="n">
        <f aca="false">IF(AND(Parameter!$B$21="Ja",ISNUMBER(W1681),N(X1681)&gt;0),IFERROR(N(INDEX(Parameter!$L$5:$L$7,W1681))*INDEX(Parameter!$E$5:$E$7,W1681)*X1681/SUMIFS($X$7:$X$1843,$W$7:$W$1843,W1681),0),0)</f>
        <v>0</v>
      </c>
    </row>
    <row r="1682" customFormat="false" ht="15" hidden="false" customHeight="false" outlineLevel="0" collapsed="false">
      <c r="A1682" s="55" t="s">
        <v>2914</v>
      </c>
      <c r="B1682" s="55" t="s">
        <v>2900</v>
      </c>
      <c r="C1682" s="55" t="s">
        <v>164</v>
      </c>
      <c r="D1682" s="55" t="s">
        <v>173</v>
      </c>
      <c r="E1682" s="55"/>
      <c r="F1682" s="55"/>
      <c r="G1682" s="56" t="n">
        <v>0</v>
      </c>
      <c r="H1682" s="57" t="n">
        <f aca="false">MAX(0,IF(AND(Parameter!$B$21="Ja",ISNUMBER(Y1682)),Y1682,IF(Parameter!$B$20="Jahresanfang 2025 + Export",BL1682+BK1682,BK1682)))</f>
        <v>4</v>
      </c>
      <c r="I1682" s="57" t="n">
        <f aca="false">H1682*G1682</f>
        <v>0</v>
      </c>
      <c r="J1682" s="57" t="n">
        <f aca="false">BN1682*Parameter!$B$18</f>
        <v>0</v>
      </c>
      <c r="K1682" s="58"/>
      <c r="L1682" s="59"/>
      <c r="M1682" s="57" t="n">
        <v>0</v>
      </c>
      <c r="N1682" s="57" t="n">
        <v>1</v>
      </c>
      <c r="O1682" s="60" t="n">
        <v>0</v>
      </c>
      <c r="P1682" s="55" t="s">
        <v>293</v>
      </c>
      <c r="Q1682" s="57" t="n">
        <v>5</v>
      </c>
      <c r="R1682" s="60" t="n">
        <f aca="false">IF(BT1682=1,0,IFERROR(VLOOKUP(BR1682,'Gebinde-Kategorie'!$A$5:$M$45,13,0)+0,0))</f>
        <v>12</v>
      </c>
      <c r="S1682" s="61"/>
      <c r="T1682" s="62"/>
      <c r="U1682" s="62"/>
      <c r="V1682" s="62"/>
      <c r="W1682" s="55"/>
      <c r="X1682" s="57"/>
      <c r="Y1682" s="57"/>
      <c r="Z1682" s="55" t="n">
        <f aca="false">IF(A1682="","",IF(AND(Parameter!$B$21="Ja",ISNUMBER(W1682)),W1682,IF(BV1682="2+3",IF(ISNUMBER(SEARCH("grosser Artikel",BO1682)),2,IFERROR(VLOOKUP(BR1682,Parameter!$F$35:$G$64,2,0),2)),IF(OR(BV1682="Nein",BV1682=""),"-",BV1682))))</f>
        <v>2</v>
      </c>
      <c r="AA1682" s="62"/>
      <c r="AB1682" s="63"/>
      <c r="AC1682" s="57" t="n">
        <f aca="false">AR1682</f>
        <v>5</v>
      </c>
      <c r="AD1682" s="57" t="n">
        <f aca="false">MAX(AR1682,H1682)</f>
        <v>5</v>
      </c>
      <c r="AE1682" s="64"/>
      <c r="AF1682" s="57" t="n">
        <f aca="false">IF(LEFT(Cockpit!$C$5,1)="A",H1682,IF(CA1682=1,CB1682,IF(LEFT(Cockpit!$C$5,1)="B",AJ1682,MAX(AJ1682,H1682))))</f>
        <v>4</v>
      </c>
      <c r="AG1682" s="57" t="n">
        <f aca="false">IF(BT1682=1,0,ROUNDUP(AF1682/BS1682,0))</f>
        <v>1</v>
      </c>
      <c r="AH1682" s="59" t="n">
        <f aca="false">IF(CH1682&gt;0,CH1682*MAX(1,AF1682/X1682),IF(BT1682=1,IF(AF1682&lt;=0,0,BW1682*MAX(1,IF(H1682&gt;0,AF1682/H1682,1))),IF(R1682&gt;0,AG1682/R1682,0))/MAX(0.1,N(Parameter!$M$21)))</f>
        <v>0.0833333333333333</v>
      </c>
      <c r="AI1682" s="57" t="n">
        <f aca="false">AF1682*G1682</f>
        <v>0</v>
      </c>
      <c r="AJ1682" s="57" t="n">
        <f aca="false">ROUNDUP(MAX(J1682/IF(BZ1682&gt;0,BZ1682,MAX(0.1,N(Cockpit!$C$6))),CC1682)/BS1682,0)*BS1682</f>
        <v>5</v>
      </c>
      <c r="AK1682" s="58" t="n">
        <f aca="false">IF(AH1682&gt;0,J1682/AH1682,-1)</f>
        <v>0</v>
      </c>
      <c r="AL1682" s="58" t="n">
        <f aca="false">IF(AND(OR(BY1682="L1",BY1682="L23"),AH1682&gt;0),SUMIFS($AH$7:$AH$1843,$BY$7:$BY$1843,BY1682,$AK$7:$AK$1843,"&gt;"&amp;AK1682)+SUMIFS($AH$7:$AH$1843,$BY$7:$BY$1843,BY1682,$AK$7:$AK$1843,AK1682,$BQ$7:$BQ$1843,"&lt;="&amp;BQ1682),"")</f>
        <v>95.5204300530388</v>
      </c>
      <c r="AM1682" s="65" t="n">
        <f aca="false">IF(AL1682="",0,MAX(0,MIN(1,(IF(BY1682="L1",Parameter!$E$5,Parameter!$E$6+Parameter!$E$7)-(AL1682-AH1682))/AH1682)))</f>
        <v>1</v>
      </c>
      <c r="AN1682" s="57" t="n">
        <f aca="false">IF(LEFT(Cockpit!$I$5,1)="A",H1682,IF(CA1682=1,CB1682,IF(LEFT(Cockpit!$I$5,1)="B",AR1682,MAX(AR1682,H1682))))</f>
        <v>5</v>
      </c>
      <c r="AO1682" s="57" t="n">
        <f aca="false">IF(BT1682=1,0,ROUNDUP(AN1682/BS1682,0))</f>
        <v>1</v>
      </c>
      <c r="AP1682" s="59" t="n">
        <f aca="false">IF(CH1682&gt;0,CH1682*MAX(1,AN1682/X1682),IF(BT1682=1,IF(AN1682&lt;=0,0,BW1682*MAX(1,IF(H1682&gt;0,AN1682/H1682,1))),IF(R1682&gt;0,AO1682/R1682,0))/MAX(0.1,N(Parameter!$M$21)))</f>
        <v>0.0833333333333333</v>
      </c>
      <c r="AQ1682" s="57" t="n">
        <f aca="false">AN1682*G1682</f>
        <v>0</v>
      </c>
      <c r="AR1682" s="57" t="n">
        <f aca="false">ROUNDUP(MAX(J1682/IF(BZ1682&gt;0,BZ1682,MAX(0.1,N(Cockpit!$I$6))),CC1682)/BS1682,0)*BS1682</f>
        <v>5</v>
      </c>
      <c r="AS1682" s="58" t="n">
        <f aca="false">IF(AP1682&gt;0,J1682/AP1682,-1)</f>
        <v>0</v>
      </c>
      <c r="AT1682" s="58" t="n">
        <f aca="false">IF(AND(OR(BY1682="L1",BY1682="L23"),AP1682&gt;0),SUMIFS($AP$7:$AP$1843,$BY$7:$BY$1843,BY1682,$AS$7:$AS$1843,"&gt;"&amp;AS1682)+SUMIFS($AP$7:$AP$1843,$BY$7:$BY$1843,BY1682,$AS$7:$AS$1843,AS1682,$BQ$7:$BQ$1843,"&lt;="&amp;BQ1682),"")</f>
        <v>140.772566805176</v>
      </c>
      <c r="AU1682" s="65" t="n">
        <f aca="false">IF(AT1682="",0,MAX(0,MIN(1,(IF(BY1682="L1",Parameter!$E$5,Parameter!$E$6+Parameter!$E$7)-(AT1682-AP1682))/AP1682)))</f>
        <v>0</v>
      </c>
      <c r="AV1682" s="57" t="n">
        <f aca="false">IF(LEFT(Cockpit!$O$5,1)="A",H1682,IF(CA1682=1,CB1682,IF(LEFT(Cockpit!$O$5,1)="B",AZ1682,MAX(AZ1682,H1682))))</f>
        <v>5</v>
      </c>
      <c r="AW1682" s="57" t="n">
        <f aca="false">IF(BT1682=1,0,ROUNDUP(AV1682/BS1682,0))</f>
        <v>1</v>
      </c>
      <c r="AX1682" s="59" t="n">
        <f aca="false">IF(CH1682&gt;0,CH1682*MAX(1,AV1682/X1682),IF(BT1682=1,IF(AV1682&lt;=0,0,BW1682*MAX(1,IF(H1682&gt;0,AV1682/H1682,1))),IF(R1682&gt;0,AW1682/R1682,0))/MAX(0.1,N(Parameter!$M$21)))</f>
        <v>0.0833333333333333</v>
      </c>
      <c r="AY1682" s="57" t="n">
        <f aca="false">AV1682*G1682</f>
        <v>0</v>
      </c>
      <c r="AZ1682" s="57" t="n">
        <f aca="false">ROUNDUP(MAX(J1682/IF(BZ1682&gt;0,BZ1682,MAX(0.1,N(Cockpit!$O$6))),CC1682)/BS1682,0)*BS1682</f>
        <v>5</v>
      </c>
      <c r="BA1682" s="58" t="n">
        <f aca="false">IF(AX1682&gt;0,J1682/AX1682,-1)</f>
        <v>0</v>
      </c>
      <c r="BB1682" s="58" t="n">
        <f aca="false">IF(AND(OR(BY1682="L1",BY1682="L23"),AX1682&gt;0),SUMIFS($AX$7:$AX$1843,$BY$7:$BY$1843,BY1682,$BA$7:$BA$1843,"&gt;"&amp;BA1682)+SUMIFS($AX$7:$AX$1843,$BY$7:$BY$1843,BY1682,$BA$7:$BA$1843,BA1682,$BQ$7:$BQ$1843,"&lt;="&amp;BQ1682),"")</f>
        <v>131.602403635012</v>
      </c>
      <c r="BC1682" s="65" t="n">
        <f aca="false">IF(BB1682="",0,MAX(0,MIN(1,(IF(BY1682="L1",Parameter!$E$5,Parameter!$E$6+Parameter!$E$7)-(BB1682-AX1682))/AX1682)))</f>
        <v>0</v>
      </c>
      <c r="BD1682" s="55" t="str">
        <f aca="false">IF(AH1682&lt;=0,"",IF(BY1682="Aussen","Aussenlager",IF(BY1682="-","Nicht im Lift",IF(AM1682&gt;=1,"Lift",IF(AM1682&lt;=0,"Aussenlager","teilweise")))))</f>
        <v>Lift</v>
      </c>
      <c r="BE1682" s="55" t="str">
        <f aca="false">IF(AP1682&lt;=0,"",IF(BY1682="Aussen","Aussenlager",IF(BY1682="-","Nicht im Lift",IF(AU1682&gt;=1,"Lift",IF(AU1682&lt;=0,"Aussenlager","teilweise")))))</f>
        <v>Aussenlager</v>
      </c>
      <c r="BF1682" s="55" t="str">
        <f aca="false">IF(AX1682&lt;=0,"",IF(BY1682="Aussen","Aussenlager",IF(BY1682="-","Nicht im Lift",IF(BC1682&gt;=1,"Lift",IF(BC1682&lt;=0,"Aussenlager","teilweise")))))</f>
        <v>Aussenlager</v>
      </c>
      <c r="BG1682" s="55" t="str">
        <f aca="false">IF(A1682="","",IF(BP1682=1,"Neu; ","")&amp;IF(AND(BP1682=0,BK1682&lt;0),"negativer Bestand (Export "&amp;BK1682&amp;"); ","")&amp;IF(J1682&lt;=0,"Kein Verbrauch; ","")&amp;IF(CH1682&gt;0,"Lift "&amp;W1682&amp;" lt. Liftbericht (Fach "&amp;X1682&amp;" Stk); ",IF(BU1682=1,"Gebinde geschätzt ("&amp;T1682&amp;"); ",IF(BT1682=1,"Lose – Tablare geschätzt; ","")))&amp;IF(H1682&gt;AR1682,"Überbestand "&amp;ROUND(H1682-AR1682,0)&amp;" Stk / CHF "&amp;ROUND((H1682-AR1682)*G1682,0)&amp;"; ","")&amp;IF(AND(CA1682=1,CB1682&lt;CC1682),"MAX &lt; MB+LG; ","")&amp;IF(AND(CG1682&gt;0,CF1682*10&gt;CG1682),"zu hoch für Tablar; ","")&amp;IF(AND(BP1682=0,OR(CA1682=1,AA1682&lt;&gt;"",U1682&lt;&gt;"",V1682&lt;&gt;"",AB1682&lt;&gt;"")),"manuell übersteuert; ","")&amp;IF(AND(BT1682=0,R1682=0),"Gebinde unbekannt / Stellmass fehlt; ","")&amp;IF(AND(BT1682=0,N(V1682)&lt;=0,N(Q1682)&lt;=0),"Menge pro Gebinde fehlt (Ist = 1 Gebinde); ","")&amp;BO1682)</f>
        <v>Kein Verbrauch; nur im Artikelstamm (Bestand 23.06.2026)</v>
      </c>
      <c r="BH1682" s="55"/>
      <c r="BI1682" s="55"/>
      <c r="BJ1682" s="62"/>
      <c r="BK1682" s="57" t="n">
        <v>4</v>
      </c>
      <c r="BL1682" s="57" t="n">
        <v>0</v>
      </c>
      <c r="BM1682" s="56" t="n">
        <v>0</v>
      </c>
      <c r="BN1682" s="57" t="n">
        <v>0</v>
      </c>
      <c r="BO1682" s="55" t="s">
        <v>2575</v>
      </c>
      <c r="BP1682" s="60" t="n">
        <v>0</v>
      </c>
      <c r="BQ1682" s="60" t="n">
        <v>1682</v>
      </c>
      <c r="BR1682" s="55" t="str">
        <f aca="false">IF(U1682&lt;&gt;"",UPPER(TRIM(U1682)),IF(BU1682=1,UPPER(VLOOKUP(T1682,Parameter!$I$27:$K$29,2,0)),IF(P1682="","LOSE",P1682)))</f>
        <v>S62</v>
      </c>
      <c r="BS1682" s="57" t="n">
        <f aca="false">IF(BR1682="LOSE",1,IF(N(V1682)&gt;0,V1682,IF(BU1682=1,MAX(1,N(VLOOKUP(T1682,Parameter!$I$27:$K$29,3,0)),H1682,N(N1682)),IF(N(Q1682)&gt;0,Q1682,MAX(1,H1682)))))</f>
        <v>5</v>
      </c>
      <c r="BT1682" s="60" t="n">
        <f aca="false">IF(BR1682="LOSE",1,0)</f>
        <v>0</v>
      </c>
      <c r="BU1682" s="60" t="n">
        <f aca="false">IF(AND(U1682="",OR(P1682="",P1682="LOSE"),T1682&lt;&gt;"",N(S1682)&lt;=0,ISNUMBER(MATCH(T1682,Parameter!$I$27:$I$29,0))),1,0)</f>
        <v>0</v>
      </c>
      <c r="BV1682" s="55" t="str">
        <f aca="false">IF(AND(Parameter!$B$19="Ja",E1682&lt;&gt;"",ISNUMBER(MATCH(E1682,Parameter!$I$35:$I$52,0))),VLOOKUP(E1682,Parameter!$I$35:$J$52,2,0),IFERROR(VLOOKUP(D1682,Parameter!$A$35:$C$64,2,0),"Nein"))</f>
        <v>2+3</v>
      </c>
      <c r="BW1682" s="59" t="n">
        <f aca="false">IF(BT1682=0,0,IF(N(S1682)&gt;0,S1682,IFERROR(VLOOKUP(D1682,Parameter!$A$35:$C$64,3,0)+0,0)))</f>
        <v>0</v>
      </c>
      <c r="BX1682" s="55" t="n">
        <f aca="false">IF(AA1682&lt;&gt;"",AA1682,Z1682)</f>
        <v>2</v>
      </c>
      <c r="BY1682" s="55" t="str">
        <f aca="false">IF(BX1682=1,"L1",IF(OR(BX1682=2,BX1682=3),"L23",IF(BX1682="Aussen","Aussen","-")))</f>
        <v>L23</v>
      </c>
      <c r="BZ1682" s="66" t="n">
        <f aca="false">IF(N(AB1682)&gt;0,AB1682,0)</f>
        <v>0</v>
      </c>
      <c r="CA1682" s="60" t="n">
        <f aca="false">IF(ISNUMBER(AE1682),1,0)</f>
        <v>0</v>
      </c>
      <c r="CB1682" s="57" t="n">
        <f aca="false">N(AE1682)</f>
        <v>0</v>
      </c>
      <c r="CC1682" s="57" t="n">
        <f aca="false">N(M1682)+N(N1682)</f>
        <v>1</v>
      </c>
      <c r="CD1682" s="57" t="n">
        <f aca="false">ROUNDUP(H1682/BS1682,0)</f>
        <v>1</v>
      </c>
      <c r="CE1682" s="57" t="n">
        <f aca="false">ROUNDUP(CB1682/BS1682,0)</f>
        <v>0</v>
      </c>
      <c r="CF1682" s="60" t="n">
        <f aca="false">IF(BT1682=1,0,IFERROR(VLOOKUP(BR1682,'Gebinde-Kategorie'!$A$5:$M$45,5,0)+0,0))</f>
        <v>21</v>
      </c>
      <c r="CG1682" s="60" t="n">
        <f aca="false">IFERROR(IF(OR(BX1682=1,BX1682=2,BX1682=3),N(INDEX(Parameter!$I$5:$I$7,BX1682)),0),0)</f>
        <v>0</v>
      </c>
      <c r="CH1682" s="59" t="n">
        <f aca="false">IF(AND(Parameter!$B$21="Ja",ISNUMBER(W1682),N(X1682)&gt;0),IFERROR(N(INDEX(Parameter!$L$5:$L$7,W1682))*INDEX(Parameter!$E$5:$E$7,W1682)*X1682/SUMIFS($X$7:$X$1843,$W$7:$W$1843,W1682),0),0)</f>
        <v>0</v>
      </c>
    </row>
    <row r="1683" customFormat="false" ht="15" hidden="false" customHeight="false" outlineLevel="0" collapsed="false">
      <c r="A1683" s="55" t="s">
        <v>2915</v>
      </c>
      <c r="B1683" s="55" t="s">
        <v>2375</v>
      </c>
      <c r="C1683" s="55" t="s">
        <v>164</v>
      </c>
      <c r="D1683" s="55" t="s">
        <v>184</v>
      </c>
      <c r="E1683" s="55"/>
      <c r="F1683" s="55"/>
      <c r="G1683" s="56" t="n">
        <v>26.76</v>
      </c>
      <c r="H1683" s="57" t="n">
        <f aca="false">MAX(0,IF(AND(Parameter!$B$21="Ja",ISNUMBER(Y1683)),Y1683,IF(Parameter!$B$20="Jahresanfang 2025 + Export",BL1683+BK1683,BK1683)))</f>
        <v>1</v>
      </c>
      <c r="I1683" s="57" t="n">
        <f aca="false">H1683*G1683</f>
        <v>26.76</v>
      </c>
      <c r="J1683" s="57" t="n">
        <f aca="false">BN1683*Parameter!$B$18</f>
        <v>0</v>
      </c>
      <c r="K1683" s="58"/>
      <c r="L1683" s="59"/>
      <c r="M1683" s="57" t="n">
        <v>0</v>
      </c>
      <c r="N1683" s="57" t="n">
        <v>1</v>
      </c>
      <c r="O1683" s="60" t="n">
        <v>224</v>
      </c>
      <c r="P1683" s="55" t="s">
        <v>186</v>
      </c>
      <c r="Q1683" s="57" t="n">
        <v>65</v>
      </c>
      <c r="R1683" s="60" t="n">
        <f aca="false">IF(BT1683=1,0,IFERROR(VLOOKUP(BR1683,'Gebinde-Kategorie'!$A$5:$M$45,13,0)+0,0))</f>
        <v>12</v>
      </c>
      <c r="S1683" s="61"/>
      <c r="T1683" s="62"/>
      <c r="U1683" s="62"/>
      <c r="V1683" s="62"/>
      <c r="W1683" s="55"/>
      <c r="X1683" s="57"/>
      <c r="Y1683" s="57"/>
      <c r="Z1683" s="55" t="n">
        <f aca="false">IF(A1683="","",IF(AND(Parameter!$B$21="Ja",ISNUMBER(W1683)),W1683,IF(BV1683="2+3",IF(ISNUMBER(SEARCH("grosser Artikel",BO1683)),2,IFERROR(VLOOKUP(BR1683,Parameter!$F$35:$G$64,2,0),2)),IF(OR(BV1683="Nein",BV1683=""),"-",BV1683))))</f>
        <v>2</v>
      </c>
      <c r="AA1683" s="62"/>
      <c r="AB1683" s="63"/>
      <c r="AC1683" s="57" t="n">
        <f aca="false">AR1683</f>
        <v>65</v>
      </c>
      <c r="AD1683" s="57" t="n">
        <f aca="false">MAX(AR1683,H1683)</f>
        <v>65</v>
      </c>
      <c r="AE1683" s="64"/>
      <c r="AF1683" s="57" t="n">
        <f aca="false">IF(LEFT(Cockpit!$C$5,1)="A",H1683,IF(CA1683=1,CB1683,IF(LEFT(Cockpit!$C$5,1)="B",AJ1683,MAX(AJ1683,H1683))))</f>
        <v>1</v>
      </c>
      <c r="AG1683" s="57" t="n">
        <f aca="false">IF(BT1683=1,0,ROUNDUP(AF1683/BS1683,0))</f>
        <v>1</v>
      </c>
      <c r="AH1683" s="59" t="n">
        <f aca="false">IF(CH1683&gt;0,CH1683*MAX(1,AF1683/X1683),IF(BT1683=1,IF(AF1683&lt;=0,0,BW1683*MAX(1,IF(H1683&gt;0,AF1683/H1683,1))),IF(R1683&gt;0,AG1683/R1683,0))/MAX(0.1,N(Parameter!$M$21)))</f>
        <v>0.0833333333333333</v>
      </c>
      <c r="AI1683" s="57" t="n">
        <f aca="false">AF1683*G1683</f>
        <v>26.76</v>
      </c>
      <c r="AJ1683" s="57" t="n">
        <f aca="false">ROUNDUP(MAX(J1683/IF(BZ1683&gt;0,BZ1683,MAX(0.1,N(Cockpit!$C$6))),CC1683)/BS1683,0)*BS1683</f>
        <v>65</v>
      </c>
      <c r="AK1683" s="58" t="n">
        <f aca="false">IF(AH1683&gt;0,J1683/AH1683,-1)</f>
        <v>0</v>
      </c>
      <c r="AL1683" s="58" t="n">
        <f aca="false">IF(AND(OR(BY1683="L1",BY1683="L23"),AH1683&gt;0),SUMIFS($AH$7:$AH$1843,$BY$7:$BY$1843,BY1683,$AK$7:$AK$1843,"&gt;"&amp;AK1683)+SUMIFS($AH$7:$AH$1843,$BY$7:$BY$1843,BY1683,$AK$7:$AK$1843,AK1683,$BQ$7:$BQ$1843,"&lt;="&amp;BQ1683),"")</f>
        <v>95.6037633863721</v>
      </c>
      <c r="AM1683" s="65" t="n">
        <f aca="false">IF(AL1683="",0,MAX(0,MIN(1,(IF(BY1683="L1",Parameter!$E$5,Parameter!$E$6+Parameter!$E$7)-(AL1683-AH1683))/AH1683)))</f>
        <v>1</v>
      </c>
      <c r="AN1683" s="57" t="n">
        <f aca="false">IF(LEFT(Cockpit!$I$5,1)="A",H1683,IF(CA1683=1,CB1683,IF(LEFT(Cockpit!$I$5,1)="B",AR1683,MAX(AR1683,H1683))))</f>
        <v>65</v>
      </c>
      <c r="AO1683" s="57" t="n">
        <f aca="false">IF(BT1683=1,0,ROUNDUP(AN1683/BS1683,0))</f>
        <v>1</v>
      </c>
      <c r="AP1683" s="59" t="n">
        <f aca="false">IF(CH1683&gt;0,CH1683*MAX(1,AN1683/X1683),IF(BT1683=1,IF(AN1683&lt;=0,0,BW1683*MAX(1,IF(H1683&gt;0,AN1683/H1683,1))),IF(R1683&gt;0,AO1683/R1683,0))/MAX(0.1,N(Parameter!$M$21)))</f>
        <v>0.0833333333333333</v>
      </c>
      <c r="AQ1683" s="57" t="n">
        <f aca="false">AN1683*G1683</f>
        <v>1739.4</v>
      </c>
      <c r="AR1683" s="57" t="n">
        <f aca="false">ROUNDUP(MAX(J1683/IF(BZ1683&gt;0,BZ1683,MAX(0.1,N(Cockpit!$I$6))),CC1683)/BS1683,0)*BS1683</f>
        <v>65</v>
      </c>
      <c r="AS1683" s="58" t="n">
        <f aca="false">IF(AP1683&gt;0,J1683/AP1683,-1)</f>
        <v>0</v>
      </c>
      <c r="AT1683" s="58" t="n">
        <f aca="false">IF(AND(OR(BY1683="L1",BY1683="L23"),AP1683&gt;0),SUMIFS($AP$7:$AP$1843,$BY$7:$BY$1843,BY1683,$AS$7:$AS$1843,"&gt;"&amp;AS1683)+SUMIFS($AP$7:$AP$1843,$BY$7:$BY$1843,BY1683,$AS$7:$AS$1843,AS1683,$BQ$7:$BQ$1843,"&lt;="&amp;BQ1683),"")</f>
        <v>140.855900138509</v>
      </c>
      <c r="AU1683" s="65" t="n">
        <f aca="false">IF(AT1683="",0,MAX(0,MIN(1,(IF(BY1683="L1",Parameter!$E$5,Parameter!$E$6+Parameter!$E$7)-(AT1683-AP1683))/AP1683)))</f>
        <v>0</v>
      </c>
      <c r="AV1683" s="57" t="n">
        <f aca="false">IF(LEFT(Cockpit!$O$5,1)="A",H1683,IF(CA1683=1,CB1683,IF(LEFT(Cockpit!$O$5,1)="B",AZ1683,MAX(AZ1683,H1683))))</f>
        <v>65</v>
      </c>
      <c r="AW1683" s="57" t="n">
        <f aca="false">IF(BT1683=1,0,ROUNDUP(AV1683/BS1683,0))</f>
        <v>1</v>
      </c>
      <c r="AX1683" s="59" t="n">
        <f aca="false">IF(CH1683&gt;0,CH1683*MAX(1,AV1683/X1683),IF(BT1683=1,IF(AV1683&lt;=0,0,BW1683*MAX(1,IF(H1683&gt;0,AV1683/H1683,1))),IF(R1683&gt;0,AW1683/R1683,0))/MAX(0.1,N(Parameter!$M$21)))</f>
        <v>0.0833333333333333</v>
      </c>
      <c r="AY1683" s="57" t="n">
        <f aca="false">AV1683*G1683</f>
        <v>1739.4</v>
      </c>
      <c r="AZ1683" s="57" t="n">
        <f aca="false">ROUNDUP(MAX(J1683/IF(BZ1683&gt;0,BZ1683,MAX(0.1,N(Cockpit!$O$6))),CC1683)/BS1683,0)*BS1683</f>
        <v>65</v>
      </c>
      <c r="BA1683" s="58" t="n">
        <f aca="false">IF(AX1683&gt;0,J1683/AX1683,-1)</f>
        <v>0</v>
      </c>
      <c r="BB1683" s="58" t="n">
        <f aca="false">IF(AND(OR(BY1683="L1",BY1683="L23"),AX1683&gt;0),SUMIFS($AX$7:$AX$1843,$BY$7:$BY$1843,BY1683,$BA$7:$BA$1843,"&gt;"&amp;BA1683)+SUMIFS($AX$7:$AX$1843,$BY$7:$BY$1843,BY1683,$BA$7:$BA$1843,BA1683,$BQ$7:$BQ$1843,"&lt;="&amp;BQ1683),"")</f>
        <v>131.685736968346</v>
      </c>
      <c r="BC1683" s="65" t="n">
        <f aca="false">IF(BB1683="",0,MAX(0,MIN(1,(IF(BY1683="L1",Parameter!$E$5,Parameter!$E$6+Parameter!$E$7)-(BB1683-AX1683))/AX1683)))</f>
        <v>0</v>
      </c>
      <c r="BD1683" s="55" t="str">
        <f aca="false">IF(AH1683&lt;=0,"",IF(BY1683="Aussen","Aussenlager",IF(BY1683="-","Nicht im Lift",IF(AM1683&gt;=1,"Lift",IF(AM1683&lt;=0,"Aussenlager","teilweise")))))</f>
        <v>Lift</v>
      </c>
      <c r="BE1683" s="55" t="str">
        <f aca="false">IF(AP1683&lt;=0,"",IF(BY1683="Aussen","Aussenlager",IF(BY1683="-","Nicht im Lift",IF(AU1683&gt;=1,"Lift",IF(AU1683&lt;=0,"Aussenlager","teilweise")))))</f>
        <v>Aussenlager</v>
      </c>
      <c r="BF1683" s="55" t="str">
        <f aca="false">IF(AX1683&lt;=0,"",IF(BY1683="Aussen","Aussenlager",IF(BY1683="-","Nicht im Lift",IF(BC1683&gt;=1,"Lift",IF(BC1683&lt;=0,"Aussenlager","teilweise")))))</f>
        <v>Aussenlager</v>
      </c>
      <c r="BG1683" s="55" t="str">
        <f aca="false">IF(A1683="","",IF(BP1683=1,"Neu; ","")&amp;IF(AND(BP1683=0,BK1683&lt;0),"negativer Bestand (Export "&amp;BK1683&amp;"); ","")&amp;IF(J1683&lt;=0,"Kein Verbrauch; ","")&amp;IF(CH1683&gt;0,"Lift "&amp;W1683&amp;" lt. Liftbericht (Fach "&amp;X1683&amp;" Stk); ",IF(BU1683=1,"Gebinde geschätzt ("&amp;T1683&amp;"); ",IF(BT1683=1,"Lose – Tablare geschätzt; ","")))&amp;IF(H1683&gt;AR1683,"Überbestand "&amp;ROUND(H1683-AR1683,0)&amp;" Stk / CHF "&amp;ROUND((H1683-AR1683)*G1683,0)&amp;"; ","")&amp;IF(AND(CA1683=1,CB1683&lt;CC1683),"MAX &lt; MB+LG; ","")&amp;IF(AND(CG1683&gt;0,CF1683*10&gt;CG1683),"zu hoch für Tablar; ","")&amp;IF(AND(BP1683=0,OR(CA1683=1,AA1683&lt;&gt;"",U1683&lt;&gt;"",V1683&lt;&gt;"",AB1683&lt;&gt;"")),"manuell übersteuert; ","")&amp;IF(AND(BT1683=0,R1683=0),"Gebinde unbekannt / Stellmass fehlt; ","")&amp;IF(AND(BT1683=0,N(V1683)&lt;=0,N(Q1683)&lt;=0),"Menge pro Gebinde fehlt (Ist = 1 Gebinde); ","")&amp;BO1683)</f>
        <v>Kein Verbrauch; nur im Artikelstamm (Bestand 23.06.2026)</v>
      </c>
      <c r="BH1683" s="55"/>
      <c r="BI1683" s="55"/>
      <c r="BJ1683" s="62"/>
      <c r="BK1683" s="57" t="n">
        <v>1</v>
      </c>
      <c r="BL1683" s="57" t="n">
        <v>0</v>
      </c>
      <c r="BM1683" s="56" t="n">
        <v>0</v>
      </c>
      <c r="BN1683" s="57" t="n">
        <v>0</v>
      </c>
      <c r="BO1683" s="55" t="s">
        <v>2575</v>
      </c>
      <c r="BP1683" s="60" t="n">
        <v>0</v>
      </c>
      <c r="BQ1683" s="60" t="n">
        <v>1683</v>
      </c>
      <c r="BR1683" s="55" t="str">
        <f aca="false">IF(U1683&lt;&gt;"",UPPER(TRIM(U1683)),IF(BU1683=1,UPPER(VLOOKUP(T1683,Parameter!$I$27:$K$29,2,0)),IF(P1683="","LOSE",P1683)))</f>
        <v>S61</v>
      </c>
      <c r="BS1683" s="57" t="n">
        <f aca="false">IF(BR1683="LOSE",1,IF(N(V1683)&gt;0,V1683,IF(BU1683=1,MAX(1,N(VLOOKUP(T1683,Parameter!$I$27:$K$29,3,0)),H1683,N(N1683)),IF(N(Q1683)&gt;0,Q1683,MAX(1,H1683)))))</f>
        <v>65</v>
      </c>
      <c r="BT1683" s="60" t="n">
        <f aca="false">IF(BR1683="LOSE",1,0)</f>
        <v>0</v>
      </c>
      <c r="BU1683" s="60" t="n">
        <f aca="false">IF(AND(U1683="",OR(P1683="",P1683="LOSE"),T1683&lt;&gt;"",N(S1683)&lt;=0,ISNUMBER(MATCH(T1683,Parameter!$I$27:$I$29,0))),1,0)</f>
        <v>0</v>
      </c>
      <c r="BV1683" s="55" t="str">
        <f aca="false">IF(AND(Parameter!$B$19="Ja",E1683&lt;&gt;"",ISNUMBER(MATCH(E1683,Parameter!$I$35:$I$52,0))),VLOOKUP(E1683,Parameter!$I$35:$J$52,2,0),IFERROR(VLOOKUP(D1683,Parameter!$A$35:$C$64,2,0),"Nein"))</f>
        <v>2+3</v>
      </c>
      <c r="BW1683" s="59" t="n">
        <f aca="false">IF(BT1683=0,0,IF(N(S1683)&gt;0,S1683,IFERROR(VLOOKUP(D1683,Parameter!$A$35:$C$64,3,0)+0,0)))</f>
        <v>0</v>
      </c>
      <c r="BX1683" s="55" t="n">
        <f aca="false">IF(AA1683&lt;&gt;"",AA1683,Z1683)</f>
        <v>2</v>
      </c>
      <c r="BY1683" s="55" t="str">
        <f aca="false">IF(BX1683=1,"L1",IF(OR(BX1683=2,BX1683=3),"L23",IF(BX1683="Aussen","Aussen","-")))</f>
        <v>L23</v>
      </c>
      <c r="BZ1683" s="66" t="n">
        <f aca="false">IF(N(AB1683)&gt;0,AB1683,0)</f>
        <v>0</v>
      </c>
      <c r="CA1683" s="60" t="n">
        <f aca="false">IF(ISNUMBER(AE1683),1,0)</f>
        <v>0</v>
      </c>
      <c r="CB1683" s="57" t="n">
        <f aca="false">N(AE1683)</f>
        <v>0</v>
      </c>
      <c r="CC1683" s="57" t="n">
        <f aca="false">N(M1683)+N(N1683)</f>
        <v>1</v>
      </c>
      <c r="CD1683" s="57" t="n">
        <f aca="false">ROUNDUP(H1683/BS1683,0)</f>
        <v>1</v>
      </c>
      <c r="CE1683" s="57" t="n">
        <f aca="false">ROUNDUP(CB1683/BS1683,0)</f>
        <v>0</v>
      </c>
      <c r="CF1683" s="60" t="n">
        <f aca="false">IF(BT1683=1,0,IFERROR(VLOOKUP(BR1683,'Gebinde-Kategorie'!$A$5:$M$45,5,0)+0,0))</f>
        <v>11</v>
      </c>
      <c r="CG1683" s="60" t="n">
        <f aca="false">IFERROR(IF(OR(BX1683=1,BX1683=2,BX1683=3),N(INDEX(Parameter!$I$5:$I$7,BX1683)),0),0)</f>
        <v>0</v>
      </c>
      <c r="CH1683" s="59" t="n">
        <f aca="false">IF(AND(Parameter!$B$21="Ja",ISNUMBER(W1683),N(X1683)&gt;0),IFERROR(N(INDEX(Parameter!$L$5:$L$7,W1683))*INDEX(Parameter!$E$5:$E$7,W1683)*X1683/SUMIFS($X$7:$X$1843,$W$7:$W$1843,W1683),0),0)</f>
        <v>0</v>
      </c>
    </row>
    <row r="1684" customFormat="false" ht="15" hidden="false" customHeight="false" outlineLevel="0" collapsed="false">
      <c r="A1684" s="55" t="s">
        <v>2916</v>
      </c>
      <c r="B1684" s="55" t="s">
        <v>2917</v>
      </c>
      <c r="C1684" s="55" t="s">
        <v>164</v>
      </c>
      <c r="D1684" s="55" t="s">
        <v>173</v>
      </c>
      <c r="E1684" s="55"/>
      <c r="F1684" s="55"/>
      <c r="G1684" s="56" t="n">
        <v>180</v>
      </c>
      <c r="H1684" s="57" t="n">
        <f aca="false">MAX(0,IF(AND(Parameter!$B$21="Ja",ISNUMBER(Y1684)),Y1684,IF(Parameter!$B$20="Jahresanfang 2025 + Export",BL1684+BK1684,BK1684)))</f>
        <v>6</v>
      </c>
      <c r="I1684" s="57" t="n">
        <f aca="false">H1684*G1684</f>
        <v>1080</v>
      </c>
      <c r="J1684" s="57" t="n">
        <f aca="false">BN1684*Parameter!$B$18</f>
        <v>0</v>
      </c>
      <c r="K1684" s="58"/>
      <c r="L1684" s="59"/>
      <c r="M1684" s="57" t="n">
        <v>0</v>
      </c>
      <c r="N1684" s="57" t="n">
        <v>6</v>
      </c>
      <c r="O1684" s="60" t="n">
        <v>35</v>
      </c>
      <c r="P1684" s="55" t="s">
        <v>186</v>
      </c>
      <c r="Q1684" s="57" t="n">
        <v>6</v>
      </c>
      <c r="R1684" s="60" t="n">
        <f aca="false">IF(BT1684=1,0,IFERROR(VLOOKUP(BR1684,'Gebinde-Kategorie'!$A$5:$M$45,13,0)+0,0))</f>
        <v>12</v>
      </c>
      <c r="S1684" s="61"/>
      <c r="T1684" s="62"/>
      <c r="U1684" s="62"/>
      <c r="V1684" s="62"/>
      <c r="W1684" s="55"/>
      <c r="X1684" s="57"/>
      <c r="Y1684" s="57"/>
      <c r="Z1684" s="55" t="n">
        <f aca="false">IF(A1684="","",IF(AND(Parameter!$B$21="Ja",ISNUMBER(W1684)),W1684,IF(BV1684="2+3",IF(ISNUMBER(SEARCH("grosser Artikel",BO1684)),2,IFERROR(VLOOKUP(BR1684,Parameter!$F$35:$G$64,2,0),2)),IF(OR(BV1684="Nein",BV1684=""),"-",BV1684))))</f>
        <v>2</v>
      </c>
      <c r="AA1684" s="62"/>
      <c r="AB1684" s="63"/>
      <c r="AC1684" s="57" t="n">
        <f aca="false">AR1684</f>
        <v>6</v>
      </c>
      <c r="AD1684" s="57" t="n">
        <f aca="false">MAX(AR1684,H1684)</f>
        <v>6</v>
      </c>
      <c r="AE1684" s="64"/>
      <c r="AF1684" s="57" t="n">
        <f aca="false">IF(LEFT(Cockpit!$C$5,1)="A",H1684,IF(CA1684=1,CB1684,IF(LEFT(Cockpit!$C$5,1)="B",AJ1684,MAX(AJ1684,H1684))))</f>
        <v>6</v>
      </c>
      <c r="AG1684" s="57" t="n">
        <f aca="false">IF(BT1684=1,0,ROUNDUP(AF1684/BS1684,0))</f>
        <v>1</v>
      </c>
      <c r="AH1684" s="59" t="n">
        <f aca="false">IF(CH1684&gt;0,CH1684*MAX(1,AF1684/X1684),IF(BT1684=1,IF(AF1684&lt;=0,0,BW1684*MAX(1,IF(H1684&gt;0,AF1684/H1684,1))),IF(R1684&gt;0,AG1684/R1684,0))/MAX(0.1,N(Parameter!$M$21)))</f>
        <v>0.0833333333333333</v>
      </c>
      <c r="AI1684" s="57" t="n">
        <f aca="false">AF1684*G1684</f>
        <v>1080</v>
      </c>
      <c r="AJ1684" s="57" t="n">
        <f aca="false">ROUNDUP(MAX(J1684/IF(BZ1684&gt;0,BZ1684,MAX(0.1,N(Cockpit!$C$6))),CC1684)/BS1684,0)*BS1684</f>
        <v>6</v>
      </c>
      <c r="AK1684" s="58" t="n">
        <f aca="false">IF(AH1684&gt;0,J1684/AH1684,-1)</f>
        <v>0</v>
      </c>
      <c r="AL1684" s="58" t="n">
        <f aca="false">IF(AND(OR(BY1684="L1",BY1684="L23"),AH1684&gt;0),SUMIFS($AH$7:$AH$1843,$BY$7:$BY$1843,BY1684,$AK$7:$AK$1843,"&gt;"&amp;AK1684)+SUMIFS($AH$7:$AH$1843,$BY$7:$BY$1843,BY1684,$AK$7:$AK$1843,AK1684,$BQ$7:$BQ$1843,"&lt;="&amp;BQ1684),"")</f>
        <v>95.6870967197054</v>
      </c>
      <c r="AM1684" s="65" t="n">
        <f aca="false">IF(AL1684="",0,MAX(0,MIN(1,(IF(BY1684="L1",Parameter!$E$5,Parameter!$E$6+Parameter!$E$7)-(AL1684-AH1684))/AH1684)))</f>
        <v>1</v>
      </c>
      <c r="AN1684" s="57" t="n">
        <f aca="false">IF(LEFT(Cockpit!$I$5,1)="A",H1684,IF(CA1684=1,CB1684,IF(LEFT(Cockpit!$I$5,1)="B",AR1684,MAX(AR1684,H1684))))</f>
        <v>6</v>
      </c>
      <c r="AO1684" s="57" t="n">
        <f aca="false">IF(BT1684=1,0,ROUNDUP(AN1684/BS1684,0))</f>
        <v>1</v>
      </c>
      <c r="AP1684" s="59" t="n">
        <f aca="false">IF(CH1684&gt;0,CH1684*MAX(1,AN1684/X1684),IF(BT1684=1,IF(AN1684&lt;=0,0,BW1684*MAX(1,IF(H1684&gt;0,AN1684/H1684,1))),IF(R1684&gt;0,AO1684/R1684,0))/MAX(0.1,N(Parameter!$M$21)))</f>
        <v>0.0833333333333333</v>
      </c>
      <c r="AQ1684" s="57" t="n">
        <f aca="false">AN1684*G1684</f>
        <v>1080</v>
      </c>
      <c r="AR1684" s="57" t="n">
        <f aca="false">ROUNDUP(MAX(J1684/IF(BZ1684&gt;0,BZ1684,MAX(0.1,N(Cockpit!$I$6))),CC1684)/BS1684,0)*BS1684</f>
        <v>6</v>
      </c>
      <c r="AS1684" s="58" t="n">
        <f aca="false">IF(AP1684&gt;0,J1684/AP1684,-1)</f>
        <v>0</v>
      </c>
      <c r="AT1684" s="58" t="n">
        <f aca="false">IF(AND(OR(BY1684="L1",BY1684="L23"),AP1684&gt;0),SUMIFS($AP$7:$AP$1843,$BY$7:$BY$1843,BY1684,$AS$7:$AS$1843,"&gt;"&amp;AS1684)+SUMIFS($AP$7:$AP$1843,$BY$7:$BY$1843,BY1684,$AS$7:$AS$1843,AS1684,$BQ$7:$BQ$1843,"&lt;="&amp;BQ1684),"")</f>
        <v>140.939233471842</v>
      </c>
      <c r="AU1684" s="65" t="n">
        <f aca="false">IF(AT1684="",0,MAX(0,MIN(1,(IF(BY1684="L1",Parameter!$E$5,Parameter!$E$6+Parameter!$E$7)-(AT1684-AP1684))/AP1684)))</f>
        <v>0</v>
      </c>
      <c r="AV1684" s="57" t="n">
        <f aca="false">IF(LEFT(Cockpit!$O$5,1)="A",H1684,IF(CA1684=1,CB1684,IF(LEFT(Cockpit!$O$5,1)="B",AZ1684,MAX(AZ1684,H1684))))</f>
        <v>6</v>
      </c>
      <c r="AW1684" s="57" t="n">
        <f aca="false">IF(BT1684=1,0,ROUNDUP(AV1684/BS1684,0))</f>
        <v>1</v>
      </c>
      <c r="AX1684" s="59" t="n">
        <f aca="false">IF(CH1684&gt;0,CH1684*MAX(1,AV1684/X1684),IF(BT1684=1,IF(AV1684&lt;=0,0,BW1684*MAX(1,IF(H1684&gt;0,AV1684/H1684,1))),IF(R1684&gt;0,AW1684/R1684,0))/MAX(0.1,N(Parameter!$M$21)))</f>
        <v>0.0833333333333333</v>
      </c>
      <c r="AY1684" s="57" t="n">
        <f aca="false">AV1684*G1684</f>
        <v>1080</v>
      </c>
      <c r="AZ1684" s="57" t="n">
        <f aca="false">ROUNDUP(MAX(J1684/IF(BZ1684&gt;0,BZ1684,MAX(0.1,N(Cockpit!$O$6))),CC1684)/BS1684,0)*BS1684</f>
        <v>6</v>
      </c>
      <c r="BA1684" s="58" t="n">
        <f aca="false">IF(AX1684&gt;0,J1684/AX1684,-1)</f>
        <v>0</v>
      </c>
      <c r="BB1684" s="58" t="n">
        <f aca="false">IF(AND(OR(BY1684="L1",BY1684="L23"),AX1684&gt;0),SUMIFS($AX$7:$AX$1843,$BY$7:$BY$1843,BY1684,$BA$7:$BA$1843,"&gt;"&amp;BA1684)+SUMIFS($AX$7:$AX$1843,$BY$7:$BY$1843,BY1684,$BA$7:$BA$1843,BA1684,$BQ$7:$BQ$1843,"&lt;="&amp;BQ1684),"")</f>
        <v>131.769070301679</v>
      </c>
      <c r="BC1684" s="65" t="n">
        <f aca="false">IF(BB1684="",0,MAX(0,MIN(1,(IF(BY1684="L1",Parameter!$E$5,Parameter!$E$6+Parameter!$E$7)-(BB1684-AX1684))/AX1684)))</f>
        <v>0</v>
      </c>
      <c r="BD1684" s="55" t="str">
        <f aca="false">IF(AH1684&lt;=0,"",IF(BY1684="Aussen","Aussenlager",IF(BY1684="-","Nicht im Lift",IF(AM1684&gt;=1,"Lift",IF(AM1684&lt;=0,"Aussenlager","teilweise")))))</f>
        <v>Lift</v>
      </c>
      <c r="BE1684" s="55" t="str">
        <f aca="false">IF(AP1684&lt;=0,"",IF(BY1684="Aussen","Aussenlager",IF(BY1684="-","Nicht im Lift",IF(AU1684&gt;=1,"Lift",IF(AU1684&lt;=0,"Aussenlager","teilweise")))))</f>
        <v>Aussenlager</v>
      </c>
      <c r="BF1684" s="55" t="str">
        <f aca="false">IF(AX1684&lt;=0,"",IF(BY1684="Aussen","Aussenlager",IF(BY1684="-","Nicht im Lift",IF(BC1684&gt;=1,"Lift",IF(BC1684&lt;=0,"Aussenlager","teilweise")))))</f>
        <v>Aussenlager</v>
      </c>
      <c r="BG1684" s="55" t="str">
        <f aca="false">IF(A1684="","",IF(BP1684=1,"Neu; ","")&amp;IF(AND(BP1684=0,BK1684&lt;0),"negativer Bestand (Export "&amp;BK1684&amp;"); ","")&amp;IF(J1684&lt;=0,"Kein Verbrauch; ","")&amp;IF(CH1684&gt;0,"Lift "&amp;W1684&amp;" lt. Liftbericht (Fach "&amp;X1684&amp;" Stk); ",IF(BU1684=1,"Gebinde geschätzt ("&amp;T1684&amp;"); ",IF(BT1684=1,"Lose – Tablare geschätzt; ","")))&amp;IF(H1684&gt;AR1684,"Überbestand "&amp;ROUND(H1684-AR1684,0)&amp;" Stk / CHF "&amp;ROUND((H1684-AR1684)*G1684,0)&amp;"; ","")&amp;IF(AND(CA1684=1,CB1684&lt;CC1684),"MAX &lt; MB+LG; ","")&amp;IF(AND(CG1684&gt;0,CF1684*10&gt;CG1684),"zu hoch für Tablar; ","")&amp;IF(AND(BP1684=0,OR(CA1684=1,AA1684&lt;&gt;"",U1684&lt;&gt;"",V1684&lt;&gt;"",AB1684&lt;&gt;"")),"manuell übersteuert; ","")&amp;IF(AND(BT1684=0,R1684=0),"Gebinde unbekannt / Stellmass fehlt; ","")&amp;IF(AND(BT1684=0,N(V1684)&lt;=0,N(Q1684)&lt;=0),"Menge pro Gebinde fehlt (Ist = 1 Gebinde); ","")&amp;BO1684)</f>
        <v>Kein Verbrauch; nur im Artikelstamm (Bestand 23.06.2026); Neuer Art.</v>
      </c>
      <c r="BH1684" s="55"/>
      <c r="BI1684" s="55"/>
      <c r="BJ1684" s="62"/>
      <c r="BK1684" s="57" t="n">
        <v>6</v>
      </c>
      <c r="BL1684" s="57" t="n">
        <v>0</v>
      </c>
      <c r="BM1684" s="56" t="n">
        <v>0</v>
      </c>
      <c r="BN1684" s="57" t="n">
        <v>0</v>
      </c>
      <c r="BO1684" s="55" t="s">
        <v>2873</v>
      </c>
      <c r="BP1684" s="60" t="n">
        <v>0</v>
      </c>
      <c r="BQ1684" s="60" t="n">
        <v>1684</v>
      </c>
      <c r="BR1684" s="55" t="str">
        <f aca="false">IF(U1684&lt;&gt;"",UPPER(TRIM(U1684)),IF(BU1684=1,UPPER(VLOOKUP(T1684,Parameter!$I$27:$K$29,2,0)),IF(P1684="","LOSE",P1684)))</f>
        <v>S61</v>
      </c>
      <c r="BS1684" s="57" t="n">
        <f aca="false">IF(BR1684="LOSE",1,IF(N(V1684)&gt;0,V1684,IF(BU1684=1,MAX(1,N(VLOOKUP(T1684,Parameter!$I$27:$K$29,3,0)),H1684,N(N1684)),IF(N(Q1684)&gt;0,Q1684,MAX(1,H1684)))))</f>
        <v>6</v>
      </c>
      <c r="BT1684" s="60" t="n">
        <f aca="false">IF(BR1684="LOSE",1,0)</f>
        <v>0</v>
      </c>
      <c r="BU1684" s="60" t="n">
        <f aca="false">IF(AND(U1684="",OR(P1684="",P1684="LOSE"),T1684&lt;&gt;"",N(S1684)&lt;=0,ISNUMBER(MATCH(T1684,Parameter!$I$27:$I$29,0))),1,0)</f>
        <v>0</v>
      </c>
      <c r="BV1684" s="55" t="str">
        <f aca="false">IF(AND(Parameter!$B$19="Ja",E1684&lt;&gt;"",ISNUMBER(MATCH(E1684,Parameter!$I$35:$I$52,0))),VLOOKUP(E1684,Parameter!$I$35:$J$52,2,0),IFERROR(VLOOKUP(D1684,Parameter!$A$35:$C$64,2,0),"Nein"))</f>
        <v>2+3</v>
      </c>
      <c r="BW1684" s="59" t="n">
        <f aca="false">IF(BT1684=0,0,IF(N(S1684)&gt;0,S1684,IFERROR(VLOOKUP(D1684,Parameter!$A$35:$C$64,3,0)+0,0)))</f>
        <v>0</v>
      </c>
      <c r="BX1684" s="55" t="n">
        <f aca="false">IF(AA1684&lt;&gt;"",AA1684,Z1684)</f>
        <v>2</v>
      </c>
      <c r="BY1684" s="55" t="str">
        <f aca="false">IF(BX1684=1,"L1",IF(OR(BX1684=2,BX1684=3),"L23",IF(BX1684="Aussen","Aussen","-")))</f>
        <v>L23</v>
      </c>
      <c r="BZ1684" s="66" t="n">
        <f aca="false">IF(N(AB1684)&gt;0,AB1684,0)</f>
        <v>0</v>
      </c>
      <c r="CA1684" s="60" t="n">
        <f aca="false">IF(ISNUMBER(AE1684),1,0)</f>
        <v>0</v>
      </c>
      <c r="CB1684" s="57" t="n">
        <f aca="false">N(AE1684)</f>
        <v>0</v>
      </c>
      <c r="CC1684" s="57" t="n">
        <f aca="false">N(M1684)+N(N1684)</f>
        <v>6</v>
      </c>
      <c r="CD1684" s="57" t="n">
        <f aca="false">ROUNDUP(H1684/BS1684,0)</f>
        <v>1</v>
      </c>
      <c r="CE1684" s="57" t="n">
        <f aca="false">ROUNDUP(CB1684/BS1684,0)</f>
        <v>0</v>
      </c>
      <c r="CF1684" s="60" t="n">
        <f aca="false">IF(BT1684=1,0,IFERROR(VLOOKUP(BR1684,'Gebinde-Kategorie'!$A$5:$M$45,5,0)+0,0))</f>
        <v>11</v>
      </c>
      <c r="CG1684" s="60" t="n">
        <f aca="false">IFERROR(IF(OR(BX1684=1,BX1684=2,BX1684=3),N(INDEX(Parameter!$I$5:$I$7,BX1684)),0),0)</f>
        <v>0</v>
      </c>
      <c r="CH1684" s="59" t="n">
        <f aca="false">IF(AND(Parameter!$B$21="Ja",ISNUMBER(W1684),N(X1684)&gt;0),IFERROR(N(INDEX(Parameter!$L$5:$L$7,W1684))*INDEX(Parameter!$E$5:$E$7,W1684)*X1684/SUMIFS($X$7:$X$1843,$W$7:$W$1843,W1684),0),0)</f>
        <v>0</v>
      </c>
    </row>
    <row r="1685" customFormat="false" ht="15" hidden="false" customHeight="false" outlineLevel="0" collapsed="false">
      <c r="A1685" s="55" t="s">
        <v>2918</v>
      </c>
      <c r="B1685" s="55" t="s">
        <v>2919</v>
      </c>
      <c r="C1685" s="55" t="s">
        <v>164</v>
      </c>
      <c r="D1685" s="55" t="s">
        <v>173</v>
      </c>
      <c r="E1685" s="55"/>
      <c r="F1685" s="55"/>
      <c r="G1685" s="56" t="n">
        <v>95.8</v>
      </c>
      <c r="H1685" s="57" t="n">
        <f aca="false">MAX(0,IF(AND(Parameter!$B$21="Ja",ISNUMBER(Y1685)),Y1685,IF(Parameter!$B$20="Jahresanfang 2025 + Export",BL1685+BK1685,BK1685)))</f>
        <v>5</v>
      </c>
      <c r="I1685" s="57" t="n">
        <f aca="false">H1685*G1685</f>
        <v>479</v>
      </c>
      <c r="J1685" s="57" t="n">
        <f aca="false">BN1685*Parameter!$B$18</f>
        <v>0</v>
      </c>
      <c r="K1685" s="58"/>
      <c r="L1685" s="59"/>
      <c r="M1685" s="57" t="n">
        <v>0</v>
      </c>
      <c r="N1685" s="57" t="n">
        <v>5</v>
      </c>
      <c r="O1685" s="60" t="n">
        <v>21</v>
      </c>
      <c r="P1685" s="55" t="s">
        <v>186</v>
      </c>
      <c r="Q1685" s="57" t="n">
        <v>5</v>
      </c>
      <c r="R1685" s="60" t="n">
        <f aca="false">IF(BT1685=1,0,IFERROR(VLOOKUP(BR1685,'Gebinde-Kategorie'!$A$5:$M$45,13,0)+0,0))</f>
        <v>12</v>
      </c>
      <c r="S1685" s="61"/>
      <c r="T1685" s="62"/>
      <c r="U1685" s="62"/>
      <c r="V1685" s="62"/>
      <c r="W1685" s="55"/>
      <c r="X1685" s="57"/>
      <c r="Y1685" s="57"/>
      <c r="Z1685" s="55" t="n">
        <f aca="false">IF(A1685="","",IF(AND(Parameter!$B$21="Ja",ISNUMBER(W1685)),W1685,IF(BV1685="2+3",IF(ISNUMBER(SEARCH("grosser Artikel",BO1685)),2,IFERROR(VLOOKUP(BR1685,Parameter!$F$35:$G$64,2,0),2)),IF(OR(BV1685="Nein",BV1685=""),"-",BV1685))))</f>
        <v>2</v>
      </c>
      <c r="AA1685" s="62"/>
      <c r="AB1685" s="63"/>
      <c r="AC1685" s="57" t="n">
        <f aca="false">AR1685</f>
        <v>5</v>
      </c>
      <c r="AD1685" s="57" t="n">
        <f aca="false">MAX(AR1685,H1685)</f>
        <v>5</v>
      </c>
      <c r="AE1685" s="64"/>
      <c r="AF1685" s="57" t="n">
        <f aca="false">IF(LEFT(Cockpit!$C$5,1)="A",H1685,IF(CA1685=1,CB1685,IF(LEFT(Cockpit!$C$5,1)="B",AJ1685,MAX(AJ1685,H1685))))</f>
        <v>5</v>
      </c>
      <c r="AG1685" s="57" t="n">
        <f aca="false">IF(BT1685=1,0,ROUNDUP(AF1685/BS1685,0))</f>
        <v>1</v>
      </c>
      <c r="AH1685" s="59" t="n">
        <f aca="false">IF(CH1685&gt;0,CH1685*MAX(1,AF1685/X1685),IF(BT1685=1,IF(AF1685&lt;=0,0,BW1685*MAX(1,IF(H1685&gt;0,AF1685/H1685,1))),IF(R1685&gt;0,AG1685/R1685,0))/MAX(0.1,N(Parameter!$M$21)))</f>
        <v>0.0833333333333333</v>
      </c>
      <c r="AI1685" s="57" t="n">
        <f aca="false">AF1685*G1685</f>
        <v>479</v>
      </c>
      <c r="AJ1685" s="57" t="n">
        <f aca="false">ROUNDUP(MAX(J1685/IF(BZ1685&gt;0,BZ1685,MAX(0.1,N(Cockpit!$C$6))),CC1685)/BS1685,0)*BS1685</f>
        <v>5</v>
      </c>
      <c r="AK1685" s="58" t="n">
        <f aca="false">IF(AH1685&gt;0,J1685/AH1685,-1)</f>
        <v>0</v>
      </c>
      <c r="AL1685" s="58" t="n">
        <f aca="false">IF(AND(OR(BY1685="L1",BY1685="L23"),AH1685&gt;0),SUMIFS($AH$7:$AH$1843,$BY$7:$BY$1843,BY1685,$AK$7:$AK$1843,"&gt;"&amp;AK1685)+SUMIFS($AH$7:$AH$1843,$BY$7:$BY$1843,BY1685,$AK$7:$AK$1843,AK1685,$BQ$7:$BQ$1843,"&lt;="&amp;BQ1685),"")</f>
        <v>95.7704300530388</v>
      </c>
      <c r="AM1685" s="65" t="n">
        <f aca="false">IF(AL1685="",0,MAX(0,MIN(1,(IF(BY1685="L1",Parameter!$E$5,Parameter!$E$6+Parameter!$E$7)-(AL1685-AH1685))/AH1685)))</f>
        <v>1</v>
      </c>
      <c r="AN1685" s="57" t="n">
        <f aca="false">IF(LEFT(Cockpit!$I$5,1)="A",H1685,IF(CA1685=1,CB1685,IF(LEFT(Cockpit!$I$5,1)="B",AR1685,MAX(AR1685,H1685))))</f>
        <v>5</v>
      </c>
      <c r="AO1685" s="57" t="n">
        <f aca="false">IF(BT1685=1,0,ROUNDUP(AN1685/BS1685,0))</f>
        <v>1</v>
      </c>
      <c r="AP1685" s="59" t="n">
        <f aca="false">IF(CH1685&gt;0,CH1685*MAX(1,AN1685/X1685),IF(BT1685=1,IF(AN1685&lt;=0,0,BW1685*MAX(1,IF(H1685&gt;0,AN1685/H1685,1))),IF(R1685&gt;0,AO1685/R1685,0))/MAX(0.1,N(Parameter!$M$21)))</f>
        <v>0.0833333333333333</v>
      </c>
      <c r="AQ1685" s="57" t="n">
        <f aca="false">AN1685*G1685</f>
        <v>479</v>
      </c>
      <c r="AR1685" s="57" t="n">
        <f aca="false">ROUNDUP(MAX(J1685/IF(BZ1685&gt;0,BZ1685,MAX(0.1,N(Cockpit!$I$6))),CC1685)/BS1685,0)*BS1685</f>
        <v>5</v>
      </c>
      <c r="AS1685" s="58" t="n">
        <f aca="false">IF(AP1685&gt;0,J1685/AP1685,-1)</f>
        <v>0</v>
      </c>
      <c r="AT1685" s="58" t="n">
        <f aca="false">IF(AND(OR(BY1685="L1",BY1685="L23"),AP1685&gt;0),SUMIFS($AP$7:$AP$1843,$BY$7:$BY$1843,BY1685,$AS$7:$AS$1843,"&gt;"&amp;AS1685)+SUMIFS($AP$7:$AP$1843,$BY$7:$BY$1843,BY1685,$AS$7:$AS$1843,AS1685,$BQ$7:$BQ$1843,"&lt;="&amp;BQ1685),"")</f>
        <v>141.022566805176</v>
      </c>
      <c r="AU1685" s="65" t="n">
        <f aca="false">IF(AT1685="",0,MAX(0,MIN(1,(IF(BY1685="L1",Parameter!$E$5,Parameter!$E$6+Parameter!$E$7)-(AT1685-AP1685))/AP1685)))</f>
        <v>0</v>
      </c>
      <c r="AV1685" s="57" t="n">
        <f aca="false">IF(LEFT(Cockpit!$O$5,1)="A",H1685,IF(CA1685=1,CB1685,IF(LEFT(Cockpit!$O$5,1)="B",AZ1685,MAX(AZ1685,H1685))))</f>
        <v>5</v>
      </c>
      <c r="AW1685" s="57" t="n">
        <f aca="false">IF(BT1685=1,0,ROUNDUP(AV1685/BS1685,0))</f>
        <v>1</v>
      </c>
      <c r="AX1685" s="59" t="n">
        <f aca="false">IF(CH1685&gt;0,CH1685*MAX(1,AV1685/X1685),IF(BT1685=1,IF(AV1685&lt;=0,0,BW1685*MAX(1,IF(H1685&gt;0,AV1685/H1685,1))),IF(R1685&gt;0,AW1685/R1685,0))/MAX(0.1,N(Parameter!$M$21)))</f>
        <v>0.0833333333333333</v>
      </c>
      <c r="AY1685" s="57" t="n">
        <f aca="false">AV1685*G1685</f>
        <v>479</v>
      </c>
      <c r="AZ1685" s="57" t="n">
        <f aca="false">ROUNDUP(MAX(J1685/IF(BZ1685&gt;0,BZ1685,MAX(0.1,N(Cockpit!$O$6))),CC1685)/BS1685,0)*BS1685</f>
        <v>5</v>
      </c>
      <c r="BA1685" s="58" t="n">
        <f aca="false">IF(AX1685&gt;0,J1685/AX1685,-1)</f>
        <v>0</v>
      </c>
      <c r="BB1685" s="58" t="n">
        <f aca="false">IF(AND(OR(BY1685="L1",BY1685="L23"),AX1685&gt;0),SUMIFS($AX$7:$AX$1843,$BY$7:$BY$1843,BY1685,$BA$7:$BA$1843,"&gt;"&amp;BA1685)+SUMIFS($AX$7:$AX$1843,$BY$7:$BY$1843,BY1685,$BA$7:$BA$1843,BA1685,$BQ$7:$BQ$1843,"&lt;="&amp;BQ1685),"")</f>
        <v>131.852403635012</v>
      </c>
      <c r="BC1685" s="65" t="n">
        <f aca="false">IF(BB1685="",0,MAX(0,MIN(1,(IF(BY1685="L1",Parameter!$E$5,Parameter!$E$6+Parameter!$E$7)-(BB1685-AX1685))/AX1685)))</f>
        <v>0</v>
      </c>
      <c r="BD1685" s="55" t="str">
        <f aca="false">IF(AH1685&lt;=0,"",IF(BY1685="Aussen","Aussenlager",IF(BY1685="-","Nicht im Lift",IF(AM1685&gt;=1,"Lift",IF(AM1685&lt;=0,"Aussenlager","teilweise")))))</f>
        <v>Lift</v>
      </c>
      <c r="BE1685" s="55" t="str">
        <f aca="false">IF(AP1685&lt;=0,"",IF(BY1685="Aussen","Aussenlager",IF(BY1685="-","Nicht im Lift",IF(AU1685&gt;=1,"Lift",IF(AU1685&lt;=0,"Aussenlager","teilweise")))))</f>
        <v>Aussenlager</v>
      </c>
      <c r="BF1685" s="55" t="str">
        <f aca="false">IF(AX1685&lt;=0,"",IF(BY1685="Aussen","Aussenlager",IF(BY1685="-","Nicht im Lift",IF(BC1685&gt;=1,"Lift",IF(BC1685&lt;=0,"Aussenlager","teilweise")))))</f>
        <v>Aussenlager</v>
      </c>
      <c r="BG1685" s="55" t="str">
        <f aca="false">IF(A1685="","",IF(BP1685=1,"Neu; ","")&amp;IF(AND(BP1685=0,BK1685&lt;0),"negativer Bestand (Export "&amp;BK1685&amp;"); ","")&amp;IF(J1685&lt;=0,"Kein Verbrauch; ","")&amp;IF(CH1685&gt;0,"Lift "&amp;W1685&amp;" lt. Liftbericht (Fach "&amp;X1685&amp;" Stk); ",IF(BU1685=1,"Gebinde geschätzt ("&amp;T1685&amp;"); ",IF(BT1685=1,"Lose – Tablare geschätzt; ","")))&amp;IF(H1685&gt;AR1685,"Überbestand "&amp;ROUND(H1685-AR1685,0)&amp;" Stk / CHF "&amp;ROUND((H1685-AR1685)*G1685,0)&amp;"; ","")&amp;IF(AND(CA1685=1,CB1685&lt;CC1685),"MAX &lt; MB+LG; ","")&amp;IF(AND(CG1685&gt;0,CF1685*10&gt;CG1685),"zu hoch für Tablar; ","")&amp;IF(AND(BP1685=0,OR(CA1685=1,AA1685&lt;&gt;"",U1685&lt;&gt;"",V1685&lt;&gt;"",AB1685&lt;&gt;"")),"manuell übersteuert; ","")&amp;IF(AND(BT1685=0,R1685=0),"Gebinde unbekannt / Stellmass fehlt; ","")&amp;IF(AND(BT1685=0,N(V1685)&lt;=0,N(Q1685)&lt;=0),"Menge pro Gebinde fehlt (Ist = 1 Gebinde); ","")&amp;BO1685)</f>
        <v>Kein Verbrauch; nur im Artikelstamm (Bestand 23.06.2026)</v>
      </c>
      <c r="BH1685" s="55"/>
      <c r="BI1685" s="55"/>
      <c r="BJ1685" s="62"/>
      <c r="BK1685" s="57" t="n">
        <v>5</v>
      </c>
      <c r="BL1685" s="57" t="n">
        <v>0</v>
      </c>
      <c r="BM1685" s="56" t="n">
        <v>0</v>
      </c>
      <c r="BN1685" s="57" t="n">
        <v>0</v>
      </c>
      <c r="BO1685" s="55" t="s">
        <v>2575</v>
      </c>
      <c r="BP1685" s="60" t="n">
        <v>0</v>
      </c>
      <c r="BQ1685" s="60" t="n">
        <v>1685</v>
      </c>
      <c r="BR1685" s="55" t="str">
        <f aca="false">IF(U1685&lt;&gt;"",UPPER(TRIM(U1685)),IF(BU1685=1,UPPER(VLOOKUP(T1685,Parameter!$I$27:$K$29,2,0)),IF(P1685="","LOSE",P1685)))</f>
        <v>S61</v>
      </c>
      <c r="BS1685" s="57" t="n">
        <f aca="false">IF(BR1685="LOSE",1,IF(N(V1685)&gt;0,V1685,IF(BU1685=1,MAX(1,N(VLOOKUP(T1685,Parameter!$I$27:$K$29,3,0)),H1685,N(N1685)),IF(N(Q1685)&gt;0,Q1685,MAX(1,H1685)))))</f>
        <v>5</v>
      </c>
      <c r="BT1685" s="60" t="n">
        <f aca="false">IF(BR1685="LOSE",1,0)</f>
        <v>0</v>
      </c>
      <c r="BU1685" s="60" t="n">
        <f aca="false">IF(AND(U1685="",OR(P1685="",P1685="LOSE"),T1685&lt;&gt;"",N(S1685)&lt;=0,ISNUMBER(MATCH(T1685,Parameter!$I$27:$I$29,0))),1,0)</f>
        <v>0</v>
      </c>
      <c r="BV1685" s="55" t="str">
        <f aca="false">IF(AND(Parameter!$B$19="Ja",E1685&lt;&gt;"",ISNUMBER(MATCH(E1685,Parameter!$I$35:$I$52,0))),VLOOKUP(E1685,Parameter!$I$35:$J$52,2,0),IFERROR(VLOOKUP(D1685,Parameter!$A$35:$C$64,2,0),"Nein"))</f>
        <v>2+3</v>
      </c>
      <c r="BW1685" s="59" t="n">
        <f aca="false">IF(BT1685=0,0,IF(N(S1685)&gt;0,S1685,IFERROR(VLOOKUP(D1685,Parameter!$A$35:$C$64,3,0)+0,0)))</f>
        <v>0</v>
      </c>
      <c r="BX1685" s="55" t="n">
        <f aca="false">IF(AA1685&lt;&gt;"",AA1685,Z1685)</f>
        <v>2</v>
      </c>
      <c r="BY1685" s="55" t="str">
        <f aca="false">IF(BX1685=1,"L1",IF(OR(BX1685=2,BX1685=3),"L23",IF(BX1685="Aussen","Aussen","-")))</f>
        <v>L23</v>
      </c>
      <c r="BZ1685" s="66" t="n">
        <f aca="false">IF(N(AB1685)&gt;0,AB1685,0)</f>
        <v>0</v>
      </c>
      <c r="CA1685" s="60" t="n">
        <f aca="false">IF(ISNUMBER(AE1685),1,0)</f>
        <v>0</v>
      </c>
      <c r="CB1685" s="57" t="n">
        <f aca="false">N(AE1685)</f>
        <v>0</v>
      </c>
      <c r="CC1685" s="57" t="n">
        <f aca="false">N(M1685)+N(N1685)</f>
        <v>5</v>
      </c>
      <c r="CD1685" s="57" t="n">
        <f aca="false">ROUNDUP(H1685/BS1685,0)</f>
        <v>1</v>
      </c>
      <c r="CE1685" s="57" t="n">
        <f aca="false">ROUNDUP(CB1685/BS1685,0)</f>
        <v>0</v>
      </c>
      <c r="CF1685" s="60" t="n">
        <f aca="false">IF(BT1685=1,0,IFERROR(VLOOKUP(BR1685,'Gebinde-Kategorie'!$A$5:$M$45,5,0)+0,0))</f>
        <v>11</v>
      </c>
      <c r="CG1685" s="60" t="n">
        <f aca="false">IFERROR(IF(OR(BX1685=1,BX1685=2,BX1685=3),N(INDEX(Parameter!$I$5:$I$7,BX1685)),0),0)</f>
        <v>0</v>
      </c>
      <c r="CH1685" s="59" t="n">
        <f aca="false">IF(AND(Parameter!$B$21="Ja",ISNUMBER(W1685),N(X1685)&gt;0),IFERROR(N(INDEX(Parameter!$L$5:$L$7,W1685))*INDEX(Parameter!$E$5:$E$7,W1685)*X1685/SUMIFS($X$7:$X$1843,$W$7:$W$1843,W1685),0),0)</f>
        <v>0</v>
      </c>
    </row>
    <row r="1686" customFormat="false" ht="15" hidden="false" customHeight="false" outlineLevel="0" collapsed="false">
      <c r="A1686" s="55" t="s">
        <v>2920</v>
      </c>
      <c r="B1686" s="55" t="s">
        <v>2921</v>
      </c>
      <c r="C1686" s="55" t="s">
        <v>164</v>
      </c>
      <c r="D1686" s="55" t="s">
        <v>184</v>
      </c>
      <c r="E1686" s="55"/>
      <c r="F1686" s="55"/>
      <c r="G1686" s="56" t="n">
        <v>198.07</v>
      </c>
      <c r="H1686" s="57" t="n">
        <f aca="false">MAX(0,IF(AND(Parameter!$B$21="Ja",ISNUMBER(Y1686)),Y1686,IF(Parameter!$B$20="Jahresanfang 2025 + Export",BL1686+BK1686,BK1686)))</f>
        <v>3</v>
      </c>
      <c r="I1686" s="57" t="n">
        <f aca="false">H1686*G1686</f>
        <v>594.21</v>
      </c>
      <c r="J1686" s="57" t="n">
        <f aca="false">BN1686*Parameter!$B$18</f>
        <v>0</v>
      </c>
      <c r="K1686" s="58"/>
      <c r="L1686" s="59"/>
      <c r="M1686" s="57" t="n">
        <v>0</v>
      </c>
      <c r="N1686" s="57" t="n">
        <v>2</v>
      </c>
      <c r="O1686" s="60" t="n">
        <v>21</v>
      </c>
      <c r="P1686" s="55" t="s">
        <v>186</v>
      </c>
      <c r="Q1686" s="57" t="n">
        <v>5</v>
      </c>
      <c r="R1686" s="60" t="n">
        <f aca="false">IF(BT1686=1,0,IFERROR(VLOOKUP(BR1686,'Gebinde-Kategorie'!$A$5:$M$45,13,0)+0,0))</f>
        <v>12</v>
      </c>
      <c r="S1686" s="61"/>
      <c r="T1686" s="62"/>
      <c r="U1686" s="62"/>
      <c r="V1686" s="62"/>
      <c r="W1686" s="55"/>
      <c r="X1686" s="57"/>
      <c r="Y1686" s="57"/>
      <c r="Z1686" s="55" t="n">
        <f aca="false">IF(A1686="","",IF(AND(Parameter!$B$21="Ja",ISNUMBER(W1686)),W1686,IF(BV1686="2+3",IF(ISNUMBER(SEARCH("grosser Artikel",BO1686)),2,IFERROR(VLOOKUP(BR1686,Parameter!$F$35:$G$64,2,0),2)),IF(OR(BV1686="Nein",BV1686=""),"-",BV1686))))</f>
        <v>2</v>
      </c>
      <c r="AA1686" s="62"/>
      <c r="AB1686" s="63"/>
      <c r="AC1686" s="57" t="n">
        <f aca="false">AR1686</f>
        <v>5</v>
      </c>
      <c r="AD1686" s="57" t="n">
        <f aca="false">MAX(AR1686,H1686)</f>
        <v>5</v>
      </c>
      <c r="AE1686" s="64"/>
      <c r="AF1686" s="57" t="n">
        <f aca="false">IF(LEFT(Cockpit!$C$5,1)="A",H1686,IF(CA1686=1,CB1686,IF(LEFT(Cockpit!$C$5,1)="B",AJ1686,MAX(AJ1686,H1686))))</f>
        <v>3</v>
      </c>
      <c r="AG1686" s="57" t="n">
        <f aca="false">IF(BT1686=1,0,ROUNDUP(AF1686/BS1686,0))</f>
        <v>1</v>
      </c>
      <c r="AH1686" s="59" t="n">
        <f aca="false">IF(CH1686&gt;0,CH1686*MAX(1,AF1686/X1686),IF(BT1686=1,IF(AF1686&lt;=0,0,BW1686*MAX(1,IF(H1686&gt;0,AF1686/H1686,1))),IF(R1686&gt;0,AG1686/R1686,0))/MAX(0.1,N(Parameter!$M$21)))</f>
        <v>0.0833333333333333</v>
      </c>
      <c r="AI1686" s="57" t="n">
        <f aca="false">AF1686*G1686</f>
        <v>594.21</v>
      </c>
      <c r="AJ1686" s="57" t="n">
        <f aca="false">ROUNDUP(MAX(J1686/IF(BZ1686&gt;0,BZ1686,MAX(0.1,N(Cockpit!$C$6))),CC1686)/BS1686,0)*BS1686</f>
        <v>5</v>
      </c>
      <c r="AK1686" s="58" t="n">
        <f aca="false">IF(AH1686&gt;0,J1686/AH1686,-1)</f>
        <v>0</v>
      </c>
      <c r="AL1686" s="58" t="n">
        <f aca="false">IF(AND(OR(BY1686="L1",BY1686="L23"),AH1686&gt;0),SUMIFS($AH$7:$AH$1843,$BY$7:$BY$1843,BY1686,$AK$7:$AK$1843,"&gt;"&amp;AK1686)+SUMIFS($AH$7:$AH$1843,$BY$7:$BY$1843,BY1686,$AK$7:$AK$1843,AK1686,$BQ$7:$BQ$1843,"&lt;="&amp;BQ1686),"")</f>
        <v>95.8537633863721</v>
      </c>
      <c r="AM1686" s="65" t="n">
        <f aca="false">IF(AL1686="",0,MAX(0,MIN(1,(IF(BY1686="L1",Parameter!$E$5,Parameter!$E$6+Parameter!$E$7)-(AL1686-AH1686))/AH1686)))</f>
        <v>1</v>
      </c>
      <c r="AN1686" s="57" t="n">
        <f aca="false">IF(LEFT(Cockpit!$I$5,1)="A",H1686,IF(CA1686=1,CB1686,IF(LEFT(Cockpit!$I$5,1)="B",AR1686,MAX(AR1686,H1686))))</f>
        <v>5</v>
      </c>
      <c r="AO1686" s="57" t="n">
        <f aca="false">IF(BT1686=1,0,ROUNDUP(AN1686/BS1686,0))</f>
        <v>1</v>
      </c>
      <c r="AP1686" s="59" t="n">
        <f aca="false">IF(CH1686&gt;0,CH1686*MAX(1,AN1686/X1686),IF(BT1686=1,IF(AN1686&lt;=0,0,BW1686*MAX(1,IF(H1686&gt;0,AN1686/H1686,1))),IF(R1686&gt;0,AO1686/R1686,0))/MAX(0.1,N(Parameter!$M$21)))</f>
        <v>0.0833333333333333</v>
      </c>
      <c r="AQ1686" s="57" t="n">
        <f aca="false">AN1686*G1686</f>
        <v>990.35</v>
      </c>
      <c r="AR1686" s="57" t="n">
        <f aca="false">ROUNDUP(MAX(J1686/IF(BZ1686&gt;0,BZ1686,MAX(0.1,N(Cockpit!$I$6))),CC1686)/BS1686,0)*BS1686</f>
        <v>5</v>
      </c>
      <c r="AS1686" s="58" t="n">
        <f aca="false">IF(AP1686&gt;0,J1686/AP1686,-1)</f>
        <v>0</v>
      </c>
      <c r="AT1686" s="58" t="n">
        <f aca="false">IF(AND(OR(BY1686="L1",BY1686="L23"),AP1686&gt;0),SUMIFS($AP$7:$AP$1843,$BY$7:$BY$1843,BY1686,$AS$7:$AS$1843,"&gt;"&amp;AS1686)+SUMIFS($AP$7:$AP$1843,$BY$7:$BY$1843,BY1686,$AS$7:$AS$1843,AS1686,$BQ$7:$BQ$1843,"&lt;="&amp;BQ1686),"")</f>
        <v>141.105900138509</v>
      </c>
      <c r="AU1686" s="65" t="n">
        <f aca="false">IF(AT1686="",0,MAX(0,MIN(1,(IF(BY1686="L1",Parameter!$E$5,Parameter!$E$6+Parameter!$E$7)-(AT1686-AP1686))/AP1686)))</f>
        <v>0</v>
      </c>
      <c r="AV1686" s="57" t="n">
        <f aca="false">IF(LEFT(Cockpit!$O$5,1)="A",H1686,IF(CA1686=1,CB1686,IF(LEFT(Cockpit!$O$5,1)="B",AZ1686,MAX(AZ1686,H1686))))</f>
        <v>5</v>
      </c>
      <c r="AW1686" s="57" t="n">
        <f aca="false">IF(BT1686=1,0,ROUNDUP(AV1686/BS1686,0))</f>
        <v>1</v>
      </c>
      <c r="AX1686" s="59" t="n">
        <f aca="false">IF(CH1686&gt;0,CH1686*MAX(1,AV1686/X1686),IF(BT1686=1,IF(AV1686&lt;=0,0,BW1686*MAX(1,IF(H1686&gt;0,AV1686/H1686,1))),IF(R1686&gt;0,AW1686/R1686,0))/MAX(0.1,N(Parameter!$M$21)))</f>
        <v>0.0833333333333333</v>
      </c>
      <c r="AY1686" s="57" t="n">
        <f aca="false">AV1686*G1686</f>
        <v>990.35</v>
      </c>
      <c r="AZ1686" s="57" t="n">
        <f aca="false">ROUNDUP(MAX(J1686/IF(BZ1686&gt;0,BZ1686,MAX(0.1,N(Cockpit!$O$6))),CC1686)/BS1686,0)*BS1686</f>
        <v>5</v>
      </c>
      <c r="BA1686" s="58" t="n">
        <f aca="false">IF(AX1686&gt;0,J1686/AX1686,-1)</f>
        <v>0</v>
      </c>
      <c r="BB1686" s="58" t="n">
        <f aca="false">IF(AND(OR(BY1686="L1",BY1686="L23"),AX1686&gt;0),SUMIFS($AX$7:$AX$1843,$BY$7:$BY$1843,BY1686,$BA$7:$BA$1843,"&gt;"&amp;BA1686)+SUMIFS($AX$7:$AX$1843,$BY$7:$BY$1843,BY1686,$BA$7:$BA$1843,BA1686,$BQ$7:$BQ$1843,"&lt;="&amp;BQ1686),"")</f>
        <v>131.935736968346</v>
      </c>
      <c r="BC1686" s="65" t="n">
        <f aca="false">IF(BB1686="",0,MAX(0,MIN(1,(IF(BY1686="L1",Parameter!$E$5,Parameter!$E$6+Parameter!$E$7)-(BB1686-AX1686))/AX1686)))</f>
        <v>0</v>
      </c>
      <c r="BD1686" s="55" t="str">
        <f aca="false">IF(AH1686&lt;=0,"",IF(BY1686="Aussen","Aussenlager",IF(BY1686="-","Nicht im Lift",IF(AM1686&gt;=1,"Lift",IF(AM1686&lt;=0,"Aussenlager","teilweise")))))</f>
        <v>Lift</v>
      </c>
      <c r="BE1686" s="55" t="str">
        <f aca="false">IF(AP1686&lt;=0,"",IF(BY1686="Aussen","Aussenlager",IF(BY1686="-","Nicht im Lift",IF(AU1686&gt;=1,"Lift",IF(AU1686&lt;=0,"Aussenlager","teilweise")))))</f>
        <v>Aussenlager</v>
      </c>
      <c r="BF1686" s="55" t="str">
        <f aca="false">IF(AX1686&lt;=0,"",IF(BY1686="Aussen","Aussenlager",IF(BY1686="-","Nicht im Lift",IF(BC1686&gt;=1,"Lift",IF(BC1686&lt;=0,"Aussenlager","teilweise")))))</f>
        <v>Aussenlager</v>
      </c>
      <c r="BG1686" s="55" t="str">
        <f aca="false">IF(A1686="","",IF(BP1686=1,"Neu; ","")&amp;IF(AND(BP1686=0,BK1686&lt;0),"negativer Bestand (Export "&amp;BK1686&amp;"); ","")&amp;IF(J1686&lt;=0,"Kein Verbrauch; ","")&amp;IF(CH1686&gt;0,"Lift "&amp;W1686&amp;" lt. Liftbericht (Fach "&amp;X1686&amp;" Stk); ",IF(BU1686=1,"Gebinde geschätzt ("&amp;T1686&amp;"); ",IF(BT1686=1,"Lose – Tablare geschätzt; ","")))&amp;IF(H1686&gt;AR1686,"Überbestand "&amp;ROUND(H1686-AR1686,0)&amp;" Stk / CHF "&amp;ROUND((H1686-AR1686)*G1686,0)&amp;"; ","")&amp;IF(AND(CA1686=1,CB1686&lt;CC1686),"MAX &lt; MB+LG; ","")&amp;IF(AND(CG1686&gt;0,CF1686*10&gt;CG1686),"zu hoch für Tablar; ","")&amp;IF(AND(BP1686=0,OR(CA1686=1,AA1686&lt;&gt;"",U1686&lt;&gt;"",V1686&lt;&gt;"",AB1686&lt;&gt;"")),"manuell übersteuert; ","")&amp;IF(AND(BT1686=0,R1686=0),"Gebinde unbekannt / Stellmass fehlt; ","")&amp;IF(AND(BT1686=0,N(V1686)&lt;=0,N(Q1686)&lt;=0),"Menge pro Gebinde fehlt (Ist = 1 Gebinde); ","")&amp;BO1686)</f>
        <v>Kein Verbrauch; nur im Artikelstamm (Bestand 23.06.2026); Neuer Art.</v>
      </c>
      <c r="BH1686" s="55"/>
      <c r="BI1686" s="55"/>
      <c r="BJ1686" s="62"/>
      <c r="BK1686" s="57" t="n">
        <v>3</v>
      </c>
      <c r="BL1686" s="57" t="n">
        <v>0</v>
      </c>
      <c r="BM1686" s="56" t="n">
        <v>0</v>
      </c>
      <c r="BN1686" s="57" t="n">
        <v>0</v>
      </c>
      <c r="BO1686" s="55" t="s">
        <v>2873</v>
      </c>
      <c r="BP1686" s="60" t="n">
        <v>0</v>
      </c>
      <c r="BQ1686" s="60" t="n">
        <v>1686</v>
      </c>
      <c r="BR1686" s="55" t="str">
        <f aca="false">IF(U1686&lt;&gt;"",UPPER(TRIM(U1686)),IF(BU1686=1,UPPER(VLOOKUP(T1686,Parameter!$I$27:$K$29,2,0)),IF(P1686="","LOSE",P1686)))</f>
        <v>S61</v>
      </c>
      <c r="BS1686" s="57" t="n">
        <f aca="false">IF(BR1686="LOSE",1,IF(N(V1686)&gt;0,V1686,IF(BU1686=1,MAX(1,N(VLOOKUP(T1686,Parameter!$I$27:$K$29,3,0)),H1686,N(N1686)),IF(N(Q1686)&gt;0,Q1686,MAX(1,H1686)))))</f>
        <v>5</v>
      </c>
      <c r="BT1686" s="60" t="n">
        <f aca="false">IF(BR1686="LOSE",1,0)</f>
        <v>0</v>
      </c>
      <c r="BU1686" s="60" t="n">
        <f aca="false">IF(AND(U1686="",OR(P1686="",P1686="LOSE"),T1686&lt;&gt;"",N(S1686)&lt;=0,ISNUMBER(MATCH(T1686,Parameter!$I$27:$I$29,0))),1,0)</f>
        <v>0</v>
      </c>
      <c r="BV1686" s="55" t="str">
        <f aca="false">IF(AND(Parameter!$B$19="Ja",E1686&lt;&gt;"",ISNUMBER(MATCH(E1686,Parameter!$I$35:$I$52,0))),VLOOKUP(E1686,Parameter!$I$35:$J$52,2,0),IFERROR(VLOOKUP(D1686,Parameter!$A$35:$C$64,2,0),"Nein"))</f>
        <v>2+3</v>
      </c>
      <c r="BW1686" s="59" t="n">
        <f aca="false">IF(BT1686=0,0,IF(N(S1686)&gt;0,S1686,IFERROR(VLOOKUP(D1686,Parameter!$A$35:$C$64,3,0)+0,0)))</f>
        <v>0</v>
      </c>
      <c r="BX1686" s="55" t="n">
        <f aca="false">IF(AA1686&lt;&gt;"",AA1686,Z1686)</f>
        <v>2</v>
      </c>
      <c r="BY1686" s="55" t="str">
        <f aca="false">IF(BX1686=1,"L1",IF(OR(BX1686=2,BX1686=3),"L23",IF(BX1686="Aussen","Aussen","-")))</f>
        <v>L23</v>
      </c>
      <c r="BZ1686" s="66" t="n">
        <f aca="false">IF(N(AB1686)&gt;0,AB1686,0)</f>
        <v>0</v>
      </c>
      <c r="CA1686" s="60" t="n">
        <f aca="false">IF(ISNUMBER(AE1686),1,0)</f>
        <v>0</v>
      </c>
      <c r="CB1686" s="57" t="n">
        <f aca="false">N(AE1686)</f>
        <v>0</v>
      </c>
      <c r="CC1686" s="57" t="n">
        <f aca="false">N(M1686)+N(N1686)</f>
        <v>2</v>
      </c>
      <c r="CD1686" s="57" t="n">
        <f aca="false">ROUNDUP(H1686/BS1686,0)</f>
        <v>1</v>
      </c>
      <c r="CE1686" s="57" t="n">
        <f aca="false">ROUNDUP(CB1686/BS1686,0)</f>
        <v>0</v>
      </c>
      <c r="CF1686" s="60" t="n">
        <f aca="false">IF(BT1686=1,0,IFERROR(VLOOKUP(BR1686,'Gebinde-Kategorie'!$A$5:$M$45,5,0)+0,0))</f>
        <v>11</v>
      </c>
      <c r="CG1686" s="60" t="n">
        <f aca="false">IFERROR(IF(OR(BX1686=1,BX1686=2,BX1686=3),N(INDEX(Parameter!$I$5:$I$7,BX1686)),0),0)</f>
        <v>0</v>
      </c>
      <c r="CH1686" s="59" t="n">
        <f aca="false">IF(AND(Parameter!$B$21="Ja",ISNUMBER(W1686),N(X1686)&gt;0),IFERROR(N(INDEX(Parameter!$L$5:$L$7,W1686))*INDEX(Parameter!$E$5:$E$7,W1686)*X1686/SUMIFS($X$7:$X$1843,$W$7:$W$1843,W1686),0),0)</f>
        <v>0</v>
      </c>
    </row>
    <row r="1687" customFormat="false" ht="15" hidden="false" customHeight="false" outlineLevel="0" collapsed="false">
      <c r="A1687" s="55" t="s">
        <v>2922</v>
      </c>
      <c r="B1687" s="55" t="s">
        <v>2923</v>
      </c>
      <c r="C1687" s="55" t="s">
        <v>164</v>
      </c>
      <c r="D1687" s="55" t="s">
        <v>173</v>
      </c>
      <c r="E1687" s="55"/>
      <c r="F1687" s="55"/>
      <c r="G1687" s="56" t="n">
        <v>230</v>
      </c>
      <c r="H1687" s="57" t="n">
        <f aca="false">MAX(0,IF(AND(Parameter!$B$21="Ja",ISNUMBER(Y1687)),Y1687,IF(Parameter!$B$20="Jahresanfang 2025 + Export",BL1687+BK1687,BK1687)))</f>
        <v>6</v>
      </c>
      <c r="I1687" s="57" t="n">
        <f aca="false">H1687*G1687</f>
        <v>1380</v>
      </c>
      <c r="J1687" s="57" t="n">
        <f aca="false">BN1687*Parameter!$B$18</f>
        <v>0</v>
      </c>
      <c r="K1687" s="58"/>
      <c r="L1687" s="59"/>
      <c r="M1687" s="57" t="n">
        <v>0</v>
      </c>
      <c r="N1687" s="57" t="n">
        <v>6</v>
      </c>
      <c r="O1687" s="60" t="n">
        <v>49</v>
      </c>
      <c r="P1687" s="55" t="s">
        <v>186</v>
      </c>
      <c r="Q1687" s="57" t="n">
        <v>5</v>
      </c>
      <c r="R1687" s="60" t="n">
        <f aca="false">IF(BT1687=1,0,IFERROR(VLOOKUP(BR1687,'Gebinde-Kategorie'!$A$5:$M$45,13,0)+0,0))</f>
        <v>12</v>
      </c>
      <c r="S1687" s="61"/>
      <c r="T1687" s="62"/>
      <c r="U1687" s="62"/>
      <c r="V1687" s="62"/>
      <c r="W1687" s="55"/>
      <c r="X1687" s="57"/>
      <c r="Y1687" s="57"/>
      <c r="Z1687" s="55" t="n">
        <f aca="false">IF(A1687="","",IF(AND(Parameter!$B$21="Ja",ISNUMBER(W1687)),W1687,IF(BV1687="2+3",IF(ISNUMBER(SEARCH("grosser Artikel",BO1687)),2,IFERROR(VLOOKUP(BR1687,Parameter!$F$35:$G$64,2,0),2)),IF(OR(BV1687="Nein",BV1687=""),"-",BV1687))))</f>
        <v>2</v>
      </c>
      <c r="AA1687" s="62"/>
      <c r="AB1687" s="63"/>
      <c r="AC1687" s="57" t="n">
        <f aca="false">AR1687</f>
        <v>10</v>
      </c>
      <c r="AD1687" s="57" t="n">
        <f aca="false">MAX(AR1687,H1687)</f>
        <v>10</v>
      </c>
      <c r="AE1687" s="64"/>
      <c r="AF1687" s="57" t="n">
        <f aca="false">IF(LEFT(Cockpit!$C$5,1)="A",H1687,IF(CA1687=1,CB1687,IF(LEFT(Cockpit!$C$5,1)="B",AJ1687,MAX(AJ1687,H1687))))</f>
        <v>6</v>
      </c>
      <c r="AG1687" s="57" t="n">
        <f aca="false">IF(BT1687=1,0,ROUNDUP(AF1687/BS1687,0))</f>
        <v>2</v>
      </c>
      <c r="AH1687" s="59" t="n">
        <f aca="false">IF(CH1687&gt;0,CH1687*MAX(1,AF1687/X1687),IF(BT1687=1,IF(AF1687&lt;=0,0,BW1687*MAX(1,IF(H1687&gt;0,AF1687/H1687,1))),IF(R1687&gt;0,AG1687/R1687,0))/MAX(0.1,N(Parameter!$M$21)))</f>
        <v>0.166666666666667</v>
      </c>
      <c r="AI1687" s="57" t="n">
        <f aca="false">AF1687*G1687</f>
        <v>1380</v>
      </c>
      <c r="AJ1687" s="57" t="n">
        <f aca="false">ROUNDUP(MAX(J1687/IF(BZ1687&gt;0,BZ1687,MAX(0.1,N(Cockpit!$C$6))),CC1687)/BS1687,0)*BS1687</f>
        <v>10</v>
      </c>
      <c r="AK1687" s="58" t="n">
        <f aca="false">IF(AH1687&gt;0,J1687/AH1687,-1)</f>
        <v>0</v>
      </c>
      <c r="AL1687" s="58" t="n">
        <f aca="false">IF(AND(OR(BY1687="L1",BY1687="L23"),AH1687&gt;0),SUMIFS($AH$7:$AH$1843,$BY$7:$BY$1843,BY1687,$AK$7:$AK$1843,"&gt;"&amp;AK1687)+SUMIFS($AH$7:$AH$1843,$BY$7:$BY$1843,BY1687,$AK$7:$AK$1843,AK1687,$BQ$7:$BQ$1843,"&lt;="&amp;BQ1687),"")</f>
        <v>96.0204300530388</v>
      </c>
      <c r="AM1687" s="65" t="n">
        <f aca="false">IF(AL1687="",0,MAX(0,MIN(1,(IF(BY1687="L1",Parameter!$E$5,Parameter!$E$6+Parameter!$E$7)-(AL1687-AH1687))/AH1687)))</f>
        <v>1</v>
      </c>
      <c r="AN1687" s="57" t="n">
        <f aca="false">IF(LEFT(Cockpit!$I$5,1)="A",H1687,IF(CA1687=1,CB1687,IF(LEFT(Cockpit!$I$5,1)="B",AR1687,MAX(AR1687,H1687))))</f>
        <v>10</v>
      </c>
      <c r="AO1687" s="57" t="n">
        <f aca="false">IF(BT1687=1,0,ROUNDUP(AN1687/BS1687,0))</f>
        <v>2</v>
      </c>
      <c r="AP1687" s="59" t="n">
        <f aca="false">IF(CH1687&gt;0,CH1687*MAX(1,AN1687/X1687),IF(BT1687=1,IF(AN1687&lt;=0,0,BW1687*MAX(1,IF(H1687&gt;0,AN1687/H1687,1))),IF(R1687&gt;0,AO1687/R1687,0))/MAX(0.1,N(Parameter!$M$21)))</f>
        <v>0.166666666666667</v>
      </c>
      <c r="AQ1687" s="57" t="n">
        <f aca="false">AN1687*G1687</f>
        <v>2300</v>
      </c>
      <c r="AR1687" s="57" t="n">
        <f aca="false">ROUNDUP(MAX(J1687/IF(BZ1687&gt;0,BZ1687,MAX(0.1,N(Cockpit!$I$6))),CC1687)/BS1687,0)*BS1687</f>
        <v>10</v>
      </c>
      <c r="AS1687" s="58" t="n">
        <f aca="false">IF(AP1687&gt;0,J1687/AP1687,-1)</f>
        <v>0</v>
      </c>
      <c r="AT1687" s="58" t="n">
        <f aca="false">IF(AND(OR(BY1687="L1",BY1687="L23"),AP1687&gt;0),SUMIFS($AP$7:$AP$1843,$BY$7:$BY$1843,BY1687,$AS$7:$AS$1843,"&gt;"&amp;AS1687)+SUMIFS($AP$7:$AP$1843,$BY$7:$BY$1843,BY1687,$AS$7:$AS$1843,AS1687,$BQ$7:$BQ$1843,"&lt;="&amp;BQ1687),"")</f>
        <v>141.272566805176</v>
      </c>
      <c r="AU1687" s="65" t="n">
        <f aca="false">IF(AT1687="",0,MAX(0,MIN(1,(IF(BY1687="L1",Parameter!$E$5,Parameter!$E$6+Parameter!$E$7)-(AT1687-AP1687))/AP1687)))</f>
        <v>0</v>
      </c>
      <c r="AV1687" s="57" t="n">
        <f aca="false">IF(LEFT(Cockpit!$O$5,1)="A",H1687,IF(CA1687=1,CB1687,IF(LEFT(Cockpit!$O$5,1)="B",AZ1687,MAX(AZ1687,H1687))))</f>
        <v>10</v>
      </c>
      <c r="AW1687" s="57" t="n">
        <f aca="false">IF(BT1687=1,0,ROUNDUP(AV1687/BS1687,0))</f>
        <v>2</v>
      </c>
      <c r="AX1687" s="59" t="n">
        <f aca="false">IF(CH1687&gt;0,CH1687*MAX(1,AV1687/X1687),IF(BT1687=1,IF(AV1687&lt;=0,0,BW1687*MAX(1,IF(H1687&gt;0,AV1687/H1687,1))),IF(R1687&gt;0,AW1687/R1687,0))/MAX(0.1,N(Parameter!$M$21)))</f>
        <v>0.166666666666667</v>
      </c>
      <c r="AY1687" s="57" t="n">
        <f aca="false">AV1687*G1687</f>
        <v>2300</v>
      </c>
      <c r="AZ1687" s="57" t="n">
        <f aca="false">ROUNDUP(MAX(J1687/IF(BZ1687&gt;0,BZ1687,MAX(0.1,N(Cockpit!$O$6))),CC1687)/BS1687,0)*BS1687</f>
        <v>10</v>
      </c>
      <c r="BA1687" s="58" t="n">
        <f aca="false">IF(AX1687&gt;0,J1687/AX1687,-1)</f>
        <v>0</v>
      </c>
      <c r="BB1687" s="58" t="n">
        <f aca="false">IF(AND(OR(BY1687="L1",BY1687="L23"),AX1687&gt;0),SUMIFS($AX$7:$AX$1843,$BY$7:$BY$1843,BY1687,$BA$7:$BA$1843,"&gt;"&amp;BA1687)+SUMIFS($AX$7:$AX$1843,$BY$7:$BY$1843,BY1687,$BA$7:$BA$1843,BA1687,$BQ$7:$BQ$1843,"&lt;="&amp;BQ1687),"")</f>
        <v>132.102403635012</v>
      </c>
      <c r="BC1687" s="65" t="n">
        <f aca="false">IF(BB1687="",0,MAX(0,MIN(1,(IF(BY1687="L1",Parameter!$E$5,Parameter!$E$6+Parameter!$E$7)-(BB1687-AX1687))/AX1687)))</f>
        <v>0</v>
      </c>
      <c r="BD1687" s="55" t="str">
        <f aca="false">IF(AH1687&lt;=0,"",IF(BY1687="Aussen","Aussenlager",IF(BY1687="-","Nicht im Lift",IF(AM1687&gt;=1,"Lift",IF(AM1687&lt;=0,"Aussenlager","teilweise")))))</f>
        <v>Lift</v>
      </c>
      <c r="BE1687" s="55" t="str">
        <f aca="false">IF(AP1687&lt;=0,"",IF(BY1687="Aussen","Aussenlager",IF(BY1687="-","Nicht im Lift",IF(AU1687&gt;=1,"Lift",IF(AU1687&lt;=0,"Aussenlager","teilweise")))))</f>
        <v>Aussenlager</v>
      </c>
      <c r="BF1687" s="55" t="str">
        <f aca="false">IF(AX1687&lt;=0,"",IF(BY1687="Aussen","Aussenlager",IF(BY1687="-","Nicht im Lift",IF(BC1687&gt;=1,"Lift",IF(BC1687&lt;=0,"Aussenlager","teilweise")))))</f>
        <v>Aussenlager</v>
      </c>
      <c r="BG1687" s="55" t="str">
        <f aca="false">IF(A1687="","",IF(BP1687=1,"Neu; ","")&amp;IF(AND(BP1687=0,BK1687&lt;0),"negativer Bestand (Export "&amp;BK1687&amp;"); ","")&amp;IF(J1687&lt;=0,"Kein Verbrauch; ","")&amp;IF(CH1687&gt;0,"Lift "&amp;W1687&amp;" lt. Liftbericht (Fach "&amp;X1687&amp;" Stk); ",IF(BU1687=1,"Gebinde geschätzt ("&amp;T1687&amp;"); ",IF(BT1687=1,"Lose – Tablare geschätzt; ","")))&amp;IF(H1687&gt;AR1687,"Überbestand "&amp;ROUND(H1687-AR1687,0)&amp;" Stk / CHF "&amp;ROUND((H1687-AR1687)*G1687,0)&amp;"; ","")&amp;IF(AND(CA1687=1,CB1687&lt;CC1687),"MAX &lt; MB+LG; ","")&amp;IF(AND(CG1687&gt;0,CF1687*10&gt;CG1687),"zu hoch für Tablar; ","")&amp;IF(AND(BP1687=0,OR(CA1687=1,AA1687&lt;&gt;"",U1687&lt;&gt;"",V1687&lt;&gt;"",AB1687&lt;&gt;"")),"manuell übersteuert; ","")&amp;IF(AND(BT1687=0,R1687=0),"Gebinde unbekannt / Stellmass fehlt; ","")&amp;IF(AND(BT1687=0,N(V1687)&lt;=0,N(Q1687)&lt;=0),"Menge pro Gebinde fehlt (Ist = 1 Gebinde); ","")&amp;BO1687)</f>
        <v>Kein Verbrauch; nur im Artikelstamm (Bestand 23.06.2026)</v>
      </c>
      <c r="BH1687" s="55"/>
      <c r="BI1687" s="55"/>
      <c r="BJ1687" s="62"/>
      <c r="BK1687" s="57" t="n">
        <v>6</v>
      </c>
      <c r="BL1687" s="57" t="n">
        <v>0</v>
      </c>
      <c r="BM1687" s="56" t="n">
        <v>0</v>
      </c>
      <c r="BN1687" s="57" t="n">
        <v>0</v>
      </c>
      <c r="BO1687" s="55" t="s">
        <v>2575</v>
      </c>
      <c r="BP1687" s="60" t="n">
        <v>0</v>
      </c>
      <c r="BQ1687" s="60" t="n">
        <v>1687</v>
      </c>
      <c r="BR1687" s="55" t="str">
        <f aca="false">IF(U1687&lt;&gt;"",UPPER(TRIM(U1687)),IF(BU1687=1,UPPER(VLOOKUP(T1687,Parameter!$I$27:$K$29,2,0)),IF(P1687="","LOSE",P1687)))</f>
        <v>S61</v>
      </c>
      <c r="BS1687" s="57" t="n">
        <f aca="false">IF(BR1687="LOSE",1,IF(N(V1687)&gt;0,V1687,IF(BU1687=1,MAX(1,N(VLOOKUP(T1687,Parameter!$I$27:$K$29,3,0)),H1687,N(N1687)),IF(N(Q1687)&gt;0,Q1687,MAX(1,H1687)))))</f>
        <v>5</v>
      </c>
      <c r="BT1687" s="60" t="n">
        <f aca="false">IF(BR1687="LOSE",1,0)</f>
        <v>0</v>
      </c>
      <c r="BU1687" s="60" t="n">
        <f aca="false">IF(AND(U1687="",OR(P1687="",P1687="LOSE"),T1687&lt;&gt;"",N(S1687)&lt;=0,ISNUMBER(MATCH(T1687,Parameter!$I$27:$I$29,0))),1,0)</f>
        <v>0</v>
      </c>
      <c r="BV1687" s="55" t="str">
        <f aca="false">IF(AND(Parameter!$B$19="Ja",E1687&lt;&gt;"",ISNUMBER(MATCH(E1687,Parameter!$I$35:$I$52,0))),VLOOKUP(E1687,Parameter!$I$35:$J$52,2,0),IFERROR(VLOOKUP(D1687,Parameter!$A$35:$C$64,2,0),"Nein"))</f>
        <v>2+3</v>
      </c>
      <c r="BW1687" s="59" t="n">
        <f aca="false">IF(BT1687=0,0,IF(N(S1687)&gt;0,S1687,IFERROR(VLOOKUP(D1687,Parameter!$A$35:$C$64,3,0)+0,0)))</f>
        <v>0</v>
      </c>
      <c r="BX1687" s="55" t="n">
        <f aca="false">IF(AA1687&lt;&gt;"",AA1687,Z1687)</f>
        <v>2</v>
      </c>
      <c r="BY1687" s="55" t="str">
        <f aca="false">IF(BX1687=1,"L1",IF(OR(BX1687=2,BX1687=3),"L23",IF(BX1687="Aussen","Aussen","-")))</f>
        <v>L23</v>
      </c>
      <c r="BZ1687" s="66" t="n">
        <f aca="false">IF(N(AB1687)&gt;0,AB1687,0)</f>
        <v>0</v>
      </c>
      <c r="CA1687" s="60" t="n">
        <f aca="false">IF(ISNUMBER(AE1687),1,0)</f>
        <v>0</v>
      </c>
      <c r="CB1687" s="57" t="n">
        <f aca="false">N(AE1687)</f>
        <v>0</v>
      </c>
      <c r="CC1687" s="57" t="n">
        <f aca="false">N(M1687)+N(N1687)</f>
        <v>6</v>
      </c>
      <c r="CD1687" s="57" t="n">
        <f aca="false">ROUNDUP(H1687/BS1687,0)</f>
        <v>2</v>
      </c>
      <c r="CE1687" s="57" t="n">
        <f aca="false">ROUNDUP(CB1687/BS1687,0)</f>
        <v>0</v>
      </c>
      <c r="CF1687" s="60" t="n">
        <f aca="false">IF(BT1687=1,0,IFERROR(VLOOKUP(BR1687,'Gebinde-Kategorie'!$A$5:$M$45,5,0)+0,0))</f>
        <v>11</v>
      </c>
      <c r="CG1687" s="60" t="n">
        <f aca="false">IFERROR(IF(OR(BX1687=1,BX1687=2,BX1687=3),N(INDEX(Parameter!$I$5:$I$7,BX1687)),0),0)</f>
        <v>0</v>
      </c>
      <c r="CH1687" s="59" t="n">
        <f aca="false">IF(AND(Parameter!$B$21="Ja",ISNUMBER(W1687),N(X1687)&gt;0),IFERROR(N(INDEX(Parameter!$L$5:$L$7,W1687))*INDEX(Parameter!$E$5:$E$7,W1687)*X1687/SUMIFS($X$7:$X$1843,$W$7:$W$1843,W1687),0),0)</f>
        <v>0</v>
      </c>
    </row>
    <row r="1688" customFormat="false" ht="15" hidden="false" customHeight="false" outlineLevel="0" collapsed="false">
      <c r="A1688" s="55" t="s">
        <v>2924</v>
      </c>
      <c r="B1688" s="55" t="s">
        <v>2925</v>
      </c>
      <c r="C1688" s="55" t="s">
        <v>164</v>
      </c>
      <c r="D1688" s="55" t="s">
        <v>173</v>
      </c>
      <c r="E1688" s="55"/>
      <c r="F1688" s="55"/>
      <c r="G1688" s="56" t="n">
        <v>250</v>
      </c>
      <c r="H1688" s="57" t="n">
        <f aca="false">MAX(0,IF(AND(Parameter!$B$21="Ja",ISNUMBER(Y1688)),Y1688,IF(Parameter!$B$20="Jahresanfang 2025 + Export",BL1688+BK1688,BK1688)))</f>
        <v>3</v>
      </c>
      <c r="I1688" s="57" t="n">
        <f aca="false">H1688*G1688</f>
        <v>750</v>
      </c>
      <c r="J1688" s="57" t="n">
        <f aca="false">BN1688*Parameter!$B$18</f>
        <v>0</v>
      </c>
      <c r="K1688" s="58"/>
      <c r="L1688" s="59"/>
      <c r="M1688" s="57" t="n">
        <v>0</v>
      </c>
      <c r="N1688" s="57" t="n">
        <v>3</v>
      </c>
      <c r="O1688" s="60" t="n">
        <v>49</v>
      </c>
      <c r="P1688" s="55" t="s">
        <v>186</v>
      </c>
      <c r="Q1688" s="57" t="n">
        <v>5</v>
      </c>
      <c r="R1688" s="60" t="n">
        <f aca="false">IF(BT1688=1,0,IFERROR(VLOOKUP(BR1688,'Gebinde-Kategorie'!$A$5:$M$45,13,0)+0,0))</f>
        <v>12</v>
      </c>
      <c r="S1688" s="61"/>
      <c r="T1688" s="62"/>
      <c r="U1688" s="62"/>
      <c r="V1688" s="62"/>
      <c r="W1688" s="55"/>
      <c r="X1688" s="57"/>
      <c r="Y1688" s="57"/>
      <c r="Z1688" s="55" t="n">
        <f aca="false">IF(A1688="","",IF(AND(Parameter!$B$21="Ja",ISNUMBER(W1688)),W1688,IF(BV1688="2+3",IF(ISNUMBER(SEARCH("grosser Artikel",BO1688)),2,IFERROR(VLOOKUP(BR1688,Parameter!$F$35:$G$64,2,0),2)),IF(OR(BV1688="Nein",BV1688=""),"-",BV1688))))</f>
        <v>2</v>
      </c>
      <c r="AA1688" s="62"/>
      <c r="AB1688" s="63"/>
      <c r="AC1688" s="57" t="n">
        <f aca="false">AR1688</f>
        <v>5</v>
      </c>
      <c r="AD1688" s="57" t="n">
        <f aca="false">MAX(AR1688,H1688)</f>
        <v>5</v>
      </c>
      <c r="AE1688" s="64"/>
      <c r="AF1688" s="57" t="n">
        <f aca="false">IF(LEFT(Cockpit!$C$5,1)="A",H1688,IF(CA1688=1,CB1688,IF(LEFT(Cockpit!$C$5,1)="B",AJ1688,MAX(AJ1688,H1688))))</f>
        <v>3</v>
      </c>
      <c r="AG1688" s="57" t="n">
        <f aca="false">IF(BT1688=1,0,ROUNDUP(AF1688/BS1688,0))</f>
        <v>1</v>
      </c>
      <c r="AH1688" s="59" t="n">
        <f aca="false">IF(CH1688&gt;0,CH1688*MAX(1,AF1688/X1688),IF(BT1688=1,IF(AF1688&lt;=0,0,BW1688*MAX(1,IF(H1688&gt;0,AF1688/H1688,1))),IF(R1688&gt;0,AG1688/R1688,0))/MAX(0.1,N(Parameter!$M$21)))</f>
        <v>0.0833333333333333</v>
      </c>
      <c r="AI1688" s="57" t="n">
        <f aca="false">AF1688*G1688</f>
        <v>750</v>
      </c>
      <c r="AJ1688" s="57" t="n">
        <f aca="false">ROUNDUP(MAX(J1688/IF(BZ1688&gt;0,BZ1688,MAX(0.1,N(Cockpit!$C$6))),CC1688)/BS1688,0)*BS1688</f>
        <v>5</v>
      </c>
      <c r="AK1688" s="58" t="n">
        <f aca="false">IF(AH1688&gt;0,J1688/AH1688,-1)</f>
        <v>0</v>
      </c>
      <c r="AL1688" s="58" t="n">
        <f aca="false">IF(AND(OR(BY1688="L1",BY1688="L23"),AH1688&gt;0),SUMIFS($AH$7:$AH$1843,$BY$7:$BY$1843,BY1688,$AK$7:$AK$1843,"&gt;"&amp;AK1688)+SUMIFS($AH$7:$AH$1843,$BY$7:$BY$1843,BY1688,$AK$7:$AK$1843,AK1688,$BQ$7:$BQ$1843,"&lt;="&amp;BQ1688),"")</f>
        <v>96.1037633863721</v>
      </c>
      <c r="AM1688" s="65" t="n">
        <f aca="false">IF(AL1688="",0,MAX(0,MIN(1,(IF(BY1688="L1",Parameter!$E$5,Parameter!$E$6+Parameter!$E$7)-(AL1688-AH1688))/AH1688)))</f>
        <v>1</v>
      </c>
      <c r="AN1688" s="57" t="n">
        <f aca="false">IF(LEFT(Cockpit!$I$5,1)="A",H1688,IF(CA1688=1,CB1688,IF(LEFT(Cockpit!$I$5,1)="B",AR1688,MAX(AR1688,H1688))))</f>
        <v>5</v>
      </c>
      <c r="AO1688" s="57" t="n">
        <f aca="false">IF(BT1688=1,0,ROUNDUP(AN1688/BS1688,0))</f>
        <v>1</v>
      </c>
      <c r="AP1688" s="59" t="n">
        <f aca="false">IF(CH1688&gt;0,CH1688*MAX(1,AN1688/X1688),IF(BT1688=1,IF(AN1688&lt;=0,0,BW1688*MAX(1,IF(H1688&gt;0,AN1688/H1688,1))),IF(R1688&gt;0,AO1688/R1688,0))/MAX(0.1,N(Parameter!$M$21)))</f>
        <v>0.0833333333333333</v>
      </c>
      <c r="AQ1688" s="57" t="n">
        <f aca="false">AN1688*G1688</f>
        <v>1250</v>
      </c>
      <c r="AR1688" s="57" t="n">
        <f aca="false">ROUNDUP(MAX(J1688/IF(BZ1688&gt;0,BZ1688,MAX(0.1,N(Cockpit!$I$6))),CC1688)/BS1688,0)*BS1688</f>
        <v>5</v>
      </c>
      <c r="AS1688" s="58" t="n">
        <f aca="false">IF(AP1688&gt;0,J1688/AP1688,-1)</f>
        <v>0</v>
      </c>
      <c r="AT1688" s="58" t="n">
        <f aca="false">IF(AND(OR(BY1688="L1",BY1688="L23"),AP1688&gt;0),SUMIFS($AP$7:$AP$1843,$BY$7:$BY$1843,BY1688,$AS$7:$AS$1843,"&gt;"&amp;AS1688)+SUMIFS($AP$7:$AP$1843,$BY$7:$BY$1843,BY1688,$AS$7:$AS$1843,AS1688,$BQ$7:$BQ$1843,"&lt;="&amp;BQ1688),"")</f>
        <v>141.355900138509</v>
      </c>
      <c r="AU1688" s="65" t="n">
        <f aca="false">IF(AT1688="",0,MAX(0,MIN(1,(IF(BY1688="L1",Parameter!$E$5,Parameter!$E$6+Parameter!$E$7)-(AT1688-AP1688))/AP1688)))</f>
        <v>0</v>
      </c>
      <c r="AV1688" s="57" t="n">
        <f aca="false">IF(LEFT(Cockpit!$O$5,1)="A",H1688,IF(CA1688=1,CB1688,IF(LEFT(Cockpit!$O$5,1)="B",AZ1688,MAX(AZ1688,H1688))))</f>
        <v>5</v>
      </c>
      <c r="AW1688" s="57" t="n">
        <f aca="false">IF(BT1688=1,0,ROUNDUP(AV1688/BS1688,0))</f>
        <v>1</v>
      </c>
      <c r="AX1688" s="59" t="n">
        <f aca="false">IF(CH1688&gt;0,CH1688*MAX(1,AV1688/X1688),IF(BT1688=1,IF(AV1688&lt;=0,0,BW1688*MAX(1,IF(H1688&gt;0,AV1688/H1688,1))),IF(R1688&gt;0,AW1688/R1688,0))/MAX(0.1,N(Parameter!$M$21)))</f>
        <v>0.0833333333333333</v>
      </c>
      <c r="AY1688" s="57" t="n">
        <f aca="false">AV1688*G1688</f>
        <v>1250</v>
      </c>
      <c r="AZ1688" s="57" t="n">
        <f aca="false">ROUNDUP(MAX(J1688/IF(BZ1688&gt;0,BZ1688,MAX(0.1,N(Cockpit!$O$6))),CC1688)/BS1688,0)*BS1688</f>
        <v>5</v>
      </c>
      <c r="BA1688" s="58" t="n">
        <f aca="false">IF(AX1688&gt;0,J1688/AX1688,-1)</f>
        <v>0</v>
      </c>
      <c r="BB1688" s="58" t="n">
        <f aca="false">IF(AND(OR(BY1688="L1",BY1688="L23"),AX1688&gt;0),SUMIFS($AX$7:$AX$1843,$BY$7:$BY$1843,BY1688,$BA$7:$BA$1843,"&gt;"&amp;BA1688)+SUMIFS($AX$7:$AX$1843,$BY$7:$BY$1843,BY1688,$BA$7:$BA$1843,BA1688,$BQ$7:$BQ$1843,"&lt;="&amp;BQ1688),"")</f>
        <v>132.185736968346</v>
      </c>
      <c r="BC1688" s="65" t="n">
        <f aca="false">IF(BB1688="",0,MAX(0,MIN(1,(IF(BY1688="L1",Parameter!$E$5,Parameter!$E$6+Parameter!$E$7)-(BB1688-AX1688))/AX1688)))</f>
        <v>0</v>
      </c>
      <c r="BD1688" s="55" t="str">
        <f aca="false">IF(AH1688&lt;=0,"",IF(BY1688="Aussen","Aussenlager",IF(BY1688="-","Nicht im Lift",IF(AM1688&gt;=1,"Lift",IF(AM1688&lt;=0,"Aussenlager","teilweise")))))</f>
        <v>Lift</v>
      </c>
      <c r="BE1688" s="55" t="str">
        <f aca="false">IF(AP1688&lt;=0,"",IF(BY1688="Aussen","Aussenlager",IF(BY1688="-","Nicht im Lift",IF(AU1688&gt;=1,"Lift",IF(AU1688&lt;=0,"Aussenlager","teilweise")))))</f>
        <v>Aussenlager</v>
      </c>
      <c r="BF1688" s="55" t="str">
        <f aca="false">IF(AX1688&lt;=0,"",IF(BY1688="Aussen","Aussenlager",IF(BY1688="-","Nicht im Lift",IF(BC1688&gt;=1,"Lift",IF(BC1688&lt;=0,"Aussenlager","teilweise")))))</f>
        <v>Aussenlager</v>
      </c>
      <c r="BG1688" s="55" t="str">
        <f aca="false">IF(A1688="","",IF(BP1688=1,"Neu; ","")&amp;IF(AND(BP1688=0,BK1688&lt;0),"negativer Bestand (Export "&amp;BK1688&amp;"); ","")&amp;IF(J1688&lt;=0,"Kein Verbrauch; ","")&amp;IF(CH1688&gt;0,"Lift "&amp;W1688&amp;" lt. Liftbericht (Fach "&amp;X1688&amp;" Stk); ",IF(BU1688=1,"Gebinde geschätzt ("&amp;T1688&amp;"); ",IF(BT1688=1,"Lose – Tablare geschätzt; ","")))&amp;IF(H1688&gt;AR1688,"Überbestand "&amp;ROUND(H1688-AR1688,0)&amp;" Stk / CHF "&amp;ROUND((H1688-AR1688)*G1688,0)&amp;"; ","")&amp;IF(AND(CA1688=1,CB1688&lt;CC1688),"MAX &lt; MB+LG; ","")&amp;IF(AND(CG1688&gt;0,CF1688*10&gt;CG1688),"zu hoch für Tablar; ","")&amp;IF(AND(BP1688=0,OR(CA1688=1,AA1688&lt;&gt;"",U1688&lt;&gt;"",V1688&lt;&gt;"",AB1688&lt;&gt;"")),"manuell übersteuert; ","")&amp;IF(AND(BT1688=0,R1688=0),"Gebinde unbekannt / Stellmass fehlt; ","")&amp;IF(AND(BT1688=0,N(V1688)&lt;=0,N(Q1688)&lt;=0),"Menge pro Gebinde fehlt (Ist = 1 Gebinde); ","")&amp;BO1688)</f>
        <v>Kein Verbrauch; nur im Artikelstamm (Bestand 23.06.2026)</v>
      </c>
      <c r="BH1688" s="55"/>
      <c r="BI1688" s="55"/>
      <c r="BJ1688" s="62"/>
      <c r="BK1688" s="57" t="n">
        <v>3</v>
      </c>
      <c r="BL1688" s="57" t="n">
        <v>0</v>
      </c>
      <c r="BM1688" s="56" t="n">
        <v>0</v>
      </c>
      <c r="BN1688" s="57" t="n">
        <v>0</v>
      </c>
      <c r="BO1688" s="55" t="s">
        <v>2575</v>
      </c>
      <c r="BP1688" s="60" t="n">
        <v>0</v>
      </c>
      <c r="BQ1688" s="60" t="n">
        <v>1688</v>
      </c>
      <c r="BR1688" s="55" t="str">
        <f aca="false">IF(U1688&lt;&gt;"",UPPER(TRIM(U1688)),IF(BU1688=1,UPPER(VLOOKUP(T1688,Parameter!$I$27:$K$29,2,0)),IF(P1688="","LOSE",P1688)))</f>
        <v>S61</v>
      </c>
      <c r="BS1688" s="57" t="n">
        <f aca="false">IF(BR1688="LOSE",1,IF(N(V1688)&gt;0,V1688,IF(BU1688=1,MAX(1,N(VLOOKUP(T1688,Parameter!$I$27:$K$29,3,0)),H1688,N(N1688)),IF(N(Q1688)&gt;0,Q1688,MAX(1,H1688)))))</f>
        <v>5</v>
      </c>
      <c r="BT1688" s="60" t="n">
        <f aca="false">IF(BR1688="LOSE",1,0)</f>
        <v>0</v>
      </c>
      <c r="BU1688" s="60" t="n">
        <f aca="false">IF(AND(U1688="",OR(P1688="",P1688="LOSE"),T1688&lt;&gt;"",N(S1688)&lt;=0,ISNUMBER(MATCH(T1688,Parameter!$I$27:$I$29,0))),1,0)</f>
        <v>0</v>
      </c>
      <c r="BV1688" s="55" t="str">
        <f aca="false">IF(AND(Parameter!$B$19="Ja",E1688&lt;&gt;"",ISNUMBER(MATCH(E1688,Parameter!$I$35:$I$52,0))),VLOOKUP(E1688,Parameter!$I$35:$J$52,2,0),IFERROR(VLOOKUP(D1688,Parameter!$A$35:$C$64,2,0),"Nein"))</f>
        <v>2+3</v>
      </c>
      <c r="BW1688" s="59" t="n">
        <f aca="false">IF(BT1688=0,0,IF(N(S1688)&gt;0,S1688,IFERROR(VLOOKUP(D1688,Parameter!$A$35:$C$64,3,0)+0,0)))</f>
        <v>0</v>
      </c>
      <c r="BX1688" s="55" t="n">
        <f aca="false">IF(AA1688&lt;&gt;"",AA1688,Z1688)</f>
        <v>2</v>
      </c>
      <c r="BY1688" s="55" t="str">
        <f aca="false">IF(BX1688=1,"L1",IF(OR(BX1688=2,BX1688=3),"L23",IF(BX1688="Aussen","Aussen","-")))</f>
        <v>L23</v>
      </c>
      <c r="BZ1688" s="66" t="n">
        <f aca="false">IF(N(AB1688)&gt;0,AB1688,0)</f>
        <v>0</v>
      </c>
      <c r="CA1688" s="60" t="n">
        <f aca="false">IF(ISNUMBER(AE1688),1,0)</f>
        <v>0</v>
      </c>
      <c r="CB1688" s="57" t="n">
        <f aca="false">N(AE1688)</f>
        <v>0</v>
      </c>
      <c r="CC1688" s="57" t="n">
        <f aca="false">N(M1688)+N(N1688)</f>
        <v>3</v>
      </c>
      <c r="CD1688" s="57" t="n">
        <f aca="false">ROUNDUP(H1688/BS1688,0)</f>
        <v>1</v>
      </c>
      <c r="CE1688" s="57" t="n">
        <f aca="false">ROUNDUP(CB1688/BS1688,0)</f>
        <v>0</v>
      </c>
      <c r="CF1688" s="60" t="n">
        <f aca="false">IF(BT1688=1,0,IFERROR(VLOOKUP(BR1688,'Gebinde-Kategorie'!$A$5:$M$45,5,0)+0,0))</f>
        <v>11</v>
      </c>
      <c r="CG1688" s="60" t="n">
        <f aca="false">IFERROR(IF(OR(BX1688=1,BX1688=2,BX1688=3),N(INDEX(Parameter!$I$5:$I$7,BX1688)),0),0)</f>
        <v>0</v>
      </c>
      <c r="CH1688" s="59" t="n">
        <f aca="false">IF(AND(Parameter!$B$21="Ja",ISNUMBER(W1688),N(X1688)&gt;0),IFERROR(N(INDEX(Parameter!$L$5:$L$7,W1688))*INDEX(Parameter!$E$5:$E$7,W1688)*X1688/SUMIFS($X$7:$X$1843,$W$7:$W$1843,W1688),0),0)</f>
        <v>0</v>
      </c>
    </row>
    <row r="1689" customFormat="false" ht="15" hidden="false" customHeight="false" outlineLevel="0" collapsed="false">
      <c r="A1689" s="55" t="s">
        <v>2926</v>
      </c>
      <c r="B1689" s="55" t="s">
        <v>2927</v>
      </c>
      <c r="C1689" s="55" t="s">
        <v>164</v>
      </c>
      <c r="D1689" s="55" t="s">
        <v>173</v>
      </c>
      <c r="E1689" s="55"/>
      <c r="F1689" s="55"/>
      <c r="G1689" s="56" t="n">
        <v>170.2</v>
      </c>
      <c r="H1689" s="57" t="n">
        <f aca="false">MAX(0,IF(AND(Parameter!$B$21="Ja",ISNUMBER(Y1689)),Y1689,IF(Parameter!$B$20="Jahresanfang 2025 + Export",BL1689+BK1689,BK1689)))</f>
        <v>4</v>
      </c>
      <c r="I1689" s="57" t="n">
        <f aca="false">H1689*G1689</f>
        <v>680.8</v>
      </c>
      <c r="J1689" s="57" t="n">
        <f aca="false">BN1689*Parameter!$B$18</f>
        <v>0</v>
      </c>
      <c r="K1689" s="58"/>
      <c r="L1689" s="59"/>
      <c r="M1689" s="57" t="n">
        <v>0</v>
      </c>
      <c r="N1689" s="57" t="n">
        <v>5</v>
      </c>
      <c r="O1689" s="60" t="n">
        <v>21</v>
      </c>
      <c r="P1689" s="55" t="s">
        <v>186</v>
      </c>
      <c r="Q1689" s="57" t="n">
        <v>4</v>
      </c>
      <c r="R1689" s="60" t="n">
        <f aca="false">IF(BT1689=1,0,IFERROR(VLOOKUP(BR1689,'Gebinde-Kategorie'!$A$5:$M$45,13,0)+0,0))</f>
        <v>12</v>
      </c>
      <c r="S1689" s="61"/>
      <c r="T1689" s="62"/>
      <c r="U1689" s="62"/>
      <c r="V1689" s="62"/>
      <c r="W1689" s="55"/>
      <c r="X1689" s="57"/>
      <c r="Y1689" s="57"/>
      <c r="Z1689" s="55" t="n">
        <f aca="false">IF(A1689="","",IF(AND(Parameter!$B$21="Ja",ISNUMBER(W1689)),W1689,IF(BV1689="2+3",IF(ISNUMBER(SEARCH("grosser Artikel",BO1689)),2,IFERROR(VLOOKUP(BR1689,Parameter!$F$35:$G$64,2,0),2)),IF(OR(BV1689="Nein",BV1689=""),"-",BV1689))))</f>
        <v>2</v>
      </c>
      <c r="AA1689" s="62"/>
      <c r="AB1689" s="63"/>
      <c r="AC1689" s="57" t="n">
        <f aca="false">AR1689</f>
        <v>8</v>
      </c>
      <c r="AD1689" s="57" t="n">
        <f aca="false">MAX(AR1689,H1689)</f>
        <v>8</v>
      </c>
      <c r="AE1689" s="64"/>
      <c r="AF1689" s="57" t="n">
        <f aca="false">IF(LEFT(Cockpit!$C$5,1)="A",H1689,IF(CA1689=1,CB1689,IF(LEFT(Cockpit!$C$5,1)="B",AJ1689,MAX(AJ1689,H1689))))</f>
        <v>4</v>
      </c>
      <c r="AG1689" s="57" t="n">
        <f aca="false">IF(BT1689=1,0,ROUNDUP(AF1689/BS1689,0))</f>
        <v>1</v>
      </c>
      <c r="AH1689" s="59" t="n">
        <f aca="false">IF(CH1689&gt;0,CH1689*MAX(1,AF1689/X1689),IF(BT1689=1,IF(AF1689&lt;=0,0,BW1689*MAX(1,IF(H1689&gt;0,AF1689/H1689,1))),IF(R1689&gt;0,AG1689/R1689,0))/MAX(0.1,N(Parameter!$M$21)))</f>
        <v>0.0833333333333333</v>
      </c>
      <c r="AI1689" s="57" t="n">
        <f aca="false">AF1689*G1689</f>
        <v>680.8</v>
      </c>
      <c r="AJ1689" s="57" t="n">
        <f aca="false">ROUNDUP(MAX(J1689/IF(BZ1689&gt;0,BZ1689,MAX(0.1,N(Cockpit!$C$6))),CC1689)/BS1689,0)*BS1689</f>
        <v>8</v>
      </c>
      <c r="AK1689" s="58" t="n">
        <f aca="false">IF(AH1689&gt;0,J1689/AH1689,-1)</f>
        <v>0</v>
      </c>
      <c r="AL1689" s="58" t="n">
        <f aca="false">IF(AND(OR(BY1689="L1",BY1689="L23"),AH1689&gt;0),SUMIFS($AH$7:$AH$1843,$BY$7:$BY$1843,BY1689,$AK$7:$AK$1843,"&gt;"&amp;AK1689)+SUMIFS($AH$7:$AH$1843,$BY$7:$BY$1843,BY1689,$AK$7:$AK$1843,AK1689,$BQ$7:$BQ$1843,"&lt;="&amp;BQ1689),"")</f>
        <v>96.1870967197054</v>
      </c>
      <c r="AM1689" s="65" t="n">
        <f aca="false">IF(AL1689="",0,MAX(0,MIN(1,(IF(BY1689="L1",Parameter!$E$5,Parameter!$E$6+Parameter!$E$7)-(AL1689-AH1689))/AH1689)))</f>
        <v>1</v>
      </c>
      <c r="AN1689" s="57" t="n">
        <f aca="false">IF(LEFT(Cockpit!$I$5,1)="A",H1689,IF(CA1689=1,CB1689,IF(LEFT(Cockpit!$I$5,1)="B",AR1689,MAX(AR1689,H1689))))</f>
        <v>8</v>
      </c>
      <c r="AO1689" s="57" t="n">
        <f aca="false">IF(BT1689=1,0,ROUNDUP(AN1689/BS1689,0))</f>
        <v>2</v>
      </c>
      <c r="AP1689" s="59" t="n">
        <f aca="false">IF(CH1689&gt;0,CH1689*MAX(1,AN1689/X1689),IF(BT1689=1,IF(AN1689&lt;=0,0,BW1689*MAX(1,IF(H1689&gt;0,AN1689/H1689,1))),IF(R1689&gt;0,AO1689/R1689,0))/MAX(0.1,N(Parameter!$M$21)))</f>
        <v>0.166666666666667</v>
      </c>
      <c r="AQ1689" s="57" t="n">
        <f aca="false">AN1689*G1689</f>
        <v>1361.6</v>
      </c>
      <c r="AR1689" s="57" t="n">
        <f aca="false">ROUNDUP(MAX(J1689/IF(BZ1689&gt;0,BZ1689,MAX(0.1,N(Cockpit!$I$6))),CC1689)/BS1689,0)*BS1689</f>
        <v>8</v>
      </c>
      <c r="AS1689" s="58" t="n">
        <f aca="false">IF(AP1689&gt;0,J1689/AP1689,-1)</f>
        <v>0</v>
      </c>
      <c r="AT1689" s="58" t="n">
        <f aca="false">IF(AND(OR(BY1689="L1",BY1689="L23"),AP1689&gt;0),SUMIFS($AP$7:$AP$1843,$BY$7:$BY$1843,BY1689,$AS$7:$AS$1843,"&gt;"&amp;AS1689)+SUMIFS($AP$7:$AP$1843,$BY$7:$BY$1843,BY1689,$AS$7:$AS$1843,AS1689,$BQ$7:$BQ$1843,"&lt;="&amp;BQ1689),"")</f>
        <v>141.522566805176</v>
      </c>
      <c r="AU1689" s="65" t="n">
        <f aca="false">IF(AT1689="",0,MAX(0,MIN(1,(IF(BY1689="L1",Parameter!$E$5,Parameter!$E$6+Parameter!$E$7)-(AT1689-AP1689))/AP1689)))</f>
        <v>0</v>
      </c>
      <c r="AV1689" s="57" t="n">
        <f aca="false">IF(LEFT(Cockpit!$O$5,1)="A",H1689,IF(CA1689=1,CB1689,IF(LEFT(Cockpit!$O$5,1)="B",AZ1689,MAX(AZ1689,H1689))))</f>
        <v>8</v>
      </c>
      <c r="AW1689" s="57" t="n">
        <f aca="false">IF(BT1689=1,0,ROUNDUP(AV1689/BS1689,0))</f>
        <v>2</v>
      </c>
      <c r="AX1689" s="59" t="n">
        <f aca="false">IF(CH1689&gt;0,CH1689*MAX(1,AV1689/X1689),IF(BT1689=1,IF(AV1689&lt;=0,0,BW1689*MAX(1,IF(H1689&gt;0,AV1689/H1689,1))),IF(R1689&gt;0,AW1689/R1689,0))/MAX(0.1,N(Parameter!$M$21)))</f>
        <v>0.166666666666667</v>
      </c>
      <c r="AY1689" s="57" t="n">
        <f aca="false">AV1689*G1689</f>
        <v>1361.6</v>
      </c>
      <c r="AZ1689" s="57" t="n">
        <f aca="false">ROUNDUP(MAX(J1689/IF(BZ1689&gt;0,BZ1689,MAX(0.1,N(Cockpit!$O$6))),CC1689)/BS1689,0)*BS1689</f>
        <v>8</v>
      </c>
      <c r="BA1689" s="58" t="n">
        <f aca="false">IF(AX1689&gt;0,J1689/AX1689,-1)</f>
        <v>0</v>
      </c>
      <c r="BB1689" s="58" t="n">
        <f aca="false">IF(AND(OR(BY1689="L1",BY1689="L23"),AX1689&gt;0),SUMIFS($AX$7:$AX$1843,$BY$7:$BY$1843,BY1689,$BA$7:$BA$1843,"&gt;"&amp;BA1689)+SUMIFS($AX$7:$AX$1843,$BY$7:$BY$1843,BY1689,$BA$7:$BA$1843,BA1689,$BQ$7:$BQ$1843,"&lt;="&amp;BQ1689),"")</f>
        <v>132.352403635012</v>
      </c>
      <c r="BC1689" s="65" t="n">
        <f aca="false">IF(BB1689="",0,MAX(0,MIN(1,(IF(BY1689="L1",Parameter!$E$5,Parameter!$E$6+Parameter!$E$7)-(BB1689-AX1689))/AX1689)))</f>
        <v>0</v>
      </c>
      <c r="BD1689" s="55" t="str">
        <f aca="false">IF(AH1689&lt;=0,"",IF(BY1689="Aussen","Aussenlager",IF(BY1689="-","Nicht im Lift",IF(AM1689&gt;=1,"Lift",IF(AM1689&lt;=0,"Aussenlager","teilweise")))))</f>
        <v>Lift</v>
      </c>
      <c r="BE1689" s="55" t="str">
        <f aca="false">IF(AP1689&lt;=0,"",IF(BY1689="Aussen","Aussenlager",IF(BY1689="-","Nicht im Lift",IF(AU1689&gt;=1,"Lift",IF(AU1689&lt;=0,"Aussenlager","teilweise")))))</f>
        <v>Aussenlager</v>
      </c>
      <c r="BF1689" s="55" t="str">
        <f aca="false">IF(AX1689&lt;=0,"",IF(BY1689="Aussen","Aussenlager",IF(BY1689="-","Nicht im Lift",IF(BC1689&gt;=1,"Lift",IF(BC1689&lt;=0,"Aussenlager","teilweise")))))</f>
        <v>Aussenlager</v>
      </c>
      <c r="BG1689" s="55" t="str">
        <f aca="false">IF(A1689="","",IF(BP1689=1,"Neu; ","")&amp;IF(AND(BP1689=0,BK1689&lt;0),"negativer Bestand (Export "&amp;BK1689&amp;"); ","")&amp;IF(J1689&lt;=0,"Kein Verbrauch; ","")&amp;IF(CH1689&gt;0,"Lift "&amp;W1689&amp;" lt. Liftbericht (Fach "&amp;X1689&amp;" Stk); ",IF(BU1689=1,"Gebinde geschätzt ("&amp;T1689&amp;"); ",IF(BT1689=1,"Lose – Tablare geschätzt; ","")))&amp;IF(H1689&gt;AR1689,"Überbestand "&amp;ROUND(H1689-AR1689,0)&amp;" Stk / CHF "&amp;ROUND((H1689-AR1689)*G1689,0)&amp;"; ","")&amp;IF(AND(CA1689=1,CB1689&lt;CC1689),"MAX &lt; MB+LG; ","")&amp;IF(AND(CG1689&gt;0,CF1689*10&gt;CG1689),"zu hoch für Tablar; ","")&amp;IF(AND(BP1689=0,OR(CA1689=1,AA1689&lt;&gt;"",U1689&lt;&gt;"",V1689&lt;&gt;"",AB1689&lt;&gt;"")),"manuell übersteuert; ","")&amp;IF(AND(BT1689=0,R1689=0),"Gebinde unbekannt / Stellmass fehlt; ","")&amp;IF(AND(BT1689=0,N(V1689)&lt;=0,N(Q1689)&lt;=0),"Menge pro Gebinde fehlt (Ist = 1 Gebinde); ","")&amp;BO1689)</f>
        <v>Kein Verbrauch; nur im Artikelstamm (Bestand 23.06.2026)</v>
      </c>
      <c r="BH1689" s="55"/>
      <c r="BI1689" s="55"/>
      <c r="BJ1689" s="62"/>
      <c r="BK1689" s="57" t="n">
        <v>4</v>
      </c>
      <c r="BL1689" s="57" t="n">
        <v>0</v>
      </c>
      <c r="BM1689" s="56" t="n">
        <v>0</v>
      </c>
      <c r="BN1689" s="57" t="n">
        <v>0</v>
      </c>
      <c r="BO1689" s="55" t="s">
        <v>2575</v>
      </c>
      <c r="BP1689" s="60" t="n">
        <v>0</v>
      </c>
      <c r="BQ1689" s="60" t="n">
        <v>1689</v>
      </c>
      <c r="BR1689" s="55" t="str">
        <f aca="false">IF(U1689&lt;&gt;"",UPPER(TRIM(U1689)),IF(BU1689=1,UPPER(VLOOKUP(T1689,Parameter!$I$27:$K$29,2,0)),IF(P1689="","LOSE",P1689)))</f>
        <v>S61</v>
      </c>
      <c r="BS1689" s="57" t="n">
        <f aca="false">IF(BR1689="LOSE",1,IF(N(V1689)&gt;0,V1689,IF(BU1689=1,MAX(1,N(VLOOKUP(T1689,Parameter!$I$27:$K$29,3,0)),H1689,N(N1689)),IF(N(Q1689)&gt;0,Q1689,MAX(1,H1689)))))</f>
        <v>4</v>
      </c>
      <c r="BT1689" s="60" t="n">
        <f aca="false">IF(BR1689="LOSE",1,0)</f>
        <v>0</v>
      </c>
      <c r="BU1689" s="60" t="n">
        <f aca="false">IF(AND(U1689="",OR(P1689="",P1689="LOSE"),T1689&lt;&gt;"",N(S1689)&lt;=0,ISNUMBER(MATCH(T1689,Parameter!$I$27:$I$29,0))),1,0)</f>
        <v>0</v>
      </c>
      <c r="BV1689" s="55" t="str">
        <f aca="false">IF(AND(Parameter!$B$19="Ja",E1689&lt;&gt;"",ISNUMBER(MATCH(E1689,Parameter!$I$35:$I$52,0))),VLOOKUP(E1689,Parameter!$I$35:$J$52,2,0),IFERROR(VLOOKUP(D1689,Parameter!$A$35:$C$64,2,0),"Nein"))</f>
        <v>2+3</v>
      </c>
      <c r="BW1689" s="59" t="n">
        <f aca="false">IF(BT1689=0,0,IF(N(S1689)&gt;0,S1689,IFERROR(VLOOKUP(D1689,Parameter!$A$35:$C$64,3,0)+0,0)))</f>
        <v>0</v>
      </c>
      <c r="BX1689" s="55" t="n">
        <f aca="false">IF(AA1689&lt;&gt;"",AA1689,Z1689)</f>
        <v>2</v>
      </c>
      <c r="BY1689" s="55" t="str">
        <f aca="false">IF(BX1689=1,"L1",IF(OR(BX1689=2,BX1689=3),"L23",IF(BX1689="Aussen","Aussen","-")))</f>
        <v>L23</v>
      </c>
      <c r="BZ1689" s="66" t="n">
        <f aca="false">IF(N(AB1689)&gt;0,AB1689,0)</f>
        <v>0</v>
      </c>
      <c r="CA1689" s="60" t="n">
        <f aca="false">IF(ISNUMBER(AE1689),1,0)</f>
        <v>0</v>
      </c>
      <c r="CB1689" s="57" t="n">
        <f aca="false">N(AE1689)</f>
        <v>0</v>
      </c>
      <c r="CC1689" s="57" t="n">
        <f aca="false">N(M1689)+N(N1689)</f>
        <v>5</v>
      </c>
      <c r="CD1689" s="57" t="n">
        <f aca="false">ROUNDUP(H1689/BS1689,0)</f>
        <v>1</v>
      </c>
      <c r="CE1689" s="57" t="n">
        <f aca="false">ROUNDUP(CB1689/BS1689,0)</f>
        <v>0</v>
      </c>
      <c r="CF1689" s="60" t="n">
        <f aca="false">IF(BT1689=1,0,IFERROR(VLOOKUP(BR1689,'Gebinde-Kategorie'!$A$5:$M$45,5,0)+0,0))</f>
        <v>11</v>
      </c>
      <c r="CG1689" s="60" t="n">
        <f aca="false">IFERROR(IF(OR(BX1689=1,BX1689=2,BX1689=3),N(INDEX(Parameter!$I$5:$I$7,BX1689)),0),0)</f>
        <v>0</v>
      </c>
      <c r="CH1689" s="59" t="n">
        <f aca="false">IF(AND(Parameter!$B$21="Ja",ISNUMBER(W1689),N(X1689)&gt;0),IFERROR(N(INDEX(Parameter!$L$5:$L$7,W1689))*INDEX(Parameter!$E$5:$E$7,W1689)*X1689/SUMIFS($X$7:$X$1843,$W$7:$W$1843,W1689),0),0)</f>
        <v>0</v>
      </c>
    </row>
    <row r="1690" customFormat="false" ht="15" hidden="false" customHeight="false" outlineLevel="0" collapsed="false">
      <c r="A1690" s="55" t="s">
        <v>2928</v>
      </c>
      <c r="B1690" s="55" t="s">
        <v>2929</v>
      </c>
      <c r="C1690" s="55" t="s">
        <v>164</v>
      </c>
      <c r="D1690" s="55" t="s">
        <v>173</v>
      </c>
      <c r="E1690" s="55"/>
      <c r="F1690" s="55"/>
      <c r="G1690" s="56" t="n">
        <v>295</v>
      </c>
      <c r="H1690" s="57" t="n">
        <f aca="false">MAX(0,IF(AND(Parameter!$B$21="Ja",ISNUMBER(Y1690)),Y1690,IF(Parameter!$B$20="Jahresanfang 2025 + Export",BL1690+BK1690,BK1690)))</f>
        <v>3</v>
      </c>
      <c r="I1690" s="57" t="n">
        <f aca="false">H1690*G1690</f>
        <v>885</v>
      </c>
      <c r="J1690" s="57" t="n">
        <f aca="false">BN1690*Parameter!$B$18</f>
        <v>0</v>
      </c>
      <c r="K1690" s="58"/>
      <c r="L1690" s="59"/>
      <c r="M1690" s="57" t="n">
        <v>0</v>
      </c>
      <c r="N1690" s="57" t="n">
        <v>3</v>
      </c>
      <c r="O1690" s="60" t="n">
        <v>35</v>
      </c>
      <c r="P1690" s="55" t="s">
        <v>186</v>
      </c>
      <c r="Q1690" s="57" t="n">
        <v>3</v>
      </c>
      <c r="R1690" s="60" t="n">
        <f aca="false">IF(BT1690=1,0,IFERROR(VLOOKUP(BR1690,'Gebinde-Kategorie'!$A$5:$M$45,13,0)+0,0))</f>
        <v>12</v>
      </c>
      <c r="S1690" s="61"/>
      <c r="T1690" s="62"/>
      <c r="U1690" s="62"/>
      <c r="V1690" s="62"/>
      <c r="W1690" s="55"/>
      <c r="X1690" s="57"/>
      <c r="Y1690" s="57"/>
      <c r="Z1690" s="55" t="n">
        <f aca="false">IF(A1690="","",IF(AND(Parameter!$B$21="Ja",ISNUMBER(W1690)),W1690,IF(BV1690="2+3",IF(ISNUMBER(SEARCH("grosser Artikel",BO1690)),2,IFERROR(VLOOKUP(BR1690,Parameter!$F$35:$G$64,2,0),2)),IF(OR(BV1690="Nein",BV1690=""),"-",BV1690))))</f>
        <v>2</v>
      </c>
      <c r="AA1690" s="62"/>
      <c r="AB1690" s="63"/>
      <c r="AC1690" s="57" t="n">
        <f aca="false">AR1690</f>
        <v>3</v>
      </c>
      <c r="AD1690" s="57" t="n">
        <f aca="false">MAX(AR1690,H1690)</f>
        <v>3</v>
      </c>
      <c r="AE1690" s="64"/>
      <c r="AF1690" s="57" t="n">
        <f aca="false">IF(LEFT(Cockpit!$C$5,1)="A",H1690,IF(CA1690=1,CB1690,IF(LEFT(Cockpit!$C$5,1)="B",AJ1690,MAX(AJ1690,H1690))))</f>
        <v>3</v>
      </c>
      <c r="AG1690" s="57" t="n">
        <f aca="false">IF(BT1690=1,0,ROUNDUP(AF1690/BS1690,0))</f>
        <v>1</v>
      </c>
      <c r="AH1690" s="59" t="n">
        <f aca="false">IF(CH1690&gt;0,CH1690*MAX(1,AF1690/X1690),IF(BT1690=1,IF(AF1690&lt;=0,0,BW1690*MAX(1,IF(H1690&gt;0,AF1690/H1690,1))),IF(R1690&gt;0,AG1690/R1690,0))/MAX(0.1,N(Parameter!$M$21)))</f>
        <v>0.0833333333333333</v>
      </c>
      <c r="AI1690" s="57" t="n">
        <f aca="false">AF1690*G1690</f>
        <v>885</v>
      </c>
      <c r="AJ1690" s="57" t="n">
        <f aca="false">ROUNDUP(MAX(J1690/IF(BZ1690&gt;0,BZ1690,MAX(0.1,N(Cockpit!$C$6))),CC1690)/BS1690,0)*BS1690</f>
        <v>3</v>
      </c>
      <c r="AK1690" s="58" t="n">
        <f aca="false">IF(AH1690&gt;0,J1690/AH1690,-1)</f>
        <v>0</v>
      </c>
      <c r="AL1690" s="58" t="n">
        <f aca="false">IF(AND(OR(BY1690="L1",BY1690="L23"),AH1690&gt;0),SUMIFS($AH$7:$AH$1843,$BY$7:$BY$1843,BY1690,$AK$7:$AK$1843,"&gt;"&amp;AK1690)+SUMIFS($AH$7:$AH$1843,$BY$7:$BY$1843,BY1690,$AK$7:$AK$1843,AK1690,$BQ$7:$BQ$1843,"&lt;="&amp;BQ1690),"")</f>
        <v>96.2704300530388</v>
      </c>
      <c r="AM1690" s="65" t="n">
        <f aca="false">IF(AL1690="",0,MAX(0,MIN(1,(IF(BY1690="L1",Parameter!$E$5,Parameter!$E$6+Parameter!$E$7)-(AL1690-AH1690))/AH1690)))</f>
        <v>1</v>
      </c>
      <c r="AN1690" s="57" t="n">
        <f aca="false">IF(LEFT(Cockpit!$I$5,1)="A",H1690,IF(CA1690=1,CB1690,IF(LEFT(Cockpit!$I$5,1)="B",AR1690,MAX(AR1690,H1690))))</f>
        <v>3</v>
      </c>
      <c r="AO1690" s="57" t="n">
        <f aca="false">IF(BT1690=1,0,ROUNDUP(AN1690/BS1690,0))</f>
        <v>1</v>
      </c>
      <c r="AP1690" s="59" t="n">
        <f aca="false">IF(CH1690&gt;0,CH1690*MAX(1,AN1690/X1690),IF(BT1690=1,IF(AN1690&lt;=0,0,BW1690*MAX(1,IF(H1690&gt;0,AN1690/H1690,1))),IF(R1690&gt;0,AO1690/R1690,0))/MAX(0.1,N(Parameter!$M$21)))</f>
        <v>0.0833333333333333</v>
      </c>
      <c r="AQ1690" s="57" t="n">
        <f aca="false">AN1690*G1690</f>
        <v>885</v>
      </c>
      <c r="AR1690" s="57" t="n">
        <f aca="false">ROUNDUP(MAX(J1690/IF(BZ1690&gt;0,BZ1690,MAX(0.1,N(Cockpit!$I$6))),CC1690)/BS1690,0)*BS1690</f>
        <v>3</v>
      </c>
      <c r="AS1690" s="58" t="n">
        <f aca="false">IF(AP1690&gt;0,J1690/AP1690,-1)</f>
        <v>0</v>
      </c>
      <c r="AT1690" s="58" t="n">
        <f aca="false">IF(AND(OR(BY1690="L1",BY1690="L23"),AP1690&gt;0),SUMIFS($AP$7:$AP$1843,$BY$7:$BY$1843,BY1690,$AS$7:$AS$1843,"&gt;"&amp;AS1690)+SUMIFS($AP$7:$AP$1843,$BY$7:$BY$1843,BY1690,$AS$7:$AS$1843,AS1690,$BQ$7:$BQ$1843,"&lt;="&amp;BQ1690),"")</f>
        <v>141.605900138509</v>
      </c>
      <c r="AU1690" s="65" t="n">
        <f aca="false">IF(AT1690="",0,MAX(0,MIN(1,(IF(BY1690="L1",Parameter!$E$5,Parameter!$E$6+Parameter!$E$7)-(AT1690-AP1690))/AP1690)))</f>
        <v>0</v>
      </c>
      <c r="AV1690" s="57" t="n">
        <f aca="false">IF(LEFT(Cockpit!$O$5,1)="A",H1690,IF(CA1690=1,CB1690,IF(LEFT(Cockpit!$O$5,1)="B",AZ1690,MAX(AZ1690,H1690))))</f>
        <v>3</v>
      </c>
      <c r="AW1690" s="57" t="n">
        <f aca="false">IF(BT1690=1,0,ROUNDUP(AV1690/BS1690,0))</f>
        <v>1</v>
      </c>
      <c r="AX1690" s="59" t="n">
        <f aca="false">IF(CH1690&gt;0,CH1690*MAX(1,AV1690/X1690),IF(BT1690=1,IF(AV1690&lt;=0,0,BW1690*MAX(1,IF(H1690&gt;0,AV1690/H1690,1))),IF(R1690&gt;0,AW1690/R1690,0))/MAX(0.1,N(Parameter!$M$21)))</f>
        <v>0.0833333333333333</v>
      </c>
      <c r="AY1690" s="57" t="n">
        <f aca="false">AV1690*G1690</f>
        <v>885</v>
      </c>
      <c r="AZ1690" s="57" t="n">
        <f aca="false">ROUNDUP(MAX(J1690/IF(BZ1690&gt;0,BZ1690,MAX(0.1,N(Cockpit!$O$6))),CC1690)/BS1690,0)*BS1690</f>
        <v>3</v>
      </c>
      <c r="BA1690" s="58" t="n">
        <f aca="false">IF(AX1690&gt;0,J1690/AX1690,-1)</f>
        <v>0</v>
      </c>
      <c r="BB1690" s="58" t="n">
        <f aca="false">IF(AND(OR(BY1690="L1",BY1690="L23"),AX1690&gt;0),SUMIFS($AX$7:$AX$1843,$BY$7:$BY$1843,BY1690,$BA$7:$BA$1843,"&gt;"&amp;BA1690)+SUMIFS($AX$7:$AX$1843,$BY$7:$BY$1843,BY1690,$BA$7:$BA$1843,BA1690,$BQ$7:$BQ$1843,"&lt;="&amp;BQ1690),"")</f>
        <v>132.435736968346</v>
      </c>
      <c r="BC1690" s="65" t="n">
        <f aca="false">IF(BB1690="",0,MAX(0,MIN(1,(IF(BY1690="L1",Parameter!$E$5,Parameter!$E$6+Parameter!$E$7)-(BB1690-AX1690))/AX1690)))</f>
        <v>0</v>
      </c>
      <c r="BD1690" s="55" t="str">
        <f aca="false">IF(AH1690&lt;=0,"",IF(BY1690="Aussen","Aussenlager",IF(BY1690="-","Nicht im Lift",IF(AM1690&gt;=1,"Lift",IF(AM1690&lt;=0,"Aussenlager","teilweise")))))</f>
        <v>Lift</v>
      </c>
      <c r="BE1690" s="55" t="str">
        <f aca="false">IF(AP1690&lt;=0,"",IF(BY1690="Aussen","Aussenlager",IF(BY1690="-","Nicht im Lift",IF(AU1690&gt;=1,"Lift",IF(AU1690&lt;=0,"Aussenlager","teilweise")))))</f>
        <v>Aussenlager</v>
      </c>
      <c r="BF1690" s="55" t="str">
        <f aca="false">IF(AX1690&lt;=0,"",IF(BY1690="Aussen","Aussenlager",IF(BY1690="-","Nicht im Lift",IF(BC1690&gt;=1,"Lift",IF(BC1690&lt;=0,"Aussenlager","teilweise")))))</f>
        <v>Aussenlager</v>
      </c>
      <c r="BG1690" s="55" t="str">
        <f aca="false">IF(A1690="","",IF(BP1690=1,"Neu; ","")&amp;IF(AND(BP1690=0,BK1690&lt;0),"negativer Bestand (Export "&amp;BK1690&amp;"); ","")&amp;IF(J1690&lt;=0,"Kein Verbrauch; ","")&amp;IF(CH1690&gt;0,"Lift "&amp;W1690&amp;" lt. Liftbericht (Fach "&amp;X1690&amp;" Stk); ",IF(BU1690=1,"Gebinde geschätzt ("&amp;T1690&amp;"); ",IF(BT1690=1,"Lose – Tablare geschätzt; ","")))&amp;IF(H1690&gt;AR1690,"Überbestand "&amp;ROUND(H1690-AR1690,0)&amp;" Stk / CHF "&amp;ROUND((H1690-AR1690)*G1690,0)&amp;"; ","")&amp;IF(AND(CA1690=1,CB1690&lt;CC1690),"MAX &lt; MB+LG; ","")&amp;IF(AND(CG1690&gt;0,CF1690*10&gt;CG1690),"zu hoch für Tablar; ","")&amp;IF(AND(BP1690=0,OR(CA1690=1,AA1690&lt;&gt;"",U1690&lt;&gt;"",V1690&lt;&gt;"",AB1690&lt;&gt;"")),"manuell übersteuert; ","")&amp;IF(AND(BT1690=0,R1690=0),"Gebinde unbekannt / Stellmass fehlt; ","")&amp;IF(AND(BT1690=0,N(V1690)&lt;=0,N(Q1690)&lt;=0),"Menge pro Gebinde fehlt (Ist = 1 Gebinde); ","")&amp;BO1690)</f>
        <v>Kein Verbrauch; nur im Artikelstamm (Bestand 23.06.2026); Neuer Art.</v>
      </c>
      <c r="BH1690" s="55"/>
      <c r="BI1690" s="55"/>
      <c r="BJ1690" s="62"/>
      <c r="BK1690" s="57" t="n">
        <v>3</v>
      </c>
      <c r="BL1690" s="57" t="n">
        <v>0</v>
      </c>
      <c r="BM1690" s="56" t="n">
        <v>0</v>
      </c>
      <c r="BN1690" s="57" t="n">
        <v>0</v>
      </c>
      <c r="BO1690" s="55" t="s">
        <v>2873</v>
      </c>
      <c r="BP1690" s="60" t="n">
        <v>0</v>
      </c>
      <c r="BQ1690" s="60" t="n">
        <v>1690</v>
      </c>
      <c r="BR1690" s="55" t="str">
        <f aca="false">IF(U1690&lt;&gt;"",UPPER(TRIM(U1690)),IF(BU1690=1,UPPER(VLOOKUP(T1690,Parameter!$I$27:$K$29,2,0)),IF(P1690="","LOSE",P1690)))</f>
        <v>S61</v>
      </c>
      <c r="BS1690" s="57" t="n">
        <f aca="false">IF(BR1690="LOSE",1,IF(N(V1690)&gt;0,V1690,IF(BU1690=1,MAX(1,N(VLOOKUP(T1690,Parameter!$I$27:$K$29,3,0)),H1690,N(N1690)),IF(N(Q1690)&gt;0,Q1690,MAX(1,H1690)))))</f>
        <v>3</v>
      </c>
      <c r="BT1690" s="60" t="n">
        <f aca="false">IF(BR1690="LOSE",1,0)</f>
        <v>0</v>
      </c>
      <c r="BU1690" s="60" t="n">
        <f aca="false">IF(AND(U1690="",OR(P1690="",P1690="LOSE"),T1690&lt;&gt;"",N(S1690)&lt;=0,ISNUMBER(MATCH(T1690,Parameter!$I$27:$I$29,0))),1,0)</f>
        <v>0</v>
      </c>
      <c r="BV1690" s="55" t="str">
        <f aca="false">IF(AND(Parameter!$B$19="Ja",E1690&lt;&gt;"",ISNUMBER(MATCH(E1690,Parameter!$I$35:$I$52,0))),VLOOKUP(E1690,Parameter!$I$35:$J$52,2,0),IFERROR(VLOOKUP(D1690,Parameter!$A$35:$C$64,2,0),"Nein"))</f>
        <v>2+3</v>
      </c>
      <c r="BW1690" s="59" t="n">
        <f aca="false">IF(BT1690=0,0,IF(N(S1690)&gt;0,S1690,IFERROR(VLOOKUP(D1690,Parameter!$A$35:$C$64,3,0)+0,0)))</f>
        <v>0</v>
      </c>
      <c r="BX1690" s="55" t="n">
        <f aca="false">IF(AA1690&lt;&gt;"",AA1690,Z1690)</f>
        <v>2</v>
      </c>
      <c r="BY1690" s="55" t="str">
        <f aca="false">IF(BX1690=1,"L1",IF(OR(BX1690=2,BX1690=3),"L23",IF(BX1690="Aussen","Aussen","-")))</f>
        <v>L23</v>
      </c>
      <c r="BZ1690" s="66" t="n">
        <f aca="false">IF(N(AB1690)&gt;0,AB1690,0)</f>
        <v>0</v>
      </c>
      <c r="CA1690" s="60" t="n">
        <f aca="false">IF(ISNUMBER(AE1690),1,0)</f>
        <v>0</v>
      </c>
      <c r="CB1690" s="57" t="n">
        <f aca="false">N(AE1690)</f>
        <v>0</v>
      </c>
      <c r="CC1690" s="57" t="n">
        <f aca="false">N(M1690)+N(N1690)</f>
        <v>3</v>
      </c>
      <c r="CD1690" s="57" t="n">
        <f aca="false">ROUNDUP(H1690/BS1690,0)</f>
        <v>1</v>
      </c>
      <c r="CE1690" s="57" t="n">
        <f aca="false">ROUNDUP(CB1690/BS1690,0)</f>
        <v>0</v>
      </c>
      <c r="CF1690" s="60" t="n">
        <f aca="false">IF(BT1690=1,0,IFERROR(VLOOKUP(BR1690,'Gebinde-Kategorie'!$A$5:$M$45,5,0)+0,0))</f>
        <v>11</v>
      </c>
      <c r="CG1690" s="60" t="n">
        <f aca="false">IFERROR(IF(OR(BX1690=1,BX1690=2,BX1690=3),N(INDEX(Parameter!$I$5:$I$7,BX1690)),0),0)</f>
        <v>0</v>
      </c>
      <c r="CH1690" s="59" t="n">
        <f aca="false">IF(AND(Parameter!$B$21="Ja",ISNUMBER(W1690),N(X1690)&gt;0),IFERROR(N(INDEX(Parameter!$L$5:$L$7,W1690))*INDEX(Parameter!$E$5:$E$7,W1690)*X1690/SUMIFS($X$7:$X$1843,$W$7:$W$1843,W1690),0),0)</f>
        <v>0</v>
      </c>
    </row>
    <row r="1691" customFormat="false" ht="15" hidden="false" customHeight="false" outlineLevel="0" collapsed="false">
      <c r="A1691" s="55" t="s">
        <v>2930</v>
      </c>
      <c r="B1691" s="55" t="s">
        <v>562</v>
      </c>
      <c r="C1691" s="55" t="s">
        <v>164</v>
      </c>
      <c r="D1691" s="55" t="s">
        <v>184</v>
      </c>
      <c r="E1691" s="55"/>
      <c r="F1691" s="55"/>
      <c r="G1691" s="56" t="n">
        <v>127</v>
      </c>
      <c r="H1691" s="57" t="n">
        <f aca="false">MAX(0,IF(AND(Parameter!$B$21="Ja",ISNUMBER(Y1691)),Y1691,IF(Parameter!$B$20="Jahresanfang 2025 + Export",BL1691+BK1691,BK1691)))</f>
        <v>23</v>
      </c>
      <c r="I1691" s="57" t="n">
        <f aca="false">H1691*G1691</f>
        <v>2921</v>
      </c>
      <c r="J1691" s="57" t="n">
        <f aca="false">BN1691*Parameter!$B$18</f>
        <v>0</v>
      </c>
      <c r="K1691" s="58"/>
      <c r="L1691" s="59"/>
      <c r="M1691" s="57" t="n">
        <v>0</v>
      </c>
      <c r="N1691" s="57" t="n">
        <v>1</v>
      </c>
      <c r="O1691" s="60" t="n">
        <v>35</v>
      </c>
      <c r="P1691" s="55" t="s">
        <v>302</v>
      </c>
      <c r="Q1691" s="57" t="n">
        <v>20</v>
      </c>
      <c r="R1691" s="60" t="n">
        <f aca="false">IF(BT1691=1,0,IFERROR(VLOOKUP(BR1691,'Gebinde-Kategorie'!$A$5:$M$45,13,0)+0,0))</f>
        <v>26</v>
      </c>
      <c r="S1691" s="61"/>
      <c r="T1691" s="62"/>
      <c r="U1691" s="62"/>
      <c r="V1691" s="62"/>
      <c r="W1691" s="55"/>
      <c r="X1691" s="57"/>
      <c r="Y1691" s="57"/>
      <c r="Z1691" s="55" t="n">
        <f aca="false">IF(A1691="","",IF(AND(Parameter!$B$21="Ja",ISNUMBER(W1691)),W1691,IF(BV1691="2+3",IF(ISNUMBER(SEARCH("grosser Artikel",BO1691)),2,IFERROR(VLOOKUP(BR1691,Parameter!$F$35:$G$64,2,0),2)),IF(OR(BV1691="Nein",BV1691=""),"-",BV1691))))</f>
        <v>3</v>
      </c>
      <c r="AA1691" s="62"/>
      <c r="AB1691" s="63"/>
      <c r="AC1691" s="57" t="n">
        <f aca="false">AR1691</f>
        <v>20</v>
      </c>
      <c r="AD1691" s="57" t="n">
        <f aca="false">MAX(AR1691,H1691)</f>
        <v>23</v>
      </c>
      <c r="AE1691" s="64"/>
      <c r="AF1691" s="57" t="n">
        <f aca="false">IF(LEFT(Cockpit!$C$5,1)="A",H1691,IF(CA1691=1,CB1691,IF(LEFT(Cockpit!$C$5,1)="B",AJ1691,MAX(AJ1691,H1691))))</f>
        <v>23</v>
      </c>
      <c r="AG1691" s="57" t="n">
        <f aca="false">IF(BT1691=1,0,ROUNDUP(AF1691/BS1691,0))</f>
        <v>2</v>
      </c>
      <c r="AH1691" s="59" t="n">
        <f aca="false">IF(CH1691&gt;0,CH1691*MAX(1,AF1691/X1691),IF(BT1691=1,IF(AF1691&lt;=0,0,BW1691*MAX(1,IF(H1691&gt;0,AF1691/H1691,1))),IF(R1691&gt;0,AG1691/R1691,0))/MAX(0.1,N(Parameter!$M$21)))</f>
        <v>0.0769230769230769</v>
      </c>
      <c r="AI1691" s="57" t="n">
        <f aca="false">AF1691*G1691</f>
        <v>2921</v>
      </c>
      <c r="AJ1691" s="57" t="n">
        <f aca="false">ROUNDUP(MAX(J1691/IF(BZ1691&gt;0,BZ1691,MAX(0.1,N(Cockpit!$C$6))),CC1691)/BS1691,0)*BS1691</f>
        <v>20</v>
      </c>
      <c r="AK1691" s="58" t="n">
        <f aca="false">IF(AH1691&gt;0,J1691/AH1691,-1)</f>
        <v>0</v>
      </c>
      <c r="AL1691" s="58" t="n">
        <f aca="false">IF(AND(OR(BY1691="L1",BY1691="L23"),AH1691&gt;0),SUMIFS($AH$7:$AH$1843,$BY$7:$BY$1843,BY1691,$AK$7:$AK$1843,"&gt;"&amp;AK1691)+SUMIFS($AH$7:$AH$1843,$BY$7:$BY$1843,BY1691,$AK$7:$AK$1843,AK1691,$BQ$7:$BQ$1843,"&lt;="&amp;BQ1691),"")</f>
        <v>96.3473531299618</v>
      </c>
      <c r="AM1691" s="65" t="n">
        <f aca="false">IF(AL1691="",0,MAX(0,MIN(1,(IF(BY1691="L1",Parameter!$E$5,Parameter!$E$6+Parameter!$E$7)-(AL1691-AH1691))/AH1691)))</f>
        <v>1</v>
      </c>
      <c r="AN1691" s="57" t="n">
        <f aca="false">IF(LEFT(Cockpit!$I$5,1)="A",H1691,IF(CA1691=1,CB1691,IF(LEFT(Cockpit!$I$5,1)="B",AR1691,MAX(AR1691,H1691))))</f>
        <v>23</v>
      </c>
      <c r="AO1691" s="57" t="n">
        <f aca="false">IF(BT1691=1,0,ROUNDUP(AN1691/BS1691,0))</f>
        <v>2</v>
      </c>
      <c r="AP1691" s="59" t="n">
        <f aca="false">IF(CH1691&gt;0,CH1691*MAX(1,AN1691/X1691),IF(BT1691=1,IF(AN1691&lt;=0,0,BW1691*MAX(1,IF(H1691&gt;0,AN1691/H1691,1))),IF(R1691&gt;0,AO1691/R1691,0))/MAX(0.1,N(Parameter!$M$21)))</f>
        <v>0.0769230769230769</v>
      </c>
      <c r="AQ1691" s="57" t="n">
        <f aca="false">AN1691*G1691</f>
        <v>2921</v>
      </c>
      <c r="AR1691" s="57" t="n">
        <f aca="false">ROUNDUP(MAX(J1691/IF(BZ1691&gt;0,BZ1691,MAX(0.1,N(Cockpit!$I$6))),CC1691)/BS1691,0)*BS1691</f>
        <v>20</v>
      </c>
      <c r="AS1691" s="58" t="n">
        <f aca="false">IF(AP1691&gt;0,J1691/AP1691,-1)</f>
        <v>0</v>
      </c>
      <c r="AT1691" s="58" t="n">
        <f aca="false">IF(AND(OR(BY1691="L1",BY1691="L23"),AP1691&gt;0),SUMIFS($AP$7:$AP$1843,$BY$7:$BY$1843,BY1691,$AS$7:$AS$1843,"&gt;"&amp;AS1691)+SUMIFS($AP$7:$AP$1843,$BY$7:$BY$1843,BY1691,$AS$7:$AS$1843,AS1691,$BQ$7:$BQ$1843,"&lt;="&amp;BQ1691),"")</f>
        <v>141.682823215432</v>
      </c>
      <c r="AU1691" s="65" t="n">
        <f aca="false">IF(AT1691="",0,MAX(0,MIN(1,(IF(BY1691="L1",Parameter!$E$5,Parameter!$E$6+Parameter!$E$7)-(AT1691-AP1691))/AP1691)))</f>
        <v>0</v>
      </c>
      <c r="AV1691" s="57" t="n">
        <f aca="false">IF(LEFT(Cockpit!$O$5,1)="A",H1691,IF(CA1691=1,CB1691,IF(LEFT(Cockpit!$O$5,1)="B",AZ1691,MAX(AZ1691,H1691))))</f>
        <v>23</v>
      </c>
      <c r="AW1691" s="57" t="n">
        <f aca="false">IF(BT1691=1,0,ROUNDUP(AV1691/BS1691,0))</f>
        <v>2</v>
      </c>
      <c r="AX1691" s="59" t="n">
        <f aca="false">IF(CH1691&gt;0,CH1691*MAX(1,AV1691/X1691),IF(BT1691=1,IF(AV1691&lt;=0,0,BW1691*MAX(1,IF(H1691&gt;0,AV1691/H1691,1))),IF(R1691&gt;0,AW1691/R1691,0))/MAX(0.1,N(Parameter!$M$21)))</f>
        <v>0.0769230769230769</v>
      </c>
      <c r="AY1691" s="57" t="n">
        <f aca="false">AV1691*G1691</f>
        <v>2921</v>
      </c>
      <c r="AZ1691" s="57" t="n">
        <f aca="false">ROUNDUP(MAX(J1691/IF(BZ1691&gt;0,BZ1691,MAX(0.1,N(Cockpit!$O$6))),CC1691)/BS1691,0)*BS1691</f>
        <v>20</v>
      </c>
      <c r="BA1691" s="58" t="n">
        <f aca="false">IF(AX1691&gt;0,J1691/AX1691,-1)</f>
        <v>0</v>
      </c>
      <c r="BB1691" s="58" t="n">
        <f aca="false">IF(AND(OR(BY1691="L1",BY1691="L23"),AX1691&gt;0),SUMIFS($AX$7:$AX$1843,$BY$7:$BY$1843,BY1691,$BA$7:$BA$1843,"&gt;"&amp;BA1691)+SUMIFS($AX$7:$AX$1843,$BY$7:$BY$1843,BY1691,$BA$7:$BA$1843,BA1691,$BQ$7:$BQ$1843,"&lt;="&amp;BQ1691),"")</f>
        <v>132.512660045269</v>
      </c>
      <c r="BC1691" s="65" t="n">
        <f aca="false">IF(BB1691="",0,MAX(0,MIN(1,(IF(BY1691="L1",Parameter!$E$5,Parameter!$E$6+Parameter!$E$7)-(BB1691-AX1691))/AX1691)))</f>
        <v>0</v>
      </c>
      <c r="BD1691" s="55" t="str">
        <f aca="false">IF(AH1691&lt;=0,"",IF(BY1691="Aussen","Aussenlager",IF(BY1691="-","Nicht im Lift",IF(AM1691&gt;=1,"Lift",IF(AM1691&lt;=0,"Aussenlager","teilweise")))))</f>
        <v>Lift</v>
      </c>
      <c r="BE1691" s="55" t="str">
        <f aca="false">IF(AP1691&lt;=0,"",IF(BY1691="Aussen","Aussenlager",IF(BY1691="-","Nicht im Lift",IF(AU1691&gt;=1,"Lift",IF(AU1691&lt;=0,"Aussenlager","teilweise")))))</f>
        <v>Aussenlager</v>
      </c>
      <c r="BF1691" s="55" t="str">
        <f aca="false">IF(AX1691&lt;=0,"",IF(BY1691="Aussen","Aussenlager",IF(BY1691="-","Nicht im Lift",IF(BC1691&gt;=1,"Lift",IF(BC1691&lt;=0,"Aussenlager","teilweise")))))</f>
        <v>Aussenlager</v>
      </c>
      <c r="BG1691" s="55" t="str">
        <f aca="false">IF(A1691="","",IF(BP1691=1,"Neu; ","")&amp;IF(AND(BP1691=0,BK1691&lt;0),"negativer Bestand (Export "&amp;BK1691&amp;"); ","")&amp;IF(J1691&lt;=0,"Kein Verbrauch; ","")&amp;IF(CH1691&gt;0,"Lift "&amp;W1691&amp;" lt. Liftbericht (Fach "&amp;X1691&amp;" Stk); ",IF(BU1691=1,"Gebinde geschätzt ("&amp;T1691&amp;"); ",IF(BT1691=1,"Lose – Tablare geschätzt; ","")))&amp;IF(H1691&gt;AR1691,"Überbestand "&amp;ROUND(H1691-AR1691,0)&amp;" Stk / CHF "&amp;ROUND((H1691-AR1691)*G1691,0)&amp;"; ","")&amp;IF(AND(CA1691=1,CB1691&lt;CC1691),"MAX &lt; MB+LG; ","")&amp;IF(AND(CG1691&gt;0,CF1691*10&gt;CG1691),"zu hoch für Tablar; ","")&amp;IF(AND(BP1691=0,OR(CA1691=1,AA1691&lt;&gt;"",U1691&lt;&gt;"",V1691&lt;&gt;"",AB1691&lt;&gt;"")),"manuell übersteuert; ","")&amp;IF(AND(BT1691=0,R1691=0),"Gebinde unbekannt / Stellmass fehlt; ","")&amp;IF(AND(BT1691=0,N(V1691)&lt;=0,N(Q1691)&lt;=0),"Menge pro Gebinde fehlt (Ist = 1 Gebinde); ","")&amp;BO1691)</f>
        <v>Kein Verbrauch; Überbestand 3 Stk / CHF 381; nur im Artikelstamm (Bestand 23.06.2026)</v>
      </c>
      <c r="BH1691" s="55"/>
      <c r="BI1691" s="55"/>
      <c r="BJ1691" s="62"/>
      <c r="BK1691" s="57" t="n">
        <v>23</v>
      </c>
      <c r="BL1691" s="57" t="n">
        <v>0</v>
      </c>
      <c r="BM1691" s="56" t="n">
        <v>0</v>
      </c>
      <c r="BN1691" s="57" t="n">
        <v>0</v>
      </c>
      <c r="BO1691" s="55" t="s">
        <v>2575</v>
      </c>
      <c r="BP1691" s="60" t="n">
        <v>0</v>
      </c>
      <c r="BQ1691" s="60" t="n">
        <v>1691</v>
      </c>
      <c r="BR1691" s="55" t="str">
        <f aca="false">IF(U1691&lt;&gt;"",UPPER(TRIM(U1691)),IF(BU1691=1,UPPER(VLOOKUP(T1691,Parameter!$I$27:$K$29,2,0)),IF(P1691="","LOSE",P1691)))</f>
        <v>S51</v>
      </c>
      <c r="BS1691" s="57" t="n">
        <f aca="false">IF(BR1691="LOSE",1,IF(N(V1691)&gt;0,V1691,IF(BU1691=1,MAX(1,N(VLOOKUP(T1691,Parameter!$I$27:$K$29,3,0)),H1691,N(N1691)),IF(N(Q1691)&gt;0,Q1691,MAX(1,H1691)))))</f>
        <v>20</v>
      </c>
      <c r="BT1691" s="60" t="n">
        <f aca="false">IF(BR1691="LOSE",1,0)</f>
        <v>0</v>
      </c>
      <c r="BU1691" s="60" t="n">
        <f aca="false">IF(AND(U1691="",OR(P1691="",P1691="LOSE"),T1691&lt;&gt;"",N(S1691)&lt;=0,ISNUMBER(MATCH(T1691,Parameter!$I$27:$I$29,0))),1,0)</f>
        <v>0</v>
      </c>
      <c r="BV1691" s="55" t="str">
        <f aca="false">IF(AND(Parameter!$B$19="Ja",E1691&lt;&gt;"",ISNUMBER(MATCH(E1691,Parameter!$I$35:$I$52,0))),VLOOKUP(E1691,Parameter!$I$35:$J$52,2,0),IFERROR(VLOOKUP(D1691,Parameter!$A$35:$C$64,2,0),"Nein"))</f>
        <v>2+3</v>
      </c>
      <c r="BW1691" s="59" t="n">
        <f aca="false">IF(BT1691=0,0,IF(N(S1691)&gt;0,S1691,IFERROR(VLOOKUP(D1691,Parameter!$A$35:$C$64,3,0)+0,0)))</f>
        <v>0</v>
      </c>
      <c r="BX1691" s="55" t="n">
        <f aca="false">IF(AA1691&lt;&gt;"",AA1691,Z1691)</f>
        <v>3</v>
      </c>
      <c r="BY1691" s="55" t="str">
        <f aca="false">IF(BX1691=1,"L1",IF(OR(BX1691=2,BX1691=3),"L23",IF(BX1691="Aussen","Aussen","-")))</f>
        <v>L23</v>
      </c>
      <c r="BZ1691" s="66" t="n">
        <f aca="false">IF(N(AB1691)&gt;0,AB1691,0)</f>
        <v>0</v>
      </c>
      <c r="CA1691" s="60" t="n">
        <f aca="false">IF(ISNUMBER(AE1691),1,0)</f>
        <v>0</v>
      </c>
      <c r="CB1691" s="57" t="n">
        <f aca="false">N(AE1691)</f>
        <v>0</v>
      </c>
      <c r="CC1691" s="57" t="n">
        <f aca="false">N(M1691)+N(N1691)</f>
        <v>1</v>
      </c>
      <c r="CD1691" s="57" t="n">
        <f aca="false">ROUNDUP(H1691/BS1691,0)</f>
        <v>2</v>
      </c>
      <c r="CE1691" s="57" t="n">
        <f aca="false">ROUNDUP(CB1691/BS1691,0)</f>
        <v>0</v>
      </c>
      <c r="CF1691" s="60" t="n">
        <f aca="false">IF(BT1691=1,0,IFERROR(VLOOKUP(BR1691,'Gebinde-Kategorie'!$A$5:$M$45,5,0)+0,0))</f>
        <v>11</v>
      </c>
      <c r="CG1691" s="60" t="n">
        <f aca="false">IFERROR(IF(OR(BX1691=1,BX1691=2,BX1691=3),N(INDEX(Parameter!$I$5:$I$7,BX1691)),0),0)</f>
        <v>0</v>
      </c>
      <c r="CH1691" s="59" t="n">
        <f aca="false">IF(AND(Parameter!$B$21="Ja",ISNUMBER(W1691),N(X1691)&gt;0),IFERROR(N(INDEX(Parameter!$L$5:$L$7,W1691))*INDEX(Parameter!$E$5:$E$7,W1691)*X1691/SUMIFS($X$7:$X$1843,$W$7:$W$1843,W1691),0),0)</f>
        <v>0</v>
      </c>
    </row>
    <row r="1692" customFormat="false" ht="15" hidden="false" customHeight="false" outlineLevel="0" collapsed="false">
      <c r="A1692" s="55" t="s">
        <v>2931</v>
      </c>
      <c r="B1692" s="55" t="s">
        <v>532</v>
      </c>
      <c r="C1692" s="55" t="s">
        <v>164</v>
      </c>
      <c r="D1692" s="55" t="s">
        <v>184</v>
      </c>
      <c r="E1692" s="55"/>
      <c r="F1692" s="55"/>
      <c r="G1692" s="56" t="n">
        <v>15.36</v>
      </c>
      <c r="H1692" s="57" t="n">
        <f aca="false">MAX(0,IF(AND(Parameter!$B$21="Ja",ISNUMBER(Y1692)),Y1692,IF(Parameter!$B$20="Jahresanfang 2025 + Export",BL1692+BK1692,BK1692)))</f>
        <v>11</v>
      </c>
      <c r="I1692" s="57" t="n">
        <f aca="false">H1692*G1692</f>
        <v>168.96</v>
      </c>
      <c r="J1692" s="57" t="n">
        <f aca="false">BN1692*Parameter!$B$18</f>
        <v>0</v>
      </c>
      <c r="K1692" s="58"/>
      <c r="L1692" s="59"/>
      <c r="M1692" s="57" t="n">
        <v>0</v>
      </c>
      <c r="N1692" s="57" t="n">
        <v>1</v>
      </c>
      <c r="O1692" s="60" t="n">
        <v>97</v>
      </c>
      <c r="P1692" s="55" t="s">
        <v>302</v>
      </c>
      <c r="Q1692" s="57" t="n">
        <v>17</v>
      </c>
      <c r="R1692" s="60" t="n">
        <f aca="false">IF(BT1692=1,0,IFERROR(VLOOKUP(BR1692,'Gebinde-Kategorie'!$A$5:$M$45,13,0)+0,0))</f>
        <v>26</v>
      </c>
      <c r="S1692" s="61"/>
      <c r="T1692" s="62"/>
      <c r="U1692" s="62"/>
      <c r="V1692" s="62"/>
      <c r="W1692" s="55"/>
      <c r="X1692" s="57"/>
      <c r="Y1692" s="57"/>
      <c r="Z1692" s="55" t="n">
        <f aca="false">IF(A1692="","",IF(AND(Parameter!$B$21="Ja",ISNUMBER(W1692)),W1692,IF(BV1692="2+3",IF(ISNUMBER(SEARCH("grosser Artikel",BO1692)),2,IFERROR(VLOOKUP(BR1692,Parameter!$F$35:$G$64,2,0),2)),IF(OR(BV1692="Nein",BV1692=""),"-",BV1692))))</f>
        <v>3</v>
      </c>
      <c r="AA1692" s="62"/>
      <c r="AB1692" s="63"/>
      <c r="AC1692" s="57" t="n">
        <f aca="false">AR1692</f>
        <v>17</v>
      </c>
      <c r="AD1692" s="57" t="n">
        <f aca="false">MAX(AR1692,H1692)</f>
        <v>17</v>
      </c>
      <c r="AE1692" s="64"/>
      <c r="AF1692" s="57" t="n">
        <f aca="false">IF(LEFT(Cockpit!$C$5,1)="A",H1692,IF(CA1692=1,CB1692,IF(LEFT(Cockpit!$C$5,1)="B",AJ1692,MAX(AJ1692,H1692))))</f>
        <v>11</v>
      </c>
      <c r="AG1692" s="57" t="n">
        <f aca="false">IF(BT1692=1,0,ROUNDUP(AF1692/BS1692,0))</f>
        <v>1</v>
      </c>
      <c r="AH1692" s="59" t="n">
        <f aca="false">IF(CH1692&gt;0,CH1692*MAX(1,AF1692/X1692),IF(BT1692=1,IF(AF1692&lt;=0,0,BW1692*MAX(1,IF(H1692&gt;0,AF1692/H1692,1))),IF(R1692&gt;0,AG1692/R1692,0))/MAX(0.1,N(Parameter!$M$21)))</f>
        <v>0.0384615384615385</v>
      </c>
      <c r="AI1692" s="57" t="n">
        <f aca="false">AF1692*G1692</f>
        <v>168.96</v>
      </c>
      <c r="AJ1692" s="57" t="n">
        <f aca="false">ROUNDUP(MAX(J1692/IF(BZ1692&gt;0,BZ1692,MAX(0.1,N(Cockpit!$C$6))),CC1692)/BS1692,0)*BS1692</f>
        <v>17</v>
      </c>
      <c r="AK1692" s="58" t="n">
        <f aca="false">IF(AH1692&gt;0,J1692/AH1692,-1)</f>
        <v>0</v>
      </c>
      <c r="AL1692" s="58" t="n">
        <f aca="false">IF(AND(OR(BY1692="L1",BY1692="L23"),AH1692&gt;0),SUMIFS($AH$7:$AH$1843,$BY$7:$BY$1843,BY1692,$AK$7:$AK$1843,"&gt;"&amp;AK1692)+SUMIFS($AH$7:$AH$1843,$BY$7:$BY$1843,BY1692,$AK$7:$AK$1843,AK1692,$BQ$7:$BQ$1843,"&lt;="&amp;BQ1692),"")</f>
        <v>96.3858146684234</v>
      </c>
      <c r="AM1692" s="65" t="n">
        <f aca="false">IF(AL1692="",0,MAX(0,MIN(1,(IF(BY1692="L1",Parameter!$E$5,Parameter!$E$6+Parameter!$E$7)-(AL1692-AH1692))/AH1692)))</f>
        <v>1</v>
      </c>
      <c r="AN1692" s="57" t="n">
        <f aca="false">IF(LEFT(Cockpit!$I$5,1)="A",H1692,IF(CA1692=1,CB1692,IF(LEFT(Cockpit!$I$5,1)="B",AR1692,MAX(AR1692,H1692))))</f>
        <v>17</v>
      </c>
      <c r="AO1692" s="57" t="n">
        <f aca="false">IF(BT1692=1,0,ROUNDUP(AN1692/BS1692,0))</f>
        <v>1</v>
      </c>
      <c r="AP1692" s="59" t="n">
        <f aca="false">IF(CH1692&gt;0,CH1692*MAX(1,AN1692/X1692),IF(BT1692=1,IF(AN1692&lt;=0,0,BW1692*MAX(1,IF(H1692&gt;0,AN1692/H1692,1))),IF(R1692&gt;0,AO1692/R1692,0))/MAX(0.1,N(Parameter!$M$21)))</f>
        <v>0.0384615384615385</v>
      </c>
      <c r="AQ1692" s="57" t="n">
        <f aca="false">AN1692*G1692</f>
        <v>261.12</v>
      </c>
      <c r="AR1692" s="57" t="n">
        <f aca="false">ROUNDUP(MAX(J1692/IF(BZ1692&gt;0,BZ1692,MAX(0.1,N(Cockpit!$I$6))),CC1692)/BS1692,0)*BS1692</f>
        <v>17</v>
      </c>
      <c r="AS1692" s="58" t="n">
        <f aca="false">IF(AP1692&gt;0,J1692/AP1692,-1)</f>
        <v>0</v>
      </c>
      <c r="AT1692" s="58" t="n">
        <f aca="false">IF(AND(OR(BY1692="L1",BY1692="L23"),AP1692&gt;0),SUMIFS($AP$7:$AP$1843,$BY$7:$BY$1843,BY1692,$AS$7:$AS$1843,"&gt;"&amp;AS1692)+SUMIFS($AP$7:$AP$1843,$BY$7:$BY$1843,BY1692,$AS$7:$AS$1843,AS1692,$BQ$7:$BQ$1843,"&lt;="&amp;BQ1692),"")</f>
        <v>141.721284753893</v>
      </c>
      <c r="AU1692" s="65" t="n">
        <f aca="false">IF(AT1692="",0,MAX(0,MIN(1,(IF(BY1692="L1",Parameter!$E$5,Parameter!$E$6+Parameter!$E$7)-(AT1692-AP1692))/AP1692)))</f>
        <v>0</v>
      </c>
      <c r="AV1692" s="57" t="n">
        <f aca="false">IF(LEFT(Cockpit!$O$5,1)="A",H1692,IF(CA1692=1,CB1692,IF(LEFT(Cockpit!$O$5,1)="B",AZ1692,MAX(AZ1692,H1692))))</f>
        <v>17</v>
      </c>
      <c r="AW1692" s="57" t="n">
        <f aca="false">IF(BT1692=1,0,ROUNDUP(AV1692/BS1692,0))</f>
        <v>1</v>
      </c>
      <c r="AX1692" s="59" t="n">
        <f aca="false">IF(CH1692&gt;0,CH1692*MAX(1,AV1692/X1692),IF(BT1692=1,IF(AV1692&lt;=0,0,BW1692*MAX(1,IF(H1692&gt;0,AV1692/H1692,1))),IF(R1692&gt;0,AW1692/R1692,0))/MAX(0.1,N(Parameter!$M$21)))</f>
        <v>0.0384615384615385</v>
      </c>
      <c r="AY1692" s="57" t="n">
        <f aca="false">AV1692*G1692</f>
        <v>261.12</v>
      </c>
      <c r="AZ1692" s="57" t="n">
        <f aca="false">ROUNDUP(MAX(J1692/IF(BZ1692&gt;0,BZ1692,MAX(0.1,N(Cockpit!$O$6))),CC1692)/BS1692,0)*BS1692</f>
        <v>17</v>
      </c>
      <c r="BA1692" s="58" t="n">
        <f aca="false">IF(AX1692&gt;0,J1692/AX1692,-1)</f>
        <v>0</v>
      </c>
      <c r="BB1692" s="58" t="n">
        <f aca="false">IF(AND(OR(BY1692="L1",BY1692="L23"),AX1692&gt;0),SUMIFS($AX$7:$AX$1843,$BY$7:$BY$1843,BY1692,$BA$7:$BA$1843,"&gt;"&amp;BA1692)+SUMIFS($AX$7:$AX$1843,$BY$7:$BY$1843,BY1692,$BA$7:$BA$1843,BA1692,$BQ$7:$BQ$1843,"&lt;="&amp;BQ1692),"")</f>
        <v>132.55112158373</v>
      </c>
      <c r="BC1692" s="65" t="n">
        <f aca="false">IF(BB1692="",0,MAX(0,MIN(1,(IF(BY1692="L1",Parameter!$E$5,Parameter!$E$6+Parameter!$E$7)-(BB1692-AX1692))/AX1692)))</f>
        <v>0</v>
      </c>
      <c r="BD1692" s="55" t="str">
        <f aca="false">IF(AH1692&lt;=0,"",IF(BY1692="Aussen","Aussenlager",IF(BY1692="-","Nicht im Lift",IF(AM1692&gt;=1,"Lift",IF(AM1692&lt;=0,"Aussenlager","teilweise")))))</f>
        <v>Lift</v>
      </c>
      <c r="BE1692" s="55" t="str">
        <f aca="false">IF(AP1692&lt;=0,"",IF(BY1692="Aussen","Aussenlager",IF(BY1692="-","Nicht im Lift",IF(AU1692&gt;=1,"Lift",IF(AU1692&lt;=0,"Aussenlager","teilweise")))))</f>
        <v>Aussenlager</v>
      </c>
      <c r="BF1692" s="55" t="str">
        <f aca="false">IF(AX1692&lt;=0,"",IF(BY1692="Aussen","Aussenlager",IF(BY1692="-","Nicht im Lift",IF(BC1692&gt;=1,"Lift",IF(BC1692&lt;=0,"Aussenlager","teilweise")))))</f>
        <v>Aussenlager</v>
      </c>
      <c r="BG1692" s="55" t="str">
        <f aca="false">IF(A1692="","",IF(BP1692=1,"Neu; ","")&amp;IF(AND(BP1692=0,BK1692&lt;0),"negativer Bestand (Export "&amp;BK1692&amp;"); ","")&amp;IF(J1692&lt;=0,"Kein Verbrauch; ","")&amp;IF(CH1692&gt;0,"Lift "&amp;W1692&amp;" lt. Liftbericht (Fach "&amp;X1692&amp;" Stk); ",IF(BU1692=1,"Gebinde geschätzt ("&amp;T1692&amp;"); ",IF(BT1692=1,"Lose – Tablare geschätzt; ","")))&amp;IF(H1692&gt;AR1692,"Überbestand "&amp;ROUND(H1692-AR1692,0)&amp;" Stk / CHF "&amp;ROUND((H1692-AR1692)*G1692,0)&amp;"; ","")&amp;IF(AND(CA1692=1,CB1692&lt;CC1692),"MAX &lt; MB+LG; ","")&amp;IF(AND(CG1692&gt;0,CF1692*10&gt;CG1692),"zu hoch für Tablar; ","")&amp;IF(AND(BP1692=0,OR(CA1692=1,AA1692&lt;&gt;"",U1692&lt;&gt;"",V1692&lt;&gt;"",AB1692&lt;&gt;"")),"manuell übersteuert; ","")&amp;IF(AND(BT1692=0,R1692=0),"Gebinde unbekannt / Stellmass fehlt; ","")&amp;IF(AND(BT1692=0,N(V1692)&lt;=0,N(Q1692)&lt;=0),"Menge pro Gebinde fehlt (Ist = 1 Gebinde); ","")&amp;BO1692)</f>
        <v>Kein Verbrauch; nur im Artikelstamm (Bestand 23.06.2026); Überbestand</v>
      </c>
      <c r="BH1692" s="55"/>
      <c r="BI1692" s="55"/>
      <c r="BJ1692" s="62"/>
      <c r="BK1692" s="57" t="n">
        <v>11</v>
      </c>
      <c r="BL1692" s="57" t="n">
        <v>0</v>
      </c>
      <c r="BM1692" s="56" t="n">
        <v>0</v>
      </c>
      <c r="BN1692" s="57" t="n">
        <v>0</v>
      </c>
      <c r="BO1692" s="55" t="s">
        <v>2572</v>
      </c>
      <c r="BP1692" s="60" t="n">
        <v>0</v>
      </c>
      <c r="BQ1692" s="60" t="n">
        <v>1692</v>
      </c>
      <c r="BR1692" s="55" t="str">
        <f aca="false">IF(U1692&lt;&gt;"",UPPER(TRIM(U1692)),IF(BU1692=1,UPPER(VLOOKUP(T1692,Parameter!$I$27:$K$29,2,0)),IF(P1692="","LOSE",P1692)))</f>
        <v>S51</v>
      </c>
      <c r="BS1692" s="57" t="n">
        <f aca="false">IF(BR1692="LOSE",1,IF(N(V1692)&gt;0,V1692,IF(BU1692=1,MAX(1,N(VLOOKUP(T1692,Parameter!$I$27:$K$29,3,0)),H1692,N(N1692)),IF(N(Q1692)&gt;0,Q1692,MAX(1,H1692)))))</f>
        <v>17</v>
      </c>
      <c r="BT1692" s="60" t="n">
        <f aca="false">IF(BR1692="LOSE",1,0)</f>
        <v>0</v>
      </c>
      <c r="BU1692" s="60" t="n">
        <f aca="false">IF(AND(U1692="",OR(P1692="",P1692="LOSE"),T1692&lt;&gt;"",N(S1692)&lt;=0,ISNUMBER(MATCH(T1692,Parameter!$I$27:$I$29,0))),1,0)</f>
        <v>0</v>
      </c>
      <c r="BV1692" s="55" t="str">
        <f aca="false">IF(AND(Parameter!$B$19="Ja",E1692&lt;&gt;"",ISNUMBER(MATCH(E1692,Parameter!$I$35:$I$52,0))),VLOOKUP(E1692,Parameter!$I$35:$J$52,2,0),IFERROR(VLOOKUP(D1692,Parameter!$A$35:$C$64,2,0),"Nein"))</f>
        <v>2+3</v>
      </c>
      <c r="BW1692" s="59" t="n">
        <f aca="false">IF(BT1692=0,0,IF(N(S1692)&gt;0,S1692,IFERROR(VLOOKUP(D1692,Parameter!$A$35:$C$64,3,0)+0,0)))</f>
        <v>0</v>
      </c>
      <c r="BX1692" s="55" t="n">
        <f aca="false">IF(AA1692&lt;&gt;"",AA1692,Z1692)</f>
        <v>3</v>
      </c>
      <c r="BY1692" s="55" t="str">
        <f aca="false">IF(BX1692=1,"L1",IF(OR(BX1692=2,BX1692=3),"L23",IF(BX1692="Aussen","Aussen","-")))</f>
        <v>L23</v>
      </c>
      <c r="BZ1692" s="66" t="n">
        <f aca="false">IF(N(AB1692)&gt;0,AB1692,0)</f>
        <v>0</v>
      </c>
      <c r="CA1692" s="60" t="n">
        <f aca="false">IF(ISNUMBER(AE1692),1,0)</f>
        <v>0</v>
      </c>
      <c r="CB1692" s="57" t="n">
        <f aca="false">N(AE1692)</f>
        <v>0</v>
      </c>
      <c r="CC1692" s="57" t="n">
        <f aca="false">N(M1692)+N(N1692)</f>
        <v>1</v>
      </c>
      <c r="CD1692" s="57" t="n">
        <f aca="false">ROUNDUP(H1692/BS1692,0)</f>
        <v>1</v>
      </c>
      <c r="CE1692" s="57" t="n">
        <f aca="false">ROUNDUP(CB1692/BS1692,0)</f>
        <v>0</v>
      </c>
      <c r="CF1692" s="60" t="n">
        <f aca="false">IF(BT1692=1,0,IFERROR(VLOOKUP(BR1692,'Gebinde-Kategorie'!$A$5:$M$45,5,0)+0,0))</f>
        <v>11</v>
      </c>
      <c r="CG1692" s="60" t="n">
        <f aca="false">IFERROR(IF(OR(BX1692=1,BX1692=2,BX1692=3),N(INDEX(Parameter!$I$5:$I$7,BX1692)),0),0)</f>
        <v>0</v>
      </c>
      <c r="CH1692" s="59" t="n">
        <f aca="false">IF(AND(Parameter!$B$21="Ja",ISNUMBER(W1692),N(X1692)&gt;0),IFERROR(N(INDEX(Parameter!$L$5:$L$7,W1692))*INDEX(Parameter!$E$5:$E$7,W1692)*X1692/SUMIFS($X$7:$X$1843,$W$7:$W$1843,W1692),0),0)</f>
        <v>0</v>
      </c>
    </row>
    <row r="1693" customFormat="false" ht="15" hidden="false" customHeight="false" outlineLevel="0" collapsed="false">
      <c r="A1693" s="55" t="s">
        <v>2932</v>
      </c>
      <c r="B1693" s="55" t="s">
        <v>717</v>
      </c>
      <c r="C1693" s="55" t="s">
        <v>164</v>
      </c>
      <c r="D1693" s="55" t="s">
        <v>173</v>
      </c>
      <c r="E1693" s="55" t="s">
        <v>166</v>
      </c>
      <c r="F1693" s="55"/>
      <c r="G1693" s="56" t="n">
        <v>69</v>
      </c>
      <c r="H1693" s="57" t="n">
        <f aca="false">MAX(0,IF(AND(Parameter!$B$21="Ja",ISNUMBER(Y1693)),Y1693,IF(Parameter!$B$20="Jahresanfang 2025 + Export",BL1693+BK1693,BK1693)))</f>
        <v>4</v>
      </c>
      <c r="I1693" s="57" t="n">
        <f aca="false">H1693*G1693</f>
        <v>276</v>
      </c>
      <c r="J1693" s="57" t="n">
        <f aca="false">BN1693*Parameter!$B$18</f>
        <v>0</v>
      </c>
      <c r="K1693" s="58"/>
      <c r="L1693" s="59"/>
      <c r="M1693" s="57" t="n">
        <v>0</v>
      </c>
      <c r="N1693" s="57" t="n">
        <v>10</v>
      </c>
      <c r="O1693" s="60" t="n">
        <v>56</v>
      </c>
      <c r="P1693" s="55" t="s">
        <v>302</v>
      </c>
      <c r="Q1693" s="57" t="n">
        <v>15</v>
      </c>
      <c r="R1693" s="60" t="n">
        <f aca="false">IF(BT1693=1,0,IFERROR(VLOOKUP(BR1693,'Gebinde-Kategorie'!$A$5:$M$45,13,0)+0,0))</f>
        <v>26</v>
      </c>
      <c r="S1693" s="61"/>
      <c r="T1693" s="62"/>
      <c r="U1693" s="62"/>
      <c r="V1693" s="62"/>
      <c r="W1693" s="55"/>
      <c r="X1693" s="57"/>
      <c r="Y1693" s="57"/>
      <c r="Z1693" s="55" t="n">
        <f aca="false">IF(A1693="","",IF(AND(Parameter!$B$21="Ja",ISNUMBER(W1693)),W1693,IF(BV1693="2+3",IF(ISNUMBER(SEARCH("grosser Artikel",BO1693)),2,IFERROR(VLOOKUP(BR1693,Parameter!$F$35:$G$64,2,0),2)),IF(OR(BV1693="Nein",BV1693=""),"-",BV1693))))</f>
        <v>1</v>
      </c>
      <c r="AA1693" s="62"/>
      <c r="AB1693" s="63"/>
      <c r="AC1693" s="57" t="n">
        <f aca="false">AR1693</f>
        <v>15</v>
      </c>
      <c r="AD1693" s="57" t="n">
        <f aca="false">MAX(AR1693,H1693)</f>
        <v>15</v>
      </c>
      <c r="AE1693" s="64"/>
      <c r="AF1693" s="57" t="n">
        <f aca="false">IF(LEFT(Cockpit!$C$5,1)="A",H1693,IF(CA1693=1,CB1693,IF(LEFT(Cockpit!$C$5,1)="B",AJ1693,MAX(AJ1693,H1693))))</f>
        <v>4</v>
      </c>
      <c r="AG1693" s="57" t="n">
        <f aca="false">IF(BT1693=1,0,ROUNDUP(AF1693/BS1693,0))</f>
        <v>1</v>
      </c>
      <c r="AH1693" s="59" t="n">
        <f aca="false">IF(CH1693&gt;0,CH1693*MAX(1,AF1693/X1693),IF(BT1693=1,IF(AF1693&lt;=0,0,BW1693*MAX(1,IF(H1693&gt;0,AF1693/H1693,1))),IF(R1693&gt;0,AG1693/R1693,0))/MAX(0.1,N(Parameter!$M$21)))</f>
        <v>0.0384615384615385</v>
      </c>
      <c r="AI1693" s="57" t="n">
        <f aca="false">AF1693*G1693</f>
        <v>276</v>
      </c>
      <c r="AJ1693" s="57" t="n">
        <f aca="false">ROUNDUP(MAX(J1693/IF(BZ1693&gt;0,BZ1693,MAX(0.1,N(Cockpit!$C$6))),CC1693)/BS1693,0)*BS1693</f>
        <v>15</v>
      </c>
      <c r="AK1693" s="58" t="n">
        <f aca="false">IF(AH1693&gt;0,J1693/AH1693,-1)</f>
        <v>0</v>
      </c>
      <c r="AL1693" s="58" t="n">
        <f aca="false">IF(AND(OR(BY1693="L1",BY1693="L23"),AH1693&gt;0),SUMIFS($AH$7:$AH$1843,$BY$7:$BY$1843,BY1693,$AK$7:$AK$1843,"&gt;"&amp;AK1693)+SUMIFS($AH$7:$AH$1843,$BY$7:$BY$1843,BY1693,$AK$7:$AK$1843,AK1693,$BQ$7:$BQ$1843,"&lt;="&amp;BQ1693),"")</f>
        <v>53.8343505344242</v>
      </c>
      <c r="AM1693" s="65" t="n">
        <f aca="false">IF(AL1693="",0,MAX(0,MIN(1,(IF(BY1693="L1",Parameter!$E$5,Parameter!$E$6+Parameter!$E$7)-(AL1693-AH1693))/AH1693)))</f>
        <v>0</v>
      </c>
      <c r="AN1693" s="57" t="n">
        <f aca="false">IF(LEFT(Cockpit!$I$5,1)="A",H1693,IF(CA1693=1,CB1693,IF(LEFT(Cockpit!$I$5,1)="B",AR1693,MAX(AR1693,H1693))))</f>
        <v>15</v>
      </c>
      <c r="AO1693" s="57" t="n">
        <f aca="false">IF(BT1693=1,0,ROUNDUP(AN1693/BS1693,0))</f>
        <v>1</v>
      </c>
      <c r="AP1693" s="59" t="n">
        <f aca="false">IF(CH1693&gt;0,CH1693*MAX(1,AN1693/X1693),IF(BT1693=1,IF(AN1693&lt;=0,0,BW1693*MAX(1,IF(H1693&gt;0,AN1693/H1693,1))),IF(R1693&gt;0,AO1693/R1693,0))/MAX(0.1,N(Parameter!$M$21)))</f>
        <v>0.0384615384615385</v>
      </c>
      <c r="AQ1693" s="57" t="n">
        <f aca="false">AN1693*G1693</f>
        <v>1035</v>
      </c>
      <c r="AR1693" s="57" t="n">
        <f aca="false">ROUNDUP(MAX(J1693/IF(BZ1693&gt;0,BZ1693,MAX(0.1,N(Cockpit!$I$6))),CC1693)/BS1693,0)*BS1693</f>
        <v>15</v>
      </c>
      <c r="AS1693" s="58" t="n">
        <f aca="false">IF(AP1693&gt;0,J1693/AP1693,-1)</f>
        <v>0</v>
      </c>
      <c r="AT1693" s="58" t="n">
        <f aca="false">IF(AND(OR(BY1693="L1",BY1693="L23"),AP1693&gt;0),SUMIFS($AP$7:$AP$1843,$BY$7:$BY$1843,BY1693,$AS$7:$AS$1843,"&gt;"&amp;AS1693)+SUMIFS($AP$7:$AP$1843,$BY$7:$BY$1843,BY1693,$AS$7:$AS$1843,AS1693,$BQ$7:$BQ$1843,"&lt;="&amp;BQ1693),"")</f>
        <v>70.7945127827221</v>
      </c>
      <c r="AU1693" s="65" t="n">
        <f aca="false">IF(AT1693="",0,MAX(0,MIN(1,(IF(BY1693="L1",Parameter!$E$5,Parameter!$E$6+Parameter!$E$7)-(AT1693-AP1693))/AP1693)))</f>
        <v>0</v>
      </c>
      <c r="AV1693" s="57" t="n">
        <f aca="false">IF(LEFT(Cockpit!$O$5,1)="A",H1693,IF(CA1693=1,CB1693,IF(LEFT(Cockpit!$O$5,1)="B",AZ1693,MAX(AZ1693,H1693))))</f>
        <v>15</v>
      </c>
      <c r="AW1693" s="57" t="n">
        <f aca="false">IF(BT1693=1,0,ROUNDUP(AV1693/BS1693,0))</f>
        <v>1</v>
      </c>
      <c r="AX1693" s="59" t="n">
        <f aca="false">IF(CH1693&gt;0,CH1693*MAX(1,AV1693/X1693),IF(BT1693=1,IF(AV1693&lt;=0,0,BW1693*MAX(1,IF(H1693&gt;0,AV1693/H1693,1))),IF(R1693&gt;0,AW1693/R1693,0))/MAX(0.1,N(Parameter!$M$21)))</f>
        <v>0.0384615384615385</v>
      </c>
      <c r="AY1693" s="57" t="n">
        <f aca="false">AV1693*G1693</f>
        <v>1035</v>
      </c>
      <c r="AZ1693" s="57" t="n">
        <f aca="false">ROUNDUP(MAX(J1693/IF(BZ1693&gt;0,BZ1693,MAX(0.1,N(Cockpit!$O$6))),CC1693)/BS1693,0)*BS1693</f>
        <v>15</v>
      </c>
      <c r="BA1693" s="58" t="n">
        <f aca="false">IF(AX1693&gt;0,J1693/AX1693,-1)</f>
        <v>0</v>
      </c>
      <c r="BB1693" s="58" t="n">
        <f aca="false">IF(AND(OR(BY1693="L1",BY1693="L23"),AX1693&gt;0),SUMIFS($AX$7:$AX$1843,$BY$7:$BY$1843,BY1693,$BA$7:$BA$1843,"&gt;"&amp;BA1693)+SUMIFS($AX$7:$AX$1843,$BY$7:$BY$1843,BY1693,$BA$7:$BA$1843,BA1693,$BQ$7:$BQ$1843,"&lt;="&amp;BQ1693),"")</f>
        <v>64.4613243139404</v>
      </c>
      <c r="BC1693" s="65" t="n">
        <f aca="false">IF(BB1693="",0,MAX(0,MIN(1,(IF(BY1693="L1",Parameter!$E$5,Parameter!$E$6+Parameter!$E$7)-(BB1693-AX1693))/AX1693)))</f>
        <v>0</v>
      </c>
      <c r="BD1693" s="55" t="str">
        <f aca="false">IF(AH1693&lt;=0,"",IF(BY1693="Aussen","Aussenlager",IF(BY1693="-","Nicht im Lift",IF(AM1693&gt;=1,"Lift",IF(AM1693&lt;=0,"Aussenlager","teilweise")))))</f>
        <v>Aussenlager</v>
      </c>
      <c r="BE1693" s="55" t="str">
        <f aca="false">IF(AP1693&lt;=0,"",IF(BY1693="Aussen","Aussenlager",IF(BY1693="-","Nicht im Lift",IF(AU1693&gt;=1,"Lift",IF(AU1693&lt;=0,"Aussenlager","teilweise")))))</f>
        <v>Aussenlager</v>
      </c>
      <c r="BF1693" s="55" t="str">
        <f aca="false">IF(AX1693&lt;=0,"",IF(BY1693="Aussen","Aussenlager",IF(BY1693="-","Nicht im Lift",IF(BC1693&gt;=1,"Lift",IF(BC1693&lt;=0,"Aussenlager","teilweise")))))</f>
        <v>Aussenlager</v>
      </c>
      <c r="BG1693" s="55" t="str">
        <f aca="false">IF(A1693="","",IF(BP1693=1,"Neu; ","")&amp;IF(AND(BP1693=0,BK1693&lt;0),"negativer Bestand (Export "&amp;BK1693&amp;"); ","")&amp;IF(J1693&lt;=0,"Kein Verbrauch; ","")&amp;IF(CH1693&gt;0,"Lift "&amp;W1693&amp;" lt. Liftbericht (Fach "&amp;X1693&amp;" Stk); ",IF(BU1693=1,"Gebinde geschätzt ("&amp;T1693&amp;"); ",IF(BT1693=1,"Lose – Tablare geschätzt; ","")))&amp;IF(H1693&gt;AR1693,"Überbestand "&amp;ROUND(H1693-AR1693,0)&amp;" Stk / CHF "&amp;ROUND((H1693-AR1693)*G1693,0)&amp;"; ","")&amp;IF(AND(CA1693=1,CB1693&lt;CC1693),"MAX &lt; MB+LG; ","")&amp;IF(AND(CG1693&gt;0,CF1693*10&gt;CG1693),"zu hoch für Tablar; ","")&amp;IF(AND(BP1693=0,OR(CA1693=1,AA1693&lt;&gt;"",U1693&lt;&gt;"",V1693&lt;&gt;"",AB1693&lt;&gt;"")),"manuell übersteuert; ","")&amp;IF(AND(BT1693=0,R1693=0),"Gebinde unbekannt / Stellmass fehlt; ","")&amp;IF(AND(BT1693=0,N(V1693)&lt;=0,N(Q1693)&lt;=0),"Menge pro Gebinde fehlt (Ist = 1 Gebinde); ","")&amp;BO1693)</f>
        <v>Kein Verbrauch; nur im Artikelstamm (Bestand 23.06.2026)</v>
      </c>
      <c r="BH1693" s="55"/>
      <c r="BI1693" s="55"/>
      <c r="BJ1693" s="62"/>
      <c r="BK1693" s="57" t="n">
        <v>4</v>
      </c>
      <c r="BL1693" s="57" t="n">
        <v>0</v>
      </c>
      <c r="BM1693" s="56" t="n">
        <v>0</v>
      </c>
      <c r="BN1693" s="57" t="n">
        <v>0</v>
      </c>
      <c r="BO1693" s="55" t="s">
        <v>2575</v>
      </c>
      <c r="BP1693" s="60" t="n">
        <v>0</v>
      </c>
      <c r="BQ1693" s="60" t="n">
        <v>1693</v>
      </c>
      <c r="BR1693" s="55" t="str">
        <f aca="false">IF(U1693&lt;&gt;"",UPPER(TRIM(U1693)),IF(BU1693=1,UPPER(VLOOKUP(T1693,Parameter!$I$27:$K$29,2,0)),IF(P1693="","LOSE",P1693)))</f>
        <v>S51</v>
      </c>
      <c r="BS1693" s="57" t="n">
        <f aca="false">IF(BR1693="LOSE",1,IF(N(V1693)&gt;0,V1693,IF(BU1693=1,MAX(1,N(VLOOKUP(T1693,Parameter!$I$27:$K$29,3,0)),H1693,N(N1693)),IF(N(Q1693)&gt;0,Q1693,MAX(1,H1693)))))</f>
        <v>15</v>
      </c>
      <c r="BT1693" s="60" t="n">
        <f aca="false">IF(BR1693="LOSE",1,0)</f>
        <v>0</v>
      </c>
      <c r="BU1693" s="60" t="n">
        <f aca="false">IF(AND(U1693="",OR(P1693="",P1693="LOSE"),T1693&lt;&gt;"",N(S1693)&lt;=0,ISNUMBER(MATCH(T1693,Parameter!$I$27:$I$29,0))),1,0)</f>
        <v>0</v>
      </c>
      <c r="BV1693" s="55" t="n">
        <f aca="false">IF(AND(Parameter!$B$19="Ja",E1693&lt;&gt;"",ISNUMBER(MATCH(E1693,Parameter!$I$35:$I$52,0))),VLOOKUP(E1693,Parameter!$I$35:$J$52,2,0),IFERROR(VLOOKUP(D1693,Parameter!$A$35:$C$64,2,0),"Nein"))</f>
        <v>1</v>
      </c>
      <c r="BW1693" s="59" t="n">
        <f aca="false">IF(BT1693=0,0,IF(N(S1693)&gt;0,S1693,IFERROR(VLOOKUP(D1693,Parameter!$A$35:$C$64,3,0)+0,0)))</f>
        <v>0</v>
      </c>
      <c r="BX1693" s="55" t="n">
        <f aca="false">IF(AA1693&lt;&gt;"",AA1693,Z1693)</f>
        <v>1</v>
      </c>
      <c r="BY1693" s="55" t="str">
        <f aca="false">IF(BX1693=1,"L1",IF(OR(BX1693=2,BX1693=3),"L23",IF(BX1693="Aussen","Aussen","-")))</f>
        <v>L1</v>
      </c>
      <c r="BZ1693" s="66" t="n">
        <f aca="false">IF(N(AB1693)&gt;0,AB1693,0)</f>
        <v>0</v>
      </c>
      <c r="CA1693" s="60" t="n">
        <f aca="false">IF(ISNUMBER(AE1693),1,0)</f>
        <v>0</v>
      </c>
      <c r="CB1693" s="57" t="n">
        <f aca="false">N(AE1693)</f>
        <v>0</v>
      </c>
      <c r="CC1693" s="57" t="n">
        <f aca="false">N(M1693)+N(N1693)</f>
        <v>10</v>
      </c>
      <c r="CD1693" s="57" t="n">
        <f aca="false">ROUNDUP(H1693/BS1693,0)</f>
        <v>1</v>
      </c>
      <c r="CE1693" s="57" t="n">
        <f aca="false">ROUNDUP(CB1693/BS1693,0)</f>
        <v>0</v>
      </c>
      <c r="CF1693" s="60" t="n">
        <f aca="false">IF(BT1693=1,0,IFERROR(VLOOKUP(BR1693,'Gebinde-Kategorie'!$A$5:$M$45,5,0)+0,0))</f>
        <v>11</v>
      </c>
      <c r="CG1693" s="60" t="n">
        <f aca="false">IFERROR(IF(OR(BX1693=1,BX1693=2,BX1693=3),N(INDEX(Parameter!$I$5:$I$7,BX1693)),0),0)</f>
        <v>0</v>
      </c>
      <c r="CH1693" s="59" t="n">
        <f aca="false">IF(AND(Parameter!$B$21="Ja",ISNUMBER(W1693),N(X1693)&gt;0),IFERROR(N(INDEX(Parameter!$L$5:$L$7,W1693))*INDEX(Parameter!$E$5:$E$7,W1693)*X1693/SUMIFS($X$7:$X$1843,$W$7:$W$1843,W1693),0),0)</f>
        <v>0</v>
      </c>
    </row>
    <row r="1694" customFormat="false" ht="15" hidden="false" customHeight="false" outlineLevel="0" collapsed="false">
      <c r="A1694" s="55" t="s">
        <v>2933</v>
      </c>
      <c r="B1694" s="55" t="s">
        <v>2934</v>
      </c>
      <c r="C1694" s="55" t="s">
        <v>164</v>
      </c>
      <c r="D1694" s="55" t="s">
        <v>184</v>
      </c>
      <c r="E1694" s="55"/>
      <c r="F1694" s="55"/>
      <c r="G1694" s="56" t="n">
        <v>195.58</v>
      </c>
      <c r="H1694" s="57" t="n">
        <f aca="false">MAX(0,IF(AND(Parameter!$B$21="Ja",ISNUMBER(Y1694)),Y1694,IF(Parameter!$B$20="Jahresanfang 2025 + Export",BL1694+BK1694,BK1694)))</f>
        <v>4</v>
      </c>
      <c r="I1694" s="57" t="n">
        <f aca="false">H1694*G1694</f>
        <v>782.32</v>
      </c>
      <c r="J1694" s="57" t="n">
        <f aca="false">BN1694*Parameter!$B$18</f>
        <v>0</v>
      </c>
      <c r="K1694" s="58"/>
      <c r="L1694" s="59"/>
      <c r="M1694" s="57" t="n">
        <v>0</v>
      </c>
      <c r="N1694" s="57" t="n">
        <v>5</v>
      </c>
      <c r="O1694" s="60" t="n">
        <v>14</v>
      </c>
      <c r="P1694" s="55" t="s">
        <v>302</v>
      </c>
      <c r="Q1694" s="57" t="n">
        <v>6</v>
      </c>
      <c r="R1694" s="60" t="n">
        <f aca="false">IF(BT1694=1,0,IFERROR(VLOOKUP(BR1694,'Gebinde-Kategorie'!$A$5:$M$45,13,0)+0,0))</f>
        <v>26</v>
      </c>
      <c r="S1694" s="61"/>
      <c r="T1694" s="62"/>
      <c r="U1694" s="62"/>
      <c r="V1694" s="62"/>
      <c r="W1694" s="55"/>
      <c r="X1694" s="57"/>
      <c r="Y1694" s="57"/>
      <c r="Z1694" s="55" t="n">
        <f aca="false">IF(A1694="","",IF(AND(Parameter!$B$21="Ja",ISNUMBER(W1694)),W1694,IF(BV1694="2+3",IF(ISNUMBER(SEARCH("grosser Artikel",BO1694)),2,IFERROR(VLOOKUP(BR1694,Parameter!$F$35:$G$64,2,0),2)),IF(OR(BV1694="Nein",BV1694=""),"-",BV1694))))</f>
        <v>3</v>
      </c>
      <c r="AA1694" s="62"/>
      <c r="AB1694" s="63"/>
      <c r="AC1694" s="57" t="n">
        <f aca="false">AR1694</f>
        <v>6</v>
      </c>
      <c r="AD1694" s="57" t="n">
        <f aca="false">MAX(AR1694,H1694)</f>
        <v>6</v>
      </c>
      <c r="AE1694" s="64"/>
      <c r="AF1694" s="57" t="n">
        <f aca="false">IF(LEFT(Cockpit!$C$5,1)="A",H1694,IF(CA1694=1,CB1694,IF(LEFT(Cockpit!$C$5,1)="B",AJ1694,MAX(AJ1694,H1694))))</f>
        <v>4</v>
      </c>
      <c r="AG1694" s="57" t="n">
        <f aca="false">IF(BT1694=1,0,ROUNDUP(AF1694/BS1694,0))</f>
        <v>1</v>
      </c>
      <c r="AH1694" s="59" t="n">
        <f aca="false">IF(CH1694&gt;0,CH1694*MAX(1,AF1694/X1694),IF(BT1694=1,IF(AF1694&lt;=0,0,BW1694*MAX(1,IF(H1694&gt;0,AF1694/H1694,1))),IF(R1694&gt;0,AG1694/R1694,0))/MAX(0.1,N(Parameter!$M$21)))</f>
        <v>0.0384615384615385</v>
      </c>
      <c r="AI1694" s="57" t="n">
        <f aca="false">AF1694*G1694</f>
        <v>782.32</v>
      </c>
      <c r="AJ1694" s="57" t="n">
        <f aca="false">ROUNDUP(MAX(J1694/IF(BZ1694&gt;0,BZ1694,MAX(0.1,N(Cockpit!$C$6))),CC1694)/BS1694,0)*BS1694</f>
        <v>6</v>
      </c>
      <c r="AK1694" s="58" t="n">
        <f aca="false">IF(AH1694&gt;0,J1694/AH1694,-1)</f>
        <v>0</v>
      </c>
      <c r="AL1694" s="58" t="n">
        <f aca="false">IF(AND(OR(BY1694="L1",BY1694="L23"),AH1694&gt;0),SUMIFS($AH$7:$AH$1843,$BY$7:$BY$1843,BY1694,$AK$7:$AK$1843,"&gt;"&amp;AK1694)+SUMIFS($AH$7:$AH$1843,$BY$7:$BY$1843,BY1694,$AK$7:$AK$1843,AK1694,$BQ$7:$BQ$1843,"&lt;="&amp;BQ1694),"")</f>
        <v>96.4242762068849</v>
      </c>
      <c r="AM1694" s="65" t="n">
        <f aca="false">IF(AL1694="",0,MAX(0,MIN(1,(IF(BY1694="L1",Parameter!$E$5,Parameter!$E$6+Parameter!$E$7)-(AL1694-AH1694))/AH1694)))</f>
        <v>1</v>
      </c>
      <c r="AN1694" s="57" t="n">
        <f aca="false">IF(LEFT(Cockpit!$I$5,1)="A",H1694,IF(CA1694=1,CB1694,IF(LEFT(Cockpit!$I$5,1)="B",AR1694,MAX(AR1694,H1694))))</f>
        <v>6</v>
      </c>
      <c r="AO1694" s="57" t="n">
        <f aca="false">IF(BT1694=1,0,ROUNDUP(AN1694/BS1694,0))</f>
        <v>1</v>
      </c>
      <c r="AP1694" s="59" t="n">
        <f aca="false">IF(CH1694&gt;0,CH1694*MAX(1,AN1694/X1694),IF(BT1694=1,IF(AN1694&lt;=0,0,BW1694*MAX(1,IF(H1694&gt;0,AN1694/H1694,1))),IF(R1694&gt;0,AO1694/R1694,0))/MAX(0.1,N(Parameter!$M$21)))</f>
        <v>0.0384615384615385</v>
      </c>
      <c r="AQ1694" s="57" t="n">
        <f aca="false">AN1694*G1694</f>
        <v>1173.48</v>
      </c>
      <c r="AR1694" s="57" t="n">
        <f aca="false">ROUNDUP(MAX(J1694/IF(BZ1694&gt;0,BZ1694,MAX(0.1,N(Cockpit!$I$6))),CC1694)/BS1694,0)*BS1694</f>
        <v>6</v>
      </c>
      <c r="AS1694" s="58" t="n">
        <f aca="false">IF(AP1694&gt;0,J1694/AP1694,-1)</f>
        <v>0</v>
      </c>
      <c r="AT1694" s="58" t="n">
        <f aca="false">IF(AND(OR(BY1694="L1",BY1694="L23"),AP1694&gt;0),SUMIFS($AP$7:$AP$1843,$BY$7:$BY$1843,BY1694,$AS$7:$AS$1843,"&gt;"&amp;AS1694)+SUMIFS($AP$7:$AP$1843,$BY$7:$BY$1843,BY1694,$AS$7:$AS$1843,AS1694,$BQ$7:$BQ$1843,"&lt;="&amp;BQ1694),"")</f>
        <v>141.759746292355</v>
      </c>
      <c r="AU1694" s="65" t="n">
        <f aca="false">IF(AT1694="",0,MAX(0,MIN(1,(IF(BY1694="L1",Parameter!$E$5,Parameter!$E$6+Parameter!$E$7)-(AT1694-AP1694))/AP1694)))</f>
        <v>0</v>
      </c>
      <c r="AV1694" s="57" t="n">
        <f aca="false">IF(LEFT(Cockpit!$O$5,1)="A",H1694,IF(CA1694=1,CB1694,IF(LEFT(Cockpit!$O$5,1)="B",AZ1694,MAX(AZ1694,H1694))))</f>
        <v>6</v>
      </c>
      <c r="AW1694" s="57" t="n">
        <f aca="false">IF(BT1694=1,0,ROUNDUP(AV1694/BS1694,0))</f>
        <v>1</v>
      </c>
      <c r="AX1694" s="59" t="n">
        <f aca="false">IF(CH1694&gt;0,CH1694*MAX(1,AV1694/X1694),IF(BT1694=1,IF(AV1694&lt;=0,0,BW1694*MAX(1,IF(H1694&gt;0,AV1694/H1694,1))),IF(R1694&gt;0,AW1694/R1694,0))/MAX(0.1,N(Parameter!$M$21)))</f>
        <v>0.0384615384615385</v>
      </c>
      <c r="AY1694" s="57" t="n">
        <f aca="false">AV1694*G1694</f>
        <v>1173.48</v>
      </c>
      <c r="AZ1694" s="57" t="n">
        <f aca="false">ROUNDUP(MAX(J1694/IF(BZ1694&gt;0,BZ1694,MAX(0.1,N(Cockpit!$O$6))),CC1694)/BS1694,0)*BS1694</f>
        <v>6</v>
      </c>
      <c r="BA1694" s="58" t="n">
        <f aca="false">IF(AX1694&gt;0,J1694/AX1694,-1)</f>
        <v>0</v>
      </c>
      <c r="BB1694" s="58" t="n">
        <f aca="false">IF(AND(OR(BY1694="L1",BY1694="L23"),AX1694&gt;0),SUMIFS($AX$7:$AX$1843,$BY$7:$BY$1843,BY1694,$BA$7:$BA$1843,"&gt;"&amp;BA1694)+SUMIFS($AX$7:$AX$1843,$BY$7:$BY$1843,BY1694,$BA$7:$BA$1843,BA1694,$BQ$7:$BQ$1843,"&lt;="&amp;BQ1694),"")</f>
        <v>132.589583122192</v>
      </c>
      <c r="BC1694" s="65" t="n">
        <f aca="false">IF(BB1694="",0,MAX(0,MIN(1,(IF(BY1694="L1",Parameter!$E$5,Parameter!$E$6+Parameter!$E$7)-(BB1694-AX1694))/AX1694)))</f>
        <v>0</v>
      </c>
      <c r="BD1694" s="55" t="str">
        <f aca="false">IF(AH1694&lt;=0,"",IF(BY1694="Aussen","Aussenlager",IF(BY1694="-","Nicht im Lift",IF(AM1694&gt;=1,"Lift",IF(AM1694&lt;=0,"Aussenlager","teilweise")))))</f>
        <v>Lift</v>
      </c>
      <c r="BE1694" s="55" t="str">
        <f aca="false">IF(AP1694&lt;=0,"",IF(BY1694="Aussen","Aussenlager",IF(BY1694="-","Nicht im Lift",IF(AU1694&gt;=1,"Lift",IF(AU1694&lt;=0,"Aussenlager","teilweise")))))</f>
        <v>Aussenlager</v>
      </c>
      <c r="BF1694" s="55" t="str">
        <f aca="false">IF(AX1694&lt;=0,"",IF(BY1694="Aussen","Aussenlager",IF(BY1694="-","Nicht im Lift",IF(BC1694&gt;=1,"Lift",IF(BC1694&lt;=0,"Aussenlager","teilweise")))))</f>
        <v>Aussenlager</v>
      </c>
      <c r="BG1694" s="55" t="str">
        <f aca="false">IF(A1694="","",IF(BP1694=1,"Neu; ","")&amp;IF(AND(BP1694=0,BK1694&lt;0),"negativer Bestand (Export "&amp;BK1694&amp;"); ","")&amp;IF(J1694&lt;=0,"Kein Verbrauch; ","")&amp;IF(CH1694&gt;0,"Lift "&amp;W1694&amp;" lt. Liftbericht (Fach "&amp;X1694&amp;" Stk); ",IF(BU1694=1,"Gebinde geschätzt ("&amp;T1694&amp;"); ",IF(BT1694=1,"Lose – Tablare geschätzt; ","")))&amp;IF(H1694&gt;AR1694,"Überbestand "&amp;ROUND(H1694-AR1694,0)&amp;" Stk / CHF "&amp;ROUND((H1694-AR1694)*G1694,0)&amp;"; ","")&amp;IF(AND(CA1694=1,CB1694&lt;CC1694),"MAX &lt; MB+LG; ","")&amp;IF(AND(CG1694&gt;0,CF1694*10&gt;CG1694),"zu hoch für Tablar; ","")&amp;IF(AND(BP1694=0,OR(CA1694=1,AA1694&lt;&gt;"",U1694&lt;&gt;"",V1694&lt;&gt;"",AB1694&lt;&gt;"")),"manuell übersteuert; ","")&amp;IF(AND(BT1694=0,R1694=0),"Gebinde unbekannt / Stellmass fehlt; ","")&amp;IF(AND(BT1694=0,N(V1694)&lt;=0,N(Q1694)&lt;=0),"Menge pro Gebinde fehlt (Ist = 1 Gebinde); ","")&amp;BO1694)</f>
        <v>Kein Verbrauch; nur im Artikelstamm (Bestand 23.06.2026)</v>
      </c>
      <c r="BH1694" s="55"/>
      <c r="BI1694" s="55"/>
      <c r="BJ1694" s="62"/>
      <c r="BK1694" s="57" t="n">
        <v>4</v>
      </c>
      <c r="BL1694" s="57" t="n">
        <v>0</v>
      </c>
      <c r="BM1694" s="56" t="n">
        <v>0</v>
      </c>
      <c r="BN1694" s="57" t="n">
        <v>0</v>
      </c>
      <c r="BO1694" s="55" t="s">
        <v>2575</v>
      </c>
      <c r="BP1694" s="60" t="n">
        <v>0</v>
      </c>
      <c r="BQ1694" s="60" t="n">
        <v>1694</v>
      </c>
      <c r="BR1694" s="55" t="str">
        <f aca="false">IF(U1694&lt;&gt;"",UPPER(TRIM(U1694)),IF(BU1694=1,UPPER(VLOOKUP(T1694,Parameter!$I$27:$K$29,2,0)),IF(P1694="","LOSE",P1694)))</f>
        <v>S51</v>
      </c>
      <c r="BS1694" s="57" t="n">
        <f aca="false">IF(BR1694="LOSE",1,IF(N(V1694)&gt;0,V1694,IF(BU1694=1,MAX(1,N(VLOOKUP(T1694,Parameter!$I$27:$K$29,3,0)),H1694,N(N1694)),IF(N(Q1694)&gt;0,Q1694,MAX(1,H1694)))))</f>
        <v>6</v>
      </c>
      <c r="BT1694" s="60" t="n">
        <f aca="false">IF(BR1694="LOSE",1,0)</f>
        <v>0</v>
      </c>
      <c r="BU1694" s="60" t="n">
        <f aca="false">IF(AND(U1694="",OR(P1694="",P1694="LOSE"),T1694&lt;&gt;"",N(S1694)&lt;=0,ISNUMBER(MATCH(T1694,Parameter!$I$27:$I$29,0))),1,0)</f>
        <v>0</v>
      </c>
      <c r="BV1694" s="55" t="str">
        <f aca="false">IF(AND(Parameter!$B$19="Ja",E1694&lt;&gt;"",ISNUMBER(MATCH(E1694,Parameter!$I$35:$I$52,0))),VLOOKUP(E1694,Parameter!$I$35:$J$52,2,0),IFERROR(VLOOKUP(D1694,Parameter!$A$35:$C$64,2,0),"Nein"))</f>
        <v>2+3</v>
      </c>
      <c r="BW1694" s="59" t="n">
        <f aca="false">IF(BT1694=0,0,IF(N(S1694)&gt;0,S1694,IFERROR(VLOOKUP(D1694,Parameter!$A$35:$C$64,3,0)+0,0)))</f>
        <v>0</v>
      </c>
      <c r="BX1694" s="55" t="n">
        <f aca="false">IF(AA1694&lt;&gt;"",AA1694,Z1694)</f>
        <v>3</v>
      </c>
      <c r="BY1694" s="55" t="str">
        <f aca="false">IF(BX1694=1,"L1",IF(OR(BX1694=2,BX1694=3),"L23",IF(BX1694="Aussen","Aussen","-")))</f>
        <v>L23</v>
      </c>
      <c r="BZ1694" s="66" t="n">
        <f aca="false">IF(N(AB1694)&gt;0,AB1694,0)</f>
        <v>0</v>
      </c>
      <c r="CA1694" s="60" t="n">
        <f aca="false">IF(ISNUMBER(AE1694),1,0)</f>
        <v>0</v>
      </c>
      <c r="CB1694" s="57" t="n">
        <f aca="false">N(AE1694)</f>
        <v>0</v>
      </c>
      <c r="CC1694" s="57" t="n">
        <f aca="false">N(M1694)+N(N1694)</f>
        <v>5</v>
      </c>
      <c r="CD1694" s="57" t="n">
        <f aca="false">ROUNDUP(H1694/BS1694,0)</f>
        <v>1</v>
      </c>
      <c r="CE1694" s="57" t="n">
        <f aca="false">ROUNDUP(CB1694/BS1694,0)</f>
        <v>0</v>
      </c>
      <c r="CF1694" s="60" t="n">
        <f aca="false">IF(BT1694=1,0,IFERROR(VLOOKUP(BR1694,'Gebinde-Kategorie'!$A$5:$M$45,5,0)+0,0))</f>
        <v>11</v>
      </c>
      <c r="CG1694" s="60" t="n">
        <f aca="false">IFERROR(IF(OR(BX1694=1,BX1694=2,BX1694=3),N(INDEX(Parameter!$I$5:$I$7,BX1694)),0),0)</f>
        <v>0</v>
      </c>
      <c r="CH1694" s="59" t="n">
        <f aca="false">IF(AND(Parameter!$B$21="Ja",ISNUMBER(W1694),N(X1694)&gt;0),IFERROR(N(INDEX(Parameter!$L$5:$L$7,W1694))*INDEX(Parameter!$E$5:$E$7,W1694)*X1694/SUMIFS($X$7:$X$1843,$W$7:$W$1843,W1694),0),0)</f>
        <v>0</v>
      </c>
    </row>
    <row r="1695" customFormat="false" ht="15" hidden="false" customHeight="false" outlineLevel="0" collapsed="false">
      <c r="A1695" s="55" t="s">
        <v>2935</v>
      </c>
      <c r="B1695" s="55" t="s">
        <v>2936</v>
      </c>
      <c r="C1695" s="55" t="s">
        <v>164</v>
      </c>
      <c r="D1695" s="55" t="s">
        <v>184</v>
      </c>
      <c r="E1695" s="55" t="s">
        <v>166</v>
      </c>
      <c r="F1695" s="55"/>
      <c r="G1695" s="56" t="n">
        <v>29</v>
      </c>
      <c r="H1695" s="57" t="n">
        <f aca="false">MAX(0,IF(AND(Parameter!$B$21="Ja",ISNUMBER(Y1695)),Y1695,IF(Parameter!$B$20="Jahresanfang 2025 + Export",BL1695+BK1695,BK1695)))</f>
        <v>3</v>
      </c>
      <c r="I1695" s="57" t="n">
        <f aca="false">H1695*G1695</f>
        <v>87</v>
      </c>
      <c r="J1695" s="57" t="n">
        <f aca="false">BN1695*Parameter!$B$18</f>
        <v>0</v>
      </c>
      <c r="K1695" s="58"/>
      <c r="L1695" s="59"/>
      <c r="M1695" s="57" t="n">
        <v>0</v>
      </c>
      <c r="N1695" s="57" t="n">
        <v>3</v>
      </c>
      <c r="O1695" s="60" t="n">
        <v>35</v>
      </c>
      <c r="P1695" s="55" t="s">
        <v>302</v>
      </c>
      <c r="Q1695" s="57" t="n">
        <v>5</v>
      </c>
      <c r="R1695" s="60" t="n">
        <f aca="false">IF(BT1695=1,0,IFERROR(VLOOKUP(BR1695,'Gebinde-Kategorie'!$A$5:$M$45,13,0)+0,0))</f>
        <v>26</v>
      </c>
      <c r="S1695" s="61"/>
      <c r="T1695" s="62"/>
      <c r="U1695" s="62"/>
      <c r="V1695" s="62"/>
      <c r="W1695" s="55"/>
      <c r="X1695" s="57"/>
      <c r="Y1695" s="57"/>
      <c r="Z1695" s="55" t="n">
        <f aca="false">IF(A1695="","",IF(AND(Parameter!$B$21="Ja",ISNUMBER(W1695)),W1695,IF(BV1695="2+3",IF(ISNUMBER(SEARCH("grosser Artikel",BO1695)),2,IFERROR(VLOOKUP(BR1695,Parameter!$F$35:$G$64,2,0),2)),IF(OR(BV1695="Nein",BV1695=""),"-",BV1695))))</f>
        <v>1</v>
      </c>
      <c r="AA1695" s="62"/>
      <c r="AB1695" s="63"/>
      <c r="AC1695" s="57" t="n">
        <f aca="false">AR1695</f>
        <v>5</v>
      </c>
      <c r="AD1695" s="57" t="n">
        <f aca="false">MAX(AR1695,H1695)</f>
        <v>5</v>
      </c>
      <c r="AE1695" s="64"/>
      <c r="AF1695" s="57" t="n">
        <f aca="false">IF(LEFT(Cockpit!$C$5,1)="A",H1695,IF(CA1695=1,CB1695,IF(LEFT(Cockpit!$C$5,1)="B",AJ1695,MAX(AJ1695,H1695))))</f>
        <v>3</v>
      </c>
      <c r="AG1695" s="57" t="n">
        <f aca="false">IF(BT1695=1,0,ROUNDUP(AF1695/BS1695,0))</f>
        <v>1</v>
      </c>
      <c r="AH1695" s="59" t="n">
        <f aca="false">IF(CH1695&gt;0,CH1695*MAX(1,AF1695/X1695),IF(BT1695=1,IF(AF1695&lt;=0,0,BW1695*MAX(1,IF(H1695&gt;0,AF1695/H1695,1))),IF(R1695&gt;0,AG1695/R1695,0))/MAX(0.1,N(Parameter!$M$21)))</f>
        <v>0.0384615384615385</v>
      </c>
      <c r="AI1695" s="57" t="n">
        <f aca="false">AF1695*G1695</f>
        <v>87</v>
      </c>
      <c r="AJ1695" s="57" t="n">
        <f aca="false">ROUNDUP(MAX(J1695/IF(BZ1695&gt;0,BZ1695,MAX(0.1,N(Cockpit!$C$6))),CC1695)/BS1695,0)*BS1695</f>
        <v>5</v>
      </c>
      <c r="AK1695" s="58" t="n">
        <f aca="false">IF(AH1695&gt;0,J1695/AH1695,-1)</f>
        <v>0</v>
      </c>
      <c r="AL1695" s="58" t="n">
        <f aca="false">IF(AND(OR(BY1695="L1",BY1695="L23"),AH1695&gt;0),SUMIFS($AH$7:$AH$1843,$BY$7:$BY$1843,BY1695,$AK$7:$AK$1843,"&gt;"&amp;AK1695)+SUMIFS($AH$7:$AH$1843,$BY$7:$BY$1843,BY1695,$AK$7:$AK$1843,AK1695,$BQ$7:$BQ$1843,"&lt;="&amp;BQ1695),"")</f>
        <v>53.8728120728858</v>
      </c>
      <c r="AM1695" s="65" t="n">
        <f aca="false">IF(AL1695="",0,MAX(0,MIN(1,(IF(BY1695="L1",Parameter!$E$5,Parameter!$E$6+Parameter!$E$7)-(AL1695-AH1695))/AH1695)))</f>
        <v>0</v>
      </c>
      <c r="AN1695" s="57" t="n">
        <f aca="false">IF(LEFT(Cockpit!$I$5,1)="A",H1695,IF(CA1695=1,CB1695,IF(LEFT(Cockpit!$I$5,1)="B",AR1695,MAX(AR1695,H1695))))</f>
        <v>5</v>
      </c>
      <c r="AO1695" s="57" t="n">
        <f aca="false">IF(BT1695=1,0,ROUNDUP(AN1695/BS1695,0))</f>
        <v>1</v>
      </c>
      <c r="AP1695" s="59" t="n">
        <f aca="false">IF(CH1695&gt;0,CH1695*MAX(1,AN1695/X1695),IF(BT1695=1,IF(AN1695&lt;=0,0,BW1695*MAX(1,IF(H1695&gt;0,AN1695/H1695,1))),IF(R1695&gt;0,AO1695/R1695,0))/MAX(0.1,N(Parameter!$M$21)))</f>
        <v>0.0384615384615385</v>
      </c>
      <c r="AQ1695" s="57" t="n">
        <f aca="false">AN1695*G1695</f>
        <v>145</v>
      </c>
      <c r="AR1695" s="57" t="n">
        <f aca="false">ROUNDUP(MAX(J1695/IF(BZ1695&gt;0,BZ1695,MAX(0.1,N(Cockpit!$I$6))),CC1695)/BS1695,0)*BS1695</f>
        <v>5</v>
      </c>
      <c r="AS1695" s="58" t="n">
        <f aca="false">IF(AP1695&gt;0,J1695/AP1695,-1)</f>
        <v>0</v>
      </c>
      <c r="AT1695" s="58" t="n">
        <f aca="false">IF(AND(OR(BY1695="L1",BY1695="L23"),AP1695&gt;0),SUMIFS($AP$7:$AP$1843,$BY$7:$BY$1843,BY1695,$AS$7:$AS$1843,"&gt;"&amp;AS1695)+SUMIFS($AP$7:$AP$1843,$BY$7:$BY$1843,BY1695,$AS$7:$AS$1843,AS1695,$BQ$7:$BQ$1843,"&lt;="&amp;BQ1695),"")</f>
        <v>70.8329743211836</v>
      </c>
      <c r="AU1695" s="65" t="n">
        <f aca="false">IF(AT1695="",0,MAX(0,MIN(1,(IF(BY1695="L1",Parameter!$E$5,Parameter!$E$6+Parameter!$E$7)-(AT1695-AP1695))/AP1695)))</f>
        <v>0</v>
      </c>
      <c r="AV1695" s="57" t="n">
        <f aca="false">IF(LEFT(Cockpit!$O$5,1)="A",H1695,IF(CA1695=1,CB1695,IF(LEFT(Cockpit!$O$5,1)="B",AZ1695,MAX(AZ1695,H1695))))</f>
        <v>5</v>
      </c>
      <c r="AW1695" s="57" t="n">
        <f aca="false">IF(BT1695=1,0,ROUNDUP(AV1695/BS1695,0))</f>
        <v>1</v>
      </c>
      <c r="AX1695" s="59" t="n">
        <f aca="false">IF(CH1695&gt;0,CH1695*MAX(1,AV1695/X1695),IF(BT1695=1,IF(AV1695&lt;=0,0,BW1695*MAX(1,IF(H1695&gt;0,AV1695/H1695,1))),IF(R1695&gt;0,AW1695/R1695,0))/MAX(0.1,N(Parameter!$M$21)))</f>
        <v>0.0384615384615385</v>
      </c>
      <c r="AY1695" s="57" t="n">
        <f aca="false">AV1695*G1695</f>
        <v>145</v>
      </c>
      <c r="AZ1695" s="57" t="n">
        <f aca="false">ROUNDUP(MAX(J1695/IF(BZ1695&gt;0,BZ1695,MAX(0.1,N(Cockpit!$O$6))),CC1695)/BS1695,0)*BS1695</f>
        <v>5</v>
      </c>
      <c r="BA1695" s="58" t="n">
        <f aca="false">IF(AX1695&gt;0,J1695/AX1695,-1)</f>
        <v>0</v>
      </c>
      <c r="BB1695" s="58" t="n">
        <f aca="false">IF(AND(OR(BY1695="L1",BY1695="L23"),AX1695&gt;0),SUMIFS($AX$7:$AX$1843,$BY$7:$BY$1843,BY1695,$BA$7:$BA$1843,"&gt;"&amp;BA1695)+SUMIFS($AX$7:$AX$1843,$BY$7:$BY$1843,BY1695,$BA$7:$BA$1843,BA1695,$BQ$7:$BQ$1843,"&lt;="&amp;BQ1695),"")</f>
        <v>64.4997858524019</v>
      </c>
      <c r="BC1695" s="65" t="n">
        <f aca="false">IF(BB1695="",0,MAX(0,MIN(1,(IF(BY1695="L1",Parameter!$E$5,Parameter!$E$6+Parameter!$E$7)-(BB1695-AX1695))/AX1695)))</f>
        <v>0</v>
      </c>
      <c r="BD1695" s="55" t="str">
        <f aca="false">IF(AH1695&lt;=0,"",IF(BY1695="Aussen","Aussenlager",IF(BY1695="-","Nicht im Lift",IF(AM1695&gt;=1,"Lift",IF(AM1695&lt;=0,"Aussenlager","teilweise")))))</f>
        <v>Aussenlager</v>
      </c>
      <c r="BE1695" s="55" t="str">
        <f aca="false">IF(AP1695&lt;=0,"",IF(BY1695="Aussen","Aussenlager",IF(BY1695="-","Nicht im Lift",IF(AU1695&gt;=1,"Lift",IF(AU1695&lt;=0,"Aussenlager","teilweise")))))</f>
        <v>Aussenlager</v>
      </c>
      <c r="BF1695" s="55" t="str">
        <f aca="false">IF(AX1695&lt;=0,"",IF(BY1695="Aussen","Aussenlager",IF(BY1695="-","Nicht im Lift",IF(BC1695&gt;=1,"Lift",IF(BC1695&lt;=0,"Aussenlager","teilweise")))))</f>
        <v>Aussenlager</v>
      </c>
      <c r="BG1695" s="55" t="str">
        <f aca="false">IF(A1695="","",IF(BP1695=1,"Neu; ","")&amp;IF(AND(BP1695=0,BK1695&lt;0),"negativer Bestand (Export "&amp;BK1695&amp;"); ","")&amp;IF(J1695&lt;=0,"Kein Verbrauch; ","")&amp;IF(CH1695&gt;0,"Lift "&amp;W1695&amp;" lt. Liftbericht (Fach "&amp;X1695&amp;" Stk); ",IF(BU1695=1,"Gebinde geschätzt ("&amp;T1695&amp;"); ",IF(BT1695=1,"Lose – Tablare geschätzt; ","")))&amp;IF(H1695&gt;AR1695,"Überbestand "&amp;ROUND(H1695-AR1695,0)&amp;" Stk / CHF "&amp;ROUND((H1695-AR1695)*G1695,0)&amp;"; ","")&amp;IF(AND(CA1695=1,CB1695&lt;CC1695),"MAX &lt; MB+LG; ","")&amp;IF(AND(CG1695&gt;0,CF1695*10&gt;CG1695),"zu hoch für Tablar; ","")&amp;IF(AND(BP1695=0,OR(CA1695=1,AA1695&lt;&gt;"",U1695&lt;&gt;"",V1695&lt;&gt;"",AB1695&lt;&gt;"")),"manuell übersteuert; ","")&amp;IF(AND(BT1695=0,R1695=0),"Gebinde unbekannt / Stellmass fehlt; ","")&amp;IF(AND(BT1695=0,N(V1695)&lt;=0,N(Q1695)&lt;=0),"Menge pro Gebinde fehlt (Ist = 1 Gebinde); ","")&amp;BO1695)</f>
        <v>Kein Verbrauch; nur im Artikelstamm (Bestand 23.06.2026)</v>
      </c>
      <c r="BH1695" s="55"/>
      <c r="BI1695" s="55"/>
      <c r="BJ1695" s="62"/>
      <c r="BK1695" s="57" t="n">
        <v>3</v>
      </c>
      <c r="BL1695" s="57" t="n">
        <v>0</v>
      </c>
      <c r="BM1695" s="56" t="n">
        <v>0</v>
      </c>
      <c r="BN1695" s="57" t="n">
        <v>0</v>
      </c>
      <c r="BO1695" s="55" t="s">
        <v>2575</v>
      </c>
      <c r="BP1695" s="60" t="n">
        <v>0</v>
      </c>
      <c r="BQ1695" s="60" t="n">
        <v>1695</v>
      </c>
      <c r="BR1695" s="55" t="str">
        <f aca="false">IF(U1695&lt;&gt;"",UPPER(TRIM(U1695)),IF(BU1695=1,UPPER(VLOOKUP(T1695,Parameter!$I$27:$K$29,2,0)),IF(P1695="","LOSE",P1695)))</f>
        <v>S51</v>
      </c>
      <c r="BS1695" s="57" t="n">
        <f aca="false">IF(BR1695="LOSE",1,IF(N(V1695)&gt;0,V1695,IF(BU1695=1,MAX(1,N(VLOOKUP(T1695,Parameter!$I$27:$K$29,3,0)),H1695,N(N1695)),IF(N(Q1695)&gt;0,Q1695,MAX(1,H1695)))))</f>
        <v>5</v>
      </c>
      <c r="BT1695" s="60" t="n">
        <f aca="false">IF(BR1695="LOSE",1,0)</f>
        <v>0</v>
      </c>
      <c r="BU1695" s="60" t="n">
        <f aca="false">IF(AND(U1695="",OR(P1695="",P1695="LOSE"),T1695&lt;&gt;"",N(S1695)&lt;=0,ISNUMBER(MATCH(T1695,Parameter!$I$27:$I$29,0))),1,0)</f>
        <v>0</v>
      </c>
      <c r="BV1695" s="55" t="n">
        <f aca="false">IF(AND(Parameter!$B$19="Ja",E1695&lt;&gt;"",ISNUMBER(MATCH(E1695,Parameter!$I$35:$I$52,0))),VLOOKUP(E1695,Parameter!$I$35:$J$52,2,0),IFERROR(VLOOKUP(D1695,Parameter!$A$35:$C$64,2,0),"Nein"))</f>
        <v>1</v>
      </c>
      <c r="BW1695" s="59" t="n">
        <f aca="false">IF(BT1695=0,0,IF(N(S1695)&gt;0,S1695,IFERROR(VLOOKUP(D1695,Parameter!$A$35:$C$64,3,0)+0,0)))</f>
        <v>0</v>
      </c>
      <c r="BX1695" s="55" t="n">
        <f aca="false">IF(AA1695&lt;&gt;"",AA1695,Z1695)</f>
        <v>1</v>
      </c>
      <c r="BY1695" s="55" t="str">
        <f aca="false">IF(BX1695=1,"L1",IF(OR(BX1695=2,BX1695=3),"L23",IF(BX1695="Aussen","Aussen","-")))</f>
        <v>L1</v>
      </c>
      <c r="BZ1695" s="66" t="n">
        <f aca="false">IF(N(AB1695)&gt;0,AB1695,0)</f>
        <v>0</v>
      </c>
      <c r="CA1695" s="60" t="n">
        <f aca="false">IF(ISNUMBER(AE1695),1,0)</f>
        <v>0</v>
      </c>
      <c r="CB1695" s="57" t="n">
        <f aca="false">N(AE1695)</f>
        <v>0</v>
      </c>
      <c r="CC1695" s="57" t="n">
        <f aca="false">N(M1695)+N(N1695)</f>
        <v>3</v>
      </c>
      <c r="CD1695" s="57" t="n">
        <f aca="false">ROUNDUP(H1695/BS1695,0)</f>
        <v>1</v>
      </c>
      <c r="CE1695" s="57" t="n">
        <f aca="false">ROUNDUP(CB1695/BS1695,0)</f>
        <v>0</v>
      </c>
      <c r="CF1695" s="60" t="n">
        <f aca="false">IF(BT1695=1,0,IFERROR(VLOOKUP(BR1695,'Gebinde-Kategorie'!$A$5:$M$45,5,0)+0,0))</f>
        <v>11</v>
      </c>
      <c r="CG1695" s="60" t="n">
        <f aca="false">IFERROR(IF(OR(BX1695=1,BX1695=2,BX1695=3),N(INDEX(Parameter!$I$5:$I$7,BX1695)),0),0)</f>
        <v>0</v>
      </c>
      <c r="CH1695" s="59" t="n">
        <f aca="false">IF(AND(Parameter!$B$21="Ja",ISNUMBER(W1695),N(X1695)&gt;0),IFERROR(N(INDEX(Parameter!$L$5:$L$7,W1695))*INDEX(Parameter!$E$5:$E$7,W1695)*X1695/SUMIFS($X$7:$X$1843,$W$7:$W$1843,W1695),0),0)</f>
        <v>0</v>
      </c>
    </row>
    <row r="1696" customFormat="false" ht="15" hidden="false" customHeight="false" outlineLevel="0" collapsed="false">
      <c r="A1696" s="55" t="s">
        <v>2937</v>
      </c>
      <c r="B1696" s="55" t="s">
        <v>822</v>
      </c>
      <c r="C1696" s="55" t="s">
        <v>164</v>
      </c>
      <c r="D1696" s="55" t="s">
        <v>184</v>
      </c>
      <c r="E1696" s="55"/>
      <c r="F1696" s="55"/>
      <c r="G1696" s="56" t="n">
        <v>34</v>
      </c>
      <c r="H1696" s="57" t="n">
        <f aca="false">MAX(0,IF(AND(Parameter!$B$21="Ja",ISNUMBER(Y1696)),Y1696,IF(Parameter!$B$20="Jahresanfang 2025 + Export",BL1696+BK1696,BK1696)))</f>
        <v>3</v>
      </c>
      <c r="I1696" s="57" t="n">
        <f aca="false">H1696*G1696</f>
        <v>102</v>
      </c>
      <c r="J1696" s="57" t="n">
        <f aca="false">BN1696*Parameter!$B$18</f>
        <v>0</v>
      </c>
      <c r="K1696" s="58"/>
      <c r="L1696" s="59"/>
      <c r="M1696" s="57" t="n">
        <v>0</v>
      </c>
      <c r="N1696" s="57" t="n">
        <v>3</v>
      </c>
      <c r="O1696" s="60" t="n">
        <v>35</v>
      </c>
      <c r="P1696" s="55" t="s">
        <v>302</v>
      </c>
      <c r="Q1696" s="57" t="n">
        <v>5</v>
      </c>
      <c r="R1696" s="60" t="n">
        <f aca="false">IF(BT1696=1,0,IFERROR(VLOOKUP(BR1696,'Gebinde-Kategorie'!$A$5:$M$45,13,0)+0,0))</f>
        <v>26</v>
      </c>
      <c r="S1696" s="61"/>
      <c r="T1696" s="62"/>
      <c r="U1696" s="62"/>
      <c r="V1696" s="62"/>
      <c r="W1696" s="55"/>
      <c r="X1696" s="57"/>
      <c r="Y1696" s="57"/>
      <c r="Z1696" s="55" t="n">
        <f aca="false">IF(A1696="","",IF(AND(Parameter!$B$21="Ja",ISNUMBER(W1696)),W1696,IF(BV1696="2+3",IF(ISNUMBER(SEARCH("grosser Artikel",BO1696)),2,IFERROR(VLOOKUP(BR1696,Parameter!$F$35:$G$64,2,0),2)),IF(OR(BV1696="Nein",BV1696=""),"-",BV1696))))</f>
        <v>3</v>
      </c>
      <c r="AA1696" s="62"/>
      <c r="AB1696" s="63"/>
      <c r="AC1696" s="57" t="n">
        <f aca="false">AR1696</f>
        <v>5</v>
      </c>
      <c r="AD1696" s="57" t="n">
        <f aca="false">MAX(AR1696,H1696)</f>
        <v>5</v>
      </c>
      <c r="AE1696" s="64"/>
      <c r="AF1696" s="57" t="n">
        <f aca="false">IF(LEFT(Cockpit!$C$5,1)="A",H1696,IF(CA1696=1,CB1696,IF(LEFT(Cockpit!$C$5,1)="B",AJ1696,MAX(AJ1696,H1696))))</f>
        <v>3</v>
      </c>
      <c r="AG1696" s="57" t="n">
        <f aca="false">IF(BT1696=1,0,ROUNDUP(AF1696/BS1696,0))</f>
        <v>1</v>
      </c>
      <c r="AH1696" s="59" t="n">
        <f aca="false">IF(CH1696&gt;0,CH1696*MAX(1,AF1696/X1696),IF(BT1696=1,IF(AF1696&lt;=0,0,BW1696*MAX(1,IF(H1696&gt;0,AF1696/H1696,1))),IF(R1696&gt;0,AG1696/R1696,0))/MAX(0.1,N(Parameter!$M$21)))</f>
        <v>0.0384615384615385</v>
      </c>
      <c r="AI1696" s="57" t="n">
        <f aca="false">AF1696*G1696</f>
        <v>102</v>
      </c>
      <c r="AJ1696" s="57" t="n">
        <f aca="false">ROUNDUP(MAX(J1696/IF(BZ1696&gt;0,BZ1696,MAX(0.1,N(Cockpit!$C$6))),CC1696)/BS1696,0)*BS1696</f>
        <v>5</v>
      </c>
      <c r="AK1696" s="58" t="n">
        <f aca="false">IF(AH1696&gt;0,J1696/AH1696,-1)</f>
        <v>0</v>
      </c>
      <c r="AL1696" s="58" t="n">
        <f aca="false">IF(AND(OR(BY1696="L1",BY1696="L23"),AH1696&gt;0),SUMIFS($AH$7:$AH$1843,$BY$7:$BY$1843,BY1696,$AK$7:$AK$1843,"&gt;"&amp;AK1696)+SUMIFS($AH$7:$AH$1843,$BY$7:$BY$1843,BY1696,$AK$7:$AK$1843,AK1696,$BQ$7:$BQ$1843,"&lt;="&amp;BQ1696),"")</f>
        <v>96.4627377453464</v>
      </c>
      <c r="AM1696" s="65" t="n">
        <f aca="false">IF(AL1696="",0,MAX(0,MIN(1,(IF(BY1696="L1",Parameter!$E$5,Parameter!$E$6+Parameter!$E$7)-(AL1696-AH1696))/AH1696)))</f>
        <v>1</v>
      </c>
      <c r="AN1696" s="57" t="n">
        <f aca="false">IF(LEFT(Cockpit!$I$5,1)="A",H1696,IF(CA1696=1,CB1696,IF(LEFT(Cockpit!$I$5,1)="B",AR1696,MAX(AR1696,H1696))))</f>
        <v>5</v>
      </c>
      <c r="AO1696" s="57" t="n">
        <f aca="false">IF(BT1696=1,0,ROUNDUP(AN1696/BS1696,0))</f>
        <v>1</v>
      </c>
      <c r="AP1696" s="59" t="n">
        <f aca="false">IF(CH1696&gt;0,CH1696*MAX(1,AN1696/X1696),IF(BT1696=1,IF(AN1696&lt;=0,0,BW1696*MAX(1,IF(H1696&gt;0,AN1696/H1696,1))),IF(R1696&gt;0,AO1696/R1696,0))/MAX(0.1,N(Parameter!$M$21)))</f>
        <v>0.0384615384615385</v>
      </c>
      <c r="AQ1696" s="57" t="n">
        <f aca="false">AN1696*G1696</f>
        <v>170</v>
      </c>
      <c r="AR1696" s="57" t="n">
        <f aca="false">ROUNDUP(MAX(J1696/IF(BZ1696&gt;0,BZ1696,MAX(0.1,N(Cockpit!$I$6))),CC1696)/BS1696,0)*BS1696</f>
        <v>5</v>
      </c>
      <c r="AS1696" s="58" t="n">
        <f aca="false">IF(AP1696&gt;0,J1696/AP1696,-1)</f>
        <v>0</v>
      </c>
      <c r="AT1696" s="58" t="n">
        <f aca="false">IF(AND(OR(BY1696="L1",BY1696="L23"),AP1696&gt;0),SUMIFS($AP$7:$AP$1843,$BY$7:$BY$1843,BY1696,$AS$7:$AS$1843,"&gt;"&amp;AS1696)+SUMIFS($AP$7:$AP$1843,$BY$7:$BY$1843,BY1696,$AS$7:$AS$1843,AS1696,$BQ$7:$BQ$1843,"&lt;="&amp;BQ1696),"")</f>
        <v>141.798207830817</v>
      </c>
      <c r="AU1696" s="65" t="n">
        <f aca="false">IF(AT1696="",0,MAX(0,MIN(1,(IF(BY1696="L1",Parameter!$E$5,Parameter!$E$6+Parameter!$E$7)-(AT1696-AP1696))/AP1696)))</f>
        <v>0</v>
      </c>
      <c r="AV1696" s="57" t="n">
        <f aca="false">IF(LEFT(Cockpit!$O$5,1)="A",H1696,IF(CA1696=1,CB1696,IF(LEFT(Cockpit!$O$5,1)="B",AZ1696,MAX(AZ1696,H1696))))</f>
        <v>5</v>
      </c>
      <c r="AW1696" s="57" t="n">
        <f aca="false">IF(BT1696=1,0,ROUNDUP(AV1696/BS1696,0))</f>
        <v>1</v>
      </c>
      <c r="AX1696" s="59" t="n">
        <f aca="false">IF(CH1696&gt;0,CH1696*MAX(1,AV1696/X1696),IF(BT1696=1,IF(AV1696&lt;=0,0,BW1696*MAX(1,IF(H1696&gt;0,AV1696/H1696,1))),IF(R1696&gt;0,AW1696/R1696,0))/MAX(0.1,N(Parameter!$M$21)))</f>
        <v>0.0384615384615385</v>
      </c>
      <c r="AY1696" s="57" t="n">
        <f aca="false">AV1696*G1696</f>
        <v>170</v>
      </c>
      <c r="AZ1696" s="57" t="n">
        <f aca="false">ROUNDUP(MAX(J1696/IF(BZ1696&gt;0,BZ1696,MAX(0.1,N(Cockpit!$O$6))),CC1696)/BS1696,0)*BS1696</f>
        <v>5</v>
      </c>
      <c r="BA1696" s="58" t="n">
        <f aca="false">IF(AX1696&gt;0,J1696/AX1696,-1)</f>
        <v>0</v>
      </c>
      <c r="BB1696" s="58" t="n">
        <f aca="false">IF(AND(OR(BY1696="L1",BY1696="L23"),AX1696&gt;0),SUMIFS($AX$7:$AX$1843,$BY$7:$BY$1843,BY1696,$BA$7:$BA$1843,"&gt;"&amp;BA1696)+SUMIFS($AX$7:$AX$1843,$BY$7:$BY$1843,BY1696,$BA$7:$BA$1843,BA1696,$BQ$7:$BQ$1843,"&lt;="&amp;BQ1696),"")</f>
        <v>132.628044660653</v>
      </c>
      <c r="BC1696" s="65" t="n">
        <f aca="false">IF(BB1696="",0,MAX(0,MIN(1,(IF(BY1696="L1",Parameter!$E$5,Parameter!$E$6+Parameter!$E$7)-(BB1696-AX1696))/AX1696)))</f>
        <v>0</v>
      </c>
      <c r="BD1696" s="55" t="str">
        <f aca="false">IF(AH1696&lt;=0,"",IF(BY1696="Aussen","Aussenlager",IF(BY1696="-","Nicht im Lift",IF(AM1696&gt;=1,"Lift",IF(AM1696&lt;=0,"Aussenlager","teilweise")))))</f>
        <v>Lift</v>
      </c>
      <c r="BE1696" s="55" t="str">
        <f aca="false">IF(AP1696&lt;=0,"",IF(BY1696="Aussen","Aussenlager",IF(BY1696="-","Nicht im Lift",IF(AU1696&gt;=1,"Lift",IF(AU1696&lt;=0,"Aussenlager","teilweise")))))</f>
        <v>Aussenlager</v>
      </c>
      <c r="BF1696" s="55" t="str">
        <f aca="false">IF(AX1696&lt;=0,"",IF(BY1696="Aussen","Aussenlager",IF(BY1696="-","Nicht im Lift",IF(BC1696&gt;=1,"Lift",IF(BC1696&lt;=0,"Aussenlager","teilweise")))))</f>
        <v>Aussenlager</v>
      </c>
      <c r="BG1696" s="55" t="str">
        <f aca="false">IF(A1696="","",IF(BP1696=1,"Neu; ","")&amp;IF(AND(BP1696=0,BK1696&lt;0),"negativer Bestand (Export "&amp;BK1696&amp;"); ","")&amp;IF(J1696&lt;=0,"Kein Verbrauch; ","")&amp;IF(CH1696&gt;0,"Lift "&amp;W1696&amp;" lt. Liftbericht (Fach "&amp;X1696&amp;" Stk); ",IF(BU1696=1,"Gebinde geschätzt ("&amp;T1696&amp;"); ",IF(BT1696=1,"Lose – Tablare geschätzt; ","")))&amp;IF(H1696&gt;AR1696,"Überbestand "&amp;ROUND(H1696-AR1696,0)&amp;" Stk / CHF "&amp;ROUND((H1696-AR1696)*G1696,0)&amp;"; ","")&amp;IF(AND(CA1696=1,CB1696&lt;CC1696),"MAX &lt; MB+LG; ","")&amp;IF(AND(CG1696&gt;0,CF1696*10&gt;CG1696),"zu hoch für Tablar; ","")&amp;IF(AND(BP1696=0,OR(CA1696=1,AA1696&lt;&gt;"",U1696&lt;&gt;"",V1696&lt;&gt;"",AB1696&lt;&gt;"")),"manuell übersteuert; ","")&amp;IF(AND(BT1696=0,R1696=0),"Gebinde unbekannt / Stellmass fehlt; ","")&amp;IF(AND(BT1696=0,N(V1696)&lt;=0,N(Q1696)&lt;=0),"Menge pro Gebinde fehlt (Ist = 1 Gebinde); ","")&amp;BO1696)</f>
        <v>Kein Verbrauch; nur im Artikelstamm (Bestand 23.06.2026)</v>
      </c>
      <c r="BH1696" s="55"/>
      <c r="BI1696" s="55"/>
      <c r="BJ1696" s="62"/>
      <c r="BK1696" s="57" t="n">
        <v>3</v>
      </c>
      <c r="BL1696" s="57" t="n">
        <v>0</v>
      </c>
      <c r="BM1696" s="56" t="n">
        <v>0</v>
      </c>
      <c r="BN1696" s="57" t="n">
        <v>0</v>
      </c>
      <c r="BO1696" s="55" t="s">
        <v>2575</v>
      </c>
      <c r="BP1696" s="60" t="n">
        <v>0</v>
      </c>
      <c r="BQ1696" s="60" t="n">
        <v>1696</v>
      </c>
      <c r="BR1696" s="55" t="str">
        <f aca="false">IF(U1696&lt;&gt;"",UPPER(TRIM(U1696)),IF(BU1696=1,UPPER(VLOOKUP(T1696,Parameter!$I$27:$K$29,2,0)),IF(P1696="","LOSE",P1696)))</f>
        <v>S51</v>
      </c>
      <c r="BS1696" s="57" t="n">
        <f aca="false">IF(BR1696="LOSE",1,IF(N(V1696)&gt;0,V1696,IF(BU1696=1,MAX(1,N(VLOOKUP(T1696,Parameter!$I$27:$K$29,3,0)),H1696,N(N1696)),IF(N(Q1696)&gt;0,Q1696,MAX(1,H1696)))))</f>
        <v>5</v>
      </c>
      <c r="BT1696" s="60" t="n">
        <f aca="false">IF(BR1696="LOSE",1,0)</f>
        <v>0</v>
      </c>
      <c r="BU1696" s="60" t="n">
        <f aca="false">IF(AND(U1696="",OR(P1696="",P1696="LOSE"),T1696&lt;&gt;"",N(S1696)&lt;=0,ISNUMBER(MATCH(T1696,Parameter!$I$27:$I$29,0))),1,0)</f>
        <v>0</v>
      </c>
      <c r="BV1696" s="55" t="str">
        <f aca="false">IF(AND(Parameter!$B$19="Ja",E1696&lt;&gt;"",ISNUMBER(MATCH(E1696,Parameter!$I$35:$I$52,0))),VLOOKUP(E1696,Parameter!$I$35:$J$52,2,0),IFERROR(VLOOKUP(D1696,Parameter!$A$35:$C$64,2,0),"Nein"))</f>
        <v>2+3</v>
      </c>
      <c r="BW1696" s="59" t="n">
        <f aca="false">IF(BT1696=0,0,IF(N(S1696)&gt;0,S1696,IFERROR(VLOOKUP(D1696,Parameter!$A$35:$C$64,3,0)+0,0)))</f>
        <v>0</v>
      </c>
      <c r="BX1696" s="55" t="n">
        <f aca="false">IF(AA1696&lt;&gt;"",AA1696,Z1696)</f>
        <v>3</v>
      </c>
      <c r="BY1696" s="55" t="str">
        <f aca="false">IF(BX1696=1,"L1",IF(OR(BX1696=2,BX1696=3),"L23",IF(BX1696="Aussen","Aussen","-")))</f>
        <v>L23</v>
      </c>
      <c r="BZ1696" s="66" t="n">
        <f aca="false">IF(N(AB1696)&gt;0,AB1696,0)</f>
        <v>0</v>
      </c>
      <c r="CA1696" s="60" t="n">
        <f aca="false">IF(ISNUMBER(AE1696),1,0)</f>
        <v>0</v>
      </c>
      <c r="CB1696" s="57" t="n">
        <f aca="false">N(AE1696)</f>
        <v>0</v>
      </c>
      <c r="CC1696" s="57" t="n">
        <f aca="false">N(M1696)+N(N1696)</f>
        <v>3</v>
      </c>
      <c r="CD1696" s="57" t="n">
        <f aca="false">ROUNDUP(H1696/BS1696,0)</f>
        <v>1</v>
      </c>
      <c r="CE1696" s="57" t="n">
        <f aca="false">ROUNDUP(CB1696/BS1696,0)</f>
        <v>0</v>
      </c>
      <c r="CF1696" s="60" t="n">
        <f aca="false">IF(BT1696=1,0,IFERROR(VLOOKUP(BR1696,'Gebinde-Kategorie'!$A$5:$M$45,5,0)+0,0))</f>
        <v>11</v>
      </c>
      <c r="CG1696" s="60" t="n">
        <f aca="false">IFERROR(IF(OR(BX1696=1,BX1696=2,BX1696=3),N(INDEX(Parameter!$I$5:$I$7,BX1696)),0),0)</f>
        <v>0</v>
      </c>
      <c r="CH1696" s="59" t="n">
        <f aca="false">IF(AND(Parameter!$B$21="Ja",ISNUMBER(W1696),N(X1696)&gt;0),IFERROR(N(INDEX(Parameter!$L$5:$L$7,W1696))*INDEX(Parameter!$E$5:$E$7,W1696)*X1696/SUMIFS($X$7:$X$1843,$W$7:$W$1843,W1696),0),0)</f>
        <v>0</v>
      </c>
    </row>
    <row r="1697" customFormat="false" ht="15" hidden="false" customHeight="false" outlineLevel="0" collapsed="false">
      <c r="A1697" s="55" t="s">
        <v>2938</v>
      </c>
      <c r="B1697" s="55" t="s">
        <v>1136</v>
      </c>
      <c r="C1697" s="55" t="s">
        <v>164</v>
      </c>
      <c r="D1697" s="55" t="s">
        <v>184</v>
      </c>
      <c r="E1697" s="55"/>
      <c r="F1697" s="55"/>
      <c r="G1697" s="56" t="n">
        <v>4.6</v>
      </c>
      <c r="H1697" s="57" t="n">
        <f aca="false">MAX(0,IF(AND(Parameter!$B$21="Ja",ISNUMBER(Y1697)),Y1697,IF(Parameter!$B$20="Jahresanfang 2025 + Export",BL1697+BK1697,BK1697)))</f>
        <v>10</v>
      </c>
      <c r="I1697" s="57" t="n">
        <f aca="false">H1697*G1697</f>
        <v>46</v>
      </c>
      <c r="J1697" s="57" t="n">
        <f aca="false">BN1697*Parameter!$B$18</f>
        <v>0</v>
      </c>
      <c r="K1697" s="58"/>
      <c r="L1697" s="59"/>
      <c r="M1697" s="57" t="n">
        <v>0</v>
      </c>
      <c r="N1697" s="57" t="n">
        <v>1</v>
      </c>
      <c r="O1697" s="60" t="n">
        <v>28</v>
      </c>
      <c r="P1697" s="55" t="s">
        <v>328</v>
      </c>
      <c r="Q1697" s="57" t="n">
        <v>9</v>
      </c>
      <c r="R1697" s="60" t="n">
        <f aca="false">IF(BT1697=1,0,IFERROR(VLOOKUP(BR1697,'Gebinde-Kategorie'!$A$5:$M$45,13,0)+0,0))</f>
        <v>52</v>
      </c>
      <c r="S1697" s="61"/>
      <c r="T1697" s="62"/>
      <c r="U1697" s="62"/>
      <c r="V1697" s="62"/>
      <c r="W1697" s="55"/>
      <c r="X1697" s="57"/>
      <c r="Y1697" s="57"/>
      <c r="Z1697" s="55" t="n">
        <f aca="false">IF(A1697="","",IF(AND(Parameter!$B$21="Ja",ISNUMBER(W1697)),W1697,IF(BV1697="2+3",IF(ISNUMBER(SEARCH("grosser Artikel",BO1697)),2,IFERROR(VLOOKUP(BR1697,Parameter!$F$35:$G$64,2,0),2)),IF(OR(BV1697="Nein",BV1697=""),"-",BV1697))))</f>
        <v>3</v>
      </c>
      <c r="AA1697" s="62"/>
      <c r="AB1697" s="63"/>
      <c r="AC1697" s="57" t="n">
        <f aca="false">AR1697</f>
        <v>9</v>
      </c>
      <c r="AD1697" s="57" t="n">
        <f aca="false">MAX(AR1697,H1697)</f>
        <v>10</v>
      </c>
      <c r="AE1697" s="64"/>
      <c r="AF1697" s="57" t="n">
        <f aca="false">IF(LEFT(Cockpit!$C$5,1)="A",H1697,IF(CA1697=1,CB1697,IF(LEFT(Cockpit!$C$5,1)="B",AJ1697,MAX(AJ1697,H1697))))</f>
        <v>10</v>
      </c>
      <c r="AG1697" s="57" t="n">
        <f aca="false">IF(BT1697=1,0,ROUNDUP(AF1697/BS1697,0))</f>
        <v>2</v>
      </c>
      <c r="AH1697" s="59" t="n">
        <f aca="false">IF(CH1697&gt;0,CH1697*MAX(1,AF1697/X1697),IF(BT1697=1,IF(AF1697&lt;=0,0,BW1697*MAX(1,IF(H1697&gt;0,AF1697/H1697,1))),IF(R1697&gt;0,AG1697/R1697,0))/MAX(0.1,N(Parameter!$M$21)))</f>
        <v>0.0384615384615385</v>
      </c>
      <c r="AI1697" s="57" t="n">
        <f aca="false">AF1697*G1697</f>
        <v>46</v>
      </c>
      <c r="AJ1697" s="57" t="n">
        <f aca="false">ROUNDUP(MAX(J1697/IF(BZ1697&gt;0,BZ1697,MAX(0.1,N(Cockpit!$C$6))),CC1697)/BS1697,0)*BS1697</f>
        <v>9</v>
      </c>
      <c r="AK1697" s="58" t="n">
        <f aca="false">IF(AH1697&gt;0,J1697/AH1697,-1)</f>
        <v>0</v>
      </c>
      <c r="AL1697" s="58" t="n">
        <f aca="false">IF(AND(OR(BY1697="L1",BY1697="L23"),AH1697&gt;0),SUMIFS($AH$7:$AH$1843,$BY$7:$BY$1843,BY1697,$AK$7:$AK$1843,"&gt;"&amp;AK1697)+SUMIFS($AH$7:$AH$1843,$BY$7:$BY$1843,BY1697,$AK$7:$AK$1843,AK1697,$BQ$7:$BQ$1843,"&lt;="&amp;BQ1697),"")</f>
        <v>96.501199283808</v>
      </c>
      <c r="AM1697" s="65" t="n">
        <f aca="false">IF(AL1697="",0,MAX(0,MIN(1,(IF(BY1697="L1",Parameter!$E$5,Parameter!$E$6+Parameter!$E$7)-(AL1697-AH1697))/AH1697)))</f>
        <v>1</v>
      </c>
      <c r="AN1697" s="57" t="n">
        <f aca="false">IF(LEFT(Cockpit!$I$5,1)="A",H1697,IF(CA1697=1,CB1697,IF(LEFT(Cockpit!$I$5,1)="B",AR1697,MAX(AR1697,H1697))))</f>
        <v>10</v>
      </c>
      <c r="AO1697" s="57" t="n">
        <f aca="false">IF(BT1697=1,0,ROUNDUP(AN1697/BS1697,0))</f>
        <v>2</v>
      </c>
      <c r="AP1697" s="59" t="n">
        <f aca="false">IF(CH1697&gt;0,CH1697*MAX(1,AN1697/X1697),IF(BT1697=1,IF(AN1697&lt;=0,0,BW1697*MAX(1,IF(H1697&gt;0,AN1697/H1697,1))),IF(R1697&gt;0,AO1697/R1697,0))/MAX(0.1,N(Parameter!$M$21)))</f>
        <v>0.0384615384615385</v>
      </c>
      <c r="AQ1697" s="57" t="n">
        <f aca="false">AN1697*G1697</f>
        <v>46</v>
      </c>
      <c r="AR1697" s="57" t="n">
        <f aca="false">ROUNDUP(MAX(J1697/IF(BZ1697&gt;0,BZ1697,MAX(0.1,N(Cockpit!$I$6))),CC1697)/BS1697,0)*BS1697</f>
        <v>9</v>
      </c>
      <c r="AS1697" s="58" t="n">
        <f aca="false">IF(AP1697&gt;0,J1697/AP1697,-1)</f>
        <v>0</v>
      </c>
      <c r="AT1697" s="58" t="n">
        <f aca="false">IF(AND(OR(BY1697="L1",BY1697="L23"),AP1697&gt;0),SUMIFS($AP$7:$AP$1843,$BY$7:$BY$1843,BY1697,$AS$7:$AS$1843,"&gt;"&amp;AS1697)+SUMIFS($AP$7:$AP$1843,$BY$7:$BY$1843,BY1697,$AS$7:$AS$1843,AS1697,$BQ$7:$BQ$1843,"&lt;="&amp;BQ1697),"")</f>
        <v>141.836669369278</v>
      </c>
      <c r="AU1697" s="65" t="n">
        <f aca="false">IF(AT1697="",0,MAX(0,MIN(1,(IF(BY1697="L1",Parameter!$E$5,Parameter!$E$6+Parameter!$E$7)-(AT1697-AP1697))/AP1697)))</f>
        <v>0</v>
      </c>
      <c r="AV1697" s="57" t="n">
        <f aca="false">IF(LEFT(Cockpit!$O$5,1)="A",H1697,IF(CA1697=1,CB1697,IF(LEFT(Cockpit!$O$5,1)="B",AZ1697,MAX(AZ1697,H1697))))</f>
        <v>10</v>
      </c>
      <c r="AW1697" s="57" t="n">
        <f aca="false">IF(BT1697=1,0,ROUNDUP(AV1697/BS1697,0))</f>
        <v>2</v>
      </c>
      <c r="AX1697" s="59" t="n">
        <f aca="false">IF(CH1697&gt;0,CH1697*MAX(1,AV1697/X1697),IF(BT1697=1,IF(AV1697&lt;=0,0,BW1697*MAX(1,IF(H1697&gt;0,AV1697/H1697,1))),IF(R1697&gt;0,AW1697/R1697,0))/MAX(0.1,N(Parameter!$M$21)))</f>
        <v>0.0384615384615385</v>
      </c>
      <c r="AY1697" s="57" t="n">
        <f aca="false">AV1697*G1697</f>
        <v>46</v>
      </c>
      <c r="AZ1697" s="57" t="n">
        <f aca="false">ROUNDUP(MAX(J1697/IF(BZ1697&gt;0,BZ1697,MAX(0.1,N(Cockpit!$O$6))),CC1697)/BS1697,0)*BS1697</f>
        <v>9</v>
      </c>
      <c r="BA1697" s="58" t="n">
        <f aca="false">IF(AX1697&gt;0,J1697/AX1697,-1)</f>
        <v>0</v>
      </c>
      <c r="BB1697" s="58" t="n">
        <f aca="false">IF(AND(OR(BY1697="L1",BY1697="L23"),AX1697&gt;0),SUMIFS($AX$7:$AX$1843,$BY$7:$BY$1843,BY1697,$BA$7:$BA$1843,"&gt;"&amp;BA1697)+SUMIFS($AX$7:$AX$1843,$BY$7:$BY$1843,BY1697,$BA$7:$BA$1843,BA1697,$BQ$7:$BQ$1843,"&lt;="&amp;BQ1697),"")</f>
        <v>132.666506199115</v>
      </c>
      <c r="BC1697" s="65" t="n">
        <f aca="false">IF(BB1697="",0,MAX(0,MIN(1,(IF(BY1697="L1",Parameter!$E$5,Parameter!$E$6+Parameter!$E$7)-(BB1697-AX1697))/AX1697)))</f>
        <v>0</v>
      </c>
      <c r="BD1697" s="55" t="str">
        <f aca="false">IF(AH1697&lt;=0,"",IF(BY1697="Aussen","Aussenlager",IF(BY1697="-","Nicht im Lift",IF(AM1697&gt;=1,"Lift",IF(AM1697&lt;=0,"Aussenlager","teilweise")))))</f>
        <v>Lift</v>
      </c>
      <c r="BE1697" s="55" t="str">
        <f aca="false">IF(AP1697&lt;=0,"",IF(BY1697="Aussen","Aussenlager",IF(BY1697="-","Nicht im Lift",IF(AU1697&gt;=1,"Lift",IF(AU1697&lt;=0,"Aussenlager","teilweise")))))</f>
        <v>Aussenlager</v>
      </c>
      <c r="BF1697" s="55" t="str">
        <f aca="false">IF(AX1697&lt;=0,"",IF(BY1697="Aussen","Aussenlager",IF(BY1697="-","Nicht im Lift",IF(BC1697&gt;=1,"Lift",IF(BC1697&lt;=0,"Aussenlager","teilweise")))))</f>
        <v>Aussenlager</v>
      </c>
      <c r="BG1697" s="55" t="str">
        <f aca="false">IF(A1697="","",IF(BP1697=1,"Neu; ","")&amp;IF(AND(BP1697=0,BK1697&lt;0),"negativer Bestand (Export "&amp;BK1697&amp;"); ","")&amp;IF(J1697&lt;=0,"Kein Verbrauch; ","")&amp;IF(CH1697&gt;0,"Lift "&amp;W1697&amp;" lt. Liftbericht (Fach "&amp;X1697&amp;" Stk); ",IF(BU1697=1,"Gebinde geschätzt ("&amp;T1697&amp;"); ",IF(BT1697=1,"Lose – Tablare geschätzt; ","")))&amp;IF(H1697&gt;AR1697,"Überbestand "&amp;ROUND(H1697-AR1697,0)&amp;" Stk / CHF "&amp;ROUND((H1697-AR1697)*G1697,0)&amp;"; ","")&amp;IF(AND(CA1697=1,CB1697&lt;CC1697),"MAX &lt; MB+LG; ","")&amp;IF(AND(CG1697&gt;0,CF1697*10&gt;CG1697),"zu hoch für Tablar; ","")&amp;IF(AND(BP1697=0,OR(CA1697=1,AA1697&lt;&gt;"",U1697&lt;&gt;"",V1697&lt;&gt;"",AB1697&lt;&gt;"")),"manuell übersteuert; ","")&amp;IF(AND(BT1697=0,R1697=0),"Gebinde unbekannt / Stellmass fehlt; ","")&amp;IF(AND(BT1697=0,N(V1697)&lt;=0,N(Q1697)&lt;=0),"Menge pro Gebinde fehlt (Ist = 1 Gebinde); ","")&amp;BO1697)</f>
        <v>Kein Verbrauch; Überbestand 1 Stk / CHF 5; nur im Artikelstamm (Bestand 23.06.2026)</v>
      </c>
      <c r="BH1697" s="55"/>
      <c r="BI1697" s="55"/>
      <c r="BJ1697" s="62"/>
      <c r="BK1697" s="57" t="n">
        <v>10</v>
      </c>
      <c r="BL1697" s="57" t="n">
        <v>0</v>
      </c>
      <c r="BM1697" s="56" t="n">
        <v>0</v>
      </c>
      <c r="BN1697" s="57" t="n">
        <v>0</v>
      </c>
      <c r="BO1697" s="55" t="s">
        <v>2575</v>
      </c>
      <c r="BP1697" s="60" t="n">
        <v>0</v>
      </c>
      <c r="BQ1697" s="60" t="n">
        <v>1697</v>
      </c>
      <c r="BR1697" s="55" t="str">
        <f aca="false">IF(U1697&lt;&gt;"",UPPER(TRIM(U1697)),IF(BU1697=1,UPPER(VLOOKUP(T1697,Parameter!$I$27:$K$29,2,0)),IF(P1697="","LOSE",P1697)))</f>
        <v>S41</v>
      </c>
      <c r="BS1697" s="57" t="n">
        <f aca="false">IF(BR1697="LOSE",1,IF(N(V1697)&gt;0,V1697,IF(BU1697=1,MAX(1,N(VLOOKUP(T1697,Parameter!$I$27:$K$29,3,0)),H1697,N(N1697)),IF(N(Q1697)&gt;0,Q1697,MAX(1,H1697)))))</f>
        <v>9</v>
      </c>
      <c r="BT1697" s="60" t="n">
        <f aca="false">IF(BR1697="LOSE",1,0)</f>
        <v>0</v>
      </c>
      <c r="BU1697" s="60" t="n">
        <f aca="false">IF(AND(U1697="",OR(P1697="",P1697="LOSE"),T1697&lt;&gt;"",N(S1697)&lt;=0,ISNUMBER(MATCH(T1697,Parameter!$I$27:$I$29,0))),1,0)</f>
        <v>0</v>
      </c>
      <c r="BV1697" s="55" t="str">
        <f aca="false">IF(AND(Parameter!$B$19="Ja",E1697&lt;&gt;"",ISNUMBER(MATCH(E1697,Parameter!$I$35:$I$52,0))),VLOOKUP(E1697,Parameter!$I$35:$J$52,2,0),IFERROR(VLOOKUP(D1697,Parameter!$A$35:$C$64,2,0),"Nein"))</f>
        <v>2+3</v>
      </c>
      <c r="BW1697" s="59" t="n">
        <f aca="false">IF(BT1697=0,0,IF(N(S1697)&gt;0,S1697,IFERROR(VLOOKUP(D1697,Parameter!$A$35:$C$64,3,0)+0,0)))</f>
        <v>0</v>
      </c>
      <c r="BX1697" s="55" t="n">
        <f aca="false">IF(AA1697&lt;&gt;"",AA1697,Z1697)</f>
        <v>3</v>
      </c>
      <c r="BY1697" s="55" t="str">
        <f aca="false">IF(BX1697=1,"L1",IF(OR(BX1697=2,BX1697=3),"L23",IF(BX1697="Aussen","Aussen","-")))</f>
        <v>L23</v>
      </c>
      <c r="BZ1697" s="66" t="n">
        <f aca="false">IF(N(AB1697)&gt;0,AB1697,0)</f>
        <v>0</v>
      </c>
      <c r="CA1697" s="60" t="n">
        <f aca="false">IF(ISNUMBER(AE1697),1,0)</f>
        <v>0</v>
      </c>
      <c r="CB1697" s="57" t="n">
        <f aca="false">N(AE1697)</f>
        <v>0</v>
      </c>
      <c r="CC1697" s="57" t="n">
        <f aca="false">N(M1697)+N(N1697)</f>
        <v>1</v>
      </c>
      <c r="CD1697" s="57" t="n">
        <f aca="false">ROUNDUP(H1697/BS1697,0)</f>
        <v>2</v>
      </c>
      <c r="CE1697" s="57" t="n">
        <f aca="false">ROUNDUP(CB1697/BS1697,0)</f>
        <v>0</v>
      </c>
      <c r="CF1697" s="60" t="n">
        <f aca="false">IF(BT1697=1,0,IFERROR(VLOOKUP(BR1697,'Gebinde-Kategorie'!$A$5:$M$45,5,0)+0,0))</f>
        <v>11</v>
      </c>
      <c r="CG1697" s="60" t="n">
        <f aca="false">IFERROR(IF(OR(BX1697=1,BX1697=2,BX1697=3),N(INDEX(Parameter!$I$5:$I$7,BX1697)),0),0)</f>
        <v>0</v>
      </c>
      <c r="CH1697" s="59" t="n">
        <f aca="false">IF(AND(Parameter!$B$21="Ja",ISNUMBER(W1697),N(X1697)&gt;0),IFERROR(N(INDEX(Parameter!$L$5:$L$7,W1697))*INDEX(Parameter!$E$5:$E$7,W1697)*X1697/SUMIFS($X$7:$X$1843,$W$7:$W$1843,W1697),0),0)</f>
        <v>0</v>
      </c>
    </row>
    <row r="1698" customFormat="false" ht="15" hidden="false" customHeight="false" outlineLevel="0" collapsed="false">
      <c r="A1698" s="55" t="s">
        <v>2939</v>
      </c>
      <c r="B1698" s="55" t="s">
        <v>2940</v>
      </c>
      <c r="C1698" s="55" t="s">
        <v>164</v>
      </c>
      <c r="D1698" s="55" t="s">
        <v>184</v>
      </c>
      <c r="E1698" s="55"/>
      <c r="F1698" s="55"/>
      <c r="G1698" s="56" t="n">
        <v>285.5</v>
      </c>
      <c r="H1698" s="57" t="n">
        <f aca="false">MAX(0,IF(AND(Parameter!$B$21="Ja",ISNUMBER(Y1698)),Y1698,IF(Parameter!$B$20="Jahresanfang 2025 + Export",BL1698+BK1698,BK1698)))</f>
        <v>2</v>
      </c>
      <c r="I1698" s="57" t="n">
        <f aca="false">H1698*G1698</f>
        <v>571</v>
      </c>
      <c r="J1698" s="57" t="n">
        <f aca="false">BN1698*Parameter!$B$18</f>
        <v>0</v>
      </c>
      <c r="K1698" s="58"/>
      <c r="L1698" s="59"/>
      <c r="M1698" s="57" t="n">
        <v>0</v>
      </c>
      <c r="N1698" s="57" t="n">
        <v>1</v>
      </c>
      <c r="O1698" s="60" t="n">
        <v>0</v>
      </c>
      <c r="P1698" s="55" t="s">
        <v>328</v>
      </c>
      <c r="Q1698" s="57" t="n">
        <v>4</v>
      </c>
      <c r="R1698" s="60" t="n">
        <f aca="false">IF(BT1698=1,0,IFERROR(VLOOKUP(BR1698,'Gebinde-Kategorie'!$A$5:$M$45,13,0)+0,0))</f>
        <v>52</v>
      </c>
      <c r="S1698" s="61"/>
      <c r="T1698" s="62"/>
      <c r="U1698" s="62"/>
      <c r="V1698" s="62"/>
      <c r="W1698" s="55"/>
      <c r="X1698" s="57"/>
      <c r="Y1698" s="57"/>
      <c r="Z1698" s="55" t="n">
        <f aca="false">IF(A1698="","",IF(AND(Parameter!$B$21="Ja",ISNUMBER(W1698)),W1698,IF(BV1698="2+3",IF(ISNUMBER(SEARCH("grosser Artikel",BO1698)),2,IFERROR(VLOOKUP(BR1698,Parameter!$F$35:$G$64,2,0),2)),IF(OR(BV1698="Nein",BV1698=""),"-",BV1698))))</f>
        <v>3</v>
      </c>
      <c r="AA1698" s="62"/>
      <c r="AB1698" s="63"/>
      <c r="AC1698" s="57" t="n">
        <f aca="false">AR1698</f>
        <v>4</v>
      </c>
      <c r="AD1698" s="57" t="n">
        <f aca="false">MAX(AR1698,H1698)</f>
        <v>4</v>
      </c>
      <c r="AE1698" s="64"/>
      <c r="AF1698" s="57" t="n">
        <f aca="false">IF(LEFT(Cockpit!$C$5,1)="A",H1698,IF(CA1698=1,CB1698,IF(LEFT(Cockpit!$C$5,1)="B",AJ1698,MAX(AJ1698,H1698))))</f>
        <v>2</v>
      </c>
      <c r="AG1698" s="57" t="n">
        <f aca="false">IF(BT1698=1,0,ROUNDUP(AF1698/BS1698,0))</f>
        <v>1</v>
      </c>
      <c r="AH1698" s="59" t="n">
        <f aca="false">IF(CH1698&gt;0,CH1698*MAX(1,AF1698/X1698),IF(BT1698=1,IF(AF1698&lt;=0,0,BW1698*MAX(1,IF(H1698&gt;0,AF1698/H1698,1))),IF(R1698&gt;0,AG1698/R1698,0))/MAX(0.1,N(Parameter!$M$21)))</f>
        <v>0.0192307692307692</v>
      </c>
      <c r="AI1698" s="57" t="n">
        <f aca="false">AF1698*G1698</f>
        <v>571</v>
      </c>
      <c r="AJ1698" s="57" t="n">
        <f aca="false">ROUNDUP(MAX(J1698/IF(BZ1698&gt;0,BZ1698,MAX(0.1,N(Cockpit!$C$6))),CC1698)/BS1698,0)*BS1698</f>
        <v>4</v>
      </c>
      <c r="AK1698" s="58" t="n">
        <f aca="false">IF(AH1698&gt;0,J1698/AH1698,-1)</f>
        <v>0</v>
      </c>
      <c r="AL1698" s="58" t="n">
        <f aca="false">IF(AND(OR(BY1698="L1",BY1698="L23"),AH1698&gt;0),SUMIFS($AH$7:$AH$1843,$BY$7:$BY$1843,BY1698,$AK$7:$AK$1843,"&gt;"&amp;AK1698)+SUMIFS($AH$7:$AH$1843,$BY$7:$BY$1843,BY1698,$AK$7:$AK$1843,AK1698,$BQ$7:$BQ$1843,"&lt;="&amp;BQ1698),"")</f>
        <v>96.5204300530388</v>
      </c>
      <c r="AM1698" s="65" t="n">
        <f aca="false">IF(AL1698="",0,MAX(0,MIN(1,(IF(BY1698="L1",Parameter!$E$5,Parameter!$E$6+Parameter!$E$7)-(AL1698-AH1698))/AH1698)))</f>
        <v>1</v>
      </c>
      <c r="AN1698" s="57" t="n">
        <f aca="false">IF(LEFT(Cockpit!$I$5,1)="A",H1698,IF(CA1698=1,CB1698,IF(LEFT(Cockpit!$I$5,1)="B",AR1698,MAX(AR1698,H1698))))</f>
        <v>4</v>
      </c>
      <c r="AO1698" s="57" t="n">
        <f aca="false">IF(BT1698=1,0,ROUNDUP(AN1698/BS1698,0))</f>
        <v>1</v>
      </c>
      <c r="AP1698" s="59" t="n">
        <f aca="false">IF(CH1698&gt;0,CH1698*MAX(1,AN1698/X1698),IF(BT1698=1,IF(AN1698&lt;=0,0,BW1698*MAX(1,IF(H1698&gt;0,AN1698/H1698,1))),IF(R1698&gt;0,AO1698/R1698,0))/MAX(0.1,N(Parameter!$M$21)))</f>
        <v>0.0192307692307692</v>
      </c>
      <c r="AQ1698" s="57" t="n">
        <f aca="false">AN1698*G1698</f>
        <v>1142</v>
      </c>
      <c r="AR1698" s="57" t="n">
        <f aca="false">ROUNDUP(MAX(J1698/IF(BZ1698&gt;0,BZ1698,MAX(0.1,N(Cockpit!$I$6))),CC1698)/BS1698,0)*BS1698</f>
        <v>4</v>
      </c>
      <c r="AS1698" s="58" t="n">
        <f aca="false">IF(AP1698&gt;0,J1698/AP1698,-1)</f>
        <v>0</v>
      </c>
      <c r="AT1698" s="58" t="n">
        <f aca="false">IF(AND(OR(BY1698="L1",BY1698="L23"),AP1698&gt;0),SUMIFS($AP$7:$AP$1843,$BY$7:$BY$1843,BY1698,$AS$7:$AS$1843,"&gt;"&amp;AS1698)+SUMIFS($AP$7:$AP$1843,$BY$7:$BY$1843,BY1698,$AS$7:$AS$1843,AS1698,$BQ$7:$BQ$1843,"&lt;="&amp;BQ1698),"")</f>
        <v>141.855900138509</v>
      </c>
      <c r="AU1698" s="65" t="n">
        <f aca="false">IF(AT1698="",0,MAX(0,MIN(1,(IF(BY1698="L1",Parameter!$E$5,Parameter!$E$6+Parameter!$E$7)-(AT1698-AP1698))/AP1698)))</f>
        <v>0</v>
      </c>
      <c r="AV1698" s="57" t="n">
        <f aca="false">IF(LEFT(Cockpit!$O$5,1)="A",H1698,IF(CA1698=1,CB1698,IF(LEFT(Cockpit!$O$5,1)="B",AZ1698,MAX(AZ1698,H1698))))</f>
        <v>4</v>
      </c>
      <c r="AW1698" s="57" t="n">
        <f aca="false">IF(BT1698=1,0,ROUNDUP(AV1698/BS1698,0))</f>
        <v>1</v>
      </c>
      <c r="AX1698" s="59" t="n">
        <f aca="false">IF(CH1698&gt;0,CH1698*MAX(1,AV1698/X1698),IF(BT1698=1,IF(AV1698&lt;=0,0,BW1698*MAX(1,IF(H1698&gt;0,AV1698/H1698,1))),IF(R1698&gt;0,AW1698/R1698,0))/MAX(0.1,N(Parameter!$M$21)))</f>
        <v>0.0192307692307692</v>
      </c>
      <c r="AY1698" s="57" t="n">
        <f aca="false">AV1698*G1698</f>
        <v>1142</v>
      </c>
      <c r="AZ1698" s="57" t="n">
        <f aca="false">ROUNDUP(MAX(J1698/IF(BZ1698&gt;0,BZ1698,MAX(0.1,N(Cockpit!$O$6))),CC1698)/BS1698,0)*BS1698</f>
        <v>4</v>
      </c>
      <c r="BA1698" s="58" t="n">
        <f aca="false">IF(AX1698&gt;0,J1698/AX1698,-1)</f>
        <v>0</v>
      </c>
      <c r="BB1698" s="58" t="n">
        <f aca="false">IF(AND(OR(BY1698="L1",BY1698="L23"),AX1698&gt;0),SUMIFS($AX$7:$AX$1843,$BY$7:$BY$1843,BY1698,$BA$7:$BA$1843,"&gt;"&amp;BA1698)+SUMIFS($AX$7:$AX$1843,$BY$7:$BY$1843,BY1698,$BA$7:$BA$1843,BA1698,$BQ$7:$BQ$1843,"&lt;="&amp;BQ1698),"")</f>
        <v>132.685736968346</v>
      </c>
      <c r="BC1698" s="65" t="n">
        <f aca="false">IF(BB1698="",0,MAX(0,MIN(1,(IF(BY1698="L1",Parameter!$E$5,Parameter!$E$6+Parameter!$E$7)-(BB1698-AX1698))/AX1698)))</f>
        <v>0</v>
      </c>
      <c r="BD1698" s="55" t="str">
        <f aca="false">IF(AH1698&lt;=0,"",IF(BY1698="Aussen","Aussenlager",IF(BY1698="-","Nicht im Lift",IF(AM1698&gt;=1,"Lift",IF(AM1698&lt;=0,"Aussenlager","teilweise")))))</f>
        <v>Lift</v>
      </c>
      <c r="BE1698" s="55" t="str">
        <f aca="false">IF(AP1698&lt;=0,"",IF(BY1698="Aussen","Aussenlager",IF(BY1698="-","Nicht im Lift",IF(AU1698&gt;=1,"Lift",IF(AU1698&lt;=0,"Aussenlager","teilweise")))))</f>
        <v>Aussenlager</v>
      </c>
      <c r="BF1698" s="55" t="str">
        <f aca="false">IF(AX1698&lt;=0,"",IF(BY1698="Aussen","Aussenlager",IF(BY1698="-","Nicht im Lift",IF(BC1698&gt;=1,"Lift",IF(BC1698&lt;=0,"Aussenlager","teilweise")))))</f>
        <v>Aussenlager</v>
      </c>
      <c r="BG1698" s="55" t="str">
        <f aca="false">IF(A1698="","",IF(BP1698=1,"Neu; ","")&amp;IF(AND(BP1698=0,BK1698&lt;0),"negativer Bestand (Export "&amp;BK1698&amp;"); ","")&amp;IF(J1698&lt;=0,"Kein Verbrauch; ","")&amp;IF(CH1698&gt;0,"Lift "&amp;W1698&amp;" lt. Liftbericht (Fach "&amp;X1698&amp;" Stk); ",IF(BU1698=1,"Gebinde geschätzt ("&amp;T1698&amp;"); ",IF(BT1698=1,"Lose – Tablare geschätzt; ","")))&amp;IF(H1698&gt;AR1698,"Überbestand "&amp;ROUND(H1698-AR1698,0)&amp;" Stk / CHF "&amp;ROUND((H1698-AR1698)*G1698,0)&amp;"; ","")&amp;IF(AND(CA1698=1,CB1698&lt;CC1698),"MAX &lt; MB+LG; ","")&amp;IF(AND(CG1698&gt;0,CF1698*10&gt;CG1698),"zu hoch für Tablar; ","")&amp;IF(AND(BP1698=0,OR(CA1698=1,AA1698&lt;&gt;"",U1698&lt;&gt;"",V1698&lt;&gt;"",AB1698&lt;&gt;"")),"manuell übersteuert; ","")&amp;IF(AND(BT1698=0,R1698=0),"Gebinde unbekannt / Stellmass fehlt; ","")&amp;IF(AND(BT1698=0,N(V1698)&lt;=0,N(Q1698)&lt;=0),"Menge pro Gebinde fehlt (Ist = 1 Gebinde); ","")&amp;BO1698)</f>
        <v>Kein Verbrauch; nur im Artikelstamm (Bestand 23.06.2026)</v>
      </c>
      <c r="BH1698" s="55"/>
      <c r="BI1698" s="55"/>
      <c r="BJ1698" s="62"/>
      <c r="BK1698" s="57" t="n">
        <v>2</v>
      </c>
      <c r="BL1698" s="57" t="n">
        <v>0</v>
      </c>
      <c r="BM1698" s="56" t="n">
        <v>0</v>
      </c>
      <c r="BN1698" s="57" t="n">
        <v>0</v>
      </c>
      <c r="BO1698" s="55" t="s">
        <v>2575</v>
      </c>
      <c r="BP1698" s="60" t="n">
        <v>0</v>
      </c>
      <c r="BQ1698" s="60" t="n">
        <v>1698</v>
      </c>
      <c r="BR1698" s="55" t="str">
        <f aca="false">IF(U1698&lt;&gt;"",UPPER(TRIM(U1698)),IF(BU1698=1,UPPER(VLOOKUP(T1698,Parameter!$I$27:$K$29,2,0)),IF(P1698="","LOSE",P1698)))</f>
        <v>S41</v>
      </c>
      <c r="BS1698" s="57" t="n">
        <f aca="false">IF(BR1698="LOSE",1,IF(N(V1698)&gt;0,V1698,IF(BU1698=1,MAX(1,N(VLOOKUP(T1698,Parameter!$I$27:$K$29,3,0)),H1698,N(N1698)),IF(N(Q1698)&gt;0,Q1698,MAX(1,H1698)))))</f>
        <v>4</v>
      </c>
      <c r="BT1698" s="60" t="n">
        <f aca="false">IF(BR1698="LOSE",1,0)</f>
        <v>0</v>
      </c>
      <c r="BU1698" s="60" t="n">
        <f aca="false">IF(AND(U1698="",OR(P1698="",P1698="LOSE"),T1698&lt;&gt;"",N(S1698)&lt;=0,ISNUMBER(MATCH(T1698,Parameter!$I$27:$I$29,0))),1,0)</f>
        <v>0</v>
      </c>
      <c r="BV1698" s="55" t="str">
        <f aca="false">IF(AND(Parameter!$B$19="Ja",E1698&lt;&gt;"",ISNUMBER(MATCH(E1698,Parameter!$I$35:$I$52,0))),VLOOKUP(E1698,Parameter!$I$35:$J$52,2,0),IFERROR(VLOOKUP(D1698,Parameter!$A$35:$C$64,2,0),"Nein"))</f>
        <v>2+3</v>
      </c>
      <c r="BW1698" s="59" t="n">
        <f aca="false">IF(BT1698=0,0,IF(N(S1698)&gt;0,S1698,IFERROR(VLOOKUP(D1698,Parameter!$A$35:$C$64,3,0)+0,0)))</f>
        <v>0</v>
      </c>
      <c r="BX1698" s="55" t="n">
        <f aca="false">IF(AA1698&lt;&gt;"",AA1698,Z1698)</f>
        <v>3</v>
      </c>
      <c r="BY1698" s="55" t="str">
        <f aca="false">IF(BX1698=1,"L1",IF(OR(BX1698=2,BX1698=3),"L23",IF(BX1698="Aussen","Aussen","-")))</f>
        <v>L23</v>
      </c>
      <c r="BZ1698" s="66" t="n">
        <f aca="false">IF(N(AB1698)&gt;0,AB1698,0)</f>
        <v>0</v>
      </c>
      <c r="CA1698" s="60" t="n">
        <f aca="false">IF(ISNUMBER(AE1698),1,0)</f>
        <v>0</v>
      </c>
      <c r="CB1698" s="57" t="n">
        <f aca="false">N(AE1698)</f>
        <v>0</v>
      </c>
      <c r="CC1698" s="57" t="n">
        <f aca="false">N(M1698)+N(N1698)</f>
        <v>1</v>
      </c>
      <c r="CD1698" s="57" t="n">
        <f aca="false">ROUNDUP(H1698/BS1698,0)</f>
        <v>1</v>
      </c>
      <c r="CE1698" s="57" t="n">
        <f aca="false">ROUNDUP(CB1698/BS1698,0)</f>
        <v>0</v>
      </c>
      <c r="CF1698" s="60" t="n">
        <f aca="false">IF(BT1698=1,0,IFERROR(VLOOKUP(BR1698,'Gebinde-Kategorie'!$A$5:$M$45,5,0)+0,0))</f>
        <v>11</v>
      </c>
      <c r="CG1698" s="60" t="n">
        <f aca="false">IFERROR(IF(OR(BX1698=1,BX1698=2,BX1698=3),N(INDEX(Parameter!$I$5:$I$7,BX1698)),0),0)</f>
        <v>0</v>
      </c>
      <c r="CH1698" s="59" t="n">
        <f aca="false">IF(AND(Parameter!$B$21="Ja",ISNUMBER(W1698),N(X1698)&gt;0),IFERROR(N(INDEX(Parameter!$L$5:$L$7,W1698))*INDEX(Parameter!$E$5:$E$7,W1698)*X1698/SUMIFS($X$7:$X$1843,$W$7:$W$1843,W1698),0),0)</f>
        <v>0</v>
      </c>
    </row>
    <row r="1699" customFormat="false" ht="15" hidden="false" customHeight="false" outlineLevel="0" collapsed="false">
      <c r="A1699" s="55" t="s">
        <v>2941</v>
      </c>
      <c r="B1699" s="55" t="s">
        <v>2942</v>
      </c>
      <c r="C1699" s="55" t="s">
        <v>164</v>
      </c>
      <c r="D1699" s="55" t="s">
        <v>184</v>
      </c>
      <c r="E1699" s="55"/>
      <c r="F1699" s="55"/>
      <c r="G1699" s="56" t="n">
        <v>41.3</v>
      </c>
      <c r="H1699" s="57" t="n">
        <f aca="false">MAX(0,IF(AND(Parameter!$B$21="Ja",ISNUMBER(Y1699)),Y1699,IF(Parameter!$B$20="Jahresanfang 2025 + Export",BL1699+BK1699,BK1699)))</f>
        <v>3</v>
      </c>
      <c r="I1699" s="57" t="n">
        <f aca="false">H1699*G1699</f>
        <v>123.9</v>
      </c>
      <c r="J1699" s="57" t="n">
        <f aca="false">BN1699*Parameter!$B$18</f>
        <v>0</v>
      </c>
      <c r="K1699" s="58"/>
      <c r="L1699" s="59"/>
      <c r="M1699" s="57" t="n">
        <v>0</v>
      </c>
      <c r="N1699" s="57" t="n">
        <v>3</v>
      </c>
      <c r="O1699" s="60" t="n">
        <v>42</v>
      </c>
      <c r="P1699" s="55" t="s">
        <v>328</v>
      </c>
      <c r="Q1699" s="57" t="n">
        <v>3</v>
      </c>
      <c r="R1699" s="60" t="n">
        <f aca="false">IF(BT1699=1,0,IFERROR(VLOOKUP(BR1699,'Gebinde-Kategorie'!$A$5:$M$45,13,0)+0,0))</f>
        <v>52</v>
      </c>
      <c r="S1699" s="61"/>
      <c r="T1699" s="62"/>
      <c r="U1699" s="62"/>
      <c r="V1699" s="62"/>
      <c r="W1699" s="55"/>
      <c r="X1699" s="57"/>
      <c r="Y1699" s="57"/>
      <c r="Z1699" s="55" t="n">
        <f aca="false">IF(A1699="","",IF(AND(Parameter!$B$21="Ja",ISNUMBER(W1699)),W1699,IF(BV1699="2+3",IF(ISNUMBER(SEARCH("grosser Artikel",BO1699)),2,IFERROR(VLOOKUP(BR1699,Parameter!$F$35:$G$64,2,0),2)),IF(OR(BV1699="Nein",BV1699=""),"-",BV1699))))</f>
        <v>3</v>
      </c>
      <c r="AA1699" s="62"/>
      <c r="AB1699" s="63"/>
      <c r="AC1699" s="57" t="n">
        <f aca="false">AR1699</f>
        <v>3</v>
      </c>
      <c r="AD1699" s="57" t="n">
        <f aca="false">MAX(AR1699,H1699)</f>
        <v>3</v>
      </c>
      <c r="AE1699" s="64"/>
      <c r="AF1699" s="57" t="n">
        <f aca="false">IF(LEFT(Cockpit!$C$5,1)="A",H1699,IF(CA1699=1,CB1699,IF(LEFT(Cockpit!$C$5,1)="B",AJ1699,MAX(AJ1699,H1699))))</f>
        <v>3</v>
      </c>
      <c r="AG1699" s="57" t="n">
        <f aca="false">IF(BT1699=1,0,ROUNDUP(AF1699/BS1699,0))</f>
        <v>1</v>
      </c>
      <c r="AH1699" s="59" t="n">
        <f aca="false">IF(CH1699&gt;0,CH1699*MAX(1,AF1699/X1699),IF(BT1699=1,IF(AF1699&lt;=0,0,BW1699*MAX(1,IF(H1699&gt;0,AF1699/H1699,1))),IF(R1699&gt;0,AG1699/R1699,0))/MAX(0.1,N(Parameter!$M$21)))</f>
        <v>0.0192307692307692</v>
      </c>
      <c r="AI1699" s="57" t="n">
        <f aca="false">AF1699*G1699</f>
        <v>123.9</v>
      </c>
      <c r="AJ1699" s="57" t="n">
        <f aca="false">ROUNDUP(MAX(J1699/IF(BZ1699&gt;0,BZ1699,MAX(0.1,N(Cockpit!$C$6))),CC1699)/BS1699,0)*BS1699</f>
        <v>3</v>
      </c>
      <c r="AK1699" s="58" t="n">
        <f aca="false">IF(AH1699&gt;0,J1699/AH1699,-1)</f>
        <v>0</v>
      </c>
      <c r="AL1699" s="58" t="n">
        <f aca="false">IF(AND(OR(BY1699="L1",BY1699="L23"),AH1699&gt;0),SUMIFS($AH$7:$AH$1843,$BY$7:$BY$1843,BY1699,$AK$7:$AK$1843,"&gt;"&amp;AK1699)+SUMIFS($AH$7:$AH$1843,$BY$7:$BY$1843,BY1699,$AK$7:$AK$1843,AK1699,$BQ$7:$BQ$1843,"&lt;="&amp;BQ1699),"")</f>
        <v>96.5396608222695</v>
      </c>
      <c r="AM1699" s="65" t="n">
        <f aca="false">IF(AL1699="",0,MAX(0,MIN(1,(IF(BY1699="L1",Parameter!$E$5,Parameter!$E$6+Parameter!$E$7)-(AL1699-AH1699))/AH1699)))</f>
        <v>1</v>
      </c>
      <c r="AN1699" s="57" t="n">
        <f aca="false">IF(LEFT(Cockpit!$I$5,1)="A",H1699,IF(CA1699=1,CB1699,IF(LEFT(Cockpit!$I$5,1)="B",AR1699,MAX(AR1699,H1699))))</f>
        <v>3</v>
      </c>
      <c r="AO1699" s="57" t="n">
        <f aca="false">IF(BT1699=1,0,ROUNDUP(AN1699/BS1699,0))</f>
        <v>1</v>
      </c>
      <c r="AP1699" s="59" t="n">
        <f aca="false">IF(CH1699&gt;0,CH1699*MAX(1,AN1699/X1699),IF(BT1699=1,IF(AN1699&lt;=0,0,BW1699*MAX(1,IF(H1699&gt;0,AN1699/H1699,1))),IF(R1699&gt;0,AO1699/R1699,0))/MAX(0.1,N(Parameter!$M$21)))</f>
        <v>0.0192307692307692</v>
      </c>
      <c r="AQ1699" s="57" t="n">
        <f aca="false">AN1699*G1699</f>
        <v>123.9</v>
      </c>
      <c r="AR1699" s="57" t="n">
        <f aca="false">ROUNDUP(MAX(J1699/IF(BZ1699&gt;0,BZ1699,MAX(0.1,N(Cockpit!$I$6))),CC1699)/BS1699,0)*BS1699</f>
        <v>3</v>
      </c>
      <c r="AS1699" s="58" t="n">
        <f aca="false">IF(AP1699&gt;0,J1699/AP1699,-1)</f>
        <v>0</v>
      </c>
      <c r="AT1699" s="58" t="n">
        <f aca="false">IF(AND(OR(BY1699="L1",BY1699="L23"),AP1699&gt;0),SUMIFS($AP$7:$AP$1843,$BY$7:$BY$1843,BY1699,$AS$7:$AS$1843,"&gt;"&amp;AS1699)+SUMIFS($AP$7:$AP$1843,$BY$7:$BY$1843,BY1699,$AS$7:$AS$1843,AS1699,$BQ$7:$BQ$1843,"&lt;="&amp;BQ1699),"")</f>
        <v>141.87513090774</v>
      </c>
      <c r="AU1699" s="65" t="n">
        <f aca="false">IF(AT1699="",0,MAX(0,MIN(1,(IF(BY1699="L1",Parameter!$E$5,Parameter!$E$6+Parameter!$E$7)-(AT1699-AP1699))/AP1699)))</f>
        <v>0</v>
      </c>
      <c r="AV1699" s="57" t="n">
        <f aca="false">IF(LEFT(Cockpit!$O$5,1)="A",H1699,IF(CA1699=1,CB1699,IF(LEFT(Cockpit!$O$5,1)="B",AZ1699,MAX(AZ1699,H1699))))</f>
        <v>3</v>
      </c>
      <c r="AW1699" s="57" t="n">
        <f aca="false">IF(BT1699=1,0,ROUNDUP(AV1699/BS1699,0))</f>
        <v>1</v>
      </c>
      <c r="AX1699" s="59" t="n">
        <f aca="false">IF(CH1699&gt;0,CH1699*MAX(1,AV1699/X1699),IF(BT1699=1,IF(AV1699&lt;=0,0,BW1699*MAX(1,IF(H1699&gt;0,AV1699/H1699,1))),IF(R1699&gt;0,AW1699/R1699,0))/MAX(0.1,N(Parameter!$M$21)))</f>
        <v>0.0192307692307692</v>
      </c>
      <c r="AY1699" s="57" t="n">
        <f aca="false">AV1699*G1699</f>
        <v>123.9</v>
      </c>
      <c r="AZ1699" s="57" t="n">
        <f aca="false">ROUNDUP(MAX(J1699/IF(BZ1699&gt;0,BZ1699,MAX(0.1,N(Cockpit!$O$6))),CC1699)/BS1699,0)*BS1699</f>
        <v>3</v>
      </c>
      <c r="BA1699" s="58" t="n">
        <f aca="false">IF(AX1699&gt;0,J1699/AX1699,-1)</f>
        <v>0</v>
      </c>
      <c r="BB1699" s="58" t="n">
        <f aca="false">IF(AND(OR(BY1699="L1",BY1699="L23"),AX1699&gt;0),SUMIFS($AX$7:$AX$1843,$BY$7:$BY$1843,BY1699,$BA$7:$BA$1843,"&gt;"&amp;BA1699)+SUMIFS($AX$7:$AX$1843,$BY$7:$BY$1843,BY1699,$BA$7:$BA$1843,BA1699,$BQ$7:$BQ$1843,"&lt;="&amp;BQ1699),"")</f>
        <v>132.704967737576</v>
      </c>
      <c r="BC1699" s="65" t="n">
        <f aca="false">IF(BB1699="",0,MAX(0,MIN(1,(IF(BY1699="L1",Parameter!$E$5,Parameter!$E$6+Parameter!$E$7)-(BB1699-AX1699))/AX1699)))</f>
        <v>0</v>
      </c>
      <c r="BD1699" s="55" t="str">
        <f aca="false">IF(AH1699&lt;=0,"",IF(BY1699="Aussen","Aussenlager",IF(BY1699="-","Nicht im Lift",IF(AM1699&gt;=1,"Lift",IF(AM1699&lt;=0,"Aussenlager","teilweise")))))</f>
        <v>Lift</v>
      </c>
      <c r="BE1699" s="55" t="str">
        <f aca="false">IF(AP1699&lt;=0,"",IF(BY1699="Aussen","Aussenlager",IF(BY1699="-","Nicht im Lift",IF(AU1699&gt;=1,"Lift",IF(AU1699&lt;=0,"Aussenlager","teilweise")))))</f>
        <v>Aussenlager</v>
      </c>
      <c r="BF1699" s="55" t="str">
        <f aca="false">IF(AX1699&lt;=0,"",IF(BY1699="Aussen","Aussenlager",IF(BY1699="-","Nicht im Lift",IF(BC1699&gt;=1,"Lift",IF(BC1699&lt;=0,"Aussenlager","teilweise")))))</f>
        <v>Aussenlager</v>
      </c>
      <c r="BG1699" s="55" t="str">
        <f aca="false">IF(A1699="","",IF(BP1699=1,"Neu; ","")&amp;IF(AND(BP1699=0,BK1699&lt;0),"negativer Bestand (Export "&amp;BK1699&amp;"); ","")&amp;IF(J1699&lt;=0,"Kein Verbrauch; ","")&amp;IF(CH1699&gt;0,"Lift "&amp;W1699&amp;" lt. Liftbericht (Fach "&amp;X1699&amp;" Stk); ",IF(BU1699=1,"Gebinde geschätzt ("&amp;T1699&amp;"); ",IF(BT1699=1,"Lose – Tablare geschätzt; ","")))&amp;IF(H1699&gt;AR1699,"Überbestand "&amp;ROUND(H1699-AR1699,0)&amp;" Stk / CHF "&amp;ROUND((H1699-AR1699)*G1699,0)&amp;"; ","")&amp;IF(AND(CA1699=1,CB1699&lt;CC1699),"MAX &lt; MB+LG; ","")&amp;IF(AND(CG1699&gt;0,CF1699*10&gt;CG1699),"zu hoch für Tablar; ","")&amp;IF(AND(BP1699=0,OR(CA1699=1,AA1699&lt;&gt;"",U1699&lt;&gt;"",V1699&lt;&gt;"",AB1699&lt;&gt;"")),"manuell übersteuert; ","")&amp;IF(AND(BT1699=0,R1699=0),"Gebinde unbekannt / Stellmass fehlt; ","")&amp;IF(AND(BT1699=0,N(V1699)&lt;=0,N(Q1699)&lt;=0),"Menge pro Gebinde fehlt (Ist = 1 Gebinde); ","")&amp;BO1699)</f>
        <v>Kein Verbrauch; nur im Artikelstamm (Bestand 23.06.2026)</v>
      </c>
      <c r="BH1699" s="55"/>
      <c r="BI1699" s="55"/>
      <c r="BJ1699" s="62"/>
      <c r="BK1699" s="57" t="n">
        <v>3</v>
      </c>
      <c r="BL1699" s="57" t="n">
        <v>0</v>
      </c>
      <c r="BM1699" s="56" t="n">
        <v>0</v>
      </c>
      <c r="BN1699" s="57" t="n">
        <v>0</v>
      </c>
      <c r="BO1699" s="55" t="s">
        <v>2575</v>
      </c>
      <c r="BP1699" s="60" t="n">
        <v>0</v>
      </c>
      <c r="BQ1699" s="60" t="n">
        <v>1699</v>
      </c>
      <c r="BR1699" s="55" t="str">
        <f aca="false">IF(U1699&lt;&gt;"",UPPER(TRIM(U1699)),IF(BU1699=1,UPPER(VLOOKUP(T1699,Parameter!$I$27:$K$29,2,0)),IF(P1699="","LOSE",P1699)))</f>
        <v>S41</v>
      </c>
      <c r="BS1699" s="57" t="n">
        <f aca="false">IF(BR1699="LOSE",1,IF(N(V1699)&gt;0,V1699,IF(BU1699=1,MAX(1,N(VLOOKUP(T1699,Parameter!$I$27:$K$29,3,0)),H1699,N(N1699)),IF(N(Q1699)&gt;0,Q1699,MAX(1,H1699)))))</f>
        <v>3</v>
      </c>
      <c r="BT1699" s="60" t="n">
        <f aca="false">IF(BR1699="LOSE",1,0)</f>
        <v>0</v>
      </c>
      <c r="BU1699" s="60" t="n">
        <f aca="false">IF(AND(U1699="",OR(P1699="",P1699="LOSE"),T1699&lt;&gt;"",N(S1699)&lt;=0,ISNUMBER(MATCH(T1699,Parameter!$I$27:$I$29,0))),1,0)</f>
        <v>0</v>
      </c>
      <c r="BV1699" s="55" t="str">
        <f aca="false">IF(AND(Parameter!$B$19="Ja",E1699&lt;&gt;"",ISNUMBER(MATCH(E1699,Parameter!$I$35:$I$52,0))),VLOOKUP(E1699,Parameter!$I$35:$J$52,2,0),IFERROR(VLOOKUP(D1699,Parameter!$A$35:$C$64,2,0),"Nein"))</f>
        <v>2+3</v>
      </c>
      <c r="BW1699" s="59" t="n">
        <f aca="false">IF(BT1699=0,0,IF(N(S1699)&gt;0,S1699,IFERROR(VLOOKUP(D1699,Parameter!$A$35:$C$64,3,0)+0,0)))</f>
        <v>0</v>
      </c>
      <c r="BX1699" s="55" t="n">
        <f aca="false">IF(AA1699&lt;&gt;"",AA1699,Z1699)</f>
        <v>3</v>
      </c>
      <c r="BY1699" s="55" t="str">
        <f aca="false">IF(BX1699=1,"L1",IF(OR(BX1699=2,BX1699=3),"L23",IF(BX1699="Aussen","Aussen","-")))</f>
        <v>L23</v>
      </c>
      <c r="BZ1699" s="66" t="n">
        <f aca="false">IF(N(AB1699)&gt;0,AB1699,0)</f>
        <v>0</v>
      </c>
      <c r="CA1699" s="60" t="n">
        <f aca="false">IF(ISNUMBER(AE1699),1,0)</f>
        <v>0</v>
      </c>
      <c r="CB1699" s="57" t="n">
        <f aca="false">N(AE1699)</f>
        <v>0</v>
      </c>
      <c r="CC1699" s="57" t="n">
        <f aca="false">N(M1699)+N(N1699)</f>
        <v>3</v>
      </c>
      <c r="CD1699" s="57" t="n">
        <f aca="false">ROUNDUP(H1699/BS1699,0)</f>
        <v>1</v>
      </c>
      <c r="CE1699" s="57" t="n">
        <f aca="false">ROUNDUP(CB1699/BS1699,0)</f>
        <v>0</v>
      </c>
      <c r="CF1699" s="60" t="n">
        <f aca="false">IF(BT1699=1,0,IFERROR(VLOOKUP(BR1699,'Gebinde-Kategorie'!$A$5:$M$45,5,0)+0,0))</f>
        <v>11</v>
      </c>
      <c r="CG1699" s="60" t="n">
        <f aca="false">IFERROR(IF(OR(BX1699=1,BX1699=2,BX1699=3),N(INDEX(Parameter!$I$5:$I$7,BX1699)),0),0)</f>
        <v>0</v>
      </c>
      <c r="CH1699" s="59" t="n">
        <f aca="false">IF(AND(Parameter!$B$21="Ja",ISNUMBER(W1699),N(X1699)&gt;0),IFERROR(N(INDEX(Parameter!$L$5:$L$7,W1699))*INDEX(Parameter!$E$5:$E$7,W1699)*X1699/SUMIFS($X$7:$X$1843,$W$7:$W$1843,W1699),0),0)</f>
        <v>0</v>
      </c>
    </row>
    <row r="1700" customFormat="false" ht="15" hidden="false" customHeight="false" outlineLevel="0" collapsed="false">
      <c r="A1700" s="55" t="s">
        <v>2943</v>
      </c>
      <c r="B1700" s="55" t="s">
        <v>2944</v>
      </c>
      <c r="C1700" s="55" t="s">
        <v>164</v>
      </c>
      <c r="D1700" s="55" t="s">
        <v>184</v>
      </c>
      <c r="E1700" s="55"/>
      <c r="F1700" s="55"/>
      <c r="G1700" s="56" t="n">
        <v>99.94</v>
      </c>
      <c r="H1700" s="57" t="n">
        <f aca="false">MAX(0,IF(AND(Parameter!$B$21="Ja",ISNUMBER(Y1700)),Y1700,IF(Parameter!$B$20="Jahresanfang 2025 + Export",BL1700+BK1700,BK1700)))</f>
        <v>3</v>
      </c>
      <c r="I1700" s="57" t="n">
        <f aca="false">H1700*G1700</f>
        <v>299.82</v>
      </c>
      <c r="J1700" s="57" t="n">
        <f aca="false">BN1700*Parameter!$B$18</f>
        <v>0</v>
      </c>
      <c r="K1700" s="58"/>
      <c r="L1700" s="59"/>
      <c r="M1700" s="57" t="n">
        <v>0</v>
      </c>
      <c r="N1700" s="57" t="n">
        <v>3</v>
      </c>
      <c r="O1700" s="60" t="n">
        <v>42</v>
      </c>
      <c r="P1700" s="55" t="s">
        <v>328</v>
      </c>
      <c r="Q1700" s="57" t="n">
        <v>3</v>
      </c>
      <c r="R1700" s="60" t="n">
        <f aca="false">IF(BT1700=1,0,IFERROR(VLOOKUP(BR1700,'Gebinde-Kategorie'!$A$5:$M$45,13,0)+0,0))</f>
        <v>52</v>
      </c>
      <c r="S1700" s="61"/>
      <c r="T1700" s="62"/>
      <c r="U1700" s="62"/>
      <c r="V1700" s="62"/>
      <c r="W1700" s="55"/>
      <c r="X1700" s="57"/>
      <c r="Y1700" s="57"/>
      <c r="Z1700" s="55" t="n">
        <f aca="false">IF(A1700="","",IF(AND(Parameter!$B$21="Ja",ISNUMBER(W1700)),W1700,IF(BV1700="2+3",IF(ISNUMBER(SEARCH("grosser Artikel",BO1700)),2,IFERROR(VLOOKUP(BR1700,Parameter!$F$35:$G$64,2,0),2)),IF(OR(BV1700="Nein",BV1700=""),"-",BV1700))))</f>
        <v>3</v>
      </c>
      <c r="AA1700" s="62"/>
      <c r="AB1700" s="63"/>
      <c r="AC1700" s="57" t="n">
        <f aca="false">AR1700</f>
        <v>3</v>
      </c>
      <c r="AD1700" s="57" t="n">
        <f aca="false">MAX(AR1700,H1700)</f>
        <v>3</v>
      </c>
      <c r="AE1700" s="64"/>
      <c r="AF1700" s="57" t="n">
        <f aca="false">IF(LEFT(Cockpit!$C$5,1)="A",H1700,IF(CA1700=1,CB1700,IF(LEFT(Cockpit!$C$5,1)="B",AJ1700,MAX(AJ1700,H1700))))</f>
        <v>3</v>
      </c>
      <c r="AG1700" s="57" t="n">
        <f aca="false">IF(BT1700=1,0,ROUNDUP(AF1700/BS1700,0))</f>
        <v>1</v>
      </c>
      <c r="AH1700" s="59" t="n">
        <f aca="false">IF(CH1700&gt;0,CH1700*MAX(1,AF1700/X1700),IF(BT1700=1,IF(AF1700&lt;=0,0,BW1700*MAX(1,IF(H1700&gt;0,AF1700/H1700,1))),IF(R1700&gt;0,AG1700/R1700,0))/MAX(0.1,N(Parameter!$M$21)))</f>
        <v>0.0192307692307692</v>
      </c>
      <c r="AI1700" s="57" t="n">
        <f aca="false">AF1700*G1700</f>
        <v>299.82</v>
      </c>
      <c r="AJ1700" s="57" t="n">
        <f aca="false">ROUNDUP(MAX(J1700/IF(BZ1700&gt;0,BZ1700,MAX(0.1,N(Cockpit!$C$6))),CC1700)/BS1700,0)*BS1700</f>
        <v>3</v>
      </c>
      <c r="AK1700" s="58" t="n">
        <f aca="false">IF(AH1700&gt;0,J1700/AH1700,-1)</f>
        <v>0</v>
      </c>
      <c r="AL1700" s="58" t="n">
        <f aca="false">IF(AND(OR(BY1700="L1",BY1700="L23"),AH1700&gt;0),SUMIFS($AH$7:$AH$1843,$BY$7:$BY$1843,BY1700,$AK$7:$AK$1843,"&gt;"&amp;AK1700)+SUMIFS($AH$7:$AH$1843,$BY$7:$BY$1843,BY1700,$AK$7:$AK$1843,AK1700,$BQ$7:$BQ$1843,"&lt;="&amp;BQ1700),"")</f>
        <v>96.5588915915003</v>
      </c>
      <c r="AM1700" s="65" t="n">
        <f aca="false">IF(AL1700="",0,MAX(0,MIN(1,(IF(BY1700="L1",Parameter!$E$5,Parameter!$E$6+Parameter!$E$7)-(AL1700-AH1700))/AH1700)))</f>
        <v>1</v>
      </c>
      <c r="AN1700" s="57" t="n">
        <f aca="false">IF(LEFT(Cockpit!$I$5,1)="A",H1700,IF(CA1700=1,CB1700,IF(LEFT(Cockpit!$I$5,1)="B",AR1700,MAX(AR1700,H1700))))</f>
        <v>3</v>
      </c>
      <c r="AO1700" s="57" t="n">
        <f aca="false">IF(BT1700=1,0,ROUNDUP(AN1700/BS1700,0))</f>
        <v>1</v>
      </c>
      <c r="AP1700" s="59" t="n">
        <f aca="false">IF(CH1700&gt;0,CH1700*MAX(1,AN1700/X1700),IF(BT1700=1,IF(AN1700&lt;=0,0,BW1700*MAX(1,IF(H1700&gt;0,AN1700/H1700,1))),IF(R1700&gt;0,AO1700/R1700,0))/MAX(0.1,N(Parameter!$M$21)))</f>
        <v>0.0192307692307692</v>
      </c>
      <c r="AQ1700" s="57" t="n">
        <f aca="false">AN1700*G1700</f>
        <v>299.82</v>
      </c>
      <c r="AR1700" s="57" t="n">
        <f aca="false">ROUNDUP(MAX(J1700/IF(BZ1700&gt;0,BZ1700,MAX(0.1,N(Cockpit!$I$6))),CC1700)/BS1700,0)*BS1700</f>
        <v>3</v>
      </c>
      <c r="AS1700" s="58" t="n">
        <f aca="false">IF(AP1700&gt;0,J1700/AP1700,-1)</f>
        <v>0</v>
      </c>
      <c r="AT1700" s="58" t="n">
        <f aca="false">IF(AND(OR(BY1700="L1",BY1700="L23"),AP1700&gt;0),SUMIFS($AP$7:$AP$1843,$BY$7:$BY$1843,BY1700,$AS$7:$AS$1843,"&gt;"&amp;AS1700)+SUMIFS($AP$7:$AP$1843,$BY$7:$BY$1843,BY1700,$AS$7:$AS$1843,AS1700,$BQ$7:$BQ$1843,"&lt;="&amp;BQ1700),"")</f>
        <v>141.89436167697</v>
      </c>
      <c r="AU1700" s="65" t="n">
        <f aca="false">IF(AT1700="",0,MAX(0,MIN(1,(IF(BY1700="L1",Parameter!$E$5,Parameter!$E$6+Parameter!$E$7)-(AT1700-AP1700))/AP1700)))</f>
        <v>0</v>
      </c>
      <c r="AV1700" s="57" t="n">
        <f aca="false">IF(LEFT(Cockpit!$O$5,1)="A",H1700,IF(CA1700=1,CB1700,IF(LEFT(Cockpit!$O$5,1)="B",AZ1700,MAX(AZ1700,H1700))))</f>
        <v>3</v>
      </c>
      <c r="AW1700" s="57" t="n">
        <f aca="false">IF(BT1700=1,0,ROUNDUP(AV1700/BS1700,0))</f>
        <v>1</v>
      </c>
      <c r="AX1700" s="59" t="n">
        <f aca="false">IF(CH1700&gt;0,CH1700*MAX(1,AV1700/X1700),IF(BT1700=1,IF(AV1700&lt;=0,0,BW1700*MAX(1,IF(H1700&gt;0,AV1700/H1700,1))),IF(R1700&gt;0,AW1700/R1700,0))/MAX(0.1,N(Parameter!$M$21)))</f>
        <v>0.0192307692307692</v>
      </c>
      <c r="AY1700" s="57" t="n">
        <f aca="false">AV1700*G1700</f>
        <v>299.82</v>
      </c>
      <c r="AZ1700" s="57" t="n">
        <f aca="false">ROUNDUP(MAX(J1700/IF(BZ1700&gt;0,BZ1700,MAX(0.1,N(Cockpit!$O$6))),CC1700)/BS1700,0)*BS1700</f>
        <v>3</v>
      </c>
      <c r="BA1700" s="58" t="n">
        <f aca="false">IF(AX1700&gt;0,J1700/AX1700,-1)</f>
        <v>0</v>
      </c>
      <c r="BB1700" s="58" t="n">
        <f aca="false">IF(AND(OR(BY1700="L1",BY1700="L23"),AX1700&gt;0),SUMIFS($AX$7:$AX$1843,$BY$7:$BY$1843,BY1700,$BA$7:$BA$1843,"&gt;"&amp;BA1700)+SUMIFS($AX$7:$AX$1843,$BY$7:$BY$1843,BY1700,$BA$7:$BA$1843,BA1700,$BQ$7:$BQ$1843,"&lt;="&amp;BQ1700),"")</f>
        <v>132.724198506807</v>
      </c>
      <c r="BC1700" s="65" t="n">
        <f aca="false">IF(BB1700="",0,MAX(0,MIN(1,(IF(BY1700="L1",Parameter!$E$5,Parameter!$E$6+Parameter!$E$7)-(BB1700-AX1700))/AX1700)))</f>
        <v>0</v>
      </c>
      <c r="BD1700" s="55" t="str">
        <f aca="false">IF(AH1700&lt;=0,"",IF(BY1700="Aussen","Aussenlager",IF(BY1700="-","Nicht im Lift",IF(AM1700&gt;=1,"Lift",IF(AM1700&lt;=0,"Aussenlager","teilweise")))))</f>
        <v>Lift</v>
      </c>
      <c r="BE1700" s="55" t="str">
        <f aca="false">IF(AP1700&lt;=0,"",IF(BY1700="Aussen","Aussenlager",IF(BY1700="-","Nicht im Lift",IF(AU1700&gt;=1,"Lift",IF(AU1700&lt;=0,"Aussenlager","teilweise")))))</f>
        <v>Aussenlager</v>
      </c>
      <c r="BF1700" s="55" t="str">
        <f aca="false">IF(AX1700&lt;=0,"",IF(BY1700="Aussen","Aussenlager",IF(BY1700="-","Nicht im Lift",IF(BC1700&gt;=1,"Lift",IF(BC1700&lt;=0,"Aussenlager","teilweise")))))</f>
        <v>Aussenlager</v>
      </c>
      <c r="BG1700" s="55" t="str">
        <f aca="false">IF(A1700="","",IF(BP1700=1,"Neu; ","")&amp;IF(AND(BP1700=0,BK1700&lt;0),"negativer Bestand (Export "&amp;BK1700&amp;"); ","")&amp;IF(J1700&lt;=0,"Kein Verbrauch; ","")&amp;IF(CH1700&gt;0,"Lift "&amp;W1700&amp;" lt. Liftbericht (Fach "&amp;X1700&amp;" Stk); ",IF(BU1700=1,"Gebinde geschätzt ("&amp;T1700&amp;"); ",IF(BT1700=1,"Lose – Tablare geschätzt; ","")))&amp;IF(H1700&gt;AR1700,"Überbestand "&amp;ROUND(H1700-AR1700,0)&amp;" Stk / CHF "&amp;ROUND((H1700-AR1700)*G1700,0)&amp;"; ","")&amp;IF(AND(CA1700=1,CB1700&lt;CC1700),"MAX &lt; MB+LG; ","")&amp;IF(AND(CG1700&gt;0,CF1700*10&gt;CG1700),"zu hoch für Tablar; ","")&amp;IF(AND(BP1700=0,OR(CA1700=1,AA1700&lt;&gt;"",U1700&lt;&gt;"",V1700&lt;&gt;"",AB1700&lt;&gt;"")),"manuell übersteuert; ","")&amp;IF(AND(BT1700=0,R1700=0),"Gebinde unbekannt / Stellmass fehlt; ","")&amp;IF(AND(BT1700=0,N(V1700)&lt;=0,N(Q1700)&lt;=0),"Menge pro Gebinde fehlt (Ist = 1 Gebinde); ","")&amp;BO1700)</f>
        <v>Kein Verbrauch; nur im Artikelstamm (Bestand 23.06.2026)</v>
      </c>
      <c r="BH1700" s="55"/>
      <c r="BI1700" s="55"/>
      <c r="BJ1700" s="62"/>
      <c r="BK1700" s="57" t="n">
        <v>3</v>
      </c>
      <c r="BL1700" s="57" t="n">
        <v>0</v>
      </c>
      <c r="BM1700" s="56" t="n">
        <v>0</v>
      </c>
      <c r="BN1700" s="57" t="n">
        <v>0</v>
      </c>
      <c r="BO1700" s="55" t="s">
        <v>2575</v>
      </c>
      <c r="BP1700" s="60" t="n">
        <v>0</v>
      </c>
      <c r="BQ1700" s="60" t="n">
        <v>1700</v>
      </c>
      <c r="BR1700" s="55" t="str">
        <f aca="false">IF(U1700&lt;&gt;"",UPPER(TRIM(U1700)),IF(BU1700=1,UPPER(VLOOKUP(T1700,Parameter!$I$27:$K$29,2,0)),IF(P1700="","LOSE",P1700)))</f>
        <v>S41</v>
      </c>
      <c r="BS1700" s="57" t="n">
        <f aca="false">IF(BR1700="LOSE",1,IF(N(V1700)&gt;0,V1700,IF(BU1700=1,MAX(1,N(VLOOKUP(T1700,Parameter!$I$27:$K$29,3,0)),H1700,N(N1700)),IF(N(Q1700)&gt;0,Q1700,MAX(1,H1700)))))</f>
        <v>3</v>
      </c>
      <c r="BT1700" s="60" t="n">
        <f aca="false">IF(BR1700="LOSE",1,0)</f>
        <v>0</v>
      </c>
      <c r="BU1700" s="60" t="n">
        <f aca="false">IF(AND(U1700="",OR(P1700="",P1700="LOSE"),T1700&lt;&gt;"",N(S1700)&lt;=0,ISNUMBER(MATCH(T1700,Parameter!$I$27:$I$29,0))),1,0)</f>
        <v>0</v>
      </c>
      <c r="BV1700" s="55" t="str">
        <f aca="false">IF(AND(Parameter!$B$19="Ja",E1700&lt;&gt;"",ISNUMBER(MATCH(E1700,Parameter!$I$35:$I$52,0))),VLOOKUP(E1700,Parameter!$I$35:$J$52,2,0),IFERROR(VLOOKUP(D1700,Parameter!$A$35:$C$64,2,0),"Nein"))</f>
        <v>2+3</v>
      </c>
      <c r="BW1700" s="59" t="n">
        <f aca="false">IF(BT1700=0,0,IF(N(S1700)&gt;0,S1700,IFERROR(VLOOKUP(D1700,Parameter!$A$35:$C$64,3,0)+0,0)))</f>
        <v>0</v>
      </c>
      <c r="BX1700" s="55" t="n">
        <f aca="false">IF(AA1700&lt;&gt;"",AA1700,Z1700)</f>
        <v>3</v>
      </c>
      <c r="BY1700" s="55" t="str">
        <f aca="false">IF(BX1700=1,"L1",IF(OR(BX1700=2,BX1700=3),"L23",IF(BX1700="Aussen","Aussen","-")))</f>
        <v>L23</v>
      </c>
      <c r="BZ1700" s="66" t="n">
        <f aca="false">IF(N(AB1700)&gt;0,AB1700,0)</f>
        <v>0</v>
      </c>
      <c r="CA1700" s="60" t="n">
        <f aca="false">IF(ISNUMBER(AE1700),1,0)</f>
        <v>0</v>
      </c>
      <c r="CB1700" s="57" t="n">
        <f aca="false">N(AE1700)</f>
        <v>0</v>
      </c>
      <c r="CC1700" s="57" t="n">
        <f aca="false">N(M1700)+N(N1700)</f>
        <v>3</v>
      </c>
      <c r="CD1700" s="57" t="n">
        <f aca="false">ROUNDUP(H1700/BS1700,0)</f>
        <v>1</v>
      </c>
      <c r="CE1700" s="57" t="n">
        <f aca="false">ROUNDUP(CB1700/BS1700,0)</f>
        <v>0</v>
      </c>
      <c r="CF1700" s="60" t="n">
        <f aca="false">IF(BT1700=1,0,IFERROR(VLOOKUP(BR1700,'Gebinde-Kategorie'!$A$5:$M$45,5,0)+0,0))</f>
        <v>11</v>
      </c>
      <c r="CG1700" s="60" t="n">
        <f aca="false">IFERROR(IF(OR(BX1700=1,BX1700=2,BX1700=3),N(INDEX(Parameter!$I$5:$I$7,BX1700)),0),0)</f>
        <v>0</v>
      </c>
      <c r="CH1700" s="59" t="n">
        <f aca="false">IF(AND(Parameter!$B$21="Ja",ISNUMBER(W1700),N(X1700)&gt;0),IFERROR(N(INDEX(Parameter!$L$5:$L$7,W1700))*INDEX(Parameter!$E$5:$E$7,W1700)*X1700/SUMIFS($X$7:$X$1843,$W$7:$W$1843,W1700),0),0)</f>
        <v>0</v>
      </c>
    </row>
    <row r="1701" customFormat="false" ht="15" hidden="false" customHeight="false" outlineLevel="0" collapsed="false">
      <c r="A1701" s="55" t="s">
        <v>2945</v>
      </c>
      <c r="B1701" s="55" t="s">
        <v>843</v>
      </c>
      <c r="C1701" s="55" t="s">
        <v>164</v>
      </c>
      <c r="D1701" s="55" t="s">
        <v>184</v>
      </c>
      <c r="E1701" s="55"/>
      <c r="F1701" s="55"/>
      <c r="G1701" s="56" t="n">
        <v>38.1</v>
      </c>
      <c r="H1701" s="57" t="n">
        <f aca="false">MAX(0,IF(AND(Parameter!$B$21="Ja",ISNUMBER(Y1701)),Y1701,IF(Parameter!$B$20="Jahresanfang 2025 + Export",BL1701+BK1701,BK1701)))</f>
        <v>3</v>
      </c>
      <c r="I1701" s="57" t="n">
        <f aca="false">H1701*G1701</f>
        <v>114.3</v>
      </c>
      <c r="J1701" s="57" t="n">
        <f aca="false">BN1701*Parameter!$B$18</f>
        <v>0</v>
      </c>
      <c r="K1701" s="58"/>
      <c r="L1701" s="59"/>
      <c r="M1701" s="57" t="n">
        <v>0</v>
      </c>
      <c r="N1701" s="57" t="n">
        <v>3</v>
      </c>
      <c r="O1701" s="60" t="n">
        <v>42</v>
      </c>
      <c r="P1701" s="55" t="s">
        <v>328</v>
      </c>
      <c r="Q1701" s="57" t="n">
        <v>3</v>
      </c>
      <c r="R1701" s="60" t="n">
        <f aca="false">IF(BT1701=1,0,IFERROR(VLOOKUP(BR1701,'Gebinde-Kategorie'!$A$5:$M$45,13,0)+0,0))</f>
        <v>52</v>
      </c>
      <c r="S1701" s="61"/>
      <c r="T1701" s="62"/>
      <c r="U1701" s="62"/>
      <c r="V1701" s="62"/>
      <c r="W1701" s="55"/>
      <c r="X1701" s="57"/>
      <c r="Y1701" s="57"/>
      <c r="Z1701" s="55" t="n">
        <f aca="false">IF(A1701="","",IF(AND(Parameter!$B$21="Ja",ISNUMBER(W1701)),W1701,IF(BV1701="2+3",IF(ISNUMBER(SEARCH("grosser Artikel",BO1701)),2,IFERROR(VLOOKUP(BR1701,Parameter!$F$35:$G$64,2,0),2)),IF(OR(BV1701="Nein",BV1701=""),"-",BV1701))))</f>
        <v>3</v>
      </c>
      <c r="AA1701" s="62"/>
      <c r="AB1701" s="63"/>
      <c r="AC1701" s="57" t="n">
        <f aca="false">AR1701</f>
        <v>3</v>
      </c>
      <c r="AD1701" s="57" t="n">
        <f aca="false">MAX(AR1701,H1701)</f>
        <v>3</v>
      </c>
      <c r="AE1701" s="64"/>
      <c r="AF1701" s="57" t="n">
        <f aca="false">IF(LEFT(Cockpit!$C$5,1)="A",H1701,IF(CA1701=1,CB1701,IF(LEFT(Cockpit!$C$5,1)="B",AJ1701,MAX(AJ1701,H1701))))</f>
        <v>3</v>
      </c>
      <c r="AG1701" s="57" t="n">
        <f aca="false">IF(BT1701=1,0,ROUNDUP(AF1701/BS1701,0))</f>
        <v>1</v>
      </c>
      <c r="AH1701" s="59" t="n">
        <f aca="false">IF(CH1701&gt;0,CH1701*MAX(1,AF1701/X1701),IF(BT1701=1,IF(AF1701&lt;=0,0,BW1701*MAX(1,IF(H1701&gt;0,AF1701/H1701,1))),IF(R1701&gt;0,AG1701/R1701,0))/MAX(0.1,N(Parameter!$M$21)))</f>
        <v>0.0192307692307692</v>
      </c>
      <c r="AI1701" s="57" t="n">
        <f aca="false">AF1701*G1701</f>
        <v>114.3</v>
      </c>
      <c r="AJ1701" s="57" t="n">
        <f aca="false">ROUNDUP(MAX(J1701/IF(BZ1701&gt;0,BZ1701,MAX(0.1,N(Cockpit!$C$6))),CC1701)/BS1701,0)*BS1701</f>
        <v>3</v>
      </c>
      <c r="AK1701" s="58" t="n">
        <f aca="false">IF(AH1701&gt;0,J1701/AH1701,-1)</f>
        <v>0</v>
      </c>
      <c r="AL1701" s="58" t="n">
        <f aca="false">IF(AND(OR(BY1701="L1",BY1701="L23"),AH1701&gt;0),SUMIFS($AH$7:$AH$1843,$BY$7:$BY$1843,BY1701,$AK$7:$AK$1843,"&gt;"&amp;AK1701)+SUMIFS($AH$7:$AH$1843,$BY$7:$BY$1843,BY1701,$AK$7:$AK$1843,AK1701,$BQ$7:$BQ$1843,"&lt;="&amp;BQ1701),"")</f>
        <v>96.5781223607311</v>
      </c>
      <c r="AM1701" s="65" t="n">
        <f aca="false">IF(AL1701="",0,MAX(0,MIN(1,(IF(BY1701="L1",Parameter!$E$5,Parameter!$E$6+Parameter!$E$7)-(AL1701-AH1701))/AH1701)))</f>
        <v>1</v>
      </c>
      <c r="AN1701" s="57" t="n">
        <f aca="false">IF(LEFT(Cockpit!$I$5,1)="A",H1701,IF(CA1701=1,CB1701,IF(LEFT(Cockpit!$I$5,1)="B",AR1701,MAX(AR1701,H1701))))</f>
        <v>3</v>
      </c>
      <c r="AO1701" s="57" t="n">
        <f aca="false">IF(BT1701=1,0,ROUNDUP(AN1701/BS1701,0))</f>
        <v>1</v>
      </c>
      <c r="AP1701" s="59" t="n">
        <f aca="false">IF(CH1701&gt;0,CH1701*MAX(1,AN1701/X1701),IF(BT1701=1,IF(AN1701&lt;=0,0,BW1701*MAX(1,IF(H1701&gt;0,AN1701/H1701,1))),IF(R1701&gt;0,AO1701/R1701,0))/MAX(0.1,N(Parameter!$M$21)))</f>
        <v>0.0192307692307692</v>
      </c>
      <c r="AQ1701" s="57" t="n">
        <f aca="false">AN1701*G1701</f>
        <v>114.3</v>
      </c>
      <c r="AR1701" s="57" t="n">
        <f aca="false">ROUNDUP(MAX(J1701/IF(BZ1701&gt;0,BZ1701,MAX(0.1,N(Cockpit!$I$6))),CC1701)/BS1701,0)*BS1701</f>
        <v>3</v>
      </c>
      <c r="AS1701" s="58" t="n">
        <f aca="false">IF(AP1701&gt;0,J1701/AP1701,-1)</f>
        <v>0</v>
      </c>
      <c r="AT1701" s="58" t="n">
        <f aca="false">IF(AND(OR(BY1701="L1",BY1701="L23"),AP1701&gt;0),SUMIFS($AP$7:$AP$1843,$BY$7:$BY$1843,BY1701,$AS$7:$AS$1843,"&gt;"&amp;AS1701)+SUMIFS($AP$7:$AP$1843,$BY$7:$BY$1843,BY1701,$AS$7:$AS$1843,AS1701,$BQ$7:$BQ$1843,"&lt;="&amp;BQ1701),"")</f>
        <v>141.913592446201</v>
      </c>
      <c r="AU1701" s="65" t="n">
        <f aca="false">IF(AT1701="",0,MAX(0,MIN(1,(IF(BY1701="L1",Parameter!$E$5,Parameter!$E$6+Parameter!$E$7)-(AT1701-AP1701))/AP1701)))</f>
        <v>0</v>
      </c>
      <c r="AV1701" s="57" t="n">
        <f aca="false">IF(LEFT(Cockpit!$O$5,1)="A",H1701,IF(CA1701=1,CB1701,IF(LEFT(Cockpit!$O$5,1)="B",AZ1701,MAX(AZ1701,H1701))))</f>
        <v>3</v>
      </c>
      <c r="AW1701" s="57" t="n">
        <f aca="false">IF(BT1701=1,0,ROUNDUP(AV1701/BS1701,0))</f>
        <v>1</v>
      </c>
      <c r="AX1701" s="59" t="n">
        <f aca="false">IF(CH1701&gt;0,CH1701*MAX(1,AV1701/X1701),IF(BT1701=1,IF(AV1701&lt;=0,0,BW1701*MAX(1,IF(H1701&gt;0,AV1701/H1701,1))),IF(R1701&gt;0,AW1701/R1701,0))/MAX(0.1,N(Parameter!$M$21)))</f>
        <v>0.0192307692307692</v>
      </c>
      <c r="AY1701" s="57" t="n">
        <f aca="false">AV1701*G1701</f>
        <v>114.3</v>
      </c>
      <c r="AZ1701" s="57" t="n">
        <f aca="false">ROUNDUP(MAX(J1701/IF(BZ1701&gt;0,BZ1701,MAX(0.1,N(Cockpit!$O$6))),CC1701)/BS1701,0)*BS1701</f>
        <v>3</v>
      </c>
      <c r="BA1701" s="58" t="n">
        <f aca="false">IF(AX1701&gt;0,J1701/AX1701,-1)</f>
        <v>0</v>
      </c>
      <c r="BB1701" s="58" t="n">
        <f aca="false">IF(AND(OR(BY1701="L1",BY1701="L23"),AX1701&gt;0),SUMIFS($AX$7:$AX$1843,$BY$7:$BY$1843,BY1701,$BA$7:$BA$1843,"&gt;"&amp;BA1701)+SUMIFS($AX$7:$AX$1843,$BY$7:$BY$1843,BY1701,$BA$7:$BA$1843,BA1701,$BQ$7:$BQ$1843,"&lt;="&amp;BQ1701),"")</f>
        <v>132.743429276038</v>
      </c>
      <c r="BC1701" s="65" t="n">
        <f aca="false">IF(BB1701="",0,MAX(0,MIN(1,(IF(BY1701="L1",Parameter!$E$5,Parameter!$E$6+Parameter!$E$7)-(BB1701-AX1701))/AX1701)))</f>
        <v>0</v>
      </c>
      <c r="BD1701" s="55" t="str">
        <f aca="false">IF(AH1701&lt;=0,"",IF(BY1701="Aussen","Aussenlager",IF(BY1701="-","Nicht im Lift",IF(AM1701&gt;=1,"Lift",IF(AM1701&lt;=0,"Aussenlager","teilweise")))))</f>
        <v>Lift</v>
      </c>
      <c r="BE1701" s="55" t="str">
        <f aca="false">IF(AP1701&lt;=0,"",IF(BY1701="Aussen","Aussenlager",IF(BY1701="-","Nicht im Lift",IF(AU1701&gt;=1,"Lift",IF(AU1701&lt;=0,"Aussenlager","teilweise")))))</f>
        <v>Aussenlager</v>
      </c>
      <c r="BF1701" s="55" t="str">
        <f aca="false">IF(AX1701&lt;=0,"",IF(BY1701="Aussen","Aussenlager",IF(BY1701="-","Nicht im Lift",IF(BC1701&gt;=1,"Lift",IF(BC1701&lt;=0,"Aussenlager","teilweise")))))</f>
        <v>Aussenlager</v>
      </c>
      <c r="BG1701" s="55" t="str">
        <f aca="false">IF(A1701="","",IF(BP1701=1,"Neu; ","")&amp;IF(AND(BP1701=0,BK1701&lt;0),"negativer Bestand (Export "&amp;BK1701&amp;"); ","")&amp;IF(J1701&lt;=0,"Kein Verbrauch; ","")&amp;IF(CH1701&gt;0,"Lift "&amp;W1701&amp;" lt. Liftbericht (Fach "&amp;X1701&amp;" Stk); ",IF(BU1701=1,"Gebinde geschätzt ("&amp;T1701&amp;"); ",IF(BT1701=1,"Lose – Tablare geschätzt; ","")))&amp;IF(H1701&gt;AR1701,"Überbestand "&amp;ROUND(H1701-AR1701,0)&amp;" Stk / CHF "&amp;ROUND((H1701-AR1701)*G1701,0)&amp;"; ","")&amp;IF(AND(CA1701=1,CB1701&lt;CC1701),"MAX &lt; MB+LG; ","")&amp;IF(AND(CG1701&gt;0,CF1701*10&gt;CG1701),"zu hoch für Tablar; ","")&amp;IF(AND(BP1701=0,OR(CA1701=1,AA1701&lt;&gt;"",U1701&lt;&gt;"",V1701&lt;&gt;"",AB1701&lt;&gt;"")),"manuell übersteuert; ","")&amp;IF(AND(BT1701=0,R1701=0),"Gebinde unbekannt / Stellmass fehlt; ","")&amp;IF(AND(BT1701=0,N(V1701)&lt;=0,N(Q1701)&lt;=0),"Menge pro Gebinde fehlt (Ist = 1 Gebinde); ","")&amp;BO1701)</f>
        <v>Kein Verbrauch; nur im Artikelstamm (Bestand 23.06.2026)</v>
      </c>
      <c r="BH1701" s="55"/>
      <c r="BI1701" s="55"/>
      <c r="BJ1701" s="62"/>
      <c r="BK1701" s="57" t="n">
        <v>3</v>
      </c>
      <c r="BL1701" s="57" t="n">
        <v>0</v>
      </c>
      <c r="BM1701" s="56" t="n">
        <v>0</v>
      </c>
      <c r="BN1701" s="57" t="n">
        <v>0</v>
      </c>
      <c r="BO1701" s="55" t="s">
        <v>2575</v>
      </c>
      <c r="BP1701" s="60" t="n">
        <v>0</v>
      </c>
      <c r="BQ1701" s="60" t="n">
        <v>1701</v>
      </c>
      <c r="BR1701" s="55" t="str">
        <f aca="false">IF(U1701&lt;&gt;"",UPPER(TRIM(U1701)),IF(BU1701=1,UPPER(VLOOKUP(T1701,Parameter!$I$27:$K$29,2,0)),IF(P1701="","LOSE",P1701)))</f>
        <v>S41</v>
      </c>
      <c r="BS1701" s="57" t="n">
        <f aca="false">IF(BR1701="LOSE",1,IF(N(V1701)&gt;0,V1701,IF(BU1701=1,MAX(1,N(VLOOKUP(T1701,Parameter!$I$27:$K$29,3,0)),H1701,N(N1701)),IF(N(Q1701)&gt;0,Q1701,MAX(1,H1701)))))</f>
        <v>3</v>
      </c>
      <c r="BT1701" s="60" t="n">
        <f aca="false">IF(BR1701="LOSE",1,0)</f>
        <v>0</v>
      </c>
      <c r="BU1701" s="60" t="n">
        <f aca="false">IF(AND(U1701="",OR(P1701="",P1701="LOSE"),T1701&lt;&gt;"",N(S1701)&lt;=0,ISNUMBER(MATCH(T1701,Parameter!$I$27:$I$29,0))),1,0)</f>
        <v>0</v>
      </c>
      <c r="BV1701" s="55" t="str">
        <f aca="false">IF(AND(Parameter!$B$19="Ja",E1701&lt;&gt;"",ISNUMBER(MATCH(E1701,Parameter!$I$35:$I$52,0))),VLOOKUP(E1701,Parameter!$I$35:$J$52,2,0),IFERROR(VLOOKUP(D1701,Parameter!$A$35:$C$64,2,0),"Nein"))</f>
        <v>2+3</v>
      </c>
      <c r="BW1701" s="59" t="n">
        <f aca="false">IF(BT1701=0,0,IF(N(S1701)&gt;0,S1701,IFERROR(VLOOKUP(D1701,Parameter!$A$35:$C$64,3,0)+0,0)))</f>
        <v>0</v>
      </c>
      <c r="BX1701" s="55" t="n">
        <f aca="false">IF(AA1701&lt;&gt;"",AA1701,Z1701)</f>
        <v>3</v>
      </c>
      <c r="BY1701" s="55" t="str">
        <f aca="false">IF(BX1701=1,"L1",IF(OR(BX1701=2,BX1701=3),"L23",IF(BX1701="Aussen","Aussen","-")))</f>
        <v>L23</v>
      </c>
      <c r="BZ1701" s="66" t="n">
        <f aca="false">IF(N(AB1701)&gt;0,AB1701,0)</f>
        <v>0</v>
      </c>
      <c r="CA1701" s="60" t="n">
        <f aca="false">IF(ISNUMBER(AE1701),1,0)</f>
        <v>0</v>
      </c>
      <c r="CB1701" s="57" t="n">
        <f aca="false">N(AE1701)</f>
        <v>0</v>
      </c>
      <c r="CC1701" s="57" t="n">
        <f aca="false">N(M1701)+N(N1701)</f>
        <v>3</v>
      </c>
      <c r="CD1701" s="57" t="n">
        <f aca="false">ROUNDUP(H1701/BS1701,0)</f>
        <v>1</v>
      </c>
      <c r="CE1701" s="57" t="n">
        <f aca="false">ROUNDUP(CB1701/BS1701,0)</f>
        <v>0</v>
      </c>
      <c r="CF1701" s="60" t="n">
        <f aca="false">IF(BT1701=1,0,IFERROR(VLOOKUP(BR1701,'Gebinde-Kategorie'!$A$5:$M$45,5,0)+0,0))</f>
        <v>11</v>
      </c>
      <c r="CG1701" s="60" t="n">
        <f aca="false">IFERROR(IF(OR(BX1701=1,BX1701=2,BX1701=3),N(INDEX(Parameter!$I$5:$I$7,BX1701)),0),0)</f>
        <v>0</v>
      </c>
      <c r="CH1701" s="59" t="n">
        <f aca="false">IF(AND(Parameter!$B$21="Ja",ISNUMBER(W1701),N(X1701)&gt;0),IFERROR(N(INDEX(Parameter!$L$5:$L$7,W1701))*INDEX(Parameter!$E$5:$E$7,W1701)*X1701/SUMIFS($X$7:$X$1843,$W$7:$W$1843,W1701),0),0)</f>
        <v>0</v>
      </c>
    </row>
    <row r="1702" customFormat="false" ht="15" hidden="false" customHeight="false" outlineLevel="0" collapsed="false">
      <c r="A1702" s="55" t="s">
        <v>2946</v>
      </c>
      <c r="B1702" s="55" t="s">
        <v>405</v>
      </c>
      <c r="C1702" s="55" t="s">
        <v>164</v>
      </c>
      <c r="D1702" s="55" t="s">
        <v>184</v>
      </c>
      <c r="E1702" s="55"/>
      <c r="F1702" s="55"/>
      <c r="G1702" s="56" t="n">
        <v>0.46</v>
      </c>
      <c r="H1702" s="57" t="n">
        <f aca="false">MAX(0,IF(AND(Parameter!$B$21="Ja",ISNUMBER(Y1702)),Y1702,IF(Parameter!$B$20="Jahresanfang 2025 + Export",BL1702+BK1702,BK1702)))</f>
        <v>100</v>
      </c>
      <c r="I1702" s="57" t="n">
        <f aca="false">H1702*G1702</f>
        <v>46</v>
      </c>
      <c r="J1702" s="57" t="n">
        <f aca="false">BN1702*Parameter!$B$18</f>
        <v>0</v>
      </c>
      <c r="K1702" s="58"/>
      <c r="L1702" s="59"/>
      <c r="M1702" s="57" t="n">
        <v>0</v>
      </c>
      <c r="N1702" s="57" t="n">
        <v>100</v>
      </c>
      <c r="O1702" s="60" t="n">
        <v>0</v>
      </c>
      <c r="P1702" s="55" t="s">
        <v>421</v>
      </c>
      <c r="Q1702" s="57" t="n">
        <v>60</v>
      </c>
      <c r="R1702" s="60" t="n">
        <f aca="false">IF(BT1702=1,0,IFERROR(VLOOKUP(BR1702,'Gebinde-Kategorie'!$A$5:$M$45,13,0)+0,0))</f>
        <v>132</v>
      </c>
      <c r="S1702" s="61"/>
      <c r="T1702" s="62"/>
      <c r="U1702" s="62"/>
      <c r="V1702" s="62"/>
      <c r="W1702" s="55"/>
      <c r="X1702" s="57"/>
      <c r="Y1702" s="57"/>
      <c r="Z1702" s="55" t="n">
        <f aca="false">IF(A1702="","",IF(AND(Parameter!$B$21="Ja",ISNUMBER(W1702)),W1702,IF(BV1702="2+3",IF(ISNUMBER(SEARCH("grosser Artikel",BO1702)),2,IFERROR(VLOOKUP(BR1702,Parameter!$F$35:$G$64,2,0),2)),IF(OR(BV1702="Nein",BV1702=""),"-",BV1702))))</f>
        <v>3</v>
      </c>
      <c r="AA1702" s="62"/>
      <c r="AB1702" s="63"/>
      <c r="AC1702" s="57" t="n">
        <f aca="false">AR1702</f>
        <v>120</v>
      </c>
      <c r="AD1702" s="57" t="n">
        <f aca="false">MAX(AR1702,H1702)</f>
        <v>120</v>
      </c>
      <c r="AE1702" s="64"/>
      <c r="AF1702" s="57" t="n">
        <f aca="false">IF(LEFT(Cockpit!$C$5,1)="A",H1702,IF(CA1702=1,CB1702,IF(LEFT(Cockpit!$C$5,1)="B",AJ1702,MAX(AJ1702,H1702))))</f>
        <v>100</v>
      </c>
      <c r="AG1702" s="57" t="n">
        <f aca="false">IF(BT1702=1,0,ROUNDUP(AF1702/BS1702,0))</f>
        <v>2</v>
      </c>
      <c r="AH1702" s="59" t="n">
        <f aca="false">IF(CH1702&gt;0,CH1702*MAX(1,AF1702/X1702),IF(BT1702=1,IF(AF1702&lt;=0,0,BW1702*MAX(1,IF(H1702&gt;0,AF1702/H1702,1))),IF(R1702&gt;0,AG1702/R1702,0))/MAX(0.1,N(Parameter!$M$21)))</f>
        <v>0.0151515151515152</v>
      </c>
      <c r="AI1702" s="57" t="n">
        <f aca="false">AF1702*G1702</f>
        <v>46</v>
      </c>
      <c r="AJ1702" s="57" t="n">
        <f aca="false">ROUNDUP(MAX(J1702/IF(BZ1702&gt;0,BZ1702,MAX(0.1,N(Cockpit!$C$6))),CC1702)/BS1702,0)*BS1702</f>
        <v>120</v>
      </c>
      <c r="AK1702" s="58" t="n">
        <f aca="false">IF(AH1702&gt;0,J1702/AH1702,-1)</f>
        <v>0</v>
      </c>
      <c r="AL1702" s="58" t="n">
        <f aca="false">IF(AND(OR(BY1702="L1",BY1702="L23"),AH1702&gt;0),SUMIFS($AH$7:$AH$1843,$BY$7:$BY$1843,BY1702,$AK$7:$AK$1843,"&gt;"&amp;AK1702)+SUMIFS($AH$7:$AH$1843,$BY$7:$BY$1843,BY1702,$AK$7:$AK$1843,AK1702,$BQ$7:$BQ$1843,"&lt;="&amp;BQ1702),"")</f>
        <v>96.5932738758826</v>
      </c>
      <c r="AM1702" s="65" t="n">
        <f aca="false">IF(AL1702="",0,MAX(0,MIN(1,(IF(BY1702="L1",Parameter!$E$5,Parameter!$E$6+Parameter!$E$7)-(AL1702-AH1702))/AH1702)))</f>
        <v>1</v>
      </c>
      <c r="AN1702" s="57" t="n">
        <f aca="false">IF(LEFT(Cockpit!$I$5,1)="A",H1702,IF(CA1702=1,CB1702,IF(LEFT(Cockpit!$I$5,1)="B",AR1702,MAX(AR1702,H1702))))</f>
        <v>120</v>
      </c>
      <c r="AO1702" s="57" t="n">
        <f aca="false">IF(BT1702=1,0,ROUNDUP(AN1702/BS1702,0))</f>
        <v>2</v>
      </c>
      <c r="AP1702" s="59" t="n">
        <f aca="false">IF(CH1702&gt;0,CH1702*MAX(1,AN1702/X1702),IF(BT1702=1,IF(AN1702&lt;=0,0,BW1702*MAX(1,IF(H1702&gt;0,AN1702/H1702,1))),IF(R1702&gt;0,AO1702/R1702,0))/MAX(0.1,N(Parameter!$M$21)))</f>
        <v>0.0151515151515152</v>
      </c>
      <c r="AQ1702" s="57" t="n">
        <f aca="false">AN1702*G1702</f>
        <v>55.2</v>
      </c>
      <c r="AR1702" s="57" t="n">
        <f aca="false">ROUNDUP(MAX(J1702/IF(BZ1702&gt;0,BZ1702,MAX(0.1,N(Cockpit!$I$6))),CC1702)/BS1702,0)*BS1702</f>
        <v>120</v>
      </c>
      <c r="AS1702" s="58" t="n">
        <f aca="false">IF(AP1702&gt;0,J1702/AP1702,-1)</f>
        <v>0</v>
      </c>
      <c r="AT1702" s="58" t="n">
        <f aca="false">IF(AND(OR(BY1702="L1",BY1702="L23"),AP1702&gt;0),SUMIFS($AP$7:$AP$1843,$BY$7:$BY$1843,BY1702,$AS$7:$AS$1843,"&gt;"&amp;AS1702)+SUMIFS($AP$7:$AP$1843,$BY$7:$BY$1843,BY1702,$AS$7:$AS$1843,AS1702,$BQ$7:$BQ$1843,"&lt;="&amp;BQ1702),"")</f>
        <v>141.928743961353</v>
      </c>
      <c r="AU1702" s="65" t="n">
        <f aca="false">IF(AT1702="",0,MAX(0,MIN(1,(IF(BY1702="L1",Parameter!$E$5,Parameter!$E$6+Parameter!$E$7)-(AT1702-AP1702))/AP1702)))</f>
        <v>0</v>
      </c>
      <c r="AV1702" s="57" t="n">
        <f aca="false">IF(LEFT(Cockpit!$O$5,1)="A",H1702,IF(CA1702=1,CB1702,IF(LEFT(Cockpit!$O$5,1)="B",AZ1702,MAX(AZ1702,H1702))))</f>
        <v>120</v>
      </c>
      <c r="AW1702" s="57" t="n">
        <f aca="false">IF(BT1702=1,0,ROUNDUP(AV1702/BS1702,0))</f>
        <v>2</v>
      </c>
      <c r="AX1702" s="59" t="n">
        <f aca="false">IF(CH1702&gt;0,CH1702*MAX(1,AV1702/X1702),IF(BT1702=1,IF(AV1702&lt;=0,0,BW1702*MAX(1,IF(H1702&gt;0,AV1702/H1702,1))),IF(R1702&gt;0,AW1702/R1702,0))/MAX(0.1,N(Parameter!$M$21)))</f>
        <v>0.0151515151515152</v>
      </c>
      <c r="AY1702" s="57" t="n">
        <f aca="false">AV1702*G1702</f>
        <v>55.2</v>
      </c>
      <c r="AZ1702" s="57" t="n">
        <f aca="false">ROUNDUP(MAX(J1702/IF(BZ1702&gt;0,BZ1702,MAX(0.1,N(Cockpit!$O$6))),CC1702)/BS1702,0)*BS1702</f>
        <v>120</v>
      </c>
      <c r="BA1702" s="58" t="n">
        <f aca="false">IF(AX1702&gt;0,J1702/AX1702,-1)</f>
        <v>0</v>
      </c>
      <c r="BB1702" s="58" t="n">
        <f aca="false">IF(AND(OR(BY1702="L1",BY1702="L23"),AX1702&gt;0),SUMIFS($AX$7:$AX$1843,$BY$7:$BY$1843,BY1702,$BA$7:$BA$1843,"&gt;"&amp;BA1702)+SUMIFS($AX$7:$AX$1843,$BY$7:$BY$1843,BY1702,$BA$7:$BA$1843,BA1702,$BQ$7:$BQ$1843,"&lt;="&amp;BQ1702),"")</f>
        <v>132.758580791189</v>
      </c>
      <c r="BC1702" s="65" t="n">
        <f aca="false">IF(BB1702="",0,MAX(0,MIN(1,(IF(BY1702="L1",Parameter!$E$5,Parameter!$E$6+Parameter!$E$7)-(BB1702-AX1702))/AX1702)))</f>
        <v>0</v>
      </c>
      <c r="BD1702" s="55" t="str">
        <f aca="false">IF(AH1702&lt;=0,"",IF(BY1702="Aussen","Aussenlager",IF(BY1702="-","Nicht im Lift",IF(AM1702&gt;=1,"Lift",IF(AM1702&lt;=0,"Aussenlager","teilweise")))))</f>
        <v>Lift</v>
      </c>
      <c r="BE1702" s="55" t="str">
        <f aca="false">IF(AP1702&lt;=0,"",IF(BY1702="Aussen","Aussenlager",IF(BY1702="-","Nicht im Lift",IF(AU1702&gt;=1,"Lift",IF(AU1702&lt;=0,"Aussenlager","teilweise")))))</f>
        <v>Aussenlager</v>
      </c>
      <c r="BF1702" s="55" t="str">
        <f aca="false">IF(AX1702&lt;=0,"",IF(BY1702="Aussen","Aussenlager",IF(BY1702="-","Nicht im Lift",IF(BC1702&gt;=1,"Lift",IF(BC1702&lt;=0,"Aussenlager","teilweise")))))</f>
        <v>Aussenlager</v>
      </c>
      <c r="BG1702" s="55" t="str">
        <f aca="false">IF(A1702="","",IF(BP1702=1,"Neu; ","")&amp;IF(AND(BP1702=0,BK1702&lt;0),"negativer Bestand (Export "&amp;BK1702&amp;"); ","")&amp;IF(J1702&lt;=0,"Kein Verbrauch; ","")&amp;IF(CH1702&gt;0,"Lift "&amp;W1702&amp;" lt. Liftbericht (Fach "&amp;X1702&amp;" Stk); ",IF(BU1702=1,"Gebinde geschätzt ("&amp;T1702&amp;"); ",IF(BT1702=1,"Lose – Tablare geschätzt; ","")))&amp;IF(H1702&gt;AR1702,"Überbestand "&amp;ROUND(H1702-AR1702,0)&amp;" Stk / CHF "&amp;ROUND((H1702-AR1702)*G1702,0)&amp;"; ","")&amp;IF(AND(CA1702=1,CB1702&lt;CC1702),"MAX &lt; MB+LG; ","")&amp;IF(AND(CG1702&gt;0,CF1702*10&gt;CG1702),"zu hoch für Tablar; ","")&amp;IF(AND(BP1702=0,OR(CA1702=1,AA1702&lt;&gt;"",U1702&lt;&gt;"",V1702&lt;&gt;"",AB1702&lt;&gt;"")),"manuell übersteuert; ","")&amp;IF(AND(BT1702=0,R1702=0),"Gebinde unbekannt / Stellmass fehlt; ","")&amp;IF(AND(BT1702=0,N(V1702)&lt;=0,N(Q1702)&lt;=0),"Menge pro Gebinde fehlt (Ist = 1 Gebinde); ","")&amp;BO1702)</f>
        <v>Kein Verbrauch; nur im Artikelstamm (Bestand 23.06.2026); Überbestand</v>
      </c>
      <c r="BH1702" s="55"/>
      <c r="BI1702" s="55"/>
      <c r="BJ1702" s="62"/>
      <c r="BK1702" s="57" t="n">
        <v>100</v>
      </c>
      <c r="BL1702" s="57" t="n">
        <v>0</v>
      </c>
      <c r="BM1702" s="56" t="n">
        <v>0</v>
      </c>
      <c r="BN1702" s="57" t="n">
        <v>0</v>
      </c>
      <c r="BO1702" s="55" t="s">
        <v>2572</v>
      </c>
      <c r="BP1702" s="60" t="n">
        <v>0</v>
      </c>
      <c r="BQ1702" s="60" t="n">
        <v>1702</v>
      </c>
      <c r="BR1702" s="55" t="str">
        <f aca="false">IF(U1702&lt;&gt;"",UPPER(TRIM(U1702)),IF(BU1702=1,UPPER(VLOOKUP(T1702,Parameter!$I$27:$K$29,2,0)),IF(P1702="","LOSE",P1702)))</f>
        <v>S32</v>
      </c>
      <c r="BS1702" s="57" t="n">
        <f aca="false">IF(BR1702="LOSE",1,IF(N(V1702)&gt;0,V1702,IF(BU1702=1,MAX(1,N(VLOOKUP(T1702,Parameter!$I$27:$K$29,3,0)),H1702,N(N1702)),IF(N(Q1702)&gt;0,Q1702,MAX(1,H1702)))))</f>
        <v>60</v>
      </c>
      <c r="BT1702" s="60" t="n">
        <f aca="false">IF(BR1702="LOSE",1,0)</f>
        <v>0</v>
      </c>
      <c r="BU1702" s="60" t="n">
        <f aca="false">IF(AND(U1702="",OR(P1702="",P1702="LOSE"),T1702&lt;&gt;"",N(S1702)&lt;=0,ISNUMBER(MATCH(T1702,Parameter!$I$27:$I$29,0))),1,0)</f>
        <v>0</v>
      </c>
      <c r="BV1702" s="55" t="str">
        <f aca="false">IF(AND(Parameter!$B$19="Ja",E1702&lt;&gt;"",ISNUMBER(MATCH(E1702,Parameter!$I$35:$I$52,0))),VLOOKUP(E1702,Parameter!$I$35:$J$52,2,0),IFERROR(VLOOKUP(D1702,Parameter!$A$35:$C$64,2,0),"Nein"))</f>
        <v>2+3</v>
      </c>
      <c r="BW1702" s="59" t="n">
        <f aca="false">IF(BT1702=0,0,IF(N(S1702)&gt;0,S1702,IFERROR(VLOOKUP(D1702,Parameter!$A$35:$C$64,3,0)+0,0)))</f>
        <v>0</v>
      </c>
      <c r="BX1702" s="55" t="n">
        <f aca="false">IF(AA1702&lt;&gt;"",AA1702,Z1702)</f>
        <v>3</v>
      </c>
      <c r="BY1702" s="55" t="str">
        <f aca="false">IF(BX1702=1,"L1",IF(OR(BX1702=2,BX1702=3),"L23",IF(BX1702="Aussen","Aussen","-")))</f>
        <v>L23</v>
      </c>
      <c r="BZ1702" s="66" t="n">
        <f aca="false">IF(N(AB1702)&gt;0,AB1702,0)</f>
        <v>0</v>
      </c>
      <c r="CA1702" s="60" t="n">
        <f aca="false">IF(ISNUMBER(AE1702),1,0)</f>
        <v>0</v>
      </c>
      <c r="CB1702" s="57" t="n">
        <f aca="false">N(AE1702)</f>
        <v>0</v>
      </c>
      <c r="CC1702" s="57" t="n">
        <f aca="false">N(M1702)+N(N1702)</f>
        <v>100</v>
      </c>
      <c r="CD1702" s="57" t="n">
        <f aca="false">ROUNDUP(H1702/BS1702,0)</f>
        <v>2</v>
      </c>
      <c r="CE1702" s="57" t="n">
        <f aca="false">ROUNDUP(CB1702/BS1702,0)</f>
        <v>0</v>
      </c>
      <c r="CF1702" s="60" t="n">
        <f aca="false">IF(BT1702=1,0,IFERROR(VLOOKUP(BR1702,'Gebinde-Kategorie'!$A$5:$M$45,5,0)+0,0))</f>
        <v>8</v>
      </c>
      <c r="CG1702" s="60" t="n">
        <f aca="false">IFERROR(IF(OR(BX1702=1,BX1702=2,BX1702=3),N(INDEX(Parameter!$I$5:$I$7,BX1702)),0),0)</f>
        <v>0</v>
      </c>
      <c r="CH1702" s="59" t="n">
        <f aca="false">IF(AND(Parameter!$B$21="Ja",ISNUMBER(W1702),N(X1702)&gt;0),IFERROR(N(INDEX(Parameter!$L$5:$L$7,W1702))*INDEX(Parameter!$E$5:$E$7,W1702)*X1702/SUMIFS($X$7:$X$1843,$W$7:$W$1843,W1702),0),0)</f>
        <v>0</v>
      </c>
    </row>
    <row r="1703" customFormat="false" ht="15" hidden="false" customHeight="false" outlineLevel="0" collapsed="false">
      <c r="A1703" s="55" t="s">
        <v>2947</v>
      </c>
      <c r="B1703" s="55" t="s">
        <v>724</v>
      </c>
      <c r="C1703" s="55" t="s">
        <v>164</v>
      </c>
      <c r="D1703" s="55" t="s">
        <v>184</v>
      </c>
      <c r="E1703" s="55"/>
      <c r="F1703" s="55"/>
      <c r="G1703" s="56" t="n">
        <v>47.5</v>
      </c>
      <c r="H1703" s="57" t="n">
        <f aca="false">MAX(0,IF(AND(Parameter!$B$21="Ja",ISNUMBER(Y1703)),Y1703,IF(Parameter!$B$20="Jahresanfang 2025 + Export",BL1703+BK1703,BK1703)))</f>
        <v>14</v>
      </c>
      <c r="I1703" s="57" t="n">
        <f aca="false">H1703*G1703</f>
        <v>665</v>
      </c>
      <c r="J1703" s="57" t="n">
        <f aca="false">BN1703*Parameter!$B$18</f>
        <v>0</v>
      </c>
      <c r="K1703" s="58"/>
      <c r="L1703" s="59"/>
      <c r="M1703" s="57" t="n">
        <v>0</v>
      </c>
      <c r="N1703" s="57" t="n">
        <v>15</v>
      </c>
      <c r="O1703" s="60" t="n">
        <v>21</v>
      </c>
      <c r="P1703" s="55" t="s">
        <v>421</v>
      </c>
      <c r="Q1703" s="57" t="n">
        <v>9</v>
      </c>
      <c r="R1703" s="60" t="n">
        <f aca="false">IF(BT1703=1,0,IFERROR(VLOOKUP(BR1703,'Gebinde-Kategorie'!$A$5:$M$45,13,0)+0,0))</f>
        <v>132</v>
      </c>
      <c r="S1703" s="61"/>
      <c r="T1703" s="62"/>
      <c r="U1703" s="62"/>
      <c r="V1703" s="62"/>
      <c r="W1703" s="55"/>
      <c r="X1703" s="57"/>
      <c r="Y1703" s="57"/>
      <c r="Z1703" s="55" t="n">
        <f aca="false">IF(A1703="","",IF(AND(Parameter!$B$21="Ja",ISNUMBER(W1703)),W1703,IF(BV1703="2+3",IF(ISNUMBER(SEARCH("grosser Artikel",BO1703)),2,IFERROR(VLOOKUP(BR1703,Parameter!$F$35:$G$64,2,0),2)),IF(OR(BV1703="Nein",BV1703=""),"-",BV1703))))</f>
        <v>3</v>
      </c>
      <c r="AA1703" s="62"/>
      <c r="AB1703" s="63"/>
      <c r="AC1703" s="57" t="n">
        <f aca="false">AR1703</f>
        <v>18</v>
      </c>
      <c r="AD1703" s="57" t="n">
        <f aca="false">MAX(AR1703,H1703)</f>
        <v>18</v>
      </c>
      <c r="AE1703" s="64"/>
      <c r="AF1703" s="57" t="n">
        <f aca="false">IF(LEFT(Cockpit!$C$5,1)="A",H1703,IF(CA1703=1,CB1703,IF(LEFT(Cockpit!$C$5,1)="B",AJ1703,MAX(AJ1703,H1703))))</f>
        <v>14</v>
      </c>
      <c r="AG1703" s="57" t="n">
        <f aca="false">IF(BT1703=1,0,ROUNDUP(AF1703/BS1703,0))</f>
        <v>2</v>
      </c>
      <c r="AH1703" s="59" t="n">
        <f aca="false">IF(CH1703&gt;0,CH1703*MAX(1,AF1703/X1703),IF(BT1703=1,IF(AF1703&lt;=0,0,BW1703*MAX(1,IF(H1703&gt;0,AF1703/H1703,1))),IF(R1703&gt;0,AG1703/R1703,0))/MAX(0.1,N(Parameter!$M$21)))</f>
        <v>0.0151515151515152</v>
      </c>
      <c r="AI1703" s="57" t="n">
        <f aca="false">AF1703*G1703</f>
        <v>665</v>
      </c>
      <c r="AJ1703" s="57" t="n">
        <f aca="false">ROUNDUP(MAX(J1703/IF(BZ1703&gt;0,BZ1703,MAX(0.1,N(Cockpit!$C$6))),CC1703)/BS1703,0)*BS1703</f>
        <v>18</v>
      </c>
      <c r="AK1703" s="58" t="n">
        <f aca="false">IF(AH1703&gt;0,J1703/AH1703,-1)</f>
        <v>0</v>
      </c>
      <c r="AL1703" s="58" t="n">
        <f aca="false">IF(AND(OR(BY1703="L1",BY1703="L23"),AH1703&gt;0),SUMIFS($AH$7:$AH$1843,$BY$7:$BY$1843,BY1703,$AK$7:$AK$1843,"&gt;"&amp;AK1703)+SUMIFS($AH$7:$AH$1843,$BY$7:$BY$1843,BY1703,$AK$7:$AK$1843,AK1703,$BQ$7:$BQ$1843,"&lt;="&amp;BQ1703),"")</f>
        <v>96.6084253910341</v>
      </c>
      <c r="AM1703" s="65" t="n">
        <f aca="false">IF(AL1703="",0,MAX(0,MIN(1,(IF(BY1703="L1",Parameter!$E$5,Parameter!$E$6+Parameter!$E$7)-(AL1703-AH1703))/AH1703)))</f>
        <v>1</v>
      </c>
      <c r="AN1703" s="57" t="n">
        <f aca="false">IF(LEFT(Cockpit!$I$5,1)="A",H1703,IF(CA1703=1,CB1703,IF(LEFT(Cockpit!$I$5,1)="B",AR1703,MAX(AR1703,H1703))))</f>
        <v>18</v>
      </c>
      <c r="AO1703" s="57" t="n">
        <f aca="false">IF(BT1703=1,0,ROUNDUP(AN1703/BS1703,0))</f>
        <v>2</v>
      </c>
      <c r="AP1703" s="59" t="n">
        <f aca="false">IF(CH1703&gt;0,CH1703*MAX(1,AN1703/X1703),IF(BT1703=1,IF(AN1703&lt;=0,0,BW1703*MAX(1,IF(H1703&gt;0,AN1703/H1703,1))),IF(R1703&gt;0,AO1703/R1703,0))/MAX(0.1,N(Parameter!$M$21)))</f>
        <v>0.0151515151515152</v>
      </c>
      <c r="AQ1703" s="57" t="n">
        <f aca="false">AN1703*G1703</f>
        <v>855</v>
      </c>
      <c r="AR1703" s="57" t="n">
        <f aca="false">ROUNDUP(MAX(J1703/IF(BZ1703&gt;0,BZ1703,MAX(0.1,N(Cockpit!$I$6))),CC1703)/BS1703,0)*BS1703</f>
        <v>18</v>
      </c>
      <c r="AS1703" s="58" t="n">
        <f aca="false">IF(AP1703&gt;0,J1703/AP1703,-1)</f>
        <v>0</v>
      </c>
      <c r="AT1703" s="58" t="n">
        <f aca="false">IF(AND(OR(BY1703="L1",BY1703="L23"),AP1703&gt;0),SUMIFS($AP$7:$AP$1843,$BY$7:$BY$1843,BY1703,$AS$7:$AS$1843,"&gt;"&amp;AS1703)+SUMIFS($AP$7:$AP$1843,$BY$7:$BY$1843,BY1703,$AS$7:$AS$1843,AS1703,$BQ$7:$BQ$1843,"&lt;="&amp;BQ1703),"")</f>
        <v>141.943895476504</v>
      </c>
      <c r="AU1703" s="65" t="n">
        <f aca="false">IF(AT1703="",0,MAX(0,MIN(1,(IF(BY1703="L1",Parameter!$E$5,Parameter!$E$6+Parameter!$E$7)-(AT1703-AP1703))/AP1703)))</f>
        <v>0</v>
      </c>
      <c r="AV1703" s="57" t="n">
        <f aca="false">IF(LEFT(Cockpit!$O$5,1)="A",H1703,IF(CA1703=1,CB1703,IF(LEFT(Cockpit!$O$5,1)="B",AZ1703,MAX(AZ1703,H1703))))</f>
        <v>18</v>
      </c>
      <c r="AW1703" s="57" t="n">
        <f aca="false">IF(BT1703=1,0,ROUNDUP(AV1703/BS1703,0))</f>
        <v>2</v>
      </c>
      <c r="AX1703" s="59" t="n">
        <f aca="false">IF(CH1703&gt;0,CH1703*MAX(1,AV1703/X1703),IF(BT1703=1,IF(AV1703&lt;=0,0,BW1703*MAX(1,IF(H1703&gt;0,AV1703/H1703,1))),IF(R1703&gt;0,AW1703/R1703,0))/MAX(0.1,N(Parameter!$M$21)))</f>
        <v>0.0151515151515152</v>
      </c>
      <c r="AY1703" s="57" t="n">
        <f aca="false">AV1703*G1703</f>
        <v>855</v>
      </c>
      <c r="AZ1703" s="57" t="n">
        <f aca="false">ROUNDUP(MAX(J1703/IF(BZ1703&gt;0,BZ1703,MAX(0.1,N(Cockpit!$O$6))),CC1703)/BS1703,0)*BS1703</f>
        <v>18</v>
      </c>
      <c r="BA1703" s="58" t="n">
        <f aca="false">IF(AX1703&gt;0,J1703/AX1703,-1)</f>
        <v>0</v>
      </c>
      <c r="BB1703" s="58" t="n">
        <f aca="false">IF(AND(OR(BY1703="L1",BY1703="L23"),AX1703&gt;0),SUMIFS($AX$7:$AX$1843,$BY$7:$BY$1843,BY1703,$BA$7:$BA$1843,"&gt;"&amp;BA1703)+SUMIFS($AX$7:$AX$1843,$BY$7:$BY$1843,BY1703,$BA$7:$BA$1843,BA1703,$BQ$7:$BQ$1843,"&lt;="&amp;BQ1703),"")</f>
        <v>132.773732306341</v>
      </c>
      <c r="BC1703" s="65" t="n">
        <f aca="false">IF(BB1703="",0,MAX(0,MIN(1,(IF(BY1703="L1",Parameter!$E$5,Parameter!$E$6+Parameter!$E$7)-(BB1703-AX1703))/AX1703)))</f>
        <v>0</v>
      </c>
      <c r="BD1703" s="55" t="str">
        <f aca="false">IF(AH1703&lt;=0,"",IF(BY1703="Aussen","Aussenlager",IF(BY1703="-","Nicht im Lift",IF(AM1703&gt;=1,"Lift",IF(AM1703&lt;=0,"Aussenlager","teilweise")))))</f>
        <v>Lift</v>
      </c>
      <c r="BE1703" s="55" t="str">
        <f aca="false">IF(AP1703&lt;=0,"",IF(BY1703="Aussen","Aussenlager",IF(BY1703="-","Nicht im Lift",IF(AU1703&gt;=1,"Lift",IF(AU1703&lt;=0,"Aussenlager","teilweise")))))</f>
        <v>Aussenlager</v>
      </c>
      <c r="BF1703" s="55" t="str">
        <f aca="false">IF(AX1703&lt;=0,"",IF(BY1703="Aussen","Aussenlager",IF(BY1703="-","Nicht im Lift",IF(BC1703&gt;=1,"Lift",IF(BC1703&lt;=0,"Aussenlager","teilweise")))))</f>
        <v>Aussenlager</v>
      </c>
      <c r="BG1703" s="55" t="str">
        <f aca="false">IF(A1703="","",IF(BP1703=1,"Neu; ","")&amp;IF(AND(BP1703=0,BK1703&lt;0),"negativer Bestand (Export "&amp;BK1703&amp;"); ","")&amp;IF(J1703&lt;=0,"Kein Verbrauch; ","")&amp;IF(CH1703&gt;0,"Lift "&amp;W1703&amp;" lt. Liftbericht (Fach "&amp;X1703&amp;" Stk); ",IF(BU1703=1,"Gebinde geschätzt ("&amp;T1703&amp;"); ",IF(BT1703=1,"Lose – Tablare geschätzt; ","")))&amp;IF(H1703&gt;AR1703,"Überbestand "&amp;ROUND(H1703-AR1703,0)&amp;" Stk / CHF "&amp;ROUND((H1703-AR1703)*G1703,0)&amp;"; ","")&amp;IF(AND(CA1703=1,CB1703&lt;CC1703),"MAX &lt; MB+LG; ","")&amp;IF(AND(CG1703&gt;0,CF1703*10&gt;CG1703),"zu hoch für Tablar; ","")&amp;IF(AND(BP1703=0,OR(CA1703=1,AA1703&lt;&gt;"",U1703&lt;&gt;"",V1703&lt;&gt;"",AB1703&lt;&gt;"")),"manuell übersteuert; ","")&amp;IF(AND(BT1703=0,R1703=0),"Gebinde unbekannt / Stellmass fehlt; ","")&amp;IF(AND(BT1703=0,N(V1703)&lt;=0,N(Q1703)&lt;=0),"Menge pro Gebinde fehlt (Ist = 1 Gebinde); ","")&amp;BO1703)</f>
        <v>Kein Verbrauch; nur im Artikelstamm (Bestand 23.06.2026)</v>
      </c>
      <c r="BH1703" s="55"/>
      <c r="BI1703" s="55"/>
      <c r="BJ1703" s="62"/>
      <c r="BK1703" s="57" t="n">
        <v>14</v>
      </c>
      <c r="BL1703" s="57" t="n">
        <v>0</v>
      </c>
      <c r="BM1703" s="56" t="n">
        <v>0</v>
      </c>
      <c r="BN1703" s="57" t="n">
        <v>0</v>
      </c>
      <c r="BO1703" s="55" t="s">
        <v>2575</v>
      </c>
      <c r="BP1703" s="60" t="n">
        <v>0</v>
      </c>
      <c r="BQ1703" s="60" t="n">
        <v>1703</v>
      </c>
      <c r="BR1703" s="55" t="str">
        <f aca="false">IF(U1703&lt;&gt;"",UPPER(TRIM(U1703)),IF(BU1703=1,UPPER(VLOOKUP(T1703,Parameter!$I$27:$K$29,2,0)),IF(P1703="","LOSE",P1703)))</f>
        <v>S32</v>
      </c>
      <c r="BS1703" s="57" t="n">
        <f aca="false">IF(BR1703="LOSE",1,IF(N(V1703)&gt;0,V1703,IF(BU1703=1,MAX(1,N(VLOOKUP(T1703,Parameter!$I$27:$K$29,3,0)),H1703,N(N1703)),IF(N(Q1703)&gt;0,Q1703,MAX(1,H1703)))))</f>
        <v>9</v>
      </c>
      <c r="BT1703" s="60" t="n">
        <f aca="false">IF(BR1703="LOSE",1,0)</f>
        <v>0</v>
      </c>
      <c r="BU1703" s="60" t="n">
        <f aca="false">IF(AND(U1703="",OR(P1703="",P1703="LOSE"),T1703&lt;&gt;"",N(S1703)&lt;=0,ISNUMBER(MATCH(T1703,Parameter!$I$27:$I$29,0))),1,0)</f>
        <v>0</v>
      </c>
      <c r="BV1703" s="55" t="str">
        <f aca="false">IF(AND(Parameter!$B$19="Ja",E1703&lt;&gt;"",ISNUMBER(MATCH(E1703,Parameter!$I$35:$I$52,0))),VLOOKUP(E1703,Parameter!$I$35:$J$52,2,0),IFERROR(VLOOKUP(D1703,Parameter!$A$35:$C$64,2,0),"Nein"))</f>
        <v>2+3</v>
      </c>
      <c r="BW1703" s="59" t="n">
        <f aca="false">IF(BT1703=0,0,IF(N(S1703)&gt;0,S1703,IFERROR(VLOOKUP(D1703,Parameter!$A$35:$C$64,3,0)+0,0)))</f>
        <v>0</v>
      </c>
      <c r="BX1703" s="55" t="n">
        <f aca="false">IF(AA1703&lt;&gt;"",AA1703,Z1703)</f>
        <v>3</v>
      </c>
      <c r="BY1703" s="55" t="str">
        <f aca="false">IF(BX1703=1,"L1",IF(OR(BX1703=2,BX1703=3),"L23",IF(BX1703="Aussen","Aussen","-")))</f>
        <v>L23</v>
      </c>
      <c r="BZ1703" s="66" t="n">
        <f aca="false">IF(N(AB1703)&gt;0,AB1703,0)</f>
        <v>0</v>
      </c>
      <c r="CA1703" s="60" t="n">
        <f aca="false">IF(ISNUMBER(AE1703),1,0)</f>
        <v>0</v>
      </c>
      <c r="CB1703" s="57" t="n">
        <f aca="false">N(AE1703)</f>
        <v>0</v>
      </c>
      <c r="CC1703" s="57" t="n">
        <f aca="false">N(M1703)+N(N1703)</f>
        <v>15</v>
      </c>
      <c r="CD1703" s="57" t="n">
        <f aca="false">ROUNDUP(H1703/BS1703,0)</f>
        <v>2</v>
      </c>
      <c r="CE1703" s="57" t="n">
        <f aca="false">ROUNDUP(CB1703/BS1703,0)</f>
        <v>0</v>
      </c>
      <c r="CF1703" s="60" t="n">
        <f aca="false">IF(BT1703=1,0,IFERROR(VLOOKUP(BR1703,'Gebinde-Kategorie'!$A$5:$M$45,5,0)+0,0))</f>
        <v>8</v>
      </c>
      <c r="CG1703" s="60" t="n">
        <f aca="false">IFERROR(IF(OR(BX1703=1,BX1703=2,BX1703=3),N(INDEX(Parameter!$I$5:$I$7,BX1703)),0),0)</f>
        <v>0</v>
      </c>
      <c r="CH1703" s="59" t="n">
        <f aca="false">IF(AND(Parameter!$B$21="Ja",ISNUMBER(W1703),N(X1703)&gt;0),IFERROR(N(INDEX(Parameter!$L$5:$L$7,W1703))*INDEX(Parameter!$E$5:$E$7,W1703)*X1703/SUMIFS($X$7:$X$1843,$W$7:$W$1843,W1703),0),0)</f>
        <v>0</v>
      </c>
    </row>
    <row r="1704" customFormat="false" ht="15" hidden="false" customHeight="false" outlineLevel="0" collapsed="false">
      <c r="A1704" s="55" t="s">
        <v>2948</v>
      </c>
      <c r="B1704" s="55" t="s">
        <v>2949</v>
      </c>
      <c r="C1704" s="55" t="s">
        <v>164</v>
      </c>
      <c r="D1704" s="55" t="s">
        <v>184</v>
      </c>
      <c r="E1704" s="55"/>
      <c r="F1704" s="55"/>
      <c r="G1704" s="56" t="n">
        <v>37</v>
      </c>
      <c r="H1704" s="57" t="n">
        <f aca="false">MAX(0,IF(AND(Parameter!$B$21="Ja",ISNUMBER(Y1704)),Y1704,IF(Parameter!$B$20="Jahresanfang 2025 + Export",BL1704+BK1704,BK1704)))</f>
        <v>6</v>
      </c>
      <c r="I1704" s="57" t="n">
        <f aca="false">H1704*G1704</f>
        <v>222</v>
      </c>
      <c r="J1704" s="57" t="n">
        <f aca="false">BN1704*Parameter!$B$18</f>
        <v>0</v>
      </c>
      <c r="K1704" s="58"/>
      <c r="L1704" s="59"/>
      <c r="M1704" s="57" t="n">
        <v>0</v>
      </c>
      <c r="N1704" s="57" t="n">
        <v>5</v>
      </c>
      <c r="O1704" s="60" t="n">
        <v>21</v>
      </c>
      <c r="P1704" s="55" t="s">
        <v>421</v>
      </c>
      <c r="Q1704" s="57" t="n">
        <v>3</v>
      </c>
      <c r="R1704" s="60" t="n">
        <f aca="false">IF(BT1704=1,0,IFERROR(VLOOKUP(BR1704,'Gebinde-Kategorie'!$A$5:$M$45,13,0)+0,0))</f>
        <v>132</v>
      </c>
      <c r="S1704" s="61"/>
      <c r="T1704" s="62"/>
      <c r="U1704" s="62"/>
      <c r="V1704" s="62"/>
      <c r="W1704" s="55"/>
      <c r="X1704" s="57"/>
      <c r="Y1704" s="57"/>
      <c r="Z1704" s="55" t="n">
        <f aca="false">IF(A1704="","",IF(AND(Parameter!$B$21="Ja",ISNUMBER(W1704)),W1704,IF(BV1704="2+3",IF(ISNUMBER(SEARCH("grosser Artikel",BO1704)),2,IFERROR(VLOOKUP(BR1704,Parameter!$F$35:$G$64,2,0),2)),IF(OR(BV1704="Nein",BV1704=""),"-",BV1704))))</f>
        <v>3</v>
      </c>
      <c r="AA1704" s="62"/>
      <c r="AB1704" s="63"/>
      <c r="AC1704" s="57" t="n">
        <f aca="false">AR1704</f>
        <v>6</v>
      </c>
      <c r="AD1704" s="57" t="n">
        <f aca="false">MAX(AR1704,H1704)</f>
        <v>6</v>
      </c>
      <c r="AE1704" s="64"/>
      <c r="AF1704" s="57" t="n">
        <f aca="false">IF(LEFT(Cockpit!$C$5,1)="A",H1704,IF(CA1704=1,CB1704,IF(LEFT(Cockpit!$C$5,1)="B",AJ1704,MAX(AJ1704,H1704))))</f>
        <v>6</v>
      </c>
      <c r="AG1704" s="57" t="n">
        <f aca="false">IF(BT1704=1,0,ROUNDUP(AF1704/BS1704,0))</f>
        <v>2</v>
      </c>
      <c r="AH1704" s="59" t="n">
        <f aca="false">IF(CH1704&gt;0,CH1704*MAX(1,AF1704/X1704),IF(BT1704=1,IF(AF1704&lt;=0,0,BW1704*MAX(1,IF(H1704&gt;0,AF1704/H1704,1))),IF(R1704&gt;0,AG1704/R1704,0))/MAX(0.1,N(Parameter!$M$21)))</f>
        <v>0.0151515151515152</v>
      </c>
      <c r="AI1704" s="57" t="n">
        <f aca="false">AF1704*G1704</f>
        <v>222</v>
      </c>
      <c r="AJ1704" s="57" t="n">
        <f aca="false">ROUNDUP(MAX(J1704/IF(BZ1704&gt;0,BZ1704,MAX(0.1,N(Cockpit!$C$6))),CC1704)/BS1704,0)*BS1704</f>
        <v>6</v>
      </c>
      <c r="AK1704" s="58" t="n">
        <f aca="false">IF(AH1704&gt;0,J1704/AH1704,-1)</f>
        <v>0</v>
      </c>
      <c r="AL1704" s="58" t="n">
        <f aca="false">IF(AND(OR(BY1704="L1",BY1704="L23"),AH1704&gt;0),SUMIFS($AH$7:$AH$1843,$BY$7:$BY$1843,BY1704,$AK$7:$AK$1843,"&gt;"&amp;AK1704)+SUMIFS($AH$7:$AH$1843,$BY$7:$BY$1843,BY1704,$AK$7:$AK$1843,AK1704,$BQ$7:$BQ$1843,"&lt;="&amp;BQ1704),"")</f>
        <v>96.6235769061856</v>
      </c>
      <c r="AM1704" s="65" t="n">
        <f aca="false">IF(AL1704="",0,MAX(0,MIN(1,(IF(BY1704="L1",Parameter!$E$5,Parameter!$E$6+Parameter!$E$7)-(AL1704-AH1704))/AH1704)))</f>
        <v>1</v>
      </c>
      <c r="AN1704" s="57" t="n">
        <f aca="false">IF(LEFT(Cockpit!$I$5,1)="A",H1704,IF(CA1704=1,CB1704,IF(LEFT(Cockpit!$I$5,1)="B",AR1704,MAX(AR1704,H1704))))</f>
        <v>6</v>
      </c>
      <c r="AO1704" s="57" t="n">
        <f aca="false">IF(BT1704=1,0,ROUNDUP(AN1704/BS1704,0))</f>
        <v>2</v>
      </c>
      <c r="AP1704" s="59" t="n">
        <f aca="false">IF(CH1704&gt;0,CH1704*MAX(1,AN1704/X1704),IF(BT1704=1,IF(AN1704&lt;=0,0,BW1704*MAX(1,IF(H1704&gt;0,AN1704/H1704,1))),IF(R1704&gt;0,AO1704/R1704,0))/MAX(0.1,N(Parameter!$M$21)))</f>
        <v>0.0151515151515152</v>
      </c>
      <c r="AQ1704" s="57" t="n">
        <f aca="false">AN1704*G1704</f>
        <v>222</v>
      </c>
      <c r="AR1704" s="57" t="n">
        <f aca="false">ROUNDUP(MAX(J1704/IF(BZ1704&gt;0,BZ1704,MAX(0.1,N(Cockpit!$I$6))),CC1704)/BS1704,0)*BS1704</f>
        <v>6</v>
      </c>
      <c r="AS1704" s="58" t="n">
        <f aca="false">IF(AP1704&gt;0,J1704/AP1704,-1)</f>
        <v>0</v>
      </c>
      <c r="AT1704" s="58" t="n">
        <f aca="false">IF(AND(OR(BY1704="L1",BY1704="L23"),AP1704&gt;0),SUMIFS($AP$7:$AP$1843,$BY$7:$BY$1843,BY1704,$AS$7:$AS$1843,"&gt;"&amp;AS1704)+SUMIFS($AP$7:$AP$1843,$BY$7:$BY$1843,BY1704,$AS$7:$AS$1843,AS1704,$BQ$7:$BQ$1843,"&lt;="&amp;BQ1704),"")</f>
        <v>141.959046991656</v>
      </c>
      <c r="AU1704" s="65" t="n">
        <f aca="false">IF(AT1704="",0,MAX(0,MIN(1,(IF(BY1704="L1",Parameter!$E$5,Parameter!$E$6+Parameter!$E$7)-(AT1704-AP1704))/AP1704)))</f>
        <v>0</v>
      </c>
      <c r="AV1704" s="57" t="n">
        <f aca="false">IF(LEFT(Cockpit!$O$5,1)="A",H1704,IF(CA1704=1,CB1704,IF(LEFT(Cockpit!$O$5,1)="B",AZ1704,MAX(AZ1704,H1704))))</f>
        <v>6</v>
      </c>
      <c r="AW1704" s="57" t="n">
        <f aca="false">IF(BT1704=1,0,ROUNDUP(AV1704/BS1704,0))</f>
        <v>2</v>
      </c>
      <c r="AX1704" s="59" t="n">
        <f aca="false">IF(CH1704&gt;0,CH1704*MAX(1,AV1704/X1704),IF(BT1704=1,IF(AV1704&lt;=0,0,BW1704*MAX(1,IF(H1704&gt;0,AV1704/H1704,1))),IF(R1704&gt;0,AW1704/R1704,0))/MAX(0.1,N(Parameter!$M$21)))</f>
        <v>0.0151515151515152</v>
      </c>
      <c r="AY1704" s="57" t="n">
        <f aca="false">AV1704*G1704</f>
        <v>222</v>
      </c>
      <c r="AZ1704" s="57" t="n">
        <f aca="false">ROUNDUP(MAX(J1704/IF(BZ1704&gt;0,BZ1704,MAX(0.1,N(Cockpit!$O$6))),CC1704)/BS1704,0)*BS1704</f>
        <v>6</v>
      </c>
      <c r="BA1704" s="58" t="n">
        <f aca="false">IF(AX1704&gt;0,J1704/AX1704,-1)</f>
        <v>0</v>
      </c>
      <c r="BB1704" s="58" t="n">
        <f aca="false">IF(AND(OR(BY1704="L1",BY1704="L23"),AX1704&gt;0),SUMIFS($AX$7:$AX$1843,$BY$7:$BY$1843,BY1704,$BA$7:$BA$1843,"&gt;"&amp;BA1704)+SUMIFS($AX$7:$AX$1843,$BY$7:$BY$1843,BY1704,$BA$7:$BA$1843,BA1704,$BQ$7:$BQ$1843,"&lt;="&amp;BQ1704),"")</f>
        <v>132.788883821493</v>
      </c>
      <c r="BC1704" s="65" t="n">
        <f aca="false">IF(BB1704="",0,MAX(0,MIN(1,(IF(BY1704="L1",Parameter!$E$5,Parameter!$E$6+Parameter!$E$7)-(BB1704-AX1704))/AX1704)))</f>
        <v>0</v>
      </c>
      <c r="BD1704" s="55" t="str">
        <f aca="false">IF(AH1704&lt;=0,"",IF(BY1704="Aussen","Aussenlager",IF(BY1704="-","Nicht im Lift",IF(AM1704&gt;=1,"Lift",IF(AM1704&lt;=0,"Aussenlager","teilweise")))))</f>
        <v>Lift</v>
      </c>
      <c r="BE1704" s="55" t="str">
        <f aca="false">IF(AP1704&lt;=0,"",IF(BY1704="Aussen","Aussenlager",IF(BY1704="-","Nicht im Lift",IF(AU1704&gt;=1,"Lift",IF(AU1704&lt;=0,"Aussenlager","teilweise")))))</f>
        <v>Aussenlager</v>
      </c>
      <c r="BF1704" s="55" t="str">
        <f aca="false">IF(AX1704&lt;=0,"",IF(BY1704="Aussen","Aussenlager",IF(BY1704="-","Nicht im Lift",IF(BC1704&gt;=1,"Lift",IF(BC1704&lt;=0,"Aussenlager","teilweise")))))</f>
        <v>Aussenlager</v>
      </c>
      <c r="BG1704" s="55" t="str">
        <f aca="false">IF(A1704="","",IF(BP1704=1,"Neu; ","")&amp;IF(AND(BP1704=0,BK1704&lt;0),"negativer Bestand (Export "&amp;BK1704&amp;"); ","")&amp;IF(J1704&lt;=0,"Kein Verbrauch; ","")&amp;IF(CH1704&gt;0,"Lift "&amp;W1704&amp;" lt. Liftbericht (Fach "&amp;X1704&amp;" Stk); ",IF(BU1704=1,"Gebinde geschätzt ("&amp;T1704&amp;"); ",IF(BT1704=1,"Lose – Tablare geschätzt; ","")))&amp;IF(H1704&gt;AR1704,"Überbestand "&amp;ROUND(H1704-AR1704,0)&amp;" Stk / CHF "&amp;ROUND((H1704-AR1704)*G1704,0)&amp;"; ","")&amp;IF(AND(CA1704=1,CB1704&lt;CC1704),"MAX &lt; MB+LG; ","")&amp;IF(AND(CG1704&gt;0,CF1704*10&gt;CG1704),"zu hoch für Tablar; ","")&amp;IF(AND(BP1704=0,OR(CA1704=1,AA1704&lt;&gt;"",U1704&lt;&gt;"",V1704&lt;&gt;"",AB1704&lt;&gt;"")),"manuell übersteuert; ","")&amp;IF(AND(BT1704=0,R1704=0),"Gebinde unbekannt / Stellmass fehlt; ","")&amp;IF(AND(BT1704=0,N(V1704)&lt;=0,N(Q1704)&lt;=0),"Menge pro Gebinde fehlt (Ist = 1 Gebinde); ","")&amp;BO1704)</f>
        <v>Kein Verbrauch; nur im Artikelstamm (Bestand 23.06.2026)</v>
      </c>
      <c r="BH1704" s="55"/>
      <c r="BI1704" s="55"/>
      <c r="BJ1704" s="62"/>
      <c r="BK1704" s="57" t="n">
        <v>6</v>
      </c>
      <c r="BL1704" s="57" t="n">
        <v>0</v>
      </c>
      <c r="BM1704" s="56" t="n">
        <v>0</v>
      </c>
      <c r="BN1704" s="57" t="n">
        <v>0</v>
      </c>
      <c r="BO1704" s="55" t="s">
        <v>2575</v>
      </c>
      <c r="BP1704" s="60" t="n">
        <v>0</v>
      </c>
      <c r="BQ1704" s="60" t="n">
        <v>1704</v>
      </c>
      <c r="BR1704" s="55" t="str">
        <f aca="false">IF(U1704&lt;&gt;"",UPPER(TRIM(U1704)),IF(BU1704=1,UPPER(VLOOKUP(T1704,Parameter!$I$27:$K$29,2,0)),IF(P1704="","LOSE",P1704)))</f>
        <v>S32</v>
      </c>
      <c r="BS1704" s="57" t="n">
        <f aca="false">IF(BR1704="LOSE",1,IF(N(V1704)&gt;0,V1704,IF(BU1704=1,MAX(1,N(VLOOKUP(T1704,Parameter!$I$27:$K$29,3,0)),H1704,N(N1704)),IF(N(Q1704)&gt;0,Q1704,MAX(1,H1704)))))</f>
        <v>3</v>
      </c>
      <c r="BT1704" s="60" t="n">
        <f aca="false">IF(BR1704="LOSE",1,0)</f>
        <v>0</v>
      </c>
      <c r="BU1704" s="60" t="n">
        <f aca="false">IF(AND(U1704="",OR(P1704="",P1704="LOSE"),T1704&lt;&gt;"",N(S1704)&lt;=0,ISNUMBER(MATCH(T1704,Parameter!$I$27:$I$29,0))),1,0)</f>
        <v>0</v>
      </c>
      <c r="BV1704" s="55" t="str">
        <f aca="false">IF(AND(Parameter!$B$19="Ja",E1704&lt;&gt;"",ISNUMBER(MATCH(E1704,Parameter!$I$35:$I$52,0))),VLOOKUP(E1704,Parameter!$I$35:$J$52,2,0),IFERROR(VLOOKUP(D1704,Parameter!$A$35:$C$64,2,0),"Nein"))</f>
        <v>2+3</v>
      </c>
      <c r="BW1704" s="59" t="n">
        <f aca="false">IF(BT1704=0,0,IF(N(S1704)&gt;0,S1704,IFERROR(VLOOKUP(D1704,Parameter!$A$35:$C$64,3,0)+0,0)))</f>
        <v>0</v>
      </c>
      <c r="BX1704" s="55" t="n">
        <f aca="false">IF(AA1704&lt;&gt;"",AA1704,Z1704)</f>
        <v>3</v>
      </c>
      <c r="BY1704" s="55" t="str">
        <f aca="false">IF(BX1704=1,"L1",IF(OR(BX1704=2,BX1704=3),"L23",IF(BX1704="Aussen","Aussen","-")))</f>
        <v>L23</v>
      </c>
      <c r="BZ1704" s="66" t="n">
        <f aca="false">IF(N(AB1704)&gt;0,AB1704,0)</f>
        <v>0</v>
      </c>
      <c r="CA1704" s="60" t="n">
        <f aca="false">IF(ISNUMBER(AE1704),1,0)</f>
        <v>0</v>
      </c>
      <c r="CB1704" s="57" t="n">
        <f aca="false">N(AE1704)</f>
        <v>0</v>
      </c>
      <c r="CC1704" s="57" t="n">
        <f aca="false">N(M1704)+N(N1704)</f>
        <v>5</v>
      </c>
      <c r="CD1704" s="57" t="n">
        <f aca="false">ROUNDUP(H1704/BS1704,0)</f>
        <v>2</v>
      </c>
      <c r="CE1704" s="57" t="n">
        <f aca="false">ROUNDUP(CB1704/BS1704,0)</f>
        <v>0</v>
      </c>
      <c r="CF1704" s="60" t="n">
        <f aca="false">IF(BT1704=1,0,IFERROR(VLOOKUP(BR1704,'Gebinde-Kategorie'!$A$5:$M$45,5,0)+0,0))</f>
        <v>8</v>
      </c>
      <c r="CG1704" s="60" t="n">
        <f aca="false">IFERROR(IF(OR(BX1704=1,BX1704=2,BX1704=3),N(INDEX(Parameter!$I$5:$I$7,BX1704)),0),0)</f>
        <v>0</v>
      </c>
      <c r="CH1704" s="59" t="n">
        <f aca="false">IF(AND(Parameter!$B$21="Ja",ISNUMBER(W1704),N(X1704)&gt;0),IFERROR(N(INDEX(Parameter!$L$5:$L$7,W1704))*INDEX(Parameter!$E$5:$E$7,W1704)*X1704/SUMIFS($X$7:$X$1843,$W$7:$W$1843,W1704),0),0)</f>
        <v>0</v>
      </c>
    </row>
    <row r="1705" customFormat="false" ht="15" hidden="false" customHeight="false" outlineLevel="0" collapsed="false">
      <c r="A1705" s="55" t="s">
        <v>2950</v>
      </c>
      <c r="B1705" s="55" t="s">
        <v>2951</v>
      </c>
      <c r="C1705" s="55" t="s">
        <v>164</v>
      </c>
      <c r="D1705" s="55" t="s">
        <v>184</v>
      </c>
      <c r="E1705" s="55"/>
      <c r="F1705" s="55"/>
      <c r="G1705" s="56" t="n">
        <v>2.38</v>
      </c>
      <c r="H1705" s="57" t="n">
        <f aca="false">MAX(0,IF(AND(Parameter!$B$21="Ja",ISNUMBER(Y1705)),Y1705,IF(Parameter!$B$20="Jahresanfang 2025 + Export",BL1705+BK1705,BK1705)))</f>
        <v>110</v>
      </c>
      <c r="I1705" s="57" t="n">
        <f aca="false">H1705*G1705</f>
        <v>261.8</v>
      </c>
      <c r="J1705" s="57" t="n">
        <f aca="false">BN1705*Parameter!$B$18</f>
        <v>0</v>
      </c>
      <c r="K1705" s="58"/>
      <c r="L1705" s="59"/>
      <c r="M1705" s="57" t="n">
        <v>0</v>
      </c>
      <c r="N1705" s="57" t="n">
        <v>100</v>
      </c>
      <c r="O1705" s="60" t="n">
        <v>28</v>
      </c>
      <c r="P1705" s="55" t="s">
        <v>476</v>
      </c>
      <c r="Q1705" s="57" t="n">
        <v>110</v>
      </c>
      <c r="R1705" s="60" t="n">
        <f aca="false">IF(BT1705=1,0,IFERROR(VLOOKUP(BR1705,'Gebinde-Kategorie'!$A$5:$M$45,13,0)+0,0))</f>
        <v>66</v>
      </c>
      <c r="S1705" s="61"/>
      <c r="T1705" s="62"/>
      <c r="U1705" s="62"/>
      <c r="V1705" s="62"/>
      <c r="W1705" s="55"/>
      <c r="X1705" s="57"/>
      <c r="Y1705" s="57"/>
      <c r="Z1705" s="55" t="n">
        <f aca="false">IF(A1705="","",IF(AND(Parameter!$B$21="Ja",ISNUMBER(W1705)),W1705,IF(BV1705="2+3",IF(ISNUMBER(SEARCH("grosser Artikel",BO1705)),2,IFERROR(VLOOKUP(BR1705,Parameter!$F$35:$G$64,2,0),2)),IF(OR(BV1705="Nein",BV1705=""),"-",BV1705))))</f>
        <v>3</v>
      </c>
      <c r="AA1705" s="62"/>
      <c r="AB1705" s="63"/>
      <c r="AC1705" s="57" t="n">
        <f aca="false">AR1705</f>
        <v>110</v>
      </c>
      <c r="AD1705" s="57" t="n">
        <f aca="false">MAX(AR1705,H1705)</f>
        <v>110</v>
      </c>
      <c r="AE1705" s="64"/>
      <c r="AF1705" s="57" t="n">
        <f aca="false">IF(LEFT(Cockpit!$C$5,1)="A",H1705,IF(CA1705=1,CB1705,IF(LEFT(Cockpit!$C$5,1)="B",AJ1705,MAX(AJ1705,H1705))))</f>
        <v>110</v>
      </c>
      <c r="AG1705" s="57" t="n">
        <f aca="false">IF(BT1705=1,0,ROUNDUP(AF1705/BS1705,0))</f>
        <v>1</v>
      </c>
      <c r="AH1705" s="59" t="n">
        <f aca="false">IF(CH1705&gt;0,CH1705*MAX(1,AF1705/X1705),IF(BT1705=1,IF(AF1705&lt;=0,0,BW1705*MAX(1,IF(H1705&gt;0,AF1705/H1705,1))),IF(R1705&gt;0,AG1705/R1705,0))/MAX(0.1,N(Parameter!$M$21)))</f>
        <v>0.0151515151515152</v>
      </c>
      <c r="AI1705" s="57" t="n">
        <f aca="false">AF1705*G1705</f>
        <v>261.8</v>
      </c>
      <c r="AJ1705" s="57" t="n">
        <f aca="false">ROUNDUP(MAX(J1705/IF(BZ1705&gt;0,BZ1705,MAX(0.1,N(Cockpit!$C$6))),CC1705)/BS1705,0)*BS1705</f>
        <v>110</v>
      </c>
      <c r="AK1705" s="58" t="n">
        <f aca="false">IF(AH1705&gt;0,J1705/AH1705,-1)</f>
        <v>0</v>
      </c>
      <c r="AL1705" s="58" t="n">
        <f aca="false">IF(AND(OR(BY1705="L1",BY1705="L23"),AH1705&gt;0),SUMIFS($AH$7:$AH$1843,$BY$7:$BY$1843,BY1705,$AK$7:$AK$1843,"&gt;"&amp;AK1705)+SUMIFS($AH$7:$AH$1843,$BY$7:$BY$1843,BY1705,$AK$7:$AK$1843,AK1705,$BQ$7:$BQ$1843,"&lt;="&amp;BQ1705),"")</f>
        <v>96.6387284213371</v>
      </c>
      <c r="AM1705" s="65" t="n">
        <f aca="false">IF(AL1705="",0,MAX(0,MIN(1,(IF(BY1705="L1",Parameter!$E$5,Parameter!$E$6+Parameter!$E$7)-(AL1705-AH1705))/AH1705)))</f>
        <v>1</v>
      </c>
      <c r="AN1705" s="57" t="n">
        <f aca="false">IF(LEFT(Cockpit!$I$5,1)="A",H1705,IF(CA1705=1,CB1705,IF(LEFT(Cockpit!$I$5,1)="B",AR1705,MAX(AR1705,H1705))))</f>
        <v>110</v>
      </c>
      <c r="AO1705" s="57" t="n">
        <f aca="false">IF(BT1705=1,0,ROUNDUP(AN1705/BS1705,0))</f>
        <v>1</v>
      </c>
      <c r="AP1705" s="59" t="n">
        <f aca="false">IF(CH1705&gt;0,CH1705*MAX(1,AN1705/X1705),IF(BT1705=1,IF(AN1705&lt;=0,0,BW1705*MAX(1,IF(H1705&gt;0,AN1705/H1705,1))),IF(R1705&gt;0,AO1705/R1705,0))/MAX(0.1,N(Parameter!$M$21)))</f>
        <v>0.0151515151515152</v>
      </c>
      <c r="AQ1705" s="57" t="n">
        <f aca="false">AN1705*G1705</f>
        <v>261.8</v>
      </c>
      <c r="AR1705" s="57" t="n">
        <f aca="false">ROUNDUP(MAX(J1705/IF(BZ1705&gt;0,BZ1705,MAX(0.1,N(Cockpit!$I$6))),CC1705)/BS1705,0)*BS1705</f>
        <v>110</v>
      </c>
      <c r="AS1705" s="58" t="n">
        <f aca="false">IF(AP1705&gt;0,J1705/AP1705,-1)</f>
        <v>0</v>
      </c>
      <c r="AT1705" s="58" t="n">
        <f aca="false">IF(AND(OR(BY1705="L1",BY1705="L23"),AP1705&gt;0),SUMIFS($AP$7:$AP$1843,$BY$7:$BY$1843,BY1705,$AS$7:$AS$1843,"&gt;"&amp;AS1705)+SUMIFS($AP$7:$AP$1843,$BY$7:$BY$1843,BY1705,$AS$7:$AS$1843,AS1705,$BQ$7:$BQ$1843,"&lt;="&amp;BQ1705),"")</f>
        <v>141.974198506807</v>
      </c>
      <c r="AU1705" s="65" t="n">
        <f aca="false">IF(AT1705="",0,MAX(0,MIN(1,(IF(BY1705="L1",Parameter!$E$5,Parameter!$E$6+Parameter!$E$7)-(AT1705-AP1705))/AP1705)))</f>
        <v>0</v>
      </c>
      <c r="AV1705" s="57" t="n">
        <f aca="false">IF(LEFT(Cockpit!$O$5,1)="A",H1705,IF(CA1705=1,CB1705,IF(LEFT(Cockpit!$O$5,1)="B",AZ1705,MAX(AZ1705,H1705))))</f>
        <v>110</v>
      </c>
      <c r="AW1705" s="57" t="n">
        <f aca="false">IF(BT1705=1,0,ROUNDUP(AV1705/BS1705,0))</f>
        <v>1</v>
      </c>
      <c r="AX1705" s="59" t="n">
        <f aca="false">IF(CH1705&gt;0,CH1705*MAX(1,AV1705/X1705),IF(BT1705=1,IF(AV1705&lt;=0,0,BW1705*MAX(1,IF(H1705&gt;0,AV1705/H1705,1))),IF(R1705&gt;0,AW1705/R1705,0))/MAX(0.1,N(Parameter!$M$21)))</f>
        <v>0.0151515151515152</v>
      </c>
      <c r="AY1705" s="57" t="n">
        <f aca="false">AV1705*G1705</f>
        <v>261.8</v>
      </c>
      <c r="AZ1705" s="57" t="n">
        <f aca="false">ROUNDUP(MAX(J1705/IF(BZ1705&gt;0,BZ1705,MAX(0.1,N(Cockpit!$O$6))),CC1705)/BS1705,0)*BS1705</f>
        <v>110</v>
      </c>
      <c r="BA1705" s="58" t="n">
        <f aca="false">IF(AX1705&gt;0,J1705/AX1705,-1)</f>
        <v>0</v>
      </c>
      <c r="BB1705" s="58" t="n">
        <f aca="false">IF(AND(OR(BY1705="L1",BY1705="L23"),AX1705&gt;0),SUMIFS($AX$7:$AX$1843,$BY$7:$BY$1843,BY1705,$BA$7:$BA$1843,"&gt;"&amp;BA1705)+SUMIFS($AX$7:$AX$1843,$BY$7:$BY$1843,BY1705,$BA$7:$BA$1843,BA1705,$BQ$7:$BQ$1843,"&lt;="&amp;BQ1705),"")</f>
        <v>132.804035336644</v>
      </c>
      <c r="BC1705" s="65" t="n">
        <f aca="false">IF(BB1705="",0,MAX(0,MIN(1,(IF(BY1705="L1",Parameter!$E$5,Parameter!$E$6+Parameter!$E$7)-(BB1705-AX1705))/AX1705)))</f>
        <v>0</v>
      </c>
      <c r="BD1705" s="55" t="str">
        <f aca="false">IF(AH1705&lt;=0,"",IF(BY1705="Aussen","Aussenlager",IF(BY1705="-","Nicht im Lift",IF(AM1705&gt;=1,"Lift",IF(AM1705&lt;=0,"Aussenlager","teilweise")))))</f>
        <v>Lift</v>
      </c>
      <c r="BE1705" s="55" t="str">
        <f aca="false">IF(AP1705&lt;=0,"",IF(BY1705="Aussen","Aussenlager",IF(BY1705="-","Nicht im Lift",IF(AU1705&gt;=1,"Lift",IF(AU1705&lt;=0,"Aussenlager","teilweise")))))</f>
        <v>Aussenlager</v>
      </c>
      <c r="BF1705" s="55" t="str">
        <f aca="false">IF(AX1705&lt;=0,"",IF(BY1705="Aussen","Aussenlager",IF(BY1705="-","Nicht im Lift",IF(BC1705&gt;=1,"Lift",IF(BC1705&lt;=0,"Aussenlager","teilweise")))))</f>
        <v>Aussenlager</v>
      </c>
      <c r="BG1705" s="55" t="str">
        <f aca="false">IF(A1705="","",IF(BP1705=1,"Neu; ","")&amp;IF(AND(BP1705=0,BK1705&lt;0),"negativer Bestand (Export "&amp;BK1705&amp;"); ","")&amp;IF(J1705&lt;=0,"Kein Verbrauch; ","")&amp;IF(CH1705&gt;0,"Lift "&amp;W1705&amp;" lt. Liftbericht (Fach "&amp;X1705&amp;" Stk); ",IF(BU1705=1,"Gebinde geschätzt ("&amp;T1705&amp;"); ",IF(BT1705=1,"Lose – Tablare geschätzt; ","")))&amp;IF(H1705&gt;AR1705,"Überbestand "&amp;ROUND(H1705-AR1705,0)&amp;" Stk / CHF "&amp;ROUND((H1705-AR1705)*G1705,0)&amp;"; ","")&amp;IF(AND(CA1705=1,CB1705&lt;CC1705),"MAX &lt; MB+LG; ","")&amp;IF(AND(CG1705&gt;0,CF1705*10&gt;CG1705),"zu hoch für Tablar; ","")&amp;IF(AND(BP1705=0,OR(CA1705=1,AA1705&lt;&gt;"",U1705&lt;&gt;"",V1705&lt;&gt;"",AB1705&lt;&gt;"")),"manuell übersteuert; ","")&amp;IF(AND(BT1705=0,R1705=0),"Gebinde unbekannt / Stellmass fehlt; ","")&amp;IF(AND(BT1705=0,N(V1705)&lt;=0,N(Q1705)&lt;=0),"Menge pro Gebinde fehlt (Ist = 1 Gebinde); ","")&amp;BO1705)</f>
        <v>Kein Verbrauch; nur im Artikelstamm (Bestand 23.06.2026)</v>
      </c>
      <c r="BH1705" s="55"/>
      <c r="BI1705" s="55"/>
      <c r="BJ1705" s="62"/>
      <c r="BK1705" s="57" t="n">
        <v>110</v>
      </c>
      <c r="BL1705" s="57" t="n">
        <v>0</v>
      </c>
      <c r="BM1705" s="56" t="n">
        <v>0</v>
      </c>
      <c r="BN1705" s="57" t="n">
        <v>0</v>
      </c>
      <c r="BO1705" s="55" t="s">
        <v>2575</v>
      </c>
      <c r="BP1705" s="60" t="n">
        <v>0</v>
      </c>
      <c r="BQ1705" s="60" t="n">
        <v>1705</v>
      </c>
      <c r="BR1705" s="55" t="str">
        <f aca="false">IF(U1705&lt;&gt;"",UPPER(TRIM(U1705)),IF(BU1705=1,UPPER(VLOOKUP(T1705,Parameter!$I$27:$K$29,2,0)),IF(P1705="","LOSE",P1705)))</f>
        <v>S33</v>
      </c>
      <c r="BS1705" s="57" t="n">
        <f aca="false">IF(BR1705="LOSE",1,IF(N(V1705)&gt;0,V1705,IF(BU1705=1,MAX(1,N(VLOOKUP(T1705,Parameter!$I$27:$K$29,3,0)),H1705,N(N1705)),IF(N(Q1705)&gt;0,Q1705,MAX(1,H1705)))))</f>
        <v>110</v>
      </c>
      <c r="BT1705" s="60" t="n">
        <f aca="false">IF(BR1705="LOSE",1,0)</f>
        <v>0</v>
      </c>
      <c r="BU1705" s="60" t="n">
        <f aca="false">IF(AND(U1705="",OR(P1705="",P1705="LOSE"),T1705&lt;&gt;"",N(S1705)&lt;=0,ISNUMBER(MATCH(T1705,Parameter!$I$27:$I$29,0))),1,0)</f>
        <v>0</v>
      </c>
      <c r="BV1705" s="55" t="str">
        <f aca="false">IF(AND(Parameter!$B$19="Ja",E1705&lt;&gt;"",ISNUMBER(MATCH(E1705,Parameter!$I$35:$I$52,0))),VLOOKUP(E1705,Parameter!$I$35:$J$52,2,0),IFERROR(VLOOKUP(D1705,Parameter!$A$35:$C$64,2,0),"Nein"))</f>
        <v>2+3</v>
      </c>
      <c r="BW1705" s="59" t="n">
        <f aca="false">IF(BT1705=0,0,IF(N(S1705)&gt;0,S1705,IFERROR(VLOOKUP(D1705,Parameter!$A$35:$C$64,3,0)+0,0)))</f>
        <v>0</v>
      </c>
      <c r="BX1705" s="55" t="n">
        <f aca="false">IF(AA1705&lt;&gt;"",AA1705,Z1705)</f>
        <v>3</v>
      </c>
      <c r="BY1705" s="55" t="str">
        <f aca="false">IF(BX1705=1,"L1",IF(OR(BX1705=2,BX1705=3),"L23",IF(BX1705="Aussen","Aussen","-")))</f>
        <v>L23</v>
      </c>
      <c r="BZ1705" s="66" t="n">
        <f aca="false">IF(N(AB1705)&gt;0,AB1705,0)</f>
        <v>0</v>
      </c>
      <c r="CA1705" s="60" t="n">
        <f aca="false">IF(ISNUMBER(AE1705),1,0)</f>
        <v>0</v>
      </c>
      <c r="CB1705" s="57" t="n">
        <f aca="false">N(AE1705)</f>
        <v>0</v>
      </c>
      <c r="CC1705" s="57" t="n">
        <f aca="false">N(M1705)+N(N1705)</f>
        <v>100</v>
      </c>
      <c r="CD1705" s="57" t="n">
        <f aca="false">ROUNDUP(H1705/BS1705,0)</f>
        <v>1</v>
      </c>
      <c r="CE1705" s="57" t="n">
        <f aca="false">ROUNDUP(CB1705/BS1705,0)</f>
        <v>0</v>
      </c>
      <c r="CF1705" s="60" t="n">
        <f aca="false">IF(BT1705=1,0,IFERROR(VLOOKUP(BR1705,'Gebinde-Kategorie'!$A$5:$M$45,5,0)+0,0))</f>
        <v>8</v>
      </c>
      <c r="CG1705" s="60" t="n">
        <f aca="false">IFERROR(IF(OR(BX1705=1,BX1705=2,BX1705=3),N(INDEX(Parameter!$I$5:$I$7,BX1705)),0),0)</f>
        <v>0</v>
      </c>
      <c r="CH1705" s="59" t="n">
        <f aca="false">IF(AND(Parameter!$B$21="Ja",ISNUMBER(W1705),N(X1705)&gt;0),IFERROR(N(INDEX(Parameter!$L$5:$L$7,W1705))*INDEX(Parameter!$E$5:$E$7,W1705)*X1705/SUMIFS($X$7:$X$1843,$W$7:$W$1843,W1705),0),0)</f>
        <v>0</v>
      </c>
    </row>
    <row r="1706" customFormat="false" ht="15" hidden="false" customHeight="false" outlineLevel="0" collapsed="false">
      <c r="A1706" s="55" t="s">
        <v>2952</v>
      </c>
      <c r="B1706" s="55" t="s">
        <v>2953</v>
      </c>
      <c r="C1706" s="55" t="s">
        <v>164</v>
      </c>
      <c r="D1706" s="55" t="s">
        <v>184</v>
      </c>
      <c r="E1706" s="55"/>
      <c r="F1706" s="55"/>
      <c r="G1706" s="56" t="n">
        <v>0.76</v>
      </c>
      <c r="H1706" s="57" t="n">
        <f aca="false">MAX(0,IF(AND(Parameter!$B$21="Ja",ISNUMBER(Y1706)),Y1706,IF(Parameter!$B$20="Jahresanfang 2025 + Export",BL1706+BK1706,BK1706)))</f>
        <v>30</v>
      </c>
      <c r="I1706" s="57" t="n">
        <f aca="false">H1706*G1706</f>
        <v>22.8</v>
      </c>
      <c r="J1706" s="57" t="n">
        <f aca="false">BN1706*Parameter!$B$18</f>
        <v>0</v>
      </c>
      <c r="K1706" s="58"/>
      <c r="L1706" s="59"/>
      <c r="M1706" s="57" t="n">
        <v>0</v>
      </c>
      <c r="N1706" s="57" t="n">
        <v>10</v>
      </c>
      <c r="O1706" s="60" t="n">
        <v>21</v>
      </c>
      <c r="P1706" s="55" t="s">
        <v>476</v>
      </c>
      <c r="Q1706" s="57" t="n">
        <v>30</v>
      </c>
      <c r="R1706" s="60" t="n">
        <f aca="false">IF(BT1706=1,0,IFERROR(VLOOKUP(BR1706,'Gebinde-Kategorie'!$A$5:$M$45,13,0)+0,0))</f>
        <v>66</v>
      </c>
      <c r="S1706" s="61"/>
      <c r="T1706" s="62"/>
      <c r="U1706" s="62"/>
      <c r="V1706" s="62"/>
      <c r="W1706" s="55"/>
      <c r="X1706" s="57"/>
      <c r="Y1706" s="57"/>
      <c r="Z1706" s="55" t="n">
        <f aca="false">IF(A1706="","",IF(AND(Parameter!$B$21="Ja",ISNUMBER(W1706)),W1706,IF(BV1706="2+3",IF(ISNUMBER(SEARCH("grosser Artikel",BO1706)),2,IFERROR(VLOOKUP(BR1706,Parameter!$F$35:$G$64,2,0),2)),IF(OR(BV1706="Nein",BV1706=""),"-",BV1706))))</f>
        <v>3</v>
      </c>
      <c r="AA1706" s="62"/>
      <c r="AB1706" s="63"/>
      <c r="AC1706" s="57" t="n">
        <f aca="false">AR1706</f>
        <v>30</v>
      </c>
      <c r="AD1706" s="57" t="n">
        <f aca="false">MAX(AR1706,H1706)</f>
        <v>30</v>
      </c>
      <c r="AE1706" s="64"/>
      <c r="AF1706" s="57" t="n">
        <f aca="false">IF(LEFT(Cockpit!$C$5,1)="A",H1706,IF(CA1706=1,CB1706,IF(LEFT(Cockpit!$C$5,1)="B",AJ1706,MAX(AJ1706,H1706))))</f>
        <v>30</v>
      </c>
      <c r="AG1706" s="57" t="n">
        <f aca="false">IF(BT1706=1,0,ROUNDUP(AF1706/BS1706,0))</f>
        <v>1</v>
      </c>
      <c r="AH1706" s="59" t="n">
        <f aca="false">IF(CH1706&gt;0,CH1706*MAX(1,AF1706/X1706),IF(BT1706=1,IF(AF1706&lt;=0,0,BW1706*MAX(1,IF(H1706&gt;0,AF1706/H1706,1))),IF(R1706&gt;0,AG1706/R1706,0))/MAX(0.1,N(Parameter!$M$21)))</f>
        <v>0.0151515151515152</v>
      </c>
      <c r="AI1706" s="57" t="n">
        <f aca="false">AF1706*G1706</f>
        <v>22.8</v>
      </c>
      <c r="AJ1706" s="57" t="n">
        <f aca="false">ROUNDUP(MAX(J1706/IF(BZ1706&gt;0,BZ1706,MAX(0.1,N(Cockpit!$C$6))),CC1706)/BS1706,0)*BS1706</f>
        <v>30</v>
      </c>
      <c r="AK1706" s="58" t="n">
        <f aca="false">IF(AH1706&gt;0,J1706/AH1706,-1)</f>
        <v>0</v>
      </c>
      <c r="AL1706" s="58" t="n">
        <f aca="false">IF(AND(OR(BY1706="L1",BY1706="L23"),AH1706&gt;0),SUMIFS($AH$7:$AH$1843,$BY$7:$BY$1843,BY1706,$AK$7:$AK$1843,"&gt;"&amp;AK1706)+SUMIFS($AH$7:$AH$1843,$BY$7:$BY$1843,BY1706,$AK$7:$AK$1843,AK1706,$BQ$7:$BQ$1843,"&lt;="&amp;BQ1706),"")</f>
        <v>96.6538799364886</v>
      </c>
      <c r="AM1706" s="65" t="n">
        <f aca="false">IF(AL1706="",0,MAX(0,MIN(1,(IF(BY1706="L1",Parameter!$E$5,Parameter!$E$6+Parameter!$E$7)-(AL1706-AH1706))/AH1706)))</f>
        <v>1</v>
      </c>
      <c r="AN1706" s="57" t="n">
        <f aca="false">IF(LEFT(Cockpit!$I$5,1)="A",H1706,IF(CA1706=1,CB1706,IF(LEFT(Cockpit!$I$5,1)="B",AR1706,MAX(AR1706,H1706))))</f>
        <v>30</v>
      </c>
      <c r="AO1706" s="57" t="n">
        <f aca="false">IF(BT1706=1,0,ROUNDUP(AN1706/BS1706,0))</f>
        <v>1</v>
      </c>
      <c r="AP1706" s="59" t="n">
        <f aca="false">IF(CH1706&gt;0,CH1706*MAX(1,AN1706/X1706),IF(BT1706=1,IF(AN1706&lt;=0,0,BW1706*MAX(1,IF(H1706&gt;0,AN1706/H1706,1))),IF(R1706&gt;0,AO1706/R1706,0))/MAX(0.1,N(Parameter!$M$21)))</f>
        <v>0.0151515151515152</v>
      </c>
      <c r="AQ1706" s="57" t="n">
        <f aca="false">AN1706*G1706</f>
        <v>22.8</v>
      </c>
      <c r="AR1706" s="57" t="n">
        <f aca="false">ROUNDUP(MAX(J1706/IF(BZ1706&gt;0,BZ1706,MAX(0.1,N(Cockpit!$I$6))),CC1706)/BS1706,0)*BS1706</f>
        <v>30</v>
      </c>
      <c r="AS1706" s="58" t="n">
        <f aca="false">IF(AP1706&gt;0,J1706/AP1706,-1)</f>
        <v>0</v>
      </c>
      <c r="AT1706" s="58" t="n">
        <f aca="false">IF(AND(OR(BY1706="L1",BY1706="L23"),AP1706&gt;0),SUMIFS($AP$7:$AP$1843,$BY$7:$BY$1843,BY1706,$AS$7:$AS$1843,"&gt;"&amp;AS1706)+SUMIFS($AP$7:$AP$1843,$BY$7:$BY$1843,BY1706,$AS$7:$AS$1843,AS1706,$BQ$7:$BQ$1843,"&lt;="&amp;BQ1706),"")</f>
        <v>141.989350021959</v>
      </c>
      <c r="AU1706" s="65" t="n">
        <f aca="false">IF(AT1706="",0,MAX(0,MIN(1,(IF(BY1706="L1",Parameter!$E$5,Parameter!$E$6+Parameter!$E$7)-(AT1706-AP1706))/AP1706)))</f>
        <v>0</v>
      </c>
      <c r="AV1706" s="57" t="n">
        <f aca="false">IF(LEFT(Cockpit!$O$5,1)="A",H1706,IF(CA1706=1,CB1706,IF(LEFT(Cockpit!$O$5,1)="B",AZ1706,MAX(AZ1706,H1706))))</f>
        <v>30</v>
      </c>
      <c r="AW1706" s="57" t="n">
        <f aca="false">IF(BT1706=1,0,ROUNDUP(AV1706/BS1706,0))</f>
        <v>1</v>
      </c>
      <c r="AX1706" s="59" t="n">
        <f aca="false">IF(CH1706&gt;0,CH1706*MAX(1,AV1706/X1706),IF(BT1706=1,IF(AV1706&lt;=0,0,BW1706*MAX(1,IF(H1706&gt;0,AV1706/H1706,1))),IF(R1706&gt;0,AW1706/R1706,0))/MAX(0.1,N(Parameter!$M$21)))</f>
        <v>0.0151515151515152</v>
      </c>
      <c r="AY1706" s="57" t="n">
        <f aca="false">AV1706*G1706</f>
        <v>22.8</v>
      </c>
      <c r="AZ1706" s="57" t="n">
        <f aca="false">ROUNDUP(MAX(J1706/IF(BZ1706&gt;0,BZ1706,MAX(0.1,N(Cockpit!$O$6))),CC1706)/BS1706,0)*BS1706</f>
        <v>30</v>
      </c>
      <c r="BA1706" s="58" t="n">
        <f aca="false">IF(AX1706&gt;0,J1706/AX1706,-1)</f>
        <v>0</v>
      </c>
      <c r="BB1706" s="58" t="n">
        <f aca="false">IF(AND(OR(BY1706="L1",BY1706="L23"),AX1706&gt;0),SUMIFS($AX$7:$AX$1843,$BY$7:$BY$1843,BY1706,$BA$7:$BA$1843,"&gt;"&amp;BA1706)+SUMIFS($AX$7:$AX$1843,$BY$7:$BY$1843,BY1706,$BA$7:$BA$1843,BA1706,$BQ$7:$BQ$1843,"&lt;="&amp;BQ1706),"")</f>
        <v>132.819186851796</v>
      </c>
      <c r="BC1706" s="65" t="n">
        <f aca="false">IF(BB1706="",0,MAX(0,MIN(1,(IF(BY1706="L1",Parameter!$E$5,Parameter!$E$6+Parameter!$E$7)-(BB1706-AX1706))/AX1706)))</f>
        <v>0</v>
      </c>
      <c r="BD1706" s="55" t="str">
        <f aca="false">IF(AH1706&lt;=0,"",IF(BY1706="Aussen","Aussenlager",IF(BY1706="-","Nicht im Lift",IF(AM1706&gt;=1,"Lift",IF(AM1706&lt;=0,"Aussenlager","teilweise")))))</f>
        <v>Lift</v>
      </c>
      <c r="BE1706" s="55" t="str">
        <f aca="false">IF(AP1706&lt;=0,"",IF(BY1706="Aussen","Aussenlager",IF(BY1706="-","Nicht im Lift",IF(AU1706&gt;=1,"Lift",IF(AU1706&lt;=0,"Aussenlager","teilweise")))))</f>
        <v>Aussenlager</v>
      </c>
      <c r="BF1706" s="55" t="str">
        <f aca="false">IF(AX1706&lt;=0,"",IF(BY1706="Aussen","Aussenlager",IF(BY1706="-","Nicht im Lift",IF(BC1706&gt;=1,"Lift",IF(BC1706&lt;=0,"Aussenlager","teilweise")))))</f>
        <v>Aussenlager</v>
      </c>
      <c r="BG1706" s="55" t="str">
        <f aca="false">IF(A1706="","",IF(BP1706=1,"Neu; ","")&amp;IF(AND(BP1706=0,BK1706&lt;0),"negativer Bestand (Export "&amp;BK1706&amp;"); ","")&amp;IF(J1706&lt;=0,"Kein Verbrauch; ","")&amp;IF(CH1706&gt;0,"Lift "&amp;W1706&amp;" lt. Liftbericht (Fach "&amp;X1706&amp;" Stk); ",IF(BU1706=1,"Gebinde geschätzt ("&amp;T1706&amp;"); ",IF(BT1706=1,"Lose – Tablare geschätzt; ","")))&amp;IF(H1706&gt;AR1706,"Überbestand "&amp;ROUND(H1706-AR1706,0)&amp;" Stk / CHF "&amp;ROUND((H1706-AR1706)*G1706,0)&amp;"; ","")&amp;IF(AND(CA1706=1,CB1706&lt;CC1706),"MAX &lt; MB+LG; ","")&amp;IF(AND(CG1706&gt;0,CF1706*10&gt;CG1706),"zu hoch für Tablar; ","")&amp;IF(AND(BP1706=0,OR(CA1706=1,AA1706&lt;&gt;"",U1706&lt;&gt;"",V1706&lt;&gt;"",AB1706&lt;&gt;"")),"manuell übersteuert; ","")&amp;IF(AND(BT1706=0,R1706=0),"Gebinde unbekannt / Stellmass fehlt; ","")&amp;IF(AND(BT1706=0,N(V1706)&lt;=0,N(Q1706)&lt;=0),"Menge pro Gebinde fehlt (Ist = 1 Gebinde); ","")&amp;BO1706)</f>
        <v>Kein Verbrauch; nur im Artikelstamm (Bestand 23.06.2026)</v>
      </c>
      <c r="BH1706" s="55"/>
      <c r="BI1706" s="55"/>
      <c r="BJ1706" s="62"/>
      <c r="BK1706" s="57" t="n">
        <v>30</v>
      </c>
      <c r="BL1706" s="57" t="n">
        <v>0</v>
      </c>
      <c r="BM1706" s="56" t="n">
        <v>0</v>
      </c>
      <c r="BN1706" s="57" t="n">
        <v>0</v>
      </c>
      <c r="BO1706" s="55" t="s">
        <v>2575</v>
      </c>
      <c r="BP1706" s="60" t="n">
        <v>0</v>
      </c>
      <c r="BQ1706" s="60" t="n">
        <v>1706</v>
      </c>
      <c r="BR1706" s="55" t="str">
        <f aca="false">IF(U1706&lt;&gt;"",UPPER(TRIM(U1706)),IF(BU1706=1,UPPER(VLOOKUP(T1706,Parameter!$I$27:$K$29,2,0)),IF(P1706="","LOSE",P1706)))</f>
        <v>S33</v>
      </c>
      <c r="BS1706" s="57" t="n">
        <f aca="false">IF(BR1706="LOSE",1,IF(N(V1706)&gt;0,V1706,IF(BU1706=1,MAX(1,N(VLOOKUP(T1706,Parameter!$I$27:$K$29,3,0)),H1706,N(N1706)),IF(N(Q1706)&gt;0,Q1706,MAX(1,H1706)))))</f>
        <v>30</v>
      </c>
      <c r="BT1706" s="60" t="n">
        <f aca="false">IF(BR1706="LOSE",1,0)</f>
        <v>0</v>
      </c>
      <c r="BU1706" s="60" t="n">
        <f aca="false">IF(AND(U1706="",OR(P1706="",P1706="LOSE"),T1706&lt;&gt;"",N(S1706)&lt;=0,ISNUMBER(MATCH(T1706,Parameter!$I$27:$I$29,0))),1,0)</f>
        <v>0</v>
      </c>
      <c r="BV1706" s="55" t="str">
        <f aca="false">IF(AND(Parameter!$B$19="Ja",E1706&lt;&gt;"",ISNUMBER(MATCH(E1706,Parameter!$I$35:$I$52,0))),VLOOKUP(E1706,Parameter!$I$35:$J$52,2,0),IFERROR(VLOOKUP(D1706,Parameter!$A$35:$C$64,2,0),"Nein"))</f>
        <v>2+3</v>
      </c>
      <c r="BW1706" s="59" t="n">
        <f aca="false">IF(BT1706=0,0,IF(N(S1706)&gt;0,S1706,IFERROR(VLOOKUP(D1706,Parameter!$A$35:$C$64,3,0)+0,0)))</f>
        <v>0</v>
      </c>
      <c r="BX1706" s="55" t="n">
        <f aca="false">IF(AA1706&lt;&gt;"",AA1706,Z1706)</f>
        <v>3</v>
      </c>
      <c r="BY1706" s="55" t="str">
        <f aca="false">IF(BX1706=1,"L1",IF(OR(BX1706=2,BX1706=3),"L23",IF(BX1706="Aussen","Aussen","-")))</f>
        <v>L23</v>
      </c>
      <c r="BZ1706" s="66" t="n">
        <f aca="false">IF(N(AB1706)&gt;0,AB1706,0)</f>
        <v>0</v>
      </c>
      <c r="CA1706" s="60" t="n">
        <f aca="false">IF(ISNUMBER(AE1706),1,0)</f>
        <v>0</v>
      </c>
      <c r="CB1706" s="57" t="n">
        <f aca="false">N(AE1706)</f>
        <v>0</v>
      </c>
      <c r="CC1706" s="57" t="n">
        <f aca="false">N(M1706)+N(N1706)</f>
        <v>10</v>
      </c>
      <c r="CD1706" s="57" t="n">
        <f aca="false">ROUNDUP(H1706/BS1706,0)</f>
        <v>1</v>
      </c>
      <c r="CE1706" s="57" t="n">
        <f aca="false">ROUNDUP(CB1706/BS1706,0)</f>
        <v>0</v>
      </c>
      <c r="CF1706" s="60" t="n">
        <f aca="false">IF(BT1706=1,0,IFERROR(VLOOKUP(BR1706,'Gebinde-Kategorie'!$A$5:$M$45,5,0)+0,0))</f>
        <v>8</v>
      </c>
      <c r="CG1706" s="60" t="n">
        <f aca="false">IFERROR(IF(OR(BX1706=1,BX1706=2,BX1706=3),N(INDEX(Parameter!$I$5:$I$7,BX1706)),0),0)</f>
        <v>0</v>
      </c>
      <c r="CH1706" s="59" t="n">
        <f aca="false">IF(AND(Parameter!$B$21="Ja",ISNUMBER(W1706),N(X1706)&gt;0),IFERROR(N(INDEX(Parameter!$L$5:$L$7,W1706))*INDEX(Parameter!$E$5:$E$7,W1706)*X1706/SUMIFS($X$7:$X$1843,$W$7:$W$1843,W1706),0),0)</f>
        <v>0</v>
      </c>
    </row>
    <row r="1707" customFormat="false" ht="15" hidden="false" customHeight="false" outlineLevel="0" collapsed="false">
      <c r="A1707" s="55" t="s">
        <v>2954</v>
      </c>
      <c r="B1707" s="55" t="s">
        <v>1233</v>
      </c>
      <c r="C1707" s="55" t="s">
        <v>164</v>
      </c>
      <c r="D1707" s="55" t="s">
        <v>184</v>
      </c>
      <c r="E1707" s="55"/>
      <c r="F1707" s="55"/>
      <c r="G1707" s="56" t="n">
        <v>9.03</v>
      </c>
      <c r="H1707" s="57" t="n">
        <f aca="false">MAX(0,IF(AND(Parameter!$B$21="Ja",ISNUMBER(Y1707)),Y1707,IF(Parameter!$B$20="Jahresanfang 2025 + Export",BL1707+BK1707,BK1707)))</f>
        <v>3</v>
      </c>
      <c r="I1707" s="57" t="n">
        <f aca="false">H1707*G1707</f>
        <v>27.09</v>
      </c>
      <c r="J1707" s="57" t="n">
        <f aca="false">BN1707*Parameter!$B$18</f>
        <v>0</v>
      </c>
      <c r="K1707" s="58"/>
      <c r="L1707" s="59"/>
      <c r="M1707" s="57" t="n">
        <v>0</v>
      </c>
      <c r="N1707" s="57" t="n">
        <v>3</v>
      </c>
      <c r="O1707" s="60" t="n">
        <v>14</v>
      </c>
      <c r="P1707" s="55" t="s">
        <v>476</v>
      </c>
      <c r="Q1707" s="57" t="n">
        <v>20</v>
      </c>
      <c r="R1707" s="60" t="n">
        <f aca="false">IF(BT1707=1,0,IFERROR(VLOOKUP(BR1707,'Gebinde-Kategorie'!$A$5:$M$45,13,0)+0,0))</f>
        <v>66</v>
      </c>
      <c r="S1707" s="61"/>
      <c r="T1707" s="62"/>
      <c r="U1707" s="62"/>
      <c r="V1707" s="62"/>
      <c r="W1707" s="55"/>
      <c r="X1707" s="57"/>
      <c r="Y1707" s="57"/>
      <c r="Z1707" s="55" t="n">
        <f aca="false">IF(A1707="","",IF(AND(Parameter!$B$21="Ja",ISNUMBER(W1707)),W1707,IF(BV1707="2+3",IF(ISNUMBER(SEARCH("grosser Artikel",BO1707)),2,IFERROR(VLOOKUP(BR1707,Parameter!$F$35:$G$64,2,0),2)),IF(OR(BV1707="Nein",BV1707=""),"-",BV1707))))</f>
        <v>3</v>
      </c>
      <c r="AA1707" s="62"/>
      <c r="AB1707" s="63"/>
      <c r="AC1707" s="57" t="n">
        <f aca="false">AR1707</f>
        <v>20</v>
      </c>
      <c r="AD1707" s="57" t="n">
        <f aca="false">MAX(AR1707,H1707)</f>
        <v>20</v>
      </c>
      <c r="AE1707" s="64"/>
      <c r="AF1707" s="57" t="n">
        <f aca="false">IF(LEFT(Cockpit!$C$5,1)="A",H1707,IF(CA1707=1,CB1707,IF(LEFT(Cockpit!$C$5,1)="B",AJ1707,MAX(AJ1707,H1707))))</f>
        <v>3</v>
      </c>
      <c r="AG1707" s="57" t="n">
        <f aca="false">IF(BT1707=1,0,ROUNDUP(AF1707/BS1707,0))</f>
        <v>1</v>
      </c>
      <c r="AH1707" s="59" t="n">
        <f aca="false">IF(CH1707&gt;0,CH1707*MAX(1,AF1707/X1707),IF(BT1707=1,IF(AF1707&lt;=0,0,BW1707*MAX(1,IF(H1707&gt;0,AF1707/H1707,1))),IF(R1707&gt;0,AG1707/R1707,0))/MAX(0.1,N(Parameter!$M$21)))</f>
        <v>0.0151515151515152</v>
      </c>
      <c r="AI1707" s="57" t="n">
        <f aca="false">AF1707*G1707</f>
        <v>27.09</v>
      </c>
      <c r="AJ1707" s="57" t="n">
        <f aca="false">ROUNDUP(MAX(J1707/IF(BZ1707&gt;0,BZ1707,MAX(0.1,N(Cockpit!$C$6))),CC1707)/BS1707,0)*BS1707</f>
        <v>20</v>
      </c>
      <c r="AK1707" s="58" t="n">
        <f aca="false">IF(AH1707&gt;0,J1707/AH1707,-1)</f>
        <v>0</v>
      </c>
      <c r="AL1707" s="58" t="n">
        <f aca="false">IF(AND(OR(BY1707="L1",BY1707="L23"),AH1707&gt;0),SUMIFS($AH$7:$AH$1843,$BY$7:$BY$1843,BY1707,$AK$7:$AK$1843,"&gt;"&amp;AK1707)+SUMIFS($AH$7:$AH$1843,$BY$7:$BY$1843,BY1707,$AK$7:$AK$1843,AK1707,$BQ$7:$BQ$1843,"&lt;="&amp;BQ1707),"")</f>
        <v>96.6690314516402</v>
      </c>
      <c r="AM1707" s="65" t="n">
        <f aca="false">IF(AL1707="",0,MAX(0,MIN(1,(IF(BY1707="L1",Parameter!$E$5,Parameter!$E$6+Parameter!$E$7)-(AL1707-AH1707))/AH1707)))</f>
        <v>1</v>
      </c>
      <c r="AN1707" s="57" t="n">
        <f aca="false">IF(LEFT(Cockpit!$I$5,1)="A",H1707,IF(CA1707=1,CB1707,IF(LEFT(Cockpit!$I$5,1)="B",AR1707,MAX(AR1707,H1707))))</f>
        <v>20</v>
      </c>
      <c r="AO1707" s="57" t="n">
        <f aca="false">IF(BT1707=1,0,ROUNDUP(AN1707/BS1707,0))</f>
        <v>1</v>
      </c>
      <c r="AP1707" s="59" t="n">
        <f aca="false">IF(CH1707&gt;0,CH1707*MAX(1,AN1707/X1707),IF(BT1707=1,IF(AN1707&lt;=0,0,BW1707*MAX(1,IF(H1707&gt;0,AN1707/H1707,1))),IF(R1707&gt;0,AO1707/R1707,0))/MAX(0.1,N(Parameter!$M$21)))</f>
        <v>0.0151515151515152</v>
      </c>
      <c r="AQ1707" s="57" t="n">
        <f aca="false">AN1707*G1707</f>
        <v>180.6</v>
      </c>
      <c r="AR1707" s="57" t="n">
        <f aca="false">ROUNDUP(MAX(J1707/IF(BZ1707&gt;0,BZ1707,MAX(0.1,N(Cockpit!$I$6))),CC1707)/BS1707,0)*BS1707</f>
        <v>20</v>
      </c>
      <c r="AS1707" s="58" t="n">
        <f aca="false">IF(AP1707&gt;0,J1707/AP1707,-1)</f>
        <v>0</v>
      </c>
      <c r="AT1707" s="58" t="n">
        <f aca="false">IF(AND(OR(BY1707="L1",BY1707="L23"),AP1707&gt;0),SUMIFS($AP$7:$AP$1843,$BY$7:$BY$1843,BY1707,$AS$7:$AS$1843,"&gt;"&amp;AS1707)+SUMIFS($AP$7:$AP$1843,$BY$7:$BY$1843,BY1707,$AS$7:$AS$1843,AS1707,$BQ$7:$BQ$1843,"&lt;="&amp;BQ1707),"")</f>
        <v>142.00450153711</v>
      </c>
      <c r="AU1707" s="65" t="n">
        <f aca="false">IF(AT1707="",0,MAX(0,MIN(1,(IF(BY1707="L1",Parameter!$E$5,Parameter!$E$6+Parameter!$E$7)-(AT1707-AP1707))/AP1707)))</f>
        <v>0</v>
      </c>
      <c r="AV1707" s="57" t="n">
        <f aca="false">IF(LEFT(Cockpit!$O$5,1)="A",H1707,IF(CA1707=1,CB1707,IF(LEFT(Cockpit!$O$5,1)="B",AZ1707,MAX(AZ1707,H1707))))</f>
        <v>20</v>
      </c>
      <c r="AW1707" s="57" t="n">
        <f aca="false">IF(BT1707=1,0,ROUNDUP(AV1707/BS1707,0))</f>
        <v>1</v>
      </c>
      <c r="AX1707" s="59" t="n">
        <f aca="false">IF(CH1707&gt;0,CH1707*MAX(1,AV1707/X1707),IF(BT1707=1,IF(AV1707&lt;=0,0,BW1707*MAX(1,IF(H1707&gt;0,AV1707/H1707,1))),IF(R1707&gt;0,AW1707/R1707,0))/MAX(0.1,N(Parameter!$M$21)))</f>
        <v>0.0151515151515152</v>
      </c>
      <c r="AY1707" s="57" t="n">
        <f aca="false">AV1707*G1707</f>
        <v>180.6</v>
      </c>
      <c r="AZ1707" s="57" t="n">
        <f aca="false">ROUNDUP(MAX(J1707/IF(BZ1707&gt;0,BZ1707,MAX(0.1,N(Cockpit!$O$6))),CC1707)/BS1707,0)*BS1707</f>
        <v>20</v>
      </c>
      <c r="BA1707" s="58" t="n">
        <f aca="false">IF(AX1707&gt;0,J1707/AX1707,-1)</f>
        <v>0</v>
      </c>
      <c r="BB1707" s="58" t="n">
        <f aca="false">IF(AND(OR(BY1707="L1",BY1707="L23"),AX1707&gt;0),SUMIFS($AX$7:$AX$1843,$BY$7:$BY$1843,BY1707,$BA$7:$BA$1843,"&gt;"&amp;BA1707)+SUMIFS($AX$7:$AX$1843,$BY$7:$BY$1843,BY1707,$BA$7:$BA$1843,BA1707,$BQ$7:$BQ$1843,"&lt;="&amp;BQ1707),"")</f>
        <v>132.834338366947</v>
      </c>
      <c r="BC1707" s="65" t="n">
        <f aca="false">IF(BB1707="",0,MAX(0,MIN(1,(IF(BY1707="L1",Parameter!$E$5,Parameter!$E$6+Parameter!$E$7)-(BB1707-AX1707))/AX1707)))</f>
        <v>0</v>
      </c>
      <c r="BD1707" s="55" t="str">
        <f aca="false">IF(AH1707&lt;=0,"",IF(BY1707="Aussen","Aussenlager",IF(BY1707="-","Nicht im Lift",IF(AM1707&gt;=1,"Lift",IF(AM1707&lt;=0,"Aussenlager","teilweise")))))</f>
        <v>Lift</v>
      </c>
      <c r="BE1707" s="55" t="str">
        <f aca="false">IF(AP1707&lt;=0,"",IF(BY1707="Aussen","Aussenlager",IF(BY1707="-","Nicht im Lift",IF(AU1707&gt;=1,"Lift",IF(AU1707&lt;=0,"Aussenlager","teilweise")))))</f>
        <v>Aussenlager</v>
      </c>
      <c r="BF1707" s="55" t="str">
        <f aca="false">IF(AX1707&lt;=0,"",IF(BY1707="Aussen","Aussenlager",IF(BY1707="-","Nicht im Lift",IF(BC1707&gt;=1,"Lift",IF(BC1707&lt;=0,"Aussenlager","teilweise")))))</f>
        <v>Aussenlager</v>
      </c>
      <c r="BG1707" s="55" t="str">
        <f aca="false">IF(A1707="","",IF(BP1707=1,"Neu; ","")&amp;IF(AND(BP1707=0,BK1707&lt;0),"negativer Bestand (Export "&amp;BK1707&amp;"); ","")&amp;IF(J1707&lt;=0,"Kein Verbrauch; ","")&amp;IF(CH1707&gt;0,"Lift "&amp;W1707&amp;" lt. Liftbericht (Fach "&amp;X1707&amp;" Stk); ",IF(BU1707=1,"Gebinde geschätzt ("&amp;T1707&amp;"); ",IF(BT1707=1,"Lose – Tablare geschätzt; ","")))&amp;IF(H1707&gt;AR1707,"Überbestand "&amp;ROUND(H1707-AR1707,0)&amp;" Stk / CHF "&amp;ROUND((H1707-AR1707)*G1707,0)&amp;"; ","")&amp;IF(AND(CA1707=1,CB1707&lt;CC1707),"MAX &lt; MB+LG; ","")&amp;IF(AND(CG1707&gt;0,CF1707*10&gt;CG1707),"zu hoch für Tablar; ","")&amp;IF(AND(BP1707=0,OR(CA1707=1,AA1707&lt;&gt;"",U1707&lt;&gt;"",V1707&lt;&gt;"",AB1707&lt;&gt;"")),"manuell übersteuert; ","")&amp;IF(AND(BT1707=0,R1707=0),"Gebinde unbekannt / Stellmass fehlt; ","")&amp;IF(AND(BT1707=0,N(V1707)&lt;=0,N(Q1707)&lt;=0),"Menge pro Gebinde fehlt (Ist = 1 Gebinde); ","")&amp;BO1707)</f>
        <v>Kein Verbrauch; nur im Artikelstamm (Bestand 23.06.2026); Verb.Lager</v>
      </c>
      <c r="BH1707" s="55"/>
      <c r="BI1707" s="55"/>
      <c r="BJ1707" s="62"/>
      <c r="BK1707" s="57" t="n">
        <v>3</v>
      </c>
      <c r="BL1707" s="57" t="n">
        <v>0</v>
      </c>
      <c r="BM1707" s="56" t="n">
        <v>0</v>
      </c>
      <c r="BN1707" s="57" t="n">
        <v>0</v>
      </c>
      <c r="BO1707" s="55" t="s">
        <v>2569</v>
      </c>
      <c r="BP1707" s="60" t="n">
        <v>0</v>
      </c>
      <c r="BQ1707" s="60" t="n">
        <v>1707</v>
      </c>
      <c r="BR1707" s="55" t="str">
        <f aca="false">IF(U1707&lt;&gt;"",UPPER(TRIM(U1707)),IF(BU1707=1,UPPER(VLOOKUP(T1707,Parameter!$I$27:$K$29,2,0)),IF(P1707="","LOSE",P1707)))</f>
        <v>S33</v>
      </c>
      <c r="BS1707" s="57" t="n">
        <f aca="false">IF(BR1707="LOSE",1,IF(N(V1707)&gt;0,V1707,IF(BU1707=1,MAX(1,N(VLOOKUP(T1707,Parameter!$I$27:$K$29,3,0)),H1707,N(N1707)),IF(N(Q1707)&gt;0,Q1707,MAX(1,H1707)))))</f>
        <v>20</v>
      </c>
      <c r="BT1707" s="60" t="n">
        <f aca="false">IF(BR1707="LOSE",1,0)</f>
        <v>0</v>
      </c>
      <c r="BU1707" s="60" t="n">
        <f aca="false">IF(AND(U1707="",OR(P1707="",P1707="LOSE"),T1707&lt;&gt;"",N(S1707)&lt;=0,ISNUMBER(MATCH(T1707,Parameter!$I$27:$I$29,0))),1,0)</f>
        <v>0</v>
      </c>
      <c r="BV1707" s="55" t="str">
        <f aca="false">IF(AND(Parameter!$B$19="Ja",E1707&lt;&gt;"",ISNUMBER(MATCH(E1707,Parameter!$I$35:$I$52,0))),VLOOKUP(E1707,Parameter!$I$35:$J$52,2,0),IFERROR(VLOOKUP(D1707,Parameter!$A$35:$C$64,2,0),"Nein"))</f>
        <v>2+3</v>
      </c>
      <c r="BW1707" s="59" t="n">
        <f aca="false">IF(BT1707=0,0,IF(N(S1707)&gt;0,S1707,IFERROR(VLOOKUP(D1707,Parameter!$A$35:$C$64,3,0)+0,0)))</f>
        <v>0</v>
      </c>
      <c r="BX1707" s="55" t="n">
        <f aca="false">IF(AA1707&lt;&gt;"",AA1707,Z1707)</f>
        <v>3</v>
      </c>
      <c r="BY1707" s="55" t="str">
        <f aca="false">IF(BX1707=1,"L1",IF(OR(BX1707=2,BX1707=3),"L23",IF(BX1707="Aussen","Aussen","-")))</f>
        <v>L23</v>
      </c>
      <c r="BZ1707" s="66" t="n">
        <f aca="false">IF(N(AB1707)&gt;0,AB1707,0)</f>
        <v>0</v>
      </c>
      <c r="CA1707" s="60" t="n">
        <f aca="false">IF(ISNUMBER(AE1707),1,0)</f>
        <v>0</v>
      </c>
      <c r="CB1707" s="57" t="n">
        <f aca="false">N(AE1707)</f>
        <v>0</v>
      </c>
      <c r="CC1707" s="57" t="n">
        <f aca="false">N(M1707)+N(N1707)</f>
        <v>3</v>
      </c>
      <c r="CD1707" s="57" t="n">
        <f aca="false">ROUNDUP(H1707/BS1707,0)</f>
        <v>1</v>
      </c>
      <c r="CE1707" s="57" t="n">
        <f aca="false">ROUNDUP(CB1707/BS1707,0)</f>
        <v>0</v>
      </c>
      <c r="CF1707" s="60" t="n">
        <f aca="false">IF(BT1707=1,0,IFERROR(VLOOKUP(BR1707,'Gebinde-Kategorie'!$A$5:$M$45,5,0)+0,0))</f>
        <v>8</v>
      </c>
      <c r="CG1707" s="60" t="n">
        <f aca="false">IFERROR(IF(OR(BX1707=1,BX1707=2,BX1707=3),N(INDEX(Parameter!$I$5:$I$7,BX1707)),0),0)</f>
        <v>0</v>
      </c>
      <c r="CH1707" s="59" t="n">
        <f aca="false">IF(AND(Parameter!$B$21="Ja",ISNUMBER(W1707),N(X1707)&gt;0),IFERROR(N(INDEX(Parameter!$L$5:$L$7,W1707))*INDEX(Parameter!$E$5:$E$7,W1707)*X1707/SUMIFS($X$7:$X$1843,$W$7:$W$1843,W1707),0),0)</f>
        <v>0</v>
      </c>
    </row>
    <row r="1708" customFormat="false" ht="15" hidden="false" customHeight="false" outlineLevel="0" collapsed="false">
      <c r="A1708" s="55" t="s">
        <v>2955</v>
      </c>
      <c r="B1708" s="55" t="s">
        <v>2956</v>
      </c>
      <c r="C1708" s="55" t="s">
        <v>164</v>
      </c>
      <c r="D1708" s="55" t="s">
        <v>184</v>
      </c>
      <c r="E1708" s="55"/>
      <c r="F1708" s="55"/>
      <c r="G1708" s="56" t="n">
        <v>18</v>
      </c>
      <c r="H1708" s="57" t="n">
        <f aca="false">MAX(0,IF(AND(Parameter!$B$21="Ja",ISNUMBER(Y1708)),Y1708,IF(Parameter!$B$20="Jahresanfang 2025 + Export",BL1708+BK1708,BK1708)))</f>
        <v>7</v>
      </c>
      <c r="I1708" s="57" t="n">
        <f aca="false">H1708*G1708</f>
        <v>126</v>
      </c>
      <c r="J1708" s="57" t="n">
        <f aca="false">BN1708*Parameter!$B$18</f>
        <v>0</v>
      </c>
      <c r="K1708" s="58"/>
      <c r="L1708" s="59"/>
      <c r="M1708" s="57" t="n">
        <v>0</v>
      </c>
      <c r="N1708" s="57" t="n">
        <v>1</v>
      </c>
      <c r="O1708" s="60" t="n">
        <v>35</v>
      </c>
      <c r="P1708" s="55" t="s">
        <v>476</v>
      </c>
      <c r="Q1708" s="57" t="n">
        <v>6</v>
      </c>
      <c r="R1708" s="60" t="n">
        <f aca="false">IF(BT1708=1,0,IFERROR(VLOOKUP(BR1708,'Gebinde-Kategorie'!$A$5:$M$45,13,0)+0,0))</f>
        <v>66</v>
      </c>
      <c r="S1708" s="61"/>
      <c r="T1708" s="62"/>
      <c r="U1708" s="62"/>
      <c r="V1708" s="62"/>
      <c r="W1708" s="55"/>
      <c r="X1708" s="57"/>
      <c r="Y1708" s="57"/>
      <c r="Z1708" s="55" t="n">
        <f aca="false">IF(A1708="","",IF(AND(Parameter!$B$21="Ja",ISNUMBER(W1708)),W1708,IF(BV1708="2+3",IF(ISNUMBER(SEARCH("grosser Artikel",BO1708)),2,IFERROR(VLOOKUP(BR1708,Parameter!$F$35:$G$64,2,0),2)),IF(OR(BV1708="Nein",BV1708=""),"-",BV1708))))</f>
        <v>3</v>
      </c>
      <c r="AA1708" s="62"/>
      <c r="AB1708" s="63"/>
      <c r="AC1708" s="57" t="n">
        <f aca="false">AR1708</f>
        <v>6</v>
      </c>
      <c r="AD1708" s="57" t="n">
        <f aca="false">MAX(AR1708,H1708)</f>
        <v>7</v>
      </c>
      <c r="AE1708" s="64"/>
      <c r="AF1708" s="57" t="n">
        <f aca="false">IF(LEFT(Cockpit!$C$5,1)="A",H1708,IF(CA1708=1,CB1708,IF(LEFT(Cockpit!$C$5,1)="B",AJ1708,MAX(AJ1708,H1708))))</f>
        <v>7</v>
      </c>
      <c r="AG1708" s="57" t="n">
        <f aca="false">IF(BT1708=1,0,ROUNDUP(AF1708/BS1708,0))</f>
        <v>2</v>
      </c>
      <c r="AH1708" s="59" t="n">
        <f aca="false">IF(CH1708&gt;0,CH1708*MAX(1,AF1708/X1708),IF(BT1708=1,IF(AF1708&lt;=0,0,BW1708*MAX(1,IF(H1708&gt;0,AF1708/H1708,1))),IF(R1708&gt;0,AG1708/R1708,0))/MAX(0.1,N(Parameter!$M$21)))</f>
        <v>0.0303030303030303</v>
      </c>
      <c r="AI1708" s="57" t="n">
        <f aca="false">AF1708*G1708</f>
        <v>126</v>
      </c>
      <c r="AJ1708" s="57" t="n">
        <f aca="false">ROUNDUP(MAX(J1708/IF(BZ1708&gt;0,BZ1708,MAX(0.1,N(Cockpit!$C$6))),CC1708)/BS1708,0)*BS1708</f>
        <v>6</v>
      </c>
      <c r="AK1708" s="58" t="n">
        <f aca="false">IF(AH1708&gt;0,J1708/AH1708,-1)</f>
        <v>0</v>
      </c>
      <c r="AL1708" s="58" t="n">
        <f aca="false">IF(AND(OR(BY1708="L1",BY1708="L23"),AH1708&gt;0),SUMIFS($AH$7:$AH$1843,$BY$7:$BY$1843,BY1708,$AK$7:$AK$1843,"&gt;"&amp;AK1708)+SUMIFS($AH$7:$AH$1843,$BY$7:$BY$1843,BY1708,$AK$7:$AK$1843,AK1708,$BQ$7:$BQ$1843,"&lt;="&amp;BQ1708),"")</f>
        <v>96.6993344819432</v>
      </c>
      <c r="AM1708" s="65" t="n">
        <f aca="false">IF(AL1708="",0,MAX(0,MIN(1,(IF(BY1708="L1",Parameter!$E$5,Parameter!$E$6+Parameter!$E$7)-(AL1708-AH1708))/AH1708)))</f>
        <v>1</v>
      </c>
      <c r="AN1708" s="57" t="n">
        <f aca="false">IF(LEFT(Cockpit!$I$5,1)="A",H1708,IF(CA1708=1,CB1708,IF(LEFT(Cockpit!$I$5,1)="B",AR1708,MAX(AR1708,H1708))))</f>
        <v>7</v>
      </c>
      <c r="AO1708" s="57" t="n">
        <f aca="false">IF(BT1708=1,0,ROUNDUP(AN1708/BS1708,0))</f>
        <v>2</v>
      </c>
      <c r="AP1708" s="59" t="n">
        <f aca="false">IF(CH1708&gt;0,CH1708*MAX(1,AN1708/X1708),IF(BT1708=1,IF(AN1708&lt;=0,0,BW1708*MAX(1,IF(H1708&gt;0,AN1708/H1708,1))),IF(R1708&gt;0,AO1708/R1708,0))/MAX(0.1,N(Parameter!$M$21)))</f>
        <v>0.0303030303030303</v>
      </c>
      <c r="AQ1708" s="57" t="n">
        <f aca="false">AN1708*G1708</f>
        <v>126</v>
      </c>
      <c r="AR1708" s="57" t="n">
        <f aca="false">ROUNDUP(MAX(J1708/IF(BZ1708&gt;0,BZ1708,MAX(0.1,N(Cockpit!$I$6))),CC1708)/BS1708,0)*BS1708</f>
        <v>6</v>
      </c>
      <c r="AS1708" s="58" t="n">
        <f aca="false">IF(AP1708&gt;0,J1708/AP1708,-1)</f>
        <v>0</v>
      </c>
      <c r="AT1708" s="58" t="n">
        <f aca="false">IF(AND(OR(BY1708="L1",BY1708="L23"),AP1708&gt;0),SUMIFS($AP$7:$AP$1843,$BY$7:$BY$1843,BY1708,$AS$7:$AS$1843,"&gt;"&amp;AS1708)+SUMIFS($AP$7:$AP$1843,$BY$7:$BY$1843,BY1708,$AS$7:$AS$1843,AS1708,$BQ$7:$BQ$1843,"&lt;="&amp;BQ1708),"")</f>
        <v>142.034804567413</v>
      </c>
      <c r="AU1708" s="65" t="n">
        <f aca="false">IF(AT1708="",0,MAX(0,MIN(1,(IF(BY1708="L1",Parameter!$E$5,Parameter!$E$6+Parameter!$E$7)-(AT1708-AP1708))/AP1708)))</f>
        <v>0</v>
      </c>
      <c r="AV1708" s="57" t="n">
        <f aca="false">IF(LEFT(Cockpit!$O$5,1)="A",H1708,IF(CA1708=1,CB1708,IF(LEFT(Cockpit!$O$5,1)="B",AZ1708,MAX(AZ1708,H1708))))</f>
        <v>7</v>
      </c>
      <c r="AW1708" s="57" t="n">
        <f aca="false">IF(BT1708=1,0,ROUNDUP(AV1708/BS1708,0))</f>
        <v>2</v>
      </c>
      <c r="AX1708" s="59" t="n">
        <f aca="false">IF(CH1708&gt;0,CH1708*MAX(1,AV1708/X1708),IF(BT1708=1,IF(AV1708&lt;=0,0,BW1708*MAX(1,IF(H1708&gt;0,AV1708/H1708,1))),IF(R1708&gt;0,AW1708/R1708,0))/MAX(0.1,N(Parameter!$M$21)))</f>
        <v>0.0303030303030303</v>
      </c>
      <c r="AY1708" s="57" t="n">
        <f aca="false">AV1708*G1708</f>
        <v>126</v>
      </c>
      <c r="AZ1708" s="57" t="n">
        <f aca="false">ROUNDUP(MAX(J1708/IF(BZ1708&gt;0,BZ1708,MAX(0.1,N(Cockpit!$O$6))),CC1708)/BS1708,0)*BS1708</f>
        <v>6</v>
      </c>
      <c r="BA1708" s="58" t="n">
        <f aca="false">IF(AX1708&gt;0,J1708/AX1708,-1)</f>
        <v>0</v>
      </c>
      <c r="BB1708" s="58" t="n">
        <f aca="false">IF(AND(OR(BY1708="L1",BY1708="L23"),AX1708&gt;0),SUMIFS($AX$7:$AX$1843,$BY$7:$BY$1843,BY1708,$BA$7:$BA$1843,"&gt;"&amp;BA1708)+SUMIFS($AX$7:$AX$1843,$BY$7:$BY$1843,BY1708,$BA$7:$BA$1843,BA1708,$BQ$7:$BQ$1843,"&lt;="&amp;BQ1708),"")</f>
        <v>132.86464139725</v>
      </c>
      <c r="BC1708" s="65" t="n">
        <f aca="false">IF(BB1708="",0,MAX(0,MIN(1,(IF(BY1708="L1",Parameter!$E$5,Parameter!$E$6+Parameter!$E$7)-(BB1708-AX1708))/AX1708)))</f>
        <v>0</v>
      </c>
      <c r="BD1708" s="55" t="str">
        <f aca="false">IF(AH1708&lt;=0,"",IF(BY1708="Aussen","Aussenlager",IF(BY1708="-","Nicht im Lift",IF(AM1708&gt;=1,"Lift",IF(AM1708&lt;=0,"Aussenlager","teilweise")))))</f>
        <v>Lift</v>
      </c>
      <c r="BE1708" s="55" t="str">
        <f aca="false">IF(AP1708&lt;=0,"",IF(BY1708="Aussen","Aussenlager",IF(BY1708="-","Nicht im Lift",IF(AU1708&gt;=1,"Lift",IF(AU1708&lt;=0,"Aussenlager","teilweise")))))</f>
        <v>Aussenlager</v>
      </c>
      <c r="BF1708" s="55" t="str">
        <f aca="false">IF(AX1708&lt;=0,"",IF(BY1708="Aussen","Aussenlager",IF(BY1708="-","Nicht im Lift",IF(BC1708&gt;=1,"Lift",IF(BC1708&lt;=0,"Aussenlager","teilweise")))))</f>
        <v>Aussenlager</v>
      </c>
      <c r="BG1708" s="55" t="str">
        <f aca="false">IF(A1708="","",IF(BP1708=1,"Neu; ","")&amp;IF(AND(BP1708=0,BK1708&lt;0),"negativer Bestand (Export "&amp;BK1708&amp;"); ","")&amp;IF(J1708&lt;=0,"Kein Verbrauch; ","")&amp;IF(CH1708&gt;0,"Lift "&amp;W1708&amp;" lt. Liftbericht (Fach "&amp;X1708&amp;" Stk); ",IF(BU1708=1,"Gebinde geschätzt ("&amp;T1708&amp;"); ",IF(BT1708=1,"Lose – Tablare geschätzt; ","")))&amp;IF(H1708&gt;AR1708,"Überbestand "&amp;ROUND(H1708-AR1708,0)&amp;" Stk / CHF "&amp;ROUND((H1708-AR1708)*G1708,0)&amp;"; ","")&amp;IF(AND(CA1708=1,CB1708&lt;CC1708),"MAX &lt; MB+LG; ","")&amp;IF(AND(CG1708&gt;0,CF1708*10&gt;CG1708),"zu hoch für Tablar; ","")&amp;IF(AND(BP1708=0,OR(CA1708=1,AA1708&lt;&gt;"",U1708&lt;&gt;"",V1708&lt;&gt;"",AB1708&lt;&gt;"")),"manuell übersteuert; ","")&amp;IF(AND(BT1708=0,R1708=0),"Gebinde unbekannt / Stellmass fehlt; ","")&amp;IF(AND(BT1708=0,N(V1708)&lt;=0,N(Q1708)&lt;=0),"Menge pro Gebinde fehlt (Ist = 1 Gebinde); ","")&amp;BO1708)</f>
        <v>Kein Verbrauch; Überbestand 1 Stk / CHF 18; nur im Artikelstamm (Bestand 23.06.2026); Neuer Art.</v>
      </c>
      <c r="BH1708" s="55"/>
      <c r="BI1708" s="55"/>
      <c r="BJ1708" s="62"/>
      <c r="BK1708" s="57" t="n">
        <v>7</v>
      </c>
      <c r="BL1708" s="57" t="n">
        <v>0</v>
      </c>
      <c r="BM1708" s="56" t="n">
        <v>0</v>
      </c>
      <c r="BN1708" s="57" t="n">
        <v>0</v>
      </c>
      <c r="BO1708" s="55" t="s">
        <v>2873</v>
      </c>
      <c r="BP1708" s="60" t="n">
        <v>0</v>
      </c>
      <c r="BQ1708" s="60" t="n">
        <v>1708</v>
      </c>
      <c r="BR1708" s="55" t="str">
        <f aca="false">IF(U1708&lt;&gt;"",UPPER(TRIM(U1708)),IF(BU1708=1,UPPER(VLOOKUP(T1708,Parameter!$I$27:$K$29,2,0)),IF(P1708="","LOSE",P1708)))</f>
        <v>S33</v>
      </c>
      <c r="BS1708" s="57" t="n">
        <f aca="false">IF(BR1708="LOSE",1,IF(N(V1708)&gt;0,V1708,IF(BU1708=1,MAX(1,N(VLOOKUP(T1708,Parameter!$I$27:$K$29,3,0)),H1708,N(N1708)),IF(N(Q1708)&gt;0,Q1708,MAX(1,H1708)))))</f>
        <v>6</v>
      </c>
      <c r="BT1708" s="60" t="n">
        <f aca="false">IF(BR1708="LOSE",1,0)</f>
        <v>0</v>
      </c>
      <c r="BU1708" s="60" t="n">
        <f aca="false">IF(AND(U1708="",OR(P1708="",P1708="LOSE"),T1708&lt;&gt;"",N(S1708)&lt;=0,ISNUMBER(MATCH(T1708,Parameter!$I$27:$I$29,0))),1,0)</f>
        <v>0</v>
      </c>
      <c r="BV1708" s="55" t="str">
        <f aca="false">IF(AND(Parameter!$B$19="Ja",E1708&lt;&gt;"",ISNUMBER(MATCH(E1708,Parameter!$I$35:$I$52,0))),VLOOKUP(E1708,Parameter!$I$35:$J$52,2,0),IFERROR(VLOOKUP(D1708,Parameter!$A$35:$C$64,2,0),"Nein"))</f>
        <v>2+3</v>
      </c>
      <c r="BW1708" s="59" t="n">
        <f aca="false">IF(BT1708=0,0,IF(N(S1708)&gt;0,S1708,IFERROR(VLOOKUP(D1708,Parameter!$A$35:$C$64,3,0)+0,0)))</f>
        <v>0</v>
      </c>
      <c r="BX1708" s="55" t="n">
        <f aca="false">IF(AA1708&lt;&gt;"",AA1708,Z1708)</f>
        <v>3</v>
      </c>
      <c r="BY1708" s="55" t="str">
        <f aca="false">IF(BX1708=1,"L1",IF(OR(BX1708=2,BX1708=3),"L23",IF(BX1708="Aussen","Aussen","-")))</f>
        <v>L23</v>
      </c>
      <c r="BZ1708" s="66" t="n">
        <f aca="false">IF(N(AB1708)&gt;0,AB1708,0)</f>
        <v>0</v>
      </c>
      <c r="CA1708" s="60" t="n">
        <f aca="false">IF(ISNUMBER(AE1708),1,0)</f>
        <v>0</v>
      </c>
      <c r="CB1708" s="57" t="n">
        <f aca="false">N(AE1708)</f>
        <v>0</v>
      </c>
      <c r="CC1708" s="57" t="n">
        <f aca="false">N(M1708)+N(N1708)</f>
        <v>1</v>
      </c>
      <c r="CD1708" s="57" t="n">
        <f aca="false">ROUNDUP(H1708/BS1708,0)</f>
        <v>2</v>
      </c>
      <c r="CE1708" s="57" t="n">
        <f aca="false">ROUNDUP(CB1708/BS1708,0)</f>
        <v>0</v>
      </c>
      <c r="CF1708" s="60" t="n">
        <f aca="false">IF(BT1708=1,0,IFERROR(VLOOKUP(BR1708,'Gebinde-Kategorie'!$A$5:$M$45,5,0)+0,0))</f>
        <v>8</v>
      </c>
      <c r="CG1708" s="60" t="n">
        <f aca="false">IFERROR(IF(OR(BX1708=1,BX1708=2,BX1708=3),N(INDEX(Parameter!$I$5:$I$7,BX1708)),0),0)</f>
        <v>0</v>
      </c>
      <c r="CH1708" s="59" t="n">
        <f aca="false">IF(AND(Parameter!$B$21="Ja",ISNUMBER(W1708),N(X1708)&gt;0),IFERROR(N(INDEX(Parameter!$L$5:$L$7,W1708))*INDEX(Parameter!$E$5:$E$7,W1708)*X1708/SUMIFS($X$7:$X$1843,$W$7:$W$1843,W1708),0),0)</f>
        <v>0</v>
      </c>
    </row>
    <row r="1709" customFormat="false" ht="15" hidden="false" customHeight="false" outlineLevel="0" collapsed="false">
      <c r="A1709" s="55" t="s">
        <v>2957</v>
      </c>
      <c r="B1709" s="55" t="s">
        <v>1022</v>
      </c>
      <c r="C1709" s="55" t="s">
        <v>164</v>
      </c>
      <c r="D1709" s="55" t="s">
        <v>184</v>
      </c>
      <c r="E1709" s="55"/>
      <c r="F1709" s="55"/>
      <c r="G1709" s="56" t="n">
        <v>3.72</v>
      </c>
      <c r="H1709" s="57" t="n">
        <f aca="false">MAX(0,IF(AND(Parameter!$B$21="Ja",ISNUMBER(Y1709)),Y1709,IF(Parameter!$B$20="Jahresanfang 2025 + Export",BL1709+BK1709,BK1709)))</f>
        <v>58</v>
      </c>
      <c r="I1709" s="57" t="n">
        <f aca="false">H1709*G1709</f>
        <v>215.76</v>
      </c>
      <c r="J1709" s="57" t="n">
        <f aca="false">BN1709*Parameter!$B$18</f>
        <v>0</v>
      </c>
      <c r="K1709" s="58"/>
      <c r="L1709" s="59"/>
      <c r="M1709" s="57" t="n">
        <v>0</v>
      </c>
      <c r="N1709" s="57" t="n">
        <v>1</v>
      </c>
      <c r="O1709" s="60" t="n">
        <v>28</v>
      </c>
      <c r="P1709" s="55" t="s">
        <v>426</v>
      </c>
      <c r="Q1709" s="57" t="n">
        <v>30</v>
      </c>
      <c r="R1709" s="60" t="n">
        <f aca="false">IF(BT1709=1,0,IFERROR(VLOOKUP(BR1709,'Gebinde-Kategorie'!$A$5:$M$45,13,0)+0,0))</f>
        <v>198</v>
      </c>
      <c r="S1709" s="61"/>
      <c r="T1709" s="62"/>
      <c r="U1709" s="62"/>
      <c r="V1709" s="62"/>
      <c r="W1709" s="55"/>
      <c r="X1709" s="57"/>
      <c r="Y1709" s="57"/>
      <c r="Z1709" s="55" t="n">
        <f aca="false">IF(A1709="","",IF(AND(Parameter!$B$21="Ja",ISNUMBER(W1709)),W1709,IF(BV1709="2+3",IF(ISNUMBER(SEARCH("grosser Artikel",BO1709)),2,IFERROR(VLOOKUP(BR1709,Parameter!$F$35:$G$64,2,0),2)),IF(OR(BV1709="Nein",BV1709=""),"-",BV1709))))</f>
        <v>3</v>
      </c>
      <c r="AA1709" s="62"/>
      <c r="AB1709" s="63"/>
      <c r="AC1709" s="57" t="n">
        <f aca="false">AR1709</f>
        <v>30</v>
      </c>
      <c r="AD1709" s="57" t="n">
        <f aca="false">MAX(AR1709,H1709)</f>
        <v>58</v>
      </c>
      <c r="AE1709" s="64"/>
      <c r="AF1709" s="57" t="n">
        <f aca="false">IF(LEFT(Cockpit!$C$5,1)="A",H1709,IF(CA1709=1,CB1709,IF(LEFT(Cockpit!$C$5,1)="B",AJ1709,MAX(AJ1709,H1709))))</f>
        <v>58</v>
      </c>
      <c r="AG1709" s="57" t="n">
        <f aca="false">IF(BT1709=1,0,ROUNDUP(AF1709/BS1709,0))</f>
        <v>2</v>
      </c>
      <c r="AH1709" s="59" t="n">
        <f aca="false">IF(CH1709&gt;0,CH1709*MAX(1,AF1709/X1709),IF(BT1709=1,IF(AF1709&lt;=0,0,BW1709*MAX(1,IF(H1709&gt;0,AF1709/H1709,1))),IF(R1709&gt;0,AG1709/R1709,0))/MAX(0.1,N(Parameter!$M$21)))</f>
        <v>0.0101010101010101</v>
      </c>
      <c r="AI1709" s="57" t="n">
        <f aca="false">AF1709*G1709</f>
        <v>215.76</v>
      </c>
      <c r="AJ1709" s="57" t="n">
        <f aca="false">ROUNDUP(MAX(J1709/IF(BZ1709&gt;0,BZ1709,MAX(0.1,N(Cockpit!$C$6))),CC1709)/BS1709,0)*BS1709</f>
        <v>30</v>
      </c>
      <c r="AK1709" s="58" t="n">
        <f aca="false">IF(AH1709&gt;0,J1709/AH1709,-1)</f>
        <v>0</v>
      </c>
      <c r="AL1709" s="58" t="n">
        <f aca="false">IF(AND(OR(BY1709="L1",BY1709="L23"),AH1709&gt;0),SUMIFS($AH$7:$AH$1843,$BY$7:$BY$1843,BY1709,$AK$7:$AK$1843,"&gt;"&amp;AK1709)+SUMIFS($AH$7:$AH$1843,$BY$7:$BY$1843,BY1709,$AK$7:$AK$1843,AK1709,$BQ$7:$BQ$1843,"&lt;="&amp;BQ1709),"")</f>
        <v>96.7094354920442</v>
      </c>
      <c r="AM1709" s="65" t="n">
        <f aca="false">IF(AL1709="",0,MAX(0,MIN(1,(IF(BY1709="L1",Parameter!$E$5,Parameter!$E$6+Parameter!$E$7)-(AL1709-AH1709))/AH1709)))</f>
        <v>1</v>
      </c>
      <c r="AN1709" s="57" t="n">
        <f aca="false">IF(LEFT(Cockpit!$I$5,1)="A",H1709,IF(CA1709=1,CB1709,IF(LEFT(Cockpit!$I$5,1)="B",AR1709,MAX(AR1709,H1709))))</f>
        <v>58</v>
      </c>
      <c r="AO1709" s="57" t="n">
        <f aca="false">IF(BT1709=1,0,ROUNDUP(AN1709/BS1709,0))</f>
        <v>2</v>
      </c>
      <c r="AP1709" s="59" t="n">
        <f aca="false">IF(CH1709&gt;0,CH1709*MAX(1,AN1709/X1709),IF(BT1709=1,IF(AN1709&lt;=0,0,BW1709*MAX(1,IF(H1709&gt;0,AN1709/H1709,1))),IF(R1709&gt;0,AO1709/R1709,0))/MAX(0.1,N(Parameter!$M$21)))</f>
        <v>0.0101010101010101</v>
      </c>
      <c r="AQ1709" s="57" t="n">
        <f aca="false">AN1709*G1709</f>
        <v>215.76</v>
      </c>
      <c r="AR1709" s="57" t="n">
        <f aca="false">ROUNDUP(MAX(J1709/IF(BZ1709&gt;0,BZ1709,MAX(0.1,N(Cockpit!$I$6))),CC1709)/BS1709,0)*BS1709</f>
        <v>30</v>
      </c>
      <c r="AS1709" s="58" t="n">
        <f aca="false">IF(AP1709&gt;0,J1709/AP1709,-1)</f>
        <v>0</v>
      </c>
      <c r="AT1709" s="58" t="n">
        <f aca="false">IF(AND(OR(BY1709="L1",BY1709="L23"),AP1709&gt;0),SUMIFS($AP$7:$AP$1843,$BY$7:$BY$1843,BY1709,$AS$7:$AS$1843,"&gt;"&amp;AS1709)+SUMIFS($AP$7:$AP$1843,$BY$7:$BY$1843,BY1709,$AS$7:$AS$1843,AS1709,$BQ$7:$BQ$1843,"&lt;="&amp;BQ1709),"")</f>
        <v>142.044905577514</v>
      </c>
      <c r="AU1709" s="65" t="n">
        <f aca="false">IF(AT1709="",0,MAX(0,MIN(1,(IF(BY1709="L1",Parameter!$E$5,Parameter!$E$6+Parameter!$E$7)-(AT1709-AP1709))/AP1709)))</f>
        <v>0</v>
      </c>
      <c r="AV1709" s="57" t="n">
        <f aca="false">IF(LEFT(Cockpit!$O$5,1)="A",H1709,IF(CA1709=1,CB1709,IF(LEFT(Cockpit!$O$5,1)="B",AZ1709,MAX(AZ1709,H1709))))</f>
        <v>58</v>
      </c>
      <c r="AW1709" s="57" t="n">
        <f aca="false">IF(BT1709=1,0,ROUNDUP(AV1709/BS1709,0))</f>
        <v>2</v>
      </c>
      <c r="AX1709" s="59" t="n">
        <f aca="false">IF(CH1709&gt;0,CH1709*MAX(1,AV1709/X1709),IF(BT1709=1,IF(AV1709&lt;=0,0,BW1709*MAX(1,IF(H1709&gt;0,AV1709/H1709,1))),IF(R1709&gt;0,AW1709/R1709,0))/MAX(0.1,N(Parameter!$M$21)))</f>
        <v>0.0101010101010101</v>
      </c>
      <c r="AY1709" s="57" t="n">
        <f aca="false">AV1709*G1709</f>
        <v>215.76</v>
      </c>
      <c r="AZ1709" s="57" t="n">
        <f aca="false">ROUNDUP(MAX(J1709/IF(BZ1709&gt;0,BZ1709,MAX(0.1,N(Cockpit!$O$6))),CC1709)/BS1709,0)*BS1709</f>
        <v>30</v>
      </c>
      <c r="BA1709" s="58" t="n">
        <f aca="false">IF(AX1709&gt;0,J1709/AX1709,-1)</f>
        <v>0</v>
      </c>
      <c r="BB1709" s="58" t="n">
        <f aca="false">IF(AND(OR(BY1709="L1",BY1709="L23"),AX1709&gt;0),SUMIFS($AX$7:$AX$1843,$BY$7:$BY$1843,BY1709,$BA$7:$BA$1843,"&gt;"&amp;BA1709)+SUMIFS($AX$7:$AX$1843,$BY$7:$BY$1843,BY1709,$BA$7:$BA$1843,BA1709,$BQ$7:$BQ$1843,"&lt;="&amp;BQ1709),"")</f>
        <v>132.874742407351</v>
      </c>
      <c r="BC1709" s="65" t="n">
        <f aca="false">IF(BB1709="",0,MAX(0,MIN(1,(IF(BY1709="L1",Parameter!$E$5,Parameter!$E$6+Parameter!$E$7)-(BB1709-AX1709))/AX1709)))</f>
        <v>0</v>
      </c>
      <c r="BD1709" s="55" t="str">
        <f aca="false">IF(AH1709&lt;=0,"",IF(BY1709="Aussen","Aussenlager",IF(BY1709="-","Nicht im Lift",IF(AM1709&gt;=1,"Lift",IF(AM1709&lt;=0,"Aussenlager","teilweise")))))</f>
        <v>Lift</v>
      </c>
      <c r="BE1709" s="55" t="str">
        <f aca="false">IF(AP1709&lt;=0,"",IF(BY1709="Aussen","Aussenlager",IF(BY1709="-","Nicht im Lift",IF(AU1709&gt;=1,"Lift",IF(AU1709&lt;=0,"Aussenlager","teilweise")))))</f>
        <v>Aussenlager</v>
      </c>
      <c r="BF1709" s="55" t="str">
        <f aca="false">IF(AX1709&lt;=0,"",IF(BY1709="Aussen","Aussenlager",IF(BY1709="-","Nicht im Lift",IF(BC1709&gt;=1,"Lift",IF(BC1709&lt;=0,"Aussenlager","teilweise")))))</f>
        <v>Aussenlager</v>
      </c>
      <c r="BG1709" s="55" t="str">
        <f aca="false">IF(A1709="","",IF(BP1709=1,"Neu; ","")&amp;IF(AND(BP1709=0,BK1709&lt;0),"negativer Bestand (Export "&amp;BK1709&amp;"); ","")&amp;IF(J1709&lt;=0,"Kein Verbrauch; ","")&amp;IF(CH1709&gt;0,"Lift "&amp;W1709&amp;" lt. Liftbericht (Fach "&amp;X1709&amp;" Stk); ",IF(BU1709=1,"Gebinde geschätzt ("&amp;T1709&amp;"); ",IF(BT1709=1,"Lose – Tablare geschätzt; ","")))&amp;IF(H1709&gt;AR1709,"Überbestand "&amp;ROUND(H1709-AR1709,0)&amp;" Stk / CHF "&amp;ROUND((H1709-AR1709)*G1709,0)&amp;"; ","")&amp;IF(AND(CA1709=1,CB1709&lt;CC1709),"MAX &lt; MB+LG; ","")&amp;IF(AND(CG1709&gt;0,CF1709*10&gt;CG1709),"zu hoch für Tablar; ","")&amp;IF(AND(BP1709=0,OR(CA1709=1,AA1709&lt;&gt;"",U1709&lt;&gt;"",V1709&lt;&gt;"",AB1709&lt;&gt;"")),"manuell übersteuert; ","")&amp;IF(AND(BT1709=0,R1709=0),"Gebinde unbekannt / Stellmass fehlt; ","")&amp;IF(AND(BT1709=0,N(V1709)&lt;=0,N(Q1709)&lt;=0),"Menge pro Gebinde fehlt (Ist = 1 Gebinde); ","")&amp;BO1709)</f>
        <v>Kein Verbrauch; Überbestand 28 Stk / CHF 104; nur im Artikelstamm (Bestand 23.06.2026)</v>
      </c>
      <c r="BH1709" s="55"/>
      <c r="BI1709" s="55"/>
      <c r="BJ1709" s="62"/>
      <c r="BK1709" s="57" t="n">
        <v>58</v>
      </c>
      <c r="BL1709" s="57" t="n">
        <v>0</v>
      </c>
      <c r="BM1709" s="56" t="n">
        <v>0</v>
      </c>
      <c r="BN1709" s="57" t="n">
        <v>0</v>
      </c>
      <c r="BO1709" s="55" t="s">
        <v>2575</v>
      </c>
      <c r="BP1709" s="60" t="n">
        <v>0</v>
      </c>
      <c r="BQ1709" s="60" t="n">
        <v>1709</v>
      </c>
      <c r="BR1709" s="55" t="str">
        <f aca="false">IF(U1709&lt;&gt;"",UPPER(TRIM(U1709)),IF(BU1709=1,UPPER(VLOOKUP(T1709,Parameter!$I$27:$K$29,2,0)),IF(P1709="","LOSE",P1709)))</f>
        <v>S22</v>
      </c>
      <c r="BS1709" s="57" t="n">
        <f aca="false">IF(BR1709="LOSE",1,IF(N(V1709)&gt;0,V1709,IF(BU1709=1,MAX(1,N(VLOOKUP(T1709,Parameter!$I$27:$K$29,3,0)),H1709,N(N1709)),IF(N(Q1709)&gt;0,Q1709,MAX(1,H1709)))))</f>
        <v>30</v>
      </c>
      <c r="BT1709" s="60" t="n">
        <f aca="false">IF(BR1709="LOSE",1,0)</f>
        <v>0</v>
      </c>
      <c r="BU1709" s="60" t="n">
        <f aca="false">IF(AND(U1709="",OR(P1709="",P1709="LOSE"),T1709&lt;&gt;"",N(S1709)&lt;=0,ISNUMBER(MATCH(T1709,Parameter!$I$27:$I$29,0))),1,0)</f>
        <v>0</v>
      </c>
      <c r="BV1709" s="55" t="str">
        <f aca="false">IF(AND(Parameter!$B$19="Ja",E1709&lt;&gt;"",ISNUMBER(MATCH(E1709,Parameter!$I$35:$I$52,0))),VLOOKUP(E1709,Parameter!$I$35:$J$52,2,0),IFERROR(VLOOKUP(D1709,Parameter!$A$35:$C$64,2,0),"Nein"))</f>
        <v>2+3</v>
      </c>
      <c r="BW1709" s="59" t="n">
        <f aca="false">IF(BT1709=0,0,IF(N(S1709)&gt;0,S1709,IFERROR(VLOOKUP(D1709,Parameter!$A$35:$C$64,3,0)+0,0)))</f>
        <v>0</v>
      </c>
      <c r="BX1709" s="55" t="n">
        <f aca="false">IF(AA1709&lt;&gt;"",AA1709,Z1709)</f>
        <v>3</v>
      </c>
      <c r="BY1709" s="55" t="str">
        <f aca="false">IF(BX1709=1,"L1",IF(OR(BX1709=2,BX1709=3),"L23",IF(BX1709="Aussen","Aussen","-")))</f>
        <v>L23</v>
      </c>
      <c r="BZ1709" s="66" t="n">
        <f aca="false">IF(N(AB1709)&gt;0,AB1709,0)</f>
        <v>0</v>
      </c>
      <c r="CA1709" s="60" t="n">
        <f aca="false">IF(ISNUMBER(AE1709),1,0)</f>
        <v>0</v>
      </c>
      <c r="CB1709" s="57" t="n">
        <f aca="false">N(AE1709)</f>
        <v>0</v>
      </c>
      <c r="CC1709" s="57" t="n">
        <f aca="false">N(M1709)+N(N1709)</f>
        <v>1</v>
      </c>
      <c r="CD1709" s="57" t="n">
        <f aca="false">ROUNDUP(H1709/BS1709,0)</f>
        <v>2</v>
      </c>
      <c r="CE1709" s="57" t="n">
        <f aca="false">ROUNDUP(CB1709/BS1709,0)</f>
        <v>0</v>
      </c>
      <c r="CF1709" s="60" t="n">
        <f aca="false">IF(BT1709=1,0,IFERROR(VLOOKUP(BR1709,'Gebinde-Kategorie'!$A$5:$M$45,5,0)+0,0))</f>
        <v>8</v>
      </c>
      <c r="CG1709" s="60" t="n">
        <f aca="false">IFERROR(IF(OR(BX1709=1,BX1709=2,BX1709=3),N(INDEX(Parameter!$I$5:$I$7,BX1709)),0),0)</f>
        <v>0</v>
      </c>
      <c r="CH1709" s="59" t="n">
        <f aca="false">IF(AND(Parameter!$B$21="Ja",ISNUMBER(W1709),N(X1709)&gt;0),IFERROR(N(INDEX(Parameter!$L$5:$L$7,W1709))*INDEX(Parameter!$E$5:$E$7,W1709)*X1709/SUMIFS($X$7:$X$1843,$W$7:$W$1843,W1709),0),0)</f>
        <v>0</v>
      </c>
    </row>
    <row r="1710" customFormat="false" ht="15" hidden="false" customHeight="false" outlineLevel="0" collapsed="false">
      <c r="A1710" s="55" t="s">
        <v>2958</v>
      </c>
      <c r="B1710" s="55" t="s">
        <v>2959</v>
      </c>
      <c r="C1710" s="55" t="s">
        <v>164</v>
      </c>
      <c r="D1710" s="55" t="s">
        <v>184</v>
      </c>
      <c r="E1710" s="55"/>
      <c r="F1710" s="55"/>
      <c r="G1710" s="56" t="n">
        <v>36.4</v>
      </c>
      <c r="H1710" s="57" t="n">
        <f aca="false">MAX(0,IF(AND(Parameter!$B$21="Ja",ISNUMBER(Y1710)),Y1710,IF(Parameter!$B$20="Jahresanfang 2025 + Export",BL1710+BK1710,BK1710)))</f>
        <v>1</v>
      </c>
      <c r="I1710" s="57" t="n">
        <f aca="false">H1710*G1710</f>
        <v>36.4</v>
      </c>
      <c r="J1710" s="57" t="n">
        <f aca="false">BN1710*Parameter!$B$18</f>
        <v>0</v>
      </c>
      <c r="K1710" s="58"/>
      <c r="L1710" s="59"/>
      <c r="M1710" s="57" t="n">
        <v>0</v>
      </c>
      <c r="N1710" s="57" t="n">
        <v>6</v>
      </c>
      <c r="O1710" s="60" t="n">
        <v>0</v>
      </c>
      <c r="P1710" s="55" t="s">
        <v>426</v>
      </c>
      <c r="Q1710" s="57" t="n">
        <v>2</v>
      </c>
      <c r="R1710" s="60" t="n">
        <f aca="false">IF(BT1710=1,0,IFERROR(VLOOKUP(BR1710,'Gebinde-Kategorie'!$A$5:$M$45,13,0)+0,0))</f>
        <v>198</v>
      </c>
      <c r="S1710" s="61"/>
      <c r="T1710" s="62"/>
      <c r="U1710" s="62"/>
      <c r="V1710" s="62"/>
      <c r="W1710" s="55"/>
      <c r="X1710" s="57"/>
      <c r="Y1710" s="57"/>
      <c r="Z1710" s="55" t="n">
        <f aca="false">IF(A1710="","",IF(AND(Parameter!$B$21="Ja",ISNUMBER(W1710)),W1710,IF(BV1710="2+3",IF(ISNUMBER(SEARCH("grosser Artikel",BO1710)),2,IFERROR(VLOOKUP(BR1710,Parameter!$F$35:$G$64,2,0),2)),IF(OR(BV1710="Nein",BV1710=""),"-",BV1710))))</f>
        <v>3</v>
      </c>
      <c r="AA1710" s="62"/>
      <c r="AB1710" s="63"/>
      <c r="AC1710" s="57" t="n">
        <f aca="false">AR1710</f>
        <v>6</v>
      </c>
      <c r="AD1710" s="57" t="n">
        <f aca="false">MAX(AR1710,H1710)</f>
        <v>6</v>
      </c>
      <c r="AE1710" s="64"/>
      <c r="AF1710" s="57" t="n">
        <f aca="false">IF(LEFT(Cockpit!$C$5,1)="A",H1710,IF(CA1710=1,CB1710,IF(LEFT(Cockpit!$C$5,1)="B",AJ1710,MAX(AJ1710,H1710))))</f>
        <v>1</v>
      </c>
      <c r="AG1710" s="57" t="n">
        <f aca="false">IF(BT1710=1,0,ROUNDUP(AF1710/BS1710,0))</f>
        <v>1</v>
      </c>
      <c r="AH1710" s="59" t="n">
        <f aca="false">IF(CH1710&gt;0,CH1710*MAX(1,AF1710/X1710),IF(BT1710=1,IF(AF1710&lt;=0,0,BW1710*MAX(1,IF(H1710&gt;0,AF1710/H1710,1))),IF(R1710&gt;0,AG1710/R1710,0))/MAX(0.1,N(Parameter!$M$21)))</f>
        <v>0.00505050505050505</v>
      </c>
      <c r="AI1710" s="57" t="n">
        <f aca="false">AF1710*G1710</f>
        <v>36.4</v>
      </c>
      <c r="AJ1710" s="57" t="n">
        <f aca="false">ROUNDUP(MAX(J1710/IF(BZ1710&gt;0,BZ1710,MAX(0.1,N(Cockpit!$C$6))),CC1710)/BS1710,0)*BS1710</f>
        <v>6</v>
      </c>
      <c r="AK1710" s="58" t="n">
        <f aca="false">IF(AH1710&gt;0,J1710/AH1710,-1)</f>
        <v>0</v>
      </c>
      <c r="AL1710" s="58" t="n">
        <f aca="false">IF(AND(OR(BY1710="L1",BY1710="L23"),AH1710&gt;0),SUMIFS($AH$7:$AH$1843,$BY$7:$BY$1843,BY1710,$AK$7:$AK$1843,"&gt;"&amp;AK1710)+SUMIFS($AH$7:$AH$1843,$BY$7:$BY$1843,BY1710,$AK$7:$AK$1843,AK1710,$BQ$7:$BQ$1843,"&lt;="&amp;BQ1710),"")</f>
        <v>96.7144859970947</v>
      </c>
      <c r="AM1710" s="65" t="n">
        <f aca="false">IF(AL1710="",0,MAX(0,MIN(1,(IF(BY1710="L1",Parameter!$E$5,Parameter!$E$6+Parameter!$E$7)-(AL1710-AH1710))/AH1710)))</f>
        <v>1</v>
      </c>
      <c r="AN1710" s="57" t="n">
        <f aca="false">IF(LEFT(Cockpit!$I$5,1)="A",H1710,IF(CA1710=1,CB1710,IF(LEFT(Cockpit!$I$5,1)="B",AR1710,MAX(AR1710,H1710))))</f>
        <v>6</v>
      </c>
      <c r="AO1710" s="57" t="n">
        <f aca="false">IF(BT1710=1,0,ROUNDUP(AN1710/BS1710,0))</f>
        <v>3</v>
      </c>
      <c r="AP1710" s="59" t="n">
        <f aca="false">IF(CH1710&gt;0,CH1710*MAX(1,AN1710/X1710),IF(BT1710=1,IF(AN1710&lt;=0,0,BW1710*MAX(1,IF(H1710&gt;0,AN1710/H1710,1))),IF(R1710&gt;0,AO1710/R1710,0))/MAX(0.1,N(Parameter!$M$21)))</f>
        <v>0.0151515151515152</v>
      </c>
      <c r="AQ1710" s="57" t="n">
        <f aca="false">AN1710*G1710</f>
        <v>218.4</v>
      </c>
      <c r="AR1710" s="57" t="n">
        <f aca="false">ROUNDUP(MAX(J1710/IF(BZ1710&gt;0,BZ1710,MAX(0.1,N(Cockpit!$I$6))),CC1710)/BS1710,0)*BS1710</f>
        <v>6</v>
      </c>
      <c r="AS1710" s="58" t="n">
        <f aca="false">IF(AP1710&gt;0,J1710/AP1710,-1)</f>
        <v>0</v>
      </c>
      <c r="AT1710" s="58" t="n">
        <f aca="false">IF(AND(OR(BY1710="L1",BY1710="L23"),AP1710&gt;0),SUMIFS($AP$7:$AP$1843,$BY$7:$BY$1843,BY1710,$AS$7:$AS$1843,"&gt;"&amp;AS1710)+SUMIFS($AP$7:$AP$1843,$BY$7:$BY$1843,BY1710,$AS$7:$AS$1843,AS1710,$BQ$7:$BQ$1843,"&lt;="&amp;BQ1710),"")</f>
        <v>142.060057092666</v>
      </c>
      <c r="AU1710" s="65" t="n">
        <f aca="false">IF(AT1710="",0,MAX(0,MIN(1,(IF(BY1710="L1",Parameter!$E$5,Parameter!$E$6+Parameter!$E$7)-(AT1710-AP1710))/AP1710)))</f>
        <v>0</v>
      </c>
      <c r="AV1710" s="57" t="n">
        <f aca="false">IF(LEFT(Cockpit!$O$5,1)="A",H1710,IF(CA1710=1,CB1710,IF(LEFT(Cockpit!$O$5,1)="B",AZ1710,MAX(AZ1710,H1710))))</f>
        <v>6</v>
      </c>
      <c r="AW1710" s="57" t="n">
        <f aca="false">IF(BT1710=1,0,ROUNDUP(AV1710/BS1710,0))</f>
        <v>3</v>
      </c>
      <c r="AX1710" s="59" t="n">
        <f aca="false">IF(CH1710&gt;0,CH1710*MAX(1,AV1710/X1710),IF(BT1710=1,IF(AV1710&lt;=0,0,BW1710*MAX(1,IF(H1710&gt;0,AV1710/H1710,1))),IF(R1710&gt;0,AW1710/R1710,0))/MAX(0.1,N(Parameter!$M$21)))</f>
        <v>0.0151515151515152</v>
      </c>
      <c r="AY1710" s="57" t="n">
        <f aca="false">AV1710*G1710</f>
        <v>218.4</v>
      </c>
      <c r="AZ1710" s="57" t="n">
        <f aca="false">ROUNDUP(MAX(J1710/IF(BZ1710&gt;0,BZ1710,MAX(0.1,N(Cockpit!$O$6))),CC1710)/BS1710,0)*BS1710</f>
        <v>6</v>
      </c>
      <c r="BA1710" s="58" t="n">
        <f aca="false">IF(AX1710&gt;0,J1710/AX1710,-1)</f>
        <v>0</v>
      </c>
      <c r="BB1710" s="58" t="n">
        <f aca="false">IF(AND(OR(BY1710="L1",BY1710="L23"),AX1710&gt;0),SUMIFS($AX$7:$AX$1843,$BY$7:$BY$1843,BY1710,$BA$7:$BA$1843,"&gt;"&amp;BA1710)+SUMIFS($AX$7:$AX$1843,$BY$7:$BY$1843,BY1710,$BA$7:$BA$1843,BA1710,$BQ$7:$BQ$1843,"&lt;="&amp;BQ1710),"")</f>
        <v>132.889893922503</v>
      </c>
      <c r="BC1710" s="65" t="n">
        <f aca="false">IF(BB1710="",0,MAX(0,MIN(1,(IF(BY1710="L1",Parameter!$E$5,Parameter!$E$6+Parameter!$E$7)-(BB1710-AX1710))/AX1710)))</f>
        <v>0</v>
      </c>
      <c r="BD1710" s="55" t="str">
        <f aca="false">IF(AH1710&lt;=0,"",IF(BY1710="Aussen","Aussenlager",IF(BY1710="-","Nicht im Lift",IF(AM1710&gt;=1,"Lift",IF(AM1710&lt;=0,"Aussenlager","teilweise")))))</f>
        <v>Lift</v>
      </c>
      <c r="BE1710" s="55" t="str">
        <f aca="false">IF(AP1710&lt;=0,"",IF(BY1710="Aussen","Aussenlager",IF(BY1710="-","Nicht im Lift",IF(AU1710&gt;=1,"Lift",IF(AU1710&lt;=0,"Aussenlager","teilweise")))))</f>
        <v>Aussenlager</v>
      </c>
      <c r="BF1710" s="55" t="str">
        <f aca="false">IF(AX1710&lt;=0,"",IF(BY1710="Aussen","Aussenlager",IF(BY1710="-","Nicht im Lift",IF(BC1710&gt;=1,"Lift",IF(BC1710&lt;=0,"Aussenlager","teilweise")))))</f>
        <v>Aussenlager</v>
      </c>
      <c r="BG1710" s="55" t="str">
        <f aca="false">IF(A1710="","",IF(BP1710=1,"Neu; ","")&amp;IF(AND(BP1710=0,BK1710&lt;0),"negativer Bestand (Export "&amp;BK1710&amp;"); ","")&amp;IF(J1710&lt;=0,"Kein Verbrauch; ","")&amp;IF(CH1710&gt;0,"Lift "&amp;W1710&amp;" lt. Liftbericht (Fach "&amp;X1710&amp;" Stk); ",IF(BU1710=1,"Gebinde geschätzt ("&amp;T1710&amp;"); ",IF(BT1710=1,"Lose – Tablare geschätzt; ","")))&amp;IF(H1710&gt;AR1710,"Überbestand "&amp;ROUND(H1710-AR1710,0)&amp;" Stk / CHF "&amp;ROUND((H1710-AR1710)*G1710,0)&amp;"; ","")&amp;IF(AND(CA1710=1,CB1710&lt;CC1710),"MAX &lt; MB+LG; ","")&amp;IF(AND(CG1710&gt;0,CF1710*10&gt;CG1710),"zu hoch für Tablar; ","")&amp;IF(AND(BP1710=0,OR(CA1710=1,AA1710&lt;&gt;"",U1710&lt;&gt;"",V1710&lt;&gt;"",AB1710&lt;&gt;"")),"manuell übersteuert; ","")&amp;IF(AND(BT1710=0,R1710=0),"Gebinde unbekannt / Stellmass fehlt; ","")&amp;IF(AND(BT1710=0,N(V1710)&lt;=0,N(Q1710)&lt;=0),"Menge pro Gebinde fehlt (Ist = 1 Gebinde); ","")&amp;BO1710)</f>
        <v>Kein Verbrauch; nur im Artikelstamm (Bestand 23.06.2026); i.o</v>
      </c>
      <c r="BH1710" s="55"/>
      <c r="BI1710" s="55"/>
      <c r="BJ1710" s="62"/>
      <c r="BK1710" s="57" t="n">
        <v>1</v>
      </c>
      <c r="BL1710" s="57" t="n">
        <v>0</v>
      </c>
      <c r="BM1710" s="56" t="n">
        <v>0</v>
      </c>
      <c r="BN1710" s="57" t="n">
        <v>0</v>
      </c>
      <c r="BO1710" s="55" t="s">
        <v>2960</v>
      </c>
      <c r="BP1710" s="60" t="n">
        <v>0</v>
      </c>
      <c r="BQ1710" s="60" t="n">
        <v>1710</v>
      </c>
      <c r="BR1710" s="55" t="str">
        <f aca="false">IF(U1710&lt;&gt;"",UPPER(TRIM(U1710)),IF(BU1710=1,UPPER(VLOOKUP(T1710,Parameter!$I$27:$K$29,2,0)),IF(P1710="","LOSE",P1710)))</f>
        <v>S22</v>
      </c>
      <c r="BS1710" s="57" t="n">
        <f aca="false">IF(BR1710="LOSE",1,IF(N(V1710)&gt;0,V1710,IF(BU1710=1,MAX(1,N(VLOOKUP(T1710,Parameter!$I$27:$K$29,3,0)),H1710,N(N1710)),IF(N(Q1710)&gt;0,Q1710,MAX(1,H1710)))))</f>
        <v>2</v>
      </c>
      <c r="BT1710" s="60" t="n">
        <f aca="false">IF(BR1710="LOSE",1,0)</f>
        <v>0</v>
      </c>
      <c r="BU1710" s="60" t="n">
        <f aca="false">IF(AND(U1710="",OR(P1710="",P1710="LOSE"),T1710&lt;&gt;"",N(S1710)&lt;=0,ISNUMBER(MATCH(T1710,Parameter!$I$27:$I$29,0))),1,0)</f>
        <v>0</v>
      </c>
      <c r="BV1710" s="55" t="str">
        <f aca="false">IF(AND(Parameter!$B$19="Ja",E1710&lt;&gt;"",ISNUMBER(MATCH(E1710,Parameter!$I$35:$I$52,0))),VLOOKUP(E1710,Parameter!$I$35:$J$52,2,0),IFERROR(VLOOKUP(D1710,Parameter!$A$35:$C$64,2,0),"Nein"))</f>
        <v>2+3</v>
      </c>
      <c r="BW1710" s="59" t="n">
        <f aca="false">IF(BT1710=0,0,IF(N(S1710)&gt;0,S1710,IFERROR(VLOOKUP(D1710,Parameter!$A$35:$C$64,3,0)+0,0)))</f>
        <v>0</v>
      </c>
      <c r="BX1710" s="55" t="n">
        <f aca="false">IF(AA1710&lt;&gt;"",AA1710,Z1710)</f>
        <v>3</v>
      </c>
      <c r="BY1710" s="55" t="str">
        <f aca="false">IF(BX1710=1,"L1",IF(OR(BX1710=2,BX1710=3),"L23",IF(BX1710="Aussen","Aussen","-")))</f>
        <v>L23</v>
      </c>
      <c r="BZ1710" s="66" t="n">
        <f aca="false">IF(N(AB1710)&gt;0,AB1710,0)</f>
        <v>0</v>
      </c>
      <c r="CA1710" s="60" t="n">
        <f aca="false">IF(ISNUMBER(AE1710),1,0)</f>
        <v>0</v>
      </c>
      <c r="CB1710" s="57" t="n">
        <f aca="false">N(AE1710)</f>
        <v>0</v>
      </c>
      <c r="CC1710" s="57" t="n">
        <f aca="false">N(M1710)+N(N1710)</f>
        <v>6</v>
      </c>
      <c r="CD1710" s="57" t="n">
        <f aca="false">ROUNDUP(H1710/BS1710,0)</f>
        <v>1</v>
      </c>
      <c r="CE1710" s="57" t="n">
        <f aca="false">ROUNDUP(CB1710/BS1710,0)</f>
        <v>0</v>
      </c>
      <c r="CF1710" s="60" t="n">
        <f aca="false">IF(BT1710=1,0,IFERROR(VLOOKUP(BR1710,'Gebinde-Kategorie'!$A$5:$M$45,5,0)+0,0))</f>
        <v>8</v>
      </c>
      <c r="CG1710" s="60" t="n">
        <f aca="false">IFERROR(IF(OR(BX1710=1,BX1710=2,BX1710=3),N(INDEX(Parameter!$I$5:$I$7,BX1710)),0),0)</f>
        <v>0</v>
      </c>
      <c r="CH1710" s="59" t="n">
        <f aca="false">IF(AND(Parameter!$B$21="Ja",ISNUMBER(W1710),N(X1710)&gt;0),IFERROR(N(INDEX(Parameter!$L$5:$L$7,W1710))*INDEX(Parameter!$E$5:$E$7,W1710)*X1710/SUMIFS($X$7:$X$1843,$W$7:$W$1843,W1710),0),0)</f>
        <v>0</v>
      </c>
    </row>
    <row r="1711" customFormat="false" ht="15" hidden="false" customHeight="false" outlineLevel="0" collapsed="false">
      <c r="A1711" s="55" t="s">
        <v>2961</v>
      </c>
      <c r="B1711" s="55" t="s">
        <v>2962</v>
      </c>
      <c r="C1711" s="55" t="s">
        <v>164</v>
      </c>
      <c r="D1711" s="55" t="s">
        <v>184</v>
      </c>
      <c r="E1711" s="55"/>
      <c r="F1711" s="55"/>
      <c r="G1711" s="56" t="n">
        <v>85.5</v>
      </c>
      <c r="H1711" s="57" t="n">
        <f aca="false">MAX(0,IF(AND(Parameter!$B$21="Ja",ISNUMBER(Y1711)),Y1711,IF(Parameter!$B$20="Jahresanfang 2025 + Export",BL1711+BK1711,BK1711)))</f>
        <v>22</v>
      </c>
      <c r="I1711" s="57" t="n">
        <f aca="false">H1711*G1711</f>
        <v>1881</v>
      </c>
      <c r="J1711" s="57" t="n">
        <f aca="false">BN1711*Parameter!$B$18</f>
        <v>0</v>
      </c>
      <c r="K1711" s="58"/>
      <c r="L1711" s="59"/>
      <c r="M1711" s="57" t="n">
        <v>0</v>
      </c>
      <c r="N1711" s="57" t="n">
        <v>3</v>
      </c>
      <c r="O1711" s="60" t="n">
        <v>14</v>
      </c>
      <c r="P1711" s="55" t="s">
        <v>421</v>
      </c>
      <c r="Q1711" s="57" t="n">
        <v>22</v>
      </c>
      <c r="R1711" s="60" t="n">
        <f aca="false">IF(BT1711=1,0,IFERROR(VLOOKUP(BR1711,'Gebinde-Kategorie'!$A$5:$M$45,13,0)+0,0))</f>
        <v>132</v>
      </c>
      <c r="S1711" s="61"/>
      <c r="T1711" s="62"/>
      <c r="U1711" s="62"/>
      <c r="V1711" s="62"/>
      <c r="W1711" s="55"/>
      <c r="X1711" s="57"/>
      <c r="Y1711" s="57"/>
      <c r="Z1711" s="55" t="n">
        <f aca="false">IF(A1711="","",IF(AND(Parameter!$B$21="Ja",ISNUMBER(W1711)),W1711,IF(BV1711="2+3",IF(ISNUMBER(SEARCH("grosser Artikel",BO1711)),2,IFERROR(VLOOKUP(BR1711,Parameter!$F$35:$G$64,2,0),2)),IF(OR(BV1711="Nein",BV1711=""),"-",BV1711))))</f>
        <v>3</v>
      </c>
      <c r="AA1711" s="62"/>
      <c r="AB1711" s="63"/>
      <c r="AC1711" s="57" t="n">
        <f aca="false">AR1711</f>
        <v>22</v>
      </c>
      <c r="AD1711" s="57" t="n">
        <f aca="false">MAX(AR1711,H1711)</f>
        <v>22</v>
      </c>
      <c r="AE1711" s="64"/>
      <c r="AF1711" s="57" t="n">
        <f aca="false">IF(LEFT(Cockpit!$C$5,1)="A",H1711,IF(CA1711=1,CB1711,IF(LEFT(Cockpit!$C$5,1)="B",AJ1711,MAX(AJ1711,H1711))))</f>
        <v>22</v>
      </c>
      <c r="AG1711" s="57" t="n">
        <f aca="false">IF(BT1711=1,0,ROUNDUP(AF1711/BS1711,0))</f>
        <v>1</v>
      </c>
      <c r="AH1711" s="59" t="n">
        <f aca="false">IF(CH1711&gt;0,CH1711*MAX(1,AF1711/X1711),IF(BT1711=1,IF(AF1711&lt;=0,0,BW1711*MAX(1,IF(H1711&gt;0,AF1711/H1711,1))),IF(R1711&gt;0,AG1711/R1711,0))/MAX(0.1,N(Parameter!$M$21)))</f>
        <v>0.00757575757575758</v>
      </c>
      <c r="AI1711" s="57" t="n">
        <f aca="false">AF1711*G1711</f>
        <v>1881</v>
      </c>
      <c r="AJ1711" s="57" t="n">
        <f aca="false">ROUNDUP(MAX(J1711/IF(BZ1711&gt;0,BZ1711,MAX(0.1,N(Cockpit!$C$6))),CC1711)/BS1711,0)*BS1711</f>
        <v>22</v>
      </c>
      <c r="AK1711" s="58" t="n">
        <f aca="false">IF(AH1711&gt;0,J1711/AH1711,-1)</f>
        <v>0</v>
      </c>
      <c r="AL1711" s="58" t="n">
        <f aca="false">IF(AND(OR(BY1711="L1",BY1711="L23"),AH1711&gt;0),SUMIFS($AH$7:$AH$1843,$BY$7:$BY$1843,BY1711,$AK$7:$AK$1843,"&gt;"&amp;AK1711)+SUMIFS($AH$7:$AH$1843,$BY$7:$BY$1843,BY1711,$AK$7:$AK$1843,AK1711,$BQ$7:$BQ$1843,"&lt;="&amp;BQ1711),"")</f>
        <v>96.7220617546705</v>
      </c>
      <c r="AM1711" s="65" t="n">
        <f aca="false">IF(AL1711="",0,MAX(0,MIN(1,(IF(BY1711="L1",Parameter!$E$5,Parameter!$E$6+Parameter!$E$7)-(AL1711-AH1711))/AH1711)))</f>
        <v>1</v>
      </c>
      <c r="AN1711" s="57" t="n">
        <f aca="false">IF(LEFT(Cockpit!$I$5,1)="A",H1711,IF(CA1711=1,CB1711,IF(LEFT(Cockpit!$I$5,1)="B",AR1711,MAX(AR1711,H1711))))</f>
        <v>22</v>
      </c>
      <c r="AO1711" s="57" t="n">
        <f aca="false">IF(BT1711=1,0,ROUNDUP(AN1711/BS1711,0))</f>
        <v>1</v>
      </c>
      <c r="AP1711" s="59" t="n">
        <f aca="false">IF(CH1711&gt;0,CH1711*MAX(1,AN1711/X1711),IF(BT1711=1,IF(AN1711&lt;=0,0,BW1711*MAX(1,IF(H1711&gt;0,AN1711/H1711,1))),IF(R1711&gt;0,AO1711/R1711,0))/MAX(0.1,N(Parameter!$M$21)))</f>
        <v>0.00757575757575758</v>
      </c>
      <c r="AQ1711" s="57" t="n">
        <f aca="false">AN1711*G1711</f>
        <v>1881</v>
      </c>
      <c r="AR1711" s="57" t="n">
        <f aca="false">ROUNDUP(MAX(J1711/IF(BZ1711&gt;0,BZ1711,MAX(0.1,N(Cockpit!$I$6))),CC1711)/BS1711,0)*BS1711</f>
        <v>22</v>
      </c>
      <c r="AS1711" s="58" t="n">
        <f aca="false">IF(AP1711&gt;0,J1711/AP1711,-1)</f>
        <v>0</v>
      </c>
      <c r="AT1711" s="58" t="n">
        <f aca="false">IF(AND(OR(BY1711="L1",BY1711="L23"),AP1711&gt;0),SUMIFS($AP$7:$AP$1843,$BY$7:$BY$1843,BY1711,$AS$7:$AS$1843,"&gt;"&amp;AS1711)+SUMIFS($AP$7:$AP$1843,$BY$7:$BY$1843,BY1711,$AS$7:$AS$1843,AS1711,$BQ$7:$BQ$1843,"&lt;="&amp;BQ1711),"")</f>
        <v>142.067632850242</v>
      </c>
      <c r="AU1711" s="65" t="n">
        <f aca="false">IF(AT1711="",0,MAX(0,MIN(1,(IF(BY1711="L1",Parameter!$E$5,Parameter!$E$6+Parameter!$E$7)-(AT1711-AP1711))/AP1711)))</f>
        <v>0</v>
      </c>
      <c r="AV1711" s="57" t="n">
        <f aca="false">IF(LEFT(Cockpit!$O$5,1)="A",H1711,IF(CA1711=1,CB1711,IF(LEFT(Cockpit!$O$5,1)="B",AZ1711,MAX(AZ1711,H1711))))</f>
        <v>22</v>
      </c>
      <c r="AW1711" s="57" t="n">
        <f aca="false">IF(BT1711=1,0,ROUNDUP(AV1711/BS1711,0))</f>
        <v>1</v>
      </c>
      <c r="AX1711" s="59" t="n">
        <f aca="false">IF(CH1711&gt;0,CH1711*MAX(1,AV1711/X1711),IF(BT1711=1,IF(AV1711&lt;=0,0,BW1711*MAX(1,IF(H1711&gt;0,AV1711/H1711,1))),IF(R1711&gt;0,AW1711/R1711,0))/MAX(0.1,N(Parameter!$M$21)))</f>
        <v>0.00757575757575758</v>
      </c>
      <c r="AY1711" s="57" t="n">
        <f aca="false">AV1711*G1711</f>
        <v>1881</v>
      </c>
      <c r="AZ1711" s="57" t="n">
        <f aca="false">ROUNDUP(MAX(J1711/IF(BZ1711&gt;0,BZ1711,MAX(0.1,N(Cockpit!$O$6))),CC1711)/BS1711,0)*BS1711</f>
        <v>22</v>
      </c>
      <c r="BA1711" s="58" t="n">
        <f aca="false">IF(AX1711&gt;0,J1711/AX1711,-1)</f>
        <v>0</v>
      </c>
      <c r="BB1711" s="58" t="n">
        <f aca="false">IF(AND(OR(BY1711="L1",BY1711="L23"),AX1711&gt;0),SUMIFS($AX$7:$AX$1843,$BY$7:$BY$1843,BY1711,$BA$7:$BA$1843,"&gt;"&amp;BA1711)+SUMIFS($AX$7:$AX$1843,$BY$7:$BY$1843,BY1711,$BA$7:$BA$1843,BA1711,$BQ$7:$BQ$1843,"&lt;="&amp;BQ1711),"")</f>
        <v>132.897469680078</v>
      </c>
      <c r="BC1711" s="65" t="n">
        <f aca="false">IF(BB1711="",0,MAX(0,MIN(1,(IF(BY1711="L1",Parameter!$E$5,Parameter!$E$6+Parameter!$E$7)-(BB1711-AX1711))/AX1711)))</f>
        <v>0</v>
      </c>
      <c r="BD1711" s="55" t="str">
        <f aca="false">IF(AH1711&lt;=0,"",IF(BY1711="Aussen","Aussenlager",IF(BY1711="-","Nicht im Lift",IF(AM1711&gt;=1,"Lift",IF(AM1711&lt;=0,"Aussenlager","teilweise")))))</f>
        <v>Lift</v>
      </c>
      <c r="BE1711" s="55" t="str">
        <f aca="false">IF(AP1711&lt;=0,"",IF(BY1711="Aussen","Aussenlager",IF(BY1711="-","Nicht im Lift",IF(AU1711&gt;=1,"Lift",IF(AU1711&lt;=0,"Aussenlager","teilweise")))))</f>
        <v>Aussenlager</v>
      </c>
      <c r="BF1711" s="55" t="str">
        <f aca="false">IF(AX1711&lt;=0,"",IF(BY1711="Aussen","Aussenlager",IF(BY1711="-","Nicht im Lift",IF(BC1711&gt;=1,"Lift",IF(BC1711&lt;=0,"Aussenlager","teilweise")))))</f>
        <v>Aussenlager</v>
      </c>
      <c r="BG1711" s="55" t="str">
        <f aca="false">IF(A1711="","",IF(BP1711=1,"Neu; ","")&amp;IF(AND(BP1711=0,BK1711&lt;0),"negativer Bestand (Export "&amp;BK1711&amp;"); ","")&amp;IF(J1711&lt;=0,"Kein Verbrauch; ","")&amp;IF(CH1711&gt;0,"Lift "&amp;W1711&amp;" lt. Liftbericht (Fach "&amp;X1711&amp;" Stk); ",IF(BU1711=1,"Gebinde geschätzt ("&amp;T1711&amp;"); ",IF(BT1711=1,"Lose – Tablare geschätzt; ","")))&amp;IF(H1711&gt;AR1711,"Überbestand "&amp;ROUND(H1711-AR1711,0)&amp;" Stk / CHF "&amp;ROUND((H1711-AR1711)*G1711,0)&amp;"; ","")&amp;IF(AND(CA1711=1,CB1711&lt;CC1711),"MAX &lt; MB+LG; ","")&amp;IF(AND(CG1711&gt;0,CF1711*10&gt;CG1711),"zu hoch für Tablar; ","")&amp;IF(AND(BP1711=0,OR(CA1711=1,AA1711&lt;&gt;"",U1711&lt;&gt;"",V1711&lt;&gt;"",AB1711&lt;&gt;"")),"manuell übersteuert; ","")&amp;IF(AND(BT1711=0,R1711=0),"Gebinde unbekannt / Stellmass fehlt; ","")&amp;IF(AND(BT1711=0,N(V1711)&lt;=0,N(Q1711)&lt;=0),"Menge pro Gebinde fehlt (Ist = 1 Gebinde); ","")&amp;BO1711)</f>
        <v>Kein Verbrauch; nur im Artikelstamm (Bestand 23.06.2026)</v>
      </c>
      <c r="BH1711" s="55"/>
      <c r="BI1711" s="55"/>
      <c r="BJ1711" s="62"/>
      <c r="BK1711" s="57" t="n">
        <v>22</v>
      </c>
      <c r="BL1711" s="57" t="n">
        <v>0</v>
      </c>
      <c r="BM1711" s="56" t="n">
        <v>0</v>
      </c>
      <c r="BN1711" s="57" t="n">
        <v>0</v>
      </c>
      <c r="BO1711" s="55" t="s">
        <v>2575</v>
      </c>
      <c r="BP1711" s="60" t="n">
        <v>0</v>
      </c>
      <c r="BQ1711" s="60" t="n">
        <v>1711</v>
      </c>
      <c r="BR1711" s="55" t="str">
        <f aca="false">IF(U1711&lt;&gt;"",UPPER(TRIM(U1711)),IF(BU1711=1,UPPER(VLOOKUP(T1711,Parameter!$I$27:$K$29,2,0)),IF(P1711="","LOSE",P1711)))</f>
        <v>S32</v>
      </c>
      <c r="BS1711" s="57" t="n">
        <f aca="false">IF(BR1711="LOSE",1,IF(N(V1711)&gt;0,V1711,IF(BU1711=1,MAX(1,N(VLOOKUP(T1711,Parameter!$I$27:$K$29,3,0)),H1711,N(N1711)),IF(N(Q1711)&gt;0,Q1711,MAX(1,H1711)))))</f>
        <v>22</v>
      </c>
      <c r="BT1711" s="60" t="n">
        <f aca="false">IF(BR1711="LOSE",1,0)</f>
        <v>0</v>
      </c>
      <c r="BU1711" s="60" t="n">
        <f aca="false">IF(AND(U1711="",OR(P1711="",P1711="LOSE"),T1711&lt;&gt;"",N(S1711)&lt;=0,ISNUMBER(MATCH(T1711,Parameter!$I$27:$I$29,0))),1,0)</f>
        <v>0</v>
      </c>
      <c r="BV1711" s="55" t="str">
        <f aca="false">IF(AND(Parameter!$B$19="Ja",E1711&lt;&gt;"",ISNUMBER(MATCH(E1711,Parameter!$I$35:$I$52,0))),VLOOKUP(E1711,Parameter!$I$35:$J$52,2,0),IFERROR(VLOOKUP(D1711,Parameter!$A$35:$C$64,2,0),"Nein"))</f>
        <v>2+3</v>
      </c>
      <c r="BW1711" s="59" t="n">
        <f aca="false">IF(BT1711=0,0,IF(N(S1711)&gt;0,S1711,IFERROR(VLOOKUP(D1711,Parameter!$A$35:$C$64,3,0)+0,0)))</f>
        <v>0</v>
      </c>
      <c r="BX1711" s="55" t="n">
        <f aca="false">IF(AA1711&lt;&gt;"",AA1711,Z1711)</f>
        <v>3</v>
      </c>
      <c r="BY1711" s="55" t="str">
        <f aca="false">IF(BX1711=1,"L1",IF(OR(BX1711=2,BX1711=3),"L23",IF(BX1711="Aussen","Aussen","-")))</f>
        <v>L23</v>
      </c>
      <c r="BZ1711" s="66" t="n">
        <f aca="false">IF(N(AB1711)&gt;0,AB1711,0)</f>
        <v>0</v>
      </c>
      <c r="CA1711" s="60" t="n">
        <f aca="false">IF(ISNUMBER(AE1711),1,0)</f>
        <v>0</v>
      </c>
      <c r="CB1711" s="57" t="n">
        <f aca="false">N(AE1711)</f>
        <v>0</v>
      </c>
      <c r="CC1711" s="57" t="n">
        <f aca="false">N(M1711)+N(N1711)</f>
        <v>3</v>
      </c>
      <c r="CD1711" s="57" t="n">
        <f aca="false">ROUNDUP(H1711/BS1711,0)</f>
        <v>1</v>
      </c>
      <c r="CE1711" s="57" t="n">
        <f aca="false">ROUNDUP(CB1711/BS1711,0)</f>
        <v>0</v>
      </c>
      <c r="CF1711" s="60" t="n">
        <f aca="false">IF(BT1711=1,0,IFERROR(VLOOKUP(BR1711,'Gebinde-Kategorie'!$A$5:$M$45,5,0)+0,0))</f>
        <v>8</v>
      </c>
      <c r="CG1711" s="60" t="n">
        <f aca="false">IFERROR(IF(OR(BX1711=1,BX1711=2,BX1711=3),N(INDEX(Parameter!$I$5:$I$7,BX1711)),0),0)</f>
        <v>0</v>
      </c>
      <c r="CH1711" s="59" t="n">
        <f aca="false">IF(AND(Parameter!$B$21="Ja",ISNUMBER(W1711),N(X1711)&gt;0),IFERROR(N(INDEX(Parameter!$L$5:$L$7,W1711))*INDEX(Parameter!$E$5:$E$7,W1711)*X1711/SUMIFS($X$7:$X$1843,$W$7:$W$1843,W1711),0),0)</f>
        <v>0</v>
      </c>
    </row>
    <row r="1712" customFormat="false" ht="15" hidden="false" customHeight="false" outlineLevel="0" collapsed="false">
      <c r="A1712" s="55" t="s">
        <v>2963</v>
      </c>
      <c r="B1712" s="55" t="s">
        <v>2694</v>
      </c>
      <c r="C1712" s="55" t="s">
        <v>164</v>
      </c>
      <c r="D1712" s="55" t="s">
        <v>184</v>
      </c>
      <c r="E1712" s="55"/>
      <c r="F1712" s="55"/>
      <c r="G1712" s="56" t="n">
        <v>35</v>
      </c>
      <c r="H1712" s="57" t="n">
        <f aca="false">MAX(0,IF(AND(Parameter!$B$21="Ja",ISNUMBER(Y1712)),Y1712,IF(Parameter!$B$20="Jahresanfang 2025 + Export",BL1712+BK1712,BK1712)))</f>
        <v>12</v>
      </c>
      <c r="I1712" s="57" t="n">
        <f aca="false">H1712*G1712</f>
        <v>420</v>
      </c>
      <c r="J1712" s="57" t="n">
        <f aca="false">BN1712*Parameter!$B$18</f>
        <v>0</v>
      </c>
      <c r="K1712" s="58"/>
      <c r="L1712" s="59"/>
      <c r="M1712" s="57" t="n">
        <v>0</v>
      </c>
      <c r="N1712" s="57" t="n">
        <v>12</v>
      </c>
      <c r="O1712" s="60" t="n">
        <v>35</v>
      </c>
      <c r="P1712" s="55" t="s">
        <v>421</v>
      </c>
      <c r="Q1712" s="57" t="n">
        <v>10</v>
      </c>
      <c r="R1712" s="60" t="n">
        <f aca="false">IF(BT1712=1,0,IFERROR(VLOOKUP(BR1712,'Gebinde-Kategorie'!$A$5:$M$45,13,0)+0,0))</f>
        <v>132</v>
      </c>
      <c r="S1712" s="61"/>
      <c r="T1712" s="62"/>
      <c r="U1712" s="62"/>
      <c r="V1712" s="62"/>
      <c r="W1712" s="55"/>
      <c r="X1712" s="57"/>
      <c r="Y1712" s="57"/>
      <c r="Z1712" s="55" t="n">
        <f aca="false">IF(A1712="","",IF(AND(Parameter!$B$21="Ja",ISNUMBER(W1712)),W1712,IF(BV1712="2+3",IF(ISNUMBER(SEARCH("grosser Artikel",BO1712)),2,IFERROR(VLOOKUP(BR1712,Parameter!$F$35:$G$64,2,0),2)),IF(OR(BV1712="Nein",BV1712=""),"-",BV1712))))</f>
        <v>3</v>
      </c>
      <c r="AA1712" s="62"/>
      <c r="AB1712" s="63"/>
      <c r="AC1712" s="57" t="n">
        <f aca="false">AR1712</f>
        <v>20</v>
      </c>
      <c r="AD1712" s="57" t="n">
        <f aca="false">MAX(AR1712,H1712)</f>
        <v>20</v>
      </c>
      <c r="AE1712" s="64"/>
      <c r="AF1712" s="57" t="n">
        <f aca="false">IF(LEFT(Cockpit!$C$5,1)="A",H1712,IF(CA1712=1,CB1712,IF(LEFT(Cockpit!$C$5,1)="B",AJ1712,MAX(AJ1712,H1712))))</f>
        <v>12</v>
      </c>
      <c r="AG1712" s="57" t="n">
        <f aca="false">IF(BT1712=1,0,ROUNDUP(AF1712/BS1712,0))</f>
        <v>2</v>
      </c>
      <c r="AH1712" s="59" t="n">
        <f aca="false">IF(CH1712&gt;0,CH1712*MAX(1,AF1712/X1712),IF(BT1712=1,IF(AF1712&lt;=0,0,BW1712*MAX(1,IF(H1712&gt;0,AF1712/H1712,1))),IF(R1712&gt;0,AG1712/R1712,0))/MAX(0.1,N(Parameter!$M$21)))</f>
        <v>0.0151515151515152</v>
      </c>
      <c r="AI1712" s="57" t="n">
        <f aca="false">AF1712*G1712</f>
        <v>420</v>
      </c>
      <c r="AJ1712" s="57" t="n">
        <f aca="false">ROUNDUP(MAX(J1712/IF(BZ1712&gt;0,BZ1712,MAX(0.1,N(Cockpit!$C$6))),CC1712)/BS1712,0)*BS1712</f>
        <v>20</v>
      </c>
      <c r="AK1712" s="58" t="n">
        <f aca="false">IF(AH1712&gt;0,J1712/AH1712,-1)</f>
        <v>0</v>
      </c>
      <c r="AL1712" s="58" t="n">
        <f aca="false">IF(AND(OR(BY1712="L1",BY1712="L23"),AH1712&gt;0),SUMIFS($AH$7:$AH$1843,$BY$7:$BY$1843,BY1712,$AK$7:$AK$1843,"&gt;"&amp;AK1712)+SUMIFS($AH$7:$AH$1843,$BY$7:$BY$1843,BY1712,$AK$7:$AK$1843,AK1712,$BQ$7:$BQ$1843,"&lt;="&amp;BQ1712),"")</f>
        <v>96.737213269822</v>
      </c>
      <c r="AM1712" s="65" t="n">
        <f aca="false">IF(AL1712="",0,MAX(0,MIN(1,(IF(BY1712="L1",Parameter!$E$5,Parameter!$E$6+Parameter!$E$7)-(AL1712-AH1712))/AH1712)))</f>
        <v>1</v>
      </c>
      <c r="AN1712" s="57" t="n">
        <f aca="false">IF(LEFT(Cockpit!$I$5,1)="A",H1712,IF(CA1712=1,CB1712,IF(LEFT(Cockpit!$I$5,1)="B",AR1712,MAX(AR1712,H1712))))</f>
        <v>20</v>
      </c>
      <c r="AO1712" s="57" t="n">
        <f aca="false">IF(BT1712=1,0,ROUNDUP(AN1712/BS1712,0))</f>
        <v>2</v>
      </c>
      <c r="AP1712" s="59" t="n">
        <f aca="false">IF(CH1712&gt;0,CH1712*MAX(1,AN1712/X1712),IF(BT1712=1,IF(AN1712&lt;=0,0,BW1712*MAX(1,IF(H1712&gt;0,AN1712/H1712,1))),IF(R1712&gt;0,AO1712/R1712,0))/MAX(0.1,N(Parameter!$M$21)))</f>
        <v>0.0151515151515152</v>
      </c>
      <c r="AQ1712" s="57" t="n">
        <f aca="false">AN1712*G1712</f>
        <v>700</v>
      </c>
      <c r="AR1712" s="57" t="n">
        <f aca="false">ROUNDUP(MAX(J1712/IF(BZ1712&gt;0,BZ1712,MAX(0.1,N(Cockpit!$I$6))),CC1712)/BS1712,0)*BS1712</f>
        <v>20</v>
      </c>
      <c r="AS1712" s="58" t="n">
        <f aca="false">IF(AP1712&gt;0,J1712/AP1712,-1)</f>
        <v>0</v>
      </c>
      <c r="AT1712" s="58" t="n">
        <f aca="false">IF(AND(OR(BY1712="L1",BY1712="L23"),AP1712&gt;0),SUMIFS($AP$7:$AP$1843,$BY$7:$BY$1843,BY1712,$AS$7:$AS$1843,"&gt;"&amp;AS1712)+SUMIFS($AP$7:$AP$1843,$BY$7:$BY$1843,BY1712,$AS$7:$AS$1843,AS1712,$BQ$7:$BQ$1843,"&lt;="&amp;BQ1712),"")</f>
        <v>142.082784365393</v>
      </c>
      <c r="AU1712" s="65" t="n">
        <f aca="false">IF(AT1712="",0,MAX(0,MIN(1,(IF(BY1712="L1",Parameter!$E$5,Parameter!$E$6+Parameter!$E$7)-(AT1712-AP1712))/AP1712)))</f>
        <v>0</v>
      </c>
      <c r="AV1712" s="57" t="n">
        <f aca="false">IF(LEFT(Cockpit!$O$5,1)="A",H1712,IF(CA1712=1,CB1712,IF(LEFT(Cockpit!$O$5,1)="B",AZ1712,MAX(AZ1712,H1712))))</f>
        <v>20</v>
      </c>
      <c r="AW1712" s="57" t="n">
        <f aca="false">IF(BT1712=1,0,ROUNDUP(AV1712/BS1712,0))</f>
        <v>2</v>
      </c>
      <c r="AX1712" s="59" t="n">
        <f aca="false">IF(CH1712&gt;0,CH1712*MAX(1,AV1712/X1712),IF(BT1712=1,IF(AV1712&lt;=0,0,BW1712*MAX(1,IF(H1712&gt;0,AV1712/H1712,1))),IF(R1712&gt;0,AW1712/R1712,0))/MAX(0.1,N(Parameter!$M$21)))</f>
        <v>0.0151515151515152</v>
      </c>
      <c r="AY1712" s="57" t="n">
        <f aca="false">AV1712*G1712</f>
        <v>700</v>
      </c>
      <c r="AZ1712" s="57" t="n">
        <f aca="false">ROUNDUP(MAX(J1712/IF(BZ1712&gt;0,BZ1712,MAX(0.1,N(Cockpit!$O$6))),CC1712)/BS1712,0)*BS1712</f>
        <v>20</v>
      </c>
      <c r="BA1712" s="58" t="n">
        <f aca="false">IF(AX1712&gt;0,J1712/AX1712,-1)</f>
        <v>0</v>
      </c>
      <c r="BB1712" s="58" t="n">
        <f aca="false">IF(AND(OR(BY1712="L1",BY1712="L23"),AX1712&gt;0),SUMIFS($AX$7:$AX$1843,$BY$7:$BY$1843,BY1712,$BA$7:$BA$1843,"&gt;"&amp;BA1712)+SUMIFS($AX$7:$AX$1843,$BY$7:$BY$1843,BY1712,$BA$7:$BA$1843,BA1712,$BQ$7:$BQ$1843,"&lt;="&amp;BQ1712),"")</f>
        <v>132.91262119523</v>
      </c>
      <c r="BC1712" s="65" t="n">
        <f aca="false">IF(BB1712="",0,MAX(0,MIN(1,(IF(BY1712="L1",Parameter!$E$5,Parameter!$E$6+Parameter!$E$7)-(BB1712-AX1712))/AX1712)))</f>
        <v>0</v>
      </c>
      <c r="BD1712" s="55" t="str">
        <f aca="false">IF(AH1712&lt;=0,"",IF(BY1712="Aussen","Aussenlager",IF(BY1712="-","Nicht im Lift",IF(AM1712&gt;=1,"Lift",IF(AM1712&lt;=0,"Aussenlager","teilweise")))))</f>
        <v>Lift</v>
      </c>
      <c r="BE1712" s="55" t="str">
        <f aca="false">IF(AP1712&lt;=0,"",IF(BY1712="Aussen","Aussenlager",IF(BY1712="-","Nicht im Lift",IF(AU1712&gt;=1,"Lift",IF(AU1712&lt;=0,"Aussenlager","teilweise")))))</f>
        <v>Aussenlager</v>
      </c>
      <c r="BF1712" s="55" t="str">
        <f aca="false">IF(AX1712&lt;=0,"",IF(BY1712="Aussen","Aussenlager",IF(BY1712="-","Nicht im Lift",IF(BC1712&gt;=1,"Lift",IF(BC1712&lt;=0,"Aussenlager","teilweise")))))</f>
        <v>Aussenlager</v>
      </c>
      <c r="BG1712" s="55" t="str">
        <f aca="false">IF(A1712="","",IF(BP1712=1,"Neu; ","")&amp;IF(AND(BP1712=0,BK1712&lt;0),"negativer Bestand (Export "&amp;BK1712&amp;"); ","")&amp;IF(J1712&lt;=0,"Kein Verbrauch; ","")&amp;IF(CH1712&gt;0,"Lift "&amp;W1712&amp;" lt. Liftbericht (Fach "&amp;X1712&amp;" Stk); ",IF(BU1712=1,"Gebinde geschätzt ("&amp;T1712&amp;"); ",IF(BT1712=1,"Lose – Tablare geschätzt; ","")))&amp;IF(H1712&gt;AR1712,"Überbestand "&amp;ROUND(H1712-AR1712,0)&amp;" Stk / CHF "&amp;ROUND((H1712-AR1712)*G1712,0)&amp;"; ","")&amp;IF(AND(CA1712=1,CB1712&lt;CC1712),"MAX &lt; MB+LG; ","")&amp;IF(AND(CG1712&gt;0,CF1712*10&gt;CG1712),"zu hoch für Tablar; ","")&amp;IF(AND(BP1712=0,OR(CA1712=1,AA1712&lt;&gt;"",U1712&lt;&gt;"",V1712&lt;&gt;"",AB1712&lt;&gt;"")),"manuell übersteuert; ","")&amp;IF(AND(BT1712=0,R1712=0),"Gebinde unbekannt / Stellmass fehlt; ","")&amp;IF(AND(BT1712=0,N(V1712)&lt;=0,N(Q1712)&lt;=0),"Menge pro Gebinde fehlt (Ist = 1 Gebinde); ","")&amp;BO1712)</f>
        <v>Kein Verbrauch; nur im Artikelstamm (Bestand 23.06.2026)</v>
      </c>
      <c r="BH1712" s="55"/>
      <c r="BI1712" s="55"/>
      <c r="BJ1712" s="62"/>
      <c r="BK1712" s="57" t="n">
        <v>12</v>
      </c>
      <c r="BL1712" s="57" t="n">
        <v>0</v>
      </c>
      <c r="BM1712" s="56" t="n">
        <v>0</v>
      </c>
      <c r="BN1712" s="57" t="n">
        <v>0</v>
      </c>
      <c r="BO1712" s="55" t="s">
        <v>2575</v>
      </c>
      <c r="BP1712" s="60" t="n">
        <v>0</v>
      </c>
      <c r="BQ1712" s="60" t="n">
        <v>1712</v>
      </c>
      <c r="BR1712" s="55" t="str">
        <f aca="false">IF(U1712&lt;&gt;"",UPPER(TRIM(U1712)),IF(BU1712=1,UPPER(VLOOKUP(T1712,Parameter!$I$27:$K$29,2,0)),IF(P1712="","LOSE",P1712)))</f>
        <v>S32</v>
      </c>
      <c r="BS1712" s="57" t="n">
        <f aca="false">IF(BR1712="LOSE",1,IF(N(V1712)&gt;0,V1712,IF(BU1712=1,MAX(1,N(VLOOKUP(T1712,Parameter!$I$27:$K$29,3,0)),H1712,N(N1712)),IF(N(Q1712)&gt;0,Q1712,MAX(1,H1712)))))</f>
        <v>10</v>
      </c>
      <c r="BT1712" s="60" t="n">
        <f aca="false">IF(BR1712="LOSE",1,0)</f>
        <v>0</v>
      </c>
      <c r="BU1712" s="60" t="n">
        <f aca="false">IF(AND(U1712="",OR(P1712="",P1712="LOSE"),T1712&lt;&gt;"",N(S1712)&lt;=0,ISNUMBER(MATCH(T1712,Parameter!$I$27:$I$29,0))),1,0)</f>
        <v>0</v>
      </c>
      <c r="BV1712" s="55" t="str">
        <f aca="false">IF(AND(Parameter!$B$19="Ja",E1712&lt;&gt;"",ISNUMBER(MATCH(E1712,Parameter!$I$35:$I$52,0))),VLOOKUP(E1712,Parameter!$I$35:$J$52,2,0),IFERROR(VLOOKUP(D1712,Parameter!$A$35:$C$64,2,0),"Nein"))</f>
        <v>2+3</v>
      </c>
      <c r="BW1712" s="59" t="n">
        <f aca="false">IF(BT1712=0,0,IF(N(S1712)&gt;0,S1712,IFERROR(VLOOKUP(D1712,Parameter!$A$35:$C$64,3,0)+0,0)))</f>
        <v>0</v>
      </c>
      <c r="BX1712" s="55" t="n">
        <f aca="false">IF(AA1712&lt;&gt;"",AA1712,Z1712)</f>
        <v>3</v>
      </c>
      <c r="BY1712" s="55" t="str">
        <f aca="false">IF(BX1712=1,"L1",IF(OR(BX1712=2,BX1712=3),"L23",IF(BX1712="Aussen","Aussen","-")))</f>
        <v>L23</v>
      </c>
      <c r="BZ1712" s="66" t="n">
        <f aca="false">IF(N(AB1712)&gt;0,AB1712,0)</f>
        <v>0</v>
      </c>
      <c r="CA1712" s="60" t="n">
        <f aca="false">IF(ISNUMBER(AE1712),1,0)</f>
        <v>0</v>
      </c>
      <c r="CB1712" s="57" t="n">
        <f aca="false">N(AE1712)</f>
        <v>0</v>
      </c>
      <c r="CC1712" s="57" t="n">
        <f aca="false">N(M1712)+N(N1712)</f>
        <v>12</v>
      </c>
      <c r="CD1712" s="57" t="n">
        <f aca="false">ROUNDUP(H1712/BS1712,0)</f>
        <v>2</v>
      </c>
      <c r="CE1712" s="57" t="n">
        <f aca="false">ROUNDUP(CB1712/BS1712,0)</f>
        <v>0</v>
      </c>
      <c r="CF1712" s="60" t="n">
        <f aca="false">IF(BT1712=1,0,IFERROR(VLOOKUP(BR1712,'Gebinde-Kategorie'!$A$5:$M$45,5,0)+0,0))</f>
        <v>8</v>
      </c>
      <c r="CG1712" s="60" t="n">
        <f aca="false">IFERROR(IF(OR(BX1712=1,BX1712=2,BX1712=3),N(INDEX(Parameter!$I$5:$I$7,BX1712)),0),0)</f>
        <v>0</v>
      </c>
      <c r="CH1712" s="59" t="n">
        <f aca="false">IF(AND(Parameter!$B$21="Ja",ISNUMBER(W1712),N(X1712)&gt;0),IFERROR(N(INDEX(Parameter!$L$5:$L$7,W1712))*INDEX(Parameter!$E$5:$E$7,W1712)*X1712/SUMIFS($X$7:$X$1843,$W$7:$W$1843,W1712),0),0)</f>
        <v>0</v>
      </c>
    </row>
    <row r="1713" customFormat="false" ht="15" hidden="false" customHeight="false" outlineLevel="0" collapsed="false">
      <c r="A1713" s="55" t="s">
        <v>2964</v>
      </c>
      <c r="B1713" s="55" t="s">
        <v>468</v>
      </c>
      <c r="C1713" s="55" t="s">
        <v>164</v>
      </c>
      <c r="D1713" s="55" t="s">
        <v>184</v>
      </c>
      <c r="E1713" s="55"/>
      <c r="F1713" s="55"/>
      <c r="G1713" s="56" t="n">
        <v>0.1</v>
      </c>
      <c r="H1713" s="57" t="n">
        <f aca="false">MAX(0,IF(AND(Parameter!$B$21="Ja",ISNUMBER(Y1713)),Y1713,IF(Parameter!$B$20="Jahresanfang 2025 + Export",BL1713+BK1713,BK1713)))</f>
        <v>9</v>
      </c>
      <c r="I1713" s="57" t="n">
        <f aca="false">H1713*G1713</f>
        <v>0.9</v>
      </c>
      <c r="J1713" s="57" t="n">
        <f aca="false">BN1713*Parameter!$B$18</f>
        <v>0</v>
      </c>
      <c r="K1713" s="58"/>
      <c r="L1713" s="59"/>
      <c r="M1713" s="57" t="n">
        <v>0</v>
      </c>
      <c r="N1713" s="57" t="n">
        <v>10</v>
      </c>
      <c r="O1713" s="60" t="n">
        <v>28</v>
      </c>
      <c r="P1713" s="55" t="s">
        <v>421</v>
      </c>
      <c r="Q1713" s="57" t="n">
        <v>9</v>
      </c>
      <c r="R1713" s="60" t="n">
        <f aca="false">IF(BT1713=1,0,IFERROR(VLOOKUP(BR1713,'Gebinde-Kategorie'!$A$5:$M$45,13,0)+0,0))</f>
        <v>132</v>
      </c>
      <c r="S1713" s="61"/>
      <c r="T1713" s="62"/>
      <c r="U1713" s="62"/>
      <c r="V1713" s="62"/>
      <c r="W1713" s="55"/>
      <c r="X1713" s="57"/>
      <c r="Y1713" s="57"/>
      <c r="Z1713" s="55" t="n">
        <f aca="false">IF(A1713="","",IF(AND(Parameter!$B$21="Ja",ISNUMBER(W1713)),W1713,IF(BV1713="2+3",IF(ISNUMBER(SEARCH("grosser Artikel",BO1713)),2,IFERROR(VLOOKUP(BR1713,Parameter!$F$35:$G$64,2,0),2)),IF(OR(BV1713="Nein",BV1713=""),"-",BV1713))))</f>
        <v>3</v>
      </c>
      <c r="AA1713" s="62"/>
      <c r="AB1713" s="63"/>
      <c r="AC1713" s="57" t="n">
        <f aca="false">AR1713</f>
        <v>18</v>
      </c>
      <c r="AD1713" s="57" t="n">
        <f aca="false">MAX(AR1713,H1713)</f>
        <v>18</v>
      </c>
      <c r="AE1713" s="64"/>
      <c r="AF1713" s="57" t="n">
        <f aca="false">IF(LEFT(Cockpit!$C$5,1)="A",H1713,IF(CA1713=1,CB1713,IF(LEFT(Cockpit!$C$5,1)="B",AJ1713,MAX(AJ1713,H1713))))</f>
        <v>9</v>
      </c>
      <c r="AG1713" s="57" t="n">
        <f aca="false">IF(BT1713=1,0,ROUNDUP(AF1713/BS1713,0))</f>
        <v>1</v>
      </c>
      <c r="AH1713" s="59" t="n">
        <f aca="false">IF(CH1713&gt;0,CH1713*MAX(1,AF1713/X1713),IF(BT1713=1,IF(AF1713&lt;=0,0,BW1713*MAX(1,IF(H1713&gt;0,AF1713/H1713,1))),IF(R1713&gt;0,AG1713/R1713,0))/MAX(0.1,N(Parameter!$M$21)))</f>
        <v>0.00757575757575758</v>
      </c>
      <c r="AI1713" s="57" t="n">
        <f aca="false">AF1713*G1713</f>
        <v>0.9</v>
      </c>
      <c r="AJ1713" s="57" t="n">
        <f aca="false">ROUNDUP(MAX(J1713/IF(BZ1713&gt;0,BZ1713,MAX(0.1,N(Cockpit!$C$6))),CC1713)/BS1713,0)*BS1713</f>
        <v>18</v>
      </c>
      <c r="AK1713" s="58" t="n">
        <f aca="false">IF(AH1713&gt;0,J1713/AH1713,-1)</f>
        <v>0</v>
      </c>
      <c r="AL1713" s="58" t="n">
        <f aca="false">IF(AND(OR(BY1713="L1",BY1713="L23"),AH1713&gt;0),SUMIFS($AH$7:$AH$1843,$BY$7:$BY$1843,BY1713,$AK$7:$AK$1843,"&gt;"&amp;AK1713)+SUMIFS($AH$7:$AH$1843,$BY$7:$BY$1843,BY1713,$AK$7:$AK$1843,AK1713,$BQ$7:$BQ$1843,"&lt;="&amp;BQ1713),"")</f>
        <v>96.7447890273977</v>
      </c>
      <c r="AM1713" s="65" t="n">
        <f aca="false">IF(AL1713="",0,MAX(0,MIN(1,(IF(BY1713="L1",Parameter!$E$5,Parameter!$E$6+Parameter!$E$7)-(AL1713-AH1713))/AH1713)))</f>
        <v>1</v>
      </c>
      <c r="AN1713" s="57" t="n">
        <f aca="false">IF(LEFT(Cockpit!$I$5,1)="A",H1713,IF(CA1713=1,CB1713,IF(LEFT(Cockpit!$I$5,1)="B",AR1713,MAX(AR1713,H1713))))</f>
        <v>18</v>
      </c>
      <c r="AO1713" s="57" t="n">
        <f aca="false">IF(BT1713=1,0,ROUNDUP(AN1713/BS1713,0))</f>
        <v>2</v>
      </c>
      <c r="AP1713" s="59" t="n">
        <f aca="false">IF(CH1713&gt;0,CH1713*MAX(1,AN1713/X1713),IF(BT1713=1,IF(AN1713&lt;=0,0,BW1713*MAX(1,IF(H1713&gt;0,AN1713/H1713,1))),IF(R1713&gt;0,AO1713/R1713,0))/MAX(0.1,N(Parameter!$M$21)))</f>
        <v>0.0151515151515152</v>
      </c>
      <c r="AQ1713" s="57" t="n">
        <f aca="false">AN1713*G1713</f>
        <v>1.8</v>
      </c>
      <c r="AR1713" s="57" t="n">
        <f aca="false">ROUNDUP(MAX(J1713/IF(BZ1713&gt;0,BZ1713,MAX(0.1,N(Cockpit!$I$6))),CC1713)/BS1713,0)*BS1713</f>
        <v>18</v>
      </c>
      <c r="AS1713" s="58" t="n">
        <f aca="false">IF(AP1713&gt;0,J1713/AP1713,-1)</f>
        <v>0</v>
      </c>
      <c r="AT1713" s="58" t="n">
        <f aca="false">IF(AND(OR(BY1713="L1",BY1713="L23"),AP1713&gt;0),SUMIFS($AP$7:$AP$1843,$BY$7:$BY$1843,BY1713,$AS$7:$AS$1843,"&gt;"&amp;AS1713)+SUMIFS($AP$7:$AP$1843,$BY$7:$BY$1843,BY1713,$AS$7:$AS$1843,AS1713,$BQ$7:$BQ$1843,"&lt;="&amp;BQ1713),"")</f>
        <v>142.097935880545</v>
      </c>
      <c r="AU1713" s="65" t="n">
        <f aca="false">IF(AT1713="",0,MAX(0,MIN(1,(IF(BY1713="L1",Parameter!$E$5,Parameter!$E$6+Parameter!$E$7)-(AT1713-AP1713))/AP1713)))</f>
        <v>0</v>
      </c>
      <c r="AV1713" s="57" t="n">
        <f aca="false">IF(LEFT(Cockpit!$O$5,1)="A",H1713,IF(CA1713=1,CB1713,IF(LEFT(Cockpit!$O$5,1)="B",AZ1713,MAX(AZ1713,H1713))))</f>
        <v>18</v>
      </c>
      <c r="AW1713" s="57" t="n">
        <f aca="false">IF(BT1713=1,0,ROUNDUP(AV1713/BS1713,0))</f>
        <v>2</v>
      </c>
      <c r="AX1713" s="59" t="n">
        <f aca="false">IF(CH1713&gt;0,CH1713*MAX(1,AV1713/X1713),IF(BT1713=1,IF(AV1713&lt;=0,0,BW1713*MAX(1,IF(H1713&gt;0,AV1713/H1713,1))),IF(R1713&gt;0,AW1713/R1713,0))/MAX(0.1,N(Parameter!$M$21)))</f>
        <v>0.0151515151515152</v>
      </c>
      <c r="AY1713" s="57" t="n">
        <f aca="false">AV1713*G1713</f>
        <v>1.8</v>
      </c>
      <c r="AZ1713" s="57" t="n">
        <f aca="false">ROUNDUP(MAX(J1713/IF(BZ1713&gt;0,BZ1713,MAX(0.1,N(Cockpit!$O$6))),CC1713)/BS1713,0)*BS1713</f>
        <v>18</v>
      </c>
      <c r="BA1713" s="58" t="n">
        <f aca="false">IF(AX1713&gt;0,J1713/AX1713,-1)</f>
        <v>0</v>
      </c>
      <c r="BB1713" s="58" t="n">
        <f aca="false">IF(AND(OR(BY1713="L1",BY1713="L23"),AX1713&gt;0),SUMIFS($AX$7:$AX$1843,$BY$7:$BY$1843,BY1713,$BA$7:$BA$1843,"&gt;"&amp;BA1713)+SUMIFS($AX$7:$AX$1843,$BY$7:$BY$1843,BY1713,$BA$7:$BA$1843,BA1713,$BQ$7:$BQ$1843,"&lt;="&amp;BQ1713),"")</f>
        <v>132.927772710381</v>
      </c>
      <c r="BC1713" s="65" t="n">
        <f aca="false">IF(BB1713="",0,MAX(0,MIN(1,(IF(BY1713="L1",Parameter!$E$5,Parameter!$E$6+Parameter!$E$7)-(BB1713-AX1713))/AX1713)))</f>
        <v>0</v>
      </c>
      <c r="BD1713" s="55" t="str">
        <f aca="false">IF(AH1713&lt;=0,"",IF(BY1713="Aussen","Aussenlager",IF(BY1713="-","Nicht im Lift",IF(AM1713&gt;=1,"Lift",IF(AM1713&lt;=0,"Aussenlager","teilweise")))))</f>
        <v>Lift</v>
      </c>
      <c r="BE1713" s="55" t="str">
        <f aca="false">IF(AP1713&lt;=0,"",IF(BY1713="Aussen","Aussenlager",IF(BY1713="-","Nicht im Lift",IF(AU1713&gt;=1,"Lift",IF(AU1713&lt;=0,"Aussenlager","teilweise")))))</f>
        <v>Aussenlager</v>
      </c>
      <c r="BF1713" s="55" t="str">
        <f aca="false">IF(AX1713&lt;=0,"",IF(BY1713="Aussen","Aussenlager",IF(BY1713="-","Nicht im Lift",IF(BC1713&gt;=1,"Lift",IF(BC1713&lt;=0,"Aussenlager","teilweise")))))</f>
        <v>Aussenlager</v>
      </c>
      <c r="BG1713" s="55" t="str">
        <f aca="false">IF(A1713="","",IF(BP1713=1,"Neu; ","")&amp;IF(AND(BP1713=0,BK1713&lt;0),"negativer Bestand (Export "&amp;BK1713&amp;"); ","")&amp;IF(J1713&lt;=0,"Kein Verbrauch; ","")&amp;IF(CH1713&gt;0,"Lift "&amp;W1713&amp;" lt. Liftbericht (Fach "&amp;X1713&amp;" Stk); ",IF(BU1713=1,"Gebinde geschätzt ("&amp;T1713&amp;"); ",IF(BT1713=1,"Lose – Tablare geschätzt; ","")))&amp;IF(H1713&gt;AR1713,"Überbestand "&amp;ROUND(H1713-AR1713,0)&amp;" Stk / CHF "&amp;ROUND((H1713-AR1713)*G1713,0)&amp;"; ","")&amp;IF(AND(CA1713=1,CB1713&lt;CC1713),"MAX &lt; MB+LG; ","")&amp;IF(AND(CG1713&gt;0,CF1713*10&gt;CG1713),"zu hoch für Tablar; ","")&amp;IF(AND(BP1713=0,OR(CA1713=1,AA1713&lt;&gt;"",U1713&lt;&gt;"",V1713&lt;&gt;"",AB1713&lt;&gt;"")),"manuell übersteuert; ","")&amp;IF(AND(BT1713=0,R1713=0),"Gebinde unbekannt / Stellmass fehlt; ","")&amp;IF(AND(BT1713=0,N(V1713)&lt;=0,N(Q1713)&lt;=0),"Menge pro Gebinde fehlt (Ist = 1 Gebinde); ","")&amp;BO1713)</f>
        <v>Kein Verbrauch; nur im Artikelstamm (Bestand 23.06.2026)</v>
      </c>
      <c r="BH1713" s="55"/>
      <c r="BI1713" s="55"/>
      <c r="BJ1713" s="62"/>
      <c r="BK1713" s="57" t="n">
        <v>9</v>
      </c>
      <c r="BL1713" s="57" t="n">
        <v>0</v>
      </c>
      <c r="BM1713" s="56" t="n">
        <v>0</v>
      </c>
      <c r="BN1713" s="57" t="n">
        <v>0</v>
      </c>
      <c r="BO1713" s="55" t="s">
        <v>2575</v>
      </c>
      <c r="BP1713" s="60" t="n">
        <v>0</v>
      </c>
      <c r="BQ1713" s="60" t="n">
        <v>1713</v>
      </c>
      <c r="BR1713" s="55" t="str">
        <f aca="false">IF(U1713&lt;&gt;"",UPPER(TRIM(U1713)),IF(BU1713=1,UPPER(VLOOKUP(T1713,Parameter!$I$27:$K$29,2,0)),IF(P1713="","LOSE",P1713)))</f>
        <v>S32</v>
      </c>
      <c r="BS1713" s="57" t="n">
        <f aca="false">IF(BR1713="LOSE",1,IF(N(V1713)&gt;0,V1713,IF(BU1713=1,MAX(1,N(VLOOKUP(T1713,Parameter!$I$27:$K$29,3,0)),H1713,N(N1713)),IF(N(Q1713)&gt;0,Q1713,MAX(1,H1713)))))</f>
        <v>9</v>
      </c>
      <c r="BT1713" s="60" t="n">
        <f aca="false">IF(BR1713="LOSE",1,0)</f>
        <v>0</v>
      </c>
      <c r="BU1713" s="60" t="n">
        <f aca="false">IF(AND(U1713="",OR(P1713="",P1713="LOSE"),T1713&lt;&gt;"",N(S1713)&lt;=0,ISNUMBER(MATCH(T1713,Parameter!$I$27:$I$29,0))),1,0)</f>
        <v>0</v>
      </c>
      <c r="BV1713" s="55" t="str">
        <f aca="false">IF(AND(Parameter!$B$19="Ja",E1713&lt;&gt;"",ISNUMBER(MATCH(E1713,Parameter!$I$35:$I$52,0))),VLOOKUP(E1713,Parameter!$I$35:$J$52,2,0),IFERROR(VLOOKUP(D1713,Parameter!$A$35:$C$64,2,0),"Nein"))</f>
        <v>2+3</v>
      </c>
      <c r="BW1713" s="59" t="n">
        <f aca="false">IF(BT1713=0,0,IF(N(S1713)&gt;0,S1713,IFERROR(VLOOKUP(D1713,Parameter!$A$35:$C$64,3,0)+0,0)))</f>
        <v>0</v>
      </c>
      <c r="BX1713" s="55" t="n">
        <f aca="false">IF(AA1713&lt;&gt;"",AA1713,Z1713)</f>
        <v>3</v>
      </c>
      <c r="BY1713" s="55" t="str">
        <f aca="false">IF(BX1713=1,"L1",IF(OR(BX1713=2,BX1713=3),"L23",IF(BX1713="Aussen","Aussen","-")))</f>
        <v>L23</v>
      </c>
      <c r="BZ1713" s="66" t="n">
        <f aca="false">IF(N(AB1713)&gt;0,AB1713,0)</f>
        <v>0</v>
      </c>
      <c r="CA1713" s="60" t="n">
        <f aca="false">IF(ISNUMBER(AE1713),1,0)</f>
        <v>0</v>
      </c>
      <c r="CB1713" s="57" t="n">
        <f aca="false">N(AE1713)</f>
        <v>0</v>
      </c>
      <c r="CC1713" s="57" t="n">
        <f aca="false">N(M1713)+N(N1713)</f>
        <v>10</v>
      </c>
      <c r="CD1713" s="57" t="n">
        <f aca="false">ROUNDUP(H1713/BS1713,0)</f>
        <v>1</v>
      </c>
      <c r="CE1713" s="57" t="n">
        <f aca="false">ROUNDUP(CB1713/BS1713,0)</f>
        <v>0</v>
      </c>
      <c r="CF1713" s="60" t="n">
        <f aca="false">IF(BT1713=1,0,IFERROR(VLOOKUP(BR1713,'Gebinde-Kategorie'!$A$5:$M$45,5,0)+0,0))</f>
        <v>8</v>
      </c>
      <c r="CG1713" s="60" t="n">
        <f aca="false">IFERROR(IF(OR(BX1713=1,BX1713=2,BX1713=3),N(INDEX(Parameter!$I$5:$I$7,BX1713)),0),0)</f>
        <v>0</v>
      </c>
      <c r="CH1713" s="59" t="n">
        <f aca="false">IF(AND(Parameter!$B$21="Ja",ISNUMBER(W1713),N(X1713)&gt;0),IFERROR(N(INDEX(Parameter!$L$5:$L$7,W1713))*INDEX(Parameter!$E$5:$E$7,W1713)*X1713/SUMIFS($X$7:$X$1843,$W$7:$W$1843,W1713),0),0)</f>
        <v>0</v>
      </c>
    </row>
    <row r="1714" customFormat="false" ht="15" hidden="false" customHeight="false" outlineLevel="0" collapsed="false">
      <c r="A1714" s="55" t="s">
        <v>2965</v>
      </c>
      <c r="B1714" s="55" t="s">
        <v>2966</v>
      </c>
      <c r="C1714" s="55" t="s">
        <v>164</v>
      </c>
      <c r="D1714" s="55" t="s">
        <v>184</v>
      </c>
      <c r="E1714" s="55"/>
      <c r="F1714" s="55"/>
      <c r="G1714" s="56" t="n">
        <v>72.47</v>
      </c>
      <c r="H1714" s="57" t="n">
        <f aca="false">MAX(0,IF(AND(Parameter!$B$21="Ja",ISNUMBER(Y1714)),Y1714,IF(Parameter!$B$20="Jahresanfang 2025 + Export",BL1714+BK1714,BK1714)))</f>
        <v>5</v>
      </c>
      <c r="I1714" s="57" t="n">
        <f aca="false">H1714*G1714</f>
        <v>362.35</v>
      </c>
      <c r="J1714" s="57" t="n">
        <f aca="false">BN1714*Parameter!$B$18</f>
        <v>0</v>
      </c>
      <c r="K1714" s="58"/>
      <c r="L1714" s="59"/>
      <c r="M1714" s="57" t="n">
        <v>0</v>
      </c>
      <c r="N1714" s="57" t="n">
        <v>1</v>
      </c>
      <c r="O1714" s="60" t="n">
        <v>35</v>
      </c>
      <c r="P1714" s="55" t="s">
        <v>421</v>
      </c>
      <c r="Q1714" s="57" t="n">
        <v>6</v>
      </c>
      <c r="R1714" s="60" t="n">
        <f aca="false">IF(BT1714=1,0,IFERROR(VLOOKUP(BR1714,'Gebinde-Kategorie'!$A$5:$M$45,13,0)+0,0))</f>
        <v>132</v>
      </c>
      <c r="S1714" s="61"/>
      <c r="T1714" s="62"/>
      <c r="U1714" s="62"/>
      <c r="V1714" s="62"/>
      <c r="W1714" s="55"/>
      <c r="X1714" s="57"/>
      <c r="Y1714" s="57"/>
      <c r="Z1714" s="55" t="n">
        <f aca="false">IF(A1714="","",IF(AND(Parameter!$B$21="Ja",ISNUMBER(W1714)),W1714,IF(BV1714="2+3",IF(ISNUMBER(SEARCH("grosser Artikel",BO1714)),2,IFERROR(VLOOKUP(BR1714,Parameter!$F$35:$G$64,2,0),2)),IF(OR(BV1714="Nein",BV1714=""),"-",BV1714))))</f>
        <v>3</v>
      </c>
      <c r="AA1714" s="62"/>
      <c r="AB1714" s="63"/>
      <c r="AC1714" s="57" t="n">
        <f aca="false">AR1714</f>
        <v>6</v>
      </c>
      <c r="AD1714" s="57" t="n">
        <f aca="false">MAX(AR1714,H1714)</f>
        <v>6</v>
      </c>
      <c r="AE1714" s="64"/>
      <c r="AF1714" s="57" t="n">
        <f aca="false">IF(LEFT(Cockpit!$C$5,1)="A",H1714,IF(CA1714=1,CB1714,IF(LEFT(Cockpit!$C$5,1)="B",AJ1714,MAX(AJ1714,H1714))))</f>
        <v>5</v>
      </c>
      <c r="AG1714" s="57" t="n">
        <f aca="false">IF(BT1714=1,0,ROUNDUP(AF1714/BS1714,0))</f>
        <v>1</v>
      </c>
      <c r="AH1714" s="59" t="n">
        <f aca="false">IF(CH1714&gt;0,CH1714*MAX(1,AF1714/X1714),IF(BT1714=1,IF(AF1714&lt;=0,0,BW1714*MAX(1,IF(H1714&gt;0,AF1714/H1714,1))),IF(R1714&gt;0,AG1714/R1714,0))/MAX(0.1,N(Parameter!$M$21)))</f>
        <v>0.00757575757575758</v>
      </c>
      <c r="AI1714" s="57" t="n">
        <f aca="false">AF1714*G1714</f>
        <v>362.35</v>
      </c>
      <c r="AJ1714" s="57" t="n">
        <f aca="false">ROUNDUP(MAX(J1714/IF(BZ1714&gt;0,BZ1714,MAX(0.1,N(Cockpit!$C$6))),CC1714)/BS1714,0)*BS1714</f>
        <v>6</v>
      </c>
      <c r="AK1714" s="58" t="n">
        <f aca="false">IF(AH1714&gt;0,J1714/AH1714,-1)</f>
        <v>0</v>
      </c>
      <c r="AL1714" s="58" t="n">
        <f aca="false">IF(AND(OR(BY1714="L1",BY1714="L23"),AH1714&gt;0),SUMIFS($AH$7:$AH$1843,$BY$7:$BY$1843,BY1714,$AK$7:$AK$1843,"&gt;"&amp;AK1714)+SUMIFS($AH$7:$AH$1843,$BY$7:$BY$1843,BY1714,$AK$7:$AK$1843,AK1714,$BQ$7:$BQ$1843,"&lt;="&amp;BQ1714),"")</f>
        <v>96.7523647849735</v>
      </c>
      <c r="AM1714" s="65" t="n">
        <f aca="false">IF(AL1714="",0,MAX(0,MIN(1,(IF(BY1714="L1",Parameter!$E$5,Parameter!$E$6+Parameter!$E$7)-(AL1714-AH1714))/AH1714)))</f>
        <v>1</v>
      </c>
      <c r="AN1714" s="57" t="n">
        <f aca="false">IF(LEFT(Cockpit!$I$5,1)="A",H1714,IF(CA1714=1,CB1714,IF(LEFT(Cockpit!$I$5,1)="B",AR1714,MAX(AR1714,H1714))))</f>
        <v>6</v>
      </c>
      <c r="AO1714" s="57" t="n">
        <f aca="false">IF(BT1714=1,0,ROUNDUP(AN1714/BS1714,0))</f>
        <v>1</v>
      </c>
      <c r="AP1714" s="59" t="n">
        <f aca="false">IF(CH1714&gt;0,CH1714*MAX(1,AN1714/X1714),IF(BT1714=1,IF(AN1714&lt;=0,0,BW1714*MAX(1,IF(H1714&gt;0,AN1714/H1714,1))),IF(R1714&gt;0,AO1714/R1714,0))/MAX(0.1,N(Parameter!$M$21)))</f>
        <v>0.00757575757575758</v>
      </c>
      <c r="AQ1714" s="57" t="n">
        <f aca="false">AN1714*G1714</f>
        <v>434.82</v>
      </c>
      <c r="AR1714" s="57" t="n">
        <f aca="false">ROUNDUP(MAX(J1714/IF(BZ1714&gt;0,BZ1714,MAX(0.1,N(Cockpit!$I$6))),CC1714)/BS1714,0)*BS1714</f>
        <v>6</v>
      </c>
      <c r="AS1714" s="58" t="n">
        <f aca="false">IF(AP1714&gt;0,J1714/AP1714,-1)</f>
        <v>0</v>
      </c>
      <c r="AT1714" s="58" t="n">
        <f aca="false">IF(AND(OR(BY1714="L1",BY1714="L23"),AP1714&gt;0),SUMIFS($AP$7:$AP$1843,$BY$7:$BY$1843,BY1714,$AS$7:$AS$1843,"&gt;"&amp;AS1714)+SUMIFS($AP$7:$AP$1843,$BY$7:$BY$1843,BY1714,$AS$7:$AS$1843,AS1714,$BQ$7:$BQ$1843,"&lt;="&amp;BQ1714),"")</f>
        <v>142.10551163812</v>
      </c>
      <c r="AU1714" s="65" t="n">
        <f aca="false">IF(AT1714="",0,MAX(0,MIN(1,(IF(BY1714="L1",Parameter!$E$5,Parameter!$E$6+Parameter!$E$7)-(AT1714-AP1714))/AP1714)))</f>
        <v>0</v>
      </c>
      <c r="AV1714" s="57" t="n">
        <f aca="false">IF(LEFT(Cockpit!$O$5,1)="A",H1714,IF(CA1714=1,CB1714,IF(LEFT(Cockpit!$O$5,1)="B",AZ1714,MAX(AZ1714,H1714))))</f>
        <v>6</v>
      </c>
      <c r="AW1714" s="57" t="n">
        <f aca="false">IF(BT1714=1,0,ROUNDUP(AV1714/BS1714,0))</f>
        <v>1</v>
      </c>
      <c r="AX1714" s="59" t="n">
        <f aca="false">IF(CH1714&gt;0,CH1714*MAX(1,AV1714/X1714),IF(BT1714=1,IF(AV1714&lt;=0,0,BW1714*MAX(1,IF(H1714&gt;0,AV1714/H1714,1))),IF(R1714&gt;0,AW1714/R1714,0))/MAX(0.1,N(Parameter!$M$21)))</f>
        <v>0.00757575757575758</v>
      </c>
      <c r="AY1714" s="57" t="n">
        <f aca="false">AV1714*G1714</f>
        <v>434.82</v>
      </c>
      <c r="AZ1714" s="57" t="n">
        <f aca="false">ROUNDUP(MAX(J1714/IF(BZ1714&gt;0,BZ1714,MAX(0.1,N(Cockpit!$O$6))),CC1714)/BS1714,0)*BS1714</f>
        <v>6</v>
      </c>
      <c r="BA1714" s="58" t="n">
        <f aca="false">IF(AX1714&gt;0,J1714/AX1714,-1)</f>
        <v>0</v>
      </c>
      <c r="BB1714" s="58" t="n">
        <f aca="false">IF(AND(OR(BY1714="L1",BY1714="L23"),AX1714&gt;0),SUMIFS($AX$7:$AX$1843,$BY$7:$BY$1843,BY1714,$BA$7:$BA$1843,"&gt;"&amp;BA1714)+SUMIFS($AX$7:$AX$1843,$BY$7:$BY$1843,BY1714,$BA$7:$BA$1843,BA1714,$BQ$7:$BQ$1843,"&lt;="&amp;BQ1714),"")</f>
        <v>132.935348467957</v>
      </c>
      <c r="BC1714" s="65" t="n">
        <f aca="false">IF(BB1714="",0,MAX(0,MIN(1,(IF(BY1714="L1",Parameter!$E$5,Parameter!$E$6+Parameter!$E$7)-(BB1714-AX1714))/AX1714)))</f>
        <v>0</v>
      </c>
      <c r="BD1714" s="55" t="str">
        <f aca="false">IF(AH1714&lt;=0,"",IF(BY1714="Aussen","Aussenlager",IF(BY1714="-","Nicht im Lift",IF(AM1714&gt;=1,"Lift",IF(AM1714&lt;=0,"Aussenlager","teilweise")))))</f>
        <v>Lift</v>
      </c>
      <c r="BE1714" s="55" t="str">
        <f aca="false">IF(AP1714&lt;=0,"",IF(BY1714="Aussen","Aussenlager",IF(BY1714="-","Nicht im Lift",IF(AU1714&gt;=1,"Lift",IF(AU1714&lt;=0,"Aussenlager","teilweise")))))</f>
        <v>Aussenlager</v>
      </c>
      <c r="BF1714" s="55" t="str">
        <f aca="false">IF(AX1714&lt;=0,"",IF(BY1714="Aussen","Aussenlager",IF(BY1714="-","Nicht im Lift",IF(BC1714&gt;=1,"Lift",IF(BC1714&lt;=0,"Aussenlager","teilweise")))))</f>
        <v>Aussenlager</v>
      </c>
      <c r="BG1714" s="55" t="str">
        <f aca="false">IF(A1714="","",IF(BP1714=1,"Neu; ","")&amp;IF(AND(BP1714=0,BK1714&lt;0),"negativer Bestand (Export "&amp;BK1714&amp;"); ","")&amp;IF(J1714&lt;=0,"Kein Verbrauch; ","")&amp;IF(CH1714&gt;0,"Lift "&amp;W1714&amp;" lt. Liftbericht (Fach "&amp;X1714&amp;" Stk); ",IF(BU1714=1,"Gebinde geschätzt ("&amp;T1714&amp;"); ",IF(BT1714=1,"Lose – Tablare geschätzt; ","")))&amp;IF(H1714&gt;AR1714,"Überbestand "&amp;ROUND(H1714-AR1714,0)&amp;" Stk / CHF "&amp;ROUND((H1714-AR1714)*G1714,0)&amp;"; ","")&amp;IF(AND(CA1714=1,CB1714&lt;CC1714),"MAX &lt; MB+LG; ","")&amp;IF(AND(CG1714&gt;0,CF1714*10&gt;CG1714),"zu hoch für Tablar; ","")&amp;IF(AND(BP1714=0,OR(CA1714=1,AA1714&lt;&gt;"",U1714&lt;&gt;"",V1714&lt;&gt;"",AB1714&lt;&gt;"")),"manuell übersteuert; ","")&amp;IF(AND(BT1714=0,R1714=0),"Gebinde unbekannt / Stellmass fehlt; ","")&amp;IF(AND(BT1714=0,N(V1714)&lt;=0,N(Q1714)&lt;=0),"Menge pro Gebinde fehlt (Ist = 1 Gebinde); ","")&amp;BO1714)</f>
        <v>Kein Verbrauch; nur im Artikelstamm (Bestand 23.06.2026)</v>
      </c>
      <c r="BH1714" s="55"/>
      <c r="BI1714" s="55"/>
      <c r="BJ1714" s="62"/>
      <c r="BK1714" s="57" t="n">
        <v>5</v>
      </c>
      <c r="BL1714" s="57" t="n">
        <v>0</v>
      </c>
      <c r="BM1714" s="56" t="n">
        <v>0</v>
      </c>
      <c r="BN1714" s="57" t="n">
        <v>0</v>
      </c>
      <c r="BO1714" s="55" t="s">
        <v>2575</v>
      </c>
      <c r="BP1714" s="60" t="n">
        <v>0</v>
      </c>
      <c r="BQ1714" s="60" t="n">
        <v>1714</v>
      </c>
      <c r="BR1714" s="55" t="str">
        <f aca="false">IF(U1714&lt;&gt;"",UPPER(TRIM(U1714)),IF(BU1714=1,UPPER(VLOOKUP(T1714,Parameter!$I$27:$K$29,2,0)),IF(P1714="","LOSE",P1714)))</f>
        <v>S32</v>
      </c>
      <c r="BS1714" s="57" t="n">
        <f aca="false">IF(BR1714="LOSE",1,IF(N(V1714)&gt;0,V1714,IF(BU1714=1,MAX(1,N(VLOOKUP(T1714,Parameter!$I$27:$K$29,3,0)),H1714,N(N1714)),IF(N(Q1714)&gt;0,Q1714,MAX(1,H1714)))))</f>
        <v>6</v>
      </c>
      <c r="BT1714" s="60" t="n">
        <f aca="false">IF(BR1714="LOSE",1,0)</f>
        <v>0</v>
      </c>
      <c r="BU1714" s="60" t="n">
        <f aca="false">IF(AND(U1714="",OR(P1714="",P1714="LOSE"),T1714&lt;&gt;"",N(S1714)&lt;=0,ISNUMBER(MATCH(T1714,Parameter!$I$27:$I$29,0))),1,0)</f>
        <v>0</v>
      </c>
      <c r="BV1714" s="55" t="str">
        <f aca="false">IF(AND(Parameter!$B$19="Ja",E1714&lt;&gt;"",ISNUMBER(MATCH(E1714,Parameter!$I$35:$I$52,0))),VLOOKUP(E1714,Parameter!$I$35:$J$52,2,0),IFERROR(VLOOKUP(D1714,Parameter!$A$35:$C$64,2,0),"Nein"))</f>
        <v>2+3</v>
      </c>
      <c r="BW1714" s="59" t="n">
        <f aca="false">IF(BT1714=0,0,IF(N(S1714)&gt;0,S1714,IFERROR(VLOOKUP(D1714,Parameter!$A$35:$C$64,3,0)+0,0)))</f>
        <v>0</v>
      </c>
      <c r="BX1714" s="55" t="n">
        <f aca="false">IF(AA1714&lt;&gt;"",AA1714,Z1714)</f>
        <v>3</v>
      </c>
      <c r="BY1714" s="55" t="str">
        <f aca="false">IF(BX1714=1,"L1",IF(OR(BX1714=2,BX1714=3),"L23",IF(BX1714="Aussen","Aussen","-")))</f>
        <v>L23</v>
      </c>
      <c r="BZ1714" s="66" t="n">
        <f aca="false">IF(N(AB1714)&gt;0,AB1714,0)</f>
        <v>0</v>
      </c>
      <c r="CA1714" s="60" t="n">
        <f aca="false">IF(ISNUMBER(AE1714),1,0)</f>
        <v>0</v>
      </c>
      <c r="CB1714" s="57" t="n">
        <f aca="false">N(AE1714)</f>
        <v>0</v>
      </c>
      <c r="CC1714" s="57" t="n">
        <f aca="false">N(M1714)+N(N1714)</f>
        <v>1</v>
      </c>
      <c r="CD1714" s="57" t="n">
        <f aca="false">ROUNDUP(H1714/BS1714,0)</f>
        <v>1</v>
      </c>
      <c r="CE1714" s="57" t="n">
        <f aca="false">ROUNDUP(CB1714/BS1714,0)</f>
        <v>0</v>
      </c>
      <c r="CF1714" s="60" t="n">
        <f aca="false">IF(BT1714=1,0,IFERROR(VLOOKUP(BR1714,'Gebinde-Kategorie'!$A$5:$M$45,5,0)+0,0))</f>
        <v>8</v>
      </c>
      <c r="CG1714" s="60" t="n">
        <f aca="false">IFERROR(IF(OR(BX1714=1,BX1714=2,BX1714=3),N(INDEX(Parameter!$I$5:$I$7,BX1714)),0),0)</f>
        <v>0</v>
      </c>
      <c r="CH1714" s="59" t="n">
        <f aca="false">IF(AND(Parameter!$B$21="Ja",ISNUMBER(W1714),N(X1714)&gt;0),IFERROR(N(INDEX(Parameter!$L$5:$L$7,W1714))*INDEX(Parameter!$E$5:$E$7,W1714)*X1714/SUMIFS($X$7:$X$1843,$W$7:$W$1843,W1714),0),0)</f>
        <v>0</v>
      </c>
    </row>
    <row r="1715" customFormat="false" ht="15" hidden="false" customHeight="false" outlineLevel="0" collapsed="false">
      <c r="A1715" s="55" t="s">
        <v>2967</v>
      </c>
      <c r="B1715" s="55" t="s">
        <v>2968</v>
      </c>
      <c r="C1715" s="55" t="s">
        <v>164</v>
      </c>
      <c r="D1715" s="55" t="s">
        <v>184</v>
      </c>
      <c r="E1715" s="55"/>
      <c r="F1715" s="55"/>
      <c r="G1715" s="56" t="n">
        <v>17.25</v>
      </c>
      <c r="H1715" s="57" t="n">
        <f aca="false">MAX(0,IF(AND(Parameter!$B$21="Ja",ISNUMBER(Y1715)),Y1715,IF(Parameter!$B$20="Jahresanfang 2025 + Export",BL1715+BK1715,BK1715)))</f>
        <v>5</v>
      </c>
      <c r="I1715" s="57" t="n">
        <f aca="false">H1715*G1715</f>
        <v>86.25</v>
      </c>
      <c r="J1715" s="57" t="n">
        <f aca="false">BN1715*Parameter!$B$18</f>
        <v>0</v>
      </c>
      <c r="K1715" s="58"/>
      <c r="L1715" s="59"/>
      <c r="M1715" s="57" t="n">
        <v>0</v>
      </c>
      <c r="N1715" s="57" t="n">
        <v>5</v>
      </c>
      <c r="O1715" s="60" t="n">
        <v>35</v>
      </c>
      <c r="P1715" s="55" t="s">
        <v>421</v>
      </c>
      <c r="Q1715" s="57" t="n">
        <v>5</v>
      </c>
      <c r="R1715" s="60" t="n">
        <f aca="false">IF(BT1715=1,0,IFERROR(VLOOKUP(BR1715,'Gebinde-Kategorie'!$A$5:$M$45,13,0)+0,0))</f>
        <v>132</v>
      </c>
      <c r="S1715" s="61"/>
      <c r="T1715" s="62"/>
      <c r="U1715" s="62"/>
      <c r="V1715" s="62"/>
      <c r="W1715" s="55"/>
      <c r="X1715" s="57"/>
      <c r="Y1715" s="57"/>
      <c r="Z1715" s="55" t="n">
        <f aca="false">IF(A1715="","",IF(AND(Parameter!$B$21="Ja",ISNUMBER(W1715)),W1715,IF(BV1715="2+3",IF(ISNUMBER(SEARCH("grosser Artikel",BO1715)),2,IFERROR(VLOOKUP(BR1715,Parameter!$F$35:$G$64,2,0),2)),IF(OR(BV1715="Nein",BV1715=""),"-",BV1715))))</f>
        <v>3</v>
      </c>
      <c r="AA1715" s="62"/>
      <c r="AB1715" s="63"/>
      <c r="AC1715" s="57" t="n">
        <f aca="false">AR1715</f>
        <v>5</v>
      </c>
      <c r="AD1715" s="57" t="n">
        <f aca="false">MAX(AR1715,H1715)</f>
        <v>5</v>
      </c>
      <c r="AE1715" s="64"/>
      <c r="AF1715" s="57" t="n">
        <f aca="false">IF(LEFT(Cockpit!$C$5,1)="A",H1715,IF(CA1715=1,CB1715,IF(LEFT(Cockpit!$C$5,1)="B",AJ1715,MAX(AJ1715,H1715))))</f>
        <v>5</v>
      </c>
      <c r="AG1715" s="57" t="n">
        <f aca="false">IF(BT1715=1,0,ROUNDUP(AF1715/BS1715,0))</f>
        <v>1</v>
      </c>
      <c r="AH1715" s="59" t="n">
        <f aca="false">IF(CH1715&gt;0,CH1715*MAX(1,AF1715/X1715),IF(BT1715=1,IF(AF1715&lt;=0,0,BW1715*MAX(1,IF(H1715&gt;0,AF1715/H1715,1))),IF(R1715&gt;0,AG1715/R1715,0))/MAX(0.1,N(Parameter!$M$21)))</f>
        <v>0.00757575757575758</v>
      </c>
      <c r="AI1715" s="57" t="n">
        <f aca="false">AF1715*G1715</f>
        <v>86.25</v>
      </c>
      <c r="AJ1715" s="57" t="n">
        <f aca="false">ROUNDUP(MAX(J1715/IF(BZ1715&gt;0,BZ1715,MAX(0.1,N(Cockpit!$C$6))),CC1715)/BS1715,0)*BS1715</f>
        <v>5</v>
      </c>
      <c r="AK1715" s="58" t="n">
        <f aca="false">IF(AH1715&gt;0,J1715/AH1715,-1)</f>
        <v>0</v>
      </c>
      <c r="AL1715" s="58" t="n">
        <f aca="false">IF(AND(OR(BY1715="L1",BY1715="L23"),AH1715&gt;0),SUMIFS($AH$7:$AH$1843,$BY$7:$BY$1843,BY1715,$AK$7:$AK$1843,"&gt;"&amp;AK1715)+SUMIFS($AH$7:$AH$1843,$BY$7:$BY$1843,BY1715,$AK$7:$AK$1843,AK1715,$BQ$7:$BQ$1843,"&lt;="&amp;BQ1715),"")</f>
        <v>96.7599405425492</v>
      </c>
      <c r="AM1715" s="65" t="n">
        <f aca="false">IF(AL1715="",0,MAX(0,MIN(1,(IF(BY1715="L1",Parameter!$E$5,Parameter!$E$6+Parameter!$E$7)-(AL1715-AH1715))/AH1715)))</f>
        <v>1</v>
      </c>
      <c r="AN1715" s="57" t="n">
        <f aca="false">IF(LEFT(Cockpit!$I$5,1)="A",H1715,IF(CA1715=1,CB1715,IF(LEFT(Cockpit!$I$5,1)="B",AR1715,MAX(AR1715,H1715))))</f>
        <v>5</v>
      </c>
      <c r="AO1715" s="57" t="n">
        <f aca="false">IF(BT1715=1,0,ROUNDUP(AN1715/BS1715,0))</f>
        <v>1</v>
      </c>
      <c r="AP1715" s="59" t="n">
        <f aca="false">IF(CH1715&gt;0,CH1715*MAX(1,AN1715/X1715),IF(BT1715=1,IF(AN1715&lt;=0,0,BW1715*MAX(1,IF(H1715&gt;0,AN1715/H1715,1))),IF(R1715&gt;0,AO1715/R1715,0))/MAX(0.1,N(Parameter!$M$21)))</f>
        <v>0.00757575757575758</v>
      </c>
      <c r="AQ1715" s="57" t="n">
        <f aca="false">AN1715*G1715</f>
        <v>86.25</v>
      </c>
      <c r="AR1715" s="57" t="n">
        <f aca="false">ROUNDUP(MAX(J1715/IF(BZ1715&gt;0,BZ1715,MAX(0.1,N(Cockpit!$I$6))),CC1715)/BS1715,0)*BS1715</f>
        <v>5</v>
      </c>
      <c r="AS1715" s="58" t="n">
        <f aca="false">IF(AP1715&gt;0,J1715/AP1715,-1)</f>
        <v>0</v>
      </c>
      <c r="AT1715" s="58" t="n">
        <f aca="false">IF(AND(OR(BY1715="L1",BY1715="L23"),AP1715&gt;0),SUMIFS($AP$7:$AP$1843,$BY$7:$BY$1843,BY1715,$AS$7:$AS$1843,"&gt;"&amp;AS1715)+SUMIFS($AP$7:$AP$1843,$BY$7:$BY$1843,BY1715,$AS$7:$AS$1843,AS1715,$BQ$7:$BQ$1843,"&lt;="&amp;BQ1715),"")</f>
        <v>142.113087395696</v>
      </c>
      <c r="AU1715" s="65" t="n">
        <f aca="false">IF(AT1715="",0,MAX(0,MIN(1,(IF(BY1715="L1",Parameter!$E$5,Parameter!$E$6+Parameter!$E$7)-(AT1715-AP1715))/AP1715)))</f>
        <v>0</v>
      </c>
      <c r="AV1715" s="57" t="n">
        <f aca="false">IF(LEFT(Cockpit!$O$5,1)="A",H1715,IF(CA1715=1,CB1715,IF(LEFT(Cockpit!$O$5,1)="B",AZ1715,MAX(AZ1715,H1715))))</f>
        <v>5</v>
      </c>
      <c r="AW1715" s="57" t="n">
        <f aca="false">IF(BT1715=1,0,ROUNDUP(AV1715/BS1715,0))</f>
        <v>1</v>
      </c>
      <c r="AX1715" s="59" t="n">
        <f aca="false">IF(CH1715&gt;0,CH1715*MAX(1,AV1715/X1715),IF(BT1715=1,IF(AV1715&lt;=0,0,BW1715*MAX(1,IF(H1715&gt;0,AV1715/H1715,1))),IF(R1715&gt;0,AW1715/R1715,0))/MAX(0.1,N(Parameter!$M$21)))</f>
        <v>0.00757575757575758</v>
      </c>
      <c r="AY1715" s="57" t="n">
        <f aca="false">AV1715*G1715</f>
        <v>86.25</v>
      </c>
      <c r="AZ1715" s="57" t="n">
        <f aca="false">ROUNDUP(MAX(J1715/IF(BZ1715&gt;0,BZ1715,MAX(0.1,N(Cockpit!$O$6))),CC1715)/BS1715,0)*BS1715</f>
        <v>5</v>
      </c>
      <c r="BA1715" s="58" t="n">
        <f aca="false">IF(AX1715&gt;0,J1715/AX1715,-1)</f>
        <v>0</v>
      </c>
      <c r="BB1715" s="58" t="n">
        <f aca="false">IF(AND(OR(BY1715="L1",BY1715="L23"),AX1715&gt;0),SUMIFS($AX$7:$AX$1843,$BY$7:$BY$1843,BY1715,$BA$7:$BA$1843,"&gt;"&amp;BA1715)+SUMIFS($AX$7:$AX$1843,$BY$7:$BY$1843,BY1715,$BA$7:$BA$1843,BA1715,$BQ$7:$BQ$1843,"&lt;="&amp;BQ1715),"")</f>
        <v>132.942924225533</v>
      </c>
      <c r="BC1715" s="65" t="n">
        <f aca="false">IF(BB1715="",0,MAX(0,MIN(1,(IF(BY1715="L1",Parameter!$E$5,Parameter!$E$6+Parameter!$E$7)-(BB1715-AX1715))/AX1715)))</f>
        <v>0</v>
      </c>
      <c r="BD1715" s="55" t="str">
        <f aca="false">IF(AH1715&lt;=0,"",IF(BY1715="Aussen","Aussenlager",IF(BY1715="-","Nicht im Lift",IF(AM1715&gt;=1,"Lift",IF(AM1715&lt;=0,"Aussenlager","teilweise")))))</f>
        <v>Lift</v>
      </c>
      <c r="BE1715" s="55" t="str">
        <f aca="false">IF(AP1715&lt;=0,"",IF(BY1715="Aussen","Aussenlager",IF(BY1715="-","Nicht im Lift",IF(AU1715&gt;=1,"Lift",IF(AU1715&lt;=0,"Aussenlager","teilweise")))))</f>
        <v>Aussenlager</v>
      </c>
      <c r="BF1715" s="55" t="str">
        <f aca="false">IF(AX1715&lt;=0,"",IF(BY1715="Aussen","Aussenlager",IF(BY1715="-","Nicht im Lift",IF(BC1715&gt;=1,"Lift",IF(BC1715&lt;=0,"Aussenlager","teilweise")))))</f>
        <v>Aussenlager</v>
      </c>
      <c r="BG1715" s="55" t="str">
        <f aca="false">IF(A1715="","",IF(BP1715=1,"Neu; ","")&amp;IF(AND(BP1715=0,BK1715&lt;0),"negativer Bestand (Export "&amp;BK1715&amp;"); ","")&amp;IF(J1715&lt;=0,"Kein Verbrauch; ","")&amp;IF(CH1715&gt;0,"Lift "&amp;W1715&amp;" lt. Liftbericht (Fach "&amp;X1715&amp;" Stk); ",IF(BU1715=1,"Gebinde geschätzt ("&amp;T1715&amp;"); ",IF(BT1715=1,"Lose – Tablare geschätzt; ","")))&amp;IF(H1715&gt;AR1715,"Überbestand "&amp;ROUND(H1715-AR1715,0)&amp;" Stk / CHF "&amp;ROUND((H1715-AR1715)*G1715,0)&amp;"; ","")&amp;IF(AND(CA1715=1,CB1715&lt;CC1715),"MAX &lt; MB+LG; ","")&amp;IF(AND(CG1715&gt;0,CF1715*10&gt;CG1715),"zu hoch für Tablar; ","")&amp;IF(AND(BP1715=0,OR(CA1715=1,AA1715&lt;&gt;"",U1715&lt;&gt;"",V1715&lt;&gt;"",AB1715&lt;&gt;"")),"manuell übersteuert; ","")&amp;IF(AND(BT1715=0,R1715=0),"Gebinde unbekannt / Stellmass fehlt; ","")&amp;IF(AND(BT1715=0,N(V1715)&lt;=0,N(Q1715)&lt;=0),"Menge pro Gebinde fehlt (Ist = 1 Gebinde); ","")&amp;BO1715)</f>
        <v>Kein Verbrauch; nur im Artikelstamm (Bestand 23.06.2026)</v>
      </c>
      <c r="BH1715" s="55"/>
      <c r="BI1715" s="55"/>
      <c r="BJ1715" s="62"/>
      <c r="BK1715" s="57" t="n">
        <v>5</v>
      </c>
      <c r="BL1715" s="57" t="n">
        <v>0</v>
      </c>
      <c r="BM1715" s="56" t="n">
        <v>0</v>
      </c>
      <c r="BN1715" s="57" t="n">
        <v>0</v>
      </c>
      <c r="BO1715" s="55" t="s">
        <v>2575</v>
      </c>
      <c r="BP1715" s="60" t="n">
        <v>0</v>
      </c>
      <c r="BQ1715" s="60" t="n">
        <v>1715</v>
      </c>
      <c r="BR1715" s="55" t="str">
        <f aca="false">IF(U1715&lt;&gt;"",UPPER(TRIM(U1715)),IF(BU1715=1,UPPER(VLOOKUP(T1715,Parameter!$I$27:$K$29,2,0)),IF(P1715="","LOSE",P1715)))</f>
        <v>S32</v>
      </c>
      <c r="BS1715" s="57" t="n">
        <f aca="false">IF(BR1715="LOSE",1,IF(N(V1715)&gt;0,V1715,IF(BU1715=1,MAX(1,N(VLOOKUP(T1715,Parameter!$I$27:$K$29,3,0)),H1715,N(N1715)),IF(N(Q1715)&gt;0,Q1715,MAX(1,H1715)))))</f>
        <v>5</v>
      </c>
      <c r="BT1715" s="60" t="n">
        <f aca="false">IF(BR1715="LOSE",1,0)</f>
        <v>0</v>
      </c>
      <c r="BU1715" s="60" t="n">
        <f aca="false">IF(AND(U1715="",OR(P1715="",P1715="LOSE"),T1715&lt;&gt;"",N(S1715)&lt;=0,ISNUMBER(MATCH(T1715,Parameter!$I$27:$I$29,0))),1,0)</f>
        <v>0</v>
      </c>
      <c r="BV1715" s="55" t="str">
        <f aca="false">IF(AND(Parameter!$B$19="Ja",E1715&lt;&gt;"",ISNUMBER(MATCH(E1715,Parameter!$I$35:$I$52,0))),VLOOKUP(E1715,Parameter!$I$35:$J$52,2,0),IFERROR(VLOOKUP(D1715,Parameter!$A$35:$C$64,2,0),"Nein"))</f>
        <v>2+3</v>
      </c>
      <c r="BW1715" s="59" t="n">
        <f aca="false">IF(BT1715=0,0,IF(N(S1715)&gt;0,S1715,IFERROR(VLOOKUP(D1715,Parameter!$A$35:$C$64,3,0)+0,0)))</f>
        <v>0</v>
      </c>
      <c r="BX1715" s="55" t="n">
        <f aca="false">IF(AA1715&lt;&gt;"",AA1715,Z1715)</f>
        <v>3</v>
      </c>
      <c r="BY1715" s="55" t="str">
        <f aca="false">IF(BX1715=1,"L1",IF(OR(BX1715=2,BX1715=3),"L23",IF(BX1715="Aussen","Aussen","-")))</f>
        <v>L23</v>
      </c>
      <c r="BZ1715" s="66" t="n">
        <f aca="false">IF(N(AB1715)&gt;0,AB1715,0)</f>
        <v>0</v>
      </c>
      <c r="CA1715" s="60" t="n">
        <f aca="false">IF(ISNUMBER(AE1715),1,0)</f>
        <v>0</v>
      </c>
      <c r="CB1715" s="57" t="n">
        <f aca="false">N(AE1715)</f>
        <v>0</v>
      </c>
      <c r="CC1715" s="57" t="n">
        <f aca="false">N(M1715)+N(N1715)</f>
        <v>5</v>
      </c>
      <c r="CD1715" s="57" t="n">
        <f aca="false">ROUNDUP(H1715/BS1715,0)</f>
        <v>1</v>
      </c>
      <c r="CE1715" s="57" t="n">
        <f aca="false">ROUNDUP(CB1715/BS1715,0)</f>
        <v>0</v>
      </c>
      <c r="CF1715" s="60" t="n">
        <f aca="false">IF(BT1715=1,0,IFERROR(VLOOKUP(BR1715,'Gebinde-Kategorie'!$A$5:$M$45,5,0)+0,0))</f>
        <v>8</v>
      </c>
      <c r="CG1715" s="60" t="n">
        <f aca="false">IFERROR(IF(OR(BX1715=1,BX1715=2,BX1715=3),N(INDEX(Parameter!$I$5:$I$7,BX1715)),0),0)</f>
        <v>0</v>
      </c>
      <c r="CH1715" s="59" t="n">
        <f aca="false">IF(AND(Parameter!$B$21="Ja",ISNUMBER(W1715),N(X1715)&gt;0),IFERROR(N(INDEX(Parameter!$L$5:$L$7,W1715))*INDEX(Parameter!$E$5:$E$7,W1715)*X1715/SUMIFS($X$7:$X$1843,$W$7:$W$1843,W1715),0),0)</f>
        <v>0</v>
      </c>
    </row>
    <row r="1716" customFormat="false" ht="15" hidden="false" customHeight="false" outlineLevel="0" collapsed="false">
      <c r="A1716" s="55" t="s">
        <v>2969</v>
      </c>
      <c r="B1716" s="55" t="s">
        <v>2970</v>
      </c>
      <c r="C1716" s="55" t="s">
        <v>164</v>
      </c>
      <c r="D1716" s="55" t="s">
        <v>184</v>
      </c>
      <c r="E1716" s="55"/>
      <c r="F1716" s="55"/>
      <c r="G1716" s="56" t="n">
        <v>123.64</v>
      </c>
      <c r="H1716" s="57" t="n">
        <f aca="false">MAX(0,IF(AND(Parameter!$B$21="Ja",ISNUMBER(Y1716)),Y1716,IF(Parameter!$B$20="Jahresanfang 2025 + Export",BL1716+BK1716,BK1716)))</f>
        <v>4</v>
      </c>
      <c r="I1716" s="57" t="n">
        <f aca="false">H1716*G1716</f>
        <v>494.56</v>
      </c>
      <c r="J1716" s="57" t="n">
        <f aca="false">BN1716*Parameter!$B$18</f>
        <v>0</v>
      </c>
      <c r="K1716" s="58"/>
      <c r="L1716" s="59"/>
      <c r="M1716" s="57" t="n">
        <v>0</v>
      </c>
      <c r="N1716" s="57" t="n">
        <v>1</v>
      </c>
      <c r="O1716" s="60" t="n">
        <v>0</v>
      </c>
      <c r="P1716" s="55" t="s">
        <v>421</v>
      </c>
      <c r="Q1716" s="57" t="n">
        <v>3</v>
      </c>
      <c r="R1716" s="60" t="n">
        <f aca="false">IF(BT1716=1,0,IFERROR(VLOOKUP(BR1716,'Gebinde-Kategorie'!$A$5:$M$45,13,0)+0,0))</f>
        <v>132</v>
      </c>
      <c r="S1716" s="61"/>
      <c r="T1716" s="62"/>
      <c r="U1716" s="62"/>
      <c r="V1716" s="62"/>
      <c r="W1716" s="55"/>
      <c r="X1716" s="57"/>
      <c r="Y1716" s="57"/>
      <c r="Z1716" s="55" t="n">
        <f aca="false">IF(A1716="","",IF(AND(Parameter!$B$21="Ja",ISNUMBER(W1716)),W1716,IF(BV1716="2+3",IF(ISNUMBER(SEARCH("grosser Artikel",BO1716)),2,IFERROR(VLOOKUP(BR1716,Parameter!$F$35:$G$64,2,0),2)),IF(OR(BV1716="Nein",BV1716=""),"-",BV1716))))</f>
        <v>3</v>
      </c>
      <c r="AA1716" s="62"/>
      <c r="AB1716" s="63"/>
      <c r="AC1716" s="57" t="n">
        <f aca="false">AR1716</f>
        <v>3</v>
      </c>
      <c r="AD1716" s="57" t="n">
        <f aca="false">MAX(AR1716,H1716)</f>
        <v>4</v>
      </c>
      <c r="AE1716" s="64"/>
      <c r="AF1716" s="57" t="n">
        <f aca="false">IF(LEFT(Cockpit!$C$5,1)="A",H1716,IF(CA1716=1,CB1716,IF(LEFT(Cockpit!$C$5,1)="B",AJ1716,MAX(AJ1716,H1716))))</f>
        <v>4</v>
      </c>
      <c r="AG1716" s="57" t="n">
        <f aca="false">IF(BT1716=1,0,ROUNDUP(AF1716/BS1716,0))</f>
        <v>2</v>
      </c>
      <c r="AH1716" s="59" t="n">
        <f aca="false">IF(CH1716&gt;0,CH1716*MAX(1,AF1716/X1716),IF(BT1716=1,IF(AF1716&lt;=0,0,BW1716*MAX(1,IF(H1716&gt;0,AF1716/H1716,1))),IF(R1716&gt;0,AG1716/R1716,0))/MAX(0.1,N(Parameter!$M$21)))</f>
        <v>0.0151515151515152</v>
      </c>
      <c r="AI1716" s="57" t="n">
        <f aca="false">AF1716*G1716</f>
        <v>494.56</v>
      </c>
      <c r="AJ1716" s="57" t="n">
        <f aca="false">ROUNDUP(MAX(J1716/IF(BZ1716&gt;0,BZ1716,MAX(0.1,N(Cockpit!$C$6))),CC1716)/BS1716,0)*BS1716</f>
        <v>3</v>
      </c>
      <c r="AK1716" s="58" t="n">
        <f aca="false">IF(AH1716&gt;0,J1716/AH1716,-1)</f>
        <v>0</v>
      </c>
      <c r="AL1716" s="58" t="n">
        <f aca="false">IF(AND(OR(BY1716="L1",BY1716="L23"),AH1716&gt;0),SUMIFS($AH$7:$AH$1843,$BY$7:$BY$1843,BY1716,$AK$7:$AK$1843,"&gt;"&amp;AK1716)+SUMIFS($AH$7:$AH$1843,$BY$7:$BY$1843,BY1716,$AK$7:$AK$1843,AK1716,$BQ$7:$BQ$1843,"&lt;="&amp;BQ1716),"")</f>
        <v>96.7750920577008</v>
      </c>
      <c r="AM1716" s="65" t="n">
        <f aca="false">IF(AL1716="",0,MAX(0,MIN(1,(IF(BY1716="L1",Parameter!$E$5,Parameter!$E$6+Parameter!$E$7)-(AL1716-AH1716))/AH1716)))</f>
        <v>1</v>
      </c>
      <c r="AN1716" s="57" t="n">
        <f aca="false">IF(LEFT(Cockpit!$I$5,1)="A",H1716,IF(CA1716=1,CB1716,IF(LEFT(Cockpit!$I$5,1)="B",AR1716,MAX(AR1716,H1716))))</f>
        <v>4</v>
      </c>
      <c r="AO1716" s="57" t="n">
        <f aca="false">IF(BT1716=1,0,ROUNDUP(AN1716/BS1716,0))</f>
        <v>2</v>
      </c>
      <c r="AP1716" s="59" t="n">
        <f aca="false">IF(CH1716&gt;0,CH1716*MAX(1,AN1716/X1716),IF(BT1716=1,IF(AN1716&lt;=0,0,BW1716*MAX(1,IF(H1716&gt;0,AN1716/H1716,1))),IF(R1716&gt;0,AO1716/R1716,0))/MAX(0.1,N(Parameter!$M$21)))</f>
        <v>0.0151515151515152</v>
      </c>
      <c r="AQ1716" s="57" t="n">
        <f aca="false">AN1716*G1716</f>
        <v>494.56</v>
      </c>
      <c r="AR1716" s="57" t="n">
        <f aca="false">ROUNDUP(MAX(J1716/IF(BZ1716&gt;0,BZ1716,MAX(0.1,N(Cockpit!$I$6))),CC1716)/BS1716,0)*BS1716</f>
        <v>3</v>
      </c>
      <c r="AS1716" s="58" t="n">
        <f aca="false">IF(AP1716&gt;0,J1716/AP1716,-1)</f>
        <v>0</v>
      </c>
      <c r="AT1716" s="58" t="n">
        <f aca="false">IF(AND(OR(BY1716="L1",BY1716="L23"),AP1716&gt;0),SUMIFS($AP$7:$AP$1843,$BY$7:$BY$1843,BY1716,$AS$7:$AS$1843,"&gt;"&amp;AS1716)+SUMIFS($AP$7:$AP$1843,$BY$7:$BY$1843,BY1716,$AS$7:$AS$1843,AS1716,$BQ$7:$BQ$1843,"&lt;="&amp;BQ1716),"")</f>
        <v>142.128238910848</v>
      </c>
      <c r="AU1716" s="65" t="n">
        <f aca="false">IF(AT1716="",0,MAX(0,MIN(1,(IF(BY1716="L1",Parameter!$E$5,Parameter!$E$6+Parameter!$E$7)-(AT1716-AP1716))/AP1716)))</f>
        <v>0</v>
      </c>
      <c r="AV1716" s="57" t="n">
        <f aca="false">IF(LEFT(Cockpit!$O$5,1)="A",H1716,IF(CA1716=1,CB1716,IF(LEFT(Cockpit!$O$5,1)="B",AZ1716,MAX(AZ1716,H1716))))</f>
        <v>4</v>
      </c>
      <c r="AW1716" s="57" t="n">
        <f aca="false">IF(BT1716=1,0,ROUNDUP(AV1716/BS1716,0))</f>
        <v>2</v>
      </c>
      <c r="AX1716" s="59" t="n">
        <f aca="false">IF(CH1716&gt;0,CH1716*MAX(1,AV1716/X1716),IF(BT1716=1,IF(AV1716&lt;=0,0,BW1716*MAX(1,IF(H1716&gt;0,AV1716/H1716,1))),IF(R1716&gt;0,AW1716/R1716,0))/MAX(0.1,N(Parameter!$M$21)))</f>
        <v>0.0151515151515152</v>
      </c>
      <c r="AY1716" s="57" t="n">
        <f aca="false">AV1716*G1716</f>
        <v>494.56</v>
      </c>
      <c r="AZ1716" s="57" t="n">
        <f aca="false">ROUNDUP(MAX(J1716/IF(BZ1716&gt;0,BZ1716,MAX(0.1,N(Cockpit!$O$6))),CC1716)/BS1716,0)*BS1716</f>
        <v>3</v>
      </c>
      <c r="BA1716" s="58" t="n">
        <f aca="false">IF(AX1716&gt;0,J1716/AX1716,-1)</f>
        <v>0</v>
      </c>
      <c r="BB1716" s="58" t="n">
        <f aca="false">IF(AND(OR(BY1716="L1",BY1716="L23"),AX1716&gt;0),SUMIFS($AX$7:$AX$1843,$BY$7:$BY$1843,BY1716,$BA$7:$BA$1843,"&gt;"&amp;BA1716)+SUMIFS($AX$7:$AX$1843,$BY$7:$BY$1843,BY1716,$BA$7:$BA$1843,BA1716,$BQ$7:$BQ$1843,"&lt;="&amp;BQ1716),"")</f>
        <v>132.958075740684</v>
      </c>
      <c r="BC1716" s="65" t="n">
        <f aca="false">IF(BB1716="",0,MAX(0,MIN(1,(IF(BY1716="L1",Parameter!$E$5,Parameter!$E$6+Parameter!$E$7)-(BB1716-AX1716))/AX1716)))</f>
        <v>0</v>
      </c>
      <c r="BD1716" s="55" t="str">
        <f aca="false">IF(AH1716&lt;=0,"",IF(BY1716="Aussen","Aussenlager",IF(BY1716="-","Nicht im Lift",IF(AM1716&gt;=1,"Lift",IF(AM1716&lt;=0,"Aussenlager","teilweise")))))</f>
        <v>Lift</v>
      </c>
      <c r="BE1716" s="55" t="str">
        <f aca="false">IF(AP1716&lt;=0,"",IF(BY1716="Aussen","Aussenlager",IF(BY1716="-","Nicht im Lift",IF(AU1716&gt;=1,"Lift",IF(AU1716&lt;=0,"Aussenlager","teilweise")))))</f>
        <v>Aussenlager</v>
      </c>
      <c r="BF1716" s="55" t="str">
        <f aca="false">IF(AX1716&lt;=0,"",IF(BY1716="Aussen","Aussenlager",IF(BY1716="-","Nicht im Lift",IF(BC1716&gt;=1,"Lift",IF(BC1716&lt;=0,"Aussenlager","teilweise")))))</f>
        <v>Aussenlager</v>
      </c>
      <c r="BG1716" s="55" t="str">
        <f aca="false">IF(A1716="","",IF(BP1716=1,"Neu; ","")&amp;IF(AND(BP1716=0,BK1716&lt;0),"negativer Bestand (Export "&amp;BK1716&amp;"); ","")&amp;IF(J1716&lt;=0,"Kein Verbrauch; ","")&amp;IF(CH1716&gt;0,"Lift "&amp;W1716&amp;" lt. Liftbericht (Fach "&amp;X1716&amp;" Stk); ",IF(BU1716=1,"Gebinde geschätzt ("&amp;T1716&amp;"); ",IF(BT1716=1,"Lose – Tablare geschätzt; ","")))&amp;IF(H1716&gt;AR1716,"Überbestand "&amp;ROUND(H1716-AR1716,0)&amp;" Stk / CHF "&amp;ROUND((H1716-AR1716)*G1716,0)&amp;"; ","")&amp;IF(AND(CA1716=1,CB1716&lt;CC1716),"MAX &lt; MB+LG; ","")&amp;IF(AND(CG1716&gt;0,CF1716*10&gt;CG1716),"zu hoch für Tablar; ","")&amp;IF(AND(BP1716=0,OR(CA1716=1,AA1716&lt;&gt;"",U1716&lt;&gt;"",V1716&lt;&gt;"",AB1716&lt;&gt;"")),"manuell übersteuert; ","")&amp;IF(AND(BT1716=0,R1716=0),"Gebinde unbekannt / Stellmass fehlt; ","")&amp;IF(AND(BT1716=0,N(V1716)&lt;=0,N(Q1716)&lt;=0),"Menge pro Gebinde fehlt (Ist = 1 Gebinde); ","")&amp;BO1716)</f>
        <v>Kein Verbrauch; Überbestand 1 Stk / CHF 124; nur im Artikelstamm (Bestand 23.06.2026)</v>
      </c>
      <c r="BH1716" s="55"/>
      <c r="BI1716" s="55"/>
      <c r="BJ1716" s="62"/>
      <c r="BK1716" s="57" t="n">
        <v>4</v>
      </c>
      <c r="BL1716" s="57" t="n">
        <v>0</v>
      </c>
      <c r="BM1716" s="56" t="n">
        <v>0</v>
      </c>
      <c r="BN1716" s="57" t="n">
        <v>0</v>
      </c>
      <c r="BO1716" s="55" t="s">
        <v>2575</v>
      </c>
      <c r="BP1716" s="60" t="n">
        <v>0</v>
      </c>
      <c r="BQ1716" s="60" t="n">
        <v>1716</v>
      </c>
      <c r="BR1716" s="55" t="str">
        <f aca="false">IF(U1716&lt;&gt;"",UPPER(TRIM(U1716)),IF(BU1716=1,UPPER(VLOOKUP(T1716,Parameter!$I$27:$K$29,2,0)),IF(P1716="","LOSE",P1716)))</f>
        <v>S32</v>
      </c>
      <c r="BS1716" s="57" t="n">
        <f aca="false">IF(BR1716="LOSE",1,IF(N(V1716)&gt;0,V1716,IF(BU1716=1,MAX(1,N(VLOOKUP(T1716,Parameter!$I$27:$K$29,3,0)),H1716,N(N1716)),IF(N(Q1716)&gt;0,Q1716,MAX(1,H1716)))))</f>
        <v>3</v>
      </c>
      <c r="BT1716" s="60" t="n">
        <f aca="false">IF(BR1716="LOSE",1,0)</f>
        <v>0</v>
      </c>
      <c r="BU1716" s="60" t="n">
        <f aca="false">IF(AND(U1716="",OR(P1716="",P1716="LOSE"),T1716&lt;&gt;"",N(S1716)&lt;=0,ISNUMBER(MATCH(T1716,Parameter!$I$27:$I$29,0))),1,0)</f>
        <v>0</v>
      </c>
      <c r="BV1716" s="55" t="str">
        <f aca="false">IF(AND(Parameter!$B$19="Ja",E1716&lt;&gt;"",ISNUMBER(MATCH(E1716,Parameter!$I$35:$I$52,0))),VLOOKUP(E1716,Parameter!$I$35:$J$52,2,0),IFERROR(VLOOKUP(D1716,Parameter!$A$35:$C$64,2,0),"Nein"))</f>
        <v>2+3</v>
      </c>
      <c r="BW1716" s="59" t="n">
        <f aca="false">IF(BT1716=0,0,IF(N(S1716)&gt;0,S1716,IFERROR(VLOOKUP(D1716,Parameter!$A$35:$C$64,3,0)+0,0)))</f>
        <v>0</v>
      </c>
      <c r="BX1716" s="55" t="n">
        <f aca="false">IF(AA1716&lt;&gt;"",AA1716,Z1716)</f>
        <v>3</v>
      </c>
      <c r="BY1716" s="55" t="str">
        <f aca="false">IF(BX1716=1,"L1",IF(OR(BX1716=2,BX1716=3),"L23",IF(BX1716="Aussen","Aussen","-")))</f>
        <v>L23</v>
      </c>
      <c r="BZ1716" s="66" t="n">
        <f aca="false">IF(N(AB1716)&gt;0,AB1716,0)</f>
        <v>0</v>
      </c>
      <c r="CA1716" s="60" t="n">
        <f aca="false">IF(ISNUMBER(AE1716),1,0)</f>
        <v>0</v>
      </c>
      <c r="CB1716" s="57" t="n">
        <f aca="false">N(AE1716)</f>
        <v>0</v>
      </c>
      <c r="CC1716" s="57" t="n">
        <f aca="false">N(M1716)+N(N1716)</f>
        <v>1</v>
      </c>
      <c r="CD1716" s="57" t="n">
        <f aca="false">ROUNDUP(H1716/BS1716,0)</f>
        <v>2</v>
      </c>
      <c r="CE1716" s="57" t="n">
        <f aca="false">ROUNDUP(CB1716/BS1716,0)</f>
        <v>0</v>
      </c>
      <c r="CF1716" s="60" t="n">
        <f aca="false">IF(BT1716=1,0,IFERROR(VLOOKUP(BR1716,'Gebinde-Kategorie'!$A$5:$M$45,5,0)+0,0))</f>
        <v>8</v>
      </c>
      <c r="CG1716" s="60" t="n">
        <f aca="false">IFERROR(IF(OR(BX1716=1,BX1716=2,BX1716=3),N(INDEX(Parameter!$I$5:$I$7,BX1716)),0),0)</f>
        <v>0</v>
      </c>
      <c r="CH1716" s="59" t="n">
        <f aca="false">IF(AND(Parameter!$B$21="Ja",ISNUMBER(W1716),N(X1716)&gt;0),IFERROR(N(INDEX(Parameter!$L$5:$L$7,W1716))*INDEX(Parameter!$E$5:$E$7,W1716)*X1716/SUMIFS($X$7:$X$1843,$W$7:$W$1843,W1716),0),0)</f>
        <v>0</v>
      </c>
    </row>
    <row r="1717" customFormat="false" ht="15" hidden="false" customHeight="false" outlineLevel="0" collapsed="false">
      <c r="A1717" s="55" t="s">
        <v>2971</v>
      </c>
      <c r="B1717" s="55" t="s">
        <v>2972</v>
      </c>
      <c r="C1717" s="55" t="s">
        <v>164</v>
      </c>
      <c r="D1717" s="55" t="s">
        <v>184</v>
      </c>
      <c r="E1717" s="55"/>
      <c r="F1717" s="55"/>
      <c r="G1717" s="56" t="n">
        <v>75.83</v>
      </c>
      <c r="H1717" s="57" t="n">
        <f aca="false">MAX(0,IF(AND(Parameter!$B$21="Ja",ISNUMBER(Y1717)),Y1717,IF(Parameter!$B$20="Jahresanfang 2025 + Export",BL1717+BK1717,BK1717)))</f>
        <v>1</v>
      </c>
      <c r="I1717" s="57" t="n">
        <f aca="false">H1717*G1717</f>
        <v>75.83</v>
      </c>
      <c r="J1717" s="57" t="n">
        <f aca="false">BN1717*Parameter!$B$18</f>
        <v>0</v>
      </c>
      <c r="K1717" s="58"/>
      <c r="L1717" s="59"/>
      <c r="M1717" s="57" t="n">
        <v>0</v>
      </c>
      <c r="N1717" s="57" t="n">
        <v>1</v>
      </c>
      <c r="O1717" s="60" t="n">
        <v>28</v>
      </c>
      <c r="P1717" s="55" t="s">
        <v>421</v>
      </c>
      <c r="Q1717" s="57" t="n">
        <v>1</v>
      </c>
      <c r="R1717" s="60" t="n">
        <f aca="false">IF(BT1717=1,0,IFERROR(VLOOKUP(BR1717,'Gebinde-Kategorie'!$A$5:$M$45,13,0)+0,0))</f>
        <v>132</v>
      </c>
      <c r="S1717" s="61"/>
      <c r="T1717" s="62"/>
      <c r="U1717" s="62"/>
      <c r="V1717" s="62"/>
      <c r="W1717" s="55"/>
      <c r="X1717" s="57"/>
      <c r="Y1717" s="57"/>
      <c r="Z1717" s="55" t="n">
        <f aca="false">IF(A1717="","",IF(AND(Parameter!$B$21="Ja",ISNUMBER(W1717)),W1717,IF(BV1717="2+3",IF(ISNUMBER(SEARCH("grosser Artikel",BO1717)),2,IFERROR(VLOOKUP(BR1717,Parameter!$F$35:$G$64,2,0),2)),IF(OR(BV1717="Nein",BV1717=""),"-",BV1717))))</f>
        <v>3</v>
      </c>
      <c r="AA1717" s="62"/>
      <c r="AB1717" s="63"/>
      <c r="AC1717" s="57" t="n">
        <f aca="false">AR1717</f>
        <v>1</v>
      </c>
      <c r="AD1717" s="57" t="n">
        <f aca="false">MAX(AR1717,H1717)</f>
        <v>1</v>
      </c>
      <c r="AE1717" s="64"/>
      <c r="AF1717" s="57" t="n">
        <f aca="false">IF(LEFT(Cockpit!$C$5,1)="A",H1717,IF(CA1717=1,CB1717,IF(LEFT(Cockpit!$C$5,1)="B",AJ1717,MAX(AJ1717,H1717))))</f>
        <v>1</v>
      </c>
      <c r="AG1717" s="57" t="n">
        <f aca="false">IF(BT1717=1,0,ROUNDUP(AF1717/BS1717,0))</f>
        <v>1</v>
      </c>
      <c r="AH1717" s="59" t="n">
        <f aca="false">IF(CH1717&gt;0,CH1717*MAX(1,AF1717/X1717),IF(BT1717=1,IF(AF1717&lt;=0,0,BW1717*MAX(1,IF(H1717&gt;0,AF1717/H1717,1))),IF(R1717&gt;0,AG1717/R1717,0))/MAX(0.1,N(Parameter!$M$21)))</f>
        <v>0.00757575757575758</v>
      </c>
      <c r="AI1717" s="57" t="n">
        <f aca="false">AF1717*G1717</f>
        <v>75.83</v>
      </c>
      <c r="AJ1717" s="57" t="n">
        <f aca="false">ROUNDUP(MAX(J1717/IF(BZ1717&gt;0,BZ1717,MAX(0.1,N(Cockpit!$C$6))),CC1717)/BS1717,0)*BS1717</f>
        <v>1</v>
      </c>
      <c r="AK1717" s="58" t="n">
        <f aca="false">IF(AH1717&gt;0,J1717/AH1717,-1)</f>
        <v>0</v>
      </c>
      <c r="AL1717" s="58" t="n">
        <f aca="false">IF(AND(OR(BY1717="L1",BY1717="L23"),AH1717&gt;0),SUMIFS($AH$7:$AH$1843,$BY$7:$BY$1843,BY1717,$AK$7:$AK$1843,"&gt;"&amp;AK1717)+SUMIFS($AH$7:$AH$1843,$BY$7:$BY$1843,BY1717,$AK$7:$AK$1843,AK1717,$BQ$7:$BQ$1843,"&lt;="&amp;BQ1717),"")</f>
        <v>96.7826678152765</v>
      </c>
      <c r="AM1717" s="65" t="n">
        <f aca="false">IF(AL1717="",0,MAX(0,MIN(1,(IF(BY1717="L1",Parameter!$E$5,Parameter!$E$6+Parameter!$E$7)-(AL1717-AH1717))/AH1717)))</f>
        <v>1</v>
      </c>
      <c r="AN1717" s="57" t="n">
        <f aca="false">IF(LEFT(Cockpit!$I$5,1)="A",H1717,IF(CA1717=1,CB1717,IF(LEFT(Cockpit!$I$5,1)="B",AR1717,MAX(AR1717,H1717))))</f>
        <v>1</v>
      </c>
      <c r="AO1717" s="57" t="n">
        <f aca="false">IF(BT1717=1,0,ROUNDUP(AN1717/BS1717,0))</f>
        <v>1</v>
      </c>
      <c r="AP1717" s="59" t="n">
        <f aca="false">IF(CH1717&gt;0,CH1717*MAX(1,AN1717/X1717),IF(BT1717=1,IF(AN1717&lt;=0,0,BW1717*MAX(1,IF(H1717&gt;0,AN1717/H1717,1))),IF(R1717&gt;0,AO1717/R1717,0))/MAX(0.1,N(Parameter!$M$21)))</f>
        <v>0.00757575757575758</v>
      </c>
      <c r="AQ1717" s="57" t="n">
        <f aca="false">AN1717*G1717</f>
        <v>75.83</v>
      </c>
      <c r="AR1717" s="57" t="n">
        <f aca="false">ROUNDUP(MAX(J1717/IF(BZ1717&gt;0,BZ1717,MAX(0.1,N(Cockpit!$I$6))),CC1717)/BS1717,0)*BS1717</f>
        <v>1</v>
      </c>
      <c r="AS1717" s="58" t="n">
        <f aca="false">IF(AP1717&gt;0,J1717/AP1717,-1)</f>
        <v>0</v>
      </c>
      <c r="AT1717" s="58" t="n">
        <f aca="false">IF(AND(OR(BY1717="L1",BY1717="L23"),AP1717&gt;0),SUMIFS($AP$7:$AP$1843,$BY$7:$BY$1843,BY1717,$AS$7:$AS$1843,"&gt;"&amp;AS1717)+SUMIFS($AP$7:$AP$1843,$BY$7:$BY$1843,BY1717,$AS$7:$AS$1843,AS1717,$BQ$7:$BQ$1843,"&lt;="&amp;BQ1717),"")</f>
        <v>142.135814668423</v>
      </c>
      <c r="AU1717" s="65" t="n">
        <f aca="false">IF(AT1717="",0,MAX(0,MIN(1,(IF(BY1717="L1",Parameter!$E$5,Parameter!$E$6+Parameter!$E$7)-(AT1717-AP1717))/AP1717)))</f>
        <v>0</v>
      </c>
      <c r="AV1717" s="57" t="n">
        <f aca="false">IF(LEFT(Cockpit!$O$5,1)="A",H1717,IF(CA1717=1,CB1717,IF(LEFT(Cockpit!$O$5,1)="B",AZ1717,MAX(AZ1717,H1717))))</f>
        <v>1</v>
      </c>
      <c r="AW1717" s="57" t="n">
        <f aca="false">IF(BT1717=1,0,ROUNDUP(AV1717/BS1717,0))</f>
        <v>1</v>
      </c>
      <c r="AX1717" s="59" t="n">
        <f aca="false">IF(CH1717&gt;0,CH1717*MAX(1,AV1717/X1717),IF(BT1717=1,IF(AV1717&lt;=0,0,BW1717*MAX(1,IF(H1717&gt;0,AV1717/H1717,1))),IF(R1717&gt;0,AW1717/R1717,0))/MAX(0.1,N(Parameter!$M$21)))</f>
        <v>0.00757575757575758</v>
      </c>
      <c r="AY1717" s="57" t="n">
        <f aca="false">AV1717*G1717</f>
        <v>75.83</v>
      </c>
      <c r="AZ1717" s="57" t="n">
        <f aca="false">ROUNDUP(MAX(J1717/IF(BZ1717&gt;0,BZ1717,MAX(0.1,N(Cockpit!$O$6))),CC1717)/BS1717,0)*BS1717</f>
        <v>1</v>
      </c>
      <c r="BA1717" s="58" t="n">
        <f aca="false">IF(AX1717&gt;0,J1717/AX1717,-1)</f>
        <v>0</v>
      </c>
      <c r="BB1717" s="58" t="n">
        <f aca="false">IF(AND(OR(BY1717="L1",BY1717="L23"),AX1717&gt;0),SUMIFS($AX$7:$AX$1843,$BY$7:$BY$1843,BY1717,$BA$7:$BA$1843,"&gt;"&amp;BA1717)+SUMIFS($AX$7:$AX$1843,$BY$7:$BY$1843,BY1717,$BA$7:$BA$1843,BA1717,$BQ$7:$BQ$1843,"&lt;="&amp;BQ1717),"")</f>
        <v>132.96565149826</v>
      </c>
      <c r="BC1717" s="65" t="n">
        <f aca="false">IF(BB1717="",0,MAX(0,MIN(1,(IF(BY1717="L1",Parameter!$E$5,Parameter!$E$6+Parameter!$E$7)-(BB1717-AX1717))/AX1717)))</f>
        <v>0</v>
      </c>
      <c r="BD1717" s="55" t="str">
        <f aca="false">IF(AH1717&lt;=0,"",IF(BY1717="Aussen","Aussenlager",IF(BY1717="-","Nicht im Lift",IF(AM1717&gt;=1,"Lift",IF(AM1717&lt;=0,"Aussenlager","teilweise")))))</f>
        <v>Lift</v>
      </c>
      <c r="BE1717" s="55" t="str">
        <f aca="false">IF(AP1717&lt;=0,"",IF(BY1717="Aussen","Aussenlager",IF(BY1717="-","Nicht im Lift",IF(AU1717&gt;=1,"Lift",IF(AU1717&lt;=0,"Aussenlager","teilweise")))))</f>
        <v>Aussenlager</v>
      </c>
      <c r="BF1717" s="55" t="str">
        <f aca="false">IF(AX1717&lt;=0,"",IF(BY1717="Aussen","Aussenlager",IF(BY1717="-","Nicht im Lift",IF(BC1717&gt;=1,"Lift",IF(BC1717&lt;=0,"Aussenlager","teilweise")))))</f>
        <v>Aussenlager</v>
      </c>
      <c r="BG1717" s="55" t="str">
        <f aca="false">IF(A1717="","",IF(BP1717=1,"Neu; ","")&amp;IF(AND(BP1717=0,BK1717&lt;0),"negativer Bestand (Export "&amp;BK1717&amp;"); ","")&amp;IF(J1717&lt;=0,"Kein Verbrauch; ","")&amp;IF(CH1717&gt;0,"Lift "&amp;W1717&amp;" lt. Liftbericht (Fach "&amp;X1717&amp;" Stk); ",IF(BU1717=1,"Gebinde geschätzt ("&amp;T1717&amp;"); ",IF(BT1717=1,"Lose – Tablare geschätzt; ","")))&amp;IF(H1717&gt;AR1717,"Überbestand "&amp;ROUND(H1717-AR1717,0)&amp;" Stk / CHF "&amp;ROUND((H1717-AR1717)*G1717,0)&amp;"; ","")&amp;IF(AND(CA1717=1,CB1717&lt;CC1717),"MAX &lt; MB+LG; ","")&amp;IF(AND(CG1717&gt;0,CF1717*10&gt;CG1717),"zu hoch für Tablar; ","")&amp;IF(AND(BP1717=0,OR(CA1717=1,AA1717&lt;&gt;"",U1717&lt;&gt;"",V1717&lt;&gt;"",AB1717&lt;&gt;"")),"manuell übersteuert; ","")&amp;IF(AND(BT1717=0,R1717=0),"Gebinde unbekannt / Stellmass fehlt; ","")&amp;IF(AND(BT1717=0,N(V1717)&lt;=0,N(Q1717)&lt;=0),"Menge pro Gebinde fehlt (Ist = 1 Gebinde); ","")&amp;BO1717)</f>
        <v>Kein Verbrauch; nur im Artikelstamm (Bestand 23.06.2026); Verb.Lager</v>
      </c>
      <c r="BH1717" s="55"/>
      <c r="BI1717" s="55"/>
      <c r="BJ1717" s="62"/>
      <c r="BK1717" s="57" t="n">
        <v>1</v>
      </c>
      <c r="BL1717" s="57" t="n">
        <v>0</v>
      </c>
      <c r="BM1717" s="56" t="n">
        <v>0</v>
      </c>
      <c r="BN1717" s="57" t="n">
        <v>0</v>
      </c>
      <c r="BO1717" s="55" t="s">
        <v>2569</v>
      </c>
      <c r="BP1717" s="60" t="n">
        <v>0</v>
      </c>
      <c r="BQ1717" s="60" t="n">
        <v>1717</v>
      </c>
      <c r="BR1717" s="55" t="str">
        <f aca="false">IF(U1717&lt;&gt;"",UPPER(TRIM(U1717)),IF(BU1717=1,UPPER(VLOOKUP(T1717,Parameter!$I$27:$K$29,2,0)),IF(P1717="","LOSE",P1717)))</f>
        <v>S32</v>
      </c>
      <c r="BS1717" s="57" t="n">
        <f aca="false">IF(BR1717="LOSE",1,IF(N(V1717)&gt;0,V1717,IF(BU1717=1,MAX(1,N(VLOOKUP(T1717,Parameter!$I$27:$K$29,3,0)),H1717,N(N1717)),IF(N(Q1717)&gt;0,Q1717,MAX(1,H1717)))))</f>
        <v>1</v>
      </c>
      <c r="BT1717" s="60" t="n">
        <f aca="false">IF(BR1717="LOSE",1,0)</f>
        <v>0</v>
      </c>
      <c r="BU1717" s="60" t="n">
        <f aca="false">IF(AND(U1717="",OR(P1717="",P1717="LOSE"),T1717&lt;&gt;"",N(S1717)&lt;=0,ISNUMBER(MATCH(T1717,Parameter!$I$27:$I$29,0))),1,0)</f>
        <v>0</v>
      </c>
      <c r="BV1717" s="55" t="str">
        <f aca="false">IF(AND(Parameter!$B$19="Ja",E1717&lt;&gt;"",ISNUMBER(MATCH(E1717,Parameter!$I$35:$I$52,0))),VLOOKUP(E1717,Parameter!$I$35:$J$52,2,0),IFERROR(VLOOKUP(D1717,Parameter!$A$35:$C$64,2,0),"Nein"))</f>
        <v>2+3</v>
      </c>
      <c r="BW1717" s="59" t="n">
        <f aca="false">IF(BT1717=0,0,IF(N(S1717)&gt;0,S1717,IFERROR(VLOOKUP(D1717,Parameter!$A$35:$C$64,3,0)+0,0)))</f>
        <v>0</v>
      </c>
      <c r="BX1717" s="55" t="n">
        <f aca="false">IF(AA1717&lt;&gt;"",AA1717,Z1717)</f>
        <v>3</v>
      </c>
      <c r="BY1717" s="55" t="str">
        <f aca="false">IF(BX1717=1,"L1",IF(OR(BX1717=2,BX1717=3),"L23",IF(BX1717="Aussen","Aussen","-")))</f>
        <v>L23</v>
      </c>
      <c r="BZ1717" s="66" t="n">
        <f aca="false">IF(N(AB1717)&gt;0,AB1717,0)</f>
        <v>0</v>
      </c>
      <c r="CA1717" s="60" t="n">
        <f aca="false">IF(ISNUMBER(AE1717),1,0)</f>
        <v>0</v>
      </c>
      <c r="CB1717" s="57" t="n">
        <f aca="false">N(AE1717)</f>
        <v>0</v>
      </c>
      <c r="CC1717" s="57" t="n">
        <f aca="false">N(M1717)+N(N1717)</f>
        <v>1</v>
      </c>
      <c r="CD1717" s="57" t="n">
        <f aca="false">ROUNDUP(H1717/BS1717,0)</f>
        <v>1</v>
      </c>
      <c r="CE1717" s="57" t="n">
        <f aca="false">ROUNDUP(CB1717/BS1717,0)</f>
        <v>0</v>
      </c>
      <c r="CF1717" s="60" t="n">
        <f aca="false">IF(BT1717=1,0,IFERROR(VLOOKUP(BR1717,'Gebinde-Kategorie'!$A$5:$M$45,5,0)+0,0))</f>
        <v>8</v>
      </c>
      <c r="CG1717" s="60" t="n">
        <f aca="false">IFERROR(IF(OR(BX1717=1,BX1717=2,BX1717=3),N(INDEX(Parameter!$I$5:$I$7,BX1717)),0),0)</f>
        <v>0</v>
      </c>
      <c r="CH1717" s="59" t="n">
        <f aca="false">IF(AND(Parameter!$B$21="Ja",ISNUMBER(W1717),N(X1717)&gt;0),IFERROR(N(INDEX(Parameter!$L$5:$L$7,W1717))*INDEX(Parameter!$E$5:$E$7,W1717)*X1717/SUMIFS($X$7:$X$1843,$W$7:$W$1843,W1717),0),0)</f>
        <v>0</v>
      </c>
    </row>
    <row r="1718" customFormat="false" ht="15" hidden="false" customHeight="false" outlineLevel="0" collapsed="false">
      <c r="A1718" s="55" t="s">
        <v>2973</v>
      </c>
      <c r="B1718" s="55" t="s">
        <v>2974</v>
      </c>
      <c r="C1718" s="55" t="s">
        <v>164</v>
      </c>
      <c r="D1718" s="55" t="s">
        <v>184</v>
      </c>
      <c r="E1718" s="55"/>
      <c r="F1718" s="55"/>
      <c r="G1718" s="56" t="n">
        <v>5.55</v>
      </c>
      <c r="H1718" s="57" t="n">
        <f aca="false">MAX(0,IF(AND(Parameter!$B$21="Ja",ISNUMBER(Y1718)),Y1718,IF(Parameter!$B$20="Jahresanfang 2025 + Export",BL1718+BK1718,BK1718)))</f>
        <v>4.5</v>
      </c>
      <c r="I1718" s="57" t="n">
        <f aca="false">H1718*G1718</f>
        <v>24.975</v>
      </c>
      <c r="J1718" s="57" t="n">
        <f aca="false">BN1718*Parameter!$B$18</f>
        <v>0</v>
      </c>
      <c r="K1718" s="58"/>
      <c r="L1718" s="59"/>
      <c r="M1718" s="57" t="n">
        <v>0</v>
      </c>
      <c r="N1718" s="57" t="n">
        <v>1</v>
      </c>
      <c r="O1718" s="60" t="n">
        <v>14</v>
      </c>
      <c r="P1718" s="55" t="s">
        <v>401</v>
      </c>
      <c r="Q1718" s="57" t="n">
        <v>100</v>
      </c>
      <c r="R1718" s="60" t="n">
        <f aca="false">IF(BT1718=1,0,IFERROR(VLOOKUP(BR1718,'Gebinde-Kategorie'!$A$5:$M$45,13,0)+0,0))</f>
        <v>414</v>
      </c>
      <c r="S1718" s="61"/>
      <c r="T1718" s="62"/>
      <c r="U1718" s="62"/>
      <c r="V1718" s="62"/>
      <c r="W1718" s="55"/>
      <c r="X1718" s="57"/>
      <c r="Y1718" s="57"/>
      <c r="Z1718" s="55" t="n">
        <f aca="false">IF(A1718="","",IF(AND(Parameter!$B$21="Ja",ISNUMBER(W1718)),W1718,IF(BV1718="2+3",IF(ISNUMBER(SEARCH("grosser Artikel",BO1718)),2,IFERROR(VLOOKUP(BR1718,Parameter!$F$35:$G$64,2,0),2)),IF(OR(BV1718="Nein",BV1718=""),"-",BV1718))))</f>
        <v>3</v>
      </c>
      <c r="AA1718" s="62"/>
      <c r="AB1718" s="63"/>
      <c r="AC1718" s="57" t="n">
        <f aca="false">AR1718</f>
        <v>100</v>
      </c>
      <c r="AD1718" s="57" t="n">
        <f aca="false">MAX(AR1718,H1718)</f>
        <v>100</v>
      </c>
      <c r="AE1718" s="64"/>
      <c r="AF1718" s="57" t="n">
        <f aca="false">IF(LEFT(Cockpit!$C$5,1)="A",H1718,IF(CA1718=1,CB1718,IF(LEFT(Cockpit!$C$5,1)="B",AJ1718,MAX(AJ1718,H1718))))</f>
        <v>4.5</v>
      </c>
      <c r="AG1718" s="57" t="n">
        <f aca="false">IF(BT1718=1,0,ROUNDUP(AF1718/BS1718,0))</f>
        <v>1</v>
      </c>
      <c r="AH1718" s="59" t="n">
        <f aca="false">IF(CH1718&gt;0,CH1718*MAX(1,AF1718/X1718),IF(BT1718=1,IF(AF1718&lt;=0,0,BW1718*MAX(1,IF(H1718&gt;0,AF1718/H1718,1))),IF(R1718&gt;0,AG1718/R1718,0))/MAX(0.1,N(Parameter!$M$21)))</f>
        <v>0.00241545893719807</v>
      </c>
      <c r="AI1718" s="57" t="n">
        <f aca="false">AF1718*G1718</f>
        <v>24.975</v>
      </c>
      <c r="AJ1718" s="57" t="n">
        <f aca="false">ROUNDUP(MAX(J1718/IF(BZ1718&gt;0,BZ1718,MAX(0.1,N(Cockpit!$C$6))),CC1718)/BS1718,0)*BS1718</f>
        <v>100</v>
      </c>
      <c r="AK1718" s="58" t="n">
        <f aca="false">IF(AH1718&gt;0,J1718/AH1718,-1)</f>
        <v>0</v>
      </c>
      <c r="AL1718" s="58" t="n">
        <f aca="false">IF(AND(OR(BY1718="L1",BY1718="L23"),AH1718&gt;0),SUMIFS($AH$7:$AH$1843,$BY$7:$BY$1843,BY1718,$AK$7:$AK$1843,"&gt;"&amp;AK1718)+SUMIFS($AH$7:$AH$1843,$BY$7:$BY$1843,BY1718,$AK$7:$AK$1843,AK1718,$BQ$7:$BQ$1843,"&lt;="&amp;BQ1718),"")</f>
        <v>96.7850832742137</v>
      </c>
      <c r="AM1718" s="65" t="n">
        <f aca="false">IF(AL1718="",0,MAX(0,MIN(1,(IF(BY1718="L1",Parameter!$E$5,Parameter!$E$6+Parameter!$E$7)-(AL1718-AH1718))/AH1718)))</f>
        <v>1</v>
      </c>
      <c r="AN1718" s="57" t="n">
        <f aca="false">IF(LEFT(Cockpit!$I$5,1)="A",H1718,IF(CA1718=1,CB1718,IF(LEFT(Cockpit!$I$5,1)="B",AR1718,MAX(AR1718,H1718))))</f>
        <v>100</v>
      </c>
      <c r="AO1718" s="57" t="n">
        <f aca="false">IF(BT1718=1,0,ROUNDUP(AN1718/BS1718,0))</f>
        <v>1</v>
      </c>
      <c r="AP1718" s="59" t="n">
        <f aca="false">IF(CH1718&gt;0,CH1718*MAX(1,AN1718/X1718),IF(BT1718=1,IF(AN1718&lt;=0,0,BW1718*MAX(1,IF(H1718&gt;0,AN1718/H1718,1))),IF(R1718&gt;0,AO1718/R1718,0))/MAX(0.1,N(Parameter!$M$21)))</f>
        <v>0.00241545893719807</v>
      </c>
      <c r="AQ1718" s="57" t="n">
        <f aca="false">AN1718*G1718</f>
        <v>555</v>
      </c>
      <c r="AR1718" s="57" t="n">
        <f aca="false">ROUNDUP(MAX(J1718/IF(BZ1718&gt;0,BZ1718,MAX(0.1,N(Cockpit!$I$6))),CC1718)/BS1718,0)*BS1718</f>
        <v>100</v>
      </c>
      <c r="AS1718" s="58" t="n">
        <f aca="false">IF(AP1718&gt;0,J1718/AP1718,-1)</f>
        <v>0</v>
      </c>
      <c r="AT1718" s="58" t="n">
        <f aca="false">IF(AND(OR(BY1718="L1",BY1718="L23"),AP1718&gt;0),SUMIFS($AP$7:$AP$1843,$BY$7:$BY$1843,BY1718,$AS$7:$AS$1843,"&gt;"&amp;AS1718)+SUMIFS($AP$7:$AP$1843,$BY$7:$BY$1843,BY1718,$AS$7:$AS$1843,AS1718,$BQ$7:$BQ$1843,"&lt;="&amp;BQ1718),"")</f>
        <v>142.138230127361</v>
      </c>
      <c r="AU1718" s="65" t="n">
        <f aca="false">IF(AT1718="",0,MAX(0,MIN(1,(IF(BY1718="L1",Parameter!$E$5,Parameter!$E$6+Parameter!$E$7)-(AT1718-AP1718))/AP1718)))</f>
        <v>0</v>
      </c>
      <c r="AV1718" s="57" t="n">
        <f aca="false">IF(LEFT(Cockpit!$O$5,1)="A",H1718,IF(CA1718=1,CB1718,IF(LEFT(Cockpit!$O$5,1)="B",AZ1718,MAX(AZ1718,H1718))))</f>
        <v>100</v>
      </c>
      <c r="AW1718" s="57" t="n">
        <f aca="false">IF(BT1718=1,0,ROUNDUP(AV1718/BS1718,0))</f>
        <v>1</v>
      </c>
      <c r="AX1718" s="59" t="n">
        <f aca="false">IF(CH1718&gt;0,CH1718*MAX(1,AV1718/X1718),IF(BT1718=1,IF(AV1718&lt;=0,0,BW1718*MAX(1,IF(H1718&gt;0,AV1718/H1718,1))),IF(R1718&gt;0,AW1718/R1718,0))/MAX(0.1,N(Parameter!$M$21)))</f>
        <v>0.00241545893719807</v>
      </c>
      <c r="AY1718" s="57" t="n">
        <f aca="false">AV1718*G1718</f>
        <v>555</v>
      </c>
      <c r="AZ1718" s="57" t="n">
        <f aca="false">ROUNDUP(MAX(J1718/IF(BZ1718&gt;0,BZ1718,MAX(0.1,N(Cockpit!$O$6))),CC1718)/BS1718,0)*BS1718</f>
        <v>100</v>
      </c>
      <c r="BA1718" s="58" t="n">
        <f aca="false">IF(AX1718&gt;0,J1718/AX1718,-1)</f>
        <v>0</v>
      </c>
      <c r="BB1718" s="58" t="n">
        <f aca="false">IF(AND(OR(BY1718="L1",BY1718="L23"),AX1718&gt;0),SUMIFS($AX$7:$AX$1843,$BY$7:$BY$1843,BY1718,$BA$7:$BA$1843,"&gt;"&amp;BA1718)+SUMIFS($AX$7:$AX$1843,$BY$7:$BY$1843,BY1718,$BA$7:$BA$1843,BA1718,$BQ$7:$BQ$1843,"&lt;="&amp;BQ1718),"")</f>
        <v>132.968066957197</v>
      </c>
      <c r="BC1718" s="65" t="n">
        <f aca="false">IF(BB1718="",0,MAX(0,MIN(1,(IF(BY1718="L1",Parameter!$E$5,Parameter!$E$6+Parameter!$E$7)-(BB1718-AX1718))/AX1718)))</f>
        <v>0</v>
      </c>
      <c r="BD1718" s="55" t="str">
        <f aca="false">IF(AH1718&lt;=0,"",IF(BY1718="Aussen","Aussenlager",IF(BY1718="-","Nicht im Lift",IF(AM1718&gt;=1,"Lift",IF(AM1718&lt;=0,"Aussenlager","teilweise")))))</f>
        <v>Lift</v>
      </c>
      <c r="BE1718" s="55" t="str">
        <f aca="false">IF(AP1718&lt;=0,"",IF(BY1718="Aussen","Aussenlager",IF(BY1718="-","Nicht im Lift",IF(AU1718&gt;=1,"Lift",IF(AU1718&lt;=0,"Aussenlager","teilweise")))))</f>
        <v>Aussenlager</v>
      </c>
      <c r="BF1718" s="55" t="str">
        <f aca="false">IF(AX1718&lt;=0,"",IF(BY1718="Aussen","Aussenlager",IF(BY1718="-","Nicht im Lift",IF(BC1718&gt;=1,"Lift",IF(BC1718&lt;=0,"Aussenlager","teilweise")))))</f>
        <v>Aussenlager</v>
      </c>
      <c r="BG1718" s="55" t="str">
        <f aca="false">IF(A1718="","",IF(BP1718=1,"Neu; ","")&amp;IF(AND(BP1718=0,BK1718&lt;0),"negativer Bestand (Export "&amp;BK1718&amp;"); ","")&amp;IF(J1718&lt;=0,"Kein Verbrauch; ","")&amp;IF(CH1718&gt;0,"Lift "&amp;W1718&amp;" lt. Liftbericht (Fach "&amp;X1718&amp;" Stk); ",IF(BU1718=1,"Gebinde geschätzt ("&amp;T1718&amp;"); ",IF(BT1718=1,"Lose – Tablare geschätzt; ","")))&amp;IF(H1718&gt;AR1718,"Überbestand "&amp;ROUND(H1718-AR1718,0)&amp;" Stk / CHF "&amp;ROUND((H1718-AR1718)*G1718,0)&amp;"; ","")&amp;IF(AND(CA1718=1,CB1718&lt;CC1718),"MAX &lt; MB+LG; ","")&amp;IF(AND(CG1718&gt;0,CF1718*10&gt;CG1718),"zu hoch für Tablar; ","")&amp;IF(AND(BP1718=0,OR(CA1718=1,AA1718&lt;&gt;"",U1718&lt;&gt;"",V1718&lt;&gt;"",AB1718&lt;&gt;"")),"manuell übersteuert; ","")&amp;IF(AND(BT1718=0,R1718=0),"Gebinde unbekannt / Stellmass fehlt; ","")&amp;IF(AND(BT1718=0,N(V1718)&lt;=0,N(Q1718)&lt;=0),"Menge pro Gebinde fehlt (Ist = 1 Gebinde); ","")&amp;BO1718)</f>
        <v>Kein Verbrauch; nur im Artikelstamm (Bestand 23.06.2026)</v>
      </c>
      <c r="BH1718" s="55"/>
      <c r="BI1718" s="55"/>
      <c r="BJ1718" s="62"/>
      <c r="BK1718" s="57" t="n">
        <v>4.5</v>
      </c>
      <c r="BL1718" s="57" t="n">
        <v>0</v>
      </c>
      <c r="BM1718" s="56" t="n">
        <v>0</v>
      </c>
      <c r="BN1718" s="57" t="n">
        <v>0</v>
      </c>
      <c r="BO1718" s="55" t="s">
        <v>2575</v>
      </c>
      <c r="BP1718" s="60" t="n">
        <v>0</v>
      </c>
      <c r="BQ1718" s="60" t="n">
        <v>1718</v>
      </c>
      <c r="BR1718" s="55" t="str">
        <f aca="false">IF(U1718&lt;&gt;"",UPPER(TRIM(U1718)),IF(BU1718=1,UPPER(VLOOKUP(T1718,Parameter!$I$27:$K$29,2,0)),IF(P1718="","LOSE",P1718)))</f>
        <v>S21</v>
      </c>
      <c r="BS1718" s="57" t="n">
        <f aca="false">IF(BR1718="LOSE",1,IF(N(V1718)&gt;0,V1718,IF(BU1718=1,MAX(1,N(VLOOKUP(T1718,Parameter!$I$27:$K$29,3,0)),H1718,N(N1718)),IF(N(Q1718)&gt;0,Q1718,MAX(1,H1718)))))</f>
        <v>100</v>
      </c>
      <c r="BT1718" s="60" t="n">
        <f aca="false">IF(BR1718="LOSE",1,0)</f>
        <v>0</v>
      </c>
      <c r="BU1718" s="60" t="n">
        <f aca="false">IF(AND(U1718="",OR(P1718="",P1718="LOSE"),T1718&lt;&gt;"",N(S1718)&lt;=0,ISNUMBER(MATCH(T1718,Parameter!$I$27:$I$29,0))),1,0)</f>
        <v>0</v>
      </c>
      <c r="BV1718" s="55" t="str">
        <f aca="false">IF(AND(Parameter!$B$19="Ja",E1718&lt;&gt;"",ISNUMBER(MATCH(E1718,Parameter!$I$35:$I$52,0))),VLOOKUP(E1718,Parameter!$I$35:$J$52,2,0),IFERROR(VLOOKUP(D1718,Parameter!$A$35:$C$64,2,0),"Nein"))</f>
        <v>2+3</v>
      </c>
      <c r="BW1718" s="59" t="n">
        <f aca="false">IF(BT1718=0,0,IF(N(S1718)&gt;0,S1718,IFERROR(VLOOKUP(D1718,Parameter!$A$35:$C$64,3,0)+0,0)))</f>
        <v>0</v>
      </c>
      <c r="BX1718" s="55" t="n">
        <f aca="false">IF(AA1718&lt;&gt;"",AA1718,Z1718)</f>
        <v>3</v>
      </c>
      <c r="BY1718" s="55" t="str">
        <f aca="false">IF(BX1718=1,"L1",IF(OR(BX1718=2,BX1718=3),"L23",IF(BX1718="Aussen","Aussen","-")))</f>
        <v>L23</v>
      </c>
      <c r="BZ1718" s="66" t="n">
        <f aca="false">IF(N(AB1718)&gt;0,AB1718,0)</f>
        <v>0</v>
      </c>
      <c r="CA1718" s="60" t="n">
        <f aca="false">IF(ISNUMBER(AE1718),1,0)</f>
        <v>0</v>
      </c>
      <c r="CB1718" s="57" t="n">
        <f aca="false">N(AE1718)</f>
        <v>0</v>
      </c>
      <c r="CC1718" s="57" t="n">
        <f aca="false">N(M1718)+N(N1718)</f>
        <v>1</v>
      </c>
      <c r="CD1718" s="57" t="n">
        <f aca="false">ROUNDUP(H1718/BS1718,0)</f>
        <v>1</v>
      </c>
      <c r="CE1718" s="57" t="n">
        <f aca="false">ROUNDUP(CB1718/BS1718,0)</f>
        <v>0</v>
      </c>
      <c r="CF1718" s="60" t="n">
        <f aca="false">IF(BT1718=1,0,IFERROR(VLOOKUP(BR1718,'Gebinde-Kategorie'!$A$5:$M$45,5,0)+0,0))</f>
        <v>8</v>
      </c>
      <c r="CG1718" s="60" t="n">
        <f aca="false">IFERROR(IF(OR(BX1718=1,BX1718=2,BX1718=3),N(INDEX(Parameter!$I$5:$I$7,BX1718)),0),0)</f>
        <v>0</v>
      </c>
      <c r="CH1718" s="59" t="n">
        <f aca="false">IF(AND(Parameter!$B$21="Ja",ISNUMBER(W1718),N(X1718)&gt;0),IFERROR(N(INDEX(Parameter!$L$5:$L$7,W1718))*INDEX(Parameter!$E$5:$E$7,W1718)*X1718/SUMIFS($X$7:$X$1843,$W$7:$W$1843,W1718),0),0)</f>
        <v>0</v>
      </c>
    </row>
    <row r="1719" customFormat="false" ht="15" hidden="false" customHeight="false" outlineLevel="0" collapsed="false">
      <c r="A1719" s="55" t="s">
        <v>2975</v>
      </c>
      <c r="B1719" s="55" t="s">
        <v>2976</v>
      </c>
      <c r="C1719" s="55" t="s">
        <v>164</v>
      </c>
      <c r="D1719" s="55" t="s">
        <v>184</v>
      </c>
      <c r="E1719" s="55"/>
      <c r="F1719" s="55"/>
      <c r="G1719" s="56" t="n">
        <v>6.21</v>
      </c>
      <c r="H1719" s="57" t="n">
        <f aca="false">MAX(0,IF(AND(Parameter!$B$21="Ja",ISNUMBER(Y1719)),Y1719,IF(Parameter!$B$20="Jahresanfang 2025 + Export",BL1719+BK1719,BK1719)))</f>
        <v>60</v>
      </c>
      <c r="I1719" s="57" t="n">
        <f aca="false">H1719*G1719</f>
        <v>372.6</v>
      </c>
      <c r="J1719" s="57" t="n">
        <f aca="false">BN1719*Parameter!$B$18</f>
        <v>0</v>
      </c>
      <c r="K1719" s="58"/>
      <c r="L1719" s="59"/>
      <c r="M1719" s="57" t="n">
        <v>0</v>
      </c>
      <c r="N1719" s="57" t="n">
        <v>20</v>
      </c>
      <c r="O1719" s="60" t="n">
        <v>0</v>
      </c>
      <c r="P1719" s="55" t="s">
        <v>401</v>
      </c>
      <c r="Q1719" s="57" t="n">
        <v>100</v>
      </c>
      <c r="R1719" s="60" t="n">
        <f aca="false">IF(BT1719=1,0,IFERROR(VLOOKUP(BR1719,'Gebinde-Kategorie'!$A$5:$M$45,13,0)+0,0))</f>
        <v>414</v>
      </c>
      <c r="S1719" s="61"/>
      <c r="T1719" s="62"/>
      <c r="U1719" s="62"/>
      <c r="V1719" s="62"/>
      <c r="W1719" s="55"/>
      <c r="X1719" s="57"/>
      <c r="Y1719" s="57"/>
      <c r="Z1719" s="55" t="n">
        <f aca="false">IF(A1719="","",IF(AND(Parameter!$B$21="Ja",ISNUMBER(W1719)),W1719,IF(BV1719="2+3",IF(ISNUMBER(SEARCH("grosser Artikel",BO1719)),2,IFERROR(VLOOKUP(BR1719,Parameter!$F$35:$G$64,2,0),2)),IF(OR(BV1719="Nein",BV1719=""),"-",BV1719))))</f>
        <v>3</v>
      </c>
      <c r="AA1719" s="62"/>
      <c r="AB1719" s="63"/>
      <c r="AC1719" s="57" t="n">
        <f aca="false">AR1719</f>
        <v>100</v>
      </c>
      <c r="AD1719" s="57" t="n">
        <f aca="false">MAX(AR1719,H1719)</f>
        <v>100</v>
      </c>
      <c r="AE1719" s="64"/>
      <c r="AF1719" s="57" t="n">
        <f aca="false">IF(LEFT(Cockpit!$C$5,1)="A",H1719,IF(CA1719=1,CB1719,IF(LEFT(Cockpit!$C$5,1)="B",AJ1719,MAX(AJ1719,H1719))))</f>
        <v>60</v>
      </c>
      <c r="AG1719" s="57" t="n">
        <f aca="false">IF(BT1719=1,0,ROUNDUP(AF1719/BS1719,0))</f>
        <v>1</v>
      </c>
      <c r="AH1719" s="59" t="n">
        <f aca="false">IF(CH1719&gt;0,CH1719*MAX(1,AF1719/X1719),IF(BT1719=1,IF(AF1719&lt;=0,0,BW1719*MAX(1,IF(H1719&gt;0,AF1719/H1719,1))),IF(R1719&gt;0,AG1719/R1719,0))/MAX(0.1,N(Parameter!$M$21)))</f>
        <v>0.00241545893719807</v>
      </c>
      <c r="AI1719" s="57" t="n">
        <f aca="false">AF1719*G1719</f>
        <v>372.6</v>
      </c>
      <c r="AJ1719" s="57" t="n">
        <f aca="false">ROUNDUP(MAX(J1719/IF(BZ1719&gt;0,BZ1719,MAX(0.1,N(Cockpit!$C$6))),CC1719)/BS1719,0)*BS1719</f>
        <v>100</v>
      </c>
      <c r="AK1719" s="58" t="n">
        <f aca="false">IF(AH1719&gt;0,J1719/AH1719,-1)</f>
        <v>0</v>
      </c>
      <c r="AL1719" s="58" t="n">
        <f aca="false">IF(AND(OR(BY1719="L1",BY1719="L23"),AH1719&gt;0),SUMIFS($AH$7:$AH$1843,$BY$7:$BY$1843,BY1719,$AK$7:$AK$1843,"&gt;"&amp;AK1719)+SUMIFS($AH$7:$AH$1843,$BY$7:$BY$1843,BY1719,$AK$7:$AK$1843,AK1719,$BQ$7:$BQ$1843,"&lt;="&amp;BQ1719),"")</f>
        <v>96.7874987331509</v>
      </c>
      <c r="AM1719" s="65" t="n">
        <f aca="false">IF(AL1719="",0,MAX(0,MIN(1,(IF(BY1719="L1",Parameter!$E$5,Parameter!$E$6+Parameter!$E$7)-(AL1719-AH1719))/AH1719)))</f>
        <v>1</v>
      </c>
      <c r="AN1719" s="57" t="n">
        <f aca="false">IF(LEFT(Cockpit!$I$5,1)="A",H1719,IF(CA1719=1,CB1719,IF(LEFT(Cockpit!$I$5,1)="B",AR1719,MAX(AR1719,H1719))))</f>
        <v>100</v>
      </c>
      <c r="AO1719" s="57" t="n">
        <f aca="false">IF(BT1719=1,0,ROUNDUP(AN1719/BS1719,0))</f>
        <v>1</v>
      </c>
      <c r="AP1719" s="59" t="n">
        <f aca="false">IF(CH1719&gt;0,CH1719*MAX(1,AN1719/X1719),IF(BT1719=1,IF(AN1719&lt;=0,0,BW1719*MAX(1,IF(H1719&gt;0,AN1719/H1719,1))),IF(R1719&gt;0,AO1719/R1719,0))/MAX(0.1,N(Parameter!$M$21)))</f>
        <v>0.00241545893719807</v>
      </c>
      <c r="AQ1719" s="57" t="n">
        <f aca="false">AN1719*G1719</f>
        <v>621</v>
      </c>
      <c r="AR1719" s="57" t="n">
        <f aca="false">ROUNDUP(MAX(J1719/IF(BZ1719&gt;0,BZ1719,MAX(0.1,N(Cockpit!$I$6))),CC1719)/BS1719,0)*BS1719</f>
        <v>100</v>
      </c>
      <c r="AS1719" s="58" t="n">
        <f aca="false">IF(AP1719&gt;0,J1719/AP1719,-1)</f>
        <v>0</v>
      </c>
      <c r="AT1719" s="58" t="n">
        <f aca="false">IF(AND(OR(BY1719="L1",BY1719="L23"),AP1719&gt;0),SUMIFS($AP$7:$AP$1843,$BY$7:$BY$1843,BY1719,$AS$7:$AS$1843,"&gt;"&amp;AS1719)+SUMIFS($AP$7:$AP$1843,$BY$7:$BY$1843,BY1719,$AS$7:$AS$1843,AS1719,$BQ$7:$BQ$1843,"&lt;="&amp;BQ1719),"")</f>
        <v>142.140645586298</v>
      </c>
      <c r="AU1719" s="65" t="n">
        <f aca="false">IF(AT1719="",0,MAX(0,MIN(1,(IF(BY1719="L1",Parameter!$E$5,Parameter!$E$6+Parameter!$E$7)-(AT1719-AP1719))/AP1719)))</f>
        <v>0</v>
      </c>
      <c r="AV1719" s="57" t="n">
        <f aca="false">IF(LEFT(Cockpit!$O$5,1)="A",H1719,IF(CA1719=1,CB1719,IF(LEFT(Cockpit!$O$5,1)="B",AZ1719,MAX(AZ1719,H1719))))</f>
        <v>100</v>
      </c>
      <c r="AW1719" s="57" t="n">
        <f aca="false">IF(BT1719=1,0,ROUNDUP(AV1719/BS1719,0))</f>
        <v>1</v>
      </c>
      <c r="AX1719" s="59" t="n">
        <f aca="false">IF(CH1719&gt;0,CH1719*MAX(1,AV1719/X1719),IF(BT1719=1,IF(AV1719&lt;=0,0,BW1719*MAX(1,IF(H1719&gt;0,AV1719/H1719,1))),IF(R1719&gt;0,AW1719/R1719,0))/MAX(0.1,N(Parameter!$M$21)))</f>
        <v>0.00241545893719807</v>
      </c>
      <c r="AY1719" s="57" t="n">
        <f aca="false">AV1719*G1719</f>
        <v>621</v>
      </c>
      <c r="AZ1719" s="57" t="n">
        <f aca="false">ROUNDUP(MAX(J1719/IF(BZ1719&gt;0,BZ1719,MAX(0.1,N(Cockpit!$O$6))),CC1719)/BS1719,0)*BS1719</f>
        <v>100</v>
      </c>
      <c r="BA1719" s="58" t="n">
        <f aca="false">IF(AX1719&gt;0,J1719/AX1719,-1)</f>
        <v>0</v>
      </c>
      <c r="BB1719" s="58" t="n">
        <f aca="false">IF(AND(OR(BY1719="L1",BY1719="L23"),AX1719&gt;0),SUMIFS($AX$7:$AX$1843,$BY$7:$BY$1843,BY1719,$BA$7:$BA$1843,"&gt;"&amp;BA1719)+SUMIFS($AX$7:$AX$1843,$BY$7:$BY$1843,BY1719,$BA$7:$BA$1843,BA1719,$BQ$7:$BQ$1843,"&lt;="&amp;BQ1719),"")</f>
        <v>132.970482416135</v>
      </c>
      <c r="BC1719" s="65" t="n">
        <f aca="false">IF(BB1719="",0,MAX(0,MIN(1,(IF(BY1719="L1",Parameter!$E$5,Parameter!$E$6+Parameter!$E$7)-(BB1719-AX1719))/AX1719)))</f>
        <v>0</v>
      </c>
      <c r="BD1719" s="55" t="str">
        <f aca="false">IF(AH1719&lt;=0,"",IF(BY1719="Aussen","Aussenlager",IF(BY1719="-","Nicht im Lift",IF(AM1719&gt;=1,"Lift",IF(AM1719&lt;=0,"Aussenlager","teilweise")))))</f>
        <v>Lift</v>
      </c>
      <c r="BE1719" s="55" t="str">
        <f aca="false">IF(AP1719&lt;=0,"",IF(BY1719="Aussen","Aussenlager",IF(BY1719="-","Nicht im Lift",IF(AU1719&gt;=1,"Lift",IF(AU1719&lt;=0,"Aussenlager","teilweise")))))</f>
        <v>Aussenlager</v>
      </c>
      <c r="BF1719" s="55" t="str">
        <f aca="false">IF(AX1719&lt;=0,"",IF(BY1719="Aussen","Aussenlager",IF(BY1719="-","Nicht im Lift",IF(BC1719&gt;=1,"Lift",IF(BC1719&lt;=0,"Aussenlager","teilweise")))))</f>
        <v>Aussenlager</v>
      </c>
      <c r="BG1719" s="55" t="str">
        <f aca="false">IF(A1719="","",IF(BP1719=1,"Neu; ","")&amp;IF(AND(BP1719=0,BK1719&lt;0),"negativer Bestand (Export "&amp;BK1719&amp;"); ","")&amp;IF(J1719&lt;=0,"Kein Verbrauch; ","")&amp;IF(CH1719&gt;0,"Lift "&amp;W1719&amp;" lt. Liftbericht (Fach "&amp;X1719&amp;" Stk); ",IF(BU1719=1,"Gebinde geschätzt ("&amp;T1719&amp;"); ",IF(BT1719=1,"Lose – Tablare geschätzt; ","")))&amp;IF(H1719&gt;AR1719,"Überbestand "&amp;ROUND(H1719-AR1719,0)&amp;" Stk / CHF "&amp;ROUND((H1719-AR1719)*G1719,0)&amp;"; ","")&amp;IF(AND(CA1719=1,CB1719&lt;CC1719),"MAX &lt; MB+LG; ","")&amp;IF(AND(CG1719&gt;0,CF1719*10&gt;CG1719),"zu hoch für Tablar; ","")&amp;IF(AND(BP1719=0,OR(CA1719=1,AA1719&lt;&gt;"",U1719&lt;&gt;"",V1719&lt;&gt;"",AB1719&lt;&gt;"")),"manuell übersteuert; ","")&amp;IF(AND(BT1719=0,R1719=0),"Gebinde unbekannt / Stellmass fehlt; ","")&amp;IF(AND(BT1719=0,N(V1719)&lt;=0,N(Q1719)&lt;=0),"Menge pro Gebinde fehlt (Ist = 1 Gebinde); ","")&amp;BO1719)</f>
        <v>Kein Verbrauch; nur im Artikelstamm (Bestand 23.06.2026)</v>
      </c>
      <c r="BH1719" s="55"/>
      <c r="BI1719" s="55"/>
      <c r="BJ1719" s="62"/>
      <c r="BK1719" s="57" t="n">
        <v>60</v>
      </c>
      <c r="BL1719" s="57" t="n">
        <v>0</v>
      </c>
      <c r="BM1719" s="56" t="n">
        <v>0</v>
      </c>
      <c r="BN1719" s="57" t="n">
        <v>0</v>
      </c>
      <c r="BO1719" s="55" t="s">
        <v>2575</v>
      </c>
      <c r="BP1719" s="60" t="n">
        <v>0</v>
      </c>
      <c r="BQ1719" s="60" t="n">
        <v>1719</v>
      </c>
      <c r="BR1719" s="55" t="str">
        <f aca="false">IF(U1719&lt;&gt;"",UPPER(TRIM(U1719)),IF(BU1719=1,UPPER(VLOOKUP(T1719,Parameter!$I$27:$K$29,2,0)),IF(P1719="","LOSE",P1719)))</f>
        <v>S21</v>
      </c>
      <c r="BS1719" s="57" t="n">
        <f aca="false">IF(BR1719="LOSE",1,IF(N(V1719)&gt;0,V1719,IF(BU1719=1,MAX(1,N(VLOOKUP(T1719,Parameter!$I$27:$K$29,3,0)),H1719,N(N1719)),IF(N(Q1719)&gt;0,Q1719,MAX(1,H1719)))))</f>
        <v>100</v>
      </c>
      <c r="BT1719" s="60" t="n">
        <f aca="false">IF(BR1719="LOSE",1,0)</f>
        <v>0</v>
      </c>
      <c r="BU1719" s="60" t="n">
        <f aca="false">IF(AND(U1719="",OR(P1719="",P1719="LOSE"),T1719&lt;&gt;"",N(S1719)&lt;=0,ISNUMBER(MATCH(T1719,Parameter!$I$27:$I$29,0))),1,0)</f>
        <v>0</v>
      </c>
      <c r="BV1719" s="55" t="str">
        <f aca="false">IF(AND(Parameter!$B$19="Ja",E1719&lt;&gt;"",ISNUMBER(MATCH(E1719,Parameter!$I$35:$I$52,0))),VLOOKUP(E1719,Parameter!$I$35:$J$52,2,0),IFERROR(VLOOKUP(D1719,Parameter!$A$35:$C$64,2,0),"Nein"))</f>
        <v>2+3</v>
      </c>
      <c r="BW1719" s="59" t="n">
        <f aca="false">IF(BT1719=0,0,IF(N(S1719)&gt;0,S1719,IFERROR(VLOOKUP(D1719,Parameter!$A$35:$C$64,3,0)+0,0)))</f>
        <v>0</v>
      </c>
      <c r="BX1719" s="55" t="n">
        <f aca="false">IF(AA1719&lt;&gt;"",AA1719,Z1719)</f>
        <v>3</v>
      </c>
      <c r="BY1719" s="55" t="str">
        <f aca="false">IF(BX1719=1,"L1",IF(OR(BX1719=2,BX1719=3),"L23",IF(BX1719="Aussen","Aussen","-")))</f>
        <v>L23</v>
      </c>
      <c r="BZ1719" s="66" t="n">
        <f aca="false">IF(N(AB1719)&gt;0,AB1719,0)</f>
        <v>0</v>
      </c>
      <c r="CA1719" s="60" t="n">
        <f aca="false">IF(ISNUMBER(AE1719),1,0)</f>
        <v>0</v>
      </c>
      <c r="CB1719" s="57" t="n">
        <f aca="false">N(AE1719)</f>
        <v>0</v>
      </c>
      <c r="CC1719" s="57" t="n">
        <f aca="false">N(M1719)+N(N1719)</f>
        <v>20</v>
      </c>
      <c r="CD1719" s="57" t="n">
        <f aca="false">ROUNDUP(H1719/BS1719,0)</f>
        <v>1</v>
      </c>
      <c r="CE1719" s="57" t="n">
        <f aca="false">ROUNDUP(CB1719/BS1719,0)</f>
        <v>0</v>
      </c>
      <c r="CF1719" s="60" t="n">
        <f aca="false">IF(BT1719=1,0,IFERROR(VLOOKUP(BR1719,'Gebinde-Kategorie'!$A$5:$M$45,5,0)+0,0))</f>
        <v>8</v>
      </c>
      <c r="CG1719" s="60" t="n">
        <f aca="false">IFERROR(IF(OR(BX1719=1,BX1719=2,BX1719=3),N(INDEX(Parameter!$I$5:$I$7,BX1719)),0),0)</f>
        <v>0</v>
      </c>
      <c r="CH1719" s="59" t="n">
        <f aca="false">IF(AND(Parameter!$B$21="Ja",ISNUMBER(W1719),N(X1719)&gt;0),IFERROR(N(INDEX(Parameter!$L$5:$L$7,W1719))*INDEX(Parameter!$E$5:$E$7,W1719)*X1719/SUMIFS($X$7:$X$1843,$W$7:$W$1843,W1719),0),0)</f>
        <v>0</v>
      </c>
    </row>
    <row r="1720" customFormat="false" ht="15" hidden="false" customHeight="false" outlineLevel="0" collapsed="false">
      <c r="A1720" s="55" t="s">
        <v>2977</v>
      </c>
      <c r="B1720" s="55" t="s">
        <v>2978</v>
      </c>
      <c r="C1720" s="55" t="s">
        <v>164</v>
      </c>
      <c r="D1720" s="55" t="s">
        <v>184</v>
      </c>
      <c r="E1720" s="55"/>
      <c r="F1720" s="55"/>
      <c r="G1720" s="56" t="n">
        <v>0.43</v>
      </c>
      <c r="H1720" s="57" t="n">
        <f aca="false">MAX(0,IF(AND(Parameter!$B$21="Ja",ISNUMBER(Y1720)),Y1720,IF(Parameter!$B$20="Jahresanfang 2025 + Export",BL1720+BK1720,BK1720)))</f>
        <v>45</v>
      </c>
      <c r="I1720" s="57" t="n">
        <f aca="false">H1720*G1720</f>
        <v>19.35</v>
      </c>
      <c r="J1720" s="57" t="n">
        <f aca="false">BN1720*Parameter!$B$18</f>
        <v>0</v>
      </c>
      <c r="K1720" s="58"/>
      <c r="L1720" s="59"/>
      <c r="M1720" s="57" t="n">
        <v>0</v>
      </c>
      <c r="N1720" s="57" t="n">
        <v>100</v>
      </c>
      <c r="O1720" s="60" t="n">
        <v>0</v>
      </c>
      <c r="P1720" s="55" t="s">
        <v>401</v>
      </c>
      <c r="Q1720" s="57" t="n">
        <v>100</v>
      </c>
      <c r="R1720" s="60" t="n">
        <f aca="false">IF(BT1720=1,0,IFERROR(VLOOKUP(BR1720,'Gebinde-Kategorie'!$A$5:$M$45,13,0)+0,0))</f>
        <v>414</v>
      </c>
      <c r="S1720" s="61"/>
      <c r="T1720" s="62"/>
      <c r="U1720" s="62"/>
      <c r="V1720" s="62"/>
      <c r="W1720" s="55"/>
      <c r="X1720" s="57"/>
      <c r="Y1720" s="57"/>
      <c r="Z1720" s="55" t="n">
        <f aca="false">IF(A1720="","",IF(AND(Parameter!$B$21="Ja",ISNUMBER(W1720)),W1720,IF(BV1720="2+3",IF(ISNUMBER(SEARCH("grosser Artikel",BO1720)),2,IFERROR(VLOOKUP(BR1720,Parameter!$F$35:$G$64,2,0),2)),IF(OR(BV1720="Nein",BV1720=""),"-",BV1720))))</f>
        <v>3</v>
      </c>
      <c r="AA1720" s="62"/>
      <c r="AB1720" s="63"/>
      <c r="AC1720" s="57" t="n">
        <f aca="false">AR1720</f>
        <v>100</v>
      </c>
      <c r="AD1720" s="57" t="n">
        <f aca="false">MAX(AR1720,H1720)</f>
        <v>100</v>
      </c>
      <c r="AE1720" s="64"/>
      <c r="AF1720" s="57" t="n">
        <f aca="false">IF(LEFT(Cockpit!$C$5,1)="A",H1720,IF(CA1720=1,CB1720,IF(LEFT(Cockpit!$C$5,1)="B",AJ1720,MAX(AJ1720,H1720))))</f>
        <v>45</v>
      </c>
      <c r="AG1720" s="57" t="n">
        <f aca="false">IF(BT1720=1,0,ROUNDUP(AF1720/BS1720,0))</f>
        <v>1</v>
      </c>
      <c r="AH1720" s="59" t="n">
        <f aca="false">IF(CH1720&gt;0,CH1720*MAX(1,AF1720/X1720),IF(BT1720=1,IF(AF1720&lt;=0,0,BW1720*MAX(1,IF(H1720&gt;0,AF1720/H1720,1))),IF(R1720&gt;0,AG1720/R1720,0))/MAX(0.1,N(Parameter!$M$21)))</f>
        <v>0.00241545893719807</v>
      </c>
      <c r="AI1720" s="57" t="n">
        <f aca="false">AF1720*G1720</f>
        <v>19.35</v>
      </c>
      <c r="AJ1720" s="57" t="n">
        <f aca="false">ROUNDUP(MAX(J1720/IF(BZ1720&gt;0,BZ1720,MAX(0.1,N(Cockpit!$C$6))),CC1720)/BS1720,0)*BS1720</f>
        <v>100</v>
      </c>
      <c r="AK1720" s="58" t="n">
        <f aca="false">IF(AH1720&gt;0,J1720/AH1720,-1)</f>
        <v>0</v>
      </c>
      <c r="AL1720" s="58" t="n">
        <f aca="false">IF(AND(OR(BY1720="L1",BY1720="L23"),AH1720&gt;0),SUMIFS($AH$7:$AH$1843,$BY$7:$BY$1843,BY1720,$AK$7:$AK$1843,"&gt;"&amp;AK1720)+SUMIFS($AH$7:$AH$1843,$BY$7:$BY$1843,BY1720,$AK$7:$AK$1843,AK1720,$BQ$7:$BQ$1843,"&lt;="&amp;BQ1720),"")</f>
        <v>96.7899141920881</v>
      </c>
      <c r="AM1720" s="65" t="n">
        <f aca="false">IF(AL1720="",0,MAX(0,MIN(1,(IF(BY1720="L1",Parameter!$E$5,Parameter!$E$6+Parameter!$E$7)-(AL1720-AH1720))/AH1720)))</f>
        <v>1</v>
      </c>
      <c r="AN1720" s="57" t="n">
        <f aca="false">IF(LEFT(Cockpit!$I$5,1)="A",H1720,IF(CA1720=1,CB1720,IF(LEFT(Cockpit!$I$5,1)="B",AR1720,MAX(AR1720,H1720))))</f>
        <v>100</v>
      </c>
      <c r="AO1720" s="57" t="n">
        <f aca="false">IF(BT1720=1,0,ROUNDUP(AN1720/BS1720,0))</f>
        <v>1</v>
      </c>
      <c r="AP1720" s="59" t="n">
        <f aca="false">IF(CH1720&gt;0,CH1720*MAX(1,AN1720/X1720),IF(BT1720=1,IF(AN1720&lt;=0,0,BW1720*MAX(1,IF(H1720&gt;0,AN1720/H1720,1))),IF(R1720&gt;0,AO1720/R1720,0))/MAX(0.1,N(Parameter!$M$21)))</f>
        <v>0.00241545893719807</v>
      </c>
      <c r="AQ1720" s="57" t="n">
        <f aca="false">AN1720*G1720</f>
        <v>43</v>
      </c>
      <c r="AR1720" s="57" t="n">
        <f aca="false">ROUNDUP(MAX(J1720/IF(BZ1720&gt;0,BZ1720,MAX(0.1,N(Cockpit!$I$6))),CC1720)/BS1720,0)*BS1720</f>
        <v>100</v>
      </c>
      <c r="AS1720" s="58" t="n">
        <f aca="false">IF(AP1720&gt;0,J1720/AP1720,-1)</f>
        <v>0</v>
      </c>
      <c r="AT1720" s="58" t="n">
        <f aca="false">IF(AND(OR(BY1720="L1",BY1720="L23"),AP1720&gt;0),SUMIFS($AP$7:$AP$1843,$BY$7:$BY$1843,BY1720,$AS$7:$AS$1843,"&gt;"&amp;AS1720)+SUMIFS($AP$7:$AP$1843,$BY$7:$BY$1843,BY1720,$AS$7:$AS$1843,AS1720,$BQ$7:$BQ$1843,"&lt;="&amp;BQ1720),"")</f>
        <v>142.143061045235</v>
      </c>
      <c r="AU1720" s="65" t="n">
        <f aca="false">IF(AT1720="",0,MAX(0,MIN(1,(IF(BY1720="L1",Parameter!$E$5,Parameter!$E$6+Parameter!$E$7)-(AT1720-AP1720))/AP1720)))</f>
        <v>0</v>
      </c>
      <c r="AV1720" s="57" t="n">
        <f aca="false">IF(LEFT(Cockpit!$O$5,1)="A",H1720,IF(CA1720=1,CB1720,IF(LEFT(Cockpit!$O$5,1)="B",AZ1720,MAX(AZ1720,H1720))))</f>
        <v>100</v>
      </c>
      <c r="AW1720" s="57" t="n">
        <f aca="false">IF(BT1720=1,0,ROUNDUP(AV1720/BS1720,0))</f>
        <v>1</v>
      </c>
      <c r="AX1720" s="59" t="n">
        <f aca="false">IF(CH1720&gt;0,CH1720*MAX(1,AV1720/X1720),IF(BT1720=1,IF(AV1720&lt;=0,0,BW1720*MAX(1,IF(H1720&gt;0,AV1720/H1720,1))),IF(R1720&gt;0,AW1720/R1720,0))/MAX(0.1,N(Parameter!$M$21)))</f>
        <v>0.00241545893719807</v>
      </c>
      <c r="AY1720" s="57" t="n">
        <f aca="false">AV1720*G1720</f>
        <v>43</v>
      </c>
      <c r="AZ1720" s="57" t="n">
        <f aca="false">ROUNDUP(MAX(J1720/IF(BZ1720&gt;0,BZ1720,MAX(0.1,N(Cockpit!$O$6))),CC1720)/BS1720,0)*BS1720</f>
        <v>100</v>
      </c>
      <c r="BA1720" s="58" t="n">
        <f aca="false">IF(AX1720&gt;0,J1720/AX1720,-1)</f>
        <v>0</v>
      </c>
      <c r="BB1720" s="58" t="n">
        <f aca="false">IF(AND(OR(BY1720="L1",BY1720="L23"),AX1720&gt;0),SUMIFS($AX$7:$AX$1843,$BY$7:$BY$1843,BY1720,$BA$7:$BA$1843,"&gt;"&amp;BA1720)+SUMIFS($AX$7:$AX$1843,$BY$7:$BY$1843,BY1720,$BA$7:$BA$1843,BA1720,$BQ$7:$BQ$1843,"&lt;="&amp;BQ1720),"")</f>
        <v>132.972897875072</v>
      </c>
      <c r="BC1720" s="65" t="n">
        <f aca="false">IF(BB1720="",0,MAX(0,MIN(1,(IF(BY1720="L1",Parameter!$E$5,Parameter!$E$6+Parameter!$E$7)-(BB1720-AX1720))/AX1720)))</f>
        <v>0</v>
      </c>
      <c r="BD1720" s="55" t="str">
        <f aca="false">IF(AH1720&lt;=0,"",IF(BY1720="Aussen","Aussenlager",IF(BY1720="-","Nicht im Lift",IF(AM1720&gt;=1,"Lift",IF(AM1720&lt;=0,"Aussenlager","teilweise")))))</f>
        <v>Lift</v>
      </c>
      <c r="BE1720" s="55" t="str">
        <f aca="false">IF(AP1720&lt;=0,"",IF(BY1720="Aussen","Aussenlager",IF(BY1720="-","Nicht im Lift",IF(AU1720&gt;=1,"Lift",IF(AU1720&lt;=0,"Aussenlager","teilweise")))))</f>
        <v>Aussenlager</v>
      </c>
      <c r="BF1720" s="55" t="str">
        <f aca="false">IF(AX1720&lt;=0,"",IF(BY1720="Aussen","Aussenlager",IF(BY1720="-","Nicht im Lift",IF(BC1720&gt;=1,"Lift",IF(BC1720&lt;=0,"Aussenlager","teilweise")))))</f>
        <v>Aussenlager</v>
      </c>
      <c r="BG1720" s="55" t="str">
        <f aca="false">IF(A1720="","",IF(BP1720=1,"Neu; ","")&amp;IF(AND(BP1720=0,BK1720&lt;0),"negativer Bestand (Export "&amp;BK1720&amp;"); ","")&amp;IF(J1720&lt;=0,"Kein Verbrauch; ","")&amp;IF(CH1720&gt;0,"Lift "&amp;W1720&amp;" lt. Liftbericht (Fach "&amp;X1720&amp;" Stk); ",IF(BU1720=1,"Gebinde geschätzt ("&amp;T1720&amp;"); ",IF(BT1720=1,"Lose – Tablare geschätzt; ","")))&amp;IF(H1720&gt;AR1720,"Überbestand "&amp;ROUND(H1720-AR1720,0)&amp;" Stk / CHF "&amp;ROUND((H1720-AR1720)*G1720,0)&amp;"; ","")&amp;IF(AND(CA1720=1,CB1720&lt;CC1720),"MAX &lt; MB+LG; ","")&amp;IF(AND(CG1720&gt;0,CF1720*10&gt;CG1720),"zu hoch für Tablar; ","")&amp;IF(AND(BP1720=0,OR(CA1720=1,AA1720&lt;&gt;"",U1720&lt;&gt;"",V1720&lt;&gt;"",AB1720&lt;&gt;"")),"manuell übersteuert; ","")&amp;IF(AND(BT1720=0,R1720=0),"Gebinde unbekannt / Stellmass fehlt; ","")&amp;IF(AND(BT1720=0,N(V1720)&lt;=0,N(Q1720)&lt;=0),"Menge pro Gebinde fehlt (Ist = 1 Gebinde); ","")&amp;BO1720)</f>
        <v>Kein Verbrauch; nur im Artikelstamm (Bestand 23.06.2026)</v>
      </c>
      <c r="BH1720" s="55"/>
      <c r="BI1720" s="55"/>
      <c r="BJ1720" s="62"/>
      <c r="BK1720" s="57" t="n">
        <v>45</v>
      </c>
      <c r="BL1720" s="57" t="n">
        <v>0</v>
      </c>
      <c r="BM1720" s="56" t="n">
        <v>0</v>
      </c>
      <c r="BN1720" s="57" t="n">
        <v>0</v>
      </c>
      <c r="BO1720" s="55" t="s">
        <v>2575</v>
      </c>
      <c r="BP1720" s="60" t="n">
        <v>0</v>
      </c>
      <c r="BQ1720" s="60" t="n">
        <v>1720</v>
      </c>
      <c r="BR1720" s="55" t="str">
        <f aca="false">IF(U1720&lt;&gt;"",UPPER(TRIM(U1720)),IF(BU1720=1,UPPER(VLOOKUP(T1720,Parameter!$I$27:$K$29,2,0)),IF(P1720="","LOSE",P1720)))</f>
        <v>S21</v>
      </c>
      <c r="BS1720" s="57" t="n">
        <f aca="false">IF(BR1720="LOSE",1,IF(N(V1720)&gt;0,V1720,IF(BU1720=1,MAX(1,N(VLOOKUP(T1720,Parameter!$I$27:$K$29,3,0)),H1720,N(N1720)),IF(N(Q1720)&gt;0,Q1720,MAX(1,H1720)))))</f>
        <v>100</v>
      </c>
      <c r="BT1720" s="60" t="n">
        <f aca="false">IF(BR1720="LOSE",1,0)</f>
        <v>0</v>
      </c>
      <c r="BU1720" s="60" t="n">
        <f aca="false">IF(AND(U1720="",OR(P1720="",P1720="LOSE"),T1720&lt;&gt;"",N(S1720)&lt;=0,ISNUMBER(MATCH(T1720,Parameter!$I$27:$I$29,0))),1,0)</f>
        <v>0</v>
      </c>
      <c r="BV1720" s="55" t="str">
        <f aca="false">IF(AND(Parameter!$B$19="Ja",E1720&lt;&gt;"",ISNUMBER(MATCH(E1720,Parameter!$I$35:$I$52,0))),VLOOKUP(E1720,Parameter!$I$35:$J$52,2,0),IFERROR(VLOOKUP(D1720,Parameter!$A$35:$C$64,2,0),"Nein"))</f>
        <v>2+3</v>
      </c>
      <c r="BW1720" s="59" t="n">
        <f aca="false">IF(BT1720=0,0,IF(N(S1720)&gt;0,S1720,IFERROR(VLOOKUP(D1720,Parameter!$A$35:$C$64,3,0)+0,0)))</f>
        <v>0</v>
      </c>
      <c r="BX1720" s="55" t="n">
        <f aca="false">IF(AA1720&lt;&gt;"",AA1720,Z1720)</f>
        <v>3</v>
      </c>
      <c r="BY1720" s="55" t="str">
        <f aca="false">IF(BX1720=1,"L1",IF(OR(BX1720=2,BX1720=3),"L23",IF(BX1720="Aussen","Aussen","-")))</f>
        <v>L23</v>
      </c>
      <c r="BZ1720" s="66" t="n">
        <f aca="false">IF(N(AB1720)&gt;0,AB1720,0)</f>
        <v>0</v>
      </c>
      <c r="CA1720" s="60" t="n">
        <f aca="false">IF(ISNUMBER(AE1720),1,0)</f>
        <v>0</v>
      </c>
      <c r="CB1720" s="57" t="n">
        <f aca="false">N(AE1720)</f>
        <v>0</v>
      </c>
      <c r="CC1720" s="57" t="n">
        <f aca="false">N(M1720)+N(N1720)</f>
        <v>100</v>
      </c>
      <c r="CD1720" s="57" t="n">
        <f aca="false">ROUNDUP(H1720/BS1720,0)</f>
        <v>1</v>
      </c>
      <c r="CE1720" s="57" t="n">
        <f aca="false">ROUNDUP(CB1720/BS1720,0)</f>
        <v>0</v>
      </c>
      <c r="CF1720" s="60" t="n">
        <f aca="false">IF(BT1720=1,0,IFERROR(VLOOKUP(BR1720,'Gebinde-Kategorie'!$A$5:$M$45,5,0)+0,0))</f>
        <v>8</v>
      </c>
      <c r="CG1720" s="60" t="n">
        <f aca="false">IFERROR(IF(OR(BX1720=1,BX1720=2,BX1720=3),N(INDEX(Parameter!$I$5:$I$7,BX1720)),0),0)</f>
        <v>0</v>
      </c>
      <c r="CH1720" s="59" t="n">
        <f aca="false">IF(AND(Parameter!$B$21="Ja",ISNUMBER(W1720),N(X1720)&gt;0),IFERROR(N(INDEX(Parameter!$L$5:$L$7,W1720))*INDEX(Parameter!$E$5:$E$7,W1720)*X1720/SUMIFS($X$7:$X$1843,$W$7:$W$1843,W1720),0),0)</f>
        <v>0</v>
      </c>
    </row>
    <row r="1721" customFormat="false" ht="15" hidden="false" customHeight="false" outlineLevel="0" collapsed="false">
      <c r="A1721" s="55" t="s">
        <v>2979</v>
      </c>
      <c r="B1721" s="55" t="s">
        <v>367</v>
      </c>
      <c r="C1721" s="55" t="s">
        <v>164</v>
      </c>
      <c r="D1721" s="55" t="s">
        <v>184</v>
      </c>
      <c r="E1721" s="55"/>
      <c r="F1721" s="55"/>
      <c r="G1721" s="56" t="n">
        <v>6.3</v>
      </c>
      <c r="H1721" s="57" t="n">
        <f aca="false">MAX(0,IF(AND(Parameter!$B$21="Ja",ISNUMBER(Y1721)),Y1721,IF(Parameter!$B$20="Jahresanfang 2025 + Export",BL1721+BK1721,BK1721)))</f>
        <v>12</v>
      </c>
      <c r="I1721" s="57" t="n">
        <f aca="false">H1721*G1721</f>
        <v>75.6</v>
      </c>
      <c r="J1721" s="57" t="n">
        <f aca="false">BN1721*Parameter!$B$18</f>
        <v>0</v>
      </c>
      <c r="K1721" s="58"/>
      <c r="L1721" s="59"/>
      <c r="M1721" s="57" t="n">
        <v>0</v>
      </c>
      <c r="N1721" s="57" t="n">
        <v>15</v>
      </c>
      <c r="O1721" s="60" t="n">
        <v>14</v>
      </c>
      <c r="P1721" s="55" t="s">
        <v>401</v>
      </c>
      <c r="Q1721" s="57" t="n">
        <v>50</v>
      </c>
      <c r="R1721" s="60" t="n">
        <f aca="false">IF(BT1721=1,0,IFERROR(VLOOKUP(BR1721,'Gebinde-Kategorie'!$A$5:$M$45,13,0)+0,0))</f>
        <v>414</v>
      </c>
      <c r="S1721" s="61"/>
      <c r="T1721" s="62"/>
      <c r="U1721" s="62"/>
      <c r="V1721" s="62"/>
      <c r="W1721" s="55"/>
      <c r="X1721" s="57"/>
      <c r="Y1721" s="57"/>
      <c r="Z1721" s="55" t="n">
        <f aca="false">IF(A1721="","",IF(AND(Parameter!$B$21="Ja",ISNUMBER(W1721)),W1721,IF(BV1721="2+3",IF(ISNUMBER(SEARCH("grosser Artikel",BO1721)),2,IFERROR(VLOOKUP(BR1721,Parameter!$F$35:$G$64,2,0),2)),IF(OR(BV1721="Nein",BV1721=""),"-",BV1721))))</f>
        <v>3</v>
      </c>
      <c r="AA1721" s="62"/>
      <c r="AB1721" s="63"/>
      <c r="AC1721" s="57" t="n">
        <f aca="false">AR1721</f>
        <v>50</v>
      </c>
      <c r="AD1721" s="57" t="n">
        <f aca="false">MAX(AR1721,H1721)</f>
        <v>50</v>
      </c>
      <c r="AE1721" s="64"/>
      <c r="AF1721" s="57" t="n">
        <f aca="false">IF(LEFT(Cockpit!$C$5,1)="A",H1721,IF(CA1721=1,CB1721,IF(LEFT(Cockpit!$C$5,1)="B",AJ1721,MAX(AJ1721,H1721))))</f>
        <v>12</v>
      </c>
      <c r="AG1721" s="57" t="n">
        <f aca="false">IF(BT1721=1,0,ROUNDUP(AF1721/BS1721,0))</f>
        <v>1</v>
      </c>
      <c r="AH1721" s="59" t="n">
        <f aca="false">IF(CH1721&gt;0,CH1721*MAX(1,AF1721/X1721),IF(BT1721=1,IF(AF1721&lt;=0,0,BW1721*MAX(1,IF(H1721&gt;0,AF1721/H1721,1))),IF(R1721&gt;0,AG1721/R1721,0))/MAX(0.1,N(Parameter!$M$21)))</f>
        <v>0.00241545893719807</v>
      </c>
      <c r="AI1721" s="57" t="n">
        <f aca="false">AF1721*G1721</f>
        <v>75.6</v>
      </c>
      <c r="AJ1721" s="57" t="n">
        <f aca="false">ROUNDUP(MAX(J1721/IF(BZ1721&gt;0,BZ1721,MAX(0.1,N(Cockpit!$C$6))),CC1721)/BS1721,0)*BS1721</f>
        <v>50</v>
      </c>
      <c r="AK1721" s="58" t="n">
        <f aca="false">IF(AH1721&gt;0,J1721/AH1721,-1)</f>
        <v>0</v>
      </c>
      <c r="AL1721" s="58" t="n">
        <f aca="false">IF(AND(OR(BY1721="L1",BY1721="L23"),AH1721&gt;0),SUMIFS($AH$7:$AH$1843,$BY$7:$BY$1843,BY1721,$AK$7:$AK$1843,"&gt;"&amp;AK1721)+SUMIFS($AH$7:$AH$1843,$BY$7:$BY$1843,BY1721,$AK$7:$AK$1843,AK1721,$BQ$7:$BQ$1843,"&lt;="&amp;BQ1721),"")</f>
        <v>96.7923296510253</v>
      </c>
      <c r="AM1721" s="65" t="n">
        <f aca="false">IF(AL1721="",0,MAX(0,MIN(1,(IF(BY1721="L1",Parameter!$E$5,Parameter!$E$6+Parameter!$E$7)-(AL1721-AH1721))/AH1721)))</f>
        <v>1</v>
      </c>
      <c r="AN1721" s="57" t="n">
        <f aca="false">IF(LEFT(Cockpit!$I$5,1)="A",H1721,IF(CA1721=1,CB1721,IF(LEFT(Cockpit!$I$5,1)="B",AR1721,MAX(AR1721,H1721))))</f>
        <v>50</v>
      </c>
      <c r="AO1721" s="57" t="n">
        <f aca="false">IF(BT1721=1,0,ROUNDUP(AN1721/BS1721,0))</f>
        <v>1</v>
      </c>
      <c r="AP1721" s="59" t="n">
        <f aca="false">IF(CH1721&gt;0,CH1721*MAX(1,AN1721/X1721),IF(BT1721=1,IF(AN1721&lt;=0,0,BW1721*MAX(1,IF(H1721&gt;0,AN1721/H1721,1))),IF(R1721&gt;0,AO1721/R1721,0))/MAX(0.1,N(Parameter!$M$21)))</f>
        <v>0.00241545893719807</v>
      </c>
      <c r="AQ1721" s="57" t="n">
        <f aca="false">AN1721*G1721</f>
        <v>315</v>
      </c>
      <c r="AR1721" s="57" t="n">
        <f aca="false">ROUNDUP(MAX(J1721/IF(BZ1721&gt;0,BZ1721,MAX(0.1,N(Cockpit!$I$6))),CC1721)/BS1721,0)*BS1721</f>
        <v>50</v>
      </c>
      <c r="AS1721" s="58" t="n">
        <f aca="false">IF(AP1721&gt;0,J1721/AP1721,-1)</f>
        <v>0</v>
      </c>
      <c r="AT1721" s="58" t="n">
        <f aca="false">IF(AND(OR(BY1721="L1",BY1721="L23"),AP1721&gt;0),SUMIFS($AP$7:$AP$1843,$BY$7:$BY$1843,BY1721,$AS$7:$AS$1843,"&gt;"&amp;AS1721)+SUMIFS($AP$7:$AP$1843,$BY$7:$BY$1843,BY1721,$AS$7:$AS$1843,AS1721,$BQ$7:$BQ$1843,"&lt;="&amp;BQ1721),"")</f>
        <v>142.145476504172</v>
      </c>
      <c r="AU1721" s="65" t="n">
        <f aca="false">IF(AT1721="",0,MAX(0,MIN(1,(IF(BY1721="L1",Parameter!$E$5,Parameter!$E$6+Parameter!$E$7)-(AT1721-AP1721))/AP1721)))</f>
        <v>0</v>
      </c>
      <c r="AV1721" s="57" t="n">
        <f aca="false">IF(LEFT(Cockpit!$O$5,1)="A",H1721,IF(CA1721=1,CB1721,IF(LEFT(Cockpit!$O$5,1)="B",AZ1721,MAX(AZ1721,H1721))))</f>
        <v>50</v>
      </c>
      <c r="AW1721" s="57" t="n">
        <f aca="false">IF(BT1721=1,0,ROUNDUP(AV1721/BS1721,0))</f>
        <v>1</v>
      </c>
      <c r="AX1721" s="59" t="n">
        <f aca="false">IF(CH1721&gt;0,CH1721*MAX(1,AV1721/X1721),IF(BT1721=1,IF(AV1721&lt;=0,0,BW1721*MAX(1,IF(H1721&gt;0,AV1721/H1721,1))),IF(R1721&gt;0,AW1721/R1721,0))/MAX(0.1,N(Parameter!$M$21)))</f>
        <v>0.00241545893719807</v>
      </c>
      <c r="AY1721" s="57" t="n">
        <f aca="false">AV1721*G1721</f>
        <v>315</v>
      </c>
      <c r="AZ1721" s="57" t="n">
        <f aca="false">ROUNDUP(MAX(J1721/IF(BZ1721&gt;0,BZ1721,MAX(0.1,N(Cockpit!$O$6))),CC1721)/BS1721,0)*BS1721</f>
        <v>50</v>
      </c>
      <c r="BA1721" s="58" t="n">
        <f aca="false">IF(AX1721&gt;0,J1721/AX1721,-1)</f>
        <v>0</v>
      </c>
      <c r="BB1721" s="58" t="n">
        <f aca="false">IF(AND(OR(BY1721="L1",BY1721="L23"),AX1721&gt;0),SUMIFS($AX$7:$AX$1843,$BY$7:$BY$1843,BY1721,$BA$7:$BA$1843,"&gt;"&amp;BA1721)+SUMIFS($AX$7:$AX$1843,$BY$7:$BY$1843,BY1721,$BA$7:$BA$1843,BA1721,$BQ$7:$BQ$1843,"&lt;="&amp;BQ1721),"")</f>
        <v>132.975313334009</v>
      </c>
      <c r="BC1721" s="65" t="n">
        <f aca="false">IF(BB1721="",0,MAX(0,MIN(1,(IF(BY1721="L1",Parameter!$E$5,Parameter!$E$6+Parameter!$E$7)-(BB1721-AX1721))/AX1721)))</f>
        <v>0</v>
      </c>
      <c r="BD1721" s="55" t="str">
        <f aca="false">IF(AH1721&lt;=0,"",IF(BY1721="Aussen","Aussenlager",IF(BY1721="-","Nicht im Lift",IF(AM1721&gt;=1,"Lift",IF(AM1721&lt;=0,"Aussenlager","teilweise")))))</f>
        <v>Lift</v>
      </c>
      <c r="BE1721" s="55" t="str">
        <f aca="false">IF(AP1721&lt;=0,"",IF(BY1721="Aussen","Aussenlager",IF(BY1721="-","Nicht im Lift",IF(AU1721&gt;=1,"Lift",IF(AU1721&lt;=0,"Aussenlager","teilweise")))))</f>
        <v>Aussenlager</v>
      </c>
      <c r="BF1721" s="55" t="str">
        <f aca="false">IF(AX1721&lt;=0,"",IF(BY1721="Aussen","Aussenlager",IF(BY1721="-","Nicht im Lift",IF(BC1721&gt;=1,"Lift",IF(BC1721&lt;=0,"Aussenlager","teilweise")))))</f>
        <v>Aussenlager</v>
      </c>
      <c r="BG1721" s="55" t="str">
        <f aca="false">IF(A1721="","",IF(BP1721=1,"Neu; ","")&amp;IF(AND(BP1721=0,BK1721&lt;0),"negativer Bestand (Export "&amp;BK1721&amp;"); ","")&amp;IF(J1721&lt;=0,"Kein Verbrauch; ","")&amp;IF(CH1721&gt;0,"Lift "&amp;W1721&amp;" lt. Liftbericht (Fach "&amp;X1721&amp;" Stk); ",IF(BU1721=1,"Gebinde geschätzt ("&amp;T1721&amp;"); ",IF(BT1721=1,"Lose – Tablare geschätzt; ","")))&amp;IF(H1721&gt;AR1721,"Überbestand "&amp;ROUND(H1721-AR1721,0)&amp;" Stk / CHF "&amp;ROUND((H1721-AR1721)*G1721,0)&amp;"; ","")&amp;IF(AND(CA1721=1,CB1721&lt;CC1721),"MAX &lt; MB+LG; ","")&amp;IF(AND(CG1721&gt;0,CF1721*10&gt;CG1721),"zu hoch für Tablar; ","")&amp;IF(AND(BP1721=0,OR(CA1721=1,AA1721&lt;&gt;"",U1721&lt;&gt;"",V1721&lt;&gt;"",AB1721&lt;&gt;"")),"manuell übersteuert; ","")&amp;IF(AND(BT1721=0,R1721=0),"Gebinde unbekannt / Stellmass fehlt; ","")&amp;IF(AND(BT1721=0,N(V1721)&lt;=0,N(Q1721)&lt;=0),"Menge pro Gebinde fehlt (Ist = 1 Gebinde); ","")&amp;BO1721)</f>
        <v>Kein Verbrauch; nur im Artikelstamm (Bestand 23.06.2026)</v>
      </c>
      <c r="BH1721" s="55"/>
      <c r="BI1721" s="55"/>
      <c r="BJ1721" s="62"/>
      <c r="BK1721" s="57" t="n">
        <v>12</v>
      </c>
      <c r="BL1721" s="57" t="n">
        <v>0</v>
      </c>
      <c r="BM1721" s="56" t="n">
        <v>0</v>
      </c>
      <c r="BN1721" s="57" t="n">
        <v>0</v>
      </c>
      <c r="BO1721" s="55" t="s">
        <v>2575</v>
      </c>
      <c r="BP1721" s="60" t="n">
        <v>0</v>
      </c>
      <c r="BQ1721" s="60" t="n">
        <v>1721</v>
      </c>
      <c r="BR1721" s="55" t="str">
        <f aca="false">IF(U1721&lt;&gt;"",UPPER(TRIM(U1721)),IF(BU1721=1,UPPER(VLOOKUP(T1721,Parameter!$I$27:$K$29,2,0)),IF(P1721="","LOSE",P1721)))</f>
        <v>S21</v>
      </c>
      <c r="BS1721" s="57" t="n">
        <f aca="false">IF(BR1721="LOSE",1,IF(N(V1721)&gt;0,V1721,IF(BU1721=1,MAX(1,N(VLOOKUP(T1721,Parameter!$I$27:$K$29,3,0)),H1721,N(N1721)),IF(N(Q1721)&gt;0,Q1721,MAX(1,H1721)))))</f>
        <v>50</v>
      </c>
      <c r="BT1721" s="60" t="n">
        <f aca="false">IF(BR1721="LOSE",1,0)</f>
        <v>0</v>
      </c>
      <c r="BU1721" s="60" t="n">
        <f aca="false">IF(AND(U1721="",OR(P1721="",P1721="LOSE"),T1721&lt;&gt;"",N(S1721)&lt;=0,ISNUMBER(MATCH(T1721,Parameter!$I$27:$I$29,0))),1,0)</f>
        <v>0</v>
      </c>
      <c r="BV1721" s="55" t="str">
        <f aca="false">IF(AND(Parameter!$B$19="Ja",E1721&lt;&gt;"",ISNUMBER(MATCH(E1721,Parameter!$I$35:$I$52,0))),VLOOKUP(E1721,Parameter!$I$35:$J$52,2,0),IFERROR(VLOOKUP(D1721,Parameter!$A$35:$C$64,2,0),"Nein"))</f>
        <v>2+3</v>
      </c>
      <c r="BW1721" s="59" t="n">
        <f aca="false">IF(BT1721=0,0,IF(N(S1721)&gt;0,S1721,IFERROR(VLOOKUP(D1721,Parameter!$A$35:$C$64,3,0)+0,0)))</f>
        <v>0</v>
      </c>
      <c r="BX1721" s="55" t="n">
        <f aca="false">IF(AA1721&lt;&gt;"",AA1721,Z1721)</f>
        <v>3</v>
      </c>
      <c r="BY1721" s="55" t="str">
        <f aca="false">IF(BX1721=1,"L1",IF(OR(BX1721=2,BX1721=3),"L23",IF(BX1721="Aussen","Aussen","-")))</f>
        <v>L23</v>
      </c>
      <c r="BZ1721" s="66" t="n">
        <f aca="false">IF(N(AB1721)&gt;0,AB1721,0)</f>
        <v>0</v>
      </c>
      <c r="CA1721" s="60" t="n">
        <f aca="false">IF(ISNUMBER(AE1721),1,0)</f>
        <v>0</v>
      </c>
      <c r="CB1721" s="57" t="n">
        <f aca="false">N(AE1721)</f>
        <v>0</v>
      </c>
      <c r="CC1721" s="57" t="n">
        <f aca="false">N(M1721)+N(N1721)</f>
        <v>15</v>
      </c>
      <c r="CD1721" s="57" t="n">
        <f aca="false">ROUNDUP(H1721/BS1721,0)</f>
        <v>1</v>
      </c>
      <c r="CE1721" s="57" t="n">
        <f aca="false">ROUNDUP(CB1721/BS1721,0)</f>
        <v>0</v>
      </c>
      <c r="CF1721" s="60" t="n">
        <f aca="false">IF(BT1721=1,0,IFERROR(VLOOKUP(BR1721,'Gebinde-Kategorie'!$A$5:$M$45,5,0)+0,0))</f>
        <v>8</v>
      </c>
      <c r="CG1721" s="60" t="n">
        <f aca="false">IFERROR(IF(OR(BX1721=1,BX1721=2,BX1721=3),N(INDEX(Parameter!$I$5:$I$7,BX1721)),0),0)</f>
        <v>0</v>
      </c>
      <c r="CH1721" s="59" t="n">
        <f aca="false">IF(AND(Parameter!$B$21="Ja",ISNUMBER(W1721),N(X1721)&gt;0),IFERROR(N(INDEX(Parameter!$L$5:$L$7,W1721))*INDEX(Parameter!$E$5:$E$7,W1721)*X1721/SUMIFS($X$7:$X$1843,$W$7:$W$1843,W1721),0),0)</f>
        <v>0</v>
      </c>
    </row>
    <row r="1722" customFormat="false" ht="15" hidden="false" customHeight="false" outlineLevel="0" collapsed="false">
      <c r="A1722" s="55" t="s">
        <v>2980</v>
      </c>
      <c r="B1722" s="55" t="s">
        <v>374</v>
      </c>
      <c r="C1722" s="55" t="s">
        <v>164</v>
      </c>
      <c r="D1722" s="55" t="s">
        <v>184</v>
      </c>
      <c r="E1722" s="55"/>
      <c r="F1722" s="55"/>
      <c r="G1722" s="56" t="n">
        <v>12.63</v>
      </c>
      <c r="H1722" s="57" t="n">
        <f aca="false">MAX(0,IF(AND(Parameter!$B$21="Ja",ISNUMBER(Y1722)),Y1722,IF(Parameter!$B$20="Jahresanfang 2025 + Export",BL1722+BK1722,BK1722)))</f>
        <v>25</v>
      </c>
      <c r="I1722" s="57" t="n">
        <f aca="false">H1722*G1722</f>
        <v>315.75</v>
      </c>
      <c r="J1722" s="57" t="n">
        <f aca="false">BN1722*Parameter!$B$18</f>
        <v>0</v>
      </c>
      <c r="K1722" s="58"/>
      <c r="L1722" s="59"/>
      <c r="M1722" s="57" t="n">
        <v>0</v>
      </c>
      <c r="N1722" s="57" t="n">
        <v>1</v>
      </c>
      <c r="O1722" s="60" t="n">
        <v>28</v>
      </c>
      <c r="P1722" s="55" t="s">
        <v>401</v>
      </c>
      <c r="Q1722" s="57" t="n">
        <v>50</v>
      </c>
      <c r="R1722" s="60" t="n">
        <f aca="false">IF(BT1722=1,0,IFERROR(VLOOKUP(BR1722,'Gebinde-Kategorie'!$A$5:$M$45,13,0)+0,0))</f>
        <v>414</v>
      </c>
      <c r="S1722" s="61"/>
      <c r="T1722" s="62"/>
      <c r="U1722" s="62"/>
      <c r="V1722" s="62"/>
      <c r="W1722" s="55"/>
      <c r="X1722" s="57"/>
      <c r="Y1722" s="57"/>
      <c r="Z1722" s="55" t="n">
        <f aca="false">IF(A1722="","",IF(AND(Parameter!$B$21="Ja",ISNUMBER(W1722)),W1722,IF(BV1722="2+3",IF(ISNUMBER(SEARCH("grosser Artikel",BO1722)),2,IFERROR(VLOOKUP(BR1722,Parameter!$F$35:$G$64,2,0),2)),IF(OR(BV1722="Nein",BV1722=""),"-",BV1722))))</f>
        <v>3</v>
      </c>
      <c r="AA1722" s="62"/>
      <c r="AB1722" s="63"/>
      <c r="AC1722" s="57" t="n">
        <f aca="false">AR1722</f>
        <v>50</v>
      </c>
      <c r="AD1722" s="57" t="n">
        <f aca="false">MAX(AR1722,H1722)</f>
        <v>50</v>
      </c>
      <c r="AE1722" s="64"/>
      <c r="AF1722" s="57" t="n">
        <f aca="false">IF(LEFT(Cockpit!$C$5,1)="A",H1722,IF(CA1722=1,CB1722,IF(LEFT(Cockpit!$C$5,1)="B",AJ1722,MAX(AJ1722,H1722))))</f>
        <v>25</v>
      </c>
      <c r="AG1722" s="57" t="n">
        <f aca="false">IF(BT1722=1,0,ROUNDUP(AF1722/BS1722,0))</f>
        <v>1</v>
      </c>
      <c r="AH1722" s="59" t="n">
        <f aca="false">IF(CH1722&gt;0,CH1722*MAX(1,AF1722/X1722),IF(BT1722=1,IF(AF1722&lt;=0,0,BW1722*MAX(1,IF(H1722&gt;0,AF1722/H1722,1))),IF(R1722&gt;0,AG1722/R1722,0))/MAX(0.1,N(Parameter!$M$21)))</f>
        <v>0.00241545893719807</v>
      </c>
      <c r="AI1722" s="57" t="n">
        <f aca="false">AF1722*G1722</f>
        <v>315.75</v>
      </c>
      <c r="AJ1722" s="57" t="n">
        <f aca="false">ROUNDUP(MAX(J1722/IF(BZ1722&gt;0,BZ1722,MAX(0.1,N(Cockpit!$C$6))),CC1722)/BS1722,0)*BS1722</f>
        <v>50</v>
      </c>
      <c r="AK1722" s="58" t="n">
        <f aca="false">IF(AH1722&gt;0,J1722/AH1722,-1)</f>
        <v>0</v>
      </c>
      <c r="AL1722" s="58" t="n">
        <f aca="false">IF(AND(OR(BY1722="L1",BY1722="L23"),AH1722&gt;0),SUMIFS($AH$7:$AH$1843,$BY$7:$BY$1843,BY1722,$AK$7:$AK$1843,"&gt;"&amp;AK1722)+SUMIFS($AH$7:$AH$1843,$BY$7:$BY$1843,BY1722,$AK$7:$AK$1843,AK1722,$BQ$7:$BQ$1843,"&lt;="&amp;BQ1722),"")</f>
        <v>96.7947451099625</v>
      </c>
      <c r="AM1722" s="65" t="n">
        <f aca="false">IF(AL1722="",0,MAX(0,MIN(1,(IF(BY1722="L1",Parameter!$E$5,Parameter!$E$6+Parameter!$E$7)-(AL1722-AH1722))/AH1722)))</f>
        <v>1</v>
      </c>
      <c r="AN1722" s="57" t="n">
        <f aca="false">IF(LEFT(Cockpit!$I$5,1)="A",H1722,IF(CA1722=1,CB1722,IF(LEFT(Cockpit!$I$5,1)="B",AR1722,MAX(AR1722,H1722))))</f>
        <v>50</v>
      </c>
      <c r="AO1722" s="57" t="n">
        <f aca="false">IF(BT1722=1,0,ROUNDUP(AN1722/BS1722,0))</f>
        <v>1</v>
      </c>
      <c r="AP1722" s="59" t="n">
        <f aca="false">IF(CH1722&gt;0,CH1722*MAX(1,AN1722/X1722),IF(BT1722=1,IF(AN1722&lt;=0,0,BW1722*MAX(1,IF(H1722&gt;0,AN1722/H1722,1))),IF(R1722&gt;0,AO1722/R1722,0))/MAX(0.1,N(Parameter!$M$21)))</f>
        <v>0.00241545893719807</v>
      </c>
      <c r="AQ1722" s="57" t="n">
        <f aca="false">AN1722*G1722</f>
        <v>631.5</v>
      </c>
      <c r="AR1722" s="57" t="n">
        <f aca="false">ROUNDUP(MAX(J1722/IF(BZ1722&gt;0,BZ1722,MAX(0.1,N(Cockpit!$I$6))),CC1722)/BS1722,0)*BS1722</f>
        <v>50</v>
      </c>
      <c r="AS1722" s="58" t="n">
        <f aca="false">IF(AP1722&gt;0,J1722/AP1722,-1)</f>
        <v>0</v>
      </c>
      <c r="AT1722" s="58" t="n">
        <f aca="false">IF(AND(OR(BY1722="L1",BY1722="L23"),AP1722&gt;0),SUMIFS($AP$7:$AP$1843,$BY$7:$BY$1843,BY1722,$AS$7:$AS$1843,"&gt;"&amp;AS1722)+SUMIFS($AP$7:$AP$1843,$BY$7:$BY$1843,BY1722,$AS$7:$AS$1843,AS1722,$BQ$7:$BQ$1843,"&lt;="&amp;BQ1722),"")</f>
        <v>142.147891963109</v>
      </c>
      <c r="AU1722" s="65" t="n">
        <f aca="false">IF(AT1722="",0,MAX(0,MIN(1,(IF(BY1722="L1",Parameter!$E$5,Parameter!$E$6+Parameter!$E$7)-(AT1722-AP1722))/AP1722)))</f>
        <v>0</v>
      </c>
      <c r="AV1722" s="57" t="n">
        <f aca="false">IF(LEFT(Cockpit!$O$5,1)="A",H1722,IF(CA1722=1,CB1722,IF(LEFT(Cockpit!$O$5,1)="B",AZ1722,MAX(AZ1722,H1722))))</f>
        <v>50</v>
      </c>
      <c r="AW1722" s="57" t="n">
        <f aca="false">IF(BT1722=1,0,ROUNDUP(AV1722/BS1722,0))</f>
        <v>1</v>
      </c>
      <c r="AX1722" s="59" t="n">
        <f aca="false">IF(CH1722&gt;0,CH1722*MAX(1,AV1722/X1722),IF(BT1722=1,IF(AV1722&lt;=0,0,BW1722*MAX(1,IF(H1722&gt;0,AV1722/H1722,1))),IF(R1722&gt;0,AW1722/R1722,0))/MAX(0.1,N(Parameter!$M$21)))</f>
        <v>0.00241545893719807</v>
      </c>
      <c r="AY1722" s="57" t="n">
        <f aca="false">AV1722*G1722</f>
        <v>631.5</v>
      </c>
      <c r="AZ1722" s="57" t="n">
        <f aca="false">ROUNDUP(MAX(J1722/IF(BZ1722&gt;0,BZ1722,MAX(0.1,N(Cockpit!$O$6))),CC1722)/BS1722,0)*BS1722</f>
        <v>50</v>
      </c>
      <c r="BA1722" s="58" t="n">
        <f aca="false">IF(AX1722&gt;0,J1722/AX1722,-1)</f>
        <v>0</v>
      </c>
      <c r="BB1722" s="58" t="n">
        <f aca="false">IF(AND(OR(BY1722="L1",BY1722="L23"),AX1722&gt;0),SUMIFS($AX$7:$AX$1843,$BY$7:$BY$1843,BY1722,$BA$7:$BA$1843,"&gt;"&amp;BA1722)+SUMIFS($AX$7:$AX$1843,$BY$7:$BY$1843,BY1722,$BA$7:$BA$1843,BA1722,$BQ$7:$BQ$1843,"&lt;="&amp;BQ1722),"")</f>
        <v>132.977728792946</v>
      </c>
      <c r="BC1722" s="65" t="n">
        <f aca="false">IF(BB1722="",0,MAX(0,MIN(1,(IF(BY1722="L1",Parameter!$E$5,Parameter!$E$6+Parameter!$E$7)-(BB1722-AX1722))/AX1722)))</f>
        <v>0</v>
      </c>
      <c r="BD1722" s="55" t="str">
        <f aca="false">IF(AH1722&lt;=0,"",IF(BY1722="Aussen","Aussenlager",IF(BY1722="-","Nicht im Lift",IF(AM1722&gt;=1,"Lift",IF(AM1722&lt;=0,"Aussenlager","teilweise")))))</f>
        <v>Lift</v>
      </c>
      <c r="BE1722" s="55" t="str">
        <f aca="false">IF(AP1722&lt;=0,"",IF(BY1722="Aussen","Aussenlager",IF(BY1722="-","Nicht im Lift",IF(AU1722&gt;=1,"Lift",IF(AU1722&lt;=0,"Aussenlager","teilweise")))))</f>
        <v>Aussenlager</v>
      </c>
      <c r="BF1722" s="55" t="str">
        <f aca="false">IF(AX1722&lt;=0,"",IF(BY1722="Aussen","Aussenlager",IF(BY1722="-","Nicht im Lift",IF(BC1722&gt;=1,"Lift",IF(BC1722&lt;=0,"Aussenlager","teilweise")))))</f>
        <v>Aussenlager</v>
      </c>
      <c r="BG1722" s="55" t="str">
        <f aca="false">IF(A1722="","",IF(BP1722=1,"Neu; ","")&amp;IF(AND(BP1722=0,BK1722&lt;0),"negativer Bestand (Export "&amp;BK1722&amp;"); ","")&amp;IF(J1722&lt;=0,"Kein Verbrauch; ","")&amp;IF(CH1722&gt;0,"Lift "&amp;W1722&amp;" lt. Liftbericht (Fach "&amp;X1722&amp;" Stk); ",IF(BU1722=1,"Gebinde geschätzt ("&amp;T1722&amp;"); ",IF(BT1722=1,"Lose – Tablare geschätzt; ","")))&amp;IF(H1722&gt;AR1722,"Überbestand "&amp;ROUND(H1722-AR1722,0)&amp;" Stk / CHF "&amp;ROUND((H1722-AR1722)*G1722,0)&amp;"; ","")&amp;IF(AND(CA1722=1,CB1722&lt;CC1722),"MAX &lt; MB+LG; ","")&amp;IF(AND(CG1722&gt;0,CF1722*10&gt;CG1722),"zu hoch für Tablar; ","")&amp;IF(AND(BP1722=0,OR(CA1722=1,AA1722&lt;&gt;"",U1722&lt;&gt;"",V1722&lt;&gt;"",AB1722&lt;&gt;"")),"manuell übersteuert; ","")&amp;IF(AND(BT1722=0,R1722=0),"Gebinde unbekannt / Stellmass fehlt; ","")&amp;IF(AND(BT1722=0,N(V1722)&lt;=0,N(Q1722)&lt;=0),"Menge pro Gebinde fehlt (Ist = 1 Gebinde); ","")&amp;BO1722)</f>
        <v>Kein Verbrauch; nur im Artikelstamm (Bestand 23.06.2026)</v>
      </c>
      <c r="BH1722" s="55"/>
      <c r="BI1722" s="55"/>
      <c r="BJ1722" s="62"/>
      <c r="BK1722" s="57" t="n">
        <v>25</v>
      </c>
      <c r="BL1722" s="57" t="n">
        <v>0</v>
      </c>
      <c r="BM1722" s="56" t="n">
        <v>0</v>
      </c>
      <c r="BN1722" s="57" t="n">
        <v>0</v>
      </c>
      <c r="BO1722" s="55" t="s">
        <v>2575</v>
      </c>
      <c r="BP1722" s="60" t="n">
        <v>0</v>
      </c>
      <c r="BQ1722" s="60" t="n">
        <v>1722</v>
      </c>
      <c r="BR1722" s="55" t="str">
        <f aca="false">IF(U1722&lt;&gt;"",UPPER(TRIM(U1722)),IF(BU1722=1,UPPER(VLOOKUP(T1722,Parameter!$I$27:$K$29,2,0)),IF(P1722="","LOSE",P1722)))</f>
        <v>S21</v>
      </c>
      <c r="BS1722" s="57" t="n">
        <f aca="false">IF(BR1722="LOSE",1,IF(N(V1722)&gt;0,V1722,IF(BU1722=1,MAX(1,N(VLOOKUP(T1722,Parameter!$I$27:$K$29,3,0)),H1722,N(N1722)),IF(N(Q1722)&gt;0,Q1722,MAX(1,H1722)))))</f>
        <v>50</v>
      </c>
      <c r="BT1722" s="60" t="n">
        <f aca="false">IF(BR1722="LOSE",1,0)</f>
        <v>0</v>
      </c>
      <c r="BU1722" s="60" t="n">
        <f aca="false">IF(AND(U1722="",OR(P1722="",P1722="LOSE"),T1722&lt;&gt;"",N(S1722)&lt;=0,ISNUMBER(MATCH(T1722,Parameter!$I$27:$I$29,0))),1,0)</f>
        <v>0</v>
      </c>
      <c r="BV1722" s="55" t="str">
        <f aca="false">IF(AND(Parameter!$B$19="Ja",E1722&lt;&gt;"",ISNUMBER(MATCH(E1722,Parameter!$I$35:$I$52,0))),VLOOKUP(E1722,Parameter!$I$35:$J$52,2,0),IFERROR(VLOOKUP(D1722,Parameter!$A$35:$C$64,2,0),"Nein"))</f>
        <v>2+3</v>
      </c>
      <c r="BW1722" s="59" t="n">
        <f aca="false">IF(BT1722=0,0,IF(N(S1722)&gt;0,S1722,IFERROR(VLOOKUP(D1722,Parameter!$A$35:$C$64,3,0)+0,0)))</f>
        <v>0</v>
      </c>
      <c r="BX1722" s="55" t="n">
        <f aca="false">IF(AA1722&lt;&gt;"",AA1722,Z1722)</f>
        <v>3</v>
      </c>
      <c r="BY1722" s="55" t="str">
        <f aca="false">IF(BX1722=1,"L1",IF(OR(BX1722=2,BX1722=3),"L23",IF(BX1722="Aussen","Aussen","-")))</f>
        <v>L23</v>
      </c>
      <c r="BZ1722" s="66" t="n">
        <f aca="false">IF(N(AB1722)&gt;0,AB1722,0)</f>
        <v>0</v>
      </c>
      <c r="CA1722" s="60" t="n">
        <f aca="false">IF(ISNUMBER(AE1722),1,0)</f>
        <v>0</v>
      </c>
      <c r="CB1722" s="57" t="n">
        <f aca="false">N(AE1722)</f>
        <v>0</v>
      </c>
      <c r="CC1722" s="57" t="n">
        <f aca="false">N(M1722)+N(N1722)</f>
        <v>1</v>
      </c>
      <c r="CD1722" s="57" t="n">
        <f aca="false">ROUNDUP(H1722/BS1722,0)</f>
        <v>1</v>
      </c>
      <c r="CE1722" s="57" t="n">
        <f aca="false">ROUNDUP(CB1722/BS1722,0)</f>
        <v>0</v>
      </c>
      <c r="CF1722" s="60" t="n">
        <f aca="false">IF(BT1722=1,0,IFERROR(VLOOKUP(BR1722,'Gebinde-Kategorie'!$A$5:$M$45,5,0)+0,0))</f>
        <v>8</v>
      </c>
      <c r="CG1722" s="60" t="n">
        <f aca="false">IFERROR(IF(OR(BX1722=1,BX1722=2,BX1722=3),N(INDEX(Parameter!$I$5:$I$7,BX1722)),0),0)</f>
        <v>0</v>
      </c>
      <c r="CH1722" s="59" t="n">
        <f aca="false">IF(AND(Parameter!$B$21="Ja",ISNUMBER(W1722),N(X1722)&gt;0),IFERROR(N(INDEX(Parameter!$L$5:$L$7,W1722))*INDEX(Parameter!$E$5:$E$7,W1722)*X1722/SUMIFS($X$7:$X$1843,$W$7:$W$1843,W1722),0),0)</f>
        <v>0</v>
      </c>
    </row>
    <row r="1723" customFormat="false" ht="15" hidden="false" customHeight="false" outlineLevel="0" collapsed="false">
      <c r="A1723" s="55" t="s">
        <v>2981</v>
      </c>
      <c r="B1723" s="55" t="s">
        <v>2982</v>
      </c>
      <c r="C1723" s="55" t="s">
        <v>164</v>
      </c>
      <c r="D1723" s="55" t="s">
        <v>184</v>
      </c>
      <c r="E1723" s="55"/>
      <c r="F1723" s="55"/>
      <c r="G1723" s="56" t="n">
        <v>5.09</v>
      </c>
      <c r="H1723" s="57" t="n">
        <f aca="false">MAX(0,IF(AND(Parameter!$B$21="Ja",ISNUMBER(Y1723)),Y1723,IF(Parameter!$B$20="Jahresanfang 2025 + Export",BL1723+BK1723,BK1723)))</f>
        <v>33</v>
      </c>
      <c r="I1723" s="57" t="n">
        <f aca="false">H1723*G1723</f>
        <v>167.97</v>
      </c>
      <c r="J1723" s="57" t="n">
        <f aca="false">BN1723*Parameter!$B$18</f>
        <v>0</v>
      </c>
      <c r="K1723" s="58"/>
      <c r="L1723" s="59"/>
      <c r="M1723" s="57" t="n">
        <v>0</v>
      </c>
      <c r="N1723" s="57" t="n">
        <v>200</v>
      </c>
      <c r="O1723" s="60" t="n">
        <v>21</v>
      </c>
      <c r="P1723" s="55" t="s">
        <v>401</v>
      </c>
      <c r="Q1723" s="57" t="n">
        <v>50</v>
      </c>
      <c r="R1723" s="60" t="n">
        <f aca="false">IF(BT1723=1,0,IFERROR(VLOOKUP(BR1723,'Gebinde-Kategorie'!$A$5:$M$45,13,0)+0,0))</f>
        <v>414</v>
      </c>
      <c r="S1723" s="61"/>
      <c r="T1723" s="62"/>
      <c r="U1723" s="62"/>
      <c r="V1723" s="62"/>
      <c r="W1723" s="55"/>
      <c r="X1723" s="57"/>
      <c r="Y1723" s="57"/>
      <c r="Z1723" s="55" t="n">
        <f aca="false">IF(A1723="","",IF(AND(Parameter!$B$21="Ja",ISNUMBER(W1723)),W1723,IF(BV1723="2+3",IF(ISNUMBER(SEARCH("grosser Artikel",BO1723)),2,IFERROR(VLOOKUP(BR1723,Parameter!$F$35:$G$64,2,0),2)),IF(OR(BV1723="Nein",BV1723=""),"-",BV1723))))</f>
        <v>3</v>
      </c>
      <c r="AA1723" s="62"/>
      <c r="AB1723" s="63"/>
      <c r="AC1723" s="57" t="n">
        <f aca="false">AR1723</f>
        <v>200</v>
      </c>
      <c r="AD1723" s="57" t="n">
        <f aca="false">MAX(AR1723,H1723)</f>
        <v>200</v>
      </c>
      <c r="AE1723" s="64"/>
      <c r="AF1723" s="57" t="n">
        <f aca="false">IF(LEFT(Cockpit!$C$5,1)="A",H1723,IF(CA1723=1,CB1723,IF(LEFT(Cockpit!$C$5,1)="B",AJ1723,MAX(AJ1723,H1723))))</f>
        <v>33</v>
      </c>
      <c r="AG1723" s="57" t="n">
        <f aca="false">IF(BT1723=1,0,ROUNDUP(AF1723/BS1723,0))</f>
        <v>1</v>
      </c>
      <c r="AH1723" s="59" t="n">
        <f aca="false">IF(CH1723&gt;0,CH1723*MAX(1,AF1723/X1723),IF(BT1723=1,IF(AF1723&lt;=0,0,BW1723*MAX(1,IF(H1723&gt;0,AF1723/H1723,1))),IF(R1723&gt;0,AG1723/R1723,0))/MAX(0.1,N(Parameter!$M$21)))</f>
        <v>0.00241545893719807</v>
      </c>
      <c r="AI1723" s="57" t="n">
        <f aca="false">AF1723*G1723</f>
        <v>167.97</v>
      </c>
      <c r="AJ1723" s="57" t="n">
        <f aca="false">ROUNDUP(MAX(J1723/IF(BZ1723&gt;0,BZ1723,MAX(0.1,N(Cockpit!$C$6))),CC1723)/BS1723,0)*BS1723</f>
        <v>200</v>
      </c>
      <c r="AK1723" s="58" t="n">
        <f aca="false">IF(AH1723&gt;0,J1723/AH1723,-1)</f>
        <v>0</v>
      </c>
      <c r="AL1723" s="58" t="n">
        <f aca="false">IF(AND(OR(BY1723="L1",BY1723="L23"),AH1723&gt;0),SUMIFS($AH$7:$AH$1843,$BY$7:$BY$1843,BY1723,$AK$7:$AK$1843,"&gt;"&amp;AK1723)+SUMIFS($AH$7:$AH$1843,$BY$7:$BY$1843,BY1723,$AK$7:$AK$1843,AK1723,$BQ$7:$BQ$1843,"&lt;="&amp;BQ1723),"")</f>
        <v>96.7971605688997</v>
      </c>
      <c r="AM1723" s="65" t="n">
        <f aca="false">IF(AL1723="",0,MAX(0,MIN(1,(IF(BY1723="L1",Parameter!$E$5,Parameter!$E$6+Parameter!$E$7)-(AL1723-AH1723))/AH1723)))</f>
        <v>1</v>
      </c>
      <c r="AN1723" s="57" t="n">
        <f aca="false">IF(LEFT(Cockpit!$I$5,1)="A",H1723,IF(CA1723=1,CB1723,IF(LEFT(Cockpit!$I$5,1)="B",AR1723,MAX(AR1723,H1723))))</f>
        <v>200</v>
      </c>
      <c r="AO1723" s="57" t="n">
        <f aca="false">IF(BT1723=1,0,ROUNDUP(AN1723/BS1723,0))</f>
        <v>4</v>
      </c>
      <c r="AP1723" s="59" t="n">
        <f aca="false">IF(CH1723&gt;0,CH1723*MAX(1,AN1723/X1723),IF(BT1723=1,IF(AN1723&lt;=0,0,BW1723*MAX(1,IF(H1723&gt;0,AN1723/H1723,1))),IF(R1723&gt;0,AO1723/R1723,0))/MAX(0.1,N(Parameter!$M$21)))</f>
        <v>0.00966183574879227</v>
      </c>
      <c r="AQ1723" s="57" t="n">
        <f aca="false">AN1723*G1723</f>
        <v>1018</v>
      </c>
      <c r="AR1723" s="57" t="n">
        <f aca="false">ROUNDUP(MAX(J1723/IF(BZ1723&gt;0,BZ1723,MAX(0.1,N(Cockpit!$I$6))),CC1723)/BS1723,0)*BS1723</f>
        <v>200</v>
      </c>
      <c r="AS1723" s="58" t="n">
        <f aca="false">IF(AP1723&gt;0,J1723/AP1723,-1)</f>
        <v>0</v>
      </c>
      <c r="AT1723" s="58" t="n">
        <f aca="false">IF(AND(OR(BY1723="L1",BY1723="L23"),AP1723&gt;0),SUMIFS($AP$7:$AP$1843,$BY$7:$BY$1843,BY1723,$AS$7:$AS$1843,"&gt;"&amp;AS1723)+SUMIFS($AP$7:$AP$1843,$BY$7:$BY$1843,BY1723,$AS$7:$AS$1843,AS1723,$BQ$7:$BQ$1843,"&lt;="&amp;BQ1723),"")</f>
        <v>142.157553798858</v>
      </c>
      <c r="AU1723" s="65" t="n">
        <f aca="false">IF(AT1723="",0,MAX(0,MIN(1,(IF(BY1723="L1",Parameter!$E$5,Parameter!$E$6+Parameter!$E$7)-(AT1723-AP1723))/AP1723)))</f>
        <v>0</v>
      </c>
      <c r="AV1723" s="57" t="n">
        <f aca="false">IF(LEFT(Cockpit!$O$5,1)="A",H1723,IF(CA1723=1,CB1723,IF(LEFT(Cockpit!$O$5,1)="B",AZ1723,MAX(AZ1723,H1723))))</f>
        <v>200</v>
      </c>
      <c r="AW1723" s="57" t="n">
        <f aca="false">IF(BT1723=1,0,ROUNDUP(AV1723/BS1723,0))</f>
        <v>4</v>
      </c>
      <c r="AX1723" s="59" t="n">
        <f aca="false">IF(CH1723&gt;0,CH1723*MAX(1,AV1723/X1723),IF(BT1723=1,IF(AV1723&lt;=0,0,BW1723*MAX(1,IF(H1723&gt;0,AV1723/H1723,1))),IF(R1723&gt;0,AW1723/R1723,0))/MAX(0.1,N(Parameter!$M$21)))</f>
        <v>0.00966183574879227</v>
      </c>
      <c r="AY1723" s="57" t="n">
        <f aca="false">AV1723*G1723</f>
        <v>1018</v>
      </c>
      <c r="AZ1723" s="57" t="n">
        <f aca="false">ROUNDUP(MAX(J1723/IF(BZ1723&gt;0,BZ1723,MAX(0.1,N(Cockpit!$O$6))),CC1723)/BS1723,0)*BS1723</f>
        <v>200</v>
      </c>
      <c r="BA1723" s="58" t="n">
        <f aca="false">IF(AX1723&gt;0,J1723/AX1723,-1)</f>
        <v>0</v>
      </c>
      <c r="BB1723" s="58" t="n">
        <f aca="false">IF(AND(OR(BY1723="L1",BY1723="L23"),AX1723&gt;0),SUMIFS($AX$7:$AX$1843,$BY$7:$BY$1843,BY1723,$BA$7:$BA$1843,"&gt;"&amp;BA1723)+SUMIFS($AX$7:$AX$1843,$BY$7:$BY$1843,BY1723,$BA$7:$BA$1843,BA1723,$BQ$7:$BQ$1843,"&lt;="&amp;BQ1723),"")</f>
        <v>132.987390628695</v>
      </c>
      <c r="BC1723" s="65" t="n">
        <f aca="false">IF(BB1723="",0,MAX(0,MIN(1,(IF(BY1723="L1",Parameter!$E$5,Parameter!$E$6+Parameter!$E$7)-(BB1723-AX1723))/AX1723)))</f>
        <v>0</v>
      </c>
      <c r="BD1723" s="55" t="str">
        <f aca="false">IF(AH1723&lt;=0,"",IF(BY1723="Aussen","Aussenlager",IF(BY1723="-","Nicht im Lift",IF(AM1723&gt;=1,"Lift",IF(AM1723&lt;=0,"Aussenlager","teilweise")))))</f>
        <v>Lift</v>
      </c>
      <c r="BE1723" s="55" t="str">
        <f aca="false">IF(AP1723&lt;=0,"",IF(BY1723="Aussen","Aussenlager",IF(BY1723="-","Nicht im Lift",IF(AU1723&gt;=1,"Lift",IF(AU1723&lt;=0,"Aussenlager","teilweise")))))</f>
        <v>Aussenlager</v>
      </c>
      <c r="BF1723" s="55" t="str">
        <f aca="false">IF(AX1723&lt;=0,"",IF(BY1723="Aussen","Aussenlager",IF(BY1723="-","Nicht im Lift",IF(BC1723&gt;=1,"Lift",IF(BC1723&lt;=0,"Aussenlager","teilweise")))))</f>
        <v>Aussenlager</v>
      </c>
      <c r="BG1723" s="55" t="str">
        <f aca="false">IF(A1723="","",IF(BP1723=1,"Neu; ","")&amp;IF(AND(BP1723=0,BK1723&lt;0),"negativer Bestand (Export "&amp;BK1723&amp;"); ","")&amp;IF(J1723&lt;=0,"Kein Verbrauch; ","")&amp;IF(CH1723&gt;0,"Lift "&amp;W1723&amp;" lt. Liftbericht (Fach "&amp;X1723&amp;" Stk); ",IF(BU1723=1,"Gebinde geschätzt ("&amp;T1723&amp;"); ",IF(BT1723=1,"Lose – Tablare geschätzt; ","")))&amp;IF(H1723&gt;AR1723,"Überbestand "&amp;ROUND(H1723-AR1723,0)&amp;" Stk / CHF "&amp;ROUND((H1723-AR1723)*G1723,0)&amp;"; ","")&amp;IF(AND(CA1723=1,CB1723&lt;CC1723),"MAX &lt; MB+LG; ","")&amp;IF(AND(CG1723&gt;0,CF1723*10&gt;CG1723),"zu hoch für Tablar; ","")&amp;IF(AND(BP1723=0,OR(CA1723=1,AA1723&lt;&gt;"",U1723&lt;&gt;"",V1723&lt;&gt;"",AB1723&lt;&gt;"")),"manuell übersteuert; ","")&amp;IF(AND(BT1723=0,R1723=0),"Gebinde unbekannt / Stellmass fehlt; ","")&amp;IF(AND(BT1723=0,N(V1723)&lt;=0,N(Q1723)&lt;=0),"Menge pro Gebinde fehlt (Ist = 1 Gebinde); ","")&amp;BO1723)</f>
        <v>Kein Verbrauch; nur im Artikelstamm (Bestand 23.06.2026)</v>
      </c>
      <c r="BH1723" s="55"/>
      <c r="BI1723" s="55"/>
      <c r="BJ1723" s="62"/>
      <c r="BK1723" s="57" t="n">
        <v>33</v>
      </c>
      <c r="BL1723" s="57" t="n">
        <v>0</v>
      </c>
      <c r="BM1723" s="56" t="n">
        <v>0</v>
      </c>
      <c r="BN1723" s="57" t="n">
        <v>0</v>
      </c>
      <c r="BO1723" s="55" t="s">
        <v>2575</v>
      </c>
      <c r="BP1723" s="60" t="n">
        <v>0</v>
      </c>
      <c r="BQ1723" s="60" t="n">
        <v>1723</v>
      </c>
      <c r="BR1723" s="55" t="str">
        <f aca="false">IF(U1723&lt;&gt;"",UPPER(TRIM(U1723)),IF(BU1723=1,UPPER(VLOOKUP(T1723,Parameter!$I$27:$K$29,2,0)),IF(P1723="","LOSE",P1723)))</f>
        <v>S21</v>
      </c>
      <c r="BS1723" s="57" t="n">
        <f aca="false">IF(BR1723="LOSE",1,IF(N(V1723)&gt;0,V1723,IF(BU1723=1,MAX(1,N(VLOOKUP(T1723,Parameter!$I$27:$K$29,3,0)),H1723,N(N1723)),IF(N(Q1723)&gt;0,Q1723,MAX(1,H1723)))))</f>
        <v>50</v>
      </c>
      <c r="BT1723" s="60" t="n">
        <f aca="false">IF(BR1723="LOSE",1,0)</f>
        <v>0</v>
      </c>
      <c r="BU1723" s="60" t="n">
        <f aca="false">IF(AND(U1723="",OR(P1723="",P1723="LOSE"),T1723&lt;&gt;"",N(S1723)&lt;=0,ISNUMBER(MATCH(T1723,Parameter!$I$27:$I$29,0))),1,0)</f>
        <v>0</v>
      </c>
      <c r="BV1723" s="55" t="str">
        <f aca="false">IF(AND(Parameter!$B$19="Ja",E1723&lt;&gt;"",ISNUMBER(MATCH(E1723,Parameter!$I$35:$I$52,0))),VLOOKUP(E1723,Parameter!$I$35:$J$52,2,0),IFERROR(VLOOKUP(D1723,Parameter!$A$35:$C$64,2,0),"Nein"))</f>
        <v>2+3</v>
      </c>
      <c r="BW1723" s="59" t="n">
        <f aca="false">IF(BT1723=0,0,IF(N(S1723)&gt;0,S1723,IFERROR(VLOOKUP(D1723,Parameter!$A$35:$C$64,3,0)+0,0)))</f>
        <v>0</v>
      </c>
      <c r="BX1723" s="55" t="n">
        <f aca="false">IF(AA1723&lt;&gt;"",AA1723,Z1723)</f>
        <v>3</v>
      </c>
      <c r="BY1723" s="55" t="str">
        <f aca="false">IF(BX1723=1,"L1",IF(OR(BX1723=2,BX1723=3),"L23",IF(BX1723="Aussen","Aussen","-")))</f>
        <v>L23</v>
      </c>
      <c r="BZ1723" s="66" t="n">
        <f aca="false">IF(N(AB1723)&gt;0,AB1723,0)</f>
        <v>0</v>
      </c>
      <c r="CA1723" s="60" t="n">
        <f aca="false">IF(ISNUMBER(AE1723),1,0)</f>
        <v>0</v>
      </c>
      <c r="CB1723" s="57" t="n">
        <f aca="false">N(AE1723)</f>
        <v>0</v>
      </c>
      <c r="CC1723" s="57" t="n">
        <f aca="false">N(M1723)+N(N1723)</f>
        <v>200</v>
      </c>
      <c r="CD1723" s="57" t="n">
        <f aca="false">ROUNDUP(H1723/BS1723,0)</f>
        <v>1</v>
      </c>
      <c r="CE1723" s="57" t="n">
        <f aca="false">ROUNDUP(CB1723/BS1723,0)</f>
        <v>0</v>
      </c>
      <c r="CF1723" s="60" t="n">
        <f aca="false">IF(BT1723=1,0,IFERROR(VLOOKUP(BR1723,'Gebinde-Kategorie'!$A$5:$M$45,5,0)+0,0))</f>
        <v>8</v>
      </c>
      <c r="CG1723" s="60" t="n">
        <f aca="false">IFERROR(IF(OR(BX1723=1,BX1723=2,BX1723=3),N(INDEX(Parameter!$I$5:$I$7,BX1723)),0),0)</f>
        <v>0</v>
      </c>
      <c r="CH1723" s="59" t="n">
        <f aca="false">IF(AND(Parameter!$B$21="Ja",ISNUMBER(W1723),N(X1723)&gt;0),IFERROR(N(INDEX(Parameter!$L$5:$L$7,W1723))*INDEX(Parameter!$E$5:$E$7,W1723)*X1723/SUMIFS($X$7:$X$1843,$W$7:$W$1843,W1723),0),0)</f>
        <v>0</v>
      </c>
    </row>
    <row r="1724" customFormat="false" ht="15" hidden="false" customHeight="false" outlineLevel="0" collapsed="false">
      <c r="A1724" s="55" t="s">
        <v>2983</v>
      </c>
      <c r="B1724" s="55" t="s">
        <v>2984</v>
      </c>
      <c r="C1724" s="55" t="s">
        <v>164</v>
      </c>
      <c r="D1724" s="55" t="s">
        <v>184</v>
      </c>
      <c r="E1724" s="55"/>
      <c r="F1724" s="55"/>
      <c r="G1724" s="56" t="n">
        <v>15.4</v>
      </c>
      <c r="H1724" s="57" t="n">
        <f aca="false">MAX(0,IF(AND(Parameter!$B$21="Ja",ISNUMBER(Y1724)),Y1724,IF(Parameter!$B$20="Jahresanfang 2025 + Export",BL1724+BK1724,BK1724)))</f>
        <v>39</v>
      </c>
      <c r="I1724" s="57" t="n">
        <f aca="false">H1724*G1724</f>
        <v>600.6</v>
      </c>
      <c r="J1724" s="57" t="n">
        <f aca="false">BN1724*Parameter!$B$18</f>
        <v>0</v>
      </c>
      <c r="K1724" s="58"/>
      <c r="L1724" s="59"/>
      <c r="M1724" s="57" t="n">
        <v>2</v>
      </c>
      <c r="N1724" s="57" t="n">
        <v>20</v>
      </c>
      <c r="O1724" s="60" t="n">
        <v>21</v>
      </c>
      <c r="P1724" s="55" t="s">
        <v>426</v>
      </c>
      <c r="Q1724" s="57" t="n">
        <v>40</v>
      </c>
      <c r="R1724" s="60" t="n">
        <f aca="false">IF(BT1724=1,0,IFERROR(VLOOKUP(BR1724,'Gebinde-Kategorie'!$A$5:$M$45,13,0)+0,0))</f>
        <v>198</v>
      </c>
      <c r="S1724" s="61"/>
      <c r="T1724" s="62"/>
      <c r="U1724" s="62"/>
      <c r="V1724" s="62"/>
      <c r="W1724" s="55"/>
      <c r="X1724" s="57"/>
      <c r="Y1724" s="57"/>
      <c r="Z1724" s="55" t="n">
        <f aca="false">IF(A1724="","",IF(AND(Parameter!$B$21="Ja",ISNUMBER(W1724)),W1724,IF(BV1724="2+3",IF(ISNUMBER(SEARCH("grosser Artikel",BO1724)),2,IFERROR(VLOOKUP(BR1724,Parameter!$F$35:$G$64,2,0),2)),IF(OR(BV1724="Nein",BV1724=""),"-",BV1724))))</f>
        <v>3</v>
      </c>
      <c r="AA1724" s="62"/>
      <c r="AB1724" s="63"/>
      <c r="AC1724" s="57" t="n">
        <f aca="false">AR1724</f>
        <v>40</v>
      </c>
      <c r="AD1724" s="57" t="n">
        <f aca="false">MAX(AR1724,H1724)</f>
        <v>40</v>
      </c>
      <c r="AE1724" s="64"/>
      <c r="AF1724" s="57" t="n">
        <f aca="false">IF(LEFT(Cockpit!$C$5,1)="A",H1724,IF(CA1724=1,CB1724,IF(LEFT(Cockpit!$C$5,1)="B",AJ1724,MAX(AJ1724,H1724))))</f>
        <v>39</v>
      </c>
      <c r="AG1724" s="57" t="n">
        <f aca="false">IF(BT1724=1,0,ROUNDUP(AF1724/BS1724,0))</f>
        <v>1</v>
      </c>
      <c r="AH1724" s="59" t="n">
        <f aca="false">IF(CH1724&gt;0,CH1724*MAX(1,AF1724/X1724),IF(BT1724=1,IF(AF1724&lt;=0,0,BW1724*MAX(1,IF(H1724&gt;0,AF1724/H1724,1))),IF(R1724&gt;0,AG1724/R1724,0))/MAX(0.1,N(Parameter!$M$21)))</f>
        <v>0.00505050505050505</v>
      </c>
      <c r="AI1724" s="57" t="n">
        <f aca="false">AF1724*G1724</f>
        <v>600.6</v>
      </c>
      <c r="AJ1724" s="57" t="n">
        <f aca="false">ROUNDUP(MAX(J1724/IF(BZ1724&gt;0,BZ1724,MAX(0.1,N(Cockpit!$C$6))),CC1724)/BS1724,0)*BS1724</f>
        <v>40</v>
      </c>
      <c r="AK1724" s="58" t="n">
        <f aca="false">IF(AH1724&gt;0,J1724/AH1724,-1)</f>
        <v>0</v>
      </c>
      <c r="AL1724" s="58" t="n">
        <f aca="false">IF(AND(OR(BY1724="L1",BY1724="L23"),AH1724&gt;0),SUMIFS($AH$7:$AH$1843,$BY$7:$BY$1843,BY1724,$AK$7:$AK$1843,"&gt;"&amp;AK1724)+SUMIFS($AH$7:$AH$1843,$BY$7:$BY$1843,BY1724,$AK$7:$AK$1843,AK1724,$BQ$7:$BQ$1843,"&lt;="&amp;BQ1724),"")</f>
        <v>96.8022110739502</v>
      </c>
      <c r="AM1724" s="65" t="n">
        <f aca="false">IF(AL1724="",0,MAX(0,MIN(1,(IF(BY1724="L1",Parameter!$E$5,Parameter!$E$6+Parameter!$E$7)-(AL1724-AH1724))/AH1724)))</f>
        <v>1</v>
      </c>
      <c r="AN1724" s="57" t="n">
        <f aca="false">IF(LEFT(Cockpit!$I$5,1)="A",H1724,IF(CA1724=1,CB1724,IF(LEFT(Cockpit!$I$5,1)="B",AR1724,MAX(AR1724,H1724))))</f>
        <v>40</v>
      </c>
      <c r="AO1724" s="57" t="n">
        <f aca="false">IF(BT1724=1,0,ROUNDUP(AN1724/BS1724,0))</f>
        <v>1</v>
      </c>
      <c r="AP1724" s="59" t="n">
        <f aca="false">IF(CH1724&gt;0,CH1724*MAX(1,AN1724/X1724),IF(BT1724=1,IF(AN1724&lt;=0,0,BW1724*MAX(1,IF(H1724&gt;0,AN1724/H1724,1))),IF(R1724&gt;0,AO1724/R1724,0))/MAX(0.1,N(Parameter!$M$21)))</f>
        <v>0.00505050505050505</v>
      </c>
      <c r="AQ1724" s="57" t="n">
        <f aca="false">AN1724*G1724</f>
        <v>616</v>
      </c>
      <c r="AR1724" s="57" t="n">
        <f aca="false">ROUNDUP(MAX(J1724/IF(BZ1724&gt;0,BZ1724,MAX(0.1,N(Cockpit!$I$6))),CC1724)/BS1724,0)*BS1724</f>
        <v>40</v>
      </c>
      <c r="AS1724" s="58" t="n">
        <f aca="false">IF(AP1724&gt;0,J1724/AP1724,-1)</f>
        <v>0</v>
      </c>
      <c r="AT1724" s="58" t="n">
        <f aca="false">IF(AND(OR(BY1724="L1",BY1724="L23"),AP1724&gt;0),SUMIFS($AP$7:$AP$1843,$BY$7:$BY$1843,BY1724,$AS$7:$AS$1843,"&gt;"&amp;AS1724)+SUMIFS($AP$7:$AP$1843,$BY$7:$BY$1843,BY1724,$AS$7:$AS$1843,AS1724,$BQ$7:$BQ$1843,"&lt;="&amp;BQ1724),"")</f>
        <v>142.162604303909</v>
      </c>
      <c r="AU1724" s="65" t="n">
        <f aca="false">IF(AT1724="",0,MAX(0,MIN(1,(IF(BY1724="L1",Parameter!$E$5,Parameter!$E$6+Parameter!$E$7)-(AT1724-AP1724))/AP1724)))</f>
        <v>0</v>
      </c>
      <c r="AV1724" s="57" t="n">
        <f aca="false">IF(LEFT(Cockpit!$O$5,1)="A",H1724,IF(CA1724=1,CB1724,IF(LEFT(Cockpit!$O$5,1)="B",AZ1724,MAX(AZ1724,H1724))))</f>
        <v>40</v>
      </c>
      <c r="AW1724" s="57" t="n">
        <f aca="false">IF(BT1724=1,0,ROUNDUP(AV1724/BS1724,0))</f>
        <v>1</v>
      </c>
      <c r="AX1724" s="59" t="n">
        <f aca="false">IF(CH1724&gt;0,CH1724*MAX(1,AV1724/X1724),IF(BT1724=1,IF(AV1724&lt;=0,0,BW1724*MAX(1,IF(H1724&gt;0,AV1724/H1724,1))),IF(R1724&gt;0,AW1724/R1724,0))/MAX(0.1,N(Parameter!$M$21)))</f>
        <v>0.00505050505050505</v>
      </c>
      <c r="AY1724" s="57" t="n">
        <f aca="false">AV1724*G1724</f>
        <v>616</v>
      </c>
      <c r="AZ1724" s="57" t="n">
        <f aca="false">ROUNDUP(MAX(J1724/IF(BZ1724&gt;0,BZ1724,MAX(0.1,N(Cockpit!$O$6))),CC1724)/BS1724,0)*BS1724</f>
        <v>40</v>
      </c>
      <c r="BA1724" s="58" t="n">
        <f aca="false">IF(AX1724&gt;0,J1724/AX1724,-1)</f>
        <v>0</v>
      </c>
      <c r="BB1724" s="58" t="n">
        <f aca="false">IF(AND(OR(BY1724="L1",BY1724="L23"),AX1724&gt;0),SUMIFS($AX$7:$AX$1843,$BY$7:$BY$1843,BY1724,$BA$7:$BA$1843,"&gt;"&amp;BA1724)+SUMIFS($AX$7:$AX$1843,$BY$7:$BY$1843,BY1724,$BA$7:$BA$1843,BA1724,$BQ$7:$BQ$1843,"&lt;="&amp;BQ1724),"")</f>
        <v>132.992441133745</v>
      </c>
      <c r="BC1724" s="65" t="n">
        <f aca="false">IF(BB1724="",0,MAX(0,MIN(1,(IF(BY1724="L1",Parameter!$E$5,Parameter!$E$6+Parameter!$E$7)-(BB1724-AX1724))/AX1724)))</f>
        <v>0</v>
      </c>
      <c r="BD1724" s="55" t="str">
        <f aca="false">IF(AH1724&lt;=0,"",IF(BY1724="Aussen","Aussenlager",IF(BY1724="-","Nicht im Lift",IF(AM1724&gt;=1,"Lift",IF(AM1724&lt;=0,"Aussenlager","teilweise")))))</f>
        <v>Lift</v>
      </c>
      <c r="BE1724" s="55" t="str">
        <f aca="false">IF(AP1724&lt;=0,"",IF(BY1724="Aussen","Aussenlager",IF(BY1724="-","Nicht im Lift",IF(AU1724&gt;=1,"Lift",IF(AU1724&lt;=0,"Aussenlager","teilweise")))))</f>
        <v>Aussenlager</v>
      </c>
      <c r="BF1724" s="55" t="str">
        <f aca="false">IF(AX1724&lt;=0,"",IF(BY1724="Aussen","Aussenlager",IF(BY1724="-","Nicht im Lift",IF(BC1724&gt;=1,"Lift",IF(BC1724&lt;=0,"Aussenlager","teilweise")))))</f>
        <v>Aussenlager</v>
      </c>
      <c r="BG1724" s="55" t="str">
        <f aca="false">IF(A1724="","",IF(BP1724=1,"Neu; ","")&amp;IF(AND(BP1724=0,BK1724&lt;0),"negativer Bestand (Export "&amp;BK1724&amp;"); ","")&amp;IF(J1724&lt;=0,"Kein Verbrauch; ","")&amp;IF(CH1724&gt;0,"Lift "&amp;W1724&amp;" lt. Liftbericht (Fach "&amp;X1724&amp;" Stk); ",IF(BU1724=1,"Gebinde geschätzt ("&amp;T1724&amp;"); ",IF(BT1724=1,"Lose – Tablare geschätzt; ","")))&amp;IF(H1724&gt;AR1724,"Überbestand "&amp;ROUND(H1724-AR1724,0)&amp;" Stk / CHF "&amp;ROUND((H1724-AR1724)*G1724,0)&amp;"; ","")&amp;IF(AND(CA1724=1,CB1724&lt;CC1724),"MAX &lt; MB+LG; ","")&amp;IF(AND(CG1724&gt;0,CF1724*10&gt;CG1724),"zu hoch für Tablar; ","")&amp;IF(AND(BP1724=0,OR(CA1724=1,AA1724&lt;&gt;"",U1724&lt;&gt;"",V1724&lt;&gt;"",AB1724&lt;&gt;"")),"manuell übersteuert; ","")&amp;IF(AND(BT1724=0,R1724=0),"Gebinde unbekannt / Stellmass fehlt; ","")&amp;IF(AND(BT1724=0,N(V1724)&lt;=0,N(Q1724)&lt;=0),"Menge pro Gebinde fehlt (Ist = 1 Gebinde); ","")&amp;BO1724)</f>
        <v>Kein Verbrauch; nur im Artikelstamm (Bestand 23.06.2026); Neuer Art.</v>
      </c>
      <c r="BH1724" s="55"/>
      <c r="BI1724" s="55"/>
      <c r="BJ1724" s="62"/>
      <c r="BK1724" s="57" t="n">
        <v>39</v>
      </c>
      <c r="BL1724" s="57" t="n">
        <v>0</v>
      </c>
      <c r="BM1724" s="56" t="n">
        <v>0</v>
      </c>
      <c r="BN1724" s="57" t="n">
        <v>0</v>
      </c>
      <c r="BO1724" s="55" t="s">
        <v>2873</v>
      </c>
      <c r="BP1724" s="60" t="n">
        <v>0</v>
      </c>
      <c r="BQ1724" s="60" t="n">
        <v>1724</v>
      </c>
      <c r="BR1724" s="55" t="str">
        <f aca="false">IF(U1724&lt;&gt;"",UPPER(TRIM(U1724)),IF(BU1724=1,UPPER(VLOOKUP(T1724,Parameter!$I$27:$K$29,2,0)),IF(P1724="","LOSE",P1724)))</f>
        <v>S22</v>
      </c>
      <c r="BS1724" s="57" t="n">
        <f aca="false">IF(BR1724="LOSE",1,IF(N(V1724)&gt;0,V1724,IF(BU1724=1,MAX(1,N(VLOOKUP(T1724,Parameter!$I$27:$K$29,3,0)),H1724,N(N1724)),IF(N(Q1724)&gt;0,Q1724,MAX(1,H1724)))))</f>
        <v>40</v>
      </c>
      <c r="BT1724" s="60" t="n">
        <f aca="false">IF(BR1724="LOSE",1,0)</f>
        <v>0</v>
      </c>
      <c r="BU1724" s="60" t="n">
        <f aca="false">IF(AND(U1724="",OR(P1724="",P1724="LOSE"),T1724&lt;&gt;"",N(S1724)&lt;=0,ISNUMBER(MATCH(T1724,Parameter!$I$27:$I$29,0))),1,0)</f>
        <v>0</v>
      </c>
      <c r="BV1724" s="55" t="str">
        <f aca="false">IF(AND(Parameter!$B$19="Ja",E1724&lt;&gt;"",ISNUMBER(MATCH(E1724,Parameter!$I$35:$I$52,0))),VLOOKUP(E1724,Parameter!$I$35:$J$52,2,0),IFERROR(VLOOKUP(D1724,Parameter!$A$35:$C$64,2,0),"Nein"))</f>
        <v>2+3</v>
      </c>
      <c r="BW1724" s="59" t="n">
        <f aca="false">IF(BT1724=0,0,IF(N(S1724)&gt;0,S1724,IFERROR(VLOOKUP(D1724,Parameter!$A$35:$C$64,3,0)+0,0)))</f>
        <v>0</v>
      </c>
      <c r="BX1724" s="55" t="n">
        <f aca="false">IF(AA1724&lt;&gt;"",AA1724,Z1724)</f>
        <v>3</v>
      </c>
      <c r="BY1724" s="55" t="str">
        <f aca="false">IF(BX1724=1,"L1",IF(OR(BX1724=2,BX1724=3),"L23",IF(BX1724="Aussen","Aussen","-")))</f>
        <v>L23</v>
      </c>
      <c r="BZ1724" s="66" t="n">
        <f aca="false">IF(N(AB1724)&gt;0,AB1724,0)</f>
        <v>0</v>
      </c>
      <c r="CA1724" s="60" t="n">
        <f aca="false">IF(ISNUMBER(AE1724),1,0)</f>
        <v>0</v>
      </c>
      <c r="CB1724" s="57" t="n">
        <f aca="false">N(AE1724)</f>
        <v>0</v>
      </c>
      <c r="CC1724" s="57" t="n">
        <f aca="false">N(M1724)+N(N1724)</f>
        <v>22</v>
      </c>
      <c r="CD1724" s="57" t="n">
        <f aca="false">ROUNDUP(H1724/BS1724,0)</f>
        <v>1</v>
      </c>
      <c r="CE1724" s="57" t="n">
        <f aca="false">ROUNDUP(CB1724/BS1724,0)</f>
        <v>0</v>
      </c>
      <c r="CF1724" s="60" t="n">
        <f aca="false">IF(BT1724=1,0,IFERROR(VLOOKUP(BR1724,'Gebinde-Kategorie'!$A$5:$M$45,5,0)+0,0))</f>
        <v>8</v>
      </c>
      <c r="CG1724" s="60" t="n">
        <f aca="false">IFERROR(IF(OR(BX1724=1,BX1724=2,BX1724=3),N(INDEX(Parameter!$I$5:$I$7,BX1724)),0),0)</f>
        <v>0</v>
      </c>
      <c r="CH1724" s="59" t="n">
        <f aca="false">IF(AND(Parameter!$B$21="Ja",ISNUMBER(W1724),N(X1724)&gt;0),IFERROR(N(INDEX(Parameter!$L$5:$L$7,W1724))*INDEX(Parameter!$E$5:$E$7,W1724)*X1724/SUMIFS($X$7:$X$1843,$W$7:$W$1843,W1724),0),0)</f>
        <v>0</v>
      </c>
    </row>
    <row r="1725" customFormat="false" ht="15" hidden="false" customHeight="false" outlineLevel="0" collapsed="false">
      <c r="A1725" s="55" t="s">
        <v>2985</v>
      </c>
      <c r="B1725" s="55" t="s">
        <v>2986</v>
      </c>
      <c r="C1725" s="55" t="s">
        <v>164</v>
      </c>
      <c r="D1725" s="55" t="s">
        <v>184</v>
      </c>
      <c r="E1725" s="55"/>
      <c r="F1725" s="55"/>
      <c r="G1725" s="56" t="n">
        <v>18.37</v>
      </c>
      <c r="H1725" s="57" t="n">
        <f aca="false">MAX(0,IF(AND(Parameter!$B$21="Ja",ISNUMBER(Y1725)),Y1725,IF(Parameter!$B$20="Jahresanfang 2025 + Export",BL1725+BK1725,BK1725)))</f>
        <v>39</v>
      </c>
      <c r="I1725" s="57" t="n">
        <f aca="false">H1725*G1725</f>
        <v>716.43</v>
      </c>
      <c r="J1725" s="57" t="n">
        <f aca="false">BN1725*Parameter!$B$18</f>
        <v>0</v>
      </c>
      <c r="K1725" s="58"/>
      <c r="L1725" s="59"/>
      <c r="M1725" s="57" t="n">
        <v>2</v>
      </c>
      <c r="N1725" s="57" t="n">
        <v>20</v>
      </c>
      <c r="O1725" s="60" t="n">
        <v>21</v>
      </c>
      <c r="P1725" s="55" t="s">
        <v>426</v>
      </c>
      <c r="Q1725" s="57" t="n">
        <v>40</v>
      </c>
      <c r="R1725" s="60" t="n">
        <f aca="false">IF(BT1725=1,0,IFERROR(VLOOKUP(BR1725,'Gebinde-Kategorie'!$A$5:$M$45,13,0)+0,0))</f>
        <v>198</v>
      </c>
      <c r="S1725" s="61"/>
      <c r="T1725" s="62"/>
      <c r="U1725" s="62"/>
      <c r="V1725" s="62"/>
      <c r="W1725" s="55"/>
      <c r="X1725" s="57"/>
      <c r="Y1725" s="57"/>
      <c r="Z1725" s="55" t="n">
        <f aca="false">IF(A1725="","",IF(AND(Parameter!$B$21="Ja",ISNUMBER(W1725)),W1725,IF(BV1725="2+3",IF(ISNUMBER(SEARCH("grosser Artikel",BO1725)),2,IFERROR(VLOOKUP(BR1725,Parameter!$F$35:$G$64,2,0),2)),IF(OR(BV1725="Nein",BV1725=""),"-",BV1725))))</f>
        <v>3</v>
      </c>
      <c r="AA1725" s="62"/>
      <c r="AB1725" s="63"/>
      <c r="AC1725" s="57" t="n">
        <f aca="false">AR1725</f>
        <v>40</v>
      </c>
      <c r="AD1725" s="57" t="n">
        <f aca="false">MAX(AR1725,H1725)</f>
        <v>40</v>
      </c>
      <c r="AE1725" s="64"/>
      <c r="AF1725" s="57" t="n">
        <f aca="false">IF(LEFT(Cockpit!$C$5,1)="A",H1725,IF(CA1725=1,CB1725,IF(LEFT(Cockpit!$C$5,1)="B",AJ1725,MAX(AJ1725,H1725))))</f>
        <v>39</v>
      </c>
      <c r="AG1725" s="57" t="n">
        <f aca="false">IF(BT1725=1,0,ROUNDUP(AF1725/BS1725,0))</f>
        <v>1</v>
      </c>
      <c r="AH1725" s="59" t="n">
        <f aca="false">IF(CH1725&gt;0,CH1725*MAX(1,AF1725/X1725),IF(BT1725=1,IF(AF1725&lt;=0,0,BW1725*MAX(1,IF(H1725&gt;0,AF1725/H1725,1))),IF(R1725&gt;0,AG1725/R1725,0))/MAX(0.1,N(Parameter!$M$21)))</f>
        <v>0.00505050505050505</v>
      </c>
      <c r="AI1725" s="57" t="n">
        <f aca="false">AF1725*G1725</f>
        <v>716.43</v>
      </c>
      <c r="AJ1725" s="57" t="n">
        <f aca="false">ROUNDUP(MAX(J1725/IF(BZ1725&gt;0,BZ1725,MAX(0.1,N(Cockpit!$C$6))),CC1725)/BS1725,0)*BS1725</f>
        <v>40</v>
      </c>
      <c r="AK1725" s="58" t="n">
        <f aca="false">IF(AH1725&gt;0,J1725/AH1725,-1)</f>
        <v>0</v>
      </c>
      <c r="AL1725" s="58" t="n">
        <f aca="false">IF(AND(OR(BY1725="L1",BY1725="L23"),AH1725&gt;0),SUMIFS($AH$7:$AH$1843,$BY$7:$BY$1843,BY1725,$AK$7:$AK$1843,"&gt;"&amp;AK1725)+SUMIFS($AH$7:$AH$1843,$BY$7:$BY$1843,BY1725,$AK$7:$AK$1843,AK1725,$BQ$7:$BQ$1843,"&lt;="&amp;BQ1725),"")</f>
        <v>96.8072615790007</v>
      </c>
      <c r="AM1725" s="65" t="n">
        <f aca="false">IF(AL1725="",0,MAX(0,MIN(1,(IF(BY1725="L1",Parameter!$E$5,Parameter!$E$6+Parameter!$E$7)-(AL1725-AH1725))/AH1725)))</f>
        <v>1</v>
      </c>
      <c r="AN1725" s="57" t="n">
        <f aca="false">IF(LEFT(Cockpit!$I$5,1)="A",H1725,IF(CA1725=1,CB1725,IF(LEFT(Cockpit!$I$5,1)="B",AR1725,MAX(AR1725,H1725))))</f>
        <v>40</v>
      </c>
      <c r="AO1725" s="57" t="n">
        <f aca="false">IF(BT1725=1,0,ROUNDUP(AN1725/BS1725,0))</f>
        <v>1</v>
      </c>
      <c r="AP1725" s="59" t="n">
        <f aca="false">IF(CH1725&gt;0,CH1725*MAX(1,AN1725/X1725),IF(BT1725=1,IF(AN1725&lt;=0,0,BW1725*MAX(1,IF(H1725&gt;0,AN1725/H1725,1))),IF(R1725&gt;0,AO1725/R1725,0))/MAX(0.1,N(Parameter!$M$21)))</f>
        <v>0.00505050505050505</v>
      </c>
      <c r="AQ1725" s="57" t="n">
        <f aca="false">AN1725*G1725</f>
        <v>734.8</v>
      </c>
      <c r="AR1725" s="57" t="n">
        <f aca="false">ROUNDUP(MAX(J1725/IF(BZ1725&gt;0,BZ1725,MAX(0.1,N(Cockpit!$I$6))),CC1725)/BS1725,0)*BS1725</f>
        <v>40</v>
      </c>
      <c r="AS1725" s="58" t="n">
        <f aca="false">IF(AP1725&gt;0,J1725/AP1725,-1)</f>
        <v>0</v>
      </c>
      <c r="AT1725" s="58" t="n">
        <f aca="false">IF(AND(OR(BY1725="L1",BY1725="L23"),AP1725&gt;0),SUMIFS($AP$7:$AP$1843,$BY$7:$BY$1843,BY1725,$AS$7:$AS$1843,"&gt;"&amp;AS1725)+SUMIFS($AP$7:$AP$1843,$BY$7:$BY$1843,BY1725,$AS$7:$AS$1843,AS1725,$BQ$7:$BQ$1843,"&lt;="&amp;BQ1725),"")</f>
        <v>142.167654808959</v>
      </c>
      <c r="AU1725" s="65" t="n">
        <f aca="false">IF(AT1725="",0,MAX(0,MIN(1,(IF(BY1725="L1",Parameter!$E$5,Parameter!$E$6+Parameter!$E$7)-(AT1725-AP1725))/AP1725)))</f>
        <v>0</v>
      </c>
      <c r="AV1725" s="57" t="n">
        <f aca="false">IF(LEFT(Cockpit!$O$5,1)="A",H1725,IF(CA1725=1,CB1725,IF(LEFT(Cockpit!$O$5,1)="B",AZ1725,MAX(AZ1725,H1725))))</f>
        <v>40</v>
      </c>
      <c r="AW1725" s="57" t="n">
        <f aca="false">IF(BT1725=1,0,ROUNDUP(AV1725/BS1725,0))</f>
        <v>1</v>
      </c>
      <c r="AX1725" s="59" t="n">
        <f aca="false">IF(CH1725&gt;0,CH1725*MAX(1,AV1725/X1725),IF(BT1725=1,IF(AV1725&lt;=0,0,BW1725*MAX(1,IF(H1725&gt;0,AV1725/H1725,1))),IF(R1725&gt;0,AW1725/R1725,0))/MAX(0.1,N(Parameter!$M$21)))</f>
        <v>0.00505050505050505</v>
      </c>
      <c r="AY1725" s="57" t="n">
        <f aca="false">AV1725*G1725</f>
        <v>734.8</v>
      </c>
      <c r="AZ1725" s="57" t="n">
        <f aca="false">ROUNDUP(MAX(J1725/IF(BZ1725&gt;0,BZ1725,MAX(0.1,N(Cockpit!$O$6))),CC1725)/BS1725,0)*BS1725</f>
        <v>40</v>
      </c>
      <c r="BA1725" s="58" t="n">
        <f aca="false">IF(AX1725&gt;0,J1725/AX1725,-1)</f>
        <v>0</v>
      </c>
      <c r="BB1725" s="58" t="n">
        <f aca="false">IF(AND(OR(BY1725="L1",BY1725="L23"),AX1725&gt;0),SUMIFS($AX$7:$AX$1843,$BY$7:$BY$1843,BY1725,$BA$7:$BA$1843,"&gt;"&amp;BA1725)+SUMIFS($AX$7:$AX$1843,$BY$7:$BY$1843,BY1725,$BA$7:$BA$1843,BA1725,$BQ$7:$BQ$1843,"&lt;="&amp;BQ1725),"")</f>
        <v>132.997491638796</v>
      </c>
      <c r="BC1725" s="65" t="n">
        <f aca="false">IF(BB1725="",0,MAX(0,MIN(1,(IF(BY1725="L1",Parameter!$E$5,Parameter!$E$6+Parameter!$E$7)-(BB1725-AX1725))/AX1725)))</f>
        <v>0</v>
      </c>
      <c r="BD1725" s="55" t="str">
        <f aca="false">IF(AH1725&lt;=0,"",IF(BY1725="Aussen","Aussenlager",IF(BY1725="-","Nicht im Lift",IF(AM1725&gt;=1,"Lift",IF(AM1725&lt;=0,"Aussenlager","teilweise")))))</f>
        <v>Lift</v>
      </c>
      <c r="BE1725" s="55" t="str">
        <f aca="false">IF(AP1725&lt;=0,"",IF(BY1725="Aussen","Aussenlager",IF(BY1725="-","Nicht im Lift",IF(AU1725&gt;=1,"Lift",IF(AU1725&lt;=0,"Aussenlager","teilweise")))))</f>
        <v>Aussenlager</v>
      </c>
      <c r="BF1725" s="55" t="str">
        <f aca="false">IF(AX1725&lt;=0,"",IF(BY1725="Aussen","Aussenlager",IF(BY1725="-","Nicht im Lift",IF(BC1725&gt;=1,"Lift",IF(BC1725&lt;=0,"Aussenlager","teilweise")))))</f>
        <v>Aussenlager</v>
      </c>
      <c r="BG1725" s="55" t="str">
        <f aca="false">IF(A1725="","",IF(BP1725=1,"Neu; ","")&amp;IF(AND(BP1725=0,BK1725&lt;0),"negativer Bestand (Export "&amp;BK1725&amp;"); ","")&amp;IF(J1725&lt;=0,"Kein Verbrauch; ","")&amp;IF(CH1725&gt;0,"Lift "&amp;W1725&amp;" lt. Liftbericht (Fach "&amp;X1725&amp;" Stk); ",IF(BU1725=1,"Gebinde geschätzt ("&amp;T1725&amp;"); ",IF(BT1725=1,"Lose – Tablare geschätzt; ","")))&amp;IF(H1725&gt;AR1725,"Überbestand "&amp;ROUND(H1725-AR1725,0)&amp;" Stk / CHF "&amp;ROUND((H1725-AR1725)*G1725,0)&amp;"; ","")&amp;IF(AND(CA1725=1,CB1725&lt;CC1725),"MAX &lt; MB+LG; ","")&amp;IF(AND(CG1725&gt;0,CF1725*10&gt;CG1725),"zu hoch für Tablar; ","")&amp;IF(AND(BP1725=0,OR(CA1725=1,AA1725&lt;&gt;"",U1725&lt;&gt;"",V1725&lt;&gt;"",AB1725&lt;&gt;"")),"manuell übersteuert; ","")&amp;IF(AND(BT1725=0,R1725=0),"Gebinde unbekannt / Stellmass fehlt; ","")&amp;IF(AND(BT1725=0,N(V1725)&lt;=0,N(Q1725)&lt;=0),"Menge pro Gebinde fehlt (Ist = 1 Gebinde); ","")&amp;BO1725)</f>
        <v>Kein Verbrauch; nur im Artikelstamm (Bestand 23.06.2026); Neuer Art.</v>
      </c>
      <c r="BH1725" s="55"/>
      <c r="BI1725" s="55"/>
      <c r="BJ1725" s="62"/>
      <c r="BK1725" s="57" t="n">
        <v>39</v>
      </c>
      <c r="BL1725" s="57" t="n">
        <v>0</v>
      </c>
      <c r="BM1725" s="56" t="n">
        <v>0</v>
      </c>
      <c r="BN1725" s="57" t="n">
        <v>0</v>
      </c>
      <c r="BO1725" s="55" t="s">
        <v>2873</v>
      </c>
      <c r="BP1725" s="60" t="n">
        <v>0</v>
      </c>
      <c r="BQ1725" s="60" t="n">
        <v>1725</v>
      </c>
      <c r="BR1725" s="55" t="str">
        <f aca="false">IF(U1725&lt;&gt;"",UPPER(TRIM(U1725)),IF(BU1725=1,UPPER(VLOOKUP(T1725,Parameter!$I$27:$K$29,2,0)),IF(P1725="","LOSE",P1725)))</f>
        <v>S22</v>
      </c>
      <c r="BS1725" s="57" t="n">
        <f aca="false">IF(BR1725="LOSE",1,IF(N(V1725)&gt;0,V1725,IF(BU1725=1,MAX(1,N(VLOOKUP(T1725,Parameter!$I$27:$K$29,3,0)),H1725,N(N1725)),IF(N(Q1725)&gt;0,Q1725,MAX(1,H1725)))))</f>
        <v>40</v>
      </c>
      <c r="BT1725" s="60" t="n">
        <f aca="false">IF(BR1725="LOSE",1,0)</f>
        <v>0</v>
      </c>
      <c r="BU1725" s="60" t="n">
        <f aca="false">IF(AND(U1725="",OR(P1725="",P1725="LOSE"),T1725&lt;&gt;"",N(S1725)&lt;=0,ISNUMBER(MATCH(T1725,Parameter!$I$27:$I$29,0))),1,0)</f>
        <v>0</v>
      </c>
      <c r="BV1725" s="55" t="str">
        <f aca="false">IF(AND(Parameter!$B$19="Ja",E1725&lt;&gt;"",ISNUMBER(MATCH(E1725,Parameter!$I$35:$I$52,0))),VLOOKUP(E1725,Parameter!$I$35:$J$52,2,0),IFERROR(VLOOKUP(D1725,Parameter!$A$35:$C$64,2,0),"Nein"))</f>
        <v>2+3</v>
      </c>
      <c r="BW1725" s="59" t="n">
        <f aca="false">IF(BT1725=0,0,IF(N(S1725)&gt;0,S1725,IFERROR(VLOOKUP(D1725,Parameter!$A$35:$C$64,3,0)+0,0)))</f>
        <v>0</v>
      </c>
      <c r="BX1725" s="55" t="n">
        <f aca="false">IF(AA1725&lt;&gt;"",AA1725,Z1725)</f>
        <v>3</v>
      </c>
      <c r="BY1725" s="55" t="str">
        <f aca="false">IF(BX1725=1,"L1",IF(OR(BX1725=2,BX1725=3),"L23",IF(BX1725="Aussen","Aussen","-")))</f>
        <v>L23</v>
      </c>
      <c r="BZ1725" s="66" t="n">
        <f aca="false">IF(N(AB1725)&gt;0,AB1725,0)</f>
        <v>0</v>
      </c>
      <c r="CA1725" s="60" t="n">
        <f aca="false">IF(ISNUMBER(AE1725),1,0)</f>
        <v>0</v>
      </c>
      <c r="CB1725" s="57" t="n">
        <f aca="false">N(AE1725)</f>
        <v>0</v>
      </c>
      <c r="CC1725" s="57" t="n">
        <f aca="false">N(M1725)+N(N1725)</f>
        <v>22</v>
      </c>
      <c r="CD1725" s="57" t="n">
        <f aca="false">ROUNDUP(H1725/BS1725,0)</f>
        <v>1</v>
      </c>
      <c r="CE1725" s="57" t="n">
        <f aca="false">ROUNDUP(CB1725/BS1725,0)</f>
        <v>0</v>
      </c>
      <c r="CF1725" s="60" t="n">
        <f aca="false">IF(BT1725=1,0,IFERROR(VLOOKUP(BR1725,'Gebinde-Kategorie'!$A$5:$M$45,5,0)+0,0))</f>
        <v>8</v>
      </c>
      <c r="CG1725" s="60" t="n">
        <f aca="false">IFERROR(IF(OR(BX1725=1,BX1725=2,BX1725=3),N(INDEX(Parameter!$I$5:$I$7,BX1725)),0),0)</f>
        <v>0</v>
      </c>
      <c r="CH1725" s="59" t="n">
        <f aca="false">IF(AND(Parameter!$B$21="Ja",ISNUMBER(W1725),N(X1725)&gt;0),IFERROR(N(INDEX(Parameter!$L$5:$L$7,W1725))*INDEX(Parameter!$E$5:$E$7,W1725)*X1725/SUMIFS($X$7:$X$1843,$W$7:$W$1843,W1725),0),0)</f>
        <v>0</v>
      </c>
    </row>
    <row r="1726" customFormat="false" ht="15" hidden="false" customHeight="false" outlineLevel="0" collapsed="false">
      <c r="A1726" s="55" t="s">
        <v>2987</v>
      </c>
      <c r="B1726" s="55" t="s">
        <v>367</v>
      </c>
      <c r="C1726" s="55" t="s">
        <v>164</v>
      </c>
      <c r="D1726" s="55" t="s">
        <v>184</v>
      </c>
      <c r="E1726" s="55"/>
      <c r="F1726" s="55"/>
      <c r="G1726" s="56" t="n">
        <v>6.75</v>
      </c>
      <c r="H1726" s="57" t="n">
        <f aca="false">MAX(0,IF(AND(Parameter!$B$21="Ja",ISNUMBER(Y1726)),Y1726,IF(Parameter!$B$20="Jahresanfang 2025 + Export",BL1726+BK1726,BK1726)))</f>
        <v>24</v>
      </c>
      <c r="I1726" s="57" t="n">
        <f aca="false">H1726*G1726</f>
        <v>162</v>
      </c>
      <c r="J1726" s="57" t="n">
        <f aca="false">BN1726*Parameter!$B$18</f>
        <v>0</v>
      </c>
      <c r="K1726" s="58"/>
      <c r="L1726" s="59"/>
      <c r="M1726" s="57" t="n">
        <v>0</v>
      </c>
      <c r="N1726" s="57" t="n">
        <v>15</v>
      </c>
      <c r="O1726" s="60" t="n">
        <v>14</v>
      </c>
      <c r="P1726" s="55" t="s">
        <v>401</v>
      </c>
      <c r="Q1726" s="57" t="n">
        <v>25</v>
      </c>
      <c r="R1726" s="60" t="n">
        <f aca="false">IF(BT1726=1,0,IFERROR(VLOOKUP(BR1726,'Gebinde-Kategorie'!$A$5:$M$45,13,0)+0,0))</f>
        <v>414</v>
      </c>
      <c r="S1726" s="61"/>
      <c r="T1726" s="62"/>
      <c r="U1726" s="62"/>
      <c r="V1726" s="62"/>
      <c r="W1726" s="55"/>
      <c r="X1726" s="57"/>
      <c r="Y1726" s="57"/>
      <c r="Z1726" s="55" t="n">
        <f aca="false">IF(A1726="","",IF(AND(Parameter!$B$21="Ja",ISNUMBER(W1726)),W1726,IF(BV1726="2+3",IF(ISNUMBER(SEARCH("grosser Artikel",BO1726)),2,IFERROR(VLOOKUP(BR1726,Parameter!$F$35:$G$64,2,0),2)),IF(OR(BV1726="Nein",BV1726=""),"-",BV1726))))</f>
        <v>3</v>
      </c>
      <c r="AA1726" s="62"/>
      <c r="AB1726" s="63"/>
      <c r="AC1726" s="57" t="n">
        <f aca="false">AR1726</f>
        <v>25</v>
      </c>
      <c r="AD1726" s="57" t="n">
        <f aca="false">MAX(AR1726,H1726)</f>
        <v>25</v>
      </c>
      <c r="AE1726" s="64"/>
      <c r="AF1726" s="57" t="n">
        <f aca="false">IF(LEFT(Cockpit!$C$5,1)="A",H1726,IF(CA1726=1,CB1726,IF(LEFT(Cockpit!$C$5,1)="B",AJ1726,MAX(AJ1726,H1726))))</f>
        <v>24</v>
      </c>
      <c r="AG1726" s="57" t="n">
        <f aca="false">IF(BT1726=1,0,ROUNDUP(AF1726/BS1726,0))</f>
        <v>1</v>
      </c>
      <c r="AH1726" s="59" t="n">
        <f aca="false">IF(CH1726&gt;0,CH1726*MAX(1,AF1726/X1726),IF(BT1726=1,IF(AF1726&lt;=0,0,BW1726*MAX(1,IF(H1726&gt;0,AF1726/H1726,1))),IF(R1726&gt;0,AG1726/R1726,0))/MAX(0.1,N(Parameter!$M$21)))</f>
        <v>0.00241545893719807</v>
      </c>
      <c r="AI1726" s="57" t="n">
        <f aca="false">AF1726*G1726</f>
        <v>162</v>
      </c>
      <c r="AJ1726" s="57" t="n">
        <f aca="false">ROUNDUP(MAX(J1726/IF(BZ1726&gt;0,BZ1726,MAX(0.1,N(Cockpit!$C$6))),CC1726)/BS1726,0)*BS1726</f>
        <v>25</v>
      </c>
      <c r="AK1726" s="58" t="n">
        <f aca="false">IF(AH1726&gt;0,J1726/AH1726,-1)</f>
        <v>0</v>
      </c>
      <c r="AL1726" s="58" t="n">
        <f aca="false">IF(AND(OR(BY1726="L1",BY1726="L23"),AH1726&gt;0),SUMIFS($AH$7:$AH$1843,$BY$7:$BY$1843,BY1726,$AK$7:$AK$1843,"&gt;"&amp;AK1726)+SUMIFS($AH$7:$AH$1843,$BY$7:$BY$1843,BY1726,$AK$7:$AK$1843,AK1726,$BQ$7:$BQ$1843,"&lt;="&amp;BQ1726),"")</f>
        <v>96.8096770379379</v>
      </c>
      <c r="AM1726" s="65" t="n">
        <f aca="false">IF(AL1726="",0,MAX(0,MIN(1,(IF(BY1726="L1",Parameter!$E$5,Parameter!$E$6+Parameter!$E$7)-(AL1726-AH1726))/AH1726)))</f>
        <v>1</v>
      </c>
      <c r="AN1726" s="57" t="n">
        <f aca="false">IF(LEFT(Cockpit!$I$5,1)="A",H1726,IF(CA1726=1,CB1726,IF(LEFT(Cockpit!$I$5,1)="B",AR1726,MAX(AR1726,H1726))))</f>
        <v>25</v>
      </c>
      <c r="AO1726" s="57" t="n">
        <f aca="false">IF(BT1726=1,0,ROUNDUP(AN1726/BS1726,0))</f>
        <v>1</v>
      </c>
      <c r="AP1726" s="59" t="n">
        <f aca="false">IF(CH1726&gt;0,CH1726*MAX(1,AN1726/X1726),IF(BT1726=1,IF(AN1726&lt;=0,0,BW1726*MAX(1,IF(H1726&gt;0,AN1726/H1726,1))),IF(R1726&gt;0,AO1726/R1726,0))/MAX(0.1,N(Parameter!$M$21)))</f>
        <v>0.00241545893719807</v>
      </c>
      <c r="AQ1726" s="57" t="n">
        <f aca="false">AN1726*G1726</f>
        <v>168.75</v>
      </c>
      <c r="AR1726" s="57" t="n">
        <f aca="false">ROUNDUP(MAX(J1726/IF(BZ1726&gt;0,BZ1726,MAX(0.1,N(Cockpit!$I$6))),CC1726)/BS1726,0)*BS1726</f>
        <v>25</v>
      </c>
      <c r="AS1726" s="58" t="n">
        <f aca="false">IF(AP1726&gt;0,J1726/AP1726,-1)</f>
        <v>0</v>
      </c>
      <c r="AT1726" s="58" t="n">
        <f aca="false">IF(AND(OR(BY1726="L1",BY1726="L23"),AP1726&gt;0),SUMIFS($AP$7:$AP$1843,$BY$7:$BY$1843,BY1726,$AS$7:$AS$1843,"&gt;"&amp;AS1726)+SUMIFS($AP$7:$AP$1843,$BY$7:$BY$1843,BY1726,$AS$7:$AS$1843,AS1726,$BQ$7:$BQ$1843,"&lt;="&amp;BQ1726),"")</f>
        <v>142.170070267896</v>
      </c>
      <c r="AU1726" s="65" t="n">
        <f aca="false">IF(AT1726="",0,MAX(0,MIN(1,(IF(BY1726="L1",Parameter!$E$5,Parameter!$E$6+Parameter!$E$7)-(AT1726-AP1726))/AP1726)))</f>
        <v>0</v>
      </c>
      <c r="AV1726" s="57" t="n">
        <f aca="false">IF(LEFT(Cockpit!$O$5,1)="A",H1726,IF(CA1726=1,CB1726,IF(LEFT(Cockpit!$O$5,1)="B",AZ1726,MAX(AZ1726,H1726))))</f>
        <v>25</v>
      </c>
      <c r="AW1726" s="57" t="n">
        <f aca="false">IF(BT1726=1,0,ROUNDUP(AV1726/BS1726,0))</f>
        <v>1</v>
      </c>
      <c r="AX1726" s="59" t="n">
        <f aca="false">IF(CH1726&gt;0,CH1726*MAX(1,AV1726/X1726),IF(BT1726=1,IF(AV1726&lt;=0,0,BW1726*MAX(1,IF(H1726&gt;0,AV1726/H1726,1))),IF(R1726&gt;0,AW1726/R1726,0))/MAX(0.1,N(Parameter!$M$21)))</f>
        <v>0.00241545893719807</v>
      </c>
      <c r="AY1726" s="57" t="n">
        <f aca="false">AV1726*G1726</f>
        <v>168.75</v>
      </c>
      <c r="AZ1726" s="57" t="n">
        <f aca="false">ROUNDUP(MAX(J1726/IF(BZ1726&gt;0,BZ1726,MAX(0.1,N(Cockpit!$O$6))),CC1726)/BS1726,0)*BS1726</f>
        <v>25</v>
      </c>
      <c r="BA1726" s="58" t="n">
        <f aca="false">IF(AX1726&gt;0,J1726/AX1726,-1)</f>
        <v>0</v>
      </c>
      <c r="BB1726" s="58" t="n">
        <f aca="false">IF(AND(OR(BY1726="L1",BY1726="L23"),AX1726&gt;0),SUMIFS($AX$7:$AX$1843,$BY$7:$BY$1843,BY1726,$BA$7:$BA$1843,"&gt;"&amp;BA1726)+SUMIFS($AX$7:$AX$1843,$BY$7:$BY$1843,BY1726,$BA$7:$BA$1843,BA1726,$BQ$7:$BQ$1843,"&lt;="&amp;BQ1726),"")</f>
        <v>132.999907097733</v>
      </c>
      <c r="BC1726" s="65" t="n">
        <f aca="false">IF(BB1726="",0,MAX(0,MIN(1,(IF(BY1726="L1",Parameter!$E$5,Parameter!$E$6+Parameter!$E$7)-(BB1726-AX1726))/AX1726)))</f>
        <v>0</v>
      </c>
      <c r="BD1726" s="55" t="str">
        <f aca="false">IF(AH1726&lt;=0,"",IF(BY1726="Aussen","Aussenlager",IF(BY1726="-","Nicht im Lift",IF(AM1726&gt;=1,"Lift",IF(AM1726&lt;=0,"Aussenlager","teilweise")))))</f>
        <v>Lift</v>
      </c>
      <c r="BE1726" s="55" t="str">
        <f aca="false">IF(AP1726&lt;=0,"",IF(BY1726="Aussen","Aussenlager",IF(BY1726="-","Nicht im Lift",IF(AU1726&gt;=1,"Lift",IF(AU1726&lt;=0,"Aussenlager","teilweise")))))</f>
        <v>Aussenlager</v>
      </c>
      <c r="BF1726" s="55" t="str">
        <f aca="false">IF(AX1726&lt;=0,"",IF(BY1726="Aussen","Aussenlager",IF(BY1726="-","Nicht im Lift",IF(BC1726&gt;=1,"Lift",IF(BC1726&lt;=0,"Aussenlager","teilweise")))))</f>
        <v>Aussenlager</v>
      </c>
      <c r="BG1726" s="55" t="str">
        <f aca="false">IF(A1726="","",IF(BP1726=1,"Neu; ","")&amp;IF(AND(BP1726=0,BK1726&lt;0),"negativer Bestand (Export "&amp;BK1726&amp;"); ","")&amp;IF(J1726&lt;=0,"Kein Verbrauch; ","")&amp;IF(CH1726&gt;0,"Lift "&amp;W1726&amp;" lt. Liftbericht (Fach "&amp;X1726&amp;" Stk); ",IF(BU1726=1,"Gebinde geschätzt ("&amp;T1726&amp;"); ",IF(BT1726=1,"Lose – Tablare geschätzt; ","")))&amp;IF(H1726&gt;AR1726,"Überbestand "&amp;ROUND(H1726-AR1726,0)&amp;" Stk / CHF "&amp;ROUND((H1726-AR1726)*G1726,0)&amp;"; ","")&amp;IF(AND(CA1726=1,CB1726&lt;CC1726),"MAX &lt; MB+LG; ","")&amp;IF(AND(CG1726&gt;0,CF1726*10&gt;CG1726),"zu hoch für Tablar; ","")&amp;IF(AND(BP1726=0,OR(CA1726=1,AA1726&lt;&gt;"",U1726&lt;&gt;"",V1726&lt;&gt;"",AB1726&lt;&gt;"")),"manuell übersteuert; ","")&amp;IF(AND(BT1726=0,R1726=0),"Gebinde unbekannt / Stellmass fehlt; ","")&amp;IF(AND(BT1726=0,N(V1726)&lt;=0,N(Q1726)&lt;=0),"Menge pro Gebinde fehlt (Ist = 1 Gebinde); ","")&amp;BO1726)</f>
        <v>Kein Verbrauch; nur im Artikelstamm (Bestand 23.06.2026)</v>
      </c>
      <c r="BH1726" s="55"/>
      <c r="BI1726" s="55"/>
      <c r="BJ1726" s="62"/>
      <c r="BK1726" s="57" t="n">
        <v>24</v>
      </c>
      <c r="BL1726" s="57" t="n">
        <v>0</v>
      </c>
      <c r="BM1726" s="56" t="n">
        <v>0</v>
      </c>
      <c r="BN1726" s="57" t="n">
        <v>0</v>
      </c>
      <c r="BO1726" s="55" t="s">
        <v>2575</v>
      </c>
      <c r="BP1726" s="60" t="n">
        <v>0</v>
      </c>
      <c r="BQ1726" s="60" t="n">
        <v>1726</v>
      </c>
      <c r="BR1726" s="55" t="str">
        <f aca="false">IF(U1726&lt;&gt;"",UPPER(TRIM(U1726)),IF(BU1726=1,UPPER(VLOOKUP(T1726,Parameter!$I$27:$K$29,2,0)),IF(P1726="","LOSE",P1726)))</f>
        <v>S21</v>
      </c>
      <c r="BS1726" s="57" t="n">
        <f aca="false">IF(BR1726="LOSE",1,IF(N(V1726)&gt;0,V1726,IF(BU1726=1,MAX(1,N(VLOOKUP(T1726,Parameter!$I$27:$K$29,3,0)),H1726,N(N1726)),IF(N(Q1726)&gt;0,Q1726,MAX(1,H1726)))))</f>
        <v>25</v>
      </c>
      <c r="BT1726" s="60" t="n">
        <f aca="false">IF(BR1726="LOSE",1,0)</f>
        <v>0</v>
      </c>
      <c r="BU1726" s="60" t="n">
        <f aca="false">IF(AND(U1726="",OR(P1726="",P1726="LOSE"),T1726&lt;&gt;"",N(S1726)&lt;=0,ISNUMBER(MATCH(T1726,Parameter!$I$27:$I$29,0))),1,0)</f>
        <v>0</v>
      </c>
      <c r="BV1726" s="55" t="str">
        <f aca="false">IF(AND(Parameter!$B$19="Ja",E1726&lt;&gt;"",ISNUMBER(MATCH(E1726,Parameter!$I$35:$I$52,0))),VLOOKUP(E1726,Parameter!$I$35:$J$52,2,0),IFERROR(VLOOKUP(D1726,Parameter!$A$35:$C$64,2,0),"Nein"))</f>
        <v>2+3</v>
      </c>
      <c r="BW1726" s="59" t="n">
        <f aca="false">IF(BT1726=0,0,IF(N(S1726)&gt;0,S1726,IFERROR(VLOOKUP(D1726,Parameter!$A$35:$C$64,3,0)+0,0)))</f>
        <v>0</v>
      </c>
      <c r="BX1726" s="55" t="n">
        <f aca="false">IF(AA1726&lt;&gt;"",AA1726,Z1726)</f>
        <v>3</v>
      </c>
      <c r="BY1726" s="55" t="str">
        <f aca="false">IF(BX1726=1,"L1",IF(OR(BX1726=2,BX1726=3),"L23",IF(BX1726="Aussen","Aussen","-")))</f>
        <v>L23</v>
      </c>
      <c r="BZ1726" s="66" t="n">
        <f aca="false">IF(N(AB1726)&gt;0,AB1726,0)</f>
        <v>0</v>
      </c>
      <c r="CA1726" s="60" t="n">
        <f aca="false">IF(ISNUMBER(AE1726),1,0)</f>
        <v>0</v>
      </c>
      <c r="CB1726" s="57" t="n">
        <f aca="false">N(AE1726)</f>
        <v>0</v>
      </c>
      <c r="CC1726" s="57" t="n">
        <f aca="false">N(M1726)+N(N1726)</f>
        <v>15</v>
      </c>
      <c r="CD1726" s="57" t="n">
        <f aca="false">ROUNDUP(H1726/BS1726,0)</f>
        <v>1</v>
      </c>
      <c r="CE1726" s="57" t="n">
        <f aca="false">ROUNDUP(CB1726/BS1726,0)</f>
        <v>0</v>
      </c>
      <c r="CF1726" s="60" t="n">
        <f aca="false">IF(BT1726=1,0,IFERROR(VLOOKUP(BR1726,'Gebinde-Kategorie'!$A$5:$M$45,5,0)+0,0))</f>
        <v>8</v>
      </c>
      <c r="CG1726" s="60" t="n">
        <f aca="false">IFERROR(IF(OR(BX1726=1,BX1726=2,BX1726=3),N(INDEX(Parameter!$I$5:$I$7,BX1726)),0),0)</f>
        <v>0</v>
      </c>
      <c r="CH1726" s="59" t="n">
        <f aca="false">IF(AND(Parameter!$B$21="Ja",ISNUMBER(W1726),N(X1726)&gt;0),IFERROR(N(INDEX(Parameter!$L$5:$L$7,W1726))*INDEX(Parameter!$E$5:$E$7,W1726)*X1726/SUMIFS($X$7:$X$1843,$W$7:$W$1843,W1726),0),0)</f>
        <v>0</v>
      </c>
    </row>
    <row r="1727" customFormat="false" ht="15" hidden="false" customHeight="false" outlineLevel="0" collapsed="false">
      <c r="A1727" s="55" t="s">
        <v>2988</v>
      </c>
      <c r="B1727" s="55" t="s">
        <v>367</v>
      </c>
      <c r="C1727" s="55" t="s">
        <v>164</v>
      </c>
      <c r="D1727" s="55" t="s">
        <v>184</v>
      </c>
      <c r="E1727" s="55"/>
      <c r="F1727" s="55"/>
      <c r="G1727" s="56" t="n">
        <v>8.37</v>
      </c>
      <c r="H1727" s="57" t="n">
        <f aca="false">MAX(0,IF(AND(Parameter!$B$21="Ja",ISNUMBER(Y1727)),Y1727,IF(Parameter!$B$20="Jahresanfang 2025 + Export",BL1727+BK1727,BK1727)))</f>
        <v>13</v>
      </c>
      <c r="I1727" s="57" t="n">
        <f aca="false">H1727*G1727</f>
        <v>108.81</v>
      </c>
      <c r="J1727" s="57" t="n">
        <f aca="false">BN1727*Parameter!$B$18</f>
        <v>0</v>
      </c>
      <c r="K1727" s="58"/>
      <c r="L1727" s="59"/>
      <c r="M1727" s="57" t="n">
        <v>0</v>
      </c>
      <c r="N1727" s="57" t="n">
        <v>15</v>
      </c>
      <c r="O1727" s="60" t="n">
        <v>14</v>
      </c>
      <c r="P1727" s="55" t="s">
        <v>426</v>
      </c>
      <c r="Q1727" s="57" t="n">
        <v>20</v>
      </c>
      <c r="R1727" s="60" t="n">
        <f aca="false">IF(BT1727=1,0,IFERROR(VLOOKUP(BR1727,'Gebinde-Kategorie'!$A$5:$M$45,13,0)+0,0))</f>
        <v>198</v>
      </c>
      <c r="S1727" s="61"/>
      <c r="T1727" s="62"/>
      <c r="U1727" s="62"/>
      <c r="V1727" s="62"/>
      <c r="W1727" s="55"/>
      <c r="X1727" s="57"/>
      <c r="Y1727" s="57"/>
      <c r="Z1727" s="55" t="n">
        <f aca="false">IF(A1727="","",IF(AND(Parameter!$B$21="Ja",ISNUMBER(W1727)),W1727,IF(BV1727="2+3",IF(ISNUMBER(SEARCH("grosser Artikel",BO1727)),2,IFERROR(VLOOKUP(BR1727,Parameter!$F$35:$G$64,2,0),2)),IF(OR(BV1727="Nein",BV1727=""),"-",BV1727))))</f>
        <v>3</v>
      </c>
      <c r="AA1727" s="62"/>
      <c r="AB1727" s="63"/>
      <c r="AC1727" s="57" t="n">
        <f aca="false">AR1727</f>
        <v>20</v>
      </c>
      <c r="AD1727" s="57" t="n">
        <f aca="false">MAX(AR1727,H1727)</f>
        <v>20</v>
      </c>
      <c r="AE1727" s="64"/>
      <c r="AF1727" s="57" t="n">
        <f aca="false">IF(LEFT(Cockpit!$C$5,1)="A",H1727,IF(CA1727=1,CB1727,IF(LEFT(Cockpit!$C$5,1)="B",AJ1727,MAX(AJ1727,H1727))))</f>
        <v>13</v>
      </c>
      <c r="AG1727" s="57" t="n">
        <f aca="false">IF(BT1727=1,0,ROUNDUP(AF1727/BS1727,0))</f>
        <v>1</v>
      </c>
      <c r="AH1727" s="59" t="n">
        <f aca="false">IF(CH1727&gt;0,CH1727*MAX(1,AF1727/X1727),IF(BT1727=1,IF(AF1727&lt;=0,0,BW1727*MAX(1,IF(H1727&gt;0,AF1727/H1727,1))),IF(R1727&gt;0,AG1727/R1727,0))/MAX(0.1,N(Parameter!$M$21)))</f>
        <v>0.00505050505050505</v>
      </c>
      <c r="AI1727" s="57" t="n">
        <f aca="false">AF1727*G1727</f>
        <v>108.81</v>
      </c>
      <c r="AJ1727" s="57" t="n">
        <f aca="false">ROUNDUP(MAX(J1727/IF(BZ1727&gt;0,BZ1727,MAX(0.1,N(Cockpit!$C$6))),CC1727)/BS1727,0)*BS1727</f>
        <v>20</v>
      </c>
      <c r="AK1727" s="58" t="n">
        <f aca="false">IF(AH1727&gt;0,J1727/AH1727,-1)</f>
        <v>0</v>
      </c>
      <c r="AL1727" s="58" t="n">
        <f aca="false">IF(AND(OR(BY1727="L1",BY1727="L23"),AH1727&gt;0),SUMIFS($AH$7:$AH$1843,$BY$7:$BY$1843,BY1727,$AK$7:$AK$1843,"&gt;"&amp;AK1727)+SUMIFS($AH$7:$AH$1843,$BY$7:$BY$1843,BY1727,$AK$7:$AK$1843,AK1727,$BQ$7:$BQ$1843,"&lt;="&amp;BQ1727),"")</f>
        <v>96.8147275429884</v>
      </c>
      <c r="AM1727" s="65" t="n">
        <f aca="false">IF(AL1727="",0,MAX(0,MIN(1,(IF(BY1727="L1",Parameter!$E$5,Parameter!$E$6+Parameter!$E$7)-(AL1727-AH1727))/AH1727)))</f>
        <v>1</v>
      </c>
      <c r="AN1727" s="57" t="n">
        <f aca="false">IF(LEFT(Cockpit!$I$5,1)="A",H1727,IF(CA1727=1,CB1727,IF(LEFT(Cockpit!$I$5,1)="B",AR1727,MAX(AR1727,H1727))))</f>
        <v>20</v>
      </c>
      <c r="AO1727" s="57" t="n">
        <f aca="false">IF(BT1727=1,0,ROUNDUP(AN1727/BS1727,0))</f>
        <v>1</v>
      </c>
      <c r="AP1727" s="59" t="n">
        <f aca="false">IF(CH1727&gt;0,CH1727*MAX(1,AN1727/X1727),IF(BT1727=1,IF(AN1727&lt;=0,0,BW1727*MAX(1,IF(H1727&gt;0,AN1727/H1727,1))),IF(R1727&gt;0,AO1727/R1727,0))/MAX(0.1,N(Parameter!$M$21)))</f>
        <v>0.00505050505050505</v>
      </c>
      <c r="AQ1727" s="57" t="n">
        <f aca="false">AN1727*G1727</f>
        <v>167.4</v>
      </c>
      <c r="AR1727" s="57" t="n">
        <f aca="false">ROUNDUP(MAX(J1727/IF(BZ1727&gt;0,BZ1727,MAX(0.1,N(Cockpit!$I$6))),CC1727)/BS1727,0)*BS1727</f>
        <v>20</v>
      </c>
      <c r="AS1727" s="58" t="n">
        <f aca="false">IF(AP1727&gt;0,J1727/AP1727,-1)</f>
        <v>0</v>
      </c>
      <c r="AT1727" s="58" t="n">
        <f aca="false">IF(AND(OR(BY1727="L1",BY1727="L23"),AP1727&gt;0),SUMIFS($AP$7:$AP$1843,$BY$7:$BY$1843,BY1727,$AS$7:$AS$1843,"&gt;"&amp;AS1727)+SUMIFS($AP$7:$AP$1843,$BY$7:$BY$1843,BY1727,$AS$7:$AS$1843,AS1727,$BQ$7:$BQ$1843,"&lt;="&amp;BQ1727),"")</f>
        <v>142.175120772947</v>
      </c>
      <c r="AU1727" s="65" t="n">
        <f aca="false">IF(AT1727="",0,MAX(0,MIN(1,(IF(BY1727="L1",Parameter!$E$5,Parameter!$E$6+Parameter!$E$7)-(AT1727-AP1727))/AP1727)))</f>
        <v>0</v>
      </c>
      <c r="AV1727" s="57" t="n">
        <f aca="false">IF(LEFT(Cockpit!$O$5,1)="A",H1727,IF(CA1727=1,CB1727,IF(LEFT(Cockpit!$O$5,1)="B",AZ1727,MAX(AZ1727,H1727))))</f>
        <v>20</v>
      </c>
      <c r="AW1727" s="57" t="n">
        <f aca="false">IF(BT1727=1,0,ROUNDUP(AV1727/BS1727,0))</f>
        <v>1</v>
      </c>
      <c r="AX1727" s="59" t="n">
        <f aca="false">IF(CH1727&gt;0,CH1727*MAX(1,AV1727/X1727),IF(BT1727=1,IF(AV1727&lt;=0,0,BW1727*MAX(1,IF(H1727&gt;0,AV1727/H1727,1))),IF(R1727&gt;0,AW1727/R1727,0))/MAX(0.1,N(Parameter!$M$21)))</f>
        <v>0.00505050505050505</v>
      </c>
      <c r="AY1727" s="57" t="n">
        <f aca="false">AV1727*G1727</f>
        <v>167.4</v>
      </c>
      <c r="AZ1727" s="57" t="n">
        <f aca="false">ROUNDUP(MAX(J1727/IF(BZ1727&gt;0,BZ1727,MAX(0.1,N(Cockpit!$O$6))),CC1727)/BS1727,0)*BS1727</f>
        <v>20</v>
      </c>
      <c r="BA1727" s="58" t="n">
        <f aca="false">IF(AX1727&gt;0,J1727/AX1727,-1)</f>
        <v>0</v>
      </c>
      <c r="BB1727" s="58" t="n">
        <f aca="false">IF(AND(OR(BY1727="L1",BY1727="L23"),AX1727&gt;0),SUMIFS($AX$7:$AX$1843,$BY$7:$BY$1843,BY1727,$BA$7:$BA$1843,"&gt;"&amp;BA1727)+SUMIFS($AX$7:$AX$1843,$BY$7:$BY$1843,BY1727,$BA$7:$BA$1843,BA1727,$BQ$7:$BQ$1843,"&lt;="&amp;BQ1727),"")</f>
        <v>133.004957602784</v>
      </c>
      <c r="BC1727" s="65" t="n">
        <f aca="false">IF(BB1727="",0,MAX(0,MIN(1,(IF(BY1727="L1",Parameter!$E$5,Parameter!$E$6+Parameter!$E$7)-(BB1727-AX1727))/AX1727)))</f>
        <v>0</v>
      </c>
      <c r="BD1727" s="55" t="str">
        <f aca="false">IF(AH1727&lt;=0,"",IF(BY1727="Aussen","Aussenlager",IF(BY1727="-","Nicht im Lift",IF(AM1727&gt;=1,"Lift",IF(AM1727&lt;=0,"Aussenlager","teilweise")))))</f>
        <v>Lift</v>
      </c>
      <c r="BE1727" s="55" t="str">
        <f aca="false">IF(AP1727&lt;=0,"",IF(BY1727="Aussen","Aussenlager",IF(BY1727="-","Nicht im Lift",IF(AU1727&gt;=1,"Lift",IF(AU1727&lt;=0,"Aussenlager","teilweise")))))</f>
        <v>Aussenlager</v>
      </c>
      <c r="BF1727" s="55" t="str">
        <f aca="false">IF(AX1727&lt;=0,"",IF(BY1727="Aussen","Aussenlager",IF(BY1727="-","Nicht im Lift",IF(BC1727&gt;=1,"Lift",IF(BC1727&lt;=0,"Aussenlager","teilweise")))))</f>
        <v>Aussenlager</v>
      </c>
      <c r="BG1727" s="55" t="str">
        <f aca="false">IF(A1727="","",IF(BP1727=1,"Neu; ","")&amp;IF(AND(BP1727=0,BK1727&lt;0),"negativer Bestand (Export "&amp;BK1727&amp;"); ","")&amp;IF(J1727&lt;=0,"Kein Verbrauch; ","")&amp;IF(CH1727&gt;0,"Lift "&amp;W1727&amp;" lt. Liftbericht (Fach "&amp;X1727&amp;" Stk); ",IF(BU1727=1,"Gebinde geschätzt ("&amp;T1727&amp;"); ",IF(BT1727=1,"Lose – Tablare geschätzt; ","")))&amp;IF(H1727&gt;AR1727,"Überbestand "&amp;ROUND(H1727-AR1727,0)&amp;" Stk / CHF "&amp;ROUND((H1727-AR1727)*G1727,0)&amp;"; ","")&amp;IF(AND(CA1727=1,CB1727&lt;CC1727),"MAX &lt; MB+LG; ","")&amp;IF(AND(CG1727&gt;0,CF1727*10&gt;CG1727),"zu hoch für Tablar; ","")&amp;IF(AND(BP1727=0,OR(CA1727=1,AA1727&lt;&gt;"",U1727&lt;&gt;"",V1727&lt;&gt;"",AB1727&lt;&gt;"")),"manuell übersteuert; ","")&amp;IF(AND(BT1727=0,R1727=0),"Gebinde unbekannt / Stellmass fehlt; ","")&amp;IF(AND(BT1727=0,N(V1727)&lt;=0,N(Q1727)&lt;=0),"Menge pro Gebinde fehlt (Ist = 1 Gebinde); ","")&amp;BO1727)</f>
        <v>Kein Verbrauch; nur im Artikelstamm (Bestand 23.06.2026)</v>
      </c>
      <c r="BH1727" s="55"/>
      <c r="BI1727" s="55"/>
      <c r="BJ1727" s="62"/>
      <c r="BK1727" s="57" t="n">
        <v>13</v>
      </c>
      <c r="BL1727" s="57" t="n">
        <v>0</v>
      </c>
      <c r="BM1727" s="56" t="n">
        <v>0</v>
      </c>
      <c r="BN1727" s="57" t="n">
        <v>0</v>
      </c>
      <c r="BO1727" s="55" t="s">
        <v>2575</v>
      </c>
      <c r="BP1727" s="60" t="n">
        <v>0</v>
      </c>
      <c r="BQ1727" s="60" t="n">
        <v>1727</v>
      </c>
      <c r="BR1727" s="55" t="str">
        <f aca="false">IF(U1727&lt;&gt;"",UPPER(TRIM(U1727)),IF(BU1727=1,UPPER(VLOOKUP(T1727,Parameter!$I$27:$K$29,2,0)),IF(P1727="","LOSE",P1727)))</f>
        <v>S22</v>
      </c>
      <c r="BS1727" s="57" t="n">
        <f aca="false">IF(BR1727="LOSE",1,IF(N(V1727)&gt;0,V1727,IF(BU1727=1,MAX(1,N(VLOOKUP(T1727,Parameter!$I$27:$K$29,3,0)),H1727,N(N1727)),IF(N(Q1727)&gt;0,Q1727,MAX(1,H1727)))))</f>
        <v>20</v>
      </c>
      <c r="BT1727" s="60" t="n">
        <f aca="false">IF(BR1727="LOSE",1,0)</f>
        <v>0</v>
      </c>
      <c r="BU1727" s="60" t="n">
        <f aca="false">IF(AND(U1727="",OR(P1727="",P1727="LOSE"),T1727&lt;&gt;"",N(S1727)&lt;=0,ISNUMBER(MATCH(T1727,Parameter!$I$27:$I$29,0))),1,0)</f>
        <v>0</v>
      </c>
      <c r="BV1727" s="55" t="str">
        <f aca="false">IF(AND(Parameter!$B$19="Ja",E1727&lt;&gt;"",ISNUMBER(MATCH(E1727,Parameter!$I$35:$I$52,0))),VLOOKUP(E1727,Parameter!$I$35:$J$52,2,0),IFERROR(VLOOKUP(D1727,Parameter!$A$35:$C$64,2,0),"Nein"))</f>
        <v>2+3</v>
      </c>
      <c r="BW1727" s="59" t="n">
        <f aca="false">IF(BT1727=0,0,IF(N(S1727)&gt;0,S1727,IFERROR(VLOOKUP(D1727,Parameter!$A$35:$C$64,3,0)+0,0)))</f>
        <v>0</v>
      </c>
      <c r="BX1727" s="55" t="n">
        <f aca="false">IF(AA1727&lt;&gt;"",AA1727,Z1727)</f>
        <v>3</v>
      </c>
      <c r="BY1727" s="55" t="str">
        <f aca="false">IF(BX1727=1,"L1",IF(OR(BX1727=2,BX1727=3),"L23",IF(BX1727="Aussen","Aussen","-")))</f>
        <v>L23</v>
      </c>
      <c r="BZ1727" s="66" t="n">
        <f aca="false">IF(N(AB1727)&gt;0,AB1727,0)</f>
        <v>0</v>
      </c>
      <c r="CA1727" s="60" t="n">
        <f aca="false">IF(ISNUMBER(AE1727),1,0)</f>
        <v>0</v>
      </c>
      <c r="CB1727" s="57" t="n">
        <f aca="false">N(AE1727)</f>
        <v>0</v>
      </c>
      <c r="CC1727" s="57" t="n">
        <f aca="false">N(M1727)+N(N1727)</f>
        <v>15</v>
      </c>
      <c r="CD1727" s="57" t="n">
        <f aca="false">ROUNDUP(H1727/BS1727,0)</f>
        <v>1</v>
      </c>
      <c r="CE1727" s="57" t="n">
        <f aca="false">ROUNDUP(CB1727/BS1727,0)</f>
        <v>0</v>
      </c>
      <c r="CF1727" s="60" t="n">
        <f aca="false">IF(BT1727=1,0,IFERROR(VLOOKUP(BR1727,'Gebinde-Kategorie'!$A$5:$M$45,5,0)+0,0))</f>
        <v>8</v>
      </c>
      <c r="CG1727" s="60" t="n">
        <f aca="false">IFERROR(IF(OR(BX1727=1,BX1727=2,BX1727=3),N(INDEX(Parameter!$I$5:$I$7,BX1727)),0),0)</f>
        <v>0</v>
      </c>
      <c r="CH1727" s="59" t="n">
        <f aca="false">IF(AND(Parameter!$B$21="Ja",ISNUMBER(W1727),N(X1727)&gt;0),IFERROR(N(INDEX(Parameter!$L$5:$L$7,W1727))*INDEX(Parameter!$E$5:$E$7,W1727)*X1727/SUMIFS($X$7:$X$1843,$W$7:$W$1843,W1727),0),0)</f>
        <v>0</v>
      </c>
    </row>
    <row r="1728" customFormat="false" ht="15" hidden="false" customHeight="false" outlineLevel="0" collapsed="false">
      <c r="A1728" s="55" t="s">
        <v>2989</v>
      </c>
      <c r="B1728" s="55" t="s">
        <v>2990</v>
      </c>
      <c r="C1728" s="55" t="s">
        <v>164</v>
      </c>
      <c r="D1728" s="55" t="s">
        <v>184</v>
      </c>
      <c r="E1728" s="55"/>
      <c r="F1728" s="55"/>
      <c r="G1728" s="56" t="n">
        <v>93.36</v>
      </c>
      <c r="H1728" s="57" t="n">
        <f aca="false">MAX(0,IF(AND(Parameter!$B$21="Ja",ISNUMBER(Y1728)),Y1728,IF(Parameter!$B$20="Jahresanfang 2025 + Export",BL1728+BK1728,BK1728)))</f>
        <v>16</v>
      </c>
      <c r="I1728" s="57" t="n">
        <f aca="false">H1728*G1728</f>
        <v>1493.76</v>
      </c>
      <c r="J1728" s="57" t="n">
        <f aca="false">BN1728*Parameter!$B$18</f>
        <v>0</v>
      </c>
      <c r="K1728" s="58"/>
      <c r="L1728" s="59"/>
      <c r="M1728" s="57" t="n">
        <v>0</v>
      </c>
      <c r="N1728" s="57" t="n">
        <v>3</v>
      </c>
      <c r="O1728" s="60" t="n">
        <v>107</v>
      </c>
      <c r="P1728" s="55" t="s">
        <v>401</v>
      </c>
      <c r="Q1728" s="57" t="n">
        <v>15</v>
      </c>
      <c r="R1728" s="60" t="n">
        <f aca="false">IF(BT1728=1,0,IFERROR(VLOOKUP(BR1728,'Gebinde-Kategorie'!$A$5:$M$45,13,0)+0,0))</f>
        <v>414</v>
      </c>
      <c r="S1728" s="61"/>
      <c r="T1728" s="62"/>
      <c r="U1728" s="62"/>
      <c r="V1728" s="62"/>
      <c r="W1728" s="55"/>
      <c r="X1728" s="57"/>
      <c r="Y1728" s="57"/>
      <c r="Z1728" s="55" t="n">
        <f aca="false">IF(A1728="","",IF(AND(Parameter!$B$21="Ja",ISNUMBER(W1728)),W1728,IF(BV1728="2+3",IF(ISNUMBER(SEARCH("grosser Artikel",BO1728)),2,IFERROR(VLOOKUP(BR1728,Parameter!$F$35:$G$64,2,0),2)),IF(OR(BV1728="Nein",BV1728=""),"-",BV1728))))</f>
        <v>3</v>
      </c>
      <c r="AA1728" s="62"/>
      <c r="AB1728" s="63"/>
      <c r="AC1728" s="57" t="n">
        <f aca="false">AR1728</f>
        <v>15</v>
      </c>
      <c r="AD1728" s="57" t="n">
        <f aca="false">MAX(AR1728,H1728)</f>
        <v>16</v>
      </c>
      <c r="AE1728" s="64"/>
      <c r="AF1728" s="57" t="n">
        <f aca="false">IF(LEFT(Cockpit!$C$5,1)="A",H1728,IF(CA1728=1,CB1728,IF(LEFT(Cockpit!$C$5,1)="B",AJ1728,MAX(AJ1728,H1728))))</f>
        <v>16</v>
      </c>
      <c r="AG1728" s="57" t="n">
        <f aca="false">IF(BT1728=1,0,ROUNDUP(AF1728/BS1728,0))</f>
        <v>2</v>
      </c>
      <c r="AH1728" s="59" t="n">
        <f aca="false">IF(CH1728&gt;0,CH1728*MAX(1,AF1728/X1728),IF(BT1728=1,IF(AF1728&lt;=0,0,BW1728*MAX(1,IF(H1728&gt;0,AF1728/H1728,1))),IF(R1728&gt;0,AG1728/R1728,0))/MAX(0.1,N(Parameter!$M$21)))</f>
        <v>0.00483091787439614</v>
      </c>
      <c r="AI1728" s="57" t="n">
        <f aca="false">AF1728*G1728</f>
        <v>1493.76</v>
      </c>
      <c r="AJ1728" s="57" t="n">
        <f aca="false">ROUNDUP(MAX(J1728/IF(BZ1728&gt;0,BZ1728,MAX(0.1,N(Cockpit!$C$6))),CC1728)/BS1728,0)*BS1728</f>
        <v>15</v>
      </c>
      <c r="AK1728" s="58" t="n">
        <f aca="false">IF(AH1728&gt;0,J1728/AH1728,-1)</f>
        <v>0</v>
      </c>
      <c r="AL1728" s="58" t="n">
        <f aca="false">IF(AND(OR(BY1728="L1",BY1728="L23"),AH1728&gt;0),SUMIFS($AH$7:$AH$1843,$BY$7:$BY$1843,BY1728,$AK$7:$AK$1843,"&gt;"&amp;AK1728)+SUMIFS($AH$7:$AH$1843,$BY$7:$BY$1843,BY1728,$AK$7:$AK$1843,AK1728,$BQ$7:$BQ$1843,"&lt;="&amp;BQ1728),"")</f>
        <v>96.8195584608628</v>
      </c>
      <c r="AM1728" s="65" t="n">
        <f aca="false">IF(AL1728="",0,MAX(0,MIN(1,(IF(BY1728="L1",Parameter!$E$5,Parameter!$E$6+Parameter!$E$7)-(AL1728-AH1728))/AH1728)))</f>
        <v>1</v>
      </c>
      <c r="AN1728" s="57" t="n">
        <f aca="false">IF(LEFT(Cockpit!$I$5,1)="A",H1728,IF(CA1728=1,CB1728,IF(LEFT(Cockpit!$I$5,1)="B",AR1728,MAX(AR1728,H1728))))</f>
        <v>16</v>
      </c>
      <c r="AO1728" s="57" t="n">
        <f aca="false">IF(BT1728=1,0,ROUNDUP(AN1728/BS1728,0))</f>
        <v>2</v>
      </c>
      <c r="AP1728" s="59" t="n">
        <f aca="false">IF(CH1728&gt;0,CH1728*MAX(1,AN1728/X1728),IF(BT1728=1,IF(AN1728&lt;=0,0,BW1728*MAX(1,IF(H1728&gt;0,AN1728/H1728,1))),IF(R1728&gt;0,AO1728/R1728,0))/MAX(0.1,N(Parameter!$M$21)))</f>
        <v>0.00483091787439614</v>
      </c>
      <c r="AQ1728" s="57" t="n">
        <f aca="false">AN1728*G1728</f>
        <v>1493.76</v>
      </c>
      <c r="AR1728" s="57" t="n">
        <f aca="false">ROUNDUP(MAX(J1728/IF(BZ1728&gt;0,BZ1728,MAX(0.1,N(Cockpit!$I$6))),CC1728)/BS1728,0)*BS1728</f>
        <v>15</v>
      </c>
      <c r="AS1728" s="58" t="n">
        <f aca="false">IF(AP1728&gt;0,J1728/AP1728,-1)</f>
        <v>0</v>
      </c>
      <c r="AT1728" s="58" t="n">
        <f aca="false">IF(AND(OR(BY1728="L1",BY1728="L23"),AP1728&gt;0),SUMIFS($AP$7:$AP$1843,$BY$7:$BY$1843,BY1728,$AS$7:$AS$1843,"&gt;"&amp;AS1728)+SUMIFS($AP$7:$AP$1843,$BY$7:$BY$1843,BY1728,$AS$7:$AS$1843,AS1728,$BQ$7:$BQ$1843,"&lt;="&amp;BQ1728),"")</f>
        <v>142.179951690821</v>
      </c>
      <c r="AU1728" s="65" t="n">
        <f aca="false">IF(AT1728="",0,MAX(0,MIN(1,(IF(BY1728="L1",Parameter!$E$5,Parameter!$E$6+Parameter!$E$7)-(AT1728-AP1728))/AP1728)))</f>
        <v>0</v>
      </c>
      <c r="AV1728" s="57" t="n">
        <f aca="false">IF(LEFT(Cockpit!$O$5,1)="A",H1728,IF(CA1728=1,CB1728,IF(LEFT(Cockpit!$O$5,1)="B",AZ1728,MAX(AZ1728,H1728))))</f>
        <v>16</v>
      </c>
      <c r="AW1728" s="57" t="n">
        <f aca="false">IF(BT1728=1,0,ROUNDUP(AV1728/BS1728,0))</f>
        <v>2</v>
      </c>
      <c r="AX1728" s="59" t="n">
        <f aca="false">IF(CH1728&gt;0,CH1728*MAX(1,AV1728/X1728),IF(BT1728=1,IF(AV1728&lt;=0,0,BW1728*MAX(1,IF(H1728&gt;0,AV1728/H1728,1))),IF(R1728&gt;0,AW1728/R1728,0))/MAX(0.1,N(Parameter!$M$21)))</f>
        <v>0.00483091787439614</v>
      </c>
      <c r="AY1728" s="57" t="n">
        <f aca="false">AV1728*G1728</f>
        <v>1493.76</v>
      </c>
      <c r="AZ1728" s="57" t="n">
        <f aca="false">ROUNDUP(MAX(J1728/IF(BZ1728&gt;0,BZ1728,MAX(0.1,N(Cockpit!$O$6))),CC1728)/BS1728,0)*BS1728</f>
        <v>15</v>
      </c>
      <c r="BA1728" s="58" t="n">
        <f aca="false">IF(AX1728&gt;0,J1728/AX1728,-1)</f>
        <v>0</v>
      </c>
      <c r="BB1728" s="58" t="n">
        <f aca="false">IF(AND(OR(BY1728="L1",BY1728="L23"),AX1728&gt;0),SUMIFS($AX$7:$AX$1843,$BY$7:$BY$1843,BY1728,$BA$7:$BA$1843,"&gt;"&amp;BA1728)+SUMIFS($AX$7:$AX$1843,$BY$7:$BY$1843,BY1728,$BA$7:$BA$1843,BA1728,$BQ$7:$BQ$1843,"&lt;="&amp;BQ1728),"")</f>
        <v>133.009788520658</v>
      </c>
      <c r="BC1728" s="65" t="n">
        <f aca="false">IF(BB1728="",0,MAX(0,MIN(1,(IF(BY1728="L1",Parameter!$E$5,Parameter!$E$6+Parameter!$E$7)-(BB1728-AX1728))/AX1728)))</f>
        <v>0</v>
      </c>
      <c r="BD1728" s="55" t="str">
        <f aca="false">IF(AH1728&lt;=0,"",IF(BY1728="Aussen","Aussenlager",IF(BY1728="-","Nicht im Lift",IF(AM1728&gt;=1,"Lift",IF(AM1728&lt;=0,"Aussenlager","teilweise")))))</f>
        <v>Lift</v>
      </c>
      <c r="BE1728" s="55" t="str">
        <f aca="false">IF(AP1728&lt;=0,"",IF(BY1728="Aussen","Aussenlager",IF(BY1728="-","Nicht im Lift",IF(AU1728&gt;=1,"Lift",IF(AU1728&lt;=0,"Aussenlager","teilweise")))))</f>
        <v>Aussenlager</v>
      </c>
      <c r="BF1728" s="55" t="str">
        <f aca="false">IF(AX1728&lt;=0,"",IF(BY1728="Aussen","Aussenlager",IF(BY1728="-","Nicht im Lift",IF(BC1728&gt;=1,"Lift",IF(BC1728&lt;=0,"Aussenlager","teilweise")))))</f>
        <v>Aussenlager</v>
      </c>
      <c r="BG1728" s="55" t="str">
        <f aca="false">IF(A1728="","",IF(BP1728=1,"Neu; ","")&amp;IF(AND(BP1728=0,BK1728&lt;0),"negativer Bestand (Export "&amp;BK1728&amp;"); ","")&amp;IF(J1728&lt;=0,"Kein Verbrauch; ","")&amp;IF(CH1728&gt;0,"Lift "&amp;W1728&amp;" lt. Liftbericht (Fach "&amp;X1728&amp;" Stk); ",IF(BU1728=1,"Gebinde geschätzt ("&amp;T1728&amp;"); ",IF(BT1728=1,"Lose – Tablare geschätzt; ","")))&amp;IF(H1728&gt;AR1728,"Überbestand "&amp;ROUND(H1728-AR1728,0)&amp;" Stk / CHF "&amp;ROUND((H1728-AR1728)*G1728,0)&amp;"; ","")&amp;IF(AND(CA1728=1,CB1728&lt;CC1728),"MAX &lt; MB+LG; ","")&amp;IF(AND(CG1728&gt;0,CF1728*10&gt;CG1728),"zu hoch für Tablar; ","")&amp;IF(AND(BP1728=0,OR(CA1728=1,AA1728&lt;&gt;"",U1728&lt;&gt;"",V1728&lt;&gt;"",AB1728&lt;&gt;"")),"manuell übersteuert; ","")&amp;IF(AND(BT1728=0,R1728=0),"Gebinde unbekannt / Stellmass fehlt; ","")&amp;IF(AND(BT1728=0,N(V1728)&lt;=0,N(Q1728)&lt;=0),"Menge pro Gebinde fehlt (Ist = 1 Gebinde); ","")&amp;BO1728)</f>
        <v>Kein Verbrauch; Überbestand 1 Stk / CHF 93; nur im Artikelstamm (Bestand 23.06.2026)</v>
      </c>
      <c r="BH1728" s="55"/>
      <c r="BI1728" s="55"/>
      <c r="BJ1728" s="62"/>
      <c r="BK1728" s="57" t="n">
        <v>16</v>
      </c>
      <c r="BL1728" s="57" t="n">
        <v>0</v>
      </c>
      <c r="BM1728" s="56" t="n">
        <v>0</v>
      </c>
      <c r="BN1728" s="57" t="n">
        <v>0</v>
      </c>
      <c r="BO1728" s="55" t="s">
        <v>2575</v>
      </c>
      <c r="BP1728" s="60" t="n">
        <v>0</v>
      </c>
      <c r="BQ1728" s="60" t="n">
        <v>1728</v>
      </c>
      <c r="BR1728" s="55" t="str">
        <f aca="false">IF(U1728&lt;&gt;"",UPPER(TRIM(U1728)),IF(BU1728=1,UPPER(VLOOKUP(T1728,Parameter!$I$27:$K$29,2,0)),IF(P1728="","LOSE",P1728)))</f>
        <v>S21</v>
      </c>
      <c r="BS1728" s="57" t="n">
        <f aca="false">IF(BR1728="LOSE",1,IF(N(V1728)&gt;0,V1728,IF(BU1728=1,MAX(1,N(VLOOKUP(T1728,Parameter!$I$27:$K$29,3,0)),H1728,N(N1728)),IF(N(Q1728)&gt;0,Q1728,MAX(1,H1728)))))</f>
        <v>15</v>
      </c>
      <c r="BT1728" s="60" t="n">
        <f aca="false">IF(BR1728="LOSE",1,0)</f>
        <v>0</v>
      </c>
      <c r="BU1728" s="60" t="n">
        <f aca="false">IF(AND(U1728="",OR(P1728="",P1728="LOSE"),T1728&lt;&gt;"",N(S1728)&lt;=0,ISNUMBER(MATCH(T1728,Parameter!$I$27:$I$29,0))),1,0)</f>
        <v>0</v>
      </c>
      <c r="BV1728" s="55" t="str">
        <f aca="false">IF(AND(Parameter!$B$19="Ja",E1728&lt;&gt;"",ISNUMBER(MATCH(E1728,Parameter!$I$35:$I$52,0))),VLOOKUP(E1728,Parameter!$I$35:$J$52,2,0),IFERROR(VLOOKUP(D1728,Parameter!$A$35:$C$64,2,0),"Nein"))</f>
        <v>2+3</v>
      </c>
      <c r="BW1728" s="59" t="n">
        <f aca="false">IF(BT1728=0,0,IF(N(S1728)&gt;0,S1728,IFERROR(VLOOKUP(D1728,Parameter!$A$35:$C$64,3,0)+0,0)))</f>
        <v>0</v>
      </c>
      <c r="BX1728" s="55" t="n">
        <f aca="false">IF(AA1728&lt;&gt;"",AA1728,Z1728)</f>
        <v>3</v>
      </c>
      <c r="BY1728" s="55" t="str">
        <f aca="false">IF(BX1728=1,"L1",IF(OR(BX1728=2,BX1728=3),"L23",IF(BX1728="Aussen","Aussen","-")))</f>
        <v>L23</v>
      </c>
      <c r="BZ1728" s="66" t="n">
        <f aca="false">IF(N(AB1728)&gt;0,AB1728,0)</f>
        <v>0</v>
      </c>
      <c r="CA1728" s="60" t="n">
        <f aca="false">IF(ISNUMBER(AE1728),1,0)</f>
        <v>0</v>
      </c>
      <c r="CB1728" s="57" t="n">
        <f aca="false">N(AE1728)</f>
        <v>0</v>
      </c>
      <c r="CC1728" s="57" t="n">
        <f aca="false">N(M1728)+N(N1728)</f>
        <v>3</v>
      </c>
      <c r="CD1728" s="57" t="n">
        <f aca="false">ROUNDUP(H1728/BS1728,0)</f>
        <v>2</v>
      </c>
      <c r="CE1728" s="57" t="n">
        <f aca="false">ROUNDUP(CB1728/BS1728,0)</f>
        <v>0</v>
      </c>
      <c r="CF1728" s="60" t="n">
        <f aca="false">IF(BT1728=1,0,IFERROR(VLOOKUP(BR1728,'Gebinde-Kategorie'!$A$5:$M$45,5,0)+0,0))</f>
        <v>8</v>
      </c>
      <c r="CG1728" s="60" t="n">
        <f aca="false">IFERROR(IF(OR(BX1728=1,BX1728=2,BX1728=3),N(INDEX(Parameter!$I$5:$I$7,BX1728)),0),0)</f>
        <v>0</v>
      </c>
      <c r="CH1728" s="59" t="n">
        <f aca="false">IF(AND(Parameter!$B$21="Ja",ISNUMBER(W1728),N(X1728)&gt;0),IFERROR(N(INDEX(Parameter!$L$5:$L$7,W1728))*INDEX(Parameter!$E$5:$E$7,W1728)*X1728/SUMIFS($X$7:$X$1843,$W$7:$W$1843,W1728),0),0)</f>
        <v>0</v>
      </c>
    </row>
    <row r="1729" customFormat="false" ht="15" hidden="false" customHeight="false" outlineLevel="0" collapsed="false">
      <c r="A1729" s="55" t="s">
        <v>2991</v>
      </c>
      <c r="B1729" s="55" t="s">
        <v>2992</v>
      </c>
      <c r="C1729" s="55" t="s">
        <v>164</v>
      </c>
      <c r="D1729" s="55" t="s">
        <v>184</v>
      </c>
      <c r="E1729" s="55"/>
      <c r="F1729" s="55"/>
      <c r="G1729" s="56" t="n">
        <v>40</v>
      </c>
      <c r="H1729" s="57" t="n">
        <f aca="false">MAX(0,IF(AND(Parameter!$B$21="Ja",ISNUMBER(Y1729)),Y1729,IF(Parameter!$B$20="Jahresanfang 2025 + Export",BL1729+BK1729,BK1729)))</f>
        <v>13</v>
      </c>
      <c r="I1729" s="57" t="n">
        <f aca="false">H1729*G1729</f>
        <v>520</v>
      </c>
      <c r="J1729" s="57" t="n">
        <f aca="false">BN1729*Parameter!$B$18</f>
        <v>0</v>
      </c>
      <c r="K1729" s="58"/>
      <c r="L1729" s="59"/>
      <c r="M1729" s="57" t="n">
        <v>0</v>
      </c>
      <c r="N1729" s="57" t="n">
        <v>1</v>
      </c>
      <c r="O1729" s="60" t="n">
        <v>0</v>
      </c>
      <c r="P1729" s="55" t="s">
        <v>401</v>
      </c>
      <c r="Q1729" s="57" t="n">
        <v>12</v>
      </c>
      <c r="R1729" s="60" t="n">
        <f aca="false">IF(BT1729=1,0,IFERROR(VLOOKUP(BR1729,'Gebinde-Kategorie'!$A$5:$M$45,13,0)+0,0))</f>
        <v>414</v>
      </c>
      <c r="S1729" s="61"/>
      <c r="T1729" s="62"/>
      <c r="U1729" s="62"/>
      <c r="V1729" s="62"/>
      <c r="W1729" s="55"/>
      <c r="X1729" s="57"/>
      <c r="Y1729" s="57"/>
      <c r="Z1729" s="55" t="n">
        <f aca="false">IF(A1729="","",IF(AND(Parameter!$B$21="Ja",ISNUMBER(W1729)),W1729,IF(BV1729="2+3",IF(ISNUMBER(SEARCH("grosser Artikel",BO1729)),2,IFERROR(VLOOKUP(BR1729,Parameter!$F$35:$G$64,2,0),2)),IF(OR(BV1729="Nein",BV1729=""),"-",BV1729))))</f>
        <v>3</v>
      </c>
      <c r="AA1729" s="62"/>
      <c r="AB1729" s="63"/>
      <c r="AC1729" s="57" t="n">
        <f aca="false">AR1729</f>
        <v>12</v>
      </c>
      <c r="AD1729" s="57" t="n">
        <f aca="false">MAX(AR1729,H1729)</f>
        <v>13</v>
      </c>
      <c r="AE1729" s="64"/>
      <c r="AF1729" s="57" t="n">
        <f aca="false">IF(LEFT(Cockpit!$C$5,1)="A",H1729,IF(CA1729=1,CB1729,IF(LEFT(Cockpit!$C$5,1)="B",AJ1729,MAX(AJ1729,H1729))))</f>
        <v>13</v>
      </c>
      <c r="AG1729" s="57" t="n">
        <f aca="false">IF(BT1729=1,0,ROUNDUP(AF1729/BS1729,0))</f>
        <v>2</v>
      </c>
      <c r="AH1729" s="59" t="n">
        <f aca="false">IF(CH1729&gt;0,CH1729*MAX(1,AF1729/X1729),IF(BT1729=1,IF(AF1729&lt;=0,0,BW1729*MAX(1,IF(H1729&gt;0,AF1729/H1729,1))),IF(R1729&gt;0,AG1729/R1729,0))/MAX(0.1,N(Parameter!$M$21)))</f>
        <v>0.00483091787439614</v>
      </c>
      <c r="AI1729" s="57" t="n">
        <f aca="false">AF1729*G1729</f>
        <v>520</v>
      </c>
      <c r="AJ1729" s="57" t="n">
        <f aca="false">ROUNDUP(MAX(J1729/IF(BZ1729&gt;0,BZ1729,MAX(0.1,N(Cockpit!$C$6))),CC1729)/BS1729,0)*BS1729</f>
        <v>12</v>
      </c>
      <c r="AK1729" s="58" t="n">
        <f aca="false">IF(AH1729&gt;0,J1729/AH1729,-1)</f>
        <v>0</v>
      </c>
      <c r="AL1729" s="58" t="n">
        <f aca="false">IF(AND(OR(BY1729="L1",BY1729="L23"),AH1729&gt;0),SUMIFS($AH$7:$AH$1843,$BY$7:$BY$1843,BY1729,$AK$7:$AK$1843,"&gt;"&amp;AK1729)+SUMIFS($AH$7:$AH$1843,$BY$7:$BY$1843,BY1729,$AK$7:$AK$1843,AK1729,$BQ$7:$BQ$1843,"&lt;="&amp;BQ1729),"")</f>
        <v>96.8243893787372</v>
      </c>
      <c r="AM1729" s="65" t="n">
        <f aca="false">IF(AL1729="",0,MAX(0,MIN(1,(IF(BY1729="L1",Parameter!$E$5,Parameter!$E$6+Parameter!$E$7)-(AL1729-AH1729))/AH1729)))</f>
        <v>1</v>
      </c>
      <c r="AN1729" s="57" t="n">
        <f aca="false">IF(LEFT(Cockpit!$I$5,1)="A",H1729,IF(CA1729=1,CB1729,IF(LEFT(Cockpit!$I$5,1)="B",AR1729,MAX(AR1729,H1729))))</f>
        <v>13</v>
      </c>
      <c r="AO1729" s="57" t="n">
        <f aca="false">IF(BT1729=1,0,ROUNDUP(AN1729/BS1729,0))</f>
        <v>2</v>
      </c>
      <c r="AP1729" s="59" t="n">
        <f aca="false">IF(CH1729&gt;0,CH1729*MAX(1,AN1729/X1729),IF(BT1729=1,IF(AN1729&lt;=0,0,BW1729*MAX(1,IF(H1729&gt;0,AN1729/H1729,1))),IF(R1729&gt;0,AO1729/R1729,0))/MAX(0.1,N(Parameter!$M$21)))</f>
        <v>0.00483091787439614</v>
      </c>
      <c r="AQ1729" s="57" t="n">
        <f aca="false">AN1729*G1729</f>
        <v>520</v>
      </c>
      <c r="AR1729" s="57" t="n">
        <f aca="false">ROUNDUP(MAX(J1729/IF(BZ1729&gt;0,BZ1729,MAX(0.1,N(Cockpit!$I$6))),CC1729)/BS1729,0)*BS1729</f>
        <v>12</v>
      </c>
      <c r="AS1729" s="58" t="n">
        <f aca="false">IF(AP1729&gt;0,J1729/AP1729,-1)</f>
        <v>0</v>
      </c>
      <c r="AT1729" s="58" t="n">
        <f aca="false">IF(AND(OR(BY1729="L1",BY1729="L23"),AP1729&gt;0),SUMIFS($AP$7:$AP$1843,$BY$7:$BY$1843,BY1729,$AS$7:$AS$1843,"&gt;"&amp;AS1729)+SUMIFS($AP$7:$AP$1843,$BY$7:$BY$1843,BY1729,$AS$7:$AS$1843,AS1729,$BQ$7:$BQ$1843,"&lt;="&amp;BQ1729),"")</f>
        <v>142.184782608696</v>
      </c>
      <c r="AU1729" s="65" t="n">
        <f aca="false">IF(AT1729="",0,MAX(0,MIN(1,(IF(BY1729="L1",Parameter!$E$5,Parameter!$E$6+Parameter!$E$7)-(AT1729-AP1729))/AP1729)))</f>
        <v>0</v>
      </c>
      <c r="AV1729" s="57" t="n">
        <f aca="false">IF(LEFT(Cockpit!$O$5,1)="A",H1729,IF(CA1729=1,CB1729,IF(LEFT(Cockpit!$O$5,1)="B",AZ1729,MAX(AZ1729,H1729))))</f>
        <v>13</v>
      </c>
      <c r="AW1729" s="57" t="n">
        <f aca="false">IF(BT1729=1,0,ROUNDUP(AV1729/BS1729,0))</f>
        <v>2</v>
      </c>
      <c r="AX1729" s="59" t="n">
        <f aca="false">IF(CH1729&gt;0,CH1729*MAX(1,AV1729/X1729),IF(BT1729=1,IF(AV1729&lt;=0,0,BW1729*MAX(1,IF(H1729&gt;0,AV1729/H1729,1))),IF(R1729&gt;0,AW1729/R1729,0))/MAX(0.1,N(Parameter!$M$21)))</f>
        <v>0.00483091787439614</v>
      </c>
      <c r="AY1729" s="57" t="n">
        <f aca="false">AV1729*G1729</f>
        <v>520</v>
      </c>
      <c r="AZ1729" s="57" t="n">
        <f aca="false">ROUNDUP(MAX(J1729/IF(BZ1729&gt;0,BZ1729,MAX(0.1,N(Cockpit!$O$6))),CC1729)/BS1729,0)*BS1729</f>
        <v>12</v>
      </c>
      <c r="BA1729" s="58" t="n">
        <f aca="false">IF(AX1729&gt;0,J1729/AX1729,-1)</f>
        <v>0</v>
      </c>
      <c r="BB1729" s="58" t="n">
        <f aca="false">IF(AND(OR(BY1729="L1",BY1729="L23"),AX1729&gt;0),SUMIFS($AX$7:$AX$1843,$BY$7:$BY$1843,BY1729,$BA$7:$BA$1843,"&gt;"&amp;BA1729)+SUMIFS($AX$7:$AX$1843,$BY$7:$BY$1843,BY1729,$BA$7:$BA$1843,BA1729,$BQ$7:$BQ$1843,"&lt;="&amp;BQ1729),"")</f>
        <v>133.014619438532</v>
      </c>
      <c r="BC1729" s="65" t="n">
        <f aca="false">IF(BB1729="",0,MAX(0,MIN(1,(IF(BY1729="L1",Parameter!$E$5,Parameter!$E$6+Parameter!$E$7)-(BB1729-AX1729))/AX1729)))</f>
        <v>0</v>
      </c>
      <c r="BD1729" s="55" t="str">
        <f aca="false">IF(AH1729&lt;=0,"",IF(BY1729="Aussen","Aussenlager",IF(BY1729="-","Nicht im Lift",IF(AM1729&gt;=1,"Lift",IF(AM1729&lt;=0,"Aussenlager","teilweise")))))</f>
        <v>Lift</v>
      </c>
      <c r="BE1729" s="55" t="str">
        <f aca="false">IF(AP1729&lt;=0,"",IF(BY1729="Aussen","Aussenlager",IF(BY1729="-","Nicht im Lift",IF(AU1729&gt;=1,"Lift",IF(AU1729&lt;=0,"Aussenlager","teilweise")))))</f>
        <v>Aussenlager</v>
      </c>
      <c r="BF1729" s="55" t="str">
        <f aca="false">IF(AX1729&lt;=0,"",IF(BY1729="Aussen","Aussenlager",IF(BY1729="-","Nicht im Lift",IF(BC1729&gt;=1,"Lift",IF(BC1729&lt;=0,"Aussenlager","teilweise")))))</f>
        <v>Aussenlager</v>
      </c>
      <c r="BG1729" s="55" t="str">
        <f aca="false">IF(A1729="","",IF(BP1729=1,"Neu; ","")&amp;IF(AND(BP1729=0,BK1729&lt;0),"negativer Bestand (Export "&amp;BK1729&amp;"); ","")&amp;IF(J1729&lt;=0,"Kein Verbrauch; ","")&amp;IF(CH1729&gt;0,"Lift "&amp;W1729&amp;" lt. Liftbericht (Fach "&amp;X1729&amp;" Stk); ",IF(BU1729=1,"Gebinde geschätzt ("&amp;T1729&amp;"); ",IF(BT1729=1,"Lose – Tablare geschätzt; ","")))&amp;IF(H1729&gt;AR1729,"Überbestand "&amp;ROUND(H1729-AR1729,0)&amp;" Stk / CHF "&amp;ROUND((H1729-AR1729)*G1729,0)&amp;"; ","")&amp;IF(AND(CA1729=1,CB1729&lt;CC1729),"MAX &lt; MB+LG; ","")&amp;IF(AND(CG1729&gt;0,CF1729*10&gt;CG1729),"zu hoch für Tablar; ","")&amp;IF(AND(BP1729=0,OR(CA1729=1,AA1729&lt;&gt;"",U1729&lt;&gt;"",V1729&lt;&gt;"",AB1729&lt;&gt;"")),"manuell übersteuert; ","")&amp;IF(AND(BT1729=0,R1729=0),"Gebinde unbekannt / Stellmass fehlt; ","")&amp;IF(AND(BT1729=0,N(V1729)&lt;=0,N(Q1729)&lt;=0),"Menge pro Gebinde fehlt (Ist = 1 Gebinde); ","")&amp;BO1729)</f>
        <v>Kein Verbrauch; Überbestand 1 Stk / CHF 40; nur im Artikelstamm (Bestand 23.06.2026)</v>
      </c>
      <c r="BH1729" s="55"/>
      <c r="BI1729" s="55"/>
      <c r="BJ1729" s="62"/>
      <c r="BK1729" s="57" t="n">
        <v>13</v>
      </c>
      <c r="BL1729" s="57" t="n">
        <v>0</v>
      </c>
      <c r="BM1729" s="56" t="n">
        <v>0</v>
      </c>
      <c r="BN1729" s="57" t="n">
        <v>0</v>
      </c>
      <c r="BO1729" s="55" t="s">
        <v>2575</v>
      </c>
      <c r="BP1729" s="60" t="n">
        <v>0</v>
      </c>
      <c r="BQ1729" s="60" t="n">
        <v>1729</v>
      </c>
      <c r="BR1729" s="55" t="str">
        <f aca="false">IF(U1729&lt;&gt;"",UPPER(TRIM(U1729)),IF(BU1729=1,UPPER(VLOOKUP(T1729,Parameter!$I$27:$K$29,2,0)),IF(P1729="","LOSE",P1729)))</f>
        <v>S21</v>
      </c>
      <c r="BS1729" s="57" t="n">
        <f aca="false">IF(BR1729="LOSE",1,IF(N(V1729)&gt;0,V1729,IF(BU1729=1,MAX(1,N(VLOOKUP(T1729,Parameter!$I$27:$K$29,3,0)),H1729,N(N1729)),IF(N(Q1729)&gt;0,Q1729,MAX(1,H1729)))))</f>
        <v>12</v>
      </c>
      <c r="BT1729" s="60" t="n">
        <f aca="false">IF(BR1729="LOSE",1,0)</f>
        <v>0</v>
      </c>
      <c r="BU1729" s="60" t="n">
        <f aca="false">IF(AND(U1729="",OR(P1729="",P1729="LOSE"),T1729&lt;&gt;"",N(S1729)&lt;=0,ISNUMBER(MATCH(T1729,Parameter!$I$27:$I$29,0))),1,0)</f>
        <v>0</v>
      </c>
      <c r="BV1729" s="55" t="str">
        <f aca="false">IF(AND(Parameter!$B$19="Ja",E1729&lt;&gt;"",ISNUMBER(MATCH(E1729,Parameter!$I$35:$I$52,0))),VLOOKUP(E1729,Parameter!$I$35:$J$52,2,0),IFERROR(VLOOKUP(D1729,Parameter!$A$35:$C$64,2,0),"Nein"))</f>
        <v>2+3</v>
      </c>
      <c r="BW1729" s="59" t="n">
        <f aca="false">IF(BT1729=0,0,IF(N(S1729)&gt;0,S1729,IFERROR(VLOOKUP(D1729,Parameter!$A$35:$C$64,3,0)+0,0)))</f>
        <v>0</v>
      </c>
      <c r="BX1729" s="55" t="n">
        <f aca="false">IF(AA1729&lt;&gt;"",AA1729,Z1729)</f>
        <v>3</v>
      </c>
      <c r="BY1729" s="55" t="str">
        <f aca="false">IF(BX1729=1,"L1",IF(OR(BX1729=2,BX1729=3),"L23",IF(BX1729="Aussen","Aussen","-")))</f>
        <v>L23</v>
      </c>
      <c r="BZ1729" s="66" t="n">
        <f aca="false">IF(N(AB1729)&gt;0,AB1729,0)</f>
        <v>0</v>
      </c>
      <c r="CA1729" s="60" t="n">
        <f aca="false">IF(ISNUMBER(AE1729),1,0)</f>
        <v>0</v>
      </c>
      <c r="CB1729" s="57" t="n">
        <f aca="false">N(AE1729)</f>
        <v>0</v>
      </c>
      <c r="CC1729" s="57" t="n">
        <f aca="false">N(M1729)+N(N1729)</f>
        <v>1</v>
      </c>
      <c r="CD1729" s="57" t="n">
        <f aca="false">ROUNDUP(H1729/BS1729,0)</f>
        <v>2</v>
      </c>
      <c r="CE1729" s="57" t="n">
        <f aca="false">ROUNDUP(CB1729/BS1729,0)</f>
        <v>0</v>
      </c>
      <c r="CF1729" s="60" t="n">
        <f aca="false">IF(BT1729=1,0,IFERROR(VLOOKUP(BR1729,'Gebinde-Kategorie'!$A$5:$M$45,5,0)+0,0))</f>
        <v>8</v>
      </c>
      <c r="CG1729" s="60" t="n">
        <f aca="false">IFERROR(IF(OR(BX1729=1,BX1729=2,BX1729=3),N(INDEX(Parameter!$I$5:$I$7,BX1729)),0),0)</f>
        <v>0</v>
      </c>
      <c r="CH1729" s="59" t="n">
        <f aca="false">IF(AND(Parameter!$B$21="Ja",ISNUMBER(W1729),N(X1729)&gt;0),IFERROR(N(INDEX(Parameter!$L$5:$L$7,W1729))*INDEX(Parameter!$E$5:$E$7,W1729)*X1729/SUMIFS($X$7:$X$1843,$W$7:$W$1843,W1729),0),0)</f>
        <v>0</v>
      </c>
    </row>
    <row r="1730" customFormat="false" ht="15" hidden="false" customHeight="false" outlineLevel="0" collapsed="false">
      <c r="A1730" s="55" t="s">
        <v>2993</v>
      </c>
      <c r="B1730" s="55" t="s">
        <v>425</v>
      </c>
      <c r="C1730" s="55" t="s">
        <v>164</v>
      </c>
      <c r="D1730" s="55" t="s">
        <v>184</v>
      </c>
      <c r="E1730" s="55"/>
      <c r="F1730" s="55"/>
      <c r="G1730" s="56" t="n">
        <v>136.13</v>
      </c>
      <c r="H1730" s="57" t="n">
        <f aca="false">MAX(0,IF(AND(Parameter!$B$21="Ja",ISNUMBER(Y1730)),Y1730,IF(Parameter!$B$20="Jahresanfang 2025 + Export",BL1730+BK1730,BK1730)))</f>
        <v>12</v>
      </c>
      <c r="I1730" s="57" t="n">
        <f aca="false">H1730*G1730</f>
        <v>1633.56</v>
      </c>
      <c r="J1730" s="57" t="n">
        <f aca="false">BN1730*Parameter!$B$18</f>
        <v>0</v>
      </c>
      <c r="K1730" s="58"/>
      <c r="L1730" s="59"/>
      <c r="M1730" s="57" t="n">
        <v>0</v>
      </c>
      <c r="N1730" s="57" t="n">
        <v>10</v>
      </c>
      <c r="O1730" s="60" t="n">
        <v>42</v>
      </c>
      <c r="P1730" s="55" t="s">
        <v>426</v>
      </c>
      <c r="Q1730" s="57" t="n">
        <v>12</v>
      </c>
      <c r="R1730" s="60" t="n">
        <f aca="false">IF(BT1730=1,0,IFERROR(VLOOKUP(BR1730,'Gebinde-Kategorie'!$A$5:$M$45,13,0)+0,0))</f>
        <v>198</v>
      </c>
      <c r="S1730" s="61"/>
      <c r="T1730" s="62"/>
      <c r="U1730" s="62"/>
      <c r="V1730" s="62"/>
      <c r="W1730" s="55"/>
      <c r="X1730" s="57"/>
      <c r="Y1730" s="57"/>
      <c r="Z1730" s="55" t="n">
        <f aca="false">IF(A1730="","",IF(AND(Parameter!$B$21="Ja",ISNUMBER(W1730)),W1730,IF(BV1730="2+3",IF(ISNUMBER(SEARCH("grosser Artikel",BO1730)),2,IFERROR(VLOOKUP(BR1730,Parameter!$F$35:$G$64,2,0),2)),IF(OR(BV1730="Nein",BV1730=""),"-",BV1730))))</f>
        <v>3</v>
      </c>
      <c r="AA1730" s="62"/>
      <c r="AB1730" s="63"/>
      <c r="AC1730" s="57" t="n">
        <f aca="false">AR1730</f>
        <v>12</v>
      </c>
      <c r="AD1730" s="57" t="n">
        <f aca="false">MAX(AR1730,H1730)</f>
        <v>12</v>
      </c>
      <c r="AE1730" s="64"/>
      <c r="AF1730" s="57" t="n">
        <f aca="false">IF(LEFT(Cockpit!$C$5,1)="A",H1730,IF(CA1730=1,CB1730,IF(LEFT(Cockpit!$C$5,1)="B",AJ1730,MAX(AJ1730,H1730))))</f>
        <v>12</v>
      </c>
      <c r="AG1730" s="57" t="n">
        <f aca="false">IF(BT1730=1,0,ROUNDUP(AF1730/BS1730,0))</f>
        <v>1</v>
      </c>
      <c r="AH1730" s="59" t="n">
        <f aca="false">IF(CH1730&gt;0,CH1730*MAX(1,AF1730/X1730),IF(BT1730=1,IF(AF1730&lt;=0,0,BW1730*MAX(1,IF(H1730&gt;0,AF1730/H1730,1))),IF(R1730&gt;0,AG1730/R1730,0))/MAX(0.1,N(Parameter!$M$21)))</f>
        <v>0.00505050505050505</v>
      </c>
      <c r="AI1730" s="57" t="n">
        <f aca="false">AF1730*G1730</f>
        <v>1633.56</v>
      </c>
      <c r="AJ1730" s="57" t="n">
        <f aca="false">ROUNDUP(MAX(J1730/IF(BZ1730&gt;0,BZ1730,MAX(0.1,N(Cockpit!$C$6))),CC1730)/BS1730,0)*BS1730</f>
        <v>12</v>
      </c>
      <c r="AK1730" s="58" t="n">
        <f aca="false">IF(AH1730&gt;0,J1730/AH1730,-1)</f>
        <v>0</v>
      </c>
      <c r="AL1730" s="58" t="n">
        <f aca="false">IF(AND(OR(BY1730="L1",BY1730="L23"),AH1730&gt;0),SUMIFS($AH$7:$AH$1843,$BY$7:$BY$1843,BY1730,$AK$7:$AK$1843,"&gt;"&amp;AK1730)+SUMIFS($AH$7:$AH$1843,$BY$7:$BY$1843,BY1730,$AK$7:$AK$1843,AK1730,$BQ$7:$BQ$1843,"&lt;="&amp;BQ1730),"")</f>
        <v>96.8294398837877</v>
      </c>
      <c r="AM1730" s="65" t="n">
        <f aca="false">IF(AL1730="",0,MAX(0,MIN(1,(IF(BY1730="L1",Parameter!$E$5,Parameter!$E$6+Parameter!$E$7)-(AL1730-AH1730))/AH1730)))</f>
        <v>1</v>
      </c>
      <c r="AN1730" s="57" t="n">
        <f aca="false">IF(LEFT(Cockpit!$I$5,1)="A",H1730,IF(CA1730=1,CB1730,IF(LEFT(Cockpit!$I$5,1)="B",AR1730,MAX(AR1730,H1730))))</f>
        <v>12</v>
      </c>
      <c r="AO1730" s="57" t="n">
        <f aca="false">IF(BT1730=1,0,ROUNDUP(AN1730/BS1730,0))</f>
        <v>1</v>
      </c>
      <c r="AP1730" s="59" t="n">
        <f aca="false">IF(CH1730&gt;0,CH1730*MAX(1,AN1730/X1730),IF(BT1730=1,IF(AN1730&lt;=0,0,BW1730*MAX(1,IF(H1730&gt;0,AN1730/H1730,1))),IF(R1730&gt;0,AO1730/R1730,0))/MAX(0.1,N(Parameter!$M$21)))</f>
        <v>0.00505050505050505</v>
      </c>
      <c r="AQ1730" s="57" t="n">
        <f aca="false">AN1730*G1730</f>
        <v>1633.56</v>
      </c>
      <c r="AR1730" s="57" t="n">
        <f aca="false">ROUNDUP(MAX(J1730/IF(BZ1730&gt;0,BZ1730,MAX(0.1,N(Cockpit!$I$6))),CC1730)/BS1730,0)*BS1730</f>
        <v>12</v>
      </c>
      <c r="AS1730" s="58" t="n">
        <f aca="false">IF(AP1730&gt;0,J1730/AP1730,-1)</f>
        <v>0</v>
      </c>
      <c r="AT1730" s="58" t="n">
        <f aca="false">IF(AND(OR(BY1730="L1",BY1730="L23"),AP1730&gt;0),SUMIFS($AP$7:$AP$1843,$BY$7:$BY$1843,BY1730,$AS$7:$AS$1843,"&gt;"&amp;AS1730)+SUMIFS($AP$7:$AP$1843,$BY$7:$BY$1843,BY1730,$AS$7:$AS$1843,AS1730,$BQ$7:$BQ$1843,"&lt;="&amp;BQ1730),"")</f>
        <v>142.189833113746</v>
      </c>
      <c r="AU1730" s="65" t="n">
        <f aca="false">IF(AT1730="",0,MAX(0,MIN(1,(IF(BY1730="L1",Parameter!$E$5,Parameter!$E$6+Parameter!$E$7)-(AT1730-AP1730))/AP1730)))</f>
        <v>0</v>
      </c>
      <c r="AV1730" s="57" t="n">
        <f aca="false">IF(LEFT(Cockpit!$O$5,1)="A",H1730,IF(CA1730=1,CB1730,IF(LEFT(Cockpit!$O$5,1)="B",AZ1730,MAX(AZ1730,H1730))))</f>
        <v>12</v>
      </c>
      <c r="AW1730" s="57" t="n">
        <f aca="false">IF(BT1730=1,0,ROUNDUP(AV1730/BS1730,0))</f>
        <v>1</v>
      </c>
      <c r="AX1730" s="59" t="n">
        <f aca="false">IF(CH1730&gt;0,CH1730*MAX(1,AV1730/X1730),IF(BT1730=1,IF(AV1730&lt;=0,0,BW1730*MAX(1,IF(H1730&gt;0,AV1730/H1730,1))),IF(R1730&gt;0,AW1730/R1730,0))/MAX(0.1,N(Parameter!$M$21)))</f>
        <v>0.00505050505050505</v>
      </c>
      <c r="AY1730" s="57" t="n">
        <f aca="false">AV1730*G1730</f>
        <v>1633.56</v>
      </c>
      <c r="AZ1730" s="57" t="n">
        <f aca="false">ROUNDUP(MAX(J1730/IF(BZ1730&gt;0,BZ1730,MAX(0.1,N(Cockpit!$O$6))),CC1730)/BS1730,0)*BS1730</f>
        <v>12</v>
      </c>
      <c r="BA1730" s="58" t="n">
        <f aca="false">IF(AX1730&gt;0,J1730/AX1730,-1)</f>
        <v>0</v>
      </c>
      <c r="BB1730" s="58" t="n">
        <f aca="false">IF(AND(OR(BY1730="L1",BY1730="L23"),AX1730&gt;0),SUMIFS($AX$7:$AX$1843,$BY$7:$BY$1843,BY1730,$BA$7:$BA$1843,"&gt;"&amp;BA1730)+SUMIFS($AX$7:$AX$1843,$BY$7:$BY$1843,BY1730,$BA$7:$BA$1843,BA1730,$BQ$7:$BQ$1843,"&lt;="&amp;BQ1730),"")</f>
        <v>133.019669943583</v>
      </c>
      <c r="BC1730" s="65" t="n">
        <f aca="false">IF(BB1730="",0,MAX(0,MIN(1,(IF(BY1730="L1",Parameter!$E$5,Parameter!$E$6+Parameter!$E$7)-(BB1730-AX1730))/AX1730)))</f>
        <v>0</v>
      </c>
      <c r="BD1730" s="55" t="str">
        <f aca="false">IF(AH1730&lt;=0,"",IF(BY1730="Aussen","Aussenlager",IF(BY1730="-","Nicht im Lift",IF(AM1730&gt;=1,"Lift",IF(AM1730&lt;=0,"Aussenlager","teilweise")))))</f>
        <v>Lift</v>
      </c>
      <c r="BE1730" s="55" t="str">
        <f aca="false">IF(AP1730&lt;=0,"",IF(BY1730="Aussen","Aussenlager",IF(BY1730="-","Nicht im Lift",IF(AU1730&gt;=1,"Lift",IF(AU1730&lt;=0,"Aussenlager","teilweise")))))</f>
        <v>Aussenlager</v>
      </c>
      <c r="BF1730" s="55" t="str">
        <f aca="false">IF(AX1730&lt;=0,"",IF(BY1730="Aussen","Aussenlager",IF(BY1730="-","Nicht im Lift",IF(BC1730&gt;=1,"Lift",IF(BC1730&lt;=0,"Aussenlager","teilweise")))))</f>
        <v>Aussenlager</v>
      </c>
      <c r="BG1730" s="55" t="str">
        <f aca="false">IF(A1730="","",IF(BP1730=1,"Neu; ","")&amp;IF(AND(BP1730=0,BK1730&lt;0),"negativer Bestand (Export "&amp;BK1730&amp;"); ","")&amp;IF(J1730&lt;=0,"Kein Verbrauch; ","")&amp;IF(CH1730&gt;0,"Lift "&amp;W1730&amp;" lt. Liftbericht (Fach "&amp;X1730&amp;" Stk); ",IF(BU1730=1,"Gebinde geschätzt ("&amp;T1730&amp;"); ",IF(BT1730=1,"Lose – Tablare geschätzt; ","")))&amp;IF(H1730&gt;AR1730,"Überbestand "&amp;ROUND(H1730-AR1730,0)&amp;" Stk / CHF "&amp;ROUND((H1730-AR1730)*G1730,0)&amp;"; ","")&amp;IF(AND(CA1730=1,CB1730&lt;CC1730),"MAX &lt; MB+LG; ","")&amp;IF(AND(CG1730&gt;0,CF1730*10&gt;CG1730),"zu hoch für Tablar; ","")&amp;IF(AND(BP1730=0,OR(CA1730=1,AA1730&lt;&gt;"",U1730&lt;&gt;"",V1730&lt;&gt;"",AB1730&lt;&gt;"")),"manuell übersteuert; ","")&amp;IF(AND(BT1730=0,R1730=0),"Gebinde unbekannt / Stellmass fehlt; ","")&amp;IF(AND(BT1730=0,N(V1730)&lt;=0,N(Q1730)&lt;=0),"Menge pro Gebinde fehlt (Ist = 1 Gebinde); ","")&amp;BO1730)</f>
        <v>Kein Verbrauch; nur im Artikelstamm (Bestand 23.06.2026)</v>
      </c>
      <c r="BH1730" s="55"/>
      <c r="BI1730" s="55"/>
      <c r="BJ1730" s="62"/>
      <c r="BK1730" s="57" t="n">
        <v>12</v>
      </c>
      <c r="BL1730" s="57" t="n">
        <v>0</v>
      </c>
      <c r="BM1730" s="56" t="n">
        <v>0</v>
      </c>
      <c r="BN1730" s="57" t="n">
        <v>0</v>
      </c>
      <c r="BO1730" s="55" t="s">
        <v>2575</v>
      </c>
      <c r="BP1730" s="60" t="n">
        <v>0</v>
      </c>
      <c r="BQ1730" s="60" t="n">
        <v>1730</v>
      </c>
      <c r="BR1730" s="55" t="str">
        <f aca="false">IF(U1730&lt;&gt;"",UPPER(TRIM(U1730)),IF(BU1730=1,UPPER(VLOOKUP(T1730,Parameter!$I$27:$K$29,2,0)),IF(P1730="","LOSE",P1730)))</f>
        <v>S22</v>
      </c>
      <c r="BS1730" s="57" t="n">
        <f aca="false">IF(BR1730="LOSE",1,IF(N(V1730)&gt;0,V1730,IF(BU1730=1,MAX(1,N(VLOOKUP(T1730,Parameter!$I$27:$K$29,3,0)),H1730,N(N1730)),IF(N(Q1730)&gt;0,Q1730,MAX(1,H1730)))))</f>
        <v>12</v>
      </c>
      <c r="BT1730" s="60" t="n">
        <f aca="false">IF(BR1730="LOSE",1,0)</f>
        <v>0</v>
      </c>
      <c r="BU1730" s="60" t="n">
        <f aca="false">IF(AND(U1730="",OR(P1730="",P1730="LOSE"),T1730&lt;&gt;"",N(S1730)&lt;=0,ISNUMBER(MATCH(T1730,Parameter!$I$27:$I$29,0))),1,0)</f>
        <v>0</v>
      </c>
      <c r="BV1730" s="55" t="str">
        <f aca="false">IF(AND(Parameter!$B$19="Ja",E1730&lt;&gt;"",ISNUMBER(MATCH(E1730,Parameter!$I$35:$I$52,0))),VLOOKUP(E1730,Parameter!$I$35:$J$52,2,0),IFERROR(VLOOKUP(D1730,Parameter!$A$35:$C$64,2,0),"Nein"))</f>
        <v>2+3</v>
      </c>
      <c r="BW1730" s="59" t="n">
        <f aca="false">IF(BT1730=0,0,IF(N(S1730)&gt;0,S1730,IFERROR(VLOOKUP(D1730,Parameter!$A$35:$C$64,3,0)+0,0)))</f>
        <v>0</v>
      </c>
      <c r="BX1730" s="55" t="n">
        <f aca="false">IF(AA1730&lt;&gt;"",AA1730,Z1730)</f>
        <v>3</v>
      </c>
      <c r="BY1730" s="55" t="str">
        <f aca="false">IF(BX1730=1,"L1",IF(OR(BX1730=2,BX1730=3),"L23",IF(BX1730="Aussen","Aussen","-")))</f>
        <v>L23</v>
      </c>
      <c r="BZ1730" s="66" t="n">
        <f aca="false">IF(N(AB1730)&gt;0,AB1730,0)</f>
        <v>0</v>
      </c>
      <c r="CA1730" s="60" t="n">
        <f aca="false">IF(ISNUMBER(AE1730),1,0)</f>
        <v>0</v>
      </c>
      <c r="CB1730" s="57" t="n">
        <f aca="false">N(AE1730)</f>
        <v>0</v>
      </c>
      <c r="CC1730" s="57" t="n">
        <f aca="false">N(M1730)+N(N1730)</f>
        <v>10</v>
      </c>
      <c r="CD1730" s="57" t="n">
        <f aca="false">ROUNDUP(H1730/BS1730,0)</f>
        <v>1</v>
      </c>
      <c r="CE1730" s="57" t="n">
        <f aca="false">ROUNDUP(CB1730/BS1730,0)</f>
        <v>0</v>
      </c>
      <c r="CF1730" s="60" t="n">
        <f aca="false">IF(BT1730=1,0,IFERROR(VLOOKUP(BR1730,'Gebinde-Kategorie'!$A$5:$M$45,5,0)+0,0))</f>
        <v>8</v>
      </c>
      <c r="CG1730" s="60" t="n">
        <f aca="false">IFERROR(IF(OR(BX1730=1,BX1730=2,BX1730=3),N(INDEX(Parameter!$I$5:$I$7,BX1730)),0),0)</f>
        <v>0</v>
      </c>
      <c r="CH1730" s="59" t="n">
        <f aca="false">IF(AND(Parameter!$B$21="Ja",ISNUMBER(W1730),N(X1730)&gt;0),IFERROR(N(INDEX(Parameter!$L$5:$L$7,W1730))*INDEX(Parameter!$E$5:$E$7,W1730)*X1730/SUMIFS($X$7:$X$1843,$W$7:$W$1843,W1730),0),0)</f>
        <v>0</v>
      </c>
    </row>
    <row r="1731" customFormat="false" ht="15" hidden="false" customHeight="false" outlineLevel="0" collapsed="false">
      <c r="A1731" s="55" t="s">
        <v>2994</v>
      </c>
      <c r="B1731" s="55" t="s">
        <v>2995</v>
      </c>
      <c r="C1731" s="55" t="s">
        <v>164</v>
      </c>
      <c r="D1731" s="55" t="s">
        <v>184</v>
      </c>
      <c r="E1731" s="55"/>
      <c r="F1731" s="55"/>
      <c r="G1731" s="56" t="n">
        <v>24</v>
      </c>
      <c r="H1731" s="57" t="n">
        <f aca="false">MAX(0,IF(AND(Parameter!$B$21="Ja",ISNUMBER(Y1731)),Y1731,IF(Parameter!$B$20="Jahresanfang 2025 + Export",BL1731+BK1731,BK1731)))</f>
        <v>6</v>
      </c>
      <c r="I1731" s="57" t="n">
        <f aca="false">H1731*G1731</f>
        <v>144</v>
      </c>
      <c r="J1731" s="57" t="n">
        <f aca="false">BN1731*Parameter!$B$18</f>
        <v>0</v>
      </c>
      <c r="K1731" s="58"/>
      <c r="L1731" s="59"/>
      <c r="M1731" s="57" t="n">
        <v>0</v>
      </c>
      <c r="N1731" s="57" t="n">
        <v>1</v>
      </c>
      <c r="O1731" s="60" t="n">
        <v>28</v>
      </c>
      <c r="P1731" s="55" t="s">
        <v>401</v>
      </c>
      <c r="Q1731" s="57" t="n">
        <v>10</v>
      </c>
      <c r="R1731" s="60" t="n">
        <f aca="false">IF(BT1731=1,0,IFERROR(VLOOKUP(BR1731,'Gebinde-Kategorie'!$A$5:$M$45,13,0)+0,0))</f>
        <v>414</v>
      </c>
      <c r="S1731" s="61"/>
      <c r="T1731" s="62"/>
      <c r="U1731" s="62"/>
      <c r="V1731" s="62"/>
      <c r="W1731" s="55"/>
      <c r="X1731" s="57"/>
      <c r="Y1731" s="57"/>
      <c r="Z1731" s="55" t="n">
        <f aca="false">IF(A1731="","",IF(AND(Parameter!$B$21="Ja",ISNUMBER(W1731)),W1731,IF(BV1731="2+3",IF(ISNUMBER(SEARCH("grosser Artikel",BO1731)),2,IFERROR(VLOOKUP(BR1731,Parameter!$F$35:$G$64,2,0),2)),IF(OR(BV1731="Nein",BV1731=""),"-",BV1731))))</f>
        <v>3</v>
      </c>
      <c r="AA1731" s="62"/>
      <c r="AB1731" s="63"/>
      <c r="AC1731" s="57" t="n">
        <f aca="false">AR1731</f>
        <v>10</v>
      </c>
      <c r="AD1731" s="57" t="n">
        <f aca="false">MAX(AR1731,H1731)</f>
        <v>10</v>
      </c>
      <c r="AE1731" s="64"/>
      <c r="AF1731" s="57" t="n">
        <f aca="false">IF(LEFT(Cockpit!$C$5,1)="A",H1731,IF(CA1731=1,CB1731,IF(LEFT(Cockpit!$C$5,1)="B",AJ1731,MAX(AJ1731,H1731))))</f>
        <v>6</v>
      </c>
      <c r="AG1731" s="57" t="n">
        <f aca="false">IF(BT1731=1,0,ROUNDUP(AF1731/BS1731,0))</f>
        <v>1</v>
      </c>
      <c r="AH1731" s="59" t="n">
        <f aca="false">IF(CH1731&gt;0,CH1731*MAX(1,AF1731/X1731),IF(BT1731=1,IF(AF1731&lt;=0,0,BW1731*MAX(1,IF(H1731&gt;0,AF1731/H1731,1))),IF(R1731&gt;0,AG1731/R1731,0))/MAX(0.1,N(Parameter!$M$21)))</f>
        <v>0.00241545893719807</v>
      </c>
      <c r="AI1731" s="57" t="n">
        <f aca="false">AF1731*G1731</f>
        <v>144</v>
      </c>
      <c r="AJ1731" s="57" t="n">
        <f aca="false">ROUNDUP(MAX(J1731/IF(BZ1731&gt;0,BZ1731,MAX(0.1,N(Cockpit!$C$6))),CC1731)/BS1731,0)*BS1731</f>
        <v>10</v>
      </c>
      <c r="AK1731" s="58" t="n">
        <f aca="false">IF(AH1731&gt;0,J1731/AH1731,-1)</f>
        <v>0</v>
      </c>
      <c r="AL1731" s="58" t="n">
        <f aca="false">IF(AND(OR(BY1731="L1",BY1731="L23"),AH1731&gt;0),SUMIFS($AH$7:$AH$1843,$BY$7:$BY$1843,BY1731,$AK$7:$AK$1843,"&gt;"&amp;AK1731)+SUMIFS($AH$7:$AH$1843,$BY$7:$BY$1843,BY1731,$AK$7:$AK$1843,AK1731,$BQ$7:$BQ$1843,"&lt;="&amp;BQ1731),"")</f>
        <v>96.8318553427249</v>
      </c>
      <c r="AM1731" s="65" t="n">
        <f aca="false">IF(AL1731="",0,MAX(0,MIN(1,(IF(BY1731="L1",Parameter!$E$5,Parameter!$E$6+Parameter!$E$7)-(AL1731-AH1731))/AH1731)))</f>
        <v>1</v>
      </c>
      <c r="AN1731" s="57" t="n">
        <f aca="false">IF(LEFT(Cockpit!$I$5,1)="A",H1731,IF(CA1731=1,CB1731,IF(LEFT(Cockpit!$I$5,1)="B",AR1731,MAX(AR1731,H1731))))</f>
        <v>10</v>
      </c>
      <c r="AO1731" s="57" t="n">
        <f aca="false">IF(BT1731=1,0,ROUNDUP(AN1731/BS1731,0))</f>
        <v>1</v>
      </c>
      <c r="AP1731" s="59" t="n">
        <f aca="false">IF(CH1731&gt;0,CH1731*MAX(1,AN1731/X1731),IF(BT1731=1,IF(AN1731&lt;=0,0,BW1731*MAX(1,IF(H1731&gt;0,AN1731/H1731,1))),IF(R1731&gt;0,AO1731/R1731,0))/MAX(0.1,N(Parameter!$M$21)))</f>
        <v>0.00241545893719807</v>
      </c>
      <c r="AQ1731" s="57" t="n">
        <f aca="false">AN1731*G1731</f>
        <v>240</v>
      </c>
      <c r="AR1731" s="57" t="n">
        <f aca="false">ROUNDUP(MAX(J1731/IF(BZ1731&gt;0,BZ1731,MAX(0.1,N(Cockpit!$I$6))),CC1731)/BS1731,0)*BS1731</f>
        <v>10</v>
      </c>
      <c r="AS1731" s="58" t="n">
        <f aca="false">IF(AP1731&gt;0,J1731/AP1731,-1)</f>
        <v>0</v>
      </c>
      <c r="AT1731" s="58" t="n">
        <f aca="false">IF(AND(OR(BY1731="L1",BY1731="L23"),AP1731&gt;0),SUMIFS($AP$7:$AP$1843,$BY$7:$BY$1843,BY1731,$AS$7:$AS$1843,"&gt;"&amp;AS1731)+SUMIFS($AP$7:$AP$1843,$BY$7:$BY$1843,BY1731,$AS$7:$AS$1843,AS1731,$BQ$7:$BQ$1843,"&lt;="&amp;BQ1731),"")</f>
        <v>142.192248572683</v>
      </c>
      <c r="AU1731" s="65" t="n">
        <f aca="false">IF(AT1731="",0,MAX(0,MIN(1,(IF(BY1731="L1",Parameter!$E$5,Parameter!$E$6+Parameter!$E$7)-(AT1731-AP1731))/AP1731)))</f>
        <v>0</v>
      </c>
      <c r="AV1731" s="57" t="n">
        <f aca="false">IF(LEFT(Cockpit!$O$5,1)="A",H1731,IF(CA1731=1,CB1731,IF(LEFT(Cockpit!$O$5,1)="B",AZ1731,MAX(AZ1731,H1731))))</f>
        <v>10</v>
      </c>
      <c r="AW1731" s="57" t="n">
        <f aca="false">IF(BT1731=1,0,ROUNDUP(AV1731/BS1731,0))</f>
        <v>1</v>
      </c>
      <c r="AX1731" s="59" t="n">
        <f aca="false">IF(CH1731&gt;0,CH1731*MAX(1,AV1731/X1731),IF(BT1731=1,IF(AV1731&lt;=0,0,BW1731*MAX(1,IF(H1731&gt;0,AV1731/H1731,1))),IF(R1731&gt;0,AW1731/R1731,0))/MAX(0.1,N(Parameter!$M$21)))</f>
        <v>0.00241545893719807</v>
      </c>
      <c r="AY1731" s="57" t="n">
        <f aca="false">AV1731*G1731</f>
        <v>240</v>
      </c>
      <c r="AZ1731" s="57" t="n">
        <f aca="false">ROUNDUP(MAX(J1731/IF(BZ1731&gt;0,BZ1731,MAX(0.1,N(Cockpit!$O$6))),CC1731)/BS1731,0)*BS1731</f>
        <v>10</v>
      </c>
      <c r="BA1731" s="58" t="n">
        <f aca="false">IF(AX1731&gt;0,J1731/AX1731,-1)</f>
        <v>0</v>
      </c>
      <c r="BB1731" s="58" t="n">
        <f aca="false">IF(AND(OR(BY1731="L1",BY1731="L23"),AX1731&gt;0),SUMIFS($AX$7:$AX$1843,$BY$7:$BY$1843,BY1731,$BA$7:$BA$1843,"&gt;"&amp;BA1731)+SUMIFS($AX$7:$AX$1843,$BY$7:$BY$1843,BY1731,$BA$7:$BA$1843,BA1731,$BQ$7:$BQ$1843,"&lt;="&amp;BQ1731),"")</f>
        <v>133.02208540252</v>
      </c>
      <c r="BC1731" s="65" t="n">
        <f aca="false">IF(BB1731="",0,MAX(0,MIN(1,(IF(BY1731="L1",Parameter!$E$5,Parameter!$E$6+Parameter!$E$7)-(BB1731-AX1731))/AX1731)))</f>
        <v>0</v>
      </c>
      <c r="BD1731" s="55" t="str">
        <f aca="false">IF(AH1731&lt;=0,"",IF(BY1731="Aussen","Aussenlager",IF(BY1731="-","Nicht im Lift",IF(AM1731&gt;=1,"Lift",IF(AM1731&lt;=0,"Aussenlager","teilweise")))))</f>
        <v>Lift</v>
      </c>
      <c r="BE1731" s="55" t="str">
        <f aca="false">IF(AP1731&lt;=0,"",IF(BY1731="Aussen","Aussenlager",IF(BY1731="-","Nicht im Lift",IF(AU1731&gt;=1,"Lift",IF(AU1731&lt;=0,"Aussenlager","teilweise")))))</f>
        <v>Aussenlager</v>
      </c>
      <c r="BF1731" s="55" t="str">
        <f aca="false">IF(AX1731&lt;=0,"",IF(BY1731="Aussen","Aussenlager",IF(BY1731="-","Nicht im Lift",IF(BC1731&gt;=1,"Lift",IF(BC1731&lt;=0,"Aussenlager","teilweise")))))</f>
        <v>Aussenlager</v>
      </c>
      <c r="BG1731" s="55" t="str">
        <f aca="false">IF(A1731="","",IF(BP1731=1,"Neu; ","")&amp;IF(AND(BP1731=0,BK1731&lt;0),"negativer Bestand (Export "&amp;BK1731&amp;"); ","")&amp;IF(J1731&lt;=0,"Kein Verbrauch; ","")&amp;IF(CH1731&gt;0,"Lift "&amp;W1731&amp;" lt. Liftbericht (Fach "&amp;X1731&amp;" Stk); ",IF(BU1731=1,"Gebinde geschätzt ("&amp;T1731&amp;"); ",IF(BT1731=1,"Lose – Tablare geschätzt; ","")))&amp;IF(H1731&gt;AR1731,"Überbestand "&amp;ROUND(H1731-AR1731,0)&amp;" Stk / CHF "&amp;ROUND((H1731-AR1731)*G1731,0)&amp;"; ","")&amp;IF(AND(CA1731=1,CB1731&lt;CC1731),"MAX &lt; MB+LG; ","")&amp;IF(AND(CG1731&gt;0,CF1731*10&gt;CG1731),"zu hoch für Tablar; ","")&amp;IF(AND(BP1731=0,OR(CA1731=1,AA1731&lt;&gt;"",U1731&lt;&gt;"",V1731&lt;&gt;"",AB1731&lt;&gt;"")),"manuell übersteuert; ","")&amp;IF(AND(BT1731=0,R1731=0),"Gebinde unbekannt / Stellmass fehlt; ","")&amp;IF(AND(BT1731=0,N(V1731)&lt;=0,N(Q1731)&lt;=0),"Menge pro Gebinde fehlt (Ist = 1 Gebinde); ","")&amp;BO1731)</f>
        <v>Kein Verbrauch; nur im Artikelstamm (Bestand 23.06.2026); Überbestand</v>
      </c>
      <c r="BH1731" s="55"/>
      <c r="BI1731" s="55"/>
      <c r="BJ1731" s="62"/>
      <c r="BK1731" s="57" t="n">
        <v>6</v>
      </c>
      <c r="BL1731" s="57" t="n">
        <v>0</v>
      </c>
      <c r="BM1731" s="56" t="n">
        <v>0</v>
      </c>
      <c r="BN1731" s="57" t="n">
        <v>0</v>
      </c>
      <c r="BO1731" s="55" t="s">
        <v>2572</v>
      </c>
      <c r="BP1731" s="60" t="n">
        <v>0</v>
      </c>
      <c r="BQ1731" s="60" t="n">
        <v>1731</v>
      </c>
      <c r="BR1731" s="55" t="str">
        <f aca="false">IF(U1731&lt;&gt;"",UPPER(TRIM(U1731)),IF(BU1731=1,UPPER(VLOOKUP(T1731,Parameter!$I$27:$K$29,2,0)),IF(P1731="","LOSE",P1731)))</f>
        <v>S21</v>
      </c>
      <c r="BS1731" s="57" t="n">
        <f aca="false">IF(BR1731="LOSE",1,IF(N(V1731)&gt;0,V1731,IF(BU1731=1,MAX(1,N(VLOOKUP(T1731,Parameter!$I$27:$K$29,3,0)),H1731,N(N1731)),IF(N(Q1731)&gt;0,Q1731,MAX(1,H1731)))))</f>
        <v>10</v>
      </c>
      <c r="BT1731" s="60" t="n">
        <f aca="false">IF(BR1731="LOSE",1,0)</f>
        <v>0</v>
      </c>
      <c r="BU1731" s="60" t="n">
        <f aca="false">IF(AND(U1731="",OR(P1731="",P1731="LOSE"),T1731&lt;&gt;"",N(S1731)&lt;=0,ISNUMBER(MATCH(T1731,Parameter!$I$27:$I$29,0))),1,0)</f>
        <v>0</v>
      </c>
      <c r="BV1731" s="55" t="str">
        <f aca="false">IF(AND(Parameter!$B$19="Ja",E1731&lt;&gt;"",ISNUMBER(MATCH(E1731,Parameter!$I$35:$I$52,0))),VLOOKUP(E1731,Parameter!$I$35:$J$52,2,0),IFERROR(VLOOKUP(D1731,Parameter!$A$35:$C$64,2,0),"Nein"))</f>
        <v>2+3</v>
      </c>
      <c r="BW1731" s="59" t="n">
        <f aca="false">IF(BT1731=0,0,IF(N(S1731)&gt;0,S1731,IFERROR(VLOOKUP(D1731,Parameter!$A$35:$C$64,3,0)+0,0)))</f>
        <v>0</v>
      </c>
      <c r="BX1731" s="55" t="n">
        <f aca="false">IF(AA1731&lt;&gt;"",AA1731,Z1731)</f>
        <v>3</v>
      </c>
      <c r="BY1731" s="55" t="str">
        <f aca="false">IF(BX1731=1,"L1",IF(OR(BX1731=2,BX1731=3),"L23",IF(BX1731="Aussen","Aussen","-")))</f>
        <v>L23</v>
      </c>
      <c r="BZ1731" s="66" t="n">
        <f aca="false">IF(N(AB1731)&gt;0,AB1731,0)</f>
        <v>0</v>
      </c>
      <c r="CA1731" s="60" t="n">
        <f aca="false">IF(ISNUMBER(AE1731),1,0)</f>
        <v>0</v>
      </c>
      <c r="CB1731" s="57" t="n">
        <f aca="false">N(AE1731)</f>
        <v>0</v>
      </c>
      <c r="CC1731" s="57" t="n">
        <f aca="false">N(M1731)+N(N1731)</f>
        <v>1</v>
      </c>
      <c r="CD1731" s="57" t="n">
        <f aca="false">ROUNDUP(H1731/BS1731,0)</f>
        <v>1</v>
      </c>
      <c r="CE1731" s="57" t="n">
        <f aca="false">ROUNDUP(CB1731/BS1731,0)</f>
        <v>0</v>
      </c>
      <c r="CF1731" s="60" t="n">
        <f aca="false">IF(BT1731=1,0,IFERROR(VLOOKUP(BR1731,'Gebinde-Kategorie'!$A$5:$M$45,5,0)+0,0))</f>
        <v>8</v>
      </c>
      <c r="CG1731" s="60" t="n">
        <f aca="false">IFERROR(IF(OR(BX1731=1,BX1731=2,BX1731=3),N(INDEX(Parameter!$I$5:$I$7,BX1731)),0),0)</f>
        <v>0</v>
      </c>
      <c r="CH1731" s="59" t="n">
        <f aca="false">IF(AND(Parameter!$B$21="Ja",ISNUMBER(W1731),N(X1731)&gt;0),IFERROR(N(INDEX(Parameter!$L$5:$L$7,W1731))*INDEX(Parameter!$E$5:$E$7,W1731)*X1731/SUMIFS($X$7:$X$1843,$W$7:$W$1843,W1731),0),0)</f>
        <v>0</v>
      </c>
    </row>
    <row r="1732" customFormat="false" ht="15" hidden="false" customHeight="false" outlineLevel="0" collapsed="false">
      <c r="A1732" s="55" t="s">
        <v>2996</v>
      </c>
      <c r="B1732" s="55" t="s">
        <v>1626</v>
      </c>
      <c r="C1732" s="55" t="s">
        <v>164</v>
      </c>
      <c r="D1732" s="55" t="s">
        <v>184</v>
      </c>
      <c r="E1732" s="55"/>
      <c r="F1732" s="55"/>
      <c r="G1732" s="56" t="n">
        <v>6.66</v>
      </c>
      <c r="H1732" s="57" t="n">
        <f aca="false">MAX(0,IF(AND(Parameter!$B$21="Ja",ISNUMBER(Y1732)),Y1732,IF(Parameter!$B$20="Jahresanfang 2025 + Export",BL1732+BK1732,BK1732)))</f>
        <v>10</v>
      </c>
      <c r="I1732" s="57" t="n">
        <f aca="false">H1732*G1732</f>
        <v>66.6</v>
      </c>
      <c r="J1732" s="57" t="n">
        <f aca="false">BN1732*Parameter!$B$18</f>
        <v>0</v>
      </c>
      <c r="K1732" s="58"/>
      <c r="L1732" s="59"/>
      <c r="M1732" s="57" t="n">
        <v>0</v>
      </c>
      <c r="N1732" s="57" t="n">
        <v>0</v>
      </c>
      <c r="O1732" s="60" t="n">
        <v>14</v>
      </c>
      <c r="P1732" s="55" t="s">
        <v>426</v>
      </c>
      <c r="Q1732" s="57" t="n">
        <v>10</v>
      </c>
      <c r="R1732" s="60" t="n">
        <f aca="false">IF(BT1732=1,0,IFERROR(VLOOKUP(BR1732,'Gebinde-Kategorie'!$A$5:$M$45,13,0)+0,0))</f>
        <v>198</v>
      </c>
      <c r="S1732" s="61"/>
      <c r="T1732" s="62"/>
      <c r="U1732" s="62"/>
      <c r="V1732" s="62"/>
      <c r="W1732" s="55"/>
      <c r="X1732" s="57"/>
      <c r="Y1732" s="57"/>
      <c r="Z1732" s="55" t="n">
        <f aca="false">IF(A1732="","",IF(AND(Parameter!$B$21="Ja",ISNUMBER(W1732)),W1732,IF(BV1732="2+3",IF(ISNUMBER(SEARCH("grosser Artikel",BO1732)),2,IFERROR(VLOOKUP(BR1732,Parameter!$F$35:$G$64,2,0),2)),IF(OR(BV1732="Nein",BV1732=""),"-",BV1732))))</f>
        <v>3</v>
      </c>
      <c r="AA1732" s="62"/>
      <c r="AB1732" s="63"/>
      <c r="AC1732" s="57" t="n">
        <f aca="false">AR1732</f>
        <v>0</v>
      </c>
      <c r="AD1732" s="57" t="n">
        <f aca="false">MAX(AR1732,H1732)</f>
        <v>10</v>
      </c>
      <c r="AE1732" s="64"/>
      <c r="AF1732" s="57" t="n">
        <f aca="false">IF(LEFT(Cockpit!$C$5,1)="A",H1732,IF(CA1732=1,CB1732,IF(LEFT(Cockpit!$C$5,1)="B",AJ1732,MAX(AJ1732,H1732))))</f>
        <v>10</v>
      </c>
      <c r="AG1732" s="57" t="n">
        <f aca="false">IF(BT1732=1,0,ROUNDUP(AF1732/BS1732,0))</f>
        <v>1</v>
      </c>
      <c r="AH1732" s="59" t="n">
        <f aca="false">IF(CH1732&gt;0,CH1732*MAX(1,AF1732/X1732),IF(BT1732=1,IF(AF1732&lt;=0,0,BW1732*MAX(1,IF(H1732&gt;0,AF1732/H1732,1))),IF(R1732&gt;0,AG1732/R1732,0))/MAX(0.1,N(Parameter!$M$21)))</f>
        <v>0.00505050505050505</v>
      </c>
      <c r="AI1732" s="57" t="n">
        <f aca="false">AF1732*G1732</f>
        <v>66.6</v>
      </c>
      <c r="AJ1732" s="57" t="n">
        <f aca="false">ROUNDUP(MAX(J1732/IF(BZ1732&gt;0,BZ1732,MAX(0.1,N(Cockpit!$C$6))),CC1732)/BS1732,0)*BS1732</f>
        <v>0</v>
      </c>
      <c r="AK1732" s="58" t="n">
        <f aca="false">IF(AH1732&gt;0,J1732/AH1732,-1)</f>
        <v>0</v>
      </c>
      <c r="AL1732" s="58" t="n">
        <f aca="false">IF(AND(OR(BY1732="L1",BY1732="L23"),AH1732&gt;0),SUMIFS($AH$7:$AH$1843,$BY$7:$BY$1843,BY1732,$AK$7:$AK$1843,"&gt;"&amp;AK1732)+SUMIFS($AH$7:$AH$1843,$BY$7:$BY$1843,BY1732,$AK$7:$AK$1843,AK1732,$BQ$7:$BQ$1843,"&lt;="&amp;BQ1732),"")</f>
        <v>96.8369058477754</v>
      </c>
      <c r="AM1732" s="65" t="n">
        <f aca="false">IF(AL1732="",0,MAX(0,MIN(1,(IF(BY1732="L1",Parameter!$E$5,Parameter!$E$6+Parameter!$E$7)-(AL1732-AH1732))/AH1732)))</f>
        <v>1</v>
      </c>
      <c r="AN1732" s="57" t="n">
        <f aca="false">IF(LEFT(Cockpit!$I$5,1)="A",H1732,IF(CA1732=1,CB1732,IF(LEFT(Cockpit!$I$5,1)="B",AR1732,MAX(AR1732,H1732))))</f>
        <v>10</v>
      </c>
      <c r="AO1732" s="57" t="n">
        <f aca="false">IF(BT1732=1,0,ROUNDUP(AN1732/BS1732,0))</f>
        <v>1</v>
      </c>
      <c r="AP1732" s="59" t="n">
        <f aca="false">IF(CH1732&gt;0,CH1732*MAX(1,AN1732/X1732),IF(BT1732=1,IF(AN1732&lt;=0,0,BW1732*MAX(1,IF(H1732&gt;0,AN1732/H1732,1))),IF(R1732&gt;0,AO1732/R1732,0))/MAX(0.1,N(Parameter!$M$21)))</f>
        <v>0.00505050505050505</v>
      </c>
      <c r="AQ1732" s="57" t="n">
        <f aca="false">AN1732*G1732</f>
        <v>66.6</v>
      </c>
      <c r="AR1732" s="57" t="n">
        <f aca="false">ROUNDUP(MAX(J1732/IF(BZ1732&gt;0,BZ1732,MAX(0.1,N(Cockpit!$I$6))),CC1732)/BS1732,0)*BS1732</f>
        <v>0</v>
      </c>
      <c r="AS1732" s="58" t="n">
        <f aca="false">IF(AP1732&gt;0,J1732/AP1732,-1)</f>
        <v>0</v>
      </c>
      <c r="AT1732" s="58" t="n">
        <f aca="false">IF(AND(OR(BY1732="L1",BY1732="L23"),AP1732&gt;0),SUMIFS($AP$7:$AP$1843,$BY$7:$BY$1843,BY1732,$AS$7:$AS$1843,"&gt;"&amp;AS1732)+SUMIFS($AP$7:$AP$1843,$BY$7:$BY$1843,BY1732,$AS$7:$AS$1843,AS1732,$BQ$7:$BQ$1843,"&lt;="&amp;BQ1732),"")</f>
        <v>142.197299077734</v>
      </c>
      <c r="AU1732" s="65" t="n">
        <f aca="false">IF(AT1732="",0,MAX(0,MIN(1,(IF(BY1732="L1",Parameter!$E$5,Parameter!$E$6+Parameter!$E$7)-(AT1732-AP1732))/AP1732)))</f>
        <v>0</v>
      </c>
      <c r="AV1732" s="57" t="n">
        <f aca="false">IF(LEFT(Cockpit!$O$5,1)="A",H1732,IF(CA1732=1,CB1732,IF(LEFT(Cockpit!$O$5,1)="B",AZ1732,MAX(AZ1732,H1732))))</f>
        <v>10</v>
      </c>
      <c r="AW1732" s="57" t="n">
        <f aca="false">IF(BT1732=1,0,ROUNDUP(AV1732/BS1732,0))</f>
        <v>1</v>
      </c>
      <c r="AX1732" s="59" t="n">
        <f aca="false">IF(CH1732&gt;0,CH1732*MAX(1,AV1732/X1732),IF(BT1732=1,IF(AV1732&lt;=0,0,BW1732*MAX(1,IF(H1732&gt;0,AV1732/H1732,1))),IF(R1732&gt;0,AW1732/R1732,0))/MAX(0.1,N(Parameter!$M$21)))</f>
        <v>0.00505050505050505</v>
      </c>
      <c r="AY1732" s="57" t="n">
        <f aca="false">AV1732*G1732</f>
        <v>66.6</v>
      </c>
      <c r="AZ1732" s="57" t="n">
        <f aca="false">ROUNDUP(MAX(J1732/IF(BZ1732&gt;0,BZ1732,MAX(0.1,N(Cockpit!$O$6))),CC1732)/BS1732,0)*BS1732</f>
        <v>0</v>
      </c>
      <c r="BA1732" s="58" t="n">
        <f aca="false">IF(AX1732&gt;0,J1732/AX1732,-1)</f>
        <v>0</v>
      </c>
      <c r="BB1732" s="58" t="n">
        <f aca="false">IF(AND(OR(BY1732="L1",BY1732="L23"),AX1732&gt;0),SUMIFS($AX$7:$AX$1843,$BY$7:$BY$1843,BY1732,$BA$7:$BA$1843,"&gt;"&amp;BA1732)+SUMIFS($AX$7:$AX$1843,$BY$7:$BY$1843,BY1732,$BA$7:$BA$1843,BA1732,$BQ$7:$BQ$1843,"&lt;="&amp;BQ1732),"")</f>
        <v>133.027135907571</v>
      </c>
      <c r="BC1732" s="65" t="n">
        <f aca="false">IF(BB1732="",0,MAX(0,MIN(1,(IF(BY1732="L1",Parameter!$E$5,Parameter!$E$6+Parameter!$E$7)-(BB1732-AX1732))/AX1732)))</f>
        <v>0</v>
      </c>
      <c r="BD1732" s="55" t="str">
        <f aca="false">IF(AH1732&lt;=0,"",IF(BY1732="Aussen","Aussenlager",IF(BY1732="-","Nicht im Lift",IF(AM1732&gt;=1,"Lift",IF(AM1732&lt;=0,"Aussenlager","teilweise")))))</f>
        <v>Lift</v>
      </c>
      <c r="BE1732" s="55" t="str">
        <f aca="false">IF(AP1732&lt;=0,"",IF(BY1732="Aussen","Aussenlager",IF(BY1732="-","Nicht im Lift",IF(AU1732&gt;=1,"Lift",IF(AU1732&lt;=0,"Aussenlager","teilweise")))))</f>
        <v>Aussenlager</v>
      </c>
      <c r="BF1732" s="55" t="str">
        <f aca="false">IF(AX1732&lt;=0,"",IF(BY1732="Aussen","Aussenlager",IF(BY1732="-","Nicht im Lift",IF(BC1732&gt;=1,"Lift",IF(BC1732&lt;=0,"Aussenlager","teilweise")))))</f>
        <v>Aussenlager</v>
      </c>
      <c r="BG1732" s="55" t="str">
        <f aca="false">IF(A1732="","",IF(BP1732=1,"Neu; ","")&amp;IF(AND(BP1732=0,BK1732&lt;0),"negativer Bestand (Export "&amp;BK1732&amp;"); ","")&amp;IF(J1732&lt;=0,"Kein Verbrauch; ","")&amp;IF(CH1732&gt;0,"Lift "&amp;W1732&amp;" lt. Liftbericht (Fach "&amp;X1732&amp;" Stk); ",IF(BU1732=1,"Gebinde geschätzt ("&amp;T1732&amp;"); ",IF(BT1732=1,"Lose – Tablare geschätzt; ","")))&amp;IF(H1732&gt;AR1732,"Überbestand "&amp;ROUND(H1732-AR1732,0)&amp;" Stk / CHF "&amp;ROUND((H1732-AR1732)*G1732,0)&amp;"; ","")&amp;IF(AND(CA1732=1,CB1732&lt;CC1732),"MAX &lt; MB+LG; ","")&amp;IF(AND(CG1732&gt;0,CF1732*10&gt;CG1732),"zu hoch für Tablar; ","")&amp;IF(AND(BP1732=0,OR(CA1732=1,AA1732&lt;&gt;"",U1732&lt;&gt;"",V1732&lt;&gt;"",AB1732&lt;&gt;"")),"manuell übersteuert; ","")&amp;IF(AND(BT1732=0,R1732=0),"Gebinde unbekannt / Stellmass fehlt; ","")&amp;IF(AND(BT1732=0,N(V1732)&lt;=0,N(Q1732)&lt;=0),"Menge pro Gebinde fehlt (Ist = 1 Gebinde); ","")&amp;BO1732)</f>
        <v>Kein Verbrauch; Überbestand 10 Stk / CHF 67; nur im Artikelstamm (Bestand 23.06.2026); Verb.Lager</v>
      </c>
      <c r="BH1732" s="55"/>
      <c r="BI1732" s="55"/>
      <c r="BJ1732" s="62"/>
      <c r="BK1732" s="57" t="n">
        <v>10</v>
      </c>
      <c r="BL1732" s="57" t="n">
        <v>0</v>
      </c>
      <c r="BM1732" s="56" t="n">
        <v>0</v>
      </c>
      <c r="BN1732" s="57" t="n">
        <v>0</v>
      </c>
      <c r="BO1732" s="55" t="s">
        <v>2569</v>
      </c>
      <c r="BP1732" s="60" t="n">
        <v>0</v>
      </c>
      <c r="BQ1732" s="60" t="n">
        <v>1732</v>
      </c>
      <c r="BR1732" s="55" t="str">
        <f aca="false">IF(U1732&lt;&gt;"",UPPER(TRIM(U1732)),IF(BU1732=1,UPPER(VLOOKUP(T1732,Parameter!$I$27:$K$29,2,0)),IF(P1732="","LOSE",P1732)))</f>
        <v>S22</v>
      </c>
      <c r="BS1732" s="57" t="n">
        <f aca="false">IF(BR1732="LOSE",1,IF(N(V1732)&gt;0,V1732,IF(BU1732=1,MAX(1,N(VLOOKUP(T1732,Parameter!$I$27:$K$29,3,0)),H1732,N(N1732)),IF(N(Q1732)&gt;0,Q1732,MAX(1,H1732)))))</f>
        <v>10</v>
      </c>
      <c r="BT1732" s="60" t="n">
        <f aca="false">IF(BR1732="LOSE",1,0)</f>
        <v>0</v>
      </c>
      <c r="BU1732" s="60" t="n">
        <f aca="false">IF(AND(U1732="",OR(P1732="",P1732="LOSE"),T1732&lt;&gt;"",N(S1732)&lt;=0,ISNUMBER(MATCH(T1732,Parameter!$I$27:$I$29,0))),1,0)</f>
        <v>0</v>
      </c>
      <c r="BV1732" s="55" t="str">
        <f aca="false">IF(AND(Parameter!$B$19="Ja",E1732&lt;&gt;"",ISNUMBER(MATCH(E1732,Parameter!$I$35:$I$52,0))),VLOOKUP(E1732,Parameter!$I$35:$J$52,2,0),IFERROR(VLOOKUP(D1732,Parameter!$A$35:$C$64,2,0),"Nein"))</f>
        <v>2+3</v>
      </c>
      <c r="BW1732" s="59" t="n">
        <f aca="false">IF(BT1732=0,0,IF(N(S1732)&gt;0,S1732,IFERROR(VLOOKUP(D1732,Parameter!$A$35:$C$64,3,0)+0,0)))</f>
        <v>0</v>
      </c>
      <c r="BX1732" s="55" t="n">
        <f aca="false">IF(AA1732&lt;&gt;"",AA1732,Z1732)</f>
        <v>3</v>
      </c>
      <c r="BY1732" s="55" t="str">
        <f aca="false">IF(BX1732=1,"L1",IF(OR(BX1732=2,BX1732=3),"L23",IF(BX1732="Aussen","Aussen","-")))</f>
        <v>L23</v>
      </c>
      <c r="BZ1732" s="66" t="n">
        <f aca="false">IF(N(AB1732)&gt;0,AB1732,0)</f>
        <v>0</v>
      </c>
      <c r="CA1732" s="60" t="n">
        <f aca="false">IF(ISNUMBER(AE1732),1,0)</f>
        <v>0</v>
      </c>
      <c r="CB1732" s="57" t="n">
        <f aca="false">N(AE1732)</f>
        <v>0</v>
      </c>
      <c r="CC1732" s="57" t="n">
        <f aca="false">N(M1732)+N(N1732)</f>
        <v>0</v>
      </c>
      <c r="CD1732" s="57" t="n">
        <f aca="false">ROUNDUP(H1732/BS1732,0)</f>
        <v>1</v>
      </c>
      <c r="CE1732" s="57" t="n">
        <f aca="false">ROUNDUP(CB1732/BS1732,0)</f>
        <v>0</v>
      </c>
      <c r="CF1732" s="60" t="n">
        <f aca="false">IF(BT1732=1,0,IFERROR(VLOOKUP(BR1732,'Gebinde-Kategorie'!$A$5:$M$45,5,0)+0,0))</f>
        <v>8</v>
      </c>
      <c r="CG1732" s="60" t="n">
        <f aca="false">IFERROR(IF(OR(BX1732=1,BX1732=2,BX1732=3),N(INDEX(Parameter!$I$5:$I$7,BX1732)),0),0)</f>
        <v>0</v>
      </c>
      <c r="CH1732" s="59" t="n">
        <f aca="false">IF(AND(Parameter!$B$21="Ja",ISNUMBER(W1732),N(X1732)&gt;0),IFERROR(N(INDEX(Parameter!$L$5:$L$7,W1732))*INDEX(Parameter!$E$5:$E$7,W1732)*X1732/SUMIFS($X$7:$X$1843,$W$7:$W$1843,W1732),0),0)</f>
        <v>0</v>
      </c>
    </row>
    <row r="1733" customFormat="false" ht="15" hidden="false" customHeight="false" outlineLevel="0" collapsed="false">
      <c r="A1733" s="55" t="s">
        <v>2997</v>
      </c>
      <c r="B1733" s="55" t="s">
        <v>2998</v>
      </c>
      <c r="C1733" s="55" t="s">
        <v>164</v>
      </c>
      <c r="D1733" s="55" t="s">
        <v>184</v>
      </c>
      <c r="E1733" s="55"/>
      <c r="F1733" s="55"/>
      <c r="G1733" s="56" t="n">
        <v>22.61</v>
      </c>
      <c r="H1733" s="57" t="n">
        <f aca="false">MAX(0,IF(AND(Parameter!$B$21="Ja",ISNUMBER(Y1733)),Y1733,IF(Parameter!$B$20="Jahresanfang 2025 + Export",BL1733+BK1733,BK1733)))</f>
        <v>5</v>
      </c>
      <c r="I1733" s="57" t="n">
        <f aca="false">H1733*G1733</f>
        <v>113.05</v>
      </c>
      <c r="J1733" s="57" t="n">
        <f aca="false">BN1733*Parameter!$B$18</f>
        <v>0</v>
      </c>
      <c r="K1733" s="58"/>
      <c r="L1733" s="59"/>
      <c r="M1733" s="57" t="n">
        <v>0</v>
      </c>
      <c r="N1733" s="57" t="n">
        <v>3</v>
      </c>
      <c r="O1733" s="60" t="n">
        <v>0</v>
      </c>
      <c r="P1733" s="55" t="s">
        <v>401</v>
      </c>
      <c r="Q1733" s="57" t="n">
        <v>10</v>
      </c>
      <c r="R1733" s="60" t="n">
        <f aca="false">IF(BT1733=1,0,IFERROR(VLOOKUP(BR1733,'Gebinde-Kategorie'!$A$5:$M$45,13,0)+0,0))</f>
        <v>414</v>
      </c>
      <c r="S1733" s="61"/>
      <c r="T1733" s="62"/>
      <c r="U1733" s="62"/>
      <c r="V1733" s="62"/>
      <c r="W1733" s="55"/>
      <c r="X1733" s="57"/>
      <c r="Y1733" s="57"/>
      <c r="Z1733" s="55" t="n">
        <f aca="false">IF(A1733="","",IF(AND(Parameter!$B$21="Ja",ISNUMBER(W1733)),W1733,IF(BV1733="2+3",IF(ISNUMBER(SEARCH("grosser Artikel",BO1733)),2,IFERROR(VLOOKUP(BR1733,Parameter!$F$35:$G$64,2,0),2)),IF(OR(BV1733="Nein",BV1733=""),"-",BV1733))))</f>
        <v>3</v>
      </c>
      <c r="AA1733" s="62"/>
      <c r="AB1733" s="63"/>
      <c r="AC1733" s="57" t="n">
        <f aca="false">AR1733</f>
        <v>10</v>
      </c>
      <c r="AD1733" s="57" t="n">
        <f aca="false">MAX(AR1733,H1733)</f>
        <v>10</v>
      </c>
      <c r="AE1733" s="64"/>
      <c r="AF1733" s="57" t="n">
        <f aca="false">IF(LEFT(Cockpit!$C$5,1)="A",H1733,IF(CA1733=1,CB1733,IF(LEFT(Cockpit!$C$5,1)="B",AJ1733,MAX(AJ1733,H1733))))</f>
        <v>5</v>
      </c>
      <c r="AG1733" s="57" t="n">
        <f aca="false">IF(BT1733=1,0,ROUNDUP(AF1733/BS1733,0))</f>
        <v>1</v>
      </c>
      <c r="AH1733" s="59" t="n">
        <f aca="false">IF(CH1733&gt;0,CH1733*MAX(1,AF1733/X1733),IF(BT1733=1,IF(AF1733&lt;=0,0,BW1733*MAX(1,IF(H1733&gt;0,AF1733/H1733,1))),IF(R1733&gt;0,AG1733/R1733,0))/MAX(0.1,N(Parameter!$M$21)))</f>
        <v>0.00241545893719807</v>
      </c>
      <c r="AI1733" s="57" t="n">
        <f aca="false">AF1733*G1733</f>
        <v>113.05</v>
      </c>
      <c r="AJ1733" s="57" t="n">
        <f aca="false">ROUNDUP(MAX(J1733/IF(BZ1733&gt;0,BZ1733,MAX(0.1,N(Cockpit!$C$6))),CC1733)/BS1733,0)*BS1733</f>
        <v>10</v>
      </c>
      <c r="AK1733" s="58" t="n">
        <f aca="false">IF(AH1733&gt;0,J1733/AH1733,-1)</f>
        <v>0</v>
      </c>
      <c r="AL1733" s="58" t="n">
        <f aca="false">IF(AND(OR(BY1733="L1",BY1733="L23"),AH1733&gt;0),SUMIFS($AH$7:$AH$1843,$BY$7:$BY$1843,BY1733,$AK$7:$AK$1843,"&gt;"&amp;AK1733)+SUMIFS($AH$7:$AH$1843,$BY$7:$BY$1843,BY1733,$AK$7:$AK$1843,AK1733,$BQ$7:$BQ$1843,"&lt;="&amp;BQ1733),"")</f>
        <v>96.8393213067126</v>
      </c>
      <c r="AM1733" s="65" t="n">
        <f aca="false">IF(AL1733="",0,MAX(0,MIN(1,(IF(BY1733="L1",Parameter!$E$5,Parameter!$E$6+Parameter!$E$7)-(AL1733-AH1733))/AH1733)))</f>
        <v>1</v>
      </c>
      <c r="AN1733" s="57" t="n">
        <f aca="false">IF(LEFT(Cockpit!$I$5,1)="A",H1733,IF(CA1733=1,CB1733,IF(LEFT(Cockpit!$I$5,1)="B",AR1733,MAX(AR1733,H1733))))</f>
        <v>10</v>
      </c>
      <c r="AO1733" s="57" t="n">
        <f aca="false">IF(BT1733=1,0,ROUNDUP(AN1733/BS1733,0))</f>
        <v>1</v>
      </c>
      <c r="AP1733" s="59" t="n">
        <f aca="false">IF(CH1733&gt;0,CH1733*MAX(1,AN1733/X1733),IF(BT1733=1,IF(AN1733&lt;=0,0,BW1733*MAX(1,IF(H1733&gt;0,AN1733/H1733,1))),IF(R1733&gt;0,AO1733/R1733,0))/MAX(0.1,N(Parameter!$M$21)))</f>
        <v>0.00241545893719807</v>
      </c>
      <c r="AQ1733" s="57" t="n">
        <f aca="false">AN1733*G1733</f>
        <v>226.1</v>
      </c>
      <c r="AR1733" s="57" t="n">
        <f aca="false">ROUNDUP(MAX(J1733/IF(BZ1733&gt;0,BZ1733,MAX(0.1,N(Cockpit!$I$6))),CC1733)/BS1733,0)*BS1733</f>
        <v>10</v>
      </c>
      <c r="AS1733" s="58" t="n">
        <f aca="false">IF(AP1733&gt;0,J1733/AP1733,-1)</f>
        <v>0</v>
      </c>
      <c r="AT1733" s="58" t="n">
        <f aca="false">IF(AND(OR(BY1733="L1",BY1733="L23"),AP1733&gt;0),SUMIFS($AP$7:$AP$1843,$BY$7:$BY$1843,BY1733,$AS$7:$AS$1843,"&gt;"&amp;AS1733)+SUMIFS($AP$7:$AP$1843,$BY$7:$BY$1843,BY1733,$AS$7:$AS$1843,AS1733,$BQ$7:$BQ$1843,"&lt;="&amp;BQ1733),"")</f>
        <v>142.199714536671</v>
      </c>
      <c r="AU1733" s="65" t="n">
        <f aca="false">IF(AT1733="",0,MAX(0,MIN(1,(IF(BY1733="L1",Parameter!$E$5,Parameter!$E$6+Parameter!$E$7)-(AT1733-AP1733))/AP1733)))</f>
        <v>0</v>
      </c>
      <c r="AV1733" s="57" t="n">
        <f aca="false">IF(LEFT(Cockpit!$O$5,1)="A",H1733,IF(CA1733=1,CB1733,IF(LEFT(Cockpit!$O$5,1)="B",AZ1733,MAX(AZ1733,H1733))))</f>
        <v>10</v>
      </c>
      <c r="AW1733" s="57" t="n">
        <f aca="false">IF(BT1733=1,0,ROUNDUP(AV1733/BS1733,0))</f>
        <v>1</v>
      </c>
      <c r="AX1733" s="59" t="n">
        <f aca="false">IF(CH1733&gt;0,CH1733*MAX(1,AV1733/X1733),IF(BT1733=1,IF(AV1733&lt;=0,0,BW1733*MAX(1,IF(H1733&gt;0,AV1733/H1733,1))),IF(R1733&gt;0,AW1733/R1733,0))/MAX(0.1,N(Parameter!$M$21)))</f>
        <v>0.00241545893719807</v>
      </c>
      <c r="AY1733" s="57" t="n">
        <f aca="false">AV1733*G1733</f>
        <v>226.1</v>
      </c>
      <c r="AZ1733" s="57" t="n">
        <f aca="false">ROUNDUP(MAX(J1733/IF(BZ1733&gt;0,BZ1733,MAX(0.1,N(Cockpit!$O$6))),CC1733)/BS1733,0)*BS1733</f>
        <v>10</v>
      </c>
      <c r="BA1733" s="58" t="n">
        <f aca="false">IF(AX1733&gt;0,J1733/AX1733,-1)</f>
        <v>0</v>
      </c>
      <c r="BB1733" s="58" t="n">
        <f aca="false">IF(AND(OR(BY1733="L1",BY1733="L23"),AX1733&gt;0),SUMIFS($AX$7:$AX$1843,$BY$7:$BY$1843,BY1733,$BA$7:$BA$1843,"&gt;"&amp;BA1733)+SUMIFS($AX$7:$AX$1843,$BY$7:$BY$1843,BY1733,$BA$7:$BA$1843,BA1733,$BQ$7:$BQ$1843,"&lt;="&amp;BQ1733),"")</f>
        <v>133.029551366508</v>
      </c>
      <c r="BC1733" s="65" t="n">
        <f aca="false">IF(BB1733="",0,MAX(0,MIN(1,(IF(BY1733="L1",Parameter!$E$5,Parameter!$E$6+Parameter!$E$7)-(BB1733-AX1733))/AX1733)))</f>
        <v>0</v>
      </c>
      <c r="BD1733" s="55" t="str">
        <f aca="false">IF(AH1733&lt;=0,"",IF(BY1733="Aussen","Aussenlager",IF(BY1733="-","Nicht im Lift",IF(AM1733&gt;=1,"Lift",IF(AM1733&lt;=0,"Aussenlager","teilweise")))))</f>
        <v>Lift</v>
      </c>
      <c r="BE1733" s="55" t="str">
        <f aca="false">IF(AP1733&lt;=0,"",IF(BY1733="Aussen","Aussenlager",IF(BY1733="-","Nicht im Lift",IF(AU1733&gt;=1,"Lift",IF(AU1733&lt;=0,"Aussenlager","teilweise")))))</f>
        <v>Aussenlager</v>
      </c>
      <c r="BF1733" s="55" t="str">
        <f aca="false">IF(AX1733&lt;=0,"",IF(BY1733="Aussen","Aussenlager",IF(BY1733="-","Nicht im Lift",IF(BC1733&gt;=1,"Lift",IF(BC1733&lt;=0,"Aussenlager","teilweise")))))</f>
        <v>Aussenlager</v>
      </c>
      <c r="BG1733" s="55" t="str">
        <f aca="false">IF(A1733="","",IF(BP1733=1,"Neu; ","")&amp;IF(AND(BP1733=0,BK1733&lt;0),"negativer Bestand (Export "&amp;BK1733&amp;"); ","")&amp;IF(J1733&lt;=0,"Kein Verbrauch; ","")&amp;IF(CH1733&gt;0,"Lift "&amp;W1733&amp;" lt. Liftbericht (Fach "&amp;X1733&amp;" Stk); ",IF(BU1733=1,"Gebinde geschätzt ("&amp;T1733&amp;"); ",IF(BT1733=1,"Lose – Tablare geschätzt; ","")))&amp;IF(H1733&gt;AR1733,"Überbestand "&amp;ROUND(H1733-AR1733,0)&amp;" Stk / CHF "&amp;ROUND((H1733-AR1733)*G1733,0)&amp;"; ","")&amp;IF(AND(CA1733=1,CB1733&lt;CC1733),"MAX &lt; MB+LG; ","")&amp;IF(AND(CG1733&gt;0,CF1733*10&gt;CG1733),"zu hoch für Tablar; ","")&amp;IF(AND(BP1733=0,OR(CA1733=1,AA1733&lt;&gt;"",U1733&lt;&gt;"",V1733&lt;&gt;"",AB1733&lt;&gt;"")),"manuell übersteuert; ","")&amp;IF(AND(BT1733=0,R1733=0),"Gebinde unbekannt / Stellmass fehlt; ","")&amp;IF(AND(BT1733=0,N(V1733)&lt;=0,N(Q1733)&lt;=0),"Menge pro Gebinde fehlt (Ist = 1 Gebinde); ","")&amp;BO1733)</f>
        <v>Kein Verbrauch; nur im Artikelstamm (Bestand 23.06.2026); Verb.Lager</v>
      </c>
      <c r="BH1733" s="55"/>
      <c r="BI1733" s="55"/>
      <c r="BJ1733" s="62"/>
      <c r="BK1733" s="57" t="n">
        <v>5</v>
      </c>
      <c r="BL1733" s="57" t="n">
        <v>0</v>
      </c>
      <c r="BM1733" s="56" t="n">
        <v>0</v>
      </c>
      <c r="BN1733" s="57" t="n">
        <v>0</v>
      </c>
      <c r="BO1733" s="55" t="s">
        <v>2569</v>
      </c>
      <c r="BP1733" s="60" t="n">
        <v>0</v>
      </c>
      <c r="BQ1733" s="60" t="n">
        <v>1733</v>
      </c>
      <c r="BR1733" s="55" t="str">
        <f aca="false">IF(U1733&lt;&gt;"",UPPER(TRIM(U1733)),IF(BU1733=1,UPPER(VLOOKUP(T1733,Parameter!$I$27:$K$29,2,0)),IF(P1733="","LOSE",P1733)))</f>
        <v>S21</v>
      </c>
      <c r="BS1733" s="57" t="n">
        <f aca="false">IF(BR1733="LOSE",1,IF(N(V1733)&gt;0,V1733,IF(BU1733=1,MAX(1,N(VLOOKUP(T1733,Parameter!$I$27:$K$29,3,0)),H1733,N(N1733)),IF(N(Q1733)&gt;0,Q1733,MAX(1,H1733)))))</f>
        <v>10</v>
      </c>
      <c r="BT1733" s="60" t="n">
        <f aca="false">IF(BR1733="LOSE",1,0)</f>
        <v>0</v>
      </c>
      <c r="BU1733" s="60" t="n">
        <f aca="false">IF(AND(U1733="",OR(P1733="",P1733="LOSE"),T1733&lt;&gt;"",N(S1733)&lt;=0,ISNUMBER(MATCH(T1733,Parameter!$I$27:$I$29,0))),1,0)</f>
        <v>0</v>
      </c>
      <c r="BV1733" s="55" t="str">
        <f aca="false">IF(AND(Parameter!$B$19="Ja",E1733&lt;&gt;"",ISNUMBER(MATCH(E1733,Parameter!$I$35:$I$52,0))),VLOOKUP(E1733,Parameter!$I$35:$J$52,2,0),IFERROR(VLOOKUP(D1733,Parameter!$A$35:$C$64,2,0),"Nein"))</f>
        <v>2+3</v>
      </c>
      <c r="BW1733" s="59" t="n">
        <f aca="false">IF(BT1733=0,0,IF(N(S1733)&gt;0,S1733,IFERROR(VLOOKUP(D1733,Parameter!$A$35:$C$64,3,0)+0,0)))</f>
        <v>0</v>
      </c>
      <c r="BX1733" s="55" t="n">
        <f aca="false">IF(AA1733&lt;&gt;"",AA1733,Z1733)</f>
        <v>3</v>
      </c>
      <c r="BY1733" s="55" t="str">
        <f aca="false">IF(BX1733=1,"L1",IF(OR(BX1733=2,BX1733=3),"L23",IF(BX1733="Aussen","Aussen","-")))</f>
        <v>L23</v>
      </c>
      <c r="BZ1733" s="66" t="n">
        <f aca="false">IF(N(AB1733)&gt;0,AB1733,0)</f>
        <v>0</v>
      </c>
      <c r="CA1733" s="60" t="n">
        <f aca="false">IF(ISNUMBER(AE1733),1,0)</f>
        <v>0</v>
      </c>
      <c r="CB1733" s="57" t="n">
        <f aca="false">N(AE1733)</f>
        <v>0</v>
      </c>
      <c r="CC1733" s="57" t="n">
        <f aca="false">N(M1733)+N(N1733)</f>
        <v>3</v>
      </c>
      <c r="CD1733" s="57" t="n">
        <f aca="false">ROUNDUP(H1733/BS1733,0)</f>
        <v>1</v>
      </c>
      <c r="CE1733" s="57" t="n">
        <f aca="false">ROUNDUP(CB1733/BS1733,0)</f>
        <v>0</v>
      </c>
      <c r="CF1733" s="60" t="n">
        <f aca="false">IF(BT1733=1,0,IFERROR(VLOOKUP(BR1733,'Gebinde-Kategorie'!$A$5:$M$45,5,0)+0,0))</f>
        <v>8</v>
      </c>
      <c r="CG1733" s="60" t="n">
        <f aca="false">IFERROR(IF(OR(BX1733=1,BX1733=2,BX1733=3),N(INDEX(Parameter!$I$5:$I$7,BX1733)),0),0)</f>
        <v>0</v>
      </c>
      <c r="CH1733" s="59" t="n">
        <f aca="false">IF(AND(Parameter!$B$21="Ja",ISNUMBER(W1733),N(X1733)&gt;0),IFERROR(N(INDEX(Parameter!$L$5:$L$7,W1733))*INDEX(Parameter!$E$5:$E$7,W1733)*X1733/SUMIFS($X$7:$X$1843,$W$7:$W$1843,W1733),0),0)</f>
        <v>0</v>
      </c>
    </row>
    <row r="1734" customFormat="false" ht="15" hidden="false" customHeight="false" outlineLevel="0" collapsed="false">
      <c r="A1734" s="55" t="s">
        <v>2999</v>
      </c>
      <c r="B1734" s="55" t="s">
        <v>3000</v>
      </c>
      <c r="C1734" s="55" t="s">
        <v>164</v>
      </c>
      <c r="D1734" s="55" t="s">
        <v>184</v>
      </c>
      <c r="E1734" s="55"/>
      <c r="F1734" s="55"/>
      <c r="G1734" s="56" t="n">
        <v>2.2</v>
      </c>
      <c r="H1734" s="57" t="n">
        <f aca="false">MAX(0,IF(AND(Parameter!$B$21="Ja",ISNUMBER(Y1734)),Y1734,IF(Parameter!$B$20="Jahresanfang 2025 + Export",BL1734+BK1734,BK1734)))</f>
        <v>10</v>
      </c>
      <c r="I1734" s="57" t="n">
        <f aca="false">H1734*G1734</f>
        <v>22</v>
      </c>
      <c r="J1734" s="57" t="n">
        <f aca="false">BN1734*Parameter!$B$18</f>
        <v>0</v>
      </c>
      <c r="K1734" s="58"/>
      <c r="L1734" s="59"/>
      <c r="M1734" s="57" t="n">
        <v>0</v>
      </c>
      <c r="N1734" s="57" t="n">
        <v>1</v>
      </c>
      <c r="O1734" s="60" t="n">
        <v>28</v>
      </c>
      <c r="P1734" s="55" t="s">
        <v>401</v>
      </c>
      <c r="Q1734" s="57" t="n">
        <v>10</v>
      </c>
      <c r="R1734" s="60" t="n">
        <f aca="false">IF(BT1734=1,0,IFERROR(VLOOKUP(BR1734,'Gebinde-Kategorie'!$A$5:$M$45,13,0)+0,0))</f>
        <v>414</v>
      </c>
      <c r="S1734" s="61"/>
      <c r="T1734" s="62"/>
      <c r="U1734" s="62"/>
      <c r="V1734" s="62"/>
      <c r="W1734" s="55"/>
      <c r="X1734" s="57"/>
      <c r="Y1734" s="57"/>
      <c r="Z1734" s="55" t="n">
        <f aca="false">IF(A1734="","",IF(AND(Parameter!$B$21="Ja",ISNUMBER(W1734)),W1734,IF(BV1734="2+3",IF(ISNUMBER(SEARCH("grosser Artikel",BO1734)),2,IFERROR(VLOOKUP(BR1734,Parameter!$F$35:$G$64,2,0),2)),IF(OR(BV1734="Nein",BV1734=""),"-",BV1734))))</f>
        <v>3</v>
      </c>
      <c r="AA1734" s="62"/>
      <c r="AB1734" s="63"/>
      <c r="AC1734" s="57" t="n">
        <f aca="false">AR1734</f>
        <v>10</v>
      </c>
      <c r="AD1734" s="57" t="n">
        <f aca="false">MAX(AR1734,H1734)</f>
        <v>10</v>
      </c>
      <c r="AE1734" s="64"/>
      <c r="AF1734" s="57" t="n">
        <f aca="false">IF(LEFT(Cockpit!$C$5,1)="A",H1734,IF(CA1734=1,CB1734,IF(LEFT(Cockpit!$C$5,1)="B",AJ1734,MAX(AJ1734,H1734))))</f>
        <v>10</v>
      </c>
      <c r="AG1734" s="57" t="n">
        <f aca="false">IF(BT1734=1,0,ROUNDUP(AF1734/BS1734,0))</f>
        <v>1</v>
      </c>
      <c r="AH1734" s="59" t="n">
        <f aca="false">IF(CH1734&gt;0,CH1734*MAX(1,AF1734/X1734),IF(BT1734=1,IF(AF1734&lt;=0,0,BW1734*MAX(1,IF(H1734&gt;0,AF1734/H1734,1))),IF(R1734&gt;0,AG1734/R1734,0))/MAX(0.1,N(Parameter!$M$21)))</f>
        <v>0.00241545893719807</v>
      </c>
      <c r="AI1734" s="57" t="n">
        <f aca="false">AF1734*G1734</f>
        <v>22</v>
      </c>
      <c r="AJ1734" s="57" t="n">
        <f aca="false">ROUNDUP(MAX(J1734/IF(BZ1734&gt;0,BZ1734,MAX(0.1,N(Cockpit!$C$6))),CC1734)/BS1734,0)*BS1734</f>
        <v>10</v>
      </c>
      <c r="AK1734" s="58" t="n">
        <f aca="false">IF(AH1734&gt;0,J1734/AH1734,-1)</f>
        <v>0</v>
      </c>
      <c r="AL1734" s="58" t="n">
        <f aca="false">IF(AND(OR(BY1734="L1",BY1734="L23"),AH1734&gt;0),SUMIFS($AH$7:$AH$1843,$BY$7:$BY$1843,BY1734,$AK$7:$AK$1843,"&gt;"&amp;AK1734)+SUMIFS($AH$7:$AH$1843,$BY$7:$BY$1843,BY1734,$AK$7:$AK$1843,AK1734,$BQ$7:$BQ$1843,"&lt;="&amp;BQ1734),"")</f>
        <v>96.8417367656498</v>
      </c>
      <c r="AM1734" s="65" t="n">
        <f aca="false">IF(AL1734="",0,MAX(0,MIN(1,(IF(BY1734="L1",Parameter!$E$5,Parameter!$E$6+Parameter!$E$7)-(AL1734-AH1734))/AH1734)))</f>
        <v>1</v>
      </c>
      <c r="AN1734" s="57" t="n">
        <f aca="false">IF(LEFT(Cockpit!$I$5,1)="A",H1734,IF(CA1734=1,CB1734,IF(LEFT(Cockpit!$I$5,1)="B",AR1734,MAX(AR1734,H1734))))</f>
        <v>10</v>
      </c>
      <c r="AO1734" s="57" t="n">
        <f aca="false">IF(BT1734=1,0,ROUNDUP(AN1734/BS1734,0))</f>
        <v>1</v>
      </c>
      <c r="AP1734" s="59" t="n">
        <f aca="false">IF(CH1734&gt;0,CH1734*MAX(1,AN1734/X1734),IF(BT1734=1,IF(AN1734&lt;=0,0,BW1734*MAX(1,IF(H1734&gt;0,AN1734/H1734,1))),IF(R1734&gt;0,AO1734/R1734,0))/MAX(0.1,N(Parameter!$M$21)))</f>
        <v>0.00241545893719807</v>
      </c>
      <c r="AQ1734" s="57" t="n">
        <f aca="false">AN1734*G1734</f>
        <v>22</v>
      </c>
      <c r="AR1734" s="57" t="n">
        <f aca="false">ROUNDUP(MAX(J1734/IF(BZ1734&gt;0,BZ1734,MAX(0.1,N(Cockpit!$I$6))),CC1734)/BS1734,0)*BS1734</f>
        <v>10</v>
      </c>
      <c r="AS1734" s="58" t="n">
        <f aca="false">IF(AP1734&gt;0,J1734/AP1734,-1)</f>
        <v>0</v>
      </c>
      <c r="AT1734" s="58" t="n">
        <f aca="false">IF(AND(OR(BY1734="L1",BY1734="L23"),AP1734&gt;0),SUMIFS($AP$7:$AP$1843,$BY$7:$BY$1843,BY1734,$AS$7:$AS$1843,"&gt;"&amp;AS1734)+SUMIFS($AP$7:$AP$1843,$BY$7:$BY$1843,BY1734,$AS$7:$AS$1843,AS1734,$BQ$7:$BQ$1843,"&lt;="&amp;BQ1734),"")</f>
        <v>142.202129995608</v>
      </c>
      <c r="AU1734" s="65" t="n">
        <f aca="false">IF(AT1734="",0,MAX(0,MIN(1,(IF(BY1734="L1",Parameter!$E$5,Parameter!$E$6+Parameter!$E$7)-(AT1734-AP1734))/AP1734)))</f>
        <v>0</v>
      </c>
      <c r="AV1734" s="57" t="n">
        <f aca="false">IF(LEFT(Cockpit!$O$5,1)="A",H1734,IF(CA1734=1,CB1734,IF(LEFT(Cockpit!$O$5,1)="B",AZ1734,MAX(AZ1734,H1734))))</f>
        <v>10</v>
      </c>
      <c r="AW1734" s="57" t="n">
        <f aca="false">IF(BT1734=1,0,ROUNDUP(AV1734/BS1734,0))</f>
        <v>1</v>
      </c>
      <c r="AX1734" s="59" t="n">
        <f aca="false">IF(CH1734&gt;0,CH1734*MAX(1,AV1734/X1734),IF(BT1734=1,IF(AV1734&lt;=0,0,BW1734*MAX(1,IF(H1734&gt;0,AV1734/H1734,1))),IF(R1734&gt;0,AW1734/R1734,0))/MAX(0.1,N(Parameter!$M$21)))</f>
        <v>0.00241545893719807</v>
      </c>
      <c r="AY1734" s="57" t="n">
        <f aca="false">AV1734*G1734</f>
        <v>22</v>
      </c>
      <c r="AZ1734" s="57" t="n">
        <f aca="false">ROUNDUP(MAX(J1734/IF(BZ1734&gt;0,BZ1734,MAX(0.1,N(Cockpit!$O$6))),CC1734)/BS1734,0)*BS1734</f>
        <v>10</v>
      </c>
      <c r="BA1734" s="58" t="n">
        <f aca="false">IF(AX1734&gt;0,J1734/AX1734,-1)</f>
        <v>0</v>
      </c>
      <c r="BB1734" s="58" t="n">
        <f aca="false">IF(AND(OR(BY1734="L1",BY1734="L23"),AX1734&gt;0),SUMIFS($AX$7:$AX$1843,$BY$7:$BY$1843,BY1734,$BA$7:$BA$1843,"&gt;"&amp;BA1734)+SUMIFS($AX$7:$AX$1843,$BY$7:$BY$1843,BY1734,$BA$7:$BA$1843,BA1734,$BQ$7:$BQ$1843,"&lt;="&amp;BQ1734),"")</f>
        <v>133.031966825445</v>
      </c>
      <c r="BC1734" s="65" t="n">
        <f aca="false">IF(BB1734="",0,MAX(0,MIN(1,(IF(BY1734="L1",Parameter!$E$5,Parameter!$E$6+Parameter!$E$7)-(BB1734-AX1734))/AX1734)))</f>
        <v>0</v>
      </c>
      <c r="BD1734" s="55" t="str">
        <f aca="false">IF(AH1734&lt;=0,"",IF(BY1734="Aussen","Aussenlager",IF(BY1734="-","Nicht im Lift",IF(AM1734&gt;=1,"Lift",IF(AM1734&lt;=0,"Aussenlager","teilweise")))))</f>
        <v>Lift</v>
      </c>
      <c r="BE1734" s="55" t="str">
        <f aca="false">IF(AP1734&lt;=0,"",IF(BY1734="Aussen","Aussenlager",IF(BY1734="-","Nicht im Lift",IF(AU1734&gt;=1,"Lift",IF(AU1734&lt;=0,"Aussenlager","teilweise")))))</f>
        <v>Aussenlager</v>
      </c>
      <c r="BF1734" s="55" t="str">
        <f aca="false">IF(AX1734&lt;=0,"",IF(BY1734="Aussen","Aussenlager",IF(BY1734="-","Nicht im Lift",IF(BC1734&gt;=1,"Lift",IF(BC1734&lt;=0,"Aussenlager","teilweise")))))</f>
        <v>Aussenlager</v>
      </c>
      <c r="BG1734" s="55" t="str">
        <f aca="false">IF(A1734="","",IF(BP1734=1,"Neu; ","")&amp;IF(AND(BP1734=0,BK1734&lt;0),"negativer Bestand (Export "&amp;BK1734&amp;"); ","")&amp;IF(J1734&lt;=0,"Kein Verbrauch; ","")&amp;IF(CH1734&gt;0,"Lift "&amp;W1734&amp;" lt. Liftbericht (Fach "&amp;X1734&amp;" Stk); ",IF(BU1734=1,"Gebinde geschätzt ("&amp;T1734&amp;"); ",IF(BT1734=1,"Lose – Tablare geschätzt; ","")))&amp;IF(H1734&gt;AR1734,"Überbestand "&amp;ROUND(H1734-AR1734,0)&amp;" Stk / CHF "&amp;ROUND((H1734-AR1734)*G1734,0)&amp;"; ","")&amp;IF(AND(CA1734=1,CB1734&lt;CC1734),"MAX &lt; MB+LG; ","")&amp;IF(AND(CG1734&gt;0,CF1734*10&gt;CG1734),"zu hoch für Tablar; ","")&amp;IF(AND(BP1734=0,OR(CA1734=1,AA1734&lt;&gt;"",U1734&lt;&gt;"",V1734&lt;&gt;"",AB1734&lt;&gt;"")),"manuell übersteuert; ","")&amp;IF(AND(BT1734=0,R1734=0),"Gebinde unbekannt / Stellmass fehlt; ","")&amp;IF(AND(BT1734=0,N(V1734)&lt;=0,N(Q1734)&lt;=0),"Menge pro Gebinde fehlt (Ist = 1 Gebinde); ","")&amp;BO1734)</f>
        <v>Kein Verbrauch; nur im Artikelstamm (Bestand 23.06.2026)</v>
      </c>
      <c r="BH1734" s="55"/>
      <c r="BI1734" s="55"/>
      <c r="BJ1734" s="62"/>
      <c r="BK1734" s="57" t="n">
        <v>10</v>
      </c>
      <c r="BL1734" s="57" t="n">
        <v>0</v>
      </c>
      <c r="BM1734" s="56" t="n">
        <v>0</v>
      </c>
      <c r="BN1734" s="57" t="n">
        <v>0</v>
      </c>
      <c r="BO1734" s="55" t="s">
        <v>2575</v>
      </c>
      <c r="BP1734" s="60" t="n">
        <v>0</v>
      </c>
      <c r="BQ1734" s="60" t="n">
        <v>1734</v>
      </c>
      <c r="BR1734" s="55" t="str">
        <f aca="false">IF(U1734&lt;&gt;"",UPPER(TRIM(U1734)),IF(BU1734=1,UPPER(VLOOKUP(T1734,Parameter!$I$27:$K$29,2,0)),IF(P1734="","LOSE",P1734)))</f>
        <v>S21</v>
      </c>
      <c r="BS1734" s="57" t="n">
        <f aca="false">IF(BR1734="LOSE",1,IF(N(V1734)&gt;0,V1734,IF(BU1734=1,MAX(1,N(VLOOKUP(T1734,Parameter!$I$27:$K$29,3,0)),H1734,N(N1734)),IF(N(Q1734)&gt;0,Q1734,MAX(1,H1734)))))</f>
        <v>10</v>
      </c>
      <c r="BT1734" s="60" t="n">
        <f aca="false">IF(BR1734="LOSE",1,0)</f>
        <v>0</v>
      </c>
      <c r="BU1734" s="60" t="n">
        <f aca="false">IF(AND(U1734="",OR(P1734="",P1734="LOSE"),T1734&lt;&gt;"",N(S1734)&lt;=0,ISNUMBER(MATCH(T1734,Parameter!$I$27:$I$29,0))),1,0)</f>
        <v>0</v>
      </c>
      <c r="BV1734" s="55" t="str">
        <f aca="false">IF(AND(Parameter!$B$19="Ja",E1734&lt;&gt;"",ISNUMBER(MATCH(E1734,Parameter!$I$35:$I$52,0))),VLOOKUP(E1734,Parameter!$I$35:$J$52,2,0),IFERROR(VLOOKUP(D1734,Parameter!$A$35:$C$64,2,0),"Nein"))</f>
        <v>2+3</v>
      </c>
      <c r="BW1734" s="59" t="n">
        <f aca="false">IF(BT1734=0,0,IF(N(S1734)&gt;0,S1734,IFERROR(VLOOKUP(D1734,Parameter!$A$35:$C$64,3,0)+0,0)))</f>
        <v>0</v>
      </c>
      <c r="BX1734" s="55" t="n">
        <f aca="false">IF(AA1734&lt;&gt;"",AA1734,Z1734)</f>
        <v>3</v>
      </c>
      <c r="BY1734" s="55" t="str">
        <f aca="false">IF(BX1734=1,"L1",IF(OR(BX1734=2,BX1734=3),"L23",IF(BX1734="Aussen","Aussen","-")))</f>
        <v>L23</v>
      </c>
      <c r="BZ1734" s="66" t="n">
        <f aca="false">IF(N(AB1734)&gt;0,AB1734,0)</f>
        <v>0</v>
      </c>
      <c r="CA1734" s="60" t="n">
        <f aca="false">IF(ISNUMBER(AE1734),1,0)</f>
        <v>0</v>
      </c>
      <c r="CB1734" s="57" t="n">
        <f aca="false">N(AE1734)</f>
        <v>0</v>
      </c>
      <c r="CC1734" s="57" t="n">
        <f aca="false">N(M1734)+N(N1734)</f>
        <v>1</v>
      </c>
      <c r="CD1734" s="57" t="n">
        <f aca="false">ROUNDUP(H1734/BS1734,0)</f>
        <v>1</v>
      </c>
      <c r="CE1734" s="57" t="n">
        <f aca="false">ROUNDUP(CB1734/BS1734,0)</f>
        <v>0</v>
      </c>
      <c r="CF1734" s="60" t="n">
        <f aca="false">IF(BT1734=1,0,IFERROR(VLOOKUP(BR1734,'Gebinde-Kategorie'!$A$5:$M$45,5,0)+0,0))</f>
        <v>8</v>
      </c>
      <c r="CG1734" s="60" t="n">
        <f aca="false">IFERROR(IF(OR(BX1734=1,BX1734=2,BX1734=3),N(INDEX(Parameter!$I$5:$I$7,BX1734)),0),0)</f>
        <v>0</v>
      </c>
      <c r="CH1734" s="59" t="n">
        <f aca="false">IF(AND(Parameter!$B$21="Ja",ISNUMBER(W1734),N(X1734)&gt;0),IFERROR(N(INDEX(Parameter!$L$5:$L$7,W1734))*INDEX(Parameter!$E$5:$E$7,W1734)*X1734/SUMIFS($X$7:$X$1843,$W$7:$W$1843,W1734),0),0)</f>
        <v>0</v>
      </c>
    </row>
    <row r="1735" customFormat="false" ht="15" hidden="false" customHeight="false" outlineLevel="0" collapsed="false">
      <c r="A1735" s="55" t="s">
        <v>3001</v>
      </c>
      <c r="B1735" s="55" t="s">
        <v>1877</v>
      </c>
      <c r="C1735" s="55" t="s">
        <v>164</v>
      </c>
      <c r="D1735" s="55" t="s">
        <v>184</v>
      </c>
      <c r="E1735" s="55"/>
      <c r="F1735" s="55"/>
      <c r="G1735" s="56" t="n">
        <v>24.29</v>
      </c>
      <c r="H1735" s="57" t="n">
        <f aca="false">MAX(0,IF(AND(Parameter!$B$21="Ja",ISNUMBER(Y1735)),Y1735,IF(Parameter!$B$20="Jahresanfang 2025 + Export",BL1735+BK1735,BK1735)))</f>
        <v>4</v>
      </c>
      <c r="I1735" s="57" t="n">
        <f aca="false">H1735*G1735</f>
        <v>97.16</v>
      </c>
      <c r="J1735" s="57" t="n">
        <f aca="false">BN1735*Parameter!$B$18</f>
        <v>0</v>
      </c>
      <c r="K1735" s="58"/>
      <c r="L1735" s="59"/>
      <c r="M1735" s="57" t="n">
        <v>0</v>
      </c>
      <c r="N1735" s="57" t="n">
        <v>5</v>
      </c>
      <c r="O1735" s="60" t="n">
        <v>14</v>
      </c>
      <c r="P1735" s="55" t="s">
        <v>426</v>
      </c>
      <c r="Q1735" s="57" t="n">
        <v>8</v>
      </c>
      <c r="R1735" s="60" t="n">
        <f aca="false">IF(BT1735=1,0,IFERROR(VLOOKUP(BR1735,'Gebinde-Kategorie'!$A$5:$M$45,13,0)+0,0))</f>
        <v>198</v>
      </c>
      <c r="S1735" s="61"/>
      <c r="T1735" s="62"/>
      <c r="U1735" s="62"/>
      <c r="V1735" s="62"/>
      <c r="W1735" s="55"/>
      <c r="X1735" s="57"/>
      <c r="Y1735" s="57"/>
      <c r="Z1735" s="55" t="n">
        <f aca="false">IF(A1735="","",IF(AND(Parameter!$B$21="Ja",ISNUMBER(W1735)),W1735,IF(BV1735="2+3",IF(ISNUMBER(SEARCH("grosser Artikel",BO1735)),2,IFERROR(VLOOKUP(BR1735,Parameter!$F$35:$G$64,2,0),2)),IF(OR(BV1735="Nein",BV1735=""),"-",BV1735))))</f>
        <v>3</v>
      </c>
      <c r="AA1735" s="62"/>
      <c r="AB1735" s="63"/>
      <c r="AC1735" s="57" t="n">
        <f aca="false">AR1735</f>
        <v>8</v>
      </c>
      <c r="AD1735" s="57" t="n">
        <f aca="false">MAX(AR1735,H1735)</f>
        <v>8</v>
      </c>
      <c r="AE1735" s="64"/>
      <c r="AF1735" s="57" t="n">
        <f aca="false">IF(LEFT(Cockpit!$C$5,1)="A",H1735,IF(CA1735=1,CB1735,IF(LEFT(Cockpit!$C$5,1)="B",AJ1735,MAX(AJ1735,H1735))))</f>
        <v>4</v>
      </c>
      <c r="AG1735" s="57" t="n">
        <f aca="false">IF(BT1735=1,0,ROUNDUP(AF1735/BS1735,0))</f>
        <v>1</v>
      </c>
      <c r="AH1735" s="59" t="n">
        <f aca="false">IF(CH1735&gt;0,CH1735*MAX(1,AF1735/X1735),IF(BT1735=1,IF(AF1735&lt;=0,0,BW1735*MAX(1,IF(H1735&gt;0,AF1735/H1735,1))),IF(R1735&gt;0,AG1735/R1735,0))/MAX(0.1,N(Parameter!$M$21)))</f>
        <v>0.00505050505050505</v>
      </c>
      <c r="AI1735" s="57" t="n">
        <f aca="false">AF1735*G1735</f>
        <v>97.16</v>
      </c>
      <c r="AJ1735" s="57" t="n">
        <f aca="false">ROUNDUP(MAX(J1735/IF(BZ1735&gt;0,BZ1735,MAX(0.1,N(Cockpit!$C$6))),CC1735)/BS1735,0)*BS1735</f>
        <v>8</v>
      </c>
      <c r="AK1735" s="58" t="n">
        <f aca="false">IF(AH1735&gt;0,J1735/AH1735,-1)</f>
        <v>0</v>
      </c>
      <c r="AL1735" s="58" t="n">
        <f aca="false">IF(AND(OR(BY1735="L1",BY1735="L23"),AH1735&gt;0),SUMIFS($AH$7:$AH$1843,$BY$7:$BY$1843,BY1735,$AK$7:$AK$1843,"&gt;"&amp;AK1735)+SUMIFS($AH$7:$AH$1843,$BY$7:$BY$1843,BY1735,$AK$7:$AK$1843,AK1735,$BQ$7:$BQ$1843,"&lt;="&amp;BQ1735),"")</f>
        <v>96.8467872707003</v>
      </c>
      <c r="AM1735" s="65" t="n">
        <f aca="false">IF(AL1735="",0,MAX(0,MIN(1,(IF(BY1735="L1",Parameter!$E$5,Parameter!$E$6+Parameter!$E$7)-(AL1735-AH1735))/AH1735)))</f>
        <v>1</v>
      </c>
      <c r="AN1735" s="57" t="n">
        <f aca="false">IF(LEFT(Cockpit!$I$5,1)="A",H1735,IF(CA1735=1,CB1735,IF(LEFT(Cockpit!$I$5,1)="B",AR1735,MAX(AR1735,H1735))))</f>
        <v>8</v>
      </c>
      <c r="AO1735" s="57" t="n">
        <f aca="false">IF(BT1735=1,0,ROUNDUP(AN1735/BS1735,0))</f>
        <v>1</v>
      </c>
      <c r="AP1735" s="59" t="n">
        <f aca="false">IF(CH1735&gt;0,CH1735*MAX(1,AN1735/X1735),IF(BT1735=1,IF(AN1735&lt;=0,0,BW1735*MAX(1,IF(H1735&gt;0,AN1735/H1735,1))),IF(R1735&gt;0,AO1735/R1735,0))/MAX(0.1,N(Parameter!$M$21)))</f>
        <v>0.00505050505050505</v>
      </c>
      <c r="AQ1735" s="57" t="n">
        <f aca="false">AN1735*G1735</f>
        <v>194.32</v>
      </c>
      <c r="AR1735" s="57" t="n">
        <f aca="false">ROUNDUP(MAX(J1735/IF(BZ1735&gt;0,BZ1735,MAX(0.1,N(Cockpit!$I$6))),CC1735)/BS1735,0)*BS1735</f>
        <v>8</v>
      </c>
      <c r="AS1735" s="58" t="n">
        <f aca="false">IF(AP1735&gt;0,J1735/AP1735,-1)</f>
        <v>0</v>
      </c>
      <c r="AT1735" s="58" t="n">
        <f aca="false">IF(AND(OR(BY1735="L1",BY1735="L23"),AP1735&gt;0),SUMIFS($AP$7:$AP$1843,$BY$7:$BY$1843,BY1735,$AS$7:$AS$1843,"&gt;"&amp;AS1735)+SUMIFS($AP$7:$AP$1843,$BY$7:$BY$1843,BY1735,$AS$7:$AS$1843,AS1735,$BQ$7:$BQ$1843,"&lt;="&amp;BQ1735),"")</f>
        <v>142.207180500659</v>
      </c>
      <c r="AU1735" s="65" t="n">
        <f aca="false">IF(AT1735="",0,MAX(0,MIN(1,(IF(BY1735="L1",Parameter!$E$5,Parameter!$E$6+Parameter!$E$7)-(AT1735-AP1735))/AP1735)))</f>
        <v>0</v>
      </c>
      <c r="AV1735" s="57" t="n">
        <f aca="false">IF(LEFT(Cockpit!$O$5,1)="A",H1735,IF(CA1735=1,CB1735,IF(LEFT(Cockpit!$O$5,1)="B",AZ1735,MAX(AZ1735,H1735))))</f>
        <v>8</v>
      </c>
      <c r="AW1735" s="57" t="n">
        <f aca="false">IF(BT1735=1,0,ROUNDUP(AV1735/BS1735,0))</f>
        <v>1</v>
      </c>
      <c r="AX1735" s="59" t="n">
        <f aca="false">IF(CH1735&gt;0,CH1735*MAX(1,AV1735/X1735),IF(BT1735=1,IF(AV1735&lt;=0,0,BW1735*MAX(1,IF(H1735&gt;0,AV1735/H1735,1))),IF(R1735&gt;0,AW1735/R1735,0))/MAX(0.1,N(Parameter!$M$21)))</f>
        <v>0.00505050505050505</v>
      </c>
      <c r="AY1735" s="57" t="n">
        <f aca="false">AV1735*G1735</f>
        <v>194.32</v>
      </c>
      <c r="AZ1735" s="57" t="n">
        <f aca="false">ROUNDUP(MAX(J1735/IF(BZ1735&gt;0,BZ1735,MAX(0.1,N(Cockpit!$O$6))),CC1735)/BS1735,0)*BS1735</f>
        <v>8</v>
      </c>
      <c r="BA1735" s="58" t="n">
        <f aca="false">IF(AX1735&gt;0,J1735/AX1735,-1)</f>
        <v>0</v>
      </c>
      <c r="BB1735" s="58" t="n">
        <f aca="false">IF(AND(OR(BY1735="L1",BY1735="L23"),AX1735&gt;0),SUMIFS($AX$7:$AX$1843,$BY$7:$BY$1843,BY1735,$BA$7:$BA$1843,"&gt;"&amp;BA1735)+SUMIFS($AX$7:$AX$1843,$BY$7:$BY$1843,BY1735,$BA$7:$BA$1843,BA1735,$BQ$7:$BQ$1843,"&lt;="&amp;BQ1735),"")</f>
        <v>133.037017330496</v>
      </c>
      <c r="BC1735" s="65" t="n">
        <f aca="false">IF(BB1735="",0,MAX(0,MIN(1,(IF(BY1735="L1",Parameter!$E$5,Parameter!$E$6+Parameter!$E$7)-(BB1735-AX1735))/AX1735)))</f>
        <v>0</v>
      </c>
      <c r="BD1735" s="55" t="str">
        <f aca="false">IF(AH1735&lt;=0,"",IF(BY1735="Aussen","Aussenlager",IF(BY1735="-","Nicht im Lift",IF(AM1735&gt;=1,"Lift",IF(AM1735&lt;=0,"Aussenlager","teilweise")))))</f>
        <v>Lift</v>
      </c>
      <c r="BE1735" s="55" t="str">
        <f aca="false">IF(AP1735&lt;=0,"",IF(BY1735="Aussen","Aussenlager",IF(BY1735="-","Nicht im Lift",IF(AU1735&gt;=1,"Lift",IF(AU1735&lt;=0,"Aussenlager","teilweise")))))</f>
        <v>Aussenlager</v>
      </c>
      <c r="BF1735" s="55" t="str">
        <f aca="false">IF(AX1735&lt;=0,"",IF(BY1735="Aussen","Aussenlager",IF(BY1735="-","Nicht im Lift",IF(BC1735&gt;=1,"Lift",IF(BC1735&lt;=0,"Aussenlager","teilweise")))))</f>
        <v>Aussenlager</v>
      </c>
      <c r="BG1735" s="55" t="str">
        <f aca="false">IF(A1735="","",IF(BP1735=1,"Neu; ","")&amp;IF(AND(BP1735=0,BK1735&lt;0),"negativer Bestand (Export "&amp;BK1735&amp;"); ","")&amp;IF(J1735&lt;=0,"Kein Verbrauch; ","")&amp;IF(CH1735&gt;0,"Lift "&amp;W1735&amp;" lt. Liftbericht (Fach "&amp;X1735&amp;" Stk); ",IF(BU1735=1,"Gebinde geschätzt ("&amp;T1735&amp;"); ",IF(BT1735=1,"Lose – Tablare geschätzt; ","")))&amp;IF(H1735&gt;AR1735,"Überbestand "&amp;ROUND(H1735-AR1735,0)&amp;" Stk / CHF "&amp;ROUND((H1735-AR1735)*G1735,0)&amp;"; ","")&amp;IF(AND(CA1735=1,CB1735&lt;CC1735),"MAX &lt; MB+LG; ","")&amp;IF(AND(CG1735&gt;0,CF1735*10&gt;CG1735),"zu hoch für Tablar; ","")&amp;IF(AND(BP1735=0,OR(CA1735=1,AA1735&lt;&gt;"",U1735&lt;&gt;"",V1735&lt;&gt;"",AB1735&lt;&gt;"")),"manuell übersteuert; ","")&amp;IF(AND(BT1735=0,R1735=0),"Gebinde unbekannt / Stellmass fehlt; ","")&amp;IF(AND(BT1735=0,N(V1735)&lt;=0,N(Q1735)&lt;=0),"Menge pro Gebinde fehlt (Ist = 1 Gebinde); ","")&amp;BO1735)</f>
        <v>Kein Verbrauch; nur im Artikelstamm (Bestand 23.06.2026); Verb.Lager</v>
      </c>
      <c r="BH1735" s="55"/>
      <c r="BI1735" s="55"/>
      <c r="BJ1735" s="62"/>
      <c r="BK1735" s="57" t="n">
        <v>4</v>
      </c>
      <c r="BL1735" s="57" t="n">
        <v>0</v>
      </c>
      <c r="BM1735" s="56" t="n">
        <v>0</v>
      </c>
      <c r="BN1735" s="57" t="n">
        <v>0</v>
      </c>
      <c r="BO1735" s="55" t="s">
        <v>2569</v>
      </c>
      <c r="BP1735" s="60" t="n">
        <v>0</v>
      </c>
      <c r="BQ1735" s="60" t="n">
        <v>1735</v>
      </c>
      <c r="BR1735" s="55" t="str">
        <f aca="false">IF(U1735&lt;&gt;"",UPPER(TRIM(U1735)),IF(BU1735=1,UPPER(VLOOKUP(T1735,Parameter!$I$27:$K$29,2,0)),IF(P1735="","LOSE",P1735)))</f>
        <v>S22</v>
      </c>
      <c r="BS1735" s="57" t="n">
        <f aca="false">IF(BR1735="LOSE",1,IF(N(V1735)&gt;0,V1735,IF(BU1735=1,MAX(1,N(VLOOKUP(T1735,Parameter!$I$27:$K$29,3,0)),H1735,N(N1735)),IF(N(Q1735)&gt;0,Q1735,MAX(1,H1735)))))</f>
        <v>8</v>
      </c>
      <c r="BT1735" s="60" t="n">
        <f aca="false">IF(BR1735="LOSE",1,0)</f>
        <v>0</v>
      </c>
      <c r="BU1735" s="60" t="n">
        <f aca="false">IF(AND(U1735="",OR(P1735="",P1735="LOSE"),T1735&lt;&gt;"",N(S1735)&lt;=0,ISNUMBER(MATCH(T1735,Parameter!$I$27:$I$29,0))),1,0)</f>
        <v>0</v>
      </c>
      <c r="BV1735" s="55" t="str">
        <f aca="false">IF(AND(Parameter!$B$19="Ja",E1735&lt;&gt;"",ISNUMBER(MATCH(E1735,Parameter!$I$35:$I$52,0))),VLOOKUP(E1735,Parameter!$I$35:$J$52,2,0),IFERROR(VLOOKUP(D1735,Parameter!$A$35:$C$64,2,0),"Nein"))</f>
        <v>2+3</v>
      </c>
      <c r="BW1735" s="59" t="n">
        <f aca="false">IF(BT1735=0,0,IF(N(S1735)&gt;0,S1735,IFERROR(VLOOKUP(D1735,Parameter!$A$35:$C$64,3,0)+0,0)))</f>
        <v>0</v>
      </c>
      <c r="BX1735" s="55" t="n">
        <f aca="false">IF(AA1735&lt;&gt;"",AA1735,Z1735)</f>
        <v>3</v>
      </c>
      <c r="BY1735" s="55" t="str">
        <f aca="false">IF(BX1735=1,"L1",IF(OR(BX1735=2,BX1735=3),"L23",IF(BX1735="Aussen","Aussen","-")))</f>
        <v>L23</v>
      </c>
      <c r="BZ1735" s="66" t="n">
        <f aca="false">IF(N(AB1735)&gt;0,AB1735,0)</f>
        <v>0</v>
      </c>
      <c r="CA1735" s="60" t="n">
        <f aca="false">IF(ISNUMBER(AE1735),1,0)</f>
        <v>0</v>
      </c>
      <c r="CB1735" s="57" t="n">
        <f aca="false">N(AE1735)</f>
        <v>0</v>
      </c>
      <c r="CC1735" s="57" t="n">
        <f aca="false">N(M1735)+N(N1735)</f>
        <v>5</v>
      </c>
      <c r="CD1735" s="57" t="n">
        <f aca="false">ROUNDUP(H1735/BS1735,0)</f>
        <v>1</v>
      </c>
      <c r="CE1735" s="57" t="n">
        <f aca="false">ROUNDUP(CB1735/BS1735,0)</f>
        <v>0</v>
      </c>
      <c r="CF1735" s="60" t="n">
        <f aca="false">IF(BT1735=1,0,IFERROR(VLOOKUP(BR1735,'Gebinde-Kategorie'!$A$5:$M$45,5,0)+0,0))</f>
        <v>8</v>
      </c>
      <c r="CG1735" s="60" t="n">
        <f aca="false">IFERROR(IF(OR(BX1735=1,BX1735=2,BX1735=3),N(INDEX(Parameter!$I$5:$I$7,BX1735)),0),0)</f>
        <v>0</v>
      </c>
      <c r="CH1735" s="59" t="n">
        <f aca="false">IF(AND(Parameter!$B$21="Ja",ISNUMBER(W1735),N(X1735)&gt;0),IFERROR(N(INDEX(Parameter!$L$5:$L$7,W1735))*INDEX(Parameter!$E$5:$E$7,W1735)*X1735/SUMIFS($X$7:$X$1843,$W$7:$W$1843,W1735),0),0)</f>
        <v>0</v>
      </c>
    </row>
    <row r="1736" customFormat="false" ht="15" hidden="false" customHeight="false" outlineLevel="0" collapsed="false">
      <c r="A1736" s="55" t="s">
        <v>3002</v>
      </c>
      <c r="B1736" s="55" t="s">
        <v>2599</v>
      </c>
      <c r="C1736" s="55" t="s">
        <v>164</v>
      </c>
      <c r="D1736" s="55" t="s">
        <v>184</v>
      </c>
      <c r="E1736" s="55"/>
      <c r="F1736" s="55"/>
      <c r="G1736" s="56" t="n">
        <v>40.43</v>
      </c>
      <c r="H1736" s="57" t="n">
        <f aca="false">MAX(0,IF(AND(Parameter!$B$21="Ja",ISNUMBER(Y1736)),Y1736,IF(Parameter!$B$20="Jahresanfang 2025 + Export",BL1736+BK1736,BK1736)))</f>
        <v>8</v>
      </c>
      <c r="I1736" s="57" t="n">
        <f aca="false">H1736*G1736</f>
        <v>323.44</v>
      </c>
      <c r="J1736" s="57" t="n">
        <f aca="false">BN1736*Parameter!$B$18</f>
        <v>0</v>
      </c>
      <c r="K1736" s="58"/>
      <c r="L1736" s="59"/>
      <c r="M1736" s="57" t="n">
        <v>0</v>
      </c>
      <c r="N1736" s="57" t="n">
        <v>8</v>
      </c>
      <c r="O1736" s="60" t="n">
        <v>14</v>
      </c>
      <c r="P1736" s="55" t="s">
        <v>426</v>
      </c>
      <c r="Q1736" s="57" t="n">
        <v>8</v>
      </c>
      <c r="R1736" s="60" t="n">
        <f aca="false">IF(BT1736=1,0,IFERROR(VLOOKUP(BR1736,'Gebinde-Kategorie'!$A$5:$M$45,13,0)+0,0))</f>
        <v>198</v>
      </c>
      <c r="S1736" s="61"/>
      <c r="T1736" s="62"/>
      <c r="U1736" s="62"/>
      <c r="V1736" s="62"/>
      <c r="W1736" s="55"/>
      <c r="X1736" s="57"/>
      <c r="Y1736" s="57"/>
      <c r="Z1736" s="55" t="n">
        <f aca="false">IF(A1736="","",IF(AND(Parameter!$B$21="Ja",ISNUMBER(W1736)),W1736,IF(BV1736="2+3",IF(ISNUMBER(SEARCH("grosser Artikel",BO1736)),2,IFERROR(VLOOKUP(BR1736,Parameter!$F$35:$G$64,2,0),2)),IF(OR(BV1736="Nein",BV1736=""),"-",BV1736))))</f>
        <v>3</v>
      </c>
      <c r="AA1736" s="62"/>
      <c r="AB1736" s="63"/>
      <c r="AC1736" s="57" t="n">
        <f aca="false">AR1736</f>
        <v>8</v>
      </c>
      <c r="AD1736" s="57" t="n">
        <f aca="false">MAX(AR1736,H1736)</f>
        <v>8</v>
      </c>
      <c r="AE1736" s="64"/>
      <c r="AF1736" s="57" t="n">
        <f aca="false">IF(LEFT(Cockpit!$C$5,1)="A",H1736,IF(CA1736=1,CB1736,IF(LEFT(Cockpit!$C$5,1)="B",AJ1736,MAX(AJ1736,H1736))))</f>
        <v>8</v>
      </c>
      <c r="AG1736" s="57" t="n">
        <f aca="false">IF(BT1736=1,0,ROUNDUP(AF1736/BS1736,0))</f>
        <v>1</v>
      </c>
      <c r="AH1736" s="59" t="n">
        <f aca="false">IF(CH1736&gt;0,CH1736*MAX(1,AF1736/X1736),IF(BT1736=1,IF(AF1736&lt;=0,0,BW1736*MAX(1,IF(H1736&gt;0,AF1736/H1736,1))),IF(R1736&gt;0,AG1736/R1736,0))/MAX(0.1,N(Parameter!$M$21)))</f>
        <v>0.00505050505050505</v>
      </c>
      <c r="AI1736" s="57" t="n">
        <f aca="false">AF1736*G1736</f>
        <v>323.44</v>
      </c>
      <c r="AJ1736" s="57" t="n">
        <f aca="false">ROUNDUP(MAX(J1736/IF(BZ1736&gt;0,BZ1736,MAX(0.1,N(Cockpit!$C$6))),CC1736)/BS1736,0)*BS1736</f>
        <v>8</v>
      </c>
      <c r="AK1736" s="58" t="n">
        <f aca="false">IF(AH1736&gt;0,J1736/AH1736,-1)</f>
        <v>0</v>
      </c>
      <c r="AL1736" s="58" t="n">
        <f aca="false">IF(AND(OR(BY1736="L1",BY1736="L23"),AH1736&gt;0),SUMIFS($AH$7:$AH$1843,$BY$7:$BY$1843,BY1736,$AK$7:$AK$1843,"&gt;"&amp;AK1736)+SUMIFS($AH$7:$AH$1843,$BY$7:$BY$1843,BY1736,$AK$7:$AK$1843,AK1736,$BQ$7:$BQ$1843,"&lt;="&amp;BQ1736),"")</f>
        <v>96.8518377757508</v>
      </c>
      <c r="AM1736" s="65" t="n">
        <f aca="false">IF(AL1736="",0,MAX(0,MIN(1,(IF(BY1736="L1",Parameter!$E$5,Parameter!$E$6+Parameter!$E$7)-(AL1736-AH1736))/AH1736)))</f>
        <v>1</v>
      </c>
      <c r="AN1736" s="57" t="n">
        <f aca="false">IF(LEFT(Cockpit!$I$5,1)="A",H1736,IF(CA1736=1,CB1736,IF(LEFT(Cockpit!$I$5,1)="B",AR1736,MAX(AR1736,H1736))))</f>
        <v>8</v>
      </c>
      <c r="AO1736" s="57" t="n">
        <f aca="false">IF(BT1736=1,0,ROUNDUP(AN1736/BS1736,0))</f>
        <v>1</v>
      </c>
      <c r="AP1736" s="59" t="n">
        <f aca="false">IF(CH1736&gt;0,CH1736*MAX(1,AN1736/X1736),IF(BT1736=1,IF(AN1736&lt;=0,0,BW1736*MAX(1,IF(H1736&gt;0,AN1736/H1736,1))),IF(R1736&gt;0,AO1736/R1736,0))/MAX(0.1,N(Parameter!$M$21)))</f>
        <v>0.00505050505050505</v>
      </c>
      <c r="AQ1736" s="57" t="n">
        <f aca="false">AN1736*G1736</f>
        <v>323.44</v>
      </c>
      <c r="AR1736" s="57" t="n">
        <f aca="false">ROUNDUP(MAX(J1736/IF(BZ1736&gt;0,BZ1736,MAX(0.1,N(Cockpit!$I$6))),CC1736)/BS1736,0)*BS1736</f>
        <v>8</v>
      </c>
      <c r="AS1736" s="58" t="n">
        <f aca="false">IF(AP1736&gt;0,J1736/AP1736,-1)</f>
        <v>0</v>
      </c>
      <c r="AT1736" s="58" t="n">
        <f aca="false">IF(AND(OR(BY1736="L1",BY1736="L23"),AP1736&gt;0),SUMIFS($AP$7:$AP$1843,$BY$7:$BY$1843,BY1736,$AS$7:$AS$1843,"&gt;"&amp;AS1736)+SUMIFS($AP$7:$AP$1843,$BY$7:$BY$1843,BY1736,$AS$7:$AS$1843,AS1736,$BQ$7:$BQ$1843,"&lt;="&amp;BQ1736),"")</f>
        <v>142.212231005709</v>
      </c>
      <c r="AU1736" s="65" t="n">
        <f aca="false">IF(AT1736="",0,MAX(0,MIN(1,(IF(BY1736="L1",Parameter!$E$5,Parameter!$E$6+Parameter!$E$7)-(AT1736-AP1736))/AP1736)))</f>
        <v>0</v>
      </c>
      <c r="AV1736" s="57" t="n">
        <f aca="false">IF(LEFT(Cockpit!$O$5,1)="A",H1736,IF(CA1736=1,CB1736,IF(LEFT(Cockpit!$O$5,1)="B",AZ1736,MAX(AZ1736,H1736))))</f>
        <v>8</v>
      </c>
      <c r="AW1736" s="57" t="n">
        <f aca="false">IF(BT1736=1,0,ROUNDUP(AV1736/BS1736,0))</f>
        <v>1</v>
      </c>
      <c r="AX1736" s="59" t="n">
        <f aca="false">IF(CH1736&gt;0,CH1736*MAX(1,AV1736/X1736),IF(BT1736=1,IF(AV1736&lt;=0,0,BW1736*MAX(1,IF(H1736&gt;0,AV1736/H1736,1))),IF(R1736&gt;0,AW1736/R1736,0))/MAX(0.1,N(Parameter!$M$21)))</f>
        <v>0.00505050505050505</v>
      </c>
      <c r="AY1736" s="57" t="n">
        <f aca="false">AV1736*G1736</f>
        <v>323.44</v>
      </c>
      <c r="AZ1736" s="57" t="n">
        <f aca="false">ROUNDUP(MAX(J1736/IF(BZ1736&gt;0,BZ1736,MAX(0.1,N(Cockpit!$O$6))),CC1736)/BS1736,0)*BS1736</f>
        <v>8</v>
      </c>
      <c r="BA1736" s="58" t="n">
        <f aca="false">IF(AX1736&gt;0,J1736/AX1736,-1)</f>
        <v>0</v>
      </c>
      <c r="BB1736" s="58" t="n">
        <f aca="false">IF(AND(OR(BY1736="L1",BY1736="L23"),AX1736&gt;0),SUMIFS($AX$7:$AX$1843,$BY$7:$BY$1843,BY1736,$BA$7:$BA$1843,"&gt;"&amp;BA1736)+SUMIFS($AX$7:$AX$1843,$BY$7:$BY$1843,BY1736,$BA$7:$BA$1843,BA1736,$BQ$7:$BQ$1843,"&lt;="&amp;BQ1736),"")</f>
        <v>133.042067835546</v>
      </c>
      <c r="BC1736" s="65" t="n">
        <f aca="false">IF(BB1736="",0,MAX(0,MIN(1,(IF(BY1736="L1",Parameter!$E$5,Parameter!$E$6+Parameter!$E$7)-(BB1736-AX1736))/AX1736)))</f>
        <v>0</v>
      </c>
      <c r="BD1736" s="55" t="str">
        <f aca="false">IF(AH1736&lt;=0,"",IF(BY1736="Aussen","Aussenlager",IF(BY1736="-","Nicht im Lift",IF(AM1736&gt;=1,"Lift",IF(AM1736&lt;=0,"Aussenlager","teilweise")))))</f>
        <v>Lift</v>
      </c>
      <c r="BE1736" s="55" t="str">
        <f aca="false">IF(AP1736&lt;=0,"",IF(BY1736="Aussen","Aussenlager",IF(BY1736="-","Nicht im Lift",IF(AU1736&gt;=1,"Lift",IF(AU1736&lt;=0,"Aussenlager","teilweise")))))</f>
        <v>Aussenlager</v>
      </c>
      <c r="BF1736" s="55" t="str">
        <f aca="false">IF(AX1736&lt;=0,"",IF(BY1736="Aussen","Aussenlager",IF(BY1736="-","Nicht im Lift",IF(BC1736&gt;=1,"Lift",IF(BC1736&lt;=0,"Aussenlager","teilweise")))))</f>
        <v>Aussenlager</v>
      </c>
      <c r="BG1736" s="55" t="str">
        <f aca="false">IF(A1736="","",IF(BP1736=1,"Neu; ","")&amp;IF(AND(BP1736=0,BK1736&lt;0),"negativer Bestand (Export "&amp;BK1736&amp;"); ","")&amp;IF(J1736&lt;=0,"Kein Verbrauch; ","")&amp;IF(CH1736&gt;0,"Lift "&amp;W1736&amp;" lt. Liftbericht (Fach "&amp;X1736&amp;" Stk); ",IF(BU1736=1,"Gebinde geschätzt ("&amp;T1736&amp;"); ",IF(BT1736=1,"Lose – Tablare geschätzt; ","")))&amp;IF(H1736&gt;AR1736,"Überbestand "&amp;ROUND(H1736-AR1736,0)&amp;" Stk / CHF "&amp;ROUND((H1736-AR1736)*G1736,0)&amp;"; ","")&amp;IF(AND(CA1736=1,CB1736&lt;CC1736),"MAX &lt; MB+LG; ","")&amp;IF(AND(CG1736&gt;0,CF1736*10&gt;CG1736),"zu hoch für Tablar; ","")&amp;IF(AND(BP1736=0,OR(CA1736=1,AA1736&lt;&gt;"",U1736&lt;&gt;"",V1736&lt;&gt;"",AB1736&lt;&gt;"")),"manuell übersteuert; ","")&amp;IF(AND(BT1736=0,R1736=0),"Gebinde unbekannt / Stellmass fehlt; ","")&amp;IF(AND(BT1736=0,N(V1736)&lt;=0,N(Q1736)&lt;=0),"Menge pro Gebinde fehlt (Ist = 1 Gebinde); ","")&amp;BO1736)</f>
        <v>Kein Verbrauch; nur im Artikelstamm (Bestand 23.06.2026)</v>
      </c>
      <c r="BH1736" s="55"/>
      <c r="BI1736" s="55"/>
      <c r="BJ1736" s="62"/>
      <c r="BK1736" s="57" t="n">
        <v>8</v>
      </c>
      <c r="BL1736" s="57" t="n">
        <v>0</v>
      </c>
      <c r="BM1736" s="56" t="n">
        <v>0</v>
      </c>
      <c r="BN1736" s="57" t="n">
        <v>0</v>
      </c>
      <c r="BO1736" s="55" t="s">
        <v>2575</v>
      </c>
      <c r="BP1736" s="60" t="n">
        <v>0</v>
      </c>
      <c r="BQ1736" s="60" t="n">
        <v>1736</v>
      </c>
      <c r="BR1736" s="55" t="str">
        <f aca="false">IF(U1736&lt;&gt;"",UPPER(TRIM(U1736)),IF(BU1736=1,UPPER(VLOOKUP(T1736,Parameter!$I$27:$K$29,2,0)),IF(P1736="","LOSE",P1736)))</f>
        <v>S22</v>
      </c>
      <c r="BS1736" s="57" t="n">
        <f aca="false">IF(BR1736="LOSE",1,IF(N(V1736)&gt;0,V1736,IF(BU1736=1,MAX(1,N(VLOOKUP(T1736,Parameter!$I$27:$K$29,3,0)),H1736,N(N1736)),IF(N(Q1736)&gt;0,Q1736,MAX(1,H1736)))))</f>
        <v>8</v>
      </c>
      <c r="BT1736" s="60" t="n">
        <f aca="false">IF(BR1736="LOSE",1,0)</f>
        <v>0</v>
      </c>
      <c r="BU1736" s="60" t="n">
        <f aca="false">IF(AND(U1736="",OR(P1736="",P1736="LOSE"),T1736&lt;&gt;"",N(S1736)&lt;=0,ISNUMBER(MATCH(T1736,Parameter!$I$27:$I$29,0))),1,0)</f>
        <v>0</v>
      </c>
      <c r="BV1736" s="55" t="str">
        <f aca="false">IF(AND(Parameter!$B$19="Ja",E1736&lt;&gt;"",ISNUMBER(MATCH(E1736,Parameter!$I$35:$I$52,0))),VLOOKUP(E1736,Parameter!$I$35:$J$52,2,0),IFERROR(VLOOKUP(D1736,Parameter!$A$35:$C$64,2,0),"Nein"))</f>
        <v>2+3</v>
      </c>
      <c r="BW1736" s="59" t="n">
        <f aca="false">IF(BT1736=0,0,IF(N(S1736)&gt;0,S1736,IFERROR(VLOOKUP(D1736,Parameter!$A$35:$C$64,3,0)+0,0)))</f>
        <v>0</v>
      </c>
      <c r="BX1736" s="55" t="n">
        <f aca="false">IF(AA1736&lt;&gt;"",AA1736,Z1736)</f>
        <v>3</v>
      </c>
      <c r="BY1736" s="55" t="str">
        <f aca="false">IF(BX1736=1,"L1",IF(OR(BX1736=2,BX1736=3),"L23",IF(BX1736="Aussen","Aussen","-")))</f>
        <v>L23</v>
      </c>
      <c r="BZ1736" s="66" t="n">
        <f aca="false">IF(N(AB1736)&gt;0,AB1736,0)</f>
        <v>0</v>
      </c>
      <c r="CA1736" s="60" t="n">
        <f aca="false">IF(ISNUMBER(AE1736),1,0)</f>
        <v>0</v>
      </c>
      <c r="CB1736" s="57" t="n">
        <f aca="false">N(AE1736)</f>
        <v>0</v>
      </c>
      <c r="CC1736" s="57" t="n">
        <f aca="false">N(M1736)+N(N1736)</f>
        <v>8</v>
      </c>
      <c r="CD1736" s="57" t="n">
        <f aca="false">ROUNDUP(H1736/BS1736,0)</f>
        <v>1</v>
      </c>
      <c r="CE1736" s="57" t="n">
        <f aca="false">ROUNDUP(CB1736/BS1736,0)</f>
        <v>0</v>
      </c>
      <c r="CF1736" s="60" t="n">
        <f aca="false">IF(BT1736=1,0,IFERROR(VLOOKUP(BR1736,'Gebinde-Kategorie'!$A$5:$M$45,5,0)+0,0))</f>
        <v>8</v>
      </c>
      <c r="CG1736" s="60" t="n">
        <f aca="false">IFERROR(IF(OR(BX1736=1,BX1736=2,BX1736=3),N(INDEX(Parameter!$I$5:$I$7,BX1736)),0),0)</f>
        <v>0</v>
      </c>
      <c r="CH1736" s="59" t="n">
        <f aca="false">IF(AND(Parameter!$B$21="Ja",ISNUMBER(W1736),N(X1736)&gt;0),IFERROR(N(INDEX(Parameter!$L$5:$L$7,W1736))*INDEX(Parameter!$E$5:$E$7,W1736)*X1736/SUMIFS($X$7:$X$1843,$W$7:$W$1843,W1736),0),0)</f>
        <v>0</v>
      </c>
    </row>
    <row r="1737" customFormat="false" ht="15" hidden="false" customHeight="false" outlineLevel="0" collapsed="false">
      <c r="A1737" s="55" t="s">
        <v>3003</v>
      </c>
      <c r="B1737" s="55" t="s">
        <v>2442</v>
      </c>
      <c r="C1737" s="55" t="s">
        <v>164</v>
      </c>
      <c r="D1737" s="55" t="s">
        <v>184</v>
      </c>
      <c r="E1737" s="55"/>
      <c r="F1737" s="55"/>
      <c r="G1737" s="56" t="n">
        <v>300</v>
      </c>
      <c r="H1737" s="57" t="n">
        <f aca="false">MAX(0,IF(AND(Parameter!$B$21="Ja",ISNUMBER(Y1737)),Y1737,IF(Parameter!$B$20="Jahresanfang 2025 + Export",BL1737+BK1737,BK1737)))</f>
        <v>6</v>
      </c>
      <c r="I1737" s="57" t="n">
        <f aca="false">H1737*G1737</f>
        <v>1800</v>
      </c>
      <c r="J1737" s="57" t="n">
        <f aca="false">BN1737*Parameter!$B$18</f>
        <v>0</v>
      </c>
      <c r="K1737" s="58"/>
      <c r="L1737" s="59"/>
      <c r="M1737" s="57" t="n">
        <v>0</v>
      </c>
      <c r="N1737" s="57" t="n">
        <v>1</v>
      </c>
      <c r="O1737" s="60" t="n">
        <v>0</v>
      </c>
      <c r="P1737" s="55" t="s">
        <v>426</v>
      </c>
      <c r="Q1737" s="57" t="n">
        <v>6</v>
      </c>
      <c r="R1737" s="60" t="n">
        <f aca="false">IF(BT1737=1,0,IFERROR(VLOOKUP(BR1737,'Gebinde-Kategorie'!$A$5:$M$45,13,0)+0,0))</f>
        <v>198</v>
      </c>
      <c r="S1737" s="61"/>
      <c r="T1737" s="62"/>
      <c r="U1737" s="62"/>
      <c r="V1737" s="62"/>
      <c r="W1737" s="55"/>
      <c r="X1737" s="57"/>
      <c r="Y1737" s="57"/>
      <c r="Z1737" s="55" t="n">
        <f aca="false">IF(A1737="","",IF(AND(Parameter!$B$21="Ja",ISNUMBER(W1737)),W1737,IF(BV1737="2+3",IF(ISNUMBER(SEARCH("grosser Artikel",BO1737)),2,IFERROR(VLOOKUP(BR1737,Parameter!$F$35:$G$64,2,0),2)),IF(OR(BV1737="Nein",BV1737=""),"-",BV1737))))</f>
        <v>3</v>
      </c>
      <c r="AA1737" s="62"/>
      <c r="AB1737" s="63"/>
      <c r="AC1737" s="57" t="n">
        <f aca="false">AR1737</f>
        <v>6</v>
      </c>
      <c r="AD1737" s="57" t="n">
        <f aca="false">MAX(AR1737,H1737)</f>
        <v>6</v>
      </c>
      <c r="AE1737" s="64"/>
      <c r="AF1737" s="57" t="n">
        <f aca="false">IF(LEFT(Cockpit!$C$5,1)="A",H1737,IF(CA1737=1,CB1737,IF(LEFT(Cockpit!$C$5,1)="B",AJ1737,MAX(AJ1737,H1737))))</f>
        <v>6</v>
      </c>
      <c r="AG1737" s="57" t="n">
        <f aca="false">IF(BT1737=1,0,ROUNDUP(AF1737/BS1737,0))</f>
        <v>1</v>
      </c>
      <c r="AH1737" s="59" t="n">
        <f aca="false">IF(CH1737&gt;0,CH1737*MAX(1,AF1737/X1737),IF(BT1737=1,IF(AF1737&lt;=0,0,BW1737*MAX(1,IF(H1737&gt;0,AF1737/H1737,1))),IF(R1737&gt;0,AG1737/R1737,0))/MAX(0.1,N(Parameter!$M$21)))</f>
        <v>0.00505050505050505</v>
      </c>
      <c r="AI1737" s="57" t="n">
        <f aca="false">AF1737*G1737</f>
        <v>1800</v>
      </c>
      <c r="AJ1737" s="57" t="n">
        <f aca="false">ROUNDUP(MAX(J1737/IF(BZ1737&gt;0,BZ1737,MAX(0.1,N(Cockpit!$C$6))),CC1737)/BS1737,0)*BS1737</f>
        <v>6</v>
      </c>
      <c r="AK1737" s="58" t="n">
        <f aca="false">IF(AH1737&gt;0,J1737/AH1737,-1)</f>
        <v>0</v>
      </c>
      <c r="AL1737" s="58" t="n">
        <f aca="false">IF(AND(OR(BY1737="L1",BY1737="L23"),AH1737&gt;0),SUMIFS($AH$7:$AH$1843,$BY$7:$BY$1843,BY1737,$AK$7:$AK$1843,"&gt;"&amp;AK1737)+SUMIFS($AH$7:$AH$1843,$BY$7:$BY$1843,BY1737,$AK$7:$AK$1843,AK1737,$BQ$7:$BQ$1843,"&lt;="&amp;BQ1737),"")</f>
        <v>96.8568882808013</v>
      </c>
      <c r="AM1737" s="65" t="n">
        <f aca="false">IF(AL1737="",0,MAX(0,MIN(1,(IF(BY1737="L1",Parameter!$E$5,Parameter!$E$6+Parameter!$E$7)-(AL1737-AH1737))/AH1737)))</f>
        <v>1</v>
      </c>
      <c r="AN1737" s="57" t="n">
        <f aca="false">IF(LEFT(Cockpit!$I$5,1)="A",H1737,IF(CA1737=1,CB1737,IF(LEFT(Cockpit!$I$5,1)="B",AR1737,MAX(AR1737,H1737))))</f>
        <v>6</v>
      </c>
      <c r="AO1737" s="57" t="n">
        <f aca="false">IF(BT1737=1,0,ROUNDUP(AN1737/BS1737,0))</f>
        <v>1</v>
      </c>
      <c r="AP1737" s="59" t="n">
        <f aca="false">IF(CH1737&gt;0,CH1737*MAX(1,AN1737/X1737),IF(BT1737=1,IF(AN1737&lt;=0,0,BW1737*MAX(1,IF(H1737&gt;0,AN1737/H1737,1))),IF(R1737&gt;0,AO1737/R1737,0))/MAX(0.1,N(Parameter!$M$21)))</f>
        <v>0.00505050505050505</v>
      </c>
      <c r="AQ1737" s="57" t="n">
        <f aca="false">AN1737*G1737</f>
        <v>1800</v>
      </c>
      <c r="AR1737" s="57" t="n">
        <f aca="false">ROUNDUP(MAX(J1737/IF(BZ1737&gt;0,BZ1737,MAX(0.1,N(Cockpit!$I$6))),CC1737)/BS1737,0)*BS1737</f>
        <v>6</v>
      </c>
      <c r="AS1737" s="58" t="n">
        <f aca="false">IF(AP1737&gt;0,J1737/AP1737,-1)</f>
        <v>0</v>
      </c>
      <c r="AT1737" s="58" t="n">
        <f aca="false">IF(AND(OR(BY1737="L1",BY1737="L23"),AP1737&gt;0),SUMIFS($AP$7:$AP$1843,$BY$7:$BY$1843,BY1737,$AS$7:$AS$1843,"&gt;"&amp;AS1737)+SUMIFS($AP$7:$AP$1843,$BY$7:$BY$1843,BY1737,$AS$7:$AS$1843,AS1737,$BQ$7:$BQ$1843,"&lt;="&amp;BQ1737),"")</f>
        <v>142.21728151076</v>
      </c>
      <c r="AU1737" s="65" t="n">
        <f aca="false">IF(AT1737="",0,MAX(0,MIN(1,(IF(BY1737="L1",Parameter!$E$5,Parameter!$E$6+Parameter!$E$7)-(AT1737-AP1737))/AP1737)))</f>
        <v>0</v>
      </c>
      <c r="AV1737" s="57" t="n">
        <f aca="false">IF(LEFT(Cockpit!$O$5,1)="A",H1737,IF(CA1737=1,CB1737,IF(LEFT(Cockpit!$O$5,1)="B",AZ1737,MAX(AZ1737,H1737))))</f>
        <v>6</v>
      </c>
      <c r="AW1737" s="57" t="n">
        <f aca="false">IF(BT1737=1,0,ROUNDUP(AV1737/BS1737,0))</f>
        <v>1</v>
      </c>
      <c r="AX1737" s="59" t="n">
        <f aca="false">IF(CH1737&gt;0,CH1737*MAX(1,AV1737/X1737),IF(BT1737=1,IF(AV1737&lt;=0,0,BW1737*MAX(1,IF(H1737&gt;0,AV1737/H1737,1))),IF(R1737&gt;0,AW1737/R1737,0))/MAX(0.1,N(Parameter!$M$21)))</f>
        <v>0.00505050505050505</v>
      </c>
      <c r="AY1737" s="57" t="n">
        <f aca="false">AV1737*G1737</f>
        <v>1800</v>
      </c>
      <c r="AZ1737" s="57" t="n">
        <f aca="false">ROUNDUP(MAX(J1737/IF(BZ1737&gt;0,BZ1737,MAX(0.1,N(Cockpit!$O$6))),CC1737)/BS1737,0)*BS1737</f>
        <v>6</v>
      </c>
      <c r="BA1737" s="58" t="n">
        <f aca="false">IF(AX1737&gt;0,J1737/AX1737,-1)</f>
        <v>0</v>
      </c>
      <c r="BB1737" s="58" t="n">
        <f aca="false">IF(AND(OR(BY1737="L1",BY1737="L23"),AX1737&gt;0),SUMIFS($AX$7:$AX$1843,$BY$7:$BY$1843,BY1737,$BA$7:$BA$1843,"&gt;"&amp;BA1737)+SUMIFS($AX$7:$AX$1843,$BY$7:$BY$1843,BY1737,$BA$7:$BA$1843,BA1737,$BQ$7:$BQ$1843,"&lt;="&amp;BQ1737),"")</f>
        <v>133.047118340597</v>
      </c>
      <c r="BC1737" s="65" t="n">
        <f aca="false">IF(BB1737="",0,MAX(0,MIN(1,(IF(BY1737="L1",Parameter!$E$5,Parameter!$E$6+Parameter!$E$7)-(BB1737-AX1737))/AX1737)))</f>
        <v>0</v>
      </c>
      <c r="BD1737" s="55" t="str">
        <f aca="false">IF(AH1737&lt;=0,"",IF(BY1737="Aussen","Aussenlager",IF(BY1737="-","Nicht im Lift",IF(AM1737&gt;=1,"Lift",IF(AM1737&lt;=0,"Aussenlager","teilweise")))))</f>
        <v>Lift</v>
      </c>
      <c r="BE1737" s="55" t="str">
        <f aca="false">IF(AP1737&lt;=0,"",IF(BY1737="Aussen","Aussenlager",IF(BY1737="-","Nicht im Lift",IF(AU1737&gt;=1,"Lift",IF(AU1737&lt;=0,"Aussenlager","teilweise")))))</f>
        <v>Aussenlager</v>
      </c>
      <c r="BF1737" s="55" t="str">
        <f aca="false">IF(AX1737&lt;=0,"",IF(BY1737="Aussen","Aussenlager",IF(BY1737="-","Nicht im Lift",IF(BC1737&gt;=1,"Lift",IF(BC1737&lt;=0,"Aussenlager","teilweise")))))</f>
        <v>Aussenlager</v>
      </c>
      <c r="BG1737" s="55" t="str">
        <f aca="false">IF(A1737="","",IF(BP1737=1,"Neu; ","")&amp;IF(AND(BP1737=0,BK1737&lt;0),"negativer Bestand (Export "&amp;BK1737&amp;"); ","")&amp;IF(J1737&lt;=0,"Kein Verbrauch; ","")&amp;IF(CH1737&gt;0,"Lift "&amp;W1737&amp;" lt. Liftbericht (Fach "&amp;X1737&amp;" Stk); ",IF(BU1737=1,"Gebinde geschätzt ("&amp;T1737&amp;"); ",IF(BT1737=1,"Lose – Tablare geschätzt; ","")))&amp;IF(H1737&gt;AR1737,"Überbestand "&amp;ROUND(H1737-AR1737,0)&amp;" Stk / CHF "&amp;ROUND((H1737-AR1737)*G1737,0)&amp;"; ","")&amp;IF(AND(CA1737=1,CB1737&lt;CC1737),"MAX &lt; MB+LG; ","")&amp;IF(AND(CG1737&gt;0,CF1737*10&gt;CG1737),"zu hoch für Tablar; ","")&amp;IF(AND(BP1737=0,OR(CA1737=1,AA1737&lt;&gt;"",U1737&lt;&gt;"",V1737&lt;&gt;"",AB1737&lt;&gt;"")),"manuell übersteuert; ","")&amp;IF(AND(BT1737=0,R1737=0),"Gebinde unbekannt / Stellmass fehlt; ","")&amp;IF(AND(BT1737=0,N(V1737)&lt;=0,N(Q1737)&lt;=0),"Menge pro Gebinde fehlt (Ist = 1 Gebinde); ","")&amp;BO1737)</f>
        <v>Kein Verbrauch; nur im Artikelstamm (Bestand 23.06.2026)</v>
      </c>
      <c r="BH1737" s="55"/>
      <c r="BI1737" s="55"/>
      <c r="BJ1737" s="62"/>
      <c r="BK1737" s="57" t="n">
        <v>6</v>
      </c>
      <c r="BL1737" s="57" t="n">
        <v>0</v>
      </c>
      <c r="BM1737" s="56" t="n">
        <v>0</v>
      </c>
      <c r="BN1737" s="57" t="n">
        <v>0</v>
      </c>
      <c r="BO1737" s="55" t="s">
        <v>2575</v>
      </c>
      <c r="BP1737" s="60" t="n">
        <v>0</v>
      </c>
      <c r="BQ1737" s="60" t="n">
        <v>1737</v>
      </c>
      <c r="BR1737" s="55" t="str">
        <f aca="false">IF(U1737&lt;&gt;"",UPPER(TRIM(U1737)),IF(BU1737=1,UPPER(VLOOKUP(T1737,Parameter!$I$27:$K$29,2,0)),IF(P1737="","LOSE",P1737)))</f>
        <v>S22</v>
      </c>
      <c r="BS1737" s="57" t="n">
        <f aca="false">IF(BR1737="LOSE",1,IF(N(V1737)&gt;0,V1737,IF(BU1737=1,MAX(1,N(VLOOKUP(T1737,Parameter!$I$27:$K$29,3,0)),H1737,N(N1737)),IF(N(Q1737)&gt;0,Q1737,MAX(1,H1737)))))</f>
        <v>6</v>
      </c>
      <c r="BT1737" s="60" t="n">
        <f aca="false">IF(BR1737="LOSE",1,0)</f>
        <v>0</v>
      </c>
      <c r="BU1737" s="60" t="n">
        <f aca="false">IF(AND(U1737="",OR(P1737="",P1737="LOSE"),T1737&lt;&gt;"",N(S1737)&lt;=0,ISNUMBER(MATCH(T1737,Parameter!$I$27:$I$29,0))),1,0)</f>
        <v>0</v>
      </c>
      <c r="BV1737" s="55" t="str">
        <f aca="false">IF(AND(Parameter!$B$19="Ja",E1737&lt;&gt;"",ISNUMBER(MATCH(E1737,Parameter!$I$35:$I$52,0))),VLOOKUP(E1737,Parameter!$I$35:$J$52,2,0),IFERROR(VLOOKUP(D1737,Parameter!$A$35:$C$64,2,0),"Nein"))</f>
        <v>2+3</v>
      </c>
      <c r="BW1737" s="59" t="n">
        <f aca="false">IF(BT1737=0,0,IF(N(S1737)&gt;0,S1737,IFERROR(VLOOKUP(D1737,Parameter!$A$35:$C$64,3,0)+0,0)))</f>
        <v>0</v>
      </c>
      <c r="BX1737" s="55" t="n">
        <f aca="false">IF(AA1737&lt;&gt;"",AA1737,Z1737)</f>
        <v>3</v>
      </c>
      <c r="BY1737" s="55" t="str">
        <f aca="false">IF(BX1737=1,"L1",IF(OR(BX1737=2,BX1737=3),"L23",IF(BX1737="Aussen","Aussen","-")))</f>
        <v>L23</v>
      </c>
      <c r="BZ1737" s="66" t="n">
        <f aca="false">IF(N(AB1737)&gt;0,AB1737,0)</f>
        <v>0</v>
      </c>
      <c r="CA1737" s="60" t="n">
        <f aca="false">IF(ISNUMBER(AE1737),1,0)</f>
        <v>0</v>
      </c>
      <c r="CB1737" s="57" t="n">
        <f aca="false">N(AE1737)</f>
        <v>0</v>
      </c>
      <c r="CC1737" s="57" t="n">
        <f aca="false">N(M1737)+N(N1737)</f>
        <v>1</v>
      </c>
      <c r="CD1737" s="57" t="n">
        <f aca="false">ROUNDUP(H1737/BS1737,0)</f>
        <v>1</v>
      </c>
      <c r="CE1737" s="57" t="n">
        <f aca="false">ROUNDUP(CB1737/BS1737,0)</f>
        <v>0</v>
      </c>
      <c r="CF1737" s="60" t="n">
        <f aca="false">IF(BT1737=1,0,IFERROR(VLOOKUP(BR1737,'Gebinde-Kategorie'!$A$5:$M$45,5,0)+0,0))</f>
        <v>8</v>
      </c>
      <c r="CG1737" s="60" t="n">
        <f aca="false">IFERROR(IF(OR(BX1737=1,BX1737=2,BX1737=3),N(INDEX(Parameter!$I$5:$I$7,BX1737)),0),0)</f>
        <v>0</v>
      </c>
      <c r="CH1737" s="59" t="n">
        <f aca="false">IF(AND(Parameter!$B$21="Ja",ISNUMBER(W1737),N(X1737)&gt;0),IFERROR(N(INDEX(Parameter!$L$5:$L$7,W1737))*INDEX(Parameter!$E$5:$E$7,W1737)*X1737/SUMIFS($X$7:$X$1843,$W$7:$W$1843,W1737),0),0)</f>
        <v>0</v>
      </c>
    </row>
    <row r="1738" customFormat="false" ht="15" hidden="false" customHeight="false" outlineLevel="0" collapsed="false">
      <c r="A1738" s="55" t="s">
        <v>3004</v>
      </c>
      <c r="B1738" s="55" t="s">
        <v>3005</v>
      </c>
      <c r="C1738" s="55" t="s">
        <v>164</v>
      </c>
      <c r="D1738" s="55" t="s">
        <v>184</v>
      </c>
      <c r="E1738" s="55"/>
      <c r="F1738" s="55"/>
      <c r="G1738" s="56" t="n">
        <v>7.05</v>
      </c>
      <c r="H1738" s="57" t="n">
        <f aca="false">MAX(0,IF(AND(Parameter!$B$21="Ja",ISNUMBER(Y1738)),Y1738,IF(Parameter!$B$20="Jahresanfang 2025 + Export",BL1738+BK1738,BK1738)))</f>
        <v>5</v>
      </c>
      <c r="I1738" s="57" t="n">
        <f aca="false">H1738*G1738</f>
        <v>35.25</v>
      </c>
      <c r="J1738" s="57" t="n">
        <f aca="false">BN1738*Parameter!$B$18</f>
        <v>0</v>
      </c>
      <c r="K1738" s="58"/>
      <c r="L1738" s="59"/>
      <c r="M1738" s="57" t="n">
        <v>0</v>
      </c>
      <c r="N1738" s="57" t="n">
        <v>1</v>
      </c>
      <c r="O1738" s="60" t="n">
        <v>97</v>
      </c>
      <c r="P1738" s="55" t="s">
        <v>426</v>
      </c>
      <c r="Q1738" s="57" t="n">
        <v>5</v>
      </c>
      <c r="R1738" s="60" t="n">
        <f aca="false">IF(BT1738=1,0,IFERROR(VLOOKUP(BR1738,'Gebinde-Kategorie'!$A$5:$M$45,13,0)+0,0))</f>
        <v>198</v>
      </c>
      <c r="S1738" s="61"/>
      <c r="T1738" s="62"/>
      <c r="U1738" s="62"/>
      <c r="V1738" s="62"/>
      <c r="W1738" s="55"/>
      <c r="X1738" s="57"/>
      <c r="Y1738" s="57"/>
      <c r="Z1738" s="55" t="n">
        <f aca="false">IF(A1738="","",IF(AND(Parameter!$B$21="Ja",ISNUMBER(W1738)),W1738,IF(BV1738="2+3",IF(ISNUMBER(SEARCH("grosser Artikel",BO1738)),2,IFERROR(VLOOKUP(BR1738,Parameter!$F$35:$G$64,2,0),2)),IF(OR(BV1738="Nein",BV1738=""),"-",BV1738))))</f>
        <v>3</v>
      </c>
      <c r="AA1738" s="62"/>
      <c r="AB1738" s="63"/>
      <c r="AC1738" s="57" t="n">
        <f aca="false">AR1738</f>
        <v>5</v>
      </c>
      <c r="AD1738" s="57" t="n">
        <f aca="false">MAX(AR1738,H1738)</f>
        <v>5</v>
      </c>
      <c r="AE1738" s="64"/>
      <c r="AF1738" s="57" t="n">
        <f aca="false">IF(LEFT(Cockpit!$C$5,1)="A",H1738,IF(CA1738=1,CB1738,IF(LEFT(Cockpit!$C$5,1)="B",AJ1738,MAX(AJ1738,H1738))))</f>
        <v>5</v>
      </c>
      <c r="AG1738" s="57" t="n">
        <f aca="false">IF(BT1738=1,0,ROUNDUP(AF1738/BS1738,0))</f>
        <v>1</v>
      </c>
      <c r="AH1738" s="59" t="n">
        <f aca="false">IF(CH1738&gt;0,CH1738*MAX(1,AF1738/X1738),IF(BT1738=1,IF(AF1738&lt;=0,0,BW1738*MAX(1,IF(H1738&gt;0,AF1738/H1738,1))),IF(R1738&gt;0,AG1738/R1738,0))/MAX(0.1,N(Parameter!$M$21)))</f>
        <v>0.00505050505050505</v>
      </c>
      <c r="AI1738" s="57" t="n">
        <f aca="false">AF1738*G1738</f>
        <v>35.25</v>
      </c>
      <c r="AJ1738" s="57" t="n">
        <f aca="false">ROUNDUP(MAX(J1738/IF(BZ1738&gt;0,BZ1738,MAX(0.1,N(Cockpit!$C$6))),CC1738)/BS1738,0)*BS1738</f>
        <v>5</v>
      </c>
      <c r="AK1738" s="58" t="n">
        <f aca="false">IF(AH1738&gt;0,J1738/AH1738,-1)</f>
        <v>0</v>
      </c>
      <c r="AL1738" s="58" t="n">
        <f aca="false">IF(AND(OR(BY1738="L1",BY1738="L23"),AH1738&gt;0),SUMIFS($AH$7:$AH$1843,$BY$7:$BY$1843,BY1738,$AK$7:$AK$1843,"&gt;"&amp;AK1738)+SUMIFS($AH$7:$AH$1843,$BY$7:$BY$1843,BY1738,$AK$7:$AK$1843,AK1738,$BQ$7:$BQ$1843,"&lt;="&amp;BQ1738),"")</f>
        <v>96.8619387858518</v>
      </c>
      <c r="AM1738" s="65" t="n">
        <f aca="false">IF(AL1738="",0,MAX(0,MIN(1,(IF(BY1738="L1",Parameter!$E$5,Parameter!$E$6+Parameter!$E$7)-(AL1738-AH1738))/AH1738)))</f>
        <v>1</v>
      </c>
      <c r="AN1738" s="57" t="n">
        <f aca="false">IF(LEFT(Cockpit!$I$5,1)="A",H1738,IF(CA1738=1,CB1738,IF(LEFT(Cockpit!$I$5,1)="B",AR1738,MAX(AR1738,H1738))))</f>
        <v>5</v>
      </c>
      <c r="AO1738" s="57" t="n">
        <f aca="false">IF(BT1738=1,0,ROUNDUP(AN1738/BS1738,0))</f>
        <v>1</v>
      </c>
      <c r="AP1738" s="59" t="n">
        <f aca="false">IF(CH1738&gt;0,CH1738*MAX(1,AN1738/X1738),IF(BT1738=1,IF(AN1738&lt;=0,0,BW1738*MAX(1,IF(H1738&gt;0,AN1738/H1738,1))),IF(R1738&gt;0,AO1738/R1738,0))/MAX(0.1,N(Parameter!$M$21)))</f>
        <v>0.00505050505050505</v>
      </c>
      <c r="AQ1738" s="57" t="n">
        <f aca="false">AN1738*G1738</f>
        <v>35.25</v>
      </c>
      <c r="AR1738" s="57" t="n">
        <f aca="false">ROUNDUP(MAX(J1738/IF(BZ1738&gt;0,BZ1738,MAX(0.1,N(Cockpit!$I$6))),CC1738)/BS1738,0)*BS1738</f>
        <v>5</v>
      </c>
      <c r="AS1738" s="58" t="n">
        <f aca="false">IF(AP1738&gt;0,J1738/AP1738,-1)</f>
        <v>0</v>
      </c>
      <c r="AT1738" s="58" t="n">
        <f aca="false">IF(AND(OR(BY1738="L1",BY1738="L23"),AP1738&gt;0),SUMIFS($AP$7:$AP$1843,$BY$7:$BY$1843,BY1738,$AS$7:$AS$1843,"&gt;"&amp;AS1738)+SUMIFS($AP$7:$AP$1843,$BY$7:$BY$1843,BY1738,$AS$7:$AS$1843,AS1738,$BQ$7:$BQ$1843,"&lt;="&amp;BQ1738),"")</f>
        <v>142.22233201581</v>
      </c>
      <c r="AU1738" s="65" t="n">
        <f aca="false">IF(AT1738="",0,MAX(0,MIN(1,(IF(BY1738="L1",Parameter!$E$5,Parameter!$E$6+Parameter!$E$7)-(AT1738-AP1738))/AP1738)))</f>
        <v>0</v>
      </c>
      <c r="AV1738" s="57" t="n">
        <f aca="false">IF(LEFT(Cockpit!$O$5,1)="A",H1738,IF(CA1738=1,CB1738,IF(LEFT(Cockpit!$O$5,1)="B",AZ1738,MAX(AZ1738,H1738))))</f>
        <v>5</v>
      </c>
      <c r="AW1738" s="57" t="n">
        <f aca="false">IF(BT1738=1,0,ROUNDUP(AV1738/BS1738,0))</f>
        <v>1</v>
      </c>
      <c r="AX1738" s="59" t="n">
        <f aca="false">IF(CH1738&gt;0,CH1738*MAX(1,AV1738/X1738),IF(BT1738=1,IF(AV1738&lt;=0,0,BW1738*MAX(1,IF(H1738&gt;0,AV1738/H1738,1))),IF(R1738&gt;0,AW1738/R1738,0))/MAX(0.1,N(Parameter!$M$21)))</f>
        <v>0.00505050505050505</v>
      </c>
      <c r="AY1738" s="57" t="n">
        <f aca="false">AV1738*G1738</f>
        <v>35.25</v>
      </c>
      <c r="AZ1738" s="57" t="n">
        <f aca="false">ROUNDUP(MAX(J1738/IF(BZ1738&gt;0,BZ1738,MAX(0.1,N(Cockpit!$O$6))),CC1738)/BS1738,0)*BS1738</f>
        <v>5</v>
      </c>
      <c r="BA1738" s="58" t="n">
        <f aca="false">IF(AX1738&gt;0,J1738/AX1738,-1)</f>
        <v>0</v>
      </c>
      <c r="BB1738" s="58" t="n">
        <f aca="false">IF(AND(OR(BY1738="L1",BY1738="L23"),AX1738&gt;0),SUMIFS($AX$7:$AX$1843,$BY$7:$BY$1843,BY1738,$BA$7:$BA$1843,"&gt;"&amp;BA1738)+SUMIFS($AX$7:$AX$1843,$BY$7:$BY$1843,BY1738,$BA$7:$BA$1843,BA1738,$BQ$7:$BQ$1843,"&lt;="&amp;BQ1738),"")</f>
        <v>133.052168845647</v>
      </c>
      <c r="BC1738" s="65" t="n">
        <f aca="false">IF(BB1738="",0,MAX(0,MIN(1,(IF(BY1738="L1",Parameter!$E$5,Parameter!$E$6+Parameter!$E$7)-(BB1738-AX1738))/AX1738)))</f>
        <v>0</v>
      </c>
      <c r="BD1738" s="55" t="str">
        <f aca="false">IF(AH1738&lt;=0,"",IF(BY1738="Aussen","Aussenlager",IF(BY1738="-","Nicht im Lift",IF(AM1738&gt;=1,"Lift",IF(AM1738&lt;=0,"Aussenlager","teilweise")))))</f>
        <v>Lift</v>
      </c>
      <c r="BE1738" s="55" t="str">
        <f aca="false">IF(AP1738&lt;=0,"",IF(BY1738="Aussen","Aussenlager",IF(BY1738="-","Nicht im Lift",IF(AU1738&gt;=1,"Lift",IF(AU1738&lt;=0,"Aussenlager","teilweise")))))</f>
        <v>Aussenlager</v>
      </c>
      <c r="BF1738" s="55" t="str">
        <f aca="false">IF(AX1738&lt;=0,"",IF(BY1738="Aussen","Aussenlager",IF(BY1738="-","Nicht im Lift",IF(BC1738&gt;=1,"Lift",IF(BC1738&lt;=0,"Aussenlager","teilweise")))))</f>
        <v>Aussenlager</v>
      </c>
      <c r="BG1738" s="55" t="str">
        <f aca="false">IF(A1738="","",IF(BP1738=1,"Neu; ","")&amp;IF(AND(BP1738=0,BK1738&lt;0),"negativer Bestand (Export "&amp;BK1738&amp;"); ","")&amp;IF(J1738&lt;=0,"Kein Verbrauch; ","")&amp;IF(CH1738&gt;0,"Lift "&amp;W1738&amp;" lt. Liftbericht (Fach "&amp;X1738&amp;" Stk); ",IF(BU1738=1,"Gebinde geschätzt ("&amp;T1738&amp;"); ",IF(BT1738=1,"Lose – Tablare geschätzt; ","")))&amp;IF(H1738&gt;AR1738,"Überbestand "&amp;ROUND(H1738-AR1738,0)&amp;" Stk / CHF "&amp;ROUND((H1738-AR1738)*G1738,0)&amp;"; ","")&amp;IF(AND(CA1738=1,CB1738&lt;CC1738),"MAX &lt; MB+LG; ","")&amp;IF(AND(CG1738&gt;0,CF1738*10&gt;CG1738),"zu hoch für Tablar; ","")&amp;IF(AND(BP1738=0,OR(CA1738=1,AA1738&lt;&gt;"",U1738&lt;&gt;"",V1738&lt;&gt;"",AB1738&lt;&gt;"")),"manuell übersteuert; ","")&amp;IF(AND(BT1738=0,R1738=0),"Gebinde unbekannt / Stellmass fehlt; ","")&amp;IF(AND(BT1738=0,N(V1738)&lt;=0,N(Q1738)&lt;=0),"Menge pro Gebinde fehlt (Ist = 1 Gebinde); ","")&amp;BO1738)</f>
        <v>Kein Verbrauch; nur im Artikelstamm (Bestand 23.06.2026)</v>
      </c>
      <c r="BH1738" s="55"/>
      <c r="BI1738" s="55"/>
      <c r="BJ1738" s="62"/>
      <c r="BK1738" s="57" t="n">
        <v>5</v>
      </c>
      <c r="BL1738" s="57" t="n">
        <v>0</v>
      </c>
      <c r="BM1738" s="56" t="n">
        <v>0</v>
      </c>
      <c r="BN1738" s="57" t="n">
        <v>0</v>
      </c>
      <c r="BO1738" s="55" t="s">
        <v>2575</v>
      </c>
      <c r="BP1738" s="60" t="n">
        <v>0</v>
      </c>
      <c r="BQ1738" s="60" t="n">
        <v>1738</v>
      </c>
      <c r="BR1738" s="55" t="str">
        <f aca="false">IF(U1738&lt;&gt;"",UPPER(TRIM(U1738)),IF(BU1738=1,UPPER(VLOOKUP(T1738,Parameter!$I$27:$K$29,2,0)),IF(P1738="","LOSE",P1738)))</f>
        <v>S22</v>
      </c>
      <c r="BS1738" s="57" t="n">
        <f aca="false">IF(BR1738="LOSE",1,IF(N(V1738)&gt;0,V1738,IF(BU1738=1,MAX(1,N(VLOOKUP(T1738,Parameter!$I$27:$K$29,3,0)),H1738,N(N1738)),IF(N(Q1738)&gt;0,Q1738,MAX(1,H1738)))))</f>
        <v>5</v>
      </c>
      <c r="BT1738" s="60" t="n">
        <f aca="false">IF(BR1738="LOSE",1,0)</f>
        <v>0</v>
      </c>
      <c r="BU1738" s="60" t="n">
        <f aca="false">IF(AND(U1738="",OR(P1738="",P1738="LOSE"),T1738&lt;&gt;"",N(S1738)&lt;=0,ISNUMBER(MATCH(T1738,Parameter!$I$27:$I$29,0))),1,0)</f>
        <v>0</v>
      </c>
      <c r="BV1738" s="55" t="str">
        <f aca="false">IF(AND(Parameter!$B$19="Ja",E1738&lt;&gt;"",ISNUMBER(MATCH(E1738,Parameter!$I$35:$I$52,0))),VLOOKUP(E1738,Parameter!$I$35:$J$52,2,0),IFERROR(VLOOKUP(D1738,Parameter!$A$35:$C$64,2,0),"Nein"))</f>
        <v>2+3</v>
      </c>
      <c r="BW1738" s="59" t="n">
        <f aca="false">IF(BT1738=0,0,IF(N(S1738)&gt;0,S1738,IFERROR(VLOOKUP(D1738,Parameter!$A$35:$C$64,3,0)+0,0)))</f>
        <v>0</v>
      </c>
      <c r="BX1738" s="55" t="n">
        <f aca="false">IF(AA1738&lt;&gt;"",AA1738,Z1738)</f>
        <v>3</v>
      </c>
      <c r="BY1738" s="55" t="str">
        <f aca="false">IF(BX1738=1,"L1",IF(OR(BX1738=2,BX1738=3),"L23",IF(BX1738="Aussen","Aussen","-")))</f>
        <v>L23</v>
      </c>
      <c r="BZ1738" s="66" t="n">
        <f aca="false">IF(N(AB1738)&gt;0,AB1738,0)</f>
        <v>0</v>
      </c>
      <c r="CA1738" s="60" t="n">
        <f aca="false">IF(ISNUMBER(AE1738),1,0)</f>
        <v>0</v>
      </c>
      <c r="CB1738" s="57" t="n">
        <f aca="false">N(AE1738)</f>
        <v>0</v>
      </c>
      <c r="CC1738" s="57" t="n">
        <f aca="false">N(M1738)+N(N1738)</f>
        <v>1</v>
      </c>
      <c r="CD1738" s="57" t="n">
        <f aca="false">ROUNDUP(H1738/BS1738,0)</f>
        <v>1</v>
      </c>
      <c r="CE1738" s="57" t="n">
        <f aca="false">ROUNDUP(CB1738/BS1738,0)</f>
        <v>0</v>
      </c>
      <c r="CF1738" s="60" t="n">
        <f aca="false">IF(BT1738=1,0,IFERROR(VLOOKUP(BR1738,'Gebinde-Kategorie'!$A$5:$M$45,5,0)+0,0))</f>
        <v>8</v>
      </c>
      <c r="CG1738" s="60" t="n">
        <f aca="false">IFERROR(IF(OR(BX1738=1,BX1738=2,BX1738=3),N(INDEX(Parameter!$I$5:$I$7,BX1738)),0),0)</f>
        <v>0</v>
      </c>
      <c r="CH1738" s="59" t="n">
        <f aca="false">IF(AND(Parameter!$B$21="Ja",ISNUMBER(W1738),N(X1738)&gt;0),IFERROR(N(INDEX(Parameter!$L$5:$L$7,W1738))*INDEX(Parameter!$E$5:$E$7,W1738)*X1738/SUMIFS($X$7:$X$1843,$W$7:$W$1843,W1738),0),0)</f>
        <v>0</v>
      </c>
    </row>
    <row r="1739" customFormat="false" ht="15" hidden="false" customHeight="false" outlineLevel="0" collapsed="false">
      <c r="A1739" s="55" t="s">
        <v>3006</v>
      </c>
      <c r="B1739" s="55" t="s">
        <v>3007</v>
      </c>
      <c r="C1739" s="55" t="s">
        <v>164</v>
      </c>
      <c r="D1739" s="55" t="s">
        <v>184</v>
      </c>
      <c r="E1739" s="55"/>
      <c r="F1739" s="55"/>
      <c r="G1739" s="56" t="n">
        <v>14.1</v>
      </c>
      <c r="H1739" s="57" t="n">
        <f aca="false">MAX(0,IF(AND(Parameter!$B$21="Ja",ISNUMBER(Y1739)),Y1739,IF(Parameter!$B$20="Jahresanfang 2025 + Export",BL1739+BK1739,BK1739)))</f>
        <v>5</v>
      </c>
      <c r="I1739" s="57" t="n">
        <f aca="false">H1739*G1739</f>
        <v>70.5</v>
      </c>
      <c r="J1739" s="57" t="n">
        <f aca="false">BN1739*Parameter!$B$18</f>
        <v>0</v>
      </c>
      <c r="K1739" s="58"/>
      <c r="L1739" s="59"/>
      <c r="M1739" s="57" t="n">
        <v>0</v>
      </c>
      <c r="N1739" s="57" t="n">
        <v>1</v>
      </c>
      <c r="O1739" s="60" t="n">
        <v>97</v>
      </c>
      <c r="P1739" s="55" t="s">
        <v>426</v>
      </c>
      <c r="Q1739" s="57" t="n">
        <v>5</v>
      </c>
      <c r="R1739" s="60" t="n">
        <f aca="false">IF(BT1739=1,0,IFERROR(VLOOKUP(BR1739,'Gebinde-Kategorie'!$A$5:$M$45,13,0)+0,0))</f>
        <v>198</v>
      </c>
      <c r="S1739" s="61"/>
      <c r="T1739" s="62"/>
      <c r="U1739" s="62"/>
      <c r="V1739" s="62"/>
      <c r="W1739" s="55"/>
      <c r="X1739" s="57"/>
      <c r="Y1739" s="57"/>
      <c r="Z1739" s="55" t="n">
        <f aca="false">IF(A1739="","",IF(AND(Parameter!$B$21="Ja",ISNUMBER(W1739)),W1739,IF(BV1739="2+3",IF(ISNUMBER(SEARCH("grosser Artikel",BO1739)),2,IFERROR(VLOOKUP(BR1739,Parameter!$F$35:$G$64,2,0),2)),IF(OR(BV1739="Nein",BV1739=""),"-",BV1739))))</f>
        <v>3</v>
      </c>
      <c r="AA1739" s="62"/>
      <c r="AB1739" s="63"/>
      <c r="AC1739" s="57" t="n">
        <f aca="false">AR1739</f>
        <v>5</v>
      </c>
      <c r="AD1739" s="57" t="n">
        <f aca="false">MAX(AR1739,H1739)</f>
        <v>5</v>
      </c>
      <c r="AE1739" s="64"/>
      <c r="AF1739" s="57" t="n">
        <f aca="false">IF(LEFT(Cockpit!$C$5,1)="A",H1739,IF(CA1739=1,CB1739,IF(LEFT(Cockpit!$C$5,1)="B",AJ1739,MAX(AJ1739,H1739))))</f>
        <v>5</v>
      </c>
      <c r="AG1739" s="57" t="n">
        <f aca="false">IF(BT1739=1,0,ROUNDUP(AF1739/BS1739,0))</f>
        <v>1</v>
      </c>
      <c r="AH1739" s="59" t="n">
        <f aca="false">IF(CH1739&gt;0,CH1739*MAX(1,AF1739/X1739),IF(BT1739=1,IF(AF1739&lt;=0,0,BW1739*MAX(1,IF(H1739&gt;0,AF1739/H1739,1))),IF(R1739&gt;0,AG1739/R1739,0))/MAX(0.1,N(Parameter!$M$21)))</f>
        <v>0.00505050505050505</v>
      </c>
      <c r="AI1739" s="57" t="n">
        <f aca="false">AF1739*G1739</f>
        <v>70.5</v>
      </c>
      <c r="AJ1739" s="57" t="n">
        <f aca="false">ROUNDUP(MAX(J1739/IF(BZ1739&gt;0,BZ1739,MAX(0.1,N(Cockpit!$C$6))),CC1739)/BS1739,0)*BS1739</f>
        <v>5</v>
      </c>
      <c r="AK1739" s="58" t="n">
        <f aca="false">IF(AH1739&gt;0,J1739/AH1739,-1)</f>
        <v>0</v>
      </c>
      <c r="AL1739" s="58" t="n">
        <f aca="false">IF(AND(OR(BY1739="L1",BY1739="L23"),AH1739&gt;0),SUMIFS($AH$7:$AH$1843,$BY$7:$BY$1843,BY1739,$AK$7:$AK$1843,"&gt;"&amp;AK1739)+SUMIFS($AH$7:$AH$1843,$BY$7:$BY$1843,BY1739,$AK$7:$AK$1843,AK1739,$BQ$7:$BQ$1843,"&lt;="&amp;BQ1739),"")</f>
        <v>96.8669892909023</v>
      </c>
      <c r="AM1739" s="65" t="n">
        <f aca="false">IF(AL1739="",0,MAX(0,MIN(1,(IF(BY1739="L1",Parameter!$E$5,Parameter!$E$6+Parameter!$E$7)-(AL1739-AH1739))/AH1739)))</f>
        <v>1</v>
      </c>
      <c r="AN1739" s="57" t="n">
        <f aca="false">IF(LEFT(Cockpit!$I$5,1)="A",H1739,IF(CA1739=1,CB1739,IF(LEFT(Cockpit!$I$5,1)="B",AR1739,MAX(AR1739,H1739))))</f>
        <v>5</v>
      </c>
      <c r="AO1739" s="57" t="n">
        <f aca="false">IF(BT1739=1,0,ROUNDUP(AN1739/BS1739,0))</f>
        <v>1</v>
      </c>
      <c r="AP1739" s="59" t="n">
        <f aca="false">IF(CH1739&gt;0,CH1739*MAX(1,AN1739/X1739),IF(BT1739=1,IF(AN1739&lt;=0,0,BW1739*MAX(1,IF(H1739&gt;0,AN1739/H1739,1))),IF(R1739&gt;0,AO1739/R1739,0))/MAX(0.1,N(Parameter!$M$21)))</f>
        <v>0.00505050505050505</v>
      </c>
      <c r="AQ1739" s="57" t="n">
        <f aca="false">AN1739*G1739</f>
        <v>70.5</v>
      </c>
      <c r="AR1739" s="57" t="n">
        <f aca="false">ROUNDUP(MAX(J1739/IF(BZ1739&gt;0,BZ1739,MAX(0.1,N(Cockpit!$I$6))),CC1739)/BS1739,0)*BS1739</f>
        <v>5</v>
      </c>
      <c r="AS1739" s="58" t="n">
        <f aca="false">IF(AP1739&gt;0,J1739/AP1739,-1)</f>
        <v>0</v>
      </c>
      <c r="AT1739" s="58" t="n">
        <f aca="false">IF(AND(OR(BY1739="L1",BY1739="L23"),AP1739&gt;0),SUMIFS($AP$7:$AP$1843,$BY$7:$BY$1843,BY1739,$AS$7:$AS$1843,"&gt;"&amp;AS1739)+SUMIFS($AP$7:$AP$1843,$BY$7:$BY$1843,BY1739,$AS$7:$AS$1843,AS1739,$BQ$7:$BQ$1843,"&lt;="&amp;BQ1739),"")</f>
        <v>142.227382520861</v>
      </c>
      <c r="AU1739" s="65" t="n">
        <f aca="false">IF(AT1739="",0,MAX(0,MIN(1,(IF(BY1739="L1",Parameter!$E$5,Parameter!$E$6+Parameter!$E$7)-(AT1739-AP1739))/AP1739)))</f>
        <v>0</v>
      </c>
      <c r="AV1739" s="57" t="n">
        <f aca="false">IF(LEFT(Cockpit!$O$5,1)="A",H1739,IF(CA1739=1,CB1739,IF(LEFT(Cockpit!$O$5,1)="B",AZ1739,MAX(AZ1739,H1739))))</f>
        <v>5</v>
      </c>
      <c r="AW1739" s="57" t="n">
        <f aca="false">IF(BT1739=1,0,ROUNDUP(AV1739/BS1739,0))</f>
        <v>1</v>
      </c>
      <c r="AX1739" s="59" t="n">
        <f aca="false">IF(CH1739&gt;0,CH1739*MAX(1,AV1739/X1739),IF(BT1739=1,IF(AV1739&lt;=0,0,BW1739*MAX(1,IF(H1739&gt;0,AV1739/H1739,1))),IF(R1739&gt;0,AW1739/R1739,0))/MAX(0.1,N(Parameter!$M$21)))</f>
        <v>0.00505050505050505</v>
      </c>
      <c r="AY1739" s="57" t="n">
        <f aca="false">AV1739*G1739</f>
        <v>70.5</v>
      </c>
      <c r="AZ1739" s="57" t="n">
        <f aca="false">ROUNDUP(MAX(J1739/IF(BZ1739&gt;0,BZ1739,MAX(0.1,N(Cockpit!$O$6))),CC1739)/BS1739,0)*BS1739</f>
        <v>5</v>
      </c>
      <c r="BA1739" s="58" t="n">
        <f aca="false">IF(AX1739&gt;0,J1739/AX1739,-1)</f>
        <v>0</v>
      </c>
      <c r="BB1739" s="58" t="n">
        <f aca="false">IF(AND(OR(BY1739="L1",BY1739="L23"),AX1739&gt;0),SUMIFS($AX$7:$AX$1843,$BY$7:$BY$1843,BY1739,$BA$7:$BA$1843,"&gt;"&amp;BA1739)+SUMIFS($AX$7:$AX$1843,$BY$7:$BY$1843,BY1739,$BA$7:$BA$1843,BA1739,$BQ$7:$BQ$1843,"&lt;="&amp;BQ1739),"")</f>
        <v>133.057219350698</v>
      </c>
      <c r="BC1739" s="65" t="n">
        <f aca="false">IF(BB1739="",0,MAX(0,MIN(1,(IF(BY1739="L1",Parameter!$E$5,Parameter!$E$6+Parameter!$E$7)-(BB1739-AX1739))/AX1739)))</f>
        <v>0</v>
      </c>
      <c r="BD1739" s="55" t="str">
        <f aca="false">IF(AH1739&lt;=0,"",IF(BY1739="Aussen","Aussenlager",IF(BY1739="-","Nicht im Lift",IF(AM1739&gt;=1,"Lift",IF(AM1739&lt;=0,"Aussenlager","teilweise")))))</f>
        <v>Lift</v>
      </c>
      <c r="BE1739" s="55" t="str">
        <f aca="false">IF(AP1739&lt;=0,"",IF(BY1739="Aussen","Aussenlager",IF(BY1739="-","Nicht im Lift",IF(AU1739&gt;=1,"Lift",IF(AU1739&lt;=0,"Aussenlager","teilweise")))))</f>
        <v>Aussenlager</v>
      </c>
      <c r="BF1739" s="55" t="str">
        <f aca="false">IF(AX1739&lt;=0,"",IF(BY1739="Aussen","Aussenlager",IF(BY1739="-","Nicht im Lift",IF(BC1739&gt;=1,"Lift",IF(BC1739&lt;=0,"Aussenlager","teilweise")))))</f>
        <v>Aussenlager</v>
      </c>
      <c r="BG1739" s="55" t="str">
        <f aca="false">IF(A1739="","",IF(BP1739=1,"Neu; ","")&amp;IF(AND(BP1739=0,BK1739&lt;0),"negativer Bestand (Export "&amp;BK1739&amp;"); ","")&amp;IF(J1739&lt;=0,"Kein Verbrauch; ","")&amp;IF(CH1739&gt;0,"Lift "&amp;W1739&amp;" lt. Liftbericht (Fach "&amp;X1739&amp;" Stk); ",IF(BU1739=1,"Gebinde geschätzt ("&amp;T1739&amp;"); ",IF(BT1739=1,"Lose – Tablare geschätzt; ","")))&amp;IF(H1739&gt;AR1739,"Überbestand "&amp;ROUND(H1739-AR1739,0)&amp;" Stk / CHF "&amp;ROUND((H1739-AR1739)*G1739,0)&amp;"; ","")&amp;IF(AND(CA1739=1,CB1739&lt;CC1739),"MAX &lt; MB+LG; ","")&amp;IF(AND(CG1739&gt;0,CF1739*10&gt;CG1739),"zu hoch für Tablar; ","")&amp;IF(AND(BP1739=0,OR(CA1739=1,AA1739&lt;&gt;"",U1739&lt;&gt;"",V1739&lt;&gt;"",AB1739&lt;&gt;"")),"manuell übersteuert; ","")&amp;IF(AND(BT1739=0,R1739=0),"Gebinde unbekannt / Stellmass fehlt; ","")&amp;IF(AND(BT1739=0,N(V1739)&lt;=0,N(Q1739)&lt;=0),"Menge pro Gebinde fehlt (Ist = 1 Gebinde); ","")&amp;BO1739)</f>
        <v>Kein Verbrauch; nur im Artikelstamm (Bestand 23.06.2026)</v>
      </c>
      <c r="BH1739" s="55"/>
      <c r="BI1739" s="55"/>
      <c r="BJ1739" s="62"/>
      <c r="BK1739" s="57" t="n">
        <v>5</v>
      </c>
      <c r="BL1739" s="57" t="n">
        <v>0</v>
      </c>
      <c r="BM1739" s="56" t="n">
        <v>0</v>
      </c>
      <c r="BN1739" s="57" t="n">
        <v>0</v>
      </c>
      <c r="BO1739" s="55" t="s">
        <v>2575</v>
      </c>
      <c r="BP1739" s="60" t="n">
        <v>0</v>
      </c>
      <c r="BQ1739" s="60" t="n">
        <v>1739</v>
      </c>
      <c r="BR1739" s="55" t="str">
        <f aca="false">IF(U1739&lt;&gt;"",UPPER(TRIM(U1739)),IF(BU1739=1,UPPER(VLOOKUP(T1739,Parameter!$I$27:$K$29,2,0)),IF(P1739="","LOSE",P1739)))</f>
        <v>S22</v>
      </c>
      <c r="BS1739" s="57" t="n">
        <f aca="false">IF(BR1739="LOSE",1,IF(N(V1739)&gt;0,V1739,IF(BU1739=1,MAX(1,N(VLOOKUP(T1739,Parameter!$I$27:$K$29,3,0)),H1739,N(N1739)),IF(N(Q1739)&gt;0,Q1739,MAX(1,H1739)))))</f>
        <v>5</v>
      </c>
      <c r="BT1739" s="60" t="n">
        <f aca="false">IF(BR1739="LOSE",1,0)</f>
        <v>0</v>
      </c>
      <c r="BU1739" s="60" t="n">
        <f aca="false">IF(AND(U1739="",OR(P1739="",P1739="LOSE"),T1739&lt;&gt;"",N(S1739)&lt;=0,ISNUMBER(MATCH(T1739,Parameter!$I$27:$I$29,0))),1,0)</f>
        <v>0</v>
      </c>
      <c r="BV1739" s="55" t="str">
        <f aca="false">IF(AND(Parameter!$B$19="Ja",E1739&lt;&gt;"",ISNUMBER(MATCH(E1739,Parameter!$I$35:$I$52,0))),VLOOKUP(E1739,Parameter!$I$35:$J$52,2,0),IFERROR(VLOOKUP(D1739,Parameter!$A$35:$C$64,2,0),"Nein"))</f>
        <v>2+3</v>
      </c>
      <c r="BW1739" s="59" t="n">
        <f aca="false">IF(BT1739=0,0,IF(N(S1739)&gt;0,S1739,IFERROR(VLOOKUP(D1739,Parameter!$A$35:$C$64,3,0)+0,0)))</f>
        <v>0</v>
      </c>
      <c r="BX1739" s="55" t="n">
        <f aca="false">IF(AA1739&lt;&gt;"",AA1739,Z1739)</f>
        <v>3</v>
      </c>
      <c r="BY1739" s="55" t="str">
        <f aca="false">IF(BX1739=1,"L1",IF(OR(BX1739=2,BX1739=3),"L23",IF(BX1739="Aussen","Aussen","-")))</f>
        <v>L23</v>
      </c>
      <c r="BZ1739" s="66" t="n">
        <f aca="false">IF(N(AB1739)&gt;0,AB1739,0)</f>
        <v>0</v>
      </c>
      <c r="CA1739" s="60" t="n">
        <f aca="false">IF(ISNUMBER(AE1739),1,0)</f>
        <v>0</v>
      </c>
      <c r="CB1739" s="57" t="n">
        <f aca="false">N(AE1739)</f>
        <v>0</v>
      </c>
      <c r="CC1739" s="57" t="n">
        <f aca="false">N(M1739)+N(N1739)</f>
        <v>1</v>
      </c>
      <c r="CD1739" s="57" t="n">
        <f aca="false">ROUNDUP(H1739/BS1739,0)</f>
        <v>1</v>
      </c>
      <c r="CE1739" s="57" t="n">
        <f aca="false">ROUNDUP(CB1739/BS1739,0)</f>
        <v>0</v>
      </c>
      <c r="CF1739" s="60" t="n">
        <f aca="false">IF(BT1739=1,0,IFERROR(VLOOKUP(BR1739,'Gebinde-Kategorie'!$A$5:$M$45,5,0)+0,0))</f>
        <v>8</v>
      </c>
      <c r="CG1739" s="60" t="n">
        <f aca="false">IFERROR(IF(OR(BX1739=1,BX1739=2,BX1739=3),N(INDEX(Parameter!$I$5:$I$7,BX1739)),0),0)</f>
        <v>0</v>
      </c>
      <c r="CH1739" s="59" t="n">
        <f aca="false">IF(AND(Parameter!$B$21="Ja",ISNUMBER(W1739),N(X1739)&gt;0),IFERROR(N(INDEX(Parameter!$L$5:$L$7,W1739))*INDEX(Parameter!$E$5:$E$7,W1739)*X1739/SUMIFS($X$7:$X$1843,$W$7:$W$1843,W1739),0),0)</f>
        <v>0</v>
      </c>
    </row>
    <row r="1740" customFormat="false" ht="15" hidden="false" customHeight="false" outlineLevel="0" collapsed="false">
      <c r="A1740" s="55" t="s">
        <v>3008</v>
      </c>
      <c r="B1740" s="55" t="s">
        <v>2968</v>
      </c>
      <c r="C1740" s="55" t="s">
        <v>164</v>
      </c>
      <c r="D1740" s="55" t="s">
        <v>184</v>
      </c>
      <c r="E1740" s="55"/>
      <c r="F1740" s="55"/>
      <c r="G1740" s="56" t="n">
        <v>21.2</v>
      </c>
      <c r="H1740" s="57" t="n">
        <f aca="false">MAX(0,IF(AND(Parameter!$B$21="Ja",ISNUMBER(Y1740)),Y1740,IF(Parameter!$B$20="Jahresanfang 2025 + Export",BL1740+BK1740,BK1740)))</f>
        <v>10</v>
      </c>
      <c r="I1740" s="57" t="n">
        <f aca="false">H1740*G1740</f>
        <v>212</v>
      </c>
      <c r="J1740" s="57" t="n">
        <f aca="false">BN1740*Parameter!$B$18</f>
        <v>0</v>
      </c>
      <c r="K1740" s="58"/>
      <c r="L1740" s="59"/>
      <c r="M1740" s="57" t="n">
        <v>0</v>
      </c>
      <c r="N1740" s="57" t="n">
        <v>2</v>
      </c>
      <c r="O1740" s="60" t="n">
        <v>21</v>
      </c>
      <c r="P1740" s="55" t="s">
        <v>401</v>
      </c>
      <c r="Q1740" s="57" t="n">
        <v>5</v>
      </c>
      <c r="R1740" s="60" t="n">
        <f aca="false">IF(BT1740=1,0,IFERROR(VLOOKUP(BR1740,'Gebinde-Kategorie'!$A$5:$M$45,13,0)+0,0))</f>
        <v>414</v>
      </c>
      <c r="S1740" s="61"/>
      <c r="T1740" s="62"/>
      <c r="U1740" s="62"/>
      <c r="V1740" s="62"/>
      <c r="W1740" s="55"/>
      <c r="X1740" s="57"/>
      <c r="Y1740" s="57"/>
      <c r="Z1740" s="55" t="n">
        <f aca="false">IF(A1740="","",IF(AND(Parameter!$B$21="Ja",ISNUMBER(W1740)),W1740,IF(BV1740="2+3",IF(ISNUMBER(SEARCH("grosser Artikel",BO1740)),2,IFERROR(VLOOKUP(BR1740,Parameter!$F$35:$G$64,2,0),2)),IF(OR(BV1740="Nein",BV1740=""),"-",BV1740))))</f>
        <v>3</v>
      </c>
      <c r="AA1740" s="62"/>
      <c r="AB1740" s="63"/>
      <c r="AC1740" s="57" t="n">
        <f aca="false">AR1740</f>
        <v>5</v>
      </c>
      <c r="AD1740" s="57" t="n">
        <f aca="false">MAX(AR1740,H1740)</f>
        <v>10</v>
      </c>
      <c r="AE1740" s="64"/>
      <c r="AF1740" s="57" t="n">
        <f aca="false">IF(LEFT(Cockpit!$C$5,1)="A",H1740,IF(CA1740=1,CB1740,IF(LEFT(Cockpit!$C$5,1)="B",AJ1740,MAX(AJ1740,H1740))))</f>
        <v>10</v>
      </c>
      <c r="AG1740" s="57" t="n">
        <f aca="false">IF(BT1740=1,0,ROUNDUP(AF1740/BS1740,0))</f>
        <v>2</v>
      </c>
      <c r="AH1740" s="59" t="n">
        <f aca="false">IF(CH1740&gt;0,CH1740*MAX(1,AF1740/X1740),IF(BT1740=1,IF(AF1740&lt;=0,0,BW1740*MAX(1,IF(H1740&gt;0,AF1740/H1740,1))),IF(R1740&gt;0,AG1740/R1740,0))/MAX(0.1,N(Parameter!$M$21)))</f>
        <v>0.00483091787439614</v>
      </c>
      <c r="AI1740" s="57" t="n">
        <f aca="false">AF1740*G1740</f>
        <v>212</v>
      </c>
      <c r="AJ1740" s="57" t="n">
        <f aca="false">ROUNDUP(MAX(J1740/IF(BZ1740&gt;0,BZ1740,MAX(0.1,N(Cockpit!$C$6))),CC1740)/BS1740,0)*BS1740</f>
        <v>5</v>
      </c>
      <c r="AK1740" s="58" t="n">
        <f aca="false">IF(AH1740&gt;0,J1740/AH1740,-1)</f>
        <v>0</v>
      </c>
      <c r="AL1740" s="58" t="n">
        <f aca="false">IF(AND(OR(BY1740="L1",BY1740="L23"),AH1740&gt;0),SUMIFS($AH$7:$AH$1843,$BY$7:$BY$1843,BY1740,$AK$7:$AK$1843,"&gt;"&amp;AK1740)+SUMIFS($AH$7:$AH$1843,$BY$7:$BY$1843,BY1740,$AK$7:$AK$1843,AK1740,$BQ$7:$BQ$1843,"&lt;="&amp;BQ1740),"")</f>
        <v>96.8718202087767</v>
      </c>
      <c r="AM1740" s="65" t="n">
        <f aca="false">IF(AL1740="",0,MAX(0,MIN(1,(IF(BY1740="L1",Parameter!$E$5,Parameter!$E$6+Parameter!$E$7)-(AL1740-AH1740))/AH1740)))</f>
        <v>1</v>
      </c>
      <c r="AN1740" s="57" t="n">
        <f aca="false">IF(LEFT(Cockpit!$I$5,1)="A",H1740,IF(CA1740=1,CB1740,IF(LEFT(Cockpit!$I$5,1)="B",AR1740,MAX(AR1740,H1740))))</f>
        <v>10</v>
      </c>
      <c r="AO1740" s="57" t="n">
        <f aca="false">IF(BT1740=1,0,ROUNDUP(AN1740/BS1740,0))</f>
        <v>2</v>
      </c>
      <c r="AP1740" s="59" t="n">
        <f aca="false">IF(CH1740&gt;0,CH1740*MAX(1,AN1740/X1740),IF(BT1740=1,IF(AN1740&lt;=0,0,BW1740*MAX(1,IF(H1740&gt;0,AN1740/H1740,1))),IF(R1740&gt;0,AO1740/R1740,0))/MAX(0.1,N(Parameter!$M$21)))</f>
        <v>0.00483091787439614</v>
      </c>
      <c r="AQ1740" s="57" t="n">
        <f aca="false">AN1740*G1740</f>
        <v>212</v>
      </c>
      <c r="AR1740" s="57" t="n">
        <f aca="false">ROUNDUP(MAX(J1740/IF(BZ1740&gt;0,BZ1740,MAX(0.1,N(Cockpit!$I$6))),CC1740)/BS1740,0)*BS1740</f>
        <v>5</v>
      </c>
      <c r="AS1740" s="58" t="n">
        <f aca="false">IF(AP1740&gt;0,J1740/AP1740,-1)</f>
        <v>0</v>
      </c>
      <c r="AT1740" s="58" t="n">
        <f aca="false">IF(AND(OR(BY1740="L1",BY1740="L23"),AP1740&gt;0),SUMIFS($AP$7:$AP$1843,$BY$7:$BY$1843,BY1740,$AS$7:$AS$1843,"&gt;"&amp;AS1740)+SUMIFS($AP$7:$AP$1843,$BY$7:$BY$1843,BY1740,$AS$7:$AS$1843,AS1740,$BQ$7:$BQ$1843,"&lt;="&amp;BQ1740),"")</f>
        <v>142.232213438735</v>
      </c>
      <c r="AU1740" s="65" t="n">
        <f aca="false">IF(AT1740="",0,MAX(0,MIN(1,(IF(BY1740="L1",Parameter!$E$5,Parameter!$E$6+Parameter!$E$7)-(AT1740-AP1740))/AP1740)))</f>
        <v>0</v>
      </c>
      <c r="AV1740" s="57" t="n">
        <f aca="false">IF(LEFT(Cockpit!$O$5,1)="A",H1740,IF(CA1740=1,CB1740,IF(LEFT(Cockpit!$O$5,1)="B",AZ1740,MAX(AZ1740,H1740))))</f>
        <v>10</v>
      </c>
      <c r="AW1740" s="57" t="n">
        <f aca="false">IF(BT1740=1,0,ROUNDUP(AV1740/BS1740,0))</f>
        <v>2</v>
      </c>
      <c r="AX1740" s="59" t="n">
        <f aca="false">IF(CH1740&gt;0,CH1740*MAX(1,AV1740/X1740),IF(BT1740=1,IF(AV1740&lt;=0,0,BW1740*MAX(1,IF(H1740&gt;0,AV1740/H1740,1))),IF(R1740&gt;0,AW1740/R1740,0))/MAX(0.1,N(Parameter!$M$21)))</f>
        <v>0.00483091787439614</v>
      </c>
      <c r="AY1740" s="57" t="n">
        <f aca="false">AV1740*G1740</f>
        <v>212</v>
      </c>
      <c r="AZ1740" s="57" t="n">
        <f aca="false">ROUNDUP(MAX(J1740/IF(BZ1740&gt;0,BZ1740,MAX(0.1,N(Cockpit!$O$6))),CC1740)/BS1740,0)*BS1740</f>
        <v>5</v>
      </c>
      <c r="BA1740" s="58" t="n">
        <f aca="false">IF(AX1740&gt;0,J1740/AX1740,-1)</f>
        <v>0</v>
      </c>
      <c r="BB1740" s="58" t="n">
        <f aca="false">IF(AND(OR(BY1740="L1",BY1740="L23"),AX1740&gt;0),SUMIFS($AX$7:$AX$1843,$BY$7:$BY$1843,BY1740,$BA$7:$BA$1843,"&gt;"&amp;BA1740)+SUMIFS($AX$7:$AX$1843,$BY$7:$BY$1843,BY1740,$BA$7:$BA$1843,BA1740,$BQ$7:$BQ$1843,"&lt;="&amp;BQ1740),"")</f>
        <v>133.062050268572</v>
      </c>
      <c r="BC1740" s="65" t="n">
        <f aca="false">IF(BB1740="",0,MAX(0,MIN(1,(IF(BY1740="L1",Parameter!$E$5,Parameter!$E$6+Parameter!$E$7)-(BB1740-AX1740))/AX1740)))</f>
        <v>0</v>
      </c>
      <c r="BD1740" s="55" t="str">
        <f aca="false">IF(AH1740&lt;=0,"",IF(BY1740="Aussen","Aussenlager",IF(BY1740="-","Nicht im Lift",IF(AM1740&gt;=1,"Lift",IF(AM1740&lt;=0,"Aussenlager","teilweise")))))</f>
        <v>Lift</v>
      </c>
      <c r="BE1740" s="55" t="str">
        <f aca="false">IF(AP1740&lt;=0,"",IF(BY1740="Aussen","Aussenlager",IF(BY1740="-","Nicht im Lift",IF(AU1740&gt;=1,"Lift",IF(AU1740&lt;=0,"Aussenlager","teilweise")))))</f>
        <v>Aussenlager</v>
      </c>
      <c r="BF1740" s="55" t="str">
        <f aca="false">IF(AX1740&lt;=0,"",IF(BY1740="Aussen","Aussenlager",IF(BY1740="-","Nicht im Lift",IF(BC1740&gt;=1,"Lift",IF(BC1740&lt;=0,"Aussenlager","teilweise")))))</f>
        <v>Aussenlager</v>
      </c>
      <c r="BG1740" s="55" t="str">
        <f aca="false">IF(A1740="","",IF(BP1740=1,"Neu; ","")&amp;IF(AND(BP1740=0,BK1740&lt;0),"negativer Bestand (Export "&amp;BK1740&amp;"); ","")&amp;IF(J1740&lt;=0,"Kein Verbrauch; ","")&amp;IF(CH1740&gt;0,"Lift "&amp;W1740&amp;" lt. Liftbericht (Fach "&amp;X1740&amp;" Stk); ",IF(BU1740=1,"Gebinde geschätzt ("&amp;T1740&amp;"); ",IF(BT1740=1,"Lose – Tablare geschätzt; ","")))&amp;IF(H1740&gt;AR1740,"Überbestand "&amp;ROUND(H1740-AR1740,0)&amp;" Stk / CHF "&amp;ROUND((H1740-AR1740)*G1740,0)&amp;"; ","")&amp;IF(AND(CA1740=1,CB1740&lt;CC1740),"MAX &lt; MB+LG; ","")&amp;IF(AND(CG1740&gt;0,CF1740*10&gt;CG1740),"zu hoch für Tablar; ","")&amp;IF(AND(BP1740=0,OR(CA1740=1,AA1740&lt;&gt;"",U1740&lt;&gt;"",V1740&lt;&gt;"",AB1740&lt;&gt;"")),"manuell übersteuert; ","")&amp;IF(AND(BT1740=0,R1740=0),"Gebinde unbekannt / Stellmass fehlt; ","")&amp;IF(AND(BT1740=0,N(V1740)&lt;=0,N(Q1740)&lt;=0),"Menge pro Gebinde fehlt (Ist = 1 Gebinde); ","")&amp;BO1740)</f>
        <v>Kein Verbrauch; Überbestand 5 Stk / CHF 106; nur im Artikelstamm (Bestand 23.06.2026); Neuer Art.</v>
      </c>
      <c r="BH1740" s="55"/>
      <c r="BI1740" s="55"/>
      <c r="BJ1740" s="62"/>
      <c r="BK1740" s="57" t="n">
        <v>10</v>
      </c>
      <c r="BL1740" s="57" t="n">
        <v>0</v>
      </c>
      <c r="BM1740" s="56" t="n">
        <v>0</v>
      </c>
      <c r="BN1740" s="57" t="n">
        <v>0</v>
      </c>
      <c r="BO1740" s="55" t="s">
        <v>2873</v>
      </c>
      <c r="BP1740" s="60" t="n">
        <v>0</v>
      </c>
      <c r="BQ1740" s="60" t="n">
        <v>1740</v>
      </c>
      <c r="BR1740" s="55" t="str">
        <f aca="false">IF(U1740&lt;&gt;"",UPPER(TRIM(U1740)),IF(BU1740=1,UPPER(VLOOKUP(T1740,Parameter!$I$27:$K$29,2,0)),IF(P1740="","LOSE",P1740)))</f>
        <v>S21</v>
      </c>
      <c r="BS1740" s="57" t="n">
        <f aca="false">IF(BR1740="LOSE",1,IF(N(V1740)&gt;0,V1740,IF(BU1740=1,MAX(1,N(VLOOKUP(T1740,Parameter!$I$27:$K$29,3,0)),H1740,N(N1740)),IF(N(Q1740)&gt;0,Q1740,MAX(1,H1740)))))</f>
        <v>5</v>
      </c>
      <c r="BT1740" s="60" t="n">
        <f aca="false">IF(BR1740="LOSE",1,0)</f>
        <v>0</v>
      </c>
      <c r="BU1740" s="60" t="n">
        <f aca="false">IF(AND(U1740="",OR(P1740="",P1740="LOSE"),T1740&lt;&gt;"",N(S1740)&lt;=0,ISNUMBER(MATCH(T1740,Parameter!$I$27:$I$29,0))),1,0)</f>
        <v>0</v>
      </c>
      <c r="BV1740" s="55" t="str">
        <f aca="false">IF(AND(Parameter!$B$19="Ja",E1740&lt;&gt;"",ISNUMBER(MATCH(E1740,Parameter!$I$35:$I$52,0))),VLOOKUP(E1740,Parameter!$I$35:$J$52,2,0),IFERROR(VLOOKUP(D1740,Parameter!$A$35:$C$64,2,0),"Nein"))</f>
        <v>2+3</v>
      </c>
      <c r="BW1740" s="59" t="n">
        <f aca="false">IF(BT1740=0,0,IF(N(S1740)&gt;0,S1740,IFERROR(VLOOKUP(D1740,Parameter!$A$35:$C$64,3,0)+0,0)))</f>
        <v>0</v>
      </c>
      <c r="BX1740" s="55" t="n">
        <f aca="false">IF(AA1740&lt;&gt;"",AA1740,Z1740)</f>
        <v>3</v>
      </c>
      <c r="BY1740" s="55" t="str">
        <f aca="false">IF(BX1740=1,"L1",IF(OR(BX1740=2,BX1740=3),"L23",IF(BX1740="Aussen","Aussen","-")))</f>
        <v>L23</v>
      </c>
      <c r="BZ1740" s="66" t="n">
        <f aca="false">IF(N(AB1740)&gt;0,AB1740,0)</f>
        <v>0</v>
      </c>
      <c r="CA1740" s="60" t="n">
        <f aca="false">IF(ISNUMBER(AE1740),1,0)</f>
        <v>0</v>
      </c>
      <c r="CB1740" s="57" t="n">
        <f aca="false">N(AE1740)</f>
        <v>0</v>
      </c>
      <c r="CC1740" s="57" t="n">
        <f aca="false">N(M1740)+N(N1740)</f>
        <v>2</v>
      </c>
      <c r="CD1740" s="57" t="n">
        <f aca="false">ROUNDUP(H1740/BS1740,0)</f>
        <v>2</v>
      </c>
      <c r="CE1740" s="57" t="n">
        <f aca="false">ROUNDUP(CB1740/BS1740,0)</f>
        <v>0</v>
      </c>
      <c r="CF1740" s="60" t="n">
        <f aca="false">IF(BT1740=1,0,IFERROR(VLOOKUP(BR1740,'Gebinde-Kategorie'!$A$5:$M$45,5,0)+0,0))</f>
        <v>8</v>
      </c>
      <c r="CG1740" s="60" t="n">
        <f aca="false">IFERROR(IF(OR(BX1740=1,BX1740=2,BX1740=3),N(INDEX(Parameter!$I$5:$I$7,BX1740)),0),0)</f>
        <v>0</v>
      </c>
      <c r="CH1740" s="59" t="n">
        <f aca="false">IF(AND(Parameter!$B$21="Ja",ISNUMBER(W1740),N(X1740)&gt;0),IFERROR(N(INDEX(Parameter!$L$5:$L$7,W1740))*INDEX(Parameter!$E$5:$E$7,W1740)*X1740/SUMIFS($X$7:$X$1843,$W$7:$W$1843,W1740),0),0)</f>
        <v>0</v>
      </c>
    </row>
    <row r="1741" customFormat="false" ht="15" hidden="false" customHeight="false" outlineLevel="0" collapsed="false">
      <c r="A1741" s="55" t="s">
        <v>3009</v>
      </c>
      <c r="B1741" s="55" t="s">
        <v>3010</v>
      </c>
      <c r="C1741" s="55" t="s">
        <v>164</v>
      </c>
      <c r="D1741" s="55" t="s">
        <v>184</v>
      </c>
      <c r="E1741" s="55"/>
      <c r="F1741" s="55"/>
      <c r="G1741" s="56" t="n">
        <v>124</v>
      </c>
      <c r="H1741" s="57" t="n">
        <f aca="false">MAX(0,IF(AND(Parameter!$B$21="Ja",ISNUMBER(Y1741)),Y1741,IF(Parameter!$B$20="Jahresanfang 2025 + Export",BL1741+BK1741,BK1741)))</f>
        <v>4</v>
      </c>
      <c r="I1741" s="57" t="n">
        <f aca="false">H1741*G1741</f>
        <v>496</v>
      </c>
      <c r="J1741" s="57" t="n">
        <f aca="false">BN1741*Parameter!$B$18</f>
        <v>0</v>
      </c>
      <c r="K1741" s="58"/>
      <c r="L1741" s="59"/>
      <c r="M1741" s="57" t="n">
        <v>0</v>
      </c>
      <c r="N1741" s="57" t="n">
        <v>5</v>
      </c>
      <c r="O1741" s="60" t="n">
        <v>49</v>
      </c>
      <c r="P1741" s="55" t="s">
        <v>426</v>
      </c>
      <c r="Q1741" s="57" t="n">
        <v>4</v>
      </c>
      <c r="R1741" s="60" t="n">
        <f aca="false">IF(BT1741=1,0,IFERROR(VLOOKUP(BR1741,'Gebinde-Kategorie'!$A$5:$M$45,13,0)+0,0))</f>
        <v>198</v>
      </c>
      <c r="S1741" s="61"/>
      <c r="T1741" s="62"/>
      <c r="U1741" s="62"/>
      <c r="V1741" s="62"/>
      <c r="W1741" s="55"/>
      <c r="X1741" s="57"/>
      <c r="Y1741" s="57"/>
      <c r="Z1741" s="55" t="n">
        <f aca="false">IF(A1741="","",IF(AND(Parameter!$B$21="Ja",ISNUMBER(W1741)),W1741,IF(BV1741="2+3",IF(ISNUMBER(SEARCH("grosser Artikel",BO1741)),2,IFERROR(VLOOKUP(BR1741,Parameter!$F$35:$G$64,2,0),2)),IF(OR(BV1741="Nein",BV1741=""),"-",BV1741))))</f>
        <v>3</v>
      </c>
      <c r="AA1741" s="62"/>
      <c r="AB1741" s="63"/>
      <c r="AC1741" s="57" t="n">
        <f aca="false">AR1741</f>
        <v>8</v>
      </c>
      <c r="AD1741" s="57" t="n">
        <f aca="false">MAX(AR1741,H1741)</f>
        <v>8</v>
      </c>
      <c r="AE1741" s="64"/>
      <c r="AF1741" s="57" t="n">
        <f aca="false">IF(LEFT(Cockpit!$C$5,1)="A",H1741,IF(CA1741=1,CB1741,IF(LEFT(Cockpit!$C$5,1)="B",AJ1741,MAX(AJ1741,H1741))))</f>
        <v>4</v>
      </c>
      <c r="AG1741" s="57" t="n">
        <f aca="false">IF(BT1741=1,0,ROUNDUP(AF1741/BS1741,0))</f>
        <v>1</v>
      </c>
      <c r="AH1741" s="59" t="n">
        <f aca="false">IF(CH1741&gt;0,CH1741*MAX(1,AF1741/X1741),IF(BT1741=1,IF(AF1741&lt;=0,0,BW1741*MAX(1,IF(H1741&gt;0,AF1741/H1741,1))),IF(R1741&gt;0,AG1741/R1741,0))/MAX(0.1,N(Parameter!$M$21)))</f>
        <v>0.00505050505050505</v>
      </c>
      <c r="AI1741" s="57" t="n">
        <f aca="false">AF1741*G1741</f>
        <v>496</v>
      </c>
      <c r="AJ1741" s="57" t="n">
        <f aca="false">ROUNDUP(MAX(J1741/IF(BZ1741&gt;0,BZ1741,MAX(0.1,N(Cockpit!$C$6))),CC1741)/BS1741,0)*BS1741</f>
        <v>8</v>
      </c>
      <c r="AK1741" s="58" t="n">
        <f aca="false">IF(AH1741&gt;0,J1741/AH1741,-1)</f>
        <v>0</v>
      </c>
      <c r="AL1741" s="58" t="n">
        <f aca="false">IF(AND(OR(BY1741="L1",BY1741="L23"),AH1741&gt;0),SUMIFS($AH$7:$AH$1843,$BY$7:$BY$1843,BY1741,$AK$7:$AK$1843,"&gt;"&amp;AK1741)+SUMIFS($AH$7:$AH$1843,$BY$7:$BY$1843,BY1741,$AK$7:$AK$1843,AK1741,$BQ$7:$BQ$1843,"&lt;="&amp;BQ1741),"")</f>
        <v>96.8768707138272</v>
      </c>
      <c r="AM1741" s="65" t="n">
        <f aca="false">IF(AL1741="",0,MAX(0,MIN(1,(IF(BY1741="L1",Parameter!$E$5,Parameter!$E$6+Parameter!$E$7)-(AL1741-AH1741))/AH1741)))</f>
        <v>1</v>
      </c>
      <c r="AN1741" s="57" t="n">
        <f aca="false">IF(LEFT(Cockpit!$I$5,1)="A",H1741,IF(CA1741=1,CB1741,IF(LEFT(Cockpit!$I$5,1)="B",AR1741,MAX(AR1741,H1741))))</f>
        <v>8</v>
      </c>
      <c r="AO1741" s="57" t="n">
        <f aca="false">IF(BT1741=1,0,ROUNDUP(AN1741/BS1741,0))</f>
        <v>2</v>
      </c>
      <c r="AP1741" s="59" t="n">
        <f aca="false">IF(CH1741&gt;0,CH1741*MAX(1,AN1741/X1741),IF(BT1741=1,IF(AN1741&lt;=0,0,BW1741*MAX(1,IF(H1741&gt;0,AN1741/H1741,1))),IF(R1741&gt;0,AO1741/R1741,0))/MAX(0.1,N(Parameter!$M$21)))</f>
        <v>0.0101010101010101</v>
      </c>
      <c r="AQ1741" s="57" t="n">
        <f aca="false">AN1741*G1741</f>
        <v>992</v>
      </c>
      <c r="AR1741" s="57" t="n">
        <f aca="false">ROUNDUP(MAX(J1741/IF(BZ1741&gt;0,BZ1741,MAX(0.1,N(Cockpit!$I$6))),CC1741)/BS1741,0)*BS1741</f>
        <v>8</v>
      </c>
      <c r="AS1741" s="58" t="n">
        <f aca="false">IF(AP1741&gt;0,J1741/AP1741,-1)</f>
        <v>0</v>
      </c>
      <c r="AT1741" s="58" t="n">
        <f aca="false">IF(AND(OR(BY1741="L1",BY1741="L23"),AP1741&gt;0),SUMIFS($AP$7:$AP$1843,$BY$7:$BY$1843,BY1741,$AS$7:$AS$1843,"&gt;"&amp;AS1741)+SUMIFS($AP$7:$AP$1843,$BY$7:$BY$1843,BY1741,$AS$7:$AS$1843,AS1741,$BQ$7:$BQ$1843,"&lt;="&amp;BQ1741),"")</f>
        <v>142.242314448836</v>
      </c>
      <c r="AU1741" s="65" t="n">
        <f aca="false">IF(AT1741="",0,MAX(0,MIN(1,(IF(BY1741="L1",Parameter!$E$5,Parameter!$E$6+Parameter!$E$7)-(AT1741-AP1741))/AP1741)))</f>
        <v>0</v>
      </c>
      <c r="AV1741" s="57" t="n">
        <f aca="false">IF(LEFT(Cockpit!$O$5,1)="A",H1741,IF(CA1741=1,CB1741,IF(LEFT(Cockpit!$O$5,1)="B",AZ1741,MAX(AZ1741,H1741))))</f>
        <v>8</v>
      </c>
      <c r="AW1741" s="57" t="n">
        <f aca="false">IF(BT1741=1,0,ROUNDUP(AV1741/BS1741,0))</f>
        <v>2</v>
      </c>
      <c r="AX1741" s="59" t="n">
        <f aca="false">IF(CH1741&gt;0,CH1741*MAX(1,AV1741/X1741),IF(BT1741=1,IF(AV1741&lt;=0,0,BW1741*MAX(1,IF(H1741&gt;0,AV1741/H1741,1))),IF(R1741&gt;0,AW1741/R1741,0))/MAX(0.1,N(Parameter!$M$21)))</f>
        <v>0.0101010101010101</v>
      </c>
      <c r="AY1741" s="57" t="n">
        <f aca="false">AV1741*G1741</f>
        <v>992</v>
      </c>
      <c r="AZ1741" s="57" t="n">
        <f aca="false">ROUNDUP(MAX(J1741/IF(BZ1741&gt;0,BZ1741,MAX(0.1,N(Cockpit!$O$6))),CC1741)/BS1741,0)*BS1741</f>
        <v>8</v>
      </c>
      <c r="BA1741" s="58" t="n">
        <f aca="false">IF(AX1741&gt;0,J1741/AX1741,-1)</f>
        <v>0</v>
      </c>
      <c r="BB1741" s="58" t="n">
        <f aca="false">IF(AND(OR(BY1741="L1",BY1741="L23"),AX1741&gt;0),SUMIFS($AX$7:$AX$1843,$BY$7:$BY$1843,BY1741,$BA$7:$BA$1843,"&gt;"&amp;BA1741)+SUMIFS($AX$7:$AX$1843,$BY$7:$BY$1843,BY1741,$BA$7:$BA$1843,BA1741,$BQ$7:$BQ$1843,"&lt;="&amp;BQ1741),"")</f>
        <v>133.072151278673</v>
      </c>
      <c r="BC1741" s="65" t="n">
        <f aca="false">IF(BB1741="",0,MAX(0,MIN(1,(IF(BY1741="L1",Parameter!$E$5,Parameter!$E$6+Parameter!$E$7)-(BB1741-AX1741))/AX1741)))</f>
        <v>0</v>
      </c>
      <c r="BD1741" s="55" t="str">
        <f aca="false">IF(AH1741&lt;=0,"",IF(BY1741="Aussen","Aussenlager",IF(BY1741="-","Nicht im Lift",IF(AM1741&gt;=1,"Lift",IF(AM1741&lt;=0,"Aussenlager","teilweise")))))</f>
        <v>Lift</v>
      </c>
      <c r="BE1741" s="55" t="str">
        <f aca="false">IF(AP1741&lt;=0,"",IF(BY1741="Aussen","Aussenlager",IF(BY1741="-","Nicht im Lift",IF(AU1741&gt;=1,"Lift",IF(AU1741&lt;=0,"Aussenlager","teilweise")))))</f>
        <v>Aussenlager</v>
      </c>
      <c r="BF1741" s="55" t="str">
        <f aca="false">IF(AX1741&lt;=0,"",IF(BY1741="Aussen","Aussenlager",IF(BY1741="-","Nicht im Lift",IF(BC1741&gt;=1,"Lift",IF(BC1741&lt;=0,"Aussenlager","teilweise")))))</f>
        <v>Aussenlager</v>
      </c>
      <c r="BG1741" s="55" t="str">
        <f aca="false">IF(A1741="","",IF(BP1741=1,"Neu; ","")&amp;IF(AND(BP1741=0,BK1741&lt;0),"negativer Bestand (Export "&amp;BK1741&amp;"); ","")&amp;IF(J1741&lt;=0,"Kein Verbrauch; ","")&amp;IF(CH1741&gt;0,"Lift "&amp;W1741&amp;" lt. Liftbericht (Fach "&amp;X1741&amp;" Stk); ",IF(BU1741=1,"Gebinde geschätzt ("&amp;T1741&amp;"); ",IF(BT1741=1,"Lose – Tablare geschätzt; ","")))&amp;IF(H1741&gt;AR1741,"Überbestand "&amp;ROUND(H1741-AR1741,0)&amp;" Stk / CHF "&amp;ROUND((H1741-AR1741)*G1741,0)&amp;"; ","")&amp;IF(AND(CA1741=1,CB1741&lt;CC1741),"MAX &lt; MB+LG; ","")&amp;IF(AND(CG1741&gt;0,CF1741*10&gt;CG1741),"zu hoch für Tablar; ","")&amp;IF(AND(BP1741=0,OR(CA1741=1,AA1741&lt;&gt;"",U1741&lt;&gt;"",V1741&lt;&gt;"",AB1741&lt;&gt;"")),"manuell übersteuert; ","")&amp;IF(AND(BT1741=0,R1741=0),"Gebinde unbekannt / Stellmass fehlt; ","")&amp;IF(AND(BT1741=0,N(V1741)&lt;=0,N(Q1741)&lt;=0),"Menge pro Gebinde fehlt (Ist = 1 Gebinde); ","")&amp;BO1741)</f>
        <v>Kein Verbrauch; nur im Artikelstamm (Bestand 23.06.2026); Neuer Art.</v>
      </c>
      <c r="BH1741" s="55"/>
      <c r="BI1741" s="55"/>
      <c r="BJ1741" s="62"/>
      <c r="BK1741" s="57" t="n">
        <v>4</v>
      </c>
      <c r="BL1741" s="57" t="n">
        <v>0</v>
      </c>
      <c r="BM1741" s="56" t="n">
        <v>0</v>
      </c>
      <c r="BN1741" s="57" t="n">
        <v>0</v>
      </c>
      <c r="BO1741" s="55" t="s">
        <v>2873</v>
      </c>
      <c r="BP1741" s="60" t="n">
        <v>0</v>
      </c>
      <c r="BQ1741" s="60" t="n">
        <v>1741</v>
      </c>
      <c r="BR1741" s="55" t="str">
        <f aca="false">IF(U1741&lt;&gt;"",UPPER(TRIM(U1741)),IF(BU1741=1,UPPER(VLOOKUP(T1741,Parameter!$I$27:$K$29,2,0)),IF(P1741="","LOSE",P1741)))</f>
        <v>S22</v>
      </c>
      <c r="BS1741" s="57" t="n">
        <f aca="false">IF(BR1741="LOSE",1,IF(N(V1741)&gt;0,V1741,IF(BU1741=1,MAX(1,N(VLOOKUP(T1741,Parameter!$I$27:$K$29,3,0)),H1741,N(N1741)),IF(N(Q1741)&gt;0,Q1741,MAX(1,H1741)))))</f>
        <v>4</v>
      </c>
      <c r="BT1741" s="60" t="n">
        <f aca="false">IF(BR1741="LOSE",1,0)</f>
        <v>0</v>
      </c>
      <c r="BU1741" s="60" t="n">
        <f aca="false">IF(AND(U1741="",OR(P1741="",P1741="LOSE"),T1741&lt;&gt;"",N(S1741)&lt;=0,ISNUMBER(MATCH(T1741,Parameter!$I$27:$I$29,0))),1,0)</f>
        <v>0</v>
      </c>
      <c r="BV1741" s="55" t="str">
        <f aca="false">IF(AND(Parameter!$B$19="Ja",E1741&lt;&gt;"",ISNUMBER(MATCH(E1741,Parameter!$I$35:$I$52,0))),VLOOKUP(E1741,Parameter!$I$35:$J$52,2,0),IFERROR(VLOOKUP(D1741,Parameter!$A$35:$C$64,2,0),"Nein"))</f>
        <v>2+3</v>
      </c>
      <c r="BW1741" s="59" t="n">
        <f aca="false">IF(BT1741=0,0,IF(N(S1741)&gt;0,S1741,IFERROR(VLOOKUP(D1741,Parameter!$A$35:$C$64,3,0)+0,0)))</f>
        <v>0</v>
      </c>
      <c r="BX1741" s="55" t="n">
        <f aca="false">IF(AA1741&lt;&gt;"",AA1741,Z1741)</f>
        <v>3</v>
      </c>
      <c r="BY1741" s="55" t="str">
        <f aca="false">IF(BX1741=1,"L1",IF(OR(BX1741=2,BX1741=3),"L23",IF(BX1741="Aussen","Aussen","-")))</f>
        <v>L23</v>
      </c>
      <c r="BZ1741" s="66" t="n">
        <f aca="false">IF(N(AB1741)&gt;0,AB1741,0)</f>
        <v>0</v>
      </c>
      <c r="CA1741" s="60" t="n">
        <f aca="false">IF(ISNUMBER(AE1741),1,0)</f>
        <v>0</v>
      </c>
      <c r="CB1741" s="57" t="n">
        <f aca="false">N(AE1741)</f>
        <v>0</v>
      </c>
      <c r="CC1741" s="57" t="n">
        <f aca="false">N(M1741)+N(N1741)</f>
        <v>5</v>
      </c>
      <c r="CD1741" s="57" t="n">
        <f aca="false">ROUNDUP(H1741/BS1741,0)</f>
        <v>1</v>
      </c>
      <c r="CE1741" s="57" t="n">
        <f aca="false">ROUNDUP(CB1741/BS1741,0)</f>
        <v>0</v>
      </c>
      <c r="CF1741" s="60" t="n">
        <f aca="false">IF(BT1741=1,0,IFERROR(VLOOKUP(BR1741,'Gebinde-Kategorie'!$A$5:$M$45,5,0)+0,0))</f>
        <v>8</v>
      </c>
      <c r="CG1741" s="60" t="n">
        <f aca="false">IFERROR(IF(OR(BX1741=1,BX1741=2,BX1741=3),N(INDEX(Parameter!$I$5:$I$7,BX1741)),0),0)</f>
        <v>0</v>
      </c>
      <c r="CH1741" s="59" t="n">
        <f aca="false">IF(AND(Parameter!$B$21="Ja",ISNUMBER(W1741),N(X1741)&gt;0),IFERROR(N(INDEX(Parameter!$L$5:$L$7,W1741))*INDEX(Parameter!$E$5:$E$7,W1741)*X1741/SUMIFS($X$7:$X$1843,$W$7:$W$1843,W1741),0),0)</f>
        <v>0</v>
      </c>
    </row>
    <row r="1742" customFormat="false" ht="15" hidden="false" customHeight="false" outlineLevel="0" collapsed="false">
      <c r="A1742" s="55" t="s">
        <v>3011</v>
      </c>
      <c r="B1742" s="55" t="s">
        <v>3012</v>
      </c>
      <c r="C1742" s="55" t="s">
        <v>164</v>
      </c>
      <c r="D1742" s="55" t="s">
        <v>184</v>
      </c>
      <c r="E1742" s="55"/>
      <c r="F1742" s="55"/>
      <c r="G1742" s="56" t="n">
        <v>185</v>
      </c>
      <c r="H1742" s="57" t="n">
        <f aca="false">MAX(0,IF(AND(Parameter!$B$21="Ja",ISNUMBER(Y1742)),Y1742,IF(Parameter!$B$20="Jahresanfang 2025 + Export",BL1742+BK1742,BK1742)))</f>
        <v>3</v>
      </c>
      <c r="I1742" s="57" t="n">
        <f aca="false">H1742*G1742</f>
        <v>555</v>
      </c>
      <c r="J1742" s="57" t="n">
        <f aca="false">BN1742*Parameter!$B$18</f>
        <v>0</v>
      </c>
      <c r="K1742" s="58"/>
      <c r="L1742" s="59"/>
      <c r="M1742" s="57" t="n">
        <v>0</v>
      </c>
      <c r="N1742" s="57" t="n">
        <v>3</v>
      </c>
      <c r="O1742" s="60" t="n">
        <v>49</v>
      </c>
      <c r="P1742" s="55" t="s">
        <v>401</v>
      </c>
      <c r="Q1742" s="57" t="n">
        <v>2</v>
      </c>
      <c r="R1742" s="60" t="n">
        <f aca="false">IF(BT1742=1,0,IFERROR(VLOOKUP(BR1742,'Gebinde-Kategorie'!$A$5:$M$45,13,0)+0,0))</f>
        <v>414</v>
      </c>
      <c r="S1742" s="61"/>
      <c r="T1742" s="62"/>
      <c r="U1742" s="62"/>
      <c r="V1742" s="62"/>
      <c r="W1742" s="55"/>
      <c r="X1742" s="57"/>
      <c r="Y1742" s="57"/>
      <c r="Z1742" s="55" t="n">
        <f aca="false">IF(A1742="","",IF(AND(Parameter!$B$21="Ja",ISNUMBER(W1742)),W1742,IF(BV1742="2+3",IF(ISNUMBER(SEARCH("grosser Artikel",BO1742)),2,IFERROR(VLOOKUP(BR1742,Parameter!$F$35:$G$64,2,0),2)),IF(OR(BV1742="Nein",BV1742=""),"-",BV1742))))</f>
        <v>3</v>
      </c>
      <c r="AA1742" s="62"/>
      <c r="AB1742" s="63"/>
      <c r="AC1742" s="57" t="n">
        <f aca="false">AR1742</f>
        <v>4</v>
      </c>
      <c r="AD1742" s="57" t="n">
        <f aca="false">MAX(AR1742,H1742)</f>
        <v>4</v>
      </c>
      <c r="AE1742" s="64"/>
      <c r="AF1742" s="57" t="n">
        <f aca="false">IF(LEFT(Cockpit!$C$5,1)="A",H1742,IF(CA1742=1,CB1742,IF(LEFT(Cockpit!$C$5,1)="B",AJ1742,MAX(AJ1742,H1742))))</f>
        <v>3</v>
      </c>
      <c r="AG1742" s="57" t="n">
        <f aca="false">IF(BT1742=1,0,ROUNDUP(AF1742/BS1742,0))</f>
        <v>2</v>
      </c>
      <c r="AH1742" s="59" t="n">
        <f aca="false">IF(CH1742&gt;0,CH1742*MAX(1,AF1742/X1742),IF(BT1742=1,IF(AF1742&lt;=0,0,BW1742*MAX(1,IF(H1742&gt;0,AF1742/H1742,1))),IF(R1742&gt;0,AG1742/R1742,0))/MAX(0.1,N(Parameter!$M$21)))</f>
        <v>0.00483091787439614</v>
      </c>
      <c r="AI1742" s="57" t="n">
        <f aca="false">AF1742*G1742</f>
        <v>555</v>
      </c>
      <c r="AJ1742" s="57" t="n">
        <f aca="false">ROUNDUP(MAX(J1742/IF(BZ1742&gt;0,BZ1742,MAX(0.1,N(Cockpit!$C$6))),CC1742)/BS1742,0)*BS1742</f>
        <v>4</v>
      </c>
      <c r="AK1742" s="58" t="n">
        <f aca="false">IF(AH1742&gt;0,J1742/AH1742,-1)</f>
        <v>0</v>
      </c>
      <c r="AL1742" s="58" t="n">
        <f aca="false">IF(AND(OR(BY1742="L1",BY1742="L23"),AH1742&gt;0),SUMIFS($AH$7:$AH$1843,$BY$7:$BY$1843,BY1742,$AK$7:$AK$1843,"&gt;"&amp;AK1742)+SUMIFS($AH$7:$AH$1843,$BY$7:$BY$1843,BY1742,$AK$7:$AK$1843,AK1742,$BQ$7:$BQ$1843,"&lt;="&amp;BQ1742),"")</f>
        <v>96.8817016317016</v>
      </c>
      <c r="AM1742" s="65" t="n">
        <f aca="false">IF(AL1742="",0,MAX(0,MIN(1,(IF(BY1742="L1",Parameter!$E$5,Parameter!$E$6+Parameter!$E$7)-(AL1742-AH1742))/AH1742)))</f>
        <v>1</v>
      </c>
      <c r="AN1742" s="57" t="n">
        <f aca="false">IF(LEFT(Cockpit!$I$5,1)="A",H1742,IF(CA1742=1,CB1742,IF(LEFT(Cockpit!$I$5,1)="B",AR1742,MAX(AR1742,H1742))))</f>
        <v>4</v>
      </c>
      <c r="AO1742" s="57" t="n">
        <f aca="false">IF(BT1742=1,0,ROUNDUP(AN1742/BS1742,0))</f>
        <v>2</v>
      </c>
      <c r="AP1742" s="59" t="n">
        <f aca="false">IF(CH1742&gt;0,CH1742*MAX(1,AN1742/X1742),IF(BT1742=1,IF(AN1742&lt;=0,0,BW1742*MAX(1,IF(H1742&gt;0,AN1742/H1742,1))),IF(R1742&gt;0,AO1742/R1742,0))/MAX(0.1,N(Parameter!$M$21)))</f>
        <v>0.00483091787439614</v>
      </c>
      <c r="AQ1742" s="57" t="n">
        <f aca="false">AN1742*G1742</f>
        <v>740</v>
      </c>
      <c r="AR1742" s="57" t="n">
        <f aca="false">ROUNDUP(MAX(J1742/IF(BZ1742&gt;0,BZ1742,MAX(0.1,N(Cockpit!$I$6))),CC1742)/BS1742,0)*BS1742</f>
        <v>4</v>
      </c>
      <c r="AS1742" s="58" t="n">
        <f aca="false">IF(AP1742&gt;0,J1742/AP1742,-1)</f>
        <v>0</v>
      </c>
      <c r="AT1742" s="58" t="n">
        <f aca="false">IF(AND(OR(BY1742="L1",BY1742="L23"),AP1742&gt;0),SUMIFS($AP$7:$AP$1843,$BY$7:$BY$1843,BY1742,$AS$7:$AS$1843,"&gt;"&amp;AS1742)+SUMIFS($AP$7:$AP$1843,$BY$7:$BY$1843,BY1742,$AS$7:$AS$1843,AS1742,$BQ$7:$BQ$1843,"&lt;="&amp;BQ1742),"")</f>
        <v>142.247145366711</v>
      </c>
      <c r="AU1742" s="65" t="n">
        <f aca="false">IF(AT1742="",0,MAX(0,MIN(1,(IF(BY1742="L1",Parameter!$E$5,Parameter!$E$6+Parameter!$E$7)-(AT1742-AP1742))/AP1742)))</f>
        <v>0</v>
      </c>
      <c r="AV1742" s="57" t="n">
        <f aca="false">IF(LEFT(Cockpit!$O$5,1)="A",H1742,IF(CA1742=1,CB1742,IF(LEFT(Cockpit!$O$5,1)="B",AZ1742,MAX(AZ1742,H1742))))</f>
        <v>4</v>
      </c>
      <c r="AW1742" s="57" t="n">
        <f aca="false">IF(BT1742=1,0,ROUNDUP(AV1742/BS1742,0))</f>
        <v>2</v>
      </c>
      <c r="AX1742" s="59" t="n">
        <f aca="false">IF(CH1742&gt;0,CH1742*MAX(1,AV1742/X1742),IF(BT1742=1,IF(AV1742&lt;=0,0,BW1742*MAX(1,IF(H1742&gt;0,AV1742/H1742,1))),IF(R1742&gt;0,AW1742/R1742,0))/MAX(0.1,N(Parameter!$M$21)))</f>
        <v>0.00483091787439614</v>
      </c>
      <c r="AY1742" s="57" t="n">
        <f aca="false">AV1742*G1742</f>
        <v>740</v>
      </c>
      <c r="AZ1742" s="57" t="n">
        <f aca="false">ROUNDUP(MAX(J1742/IF(BZ1742&gt;0,BZ1742,MAX(0.1,N(Cockpit!$O$6))),CC1742)/BS1742,0)*BS1742</f>
        <v>4</v>
      </c>
      <c r="BA1742" s="58" t="n">
        <f aca="false">IF(AX1742&gt;0,J1742/AX1742,-1)</f>
        <v>0</v>
      </c>
      <c r="BB1742" s="58" t="n">
        <f aca="false">IF(AND(OR(BY1742="L1",BY1742="L23"),AX1742&gt;0),SUMIFS($AX$7:$AX$1843,$BY$7:$BY$1843,BY1742,$BA$7:$BA$1843,"&gt;"&amp;BA1742)+SUMIFS($AX$7:$AX$1843,$BY$7:$BY$1843,BY1742,$BA$7:$BA$1843,BA1742,$BQ$7:$BQ$1843,"&lt;="&amp;BQ1742),"")</f>
        <v>133.076982196547</v>
      </c>
      <c r="BC1742" s="65" t="n">
        <f aca="false">IF(BB1742="",0,MAX(0,MIN(1,(IF(BY1742="L1",Parameter!$E$5,Parameter!$E$6+Parameter!$E$7)-(BB1742-AX1742))/AX1742)))</f>
        <v>0</v>
      </c>
      <c r="BD1742" s="55" t="str">
        <f aca="false">IF(AH1742&lt;=0,"",IF(BY1742="Aussen","Aussenlager",IF(BY1742="-","Nicht im Lift",IF(AM1742&gt;=1,"Lift",IF(AM1742&lt;=0,"Aussenlager","teilweise")))))</f>
        <v>Lift</v>
      </c>
      <c r="BE1742" s="55" t="str">
        <f aca="false">IF(AP1742&lt;=0,"",IF(BY1742="Aussen","Aussenlager",IF(BY1742="-","Nicht im Lift",IF(AU1742&gt;=1,"Lift",IF(AU1742&lt;=0,"Aussenlager","teilweise")))))</f>
        <v>Aussenlager</v>
      </c>
      <c r="BF1742" s="55" t="str">
        <f aca="false">IF(AX1742&lt;=0,"",IF(BY1742="Aussen","Aussenlager",IF(BY1742="-","Nicht im Lift",IF(BC1742&gt;=1,"Lift",IF(BC1742&lt;=0,"Aussenlager","teilweise")))))</f>
        <v>Aussenlager</v>
      </c>
      <c r="BG1742" s="55" t="str">
        <f aca="false">IF(A1742="","",IF(BP1742=1,"Neu; ","")&amp;IF(AND(BP1742=0,BK1742&lt;0),"negativer Bestand (Export "&amp;BK1742&amp;"); ","")&amp;IF(J1742&lt;=0,"Kein Verbrauch; ","")&amp;IF(CH1742&gt;0,"Lift "&amp;W1742&amp;" lt. Liftbericht (Fach "&amp;X1742&amp;" Stk); ",IF(BU1742=1,"Gebinde geschätzt ("&amp;T1742&amp;"); ",IF(BT1742=1,"Lose – Tablare geschätzt; ","")))&amp;IF(H1742&gt;AR1742,"Überbestand "&amp;ROUND(H1742-AR1742,0)&amp;" Stk / CHF "&amp;ROUND((H1742-AR1742)*G1742,0)&amp;"; ","")&amp;IF(AND(CA1742=1,CB1742&lt;CC1742),"MAX &lt; MB+LG; ","")&amp;IF(AND(CG1742&gt;0,CF1742*10&gt;CG1742),"zu hoch für Tablar; ","")&amp;IF(AND(BP1742=0,OR(CA1742=1,AA1742&lt;&gt;"",U1742&lt;&gt;"",V1742&lt;&gt;"",AB1742&lt;&gt;"")),"manuell übersteuert; ","")&amp;IF(AND(BT1742=0,R1742=0),"Gebinde unbekannt / Stellmass fehlt; ","")&amp;IF(AND(BT1742=0,N(V1742)&lt;=0,N(Q1742)&lt;=0),"Menge pro Gebinde fehlt (Ist = 1 Gebinde); ","")&amp;BO1742)</f>
        <v>Kein Verbrauch; nur im Artikelstamm (Bestand 23.06.2026)</v>
      </c>
      <c r="BH1742" s="55"/>
      <c r="BI1742" s="55"/>
      <c r="BJ1742" s="62"/>
      <c r="BK1742" s="57" t="n">
        <v>3</v>
      </c>
      <c r="BL1742" s="57" t="n">
        <v>0</v>
      </c>
      <c r="BM1742" s="56" t="n">
        <v>0</v>
      </c>
      <c r="BN1742" s="57" t="n">
        <v>0</v>
      </c>
      <c r="BO1742" s="55" t="s">
        <v>2575</v>
      </c>
      <c r="BP1742" s="60" t="n">
        <v>0</v>
      </c>
      <c r="BQ1742" s="60" t="n">
        <v>1742</v>
      </c>
      <c r="BR1742" s="55" t="str">
        <f aca="false">IF(U1742&lt;&gt;"",UPPER(TRIM(U1742)),IF(BU1742=1,UPPER(VLOOKUP(T1742,Parameter!$I$27:$K$29,2,0)),IF(P1742="","LOSE",P1742)))</f>
        <v>S21</v>
      </c>
      <c r="BS1742" s="57" t="n">
        <f aca="false">IF(BR1742="LOSE",1,IF(N(V1742)&gt;0,V1742,IF(BU1742=1,MAX(1,N(VLOOKUP(T1742,Parameter!$I$27:$K$29,3,0)),H1742,N(N1742)),IF(N(Q1742)&gt;0,Q1742,MAX(1,H1742)))))</f>
        <v>2</v>
      </c>
      <c r="BT1742" s="60" t="n">
        <f aca="false">IF(BR1742="LOSE",1,0)</f>
        <v>0</v>
      </c>
      <c r="BU1742" s="60" t="n">
        <f aca="false">IF(AND(U1742="",OR(P1742="",P1742="LOSE"),T1742&lt;&gt;"",N(S1742)&lt;=0,ISNUMBER(MATCH(T1742,Parameter!$I$27:$I$29,0))),1,0)</f>
        <v>0</v>
      </c>
      <c r="BV1742" s="55" t="str">
        <f aca="false">IF(AND(Parameter!$B$19="Ja",E1742&lt;&gt;"",ISNUMBER(MATCH(E1742,Parameter!$I$35:$I$52,0))),VLOOKUP(E1742,Parameter!$I$35:$J$52,2,0),IFERROR(VLOOKUP(D1742,Parameter!$A$35:$C$64,2,0),"Nein"))</f>
        <v>2+3</v>
      </c>
      <c r="BW1742" s="59" t="n">
        <f aca="false">IF(BT1742=0,0,IF(N(S1742)&gt;0,S1742,IFERROR(VLOOKUP(D1742,Parameter!$A$35:$C$64,3,0)+0,0)))</f>
        <v>0</v>
      </c>
      <c r="BX1742" s="55" t="n">
        <f aca="false">IF(AA1742&lt;&gt;"",AA1742,Z1742)</f>
        <v>3</v>
      </c>
      <c r="BY1742" s="55" t="str">
        <f aca="false">IF(BX1742=1,"L1",IF(OR(BX1742=2,BX1742=3),"L23",IF(BX1742="Aussen","Aussen","-")))</f>
        <v>L23</v>
      </c>
      <c r="BZ1742" s="66" t="n">
        <f aca="false">IF(N(AB1742)&gt;0,AB1742,0)</f>
        <v>0</v>
      </c>
      <c r="CA1742" s="60" t="n">
        <f aca="false">IF(ISNUMBER(AE1742),1,0)</f>
        <v>0</v>
      </c>
      <c r="CB1742" s="57" t="n">
        <f aca="false">N(AE1742)</f>
        <v>0</v>
      </c>
      <c r="CC1742" s="57" t="n">
        <f aca="false">N(M1742)+N(N1742)</f>
        <v>3</v>
      </c>
      <c r="CD1742" s="57" t="n">
        <f aca="false">ROUNDUP(H1742/BS1742,0)</f>
        <v>2</v>
      </c>
      <c r="CE1742" s="57" t="n">
        <f aca="false">ROUNDUP(CB1742/BS1742,0)</f>
        <v>0</v>
      </c>
      <c r="CF1742" s="60" t="n">
        <f aca="false">IF(BT1742=1,0,IFERROR(VLOOKUP(BR1742,'Gebinde-Kategorie'!$A$5:$M$45,5,0)+0,0))</f>
        <v>8</v>
      </c>
      <c r="CG1742" s="60" t="n">
        <f aca="false">IFERROR(IF(OR(BX1742=1,BX1742=2,BX1742=3),N(INDEX(Parameter!$I$5:$I$7,BX1742)),0),0)</f>
        <v>0</v>
      </c>
      <c r="CH1742" s="59" t="n">
        <f aca="false">IF(AND(Parameter!$B$21="Ja",ISNUMBER(W1742),N(X1742)&gt;0),IFERROR(N(INDEX(Parameter!$L$5:$L$7,W1742))*INDEX(Parameter!$E$5:$E$7,W1742)*X1742/SUMIFS($X$7:$X$1843,$W$7:$W$1843,W1742),0),0)</f>
        <v>0</v>
      </c>
    </row>
    <row r="1743" customFormat="false" ht="15" hidden="false" customHeight="false" outlineLevel="0" collapsed="false">
      <c r="A1743" s="55" t="s">
        <v>3013</v>
      </c>
      <c r="B1743" s="55" t="s">
        <v>2424</v>
      </c>
      <c r="C1743" s="55" t="s">
        <v>164</v>
      </c>
      <c r="D1743" s="55" t="s">
        <v>173</v>
      </c>
      <c r="E1743" s="55"/>
      <c r="F1743" s="55"/>
      <c r="G1743" s="56" t="n">
        <v>513.5</v>
      </c>
      <c r="H1743" s="57" t="n">
        <f aca="false">MAX(0,IF(AND(Parameter!$B$21="Ja",ISNUMBER(Y1743)),Y1743,IF(Parameter!$B$20="Jahresanfang 2025 + Export",BL1743+BK1743,BK1743)))</f>
        <v>2</v>
      </c>
      <c r="I1743" s="57" t="n">
        <f aca="false">H1743*G1743</f>
        <v>1027</v>
      </c>
      <c r="J1743" s="57" t="n">
        <f aca="false">BN1743*Parameter!$B$18</f>
        <v>0</v>
      </c>
      <c r="K1743" s="58"/>
      <c r="L1743" s="59"/>
      <c r="M1743" s="57" t="n">
        <v>1</v>
      </c>
      <c r="N1743" s="57" t="n">
        <v>1</v>
      </c>
      <c r="O1743" s="60" t="n">
        <v>42</v>
      </c>
      <c r="P1743" s="55" t="s">
        <v>168</v>
      </c>
      <c r="Q1743" s="57"/>
      <c r="R1743" s="60" t="n">
        <f aca="false">IF(BT1743=1,0,IFERROR(VLOOKUP(BR1743,'Gebinde-Kategorie'!$A$5:$M$45,13,0)+0,0))</f>
        <v>0</v>
      </c>
      <c r="S1743" s="61"/>
      <c r="T1743" s="62"/>
      <c r="U1743" s="62"/>
      <c r="V1743" s="62"/>
      <c r="W1743" s="55" t="n">
        <v>1</v>
      </c>
      <c r="X1743" s="57" t="n">
        <v>2</v>
      </c>
      <c r="Y1743" s="57" t="n">
        <v>2</v>
      </c>
      <c r="Z1743" s="55" t="n">
        <f aca="false">IF(A1743="","",IF(AND(Parameter!$B$21="Ja",ISNUMBER(W1743)),W1743,IF(BV1743="2+3",IF(ISNUMBER(SEARCH("grosser Artikel",BO1743)),2,IFERROR(VLOOKUP(BR1743,Parameter!$F$35:$G$64,2,0),2)),IF(OR(BV1743="Nein",BV1743=""),"-",BV1743))))</f>
        <v>1</v>
      </c>
      <c r="AA1743" s="62"/>
      <c r="AB1743" s="63"/>
      <c r="AC1743" s="57" t="n">
        <f aca="false">AR1743</f>
        <v>2</v>
      </c>
      <c r="AD1743" s="57" t="n">
        <f aca="false">MAX(AR1743,H1743)</f>
        <v>2</v>
      </c>
      <c r="AE1743" s="64"/>
      <c r="AF1743" s="57" t="n">
        <f aca="false">IF(LEFT(Cockpit!$C$5,1)="A",H1743,IF(CA1743=1,CB1743,IF(LEFT(Cockpit!$C$5,1)="B",AJ1743,MAX(AJ1743,H1743))))</f>
        <v>2</v>
      </c>
      <c r="AG1743" s="57" t="n">
        <f aca="false">IF(BT1743=1,0,ROUNDUP(AF1743/BS1743,0))</f>
        <v>0</v>
      </c>
      <c r="AH1743" s="59" t="n">
        <f aca="false">IF(CH1743&gt;0,CH1743*MAX(1,AF1743/X1743),IF(BT1743=1,IF(AF1743&lt;=0,0,BW1743*MAX(1,IF(H1743&gt;0,AF1743/H1743,1))),IF(R1743&gt;0,AG1743/R1743,0))/MAX(0.1,N(Parameter!$M$21)))</f>
        <v>0.160075329566855</v>
      </c>
      <c r="AI1743" s="57" t="n">
        <f aca="false">AF1743*G1743</f>
        <v>1027</v>
      </c>
      <c r="AJ1743" s="57" t="n">
        <f aca="false">ROUNDUP(MAX(J1743/IF(BZ1743&gt;0,BZ1743,MAX(0.1,N(Cockpit!$C$6))),CC1743)/BS1743,0)*BS1743</f>
        <v>2</v>
      </c>
      <c r="AK1743" s="58" t="n">
        <f aca="false">IF(AH1743&gt;0,J1743/AH1743,-1)</f>
        <v>0</v>
      </c>
      <c r="AL1743" s="58" t="n">
        <f aca="false">IF(AND(OR(BY1743="L1",BY1743="L23"),AH1743&gt;0),SUMIFS($AH$7:$AH$1843,$BY$7:$BY$1843,BY1743,$AK$7:$AK$1843,"&gt;"&amp;AK1743)+SUMIFS($AH$7:$AH$1843,$BY$7:$BY$1843,BY1743,$AK$7:$AK$1843,AK1743,$BQ$7:$BQ$1843,"&lt;="&amp;BQ1743),"")</f>
        <v>54.0328874024526</v>
      </c>
      <c r="AM1743" s="65" t="n">
        <f aca="false">IF(AL1743="",0,MAX(0,MIN(1,(IF(BY1743="L1",Parameter!$E$5,Parameter!$E$6+Parameter!$E$7)-(AL1743-AH1743))/AH1743)))</f>
        <v>0</v>
      </c>
      <c r="AN1743" s="57" t="n">
        <f aca="false">IF(LEFT(Cockpit!$I$5,1)="A",H1743,IF(CA1743=1,CB1743,IF(LEFT(Cockpit!$I$5,1)="B",AR1743,MAX(AR1743,H1743))))</f>
        <v>2</v>
      </c>
      <c r="AO1743" s="57" t="n">
        <f aca="false">IF(BT1743=1,0,ROUNDUP(AN1743/BS1743,0))</f>
        <v>0</v>
      </c>
      <c r="AP1743" s="59" t="n">
        <f aca="false">IF(CH1743&gt;0,CH1743*MAX(1,AN1743/X1743),IF(BT1743=1,IF(AN1743&lt;=0,0,BW1743*MAX(1,IF(H1743&gt;0,AN1743/H1743,1))),IF(R1743&gt;0,AO1743/R1743,0))/MAX(0.1,N(Parameter!$M$21)))</f>
        <v>0.160075329566855</v>
      </c>
      <c r="AQ1743" s="57" t="n">
        <f aca="false">AN1743*G1743</f>
        <v>1027</v>
      </c>
      <c r="AR1743" s="57" t="n">
        <f aca="false">ROUNDUP(MAX(J1743/IF(BZ1743&gt;0,BZ1743,MAX(0.1,N(Cockpit!$I$6))),CC1743)/BS1743,0)*BS1743</f>
        <v>2</v>
      </c>
      <c r="AS1743" s="58" t="n">
        <f aca="false">IF(AP1743&gt;0,J1743/AP1743,-1)</f>
        <v>0</v>
      </c>
      <c r="AT1743" s="58" t="n">
        <f aca="false">IF(AND(OR(BY1743="L1",BY1743="L23"),AP1743&gt;0),SUMIFS($AP$7:$AP$1843,$BY$7:$BY$1843,BY1743,$AS$7:$AS$1843,"&gt;"&amp;AS1743)+SUMIFS($AP$7:$AP$1843,$BY$7:$BY$1843,BY1743,$AS$7:$AS$1843,AS1743,$BQ$7:$BQ$1843,"&lt;="&amp;BQ1743),"")</f>
        <v>70.9930496507505</v>
      </c>
      <c r="AU1743" s="65" t="n">
        <f aca="false">IF(AT1743="",0,MAX(0,MIN(1,(IF(BY1743="L1",Parameter!$E$5,Parameter!$E$6+Parameter!$E$7)-(AT1743-AP1743))/AP1743)))</f>
        <v>0</v>
      </c>
      <c r="AV1743" s="57" t="n">
        <f aca="false">IF(LEFT(Cockpit!$O$5,1)="A",H1743,IF(CA1743=1,CB1743,IF(LEFT(Cockpit!$O$5,1)="B",AZ1743,MAX(AZ1743,H1743))))</f>
        <v>2</v>
      </c>
      <c r="AW1743" s="57" t="n">
        <f aca="false">IF(BT1743=1,0,ROUNDUP(AV1743/BS1743,0))</f>
        <v>0</v>
      </c>
      <c r="AX1743" s="59" t="n">
        <f aca="false">IF(CH1743&gt;0,CH1743*MAX(1,AV1743/X1743),IF(BT1743=1,IF(AV1743&lt;=0,0,BW1743*MAX(1,IF(H1743&gt;0,AV1743/H1743,1))),IF(R1743&gt;0,AW1743/R1743,0))/MAX(0.1,N(Parameter!$M$21)))</f>
        <v>0.160075329566855</v>
      </c>
      <c r="AY1743" s="57" t="n">
        <f aca="false">AV1743*G1743</f>
        <v>1027</v>
      </c>
      <c r="AZ1743" s="57" t="n">
        <f aca="false">ROUNDUP(MAX(J1743/IF(BZ1743&gt;0,BZ1743,MAX(0.1,N(Cockpit!$O$6))),CC1743)/BS1743,0)*BS1743</f>
        <v>2</v>
      </c>
      <c r="BA1743" s="58" t="n">
        <f aca="false">IF(AX1743&gt;0,J1743/AX1743,-1)</f>
        <v>0</v>
      </c>
      <c r="BB1743" s="58" t="n">
        <f aca="false">IF(AND(OR(BY1743="L1",BY1743="L23"),AX1743&gt;0),SUMIFS($AX$7:$AX$1843,$BY$7:$BY$1843,BY1743,$BA$7:$BA$1843,"&gt;"&amp;BA1743)+SUMIFS($AX$7:$AX$1843,$BY$7:$BY$1843,BY1743,$BA$7:$BA$1843,BA1743,$BQ$7:$BQ$1843,"&lt;="&amp;BQ1743),"")</f>
        <v>64.6598611819688</v>
      </c>
      <c r="BC1743" s="65" t="n">
        <f aca="false">IF(BB1743="",0,MAX(0,MIN(1,(IF(BY1743="L1",Parameter!$E$5,Parameter!$E$6+Parameter!$E$7)-(BB1743-AX1743))/AX1743)))</f>
        <v>0</v>
      </c>
      <c r="BD1743" s="55" t="str">
        <f aca="false">IF(AH1743&lt;=0,"",IF(BY1743="Aussen","Aussenlager",IF(BY1743="-","Nicht im Lift",IF(AM1743&gt;=1,"Lift",IF(AM1743&lt;=0,"Aussenlager","teilweise")))))</f>
        <v>Aussenlager</v>
      </c>
      <c r="BE1743" s="55" t="str">
        <f aca="false">IF(AP1743&lt;=0,"",IF(BY1743="Aussen","Aussenlager",IF(BY1743="-","Nicht im Lift",IF(AU1743&gt;=1,"Lift",IF(AU1743&lt;=0,"Aussenlager","teilweise")))))</f>
        <v>Aussenlager</v>
      </c>
      <c r="BF1743" s="55" t="str">
        <f aca="false">IF(AX1743&lt;=0,"",IF(BY1743="Aussen","Aussenlager",IF(BY1743="-","Nicht im Lift",IF(BC1743&gt;=1,"Lift",IF(BC1743&lt;=0,"Aussenlager","teilweise")))))</f>
        <v>Aussenlager</v>
      </c>
      <c r="BG1743" s="55" t="str">
        <f aca="false">IF(A1743="","",IF(BP1743=1,"Neu; ","")&amp;IF(AND(BP1743=0,BK1743&lt;0),"negativer Bestand (Export "&amp;BK1743&amp;"); ","")&amp;IF(J1743&lt;=0,"Kein Verbrauch; ","")&amp;IF(CH1743&gt;0,"Lift "&amp;W1743&amp;" lt. Liftbericht (Fach "&amp;X1743&amp;" Stk); ",IF(BU1743=1,"Gebinde geschätzt ("&amp;T1743&amp;"); ",IF(BT1743=1,"Lose – Tablare geschätzt; ","")))&amp;IF(H1743&gt;AR1743,"Überbestand "&amp;ROUND(H1743-AR1743,0)&amp;" Stk / CHF "&amp;ROUND((H1743-AR1743)*G1743,0)&amp;"; ","")&amp;IF(AND(CA1743=1,CB1743&lt;CC1743),"MAX &lt; MB+LG; ","")&amp;IF(AND(CG1743&gt;0,CF1743*10&gt;CG1743),"zu hoch für Tablar; ","")&amp;IF(AND(BP1743=0,OR(CA1743=1,AA1743&lt;&gt;"",U1743&lt;&gt;"",V1743&lt;&gt;"",AB1743&lt;&gt;"")),"manuell übersteuert; ","")&amp;IF(AND(BT1743=0,R1743=0),"Gebinde unbekannt / Stellmass fehlt; ","")&amp;IF(AND(BT1743=0,N(V1743)&lt;=0,N(Q1743)&lt;=0),"Menge pro Gebinde fehlt (Ist = 1 Gebinde); ","")&amp;BO1743)</f>
        <v>Kein Verbrauch; Lift 1 lt. Liftbericht (Fach 2 Stk); nur im Liftbericht (nicht im Kennzahlen-Auszug)</v>
      </c>
      <c r="BH1743" s="55"/>
      <c r="BI1743" s="55"/>
      <c r="BJ1743" s="62"/>
      <c r="BK1743" s="57" t="n">
        <v>2</v>
      </c>
      <c r="BL1743" s="57" t="n">
        <v>0</v>
      </c>
      <c r="BM1743" s="56" t="n">
        <v>0</v>
      </c>
      <c r="BN1743" s="57" t="n">
        <v>0</v>
      </c>
      <c r="BO1743" s="55" t="s">
        <v>3014</v>
      </c>
      <c r="BP1743" s="60" t="n">
        <v>0</v>
      </c>
      <c r="BQ1743" s="60" t="n">
        <v>1743</v>
      </c>
      <c r="BR1743" s="55" t="str">
        <f aca="false">IF(U1743&lt;&gt;"",UPPER(TRIM(U1743)),IF(BU1743=1,UPPER(VLOOKUP(T1743,Parameter!$I$27:$K$29,2,0)),IF(P1743="","LOSE",P1743)))</f>
        <v>LOSE</v>
      </c>
      <c r="BS1743" s="57" t="n">
        <f aca="false">IF(BR1743="LOSE",1,IF(N(V1743)&gt;0,V1743,IF(BU1743=1,MAX(1,N(VLOOKUP(T1743,Parameter!$I$27:$K$29,3,0)),H1743,N(N1743)),IF(N(Q1743)&gt;0,Q1743,MAX(1,H1743)))))</f>
        <v>1</v>
      </c>
      <c r="BT1743" s="60" t="n">
        <f aca="false">IF(BR1743="LOSE",1,0)</f>
        <v>1</v>
      </c>
      <c r="BU1743" s="60" t="n">
        <f aca="false">IF(AND(U1743="",OR(P1743="",P1743="LOSE"),T1743&lt;&gt;"",N(S1743)&lt;=0,ISNUMBER(MATCH(T1743,Parameter!$I$27:$I$29,0))),1,0)</f>
        <v>0</v>
      </c>
      <c r="BV1743" s="55" t="str">
        <f aca="false">IF(AND(Parameter!$B$19="Ja",E1743&lt;&gt;"",ISNUMBER(MATCH(E1743,Parameter!$I$35:$I$52,0))),VLOOKUP(E1743,Parameter!$I$35:$J$52,2,0),IFERROR(VLOOKUP(D1743,Parameter!$A$35:$C$64,2,0),"Nein"))</f>
        <v>2+3</v>
      </c>
      <c r="BW1743" s="59" t="n">
        <f aca="false">IF(BT1743=0,0,IF(N(S1743)&gt;0,S1743,IFERROR(VLOOKUP(D1743,Parameter!$A$35:$C$64,3,0)+0,0)))</f>
        <v>0.15</v>
      </c>
      <c r="BX1743" s="55" t="n">
        <f aca="false">IF(AA1743&lt;&gt;"",AA1743,Z1743)</f>
        <v>1</v>
      </c>
      <c r="BY1743" s="55" t="str">
        <f aca="false">IF(BX1743=1,"L1",IF(OR(BX1743=2,BX1743=3),"L23",IF(BX1743="Aussen","Aussen","-")))</f>
        <v>L1</v>
      </c>
      <c r="BZ1743" s="66" t="n">
        <f aca="false">IF(N(AB1743)&gt;0,AB1743,0)</f>
        <v>0</v>
      </c>
      <c r="CA1743" s="60" t="n">
        <f aca="false">IF(ISNUMBER(AE1743),1,0)</f>
        <v>0</v>
      </c>
      <c r="CB1743" s="57" t="n">
        <f aca="false">N(AE1743)</f>
        <v>0</v>
      </c>
      <c r="CC1743" s="57" t="n">
        <f aca="false">N(M1743)+N(N1743)</f>
        <v>2</v>
      </c>
      <c r="CD1743" s="57" t="n">
        <f aca="false">ROUNDUP(H1743/BS1743,0)</f>
        <v>2</v>
      </c>
      <c r="CE1743" s="57" t="n">
        <f aca="false">ROUNDUP(CB1743/BS1743,0)</f>
        <v>0</v>
      </c>
      <c r="CF1743" s="60" t="n">
        <f aca="false">IF(BT1743=1,0,IFERROR(VLOOKUP(BR1743,'Gebinde-Kategorie'!$A$5:$M$45,5,0)+0,0))</f>
        <v>0</v>
      </c>
      <c r="CG1743" s="60" t="n">
        <f aca="false">IFERROR(IF(OR(BX1743=1,BX1743=2,BX1743=3),N(INDEX(Parameter!$I$5:$I$7,BX1743)),0),0)</f>
        <v>0</v>
      </c>
      <c r="CH1743" s="59" t="n">
        <f aca="false">IF(AND(Parameter!$B$21="Ja",ISNUMBER(W1743),N(X1743)&gt;0),IFERROR(N(INDEX(Parameter!$L$5:$L$7,W1743))*INDEX(Parameter!$E$5:$E$7,W1743)*X1743/SUMIFS($X$7:$X$1843,$W$7:$W$1843,W1743),0),0)</f>
        <v>0.160075329566855</v>
      </c>
    </row>
    <row r="1744" customFormat="false" ht="15" hidden="false" customHeight="false" outlineLevel="0" collapsed="false">
      <c r="A1744" s="55" t="str">
        <f aca="false">IF('Neue Artikel'!$A$5="","",'Neue Artikel'!$A$5&amp;"")</f>
        <v/>
      </c>
      <c r="B1744" s="55" t="str">
        <f aca="false">'Neue Artikel'!$B$5&amp;""</f>
        <v/>
      </c>
      <c r="C1744" s="55"/>
      <c r="D1744" s="55" t="s">
        <v>3015</v>
      </c>
      <c r="E1744" s="55"/>
      <c r="F1744" s="55"/>
      <c r="G1744" s="56" t="n">
        <f aca="false">N('Neue Artikel'!$G$5)</f>
        <v>0</v>
      </c>
      <c r="H1744" s="57" t="n">
        <f aca="false">MAX(0,IF(AND(Parameter!$B$21="Ja",ISNUMBER(Y1744)),Y1744,IF(Parameter!$B$20="Jahresanfang 2025 + Export",BL1744+BK1744,BK1744)))</f>
        <v>0</v>
      </c>
      <c r="I1744" s="57" t="n">
        <f aca="false">H1744*G1744</f>
        <v>0</v>
      </c>
      <c r="J1744" s="57" t="n">
        <f aca="false">BN1744*Parameter!$B$18</f>
        <v>0</v>
      </c>
      <c r="K1744" s="58"/>
      <c r="L1744" s="59"/>
      <c r="M1744" s="57" t="n">
        <f aca="false">N('Neue Artikel'!$E$5)</f>
        <v>0</v>
      </c>
      <c r="N1744" s="57" t="n">
        <f aca="false">N('Neue Artikel'!$F$5)</f>
        <v>0</v>
      </c>
      <c r="O1744" s="60"/>
      <c r="P1744" s="55" t="str">
        <f aca="false">IF('Neue Artikel'!$H$5="","LOSE",UPPER(TRIM('Neue Artikel'!$H$5)))</f>
        <v>LOSE</v>
      </c>
      <c r="Q1744" s="57" t="n">
        <f aca="false">N('Neue Artikel'!$I$5)</f>
        <v>0</v>
      </c>
      <c r="R1744" s="60" t="n">
        <f aca="false">IF(BT1744=1,0,IFERROR(VLOOKUP(BR1744,'Gebinde-Kategorie'!$A$5:$M$45,13,0)+0,0))</f>
        <v>0</v>
      </c>
      <c r="S1744" s="61"/>
      <c r="T1744" s="62"/>
      <c r="U1744" s="62"/>
      <c r="V1744" s="62"/>
      <c r="W1744" s="55"/>
      <c r="X1744" s="57"/>
      <c r="Y1744" s="57"/>
      <c r="Z1744" s="55" t="str">
        <f aca="false">IF(A1744="","",IF(AND(Parameter!$B$21="Ja",ISNUMBER(W1744)),W1744,IF(BV1744="2+3",IF(ISNUMBER(SEARCH("grosser Artikel",BO1744)),2,IFERROR(VLOOKUP(BR1744,Parameter!$F$35:$G$64,2,0),2)),IF(OR(BV1744="Nein",BV1744=""),"-",BV1744))))</f>
        <v/>
      </c>
      <c r="AA1744" s="55" t="str">
        <f aca="false">IF('Neue Artikel'!$J$5="","",'Neue Artikel'!$J$5)</f>
        <v/>
      </c>
      <c r="AB1744" s="63"/>
      <c r="AC1744" s="57" t="n">
        <f aca="false">AR1744</f>
        <v>0</v>
      </c>
      <c r="AD1744" s="57" t="n">
        <f aca="false">MAX(AR1744,H1744)</f>
        <v>0</v>
      </c>
      <c r="AE1744" s="64"/>
      <c r="AF1744" s="57" t="n">
        <f aca="false">IF(LEFT(Cockpit!$C$5,1)="A",H1744,IF(CA1744=1,CB1744,IF(LEFT(Cockpit!$C$5,1)="B",AJ1744,MAX(AJ1744,H1744))))</f>
        <v>0</v>
      </c>
      <c r="AG1744" s="57" t="n">
        <f aca="false">IF(BT1744=1,0,ROUNDUP(AF1744/BS1744,0))</f>
        <v>0</v>
      </c>
      <c r="AH1744" s="59" t="n">
        <f aca="false">IF(CH1744&gt;0,CH1744*MAX(1,AF1744/X1744),IF(BT1744=1,IF(AF1744&lt;=0,0,BW1744*MAX(1,IF(H1744&gt;0,AF1744/H1744,1))),IF(R1744&gt;0,AG1744/R1744,0))/MAX(0.1,N(Parameter!$M$21)))</f>
        <v>0</v>
      </c>
      <c r="AI1744" s="57" t="n">
        <f aca="false">AF1744*G1744</f>
        <v>0</v>
      </c>
      <c r="AJ1744" s="57" t="n">
        <f aca="false">ROUNDUP(MAX(J1744/IF(BZ1744&gt;0,BZ1744,MAX(0.1,N(Cockpit!$C$6))),CC1744)/BS1744,0)*BS1744</f>
        <v>0</v>
      </c>
      <c r="AK1744" s="58" t="n">
        <f aca="false">IF(AH1744&gt;0,J1744/AH1744,-1)</f>
        <v>-1</v>
      </c>
      <c r="AL1744" s="58" t="str">
        <f aca="false">IF(AND(OR(BY1744="L1",BY1744="L23"),AH1744&gt;0),SUMIFS($AH$7:$AH$1843,$BY$7:$BY$1843,BY1744,$AK$7:$AK$1843,"&gt;"&amp;AK1744)+SUMIFS($AH$7:$AH$1843,$BY$7:$BY$1843,BY1744,$AK$7:$AK$1843,AK1744,$BQ$7:$BQ$1843,"&lt;="&amp;BQ1744),"")</f>
        <v/>
      </c>
      <c r="AM1744" s="65" t="n">
        <f aca="false">IF(AL1744="",0,MAX(0,MIN(1,(IF(BY1744="L1",Parameter!$E$5,Parameter!$E$6+Parameter!$E$7)-(AL1744-AH1744))/AH1744)))</f>
        <v>0</v>
      </c>
      <c r="AN1744" s="57" t="n">
        <f aca="false">IF(LEFT(Cockpit!$I$5,1)="A",H1744,IF(CA1744=1,CB1744,IF(LEFT(Cockpit!$I$5,1)="B",AR1744,MAX(AR1744,H1744))))</f>
        <v>0</v>
      </c>
      <c r="AO1744" s="57" t="n">
        <f aca="false">IF(BT1744=1,0,ROUNDUP(AN1744/BS1744,0))</f>
        <v>0</v>
      </c>
      <c r="AP1744" s="59" t="n">
        <f aca="false">IF(CH1744&gt;0,CH1744*MAX(1,AN1744/X1744),IF(BT1744=1,IF(AN1744&lt;=0,0,BW1744*MAX(1,IF(H1744&gt;0,AN1744/H1744,1))),IF(R1744&gt;0,AO1744/R1744,0))/MAX(0.1,N(Parameter!$M$21)))</f>
        <v>0</v>
      </c>
      <c r="AQ1744" s="57" t="n">
        <f aca="false">AN1744*G1744</f>
        <v>0</v>
      </c>
      <c r="AR1744" s="57" t="n">
        <f aca="false">ROUNDUP(MAX(J1744/IF(BZ1744&gt;0,BZ1744,MAX(0.1,N(Cockpit!$I$6))),CC1744)/BS1744,0)*BS1744</f>
        <v>0</v>
      </c>
      <c r="AS1744" s="58" t="n">
        <f aca="false">IF(AP1744&gt;0,J1744/AP1744,-1)</f>
        <v>-1</v>
      </c>
      <c r="AT1744" s="58" t="str">
        <f aca="false">IF(AND(OR(BY1744="L1",BY1744="L23"),AP1744&gt;0),SUMIFS($AP$7:$AP$1843,$BY$7:$BY$1843,BY1744,$AS$7:$AS$1843,"&gt;"&amp;AS1744)+SUMIFS($AP$7:$AP$1843,$BY$7:$BY$1843,BY1744,$AS$7:$AS$1843,AS1744,$BQ$7:$BQ$1843,"&lt;="&amp;BQ1744),"")</f>
        <v/>
      </c>
      <c r="AU1744" s="65" t="n">
        <f aca="false">IF(AT1744="",0,MAX(0,MIN(1,(IF(BY1744="L1",Parameter!$E$5,Parameter!$E$6+Parameter!$E$7)-(AT1744-AP1744))/AP1744)))</f>
        <v>0</v>
      </c>
      <c r="AV1744" s="57" t="n">
        <f aca="false">IF(LEFT(Cockpit!$O$5,1)="A",H1744,IF(CA1744=1,CB1744,IF(LEFT(Cockpit!$O$5,1)="B",AZ1744,MAX(AZ1744,H1744))))</f>
        <v>0</v>
      </c>
      <c r="AW1744" s="57" t="n">
        <f aca="false">IF(BT1744=1,0,ROUNDUP(AV1744/BS1744,0))</f>
        <v>0</v>
      </c>
      <c r="AX1744" s="59" t="n">
        <f aca="false">IF(CH1744&gt;0,CH1744*MAX(1,AV1744/X1744),IF(BT1744=1,IF(AV1744&lt;=0,0,BW1744*MAX(1,IF(H1744&gt;0,AV1744/H1744,1))),IF(R1744&gt;0,AW1744/R1744,0))/MAX(0.1,N(Parameter!$M$21)))</f>
        <v>0</v>
      </c>
      <c r="AY1744" s="57" t="n">
        <f aca="false">AV1744*G1744</f>
        <v>0</v>
      </c>
      <c r="AZ1744" s="57" t="n">
        <f aca="false">ROUNDUP(MAX(J1744/IF(BZ1744&gt;0,BZ1744,MAX(0.1,N(Cockpit!$O$6))),CC1744)/BS1744,0)*BS1744</f>
        <v>0</v>
      </c>
      <c r="BA1744" s="58" t="n">
        <f aca="false">IF(AX1744&gt;0,J1744/AX1744,-1)</f>
        <v>-1</v>
      </c>
      <c r="BB1744" s="58" t="str">
        <f aca="false">IF(AND(OR(BY1744="L1",BY1744="L23"),AX1744&gt;0),SUMIFS($AX$7:$AX$1843,$BY$7:$BY$1843,BY1744,$BA$7:$BA$1843,"&gt;"&amp;BA1744)+SUMIFS($AX$7:$AX$1843,$BY$7:$BY$1843,BY1744,$BA$7:$BA$1843,BA1744,$BQ$7:$BQ$1843,"&lt;="&amp;BQ1744),"")</f>
        <v/>
      </c>
      <c r="BC1744" s="65" t="n">
        <f aca="false">IF(BB1744="",0,MAX(0,MIN(1,(IF(BY1744="L1",Parameter!$E$5,Parameter!$E$6+Parameter!$E$7)-(BB1744-AX1744))/AX1744)))</f>
        <v>0</v>
      </c>
      <c r="BD1744" s="55" t="str">
        <f aca="false">IF(AH1744&lt;=0,"",IF(BY1744="Aussen","Aussenlager",IF(BY1744="-","Nicht im Lift",IF(AM1744&gt;=1,"Lift",IF(AM1744&lt;=0,"Aussenlager","teilweise")))))</f>
        <v/>
      </c>
      <c r="BE1744" s="55" t="str">
        <f aca="false">IF(AP1744&lt;=0,"",IF(BY1744="Aussen","Aussenlager",IF(BY1744="-","Nicht im Lift",IF(AU1744&gt;=1,"Lift",IF(AU1744&lt;=0,"Aussenlager","teilweise")))))</f>
        <v/>
      </c>
      <c r="BF1744" s="55" t="str">
        <f aca="false">IF(AX1744&lt;=0,"",IF(BY1744="Aussen","Aussenlager",IF(BY1744="-","Nicht im Lift",IF(BC1744&gt;=1,"Lift",IF(BC1744&lt;=0,"Aussenlager","teilweise")))))</f>
        <v/>
      </c>
      <c r="BG1744" s="55" t="str">
        <f aca="false">IF(A1744="","",IF(BP1744=1,"Neu; ","")&amp;IF(AND(BP1744=0,BK1744&lt;0),"negativer Bestand (Export "&amp;BK1744&amp;"); ","")&amp;IF(J1744&lt;=0,"Kein Verbrauch; ","")&amp;IF(CH1744&gt;0,"Lift "&amp;W1744&amp;" lt. Liftbericht (Fach "&amp;X1744&amp;" Stk); ",IF(BU1744=1,"Gebinde geschätzt ("&amp;T1744&amp;"); ",IF(BT1744=1,"Lose – Tablare geschätzt; ","")))&amp;IF(H1744&gt;AR1744,"Überbestand "&amp;ROUND(H1744-AR1744,0)&amp;" Stk / CHF "&amp;ROUND((H1744-AR1744)*G1744,0)&amp;"; ","")&amp;IF(AND(CA1744=1,CB1744&lt;CC1744),"MAX &lt; MB+LG; ","")&amp;IF(AND(CG1744&gt;0,CF1744*10&gt;CG1744),"zu hoch für Tablar; ","")&amp;IF(AND(BP1744=0,OR(CA1744=1,AA1744&lt;&gt;"",U1744&lt;&gt;"",V1744&lt;&gt;"",AB1744&lt;&gt;"")),"manuell übersteuert; ","")&amp;IF(AND(BT1744=0,R1744=0),"Gebinde unbekannt / Stellmass fehlt; ","")&amp;IF(AND(BT1744=0,N(V1744)&lt;=0,N(Q1744)&lt;=0),"Menge pro Gebinde fehlt (Ist = 1 Gebinde); ","")&amp;BO1744)</f>
        <v/>
      </c>
      <c r="BH1744" s="55"/>
      <c r="BI1744" s="55"/>
      <c r="BJ1744" s="62"/>
      <c r="BK1744" s="57" t="n">
        <f aca="false">N('Neue Artikel'!$D$5)</f>
        <v>0</v>
      </c>
      <c r="BL1744" s="57" t="n">
        <v>0</v>
      </c>
      <c r="BM1744" s="56" t="n">
        <v>0</v>
      </c>
      <c r="BN1744" s="57" t="n">
        <f aca="false">N('Neue Artikel'!$C$5)/Parameter!$B$18</f>
        <v>0</v>
      </c>
      <c r="BO1744" s="55"/>
      <c r="BP1744" s="60" t="n">
        <v>1</v>
      </c>
      <c r="BQ1744" s="60" t="n">
        <v>1744</v>
      </c>
      <c r="BR1744" s="55" t="str">
        <f aca="false">IF(U1744&lt;&gt;"",UPPER(TRIM(U1744)),IF(BU1744=1,UPPER(VLOOKUP(T1744,Parameter!$I$27:$K$29,2,0)),IF(P1744="","LOSE",P1744)))</f>
        <v>LOSE</v>
      </c>
      <c r="BS1744" s="57" t="n">
        <f aca="false">IF(BR1744="LOSE",1,IF(N(V1744)&gt;0,V1744,IF(BU1744=1,MAX(1,N(VLOOKUP(T1744,Parameter!$I$27:$K$29,3,0)),H1744,N(N1744)),IF(N(Q1744)&gt;0,Q1744,MAX(1,H1744)))))</f>
        <v>1</v>
      </c>
      <c r="BT1744" s="60" t="n">
        <f aca="false">IF(BR1744="LOSE",1,0)</f>
        <v>1</v>
      </c>
      <c r="BU1744" s="60" t="n">
        <f aca="false">IF(AND(U1744="",OR(P1744="",P1744="LOSE"),T1744&lt;&gt;"",N(S1744)&lt;=0,ISNUMBER(MATCH(T1744,Parameter!$I$27:$I$29,0))),1,0)</f>
        <v>0</v>
      </c>
      <c r="BV1744" s="55" t="str">
        <f aca="false">IF(AND(Parameter!$B$19="Ja",E1744&lt;&gt;"",ISNUMBER(MATCH(E1744,Parameter!$I$35:$I$52,0))),VLOOKUP(E1744,Parameter!$I$35:$J$52,2,0),IFERROR(VLOOKUP(D1744,Parameter!$A$35:$C$64,2,0),"Nein"))</f>
        <v>2+3</v>
      </c>
      <c r="BW1744" s="59" t="n">
        <f aca="false">IF(BT1744=0,0,IF(N(S1744)&gt;0,S1744,IFERROR(VLOOKUP(D1744,Parameter!$A$35:$C$64,3,0)+0,0)))</f>
        <v>0.15</v>
      </c>
      <c r="BX1744" s="55" t="str">
        <f aca="false">IF(AA1744&lt;&gt;"",AA1744,Z1744)</f>
        <v/>
      </c>
      <c r="BY1744" s="55" t="str">
        <f aca="false">IF(BX1744=1,"L1",IF(OR(BX1744=2,BX1744=3),"L23",IF(BX1744="Aussen","Aussen","-")))</f>
        <v>-</v>
      </c>
      <c r="BZ1744" s="66" t="n">
        <f aca="false">IF(N(AB1744)&gt;0,AB1744,0)</f>
        <v>0</v>
      </c>
      <c r="CA1744" s="60" t="n">
        <f aca="false">IF(ISNUMBER(AE1744),1,0)</f>
        <v>0</v>
      </c>
      <c r="CB1744" s="57" t="n">
        <f aca="false">N(AE1744)</f>
        <v>0</v>
      </c>
      <c r="CC1744" s="57" t="n">
        <f aca="false">N(M1744)+N(N1744)</f>
        <v>0</v>
      </c>
      <c r="CD1744" s="57" t="n">
        <f aca="false">ROUNDUP(H1744/BS1744,0)</f>
        <v>0</v>
      </c>
      <c r="CE1744" s="57" t="n">
        <f aca="false">ROUNDUP(CB1744/BS1744,0)</f>
        <v>0</v>
      </c>
      <c r="CF1744" s="60" t="n">
        <f aca="false">IF(BT1744=1,0,IFERROR(VLOOKUP(BR1744,'Gebinde-Kategorie'!$A$5:$M$45,5,0)+0,0))</f>
        <v>0</v>
      </c>
      <c r="CG1744" s="60" t="n">
        <f aca="false">IFERROR(IF(OR(BX1744=1,BX1744=2,BX1744=3),N(INDEX(Parameter!$I$5:$I$7,BX1744)),0),0)</f>
        <v>0</v>
      </c>
      <c r="CH1744" s="59" t="n">
        <f aca="false">IF(AND(Parameter!$B$21="Ja",ISNUMBER(W1744),N(X1744)&gt;0),IFERROR(N(INDEX(Parameter!$L$5:$L$7,W1744))*INDEX(Parameter!$E$5:$E$7,W1744)*X1744/SUMIFS($X$7:$X$1843,$W$7:$W$1843,W1744),0),0)</f>
        <v>0</v>
      </c>
    </row>
    <row r="1745" customFormat="false" ht="15" hidden="false" customHeight="false" outlineLevel="0" collapsed="false">
      <c r="A1745" s="55" t="str">
        <f aca="false">IF('Neue Artikel'!$A$6="","",'Neue Artikel'!$A$6&amp;"")</f>
        <v/>
      </c>
      <c r="B1745" s="55" t="str">
        <f aca="false">'Neue Artikel'!$B$6&amp;""</f>
        <v/>
      </c>
      <c r="C1745" s="55"/>
      <c r="D1745" s="55" t="s">
        <v>3015</v>
      </c>
      <c r="E1745" s="55"/>
      <c r="F1745" s="55"/>
      <c r="G1745" s="56" t="n">
        <f aca="false">N('Neue Artikel'!$G$6)</f>
        <v>0</v>
      </c>
      <c r="H1745" s="57" t="n">
        <f aca="false">MAX(0,IF(AND(Parameter!$B$21="Ja",ISNUMBER(Y1745)),Y1745,IF(Parameter!$B$20="Jahresanfang 2025 + Export",BL1745+BK1745,BK1745)))</f>
        <v>0</v>
      </c>
      <c r="I1745" s="57" t="n">
        <f aca="false">H1745*G1745</f>
        <v>0</v>
      </c>
      <c r="J1745" s="57" t="n">
        <f aca="false">BN1745*Parameter!$B$18</f>
        <v>0</v>
      </c>
      <c r="K1745" s="58"/>
      <c r="L1745" s="59"/>
      <c r="M1745" s="57" t="n">
        <f aca="false">N('Neue Artikel'!$E$6)</f>
        <v>0</v>
      </c>
      <c r="N1745" s="57" t="n">
        <f aca="false">N('Neue Artikel'!$F$6)</f>
        <v>0</v>
      </c>
      <c r="O1745" s="60"/>
      <c r="P1745" s="55" t="str">
        <f aca="false">IF('Neue Artikel'!$H$6="","LOSE",UPPER(TRIM('Neue Artikel'!$H$6)))</f>
        <v>LOSE</v>
      </c>
      <c r="Q1745" s="57" t="n">
        <f aca="false">N('Neue Artikel'!$I$6)</f>
        <v>0</v>
      </c>
      <c r="R1745" s="60" t="n">
        <f aca="false">IF(BT1745=1,0,IFERROR(VLOOKUP(BR1745,'Gebinde-Kategorie'!$A$5:$M$45,13,0)+0,0))</f>
        <v>0</v>
      </c>
      <c r="S1745" s="61"/>
      <c r="T1745" s="62"/>
      <c r="U1745" s="62"/>
      <c r="V1745" s="62"/>
      <c r="W1745" s="55"/>
      <c r="X1745" s="57"/>
      <c r="Y1745" s="57"/>
      <c r="Z1745" s="55" t="str">
        <f aca="false">IF(A1745="","",IF(AND(Parameter!$B$21="Ja",ISNUMBER(W1745)),W1745,IF(BV1745="2+3",IF(ISNUMBER(SEARCH("grosser Artikel",BO1745)),2,IFERROR(VLOOKUP(BR1745,Parameter!$F$35:$G$64,2,0),2)),IF(OR(BV1745="Nein",BV1745=""),"-",BV1745))))</f>
        <v/>
      </c>
      <c r="AA1745" s="55" t="str">
        <f aca="false">IF('Neue Artikel'!$J$6="","",'Neue Artikel'!$J$6)</f>
        <v/>
      </c>
      <c r="AB1745" s="63"/>
      <c r="AC1745" s="57" t="n">
        <f aca="false">AR1745</f>
        <v>0</v>
      </c>
      <c r="AD1745" s="57" t="n">
        <f aca="false">MAX(AR1745,H1745)</f>
        <v>0</v>
      </c>
      <c r="AE1745" s="64"/>
      <c r="AF1745" s="57" t="n">
        <f aca="false">IF(LEFT(Cockpit!$C$5,1)="A",H1745,IF(CA1745=1,CB1745,IF(LEFT(Cockpit!$C$5,1)="B",AJ1745,MAX(AJ1745,H1745))))</f>
        <v>0</v>
      </c>
      <c r="AG1745" s="57" t="n">
        <f aca="false">IF(BT1745=1,0,ROUNDUP(AF1745/BS1745,0))</f>
        <v>0</v>
      </c>
      <c r="AH1745" s="59" t="n">
        <f aca="false">IF(CH1745&gt;0,CH1745*MAX(1,AF1745/X1745),IF(BT1745=1,IF(AF1745&lt;=0,0,BW1745*MAX(1,IF(H1745&gt;0,AF1745/H1745,1))),IF(R1745&gt;0,AG1745/R1745,0))/MAX(0.1,N(Parameter!$M$21)))</f>
        <v>0</v>
      </c>
      <c r="AI1745" s="57" t="n">
        <f aca="false">AF1745*G1745</f>
        <v>0</v>
      </c>
      <c r="AJ1745" s="57" t="n">
        <f aca="false">ROUNDUP(MAX(J1745/IF(BZ1745&gt;0,BZ1745,MAX(0.1,N(Cockpit!$C$6))),CC1745)/BS1745,0)*BS1745</f>
        <v>0</v>
      </c>
      <c r="AK1745" s="58" t="n">
        <f aca="false">IF(AH1745&gt;0,J1745/AH1745,-1)</f>
        <v>-1</v>
      </c>
      <c r="AL1745" s="58" t="str">
        <f aca="false">IF(AND(OR(BY1745="L1",BY1745="L23"),AH1745&gt;0),SUMIFS($AH$7:$AH$1843,$BY$7:$BY$1843,BY1745,$AK$7:$AK$1843,"&gt;"&amp;AK1745)+SUMIFS($AH$7:$AH$1843,$BY$7:$BY$1843,BY1745,$AK$7:$AK$1843,AK1745,$BQ$7:$BQ$1843,"&lt;="&amp;BQ1745),"")</f>
        <v/>
      </c>
      <c r="AM1745" s="65" t="n">
        <f aca="false">IF(AL1745="",0,MAX(0,MIN(1,(IF(BY1745="L1",Parameter!$E$5,Parameter!$E$6+Parameter!$E$7)-(AL1745-AH1745))/AH1745)))</f>
        <v>0</v>
      </c>
      <c r="AN1745" s="57" t="n">
        <f aca="false">IF(LEFT(Cockpit!$I$5,1)="A",H1745,IF(CA1745=1,CB1745,IF(LEFT(Cockpit!$I$5,1)="B",AR1745,MAX(AR1745,H1745))))</f>
        <v>0</v>
      </c>
      <c r="AO1745" s="57" t="n">
        <f aca="false">IF(BT1745=1,0,ROUNDUP(AN1745/BS1745,0))</f>
        <v>0</v>
      </c>
      <c r="AP1745" s="59" t="n">
        <f aca="false">IF(CH1745&gt;0,CH1745*MAX(1,AN1745/X1745),IF(BT1745=1,IF(AN1745&lt;=0,0,BW1745*MAX(1,IF(H1745&gt;0,AN1745/H1745,1))),IF(R1745&gt;0,AO1745/R1745,0))/MAX(0.1,N(Parameter!$M$21)))</f>
        <v>0</v>
      </c>
      <c r="AQ1745" s="57" t="n">
        <f aca="false">AN1745*G1745</f>
        <v>0</v>
      </c>
      <c r="AR1745" s="57" t="n">
        <f aca="false">ROUNDUP(MAX(J1745/IF(BZ1745&gt;0,BZ1745,MAX(0.1,N(Cockpit!$I$6))),CC1745)/BS1745,0)*BS1745</f>
        <v>0</v>
      </c>
      <c r="AS1745" s="58" t="n">
        <f aca="false">IF(AP1745&gt;0,J1745/AP1745,-1)</f>
        <v>-1</v>
      </c>
      <c r="AT1745" s="58" t="str">
        <f aca="false">IF(AND(OR(BY1745="L1",BY1745="L23"),AP1745&gt;0),SUMIFS($AP$7:$AP$1843,$BY$7:$BY$1843,BY1745,$AS$7:$AS$1843,"&gt;"&amp;AS1745)+SUMIFS($AP$7:$AP$1843,$BY$7:$BY$1843,BY1745,$AS$7:$AS$1843,AS1745,$BQ$7:$BQ$1843,"&lt;="&amp;BQ1745),"")</f>
        <v/>
      </c>
      <c r="AU1745" s="65" t="n">
        <f aca="false">IF(AT1745="",0,MAX(0,MIN(1,(IF(BY1745="L1",Parameter!$E$5,Parameter!$E$6+Parameter!$E$7)-(AT1745-AP1745))/AP1745)))</f>
        <v>0</v>
      </c>
      <c r="AV1745" s="57" t="n">
        <f aca="false">IF(LEFT(Cockpit!$O$5,1)="A",H1745,IF(CA1745=1,CB1745,IF(LEFT(Cockpit!$O$5,1)="B",AZ1745,MAX(AZ1745,H1745))))</f>
        <v>0</v>
      </c>
      <c r="AW1745" s="57" t="n">
        <f aca="false">IF(BT1745=1,0,ROUNDUP(AV1745/BS1745,0))</f>
        <v>0</v>
      </c>
      <c r="AX1745" s="59" t="n">
        <f aca="false">IF(CH1745&gt;0,CH1745*MAX(1,AV1745/X1745),IF(BT1745=1,IF(AV1745&lt;=0,0,BW1745*MAX(1,IF(H1745&gt;0,AV1745/H1745,1))),IF(R1745&gt;0,AW1745/R1745,0))/MAX(0.1,N(Parameter!$M$21)))</f>
        <v>0</v>
      </c>
      <c r="AY1745" s="57" t="n">
        <f aca="false">AV1745*G1745</f>
        <v>0</v>
      </c>
      <c r="AZ1745" s="57" t="n">
        <f aca="false">ROUNDUP(MAX(J1745/IF(BZ1745&gt;0,BZ1745,MAX(0.1,N(Cockpit!$O$6))),CC1745)/BS1745,0)*BS1745</f>
        <v>0</v>
      </c>
      <c r="BA1745" s="58" t="n">
        <f aca="false">IF(AX1745&gt;0,J1745/AX1745,-1)</f>
        <v>-1</v>
      </c>
      <c r="BB1745" s="58" t="str">
        <f aca="false">IF(AND(OR(BY1745="L1",BY1745="L23"),AX1745&gt;0),SUMIFS($AX$7:$AX$1843,$BY$7:$BY$1843,BY1745,$BA$7:$BA$1843,"&gt;"&amp;BA1745)+SUMIFS($AX$7:$AX$1843,$BY$7:$BY$1843,BY1745,$BA$7:$BA$1843,BA1745,$BQ$7:$BQ$1843,"&lt;="&amp;BQ1745),"")</f>
        <v/>
      </c>
      <c r="BC1745" s="65" t="n">
        <f aca="false">IF(BB1745="",0,MAX(0,MIN(1,(IF(BY1745="L1",Parameter!$E$5,Parameter!$E$6+Parameter!$E$7)-(BB1745-AX1745))/AX1745)))</f>
        <v>0</v>
      </c>
      <c r="BD1745" s="55" t="str">
        <f aca="false">IF(AH1745&lt;=0,"",IF(BY1745="Aussen","Aussenlager",IF(BY1745="-","Nicht im Lift",IF(AM1745&gt;=1,"Lift",IF(AM1745&lt;=0,"Aussenlager","teilweise")))))</f>
        <v/>
      </c>
      <c r="BE1745" s="55" t="str">
        <f aca="false">IF(AP1745&lt;=0,"",IF(BY1745="Aussen","Aussenlager",IF(BY1745="-","Nicht im Lift",IF(AU1745&gt;=1,"Lift",IF(AU1745&lt;=0,"Aussenlager","teilweise")))))</f>
        <v/>
      </c>
      <c r="BF1745" s="55" t="str">
        <f aca="false">IF(AX1745&lt;=0,"",IF(BY1745="Aussen","Aussenlager",IF(BY1745="-","Nicht im Lift",IF(BC1745&gt;=1,"Lift",IF(BC1745&lt;=0,"Aussenlager","teilweise")))))</f>
        <v/>
      </c>
      <c r="BG1745" s="55" t="str">
        <f aca="false">IF(A1745="","",IF(BP1745=1,"Neu; ","")&amp;IF(AND(BP1745=0,BK1745&lt;0),"negativer Bestand (Export "&amp;BK1745&amp;"); ","")&amp;IF(J1745&lt;=0,"Kein Verbrauch; ","")&amp;IF(CH1745&gt;0,"Lift "&amp;W1745&amp;" lt. Liftbericht (Fach "&amp;X1745&amp;" Stk); ",IF(BU1745=1,"Gebinde geschätzt ("&amp;T1745&amp;"); ",IF(BT1745=1,"Lose – Tablare geschätzt; ","")))&amp;IF(H1745&gt;AR1745,"Überbestand "&amp;ROUND(H1745-AR1745,0)&amp;" Stk / CHF "&amp;ROUND((H1745-AR1745)*G1745,0)&amp;"; ","")&amp;IF(AND(CA1745=1,CB1745&lt;CC1745),"MAX &lt; MB+LG; ","")&amp;IF(AND(CG1745&gt;0,CF1745*10&gt;CG1745),"zu hoch für Tablar; ","")&amp;IF(AND(BP1745=0,OR(CA1745=1,AA1745&lt;&gt;"",U1745&lt;&gt;"",V1745&lt;&gt;"",AB1745&lt;&gt;"")),"manuell übersteuert; ","")&amp;IF(AND(BT1745=0,R1745=0),"Gebinde unbekannt / Stellmass fehlt; ","")&amp;IF(AND(BT1745=0,N(V1745)&lt;=0,N(Q1745)&lt;=0),"Menge pro Gebinde fehlt (Ist = 1 Gebinde); ","")&amp;BO1745)</f>
        <v/>
      </c>
      <c r="BH1745" s="55"/>
      <c r="BI1745" s="55"/>
      <c r="BJ1745" s="62"/>
      <c r="BK1745" s="57" t="n">
        <f aca="false">N('Neue Artikel'!$D$6)</f>
        <v>0</v>
      </c>
      <c r="BL1745" s="57" t="n">
        <v>0</v>
      </c>
      <c r="BM1745" s="56" t="n">
        <v>0</v>
      </c>
      <c r="BN1745" s="57" t="n">
        <f aca="false">N('Neue Artikel'!$C$6)/Parameter!$B$18</f>
        <v>0</v>
      </c>
      <c r="BO1745" s="55"/>
      <c r="BP1745" s="60" t="n">
        <v>1</v>
      </c>
      <c r="BQ1745" s="60" t="n">
        <v>1745</v>
      </c>
      <c r="BR1745" s="55" t="str">
        <f aca="false">IF(U1745&lt;&gt;"",UPPER(TRIM(U1745)),IF(BU1745=1,UPPER(VLOOKUP(T1745,Parameter!$I$27:$K$29,2,0)),IF(P1745="","LOSE",P1745)))</f>
        <v>LOSE</v>
      </c>
      <c r="BS1745" s="57" t="n">
        <f aca="false">IF(BR1745="LOSE",1,IF(N(V1745)&gt;0,V1745,IF(BU1745=1,MAX(1,N(VLOOKUP(T1745,Parameter!$I$27:$K$29,3,0)),H1745,N(N1745)),IF(N(Q1745)&gt;0,Q1745,MAX(1,H1745)))))</f>
        <v>1</v>
      </c>
      <c r="BT1745" s="60" t="n">
        <f aca="false">IF(BR1745="LOSE",1,0)</f>
        <v>1</v>
      </c>
      <c r="BU1745" s="60" t="n">
        <f aca="false">IF(AND(U1745="",OR(P1745="",P1745="LOSE"),T1745&lt;&gt;"",N(S1745)&lt;=0,ISNUMBER(MATCH(T1745,Parameter!$I$27:$I$29,0))),1,0)</f>
        <v>0</v>
      </c>
      <c r="BV1745" s="55" t="str">
        <f aca="false">IF(AND(Parameter!$B$19="Ja",E1745&lt;&gt;"",ISNUMBER(MATCH(E1745,Parameter!$I$35:$I$52,0))),VLOOKUP(E1745,Parameter!$I$35:$J$52,2,0),IFERROR(VLOOKUP(D1745,Parameter!$A$35:$C$64,2,0),"Nein"))</f>
        <v>2+3</v>
      </c>
      <c r="BW1745" s="59" t="n">
        <f aca="false">IF(BT1745=0,0,IF(N(S1745)&gt;0,S1745,IFERROR(VLOOKUP(D1745,Parameter!$A$35:$C$64,3,0)+0,0)))</f>
        <v>0.15</v>
      </c>
      <c r="BX1745" s="55" t="str">
        <f aca="false">IF(AA1745&lt;&gt;"",AA1745,Z1745)</f>
        <v/>
      </c>
      <c r="BY1745" s="55" t="str">
        <f aca="false">IF(BX1745=1,"L1",IF(OR(BX1745=2,BX1745=3),"L23",IF(BX1745="Aussen","Aussen","-")))</f>
        <v>-</v>
      </c>
      <c r="BZ1745" s="66" t="n">
        <f aca="false">IF(N(AB1745)&gt;0,AB1745,0)</f>
        <v>0</v>
      </c>
      <c r="CA1745" s="60" t="n">
        <f aca="false">IF(ISNUMBER(AE1745),1,0)</f>
        <v>0</v>
      </c>
      <c r="CB1745" s="57" t="n">
        <f aca="false">N(AE1745)</f>
        <v>0</v>
      </c>
      <c r="CC1745" s="57" t="n">
        <f aca="false">N(M1745)+N(N1745)</f>
        <v>0</v>
      </c>
      <c r="CD1745" s="57" t="n">
        <f aca="false">ROUNDUP(H1745/BS1745,0)</f>
        <v>0</v>
      </c>
      <c r="CE1745" s="57" t="n">
        <f aca="false">ROUNDUP(CB1745/BS1745,0)</f>
        <v>0</v>
      </c>
      <c r="CF1745" s="60" t="n">
        <f aca="false">IF(BT1745=1,0,IFERROR(VLOOKUP(BR1745,'Gebinde-Kategorie'!$A$5:$M$45,5,0)+0,0))</f>
        <v>0</v>
      </c>
      <c r="CG1745" s="60" t="n">
        <f aca="false">IFERROR(IF(OR(BX1745=1,BX1745=2,BX1745=3),N(INDEX(Parameter!$I$5:$I$7,BX1745)),0),0)</f>
        <v>0</v>
      </c>
      <c r="CH1745" s="59" t="n">
        <f aca="false">IF(AND(Parameter!$B$21="Ja",ISNUMBER(W1745),N(X1745)&gt;0),IFERROR(N(INDEX(Parameter!$L$5:$L$7,W1745))*INDEX(Parameter!$E$5:$E$7,W1745)*X1745/SUMIFS($X$7:$X$1843,$W$7:$W$1843,W1745),0),0)</f>
        <v>0</v>
      </c>
    </row>
    <row r="1746" customFormat="false" ht="15" hidden="false" customHeight="false" outlineLevel="0" collapsed="false">
      <c r="A1746" s="55" t="str">
        <f aca="false">IF('Neue Artikel'!$A$7="","",'Neue Artikel'!$A$7&amp;"")</f>
        <v/>
      </c>
      <c r="B1746" s="55" t="str">
        <f aca="false">'Neue Artikel'!$B$7&amp;""</f>
        <v/>
      </c>
      <c r="C1746" s="55"/>
      <c r="D1746" s="55" t="s">
        <v>3015</v>
      </c>
      <c r="E1746" s="55"/>
      <c r="F1746" s="55"/>
      <c r="G1746" s="56" t="n">
        <f aca="false">N('Neue Artikel'!$G$7)</f>
        <v>0</v>
      </c>
      <c r="H1746" s="57" t="n">
        <f aca="false">MAX(0,IF(AND(Parameter!$B$21="Ja",ISNUMBER(Y1746)),Y1746,IF(Parameter!$B$20="Jahresanfang 2025 + Export",BL1746+BK1746,BK1746)))</f>
        <v>0</v>
      </c>
      <c r="I1746" s="57" t="n">
        <f aca="false">H1746*G1746</f>
        <v>0</v>
      </c>
      <c r="J1746" s="57" t="n">
        <f aca="false">BN1746*Parameter!$B$18</f>
        <v>0</v>
      </c>
      <c r="K1746" s="58"/>
      <c r="L1746" s="59"/>
      <c r="M1746" s="57" t="n">
        <f aca="false">N('Neue Artikel'!$E$7)</f>
        <v>0</v>
      </c>
      <c r="N1746" s="57" t="n">
        <f aca="false">N('Neue Artikel'!$F$7)</f>
        <v>0</v>
      </c>
      <c r="O1746" s="60"/>
      <c r="P1746" s="55" t="str">
        <f aca="false">IF('Neue Artikel'!$H$7="","LOSE",UPPER(TRIM('Neue Artikel'!$H$7)))</f>
        <v>LOSE</v>
      </c>
      <c r="Q1746" s="57" t="n">
        <f aca="false">N('Neue Artikel'!$I$7)</f>
        <v>0</v>
      </c>
      <c r="R1746" s="60" t="n">
        <f aca="false">IF(BT1746=1,0,IFERROR(VLOOKUP(BR1746,'Gebinde-Kategorie'!$A$5:$M$45,13,0)+0,0))</f>
        <v>0</v>
      </c>
      <c r="S1746" s="61"/>
      <c r="T1746" s="62"/>
      <c r="U1746" s="62"/>
      <c r="V1746" s="62"/>
      <c r="W1746" s="55"/>
      <c r="X1746" s="57"/>
      <c r="Y1746" s="57"/>
      <c r="Z1746" s="55" t="str">
        <f aca="false">IF(A1746="","",IF(AND(Parameter!$B$21="Ja",ISNUMBER(W1746)),W1746,IF(BV1746="2+3",IF(ISNUMBER(SEARCH("grosser Artikel",BO1746)),2,IFERROR(VLOOKUP(BR1746,Parameter!$F$35:$G$64,2,0),2)),IF(OR(BV1746="Nein",BV1746=""),"-",BV1746))))</f>
        <v/>
      </c>
      <c r="AA1746" s="55" t="str">
        <f aca="false">IF('Neue Artikel'!$J$7="","",'Neue Artikel'!$J$7)</f>
        <v/>
      </c>
      <c r="AB1746" s="63"/>
      <c r="AC1746" s="57" t="n">
        <f aca="false">AR1746</f>
        <v>0</v>
      </c>
      <c r="AD1746" s="57" t="n">
        <f aca="false">MAX(AR1746,H1746)</f>
        <v>0</v>
      </c>
      <c r="AE1746" s="64"/>
      <c r="AF1746" s="57" t="n">
        <f aca="false">IF(LEFT(Cockpit!$C$5,1)="A",H1746,IF(CA1746=1,CB1746,IF(LEFT(Cockpit!$C$5,1)="B",AJ1746,MAX(AJ1746,H1746))))</f>
        <v>0</v>
      </c>
      <c r="AG1746" s="57" t="n">
        <f aca="false">IF(BT1746=1,0,ROUNDUP(AF1746/BS1746,0))</f>
        <v>0</v>
      </c>
      <c r="AH1746" s="59" t="n">
        <f aca="false">IF(CH1746&gt;0,CH1746*MAX(1,AF1746/X1746),IF(BT1746=1,IF(AF1746&lt;=0,0,BW1746*MAX(1,IF(H1746&gt;0,AF1746/H1746,1))),IF(R1746&gt;0,AG1746/R1746,0))/MAX(0.1,N(Parameter!$M$21)))</f>
        <v>0</v>
      </c>
      <c r="AI1746" s="57" t="n">
        <f aca="false">AF1746*G1746</f>
        <v>0</v>
      </c>
      <c r="AJ1746" s="57" t="n">
        <f aca="false">ROUNDUP(MAX(J1746/IF(BZ1746&gt;0,BZ1746,MAX(0.1,N(Cockpit!$C$6))),CC1746)/BS1746,0)*BS1746</f>
        <v>0</v>
      </c>
      <c r="AK1746" s="58" t="n">
        <f aca="false">IF(AH1746&gt;0,J1746/AH1746,-1)</f>
        <v>-1</v>
      </c>
      <c r="AL1746" s="58" t="str">
        <f aca="false">IF(AND(OR(BY1746="L1",BY1746="L23"),AH1746&gt;0),SUMIFS($AH$7:$AH$1843,$BY$7:$BY$1843,BY1746,$AK$7:$AK$1843,"&gt;"&amp;AK1746)+SUMIFS($AH$7:$AH$1843,$BY$7:$BY$1843,BY1746,$AK$7:$AK$1843,AK1746,$BQ$7:$BQ$1843,"&lt;="&amp;BQ1746),"")</f>
        <v/>
      </c>
      <c r="AM1746" s="65" t="n">
        <f aca="false">IF(AL1746="",0,MAX(0,MIN(1,(IF(BY1746="L1",Parameter!$E$5,Parameter!$E$6+Parameter!$E$7)-(AL1746-AH1746))/AH1746)))</f>
        <v>0</v>
      </c>
      <c r="AN1746" s="57" t="n">
        <f aca="false">IF(LEFT(Cockpit!$I$5,1)="A",H1746,IF(CA1746=1,CB1746,IF(LEFT(Cockpit!$I$5,1)="B",AR1746,MAX(AR1746,H1746))))</f>
        <v>0</v>
      </c>
      <c r="AO1746" s="57" t="n">
        <f aca="false">IF(BT1746=1,0,ROUNDUP(AN1746/BS1746,0))</f>
        <v>0</v>
      </c>
      <c r="AP1746" s="59" t="n">
        <f aca="false">IF(CH1746&gt;0,CH1746*MAX(1,AN1746/X1746),IF(BT1746=1,IF(AN1746&lt;=0,0,BW1746*MAX(1,IF(H1746&gt;0,AN1746/H1746,1))),IF(R1746&gt;0,AO1746/R1746,0))/MAX(0.1,N(Parameter!$M$21)))</f>
        <v>0</v>
      </c>
      <c r="AQ1746" s="57" t="n">
        <f aca="false">AN1746*G1746</f>
        <v>0</v>
      </c>
      <c r="AR1746" s="57" t="n">
        <f aca="false">ROUNDUP(MAX(J1746/IF(BZ1746&gt;0,BZ1746,MAX(0.1,N(Cockpit!$I$6))),CC1746)/BS1746,0)*BS1746</f>
        <v>0</v>
      </c>
      <c r="AS1746" s="58" t="n">
        <f aca="false">IF(AP1746&gt;0,J1746/AP1746,-1)</f>
        <v>-1</v>
      </c>
      <c r="AT1746" s="58" t="str">
        <f aca="false">IF(AND(OR(BY1746="L1",BY1746="L23"),AP1746&gt;0),SUMIFS($AP$7:$AP$1843,$BY$7:$BY$1843,BY1746,$AS$7:$AS$1843,"&gt;"&amp;AS1746)+SUMIFS($AP$7:$AP$1843,$BY$7:$BY$1843,BY1746,$AS$7:$AS$1843,AS1746,$BQ$7:$BQ$1843,"&lt;="&amp;BQ1746),"")</f>
        <v/>
      </c>
      <c r="AU1746" s="65" t="n">
        <f aca="false">IF(AT1746="",0,MAX(0,MIN(1,(IF(BY1746="L1",Parameter!$E$5,Parameter!$E$6+Parameter!$E$7)-(AT1746-AP1746))/AP1746)))</f>
        <v>0</v>
      </c>
      <c r="AV1746" s="57" t="n">
        <f aca="false">IF(LEFT(Cockpit!$O$5,1)="A",H1746,IF(CA1746=1,CB1746,IF(LEFT(Cockpit!$O$5,1)="B",AZ1746,MAX(AZ1746,H1746))))</f>
        <v>0</v>
      </c>
      <c r="AW1746" s="57" t="n">
        <f aca="false">IF(BT1746=1,0,ROUNDUP(AV1746/BS1746,0))</f>
        <v>0</v>
      </c>
      <c r="AX1746" s="59" t="n">
        <f aca="false">IF(CH1746&gt;0,CH1746*MAX(1,AV1746/X1746),IF(BT1746=1,IF(AV1746&lt;=0,0,BW1746*MAX(1,IF(H1746&gt;0,AV1746/H1746,1))),IF(R1746&gt;0,AW1746/R1746,0))/MAX(0.1,N(Parameter!$M$21)))</f>
        <v>0</v>
      </c>
      <c r="AY1746" s="57" t="n">
        <f aca="false">AV1746*G1746</f>
        <v>0</v>
      </c>
      <c r="AZ1746" s="57" t="n">
        <f aca="false">ROUNDUP(MAX(J1746/IF(BZ1746&gt;0,BZ1746,MAX(0.1,N(Cockpit!$O$6))),CC1746)/BS1746,0)*BS1746</f>
        <v>0</v>
      </c>
      <c r="BA1746" s="58" t="n">
        <f aca="false">IF(AX1746&gt;0,J1746/AX1746,-1)</f>
        <v>-1</v>
      </c>
      <c r="BB1746" s="58" t="str">
        <f aca="false">IF(AND(OR(BY1746="L1",BY1746="L23"),AX1746&gt;0),SUMIFS($AX$7:$AX$1843,$BY$7:$BY$1843,BY1746,$BA$7:$BA$1843,"&gt;"&amp;BA1746)+SUMIFS($AX$7:$AX$1843,$BY$7:$BY$1843,BY1746,$BA$7:$BA$1843,BA1746,$BQ$7:$BQ$1843,"&lt;="&amp;BQ1746),"")</f>
        <v/>
      </c>
      <c r="BC1746" s="65" t="n">
        <f aca="false">IF(BB1746="",0,MAX(0,MIN(1,(IF(BY1746="L1",Parameter!$E$5,Parameter!$E$6+Parameter!$E$7)-(BB1746-AX1746))/AX1746)))</f>
        <v>0</v>
      </c>
      <c r="BD1746" s="55" t="str">
        <f aca="false">IF(AH1746&lt;=0,"",IF(BY1746="Aussen","Aussenlager",IF(BY1746="-","Nicht im Lift",IF(AM1746&gt;=1,"Lift",IF(AM1746&lt;=0,"Aussenlager","teilweise")))))</f>
        <v/>
      </c>
      <c r="BE1746" s="55" t="str">
        <f aca="false">IF(AP1746&lt;=0,"",IF(BY1746="Aussen","Aussenlager",IF(BY1746="-","Nicht im Lift",IF(AU1746&gt;=1,"Lift",IF(AU1746&lt;=0,"Aussenlager","teilweise")))))</f>
        <v/>
      </c>
      <c r="BF1746" s="55" t="str">
        <f aca="false">IF(AX1746&lt;=0,"",IF(BY1746="Aussen","Aussenlager",IF(BY1746="-","Nicht im Lift",IF(BC1746&gt;=1,"Lift",IF(BC1746&lt;=0,"Aussenlager","teilweise")))))</f>
        <v/>
      </c>
      <c r="BG1746" s="55" t="str">
        <f aca="false">IF(A1746="","",IF(BP1746=1,"Neu; ","")&amp;IF(AND(BP1746=0,BK1746&lt;0),"negativer Bestand (Export "&amp;BK1746&amp;"); ","")&amp;IF(J1746&lt;=0,"Kein Verbrauch; ","")&amp;IF(CH1746&gt;0,"Lift "&amp;W1746&amp;" lt. Liftbericht (Fach "&amp;X1746&amp;" Stk); ",IF(BU1746=1,"Gebinde geschätzt ("&amp;T1746&amp;"); ",IF(BT1746=1,"Lose – Tablare geschätzt; ","")))&amp;IF(H1746&gt;AR1746,"Überbestand "&amp;ROUND(H1746-AR1746,0)&amp;" Stk / CHF "&amp;ROUND((H1746-AR1746)*G1746,0)&amp;"; ","")&amp;IF(AND(CA1746=1,CB1746&lt;CC1746),"MAX &lt; MB+LG; ","")&amp;IF(AND(CG1746&gt;0,CF1746*10&gt;CG1746),"zu hoch für Tablar; ","")&amp;IF(AND(BP1746=0,OR(CA1746=1,AA1746&lt;&gt;"",U1746&lt;&gt;"",V1746&lt;&gt;"",AB1746&lt;&gt;"")),"manuell übersteuert; ","")&amp;IF(AND(BT1746=0,R1746=0),"Gebinde unbekannt / Stellmass fehlt; ","")&amp;IF(AND(BT1746=0,N(V1746)&lt;=0,N(Q1746)&lt;=0),"Menge pro Gebinde fehlt (Ist = 1 Gebinde); ","")&amp;BO1746)</f>
        <v/>
      </c>
      <c r="BH1746" s="55"/>
      <c r="BI1746" s="55"/>
      <c r="BJ1746" s="62"/>
      <c r="BK1746" s="57" t="n">
        <f aca="false">N('Neue Artikel'!$D$7)</f>
        <v>0</v>
      </c>
      <c r="BL1746" s="57" t="n">
        <v>0</v>
      </c>
      <c r="BM1746" s="56" t="n">
        <v>0</v>
      </c>
      <c r="BN1746" s="57" t="n">
        <f aca="false">N('Neue Artikel'!$C$7)/Parameter!$B$18</f>
        <v>0</v>
      </c>
      <c r="BO1746" s="55"/>
      <c r="BP1746" s="60" t="n">
        <v>1</v>
      </c>
      <c r="BQ1746" s="60" t="n">
        <v>1746</v>
      </c>
      <c r="BR1746" s="55" t="str">
        <f aca="false">IF(U1746&lt;&gt;"",UPPER(TRIM(U1746)),IF(BU1746=1,UPPER(VLOOKUP(T1746,Parameter!$I$27:$K$29,2,0)),IF(P1746="","LOSE",P1746)))</f>
        <v>LOSE</v>
      </c>
      <c r="BS1746" s="57" t="n">
        <f aca="false">IF(BR1746="LOSE",1,IF(N(V1746)&gt;0,V1746,IF(BU1746=1,MAX(1,N(VLOOKUP(T1746,Parameter!$I$27:$K$29,3,0)),H1746,N(N1746)),IF(N(Q1746)&gt;0,Q1746,MAX(1,H1746)))))</f>
        <v>1</v>
      </c>
      <c r="BT1746" s="60" t="n">
        <f aca="false">IF(BR1746="LOSE",1,0)</f>
        <v>1</v>
      </c>
      <c r="BU1746" s="60" t="n">
        <f aca="false">IF(AND(U1746="",OR(P1746="",P1746="LOSE"),T1746&lt;&gt;"",N(S1746)&lt;=0,ISNUMBER(MATCH(T1746,Parameter!$I$27:$I$29,0))),1,0)</f>
        <v>0</v>
      </c>
      <c r="BV1746" s="55" t="str">
        <f aca="false">IF(AND(Parameter!$B$19="Ja",E1746&lt;&gt;"",ISNUMBER(MATCH(E1746,Parameter!$I$35:$I$52,0))),VLOOKUP(E1746,Parameter!$I$35:$J$52,2,0),IFERROR(VLOOKUP(D1746,Parameter!$A$35:$C$64,2,0),"Nein"))</f>
        <v>2+3</v>
      </c>
      <c r="BW1746" s="59" t="n">
        <f aca="false">IF(BT1746=0,0,IF(N(S1746)&gt;0,S1746,IFERROR(VLOOKUP(D1746,Parameter!$A$35:$C$64,3,0)+0,0)))</f>
        <v>0.15</v>
      </c>
      <c r="BX1746" s="55" t="str">
        <f aca="false">IF(AA1746&lt;&gt;"",AA1746,Z1746)</f>
        <v/>
      </c>
      <c r="BY1746" s="55" t="str">
        <f aca="false">IF(BX1746=1,"L1",IF(OR(BX1746=2,BX1746=3),"L23",IF(BX1746="Aussen","Aussen","-")))</f>
        <v>-</v>
      </c>
      <c r="BZ1746" s="66" t="n">
        <f aca="false">IF(N(AB1746)&gt;0,AB1746,0)</f>
        <v>0</v>
      </c>
      <c r="CA1746" s="60" t="n">
        <f aca="false">IF(ISNUMBER(AE1746),1,0)</f>
        <v>0</v>
      </c>
      <c r="CB1746" s="57" t="n">
        <f aca="false">N(AE1746)</f>
        <v>0</v>
      </c>
      <c r="CC1746" s="57" t="n">
        <f aca="false">N(M1746)+N(N1746)</f>
        <v>0</v>
      </c>
      <c r="CD1746" s="57" t="n">
        <f aca="false">ROUNDUP(H1746/BS1746,0)</f>
        <v>0</v>
      </c>
      <c r="CE1746" s="57" t="n">
        <f aca="false">ROUNDUP(CB1746/BS1746,0)</f>
        <v>0</v>
      </c>
      <c r="CF1746" s="60" t="n">
        <f aca="false">IF(BT1746=1,0,IFERROR(VLOOKUP(BR1746,'Gebinde-Kategorie'!$A$5:$M$45,5,0)+0,0))</f>
        <v>0</v>
      </c>
      <c r="CG1746" s="60" t="n">
        <f aca="false">IFERROR(IF(OR(BX1746=1,BX1746=2,BX1746=3),N(INDEX(Parameter!$I$5:$I$7,BX1746)),0),0)</f>
        <v>0</v>
      </c>
      <c r="CH1746" s="59" t="n">
        <f aca="false">IF(AND(Parameter!$B$21="Ja",ISNUMBER(W1746),N(X1746)&gt;0),IFERROR(N(INDEX(Parameter!$L$5:$L$7,W1746))*INDEX(Parameter!$E$5:$E$7,W1746)*X1746/SUMIFS($X$7:$X$1843,$W$7:$W$1843,W1746),0),0)</f>
        <v>0</v>
      </c>
    </row>
    <row r="1747" customFormat="false" ht="15" hidden="false" customHeight="false" outlineLevel="0" collapsed="false">
      <c r="A1747" s="55" t="str">
        <f aca="false">IF('Neue Artikel'!$A$8="","",'Neue Artikel'!$A$8&amp;"")</f>
        <v/>
      </c>
      <c r="B1747" s="55" t="str">
        <f aca="false">'Neue Artikel'!$B$8&amp;""</f>
        <v/>
      </c>
      <c r="C1747" s="55"/>
      <c r="D1747" s="55" t="s">
        <v>3015</v>
      </c>
      <c r="E1747" s="55"/>
      <c r="F1747" s="55"/>
      <c r="G1747" s="56" t="n">
        <f aca="false">N('Neue Artikel'!$G$8)</f>
        <v>0</v>
      </c>
      <c r="H1747" s="57" t="n">
        <f aca="false">MAX(0,IF(AND(Parameter!$B$21="Ja",ISNUMBER(Y1747)),Y1747,IF(Parameter!$B$20="Jahresanfang 2025 + Export",BL1747+BK1747,BK1747)))</f>
        <v>0</v>
      </c>
      <c r="I1747" s="57" t="n">
        <f aca="false">H1747*G1747</f>
        <v>0</v>
      </c>
      <c r="J1747" s="57" t="n">
        <f aca="false">BN1747*Parameter!$B$18</f>
        <v>0</v>
      </c>
      <c r="K1747" s="58"/>
      <c r="L1747" s="59"/>
      <c r="M1747" s="57" t="n">
        <f aca="false">N('Neue Artikel'!$E$8)</f>
        <v>0</v>
      </c>
      <c r="N1747" s="57" t="n">
        <f aca="false">N('Neue Artikel'!$F$8)</f>
        <v>0</v>
      </c>
      <c r="O1747" s="60"/>
      <c r="P1747" s="55" t="str">
        <f aca="false">IF('Neue Artikel'!$H$8="","LOSE",UPPER(TRIM('Neue Artikel'!$H$8)))</f>
        <v>LOSE</v>
      </c>
      <c r="Q1747" s="57" t="n">
        <f aca="false">N('Neue Artikel'!$I$8)</f>
        <v>0</v>
      </c>
      <c r="R1747" s="60" t="n">
        <f aca="false">IF(BT1747=1,0,IFERROR(VLOOKUP(BR1747,'Gebinde-Kategorie'!$A$5:$M$45,13,0)+0,0))</f>
        <v>0</v>
      </c>
      <c r="S1747" s="61"/>
      <c r="T1747" s="62"/>
      <c r="U1747" s="62"/>
      <c r="V1747" s="62"/>
      <c r="W1747" s="55"/>
      <c r="X1747" s="57"/>
      <c r="Y1747" s="57"/>
      <c r="Z1747" s="55" t="str">
        <f aca="false">IF(A1747="","",IF(AND(Parameter!$B$21="Ja",ISNUMBER(W1747)),W1747,IF(BV1747="2+3",IF(ISNUMBER(SEARCH("grosser Artikel",BO1747)),2,IFERROR(VLOOKUP(BR1747,Parameter!$F$35:$G$64,2,0),2)),IF(OR(BV1747="Nein",BV1747=""),"-",BV1747))))</f>
        <v/>
      </c>
      <c r="AA1747" s="55" t="str">
        <f aca="false">IF('Neue Artikel'!$J$8="","",'Neue Artikel'!$J$8)</f>
        <v/>
      </c>
      <c r="AB1747" s="63"/>
      <c r="AC1747" s="57" t="n">
        <f aca="false">AR1747</f>
        <v>0</v>
      </c>
      <c r="AD1747" s="57" t="n">
        <f aca="false">MAX(AR1747,H1747)</f>
        <v>0</v>
      </c>
      <c r="AE1747" s="64"/>
      <c r="AF1747" s="57" t="n">
        <f aca="false">IF(LEFT(Cockpit!$C$5,1)="A",H1747,IF(CA1747=1,CB1747,IF(LEFT(Cockpit!$C$5,1)="B",AJ1747,MAX(AJ1747,H1747))))</f>
        <v>0</v>
      </c>
      <c r="AG1747" s="57" t="n">
        <f aca="false">IF(BT1747=1,0,ROUNDUP(AF1747/BS1747,0))</f>
        <v>0</v>
      </c>
      <c r="AH1747" s="59" t="n">
        <f aca="false">IF(CH1747&gt;0,CH1747*MAX(1,AF1747/X1747),IF(BT1747=1,IF(AF1747&lt;=0,0,BW1747*MAX(1,IF(H1747&gt;0,AF1747/H1747,1))),IF(R1747&gt;0,AG1747/R1747,0))/MAX(0.1,N(Parameter!$M$21)))</f>
        <v>0</v>
      </c>
      <c r="AI1747" s="57" t="n">
        <f aca="false">AF1747*G1747</f>
        <v>0</v>
      </c>
      <c r="AJ1747" s="57" t="n">
        <f aca="false">ROUNDUP(MAX(J1747/IF(BZ1747&gt;0,BZ1747,MAX(0.1,N(Cockpit!$C$6))),CC1747)/BS1747,0)*BS1747</f>
        <v>0</v>
      </c>
      <c r="AK1747" s="58" t="n">
        <f aca="false">IF(AH1747&gt;0,J1747/AH1747,-1)</f>
        <v>-1</v>
      </c>
      <c r="AL1747" s="58" t="str">
        <f aca="false">IF(AND(OR(BY1747="L1",BY1747="L23"),AH1747&gt;0),SUMIFS($AH$7:$AH$1843,$BY$7:$BY$1843,BY1747,$AK$7:$AK$1843,"&gt;"&amp;AK1747)+SUMIFS($AH$7:$AH$1843,$BY$7:$BY$1843,BY1747,$AK$7:$AK$1843,AK1747,$BQ$7:$BQ$1843,"&lt;="&amp;BQ1747),"")</f>
        <v/>
      </c>
      <c r="AM1747" s="65" t="n">
        <f aca="false">IF(AL1747="",0,MAX(0,MIN(1,(IF(BY1747="L1",Parameter!$E$5,Parameter!$E$6+Parameter!$E$7)-(AL1747-AH1747))/AH1747)))</f>
        <v>0</v>
      </c>
      <c r="AN1747" s="57" t="n">
        <f aca="false">IF(LEFT(Cockpit!$I$5,1)="A",H1747,IF(CA1747=1,CB1747,IF(LEFT(Cockpit!$I$5,1)="B",AR1747,MAX(AR1747,H1747))))</f>
        <v>0</v>
      </c>
      <c r="AO1747" s="57" t="n">
        <f aca="false">IF(BT1747=1,0,ROUNDUP(AN1747/BS1747,0))</f>
        <v>0</v>
      </c>
      <c r="AP1747" s="59" t="n">
        <f aca="false">IF(CH1747&gt;0,CH1747*MAX(1,AN1747/X1747),IF(BT1747=1,IF(AN1747&lt;=0,0,BW1747*MAX(1,IF(H1747&gt;0,AN1747/H1747,1))),IF(R1747&gt;0,AO1747/R1747,0))/MAX(0.1,N(Parameter!$M$21)))</f>
        <v>0</v>
      </c>
      <c r="AQ1747" s="57" t="n">
        <f aca="false">AN1747*G1747</f>
        <v>0</v>
      </c>
      <c r="AR1747" s="57" t="n">
        <f aca="false">ROUNDUP(MAX(J1747/IF(BZ1747&gt;0,BZ1747,MAX(0.1,N(Cockpit!$I$6))),CC1747)/BS1747,0)*BS1747</f>
        <v>0</v>
      </c>
      <c r="AS1747" s="58" t="n">
        <f aca="false">IF(AP1747&gt;0,J1747/AP1747,-1)</f>
        <v>-1</v>
      </c>
      <c r="AT1747" s="58" t="str">
        <f aca="false">IF(AND(OR(BY1747="L1",BY1747="L23"),AP1747&gt;0),SUMIFS($AP$7:$AP$1843,$BY$7:$BY$1843,BY1747,$AS$7:$AS$1843,"&gt;"&amp;AS1747)+SUMIFS($AP$7:$AP$1843,$BY$7:$BY$1843,BY1747,$AS$7:$AS$1843,AS1747,$BQ$7:$BQ$1843,"&lt;="&amp;BQ1747),"")</f>
        <v/>
      </c>
      <c r="AU1747" s="65" t="n">
        <f aca="false">IF(AT1747="",0,MAX(0,MIN(1,(IF(BY1747="L1",Parameter!$E$5,Parameter!$E$6+Parameter!$E$7)-(AT1747-AP1747))/AP1747)))</f>
        <v>0</v>
      </c>
      <c r="AV1747" s="57" t="n">
        <f aca="false">IF(LEFT(Cockpit!$O$5,1)="A",H1747,IF(CA1747=1,CB1747,IF(LEFT(Cockpit!$O$5,1)="B",AZ1747,MAX(AZ1747,H1747))))</f>
        <v>0</v>
      </c>
      <c r="AW1747" s="57" t="n">
        <f aca="false">IF(BT1747=1,0,ROUNDUP(AV1747/BS1747,0))</f>
        <v>0</v>
      </c>
      <c r="AX1747" s="59" t="n">
        <f aca="false">IF(CH1747&gt;0,CH1747*MAX(1,AV1747/X1747),IF(BT1747=1,IF(AV1747&lt;=0,0,BW1747*MAX(1,IF(H1747&gt;0,AV1747/H1747,1))),IF(R1747&gt;0,AW1747/R1747,0))/MAX(0.1,N(Parameter!$M$21)))</f>
        <v>0</v>
      </c>
      <c r="AY1747" s="57" t="n">
        <f aca="false">AV1747*G1747</f>
        <v>0</v>
      </c>
      <c r="AZ1747" s="57" t="n">
        <f aca="false">ROUNDUP(MAX(J1747/IF(BZ1747&gt;0,BZ1747,MAX(0.1,N(Cockpit!$O$6))),CC1747)/BS1747,0)*BS1747</f>
        <v>0</v>
      </c>
      <c r="BA1747" s="58" t="n">
        <f aca="false">IF(AX1747&gt;0,J1747/AX1747,-1)</f>
        <v>-1</v>
      </c>
      <c r="BB1747" s="58" t="str">
        <f aca="false">IF(AND(OR(BY1747="L1",BY1747="L23"),AX1747&gt;0),SUMIFS($AX$7:$AX$1843,$BY$7:$BY$1843,BY1747,$BA$7:$BA$1843,"&gt;"&amp;BA1747)+SUMIFS($AX$7:$AX$1843,$BY$7:$BY$1843,BY1747,$BA$7:$BA$1843,BA1747,$BQ$7:$BQ$1843,"&lt;="&amp;BQ1747),"")</f>
        <v/>
      </c>
      <c r="BC1747" s="65" t="n">
        <f aca="false">IF(BB1747="",0,MAX(0,MIN(1,(IF(BY1747="L1",Parameter!$E$5,Parameter!$E$6+Parameter!$E$7)-(BB1747-AX1747))/AX1747)))</f>
        <v>0</v>
      </c>
      <c r="BD1747" s="55" t="str">
        <f aca="false">IF(AH1747&lt;=0,"",IF(BY1747="Aussen","Aussenlager",IF(BY1747="-","Nicht im Lift",IF(AM1747&gt;=1,"Lift",IF(AM1747&lt;=0,"Aussenlager","teilweise")))))</f>
        <v/>
      </c>
      <c r="BE1747" s="55" t="str">
        <f aca="false">IF(AP1747&lt;=0,"",IF(BY1747="Aussen","Aussenlager",IF(BY1747="-","Nicht im Lift",IF(AU1747&gt;=1,"Lift",IF(AU1747&lt;=0,"Aussenlager","teilweise")))))</f>
        <v/>
      </c>
      <c r="BF1747" s="55" t="str">
        <f aca="false">IF(AX1747&lt;=0,"",IF(BY1747="Aussen","Aussenlager",IF(BY1747="-","Nicht im Lift",IF(BC1747&gt;=1,"Lift",IF(BC1747&lt;=0,"Aussenlager","teilweise")))))</f>
        <v/>
      </c>
      <c r="BG1747" s="55" t="str">
        <f aca="false">IF(A1747="","",IF(BP1747=1,"Neu; ","")&amp;IF(AND(BP1747=0,BK1747&lt;0),"negativer Bestand (Export "&amp;BK1747&amp;"); ","")&amp;IF(J1747&lt;=0,"Kein Verbrauch; ","")&amp;IF(CH1747&gt;0,"Lift "&amp;W1747&amp;" lt. Liftbericht (Fach "&amp;X1747&amp;" Stk); ",IF(BU1747=1,"Gebinde geschätzt ("&amp;T1747&amp;"); ",IF(BT1747=1,"Lose – Tablare geschätzt; ","")))&amp;IF(H1747&gt;AR1747,"Überbestand "&amp;ROUND(H1747-AR1747,0)&amp;" Stk / CHF "&amp;ROUND((H1747-AR1747)*G1747,0)&amp;"; ","")&amp;IF(AND(CA1747=1,CB1747&lt;CC1747),"MAX &lt; MB+LG; ","")&amp;IF(AND(CG1747&gt;0,CF1747*10&gt;CG1747),"zu hoch für Tablar; ","")&amp;IF(AND(BP1747=0,OR(CA1747=1,AA1747&lt;&gt;"",U1747&lt;&gt;"",V1747&lt;&gt;"",AB1747&lt;&gt;"")),"manuell übersteuert; ","")&amp;IF(AND(BT1747=0,R1747=0),"Gebinde unbekannt / Stellmass fehlt; ","")&amp;IF(AND(BT1747=0,N(V1747)&lt;=0,N(Q1747)&lt;=0),"Menge pro Gebinde fehlt (Ist = 1 Gebinde); ","")&amp;BO1747)</f>
        <v/>
      </c>
      <c r="BH1747" s="55"/>
      <c r="BI1747" s="55"/>
      <c r="BJ1747" s="62"/>
      <c r="BK1747" s="57" t="n">
        <f aca="false">N('Neue Artikel'!$D$8)</f>
        <v>0</v>
      </c>
      <c r="BL1747" s="57" t="n">
        <v>0</v>
      </c>
      <c r="BM1747" s="56" t="n">
        <v>0</v>
      </c>
      <c r="BN1747" s="57" t="n">
        <f aca="false">N('Neue Artikel'!$C$8)/Parameter!$B$18</f>
        <v>0</v>
      </c>
      <c r="BO1747" s="55"/>
      <c r="BP1747" s="60" t="n">
        <v>1</v>
      </c>
      <c r="BQ1747" s="60" t="n">
        <v>1747</v>
      </c>
      <c r="BR1747" s="55" t="str">
        <f aca="false">IF(U1747&lt;&gt;"",UPPER(TRIM(U1747)),IF(BU1747=1,UPPER(VLOOKUP(T1747,Parameter!$I$27:$K$29,2,0)),IF(P1747="","LOSE",P1747)))</f>
        <v>LOSE</v>
      </c>
      <c r="BS1747" s="57" t="n">
        <f aca="false">IF(BR1747="LOSE",1,IF(N(V1747)&gt;0,V1747,IF(BU1747=1,MAX(1,N(VLOOKUP(T1747,Parameter!$I$27:$K$29,3,0)),H1747,N(N1747)),IF(N(Q1747)&gt;0,Q1747,MAX(1,H1747)))))</f>
        <v>1</v>
      </c>
      <c r="BT1747" s="60" t="n">
        <f aca="false">IF(BR1747="LOSE",1,0)</f>
        <v>1</v>
      </c>
      <c r="BU1747" s="60" t="n">
        <f aca="false">IF(AND(U1747="",OR(P1747="",P1747="LOSE"),T1747&lt;&gt;"",N(S1747)&lt;=0,ISNUMBER(MATCH(T1747,Parameter!$I$27:$I$29,0))),1,0)</f>
        <v>0</v>
      </c>
      <c r="BV1747" s="55" t="str">
        <f aca="false">IF(AND(Parameter!$B$19="Ja",E1747&lt;&gt;"",ISNUMBER(MATCH(E1747,Parameter!$I$35:$I$52,0))),VLOOKUP(E1747,Parameter!$I$35:$J$52,2,0),IFERROR(VLOOKUP(D1747,Parameter!$A$35:$C$64,2,0),"Nein"))</f>
        <v>2+3</v>
      </c>
      <c r="BW1747" s="59" t="n">
        <f aca="false">IF(BT1747=0,0,IF(N(S1747)&gt;0,S1747,IFERROR(VLOOKUP(D1747,Parameter!$A$35:$C$64,3,0)+0,0)))</f>
        <v>0.15</v>
      </c>
      <c r="BX1747" s="55" t="str">
        <f aca="false">IF(AA1747&lt;&gt;"",AA1747,Z1747)</f>
        <v/>
      </c>
      <c r="BY1747" s="55" t="str">
        <f aca="false">IF(BX1747=1,"L1",IF(OR(BX1747=2,BX1747=3),"L23",IF(BX1747="Aussen","Aussen","-")))</f>
        <v>-</v>
      </c>
      <c r="BZ1747" s="66" t="n">
        <f aca="false">IF(N(AB1747)&gt;0,AB1747,0)</f>
        <v>0</v>
      </c>
      <c r="CA1747" s="60" t="n">
        <f aca="false">IF(ISNUMBER(AE1747),1,0)</f>
        <v>0</v>
      </c>
      <c r="CB1747" s="57" t="n">
        <f aca="false">N(AE1747)</f>
        <v>0</v>
      </c>
      <c r="CC1747" s="57" t="n">
        <f aca="false">N(M1747)+N(N1747)</f>
        <v>0</v>
      </c>
      <c r="CD1747" s="57" t="n">
        <f aca="false">ROUNDUP(H1747/BS1747,0)</f>
        <v>0</v>
      </c>
      <c r="CE1747" s="57" t="n">
        <f aca="false">ROUNDUP(CB1747/BS1747,0)</f>
        <v>0</v>
      </c>
      <c r="CF1747" s="60" t="n">
        <f aca="false">IF(BT1747=1,0,IFERROR(VLOOKUP(BR1747,'Gebinde-Kategorie'!$A$5:$M$45,5,0)+0,0))</f>
        <v>0</v>
      </c>
      <c r="CG1747" s="60" t="n">
        <f aca="false">IFERROR(IF(OR(BX1747=1,BX1747=2,BX1747=3),N(INDEX(Parameter!$I$5:$I$7,BX1747)),0),0)</f>
        <v>0</v>
      </c>
      <c r="CH1747" s="59" t="n">
        <f aca="false">IF(AND(Parameter!$B$21="Ja",ISNUMBER(W1747),N(X1747)&gt;0),IFERROR(N(INDEX(Parameter!$L$5:$L$7,W1747))*INDEX(Parameter!$E$5:$E$7,W1747)*X1747/SUMIFS($X$7:$X$1843,$W$7:$W$1843,W1747),0),0)</f>
        <v>0</v>
      </c>
    </row>
    <row r="1748" customFormat="false" ht="15" hidden="false" customHeight="false" outlineLevel="0" collapsed="false">
      <c r="A1748" s="55" t="str">
        <f aca="false">IF('Neue Artikel'!$A$9="","",'Neue Artikel'!$A$9&amp;"")</f>
        <v/>
      </c>
      <c r="B1748" s="55" t="str">
        <f aca="false">'Neue Artikel'!$B$9&amp;""</f>
        <v/>
      </c>
      <c r="C1748" s="55"/>
      <c r="D1748" s="55" t="s">
        <v>3015</v>
      </c>
      <c r="E1748" s="55"/>
      <c r="F1748" s="55"/>
      <c r="G1748" s="56" t="n">
        <f aca="false">N('Neue Artikel'!$G$9)</f>
        <v>0</v>
      </c>
      <c r="H1748" s="57" t="n">
        <f aca="false">MAX(0,IF(AND(Parameter!$B$21="Ja",ISNUMBER(Y1748)),Y1748,IF(Parameter!$B$20="Jahresanfang 2025 + Export",BL1748+BK1748,BK1748)))</f>
        <v>0</v>
      </c>
      <c r="I1748" s="57" t="n">
        <f aca="false">H1748*G1748</f>
        <v>0</v>
      </c>
      <c r="J1748" s="57" t="n">
        <f aca="false">BN1748*Parameter!$B$18</f>
        <v>0</v>
      </c>
      <c r="K1748" s="58"/>
      <c r="L1748" s="59"/>
      <c r="M1748" s="57" t="n">
        <f aca="false">N('Neue Artikel'!$E$9)</f>
        <v>0</v>
      </c>
      <c r="N1748" s="57" t="n">
        <f aca="false">N('Neue Artikel'!$F$9)</f>
        <v>0</v>
      </c>
      <c r="O1748" s="60"/>
      <c r="P1748" s="55" t="str">
        <f aca="false">IF('Neue Artikel'!$H$9="","LOSE",UPPER(TRIM('Neue Artikel'!$H$9)))</f>
        <v>LOSE</v>
      </c>
      <c r="Q1748" s="57" t="n">
        <f aca="false">N('Neue Artikel'!$I$9)</f>
        <v>0</v>
      </c>
      <c r="R1748" s="60" t="n">
        <f aca="false">IF(BT1748=1,0,IFERROR(VLOOKUP(BR1748,'Gebinde-Kategorie'!$A$5:$M$45,13,0)+0,0))</f>
        <v>0</v>
      </c>
      <c r="S1748" s="61"/>
      <c r="T1748" s="62"/>
      <c r="U1748" s="62"/>
      <c r="V1748" s="62"/>
      <c r="W1748" s="55"/>
      <c r="X1748" s="57"/>
      <c r="Y1748" s="57"/>
      <c r="Z1748" s="55" t="str">
        <f aca="false">IF(A1748="","",IF(AND(Parameter!$B$21="Ja",ISNUMBER(W1748)),W1748,IF(BV1748="2+3",IF(ISNUMBER(SEARCH("grosser Artikel",BO1748)),2,IFERROR(VLOOKUP(BR1748,Parameter!$F$35:$G$64,2,0),2)),IF(OR(BV1748="Nein",BV1748=""),"-",BV1748))))</f>
        <v/>
      </c>
      <c r="AA1748" s="55" t="str">
        <f aca="false">IF('Neue Artikel'!$J$9="","",'Neue Artikel'!$J$9)</f>
        <v/>
      </c>
      <c r="AB1748" s="63"/>
      <c r="AC1748" s="57" t="n">
        <f aca="false">AR1748</f>
        <v>0</v>
      </c>
      <c r="AD1748" s="57" t="n">
        <f aca="false">MAX(AR1748,H1748)</f>
        <v>0</v>
      </c>
      <c r="AE1748" s="64"/>
      <c r="AF1748" s="57" t="n">
        <f aca="false">IF(LEFT(Cockpit!$C$5,1)="A",H1748,IF(CA1748=1,CB1748,IF(LEFT(Cockpit!$C$5,1)="B",AJ1748,MAX(AJ1748,H1748))))</f>
        <v>0</v>
      </c>
      <c r="AG1748" s="57" t="n">
        <f aca="false">IF(BT1748=1,0,ROUNDUP(AF1748/BS1748,0))</f>
        <v>0</v>
      </c>
      <c r="AH1748" s="59" t="n">
        <f aca="false">IF(CH1748&gt;0,CH1748*MAX(1,AF1748/X1748),IF(BT1748=1,IF(AF1748&lt;=0,0,BW1748*MAX(1,IF(H1748&gt;0,AF1748/H1748,1))),IF(R1748&gt;0,AG1748/R1748,0))/MAX(0.1,N(Parameter!$M$21)))</f>
        <v>0</v>
      </c>
      <c r="AI1748" s="57" t="n">
        <f aca="false">AF1748*G1748</f>
        <v>0</v>
      </c>
      <c r="AJ1748" s="57" t="n">
        <f aca="false">ROUNDUP(MAX(J1748/IF(BZ1748&gt;0,BZ1748,MAX(0.1,N(Cockpit!$C$6))),CC1748)/BS1748,0)*BS1748</f>
        <v>0</v>
      </c>
      <c r="AK1748" s="58" t="n">
        <f aca="false">IF(AH1748&gt;0,J1748/AH1748,-1)</f>
        <v>-1</v>
      </c>
      <c r="AL1748" s="58" t="str">
        <f aca="false">IF(AND(OR(BY1748="L1",BY1748="L23"),AH1748&gt;0),SUMIFS($AH$7:$AH$1843,$BY$7:$BY$1843,BY1748,$AK$7:$AK$1843,"&gt;"&amp;AK1748)+SUMIFS($AH$7:$AH$1843,$BY$7:$BY$1843,BY1748,$AK$7:$AK$1843,AK1748,$BQ$7:$BQ$1843,"&lt;="&amp;BQ1748),"")</f>
        <v/>
      </c>
      <c r="AM1748" s="65" t="n">
        <f aca="false">IF(AL1748="",0,MAX(0,MIN(1,(IF(BY1748="L1",Parameter!$E$5,Parameter!$E$6+Parameter!$E$7)-(AL1748-AH1748))/AH1748)))</f>
        <v>0</v>
      </c>
      <c r="AN1748" s="57" t="n">
        <f aca="false">IF(LEFT(Cockpit!$I$5,1)="A",H1748,IF(CA1748=1,CB1748,IF(LEFT(Cockpit!$I$5,1)="B",AR1748,MAX(AR1748,H1748))))</f>
        <v>0</v>
      </c>
      <c r="AO1748" s="57" t="n">
        <f aca="false">IF(BT1748=1,0,ROUNDUP(AN1748/BS1748,0))</f>
        <v>0</v>
      </c>
      <c r="AP1748" s="59" t="n">
        <f aca="false">IF(CH1748&gt;0,CH1748*MAX(1,AN1748/X1748),IF(BT1748=1,IF(AN1748&lt;=0,0,BW1748*MAX(1,IF(H1748&gt;0,AN1748/H1748,1))),IF(R1748&gt;0,AO1748/R1748,0))/MAX(0.1,N(Parameter!$M$21)))</f>
        <v>0</v>
      </c>
      <c r="AQ1748" s="57" t="n">
        <f aca="false">AN1748*G1748</f>
        <v>0</v>
      </c>
      <c r="AR1748" s="57" t="n">
        <f aca="false">ROUNDUP(MAX(J1748/IF(BZ1748&gt;0,BZ1748,MAX(0.1,N(Cockpit!$I$6))),CC1748)/BS1748,0)*BS1748</f>
        <v>0</v>
      </c>
      <c r="AS1748" s="58" t="n">
        <f aca="false">IF(AP1748&gt;0,J1748/AP1748,-1)</f>
        <v>-1</v>
      </c>
      <c r="AT1748" s="58" t="str">
        <f aca="false">IF(AND(OR(BY1748="L1",BY1748="L23"),AP1748&gt;0),SUMIFS($AP$7:$AP$1843,$BY$7:$BY$1843,BY1748,$AS$7:$AS$1843,"&gt;"&amp;AS1748)+SUMIFS($AP$7:$AP$1843,$BY$7:$BY$1843,BY1748,$AS$7:$AS$1843,AS1748,$BQ$7:$BQ$1843,"&lt;="&amp;BQ1748),"")</f>
        <v/>
      </c>
      <c r="AU1748" s="65" t="n">
        <f aca="false">IF(AT1748="",0,MAX(0,MIN(1,(IF(BY1748="L1",Parameter!$E$5,Parameter!$E$6+Parameter!$E$7)-(AT1748-AP1748))/AP1748)))</f>
        <v>0</v>
      </c>
      <c r="AV1748" s="57" t="n">
        <f aca="false">IF(LEFT(Cockpit!$O$5,1)="A",H1748,IF(CA1748=1,CB1748,IF(LEFT(Cockpit!$O$5,1)="B",AZ1748,MAX(AZ1748,H1748))))</f>
        <v>0</v>
      </c>
      <c r="AW1748" s="57" t="n">
        <f aca="false">IF(BT1748=1,0,ROUNDUP(AV1748/BS1748,0))</f>
        <v>0</v>
      </c>
      <c r="AX1748" s="59" t="n">
        <f aca="false">IF(CH1748&gt;0,CH1748*MAX(1,AV1748/X1748),IF(BT1748=1,IF(AV1748&lt;=0,0,BW1748*MAX(1,IF(H1748&gt;0,AV1748/H1748,1))),IF(R1748&gt;0,AW1748/R1748,0))/MAX(0.1,N(Parameter!$M$21)))</f>
        <v>0</v>
      </c>
      <c r="AY1748" s="57" t="n">
        <f aca="false">AV1748*G1748</f>
        <v>0</v>
      </c>
      <c r="AZ1748" s="57" t="n">
        <f aca="false">ROUNDUP(MAX(J1748/IF(BZ1748&gt;0,BZ1748,MAX(0.1,N(Cockpit!$O$6))),CC1748)/BS1748,0)*BS1748</f>
        <v>0</v>
      </c>
      <c r="BA1748" s="58" t="n">
        <f aca="false">IF(AX1748&gt;0,J1748/AX1748,-1)</f>
        <v>-1</v>
      </c>
      <c r="BB1748" s="58" t="str">
        <f aca="false">IF(AND(OR(BY1748="L1",BY1748="L23"),AX1748&gt;0),SUMIFS($AX$7:$AX$1843,$BY$7:$BY$1843,BY1748,$BA$7:$BA$1843,"&gt;"&amp;BA1748)+SUMIFS($AX$7:$AX$1843,$BY$7:$BY$1843,BY1748,$BA$7:$BA$1843,BA1748,$BQ$7:$BQ$1843,"&lt;="&amp;BQ1748),"")</f>
        <v/>
      </c>
      <c r="BC1748" s="65" t="n">
        <f aca="false">IF(BB1748="",0,MAX(0,MIN(1,(IF(BY1748="L1",Parameter!$E$5,Parameter!$E$6+Parameter!$E$7)-(BB1748-AX1748))/AX1748)))</f>
        <v>0</v>
      </c>
      <c r="BD1748" s="55" t="str">
        <f aca="false">IF(AH1748&lt;=0,"",IF(BY1748="Aussen","Aussenlager",IF(BY1748="-","Nicht im Lift",IF(AM1748&gt;=1,"Lift",IF(AM1748&lt;=0,"Aussenlager","teilweise")))))</f>
        <v/>
      </c>
      <c r="BE1748" s="55" t="str">
        <f aca="false">IF(AP1748&lt;=0,"",IF(BY1748="Aussen","Aussenlager",IF(BY1748="-","Nicht im Lift",IF(AU1748&gt;=1,"Lift",IF(AU1748&lt;=0,"Aussenlager","teilweise")))))</f>
        <v/>
      </c>
      <c r="BF1748" s="55" t="str">
        <f aca="false">IF(AX1748&lt;=0,"",IF(BY1748="Aussen","Aussenlager",IF(BY1748="-","Nicht im Lift",IF(BC1748&gt;=1,"Lift",IF(BC1748&lt;=0,"Aussenlager","teilweise")))))</f>
        <v/>
      </c>
      <c r="BG1748" s="55" t="str">
        <f aca="false">IF(A1748="","",IF(BP1748=1,"Neu; ","")&amp;IF(AND(BP1748=0,BK1748&lt;0),"negativer Bestand (Export "&amp;BK1748&amp;"); ","")&amp;IF(J1748&lt;=0,"Kein Verbrauch; ","")&amp;IF(CH1748&gt;0,"Lift "&amp;W1748&amp;" lt. Liftbericht (Fach "&amp;X1748&amp;" Stk); ",IF(BU1748=1,"Gebinde geschätzt ("&amp;T1748&amp;"); ",IF(BT1748=1,"Lose – Tablare geschätzt; ","")))&amp;IF(H1748&gt;AR1748,"Überbestand "&amp;ROUND(H1748-AR1748,0)&amp;" Stk / CHF "&amp;ROUND((H1748-AR1748)*G1748,0)&amp;"; ","")&amp;IF(AND(CA1748=1,CB1748&lt;CC1748),"MAX &lt; MB+LG; ","")&amp;IF(AND(CG1748&gt;0,CF1748*10&gt;CG1748),"zu hoch für Tablar; ","")&amp;IF(AND(BP1748=0,OR(CA1748=1,AA1748&lt;&gt;"",U1748&lt;&gt;"",V1748&lt;&gt;"",AB1748&lt;&gt;"")),"manuell übersteuert; ","")&amp;IF(AND(BT1748=0,R1748=0),"Gebinde unbekannt / Stellmass fehlt; ","")&amp;IF(AND(BT1748=0,N(V1748)&lt;=0,N(Q1748)&lt;=0),"Menge pro Gebinde fehlt (Ist = 1 Gebinde); ","")&amp;BO1748)</f>
        <v/>
      </c>
      <c r="BH1748" s="55"/>
      <c r="BI1748" s="55"/>
      <c r="BJ1748" s="62"/>
      <c r="BK1748" s="57" t="n">
        <f aca="false">N('Neue Artikel'!$D$9)</f>
        <v>0</v>
      </c>
      <c r="BL1748" s="57" t="n">
        <v>0</v>
      </c>
      <c r="BM1748" s="56" t="n">
        <v>0</v>
      </c>
      <c r="BN1748" s="57" t="n">
        <f aca="false">N('Neue Artikel'!$C$9)/Parameter!$B$18</f>
        <v>0</v>
      </c>
      <c r="BO1748" s="55"/>
      <c r="BP1748" s="60" t="n">
        <v>1</v>
      </c>
      <c r="BQ1748" s="60" t="n">
        <v>1748</v>
      </c>
      <c r="BR1748" s="55" t="str">
        <f aca="false">IF(U1748&lt;&gt;"",UPPER(TRIM(U1748)),IF(BU1748=1,UPPER(VLOOKUP(T1748,Parameter!$I$27:$K$29,2,0)),IF(P1748="","LOSE",P1748)))</f>
        <v>LOSE</v>
      </c>
      <c r="BS1748" s="57" t="n">
        <f aca="false">IF(BR1748="LOSE",1,IF(N(V1748)&gt;0,V1748,IF(BU1748=1,MAX(1,N(VLOOKUP(T1748,Parameter!$I$27:$K$29,3,0)),H1748,N(N1748)),IF(N(Q1748)&gt;0,Q1748,MAX(1,H1748)))))</f>
        <v>1</v>
      </c>
      <c r="BT1748" s="60" t="n">
        <f aca="false">IF(BR1748="LOSE",1,0)</f>
        <v>1</v>
      </c>
      <c r="BU1748" s="60" t="n">
        <f aca="false">IF(AND(U1748="",OR(P1748="",P1748="LOSE"),T1748&lt;&gt;"",N(S1748)&lt;=0,ISNUMBER(MATCH(T1748,Parameter!$I$27:$I$29,0))),1,0)</f>
        <v>0</v>
      </c>
      <c r="BV1748" s="55" t="str">
        <f aca="false">IF(AND(Parameter!$B$19="Ja",E1748&lt;&gt;"",ISNUMBER(MATCH(E1748,Parameter!$I$35:$I$52,0))),VLOOKUP(E1748,Parameter!$I$35:$J$52,2,0),IFERROR(VLOOKUP(D1748,Parameter!$A$35:$C$64,2,0),"Nein"))</f>
        <v>2+3</v>
      </c>
      <c r="BW1748" s="59" t="n">
        <f aca="false">IF(BT1748=0,0,IF(N(S1748)&gt;0,S1748,IFERROR(VLOOKUP(D1748,Parameter!$A$35:$C$64,3,0)+0,0)))</f>
        <v>0.15</v>
      </c>
      <c r="BX1748" s="55" t="str">
        <f aca="false">IF(AA1748&lt;&gt;"",AA1748,Z1748)</f>
        <v/>
      </c>
      <c r="BY1748" s="55" t="str">
        <f aca="false">IF(BX1748=1,"L1",IF(OR(BX1748=2,BX1748=3),"L23",IF(BX1748="Aussen","Aussen","-")))</f>
        <v>-</v>
      </c>
      <c r="BZ1748" s="66" t="n">
        <f aca="false">IF(N(AB1748)&gt;0,AB1748,0)</f>
        <v>0</v>
      </c>
      <c r="CA1748" s="60" t="n">
        <f aca="false">IF(ISNUMBER(AE1748),1,0)</f>
        <v>0</v>
      </c>
      <c r="CB1748" s="57" t="n">
        <f aca="false">N(AE1748)</f>
        <v>0</v>
      </c>
      <c r="CC1748" s="57" t="n">
        <f aca="false">N(M1748)+N(N1748)</f>
        <v>0</v>
      </c>
      <c r="CD1748" s="57" t="n">
        <f aca="false">ROUNDUP(H1748/BS1748,0)</f>
        <v>0</v>
      </c>
      <c r="CE1748" s="57" t="n">
        <f aca="false">ROUNDUP(CB1748/BS1748,0)</f>
        <v>0</v>
      </c>
      <c r="CF1748" s="60" t="n">
        <f aca="false">IF(BT1748=1,0,IFERROR(VLOOKUP(BR1748,'Gebinde-Kategorie'!$A$5:$M$45,5,0)+0,0))</f>
        <v>0</v>
      </c>
      <c r="CG1748" s="60" t="n">
        <f aca="false">IFERROR(IF(OR(BX1748=1,BX1748=2,BX1748=3),N(INDEX(Parameter!$I$5:$I$7,BX1748)),0),0)</f>
        <v>0</v>
      </c>
      <c r="CH1748" s="59" t="n">
        <f aca="false">IF(AND(Parameter!$B$21="Ja",ISNUMBER(W1748),N(X1748)&gt;0),IFERROR(N(INDEX(Parameter!$L$5:$L$7,W1748))*INDEX(Parameter!$E$5:$E$7,W1748)*X1748/SUMIFS($X$7:$X$1843,$W$7:$W$1843,W1748),0),0)</f>
        <v>0</v>
      </c>
    </row>
    <row r="1749" customFormat="false" ht="15" hidden="false" customHeight="false" outlineLevel="0" collapsed="false">
      <c r="A1749" s="55" t="str">
        <f aca="false">IF('Neue Artikel'!$A$10="","",'Neue Artikel'!$A$10&amp;"")</f>
        <v/>
      </c>
      <c r="B1749" s="55" t="str">
        <f aca="false">'Neue Artikel'!$B$10&amp;""</f>
        <v/>
      </c>
      <c r="C1749" s="55"/>
      <c r="D1749" s="55" t="s">
        <v>3015</v>
      </c>
      <c r="E1749" s="55"/>
      <c r="F1749" s="55"/>
      <c r="G1749" s="56" t="n">
        <f aca="false">N('Neue Artikel'!$G$10)</f>
        <v>0</v>
      </c>
      <c r="H1749" s="57" t="n">
        <f aca="false">MAX(0,IF(AND(Parameter!$B$21="Ja",ISNUMBER(Y1749)),Y1749,IF(Parameter!$B$20="Jahresanfang 2025 + Export",BL1749+BK1749,BK1749)))</f>
        <v>0</v>
      </c>
      <c r="I1749" s="57" t="n">
        <f aca="false">H1749*G1749</f>
        <v>0</v>
      </c>
      <c r="J1749" s="57" t="n">
        <f aca="false">BN1749*Parameter!$B$18</f>
        <v>0</v>
      </c>
      <c r="K1749" s="58"/>
      <c r="L1749" s="59"/>
      <c r="M1749" s="57" t="n">
        <f aca="false">N('Neue Artikel'!$E$10)</f>
        <v>0</v>
      </c>
      <c r="N1749" s="57" t="n">
        <f aca="false">N('Neue Artikel'!$F$10)</f>
        <v>0</v>
      </c>
      <c r="O1749" s="60"/>
      <c r="P1749" s="55" t="str">
        <f aca="false">IF('Neue Artikel'!$H$10="","LOSE",UPPER(TRIM('Neue Artikel'!$H$10)))</f>
        <v>LOSE</v>
      </c>
      <c r="Q1749" s="57" t="n">
        <f aca="false">N('Neue Artikel'!$I$10)</f>
        <v>0</v>
      </c>
      <c r="R1749" s="60" t="n">
        <f aca="false">IF(BT1749=1,0,IFERROR(VLOOKUP(BR1749,'Gebinde-Kategorie'!$A$5:$M$45,13,0)+0,0))</f>
        <v>0</v>
      </c>
      <c r="S1749" s="61"/>
      <c r="T1749" s="62"/>
      <c r="U1749" s="62"/>
      <c r="V1749" s="62"/>
      <c r="W1749" s="55"/>
      <c r="X1749" s="57"/>
      <c r="Y1749" s="57"/>
      <c r="Z1749" s="55" t="str">
        <f aca="false">IF(A1749="","",IF(AND(Parameter!$B$21="Ja",ISNUMBER(W1749)),W1749,IF(BV1749="2+3",IF(ISNUMBER(SEARCH("grosser Artikel",BO1749)),2,IFERROR(VLOOKUP(BR1749,Parameter!$F$35:$G$64,2,0),2)),IF(OR(BV1749="Nein",BV1749=""),"-",BV1749))))</f>
        <v/>
      </c>
      <c r="AA1749" s="55" t="str">
        <f aca="false">IF('Neue Artikel'!$J$10="","",'Neue Artikel'!$J$10)</f>
        <v/>
      </c>
      <c r="AB1749" s="63"/>
      <c r="AC1749" s="57" t="n">
        <f aca="false">AR1749</f>
        <v>0</v>
      </c>
      <c r="AD1749" s="57" t="n">
        <f aca="false">MAX(AR1749,H1749)</f>
        <v>0</v>
      </c>
      <c r="AE1749" s="64"/>
      <c r="AF1749" s="57" t="n">
        <f aca="false">IF(LEFT(Cockpit!$C$5,1)="A",H1749,IF(CA1749=1,CB1749,IF(LEFT(Cockpit!$C$5,1)="B",AJ1749,MAX(AJ1749,H1749))))</f>
        <v>0</v>
      </c>
      <c r="AG1749" s="57" t="n">
        <f aca="false">IF(BT1749=1,0,ROUNDUP(AF1749/BS1749,0))</f>
        <v>0</v>
      </c>
      <c r="AH1749" s="59" t="n">
        <f aca="false">IF(CH1749&gt;0,CH1749*MAX(1,AF1749/X1749),IF(BT1749=1,IF(AF1749&lt;=0,0,BW1749*MAX(1,IF(H1749&gt;0,AF1749/H1749,1))),IF(R1749&gt;0,AG1749/R1749,0))/MAX(0.1,N(Parameter!$M$21)))</f>
        <v>0</v>
      </c>
      <c r="AI1749" s="57" t="n">
        <f aca="false">AF1749*G1749</f>
        <v>0</v>
      </c>
      <c r="AJ1749" s="57" t="n">
        <f aca="false">ROUNDUP(MAX(J1749/IF(BZ1749&gt;0,BZ1749,MAX(0.1,N(Cockpit!$C$6))),CC1749)/BS1749,0)*BS1749</f>
        <v>0</v>
      </c>
      <c r="AK1749" s="58" t="n">
        <f aca="false">IF(AH1749&gt;0,J1749/AH1749,-1)</f>
        <v>-1</v>
      </c>
      <c r="AL1749" s="58" t="str">
        <f aca="false">IF(AND(OR(BY1749="L1",BY1749="L23"),AH1749&gt;0),SUMIFS($AH$7:$AH$1843,$BY$7:$BY$1843,BY1749,$AK$7:$AK$1843,"&gt;"&amp;AK1749)+SUMIFS($AH$7:$AH$1843,$BY$7:$BY$1843,BY1749,$AK$7:$AK$1843,AK1749,$BQ$7:$BQ$1843,"&lt;="&amp;BQ1749),"")</f>
        <v/>
      </c>
      <c r="AM1749" s="65" t="n">
        <f aca="false">IF(AL1749="",0,MAX(0,MIN(1,(IF(BY1749="L1",Parameter!$E$5,Parameter!$E$6+Parameter!$E$7)-(AL1749-AH1749))/AH1749)))</f>
        <v>0</v>
      </c>
      <c r="AN1749" s="57" t="n">
        <f aca="false">IF(LEFT(Cockpit!$I$5,1)="A",H1749,IF(CA1749=1,CB1749,IF(LEFT(Cockpit!$I$5,1)="B",AR1749,MAX(AR1749,H1749))))</f>
        <v>0</v>
      </c>
      <c r="AO1749" s="57" t="n">
        <f aca="false">IF(BT1749=1,0,ROUNDUP(AN1749/BS1749,0))</f>
        <v>0</v>
      </c>
      <c r="AP1749" s="59" t="n">
        <f aca="false">IF(CH1749&gt;0,CH1749*MAX(1,AN1749/X1749),IF(BT1749=1,IF(AN1749&lt;=0,0,BW1749*MAX(1,IF(H1749&gt;0,AN1749/H1749,1))),IF(R1749&gt;0,AO1749/R1749,0))/MAX(0.1,N(Parameter!$M$21)))</f>
        <v>0</v>
      </c>
      <c r="AQ1749" s="57" t="n">
        <f aca="false">AN1749*G1749</f>
        <v>0</v>
      </c>
      <c r="AR1749" s="57" t="n">
        <f aca="false">ROUNDUP(MAX(J1749/IF(BZ1749&gt;0,BZ1749,MAX(0.1,N(Cockpit!$I$6))),CC1749)/BS1749,0)*BS1749</f>
        <v>0</v>
      </c>
      <c r="AS1749" s="58" t="n">
        <f aca="false">IF(AP1749&gt;0,J1749/AP1749,-1)</f>
        <v>-1</v>
      </c>
      <c r="AT1749" s="58" t="str">
        <f aca="false">IF(AND(OR(BY1749="L1",BY1749="L23"),AP1749&gt;0),SUMIFS($AP$7:$AP$1843,$BY$7:$BY$1843,BY1749,$AS$7:$AS$1843,"&gt;"&amp;AS1749)+SUMIFS($AP$7:$AP$1843,$BY$7:$BY$1843,BY1749,$AS$7:$AS$1843,AS1749,$BQ$7:$BQ$1843,"&lt;="&amp;BQ1749),"")</f>
        <v/>
      </c>
      <c r="AU1749" s="65" t="n">
        <f aca="false">IF(AT1749="",0,MAX(0,MIN(1,(IF(BY1749="L1",Parameter!$E$5,Parameter!$E$6+Parameter!$E$7)-(AT1749-AP1749))/AP1749)))</f>
        <v>0</v>
      </c>
      <c r="AV1749" s="57" t="n">
        <f aca="false">IF(LEFT(Cockpit!$O$5,1)="A",H1749,IF(CA1749=1,CB1749,IF(LEFT(Cockpit!$O$5,1)="B",AZ1749,MAX(AZ1749,H1749))))</f>
        <v>0</v>
      </c>
      <c r="AW1749" s="57" t="n">
        <f aca="false">IF(BT1749=1,0,ROUNDUP(AV1749/BS1749,0))</f>
        <v>0</v>
      </c>
      <c r="AX1749" s="59" t="n">
        <f aca="false">IF(CH1749&gt;0,CH1749*MAX(1,AV1749/X1749),IF(BT1749=1,IF(AV1749&lt;=0,0,BW1749*MAX(1,IF(H1749&gt;0,AV1749/H1749,1))),IF(R1749&gt;0,AW1749/R1749,0))/MAX(0.1,N(Parameter!$M$21)))</f>
        <v>0</v>
      </c>
      <c r="AY1749" s="57" t="n">
        <f aca="false">AV1749*G1749</f>
        <v>0</v>
      </c>
      <c r="AZ1749" s="57" t="n">
        <f aca="false">ROUNDUP(MAX(J1749/IF(BZ1749&gt;0,BZ1749,MAX(0.1,N(Cockpit!$O$6))),CC1749)/BS1749,0)*BS1749</f>
        <v>0</v>
      </c>
      <c r="BA1749" s="58" t="n">
        <f aca="false">IF(AX1749&gt;0,J1749/AX1749,-1)</f>
        <v>-1</v>
      </c>
      <c r="BB1749" s="58" t="str">
        <f aca="false">IF(AND(OR(BY1749="L1",BY1749="L23"),AX1749&gt;0),SUMIFS($AX$7:$AX$1843,$BY$7:$BY$1843,BY1749,$BA$7:$BA$1843,"&gt;"&amp;BA1749)+SUMIFS($AX$7:$AX$1843,$BY$7:$BY$1843,BY1749,$BA$7:$BA$1843,BA1749,$BQ$7:$BQ$1843,"&lt;="&amp;BQ1749),"")</f>
        <v/>
      </c>
      <c r="BC1749" s="65" t="n">
        <f aca="false">IF(BB1749="",0,MAX(0,MIN(1,(IF(BY1749="L1",Parameter!$E$5,Parameter!$E$6+Parameter!$E$7)-(BB1749-AX1749))/AX1749)))</f>
        <v>0</v>
      </c>
      <c r="BD1749" s="55" t="str">
        <f aca="false">IF(AH1749&lt;=0,"",IF(BY1749="Aussen","Aussenlager",IF(BY1749="-","Nicht im Lift",IF(AM1749&gt;=1,"Lift",IF(AM1749&lt;=0,"Aussenlager","teilweise")))))</f>
        <v/>
      </c>
      <c r="BE1749" s="55" t="str">
        <f aca="false">IF(AP1749&lt;=0,"",IF(BY1749="Aussen","Aussenlager",IF(BY1749="-","Nicht im Lift",IF(AU1749&gt;=1,"Lift",IF(AU1749&lt;=0,"Aussenlager","teilweise")))))</f>
        <v/>
      </c>
      <c r="BF1749" s="55" t="str">
        <f aca="false">IF(AX1749&lt;=0,"",IF(BY1749="Aussen","Aussenlager",IF(BY1749="-","Nicht im Lift",IF(BC1749&gt;=1,"Lift",IF(BC1749&lt;=0,"Aussenlager","teilweise")))))</f>
        <v/>
      </c>
      <c r="BG1749" s="55" t="str">
        <f aca="false">IF(A1749="","",IF(BP1749=1,"Neu; ","")&amp;IF(AND(BP1749=0,BK1749&lt;0),"negativer Bestand (Export "&amp;BK1749&amp;"); ","")&amp;IF(J1749&lt;=0,"Kein Verbrauch; ","")&amp;IF(CH1749&gt;0,"Lift "&amp;W1749&amp;" lt. Liftbericht (Fach "&amp;X1749&amp;" Stk); ",IF(BU1749=1,"Gebinde geschätzt ("&amp;T1749&amp;"); ",IF(BT1749=1,"Lose – Tablare geschätzt; ","")))&amp;IF(H1749&gt;AR1749,"Überbestand "&amp;ROUND(H1749-AR1749,0)&amp;" Stk / CHF "&amp;ROUND((H1749-AR1749)*G1749,0)&amp;"; ","")&amp;IF(AND(CA1749=1,CB1749&lt;CC1749),"MAX &lt; MB+LG; ","")&amp;IF(AND(CG1749&gt;0,CF1749*10&gt;CG1749),"zu hoch für Tablar; ","")&amp;IF(AND(BP1749=0,OR(CA1749=1,AA1749&lt;&gt;"",U1749&lt;&gt;"",V1749&lt;&gt;"",AB1749&lt;&gt;"")),"manuell übersteuert; ","")&amp;IF(AND(BT1749=0,R1749=0),"Gebinde unbekannt / Stellmass fehlt; ","")&amp;IF(AND(BT1749=0,N(V1749)&lt;=0,N(Q1749)&lt;=0),"Menge pro Gebinde fehlt (Ist = 1 Gebinde); ","")&amp;BO1749)</f>
        <v/>
      </c>
      <c r="BH1749" s="55"/>
      <c r="BI1749" s="55"/>
      <c r="BJ1749" s="62"/>
      <c r="BK1749" s="57" t="n">
        <f aca="false">N('Neue Artikel'!$D$10)</f>
        <v>0</v>
      </c>
      <c r="BL1749" s="57" t="n">
        <v>0</v>
      </c>
      <c r="BM1749" s="56" t="n">
        <v>0</v>
      </c>
      <c r="BN1749" s="57" t="n">
        <f aca="false">N('Neue Artikel'!$C$10)/Parameter!$B$18</f>
        <v>0</v>
      </c>
      <c r="BO1749" s="55"/>
      <c r="BP1749" s="60" t="n">
        <v>1</v>
      </c>
      <c r="BQ1749" s="60" t="n">
        <v>1749</v>
      </c>
      <c r="BR1749" s="55" t="str">
        <f aca="false">IF(U1749&lt;&gt;"",UPPER(TRIM(U1749)),IF(BU1749=1,UPPER(VLOOKUP(T1749,Parameter!$I$27:$K$29,2,0)),IF(P1749="","LOSE",P1749)))</f>
        <v>LOSE</v>
      </c>
      <c r="BS1749" s="57" t="n">
        <f aca="false">IF(BR1749="LOSE",1,IF(N(V1749)&gt;0,V1749,IF(BU1749=1,MAX(1,N(VLOOKUP(T1749,Parameter!$I$27:$K$29,3,0)),H1749,N(N1749)),IF(N(Q1749)&gt;0,Q1749,MAX(1,H1749)))))</f>
        <v>1</v>
      </c>
      <c r="BT1749" s="60" t="n">
        <f aca="false">IF(BR1749="LOSE",1,0)</f>
        <v>1</v>
      </c>
      <c r="BU1749" s="60" t="n">
        <f aca="false">IF(AND(U1749="",OR(P1749="",P1749="LOSE"),T1749&lt;&gt;"",N(S1749)&lt;=0,ISNUMBER(MATCH(T1749,Parameter!$I$27:$I$29,0))),1,0)</f>
        <v>0</v>
      </c>
      <c r="BV1749" s="55" t="str">
        <f aca="false">IF(AND(Parameter!$B$19="Ja",E1749&lt;&gt;"",ISNUMBER(MATCH(E1749,Parameter!$I$35:$I$52,0))),VLOOKUP(E1749,Parameter!$I$35:$J$52,2,0),IFERROR(VLOOKUP(D1749,Parameter!$A$35:$C$64,2,0),"Nein"))</f>
        <v>2+3</v>
      </c>
      <c r="BW1749" s="59" t="n">
        <f aca="false">IF(BT1749=0,0,IF(N(S1749)&gt;0,S1749,IFERROR(VLOOKUP(D1749,Parameter!$A$35:$C$64,3,0)+0,0)))</f>
        <v>0.15</v>
      </c>
      <c r="BX1749" s="55" t="str">
        <f aca="false">IF(AA1749&lt;&gt;"",AA1749,Z1749)</f>
        <v/>
      </c>
      <c r="BY1749" s="55" t="str">
        <f aca="false">IF(BX1749=1,"L1",IF(OR(BX1749=2,BX1749=3),"L23",IF(BX1749="Aussen","Aussen","-")))</f>
        <v>-</v>
      </c>
      <c r="BZ1749" s="66" t="n">
        <f aca="false">IF(N(AB1749)&gt;0,AB1749,0)</f>
        <v>0</v>
      </c>
      <c r="CA1749" s="60" t="n">
        <f aca="false">IF(ISNUMBER(AE1749),1,0)</f>
        <v>0</v>
      </c>
      <c r="CB1749" s="57" t="n">
        <f aca="false">N(AE1749)</f>
        <v>0</v>
      </c>
      <c r="CC1749" s="57" t="n">
        <f aca="false">N(M1749)+N(N1749)</f>
        <v>0</v>
      </c>
      <c r="CD1749" s="57" t="n">
        <f aca="false">ROUNDUP(H1749/BS1749,0)</f>
        <v>0</v>
      </c>
      <c r="CE1749" s="57" t="n">
        <f aca="false">ROUNDUP(CB1749/BS1749,0)</f>
        <v>0</v>
      </c>
      <c r="CF1749" s="60" t="n">
        <f aca="false">IF(BT1749=1,0,IFERROR(VLOOKUP(BR1749,'Gebinde-Kategorie'!$A$5:$M$45,5,0)+0,0))</f>
        <v>0</v>
      </c>
      <c r="CG1749" s="60" t="n">
        <f aca="false">IFERROR(IF(OR(BX1749=1,BX1749=2,BX1749=3),N(INDEX(Parameter!$I$5:$I$7,BX1749)),0),0)</f>
        <v>0</v>
      </c>
      <c r="CH1749" s="59" t="n">
        <f aca="false">IF(AND(Parameter!$B$21="Ja",ISNUMBER(W1749),N(X1749)&gt;0),IFERROR(N(INDEX(Parameter!$L$5:$L$7,W1749))*INDEX(Parameter!$E$5:$E$7,W1749)*X1749/SUMIFS($X$7:$X$1843,$W$7:$W$1843,W1749),0),0)</f>
        <v>0</v>
      </c>
    </row>
    <row r="1750" customFormat="false" ht="15" hidden="false" customHeight="false" outlineLevel="0" collapsed="false">
      <c r="A1750" s="55" t="str">
        <f aca="false">IF('Neue Artikel'!$A$11="","",'Neue Artikel'!$A$11&amp;"")</f>
        <v/>
      </c>
      <c r="B1750" s="55" t="str">
        <f aca="false">'Neue Artikel'!$B$11&amp;""</f>
        <v/>
      </c>
      <c r="C1750" s="55"/>
      <c r="D1750" s="55" t="s">
        <v>3015</v>
      </c>
      <c r="E1750" s="55"/>
      <c r="F1750" s="55"/>
      <c r="G1750" s="56" t="n">
        <f aca="false">N('Neue Artikel'!$G$11)</f>
        <v>0</v>
      </c>
      <c r="H1750" s="57" t="n">
        <f aca="false">MAX(0,IF(AND(Parameter!$B$21="Ja",ISNUMBER(Y1750)),Y1750,IF(Parameter!$B$20="Jahresanfang 2025 + Export",BL1750+BK1750,BK1750)))</f>
        <v>0</v>
      </c>
      <c r="I1750" s="57" t="n">
        <f aca="false">H1750*G1750</f>
        <v>0</v>
      </c>
      <c r="J1750" s="57" t="n">
        <f aca="false">BN1750*Parameter!$B$18</f>
        <v>0</v>
      </c>
      <c r="K1750" s="58"/>
      <c r="L1750" s="59"/>
      <c r="M1750" s="57" t="n">
        <f aca="false">N('Neue Artikel'!$E$11)</f>
        <v>0</v>
      </c>
      <c r="N1750" s="57" t="n">
        <f aca="false">N('Neue Artikel'!$F$11)</f>
        <v>0</v>
      </c>
      <c r="O1750" s="60"/>
      <c r="P1750" s="55" t="str">
        <f aca="false">IF('Neue Artikel'!$H$11="","LOSE",UPPER(TRIM('Neue Artikel'!$H$11)))</f>
        <v>LOSE</v>
      </c>
      <c r="Q1750" s="57" t="n">
        <f aca="false">N('Neue Artikel'!$I$11)</f>
        <v>0</v>
      </c>
      <c r="R1750" s="60" t="n">
        <f aca="false">IF(BT1750=1,0,IFERROR(VLOOKUP(BR1750,'Gebinde-Kategorie'!$A$5:$M$45,13,0)+0,0))</f>
        <v>0</v>
      </c>
      <c r="S1750" s="61"/>
      <c r="T1750" s="62"/>
      <c r="U1750" s="62"/>
      <c r="V1750" s="62"/>
      <c r="W1750" s="55"/>
      <c r="X1750" s="57"/>
      <c r="Y1750" s="57"/>
      <c r="Z1750" s="55" t="str">
        <f aca="false">IF(A1750="","",IF(AND(Parameter!$B$21="Ja",ISNUMBER(W1750)),W1750,IF(BV1750="2+3",IF(ISNUMBER(SEARCH("grosser Artikel",BO1750)),2,IFERROR(VLOOKUP(BR1750,Parameter!$F$35:$G$64,2,0),2)),IF(OR(BV1750="Nein",BV1750=""),"-",BV1750))))</f>
        <v/>
      </c>
      <c r="AA1750" s="55" t="str">
        <f aca="false">IF('Neue Artikel'!$J$11="","",'Neue Artikel'!$J$11)</f>
        <v/>
      </c>
      <c r="AB1750" s="63"/>
      <c r="AC1750" s="57" t="n">
        <f aca="false">AR1750</f>
        <v>0</v>
      </c>
      <c r="AD1750" s="57" t="n">
        <f aca="false">MAX(AR1750,H1750)</f>
        <v>0</v>
      </c>
      <c r="AE1750" s="64"/>
      <c r="AF1750" s="57" t="n">
        <f aca="false">IF(LEFT(Cockpit!$C$5,1)="A",H1750,IF(CA1750=1,CB1750,IF(LEFT(Cockpit!$C$5,1)="B",AJ1750,MAX(AJ1750,H1750))))</f>
        <v>0</v>
      </c>
      <c r="AG1750" s="57" t="n">
        <f aca="false">IF(BT1750=1,0,ROUNDUP(AF1750/BS1750,0))</f>
        <v>0</v>
      </c>
      <c r="AH1750" s="59" t="n">
        <f aca="false">IF(CH1750&gt;0,CH1750*MAX(1,AF1750/X1750),IF(BT1750=1,IF(AF1750&lt;=0,0,BW1750*MAX(1,IF(H1750&gt;0,AF1750/H1750,1))),IF(R1750&gt;0,AG1750/R1750,0))/MAX(0.1,N(Parameter!$M$21)))</f>
        <v>0</v>
      </c>
      <c r="AI1750" s="57" t="n">
        <f aca="false">AF1750*G1750</f>
        <v>0</v>
      </c>
      <c r="AJ1750" s="57" t="n">
        <f aca="false">ROUNDUP(MAX(J1750/IF(BZ1750&gt;0,BZ1750,MAX(0.1,N(Cockpit!$C$6))),CC1750)/BS1750,0)*BS1750</f>
        <v>0</v>
      </c>
      <c r="AK1750" s="58" t="n">
        <f aca="false">IF(AH1750&gt;0,J1750/AH1750,-1)</f>
        <v>-1</v>
      </c>
      <c r="AL1750" s="58" t="str">
        <f aca="false">IF(AND(OR(BY1750="L1",BY1750="L23"),AH1750&gt;0),SUMIFS($AH$7:$AH$1843,$BY$7:$BY$1843,BY1750,$AK$7:$AK$1843,"&gt;"&amp;AK1750)+SUMIFS($AH$7:$AH$1843,$BY$7:$BY$1843,BY1750,$AK$7:$AK$1843,AK1750,$BQ$7:$BQ$1843,"&lt;="&amp;BQ1750),"")</f>
        <v/>
      </c>
      <c r="AM1750" s="65" t="n">
        <f aca="false">IF(AL1750="",0,MAX(0,MIN(1,(IF(BY1750="L1",Parameter!$E$5,Parameter!$E$6+Parameter!$E$7)-(AL1750-AH1750))/AH1750)))</f>
        <v>0</v>
      </c>
      <c r="AN1750" s="57" t="n">
        <f aca="false">IF(LEFT(Cockpit!$I$5,1)="A",H1750,IF(CA1750=1,CB1750,IF(LEFT(Cockpit!$I$5,1)="B",AR1750,MAX(AR1750,H1750))))</f>
        <v>0</v>
      </c>
      <c r="AO1750" s="57" t="n">
        <f aca="false">IF(BT1750=1,0,ROUNDUP(AN1750/BS1750,0))</f>
        <v>0</v>
      </c>
      <c r="AP1750" s="59" t="n">
        <f aca="false">IF(CH1750&gt;0,CH1750*MAX(1,AN1750/X1750),IF(BT1750=1,IF(AN1750&lt;=0,0,BW1750*MAX(1,IF(H1750&gt;0,AN1750/H1750,1))),IF(R1750&gt;0,AO1750/R1750,0))/MAX(0.1,N(Parameter!$M$21)))</f>
        <v>0</v>
      </c>
      <c r="AQ1750" s="57" t="n">
        <f aca="false">AN1750*G1750</f>
        <v>0</v>
      </c>
      <c r="AR1750" s="57" t="n">
        <f aca="false">ROUNDUP(MAX(J1750/IF(BZ1750&gt;0,BZ1750,MAX(0.1,N(Cockpit!$I$6))),CC1750)/BS1750,0)*BS1750</f>
        <v>0</v>
      </c>
      <c r="AS1750" s="58" t="n">
        <f aca="false">IF(AP1750&gt;0,J1750/AP1750,-1)</f>
        <v>-1</v>
      </c>
      <c r="AT1750" s="58" t="str">
        <f aca="false">IF(AND(OR(BY1750="L1",BY1750="L23"),AP1750&gt;0),SUMIFS($AP$7:$AP$1843,$BY$7:$BY$1843,BY1750,$AS$7:$AS$1843,"&gt;"&amp;AS1750)+SUMIFS($AP$7:$AP$1843,$BY$7:$BY$1843,BY1750,$AS$7:$AS$1843,AS1750,$BQ$7:$BQ$1843,"&lt;="&amp;BQ1750),"")</f>
        <v/>
      </c>
      <c r="AU1750" s="65" t="n">
        <f aca="false">IF(AT1750="",0,MAX(0,MIN(1,(IF(BY1750="L1",Parameter!$E$5,Parameter!$E$6+Parameter!$E$7)-(AT1750-AP1750))/AP1750)))</f>
        <v>0</v>
      </c>
      <c r="AV1750" s="57" t="n">
        <f aca="false">IF(LEFT(Cockpit!$O$5,1)="A",H1750,IF(CA1750=1,CB1750,IF(LEFT(Cockpit!$O$5,1)="B",AZ1750,MAX(AZ1750,H1750))))</f>
        <v>0</v>
      </c>
      <c r="AW1750" s="57" t="n">
        <f aca="false">IF(BT1750=1,0,ROUNDUP(AV1750/BS1750,0))</f>
        <v>0</v>
      </c>
      <c r="AX1750" s="59" t="n">
        <f aca="false">IF(CH1750&gt;0,CH1750*MAX(1,AV1750/X1750),IF(BT1750=1,IF(AV1750&lt;=0,0,BW1750*MAX(1,IF(H1750&gt;0,AV1750/H1750,1))),IF(R1750&gt;0,AW1750/R1750,0))/MAX(0.1,N(Parameter!$M$21)))</f>
        <v>0</v>
      </c>
      <c r="AY1750" s="57" t="n">
        <f aca="false">AV1750*G1750</f>
        <v>0</v>
      </c>
      <c r="AZ1750" s="57" t="n">
        <f aca="false">ROUNDUP(MAX(J1750/IF(BZ1750&gt;0,BZ1750,MAX(0.1,N(Cockpit!$O$6))),CC1750)/BS1750,0)*BS1750</f>
        <v>0</v>
      </c>
      <c r="BA1750" s="58" t="n">
        <f aca="false">IF(AX1750&gt;0,J1750/AX1750,-1)</f>
        <v>-1</v>
      </c>
      <c r="BB1750" s="58" t="str">
        <f aca="false">IF(AND(OR(BY1750="L1",BY1750="L23"),AX1750&gt;0),SUMIFS($AX$7:$AX$1843,$BY$7:$BY$1843,BY1750,$BA$7:$BA$1843,"&gt;"&amp;BA1750)+SUMIFS($AX$7:$AX$1843,$BY$7:$BY$1843,BY1750,$BA$7:$BA$1843,BA1750,$BQ$7:$BQ$1843,"&lt;="&amp;BQ1750),"")</f>
        <v/>
      </c>
      <c r="BC1750" s="65" t="n">
        <f aca="false">IF(BB1750="",0,MAX(0,MIN(1,(IF(BY1750="L1",Parameter!$E$5,Parameter!$E$6+Parameter!$E$7)-(BB1750-AX1750))/AX1750)))</f>
        <v>0</v>
      </c>
      <c r="BD1750" s="55" t="str">
        <f aca="false">IF(AH1750&lt;=0,"",IF(BY1750="Aussen","Aussenlager",IF(BY1750="-","Nicht im Lift",IF(AM1750&gt;=1,"Lift",IF(AM1750&lt;=0,"Aussenlager","teilweise")))))</f>
        <v/>
      </c>
      <c r="BE1750" s="55" t="str">
        <f aca="false">IF(AP1750&lt;=0,"",IF(BY1750="Aussen","Aussenlager",IF(BY1750="-","Nicht im Lift",IF(AU1750&gt;=1,"Lift",IF(AU1750&lt;=0,"Aussenlager","teilweise")))))</f>
        <v/>
      </c>
      <c r="BF1750" s="55" t="str">
        <f aca="false">IF(AX1750&lt;=0,"",IF(BY1750="Aussen","Aussenlager",IF(BY1750="-","Nicht im Lift",IF(BC1750&gt;=1,"Lift",IF(BC1750&lt;=0,"Aussenlager","teilweise")))))</f>
        <v/>
      </c>
      <c r="BG1750" s="55" t="str">
        <f aca="false">IF(A1750="","",IF(BP1750=1,"Neu; ","")&amp;IF(AND(BP1750=0,BK1750&lt;0),"negativer Bestand (Export "&amp;BK1750&amp;"); ","")&amp;IF(J1750&lt;=0,"Kein Verbrauch; ","")&amp;IF(CH1750&gt;0,"Lift "&amp;W1750&amp;" lt. Liftbericht (Fach "&amp;X1750&amp;" Stk); ",IF(BU1750=1,"Gebinde geschätzt ("&amp;T1750&amp;"); ",IF(BT1750=1,"Lose – Tablare geschätzt; ","")))&amp;IF(H1750&gt;AR1750,"Überbestand "&amp;ROUND(H1750-AR1750,0)&amp;" Stk / CHF "&amp;ROUND((H1750-AR1750)*G1750,0)&amp;"; ","")&amp;IF(AND(CA1750=1,CB1750&lt;CC1750),"MAX &lt; MB+LG; ","")&amp;IF(AND(CG1750&gt;0,CF1750*10&gt;CG1750),"zu hoch für Tablar; ","")&amp;IF(AND(BP1750=0,OR(CA1750=1,AA1750&lt;&gt;"",U1750&lt;&gt;"",V1750&lt;&gt;"",AB1750&lt;&gt;"")),"manuell übersteuert; ","")&amp;IF(AND(BT1750=0,R1750=0),"Gebinde unbekannt / Stellmass fehlt; ","")&amp;IF(AND(BT1750=0,N(V1750)&lt;=0,N(Q1750)&lt;=0),"Menge pro Gebinde fehlt (Ist = 1 Gebinde); ","")&amp;BO1750)</f>
        <v/>
      </c>
      <c r="BH1750" s="55"/>
      <c r="BI1750" s="55"/>
      <c r="BJ1750" s="62"/>
      <c r="BK1750" s="57" t="n">
        <f aca="false">N('Neue Artikel'!$D$11)</f>
        <v>0</v>
      </c>
      <c r="BL1750" s="57" t="n">
        <v>0</v>
      </c>
      <c r="BM1750" s="56" t="n">
        <v>0</v>
      </c>
      <c r="BN1750" s="57" t="n">
        <f aca="false">N('Neue Artikel'!$C$11)/Parameter!$B$18</f>
        <v>0</v>
      </c>
      <c r="BO1750" s="55"/>
      <c r="BP1750" s="60" t="n">
        <v>1</v>
      </c>
      <c r="BQ1750" s="60" t="n">
        <v>1750</v>
      </c>
      <c r="BR1750" s="55" t="str">
        <f aca="false">IF(U1750&lt;&gt;"",UPPER(TRIM(U1750)),IF(BU1750=1,UPPER(VLOOKUP(T1750,Parameter!$I$27:$K$29,2,0)),IF(P1750="","LOSE",P1750)))</f>
        <v>LOSE</v>
      </c>
      <c r="BS1750" s="57" t="n">
        <f aca="false">IF(BR1750="LOSE",1,IF(N(V1750)&gt;0,V1750,IF(BU1750=1,MAX(1,N(VLOOKUP(T1750,Parameter!$I$27:$K$29,3,0)),H1750,N(N1750)),IF(N(Q1750)&gt;0,Q1750,MAX(1,H1750)))))</f>
        <v>1</v>
      </c>
      <c r="BT1750" s="60" t="n">
        <f aca="false">IF(BR1750="LOSE",1,0)</f>
        <v>1</v>
      </c>
      <c r="BU1750" s="60" t="n">
        <f aca="false">IF(AND(U1750="",OR(P1750="",P1750="LOSE"),T1750&lt;&gt;"",N(S1750)&lt;=0,ISNUMBER(MATCH(T1750,Parameter!$I$27:$I$29,0))),1,0)</f>
        <v>0</v>
      </c>
      <c r="BV1750" s="55" t="str">
        <f aca="false">IF(AND(Parameter!$B$19="Ja",E1750&lt;&gt;"",ISNUMBER(MATCH(E1750,Parameter!$I$35:$I$52,0))),VLOOKUP(E1750,Parameter!$I$35:$J$52,2,0),IFERROR(VLOOKUP(D1750,Parameter!$A$35:$C$64,2,0),"Nein"))</f>
        <v>2+3</v>
      </c>
      <c r="BW1750" s="59" t="n">
        <f aca="false">IF(BT1750=0,0,IF(N(S1750)&gt;0,S1750,IFERROR(VLOOKUP(D1750,Parameter!$A$35:$C$64,3,0)+0,0)))</f>
        <v>0.15</v>
      </c>
      <c r="BX1750" s="55" t="str">
        <f aca="false">IF(AA1750&lt;&gt;"",AA1750,Z1750)</f>
        <v/>
      </c>
      <c r="BY1750" s="55" t="str">
        <f aca="false">IF(BX1750=1,"L1",IF(OR(BX1750=2,BX1750=3),"L23",IF(BX1750="Aussen","Aussen","-")))</f>
        <v>-</v>
      </c>
      <c r="BZ1750" s="66" t="n">
        <f aca="false">IF(N(AB1750)&gt;0,AB1750,0)</f>
        <v>0</v>
      </c>
      <c r="CA1750" s="60" t="n">
        <f aca="false">IF(ISNUMBER(AE1750),1,0)</f>
        <v>0</v>
      </c>
      <c r="CB1750" s="57" t="n">
        <f aca="false">N(AE1750)</f>
        <v>0</v>
      </c>
      <c r="CC1750" s="57" t="n">
        <f aca="false">N(M1750)+N(N1750)</f>
        <v>0</v>
      </c>
      <c r="CD1750" s="57" t="n">
        <f aca="false">ROUNDUP(H1750/BS1750,0)</f>
        <v>0</v>
      </c>
      <c r="CE1750" s="57" t="n">
        <f aca="false">ROUNDUP(CB1750/BS1750,0)</f>
        <v>0</v>
      </c>
      <c r="CF1750" s="60" t="n">
        <f aca="false">IF(BT1750=1,0,IFERROR(VLOOKUP(BR1750,'Gebinde-Kategorie'!$A$5:$M$45,5,0)+0,0))</f>
        <v>0</v>
      </c>
      <c r="CG1750" s="60" t="n">
        <f aca="false">IFERROR(IF(OR(BX1750=1,BX1750=2,BX1750=3),N(INDEX(Parameter!$I$5:$I$7,BX1750)),0),0)</f>
        <v>0</v>
      </c>
      <c r="CH1750" s="59" t="n">
        <f aca="false">IF(AND(Parameter!$B$21="Ja",ISNUMBER(W1750),N(X1750)&gt;0),IFERROR(N(INDEX(Parameter!$L$5:$L$7,W1750))*INDEX(Parameter!$E$5:$E$7,W1750)*X1750/SUMIFS($X$7:$X$1843,$W$7:$W$1843,W1750),0),0)</f>
        <v>0</v>
      </c>
    </row>
    <row r="1751" customFormat="false" ht="15" hidden="false" customHeight="false" outlineLevel="0" collapsed="false">
      <c r="A1751" s="55" t="str">
        <f aca="false">IF('Neue Artikel'!$A$12="","",'Neue Artikel'!$A$12&amp;"")</f>
        <v/>
      </c>
      <c r="B1751" s="55" t="str">
        <f aca="false">'Neue Artikel'!$B$12&amp;""</f>
        <v/>
      </c>
      <c r="C1751" s="55"/>
      <c r="D1751" s="55" t="s">
        <v>3015</v>
      </c>
      <c r="E1751" s="55"/>
      <c r="F1751" s="55"/>
      <c r="G1751" s="56" t="n">
        <f aca="false">N('Neue Artikel'!$G$12)</f>
        <v>0</v>
      </c>
      <c r="H1751" s="57" t="n">
        <f aca="false">MAX(0,IF(AND(Parameter!$B$21="Ja",ISNUMBER(Y1751)),Y1751,IF(Parameter!$B$20="Jahresanfang 2025 + Export",BL1751+BK1751,BK1751)))</f>
        <v>0</v>
      </c>
      <c r="I1751" s="57" t="n">
        <f aca="false">H1751*G1751</f>
        <v>0</v>
      </c>
      <c r="J1751" s="57" t="n">
        <f aca="false">BN1751*Parameter!$B$18</f>
        <v>0</v>
      </c>
      <c r="K1751" s="58"/>
      <c r="L1751" s="59"/>
      <c r="M1751" s="57" t="n">
        <f aca="false">N('Neue Artikel'!$E$12)</f>
        <v>0</v>
      </c>
      <c r="N1751" s="57" t="n">
        <f aca="false">N('Neue Artikel'!$F$12)</f>
        <v>0</v>
      </c>
      <c r="O1751" s="60"/>
      <c r="P1751" s="55" t="str">
        <f aca="false">IF('Neue Artikel'!$H$12="","LOSE",UPPER(TRIM('Neue Artikel'!$H$12)))</f>
        <v>LOSE</v>
      </c>
      <c r="Q1751" s="57" t="n">
        <f aca="false">N('Neue Artikel'!$I$12)</f>
        <v>0</v>
      </c>
      <c r="R1751" s="60" t="n">
        <f aca="false">IF(BT1751=1,0,IFERROR(VLOOKUP(BR1751,'Gebinde-Kategorie'!$A$5:$M$45,13,0)+0,0))</f>
        <v>0</v>
      </c>
      <c r="S1751" s="61"/>
      <c r="T1751" s="62"/>
      <c r="U1751" s="62"/>
      <c r="V1751" s="62"/>
      <c r="W1751" s="55"/>
      <c r="X1751" s="57"/>
      <c r="Y1751" s="57"/>
      <c r="Z1751" s="55" t="str">
        <f aca="false">IF(A1751="","",IF(AND(Parameter!$B$21="Ja",ISNUMBER(W1751)),W1751,IF(BV1751="2+3",IF(ISNUMBER(SEARCH("grosser Artikel",BO1751)),2,IFERROR(VLOOKUP(BR1751,Parameter!$F$35:$G$64,2,0),2)),IF(OR(BV1751="Nein",BV1751=""),"-",BV1751))))</f>
        <v/>
      </c>
      <c r="AA1751" s="55" t="str">
        <f aca="false">IF('Neue Artikel'!$J$12="","",'Neue Artikel'!$J$12)</f>
        <v/>
      </c>
      <c r="AB1751" s="63"/>
      <c r="AC1751" s="57" t="n">
        <f aca="false">AR1751</f>
        <v>0</v>
      </c>
      <c r="AD1751" s="57" t="n">
        <f aca="false">MAX(AR1751,H1751)</f>
        <v>0</v>
      </c>
      <c r="AE1751" s="64"/>
      <c r="AF1751" s="57" t="n">
        <f aca="false">IF(LEFT(Cockpit!$C$5,1)="A",H1751,IF(CA1751=1,CB1751,IF(LEFT(Cockpit!$C$5,1)="B",AJ1751,MAX(AJ1751,H1751))))</f>
        <v>0</v>
      </c>
      <c r="AG1751" s="57" t="n">
        <f aca="false">IF(BT1751=1,0,ROUNDUP(AF1751/BS1751,0))</f>
        <v>0</v>
      </c>
      <c r="AH1751" s="59" t="n">
        <f aca="false">IF(CH1751&gt;0,CH1751*MAX(1,AF1751/X1751),IF(BT1751=1,IF(AF1751&lt;=0,0,BW1751*MAX(1,IF(H1751&gt;0,AF1751/H1751,1))),IF(R1751&gt;0,AG1751/R1751,0))/MAX(0.1,N(Parameter!$M$21)))</f>
        <v>0</v>
      </c>
      <c r="AI1751" s="57" t="n">
        <f aca="false">AF1751*G1751</f>
        <v>0</v>
      </c>
      <c r="AJ1751" s="57" t="n">
        <f aca="false">ROUNDUP(MAX(J1751/IF(BZ1751&gt;0,BZ1751,MAX(0.1,N(Cockpit!$C$6))),CC1751)/BS1751,0)*BS1751</f>
        <v>0</v>
      </c>
      <c r="AK1751" s="58" t="n">
        <f aca="false">IF(AH1751&gt;0,J1751/AH1751,-1)</f>
        <v>-1</v>
      </c>
      <c r="AL1751" s="58" t="str">
        <f aca="false">IF(AND(OR(BY1751="L1",BY1751="L23"),AH1751&gt;0),SUMIFS($AH$7:$AH$1843,$BY$7:$BY$1843,BY1751,$AK$7:$AK$1843,"&gt;"&amp;AK1751)+SUMIFS($AH$7:$AH$1843,$BY$7:$BY$1843,BY1751,$AK$7:$AK$1843,AK1751,$BQ$7:$BQ$1843,"&lt;="&amp;BQ1751),"")</f>
        <v/>
      </c>
      <c r="AM1751" s="65" t="n">
        <f aca="false">IF(AL1751="",0,MAX(0,MIN(1,(IF(BY1751="L1",Parameter!$E$5,Parameter!$E$6+Parameter!$E$7)-(AL1751-AH1751))/AH1751)))</f>
        <v>0</v>
      </c>
      <c r="AN1751" s="57" t="n">
        <f aca="false">IF(LEFT(Cockpit!$I$5,1)="A",H1751,IF(CA1751=1,CB1751,IF(LEFT(Cockpit!$I$5,1)="B",AR1751,MAX(AR1751,H1751))))</f>
        <v>0</v>
      </c>
      <c r="AO1751" s="57" t="n">
        <f aca="false">IF(BT1751=1,0,ROUNDUP(AN1751/BS1751,0))</f>
        <v>0</v>
      </c>
      <c r="AP1751" s="59" t="n">
        <f aca="false">IF(CH1751&gt;0,CH1751*MAX(1,AN1751/X1751),IF(BT1751=1,IF(AN1751&lt;=0,0,BW1751*MAX(1,IF(H1751&gt;0,AN1751/H1751,1))),IF(R1751&gt;0,AO1751/R1751,0))/MAX(0.1,N(Parameter!$M$21)))</f>
        <v>0</v>
      </c>
      <c r="AQ1751" s="57" t="n">
        <f aca="false">AN1751*G1751</f>
        <v>0</v>
      </c>
      <c r="AR1751" s="57" t="n">
        <f aca="false">ROUNDUP(MAX(J1751/IF(BZ1751&gt;0,BZ1751,MAX(0.1,N(Cockpit!$I$6))),CC1751)/BS1751,0)*BS1751</f>
        <v>0</v>
      </c>
      <c r="AS1751" s="58" t="n">
        <f aca="false">IF(AP1751&gt;0,J1751/AP1751,-1)</f>
        <v>-1</v>
      </c>
      <c r="AT1751" s="58" t="str">
        <f aca="false">IF(AND(OR(BY1751="L1",BY1751="L23"),AP1751&gt;0),SUMIFS($AP$7:$AP$1843,$BY$7:$BY$1843,BY1751,$AS$7:$AS$1843,"&gt;"&amp;AS1751)+SUMIFS($AP$7:$AP$1843,$BY$7:$BY$1843,BY1751,$AS$7:$AS$1843,AS1751,$BQ$7:$BQ$1843,"&lt;="&amp;BQ1751),"")</f>
        <v/>
      </c>
      <c r="AU1751" s="65" t="n">
        <f aca="false">IF(AT1751="",0,MAX(0,MIN(1,(IF(BY1751="L1",Parameter!$E$5,Parameter!$E$6+Parameter!$E$7)-(AT1751-AP1751))/AP1751)))</f>
        <v>0</v>
      </c>
      <c r="AV1751" s="57" t="n">
        <f aca="false">IF(LEFT(Cockpit!$O$5,1)="A",H1751,IF(CA1751=1,CB1751,IF(LEFT(Cockpit!$O$5,1)="B",AZ1751,MAX(AZ1751,H1751))))</f>
        <v>0</v>
      </c>
      <c r="AW1751" s="57" t="n">
        <f aca="false">IF(BT1751=1,0,ROUNDUP(AV1751/BS1751,0))</f>
        <v>0</v>
      </c>
      <c r="AX1751" s="59" t="n">
        <f aca="false">IF(CH1751&gt;0,CH1751*MAX(1,AV1751/X1751),IF(BT1751=1,IF(AV1751&lt;=0,0,BW1751*MAX(1,IF(H1751&gt;0,AV1751/H1751,1))),IF(R1751&gt;0,AW1751/R1751,0))/MAX(0.1,N(Parameter!$M$21)))</f>
        <v>0</v>
      </c>
      <c r="AY1751" s="57" t="n">
        <f aca="false">AV1751*G1751</f>
        <v>0</v>
      </c>
      <c r="AZ1751" s="57" t="n">
        <f aca="false">ROUNDUP(MAX(J1751/IF(BZ1751&gt;0,BZ1751,MAX(0.1,N(Cockpit!$O$6))),CC1751)/BS1751,0)*BS1751</f>
        <v>0</v>
      </c>
      <c r="BA1751" s="58" t="n">
        <f aca="false">IF(AX1751&gt;0,J1751/AX1751,-1)</f>
        <v>-1</v>
      </c>
      <c r="BB1751" s="58" t="str">
        <f aca="false">IF(AND(OR(BY1751="L1",BY1751="L23"),AX1751&gt;0),SUMIFS($AX$7:$AX$1843,$BY$7:$BY$1843,BY1751,$BA$7:$BA$1843,"&gt;"&amp;BA1751)+SUMIFS($AX$7:$AX$1843,$BY$7:$BY$1843,BY1751,$BA$7:$BA$1843,BA1751,$BQ$7:$BQ$1843,"&lt;="&amp;BQ1751),"")</f>
        <v/>
      </c>
      <c r="BC1751" s="65" t="n">
        <f aca="false">IF(BB1751="",0,MAX(0,MIN(1,(IF(BY1751="L1",Parameter!$E$5,Parameter!$E$6+Parameter!$E$7)-(BB1751-AX1751))/AX1751)))</f>
        <v>0</v>
      </c>
      <c r="BD1751" s="55" t="str">
        <f aca="false">IF(AH1751&lt;=0,"",IF(BY1751="Aussen","Aussenlager",IF(BY1751="-","Nicht im Lift",IF(AM1751&gt;=1,"Lift",IF(AM1751&lt;=0,"Aussenlager","teilweise")))))</f>
        <v/>
      </c>
      <c r="BE1751" s="55" t="str">
        <f aca="false">IF(AP1751&lt;=0,"",IF(BY1751="Aussen","Aussenlager",IF(BY1751="-","Nicht im Lift",IF(AU1751&gt;=1,"Lift",IF(AU1751&lt;=0,"Aussenlager","teilweise")))))</f>
        <v/>
      </c>
      <c r="BF1751" s="55" t="str">
        <f aca="false">IF(AX1751&lt;=0,"",IF(BY1751="Aussen","Aussenlager",IF(BY1751="-","Nicht im Lift",IF(BC1751&gt;=1,"Lift",IF(BC1751&lt;=0,"Aussenlager","teilweise")))))</f>
        <v/>
      </c>
      <c r="BG1751" s="55" t="str">
        <f aca="false">IF(A1751="","",IF(BP1751=1,"Neu; ","")&amp;IF(AND(BP1751=0,BK1751&lt;0),"negativer Bestand (Export "&amp;BK1751&amp;"); ","")&amp;IF(J1751&lt;=0,"Kein Verbrauch; ","")&amp;IF(CH1751&gt;0,"Lift "&amp;W1751&amp;" lt. Liftbericht (Fach "&amp;X1751&amp;" Stk); ",IF(BU1751=1,"Gebinde geschätzt ("&amp;T1751&amp;"); ",IF(BT1751=1,"Lose – Tablare geschätzt; ","")))&amp;IF(H1751&gt;AR1751,"Überbestand "&amp;ROUND(H1751-AR1751,0)&amp;" Stk / CHF "&amp;ROUND((H1751-AR1751)*G1751,0)&amp;"; ","")&amp;IF(AND(CA1751=1,CB1751&lt;CC1751),"MAX &lt; MB+LG; ","")&amp;IF(AND(CG1751&gt;0,CF1751*10&gt;CG1751),"zu hoch für Tablar; ","")&amp;IF(AND(BP1751=0,OR(CA1751=1,AA1751&lt;&gt;"",U1751&lt;&gt;"",V1751&lt;&gt;"",AB1751&lt;&gt;"")),"manuell übersteuert; ","")&amp;IF(AND(BT1751=0,R1751=0),"Gebinde unbekannt / Stellmass fehlt; ","")&amp;IF(AND(BT1751=0,N(V1751)&lt;=0,N(Q1751)&lt;=0),"Menge pro Gebinde fehlt (Ist = 1 Gebinde); ","")&amp;BO1751)</f>
        <v/>
      </c>
      <c r="BH1751" s="55"/>
      <c r="BI1751" s="55"/>
      <c r="BJ1751" s="62"/>
      <c r="BK1751" s="57" t="n">
        <f aca="false">N('Neue Artikel'!$D$12)</f>
        <v>0</v>
      </c>
      <c r="BL1751" s="57" t="n">
        <v>0</v>
      </c>
      <c r="BM1751" s="56" t="n">
        <v>0</v>
      </c>
      <c r="BN1751" s="57" t="n">
        <f aca="false">N('Neue Artikel'!$C$12)/Parameter!$B$18</f>
        <v>0</v>
      </c>
      <c r="BO1751" s="55"/>
      <c r="BP1751" s="60" t="n">
        <v>1</v>
      </c>
      <c r="BQ1751" s="60" t="n">
        <v>1751</v>
      </c>
      <c r="BR1751" s="55" t="str">
        <f aca="false">IF(U1751&lt;&gt;"",UPPER(TRIM(U1751)),IF(BU1751=1,UPPER(VLOOKUP(T1751,Parameter!$I$27:$K$29,2,0)),IF(P1751="","LOSE",P1751)))</f>
        <v>LOSE</v>
      </c>
      <c r="BS1751" s="57" t="n">
        <f aca="false">IF(BR1751="LOSE",1,IF(N(V1751)&gt;0,V1751,IF(BU1751=1,MAX(1,N(VLOOKUP(T1751,Parameter!$I$27:$K$29,3,0)),H1751,N(N1751)),IF(N(Q1751)&gt;0,Q1751,MAX(1,H1751)))))</f>
        <v>1</v>
      </c>
      <c r="BT1751" s="60" t="n">
        <f aca="false">IF(BR1751="LOSE",1,0)</f>
        <v>1</v>
      </c>
      <c r="BU1751" s="60" t="n">
        <f aca="false">IF(AND(U1751="",OR(P1751="",P1751="LOSE"),T1751&lt;&gt;"",N(S1751)&lt;=0,ISNUMBER(MATCH(T1751,Parameter!$I$27:$I$29,0))),1,0)</f>
        <v>0</v>
      </c>
      <c r="BV1751" s="55" t="str">
        <f aca="false">IF(AND(Parameter!$B$19="Ja",E1751&lt;&gt;"",ISNUMBER(MATCH(E1751,Parameter!$I$35:$I$52,0))),VLOOKUP(E1751,Parameter!$I$35:$J$52,2,0),IFERROR(VLOOKUP(D1751,Parameter!$A$35:$C$64,2,0),"Nein"))</f>
        <v>2+3</v>
      </c>
      <c r="BW1751" s="59" t="n">
        <f aca="false">IF(BT1751=0,0,IF(N(S1751)&gt;0,S1751,IFERROR(VLOOKUP(D1751,Parameter!$A$35:$C$64,3,0)+0,0)))</f>
        <v>0.15</v>
      </c>
      <c r="BX1751" s="55" t="str">
        <f aca="false">IF(AA1751&lt;&gt;"",AA1751,Z1751)</f>
        <v/>
      </c>
      <c r="BY1751" s="55" t="str">
        <f aca="false">IF(BX1751=1,"L1",IF(OR(BX1751=2,BX1751=3),"L23",IF(BX1751="Aussen","Aussen","-")))</f>
        <v>-</v>
      </c>
      <c r="BZ1751" s="66" t="n">
        <f aca="false">IF(N(AB1751)&gt;0,AB1751,0)</f>
        <v>0</v>
      </c>
      <c r="CA1751" s="60" t="n">
        <f aca="false">IF(ISNUMBER(AE1751),1,0)</f>
        <v>0</v>
      </c>
      <c r="CB1751" s="57" t="n">
        <f aca="false">N(AE1751)</f>
        <v>0</v>
      </c>
      <c r="CC1751" s="57" t="n">
        <f aca="false">N(M1751)+N(N1751)</f>
        <v>0</v>
      </c>
      <c r="CD1751" s="57" t="n">
        <f aca="false">ROUNDUP(H1751/BS1751,0)</f>
        <v>0</v>
      </c>
      <c r="CE1751" s="57" t="n">
        <f aca="false">ROUNDUP(CB1751/BS1751,0)</f>
        <v>0</v>
      </c>
      <c r="CF1751" s="60" t="n">
        <f aca="false">IF(BT1751=1,0,IFERROR(VLOOKUP(BR1751,'Gebinde-Kategorie'!$A$5:$M$45,5,0)+0,0))</f>
        <v>0</v>
      </c>
      <c r="CG1751" s="60" t="n">
        <f aca="false">IFERROR(IF(OR(BX1751=1,BX1751=2,BX1751=3),N(INDEX(Parameter!$I$5:$I$7,BX1751)),0),0)</f>
        <v>0</v>
      </c>
      <c r="CH1751" s="59" t="n">
        <f aca="false">IF(AND(Parameter!$B$21="Ja",ISNUMBER(W1751),N(X1751)&gt;0),IFERROR(N(INDEX(Parameter!$L$5:$L$7,W1751))*INDEX(Parameter!$E$5:$E$7,W1751)*X1751/SUMIFS($X$7:$X$1843,$W$7:$W$1843,W1751),0),0)</f>
        <v>0</v>
      </c>
    </row>
    <row r="1752" customFormat="false" ht="15" hidden="false" customHeight="false" outlineLevel="0" collapsed="false">
      <c r="A1752" s="55" t="str">
        <f aca="false">IF('Neue Artikel'!$A$13="","",'Neue Artikel'!$A$13&amp;"")</f>
        <v/>
      </c>
      <c r="B1752" s="55" t="str">
        <f aca="false">'Neue Artikel'!$B$13&amp;""</f>
        <v/>
      </c>
      <c r="C1752" s="55"/>
      <c r="D1752" s="55" t="s">
        <v>3015</v>
      </c>
      <c r="E1752" s="55"/>
      <c r="F1752" s="55"/>
      <c r="G1752" s="56" t="n">
        <f aca="false">N('Neue Artikel'!$G$13)</f>
        <v>0</v>
      </c>
      <c r="H1752" s="57" t="n">
        <f aca="false">MAX(0,IF(AND(Parameter!$B$21="Ja",ISNUMBER(Y1752)),Y1752,IF(Parameter!$B$20="Jahresanfang 2025 + Export",BL1752+BK1752,BK1752)))</f>
        <v>0</v>
      </c>
      <c r="I1752" s="57" t="n">
        <f aca="false">H1752*G1752</f>
        <v>0</v>
      </c>
      <c r="J1752" s="57" t="n">
        <f aca="false">BN1752*Parameter!$B$18</f>
        <v>0</v>
      </c>
      <c r="K1752" s="58"/>
      <c r="L1752" s="59"/>
      <c r="M1752" s="57" t="n">
        <f aca="false">N('Neue Artikel'!$E$13)</f>
        <v>0</v>
      </c>
      <c r="N1752" s="57" t="n">
        <f aca="false">N('Neue Artikel'!$F$13)</f>
        <v>0</v>
      </c>
      <c r="O1752" s="60"/>
      <c r="P1752" s="55" t="str">
        <f aca="false">IF('Neue Artikel'!$H$13="","LOSE",UPPER(TRIM('Neue Artikel'!$H$13)))</f>
        <v>LOSE</v>
      </c>
      <c r="Q1752" s="57" t="n">
        <f aca="false">N('Neue Artikel'!$I$13)</f>
        <v>0</v>
      </c>
      <c r="R1752" s="60" t="n">
        <f aca="false">IF(BT1752=1,0,IFERROR(VLOOKUP(BR1752,'Gebinde-Kategorie'!$A$5:$M$45,13,0)+0,0))</f>
        <v>0</v>
      </c>
      <c r="S1752" s="61"/>
      <c r="T1752" s="62"/>
      <c r="U1752" s="62"/>
      <c r="V1752" s="62"/>
      <c r="W1752" s="55"/>
      <c r="X1752" s="57"/>
      <c r="Y1752" s="57"/>
      <c r="Z1752" s="55" t="str">
        <f aca="false">IF(A1752="","",IF(AND(Parameter!$B$21="Ja",ISNUMBER(W1752)),W1752,IF(BV1752="2+3",IF(ISNUMBER(SEARCH("grosser Artikel",BO1752)),2,IFERROR(VLOOKUP(BR1752,Parameter!$F$35:$G$64,2,0),2)),IF(OR(BV1752="Nein",BV1752=""),"-",BV1752))))</f>
        <v/>
      </c>
      <c r="AA1752" s="55" t="str">
        <f aca="false">IF('Neue Artikel'!$J$13="","",'Neue Artikel'!$J$13)</f>
        <v/>
      </c>
      <c r="AB1752" s="63"/>
      <c r="AC1752" s="57" t="n">
        <f aca="false">AR1752</f>
        <v>0</v>
      </c>
      <c r="AD1752" s="57" t="n">
        <f aca="false">MAX(AR1752,H1752)</f>
        <v>0</v>
      </c>
      <c r="AE1752" s="64"/>
      <c r="AF1752" s="57" t="n">
        <f aca="false">IF(LEFT(Cockpit!$C$5,1)="A",H1752,IF(CA1752=1,CB1752,IF(LEFT(Cockpit!$C$5,1)="B",AJ1752,MAX(AJ1752,H1752))))</f>
        <v>0</v>
      </c>
      <c r="AG1752" s="57" t="n">
        <f aca="false">IF(BT1752=1,0,ROUNDUP(AF1752/BS1752,0))</f>
        <v>0</v>
      </c>
      <c r="AH1752" s="59" t="n">
        <f aca="false">IF(CH1752&gt;0,CH1752*MAX(1,AF1752/X1752),IF(BT1752=1,IF(AF1752&lt;=0,0,BW1752*MAX(1,IF(H1752&gt;0,AF1752/H1752,1))),IF(R1752&gt;0,AG1752/R1752,0))/MAX(0.1,N(Parameter!$M$21)))</f>
        <v>0</v>
      </c>
      <c r="AI1752" s="57" t="n">
        <f aca="false">AF1752*G1752</f>
        <v>0</v>
      </c>
      <c r="AJ1752" s="57" t="n">
        <f aca="false">ROUNDUP(MAX(J1752/IF(BZ1752&gt;0,BZ1752,MAX(0.1,N(Cockpit!$C$6))),CC1752)/BS1752,0)*BS1752</f>
        <v>0</v>
      </c>
      <c r="AK1752" s="58" t="n">
        <f aca="false">IF(AH1752&gt;0,J1752/AH1752,-1)</f>
        <v>-1</v>
      </c>
      <c r="AL1752" s="58" t="str">
        <f aca="false">IF(AND(OR(BY1752="L1",BY1752="L23"),AH1752&gt;0),SUMIFS($AH$7:$AH$1843,$BY$7:$BY$1843,BY1752,$AK$7:$AK$1843,"&gt;"&amp;AK1752)+SUMIFS($AH$7:$AH$1843,$BY$7:$BY$1843,BY1752,$AK$7:$AK$1843,AK1752,$BQ$7:$BQ$1843,"&lt;="&amp;BQ1752),"")</f>
        <v/>
      </c>
      <c r="AM1752" s="65" t="n">
        <f aca="false">IF(AL1752="",0,MAX(0,MIN(1,(IF(BY1752="L1",Parameter!$E$5,Parameter!$E$6+Parameter!$E$7)-(AL1752-AH1752))/AH1752)))</f>
        <v>0</v>
      </c>
      <c r="AN1752" s="57" t="n">
        <f aca="false">IF(LEFT(Cockpit!$I$5,1)="A",H1752,IF(CA1752=1,CB1752,IF(LEFT(Cockpit!$I$5,1)="B",AR1752,MAX(AR1752,H1752))))</f>
        <v>0</v>
      </c>
      <c r="AO1752" s="57" t="n">
        <f aca="false">IF(BT1752=1,0,ROUNDUP(AN1752/BS1752,0))</f>
        <v>0</v>
      </c>
      <c r="AP1752" s="59" t="n">
        <f aca="false">IF(CH1752&gt;0,CH1752*MAX(1,AN1752/X1752),IF(BT1752=1,IF(AN1752&lt;=0,0,BW1752*MAX(1,IF(H1752&gt;0,AN1752/H1752,1))),IF(R1752&gt;0,AO1752/R1752,0))/MAX(0.1,N(Parameter!$M$21)))</f>
        <v>0</v>
      </c>
      <c r="AQ1752" s="57" t="n">
        <f aca="false">AN1752*G1752</f>
        <v>0</v>
      </c>
      <c r="AR1752" s="57" t="n">
        <f aca="false">ROUNDUP(MAX(J1752/IF(BZ1752&gt;0,BZ1752,MAX(0.1,N(Cockpit!$I$6))),CC1752)/BS1752,0)*BS1752</f>
        <v>0</v>
      </c>
      <c r="AS1752" s="58" t="n">
        <f aca="false">IF(AP1752&gt;0,J1752/AP1752,-1)</f>
        <v>-1</v>
      </c>
      <c r="AT1752" s="58" t="str">
        <f aca="false">IF(AND(OR(BY1752="L1",BY1752="L23"),AP1752&gt;0),SUMIFS($AP$7:$AP$1843,$BY$7:$BY$1843,BY1752,$AS$7:$AS$1843,"&gt;"&amp;AS1752)+SUMIFS($AP$7:$AP$1843,$BY$7:$BY$1843,BY1752,$AS$7:$AS$1843,AS1752,$BQ$7:$BQ$1843,"&lt;="&amp;BQ1752),"")</f>
        <v/>
      </c>
      <c r="AU1752" s="65" t="n">
        <f aca="false">IF(AT1752="",0,MAX(0,MIN(1,(IF(BY1752="L1",Parameter!$E$5,Parameter!$E$6+Parameter!$E$7)-(AT1752-AP1752))/AP1752)))</f>
        <v>0</v>
      </c>
      <c r="AV1752" s="57" t="n">
        <f aca="false">IF(LEFT(Cockpit!$O$5,1)="A",H1752,IF(CA1752=1,CB1752,IF(LEFT(Cockpit!$O$5,1)="B",AZ1752,MAX(AZ1752,H1752))))</f>
        <v>0</v>
      </c>
      <c r="AW1752" s="57" t="n">
        <f aca="false">IF(BT1752=1,0,ROUNDUP(AV1752/BS1752,0))</f>
        <v>0</v>
      </c>
      <c r="AX1752" s="59" t="n">
        <f aca="false">IF(CH1752&gt;0,CH1752*MAX(1,AV1752/X1752),IF(BT1752=1,IF(AV1752&lt;=0,0,BW1752*MAX(1,IF(H1752&gt;0,AV1752/H1752,1))),IF(R1752&gt;0,AW1752/R1752,0))/MAX(0.1,N(Parameter!$M$21)))</f>
        <v>0</v>
      </c>
      <c r="AY1752" s="57" t="n">
        <f aca="false">AV1752*G1752</f>
        <v>0</v>
      </c>
      <c r="AZ1752" s="57" t="n">
        <f aca="false">ROUNDUP(MAX(J1752/IF(BZ1752&gt;0,BZ1752,MAX(0.1,N(Cockpit!$O$6))),CC1752)/BS1752,0)*BS1752</f>
        <v>0</v>
      </c>
      <c r="BA1752" s="58" t="n">
        <f aca="false">IF(AX1752&gt;0,J1752/AX1752,-1)</f>
        <v>-1</v>
      </c>
      <c r="BB1752" s="58" t="str">
        <f aca="false">IF(AND(OR(BY1752="L1",BY1752="L23"),AX1752&gt;0),SUMIFS($AX$7:$AX$1843,$BY$7:$BY$1843,BY1752,$BA$7:$BA$1843,"&gt;"&amp;BA1752)+SUMIFS($AX$7:$AX$1843,$BY$7:$BY$1843,BY1752,$BA$7:$BA$1843,BA1752,$BQ$7:$BQ$1843,"&lt;="&amp;BQ1752),"")</f>
        <v/>
      </c>
      <c r="BC1752" s="65" t="n">
        <f aca="false">IF(BB1752="",0,MAX(0,MIN(1,(IF(BY1752="L1",Parameter!$E$5,Parameter!$E$6+Parameter!$E$7)-(BB1752-AX1752))/AX1752)))</f>
        <v>0</v>
      </c>
      <c r="BD1752" s="55" t="str">
        <f aca="false">IF(AH1752&lt;=0,"",IF(BY1752="Aussen","Aussenlager",IF(BY1752="-","Nicht im Lift",IF(AM1752&gt;=1,"Lift",IF(AM1752&lt;=0,"Aussenlager","teilweise")))))</f>
        <v/>
      </c>
      <c r="BE1752" s="55" t="str">
        <f aca="false">IF(AP1752&lt;=0,"",IF(BY1752="Aussen","Aussenlager",IF(BY1752="-","Nicht im Lift",IF(AU1752&gt;=1,"Lift",IF(AU1752&lt;=0,"Aussenlager","teilweise")))))</f>
        <v/>
      </c>
      <c r="BF1752" s="55" t="str">
        <f aca="false">IF(AX1752&lt;=0,"",IF(BY1752="Aussen","Aussenlager",IF(BY1752="-","Nicht im Lift",IF(BC1752&gt;=1,"Lift",IF(BC1752&lt;=0,"Aussenlager","teilweise")))))</f>
        <v/>
      </c>
      <c r="BG1752" s="55" t="str">
        <f aca="false">IF(A1752="","",IF(BP1752=1,"Neu; ","")&amp;IF(AND(BP1752=0,BK1752&lt;0),"negativer Bestand (Export "&amp;BK1752&amp;"); ","")&amp;IF(J1752&lt;=0,"Kein Verbrauch; ","")&amp;IF(CH1752&gt;0,"Lift "&amp;W1752&amp;" lt. Liftbericht (Fach "&amp;X1752&amp;" Stk); ",IF(BU1752=1,"Gebinde geschätzt ("&amp;T1752&amp;"); ",IF(BT1752=1,"Lose – Tablare geschätzt; ","")))&amp;IF(H1752&gt;AR1752,"Überbestand "&amp;ROUND(H1752-AR1752,0)&amp;" Stk / CHF "&amp;ROUND((H1752-AR1752)*G1752,0)&amp;"; ","")&amp;IF(AND(CA1752=1,CB1752&lt;CC1752),"MAX &lt; MB+LG; ","")&amp;IF(AND(CG1752&gt;0,CF1752*10&gt;CG1752),"zu hoch für Tablar; ","")&amp;IF(AND(BP1752=0,OR(CA1752=1,AA1752&lt;&gt;"",U1752&lt;&gt;"",V1752&lt;&gt;"",AB1752&lt;&gt;"")),"manuell übersteuert; ","")&amp;IF(AND(BT1752=0,R1752=0),"Gebinde unbekannt / Stellmass fehlt; ","")&amp;IF(AND(BT1752=0,N(V1752)&lt;=0,N(Q1752)&lt;=0),"Menge pro Gebinde fehlt (Ist = 1 Gebinde); ","")&amp;BO1752)</f>
        <v/>
      </c>
      <c r="BH1752" s="55"/>
      <c r="BI1752" s="55"/>
      <c r="BJ1752" s="62"/>
      <c r="BK1752" s="57" t="n">
        <f aca="false">N('Neue Artikel'!$D$13)</f>
        <v>0</v>
      </c>
      <c r="BL1752" s="57" t="n">
        <v>0</v>
      </c>
      <c r="BM1752" s="56" t="n">
        <v>0</v>
      </c>
      <c r="BN1752" s="57" t="n">
        <f aca="false">N('Neue Artikel'!$C$13)/Parameter!$B$18</f>
        <v>0</v>
      </c>
      <c r="BO1752" s="55"/>
      <c r="BP1752" s="60" t="n">
        <v>1</v>
      </c>
      <c r="BQ1752" s="60" t="n">
        <v>1752</v>
      </c>
      <c r="BR1752" s="55" t="str">
        <f aca="false">IF(U1752&lt;&gt;"",UPPER(TRIM(U1752)),IF(BU1752=1,UPPER(VLOOKUP(T1752,Parameter!$I$27:$K$29,2,0)),IF(P1752="","LOSE",P1752)))</f>
        <v>LOSE</v>
      </c>
      <c r="BS1752" s="57" t="n">
        <f aca="false">IF(BR1752="LOSE",1,IF(N(V1752)&gt;0,V1752,IF(BU1752=1,MAX(1,N(VLOOKUP(T1752,Parameter!$I$27:$K$29,3,0)),H1752,N(N1752)),IF(N(Q1752)&gt;0,Q1752,MAX(1,H1752)))))</f>
        <v>1</v>
      </c>
      <c r="BT1752" s="60" t="n">
        <f aca="false">IF(BR1752="LOSE",1,0)</f>
        <v>1</v>
      </c>
      <c r="BU1752" s="60" t="n">
        <f aca="false">IF(AND(U1752="",OR(P1752="",P1752="LOSE"),T1752&lt;&gt;"",N(S1752)&lt;=0,ISNUMBER(MATCH(T1752,Parameter!$I$27:$I$29,0))),1,0)</f>
        <v>0</v>
      </c>
      <c r="BV1752" s="55" t="str">
        <f aca="false">IF(AND(Parameter!$B$19="Ja",E1752&lt;&gt;"",ISNUMBER(MATCH(E1752,Parameter!$I$35:$I$52,0))),VLOOKUP(E1752,Parameter!$I$35:$J$52,2,0),IFERROR(VLOOKUP(D1752,Parameter!$A$35:$C$64,2,0),"Nein"))</f>
        <v>2+3</v>
      </c>
      <c r="BW1752" s="59" t="n">
        <f aca="false">IF(BT1752=0,0,IF(N(S1752)&gt;0,S1752,IFERROR(VLOOKUP(D1752,Parameter!$A$35:$C$64,3,0)+0,0)))</f>
        <v>0.15</v>
      </c>
      <c r="BX1752" s="55" t="str">
        <f aca="false">IF(AA1752&lt;&gt;"",AA1752,Z1752)</f>
        <v/>
      </c>
      <c r="BY1752" s="55" t="str">
        <f aca="false">IF(BX1752=1,"L1",IF(OR(BX1752=2,BX1752=3),"L23",IF(BX1752="Aussen","Aussen","-")))</f>
        <v>-</v>
      </c>
      <c r="BZ1752" s="66" t="n">
        <f aca="false">IF(N(AB1752)&gt;0,AB1752,0)</f>
        <v>0</v>
      </c>
      <c r="CA1752" s="60" t="n">
        <f aca="false">IF(ISNUMBER(AE1752),1,0)</f>
        <v>0</v>
      </c>
      <c r="CB1752" s="57" t="n">
        <f aca="false">N(AE1752)</f>
        <v>0</v>
      </c>
      <c r="CC1752" s="57" t="n">
        <f aca="false">N(M1752)+N(N1752)</f>
        <v>0</v>
      </c>
      <c r="CD1752" s="57" t="n">
        <f aca="false">ROUNDUP(H1752/BS1752,0)</f>
        <v>0</v>
      </c>
      <c r="CE1752" s="57" t="n">
        <f aca="false">ROUNDUP(CB1752/BS1752,0)</f>
        <v>0</v>
      </c>
      <c r="CF1752" s="60" t="n">
        <f aca="false">IF(BT1752=1,0,IFERROR(VLOOKUP(BR1752,'Gebinde-Kategorie'!$A$5:$M$45,5,0)+0,0))</f>
        <v>0</v>
      </c>
      <c r="CG1752" s="60" t="n">
        <f aca="false">IFERROR(IF(OR(BX1752=1,BX1752=2,BX1752=3),N(INDEX(Parameter!$I$5:$I$7,BX1752)),0),0)</f>
        <v>0</v>
      </c>
      <c r="CH1752" s="59" t="n">
        <f aca="false">IF(AND(Parameter!$B$21="Ja",ISNUMBER(W1752),N(X1752)&gt;0),IFERROR(N(INDEX(Parameter!$L$5:$L$7,W1752))*INDEX(Parameter!$E$5:$E$7,W1752)*X1752/SUMIFS($X$7:$X$1843,$W$7:$W$1843,W1752),0),0)</f>
        <v>0</v>
      </c>
    </row>
    <row r="1753" customFormat="false" ht="15" hidden="false" customHeight="false" outlineLevel="0" collapsed="false">
      <c r="A1753" s="55" t="str">
        <f aca="false">IF('Neue Artikel'!$A$14="","",'Neue Artikel'!$A$14&amp;"")</f>
        <v/>
      </c>
      <c r="B1753" s="55" t="str">
        <f aca="false">'Neue Artikel'!$B$14&amp;""</f>
        <v/>
      </c>
      <c r="C1753" s="55"/>
      <c r="D1753" s="55" t="s">
        <v>3015</v>
      </c>
      <c r="E1753" s="55"/>
      <c r="F1753" s="55"/>
      <c r="G1753" s="56" t="n">
        <f aca="false">N('Neue Artikel'!$G$14)</f>
        <v>0</v>
      </c>
      <c r="H1753" s="57" t="n">
        <f aca="false">MAX(0,IF(AND(Parameter!$B$21="Ja",ISNUMBER(Y1753)),Y1753,IF(Parameter!$B$20="Jahresanfang 2025 + Export",BL1753+BK1753,BK1753)))</f>
        <v>0</v>
      </c>
      <c r="I1753" s="57" t="n">
        <f aca="false">H1753*G1753</f>
        <v>0</v>
      </c>
      <c r="J1753" s="57" t="n">
        <f aca="false">BN1753*Parameter!$B$18</f>
        <v>0</v>
      </c>
      <c r="K1753" s="58"/>
      <c r="L1753" s="59"/>
      <c r="M1753" s="57" t="n">
        <f aca="false">N('Neue Artikel'!$E$14)</f>
        <v>0</v>
      </c>
      <c r="N1753" s="57" t="n">
        <f aca="false">N('Neue Artikel'!$F$14)</f>
        <v>0</v>
      </c>
      <c r="O1753" s="60"/>
      <c r="P1753" s="55" t="str">
        <f aca="false">IF('Neue Artikel'!$H$14="","LOSE",UPPER(TRIM('Neue Artikel'!$H$14)))</f>
        <v>LOSE</v>
      </c>
      <c r="Q1753" s="57" t="n">
        <f aca="false">N('Neue Artikel'!$I$14)</f>
        <v>0</v>
      </c>
      <c r="R1753" s="60" t="n">
        <f aca="false">IF(BT1753=1,0,IFERROR(VLOOKUP(BR1753,'Gebinde-Kategorie'!$A$5:$M$45,13,0)+0,0))</f>
        <v>0</v>
      </c>
      <c r="S1753" s="61"/>
      <c r="T1753" s="62"/>
      <c r="U1753" s="62"/>
      <c r="V1753" s="62"/>
      <c r="W1753" s="55"/>
      <c r="X1753" s="57"/>
      <c r="Y1753" s="57"/>
      <c r="Z1753" s="55" t="str">
        <f aca="false">IF(A1753="","",IF(AND(Parameter!$B$21="Ja",ISNUMBER(W1753)),W1753,IF(BV1753="2+3",IF(ISNUMBER(SEARCH("grosser Artikel",BO1753)),2,IFERROR(VLOOKUP(BR1753,Parameter!$F$35:$G$64,2,0),2)),IF(OR(BV1753="Nein",BV1753=""),"-",BV1753))))</f>
        <v/>
      </c>
      <c r="AA1753" s="55" t="str">
        <f aca="false">IF('Neue Artikel'!$J$14="","",'Neue Artikel'!$J$14)</f>
        <v/>
      </c>
      <c r="AB1753" s="63"/>
      <c r="AC1753" s="57" t="n">
        <f aca="false">AR1753</f>
        <v>0</v>
      </c>
      <c r="AD1753" s="57" t="n">
        <f aca="false">MAX(AR1753,H1753)</f>
        <v>0</v>
      </c>
      <c r="AE1753" s="64"/>
      <c r="AF1753" s="57" t="n">
        <f aca="false">IF(LEFT(Cockpit!$C$5,1)="A",H1753,IF(CA1753=1,CB1753,IF(LEFT(Cockpit!$C$5,1)="B",AJ1753,MAX(AJ1753,H1753))))</f>
        <v>0</v>
      </c>
      <c r="AG1753" s="57" t="n">
        <f aca="false">IF(BT1753=1,0,ROUNDUP(AF1753/BS1753,0))</f>
        <v>0</v>
      </c>
      <c r="AH1753" s="59" t="n">
        <f aca="false">IF(CH1753&gt;0,CH1753*MAX(1,AF1753/X1753),IF(BT1753=1,IF(AF1753&lt;=0,0,BW1753*MAX(1,IF(H1753&gt;0,AF1753/H1753,1))),IF(R1753&gt;0,AG1753/R1753,0))/MAX(0.1,N(Parameter!$M$21)))</f>
        <v>0</v>
      </c>
      <c r="AI1753" s="57" t="n">
        <f aca="false">AF1753*G1753</f>
        <v>0</v>
      </c>
      <c r="AJ1753" s="57" t="n">
        <f aca="false">ROUNDUP(MAX(J1753/IF(BZ1753&gt;0,BZ1753,MAX(0.1,N(Cockpit!$C$6))),CC1753)/BS1753,0)*BS1753</f>
        <v>0</v>
      </c>
      <c r="AK1753" s="58" t="n">
        <f aca="false">IF(AH1753&gt;0,J1753/AH1753,-1)</f>
        <v>-1</v>
      </c>
      <c r="AL1753" s="58" t="str">
        <f aca="false">IF(AND(OR(BY1753="L1",BY1753="L23"),AH1753&gt;0),SUMIFS($AH$7:$AH$1843,$BY$7:$BY$1843,BY1753,$AK$7:$AK$1843,"&gt;"&amp;AK1753)+SUMIFS($AH$7:$AH$1843,$BY$7:$BY$1843,BY1753,$AK$7:$AK$1843,AK1753,$BQ$7:$BQ$1843,"&lt;="&amp;BQ1753),"")</f>
        <v/>
      </c>
      <c r="AM1753" s="65" t="n">
        <f aca="false">IF(AL1753="",0,MAX(0,MIN(1,(IF(BY1753="L1",Parameter!$E$5,Parameter!$E$6+Parameter!$E$7)-(AL1753-AH1753))/AH1753)))</f>
        <v>0</v>
      </c>
      <c r="AN1753" s="57" t="n">
        <f aca="false">IF(LEFT(Cockpit!$I$5,1)="A",H1753,IF(CA1753=1,CB1753,IF(LEFT(Cockpit!$I$5,1)="B",AR1753,MAX(AR1753,H1753))))</f>
        <v>0</v>
      </c>
      <c r="AO1753" s="57" t="n">
        <f aca="false">IF(BT1753=1,0,ROUNDUP(AN1753/BS1753,0))</f>
        <v>0</v>
      </c>
      <c r="AP1753" s="59" t="n">
        <f aca="false">IF(CH1753&gt;0,CH1753*MAX(1,AN1753/X1753),IF(BT1753=1,IF(AN1753&lt;=0,0,BW1753*MAX(1,IF(H1753&gt;0,AN1753/H1753,1))),IF(R1753&gt;0,AO1753/R1753,0))/MAX(0.1,N(Parameter!$M$21)))</f>
        <v>0</v>
      </c>
      <c r="AQ1753" s="57" t="n">
        <f aca="false">AN1753*G1753</f>
        <v>0</v>
      </c>
      <c r="AR1753" s="57" t="n">
        <f aca="false">ROUNDUP(MAX(J1753/IF(BZ1753&gt;0,BZ1753,MAX(0.1,N(Cockpit!$I$6))),CC1753)/BS1753,0)*BS1753</f>
        <v>0</v>
      </c>
      <c r="AS1753" s="58" t="n">
        <f aca="false">IF(AP1753&gt;0,J1753/AP1753,-1)</f>
        <v>-1</v>
      </c>
      <c r="AT1753" s="58" t="str">
        <f aca="false">IF(AND(OR(BY1753="L1",BY1753="L23"),AP1753&gt;0),SUMIFS($AP$7:$AP$1843,$BY$7:$BY$1843,BY1753,$AS$7:$AS$1843,"&gt;"&amp;AS1753)+SUMIFS($AP$7:$AP$1843,$BY$7:$BY$1843,BY1753,$AS$7:$AS$1843,AS1753,$BQ$7:$BQ$1843,"&lt;="&amp;BQ1753),"")</f>
        <v/>
      </c>
      <c r="AU1753" s="65" t="n">
        <f aca="false">IF(AT1753="",0,MAX(0,MIN(1,(IF(BY1753="L1",Parameter!$E$5,Parameter!$E$6+Parameter!$E$7)-(AT1753-AP1753))/AP1753)))</f>
        <v>0</v>
      </c>
      <c r="AV1753" s="57" t="n">
        <f aca="false">IF(LEFT(Cockpit!$O$5,1)="A",H1753,IF(CA1753=1,CB1753,IF(LEFT(Cockpit!$O$5,1)="B",AZ1753,MAX(AZ1753,H1753))))</f>
        <v>0</v>
      </c>
      <c r="AW1753" s="57" t="n">
        <f aca="false">IF(BT1753=1,0,ROUNDUP(AV1753/BS1753,0))</f>
        <v>0</v>
      </c>
      <c r="AX1753" s="59" t="n">
        <f aca="false">IF(CH1753&gt;0,CH1753*MAX(1,AV1753/X1753),IF(BT1753=1,IF(AV1753&lt;=0,0,BW1753*MAX(1,IF(H1753&gt;0,AV1753/H1753,1))),IF(R1753&gt;0,AW1753/R1753,0))/MAX(0.1,N(Parameter!$M$21)))</f>
        <v>0</v>
      </c>
      <c r="AY1753" s="57" t="n">
        <f aca="false">AV1753*G1753</f>
        <v>0</v>
      </c>
      <c r="AZ1753" s="57" t="n">
        <f aca="false">ROUNDUP(MAX(J1753/IF(BZ1753&gt;0,BZ1753,MAX(0.1,N(Cockpit!$O$6))),CC1753)/BS1753,0)*BS1753</f>
        <v>0</v>
      </c>
      <c r="BA1753" s="58" t="n">
        <f aca="false">IF(AX1753&gt;0,J1753/AX1753,-1)</f>
        <v>-1</v>
      </c>
      <c r="BB1753" s="58" t="str">
        <f aca="false">IF(AND(OR(BY1753="L1",BY1753="L23"),AX1753&gt;0),SUMIFS($AX$7:$AX$1843,$BY$7:$BY$1843,BY1753,$BA$7:$BA$1843,"&gt;"&amp;BA1753)+SUMIFS($AX$7:$AX$1843,$BY$7:$BY$1843,BY1753,$BA$7:$BA$1843,BA1753,$BQ$7:$BQ$1843,"&lt;="&amp;BQ1753),"")</f>
        <v/>
      </c>
      <c r="BC1753" s="65" t="n">
        <f aca="false">IF(BB1753="",0,MAX(0,MIN(1,(IF(BY1753="L1",Parameter!$E$5,Parameter!$E$6+Parameter!$E$7)-(BB1753-AX1753))/AX1753)))</f>
        <v>0</v>
      </c>
      <c r="BD1753" s="55" t="str">
        <f aca="false">IF(AH1753&lt;=0,"",IF(BY1753="Aussen","Aussenlager",IF(BY1753="-","Nicht im Lift",IF(AM1753&gt;=1,"Lift",IF(AM1753&lt;=0,"Aussenlager","teilweise")))))</f>
        <v/>
      </c>
      <c r="BE1753" s="55" t="str">
        <f aca="false">IF(AP1753&lt;=0,"",IF(BY1753="Aussen","Aussenlager",IF(BY1753="-","Nicht im Lift",IF(AU1753&gt;=1,"Lift",IF(AU1753&lt;=0,"Aussenlager","teilweise")))))</f>
        <v/>
      </c>
      <c r="BF1753" s="55" t="str">
        <f aca="false">IF(AX1753&lt;=0,"",IF(BY1753="Aussen","Aussenlager",IF(BY1753="-","Nicht im Lift",IF(BC1753&gt;=1,"Lift",IF(BC1753&lt;=0,"Aussenlager","teilweise")))))</f>
        <v/>
      </c>
      <c r="BG1753" s="55" t="str">
        <f aca="false">IF(A1753="","",IF(BP1753=1,"Neu; ","")&amp;IF(AND(BP1753=0,BK1753&lt;0),"negativer Bestand (Export "&amp;BK1753&amp;"); ","")&amp;IF(J1753&lt;=0,"Kein Verbrauch; ","")&amp;IF(CH1753&gt;0,"Lift "&amp;W1753&amp;" lt. Liftbericht (Fach "&amp;X1753&amp;" Stk); ",IF(BU1753=1,"Gebinde geschätzt ("&amp;T1753&amp;"); ",IF(BT1753=1,"Lose – Tablare geschätzt; ","")))&amp;IF(H1753&gt;AR1753,"Überbestand "&amp;ROUND(H1753-AR1753,0)&amp;" Stk / CHF "&amp;ROUND((H1753-AR1753)*G1753,0)&amp;"; ","")&amp;IF(AND(CA1753=1,CB1753&lt;CC1753),"MAX &lt; MB+LG; ","")&amp;IF(AND(CG1753&gt;0,CF1753*10&gt;CG1753),"zu hoch für Tablar; ","")&amp;IF(AND(BP1753=0,OR(CA1753=1,AA1753&lt;&gt;"",U1753&lt;&gt;"",V1753&lt;&gt;"",AB1753&lt;&gt;"")),"manuell übersteuert; ","")&amp;IF(AND(BT1753=0,R1753=0),"Gebinde unbekannt / Stellmass fehlt; ","")&amp;IF(AND(BT1753=0,N(V1753)&lt;=0,N(Q1753)&lt;=0),"Menge pro Gebinde fehlt (Ist = 1 Gebinde); ","")&amp;BO1753)</f>
        <v/>
      </c>
      <c r="BH1753" s="55"/>
      <c r="BI1753" s="55"/>
      <c r="BJ1753" s="62"/>
      <c r="BK1753" s="57" t="n">
        <f aca="false">N('Neue Artikel'!$D$14)</f>
        <v>0</v>
      </c>
      <c r="BL1753" s="57" t="n">
        <v>0</v>
      </c>
      <c r="BM1753" s="56" t="n">
        <v>0</v>
      </c>
      <c r="BN1753" s="57" t="n">
        <f aca="false">N('Neue Artikel'!$C$14)/Parameter!$B$18</f>
        <v>0</v>
      </c>
      <c r="BO1753" s="55"/>
      <c r="BP1753" s="60" t="n">
        <v>1</v>
      </c>
      <c r="BQ1753" s="60" t="n">
        <v>1753</v>
      </c>
      <c r="BR1753" s="55" t="str">
        <f aca="false">IF(U1753&lt;&gt;"",UPPER(TRIM(U1753)),IF(BU1753=1,UPPER(VLOOKUP(T1753,Parameter!$I$27:$K$29,2,0)),IF(P1753="","LOSE",P1753)))</f>
        <v>LOSE</v>
      </c>
      <c r="BS1753" s="57" t="n">
        <f aca="false">IF(BR1753="LOSE",1,IF(N(V1753)&gt;0,V1753,IF(BU1753=1,MAX(1,N(VLOOKUP(T1753,Parameter!$I$27:$K$29,3,0)),H1753,N(N1753)),IF(N(Q1753)&gt;0,Q1753,MAX(1,H1753)))))</f>
        <v>1</v>
      </c>
      <c r="BT1753" s="60" t="n">
        <f aca="false">IF(BR1753="LOSE",1,0)</f>
        <v>1</v>
      </c>
      <c r="BU1753" s="60" t="n">
        <f aca="false">IF(AND(U1753="",OR(P1753="",P1753="LOSE"),T1753&lt;&gt;"",N(S1753)&lt;=0,ISNUMBER(MATCH(T1753,Parameter!$I$27:$I$29,0))),1,0)</f>
        <v>0</v>
      </c>
      <c r="BV1753" s="55" t="str">
        <f aca="false">IF(AND(Parameter!$B$19="Ja",E1753&lt;&gt;"",ISNUMBER(MATCH(E1753,Parameter!$I$35:$I$52,0))),VLOOKUP(E1753,Parameter!$I$35:$J$52,2,0),IFERROR(VLOOKUP(D1753,Parameter!$A$35:$C$64,2,0),"Nein"))</f>
        <v>2+3</v>
      </c>
      <c r="BW1753" s="59" t="n">
        <f aca="false">IF(BT1753=0,0,IF(N(S1753)&gt;0,S1753,IFERROR(VLOOKUP(D1753,Parameter!$A$35:$C$64,3,0)+0,0)))</f>
        <v>0.15</v>
      </c>
      <c r="BX1753" s="55" t="str">
        <f aca="false">IF(AA1753&lt;&gt;"",AA1753,Z1753)</f>
        <v/>
      </c>
      <c r="BY1753" s="55" t="str">
        <f aca="false">IF(BX1753=1,"L1",IF(OR(BX1753=2,BX1753=3),"L23",IF(BX1753="Aussen","Aussen","-")))</f>
        <v>-</v>
      </c>
      <c r="BZ1753" s="66" t="n">
        <f aca="false">IF(N(AB1753)&gt;0,AB1753,0)</f>
        <v>0</v>
      </c>
      <c r="CA1753" s="60" t="n">
        <f aca="false">IF(ISNUMBER(AE1753),1,0)</f>
        <v>0</v>
      </c>
      <c r="CB1753" s="57" t="n">
        <f aca="false">N(AE1753)</f>
        <v>0</v>
      </c>
      <c r="CC1753" s="57" t="n">
        <f aca="false">N(M1753)+N(N1753)</f>
        <v>0</v>
      </c>
      <c r="CD1753" s="57" t="n">
        <f aca="false">ROUNDUP(H1753/BS1753,0)</f>
        <v>0</v>
      </c>
      <c r="CE1753" s="57" t="n">
        <f aca="false">ROUNDUP(CB1753/BS1753,0)</f>
        <v>0</v>
      </c>
      <c r="CF1753" s="60" t="n">
        <f aca="false">IF(BT1753=1,0,IFERROR(VLOOKUP(BR1753,'Gebinde-Kategorie'!$A$5:$M$45,5,0)+0,0))</f>
        <v>0</v>
      </c>
      <c r="CG1753" s="60" t="n">
        <f aca="false">IFERROR(IF(OR(BX1753=1,BX1753=2,BX1753=3),N(INDEX(Parameter!$I$5:$I$7,BX1753)),0),0)</f>
        <v>0</v>
      </c>
      <c r="CH1753" s="59" t="n">
        <f aca="false">IF(AND(Parameter!$B$21="Ja",ISNUMBER(W1753),N(X1753)&gt;0),IFERROR(N(INDEX(Parameter!$L$5:$L$7,W1753))*INDEX(Parameter!$E$5:$E$7,W1753)*X1753/SUMIFS($X$7:$X$1843,$W$7:$W$1843,W1753),0),0)</f>
        <v>0</v>
      </c>
    </row>
    <row r="1754" customFormat="false" ht="15" hidden="false" customHeight="false" outlineLevel="0" collapsed="false">
      <c r="A1754" s="55" t="str">
        <f aca="false">IF('Neue Artikel'!$A$15="","",'Neue Artikel'!$A$15&amp;"")</f>
        <v/>
      </c>
      <c r="B1754" s="55" t="str">
        <f aca="false">'Neue Artikel'!$B$15&amp;""</f>
        <v/>
      </c>
      <c r="C1754" s="55"/>
      <c r="D1754" s="55" t="s">
        <v>3015</v>
      </c>
      <c r="E1754" s="55"/>
      <c r="F1754" s="55"/>
      <c r="G1754" s="56" t="n">
        <f aca="false">N('Neue Artikel'!$G$15)</f>
        <v>0</v>
      </c>
      <c r="H1754" s="57" t="n">
        <f aca="false">MAX(0,IF(AND(Parameter!$B$21="Ja",ISNUMBER(Y1754)),Y1754,IF(Parameter!$B$20="Jahresanfang 2025 + Export",BL1754+BK1754,BK1754)))</f>
        <v>0</v>
      </c>
      <c r="I1754" s="57" t="n">
        <f aca="false">H1754*G1754</f>
        <v>0</v>
      </c>
      <c r="J1754" s="57" t="n">
        <f aca="false">BN1754*Parameter!$B$18</f>
        <v>0</v>
      </c>
      <c r="K1754" s="58"/>
      <c r="L1754" s="59"/>
      <c r="M1754" s="57" t="n">
        <f aca="false">N('Neue Artikel'!$E$15)</f>
        <v>0</v>
      </c>
      <c r="N1754" s="57" t="n">
        <f aca="false">N('Neue Artikel'!$F$15)</f>
        <v>0</v>
      </c>
      <c r="O1754" s="60"/>
      <c r="P1754" s="55" t="str">
        <f aca="false">IF('Neue Artikel'!$H$15="","LOSE",UPPER(TRIM('Neue Artikel'!$H$15)))</f>
        <v>LOSE</v>
      </c>
      <c r="Q1754" s="57" t="n">
        <f aca="false">N('Neue Artikel'!$I$15)</f>
        <v>0</v>
      </c>
      <c r="R1754" s="60" t="n">
        <f aca="false">IF(BT1754=1,0,IFERROR(VLOOKUP(BR1754,'Gebinde-Kategorie'!$A$5:$M$45,13,0)+0,0))</f>
        <v>0</v>
      </c>
      <c r="S1754" s="61"/>
      <c r="T1754" s="62"/>
      <c r="U1754" s="62"/>
      <c r="V1754" s="62"/>
      <c r="W1754" s="55"/>
      <c r="X1754" s="57"/>
      <c r="Y1754" s="57"/>
      <c r="Z1754" s="55" t="str">
        <f aca="false">IF(A1754="","",IF(AND(Parameter!$B$21="Ja",ISNUMBER(W1754)),W1754,IF(BV1754="2+3",IF(ISNUMBER(SEARCH("grosser Artikel",BO1754)),2,IFERROR(VLOOKUP(BR1754,Parameter!$F$35:$G$64,2,0),2)),IF(OR(BV1754="Nein",BV1754=""),"-",BV1754))))</f>
        <v/>
      </c>
      <c r="AA1754" s="55" t="str">
        <f aca="false">IF('Neue Artikel'!$J$15="","",'Neue Artikel'!$J$15)</f>
        <v/>
      </c>
      <c r="AB1754" s="63"/>
      <c r="AC1754" s="57" t="n">
        <f aca="false">AR1754</f>
        <v>0</v>
      </c>
      <c r="AD1754" s="57" t="n">
        <f aca="false">MAX(AR1754,H1754)</f>
        <v>0</v>
      </c>
      <c r="AE1754" s="64"/>
      <c r="AF1754" s="57" t="n">
        <f aca="false">IF(LEFT(Cockpit!$C$5,1)="A",H1754,IF(CA1754=1,CB1754,IF(LEFT(Cockpit!$C$5,1)="B",AJ1754,MAX(AJ1754,H1754))))</f>
        <v>0</v>
      </c>
      <c r="AG1754" s="57" t="n">
        <f aca="false">IF(BT1754=1,0,ROUNDUP(AF1754/BS1754,0))</f>
        <v>0</v>
      </c>
      <c r="AH1754" s="59" t="n">
        <f aca="false">IF(CH1754&gt;0,CH1754*MAX(1,AF1754/X1754),IF(BT1754=1,IF(AF1754&lt;=0,0,BW1754*MAX(1,IF(H1754&gt;0,AF1754/H1754,1))),IF(R1754&gt;0,AG1754/R1754,0))/MAX(0.1,N(Parameter!$M$21)))</f>
        <v>0</v>
      </c>
      <c r="AI1754" s="57" t="n">
        <f aca="false">AF1754*G1754</f>
        <v>0</v>
      </c>
      <c r="AJ1754" s="57" t="n">
        <f aca="false">ROUNDUP(MAX(J1754/IF(BZ1754&gt;0,BZ1754,MAX(0.1,N(Cockpit!$C$6))),CC1754)/BS1754,0)*BS1754</f>
        <v>0</v>
      </c>
      <c r="AK1754" s="58" t="n">
        <f aca="false">IF(AH1754&gt;0,J1754/AH1754,-1)</f>
        <v>-1</v>
      </c>
      <c r="AL1754" s="58" t="str">
        <f aca="false">IF(AND(OR(BY1754="L1",BY1754="L23"),AH1754&gt;0),SUMIFS($AH$7:$AH$1843,$BY$7:$BY$1843,BY1754,$AK$7:$AK$1843,"&gt;"&amp;AK1754)+SUMIFS($AH$7:$AH$1843,$BY$7:$BY$1843,BY1754,$AK$7:$AK$1843,AK1754,$BQ$7:$BQ$1843,"&lt;="&amp;BQ1754),"")</f>
        <v/>
      </c>
      <c r="AM1754" s="65" t="n">
        <f aca="false">IF(AL1754="",0,MAX(0,MIN(1,(IF(BY1754="L1",Parameter!$E$5,Parameter!$E$6+Parameter!$E$7)-(AL1754-AH1754))/AH1754)))</f>
        <v>0</v>
      </c>
      <c r="AN1754" s="57" t="n">
        <f aca="false">IF(LEFT(Cockpit!$I$5,1)="A",H1754,IF(CA1754=1,CB1754,IF(LEFT(Cockpit!$I$5,1)="B",AR1754,MAX(AR1754,H1754))))</f>
        <v>0</v>
      </c>
      <c r="AO1754" s="57" t="n">
        <f aca="false">IF(BT1754=1,0,ROUNDUP(AN1754/BS1754,0))</f>
        <v>0</v>
      </c>
      <c r="AP1754" s="59" t="n">
        <f aca="false">IF(CH1754&gt;0,CH1754*MAX(1,AN1754/X1754),IF(BT1754=1,IF(AN1754&lt;=0,0,BW1754*MAX(1,IF(H1754&gt;0,AN1754/H1754,1))),IF(R1754&gt;0,AO1754/R1754,0))/MAX(0.1,N(Parameter!$M$21)))</f>
        <v>0</v>
      </c>
      <c r="AQ1754" s="57" t="n">
        <f aca="false">AN1754*G1754</f>
        <v>0</v>
      </c>
      <c r="AR1754" s="57" t="n">
        <f aca="false">ROUNDUP(MAX(J1754/IF(BZ1754&gt;0,BZ1754,MAX(0.1,N(Cockpit!$I$6))),CC1754)/BS1754,0)*BS1754</f>
        <v>0</v>
      </c>
      <c r="AS1754" s="58" t="n">
        <f aca="false">IF(AP1754&gt;0,J1754/AP1754,-1)</f>
        <v>-1</v>
      </c>
      <c r="AT1754" s="58" t="str">
        <f aca="false">IF(AND(OR(BY1754="L1",BY1754="L23"),AP1754&gt;0),SUMIFS($AP$7:$AP$1843,$BY$7:$BY$1843,BY1754,$AS$7:$AS$1843,"&gt;"&amp;AS1754)+SUMIFS($AP$7:$AP$1843,$BY$7:$BY$1843,BY1754,$AS$7:$AS$1843,AS1754,$BQ$7:$BQ$1843,"&lt;="&amp;BQ1754),"")</f>
        <v/>
      </c>
      <c r="AU1754" s="65" t="n">
        <f aca="false">IF(AT1754="",0,MAX(0,MIN(1,(IF(BY1754="L1",Parameter!$E$5,Parameter!$E$6+Parameter!$E$7)-(AT1754-AP1754))/AP1754)))</f>
        <v>0</v>
      </c>
      <c r="AV1754" s="57" t="n">
        <f aca="false">IF(LEFT(Cockpit!$O$5,1)="A",H1754,IF(CA1754=1,CB1754,IF(LEFT(Cockpit!$O$5,1)="B",AZ1754,MAX(AZ1754,H1754))))</f>
        <v>0</v>
      </c>
      <c r="AW1754" s="57" t="n">
        <f aca="false">IF(BT1754=1,0,ROUNDUP(AV1754/BS1754,0))</f>
        <v>0</v>
      </c>
      <c r="AX1754" s="59" t="n">
        <f aca="false">IF(CH1754&gt;0,CH1754*MAX(1,AV1754/X1754),IF(BT1754=1,IF(AV1754&lt;=0,0,BW1754*MAX(1,IF(H1754&gt;0,AV1754/H1754,1))),IF(R1754&gt;0,AW1754/R1754,0))/MAX(0.1,N(Parameter!$M$21)))</f>
        <v>0</v>
      </c>
      <c r="AY1754" s="57" t="n">
        <f aca="false">AV1754*G1754</f>
        <v>0</v>
      </c>
      <c r="AZ1754" s="57" t="n">
        <f aca="false">ROUNDUP(MAX(J1754/IF(BZ1754&gt;0,BZ1754,MAX(0.1,N(Cockpit!$O$6))),CC1754)/BS1754,0)*BS1754</f>
        <v>0</v>
      </c>
      <c r="BA1754" s="58" t="n">
        <f aca="false">IF(AX1754&gt;0,J1754/AX1754,-1)</f>
        <v>-1</v>
      </c>
      <c r="BB1754" s="58" t="str">
        <f aca="false">IF(AND(OR(BY1754="L1",BY1754="L23"),AX1754&gt;0),SUMIFS($AX$7:$AX$1843,$BY$7:$BY$1843,BY1754,$BA$7:$BA$1843,"&gt;"&amp;BA1754)+SUMIFS($AX$7:$AX$1843,$BY$7:$BY$1843,BY1754,$BA$7:$BA$1843,BA1754,$BQ$7:$BQ$1843,"&lt;="&amp;BQ1754),"")</f>
        <v/>
      </c>
      <c r="BC1754" s="65" t="n">
        <f aca="false">IF(BB1754="",0,MAX(0,MIN(1,(IF(BY1754="L1",Parameter!$E$5,Parameter!$E$6+Parameter!$E$7)-(BB1754-AX1754))/AX1754)))</f>
        <v>0</v>
      </c>
      <c r="BD1754" s="55" t="str">
        <f aca="false">IF(AH1754&lt;=0,"",IF(BY1754="Aussen","Aussenlager",IF(BY1754="-","Nicht im Lift",IF(AM1754&gt;=1,"Lift",IF(AM1754&lt;=0,"Aussenlager","teilweise")))))</f>
        <v/>
      </c>
      <c r="BE1754" s="55" t="str">
        <f aca="false">IF(AP1754&lt;=0,"",IF(BY1754="Aussen","Aussenlager",IF(BY1754="-","Nicht im Lift",IF(AU1754&gt;=1,"Lift",IF(AU1754&lt;=0,"Aussenlager","teilweise")))))</f>
        <v/>
      </c>
      <c r="BF1754" s="55" t="str">
        <f aca="false">IF(AX1754&lt;=0,"",IF(BY1754="Aussen","Aussenlager",IF(BY1754="-","Nicht im Lift",IF(BC1754&gt;=1,"Lift",IF(BC1754&lt;=0,"Aussenlager","teilweise")))))</f>
        <v/>
      </c>
      <c r="BG1754" s="55" t="str">
        <f aca="false">IF(A1754="","",IF(BP1754=1,"Neu; ","")&amp;IF(AND(BP1754=0,BK1754&lt;0),"negativer Bestand (Export "&amp;BK1754&amp;"); ","")&amp;IF(J1754&lt;=0,"Kein Verbrauch; ","")&amp;IF(CH1754&gt;0,"Lift "&amp;W1754&amp;" lt. Liftbericht (Fach "&amp;X1754&amp;" Stk); ",IF(BU1754=1,"Gebinde geschätzt ("&amp;T1754&amp;"); ",IF(BT1754=1,"Lose – Tablare geschätzt; ","")))&amp;IF(H1754&gt;AR1754,"Überbestand "&amp;ROUND(H1754-AR1754,0)&amp;" Stk / CHF "&amp;ROUND((H1754-AR1754)*G1754,0)&amp;"; ","")&amp;IF(AND(CA1754=1,CB1754&lt;CC1754),"MAX &lt; MB+LG; ","")&amp;IF(AND(CG1754&gt;0,CF1754*10&gt;CG1754),"zu hoch für Tablar; ","")&amp;IF(AND(BP1754=0,OR(CA1754=1,AA1754&lt;&gt;"",U1754&lt;&gt;"",V1754&lt;&gt;"",AB1754&lt;&gt;"")),"manuell übersteuert; ","")&amp;IF(AND(BT1754=0,R1754=0),"Gebinde unbekannt / Stellmass fehlt; ","")&amp;IF(AND(BT1754=0,N(V1754)&lt;=0,N(Q1754)&lt;=0),"Menge pro Gebinde fehlt (Ist = 1 Gebinde); ","")&amp;BO1754)</f>
        <v/>
      </c>
      <c r="BH1754" s="55"/>
      <c r="BI1754" s="55"/>
      <c r="BJ1754" s="62"/>
      <c r="BK1754" s="57" t="n">
        <f aca="false">N('Neue Artikel'!$D$15)</f>
        <v>0</v>
      </c>
      <c r="BL1754" s="57" t="n">
        <v>0</v>
      </c>
      <c r="BM1754" s="56" t="n">
        <v>0</v>
      </c>
      <c r="BN1754" s="57" t="n">
        <f aca="false">N('Neue Artikel'!$C$15)/Parameter!$B$18</f>
        <v>0</v>
      </c>
      <c r="BO1754" s="55"/>
      <c r="BP1754" s="60" t="n">
        <v>1</v>
      </c>
      <c r="BQ1754" s="60" t="n">
        <v>1754</v>
      </c>
      <c r="BR1754" s="55" t="str">
        <f aca="false">IF(U1754&lt;&gt;"",UPPER(TRIM(U1754)),IF(BU1754=1,UPPER(VLOOKUP(T1754,Parameter!$I$27:$K$29,2,0)),IF(P1754="","LOSE",P1754)))</f>
        <v>LOSE</v>
      </c>
      <c r="BS1754" s="57" t="n">
        <f aca="false">IF(BR1754="LOSE",1,IF(N(V1754)&gt;0,V1754,IF(BU1754=1,MAX(1,N(VLOOKUP(T1754,Parameter!$I$27:$K$29,3,0)),H1754,N(N1754)),IF(N(Q1754)&gt;0,Q1754,MAX(1,H1754)))))</f>
        <v>1</v>
      </c>
      <c r="BT1754" s="60" t="n">
        <f aca="false">IF(BR1754="LOSE",1,0)</f>
        <v>1</v>
      </c>
      <c r="BU1754" s="60" t="n">
        <f aca="false">IF(AND(U1754="",OR(P1754="",P1754="LOSE"),T1754&lt;&gt;"",N(S1754)&lt;=0,ISNUMBER(MATCH(T1754,Parameter!$I$27:$I$29,0))),1,0)</f>
        <v>0</v>
      </c>
      <c r="BV1754" s="55" t="str">
        <f aca="false">IF(AND(Parameter!$B$19="Ja",E1754&lt;&gt;"",ISNUMBER(MATCH(E1754,Parameter!$I$35:$I$52,0))),VLOOKUP(E1754,Parameter!$I$35:$J$52,2,0),IFERROR(VLOOKUP(D1754,Parameter!$A$35:$C$64,2,0),"Nein"))</f>
        <v>2+3</v>
      </c>
      <c r="BW1754" s="59" t="n">
        <f aca="false">IF(BT1754=0,0,IF(N(S1754)&gt;0,S1754,IFERROR(VLOOKUP(D1754,Parameter!$A$35:$C$64,3,0)+0,0)))</f>
        <v>0.15</v>
      </c>
      <c r="BX1754" s="55" t="str">
        <f aca="false">IF(AA1754&lt;&gt;"",AA1754,Z1754)</f>
        <v/>
      </c>
      <c r="BY1754" s="55" t="str">
        <f aca="false">IF(BX1754=1,"L1",IF(OR(BX1754=2,BX1754=3),"L23",IF(BX1754="Aussen","Aussen","-")))</f>
        <v>-</v>
      </c>
      <c r="BZ1754" s="66" t="n">
        <f aca="false">IF(N(AB1754)&gt;0,AB1754,0)</f>
        <v>0</v>
      </c>
      <c r="CA1754" s="60" t="n">
        <f aca="false">IF(ISNUMBER(AE1754),1,0)</f>
        <v>0</v>
      </c>
      <c r="CB1754" s="57" t="n">
        <f aca="false">N(AE1754)</f>
        <v>0</v>
      </c>
      <c r="CC1754" s="57" t="n">
        <f aca="false">N(M1754)+N(N1754)</f>
        <v>0</v>
      </c>
      <c r="CD1754" s="57" t="n">
        <f aca="false">ROUNDUP(H1754/BS1754,0)</f>
        <v>0</v>
      </c>
      <c r="CE1754" s="57" t="n">
        <f aca="false">ROUNDUP(CB1754/BS1754,0)</f>
        <v>0</v>
      </c>
      <c r="CF1754" s="60" t="n">
        <f aca="false">IF(BT1754=1,0,IFERROR(VLOOKUP(BR1754,'Gebinde-Kategorie'!$A$5:$M$45,5,0)+0,0))</f>
        <v>0</v>
      </c>
      <c r="CG1754" s="60" t="n">
        <f aca="false">IFERROR(IF(OR(BX1754=1,BX1754=2,BX1754=3),N(INDEX(Parameter!$I$5:$I$7,BX1754)),0),0)</f>
        <v>0</v>
      </c>
      <c r="CH1754" s="59" t="n">
        <f aca="false">IF(AND(Parameter!$B$21="Ja",ISNUMBER(W1754),N(X1754)&gt;0),IFERROR(N(INDEX(Parameter!$L$5:$L$7,W1754))*INDEX(Parameter!$E$5:$E$7,W1754)*X1754/SUMIFS($X$7:$X$1843,$W$7:$W$1843,W1754),0),0)</f>
        <v>0</v>
      </c>
    </row>
    <row r="1755" customFormat="false" ht="15" hidden="false" customHeight="false" outlineLevel="0" collapsed="false">
      <c r="A1755" s="55" t="str">
        <f aca="false">IF('Neue Artikel'!$A$16="","",'Neue Artikel'!$A$16&amp;"")</f>
        <v/>
      </c>
      <c r="B1755" s="55" t="str">
        <f aca="false">'Neue Artikel'!$B$16&amp;""</f>
        <v/>
      </c>
      <c r="C1755" s="55"/>
      <c r="D1755" s="55" t="s">
        <v>3015</v>
      </c>
      <c r="E1755" s="55"/>
      <c r="F1755" s="55"/>
      <c r="G1755" s="56" t="n">
        <f aca="false">N('Neue Artikel'!$G$16)</f>
        <v>0</v>
      </c>
      <c r="H1755" s="57" t="n">
        <f aca="false">MAX(0,IF(AND(Parameter!$B$21="Ja",ISNUMBER(Y1755)),Y1755,IF(Parameter!$B$20="Jahresanfang 2025 + Export",BL1755+BK1755,BK1755)))</f>
        <v>0</v>
      </c>
      <c r="I1755" s="57" t="n">
        <f aca="false">H1755*G1755</f>
        <v>0</v>
      </c>
      <c r="J1755" s="57" t="n">
        <f aca="false">BN1755*Parameter!$B$18</f>
        <v>0</v>
      </c>
      <c r="K1755" s="58"/>
      <c r="L1755" s="59"/>
      <c r="M1755" s="57" t="n">
        <f aca="false">N('Neue Artikel'!$E$16)</f>
        <v>0</v>
      </c>
      <c r="N1755" s="57" t="n">
        <f aca="false">N('Neue Artikel'!$F$16)</f>
        <v>0</v>
      </c>
      <c r="O1755" s="60"/>
      <c r="P1755" s="55" t="str">
        <f aca="false">IF('Neue Artikel'!$H$16="","LOSE",UPPER(TRIM('Neue Artikel'!$H$16)))</f>
        <v>LOSE</v>
      </c>
      <c r="Q1755" s="57" t="n">
        <f aca="false">N('Neue Artikel'!$I$16)</f>
        <v>0</v>
      </c>
      <c r="R1755" s="60" t="n">
        <f aca="false">IF(BT1755=1,0,IFERROR(VLOOKUP(BR1755,'Gebinde-Kategorie'!$A$5:$M$45,13,0)+0,0))</f>
        <v>0</v>
      </c>
      <c r="S1755" s="61"/>
      <c r="T1755" s="62"/>
      <c r="U1755" s="62"/>
      <c r="V1755" s="62"/>
      <c r="W1755" s="55"/>
      <c r="X1755" s="57"/>
      <c r="Y1755" s="57"/>
      <c r="Z1755" s="55" t="str">
        <f aca="false">IF(A1755="","",IF(AND(Parameter!$B$21="Ja",ISNUMBER(W1755)),W1755,IF(BV1755="2+3",IF(ISNUMBER(SEARCH("grosser Artikel",BO1755)),2,IFERROR(VLOOKUP(BR1755,Parameter!$F$35:$G$64,2,0),2)),IF(OR(BV1755="Nein",BV1755=""),"-",BV1755))))</f>
        <v/>
      </c>
      <c r="AA1755" s="55" t="str">
        <f aca="false">IF('Neue Artikel'!$J$16="","",'Neue Artikel'!$J$16)</f>
        <v/>
      </c>
      <c r="AB1755" s="63"/>
      <c r="AC1755" s="57" t="n">
        <f aca="false">AR1755</f>
        <v>0</v>
      </c>
      <c r="AD1755" s="57" t="n">
        <f aca="false">MAX(AR1755,H1755)</f>
        <v>0</v>
      </c>
      <c r="AE1755" s="64"/>
      <c r="AF1755" s="57" t="n">
        <f aca="false">IF(LEFT(Cockpit!$C$5,1)="A",H1755,IF(CA1755=1,CB1755,IF(LEFT(Cockpit!$C$5,1)="B",AJ1755,MAX(AJ1755,H1755))))</f>
        <v>0</v>
      </c>
      <c r="AG1755" s="57" t="n">
        <f aca="false">IF(BT1755=1,0,ROUNDUP(AF1755/BS1755,0))</f>
        <v>0</v>
      </c>
      <c r="AH1755" s="59" t="n">
        <f aca="false">IF(CH1755&gt;0,CH1755*MAX(1,AF1755/X1755),IF(BT1755=1,IF(AF1755&lt;=0,0,BW1755*MAX(1,IF(H1755&gt;0,AF1755/H1755,1))),IF(R1755&gt;0,AG1755/R1755,0))/MAX(0.1,N(Parameter!$M$21)))</f>
        <v>0</v>
      </c>
      <c r="AI1755" s="57" t="n">
        <f aca="false">AF1755*G1755</f>
        <v>0</v>
      </c>
      <c r="AJ1755" s="57" t="n">
        <f aca="false">ROUNDUP(MAX(J1755/IF(BZ1755&gt;0,BZ1755,MAX(0.1,N(Cockpit!$C$6))),CC1755)/BS1755,0)*BS1755</f>
        <v>0</v>
      </c>
      <c r="AK1755" s="58" t="n">
        <f aca="false">IF(AH1755&gt;0,J1755/AH1755,-1)</f>
        <v>-1</v>
      </c>
      <c r="AL1755" s="58" t="str">
        <f aca="false">IF(AND(OR(BY1755="L1",BY1755="L23"),AH1755&gt;0),SUMIFS($AH$7:$AH$1843,$BY$7:$BY$1843,BY1755,$AK$7:$AK$1843,"&gt;"&amp;AK1755)+SUMIFS($AH$7:$AH$1843,$BY$7:$BY$1843,BY1755,$AK$7:$AK$1843,AK1755,$BQ$7:$BQ$1843,"&lt;="&amp;BQ1755),"")</f>
        <v/>
      </c>
      <c r="AM1755" s="65" t="n">
        <f aca="false">IF(AL1755="",0,MAX(0,MIN(1,(IF(BY1755="L1",Parameter!$E$5,Parameter!$E$6+Parameter!$E$7)-(AL1755-AH1755))/AH1755)))</f>
        <v>0</v>
      </c>
      <c r="AN1755" s="57" t="n">
        <f aca="false">IF(LEFT(Cockpit!$I$5,1)="A",H1755,IF(CA1755=1,CB1755,IF(LEFT(Cockpit!$I$5,1)="B",AR1755,MAX(AR1755,H1755))))</f>
        <v>0</v>
      </c>
      <c r="AO1755" s="57" t="n">
        <f aca="false">IF(BT1755=1,0,ROUNDUP(AN1755/BS1755,0))</f>
        <v>0</v>
      </c>
      <c r="AP1755" s="59" t="n">
        <f aca="false">IF(CH1755&gt;0,CH1755*MAX(1,AN1755/X1755),IF(BT1755=1,IF(AN1755&lt;=0,0,BW1755*MAX(1,IF(H1755&gt;0,AN1755/H1755,1))),IF(R1755&gt;0,AO1755/R1755,0))/MAX(0.1,N(Parameter!$M$21)))</f>
        <v>0</v>
      </c>
      <c r="AQ1755" s="57" t="n">
        <f aca="false">AN1755*G1755</f>
        <v>0</v>
      </c>
      <c r="AR1755" s="57" t="n">
        <f aca="false">ROUNDUP(MAX(J1755/IF(BZ1755&gt;0,BZ1755,MAX(0.1,N(Cockpit!$I$6))),CC1755)/BS1755,0)*BS1755</f>
        <v>0</v>
      </c>
      <c r="AS1755" s="58" t="n">
        <f aca="false">IF(AP1755&gt;0,J1755/AP1755,-1)</f>
        <v>-1</v>
      </c>
      <c r="AT1755" s="58" t="str">
        <f aca="false">IF(AND(OR(BY1755="L1",BY1755="L23"),AP1755&gt;0),SUMIFS($AP$7:$AP$1843,$BY$7:$BY$1843,BY1755,$AS$7:$AS$1843,"&gt;"&amp;AS1755)+SUMIFS($AP$7:$AP$1843,$BY$7:$BY$1843,BY1755,$AS$7:$AS$1843,AS1755,$BQ$7:$BQ$1843,"&lt;="&amp;BQ1755),"")</f>
        <v/>
      </c>
      <c r="AU1755" s="65" t="n">
        <f aca="false">IF(AT1755="",0,MAX(0,MIN(1,(IF(BY1755="L1",Parameter!$E$5,Parameter!$E$6+Parameter!$E$7)-(AT1755-AP1755))/AP1755)))</f>
        <v>0</v>
      </c>
      <c r="AV1755" s="57" t="n">
        <f aca="false">IF(LEFT(Cockpit!$O$5,1)="A",H1755,IF(CA1755=1,CB1755,IF(LEFT(Cockpit!$O$5,1)="B",AZ1755,MAX(AZ1755,H1755))))</f>
        <v>0</v>
      </c>
      <c r="AW1755" s="57" t="n">
        <f aca="false">IF(BT1755=1,0,ROUNDUP(AV1755/BS1755,0))</f>
        <v>0</v>
      </c>
      <c r="AX1755" s="59" t="n">
        <f aca="false">IF(CH1755&gt;0,CH1755*MAX(1,AV1755/X1755),IF(BT1755=1,IF(AV1755&lt;=0,0,BW1755*MAX(1,IF(H1755&gt;0,AV1755/H1755,1))),IF(R1755&gt;0,AW1755/R1755,0))/MAX(0.1,N(Parameter!$M$21)))</f>
        <v>0</v>
      </c>
      <c r="AY1755" s="57" t="n">
        <f aca="false">AV1755*G1755</f>
        <v>0</v>
      </c>
      <c r="AZ1755" s="57" t="n">
        <f aca="false">ROUNDUP(MAX(J1755/IF(BZ1755&gt;0,BZ1755,MAX(0.1,N(Cockpit!$O$6))),CC1755)/BS1755,0)*BS1755</f>
        <v>0</v>
      </c>
      <c r="BA1755" s="58" t="n">
        <f aca="false">IF(AX1755&gt;0,J1755/AX1755,-1)</f>
        <v>-1</v>
      </c>
      <c r="BB1755" s="58" t="str">
        <f aca="false">IF(AND(OR(BY1755="L1",BY1755="L23"),AX1755&gt;0),SUMIFS($AX$7:$AX$1843,$BY$7:$BY$1843,BY1755,$BA$7:$BA$1843,"&gt;"&amp;BA1755)+SUMIFS($AX$7:$AX$1843,$BY$7:$BY$1843,BY1755,$BA$7:$BA$1843,BA1755,$BQ$7:$BQ$1843,"&lt;="&amp;BQ1755),"")</f>
        <v/>
      </c>
      <c r="BC1755" s="65" t="n">
        <f aca="false">IF(BB1755="",0,MAX(0,MIN(1,(IF(BY1755="L1",Parameter!$E$5,Parameter!$E$6+Parameter!$E$7)-(BB1755-AX1755))/AX1755)))</f>
        <v>0</v>
      </c>
      <c r="BD1755" s="55" t="str">
        <f aca="false">IF(AH1755&lt;=0,"",IF(BY1755="Aussen","Aussenlager",IF(BY1755="-","Nicht im Lift",IF(AM1755&gt;=1,"Lift",IF(AM1755&lt;=0,"Aussenlager","teilweise")))))</f>
        <v/>
      </c>
      <c r="BE1755" s="55" t="str">
        <f aca="false">IF(AP1755&lt;=0,"",IF(BY1755="Aussen","Aussenlager",IF(BY1755="-","Nicht im Lift",IF(AU1755&gt;=1,"Lift",IF(AU1755&lt;=0,"Aussenlager","teilweise")))))</f>
        <v/>
      </c>
      <c r="BF1755" s="55" t="str">
        <f aca="false">IF(AX1755&lt;=0,"",IF(BY1755="Aussen","Aussenlager",IF(BY1755="-","Nicht im Lift",IF(BC1755&gt;=1,"Lift",IF(BC1755&lt;=0,"Aussenlager","teilweise")))))</f>
        <v/>
      </c>
      <c r="BG1755" s="55" t="str">
        <f aca="false">IF(A1755="","",IF(BP1755=1,"Neu; ","")&amp;IF(AND(BP1755=0,BK1755&lt;0),"negativer Bestand (Export "&amp;BK1755&amp;"); ","")&amp;IF(J1755&lt;=0,"Kein Verbrauch; ","")&amp;IF(CH1755&gt;0,"Lift "&amp;W1755&amp;" lt. Liftbericht (Fach "&amp;X1755&amp;" Stk); ",IF(BU1755=1,"Gebinde geschätzt ("&amp;T1755&amp;"); ",IF(BT1755=1,"Lose – Tablare geschätzt; ","")))&amp;IF(H1755&gt;AR1755,"Überbestand "&amp;ROUND(H1755-AR1755,0)&amp;" Stk / CHF "&amp;ROUND((H1755-AR1755)*G1755,0)&amp;"; ","")&amp;IF(AND(CA1755=1,CB1755&lt;CC1755),"MAX &lt; MB+LG; ","")&amp;IF(AND(CG1755&gt;0,CF1755*10&gt;CG1755),"zu hoch für Tablar; ","")&amp;IF(AND(BP1755=0,OR(CA1755=1,AA1755&lt;&gt;"",U1755&lt;&gt;"",V1755&lt;&gt;"",AB1755&lt;&gt;"")),"manuell übersteuert; ","")&amp;IF(AND(BT1755=0,R1755=0),"Gebinde unbekannt / Stellmass fehlt; ","")&amp;IF(AND(BT1755=0,N(V1755)&lt;=0,N(Q1755)&lt;=0),"Menge pro Gebinde fehlt (Ist = 1 Gebinde); ","")&amp;BO1755)</f>
        <v/>
      </c>
      <c r="BH1755" s="55"/>
      <c r="BI1755" s="55"/>
      <c r="BJ1755" s="62"/>
      <c r="BK1755" s="57" t="n">
        <f aca="false">N('Neue Artikel'!$D$16)</f>
        <v>0</v>
      </c>
      <c r="BL1755" s="57" t="n">
        <v>0</v>
      </c>
      <c r="BM1755" s="56" t="n">
        <v>0</v>
      </c>
      <c r="BN1755" s="57" t="n">
        <f aca="false">N('Neue Artikel'!$C$16)/Parameter!$B$18</f>
        <v>0</v>
      </c>
      <c r="BO1755" s="55"/>
      <c r="BP1755" s="60" t="n">
        <v>1</v>
      </c>
      <c r="BQ1755" s="60" t="n">
        <v>1755</v>
      </c>
      <c r="BR1755" s="55" t="str">
        <f aca="false">IF(U1755&lt;&gt;"",UPPER(TRIM(U1755)),IF(BU1755=1,UPPER(VLOOKUP(T1755,Parameter!$I$27:$K$29,2,0)),IF(P1755="","LOSE",P1755)))</f>
        <v>LOSE</v>
      </c>
      <c r="BS1755" s="57" t="n">
        <f aca="false">IF(BR1755="LOSE",1,IF(N(V1755)&gt;0,V1755,IF(BU1755=1,MAX(1,N(VLOOKUP(T1755,Parameter!$I$27:$K$29,3,0)),H1755,N(N1755)),IF(N(Q1755)&gt;0,Q1755,MAX(1,H1755)))))</f>
        <v>1</v>
      </c>
      <c r="BT1755" s="60" t="n">
        <f aca="false">IF(BR1755="LOSE",1,0)</f>
        <v>1</v>
      </c>
      <c r="BU1755" s="60" t="n">
        <f aca="false">IF(AND(U1755="",OR(P1755="",P1755="LOSE"),T1755&lt;&gt;"",N(S1755)&lt;=0,ISNUMBER(MATCH(T1755,Parameter!$I$27:$I$29,0))),1,0)</f>
        <v>0</v>
      </c>
      <c r="BV1755" s="55" t="str">
        <f aca="false">IF(AND(Parameter!$B$19="Ja",E1755&lt;&gt;"",ISNUMBER(MATCH(E1755,Parameter!$I$35:$I$52,0))),VLOOKUP(E1755,Parameter!$I$35:$J$52,2,0),IFERROR(VLOOKUP(D1755,Parameter!$A$35:$C$64,2,0),"Nein"))</f>
        <v>2+3</v>
      </c>
      <c r="BW1755" s="59" t="n">
        <f aca="false">IF(BT1755=0,0,IF(N(S1755)&gt;0,S1755,IFERROR(VLOOKUP(D1755,Parameter!$A$35:$C$64,3,0)+0,0)))</f>
        <v>0.15</v>
      </c>
      <c r="BX1755" s="55" t="str">
        <f aca="false">IF(AA1755&lt;&gt;"",AA1755,Z1755)</f>
        <v/>
      </c>
      <c r="BY1755" s="55" t="str">
        <f aca="false">IF(BX1755=1,"L1",IF(OR(BX1755=2,BX1755=3),"L23",IF(BX1755="Aussen","Aussen","-")))</f>
        <v>-</v>
      </c>
      <c r="BZ1755" s="66" t="n">
        <f aca="false">IF(N(AB1755)&gt;0,AB1755,0)</f>
        <v>0</v>
      </c>
      <c r="CA1755" s="60" t="n">
        <f aca="false">IF(ISNUMBER(AE1755),1,0)</f>
        <v>0</v>
      </c>
      <c r="CB1755" s="57" t="n">
        <f aca="false">N(AE1755)</f>
        <v>0</v>
      </c>
      <c r="CC1755" s="57" t="n">
        <f aca="false">N(M1755)+N(N1755)</f>
        <v>0</v>
      </c>
      <c r="CD1755" s="57" t="n">
        <f aca="false">ROUNDUP(H1755/BS1755,0)</f>
        <v>0</v>
      </c>
      <c r="CE1755" s="57" t="n">
        <f aca="false">ROUNDUP(CB1755/BS1755,0)</f>
        <v>0</v>
      </c>
      <c r="CF1755" s="60" t="n">
        <f aca="false">IF(BT1755=1,0,IFERROR(VLOOKUP(BR1755,'Gebinde-Kategorie'!$A$5:$M$45,5,0)+0,0))</f>
        <v>0</v>
      </c>
      <c r="CG1755" s="60" t="n">
        <f aca="false">IFERROR(IF(OR(BX1755=1,BX1755=2,BX1755=3),N(INDEX(Parameter!$I$5:$I$7,BX1755)),0),0)</f>
        <v>0</v>
      </c>
      <c r="CH1755" s="59" t="n">
        <f aca="false">IF(AND(Parameter!$B$21="Ja",ISNUMBER(W1755),N(X1755)&gt;0),IFERROR(N(INDEX(Parameter!$L$5:$L$7,W1755))*INDEX(Parameter!$E$5:$E$7,W1755)*X1755/SUMIFS($X$7:$X$1843,$W$7:$W$1843,W1755),0),0)</f>
        <v>0</v>
      </c>
    </row>
    <row r="1756" customFormat="false" ht="15" hidden="false" customHeight="false" outlineLevel="0" collapsed="false">
      <c r="A1756" s="55" t="str">
        <f aca="false">IF('Neue Artikel'!$A$17="","",'Neue Artikel'!$A$17&amp;"")</f>
        <v/>
      </c>
      <c r="B1756" s="55" t="str">
        <f aca="false">'Neue Artikel'!$B$17&amp;""</f>
        <v/>
      </c>
      <c r="C1756" s="55"/>
      <c r="D1756" s="55" t="s">
        <v>3015</v>
      </c>
      <c r="E1756" s="55"/>
      <c r="F1756" s="55"/>
      <c r="G1756" s="56" t="n">
        <f aca="false">N('Neue Artikel'!$G$17)</f>
        <v>0</v>
      </c>
      <c r="H1756" s="57" t="n">
        <f aca="false">MAX(0,IF(AND(Parameter!$B$21="Ja",ISNUMBER(Y1756)),Y1756,IF(Parameter!$B$20="Jahresanfang 2025 + Export",BL1756+BK1756,BK1756)))</f>
        <v>0</v>
      </c>
      <c r="I1756" s="57" t="n">
        <f aca="false">H1756*G1756</f>
        <v>0</v>
      </c>
      <c r="J1756" s="57" t="n">
        <f aca="false">BN1756*Parameter!$B$18</f>
        <v>0</v>
      </c>
      <c r="K1756" s="58"/>
      <c r="L1756" s="59"/>
      <c r="M1756" s="57" t="n">
        <f aca="false">N('Neue Artikel'!$E$17)</f>
        <v>0</v>
      </c>
      <c r="N1756" s="57" t="n">
        <f aca="false">N('Neue Artikel'!$F$17)</f>
        <v>0</v>
      </c>
      <c r="O1756" s="60"/>
      <c r="P1756" s="55" t="str">
        <f aca="false">IF('Neue Artikel'!$H$17="","LOSE",UPPER(TRIM('Neue Artikel'!$H$17)))</f>
        <v>LOSE</v>
      </c>
      <c r="Q1756" s="57" t="n">
        <f aca="false">N('Neue Artikel'!$I$17)</f>
        <v>0</v>
      </c>
      <c r="R1756" s="60" t="n">
        <f aca="false">IF(BT1756=1,0,IFERROR(VLOOKUP(BR1756,'Gebinde-Kategorie'!$A$5:$M$45,13,0)+0,0))</f>
        <v>0</v>
      </c>
      <c r="S1756" s="61"/>
      <c r="T1756" s="62"/>
      <c r="U1756" s="62"/>
      <c r="V1756" s="62"/>
      <c r="W1756" s="55"/>
      <c r="X1756" s="57"/>
      <c r="Y1756" s="57"/>
      <c r="Z1756" s="55" t="str">
        <f aca="false">IF(A1756="","",IF(AND(Parameter!$B$21="Ja",ISNUMBER(W1756)),W1756,IF(BV1756="2+3",IF(ISNUMBER(SEARCH("grosser Artikel",BO1756)),2,IFERROR(VLOOKUP(BR1756,Parameter!$F$35:$G$64,2,0),2)),IF(OR(BV1756="Nein",BV1756=""),"-",BV1756))))</f>
        <v/>
      </c>
      <c r="AA1756" s="55" t="str">
        <f aca="false">IF('Neue Artikel'!$J$17="","",'Neue Artikel'!$J$17)</f>
        <v/>
      </c>
      <c r="AB1756" s="63"/>
      <c r="AC1756" s="57" t="n">
        <f aca="false">AR1756</f>
        <v>0</v>
      </c>
      <c r="AD1756" s="57" t="n">
        <f aca="false">MAX(AR1756,H1756)</f>
        <v>0</v>
      </c>
      <c r="AE1756" s="64"/>
      <c r="AF1756" s="57" t="n">
        <f aca="false">IF(LEFT(Cockpit!$C$5,1)="A",H1756,IF(CA1756=1,CB1756,IF(LEFT(Cockpit!$C$5,1)="B",AJ1756,MAX(AJ1756,H1756))))</f>
        <v>0</v>
      </c>
      <c r="AG1756" s="57" t="n">
        <f aca="false">IF(BT1756=1,0,ROUNDUP(AF1756/BS1756,0))</f>
        <v>0</v>
      </c>
      <c r="AH1756" s="59" t="n">
        <f aca="false">IF(CH1756&gt;0,CH1756*MAX(1,AF1756/X1756),IF(BT1756=1,IF(AF1756&lt;=0,0,BW1756*MAX(1,IF(H1756&gt;0,AF1756/H1756,1))),IF(R1756&gt;0,AG1756/R1756,0))/MAX(0.1,N(Parameter!$M$21)))</f>
        <v>0</v>
      </c>
      <c r="AI1756" s="57" t="n">
        <f aca="false">AF1756*G1756</f>
        <v>0</v>
      </c>
      <c r="AJ1756" s="57" t="n">
        <f aca="false">ROUNDUP(MAX(J1756/IF(BZ1756&gt;0,BZ1756,MAX(0.1,N(Cockpit!$C$6))),CC1756)/BS1756,0)*BS1756</f>
        <v>0</v>
      </c>
      <c r="AK1756" s="58" t="n">
        <f aca="false">IF(AH1756&gt;0,J1756/AH1756,-1)</f>
        <v>-1</v>
      </c>
      <c r="AL1756" s="58" t="str">
        <f aca="false">IF(AND(OR(BY1756="L1",BY1756="L23"),AH1756&gt;0),SUMIFS($AH$7:$AH$1843,$BY$7:$BY$1843,BY1756,$AK$7:$AK$1843,"&gt;"&amp;AK1756)+SUMIFS($AH$7:$AH$1843,$BY$7:$BY$1843,BY1756,$AK$7:$AK$1843,AK1756,$BQ$7:$BQ$1843,"&lt;="&amp;BQ1756),"")</f>
        <v/>
      </c>
      <c r="AM1756" s="65" t="n">
        <f aca="false">IF(AL1756="",0,MAX(0,MIN(1,(IF(BY1756="L1",Parameter!$E$5,Parameter!$E$6+Parameter!$E$7)-(AL1756-AH1756))/AH1756)))</f>
        <v>0</v>
      </c>
      <c r="AN1756" s="57" t="n">
        <f aca="false">IF(LEFT(Cockpit!$I$5,1)="A",H1756,IF(CA1756=1,CB1756,IF(LEFT(Cockpit!$I$5,1)="B",AR1756,MAX(AR1756,H1756))))</f>
        <v>0</v>
      </c>
      <c r="AO1756" s="57" t="n">
        <f aca="false">IF(BT1756=1,0,ROUNDUP(AN1756/BS1756,0))</f>
        <v>0</v>
      </c>
      <c r="AP1756" s="59" t="n">
        <f aca="false">IF(CH1756&gt;0,CH1756*MAX(1,AN1756/X1756),IF(BT1756=1,IF(AN1756&lt;=0,0,BW1756*MAX(1,IF(H1756&gt;0,AN1756/H1756,1))),IF(R1756&gt;0,AO1756/R1756,0))/MAX(0.1,N(Parameter!$M$21)))</f>
        <v>0</v>
      </c>
      <c r="AQ1756" s="57" t="n">
        <f aca="false">AN1756*G1756</f>
        <v>0</v>
      </c>
      <c r="AR1756" s="57" t="n">
        <f aca="false">ROUNDUP(MAX(J1756/IF(BZ1756&gt;0,BZ1756,MAX(0.1,N(Cockpit!$I$6))),CC1756)/BS1756,0)*BS1756</f>
        <v>0</v>
      </c>
      <c r="AS1756" s="58" t="n">
        <f aca="false">IF(AP1756&gt;0,J1756/AP1756,-1)</f>
        <v>-1</v>
      </c>
      <c r="AT1756" s="58" t="str">
        <f aca="false">IF(AND(OR(BY1756="L1",BY1756="L23"),AP1756&gt;0),SUMIFS($AP$7:$AP$1843,$BY$7:$BY$1843,BY1756,$AS$7:$AS$1843,"&gt;"&amp;AS1756)+SUMIFS($AP$7:$AP$1843,$BY$7:$BY$1843,BY1756,$AS$7:$AS$1843,AS1756,$BQ$7:$BQ$1843,"&lt;="&amp;BQ1756),"")</f>
        <v/>
      </c>
      <c r="AU1756" s="65" t="n">
        <f aca="false">IF(AT1756="",0,MAX(0,MIN(1,(IF(BY1756="L1",Parameter!$E$5,Parameter!$E$6+Parameter!$E$7)-(AT1756-AP1756))/AP1756)))</f>
        <v>0</v>
      </c>
      <c r="AV1756" s="57" t="n">
        <f aca="false">IF(LEFT(Cockpit!$O$5,1)="A",H1756,IF(CA1756=1,CB1756,IF(LEFT(Cockpit!$O$5,1)="B",AZ1756,MAX(AZ1756,H1756))))</f>
        <v>0</v>
      </c>
      <c r="AW1756" s="57" t="n">
        <f aca="false">IF(BT1756=1,0,ROUNDUP(AV1756/BS1756,0))</f>
        <v>0</v>
      </c>
      <c r="AX1756" s="59" t="n">
        <f aca="false">IF(CH1756&gt;0,CH1756*MAX(1,AV1756/X1756),IF(BT1756=1,IF(AV1756&lt;=0,0,BW1756*MAX(1,IF(H1756&gt;0,AV1756/H1756,1))),IF(R1756&gt;0,AW1756/R1756,0))/MAX(0.1,N(Parameter!$M$21)))</f>
        <v>0</v>
      </c>
      <c r="AY1756" s="57" t="n">
        <f aca="false">AV1756*G1756</f>
        <v>0</v>
      </c>
      <c r="AZ1756" s="57" t="n">
        <f aca="false">ROUNDUP(MAX(J1756/IF(BZ1756&gt;0,BZ1756,MAX(0.1,N(Cockpit!$O$6))),CC1756)/BS1756,0)*BS1756</f>
        <v>0</v>
      </c>
      <c r="BA1756" s="58" t="n">
        <f aca="false">IF(AX1756&gt;0,J1756/AX1756,-1)</f>
        <v>-1</v>
      </c>
      <c r="BB1756" s="58" t="str">
        <f aca="false">IF(AND(OR(BY1756="L1",BY1756="L23"),AX1756&gt;0),SUMIFS($AX$7:$AX$1843,$BY$7:$BY$1843,BY1756,$BA$7:$BA$1843,"&gt;"&amp;BA1756)+SUMIFS($AX$7:$AX$1843,$BY$7:$BY$1843,BY1756,$BA$7:$BA$1843,BA1756,$BQ$7:$BQ$1843,"&lt;="&amp;BQ1756),"")</f>
        <v/>
      </c>
      <c r="BC1756" s="65" t="n">
        <f aca="false">IF(BB1756="",0,MAX(0,MIN(1,(IF(BY1756="L1",Parameter!$E$5,Parameter!$E$6+Parameter!$E$7)-(BB1756-AX1756))/AX1756)))</f>
        <v>0</v>
      </c>
      <c r="BD1756" s="55" t="str">
        <f aca="false">IF(AH1756&lt;=0,"",IF(BY1756="Aussen","Aussenlager",IF(BY1756="-","Nicht im Lift",IF(AM1756&gt;=1,"Lift",IF(AM1756&lt;=0,"Aussenlager","teilweise")))))</f>
        <v/>
      </c>
      <c r="BE1756" s="55" t="str">
        <f aca="false">IF(AP1756&lt;=0,"",IF(BY1756="Aussen","Aussenlager",IF(BY1756="-","Nicht im Lift",IF(AU1756&gt;=1,"Lift",IF(AU1756&lt;=0,"Aussenlager","teilweise")))))</f>
        <v/>
      </c>
      <c r="BF1756" s="55" t="str">
        <f aca="false">IF(AX1756&lt;=0,"",IF(BY1756="Aussen","Aussenlager",IF(BY1756="-","Nicht im Lift",IF(BC1756&gt;=1,"Lift",IF(BC1756&lt;=0,"Aussenlager","teilweise")))))</f>
        <v/>
      </c>
      <c r="BG1756" s="55" t="str">
        <f aca="false">IF(A1756="","",IF(BP1756=1,"Neu; ","")&amp;IF(AND(BP1756=0,BK1756&lt;0),"negativer Bestand (Export "&amp;BK1756&amp;"); ","")&amp;IF(J1756&lt;=0,"Kein Verbrauch; ","")&amp;IF(CH1756&gt;0,"Lift "&amp;W1756&amp;" lt. Liftbericht (Fach "&amp;X1756&amp;" Stk); ",IF(BU1756=1,"Gebinde geschätzt ("&amp;T1756&amp;"); ",IF(BT1756=1,"Lose – Tablare geschätzt; ","")))&amp;IF(H1756&gt;AR1756,"Überbestand "&amp;ROUND(H1756-AR1756,0)&amp;" Stk / CHF "&amp;ROUND((H1756-AR1756)*G1756,0)&amp;"; ","")&amp;IF(AND(CA1756=1,CB1756&lt;CC1756),"MAX &lt; MB+LG; ","")&amp;IF(AND(CG1756&gt;0,CF1756*10&gt;CG1756),"zu hoch für Tablar; ","")&amp;IF(AND(BP1756=0,OR(CA1756=1,AA1756&lt;&gt;"",U1756&lt;&gt;"",V1756&lt;&gt;"",AB1756&lt;&gt;"")),"manuell übersteuert; ","")&amp;IF(AND(BT1756=0,R1756=0),"Gebinde unbekannt / Stellmass fehlt; ","")&amp;IF(AND(BT1756=0,N(V1756)&lt;=0,N(Q1756)&lt;=0),"Menge pro Gebinde fehlt (Ist = 1 Gebinde); ","")&amp;BO1756)</f>
        <v/>
      </c>
      <c r="BH1756" s="55"/>
      <c r="BI1756" s="55"/>
      <c r="BJ1756" s="62"/>
      <c r="BK1756" s="57" t="n">
        <f aca="false">N('Neue Artikel'!$D$17)</f>
        <v>0</v>
      </c>
      <c r="BL1756" s="57" t="n">
        <v>0</v>
      </c>
      <c r="BM1756" s="56" t="n">
        <v>0</v>
      </c>
      <c r="BN1756" s="57" t="n">
        <f aca="false">N('Neue Artikel'!$C$17)/Parameter!$B$18</f>
        <v>0</v>
      </c>
      <c r="BO1756" s="55"/>
      <c r="BP1756" s="60" t="n">
        <v>1</v>
      </c>
      <c r="BQ1756" s="60" t="n">
        <v>1756</v>
      </c>
      <c r="BR1756" s="55" t="str">
        <f aca="false">IF(U1756&lt;&gt;"",UPPER(TRIM(U1756)),IF(BU1756=1,UPPER(VLOOKUP(T1756,Parameter!$I$27:$K$29,2,0)),IF(P1756="","LOSE",P1756)))</f>
        <v>LOSE</v>
      </c>
      <c r="BS1756" s="57" t="n">
        <f aca="false">IF(BR1756="LOSE",1,IF(N(V1756)&gt;0,V1756,IF(BU1756=1,MAX(1,N(VLOOKUP(T1756,Parameter!$I$27:$K$29,3,0)),H1756,N(N1756)),IF(N(Q1756)&gt;0,Q1756,MAX(1,H1756)))))</f>
        <v>1</v>
      </c>
      <c r="BT1756" s="60" t="n">
        <f aca="false">IF(BR1756="LOSE",1,0)</f>
        <v>1</v>
      </c>
      <c r="BU1756" s="60" t="n">
        <f aca="false">IF(AND(U1756="",OR(P1756="",P1756="LOSE"),T1756&lt;&gt;"",N(S1756)&lt;=0,ISNUMBER(MATCH(T1756,Parameter!$I$27:$I$29,0))),1,0)</f>
        <v>0</v>
      </c>
      <c r="BV1756" s="55" t="str">
        <f aca="false">IF(AND(Parameter!$B$19="Ja",E1756&lt;&gt;"",ISNUMBER(MATCH(E1756,Parameter!$I$35:$I$52,0))),VLOOKUP(E1756,Parameter!$I$35:$J$52,2,0),IFERROR(VLOOKUP(D1756,Parameter!$A$35:$C$64,2,0),"Nein"))</f>
        <v>2+3</v>
      </c>
      <c r="BW1756" s="59" t="n">
        <f aca="false">IF(BT1756=0,0,IF(N(S1756)&gt;0,S1756,IFERROR(VLOOKUP(D1756,Parameter!$A$35:$C$64,3,0)+0,0)))</f>
        <v>0.15</v>
      </c>
      <c r="BX1756" s="55" t="str">
        <f aca="false">IF(AA1756&lt;&gt;"",AA1756,Z1756)</f>
        <v/>
      </c>
      <c r="BY1756" s="55" t="str">
        <f aca="false">IF(BX1756=1,"L1",IF(OR(BX1756=2,BX1756=3),"L23",IF(BX1756="Aussen","Aussen","-")))</f>
        <v>-</v>
      </c>
      <c r="BZ1756" s="66" t="n">
        <f aca="false">IF(N(AB1756)&gt;0,AB1756,0)</f>
        <v>0</v>
      </c>
      <c r="CA1756" s="60" t="n">
        <f aca="false">IF(ISNUMBER(AE1756),1,0)</f>
        <v>0</v>
      </c>
      <c r="CB1756" s="57" t="n">
        <f aca="false">N(AE1756)</f>
        <v>0</v>
      </c>
      <c r="CC1756" s="57" t="n">
        <f aca="false">N(M1756)+N(N1756)</f>
        <v>0</v>
      </c>
      <c r="CD1756" s="57" t="n">
        <f aca="false">ROUNDUP(H1756/BS1756,0)</f>
        <v>0</v>
      </c>
      <c r="CE1756" s="57" t="n">
        <f aca="false">ROUNDUP(CB1756/BS1756,0)</f>
        <v>0</v>
      </c>
      <c r="CF1756" s="60" t="n">
        <f aca="false">IF(BT1756=1,0,IFERROR(VLOOKUP(BR1756,'Gebinde-Kategorie'!$A$5:$M$45,5,0)+0,0))</f>
        <v>0</v>
      </c>
      <c r="CG1756" s="60" t="n">
        <f aca="false">IFERROR(IF(OR(BX1756=1,BX1756=2,BX1756=3),N(INDEX(Parameter!$I$5:$I$7,BX1756)),0),0)</f>
        <v>0</v>
      </c>
      <c r="CH1756" s="59" t="n">
        <f aca="false">IF(AND(Parameter!$B$21="Ja",ISNUMBER(W1756),N(X1756)&gt;0),IFERROR(N(INDEX(Parameter!$L$5:$L$7,W1756))*INDEX(Parameter!$E$5:$E$7,W1756)*X1756/SUMIFS($X$7:$X$1843,$W$7:$W$1843,W1756),0),0)</f>
        <v>0</v>
      </c>
    </row>
    <row r="1757" customFormat="false" ht="15" hidden="false" customHeight="false" outlineLevel="0" collapsed="false">
      <c r="A1757" s="55" t="str">
        <f aca="false">IF('Neue Artikel'!$A$18="","",'Neue Artikel'!$A$18&amp;"")</f>
        <v/>
      </c>
      <c r="B1757" s="55" t="str">
        <f aca="false">'Neue Artikel'!$B$18&amp;""</f>
        <v/>
      </c>
      <c r="C1757" s="55"/>
      <c r="D1757" s="55" t="s">
        <v>3015</v>
      </c>
      <c r="E1757" s="55"/>
      <c r="F1757" s="55"/>
      <c r="G1757" s="56" t="n">
        <f aca="false">N('Neue Artikel'!$G$18)</f>
        <v>0</v>
      </c>
      <c r="H1757" s="57" t="n">
        <f aca="false">MAX(0,IF(AND(Parameter!$B$21="Ja",ISNUMBER(Y1757)),Y1757,IF(Parameter!$B$20="Jahresanfang 2025 + Export",BL1757+BK1757,BK1757)))</f>
        <v>0</v>
      </c>
      <c r="I1757" s="57" t="n">
        <f aca="false">H1757*G1757</f>
        <v>0</v>
      </c>
      <c r="J1757" s="57" t="n">
        <f aca="false">BN1757*Parameter!$B$18</f>
        <v>0</v>
      </c>
      <c r="K1757" s="58"/>
      <c r="L1757" s="59"/>
      <c r="M1757" s="57" t="n">
        <f aca="false">N('Neue Artikel'!$E$18)</f>
        <v>0</v>
      </c>
      <c r="N1757" s="57" t="n">
        <f aca="false">N('Neue Artikel'!$F$18)</f>
        <v>0</v>
      </c>
      <c r="O1757" s="60"/>
      <c r="P1757" s="55" t="str">
        <f aca="false">IF('Neue Artikel'!$H$18="","LOSE",UPPER(TRIM('Neue Artikel'!$H$18)))</f>
        <v>LOSE</v>
      </c>
      <c r="Q1757" s="57" t="n">
        <f aca="false">N('Neue Artikel'!$I$18)</f>
        <v>0</v>
      </c>
      <c r="R1757" s="60" t="n">
        <f aca="false">IF(BT1757=1,0,IFERROR(VLOOKUP(BR1757,'Gebinde-Kategorie'!$A$5:$M$45,13,0)+0,0))</f>
        <v>0</v>
      </c>
      <c r="S1757" s="61"/>
      <c r="T1757" s="62"/>
      <c r="U1757" s="62"/>
      <c r="V1757" s="62"/>
      <c r="W1757" s="55"/>
      <c r="X1757" s="57"/>
      <c r="Y1757" s="57"/>
      <c r="Z1757" s="55" t="str">
        <f aca="false">IF(A1757="","",IF(AND(Parameter!$B$21="Ja",ISNUMBER(W1757)),W1757,IF(BV1757="2+3",IF(ISNUMBER(SEARCH("grosser Artikel",BO1757)),2,IFERROR(VLOOKUP(BR1757,Parameter!$F$35:$G$64,2,0),2)),IF(OR(BV1757="Nein",BV1757=""),"-",BV1757))))</f>
        <v/>
      </c>
      <c r="AA1757" s="55" t="str">
        <f aca="false">IF('Neue Artikel'!$J$18="","",'Neue Artikel'!$J$18)</f>
        <v/>
      </c>
      <c r="AB1757" s="63"/>
      <c r="AC1757" s="57" t="n">
        <f aca="false">AR1757</f>
        <v>0</v>
      </c>
      <c r="AD1757" s="57" t="n">
        <f aca="false">MAX(AR1757,H1757)</f>
        <v>0</v>
      </c>
      <c r="AE1757" s="64"/>
      <c r="AF1757" s="57" t="n">
        <f aca="false">IF(LEFT(Cockpit!$C$5,1)="A",H1757,IF(CA1757=1,CB1757,IF(LEFT(Cockpit!$C$5,1)="B",AJ1757,MAX(AJ1757,H1757))))</f>
        <v>0</v>
      </c>
      <c r="AG1757" s="57" t="n">
        <f aca="false">IF(BT1757=1,0,ROUNDUP(AF1757/BS1757,0))</f>
        <v>0</v>
      </c>
      <c r="AH1757" s="59" t="n">
        <f aca="false">IF(CH1757&gt;0,CH1757*MAX(1,AF1757/X1757),IF(BT1757=1,IF(AF1757&lt;=0,0,BW1757*MAX(1,IF(H1757&gt;0,AF1757/H1757,1))),IF(R1757&gt;0,AG1757/R1757,0))/MAX(0.1,N(Parameter!$M$21)))</f>
        <v>0</v>
      </c>
      <c r="AI1757" s="57" t="n">
        <f aca="false">AF1757*G1757</f>
        <v>0</v>
      </c>
      <c r="AJ1757" s="57" t="n">
        <f aca="false">ROUNDUP(MAX(J1757/IF(BZ1757&gt;0,BZ1757,MAX(0.1,N(Cockpit!$C$6))),CC1757)/BS1757,0)*BS1757</f>
        <v>0</v>
      </c>
      <c r="AK1757" s="58" t="n">
        <f aca="false">IF(AH1757&gt;0,J1757/AH1757,-1)</f>
        <v>-1</v>
      </c>
      <c r="AL1757" s="58" t="str">
        <f aca="false">IF(AND(OR(BY1757="L1",BY1757="L23"),AH1757&gt;0),SUMIFS($AH$7:$AH$1843,$BY$7:$BY$1843,BY1757,$AK$7:$AK$1843,"&gt;"&amp;AK1757)+SUMIFS($AH$7:$AH$1843,$BY$7:$BY$1843,BY1757,$AK$7:$AK$1843,AK1757,$BQ$7:$BQ$1843,"&lt;="&amp;BQ1757),"")</f>
        <v/>
      </c>
      <c r="AM1757" s="65" t="n">
        <f aca="false">IF(AL1757="",0,MAX(0,MIN(1,(IF(BY1757="L1",Parameter!$E$5,Parameter!$E$6+Parameter!$E$7)-(AL1757-AH1757))/AH1757)))</f>
        <v>0</v>
      </c>
      <c r="AN1757" s="57" t="n">
        <f aca="false">IF(LEFT(Cockpit!$I$5,1)="A",H1757,IF(CA1757=1,CB1757,IF(LEFT(Cockpit!$I$5,1)="B",AR1757,MAX(AR1757,H1757))))</f>
        <v>0</v>
      </c>
      <c r="AO1757" s="57" t="n">
        <f aca="false">IF(BT1757=1,0,ROUNDUP(AN1757/BS1757,0))</f>
        <v>0</v>
      </c>
      <c r="AP1757" s="59" t="n">
        <f aca="false">IF(CH1757&gt;0,CH1757*MAX(1,AN1757/X1757),IF(BT1757=1,IF(AN1757&lt;=0,0,BW1757*MAX(1,IF(H1757&gt;0,AN1757/H1757,1))),IF(R1757&gt;0,AO1757/R1757,0))/MAX(0.1,N(Parameter!$M$21)))</f>
        <v>0</v>
      </c>
      <c r="AQ1757" s="57" t="n">
        <f aca="false">AN1757*G1757</f>
        <v>0</v>
      </c>
      <c r="AR1757" s="57" t="n">
        <f aca="false">ROUNDUP(MAX(J1757/IF(BZ1757&gt;0,BZ1757,MAX(0.1,N(Cockpit!$I$6))),CC1757)/BS1757,0)*BS1757</f>
        <v>0</v>
      </c>
      <c r="AS1757" s="58" t="n">
        <f aca="false">IF(AP1757&gt;0,J1757/AP1757,-1)</f>
        <v>-1</v>
      </c>
      <c r="AT1757" s="58" t="str">
        <f aca="false">IF(AND(OR(BY1757="L1",BY1757="L23"),AP1757&gt;0),SUMIFS($AP$7:$AP$1843,$BY$7:$BY$1843,BY1757,$AS$7:$AS$1843,"&gt;"&amp;AS1757)+SUMIFS($AP$7:$AP$1843,$BY$7:$BY$1843,BY1757,$AS$7:$AS$1843,AS1757,$BQ$7:$BQ$1843,"&lt;="&amp;BQ1757),"")</f>
        <v/>
      </c>
      <c r="AU1757" s="65" t="n">
        <f aca="false">IF(AT1757="",0,MAX(0,MIN(1,(IF(BY1757="L1",Parameter!$E$5,Parameter!$E$6+Parameter!$E$7)-(AT1757-AP1757))/AP1757)))</f>
        <v>0</v>
      </c>
      <c r="AV1757" s="57" t="n">
        <f aca="false">IF(LEFT(Cockpit!$O$5,1)="A",H1757,IF(CA1757=1,CB1757,IF(LEFT(Cockpit!$O$5,1)="B",AZ1757,MAX(AZ1757,H1757))))</f>
        <v>0</v>
      </c>
      <c r="AW1757" s="57" t="n">
        <f aca="false">IF(BT1757=1,0,ROUNDUP(AV1757/BS1757,0))</f>
        <v>0</v>
      </c>
      <c r="AX1757" s="59" t="n">
        <f aca="false">IF(CH1757&gt;0,CH1757*MAX(1,AV1757/X1757),IF(BT1757=1,IF(AV1757&lt;=0,0,BW1757*MAX(1,IF(H1757&gt;0,AV1757/H1757,1))),IF(R1757&gt;0,AW1757/R1757,0))/MAX(0.1,N(Parameter!$M$21)))</f>
        <v>0</v>
      </c>
      <c r="AY1757" s="57" t="n">
        <f aca="false">AV1757*G1757</f>
        <v>0</v>
      </c>
      <c r="AZ1757" s="57" t="n">
        <f aca="false">ROUNDUP(MAX(J1757/IF(BZ1757&gt;0,BZ1757,MAX(0.1,N(Cockpit!$O$6))),CC1757)/BS1757,0)*BS1757</f>
        <v>0</v>
      </c>
      <c r="BA1757" s="58" t="n">
        <f aca="false">IF(AX1757&gt;0,J1757/AX1757,-1)</f>
        <v>-1</v>
      </c>
      <c r="BB1757" s="58" t="str">
        <f aca="false">IF(AND(OR(BY1757="L1",BY1757="L23"),AX1757&gt;0),SUMIFS($AX$7:$AX$1843,$BY$7:$BY$1843,BY1757,$BA$7:$BA$1843,"&gt;"&amp;BA1757)+SUMIFS($AX$7:$AX$1843,$BY$7:$BY$1843,BY1757,$BA$7:$BA$1843,BA1757,$BQ$7:$BQ$1843,"&lt;="&amp;BQ1757),"")</f>
        <v/>
      </c>
      <c r="BC1757" s="65" t="n">
        <f aca="false">IF(BB1757="",0,MAX(0,MIN(1,(IF(BY1757="L1",Parameter!$E$5,Parameter!$E$6+Parameter!$E$7)-(BB1757-AX1757))/AX1757)))</f>
        <v>0</v>
      </c>
      <c r="BD1757" s="55" t="str">
        <f aca="false">IF(AH1757&lt;=0,"",IF(BY1757="Aussen","Aussenlager",IF(BY1757="-","Nicht im Lift",IF(AM1757&gt;=1,"Lift",IF(AM1757&lt;=0,"Aussenlager","teilweise")))))</f>
        <v/>
      </c>
      <c r="BE1757" s="55" t="str">
        <f aca="false">IF(AP1757&lt;=0,"",IF(BY1757="Aussen","Aussenlager",IF(BY1757="-","Nicht im Lift",IF(AU1757&gt;=1,"Lift",IF(AU1757&lt;=0,"Aussenlager","teilweise")))))</f>
        <v/>
      </c>
      <c r="BF1757" s="55" t="str">
        <f aca="false">IF(AX1757&lt;=0,"",IF(BY1757="Aussen","Aussenlager",IF(BY1757="-","Nicht im Lift",IF(BC1757&gt;=1,"Lift",IF(BC1757&lt;=0,"Aussenlager","teilweise")))))</f>
        <v/>
      </c>
      <c r="BG1757" s="55" t="str">
        <f aca="false">IF(A1757="","",IF(BP1757=1,"Neu; ","")&amp;IF(AND(BP1757=0,BK1757&lt;0),"negativer Bestand (Export "&amp;BK1757&amp;"); ","")&amp;IF(J1757&lt;=0,"Kein Verbrauch; ","")&amp;IF(CH1757&gt;0,"Lift "&amp;W1757&amp;" lt. Liftbericht (Fach "&amp;X1757&amp;" Stk); ",IF(BU1757=1,"Gebinde geschätzt ("&amp;T1757&amp;"); ",IF(BT1757=1,"Lose – Tablare geschätzt; ","")))&amp;IF(H1757&gt;AR1757,"Überbestand "&amp;ROUND(H1757-AR1757,0)&amp;" Stk / CHF "&amp;ROUND((H1757-AR1757)*G1757,0)&amp;"; ","")&amp;IF(AND(CA1757=1,CB1757&lt;CC1757),"MAX &lt; MB+LG; ","")&amp;IF(AND(CG1757&gt;0,CF1757*10&gt;CG1757),"zu hoch für Tablar; ","")&amp;IF(AND(BP1757=0,OR(CA1757=1,AA1757&lt;&gt;"",U1757&lt;&gt;"",V1757&lt;&gt;"",AB1757&lt;&gt;"")),"manuell übersteuert; ","")&amp;IF(AND(BT1757=0,R1757=0),"Gebinde unbekannt / Stellmass fehlt; ","")&amp;IF(AND(BT1757=0,N(V1757)&lt;=0,N(Q1757)&lt;=0),"Menge pro Gebinde fehlt (Ist = 1 Gebinde); ","")&amp;BO1757)</f>
        <v/>
      </c>
      <c r="BH1757" s="55"/>
      <c r="BI1757" s="55"/>
      <c r="BJ1757" s="62"/>
      <c r="BK1757" s="57" t="n">
        <f aca="false">N('Neue Artikel'!$D$18)</f>
        <v>0</v>
      </c>
      <c r="BL1757" s="57" t="n">
        <v>0</v>
      </c>
      <c r="BM1757" s="56" t="n">
        <v>0</v>
      </c>
      <c r="BN1757" s="57" t="n">
        <f aca="false">N('Neue Artikel'!$C$18)/Parameter!$B$18</f>
        <v>0</v>
      </c>
      <c r="BO1757" s="55"/>
      <c r="BP1757" s="60" t="n">
        <v>1</v>
      </c>
      <c r="BQ1757" s="60" t="n">
        <v>1757</v>
      </c>
      <c r="BR1757" s="55" t="str">
        <f aca="false">IF(U1757&lt;&gt;"",UPPER(TRIM(U1757)),IF(BU1757=1,UPPER(VLOOKUP(T1757,Parameter!$I$27:$K$29,2,0)),IF(P1757="","LOSE",P1757)))</f>
        <v>LOSE</v>
      </c>
      <c r="BS1757" s="57" t="n">
        <f aca="false">IF(BR1757="LOSE",1,IF(N(V1757)&gt;0,V1757,IF(BU1757=1,MAX(1,N(VLOOKUP(T1757,Parameter!$I$27:$K$29,3,0)),H1757,N(N1757)),IF(N(Q1757)&gt;0,Q1757,MAX(1,H1757)))))</f>
        <v>1</v>
      </c>
      <c r="BT1757" s="60" t="n">
        <f aca="false">IF(BR1757="LOSE",1,0)</f>
        <v>1</v>
      </c>
      <c r="BU1757" s="60" t="n">
        <f aca="false">IF(AND(U1757="",OR(P1757="",P1757="LOSE"),T1757&lt;&gt;"",N(S1757)&lt;=0,ISNUMBER(MATCH(T1757,Parameter!$I$27:$I$29,0))),1,0)</f>
        <v>0</v>
      </c>
      <c r="BV1757" s="55" t="str">
        <f aca="false">IF(AND(Parameter!$B$19="Ja",E1757&lt;&gt;"",ISNUMBER(MATCH(E1757,Parameter!$I$35:$I$52,0))),VLOOKUP(E1757,Parameter!$I$35:$J$52,2,0),IFERROR(VLOOKUP(D1757,Parameter!$A$35:$C$64,2,0),"Nein"))</f>
        <v>2+3</v>
      </c>
      <c r="BW1757" s="59" t="n">
        <f aca="false">IF(BT1757=0,0,IF(N(S1757)&gt;0,S1757,IFERROR(VLOOKUP(D1757,Parameter!$A$35:$C$64,3,0)+0,0)))</f>
        <v>0.15</v>
      </c>
      <c r="BX1757" s="55" t="str">
        <f aca="false">IF(AA1757&lt;&gt;"",AA1757,Z1757)</f>
        <v/>
      </c>
      <c r="BY1757" s="55" t="str">
        <f aca="false">IF(BX1757=1,"L1",IF(OR(BX1757=2,BX1757=3),"L23",IF(BX1757="Aussen","Aussen","-")))</f>
        <v>-</v>
      </c>
      <c r="BZ1757" s="66" t="n">
        <f aca="false">IF(N(AB1757)&gt;0,AB1757,0)</f>
        <v>0</v>
      </c>
      <c r="CA1757" s="60" t="n">
        <f aca="false">IF(ISNUMBER(AE1757),1,0)</f>
        <v>0</v>
      </c>
      <c r="CB1757" s="57" t="n">
        <f aca="false">N(AE1757)</f>
        <v>0</v>
      </c>
      <c r="CC1757" s="57" t="n">
        <f aca="false">N(M1757)+N(N1757)</f>
        <v>0</v>
      </c>
      <c r="CD1757" s="57" t="n">
        <f aca="false">ROUNDUP(H1757/BS1757,0)</f>
        <v>0</v>
      </c>
      <c r="CE1757" s="57" t="n">
        <f aca="false">ROUNDUP(CB1757/BS1757,0)</f>
        <v>0</v>
      </c>
      <c r="CF1757" s="60" t="n">
        <f aca="false">IF(BT1757=1,0,IFERROR(VLOOKUP(BR1757,'Gebinde-Kategorie'!$A$5:$M$45,5,0)+0,0))</f>
        <v>0</v>
      </c>
      <c r="CG1757" s="60" t="n">
        <f aca="false">IFERROR(IF(OR(BX1757=1,BX1757=2,BX1757=3),N(INDEX(Parameter!$I$5:$I$7,BX1757)),0),0)</f>
        <v>0</v>
      </c>
      <c r="CH1757" s="59" t="n">
        <f aca="false">IF(AND(Parameter!$B$21="Ja",ISNUMBER(W1757),N(X1757)&gt;0),IFERROR(N(INDEX(Parameter!$L$5:$L$7,W1757))*INDEX(Parameter!$E$5:$E$7,W1757)*X1757/SUMIFS($X$7:$X$1843,$W$7:$W$1843,W1757),0),0)</f>
        <v>0</v>
      </c>
    </row>
    <row r="1758" customFormat="false" ht="15" hidden="false" customHeight="false" outlineLevel="0" collapsed="false">
      <c r="A1758" s="55" t="str">
        <f aca="false">IF('Neue Artikel'!$A$19="","",'Neue Artikel'!$A$19&amp;"")</f>
        <v/>
      </c>
      <c r="B1758" s="55" t="str">
        <f aca="false">'Neue Artikel'!$B$19&amp;""</f>
        <v/>
      </c>
      <c r="C1758" s="55"/>
      <c r="D1758" s="55" t="s">
        <v>3015</v>
      </c>
      <c r="E1758" s="55"/>
      <c r="F1758" s="55"/>
      <c r="G1758" s="56" t="n">
        <f aca="false">N('Neue Artikel'!$G$19)</f>
        <v>0</v>
      </c>
      <c r="H1758" s="57" t="n">
        <f aca="false">MAX(0,IF(AND(Parameter!$B$21="Ja",ISNUMBER(Y1758)),Y1758,IF(Parameter!$B$20="Jahresanfang 2025 + Export",BL1758+BK1758,BK1758)))</f>
        <v>0</v>
      </c>
      <c r="I1758" s="57" t="n">
        <f aca="false">H1758*G1758</f>
        <v>0</v>
      </c>
      <c r="J1758" s="57" t="n">
        <f aca="false">BN1758*Parameter!$B$18</f>
        <v>0</v>
      </c>
      <c r="K1758" s="58"/>
      <c r="L1758" s="59"/>
      <c r="M1758" s="57" t="n">
        <f aca="false">N('Neue Artikel'!$E$19)</f>
        <v>0</v>
      </c>
      <c r="N1758" s="57" t="n">
        <f aca="false">N('Neue Artikel'!$F$19)</f>
        <v>0</v>
      </c>
      <c r="O1758" s="60"/>
      <c r="P1758" s="55" t="str">
        <f aca="false">IF('Neue Artikel'!$H$19="","LOSE",UPPER(TRIM('Neue Artikel'!$H$19)))</f>
        <v>LOSE</v>
      </c>
      <c r="Q1758" s="57" t="n">
        <f aca="false">N('Neue Artikel'!$I$19)</f>
        <v>0</v>
      </c>
      <c r="R1758" s="60" t="n">
        <f aca="false">IF(BT1758=1,0,IFERROR(VLOOKUP(BR1758,'Gebinde-Kategorie'!$A$5:$M$45,13,0)+0,0))</f>
        <v>0</v>
      </c>
      <c r="S1758" s="61"/>
      <c r="T1758" s="62"/>
      <c r="U1758" s="62"/>
      <c r="V1758" s="62"/>
      <c r="W1758" s="55"/>
      <c r="X1758" s="57"/>
      <c r="Y1758" s="57"/>
      <c r="Z1758" s="55" t="str">
        <f aca="false">IF(A1758="","",IF(AND(Parameter!$B$21="Ja",ISNUMBER(W1758)),W1758,IF(BV1758="2+3",IF(ISNUMBER(SEARCH("grosser Artikel",BO1758)),2,IFERROR(VLOOKUP(BR1758,Parameter!$F$35:$G$64,2,0),2)),IF(OR(BV1758="Nein",BV1758=""),"-",BV1758))))</f>
        <v/>
      </c>
      <c r="AA1758" s="55" t="str">
        <f aca="false">IF('Neue Artikel'!$J$19="","",'Neue Artikel'!$J$19)</f>
        <v/>
      </c>
      <c r="AB1758" s="63"/>
      <c r="AC1758" s="57" t="n">
        <f aca="false">AR1758</f>
        <v>0</v>
      </c>
      <c r="AD1758" s="57" t="n">
        <f aca="false">MAX(AR1758,H1758)</f>
        <v>0</v>
      </c>
      <c r="AE1758" s="64"/>
      <c r="AF1758" s="57" t="n">
        <f aca="false">IF(LEFT(Cockpit!$C$5,1)="A",H1758,IF(CA1758=1,CB1758,IF(LEFT(Cockpit!$C$5,1)="B",AJ1758,MAX(AJ1758,H1758))))</f>
        <v>0</v>
      </c>
      <c r="AG1758" s="57" t="n">
        <f aca="false">IF(BT1758=1,0,ROUNDUP(AF1758/BS1758,0))</f>
        <v>0</v>
      </c>
      <c r="AH1758" s="59" t="n">
        <f aca="false">IF(CH1758&gt;0,CH1758*MAX(1,AF1758/X1758),IF(BT1758=1,IF(AF1758&lt;=0,0,BW1758*MAX(1,IF(H1758&gt;0,AF1758/H1758,1))),IF(R1758&gt;0,AG1758/R1758,0))/MAX(0.1,N(Parameter!$M$21)))</f>
        <v>0</v>
      </c>
      <c r="AI1758" s="57" t="n">
        <f aca="false">AF1758*G1758</f>
        <v>0</v>
      </c>
      <c r="AJ1758" s="57" t="n">
        <f aca="false">ROUNDUP(MAX(J1758/IF(BZ1758&gt;0,BZ1758,MAX(0.1,N(Cockpit!$C$6))),CC1758)/BS1758,0)*BS1758</f>
        <v>0</v>
      </c>
      <c r="AK1758" s="58" t="n">
        <f aca="false">IF(AH1758&gt;0,J1758/AH1758,-1)</f>
        <v>-1</v>
      </c>
      <c r="AL1758" s="58" t="str">
        <f aca="false">IF(AND(OR(BY1758="L1",BY1758="L23"),AH1758&gt;0),SUMIFS($AH$7:$AH$1843,$BY$7:$BY$1843,BY1758,$AK$7:$AK$1843,"&gt;"&amp;AK1758)+SUMIFS($AH$7:$AH$1843,$BY$7:$BY$1843,BY1758,$AK$7:$AK$1843,AK1758,$BQ$7:$BQ$1843,"&lt;="&amp;BQ1758),"")</f>
        <v/>
      </c>
      <c r="AM1758" s="65" t="n">
        <f aca="false">IF(AL1758="",0,MAX(0,MIN(1,(IF(BY1758="L1",Parameter!$E$5,Parameter!$E$6+Parameter!$E$7)-(AL1758-AH1758))/AH1758)))</f>
        <v>0</v>
      </c>
      <c r="AN1758" s="57" t="n">
        <f aca="false">IF(LEFT(Cockpit!$I$5,1)="A",H1758,IF(CA1758=1,CB1758,IF(LEFT(Cockpit!$I$5,1)="B",AR1758,MAX(AR1758,H1758))))</f>
        <v>0</v>
      </c>
      <c r="AO1758" s="57" t="n">
        <f aca="false">IF(BT1758=1,0,ROUNDUP(AN1758/BS1758,0))</f>
        <v>0</v>
      </c>
      <c r="AP1758" s="59" t="n">
        <f aca="false">IF(CH1758&gt;0,CH1758*MAX(1,AN1758/X1758),IF(BT1758=1,IF(AN1758&lt;=0,0,BW1758*MAX(1,IF(H1758&gt;0,AN1758/H1758,1))),IF(R1758&gt;0,AO1758/R1758,0))/MAX(0.1,N(Parameter!$M$21)))</f>
        <v>0</v>
      </c>
      <c r="AQ1758" s="57" t="n">
        <f aca="false">AN1758*G1758</f>
        <v>0</v>
      </c>
      <c r="AR1758" s="57" t="n">
        <f aca="false">ROUNDUP(MAX(J1758/IF(BZ1758&gt;0,BZ1758,MAX(0.1,N(Cockpit!$I$6))),CC1758)/BS1758,0)*BS1758</f>
        <v>0</v>
      </c>
      <c r="AS1758" s="58" t="n">
        <f aca="false">IF(AP1758&gt;0,J1758/AP1758,-1)</f>
        <v>-1</v>
      </c>
      <c r="AT1758" s="58" t="str">
        <f aca="false">IF(AND(OR(BY1758="L1",BY1758="L23"),AP1758&gt;0),SUMIFS($AP$7:$AP$1843,$BY$7:$BY$1843,BY1758,$AS$7:$AS$1843,"&gt;"&amp;AS1758)+SUMIFS($AP$7:$AP$1843,$BY$7:$BY$1843,BY1758,$AS$7:$AS$1843,AS1758,$BQ$7:$BQ$1843,"&lt;="&amp;BQ1758),"")</f>
        <v/>
      </c>
      <c r="AU1758" s="65" t="n">
        <f aca="false">IF(AT1758="",0,MAX(0,MIN(1,(IF(BY1758="L1",Parameter!$E$5,Parameter!$E$6+Parameter!$E$7)-(AT1758-AP1758))/AP1758)))</f>
        <v>0</v>
      </c>
      <c r="AV1758" s="57" t="n">
        <f aca="false">IF(LEFT(Cockpit!$O$5,1)="A",H1758,IF(CA1758=1,CB1758,IF(LEFT(Cockpit!$O$5,1)="B",AZ1758,MAX(AZ1758,H1758))))</f>
        <v>0</v>
      </c>
      <c r="AW1758" s="57" t="n">
        <f aca="false">IF(BT1758=1,0,ROUNDUP(AV1758/BS1758,0))</f>
        <v>0</v>
      </c>
      <c r="AX1758" s="59" t="n">
        <f aca="false">IF(CH1758&gt;0,CH1758*MAX(1,AV1758/X1758),IF(BT1758=1,IF(AV1758&lt;=0,0,BW1758*MAX(1,IF(H1758&gt;0,AV1758/H1758,1))),IF(R1758&gt;0,AW1758/R1758,0))/MAX(0.1,N(Parameter!$M$21)))</f>
        <v>0</v>
      </c>
      <c r="AY1758" s="57" t="n">
        <f aca="false">AV1758*G1758</f>
        <v>0</v>
      </c>
      <c r="AZ1758" s="57" t="n">
        <f aca="false">ROUNDUP(MAX(J1758/IF(BZ1758&gt;0,BZ1758,MAX(0.1,N(Cockpit!$O$6))),CC1758)/BS1758,0)*BS1758</f>
        <v>0</v>
      </c>
      <c r="BA1758" s="58" t="n">
        <f aca="false">IF(AX1758&gt;0,J1758/AX1758,-1)</f>
        <v>-1</v>
      </c>
      <c r="BB1758" s="58" t="str">
        <f aca="false">IF(AND(OR(BY1758="L1",BY1758="L23"),AX1758&gt;0),SUMIFS($AX$7:$AX$1843,$BY$7:$BY$1843,BY1758,$BA$7:$BA$1843,"&gt;"&amp;BA1758)+SUMIFS($AX$7:$AX$1843,$BY$7:$BY$1843,BY1758,$BA$7:$BA$1843,BA1758,$BQ$7:$BQ$1843,"&lt;="&amp;BQ1758),"")</f>
        <v/>
      </c>
      <c r="BC1758" s="65" t="n">
        <f aca="false">IF(BB1758="",0,MAX(0,MIN(1,(IF(BY1758="L1",Parameter!$E$5,Parameter!$E$6+Parameter!$E$7)-(BB1758-AX1758))/AX1758)))</f>
        <v>0</v>
      </c>
      <c r="BD1758" s="55" t="str">
        <f aca="false">IF(AH1758&lt;=0,"",IF(BY1758="Aussen","Aussenlager",IF(BY1758="-","Nicht im Lift",IF(AM1758&gt;=1,"Lift",IF(AM1758&lt;=0,"Aussenlager","teilweise")))))</f>
        <v/>
      </c>
      <c r="BE1758" s="55" t="str">
        <f aca="false">IF(AP1758&lt;=0,"",IF(BY1758="Aussen","Aussenlager",IF(BY1758="-","Nicht im Lift",IF(AU1758&gt;=1,"Lift",IF(AU1758&lt;=0,"Aussenlager","teilweise")))))</f>
        <v/>
      </c>
      <c r="BF1758" s="55" t="str">
        <f aca="false">IF(AX1758&lt;=0,"",IF(BY1758="Aussen","Aussenlager",IF(BY1758="-","Nicht im Lift",IF(BC1758&gt;=1,"Lift",IF(BC1758&lt;=0,"Aussenlager","teilweise")))))</f>
        <v/>
      </c>
      <c r="BG1758" s="55" t="str">
        <f aca="false">IF(A1758="","",IF(BP1758=1,"Neu; ","")&amp;IF(AND(BP1758=0,BK1758&lt;0),"negativer Bestand (Export "&amp;BK1758&amp;"); ","")&amp;IF(J1758&lt;=0,"Kein Verbrauch; ","")&amp;IF(CH1758&gt;0,"Lift "&amp;W1758&amp;" lt. Liftbericht (Fach "&amp;X1758&amp;" Stk); ",IF(BU1758=1,"Gebinde geschätzt ("&amp;T1758&amp;"); ",IF(BT1758=1,"Lose – Tablare geschätzt; ","")))&amp;IF(H1758&gt;AR1758,"Überbestand "&amp;ROUND(H1758-AR1758,0)&amp;" Stk / CHF "&amp;ROUND((H1758-AR1758)*G1758,0)&amp;"; ","")&amp;IF(AND(CA1758=1,CB1758&lt;CC1758),"MAX &lt; MB+LG; ","")&amp;IF(AND(CG1758&gt;0,CF1758*10&gt;CG1758),"zu hoch für Tablar; ","")&amp;IF(AND(BP1758=0,OR(CA1758=1,AA1758&lt;&gt;"",U1758&lt;&gt;"",V1758&lt;&gt;"",AB1758&lt;&gt;"")),"manuell übersteuert; ","")&amp;IF(AND(BT1758=0,R1758=0),"Gebinde unbekannt / Stellmass fehlt; ","")&amp;IF(AND(BT1758=0,N(V1758)&lt;=0,N(Q1758)&lt;=0),"Menge pro Gebinde fehlt (Ist = 1 Gebinde); ","")&amp;BO1758)</f>
        <v/>
      </c>
      <c r="BH1758" s="55"/>
      <c r="BI1758" s="55"/>
      <c r="BJ1758" s="62"/>
      <c r="BK1758" s="57" t="n">
        <f aca="false">N('Neue Artikel'!$D$19)</f>
        <v>0</v>
      </c>
      <c r="BL1758" s="57" t="n">
        <v>0</v>
      </c>
      <c r="BM1758" s="56" t="n">
        <v>0</v>
      </c>
      <c r="BN1758" s="57" t="n">
        <f aca="false">N('Neue Artikel'!$C$19)/Parameter!$B$18</f>
        <v>0</v>
      </c>
      <c r="BO1758" s="55"/>
      <c r="BP1758" s="60" t="n">
        <v>1</v>
      </c>
      <c r="BQ1758" s="60" t="n">
        <v>1758</v>
      </c>
      <c r="BR1758" s="55" t="str">
        <f aca="false">IF(U1758&lt;&gt;"",UPPER(TRIM(U1758)),IF(BU1758=1,UPPER(VLOOKUP(T1758,Parameter!$I$27:$K$29,2,0)),IF(P1758="","LOSE",P1758)))</f>
        <v>LOSE</v>
      </c>
      <c r="BS1758" s="57" t="n">
        <f aca="false">IF(BR1758="LOSE",1,IF(N(V1758)&gt;0,V1758,IF(BU1758=1,MAX(1,N(VLOOKUP(T1758,Parameter!$I$27:$K$29,3,0)),H1758,N(N1758)),IF(N(Q1758)&gt;0,Q1758,MAX(1,H1758)))))</f>
        <v>1</v>
      </c>
      <c r="BT1758" s="60" t="n">
        <f aca="false">IF(BR1758="LOSE",1,0)</f>
        <v>1</v>
      </c>
      <c r="BU1758" s="60" t="n">
        <f aca="false">IF(AND(U1758="",OR(P1758="",P1758="LOSE"),T1758&lt;&gt;"",N(S1758)&lt;=0,ISNUMBER(MATCH(T1758,Parameter!$I$27:$I$29,0))),1,0)</f>
        <v>0</v>
      </c>
      <c r="BV1758" s="55" t="str">
        <f aca="false">IF(AND(Parameter!$B$19="Ja",E1758&lt;&gt;"",ISNUMBER(MATCH(E1758,Parameter!$I$35:$I$52,0))),VLOOKUP(E1758,Parameter!$I$35:$J$52,2,0),IFERROR(VLOOKUP(D1758,Parameter!$A$35:$C$64,2,0),"Nein"))</f>
        <v>2+3</v>
      </c>
      <c r="BW1758" s="59" t="n">
        <f aca="false">IF(BT1758=0,0,IF(N(S1758)&gt;0,S1758,IFERROR(VLOOKUP(D1758,Parameter!$A$35:$C$64,3,0)+0,0)))</f>
        <v>0.15</v>
      </c>
      <c r="BX1758" s="55" t="str">
        <f aca="false">IF(AA1758&lt;&gt;"",AA1758,Z1758)</f>
        <v/>
      </c>
      <c r="BY1758" s="55" t="str">
        <f aca="false">IF(BX1758=1,"L1",IF(OR(BX1758=2,BX1758=3),"L23",IF(BX1758="Aussen","Aussen","-")))</f>
        <v>-</v>
      </c>
      <c r="BZ1758" s="66" t="n">
        <f aca="false">IF(N(AB1758)&gt;0,AB1758,0)</f>
        <v>0</v>
      </c>
      <c r="CA1758" s="60" t="n">
        <f aca="false">IF(ISNUMBER(AE1758),1,0)</f>
        <v>0</v>
      </c>
      <c r="CB1758" s="57" t="n">
        <f aca="false">N(AE1758)</f>
        <v>0</v>
      </c>
      <c r="CC1758" s="57" t="n">
        <f aca="false">N(M1758)+N(N1758)</f>
        <v>0</v>
      </c>
      <c r="CD1758" s="57" t="n">
        <f aca="false">ROUNDUP(H1758/BS1758,0)</f>
        <v>0</v>
      </c>
      <c r="CE1758" s="57" t="n">
        <f aca="false">ROUNDUP(CB1758/BS1758,0)</f>
        <v>0</v>
      </c>
      <c r="CF1758" s="60" t="n">
        <f aca="false">IF(BT1758=1,0,IFERROR(VLOOKUP(BR1758,'Gebinde-Kategorie'!$A$5:$M$45,5,0)+0,0))</f>
        <v>0</v>
      </c>
      <c r="CG1758" s="60" t="n">
        <f aca="false">IFERROR(IF(OR(BX1758=1,BX1758=2,BX1758=3),N(INDEX(Parameter!$I$5:$I$7,BX1758)),0),0)</f>
        <v>0</v>
      </c>
      <c r="CH1758" s="59" t="n">
        <f aca="false">IF(AND(Parameter!$B$21="Ja",ISNUMBER(W1758),N(X1758)&gt;0),IFERROR(N(INDEX(Parameter!$L$5:$L$7,W1758))*INDEX(Parameter!$E$5:$E$7,W1758)*X1758/SUMIFS($X$7:$X$1843,$W$7:$W$1843,W1758),0),0)</f>
        <v>0</v>
      </c>
    </row>
    <row r="1759" customFormat="false" ht="15" hidden="false" customHeight="false" outlineLevel="0" collapsed="false">
      <c r="A1759" s="55" t="str">
        <f aca="false">IF('Neue Artikel'!$A$20="","",'Neue Artikel'!$A$20&amp;"")</f>
        <v/>
      </c>
      <c r="B1759" s="55" t="str">
        <f aca="false">'Neue Artikel'!$B$20&amp;""</f>
        <v/>
      </c>
      <c r="C1759" s="55"/>
      <c r="D1759" s="55" t="s">
        <v>3015</v>
      </c>
      <c r="E1759" s="55"/>
      <c r="F1759" s="55"/>
      <c r="G1759" s="56" t="n">
        <f aca="false">N('Neue Artikel'!$G$20)</f>
        <v>0</v>
      </c>
      <c r="H1759" s="57" t="n">
        <f aca="false">MAX(0,IF(AND(Parameter!$B$21="Ja",ISNUMBER(Y1759)),Y1759,IF(Parameter!$B$20="Jahresanfang 2025 + Export",BL1759+BK1759,BK1759)))</f>
        <v>0</v>
      </c>
      <c r="I1759" s="57" t="n">
        <f aca="false">H1759*G1759</f>
        <v>0</v>
      </c>
      <c r="J1759" s="57" t="n">
        <f aca="false">BN1759*Parameter!$B$18</f>
        <v>0</v>
      </c>
      <c r="K1759" s="58"/>
      <c r="L1759" s="59"/>
      <c r="M1759" s="57" t="n">
        <f aca="false">N('Neue Artikel'!$E$20)</f>
        <v>0</v>
      </c>
      <c r="N1759" s="57" t="n">
        <f aca="false">N('Neue Artikel'!$F$20)</f>
        <v>0</v>
      </c>
      <c r="O1759" s="60"/>
      <c r="P1759" s="55" t="str">
        <f aca="false">IF('Neue Artikel'!$H$20="","LOSE",UPPER(TRIM('Neue Artikel'!$H$20)))</f>
        <v>LOSE</v>
      </c>
      <c r="Q1759" s="57" t="n">
        <f aca="false">N('Neue Artikel'!$I$20)</f>
        <v>0</v>
      </c>
      <c r="R1759" s="60" t="n">
        <f aca="false">IF(BT1759=1,0,IFERROR(VLOOKUP(BR1759,'Gebinde-Kategorie'!$A$5:$M$45,13,0)+0,0))</f>
        <v>0</v>
      </c>
      <c r="S1759" s="61"/>
      <c r="T1759" s="62"/>
      <c r="U1759" s="62"/>
      <c r="V1759" s="62"/>
      <c r="W1759" s="55"/>
      <c r="X1759" s="57"/>
      <c r="Y1759" s="57"/>
      <c r="Z1759" s="55" t="str">
        <f aca="false">IF(A1759="","",IF(AND(Parameter!$B$21="Ja",ISNUMBER(W1759)),W1759,IF(BV1759="2+3",IF(ISNUMBER(SEARCH("grosser Artikel",BO1759)),2,IFERROR(VLOOKUP(BR1759,Parameter!$F$35:$G$64,2,0),2)),IF(OR(BV1759="Nein",BV1759=""),"-",BV1759))))</f>
        <v/>
      </c>
      <c r="AA1759" s="55" t="str">
        <f aca="false">IF('Neue Artikel'!$J$20="","",'Neue Artikel'!$J$20)</f>
        <v/>
      </c>
      <c r="AB1759" s="63"/>
      <c r="AC1759" s="57" t="n">
        <f aca="false">AR1759</f>
        <v>0</v>
      </c>
      <c r="AD1759" s="57" t="n">
        <f aca="false">MAX(AR1759,H1759)</f>
        <v>0</v>
      </c>
      <c r="AE1759" s="64"/>
      <c r="AF1759" s="57" t="n">
        <f aca="false">IF(LEFT(Cockpit!$C$5,1)="A",H1759,IF(CA1759=1,CB1759,IF(LEFT(Cockpit!$C$5,1)="B",AJ1759,MAX(AJ1759,H1759))))</f>
        <v>0</v>
      </c>
      <c r="AG1759" s="57" t="n">
        <f aca="false">IF(BT1759=1,0,ROUNDUP(AF1759/BS1759,0))</f>
        <v>0</v>
      </c>
      <c r="AH1759" s="59" t="n">
        <f aca="false">IF(CH1759&gt;0,CH1759*MAX(1,AF1759/X1759),IF(BT1759=1,IF(AF1759&lt;=0,0,BW1759*MAX(1,IF(H1759&gt;0,AF1759/H1759,1))),IF(R1759&gt;0,AG1759/R1759,0))/MAX(0.1,N(Parameter!$M$21)))</f>
        <v>0</v>
      </c>
      <c r="AI1759" s="57" t="n">
        <f aca="false">AF1759*G1759</f>
        <v>0</v>
      </c>
      <c r="AJ1759" s="57" t="n">
        <f aca="false">ROUNDUP(MAX(J1759/IF(BZ1759&gt;0,BZ1759,MAX(0.1,N(Cockpit!$C$6))),CC1759)/BS1759,0)*BS1759</f>
        <v>0</v>
      </c>
      <c r="AK1759" s="58" t="n">
        <f aca="false">IF(AH1759&gt;0,J1759/AH1759,-1)</f>
        <v>-1</v>
      </c>
      <c r="AL1759" s="58" t="str">
        <f aca="false">IF(AND(OR(BY1759="L1",BY1759="L23"),AH1759&gt;0),SUMIFS($AH$7:$AH$1843,$BY$7:$BY$1843,BY1759,$AK$7:$AK$1843,"&gt;"&amp;AK1759)+SUMIFS($AH$7:$AH$1843,$BY$7:$BY$1843,BY1759,$AK$7:$AK$1843,AK1759,$BQ$7:$BQ$1843,"&lt;="&amp;BQ1759),"")</f>
        <v/>
      </c>
      <c r="AM1759" s="65" t="n">
        <f aca="false">IF(AL1759="",0,MAX(0,MIN(1,(IF(BY1759="L1",Parameter!$E$5,Parameter!$E$6+Parameter!$E$7)-(AL1759-AH1759))/AH1759)))</f>
        <v>0</v>
      </c>
      <c r="AN1759" s="57" t="n">
        <f aca="false">IF(LEFT(Cockpit!$I$5,1)="A",H1759,IF(CA1759=1,CB1759,IF(LEFT(Cockpit!$I$5,1)="B",AR1759,MAX(AR1759,H1759))))</f>
        <v>0</v>
      </c>
      <c r="AO1759" s="57" t="n">
        <f aca="false">IF(BT1759=1,0,ROUNDUP(AN1759/BS1759,0))</f>
        <v>0</v>
      </c>
      <c r="AP1759" s="59" t="n">
        <f aca="false">IF(CH1759&gt;0,CH1759*MAX(1,AN1759/X1759),IF(BT1759=1,IF(AN1759&lt;=0,0,BW1759*MAX(1,IF(H1759&gt;0,AN1759/H1759,1))),IF(R1759&gt;0,AO1759/R1759,0))/MAX(0.1,N(Parameter!$M$21)))</f>
        <v>0</v>
      </c>
      <c r="AQ1759" s="57" t="n">
        <f aca="false">AN1759*G1759</f>
        <v>0</v>
      </c>
      <c r="AR1759" s="57" t="n">
        <f aca="false">ROUNDUP(MAX(J1759/IF(BZ1759&gt;0,BZ1759,MAX(0.1,N(Cockpit!$I$6))),CC1759)/BS1759,0)*BS1759</f>
        <v>0</v>
      </c>
      <c r="AS1759" s="58" t="n">
        <f aca="false">IF(AP1759&gt;0,J1759/AP1759,-1)</f>
        <v>-1</v>
      </c>
      <c r="AT1759" s="58" t="str">
        <f aca="false">IF(AND(OR(BY1759="L1",BY1759="L23"),AP1759&gt;0),SUMIFS($AP$7:$AP$1843,$BY$7:$BY$1843,BY1759,$AS$7:$AS$1843,"&gt;"&amp;AS1759)+SUMIFS($AP$7:$AP$1843,$BY$7:$BY$1843,BY1759,$AS$7:$AS$1843,AS1759,$BQ$7:$BQ$1843,"&lt;="&amp;BQ1759),"")</f>
        <v/>
      </c>
      <c r="AU1759" s="65" t="n">
        <f aca="false">IF(AT1759="",0,MAX(0,MIN(1,(IF(BY1759="L1",Parameter!$E$5,Parameter!$E$6+Parameter!$E$7)-(AT1759-AP1759))/AP1759)))</f>
        <v>0</v>
      </c>
      <c r="AV1759" s="57" t="n">
        <f aca="false">IF(LEFT(Cockpit!$O$5,1)="A",H1759,IF(CA1759=1,CB1759,IF(LEFT(Cockpit!$O$5,1)="B",AZ1759,MAX(AZ1759,H1759))))</f>
        <v>0</v>
      </c>
      <c r="AW1759" s="57" t="n">
        <f aca="false">IF(BT1759=1,0,ROUNDUP(AV1759/BS1759,0))</f>
        <v>0</v>
      </c>
      <c r="AX1759" s="59" t="n">
        <f aca="false">IF(CH1759&gt;0,CH1759*MAX(1,AV1759/X1759),IF(BT1759=1,IF(AV1759&lt;=0,0,BW1759*MAX(1,IF(H1759&gt;0,AV1759/H1759,1))),IF(R1759&gt;0,AW1759/R1759,0))/MAX(0.1,N(Parameter!$M$21)))</f>
        <v>0</v>
      </c>
      <c r="AY1759" s="57" t="n">
        <f aca="false">AV1759*G1759</f>
        <v>0</v>
      </c>
      <c r="AZ1759" s="57" t="n">
        <f aca="false">ROUNDUP(MAX(J1759/IF(BZ1759&gt;0,BZ1759,MAX(0.1,N(Cockpit!$O$6))),CC1759)/BS1759,0)*BS1759</f>
        <v>0</v>
      </c>
      <c r="BA1759" s="58" t="n">
        <f aca="false">IF(AX1759&gt;0,J1759/AX1759,-1)</f>
        <v>-1</v>
      </c>
      <c r="BB1759" s="58" t="str">
        <f aca="false">IF(AND(OR(BY1759="L1",BY1759="L23"),AX1759&gt;0),SUMIFS($AX$7:$AX$1843,$BY$7:$BY$1843,BY1759,$BA$7:$BA$1843,"&gt;"&amp;BA1759)+SUMIFS($AX$7:$AX$1843,$BY$7:$BY$1843,BY1759,$BA$7:$BA$1843,BA1759,$BQ$7:$BQ$1843,"&lt;="&amp;BQ1759),"")</f>
        <v/>
      </c>
      <c r="BC1759" s="65" t="n">
        <f aca="false">IF(BB1759="",0,MAX(0,MIN(1,(IF(BY1759="L1",Parameter!$E$5,Parameter!$E$6+Parameter!$E$7)-(BB1759-AX1759))/AX1759)))</f>
        <v>0</v>
      </c>
      <c r="BD1759" s="55" t="str">
        <f aca="false">IF(AH1759&lt;=0,"",IF(BY1759="Aussen","Aussenlager",IF(BY1759="-","Nicht im Lift",IF(AM1759&gt;=1,"Lift",IF(AM1759&lt;=0,"Aussenlager","teilweise")))))</f>
        <v/>
      </c>
      <c r="BE1759" s="55" t="str">
        <f aca="false">IF(AP1759&lt;=0,"",IF(BY1759="Aussen","Aussenlager",IF(BY1759="-","Nicht im Lift",IF(AU1759&gt;=1,"Lift",IF(AU1759&lt;=0,"Aussenlager","teilweise")))))</f>
        <v/>
      </c>
      <c r="BF1759" s="55" t="str">
        <f aca="false">IF(AX1759&lt;=0,"",IF(BY1759="Aussen","Aussenlager",IF(BY1759="-","Nicht im Lift",IF(BC1759&gt;=1,"Lift",IF(BC1759&lt;=0,"Aussenlager","teilweise")))))</f>
        <v/>
      </c>
      <c r="BG1759" s="55" t="str">
        <f aca="false">IF(A1759="","",IF(BP1759=1,"Neu; ","")&amp;IF(AND(BP1759=0,BK1759&lt;0),"negativer Bestand (Export "&amp;BK1759&amp;"); ","")&amp;IF(J1759&lt;=0,"Kein Verbrauch; ","")&amp;IF(CH1759&gt;0,"Lift "&amp;W1759&amp;" lt. Liftbericht (Fach "&amp;X1759&amp;" Stk); ",IF(BU1759=1,"Gebinde geschätzt ("&amp;T1759&amp;"); ",IF(BT1759=1,"Lose – Tablare geschätzt; ","")))&amp;IF(H1759&gt;AR1759,"Überbestand "&amp;ROUND(H1759-AR1759,0)&amp;" Stk / CHF "&amp;ROUND((H1759-AR1759)*G1759,0)&amp;"; ","")&amp;IF(AND(CA1759=1,CB1759&lt;CC1759),"MAX &lt; MB+LG; ","")&amp;IF(AND(CG1759&gt;0,CF1759*10&gt;CG1759),"zu hoch für Tablar; ","")&amp;IF(AND(BP1759=0,OR(CA1759=1,AA1759&lt;&gt;"",U1759&lt;&gt;"",V1759&lt;&gt;"",AB1759&lt;&gt;"")),"manuell übersteuert; ","")&amp;IF(AND(BT1759=0,R1759=0),"Gebinde unbekannt / Stellmass fehlt; ","")&amp;IF(AND(BT1759=0,N(V1759)&lt;=0,N(Q1759)&lt;=0),"Menge pro Gebinde fehlt (Ist = 1 Gebinde); ","")&amp;BO1759)</f>
        <v/>
      </c>
      <c r="BH1759" s="55"/>
      <c r="BI1759" s="55"/>
      <c r="BJ1759" s="62"/>
      <c r="BK1759" s="57" t="n">
        <f aca="false">N('Neue Artikel'!$D$20)</f>
        <v>0</v>
      </c>
      <c r="BL1759" s="57" t="n">
        <v>0</v>
      </c>
      <c r="BM1759" s="56" t="n">
        <v>0</v>
      </c>
      <c r="BN1759" s="57" t="n">
        <f aca="false">N('Neue Artikel'!$C$20)/Parameter!$B$18</f>
        <v>0</v>
      </c>
      <c r="BO1759" s="55"/>
      <c r="BP1759" s="60" t="n">
        <v>1</v>
      </c>
      <c r="BQ1759" s="60" t="n">
        <v>1759</v>
      </c>
      <c r="BR1759" s="55" t="str">
        <f aca="false">IF(U1759&lt;&gt;"",UPPER(TRIM(U1759)),IF(BU1759=1,UPPER(VLOOKUP(T1759,Parameter!$I$27:$K$29,2,0)),IF(P1759="","LOSE",P1759)))</f>
        <v>LOSE</v>
      </c>
      <c r="BS1759" s="57" t="n">
        <f aca="false">IF(BR1759="LOSE",1,IF(N(V1759)&gt;0,V1759,IF(BU1759=1,MAX(1,N(VLOOKUP(T1759,Parameter!$I$27:$K$29,3,0)),H1759,N(N1759)),IF(N(Q1759)&gt;0,Q1759,MAX(1,H1759)))))</f>
        <v>1</v>
      </c>
      <c r="BT1759" s="60" t="n">
        <f aca="false">IF(BR1759="LOSE",1,0)</f>
        <v>1</v>
      </c>
      <c r="BU1759" s="60" t="n">
        <f aca="false">IF(AND(U1759="",OR(P1759="",P1759="LOSE"),T1759&lt;&gt;"",N(S1759)&lt;=0,ISNUMBER(MATCH(T1759,Parameter!$I$27:$I$29,0))),1,0)</f>
        <v>0</v>
      </c>
      <c r="BV1759" s="55" t="str">
        <f aca="false">IF(AND(Parameter!$B$19="Ja",E1759&lt;&gt;"",ISNUMBER(MATCH(E1759,Parameter!$I$35:$I$52,0))),VLOOKUP(E1759,Parameter!$I$35:$J$52,2,0),IFERROR(VLOOKUP(D1759,Parameter!$A$35:$C$64,2,0),"Nein"))</f>
        <v>2+3</v>
      </c>
      <c r="BW1759" s="59" t="n">
        <f aca="false">IF(BT1759=0,0,IF(N(S1759)&gt;0,S1759,IFERROR(VLOOKUP(D1759,Parameter!$A$35:$C$64,3,0)+0,0)))</f>
        <v>0.15</v>
      </c>
      <c r="BX1759" s="55" t="str">
        <f aca="false">IF(AA1759&lt;&gt;"",AA1759,Z1759)</f>
        <v/>
      </c>
      <c r="BY1759" s="55" t="str">
        <f aca="false">IF(BX1759=1,"L1",IF(OR(BX1759=2,BX1759=3),"L23",IF(BX1759="Aussen","Aussen","-")))</f>
        <v>-</v>
      </c>
      <c r="BZ1759" s="66" t="n">
        <f aca="false">IF(N(AB1759)&gt;0,AB1759,0)</f>
        <v>0</v>
      </c>
      <c r="CA1759" s="60" t="n">
        <f aca="false">IF(ISNUMBER(AE1759),1,0)</f>
        <v>0</v>
      </c>
      <c r="CB1759" s="57" t="n">
        <f aca="false">N(AE1759)</f>
        <v>0</v>
      </c>
      <c r="CC1759" s="57" t="n">
        <f aca="false">N(M1759)+N(N1759)</f>
        <v>0</v>
      </c>
      <c r="CD1759" s="57" t="n">
        <f aca="false">ROUNDUP(H1759/BS1759,0)</f>
        <v>0</v>
      </c>
      <c r="CE1759" s="57" t="n">
        <f aca="false">ROUNDUP(CB1759/BS1759,0)</f>
        <v>0</v>
      </c>
      <c r="CF1759" s="60" t="n">
        <f aca="false">IF(BT1759=1,0,IFERROR(VLOOKUP(BR1759,'Gebinde-Kategorie'!$A$5:$M$45,5,0)+0,0))</f>
        <v>0</v>
      </c>
      <c r="CG1759" s="60" t="n">
        <f aca="false">IFERROR(IF(OR(BX1759=1,BX1759=2,BX1759=3),N(INDEX(Parameter!$I$5:$I$7,BX1759)),0),0)</f>
        <v>0</v>
      </c>
      <c r="CH1759" s="59" t="n">
        <f aca="false">IF(AND(Parameter!$B$21="Ja",ISNUMBER(W1759),N(X1759)&gt;0),IFERROR(N(INDEX(Parameter!$L$5:$L$7,W1759))*INDEX(Parameter!$E$5:$E$7,W1759)*X1759/SUMIFS($X$7:$X$1843,$W$7:$W$1843,W1759),0),0)</f>
        <v>0</v>
      </c>
    </row>
    <row r="1760" customFormat="false" ht="15" hidden="false" customHeight="false" outlineLevel="0" collapsed="false">
      <c r="A1760" s="55" t="str">
        <f aca="false">IF('Neue Artikel'!$A$21="","",'Neue Artikel'!$A$21&amp;"")</f>
        <v/>
      </c>
      <c r="B1760" s="55" t="str">
        <f aca="false">'Neue Artikel'!$B$21&amp;""</f>
        <v/>
      </c>
      <c r="C1760" s="55"/>
      <c r="D1760" s="55" t="s">
        <v>3015</v>
      </c>
      <c r="E1760" s="55"/>
      <c r="F1760" s="55"/>
      <c r="G1760" s="56" t="n">
        <f aca="false">N('Neue Artikel'!$G$21)</f>
        <v>0</v>
      </c>
      <c r="H1760" s="57" t="n">
        <f aca="false">MAX(0,IF(AND(Parameter!$B$21="Ja",ISNUMBER(Y1760)),Y1760,IF(Parameter!$B$20="Jahresanfang 2025 + Export",BL1760+BK1760,BK1760)))</f>
        <v>0</v>
      </c>
      <c r="I1760" s="57" t="n">
        <f aca="false">H1760*G1760</f>
        <v>0</v>
      </c>
      <c r="J1760" s="57" t="n">
        <f aca="false">BN1760*Parameter!$B$18</f>
        <v>0</v>
      </c>
      <c r="K1760" s="58"/>
      <c r="L1760" s="59"/>
      <c r="M1760" s="57" t="n">
        <f aca="false">N('Neue Artikel'!$E$21)</f>
        <v>0</v>
      </c>
      <c r="N1760" s="57" t="n">
        <f aca="false">N('Neue Artikel'!$F$21)</f>
        <v>0</v>
      </c>
      <c r="O1760" s="60"/>
      <c r="P1760" s="55" t="str">
        <f aca="false">IF('Neue Artikel'!$H$21="","LOSE",UPPER(TRIM('Neue Artikel'!$H$21)))</f>
        <v>LOSE</v>
      </c>
      <c r="Q1760" s="57" t="n">
        <f aca="false">N('Neue Artikel'!$I$21)</f>
        <v>0</v>
      </c>
      <c r="R1760" s="60" t="n">
        <f aca="false">IF(BT1760=1,0,IFERROR(VLOOKUP(BR1760,'Gebinde-Kategorie'!$A$5:$M$45,13,0)+0,0))</f>
        <v>0</v>
      </c>
      <c r="S1760" s="61"/>
      <c r="T1760" s="62"/>
      <c r="U1760" s="62"/>
      <c r="V1760" s="62"/>
      <c r="W1760" s="55"/>
      <c r="X1760" s="57"/>
      <c r="Y1760" s="57"/>
      <c r="Z1760" s="55" t="str">
        <f aca="false">IF(A1760="","",IF(AND(Parameter!$B$21="Ja",ISNUMBER(W1760)),W1760,IF(BV1760="2+3",IF(ISNUMBER(SEARCH("grosser Artikel",BO1760)),2,IFERROR(VLOOKUP(BR1760,Parameter!$F$35:$G$64,2,0),2)),IF(OR(BV1760="Nein",BV1760=""),"-",BV1760))))</f>
        <v/>
      </c>
      <c r="AA1760" s="55" t="str">
        <f aca="false">IF('Neue Artikel'!$J$21="","",'Neue Artikel'!$J$21)</f>
        <v/>
      </c>
      <c r="AB1760" s="63"/>
      <c r="AC1760" s="57" t="n">
        <f aca="false">AR1760</f>
        <v>0</v>
      </c>
      <c r="AD1760" s="57" t="n">
        <f aca="false">MAX(AR1760,H1760)</f>
        <v>0</v>
      </c>
      <c r="AE1760" s="64"/>
      <c r="AF1760" s="57" t="n">
        <f aca="false">IF(LEFT(Cockpit!$C$5,1)="A",H1760,IF(CA1760=1,CB1760,IF(LEFT(Cockpit!$C$5,1)="B",AJ1760,MAX(AJ1760,H1760))))</f>
        <v>0</v>
      </c>
      <c r="AG1760" s="57" t="n">
        <f aca="false">IF(BT1760=1,0,ROUNDUP(AF1760/BS1760,0))</f>
        <v>0</v>
      </c>
      <c r="AH1760" s="59" t="n">
        <f aca="false">IF(CH1760&gt;0,CH1760*MAX(1,AF1760/X1760),IF(BT1760=1,IF(AF1760&lt;=0,0,BW1760*MAX(1,IF(H1760&gt;0,AF1760/H1760,1))),IF(R1760&gt;0,AG1760/R1760,0))/MAX(0.1,N(Parameter!$M$21)))</f>
        <v>0</v>
      </c>
      <c r="AI1760" s="57" t="n">
        <f aca="false">AF1760*G1760</f>
        <v>0</v>
      </c>
      <c r="AJ1760" s="57" t="n">
        <f aca="false">ROUNDUP(MAX(J1760/IF(BZ1760&gt;0,BZ1760,MAX(0.1,N(Cockpit!$C$6))),CC1760)/BS1760,0)*BS1760</f>
        <v>0</v>
      </c>
      <c r="AK1760" s="58" t="n">
        <f aca="false">IF(AH1760&gt;0,J1760/AH1760,-1)</f>
        <v>-1</v>
      </c>
      <c r="AL1760" s="58" t="str">
        <f aca="false">IF(AND(OR(BY1760="L1",BY1760="L23"),AH1760&gt;0),SUMIFS($AH$7:$AH$1843,$BY$7:$BY$1843,BY1760,$AK$7:$AK$1843,"&gt;"&amp;AK1760)+SUMIFS($AH$7:$AH$1843,$BY$7:$BY$1843,BY1760,$AK$7:$AK$1843,AK1760,$BQ$7:$BQ$1843,"&lt;="&amp;BQ1760),"")</f>
        <v/>
      </c>
      <c r="AM1760" s="65" t="n">
        <f aca="false">IF(AL1760="",0,MAX(0,MIN(1,(IF(BY1760="L1",Parameter!$E$5,Parameter!$E$6+Parameter!$E$7)-(AL1760-AH1760))/AH1760)))</f>
        <v>0</v>
      </c>
      <c r="AN1760" s="57" t="n">
        <f aca="false">IF(LEFT(Cockpit!$I$5,1)="A",H1760,IF(CA1760=1,CB1760,IF(LEFT(Cockpit!$I$5,1)="B",AR1760,MAX(AR1760,H1760))))</f>
        <v>0</v>
      </c>
      <c r="AO1760" s="57" t="n">
        <f aca="false">IF(BT1760=1,0,ROUNDUP(AN1760/BS1760,0))</f>
        <v>0</v>
      </c>
      <c r="AP1760" s="59" t="n">
        <f aca="false">IF(CH1760&gt;0,CH1760*MAX(1,AN1760/X1760),IF(BT1760=1,IF(AN1760&lt;=0,0,BW1760*MAX(1,IF(H1760&gt;0,AN1760/H1760,1))),IF(R1760&gt;0,AO1760/R1760,0))/MAX(0.1,N(Parameter!$M$21)))</f>
        <v>0</v>
      </c>
      <c r="AQ1760" s="57" t="n">
        <f aca="false">AN1760*G1760</f>
        <v>0</v>
      </c>
      <c r="AR1760" s="57" t="n">
        <f aca="false">ROUNDUP(MAX(J1760/IF(BZ1760&gt;0,BZ1760,MAX(0.1,N(Cockpit!$I$6))),CC1760)/BS1760,0)*BS1760</f>
        <v>0</v>
      </c>
      <c r="AS1760" s="58" t="n">
        <f aca="false">IF(AP1760&gt;0,J1760/AP1760,-1)</f>
        <v>-1</v>
      </c>
      <c r="AT1760" s="58" t="str">
        <f aca="false">IF(AND(OR(BY1760="L1",BY1760="L23"),AP1760&gt;0),SUMIFS($AP$7:$AP$1843,$BY$7:$BY$1843,BY1760,$AS$7:$AS$1843,"&gt;"&amp;AS1760)+SUMIFS($AP$7:$AP$1843,$BY$7:$BY$1843,BY1760,$AS$7:$AS$1843,AS1760,$BQ$7:$BQ$1843,"&lt;="&amp;BQ1760),"")</f>
        <v/>
      </c>
      <c r="AU1760" s="65" t="n">
        <f aca="false">IF(AT1760="",0,MAX(0,MIN(1,(IF(BY1760="L1",Parameter!$E$5,Parameter!$E$6+Parameter!$E$7)-(AT1760-AP1760))/AP1760)))</f>
        <v>0</v>
      </c>
      <c r="AV1760" s="57" t="n">
        <f aca="false">IF(LEFT(Cockpit!$O$5,1)="A",H1760,IF(CA1760=1,CB1760,IF(LEFT(Cockpit!$O$5,1)="B",AZ1760,MAX(AZ1760,H1760))))</f>
        <v>0</v>
      </c>
      <c r="AW1760" s="57" t="n">
        <f aca="false">IF(BT1760=1,0,ROUNDUP(AV1760/BS1760,0))</f>
        <v>0</v>
      </c>
      <c r="AX1760" s="59" t="n">
        <f aca="false">IF(CH1760&gt;0,CH1760*MAX(1,AV1760/X1760),IF(BT1760=1,IF(AV1760&lt;=0,0,BW1760*MAX(1,IF(H1760&gt;0,AV1760/H1760,1))),IF(R1760&gt;0,AW1760/R1760,0))/MAX(0.1,N(Parameter!$M$21)))</f>
        <v>0</v>
      </c>
      <c r="AY1760" s="57" t="n">
        <f aca="false">AV1760*G1760</f>
        <v>0</v>
      </c>
      <c r="AZ1760" s="57" t="n">
        <f aca="false">ROUNDUP(MAX(J1760/IF(BZ1760&gt;0,BZ1760,MAX(0.1,N(Cockpit!$O$6))),CC1760)/BS1760,0)*BS1760</f>
        <v>0</v>
      </c>
      <c r="BA1760" s="58" t="n">
        <f aca="false">IF(AX1760&gt;0,J1760/AX1760,-1)</f>
        <v>-1</v>
      </c>
      <c r="BB1760" s="58" t="str">
        <f aca="false">IF(AND(OR(BY1760="L1",BY1760="L23"),AX1760&gt;0),SUMIFS($AX$7:$AX$1843,$BY$7:$BY$1843,BY1760,$BA$7:$BA$1843,"&gt;"&amp;BA1760)+SUMIFS($AX$7:$AX$1843,$BY$7:$BY$1843,BY1760,$BA$7:$BA$1843,BA1760,$BQ$7:$BQ$1843,"&lt;="&amp;BQ1760),"")</f>
        <v/>
      </c>
      <c r="BC1760" s="65" t="n">
        <f aca="false">IF(BB1760="",0,MAX(0,MIN(1,(IF(BY1760="L1",Parameter!$E$5,Parameter!$E$6+Parameter!$E$7)-(BB1760-AX1760))/AX1760)))</f>
        <v>0</v>
      </c>
      <c r="BD1760" s="55" t="str">
        <f aca="false">IF(AH1760&lt;=0,"",IF(BY1760="Aussen","Aussenlager",IF(BY1760="-","Nicht im Lift",IF(AM1760&gt;=1,"Lift",IF(AM1760&lt;=0,"Aussenlager","teilweise")))))</f>
        <v/>
      </c>
      <c r="BE1760" s="55" t="str">
        <f aca="false">IF(AP1760&lt;=0,"",IF(BY1760="Aussen","Aussenlager",IF(BY1760="-","Nicht im Lift",IF(AU1760&gt;=1,"Lift",IF(AU1760&lt;=0,"Aussenlager","teilweise")))))</f>
        <v/>
      </c>
      <c r="BF1760" s="55" t="str">
        <f aca="false">IF(AX1760&lt;=0,"",IF(BY1760="Aussen","Aussenlager",IF(BY1760="-","Nicht im Lift",IF(BC1760&gt;=1,"Lift",IF(BC1760&lt;=0,"Aussenlager","teilweise")))))</f>
        <v/>
      </c>
      <c r="BG1760" s="55" t="str">
        <f aca="false">IF(A1760="","",IF(BP1760=1,"Neu; ","")&amp;IF(AND(BP1760=0,BK1760&lt;0),"negativer Bestand (Export "&amp;BK1760&amp;"); ","")&amp;IF(J1760&lt;=0,"Kein Verbrauch; ","")&amp;IF(CH1760&gt;0,"Lift "&amp;W1760&amp;" lt. Liftbericht (Fach "&amp;X1760&amp;" Stk); ",IF(BU1760=1,"Gebinde geschätzt ("&amp;T1760&amp;"); ",IF(BT1760=1,"Lose – Tablare geschätzt; ","")))&amp;IF(H1760&gt;AR1760,"Überbestand "&amp;ROUND(H1760-AR1760,0)&amp;" Stk / CHF "&amp;ROUND((H1760-AR1760)*G1760,0)&amp;"; ","")&amp;IF(AND(CA1760=1,CB1760&lt;CC1760),"MAX &lt; MB+LG; ","")&amp;IF(AND(CG1760&gt;0,CF1760*10&gt;CG1760),"zu hoch für Tablar; ","")&amp;IF(AND(BP1760=0,OR(CA1760=1,AA1760&lt;&gt;"",U1760&lt;&gt;"",V1760&lt;&gt;"",AB1760&lt;&gt;"")),"manuell übersteuert; ","")&amp;IF(AND(BT1760=0,R1760=0),"Gebinde unbekannt / Stellmass fehlt; ","")&amp;IF(AND(BT1760=0,N(V1760)&lt;=0,N(Q1760)&lt;=0),"Menge pro Gebinde fehlt (Ist = 1 Gebinde); ","")&amp;BO1760)</f>
        <v/>
      </c>
      <c r="BH1760" s="55"/>
      <c r="BI1760" s="55"/>
      <c r="BJ1760" s="62"/>
      <c r="BK1760" s="57" t="n">
        <f aca="false">N('Neue Artikel'!$D$21)</f>
        <v>0</v>
      </c>
      <c r="BL1760" s="57" t="n">
        <v>0</v>
      </c>
      <c r="BM1760" s="56" t="n">
        <v>0</v>
      </c>
      <c r="BN1760" s="57" t="n">
        <f aca="false">N('Neue Artikel'!$C$21)/Parameter!$B$18</f>
        <v>0</v>
      </c>
      <c r="BO1760" s="55"/>
      <c r="BP1760" s="60" t="n">
        <v>1</v>
      </c>
      <c r="BQ1760" s="60" t="n">
        <v>1760</v>
      </c>
      <c r="BR1760" s="55" t="str">
        <f aca="false">IF(U1760&lt;&gt;"",UPPER(TRIM(U1760)),IF(BU1760=1,UPPER(VLOOKUP(T1760,Parameter!$I$27:$K$29,2,0)),IF(P1760="","LOSE",P1760)))</f>
        <v>LOSE</v>
      </c>
      <c r="BS1760" s="57" t="n">
        <f aca="false">IF(BR1760="LOSE",1,IF(N(V1760)&gt;0,V1760,IF(BU1760=1,MAX(1,N(VLOOKUP(T1760,Parameter!$I$27:$K$29,3,0)),H1760,N(N1760)),IF(N(Q1760)&gt;0,Q1760,MAX(1,H1760)))))</f>
        <v>1</v>
      </c>
      <c r="BT1760" s="60" t="n">
        <f aca="false">IF(BR1760="LOSE",1,0)</f>
        <v>1</v>
      </c>
      <c r="BU1760" s="60" t="n">
        <f aca="false">IF(AND(U1760="",OR(P1760="",P1760="LOSE"),T1760&lt;&gt;"",N(S1760)&lt;=0,ISNUMBER(MATCH(T1760,Parameter!$I$27:$I$29,0))),1,0)</f>
        <v>0</v>
      </c>
      <c r="BV1760" s="55" t="str">
        <f aca="false">IF(AND(Parameter!$B$19="Ja",E1760&lt;&gt;"",ISNUMBER(MATCH(E1760,Parameter!$I$35:$I$52,0))),VLOOKUP(E1760,Parameter!$I$35:$J$52,2,0),IFERROR(VLOOKUP(D1760,Parameter!$A$35:$C$64,2,0),"Nein"))</f>
        <v>2+3</v>
      </c>
      <c r="BW1760" s="59" t="n">
        <f aca="false">IF(BT1760=0,0,IF(N(S1760)&gt;0,S1760,IFERROR(VLOOKUP(D1760,Parameter!$A$35:$C$64,3,0)+0,0)))</f>
        <v>0.15</v>
      </c>
      <c r="BX1760" s="55" t="str">
        <f aca="false">IF(AA1760&lt;&gt;"",AA1760,Z1760)</f>
        <v/>
      </c>
      <c r="BY1760" s="55" t="str">
        <f aca="false">IF(BX1760=1,"L1",IF(OR(BX1760=2,BX1760=3),"L23",IF(BX1760="Aussen","Aussen","-")))</f>
        <v>-</v>
      </c>
      <c r="BZ1760" s="66" t="n">
        <f aca="false">IF(N(AB1760)&gt;0,AB1760,0)</f>
        <v>0</v>
      </c>
      <c r="CA1760" s="60" t="n">
        <f aca="false">IF(ISNUMBER(AE1760),1,0)</f>
        <v>0</v>
      </c>
      <c r="CB1760" s="57" t="n">
        <f aca="false">N(AE1760)</f>
        <v>0</v>
      </c>
      <c r="CC1760" s="57" t="n">
        <f aca="false">N(M1760)+N(N1760)</f>
        <v>0</v>
      </c>
      <c r="CD1760" s="57" t="n">
        <f aca="false">ROUNDUP(H1760/BS1760,0)</f>
        <v>0</v>
      </c>
      <c r="CE1760" s="57" t="n">
        <f aca="false">ROUNDUP(CB1760/BS1760,0)</f>
        <v>0</v>
      </c>
      <c r="CF1760" s="60" t="n">
        <f aca="false">IF(BT1760=1,0,IFERROR(VLOOKUP(BR1760,'Gebinde-Kategorie'!$A$5:$M$45,5,0)+0,0))</f>
        <v>0</v>
      </c>
      <c r="CG1760" s="60" t="n">
        <f aca="false">IFERROR(IF(OR(BX1760=1,BX1760=2,BX1760=3),N(INDEX(Parameter!$I$5:$I$7,BX1760)),0),0)</f>
        <v>0</v>
      </c>
      <c r="CH1760" s="59" t="n">
        <f aca="false">IF(AND(Parameter!$B$21="Ja",ISNUMBER(W1760),N(X1760)&gt;0),IFERROR(N(INDEX(Parameter!$L$5:$L$7,W1760))*INDEX(Parameter!$E$5:$E$7,W1760)*X1760/SUMIFS($X$7:$X$1843,$W$7:$W$1843,W1760),0),0)</f>
        <v>0</v>
      </c>
    </row>
    <row r="1761" customFormat="false" ht="15" hidden="false" customHeight="false" outlineLevel="0" collapsed="false">
      <c r="A1761" s="55" t="str">
        <f aca="false">IF('Neue Artikel'!$A$22="","",'Neue Artikel'!$A$22&amp;"")</f>
        <v/>
      </c>
      <c r="B1761" s="55" t="str">
        <f aca="false">'Neue Artikel'!$B$22&amp;""</f>
        <v/>
      </c>
      <c r="C1761" s="55"/>
      <c r="D1761" s="55" t="s">
        <v>3015</v>
      </c>
      <c r="E1761" s="55"/>
      <c r="F1761" s="55"/>
      <c r="G1761" s="56" t="n">
        <f aca="false">N('Neue Artikel'!$G$22)</f>
        <v>0</v>
      </c>
      <c r="H1761" s="57" t="n">
        <f aca="false">MAX(0,IF(AND(Parameter!$B$21="Ja",ISNUMBER(Y1761)),Y1761,IF(Parameter!$B$20="Jahresanfang 2025 + Export",BL1761+BK1761,BK1761)))</f>
        <v>0</v>
      </c>
      <c r="I1761" s="57" t="n">
        <f aca="false">H1761*G1761</f>
        <v>0</v>
      </c>
      <c r="J1761" s="57" t="n">
        <f aca="false">BN1761*Parameter!$B$18</f>
        <v>0</v>
      </c>
      <c r="K1761" s="58"/>
      <c r="L1761" s="59"/>
      <c r="M1761" s="57" t="n">
        <f aca="false">N('Neue Artikel'!$E$22)</f>
        <v>0</v>
      </c>
      <c r="N1761" s="57" t="n">
        <f aca="false">N('Neue Artikel'!$F$22)</f>
        <v>0</v>
      </c>
      <c r="O1761" s="60"/>
      <c r="P1761" s="55" t="str">
        <f aca="false">IF('Neue Artikel'!$H$22="","LOSE",UPPER(TRIM('Neue Artikel'!$H$22)))</f>
        <v>LOSE</v>
      </c>
      <c r="Q1761" s="57" t="n">
        <f aca="false">N('Neue Artikel'!$I$22)</f>
        <v>0</v>
      </c>
      <c r="R1761" s="60" t="n">
        <f aca="false">IF(BT1761=1,0,IFERROR(VLOOKUP(BR1761,'Gebinde-Kategorie'!$A$5:$M$45,13,0)+0,0))</f>
        <v>0</v>
      </c>
      <c r="S1761" s="61"/>
      <c r="T1761" s="62"/>
      <c r="U1761" s="62"/>
      <c r="V1761" s="62"/>
      <c r="W1761" s="55"/>
      <c r="X1761" s="57"/>
      <c r="Y1761" s="57"/>
      <c r="Z1761" s="55" t="str">
        <f aca="false">IF(A1761="","",IF(AND(Parameter!$B$21="Ja",ISNUMBER(W1761)),W1761,IF(BV1761="2+3",IF(ISNUMBER(SEARCH("grosser Artikel",BO1761)),2,IFERROR(VLOOKUP(BR1761,Parameter!$F$35:$G$64,2,0),2)),IF(OR(BV1761="Nein",BV1761=""),"-",BV1761))))</f>
        <v/>
      </c>
      <c r="AA1761" s="55" t="str">
        <f aca="false">IF('Neue Artikel'!$J$22="","",'Neue Artikel'!$J$22)</f>
        <v/>
      </c>
      <c r="AB1761" s="63"/>
      <c r="AC1761" s="57" t="n">
        <f aca="false">AR1761</f>
        <v>0</v>
      </c>
      <c r="AD1761" s="57" t="n">
        <f aca="false">MAX(AR1761,H1761)</f>
        <v>0</v>
      </c>
      <c r="AE1761" s="64"/>
      <c r="AF1761" s="57" t="n">
        <f aca="false">IF(LEFT(Cockpit!$C$5,1)="A",H1761,IF(CA1761=1,CB1761,IF(LEFT(Cockpit!$C$5,1)="B",AJ1761,MAX(AJ1761,H1761))))</f>
        <v>0</v>
      </c>
      <c r="AG1761" s="57" t="n">
        <f aca="false">IF(BT1761=1,0,ROUNDUP(AF1761/BS1761,0))</f>
        <v>0</v>
      </c>
      <c r="AH1761" s="59" t="n">
        <f aca="false">IF(CH1761&gt;0,CH1761*MAX(1,AF1761/X1761),IF(BT1761=1,IF(AF1761&lt;=0,0,BW1761*MAX(1,IF(H1761&gt;0,AF1761/H1761,1))),IF(R1761&gt;0,AG1761/R1761,0))/MAX(0.1,N(Parameter!$M$21)))</f>
        <v>0</v>
      </c>
      <c r="AI1761" s="57" t="n">
        <f aca="false">AF1761*G1761</f>
        <v>0</v>
      </c>
      <c r="AJ1761" s="57" t="n">
        <f aca="false">ROUNDUP(MAX(J1761/IF(BZ1761&gt;0,BZ1761,MAX(0.1,N(Cockpit!$C$6))),CC1761)/BS1761,0)*BS1761</f>
        <v>0</v>
      </c>
      <c r="AK1761" s="58" t="n">
        <f aca="false">IF(AH1761&gt;0,J1761/AH1761,-1)</f>
        <v>-1</v>
      </c>
      <c r="AL1761" s="58" t="str">
        <f aca="false">IF(AND(OR(BY1761="L1",BY1761="L23"),AH1761&gt;0),SUMIFS($AH$7:$AH$1843,$BY$7:$BY$1843,BY1761,$AK$7:$AK$1843,"&gt;"&amp;AK1761)+SUMIFS($AH$7:$AH$1843,$BY$7:$BY$1843,BY1761,$AK$7:$AK$1843,AK1761,$BQ$7:$BQ$1843,"&lt;="&amp;BQ1761),"")</f>
        <v/>
      </c>
      <c r="AM1761" s="65" t="n">
        <f aca="false">IF(AL1761="",0,MAX(0,MIN(1,(IF(BY1761="L1",Parameter!$E$5,Parameter!$E$6+Parameter!$E$7)-(AL1761-AH1761))/AH1761)))</f>
        <v>0</v>
      </c>
      <c r="AN1761" s="57" t="n">
        <f aca="false">IF(LEFT(Cockpit!$I$5,1)="A",H1761,IF(CA1761=1,CB1761,IF(LEFT(Cockpit!$I$5,1)="B",AR1761,MAX(AR1761,H1761))))</f>
        <v>0</v>
      </c>
      <c r="AO1761" s="57" t="n">
        <f aca="false">IF(BT1761=1,0,ROUNDUP(AN1761/BS1761,0))</f>
        <v>0</v>
      </c>
      <c r="AP1761" s="59" t="n">
        <f aca="false">IF(CH1761&gt;0,CH1761*MAX(1,AN1761/X1761),IF(BT1761=1,IF(AN1761&lt;=0,0,BW1761*MAX(1,IF(H1761&gt;0,AN1761/H1761,1))),IF(R1761&gt;0,AO1761/R1761,0))/MAX(0.1,N(Parameter!$M$21)))</f>
        <v>0</v>
      </c>
      <c r="AQ1761" s="57" t="n">
        <f aca="false">AN1761*G1761</f>
        <v>0</v>
      </c>
      <c r="AR1761" s="57" t="n">
        <f aca="false">ROUNDUP(MAX(J1761/IF(BZ1761&gt;0,BZ1761,MAX(0.1,N(Cockpit!$I$6))),CC1761)/BS1761,0)*BS1761</f>
        <v>0</v>
      </c>
      <c r="AS1761" s="58" t="n">
        <f aca="false">IF(AP1761&gt;0,J1761/AP1761,-1)</f>
        <v>-1</v>
      </c>
      <c r="AT1761" s="58" t="str">
        <f aca="false">IF(AND(OR(BY1761="L1",BY1761="L23"),AP1761&gt;0),SUMIFS($AP$7:$AP$1843,$BY$7:$BY$1843,BY1761,$AS$7:$AS$1843,"&gt;"&amp;AS1761)+SUMIFS($AP$7:$AP$1843,$BY$7:$BY$1843,BY1761,$AS$7:$AS$1843,AS1761,$BQ$7:$BQ$1843,"&lt;="&amp;BQ1761),"")</f>
        <v/>
      </c>
      <c r="AU1761" s="65" t="n">
        <f aca="false">IF(AT1761="",0,MAX(0,MIN(1,(IF(BY1761="L1",Parameter!$E$5,Parameter!$E$6+Parameter!$E$7)-(AT1761-AP1761))/AP1761)))</f>
        <v>0</v>
      </c>
      <c r="AV1761" s="57" t="n">
        <f aca="false">IF(LEFT(Cockpit!$O$5,1)="A",H1761,IF(CA1761=1,CB1761,IF(LEFT(Cockpit!$O$5,1)="B",AZ1761,MAX(AZ1761,H1761))))</f>
        <v>0</v>
      </c>
      <c r="AW1761" s="57" t="n">
        <f aca="false">IF(BT1761=1,0,ROUNDUP(AV1761/BS1761,0))</f>
        <v>0</v>
      </c>
      <c r="AX1761" s="59" t="n">
        <f aca="false">IF(CH1761&gt;0,CH1761*MAX(1,AV1761/X1761),IF(BT1761=1,IF(AV1761&lt;=0,0,BW1761*MAX(1,IF(H1761&gt;0,AV1761/H1761,1))),IF(R1761&gt;0,AW1761/R1761,0))/MAX(0.1,N(Parameter!$M$21)))</f>
        <v>0</v>
      </c>
      <c r="AY1761" s="57" t="n">
        <f aca="false">AV1761*G1761</f>
        <v>0</v>
      </c>
      <c r="AZ1761" s="57" t="n">
        <f aca="false">ROUNDUP(MAX(J1761/IF(BZ1761&gt;0,BZ1761,MAX(0.1,N(Cockpit!$O$6))),CC1761)/BS1761,0)*BS1761</f>
        <v>0</v>
      </c>
      <c r="BA1761" s="58" t="n">
        <f aca="false">IF(AX1761&gt;0,J1761/AX1761,-1)</f>
        <v>-1</v>
      </c>
      <c r="BB1761" s="58" t="str">
        <f aca="false">IF(AND(OR(BY1761="L1",BY1761="L23"),AX1761&gt;0),SUMIFS($AX$7:$AX$1843,$BY$7:$BY$1843,BY1761,$BA$7:$BA$1843,"&gt;"&amp;BA1761)+SUMIFS($AX$7:$AX$1843,$BY$7:$BY$1843,BY1761,$BA$7:$BA$1843,BA1761,$BQ$7:$BQ$1843,"&lt;="&amp;BQ1761),"")</f>
        <v/>
      </c>
      <c r="BC1761" s="65" t="n">
        <f aca="false">IF(BB1761="",0,MAX(0,MIN(1,(IF(BY1761="L1",Parameter!$E$5,Parameter!$E$6+Parameter!$E$7)-(BB1761-AX1761))/AX1761)))</f>
        <v>0</v>
      </c>
      <c r="BD1761" s="55" t="str">
        <f aca="false">IF(AH1761&lt;=0,"",IF(BY1761="Aussen","Aussenlager",IF(BY1761="-","Nicht im Lift",IF(AM1761&gt;=1,"Lift",IF(AM1761&lt;=0,"Aussenlager","teilweise")))))</f>
        <v/>
      </c>
      <c r="BE1761" s="55" t="str">
        <f aca="false">IF(AP1761&lt;=0,"",IF(BY1761="Aussen","Aussenlager",IF(BY1761="-","Nicht im Lift",IF(AU1761&gt;=1,"Lift",IF(AU1761&lt;=0,"Aussenlager","teilweise")))))</f>
        <v/>
      </c>
      <c r="BF1761" s="55" t="str">
        <f aca="false">IF(AX1761&lt;=0,"",IF(BY1761="Aussen","Aussenlager",IF(BY1761="-","Nicht im Lift",IF(BC1761&gt;=1,"Lift",IF(BC1761&lt;=0,"Aussenlager","teilweise")))))</f>
        <v/>
      </c>
      <c r="BG1761" s="55" t="str">
        <f aca="false">IF(A1761="","",IF(BP1761=1,"Neu; ","")&amp;IF(AND(BP1761=0,BK1761&lt;0),"negativer Bestand (Export "&amp;BK1761&amp;"); ","")&amp;IF(J1761&lt;=0,"Kein Verbrauch; ","")&amp;IF(CH1761&gt;0,"Lift "&amp;W1761&amp;" lt. Liftbericht (Fach "&amp;X1761&amp;" Stk); ",IF(BU1761=1,"Gebinde geschätzt ("&amp;T1761&amp;"); ",IF(BT1761=1,"Lose – Tablare geschätzt; ","")))&amp;IF(H1761&gt;AR1761,"Überbestand "&amp;ROUND(H1761-AR1761,0)&amp;" Stk / CHF "&amp;ROUND((H1761-AR1761)*G1761,0)&amp;"; ","")&amp;IF(AND(CA1761=1,CB1761&lt;CC1761),"MAX &lt; MB+LG; ","")&amp;IF(AND(CG1761&gt;0,CF1761*10&gt;CG1761),"zu hoch für Tablar; ","")&amp;IF(AND(BP1761=0,OR(CA1761=1,AA1761&lt;&gt;"",U1761&lt;&gt;"",V1761&lt;&gt;"",AB1761&lt;&gt;"")),"manuell übersteuert; ","")&amp;IF(AND(BT1761=0,R1761=0),"Gebinde unbekannt / Stellmass fehlt; ","")&amp;IF(AND(BT1761=0,N(V1761)&lt;=0,N(Q1761)&lt;=0),"Menge pro Gebinde fehlt (Ist = 1 Gebinde); ","")&amp;BO1761)</f>
        <v/>
      </c>
      <c r="BH1761" s="55"/>
      <c r="BI1761" s="55"/>
      <c r="BJ1761" s="62"/>
      <c r="BK1761" s="57" t="n">
        <f aca="false">N('Neue Artikel'!$D$22)</f>
        <v>0</v>
      </c>
      <c r="BL1761" s="57" t="n">
        <v>0</v>
      </c>
      <c r="BM1761" s="56" t="n">
        <v>0</v>
      </c>
      <c r="BN1761" s="57" t="n">
        <f aca="false">N('Neue Artikel'!$C$22)/Parameter!$B$18</f>
        <v>0</v>
      </c>
      <c r="BO1761" s="55"/>
      <c r="BP1761" s="60" t="n">
        <v>1</v>
      </c>
      <c r="BQ1761" s="60" t="n">
        <v>1761</v>
      </c>
      <c r="BR1761" s="55" t="str">
        <f aca="false">IF(U1761&lt;&gt;"",UPPER(TRIM(U1761)),IF(BU1761=1,UPPER(VLOOKUP(T1761,Parameter!$I$27:$K$29,2,0)),IF(P1761="","LOSE",P1761)))</f>
        <v>LOSE</v>
      </c>
      <c r="BS1761" s="57" t="n">
        <f aca="false">IF(BR1761="LOSE",1,IF(N(V1761)&gt;0,V1761,IF(BU1761=1,MAX(1,N(VLOOKUP(T1761,Parameter!$I$27:$K$29,3,0)),H1761,N(N1761)),IF(N(Q1761)&gt;0,Q1761,MAX(1,H1761)))))</f>
        <v>1</v>
      </c>
      <c r="BT1761" s="60" t="n">
        <f aca="false">IF(BR1761="LOSE",1,0)</f>
        <v>1</v>
      </c>
      <c r="BU1761" s="60" t="n">
        <f aca="false">IF(AND(U1761="",OR(P1761="",P1761="LOSE"),T1761&lt;&gt;"",N(S1761)&lt;=0,ISNUMBER(MATCH(T1761,Parameter!$I$27:$I$29,0))),1,0)</f>
        <v>0</v>
      </c>
      <c r="BV1761" s="55" t="str">
        <f aca="false">IF(AND(Parameter!$B$19="Ja",E1761&lt;&gt;"",ISNUMBER(MATCH(E1761,Parameter!$I$35:$I$52,0))),VLOOKUP(E1761,Parameter!$I$35:$J$52,2,0),IFERROR(VLOOKUP(D1761,Parameter!$A$35:$C$64,2,0),"Nein"))</f>
        <v>2+3</v>
      </c>
      <c r="BW1761" s="59" t="n">
        <f aca="false">IF(BT1761=0,0,IF(N(S1761)&gt;0,S1761,IFERROR(VLOOKUP(D1761,Parameter!$A$35:$C$64,3,0)+0,0)))</f>
        <v>0.15</v>
      </c>
      <c r="BX1761" s="55" t="str">
        <f aca="false">IF(AA1761&lt;&gt;"",AA1761,Z1761)</f>
        <v/>
      </c>
      <c r="BY1761" s="55" t="str">
        <f aca="false">IF(BX1761=1,"L1",IF(OR(BX1761=2,BX1761=3),"L23",IF(BX1761="Aussen","Aussen","-")))</f>
        <v>-</v>
      </c>
      <c r="BZ1761" s="66" t="n">
        <f aca="false">IF(N(AB1761)&gt;0,AB1761,0)</f>
        <v>0</v>
      </c>
      <c r="CA1761" s="60" t="n">
        <f aca="false">IF(ISNUMBER(AE1761),1,0)</f>
        <v>0</v>
      </c>
      <c r="CB1761" s="57" t="n">
        <f aca="false">N(AE1761)</f>
        <v>0</v>
      </c>
      <c r="CC1761" s="57" t="n">
        <f aca="false">N(M1761)+N(N1761)</f>
        <v>0</v>
      </c>
      <c r="CD1761" s="57" t="n">
        <f aca="false">ROUNDUP(H1761/BS1761,0)</f>
        <v>0</v>
      </c>
      <c r="CE1761" s="57" t="n">
        <f aca="false">ROUNDUP(CB1761/BS1761,0)</f>
        <v>0</v>
      </c>
      <c r="CF1761" s="60" t="n">
        <f aca="false">IF(BT1761=1,0,IFERROR(VLOOKUP(BR1761,'Gebinde-Kategorie'!$A$5:$M$45,5,0)+0,0))</f>
        <v>0</v>
      </c>
      <c r="CG1761" s="60" t="n">
        <f aca="false">IFERROR(IF(OR(BX1761=1,BX1761=2,BX1761=3),N(INDEX(Parameter!$I$5:$I$7,BX1761)),0),0)</f>
        <v>0</v>
      </c>
      <c r="CH1761" s="59" t="n">
        <f aca="false">IF(AND(Parameter!$B$21="Ja",ISNUMBER(W1761),N(X1761)&gt;0),IFERROR(N(INDEX(Parameter!$L$5:$L$7,W1761))*INDEX(Parameter!$E$5:$E$7,W1761)*X1761/SUMIFS($X$7:$X$1843,$W$7:$W$1843,W1761),0),0)</f>
        <v>0</v>
      </c>
    </row>
    <row r="1762" customFormat="false" ht="15" hidden="false" customHeight="false" outlineLevel="0" collapsed="false">
      <c r="A1762" s="55" t="str">
        <f aca="false">IF('Neue Artikel'!$A$23="","",'Neue Artikel'!$A$23&amp;"")</f>
        <v/>
      </c>
      <c r="B1762" s="55" t="str">
        <f aca="false">'Neue Artikel'!$B$23&amp;""</f>
        <v/>
      </c>
      <c r="C1762" s="55"/>
      <c r="D1762" s="55" t="s">
        <v>3015</v>
      </c>
      <c r="E1762" s="55"/>
      <c r="F1762" s="55"/>
      <c r="G1762" s="56" t="n">
        <f aca="false">N('Neue Artikel'!$G$23)</f>
        <v>0</v>
      </c>
      <c r="H1762" s="57" t="n">
        <f aca="false">MAX(0,IF(AND(Parameter!$B$21="Ja",ISNUMBER(Y1762)),Y1762,IF(Parameter!$B$20="Jahresanfang 2025 + Export",BL1762+BK1762,BK1762)))</f>
        <v>0</v>
      </c>
      <c r="I1762" s="57" t="n">
        <f aca="false">H1762*G1762</f>
        <v>0</v>
      </c>
      <c r="J1762" s="57" t="n">
        <f aca="false">BN1762*Parameter!$B$18</f>
        <v>0</v>
      </c>
      <c r="K1762" s="58"/>
      <c r="L1762" s="59"/>
      <c r="M1762" s="57" t="n">
        <f aca="false">N('Neue Artikel'!$E$23)</f>
        <v>0</v>
      </c>
      <c r="N1762" s="57" t="n">
        <f aca="false">N('Neue Artikel'!$F$23)</f>
        <v>0</v>
      </c>
      <c r="O1762" s="60"/>
      <c r="P1762" s="55" t="str">
        <f aca="false">IF('Neue Artikel'!$H$23="","LOSE",UPPER(TRIM('Neue Artikel'!$H$23)))</f>
        <v>LOSE</v>
      </c>
      <c r="Q1762" s="57" t="n">
        <f aca="false">N('Neue Artikel'!$I$23)</f>
        <v>0</v>
      </c>
      <c r="R1762" s="60" t="n">
        <f aca="false">IF(BT1762=1,0,IFERROR(VLOOKUP(BR1762,'Gebinde-Kategorie'!$A$5:$M$45,13,0)+0,0))</f>
        <v>0</v>
      </c>
      <c r="S1762" s="61"/>
      <c r="T1762" s="62"/>
      <c r="U1762" s="62"/>
      <c r="V1762" s="62"/>
      <c r="W1762" s="55"/>
      <c r="X1762" s="57"/>
      <c r="Y1762" s="57"/>
      <c r="Z1762" s="55" t="str">
        <f aca="false">IF(A1762="","",IF(AND(Parameter!$B$21="Ja",ISNUMBER(W1762)),W1762,IF(BV1762="2+3",IF(ISNUMBER(SEARCH("grosser Artikel",BO1762)),2,IFERROR(VLOOKUP(BR1762,Parameter!$F$35:$G$64,2,0),2)),IF(OR(BV1762="Nein",BV1762=""),"-",BV1762))))</f>
        <v/>
      </c>
      <c r="AA1762" s="55" t="str">
        <f aca="false">IF('Neue Artikel'!$J$23="","",'Neue Artikel'!$J$23)</f>
        <v/>
      </c>
      <c r="AB1762" s="63"/>
      <c r="AC1762" s="57" t="n">
        <f aca="false">AR1762</f>
        <v>0</v>
      </c>
      <c r="AD1762" s="57" t="n">
        <f aca="false">MAX(AR1762,H1762)</f>
        <v>0</v>
      </c>
      <c r="AE1762" s="64"/>
      <c r="AF1762" s="57" t="n">
        <f aca="false">IF(LEFT(Cockpit!$C$5,1)="A",H1762,IF(CA1762=1,CB1762,IF(LEFT(Cockpit!$C$5,1)="B",AJ1762,MAX(AJ1762,H1762))))</f>
        <v>0</v>
      </c>
      <c r="AG1762" s="57" t="n">
        <f aca="false">IF(BT1762=1,0,ROUNDUP(AF1762/BS1762,0))</f>
        <v>0</v>
      </c>
      <c r="AH1762" s="59" t="n">
        <f aca="false">IF(CH1762&gt;0,CH1762*MAX(1,AF1762/X1762),IF(BT1762=1,IF(AF1762&lt;=0,0,BW1762*MAX(1,IF(H1762&gt;0,AF1762/H1762,1))),IF(R1762&gt;0,AG1762/R1762,0))/MAX(0.1,N(Parameter!$M$21)))</f>
        <v>0</v>
      </c>
      <c r="AI1762" s="57" t="n">
        <f aca="false">AF1762*G1762</f>
        <v>0</v>
      </c>
      <c r="AJ1762" s="57" t="n">
        <f aca="false">ROUNDUP(MAX(J1762/IF(BZ1762&gt;0,BZ1762,MAX(0.1,N(Cockpit!$C$6))),CC1762)/BS1762,0)*BS1762</f>
        <v>0</v>
      </c>
      <c r="AK1762" s="58" t="n">
        <f aca="false">IF(AH1762&gt;0,J1762/AH1762,-1)</f>
        <v>-1</v>
      </c>
      <c r="AL1762" s="58" t="str">
        <f aca="false">IF(AND(OR(BY1762="L1",BY1762="L23"),AH1762&gt;0),SUMIFS($AH$7:$AH$1843,$BY$7:$BY$1843,BY1762,$AK$7:$AK$1843,"&gt;"&amp;AK1762)+SUMIFS($AH$7:$AH$1843,$BY$7:$BY$1843,BY1762,$AK$7:$AK$1843,AK1762,$BQ$7:$BQ$1843,"&lt;="&amp;BQ1762),"")</f>
        <v/>
      </c>
      <c r="AM1762" s="65" t="n">
        <f aca="false">IF(AL1762="",0,MAX(0,MIN(1,(IF(BY1762="L1",Parameter!$E$5,Parameter!$E$6+Parameter!$E$7)-(AL1762-AH1762))/AH1762)))</f>
        <v>0</v>
      </c>
      <c r="AN1762" s="57" t="n">
        <f aca="false">IF(LEFT(Cockpit!$I$5,1)="A",H1762,IF(CA1762=1,CB1762,IF(LEFT(Cockpit!$I$5,1)="B",AR1762,MAX(AR1762,H1762))))</f>
        <v>0</v>
      </c>
      <c r="AO1762" s="57" t="n">
        <f aca="false">IF(BT1762=1,0,ROUNDUP(AN1762/BS1762,0))</f>
        <v>0</v>
      </c>
      <c r="AP1762" s="59" t="n">
        <f aca="false">IF(CH1762&gt;0,CH1762*MAX(1,AN1762/X1762),IF(BT1762=1,IF(AN1762&lt;=0,0,BW1762*MAX(1,IF(H1762&gt;0,AN1762/H1762,1))),IF(R1762&gt;0,AO1762/R1762,0))/MAX(0.1,N(Parameter!$M$21)))</f>
        <v>0</v>
      </c>
      <c r="AQ1762" s="57" t="n">
        <f aca="false">AN1762*G1762</f>
        <v>0</v>
      </c>
      <c r="AR1762" s="57" t="n">
        <f aca="false">ROUNDUP(MAX(J1762/IF(BZ1762&gt;0,BZ1762,MAX(0.1,N(Cockpit!$I$6))),CC1762)/BS1762,0)*BS1762</f>
        <v>0</v>
      </c>
      <c r="AS1762" s="58" t="n">
        <f aca="false">IF(AP1762&gt;0,J1762/AP1762,-1)</f>
        <v>-1</v>
      </c>
      <c r="AT1762" s="58" t="str">
        <f aca="false">IF(AND(OR(BY1762="L1",BY1762="L23"),AP1762&gt;0),SUMIFS($AP$7:$AP$1843,$BY$7:$BY$1843,BY1762,$AS$7:$AS$1843,"&gt;"&amp;AS1762)+SUMIFS($AP$7:$AP$1843,$BY$7:$BY$1843,BY1762,$AS$7:$AS$1843,AS1762,$BQ$7:$BQ$1843,"&lt;="&amp;BQ1762),"")</f>
        <v/>
      </c>
      <c r="AU1762" s="65" t="n">
        <f aca="false">IF(AT1762="",0,MAX(0,MIN(1,(IF(BY1762="L1",Parameter!$E$5,Parameter!$E$6+Parameter!$E$7)-(AT1762-AP1762))/AP1762)))</f>
        <v>0</v>
      </c>
      <c r="AV1762" s="57" t="n">
        <f aca="false">IF(LEFT(Cockpit!$O$5,1)="A",H1762,IF(CA1762=1,CB1762,IF(LEFT(Cockpit!$O$5,1)="B",AZ1762,MAX(AZ1762,H1762))))</f>
        <v>0</v>
      </c>
      <c r="AW1762" s="57" t="n">
        <f aca="false">IF(BT1762=1,0,ROUNDUP(AV1762/BS1762,0))</f>
        <v>0</v>
      </c>
      <c r="AX1762" s="59" t="n">
        <f aca="false">IF(CH1762&gt;0,CH1762*MAX(1,AV1762/X1762),IF(BT1762=1,IF(AV1762&lt;=0,0,BW1762*MAX(1,IF(H1762&gt;0,AV1762/H1762,1))),IF(R1762&gt;0,AW1762/R1762,0))/MAX(0.1,N(Parameter!$M$21)))</f>
        <v>0</v>
      </c>
      <c r="AY1762" s="57" t="n">
        <f aca="false">AV1762*G1762</f>
        <v>0</v>
      </c>
      <c r="AZ1762" s="57" t="n">
        <f aca="false">ROUNDUP(MAX(J1762/IF(BZ1762&gt;0,BZ1762,MAX(0.1,N(Cockpit!$O$6))),CC1762)/BS1762,0)*BS1762</f>
        <v>0</v>
      </c>
      <c r="BA1762" s="58" t="n">
        <f aca="false">IF(AX1762&gt;0,J1762/AX1762,-1)</f>
        <v>-1</v>
      </c>
      <c r="BB1762" s="58" t="str">
        <f aca="false">IF(AND(OR(BY1762="L1",BY1762="L23"),AX1762&gt;0),SUMIFS($AX$7:$AX$1843,$BY$7:$BY$1843,BY1762,$BA$7:$BA$1843,"&gt;"&amp;BA1762)+SUMIFS($AX$7:$AX$1843,$BY$7:$BY$1843,BY1762,$BA$7:$BA$1843,BA1762,$BQ$7:$BQ$1843,"&lt;="&amp;BQ1762),"")</f>
        <v/>
      </c>
      <c r="BC1762" s="65" t="n">
        <f aca="false">IF(BB1762="",0,MAX(0,MIN(1,(IF(BY1762="L1",Parameter!$E$5,Parameter!$E$6+Parameter!$E$7)-(BB1762-AX1762))/AX1762)))</f>
        <v>0</v>
      </c>
      <c r="BD1762" s="55" t="str">
        <f aca="false">IF(AH1762&lt;=0,"",IF(BY1762="Aussen","Aussenlager",IF(BY1762="-","Nicht im Lift",IF(AM1762&gt;=1,"Lift",IF(AM1762&lt;=0,"Aussenlager","teilweise")))))</f>
        <v/>
      </c>
      <c r="BE1762" s="55" t="str">
        <f aca="false">IF(AP1762&lt;=0,"",IF(BY1762="Aussen","Aussenlager",IF(BY1762="-","Nicht im Lift",IF(AU1762&gt;=1,"Lift",IF(AU1762&lt;=0,"Aussenlager","teilweise")))))</f>
        <v/>
      </c>
      <c r="BF1762" s="55" t="str">
        <f aca="false">IF(AX1762&lt;=0,"",IF(BY1762="Aussen","Aussenlager",IF(BY1762="-","Nicht im Lift",IF(BC1762&gt;=1,"Lift",IF(BC1762&lt;=0,"Aussenlager","teilweise")))))</f>
        <v/>
      </c>
      <c r="BG1762" s="55" t="str">
        <f aca="false">IF(A1762="","",IF(BP1762=1,"Neu; ","")&amp;IF(AND(BP1762=0,BK1762&lt;0),"negativer Bestand (Export "&amp;BK1762&amp;"); ","")&amp;IF(J1762&lt;=0,"Kein Verbrauch; ","")&amp;IF(CH1762&gt;0,"Lift "&amp;W1762&amp;" lt. Liftbericht (Fach "&amp;X1762&amp;" Stk); ",IF(BU1762=1,"Gebinde geschätzt ("&amp;T1762&amp;"); ",IF(BT1762=1,"Lose – Tablare geschätzt; ","")))&amp;IF(H1762&gt;AR1762,"Überbestand "&amp;ROUND(H1762-AR1762,0)&amp;" Stk / CHF "&amp;ROUND((H1762-AR1762)*G1762,0)&amp;"; ","")&amp;IF(AND(CA1762=1,CB1762&lt;CC1762),"MAX &lt; MB+LG; ","")&amp;IF(AND(CG1762&gt;0,CF1762*10&gt;CG1762),"zu hoch für Tablar; ","")&amp;IF(AND(BP1762=0,OR(CA1762=1,AA1762&lt;&gt;"",U1762&lt;&gt;"",V1762&lt;&gt;"",AB1762&lt;&gt;"")),"manuell übersteuert; ","")&amp;IF(AND(BT1762=0,R1762=0),"Gebinde unbekannt / Stellmass fehlt; ","")&amp;IF(AND(BT1762=0,N(V1762)&lt;=0,N(Q1762)&lt;=0),"Menge pro Gebinde fehlt (Ist = 1 Gebinde); ","")&amp;BO1762)</f>
        <v/>
      </c>
      <c r="BH1762" s="55"/>
      <c r="BI1762" s="55"/>
      <c r="BJ1762" s="62"/>
      <c r="BK1762" s="57" t="n">
        <f aca="false">N('Neue Artikel'!$D$23)</f>
        <v>0</v>
      </c>
      <c r="BL1762" s="57" t="n">
        <v>0</v>
      </c>
      <c r="BM1762" s="56" t="n">
        <v>0</v>
      </c>
      <c r="BN1762" s="57" t="n">
        <f aca="false">N('Neue Artikel'!$C$23)/Parameter!$B$18</f>
        <v>0</v>
      </c>
      <c r="BO1762" s="55"/>
      <c r="BP1762" s="60" t="n">
        <v>1</v>
      </c>
      <c r="BQ1762" s="60" t="n">
        <v>1762</v>
      </c>
      <c r="BR1762" s="55" t="str">
        <f aca="false">IF(U1762&lt;&gt;"",UPPER(TRIM(U1762)),IF(BU1762=1,UPPER(VLOOKUP(T1762,Parameter!$I$27:$K$29,2,0)),IF(P1762="","LOSE",P1762)))</f>
        <v>LOSE</v>
      </c>
      <c r="BS1762" s="57" t="n">
        <f aca="false">IF(BR1762="LOSE",1,IF(N(V1762)&gt;0,V1762,IF(BU1762=1,MAX(1,N(VLOOKUP(T1762,Parameter!$I$27:$K$29,3,0)),H1762,N(N1762)),IF(N(Q1762)&gt;0,Q1762,MAX(1,H1762)))))</f>
        <v>1</v>
      </c>
      <c r="BT1762" s="60" t="n">
        <f aca="false">IF(BR1762="LOSE",1,0)</f>
        <v>1</v>
      </c>
      <c r="BU1762" s="60" t="n">
        <f aca="false">IF(AND(U1762="",OR(P1762="",P1762="LOSE"),T1762&lt;&gt;"",N(S1762)&lt;=0,ISNUMBER(MATCH(T1762,Parameter!$I$27:$I$29,0))),1,0)</f>
        <v>0</v>
      </c>
      <c r="BV1762" s="55" t="str">
        <f aca="false">IF(AND(Parameter!$B$19="Ja",E1762&lt;&gt;"",ISNUMBER(MATCH(E1762,Parameter!$I$35:$I$52,0))),VLOOKUP(E1762,Parameter!$I$35:$J$52,2,0),IFERROR(VLOOKUP(D1762,Parameter!$A$35:$C$64,2,0),"Nein"))</f>
        <v>2+3</v>
      </c>
      <c r="BW1762" s="59" t="n">
        <f aca="false">IF(BT1762=0,0,IF(N(S1762)&gt;0,S1762,IFERROR(VLOOKUP(D1762,Parameter!$A$35:$C$64,3,0)+0,0)))</f>
        <v>0.15</v>
      </c>
      <c r="BX1762" s="55" t="str">
        <f aca="false">IF(AA1762&lt;&gt;"",AA1762,Z1762)</f>
        <v/>
      </c>
      <c r="BY1762" s="55" t="str">
        <f aca="false">IF(BX1762=1,"L1",IF(OR(BX1762=2,BX1762=3),"L23",IF(BX1762="Aussen","Aussen","-")))</f>
        <v>-</v>
      </c>
      <c r="BZ1762" s="66" t="n">
        <f aca="false">IF(N(AB1762)&gt;0,AB1762,0)</f>
        <v>0</v>
      </c>
      <c r="CA1762" s="60" t="n">
        <f aca="false">IF(ISNUMBER(AE1762),1,0)</f>
        <v>0</v>
      </c>
      <c r="CB1762" s="57" t="n">
        <f aca="false">N(AE1762)</f>
        <v>0</v>
      </c>
      <c r="CC1762" s="57" t="n">
        <f aca="false">N(M1762)+N(N1762)</f>
        <v>0</v>
      </c>
      <c r="CD1762" s="57" t="n">
        <f aca="false">ROUNDUP(H1762/BS1762,0)</f>
        <v>0</v>
      </c>
      <c r="CE1762" s="57" t="n">
        <f aca="false">ROUNDUP(CB1762/BS1762,0)</f>
        <v>0</v>
      </c>
      <c r="CF1762" s="60" t="n">
        <f aca="false">IF(BT1762=1,0,IFERROR(VLOOKUP(BR1762,'Gebinde-Kategorie'!$A$5:$M$45,5,0)+0,0))</f>
        <v>0</v>
      </c>
      <c r="CG1762" s="60" t="n">
        <f aca="false">IFERROR(IF(OR(BX1762=1,BX1762=2,BX1762=3),N(INDEX(Parameter!$I$5:$I$7,BX1762)),0),0)</f>
        <v>0</v>
      </c>
      <c r="CH1762" s="59" t="n">
        <f aca="false">IF(AND(Parameter!$B$21="Ja",ISNUMBER(W1762),N(X1762)&gt;0),IFERROR(N(INDEX(Parameter!$L$5:$L$7,W1762))*INDEX(Parameter!$E$5:$E$7,W1762)*X1762/SUMIFS($X$7:$X$1843,$W$7:$W$1843,W1762),0),0)</f>
        <v>0</v>
      </c>
    </row>
    <row r="1763" customFormat="false" ht="15" hidden="false" customHeight="false" outlineLevel="0" collapsed="false">
      <c r="A1763" s="55" t="str">
        <f aca="false">IF('Neue Artikel'!$A$24="","",'Neue Artikel'!$A$24&amp;"")</f>
        <v/>
      </c>
      <c r="B1763" s="55" t="str">
        <f aca="false">'Neue Artikel'!$B$24&amp;""</f>
        <v/>
      </c>
      <c r="C1763" s="55"/>
      <c r="D1763" s="55" t="s">
        <v>3015</v>
      </c>
      <c r="E1763" s="55"/>
      <c r="F1763" s="55"/>
      <c r="G1763" s="56" t="n">
        <f aca="false">N('Neue Artikel'!$G$24)</f>
        <v>0</v>
      </c>
      <c r="H1763" s="57" t="n">
        <f aca="false">MAX(0,IF(AND(Parameter!$B$21="Ja",ISNUMBER(Y1763)),Y1763,IF(Parameter!$B$20="Jahresanfang 2025 + Export",BL1763+BK1763,BK1763)))</f>
        <v>0</v>
      </c>
      <c r="I1763" s="57" t="n">
        <f aca="false">H1763*G1763</f>
        <v>0</v>
      </c>
      <c r="J1763" s="57" t="n">
        <f aca="false">BN1763*Parameter!$B$18</f>
        <v>0</v>
      </c>
      <c r="K1763" s="58"/>
      <c r="L1763" s="59"/>
      <c r="M1763" s="57" t="n">
        <f aca="false">N('Neue Artikel'!$E$24)</f>
        <v>0</v>
      </c>
      <c r="N1763" s="57" t="n">
        <f aca="false">N('Neue Artikel'!$F$24)</f>
        <v>0</v>
      </c>
      <c r="O1763" s="60"/>
      <c r="P1763" s="55" t="str">
        <f aca="false">IF('Neue Artikel'!$H$24="","LOSE",UPPER(TRIM('Neue Artikel'!$H$24)))</f>
        <v>LOSE</v>
      </c>
      <c r="Q1763" s="57" t="n">
        <f aca="false">N('Neue Artikel'!$I$24)</f>
        <v>0</v>
      </c>
      <c r="R1763" s="60" t="n">
        <f aca="false">IF(BT1763=1,0,IFERROR(VLOOKUP(BR1763,'Gebinde-Kategorie'!$A$5:$M$45,13,0)+0,0))</f>
        <v>0</v>
      </c>
      <c r="S1763" s="61"/>
      <c r="T1763" s="62"/>
      <c r="U1763" s="62"/>
      <c r="V1763" s="62"/>
      <c r="W1763" s="55"/>
      <c r="X1763" s="57"/>
      <c r="Y1763" s="57"/>
      <c r="Z1763" s="55" t="str">
        <f aca="false">IF(A1763="","",IF(AND(Parameter!$B$21="Ja",ISNUMBER(W1763)),W1763,IF(BV1763="2+3",IF(ISNUMBER(SEARCH("grosser Artikel",BO1763)),2,IFERROR(VLOOKUP(BR1763,Parameter!$F$35:$G$64,2,0),2)),IF(OR(BV1763="Nein",BV1763=""),"-",BV1763))))</f>
        <v/>
      </c>
      <c r="AA1763" s="55" t="str">
        <f aca="false">IF('Neue Artikel'!$J$24="","",'Neue Artikel'!$J$24)</f>
        <v/>
      </c>
      <c r="AB1763" s="63"/>
      <c r="AC1763" s="57" t="n">
        <f aca="false">AR1763</f>
        <v>0</v>
      </c>
      <c r="AD1763" s="57" t="n">
        <f aca="false">MAX(AR1763,H1763)</f>
        <v>0</v>
      </c>
      <c r="AE1763" s="64"/>
      <c r="AF1763" s="57" t="n">
        <f aca="false">IF(LEFT(Cockpit!$C$5,1)="A",H1763,IF(CA1763=1,CB1763,IF(LEFT(Cockpit!$C$5,1)="B",AJ1763,MAX(AJ1763,H1763))))</f>
        <v>0</v>
      </c>
      <c r="AG1763" s="57" t="n">
        <f aca="false">IF(BT1763=1,0,ROUNDUP(AF1763/BS1763,0))</f>
        <v>0</v>
      </c>
      <c r="AH1763" s="59" t="n">
        <f aca="false">IF(CH1763&gt;0,CH1763*MAX(1,AF1763/X1763),IF(BT1763=1,IF(AF1763&lt;=0,0,BW1763*MAX(1,IF(H1763&gt;0,AF1763/H1763,1))),IF(R1763&gt;0,AG1763/R1763,0))/MAX(0.1,N(Parameter!$M$21)))</f>
        <v>0</v>
      </c>
      <c r="AI1763" s="57" t="n">
        <f aca="false">AF1763*G1763</f>
        <v>0</v>
      </c>
      <c r="AJ1763" s="57" t="n">
        <f aca="false">ROUNDUP(MAX(J1763/IF(BZ1763&gt;0,BZ1763,MAX(0.1,N(Cockpit!$C$6))),CC1763)/BS1763,0)*BS1763</f>
        <v>0</v>
      </c>
      <c r="AK1763" s="58" t="n">
        <f aca="false">IF(AH1763&gt;0,J1763/AH1763,-1)</f>
        <v>-1</v>
      </c>
      <c r="AL1763" s="58" t="str">
        <f aca="false">IF(AND(OR(BY1763="L1",BY1763="L23"),AH1763&gt;0),SUMIFS($AH$7:$AH$1843,$BY$7:$BY$1843,BY1763,$AK$7:$AK$1843,"&gt;"&amp;AK1763)+SUMIFS($AH$7:$AH$1843,$BY$7:$BY$1843,BY1763,$AK$7:$AK$1843,AK1763,$BQ$7:$BQ$1843,"&lt;="&amp;BQ1763),"")</f>
        <v/>
      </c>
      <c r="AM1763" s="65" t="n">
        <f aca="false">IF(AL1763="",0,MAX(0,MIN(1,(IF(BY1763="L1",Parameter!$E$5,Parameter!$E$6+Parameter!$E$7)-(AL1763-AH1763))/AH1763)))</f>
        <v>0</v>
      </c>
      <c r="AN1763" s="57" t="n">
        <f aca="false">IF(LEFT(Cockpit!$I$5,1)="A",H1763,IF(CA1763=1,CB1763,IF(LEFT(Cockpit!$I$5,1)="B",AR1763,MAX(AR1763,H1763))))</f>
        <v>0</v>
      </c>
      <c r="AO1763" s="57" t="n">
        <f aca="false">IF(BT1763=1,0,ROUNDUP(AN1763/BS1763,0))</f>
        <v>0</v>
      </c>
      <c r="AP1763" s="59" t="n">
        <f aca="false">IF(CH1763&gt;0,CH1763*MAX(1,AN1763/X1763),IF(BT1763=1,IF(AN1763&lt;=0,0,BW1763*MAX(1,IF(H1763&gt;0,AN1763/H1763,1))),IF(R1763&gt;0,AO1763/R1763,0))/MAX(0.1,N(Parameter!$M$21)))</f>
        <v>0</v>
      </c>
      <c r="AQ1763" s="57" t="n">
        <f aca="false">AN1763*G1763</f>
        <v>0</v>
      </c>
      <c r="AR1763" s="57" t="n">
        <f aca="false">ROUNDUP(MAX(J1763/IF(BZ1763&gt;0,BZ1763,MAX(0.1,N(Cockpit!$I$6))),CC1763)/BS1763,0)*BS1763</f>
        <v>0</v>
      </c>
      <c r="AS1763" s="58" t="n">
        <f aca="false">IF(AP1763&gt;0,J1763/AP1763,-1)</f>
        <v>-1</v>
      </c>
      <c r="AT1763" s="58" t="str">
        <f aca="false">IF(AND(OR(BY1763="L1",BY1763="L23"),AP1763&gt;0),SUMIFS($AP$7:$AP$1843,$BY$7:$BY$1843,BY1763,$AS$7:$AS$1843,"&gt;"&amp;AS1763)+SUMIFS($AP$7:$AP$1843,$BY$7:$BY$1843,BY1763,$AS$7:$AS$1843,AS1763,$BQ$7:$BQ$1843,"&lt;="&amp;BQ1763),"")</f>
        <v/>
      </c>
      <c r="AU1763" s="65" t="n">
        <f aca="false">IF(AT1763="",0,MAX(0,MIN(1,(IF(BY1763="L1",Parameter!$E$5,Parameter!$E$6+Parameter!$E$7)-(AT1763-AP1763))/AP1763)))</f>
        <v>0</v>
      </c>
      <c r="AV1763" s="57" t="n">
        <f aca="false">IF(LEFT(Cockpit!$O$5,1)="A",H1763,IF(CA1763=1,CB1763,IF(LEFT(Cockpit!$O$5,1)="B",AZ1763,MAX(AZ1763,H1763))))</f>
        <v>0</v>
      </c>
      <c r="AW1763" s="57" t="n">
        <f aca="false">IF(BT1763=1,0,ROUNDUP(AV1763/BS1763,0))</f>
        <v>0</v>
      </c>
      <c r="AX1763" s="59" t="n">
        <f aca="false">IF(CH1763&gt;0,CH1763*MAX(1,AV1763/X1763),IF(BT1763=1,IF(AV1763&lt;=0,0,BW1763*MAX(1,IF(H1763&gt;0,AV1763/H1763,1))),IF(R1763&gt;0,AW1763/R1763,0))/MAX(0.1,N(Parameter!$M$21)))</f>
        <v>0</v>
      </c>
      <c r="AY1763" s="57" t="n">
        <f aca="false">AV1763*G1763</f>
        <v>0</v>
      </c>
      <c r="AZ1763" s="57" t="n">
        <f aca="false">ROUNDUP(MAX(J1763/IF(BZ1763&gt;0,BZ1763,MAX(0.1,N(Cockpit!$O$6))),CC1763)/BS1763,0)*BS1763</f>
        <v>0</v>
      </c>
      <c r="BA1763" s="58" t="n">
        <f aca="false">IF(AX1763&gt;0,J1763/AX1763,-1)</f>
        <v>-1</v>
      </c>
      <c r="BB1763" s="58" t="str">
        <f aca="false">IF(AND(OR(BY1763="L1",BY1763="L23"),AX1763&gt;0),SUMIFS($AX$7:$AX$1843,$BY$7:$BY$1843,BY1763,$BA$7:$BA$1843,"&gt;"&amp;BA1763)+SUMIFS($AX$7:$AX$1843,$BY$7:$BY$1843,BY1763,$BA$7:$BA$1843,BA1763,$BQ$7:$BQ$1843,"&lt;="&amp;BQ1763),"")</f>
        <v/>
      </c>
      <c r="BC1763" s="65" t="n">
        <f aca="false">IF(BB1763="",0,MAX(0,MIN(1,(IF(BY1763="L1",Parameter!$E$5,Parameter!$E$6+Parameter!$E$7)-(BB1763-AX1763))/AX1763)))</f>
        <v>0</v>
      </c>
      <c r="BD1763" s="55" t="str">
        <f aca="false">IF(AH1763&lt;=0,"",IF(BY1763="Aussen","Aussenlager",IF(BY1763="-","Nicht im Lift",IF(AM1763&gt;=1,"Lift",IF(AM1763&lt;=0,"Aussenlager","teilweise")))))</f>
        <v/>
      </c>
      <c r="BE1763" s="55" t="str">
        <f aca="false">IF(AP1763&lt;=0,"",IF(BY1763="Aussen","Aussenlager",IF(BY1763="-","Nicht im Lift",IF(AU1763&gt;=1,"Lift",IF(AU1763&lt;=0,"Aussenlager","teilweise")))))</f>
        <v/>
      </c>
      <c r="BF1763" s="55" t="str">
        <f aca="false">IF(AX1763&lt;=0,"",IF(BY1763="Aussen","Aussenlager",IF(BY1763="-","Nicht im Lift",IF(BC1763&gt;=1,"Lift",IF(BC1763&lt;=0,"Aussenlager","teilweise")))))</f>
        <v/>
      </c>
      <c r="BG1763" s="55" t="str">
        <f aca="false">IF(A1763="","",IF(BP1763=1,"Neu; ","")&amp;IF(AND(BP1763=0,BK1763&lt;0),"negativer Bestand (Export "&amp;BK1763&amp;"); ","")&amp;IF(J1763&lt;=0,"Kein Verbrauch; ","")&amp;IF(CH1763&gt;0,"Lift "&amp;W1763&amp;" lt. Liftbericht (Fach "&amp;X1763&amp;" Stk); ",IF(BU1763=1,"Gebinde geschätzt ("&amp;T1763&amp;"); ",IF(BT1763=1,"Lose – Tablare geschätzt; ","")))&amp;IF(H1763&gt;AR1763,"Überbestand "&amp;ROUND(H1763-AR1763,0)&amp;" Stk / CHF "&amp;ROUND((H1763-AR1763)*G1763,0)&amp;"; ","")&amp;IF(AND(CA1763=1,CB1763&lt;CC1763),"MAX &lt; MB+LG; ","")&amp;IF(AND(CG1763&gt;0,CF1763*10&gt;CG1763),"zu hoch für Tablar; ","")&amp;IF(AND(BP1763=0,OR(CA1763=1,AA1763&lt;&gt;"",U1763&lt;&gt;"",V1763&lt;&gt;"",AB1763&lt;&gt;"")),"manuell übersteuert; ","")&amp;IF(AND(BT1763=0,R1763=0),"Gebinde unbekannt / Stellmass fehlt; ","")&amp;IF(AND(BT1763=0,N(V1763)&lt;=0,N(Q1763)&lt;=0),"Menge pro Gebinde fehlt (Ist = 1 Gebinde); ","")&amp;BO1763)</f>
        <v/>
      </c>
      <c r="BH1763" s="55"/>
      <c r="BI1763" s="55"/>
      <c r="BJ1763" s="62"/>
      <c r="BK1763" s="57" t="n">
        <f aca="false">N('Neue Artikel'!$D$24)</f>
        <v>0</v>
      </c>
      <c r="BL1763" s="57" t="n">
        <v>0</v>
      </c>
      <c r="BM1763" s="56" t="n">
        <v>0</v>
      </c>
      <c r="BN1763" s="57" t="n">
        <f aca="false">N('Neue Artikel'!$C$24)/Parameter!$B$18</f>
        <v>0</v>
      </c>
      <c r="BO1763" s="55"/>
      <c r="BP1763" s="60" t="n">
        <v>1</v>
      </c>
      <c r="BQ1763" s="60" t="n">
        <v>1763</v>
      </c>
      <c r="BR1763" s="55" t="str">
        <f aca="false">IF(U1763&lt;&gt;"",UPPER(TRIM(U1763)),IF(BU1763=1,UPPER(VLOOKUP(T1763,Parameter!$I$27:$K$29,2,0)),IF(P1763="","LOSE",P1763)))</f>
        <v>LOSE</v>
      </c>
      <c r="BS1763" s="57" t="n">
        <f aca="false">IF(BR1763="LOSE",1,IF(N(V1763)&gt;0,V1763,IF(BU1763=1,MAX(1,N(VLOOKUP(T1763,Parameter!$I$27:$K$29,3,0)),H1763,N(N1763)),IF(N(Q1763)&gt;0,Q1763,MAX(1,H1763)))))</f>
        <v>1</v>
      </c>
      <c r="BT1763" s="60" t="n">
        <f aca="false">IF(BR1763="LOSE",1,0)</f>
        <v>1</v>
      </c>
      <c r="BU1763" s="60" t="n">
        <f aca="false">IF(AND(U1763="",OR(P1763="",P1763="LOSE"),T1763&lt;&gt;"",N(S1763)&lt;=0,ISNUMBER(MATCH(T1763,Parameter!$I$27:$I$29,0))),1,0)</f>
        <v>0</v>
      </c>
      <c r="BV1763" s="55" t="str">
        <f aca="false">IF(AND(Parameter!$B$19="Ja",E1763&lt;&gt;"",ISNUMBER(MATCH(E1763,Parameter!$I$35:$I$52,0))),VLOOKUP(E1763,Parameter!$I$35:$J$52,2,0),IFERROR(VLOOKUP(D1763,Parameter!$A$35:$C$64,2,0),"Nein"))</f>
        <v>2+3</v>
      </c>
      <c r="BW1763" s="59" t="n">
        <f aca="false">IF(BT1763=0,0,IF(N(S1763)&gt;0,S1763,IFERROR(VLOOKUP(D1763,Parameter!$A$35:$C$64,3,0)+0,0)))</f>
        <v>0.15</v>
      </c>
      <c r="BX1763" s="55" t="str">
        <f aca="false">IF(AA1763&lt;&gt;"",AA1763,Z1763)</f>
        <v/>
      </c>
      <c r="BY1763" s="55" t="str">
        <f aca="false">IF(BX1763=1,"L1",IF(OR(BX1763=2,BX1763=3),"L23",IF(BX1763="Aussen","Aussen","-")))</f>
        <v>-</v>
      </c>
      <c r="BZ1763" s="66" t="n">
        <f aca="false">IF(N(AB1763)&gt;0,AB1763,0)</f>
        <v>0</v>
      </c>
      <c r="CA1763" s="60" t="n">
        <f aca="false">IF(ISNUMBER(AE1763),1,0)</f>
        <v>0</v>
      </c>
      <c r="CB1763" s="57" t="n">
        <f aca="false">N(AE1763)</f>
        <v>0</v>
      </c>
      <c r="CC1763" s="57" t="n">
        <f aca="false">N(M1763)+N(N1763)</f>
        <v>0</v>
      </c>
      <c r="CD1763" s="57" t="n">
        <f aca="false">ROUNDUP(H1763/BS1763,0)</f>
        <v>0</v>
      </c>
      <c r="CE1763" s="57" t="n">
        <f aca="false">ROUNDUP(CB1763/BS1763,0)</f>
        <v>0</v>
      </c>
      <c r="CF1763" s="60" t="n">
        <f aca="false">IF(BT1763=1,0,IFERROR(VLOOKUP(BR1763,'Gebinde-Kategorie'!$A$5:$M$45,5,0)+0,0))</f>
        <v>0</v>
      </c>
      <c r="CG1763" s="60" t="n">
        <f aca="false">IFERROR(IF(OR(BX1763=1,BX1763=2,BX1763=3),N(INDEX(Parameter!$I$5:$I$7,BX1763)),0),0)</f>
        <v>0</v>
      </c>
      <c r="CH1763" s="59" t="n">
        <f aca="false">IF(AND(Parameter!$B$21="Ja",ISNUMBER(W1763),N(X1763)&gt;0),IFERROR(N(INDEX(Parameter!$L$5:$L$7,W1763))*INDEX(Parameter!$E$5:$E$7,W1763)*X1763/SUMIFS($X$7:$X$1843,$W$7:$W$1843,W1763),0),0)</f>
        <v>0</v>
      </c>
    </row>
    <row r="1764" customFormat="false" ht="15" hidden="false" customHeight="false" outlineLevel="0" collapsed="false">
      <c r="A1764" s="55" t="str">
        <f aca="false">IF('Neue Artikel'!$A$25="","",'Neue Artikel'!$A$25&amp;"")</f>
        <v/>
      </c>
      <c r="B1764" s="55" t="str">
        <f aca="false">'Neue Artikel'!$B$25&amp;""</f>
        <v/>
      </c>
      <c r="C1764" s="55"/>
      <c r="D1764" s="55" t="s">
        <v>3015</v>
      </c>
      <c r="E1764" s="55"/>
      <c r="F1764" s="55"/>
      <c r="G1764" s="56" t="n">
        <f aca="false">N('Neue Artikel'!$G$25)</f>
        <v>0</v>
      </c>
      <c r="H1764" s="57" t="n">
        <f aca="false">MAX(0,IF(AND(Parameter!$B$21="Ja",ISNUMBER(Y1764)),Y1764,IF(Parameter!$B$20="Jahresanfang 2025 + Export",BL1764+BK1764,BK1764)))</f>
        <v>0</v>
      </c>
      <c r="I1764" s="57" t="n">
        <f aca="false">H1764*G1764</f>
        <v>0</v>
      </c>
      <c r="J1764" s="57" t="n">
        <f aca="false">BN1764*Parameter!$B$18</f>
        <v>0</v>
      </c>
      <c r="K1764" s="58"/>
      <c r="L1764" s="59"/>
      <c r="M1764" s="57" t="n">
        <f aca="false">N('Neue Artikel'!$E$25)</f>
        <v>0</v>
      </c>
      <c r="N1764" s="57" t="n">
        <f aca="false">N('Neue Artikel'!$F$25)</f>
        <v>0</v>
      </c>
      <c r="O1764" s="60"/>
      <c r="P1764" s="55" t="str">
        <f aca="false">IF('Neue Artikel'!$H$25="","LOSE",UPPER(TRIM('Neue Artikel'!$H$25)))</f>
        <v>LOSE</v>
      </c>
      <c r="Q1764" s="57" t="n">
        <f aca="false">N('Neue Artikel'!$I$25)</f>
        <v>0</v>
      </c>
      <c r="R1764" s="60" t="n">
        <f aca="false">IF(BT1764=1,0,IFERROR(VLOOKUP(BR1764,'Gebinde-Kategorie'!$A$5:$M$45,13,0)+0,0))</f>
        <v>0</v>
      </c>
      <c r="S1764" s="61"/>
      <c r="T1764" s="62"/>
      <c r="U1764" s="62"/>
      <c r="V1764" s="62"/>
      <c r="W1764" s="55"/>
      <c r="X1764" s="57"/>
      <c r="Y1764" s="57"/>
      <c r="Z1764" s="55" t="str">
        <f aca="false">IF(A1764="","",IF(AND(Parameter!$B$21="Ja",ISNUMBER(W1764)),W1764,IF(BV1764="2+3",IF(ISNUMBER(SEARCH("grosser Artikel",BO1764)),2,IFERROR(VLOOKUP(BR1764,Parameter!$F$35:$G$64,2,0),2)),IF(OR(BV1764="Nein",BV1764=""),"-",BV1764))))</f>
        <v/>
      </c>
      <c r="AA1764" s="55" t="str">
        <f aca="false">IF('Neue Artikel'!$J$25="","",'Neue Artikel'!$J$25)</f>
        <v/>
      </c>
      <c r="AB1764" s="63"/>
      <c r="AC1764" s="57" t="n">
        <f aca="false">AR1764</f>
        <v>0</v>
      </c>
      <c r="AD1764" s="57" t="n">
        <f aca="false">MAX(AR1764,H1764)</f>
        <v>0</v>
      </c>
      <c r="AE1764" s="64"/>
      <c r="AF1764" s="57" t="n">
        <f aca="false">IF(LEFT(Cockpit!$C$5,1)="A",H1764,IF(CA1764=1,CB1764,IF(LEFT(Cockpit!$C$5,1)="B",AJ1764,MAX(AJ1764,H1764))))</f>
        <v>0</v>
      </c>
      <c r="AG1764" s="57" t="n">
        <f aca="false">IF(BT1764=1,0,ROUNDUP(AF1764/BS1764,0))</f>
        <v>0</v>
      </c>
      <c r="AH1764" s="59" t="n">
        <f aca="false">IF(CH1764&gt;0,CH1764*MAX(1,AF1764/X1764),IF(BT1764=1,IF(AF1764&lt;=0,0,BW1764*MAX(1,IF(H1764&gt;0,AF1764/H1764,1))),IF(R1764&gt;0,AG1764/R1764,0))/MAX(0.1,N(Parameter!$M$21)))</f>
        <v>0</v>
      </c>
      <c r="AI1764" s="57" t="n">
        <f aca="false">AF1764*G1764</f>
        <v>0</v>
      </c>
      <c r="AJ1764" s="57" t="n">
        <f aca="false">ROUNDUP(MAX(J1764/IF(BZ1764&gt;0,BZ1764,MAX(0.1,N(Cockpit!$C$6))),CC1764)/BS1764,0)*BS1764</f>
        <v>0</v>
      </c>
      <c r="AK1764" s="58" t="n">
        <f aca="false">IF(AH1764&gt;0,J1764/AH1764,-1)</f>
        <v>-1</v>
      </c>
      <c r="AL1764" s="58" t="str">
        <f aca="false">IF(AND(OR(BY1764="L1",BY1764="L23"),AH1764&gt;0),SUMIFS($AH$7:$AH$1843,$BY$7:$BY$1843,BY1764,$AK$7:$AK$1843,"&gt;"&amp;AK1764)+SUMIFS($AH$7:$AH$1843,$BY$7:$BY$1843,BY1764,$AK$7:$AK$1843,AK1764,$BQ$7:$BQ$1843,"&lt;="&amp;BQ1764),"")</f>
        <v/>
      </c>
      <c r="AM1764" s="65" t="n">
        <f aca="false">IF(AL1764="",0,MAX(0,MIN(1,(IF(BY1764="L1",Parameter!$E$5,Parameter!$E$6+Parameter!$E$7)-(AL1764-AH1764))/AH1764)))</f>
        <v>0</v>
      </c>
      <c r="AN1764" s="57" t="n">
        <f aca="false">IF(LEFT(Cockpit!$I$5,1)="A",H1764,IF(CA1764=1,CB1764,IF(LEFT(Cockpit!$I$5,1)="B",AR1764,MAX(AR1764,H1764))))</f>
        <v>0</v>
      </c>
      <c r="AO1764" s="57" t="n">
        <f aca="false">IF(BT1764=1,0,ROUNDUP(AN1764/BS1764,0))</f>
        <v>0</v>
      </c>
      <c r="AP1764" s="59" t="n">
        <f aca="false">IF(CH1764&gt;0,CH1764*MAX(1,AN1764/X1764),IF(BT1764=1,IF(AN1764&lt;=0,0,BW1764*MAX(1,IF(H1764&gt;0,AN1764/H1764,1))),IF(R1764&gt;0,AO1764/R1764,0))/MAX(0.1,N(Parameter!$M$21)))</f>
        <v>0</v>
      </c>
      <c r="AQ1764" s="57" t="n">
        <f aca="false">AN1764*G1764</f>
        <v>0</v>
      </c>
      <c r="AR1764" s="57" t="n">
        <f aca="false">ROUNDUP(MAX(J1764/IF(BZ1764&gt;0,BZ1764,MAX(0.1,N(Cockpit!$I$6))),CC1764)/BS1764,0)*BS1764</f>
        <v>0</v>
      </c>
      <c r="AS1764" s="58" t="n">
        <f aca="false">IF(AP1764&gt;0,J1764/AP1764,-1)</f>
        <v>-1</v>
      </c>
      <c r="AT1764" s="58" t="str">
        <f aca="false">IF(AND(OR(BY1764="L1",BY1764="L23"),AP1764&gt;0),SUMIFS($AP$7:$AP$1843,$BY$7:$BY$1843,BY1764,$AS$7:$AS$1843,"&gt;"&amp;AS1764)+SUMIFS($AP$7:$AP$1843,$BY$7:$BY$1843,BY1764,$AS$7:$AS$1843,AS1764,$BQ$7:$BQ$1843,"&lt;="&amp;BQ1764),"")</f>
        <v/>
      </c>
      <c r="AU1764" s="65" t="n">
        <f aca="false">IF(AT1764="",0,MAX(0,MIN(1,(IF(BY1764="L1",Parameter!$E$5,Parameter!$E$6+Parameter!$E$7)-(AT1764-AP1764))/AP1764)))</f>
        <v>0</v>
      </c>
      <c r="AV1764" s="57" t="n">
        <f aca="false">IF(LEFT(Cockpit!$O$5,1)="A",H1764,IF(CA1764=1,CB1764,IF(LEFT(Cockpit!$O$5,1)="B",AZ1764,MAX(AZ1764,H1764))))</f>
        <v>0</v>
      </c>
      <c r="AW1764" s="57" t="n">
        <f aca="false">IF(BT1764=1,0,ROUNDUP(AV1764/BS1764,0))</f>
        <v>0</v>
      </c>
      <c r="AX1764" s="59" t="n">
        <f aca="false">IF(CH1764&gt;0,CH1764*MAX(1,AV1764/X1764),IF(BT1764=1,IF(AV1764&lt;=0,0,BW1764*MAX(1,IF(H1764&gt;0,AV1764/H1764,1))),IF(R1764&gt;0,AW1764/R1764,0))/MAX(0.1,N(Parameter!$M$21)))</f>
        <v>0</v>
      </c>
      <c r="AY1764" s="57" t="n">
        <f aca="false">AV1764*G1764</f>
        <v>0</v>
      </c>
      <c r="AZ1764" s="57" t="n">
        <f aca="false">ROUNDUP(MAX(J1764/IF(BZ1764&gt;0,BZ1764,MAX(0.1,N(Cockpit!$O$6))),CC1764)/BS1764,0)*BS1764</f>
        <v>0</v>
      </c>
      <c r="BA1764" s="58" t="n">
        <f aca="false">IF(AX1764&gt;0,J1764/AX1764,-1)</f>
        <v>-1</v>
      </c>
      <c r="BB1764" s="58" t="str">
        <f aca="false">IF(AND(OR(BY1764="L1",BY1764="L23"),AX1764&gt;0),SUMIFS($AX$7:$AX$1843,$BY$7:$BY$1843,BY1764,$BA$7:$BA$1843,"&gt;"&amp;BA1764)+SUMIFS($AX$7:$AX$1843,$BY$7:$BY$1843,BY1764,$BA$7:$BA$1843,BA1764,$BQ$7:$BQ$1843,"&lt;="&amp;BQ1764),"")</f>
        <v/>
      </c>
      <c r="BC1764" s="65" t="n">
        <f aca="false">IF(BB1764="",0,MAX(0,MIN(1,(IF(BY1764="L1",Parameter!$E$5,Parameter!$E$6+Parameter!$E$7)-(BB1764-AX1764))/AX1764)))</f>
        <v>0</v>
      </c>
      <c r="BD1764" s="55" t="str">
        <f aca="false">IF(AH1764&lt;=0,"",IF(BY1764="Aussen","Aussenlager",IF(BY1764="-","Nicht im Lift",IF(AM1764&gt;=1,"Lift",IF(AM1764&lt;=0,"Aussenlager","teilweise")))))</f>
        <v/>
      </c>
      <c r="BE1764" s="55" t="str">
        <f aca="false">IF(AP1764&lt;=0,"",IF(BY1764="Aussen","Aussenlager",IF(BY1764="-","Nicht im Lift",IF(AU1764&gt;=1,"Lift",IF(AU1764&lt;=0,"Aussenlager","teilweise")))))</f>
        <v/>
      </c>
      <c r="BF1764" s="55" t="str">
        <f aca="false">IF(AX1764&lt;=0,"",IF(BY1764="Aussen","Aussenlager",IF(BY1764="-","Nicht im Lift",IF(BC1764&gt;=1,"Lift",IF(BC1764&lt;=0,"Aussenlager","teilweise")))))</f>
        <v/>
      </c>
      <c r="BG1764" s="55" t="str">
        <f aca="false">IF(A1764="","",IF(BP1764=1,"Neu; ","")&amp;IF(AND(BP1764=0,BK1764&lt;0),"negativer Bestand (Export "&amp;BK1764&amp;"); ","")&amp;IF(J1764&lt;=0,"Kein Verbrauch; ","")&amp;IF(CH1764&gt;0,"Lift "&amp;W1764&amp;" lt. Liftbericht (Fach "&amp;X1764&amp;" Stk); ",IF(BU1764=1,"Gebinde geschätzt ("&amp;T1764&amp;"); ",IF(BT1764=1,"Lose – Tablare geschätzt; ","")))&amp;IF(H1764&gt;AR1764,"Überbestand "&amp;ROUND(H1764-AR1764,0)&amp;" Stk / CHF "&amp;ROUND((H1764-AR1764)*G1764,0)&amp;"; ","")&amp;IF(AND(CA1764=1,CB1764&lt;CC1764),"MAX &lt; MB+LG; ","")&amp;IF(AND(CG1764&gt;0,CF1764*10&gt;CG1764),"zu hoch für Tablar; ","")&amp;IF(AND(BP1764=0,OR(CA1764=1,AA1764&lt;&gt;"",U1764&lt;&gt;"",V1764&lt;&gt;"",AB1764&lt;&gt;"")),"manuell übersteuert; ","")&amp;IF(AND(BT1764=0,R1764=0),"Gebinde unbekannt / Stellmass fehlt; ","")&amp;IF(AND(BT1764=0,N(V1764)&lt;=0,N(Q1764)&lt;=0),"Menge pro Gebinde fehlt (Ist = 1 Gebinde); ","")&amp;BO1764)</f>
        <v/>
      </c>
      <c r="BH1764" s="55"/>
      <c r="BI1764" s="55"/>
      <c r="BJ1764" s="62"/>
      <c r="BK1764" s="57" t="n">
        <f aca="false">N('Neue Artikel'!$D$25)</f>
        <v>0</v>
      </c>
      <c r="BL1764" s="57" t="n">
        <v>0</v>
      </c>
      <c r="BM1764" s="56" t="n">
        <v>0</v>
      </c>
      <c r="BN1764" s="57" t="n">
        <f aca="false">N('Neue Artikel'!$C$25)/Parameter!$B$18</f>
        <v>0</v>
      </c>
      <c r="BO1764" s="55"/>
      <c r="BP1764" s="60" t="n">
        <v>1</v>
      </c>
      <c r="BQ1764" s="60" t="n">
        <v>1764</v>
      </c>
      <c r="BR1764" s="55" t="str">
        <f aca="false">IF(U1764&lt;&gt;"",UPPER(TRIM(U1764)),IF(BU1764=1,UPPER(VLOOKUP(T1764,Parameter!$I$27:$K$29,2,0)),IF(P1764="","LOSE",P1764)))</f>
        <v>LOSE</v>
      </c>
      <c r="BS1764" s="57" t="n">
        <f aca="false">IF(BR1764="LOSE",1,IF(N(V1764)&gt;0,V1764,IF(BU1764=1,MAX(1,N(VLOOKUP(T1764,Parameter!$I$27:$K$29,3,0)),H1764,N(N1764)),IF(N(Q1764)&gt;0,Q1764,MAX(1,H1764)))))</f>
        <v>1</v>
      </c>
      <c r="BT1764" s="60" t="n">
        <f aca="false">IF(BR1764="LOSE",1,0)</f>
        <v>1</v>
      </c>
      <c r="BU1764" s="60" t="n">
        <f aca="false">IF(AND(U1764="",OR(P1764="",P1764="LOSE"),T1764&lt;&gt;"",N(S1764)&lt;=0,ISNUMBER(MATCH(T1764,Parameter!$I$27:$I$29,0))),1,0)</f>
        <v>0</v>
      </c>
      <c r="BV1764" s="55" t="str">
        <f aca="false">IF(AND(Parameter!$B$19="Ja",E1764&lt;&gt;"",ISNUMBER(MATCH(E1764,Parameter!$I$35:$I$52,0))),VLOOKUP(E1764,Parameter!$I$35:$J$52,2,0),IFERROR(VLOOKUP(D1764,Parameter!$A$35:$C$64,2,0),"Nein"))</f>
        <v>2+3</v>
      </c>
      <c r="BW1764" s="59" t="n">
        <f aca="false">IF(BT1764=0,0,IF(N(S1764)&gt;0,S1764,IFERROR(VLOOKUP(D1764,Parameter!$A$35:$C$64,3,0)+0,0)))</f>
        <v>0.15</v>
      </c>
      <c r="BX1764" s="55" t="str">
        <f aca="false">IF(AA1764&lt;&gt;"",AA1764,Z1764)</f>
        <v/>
      </c>
      <c r="BY1764" s="55" t="str">
        <f aca="false">IF(BX1764=1,"L1",IF(OR(BX1764=2,BX1764=3),"L23",IF(BX1764="Aussen","Aussen","-")))</f>
        <v>-</v>
      </c>
      <c r="BZ1764" s="66" t="n">
        <f aca="false">IF(N(AB1764)&gt;0,AB1764,0)</f>
        <v>0</v>
      </c>
      <c r="CA1764" s="60" t="n">
        <f aca="false">IF(ISNUMBER(AE1764),1,0)</f>
        <v>0</v>
      </c>
      <c r="CB1764" s="57" t="n">
        <f aca="false">N(AE1764)</f>
        <v>0</v>
      </c>
      <c r="CC1764" s="57" t="n">
        <f aca="false">N(M1764)+N(N1764)</f>
        <v>0</v>
      </c>
      <c r="CD1764" s="57" t="n">
        <f aca="false">ROUNDUP(H1764/BS1764,0)</f>
        <v>0</v>
      </c>
      <c r="CE1764" s="57" t="n">
        <f aca="false">ROUNDUP(CB1764/BS1764,0)</f>
        <v>0</v>
      </c>
      <c r="CF1764" s="60" t="n">
        <f aca="false">IF(BT1764=1,0,IFERROR(VLOOKUP(BR1764,'Gebinde-Kategorie'!$A$5:$M$45,5,0)+0,0))</f>
        <v>0</v>
      </c>
      <c r="CG1764" s="60" t="n">
        <f aca="false">IFERROR(IF(OR(BX1764=1,BX1764=2,BX1764=3),N(INDEX(Parameter!$I$5:$I$7,BX1764)),0),0)</f>
        <v>0</v>
      </c>
      <c r="CH1764" s="59" t="n">
        <f aca="false">IF(AND(Parameter!$B$21="Ja",ISNUMBER(W1764),N(X1764)&gt;0),IFERROR(N(INDEX(Parameter!$L$5:$L$7,W1764))*INDEX(Parameter!$E$5:$E$7,W1764)*X1764/SUMIFS($X$7:$X$1843,$W$7:$W$1843,W1764),0),0)</f>
        <v>0</v>
      </c>
    </row>
    <row r="1765" customFormat="false" ht="15" hidden="false" customHeight="false" outlineLevel="0" collapsed="false">
      <c r="A1765" s="55" t="str">
        <f aca="false">IF('Neue Artikel'!$A$26="","",'Neue Artikel'!$A$26&amp;"")</f>
        <v/>
      </c>
      <c r="B1765" s="55" t="str">
        <f aca="false">'Neue Artikel'!$B$26&amp;""</f>
        <v/>
      </c>
      <c r="C1765" s="55"/>
      <c r="D1765" s="55" t="s">
        <v>3015</v>
      </c>
      <c r="E1765" s="55"/>
      <c r="F1765" s="55"/>
      <c r="G1765" s="56" t="n">
        <f aca="false">N('Neue Artikel'!$G$26)</f>
        <v>0</v>
      </c>
      <c r="H1765" s="57" t="n">
        <f aca="false">MAX(0,IF(AND(Parameter!$B$21="Ja",ISNUMBER(Y1765)),Y1765,IF(Parameter!$B$20="Jahresanfang 2025 + Export",BL1765+BK1765,BK1765)))</f>
        <v>0</v>
      </c>
      <c r="I1765" s="57" t="n">
        <f aca="false">H1765*G1765</f>
        <v>0</v>
      </c>
      <c r="J1765" s="57" t="n">
        <f aca="false">BN1765*Parameter!$B$18</f>
        <v>0</v>
      </c>
      <c r="K1765" s="58"/>
      <c r="L1765" s="59"/>
      <c r="M1765" s="57" t="n">
        <f aca="false">N('Neue Artikel'!$E$26)</f>
        <v>0</v>
      </c>
      <c r="N1765" s="57" t="n">
        <f aca="false">N('Neue Artikel'!$F$26)</f>
        <v>0</v>
      </c>
      <c r="O1765" s="60"/>
      <c r="P1765" s="55" t="str">
        <f aca="false">IF('Neue Artikel'!$H$26="","LOSE",UPPER(TRIM('Neue Artikel'!$H$26)))</f>
        <v>LOSE</v>
      </c>
      <c r="Q1765" s="57" t="n">
        <f aca="false">N('Neue Artikel'!$I$26)</f>
        <v>0</v>
      </c>
      <c r="R1765" s="60" t="n">
        <f aca="false">IF(BT1765=1,0,IFERROR(VLOOKUP(BR1765,'Gebinde-Kategorie'!$A$5:$M$45,13,0)+0,0))</f>
        <v>0</v>
      </c>
      <c r="S1765" s="61"/>
      <c r="T1765" s="62"/>
      <c r="U1765" s="62"/>
      <c r="V1765" s="62"/>
      <c r="W1765" s="55"/>
      <c r="X1765" s="57"/>
      <c r="Y1765" s="57"/>
      <c r="Z1765" s="55" t="str">
        <f aca="false">IF(A1765="","",IF(AND(Parameter!$B$21="Ja",ISNUMBER(W1765)),W1765,IF(BV1765="2+3",IF(ISNUMBER(SEARCH("grosser Artikel",BO1765)),2,IFERROR(VLOOKUP(BR1765,Parameter!$F$35:$G$64,2,0),2)),IF(OR(BV1765="Nein",BV1765=""),"-",BV1765))))</f>
        <v/>
      </c>
      <c r="AA1765" s="55" t="str">
        <f aca="false">IF('Neue Artikel'!$J$26="","",'Neue Artikel'!$J$26)</f>
        <v/>
      </c>
      <c r="AB1765" s="63"/>
      <c r="AC1765" s="57" t="n">
        <f aca="false">AR1765</f>
        <v>0</v>
      </c>
      <c r="AD1765" s="57" t="n">
        <f aca="false">MAX(AR1765,H1765)</f>
        <v>0</v>
      </c>
      <c r="AE1765" s="64"/>
      <c r="AF1765" s="57" t="n">
        <f aca="false">IF(LEFT(Cockpit!$C$5,1)="A",H1765,IF(CA1765=1,CB1765,IF(LEFT(Cockpit!$C$5,1)="B",AJ1765,MAX(AJ1765,H1765))))</f>
        <v>0</v>
      </c>
      <c r="AG1765" s="57" t="n">
        <f aca="false">IF(BT1765=1,0,ROUNDUP(AF1765/BS1765,0))</f>
        <v>0</v>
      </c>
      <c r="AH1765" s="59" t="n">
        <f aca="false">IF(CH1765&gt;0,CH1765*MAX(1,AF1765/X1765),IF(BT1765=1,IF(AF1765&lt;=0,0,BW1765*MAX(1,IF(H1765&gt;0,AF1765/H1765,1))),IF(R1765&gt;0,AG1765/R1765,0))/MAX(0.1,N(Parameter!$M$21)))</f>
        <v>0</v>
      </c>
      <c r="AI1765" s="57" t="n">
        <f aca="false">AF1765*G1765</f>
        <v>0</v>
      </c>
      <c r="AJ1765" s="57" t="n">
        <f aca="false">ROUNDUP(MAX(J1765/IF(BZ1765&gt;0,BZ1765,MAX(0.1,N(Cockpit!$C$6))),CC1765)/BS1765,0)*BS1765</f>
        <v>0</v>
      </c>
      <c r="AK1765" s="58" t="n">
        <f aca="false">IF(AH1765&gt;0,J1765/AH1765,-1)</f>
        <v>-1</v>
      </c>
      <c r="AL1765" s="58" t="str">
        <f aca="false">IF(AND(OR(BY1765="L1",BY1765="L23"),AH1765&gt;0),SUMIFS($AH$7:$AH$1843,$BY$7:$BY$1843,BY1765,$AK$7:$AK$1843,"&gt;"&amp;AK1765)+SUMIFS($AH$7:$AH$1843,$BY$7:$BY$1843,BY1765,$AK$7:$AK$1843,AK1765,$BQ$7:$BQ$1843,"&lt;="&amp;BQ1765),"")</f>
        <v/>
      </c>
      <c r="AM1765" s="65" t="n">
        <f aca="false">IF(AL1765="",0,MAX(0,MIN(1,(IF(BY1765="L1",Parameter!$E$5,Parameter!$E$6+Parameter!$E$7)-(AL1765-AH1765))/AH1765)))</f>
        <v>0</v>
      </c>
      <c r="AN1765" s="57" t="n">
        <f aca="false">IF(LEFT(Cockpit!$I$5,1)="A",H1765,IF(CA1765=1,CB1765,IF(LEFT(Cockpit!$I$5,1)="B",AR1765,MAX(AR1765,H1765))))</f>
        <v>0</v>
      </c>
      <c r="AO1765" s="57" t="n">
        <f aca="false">IF(BT1765=1,0,ROUNDUP(AN1765/BS1765,0))</f>
        <v>0</v>
      </c>
      <c r="AP1765" s="59" t="n">
        <f aca="false">IF(CH1765&gt;0,CH1765*MAX(1,AN1765/X1765),IF(BT1765=1,IF(AN1765&lt;=0,0,BW1765*MAX(1,IF(H1765&gt;0,AN1765/H1765,1))),IF(R1765&gt;0,AO1765/R1765,0))/MAX(0.1,N(Parameter!$M$21)))</f>
        <v>0</v>
      </c>
      <c r="AQ1765" s="57" t="n">
        <f aca="false">AN1765*G1765</f>
        <v>0</v>
      </c>
      <c r="AR1765" s="57" t="n">
        <f aca="false">ROUNDUP(MAX(J1765/IF(BZ1765&gt;0,BZ1765,MAX(0.1,N(Cockpit!$I$6))),CC1765)/BS1765,0)*BS1765</f>
        <v>0</v>
      </c>
      <c r="AS1765" s="58" t="n">
        <f aca="false">IF(AP1765&gt;0,J1765/AP1765,-1)</f>
        <v>-1</v>
      </c>
      <c r="AT1765" s="58" t="str">
        <f aca="false">IF(AND(OR(BY1765="L1",BY1765="L23"),AP1765&gt;0),SUMIFS($AP$7:$AP$1843,$BY$7:$BY$1843,BY1765,$AS$7:$AS$1843,"&gt;"&amp;AS1765)+SUMIFS($AP$7:$AP$1843,$BY$7:$BY$1843,BY1765,$AS$7:$AS$1843,AS1765,$BQ$7:$BQ$1843,"&lt;="&amp;BQ1765),"")</f>
        <v/>
      </c>
      <c r="AU1765" s="65" t="n">
        <f aca="false">IF(AT1765="",0,MAX(0,MIN(1,(IF(BY1765="L1",Parameter!$E$5,Parameter!$E$6+Parameter!$E$7)-(AT1765-AP1765))/AP1765)))</f>
        <v>0</v>
      </c>
      <c r="AV1765" s="57" t="n">
        <f aca="false">IF(LEFT(Cockpit!$O$5,1)="A",H1765,IF(CA1765=1,CB1765,IF(LEFT(Cockpit!$O$5,1)="B",AZ1765,MAX(AZ1765,H1765))))</f>
        <v>0</v>
      </c>
      <c r="AW1765" s="57" t="n">
        <f aca="false">IF(BT1765=1,0,ROUNDUP(AV1765/BS1765,0))</f>
        <v>0</v>
      </c>
      <c r="AX1765" s="59" t="n">
        <f aca="false">IF(CH1765&gt;0,CH1765*MAX(1,AV1765/X1765),IF(BT1765=1,IF(AV1765&lt;=0,0,BW1765*MAX(1,IF(H1765&gt;0,AV1765/H1765,1))),IF(R1765&gt;0,AW1765/R1765,0))/MAX(0.1,N(Parameter!$M$21)))</f>
        <v>0</v>
      </c>
      <c r="AY1765" s="57" t="n">
        <f aca="false">AV1765*G1765</f>
        <v>0</v>
      </c>
      <c r="AZ1765" s="57" t="n">
        <f aca="false">ROUNDUP(MAX(J1765/IF(BZ1765&gt;0,BZ1765,MAX(0.1,N(Cockpit!$O$6))),CC1765)/BS1765,0)*BS1765</f>
        <v>0</v>
      </c>
      <c r="BA1765" s="58" t="n">
        <f aca="false">IF(AX1765&gt;0,J1765/AX1765,-1)</f>
        <v>-1</v>
      </c>
      <c r="BB1765" s="58" t="str">
        <f aca="false">IF(AND(OR(BY1765="L1",BY1765="L23"),AX1765&gt;0),SUMIFS($AX$7:$AX$1843,$BY$7:$BY$1843,BY1765,$BA$7:$BA$1843,"&gt;"&amp;BA1765)+SUMIFS($AX$7:$AX$1843,$BY$7:$BY$1843,BY1765,$BA$7:$BA$1843,BA1765,$BQ$7:$BQ$1843,"&lt;="&amp;BQ1765),"")</f>
        <v/>
      </c>
      <c r="BC1765" s="65" t="n">
        <f aca="false">IF(BB1765="",0,MAX(0,MIN(1,(IF(BY1765="L1",Parameter!$E$5,Parameter!$E$6+Parameter!$E$7)-(BB1765-AX1765))/AX1765)))</f>
        <v>0</v>
      </c>
      <c r="BD1765" s="55" t="str">
        <f aca="false">IF(AH1765&lt;=0,"",IF(BY1765="Aussen","Aussenlager",IF(BY1765="-","Nicht im Lift",IF(AM1765&gt;=1,"Lift",IF(AM1765&lt;=0,"Aussenlager","teilweise")))))</f>
        <v/>
      </c>
      <c r="BE1765" s="55" t="str">
        <f aca="false">IF(AP1765&lt;=0,"",IF(BY1765="Aussen","Aussenlager",IF(BY1765="-","Nicht im Lift",IF(AU1765&gt;=1,"Lift",IF(AU1765&lt;=0,"Aussenlager","teilweise")))))</f>
        <v/>
      </c>
      <c r="BF1765" s="55" t="str">
        <f aca="false">IF(AX1765&lt;=0,"",IF(BY1765="Aussen","Aussenlager",IF(BY1765="-","Nicht im Lift",IF(BC1765&gt;=1,"Lift",IF(BC1765&lt;=0,"Aussenlager","teilweise")))))</f>
        <v/>
      </c>
      <c r="BG1765" s="55" t="str">
        <f aca="false">IF(A1765="","",IF(BP1765=1,"Neu; ","")&amp;IF(AND(BP1765=0,BK1765&lt;0),"negativer Bestand (Export "&amp;BK1765&amp;"); ","")&amp;IF(J1765&lt;=0,"Kein Verbrauch; ","")&amp;IF(CH1765&gt;0,"Lift "&amp;W1765&amp;" lt. Liftbericht (Fach "&amp;X1765&amp;" Stk); ",IF(BU1765=1,"Gebinde geschätzt ("&amp;T1765&amp;"); ",IF(BT1765=1,"Lose – Tablare geschätzt; ","")))&amp;IF(H1765&gt;AR1765,"Überbestand "&amp;ROUND(H1765-AR1765,0)&amp;" Stk / CHF "&amp;ROUND((H1765-AR1765)*G1765,0)&amp;"; ","")&amp;IF(AND(CA1765=1,CB1765&lt;CC1765),"MAX &lt; MB+LG; ","")&amp;IF(AND(CG1765&gt;0,CF1765*10&gt;CG1765),"zu hoch für Tablar; ","")&amp;IF(AND(BP1765=0,OR(CA1765=1,AA1765&lt;&gt;"",U1765&lt;&gt;"",V1765&lt;&gt;"",AB1765&lt;&gt;"")),"manuell übersteuert; ","")&amp;IF(AND(BT1765=0,R1765=0),"Gebinde unbekannt / Stellmass fehlt; ","")&amp;IF(AND(BT1765=0,N(V1765)&lt;=0,N(Q1765)&lt;=0),"Menge pro Gebinde fehlt (Ist = 1 Gebinde); ","")&amp;BO1765)</f>
        <v/>
      </c>
      <c r="BH1765" s="55"/>
      <c r="BI1765" s="55"/>
      <c r="BJ1765" s="62"/>
      <c r="BK1765" s="57" t="n">
        <f aca="false">N('Neue Artikel'!$D$26)</f>
        <v>0</v>
      </c>
      <c r="BL1765" s="57" t="n">
        <v>0</v>
      </c>
      <c r="BM1765" s="56" t="n">
        <v>0</v>
      </c>
      <c r="BN1765" s="57" t="n">
        <f aca="false">N('Neue Artikel'!$C$26)/Parameter!$B$18</f>
        <v>0</v>
      </c>
      <c r="BO1765" s="55"/>
      <c r="BP1765" s="60" t="n">
        <v>1</v>
      </c>
      <c r="BQ1765" s="60" t="n">
        <v>1765</v>
      </c>
      <c r="BR1765" s="55" t="str">
        <f aca="false">IF(U1765&lt;&gt;"",UPPER(TRIM(U1765)),IF(BU1765=1,UPPER(VLOOKUP(T1765,Parameter!$I$27:$K$29,2,0)),IF(P1765="","LOSE",P1765)))</f>
        <v>LOSE</v>
      </c>
      <c r="BS1765" s="57" t="n">
        <f aca="false">IF(BR1765="LOSE",1,IF(N(V1765)&gt;0,V1765,IF(BU1765=1,MAX(1,N(VLOOKUP(T1765,Parameter!$I$27:$K$29,3,0)),H1765,N(N1765)),IF(N(Q1765)&gt;0,Q1765,MAX(1,H1765)))))</f>
        <v>1</v>
      </c>
      <c r="BT1765" s="60" t="n">
        <f aca="false">IF(BR1765="LOSE",1,0)</f>
        <v>1</v>
      </c>
      <c r="BU1765" s="60" t="n">
        <f aca="false">IF(AND(U1765="",OR(P1765="",P1765="LOSE"),T1765&lt;&gt;"",N(S1765)&lt;=0,ISNUMBER(MATCH(T1765,Parameter!$I$27:$I$29,0))),1,0)</f>
        <v>0</v>
      </c>
      <c r="BV1765" s="55" t="str">
        <f aca="false">IF(AND(Parameter!$B$19="Ja",E1765&lt;&gt;"",ISNUMBER(MATCH(E1765,Parameter!$I$35:$I$52,0))),VLOOKUP(E1765,Parameter!$I$35:$J$52,2,0),IFERROR(VLOOKUP(D1765,Parameter!$A$35:$C$64,2,0),"Nein"))</f>
        <v>2+3</v>
      </c>
      <c r="BW1765" s="59" t="n">
        <f aca="false">IF(BT1765=0,0,IF(N(S1765)&gt;0,S1765,IFERROR(VLOOKUP(D1765,Parameter!$A$35:$C$64,3,0)+0,0)))</f>
        <v>0.15</v>
      </c>
      <c r="BX1765" s="55" t="str">
        <f aca="false">IF(AA1765&lt;&gt;"",AA1765,Z1765)</f>
        <v/>
      </c>
      <c r="BY1765" s="55" t="str">
        <f aca="false">IF(BX1765=1,"L1",IF(OR(BX1765=2,BX1765=3),"L23",IF(BX1765="Aussen","Aussen","-")))</f>
        <v>-</v>
      </c>
      <c r="BZ1765" s="66" t="n">
        <f aca="false">IF(N(AB1765)&gt;0,AB1765,0)</f>
        <v>0</v>
      </c>
      <c r="CA1765" s="60" t="n">
        <f aca="false">IF(ISNUMBER(AE1765),1,0)</f>
        <v>0</v>
      </c>
      <c r="CB1765" s="57" t="n">
        <f aca="false">N(AE1765)</f>
        <v>0</v>
      </c>
      <c r="CC1765" s="57" t="n">
        <f aca="false">N(M1765)+N(N1765)</f>
        <v>0</v>
      </c>
      <c r="CD1765" s="57" t="n">
        <f aca="false">ROUNDUP(H1765/BS1765,0)</f>
        <v>0</v>
      </c>
      <c r="CE1765" s="57" t="n">
        <f aca="false">ROUNDUP(CB1765/BS1765,0)</f>
        <v>0</v>
      </c>
      <c r="CF1765" s="60" t="n">
        <f aca="false">IF(BT1765=1,0,IFERROR(VLOOKUP(BR1765,'Gebinde-Kategorie'!$A$5:$M$45,5,0)+0,0))</f>
        <v>0</v>
      </c>
      <c r="CG1765" s="60" t="n">
        <f aca="false">IFERROR(IF(OR(BX1765=1,BX1765=2,BX1765=3),N(INDEX(Parameter!$I$5:$I$7,BX1765)),0),0)</f>
        <v>0</v>
      </c>
      <c r="CH1765" s="59" t="n">
        <f aca="false">IF(AND(Parameter!$B$21="Ja",ISNUMBER(W1765),N(X1765)&gt;0),IFERROR(N(INDEX(Parameter!$L$5:$L$7,W1765))*INDEX(Parameter!$E$5:$E$7,W1765)*X1765/SUMIFS($X$7:$X$1843,$W$7:$W$1843,W1765),0),0)</f>
        <v>0</v>
      </c>
    </row>
    <row r="1766" customFormat="false" ht="15" hidden="false" customHeight="false" outlineLevel="0" collapsed="false">
      <c r="A1766" s="55" t="str">
        <f aca="false">IF('Neue Artikel'!$A$27="","",'Neue Artikel'!$A$27&amp;"")</f>
        <v/>
      </c>
      <c r="B1766" s="55" t="str">
        <f aca="false">'Neue Artikel'!$B$27&amp;""</f>
        <v/>
      </c>
      <c r="C1766" s="55"/>
      <c r="D1766" s="55" t="s">
        <v>3015</v>
      </c>
      <c r="E1766" s="55"/>
      <c r="F1766" s="55"/>
      <c r="G1766" s="56" t="n">
        <f aca="false">N('Neue Artikel'!$G$27)</f>
        <v>0</v>
      </c>
      <c r="H1766" s="57" t="n">
        <f aca="false">MAX(0,IF(AND(Parameter!$B$21="Ja",ISNUMBER(Y1766)),Y1766,IF(Parameter!$B$20="Jahresanfang 2025 + Export",BL1766+BK1766,BK1766)))</f>
        <v>0</v>
      </c>
      <c r="I1766" s="57" t="n">
        <f aca="false">H1766*G1766</f>
        <v>0</v>
      </c>
      <c r="J1766" s="57" t="n">
        <f aca="false">BN1766*Parameter!$B$18</f>
        <v>0</v>
      </c>
      <c r="K1766" s="58"/>
      <c r="L1766" s="59"/>
      <c r="M1766" s="57" t="n">
        <f aca="false">N('Neue Artikel'!$E$27)</f>
        <v>0</v>
      </c>
      <c r="N1766" s="57" t="n">
        <f aca="false">N('Neue Artikel'!$F$27)</f>
        <v>0</v>
      </c>
      <c r="O1766" s="60"/>
      <c r="P1766" s="55" t="str">
        <f aca="false">IF('Neue Artikel'!$H$27="","LOSE",UPPER(TRIM('Neue Artikel'!$H$27)))</f>
        <v>LOSE</v>
      </c>
      <c r="Q1766" s="57" t="n">
        <f aca="false">N('Neue Artikel'!$I$27)</f>
        <v>0</v>
      </c>
      <c r="R1766" s="60" t="n">
        <f aca="false">IF(BT1766=1,0,IFERROR(VLOOKUP(BR1766,'Gebinde-Kategorie'!$A$5:$M$45,13,0)+0,0))</f>
        <v>0</v>
      </c>
      <c r="S1766" s="61"/>
      <c r="T1766" s="62"/>
      <c r="U1766" s="62"/>
      <c r="V1766" s="62"/>
      <c r="W1766" s="55"/>
      <c r="X1766" s="57"/>
      <c r="Y1766" s="57"/>
      <c r="Z1766" s="55" t="str">
        <f aca="false">IF(A1766="","",IF(AND(Parameter!$B$21="Ja",ISNUMBER(W1766)),W1766,IF(BV1766="2+3",IF(ISNUMBER(SEARCH("grosser Artikel",BO1766)),2,IFERROR(VLOOKUP(BR1766,Parameter!$F$35:$G$64,2,0),2)),IF(OR(BV1766="Nein",BV1766=""),"-",BV1766))))</f>
        <v/>
      </c>
      <c r="AA1766" s="55" t="str">
        <f aca="false">IF('Neue Artikel'!$J$27="","",'Neue Artikel'!$J$27)</f>
        <v/>
      </c>
      <c r="AB1766" s="63"/>
      <c r="AC1766" s="57" t="n">
        <f aca="false">AR1766</f>
        <v>0</v>
      </c>
      <c r="AD1766" s="57" t="n">
        <f aca="false">MAX(AR1766,H1766)</f>
        <v>0</v>
      </c>
      <c r="AE1766" s="64"/>
      <c r="AF1766" s="57" t="n">
        <f aca="false">IF(LEFT(Cockpit!$C$5,1)="A",H1766,IF(CA1766=1,CB1766,IF(LEFT(Cockpit!$C$5,1)="B",AJ1766,MAX(AJ1766,H1766))))</f>
        <v>0</v>
      </c>
      <c r="AG1766" s="57" t="n">
        <f aca="false">IF(BT1766=1,0,ROUNDUP(AF1766/BS1766,0))</f>
        <v>0</v>
      </c>
      <c r="AH1766" s="59" t="n">
        <f aca="false">IF(CH1766&gt;0,CH1766*MAX(1,AF1766/X1766),IF(BT1766=1,IF(AF1766&lt;=0,0,BW1766*MAX(1,IF(H1766&gt;0,AF1766/H1766,1))),IF(R1766&gt;0,AG1766/R1766,0))/MAX(0.1,N(Parameter!$M$21)))</f>
        <v>0</v>
      </c>
      <c r="AI1766" s="57" t="n">
        <f aca="false">AF1766*G1766</f>
        <v>0</v>
      </c>
      <c r="AJ1766" s="57" t="n">
        <f aca="false">ROUNDUP(MAX(J1766/IF(BZ1766&gt;0,BZ1766,MAX(0.1,N(Cockpit!$C$6))),CC1766)/BS1766,0)*BS1766</f>
        <v>0</v>
      </c>
      <c r="AK1766" s="58" t="n">
        <f aca="false">IF(AH1766&gt;0,J1766/AH1766,-1)</f>
        <v>-1</v>
      </c>
      <c r="AL1766" s="58" t="str">
        <f aca="false">IF(AND(OR(BY1766="L1",BY1766="L23"),AH1766&gt;0),SUMIFS($AH$7:$AH$1843,$BY$7:$BY$1843,BY1766,$AK$7:$AK$1843,"&gt;"&amp;AK1766)+SUMIFS($AH$7:$AH$1843,$BY$7:$BY$1843,BY1766,$AK$7:$AK$1843,AK1766,$BQ$7:$BQ$1843,"&lt;="&amp;BQ1766),"")</f>
        <v/>
      </c>
      <c r="AM1766" s="65" t="n">
        <f aca="false">IF(AL1766="",0,MAX(0,MIN(1,(IF(BY1766="L1",Parameter!$E$5,Parameter!$E$6+Parameter!$E$7)-(AL1766-AH1766))/AH1766)))</f>
        <v>0</v>
      </c>
      <c r="AN1766" s="57" t="n">
        <f aca="false">IF(LEFT(Cockpit!$I$5,1)="A",H1766,IF(CA1766=1,CB1766,IF(LEFT(Cockpit!$I$5,1)="B",AR1766,MAX(AR1766,H1766))))</f>
        <v>0</v>
      </c>
      <c r="AO1766" s="57" t="n">
        <f aca="false">IF(BT1766=1,0,ROUNDUP(AN1766/BS1766,0))</f>
        <v>0</v>
      </c>
      <c r="AP1766" s="59" t="n">
        <f aca="false">IF(CH1766&gt;0,CH1766*MAX(1,AN1766/X1766),IF(BT1766=1,IF(AN1766&lt;=0,0,BW1766*MAX(1,IF(H1766&gt;0,AN1766/H1766,1))),IF(R1766&gt;0,AO1766/R1766,0))/MAX(0.1,N(Parameter!$M$21)))</f>
        <v>0</v>
      </c>
      <c r="AQ1766" s="57" t="n">
        <f aca="false">AN1766*G1766</f>
        <v>0</v>
      </c>
      <c r="AR1766" s="57" t="n">
        <f aca="false">ROUNDUP(MAX(J1766/IF(BZ1766&gt;0,BZ1766,MAX(0.1,N(Cockpit!$I$6))),CC1766)/BS1766,0)*BS1766</f>
        <v>0</v>
      </c>
      <c r="AS1766" s="58" t="n">
        <f aca="false">IF(AP1766&gt;0,J1766/AP1766,-1)</f>
        <v>-1</v>
      </c>
      <c r="AT1766" s="58" t="str">
        <f aca="false">IF(AND(OR(BY1766="L1",BY1766="L23"),AP1766&gt;0),SUMIFS($AP$7:$AP$1843,$BY$7:$BY$1843,BY1766,$AS$7:$AS$1843,"&gt;"&amp;AS1766)+SUMIFS($AP$7:$AP$1843,$BY$7:$BY$1843,BY1766,$AS$7:$AS$1843,AS1766,$BQ$7:$BQ$1843,"&lt;="&amp;BQ1766),"")</f>
        <v/>
      </c>
      <c r="AU1766" s="65" t="n">
        <f aca="false">IF(AT1766="",0,MAX(0,MIN(1,(IF(BY1766="L1",Parameter!$E$5,Parameter!$E$6+Parameter!$E$7)-(AT1766-AP1766))/AP1766)))</f>
        <v>0</v>
      </c>
      <c r="AV1766" s="57" t="n">
        <f aca="false">IF(LEFT(Cockpit!$O$5,1)="A",H1766,IF(CA1766=1,CB1766,IF(LEFT(Cockpit!$O$5,1)="B",AZ1766,MAX(AZ1766,H1766))))</f>
        <v>0</v>
      </c>
      <c r="AW1766" s="57" t="n">
        <f aca="false">IF(BT1766=1,0,ROUNDUP(AV1766/BS1766,0))</f>
        <v>0</v>
      </c>
      <c r="AX1766" s="59" t="n">
        <f aca="false">IF(CH1766&gt;0,CH1766*MAX(1,AV1766/X1766),IF(BT1766=1,IF(AV1766&lt;=0,0,BW1766*MAX(1,IF(H1766&gt;0,AV1766/H1766,1))),IF(R1766&gt;0,AW1766/R1766,0))/MAX(0.1,N(Parameter!$M$21)))</f>
        <v>0</v>
      </c>
      <c r="AY1766" s="57" t="n">
        <f aca="false">AV1766*G1766</f>
        <v>0</v>
      </c>
      <c r="AZ1766" s="57" t="n">
        <f aca="false">ROUNDUP(MAX(J1766/IF(BZ1766&gt;0,BZ1766,MAX(0.1,N(Cockpit!$O$6))),CC1766)/BS1766,0)*BS1766</f>
        <v>0</v>
      </c>
      <c r="BA1766" s="58" t="n">
        <f aca="false">IF(AX1766&gt;0,J1766/AX1766,-1)</f>
        <v>-1</v>
      </c>
      <c r="BB1766" s="58" t="str">
        <f aca="false">IF(AND(OR(BY1766="L1",BY1766="L23"),AX1766&gt;0),SUMIFS($AX$7:$AX$1843,$BY$7:$BY$1843,BY1766,$BA$7:$BA$1843,"&gt;"&amp;BA1766)+SUMIFS($AX$7:$AX$1843,$BY$7:$BY$1843,BY1766,$BA$7:$BA$1843,BA1766,$BQ$7:$BQ$1843,"&lt;="&amp;BQ1766),"")</f>
        <v/>
      </c>
      <c r="BC1766" s="65" t="n">
        <f aca="false">IF(BB1766="",0,MAX(0,MIN(1,(IF(BY1766="L1",Parameter!$E$5,Parameter!$E$6+Parameter!$E$7)-(BB1766-AX1766))/AX1766)))</f>
        <v>0</v>
      </c>
      <c r="BD1766" s="55" t="str">
        <f aca="false">IF(AH1766&lt;=0,"",IF(BY1766="Aussen","Aussenlager",IF(BY1766="-","Nicht im Lift",IF(AM1766&gt;=1,"Lift",IF(AM1766&lt;=0,"Aussenlager","teilweise")))))</f>
        <v/>
      </c>
      <c r="BE1766" s="55" t="str">
        <f aca="false">IF(AP1766&lt;=0,"",IF(BY1766="Aussen","Aussenlager",IF(BY1766="-","Nicht im Lift",IF(AU1766&gt;=1,"Lift",IF(AU1766&lt;=0,"Aussenlager","teilweise")))))</f>
        <v/>
      </c>
      <c r="BF1766" s="55" t="str">
        <f aca="false">IF(AX1766&lt;=0,"",IF(BY1766="Aussen","Aussenlager",IF(BY1766="-","Nicht im Lift",IF(BC1766&gt;=1,"Lift",IF(BC1766&lt;=0,"Aussenlager","teilweise")))))</f>
        <v/>
      </c>
      <c r="BG1766" s="55" t="str">
        <f aca="false">IF(A1766="","",IF(BP1766=1,"Neu; ","")&amp;IF(AND(BP1766=0,BK1766&lt;0),"negativer Bestand (Export "&amp;BK1766&amp;"); ","")&amp;IF(J1766&lt;=0,"Kein Verbrauch; ","")&amp;IF(CH1766&gt;0,"Lift "&amp;W1766&amp;" lt. Liftbericht (Fach "&amp;X1766&amp;" Stk); ",IF(BU1766=1,"Gebinde geschätzt ("&amp;T1766&amp;"); ",IF(BT1766=1,"Lose – Tablare geschätzt; ","")))&amp;IF(H1766&gt;AR1766,"Überbestand "&amp;ROUND(H1766-AR1766,0)&amp;" Stk / CHF "&amp;ROUND((H1766-AR1766)*G1766,0)&amp;"; ","")&amp;IF(AND(CA1766=1,CB1766&lt;CC1766),"MAX &lt; MB+LG; ","")&amp;IF(AND(CG1766&gt;0,CF1766*10&gt;CG1766),"zu hoch für Tablar; ","")&amp;IF(AND(BP1766=0,OR(CA1766=1,AA1766&lt;&gt;"",U1766&lt;&gt;"",V1766&lt;&gt;"",AB1766&lt;&gt;"")),"manuell übersteuert; ","")&amp;IF(AND(BT1766=0,R1766=0),"Gebinde unbekannt / Stellmass fehlt; ","")&amp;IF(AND(BT1766=0,N(V1766)&lt;=0,N(Q1766)&lt;=0),"Menge pro Gebinde fehlt (Ist = 1 Gebinde); ","")&amp;BO1766)</f>
        <v/>
      </c>
      <c r="BH1766" s="55"/>
      <c r="BI1766" s="55"/>
      <c r="BJ1766" s="62"/>
      <c r="BK1766" s="57" t="n">
        <f aca="false">N('Neue Artikel'!$D$27)</f>
        <v>0</v>
      </c>
      <c r="BL1766" s="57" t="n">
        <v>0</v>
      </c>
      <c r="BM1766" s="56" t="n">
        <v>0</v>
      </c>
      <c r="BN1766" s="57" t="n">
        <f aca="false">N('Neue Artikel'!$C$27)/Parameter!$B$18</f>
        <v>0</v>
      </c>
      <c r="BO1766" s="55"/>
      <c r="BP1766" s="60" t="n">
        <v>1</v>
      </c>
      <c r="BQ1766" s="60" t="n">
        <v>1766</v>
      </c>
      <c r="BR1766" s="55" t="str">
        <f aca="false">IF(U1766&lt;&gt;"",UPPER(TRIM(U1766)),IF(BU1766=1,UPPER(VLOOKUP(T1766,Parameter!$I$27:$K$29,2,0)),IF(P1766="","LOSE",P1766)))</f>
        <v>LOSE</v>
      </c>
      <c r="BS1766" s="57" t="n">
        <f aca="false">IF(BR1766="LOSE",1,IF(N(V1766)&gt;0,V1766,IF(BU1766=1,MAX(1,N(VLOOKUP(T1766,Parameter!$I$27:$K$29,3,0)),H1766,N(N1766)),IF(N(Q1766)&gt;0,Q1766,MAX(1,H1766)))))</f>
        <v>1</v>
      </c>
      <c r="BT1766" s="60" t="n">
        <f aca="false">IF(BR1766="LOSE",1,0)</f>
        <v>1</v>
      </c>
      <c r="BU1766" s="60" t="n">
        <f aca="false">IF(AND(U1766="",OR(P1766="",P1766="LOSE"),T1766&lt;&gt;"",N(S1766)&lt;=0,ISNUMBER(MATCH(T1766,Parameter!$I$27:$I$29,0))),1,0)</f>
        <v>0</v>
      </c>
      <c r="BV1766" s="55" t="str">
        <f aca="false">IF(AND(Parameter!$B$19="Ja",E1766&lt;&gt;"",ISNUMBER(MATCH(E1766,Parameter!$I$35:$I$52,0))),VLOOKUP(E1766,Parameter!$I$35:$J$52,2,0),IFERROR(VLOOKUP(D1766,Parameter!$A$35:$C$64,2,0),"Nein"))</f>
        <v>2+3</v>
      </c>
      <c r="BW1766" s="59" t="n">
        <f aca="false">IF(BT1766=0,0,IF(N(S1766)&gt;0,S1766,IFERROR(VLOOKUP(D1766,Parameter!$A$35:$C$64,3,0)+0,0)))</f>
        <v>0.15</v>
      </c>
      <c r="BX1766" s="55" t="str">
        <f aca="false">IF(AA1766&lt;&gt;"",AA1766,Z1766)</f>
        <v/>
      </c>
      <c r="BY1766" s="55" t="str">
        <f aca="false">IF(BX1766=1,"L1",IF(OR(BX1766=2,BX1766=3),"L23",IF(BX1766="Aussen","Aussen","-")))</f>
        <v>-</v>
      </c>
      <c r="BZ1766" s="66" t="n">
        <f aca="false">IF(N(AB1766)&gt;0,AB1766,0)</f>
        <v>0</v>
      </c>
      <c r="CA1766" s="60" t="n">
        <f aca="false">IF(ISNUMBER(AE1766),1,0)</f>
        <v>0</v>
      </c>
      <c r="CB1766" s="57" t="n">
        <f aca="false">N(AE1766)</f>
        <v>0</v>
      </c>
      <c r="CC1766" s="57" t="n">
        <f aca="false">N(M1766)+N(N1766)</f>
        <v>0</v>
      </c>
      <c r="CD1766" s="57" t="n">
        <f aca="false">ROUNDUP(H1766/BS1766,0)</f>
        <v>0</v>
      </c>
      <c r="CE1766" s="57" t="n">
        <f aca="false">ROUNDUP(CB1766/BS1766,0)</f>
        <v>0</v>
      </c>
      <c r="CF1766" s="60" t="n">
        <f aca="false">IF(BT1766=1,0,IFERROR(VLOOKUP(BR1766,'Gebinde-Kategorie'!$A$5:$M$45,5,0)+0,0))</f>
        <v>0</v>
      </c>
      <c r="CG1766" s="60" t="n">
        <f aca="false">IFERROR(IF(OR(BX1766=1,BX1766=2,BX1766=3),N(INDEX(Parameter!$I$5:$I$7,BX1766)),0),0)</f>
        <v>0</v>
      </c>
      <c r="CH1766" s="59" t="n">
        <f aca="false">IF(AND(Parameter!$B$21="Ja",ISNUMBER(W1766),N(X1766)&gt;0),IFERROR(N(INDEX(Parameter!$L$5:$L$7,W1766))*INDEX(Parameter!$E$5:$E$7,W1766)*X1766/SUMIFS($X$7:$X$1843,$W$7:$W$1843,W1766),0),0)</f>
        <v>0</v>
      </c>
    </row>
    <row r="1767" customFormat="false" ht="15" hidden="false" customHeight="false" outlineLevel="0" collapsed="false">
      <c r="A1767" s="55" t="str">
        <f aca="false">IF('Neue Artikel'!$A$28="","",'Neue Artikel'!$A$28&amp;"")</f>
        <v/>
      </c>
      <c r="B1767" s="55" t="str">
        <f aca="false">'Neue Artikel'!$B$28&amp;""</f>
        <v/>
      </c>
      <c r="C1767" s="55"/>
      <c r="D1767" s="55" t="s">
        <v>3015</v>
      </c>
      <c r="E1767" s="55"/>
      <c r="F1767" s="55"/>
      <c r="G1767" s="56" t="n">
        <f aca="false">N('Neue Artikel'!$G$28)</f>
        <v>0</v>
      </c>
      <c r="H1767" s="57" t="n">
        <f aca="false">MAX(0,IF(AND(Parameter!$B$21="Ja",ISNUMBER(Y1767)),Y1767,IF(Parameter!$B$20="Jahresanfang 2025 + Export",BL1767+BK1767,BK1767)))</f>
        <v>0</v>
      </c>
      <c r="I1767" s="57" t="n">
        <f aca="false">H1767*G1767</f>
        <v>0</v>
      </c>
      <c r="J1767" s="57" t="n">
        <f aca="false">BN1767*Parameter!$B$18</f>
        <v>0</v>
      </c>
      <c r="K1767" s="58"/>
      <c r="L1767" s="59"/>
      <c r="M1767" s="57" t="n">
        <f aca="false">N('Neue Artikel'!$E$28)</f>
        <v>0</v>
      </c>
      <c r="N1767" s="57" t="n">
        <f aca="false">N('Neue Artikel'!$F$28)</f>
        <v>0</v>
      </c>
      <c r="O1767" s="60"/>
      <c r="P1767" s="55" t="str">
        <f aca="false">IF('Neue Artikel'!$H$28="","LOSE",UPPER(TRIM('Neue Artikel'!$H$28)))</f>
        <v>LOSE</v>
      </c>
      <c r="Q1767" s="57" t="n">
        <f aca="false">N('Neue Artikel'!$I$28)</f>
        <v>0</v>
      </c>
      <c r="R1767" s="60" t="n">
        <f aca="false">IF(BT1767=1,0,IFERROR(VLOOKUP(BR1767,'Gebinde-Kategorie'!$A$5:$M$45,13,0)+0,0))</f>
        <v>0</v>
      </c>
      <c r="S1767" s="61"/>
      <c r="T1767" s="62"/>
      <c r="U1767" s="62"/>
      <c r="V1767" s="62"/>
      <c r="W1767" s="55"/>
      <c r="X1767" s="57"/>
      <c r="Y1767" s="57"/>
      <c r="Z1767" s="55" t="str">
        <f aca="false">IF(A1767="","",IF(AND(Parameter!$B$21="Ja",ISNUMBER(W1767)),W1767,IF(BV1767="2+3",IF(ISNUMBER(SEARCH("grosser Artikel",BO1767)),2,IFERROR(VLOOKUP(BR1767,Parameter!$F$35:$G$64,2,0),2)),IF(OR(BV1767="Nein",BV1767=""),"-",BV1767))))</f>
        <v/>
      </c>
      <c r="AA1767" s="55" t="str">
        <f aca="false">IF('Neue Artikel'!$J$28="","",'Neue Artikel'!$J$28)</f>
        <v/>
      </c>
      <c r="AB1767" s="63"/>
      <c r="AC1767" s="57" t="n">
        <f aca="false">AR1767</f>
        <v>0</v>
      </c>
      <c r="AD1767" s="57" t="n">
        <f aca="false">MAX(AR1767,H1767)</f>
        <v>0</v>
      </c>
      <c r="AE1767" s="64"/>
      <c r="AF1767" s="57" t="n">
        <f aca="false">IF(LEFT(Cockpit!$C$5,1)="A",H1767,IF(CA1767=1,CB1767,IF(LEFT(Cockpit!$C$5,1)="B",AJ1767,MAX(AJ1767,H1767))))</f>
        <v>0</v>
      </c>
      <c r="AG1767" s="57" t="n">
        <f aca="false">IF(BT1767=1,0,ROUNDUP(AF1767/BS1767,0))</f>
        <v>0</v>
      </c>
      <c r="AH1767" s="59" t="n">
        <f aca="false">IF(CH1767&gt;0,CH1767*MAX(1,AF1767/X1767),IF(BT1767=1,IF(AF1767&lt;=0,0,BW1767*MAX(1,IF(H1767&gt;0,AF1767/H1767,1))),IF(R1767&gt;0,AG1767/R1767,0))/MAX(0.1,N(Parameter!$M$21)))</f>
        <v>0</v>
      </c>
      <c r="AI1767" s="57" t="n">
        <f aca="false">AF1767*G1767</f>
        <v>0</v>
      </c>
      <c r="AJ1767" s="57" t="n">
        <f aca="false">ROUNDUP(MAX(J1767/IF(BZ1767&gt;0,BZ1767,MAX(0.1,N(Cockpit!$C$6))),CC1767)/BS1767,0)*BS1767</f>
        <v>0</v>
      </c>
      <c r="AK1767" s="58" t="n">
        <f aca="false">IF(AH1767&gt;0,J1767/AH1767,-1)</f>
        <v>-1</v>
      </c>
      <c r="AL1767" s="58" t="str">
        <f aca="false">IF(AND(OR(BY1767="L1",BY1767="L23"),AH1767&gt;0),SUMIFS($AH$7:$AH$1843,$BY$7:$BY$1843,BY1767,$AK$7:$AK$1843,"&gt;"&amp;AK1767)+SUMIFS($AH$7:$AH$1843,$BY$7:$BY$1843,BY1767,$AK$7:$AK$1843,AK1767,$BQ$7:$BQ$1843,"&lt;="&amp;BQ1767),"")</f>
        <v/>
      </c>
      <c r="AM1767" s="65" t="n">
        <f aca="false">IF(AL1767="",0,MAX(0,MIN(1,(IF(BY1767="L1",Parameter!$E$5,Parameter!$E$6+Parameter!$E$7)-(AL1767-AH1767))/AH1767)))</f>
        <v>0</v>
      </c>
      <c r="AN1767" s="57" t="n">
        <f aca="false">IF(LEFT(Cockpit!$I$5,1)="A",H1767,IF(CA1767=1,CB1767,IF(LEFT(Cockpit!$I$5,1)="B",AR1767,MAX(AR1767,H1767))))</f>
        <v>0</v>
      </c>
      <c r="AO1767" s="57" t="n">
        <f aca="false">IF(BT1767=1,0,ROUNDUP(AN1767/BS1767,0))</f>
        <v>0</v>
      </c>
      <c r="AP1767" s="59" t="n">
        <f aca="false">IF(CH1767&gt;0,CH1767*MAX(1,AN1767/X1767),IF(BT1767=1,IF(AN1767&lt;=0,0,BW1767*MAX(1,IF(H1767&gt;0,AN1767/H1767,1))),IF(R1767&gt;0,AO1767/R1767,0))/MAX(0.1,N(Parameter!$M$21)))</f>
        <v>0</v>
      </c>
      <c r="AQ1767" s="57" t="n">
        <f aca="false">AN1767*G1767</f>
        <v>0</v>
      </c>
      <c r="AR1767" s="57" t="n">
        <f aca="false">ROUNDUP(MAX(J1767/IF(BZ1767&gt;0,BZ1767,MAX(0.1,N(Cockpit!$I$6))),CC1767)/BS1767,0)*BS1767</f>
        <v>0</v>
      </c>
      <c r="AS1767" s="58" t="n">
        <f aca="false">IF(AP1767&gt;0,J1767/AP1767,-1)</f>
        <v>-1</v>
      </c>
      <c r="AT1767" s="58" t="str">
        <f aca="false">IF(AND(OR(BY1767="L1",BY1767="L23"),AP1767&gt;0),SUMIFS($AP$7:$AP$1843,$BY$7:$BY$1843,BY1767,$AS$7:$AS$1843,"&gt;"&amp;AS1767)+SUMIFS($AP$7:$AP$1843,$BY$7:$BY$1843,BY1767,$AS$7:$AS$1843,AS1767,$BQ$7:$BQ$1843,"&lt;="&amp;BQ1767),"")</f>
        <v/>
      </c>
      <c r="AU1767" s="65" t="n">
        <f aca="false">IF(AT1767="",0,MAX(0,MIN(1,(IF(BY1767="L1",Parameter!$E$5,Parameter!$E$6+Parameter!$E$7)-(AT1767-AP1767))/AP1767)))</f>
        <v>0</v>
      </c>
      <c r="AV1767" s="57" t="n">
        <f aca="false">IF(LEFT(Cockpit!$O$5,1)="A",H1767,IF(CA1767=1,CB1767,IF(LEFT(Cockpit!$O$5,1)="B",AZ1767,MAX(AZ1767,H1767))))</f>
        <v>0</v>
      </c>
      <c r="AW1767" s="57" t="n">
        <f aca="false">IF(BT1767=1,0,ROUNDUP(AV1767/BS1767,0))</f>
        <v>0</v>
      </c>
      <c r="AX1767" s="59" t="n">
        <f aca="false">IF(CH1767&gt;0,CH1767*MAX(1,AV1767/X1767),IF(BT1767=1,IF(AV1767&lt;=0,0,BW1767*MAX(1,IF(H1767&gt;0,AV1767/H1767,1))),IF(R1767&gt;0,AW1767/R1767,0))/MAX(0.1,N(Parameter!$M$21)))</f>
        <v>0</v>
      </c>
      <c r="AY1767" s="57" t="n">
        <f aca="false">AV1767*G1767</f>
        <v>0</v>
      </c>
      <c r="AZ1767" s="57" t="n">
        <f aca="false">ROUNDUP(MAX(J1767/IF(BZ1767&gt;0,BZ1767,MAX(0.1,N(Cockpit!$O$6))),CC1767)/BS1767,0)*BS1767</f>
        <v>0</v>
      </c>
      <c r="BA1767" s="58" t="n">
        <f aca="false">IF(AX1767&gt;0,J1767/AX1767,-1)</f>
        <v>-1</v>
      </c>
      <c r="BB1767" s="58" t="str">
        <f aca="false">IF(AND(OR(BY1767="L1",BY1767="L23"),AX1767&gt;0),SUMIFS($AX$7:$AX$1843,$BY$7:$BY$1843,BY1767,$BA$7:$BA$1843,"&gt;"&amp;BA1767)+SUMIFS($AX$7:$AX$1843,$BY$7:$BY$1843,BY1767,$BA$7:$BA$1843,BA1767,$BQ$7:$BQ$1843,"&lt;="&amp;BQ1767),"")</f>
        <v/>
      </c>
      <c r="BC1767" s="65" t="n">
        <f aca="false">IF(BB1767="",0,MAX(0,MIN(1,(IF(BY1767="L1",Parameter!$E$5,Parameter!$E$6+Parameter!$E$7)-(BB1767-AX1767))/AX1767)))</f>
        <v>0</v>
      </c>
      <c r="BD1767" s="55" t="str">
        <f aca="false">IF(AH1767&lt;=0,"",IF(BY1767="Aussen","Aussenlager",IF(BY1767="-","Nicht im Lift",IF(AM1767&gt;=1,"Lift",IF(AM1767&lt;=0,"Aussenlager","teilweise")))))</f>
        <v/>
      </c>
      <c r="BE1767" s="55" t="str">
        <f aca="false">IF(AP1767&lt;=0,"",IF(BY1767="Aussen","Aussenlager",IF(BY1767="-","Nicht im Lift",IF(AU1767&gt;=1,"Lift",IF(AU1767&lt;=0,"Aussenlager","teilweise")))))</f>
        <v/>
      </c>
      <c r="BF1767" s="55" t="str">
        <f aca="false">IF(AX1767&lt;=0,"",IF(BY1767="Aussen","Aussenlager",IF(BY1767="-","Nicht im Lift",IF(BC1767&gt;=1,"Lift",IF(BC1767&lt;=0,"Aussenlager","teilweise")))))</f>
        <v/>
      </c>
      <c r="BG1767" s="55" t="str">
        <f aca="false">IF(A1767="","",IF(BP1767=1,"Neu; ","")&amp;IF(AND(BP1767=0,BK1767&lt;0),"negativer Bestand (Export "&amp;BK1767&amp;"); ","")&amp;IF(J1767&lt;=0,"Kein Verbrauch; ","")&amp;IF(CH1767&gt;0,"Lift "&amp;W1767&amp;" lt. Liftbericht (Fach "&amp;X1767&amp;" Stk); ",IF(BU1767=1,"Gebinde geschätzt ("&amp;T1767&amp;"); ",IF(BT1767=1,"Lose – Tablare geschätzt; ","")))&amp;IF(H1767&gt;AR1767,"Überbestand "&amp;ROUND(H1767-AR1767,0)&amp;" Stk / CHF "&amp;ROUND((H1767-AR1767)*G1767,0)&amp;"; ","")&amp;IF(AND(CA1767=1,CB1767&lt;CC1767),"MAX &lt; MB+LG; ","")&amp;IF(AND(CG1767&gt;0,CF1767*10&gt;CG1767),"zu hoch für Tablar; ","")&amp;IF(AND(BP1767=0,OR(CA1767=1,AA1767&lt;&gt;"",U1767&lt;&gt;"",V1767&lt;&gt;"",AB1767&lt;&gt;"")),"manuell übersteuert; ","")&amp;IF(AND(BT1767=0,R1767=0),"Gebinde unbekannt / Stellmass fehlt; ","")&amp;IF(AND(BT1767=0,N(V1767)&lt;=0,N(Q1767)&lt;=0),"Menge pro Gebinde fehlt (Ist = 1 Gebinde); ","")&amp;BO1767)</f>
        <v/>
      </c>
      <c r="BH1767" s="55"/>
      <c r="BI1767" s="55"/>
      <c r="BJ1767" s="62"/>
      <c r="BK1767" s="57" t="n">
        <f aca="false">N('Neue Artikel'!$D$28)</f>
        <v>0</v>
      </c>
      <c r="BL1767" s="57" t="n">
        <v>0</v>
      </c>
      <c r="BM1767" s="56" t="n">
        <v>0</v>
      </c>
      <c r="BN1767" s="57" t="n">
        <f aca="false">N('Neue Artikel'!$C$28)/Parameter!$B$18</f>
        <v>0</v>
      </c>
      <c r="BO1767" s="55"/>
      <c r="BP1767" s="60" t="n">
        <v>1</v>
      </c>
      <c r="BQ1767" s="60" t="n">
        <v>1767</v>
      </c>
      <c r="BR1767" s="55" t="str">
        <f aca="false">IF(U1767&lt;&gt;"",UPPER(TRIM(U1767)),IF(BU1767=1,UPPER(VLOOKUP(T1767,Parameter!$I$27:$K$29,2,0)),IF(P1767="","LOSE",P1767)))</f>
        <v>LOSE</v>
      </c>
      <c r="BS1767" s="57" t="n">
        <f aca="false">IF(BR1767="LOSE",1,IF(N(V1767)&gt;0,V1767,IF(BU1767=1,MAX(1,N(VLOOKUP(T1767,Parameter!$I$27:$K$29,3,0)),H1767,N(N1767)),IF(N(Q1767)&gt;0,Q1767,MAX(1,H1767)))))</f>
        <v>1</v>
      </c>
      <c r="BT1767" s="60" t="n">
        <f aca="false">IF(BR1767="LOSE",1,0)</f>
        <v>1</v>
      </c>
      <c r="BU1767" s="60" t="n">
        <f aca="false">IF(AND(U1767="",OR(P1767="",P1767="LOSE"),T1767&lt;&gt;"",N(S1767)&lt;=0,ISNUMBER(MATCH(T1767,Parameter!$I$27:$I$29,0))),1,0)</f>
        <v>0</v>
      </c>
      <c r="BV1767" s="55" t="str">
        <f aca="false">IF(AND(Parameter!$B$19="Ja",E1767&lt;&gt;"",ISNUMBER(MATCH(E1767,Parameter!$I$35:$I$52,0))),VLOOKUP(E1767,Parameter!$I$35:$J$52,2,0),IFERROR(VLOOKUP(D1767,Parameter!$A$35:$C$64,2,0),"Nein"))</f>
        <v>2+3</v>
      </c>
      <c r="BW1767" s="59" t="n">
        <f aca="false">IF(BT1767=0,0,IF(N(S1767)&gt;0,S1767,IFERROR(VLOOKUP(D1767,Parameter!$A$35:$C$64,3,0)+0,0)))</f>
        <v>0.15</v>
      </c>
      <c r="BX1767" s="55" t="str">
        <f aca="false">IF(AA1767&lt;&gt;"",AA1767,Z1767)</f>
        <v/>
      </c>
      <c r="BY1767" s="55" t="str">
        <f aca="false">IF(BX1767=1,"L1",IF(OR(BX1767=2,BX1767=3),"L23",IF(BX1767="Aussen","Aussen","-")))</f>
        <v>-</v>
      </c>
      <c r="BZ1767" s="66" t="n">
        <f aca="false">IF(N(AB1767)&gt;0,AB1767,0)</f>
        <v>0</v>
      </c>
      <c r="CA1767" s="60" t="n">
        <f aca="false">IF(ISNUMBER(AE1767),1,0)</f>
        <v>0</v>
      </c>
      <c r="CB1767" s="57" t="n">
        <f aca="false">N(AE1767)</f>
        <v>0</v>
      </c>
      <c r="CC1767" s="57" t="n">
        <f aca="false">N(M1767)+N(N1767)</f>
        <v>0</v>
      </c>
      <c r="CD1767" s="57" t="n">
        <f aca="false">ROUNDUP(H1767/BS1767,0)</f>
        <v>0</v>
      </c>
      <c r="CE1767" s="57" t="n">
        <f aca="false">ROUNDUP(CB1767/BS1767,0)</f>
        <v>0</v>
      </c>
      <c r="CF1767" s="60" t="n">
        <f aca="false">IF(BT1767=1,0,IFERROR(VLOOKUP(BR1767,'Gebinde-Kategorie'!$A$5:$M$45,5,0)+0,0))</f>
        <v>0</v>
      </c>
      <c r="CG1767" s="60" t="n">
        <f aca="false">IFERROR(IF(OR(BX1767=1,BX1767=2,BX1767=3),N(INDEX(Parameter!$I$5:$I$7,BX1767)),0),0)</f>
        <v>0</v>
      </c>
      <c r="CH1767" s="59" t="n">
        <f aca="false">IF(AND(Parameter!$B$21="Ja",ISNUMBER(W1767),N(X1767)&gt;0),IFERROR(N(INDEX(Parameter!$L$5:$L$7,W1767))*INDEX(Parameter!$E$5:$E$7,W1767)*X1767/SUMIFS($X$7:$X$1843,$W$7:$W$1843,W1767),0),0)</f>
        <v>0</v>
      </c>
    </row>
    <row r="1768" customFormat="false" ht="15" hidden="false" customHeight="false" outlineLevel="0" collapsed="false">
      <c r="A1768" s="55" t="str">
        <f aca="false">IF('Neue Artikel'!$A$29="","",'Neue Artikel'!$A$29&amp;"")</f>
        <v/>
      </c>
      <c r="B1768" s="55" t="str">
        <f aca="false">'Neue Artikel'!$B$29&amp;""</f>
        <v/>
      </c>
      <c r="C1768" s="55"/>
      <c r="D1768" s="55" t="s">
        <v>3015</v>
      </c>
      <c r="E1768" s="55"/>
      <c r="F1768" s="55"/>
      <c r="G1768" s="56" t="n">
        <f aca="false">N('Neue Artikel'!$G$29)</f>
        <v>0</v>
      </c>
      <c r="H1768" s="57" t="n">
        <f aca="false">MAX(0,IF(AND(Parameter!$B$21="Ja",ISNUMBER(Y1768)),Y1768,IF(Parameter!$B$20="Jahresanfang 2025 + Export",BL1768+BK1768,BK1768)))</f>
        <v>0</v>
      </c>
      <c r="I1768" s="57" t="n">
        <f aca="false">H1768*G1768</f>
        <v>0</v>
      </c>
      <c r="J1768" s="57" t="n">
        <f aca="false">BN1768*Parameter!$B$18</f>
        <v>0</v>
      </c>
      <c r="K1768" s="58"/>
      <c r="L1768" s="59"/>
      <c r="M1768" s="57" t="n">
        <f aca="false">N('Neue Artikel'!$E$29)</f>
        <v>0</v>
      </c>
      <c r="N1768" s="57" t="n">
        <f aca="false">N('Neue Artikel'!$F$29)</f>
        <v>0</v>
      </c>
      <c r="O1768" s="60"/>
      <c r="P1768" s="55" t="str">
        <f aca="false">IF('Neue Artikel'!$H$29="","LOSE",UPPER(TRIM('Neue Artikel'!$H$29)))</f>
        <v>LOSE</v>
      </c>
      <c r="Q1768" s="57" t="n">
        <f aca="false">N('Neue Artikel'!$I$29)</f>
        <v>0</v>
      </c>
      <c r="R1768" s="60" t="n">
        <f aca="false">IF(BT1768=1,0,IFERROR(VLOOKUP(BR1768,'Gebinde-Kategorie'!$A$5:$M$45,13,0)+0,0))</f>
        <v>0</v>
      </c>
      <c r="S1768" s="61"/>
      <c r="T1768" s="62"/>
      <c r="U1768" s="62"/>
      <c r="V1768" s="62"/>
      <c r="W1768" s="55"/>
      <c r="X1768" s="57"/>
      <c r="Y1768" s="57"/>
      <c r="Z1768" s="55" t="str">
        <f aca="false">IF(A1768="","",IF(AND(Parameter!$B$21="Ja",ISNUMBER(W1768)),W1768,IF(BV1768="2+3",IF(ISNUMBER(SEARCH("grosser Artikel",BO1768)),2,IFERROR(VLOOKUP(BR1768,Parameter!$F$35:$G$64,2,0),2)),IF(OR(BV1768="Nein",BV1768=""),"-",BV1768))))</f>
        <v/>
      </c>
      <c r="AA1768" s="55" t="str">
        <f aca="false">IF('Neue Artikel'!$J$29="","",'Neue Artikel'!$J$29)</f>
        <v/>
      </c>
      <c r="AB1768" s="63"/>
      <c r="AC1768" s="57" t="n">
        <f aca="false">AR1768</f>
        <v>0</v>
      </c>
      <c r="AD1768" s="57" t="n">
        <f aca="false">MAX(AR1768,H1768)</f>
        <v>0</v>
      </c>
      <c r="AE1768" s="64"/>
      <c r="AF1768" s="57" t="n">
        <f aca="false">IF(LEFT(Cockpit!$C$5,1)="A",H1768,IF(CA1768=1,CB1768,IF(LEFT(Cockpit!$C$5,1)="B",AJ1768,MAX(AJ1768,H1768))))</f>
        <v>0</v>
      </c>
      <c r="AG1768" s="57" t="n">
        <f aca="false">IF(BT1768=1,0,ROUNDUP(AF1768/BS1768,0))</f>
        <v>0</v>
      </c>
      <c r="AH1768" s="59" t="n">
        <f aca="false">IF(CH1768&gt;0,CH1768*MAX(1,AF1768/X1768),IF(BT1768=1,IF(AF1768&lt;=0,0,BW1768*MAX(1,IF(H1768&gt;0,AF1768/H1768,1))),IF(R1768&gt;0,AG1768/R1768,0))/MAX(0.1,N(Parameter!$M$21)))</f>
        <v>0</v>
      </c>
      <c r="AI1768" s="57" t="n">
        <f aca="false">AF1768*G1768</f>
        <v>0</v>
      </c>
      <c r="AJ1768" s="57" t="n">
        <f aca="false">ROUNDUP(MAX(J1768/IF(BZ1768&gt;0,BZ1768,MAX(0.1,N(Cockpit!$C$6))),CC1768)/BS1768,0)*BS1768</f>
        <v>0</v>
      </c>
      <c r="AK1768" s="58" t="n">
        <f aca="false">IF(AH1768&gt;0,J1768/AH1768,-1)</f>
        <v>-1</v>
      </c>
      <c r="AL1768" s="58" t="str">
        <f aca="false">IF(AND(OR(BY1768="L1",BY1768="L23"),AH1768&gt;0),SUMIFS($AH$7:$AH$1843,$BY$7:$BY$1843,BY1768,$AK$7:$AK$1843,"&gt;"&amp;AK1768)+SUMIFS($AH$7:$AH$1843,$BY$7:$BY$1843,BY1768,$AK$7:$AK$1843,AK1768,$BQ$7:$BQ$1843,"&lt;="&amp;BQ1768),"")</f>
        <v/>
      </c>
      <c r="AM1768" s="65" t="n">
        <f aca="false">IF(AL1768="",0,MAX(0,MIN(1,(IF(BY1768="L1",Parameter!$E$5,Parameter!$E$6+Parameter!$E$7)-(AL1768-AH1768))/AH1768)))</f>
        <v>0</v>
      </c>
      <c r="AN1768" s="57" t="n">
        <f aca="false">IF(LEFT(Cockpit!$I$5,1)="A",H1768,IF(CA1768=1,CB1768,IF(LEFT(Cockpit!$I$5,1)="B",AR1768,MAX(AR1768,H1768))))</f>
        <v>0</v>
      </c>
      <c r="AO1768" s="57" t="n">
        <f aca="false">IF(BT1768=1,0,ROUNDUP(AN1768/BS1768,0))</f>
        <v>0</v>
      </c>
      <c r="AP1768" s="59" t="n">
        <f aca="false">IF(CH1768&gt;0,CH1768*MAX(1,AN1768/X1768),IF(BT1768=1,IF(AN1768&lt;=0,0,BW1768*MAX(1,IF(H1768&gt;0,AN1768/H1768,1))),IF(R1768&gt;0,AO1768/R1768,0))/MAX(0.1,N(Parameter!$M$21)))</f>
        <v>0</v>
      </c>
      <c r="AQ1768" s="57" t="n">
        <f aca="false">AN1768*G1768</f>
        <v>0</v>
      </c>
      <c r="AR1768" s="57" t="n">
        <f aca="false">ROUNDUP(MAX(J1768/IF(BZ1768&gt;0,BZ1768,MAX(0.1,N(Cockpit!$I$6))),CC1768)/BS1768,0)*BS1768</f>
        <v>0</v>
      </c>
      <c r="AS1768" s="58" t="n">
        <f aca="false">IF(AP1768&gt;0,J1768/AP1768,-1)</f>
        <v>-1</v>
      </c>
      <c r="AT1768" s="58" t="str">
        <f aca="false">IF(AND(OR(BY1768="L1",BY1768="L23"),AP1768&gt;0),SUMIFS($AP$7:$AP$1843,$BY$7:$BY$1843,BY1768,$AS$7:$AS$1843,"&gt;"&amp;AS1768)+SUMIFS($AP$7:$AP$1843,$BY$7:$BY$1843,BY1768,$AS$7:$AS$1843,AS1768,$BQ$7:$BQ$1843,"&lt;="&amp;BQ1768),"")</f>
        <v/>
      </c>
      <c r="AU1768" s="65" t="n">
        <f aca="false">IF(AT1768="",0,MAX(0,MIN(1,(IF(BY1768="L1",Parameter!$E$5,Parameter!$E$6+Parameter!$E$7)-(AT1768-AP1768))/AP1768)))</f>
        <v>0</v>
      </c>
      <c r="AV1768" s="57" t="n">
        <f aca="false">IF(LEFT(Cockpit!$O$5,1)="A",H1768,IF(CA1768=1,CB1768,IF(LEFT(Cockpit!$O$5,1)="B",AZ1768,MAX(AZ1768,H1768))))</f>
        <v>0</v>
      </c>
      <c r="AW1768" s="57" t="n">
        <f aca="false">IF(BT1768=1,0,ROUNDUP(AV1768/BS1768,0))</f>
        <v>0</v>
      </c>
      <c r="AX1768" s="59" t="n">
        <f aca="false">IF(CH1768&gt;0,CH1768*MAX(1,AV1768/X1768),IF(BT1768=1,IF(AV1768&lt;=0,0,BW1768*MAX(1,IF(H1768&gt;0,AV1768/H1768,1))),IF(R1768&gt;0,AW1768/R1768,0))/MAX(0.1,N(Parameter!$M$21)))</f>
        <v>0</v>
      </c>
      <c r="AY1768" s="57" t="n">
        <f aca="false">AV1768*G1768</f>
        <v>0</v>
      </c>
      <c r="AZ1768" s="57" t="n">
        <f aca="false">ROUNDUP(MAX(J1768/IF(BZ1768&gt;0,BZ1768,MAX(0.1,N(Cockpit!$O$6))),CC1768)/BS1768,0)*BS1768</f>
        <v>0</v>
      </c>
      <c r="BA1768" s="58" t="n">
        <f aca="false">IF(AX1768&gt;0,J1768/AX1768,-1)</f>
        <v>-1</v>
      </c>
      <c r="BB1768" s="58" t="str">
        <f aca="false">IF(AND(OR(BY1768="L1",BY1768="L23"),AX1768&gt;0),SUMIFS($AX$7:$AX$1843,$BY$7:$BY$1843,BY1768,$BA$7:$BA$1843,"&gt;"&amp;BA1768)+SUMIFS($AX$7:$AX$1843,$BY$7:$BY$1843,BY1768,$BA$7:$BA$1843,BA1768,$BQ$7:$BQ$1843,"&lt;="&amp;BQ1768),"")</f>
        <v/>
      </c>
      <c r="BC1768" s="65" t="n">
        <f aca="false">IF(BB1768="",0,MAX(0,MIN(1,(IF(BY1768="L1",Parameter!$E$5,Parameter!$E$6+Parameter!$E$7)-(BB1768-AX1768))/AX1768)))</f>
        <v>0</v>
      </c>
      <c r="BD1768" s="55" t="str">
        <f aca="false">IF(AH1768&lt;=0,"",IF(BY1768="Aussen","Aussenlager",IF(BY1768="-","Nicht im Lift",IF(AM1768&gt;=1,"Lift",IF(AM1768&lt;=0,"Aussenlager","teilweise")))))</f>
        <v/>
      </c>
      <c r="BE1768" s="55" t="str">
        <f aca="false">IF(AP1768&lt;=0,"",IF(BY1768="Aussen","Aussenlager",IF(BY1768="-","Nicht im Lift",IF(AU1768&gt;=1,"Lift",IF(AU1768&lt;=0,"Aussenlager","teilweise")))))</f>
        <v/>
      </c>
      <c r="BF1768" s="55" t="str">
        <f aca="false">IF(AX1768&lt;=0,"",IF(BY1768="Aussen","Aussenlager",IF(BY1768="-","Nicht im Lift",IF(BC1768&gt;=1,"Lift",IF(BC1768&lt;=0,"Aussenlager","teilweise")))))</f>
        <v/>
      </c>
      <c r="BG1768" s="55" t="str">
        <f aca="false">IF(A1768="","",IF(BP1768=1,"Neu; ","")&amp;IF(AND(BP1768=0,BK1768&lt;0),"negativer Bestand (Export "&amp;BK1768&amp;"); ","")&amp;IF(J1768&lt;=0,"Kein Verbrauch; ","")&amp;IF(CH1768&gt;0,"Lift "&amp;W1768&amp;" lt. Liftbericht (Fach "&amp;X1768&amp;" Stk); ",IF(BU1768=1,"Gebinde geschätzt ("&amp;T1768&amp;"); ",IF(BT1768=1,"Lose – Tablare geschätzt; ","")))&amp;IF(H1768&gt;AR1768,"Überbestand "&amp;ROUND(H1768-AR1768,0)&amp;" Stk / CHF "&amp;ROUND((H1768-AR1768)*G1768,0)&amp;"; ","")&amp;IF(AND(CA1768=1,CB1768&lt;CC1768),"MAX &lt; MB+LG; ","")&amp;IF(AND(CG1768&gt;0,CF1768*10&gt;CG1768),"zu hoch für Tablar; ","")&amp;IF(AND(BP1768=0,OR(CA1768=1,AA1768&lt;&gt;"",U1768&lt;&gt;"",V1768&lt;&gt;"",AB1768&lt;&gt;"")),"manuell übersteuert; ","")&amp;IF(AND(BT1768=0,R1768=0),"Gebinde unbekannt / Stellmass fehlt; ","")&amp;IF(AND(BT1768=0,N(V1768)&lt;=0,N(Q1768)&lt;=0),"Menge pro Gebinde fehlt (Ist = 1 Gebinde); ","")&amp;BO1768)</f>
        <v/>
      </c>
      <c r="BH1768" s="55"/>
      <c r="BI1768" s="55"/>
      <c r="BJ1768" s="62"/>
      <c r="BK1768" s="57" t="n">
        <f aca="false">N('Neue Artikel'!$D$29)</f>
        <v>0</v>
      </c>
      <c r="BL1768" s="57" t="n">
        <v>0</v>
      </c>
      <c r="BM1768" s="56" t="n">
        <v>0</v>
      </c>
      <c r="BN1768" s="57" t="n">
        <f aca="false">N('Neue Artikel'!$C$29)/Parameter!$B$18</f>
        <v>0</v>
      </c>
      <c r="BO1768" s="55"/>
      <c r="BP1768" s="60" t="n">
        <v>1</v>
      </c>
      <c r="BQ1768" s="60" t="n">
        <v>1768</v>
      </c>
      <c r="BR1768" s="55" t="str">
        <f aca="false">IF(U1768&lt;&gt;"",UPPER(TRIM(U1768)),IF(BU1768=1,UPPER(VLOOKUP(T1768,Parameter!$I$27:$K$29,2,0)),IF(P1768="","LOSE",P1768)))</f>
        <v>LOSE</v>
      </c>
      <c r="BS1768" s="57" t="n">
        <f aca="false">IF(BR1768="LOSE",1,IF(N(V1768)&gt;0,V1768,IF(BU1768=1,MAX(1,N(VLOOKUP(T1768,Parameter!$I$27:$K$29,3,0)),H1768,N(N1768)),IF(N(Q1768)&gt;0,Q1768,MAX(1,H1768)))))</f>
        <v>1</v>
      </c>
      <c r="BT1768" s="60" t="n">
        <f aca="false">IF(BR1768="LOSE",1,0)</f>
        <v>1</v>
      </c>
      <c r="BU1768" s="60" t="n">
        <f aca="false">IF(AND(U1768="",OR(P1768="",P1768="LOSE"),T1768&lt;&gt;"",N(S1768)&lt;=0,ISNUMBER(MATCH(T1768,Parameter!$I$27:$I$29,0))),1,0)</f>
        <v>0</v>
      </c>
      <c r="BV1768" s="55" t="str">
        <f aca="false">IF(AND(Parameter!$B$19="Ja",E1768&lt;&gt;"",ISNUMBER(MATCH(E1768,Parameter!$I$35:$I$52,0))),VLOOKUP(E1768,Parameter!$I$35:$J$52,2,0),IFERROR(VLOOKUP(D1768,Parameter!$A$35:$C$64,2,0),"Nein"))</f>
        <v>2+3</v>
      </c>
      <c r="BW1768" s="59" t="n">
        <f aca="false">IF(BT1768=0,0,IF(N(S1768)&gt;0,S1768,IFERROR(VLOOKUP(D1768,Parameter!$A$35:$C$64,3,0)+0,0)))</f>
        <v>0.15</v>
      </c>
      <c r="BX1768" s="55" t="str">
        <f aca="false">IF(AA1768&lt;&gt;"",AA1768,Z1768)</f>
        <v/>
      </c>
      <c r="BY1768" s="55" t="str">
        <f aca="false">IF(BX1768=1,"L1",IF(OR(BX1768=2,BX1768=3),"L23",IF(BX1768="Aussen","Aussen","-")))</f>
        <v>-</v>
      </c>
      <c r="BZ1768" s="66" t="n">
        <f aca="false">IF(N(AB1768)&gt;0,AB1768,0)</f>
        <v>0</v>
      </c>
      <c r="CA1768" s="60" t="n">
        <f aca="false">IF(ISNUMBER(AE1768),1,0)</f>
        <v>0</v>
      </c>
      <c r="CB1768" s="57" t="n">
        <f aca="false">N(AE1768)</f>
        <v>0</v>
      </c>
      <c r="CC1768" s="57" t="n">
        <f aca="false">N(M1768)+N(N1768)</f>
        <v>0</v>
      </c>
      <c r="CD1768" s="57" t="n">
        <f aca="false">ROUNDUP(H1768/BS1768,0)</f>
        <v>0</v>
      </c>
      <c r="CE1768" s="57" t="n">
        <f aca="false">ROUNDUP(CB1768/BS1768,0)</f>
        <v>0</v>
      </c>
      <c r="CF1768" s="60" t="n">
        <f aca="false">IF(BT1768=1,0,IFERROR(VLOOKUP(BR1768,'Gebinde-Kategorie'!$A$5:$M$45,5,0)+0,0))</f>
        <v>0</v>
      </c>
      <c r="CG1768" s="60" t="n">
        <f aca="false">IFERROR(IF(OR(BX1768=1,BX1768=2,BX1768=3),N(INDEX(Parameter!$I$5:$I$7,BX1768)),0),0)</f>
        <v>0</v>
      </c>
      <c r="CH1768" s="59" t="n">
        <f aca="false">IF(AND(Parameter!$B$21="Ja",ISNUMBER(W1768),N(X1768)&gt;0),IFERROR(N(INDEX(Parameter!$L$5:$L$7,W1768))*INDEX(Parameter!$E$5:$E$7,W1768)*X1768/SUMIFS($X$7:$X$1843,$W$7:$W$1843,W1768),0),0)</f>
        <v>0</v>
      </c>
    </row>
    <row r="1769" customFormat="false" ht="15" hidden="false" customHeight="false" outlineLevel="0" collapsed="false">
      <c r="A1769" s="55" t="str">
        <f aca="false">IF('Neue Artikel'!$A$30="","",'Neue Artikel'!$A$30&amp;"")</f>
        <v/>
      </c>
      <c r="B1769" s="55" t="str">
        <f aca="false">'Neue Artikel'!$B$30&amp;""</f>
        <v/>
      </c>
      <c r="C1769" s="55"/>
      <c r="D1769" s="55" t="s">
        <v>3015</v>
      </c>
      <c r="E1769" s="55"/>
      <c r="F1769" s="55"/>
      <c r="G1769" s="56" t="n">
        <f aca="false">N('Neue Artikel'!$G$30)</f>
        <v>0</v>
      </c>
      <c r="H1769" s="57" t="n">
        <f aca="false">MAX(0,IF(AND(Parameter!$B$21="Ja",ISNUMBER(Y1769)),Y1769,IF(Parameter!$B$20="Jahresanfang 2025 + Export",BL1769+BK1769,BK1769)))</f>
        <v>0</v>
      </c>
      <c r="I1769" s="57" t="n">
        <f aca="false">H1769*G1769</f>
        <v>0</v>
      </c>
      <c r="J1769" s="57" t="n">
        <f aca="false">BN1769*Parameter!$B$18</f>
        <v>0</v>
      </c>
      <c r="K1769" s="58"/>
      <c r="L1769" s="59"/>
      <c r="M1769" s="57" t="n">
        <f aca="false">N('Neue Artikel'!$E$30)</f>
        <v>0</v>
      </c>
      <c r="N1769" s="57" t="n">
        <f aca="false">N('Neue Artikel'!$F$30)</f>
        <v>0</v>
      </c>
      <c r="O1769" s="60"/>
      <c r="P1769" s="55" t="str">
        <f aca="false">IF('Neue Artikel'!$H$30="","LOSE",UPPER(TRIM('Neue Artikel'!$H$30)))</f>
        <v>LOSE</v>
      </c>
      <c r="Q1769" s="57" t="n">
        <f aca="false">N('Neue Artikel'!$I$30)</f>
        <v>0</v>
      </c>
      <c r="R1769" s="60" t="n">
        <f aca="false">IF(BT1769=1,0,IFERROR(VLOOKUP(BR1769,'Gebinde-Kategorie'!$A$5:$M$45,13,0)+0,0))</f>
        <v>0</v>
      </c>
      <c r="S1769" s="61"/>
      <c r="T1769" s="62"/>
      <c r="U1769" s="62"/>
      <c r="V1769" s="62"/>
      <c r="W1769" s="55"/>
      <c r="X1769" s="57"/>
      <c r="Y1769" s="57"/>
      <c r="Z1769" s="55" t="str">
        <f aca="false">IF(A1769="","",IF(AND(Parameter!$B$21="Ja",ISNUMBER(W1769)),W1769,IF(BV1769="2+3",IF(ISNUMBER(SEARCH("grosser Artikel",BO1769)),2,IFERROR(VLOOKUP(BR1769,Parameter!$F$35:$G$64,2,0),2)),IF(OR(BV1769="Nein",BV1769=""),"-",BV1769))))</f>
        <v/>
      </c>
      <c r="AA1769" s="55" t="str">
        <f aca="false">IF('Neue Artikel'!$J$30="","",'Neue Artikel'!$J$30)</f>
        <v/>
      </c>
      <c r="AB1769" s="63"/>
      <c r="AC1769" s="57" t="n">
        <f aca="false">AR1769</f>
        <v>0</v>
      </c>
      <c r="AD1769" s="57" t="n">
        <f aca="false">MAX(AR1769,H1769)</f>
        <v>0</v>
      </c>
      <c r="AE1769" s="64"/>
      <c r="AF1769" s="57" t="n">
        <f aca="false">IF(LEFT(Cockpit!$C$5,1)="A",H1769,IF(CA1769=1,CB1769,IF(LEFT(Cockpit!$C$5,1)="B",AJ1769,MAX(AJ1769,H1769))))</f>
        <v>0</v>
      </c>
      <c r="AG1769" s="57" t="n">
        <f aca="false">IF(BT1769=1,0,ROUNDUP(AF1769/BS1769,0))</f>
        <v>0</v>
      </c>
      <c r="AH1769" s="59" t="n">
        <f aca="false">IF(CH1769&gt;0,CH1769*MAX(1,AF1769/X1769),IF(BT1769=1,IF(AF1769&lt;=0,0,BW1769*MAX(1,IF(H1769&gt;0,AF1769/H1769,1))),IF(R1769&gt;0,AG1769/R1769,0))/MAX(0.1,N(Parameter!$M$21)))</f>
        <v>0</v>
      </c>
      <c r="AI1769" s="57" t="n">
        <f aca="false">AF1769*G1769</f>
        <v>0</v>
      </c>
      <c r="AJ1769" s="57" t="n">
        <f aca="false">ROUNDUP(MAX(J1769/IF(BZ1769&gt;0,BZ1769,MAX(0.1,N(Cockpit!$C$6))),CC1769)/BS1769,0)*BS1769</f>
        <v>0</v>
      </c>
      <c r="AK1769" s="58" t="n">
        <f aca="false">IF(AH1769&gt;0,J1769/AH1769,-1)</f>
        <v>-1</v>
      </c>
      <c r="AL1769" s="58" t="str">
        <f aca="false">IF(AND(OR(BY1769="L1",BY1769="L23"),AH1769&gt;0),SUMIFS($AH$7:$AH$1843,$BY$7:$BY$1843,BY1769,$AK$7:$AK$1843,"&gt;"&amp;AK1769)+SUMIFS($AH$7:$AH$1843,$BY$7:$BY$1843,BY1769,$AK$7:$AK$1843,AK1769,$BQ$7:$BQ$1843,"&lt;="&amp;BQ1769),"")</f>
        <v/>
      </c>
      <c r="AM1769" s="65" t="n">
        <f aca="false">IF(AL1769="",0,MAX(0,MIN(1,(IF(BY1769="L1",Parameter!$E$5,Parameter!$E$6+Parameter!$E$7)-(AL1769-AH1769))/AH1769)))</f>
        <v>0</v>
      </c>
      <c r="AN1769" s="57" t="n">
        <f aca="false">IF(LEFT(Cockpit!$I$5,1)="A",H1769,IF(CA1769=1,CB1769,IF(LEFT(Cockpit!$I$5,1)="B",AR1769,MAX(AR1769,H1769))))</f>
        <v>0</v>
      </c>
      <c r="AO1769" s="57" t="n">
        <f aca="false">IF(BT1769=1,0,ROUNDUP(AN1769/BS1769,0))</f>
        <v>0</v>
      </c>
      <c r="AP1769" s="59" t="n">
        <f aca="false">IF(CH1769&gt;0,CH1769*MAX(1,AN1769/X1769),IF(BT1769=1,IF(AN1769&lt;=0,0,BW1769*MAX(1,IF(H1769&gt;0,AN1769/H1769,1))),IF(R1769&gt;0,AO1769/R1769,0))/MAX(0.1,N(Parameter!$M$21)))</f>
        <v>0</v>
      </c>
      <c r="AQ1769" s="57" t="n">
        <f aca="false">AN1769*G1769</f>
        <v>0</v>
      </c>
      <c r="AR1769" s="57" t="n">
        <f aca="false">ROUNDUP(MAX(J1769/IF(BZ1769&gt;0,BZ1769,MAX(0.1,N(Cockpit!$I$6))),CC1769)/BS1769,0)*BS1769</f>
        <v>0</v>
      </c>
      <c r="AS1769" s="58" t="n">
        <f aca="false">IF(AP1769&gt;0,J1769/AP1769,-1)</f>
        <v>-1</v>
      </c>
      <c r="AT1769" s="58" t="str">
        <f aca="false">IF(AND(OR(BY1769="L1",BY1769="L23"),AP1769&gt;0),SUMIFS($AP$7:$AP$1843,$BY$7:$BY$1843,BY1769,$AS$7:$AS$1843,"&gt;"&amp;AS1769)+SUMIFS($AP$7:$AP$1843,$BY$7:$BY$1843,BY1769,$AS$7:$AS$1843,AS1769,$BQ$7:$BQ$1843,"&lt;="&amp;BQ1769),"")</f>
        <v/>
      </c>
      <c r="AU1769" s="65" t="n">
        <f aca="false">IF(AT1769="",0,MAX(0,MIN(1,(IF(BY1769="L1",Parameter!$E$5,Parameter!$E$6+Parameter!$E$7)-(AT1769-AP1769))/AP1769)))</f>
        <v>0</v>
      </c>
      <c r="AV1769" s="57" t="n">
        <f aca="false">IF(LEFT(Cockpit!$O$5,1)="A",H1769,IF(CA1769=1,CB1769,IF(LEFT(Cockpit!$O$5,1)="B",AZ1769,MAX(AZ1769,H1769))))</f>
        <v>0</v>
      </c>
      <c r="AW1769" s="57" t="n">
        <f aca="false">IF(BT1769=1,0,ROUNDUP(AV1769/BS1769,0))</f>
        <v>0</v>
      </c>
      <c r="AX1769" s="59" t="n">
        <f aca="false">IF(CH1769&gt;0,CH1769*MAX(1,AV1769/X1769),IF(BT1769=1,IF(AV1769&lt;=0,0,BW1769*MAX(1,IF(H1769&gt;0,AV1769/H1769,1))),IF(R1769&gt;0,AW1769/R1769,0))/MAX(0.1,N(Parameter!$M$21)))</f>
        <v>0</v>
      </c>
      <c r="AY1769" s="57" t="n">
        <f aca="false">AV1769*G1769</f>
        <v>0</v>
      </c>
      <c r="AZ1769" s="57" t="n">
        <f aca="false">ROUNDUP(MAX(J1769/IF(BZ1769&gt;0,BZ1769,MAX(0.1,N(Cockpit!$O$6))),CC1769)/BS1769,0)*BS1769</f>
        <v>0</v>
      </c>
      <c r="BA1769" s="58" t="n">
        <f aca="false">IF(AX1769&gt;0,J1769/AX1769,-1)</f>
        <v>-1</v>
      </c>
      <c r="BB1769" s="58" t="str">
        <f aca="false">IF(AND(OR(BY1769="L1",BY1769="L23"),AX1769&gt;0),SUMIFS($AX$7:$AX$1843,$BY$7:$BY$1843,BY1769,$BA$7:$BA$1843,"&gt;"&amp;BA1769)+SUMIFS($AX$7:$AX$1843,$BY$7:$BY$1843,BY1769,$BA$7:$BA$1843,BA1769,$BQ$7:$BQ$1843,"&lt;="&amp;BQ1769),"")</f>
        <v/>
      </c>
      <c r="BC1769" s="65" t="n">
        <f aca="false">IF(BB1769="",0,MAX(0,MIN(1,(IF(BY1769="L1",Parameter!$E$5,Parameter!$E$6+Parameter!$E$7)-(BB1769-AX1769))/AX1769)))</f>
        <v>0</v>
      </c>
      <c r="BD1769" s="55" t="str">
        <f aca="false">IF(AH1769&lt;=0,"",IF(BY1769="Aussen","Aussenlager",IF(BY1769="-","Nicht im Lift",IF(AM1769&gt;=1,"Lift",IF(AM1769&lt;=0,"Aussenlager","teilweise")))))</f>
        <v/>
      </c>
      <c r="BE1769" s="55" t="str">
        <f aca="false">IF(AP1769&lt;=0,"",IF(BY1769="Aussen","Aussenlager",IF(BY1769="-","Nicht im Lift",IF(AU1769&gt;=1,"Lift",IF(AU1769&lt;=0,"Aussenlager","teilweise")))))</f>
        <v/>
      </c>
      <c r="BF1769" s="55" t="str">
        <f aca="false">IF(AX1769&lt;=0,"",IF(BY1769="Aussen","Aussenlager",IF(BY1769="-","Nicht im Lift",IF(BC1769&gt;=1,"Lift",IF(BC1769&lt;=0,"Aussenlager","teilweise")))))</f>
        <v/>
      </c>
      <c r="BG1769" s="55" t="str">
        <f aca="false">IF(A1769="","",IF(BP1769=1,"Neu; ","")&amp;IF(AND(BP1769=0,BK1769&lt;0),"negativer Bestand (Export "&amp;BK1769&amp;"); ","")&amp;IF(J1769&lt;=0,"Kein Verbrauch; ","")&amp;IF(CH1769&gt;0,"Lift "&amp;W1769&amp;" lt. Liftbericht (Fach "&amp;X1769&amp;" Stk); ",IF(BU1769=1,"Gebinde geschätzt ("&amp;T1769&amp;"); ",IF(BT1769=1,"Lose – Tablare geschätzt; ","")))&amp;IF(H1769&gt;AR1769,"Überbestand "&amp;ROUND(H1769-AR1769,0)&amp;" Stk / CHF "&amp;ROUND((H1769-AR1769)*G1769,0)&amp;"; ","")&amp;IF(AND(CA1769=1,CB1769&lt;CC1769),"MAX &lt; MB+LG; ","")&amp;IF(AND(CG1769&gt;0,CF1769*10&gt;CG1769),"zu hoch für Tablar; ","")&amp;IF(AND(BP1769=0,OR(CA1769=1,AA1769&lt;&gt;"",U1769&lt;&gt;"",V1769&lt;&gt;"",AB1769&lt;&gt;"")),"manuell übersteuert; ","")&amp;IF(AND(BT1769=0,R1769=0),"Gebinde unbekannt / Stellmass fehlt; ","")&amp;IF(AND(BT1769=0,N(V1769)&lt;=0,N(Q1769)&lt;=0),"Menge pro Gebinde fehlt (Ist = 1 Gebinde); ","")&amp;BO1769)</f>
        <v/>
      </c>
      <c r="BH1769" s="55"/>
      <c r="BI1769" s="55"/>
      <c r="BJ1769" s="62"/>
      <c r="BK1769" s="57" t="n">
        <f aca="false">N('Neue Artikel'!$D$30)</f>
        <v>0</v>
      </c>
      <c r="BL1769" s="57" t="n">
        <v>0</v>
      </c>
      <c r="BM1769" s="56" t="n">
        <v>0</v>
      </c>
      <c r="BN1769" s="57" t="n">
        <f aca="false">N('Neue Artikel'!$C$30)/Parameter!$B$18</f>
        <v>0</v>
      </c>
      <c r="BO1769" s="55"/>
      <c r="BP1769" s="60" t="n">
        <v>1</v>
      </c>
      <c r="BQ1769" s="60" t="n">
        <v>1769</v>
      </c>
      <c r="BR1769" s="55" t="str">
        <f aca="false">IF(U1769&lt;&gt;"",UPPER(TRIM(U1769)),IF(BU1769=1,UPPER(VLOOKUP(T1769,Parameter!$I$27:$K$29,2,0)),IF(P1769="","LOSE",P1769)))</f>
        <v>LOSE</v>
      </c>
      <c r="BS1769" s="57" t="n">
        <f aca="false">IF(BR1769="LOSE",1,IF(N(V1769)&gt;0,V1769,IF(BU1769=1,MAX(1,N(VLOOKUP(T1769,Parameter!$I$27:$K$29,3,0)),H1769,N(N1769)),IF(N(Q1769)&gt;0,Q1769,MAX(1,H1769)))))</f>
        <v>1</v>
      </c>
      <c r="BT1769" s="60" t="n">
        <f aca="false">IF(BR1769="LOSE",1,0)</f>
        <v>1</v>
      </c>
      <c r="BU1769" s="60" t="n">
        <f aca="false">IF(AND(U1769="",OR(P1769="",P1769="LOSE"),T1769&lt;&gt;"",N(S1769)&lt;=0,ISNUMBER(MATCH(T1769,Parameter!$I$27:$I$29,0))),1,0)</f>
        <v>0</v>
      </c>
      <c r="BV1769" s="55" t="str">
        <f aca="false">IF(AND(Parameter!$B$19="Ja",E1769&lt;&gt;"",ISNUMBER(MATCH(E1769,Parameter!$I$35:$I$52,0))),VLOOKUP(E1769,Parameter!$I$35:$J$52,2,0),IFERROR(VLOOKUP(D1769,Parameter!$A$35:$C$64,2,0),"Nein"))</f>
        <v>2+3</v>
      </c>
      <c r="BW1769" s="59" t="n">
        <f aca="false">IF(BT1769=0,0,IF(N(S1769)&gt;0,S1769,IFERROR(VLOOKUP(D1769,Parameter!$A$35:$C$64,3,0)+0,0)))</f>
        <v>0.15</v>
      </c>
      <c r="BX1769" s="55" t="str">
        <f aca="false">IF(AA1769&lt;&gt;"",AA1769,Z1769)</f>
        <v/>
      </c>
      <c r="BY1769" s="55" t="str">
        <f aca="false">IF(BX1769=1,"L1",IF(OR(BX1769=2,BX1769=3),"L23",IF(BX1769="Aussen","Aussen","-")))</f>
        <v>-</v>
      </c>
      <c r="BZ1769" s="66" t="n">
        <f aca="false">IF(N(AB1769)&gt;0,AB1769,0)</f>
        <v>0</v>
      </c>
      <c r="CA1769" s="60" t="n">
        <f aca="false">IF(ISNUMBER(AE1769),1,0)</f>
        <v>0</v>
      </c>
      <c r="CB1769" s="57" t="n">
        <f aca="false">N(AE1769)</f>
        <v>0</v>
      </c>
      <c r="CC1769" s="57" t="n">
        <f aca="false">N(M1769)+N(N1769)</f>
        <v>0</v>
      </c>
      <c r="CD1769" s="57" t="n">
        <f aca="false">ROUNDUP(H1769/BS1769,0)</f>
        <v>0</v>
      </c>
      <c r="CE1769" s="57" t="n">
        <f aca="false">ROUNDUP(CB1769/BS1769,0)</f>
        <v>0</v>
      </c>
      <c r="CF1769" s="60" t="n">
        <f aca="false">IF(BT1769=1,0,IFERROR(VLOOKUP(BR1769,'Gebinde-Kategorie'!$A$5:$M$45,5,0)+0,0))</f>
        <v>0</v>
      </c>
      <c r="CG1769" s="60" t="n">
        <f aca="false">IFERROR(IF(OR(BX1769=1,BX1769=2,BX1769=3),N(INDEX(Parameter!$I$5:$I$7,BX1769)),0),0)</f>
        <v>0</v>
      </c>
      <c r="CH1769" s="59" t="n">
        <f aca="false">IF(AND(Parameter!$B$21="Ja",ISNUMBER(W1769),N(X1769)&gt;0),IFERROR(N(INDEX(Parameter!$L$5:$L$7,W1769))*INDEX(Parameter!$E$5:$E$7,W1769)*X1769/SUMIFS($X$7:$X$1843,$W$7:$W$1843,W1769),0),0)</f>
        <v>0</v>
      </c>
    </row>
    <row r="1770" customFormat="false" ht="15" hidden="false" customHeight="false" outlineLevel="0" collapsed="false">
      <c r="A1770" s="55" t="str">
        <f aca="false">IF('Neue Artikel'!$A$31="","",'Neue Artikel'!$A$31&amp;"")</f>
        <v/>
      </c>
      <c r="B1770" s="55" t="str">
        <f aca="false">'Neue Artikel'!$B$31&amp;""</f>
        <v/>
      </c>
      <c r="C1770" s="55"/>
      <c r="D1770" s="55" t="s">
        <v>3015</v>
      </c>
      <c r="E1770" s="55"/>
      <c r="F1770" s="55"/>
      <c r="G1770" s="56" t="n">
        <f aca="false">N('Neue Artikel'!$G$31)</f>
        <v>0</v>
      </c>
      <c r="H1770" s="57" t="n">
        <f aca="false">MAX(0,IF(AND(Parameter!$B$21="Ja",ISNUMBER(Y1770)),Y1770,IF(Parameter!$B$20="Jahresanfang 2025 + Export",BL1770+BK1770,BK1770)))</f>
        <v>0</v>
      </c>
      <c r="I1770" s="57" t="n">
        <f aca="false">H1770*G1770</f>
        <v>0</v>
      </c>
      <c r="J1770" s="57" t="n">
        <f aca="false">BN1770*Parameter!$B$18</f>
        <v>0</v>
      </c>
      <c r="K1770" s="58"/>
      <c r="L1770" s="59"/>
      <c r="M1770" s="57" t="n">
        <f aca="false">N('Neue Artikel'!$E$31)</f>
        <v>0</v>
      </c>
      <c r="N1770" s="57" t="n">
        <f aca="false">N('Neue Artikel'!$F$31)</f>
        <v>0</v>
      </c>
      <c r="O1770" s="60"/>
      <c r="P1770" s="55" t="str">
        <f aca="false">IF('Neue Artikel'!$H$31="","LOSE",UPPER(TRIM('Neue Artikel'!$H$31)))</f>
        <v>LOSE</v>
      </c>
      <c r="Q1770" s="57" t="n">
        <f aca="false">N('Neue Artikel'!$I$31)</f>
        <v>0</v>
      </c>
      <c r="R1770" s="60" t="n">
        <f aca="false">IF(BT1770=1,0,IFERROR(VLOOKUP(BR1770,'Gebinde-Kategorie'!$A$5:$M$45,13,0)+0,0))</f>
        <v>0</v>
      </c>
      <c r="S1770" s="61"/>
      <c r="T1770" s="62"/>
      <c r="U1770" s="62"/>
      <c r="V1770" s="62"/>
      <c r="W1770" s="55"/>
      <c r="X1770" s="57"/>
      <c r="Y1770" s="57"/>
      <c r="Z1770" s="55" t="str">
        <f aca="false">IF(A1770="","",IF(AND(Parameter!$B$21="Ja",ISNUMBER(W1770)),W1770,IF(BV1770="2+3",IF(ISNUMBER(SEARCH("grosser Artikel",BO1770)),2,IFERROR(VLOOKUP(BR1770,Parameter!$F$35:$G$64,2,0),2)),IF(OR(BV1770="Nein",BV1770=""),"-",BV1770))))</f>
        <v/>
      </c>
      <c r="AA1770" s="55" t="str">
        <f aca="false">IF('Neue Artikel'!$J$31="","",'Neue Artikel'!$J$31)</f>
        <v/>
      </c>
      <c r="AB1770" s="63"/>
      <c r="AC1770" s="57" t="n">
        <f aca="false">AR1770</f>
        <v>0</v>
      </c>
      <c r="AD1770" s="57" t="n">
        <f aca="false">MAX(AR1770,H1770)</f>
        <v>0</v>
      </c>
      <c r="AE1770" s="64"/>
      <c r="AF1770" s="57" t="n">
        <f aca="false">IF(LEFT(Cockpit!$C$5,1)="A",H1770,IF(CA1770=1,CB1770,IF(LEFT(Cockpit!$C$5,1)="B",AJ1770,MAX(AJ1770,H1770))))</f>
        <v>0</v>
      </c>
      <c r="AG1770" s="57" t="n">
        <f aca="false">IF(BT1770=1,0,ROUNDUP(AF1770/BS1770,0))</f>
        <v>0</v>
      </c>
      <c r="AH1770" s="59" t="n">
        <f aca="false">IF(CH1770&gt;0,CH1770*MAX(1,AF1770/X1770),IF(BT1770=1,IF(AF1770&lt;=0,0,BW1770*MAX(1,IF(H1770&gt;0,AF1770/H1770,1))),IF(R1770&gt;0,AG1770/R1770,0))/MAX(0.1,N(Parameter!$M$21)))</f>
        <v>0</v>
      </c>
      <c r="AI1770" s="57" t="n">
        <f aca="false">AF1770*G1770</f>
        <v>0</v>
      </c>
      <c r="AJ1770" s="57" t="n">
        <f aca="false">ROUNDUP(MAX(J1770/IF(BZ1770&gt;0,BZ1770,MAX(0.1,N(Cockpit!$C$6))),CC1770)/BS1770,0)*BS1770</f>
        <v>0</v>
      </c>
      <c r="AK1770" s="58" t="n">
        <f aca="false">IF(AH1770&gt;0,J1770/AH1770,-1)</f>
        <v>-1</v>
      </c>
      <c r="AL1770" s="58" t="str">
        <f aca="false">IF(AND(OR(BY1770="L1",BY1770="L23"),AH1770&gt;0),SUMIFS($AH$7:$AH$1843,$BY$7:$BY$1843,BY1770,$AK$7:$AK$1843,"&gt;"&amp;AK1770)+SUMIFS($AH$7:$AH$1843,$BY$7:$BY$1843,BY1770,$AK$7:$AK$1843,AK1770,$BQ$7:$BQ$1843,"&lt;="&amp;BQ1770),"")</f>
        <v/>
      </c>
      <c r="AM1770" s="65" t="n">
        <f aca="false">IF(AL1770="",0,MAX(0,MIN(1,(IF(BY1770="L1",Parameter!$E$5,Parameter!$E$6+Parameter!$E$7)-(AL1770-AH1770))/AH1770)))</f>
        <v>0</v>
      </c>
      <c r="AN1770" s="57" t="n">
        <f aca="false">IF(LEFT(Cockpit!$I$5,1)="A",H1770,IF(CA1770=1,CB1770,IF(LEFT(Cockpit!$I$5,1)="B",AR1770,MAX(AR1770,H1770))))</f>
        <v>0</v>
      </c>
      <c r="AO1770" s="57" t="n">
        <f aca="false">IF(BT1770=1,0,ROUNDUP(AN1770/BS1770,0))</f>
        <v>0</v>
      </c>
      <c r="AP1770" s="59" t="n">
        <f aca="false">IF(CH1770&gt;0,CH1770*MAX(1,AN1770/X1770),IF(BT1770=1,IF(AN1770&lt;=0,0,BW1770*MAX(1,IF(H1770&gt;0,AN1770/H1770,1))),IF(R1770&gt;0,AO1770/R1770,0))/MAX(0.1,N(Parameter!$M$21)))</f>
        <v>0</v>
      </c>
      <c r="AQ1770" s="57" t="n">
        <f aca="false">AN1770*G1770</f>
        <v>0</v>
      </c>
      <c r="AR1770" s="57" t="n">
        <f aca="false">ROUNDUP(MAX(J1770/IF(BZ1770&gt;0,BZ1770,MAX(0.1,N(Cockpit!$I$6))),CC1770)/BS1770,0)*BS1770</f>
        <v>0</v>
      </c>
      <c r="AS1770" s="58" t="n">
        <f aca="false">IF(AP1770&gt;0,J1770/AP1770,-1)</f>
        <v>-1</v>
      </c>
      <c r="AT1770" s="58" t="str">
        <f aca="false">IF(AND(OR(BY1770="L1",BY1770="L23"),AP1770&gt;0),SUMIFS($AP$7:$AP$1843,$BY$7:$BY$1843,BY1770,$AS$7:$AS$1843,"&gt;"&amp;AS1770)+SUMIFS($AP$7:$AP$1843,$BY$7:$BY$1843,BY1770,$AS$7:$AS$1843,AS1770,$BQ$7:$BQ$1843,"&lt;="&amp;BQ1770),"")</f>
        <v/>
      </c>
      <c r="AU1770" s="65" t="n">
        <f aca="false">IF(AT1770="",0,MAX(0,MIN(1,(IF(BY1770="L1",Parameter!$E$5,Parameter!$E$6+Parameter!$E$7)-(AT1770-AP1770))/AP1770)))</f>
        <v>0</v>
      </c>
      <c r="AV1770" s="57" t="n">
        <f aca="false">IF(LEFT(Cockpit!$O$5,1)="A",H1770,IF(CA1770=1,CB1770,IF(LEFT(Cockpit!$O$5,1)="B",AZ1770,MAX(AZ1770,H1770))))</f>
        <v>0</v>
      </c>
      <c r="AW1770" s="57" t="n">
        <f aca="false">IF(BT1770=1,0,ROUNDUP(AV1770/BS1770,0))</f>
        <v>0</v>
      </c>
      <c r="AX1770" s="59" t="n">
        <f aca="false">IF(CH1770&gt;0,CH1770*MAX(1,AV1770/X1770),IF(BT1770=1,IF(AV1770&lt;=0,0,BW1770*MAX(1,IF(H1770&gt;0,AV1770/H1770,1))),IF(R1770&gt;0,AW1770/R1770,0))/MAX(0.1,N(Parameter!$M$21)))</f>
        <v>0</v>
      </c>
      <c r="AY1770" s="57" t="n">
        <f aca="false">AV1770*G1770</f>
        <v>0</v>
      </c>
      <c r="AZ1770" s="57" t="n">
        <f aca="false">ROUNDUP(MAX(J1770/IF(BZ1770&gt;0,BZ1770,MAX(0.1,N(Cockpit!$O$6))),CC1770)/BS1770,0)*BS1770</f>
        <v>0</v>
      </c>
      <c r="BA1770" s="58" t="n">
        <f aca="false">IF(AX1770&gt;0,J1770/AX1770,-1)</f>
        <v>-1</v>
      </c>
      <c r="BB1770" s="58" t="str">
        <f aca="false">IF(AND(OR(BY1770="L1",BY1770="L23"),AX1770&gt;0),SUMIFS($AX$7:$AX$1843,$BY$7:$BY$1843,BY1770,$BA$7:$BA$1843,"&gt;"&amp;BA1770)+SUMIFS($AX$7:$AX$1843,$BY$7:$BY$1843,BY1770,$BA$7:$BA$1843,BA1770,$BQ$7:$BQ$1843,"&lt;="&amp;BQ1770),"")</f>
        <v/>
      </c>
      <c r="BC1770" s="65" t="n">
        <f aca="false">IF(BB1770="",0,MAX(0,MIN(1,(IF(BY1770="L1",Parameter!$E$5,Parameter!$E$6+Parameter!$E$7)-(BB1770-AX1770))/AX1770)))</f>
        <v>0</v>
      </c>
      <c r="BD1770" s="55" t="str">
        <f aca="false">IF(AH1770&lt;=0,"",IF(BY1770="Aussen","Aussenlager",IF(BY1770="-","Nicht im Lift",IF(AM1770&gt;=1,"Lift",IF(AM1770&lt;=0,"Aussenlager","teilweise")))))</f>
        <v/>
      </c>
      <c r="BE1770" s="55" t="str">
        <f aca="false">IF(AP1770&lt;=0,"",IF(BY1770="Aussen","Aussenlager",IF(BY1770="-","Nicht im Lift",IF(AU1770&gt;=1,"Lift",IF(AU1770&lt;=0,"Aussenlager","teilweise")))))</f>
        <v/>
      </c>
      <c r="BF1770" s="55" t="str">
        <f aca="false">IF(AX1770&lt;=0,"",IF(BY1770="Aussen","Aussenlager",IF(BY1770="-","Nicht im Lift",IF(BC1770&gt;=1,"Lift",IF(BC1770&lt;=0,"Aussenlager","teilweise")))))</f>
        <v/>
      </c>
      <c r="BG1770" s="55" t="str">
        <f aca="false">IF(A1770="","",IF(BP1770=1,"Neu; ","")&amp;IF(AND(BP1770=0,BK1770&lt;0),"negativer Bestand (Export "&amp;BK1770&amp;"); ","")&amp;IF(J1770&lt;=0,"Kein Verbrauch; ","")&amp;IF(CH1770&gt;0,"Lift "&amp;W1770&amp;" lt. Liftbericht (Fach "&amp;X1770&amp;" Stk); ",IF(BU1770=1,"Gebinde geschätzt ("&amp;T1770&amp;"); ",IF(BT1770=1,"Lose – Tablare geschätzt; ","")))&amp;IF(H1770&gt;AR1770,"Überbestand "&amp;ROUND(H1770-AR1770,0)&amp;" Stk / CHF "&amp;ROUND((H1770-AR1770)*G1770,0)&amp;"; ","")&amp;IF(AND(CA1770=1,CB1770&lt;CC1770),"MAX &lt; MB+LG; ","")&amp;IF(AND(CG1770&gt;0,CF1770*10&gt;CG1770),"zu hoch für Tablar; ","")&amp;IF(AND(BP1770=0,OR(CA1770=1,AA1770&lt;&gt;"",U1770&lt;&gt;"",V1770&lt;&gt;"",AB1770&lt;&gt;"")),"manuell übersteuert; ","")&amp;IF(AND(BT1770=0,R1770=0),"Gebinde unbekannt / Stellmass fehlt; ","")&amp;IF(AND(BT1770=0,N(V1770)&lt;=0,N(Q1770)&lt;=0),"Menge pro Gebinde fehlt (Ist = 1 Gebinde); ","")&amp;BO1770)</f>
        <v/>
      </c>
      <c r="BH1770" s="55"/>
      <c r="BI1770" s="55"/>
      <c r="BJ1770" s="62"/>
      <c r="BK1770" s="57" t="n">
        <f aca="false">N('Neue Artikel'!$D$31)</f>
        <v>0</v>
      </c>
      <c r="BL1770" s="57" t="n">
        <v>0</v>
      </c>
      <c r="BM1770" s="56" t="n">
        <v>0</v>
      </c>
      <c r="BN1770" s="57" t="n">
        <f aca="false">N('Neue Artikel'!$C$31)/Parameter!$B$18</f>
        <v>0</v>
      </c>
      <c r="BO1770" s="55"/>
      <c r="BP1770" s="60" t="n">
        <v>1</v>
      </c>
      <c r="BQ1770" s="60" t="n">
        <v>1770</v>
      </c>
      <c r="BR1770" s="55" t="str">
        <f aca="false">IF(U1770&lt;&gt;"",UPPER(TRIM(U1770)),IF(BU1770=1,UPPER(VLOOKUP(T1770,Parameter!$I$27:$K$29,2,0)),IF(P1770="","LOSE",P1770)))</f>
        <v>LOSE</v>
      </c>
      <c r="BS1770" s="57" t="n">
        <f aca="false">IF(BR1770="LOSE",1,IF(N(V1770)&gt;0,V1770,IF(BU1770=1,MAX(1,N(VLOOKUP(T1770,Parameter!$I$27:$K$29,3,0)),H1770,N(N1770)),IF(N(Q1770)&gt;0,Q1770,MAX(1,H1770)))))</f>
        <v>1</v>
      </c>
      <c r="BT1770" s="60" t="n">
        <f aca="false">IF(BR1770="LOSE",1,0)</f>
        <v>1</v>
      </c>
      <c r="BU1770" s="60" t="n">
        <f aca="false">IF(AND(U1770="",OR(P1770="",P1770="LOSE"),T1770&lt;&gt;"",N(S1770)&lt;=0,ISNUMBER(MATCH(T1770,Parameter!$I$27:$I$29,0))),1,0)</f>
        <v>0</v>
      </c>
      <c r="BV1770" s="55" t="str">
        <f aca="false">IF(AND(Parameter!$B$19="Ja",E1770&lt;&gt;"",ISNUMBER(MATCH(E1770,Parameter!$I$35:$I$52,0))),VLOOKUP(E1770,Parameter!$I$35:$J$52,2,0),IFERROR(VLOOKUP(D1770,Parameter!$A$35:$C$64,2,0),"Nein"))</f>
        <v>2+3</v>
      </c>
      <c r="BW1770" s="59" t="n">
        <f aca="false">IF(BT1770=0,0,IF(N(S1770)&gt;0,S1770,IFERROR(VLOOKUP(D1770,Parameter!$A$35:$C$64,3,0)+0,0)))</f>
        <v>0.15</v>
      </c>
      <c r="BX1770" s="55" t="str">
        <f aca="false">IF(AA1770&lt;&gt;"",AA1770,Z1770)</f>
        <v/>
      </c>
      <c r="BY1770" s="55" t="str">
        <f aca="false">IF(BX1770=1,"L1",IF(OR(BX1770=2,BX1770=3),"L23",IF(BX1770="Aussen","Aussen","-")))</f>
        <v>-</v>
      </c>
      <c r="BZ1770" s="66" t="n">
        <f aca="false">IF(N(AB1770)&gt;0,AB1770,0)</f>
        <v>0</v>
      </c>
      <c r="CA1770" s="60" t="n">
        <f aca="false">IF(ISNUMBER(AE1770),1,0)</f>
        <v>0</v>
      </c>
      <c r="CB1770" s="57" t="n">
        <f aca="false">N(AE1770)</f>
        <v>0</v>
      </c>
      <c r="CC1770" s="57" t="n">
        <f aca="false">N(M1770)+N(N1770)</f>
        <v>0</v>
      </c>
      <c r="CD1770" s="57" t="n">
        <f aca="false">ROUNDUP(H1770/BS1770,0)</f>
        <v>0</v>
      </c>
      <c r="CE1770" s="57" t="n">
        <f aca="false">ROUNDUP(CB1770/BS1770,0)</f>
        <v>0</v>
      </c>
      <c r="CF1770" s="60" t="n">
        <f aca="false">IF(BT1770=1,0,IFERROR(VLOOKUP(BR1770,'Gebinde-Kategorie'!$A$5:$M$45,5,0)+0,0))</f>
        <v>0</v>
      </c>
      <c r="CG1770" s="60" t="n">
        <f aca="false">IFERROR(IF(OR(BX1770=1,BX1770=2,BX1770=3),N(INDEX(Parameter!$I$5:$I$7,BX1770)),0),0)</f>
        <v>0</v>
      </c>
      <c r="CH1770" s="59" t="n">
        <f aca="false">IF(AND(Parameter!$B$21="Ja",ISNUMBER(W1770),N(X1770)&gt;0),IFERROR(N(INDEX(Parameter!$L$5:$L$7,W1770))*INDEX(Parameter!$E$5:$E$7,W1770)*X1770/SUMIFS($X$7:$X$1843,$W$7:$W$1843,W1770),0),0)</f>
        <v>0</v>
      </c>
    </row>
    <row r="1771" customFormat="false" ht="15" hidden="false" customHeight="false" outlineLevel="0" collapsed="false">
      <c r="A1771" s="55" t="str">
        <f aca="false">IF('Neue Artikel'!$A$32="","",'Neue Artikel'!$A$32&amp;"")</f>
        <v/>
      </c>
      <c r="B1771" s="55" t="str">
        <f aca="false">'Neue Artikel'!$B$32&amp;""</f>
        <v/>
      </c>
      <c r="C1771" s="55"/>
      <c r="D1771" s="55" t="s">
        <v>3015</v>
      </c>
      <c r="E1771" s="55"/>
      <c r="F1771" s="55"/>
      <c r="G1771" s="56" t="n">
        <f aca="false">N('Neue Artikel'!$G$32)</f>
        <v>0</v>
      </c>
      <c r="H1771" s="57" t="n">
        <f aca="false">MAX(0,IF(AND(Parameter!$B$21="Ja",ISNUMBER(Y1771)),Y1771,IF(Parameter!$B$20="Jahresanfang 2025 + Export",BL1771+BK1771,BK1771)))</f>
        <v>0</v>
      </c>
      <c r="I1771" s="57" t="n">
        <f aca="false">H1771*G1771</f>
        <v>0</v>
      </c>
      <c r="J1771" s="57" t="n">
        <f aca="false">BN1771*Parameter!$B$18</f>
        <v>0</v>
      </c>
      <c r="K1771" s="58"/>
      <c r="L1771" s="59"/>
      <c r="M1771" s="57" t="n">
        <f aca="false">N('Neue Artikel'!$E$32)</f>
        <v>0</v>
      </c>
      <c r="N1771" s="57" t="n">
        <f aca="false">N('Neue Artikel'!$F$32)</f>
        <v>0</v>
      </c>
      <c r="O1771" s="60"/>
      <c r="P1771" s="55" t="str">
        <f aca="false">IF('Neue Artikel'!$H$32="","LOSE",UPPER(TRIM('Neue Artikel'!$H$32)))</f>
        <v>LOSE</v>
      </c>
      <c r="Q1771" s="57" t="n">
        <f aca="false">N('Neue Artikel'!$I$32)</f>
        <v>0</v>
      </c>
      <c r="R1771" s="60" t="n">
        <f aca="false">IF(BT1771=1,0,IFERROR(VLOOKUP(BR1771,'Gebinde-Kategorie'!$A$5:$M$45,13,0)+0,0))</f>
        <v>0</v>
      </c>
      <c r="S1771" s="61"/>
      <c r="T1771" s="62"/>
      <c r="U1771" s="62"/>
      <c r="V1771" s="62"/>
      <c r="W1771" s="55"/>
      <c r="X1771" s="57"/>
      <c r="Y1771" s="57"/>
      <c r="Z1771" s="55" t="str">
        <f aca="false">IF(A1771="","",IF(AND(Parameter!$B$21="Ja",ISNUMBER(W1771)),W1771,IF(BV1771="2+3",IF(ISNUMBER(SEARCH("grosser Artikel",BO1771)),2,IFERROR(VLOOKUP(BR1771,Parameter!$F$35:$G$64,2,0),2)),IF(OR(BV1771="Nein",BV1771=""),"-",BV1771))))</f>
        <v/>
      </c>
      <c r="AA1771" s="55" t="str">
        <f aca="false">IF('Neue Artikel'!$J$32="","",'Neue Artikel'!$J$32)</f>
        <v/>
      </c>
      <c r="AB1771" s="63"/>
      <c r="AC1771" s="57" t="n">
        <f aca="false">AR1771</f>
        <v>0</v>
      </c>
      <c r="AD1771" s="57" t="n">
        <f aca="false">MAX(AR1771,H1771)</f>
        <v>0</v>
      </c>
      <c r="AE1771" s="64"/>
      <c r="AF1771" s="57" t="n">
        <f aca="false">IF(LEFT(Cockpit!$C$5,1)="A",H1771,IF(CA1771=1,CB1771,IF(LEFT(Cockpit!$C$5,1)="B",AJ1771,MAX(AJ1771,H1771))))</f>
        <v>0</v>
      </c>
      <c r="AG1771" s="57" t="n">
        <f aca="false">IF(BT1771=1,0,ROUNDUP(AF1771/BS1771,0))</f>
        <v>0</v>
      </c>
      <c r="AH1771" s="59" t="n">
        <f aca="false">IF(CH1771&gt;0,CH1771*MAX(1,AF1771/X1771),IF(BT1771=1,IF(AF1771&lt;=0,0,BW1771*MAX(1,IF(H1771&gt;0,AF1771/H1771,1))),IF(R1771&gt;0,AG1771/R1771,0))/MAX(0.1,N(Parameter!$M$21)))</f>
        <v>0</v>
      </c>
      <c r="AI1771" s="57" t="n">
        <f aca="false">AF1771*G1771</f>
        <v>0</v>
      </c>
      <c r="AJ1771" s="57" t="n">
        <f aca="false">ROUNDUP(MAX(J1771/IF(BZ1771&gt;0,BZ1771,MAX(0.1,N(Cockpit!$C$6))),CC1771)/BS1771,0)*BS1771</f>
        <v>0</v>
      </c>
      <c r="AK1771" s="58" t="n">
        <f aca="false">IF(AH1771&gt;0,J1771/AH1771,-1)</f>
        <v>-1</v>
      </c>
      <c r="AL1771" s="58" t="str">
        <f aca="false">IF(AND(OR(BY1771="L1",BY1771="L23"),AH1771&gt;0),SUMIFS($AH$7:$AH$1843,$BY$7:$BY$1843,BY1771,$AK$7:$AK$1843,"&gt;"&amp;AK1771)+SUMIFS($AH$7:$AH$1843,$BY$7:$BY$1843,BY1771,$AK$7:$AK$1843,AK1771,$BQ$7:$BQ$1843,"&lt;="&amp;BQ1771),"")</f>
        <v/>
      </c>
      <c r="AM1771" s="65" t="n">
        <f aca="false">IF(AL1771="",0,MAX(0,MIN(1,(IF(BY1771="L1",Parameter!$E$5,Parameter!$E$6+Parameter!$E$7)-(AL1771-AH1771))/AH1771)))</f>
        <v>0</v>
      </c>
      <c r="AN1771" s="57" t="n">
        <f aca="false">IF(LEFT(Cockpit!$I$5,1)="A",H1771,IF(CA1771=1,CB1771,IF(LEFT(Cockpit!$I$5,1)="B",AR1771,MAX(AR1771,H1771))))</f>
        <v>0</v>
      </c>
      <c r="AO1771" s="57" t="n">
        <f aca="false">IF(BT1771=1,0,ROUNDUP(AN1771/BS1771,0))</f>
        <v>0</v>
      </c>
      <c r="AP1771" s="59" t="n">
        <f aca="false">IF(CH1771&gt;0,CH1771*MAX(1,AN1771/X1771),IF(BT1771=1,IF(AN1771&lt;=0,0,BW1771*MAX(1,IF(H1771&gt;0,AN1771/H1771,1))),IF(R1771&gt;0,AO1771/R1771,0))/MAX(0.1,N(Parameter!$M$21)))</f>
        <v>0</v>
      </c>
      <c r="AQ1771" s="57" t="n">
        <f aca="false">AN1771*G1771</f>
        <v>0</v>
      </c>
      <c r="AR1771" s="57" t="n">
        <f aca="false">ROUNDUP(MAX(J1771/IF(BZ1771&gt;0,BZ1771,MAX(0.1,N(Cockpit!$I$6))),CC1771)/BS1771,0)*BS1771</f>
        <v>0</v>
      </c>
      <c r="AS1771" s="58" t="n">
        <f aca="false">IF(AP1771&gt;0,J1771/AP1771,-1)</f>
        <v>-1</v>
      </c>
      <c r="AT1771" s="58" t="str">
        <f aca="false">IF(AND(OR(BY1771="L1",BY1771="L23"),AP1771&gt;0),SUMIFS($AP$7:$AP$1843,$BY$7:$BY$1843,BY1771,$AS$7:$AS$1843,"&gt;"&amp;AS1771)+SUMIFS($AP$7:$AP$1843,$BY$7:$BY$1843,BY1771,$AS$7:$AS$1843,AS1771,$BQ$7:$BQ$1843,"&lt;="&amp;BQ1771),"")</f>
        <v/>
      </c>
      <c r="AU1771" s="65" t="n">
        <f aca="false">IF(AT1771="",0,MAX(0,MIN(1,(IF(BY1771="L1",Parameter!$E$5,Parameter!$E$6+Parameter!$E$7)-(AT1771-AP1771))/AP1771)))</f>
        <v>0</v>
      </c>
      <c r="AV1771" s="57" t="n">
        <f aca="false">IF(LEFT(Cockpit!$O$5,1)="A",H1771,IF(CA1771=1,CB1771,IF(LEFT(Cockpit!$O$5,1)="B",AZ1771,MAX(AZ1771,H1771))))</f>
        <v>0</v>
      </c>
      <c r="AW1771" s="57" t="n">
        <f aca="false">IF(BT1771=1,0,ROUNDUP(AV1771/BS1771,0))</f>
        <v>0</v>
      </c>
      <c r="AX1771" s="59" t="n">
        <f aca="false">IF(CH1771&gt;0,CH1771*MAX(1,AV1771/X1771),IF(BT1771=1,IF(AV1771&lt;=0,0,BW1771*MAX(1,IF(H1771&gt;0,AV1771/H1771,1))),IF(R1771&gt;0,AW1771/R1771,0))/MAX(0.1,N(Parameter!$M$21)))</f>
        <v>0</v>
      </c>
      <c r="AY1771" s="57" t="n">
        <f aca="false">AV1771*G1771</f>
        <v>0</v>
      </c>
      <c r="AZ1771" s="57" t="n">
        <f aca="false">ROUNDUP(MAX(J1771/IF(BZ1771&gt;0,BZ1771,MAX(0.1,N(Cockpit!$O$6))),CC1771)/BS1771,0)*BS1771</f>
        <v>0</v>
      </c>
      <c r="BA1771" s="58" t="n">
        <f aca="false">IF(AX1771&gt;0,J1771/AX1771,-1)</f>
        <v>-1</v>
      </c>
      <c r="BB1771" s="58" t="str">
        <f aca="false">IF(AND(OR(BY1771="L1",BY1771="L23"),AX1771&gt;0),SUMIFS($AX$7:$AX$1843,$BY$7:$BY$1843,BY1771,$BA$7:$BA$1843,"&gt;"&amp;BA1771)+SUMIFS($AX$7:$AX$1843,$BY$7:$BY$1843,BY1771,$BA$7:$BA$1843,BA1771,$BQ$7:$BQ$1843,"&lt;="&amp;BQ1771),"")</f>
        <v/>
      </c>
      <c r="BC1771" s="65" t="n">
        <f aca="false">IF(BB1771="",0,MAX(0,MIN(1,(IF(BY1771="L1",Parameter!$E$5,Parameter!$E$6+Parameter!$E$7)-(BB1771-AX1771))/AX1771)))</f>
        <v>0</v>
      </c>
      <c r="BD1771" s="55" t="str">
        <f aca="false">IF(AH1771&lt;=0,"",IF(BY1771="Aussen","Aussenlager",IF(BY1771="-","Nicht im Lift",IF(AM1771&gt;=1,"Lift",IF(AM1771&lt;=0,"Aussenlager","teilweise")))))</f>
        <v/>
      </c>
      <c r="BE1771" s="55" t="str">
        <f aca="false">IF(AP1771&lt;=0,"",IF(BY1771="Aussen","Aussenlager",IF(BY1771="-","Nicht im Lift",IF(AU1771&gt;=1,"Lift",IF(AU1771&lt;=0,"Aussenlager","teilweise")))))</f>
        <v/>
      </c>
      <c r="BF1771" s="55" t="str">
        <f aca="false">IF(AX1771&lt;=0,"",IF(BY1771="Aussen","Aussenlager",IF(BY1771="-","Nicht im Lift",IF(BC1771&gt;=1,"Lift",IF(BC1771&lt;=0,"Aussenlager","teilweise")))))</f>
        <v/>
      </c>
      <c r="BG1771" s="55" t="str">
        <f aca="false">IF(A1771="","",IF(BP1771=1,"Neu; ","")&amp;IF(AND(BP1771=0,BK1771&lt;0),"negativer Bestand (Export "&amp;BK1771&amp;"); ","")&amp;IF(J1771&lt;=0,"Kein Verbrauch; ","")&amp;IF(CH1771&gt;0,"Lift "&amp;W1771&amp;" lt. Liftbericht (Fach "&amp;X1771&amp;" Stk); ",IF(BU1771=1,"Gebinde geschätzt ("&amp;T1771&amp;"); ",IF(BT1771=1,"Lose – Tablare geschätzt; ","")))&amp;IF(H1771&gt;AR1771,"Überbestand "&amp;ROUND(H1771-AR1771,0)&amp;" Stk / CHF "&amp;ROUND((H1771-AR1771)*G1771,0)&amp;"; ","")&amp;IF(AND(CA1771=1,CB1771&lt;CC1771),"MAX &lt; MB+LG; ","")&amp;IF(AND(CG1771&gt;0,CF1771*10&gt;CG1771),"zu hoch für Tablar; ","")&amp;IF(AND(BP1771=0,OR(CA1771=1,AA1771&lt;&gt;"",U1771&lt;&gt;"",V1771&lt;&gt;"",AB1771&lt;&gt;"")),"manuell übersteuert; ","")&amp;IF(AND(BT1771=0,R1771=0),"Gebinde unbekannt / Stellmass fehlt; ","")&amp;IF(AND(BT1771=0,N(V1771)&lt;=0,N(Q1771)&lt;=0),"Menge pro Gebinde fehlt (Ist = 1 Gebinde); ","")&amp;BO1771)</f>
        <v/>
      </c>
      <c r="BH1771" s="55"/>
      <c r="BI1771" s="55"/>
      <c r="BJ1771" s="62"/>
      <c r="BK1771" s="57" t="n">
        <f aca="false">N('Neue Artikel'!$D$32)</f>
        <v>0</v>
      </c>
      <c r="BL1771" s="57" t="n">
        <v>0</v>
      </c>
      <c r="BM1771" s="56" t="n">
        <v>0</v>
      </c>
      <c r="BN1771" s="57" t="n">
        <f aca="false">N('Neue Artikel'!$C$32)/Parameter!$B$18</f>
        <v>0</v>
      </c>
      <c r="BO1771" s="55"/>
      <c r="BP1771" s="60" t="n">
        <v>1</v>
      </c>
      <c r="BQ1771" s="60" t="n">
        <v>1771</v>
      </c>
      <c r="BR1771" s="55" t="str">
        <f aca="false">IF(U1771&lt;&gt;"",UPPER(TRIM(U1771)),IF(BU1771=1,UPPER(VLOOKUP(T1771,Parameter!$I$27:$K$29,2,0)),IF(P1771="","LOSE",P1771)))</f>
        <v>LOSE</v>
      </c>
      <c r="BS1771" s="57" t="n">
        <f aca="false">IF(BR1771="LOSE",1,IF(N(V1771)&gt;0,V1771,IF(BU1771=1,MAX(1,N(VLOOKUP(T1771,Parameter!$I$27:$K$29,3,0)),H1771,N(N1771)),IF(N(Q1771)&gt;0,Q1771,MAX(1,H1771)))))</f>
        <v>1</v>
      </c>
      <c r="BT1771" s="60" t="n">
        <f aca="false">IF(BR1771="LOSE",1,0)</f>
        <v>1</v>
      </c>
      <c r="BU1771" s="60" t="n">
        <f aca="false">IF(AND(U1771="",OR(P1771="",P1771="LOSE"),T1771&lt;&gt;"",N(S1771)&lt;=0,ISNUMBER(MATCH(T1771,Parameter!$I$27:$I$29,0))),1,0)</f>
        <v>0</v>
      </c>
      <c r="BV1771" s="55" t="str">
        <f aca="false">IF(AND(Parameter!$B$19="Ja",E1771&lt;&gt;"",ISNUMBER(MATCH(E1771,Parameter!$I$35:$I$52,0))),VLOOKUP(E1771,Parameter!$I$35:$J$52,2,0),IFERROR(VLOOKUP(D1771,Parameter!$A$35:$C$64,2,0),"Nein"))</f>
        <v>2+3</v>
      </c>
      <c r="BW1771" s="59" t="n">
        <f aca="false">IF(BT1771=0,0,IF(N(S1771)&gt;0,S1771,IFERROR(VLOOKUP(D1771,Parameter!$A$35:$C$64,3,0)+0,0)))</f>
        <v>0.15</v>
      </c>
      <c r="BX1771" s="55" t="str">
        <f aca="false">IF(AA1771&lt;&gt;"",AA1771,Z1771)</f>
        <v/>
      </c>
      <c r="BY1771" s="55" t="str">
        <f aca="false">IF(BX1771=1,"L1",IF(OR(BX1771=2,BX1771=3),"L23",IF(BX1771="Aussen","Aussen","-")))</f>
        <v>-</v>
      </c>
      <c r="BZ1771" s="66" t="n">
        <f aca="false">IF(N(AB1771)&gt;0,AB1771,0)</f>
        <v>0</v>
      </c>
      <c r="CA1771" s="60" t="n">
        <f aca="false">IF(ISNUMBER(AE1771),1,0)</f>
        <v>0</v>
      </c>
      <c r="CB1771" s="57" t="n">
        <f aca="false">N(AE1771)</f>
        <v>0</v>
      </c>
      <c r="CC1771" s="57" t="n">
        <f aca="false">N(M1771)+N(N1771)</f>
        <v>0</v>
      </c>
      <c r="CD1771" s="57" t="n">
        <f aca="false">ROUNDUP(H1771/BS1771,0)</f>
        <v>0</v>
      </c>
      <c r="CE1771" s="57" t="n">
        <f aca="false">ROUNDUP(CB1771/BS1771,0)</f>
        <v>0</v>
      </c>
      <c r="CF1771" s="60" t="n">
        <f aca="false">IF(BT1771=1,0,IFERROR(VLOOKUP(BR1771,'Gebinde-Kategorie'!$A$5:$M$45,5,0)+0,0))</f>
        <v>0</v>
      </c>
      <c r="CG1771" s="60" t="n">
        <f aca="false">IFERROR(IF(OR(BX1771=1,BX1771=2,BX1771=3),N(INDEX(Parameter!$I$5:$I$7,BX1771)),0),0)</f>
        <v>0</v>
      </c>
      <c r="CH1771" s="59" t="n">
        <f aca="false">IF(AND(Parameter!$B$21="Ja",ISNUMBER(W1771),N(X1771)&gt;0),IFERROR(N(INDEX(Parameter!$L$5:$L$7,W1771))*INDEX(Parameter!$E$5:$E$7,W1771)*X1771/SUMIFS($X$7:$X$1843,$W$7:$W$1843,W1771),0),0)</f>
        <v>0</v>
      </c>
    </row>
    <row r="1772" customFormat="false" ht="15" hidden="false" customHeight="false" outlineLevel="0" collapsed="false">
      <c r="A1772" s="55" t="str">
        <f aca="false">IF('Neue Artikel'!$A$33="","",'Neue Artikel'!$A$33&amp;"")</f>
        <v/>
      </c>
      <c r="B1772" s="55" t="str">
        <f aca="false">'Neue Artikel'!$B$33&amp;""</f>
        <v/>
      </c>
      <c r="C1772" s="55"/>
      <c r="D1772" s="55" t="s">
        <v>3015</v>
      </c>
      <c r="E1772" s="55"/>
      <c r="F1772" s="55"/>
      <c r="G1772" s="56" t="n">
        <f aca="false">N('Neue Artikel'!$G$33)</f>
        <v>0</v>
      </c>
      <c r="H1772" s="57" t="n">
        <f aca="false">MAX(0,IF(AND(Parameter!$B$21="Ja",ISNUMBER(Y1772)),Y1772,IF(Parameter!$B$20="Jahresanfang 2025 + Export",BL1772+BK1772,BK1772)))</f>
        <v>0</v>
      </c>
      <c r="I1772" s="57" t="n">
        <f aca="false">H1772*G1772</f>
        <v>0</v>
      </c>
      <c r="J1772" s="57" t="n">
        <f aca="false">BN1772*Parameter!$B$18</f>
        <v>0</v>
      </c>
      <c r="K1772" s="58"/>
      <c r="L1772" s="59"/>
      <c r="M1772" s="57" t="n">
        <f aca="false">N('Neue Artikel'!$E$33)</f>
        <v>0</v>
      </c>
      <c r="N1772" s="57" t="n">
        <f aca="false">N('Neue Artikel'!$F$33)</f>
        <v>0</v>
      </c>
      <c r="O1772" s="60"/>
      <c r="P1772" s="55" t="str">
        <f aca="false">IF('Neue Artikel'!$H$33="","LOSE",UPPER(TRIM('Neue Artikel'!$H$33)))</f>
        <v>LOSE</v>
      </c>
      <c r="Q1772" s="57" t="n">
        <f aca="false">N('Neue Artikel'!$I$33)</f>
        <v>0</v>
      </c>
      <c r="R1772" s="60" t="n">
        <f aca="false">IF(BT1772=1,0,IFERROR(VLOOKUP(BR1772,'Gebinde-Kategorie'!$A$5:$M$45,13,0)+0,0))</f>
        <v>0</v>
      </c>
      <c r="S1772" s="61"/>
      <c r="T1772" s="62"/>
      <c r="U1772" s="62"/>
      <c r="V1772" s="62"/>
      <c r="W1772" s="55"/>
      <c r="X1772" s="57"/>
      <c r="Y1772" s="57"/>
      <c r="Z1772" s="55" t="str">
        <f aca="false">IF(A1772="","",IF(AND(Parameter!$B$21="Ja",ISNUMBER(W1772)),W1772,IF(BV1772="2+3",IF(ISNUMBER(SEARCH("grosser Artikel",BO1772)),2,IFERROR(VLOOKUP(BR1772,Parameter!$F$35:$G$64,2,0),2)),IF(OR(BV1772="Nein",BV1772=""),"-",BV1772))))</f>
        <v/>
      </c>
      <c r="AA1772" s="55" t="str">
        <f aca="false">IF('Neue Artikel'!$J$33="","",'Neue Artikel'!$J$33)</f>
        <v/>
      </c>
      <c r="AB1772" s="63"/>
      <c r="AC1772" s="57" t="n">
        <f aca="false">AR1772</f>
        <v>0</v>
      </c>
      <c r="AD1772" s="57" t="n">
        <f aca="false">MAX(AR1772,H1772)</f>
        <v>0</v>
      </c>
      <c r="AE1772" s="64"/>
      <c r="AF1772" s="57" t="n">
        <f aca="false">IF(LEFT(Cockpit!$C$5,1)="A",H1772,IF(CA1772=1,CB1772,IF(LEFT(Cockpit!$C$5,1)="B",AJ1772,MAX(AJ1772,H1772))))</f>
        <v>0</v>
      </c>
      <c r="AG1772" s="57" t="n">
        <f aca="false">IF(BT1772=1,0,ROUNDUP(AF1772/BS1772,0))</f>
        <v>0</v>
      </c>
      <c r="AH1772" s="59" t="n">
        <f aca="false">IF(CH1772&gt;0,CH1772*MAX(1,AF1772/X1772),IF(BT1772=1,IF(AF1772&lt;=0,0,BW1772*MAX(1,IF(H1772&gt;0,AF1772/H1772,1))),IF(R1772&gt;0,AG1772/R1772,0))/MAX(0.1,N(Parameter!$M$21)))</f>
        <v>0</v>
      </c>
      <c r="AI1772" s="57" t="n">
        <f aca="false">AF1772*G1772</f>
        <v>0</v>
      </c>
      <c r="AJ1772" s="57" t="n">
        <f aca="false">ROUNDUP(MAX(J1772/IF(BZ1772&gt;0,BZ1772,MAX(0.1,N(Cockpit!$C$6))),CC1772)/BS1772,0)*BS1772</f>
        <v>0</v>
      </c>
      <c r="AK1772" s="58" t="n">
        <f aca="false">IF(AH1772&gt;0,J1772/AH1772,-1)</f>
        <v>-1</v>
      </c>
      <c r="AL1772" s="58" t="str">
        <f aca="false">IF(AND(OR(BY1772="L1",BY1772="L23"),AH1772&gt;0),SUMIFS($AH$7:$AH$1843,$BY$7:$BY$1843,BY1772,$AK$7:$AK$1843,"&gt;"&amp;AK1772)+SUMIFS($AH$7:$AH$1843,$BY$7:$BY$1843,BY1772,$AK$7:$AK$1843,AK1772,$BQ$7:$BQ$1843,"&lt;="&amp;BQ1772),"")</f>
        <v/>
      </c>
      <c r="AM1772" s="65" t="n">
        <f aca="false">IF(AL1772="",0,MAX(0,MIN(1,(IF(BY1772="L1",Parameter!$E$5,Parameter!$E$6+Parameter!$E$7)-(AL1772-AH1772))/AH1772)))</f>
        <v>0</v>
      </c>
      <c r="AN1772" s="57" t="n">
        <f aca="false">IF(LEFT(Cockpit!$I$5,1)="A",H1772,IF(CA1772=1,CB1772,IF(LEFT(Cockpit!$I$5,1)="B",AR1772,MAX(AR1772,H1772))))</f>
        <v>0</v>
      </c>
      <c r="AO1772" s="57" t="n">
        <f aca="false">IF(BT1772=1,0,ROUNDUP(AN1772/BS1772,0))</f>
        <v>0</v>
      </c>
      <c r="AP1772" s="59" t="n">
        <f aca="false">IF(CH1772&gt;0,CH1772*MAX(1,AN1772/X1772),IF(BT1772=1,IF(AN1772&lt;=0,0,BW1772*MAX(1,IF(H1772&gt;0,AN1772/H1772,1))),IF(R1772&gt;0,AO1772/R1772,0))/MAX(0.1,N(Parameter!$M$21)))</f>
        <v>0</v>
      </c>
      <c r="AQ1772" s="57" t="n">
        <f aca="false">AN1772*G1772</f>
        <v>0</v>
      </c>
      <c r="AR1772" s="57" t="n">
        <f aca="false">ROUNDUP(MAX(J1772/IF(BZ1772&gt;0,BZ1772,MAX(0.1,N(Cockpit!$I$6))),CC1772)/BS1772,0)*BS1772</f>
        <v>0</v>
      </c>
      <c r="AS1772" s="58" t="n">
        <f aca="false">IF(AP1772&gt;0,J1772/AP1772,-1)</f>
        <v>-1</v>
      </c>
      <c r="AT1772" s="58" t="str">
        <f aca="false">IF(AND(OR(BY1772="L1",BY1772="L23"),AP1772&gt;0),SUMIFS($AP$7:$AP$1843,$BY$7:$BY$1843,BY1772,$AS$7:$AS$1843,"&gt;"&amp;AS1772)+SUMIFS($AP$7:$AP$1843,$BY$7:$BY$1843,BY1772,$AS$7:$AS$1843,AS1772,$BQ$7:$BQ$1843,"&lt;="&amp;BQ1772),"")</f>
        <v/>
      </c>
      <c r="AU1772" s="65" t="n">
        <f aca="false">IF(AT1772="",0,MAX(0,MIN(1,(IF(BY1772="L1",Parameter!$E$5,Parameter!$E$6+Parameter!$E$7)-(AT1772-AP1772))/AP1772)))</f>
        <v>0</v>
      </c>
      <c r="AV1772" s="57" t="n">
        <f aca="false">IF(LEFT(Cockpit!$O$5,1)="A",H1772,IF(CA1772=1,CB1772,IF(LEFT(Cockpit!$O$5,1)="B",AZ1772,MAX(AZ1772,H1772))))</f>
        <v>0</v>
      </c>
      <c r="AW1772" s="57" t="n">
        <f aca="false">IF(BT1772=1,0,ROUNDUP(AV1772/BS1772,0))</f>
        <v>0</v>
      </c>
      <c r="AX1772" s="59" t="n">
        <f aca="false">IF(CH1772&gt;0,CH1772*MAX(1,AV1772/X1772),IF(BT1772=1,IF(AV1772&lt;=0,0,BW1772*MAX(1,IF(H1772&gt;0,AV1772/H1772,1))),IF(R1772&gt;0,AW1772/R1772,0))/MAX(0.1,N(Parameter!$M$21)))</f>
        <v>0</v>
      </c>
      <c r="AY1772" s="57" t="n">
        <f aca="false">AV1772*G1772</f>
        <v>0</v>
      </c>
      <c r="AZ1772" s="57" t="n">
        <f aca="false">ROUNDUP(MAX(J1772/IF(BZ1772&gt;0,BZ1772,MAX(0.1,N(Cockpit!$O$6))),CC1772)/BS1772,0)*BS1772</f>
        <v>0</v>
      </c>
      <c r="BA1772" s="58" t="n">
        <f aca="false">IF(AX1772&gt;0,J1772/AX1772,-1)</f>
        <v>-1</v>
      </c>
      <c r="BB1772" s="58" t="str">
        <f aca="false">IF(AND(OR(BY1772="L1",BY1772="L23"),AX1772&gt;0),SUMIFS($AX$7:$AX$1843,$BY$7:$BY$1843,BY1772,$BA$7:$BA$1843,"&gt;"&amp;BA1772)+SUMIFS($AX$7:$AX$1843,$BY$7:$BY$1843,BY1772,$BA$7:$BA$1843,BA1772,$BQ$7:$BQ$1843,"&lt;="&amp;BQ1772),"")</f>
        <v/>
      </c>
      <c r="BC1772" s="65" t="n">
        <f aca="false">IF(BB1772="",0,MAX(0,MIN(1,(IF(BY1772="L1",Parameter!$E$5,Parameter!$E$6+Parameter!$E$7)-(BB1772-AX1772))/AX1772)))</f>
        <v>0</v>
      </c>
      <c r="BD1772" s="55" t="str">
        <f aca="false">IF(AH1772&lt;=0,"",IF(BY1772="Aussen","Aussenlager",IF(BY1772="-","Nicht im Lift",IF(AM1772&gt;=1,"Lift",IF(AM1772&lt;=0,"Aussenlager","teilweise")))))</f>
        <v/>
      </c>
      <c r="BE1772" s="55" t="str">
        <f aca="false">IF(AP1772&lt;=0,"",IF(BY1772="Aussen","Aussenlager",IF(BY1772="-","Nicht im Lift",IF(AU1772&gt;=1,"Lift",IF(AU1772&lt;=0,"Aussenlager","teilweise")))))</f>
        <v/>
      </c>
      <c r="BF1772" s="55" t="str">
        <f aca="false">IF(AX1772&lt;=0,"",IF(BY1772="Aussen","Aussenlager",IF(BY1772="-","Nicht im Lift",IF(BC1772&gt;=1,"Lift",IF(BC1772&lt;=0,"Aussenlager","teilweise")))))</f>
        <v/>
      </c>
      <c r="BG1772" s="55" t="str">
        <f aca="false">IF(A1772="","",IF(BP1772=1,"Neu; ","")&amp;IF(AND(BP1772=0,BK1772&lt;0),"negativer Bestand (Export "&amp;BK1772&amp;"); ","")&amp;IF(J1772&lt;=0,"Kein Verbrauch; ","")&amp;IF(CH1772&gt;0,"Lift "&amp;W1772&amp;" lt. Liftbericht (Fach "&amp;X1772&amp;" Stk); ",IF(BU1772=1,"Gebinde geschätzt ("&amp;T1772&amp;"); ",IF(BT1772=1,"Lose – Tablare geschätzt; ","")))&amp;IF(H1772&gt;AR1772,"Überbestand "&amp;ROUND(H1772-AR1772,0)&amp;" Stk / CHF "&amp;ROUND((H1772-AR1772)*G1772,0)&amp;"; ","")&amp;IF(AND(CA1772=1,CB1772&lt;CC1772),"MAX &lt; MB+LG; ","")&amp;IF(AND(CG1772&gt;0,CF1772*10&gt;CG1772),"zu hoch für Tablar; ","")&amp;IF(AND(BP1772=0,OR(CA1772=1,AA1772&lt;&gt;"",U1772&lt;&gt;"",V1772&lt;&gt;"",AB1772&lt;&gt;"")),"manuell übersteuert; ","")&amp;IF(AND(BT1772=0,R1772=0),"Gebinde unbekannt / Stellmass fehlt; ","")&amp;IF(AND(BT1772=0,N(V1772)&lt;=0,N(Q1772)&lt;=0),"Menge pro Gebinde fehlt (Ist = 1 Gebinde); ","")&amp;BO1772)</f>
        <v/>
      </c>
      <c r="BH1772" s="55"/>
      <c r="BI1772" s="55"/>
      <c r="BJ1772" s="62"/>
      <c r="BK1772" s="57" t="n">
        <f aca="false">N('Neue Artikel'!$D$33)</f>
        <v>0</v>
      </c>
      <c r="BL1772" s="57" t="n">
        <v>0</v>
      </c>
      <c r="BM1772" s="56" t="n">
        <v>0</v>
      </c>
      <c r="BN1772" s="57" t="n">
        <f aca="false">N('Neue Artikel'!$C$33)/Parameter!$B$18</f>
        <v>0</v>
      </c>
      <c r="BO1772" s="55"/>
      <c r="BP1772" s="60" t="n">
        <v>1</v>
      </c>
      <c r="BQ1772" s="60" t="n">
        <v>1772</v>
      </c>
      <c r="BR1772" s="55" t="str">
        <f aca="false">IF(U1772&lt;&gt;"",UPPER(TRIM(U1772)),IF(BU1772=1,UPPER(VLOOKUP(T1772,Parameter!$I$27:$K$29,2,0)),IF(P1772="","LOSE",P1772)))</f>
        <v>LOSE</v>
      </c>
      <c r="BS1772" s="57" t="n">
        <f aca="false">IF(BR1772="LOSE",1,IF(N(V1772)&gt;0,V1772,IF(BU1772=1,MAX(1,N(VLOOKUP(T1772,Parameter!$I$27:$K$29,3,0)),H1772,N(N1772)),IF(N(Q1772)&gt;0,Q1772,MAX(1,H1772)))))</f>
        <v>1</v>
      </c>
      <c r="BT1772" s="60" t="n">
        <f aca="false">IF(BR1772="LOSE",1,0)</f>
        <v>1</v>
      </c>
      <c r="BU1772" s="60" t="n">
        <f aca="false">IF(AND(U1772="",OR(P1772="",P1772="LOSE"),T1772&lt;&gt;"",N(S1772)&lt;=0,ISNUMBER(MATCH(T1772,Parameter!$I$27:$I$29,0))),1,0)</f>
        <v>0</v>
      </c>
      <c r="BV1772" s="55" t="str">
        <f aca="false">IF(AND(Parameter!$B$19="Ja",E1772&lt;&gt;"",ISNUMBER(MATCH(E1772,Parameter!$I$35:$I$52,0))),VLOOKUP(E1772,Parameter!$I$35:$J$52,2,0),IFERROR(VLOOKUP(D1772,Parameter!$A$35:$C$64,2,0),"Nein"))</f>
        <v>2+3</v>
      </c>
      <c r="BW1772" s="59" t="n">
        <f aca="false">IF(BT1772=0,0,IF(N(S1772)&gt;0,S1772,IFERROR(VLOOKUP(D1772,Parameter!$A$35:$C$64,3,0)+0,0)))</f>
        <v>0.15</v>
      </c>
      <c r="BX1772" s="55" t="str">
        <f aca="false">IF(AA1772&lt;&gt;"",AA1772,Z1772)</f>
        <v/>
      </c>
      <c r="BY1772" s="55" t="str">
        <f aca="false">IF(BX1772=1,"L1",IF(OR(BX1772=2,BX1772=3),"L23",IF(BX1772="Aussen","Aussen","-")))</f>
        <v>-</v>
      </c>
      <c r="BZ1772" s="66" t="n">
        <f aca="false">IF(N(AB1772)&gt;0,AB1772,0)</f>
        <v>0</v>
      </c>
      <c r="CA1772" s="60" t="n">
        <f aca="false">IF(ISNUMBER(AE1772),1,0)</f>
        <v>0</v>
      </c>
      <c r="CB1772" s="57" t="n">
        <f aca="false">N(AE1772)</f>
        <v>0</v>
      </c>
      <c r="CC1772" s="57" t="n">
        <f aca="false">N(M1772)+N(N1772)</f>
        <v>0</v>
      </c>
      <c r="CD1772" s="57" t="n">
        <f aca="false">ROUNDUP(H1772/BS1772,0)</f>
        <v>0</v>
      </c>
      <c r="CE1772" s="57" t="n">
        <f aca="false">ROUNDUP(CB1772/BS1772,0)</f>
        <v>0</v>
      </c>
      <c r="CF1772" s="60" t="n">
        <f aca="false">IF(BT1772=1,0,IFERROR(VLOOKUP(BR1772,'Gebinde-Kategorie'!$A$5:$M$45,5,0)+0,0))</f>
        <v>0</v>
      </c>
      <c r="CG1772" s="60" t="n">
        <f aca="false">IFERROR(IF(OR(BX1772=1,BX1772=2,BX1772=3),N(INDEX(Parameter!$I$5:$I$7,BX1772)),0),0)</f>
        <v>0</v>
      </c>
      <c r="CH1772" s="59" t="n">
        <f aca="false">IF(AND(Parameter!$B$21="Ja",ISNUMBER(W1772),N(X1772)&gt;0),IFERROR(N(INDEX(Parameter!$L$5:$L$7,W1772))*INDEX(Parameter!$E$5:$E$7,W1772)*X1772/SUMIFS($X$7:$X$1843,$W$7:$W$1843,W1772),0),0)</f>
        <v>0</v>
      </c>
    </row>
    <row r="1773" customFormat="false" ht="15" hidden="false" customHeight="false" outlineLevel="0" collapsed="false">
      <c r="A1773" s="55" t="str">
        <f aca="false">IF('Neue Artikel'!$A$34="","",'Neue Artikel'!$A$34&amp;"")</f>
        <v/>
      </c>
      <c r="B1773" s="55" t="str">
        <f aca="false">'Neue Artikel'!$B$34&amp;""</f>
        <v/>
      </c>
      <c r="C1773" s="55"/>
      <c r="D1773" s="55" t="s">
        <v>3015</v>
      </c>
      <c r="E1773" s="55"/>
      <c r="F1773" s="55"/>
      <c r="G1773" s="56" t="n">
        <f aca="false">N('Neue Artikel'!$G$34)</f>
        <v>0</v>
      </c>
      <c r="H1773" s="57" t="n">
        <f aca="false">MAX(0,IF(AND(Parameter!$B$21="Ja",ISNUMBER(Y1773)),Y1773,IF(Parameter!$B$20="Jahresanfang 2025 + Export",BL1773+BK1773,BK1773)))</f>
        <v>0</v>
      </c>
      <c r="I1773" s="57" t="n">
        <f aca="false">H1773*G1773</f>
        <v>0</v>
      </c>
      <c r="J1773" s="57" t="n">
        <f aca="false">BN1773*Parameter!$B$18</f>
        <v>0</v>
      </c>
      <c r="K1773" s="58"/>
      <c r="L1773" s="59"/>
      <c r="M1773" s="57" t="n">
        <f aca="false">N('Neue Artikel'!$E$34)</f>
        <v>0</v>
      </c>
      <c r="N1773" s="57" t="n">
        <f aca="false">N('Neue Artikel'!$F$34)</f>
        <v>0</v>
      </c>
      <c r="O1773" s="60"/>
      <c r="P1773" s="55" t="str">
        <f aca="false">IF('Neue Artikel'!$H$34="","LOSE",UPPER(TRIM('Neue Artikel'!$H$34)))</f>
        <v>LOSE</v>
      </c>
      <c r="Q1773" s="57" t="n">
        <f aca="false">N('Neue Artikel'!$I$34)</f>
        <v>0</v>
      </c>
      <c r="R1773" s="60" t="n">
        <f aca="false">IF(BT1773=1,0,IFERROR(VLOOKUP(BR1773,'Gebinde-Kategorie'!$A$5:$M$45,13,0)+0,0))</f>
        <v>0</v>
      </c>
      <c r="S1773" s="61"/>
      <c r="T1773" s="62"/>
      <c r="U1773" s="62"/>
      <c r="V1773" s="62"/>
      <c r="W1773" s="55"/>
      <c r="X1773" s="57"/>
      <c r="Y1773" s="57"/>
      <c r="Z1773" s="55" t="str">
        <f aca="false">IF(A1773="","",IF(AND(Parameter!$B$21="Ja",ISNUMBER(W1773)),W1773,IF(BV1773="2+3",IF(ISNUMBER(SEARCH("grosser Artikel",BO1773)),2,IFERROR(VLOOKUP(BR1773,Parameter!$F$35:$G$64,2,0),2)),IF(OR(BV1773="Nein",BV1773=""),"-",BV1773))))</f>
        <v/>
      </c>
      <c r="AA1773" s="55" t="str">
        <f aca="false">IF('Neue Artikel'!$J$34="","",'Neue Artikel'!$J$34)</f>
        <v/>
      </c>
      <c r="AB1773" s="63"/>
      <c r="AC1773" s="57" t="n">
        <f aca="false">AR1773</f>
        <v>0</v>
      </c>
      <c r="AD1773" s="57" t="n">
        <f aca="false">MAX(AR1773,H1773)</f>
        <v>0</v>
      </c>
      <c r="AE1773" s="64"/>
      <c r="AF1773" s="57" t="n">
        <f aca="false">IF(LEFT(Cockpit!$C$5,1)="A",H1773,IF(CA1773=1,CB1773,IF(LEFT(Cockpit!$C$5,1)="B",AJ1773,MAX(AJ1773,H1773))))</f>
        <v>0</v>
      </c>
      <c r="AG1773" s="57" t="n">
        <f aca="false">IF(BT1773=1,0,ROUNDUP(AF1773/BS1773,0))</f>
        <v>0</v>
      </c>
      <c r="AH1773" s="59" t="n">
        <f aca="false">IF(CH1773&gt;0,CH1773*MAX(1,AF1773/X1773),IF(BT1773=1,IF(AF1773&lt;=0,0,BW1773*MAX(1,IF(H1773&gt;0,AF1773/H1773,1))),IF(R1773&gt;0,AG1773/R1773,0))/MAX(0.1,N(Parameter!$M$21)))</f>
        <v>0</v>
      </c>
      <c r="AI1773" s="57" t="n">
        <f aca="false">AF1773*G1773</f>
        <v>0</v>
      </c>
      <c r="AJ1773" s="57" t="n">
        <f aca="false">ROUNDUP(MAX(J1773/IF(BZ1773&gt;0,BZ1773,MAX(0.1,N(Cockpit!$C$6))),CC1773)/BS1773,0)*BS1773</f>
        <v>0</v>
      </c>
      <c r="AK1773" s="58" t="n">
        <f aca="false">IF(AH1773&gt;0,J1773/AH1773,-1)</f>
        <v>-1</v>
      </c>
      <c r="AL1773" s="58" t="str">
        <f aca="false">IF(AND(OR(BY1773="L1",BY1773="L23"),AH1773&gt;0),SUMIFS($AH$7:$AH$1843,$BY$7:$BY$1843,BY1773,$AK$7:$AK$1843,"&gt;"&amp;AK1773)+SUMIFS($AH$7:$AH$1843,$BY$7:$BY$1843,BY1773,$AK$7:$AK$1843,AK1773,$BQ$7:$BQ$1843,"&lt;="&amp;BQ1773),"")</f>
        <v/>
      </c>
      <c r="AM1773" s="65" t="n">
        <f aca="false">IF(AL1773="",0,MAX(0,MIN(1,(IF(BY1773="L1",Parameter!$E$5,Parameter!$E$6+Parameter!$E$7)-(AL1773-AH1773))/AH1773)))</f>
        <v>0</v>
      </c>
      <c r="AN1773" s="57" t="n">
        <f aca="false">IF(LEFT(Cockpit!$I$5,1)="A",H1773,IF(CA1773=1,CB1773,IF(LEFT(Cockpit!$I$5,1)="B",AR1773,MAX(AR1773,H1773))))</f>
        <v>0</v>
      </c>
      <c r="AO1773" s="57" t="n">
        <f aca="false">IF(BT1773=1,0,ROUNDUP(AN1773/BS1773,0))</f>
        <v>0</v>
      </c>
      <c r="AP1773" s="59" t="n">
        <f aca="false">IF(CH1773&gt;0,CH1773*MAX(1,AN1773/X1773),IF(BT1773=1,IF(AN1773&lt;=0,0,BW1773*MAX(1,IF(H1773&gt;0,AN1773/H1773,1))),IF(R1773&gt;0,AO1773/R1773,0))/MAX(0.1,N(Parameter!$M$21)))</f>
        <v>0</v>
      </c>
      <c r="AQ1773" s="57" t="n">
        <f aca="false">AN1773*G1773</f>
        <v>0</v>
      </c>
      <c r="AR1773" s="57" t="n">
        <f aca="false">ROUNDUP(MAX(J1773/IF(BZ1773&gt;0,BZ1773,MAX(0.1,N(Cockpit!$I$6))),CC1773)/BS1773,0)*BS1773</f>
        <v>0</v>
      </c>
      <c r="AS1773" s="58" t="n">
        <f aca="false">IF(AP1773&gt;0,J1773/AP1773,-1)</f>
        <v>-1</v>
      </c>
      <c r="AT1773" s="58" t="str">
        <f aca="false">IF(AND(OR(BY1773="L1",BY1773="L23"),AP1773&gt;0),SUMIFS($AP$7:$AP$1843,$BY$7:$BY$1843,BY1773,$AS$7:$AS$1843,"&gt;"&amp;AS1773)+SUMIFS($AP$7:$AP$1843,$BY$7:$BY$1843,BY1773,$AS$7:$AS$1843,AS1773,$BQ$7:$BQ$1843,"&lt;="&amp;BQ1773),"")</f>
        <v/>
      </c>
      <c r="AU1773" s="65" t="n">
        <f aca="false">IF(AT1773="",0,MAX(0,MIN(1,(IF(BY1773="L1",Parameter!$E$5,Parameter!$E$6+Parameter!$E$7)-(AT1773-AP1773))/AP1773)))</f>
        <v>0</v>
      </c>
      <c r="AV1773" s="57" t="n">
        <f aca="false">IF(LEFT(Cockpit!$O$5,1)="A",H1773,IF(CA1773=1,CB1773,IF(LEFT(Cockpit!$O$5,1)="B",AZ1773,MAX(AZ1773,H1773))))</f>
        <v>0</v>
      </c>
      <c r="AW1773" s="57" t="n">
        <f aca="false">IF(BT1773=1,0,ROUNDUP(AV1773/BS1773,0))</f>
        <v>0</v>
      </c>
      <c r="AX1773" s="59" t="n">
        <f aca="false">IF(CH1773&gt;0,CH1773*MAX(1,AV1773/X1773),IF(BT1773=1,IF(AV1773&lt;=0,0,BW1773*MAX(1,IF(H1773&gt;0,AV1773/H1773,1))),IF(R1773&gt;0,AW1773/R1773,0))/MAX(0.1,N(Parameter!$M$21)))</f>
        <v>0</v>
      </c>
      <c r="AY1773" s="57" t="n">
        <f aca="false">AV1773*G1773</f>
        <v>0</v>
      </c>
      <c r="AZ1773" s="57" t="n">
        <f aca="false">ROUNDUP(MAX(J1773/IF(BZ1773&gt;0,BZ1773,MAX(0.1,N(Cockpit!$O$6))),CC1773)/BS1773,0)*BS1773</f>
        <v>0</v>
      </c>
      <c r="BA1773" s="58" t="n">
        <f aca="false">IF(AX1773&gt;0,J1773/AX1773,-1)</f>
        <v>-1</v>
      </c>
      <c r="BB1773" s="58" t="str">
        <f aca="false">IF(AND(OR(BY1773="L1",BY1773="L23"),AX1773&gt;0),SUMIFS($AX$7:$AX$1843,$BY$7:$BY$1843,BY1773,$BA$7:$BA$1843,"&gt;"&amp;BA1773)+SUMIFS($AX$7:$AX$1843,$BY$7:$BY$1843,BY1773,$BA$7:$BA$1843,BA1773,$BQ$7:$BQ$1843,"&lt;="&amp;BQ1773),"")</f>
        <v/>
      </c>
      <c r="BC1773" s="65" t="n">
        <f aca="false">IF(BB1773="",0,MAX(0,MIN(1,(IF(BY1773="L1",Parameter!$E$5,Parameter!$E$6+Parameter!$E$7)-(BB1773-AX1773))/AX1773)))</f>
        <v>0</v>
      </c>
      <c r="BD1773" s="55" t="str">
        <f aca="false">IF(AH1773&lt;=0,"",IF(BY1773="Aussen","Aussenlager",IF(BY1773="-","Nicht im Lift",IF(AM1773&gt;=1,"Lift",IF(AM1773&lt;=0,"Aussenlager","teilweise")))))</f>
        <v/>
      </c>
      <c r="BE1773" s="55" t="str">
        <f aca="false">IF(AP1773&lt;=0,"",IF(BY1773="Aussen","Aussenlager",IF(BY1773="-","Nicht im Lift",IF(AU1773&gt;=1,"Lift",IF(AU1773&lt;=0,"Aussenlager","teilweise")))))</f>
        <v/>
      </c>
      <c r="BF1773" s="55" t="str">
        <f aca="false">IF(AX1773&lt;=0,"",IF(BY1773="Aussen","Aussenlager",IF(BY1773="-","Nicht im Lift",IF(BC1773&gt;=1,"Lift",IF(BC1773&lt;=0,"Aussenlager","teilweise")))))</f>
        <v/>
      </c>
      <c r="BG1773" s="55" t="str">
        <f aca="false">IF(A1773="","",IF(BP1773=1,"Neu; ","")&amp;IF(AND(BP1773=0,BK1773&lt;0),"negativer Bestand (Export "&amp;BK1773&amp;"); ","")&amp;IF(J1773&lt;=0,"Kein Verbrauch; ","")&amp;IF(CH1773&gt;0,"Lift "&amp;W1773&amp;" lt. Liftbericht (Fach "&amp;X1773&amp;" Stk); ",IF(BU1773=1,"Gebinde geschätzt ("&amp;T1773&amp;"); ",IF(BT1773=1,"Lose – Tablare geschätzt; ","")))&amp;IF(H1773&gt;AR1773,"Überbestand "&amp;ROUND(H1773-AR1773,0)&amp;" Stk / CHF "&amp;ROUND((H1773-AR1773)*G1773,0)&amp;"; ","")&amp;IF(AND(CA1773=1,CB1773&lt;CC1773),"MAX &lt; MB+LG; ","")&amp;IF(AND(CG1773&gt;0,CF1773*10&gt;CG1773),"zu hoch für Tablar; ","")&amp;IF(AND(BP1773=0,OR(CA1773=1,AA1773&lt;&gt;"",U1773&lt;&gt;"",V1773&lt;&gt;"",AB1773&lt;&gt;"")),"manuell übersteuert; ","")&amp;IF(AND(BT1773=0,R1773=0),"Gebinde unbekannt / Stellmass fehlt; ","")&amp;IF(AND(BT1773=0,N(V1773)&lt;=0,N(Q1773)&lt;=0),"Menge pro Gebinde fehlt (Ist = 1 Gebinde); ","")&amp;BO1773)</f>
        <v/>
      </c>
      <c r="BH1773" s="55"/>
      <c r="BI1773" s="55"/>
      <c r="BJ1773" s="62"/>
      <c r="BK1773" s="57" t="n">
        <f aca="false">N('Neue Artikel'!$D$34)</f>
        <v>0</v>
      </c>
      <c r="BL1773" s="57" t="n">
        <v>0</v>
      </c>
      <c r="BM1773" s="56" t="n">
        <v>0</v>
      </c>
      <c r="BN1773" s="57" t="n">
        <f aca="false">N('Neue Artikel'!$C$34)/Parameter!$B$18</f>
        <v>0</v>
      </c>
      <c r="BO1773" s="55"/>
      <c r="BP1773" s="60" t="n">
        <v>1</v>
      </c>
      <c r="BQ1773" s="60" t="n">
        <v>1773</v>
      </c>
      <c r="BR1773" s="55" t="str">
        <f aca="false">IF(U1773&lt;&gt;"",UPPER(TRIM(U1773)),IF(BU1773=1,UPPER(VLOOKUP(T1773,Parameter!$I$27:$K$29,2,0)),IF(P1773="","LOSE",P1773)))</f>
        <v>LOSE</v>
      </c>
      <c r="BS1773" s="57" t="n">
        <f aca="false">IF(BR1773="LOSE",1,IF(N(V1773)&gt;0,V1773,IF(BU1773=1,MAX(1,N(VLOOKUP(T1773,Parameter!$I$27:$K$29,3,0)),H1773,N(N1773)),IF(N(Q1773)&gt;0,Q1773,MAX(1,H1773)))))</f>
        <v>1</v>
      </c>
      <c r="BT1773" s="60" t="n">
        <f aca="false">IF(BR1773="LOSE",1,0)</f>
        <v>1</v>
      </c>
      <c r="BU1773" s="60" t="n">
        <f aca="false">IF(AND(U1773="",OR(P1773="",P1773="LOSE"),T1773&lt;&gt;"",N(S1773)&lt;=0,ISNUMBER(MATCH(T1773,Parameter!$I$27:$I$29,0))),1,0)</f>
        <v>0</v>
      </c>
      <c r="BV1773" s="55" t="str">
        <f aca="false">IF(AND(Parameter!$B$19="Ja",E1773&lt;&gt;"",ISNUMBER(MATCH(E1773,Parameter!$I$35:$I$52,0))),VLOOKUP(E1773,Parameter!$I$35:$J$52,2,0),IFERROR(VLOOKUP(D1773,Parameter!$A$35:$C$64,2,0),"Nein"))</f>
        <v>2+3</v>
      </c>
      <c r="BW1773" s="59" t="n">
        <f aca="false">IF(BT1773=0,0,IF(N(S1773)&gt;0,S1773,IFERROR(VLOOKUP(D1773,Parameter!$A$35:$C$64,3,0)+0,0)))</f>
        <v>0.15</v>
      </c>
      <c r="BX1773" s="55" t="str">
        <f aca="false">IF(AA1773&lt;&gt;"",AA1773,Z1773)</f>
        <v/>
      </c>
      <c r="BY1773" s="55" t="str">
        <f aca="false">IF(BX1773=1,"L1",IF(OR(BX1773=2,BX1773=3),"L23",IF(BX1773="Aussen","Aussen","-")))</f>
        <v>-</v>
      </c>
      <c r="BZ1773" s="66" t="n">
        <f aca="false">IF(N(AB1773)&gt;0,AB1773,0)</f>
        <v>0</v>
      </c>
      <c r="CA1773" s="60" t="n">
        <f aca="false">IF(ISNUMBER(AE1773),1,0)</f>
        <v>0</v>
      </c>
      <c r="CB1773" s="57" t="n">
        <f aca="false">N(AE1773)</f>
        <v>0</v>
      </c>
      <c r="CC1773" s="57" t="n">
        <f aca="false">N(M1773)+N(N1773)</f>
        <v>0</v>
      </c>
      <c r="CD1773" s="57" t="n">
        <f aca="false">ROUNDUP(H1773/BS1773,0)</f>
        <v>0</v>
      </c>
      <c r="CE1773" s="57" t="n">
        <f aca="false">ROUNDUP(CB1773/BS1773,0)</f>
        <v>0</v>
      </c>
      <c r="CF1773" s="60" t="n">
        <f aca="false">IF(BT1773=1,0,IFERROR(VLOOKUP(BR1773,'Gebinde-Kategorie'!$A$5:$M$45,5,0)+0,0))</f>
        <v>0</v>
      </c>
      <c r="CG1773" s="60" t="n">
        <f aca="false">IFERROR(IF(OR(BX1773=1,BX1773=2,BX1773=3),N(INDEX(Parameter!$I$5:$I$7,BX1773)),0),0)</f>
        <v>0</v>
      </c>
      <c r="CH1773" s="59" t="n">
        <f aca="false">IF(AND(Parameter!$B$21="Ja",ISNUMBER(W1773),N(X1773)&gt;0),IFERROR(N(INDEX(Parameter!$L$5:$L$7,W1773))*INDEX(Parameter!$E$5:$E$7,W1773)*X1773/SUMIFS($X$7:$X$1843,$W$7:$W$1843,W1773),0),0)</f>
        <v>0</v>
      </c>
    </row>
    <row r="1774" customFormat="false" ht="15" hidden="false" customHeight="false" outlineLevel="0" collapsed="false">
      <c r="A1774" s="55" t="str">
        <f aca="false">IF('Neue Artikel'!$A$35="","",'Neue Artikel'!$A$35&amp;"")</f>
        <v/>
      </c>
      <c r="B1774" s="55" t="str">
        <f aca="false">'Neue Artikel'!$B$35&amp;""</f>
        <v/>
      </c>
      <c r="C1774" s="55"/>
      <c r="D1774" s="55" t="s">
        <v>3015</v>
      </c>
      <c r="E1774" s="55"/>
      <c r="F1774" s="55"/>
      <c r="G1774" s="56" t="n">
        <f aca="false">N('Neue Artikel'!$G$35)</f>
        <v>0</v>
      </c>
      <c r="H1774" s="57" t="n">
        <f aca="false">MAX(0,IF(AND(Parameter!$B$21="Ja",ISNUMBER(Y1774)),Y1774,IF(Parameter!$B$20="Jahresanfang 2025 + Export",BL1774+BK1774,BK1774)))</f>
        <v>0</v>
      </c>
      <c r="I1774" s="57" t="n">
        <f aca="false">H1774*G1774</f>
        <v>0</v>
      </c>
      <c r="J1774" s="57" t="n">
        <f aca="false">BN1774*Parameter!$B$18</f>
        <v>0</v>
      </c>
      <c r="K1774" s="58"/>
      <c r="L1774" s="59"/>
      <c r="M1774" s="57" t="n">
        <f aca="false">N('Neue Artikel'!$E$35)</f>
        <v>0</v>
      </c>
      <c r="N1774" s="57" t="n">
        <f aca="false">N('Neue Artikel'!$F$35)</f>
        <v>0</v>
      </c>
      <c r="O1774" s="60"/>
      <c r="P1774" s="55" t="str">
        <f aca="false">IF('Neue Artikel'!$H$35="","LOSE",UPPER(TRIM('Neue Artikel'!$H$35)))</f>
        <v>LOSE</v>
      </c>
      <c r="Q1774" s="57" t="n">
        <f aca="false">N('Neue Artikel'!$I$35)</f>
        <v>0</v>
      </c>
      <c r="R1774" s="60" t="n">
        <f aca="false">IF(BT1774=1,0,IFERROR(VLOOKUP(BR1774,'Gebinde-Kategorie'!$A$5:$M$45,13,0)+0,0))</f>
        <v>0</v>
      </c>
      <c r="S1774" s="61"/>
      <c r="T1774" s="62"/>
      <c r="U1774" s="62"/>
      <c r="V1774" s="62"/>
      <c r="W1774" s="55"/>
      <c r="X1774" s="57"/>
      <c r="Y1774" s="57"/>
      <c r="Z1774" s="55" t="str">
        <f aca="false">IF(A1774="","",IF(AND(Parameter!$B$21="Ja",ISNUMBER(W1774)),W1774,IF(BV1774="2+3",IF(ISNUMBER(SEARCH("grosser Artikel",BO1774)),2,IFERROR(VLOOKUP(BR1774,Parameter!$F$35:$G$64,2,0),2)),IF(OR(BV1774="Nein",BV1774=""),"-",BV1774))))</f>
        <v/>
      </c>
      <c r="AA1774" s="55" t="str">
        <f aca="false">IF('Neue Artikel'!$J$35="","",'Neue Artikel'!$J$35)</f>
        <v/>
      </c>
      <c r="AB1774" s="63"/>
      <c r="AC1774" s="57" t="n">
        <f aca="false">AR1774</f>
        <v>0</v>
      </c>
      <c r="AD1774" s="57" t="n">
        <f aca="false">MAX(AR1774,H1774)</f>
        <v>0</v>
      </c>
      <c r="AE1774" s="64"/>
      <c r="AF1774" s="57" t="n">
        <f aca="false">IF(LEFT(Cockpit!$C$5,1)="A",H1774,IF(CA1774=1,CB1774,IF(LEFT(Cockpit!$C$5,1)="B",AJ1774,MAX(AJ1774,H1774))))</f>
        <v>0</v>
      </c>
      <c r="AG1774" s="57" t="n">
        <f aca="false">IF(BT1774=1,0,ROUNDUP(AF1774/BS1774,0))</f>
        <v>0</v>
      </c>
      <c r="AH1774" s="59" t="n">
        <f aca="false">IF(CH1774&gt;0,CH1774*MAX(1,AF1774/X1774),IF(BT1774=1,IF(AF1774&lt;=0,0,BW1774*MAX(1,IF(H1774&gt;0,AF1774/H1774,1))),IF(R1774&gt;0,AG1774/R1774,0))/MAX(0.1,N(Parameter!$M$21)))</f>
        <v>0</v>
      </c>
      <c r="AI1774" s="57" t="n">
        <f aca="false">AF1774*G1774</f>
        <v>0</v>
      </c>
      <c r="AJ1774" s="57" t="n">
        <f aca="false">ROUNDUP(MAX(J1774/IF(BZ1774&gt;0,BZ1774,MAX(0.1,N(Cockpit!$C$6))),CC1774)/BS1774,0)*BS1774</f>
        <v>0</v>
      </c>
      <c r="AK1774" s="58" t="n">
        <f aca="false">IF(AH1774&gt;0,J1774/AH1774,-1)</f>
        <v>-1</v>
      </c>
      <c r="AL1774" s="58" t="str">
        <f aca="false">IF(AND(OR(BY1774="L1",BY1774="L23"),AH1774&gt;0),SUMIFS($AH$7:$AH$1843,$BY$7:$BY$1843,BY1774,$AK$7:$AK$1843,"&gt;"&amp;AK1774)+SUMIFS($AH$7:$AH$1843,$BY$7:$BY$1843,BY1774,$AK$7:$AK$1843,AK1774,$BQ$7:$BQ$1843,"&lt;="&amp;BQ1774),"")</f>
        <v/>
      </c>
      <c r="AM1774" s="65" t="n">
        <f aca="false">IF(AL1774="",0,MAX(0,MIN(1,(IF(BY1774="L1",Parameter!$E$5,Parameter!$E$6+Parameter!$E$7)-(AL1774-AH1774))/AH1774)))</f>
        <v>0</v>
      </c>
      <c r="AN1774" s="57" t="n">
        <f aca="false">IF(LEFT(Cockpit!$I$5,1)="A",H1774,IF(CA1774=1,CB1774,IF(LEFT(Cockpit!$I$5,1)="B",AR1774,MAX(AR1774,H1774))))</f>
        <v>0</v>
      </c>
      <c r="AO1774" s="57" t="n">
        <f aca="false">IF(BT1774=1,0,ROUNDUP(AN1774/BS1774,0))</f>
        <v>0</v>
      </c>
      <c r="AP1774" s="59" t="n">
        <f aca="false">IF(CH1774&gt;0,CH1774*MAX(1,AN1774/X1774),IF(BT1774=1,IF(AN1774&lt;=0,0,BW1774*MAX(1,IF(H1774&gt;0,AN1774/H1774,1))),IF(R1774&gt;0,AO1774/R1774,0))/MAX(0.1,N(Parameter!$M$21)))</f>
        <v>0</v>
      </c>
      <c r="AQ1774" s="57" t="n">
        <f aca="false">AN1774*G1774</f>
        <v>0</v>
      </c>
      <c r="AR1774" s="57" t="n">
        <f aca="false">ROUNDUP(MAX(J1774/IF(BZ1774&gt;0,BZ1774,MAX(0.1,N(Cockpit!$I$6))),CC1774)/BS1774,0)*BS1774</f>
        <v>0</v>
      </c>
      <c r="AS1774" s="58" t="n">
        <f aca="false">IF(AP1774&gt;0,J1774/AP1774,-1)</f>
        <v>-1</v>
      </c>
      <c r="AT1774" s="58" t="str">
        <f aca="false">IF(AND(OR(BY1774="L1",BY1774="L23"),AP1774&gt;0),SUMIFS($AP$7:$AP$1843,$BY$7:$BY$1843,BY1774,$AS$7:$AS$1843,"&gt;"&amp;AS1774)+SUMIFS($AP$7:$AP$1843,$BY$7:$BY$1843,BY1774,$AS$7:$AS$1843,AS1774,$BQ$7:$BQ$1843,"&lt;="&amp;BQ1774),"")</f>
        <v/>
      </c>
      <c r="AU1774" s="65" t="n">
        <f aca="false">IF(AT1774="",0,MAX(0,MIN(1,(IF(BY1774="L1",Parameter!$E$5,Parameter!$E$6+Parameter!$E$7)-(AT1774-AP1774))/AP1774)))</f>
        <v>0</v>
      </c>
      <c r="AV1774" s="57" t="n">
        <f aca="false">IF(LEFT(Cockpit!$O$5,1)="A",H1774,IF(CA1774=1,CB1774,IF(LEFT(Cockpit!$O$5,1)="B",AZ1774,MAX(AZ1774,H1774))))</f>
        <v>0</v>
      </c>
      <c r="AW1774" s="57" t="n">
        <f aca="false">IF(BT1774=1,0,ROUNDUP(AV1774/BS1774,0))</f>
        <v>0</v>
      </c>
      <c r="AX1774" s="59" t="n">
        <f aca="false">IF(CH1774&gt;0,CH1774*MAX(1,AV1774/X1774),IF(BT1774=1,IF(AV1774&lt;=0,0,BW1774*MAX(1,IF(H1774&gt;0,AV1774/H1774,1))),IF(R1774&gt;0,AW1774/R1774,0))/MAX(0.1,N(Parameter!$M$21)))</f>
        <v>0</v>
      </c>
      <c r="AY1774" s="57" t="n">
        <f aca="false">AV1774*G1774</f>
        <v>0</v>
      </c>
      <c r="AZ1774" s="57" t="n">
        <f aca="false">ROUNDUP(MAX(J1774/IF(BZ1774&gt;0,BZ1774,MAX(0.1,N(Cockpit!$O$6))),CC1774)/BS1774,0)*BS1774</f>
        <v>0</v>
      </c>
      <c r="BA1774" s="58" t="n">
        <f aca="false">IF(AX1774&gt;0,J1774/AX1774,-1)</f>
        <v>-1</v>
      </c>
      <c r="BB1774" s="58" t="str">
        <f aca="false">IF(AND(OR(BY1774="L1",BY1774="L23"),AX1774&gt;0),SUMIFS($AX$7:$AX$1843,$BY$7:$BY$1843,BY1774,$BA$7:$BA$1843,"&gt;"&amp;BA1774)+SUMIFS($AX$7:$AX$1843,$BY$7:$BY$1843,BY1774,$BA$7:$BA$1843,BA1774,$BQ$7:$BQ$1843,"&lt;="&amp;BQ1774),"")</f>
        <v/>
      </c>
      <c r="BC1774" s="65" t="n">
        <f aca="false">IF(BB1774="",0,MAX(0,MIN(1,(IF(BY1774="L1",Parameter!$E$5,Parameter!$E$6+Parameter!$E$7)-(BB1774-AX1774))/AX1774)))</f>
        <v>0</v>
      </c>
      <c r="BD1774" s="55" t="str">
        <f aca="false">IF(AH1774&lt;=0,"",IF(BY1774="Aussen","Aussenlager",IF(BY1774="-","Nicht im Lift",IF(AM1774&gt;=1,"Lift",IF(AM1774&lt;=0,"Aussenlager","teilweise")))))</f>
        <v/>
      </c>
      <c r="BE1774" s="55" t="str">
        <f aca="false">IF(AP1774&lt;=0,"",IF(BY1774="Aussen","Aussenlager",IF(BY1774="-","Nicht im Lift",IF(AU1774&gt;=1,"Lift",IF(AU1774&lt;=0,"Aussenlager","teilweise")))))</f>
        <v/>
      </c>
      <c r="BF1774" s="55" t="str">
        <f aca="false">IF(AX1774&lt;=0,"",IF(BY1774="Aussen","Aussenlager",IF(BY1774="-","Nicht im Lift",IF(BC1774&gt;=1,"Lift",IF(BC1774&lt;=0,"Aussenlager","teilweise")))))</f>
        <v/>
      </c>
      <c r="BG1774" s="55" t="str">
        <f aca="false">IF(A1774="","",IF(BP1774=1,"Neu; ","")&amp;IF(AND(BP1774=0,BK1774&lt;0),"negativer Bestand (Export "&amp;BK1774&amp;"); ","")&amp;IF(J1774&lt;=0,"Kein Verbrauch; ","")&amp;IF(CH1774&gt;0,"Lift "&amp;W1774&amp;" lt. Liftbericht (Fach "&amp;X1774&amp;" Stk); ",IF(BU1774=1,"Gebinde geschätzt ("&amp;T1774&amp;"); ",IF(BT1774=1,"Lose – Tablare geschätzt; ","")))&amp;IF(H1774&gt;AR1774,"Überbestand "&amp;ROUND(H1774-AR1774,0)&amp;" Stk / CHF "&amp;ROUND((H1774-AR1774)*G1774,0)&amp;"; ","")&amp;IF(AND(CA1774=1,CB1774&lt;CC1774),"MAX &lt; MB+LG; ","")&amp;IF(AND(CG1774&gt;0,CF1774*10&gt;CG1774),"zu hoch für Tablar; ","")&amp;IF(AND(BP1774=0,OR(CA1774=1,AA1774&lt;&gt;"",U1774&lt;&gt;"",V1774&lt;&gt;"",AB1774&lt;&gt;"")),"manuell übersteuert; ","")&amp;IF(AND(BT1774=0,R1774=0),"Gebinde unbekannt / Stellmass fehlt; ","")&amp;IF(AND(BT1774=0,N(V1774)&lt;=0,N(Q1774)&lt;=0),"Menge pro Gebinde fehlt (Ist = 1 Gebinde); ","")&amp;BO1774)</f>
        <v/>
      </c>
      <c r="BH1774" s="55"/>
      <c r="BI1774" s="55"/>
      <c r="BJ1774" s="62"/>
      <c r="BK1774" s="57" t="n">
        <f aca="false">N('Neue Artikel'!$D$35)</f>
        <v>0</v>
      </c>
      <c r="BL1774" s="57" t="n">
        <v>0</v>
      </c>
      <c r="BM1774" s="56" t="n">
        <v>0</v>
      </c>
      <c r="BN1774" s="57" t="n">
        <f aca="false">N('Neue Artikel'!$C$35)/Parameter!$B$18</f>
        <v>0</v>
      </c>
      <c r="BO1774" s="55"/>
      <c r="BP1774" s="60" t="n">
        <v>1</v>
      </c>
      <c r="BQ1774" s="60" t="n">
        <v>1774</v>
      </c>
      <c r="BR1774" s="55" t="str">
        <f aca="false">IF(U1774&lt;&gt;"",UPPER(TRIM(U1774)),IF(BU1774=1,UPPER(VLOOKUP(T1774,Parameter!$I$27:$K$29,2,0)),IF(P1774="","LOSE",P1774)))</f>
        <v>LOSE</v>
      </c>
      <c r="BS1774" s="57" t="n">
        <f aca="false">IF(BR1774="LOSE",1,IF(N(V1774)&gt;0,V1774,IF(BU1774=1,MAX(1,N(VLOOKUP(T1774,Parameter!$I$27:$K$29,3,0)),H1774,N(N1774)),IF(N(Q1774)&gt;0,Q1774,MAX(1,H1774)))))</f>
        <v>1</v>
      </c>
      <c r="BT1774" s="60" t="n">
        <f aca="false">IF(BR1774="LOSE",1,0)</f>
        <v>1</v>
      </c>
      <c r="BU1774" s="60" t="n">
        <f aca="false">IF(AND(U1774="",OR(P1774="",P1774="LOSE"),T1774&lt;&gt;"",N(S1774)&lt;=0,ISNUMBER(MATCH(T1774,Parameter!$I$27:$I$29,0))),1,0)</f>
        <v>0</v>
      </c>
      <c r="BV1774" s="55" t="str">
        <f aca="false">IF(AND(Parameter!$B$19="Ja",E1774&lt;&gt;"",ISNUMBER(MATCH(E1774,Parameter!$I$35:$I$52,0))),VLOOKUP(E1774,Parameter!$I$35:$J$52,2,0),IFERROR(VLOOKUP(D1774,Parameter!$A$35:$C$64,2,0),"Nein"))</f>
        <v>2+3</v>
      </c>
      <c r="BW1774" s="59" t="n">
        <f aca="false">IF(BT1774=0,0,IF(N(S1774)&gt;0,S1774,IFERROR(VLOOKUP(D1774,Parameter!$A$35:$C$64,3,0)+0,0)))</f>
        <v>0.15</v>
      </c>
      <c r="BX1774" s="55" t="str">
        <f aca="false">IF(AA1774&lt;&gt;"",AA1774,Z1774)</f>
        <v/>
      </c>
      <c r="BY1774" s="55" t="str">
        <f aca="false">IF(BX1774=1,"L1",IF(OR(BX1774=2,BX1774=3),"L23",IF(BX1774="Aussen","Aussen","-")))</f>
        <v>-</v>
      </c>
      <c r="BZ1774" s="66" t="n">
        <f aca="false">IF(N(AB1774)&gt;0,AB1774,0)</f>
        <v>0</v>
      </c>
      <c r="CA1774" s="60" t="n">
        <f aca="false">IF(ISNUMBER(AE1774),1,0)</f>
        <v>0</v>
      </c>
      <c r="CB1774" s="57" t="n">
        <f aca="false">N(AE1774)</f>
        <v>0</v>
      </c>
      <c r="CC1774" s="57" t="n">
        <f aca="false">N(M1774)+N(N1774)</f>
        <v>0</v>
      </c>
      <c r="CD1774" s="57" t="n">
        <f aca="false">ROUNDUP(H1774/BS1774,0)</f>
        <v>0</v>
      </c>
      <c r="CE1774" s="57" t="n">
        <f aca="false">ROUNDUP(CB1774/BS1774,0)</f>
        <v>0</v>
      </c>
      <c r="CF1774" s="60" t="n">
        <f aca="false">IF(BT1774=1,0,IFERROR(VLOOKUP(BR1774,'Gebinde-Kategorie'!$A$5:$M$45,5,0)+0,0))</f>
        <v>0</v>
      </c>
      <c r="CG1774" s="60" t="n">
        <f aca="false">IFERROR(IF(OR(BX1774=1,BX1774=2,BX1774=3),N(INDEX(Parameter!$I$5:$I$7,BX1774)),0),0)</f>
        <v>0</v>
      </c>
      <c r="CH1774" s="59" t="n">
        <f aca="false">IF(AND(Parameter!$B$21="Ja",ISNUMBER(W1774),N(X1774)&gt;0),IFERROR(N(INDEX(Parameter!$L$5:$L$7,W1774))*INDEX(Parameter!$E$5:$E$7,W1774)*X1774/SUMIFS($X$7:$X$1843,$W$7:$W$1843,W1774),0),0)</f>
        <v>0</v>
      </c>
    </row>
    <row r="1775" customFormat="false" ht="15" hidden="false" customHeight="false" outlineLevel="0" collapsed="false">
      <c r="A1775" s="55" t="str">
        <f aca="false">IF('Neue Artikel'!$A$36="","",'Neue Artikel'!$A$36&amp;"")</f>
        <v/>
      </c>
      <c r="B1775" s="55" t="str">
        <f aca="false">'Neue Artikel'!$B$36&amp;""</f>
        <v/>
      </c>
      <c r="C1775" s="55"/>
      <c r="D1775" s="55" t="s">
        <v>3015</v>
      </c>
      <c r="E1775" s="55"/>
      <c r="F1775" s="55"/>
      <c r="G1775" s="56" t="n">
        <f aca="false">N('Neue Artikel'!$G$36)</f>
        <v>0</v>
      </c>
      <c r="H1775" s="57" t="n">
        <f aca="false">MAX(0,IF(AND(Parameter!$B$21="Ja",ISNUMBER(Y1775)),Y1775,IF(Parameter!$B$20="Jahresanfang 2025 + Export",BL1775+BK1775,BK1775)))</f>
        <v>0</v>
      </c>
      <c r="I1775" s="57" t="n">
        <f aca="false">H1775*G1775</f>
        <v>0</v>
      </c>
      <c r="J1775" s="57" t="n">
        <f aca="false">BN1775*Parameter!$B$18</f>
        <v>0</v>
      </c>
      <c r="K1775" s="58"/>
      <c r="L1775" s="59"/>
      <c r="M1775" s="57" t="n">
        <f aca="false">N('Neue Artikel'!$E$36)</f>
        <v>0</v>
      </c>
      <c r="N1775" s="57" t="n">
        <f aca="false">N('Neue Artikel'!$F$36)</f>
        <v>0</v>
      </c>
      <c r="O1775" s="60"/>
      <c r="P1775" s="55" t="str">
        <f aca="false">IF('Neue Artikel'!$H$36="","LOSE",UPPER(TRIM('Neue Artikel'!$H$36)))</f>
        <v>LOSE</v>
      </c>
      <c r="Q1775" s="57" t="n">
        <f aca="false">N('Neue Artikel'!$I$36)</f>
        <v>0</v>
      </c>
      <c r="R1775" s="60" t="n">
        <f aca="false">IF(BT1775=1,0,IFERROR(VLOOKUP(BR1775,'Gebinde-Kategorie'!$A$5:$M$45,13,0)+0,0))</f>
        <v>0</v>
      </c>
      <c r="S1775" s="61"/>
      <c r="T1775" s="62"/>
      <c r="U1775" s="62"/>
      <c r="V1775" s="62"/>
      <c r="W1775" s="55"/>
      <c r="X1775" s="57"/>
      <c r="Y1775" s="57"/>
      <c r="Z1775" s="55" t="str">
        <f aca="false">IF(A1775="","",IF(AND(Parameter!$B$21="Ja",ISNUMBER(W1775)),W1775,IF(BV1775="2+3",IF(ISNUMBER(SEARCH("grosser Artikel",BO1775)),2,IFERROR(VLOOKUP(BR1775,Parameter!$F$35:$G$64,2,0),2)),IF(OR(BV1775="Nein",BV1775=""),"-",BV1775))))</f>
        <v/>
      </c>
      <c r="AA1775" s="55" t="str">
        <f aca="false">IF('Neue Artikel'!$J$36="","",'Neue Artikel'!$J$36)</f>
        <v/>
      </c>
      <c r="AB1775" s="63"/>
      <c r="AC1775" s="57" t="n">
        <f aca="false">AR1775</f>
        <v>0</v>
      </c>
      <c r="AD1775" s="57" t="n">
        <f aca="false">MAX(AR1775,H1775)</f>
        <v>0</v>
      </c>
      <c r="AE1775" s="64"/>
      <c r="AF1775" s="57" t="n">
        <f aca="false">IF(LEFT(Cockpit!$C$5,1)="A",H1775,IF(CA1775=1,CB1775,IF(LEFT(Cockpit!$C$5,1)="B",AJ1775,MAX(AJ1775,H1775))))</f>
        <v>0</v>
      </c>
      <c r="AG1775" s="57" t="n">
        <f aca="false">IF(BT1775=1,0,ROUNDUP(AF1775/BS1775,0))</f>
        <v>0</v>
      </c>
      <c r="AH1775" s="59" t="n">
        <f aca="false">IF(CH1775&gt;0,CH1775*MAX(1,AF1775/X1775),IF(BT1775=1,IF(AF1775&lt;=0,0,BW1775*MAX(1,IF(H1775&gt;0,AF1775/H1775,1))),IF(R1775&gt;0,AG1775/R1775,0))/MAX(0.1,N(Parameter!$M$21)))</f>
        <v>0</v>
      </c>
      <c r="AI1775" s="57" t="n">
        <f aca="false">AF1775*G1775</f>
        <v>0</v>
      </c>
      <c r="AJ1775" s="57" t="n">
        <f aca="false">ROUNDUP(MAX(J1775/IF(BZ1775&gt;0,BZ1775,MAX(0.1,N(Cockpit!$C$6))),CC1775)/BS1775,0)*BS1775</f>
        <v>0</v>
      </c>
      <c r="AK1775" s="58" t="n">
        <f aca="false">IF(AH1775&gt;0,J1775/AH1775,-1)</f>
        <v>-1</v>
      </c>
      <c r="AL1775" s="58" t="str">
        <f aca="false">IF(AND(OR(BY1775="L1",BY1775="L23"),AH1775&gt;0),SUMIFS($AH$7:$AH$1843,$BY$7:$BY$1843,BY1775,$AK$7:$AK$1843,"&gt;"&amp;AK1775)+SUMIFS($AH$7:$AH$1843,$BY$7:$BY$1843,BY1775,$AK$7:$AK$1843,AK1775,$BQ$7:$BQ$1843,"&lt;="&amp;BQ1775),"")</f>
        <v/>
      </c>
      <c r="AM1775" s="65" t="n">
        <f aca="false">IF(AL1775="",0,MAX(0,MIN(1,(IF(BY1775="L1",Parameter!$E$5,Parameter!$E$6+Parameter!$E$7)-(AL1775-AH1775))/AH1775)))</f>
        <v>0</v>
      </c>
      <c r="AN1775" s="57" t="n">
        <f aca="false">IF(LEFT(Cockpit!$I$5,1)="A",H1775,IF(CA1775=1,CB1775,IF(LEFT(Cockpit!$I$5,1)="B",AR1775,MAX(AR1775,H1775))))</f>
        <v>0</v>
      </c>
      <c r="AO1775" s="57" t="n">
        <f aca="false">IF(BT1775=1,0,ROUNDUP(AN1775/BS1775,0))</f>
        <v>0</v>
      </c>
      <c r="AP1775" s="59" t="n">
        <f aca="false">IF(CH1775&gt;0,CH1775*MAX(1,AN1775/X1775),IF(BT1775=1,IF(AN1775&lt;=0,0,BW1775*MAX(1,IF(H1775&gt;0,AN1775/H1775,1))),IF(R1775&gt;0,AO1775/R1775,0))/MAX(0.1,N(Parameter!$M$21)))</f>
        <v>0</v>
      </c>
      <c r="AQ1775" s="57" t="n">
        <f aca="false">AN1775*G1775</f>
        <v>0</v>
      </c>
      <c r="AR1775" s="57" t="n">
        <f aca="false">ROUNDUP(MAX(J1775/IF(BZ1775&gt;0,BZ1775,MAX(0.1,N(Cockpit!$I$6))),CC1775)/BS1775,0)*BS1775</f>
        <v>0</v>
      </c>
      <c r="AS1775" s="58" t="n">
        <f aca="false">IF(AP1775&gt;0,J1775/AP1775,-1)</f>
        <v>-1</v>
      </c>
      <c r="AT1775" s="58" t="str">
        <f aca="false">IF(AND(OR(BY1775="L1",BY1775="L23"),AP1775&gt;0),SUMIFS($AP$7:$AP$1843,$BY$7:$BY$1843,BY1775,$AS$7:$AS$1843,"&gt;"&amp;AS1775)+SUMIFS($AP$7:$AP$1843,$BY$7:$BY$1843,BY1775,$AS$7:$AS$1843,AS1775,$BQ$7:$BQ$1843,"&lt;="&amp;BQ1775),"")</f>
        <v/>
      </c>
      <c r="AU1775" s="65" t="n">
        <f aca="false">IF(AT1775="",0,MAX(0,MIN(1,(IF(BY1775="L1",Parameter!$E$5,Parameter!$E$6+Parameter!$E$7)-(AT1775-AP1775))/AP1775)))</f>
        <v>0</v>
      </c>
      <c r="AV1775" s="57" t="n">
        <f aca="false">IF(LEFT(Cockpit!$O$5,1)="A",H1775,IF(CA1775=1,CB1775,IF(LEFT(Cockpit!$O$5,1)="B",AZ1775,MAX(AZ1775,H1775))))</f>
        <v>0</v>
      </c>
      <c r="AW1775" s="57" t="n">
        <f aca="false">IF(BT1775=1,0,ROUNDUP(AV1775/BS1775,0))</f>
        <v>0</v>
      </c>
      <c r="AX1775" s="59" t="n">
        <f aca="false">IF(CH1775&gt;0,CH1775*MAX(1,AV1775/X1775),IF(BT1775=1,IF(AV1775&lt;=0,0,BW1775*MAX(1,IF(H1775&gt;0,AV1775/H1775,1))),IF(R1775&gt;0,AW1775/R1775,0))/MAX(0.1,N(Parameter!$M$21)))</f>
        <v>0</v>
      </c>
      <c r="AY1775" s="57" t="n">
        <f aca="false">AV1775*G1775</f>
        <v>0</v>
      </c>
      <c r="AZ1775" s="57" t="n">
        <f aca="false">ROUNDUP(MAX(J1775/IF(BZ1775&gt;0,BZ1775,MAX(0.1,N(Cockpit!$O$6))),CC1775)/BS1775,0)*BS1775</f>
        <v>0</v>
      </c>
      <c r="BA1775" s="58" t="n">
        <f aca="false">IF(AX1775&gt;0,J1775/AX1775,-1)</f>
        <v>-1</v>
      </c>
      <c r="BB1775" s="58" t="str">
        <f aca="false">IF(AND(OR(BY1775="L1",BY1775="L23"),AX1775&gt;0),SUMIFS($AX$7:$AX$1843,$BY$7:$BY$1843,BY1775,$BA$7:$BA$1843,"&gt;"&amp;BA1775)+SUMIFS($AX$7:$AX$1843,$BY$7:$BY$1843,BY1775,$BA$7:$BA$1843,BA1775,$BQ$7:$BQ$1843,"&lt;="&amp;BQ1775),"")</f>
        <v/>
      </c>
      <c r="BC1775" s="65" t="n">
        <f aca="false">IF(BB1775="",0,MAX(0,MIN(1,(IF(BY1775="L1",Parameter!$E$5,Parameter!$E$6+Parameter!$E$7)-(BB1775-AX1775))/AX1775)))</f>
        <v>0</v>
      </c>
      <c r="BD1775" s="55" t="str">
        <f aca="false">IF(AH1775&lt;=0,"",IF(BY1775="Aussen","Aussenlager",IF(BY1775="-","Nicht im Lift",IF(AM1775&gt;=1,"Lift",IF(AM1775&lt;=0,"Aussenlager","teilweise")))))</f>
        <v/>
      </c>
      <c r="BE1775" s="55" t="str">
        <f aca="false">IF(AP1775&lt;=0,"",IF(BY1775="Aussen","Aussenlager",IF(BY1775="-","Nicht im Lift",IF(AU1775&gt;=1,"Lift",IF(AU1775&lt;=0,"Aussenlager","teilweise")))))</f>
        <v/>
      </c>
      <c r="BF1775" s="55" t="str">
        <f aca="false">IF(AX1775&lt;=0,"",IF(BY1775="Aussen","Aussenlager",IF(BY1775="-","Nicht im Lift",IF(BC1775&gt;=1,"Lift",IF(BC1775&lt;=0,"Aussenlager","teilweise")))))</f>
        <v/>
      </c>
      <c r="BG1775" s="55" t="str">
        <f aca="false">IF(A1775="","",IF(BP1775=1,"Neu; ","")&amp;IF(AND(BP1775=0,BK1775&lt;0),"negativer Bestand (Export "&amp;BK1775&amp;"); ","")&amp;IF(J1775&lt;=0,"Kein Verbrauch; ","")&amp;IF(CH1775&gt;0,"Lift "&amp;W1775&amp;" lt. Liftbericht (Fach "&amp;X1775&amp;" Stk); ",IF(BU1775=1,"Gebinde geschätzt ("&amp;T1775&amp;"); ",IF(BT1775=1,"Lose – Tablare geschätzt; ","")))&amp;IF(H1775&gt;AR1775,"Überbestand "&amp;ROUND(H1775-AR1775,0)&amp;" Stk / CHF "&amp;ROUND((H1775-AR1775)*G1775,0)&amp;"; ","")&amp;IF(AND(CA1775=1,CB1775&lt;CC1775),"MAX &lt; MB+LG; ","")&amp;IF(AND(CG1775&gt;0,CF1775*10&gt;CG1775),"zu hoch für Tablar; ","")&amp;IF(AND(BP1775=0,OR(CA1775=1,AA1775&lt;&gt;"",U1775&lt;&gt;"",V1775&lt;&gt;"",AB1775&lt;&gt;"")),"manuell übersteuert; ","")&amp;IF(AND(BT1775=0,R1775=0),"Gebinde unbekannt / Stellmass fehlt; ","")&amp;IF(AND(BT1775=0,N(V1775)&lt;=0,N(Q1775)&lt;=0),"Menge pro Gebinde fehlt (Ist = 1 Gebinde); ","")&amp;BO1775)</f>
        <v/>
      </c>
      <c r="BH1775" s="55"/>
      <c r="BI1775" s="55"/>
      <c r="BJ1775" s="62"/>
      <c r="BK1775" s="57" t="n">
        <f aca="false">N('Neue Artikel'!$D$36)</f>
        <v>0</v>
      </c>
      <c r="BL1775" s="57" t="n">
        <v>0</v>
      </c>
      <c r="BM1775" s="56" t="n">
        <v>0</v>
      </c>
      <c r="BN1775" s="57" t="n">
        <f aca="false">N('Neue Artikel'!$C$36)/Parameter!$B$18</f>
        <v>0</v>
      </c>
      <c r="BO1775" s="55"/>
      <c r="BP1775" s="60" t="n">
        <v>1</v>
      </c>
      <c r="BQ1775" s="60" t="n">
        <v>1775</v>
      </c>
      <c r="BR1775" s="55" t="str">
        <f aca="false">IF(U1775&lt;&gt;"",UPPER(TRIM(U1775)),IF(BU1775=1,UPPER(VLOOKUP(T1775,Parameter!$I$27:$K$29,2,0)),IF(P1775="","LOSE",P1775)))</f>
        <v>LOSE</v>
      </c>
      <c r="BS1775" s="57" t="n">
        <f aca="false">IF(BR1775="LOSE",1,IF(N(V1775)&gt;0,V1775,IF(BU1775=1,MAX(1,N(VLOOKUP(T1775,Parameter!$I$27:$K$29,3,0)),H1775,N(N1775)),IF(N(Q1775)&gt;0,Q1775,MAX(1,H1775)))))</f>
        <v>1</v>
      </c>
      <c r="BT1775" s="60" t="n">
        <f aca="false">IF(BR1775="LOSE",1,0)</f>
        <v>1</v>
      </c>
      <c r="BU1775" s="60" t="n">
        <f aca="false">IF(AND(U1775="",OR(P1775="",P1775="LOSE"),T1775&lt;&gt;"",N(S1775)&lt;=0,ISNUMBER(MATCH(T1775,Parameter!$I$27:$I$29,0))),1,0)</f>
        <v>0</v>
      </c>
      <c r="BV1775" s="55" t="str">
        <f aca="false">IF(AND(Parameter!$B$19="Ja",E1775&lt;&gt;"",ISNUMBER(MATCH(E1775,Parameter!$I$35:$I$52,0))),VLOOKUP(E1775,Parameter!$I$35:$J$52,2,0),IFERROR(VLOOKUP(D1775,Parameter!$A$35:$C$64,2,0),"Nein"))</f>
        <v>2+3</v>
      </c>
      <c r="BW1775" s="59" t="n">
        <f aca="false">IF(BT1775=0,0,IF(N(S1775)&gt;0,S1775,IFERROR(VLOOKUP(D1775,Parameter!$A$35:$C$64,3,0)+0,0)))</f>
        <v>0.15</v>
      </c>
      <c r="BX1775" s="55" t="str">
        <f aca="false">IF(AA1775&lt;&gt;"",AA1775,Z1775)</f>
        <v/>
      </c>
      <c r="BY1775" s="55" t="str">
        <f aca="false">IF(BX1775=1,"L1",IF(OR(BX1775=2,BX1775=3),"L23",IF(BX1775="Aussen","Aussen","-")))</f>
        <v>-</v>
      </c>
      <c r="BZ1775" s="66" t="n">
        <f aca="false">IF(N(AB1775)&gt;0,AB1775,0)</f>
        <v>0</v>
      </c>
      <c r="CA1775" s="60" t="n">
        <f aca="false">IF(ISNUMBER(AE1775),1,0)</f>
        <v>0</v>
      </c>
      <c r="CB1775" s="57" t="n">
        <f aca="false">N(AE1775)</f>
        <v>0</v>
      </c>
      <c r="CC1775" s="57" t="n">
        <f aca="false">N(M1775)+N(N1775)</f>
        <v>0</v>
      </c>
      <c r="CD1775" s="57" t="n">
        <f aca="false">ROUNDUP(H1775/BS1775,0)</f>
        <v>0</v>
      </c>
      <c r="CE1775" s="57" t="n">
        <f aca="false">ROUNDUP(CB1775/BS1775,0)</f>
        <v>0</v>
      </c>
      <c r="CF1775" s="60" t="n">
        <f aca="false">IF(BT1775=1,0,IFERROR(VLOOKUP(BR1775,'Gebinde-Kategorie'!$A$5:$M$45,5,0)+0,0))</f>
        <v>0</v>
      </c>
      <c r="CG1775" s="60" t="n">
        <f aca="false">IFERROR(IF(OR(BX1775=1,BX1775=2,BX1775=3),N(INDEX(Parameter!$I$5:$I$7,BX1775)),0),0)</f>
        <v>0</v>
      </c>
      <c r="CH1775" s="59" t="n">
        <f aca="false">IF(AND(Parameter!$B$21="Ja",ISNUMBER(W1775),N(X1775)&gt;0),IFERROR(N(INDEX(Parameter!$L$5:$L$7,W1775))*INDEX(Parameter!$E$5:$E$7,W1775)*X1775/SUMIFS($X$7:$X$1843,$W$7:$W$1843,W1775),0),0)</f>
        <v>0</v>
      </c>
    </row>
    <row r="1776" customFormat="false" ht="15" hidden="false" customHeight="false" outlineLevel="0" collapsed="false">
      <c r="A1776" s="55" t="str">
        <f aca="false">IF('Neue Artikel'!$A$37="","",'Neue Artikel'!$A$37&amp;"")</f>
        <v/>
      </c>
      <c r="B1776" s="55" t="str">
        <f aca="false">'Neue Artikel'!$B$37&amp;""</f>
        <v/>
      </c>
      <c r="C1776" s="55"/>
      <c r="D1776" s="55" t="s">
        <v>3015</v>
      </c>
      <c r="E1776" s="55"/>
      <c r="F1776" s="55"/>
      <c r="G1776" s="56" t="n">
        <f aca="false">N('Neue Artikel'!$G$37)</f>
        <v>0</v>
      </c>
      <c r="H1776" s="57" t="n">
        <f aca="false">MAX(0,IF(AND(Parameter!$B$21="Ja",ISNUMBER(Y1776)),Y1776,IF(Parameter!$B$20="Jahresanfang 2025 + Export",BL1776+BK1776,BK1776)))</f>
        <v>0</v>
      </c>
      <c r="I1776" s="57" t="n">
        <f aca="false">H1776*G1776</f>
        <v>0</v>
      </c>
      <c r="J1776" s="57" t="n">
        <f aca="false">BN1776*Parameter!$B$18</f>
        <v>0</v>
      </c>
      <c r="K1776" s="58"/>
      <c r="L1776" s="59"/>
      <c r="M1776" s="57" t="n">
        <f aca="false">N('Neue Artikel'!$E$37)</f>
        <v>0</v>
      </c>
      <c r="N1776" s="57" t="n">
        <f aca="false">N('Neue Artikel'!$F$37)</f>
        <v>0</v>
      </c>
      <c r="O1776" s="60"/>
      <c r="P1776" s="55" t="str">
        <f aca="false">IF('Neue Artikel'!$H$37="","LOSE",UPPER(TRIM('Neue Artikel'!$H$37)))</f>
        <v>LOSE</v>
      </c>
      <c r="Q1776" s="57" t="n">
        <f aca="false">N('Neue Artikel'!$I$37)</f>
        <v>0</v>
      </c>
      <c r="R1776" s="60" t="n">
        <f aca="false">IF(BT1776=1,0,IFERROR(VLOOKUP(BR1776,'Gebinde-Kategorie'!$A$5:$M$45,13,0)+0,0))</f>
        <v>0</v>
      </c>
      <c r="S1776" s="61"/>
      <c r="T1776" s="62"/>
      <c r="U1776" s="62"/>
      <c r="V1776" s="62"/>
      <c r="W1776" s="55"/>
      <c r="X1776" s="57"/>
      <c r="Y1776" s="57"/>
      <c r="Z1776" s="55" t="str">
        <f aca="false">IF(A1776="","",IF(AND(Parameter!$B$21="Ja",ISNUMBER(W1776)),W1776,IF(BV1776="2+3",IF(ISNUMBER(SEARCH("grosser Artikel",BO1776)),2,IFERROR(VLOOKUP(BR1776,Parameter!$F$35:$G$64,2,0),2)),IF(OR(BV1776="Nein",BV1776=""),"-",BV1776))))</f>
        <v/>
      </c>
      <c r="AA1776" s="55" t="str">
        <f aca="false">IF('Neue Artikel'!$J$37="","",'Neue Artikel'!$J$37)</f>
        <v/>
      </c>
      <c r="AB1776" s="63"/>
      <c r="AC1776" s="57" t="n">
        <f aca="false">AR1776</f>
        <v>0</v>
      </c>
      <c r="AD1776" s="57" t="n">
        <f aca="false">MAX(AR1776,H1776)</f>
        <v>0</v>
      </c>
      <c r="AE1776" s="64"/>
      <c r="AF1776" s="57" t="n">
        <f aca="false">IF(LEFT(Cockpit!$C$5,1)="A",H1776,IF(CA1776=1,CB1776,IF(LEFT(Cockpit!$C$5,1)="B",AJ1776,MAX(AJ1776,H1776))))</f>
        <v>0</v>
      </c>
      <c r="AG1776" s="57" t="n">
        <f aca="false">IF(BT1776=1,0,ROUNDUP(AF1776/BS1776,0))</f>
        <v>0</v>
      </c>
      <c r="AH1776" s="59" t="n">
        <f aca="false">IF(CH1776&gt;0,CH1776*MAX(1,AF1776/X1776),IF(BT1776=1,IF(AF1776&lt;=0,0,BW1776*MAX(1,IF(H1776&gt;0,AF1776/H1776,1))),IF(R1776&gt;0,AG1776/R1776,0))/MAX(0.1,N(Parameter!$M$21)))</f>
        <v>0</v>
      </c>
      <c r="AI1776" s="57" t="n">
        <f aca="false">AF1776*G1776</f>
        <v>0</v>
      </c>
      <c r="AJ1776" s="57" t="n">
        <f aca="false">ROUNDUP(MAX(J1776/IF(BZ1776&gt;0,BZ1776,MAX(0.1,N(Cockpit!$C$6))),CC1776)/BS1776,0)*BS1776</f>
        <v>0</v>
      </c>
      <c r="AK1776" s="58" t="n">
        <f aca="false">IF(AH1776&gt;0,J1776/AH1776,-1)</f>
        <v>-1</v>
      </c>
      <c r="AL1776" s="58" t="str">
        <f aca="false">IF(AND(OR(BY1776="L1",BY1776="L23"),AH1776&gt;0),SUMIFS($AH$7:$AH$1843,$BY$7:$BY$1843,BY1776,$AK$7:$AK$1843,"&gt;"&amp;AK1776)+SUMIFS($AH$7:$AH$1843,$BY$7:$BY$1843,BY1776,$AK$7:$AK$1843,AK1776,$BQ$7:$BQ$1843,"&lt;="&amp;BQ1776),"")</f>
        <v/>
      </c>
      <c r="AM1776" s="65" t="n">
        <f aca="false">IF(AL1776="",0,MAX(0,MIN(1,(IF(BY1776="L1",Parameter!$E$5,Parameter!$E$6+Parameter!$E$7)-(AL1776-AH1776))/AH1776)))</f>
        <v>0</v>
      </c>
      <c r="AN1776" s="57" t="n">
        <f aca="false">IF(LEFT(Cockpit!$I$5,1)="A",H1776,IF(CA1776=1,CB1776,IF(LEFT(Cockpit!$I$5,1)="B",AR1776,MAX(AR1776,H1776))))</f>
        <v>0</v>
      </c>
      <c r="AO1776" s="57" t="n">
        <f aca="false">IF(BT1776=1,0,ROUNDUP(AN1776/BS1776,0))</f>
        <v>0</v>
      </c>
      <c r="AP1776" s="59" t="n">
        <f aca="false">IF(CH1776&gt;0,CH1776*MAX(1,AN1776/X1776),IF(BT1776=1,IF(AN1776&lt;=0,0,BW1776*MAX(1,IF(H1776&gt;0,AN1776/H1776,1))),IF(R1776&gt;0,AO1776/R1776,0))/MAX(0.1,N(Parameter!$M$21)))</f>
        <v>0</v>
      </c>
      <c r="AQ1776" s="57" t="n">
        <f aca="false">AN1776*G1776</f>
        <v>0</v>
      </c>
      <c r="AR1776" s="57" t="n">
        <f aca="false">ROUNDUP(MAX(J1776/IF(BZ1776&gt;0,BZ1776,MAX(0.1,N(Cockpit!$I$6))),CC1776)/BS1776,0)*BS1776</f>
        <v>0</v>
      </c>
      <c r="AS1776" s="58" t="n">
        <f aca="false">IF(AP1776&gt;0,J1776/AP1776,-1)</f>
        <v>-1</v>
      </c>
      <c r="AT1776" s="58" t="str">
        <f aca="false">IF(AND(OR(BY1776="L1",BY1776="L23"),AP1776&gt;0),SUMIFS($AP$7:$AP$1843,$BY$7:$BY$1843,BY1776,$AS$7:$AS$1843,"&gt;"&amp;AS1776)+SUMIFS($AP$7:$AP$1843,$BY$7:$BY$1843,BY1776,$AS$7:$AS$1843,AS1776,$BQ$7:$BQ$1843,"&lt;="&amp;BQ1776),"")</f>
        <v/>
      </c>
      <c r="AU1776" s="65" t="n">
        <f aca="false">IF(AT1776="",0,MAX(0,MIN(1,(IF(BY1776="L1",Parameter!$E$5,Parameter!$E$6+Parameter!$E$7)-(AT1776-AP1776))/AP1776)))</f>
        <v>0</v>
      </c>
      <c r="AV1776" s="57" t="n">
        <f aca="false">IF(LEFT(Cockpit!$O$5,1)="A",H1776,IF(CA1776=1,CB1776,IF(LEFT(Cockpit!$O$5,1)="B",AZ1776,MAX(AZ1776,H1776))))</f>
        <v>0</v>
      </c>
      <c r="AW1776" s="57" t="n">
        <f aca="false">IF(BT1776=1,0,ROUNDUP(AV1776/BS1776,0))</f>
        <v>0</v>
      </c>
      <c r="AX1776" s="59" t="n">
        <f aca="false">IF(CH1776&gt;0,CH1776*MAX(1,AV1776/X1776),IF(BT1776=1,IF(AV1776&lt;=0,0,BW1776*MAX(1,IF(H1776&gt;0,AV1776/H1776,1))),IF(R1776&gt;0,AW1776/R1776,0))/MAX(0.1,N(Parameter!$M$21)))</f>
        <v>0</v>
      </c>
      <c r="AY1776" s="57" t="n">
        <f aca="false">AV1776*G1776</f>
        <v>0</v>
      </c>
      <c r="AZ1776" s="57" t="n">
        <f aca="false">ROUNDUP(MAX(J1776/IF(BZ1776&gt;0,BZ1776,MAX(0.1,N(Cockpit!$O$6))),CC1776)/BS1776,0)*BS1776</f>
        <v>0</v>
      </c>
      <c r="BA1776" s="58" t="n">
        <f aca="false">IF(AX1776&gt;0,J1776/AX1776,-1)</f>
        <v>-1</v>
      </c>
      <c r="BB1776" s="58" t="str">
        <f aca="false">IF(AND(OR(BY1776="L1",BY1776="L23"),AX1776&gt;0),SUMIFS($AX$7:$AX$1843,$BY$7:$BY$1843,BY1776,$BA$7:$BA$1843,"&gt;"&amp;BA1776)+SUMIFS($AX$7:$AX$1843,$BY$7:$BY$1843,BY1776,$BA$7:$BA$1843,BA1776,$BQ$7:$BQ$1843,"&lt;="&amp;BQ1776),"")</f>
        <v/>
      </c>
      <c r="BC1776" s="65" t="n">
        <f aca="false">IF(BB1776="",0,MAX(0,MIN(1,(IF(BY1776="L1",Parameter!$E$5,Parameter!$E$6+Parameter!$E$7)-(BB1776-AX1776))/AX1776)))</f>
        <v>0</v>
      </c>
      <c r="BD1776" s="55" t="str">
        <f aca="false">IF(AH1776&lt;=0,"",IF(BY1776="Aussen","Aussenlager",IF(BY1776="-","Nicht im Lift",IF(AM1776&gt;=1,"Lift",IF(AM1776&lt;=0,"Aussenlager","teilweise")))))</f>
        <v/>
      </c>
      <c r="BE1776" s="55" t="str">
        <f aca="false">IF(AP1776&lt;=0,"",IF(BY1776="Aussen","Aussenlager",IF(BY1776="-","Nicht im Lift",IF(AU1776&gt;=1,"Lift",IF(AU1776&lt;=0,"Aussenlager","teilweise")))))</f>
        <v/>
      </c>
      <c r="BF1776" s="55" t="str">
        <f aca="false">IF(AX1776&lt;=0,"",IF(BY1776="Aussen","Aussenlager",IF(BY1776="-","Nicht im Lift",IF(BC1776&gt;=1,"Lift",IF(BC1776&lt;=0,"Aussenlager","teilweise")))))</f>
        <v/>
      </c>
      <c r="BG1776" s="55" t="str">
        <f aca="false">IF(A1776="","",IF(BP1776=1,"Neu; ","")&amp;IF(AND(BP1776=0,BK1776&lt;0),"negativer Bestand (Export "&amp;BK1776&amp;"); ","")&amp;IF(J1776&lt;=0,"Kein Verbrauch; ","")&amp;IF(CH1776&gt;0,"Lift "&amp;W1776&amp;" lt. Liftbericht (Fach "&amp;X1776&amp;" Stk); ",IF(BU1776=1,"Gebinde geschätzt ("&amp;T1776&amp;"); ",IF(BT1776=1,"Lose – Tablare geschätzt; ","")))&amp;IF(H1776&gt;AR1776,"Überbestand "&amp;ROUND(H1776-AR1776,0)&amp;" Stk / CHF "&amp;ROUND((H1776-AR1776)*G1776,0)&amp;"; ","")&amp;IF(AND(CA1776=1,CB1776&lt;CC1776),"MAX &lt; MB+LG; ","")&amp;IF(AND(CG1776&gt;0,CF1776*10&gt;CG1776),"zu hoch für Tablar; ","")&amp;IF(AND(BP1776=0,OR(CA1776=1,AA1776&lt;&gt;"",U1776&lt;&gt;"",V1776&lt;&gt;"",AB1776&lt;&gt;"")),"manuell übersteuert; ","")&amp;IF(AND(BT1776=0,R1776=0),"Gebinde unbekannt / Stellmass fehlt; ","")&amp;IF(AND(BT1776=0,N(V1776)&lt;=0,N(Q1776)&lt;=0),"Menge pro Gebinde fehlt (Ist = 1 Gebinde); ","")&amp;BO1776)</f>
        <v/>
      </c>
      <c r="BH1776" s="55"/>
      <c r="BI1776" s="55"/>
      <c r="BJ1776" s="62"/>
      <c r="BK1776" s="57" t="n">
        <f aca="false">N('Neue Artikel'!$D$37)</f>
        <v>0</v>
      </c>
      <c r="BL1776" s="57" t="n">
        <v>0</v>
      </c>
      <c r="BM1776" s="56" t="n">
        <v>0</v>
      </c>
      <c r="BN1776" s="57" t="n">
        <f aca="false">N('Neue Artikel'!$C$37)/Parameter!$B$18</f>
        <v>0</v>
      </c>
      <c r="BO1776" s="55"/>
      <c r="BP1776" s="60" t="n">
        <v>1</v>
      </c>
      <c r="BQ1776" s="60" t="n">
        <v>1776</v>
      </c>
      <c r="BR1776" s="55" t="str">
        <f aca="false">IF(U1776&lt;&gt;"",UPPER(TRIM(U1776)),IF(BU1776=1,UPPER(VLOOKUP(T1776,Parameter!$I$27:$K$29,2,0)),IF(P1776="","LOSE",P1776)))</f>
        <v>LOSE</v>
      </c>
      <c r="BS1776" s="57" t="n">
        <f aca="false">IF(BR1776="LOSE",1,IF(N(V1776)&gt;0,V1776,IF(BU1776=1,MAX(1,N(VLOOKUP(T1776,Parameter!$I$27:$K$29,3,0)),H1776,N(N1776)),IF(N(Q1776)&gt;0,Q1776,MAX(1,H1776)))))</f>
        <v>1</v>
      </c>
      <c r="BT1776" s="60" t="n">
        <f aca="false">IF(BR1776="LOSE",1,0)</f>
        <v>1</v>
      </c>
      <c r="BU1776" s="60" t="n">
        <f aca="false">IF(AND(U1776="",OR(P1776="",P1776="LOSE"),T1776&lt;&gt;"",N(S1776)&lt;=0,ISNUMBER(MATCH(T1776,Parameter!$I$27:$I$29,0))),1,0)</f>
        <v>0</v>
      </c>
      <c r="BV1776" s="55" t="str">
        <f aca="false">IF(AND(Parameter!$B$19="Ja",E1776&lt;&gt;"",ISNUMBER(MATCH(E1776,Parameter!$I$35:$I$52,0))),VLOOKUP(E1776,Parameter!$I$35:$J$52,2,0),IFERROR(VLOOKUP(D1776,Parameter!$A$35:$C$64,2,0),"Nein"))</f>
        <v>2+3</v>
      </c>
      <c r="BW1776" s="59" t="n">
        <f aca="false">IF(BT1776=0,0,IF(N(S1776)&gt;0,S1776,IFERROR(VLOOKUP(D1776,Parameter!$A$35:$C$64,3,0)+0,0)))</f>
        <v>0.15</v>
      </c>
      <c r="BX1776" s="55" t="str">
        <f aca="false">IF(AA1776&lt;&gt;"",AA1776,Z1776)</f>
        <v/>
      </c>
      <c r="BY1776" s="55" t="str">
        <f aca="false">IF(BX1776=1,"L1",IF(OR(BX1776=2,BX1776=3),"L23",IF(BX1776="Aussen","Aussen","-")))</f>
        <v>-</v>
      </c>
      <c r="BZ1776" s="66" t="n">
        <f aca="false">IF(N(AB1776)&gt;0,AB1776,0)</f>
        <v>0</v>
      </c>
      <c r="CA1776" s="60" t="n">
        <f aca="false">IF(ISNUMBER(AE1776),1,0)</f>
        <v>0</v>
      </c>
      <c r="CB1776" s="57" t="n">
        <f aca="false">N(AE1776)</f>
        <v>0</v>
      </c>
      <c r="CC1776" s="57" t="n">
        <f aca="false">N(M1776)+N(N1776)</f>
        <v>0</v>
      </c>
      <c r="CD1776" s="57" t="n">
        <f aca="false">ROUNDUP(H1776/BS1776,0)</f>
        <v>0</v>
      </c>
      <c r="CE1776" s="57" t="n">
        <f aca="false">ROUNDUP(CB1776/BS1776,0)</f>
        <v>0</v>
      </c>
      <c r="CF1776" s="60" t="n">
        <f aca="false">IF(BT1776=1,0,IFERROR(VLOOKUP(BR1776,'Gebinde-Kategorie'!$A$5:$M$45,5,0)+0,0))</f>
        <v>0</v>
      </c>
      <c r="CG1776" s="60" t="n">
        <f aca="false">IFERROR(IF(OR(BX1776=1,BX1776=2,BX1776=3),N(INDEX(Parameter!$I$5:$I$7,BX1776)),0),0)</f>
        <v>0</v>
      </c>
      <c r="CH1776" s="59" t="n">
        <f aca="false">IF(AND(Parameter!$B$21="Ja",ISNUMBER(W1776),N(X1776)&gt;0),IFERROR(N(INDEX(Parameter!$L$5:$L$7,W1776))*INDEX(Parameter!$E$5:$E$7,W1776)*X1776/SUMIFS($X$7:$X$1843,$W$7:$W$1843,W1776),0),0)</f>
        <v>0</v>
      </c>
    </row>
    <row r="1777" customFormat="false" ht="15" hidden="false" customHeight="false" outlineLevel="0" collapsed="false">
      <c r="A1777" s="55" t="str">
        <f aca="false">IF('Neue Artikel'!$A$38="","",'Neue Artikel'!$A$38&amp;"")</f>
        <v/>
      </c>
      <c r="B1777" s="55" t="str">
        <f aca="false">'Neue Artikel'!$B$38&amp;""</f>
        <v/>
      </c>
      <c r="C1777" s="55"/>
      <c r="D1777" s="55" t="s">
        <v>3015</v>
      </c>
      <c r="E1777" s="55"/>
      <c r="F1777" s="55"/>
      <c r="G1777" s="56" t="n">
        <f aca="false">N('Neue Artikel'!$G$38)</f>
        <v>0</v>
      </c>
      <c r="H1777" s="57" t="n">
        <f aca="false">MAX(0,IF(AND(Parameter!$B$21="Ja",ISNUMBER(Y1777)),Y1777,IF(Parameter!$B$20="Jahresanfang 2025 + Export",BL1777+BK1777,BK1777)))</f>
        <v>0</v>
      </c>
      <c r="I1777" s="57" t="n">
        <f aca="false">H1777*G1777</f>
        <v>0</v>
      </c>
      <c r="J1777" s="57" t="n">
        <f aca="false">BN1777*Parameter!$B$18</f>
        <v>0</v>
      </c>
      <c r="K1777" s="58"/>
      <c r="L1777" s="59"/>
      <c r="M1777" s="57" t="n">
        <f aca="false">N('Neue Artikel'!$E$38)</f>
        <v>0</v>
      </c>
      <c r="N1777" s="57" t="n">
        <f aca="false">N('Neue Artikel'!$F$38)</f>
        <v>0</v>
      </c>
      <c r="O1777" s="60"/>
      <c r="P1777" s="55" t="str">
        <f aca="false">IF('Neue Artikel'!$H$38="","LOSE",UPPER(TRIM('Neue Artikel'!$H$38)))</f>
        <v>LOSE</v>
      </c>
      <c r="Q1777" s="57" t="n">
        <f aca="false">N('Neue Artikel'!$I$38)</f>
        <v>0</v>
      </c>
      <c r="R1777" s="60" t="n">
        <f aca="false">IF(BT1777=1,0,IFERROR(VLOOKUP(BR1777,'Gebinde-Kategorie'!$A$5:$M$45,13,0)+0,0))</f>
        <v>0</v>
      </c>
      <c r="S1777" s="61"/>
      <c r="T1777" s="62"/>
      <c r="U1777" s="62"/>
      <c r="V1777" s="62"/>
      <c r="W1777" s="55"/>
      <c r="X1777" s="57"/>
      <c r="Y1777" s="57"/>
      <c r="Z1777" s="55" t="str">
        <f aca="false">IF(A1777="","",IF(AND(Parameter!$B$21="Ja",ISNUMBER(W1777)),W1777,IF(BV1777="2+3",IF(ISNUMBER(SEARCH("grosser Artikel",BO1777)),2,IFERROR(VLOOKUP(BR1777,Parameter!$F$35:$G$64,2,0),2)),IF(OR(BV1777="Nein",BV1777=""),"-",BV1777))))</f>
        <v/>
      </c>
      <c r="AA1777" s="55" t="str">
        <f aca="false">IF('Neue Artikel'!$J$38="","",'Neue Artikel'!$J$38)</f>
        <v/>
      </c>
      <c r="AB1777" s="63"/>
      <c r="AC1777" s="57" t="n">
        <f aca="false">AR1777</f>
        <v>0</v>
      </c>
      <c r="AD1777" s="57" t="n">
        <f aca="false">MAX(AR1777,H1777)</f>
        <v>0</v>
      </c>
      <c r="AE1777" s="64"/>
      <c r="AF1777" s="57" t="n">
        <f aca="false">IF(LEFT(Cockpit!$C$5,1)="A",H1777,IF(CA1777=1,CB1777,IF(LEFT(Cockpit!$C$5,1)="B",AJ1777,MAX(AJ1777,H1777))))</f>
        <v>0</v>
      </c>
      <c r="AG1777" s="57" t="n">
        <f aca="false">IF(BT1777=1,0,ROUNDUP(AF1777/BS1777,0))</f>
        <v>0</v>
      </c>
      <c r="AH1777" s="59" t="n">
        <f aca="false">IF(CH1777&gt;0,CH1777*MAX(1,AF1777/X1777),IF(BT1777=1,IF(AF1777&lt;=0,0,BW1777*MAX(1,IF(H1777&gt;0,AF1777/H1777,1))),IF(R1777&gt;0,AG1777/R1777,0))/MAX(0.1,N(Parameter!$M$21)))</f>
        <v>0</v>
      </c>
      <c r="AI1777" s="57" t="n">
        <f aca="false">AF1777*G1777</f>
        <v>0</v>
      </c>
      <c r="AJ1777" s="57" t="n">
        <f aca="false">ROUNDUP(MAX(J1777/IF(BZ1777&gt;0,BZ1777,MAX(0.1,N(Cockpit!$C$6))),CC1777)/BS1777,0)*BS1777</f>
        <v>0</v>
      </c>
      <c r="AK1777" s="58" t="n">
        <f aca="false">IF(AH1777&gt;0,J1777/AH1777,-1)</f>
        <v>-1</v>
      </c>
      <c r="AL1777" s="58" t="str">
        <f aca="false">IF(AND(OR(BY1777="L1",BY1777="L23"),AH1777&gt;0),SUMIFS($AH$7:$AH$1843,$BY$7:$BY$1843,BY1777,$AK$7:$AK$1843,"&gt;"&amp;AK1777)+SUMIFS($AH$7:$AH$1843,$BY$7:$BY$1843,BY1777,$AK$7:$AK$1843,AK1777,$BQ$7:$BQ$1843,"&lt;="&amp;BQ1777),"")</f>
        <v/>
      </c>
      <c r="AM1777" s="65" t="n">
        <f aca="false">IF(AL1777="",0,MAX(0,MIN(1,(IF(BY1777="L1",Parameter!$E$5,Parameter!$E$6+Parameter!$E$7)-(AL1777-AH1777))/AH1777)))</f>
        <v>0</v>
      </c>
      <c r="AN1777" s="57" t="n">
        <f aca="false">IF(LEFT(Cockpit!$I$5,1)="A",H1777,IF(CA1777=1,CB1777,IF(LEFT(Cockpit!$I$5,1)="B",AR1777,MAX(AR1777,H1777))))</f>
        <v>0</v>
      </c>
      <c r="AO1777" s="57" t="n">
        <f aca="false">IF(BT1777=1,0,ROUNDUP(AN1777/BS1777,0))</f>
        <v>0</v>
      </c>
      <c r="AP1777" s="59" t="n">
        <f aca="false">IF(CH1777&gt;0,CH1777*MAX(1,AN1777/X1777),IF(BT1777=1,IF(AN1777&lt;=0,0,BW1777*MAX(1,IF(H1777&gt;0,AN1777/H1777,1))),IF(R1777&gt;0,AO1777/R1777,0))/MAX(0.1,N(Parameter!$M$21)))</f>
        <v>0</v>
      </c>
      <c r="AQ1777" s="57" t="n">
        <f aca="false">AN1777*G1777</f>
        <v>0</v>
      </c>
      <c r="AR1777" s="57" t="n">
        <f aca="false">ROUNDUP(MAX(J1777/IF(BZ1777&gt;0,BZ1777,MAX(0.1,N(Cockpit!$I$6))),CC1777)/BS1777,0)*BS1777</f>
        <v>0</v>
      </c>
      <c r="AS1777" s="58" t="n">
        <f aca="false">IF(AP1777&gt;0,J1777/AP1777,-1)</f>
        <v>-1</v>
      </c>
      <c r="AT1777" s="58" t="str">
        <f aca="false">IF(AND(OR(BY1777="L1",BY1777="L23"),AP1777&gt;0),SUMIFS($AP$7:$AP$1843,$BY$7:$BY$1843,BY1777,$AS$7:$AS$1843,"&gt;"&amp;AS1777)+SUMIFS($AP$7:$AP$1843,$BY$7:$BY$1843,BY1777,$AS$7:$AS$1843,AS1777,$BQ$7:$BQ$1843,"&lt;="&amp;BQ1777),"")</f>
        <v/>
      </c>
      <c r="AU1777" s="65" t="n">
        <f aca="false">IF(AT1777="",0,MAX(0,MIN(1,(IF(BY1777="L1",Parameter!$E$5,Parameter!$E$6+Parameter!$E$7)-(AT1777-AP1777))/AP1777)))</f>
        <v>0</v>
      </c>
      <c r="AV1777" s="57" t="n">
        <f aca="false">IF(LEFT(Cockpit!$O$5,1)="A",H1777,IF(CA1777=1,CB1777,IF(LEFT(Cockpit!$O$5,1)="B",AZ1777,MAX(AZ1777,H1777))))</f>
        <v>0</v>
      </c>
      <c r="AW1777" s="57" t="n">
        <f aca="false">IF(BT1777=1,0,ROUNDUP(AV1777/BS1777,0))</f>
        <v>0</v>
      </c>
      <c r="AX1777" s="59" t="n">
        <f aca="false">IF(CH1777&gt;0,CH1777*MAX(1,AV1777/X1777),IF(BT1777=1,IF(AV1777&lt;=0,0,BW1777*MAX(1,IF(H1777&gt;0,AV1777/H1777,1))),IF(R1777&gt;0,AW1777/R1777,0))/MAX(0.1,N(Parameter!$M$21)))</f>
        <v>0</v>
      </c>
      <c r="AY1777" s="57" t="n">
        <f aca="false">AV1777*G1777</f>
        <v>0</v>
      </c>
      <c r="AZ1777" s="57" t="n">
        <f aca="false">ROUNDUP(MAX(J1777/IF(BZ1777&gt;0,BZ1777,MAX(0.1,N(Cockpit!$O$6))),CC1777)/BS1777,0)*BS1777</f>
        <v>0</v>
      </c>
      <c r="BA1777" s="58" t="n">
        <f aca="false">IF(AX1777&gt;0,J1777/AX1777,-1)</f>
        <v>-1</v>
      </c>
      <c r="BB1777" s="58" t="str">
        <f aca="false">IF(AND(OR(BY1777="L1",BY1777="L23"),AX1777&gt;0),SUMIFS($AX$7:$AX$1843,$BY$7:$BY$1843,BY1777,$BA$7:$BA$1843,"&gt;"&amp;BA1777)+SUMIFS($AX$7:$AX$1843,$BY$7:$BY$1843,BY1777,$BA$7:$BA$1843,BA1777,$BQ$7:$BQ$1843,"&lt;="&amp;BQ1777),"")</f>
        <v/>
      </c>
      <c r="BC1777" s="65" t="n">
        <f aca="false">IF(BB1777="",0,MAX(0,MIN(1,(IF(BY1777="L1",Parameter!$E$5,Parameter!$E$6+Parameter!$E$7)-(BB1777-AX1777))/AX1777)))</f>
        <v>0</v>
      </c>
      <c r="BD1777" s="55" t="str">
        <f aca="false">IF(AH1777&lt;=0,"",IF(BY1777="Aussen","Aussenlager",IF(BY1777="-","Nicht im Lift",IF(AM1777&gt;=1,"Lift",IF(AM1777&lt;=0,"Aussenlager","teilweise")))))</f>
        <v/>
      </c>
      <c r="BE1777" s="55" t="str">
        <f aca="false">IF(AP1777&lt;=0,"",IF(BY1777="Aussen","Aussenlager",IF(BY1777="-","Nicht im Lift",IF(AU1777&gt;=1,"Lift",IF(AU1777&lt;=0,"Aussenlager","teilweise")))))</f>
        <v/>
      </c>
      <c r="BF1777" s="55" t="str">
        <f aca="false">IF(AX1777&lt;=0,"",IF(BY1777="Aussen","Aussenlager",IF(BY1777="-","Nicht im Lift",IF(BC1777&gt;=1,"Lift",IF(BC1777&lt;=0,"Aussenlager","teilweise")))))</f>
        <v/>
      </c>
      <c r="BG1777" s="55" t="str">
        <f aca="false">IF(A1777="","",IF(BP1777=1,"Neu; ","")&amp;IF(AND(BP1777=0,BK1777&lt;0),"negativer Bestand (Export "&amp;BK1777&amp;"); ","")&amp;IF(J1777&lt;=0,"Kein Verbrauch; ","")&amp;IF(CH1777&gt;0,"Lift "&amp;W1777&amp;" lt. Liftbericht (Fach "&amp;X1777&amp;" Stk); ",IF(BU1777=1,"Gebinde geschätzt ("&amp;T1777&amp;"); ",IF(BT1777=1,"Lose – Tablare geschätzt; ","")))&amp;IF(H1777&gt;AR1777,"Überbestand "&amp;ROUND(H1777-AR1777,0)&amp;" Stk / CHF "&amp;ROUND((H1777-AR1777)*G1777,0)&amp;"; ","")&amp;IF(AND(CA1777=1,CB1777&lt;CC1777),"MAX &lt; MB+LG; ","")&amp;IF(AND(CG1777&gt;0,CF1777*10&gt;CG1777),"zu hoch für Tablar; ","")&amp;IF(AND(BP1777=0,OR(CA1777=1,AA1777&lt;&gt;"",U1777&lt;&gt;"",V1777&lt;&gt;"",AB1777&lt;&gt;"")),"manuell übersteuert; ","")&amp;IF(AND(BT1777=0,R1777=0),"Gebinde unbekannt / Stellmass fehlt; ","")&amp;IF(AND(BT1777=0,N(V1777)&lt;=0,N(Q1777)&lt;=0),"Menge pro Gebinde fehlt (Ist = 1 Gebinde); ","")&amp;BO1777)</f>
        <v/>
      </c>
      <c r="BH1777" s="55"/>
      <c r="BI1777" s="55"/>
      <c r="BJ1777" s="62"/>
      <c r="BK1777" s="57" t="n">
        <f aca="false">N('Neue Artikel'!$D$38)</f>
        <v>0</v>
      </c>
      <c r="BL1777" s="57" t="n">
        <v>0</v>
      </c>
      <c r="BM1777" s="56" t="n">
        <v>0</v>
      </c>
      <c r="BN1777" s="57" t="n">
        <f aca="false">N('Neue Artikel'!$C$38)/Parameter!$B$18</f>
        <v>0</v>
      </c>
      <c r="BO1777" s="55"/>
      <c r="BP1777" s="60" t="n">
        <v>1</v>
      </c>
      <c r="BQ1777" s="60" t="n">
        <v>1777</v>
      </c>
      <c r="BR1777" s="55" t="str">
        <f aca="false">IF(U1777&lt;&gt;"",UPPER(TRIM(U1777)),IF(BU1777=1,UPPER(VLOOKUP(T1777,Parameter!$I$27:$K$29,2,0)),IF(P1777="","LOSE",P1777)))</f>
        <v>LOSE</v>
      </c>
      <c r="BS1777" s="57" t="n">
        <f aca="false">IF(BR1777="LOSE",1,IF(N(V1777)&gt;0,V1777,IF(BU1777=1,MAX(1,N(VLOOKUP(T1777,Parameter!$I$27:$K$29,3,0)),H1777,N(N1777)),IF(N(Q1777)&gt;0,Q1777,MAX(1,H1777)))))</f>
        <v>1</v>
      </c>
      <c r="BT1777" s="60" t="n">
        <f aca="false">IF(BR1777="LOSE",1,0)</f>
        <v>1</v>
      </c>
      <c r="BU1777" s="60" t="n">
        <f aca="false">IF(AND(U1777="",OR(P1777="",P1777="LOSE"),T1777&lt;&gt;"",N(S1777)&lt;=0,ISNUMBER(MATCH(T1777,Parameter!$I$27:$I$29,0))),1,0)</f>
        <v>0</v>
      </c>
      <c r="BV1777" s="55" t="str">
        <f aca="false">IF(AND(Parameter!$B$19="Ja",E1777&lt;&gt;"",ISNUMBER(MATCH(E1777,Parameter!$I$35:$I$52,0))),VLOOKUP(E1777,Parameter!$I$35:$J$52,2,0),IFERROR(VLOOKUP(D1777,Parameter!$A$35:$C$64,2,0),"Nein"))</f>
        <v>2+3</v>
      </c>
      <c r="BW1777" s="59" t="n">
        <f aca="false">IF(BT1777=0,0,IF(N(S1777)&gt;0,S1777,IFERROR(VLOOKUP(D1777,Parameter!$A$35:$C$64,3,0)+0,0)))</f>
        <v>0.15</v>
      </c>
      <c r="BX1777" s="55" t="str">
        <f aca="false">IF(AA1777&lt;&gt;"",AA1777,Z1777)</f>
        <v/>
      </c>
      <c r="BY1777" s="55" t="str">
        <f aca="false">IF(BX1777=1,"L1",IF(OR(BX1777=2,BX1777=3),"L23",IF(BX1777="Aussen","Aussen","-")))</f>
        <v>-</v>
      </c>
      <c r="BZ1777" s="66" t="n">
        <f aca="false">IF(N(AB1777)&gt;0,AB1777,0)</f>
        <v>0</v>
      </c>
      <c r="CA1777" s="60" t="n">
        <f aca="false">IF(ISNUMBER(AE1777),1,0)</f>
        <v>0</v>
      </c>
      <c r="CB1777" s="57" t="n">
        <f aca="false">N(AE1777)</f>
        <v>0</v>
      </c>
      <c r="CC1777" s="57" t="n">
        <f aca="false">N(M1777)+N(N1777)</f>
        <v>0</v>
      </c>
      <c r="CD1777" s="57" t="n">
        <f aca="false">ROUNDUP(H1777/BS1777,0)</f>
        <v>0</v>
      </c>
      <c r="CE1777" s="57" t="n">
        <f aca="false">ROUNDUP(CB1777/BS1777,0)</f>
        <v>0</v>
      </c>
      <c r="CF1777" s="60" t="n">
        <f aca="false">IF(BT1777=1,0,IFERROR(VLOOKUP(BR1777,'Gebinde-Kategorie'!$A$5:$M$45,5,0)+0,0))</f>
        <v>0</v>
      </c>
      <c r="CG1777" s="60" t="n">
        <f aca="false">IFERROR(IF(OR(BX1777=1,BX1777=2,BX1777=3),N(INDEX(Parameter!$I$5:$I$7,BX1777)),0),0)</f>
        <v>0</v>
      </c>
      <c r="CH1777" s="59" t="n">
        <f aca="false">IF(AND(Parameter!$B$21="Ja",ISNUMBER(W1777),N(X1777)&gt;0),IFERROR(N(INDEX(Parameter!$L$5:$L$7,W1777))*INDEX(Parameter!$E$5:$E$7,W1777)*X1777/SUMIFS($X$7:$X$1843,$W$7:$W$1843,W1777),0),0)</f>
        <v>0</v>
      </c>
    </row>
    <row r="1778" customFormat="false" ht="15" hidden="false" customHeight="false" outlineLevel="0" collapsed="false">
      <c r="A1778" s="55" t="str">
        <f aca="false">IF('Neue Artikel'!$A$39="","",'Neue Artikel'!$A$39&amp;"")</f>
        <v/>
      </c>
      <c r="B1778" s="55" t="str">
        <f aca="false">'Neue Artikel'!$B$39&amp;""</f>
        <v/>
      </c>
      <c r="C1778" s="55"/>
      <c r="D1778" s="55" t="s">
        <v>3015</v>
      </c>
      <c r="E1778" s="55"/>
      <c r="F1778" s="55"/>
      <c r="G1778" s="56" t="n">
        <f aca="false">N('Neue Artikel'!$G$39)</f>
        <v>0</v>
      </c>
      <c r="H1778" s="57" t="n">
        <f aca="false">MAX(0,IF(AND(Parameter!$B$21="Ja",ISNUMBER(Y1778)),Y1778,IF(Parameter!$B$20="Jahresanfang 2025 + Export",BL1778+BK1778,BK1778)))</f>
        <v>0</v>
      </c>
      <c r="I1778" s="57" t="n">
        <f aca="false">H1778*G1778</f>
        <v>0</v>
      </c>
      <c r="J1778" s="57" t="n">
        <f aca="false">BN1778*Parameter!$B$18</f>
        <v>0</v>
      </c>
      <c r="K1778" s="58"/>
      <c r="L1778" s="59"/>
      <c r="M1778" s="57" t="n">
        <f aca="false">N('Neue Artikel'!$E$39)</f>
        <v>0</v>
      </c>
      <c r="N1778" s="57" t="n">
        <f aca="false">N('Neue Artikel'!$F$39)</f>
        <v>0</v>
      </c>
      <c r="O1778" s="60"/>
      <c r="P1778" s="55" t="str">
        <f aca="false">IF('Neue Artikel'!$H$39="","LOSE",UPPER(TRIM('Neue Artikel'!$H$39)))</f>
        <v>LOSE</v>
      </c>
      <c r="Q1778" s="57" t="n">
        <f aca="false">N('Neue Artikel'!$I$39)</f>
        <v>0</v>
      </c>
      <c r="R1778" s="60" t="n">
        <f aca="false">IF(BT1778=1,0,IFERROR(VLOOKUP(BR1778,'Gebinde-Kategorie'!$A$5:$M$45,13,0)+0,0))</f>
        <v>0</v>
      </c>
      <c r="S1778" s="61"/>
      <c r="T1778" s="62"/>
      <c r="U1778" s="62"/>
      <c r="V1778" s="62"/>
      <c r="W1778" s="55"/>
      <c r="X1778" s="57"/>
      <c r="Y1778" s="57"/>
      <c r="Z1778" s="55" t="str">
        <f aca="false">IF(A1778="","",IF(AND(Parameter!$B$21="Ja",ISNUMBER(W1778)),W1778,IF(BV1778="2+3",IF(ISNUMBER(SEARCH("grosser Artikel",BO1778)),2,IFERROR(VLOOKUP(BR1778,Parameter!$F$35:$G$64,2,0),2)),IF(OR(BV1778="Nein",BV1778=""),"-",BV1778))))</f>
        <v/>
      </c>
      <c r="AA1778" s="55" t="str">
        <f aca="false">IF('Neue Artikel'!$J$39="","",'Neue Artikel'!$J$39)</f>
        <v/>
      </c>
      <c r="AB1778" s="63"/>
      <c r="AC1778" s="57" t="n">
        <f aca="false">AR1778</f>
        <v>0</v>
      </c>
      <c r="AD1778" s="57" t="n">
        <f aca="false">MAX(AR1778,H1778)</f>
        <v>0</v>
      </c>
      <c r="AE1778" s="64"/>
      <c r="AF1778" s="57" t="n">
        <f aca="false">IF(LEFT(Cockpit!$C$5,1)="A",H1778,IF(CA1778=1,CB1778,IF(LEFT(Cockpit!$C$5,1)="B",AJ1778,MAX(AJ1778,H1778))))</f>
        <v>0</v>
      </c>
      <c r="AG1778" s="57" t="n">
        <f aca="false">IF(BT1778=1,0,ROUNDUP(AF1778/BS1778,0))</f>
        <v>0</v>
      </c>
      <c r="AH1778" s="59" t="n">
        <f aca="false">IF(CH1778&gt;0,CH1778*MAX(1,AF1778/X1778),IF(BT1778=1,IF(AF1778&lt;=0,0,BW1778*MAX(1,IF(H1778&gt;0,AF1778/H1778,1))),IF(R1778&gt;0,AG1778/R1778,0))/MAX(0.1,N(Parameter!$M$21)))</f>
        <v>0</v>
      </c>
      <c r="AI1778" s="57" t="n">
        <f aca="false">AF1778*G1778</f>
        <v>0</v>
      </c>
      <c r="AJ1778" s="57" t="n">
        <f aca="false">ROUNDUP(MAX(J1778/IF(BZ1778&gt;0,BZ1778,MAX(0.1,N(Cockpit!$C$6))),CC1778)/BS1778,0)*BS1778</f>
        <v>0</v>
      </c>
      <c r="AK1778" s="58" t="n">
        <f aca="false">IF(AH1778&gt;0,J1778/AH1778,-1)</f>
        <v>-1</v>
      </c>
      <c r="AL1778" s="58" t="str">
        <f aca="false">IF(AND(OR(BY1778="L1",BY1778="L23"),AH1778&gt;0),SUMIFS($AH$7:$AH$1843,$BY$7:$BY$1843,BY1778,$AK$7:$AK$1843,"&gt;"&amp;AK1778)+SUMIFS($AH$7:$AH$1843,$BY$7:$BY$1843,BY1778,$AK$7:$AK$1843,AK1778,$BQ$7:$BQ$1843,"&lt;="&amp;BQ1778),"")</f>
        <v/>
      </c>
      <c r="AM1778" s="65" t="n">
        <f aca="false">IF(AL1778="",0,MAX(0,MIN(1,(IF(BY1778="L1",Parameter!$E$5,Parameter!$E$6+Parameter!$E$7)-(AL1778-AH1778))/AH1778)))</f>
        <v>0</v>
      </c>
      <c r="AN1778" s="57" t="n">
        <f aca="false">IF(LEFT(Cockpit!$I$5,1)="A",H1778,IF(CA1778=1,CB1778,IF(LEFT(Cockpit!$I$5,1)="B",AR1778,MAX(AR1778,H1778))))</f>
        <v>0</v>
      </c>
      <c r="AO1778" s="57" t="n">
        <f aca="false">IF(BT1778=1,0,ROUNDUP(AN1778/BS1778,0))</f>
        <v>0</v>
      </c>
      <c r="AP1778" s="59" t="n">
        <f aca="false">IF(CH1778&gt;0,CH1778*MAX(1,AN1778/X1778),IF(BT1778=1,IF(AN1778&lt;=0,0,BW1778*MAX(1,IF(H1778&gt;0,AN1778/H1778,1))),IF(R1778&gt;0,AO1778/R1778,0))/MAX(0.1,N(Parameter!$M$21)))</f>
        <v>0</v>
      </c>
      <c r="AQ1778" s="57" t="n">
        <f aca="false">AN1778*G1778</f>
        <v>0</v>
      </c>
      <c r="AR1778" s="57" t="n">
        <f aca="false">ROUNDUP(MAX(J1778/IF(BZ1778&gt;0,BZ1778,MAX(0.1,N(Cockpit!$I$6))),CC1778)/BS1778,0)*BS1778</f>
        <v>0</v>
      </c>
      <c r="AS1778" s="58" t="n">
        <f aca="false">IF(AP1778&gt;0,J1778/AP1778,-1)</f>
        <v>-1</v>
      </c>
      <c r="AT1778" s="58" t="str">
        <f aca="false">IF(AND(OR(BY1778="L1",BY1778="L23"),AP1778&gt;0),SUMIFS($AP$7:$AP$1843,$BY$7:$BY$1843,BY1778,$AS$7:$AS$1843,"&gt;"&amp;AS1778)+SUMIFS($AP$7:$AP$1843,$BY$7:$BY$1843,BY1778,$AS$7:$AS$1843,AS1778,$BQ$7:$BQ$1843,"&lt;="&amp;BQ1778),"")</f>
        <v/>
      </c>
      <c r="AU1778" s="65" t="n">
        <f aca="false">IF(AT1778="",0,MAX(0,MIN(1,(IF(BY1778="L1",Parameter!$E$5,Parameter!$E$6+Parameter!$E$7)-(AT1778-AP1778))/AP1778)))</f>
        <v>0</v>
      </c>
      <c r="AV1778" s="57" t="n">
        <f aca="false">IF(LEFT(Cockpit!$O$5,1)="A",H1778,IF(CA1778=1,CB1778,IF(LEFT(Cockpit!$O$5,1)="B",AZ1778,MAX(AZ1778,H1778))))</f>
        <v>0</v>
      </c>
      <c r="AW1778" s="57" t="n">
        <f aca="false">IF(BT1778=1,0,ROUNDUP(AV1778/BS1778,0))</f>
        <v>0</v>
      </c>
      <c r="AX1778" s="59" t="n">
        <f aca="false">IF(CH1778&gt;0,CH1778*MAX(1,AV1778/X1778),IF(BT1778=1,IF(AV1778&lt;=0,0,BW1778*MAX(1,IF(H1778&gt;0,AV1778/H1778,1))),IF(R1778&gt;0,AW1778/R1778,0))/MAX(0.1,N(Parameter!$M$21)))</f>
        <v>0</v>
      </c>
      <c r="AY1778" s="57" t="n">
        <f aca="false">AV1778*G1778</f>
        <v>0</v>
      </c>
      <c r="AZ1778" s="57" t="n">
        <f aca="false">ROUNDUP(MAX(J1778/IF(BZ1778&gt;0,BZ1778,MAX(0.1,N(Cockpit!$O$6))),CC1778)/BS1778,0)*BS1778</f>
        <v>0</v>
      </c>
      <c r="BA1778" s="58" t="n">
        <f aca="false">IF(AX1778&gt;0,J1778/AX1778,-1)</f>
        <v>-1</v>
      </c>
      <c r="BB1778" s="58" t="str">
        <f aca="false">IF(AND(OR(BY1778="L1",BY1778="L23"),AX1778&gt;0),SUMIFS($AX$7:$AX$1843,$BY$7:$BY$1843,BY1778,$BA$7:$BA$1843,"&gt;"&amp;BA1778)+SUMIFS($AX$7:$AX$1843,$BY$7:$BY$1843,BY1778,$BA$7:$BA$1843,BA1778,$BQ$7:$BQ$1843,"&lt;="&amp;BQ1778),"")</f>
        <v/>
      </c>
      <c r="BC1778" s="65" t="n">
        <f aca="false">IF(BB1778="",0,MAX(0,MIN(1,(IF(BY1778="L1",Parameter!$E$5,Parameter!$E$6+Parameter!$E$7)-(BB1778-AX1778))/AX1778)))</f>
        <v>0</v>
      </c>
      <c r="BD1778" s="55" t="str">
        <f aca="false">IF(AH1778&lt;=0,"",IF(BY1778="Aussen","Aussenlager",IF(BY1778="-","Nicht im Lift",IF(AM1778&gt;=1,"Lift",IF(AM1778&lt;=0,"Aussenlager","teilweise")))))</f>
        <v/>
      </c>
      <c r="BE1778" s="55" t="str">
        <f aca="false">IF(AP1778&lt;=0,"",IF(BY1778="Aussen","Aussenlager",IF(BY1778="-","Nicht im Lift",IF(AU1778&gt;=1,"Lift",IF(AU1778&lt;=0,"Aussenlager","teilweise")))))</f>
        <v/>
      </c>
      <c r="BF1778" s="55" t="str">
        <f aca="false">IF(AX1778&lt;=0,"",IF(BY1778="Aussen","Aussenlager",IF(BY1778="-","Nicht im Lift",IF(BC1778&gt;=1,"Lift",IF(BC1778&lt;=0,"Aussenlager","teilweise")))))</f>
        <v/>
      </c>
      <c r="BG1778" s="55" t="str">
        <f aca="false">IF(A1778="","",IF(BP1778=1,"Neu; ","")&amp;IF(AND(BP1778=0,BK1778&lt;0),"negativer Bestand (Export "&amp;BK1778&amp;"); ","")&amp;IF(J1778&lt;=0,"Kein Verbrauch; ","")&amp;IF(CH1778&gt;0,"Lift "&amp;W1778&amp;" lt. Liftbericht (Fach "&amp;X1778&amp;" Stk); ",IF(BU1778=1,"Gebinde geschätzt ("&amp;T1778&amp;"); ",IF(BT1778=1,"Lose – Tablare geschätzt; ","")))&amp;IF(H1778&gt;AR1778,"Überbestand "&amp;ROUND(H1778-AR1778,0)&amp;" Stk / CHF "&amp;ROUND((H1778-AR1778)*G1778,0)&amp;"; ","")&amp;IF(AND(CA1778=1,CB1778&lt;CC1778),"MAX &lt; MB+LG; ","")&amp;IF(AND(CG1778&gt;0,CF1778*10&gt;CG1778),"zu hoch für Tablar; ","")&amp;IF(AND(BP1778=0,OR(CA1778=1,AA1778&lt;&gt;"",U1778&lt;&gt;"",V1778&lt;&gt;"",AB1778&lt;&gt;"")),"manuell übersteuert; ","")&amp;IF(AND(BT1778=0,R1778=0),"Gebinde unbekannt / Stellmass fehlt; ","")&amp;IF(AND(BT1778=0,N(V1778)&lt;=0,N(Q1778)&lt;=0),"Menge pro Gebinde fehlt (Ist = 1 Gebinde); ","")&amp;BO1778)</f>
        <v/>
      </c>
      <c r="BH1778" s="55"/>
      <c r="BI1778" s="55"/>
      <c r="BJ1778" s="62"/>
      <c r="BK1778" s="57" t="n">
        <f aca="false">N('Neue Artikel'!$D$39)</f>
        <v>0</v>
      </c>
      <c r="BL1778" s="57" t="n">
        <v>0</v>
      </c>
      <c r="BM1778" s="56" t="n">
        <v>0</v>
      </c>
      <c r="BN1778" s="57" t="n">
        <f aca="false">N('Neue Artikel'!$C$39)/Parameter!$B$18</f>
        <v>0</v>
      </c>
      <c r="BO1778" s="55"/>
      <c r="BP1778" s="60" t="n">
        <v>1</v>
      </c>
      <c r="BQ1778" s="60" t="n">
        <v>1778</v>
      </c>
      <c r="BR1778" s="55" t="str">
        <f aca="false">IF(U1778&lt;&gt;"",UPPER(TRIM(U1778)),IF(BU1778=1,UPPER(VLOOKUP(T1778,Parameter!$I$27:$K$29,2,0)),IF(P1778="","LOSE",P1778)))</f>
        <v>LOSE</v>
      </c>
      <c r="BS1778" s="57" t="n">
        <f aca="false">IF(BR1778="LOSE",1,IF(N(V1778)&gt;0,V1778,IF(BU1778=1,MAX(1,N(VLOOKUP(T1778,Parameter!$I$27:$K$29,3,0)),H1778,N(N1778)),IF(N(Q1778)&gt;0,Q1778,MAX(1,H1778)))))</f>
        <v>1</v>
      </c>
      <c r="BT1778" s="60" t="n">
        <f aca="false">IF(BR1778="LOSE",1,0)</f>
        <v>1</v>
      </c>
      <c r="BU1778" s="60" t="n">
        <f aca="false">IF(AND(U1778="",OR(P1778="",P1778="LOSE"),T1778&lt;&gt;"",N(S1778)&lt;=0,ISNUMBER(MATCH(T1778,Parameter!$I$27:$I$29,0))),1,0)</f>
        <v>0</v>
      </c>
      <c r="BV1778" s="55" t="str">
        <f aca="false">IF(AND(Parameter!$B$19="Ja",E1778&lt;&gt;"",ISNUMBER(MATCH(E1778,Parameter!$I$35:$I$52,0))),VLOOKUP(E1778,Parameter!$I$35:$J$52,2,0),IFERROR(VLOOKUP(D1778,Parameter!$A$35:$C$64,2,0),"Nein"))</f>
        <v>2+3</v>
      </c>
      <c r="BW1778" s="59" t="n">
        <f aca="false">IF(BT1778=0,0,IF(N(S1778)&gt;0,S1778,IFERROR(VLOOKUP(D1778,Parameter!$A$35:$C$64,3,0)+0,0)))</f>
        <v>0.15</v>
      </c>
      <c r="BX1778" s="55" t="str">
        <f aca="false">IF(AA1778&lt;&gt;"",AA1778,Z1778)</f>
        <v/>
      </c>
      <c r="BY1778" s="55" t="str">
        <f aca="false">IF(BX1778=1,"L1",IF(OR(BX1778=2,BX1778=3),"L23",IF(BX1778="Aussen","Aussen","-")))</f>
        <v>-</v>
      </c>
      <c r="BZ1778" s="66" t="n">
        <f aca="false">IF(N(AB1778)&gt;0,AB1778,0)</f>
        <v>0</v>
      </c>
      <c r="CA1778" s="60" t="n">
        <f aca="false">IF(ISNUMBER(AE1778),1,0)</f>
        <v>0</v>
      </c>
      <c r="CB1778" s="57" t="n">
        <f aca="false">N(AE1778)</f>
        <v>0</v>
      </c>
      <c r="CC1778" s="57" t="n">
        <f aca="false">N(M1778)+N(N1778)</f>
        <v>0</v>
      </c>
      <c r="CD1778" s="57" t="n">
        <f aca="false">ROUNDUP(H1778/BS1778,0)</f>
        <v>0</v>
      </c>
      <c r="CE1778" s="57" t="n">
        <f aca="false">ROUNDUP(CB1778/BS1778,0)</f>
        <v>0</v>
      </c>
      <c r="CF1778" s="60" t="n">
        <f aca="false">IF(BT1778=1,0,IFERROR(VLOOKUP(BR1778,'Gebinde-Kategorie'!$A$5:$M$45,5,0)+0,0))</f>
        <v>0</v>
      </c>
      <c r="CG1778" s="60" t="n">
        <f aca="false">IFERROR(IF(OR(BX1778=1,BX1778=2,BX1778=3),N(INDEX(Parameter!$I$5:$I$7,BX1778)),0),0)</f>
        <v>0</v>
      </c>
      <c r="CH1778" s="59" t="n">
        <f aca="false">IF(AND(Parameter!$B$21="Ja",ISNUMBER(W1778),N(X1778)&gt;0),IFERROR(N(INDEX(Parameter!$L$5:$L$7,W1778))*INDEX(Parameter!$E$5:$E$7,W1778)*X1778/SUMIFS($X$7:$X$1843,$W$7:$W$1843,W1778),0),0)</f>
        <v>0</v>
      </c>
    </row>
    <row r="1779" customFormat="false" ht="15" hidden="false" customHeight="false" outlineLevel="0" collapsed="false">
      <c r="A1779" s="55" t="str">
        <f aca="false">IF('Neue Artikel'!$A$40="","",'Neue Artikel'!$A$40&amp;"")</f>
        <v/>
      </c>
      <c r="B1779" s="55" t="str">
        <f aca="false">'Neue Artikel'!$B$40&amp;""</f>
        <v/>
      </c>
      <c r="C1779" s="55"/>
      <c r="D1779" s="55" t="s">
        <v>3015</v>
      </c>
      <c r="E1779" s="55"/>
      <c r="F1779" s="55"/>
      <c r="G1779" s="56" t="n">
        <f aca="false">N('Neue Artikel'!$G$40)</f>
        <v>0</v>
      </c>
      <c r="H1779" s="57" t="n">
        <f aca="false">MAX(0,IF(AND(Parameter!$B$21="Ja",ISNUMBER(Y1779)),Y1779,IF(Parameter!$B$20="Jahresanfang 2025 + Export",BL1779+BK1779,BK1779)))</f>
        <v>0</v>
      </c>
      <c r="I1779" s="57" t="n">
        <f aca="false">H1779*G1779</f>
        <v>0</v>
      </c>
      <c r="J1779" s="57" t="n">
        <f aca="false">BN1779*Parameter!$B$18</f>
        <v>0</v>
      </c>
      <c r="K1779" s="58"/>
      <c r="L1779" s="59"/>
      <c r="M1779" s="57" t="n">
        <f aca="false">N('Neue Artikel'!$E$40)</f>
        <v>0</v>
      </c>
      <c r="N1779" s="57" t="n">
        <f aca="false">N('Neue Artikel'!$F$40)</f>
        <v>0</v>
      </c>
      <c r="O1779" s="60"/>
      <c r="P1779" s="55" t="str">
        <f aca="false">IF('Neue Artikel'!$H$40="","LOSE",UPPER(TRIM('Neue Artikel'!$H$40)))</f>
        <v>LOSE</v>
      </c>
      <c r="Q1779" s="57" t="n">
        <f aca="false">N('Neue Artikel'!$I$40)</f>
        <v>0</v>
      </c>
      <c r="R1779" s="60" t="n">
        <f aca="false">IF(BT1779=1,0,IFERROR(VLOOKUP(BR1779,'Gebinde-Kategorie'!$A$5:$M$45,13,0)+0,0))</f>
        <v>0</v>
      </c>
      <c r="S1779" s="61"/>
      <c r="T1779" s="62"/>
      <c r="U1779" s="62"/>
      <c r="V1779" s="62"/>
      <c r="W1779" s="55"/>
      <c r="X1779" s="57"/>
      <c r="Y1779" s="57"/>
      <c r="Z1779" s="55" t="str">
        <f aca="false">IF(A1779="","",IF(AND(Parameter!$B$21="Ja",ISNUMBER(W1779)),W1779,IF(BV1779="2+3",IF(ISNUMBER(SEARCH("grosser Artikel",BO1779)),2,IFERROR(VLOOKUP(BR1779,Parameter!$F$35:$G$64,2,0),2)),IF(OR(BV1779="Nein",BV1779=""),"-",BV1779))))</f>
        <v/>
      </c>
      <c r="AA1779" s="55" t="str">
        <f aca="false">IF('Neue Artikel'!$J$40="","",'Neue Artikel'!$J$40)</f>
        <v/>
      </c>
      <c r="AB1779" s="63"/>
      <c r="AC1779" s="57" t="n">
        <f aca="false">AR1779</f>
        <v>0</v>
      </c>
      <c r="AD1779" s="57" t="n">
        <f aca="false">MAX(AR1779,H1779)</f>
        <v>0</v>
      </c>
      <c r="AE1779" s="64"/>
      <c r="AF1779" s="57" t="n">
        <f aca="false">IF(LEFT(Cockpit!$C$5,1)="A",H1779,IF(CA1779=1,CB1779,IF(LEFT(Cockpit!$C$5,1)="B",AJ1779,MAX(AJ1779,H1779))))</f>
        <v>0</v>
      </c>
      <c r="AG1779" s="57" t="n">
        <f aca="false">IF(BT1779=1,0,ROUNDUP(AF1779/BS1779,0))</f>
        <v>0</v>
      </c>
      <c r="AH1779" s="59" t="n">
        <f aca="false">IF(CH1779&gt;0,CH1779*MAX(1,AF1779/X1779),IF(BT1779=1,IF(AF1779&lt;=0,0,BW1779*MAX(1,IF(H1779&gt;0,AF1779/H1779,1))),IF(R1779&gt;0,AG1779/R1779,0))/MAX(0.1,N(Parameter!$M$21)))</f>
        <v>0</v>
      </c>
      <c r="AI1779" s="57" t="n">
        <f aca="false">AF1779*G1779</f>
        <v>0</v>
      </c>
      <c r="AJ1779" s="57" t="n">
        <f aca="false">ROUNDUP(MAX(J1779/IF(BZ1779&gt;0,BZ1779,MAX(0.1,N(Cockpit!$C$6))),CC1779)/BS1779,0)*BS1779</f>
        <v>0</v>
      </c>
      <c r="AK1779" s="58" t="n">
        <f aca="false">IF(AH1779&gt;0,J1779/AH1779,-1)</f>
        <v>-1</v>
      </c>
      <c r="AL1779" s="58" t="str">
        <f aca="false">IF(AND(OR(BY1779="L1",BY1779="L23"),AH1779&gt;0),SUMIFS($AH$7:$AH$1843,$BY$7:$BY$1843,BY1779,$AK$7:$AK$1843,"&gt;"&amp;AK1779)+SUMIFS($AH$7:$AH$1843,$BY$7:$BY$1843,BY1779,$AK$7:$AK$1843,AK1779,$BQ$7:$BQ$1843,"&lt;="&amp;BQ1779),"")</f>
        <v/>
      </c>
      <c r="AM1779" s="65" t="n">
        <f aca="false">IF(AL1779="",0,MAX(0,MIN(1,(IF(BY1779="L1",Parameter!$E$5,Parameter!$E$6+Parameter!$E$7)-(AL1779-AH1779))/AH1779)))</f>
        <v>0</v>
      </c>
      <c r="AN1779" s="57" t="n">
        <f aca="false">IF(LEFT(Cockpit!$I$5,1)="A",H1779,IF(CA1779=1,CB1779,IF(LEFT(Cockpit!$I$5,1)="B",AR1779,MAX(AR1779,H1779))))</f>
        <v>0</v>
      </c>
      <c r="AO1779" s="57" t="n">
        <f aca="false">IF(BT1779=1,0,ROUNDUP(AN1779/BS1779,0))</f>
        <v>0</v>
      </c>
      <c r="AP1779" s="59" t="n">
        <f aca="false">IF(CH1779&gt;0,CH1779*MAX(1,AN1779/X1779),IF(BT1779=1,IF(AN1779&lt;=0,0,BW1779*MAX(1,IF(H1779&gt;0,AN1779/H1779,1))),IF(R1779&gt;0,AO1779/R1779,0))/MAX(0.1,N(Parameter!$M$21)))</f>
        <v>0</v>
      </c>
      <c r="AQ1779" s="57" t="n">
        <f aca="false">AN1779*G1779</f>
        <v>0</v>
      </c>
      <c r="AR1779" s="57" t="n">
        <f aca="false">ROUNDUP(MAX(J1779/IF(BZ1779&gt;0,BZ1779,MAX(0.1,N(Cockpit!$I$6))),CC1779)/BS1779,0)*BS1779</f>
        <v>0</v>
      </c>
      <c r="AS1779" s="58" t="n">
        <f aca="false">IF(AP1779&gt;0,J1779/AP1779,-1)</f>
        <v>-1</v>
      </c>
      <c r="AT1779" s="58" t="str">
        <f aca="false">IF(AND(OR(BY1779="L1",BY1779="L23"),AP1779&gt;0),SUMIFS($AP$7:$AP$1843,$BY$7:$BY$1843,BY1779,$AS$7:$AS$1843,"&gt;"&amp;AS1779)+SUMIFS($AP$7:$AP$1843,$BY$7:$BY$1843,BY1779,$AS$7:$AS$1843,AS1779,$BQ$7:$BQ$1843,"&lt;="&amp;BQ1779),"")</f>
        <v/>
      </c>
      <c r="AU1779" s="65" t="n">
        <f aca="false">IF(AT1779="",0,MAX(0,MIN(1,(IF(BY1779="L1",Parameter!$E$5,Parameter!$E$6+Parameter!$E$7)-(AT1779-AP1779))/AP1779)))</f>
        <v>0</v>
      </c>
      <c r="AV1779" s="57" t="n">
        <f aca="false">IF(LEFT(Cockpit!$O$5,1)="A",H1779,IF(CA1779=1,CB1779,IF(LEFT(Cockpit!$O$5,1)="B",AZ1779,MAX(AZ1779,H1779))))</f>
        <v>0</v>
      </c>
      <c r="AW1779" s="57" t="n">
        <f aca="false">IF(BT1779=1,0,ROUNDUP(AV1779/BS1779,0))</f>
        <v>0</v>
      </c>
      <c r="AX1779" s="59" t="n">
        <f aca="false">IF(CH1779&gt;0,CH1779*MAX(1,AV1779/X1779),IF(BT1779=1,IF(AV1779&lt;=0,0,BW1779*MAX(1,IF(H1779&gt;0,AV1779/H1779,1))),IF(R1779&gt;0,AW1779/R1779,0))/MAX(0.1,N(Parameter!$M$21)))</f>
        <v>0</v>
      </c>
      <c r="AY1779" s="57" t="n">
        <f aca="false">AV1779*G1779</f>
        <v>0</v>
      </c>
      <c r="AZ1779" s="57" t="n">
        <f aca="false">ROUNDUP(MAX(J1779/IF(BZ1779&gt;0,BZ1779,MAX(0.1,N(Cockpit!$O$6))),CC1779)/BS1779,0)*BS1779</f>
        <v>0</v>
      </c>
      <c r="BA1779" s="58" t="n">
        <f aca="false">IF(AX1779&gt;0,J1779/AX1779,-1)</f>
        <v>-1</v>
      </c>
      <c r="BB1779" s="58" t="str">
        <f aca="false">IF(AND(OR(BY1779="L1",BY1779="L23"),AX1779&gt;0),SUMIFS($AX$7:$AX$1843,$BY$7:$BY$1843,BY1779,$BA$7:$BA$1843,"&gt;"&amp;BA1779)+SUMIFS($AX$7:$AX$1843,$BY$7:$BY$1843,BY1779,$BA$7:$BA$1843,BA1779,$BQ$7:$BQ$1843,"&lt;="&amp;BQ1779),"")</f>
        <v/>
      </c>
      <c r="BC1779" s="65" t="n">
        <f aca="false">IF(BB1779="",0,MAX(0,MIN(1,(IF(BY1779="L1",Parameter!$E$5,Parameter!$E$6+Parameter!$E$7)-(BB1779-AX1779))/AX1779)))</f>
        <v>0</v>
      </c>
      <c r="BD1779" s="55" t="str">
        <f aca="false">IF(AH1779&lt;=0,"",IF(BY1779="Aussen","Aussenlager",IF(BY1779="-","Nicht im Lift",IF(AM1779&gt;=1,"Lift",IF(AM1779&lt;=0,"Aussenlager","teilweise")))))</f>
        <v/>
      </c>
      <c r="BE1779" s="55" t="str">
        <f aca="false">IF(AP1779&lt;=0,"",IF(BY1779="Aussen","Aussenlager",IF(BY1779="-","Nicht im Lift",IF(AU1779&gt;=1,"Lift",IF(AU1779&lt;=0,"Aussenlager","teilweise")))))</f>
        <v/>
      </c>
      <c r="BF1779" s="55" t="str">
        <f aca="false">IF(AX1779&lt;=0,"",IF(BY1779="Aussen","Aussenlager",IF(BY1779="-","Nicht im Lift",IF(BC1779&gt;=1,"Lift",IF(BC1779&lt;=0,"Aussenlager","teilweise")))))</f>
        <v/>
      </c>
      <c r="BG1779" s="55" t="str">
        <f aca="false">IF(A1779="","",IF(BP1779=1,"Neu; ","")&amp;IF(AND(BP1779=0,BK1779&lt;0),"negativer Bestand (Export "&amp;BK1779&amp;"); ","")&amp;IF(J1779&lt;=0,"Kein Verbrauch; ","")&amp;IF(CH1779&gt;0,"Lift "&amp;W1779&amp;" lt. Liftbericht (Fach "&amp;X1779&amp;" Stk); ",IF(BU1779=1,"Gebinde geschätzt ("&amp;T1779&amp;"); ",IF(BT1779=1,"Lose – Tablare geschätzt; ","")))&amp;IF(H1779&gt;AR1779,"Überbestand "&amp;ROUND(H1779-AR1779,0)&amp;" Stk / CHF "&amp;ROUND((H1779-AR1779)*G1779,0)&amp;"; ","")&amp;IF(AND(CA1779=1,CB1779&lt;CC1779),"MAX &lt; MB+LG; ","")&amp;IF(AND(CG1779&gt;0,CF1779*10&gt;CG1779),"zu hoch für Tablar; ","")&amp;IF(AND(BP1779=0,OR(CA1779=1,AA1779&lt;&gt;"",U1779&lt;&gt;"",V1779&lt;&gt;"",AB1779&lt;&gt;"")),"manuell übersteuert; ","")&amp;IF(AND(BT1779=0,R1779=0),"Gebinde unbekannt / Stellmass fehlt; ","")&amp;IF(AND(BT1779=0,N(V1779)&lt;=0,N(Q1779)&lt;=0),"Menge pro Gebinde fehlt (Ist = 1 Gebinde); ","")&amp;BO1779)</f>
        <v/>
      </c>
      <c r="BH1779" s="55"/>
      <c r="BI1779" s="55"/>
      <c r="BJ1779" s="62"/>
      <c r="BK1779" s="57" t="n">
        <f aca="false">N('Neue Artikel'!$D$40)</f>
        <v>0</v>
      </c>
      <c r="BL1779" s="57" t="n">
        <v>0</v>
      </c>
      <c r="BM1779" s="56" t="n">
        <v>0</v>
      </c>
      <c r="BN1779" s="57" t="n">
        <f aca="false">N('Neue Artikel'!$C$40)/Parameter!$B$18</f>
        <v>0</v>
      </c>
      <c r="BO1779" s="55"/>
      <c r="BP1779" s="60" t="n">
        <v>1</v>
      </c>
      <c r="BQ1779" s="60" t="n">
        <v>1779</v>
      </c>
      <c r="BR1779" s="55" t="str">
        <f aca="false">IF(U1779&lt;&gt;"",UPPER(TRIM(U1779)),IF(BU1779=1,UPPER(VLOOKUP(T1779,Parameter!$I$27:$K$29,2,0)),IF(P1779="","LOSE",P1779)))</f>
        <v>LOSE</v>
      </c>
      <c r="BS1779" s="57" t="n">
        <f aca="false">IF(BR1779="LOSE",1,IF(N(V1779)&gt;0,V1779,IF(BU1779=1,MAX(1,N(VLOOKUP(T1779,Parameter!$I$27:$K$29,3,0)),H1779,N(N1779)),IF(N(Q1779)&gt;0,Q1779,MAX(1,H1779)))))</f>
        <v>1</v>
      </c>
      <c r="BT1779" s="60" t="n">
        <f aca="false">IF(BR1779="LOSE",1,0)</f>
        <v>1</v>
      </c>
      <c r="BU1779" s="60" t="n">
        <f aca="false">IF(AND(U1779="",OR(P1779="",P1779="LOSE"),T1779&lt;&gt;"",N(S1779)&lt;=0,ISNUMBER(MATCH(T1779,Parameter!$I$27:$I$29,0))),1,0)</f>
        <v>0</v>
      </c>
      <c r="BV1779" s="55" t="str">
        <f aca="false">IF(AND(Parameter!$B$19="Ja",E1779&lt;&gt;"",ISNUMBER(MATCH(E1779,Parameter!$I$35:$I$52,0))),VLOOKUP(E1779,Parameter!$I$35:$J$52,2,0),IFERROR(VLOOKUP(D1779,Parameter!$A$35:$C$64,2,0),"Nein"))</f>
        <v>2+3</v>
      </c>
      <c r="BW1779" s="59" t="n">
        <f aca="false">IF(BT1779=0,0,IF(N(S1779)&gt;0,S1779,IFERROR(VLOOKUP(D1779,Parameter!$A$35:$C$64,3,0)+0,0)))</f>
        <v>0.15</v>
      </c>
      <c r="BX1779" s="55" t="str">
        <f aca="false">IF(AA1779&lt;&gt;"",AA1779,Z1779)</f>
        <v/>
      </c>
      <c r="BY1779" s="55" t="str">
        <f aca="false">IF(BX1779=1,"L1",IF(OR(BX1779=2,BX1779=3),"L23",IF(BX1779="Aussen","Aussen","-")))</f>
        <v>-</v>
      </c>
      <c r="BZ1779" s="66" t="n">
        <f aca="false">IF(N(AB1779)&gt;0,AB1779,0)</f>
        <v>0</v>
      </c>
      <c r="CA1779" s="60" t="n">
        <f aca="false">IF(ISNUMBER(AE1779),1,0)</f>
        <v>0</v>
      </c>
      <c r="CB1779" s="57" t="n">
        <f aca="false">N(AE1779)</f>
        <v>0</v>
      </c>
      <c r="CC1779" s="57" t="n">
        <f aca="false">N(M1779)+N(N1779)</f>
        <v>0</v>
      </c>
      <c r="CD1779" s="57" t="n">
        <f aca="false">ROUNDUP(H1779/BS1779,0)</f>
        <v>0</v>
      </c>
      <c r="CE1779" s="57" t="n">
        <f aca="false">ROUNDUP(CB1779/BS1779,0)</f>
        <v>0</v>
      </c>
      <c r="CF1779" s="60" t="n">
        <f aca="false">IF(BT1779=1,0,IFERROR(VLOOKUP(BR1779,'Gebinde-Kategorie'!$A$5:$M$45,5,0)+0,0))</f>
        <v>0</v>
      </c>
      <c r="CG1779" s="60" t="n">
        <f aca="false">IFERROR(IF(OR(BX1779=1,BX1779=2,BX1779=3),N(INDEX(Parameter!$I$5:$I$7,BX1779)),0),0)</f>
        <v>0</v>
      </c>
      <c r="CH1779" s="59" t="n">
        <f aca="false">IF(AND(Parameter!$B$21="Ja",ISNUMBER(W1779),N(X1779)&gt;0),IFERROR(N(INDEX(Parameter!$L$5:$L$7,W1779))*INDEX(Parameter!$E$5:$E$7,W1779)*X1779/SUMIFS($X$7:$X$1843,$W$7:$W$1843,W1779),0),0)</f>
        <v>0</v>
      </c>
    </row>
    <row r="1780" customFormat="false" ht="15" hidden="false" customHeight="false" outlineLevel="0" collapsed="false">
      <c r="A1780" s="55" t="str">
        <f aca="false">IF('Neue Artikel'!$A$41="","",'Neue Artikel'!$A$41&amp;"")</f>
        <v/>
      </c>
      <c r="B1780" s="55" t="str">
        <f aca="false">'Neue Artikel'!$B$41&amp;""</f>
        <v/>
      </c>
      <c r="C1780" s="55"/>
      <c r="D1780" s="55" t="s">
        <v>3015</v>
      </c>
      <c r="E1780" s="55"/>
      <c r="F1780" s="55"/>
      <c r="G1780" s="56" t="n">
        <f aca="false">N('Neue Artikel'!$G$41)</f>
        <v>0</v>
      </c>
      <c r="H1780" s="57" t="n">
        <f aca="false">MAX(0,IF(AND(Parameter!$B$21="Ja",ISNUMBER(Y1780)),Y1780,IF(Parameter!$B$20="Jahresanfang 2025 + Export",BL1780+BK1780,BK1780)))</f>
        <v>0</v>
      </c>
      <c r="I1780" s="57" t="n">
        <f aca="false">H1780*G1780</f>
        <v>0</v>
      </c>
      <c r="J1780" s="57" t="n">
        <f aca="false">BN1780*Parameter!$B$18</f>
        <v>0</v>
      </c>
      <c r="K1780" s="58"/>
      <c r="L1780" s="59"/>
      <c r="M1780" s="57" t="n">
        <f aca="false">N('Neue Artikel'!$E$41)</f>
        <v>0</v>
      </c>
      <c r="N1780" s="57" t="n">
        <f aca="false">N('Neue Artikel'!$F$41)</f>
        <v>0</v>
      </c>
      <c r="O1780" s="60"/>
      <c r="P1780" s="55" t="str">
        <f aca="false">IF('Neue Artikel'!$H$41="","LOSE",UPPER(TRIM('Neue Artikel'!$H$41)))</f>
        <v>LOSE</v>
      </c>
      <c r="Q1780" s="57" t="n">
        <f aca="false">N('Neue Artikel'!$I$41)</f>
        <v>0</v>
      </c>
      <c r="R1780" s="60" t="n">
        <f aca="false">IF(BT1780=1,0,IFERROR(VLOOKUP(BR1780,'Gebinde-Kategorie'!$A$5:$M$45,13,0)+0,0))</f>
        <v>0</v>
      </c>
      <c r="S1780" s="61"/>
      <c r="T1780" s="62"/>
      <c r="U1780" s="62"/>
      <c r="V1780" s="62"/>
      <c r="W1780" s="55"/>
      <c r="X1780" s="57"/>
      <c r="Y1780" s="57"/>
      <c r="Z1780" s="55" t="str">
        <f aca="false">IF(A1780="","",IF(AND(Parameter!$B$21="Ja",ISNUMBER(W1780)),W1780,IF(BV1780="2+3",IF(ISNUMBER(SEARCH("grosser Artikel",BO1780)),2,IFERROR(VLOOKUP(BR1780,Parameter!$F$35:$G$64,2,0),2)),IF(OR(BV1780="Nein",BV1780=""),"-",BV1780))))</f>
        <v/>
      </c>
      <c r="AA1780" s="55" t="str">
        <f aca="false">IF('Neue Artikel'!$J$41="","",'Neue Artikel'!$J$41)</f>
        <v/>
      </c>
      <c r="AB1780" s="63"/>
      <c r="AC1780" s="57" t="n">
        <f aca="false">AR1780</f>
        <v>0</v>
      </c>
      <c r="AD1780" s="57" t="n">
        <f aca="false">MAX(AR1780,H1780)</f>
        <v>0</v>
      </c>
      <c r="AE1780" s="64"/>
      <c r="AF1780" s="57" t="n">
        <f aca="false">IF(LEFT(Cockpit!$C$5,1)="A",H1780,IF(CA1780=1,CB1780,IF(LEFT(Cockpit!$C$5,1)="B",AJ1780,MAX(AJ1780,H1780))))</f>
        <v>0</v>
      </c>
      <c r="AG1780" s="57" t="n">
        <f aca="false">IF(BT1780=1,0,ROUNDUP(AF1780/BS1780,0))</f>
        <v>0</v>
      </c>
      <c r="AH1780" s="59" t="n">
        <f aca="false">IF(CH1780&gt;0,CH1780*MAX(1,AF1780/X1780),IF(BT1780=1,IF(AF1780&lt;=0,0,BW1780*MAX(1,IF(H1780&gt;0,AF1780/H1780,1))),IF(R1780&gt;0,AG1780/R1780,0))/MAX(0.1,N(Parameter!$M$21)))</f>
        <v>0</v>
      </c>
      <c r="AI1780" s="57" t="n">
        <f aca="false">AF1780*G1780</f>
        <v>0</v>
      </c>
      <c r="AJ1780" s="57" t="n">
        <f aca="false">ROUNDUP(MAX(J1780/IF(BZ1780&gt;0,BZ1780,MAX(0.1,N(Cockpit!$C$6))),CC1780)/BS1780,0)*BS1780</f>
        <v>0</v>
      </c>
      <c r="AK1780" s="58" t="n">
        <f aca="false">IF(AH1780&gt;0,J1780/AH1780,-1)</f>
        <v>-1</v>
      </c>
      <c r="AL1780" s="58" t="str">
        <f aca="false">IF(AND(OR(BY1780="L1",BY1780="L23"),AH1780&gt;0),SUMIFS($AH$7:$AH$1843,$BY$7:$BY$1843,BY1780,$AK$7:$AK$1843,"&gt;"&amp;AK1780)+SUMIFS($AH$7:$AH$1843,$BY$7:$BY$1843,BY1780,$AK$7:$AK$1843,AK1780,$BQ$7:$BQ$1843,"&lt;="&amp;BQ1780),"")</f>
        <v/>
      </c>
      <c r="AM1780" s="65" t="n">
        <f aca="false">IF(AL1780="",0,MAX(0,MIN(1,(IF(BY1780="L1",Parameter!$E$5,Parameter!$E$6+Parameter!$E$7)-(AL1780-AH1780))/AH1780)))</f>
        <v>0</v>
      </c>
      <c r="AN1780" s="57" t="n">
        <f aca="false">IF(LEFT(Cockpit!$I$5,1)="A",H1780,IF(CA1780=1,CB1780,IF(LEFT(Cockpit!$I$5,1)="B",AR1780,MAX(AR1780,H1780))))</f>
        <v>0</v>
      </c>
      <c r="AO1780" s="57" t="n">
        <f aca="false">IF(BT1780=1,0,ROUNDUP(AN1780/BS1780,0))</f>
        <v>0</v>
      </c>
      <c r="AP1780" s="59" t="n">
        <f aca="false">IF(CH1780&gt;0,CH1780*MAX(1,AN1780/X1780),IF(BT1780=1,IF(AN1780&lt;=0,0,BW1780*MAX(1,IF(H1780&gt;0,AN1780/H1780,1))),IF(R1780&gt;0,AO1780/R1780,0))/MAX(0.1,N(Parameter!$M$21)))</f>
        <v>0</v>
      </c>
      <c r="AQ1780" s="57" t="n">
        <f aca="false">AN1780*G1780</f>
        <v>0</v>
      </c>
      <c r="AR1780" s="57" t="n">
        <f aca="false">ROUNDUP(MAX(J1780/IF(BZ1780&gt;0,BZ1780,MAX(0.1,N(Cockpit!$I$6))),CC1780)/BS1780,0)*BS1780</f>
        <v>0</v>
      </c>
      <c r="AS1780" s="58" t="n">
        <f aca="false">IF(AP1780&gt;0,J1780/AP1780,-1)</f>
        <v>-1</v>
      </c>
      <c r="AT1780" s="58" t="str">
        <f aca="false">IF(AND(OR(BY1780="L1",BY1780="L23"),AP1780&gt;0),SUMIFS($AP$7:$AP$1843,$BY$7:$BY$1843,BY1780,$AS$7:$AS$1843,"&gt;"&amp;AS1780)+SUMIFS($AP$7:$AP$1843,$BY$7:$BY$1843,BY1780,$AS$7:$AS$1843,AS1780,$BQ$7:$BQ$1843,"&lt;="&amp;BQ1780),"")</f>
        <v/>
      </c>
      <c r="AU1780" s="65" t="n">
        <f aca="false">IF(AT1780="",0,MAX(0,MIN(1,(IF(BY1780="L1",Parameter!$E$5,Parameter!$E$6+Parameter!$E$7)-(AT1780-AP1780))/AP1780)))</f>
        <v>0</v>
      </c>
      <c r="AV1780" s="57" t="n">
        <f aca="false">IF(LEFT(Cockpit!$O$5,1)="A",H1780,IF(CA1780=1,CB1780,IF(LEFT(Cockpit!$O$5,1)="B",AZ1780,MAX(AZ1780,H1780))))</f>
        <v>0</v>
      </c>
      <c r="AW1780" s="57" t="n">
        <f aca="false">IF(BT1780=1,0,ROUNDUP(AV1780/BS1780,0))</f>
        <v>0</v>
      </c>
      <c r="AX1780" s="59" t="n">
        <f aca="false">IF(CH1780&gt;0,CH1780*MAX(1,AV1780/X1780),IF(BT1780=1,IF(AV1780&lt;=0,0,BW1780*MAX(1,IF(H1780&gt;0,AV1780/H1780,1))),IF(R1780&gt;0,AW1780/R1780,0))/MAX(0.1,N(Parameter!$M$21)))</f>
        <v>0</v>
      </c>
      <c r="AY1780" s="57" t="n">
        <f aca="false">AV1780*G1780</f>
        <v>0</v>
      </c>
      <c r="AZ1780" s="57" t="n">
        <f aca="false">ROUNDUP(MAX(J1780/IF(BZ1780&gt;0,BZ1780,MAX(0.1,N(Cockpit!$O$6))),CC1780)/BS1780,0)*BS1780</f>
        <v>0</v>
      </c>
      <c r="BA1780" s="58" t="n">
        <f aca="false">IF(AX1780&gt;0,J1780/AX1780,-1)</f>
        <v>-1</v>
      </c>
      <c r="BB1780" s="58" t="str">
        <f aca="false">IF(AND(OR(BY1780="L1",BY1780="L23"),AX1780&gt;0),SUMIFS($AX$7:$AX$1843,$BY$7:$BY$1843,BY1780,$BA$7:$BA$1843,"&gt;"&amp;BA1780)+SUMIFS($AX$7:$AX$1843,$BY$7:$BY$1843,BY1780,$BA$7:$BA$1843,BA1780,$BQ$7:$BQ$1843,"&lt;="&amp;BQ1780),"")</f>
        <v/>
      </c>
      <c r="BC1780" s="65" t="n">
        <f aca="false">IF(BB1780="",0,MAX(0,MIN(1,(IF(BY1780="L1",Parameter!$E$5,Parameter!$E$6+Parameter!$E$7)-(BB1780-AX1780))/AX1780)))</f>
        <v>0</v>
      </c>
      <c r="BD1780" s="55" t="str">
        <f aca="false">IF(AH1780&lt;=0,"",IF(BY1780="Aussen","Aussenlager",IF(BY1780="-","Nicht im Lift",IF(AM1780&gt;=1,"Lift",IF(AM1780&lt;=0,"Aussenlager","teilweise")))))</f>
        <v/>
      </c>
      <c r="BE1780" s="55" t="str">
        <f aca="false">IF(AP1780&lt;=0,"",IF(BY1780="Aussen","Aussenlager",IF(BY1780="-","Nicht im Lift",IF(AU1780&gt;=1,"Lift",IF(AU1780&lt;=0,"Aussenlager","teilweise")))))</f>
        <v/>
      </c>
      <c r="BF1780" s="55" t="str">
        <f aca="false">IF(AX1780&lt;=0,"",IF(BY1780="Aussen","Aussenlager",IF(BY1780="-","Nicht im Lift",IF(BC1780&gt;=1,"Lift",IF(BC1780&lt;=0,"Aussenlager","teilweise")))))</f>
        <v/>
      </c>
      <c r="BG1780" s="55" t="str">
        <f aca="false">IF(A1780="","",IF(BP1780=1,"Neu; ","")&amp;IF(AND(BP1780=0,BK1780&lt;0),"negativer Bestand (Export "&amp;BK1780&amp;"); ","")&amp;IF(J1780&lt;=0,"Kein Verbrauch; ","")&amp;IF(CH1780&gt;0,"Lift "&amp;W1780&amp;" lt. Liftbericht (Fach "&amp;X1780&amp;" Stk); ",IF(BU1780=1,"Gebinde geschätzt ("&amp;T1780&amp;"); ",IF(BT1780=1,"Lose – Tablare geschätzt; ","")))&amp;IF(H1780&gt;AR1780,"Überbestand "&amp;ROUND(H1780-AR1780,0)&amp;" Stk / CHF "&amp;ROUND((H1780-AR1780)*G1780,0)&amp;"; ","")&amp;IF(AND(CA1780=1,CB1780&lt;CC1780),"MAX &lt; MB+LG; ","")&amp;IF(AND(CG1780&gt;0,CF1780*10&gt;CG1780),"zu hoch für Tablar; ","")&amp;IF(AND(BP1780=0,OR(CA1780=1,AA1780&lt;&gt;"",U1780&lt;&gt;"",V1780&lt;&gt;"",AB1780&lt;&gt;"")),"manuell übersteuert; ","")&amp;IF(AND(BT1780=0,R1780=0),"Gebinde unbekannt / Stellmass fehlt; ","")&amp;IF(AND(BT1780=0,N(V1780)&lt;=0,N(Q1780)&lt;=0),"Menge pro Gebinde fehlt (Ist = 1 Gebinde); ","")&amp;BO1780)</f>
        <v/>
      </c>
      <c r="BH1780" s="55"/>
      <c r="BI1780" s="55"/>
      <c r="BJ1780" s="62"/>
      <c r="BK1780" s="57" t="n">
        <f aca="false">N('Neue Artikel'!$D$41)</f>
        <v>0</v>
      </c>
      <c r="BL1780" s="57" t="n">
        <v>0</v>
      </c>
      <c r="BM1780" s="56" t="n">
        <v>0</v>
      </c>
      <c r="BN1780" s="57" t="n">
        <f aca="false">N('Neue Artikel'!$C$41)/Parameter!$B$18</f>
        <v>0</v>
      </c>
      <c r="BO1780" s="55"/>
      <c r="BP1780" s="60" t="n">
        <v>1</v>
      </c>
      <c r="BQ1780" s="60" t="n">
        <v>1780</v>
      </c>
      <c r="BR1780" s="55" t="str">
        <f aca="false">IF(U1780&lt;&gt;"",UPPER(TRIM(U1780)),IF(BU1780=1,UPPER(VLOOKUP(T1780,Parameter!$I$27:$K$29,2,0)),IF(P1780="","LOSE",P1780)))</f>
        <v>LOSE</v>
      </c>
      <c r="BS1780" s="57" t="n">
        <f aca="false">IF(BR1780="LOSE",1,IF(N(V1780)&gt;0,V1780,IF(BU1780=1,MAX(1,N(VLOOKUP(T1780,Parameter!$I$27:$K$29,3,0)),H1780,N(N1780)),IF(N(Q1780)&gt;0,Q1780,MAX(1,H1780)))))</f>
        <v>1</v>
      </c>
      <c r="BT1780" s="60" t="n">
        <f aca="false">IF(BR1780="LOSE",1,0)</f>
        <v>1</v>
      </c>
      <c r="BU1780" s="60" t="n">
        <f aca="false">IF(AND(U1780="",OR(P1780="",P1780="LOSE"),T1780&lt;&gt;"",N(S1780)&lt;=0,ISNUMBER(MATCH(T1780,Parameter!$I$27:$I$29,0))),1,0)</f>
        <v>0</v>
      </c>
      <c r="BV1780" s="55" t="str">
        <f aca="false">IF(AND(Parameter!$B$19="Ja",E1780&lt;&gt;"",ISNUMBER(MATCH(E1780,Parameter!$I$35:$I$52,0))),VLOOKUP(E1780,Parameter!$I$35:$J$52,2,0),IFERROR(VLOOKUP(D1780,Parameter!$A$35:$C$64,2,0),"Nein"))</f>
        <v>2+3</v>
      </c>
      <c r="BW1780" s="59" t="n">
        <f aca="false">IF(BT1780=0,0,IF(N(S1780)&gt;0,S1780,IFERROR(VLOOKUP(D1780,Parameter!$A$35:$C$64,3,0)+0,0)))</f>
        <v>0.15</v>
      </c>
      <c r="BX1780" s="55" t="str">
        <f aca="false">IF(AA1780&lt;&gt;"",AA1780,Z1780)</f>
        <v/>
      </c>
      <c r="BY1780" s="55" t="str">
        <f aca="false">IF(BX1780=1,"L1",IF(OR(BX1780=2,BX1780=3),"L23",IF(BX1780="Aussen","Aussen","-")))</f>
        <v>-</v>
      </c>
      <c r="BZ1780" s="66" t="n">
        <f aca="false">IF(N(AB1780)&gt;0,AB1780,0)</f>
        <v>0</v>
      </c>
      <c r="CA1780" s="60" t="n">
        <f aca="false">IF(ISNUMBER(AE1780),1,0)</f>
        <v>0</v>
      </c>
      <c r="CB1780" s="57" t="n">
        <f aca="false">N(AE1780)</f>
        <v>0</v>
      </c>
      <c r="CC1780" s="57" t="n">
        <f aca="false">N(M1780)+N(N1780)</f>
        <v>0</v>
      </c>
      <c r="CD1780" s="57" t="n">
        <f aca="false">ROUNDUP(H1780/BS1780,0)</f>
        <v>0</v>
      </c>
      <c r="CE1780" s="57" t="n">
        <f aca="false">ROUNDUP(CB1780/BS1780,0)</f>
        <v>0</v>
      </c>
      <c r="CF1780" s="60" t="n">
        <f aca="false">IF(BT1780=1,0,IFERROR(VLOOKUP(BR1780,'Gebinde-Kategorie'!$A$5:$M$45,5,0)+0,0))</f>
        <v>0</v>
      </c>
      <c r="CG1780" s="60" t="n">
        <f aca="false">IFERROR(IF(OR(BX1780=1,BX1780=2,BX1780=3),N(INDEX(Parameter!$I$5:$I$7,BX1780)),0),0)</f>
        <v>0</v>
      </c>
      <c r="CH1780" s="59" t="n">
        <f aca="false">IF(AND(Parameter!$B$21="Ja",ISNUMBER(W1780),N(X1780)&gt;0),IFERROR(N(INDEX(Parameter!$L$5:$L$7,W1780))*INDEX(Parameter!$E$5:$E$7,W1780)*X1780/SUMIFS($X$7:$X$1843,$W$7:$W$1843,W1780),0),0)</f>
        <v>0</v>
      </c>
    </row>
    <row r="1781" customFormat="false" ht="15" hidden="false" customHeight="false" outlineLevel="0" collapsed="false">
      <c r="A1781" s="55" t="str">
        <f aca="false">IF('Neue Artikel'!$A$42="","",'Neue Artikel'!$A$42&amp;"")</f>
        <v/>
      </c>
      <c r="B1781" s="55" t="str">
        <f aca="false">'Neue Artikel'!$B$42&amp;""</f>
        <v/>
      </c>
      <c r="C1781" s="55"/>
      <c r="D1781" s="55" t="s">
        <v>3015</v>
      </c>
      <c r="E1781" s="55"/>
      <c r="F1781" s="55"/>
      <c r="G1781" s="56" t="n">
        <f aca="false">N('Neue Artikel'!$G$42)</f>
        <v>0</v>
      </c>
      <c r="H1781" s="57" t="n">
        <f aca="false">MAX(0,IF(AND(Parameter!$B$21="Ja",ISNUMBER(Y1781)),Y1781,IF(Parameter!$B$20="Jahresanfang 2025 + Export",BL1781+BK1781,BK1781)))</f>
        <v>0</v>
      </c>
      <c r="I1781" s="57" t="n">
        <f aca="false">H1781*G1781</f>
        <v>0</v>
      </c>
      <c r="J1781" s="57" t="n">
        <f aca="false">BN1781*Parameter!$B$18</f>
        <v>0</v>
      </c>
      <c r="K1781" s="58"/>
      <c r="L1781" s="59"/>
      <c r="M1781" s="57" t="n">
        <f aca="false">N('Neue Artikel'!$E$42)</f>
        <v>0</v>
      </c>
      <c r="N1781" s="57" t="n">
        <f aca="false">N('Neue Artikel'!$F$42)</f>
        <v>0</v>
      </c>
      <c r="O1781" s="60"/>
      <c r="P1781" s="55" t="str">
        <f aca="false">IF('Neue Artikel'!$H$42="","LOSE",UPPER(TRIM('Neue Artikel'!$H$42)))</f>
        <v>LOSE</v>
      </c>
      <c r="Q1781" s="57" t="n">
        <f aca="false">N('Neue Artikel'!$I$42)</f>
        <v>0</v>
      </c>
      <c r="R1781" s="60" t="n">
        <f aca="false">IF(BT1781=1,0,IFERROR(VLOOKUP(BR1781,'Gebinde-Kategorie'!$A$5:$M$45,13,0)+0,0))</f>
        <v>0</v>
      </c>
      <c r="S1781" s="61"/>
      <c r="T1781" s="62"/>
      <c r="U1781" s="62"/>
      <c r="V1781" s="62"/>
      <c r="W1781" s="55"/>
      <c r="X1781" s="57"/>
      <c r="Y1781" s="57"/>
      <c r="Z1781" s="55" t="str">
        <f aca="false">IF(A1781="","",IF(AND(Parameter!$B$21="Ja",ISNUMBER(W1781)),W1781,IF(BV1781="2+3",IF(ISNUMBER(SEARCH("grosser Artikel",BO1781)),2,IFERROR(VLOOKUP(BR1781,Parameter!$F$35:$G$64,2,0),2)),IF(OR(BV1781="Nein",BV1781=""),"-",BV1781))))</f>
        <v/>
      </c>
      <c r="AA1781" s="55" t="str">
        <f aca="false">IF('Neue Artikel'!$J$42="","",'Neue Artikel'!$J$42)</f>
        <v/>
      </c>
      <c r="AB1781" s="63"/>
      <c r="AC1781" s="57" t="n">
        <f aca="false">AR1781</f>
        <v>0</v>
      </c>
      <c r="AD1781" s="57" t="n">
        <f aca="false">MAX(AR1781,H1781)</f>
        <v>0</v>
      </c>
      <c r="AE1781" s="64"/>
      <c r="AF1781" s="57" t="n">
        <f aca="false">IF(LEFT(Cockpit!$C$5,1)="A",H1781,IF(CA1781=1,CB1781,IF(LEFT(Cockpit!$C$5,1)="B",AJ1781,MAX(AJ1781,H1781))))</f>
        <v>0</v>
      </c>
      <c r="AG1781" s="57" t="n">
        <f aca="false">IF(BT1781=1,0,ROUNDUP(AF1781/BS1781,0))</f>
        <v>0</v>
      </c>
      <c r="AH1781" s="59" t="n">
        <f aca="false">IF(CH1781&gt;0,CH1781*MAX(1,AF1781/X1781),IF(BT1781=1,IF(AF1781&lt;=0,0,BW1781*MAX(1,IF(H1781&gt;0,AF1781/H1781,1))),IF(R1781&gt;0,AG1781/R1781,0))/MAX(0.1,N(Parameter!$M$21)))</f>
        <v>0</v>
      </c>
      <c r="AI1781" s="57" t="n">
        <f aca="false">AF1781*G1781</f>
        <v>0</v>
      </c>
      <c r="AJ1781" s="57" t="n">
        <f aca="false">ROUNDUP(MAX(J1781/IF(BZ1781&gt;0,BZ1781,MAX(0.1,N(Cockpit!$C$6))),CC1781)/BS1781,0)*BS1781</f>
        <v>0</v>
      </c>
      <c r="AK1781" s="58" t="n">
        <f aca="false">IF(AH1781&gt;0,J1781/AH1781,-1)</f>
        <v>-1</v>
      </c>
      <c r="AL1781" s="58" t="str">
        <f aca="false">IF(AND(OR(BY1781="L1",BY1781="L23"),AH1781&gt;0),SUMIFS($AH$7:$AH$1843,$BY$7:$BY$1843,BY1781,$AK$7:$AK$1843,"&gt;"&amp;AK1781)+SUMIFS($AH$7:$AH$1843,$BY$7:$BY$1843,BY1781,$AK$7:$AK$1843,AK1781,$BQ$7:$BQ$1843,"&lt;="&amp;BQ1781),"")</f>
        <v/>
      </c>
      <c r="AM1781" s="65" t="n">
        <f aca="false">IF(AL1781="",0,MAX(0,MIN(1,(IF(BY1781="L1",Parameter!$E$5,Parameter!$E$6+Parameter!$E$7)-(AL1781-AH1781))/AH1781)))</f>
        <v>0</v>
      </c>
      <c r="AN1781" s="57" t="n">
        <f aca="false">IF(LEFT(Cockpit!$I$5,1)="A",H1781,IF(CA1781=1,CB1781,IF(LEFT(Cockpit!$I$5,1)="B",AR1781,MAX(AR1781,H1781))))</f>
        <v>0</v>
      </c>
      <c r="AO1781" s="57" t="n">
        <f aca="false">IF(BT1781=1,0,ROUNDUP(AN1781/BS1781,0))</f>
        <v>0</v>
      </c>
      <c r="AP1781" s="59" t="n">
        <f aca="false">IF(CH1781&gt;0,CH1781*MAX(1,AN1781/X1781),IF(BT1781=1,IF(AN1781&lt;=0,0,BW1781*MAX(1,IF(H1781&gt;0,AN1781/H1781,1))),IF(R1781&gt;0,AO1781/R1781,0))/MAX(0.1,N(Parameter!$M$21)))</f>
        <v>0</v>
      </c>
      <c r="AQ1781" s="57" t="n">
        <f aca="false">AN1781*G1781</f>
        <v>0</v>
      </c>
      <c r="AR1781" s="57" t="n">
        <f aca="false">ROUNDUP(MAX(J1781/IF(BZ1781&gt;0,BZ1781,MAX(0.1,N(Cockpit!$I$6))),CC1781)/BS1781,0)*BS1781</f>
        <v>0</v>
      </c>
      <c r="AS1781" s="58" t="n">
        <f aca="false">IF(AP1781&gt;0,J1781/AP1781,-1)</f>
        <v>-1</v>
      </c>
      <c r="AT1781" s="58" t="str">
        <f aca="false">IF(AND(OR(BY1781="L1",BY1781="L23"),AP1781&gt;0),SUMIFS($AP$7:$AP$1843,$BY$7:$BY$1843,BY1781,$AS$7:$AS$1843,"&gt;"&amp;AS1781)+SUMIFS($AP$7:$AP$1843,$BY$7:$BY$1843,BY1781,$AS$7:$AS$1843,AS1781,$BQ$7:$BQ$1843,"&lt;="&amp;BQ1781),"")</f>
        <v/>
      </c>
      <c r="AU1781" s="65" t="n">
        <f aca="false">IF(AT1781="",0,MAX(0,MIN(1,(IF(BY1781="L1",Parameter!$E$5,Parameter!$E$6+Parameter!$E$7)-(AT1781-AP1781))/AP1781)))</f>
        <v>0</v>
      </c>
      <c r="AV1781" s="57" t="n">
        <f aca="false">IF(LEFT(Cockpit!$O$5,1)="A",H1781,IF(CA1781=1,CB1781,IF(LEFT(Cockpit!$O$5,1)="B",AZ1781,MAX(AZ1781,H1781))))</f>
        <v>0</v>
      </c>
      <c r="AW1781" s="57" t="n">
        <f aca="false">IF(BT1781=1,0,ROUNDUP(AV1781/BS1781,0))</f>
        <v>0</v>
      </c>
      <c r="AX1781" s="59" t="n">
        <f aca="false">IF(CH1781&gt;0,CH1781*MAX(1,AV1781/X1781),IF(BT1781=1,IF(AV1781&lt;=0,0,BW1781*MAX(1,IF(H1781&gt;0,AV1781/H1781,1))),IF(R1781&gt;0,AW1781/R1781,0))/MAX(0.1,N(Parameter!$M$21)))</f>
        <v>0</v>
      </c>
      <c r="AY1781" s="57" t="n">
        <f aca="false">AV1781*G1781</f>
        <v>0</v>
      </c>
      <c r="AZ1781" s="57" t="n">
        <f aca="false">ROUNDUP(MAX(J1781/IF(BZ1781&gt;0,BZ1781,MAX(0.1,N(Cockpit!$O$6))),CC1781)/BS1781,0)*BS1781</f>
        <v>0</v>
      </c>
      <c r="BA1781" s="58" t="n">
        <f aca="false">IF(AX1781&gt;0,J1781/AX1781,-1)</f>
        <v>-1</v>
      </c>
      <c r="BB1781" s="58" t="str">
        <f aca="false">IF(AND(OR(BY1781="L1",BY1781="L23"),AX1781&gt;0),SUMIFS($AX$7:$AX$1843,$BY$7:$BY$1843,BY1781,$BA$7:$BA$1843,"&gt;"&amp;BA1781)+SUMIFS($AX$7:$AX$1843,$BY$7:$BY$1843,BY1781,$BA$7:$BA$1843,BA1781,$BQ$7:$BQ$1843,"&lt;="&amp;BQ1781),"")</f>
        <v/>
      </c>
      <c r="BC1781" s="65" t="n">
        <f aca="false">IF(BB1781="",0,MAX(0,MIN(1,(IF(BY1781="L1",Parameter!$E$5,Parameter!$E$6+Parameter!$E$7)-(BB1781-AX1781))/AX1781)))</f>
        <v>0</v>
      </c>
      <c r="BD1781" s="55" t="str">
        <f aca="false">IF(AH1781&lt;=0,"",IF(BY1781="Aussen","Aussenlager",IF(BY1781="-","Nicht im Lift",IF(AM1781&gt;=1,"Lift",IF(AM1781&lt;=0,"Aussenlager","teilweise")))))</f>
        <v/>
      </c>
      <c r="BE1781" s="55" t="str">
        <f aca="false">IF(AP1781&lt;=0,"",IF(BY1781="Aussen","Aussenlager",IF(BY1781="-","Nicht im Lift",IF(AU1781&gt;=1,"Lift",IF(AU1781&lt;=0,"Aussenlager","teilweise")))))</f>
        <v/>
      </c>
      <c r="BF1781" s="55" t="str">
        <f aca="false">IF(AX1781&lt;=0,"",IF(BY1781="Aussen","Aussenlager",IF(BY1781="-","Nicht im Lift",IF(BC1781&gt;=1,"Lift",IF(BC1781&lt;=0,"Aussenlager","teilweise")))))</f>
        <v/>
      </c>
      <c r="BG1781" s="55" t="str">
        <f aca="false">IF(A1781="","",IF(BP1781=1,"Neu; ","")&amp;IF(AND(BP1781=0,BK1781&lt;0),"negativer Bestand (Export "&amp;BK1781&amp;"); ","")&amp;IF(J1781&lt;=0,"Kein Verbrauch; ","")&amp;IF(CH1781&gt;0,"Lift "&amp;W1781&amp;" lt. Liftbericht (Fach "&amp;X1781&amp;" Stk); ",IF(BU1781=1,"Gebinde geschätzt ("&amp;T1781&amp;"); ",IF(BT1781=1,"Lose – Tablare geschätzt; ","")))&amp;IF(H1781&gt;AR1781,"Überbestand "&amp;ROUND(H1781-AR1781,0)&amp;" Stk / CHF "&amp;ROUND((H1781-AR1781)*G1781,0)&amp;"; ","")&amp;IF(AND(CA1781=1,CB1781&lt;CC1781),"MAX &lt; MB+LG; ","")&amp;IF(AND(CG1781&gt;0,CF1781*10&gt;CG1781),"zu hoch für Tablar; ","")&amp;IF(AND(BP1781=0,OR(CA1781=1,AA1781&lt;&gt;"",U1781&lt;&gt;"",V1781&lt;&gt;"",AB1781&lt;&gt;"")),"manuell übersteuert; ","")&amp;IF(AND(BT1781=0,R1781=0),"Gebinde unbekannt / Stellmass fehlt; ","")&amp;IF(AND(BT1781=0,N(V1781)&lt;=0,N(Q1781)&lt;=0),"Menge pro Gebinde fehlt (Ist = 1 Gebinde); ","")&amp;BO1781)</f>
        <v/>
      </c>
      <c r="BH1781" s="55"/>
      <c r="BI1781" s="55"/>
      <c r="BJ1781" s="62"/>
      <c r="BK1781" s="57" t="n">
        <f aca="false">N('Neue Artikel'!$D$42)</f>
        <v>0</v>
      </c>
      <c r="BL1781" s="57" t="n">
        <v>0</v>
      </c>
      <c r="BM1781" s="56" t="n">
        <v>0</v>
      </c>
      <c r="BN1781" s="57" t="n">
        <f aca="false">N('Neue Artikel'!$C$42)/Parameter!$B$18</f>
        <v>0</v>
      </c>
      <c r="BO1781" s="55"/>
      <c r="BP1781" s="60" t="n">
        <v>1</v>
      </c>
      <c r="BQ1781" s="60" t="n">
        <v>1781</v>
      </c>
      <c r="BR1781" s="55" t="str">
        <f aca="false">IF(U1781&lt;&gt;"",UPPER(TRIM(U1781)),IF(BU1781=1,UPPER(VLOOKUP(T1781,Parameter!$I$27:$K$29,2,0)),IF(P1781="","LOSE",P1781)))</f>
        <v>LOSE</v>
      </c>
      <c r="BS1781" s="57" t="n">
        <f aca="false">IF(BR1781="LOSE",1,IF(N(V1781)&gt;0,V1781,IF(BU1781=1,MAX(1,N(VLOOKUP(T1781,Parameter!$I$27:$K$29,3,0)),H1781,N(N1781)),IF(N(Q1781)&gt;0,Q1781,MAX(1,H1781)))))</f>
        <v>1</v>
      </c>
      <c r="BT1781" s="60" t="n">
        <f aca="false">IF(BR1781="LOSE",1,0)</f>
        <v>1</v>
      </c>
      <c r="BU1781" s="60" t="n">
        <f aca="false">IF(AND(U1781="",OR(P1781="",P1781="LOSE"),T1781&lt;&gt;"",N(S1781)&lt;=0,ISNUMBER(MATCH(T1781,Parameter!$I$27:$I$29,0))),1,0)</f>
        <v>0</v>
      </c>
      <c r="BV1781" s="55" t="str">
        <f aca="false">IF(AND(Parameter!$B$19="Ja",E1781&lt;&gt;"",ISNUMBER(MATCH(E1781,Parameter!$I$35:$I$52,0))),VLOOKUP(E1781,Parameter!$I$35:$J$52,2,0),IFERROR(VLOOKUP(D1781,Parameter!$A$35:$C$64,2,0),"Nein"))</f>
        <v>2+3</v>
      </c>
      <c r="BW1781" s="59" t="n">
        <f aca="false">IF(BT1781=0,0,IF(N(S1781)&gt;0,S1781,IFERROR(VLOOKUP(D1781,Parameter!$A$35:$C$64,3,0)+0,0)))</f>
        <v>0.15</v>
      </c>
      <c r="BX1781" s="55" t="str">
        <f aca="false">IF(AA1781&lt;&gt;"",AA1781,Z1781)</f>
        <v/>
      </c>
      <c r="BY1781" s="55" t="str">
        <f aca="false">IF(BX1781=1,"L1",IF(OR(BX1781=2,BX1781=3),"L23",IF(BX1781="Aussen","Aussen","-")))</f>
        <v>-</v>
      </c>
      <c r="BZ1781" s="66" t="n">
        <f aca="false">IF(N(AB1781)&gt;0,AB1781,0)</f>
        <v>0</v>
      </c>
      <c r="CA1781" s="60" t="n">
        <f aca="false">IF(ISNUMBER(AE1781),1,0)</f>
        <v>0</v>
      </c>
      <c r="CB1781" s="57" t="n">
        <f aca="false">N(AE1781)</f>
        <v>0</v>
      </c>
      <c r="CC1781" s="57" t="n">
        <f aca="false">N(M1781)+N(N1781)</f>
        <v>0</v>
      </c>
      <c r="CD1781" s="57" t="n">
        <f aca="false">ROUNDUP(H1781/BS1781,0)</f>
        <v>0</v>
      </c>
      <c r="CE1781" s="57" t="n">
        <f aca="false">ROUNDUP(CB1781/BS1781,0)</f>
        <v>0</v>
      </c>
      <c r="CF1781" s="60" t="n">
        <f aca="false">IF(BT1781=1,0,IFERROR(VLOOKUP(BR1781,'Gebinde-Kategorie'!$A$5:$M$45,5,0)+0,0))</f>
        <v>0</v>
      </c>
      <c r="CG1781" s="60" t="n">
        <f aca="false">IFERROR(IF(OR(BX1781=1,BX1781=2,BX1781=3),N(INDEX(Parameter!$I$5:$I$7,BX1781)),0),0)</f>
        <v>0</v>
      </c>
      <c r="CH1781" s="59" t="n">
        <f aca="false">IF(AND(Parameter!$B$21="Ja",ISNUMBER(W1781),N(X1781)&gt;0),IFERROR(N(INDEX(Parameter!$L$5:$L$7,W1781))*INDEX(Parameter!$E$5:$E$7,W1781)*X1781/SUMIFS($X$7:$X$1843,$W$7:$W$1843,W1781),0),0)</f>
        <v>0</v>
      </c>
    </row>
    <row r="1782" customFormat="false" ht="15" hidden="false" customHeight="false" outlineLevel="0" collapsed="false">
      <c r="A1782" s="55" t="str">
        <f aca="false">IF('Neue Artikel'!$A$43="","",'Neue Artikel'!$A$43&amp;"")</f>
        <v/>
      </c>
      <c r="B1782" s="55" t="str">
        <f aca="false">'Neue Artikel'!$B$43&amp;""</f>
        <v/>
      </c>
      <c r="C1782" s="55"/>
      <c r="D1782" s="55" t="s">
        <v>3015</v>
      </c>
      <c r="E1782" s="55"/>
      <c r="F1782" s="55"/>
      <c r="G1782" s="56" t="n">
        <f aca="false">N('Neue Artikel'!$G$43)</f>
        <v>0</v>
      </c>
      <c r="H1782" s="57" t="n">
        <f aca="false">MAX(0,IF(AND(Parameter!$B$21="Ja",ISNUMBER(Y1782)),Y1782,IF(Parameter!$B$20="Jahresanfang 2025 + Export",BL1782+BK1782,BK1782)))</f>
        <v>0</v>
      </c>
      <c r="I1782" s="57" t="n">
        <f aca="false">H1782*G1782</f>
        <v>0</v>
      </c>
      <c r="J1782" s="57" t="n">
        <f aca="false">BN1782*Parameter!$B$18</f>
        <v>0</v>
      </c>
      <c r="K1782" s="58"/>
      <c r="L1782" s="59"/>
      <c r="M1782" s="57" t="n">
        <f aca="false">N('Neue Artikel'!$E$43)</f>
        <v>0</v>
      </c>
      <c r="N1782" s="57" t="n">
        <f aca="false">N('Neue Artikel'!$F$43)</f>
        <v>0</v>
      </c>
      <c r="O1782" s="60"/>
      <c r="P1782" s="55" t="str">
        <f aca="false">IF('Neue Artikel'!$H$43="","LOSE",UPPER(TRIM('Neue Artikel'!$H$43)))</f>
        <v>LOSE</v>
      </c>
      <c r="Q1782" s="57" t="n">
        <f aca="false">N('Neue Artikel'!$I$43)</f>
        <v>0</v>
      </c>
      <c r="R1782" s="60" t="n">
        <f aca="false">IF(BT1782=1,0,IFERROR(VLOOKUP(BR1782,'Gebinde-Kategorie'!$A$5:$M$45,13,0)+0,0))</f>
        <v>0</v>
      </c>
      <c r="S1782" s="61"/>
      <c r="T1782" s="62"/>
      <c r="U1782" s="62"/>
      <c r="V1782" s="62"/>
      <c r="W1782" s="55"/>
      <c r="X1782" s="57"/>
      <c r="Y1782" s="57"/>
      <c r="Z1782" s="55" t="str">
        <f aca="false">IF(A1782="","",IF(AND(Parameter!$B$21="Ja",ISNUMBER(W1782)),W1782,IF(BV1782="2+3",IF(ISNUMBER(SEARCH("grosser Artikel",BO1782)),2,IFERROR(VLOOKUP(BR1782,Parameter!$F$35:$G$64,2,0),2)),IF(OR(BV1782="Nein",BV1782=""),"-",BV1782))))</f>
        <v/>
      </c>
      <c r="AA1782" s="55" t="str">
        <f aca="false">IF('Neue Artikel'!$J$43="","",'Neue Artikel'!$J$43)</f>
        <v/>
      </c>
      <c r="AB1782" s="63"/>
      <c r="AC1782" s="57" t="n">
        <f aca="false">AR1782</f>
        <v>0</v>
      </c>
      <c r="AD1782" s="57" t="n">
        <f aca="false">MAX(AR1782,H1782)</f>
        <v>0</v>
      </c>
      <c r="AE1782" s="64"/>
      <c r="AF1782" s="57" t="n">
        <f aca="false">IF(LEFT(Cockpit!$C$5,1)="A",H1782,IF(CA1782=1,CB1782,IF(LEFT(Cockpit!$C$5,1)="B",AJ1782,MAX(AJ1782,H1782))))</f>
        <v>0</v>
      </c>
      <c r="AG1782" s="57" t="n">
        <f aca="false">IF(BT1782=1,0,ROUNDUP(AF1782/BS1782,0))</f>
        <v>0</v>
      </c>
      <c r="AH1782" s="59" t="n">
        <f aca="false">IF(CH1782&gt;0,CH1782*MAX(1,AF1782/X1782),IF(BT1782=1,IF(AF1782&lt;=0,0,BW1782*MAX(1,IF(H1782&gt;0,AF1782/H1782,1))),IF(R1782&gt;0,AG1782/R1782,0))/MAX(0.1,N(Parameter!$M$21)))</f>
        <v>0</v>
      </c>
      <c r="AI1782" s="57" t="n">
        <f aca="false">AF1782*G1782</f>
        <v>0</v>
      </c>
      <c r="AJ1782" s="57" t="n">
        <f aca="false">ROUNDUP(MAX(J1782/IF(BZ1782&gt;0,BZ1782,MAX(0.1,N(Cockpit!$C$6))),CC1782)/BS1782,0)*BS1782</f>
        <v>0</v>
      </c>
      <c r="AK1782" s="58" t="n">
        <f aca="false">IF(AH1782&gt;0,J1782/AH1782,-1)</f>
        <v>-1</v>
      </c>
      <c r="AL1782" s="58" t="str">
        <f aca="false">IF(AND(OR(BY1782="L1",BY1782="L23"),AH1782&gt;0),SUMIFS($AH$7:$AH$1843,$BY$7:$BY$1843,BY1782,$AK$7:$AK$1843,"&gt;"&amp;AK1782)+SUMIFS($AH$7:$AH$1843,$BY$7:$BY$1843,BY1782,$AK$7:$AK$1843,AK1782,$BQ$7:$BQ$1843,"&lt;="&amp;BQ1782),"")</f>
        <v/>
      </c>
      <c r="AM1782" s="65" t="n">
        <f aca="false">IF(AL1782="",0,MAX(0,MIN(1,(IF(BY1782="L1",Parameter!$E$5,Parameter!$E$6+Parameter!$E$7)-(AL1782-AH1782))/AH1782)))</f>
        <v>0</v>
      </c>
      <c r="AN1782" s="57" t="n">
        <f aca="false">IF(LEFT(Cockpit!$I$5,1)="A",H1782,IF(CA1782=1,CB1782,IF(LEFT(Cockpit!$I$5,1)="B",AR1782,MAX(AR1782,H1782))))</f>
        <v>0</v>
      </c>
      <c r="AO1782" s="57" t="n">
        <f aca="false">IF(BT1782=1,0,ROUNDUP(AN1782/BS1782,0))</f>
        <v>0</v>
      </c>
      <c r="AP1782" s="59" t="n">
        <f aca="false">IF(CH1782&gt;0,CH1782*MAX(1,AN1782/X1782),IF(BT1782=1,IF(AN1782&lt;=0,0,BW1782*MAX(1,IF(H1782&gt;0,AN1782/H1782,1))),IF(R1782&gt;0,AO1782/R1782,0))/MAX(0.1,N(Parameter!$M$21)))</f>
        <v>0</v>
      </c>
      <c r="AQ1782" s="57" t="n">
        <f aca="false">AN1782*G1782</f>
        <v>0</v>
      </c>
      <c r="AR1782" s="57" t="n">
        <f aca="false">ROUNDUP(MAX(J1782/IF(BZ1782&gt;0,BZ1782,MAX(0.1,N(Cockpit!$I$6))),CC1782)/BS1782,0)*BS1782</f>
        <v>0</v>
      </c>
      <c r="AS1782" s="58" t="n">
        <f aca="false">IF(AP1782&gt;0,J1782/AP1782,-1)</f>
        <v>-1</v>
      </c>
      <c r="AT1782" s="58" t="str">
        <f aca="false">IF(AND(OR(BY1782="L1",BY1782="L23"),AP1782&gt;0),SUMIFS($AP$7:$AP$1843,$BY$7:$BY$1843,BY1782,$AS$7:$AS$1843,"&gt;"&amp;AS1782)+SUMIFS($AP$7:$AP$1843,$BY$7:$BY$1843,BY1782,$AS$7:$AS$1843,AS1782,$BQ$7:$BQ$1843,"&lt;="&amp;BQ1782),"")</f>
        <v/>
      </c>
      <c r="AU1782" s="65" t="n">
        <f aca="false">IF(AT1782="",0,MAX(0,MIN(1,(IF(BY1782="L1",Parameter!$E$5,Parameter!$E$6+Parameter!$E$7)-(AT1782-AP1782))/AP1782)))</f>
        <v>0</v>
      </c>
      <c r="AV1782" s="57" t="n">
        <f aca="false">IF(LEFT(Cockpit!$O$5,1)="A",H1782,IF(CA1782=1,CB1782,IF(LEFT(Cockpit!$O$5,1)="B",AZ1782,MAX(AZ1782,H1782))))</f>
        <v>0</v>
      </c>
      <c r="AW1782" s="57" t="n">
        <f aca="false">IF(BT1782=1,0,ROUNDUP(AV1782/BS1782,0))</f>
        <v>0</v>
      </c>
      <c r="AX1782" s="59" t="n">
        <f aca="false">IF(CH1782&gt;0,CH1782*MAX(1,AV1782/X1782),IF(BT1782=1,IF(AV1782&lt;=0,0,BW1782*MAX(1,IF(H1782&gt;0,AV1782/H1782,1))),IF(R1782&gt;0,AW1782/R1782,0))/MAX(0.1,N(Parameter!$M$21)))</f>
        <v>0</v>
      </c>
      <c r="AY1782" s="57" t="n">
        <f aca="false">AV1782*G1782</f>
        <v>0</v>
      </c>
      <c r="AZ1782" s="57" t="n">
        <f aca="false">ROUNDUP(MAX(J1782/IF(BZ1782&gt;0,BZ1782,MAX(0.1,N(Cockpit!$O$6))),CC1782)/BS1782,0)*BS1782</f>
        <v>0</v>
      </c>
      <c r="BA1782" s="58" t="n">
        <f aca="false">IF(AX1782&gt;0,J1782/AX1782,-1)</f>
        <v>-1</v>
      </c>
      <c r="BB1782" s="58" t="str">
        <f aca="false">IF(AND(OR(BY1782="L1",BY1782="L23"),AX1782&gt;0),SUMIFS($AX$7:$AX$1843,$BY$7:$BY$1843,BY1782,$BA$7:$BA$1843,"&gt;"&amp;BA1782)+SUMIFS($AX$7:$AX$1843,$BY$7:$BY$1843,BY1782,$BA$7:$BA$1843,BA1782,$BQ$7:$BQ$1843,"&lt;="&amp;BQ1782),"")</f>
        <v/>
      </c>
      <c r="BC1782" s="65" t="n">
        <f aca="false">IF(BB1782="",0,MAX(0,MIN(1,(IF(BY1782="L1",Parameter!$E$5,Parameter!$E$6+Parameter!$E$7)-(BB1782-AX1782))/AX1782)))</f>
        <v>0</v>
      </c>
      <c r="BD1782" s="55" t="str">
        <f aca="false">IF(AH1782&lt;=0,"",IF(BY1782="Aussen","Aussenlager",IF(BY1782="-","Nicht im Lift",IF(AM1782&gt;=1,"Lift",IF(AM1782&lt;=0,"Aussenlager","teilweise")))))</f>
        <v/>
      </c>
      <c r="BE1782" s="55" t="str">
        <f aca="false">IF(AP1782&lt;=0,"",IF(BY1782="Aussen","Aussenlager",IF(BY1782="-","Nicht im Lift",IF(AU1782&gt;=1,"Lift",IF(AU1782&lt;=0,"Aussenlager","teilweise")))))</f>
        <v/>
      </c>
      <c r="BF1782" s="55" t="str">
        <f aca="false">IF(AX1782&lt;=0,"",IF(BY1782="Aussen","Aussenlager",IF(BY1782="-","Nicht im Lift",IF(BC1782&gt;=1,"Lift",IF(BC1782&lt;=0,"Aussenlager","teilweise")))))</f>
        <v/>
      </c>
      <c r="BG1782" s="55" t="str">
        <f aca="false">IF(A1782="","",IF(BP1782=1,"Neu; ","")&amp;IF(AND(BP1782=0,BK1782&lt;0),"negativer Bestand (Export "&amp;BK1782&amp;"); ","")&amp;IF(J1782&lt;=0,"Kein Verbrauch; ","")&amp;IF(CH1782&gt;0,"Lift "&amp;W1782&amp;" lt. Liftbericht (Fach "&amp;X1782&amp;" Stk); ",IF(BU1782=1,"Gebinde geschätzt ("&amp;T1782&amp;"); ",IF(BT1782=1,"Lose – Tablare geschätzt; ","")))&amp;IF(H1782&gt;AR1782,"Überbestand "&amp;ROUND(H1782-AR1782,0)&amp;" Stk / CHF "&amp;ROUND((H1782-AR1782)*G1782,0)&amp;"; ","")&amp;IF(AND(CA1782=1,CB1782&lt;CC1782),"MAX &lt; MB+LG; ","")&amp;IF(AND(CG1782&gt;0,CF1782*10&gt;CG1782),"zu hoch für Tablar; ","")&amp;IF(AND(BP1782=0,OR(CA1782=1,AA1782&lt;&gt;"",U1782&lt;&gt;"",V1782&lt;&gt;"",AB1782&lt;&gt;"")),"manuell übersteuert; ","")&amp;IF(AND(BT1782=0,R1782=0),"Gebinde unbekannt / Stellmass fehlt; ","")&amp;IF(AND(BT1782=0,N(V1782)&lt;=0,N(Q1782)&lt;=0),"Menge pro Gebinde fehlt (Ist = 1 Gebinde); ","")&amp;BO1782)</f>
        <v/>
      </c>
      <c r="BH1782" s="55"/>
      <c r="BI1782" s="55"/>
      <c r="BJ1782" s="62"/>
      <c r="BK1782" s="57" t="n">
        <f aca="false">N('Neue Artikel'!$D$43)</f>
        <v>0</v>
      </c>
      <c r="BL1782" s="57" t="n">
        <v>0</v>
      </c>
      <c r="BM1782" s="56" t="n">
        <v>0</v>
      </c>
      <c r="BN1782" s="57" t="n">
        <f aca="false">N('Neue Artikel'!$C$43)/Parameter!$B$18</f>
        <v>0</v>
      </c>
      <c r="BO1782" s="55"/>
      <c r="BP1782" s="60" t="n">
        <v>1</v>
      </c>
      <c r="BQ1782" s="60" t="n">
        <v>1782</v>
      </c>
      <c r="BR1782" s="55" t="str">
        <f aca="false">IF(U1782&lt;&gt;"",UPPER(TRIM(U1782)),IF(BU1782=1,UPPER(VLOOKUP(T1782,Parameter!$I$27:$K$29,2,0)),IF(P1782="","LOSE",P1782)))</f>
        <v>LOSE</v>
      </c>
      <c r="BS1782" s="57" t="n">
        <f aca="false">IF(BR1782="LOSE",1,IF(N(V1782)&gt;0,V1782,IF(BU1782=1,MAX(1,N(VLOOKUP(T1782,Parameter!$I$27:$K$29,3,0)),H1782,N(N1782)),IF(N(Q1782)&gt;0,Q1782,MAX(1,H1782)))))</f>
        <v>1</v>
      </c>
      <c r="BT1782" s="60" t="n">
        <f aca="false">IF(BR1782="LOSE",1,0)</f>
        <v>1</v>
      </c>
      <c r="BU1782" s="60" t="n">
        <f aca="false">IF(AND(U1782="",OR(P1782="",P1782="LOSE"),T1782&lt;&gt;"",N(S1782)&lt;=0,ISNUMBER(MATCH(T1782,Parameter!$I$27:$I$29,0))),1,0)</f>
        <v>0</v>
      </c>
      <c r="BV1782" s="55" t="str">
        <f aca="false">IF(AND(Parameter!$B$19="Ja",E1782&lt;&gt;"",ISNUMBER(MATCH(E1782,Parameter!$I$35:$I$52,0))),VLOOKUP(E1782,Parameter!$I$35:$J$52,2,0),IFERROR(VLOOKUP(D1782,Parameter!$A$35:$C$64,2,0),"Nein"))</f>
        <v>2+3</v>
      </c>
      <c r="BW1782" s="59" t="n">
        <f aca="false">IF(BT1782=0,0,IF(N(S1782)&gt;0,S1782,IFERROR(VLOOKUP(D1782,Parameter!$A$35:$C$64,3,0)+0,0)))</f>
        <v>0.15</v>
      </c>
      <c r="BX1782" s="55" t="str">
        <f aca="false">IF(AA1782&lt;&gt;"",AA1782,Z1782)</f>
        <v/>
      </c>
      <c r="BY1782" s="55" t="str">
        <f aca="false">IF(BX1782=1,"L1",IF(OR(BX1782=2,BX1782=3),"L23",IF(BX1782="Aussen","Aussen","-")))</f>
        <v>-</v>
      </c>
      <c r="BZ1782" s="66" t="n">
        <f aca="false">IF(N(AB1782)&gt;0,AB1782,0)</f>
        <v>0</v>
      </c>
      <c r="CA1782" s="60" t="n">
        <f aca="false">IF(ISNUMBER(AE1782),1,0)</f>
        <v>0</v>
      </c>
      <c r="CB1782" s="57" t="n">
        <f aca="false">N(AE1782)</f>
        <v>0</v>
      </c>
      <c r="CC1782" s="57" t="n">
        <f aca="false">N(M1782)+N(N1782)</f>
        <v>0</v>
      </c>
      <c r="CD1782" s="57" t="n">
        <f aca="false">ROUNDUP(H1782/BS1782,0)</f>
        <v>0</v>
      </c>
      <c r="CE1782" s="57" t="n">
        <f aca="false">ROUNDUP(CB1782/BS1782,0)</f>
        <v>0</v>
      </c>
      <c r="CF1782" s="60" t="n">
        <f aca="false">IF(BT1782=1,0,IFERROR(VLOOKUP(BR1782,'Gebinde-Kategorie'!$A$5:$M$45,5,0)+0,0))</f>
        <v>0</v>
      </c>
      <c r="CG1782" s="60" t="n">
        <f aca="false">IFERROR(IF(OR(BX1782=1,BX1782=2,BX1782=3),N(INDEX(Parameter!$I$5:$I$7,BX1782)),0),0)</f>
        <v>0</v>
      </c>
      <c r="CH1782" s="59" t="n">
        <f aca="false">IF(AND(Parameter!$B$21="Ja",ISNUMBER(W1782),N(X1782)&gt;0),IFERROR(N(INDEX(Parameter!$L$5:$L$7,W1782))*INDEX(Parameter!$E$5:$E$7,W1782)*X1782/SUMIFS($X$7:$X$1843,$W$7:$W$1843,W1782),0),0)</f>
        <v>0</v>
      </c>
    </row>
    <row r="1783" customFormat="false" ht="15" hidden="false" customHeight="false" outlineLevel="0" collapsed="false">
      <c r="A1783" s="55" t="str">
        <f aca="false">IF('Neue Artikel'!$A$44="","",'Neue Artikel'!$A$44&amp;"")</f>
        <v/>
      </c>
      <c r="B1783" s="55" t="str">
        <f aca="false">'Neue Artikel'!$B$44&amp;""</f>
        <v/>
      </c>
      <c r="C1783" s="55"/>
      <c r="D1783" s="55" t="s">
        <v>3015</v>
      </c>
      <c r="E1783" s="55"/>
      <c r="F1783" s="55"/>
      <c r="G1783" s="56" t="n">
        <f aca="false">N('Neue Artikel'!$G$44)</f>
        <v>0</v>
      </c>
      <c r="H1783" s="57" t="n">
        <f aca="false">MAX(0,IF(AND(Parameter!$B$21="Ja",ISNUMBER(Y1783)),Y1783,IF(Parameter!$B$20="Jahresanfang 2025 + Export",BL1783+BK1783,BK1783)))</f>
        <v>0</v>
      </c>
      <c r="I1783" s="57" t="n">
        <f aca="false">H1783*G1783</f>
        <v>0</v>
      </c>
      <c r="J1783" s="57" t="n">
        <f aca="false">BN1783*Parameter!$B$18</f>
        <v>0</v>
      </c>
      <c r="K1783" s="58"/>
      <c r="L1783" s="59"/>
      <c r="M1783" s="57" t="n">
        <f aca="false">N('Neue Artikel'!$E$44)</f>
        <v>0</v>
      </c>
      <c r="N1783" s="57" t="n">
        <f aca="false">N('Neue Artikel'!$F$44)</f>
        <v>0</v>
      </c>
      <c r="O1783" s="60"/>
      <c r="P1783" s="55" t="str">
        <f aca="false">IF('Neue Artikel'!$H$44="","LOSE",UPPER(TRIM('Neue Artikel'!$H$44)))</f>
        <v>LOSE</v>
      </c>
      <c r="Q1783" s="57" t="n">
        <f aca="false">N('Neue Artikel'!$I$44)</f>
        <v>0</v>
      </c>
      <c r="R1783" s="60" t="n">
        <f aca="false">IF(BT1783=1,0,IFERROR(VLOOKUP(BR1783,'Gebinde-Kategorie'!$A$5:$M$45,13,0)+0,0))</f>
        <v>0</v>
      </c>
      <c r="S1783" s="61"/>
      <c r="T1783" s="62"/>
      <c r="U1783" s="62"/>
      <c r="V1783" s="62"/>
      <c r="W1783" s="55"/>
      <c r="X1783" s="57"/>
      <c r="Y1783" s="57"/>
      <c r="Z1783" s="55" t="str">
        <f aca="false">IF(A1783="","",IF(AND(Parameter!$B$21="Ja",ISNUMBER(W1783)),W1783,IF(BV1783="2+3",IF(ISNUMBER(SEARCH("grosser Artikel",BO1783)),2,IFERROR(VLOOKUP(BR1783,Parameter!$F$35:$G$64,2,0),2)),IF(OR(BV1783="Nein",BV1783=""),"-",BV1783))))</f>
        <v/>
      </c>
      <c r="AA1783" s="55" t="str">
        <f aca="false">IF('Neue Artikel'!$J$44="","",'Neue Artikel'!$J$44)</f>
        <v/>
      </c>
      <c r="AB1783" s="63"/>
      <c r="AC1783" s="57" t="n">
        <f aca="false">AR1783</f>
        <v>0</v>
      </c>
      <c r="AD1783" s="57" t="n">
        <f aca="false">MAX(AR1783,H1783)</f>
        <v>0</v>
      </c>
      <c r="AE1783" s="64"/>
      <c r="AF1783" s="57" t="n">
        <f aca="false">IF(LEFT(Cockpit!$C$5,1)="A",H1783,IF(CA1783=1,CB1783,IF(LEFT(Cockpit!$C$5,1)="B",AJ1783,MAX(AJ1783,H1783))))</f>
        <v>0</v>
      </c>
      <c r="AG1783" s="57" t="n">
        <f aca="false">IF(BT1783=1,0,ROUNDUP(AF1783/BS1783,0))</f>
        <v>0</v>
      </c>
      <c r="AH1783" s="59" t="n">
        <f aca="false">IF(CH1783&gt;0,CH1783*MAX(1,AF1783/X1783),IF(BT1783=1,IF(AF1783&lt;=0,0,BW1783*MAX(1,IF(H1783&gt;0,AF1783/H1783,1))),IF(R1783&gt;0,AG1783/R1783,0))/MAX(0.1,N(Parameter!$M$21)))</f>
        <v>0</v>
      </c>
      <c r="AI1783" s="57" t="n">
        <f aca="false">AF1783*G1783</f>
        <v>0</v>
      </c>
      <c r="AJ1783" s="57" t="n">
        <f aca="false">ROUNDUP(MAX(J1783/IF(BZ1783&gt;0,BZ1783,MAX(0.1,N(Cockpit!$C$6))),CC1783)/BS1783,0)*BS1783</f>
        <v>0</v>
      </c>
      <c r="AK1783" s="58" t="n">
        <f aca="false">IF(AH1783&gt;0,J1783/AH1783,-1)</f>
        <v>-1</v>
      </c>
      <c r="AL1783" s="58" t="str">
        <f aca="false">IF(AND(OR(BY1783="L1",BY1783="L23"),AH1783&gt;0),SUMIFS($AH$7:$AH$1843,$BY$7:$BY$1843,BY1783,$AK$7:$AK$1843,"&gt;"&amp;AK1783)+SUMIFS($AH$7:$AH$1843,$BY$7:$BY$1843,BY1783,$AK$7:$AK$1843,AK1783,$BQ$7:$BQ$1843,"&lt;="&amp;BQ1783),"")</f>
        <v/>
      </c>
      <c r="AM1783" s="65" t="n">
        <f aca="false">IF(AL1783="",0,MAX(0,MIN(1,(IF(BY1783="L1",Parameter!$E$5,Parameter!$E$6+Parameter!$E$7)-(AL1783-AH1783))/AH1783)))</f>
        <v>0</v>
      </c>
      <c r="AN1783" s="57" t="n">
        <f aca="false">IF(LEFT(Cockpit!$I$5,1)="A",H1783,IF(CA1783=1,CB1783,IF(LEFT(Cockpit!$I$5,1)="B",AR1783,MAX(AR1783,H1783))))</f>
        <v>0</v>
      </c>
      <c r="AO1783" s="57" t="n">
        <f aca="false">IF(BT1783=1,0,ROUNDUP(AN1783/BS1783,0))</f>
        <v>0</v>
      </c>
      <c r="AP1783" s="59" t="n">
        <f aca="false">IF(CH1783&gt;0,CH1783*MAX(1,AN1783/X1783),IF(BT1783=1,IF(AN1783&lt;=0,0,BW1783*MAX(1,IF(H1783&gt;0,AN1783/H1783,1))),IF(R1783&gt;0,AO1783/R1783,0))/MAX(0.1,N(Parameter!$M$21)))</f>
        <v>0</v>
      </c>
      <c r="AQ1783" s="57" t="n">
        <f aca="false">AN1783*G1783</f>
        <v>0</v>
      </c>
      <c r="AR1783" s="57" t="n">
        <f aca="false">ROUNDUP(MAX(J1783/IF(BZ1783&gt;0,BZ1783,MAX(0.1,N(Cockpit!$I$6))),CC1783)/BS1783,0)*BS1783</f>
        <v>0</v>
      </c>
      <c r="AS1783" s="58" t="n">
        <f aca="false">IF(AP1783&gt;0,J1783/AP1783,-1)</f>
        <v>-1</v>
      </c>
      <c r="AT1783" s="58" t="str">
        <f aca="false">IF(AND(OR(BY1783="L1",BY1783="L23"),AP1783&gt;0),SUMIFS($AP$7:$AP$1843,$BY$7:$BY$1843,BY1783,$AS$7:$AS$1843,"&gt;"&amp;AS1783)+SUMIFS($AP$7:$AP$1843,$BY$7:$BY$1843,BY1783,$AS$7:$AS$1843,AS1783,$BQ$7:$BQ$1843,"&lt;="&amp;BQ1783),"")</f>
        <v/>
      </c>
      <c r="AU1783" s="65" t="n">
        <f aca="false">IF(AT1783="",0,MAX(0,MIN(1,(IF(BY1783="L1",Parameter!$E$5,Parameter!$E$6+Parameter!$E$7)-(AT1783-AP1783))/AP1783)))</f>
        <v>0</v>
      </c>
      <c r="AV1783" s="57" t="n">
        <f aca="false">IF(LEFT(Cockpit!$O$5,1)="A",H1783,IF(CA1783=1,CB1783,IF(LEFT(Cockpit!$O$5,1)="B",AZ1783,MAX(AZ1783,H1783))))</f>
        <v>0</v>
      </c>
      <c r="AW1783" s="57" t="n">
        <f aca="false">IF(BT1783=1,0,ROUNDUP(AV1783/BS1783,0))</f>
        <v>0</v>
      </c>
      <c r="AX1783" s="59" t="n">
        <f aca="false">IF(CH1783&gt;0,CH1783*MAX(1,AV1783/X1783),IF(BT1783=1,IF(AV1783&lt;=0,0,BW1783*MAX(1,IF(H1783&gt;0,AV1783/H1783,1))),IF(R1783&gt;0,AW1783/R1783,0))/MAX(0.1,N(Parameter!$M$21)))</f>
        <v>0</v>
      </c>
      <c r="AY1783" s="57" t="n">
        <f aca="false">AV1783*G1783</f>
        <v>0</v>
      </c>
      <c r="AZ1783" s="57" t="n">
        <f aca="false">ROUNDUP(MAX(J1783/IF(BZ1783&gt;0,BZ1783,MAX(0.1,N(Cockpit!$O$6))),CC1783)/BS1783,0)*BS1783</f>
        <v>0</v>
      </c>
      <c r="BA1783" s="58" t="n">
        <f aca="false">IF(AX1783&gt;0,J1783/AX1783,-1)</f>
        <v>-1</v>
      </c>
      <c r="BB1783" s="58" t="str">
        <f aca="false">IF(AND(OR(BY1783="L1",BY1783="L23"),AX1783&gt;0),SUMIFS($AX$7:$AX$1843,$BY$7:$BY$1843,BY1783,$BA$7:$BA$1843,"&gt;"&amp;BA1783)+SUMIFS($AX$7:$AX$1843,$BY$7:$BY$1843,BY1783,$BA$7:$BA$1843,BA1783,$BQ$7:$BQ$1843,"&lt;="&amp;BQ1783),"")</f>
        <v/>
      </c>
      <c r="BC1783" s="65" t="n">
        <f aca="false">IF(BB1783="",0,MAX(0,MIN(1,(IF(BY1783="L1",Parameter!$E$5,Parameter!$E$6+Parameter!$E$7)-(BB1783-AX1783))/AX1783)))</f>
        <v>0</v>
      </c>
      <c r="BD1783" s="55" t="str">
        <f aca="false">IF(AH1783&lt;=0,"",IF(BY1783="Aussen","Aussenlager",IF(BY1783="-","Nicht im Lift",IF(AM1783&gt;=1,"Lift",IF(AM1783&lt;=0,"Aussenlager","teilweise")))))</f>
        <v/>
      </c>
      <c r="BE1783" s="55" t="str">
        <f aca="false">IF(AP1783&lt;=0,"",IF(BY1783="Aussen","Aussenlager",IF(BY1783="-","Nicht im Lift",IF(AU1783&gt;=1,"Lift",IF(AU1783&lt;=0,"Aussenlager","teilweise")))))</f>
        <v/>
      </c>
      <c r="BF1783" s="55" t="str">
        <f aca="false">IF(AX1783&lt;=0,"",IF(BY1783="Aussen","Aussenlager",IF(BY1783="-","Nicht im Lift",IF(BC1783&gt;=1,"Lift",IF(BC1783&lt;=0,"Aussenlager","teilweise")))))</f>
        <v/>
      </c>
      <c r="BG1783" s="55" t="str">
        <f aca="false">IF(A1783="","",IF(BP1783=1,"Neu; ","")&amp;IF(AND(BP1783=0,BK1783&lt;0),"negativer Bestand (Export "&amp;BK1783&amp;"); ","")&amp;IF(J1783&lt;=0,"Kein Verbrauch; ","")&amp;IF(CH1783&gt;0,"Lift "&amp;W1783&amp;" lt. Liftbericht (Fach "&amp;X1783&amp;" Stk); ",IF(BU1783=1,"Gebinde geschätzt ("&amp;T1783&amp;"); ",IF(BT1783=1,"Lose – Tablare geschätzt; ","")))&amp;IF(H1783&gt;AR1783,"Überbestand "&amp;ROUND(H1783-AR1783,0)&amp;" Stk / CHF "&amp;ROUND((H1783-AR1783)*G1783,0)&amp;"; ","")&amp;IF(AND(CA1783=1,CB1783&lt;CC1783),"MAX &lt; MB+LG; ","")&amp;IF(AND(CG1783&gt;0,CF1783*10&gt;CG1783),"zu hoch für Tablar; ","")&amp;IF(AND(BP1783=0,OR(CA1783=1,AA1783&lt;&gt;"",U1783&lt;&gt;"",V1783&lt;&gt;"",AB1783&lt;&gt;"")),"manuell übersteuert; ","")&amp;IF(AND(BT1783=0,R1783=0),"Gebinde unbekannt / Stellmass fehlt; ","")&amp;IF(AND(BT1783=0,N(V1783)&lt;=0,N(Q1783)&lt;=0),"Menge pro Gebinde fehlt (Ist = 1 Gebinde); ","")&amp;BO1783)</f>
        <v/>
      </c>
      <c r="BH1783" s="55"/>
      <c r="BI1783" s="55"/>
      <c r="BJ1783" s="62"/>
      <c r="BK1783" s="57" t="n">
        <f aca="false">N('Neue Artikel'!$D$44)</f>
        <v>0</v>
      </c>
      <c r="BL1783" s="57" t="n">
        <v>0</v>
      </c>
      <c r="BM1783" s="56" t="n">
        <v>0</v>
      </c>
      <c r="BN1783" s="57" t="n">
        <f aca="false">N('Neue Artikel'!$C$44)/Parameter!$B$18</f>
        <v>0</v>
      </c>
      <c r="BO1783" s="55"/>
      <c r="BP1783" s="60" t="n">
        <v>1</v>
      </c>
      <c r="BQ1783" s="60" t="n">
        <v>1783</v>
      </c>
      <c r="BR1783" s="55" t="str">
        <f aca="false">IF(U1783&lt;&gt;"",UPPER(TRIM(U1783)),IF(BU1783=1,UPPER(VLOOKUP(T1783,Parameter!$I$27:$K$29,2,0)),IF(P1783="","LOSE",P1783)))</f>
        <v>LOSE</v>
      </c>
      <c r="BS1783" s="57" t="n">
        <f aca="false">IF(BR1783="LOSE",1,IF(N(V1783)&gt;0,V1783,IF(BU1783=1,MAX(1,N(VLOOKUP(T1783,Parameter!$I$27:$K$29,3,0)),H1783,N(N1783)),IF(N(Q1783)&gt;0,Q1783,MAX(1,H1783)))))</f>
        <v>1</v>
      </c>
      <c r="BT1783" s="60" t="n">
        <f aca="false">IF(BR1783="LOSE",1,0)</f>
        <v>1</v>
      </c>
      <c r="BU1783" s="60" t="n">
        <f aca="false">IF(AND(U1783="",OR(P1783="",P1783="LOSE"),T1783&lt;&gt;"",N(S1783)&lt;=0,ISNUMBER(MATCH(T1783,Parameter!$I$27:$I$29,0))),1,0)</f>
        <v>0</v>
      </c>
      <c r="BV1783" s="55" t="str">
        <f aca="false">IF(AND(Parameter!$B$19="Ja",E1783&lt;&gt;"",ISNUMBER(MATCH(E1783,Parameter!$I$35:$I$52,0))),VLOOKUP(E1783,Parameter!$I$35:$J$52,2,0),IFERROR(VLOOKUP(D1783,Parameter!$A$35:$C$64,2,0),"Nein"))</f>
        <v>2+3</v>
      </c>
      <c r="BW1783" s="59" t="n">
        <f aca="false">IF(BT1783=0,0,IF(N(S1783)&gt;0,S1783,IFERROR(VLOOKUP(D1783,Parameter!$A$35:$C$64,3,0)+0,0)))</f>
        <v>0.15</v>
      </c>
      <c r="BX1783" s="55" t="str">
        <f aca="false">IF(AA1783&lt;&gt;"",AA1783,Z1783)</f>
        <v/>
      </c>
      <c r="BY1783" s="55" t="str">
        <f aca="false">IF(BX1783=1,"L1",IF(OR(BX1783=2,BX1783=3),"L23",IF(BX1783="Aussen","Aussen","-")))</f>
        <v>-</v>
      </c>
      <c r="BZ1783" s="66" t="n">
        <f aca="false">IF(N(AB1783)&gt;0,AB1783,0)</f>
        <v>0</v>
      </c>
      <c r="CA1783" s="60" t="n">
        <f aca="false">IF(ISNUMBER(AE1783),1,0)</f>
        <v>0</v>
      </c>
      <c r="CB1783" s="57" t="n">
        <f aca="false">N(AE1783)</f>
        <v>0</v>
      </c>
      <c r="CC1783" s="57" t="n">
        <f aca="false">N(M1783)+N(N1783)</f>
        <v>0</v>
      </c>
      <c r="CD1783" s="57" t="n">
        <f aca="false">ROUNDUP(H1783/BS1783,0)</f>
        <v>0</v>
      </c>
      <c r="CE1783" s="57" t="n">
        <f aca="false">ROUNDUP(CB1783/BS1783,0)</f>
        <v>0</v>
      </c>
      <c r="CF1783" s="60" t="n">
        <f aca="false">IF(BT1783=1,0,IFERROR(VLOOKUP(BR1783,'Gebinde-Kategorie'!$A$5:$M$45,5,0)+0,0))</f>
        <v>0</v>
      </c>
      <c r="CG1783" s="60" t="n">
        <f aca="false">IFERROR(IF(OR(BX1783=1,BX1783=2,BX1783=3),N(INDEX(Parameter!$I$5:$I$7,BX1783)),0),0)</f>
        <v>0</v>
      </c>
      <c r="CH1783" s="59" t="n">
        <f aca="false">IF(AND(Parameter!$B$21="Ja",ISNUMBER(W1783),N(X1783)&gt;0),IFERROR(N(INDEX(Parameter!$L$5:$L$7,W1783))*INDEX(Parameter!$E$5:$E$7,W1783)*X1783/SUMIFS($X$7:$X$1843,$W$7:$W$1843,W1783),0),0)</f>
        <v>0</v>
      </c>
    </row>
    <row r="1784" customFormat="false" ht="15" hidden="false" customHeight="false" outlineLevel="0" collapsed="false">
      <c r="A1784" s="55" t="str">
        <f aca="false">IF('Neue Artikel'!$A$45="","",'Neue Artikel'!$A$45&amp;"")</f>
        <v/>
      </c>
      <c r="B1784" s="55" t="str">
        <f aca="false">'Neue Artikel'!$B$45&amp;""</f>
        <v/>
      </c>
      <c r="C1784" s="55"/>
      <c r="D1784" s="55" t="s">
        <v>3015</v>
      </c>
      <c r="E1784" s="55"/>
      <c r="F1784" s="55"/>
      <c r="G1784" s="56" t="n">
        <f aca="false">N('Neue Artikel'!$G$45)</f>
        <v>0</v>
      </c>
      <c r="H1784" s="57" t="n">
        <f aca="false">MAX(0,IF(AND(Parameter!$B$21="Ja",ISNUMBER(Y1784)),Y1784,IF(Parameter!$B$20="Jahresanfang 2025 + Export",BL1784+BK1784,BK1784)))</f>
        <v>0</v>
      </c>
      <c r="I1784" s="57" t="n">
        <f aca="false">H1784*G1784</f>
        <v>0</v>
      </c>
      <c r="J1784" s="57" t="n">
        <f aca="false">BN1784*Parameter!$B$18</f>
        <v>0</v>
      </c>
      <c r="K1784" s="58"/>
      <c r="L1784" s="59"/>
      <c r="M1784" s="57" t="n">
        <f aca="false">N('Neue Artikel'!$E$45)</f>
        <v>0</v>
      </c>
      <c r="N1784" s="57" t="n">
        <f aca="false">N('Neue Artikel'!$F$45)</f>
        <v>0</v>
      </c>
      <c r="O1784" s="60"/>
      <c r="P1784" s="55" t="str">
        <f aca="false">IF('Neue Artikel'!$H$45="","LOSE",UPPER(TRIM('Neue Artikel'!$H$45)))</f>
        <v>LOSE</v>
      </c>
      <c r="Q1784" s="57" t="n">
        <f aca="false">N('Neue Artikel'!$I$45)</f>
        <v>0</v>
      </c>
      <c r="R1784" s="60" t="n">
        <f aca="false">IF(BT1784=1,0,IFERROR(VLOOKUP(BR1784,'Gebinde-Kategorie'!$A$5:$M$45,13,0)+0,0))</f>
        <v>0</v>
      </c>
      <c r="S1784" s="61"/>
      <c r="T1784" s="62"/>
      <c r="U1784" s="62"/>
      <c r="V1784" s="62"/>
      <c r="W1784" s="55"/>
      <c r="X1784" s="57"/>
      <c r="Y1784" s="57"/>
      <c r="Z1784" s="55" t="str">
        <f aca="false">IF(A1784="","",IF(AND(Parameter!$B$21="Ja",ISNUMBER(W1784)),W1784,IF(BV1784="2+3",IF(ISNUMBER(SEARCH("grosser Artikel",BO1784)),2,IFERROR(VLOOKUP(BR1784,Parameter!$F$35:$G$64,2,0),2)),IF(OR(BV1784="Nein",BV1784=""),"-",BV1784))))</f>
        <v/>
      </c>
      <c r="AA1784" s="55" t="str">
        <f aca="false">IF('Neue Artikel'!$J$45="","",'Neue Artikel'!$J$45)</f>
        <v/>
      </c>
      <c r="AB1784" s="63"/>
      <c r="AC1784" s="57" t="n">
        <f aca="false">AR1784</f>
        <v>0</v>
      </c>
      <c r="AD1784" s="57" t="n">
        <f aca="false">MAX(AR1784,H1784)</f>
        <v>0</v>
      </c>
      <c r="AE1784" s="64"/>
      <c r="AF1784" s="57" t="n">
        <f aca="false">IF(LEFT(Cockpit!$C$5,1)="A",H1784,IF(CA1784=1,CB1784,IF(LEFT(Cockpit!$C$5,1)="B",AJ1784,MAX(AJ1784,H1784))))</f>
        <v>0</v>
      </c>
      <c r="AG1784" s="57" t="n">
        <f aca="false">IF(BT1784=1,0,ROUNDUP(AF1784/BS1784,0))</f>
        <v>0</v>
      </c>
      <c r="AH1784" s="59" t="n">
        <f aca="false">IF(CH1784&gt;0,CH1784*MAX(1,AF1784/X1784),IF(BT1784=1,IF(AF1784&lt;=0,0,BW1784*MAX(1,IF(H1784&gt;0,AF1784/H1784,1))),IF(R1784&gt;0,AG1784/R1784,0))/MAX(0.1,N(Parameter!$M$21)))</f>
        <v>0</v>
      </c>
      <c r="AI1784" s="57" t="n">
        <f aca="false">AF1784*G1784</f>
        <v>0</v>
      </c>
      <c r="AJ1784" s="57" t="n">
        <f aca="false">ROUNDUP(MAX(J1784/IF(BZ1784&gt;0,BZ1784,MAX(0.1,N(Cockpit!$C$6))),CC1784)/BS1784,0)*BS1784</f>
        <v>0</v>
      </c>
      <c r="AK1784" s="58" t="n">
        <f aca="false">IF(AH1784&gt;0,J1784/AH1784,-1)</f>
        <v>-1</v>
      </c>
      <c r="AL1784" s="58" t="str">
        <f aca="false">IF(AND(OR(BY1784="L1",BY1784="L23"),AH1784&gt;0),SUMIFS($AH$7:$AH$1843,$BY$7:$BY$1843,BY1784,$AK$7:$AK$1843,"&gt;"&amp;AK1784)+SUMIFS($AH$7:$AH$1843,$BY$7:$BY$1843,BY1784,$AK$7:$AK$1843,AK1784,$BQ$7:$BQ$1843,"&lt;="&amp;BQ1784),"")</f>
        <v/>
      </c>
      <c r="AM1784" s="65" t="n">
        <f aca="false">IF(AL1784="",0,MAX(0,MIN(1,(IF(BY1784="L1",Parameter!$E$5,Parameter!$E$6+Parameter!$E$7)-(AL1784-AH1784))/AH1784)))</f>
        <v>0</v>
      </c>
      <c r="AN1784" s="57" t="n">
        <f aca="false">IF(LEFT(Cockpit!$I$5,1)="A",H1784,IF(CA1784=1,CB1784,IF(LEFT(Cockpit!$I$5,1)="B",AR1784,MAX(AR1784,H1784))))</f>
        <v>0</v>
      </c>
      <c r="AO1784" s="57" t="n">
        <f aca="false">IF(BT1784=1,0,ROUNDUP(AN1784/BS1784,0))</f>
        <v>0</v>
      </c>
      <c r="AP1784" s="59" t="n">
        <f aca="false">IF(CH1784&gt;0,CH1784*MAX(1,AN1784/X1784),IF(BT1784=1,IF(AN1784&lt;=0,0,BW1784*MAX(1,IF(H1784&gt;0,AN1784/H1784,1))),IF(R1784&gt;0,AO1784/R1784,0))/MAX(0.1,N(Parameter!$M$21)))</f>
        <v>0</v>
      </c>
      <c r="AQ1784" s="57" t="n">
        <f aca="false">AN1784*G1784</f>
        <v>0</v>
      </c>
      <c r="AR1784" s="57" t="n">
        <f aca="false">ROUNDUP(MAX(J1784/IF(BZ1784&gt;0,BZ1784,MAX(0.1,N(Cockpit!$I$6))),CC1784)/BS1784,0)*BS1784</f>
        <v>0</v>
      </c>
      <c r="AS1784" s="58" t="n">
        <f aca="false">IF(AP1784&gt;0,J1784/AP1784,-1)</f>
        <v>-1</v>
      </c>
      <c r="AT1784" s="58" t="str">
        <f aca="false">IF(AND(OR(BY1784="L1",BY1784="L23"),AP1784&gt;0),SUMIFS($AP$7:$AP$1843,$BY$7:$BY$1843,BY1784,$AS$7:$AS$1843,"&gt;"&amp;AS1784)+SUMIFS($AP$7:$AP$1843,$BY$7:$BY$1843,BY1784,$AS$7:$AS$1843,AS1784,$BQ$7:$BQ$1843,"&lt;="&amp;BQ1784),"")</f>
        <v/>
      </c>
      <c r="AU1784" s="65" t="n">
        <f aca="false">IF(AT1784="",0,MAX(0,MIN(1,(IF(BY1784="L1",Parameter!$E$5,Parameter!$E$6+Parameter!$E$7)-(AT1784-AP1784))/AP1784)))</f>
        <v>0</v>
      </c>
      <c r="AV1784" s="57" t="n">
        <f aca="false">IF(LEFT(Cockpit!$O$5,1)="A",H1784,IF(CA1784=1,CB1784,IF(LEFT(Cockpit!$O$5,1)="B",AZ1784,MAX(AZ1784,H1784))))</f>
        <v>0</v>
      </c>
      <c r="AW1784" s="57" t="n">
        <f aca="false">IF(BT1784=1,0,ROUNDUP(AV1784/BS1784,0))</f>
        <v>0</v>
      </c>
      <c r="AX1784" s="59" t="n">
        <f aca="false">IF(CH1784&gt;0,CH1784*MAX(1,AV1784/X1784),IF(BT1784=1,IF(AV1784&lt;=0,0,BW1784*MAX(1,IF(H1784&gt;0,AV1784/H1784,1))),IF(R1784&gt;0,AW1784/R1784,0))/MAX(0.1,N(Parameter!$M$21)))</f>
        <v>0</v>
      </c>
      <c r="AY1784" s="57" t="n">
        <f aca="false">AV1784*G1784</f>
        <v>0</v>
      </c>
      <c r="AZ1784" s="57" t="n">
        <f aca="false">ROUNDUP(MAX(J1784/IF(BZ1784&gt;0,BZ1784,MAX(0.1,N(Cockpit!$O$6))),CC1784)/BS1784,0)*BS1784</f>
        <v>0</v>
      </c>
      <c r="BA1784" s="58" t="n">
        <f aca="false">IF(AX1784&gt;0,J1784/AX1784,-1)</f>
        <v>-1</v>
      </c>
      <c r="BB1784" s="58" t="str">
        <f aca="false">IF(AND(OR(BY1784="L1",BY1784="L23"),AX1784&gt;0),SUMIFS($AX$7:$AX$1843,$BY$7:$BY$1843,BY1784,$BA$7:$BA$1843,"&gt;"&amp;BA1784)+SUMIFS($AX$7:$AX$1843,$BY$7:$BY$1843,BY1784,$BA$7:$BA$1843,BA1784,$BQ$7:$BQ$1843,"&lt;="&amp;BQ1784),"")</f>
        <v/>
      </c>
      <c r="BC1784" s="65" t="n">
        <f aca="false">IF(BB1784="",0,MAX(0,MIN(1,(IF(BY1784="L1",Parameter!$E$5,Parameter!$E$6+Parameter!$E$7)-(BB1784-AX1784))/AX1784)))</f>
        <v>0</v>
      </c>
      <c r="BD1784" s="55" t="str">
        <f aca="false">IF(AH1784&lt;=0,"",IF(BY1784="Aussen","Aussenlager",IF(BY1784="-","Nicht im Lift",IF(AM1784&gt;=1,"Lift",IF(AM1784&lt;=0,"Aussenlager","teilweise")))))</f>
        <v/>
      </c>
      <c r="BE1784" s="55" t="str">
        <f aca="false">IF(AP1784&lt;=0,"",IF(BY1784="Aussen","Aussenlager",IF(BY1784="-","Nicht im Lift",IF(AU1784&gt;=1,"Lift",IF(AU1784&lt;=0,"Aussenlager","teilweise")))))</f>
        <v/>
      </c>
      <c r="BF1784" s="55" t="str">
        <f aca="false">IF(AX1784&lt;=0,"",IF(BY1784="Aussen","Aussenlager",IF(BY1784="-","Nicht im Lift",IF(BC1784&gt;=1,"Lift",IF(BC1784&lt;=0,"Aussenlager","teilweise")))))</f>
        <v/>
      </c>
      <c r="BG1784" s="55" t="str">
        <f aca="false">IF(A1784="","",IF(BP1784=1,"Neu; ","")&amp;IF(AND(BP1784=0,BK1784&lt;0),"negativer Bestand (Export "&amp;BK1784&amp;"); ","")&amp;IF(J1784&lt;=0,"Kein Verbrauch; ","")&amp;IF(CH1784&gt;0,"Lift "&amp;W1784&amp;" lt. Liftbericht (Fach "&amp;X1784&amp;" Stk); ",IF(BU1784=1,"Gebinde geschätzt ("&amp;T1784&amp;"); ",IF(BT1784=1,"Lose – Tablare geschätzt; ","")))&amp;IF(H1784&gt;AR1784,"Überbestand "&amp;ROUND(H1784-AR1784,0)&amp;" Stk / CHF "&amp;ROUND((H1784-AR1784)*G1784,0)&amp;"; ","")&amp;IF(AND(CA1784=1,CB1784&lt;CC1784),"MAX &lt; MB+LG; ","")&amp;IF(AND(CG1784&gt;0,CF1784*10&gt;CG1784),"zu hoch für Tablar; ","")&amp;IF(AND(BP1784=0,OR(CA1784=1,AA1784&lt;&gt;"",U1784&lt;&gt;"",V1784&lt;&gt;"",AB1784&lt;&gt;"")),"manuell übersteuert; ","")&amp;IF(AND(BT1784=0,R1784=0),"Gebinde unbekannt / Stellmass fehlt; ","")&amp;IF(AND(BT1784=0,N(V1784)&lt;=0,N(Q1784)&lt;=0),"Menge pro Gebinde fehlt (Ist = 1 Gebinde); ","")&amp;BO1784)</f>
        <v/>
      </c>
      <c r="BH1784" s="55"/>
      <c r="BI1784" s="55"/>
      <c r="BJ1784" s="62"/>
      <c r="BK1784" s="57" t="n">
        <f aca="false">N('Neue Artikel'!$D$45)</f>
        <v>0</v>
      </c>
      <c r="BL1784" s="57" t="n">
        <v>0</v>
      </c>
      <c r="BM1784" s="56" t="n">
        <v>0</v>
      </c>
      <c r="BN1784" s="57" t="n">
        <f aca="false">N('Neue Artikel'!$C$45)/Parameter!$B$18</f>
        <v>0</v>
      </c>
      <c r="BO1784" s="55"/>
      <c r="BP1784" s="60" t="n">
        <v>1</v>
      </c>
      <c r="BQ1784" s="60" t="n">
        <v>1784</v>
      </c>
      <c r="BR1784" s="55" t="str">
        <f aca="false">IF(U1784&lt;&gt;"",UPPER(TRIM(U1784)),IF(BU1784=1,UPPER(VLOOKUP(T1784,Parameter!$I$27:$K$29,2,0)),IF(P1784="","LOSE",P1784)))</f>
        <v>LOSE</v>
      </c>
      <c r="BS1784" s="57" t="n">
        <f aca="false">IF(BR1784="LOSE",1,IF(N(V1784)&gt;0,V1784,IF(BU1784=1,MAX(1,N(VLOOKUP(T1784,Parameter!$I$27:$K$29,3,0)),H1784,N(N1784)),IF(N(Q1784)&gt;0,Q1784,MAX(1,H1784)))))</f>
        <v>1</v>
      </c>
      <c r="BT1784" s="60" t="n">
        <f aca="false">IF(BR1784="LOSE",1,0)</f>
        <v>1</v>
      </c>
      <c r="BU1784" s="60" t="n">
        <f aca="false">IF(AND(U1784="",OR(P1784="",P1784="LOSE"),T1784&lt;&gt;"",N(S1784)&lt;=0,ISNUMBER(MATCH(T1784,Parameter!$I$27:$I$29,0))),1,0)</f>
        <v>0</v>
      </c>
      <c r="BV1784" s="55" t="str">
        <f aca="false">IF(AND(Parameter!$B$19="Ja",E1784&lt;&gt;"",ISNUMBER(MATCH(E1784,Parameter!$I$35:$I$52,0))),VLOOKUP(E1784,Parameter!$I$35:$J$52,2,0),IFERROR(VLOOKUP(D1784,Parameter!$A$35:$C$64,2,0),"Nein"))</f>
        <v>2+3</v>
      </c>
      <c r="BW1784" s="59" t="n">
        <f aca="false">IF(BT1784=0,0,IF(N(S1784)&gt;0,S1784,IFERROR(VLOOKUP(D1784,Parameter!$A$35:$C$64,3,0)+0,0)))</f>
        <v>0.15</v>
      </c>
      <c r="BX1784" s="55" t="str">
        <f aca="false">IF(AA1784&lt;&gt;"",AA1784,Z1784)</f>
        <v/>
      </c>
      <c r="BY1784" s="55" t="str">
        <f aca="false">IF(BX1784=1,"L1",IF(OR(BX1784=2,BX1784=3),"L23",IF(BX1784="Aussen","Aussen","-")))</f>
        <v>-</v>
      </c>
      <c r="BZ1784" s="66" t="n">
        <f aca="false">IF(N(AB1784)&gt;0,AB1784,0)</f>
        <v>0</v>
      </c>
      <c r="CA1784" s="60" t="n">
        <f aca="false">IF(ISNUMBER(AE1784),1,0)</f>
        <v>0</v>
      </c>
      <c r="CB1784" s="57" t="n">
        <f aca="false">N(AE1784)</f>
        <v>0</v>
      </c>
      <c r="CC1784" s="57" t="n">
        <f aca="false">N(M1784)+N(N1784)</f>
        <v>0</v>
      </c>
      <c r="CD1784" s="57" t="n">
        <f aca="false">ROUNDUP(H1784/BS1784,0)</f>
        <v>0</v>
      </c>
      <c r="CE1784" s="57" t="n">
        <f aca="false">ROUNDUP(CB1784/BS1784,0)</f>
        <v>0</v>
      </c>
      <c r="CF1784" s="60" t="n">
        <f aca="false">IF(BT1784=1,0,IFERROR(VLOOKUP(BR1784,'Gebinde-Kategorie'!$A$5:$M$45,5,0)+0,0))</f>
        <v>0</v>
      </c>
      <c r="CG1784" s="60" t="n">
        <f aca="false">IFERROR(IF(OR(BX1784=1,BX1784=2,BX1784=3),N(INDEX(Parameter!$I$5:$I$7,BX1784)),0),0)</f>
        <v>0</v>
      </c>
      <c r="CH1784" s="59" t="n">
        <f aca="false">IF(AND(Parameter!$B$21="Ja",ISNUMBER(W1784),N(X1784)&gt;0),IFERROR(N(INDEX(Parameter!$L$5:$L$7,W1784))*INDEX(Parameter!$E$5:$E$7,W1784)*X1784/SUMIFS($X$7:$X$1843,$W$7:$W$1843,W1784),0),0)</f>
        <v>0</v>
      </c>
    </row>
    <row r="1785" customFormat="false" ht="15" hidden="false" customHeight="false" outlineLevel="0" collapsed="false">
      <c r="A1785" s="55" t="str">
        <f aca="false">IF('Neue Artikel'!$A$46="","",'Neue Artikel'!$A$46&amp;"")</f>
        <v/>
      </c>
      <c r="B1785" s="55" t="str">
        <f aca="false">'Neue Artikel'!$B$46&amp;""</f>
        <v/>
      </c>
      <c r="C1785" s="55"/>
      <c r="D1785" s="55" t="s">
        <v>3015</v>
      </c>
      <c r="E1785" s="55"/>
      <c r="F1785" s="55"/>
      <c r="G1785" s="56" t="n">
        <f aca="false">N('Neue Artikel'!$G$46)</f>
        <v>0</v>
      </c>
      <c r="H1785" s="57" t="n">
        <f aca="false">MAX(0,IF(AND(Parameter!$B$21="Ja",ISNUMBER(Y1785)),Y1785,IF(Parameter!$B$20="Jahresanfang 2025 + Export",BL1785+BK1785,BK1785)))</f>
        <v>0</v>
      </c>
      <c r="I1785" s="57" t="n">
        <f aca="false">H1785*G1785</f>
        <v>0</v>
      </c>
      <c r="J1785" s="57" t="n">
        <f aca="false">BN1785*Parameter!$B$18</f>
        <v>0</v>
      </c>
      <c r="K1785" s="58"/>
      <c r="L1785" s="59"/>
      <c r="M1785" s="57" t="n">
        <f aca="false">N('Neue Artikel'!$E$46)</f>
        <v>0</v>
      </c>
      <c r="N1785" s="57" t="n">
        <f aca="false">N('Neue Artikel'!$F$46)</f>
        <v>0</v>
      </c>
      <c r="O1785" s="60"/>
      <c r="P1785" s="55" t="str">
        <f aca="false">IF('Neue Artikel'!$H$46="","LOSE",UPPER(TRIM('Neue Artikel'!$H$46)))</f>
        <v>LOSE</v>
      </c>
      <c r="Q1785" s="57" t="n">
        <f aca="false">N('Neue Artikel'!$I$46)</f>
        <v>0</v>
      </c>
      <c r="R1785" s="60" t="n">
        <f aca="false">IF(BT1785=1,0,IFERROR(VLOOKUP(BR1785,'Gebinde-Kategorie'!$A$5:$M$45,13,0)+0,0))</f>
        <v>0</v>
      </c>
      <c r="S1785" s="61"/>
      <c r="T1785" s="62"/>
      <c r="U1785" s="62"/>
      <c r="V1785" s="62"/>
      <c r="W1785" s="55"/>
      <c r="X1785" s="57"/>
      <c r="Y1785" s="57"/>
      <c r="Z1785" s="55" t="str">
        <f aca="false">IF(A1785="","",IF(AND(Parameter!$B$21="Ja",ISNUMBER(W1785)),W1785,IF(BV1785="2+3",IF(ISNUMBER(SEARCH("grosser Artikel",BO1785)),2,IFERROR(VLOOKUP(BR1785,Parameter!$F$35:$G$64,2,0),2)),IF(OR(BV1785="Nein",BV1785=""),"-",BV1785))))</f>
        <v/>
      </c>
      <c r="AA1785" s="55" t="str">
        <f aca="false">IF('Neue Artikel'!$J$46="","",'Neue Artikel'!$J$46)</f>
        <v/>
      </c>
      <c r="AB1785" s="63"/>
      <c r="AC1785" s="57" t="n">
        <f aca="false">AR1785</f>
        <v>0</v>
      </c>
      <c r="AD1785" s="57" t="n">
        <f aca="false">MAX(AR1785,H1785)</f>
        <v>0</v>
      </c>
      <c r="AE1785" s="64"/>
      <c r="AF1785" s="57" t="n">
        <f aca="false">IF(LEFT(Cockpit!$C$5,1)="A",H1785,IF(CA1785=1,CB1785,IF(LEFT(Cockpit!$C$5,1)="B",AJ1785,MAX(AJ1785,H1785))))</f>
        <v>0</v>
      </c>
      <c r="AG1785" s="57" t="n">
        <f aca="false">IF(BT1785=1,0,ROUNDUP(AF1785/BS1785,0))</f>
        <v>0</v>
      </c>
      <c r="AH1785" s="59" t="n">
        <f aca="false">IF(CH1785&gt;0,CH1785*MAX(1,AF1785/X1785),IF(BT1785=1,IF(AF1785&lt;=0,0,BW1785*MAX(1,IF(H1785&gt;0,AF1785/H1785,1))),IF(R1785&gt;0,AG1785/R1785,0))/MAX(0.1,N(Parameter!$M$21)))</f>
        <v>0</v>
      </c>
      <c r="AI1785" s="57" t="n">
        <f aca="false">AF1785*G1785</f>
        <v>0</v>
      </c>
      <c r="AJ1785" s="57" t="n">
        <f aca="false">ROUNDUP(MAX(J1785/IF(BZ1785&gt;0,BZ1785,MAX(0.1,N(Cockpit!$C$6))),CC1785)/BS1785,0)*BS1785</f>
        <v>0</v>
      </c>
      <c r="AK1785" s="58" t="n">
        <f aca="false">IF(AH1785&gt;0,J1785/AH1785,-1)</f>
        <v>-1</v>
      </c>
      <c r="AL1785" s="58" t="str">
        <f aca="false">IF(AND(OR(BY1785="L1",BY1785="L23"),AH1785&gt;0),SUMIFS($AH$7:$AH$1843,$BY$7:$BY$1843,BY1785,$AK$7:$AK$1843,"&gt;"&amp;AK1785)+SUMIFS($AH$7:$AH$1843,$BY$7:$BY$1843,BY1785,$AK$7:$AK$1843,AK1785,$BQ$7:$BQ$1843,"&lt;="&amp;BQ1785),"")</f>
        <v/>
      </c>
      <c r="AM1785" s="65" t="n">
        <f aca="false">IF(AL1785="",0,MAX(0,MIN(1,(IF(BY1785="L1",Parameter!$E$5,Parameter!$E$6+Parameter!$E$7)-(AL1785-AH1785))/AH1785)))</f>
        <v>0</v>
      </c>
      <c r="AN1785" s="57" t="n">
        <f aca="false">IF(LEFT(Cockpit!$I$5,1)="A",H1785,IF(CA1785=1,CB1785,IF(LEFT(Cockpit!$I$5,1)="B",AR1785,MAX(AR1785,H1785))))</f>
        <v>0</v>
      </c>
      <c r="AO1785" s="57" t="n">
        <f aca="false">IF(BT1785=1,0,ROUNDUP(AN1785/BS1785,0))</f>
        <v>0</v>
      </c>
      <c r="AP1785" s="59" t="n">
        <f aca="false">IF(CH1785&gt;0,CH1785*MAX(1,AN1785/X1785),IF(BT1785=1,IF(AN1785&lt;=0,0,BW1785*MAX(1,IF(H1785&gt;0,AN1785/H1785,1))),IF(R1785&gt;0,AO1785/R1785,0))/MAX(0.1,N(Parameter!$M$21)))</f>
        <v>0</v>
      </c>
      <c r="AQ1785" s="57" t="n">
        <f aca="false">AN1785*G1785</f>
        <v>0</v>
      </c>
      <c r="AR1785" s="57" t="n">
        <f aca="false">ROUNDUP(MAX(J1785/IF(BZ1785&gt;0,BZ1785,MAX(0.1,N(Cockpit!$I$6))),CC1785)/BS1785,0)*BS1785</f>
        <v>0</v>
      </c>
      <c r="AS1785" s="58" t="n">
        <f aca="false">IF(AP1785&gt;0,J1785/AP1785,-1)</f>
        <v>-1</v>
      </c>
      <c r="AT1785" s="58" t="str">
        <f aca="false">IF(AND(OR(BY1785="L1",BY1785="L23"),AP1785&gt;0),SUMIFS($AP$7:$AP$1843,$BY$7:$BY$1843,BY1785,$AS$7:$AS$1843,"&gt;"&amp;AS1785)+SUMIFS($AP$7:$AP$1843,$BY$7:$BY$1843,BY1785,$AS$7:$AS$1843,AS1785,$BQ$7:$BQ$1843,"&lt;="&amp;BQ1785),"")</f>
        <v/>
      </c>
      <c r="AU1785" s="65" t="n">
        <f aca="false">IF(AT1785="",0,MAX(0,MIN(1,(IF(BY1785="L1",Parameter!$E$5,Parameter!$E$6+Parameter!$E$7)-(AT1785-AP1785))/AP1785)))</f>
        <v>0</v>
      </c>
      <c r="AV1785" s="57" t="n">
        <f aca="false">IF(LEFT(Cockpit!$O$5,1)="A",H1785,IF(CA1785=1,CB1785,IF(LEFT(Cockpit!$O$5,1)="B",AZ1785,MAX(AZ1785,H1785))))</f>
        <v>0</v>
      </c>
      <c r="AW1785" s="57" t="n">
        <f aca="false">IF(BT1785=1,0,ROUNDUP(AV1785/BS1785,0))</f>
        <v>0</v>
      </c>
      <c r="AX1785" s="59" t="n">
        <f aca="false">IF(CH1785&gt;0,CH1785*MAX(1,AV1785/X1785),IF(BT1785=1,IF(AV1785&lt;=0,0,BW1785*MAX(1,IF(H1785&gt;0,AV1785/H1785,1))),IF(R1785&gt;0,AW1785/R1785,0))/MAX(0.1,N(Parameter!$M$21)))</f>
        <v>0</v>
      </c>
      <c r="AY1785" s="57" t="n">
        <f aca="false">AV1785*G1785</f>
        <v>0</v>
      </c>
      <c r="AZ1785" s="57" t="n">
        <f aca="false">ROUNDUP(MAX(J1785/IF(BZ1785&gt;0,BZ1785,MAX(0.1,N(Cockpit!$O$6))),CC1785)/BS1785,0)*BS1785</f>
        <v>0</v>
      </c>
      <c r="BA1785" s="58" t="n">
        <f aca="false">IF(AX1785&gt;0,J1785/AX1785,-1)</f>
        <v>-1</v>
      </c>
      <c r="BB1785" s="58" t="str">
        <f aca="false">IF(AND(OR(BY1785="L1",BY1785="L23"),AX1785&gt;0),SUMIFS($AX$7:$AX$1843,$BY$7:$BY$1843,BY1785,$BA$7:$BA$1843,"&gt;"&amp;BA1785)+SUMIFS($AX$7:$AX$1843,$BY$7:$BY$1843,BY1785,$BA$7:$BA$1843,BA1785,$BQ$7:$BQ$1843,"&lt;="&amp;BQ1785),"")</f>
        <v/>
      </c>
      <c r="BC1785" s="65" t="n">
        <f aca="false">IF(BB1785="",0,MAX(0,MIN(1,(IF(BY1785="L1",Parameter!$E$5,Parameter!$E$6+Parameter!$E$7)-(BB1785-AX1785))/AX1785)))</f>
        <v>0</v>
      </c>
      <c r="BD1785" s="55" t="str">
        <f aca="false">IF(AH1785&lt;=0,"",IF(BY1785="Aussen","Aussenlager",IF(BY1785="-","Nicht im Lift",IF(AM1785&gt;=1,"Lift",IF(AM1785&lt;=0,"Aussenlager","teilweise")))))</f>
        <v/>
      </c>
      <c r="BE1785" s="55" t="str">
        <f aca="false">IF(AP1785&lt;=0,"",IF(BY1785="Aussen","Aussenlager",IF(BY1785="-","Nicht im Lift",IF(AU1785&gt;=1,"Lift",IF(AU1785&lt;=0,"Aussenlager","teilweise")))))</f>
        <v/>
      </c>
      <c r="BF1785" s="55" t="str">
        <f aca="false">IF(AX1785&lt;=0,"",IF(BY1785="Aussen","Aussenlager",IF(BY1785="-","Nicht im Lift",IF(BC1785&gt;=1,"Lift",IF(BC1785&lt;=0,"Aussenlager","teilweise")))))</f>
        <v/>
      </c>
      <c r="BG1785" s="55" t="str">
        <f aca="false">IF(A1785="","",IF(BP1785=1,"Neu; ","")&amp;IF(AND(BP1785=0,BK1785&lt;0),"negativer Bestand (Export "&amp;BK1785&amp;"); ","")&amp;IF(J1785&lt;=0,"Kein Verbrauch; ","")&amp;IF(CH1785&gt;0,"Lift "&amp;W1785&amp;" lt. Liftbericht (Fach "&amp;X1785&amp;" Stk); ",IF(BU1785=1,"Gebinde geschätzt ("&amp;T1785&amp;"); ",IF(BT1785=1,"Lose – Tablare geschätzt; ","")))&amp;IF(H1785&gt;AR1785,"Überbestand "&amp;ROUND(H1785-AR1785,0)&amp;" Stk / CHF "&amp;ROUND((H1785-AR1785)*G1785,0)&amp;"; ","")&amp;IF(AND(CA1785=1,CB1785&lt;CC1785),"MAX &lt; MB+LG; ","")&amp;IF(AND(CG1785&gt;0,CF1785*10&gt;CG1785),"zu hoch für Tablar; ","")&amp;IF(AND(BP1785=0,OR(CA1785=1,AA1785&lt;&gt;"",U1785&lt;&gt;"",V1785&lt;&gt;"",AB1785&lt;&gt;"")),"manuell übersteuert; ","")&amp;IF(AND(BT1785=0,R1785=0),"Gebinde unbekannt / Stellmass fehlt; ","")&amp;IF(AND(BT1785=0,N(V1785)&lt;=0,N(Q1785)&lt;=0),"Menge pro Gebinde fehlt (Ist = 1 Gebinde); ","")&amp;BO1785)</f>
        <v/>
      </c>
      <c r="BH1785" s="55"/>
      <c r="BI1785" s="55"/>
      <c r="BJ1785" s="62"/>
      <c r="BK1785" s="57" t="n">
        <f aca="false">N('Neue Artikel'!$D$46)</f>
        <v>0</v>
      </c>
      <c r="BL1785" s="57" t="n">
        <v>0</v>
      </c>
      <c r="BM1785" s="56" t="n">
        <v>0</v>
      </c>
      <c r="BN1785" s="57" t="n">
        <f aca="false">N('Neue Artikel'!$C$46)/Parameter!$B$18</f>
        <v>0</v>
      </c>
      <c r="BO1785" s="55"/>
      <c r="BP1785" s="60" t="n">
        <v>1</v>
      </c>
      <c r="BQ1785" s="60" t="n">
        <v>1785</v>
      </c>
      <c r="BR1785" s="55" t="str">
        <f aca="false">IF(U1785&lt;&gt;"",UPPER(TRIM(U1785)),IF(BU1785=1,UPPER(VLOOKUP(T1785,Parameter!$I$27:$K$29,2,0)),IF(P1785="","LOSE",P1785)))</f>
        <v>LOSE</v>
      </c>
      <c r="BS1785" s="57" t="n">
        <f aca="false">IF(BR1785="LOSE",1,IF(N(V1785)&gt;0,V1785,IF(BU1785=1,MAX(1,N(VLOOKUP(T1785,Parameter!$I$27:$K$29,3,0)),H1785,N(N1785)),IF(N(Q1785)&gt;0,Q1785,MAX(1,H1785)))))</f>
        <v>1</v>
      </c>
      <c r="BT1785" s="60" t="n">
        <f aca="false">IF(BR1785="LOSE",1,0)</f>
        <v>1</v>
      </c>
      <c r="BU1785" s="60" t="n">
        <f aca="false">IF(AND(U1785="",OR(P1785="",P1785="LOSE"),T1785&lt;&gt;"",N(S1785)&lt;=0,ISNUMBER(MATCH(T1785,Parameter!$I$27:$I$29,0))),1,0)</f>
        <v>0</v>
      </c>
      <c r="BV1785" s="55" t="str">
        <f aca="false">IF(AND(Parameter!$B$19="Ja",E1785&lt;&gt;"",ISNUMBER(MATCH(E1785,Parameter!$I$35:$I$52,0))),VLOOKUP(E1785,Parameter!$I$35:$J$52,2,0),IFERROR(VLOOKUP(D1785,Parameter!$A$35:$C$64,2,0),"Nein"))</f>
        <v>2+3</v>
      </c>
      <c r="BW1785" s="59" t="n">
        <f aca="false">IF(BT1785=0,0,IF(N(S1785)&gt;0,S1785,IFERROR(VLOOKUP(D1785,Parameter!$A$35:$C$64,3,0)+0,0)))</f>
        <v>0.15</v>
      </c>
      <c r="BX1785" s="55" t="str">
        <f aca="false">IF(AA1785&lt;&gt;"",AA1785,Z1785)</f>
        <v/>
      </c>
      <c r="BY1785" s="55" t="str">
        <f aca="false">IF(BX1785=1,"L1",IF(OR(BX1785=2,BX1785=3),"L23",IF(BX1785="Aussen","Aussen","-")))</f>
        <v>-</v>
      </c>
      <c r="BZ1785" s="66" t="n">
        <f aca="false">IF(N(AB1785)&gt;0,AB1785,0)</f>
        <v>0</v>
      </c>
      <c r="CA1785" s="60" t="n">
        <f aca="false">IF(ISNUMBER(AE1785),1,0)</f>
        <v>0</v>
      </c>
      <c r="CB1785" s="57" t="n">
        <f aca="false">N(AE1785)</f>
        <v>0</v>
      </c>
      <c r="CC1785" s="57" t="n">
        <f aca="false">N(M1785)+N(N1785)</f>
        <v>0</v>
      </c>
      <c r="CD1785" s="57" t="n">
        <f aca="false">ROUNDUP(H1785/BS1785,0)</f>
        <v>0</v>
      </c>
      <c r="CE1785" s="57" t="n">
        <f aca="false">ROUNDUP(CB1785/BS1785,0)</f>
        <v>0</v>
      </c>
      <c r="CF1785" s="60" t="n">
        <f aca="false">IF(BT1785=1,0,IFERROR(VLOOKUP(BR1785,'Gebinde-Kategorie'!$A$5:$M$45,5,0)+0,0))</f>
        <v>0</v>
      </c>
      <c r="CG1785" s="60" t="n">
        <f aca="false">IFERROR(IF(OR(BX1785=1,BX1785=2,BX1785=3),N(INDEX(Parameter!$I$5:$I$7,BX1785)),0),0)</f>
        <v>0</v>
      </c>
      <c r="CH1785" s="59" t="n">
        <f aca="false">IF(AND(Parameter!$B$21="Ja",ISNUMBER(W1785),N(X1785)&gt;0),IFERROR(N(INDEX(Parameter!$L$5:$L$7,W1785))*INDEX(Parameter!$E$5:$E$7,W1785)*X1785/SUMIFS($X$7:$X$1843,$W$7:$W$1843,W1785),0),0)</f>
        <v>0</v>
      </c>
    </row>
    <row r="1786" customFormat="false" ht="15" hidden="false" customHeight="false" outlineLevel="0" collapsed="false">
      <c r="A1786" s="55" t="str">
        <f aca="false">IF('Neue Artikel'!$A$47="","",'Neue Artikel'!$A$47&amp;"")</f>
        <v/>
      </c>
      <c r="B1786" s="55" t="str">
        <f aca="false">'Neue Artikel'!$B$47&amp;""</f>
        <v/>
      </c>
      <c r="C1786" s="55"/>
      <c r="D1786" s="55" t="s">
        <v>3015</v>
      </c>
      <c r="E1786" s="55"/>
      <c r="F1786" s="55"/>
      <c r="G1786" s="56" t="n">
        <f aca="false">N('Neue Artikel'!$G$47)</f>
        <v>0</v>
      </c>
      <c r="H1786" s="57" t="n">
        <f aca="false">MAX(0,IF(AND(Parameter!$B$21="Ja",ISNUMBER(Y1786)),Y1786,IF(Parameter!$B$20="Jahresanfang 2025 + Export",BL1786+BK1786,BK1786)))</f>
        <v>0</v>
      </c>
      <c r="I1786" s="57" t="n">
        <f aca="false">H1786*G1786</f>
        <v>0</v>
      </c>
      <c r="J1786" s="57" t="n">
        <f aca="false">BN1786*Parameter!$B$18</f>
        <v>0</v>
      </c>
      <c r="K1786" s="58"/>
      <c r="L1786" s="59"/>
      <c r="M1786" s="57" t="n">
        <f aca="false">N('Neue Artikel'!$E$47)</f>
        <v>0</v>
      </c>
      <c r="N1786" s="57" t="n">
        <f aca="false">N('Neue Artikel'!$F$47)</f>
        <v>0</v>
      </c>
      <c r="O1786" s="60"/>
      <c r="P1786" s="55" t="str">
        <f aca="false">IF('Neue Artikel'!$H$47="","LOSE",UPPER(TRIM('Neue Artikel'!$H$47)))</f>
        <v>LOSE</v>
      </c>
      <c r="Q1786" s="57" t="n">
        <f aca="false">N('Neue Artikel'!$I$47)</f>
        <v>0</v>
      </c>
      <c r="R1786" s="60" t="n">
        <f aca="false">IF(BT1786=1,0,IFERROR(VLOOKUP(BR1786,'Gebinde-Kategorie'!$A$5:$M$45,13,0)+0,0))</f>
        <v>0</v>
      </c>
      <c r="S1786" s="61"/>
      <c r="T1786" s="62"/>
      <c r="U1786" s="62"/>
      <c r="V1786" s="62"/>
      <c r="W1786" s="55"/>
      <c r="X1786" s="57"/>
      <c r="Y1786" s="57"/>
      <c r="Z1786" s="55" t="str">
        <f aca="false">IF(A1786="","",IF(AND(Parameter!$B$21="Ja",ISNUMBER(W1786)),W1786,IF(BV1786="2+3",IF(ISNUMBER(SEARCH("grosser Artikel",BO1786)),2,IFERROR(VLOOKUP(BR1786,Parameter!$F$35:$G$64,2,0),2)),IF(OR(BV1786="Nein",BV1786=""),"-",BV1786))))</f>
        <v/>
      </c>
      <c r="AA1786" s="55" t="str">
        <f aca="false">IF('Neue Artikel'!$J$47="","",'Neue Artikel'!$J$47)</f>
        <v/>
      </c>
      <c r="AB1786" s="63"/>
      <c r="AC1786" s="57" t="n">
        <f aca="false">AR1786</f>
        <v>0</v>
      </c>
      <c r="AD1786" s="57" t="n">
        <f aca="false">MAX(AR1786,H1786)</f>
        <v>0</v>
      </c>
      <c r="AE1786" s="64"/>
      <c r="AF1786" s="57" t="n">
        <f aca="false">IF(LEFT(Cockpit!$C$5,1)="A",H1786,IF(CA1786=1,CB1786,IF(LEFT(Cockpit!$C$5,1)="B",AJ1786,MAX(AJ1786,H1786))))</f>
        <v>0</v>
      </c>
      <c r="AG1786" s="57" t="n">
        <f aca="false">IF(BT1786=1,0,ROUNDUP(AF1786/BS1786,0))</f>
        <v>0</v>
      </c>
      <c r="AH1786" s="59" t="n">
        <f aca="false">IF(CH1786&gt;0,CH1786*MAX(1,AF1786/X1786),IF(BT1786=1,IF(AF1786&lt;=0,0,BW1786*MAX(1,IF(H1786&gt;0,AF1786/H1786,1))),IF(R1786&gt;0,AG1786/R1786,0))/MAX(0.1,N(Parameter!$M$21)))</f>
        <v>0</v>
      </c>
      <c r="AI1786" s="57" t="n">
        <f aca="false">AF1786*G1786</f>
        <v>0</v>
      </c>
      <c r="AJ1786" s="57" t="n">
        <f aca="false">ROUNDUP(MAX(J1786/IF(BZ1786&gt;0,BZ1786,MAX(0.1,N(Cockpit!$C$6))),CC1786)/BS1786,0)*BS1786</f>
        <v>0</v>
      </c>
      <c r="AK1786" s="58" t="n">
        <f aca="false">IF(AH1786&gt;0,J1786/AH1786,-1)</f>
        <v>-1</v>
      </c>
      <c r="AL1786" s="58" t="str">
        <f aca="false">IF(AND(OR(BY1786="L1",BY1786="L23"),AH1786&gt;0),SUMIFS($AH$7:$AH$1843,$BY$7:$BY$1843,BY1786,$AK$7:$AK$1843,"&gt;"&amp;AK1786)+SUMIFS($AH$7:$AH$1843,$BY$7:$BY$1843,BY1786,$AK$7:$AK$1843,AK1786,$BQ$7:$BQ$1843,"&lt;="&amp;BQ1786),"")</f>
        <v/>
      </c>
      <c r="AM1786" s="65" t="n">
        <f aca="false">IF(AL1786="",0,MAX(0,MIN(1,(IF(BY1786="L1",Parameter!$E$5,Parameter!$E$6+Parameter!$E$7)-(AL1786-AH1786))/AH1786)))</f>
        <v>0</v>
      </c>
      <c r="AN1786" s="57" t="n">
        <f aca="false">IF(LEFT(Cockpit!$I$5,1)="A",H1786,IF(CA1786=1,CB1786,IF(LEFT(Cockpit!$I$5,1)="B",AR1786,MAX(AR1786,H1786))))</f>
        <v>0</v>
      </c>
      <c r="AO1786" s="57" t="n">
        <f aca="false">IF(BT1786=1,0,ROUNDUP(AN1786/BS1786,0))</f>
        <v>0</v>
      </c>
      <c r="AP1786" s="59" t="n">
        <f aca="false">IF(CH1786&gt;0,CH1786*MAX(1,AN1786/X1786),IF(BT1786=1,IF(AN1786&lt;=0,0,BW1786*MAX(1,IF(H1786&gt;0,AN1786/H1786,1))),IF(R1786&gt;0,AO1786/R1786,0))/MAX(0.1,N(Parameter!$M$21)))</f>
        <v>0</v>
      </c>
      <c r="AQ1786" s="57" t="n">
        <f aca="false">AN1786*G1786</f>
        <v>0</v>
      </c>
      <c r="AR1786" s="57" t="n">
        <f aca="false">ROUNDUP(MAX(J1786/IF(BZ1786&gt;0,BZ1786,MAX(0.1,N(Cockpit!$I$6))),CC1786)/BS1786,0)*BS1786</f>
        <v>0</v>
      </c>
      <c r="AS1786" s="58" t="n">
        <f aca="false">IF(AP1786&gt;0,J1786/AP1786,-1)</f>
        <v>-1</v>
      </c>
      <c r="AT1786" s="58" t="str">
        <f aca="false">IF(AND(OR(BY1786="L1",BY1786="L23"),AP1786&gt;0),SUMIFS($AP$7:$AP$1843,$BY$7:$BY$1843,BY1786,$AS$7:$AS$1843,"&gt;"&amp;AS1786)+SUMIFS($AP$7:$AP$1843,$BY$7:$BY$1843,BY1786,$AS$7:$AS$1843,AS1786,$BQ$7:$BQ$1843,"&lt;="&amp;BQ1786),"")</f>
        <v/>
      </c>
      <c r="AU1786" s="65" t="n">
        <f aca="false">IF(AT1786="",0,MAX(0,MIN(1,(IF(BY1786="L1",Parameter!$E$5,Parameter!$E$6+Parameter!$E$7)-(AT1786-AP1786))/AP1786)))</f>
        <v>0</v>
      </c>
      <c r="AV1786" s="57" t="n">
        <f aca="false">IF(LEFT(Cockpit!$O$5,1)="A",H1786,IF(CA1786=1,CB1786,IF(LEFT(Cockpit!$O$5,1)="B",AZ1786,MAX(AZ1786,H1786))))</f>
        <v>0</v>
      </c>
      <c r="AW1786" s="57" t="n">
        <f aca="false">IF(BT1786=1,0,ROUNDUP(AV1786/BS1786,0))</f>
        <v>0</v>
      </c>
      <c r="AX1786" s="59" t="n">
        <f aca="false">IF(CH1786&gt;0,CH1786*MAX(1,AV1786/X1786),IF(BT1786=1,IF(AV1786&lt;=0,0,BW1786*MAX(1,IF(H1786&gt;0,AV1786/H1786,1))),IF(R1786&gt;0,AW1786/R1786,0))/MAX(0.1,N(Parameter!$M$21)))</f>
        <v>0</v>
      </c>
      <c r="AY1786" s="57" t="n">
        <f aca="false">AV1786*G1786</f>
        <v>0</v>
      </c>
      <c r="AZ1786" s="57" t="n">
        <f aca="false">ROUNDUP(MAX(J1786/IF(BZ1786&gt;0,BZ1786,MAX(0.1,N(Cockpit!$O$6))),CC1786)/BS1786,0)*BS1786</f>
        <v>0</v>
      </c>
      <c r="BA1786" s="58" t="n">
        <f aca="false">IF(AX1786&gt;0,J1786/AX1786,-1)</f>
        <v>-1</v>
      </c>
      <c r="BB1786" s="58" t="str">
        <f aca="false">IF(AND(OR(BY1786="L1",BY1786="L23"),AX1786&gt;0),SUMIFS($AX$7:$AX$1843,$BY$7:$BY$1843,BY1786,$BA$7:$BA$1843,"&gt;"&amp;BA1786)+SUMIFS($AX$7:$AX$1843,$BY$7:$BY$1843,BY1786,$BA$7:$BA$1843,BA1786,$BQ$7:$BQ$1843,"&lt;="&amp;BQ1786),"")</f>
        <v/>
      </c>
      <c r="BC1786" s="65" t="n">
        <f aca="false">IF(BB1786="",0,MAX(0,MIN(1,(IF(BY1786="L1",Parameter!$E$5,Parameter!$E$6+Parameter!$E$7)-(BB1786-AX1786))/AX1786)))</f>
        <v>0</v>
      </c>
      <c r="BD1786" s="55" t="str">
        <f aca="false">IF(AH1786&lt;=0,"",IF(BY1786="Aussen","Aussenlager",IF(BY1786="-","Nicht im Lift",IF(AM1786&gt;=1,"Lift",IF(AM1786&lt;=0,"Aussenlager","teilweise")))))</f>
        <v/>
      </c>
      <c r="BE1786" s="55" t="str">
        <f aca="false">IF(AP1786&lt;=0,"",IF(BY1786="Aussen","Aussenlager",IF(BY1786="-","Nicht im Lift",IF(AU1786&gt;=1,"Lift",IF(AU1786&lt;=0,"Aussenlager","teilweise")))))</f>
        <v/>
      </c>
      <c r="BF1786" s="55" t="str">
        <f aca="false">IF(AX1786&lt;=0,"",IF(BY1786="Aussen","Aussenlager",IF(BY1786="-","Nicht im Lift",IF(BC1786&gt;=1,"Lift",IF(BC1786&lt;=0,"Aussenlager","teilweise")))))</f>
        <v/>
      </c>
      <c r="BG1786" s="55" t="str">
        <f aca="false">IF(A1786="","",IF(BP1786=1,"Neu; ","")&amp;IF(AND(BP1786=0,BK1786&lt;0),"negativer Bestand (Export "&amp;BK1786&amp;"); ","")&amp;IF(J1786&lt;=0,"Kein Verbrauch; ","")&amp;IF(CH1786&gt;0,"Lift "&amp;W1786&amp;" lt. Liftbericht (Fach "&amp;X1786&amp;" Stk); ",IF(BU1786=1,"Gebinde geschätzt ("&amp;T1786&amp;"); ",IF(BT1786=1,"Lose – Tablare geschätzt; ","")))&amp;IF(H1786&gt;AR1786,"Überbestand "&amp;ROUND(H1786-AR1786,0)&amp;" Stk / CHF "&amp;ROUND((H1786-AR1786)*G1786,0)&amp;"; ","")&amp;IF(AND(CA1786=1,CB1786&lt;CC1786),"MAX &lt; MB+LG; ","")&amp;IF(AND(CG1786&gt;0,CF1786*10&gt;CG1786),"zu hoch für Tablar; ","")&amp;IF(AND(BP1786=0,OR(CA1786=1,AA1786&lt;&gt;"",U1786&lt;&gt;"",V1786&lt;&gt;"",AB1786&lt;&gt;"")),"manuell übersteuert; ","")&amp;IF(AND(BT1786=0,R1786=0),"Gebinde unbekannt / Stellmass fehlt; ","")&amp;IF(AND(BT1786=0,N(V1786)&lt;=0,N(Q1786)&lt;=0),"Menge pro Gebinde fehlt (Ist = 1 Gebinde); ","")&amp;BO1786)</f>
        <v/>
      </c>
      <c r="BH1786" s="55"/>
      <c r="BI1786" s="55"/>
      <c r="BJ1786" s="62"/>
      <c r="BK1786" s="57" t="n">
        <f aca="false">N('Neue Artikel'!$D$47)</f>
        <v>0</v>
      </c>
      <c r="BL1786" s="57" t="n">
        <v>0</v>
      </c>
      <c r="BM1786" s="56" t="n">
        <v>0</v>
      </c>
      <c r="BN1786" s="57" t="n">
        <f aca="false">N('Neue Artikel'!$C$47)/Parameter!$B$18</f>
        <v>0</v>
      </c>
      <c r="BO1786" s="55"/>
      <c r="BP1786" s="60" t="n">
        <v>1</v>
      </c>
      <c r="BQ1786" s="60" t="n">
        <v>1786</v>
      </c>
      <c r="BR1786" s="55" t="str">
        <f aca="false">IF(U1786&lt;&gt;"",UPPER(TRIM(U1786)),IF(BU1786=1,UPPER(VLOOKUP(T1786,Parameter!$I$27:$K$29,2,0)),IF(P1786="","LOSE",P1786)))</f>
        <v>LOSE</v>
      </c>
      <c r="BS1786" s="57" t="n">
        <f aca="false">IF(BR1786="LOSE",1,IF(N(V1786)&gt;0,V1786,IF(BU1786=1,MAX(1,N(VLOOKUP(T1786,Parameter!$I$27:$K$29,3,0)),H1786,N(N1786)),IF(N(Q1786)&gt;0,Q1786,MAX(1,H1786)))))</f>
        <v>1</v>
      </c>
      <c r="BT1786" s="60" t="n">
        <f aca="false">IF(BR1786="LOSE",1,0)</f>
        <v>1</v>
      </c>
      <c r="BU1786" s="60" t="n">
        <f aca="false">IF(AND(U1786="",OR(P1786="",P1786="LOSE"),T1786&lt;&gt;"",N(S1786)&lt;=0,ISNUMBER(MATCH(T1786,Parameter!$I$27:$I$29,0))),1,0)</f>
        <v>0</v>
      </c>
      <c r="BV1786" s="55" t="str">
        <f aca="false">IF(AND(Parameter!$B$19="Ja",E1786&lt;&gt;"",ISNUMBER(MATCH(E1786,Parameter!$I$35:$I$52,0))),VLOOKUP(E1786,Parameter!$I$35:$J$52,2,0),IFERROR(VLOOKUP(D1786,Parameter!$A$35:$C$64,2,0),"Nein"))</f>
        <v>2+3</v>
      </c>
      <c r="BW1786" s="59" t="n">
        <f aca="false">IF(BT1786=0,0,IF(N(S1786)&gt;0,S1786,IFERROR(VLOOKUP(D1786,Parameter!$A$35:$C$64,3,0)+0,0)))</f>
        <v>0.15</v>
      </c>
      <c r="BX1786" s="55" t="str">
        <f aca="false">IF(AA1786&lt;&gt;"",AA1786,Z1786)</f>
        <v/>
      </c>
      <c r="BY1786" s="55" t="str">
        <f aca="false">IF(BX1786=1,"L1",IF(OR(BX1786=2,BX1786=3),"L23",IF(BX1786="Aussen","Aussen","-")))</f>
        <v>-</v>
      </c>
      <c r="BZ1786" s="66" t="n">
        <f aca="false">IF(N(AB1786)&gt;0,AB1786,0)</f>
        <v>0</v>
      </c>
      <c r="CA1786" s="60" t="n">
        <f aca="false">IF(ISNUMBER(AE1786),1,0)</f>
        <v>0</v>
      </c>
      <c r="CB1786" s="57" t="n">
        <f aca="false">N(AE1786)</f>
        <v>0</v>
      </c>
      <c r="CC1786" s="57" t="n">
        <f aca="false">N(M1786)+N(N1786)</f>
        <v>0</v>
      </c>
      <c r="CD1786" s="57" t="n">
        <f aca="false">ROUNDUP(H1786/BS1786,0)</f>
        <v>0</v>
      </c>
      <c r="CE1786" s="57" t="n">
        <f aca="false">ROUNDUP(CB1786/BS1786,0)</f>
        <v>0</v>
      </c>
      <c r="CF1786" s="60" t="n">
        <f aca="false">IF(BT1786=1,0,IFERROR(VLOOKUP(BR1786,'Gebinde-Kategorie'!$A$5:$M$45,5,0)+0,0))</f>
        <v>0</v>
      </c>
      <c r="CG1786" s="60" t="n">
        <f aca="false">IFERROR(IF(OR(BX1786=1,BX1786=2,BX1786=3),N(INDEX(Parameter!$I$5:$I$7,BX1786)),0),0)</f>
        <v>0</v>
      </c>
      <c r="CH1786" s="59" t="n">
        <f aca="false">IF(AND(Parameter!$B$21="Ja",ISNUMBER(W1786),N(X1786)&gt;0),IFERROR(N(INDEX(Parameter!$L$5:$L$7,W1786))*INDEX(Parameter!$E$5:$E$7,W1786)*X1786/SUMIFS($X$7:$X$1843,$W$7:$W$1843,W1786),0),0)</f>
        <v>0</v>
      </c>
    </row>
    <row r="1787" customFormat="false" ht="15" hidden="false" customHeight="false" outlineLevel="0" collapsed="false">
      <c r="A1787" s="55" t="str">
        <f aca="false">IF('Neue Artikel'!$A$48="","",'Neue Artikel'!$A$48&amp;"")</f>
        <v/>
      </c>
      <c r="B1787" s="55" t="str">
        <f aca="false">'Neue Artikel'!$B$48&amp;""</f>
        <v/>
      </c>
      <c r="C1787" s="55"/>
      <c r="D1787" s="55" t="s">
        <v>3015</v>
      </c>
      <c r="E1787" s="55"/>
      <c r="F1787" s="55"/>
      <c r="G1787" s="56" t="n">
        <f aca="false">N('Neue Artikel'!$G$48)</f>
        <v>0</v>
      </c>
      <c r="H1787" s="57" t="n">
        <f aca="false">MAX(0,IF(AND(Parameter!$B$21="Ja",ISNUMBER(Y1787)),Y1787,IF(Parameter!$B$20="Jahresanfang 2025 + Export",BL1787+BK1787,BK1787)))</f>
        <v>0</v>
      </c>
      <c r="I1787" s="57" t="n">
        <f aca="false">H1787*G1787</f>
        <v>0</v>
      </c>
      <c r="J1787" s="57" t="n">
        <f aca="false">BN1787*Parameter!$B$18</f>
        <v>0</v>
      </c>
      <c r="K1787" s="58"/>
      <c r="L1787" s="59"/>
      <c r="M1787" s="57" t="n">
        <f aca="false">N('Neue Artikel'!$E$48)</f>
        <v>0</v>
      </c>
      <c r="N1787" s="57" t="n">
        <f aca="false">N('Neue Artikel'!$F$48)</f>
        <v>0</v>
      </c>
      <c r="O1787" s="60"/>
      <c r="P1787" s="55" t="str">
        <f aca="false">IF('Neue Artikel'!$H$48="","LOSE",UPPER(TRIM('Neue Artikel'!$H$48)))</f>
        <v>LOSE</v>
      </c>
      <c r="Q1787" s="57" t="n">
        <f aca="false">N('Neue Artikel'!$I$48)</f>
        <v>0</v>
      </c>
      <c r="R1787" s="60" t="n">
        <f aca="false">IF(BT1787=1,0,IFERROR(VLOOKUP(BR1787,'Gebinde-Kategorie'!$A$5:$M$45,13,0)+0,0))</f>
        <v>0</v>
      </c>
      <c r="S1787" s="61"/>
      <c r="T1787" s="62"/>
      <c r="U1787" s="62"/>
      <c r="V1787" s="62"/>
      <c r="W1787" s="55"/>
      <c r="X1787" s="57"/>
      <c r="Y1787" s="57"/>
      <c r="Z1787" s="55" t="str">
        <f aca="false">IF(A1787="","",IF(AND(Parameter!$B$21="Ja",ISNUMBER(W1787)),W1787,IF(BV1787="2+3",IF(ISNUMBER(SEARCH("grosser Artikel",BO1787)),2,IFERROR(VLOOKUP(BR1787,Parameter!$F$35:$G$64,2,0),2)),IF(OR(BV1787="Nein",BV1787=""),"-",BV1787))))</f>
        <v/>
      </c>
      <c r="AA1787" s="55" t="str">
        <f aca="false">IF('Neue Artikel'!$J$48="","",'Neue Artikel'!$J$48)</f>
        <v/>
      </c>
      <c r="AB1787" s="63"/>
      <c r="AC1787" s="57" t="n">
        <f aca="false">AR1787</f>
        <v>0</v>
      </c>
      <c r="AD1787" s="57" t="n">
        <f aca="false">MAX(AR1787,H1787)</f>
        <v>0</v>
      </c>
      <c r="AE1787" s="64"/>
      <c r="AF1787" s="57" t="n">
        <f aca="false">IF(LEFT(Cockpit!$C$5,1)="A",H1787,IF(CA1787=1,CB1787,IF(LEFT(Cockpit!$C$5,1)="B",AJ1787,MAX(AJ1787,H1787))))</f>
        <v>0</v>
      </c>
      <c r="AG1787" s="57" t="n">
        <f aca="false">IF(BT1787=1,0,ROUNDUP(AF1787/BS1787,0))</f>
        <v>0</v>
      </c>
      <c r="AH1787" s="59" t="n">
        <f aca="false">IF(CH1787&gt;0,CH1787*MAX(1,AF1787/X1787),IF(BT1787=1,IF(AF1787&lt;=0,0,BW1787*MAX(1,IF(H1787&gt;0,AF1787/H1787,1))),IF(R1787&gt;0,AG1787/R1787,0))/MAX(0.1,N(Parameter!$M$21)))</f>
        <v>0</v>
      </c>
      <c r="AI1787" s="57" t="n">
        <f aca="false">AF1787*G1787</f>
        <v>0</v>
      </c>
      <c r="AJ1787" s="57" t="n">
        <f aca="false">ROUNDUP(MAX(J1787/IF(BZ1787&gt;0,BZ1787,MAX(0.1,N(Cockpit!$C$6))),CC1787)/BS1787,0)*BS1787</f>
        <v>0</v>
      </c>
      <c r="AK1787" s="58" t="n">
        <f aca="false">IF(AH1787&gt;0,J1787/AH1787,-1)</f>
        <v>-1</v>
      </c>
      <c r="AL1787" s="58" t="str">
        <f aca="false">IF(AND(OR(BY1787="L1",BY1787="L23"),AH1787&gt;0),SUMIFS($AH$7:$AH$1843,$BY$7:$BY$1843,BY1787,$AK$7:$AK$1843,"&gt;"&amp;AK1787)+SUMIFS($AH$7:$AH$1843,$BY$7:$BY$1843,BY1787,$AK$7:$AK$1843,AK1787,$BQ$7:$BQ$1843,"&lt;="&amp;BQ1787),"")</f>
        <v/>
      </c>
      <c r="AM1787" s="65" t="n">
        <f aca="false">IF(AL1787="",0,MAX(0,MIN(1,(IF(BY1787="L1",Parameter!$E$5,Parameter!$E$6+Parameter!$E$7)-(AL1787-AH1787))/AH1787)))</f>
        <v>0</v>
      </c>
      <c r="AN1787" s="57" t="n">
        <f aca="false">IF(LEFT(Cockpit!$I$5,1)="A",H1787,IF(CA1787=1,CB1787,IF(LEFT(Cockpit!$I$5,1)="B",AR1787,MAX(AR1787,H1787))))</f>
        <v>0</v>
      </c>
      <c r="AO1787" s="57" t="n">
        <f aca="false">IF(BT1787=1,0,ROUNDUP(AN1787/BS1787,0))</f>
        <v>0</v>
      </c>
      <c r="AP1787" s="59" t="n">
        <f aca="false">IF(CH1787&gt;0,CH1787*MAX(1,AN1787/X1787),IF(BT1787=1,IF(AN1787&lt;=0,0,BW1787*MAX(1,IF(H1787&gt;0,AN1787/H1787,1))),IF(R1787&gt;0,AO1787/R1787,0))/MAX(0.1,N(Parameter!$M$21)))</f>
        <v>0</v>
      </c>
      <c r="AQ1787" s="57" t="n">
        <f aca="false">AN1787*G1787</f>
        <v>0</v>
      </c>
      <c r="AR1787" s="57" t="n">
        <f aca="false">ROUNDUP(MAX(J1787/IF(BZ1787&gt;0,BZ1787,MAX(0.1,N(Cockpit!$I$6))),CC1787)/BS1787,0)*BS1787</f>
        <v>0</v>
      </c>
      <c r="AS1787" s="58" t="n">
        <f aca="false">IF(AP1787&gt;0,J1787/AP1787,-1)</f>
        <v>-1</v>
      </c>
      <c r="AT1787" s="58" t="str">
        <f aca="false">IF(AND(OR(BY1787="L1",BY1787="L23"),AP1787&gt;0),SUMIFS($AP$7:$AP$1843,$BY$7:$BY$1843,BY1787,$AS$7:$AS$1843,"&gt;"&amp;AS1787)+SUMIFS($AP$7:$AP$1843,$BY$7:$BY$1843,BY1787,$AS$7:$AS$1843,AS1787,$BQ$7:$BQ$1843,"&lt;="&amp;BQ1787),"")</f>
        <v/>
      </c>
      <c r="AU1787" s="65" t="n">
        <f aca="false">IF(AT1787="",0,MAX(0,MIN(1,(IF(BY1787="L1",Parameter!$E$5,Parameter!$E$6+Parameter!$E$7)-(AT1787-AP1787))/AP1787)))</f>
        <v>0</v>
      </c>
      <c r="AV1787" s="57" t="n">
        <f aca="false">IF(LEFT(Cockpit!$O$5,1)="A",H1787,IF(CA1787=1,CB1787,IF(LEFT(Cockpit!$O$5,1)="B",AZ1787,MAX(AZ1787,H1787))))</f>
        <v>0</v>
      </c>
      <c r="AW1787" s="57" t="n">
        <f aca="false">IF(BT1787=1,0,ROUNDUP(AV1787/BS1787,0))</f>
        <v>0</v>
      </c>
      <c r="AX1787" s="59" t="n">
        <f aca="false">IF(CH1787&gt;0,CH1787*MAX(1,AV1787/X1787),IF(BT1787=1,IF(AV1787&lt;=0,0,BW1787*MAX(1,IF(H1787&gt;0,AV1787/H1787,1))),IF(R1787&gt;0,AW1787/R1787,0))/MAX(0.1,N(Parameter!$M$21)))</f>
        <v>0</v>
      </c>
      <c r="AY1787" s="57" t="n">
        <f aca="false">AV1787*G1787</f>
        <v>0</v>
      </c>
      <c r="AZ1787" s="57" t="n">
        <f aca="false">ROUNDUP(MAX(J1787/IF(BZ1787&gt;0,BZ1787,MAX(0.1,N(Cockpit!$O$6))),CC1787)/BS1787,0)*BS1787</f>
        <v>0</v>
      </c>
      <c r="BA1787" s="58" t="n">
        <f aca="false">IF(AX1787&gt;0,J1787/AX1787,-1)</f>
        <v>-1</v>
      </c>
      <c r="BB1787" s="58" t="str">
        <f aca="false">IF(AND(OR(BY1787="L1",BY1787="L23"),AX1787&gt;0),SUMIFS($AX$7:$AX$1843,$BY$7:$BY$1843,BY1787,$BA$7:$BA$1843,"&gt;"&amp;BA1787)+SUMIFS($AX$7:$AX$1843,$BY$7:$BY$1843,BY1787,$BA$7:$BA$1843,BA1787,$BQ$7:$BQ$1843,"&lt;="&amp;BQ1787),"")</f>
        <v/>
      </c>
      <c r="BC1787" s="65" t="n">
        <f aca="false">IF(BB1787="",0,MAX(0,MIN(1,(IF(BY1787="L1",Parameter!$E$5,Parameter!$E$6+Parameter!$E$7)-(BB1787-AX1787))/AX1787)))</f>
        <v>0</v>
      </c>
      <c r="BD1787" s="55" t="str">
        <f aca="false">IF(AH1787&lt;=0,"",IF(BY1787="Aussen","Aussenlager",IF(BY1787="-","Nicht im Lift",IF(AM1787&gt;=1,"Lift",IF(AM1787&lt;=0,"Aussenlager","teilweise")))))</f>
        <v/>
      </c>
      <c r="BE1787" s="55" t="str">
        <f aca="false">IF(AP1787&lt;=0,"",IF(BY1787="Aussen","Aussenlager",IF(BY1787="-","Nicht im Lift",IF(AU1787&gt;=1,"Lift",IF(AU1787&lt;=0,"Aussenlager","teilweise")))))</f>
        <v/>
      </c>
      <c r="BF1787" s="55" t="str">
        <f aca="false">IF(AX1787&lt;=0,"",IF(BY1787="Aussen","Aussenlager",IF(BY1787="-","Nicht im Lift",IF(BC1787&gt;=1,"Lift",IF(BC1787&lt;=0,"Aussenlager","teilweise")))))</f>
        <v/>
      </c>
      <c r="BG1787" s="55" t="str">
        <f aca="false">IF(A1787="","",IF(BP1787=1,"Neu; ","")&amp;IF(AND(BP1787=0,BK1787&lt;0),"negativer Bestand (Export "&amp;BK1787&amp;"); ","")&amp;IF(J1787&lt;=0,"Kein Verbrauch; ","")&amp;IF(CH1787&gt;0,"Lift "&amp;W1787&amp;" lt. Liftbericht (Fach "&amp;X1787&amp;" Stk); ",IF(BU1787=1,"Gebinde geschätzt ("&amp;T1787&amp;"); ",IF(BT1787=1,"Lose – Tablare geschätzt; ","")))&amp;IF(H1787&gt;AR1787,"Überbestand "&amp;ROUND(H1787-AR1787,0)&amp;" Stk / CHF "&amp;ROUND((H1787-AR1787)*G1787,0)&amp;"; ","")&amp;IF(AND(CA1787=1,CB1787&lt;CC1787),"MAX &lt; MB+LG; ","")&amp;IF(AND(CG1787&gt;0,CF1787*10&gt;CG1787),"zu hoch für Tablar; ","")&amp;IF(AND(BP1787=0,OR(CA1787=1,AA1787&lt;&gt;"",U1787&lt;&gt;"",V1787&lt;&gt;"",AB1787&lt;&gt;"")),"manuell übersteuert; ","")&amp;IF(AND(BT1787=0,R1787=0),"Gebinde unbekannt / Stellmass fehlt; ","")&amp;IF(AND(BT1787=0,N(V1787)&lt;=0,N(Q1787)&lt;=0),"Menge pro Gebinde fehlt (Ist = 1 Gebinde); ","")&amp;BO1787)</f>
        <v/>
      </c>
      <c r="BH1787" s="55"/>
      <c r="BI1787" s="55"/>
      <c r="BJ1787" s="62"/>
      <c r="BK1787" s="57" t="n">
        <f aca="false">N('Neue Artikel'!$D$48)</f>
        <v>0</v>
      </c>
      <c r="BL1787" s="57" t="n">
        <v>0</v>
      </c>
      <c r="BM1787" s="56" t="n">
        <v>0</v>
      </c>
      <c r="BN1787" s="57" t="n">
        <f aca="false">N('Neue Artikel'!$C$48)/Parameter!$B$18</f>
        <v>0</v>
      </c>
      <c r="BO1787" s="55"/>
      <c r="BP1787" s="60" t="n">
        <v>1</v>
      </c>
      <c r="BQ1787" s="60" t="n">
        <v>1787</v>
      </c>
      <c r="BR1787" s="55" t="str">
        <f aca="false">IF(U1787&lt;&gt;"",UPPER(TRIM(U1787)),IF(BU1787=1,UPPER(VLOOKUP(T1787,Parameter!$I$27:$K$29,2,0)),IF(P1787="","LOSE",P1787)))</f>
        <v>LOSE</v>
      </c>
      <c r="BS1787" s="57" t="n">
        <f aca="false">IF(BR1787="LOSE",1,IF(N(V1787)&gt;0,V1787,IF(BU1787=1,MAX(1,N(VLOOKUP(T1787,Parameter!$I$27:$K$29,3,0)),H1787,N(N1787)),IF(N(Q1787)&gt;0,Q1787,MAX(1,H1787)))))</f>
        <v>1</v>
      </c>
      <c r="BT1787" s="60" t="n">
        <f aca="false">IF(BR1787="LOSE",1,0)</f>
        <v>1</v>
      </c>
      <c r="BU1787" s="60" t="n">
        <f aca="false">IF(AND(U1787="",OR(P1787="",P1787="LOSE"),T1787&lt;&gt;"",N(S1787)&lt;=0,ISNUMBER(MATCH(T1787,Parameter!$I$27:$I$29,0))),1,0)</f>
        <v>0</v>
      </c>
      <c r="BV1787" s="55" t="str">
        <f aca="false">IF(AND(Parameter!$B$19="Ja",E1787&lt;&gt;"",ISNUMBER(MATCH(E1787,Parameter!$I$35:$I$52,0))),VLOOKUP(E1787,Parameter!$I$35:$J$52,2,0),IFERROR(VLOOKUP(D1787,Parameter!$A$35:$C$64,2,0),"Nein"))</f>
        <v>2+3</v>
      </c>
      <c r="BW1787" s="59" t="n">
        <f aca="false">IF(BT1787=0,0,IF(N(S1787)&gt;0,S1787,IFERROR(VLOOKUP(D1787,Parameter!$A$35:$C$64,3,0)+0,0)))</f>
        <v>0.15</v>
      </c>
      <c r="BX1787" s="55" t="str">
        <f aca="false">IF(AA1787&lt;&gt;"",AA1787,Z1787)</f>
        <v/>
      </c>
      <c r="BY1787" s="55" t="str">
        <f aca="false">IF(BX1787=1,"L1",IF(OR(BX1787=2,BX1787=3),"L23",IF(BX1787="Aussen","Aussen","-")))</f>
        <v>-</v>
      </c>
      <c r="BZ1787" s="66" t="n">
        <f aca="false">IF(N(AB1787)&gt;0,AB1787,0)</f>
        <v>0</v>
      </c>
      <c r="CA1787" s="60" t="n">
        <f aca="false">IF(ISNUMBER(AE1787),1,0)</f>
        <v>0</v>
      </c>
      <c r="CB1787" s="57" t="n">
        <f aca="false">N(AE1787)</f>
        <v>0</v>
      </c>
      <c r="CC1787" s="57" t="n">
        <f aca="false">N(M1787)+N(N1787)</f>
        <v>0</v>
      </c>
      <c r="CD1787" s="57" t="n">
        <f aca="false">ROUNDUP(H1787/BS1787,0)</f>
        <v>0</v>
      </c>
      <c r="CE1787" s="57" t="n">
        <f aca="false">ROUNDUP(CB1787/BS1787,0)</f>
        <v>0</v>
      </c>
      <c r="CF1787" s="60" t="n">
        <f aca="false">IF(BT1787=1,0,IFERROR(VLOOKUP(BR1787,'Gebinde-Kategorie'!$A$5:$M$45,5,0)+0,0))</f>
        <v>0</v>
      </c>
      <c r="CG1787" s="60" t="n">
        <f aca="false">IFERROR(IF(OR(BX1787=1,BX1787=2,BX1787=3),N(INDEX(Parameter!$I$5:$I$7,BX1787)),0),0)</f>
        <v>0</v>
      </c>
      <c r="CH1787" s="59" t="n">
        <f aca="false">IF(AND(Parameter!$B$21="Ja",ISNUMBER(W1787),N(X1787)&gt;0),IFERROR(N(INDEX(Parameter!$L$5:$L$7,W1787))*INDEX(Parameter!$E$5:$E$7,W1787)*X1787/SUMIFS($X$7:$X$1843,$W$7:$W$1843,W1787),0),0)</f>
        <v>0</v>
      </c>
    </row>
    <row r="1788" customFormat="false" ht="15" hidden="false" customHeight="false" outlineLevel="0" collapsed="false">
      <c r="A1788" s="55" t="str">
        <f aca="false">IF('Neue Artikel'!$A$49="","",'Neue Artikel'!$A$49&amp;"")</f>
        <v/>
      </c>
      <c r="B1788" s="55" t="str">
        <f aca="false">'Neue Artikel'!$B$49&amp;""</f>
        <v/>
      </c>
      <c r="C1788" s="55"/>
      <c r="D1788" s="55" t="s">
        <v>3015</v>
      </c>
      <c r="E1788" s="55"/>
      <c r="F1788" s="55"/>
      <c r="G1788" s="56" t="n">
        <f aca="false">N('Neue Artikel'!$G$49)</f>
        <v>0</v>
      </c>
      <c r="H1788" s="57" t="n">
        <f aca="false">MAX(0,IF(AND(Parameter!$B$21="Ja",ISNUMBER(Y1788)),Y1788,IF(Parameter!$B$20="Jahresanfang 2025 + Export",BL1788+BK1788,BK1788)))</f>
        <v>0</v>
      </c>
      <c r="I1788" s="57" t="n">
        <f aca="false">H1788*G1788</f>
        <v>0</v>
      </c>
      <c r="J1788" s="57" t="n">
        <f aca="false">BN1788*Parameter!$B$18</f>
        <v>0</v>
      </c>
      <c r="K1788" s="58"/>
      <c r="L1788" s="59"/>
      <c r="M1788" s="57" t="n">
        <f aca="false">N('Neue Artikel'!$E$49)</f>
        <v>0</v>
      </c>
      <c r="N1788" s="57" t="n">
        <f aca="false">N('Neue Artikel'!$F$49)</f>
        <v>0</v>
      </c>
      <c r="O1788" s="60"/>
      <c r="P1788" s="55" t="str">
        <f aca="false">IF('Neue Artikel'!$H$49="","LOSE",UPPER(TRIM('Neue Artikel'!$H$49)))</f>
        <v>LOSE</v>
      </c>
      <c r="Q1788" s="57" t="n">
        <f aca="false">N('Neue Artikel'!$I$49)</f>
        <v>0</v>
      </c>
      <c r="R1788" s="60" t="n">
        <f aca="false">IF(BT1788=1,0,IFERROR(VLOOKUP(BR1788,'Gebinde-Kategorie'!$A$5:$M$45,13,0)+0,0))</f>
        <v>0</v>
      </c>
      <c r="S1788" s="61"/>
      <c r="T1788" s="62"/>
      <c r="U1788" s="62"/>
      <c r="V1788" s="62"/>
      <c r="W1788" s="55"/>
      <c r="X1788" s="57"/>
      <c r="Y1788" s="57"/>
      <c r="Z1788" s="55" t="str">
        <f aca="false">IF(A1788="","",IF(AND(Parameter!$B$21="Ja",ISNUMBER(W1788)),W1788,IF(BV1788="2+3",IF(ISNUMBER(SEARCH("grosser Artikel",BO1788)),2,IFERROR(VLOOKUP(BR1788,Parameter!$F$35:$G$64,2,0),2)),IF(OR(BV1788="Nein",BV1788=""),"-",BV1788))))</f>
        <v/>
      </c>
      <c r="AA1788" s="55" t="str">
        <f aca="false">IF('Neue Artikel'!$J$49="","",'Neue Artikel'!$J$49)</f>
        <v/>
      </c>
      <c r="AB1788" s="63"/>
      <c r="AC1788" s="57" t="n">
        <f aca="false">AR1788</f>
        <v>0</v>
      </c>
      <c r="AD1788" s="57" t="n">
        <f aca="false">MAX(AR1788,H1788)</f>
        <v>0</v>
      </c>
      <c r="AE1788" s="64"/>
      <c r="AF1788" s="57" t="n">
        <f aca="false">IF(LEFT(Cockpit!$C$5,1)="A",H1788,IF(CA1788=1,CB1788,IF(LEFT(Cockpit!$C$5,1)="B",AJ1788,MAX(AJ1788,H1788))))</f>
        <v>0</v>
      </c>
      <c r="AG1788" s="57" t="n">
        <f aca="false">IF(BT1788=1,0,ROUNDUP(AF1788/BS1788,0))</f>
        <v>0</v>
      </c>
      <c r="AH1788" s="59" t="n">
        <f aca="false">IF(CH1788&gt;0,CH1788*MAX(1,AF1788/X1788),IF(BT1788=1,IF(AF1788&lt;=0,0,BW1788*MAX(1,IF(H1788&gt;0,AF1788/H1788,1))),IF(R1788&gt;0,AG1788/R1788,0))/MAX(0.1,N(Parameter!$M$21)))</f>
        <v>0</v>
      </c>
      <c r="AI1788" s="57" t="n">
        <f aca="false">AF1788*G1788</f>
        <v>0</v>
      </c>
      <c r="AJ1788" s="57" t="n">
        <f aca="false">ROUNDUP(MAX(J1788/IF(BZ1788&gt;0,BZ1788,MAX(0.1,N(Cockpit!$C$6))),CC1788)/BS1788,0)*BS1788</f>
        <v>0</v>
      </c>
      <c r="AK1788" s="58" t="n">
        <f aca="false">IF(AH1788&gt;0,J1788/AH1788,-1)</f>
        <v>-1</v>
      </c>
      <c r="AL1788" s="58" t="str">
        <f aca="false">IF(AND(OR(BY1788="L1",BY1788="L23"),AH1788&gt;0),SUMIFS($AH$7:$AH$1843,$BY$7:$BY$1843,BY1788,$AK$7:$AK$1843,"&gt;"&amp;AK1788)+SUMIFS($AH$7:$AH$1843,$BY$7:$BY$1843,BY1788,$AK$7:$AK$1843,AK1788,$BQ$7:$BQ$1843,"&lt;="&amp;BQ1788),"")</f>
        <v/>
      </c>
      <c r="AM1788" s="65" t="n">
        <f aca="false">IF(AL1788="",0,MAX(0,MIN(1,(IF(BY1788="L1",Parameter!$E$5,Parameter!$E$6+Parameter!$E$7)-(AL1788-AH1788))/AH1788)))</f>
        <v>0</v>
      </c>
      <c r="AN1788" s="57" t="n">
        <f aca="false">IF(LEFT(Cockpit!$I$5,1)="A",H1788,IF(CA1788=1,CB1788,IF(LEFT(Cockpit!$I$5,1)="B",AR1788,MAX(AR1788,H1788))))</f>
        <v>0</v>
      </c>
      <c r="AO1788" s="57" t="n">
        <f aca="false">IF(BT1788=1,0,ROUNDUP(AN1788/BS1788,0))</f>
        <v>0</v>
      </c>
      <c r="AP1788" s="59" t="n">
        <f aca="false">IF(CH1788&gt;0,CH1788*MAX(1,AN1788/X1788),IF(BT1788=1,IF(AN1788&lt;=0,0,BW1788*MAX(1,IF(H1788&gt;0,AN1788/H1788,1))),IF(R1788&gt;0,AO1788/R1788,0))/MAX(0.1,N(Parameter!$M$21)))</f>
        <v>0</v>
      </c>
      <c r="AQ1788" s="57" t="n">
        <f aca="false">AN1788*G1788</f>
        <v>0</v>
      </c>
      <c r="AR1788" s="57" t="n">
        <f aca="false">ROUNDUP(MAX(J1788/IF(BZ1788&gt;0,BZ1788,MAX(0.1,N(Cockpit!$I$6))),CC1788)/BS1788,0)*BS1788</f>
        <v>0</v>
      </c>
      <c r="AS1788" s="58" t="n">
        <f aca="false">IF(AP1788&gt;0,J1788/AP1788,-1)</f>
        <v>-1</v>
      </c>
      <c r="AT1788" s="58" t="str">
        <f aca="false">IF(AND(OR(BY1788="L1",BY1788="L23"),AP1788&gt;0),SUMIFS($AP$7:$AP$1843,$BY$7:$BY$1843,BY1788,$AS$7:$AS$1843,"&gt;"&amp;AS1788)+SUMIFS($AP$7:$AP$1843,$BY$7:$BY$1843,BY1788,$AS$7:$AS$1843,AS1788,$BQ$7:$BQ$1843,"&lt;="&amp;BQ1788),"")</f>
        <v/>
      </c>
      <c r="AU1788" s="65" t="n">
        <f aca="false">IF(AT1788="",0,MAX(0,MIN(1,(IF(BY1788="L1",Parameter!$E$5,Parameter!$E$6+Parameter!$E$7)-(AT1788-AP1788))/AP1788)))</f>
        <v>0</v>
      </c>
      <c r="AV1788" s="57" t="n">
        <f aca="false">IF(LEFT(Cockpit!$O$5,1)="A",H1788,IF(CA1788=1,CB1788,IF(LEFT(Cockpit!$O$5,1)="B",AZ1788,MAX(AZ1788,H1788))))</f>
        <v>0</v>
      </c>
      <c r="AW1788" s="57" t="n">
        <f aca="false">IF(BT1788=1,0,ROUNDUP(AV1788/BS1788,0))</f>
        <v>0</v>
      </c>
      <c r="AX1788" s="59" t="n">
        <f aca="false">IF(CH1788&gt;0,CH1788*MAX(1,AV1788/X1788),IF(BT1788=1,IF(AV1788&lt;=0,0,BW1788*MAX(1,IF(H1788&gt;0,AV1788/H1788,1))),IF(R1788&gt;0,AW1788/R1788,0))/MAX(0.1,N(Parameter!$M$21)))</f>
        <v>0</v>
      </c>
      <c r="AY1788" s="57" t="n">
        <f aca="false">AV1788*G1788</f>
        <v>0</v>
      </c>
      <c r="AZ1788" s="57" t="n">
        <f aca="false">ROUNDUP(MAX(J1788/IF(BZ1788&gt;0,BZ1788,MAX(0.1,N(Cockpit!$O$6))),CC1788)/BS1788,0)*BS1788</f>
        <v>0</v>
      </c>
      <c r="BA1788" s="58" t="n">
        <f aca="false">IF(AX1788&gt;0,J1788/AX1788,-1)</f>
        <v>-1</v>
      </c>
      <c r="BB1788" s="58" t="str">
        <f aca="false">IF(AND(OR(BY1788="L1",BY1788="L23"),AX1788&gt;0),SUMIFS($AX$7:$AX$1843,$BY$7:$BY$1843,BY1788,$BA$7:$BA$1843,"&gt;"&amp;BA1788)+SUMIFS($AX$7:$AX$1843,$BY$7:$BY$1843,BY1788,$BA$7:$BA$1843,BA1788,$BQ$7:$BQ$1843,"&lt;="&amp;BQ1788),"")</f>
        <v/>
      </c>
      <c r="BC1788" s="65" t="n">
        <f aca="false">IF(BB1788="",0,MAX(0,MIN(1,(IF(BY1788="L1",Parameter!$E$5,Parameter!$E$6+Parameter!$E$7)-(BB1788-AX1788))/AX1788)))</f>
        <v>0</v>
      </c>
      <c r="BD1788" s="55" t="str">
        <f aca="false">IF(AH1788&lt;=0,"",IF(BY1788="Aussen","Aussenlager",IF(BY1788="-","Nicht im Lift",IF(AM1788&gt;=1,"Lift",IF(AM1788&lt;=0,"Aussenlager","teilweise")))))</f>
        <v/>
      </c>
      <c r="BE1788" s="55" t="str">
        <f aca="false">IF(AP1788&lt;=0,"",IF(BY1788="Aussen","Aussenlager",IF(BY1788="-","Nicht im Lift",IF(AU1788&gt;=1,"Lift",IF(AU1788&lt;=0,"Aussenlager","teilweise")))))</f>
        <v/>
      </c>
      <c r="BF1788" s="55" t="str">
        <f aca="false">IF(AX1788&lt;=0,"",IF(BY1788="Aussen","Aussenlager",IF(BY1788="-","Nicht im Lift",IF(BC1788&gt;=1,"Lift",IF(BC1788&lt;=0,"Aussenlager","teilweise")))))</f>
        <v/>
      </c>
      <c r="BG1788" s="55" t="str">
        <f aca="false">IF(A1788="","",IF(BP1788=1,"Neu; ","")&amp;IF(AND(BP1788=0,BK1788&lt;0),"negativer Bestand (Export "&amp;BK1788&amp;"); ","")&amp;IF(J1788&lt;=0,"Kein Verbrauch; ","")&amp;IF(CH1788&gt;0,"Lift "&amp;W1788&amp;" lt. Liftbericht (Fach "&amp;X1788&amp;" Stk); ",IF(BU1788=1,"Gebinde geschätzt ("&amp;T1788&amp;"); ",IF(BT1788=1,"Lose – Tablare geschätzt; ","")))&amp;IF(H1788&gt;AR1788,"Überbestand "&amp;ROUND(H1788-AR1788,0)&amp;" Stk / CHF "&amp;ROUND((H1788-AR1788)*G1788,0)&amp;"; ","")&amp;IF(AND(CA1788=1,CB1788&lt;CC1788),"MAX &lt; MB+LG; ","")&amp;IF(AND(CG1788&gt;0,CF1788*10&gt;CG1788),"zu hoch für Tablar; ","")&amp;IF(AND(BP1788=0,OR(CA1788=1,AA1788&lt;&gt;"",U1788&lt;&gt;"",V1788&lt;&gt;"",AB1788&lt;&gt;"")),"manuell übersteuert; ","")&amp;IF(AND(BT1788=0,R1788=0),"Gebinde unbekannt / Stellmass fehlt; ","")&amp;IF(AND(BT1788=0,N(V1788)&lt;=0,N(Q1788)&lt;=0),"Menge pro Gebinde fehlt (Ist = 1 Gebinde); ","")&amp;BO1788)</f>
        <v/>
      </c>
      <c r="BH1788" s="55"/>
      <c r="BI1788" s="55"/>
      <c r="BJ1788" s="62"/>
      <c r="BK1788" s="57" t="n">
        <f aca="false">N('Neue Artikel'!$D$49)</f>
        <v>0</v>
      </c>
      <c r="BL1788" s="57" t="n">
        <v>0</v>
      </c>
      <c r="BM1788" s="56" t="n">
        <v>0</v>
      </c>
      <c r="BN1788" s="57" t="n">
        <f aca="false">N('Neue Artikel'!$C$49)/Parameter!$B$18</f>
        <v>0</v>
      </c>
      <c r="BO1788" s="55"/>
      <c r="BP1788" s="60" t="n">
        <v>1</v>
      </c>
      <c r="BQ1788" s="60" t="n">
        <v>1788</v>
      </c>
      <c r="BR1788" s="55" t="str">
        <f aca="false">IF(U1788&lt;&gt;"",UPPER(TRIM(U1788)),IF(BU1788=1,UPPER(VLOOKUP(T1788,Parameter!$I$27:$K$29,2,0)),IF(P1788="","LOSE",P1788)))</f>
        <v>LOSE</v>
      </c>
      <c r="BS1788" s="57" t="n">
        <f aca="false">IF(BR1788="LOSE",1,IF(N(V1788)&gt;0,V1788,IF(BU1788=1,MAX(1,N(VLOOKUP(T1788,Parameter!$I$27:$K$29,3,0)),H1788,N(N1788)),IF(N(Q1788)&gt;0,Q1788,MAX(1,H1788)))))</f>
        <v>1</v>
      </c>
      <c r="BT1788" s="60" t="n">
        <f aca="false">IF(BR1788="LOSE",1,0)</f>
        <v>1</v>
      </c>
      <c r="BU1788" s="60" t="n">
        <f aca="false">IF(AND(U1788="",OR(P1788="",P1788="LOSE"),T1788&lt;&gt;"",N(S1788)&lt;=0,ISNUMBER(MATCH(T1788,Parameter!$I$27:$I$29,0))),1,0)</f>
        <v>0</v>
      </c>
      <c r="BV1788" s="55" t="str">
        <f aca="false">IF(AND(Parameter!$B$19="Ja",E1788&lt;&gt;"",ISNUMBER(MATCH(E1788,Parameter!$I$35:$I$52,0))),VLOOKUP(E1788,Parameter!$I$35:$J$52,2,0),IFERROR(VLOOKUP(D1788,Parameter!$A$35:$C$64,2,0),"Nein"))</f>
        <v>2+3</v>
      </c>
      <c r="BW1788" s="59" t="n">
        <f aca="false">IF(BT1788=0,0,IF(N(S1788)&gt;0,S1788,IFERROR(VLOOKUP(D1788,Parameter!$A$35:$C$64,3,0)+0,0)))</f>
        <v>0.15</v>
      </c>
      <c r="BX1788" s="55" t="str">
        <f aca="false">IF(AA1788&lt;&gt;"",AA1788,Z1788)</f>
        <v/>
      </c>
      <c r="BY1788" s="55" t="str">
        <f aca="false">IF(BX1788=1,"L1",IF(OR(BX1788=2,BX1788=3),"L23",IF(BX1788="Aussen","Aussen","-")))</f>
        <v>-</v>
      </c>
      <c r="BZ1788" s="66" t="n">
        <f aca="false">IF(N(AB1788)&gt;0,AB1788,0)</f>
        <v>0</v>
      </c>
      <c r="CA1788" s="60" t="n">
        <f aca="false">IF(ISNUMBER(AE1788),1,0)</f>
        <v>0</v>
      </c>
      <c r="CB1788" s="57" t="n">
        <f aca="false">N(AE1788)</f>
        <v>0</v>
      </c>
      <c r="CC1788" s="57" t="n">
        <f aca="false">N(M1788)+N(N1788)</f>
        <v>0</v>
      </c>
      <c r="CD1788" s="57" t="n">
        <f aca="false">ROUNDUP(H1788/BS1788,0)</f>
        <v>0</v>
      </c>
      <c r="CE1788" s="57" t="n">
        <f aca="false">ROUNDUP(CB1788/BS1788,0)</f>
        <v>0</v>
      </c>
      <c r="CF1788" s="60" t="n">
        <f aca="false">IF(BT1788=1,0,IFERROR(VLOOKUP(BR1788,'Gebinde-Kategorie'!$A$5:$M$45,5,0)+0,0))</f>
        <v>0</v>
      </c>
      <c r="CG1788" s="60" t="n">
        <f aca="false">IFERROR(IF(OR(BX1788=1,BX1788=2,BX1788=3),N(INDEX(Parameter!$I$5:$I$7,BX1788)),0),0)</f>
        <v>0</v>
      </c>
      <c r="CH1788" s="59" t="n">
        <f aca="false">IF(AND(Parameter!$B$21="Ja",ISNUMBER(W1788),N(X1788)&gt;0),IFERROR(N(INDEX(Parameter!$L$5:$L$7,W1788))*INDEX(Parameter!$E$5:$E$7,W1788)*X1788/SUMIFS($X$7:$X$1843,$W$7:$W$1843,W1788),0),0)</f>
        <v>0</v>
      </c>
    </row>
    <row r="1789" customFormat="false" ht="15" hidden="false" customHeight="false" outlineLevel="0" collapsed="false">
      <c r="A1789" s="55" t="str">
        <f aca="false">IF('Neue Artikel'!$A$50="","",'Neue Artikel'!$A$50&amp;"")</f>
        <v/>
      </c>
      <c r="B1789" s="55" t="str">
        <f aca="false">'Neue Artikel'!$B$50&amp;""</f>
        <v/>
      </c>
      <c r="C1789" s="55"/>
      <c r="D1789" s="55" t="s">
        <v>3015</v>
      </c>
      <c r="E1789" s="55"/>
      <c r="F1789" s="55"/>
      <c r="G1789" s="56" t="n">
        <f aca="false">N('Neue Artikel'!$G$50)</f>
        <v>0</v>
      </c>
      <c r="H1789" s="57" t="n">
        <f aca="false">MAX(0,IF(AND(Parameter!$B$21="Ja",ISNUMBER(Y1789)),Y1789,IF(Parameter!$B$20="Jahresanfang 2025 + Export",BL1789+BK1789,BK1789)))</f>
        <v>0</v>
      </c>
      <c r="I1789" s="57" t="n">
        <f aca="false">H1789*G1789</f>
        <v>0</v>
      </c>
      <c r="J1789" s="57" t="n">
        <f aca="false">BN1789*Parameter!$B$18</f>
        <v>0</v>
      </c>
      <c r="K1789" s="58"/>
      <c r="L1789" s="59"/>
      <c r="M1789" s="57" t="n">
        <f aca="false">N('Neue Artikel'!$E$50)</f>
        <v>0</v>
      </c>
      <c r="N1789" s="57" t="n">
        <f aca="false">N('Neue Artikel'!$F$50)</f>
        <v>0</v>
      </c>
      <c r="O1789" s="60"/>
      <c r="P1789" s="55" t="str">
        <f aca="false">IF('Neue Artikel'!$H$50="","LOSE",UPPER(TRIM('Neue Artikel'!$H$50)))</f>
        <v>LOSE</v>
      </c>
      <c r="Q1789" s="57" t="n">
        <f aca="false">N('Neue Artikel'!$I$50)</f>
        <v>0</v>
      </c>
      <c r="R1789" s="60" t="n">
        <f aca="false">IF(BT1789=1,0,IFERROR(VLOOKUP(BR1789,'Gebinde-Kategorie'!$A$5:$M$45,13,0)+0,0))</f>
        <v>0</v>
      </c>
      <c r="S1789" s="61"/>
      <c r="T1789" s="62"/>
      <c r="U1789" s="62"/>
      <c r="V1789" s="62"/>
      <c r="W1789" s="55"/>
      <c r="X1789" s="57"/>
      <c r="Y1789" s="57"/>
      <c r="Z1789" s="55" t="str">
        <f aca="false">IF(A1789="","",IF(AND(Parameter!$B$21="Ja",ISNUMBER(W1789)),W1789,IF(BV1789="2+3",IF(ISNUMBER(SEARCH("grosser Artikel",BO1789)),2,IFERROR(VLOOKUP(BR1789,Parameter!$F$35:$G$64,2,0),2)),IF(OR(BV1789="Nein",BV1789=""),"-",BV1789))))</f>
        <v/>
      </c>
      <c r="AA1789" s="55" t="str">
        <f aca="false">IF('Neue Artikel'!$J$50="","",'Neue Artikel'!$J$50)</f>
        <v/>
      </c>
      <c r="AB1789" s="63"/>
      <c r="AC1789" s="57" t="n">
        <f aca="false">AR1789</f>
        <v>0</v>
      </c>
      <c r="AD1789" s="57" t="n">
        <f aca="false">MAX(AR1789,H1789)</f>
        <v>0</v>
      </c>
      <c r="AE1789" s="64"/>
      <c r="AF1789" s="57" t="n">
        <f aca="false">IF(LEFT(Cockpit!$C$5,1)="A",H1789,IF(CA1789=1,CB1789,IF(LEFT(Cockpit!$C$5,1)="B",AJ1789,MAX(AJ1789,H1789))))</f>
        <v>0</v>
      </c>
      <c r="AG1789" s="57" t="n">
        <f aca="false">IF(BT1789=1,0,ROUNDUP(AF1789/BS1789,0))</f>
        <v>0</v>
      </c>
      <c r="AH1789" s="59" t="n">
        <f aca="false">IF(CH1789&gt;0,CH1789*MAX(1,AF1789/X1789),IF(BT1789=1,IF(AF1789&lt;=0,0,BW1789*MAX(1,IF(H1789&gt;0,AF1789/H1789,1))),IF(R1789&gt;0,AG1789/R1789,0))/MAX(0.1,N(Parameter!$M$21)))</f>
        <v>0</v>
      </c>
      <c r="AI1789" s="57" t="n">
        <f aca="false">AF1789*G1789</f>
        <v>0</v>
      </c>
      <c r="AJ1789" s="57" t="n">
        <f aca="false">ROUNDUP(MAX(J1789/IF(BZ1789&gt;0,BZ1789,MAX(0.1,N(Cockpit!$C$6))),CC1789)/BS1789,0)*BS1789</f>
        <v>0</v>
      </c>
      <c r="AK1789" s="58" t="n">
        <f aca="false">IF(AH1789&gt;0,J1789/AH1789,-1)</f>
        <v>-1</v>
      </c>
      <c r="AL1789" s="58" t="str">
        <f aca="false">IF(AND(OR(BY1789="L1",BY1789="L23"),AH1789&gt;0),SUMIFS($AH$7:$AH$1843,$BY$7:$BY$1843,BY1789,$AK$7:$AK$1843,"&gt;"&amp;AK1789)+SUMIFS($AH$7:$AH$1843,$BY$7:$BY$1843,BY1789,$AK$7:$AK$1843,AK1789,$BQ$7:$BQ$1843,"&lt;="&amp;BQ1789),"")</f>
        <v/>
      </c>
      <c r="AM1789" s="65" t="n">
        <f aca="false">IF(AL1789="",0,MAX(0,MIN(1,(IF(BY1789="L1",Parameter!$E$5,Parameter!$E$6+Parameter!$E$7)-(AL1789-AH1789))/AH1789)))</f>
        <v>0</v>
      </c>
      <c r="AN1789" s="57" t="n">
        <f aca="false">IF(LEFT(Cockpit!$I$5,1)="A",H1789,IF(CA1789=1,CB1789,IF(LEFT(Cockpit!$I$5,1)="B",AR1789,MAX(AR1789,H1789))))</f>
        <v>0</v>
      </c>
      <c r="AO1789" s="57" t="n">
        <f aca="false">IF(BT1789=1,0,ROUNDUP(AN1789/BS1789,0))</f>
        <v>0</v>
      </c>
      <c r="AP1789" s="59" t="n">
        <f aca="false">IF(CH1789&gt;0,CH1789*MAX(1,AN1789/X1789),IF(BT1789=1,IF(AN1789&lt;=0,0,BW1789*MAX(1,IF(H1789&gt;0,AN1789/H1789,1))),IF(R1789&gt;0,AO1789/R1789,0))/MAX(0.1,N(Parameter!$M$21)))</f>
        <v>0</v>
      </c>
      <c r="AQ1789" s="57" t="n">
        <f aca="false">AN1789*G1789</f>
        <v>0</v>
      </c>
      <c r="AR1789" s="57" t="n">
        <f aca="false">ROUNDUP(MAX(J1789/IF(BZ1789&gt;0,BZ1789,MAX(0.1,N(Cockpit!$I$6))),CC1789)/BS1789,0)*BS1789</f>
        <v>0</v>
      </c>
      <c r="AS1789" s="58" t="n">
        <f aca="false">IF(AP1789&gt;0,J1789/AP1789,-1)</f>
        <v>-1</v>
      </c>
      <c r="AT1789" s="58" t="str">
        <f aca="false">IF(AND(OR(BY1789="L1",BY1789="L23"),AP1789&gt;0),SUMIFS($AP$7:$AP$1843,$BY$7:$BY$1843,BY1789,$AS$7:$AS$1843,"&gt;"&amp;AS1789)+SUMIFS($AP$7:$AP$1843,$BY$7:$BY$1843,BY1789,$AS$7:$AS$1843,AS1789,$BQ$7:$BQ$1843,"&lt;="&amp;BQ1789),"")</f>
        <v/>
      </c>
      <c r="AU1789" s="65" t="n">
        <f aca="false">IF(AT1789="",0,MAX(0,MIN(1,(IF(BY1789="L1",Parameter!$E$5,Parameter!$E$6+Parameter!$E$7)-(AT1789-AP1789))/AP1789)))</f>
        <v>0</v>
      </c>
      <c r="AV1789" s="57" t="n">
        <f aca="false">IF(LEFT(Cockpit!$O$5,1)="A",H1789,IF(CA1789=1,CB1789,IF(LEFT(Cockpit!$O$5,1)="B",AZ1789,MAX(AZ1789,H1789))))</f>
        <v>0</v>
      </c>
      <c r="AW1789" s="57" t="n">
        <f aca="false">IF(BT1789=1,0,ROUNDUP(AV1789/BS1789,0))</f>
        <v>0</v>
      </c>
      <c r="AX1789" s="59" t="n">
        <f aca="false">IF(CH1789&gt;0,CH1789*MAX(1,AV1789/X1789),IF(BT1789=1,IF(AV1789&lt;=0,0,BW1789*MAX(1,IF(H1789&gt;0,AV1789/H1789,1))),IF(R1789&gt;0,AW1789/R1789,0))/MAX(0.1,N(Parameter!$M$21)))</f>
        <v>0</v>
      </c>
      <c r="AY1789" s="57" t="n">
        <f aca="false">AV1789*G1789</f>
        <v>0</v>
      </c>
      <c r="AZ1789" s="57" t="n">
        <f aca="false">ROUNDUP(MAX(J1789/IF(BZ1789&gt;0,BZ1789,MAX(0.1,N(Cockpit!$O$6))),CC1789)/BS1789,0)*BS1789</f>
        <v>0</v>
      </c>
      <c r="BA1789" s="58" t="n">
        <f aca="false">IF(AX1789&gt;0,J1789/AX1789,-1)</f>
        <v>-1</v>
      </c>
      <c r="BB1789" s="58" t="str">
        <f aca="false">IF(AND(OR(BY1789="L1",BY1789="L23"),AX1789&gt;0),SUMIFS($AX$7:$AX$1843,$BY$7:$BY$1843,BY1789,$BA$7:$BA$1843,"&gt;"&amp;BA1789)+SUMIFS($AX$7:$AX$1843,$BY$7:$BY$1843,BY1789,$BA$7:$BA$1843,BA1789,$BQ$7:$BQ$1843,"&lt;="&amp;BQ1789),"")</f>
        <v/>
      </c>
      <c r="BC1789" s="65" t="n">
        <f aca="false">IF(BB1789="",0,MAX(0,MIN(1,(IF(BY1789="L1",Parameter!$E$5,Parameter!$E$6+Parameter!$E$7)-(BB1789-AX1789))/AX1789)))</f>
        <v>0</v>
      </c>
      <c r="BD1789" s="55" t="str">
        <f aca="false">IF(AH1789&lt;=0,"",IF(BY1789="Aussen","Aussenlager",IF(BY1789="-","Nicht im Lift",IF(AM1789&gt;=1,"Lift",IF(AM1789&lt;=0,"Aussenlager","teilweise")))))</f>
        <v/>
      </c>
      <c r="BE1789" s="55" t="str">
        <f aca="false">IF(AP1789&lt;=0,"",IF(BY1789="Aussen","Aussenlager",IF(BY1789="-","Nicht im Lift",IF(AU1789&gt;=1,"Lift",IF(AU1789&lt;=0,"Aussenlager","teilweise")))))</f>
        <v/>
      </c>
      <c r="BF1789" s="55" t="str">
        <f aca="false">IF(AX1789&lt;=0,"",IF(BY1789="Aussen","Aussenlager",IF(BY1789="-","Nicht im Lift",IF(BC1789&gt;=1,"Lift",IF(BC1789&lt;=0,"Aussenlager","teilweise")))))</f>
        <v/>
      </c>
      <c r="BG1789" s="55" t="str">
        <f aca="false">IF(A1789="","",IF(BP1789=1,"Neu; ","")&amp;IF(AND(BP1789=0,BK1789&lt;0),"negativer Bestand (Export "&amp;BK1789&amp;"); ","")&amp;IF(J1789&lt;=0,"Kein Verbrauch; ","")&amp;IF(CH1789&gt;0,"Lift "&amp;W1789&amp;" lt. Liftbericht (Fach "&amp;X1789&amp;" Stk); ",IF(BU1789=1,"Gebinde geschätzt ("&amp;T1789&amp;"); ",IF(BT1789=1,"Lose – Tablare geschätzt; ","")))&amp;IF(H1789&gt;AR1789,"Überbestand "&amp;ROUND(H1789-AR1789,0)&amp;" Stk / CHF "&amp;ROUND((H1789-AR1789)*G1789,0)&amp;"; ","")&amp;IF(AND(CA1789=1,CB1789&lt;CC1789),"MAX &lt; MB+LG; ","")&amp;IF(AND(CG1789&gt;0,CF1789*10&gt;CG1789),"zu hoch für Tablar; ","")&amp;IF(AND(BP1789=0,OR(CA1789=1,AA1789&lt;&gt;"",U1789&lt;&gt;"",V1789&lt;&gt;"",AB1789&lt;&gt;"")),"manuell übersteuert; ","")&amp;IF(AND(BT1789=0,R1789=0),"Gebinde unbekannt / Stellmass fehlt; ","")&amp;IF(AND(BT1789=0,N(V1789)&lt;=0,N(Q1789)&lt;=0),"Menge pro Gebinde fehlt (Ist = 1 Gebinde); ","")&amp;BO1789)</f>
        <v/>
      </c>
      <c r="BH1789" s="55"/>
      <c r="BI1789" s="55"/>
      <c r="BJ1789" s="62"/>
      <c r="BK1789" s="57" t="n">
        <f aca="false">N('Neue Artikel'!$D$50)</f>
        <v>0</v>
      </c>
      <c r="BL1789" s="57" t="n">
        <v>0</v>
      </c>
      <c r="BM1789" s="56" t="n">
        <v>0</v>
      </c>
      <c r="BN1789" s="57" t="n">
        <f aca="false">N('Neue Artikel'!$C$50)/Parameter!$B$18</f>
        <v>0</v>
      </c>
      <c r="BO1789" s="55"/>
      <c r="BP1789" s="60" t="n">
        <v>1</v>
      </c>
      <c r="BQ1789" s="60" t="n">
        <v>1789</v>
      </c>
      <c r="BR1789" s="55" t="str">
        <f aca="false">IF(U1789&lt;&gt;"",UPPER(TRIM(U1789)),IF(BU1789=1,UPPER(VLOOKUP(T1789,Parameter!$I$27:$K$29,2,0)),IF(P1789="","LOSE",P1789)))</f>
        <v>LOSE</v>
      </c>
      <c r="BS1789" s="57" t="n">
        <f aca="false">IF(BR1789="LOSE",1,IF(N(V1789)&gt;0,V1789,IF(BU1789=1,MAX(1,N(VLOOKUP(T1789,Parameter!$I$27:$K$29,3,0)),H1789,N(N1789)),IF(N(Q1789)&gt;0,Q1789,MAX(1,H1789)))))</f>
        <v>1</v>
      </c>
      <c r="BT1789" s="60" t="n">
        <f aca="false">IF(BR1789="LOSE",1,0)</f>
        <v>1</v>
      </c>
      <c r="BU1789" s="60" t="n">
        <f aca="false">IF(AND(U1789="",OR(P1789="",P1789="LOSE"),T1789&lt;&gt;"",N(S1789)&lt;=0,ISNUMBER(MATCH(T1789,Parameter!$I$27:$I$29,0))),1,0)</f>
        <v>0</v>
      </c>
      <c r="BV1789" s="55" t="str">
        <f aca="false">IF(AND(Parameter!$B$19="Ja",E1789&lt;&gt;"",ISNUMBER(MATCH(E1789,Parameter!$I$35:$I$52,0))),VLOOKUP(E1789,Parameter!$I$35:$J$52,2,0),IFERROR(VLOOKUP(D1789,Parameter!$A$35:$C$64,2,0),"Nein"))</f>
        <v>2+3</v>
      </c>
      <c r="BW1789" s="59" t="n">
        <f aca="false">IF(BT1789=0,0,IF(N(S1789)&gt;0,S1789,IFERROR(VLOOKUP(D1789,Parameter!$A$35:$C$64,3,0)+0,0)))</f>
        <v>0.15</v>
      </c>
      <c r="BX1789" s="55" t="str">
        <f aca="false">IF(AA1789&lt;&gt;"",AA1789,Z1789)</f>
        <v/>
      </c>
      <c r="BY1789" s="55" t="str">
        <f aca="false">IF(BX1789=1,"L1",IF(OR(BX1789=2,BX1789=3),"L23",IF(BX1789="Aussen","Aussen","-")))</f>
        <v>-</v>
      </c>
      <c r="BZ1789" s="66" t="n">
        <f aca="false">IF(N(AB1789)&gt;0,AB1789,0)</f>
        <v>0</v>
      </c>
      <c r="CA1789" s="60" t="n">
        <f aca="false">IF(ISNUMBER(AE1789),1,0)</f>
        <v>0</v>
      </c>
      <c r="CB1789" s="57" t="n">
        <f aca="false">N(AE1789)</f>
        <v>0</v>
      </c>
      <c r="CC1789" s="57" t="n">
        <f aca="false">N(M1789)+N(N1789)</f>
        <v>0</v>
      </c>
      <c r="CD1789" s="57" t="n">
        <f aca="false">ROUNDUP(H1789/BS1789,0)</f>
        <v>0</v>
      </c>
      <c r="CE1789" s="57" t="n">
        <f aca="false">ROUNDUP(CB1789/BS1789,0)</f>
        <v>0</v>
      </c>
      <c r="CF1789" s="60" t="n">
        <f aca="false">IF(BT1789=1,0,IFERROR(VLOOKUP(BR1789,'Gebinde-Kategorie'!$A$5:$M$45,5,0)+0,0))</f>
        <v>0</v>
      </c>
      <c r="CG1789" s="60" t="n">
        <f aca="false">IFERROR(IF(OR(BX1789=1,BX1789=2,BX1789=3),N(INDEX(Parameter!$I$5:$I$7,BX1789)),0),0)</f>
        <v>0</v>
      </c>
      <c r="CH1789" s="59" t="n">
        <f aca="false">IF(AND(Parameter!$B$21="Ja",ISNUMBER(W1789),N(X1789)&gt;0),IFERROR(N(INDEX(Parameter!$L$5:$L$7,W1789))*INDEX(Parameter!$E$5:$E$7,W1789)*X1789/SUMIFS($X$7:$X$1843,$W$7:$W$1843,W1789),0),0)</f>
        <v>0</v>
      </c>
    </row>
    <row r="1790" customFormat="false" ht="15" hidden="false" customHeight="false" outlineLevel="0" collapsed="false">
      <c r="A1790" s="55" t="str">
        <f aca="false">IF('Neue Artikel'!$A$51="","",'Neue Artikel'!$A$51&amp;"")</f>
        <v/>
      </c>
      <c r="B1790" s="55" t="str">
        <f aca="false">'Neue Artikel'!$B$51&amp;""</f>
        <v/>
      </c>
      <c r="C1790" s="55"/>
      <c r="D1790" s="55" t="s">
        <v>3015</v>
      </c>
      <c r="E1790" s="55"/>
      <c r="F1790" s="55"/>
      <c r="G1790" s="56" t="n">
        <f aca="false">N('Neue Artikel'!$G$51)</f>
        <v>0</v>
      </c>
      <c r="H1790" s="57" t="n">
        <f aca="false">MAX(0,IF(AND(Parameter!$B$21="Ja",ISNUMBER(Y1790)),Y1790,IF(Parameter!$B$20="Jahresanfang 2025 + Export",BL1790+BK1790,BK1790)))</f>
        <v>0</v>
      </c>
      <c r="I1790" s="57" t="n">
        <f aca="false">H1790*G1790</f>
        <v>0</v>
      </c>
      <c r="J1790" s="57" t="n">
        <f aca="false">BN1790*Parameter!$B$18</f>
        <v>0</v>
      </c>
      <c r="K1790" s="58"/>
      <c r="L1790" s="59"/>
      <c r="M1790" s="57" t="n">
        <f aca="false">N('Neue Artikel'!$E$51)</f>
        <v>0</v>
      </c>
      <c r="N1790" s="57" t="n">
        <f aca="false">N('Neue Artikel'!$F$51)</f>
        <v>0</v>
      </c>
      <c r="O1790" s="60"/>
      <c r="P1790" s="55" t="str">
        <f aca="false">IF('Neue Artikel'!$H$51="","LOSE",UPPER(TRIM('Neue Artikel'!$H$51)))</f>
        <v>LOSE</v>
      </c>
      <c r="Q1790" s="57" t="n">
        <f aca="false">N('Neue Artikel'!$I$51)</f>
        <v>0</v>
      </c>
      <c r="R1790" s="60" t="n">
        <f aca="false">IF(BT1790=1,0,IFERROR(VLOOKUP(BR1790,'Gebinde-Kategorie'!$A$5:$M$45,13,0)+0,0))</f>
        <v>0</v>
      </c>
      <c r="S1790" s="61"/>
      <c r="T1790" s="62"/>
      <c r="U1790" s="62"/>
      <c r="V1790" s="62"/>
      <c r="W1790" s="55"/>
      <c r="X1790" s="57"/>
      <c r="Y1790" s="57"/>
      <c r="Z1790" s="55" t="str">
        <f aca="false">IF(A1790="","",IF(AND(Parameter!$B$21="Ja",ISNUMBER(W1790)),W1790,IF(BV1790="2+3",IF(ISNUMBER(SEARCH("grosser Artikel",BO1790)),2,IFERROR(VLOOKUP(BR1790,Parameter!$F$35:$G$64,2,0),2)),IF(OR(BV1790="Nein",BV1790=""),"-",BV1790))))</f>
        <v/>
      </c>
      <c r="AA1790" s="55" t="str">
        <f aca="false">IF('Neue Artikel'!$J$51="","",'Neue Artikel'!$J$51)</f>
        <v/>
      </c>
      <c r="AB1790" s="63"/>
      <c r="AC1790" s="57" t="n">
        <f aca="false">AR1790</f>
        <v>0</v>
      </c>
      <c r="AD1790" s="57" t="n">
        <f aca="false">MAX(AR1790,H1790)</f>
        <v>0</v>
      </c>
      <c r="AE1790" s="64"/>
      <c r="AF1790" s="57" t="n">
        <f aca="false">IF(LEFT(Cockpit!$C$5,1)="A",H1790,IF(CA1790=1,CB1790,IF(LEFT(Cockpit!$C$5,1)="B",AJ1790,MAX(AJ1790,H1790))))</f>
        <v>0</v>
      </c>
      <c r="AG1790" s="57" t="n">
        <f aca="false">IF(BT1790=1,0,ROUNDUP(AF1790/BS1790,0))</f>
        <v>0</v>
      </c>
      <c r="AH1790" s="59" t="n">
        <f aca="false">IF(CH1790&gt;0,CH1790*MAX(1,AF1790/X1790),IF(BT1790=1,IF(AF1790&lt;=0,0,BW1790*MAX(1,IF(H1790&gt;0,AF1790/H1790,1))),IF(R1790&gt;0,AG1790/R1790,0))/MAX(0.1,N(Parameter!$M$21)))</f>
        <v>0</v>
      </c>
      <c r="AI1790" s="57" t="n">
        <f aca="false">AF1790*G1790</f>
        <v>0</v>
      </c>
      <c r="AJ1790" s="57" t="n">
        <f aca="false">ROUNDUP(MAX(J1790/IF(BZ1790&gt;0,BZ1790,MAX(0.1,N(Cockpit!$C$6))),CC1790)/BS1790,0)*BS1790</f>
        <v>0</v>
      </c>
      <c r="AK1790" s="58" t="n">
        <f aca="false">IF(AH1790&gt;0,J1790/AH1790,-1)</f>
        <v>-1</v>
      </c>
      <c r="AL1790" s="58" t="str">
        <f aca="false">IF(AND(OR(BY1790="L1",BY1790="L23"),AH1790&gt;0),SUMIFS($AH$7:$AH$1843,$BY$7:$BY$1843,BY1790,$AK$7:$AK$1843,"&gt;"&amp;AK1790)+SUMIFS($AH$7:$AH$1843,$BY$7:$BY$1843,BY1790,$AK$7:$AK$1843,AK1790,$BQ$7:$BQ$1843,"&lt;="&amp;BQ1790),"")</f>
        <v/>
      </c>
      <c r="AM1790" s="65" t="n">
        <f aca="false">IF(AL1790="",0,MAX(0,MIN(1,(IF(BY1790="L1",Parameter!$E$5,Parameter!$E$6+Parameter!$E$7)-(AL1790-AH1790))/AH1790)))</f>
        <v>0</v>
      </c>
      <c r="AN1790" s="57" t="n">
        <f aca="false">IF(LEFT(Cockpit!$I$5,1)="A",H1790,IF(CA1790=1,CB1790,IF(LEFT(Cockpit!$I$5,1)="B",AR1790,MAX(AR1790,H1790))))</f>
        <v>0</v>
      </c>
      <c r="AO1790" s="57" t="n">
        <f aca="false">IF(BT1790=1,0,ROUNDUP(AN1790/BS1790,0))</f>
        <v>0</v>
      </c>
      <c r="AP1790" s="59" t="n">
        <f aca="false">IF(CH1790&gt;0,CH1790*MAX(1,AN1790/X1790),IF(BT1790=1,IF(AN1790&lt;=0,0,BW1790*MAX(1,IF(H1790&gt;0,AN1790/H1790,1))),IF(R1790&gt;0,AO1790/R1790,0))/MAX(0.1,N(Parameter!$M$21)))</f>
        <v>0</v>
      </c>
      <c r="AQ1790" s="57" t="n">
        <f aca="false">AN1790*G1790</f>
        <v>0</v>
      </c>
      <c r="AR1790" s="57" t="n">
        <f aca="false">ROUNDUP(MAX(J1790/IF(BZ1790&gt;0,BZ1790,MAX(0.1,N(Cockpit!$I$6))),CC1790)/BS1790,0)*BS1790</f>
        <v>0</v>
      </c>
      <c r="AS1790" s="58" t="n">
        <f aca="false">IF(AP1790&gt;0,J1790/AP1790,-1)</f>
        <v>-1</v>
      </c>
      <c r="AT1790" s="58" t="str">
        <f aca="false">IF(AND(OR(BY1790="L1",BY1790="L23"),AP1790&gt;0),SUMIFS($AP$7:$AP$1843,$BY$7:$BY$1843,BY1790,$AS$7:$AS$1843,"&gt;"&amp;AS1790)+SUMIFS($AP$7:$AP$1843,$BY$7:$BY$1843,BY1790,$AS$7:$AS$1843,AS1790,$BQ$7:$BQ$1843,"&lt;="&amp;BQ1790),"")</f>
        <v/>
      </c>
      <c r="AU1790" s="65" t="n">
        <f aca="false">IF(AT1790="",0,MAX(0,MIN(1,(IF(BY1790="L1",Parameter!$E$5,Parameter!$E$6+Parameter!$E$7)-(AT1790-AP1790))/AP1790)))</f>
        <v>0</v>
      </c>
      <c r="AV1790" s="57" t="n">
        <f aca="false">IF(LEFT(Cockpit!$O$5,1)="A",H1790,IF(CA1790=1,CB1790,IF(LEFT(Cockpit!$O$5,1)="B",AZ1790,MAX(AZ1790,H1790))))</f>
        <v>0</v>
      </c>
      <c r="AW1790" s="57" t="n">
        <f aca="false">IF(BT1790=1,0,ROUNDUP(AV1790/BS1790,0))</f>
        <v>0</v>
      </c>
      <c r="AX1790" s="59" t="n">
        <f aca="false">IF(CH1790&gt;0,CH1790*MAX(1,AV1790/X1790),IF(BT1790=1,IF(AV1790&lt;=0,0,BW1790*MAX(1,IF(H1790&gt;0,AV1790/H1790,1))),IF(R1790&gt;0,AW1790/R1790,0))/MAX(0.1,N(Parameter!$M$21)))</f>
        <v>0</v>
      </c>
      <c r="AY1790" s="57" t="n">
        <f aca="false">AV1790*G1790</f>
        <v>0</v>
      </c>
      <c r="AZ1790" s="57" t="n">
        <f aca="false">ROUNDUP(MAX(J1790/IF(BZ1790&gt;0,BZ1790,MAX(0.1,N(Cockpit!$O$6))),CC1790)/BS1790,0)*BS1790</f>
        <v>0</v>
      </c>
      <c r="BA1790" s="58" t="n">
        <f aca="false">IF(AX1790&gt;0,J1790/AX1790,-1)</f>
        <v>-1</v>
      </c>
      <c r="BB1790" s="58" t="str">
        <f aca="false">IF(AND(OR(BY1790="L1",BY1790="L23"),AX1790&gt;0),SUMIFS($AX$7:$AX$1843,$BY$7:$BY$1843,BY1790,$BA$7:$BA$1843,"&gt;"&amp;BA1790)+SUMIFS($AX$7:$AX$1843,$BY$7:$BY$1843,BY1790,$BA$7:$BA$1843,BA1790,$BQ$7:$BQ$1843,"&lt;="&amp;BQ1790),"")</f>
        <v/>
      </c>
      <c r="BC1790" s="65" t="n">
        <f aca="false">IF(BB1790="",0,MAX(0,MIN(1,(IF(BY1790="L1",Parameter!$E$5,Parameter!$E$6+Parameter!$E$7)-(BB1790-AX1790))/AX1790)))</f>
        <v>0</v>
      </c>
      <c r="BD1790" s="55" t="str">
        <f aca="false">IF(AH1790&lt;=0,"",IF(BY1790="Aussen","Aussenlager",IF(BY1790="-","Nicht im Lift",IF(AM1790&gt;=1,"Lift",IF(AM1790&lt;=0,"Aussenlager","teilweise")))))</f>
        <v/>
      </c>
      <c r="BE1790" s="55" t="str">
        <f aca="false">IF(AP1790&lt;=0,"",IF(BY1790="Aussen","Aussenlager",IF(BY1790="-","Nicht im Lift",IF(AU1790&gt;=1,"Lift",IF(AU1790&lt;=0,"Aussenlager","teilweise")))))</f>
        <v/>
      </c>
      <c r="BF1790" s="55" t="str">
        <f aca="false">IF(AX1790&lt;=0,"",IF(BY1790="Aussen","Aussenlager",IF(BY1790="-","Nicht im Lift",IF(BC1790&gt;=1,"Lift",IF(BC1790&lt;=0,"Aussenlager","teilweise")))))</f>
        <v/>
      </c>
      <c r="BG1790" s="55" t="str">
        <f aca="false">IF(A1790="","",IF(BP1790=1,"Neu; ","")&amp;IF(AND(BP1790=0,BK1790&lt;0),"negativer Bestand (Export "&amp;BK1790&amp;"); ","")&amp;IF(J1790&lt;=0,"Kein Verbrauch; ","")&amp;IF(CH1790&gt;0,"Lift "&amp;W1790&amp;" lt. Liftbericht (Fach "&amp;X1790&amp;" Stk); ",IF(BU1790=1,"Gebinde geschätzt ("&amp;T1790&amp;"); ",IF(BT1790=1,"Lose – Tablare geschätzt; ","")))&amp;IF(H1790&gt;AR1790,"Überbestand "&amp;ROUND(H1790-AR1790,0)&amp;" Stk / CHF "&amp;ROUND((H1790-AR1790)*G1790,0)&amp;"; ","")&amp;IF(AND(CA1790=1,CB1790&lt;CC1790),"MAX &lt; MB+LG; ","")&amp;IF(AND(CG1790&gt;0,CF1790*10&gt;CG1790),"zu hoch für Tablar; ","")&amp;IF(AND(BP1790=0,OR(CA1790=1,AA1790&lt;&gt;"",U1790&lt;&gt;"",V1790&lt;&gt;"",AB1790&lt;&gt;"")),"manuell übersteuert; ","")&amp;IF(AND(BT1790=0,R1790=0),"Gebinde unbekannt / Stellmass fehlt; ","")&amp;IF(AND(BT1790=0,N(V1790)&lt;=0,N(Q1790)&lt;=0),"Menge pro Gebinde fehlt (Ist = 1 Gebinde); ","")&amp;BO1790)</f>
        <v/>
      </c>
      <c r="BH1790" s="55"/>
      <c r="BI1790" s="55"/>
      <c r="BJ1790" s="62"/>
      <c r="BK1790" s="57" t="n">
        <f aca="false">N('Neue Artikel'!$D$51)</f>
        <v>0</v>
      </c>
      <c r="BL1790" s="57" t="n">
        <v>0</v>
      </c>
      <c r="BM1790" s="56" t="n">
        <v>0</v>
      </c>
      <c r="BN1790" s="57" t="n">
        <f aca="false">N('Neue Artikel'!$C$51)/Parameter!$B$18</f>
        <v>0</v>
      </c>
      <c r="BO1790" s="55"/>
      <c r="BP1790" s="60" t="n">
        <v>1</v>
      </c>
      <c r="BQ1790" s="60" t="n">
        <v>1790</v>
      </c>
      <c r="BR1790" s="55" t="str">
        <f aca="false">IF(U1790&lt;&gt;"",UPPER(TRIM(U1790)),IF(BU1790=1,UPPER(VLOOKUP(T1790,Parameter!$I$27:$K$29,2,0)),IF(P1790="","LOSE",P1790)))</f>
        <v>LOSE</v>
      </c>
      <c r="BS1790" s="57" t="n">
        <f aca="false">IF(BR1790="LOSE",1,IF(N(V1790)&gt;0,V1790,IF(BU1790=1,MAX(1,N(VLOOKUP(T1790,Parameter!$I$27:$K$29,3,0)),H1790,N(N1790)),IF(N(Q1790)&gt;0,Q1790,MAX(1,H1790)))))</f>
        <v>1</v>
      </c>
      <c r="BT1790" s="60" t="n">
        <f aca="false">IF(BR1790="LOSE",1,0)</f>
        <v>1</v>
      </c>
      <c r="BU1790" s="60" t="n">
        <f aca="false">IF(AND(U1790="",OR(P1790="",P1790="LOSE"),T1790&lt;&gt;"",N(S1790)&lt;=0,ISNUMBER(MATCH(T1790,Parameter!$I$27:$I$29,0))),1,0)</f>
        <v>0</v>
      </c>
      <c r="BV1790" s="55" t="str">
        <f aca="false">IF(AND(Parameter!$B$19="Ja",E1790&lt;&gt;"",ISNUMBER(MATCH(E1790,Parameter!$I$35:$I$52,0))),VLOOKUP(E1790,Parameter!$I$35:$J$52,2,0),IFERROR(VLOOKUP(D1790,Parameter!$A$35:$C$64,2,0),"Nein"))</f>
        <v>2+3</v>
      </c>
      <c r="BW1790" s="59" t="n">
        <f aca="false">IF(BT1790=0,0,IF(N(S1790)&gt;0,S1790,IFERROR(VLOOKUP(D1790,Parameter!$A$35:$C$64,3,0)+0,0)))</f>
        <v>0.15</v>
      </c>
      <c r="BX1790" s="55" t="str">
        <f aca="false">IF(AA1790&lt;&gt;"",AA1790,Z1790)</f>
        <v/>
      </c>
      <c r="BY1790" s="55" t="str">
        <f aca="false">IF(BX1790=1,"L1",IF(OR(BX1790=2,BX1790=3),"L23",IF(BX1790="Aussen","Aussen","-")))</f>
        <v>-</v>
      </c>
      <c r="BZ1790" s="66" t="n">
        <f aca="false">IF(N(AB1790)&gt;0,AB1790,0)</f>
        <v>0</v>
      </c>
      <c r="CA1790" s="60" t="n">
        <f aca="false">IF(ISNUMBER(AE1790),1,0)</f>
        <v>0</v>
      </c>
      <c r="CB1790" s="57" t="n">
        <f aca="false">N(AE1790)</f>
        <v>0</v>
      </c>
      <c r="CC1790" s="57" t="n">
        <f aca="false">N(M1790)+N(N1790)</f>
        <v>0</v>
      </c>
      <c r="CD1790" s="57" t="n">
        <f aca="false">ROUNDUP(H1790/BS1790,0)</f>
        <v>0</v>
      </c>
      <c r="CE1790" s="57" t="n">
        <f aca="false">ROUNDUP(CB1790/BS1790,0)</f>
        <v>0</v>
      </c>
      <c r="CF1790" s="60" t="n">
        <f aca="false">IF(BT1790=1,0,IFERROR(VLOOKUP(BR1790,'Gebinde-Kategorie'!$A$5:$M$45,5,0)+0,0))</f>
        <v>0</v>
      </c>
      <c r="CG1790" s="60" t="n">
        <f aca="false">IFERROR(IF(OR(BX1790=1,BX1790=2,BX1790=3),N(INDEX(Parameter!$I$5:$I$7,BX1790)),0),0)</f>
        <v>0</v>
      </c>
      <c r="CH1790" s="59" t="n">
        <f aca="false">IF(AND(Parameter!$B$21="Ja",ISNUMBER(W1790),N(X1790)&gt;0),IFERROR(N(INDEX(Parameter!$L$5:$L$7,W1790))*INDEX(Parameter!$E$5:$E$7,W1790)*X1790/SUMIFS($X$7:$X$1843,$W$7:$W$1843,W1790),0),0)</f>
        <v>0</v>
      </c>
    </row>
    <row r="1791" customFormat="false" ht="15" hidden="false" customHeight="false" outlineLevel="0" collapsed="false">
      <c r="A1791" s="55" t="str">
        <f aca="false">IF('Neue Artikel'!$A$52="","",'Neue Artikel'!$A$52&amp;"")</f>
        <v/>
      </c>
      <c r="B1791" s="55" t="str">
        <f aca="false">'Neue Artikel'!$B$52&amp;""</f>
        <v/>
      </c>
      <c r="C1791" s="55"/>
      <c r="D1791" s="55" t="s">
        <v>3015</v>
      </c>
      <c r="E1791" s="55"/>
      <c r="F1791" s="55"/>
      <c r="G1791" s="56" t="n">
        <f aca="false">N('Neue Artikel'!$G$52)</f>
        <v>0</v>
      </c>
      <c r="H1791" s="57" t="n">
        <f aca="false">MAX(0,IF(AND(Parameter!$B$21="Ja",ISNUMBER(Y1791)),Y1791,IF(Parameter!$B$20="Jahresanfang 2025 + Export",BL1791+BK1791,BK1791)))</f>
        <v>0</v>
      </c>
      <c r="I1791" s="57" t="n">
        <f aca="false">H1791*G1791</f>
        <v>0</v>
      </c>
      <c r="J1791" s="57" t="n">
        <f aca="false">BN1791*Parameter!$B$18</f>
        <v>0</v>
      </c>
      <c r="K1791" s="58"/>
      <c r="L1791" s="59"/>
      <c r="M1791" s="57" t="n">
        <f aca="false">N('Neue Artikel'!$E$52)</f>
        <v>0</v>
      </c>
      <c r="N1791" s="57" t="n">
        <f aca="false">N('Neue Artikel'!$F$52)</f>
        <v>0</v>
      </c>
      <c r="O1791" s="60"/>
      <c r="P1791" s="55" t="str">
        <f aca="false">IF('Neue Artikel'!$H$52="","LOSE",UPPER(TRIM('Neue Artikel'!$H$52)))</f>
        <v>LOSE</v>
      </c>
      <c r="Q1791" s="57" t="n">
        <f aca="false">N('Neue Artikel'!$I$52)</f>
        <v>0</v>
      </c>
      <c r="R1791" s="60" t="n">
        <f aca="false">IF(BT1791=1,0,IFERROR(VLOOKUP(BR1791,'Gebinde-Kategorie'!$A$5:$M$45,13,0)+0,0))</f>
        <v>0</v>
      </c>
      <c r="S1791" s="61"/>
      <c r="T1791" s="62"/>
      <c r="U1791" s="62"/>
      <c r="V1791" s="62"/>
      <c r="W1791" s="55"/>
      <c r="X1791" s="57"/>
      <c r="Y1791" s="57"/>
      <c r="Z1791" s="55" t="str">
        <f aca="false">IF(A1791="","",IF(AND(Parameter!$B$21="Ja",ISNUMBER(W1791)),W1791,IF(BV1791="2+3",IF(ISNUMBER(SEARCH("grosser Artikel",BO1791)),2,IFERROR(VLOOKUP(BR1791,Parameter!$F$35:$G$64,2,0),2)),IF(OR(BV1791="Nein",BV1791=""),"-",BV1791))))</f>
        <v/>
      </c>
      <c r="AA1791" s="55" t="str">
        <f aca="false">IF('Neue Artikel'!$J$52="","",'Neue Artikel'!$J$52)</f>
        <v/>
      </c>
      <c r="AB1791" s="63"/>
      <c r="AC1791" s="57" t="n">
        <f aca="false">AR1791</f>
        <v>0</v>
      </c>
      <c r="AD1791" s="57" t="n">
        <f aca="false">MAX(AR1791,H1791)</f>
        <v>0</v>
      </c>
      <c r="AE1791" s="64"/>
      <c r="AF1791" s="57" t="n">
        <f aca="false">IF(LEFT(Cockpit!$C$5,1)="A",H1791,IF(CA1791=1,CB1791,IF(LEFT(Cockpit!$C$5,1)="B",AJ1791,MAX(AJ1791,H1791))))</f>
        <v>0</v>
      </c>
      <c r="AG1791" s="57" t="n">
        <f aca="false">IF(BT1791=1,0,ROUNDUP(AF1791/BS1791,0))</f>
        <v>0</v>
      </c>
      <c r="AH1791" s="59" t="n">
        <f aca="false">IF(CH1791&gt;0,CH1791*MAX(1,AF1791/X1791),IF(BT1791=1,IF(AF1791&lt;=0,0,BW1791*MAX(1,IF(H1791&gt;0,AF1791/H1791,1))),IF(R1791&gt;0,AG1791/R1791,0))/MAX(0.1,N(Parameter!$M$21)))</f>
        <v>0</v>
      </c>
      <c r="AI1791" s="57" t="n">
        <f aca="false">AF1791*G1791</f>
        <v>0</v>
      </c>
      <c r="AJ1791" s="57" t="n">
        <f aca="false">ROUNDUP(MAX(J1791/IF(BZ1791&gt;0,BZ1791,MAX(0.1,N(Cockpit!$C$6))),CC1791)/BS1791,0)*BS1791</f>
        <v>0</v>
      </c>
      <c r="AK1791" s="58" t="n">
        <f aca="false">IF(AH1791&gt;0,J1791/AH1791,-1)</f>
        <v>-1</v>
      </c>
      <c r="AL1791" s="58" t="str">
        <f aca="false">IF(AND(OR(BY1791="L1",BY1791="L23"),AH1791&gt;0),SUMIFS($AH$7:$AH$1843,$BY$7:$BY$1843,BY1791,$AK$7:$AK$1843,"&gt;"&amp;AK1791)+SUMIFS($AH$7:$AH$1843,$BY$7:$BY$1843,BY1791,$AK$7:$AK$1843,AK1791,$BQ$7:$BQ$1843,"&lt;="&amp;BQ1791),"")</f>
        <v/>
      </c>
      <c r="AM1791" s="65" t="n">
        <f aca="false">IF(AL1791="",0,MAX(0,MIN(1,(IF(BY1791="L1",Parameter!$E$5,Parameter!$E$6+Parameter!$E$7)-(AL1791-AH1791))/AH1791)))</f>
        <v>0</v>
      </c>
      <c r="AN1791" s="57" t="n">
        <f aca="false">IF(LEFT(Cockpit!$I$5,1)="A",H1791,IF(CA1791=1,CB1791,IF(LEFT(Cockpit!$I$5,1)="B",AR1791,MAX(AR1791,H1791))))</f>
        <v>0</v>
      </c>
      <c r="AO1791" s="57" t="n">
        <f aca="false">IF(BT1791=1,0,ROUNDUP(AN1791/BS1791,0))</f>
        <v>0</v>
      </c>
      <c r="AP1791" s="59" t="n">
        <f aca="false">IF(CH1791&gt;0,CH1791*MAX(1,AN1791/X1791),IF(BT1791=1,IF(AN1791&lt;=0,0,BW1791*MAX(1,IF(H1791&gt;0,AN1791/H1791,1))),IF(R1791&gt;0,AO1791/R1791,0))/MAX(0.1,N(Parameter!$M$21)))</f>
        <v>0</v>
      </c>
      <c r="AQ1791" s="57" t="n">
        <f aca="false">AN1791*G1791</f>
        <v>0</v>
      </c>
      <c r="AR1791" s="57" t="n">
        <f aca="false">ROUNDUP(MAX(J1791/IF(BZ1791&gt;0,BZ1791,MAX(0.1,N(Cockpit!$I$6))),CC1791)/BS1791,0)*BS1791</f>
        <v>0</v>
      </c>
      <c r="AS1791" s="58" t="n">
        <f aca="false">IF(AP1791&gt;0,J1791/AP1791,-1)</f>
        <v>-1</v>
      </c>
      <c r="AT1791" s="58" t="str">
        <f aca="false">IF(AND(OR(BY1791="L1",BY1791="L23"),AP1791&gt;0),SUMIFS($AP$7:$AP$1843,$BY$7:$BY$1843,BY1791,$AS$7:$AS$1843,"&gt;"&amp;AS1791)+SUMIFS($AP$7:$AP$1843,$BY$7:$BY$1843,BY1791,$AS$7:$AS$1843,AS1791,$BQ$7:$BQ$1843,"&lt;="&amp;BQ1791),"")</f>
        <v/>
      </c>
      <c r="AU1791" s="65" t="n">
        <f aca="false">IF(AT1791="",0,MAX(0,MIN(1,(IF(BY1791="L1",Parameter!$E$5,Parameter!$E$6+Parameter!$E$7)-(AT1791-AP1791))/AP1791)))</f>
        <v>0</v>
      </c>
      <c r="AV1791" s="57" t="n">
        <f aca="false">IF(LEFT(Cockpit!$O$5,1)="A",H1791,IF(CA1791=1,CB1791,IF(LEFT(Cockpit!$O$5,1)="B",AZ1791,MAX(AZ1791,H1791))))</f>
        <v>0</v>
      </c>
      <c r="AW1791" s="57" t="n">
        <f aca="false">IF(BT1791=1,0,ROUNDUP(AV1791/BS1791,0))</f>
        <v>0</v>
      </c>
      <c r="AX1791" s="59" t="n">
        <f aca="false">IF(CH1791&gt;0,CH1791*MAX(1,AV1791/X1791),IF(BT1791=1,IF(AV1791&lt;=0,0,BW1791*MAX(1,IF(H1791&gt;0,AV1791/H1791,1))),IF(R1791&gt;0,AW1791/R1791,0))/MAX(0.1,N(Parameter!$M$21)))</f>
        <v>0</v>
      </c>
      <c r="AY1791" s="57" t="n">
        <f aca="false">AV1791*G1791</f>
        <v>0</v>
      </c>
      <c r="AZ1791" s="57" t="n">
        <f aca="false">ROUNDUP(MAX(J1791/IF(BZ1791&gt;0,BZ1791,MAX(0.1,N(Cockpit!$O$6))),CC1791)/BS1791,0)*BS1791</f>
        <v>0</v>
      </c>
      <c r="BA1791" s="58" t="n">
        <f aca="false">IF(AX1791&gt;0,J1791/AX1791,-1)</f>
        <v>-1</v>
      </c>
      <c r="BB1791" s="58" t="str">
        <f aca="false">IF(AND(OR(BY1791="L1",BY1791="L23"),AX1791&gt;0),SUMIFS($AX$7:$AX$1843,$BY$7:$BY$1843,BY1791,$BA$7:$BA$1843,"&gt;"&amp;BA1791)+SUMIFS($AX$7:$AX$1843,$BY$7:$BY$1843,BY1791,$BA$7:$BA$1843,BA1791,$BQ$7:$BQ$1843,"&lt;="&amp;BQ1791),"")</f>
        <v/>
      </c>
      <c r="BC1791" s="65" t="n">
        <f aca="false">IF(BB1791="",0,MAX(0,MIN(1,(IF(BY1791="L1",Parameter!$E$5,Parameter!$E$6+Parameter!$E$7)-(BB1791-AX1791))/AX1791)))</f>
        <v>0</v>
      </c>
      <c r="BD1791" s="55" t="str">
        <f aca="false">IF(AH1791&lt;=0,"",IF(BY1791="Aussen","Aussenlager",IF(BY1791="-","Nicht im Lift",IF(AM1791&gt;=1,"Lift",IF(AM1791&lt;=0,"Aussenlager","teilweise")))))</f>
        <v/>
      </c>
      <c r="BE1791" s="55" t="str">
        <f aca="false">IF(AP1791&lt;=0,"",IF(BY1791="Aussen","Aussenlager",IF(BY1791="-","Nicht im Lift",IF(AU1791&gt;=1,"Lift",IF(AU1791&lt;=0,"Aussenlager","teilweise")))))</f>
        <v/>
      </c>
      <c r="BF1791" s="55" t="str">
        <f aca="false">IF(AX1791&lt;=0,"",IF(BY1791="Aussen","Aussenlager",IF(BY1791="-","Nicht im Lift",IF(BC1791&gt;=1,"Lift",IF(BC1791&lt;=0,"Aussenlager","teilweise")))))</f>
        <v/>
      </c>
      <c r="BG1791" s="55" t="str">
        <f aca="false">IF(A1791="","",IF(BP1791=1,"Neu; ","")&amp;IF(AND(BP1791=0,BK1791&lt;0),"negativer Bestand (Export "&amp;BK1791&amp;"); ","")&amp;IF(J1791&lt;=0,"Kein Verbrauch; ","")&amp;IF(CH1791&gt;0,"Lift "&amp;W1791&amp;" lt. Liftbericht (Fach "&amp;X1791&amp;" Stk); ",IF(BU1791=1,"Gebinde geschätzt ("&amp;T1791&amp;"); ",IF(BT1791=1,"Lose – Tablare geschätzt; ","")))&amp;IF(H1791&gt;AR1791,"Überbestand "&amp;ROUND(H1791-AR1791,0)&amp;" Stk / CHF "&amp;ROUND((H1791-AR1791)*G1791,0)&amp;"; ","")&amp;IF(AND(CA1791=1,CB1791&lt;CC1791),"MAX &lt; MB+LG; ","")&amp;IF(AND(CG1791&gt;0,CF1791*10&gt;CG1791),"zu hoch für Tablar; ","")&amp;IF(AND(BP1791=0,OR(CA1791=1,AA1791&lt;&gt;"",U1791&lt;&gt;"",V1791&lt;&gt;"",AB1791&lt;&gt;"")),"manuell übersteuert; ","")&amp;IF(AND(BT1791=0,R1791=0),"Gebinde unbekannt / Stellmass fehlt; ","")&amp;IF(AND(BT1791=0,N(V1791)&lt;=0,N(Q1791)&lt;=0),"Menge pro Gebinde fehlt (Ist = 1 Gebinde); ","")&amp;BO1791)</f>
        <v/>
      </c>
      <c r="BH1791" s="55"/>
      <c r="BI1791" s="55"/>
      <c r="BJ1791" s="62"/>
      <c r="BK1791" s="57" t="n">
        <f aca="false">N('Neue Artikel'!$D$52)</f>
        <v>0</v>
      </c>
      <c r="BL1791" s="57" t="n">
        <v>0</v>
      </c>
      <c r="BM1791" s="56" t="n">
        <v>0</v>
      </c>
      <c r="BN1791" s="57" t="n">
        <f aca="false">N('Neue Artikel'!$C$52)/Parameter!$B$18</f>
        <v>0</v>
      </c>
      <c r="BO1791" s="55"/>
      <c r="BP1791" s="60" t="n">
        <v>1</v>
      </c>
      <c r="BQ1791" s="60" t="n">
        <v>1791</v>
      </c>
      <c r="BR1791" s="55" t="str">
        <f aca="false">IF(U1791&lt;&gt;"",UPPER(TRIM(U1791)),IF(BU1791=1,UPPER(VLOOKUP(T1791,Parameter!$I$27:$K$29,2,0)),IF(P1791="","LOSE",P1791)))</f>
        <v>LOSE</v>
      </c>
      <c r="BS1791" s="57" t="n">
        <f aca="false">IF(BR1791="LOSE",1,IF(N(V1791)&gt;0,V1791,IF(BU1791=1,MAX(1,N(VLOOKUP(T1791,Parameter!$I$27:$K$29,3,0)),H1791,N(N1791)),IF(N(Q1791)&gt;0,Q1791,MAX(1,H1791)))))</f>
        <v>1</v>
      </c>
      <c r="BT1791" s="60" t="n">
        <f aca="false">IF(BR1791="LOSE",1,0)</f>
        <v>1</v>
      </c>
      <c r="BU1791" s="60" t="n">
        <f aca="false">IF(AND(U1791="",OR(P1791="",P1791="LOSE"),T1791&lt;&gt;"",N(S1791)&lt;=0,ISNUMBER(MATCH(T1791,Parameter!$I$27:$I$29,0))),1,0)</f>
        <v>0</v>
      </c>
      <c r="BV1791" s="55" t="str">
        <f aca="false">IF(AND(Parameter!$B$19="Ja",E1791&lt;&gt;"",ISNUMBER(MATCH(E1791,Parameter!$I$35:$I$52,0))),VLOOKUP(E1791,Parameter!$I$35:$J$52,2,0),IFERROR(VLOOKUP(D1791,Parameter!$A$35:$C$64,2,0),"Nein"))</f>
        <v>2+3</v>
      </c>
      <c r="BW1791" s="59" t="n">
        <f aca="false">IF(BT1791=0,0,IF(N(S1791)&gt;0,S1791,IFERROR(VLOOKUP(D1791,Parameter!$A$35:$C$64,3,0)+0,0)))</f>
        <v>0.15</v>
      </c>
      <c r="BX1791" s="55" t="str">
        <f aca="false">IF(AA1791&lt;&gt;"",AA1791,Z1791)</f>
        <v/>
      </c>
      <c r="BY1791" s="55" t="str">
        <f aca="false">IF(BX1791=1,"L1",IF(OR(BX1791=2,BX1791=3),"L23",IF(BX1791="Aussen","Aussen","-")))</f>
        <v>-</v>
      </c>
      <c r="BZ1791" s="66" t="n">
        <f aca="false">IF(N(AB1791)&gt;0,AB1791,0)</f>
        <v>0</v>
      </c>
      <c r="CA1791" s="60" t="n">
        <f aca="false">IF(ISNUMBER(AE1791),1,0)</f>
        <v>0</v>
      </c>
      <c r="CB1791" s="57" t="n">
        <f aca="false">N(AE1791)</f>
        <v>0</v>
      </c>
      <c r="CC1791" s="57" t="n">
        <f aca="false">N(M1791)+N(N1791)</f>
        <v>0</v>
      </c>
      <c r="CD1791" s="57" t="n">
        <f aca="false">ROUNDUP(H1791/BS1791,0)</f>
        <v>0</v>
      </c>
      <c r="CE1791" s="57" t="n">
        <f aca="false">ROUNDUP(CB1791/BS1791,0)</f>
        <v>0</v>
      </c>
      <c r="CF1791" s="60" t="n">
        <f aca="false">IF(BT1791=1,0,IFERROR(VLOOKUP(BR1791,'Gebinde-Kategorie'!$A$5:$M$45,5,0)+0,0))</f>
        <v>0</v>
      </c>
      <c r="CG1791" s="60" t="n">
        <f aca="false">IFERROR(IF(OR(BX1791=1,BX1791=2,BX1791=3),N(INDEX(Parameter!$I$5:$I$7,BX1791)),0),0)</f>
        <v>0</v>
      </c>
      <c r="CH1791" s="59" t="n">
        <f aca="false">IF(AND(Parameter!$B$21="Ja",ISNUMBER(W1791),N(X1791)&gt;0),IFERROR(N(INDEX(Parameter!$L$5:$L$7,W1791))*INDEX(Parameter!$E$5:$E$7,W1791)*X1791/SUMIFS($X$7:$X$1843,$W$7:$W$1843,W1791),0),0)</f>
        <v>0</v>
      </c>
    </row>
    <row r="1792" customFormat="false" ht="15" hidden="false" customHeight="false" outlineLevel="0" collapsed="false">
      <c r="A1792" s="55" t="str">
        <f aca="false">IF('Neue Artikel'!$A$53="","",'Neue Artikel'!$A$53&amp;"")</f>
        <v/>
      </c>
      <c r="B1792" s="55" t="str">
        <f aca="false">'Neue Artikel'!$B$53&amp;""</f>
        <v/>
      </c>
      <c r="C1792" s="55"/>
      <c r="D1792" s="55" t="s">
        <v>3015</v>
      </c>
      <c r="E1792" s="55"/>
      <c r="F1792" s="55"/>
      <c r="G1792" s="56" t="n">
        <f aca="false">N('Neue Artikel'!$G$53)</f>
        <v>0</v>
      </c>
      <c r="H1792" s="57" t="n">
        <f aca="false">MAX(0,IF(AND(Parameter!$B$21="Ja",ISNUMBER(Y1792)),Y1792,IF(Parameter!$B$20="Jahresanfang 2025 + Export",BL1792+BK1792,BK1792)))</f>
        <v>0</v>
      </c>
      <c r="I1792" s="57" t="n">
        <f aca="false">H1792*G1792</f>
        <v>0</v>
      </c>
      <c r="J1792" s="57" t="n">
        <f aca="false">BN1792*Parameter!$B$18</f>
        <v>0</v>
      </c>
      <c r="K1792" s="58"/>
      <c r="L1792" s="59"/>
      <c r="M1792" s="57" t="n">
        <f aca="false">N('Neue Artikel'!$E$53)</f>
        <v>0</v>
      </c>
      <c r="N1792" s="57" t="n">
        <f aca="false">N('Neue Artikel'!$F$53)</f>
        <v>0</v>
      </c>
      <c r="O1792" s="60"/>
      <c r="P1792" s="55" t="str">
        <f aca="false">IF('Neue Artikel'!$H$53="","LOSE",UPPER(TRIM('Neue Artikel'!$H$53)))</f>
        <v>LOSE</v>
      </c>
      <c r="Q1792" s="57" t="n">
        <f aca="false">N('Neue Artikel'!$I$53)</f>
        <v>0</v>
      </c>
      <c r="R1792" s="60" t="n">
        <f aca="false">IF(BT1792=1,0,IFERROR(VLOOKUP(BR1792,'Gebinde-Kategorie'!$A$5:$M$45,13,0)+0,0))</f>
        <v>0</v>
      </c>
      <c r="S1792" s="61"/>
      <c r="T1792" s="62"/>
      <c r="U1792" s="62"/>
      <c r="V1792" s="62"/>
      <c r="W1792" s="55"/>
      <c r="X1792" s="57"/>
      <c r="Y1792" s="57"/>
      <c r="Z1792" s="55" t="str">
        <f aca="false">IF(A1792="","",IF(AND(Parameter!$B$21="Ja",ISNUMBER(W1792)),W1792,IF(BV1792="2+3",IF(ISNUMBER(SEARCH("grosser Artikel",BO1792)),2,IFERROR(VLOOKUP(BR1792,Parameter!$F$35:$G$64,2,0),2)),IF(OR(BV1792="Nein",BV1792=""),"-",BV1792))))</f>
        <v/>
      </c>
      <c r="AA1792" s="55" t="str">
        <f aca="false">IF('Neue Artikel'!$J$53="","",'Neue Artikel'!$J$53)</f>
        <v/>
      </c>
      <c r="AB1792" s="63"/>
      <c r="AC1792" s="57" t="n">
        <f aca="false">AR1792</f>
        <v>0</v>
      </c>
      <c r="AD1792" s="57" t="n">
        <f aca="false">MAX(AR1792,H1792)</f>
        <v>0</v>
      </c>
      <c r="AE1792" s="64"/>
      <c r="AF1792" s="57" t="n">
        <f aca="false">IF(LEFT(Cockpit!$C$5,1)="A",H1792,IF(CA1792=1,CB1792,IF(LEFT(Cockpit!$C$5,1)="B",AJ1792,MAX(AJ1792,H1792))))</f>
        <v>0</v>
      </c>
      <c r="AG1792" s="57" t="n">
        <f aca="false">IF(BT1792=1,0,ROUNDUP(AF1792/BS1792,0))</f>
        <v>0</v>
      </c>
      <c r="AH1792" s="59" t="n">
        <f aca="false">IF(CH1792&gt;0,CH1792*MAX(1,AF1792/X1792),IF(BT1792=1,IF(AF1792&lt;=0,0,BW1792*MAX(1,IF(H1792&gt;0,AF1792/H1792,1))),IF(R1792&gt;0,AG1792/R1792,0))/MAX(0.1,N(Parameter!$M$21)))</f>
        <v>0</v>
      </c>
      <c r="AI1792" s="57" t="n">
        <f aca="false">AF1792*G1792</f>
        <v>0</v>
      </c>
      <c r="AJ1792" s="57" t="n">
        <f aca="false">ROUNDUP(MAX(J1792/IF(BZ1792&gt;0,BZ1792,MAX(0.1,N(Cockpit!$C$6))),CC1792)/BS1792,0)*BS1792</f>
        <v>0</v>
      </c>
      <c r="AK1792" s="58" t="n">
        <f aca="false">IF(AH1792&gt;0,J1792/AH1792,-1)</f>
        <v>-1</v>
      </c>
      <c r="AL1792" s="58" t="str">
        <f aca="false">IF(AND(OR(BY1792="L1",BY1792="L23"),AH1792&gt;0),SUMIFS($AH$7:$AH$1843,$BY$7:$BY$1843,BY1792,$AK$7:$AK$1843,"&gt;"&amp;AK1792)+SUMIFS($AH$7:$AH$1843,$BY$7:$BY$1843,BY1792,$AK$7:$AK$1843,AK1792,$BQ$7:$BQ$1843,"&lt;="&amp;BQ1792),"")</f>
        <v/>
      </c>
      <c r="AM1792" s="65" t="n">
        <f aca="false">IF(AL1792="",0,MAX(0,MIN(1,(IF(BY1792="L1",Parameter!$E$5,Parameter!$E$6+Parameter!$E$7)-(AL1792-AH1792))/AH1792)))</f>
        <v>0</v>
      </c>
      <c r="AN1792" s="57" t="n">
        <f aca="false">IF(LEFT(Cockpit!$I$5,1)="A",H1792,IF(CA1792=1,CB1792,IF(LEFT(Cockpit!$I$5,1)="B",AR1792,MAX(AR1792,H1792))))</f>
        <v>0</v>
      </c>
      <c r="AO1792" s="57" t="n">
        <f aca="false">IF(BT1792=1,0,ROUNDUP(AN1792/BS1792,0))</f>
        <v>0</v>
      </c>
      <c r="AP1792" s="59" t="n">
        <f aca="false">IF(CH1792&gt;0,CH1792*MAX(1,AN1792/X1792),IF(BT1792=1,IF(AN1792&lt;=0,0,BW1792*MAX(1,IF(H1792&gt;0,AN1792/H1792,1))),IF(R1792&gt;0,AO1792/R1792,0))/MAX(0.1,N(Parameter!$M$21)))</f>
        <v>0</v>
      </c>
      <c r="AQ1792" s="57" t="n">
        <f aca="false">AN1792*G1792</f>
        <v>0</v>
      </c>
      <c r="AR1792" s="57" t="n">
        <f aca="false">ROUNDUP(MAX(J1792/IF(BZ1792&gt;0,BZ1792,MAX(0.1,N(Cockpit!$I$6))),CC1792)/BS1792,0)*BS1792</f>
        <v>0</v>
      </c>
      <c r="AS1792" s="58" t="n">
        <f aca="false">IF(AP1792&gt;0,J1792/AP1792,-1)</f>
        <v>-1</v>
      </c>
      <c r="AT1792" s="58" t="str">
        <f aca="false">IF(AND(OR(BY1792="L1",BY1792="L23"),AP1792&gt;0),SUMIFS($AP$7:$AP$1843,$BY$7:$BY$1843,BY1792,$AS$7:$AS$1843,"&gt;"&amp;AS1792)+SUMIFS($AP$7:$AP$1843,$BY$7:$BY$1843,BY1792,$AS$7:$AS$1843,AS1792,$BQ$7:$BQ$1843,"&lt;="&amp;BQ1792),"")</f>
        <v/>
      </c>
      <c r="AU1792" s="65" t="n">
        <f aca="false">IF(AT1792="",0,MAX(0,MIN(1,(IF(BY1792="L1",Parameter!$E$5,Parameter!$E$6+Parameter!$E$7)-(AT1792-AP1792))/AP1792)))</f>
        <v>0</v>
      </c>
      <c r="AV1792" s="57" t="n">
        <f aca="false">IF(LEFT(Cockpit!$O$5,1)="A",H1792,IF(CA1792=1,CB1792,IF(LEFT(Cockpit!$O$5,1)="B",AZ1792,MAX(AZ1792,H1792))))</f>
        <v>0</v>
      </c>
      <c r="AW1792" s="57" t="n">
        <f aca="false">IF(BT1792=1,0,ROUNDUP(AV1792/BS1792,0))</f>
        <v>0</v>
      </c>
      <c r="AX1792" s="59" t="n">
        <f aca="false">IF(CH1792&gt;0,CH1792*MAX(1,AV1792/X1792),IF(BT1792=1,IF(AV1792&lt;=0,0,BW1792*MAX(1,IF(H1792&gt;0,AV1792/H1792,1))),IF(R1792&gt;0,AW1792/R1792,0))/MAX(0.1,N(Parameter!$M$21)))</f>
        <v>0</v>
      </c>
      <c r="AY1792" s="57" t="n">
        <f aca="false">AV1792*G1792</f>
        <v>0</v>
      </c>
      <c r="AZ1792" s="57" t="n">
        <f aca="false">ROUNDUP(MAX(J1792/IF(BZ1792&gt;0,BZ1792,MAX(0.1,N(Cockpit!$O$6))),CC1792)/BS1792,0)*BS1792</f>
        <v>0</v>
      </c>
      <c r="BA1792" s="58" t="n">
        <f aca="false">IF(AX1792&gt;0,J1792/AX1792,-1)</f>
        <v>-1</v>
      </c>
      <c r="BB1792" s="58" t="str">
        <f aca="false">IF(AND(OR(BY1792="L1",BY1792="L23"),AX1792&gt;0),SUMIFS($AX$7:$AX$1843,$BY$7:$BY$1843,BY1792,$BA$7:$BA$1843,"&gt;"&amp;BA1792)+SUMIFS($AX$7:$AX$1843,$BY$7:$BY$1843,BY1792,$BA$7:$BA$1843,BA1792,$BQ$7:$BQ$1843,"&lt;="&amp;BQ1792),"")</f>
        <v/>
      </c>
      <c r="BC1792" s="65" t="n">
        <f aca="false">IF(BB1792="",0,MAX(0,MIN(1,(IF(BY1792="L1",Parameter!$E$5,Parameter!$E$6+Parameter!$E$7)-(BB1792-AX1792))/AX1792)))</f>
        <v>0</v>
      </c>
      <c r="BD1792" s="55" t="str">
        <f aca="false">IF(AH1792&lt;=0,"",IF(BY1792="Aussen","Aussenlager",IF(BY1792="-","Nicht im Lift",IF(AM1792&gt;=1,"Lift",IF(AM1792&lt;=0,"Aussenlager","teilweise")))))</f>
        <v/>
      </c>
      <c r="BE1792" s="55" t="str">
        <f aca="false">IF(AP1792&lt;=0,"",IF(BY1792="Aussen","Aussenlager",IF(BY1792="-","Nicht im Lift",IF(AU1792&gt;=1,"Lift",IF(AU1792&lt;=0,"Aussenlager","teilweise")))))</f>
        <v/>
      </c>
      <c r="BF1792" s="55" t="str">
        <f aca="false">IF(AX1792&lt;=0,"",IF(BY1792="Aussen","Aussenlager",IF(BY1792="-","Nicht im Lift",IF(BC1792&gt;=1,"Lift",IF(BC1792&lt;=0,"Aussenlager","teilweise")))))</f>
        <v/>
      </c>
      <c r="BG1792" s="55" t="str">
        <f aca="false">IF(A1792="","",IF(BP1792=1,"Neu; ","")&amp;IF(AND(BP1792=0,BK1792&lt;0),"negativer Bestand (Export "&amp;BK1792&amp;"); ","")&amp;IF(J1792&lt;=0,"Kein Verbrauch; ","")&amp;IF(CH1792&gt;0,"Lift "&amp;W1792&amp;" lt. Liftbericht (Fach "&amp;X1792&amp;" Stk); ",IF(BU1792=1,"Gebinde geschätzt ("&amp;T1792&amp;"); ",IF(BT1792=1,"Lose – Tablare geschätzt; ","")))&amp;IF(H1792&gt;AR1792,"Überbestand "&amp;ROUND(H1792-AR1792,0)&amp;" Stk / CHF "&amp;ROUND((H1792-AR1792)*G1792,0)&amp;"; ","")&amp;IF(AND(CA1792=1,CB1792&lt;CC1792),"MAX &lt; MB+LG; ","")&amp;IF(AND(CG1792&gt;0,CF1792*10&gt;CG1792),"zu hoch für Tablar; ","")&amp;IF(AND(BP1792=0,OR(CA1792=1,AA1792&lt;&gt;"",U1792&lt;&gt;"",V1792&lt;&gt;"",AB1792&lt;&gt;"")),"manuell übersteuert; ","")&amp;IF(AND(BT1792=0,R1792=0),"Gebinde unbekannt / Stellmass fehlt; ","")&amp;IF(AND(BT1792=0,N(V1792)&lt;=0,N(Q1792)&lt;=0),"Menge pro Gebinde fehlt (Ist = 1 Gebinde); ","")&amp;BO1792)</f>
        <v/>
      </c>
      <c r="BH1792" s="55"/>
      <c r="BI1792" s="55"/>
      <c r="BJ1792" s="62"/>
      <c r="BK1792" s="57" t="n">
        <f aca="false">N('Neue Artikel'!$D$53)</f>
        <v>0</v>
      </c>
      <c r="BL1792" s="57" t="n">
        <v>0</v>
      </c>
      <c r="BM1792" s="56" t="n">
        <v>0</v>
      </c>
      <c r="BN1792" s="57" t="n">
        <f aca="false">N('Neue Artikel'!$C$53)/Parameter!$B$18</f>
        <v>0</v>
      </c>
      <c r="BO1792" s="55"/>
      <c r="BP1792" s="60" t="n">
        <v>1</v>
      </c>
      <c r="BQ1792" s="60" t="n">
        <v>1792</v>
      </c>
      <c r="BR1792" s="55" t="str">
        <f aca="false">IF(U1792&lt;&gt;"",UPPER(TRIM(U1792)),IF(BU1792=1,UPPER(VLOOKUP(T1792,Parameter!$I$27:$K$29,2,0)),IF(P1792="","LOSE",P1792)))</f>
        <v>LOSE</v>
      </c>
      <c r="BS1792" s="57" t="n">
        <f aca="false">IF(BR1792="LOSE",1,IF(N(V1792)&gt;0,V1792,IF(BU1792=1,MAX(1,N(VLOOKUP(T1792,Parameter!$I$27:$K$29,3,0)),H1792,N(N1792)),IF(N(Q1792)&gt;0,Q1792,MAX(1,H1792)))))</f>
        <v>1</v>
      </c>
      <c r="BT1792" s="60" t="n">
        <f aca="false">IF(BR1792="LOSE",1,0)</f>
        <v>1</v>
      </c>
      <c r="BU1792" s="60" t="n">
        <f aca="false">IF(AND(U1792="",OR(P1792="",P1792="LOSE"),T1792&lt;&gt;"",N(S1792)&lt;=0,ISNUMBER(MATCH(T1792,Parameter!$I$27:$I$29,0))),1,0)</f>
        <v>0</v>
      </c>
      <c r="BV1792" s="55" t="str">
        <f aca="false">IF(AND(Parameter!$B$19="Ja",E1792&lt;&gt;"",ISNUMBER(MATCH(E1792,Parameter!$I$35:$I$52,0))),VLOOKUP(E1792,Parameter!$I$35:$J$52,2,0),IFERROR(VLOOKUP(D1792,Parameter!$A$35:$C$64,2,0),"Nein"))</f>
        <v>2+3</v>
      </c>
      <c r="BW1792" s="59" t="n">
        <f aca="false">IF(BT1792=0,0,IF(N(S1792)&gt;0,S1792,IFERROR(VLOOKUP(D1792,Parameter!$A$35:$C$64,3,0)+0,0)))</f>
        <v>0.15</v>
      </c>
      <c r="BX1792" s="55" t="str">
        <f aca="false">IF(AA1792&lt;&gt;"",AA1792,Z1792)</f>
        <v/>
      </c>
      <c r="BY1792" s="55" t="str">
        <f aca="false">IF(BX1792=1,"L1",IF(OR(BX1792=2,BX1792=3),"L23",IF(BX1792="Aussen","Aussen","-")))</f>
        <v>-</v>
      </c>
      <c r="BZ1792" s="66" t="n">
        <f aca="false">IF(N(AB1792)&gt;0,AB1792,0)</f>
        <v>0</v>
      </c>
      <c r="CA1792" s="60" t="n">
        <f aca="false">IF(ISNUMBER(AE1792),1,0)</f>
        <v>0</v>
      </c>
      <c r="CB1792" s="57" t="n">
        <f aca="false">N(AE1792)</f>
        <v>0</v>
      </c>
      <c r="CC1792" s="57" t="n">
        <f aca="false">N(M1792)+N(N1792)</f>
        <v>0</v>
      </c>
      <c r="CD1792" s="57" t="n">
        <f aca="false">ROUNDUP(H1792/BS1792,0)</f>
        <v>0</v>
      </c>
      <c r="CE1792" s="57" t="n">
        <f aca="false">ROUNDUP(CB1792/BS1792,0)</f>
        <v>0</v>
      </c>
      <c r="CF1792" s="60" t="n">
        <f aca="false">IF(BT1792=1,0,IFERROR(VLOOKUP(BR1792,'Gebinde-Kategorie'!$A$5:$M$45,5,0)+0,0))</f>
        <v>0</v>
      </c>
      <c r="CG1792" s="60" t="n">
        <f aca="false">IFERROR(IF(OR(BX1792=1,BX1792=2,BX1792=3),N(INDEX(Parameter!$I$5:$I$7,BX1792)),0),0)</f>
        <v>0</v>
      </c>
      <c r="CH1792" s="59" t="n">
        <f aca="false">IF(AND(Parameter!$B$21="Ja",ISNUMBER(W1792),N(X1792)&gt;0),IFERROR(N(INDEX(Parameter!$L$5:$L$7,W1792))*INDEX(Parameter!$E$5:$E$7,W1792)*X1792/SUMIFS($X$7:$X$1843,$W$7:$W$1843,W1792),0),0)</f>
        <v>0</v>
      </c>
    </row>
    <row r="1793" customFormat="false" ht="15" hidden="false" customHeight="false" outlineLevel="0" collapsed="false">
      <c r="A1793" s="55" t="str">
        <f aca="false">IF('Neue Artikel'!$A$54="","",'Neue Artikel'!$A$54&amp;"")</f>
        <v/>
      </c>
      <c r="B1793" s="55" t="str">
        <f aca="false">'Neue Artikel'!$B$54&amp;""</f>
        <v/>
      </c>
      <c r="C1793" s="55"/>
      <c r="D1793" s="55" t="s">
        <v>3015</v>
      </c>
      <c r="E1793" s="55"/>
      <c r="F1793" s="55"/>
      <c r="G1793" s="56" t="n">
        <f aca="false">N('Neue Artikel'!$G$54)</f>
        <v>0</v>
      </c>
      <c r="H1793" s="57" t="n">
        <f aca="false">MAX(0,IF(AND(Parameter!$B$21="Ja",ISNUMBER(Y1793)),Y1793,IF(Parameter!$B$20="Jahresanfang 2025 + Export",BL1793+BK1793,BK1793)))</f>
        <v>0</v>
      </c>
      <c r="I1793" s="57" t="n">
        <f aca="false">H1793*G1793</f>
        <v>0</v>
      </c>
      <c r="J1793" s="57" t="n">
        <f aca="false">BN1793*Parameter!$B$18</f>
        <v>0</v>
      </c>
      <c r="K1793" s="58"/>
      <c r="L1793" s="59"/>
      <c r="M1793" s="57" t="n">
        <f aca="false">N('Neue Artikel'!$E$54)</f>
        <v>0</v>
      </c>
      <c r="N1793" s="57" t="n">
        <f aca="false">N('Neue Artikel'!$F$54)</f>
        <v>0</v>
      </c>
      <c r="O1793" s="60"/>
      <c r="P1793" s="55" t="str">
        <f aca="false">IF('Neue Artikel'!$H$54="","LOSE",UPPER(TRIM('Neue Artikel'!$H$54)))</f>
        <v>LOSE</v>
      </c>
      <c r="Q1793" s="57" t="n">
        <f aca="false">N('Neue Artikel'!$I$54)</f>
        <v>0</v>
      </c>
      <c r="R1793" s="60" t="n">
        <f aca="false">IF(BT1793=1,0,IFERROR(VLOOKUP(BR1793,'Gebinde-Kategorie'!$A$5:$M$45,13,0)+0,0))</f>
        <v>0</v>
      </c>
      <c r="S1793" s="61"/>
      <c r="T1793" s="62"/>
      <c r="U1793" s="62"/>
      <c r="V1793" s="62"/>
      <c r="W1793" s="55"/>
      <c r="X1793" s="57"/>
      <c r="Y1793" s="57"/>
      <c r="Z1793" s="55" t="str">
        <f aca="false">IF(A1793="","",IF(AND(Parameter!$B$21="Ja",ISNUMBER(W1793)),W1793,IF(BV1793="2+3",IF(ISNUMBER(SEARCH("grosser Artikel",BO1793)),2,IFERROR(VLOOKUP(BR1793,Parameter!$F$35:$G$64,2,0),2)),IF(OR(BV1793="Nein",BV1793=""),"-",BV1793))))</f>
        <v/>
      </c>
      <c r="AA1793" s="55" t="str">
        <f aca="false">IF('Neue Artikel'!$J$54="","",'Neue Artikel'!$J$54)</f>
        <v/>
      </c>
      <c r="AB1793" s="63"/>
      <c r="AC1793" s="57" t="n">
        <f aca="false">AR1793</f>
        <v>0</v>
      </c>
      <c r="AD1793" s="57" t="n">
        <f aca="false">MAX(AR1793,H1793)</f>
        <v>0</v>
      </c>
      <c r="AE1793" s="64"/>
      <c r="AF1793" s="57" t="n">
        <f aca="false">IF(LEFT(Cockpit!$C$5,1)="A",H1793,IF(CA1793=1,CB1793,IF(LEFT(Cockpit!$C$5,1)="B",AJ1793,MAX(AJ1793,H1793))))</f>
        <v>0</v>
      </c>
      <c r="AG1793" s="57" t="n">
        <f aca="false">IF(BT1793=1,0,ROUNDUP(AF1793/BS1793,0))</f>
        <v>0</v>
      </c>
      <c r="AH1793" s="59" t="n">
        <f aca="false">IF(CH1793&gt;0,CH1793*MAX(1,AF1793/X1793),IF(BT1793=1,IF(AF1793&lt;=0,0,BW1793*MAX(1,IF(H1793&gt;0,AF1793/H1793,1))),IF(R1793&gt;0,AG1793/R1793,0))/MAX(0.1,N(Parameter!$M$21)))</f>
        <v>0</v>
      </c>
      <c r="AI1793" s="57" t="n">
        <f aca="false">AF1793*G1793</f>
        <v>0</v>
      </c>
      <c r="AJ1793" s="57" t="n">
        <f aca="false">ROUNDUP(MAX(J1793/IF(BZ1793&gt;0,BZ1793,MAX(0.1,N(Cockpit!$C$6))),CC1793)/BS1793,0)*BS1793</f>
        <v>0</v>
      </c>
      <c r="AK1793" s="58" t="n">
        <f aca="false">IF(AH1793&gt;0,J1793/AH1793,-1)</f>
        <v>-1</v>
      </c>
      <c r="AL1793" s="58" t="str">
        <f aca="false">IF(AND(OR(BY1793="L1",BY1793="L23"),AH1793&gt;0),SUMIFS($AH$7:$AH$1843,$BY$7:$BY$1843,BY1793,$AK$7:$AK$1843,"&gt;"&amp;AK1793)+SUMIFS($AH$7:$AH$1843,$BY$7:$BY$1843,BY1793,$AK$7:$AK$1843,AK1793,$BQ$7:$BQ$1843,"&lt;="&amp;BQ1793),"")</f>
        <v/>
      </c>
      <c r="AM1793" s="65" t="n">
        <f aca="false">IF(AL1793="",0,MAX(0,MIN(1,(IF(BY1793="L1",Parameter!$E$5,Parameter!$E$6+Parameter!$E$7)-(AL1793-AH1793))/AH1793)))</f>
        <v>0</v>
      </c>
      <c r="AN1793" s="57" t="n">
        <f aca="false">IF(LEFT(Cockpit!$I$5,1)="A",H1793,IF(CA1793=1,CB1793,IF(LEFT(Cockpit!$I$5,1)="B",AR1793,MAX(AR1793,H1793))))</f>
        <v>0</v>
      </c>
      <c r="AO1793" s="57" t="n">
        <f aca="false">IF(BT1793=1,0,ROUNDUP(AN1793/BS1793,0))</f>
        <v>0</v>
      </c>
      <c r="AP1793" s="59" t="n">
        <f aca="false">IF(CH1793&gt;0,CH1793*MAX(1,AN1793/X1793),IF(BT1793=1,IF(AN1793&lt;=0,0,BW1793*MAX(1,IF(H1793&gt;0,AN1793/H1793,1))),IF(R1793&gt;0,AO1793/R1793,0))/MAX(0.1,N(Parameter!$M$21)))</f>
        <v>0</v>
      </c>
      <c r="AQ1793" s="57" t="n">
        <f aca="false">AN1793*G1793</f>
        <v>0</v>
      </c>
      <c r="AR1793" s="57" t="n">
        <f aca="false">ROUNDUP(MAX(J1793/IF(BZ1793&gt;0,BZ1793,MAX(0.1,N(Cockpit!$I$6))),CC1793)/BS1793,0)*BS1793</f>
        <v>0</v>
      </c>
      <c r="AS1793" s="58" t="n">
        <f aca="false">IF(AP1793&gt;0,J1793/AP1793,-1)</f>
        <v>-1</v>
      </c>
      <c r="AT1793" s="58" t="str">
        <f aca="false">IF(AND(OR(BY1793="L1",BY1793="L23"),AP1793&gt;0),SUMIFS($AP$7:$AP$1843,$BY$7:$BY$1843,BY1793,$AS$7:$AS$1843,"&gt;"&amp;AS1793)+SUMIFS($AP$7:$AP$1843,$BY$7:$BY$1843,BY1793,$AS$7:$AS$1843,AS1793,$BQ$7:$BQ$1843,"&lt;="&amp;BQ1793),"")</f>
        <v/>
      </c>
      <c r="AU1793" s="65" t="n">
        <f aca="false">IF(AT1793="",0,MAX(0,MIN(1,(IF(BY1793="L1",Parameter!$E$5,Parameter!$E$6+Parameter!$E$7)-(AT1793-AP1793))/AP1793)))</f>
        <v>0</v>
      </c>
      <c r="AV1793" s="57" t="n">
        <f aca="false">IF(LEFT(Cockpit!$O$5,1)="A",H1793,IF(CA1793=1,CB1793,IF(LEFT(Cockpit!$O$5,1)="B",AZ1793,MAX(AZ1793,H1793))))</f>
        <v>0</v>
      </c>
      <c r="AW1793" s="57" t="n">
        <f aca="false">IF(BT1793=1,0,ROUNDUP(AV1793/BS1793,0))</f>
        <v>0</v>
      </c>
      <c r="AX1793" s="59" t="n">
        <f aca="false">IF(CH1793&gt;0,CH1793*MAX(1,AV1793/X1793),IF(BT1793=1,IF(AV1793&lt;=0,0,BW1793*MAX(1,IF(H1793&gt;0,AV1793/H1793,1))),IF(R1793&gt;0,AW1793/R1793,0))/MAX(0.1,N(Parameter!$M$21)))</f>
        <v>0</v>
      </c>
      <c r="AY1793" s="57" t="n">
        <f aca="false">AV1793*G1793</f>
        <v>0</v>
      </c>
      <c r="AZ1793" s="57" t="n">
        <f aca="false">ROUNDUP(MAX(J1793/IF(BZ1793&gt;0,BZ1793,MAX(0.1,N(Cockpit!$O$6))),CC1793)/BS1793,0)*BS1793</f>
        <v>0</v>
      </c>
      <c r="BA1793" s="58" t="n">
        <f aca="false">IF(AX1793&gt;0,J1793/AX1793,-1)</f>
        <v>-1</v>
      </c>
      <c r="BB1793" s="58" t="str">
        <f aca="false">IF(AND(OR(BY1793="L1",BY1793="L23"),AX1793&gt;0),SUMIFS($AX$7:$AX$1843,$BY$7:$BY$1843,BY1793,$BA$7:$BA$1843,"&gt;"&amp;BA1793)+SUMIFS($AX$7:$AX$1843,$BY$7:$BY$1843,BY1793,$BA$7:$BA$1843,BA1793,$BQ$7:$BQ$1843,"&lt;="&amp;BQ1793),"")</f>
        <v/>
      </c>
      <c r="BC1793" s="65" t="n">
        <f aca="false">IF(BB1793="",0,MAX(0,MIN(1,(IF(BY1793="L1",Parameter!$E$5,Parameter!$E$6+Parameter!$E$7)-(BB1793-AX1793))/AX1793)))</f>
        <v>0</v>
      </c>
      <c r="BD1793" s="55" t="str">
        <f aca="false">IF(AH1793&lt;=0,"",IF(BY1793="Aussen","Aussenlager",IF(BY1793="-","Nicht im Lift",IF(AM1793&gt;=1,"Lift",IF(AM1793&lt;=0,"Aussenlager","teilweise")))))</f>
        <v/>
      </c>
      <c r="BE1793" s="55" t="str">
        <f aca="false">IF(AP1793&lt;=0,"",IF(BY1793="Aussen","Aussenlager",IF(BY1793="-","Nicht im Lift",IF(AU1793&gt;=1,"Lift",IF(AU1793&lt;=0,"Aussenlager","teilweise")))))</f>
        <v/>
      </c>
      <c r="BF1793" s="55" t="str">
        <f aca="false">IF(AX1793&lt;=0,"",IF(BY1793="Aussen","Aussenlager",IF(BY1793="-","Nicht im Lift",IF(BC1793&gt;=1,"Lift",IF(BC1793&lt;=0,"Aussenlager","teilweise")))))</f>
        <v/>
      </c>
      <c r="BG1793" s="55" t="str">
        <f aca="false">IF(A1793="","",IF(BP1793=1,"Neu; ","")&amp;IF(AND(BP1793=0,BK1793&lt;0),"negativer Bestand (Export "&amp;BK1793&amp;"); ","")&amp;IF(J1793&lt;=0,"Kein Verbrauch; ","")&amp;IF(CH1793&gt;0,"Lift "&amp;W1793&amp;" lt. Liftbericht (Fach "&amp;X1793&amp;" Stk); ",IF(BU1793=1,"Gebinde geschätzt ("&amp;T1793&amp;"); ",IF(BT1793=1,"Lose – Tablare geschätzt; ","")))&amp;IF(H1793&gt;AR1793,"Überbestand "&amp;ROUND(H1793-AR1793,0)&amp;" Stk / CHF "&amp;ROUND((H1793-AR1793)*G1793,0)&amp;"; ","")&amp;IF(AND(CA1793=1,CB1793&lt;CC1793),"MAX &lt; MB+LG; ","")&amp;IF(AND(CG1793&gt;0,CF1793*10&gt;CG1793),"zu hoch für Tablar; ","")&amp;IF(AND(BP1793=0,OR(CA1793=1,AA1793&lt;&gt;"",U1793&lt;&gt;"",V1793&lt;&gt;"",AB1793&lt;&gt;"")),"manuell übersteuert; ","")&amp;IF(AND(BT1793=0,R1793=0),"Gebinde unbekannt / Stellmass fehlt; ","")&amp;IF(AND(BT1793=0,N(V1793)&lt;=0,N(Q1793)&lt;=0),"Menge pro Gebinde fehlt (Ist = 1 Gebinde); ","")&amp;BO1793)</f>
        <v/>
      </c>
      <c r="BH1793" s="55"/>
      <c r="BI1793" s="55"/>
      <c r="BJ1793" s="62"/>
      <c r="BK1793" s="57" t="n">
        <f aca="false">N('Neue Artikel'!$D$54)</f>
        <v>0</v>
      </c>
      <c r="BL1793" s="57" t="n">
        <v>0</v>
      </c>
      <c r="BM1793" s="56" t="n">
        <v>0</v>
      </c>
      <c r="BN1793" s="57" t="n">
        <f aca="false">N('Neue Artikel'!$C$54)/Parameter!$B$18</f>
        <v>0</v>
      </c>
      <c r="BO1793" s="55"/>
      <c r="BP1793" s="60" t="n">
        <v>1</v>
      </c>
      <c r="BQ1793" s="60" t="n">
        <v>1793</v>
      </c>
      <c r="BR1793" s="55" t="str">
        <f aca="false">IF(U1793&lt;&gt;"",UPPER(TRIM(U1793)),IF(BU1793=1,UPPER(VLOOKUP(T1793,Parameter!$I$27:$K$29,2,0)),IF(P1793="","LOSE",P1793)))</f>
        <v>LOSE</v>
      </c>
      <c r="BS1793" s="57" t="n">
        <f aca="false">IF(BR1793="LOSE",1,IF(N(V1793)&gt;0,V1793,IF(BU1793=1,MAX(1,N(VLOOKUP(T1793,Parameter!$I$27:$K$29,3,0)),H1793,N(N1793)),IF(N(Q1793)&gt;0,Q1793,MAX(1,H1793)))))</f>
        <v>1</v>
      </c>
      <c r="BT1793" s="60" t="n">
        <f aca="false">IF(BR1793="LOSE",1,0)</f>
        <v>1</v>
      </c>
      <c r="BU1793" s="60" t="n">
        <f aca="false">IF(AND(U1793="",OR(P1793="",P1793="LOSE"),T1793&lt;&gt;"",N(S1793)&lt;=0,ISNUMBER(MATCH(T1793,Parameter!$I$27:$I$29,0))),1,0)</f>
        <v>0</v>
      </c>
      <c r="BV1793" s="55" t="str">
        <f aca="false">IF(AND(Parameter!$B$19="Ja",E1793&lt;&gt;"",ISNUMBER(MATCH(E1793,Parameter!$I$35:$I$52,0))),VLOOKUP(E1793,Parameter!$I$35:$J$52,2,0),IFERROR(VLOOKUP(D1793,Parameter!$A$35:$C$64,2,0),"Nein"))</f>
        <v>2+3</v>
      </c>
      <c r="BW1793" s="59" t="n">
        <f aca="false">IF(BT1793=0,0,IF(N(S1793)&gt;0,S1793,IFERROR(VLOOKUP(D1793,Parameter!$A$35:$C$64,3,0)+0,0)))</f>
        <v>0.15</v>
      </c>
      <c r="BX1793" s="55" t="str">
        <f aca="false">IF(AA1793&lt;&gt;"",AA1793,Z1793)</f>
        <v/>
      </c>
      <c r="BY1793" s="55" t="str">
        <f aca="false">IF(BX1793=1,"L1",IF(OR(BX1793=2,BX1793=3),"L23",IF(BX1793="Aussen","Aussen","-")))</f>
        <v>-</v>
      </c>
      <c r="BZ1793" s="66" t="n">
        <f aca="false">IF(N(AB1793)&gt;0,AB1793,0)</f>
        <v>0</v>
      </c>
      <c r="CA1793" s="60" t="n">
        <f aca="false">IF(ISNUMBER(AE1793),1,0)</f>
        <v>0</v>
      </c>
      <c r="CB1793" s="57" t="n">
        <f aca="false">N(AE1793)</f>
        <v>0</v>
      </c>
      <c r="CC1793" s="57" t="n">
        <f aca="false">N(M1793)+N(N1793)</f>
        <v>0</v>
      </c>
      <c r="CD1793" s="57" t="n">
        <f aca="false">ROUNDUP(H1793/BS1793,0)</f>
        <v>0</v>
      </c>
      <c r="CE1793" s="57" t="n">
        <f aca="false">ROUNDUP(CB1793/BS1793,0)</f>
        <v>0</v>
      </c>
      <c r="CF1793" s="60" t="n">
        <f aca="false">IF(BT1793=1,0,IFERROR(VLOOKUP(BR1793,'Gebinde-Kategorie'!$A$5:$M$45,5,0)+0,0))</f>
        <v>0</v>
      </c>
      <c r="CG1793" s="60" t="n">
        <f aca="false">IFERROR(IF(OR(BX1793=1,BX1793=2,BX1793=3),N(INDEX(Parameter!$I$5:$I$7,BX1793)),0),0)</f>
        <v>0</v>
      </c>
      <c r="CH1793" s="59" t="n">
        <f aca="false">IF(AND(Parameter!$B$21="Ja",ISNUMBER(W1793),N(X1793)&gt;0),IFERROR(N(INDEX(Parameter!$L$5:$L$7,W1793))*INDEX(Parameter!$E$5:$E$7,W1793)*X1793/SUMIFS($X$7:$X$1843,$W$7:$W$1843,W1793),0),0)</f>
        <v>0</v>
      </c>
    </row>
    <row r="1794" customFormat="false" ht="15" hidden="false" customHeight="false" outlineLevel="0" collapsed="false">
      <c r="A1794" s="55" t="str">
        <f aca="false">IF('Neue Artikel'!$A$55="","",'Neue Artikel'!$A$55&amp;"")</f>
        <v/>
      </c>
      <c r="B1794" s="55" t="str">
        <f aca="false">'Neue Artikel'!$B$55&amp;""</f>
        <v/>
      </c>
      <c r="C1794" s="55"/>
      <c r="D1794" s="55" t="s">
        <v>3015</v>
      </c>
      <c r="E1794" s="55"/>
      <c r="F1794" s="55"/>
      <c r="G1794" s="56" t="n">
        <f aca="false">N('Neue Artikel'!$G$55)</f>
        <v>0</v>
      </c>
      <c r="H1794" s="57" t="n">
        <f aca="false">MAX(0,IF(AND(Parameter!$B$21="Ja",ISNUMBER(Y1794)),Y1794,IF(Parameter!$B$20="Jahresanfang 2025 + Export",BL1794+BK1794,BK1794)))</f>
        <v>0</v>
      </c>
      <c r="I1794" s="57" t="n">
        <f aca="false">H1794*G1794</f>
        <v>0</v>
      </c>
      <c r="J1794" s="57" t="n">
        <f aca="false">BN1794*Parameter!$B$18</f>
        <v>0</v>
      </c>
      <c r="K1794" s="58"/>
      <c r="L1794" s="59"/>
      <c r="M1794" s="57" t="n">
        <f aca="false">N('Neue Artikel'!$E$55)</f>
        <v>0</v>
      </c>
      <c r="N1794" s="57" t="n">
        <f aca="false">N('Neue Artikel'!$F$55)</f>
        <v>0</v>
      </c>
      <c r="O1794" s="60"/>
      <c r="P1794" s="55" t="str">
        <f aca="false">IF('Neue Artikel'!$H$55="","LOSE",UPPER(TRIM('Neue Artikel'!$H$55)))</f>
        <v>LOSE</v>
      </c>
      <c r="Q1794" s="57" t="n">
        <f aca="false">N('Neue Artikel'!$I$55)</f>
        <v>0</v>
      </c>
      <c r="R1794" s="60" t="n">
        <f aca="false">IF(BT1794=1,0,IFERROR(VLOOKUP(BR1794,'Gebinde-Kategorie'!$A$5:$M$45,13,0)+0,0))</f>
        <v>0</v>
      </c>
      <c r="S1794" s="61"/>
      <c r="T1794" s="62"/>
      <c r="U1794" s="62"/>
      <c r="V1794" s="62"/>
      <c r="W1794" s="55"/>
      <c r="X1794" s="57"/>
      <c r="Y1794" s="57"/>
      <c r="Z1794" s="55" t="str">
        <f aca="false">IF(A1794="","",IF(AND(Parameter!$B$21="Ja",ISNUMBER(W1794)),W1794,IF(BV1794="2+3",IF(ISNUMBER(SEARCH("grosser Artikel",BO1794)),2,IFERROR(VLOOKUP(BR1794,Parameter!$F$35:$G$64,2,0),2)),IF(OR(BV1794="Nein",BV1794=""),"-",BV1794))))</f>
        <v/>
      </c>
      <c r="AA1794" s="55" t="str">
        <f aca="false">IF('Neue Artikel'!$J$55="","",'Neue Artikel'!$J$55)</f>
        <v/>
      </c>
      <c r="AB1794" s="63"/>
      <c r="AC1794" s="57" t="n">
        <f aca="false">AR1794</f>
        <v>0</v>
      </c>
      <c r="AD1794" s="57" t="n">
        <f aca="false">MAX(AR1794,H1794)</f>
        <v>0</v>
      </c>
      <c r="AE1794" s="64"/>
      <c r="AF1794" s="57" t="n">
        <f aca="false">IF(LEFT(Cockpit!$C$5,1)="A",H1794,IF(CA1794=1,CB1794,IF(LEFT(Cockpit!$C$5,1)="B",AJ1794,MAX(AJ1794,H1794))))</f>
        <v>0</v>
      </c>
      <c r="AG1794" s="57" t="n">
        <f aca="false">IF(BT1794=1,0,ROUNDUP(AF1794/BS1794,0))</f>
        <v>0</v>
      </c>
      <c r="AH1794" s="59" t="n">
        <f aca="false">IF(CH1794&gt;0,CH1794*MAX(1,AF1794/X1794),IF(BT1794=1,IF(AF1794&lt;=0,0,BW1794*MAX(1,IF(H1794&gt;0,AF1794/H1794,1))),IF(R1794&gt;0,AG1794/R1794,0))/MAX(0.1,N(Parameter!$M$21)))</f>
        <v>0</v>
      </c>
      <c r="AI1794" s="57" t="n">
        <f aca="false">AF1794*G1794</f>
        <v>0</v>
      </c>
      <c r="AJ1794" s="57" t="n">
        <f aca="false">ROUNDUP(MAX(J1794/IF(BZ1794&gt;0,BZ1794,MAX(0.1,N(Cockpit!$C$6))),CC1794)/BS1794,0)*BS1794</f>
        <v>0</v>
      </c>
      <c r="AK1794" s="58" t="n">
        <f aca="false">IF(AH1794&gt;0,J1794/AH1794,-1)</f>
        <v>-1</v>
      </c>
      <c r="AL1794" s="58" t="str">
        <f aca="false">IF(AND(OR(BY1794="L1",BY1794="L23"),AH1794&gt;0),SUMIFS($AH$7:$AH$1843,$BY$7:$BY$1843,BY1794,$AK$7:$AK$1843,"&gt;"&amp;AK1794)+SUMIFS($AH$7:$AH$1843,$BY$7:$BY$1843,BY1794,$AK$7:$AK$1843,AK1794,$BQ$7:$BQ$1843,"&lt;="&amp;BQ1794),"")</f>
        <v/>
      </c>
      <c r="AM1794" s="65" t="n">
        <f aca="false">IF(AL1794="",0,MAX(0,MIN(1,(IF(BY1794="L1",Parameter!$E$5,Parameter!$E$6+Parameter!$E$7)-(AL1794-AH1794))/AH1794)))</f>
        <v>0</v>
      </c>
      <c r="AN1794" s="57" t="n">
        <f aca="false">IF(LEFT(Cockpit!$I$5,1)="A",H1794,IF(CA1794=1,CB1794,IF(LEFT(Cockpit!$I$5,1)="B",AR1794,MAX(AR1794,H1794))))</f>
        <v>0</v>
      </c>
      <c r="AO1794" s="57" t="n">
        <f aca="false">IF(BT1794=1,0,ROUNDUP(AN1794/BS1794,0))</f>
        <v>0</v>
      </c>
      <c r="AP1794" s="59" t="n">
        <f aca="false">IF(CH1794&gt;0,CH1794*MAX(1,AN1794/X1794),IF(BT1794=1,IF(AN1794&lt;=0,0,BW1794*MAX(1,IF(H1794&gt;0,AN1794/H1794,1))),IF(R1794&gt;0,AO1794/R1794,0))/MAX(0.1,N(Parameter!$M$21)))</f>
        <v>0</v>
      </c>
      <c r="AQ1794" s="57" t="n">
        <f aca="false">AN1794*G1794</f>
        <v>0</v>
      </c>
      <c r="AR1794" s="57" t="n">
        <f aca="false">ROUNDUP(MAX(J1794/IF(BZ1794&gt;0,BZ1794,MAX(0.1,N(Cockpit!$I$6))),CC1794)/BS1794,0)*BS1794</f>
        <v>0</v>
      </c>
      <c r="AS1794" s="58" t="n">
        <f aca="false">IF(AP1794&gt;0,J1794/AP1794,-1)</f>
        <v>-1</v>
      </c>
      <c r="AT1794" s="58" t="str">
        <f aca="false">IF(AND(OR(BY1794="L1",BY1794="L23"),AP1794&gt;0),SUMIFS($AP$7:$AP$1843,$BY$7:$BY$1843,BY1794,$AS$7:$AS$1843,"&gt;"&amp;AS1794)+SUMIFS($AP$7:$AP$1843,$BY$7:$BY$1843,BY1794,$AS$7:$AS$1843,AS1794,$BQ$7:$BQ$1843,"&lt;="&amp;BQ1794),"")</f>
        <v/>
      </c>
      <c r="AU1794" s="65" t="n">
        <f aca="false">IF(AT1794="",0,MAX(0,MIN(1,(IF(BY1794="L1",Parameter!$E$5,Parameter!$E$6+Parameter!$E$7)-(AT1794-AP1794))/AP1794)))</f>
        <v>0</v>
      </c>
      <c r="AV1794" s="57" t="n">
        <f aca="false">IF(LEFT(Cockpit!$O$5,1)="A",H1794,IF(CA1794=1,CB1794,IF(LEFT(Cockpit!$O$5,1)="B",AZ1794,MAX(AZ1794,H1794))))</f>
        <v>0</v>
      </c>
      <c r="AW1794" s="57" t="n">
        <f aca="false">IF(BT1794=1,0,ROUNDUP(AV1794/BS1794,0))</f>
        <v>0</v>
      </c>
      <c r="AX1794" s="59" t="n">
        <f aca="false">IF(CH1794&gt;0,CH1794*MAX(1,AV1794/X1794),IF(BT1794=1,IF(AV1794&lt;=0,0,BW1794*MAX(1,IF(H1794&gt;0,AV1794/H1794,1))),IF(R1794&gt;0,AW1794/R1794,0))/MAX(0.1,N(Parameter!$M$21)))</f>
        <v>0</v>
      </c>
      <c r="AY1794" s="57" t="n">
        <f aca="false">AV1794*G1794</f>
        <v>0</v>
      </c>
      <c r="AZ1794" s="57" t="n">
        <f aca="false">ROUNDUP(MAX(J1794/IF(BZ1794&gt;0,BZ1794,MAX(0.1,N(Cockpit!$O$6))),CC1794)/BS1794,0)*BS1794</f>
        <v>0</v>
      </c>
      <c r="BA1794" s="58" t="n">
        <f aca="false">IF(AX1794&gt;0,J1794/AX1794,-1)</f>
        <v>-1</v>
      </c>
      <c r="BB1794" s="58" t="str">
        <f aca="false">IF(AND(OR(BY1794="L1",BY1794="L23"),AX1794&gt;0),SUMIFS($AX$7:$AX$1843,$BY$7:$BY$1843,BY1794,$BA$7:$BA$1843,"&gt;"&amp;BA1794)+SUMIFS($AX$7:$AX$1843,$BY$7:$BY$1843,BY1794,$BA$7:$BA$1843,BA1794,$BQ$7:$BQ$1843,"&lt;="&amp;BQ1794),"")</f>
        <v/>
      </c>
      <c r="BC1794" s="65" t="n">
        <f aca="false">IF(BB1794="",0,MAX(0,MIN(1,(IF(BY1794="L1",Parameter!$E$5,Parameter!$E$6+Parameter!$E$7)-(BB1794-AX1794))/AX1794)))</f>
        <v>0</v>
      </c>
      <c r="BD1794" s="55" t="str">
        <f aca="false">IF(AH1794&lt;=0,"",IF(BY1794="Aussen","Aussenlager",IF(BY1794="-","Nicht im Lift",IF(AM1794&gt;=1,"Lift",IF(AM1794&lt;=0,"Aussenlager","teilweise")))))</f>
        <v/>
      </c>
      <c r="BE1794" s="55" t="str">
        <f aca="false">IF(AP1794&lt;=0,"",IF(BY1794="Aussen","Aussenlager",IF(BY1794="-","Nicht im Lift",IF(AU1794&gt;=1,"Lift",IF(AU1794&lt;=0,"Aussenlager","teilweise")))))</f>
        <v/>
      </c>
      <c r="BF1794" s="55" t="str">
        <f aca="false">IF(AX1794&lt;=0,"",IF(BY1794="Aussen","Aussenlager",IF(BY1794="-","Nicht im Lift",IF(BC1794&gt;=1,"Lift",IF(BC1794&lt;=0,"Aussenlager","teilweise")))))</f>
        <v/>
      </c>
      <c r="BG1794" s="55" t="str">
        <f aca="false">IF(A1794="","",IF(BP1794=1,"Neu; ","")&amp;IF(AND(BP1794=0,BK1794&lt;0),"negativer Bestand (Export "&amp;BK1794&amp;"); ","")&amp;IF(J1794&lt;=0,"Kein Verbrauch; ","")&amp;IF(CH1794&gt;0,"Lift "&amp;W1794&amp;" lt. Liftbericht (Fach "&amp;X1794&amp;" Stk); ",IF(BU1794=1,"Gebinde geschätzt ("&amp;T1794&amp;"); ",IF(BT1794=1,"Lose – Tablare geschätzt; ","")))&amp;IF(H1794&gt;AR1794,"Überbestand "&amp;ROUND(H1794-AR1794,0)&amp;" Stk / CHF "&amp;ROUND((H1794-AR1794)*G1794,0)&amp;"; ","")&amp;IF(AND(CA1794=1,CB1794&lt;CC1794),"MAX &lt; MB+LG; ","")&amp;IF(AND(CG1794&gt;0,CF1794*10&gt;CG1794),"zu hoch für Tablar; ","")&amp;IF(AND(BP1794=0,OR(CA1794=1,AA1794&lt;&gt;"",U1794&lt;&gt;"",V1794&lt;&gt;"",AB1794&lt;&gt;"")),"manuell übersteuert; ","")&amp;IF(AND(BT1794=0,R1794=0),"Gebinde unbekannt / Stellmass fehlt; ","")&amp;IF(AND(BT1794=0,N(V1794)&lt;=0,N(Q1794)&lt;=0),"Menge pro Gebinde fehlt (Ist = 1 Gebinde); ","")&amp;BO1794)</f>
        <v/>
      </c>
      <c r="BH1794" s="55"/>
      <c r="BI1794" s="55"/>
      <c r="BJ1794" s="62"/>
      <c r="BK1794" s="57" t="n">
        <f aca="false">N('Neue Artikel'!$D$55)</f>
        <v>0</v>
      </c>
      <c r="BL1794" s="57" t="n">
        <v>0</v>
      </c>
      <c r="BM1794" s="56" t="n">
        <v>0</v>
      </c>
      <c r="BN1794" s="57" t="n">
        <f aca="false">N('Neue Artikel'!$C$55)/Parameter!$B$18</f>
        <v>0</v>
      </c>
      <c r="BO1794" s="55"/>
      <c r="BP1794" s="60" t="n">
        <v>1</v>
      </c>
      <c r="BQ1794" s="60" t="n">
        <v>1794</v>
      </c>
      <c r="BR1794" s="55" t="str">
        <f aca="false">IF(U1794&lt;&gt;"",UPPER(TRIM(U1794)),IF(BU1794=1,UPPER(VLOOKUP(T1794,Parameter!$I$27:$K$29,2,0)),IF(P1794="","LOSE",P1794)))</f>
        <v>LOSE</v>
      </c>
      <c r="BS1794" s="57" t="n">
        <f aca="false">IF(BR1794="LOSE",1,IF(N(V1794)&gt;0,V1794,IF(BU1794=1,MAX(1,N(VLOOKUP(T1794,Parameter!$I$27:$K$29,3,0)),H1794,N(N1794)),IF(N(Q1794)&gt;0,Q1794,MAX(1,H1794)))))</f>
        <v>1</v>
      </c>
      <c r="BT1794" s="60" t="n">
        <f aca="false">IF(BR1794="LOSE",1,0)</f>
        <v>1</v>
      </c>
      <c r="BU1794" s="60" t="n">
        <f aca="false">IF(AND(U1794="",OR(P1794="",P1794="LOSE"),T1794&lt;&gt;"",N(S1794)&lt;=0,ISNUMBER(MATCH(T1794,Parameter!$I$27:$I$29,0))),1,0)</f>
        <v>0</v>
      </c>
      <c r="BV1794" s="55" t="str">
        <f aca="false">IF(AND(Parameter!$B$19="Ja",E1794&lt;&gt;"",ISNUMBER(MATCH(E1794,Parameter!$I$35:$I$52,0))),VLOOKUP(E1794,Parameter!$I$35:$J$52,2,0),IFERROR(VLOOKUP(D1794,Parameter!$A$35:$C$64,2,0),"Nein"))</f>
        <v>2+3</v>
      </c>
      <c r="BW1794" s="59" t="n">
        <f aca="false">IF(BT1794=0,0,IF(N(S1794)&gt;0,S1794,IFERROR(VLOOKUP(D1794,Parameter!$A$35:$C$64,3,0)+0,0)))</f>
        <v>0.15</v>
      </c>
      <c r="BX1794" s="55" t="str">
        <f aca="false">IF(AA1794&lt;&gt;"",AA1794,Z1794)</f>
        <v/>
      </c>
      <c r="BY1794" s="55" t="str">
        <f aca="false">IF(BX1794=1,"L1",IF(OR(BX1794=2,BX1794=3),"L23",IF(BX1794="Aussen","Aussen","-")))</f>
        <v>-</v>
      </c>
      <c r="BZ1794" s="66" t="n">
        <f aca="false">IF(N(AB1794)&gt;0,AB1794,0)</f>
        <v>0</v>
      </c>
      <c r="CA1794" s="60" t="n">
        <f aca="false">IF(ISNUMBER(AE1794),1,0)</f>
        <v>0</v>
      </c>
      <c r="CB1794" s="57" t="n">
        <f aca="false">N(AE1794)</f>
        <v>0</v>
      </c>
      <c r="CC1794" s="57" t="n">
        <f aca="false">N(M1794)+N(N1794)</f>
        <v>0</v>
      </c>
      <c r="CD1794" s="57" t="n">
        <f aca="false">ROUNDUP(H1794/BS1794,0)</f>
        <v>0</v>
      </c>
      <c r="CE1794" s="57" t="n">
        <f aca="false">ROUNDUP(CB1794/BS1794,0)</f>
        <v>0</v>
      </c>
      <c r="CF1794" s="60" t="n">
        <f aca="false">IF(BT1794=1,0,IFERROR(VLOOKUP(BR1794,'Gebinde-Kategorie'!$A$5:$M$45,5,0)+0,0))</f>
        <v>0</v>
      </c>
      <c r="CG1794" s="60" t="n">
        <f aca="false">IFERROR(IF(OR(BX1794=1,BX1794=2,BX1794=3),N(INDEX(Parameter!$I$5:$I$7,BX1794)),0),0)</f>
        <v>0</v>
      </c>
      <c r="CH1794" s="59" t="n">
        <f aca="false">IF(AND(Parameter!$B$21="Ja",ISNUMBER(W1794),N(X1794)&gt;0),IFERROR(N(INDEX(Parameter!$L$5:$L$7,W1794))*INDEX(Parameter!$E$5:$E$7,W1794)*X1794/SUMIFS($X$7:$X$1843,$W$7:$W$1843,W1794),0),0)</f>
        <v>0</v>
      </c>
    </row>
    <row r="1795" customFormat="false" ht="15" hidden="false" customHeight="false" outlineLevel="0" collapsed="false">
      <c r="A1795" s="55" t="str">
        <f aca="false">IF('Neue Artikel'!$A$56="","",'Neue Artikel'!$A$56&amp;"")</f>
        <v/>
      </c>
      <c r="B1795" s="55" t="str">
        <f aca="false">'Neue Artikel'!$B$56&amp;""</f>
        <v/>
      </c>
      <c r="C1795" s="55"/>
      <c r="D1795" s="55" t="s">
        <v>3015</v>
      </c>
      <c r="E1795" s="55"/>
      <c r="F1795" s="55"/>
      <c r="G1795" s="56" t="n">
        <f aca="false">N('Neue Artikel'!$G$56)</f>
        <v>0</v>
      </c>
      <c r="H1795" s="57" t="n">
        <f aca="false">MAX(0,IF(AND(Parameter!$B$21="Ja",ISNUMBER(Y1795)),Y1795,IF(Parameter!$B$20="Jahresanfang 2025 + Export",BL1795+BK1795,BK1795)))</f>
        <v>0</v>
      </c>
      <c r="I1795" s="57" t="n">
        <f aca="false">H1795*G1795</f>
        <v>0</v>
      </c>
      <c r="J1795" s="57" t="n">
        <f aca="false">BN1795*Parameter!$B$18</f>
        <v>0</v>
      </c>
      <c r="K1795" s="58"/>
      <c r="L1795" s="59"/>
      <c r="M1795" s="57" t="n">
        <f aca="false">N('Neue Artikel'!$E$56)</f>
        <v>0</v>
      </c>
      <c r="N1795" s="57" t="n">
        <f aca="false">N('Neue Artikel'!$F$56)</f>
        <v>0</v>
      </c>
      <c r="O1795" s="60"/>
      <c r="P1795" s="55" t="str">
        <f aca="false">IF('Neue Artikel'!$H$56="","LOSE",UPPER(TRIM('Neue Artikel'!$H$56)))</f>
        <v>LOSE</v>
      </c>
      <c r="Q1795" s="57" t="n">
        <f aca="false">N('Neue Artikel'!$I$56)</f>
        <v>0</v>
      </c>
      <c r="R1795" s="60" t="n">
        <f aca="false">IF(BT1795=1,0,IFERROR(VLOOKUP(BR1795,'Gebinde-Kategorie'!$A$5:$M$45,13,0)+0,0))</f>
        <v>0</v>
      </c>
      <c r="S1795" s="61"/>
      <c r="T1795" s="62"/>
      <c r="U1795" s="62"/>
      <c r="V1795" s="62"/>
      <c r="W1795" s="55"/>
      <c r="X1795" s="57"/>
      <c r="Y1795" s="57"/>
      <c r="Z1795" s="55" t="str">
        <f aca="false">IF(A1795="","",IF(AND(Parameter!$B$21="Ja",ISNUMBER(W1795)),W1795,IF(BV1795="2+3",IF(ISNUMBER(SEARCH("grosser Artikel",BO1795)),2,IFERROR(VLOOKUP(BR1795,Parameter!$F$35:$G$64,2,0),2)),IF(OR(BV1795="Nein",BV1795=""),"-",BV1795))))</f>
        <v/>
      </c>
      <c r="AA1795" s="55" t="str">
        <f aca="false">IF('Neue Artikel'!$J$56="","",'Neue Artikel'!$J$56)</f>
        <v/>
      </c>
      <c r="AB1795" s="63"/>
      <c r="AC1795" s="57" t="n">
        <f aca="false">AR1795</f>
        <v>0</v>
      </c>
      <c r="AD1795" s="57" t="n">
        <f aca="false">MAX(AR1795,H1795)</f>
        <v>0</v>
      </c>
      <c r="AE1795" s="64"/>
      <c r="AF1795" s="57" t="n">
        <f aca="false">IF(LEFT(Cockpit!$C$5,1)="A",H1795,IF(CA1795=1,CB1795,IF(LEFT(Cockpit!$C$5,1)="B",AJ1795,MAX(AJ1795,H1795))))</f>
        <v>0</v>
      </c>
      <c r="AG1795" s="57" t="n">
        <f aca="false">IF(BT1795=1,0,ROUNDUP(AF1795/BS1795,0))</f>
        <v>0</v>
      </c>
      <c r="AH1795" s="59" t="n">
        <f aca="false">IF(CH1795&gt;0,CH1795*MAX(1,AF1795/X1795),IF(BT1795=1,IF(AF1795&lt;=0,0,BW1795*MAX(1,IF(H1795&gt;0,AF1795/H1795,1))),IF(R1795&gt;0,AG1795/R1795,0))/MAX(0.1,N(Parameter!$M$21)))</f>
        <v>0</v>
      </c>
      <c r="AI1795" s="57" t="n">
        <f aca="false">AF1795*G1795</f>
        <v>0</v>
      </c>
      <c r="AJ1795" s="57" t="n">
        <f aca="false">ROUNDUP(MAX(J1795/IF(BZ1795&gt;0,BZ1795,MAX(0.1,N(Cockpit!$C$6))),CC1795)/BS1795,0)*BS1795</f>
        <v>0</v>
      </c>
      <c r="AK1795" s="58" t="n">
        <f aca="false">IF(AH1795&gt;0,J1795/AH1795,-1)</f>
        <v>-1</v>
      </c>
      <c r="AL1795" s="58" t="str">
        <f aca="false">IF(AND(OR(BY1795="L1",BY1795="L23"),AH1795&gt;0),SUMIFS($AH$7:$AH$1843,$BY$7:$BY$1843,BY1795,$AK$7:$AK$1843,"&gt;"&amp;AK1795)+SUMIFS($AH$7:$AH$1843,$BY$7:$BY$1843,BY1795,$AK$7:$AK$1843,AK1795,$BQ$7:$BQ$1843,"&lt;="&amp;BQ1795),"")</f>
        <v/>
      </c>
      <c r="AM1795" s="65" t="n">
        <f aca="false">IF(AL1795="",0,MAX(0,MIN(1,(IF(BY1795="L1",Parameter!$E$5,Parameter!$E$6+Parameter!$E$7)-(AL1795-AH1795))/AH1795)))</f>
        <v>0</v>
      </c>
      <c r="AN1795" s="57" t="n">
        <f aca="false">IF(LEFT(Cockpit!$I$5,1)="A",H1795,IF(CA1795=1,CB1795,IF(LEFT(Cockpit!$I$5,1)="B",AR1795,MAX(AR1795,H1795))))</f>
        <v>0</v>
      </c>
      <c r="AO1795" s="57" t="n">
        <f aca="false">IF(BT1795=1,0,ROUNDUP(AN1795/BS1795,0))</f>
        <v>0</v>
      </c>
      <c r="AP1795" s="59" t="n">
        <f aca="false">IF(CH1795&gt;0,CH1795*MAX(1,AN1795/X1795),IF(BT1795=1,IF(AN1795&lt;=0,0,BW1795*MAX(1,IF(H1795&gt;0,AN1795/H1795,1))),IF(R1795&gt;0,AO1795/R1795,0))/MAX(0.1,N(Parameter!$M$21)))</f>
        <v>0</v>
      </c>
      <c r="AQ1795" s="57" t="n">
        <f aca="false">AN1795*G1795</f>
        <v>0</v>
      </c>
      <c r="AR1795" s="57" t="n">
        <f aca="false">ROUNDUP(MAX(J1795/IF(BZ1795&gt;0,BZ1795,MAX(0.1,N(Cockpit!$I$6))),CC1795)/BS1795,0)*BS1795</f>
        <v>0</v>
      </c>
      <c r="AS1795" s="58" t="n">
        <f aca="false">IF(AP1795&gt;0,J1795/AP1795,-1)</f>
        <v>-1</v>
      </c>
      <c r="AT1795" s="58" t="str">
        <f aca="false">IF(AND(OR(BY1795="L1",BY1795="L23"),AP1795&gt;0),SUMIFS($AP$7:$AP$1843,$BY$7:$BY$1843,BY1795,$AS$7:$AS$1843,"&gt;"&amp;AS1795)+SUMIFS($AP$7:$AP$1843,$BY$7:$BY$1843,BY1795,$AS$7:$AS$1843,AS1795,$BQ$7:$BQ$1843,"&lt;="&amp;BQ1795),"")</f>
        <v/>
      </c>
      <c r="AU1795" s="65" t="n">
        <f aca="false">IF(AT1795="",0,MAX(0,MIN(1,(IF(BY1795="L1",Parameter!$E$5,Parameter!$E$6+Parameter!$E$7)-(AT1795-AP1795))/AP1795)))</f>
        <v>0</v>
      </c>
      <c r="AV1795" s="57" t="n">
        <f aca="false">IF(LEFT(Cockpit!$O$5,1)="A",H1795,IF(CA1795=1,CB1795,IF(LEFT(Cockpit!$O$5,1)="B",AZ1795,MAX(AZ1795,H1795))))</f>
        <v>0</v>
      </c>
      <c r="AW1795" s="57" t="n">
        <f aca="false">IF(BT1795=1,0,ROUNDUP(AV1795/BS1795,0))</f>
        <v>0</v>
      </c>
      <c r="AX1795" s="59" t="n">
        <f aca="false">IF(CH1795&gt;0,CH1795*MAX(1,AV1795/X1795),IF(BT1795=1,IF(AV1795&lt;=0,0,BW1795*MAX(1,IF(H1795&gt;0,AV1795/H1795,1))),IF(R1795&gt;0,AW1795/R1795,0))/MAX(0.1,N(Parameter!$M$21)))</f>
        <v>0</v>
      </c>
      <c r="AY1795" s="57" t="n">
        <f aca="false">AV1795*G1795</f>
        <v>0</v>
      </c>
      <c r="AZ1795" s="57" t="n">
        <f aca="false">ROUNDUP(MAX(J1795/IF(BZ1795&gt;0,BZ1795,MAX(0.1,N(Cockpit!$O$6))),CC1795)/BS1795,0)*BS1795</f>
        <v>0</v>
      </c>
      <c r="BA1795" s="58" t="n">
        <f aca="false">IF(AX1795&gt;0,J1795/AX1795,-1)</f>
        <v>-1</v>
      </c>
      <c r="BB1795" s="58" t="str">
        <f aca="false">IF(AND(OR(BY1795="L1",BY1795="L23"),AX1795&gt;0),SUMIFS($AX$7:$AX$1843,$BY$7:$BY$1843,BY1795,$BA$7:$BA$1843,"&gt;"&amp;BA1795)+SUMIFS($AX$7:$AX$1843,$BY$7:$BY$1843,BY1795,$BA$7:$BA$1843,BA1795,$BQ$7:$BQ$1843,"&lt;="&amp;BQ1795),"")</f>
        <v/>
      </c>
      <c r="BC1795" s="65" t="n">
        <f aca="false">IF(BB1795="",0,MAX(0,MIN(1,(IF(BY1795="L1",Parameter!$E$5,Parameter!$E$6+Parameter!$E$7)-(BB1795-AX1795))/AX1795)))</f>
        <v>0</v>
      </c>
      <c r="BD1795" s="55" t="str">
        <f aca="false">IF(AH1795&lt;=0,"",IF(BY1795="Aussen","Aussenlager",IF(BY1795="-","Nicht im Lift",IF(AM1795&gt;=1,"Lift",IF(AM1795&lt;=0,"Aussenlager","teilweise")))))</f>
        <v/>
      </c>
      <c r="BE1795" s="55" t="str">
        <f aca="false">IF(AP1795&lt;=0,"",IF(BY1795="Aussen","Aussenlager",IF(BY1795="-","Nicht im Lift",IF(AU1795&gt;=1,"Lift",IF(AU1795&lt;=0,"Aussenlager","teilweise")))))</f>
        <v/>
      </c>
      <c r="BF1795" s="55" t="str">
        <f aca="false">IF(AX1795&lt;=0,"",IF(BY1795="Aussen","Aussenlager",IF(BY1795="-","Nicht im Lift",IF(BC1795&gt;=1,"Lift",IF(BC1795&lt;=0,"Aussenlager","teilweise")))))</f>
        <v/>
      </c>
      <c r="BG1795" s="55" t="str">
        <f aca="false">IF(A1795="","",IF(BP1795=1,"Neu; ","")&amp;IF(AND(BP1795=0,BK1795&lt;0),"negativer Bestand (Export "&amp;BK1795&amp;"); ","")&amp;IF(J1795&lt;=0,"Kein Verbrauch; ","")&amp;IF(CH1795&gt;0,"Lift "&amp;W1795&amp;" lt. Liftbericht (Fach "&amp;X1795&amp;" Stk); ",IF(BU1795=1,"Gebinde geschätzt ("&amp;T1795&amp;"); ",IF(BT1795=1,"Lose – Tablare geschätzt; ","")))&amp;IF(H1795&gt;AR1795,"Überbestand "&amp;ROUND(H1795-AR1795,0)&amp;" Stk / CHF "&amp;ROUND((H1795-AR1795)*G1795,0)&amp;"; ","")&amp;IF(AND(CA1795=1,CB1795&lt;CC1795),"MAX &lt; MB+LG; ","")&amp;IF(AND(CG1795&gt;0,CF1795*10&gt;CG1795),"zu hoch für Tablar; ","")&amp;IF(AND(BP1795=0,OR(CA1795=1,AA1795&lt;&gt;"",U1795&lt;&gt;"",V1795&lt;&gt;"",AB1795&lt;&gt;"")),"manuell übersteuert; ","")&amp;IF(AND(BT1795=0,R1795=0),"Gebinde unbekannt / Stellmass fehlt; ","")&amp;IF(AND(BT1795=0,N(V1795)&lt;=0,N(Q1795)&lt;=0),"Menge pro Gebinde fehlt (Ist = 1 Gebinde); ","")&amp;BO1795)</f>
        <v/>
      </c>
      <c r="BH1795" s="55"/>
      <c r="BI1795" s="55"/>
      <c r="BJ1795" s="62"/>
      <c r="BK1795" s="57" t="n">
        <f aca="false">N('Neue Artikel'!$D$56)</f>
        <v>0</v>
      </c>
      <c r="BL1795" s="57" t="n">
        <v>0</v>
      </c>
      <c r="BM1795" s="56" t="n">
        <v>0</v>
      </c>
      <c r="BN1795" s="57" t="n">
        <f aca="false">N('Neue Artikel'!$C$56)/Parameter!$B$18</f>
        <v>0</v>
      </c>
      <c r="BO1795" s="55"/>
      <c r="BP1795" s="60" t="n">
        <v>1</v>
      </c>
      <c r="BQ1795" s="60" t="n">
        <v>1795</v>
      </c>
      <c r="BR1795" s="55" t="str">
        <f aca="false">IF(U1795&lt;&gt;"",UPPER(TRIM(U1795)),IF(BU1795=1,UPPER(VLOOKUP(T1795,Parameter!$I$27:$K$29,2,0)),IF(P1795="","LOSE",P1795)))</f>
        <v>LOSE</v>
      </c>
      <c r="BS1795" s="57" t="n">
        <f aca="false">IF(BR1795="LOSE",1,IF(N(V1795)&gt;0,V1795,IF(BU1795=1,MAX(1,N(VLOOKUP(T1795,Parameter!$I$27:$K$29,3,0)),H1795,N(N1795)),IF(N(Q1795)&gt;0,Q1795,MAX(1,H1795)))))</f>
        <v>1</v>
      </c>
      <c r="BT1795" s="60" t="n">
        <f aca="false">IF(BR1795="LOSE",1,0)</f>
        <v>1</v>
      </c>
      <c r="BU1795" s="60" t="n">
        <f aca="false">IF(AND(U1795="",OR(P1795="",P1795="LOSE"),T1795&lt;&gt;"",N(S1795)&lt;=0,ISNUMBER(MATCH(T1795,Parameter!$I$27:$I$29,0))),1,0)</f>
        <v>0</v>
      </c>
      <c r="BV1795" s="55" t="str">
        <f aca="false">IF(AND(Parameter!$B$19="Ja",E1795&lt;&gt;"",ISNUMBER(MATCH(E1795,Parameter!$I$35:$I$52,0))),VLOOKUP(E1795,Parameter!$I$35:$J$52,2,0),IFERROR(VLOOKUP(D1795,Parameter!$A$35:$C$64,2,0),"Nein"))</f>
        <v>2+3</v>
      </c>
      <c r="BW1795" s="59" t="n">
        <f aca="false">IF(BT1795=0,0,IF(N(S1795)&gt;0,S1795,IFERROR(VLOOKUP(D1795,Parameter!$A$35:$C$64,3,0)+0,0)))</f>
        <v>0.15</v>
      </c>
      <c r="BX1795" s="55" t="str">
        <f aca="false">IF(AA1795&lt;&gt;"",AA1795,Z1795)</f>
        <v/>
      </c>
      <c r="BY1795" s="55" t="str">
        <f aca="false">IF(BX1795=1,"L1",IF(OR(BX1795=2,BX1795=3),"L23",IF(BX1795="Aussen","Aussen","-")))</f>
        <v>-</v>
      </c>
      <c r="BZ1795" s="66" t="n">
        <f aca="false">IF(N(AB1795)&gt;0,AB1795,0)</f>
        <v>0</v>
      </c>
      <c r="CA1795" s="60" t="n">
        <f aca="false">IF(ISNUMBER(AE1795),1,0)</f>
        <v>0</v>
      </c>
      <c r="CB1795" s="57" t="n">
        <f aca="false">N(AE1795)</f>
        <v>0</v>
      </c>
      <c r="CC1795" s="57" t="n">
        <f aca="false">N(M1795)+N(N1795)</f>
        <v>0</v>
      </c>
      <c r="CD1795" s="57" t="n">
        <f aca="false">ROUNDUP(H1795/BS1795,0)</f>
        <v>0</v>
      </c>
      <c r="CE1795" s="57" t="n">
        <f aca="false">ROUNDUP(CB1795/BS1795,0)</f>
        <v>0</v>
      </c>
      <c r="CF1795" s="60" t="n">
        <f aca="false">IF(BT1795=1,0,IFERROR(VLOOKUP(BR1795,'Gebinde-Kategorie'!$A$5:$M$45,5,0)+0,0))</f>
        <v>0</v>
      </c>
      <c r="CG1795" s="60" t="n">
        <f aca="false">IFERROR(IF(OR(BX1795=1,BX1795=2,BX1795=3),N(INDEX(Parameter!$I$5:$I$7,BX1795)),0),0)</f>
        <v>0</v>
      </c>
      <c r="CH1795" s="59" t="n">
        <f aca="false">IF(AND(Parameter!$B$21="Ja",ISNUMBER(W1795),N(X1795)&gt;0),IFERROR(N(INDEX(Parameter!$L$5:$L$7,W1795))*INDEX(Parameter!$E$5:$E$7,W1795)*X1795/SUMIFS($X$7:$X$1843,$W$7:$W$1843,W1795),0),0)</f>
        <v>0</v>
      </c>
    </row>
    <row r="1796" customFormat="false" ht="15" hidden="false" customHeight="false" outlineLevel="0" collapsed="false">
      <c r="A1796" s="55" t="str">
        <f aca="false">IF('Neue Artikel'!$A$57="","",'Neue Artikel'!$A$57&amp;"")</f>
        <v/>
      </c>
      <c r="B1796" s="55" t="str">
        <f aca="false">'Neue Artikel'!$B$57&amp;""</f>
        <v/>
      </c>
      <c r="C1796" s="55"/>
      <c r="D1796" s="55" t="s">
        <v>3015</v>
      </c>
      <c r="E1796" s="55"/>
      <c r="F1796" s="55"/>
      <c r="G1796" s="56" t="n">
        <f aca="false">N('Neue Artikel'!$G$57)</f>
        <v>0</v>
      </c>
      <c r="H1796" s="57" t="n">
        <f aca="false">MAX(0,IF(AND(Parameter!$B$21="Ja",ISNUMBER(Y1796)),Y1796,IF(Parameter!$B$20="Jahresanfang 2025 + Export",BL1796+BK1796,BK1796)))</f>
        <v>0</v>
      </c>
      <c r="I1796" s="57" t="n">
        <f aca="false">H1796*G1796</f>
        <v>0</v>
      </c>
      <c r="J1796" s="57" t="n">
        <f aca="false">BN1796*Parameter!$B$18</f>
        <v>0</v>
      </c>
      <c r="K1796" s="58"/>
      <c r="L1796" s="59"/>
      <c r="M1796" s="57" t="n">
        <f aca="false">N('Neue Artikel'!$E$57)</f>
        <v>0</v>
      </c>
      <c r="N1796" s="57" t="n">
        <f aca="false">N('Neue Artikel'!$F$57)</f>
        <v>0</v>
      </c>
      <c r="O1796" s="60"/>
      <c r="P1796" s="55" t="str">
        <f aca="false">IF('Neue Artikel'!$H$57="","LOSE",UPPER(TRIM('Neue Artikel'!$H$57)))</f>
        <v>LOSE</v>
      </c>
      <c r="Q1796" s="57" t="n">
        <f aca="false">N('Neue Artikel'!$I$57)</f>
        <v>0</v>
      </c>
      <c r="R1796" s="60" t="n">
        <f aca="false">IF(BT1796=1,0,IFERROR(VLOOKUP(BR1796,'Gebinde-Kategorie'!$A$5:$M$45,13,0)+0,0))</f>
        <v>0</v>
      </c>
      <c r="S1796" s="61"/>
      <c r="T1796" s="62"/>
      <c r="U1796" s="62"/>
      <c r="V1796" s="62"/>
      <c r="W1796" s="55"/>
      <c r="X1796" s="57"/>
      <c r="Y1796" s="57"/>
      <c r="Z1796" s="55" t="str">
        <f aca="false">IF(A1796="","",IF(AND(Parameter!$B$21="Ja",ISNUMBER(W1796)),W1796,IF(BV1796="2+3",IF(ISNUMBER(SEARCH("grosser Artikel",BO1796)),2,IFERROR(VLOOKUP(BR1796,Parameter!$F$35:$G$64,2,0),2)),IF(OR(BV1796="Nein",BV1796=""),"-",BV1796))))</f>
        <v/>
      </c>
      <c r="AA1796" s="55" t="str">
        <f aca="false">IF('Neue Artikel'!$J$57="","",'Neue Artikel'!$J$57)</f>
        <v/>
      </c>
      <c r="AB1796" s="63"/>
      <c r="AC1796" s="57" t="n">
        <f aca="false">AR1796</f>
        <v>0</v>
      </c>
      <c r="AD1796" s="57" t="n">
        <f aca="false">MAX(AR1796,H1796)</f>
        <v>0</v>
      </c>
      <c r="AE1796" s="64"/>
      <c r="AF1796" s="57" t="n">
        <f aca="false">IF(LEFT(Cockpit!$C$5,1)="A",H1796,IF(CA1796=1,CB1796,IF(LEFT(Cockpit!$C$5,1)="B",AJ1796,MAX(AJ1796,H1796))))</f>
        <v>0</v>
      </c>
      <c r="AG1796" s="57" t="n">
        <f aca="false">IF(BT1796=1,0,ROUNDUP(AF1796/BS1796,0))</f>
        <v>0</v>
      </c>
      <c r="AH1796" s="59" t="n">
        <f aca="false">IF(CH1796&gt;0,CH1796*MAX(1,AF1796/X1796),IF(BT1796=1,IF(AF1796&lt;=0,0,BW1796*MAX(1,IF(H1796&gt;0,AF1796/H1796,1))),IF(R1796&gt;0,AG1796/R1796,0))/MAX(0.1,N(Parameter!$M$21)))</f>
        <v>0</v>
      </c>
      <c r="AI1796" s="57" t="n">
        <f aca="false">AF1796*G1796</f>
        <v>0</v>
      </c>
      <c r="AJ1796" s="57" t="n">
        <f aca="false">ROUNDUP(MAX(J1796/IF(BZ1796&gt;0,BZ1796,MAX(0.1,N(Cockpit!$C$6))),CC1796)/BS1796,0)*BS1796</f>
        <v>0</v>
      </c>
      <c r="AK1796" s="58" t="n">
        <f aca="false">IF(AH1796&gt;0,J1796/AH1796,-1)</f>
        <v>-1</v>
      </c>
      <c r="AL1796" s="58" t="str">
        <f aca="false">IF(AND(OR(BY1796="L1",BY1796="L23"),AH1796&gt;0),SUMIFS($AH$7:$AH$1843,$BY$7:$BY$1843,BY1796,$AK$7:$AK$1843,"&gt;"&amp;AK1796)+SUMIFS($AH$7:$AH$1843,$BY$7:$BY$1843,BY1796,$AK$7:$AK$1843,AK1796,$BQ$7:$BQ$1843,"&lt;="&amp;BQ1796),"")</f>
        <v/>
      </c>
      <c r="AM1796" s="65" t="n">
        <f aca="false">IF(AL1796="",0,MAX(0,MIN(1,(IF(BY1796="L1",Parameter!$E$5,Parameter!$E$6+Parameter!$E$7)-(AL1796-AH1796))/AH1796)))</f>
        <v>0</v>
      </c>
      <c r="AN1796" s="57" t="n">
        <f aca="false">IF(LEFT(Cockpit!$I$5,1)="A",H1796,IF(CA1796=1,CB1796,IF(LEFT(Cockpit!$I$5,1)="B",AR1796,MAX(AR1796,H1796))))</f>
        <v>0</v>
      </c>
      <c r="AO1796" s="57" t="n">
        <f aca="false">IF(BT1796=1,0,ROUNDUP(AN1796/BS1796,0))</f>
        <v>0</v>
      </c>
      <c r="AP1796" s="59" t="n">
        <f aca="false">IF(CH1796&gt;0,CH1796*MAX(1,AN1796/X1796),IF(BT1796=1,IF(AN1796&lt;=0,0,BW1796*MAX(1,IF(H1796&gt;0,AN1796/H1796,1))),IF(R1796&gt;0,AO1796/R1796,0))/MAX(0.1,N(Parameter!$M$21)))</f>
        <v>0</v>
      </c>
      <c r="AQ1796" s="57" t="n">
        <f aca="false">AN1796*G1796</f>
        <v>0</v>
      </c>
      <c r="AR1796" s="57" t="n">
        <f aca="false">ROUNDUP(MAX(J1796/IF(BZ1796&gt;0,BZ1796,MAX(0.1,N(Cockpit!$I$6))),CC1796)/BS1796,0)*BS1796</f>
        <v>0</v>
      </c>
      <c r="AS1796" s="58" t="n">
        <f aca="false">IF(AP1796&gt;0,J1796/AP1796,-1)</f>
        <v>-1</v>
      </c>
      <c r="AT1796" s="58" t="str">
        <f aca="false">IF(AND(OR(BY1796="L1",BY1796="L23"),AP1796&gt;0),SUMIFS($AP$7:$AP$1843,$BY$7:$BY$1843,BY1796,$AS$7:$AS$1843,"&gt;"&amp;AS1796)+SUMIFS($AP$7:$AP$1843,$BY$7:$BY$1843,BY1796,$AS$7:$AS$1843,AS1796,$BQ$7:$BQ$1843,"&lt;="&amp;BQ1796),"")</f>
        <v/>
      </c>
      <c r="AU1796" s="65" t="n">
        <f aca="false">IF(AT1796="",0,MAX(0,MIN(1,(IF(BY1796="L1",Parameter!$E$5,Parameter!$E$6+Parameter!$E$7)-(AT1796-AP1796))/AP1796)))</f>
        <v>0</v>
      </c>
      <c r="AV1796" s="57" t="n">
        <f aca="false">IF(LEFT(Cockpit!$O$5,1)="A",H1796,IF(CA1796=1,CB1796,IF(LEFT(Cockpit!$O$5,1)="B",AZ1796,MAX(AZ1796,H1796))))</f>
        <v>0</v>
      </c>
      <c r="AW1796" s="57" t="n">
        <f aca="false">IF(BT1796=1,0,ROUNDUP(AV1796/BS1796,0))</f>
        <v>0</v>
      </c>
      <c r="AX1796" s="59" t="n">
        <f aca="false">IF(CH1796&gt;0,CH1796*MAX(1,AV1796/X1796),IF(BT1796=1,IF(AV1796&lt;=0,0,BW1796*MAX(1,IF(H1796&gt;0,AV1796/H1796,1))),IF(R1796&gt;0,AW1796/R1796,0))/MAX(0.1,N(Parameter!$M$21)))</f>
        <v>0</v>
      </c>
      <c r="AY1796" s="57" t="n">
        <f aca="false">AV1796*G1796</f>
        <v>0</v>
      </c>
      <c r="AZ1796" s="57" t="n">
        <f aca="false">ROUNDUP(MAX(J1796/IF(BZ1796&gt;0,BZ1796,MAX(0.1,N(Cockpit!$O$6))),CC1796)/BS1796,0)*BS1796</f>
        <v>0</v>
      </c>
      <c r="BA1796" s="58" t="n">
        <f aca="false">IF(AX1796&gt;0,J1796/AX1796,-1)</f>
        <v>-1</v>
      </c>
      <c r="BB1796" s="58" t="str">
        <f aca="false">IF(AND(OR(BY1796="L1",BY1796="L23"),AX1796&gt;0),SUMIFS($AX$7:$AX$1843,$BY$7:$BY$1843,BY1796,$BA$7:$BA$1843,"&gt;"&amp;BA1796)+SUMIFS($AX$7:$AX$1843,$BY$7:$BY$1843,BY1796,$BA$7:$BA$1843,BA1796,$BQ$7:$BQ$1843,"&lt;="&amp;BQ1796),"")</f>
        <v/>
      </c>
      <c r="BC1796" s="65" t="n">
        <f aca="false">IF(BB1796="",0,MAX(0,MIN(1,(IF(BY1796="L1",Parameter!$E$5,Parameter!$E$6+Parameter!$E$7)-(BB1796-AX1796))/AX1796)))</f>
        <v>0</v>
      </c>
      <c r="BD1796" s="55" t="str">
        <f aca="false">IF(AH1796&lt;=0,"",IF(BY1796="Aussen","Aussenlager",IF(BY1796="-","Nicht im Lift",IF(AM1796&gt;=1,"Lift",IF(AM1796&lt;=0,"Aussenlager","teilweise")))))</f>
        <v/>
      </c>
      <c r="BE1796" s="55" t="str">
        <f aca="false">IF(AP1796&lt;=0,"",IF(BY1796="Aussen","Aussenlager",IF(BY1796="-","Nicht im Lift",IF(AU1796&gt;=1,"Lift",IF(AU1796&lt;=0,"Aussenlager","teilweise")))))</f>
        <v/>
      </c>
      <c r="BF1796" s="55" t="str">
        <f aca="false">IF(AX1796&lt;=0,"",IF(BY1796="Aussen","Aussenlager",IF(BY1796="-","Nicht im Lift",IF(BC1796&gt;=1,"Lift",IF(BC1796&lt;=0,"Aussenlager","teilweise")))))</f>
        <v/>
      </c>
      <c r="BG1796" s="55" t="str">
        <f aca="false">IF(A1796="","",IF(BP1796=1,"Neu; ","")&amp;IF(AND(BP1796=0,BK1796&lt;0),"negativer Bestand (Export "&amp;BK1796&amp;"); ","")&amp;IF(J1796&lt;=0,"Kein Verbrauch; ","")&amp;IF(CH1796&gt;0,"Lift "&amp;W1796&amp;" lt. Liftbericht (Fach "&amp;X1796&amp;" Stk); ",IF(BU1796=1,"Gebinde geschätzt ("&amp;T1796&amp;"); ",IF(BT1796=1,"Lose – Tablare geschätzt; ","")))&amp;IF(H1796&gt;AR1796,"Überbestand "&amp;ROUND(H1796-AR1796,0)&amp;" Stk / CHF "&amp;ROUND((H1796-AR1796)*G1796,0)&amp;"; ","")&amp;IF(AND(CA1796=1,CB1796&lt;CC1796),"MAX &lt; MB+LG; ","")&amp;IF(AND(CG1796&gt;0,CF1796*10&gt;CG1796),"zu hoch für Tablar; ","")&amp;IF(AND(BP1796=0,OR(CA1796=1,AA1796&lt;&gt;"",U1796&lt;&gt;"",V1796&lt;&gt;"",AB1796&lt;&gt;"")),"manuell übersteuert; ","")&amp;IF(AND(BT1796=0,R1796=0),"Gebinde unbekannt / Stellmass fehlt; ","")&amp;IF(AND(BT1796=0,N(V1796)&lt;=0,N(Q1796)&lt;=0),"Menge pro Gebinde fehlt (Ist = 1 Gebinde); ","")&amp;BO1796)</f>
        <v/>
      </c>
      <c r="BH1796" s="55"/>
      <c r="BI1796" s="55"/>
      <c r="BJ1796" s="62"/>
      <c r="BK1796" s="57" t="n">
        <f aca="false">N('Neue Artikel'!$D$57)</f>
        <v>0</v>
      </c>
      <c r="BL1796" s="57" t="n">
        <v>0</v>
      </c>
      <c r="BM1796" s="56" t="n">
        <v>0</v>
      </c>
      <c r="BN1796" s="57" t="n">
        <f aca="false">N('Neue Artikel'!$C$57)/Parameter!$B$18</f>
        <v>0</v>
      </c>
      <c r="BO1796" s="55"/>
      <c r="BP1796" s="60" t="n">
        <v>1</v>
      </c>
      <c r="BQ1796" s="60" t="n">
        <v>1796</v>
      </c>
      <c r="BR1796" s="55" t="str">
        <f aca="false">IF(U1796&lt;&gt;"",UPPER(TRIM(U1796)),IF(BU1796=1,UPPER(VLOOKUP(T1796,Parameter!$I$27:$K$29,2,0)),IF(P1796="","LOSE",P1796)))</f>
        <v>LOSE</v>
      </c>
      <c r="BS1796" s="57" t="n">
        <f aca="false">IF(BR1796="LOSE",1,IF(N(V1796)&gt;0,V1796,IF(BU1796=1,MAX(1,N(VLOOKUP(T1796,Parameter!$I$27:$K$29,3,0)),H1796,N(N1796)),IF(N(Q1796)&gt;0,Q1796,MAX(1,H1796)))))</f>
        <v>1</v>
      </c>
      <c r="BT1796" s="60" t="n">
        <f aca="false">IF(BR1796="LOSE",1,0)</f>
        <v>1</v>
      </c>
      <c r="BU1796" s="60" t="n">
        <f aca="false">IF(AND(U1796="",OR(P1796="",P1796="LOSE"),T1796&lt;&gt;"",N(S1796)&lt;=0,ISNUMBER(MATCH(T1796,Parameter!$I$27:$I$29,0))),1,0)</f>
        <v>0</v>
      </c>
      <c r="BV1796" s="55" t="str">
        <f aca="false">IF(AND(Parameter!$B$19="Ja",E1796&lt;&gt;"",ISNUMBER(MATCH(E1796,Parameter!$I$35:$I$52,0))),VLOOKUP(E1796,Parameter!$I$35:$J$52,2,0),IFERROR(VLOOKUP(D1796,Parameter!$A$35:$C$64,2,0),"Nein"))</f>
        <v>2+3</v>
      </c>
      <c r="BW1796" s="59" t="n">
        <f aca="false">IF(BT1796=0,0,IF(N(S1796)&gt;0,S1796,IFERROR(VLOOKUP(D1796,Parameter!$A$35:$C$64,3,0)+0,0)))</f>
        <v>0.15</v>
      </c>
      <c r="BX1796" s="55" t="str">
        <f aca="false">IF(AA1796&lt;&gt;"",AA1796,Z1796)</f>
        <v/>
      </c>
      <c r="BY1796" s="55" t="str">
        <f aca="false">IF(BX1796=1,"L1",IF(OR(BX1796=2,BX1796=3),"L23",IF(BX1796="Aussen","Aussen","-")))</f>
        <v>-</v>
      </c>
      <c r="BZ1796" s="66" t="n">
        <f aca="false">IF(N(AB1796)&gt;0,AB1796,0)</f>
        <v>0</v>
      </c>
      <c r="CA1796" s="60" t="n">
        <f aca="false">IF(ISNUMBER(AE1796),1,0)</f>
        <v>0</v>
      </c>
      <c r="CB1796" s="57" t="n">
        <f aca="false">N(AE1796)</f>
        <v>0</v>
      </c>
      <c r="CC1796" s="57" t="n">
        <f aca="false">N(M1796)+N(N1796)</f>
        <v>0</v>
      </c>
      <c r="CD1796" s="57" t="n">
        <f aca="false">ROUNDUP(H1796/BS1796,0)</f>
        <v>0</v>
      </c>
      <c r="CE1796" s="57" t="n">
        <f aca="false">ROUNDUP(CB1796/BS1796,0)</f>
        <v>0</v>
      </c>
      <c r="CF1796" s="60" t="n">
        <f aca="false">IF(BT1796=1,0,IFERROR(VLOOKUP(BR1796,'Gebinde-Kategorie'!$A$5:$M$45,5,0)+0,0))</f>
        <v>0</v>
      </c>
      <c r="CG1796" s="60" t="n">
        <f aca="false">IFERROR(IF(OR(BX1796=1,BX1796=2,BX1796=3),N(INDEX(Parameter!$I$5:$I$7,BX1796)),0),0)</f>
        <v>0</v>
      </c>
      <c r="CH1796" s="59" t="n">
        <f aca="false">IF(AND(Parameter!$B$21="Ja",ISNUMBER(W1796),N(X1796)&gt;0),IFERROR(N(INDEX(Parameter!$L$5:$L$7,W1796))*INDEX(Parameter!$E$5:$E$7,W1796)*X1796/SUMIFS($X$7:$X$1843,$W$7:$W$1843,W1796),0),0)</f>
        <v>0</v>
      </c>
    </row>
    <row r="1797" customFormat="false" ht="15" hidden="false" customHeight="false" outlineLevel="0" collapsed="false">
      <c r="A1797" s="55" t="str">
        <f aca="false">IF('Neue Artikel'!$A$58="","",'Neue Artikel'!$A$58&amp;"")</f>
        <v/>
      </c>
      <c r="B1797" s="55" t="str">
        <f aca="false">'Neue Artikel'!$B$58&amp;""</f>
        <v/>
      </c>
      <c r="C1797" s="55"/>
      <c r="D1797" s="55" t="s">
        <v>3015</v>
      </c>
      <c r="E1797" s="55"/>
      <c r="F1797" s="55"/>
      <c r="G1797" s="56" t="n">
        <f aca="false">N('Neue Artikel'!$G$58)</f>
        <v>0</v>
      </c>
      <c r="H1797" s="57" t="n">
        <f aca="false">MAX(0,IF(AND(Parameter!$B$21="Ja",ISNUMBER(Y1797)),Y1797,IF(Parameter!$B$20="Jahresanfang 2025 + Export",BL1797+BK1797,BK1797)))</f>
        <v>0</v>
      </c>
      <c r="I1797" s="57" t="n">
        <f aca="false">H1797*G1797</f>
        <v>0</v>
      </c>
      <c r="J1797" s="57" t="n">
        <f aca="false">BN1797*Parameter!$B$18</f>
        <v>0</v>
      </c>
      <c r="K1797" s="58"/>
      <c r="L1797" s="59"/>
      <c r="M1797" s="57" t="n">
        <f aca="false">N('Neue Artikel'!$E$58)</f>
        <v>0</v>
      </c>
      <c r="N1797" s="57" t="n">
        <f aca="false">N('Neue Artikel'!$F$58)</f>
        <v>0</v>
      </c>
      <c r="O1797" s="60"/>
      <c r="P1797" s="55" t="str">
        <f aca="false">IF('Neue Artikel'!$H$58="","LOSE",UPPER(TRIM('Neue Artikel'!$H$58)))</f>
        <v>LOSE</v>
      </c>
      <c r="Q1797" s="57" t="n">
        <f aca="false">N('Neue Artikel'!$I$58)</f>
        <v>0</v>
      </c>
      <c r="R1797" s="60" t="n">
        <f aca="false">IF(BT1797=1,0,IFERROR(VLOOKUP(BR1797,'Gebinde-Kategorie'!$A$5:$M$45,13,0)+0,0))</f>
        <v>0</v>
      </c>
      <c r="S1797" s="61"/>
      <c r="T1797" s="62"/>
      <c r="U1797" s="62"/>
      <c r="V1797" s="62"/>
      <c r="W1797" s="55"/>
      <c r="X1797" s="57"/>
      <c r="Y1797" s="57"/>
      <c r="Z1797" s="55" t="str">
        <f aca="false">IF(A1797="","",IF(AND(Parameter!$B$21="Ja",ISNUMBER(W1797)),W1797,IF(BV1797="2+3",IF(ISNUMBER(SEARCH("grosser Artikel",BO1797)),2,IFERROR(VLOOKUP(BR1797,Parameter!$F$35:$G$64,2,0),2)),IF(OR(BV1797="Nein",BV1797=""),"-",BV1797))))</f>
        <v/>
      </c>
      <c r="AA1797" s="55" t="str">
        <f aca="false">IF('Neue Artikel'!$J$58="","",'Neue Artikel'!$J$58)</f>
        <v/>
      </c>
      <c r="AB1797" s="63"/>
      <c r="AC1797" s="57" t="n">
        <f aca="false">AR1797</f>
        <v>0</v>
      </c>
      <c r="AD1797" s="57" t="n">
        <f aca="false">MAX(AR1797,H1797)</f>
        <v>0</v>
      </c>
      <c r="AE1797" s="64"/>
      <c r="AF1797" s="57" t="n">
        <f aca="false">IF(LEFT(Cockpit!$C$5,1)="A",H1797,IF(CA1797=1,CB1797,IF(LEFT(Cockpit!$C$5,1)="B",AJ1797,MAX(AJ1797,H1797))))</f>
        <v>0</v>
      </c>
      <c r="AG1797" s="57" t="n">
        <f aca="false">IF(BT1797=1,0,ROUNDUP(AF1797/BS1797,0))</f>
        <v>0</v>
      </c>
      <c r="AH1797" s="59" t="n">
        <f aca="false">IF(CH1797&gt;0,CH1797*MAX(1,AF1797/X1797),IF(BT1797=1,IF(AF1797&lt;=0,0,BW1797*MAX(1,IF(H1797&gt;0,AF1797/H1797,1))),IF(R1797&gt;0,AG1797/R1797,0))/MAX(0.1,N(Parameter!$M$21)))</f>
        <v>0</v>
      </c>
      <c r="AI1797" s="57" t="n">
        <f aca="false">AF1797*G1797</f>
        <v>0</v>
      </c>
      <c r="AJ1797" s="57" t="n">
        <f aca="false">ROUNDUP(MAX(J1797/IF(BZ1797&gt;0,BZ1797,MAX(0.1,N(Cockpit!$C$6))),CC1797)/BS1797,0)*BS1797</f>
        <v>0</v>
      </c>
      <c r="AK1797" s="58" t="n">
        <f aca="false">IF(AH1797&gt;0,J1797/AH1797,-1)</f>
        <v>-1</v>
      </c>
      <c r="AL1797" s="58" t="str">
        <f aca="false">IF(AND(OR(BY1797="L1",BY1797="L23"),AH1797&gt;0),SUMIFS($AH$7:$AH$1843,$BY$7:$BY$1843,BY1797,$AK$7:$AK$1843,"&gt;"&amp;AK1797)+SUMIFS($AH$7:$AH$1843,$BY$7:$BY$1843,BY1797,$AK$7:$AK$1843,AK1797,$BQ$7:$BQ$1843,"&lt;="&amp;BQ1797),"")</f>
        <v/>
      </c>
      <c r="AM1797" s="65" t="n">
        <f aca="false">IF(AL1797="",0,MAX(0,MIN(1,(IF(BY1797="L1",Parameter!$E$5,Parameter!$E$6+Parameter!$E$7)-(AL1797-AH1797))/AH1797)))</f>
        <v>0</v>
      </c>
      <c r="AN1797" s="57" t="n">
        <f aca="false">IF(LEFT(Cockpit!$I$5,1)="A",H1797,IF(CA1797=1,CB1797,IF(LEFT(Cockpit!$I$5,1)="B",AR1797,MAX(AR1797,H1797))))</f>
        <v>0</v>
      </c>
      <c r="AO1797" s="57" t="n">
        <f aca="false">IF(BT1797=1,0,ROUNDUP(AN1797/BS1797,0))</f>
        <v>0</v>
      </c>
      <c r="AP1797" s="59" t="n">
        <f aca="false">IF(CH1797&gt;0,CH1797*MAX(1,AN1797/X1797),IF(BT1797=1,IF(AN1797&lt;=0,0,BW1797*MAX(1,IF(H1797&gt;0,AN1797/H1797,1))),IF(R1797&gt;0,AO1797/R1797,0))/MAX(0.1,N(Parameter!$M$21)))</f>
        <v>0</v>
      </c>
      <c r="AQ1797" s="57" t="n">
        <f aca="false">AN1797*G1797</f>
        <v>0</v>
      </c>
      <c r="AR1797" s="57" t="n">
        <f aca="false">ROUNDUP(MAX(J1797/IF(BZ1797&gt;0,BZ1797,MAX(0.1,N(Cockpit!$I$6))),CC1797)/BS1797,0)*BS1797</f>
        <v>0</v>
      </c>
      <c r="AS1797" s="58" t="n">
        <f aca="false">IF(AP1797&gt;0,J1797/AP1797,-1)</f>
        <v>-1</v>
      </c>
      <c r="AT1797" s="58" t="str">
        <f aca="false">IF(AND(OR(BY1797="L1",BY1797="L23"),AP1797&gt;0),SUMIFS($AP$7:$AP$1843,$BY$7:$BY$1843,BY1797,$AS$7:$AS$1843,"&gt;"&amp;AS1797)+SUMIFS($AP$7:$AP$1843,$BY$7:$BY$1843,BY1797,$AS$7:$AS$1843,AS1797,$BQ$7:$BQ$1843,"&lt;="&amp;BQ1797),"")</f>
        <v/>
      </c>
      <c r="AU1797" s="65" t="n">
        <f aca="false">IF(AT1797="",0,MAX(0,MIN(1,(IF(BY1797="L1",Parameter!$E$5,Parameter!$E$6+Parameter!$E$7)-(AT1797-AP1797))/AP1797)))</f>
        <v>0</v>
      </c>
      <c r="AV1797" s="57" t="n">
        <f aca="false">IF(LEFT(Cockpit!$O$5,1)="A",H1797,IF(CA1797=1,CB1797,IF(LEFT(Cockpit!$O$5,1)="B",AZ1797,MAX(AZ1797,H1797))))</f>
        <v>0</v>
      </c>
      <c r="AW1797" s="57" t="n">
        <f aca="false">IF(BT1797=1,0,ROUNDUP(AV1797/BS1797,0))</f>
        <v>0</v>
      </c>
      <c r="AX1797" s="59" t="n">
        <f aca="false">IF(CH1797&gt;0,CH1797*MAX(1,AV1797/X1797),IF(BT1797=1,IF(AV1797&lt;=0,0,BW1797*MAX(1,IF(H1797&gt;0,AV1797/H1797,1))),IF(R1797&gt;0,AW1797/R1797,0))/MAX(0.1,N(Parameter!$M$21)))</f>
        <v>0</v>
      </c>
      <c r="AY1797" s="57" t="n">
        <f aca="false">AV1797*G1797</f>
        <v>0</v>
      </c>
      <c r="AZ1797" s="57" t="n">
        <f aca="false">ROUNDUP(MAX(J1797/IF(BZ1797&gt;0,BZ1797,MAX(0.1,N(Cockpit!$O$6))),CC1797)/BS1797,0)*BS1797</f>
        <v>0</v>
      </c>
      <c r="BA1797" s="58" t="n">
        <f aca="false">IF(AX1797&gt;0,J1797/AX1797,-1)</f>
        <v>-1</v>
      </c>
      <c r="BB1797" s="58" t="str">
        <f aca="false">IF(AND(OR(BY1797="L1",BY1797="L23"),AX1797&gt;0),SUMIFS($AX$7:$AX$1843,$BY$7:$BY$1843,BY1797,$BA$7:$BA$1843,"&gt;"&amp;BA1797)+SUMIFS($AX$7:$AX$1843,$BY$7:$BY$1843,BY1797,$BA$7:$BA$1843,BA1797,$BQ$7:$BQ$1843,"&lt;="&amp;BQ1797),"")</f>
        <v/>
      </c>
      <c r="BC1797" s="65" t="n">
        <f aca="false">IF(BB1797="",0,MAX(0,MIN(1,(IF(BY1797="L1",Parameter!$E$5,Parameter!$E$6+Parameter!$E$7)-(BB1797-AX1797))/AX1797)))</f>
        <v>0</v>
      </c>
      <c r="BD1797" s="55" t="str">
        <f aca="false">IF(AH1797&lt;=0,"",IF(BY1797="Aussen","Aussenlager",IF(BY1797="-","Nicht im Lift",IF(AM1797&gt;=1,"Lift",IF(AM1797&lt;=0,"Aussenlager","teilweise")))))</f>
        <v/>
      </c>
      <c r="BE1797" s="55" t="str">
        <f aca="false">IF(AP1797&lt;=0,"",IF(BY1797="Aussen","Aussenlager",IF(BY1797="-","Nicht im Lift",IF(AU1797&gt;=1,"Lift",IF(AU1797&lt;=0,"Aussenlager","teilweise")))))</f>
        <v/>
      </c>
      <c r="BF1797" s="55" t="str">
        <f aca="false">IF(AX1797&lt;=0,"",IF(BY1797="Aussen","Aussenlager",IF(BY1797="-","Nicht im Lift",IF(BC1797&gt;=1,"Lift",IF(BC1797&lt;=0,"Aussenlager","teilweise")))))</f>
        <v/>
      </c>
      <c r="BG1797" s="55" t="str">
        <f aca="false">IF(A1797="","",IF(BP1797=1,"Neu; ","")&amp;IF(AND(BP1797=0,BK1797&lt;0),"negativer Bestand (Export "&amp;BK1797&amp;"); ","")&amp;IF(J1797&lt;=0,"Kein Verbrauch; ","")&amp;IF(CH1797&gt;0,"Lift "&amp;W1797&amp;" lt. Liftbericht (Fach "&amp;X1797&amp;" Stk); ",IF(BU1797=1,"Gebinde geschätzt ("&amp;T1797&amp;"); ",IF(BT1797=1,"Lose – Tablare geschätzt; ","")))&amp;IF(H1797&gt;AR1797,"Überbestand "&amp;ROUND(H1797-AR1797,0)&amp;" Stk / CHF "&amp;ROUND((H1797-AR1797)*G1797,0)&amp;"; ","")&amp;IF(AND(CA1797=1,CB1797&lt;CC1797),"MAX &lt; MB+LG; ","")&amp;IF(AND(CG1797&gt;0,CF1797*10&gt;CG1797),"zu hoch für Tablar; ","")&amp;IF(AND(BP1797=0,OR(CA1797=1,AA1797&lt;&gt;"",U1797&lt;&gt;"",V1797&lt;&gt;"",AB1797&lt;&gt;"")),"manuell übersteuert; ","")&amp;IF(AND(BT1797=0,R1797=0),"Gebinde unbekannt / Stellmass fehlt; ","")&amp;IF(AND(BT1797=0,N(V1797)&lt;=0,N(Q1797)&lt;=0),"Menge pro Gebinde fehlt (Ist = 1 Gebinde); ","")&amp;BO1797)</f>
        <v/>
      </c>
      <c r="BH1797" s="55"/>
      <c r="BI1797" s="55"/>
      <c r="BJ1797" s="62"/>
      <c r="BK1797" s="57" t="n">
        <f aca="false">N('Neue Artikel'!$D$58)</f>
        <v>0</v>
      </c>
      <c r="BL1797" s="57" t="n">
        <v>0</v>
      </c>
      <c r="BM1797" s="56" t="n">
        <v>0</v>
      </c>
      <c r="BN1797" s="57" t="n">
        <f aca="false">N('Neue Artikel'!$C$58)/Parameter!$B$18</f>
        <v>0</v>
      </c>
      <c r="BO1797" s="55"/>
      <c r="BP1797" s="60" t="n">
        <v>1</v>
      </c>
      <c r="BQ1797" s="60" t="n">
        <v>1797</v>
      </c>
      <c r="BR1797" s="55" t="str">
        <f aca="false">IF(U1797&lt;&gt;"",UPPER(TRIM(U1797)),IF(BU1797=1,UPPER(VLOOKUP(T1797,Parameter!$I$27:$K$29,2,0)),IF(P1797="","LOSE",P1797)))</f>
        <v>LOSE</v>
      </c>
      <c r="BS1797" s="57" t="n">
        <f aca="false">IF(BR1797="LOSE",1,IF(N(V1797)&gt;0,V1797,IF(BU1797=1,MAX(1,N(VLOOKUP(T1797,Parameter!$I$27:$K$29,3,0)),H1797,N(N1797)),IF(N(Q1797)&gt;0,Q1797,MAX(1,H1797)))))</f>
        <v>1</v>
      </c>
      <c r="BT1797" s="60" t="n">
        <f aca="false">IF(BR1797="LOSE",1,0)</f>
        <v>1</v>
      </c>
      <c r="BU1797" s="60" t="n">
        <f aca="false">IF(AND(U1797="",OR(P1797="",P1797="LOSE"),T1797&lt;&gt;"",N(S1797)&lt;=0,ISNUMBER(MATCH(T1797,Parameter!$I$27:$I$29,0))),1,0)</f>
        <v>0</v>
      </c>
      <c r="BV1797" s="55" t="str">
        <f aca="false">IF(AND(Parameter!$B$19="Ja",E1797&lt;&gt;"",ISNUMBER(MATCH(E1797,Parameter!$I$35:$I$52,0))),VLOOKUP(E1797,Parameter!$I$35:$J$52,2,0),IFERROR(VLOOKUP(D1797,Parameter!$A$35:$C$64,2,0),"Nein"))</f>
        <v>2+3</v>
      </c>
      <c r="BW1797" s="59" t="n">
        <f aca="false">IF(BT1797=0,0,IF(N(S1797)&gt;0,S1797,IFERROR(VLOOKUP(D1797,Parameter!$A$35:$C$64,3,0)+0,0)))</f>
        <v>0.15</v>
      </c>
      <c r="BX1797" s="55" t="str">
        <f aca="false">IF(AA1797&lt;&gt;"",AA1797,Z1797)</f>
        <v/>
      </c>
      <c r="BY1797" s="55" t="str">
        <f aca="false">IF(BX1797=1,"L1",IF(OR(BX1797=2,BX1797=3),"L23",IF(BX1797="Aussen","Aussen","-")))</f>
        <v>-</v>
      </c>
      <c r="BZ1797" s="66" t="n">
        <f aca="false">IF(N(AB1797)&gt;0,AB1797,0)</f>
        <v>0</v>
      </c>
      <c r="CA1797" s="60" t="n">
        <f aca="false">IF(ISNUMBER(AE1797),1,0)</f>
        <v>0</v>
      </c>
      <c r="CB1797" s="57" t="n">
        <f aca="false">N(AE1797)</f>
        <v>0</v>
      </c>
      <c r="CC1797" s="57" t="n">
        <f aca="false">N(M1797)+N(N1797)</f>
        <v>0</v>
      </c>
      <c r="CD1797" s="57" t="n">
        <f aca="false">ROUNDUP(H1797/BS1797,0)</f>
        <v>0</v>
      </c>
      <c r="CE1797" s="57" t="n">
        <f aca="false">ROUNDUP(CB1797/BS1797,0)</f>
        <v>0</v>
      </c>
      <c r="CF1797" s="60" t="n">
        <f aca="false">IF(BT1797=1,0,IFERROR(VLOOKUP(BR1797,'Gebinde-Kategorie'!$A$5:$M$45,5,0)+0,0))</f>
        <v>0</v>
      </c>
      <c r="CG1797" s="60" t="n">
        <f aca="false">IFERROR(IF(OR(BX1797=1,BX1797=2,BX1797=3),N(INDEX(Parameter!$I$5:$I$7,BX1797)),0),0)</f>
        <v>0</v>
      </c>
      <c r="CH1797" s="59" t="n">
        <f aca="false">IF(AND(Parameter!$B$21="Ja",ISNUMBER(W1797),N(X1797)&gt;0),IFERROR(N(INDEX(Parameter!$L$5:$L$7,W1797))*INDEX(Parameter!$E$5:$E$7,W1797)*X1797/SUMIFS($X$7:$X$1843,$W$7:$W$1843,W1797),0),0)</f>
        <v>0</v>
      </c>
    </row>
    <row r="1798" customFormat="false" ht="15" hidden="false" customHeight="false" outlineLevel="0" collapsed="false">
      <c r="A1798" s="55" t="str">
        <f aca="false">IF('Neue Artikel'!$A$59="","",'Neue Artikel'!$A$59&amp;"")</f>
        <v/>
      </c>
      <c r="B1798" s="55" t="str">
        <f aca="false">'Neue Artikel'!$B$59&amp;""</f>
        <v/>
      </c>
      <c r="C1798" s="55"/>
      <c r="D1798" s="55" t="s">
        <v>3015</v>
      </c>
      <c r="E1798" s="55"/>
      <c r="F1798" s="55"/>
      <c r="G1798" s="56" t="n">
        <f aca="false">N('Neue Artikel'!$G$59)</f>
        <v>0</v>
      </c>
      <c r="H1798" s="57" t="n">
        <f aca="false">MAX(0,IF(AND(Parameter!$B$21="Ja",ISNUMBER(Y1798)),Y1798,IF(Parameter!$B$20="Jahresanfang 2025 + Export",BL1798+BK1798,BK1798)))</f>
        <v>0</v>
      </c>
      <c r="I1798" s="57" t="n">
        <f aca="false">H1798*G1798</f>
        <v>0</v>
      </c>
      <c r="J1798" s="57" t="n">
        <f aca="false">BN1798*Parameter!$B$18</f>
        <v>0</v>
      </c>
      <c r="K1798" s="58"/>
      <c r="L1798" s="59"/>
      <c r="M1798" s="57" t="n">
        <f aca="false">N('Neue Artikel'!$E$59)</f>
        <v>0</v>
      </c>
      <c r="N1798" s="57" t="n">
        <f aca="false">N('Neue Artikel'!$F$59)</f>
        <v>0</v>
      </c>
      <c r="O1798" s="60"/>
      <c r="P1798" s="55" t="str">
        <f aca="false">IF('Neue Artikel'!$H$59="","LOSE",UPPER(TRIM('Neue Artikel'!$H$59)))</f>
        <v>LOSE</v>
      </c>
      <c r="Q1798" s="57" t="n">
        <f aca="false">N('Neue Artikel'!$I$59)</f>
        <v>0</v>
      </c>
      <c r="R1798" s="60" t="n">
        <f aca="false">IF(BT1798=1,0,IFERROR(VLOOKUP(BR1798,'Gebinde-Kategorie'!$A$5:$M$45,13,0)+0,0))</f>
        <v>0</v>
      </c>
      <c r="S1798" s="61"/>
      <c r="T1798" s="62"/>
      <c r="U1798" s="62"/>
      <c r="V1798" s="62"/>
      <c r="W1798" s="55"/>
      <c r="X1798" s="57"/>
      <c r="Y1798" s="57"/>
      <c r="Z1798" s="55" t="str">
        <f aca="false">IF(A1798="","",IF(AND(Parameter!$B$21="Ja",ISNUMBER(W1798)),W1798,IF(BV1798="2+3",IF(ISNUMBER(SEARCH("grosser Artikel",BO1798)),2,IFERROR(VLOOKUP(BR1798,Parameter!$F$35:$G$64,2,0),2)),IF(OR(BV1798="Nein",BV1798=""),"-",BV1798))))</f>
        <v/>
      </c>
      <c r="AA1798" s="55" t="str">
        <f aca="false">IF('Neue Artikel'!$J$59="","",'Neue Artikel'!$J$59)</f>
        <v/>
      </c>
      <c r="AB1798" s="63"/>
      <c r="AC1798" s="57" t="n">
        <f aca="false">AR1798</f>
        <v>0</v>
      </c>
      <c r="AD1798" s="57" t="n">
        <f aca="false">MAX(AR1798,H1798)</f>
        <v>0</v>
      </c>
      <c r="AE1798" s="64"/>
      <c r="AF1798" s="57" t="n">
        <f aca="false">IF(LEFT(Cockpit!$C$5,1)="A",H1798,IF(CA1798=1,CB1798,IF(LEFT(Cockpit!$C$5,1)="B",AJ1798,MAX(AJ1798,H1798))))</f>
        <v>0</v>
      </c>
      <c r="AG1798" s="57" t="n">
        <f aca="false">IF(BT1798=1,0,ROUNDUP(AF1798/BS1798,0))</f>
        <v>0</v>
      </c>
      <c r="AH1798" s="59" t="n">
        <f aca="false">IF(CH1798&gt;0,CH1798*MAX(1,AF1798/X1798),IF(BT1798=1,IF(AF1798&lt;=0,0,BW1798*MAX(1,IF(H1798&gt;0,AF1798/H1798,1))),IF(R1798&gt;0,AG1798/R1798,0))/MAX(0.1,N(Parameter!$M$21)))</f>
        <v>0</v>
      </c>
      <c r="AI1798" s="57" t="n">
        <f aca="false">AF1798*G1798</f>
        <v>0</v>
      </c>
      <c r="AJ1798" s="57" t="n">
        <f aca="false">ROUNDUP(MAX(J1798/IF(BZ1798&gt;0,BZ1798,MAX(0.1,N(Cockpit!$C$6))),CC1798)/BS1798,0)*BS1798</f>
        <v>0</v>
      </c>
      <c r="AK1798" s="58" t="n">
        <f aca="false">IF(AH1798&gt;0,J1798/AH1798,-1)</f>
        <v>-1</v>
      </c>
      <c r="AL1798" s="58" t="str">
        <f aca="false">IF(AND(OR(BY1798="L1",BY1798="L23"),AH1798&gt;0),SUMIFS($AH$7:$AH$1843,$BY$7:$BY$1843,BY1798,$AK$7:$AK$1843,"&gt;"&amp;AK1798)+SUMIFS($AH$7:$AH$1843,$BY$7:$BY$1843,BY1798,$AK$7:$AK$1843,AK1798,$BQ$7:$BQ$1843,"&lt;="&amp;BQ1798),"")</f>
        <v/>
      </c>
      <c r="AM1798" s="65" t="n">
        <f aca="false">IF(AL1798="",0,MAX(0,MIN(1,(IF(BY1798="L1",Parameter!$E$5,Parameter!$E$6+Parameter!$E$7)-(AL1798-AH1798))/AH1798)))</f>
        <v>0</v>
      </c>
      <c r="AN1798" s="57" t="n">
        <f aca="false">IF(LEFT(Cockpit!$I$5,1)="A",H1798,IF(CA1798=1,CB1798,IF(LEFT(Cockpit!$I$5,1)="B",AR1798,MAX(AR1798,H1798))))</f>
        <v>0</v>
      </c>
      <c r="AO1798" s="57" t="n">
        <f aca="false">IF(BT1798=1,0,ROUNDUP(AN1798/BS1798,0))</f>
        <v>0</v>
      </c>
      <c r="AP1798" s="59" t="n">
        <f aca="false">IF(CH1798&gt;0,CH1798*MAX(1,AN1798/X1798),IF(BT1798=1,IF(AN1798&lt;=0,0,BW1798*MAX(1,IF(H1798&gt;0,AN1798/H1798,1))),IF(R1798&gt;0,AO1798/R1798,0))/MAX(0.1,N(Parameter!$M$21)))</f>
        <v>0</v>
      </c>
      <c r="AQ1798" s="57" t="n">
        <f aca="false">AN1798*G1798</f>
        <v>0</v>
      </c>
      <c r="AR1798" s="57" t="n">
        <f aca="false">ROUNDUP(MAX(J1798/IF(BZ1798&gt;0,BZ1798,MAX(0.1,N(Cockpit!$I$6))),CC1798)/BS1798,0)*BS1798</f>
        <v>0</v>
      </c>
      <c r="AS1798" s="58" t="n">
        <f aca="false">IF(AP1798&gt;0,J1798/AP1798,-1)</f>
        <v>-1</v>
      </c>
      <c r="AT1798" s="58" t="str">
        <f aca="false">IF(AND(OR(BY1798="L1",BY1798="L23"),AP1798&gt;0),SUMIFS($AP$7:$AP$1843,$BY$7:$BY$1843,BY1798,$AS$7:$AS$1843,"&gt;"&amp;AS1798)+SUMIFS($AP$7:$AP$1843,$BY$7:$BY$1843,BY1798,$AS$7:$AS$1843,AS1798,$BQ$7:$BQ$1843,"&lt;="&amp;BQ1798),"")</f>
        <v/>
      </c>
      <c r="AU1798" s="65" t="n">
        <f aca="false">IF(AT1798="",0,MAX(0,MIN(1,(IF(BY1798="L1",Parameter!$E$5,Parameter!$E$6+Parameter!$E$7)-(AT1798-AP1798))/AP1798)))</f>
        <v>0</v>
      </c>
      <c r="AV1798" s="57" t="n">
        <f aca="false">IF(LEFT(Cockpit!$O$5,1)="A",H1798,IF(CA1798=1,CB1798,IF(LEFT(Cockpit!$O$5,1)="B",AZ1798,MAX(AZ1798,H1798))))</f>
        <v>0</v>
      </c>
      <c r="AW1798" s="57" t="n">
        <f aca="false">IF(BT1798=1,0,ROUNDUP(AV1798/BS1798,0))</f>
        <v>0</v>
      </c>
      <c r="AX1798" s="59" t="n">
        <f aca="false">IF(CH1798&gt;0,CH1798*MAX(1,AV1798/X1798),IF(BT1798=1,IF(AV1798&lt;=0,0,BW1798*MAX(1,IF(H1798&gt;0,AV1798/H1798,1))),IF(R1798&gt;0,AW1798/R1798,0))/MAX(0.1,N(Parameter!$M$21)))</f>
        <v>0</v>
      </c>
      <c r="AY1798" s="57" t="n">
        <f aca="false">AV1798*G1798</f>
        <v>0</v>
      </c>
      <c r="AZ1798" s="57" t="n">
        <f aca="false">ROUNDUP(MAX(J1798/IF(BZ1798&gt;0,BZ1798,MAX(0.1,N(Cockpit!$O$6))),CC1798)/BS1798,0)*BS1798</f>
        <v>0</v>
      </c>
      <c r="BA1798" s="58" t="n">
        <f aca="false">IF(AX1798&gt;0,J1798/AX1798,-1)</f>
        <v>-1</v>
      </c>
      <c r="BB1798" s="58" t="str">
        <f aca="false">IF(AND(OR(BY1798="L1",BY1798="L23"),AX1798&gt;0),SUMIFS($AX$7:$AX$1843,$BY$7:$BY$1843,BY1798,$BA$7:$BA$1843,"&gt;"&amp;BA1798)+SUMIFS($AX$7:$AX$1843,$BY$7:$BY$1843,BY1798,$BA$7:$BA$1843,BA1798,$BQ$7:$BQ$1843,"&lt;="&amp;BQ1798),"")</f>
        <v/>
      </c>
      <c r="BC1798" s="65" t="n">
        <f aca="false">IF(BB1798="",0,MAX(0,MIN(1,(IF(BY1798="L1",Parameter!$E$5,Parameter!$E$6+Parameter!$E$7)-(BB1798-AX1798))/AX1798)))</f>
        <v>0</v>
      </c>
      <c r="BD1798" s="55" t="str">
        <f aca="false">IF(AH1798&lt;=0,"",IF(BY1798="Aussen","Aussenlager",IF(BY1798="-","Nicht im Lift",IF(AM1798&gt;=1,"Lift",IF(AM1798&lt;=0,"Aussenlager","teilweise")))))</f>
        <v/>
      </c>
      <c r="BE1798" s="55" t="str">
        <f aca="false">IF(AP1798&lt;=0,"",IF(BY1798="Aussen","Aussenlager",IF(BY1798="-","Nicht im Lift",IF(AU1798&gt;=1,"Lift",IF(AU1798&lt;=0,"Aussenlager","teilweise")))))</f>
        <v/>
      </c>
      <c r="BF1798" s="55" t="str">
        <f aca="false">IF(AX1798&lt;=0,"",IF(BY1798="Aussen","Aussenlager",IF(BY1798="-","Nicht im Lift",IF(BC1798&gt;=1,"Lift",IF(BC1798&lt;=0,"Aussenlager","teilweise")))))</f>
        <v/>
      </c>
      <c r="BG1798" s="55" t="str">
        <f aca="false">IF(A1798="","",IF(BP1798=1,"Neu; ","")&amp;IF(AND(BP1798=0,BK1798&lt;0),"negativer Bestand (Export "&amp;BK1798&amp;"); ","")&amp;IF(J1798&lt;=0,"Kein Verbrauch; ","")&amp;IF(CH1798&gt;0,"Lift "&amp;W1798&amp;" lt. Liftbericht (Fach "&amp;X1798&amp;" Stk); ",IF(BU1798=1,"Gebinde geschätzt ("&amp;T1798&amp;"); ",IF(BT1798=1,"Lose – Tablare geschätzt; ","")))&amp;IF(H1798&gt;AR1798,"Überbestand "&amp;ROUND(H1798-AR1798,0)&amp;" Stk / CHF "&amp;ROUND((H1798-AR1798)*G1798,0)&amp;"; ","")&amp;IF(AND(CA1798=1,CB1798&lt;CC1798),"MAX &lt; MB+LG; ","")&amp;IF(AND(CG1798&gt;0,CF1798*10&gt;CG1798),"zu hoch für Tablar; ","")&amp;IF(AND(BP1798=0,OR(CA1798=1,AA1798&lt;&gt;"",U1798&lt;&gt;"",V1798&lt;&gt;"",AB1798&lt;&gt;"")),"manuell übersteuert; ","")&amp;IF(AND(BT1798=0,R1798=0),"Gebinde unbekannt / Stellmass fehlt; ","")&amp;IF(AND(BT1798=0,N(V1798)&lt;=0,N(Q1798)&lt;=0),"Menge pro Gebinde fehlt (Ist = 1 Gebinde); ","")&amp;BO1798)</f>
        <v/>
      </c>
      <c r="BH1798" s="55"/>
      <c r="BI1798" s="55"/>
      <c r="BJ1798" s="62"/>
      <c r="BK1798" s="57" t="n">
        <f aca="false">N('Neue Artikel'!$D$59)</f>
        <v>0</v>
      </c>
      <c r="BL1798" s="57" t="n">
        <v>0</v>
      </c>
      <c r="BM1798" s="56" t="n">
        <v>0</v>
      </c>
      <c r="BN1798" s="57" t="n">
        <f aca="false">N('Neue Artikel'!$C$59)/Parameter!$B$18</f>
        <v>0</v>
      </c>
      <c r="BO1798" s="55"/>
      <c r="BP1798" s="60" t="n">
        <v>1</v>
      </c>
      <c r="BQ1798" s="60" t="n">
        <v>1798</v>
      </c>
      <c r="BR1798" s="55" t="str">
        <f aca="false">IF(U1798&lt;&gt;"",UPPER(TRIM(U1798)),IF(BU1798=1,UPPER(VLOOKUP(T1798,Parameter!$I$27:$K$29,2,0)),IF(P1798="","LOSE",P1798)))</f>
        <v>LOSE</v>
      </c>
      <c r="BS1798" s="57" t="n">
        <f aca="false">IF(BR1798="LOSE",1,IF(N(V1798)&gt;0,V1798,IF(BU1798=1,MAX(1,N(VLOOKUP(T1798,Parameter!$I$27:$K$29,3,0)),H1798,N(N1798)),IF(N(Q1798)&gt;0,Q1798,MAX(1,H1798)))))</f>
        <v>1</v>
      </c>
      <c r="BT1798" s="60" t="n">
        <f aca="false">IF(BR1798="LOSE",1,0)</f>
        <v>1</v>
      </c>
      <c r="BU1798" s="60" t="n">
        <f aca="false">IF(AND(U1798="",OR(P1798="",P1798="LOSE"),T1798&lt;&gt;"",N(S1798)&lt;=0,ISNUMBER(MATCH(T1798,Parameter!$I$27:$I$29,0))),1,0)</f>
        <v>0</v>
      </c>
      <c r="BV1798" s="55" t="str">
        <f aca="false">IF(AND(Parameter!$B$19="Ja",E1798&lt;&gt;"",ISNUMBER(MATCH(E1798,Parameter!$I$35:$I$52,0))),VLOOKUP(E1798,Parameter!$I$35:$J$52,2,0),IFERROR(VLOOKUP(D1798,Parameter!$A$35:$C$64,2,0),"Nein"))</f>
        <v>2+3</v>
      </c>
      <c r="BW1798" s="59" t="n">
        <f aca="false">IF(BT1798=0,0,IF(N(S1798)&gt;0,S1798,IFERROR(VLOOKUP(D1798,Parameter!$A$35:$C$64,3,0)+0,0)))</f>
        <v>0.15</v>
      </c>
      <c r="BX1798" s="55" t="str">
        <f aca="false">IF(AA1798&lt;&gt;"",AA1798,Z1798)</f>
        <v/>
      </c>
      <c r="BY1798" s="55" t="str">
        <f aca="false">IF(BX1798=1,"L1",IF(OR(BX1798=2,BX1798=3),"L23",IF(BX1798="Aussen","Aussen","-")))</f>
        <v>-</v>
      </c>
      <c r="BZ1798" s="66" t="n">
        <f aca="false">IF(N(AB1798)&gt;0,AB1798,0)</f>
        <v>0</v>
      </c>
      <c r="CA1798" s="60" t="n">
        <f aca="false">IF(ISNUMBER(AE1798),1,0)</f>
        <v>0</v>
      </c>
      <c r="CB1798" s="57" t="n">
        <f aca="false">N(AE1798)</f>
        <v>0</v>
      </c>
      <c r="CC1798" s="57" t="n">
        <f aca="false">N(M1798)+N(N1798)</f>
        <v>0</v>
      </c>
      <c r="CD1798" s="57" t="n">
        <f aca="false">ROUNDUP(H1798/BS1798,0)</f>
        <v>0</v>
      </c>
      <c r="CE1798" s="57" t="n">
        <f aca="false">ROUNDUP(CB1798/BS1798,0)</f>
        <v>0</v>
      </c>
      <c r="CF1798" s="60" t="n">
        <f aca="false">IF(BT1798=1,0,IFERROR(VLOOKUP(BR1798,'Gebinde-Kategorie'!$A$5:$M$45,5,0)+0,0))</f>
        <v>0</v>
      </c>
      <c r="CG1798" s="60" t="n">
        <f aca="false">IFERROR(IF(OR(BX1798=1,BX1798=2,BX1798=3),N(INDEX(Parameter!$I$5:$I$7,BX1798)),0),0)</f>
        <v>0</v>
      </c>
      <c r="CH1798" s="59" t="n">
        <f aca="false">IF(AND(Parameter!$B$21="Ja",ISNUMBER(W1798),N(X1798)&gt;0),IFERROR(N(INDEX(Parameter!$L$5:$L$7,W1798))*INDEX(Parameter!$E$5:$E$7,W1798)*X1798/SUMIFS($X$7:$X$1843,$W$7:$W$1843,W1798),0),0)</f>
        <v>0</v>
      </c>
    </row>
    <row r="1799" customFormat="false" ht="15" hidden="false" customHeight="false" outlineLevel="0" collapsed="false">
      <c r="A1799" s="55" t="str">
        <f aca="false">IF('Neue Artikel'!$A$60="","",'Neue Artikel'!$A$60&amp;"")</f>
        <v/>
      </c>
      <c r="B1799" s="55" t="str">
        <f aca="false">'Neue Artikel'!$B$60&amp;""</f>
        <v/>
      </c>
      <c r="C1799" s="55"/>
      <c r="D1799" s="55" t="s">
        <v>3015</v>
      </c>
      <c r="E1799" s="55"/>
      <c r="F1799" s="55"/>
      <c r="G1799" s="56" t="n">
        <f aca="false">N('Neue Artikel'!$G$60)</f>
        <v>0</v>
      </c>
      <c r="H1799" s="57" t="n">
        <f aca="false">MAX(0,IF(AND(Parameter!$B$21="Ja",ISNUMBER(Y1799)),Y1799,IF(Parameter!$B$20="Jahresanfang 2025 + Export",BL1799+BK1799,BK1799)))</f>
        <v>0</v>
      </c>
      <c r="I1799" s="57" t="n">
        <f aca="false">H1799*G1799</f>
        <v>0</v>
      </c>
      <c r="J1799" s="57" t="n">
        <f aca="false">BN1799*Parameter!$B$18</f>
        <v>0</v>
      </c>
      <c r="K1799" s="58"/>
      <c r="L1799" s="59"/>
      <c r="M1799" s="57" t="n">
        <f aca="false">N('Neue Artikel'!$E$60)</f>
        <v>0</v>
      </c>
      <c r="N1799" s="57" t="n">
        <f aca="false">N('Neue Artikel'!$F$60)</f>
        <v>0</v>
      </c>
      <c r="O1799" s="60"/>
      <c r="P1799" s="55" t="str">
        <f aca="false">IF('Neue Artikel'!$H$60="","LOSE",UPPER(TRIM('Neue Artikel'!$H$60)))</f>
        <v>LOSE</v>
      </c>
      <c r="Q1799" s="57" t="n">
        <f aca="false">N('Neue Artikel'!$I$60)</f>
        <v>0</v>
      </c>
      <c r="R1799" s="60" t="n">
        <f aca="false">IF(BT1799=1,0,IFERROR(VLOOKUP(BR1799,'Gebinde-Kategorie'!$A$5:$M$45,13,0)+0,0))</f>
        <v>0</v>
      </c>
      <c r="S1799" s="61"/>
      <c r="T1799" s="62"/>
      <c r="U1799" s="62"/>
      <c r="V1799" s="62"/>
      <c r="W1799" s="55"/>
      <c r="X1799" s="57"/>
      <c r="Y1799" s="57"/>
      <c r="Z1799" s="55" t="str">
        <f aca="false">IF(A1799="","",IF(AND(Parameter!$B$21="Ja",ISNUMBER(W1799)),W1799,IF(BV1799="2+3",IF(ISNUMBER(SEARCH("grosser Artikel",BO1799)),2,IFERROR(VLOOKUP(BR1799,Parameter!$F$35:$G$64,2,0),2)),IF(OR(BV1799="Nein",BV1799=""),"-",BV1799))))</f>
        <v/>
      </c>
      <c r="AA1799" s="55" t="str">
        <f aca="false">IF('Neue Artikel'!$J$60="","",'Neue Artikel'!$J$60)</f>
        <v/>
      </c>
      <c r="AB1799" s="63"/>
      <c r="AC1799" s="57" t="n">
        <f aca="false">AR1799</f>
        <v>0</v>
      </c>
      <c r="AD1799" s="57" t="n">
        <f aca="false">MAX(AR1799,H1799)</f>
        <v>0</v>
      </c>
      <c r="AE1799" s="64"/>
      <c r="AF1799" s="57" t="n">
        <f aca="false">IF(LEFT(Cockpit!$C$5,1)="A",H1799,IF(CA1799=1,CB1799,IF(LEFT(Cockpit!$C$5,1)="B",AJ1799,MAX(AJ1799,H1799))))</f>
        <v>0</v>
      </c>
      <c r="AG1799" s="57" t="n">
        <f aca="false">IF(BT1799=1,0,ROUNDUP(AF1799/BS1799,0))</f>
        <v>0</v>
      </c>
      <c r="AH1799" s="59" t="n">
        <f aca="false">IF(CH1799&gt;0,CH1799*MAX(1,AF1799/X1799),IF(BT1799=1,IF(AF1799&lt;=0,0,BW1799*MAX(1,IF(H1799&gt;0,AF1799/H1799,1))),IF(R1799&gt;0,AG1799/R1799,0))/MAX(0.1,N(Parameter!$M$21)))</f>
        <v>0</v>
      </c>
      <c r="AI1799" s="57" t="n">
        <f aca="false">AF1799*G1799</f>
        <v>0</v>
      </c>
      <c r="AJ1799" s="57" t="n">
        <f aca="false">ROUNDUP(MAX(J1799/IF(BZ1799&gt;0,BZ1799,MAX(0.1,N(Cockpit!$C$6))),CC1799)/BS1799,0)*BS1799</f>
        <v>0</v>
      </c>
      <c r="AK1799" s="58" t="n">
        <f aca="false">IF(AH1799&gt;0,J1799/AH1799,-1)</f>
        <v>-1</v>
      </c>
      <c r="AL1799" s="58" t="str">
        <f aca="false">IF(AND(OR(BY1799="L1",BY1799="L23"),AH1799&gt;0),SUMIFS($AH$7:$AH$1843,$BY$7:$BY$1843,BY1799,$AK$7:$AK$1843,"&gt;"&amp;AK1799)+SUMIFS($AH$7:$AH$1843,$BY$7:$BY$1843,BY1799,$AK$7:$AK$1843,AK1799,$BQ$7:$BQ$1843,"&lt;="&amp;BQ1799),"")</f>
        <v/>
      </c>
      <c r="AM1799" s="65" t="n">
        <f aca="false">IF(AL1799="",0,MAX(0,MIN(1,(IF(BY1799="L1",Parameter!$E$5,Parameter!$E$6+Parameter!$E$7)-(AL1799-AH1799))/AH1799)))</f>
        <v>0</v>
      </c>
      <c r="AN1799" s="57" t="n">
        <f aca="false">IF(LEFT(Cockpit!$I$5,1)="A",H1799,IF(CA1799=1,CB1799,IF(LEFT(Cockpit!$I$5,1)="B",AR1799,MAX(AR1799,H1799))))</f>
        <v>0</v>
      </c>
      <c r="AO1799" s="57" t="n">
        <f aca="false">IF(BT1799=1,0,ROUNDUP(AN1799/BS1799,0))</f>
        <v>0</v>
      </c>
      <c r="AP1799" s="59" t="n">
        <f aca="false">IF(CH1799&gt;0,CH1799*MAX(1,AN1799/X1799),IF(BT1799=1,IF(AN1799&lt;=0,0,BW1799*MAX(1,IF(H1799&gt;0,AN1799/H1799,1))),IF(R1799&gt;0,AO1799/R1799,0))/MAX(0.1,N(Parameter!$M$21)))</f>
        <v>0</v>
      </c>
      <c r="AQ1799" s="57" t="n">
        <f aca="false">AN1799*G1799</f>
        <v>0</v>
      </c>
      <c r="AR1799" s="57" t="n">
        <f aca="false">ROUNDUP(MAX(J1799/IF(BZ1799&gt;0,BZ1799,MAX(0.1,N(Cockpit!$I$6))),CC1799)/BS1799,0)*BS1799</f>
        <v>0</v>
      </c>
      <c r="AS1799" s="58" t="n">
        <f aca="false">IF(AP1799&gt;0,J1799/AP1799,-1)</f>
        <v>-1</v>
      </c>
      <c r="AT1799" s="58" t="str">
        <f aca="false">IF(AND(OR(BY1799="L1",BY1799="L23"),AP1799&gt;0),SUMIFS($AP$7:$AP$1843,$BY$7:$BY$1843,BY1799,$AS$7:$AS$1843,"&gt;"&amp;AS1799)+SUMIFS($AP$7:$AP$1843,$BY$7:$BY$1843,BY1799,$AS$7:$AS$1843,AS1799,$BQ$7:$BQ$1843,"&lt;="&amp;BQ1799),"")</f>
        <v/>
      </c>
      <c r="AU1799" s="65" t="n">
        <f aca="false">IF(AT1799="",0,MAX(0,MIN(1,(IF(BY1799="L1",Parameter!$E$5,Parameter!$E$6+Parameter!$E$7)-(AT1799-AP1799))/AP1799)))</f>
        <v>0</v>
      </c>
      <c r="AV1799" s="57" t="n">
        <f aca="false">IF(LEFT(Cockpit!$O$5,1)="A",H1799,IF(CA1799=1,CB1799,IF(LEFT(Cockpit!$O$5,1)="B",AZ1799,MAX(AZ1799,H1799))))</f>
        <v>0</v>
      </c>
      <c r="AW1799" s="57" t="n">
        <f aca="false">IF(BT1799=1,0,ROUNDUP(AV1799/BS1799,0))</f>
        <v>0</v>
      </c>
      <c r="AX1799" s="59" t="n">
        <f aca="false">IF(CH1799&gt;0,CH1799*MAX(1,AV1799/X1799),IF(BT1799=1,IF(AV1799&lt;=0,0,BW1799*MAX(1,IF(H1799&gt;0,AV1799/H1799,1))),IF(R1799&gt;0,AW1799/R1799,0))/MAX(0.1,N(Parameter!$M$21)))</f>
        <v>0</v>
      </c>
      <c r="AY1799" s="57" t="n">
        <f aca="false">AV1799*G1799</f>
        <v>0</v>
      </c>
      <c r="AZ1799" s="57" t="n">
        <f aca="false">ROUNDUP(MAX(J1799/IF(BZ1799&gt;0,BZ1799,MAX(0.1,N(Cockpit!$O$6))),CC1799)/BS1799,0)*BS1799</f>
        <v>0</v>
      </c>
      <c r="BA1799" s="58" t="n">
        <f aca="false">IF(AX1799&gt;0,J1799/AX1799,-1)</f>
        <v>-1</v>
      </c>
      <c r="BB1799" s="58" t="str">
        <f aca="false">IF(AND(OR(BY1799="L1",BY1799="L23"),AX1799&gt;0),SUMIFS($AX$7:$AX$1843,$BY$7:$BY$1843,BY1799,$BA$7:$BA$1843,"&gt;"&amp;BA1799)+SUMIFS($AX$7:$AX$1843,$BY$7:$BY$1843,BY1799,$BA$7:$BA$1843,BA1799,$BQ$7:$BQ$1843,"&lt;="&amp;BQ1799),"")</f>
        <v/>
      </c>
      <c r="BC1799" s="65" t="n">
        <f aca="false">IF(BB1799="",0,MAX(0,MIN(1,(IF(BY1799="L1",Parameter!$E$5,Parameter!$E$6+Parameter!$E$7)-(BB1799-AX1799))/AX1799)))</f>
        <v>0</v>
      </c>
      <c r="BD1799" s="55" t="str">
        <f aca="false">IF(AH1799&lt;=0,"",IF(BY1799="Aussen","Aussenlager",IF(BY1799="-","Nicht im Lift",IF(AM1799&gt;=1,"Lift",IF(AM1799&lt;=0,"Aussenlager","teilweise")))))</f>
        <v/>
      </c>
      <c r="BE1799" s="55" t="str">
        <f aca="false">IF(AP1799&lt;=0,"",IF(BY1799="Aussen","Aussenlager",IF(BY1799="-","Nicht im Lift",IF(AU1799&gt;=1,"Lift",IF(AU1799&lt;=0,"Aussenlager","teilweise")))))</f>
        <v/>
      </c>
      <c r="BF1799" s="55" t="str">
        <f aca="false">IF(AX1799&lt;=0,"",IF(BY1799="Aussen","Aussenlager",IF(BY1799="-","Nicht im Lift",IF(BC1799&gt;=1,"Lift",IF(BC1799&lt;=0,"Aussenlager","teilweise")))))</f>
        <v/>
      </c>
      <c r="BG1799" s="55" t="str">
        <f aca="false">IF(A1799="","",IF(BP1799=1,"Neu; ","")&amp;IF(AND(BP1799=0,BK1799&lt;0),"negativer Bestand (Export "&amp;BK1799&amp;"); ","")&amp;IF(J1799&lt;=0,"Kein Verbrauch; ","")&amp;IF(CH1799&gt;0,"Lift "&amp;W1799&amp;" lt. Liftbericht (Fach "&amp;X1799&amp;" Stk); ",IF(BU1799=1,"Gebinde geschätzt ("&amp;T1799&amp;"); ",IF(BT1799=1,"Lose – Tablare geschätzt; ","")))&amp;IF(H1799&gt;AR1799,"Überbestand "&amp;ROUND(H1799-AR1799,0)&amp;" Stk / CHF "&amp;ROUND((H1799-AR1799)*G1799,0)&amp;"; ","")&amp;IF(AND(CA1799=1,CB1799&lt;CC1799),"MAX &lt; MB+LG; ","")&amp;IF(AND(CG1799&gt;0,CF1799*10&gt;CG1799),"zu hoch für Tablar; ","")&amp;IF(AND(BP1799=0,OR(CA1799=1,AA1799&lt;&gt;"",U1799&lt;&gt;"",V1799&lt;&gt;"",AB1799&lt;&gt;"")),"manuell übersteuert; ","")&amp;IF(AND(BT1799=0,R1799=0),"Gebinde unbekannt / Stellmass fehlt; ","")&amp;IF(AND(BT1799=0,N(V1799)&lt;=0,N(Q1799)&lt;=0),"Menge pro Gebinde fehlt (Ist = 1 Gebinde); ","")&amp;BO1799)</f>
        <v/>
      </c>
      <c r="BH1799" s="55"/>
      <c r="BI1799" s="55"/>
      <c r="BJ1799" s="62"/>
      <c r="BK1799" s="57" t="n">
        <f aca="false">N('Neue Artikel'!$D$60)</f>
        <v>0</v>
      </c>
      <c r="BL1799" s="57" t="n">
        <v>0</v>
      </c>
      <c r="BM1799" s="56" t="n">
        <v>0</v>
      </c>
      <c r="BN1799" s="57" t="n">
        <f aca="false">N('Neue Artikel'!$C$60)/Parameter!$B$18</f>
        <v>0</v>
      </c>
      <c r="BO1799" s="55"/>
      <c r="BP1799" s="60" t="n">
        <v>1</v>
      </c>
      <c r="BQ1799" s="60" t="n">
        <v>1799</v>
      </c>
      <c r="BR1799" s="55" t="str">
        <f aca="false">IF(U1799&lt;&gt;"",UPPER(TRIM(U1799)),IF(BU1799=1,UPPER(VLOOKUP(T1799,Parameter!$I$27:$K$29,2,0)),IF(P1799="","LOSE",P1799)))</f>
        <v>LOSE</v>
      </c>
      <c r="BS1799" s="57" t="n">
        <f aca="false">IF(BR1799="LOSE",1,IF(N(V1799)&gt;0,V1799,IF(BU1799=1,MAX(1,N(VLOOKUP(T1799,Parameter!$I$27:$K$29,3,0)),H1799,N(N1799)),IF(N(Q1799)&gt;0,Q1799,MAX(1,H1799)))))</f>
        <v>1</v>
      </c>
      <c r="BT1799" s="60" t="n">
        <f aca="false">IF(BR1799="LOSE",1,0)</f>
        <v>1</v>
      </c>
      <c r="BU1799" s="60" t="n">
        <f aca="false">IF(AND(U1799="",OR(P1799="",P1799="LOSE"),T1799&lt;&gt;"",N(S1799)&lt;=0,ISNUMBER(MATCH(T1799,Parameter!$I$27:$I$29,0))),1,0)</f>
        <v>0</v>
      </c>
      <c r="BV1799" s="55" t="str">
        <f aca="false">IF(AND(Parameter!$B$19="Ja",E1799&lt;&gt;"",ISNUMBER(MATCH(E1799,Parameter!$I$35:$I$52,0))),VLOOKUP(E1799,Parameter!$I$35:$J$52,2,0),IFERROR(VLOOKUP(D1799,Parameter!$A$35:$C$64,2,0),"Nein"))</f>
        <v>2+3</v>
      </c>
      <c r="BW1799" s="59" t="n">
        <f aca="false">IF(BT1799=0,0,IF(N(S1799)&gt;0,S1799,IFERROR(VLOOKUP(D1799,Parameter!$A$35:$C$64,3,0)+0,0)))</f>
        <v>0.15</v>
      </c>
      <c r="BX1799" s="55" t="str">
        <f aca="false">IF(AA1799&lt;&gt;"",AA1799,Z1799)</f>
        <v/>
      </c>
      <c r="BY1799" s="55" t="str">
        <f aca="false">IF(BX1799=1,"L1",IF(OR(BX1799=2,BX1799=3),"L23",IF(BX1799="Aussen","Aussen","-")))</f>
        <v>-</v>
      </c>
      <c r="BZ1799" s="66" t="n">
        <f aca="false">IF(N(AB1799)&gt;0,AB1799,0)</f>
        <v>0</v>
      </c>
      <c r="CA1799" s="60" t="n">
        <f aca="false">IF(ISNUMBER(AE1799),1,0)</f>
        <v>0</v>
      </c>
      <c r="CB1799" s="57" t="n">
        <f aca="false">N(AE1799)</f>
        <v>0</v>
      </c>
      <c r="CC1799" s="57" t="n">
        <f aca="false">N(M1799)+N(N1799)</f>
        <v>0</v>
      </c>
      <c r="CD1799" s="57" t="n">
        <f aca="false">ROUNDUP(H1799/BS1799,0)</f>
        <v>0</v>
      </c>
      <c r="CE1799" s="57" t="n">
        <f aca="false">ROUNDUP(CB1799/BS1799,0)</f>
        <v>0</v>
      </c>
      <c r="CF1799" s="60" t="n">
        <f aca="false">IF(BT1799=1,0,IFERROR(VLOOKUP(BR1799,'Gebinde-Kategorie'!$A$5:$M$45,5,0)+0,0))</f>
        <v>0</v>
      </c>
      <c r="CG1799" s="60" t="n">
        <f aca="false">IFERROR(IF(OR(BX1799=1,BX1799=2,BX1799=3),N(INDEX(Parameter!$I$5:$I$7,BX1799)),0),0)</f>
        <v>0</v>
      </c>
      <c r="CH1799" s="59" t="n">
        <f aca="false">IF(AND(Parameter!$B$21="Ja",ISNUMBER(W1799),N(X1799)&gt;0),IFERROR(N(INDEX(Parameter!$L$5:$L$7,W1799))*INDEX(Parameter!$E$5:$E$7,W1799)*X1799/SUMIFS($X$7:$X$1843,$W$7:$W$1843,W1799),0),0)</f>
        <v>0</v>
      </c>
    </row>
    <row r="1800" customFormat="false" ht="15" hidden="false" customHeight="false" outlineLevel="0" collapsed="false">
      <c r="A1800" s="55" t="str">
        <f aca="false">IF('Neue Artikel'!$A$61="","",'Neue Artikel'!$A$61&amp;"")</f>
        <v/>
      </c>
      <c r="B1800" s="55" t="str">
        <f aca="false">'Neue Artikel'!$B$61&amp;""</f>
        <v/>
      </c>
      <c r="C1800" s="55"/>
      <c r="D1800" s="55" t="s">
        <v>3015</v>
      </c>
      <c r="E1800" s="55"/>
      <c r="F1800" s="55"/>
      <c r="G1800" s="56" t="n">
        <f aca="false">N('Neue Artikel'!$G$61)</f>
        <v>0</v>
      </c>
      <c r="H1800" s="57" t="n">
        <f aca="false">MAX(0,IF(AND(Parameter!$B$21="Ja",ISNUMBER(Y1800)),Y1800,IF(Parameter!$B$20="Jahresanfang 2025 + Export",BL1800+BK1800,BK1800)))</f>
        <v>0</v>
      </c>
      <c r="I1800" s="57" t="n">
        <f aca="false">H1800*G1800</f>
        <v>0</v>
      </c>
      <c r="J1800" s="57" t="n">
        <f aca="false">BN1800*Parameter!$B$18</f>
        <v>0</v>
      </c>
      <c r="K1800" s="58"/>
      <c r="L1800" s="59"/>
      <c r="M1800" s="57" t="n">
        <f aca="false">N('Neue Artikel'!$E$61)</f>
        <v>0</v>
      </c>
      <c r="N1800" s="57" t="n">
        <f aca="false">N('Neue Artikel'!$F$61)</f>
        <v>0</v>
      </c>
      <c r="O1800" s="60"/>
      <c r="P1800" s="55" t="str">
        <f aca="false">IF('Neue Artikel'!$H$61="","LOSE",UPPER(TRIM('Neue Artikel'!$H$61)))</f>
        <v>LOSE</v>
      </c>
      <c r="Q1800" s="57" t="n">
        <f aca="false">N('Neue Artikel'!$I$61)</f>
        <v>0</v>
      </c>
      <c r="R1800" s="60" t="n">
        <f aca="false">IF(BT1800=1,0,IFERROR(VLOOKUP(BR1800,'Gebinde-Kategorie'!$A$5:$M$45,13,0)+0,0))</f>
        <v>0</v>
      </c>
      <c r="S1800" s="61"/>
      <c r="T1800" s="62"/>
      <c r="U1800" s="62"/>
      <c r="V1800" s="62"/>
      <c r="W1800" s="55"/>
      <c r="X1800" s="57"/>
      <c r="Y1800" s="57"/>
      <c r="Z1800" s="55" t="str">
        <f aca="false">IF(A1800="","",IF(AND(Parameter!$B$21="Ja",ISNUMBER(W1800)),W1800,IF(BV1800="2+3",IF(ISNUMBER(SEARCH("grosser Artikel",BO1800)),2,IFERROR(VLOOKUP(BR1800,Parameter!$F$35:$G$64,2,0),2)),IF(OR(BV1800="Nein",BV1800=""),"-",BV1800))))</f>
        <v/>
      </c>
      <c r="AA1800" s="55" t="str">
        <f aca="false">IF('Neue Artikel'!$J$61="","",'Neue Artikel'!$J$61)</f>
        <v/>
      </c>
      <c r="AB1800" s="63"/>
      <c r="AC1800" s="57" t="n">
        <f aca="false">AR1800</f>
        <v>0</v>
      </c>
      <c r="AD1800" s="57" t="n">
        <f aca="false">MAX(AR1800,H1800)</f>
        <v>0</v>
      </c>
      <c r="AE1800" s="64"/>
      <c r="AF1800" s="57" t="n">
        <f aca="false">IF(LEFT(Cockpit!$C$5,1)="A",H1800,IF(CA1800=1,CB1800,IF(LEFT(Cockpit!$C$5,1)="B",AJ1800,MAX(AJ1800,H1800))))</f>
        <v>0</v>
      </c>
      <c r="AG1800" s="57" t="n">
        <f aca="false">IF(BT1800=1,0,ROUNDUP(AF1800/BS1800,0))</f>
        <v>0</v>
      </c>
      <c r="AH1800" s="59" t="n">
        <f aca="false">IF(CH1800&gt;0,CH1800*MAX(1,AF1800/X1800),IF(BT1800=1,IF(AF1800&lt;=0,0,BW1800*MAX(1,IF(H1800&gt;0,AF1800/H1800,1))),IF(R1800&gt;0,AG1800/R1800,0))/MAX(0.1,N(Parameter!$M$21)))</f>
        <v>0</v>
      </c>
      <c r="AI1800" s="57" t="n">
        <f aca="false">AF1800*G1800</f>
        <v>0</v>
      </c>
      <c r="AJ1800" s="57" t="n">
        <f aca="false">ROUNDUP(MAX(J1800/IF(BZ1800&gt;0,BZ1800,MAX(0.1,N(Cockpit!$C$6))),CC1800)/BS1800,0)*BS1800</f>
        <v>0</v>
      </c>
      <c r="AK1800" s="58" t="n">
        <f aca="false">IF(AH1800&gt;0,J1800/AH1800,-1)</f>
        <v>-1</v>
      </c>
      <c r="AL1800" s="58" t="str">
        <f aca="false">IF(AND(OR(BY1800="L1",BY1800="L23"),AH1800&gt;0),SUMIFS($AH$7:$AH$1843,$BY$7:$BY$1843,BY1800,$AK$7:$AK$1843,"&gt;"&amp;AK1800)+SUMIFS($AH$7:$AH$1843,$BY$7:$BY$1843,BY1800,$AK$7:$AK$1843,AK1800,$BQ$7:$BQ$1843,"&lt;="&amp;BQ1800),"")</f>
        <v/>
      </c>
      <c r="AM1800" s="65" t="n">
        <f aca="false">IF(AL1800="",0,MAX(0,MIN(1,(IF(BY1800="L1",Parameter!$E$5,Parameter!$E$6+Parameter!$E$7)-(AL1800-AH1800))/AH1800)))</f>
        <v>0</v>
      </c>
      <c r="AN1800" s="57" t="n">
        <f aca="false">IF(LEFT(Cockpit!$I$5,1)="A",H1800,IF(CA1800=1,CB1800,IF(LEFT(Cockpit!$I$5,1)="B",AR1800,MAX(AR1800,H1800))))</f>
        <v>0</v>
      </c>
      <c r="AO1800" s="57" t="n">
        <f aca="false">IF(BT1800=1,0,ROUNDUP(AN1800/BS1800,0))</f>
        <v>0</v>
      </c>
      <c r="AP1800" s="59" t="n">
        <f aca="false">IF(CH1800&gt;0,CH1800*MAX(1,AN1800/X1800),IF(BT1800=1,IF(AN1800&lt;=0,0,BW1800*MAX(1,IF(H1800&gt;0,AN1800/H1800,1))),IF(R1800&gt;0,AO1800/R1800,0))/MAX(0.1,N(Parameter!$M$21)))</f>
        <v>0</v>
      </c>
      <c r="AQ1800" s="57" t="n">
        <f aca="false">AN1800*G1800</f>
        <v>0</v>
      </c>
      <c r="AR1800" s="57" t="n">
        <f aca="false">ROUNDUP(MAX(J1800/IF(BZ1800&gt;0,BZ1800,MAX(0.1,N(Cockpit!$I$6))),CC1800)/BS1800,0)*BS1800</f>
        <v>0</v>
      </c>
      <c r="AS1800" s="58" t="n">
        <f aca="false">IF(AP1800&gt;0,J1800/AP1800,-1)</f>
        <v>-1</v>
      </c>
      <c r="AT1800" s="58" t="str">
        <f aca="false">IF(AND(OR(BY1800="L1",BY1800="L23"),AP1800&gt;0),SUMIFS($AP$7:$AP$1843,$BY$7:$BY$1843,BY1800,$AS$7:$AS$1843,"&gt;"&amp;AS1800)+SUMIFS($AP$7:$AP$1843,$BY$7:$BY$1843,BY1800,$AS$7:$AS$1843,AS1800,$BQ$7:$BQ$1843,"&lt;="&amp;BQ1800),"")</f>
        <v/>
      </c>
      <c r="AU1800" s="65" t="n">
        <f aca="false">IF(AT1800="",0,MAX(0,MIN(1,(IF(BY1800="L1",Parameter!$E$5,Parameter!$E$6+Parameter!$E$7)-(AT1800-AP1800))/AP1800)))</f>
        <v>0</v>
      </c>
      <c r="AV1800" s="57" t="n">
        <f aca="false">IF(LEFT(Cockpit!$O$5,1)="A",H1800,IF(CA1800=1,CB1800,IF(LEFT(Cockpit!$O$5,1)="B",AZ1800,MAX(AZ1800,H1800))))</f>
        <v>0</v>
      </c>
      <c r="AW1800" s="57" t="n">
        <f aca="false">IF(BT1800=1,0,ROUNDUP(AV1800/BS1800,0))</f>
        <v>0</v>
      </c>
      <c r="AX1800" s="59" t="n">
        <f aca="false">IF(CH1800&gt;0,CH1800*MAX(1,AV1800/X1800),IF(BT1800=1,IF(AV1800&lt;=0,0,BW1800*MAX(1,IF(H1800&gt;0,AV1800/H1800,1))),IF(R1800&gt;0,AW1800/R1800,0))/MAX(0.1,N(Parameter!$M$21)))</f>
        <v>0</v>
      </c>
      <c r="AY1800" s="57" t="n">
        <f aca="false">AV1800*G1800</f>
        <v>0</v>
      </c>
      <c r="AZ1800" s="57" t="n">
        <f aca="false">ROUNDUP(MAX(J1800/IF(BZ1800&gt;0,BZ1800,MAX(0.1,N(Cockpit!$O$6))),CC1800)/BS1800,0)*BS1800</f>
        <v>0</v>
      </c>
      <c r="BA1800" s="58" t="n">
        <f aca="false">IF(AX1800&gt;0,J1800/AX1800,-1)</f>
        <v>-1</v>
      </c>
      <c r="BB1800" s="58" t="str">
        <f aca="false">IF(AND(OR(BY1800="L1",BY1800="L23"),AX1800&gt;0),SUMIFS($AX$7:$AX$1843,$BY$7:$BY$1843,BY1800,$BA$7:$BA$1843,"&gt;"&amp;BA1800)+SUMIFS($AX$7:$AX$1843,$BY$7:$BY$1843,BY1800,$BA$7:$BA$1843,BA1800,$BQ$7:$BQ$1843,"&lt;="&amp;BQ1800),"")</f>
        <v/>
      </c>
      <c r="BC1800" s="65" t="n">
        <f aca="false">IF(BB1800="",0,MAX(0,MIN(1,(IF(BY1800="L1",Parameter!$E$5,Parameter!$E$6+Parameter!$E$7)-(BB1800-AX1800))/AX1800)))</f>
        <v>0</v>
      </c>
      <c r="BD1800" s="55" t="str">
        <f aca="false">IF(AH1800&lt;=0,"",IF(BY1800="Aussen","Aussenlager",IF(BY1800="-","Nicht im Lift",IF(AM1800&gt;=1,"Lift",IF(AM1800&lt;=0,"Aussenlager","teilweise")))))</f>
        <v/>
      </c>
      <c r="BE1800" s="55" t="str">
        <f aca="false">IF(AP1800&lt;=0,"",IF(BY1800="Aussen","Aussenlager",IF(BY1800="-","Nicht im Lift",IF(AU1800&gt;=1,"Lift",IF(AU1800&lt;=0,"Aussenlager","teilweise")))))</f>
        <v/>
      </c>
      <c r="BF1800" s="55" t="str">
        <f aca="false">IF(AX1800&lt;=0,"",IF(BY1800="Aussen","Aussenlager",IF(BY1800="-","Nicht im Lift",IF(BC1800&gt;=1,"Lift",IF(BC1800&lt;=0,"Aussenlager","teilweise")))))</f>
        <v/>
      </c>
      <c r="BG1800" s="55" t="str">
        <f aca="false">IF(A1800="","",IF(BP1800=1,"Neu; ","")&amp;IF(AND(BP1800=0,BK1800&lt;0),"negativer Bestand (Export "&amp;BK1800&amp;"); ","")&amp;IF(J1800&lt;=0,"Kein Verbrauch; ","")&amp;IF(CH1800&gt;0,"Lift "&amp;W1800&amp;" lt. Liftbericht (Fach "&amp;X1800&amp;" Stk); ",IF(BU1800=1,"Gebinde geschätzt ("&amp;T1800&amp;"); ",IF(BT1800=1,"Lose – Tablare geschätzt; ","")))&amp;IF(H1800&gt;AR1800,"Überbestand "&amp;ROUND(H1800-AR1800,0)&amp;" Stk / CHF "&amp;ROUND((H1800-AR1800)*G1800,0)&amp;"; ","")&amp;IF(AND(CA1800=1,CB1800&lt;CC1800),"MAX &lt; MB+LG; ","")&amp;IF(AND(CG1800&gt;0,CF1800*10&gt;CG1800),"zu hoch für Tablar; ","")&amp;IF(AND(BP1800=0,OR(CA1800=1,AA1800&lt;&gt;"",U1800&lt;&gt;"",V1800&lt;&gt;"",AB1800&lt;&gt;"")),"manuell übersteuert; ","")&amp;IF(AND(BT1800=0,R1800=0),"Gebinde unbekannt / Stellmass fehlt; ","")&amp;IF(AND(BT1800=0,N(V1800)&lt;=0,N(Q1800)&lt;=0),"Menge pro Gebinde fehlt (Ist = 1 Gebinde); ","")&amp;BO1800)</f>
        <v/>
      </c>
      <c r="BH1800" s="55"/>
      <c r="BI1800" s="55"/>
      <c r="BJ1800" s="62"/>
      <c r="BK1800" s="57" t="n">
        <f aca="false">N('Neue Artikel'!$D$61)</f>
        <v>0</v>
      </c>
      <c r="BL1800" s="57" t="n">
        <v>0</v>
      </c>
      <c r="BM1800" s="56" t="n">
        <v>0</v>
      </c>
      <c r="BN1800" s="57" t="n">
        <f aca="false">N('Neue Artikel'!$C$61)/Parameter!$B$18</f>
        <v>0</v>
      </c>
      <c r="BO1800" s="55"/>
      <c r="BP1800" s="60" t="n">
        <v>1</v>
      </c>
      <c r="BQ1800" s="60" t="n">
        <v>1800</v>
      </c>
      <c r="BR1800" s="55" t="str">
        <f aca="false">IF(U1800&lt;&gt;"",UPPER(TRIM(U1800)),IF(BU1800=1,UPPER(VLOOKUP(T1800,Parameter!$I$27:$K$29,2,0)),IF(P1800="","LOSE",P1800)))</f>
        <v>LOSE</v>
      </c>
      <c r="BS1800" s="57" t="n">
        <f aca="false">IF(BR1800="LOSE",1,IF(N(V1800)&gt;0,V1800,IF(BU1800=1,MAX(1,N(VLOOKUP(T1800,Parameter!$I$27:$K$29,3,0)),H1800,N(N1800)),IF(N(Q1800)&gt;0,Q1800,MAX(1,H1800)))))</f>
        <v>1</v>
      </c>
      <c r="BT1800" s="60" t="n">
        <f aca="false">IF(BR1800="LOSE",1,0)</f>
        <v>1</v>
      </c>
      <c r="BU1800" s="60" t="n">
        <f aca="false">IF(AND(U1800="",OR(P1800="",P1800="LOSE"),T1800&lt;&gt;"",N(S1800)&lt;=0,ISNUMBER(MATCH(T1800,Parameter!$I$27:$I$29,0))),1,0)</f>
        <v>0</v>
      </c>
      <c r="BV1800" s="55" t="str">
        <f aca="false">IF(AND(Parameter!$B$19="Ja",E1800&lt;&gt;"",ISNUMBER(MATCH(E1800,Parameter!$I$35:$I$52,0))),VLOOKUP(E1800,Parameter!$I$35:$J$52,2,0),IFERROR(VLOOKUP(D1800,Parameter!$A$35:$C$64,2,0),"Nein"))</f>
        <v>2+3</v>
      </c>
      <c r="BW1800" s="59" t="n">
        <f aca="false">IF(BT1800=0,0,IF(N(S1800)&gt;0,S1800,IFERROR(VLOOKUP(D1800,Parameter!$A$35:$C$64,3,0)+0,0)))</f>
        <v>0.15</v>
      </c>
      <c r="BX1800" s="55" t="str">
        <f aca="false">IF(AA1800&lt;&gt;"",AA1800,Z1800)</f>
        <v/>
      </c>
      <c r="BY1800" s="55" t="str">
        <f aca="false">IF(BX1800=1,"L1",IF(OR(BX1800=2,BX1800=3),"L23",IF(BX1800="Aussen","Aussen","-")))</f>
        <v>-</v>
      </c>
      <c r="BZ1800" s="66" t="n">
        <f aca="false">IF(N(AB1800)&gt;0,AB1800,0)</f>
        <v>0</v>
      </c>
      <c r="CA1800" s="60" t="n">
        <f aca="false">IF(ISNUMBER(AE1800),1,0)</f>
        <v>0</v>
      </c>
      <c r="CB1800" s="57" t="n">
        <f aca="false">N(AE1800)</f>
        <v>0</v>
      </c>
      <c r="CC1800" s="57" t="n">
        <f aca="false">N(M1800)+N(N1800)</f>
        <v>0</v>
      </c>
      <c r="CD1800" s="57" t="n">
        <f aca="false">ROUNDUP(H1800/BS1800,0)</f>
        <v>0</v>
      </c>
      <c r="CE1800" s="57" t="n">
        <f aca="false">ROUNDUP(CB1800/BS1800,0)</f>
        <v>0</v>
      </c>
      <c r="CF1800" s="60" t="n">
        <f aca="false">IF(BT1800=1,0,IFERROR(VLOOKUP(BR1800,'Gebinde-Kategorie'!$A$5:$M$45,5,0)+0,0))</f>
        <v>0</v>
      </c>
      <c r="CG1800" s="60" t="n">
        <f aca="false">IFERROR(IF(OR(BX1800=1,BX1800=2,BX1800=3),N(INDEX(Parameter!$I$5:$I$7,BX1800)),0),0)</f>
        <v>0</v>
      </c>
      <c r="CH1800" s="59" t="n">
        <f aca="false">IF(AND(Parameter!$B$21="Ja",ISNUMBER(W1800),N(X1800)&gt;0),IFERROR(N(INDEX(Parameter!$L$5:$L$7,W1800))*INDEX(Parameter!$E$5:$E$7,W1800)*X1800/SUMIFS($X$7:$X$1843,$W$7:$W$1843,W1800),0),0)</f>
        <v>0</v>
      </c>
    </row>
    <row r="1801" customFormat="false" ht="15" hidden="false" customHeight="false" outlineLevel="0" collapsed="false">
      <c r="A1801" s="55" t="str">
        <f aca="false">IF('Neue Artikel'!$A$62="","",'Neue Artikel'!$A$62&amp;"")</f>
        <v/>
      </c>
      <c r="B1801" s="55" t="str">
        <f aca="false">'Neue Artikel'!$B$62&amp;""</f>
        <v/>
      </c>
      <c r="C1801" s="55"/>
      <c r="D1801" s="55" t="s">
        <v>3015</v>
      </c>
      <c r="E1801" s="55"/>
      <c r="F1801" s="55"/>
      <c r="G1801" s="56" t="n">
        <f aca="false">N('Neue Artikel'!$G$62)</f>
        <v>0</v>
      </c>
      <c r="H1801" s="57" t="n">
        <f aca="false">MAX(0,IF(AND(Parameter!$B$21="Ja",ISNUMBER(Y1801)),Y1801,IF(Parameter!$B$20="Jahresanfang 2025 + Export",BL1801+BK1801,BK1801)))</f>
        <v>0</v>
      </c>
      <c r="I1801" s="57" t="n">
        <f aca="false">H1801*G1801</f>
        <v>0</v>
      </c>
      <c r="J1801" s="57" t="n">
        <f aca="false">BN1801*Parameter!$B$18</f>
        <v>0</v>
      </c>
      <c r="K1801" s="58"/>
      <c r="L1801" s="59"/>
      <c r="M1801" s="57" t="n">
        <f aca="false">N('Neue Artikel'!$E$62)</f>
        <v>0</v>
      </c>
      <c r="N1801" s="57" t="n">
        <f aca="false">N('Neue Artikel'!$F$62)</f>
        <v>0</v>
      </c>
      <c r="O1801" s="60"/>
      <c r="P1801" s="55" t="str">
        <f aca="false">IF('Neue Artikel'!$H$62="","LOSE",UPPER(TRIM('Neue Artikel'!$H$62)))</f>
        <v>LOSE</v>
      </c>
      <c r="Q1801" s="57" t="n">
        <f aca="false">N('Neue Artikel'!$I$62)</f>
        <v>0</v>
      </c>
      <c r="R1801" s="60" t="n">
        <f aca="false">IF(BT1801=1,0,IFERROR(VLOOKUP(BR1801,'Gebinde-Kategorie'!$A$5:$M$45,13,0)+0,0))</f>
        <v>0</v>
      </c>
      <c r="S1801" s="61"/>
      <c r="T1801" s="62"/>
      <c r="U1801" s="62"/>
      <c r="V1801" s="62"/>
      <c r="W1801" s="55"/>
      <c r="X1801" s="57"/>
      <c r="Y1801" s="57"/>
      <c r="Z1801" s="55" t="str">
        <f aca="false">IF(A1801="","",IF(AND(Parameter!$B$21="Ja",ISNUMBER(W1801)),W1801,IF(BV1801="2+3",IF(ISNUMBER(SEARCH("grosser Artikel",BO1801)),2,IFERROR(VLOOKUP(BR1801,Parameter!$F$35:$G$64,2,0),2)),IF(OR(BV1801="Nein",BV1801=""),"-",BV1801))))</f>
        <v/>
      </c>
      <c r="AA1801" s="55" t="str">
        <f aca="false">IF('Neue Artikel'!$J$62="","",'Neue Artikel'!$J$62)</f>
        <v/>
      </c>
      <c r="AB1801" s="63"/>
      <c r="AC1801" s="57" t="n">
        <f aca="false">AR1801</f>
        <v>0</v>
      </c>
      <c r="AD1801" s="57" t="n">
        <f aca="false">MAX(AR1801,H1801)</f>
        <v>0</v>
      </c>
      <c r="AE1801" s="64"/>
      <c r="AF1801" s="57" t="n">
        <f aca="false">IF(LEFT(Cockpit!$C$5,1)="A",H1801,IF(CA1801=1,CB1801,IF(LEFT(Cockpit!$C$5,1)="B",AJ1801,MAX(AJ1801,H1801))))</f>
        <v>0</v>
      </c>
      <c r="AG1801" s="57" t="n">
        <f aca="false">IF(BT1801=1,0,ROUNDUP(AF1801/BS1801,0))</f>
        <v>0</v>
      </c>
      <c r="AH1801" s="59" t="n">
        <f aca="false">IF(CH1801&gt;0,CH1801*MAX(1,AF1801/X1801),IF(BT1801=1,IF(AF1801&lt;=0,0,BW1801*MAX(1,IF(H1801&gt;0,AF1801/H1801,1))),IF(R1801&gt;0,AG1801/R1801,0))/MAX(0.1,N(Parameter!$M$21)))</f>
        <v>0</v>
      </c>
      <c r="AI1801" s="57" t="n">
        <f aca="false">AF1801*G1801</f>
        <v>0</v>
      </c>
      <c r="AJ1801" s="57" t="n">
        <f aca="false">ROUNDUP(MAX(J1801/IF(BZ1801&gt;0,BZ1801,MAX(0.1,N(Cockpit!$C$6))),CC1801)/BS1801,0)*BS1801</f>
        <v>0</v>
      </c>
      <c r="AK1801" s="58" t="n">
        <f aca="false">IF(AH1801&gt;0,J1801/AH1801,-1)</f>
        <v>-1</v>
      </c>
      <c r="AL1801" s="58" t="str">
        <f aca="false">IF(AND(OR(BY1801="L1",BY1801="L23"),AH1801&gt;0),SUMIFS($AH$7:$AH$1843,$BY$7:$BY$1843,BY1801,$AK$7:$AK$1843,"&gt;"&amp;AK1801)+SUMIFS($AH$7:$AH$1843,$BY$7:$BY$1843,BY1801,$AK$7:$AK$1843,AK1801,$BQ$7:$BQ$1843,"&lt;="&amp;BQ1801),"")</f>
        <v/>
      </c>
      <c r="AM1801" s="65" t="n">
        <f aca="false">IF(AL1801="",0,MAX(0,MIN(1,(IF(BY1801="L1",Parameter!$E$5,Parameter!$E$6+Parameter!$E$7)-(AL1801-AH1801))/AH1801)))</f>
        <v>0</v>
      </c>
      <c r="AN1801" s="57" t="n">
        <f aca="false">IF(LEFT(Cockpit!$I$5,1)="A",H1801,IF(CA1801=1,CB1801,IF(LEFT(Cockpit!$I$5,1)="B",AR1801,MAX(AR1801,H1801))))</f>
        <v>0</v>
      </c>
      <c r="AO1801" s="57" t="n">
        <f aca="false">IF(BT1801=1,0,ROUNDUP(AN1801/BS1801,0))</f>
        <v>0</v>
      </c>
      <c r="AP1801" s="59" t="n">
        <f aca="false">IF(CH1801&gt;0,CH1801*MAX(1,AN1801/X1801),IF(BT1801=1,IF(AN1801&lt;=0,0,BW1801*MAX(1,IF(H1801&gt;0,AN1801/H1801,1))),IF(R1801&gt;0,AO1801/R1801,0))/MAX(0.1,N(Parameter!$M$21)))</f>
        <v>0</v>
      </c>
      <c r="AQ1801" s="57" t="n">
        <f aca="false">AN1801*G1801</f>
        <v>0</v>
      </c>
      <c r="AR1801" s="57" t="n">
        <f aca="false">ROUNDUP(MAX(J1801/IF(BZ1801&gt;0,BZ1801,MAX(0.1,N(Cockpit!$I$6))),CC1801)/BS1801,0)*BS1801</f>
        <v>0</v>
      </c>
      <c r="AS1801" s="58" t="n">
        <f aca="false">IF(AP1801&gt;0,J1801/AP1801,-1)</f>
        <v>-1</v>
      </c>
      <c r="AT1801" s="58" t="str">
        <f aca="false">IF(AND(OR(BY1801="L1",BY1801="L23"),AP1801&gt;0),SUMIFS($AP$7:$AP$1843,$BY$7:$BY$1843,BY1801,$AS$7:$AS$1843,"&gt;"&amp;AS1801)+SUMIFS($AP$7:$AP$1843,$BY$7:$BY$1843,BY1801,$AS$7:$AS$1843,AS1801,$BQ$7:$BQ$1843,"&lt;="&amp;BQ1801),"")</f>
        <v/>
      </c>
      <c r="AU1801" s="65" t="n">
        <f aca="false">IF(AT1801="",0,MAX(0,MIN(1,(IF(BY1801="L1",Parameter!$E$5,Parameter!$E$6+Parameter!$E$7)-(AT1801-AP1801))/AP1801)))</f>
        <v>0</v>
      </c>
      <c r="AV1801" s="57" t="n">
        <f aca="false">IF(LEFT(Cockpit!$O$5,1)="A",H1801,IF(CA1801=1,CB1801,IF(LEFT(Cockpit!$O$5,1)="B",AZ1801,MAX(AZ1801,H1801))))</f>
        <v>0</v>
      </c>
      <c r="AW1801" s="57" t="n">
        <f aca="false">IF(BT1801=1,0,ROUNDUP(AV1801/BS1801,0))</f>
        <v>0</v>
      </c>
      <c r="AX1801" s="59" t="n">
        <f aca="false">IF(CH1801&gt;0,CH1801*MAX(1,AV1801/X1801),IF(BT1801=1,IF(AV1801&lt;=0,0,BW1801*MAX(1,IF(H1801&gt;0,AV1801/H1801,1))),IF(R1801&gt;0,AW1801/R1801,0))/MAX(0.1,N(Parameter!$M$21)))</f>
        <v>0</v>
      </c>
      <c r="AY1801" s="57" t="n">
        <f aca="false">AV1801*G1801</f>
        <v>0</v>
      </c>
      <c r="AZ1801" s="57" t="n">
        <f aca="false">ROUNDUP(MAX(J1801/IF(BZ1801&gt;0,BZ1801,MAX(0.1,N(Cockpit!$O$6))),CC1801)/BS1801,0)*BS1801</f>
        <v>0</v>
      </c>
      <c r="BA1801" s="58" t="n">
        <f aca="false">IF(AX1801&gt;0,J1801/AX1801,-1)</f>
        <v>-1</v>
      </c>
      <c r="BB1801" s="58" t="str">
        <f aca="false">IF(AND(OR(BY1801="L1",BY1801="L23"),AX1801&gt;0),SUMIFS($AX$7:$AX$1843,$BY$7:$BY$1843,BY1801,$BA$7:$BA$1843,"&gt;"&amp;BA1801)+SUMIFS($AX$7:$AX$1843,$BY$7:$BY$1843,BY1801,$BA$7:$BA$1843,BA1801,$BQ$7:$BQ$1843,"&lt;="&amp;BQ1801),"")</f>
        <v/>
      </c>
      <c r="BC1801" s="65" t="n">
        <f aca="false">IF(BB1801="",0,MAX(0,MIN(1,(IF(BY1801="L1",Parameter!$E$5,Parameter!$E$6+Parameter!$E$7)-(BB1801-AX1801))/AX1801)))</f>
        <v>0</v>
      </c>
      <c r="BD1801" s="55" t="str">
        <f aca="false">IF(AH1801&lt;=0,"",IF(BY1801="Aussen","Aussenlager",IF(BY1801="-","Nicht im Lift",IF(AM1801&gt;=1,"Lift",IF(AM1801&lt;=0,"Aussenlager","teilweise")))))</f>
        <v/>
      </c>
      <c r="BE1801" s="55" t="str">
        <f aca="false">IF(AP1801&lt;=0,"",IF(BY1801="Aussen","Aussenlager",IF(BY1801="-","Nicht im Lift",IF(AU1801&gt;=1,"Lift",IF(AU1801&lt;=0,"Aussenlager","teilweise")))))</f>
        <v/>
      </c>
      <c r="BF1801" s="55" t="str">
        <f aca="false">IF(AX1801&lt;=0,"",IF(BY1801="Aussen","Aussenlager",IF(BY1801="-","Nicht im Lift",IF(BC1801&gt;=1,"Lift",IF(BC1801&lt;=0,"Aussenlager","teilweise")))))</f>
        <v/>
      </c>
      <c r="BG1801" s="55" t="str">
        <f aca="false">IF(A1801="","",IF(BP1801=1,"Neu; ","")&amp;IF(AND(BP1801=0,BK1801&lt;0),"negativer Bestand (Export "&amp;BK1801&amp;"); ","")&amp;IF(J1801&lt;=0,"Kein Verbrauch; ","")&amp;IF(CH1801&gt;0,"Lift "&amp;W1801&amp;" lt. Liftbericht (Fach "&amp;X1801&amp;" Stk); ",IF(BU1801=1,"Gebinde geschätzt ("&amp;T1801&amp;"); ",IF(BT1801=1,"Lose – Tablare geschätzt; ","")))&amp;IF(H1801&gt;AR1801,"Überbestand "&amp;ROUND(H1801-AR1801,0)&amp;" Stk / CHF "&amp;ROUND((H1801-AR1801)*G1801,0)&amp;"; ","")&amp;IF(AND(CA1801=1,CB1801&lt;CC1801),"MAX &lt; MB+LG; ","")&amp;IF(AND(CG1801&gt;0,CF1801*10&gt;CG1801),"zu hoch für Tablar; ","")&amp;IF(AND(BP1801=0,OR(CA1801=1,AA1801&lt;&gt;"",U1801&lt;&gt;"",V1801&lt;&gt;"",AB1801&lt;&gt;"")),"manuell übersteuert; ","")&amp;IF(AND(BT1801=0,R1801=0),"Gebinde unbekannt / Stellmass fehlt; ","")&amp;IF(AND(BT1801=0,N(V1801)&lt;=0,N(Q1801)&lt;=0),"Menge pro Gebinde fehlt (Ist = 1 Gebinde); ","")&amp;BO1801)</f>
        <v/>
      </c>
      <c r="BH1801" s="55"/>
      <c r="BI1801" s="55"/>
      <c r="BJ1801" s="62"/>
      <c r="BK1801" s="57" t="n">
        <f aca="false">N('Neue Artikel'!$D$62)</f>
        <v>0</v>
      </c>
      <c r="BL1801" s="57" t="n">
        <v>0</v>
      </c>
      <c r="BM1801" s="56" t="n">
        <v>0</v>
      </c>
      <c r="BN1801" s="57" t="n">
        <f aca="false">N('Neue Artikel'!$C$62)/Parameter!$B$18</f>
        <v>0</v>
      </c>
      <c r="BO1801" s="55"/>
      <c r="BP1801" s="60" t="n">
        <v>1</v>
      </c>
      <c r="BQ1801" s="60" t="n">
        <v>1801</v>
      </c>
      <c r="BR1801" s="55" t="str">
        <f aca="false">IF(U1801&lt;&gt;"",UPPER(TRIM(U1801)),IF(BU1801=1,UPPER(VLOOKUP(T1801,Parameter!$I$27:$K$29,2,0)),IF(P1801="","LOSE",P1801)))</f>
        <v>LOSE</v>
      </c>
      <c r="BS1801" s="57" t="n">
        <f aca="false">IF(BR1801="LOSE",1,IF(N(V1801)&gt;0,V1801,IF(BU1801=1,MAX(1,N(VLOOKUP(T1801,Parameter!$I$27:$K$29,3,0)),H1801,N(N1801)),IF(N(Q1801)&gt;0,Q1801,MAX(1,H1801)))))</f>
        <v>1</v>
      </c>
      <c r="BT1801" s="60" t="n">
        <f aca="false">IF(BR1801="LOSE",1,0)</f>
        <v>1</v>
      </c>
      <c r="BU1801" s="60" t="n">
        <f aca="false">IF(AND(U1801="",OR(P1801="",P1801="LOSE"),T1801&lt;&gt;"",N(S1801)&lt;=0,ISNUMBER(MATCH(T1801,Parameter!$I$27:$I$29,0))),1,0)</f>
        <v>0</v>
      </c>
      <c r="BV1801" s="55" t="str">
        <f aca="false">IF(AND(Parameter!$B$19="Ja",E1801&lt;&gt;"",ISNUMBER(MATCH(E1801,Parameter!$I$35:$I$52,0))),VLOOKUP(E1801,Parameter!$I$35:$J$52,2,0),IFERROR(VLOOKUP(D1801,Parameter!$A$35:$C$64,2,0),"Nein"))</f>
        <v>2+3</v>
      </c>
      <c r="BW1801" s="59" t="n">
        <f aca="false">IF(BT1801=0,0,IF(N(S1801)&gt;0,S1801,IFERROR(VLOOKUP(D1801,Parameter!$A$35:$C$64,3,0)+0,0)))</f>
        <v>0.15</v>
      </c>
      <c r="BX1801" s="55" t="str">
        <f aca="false">IF(AA1801&lt;&gt;"",AA1801,Z1801)</f>
        <v/>
      </c>
      <c r="BY1801" s="55" t="str">
        <f aca="false">IF(BX1801=1,"L1",IF(OR(BX1801=2,BX1801=3),"L23",IF(BX1801="Aussen","Aussen","-")))</f>
        <v>-</v>
      </c>
      <c r="BZ1801" s="66" t="n">
        <f aca="false">IF(N(AB1801)&gt;0,AB1801,0)</f>
        <v>0</v>
      </c>
      <c r="CA1801" s="60" t="n">
        <f aca="false">IF(ISNUMBER(AE1801),1,0)</f>
        <v>0</v>
      </c>
      <c r="CB1801" s="57" t="n">
        <f aca="false">N(AE1801)</f>
        <v>0</v>
      </c>
      <c r="CC1801" s="57" t="n">
        <f aca="false">N(M1801)+N(N1801)</f>
        <v>0</v>
      </c>
      <c r="CD1801" s="57" t="n">
        <f aca="false">ROUNDUP(H1801/BS1801,0)</f>
        <v>0</v>
      </c>
      <c r="CE1801" s="57" t="n">
        <f aca="false">ROUNDUP(CB1801/BS1801,0)</f>
        <v>0</v>
      </c>
      <c r="CF1801" s="60" t="n">
        <f aca="false">IF(BT1801=1,0,IFERROR(VLOOKUP(BR1801,'Gebinde-Kategorie'!$A$5:$M$45,5,0)+0,0))</f>
        <v>0</v>
      </c>
      <c r="CG1801" s="60" t="n">
        <f aca="false">IFERROR(IF(OR(BX1801=1,BX1801=2,BX1801=3),N(INDEX(Parameter!$I$5:$I$7,BX1801)),0),0)</f>
        <v>0</v>
      </c>
      <c r="CH1801" s="59" t="n">
        <f aca="false">IF(AND(Parameter!$B$21="Ja",ISNUMBER(W1801),N(X1801)&gt;0),IFERROR(N(INDEX(Parameter!$L$5:$L$7,W1801))*INDEX(Parameter!$E$5:$E$7,W1801)*X1801/SUMIFS($X$7:$X$1843,$W$7:$W$1843,W1801),0),0)</f>
        <v>0</v>
      </c>
    </row>
    <row r="1802" customFormat="false" ht="15" hidden="false" customHeight="false" outlineLevel="0" collapsed="false">
      <c r="A1802" s="55" t="str">
        <f aca="false">IF('Neue Artikel'!$A$63="","",'Neue Artikel'!$A$63&amp;"")</f>
        <v/>
      </c>
      <c r="B1802" s="55" t="str">
        <f aca="false">'Neue Artikel'!$B$63&amp;""</f>
        <v/>
      </c>
      <c r="C1802" s="55"/>
      <c r="D1802" s="55" t="s">
        <v>3015</v>
      </c>
      <c r="E1802" s="55"/>
      <c r="F1802" s="55"/>
      <c r="G1802" s="56" t="n">
        <f aca="false">N('Neue Artikel'!$G$63)</f>
        <v>0</v>
      </c>
      <c r="H1802" s="57" t="n">
        <f aca="false">MAX(0,IF(AND(Parameter!$B$21="Ja",ISNUMBER(Y1802)),Y1802,IF(Parameter!$B$20="Jahresanfang 2025 + Export",BL1802+BK1802,BK1802)))</f>
        <v>0</v>
      </c>
      <c r="I1802" s="57" t="n">
        <f aca="false">H1802*G1802</f>
        <v>0</v>
      </c>
      <c r="J1802" s="57" t="n">
        <f aca="false">BN1802*Parameter!$B$18</f>
        <v>0</v>
      </c>
      <c r="K1802" s="58"/>
      <c r="L1802" s="59"/>
      <c r="M1802" s="57" t="n">
        <f aca="false">N('Neue Artikel'!$E$63)</f>
        <v>0</v>
      </c>
      <c r="N1802" s="57" t="n">
        <f aca="false">N('Neue Artikel'!$F$63)</f>
        <v>0</v>
      </c>
      <c r="O1802" s="60"/>
      <c r="P1802" s="55" t="str">
        <f aca="false">IF('Neue Artikel'!$H$63="","LOSE",UPPER(TRIM('Neue Artikel'!$H$63)))</f>
        <v>LOSE</v>
      </c>
      <c r="Q1802" s="57" t="n">
        <f aca="false">N('Neue Artikel'!$I$63)</f>
        <v>0</v>
      </c>
      <c r="R1802" s="60" t="n">
        <f aca="false">IF(BT1802=1,0,IFERROR(VLOOKUP(BR1802,'Gebinde-Kategorie'!$A$5:$M$45,13,0)+0,0))</f>
        <v>0</v>
      </c>
      <c r="S1802" s="61"/>
      <c r="T1802" s="62"/>
      <c r="U1802" s="62"/>
      <c r="V1802" s="62"/>
      <c r="W1802" s="55"/>
      <c r="X1802" s="57"/>
      <c r="Y1802" s="57"/>
      <c r="Z1802" s="55" t="str">
        <f aca="false">IF(A1802="","",IF(AND(Parameter!$B$21="Ja",ISNUMBER(W1802)),W1802,IF(BV1802="2+3",IF(ISNUMBER(SEARCH("grosser Artikel",BO1802)),2,IFERROR(VLOOKUP(BR1802,Parameter!$F$35:$G$64,2,0),2)),IF(OR(BV1802="Nein",BV1802=""),"-",BV1802))))</f>
        <v/>
      </c>
      <c r="AA1802" s="55" t="str">
        <f aca="false">IF('Neue Artikel'!$J$63="","",'Neue Artikel'!$J$63)</f>
        <v/>
      </c>
      <c r="AB1802" s="63"/>
      <c r="AC1802" s="57" t="n">
        <f aca="false">AR1802</f>
        <v>0</v>
      </c>
      <c r="AD1802" s="57" t="n">
        <f aca="false">MAX(AR1802,H1802)</f>
        <v>0</v>
      </c>
      <c r="AE1802" s="64"/>
      <c r="AF1802" s="57" t="n">
        <f aca="false">IF(LEFT(Cockpit!$C$5,1)="A",H1802,IF(CA1802=1,CB1802,IF(LEFT(Cockpit!$C$5,1)="B",AJ1802,MAX(AJ1802,H1802))))</f>
        <v>0</v>
      </c>
      <c r="AG1802" s="57" t="n">
        <f aca="false">IF(BT1802=1,0,ROUNDUP(AF1802/BS1802,0))</f>
        <v>0</v>
      </c>
      <c r="AH1802" s="59" t="n">
        <f aca="false">IF(CH1802&gt;0,CH1802*MAX(1,AF1802/X1802),IF(BT1802=1,IF(AF1802&lt;=0,0,BW1802*MAX(1,IF(H1802&gt;0,AF1802/H1802,1))),IF(R1802&gt;0,AG1802/R1802,0))/MAX(0.1,N(Parameter!$M$21)))</f>
        <v>0</v>
      </c>
      <c r="AI1802" s="57" t="n">
        <f aca="false">AF1802*G1802</f>
        <v>0</v>
      </c>
      <c r="AJ1802" s="57" t="n">
        <f aca="false">ROUNDUP(MAX(J1802/IF(BZ1802&gt;0,BZ1802,MAX(0.1,N(Cockpit!$C$6))),CC1802)/BS1802,0)*BS1802</f>
        <v>0</v>
      </c>
      <c r="AK1802" s="58" t="n">
        <f aca="false">IF(AH1802&gt;0,J1802/AH1802,-1)</f>
        <v>-1</v>
      </c>
      <c r="AL1802" s="58" t="str">
        <f aca="false">IF(AND(OR(BY1802="L1",BY1802="L23"),AH1802&gt;0),SUMIFS($AH$7:$AH$1843,$BY$7:$BY$1843,BY1802,$AK$7:$AK$1843,"&gt;"&amp;AK1802)+SUMIFS($AH$7:$AH$1843,$BY$7:$BY$1843,BY1802,$AK$7:$AK$1843,AK1802,$BQ$7:$BQ$1843,"&lt;="&amp;BQ1802),"")</f>
        <v/>
      </c>
      <c r="AM1802" s="65" t="n">
        <f aca="false">IF(AL1802="",0,MAX(0,MIN(1,(IF(BY1802="L1",Parameter!$E$5,Parameter!$E$6+Parameter!$E$7)-(AL1802-AH1802))/AH1802)))</f>
        <v>0</v>
      </c>
      <c r="AN1802" s="57" t="n">
        <f aca="false">IF(LEFT(Cockpit!$I$5,1)="A",H1802,IF(CA1802=1,CB1802,IF(LEFT(Cockpit!$I$5,1)="B",AR1802,MAX(AR1802,H1802))))</f>
        <v>0</v>
      </c>
      <c r="AO1802" s="57" t="n">
        <f aca="false">IF(BT1802=1,0,ROUNDUP(AN1802/BS1802,0))</f>
        <v>0</v>
      </c>
      <c r="AP1802" s="59" t="n">
        <f aca="false">IF(CH1802&gt;0,CH1802*MAX(1,AN1802/X1802),IF(BT1802=1,IF(AN1802&lt;=0,0,BW1802*MAX(1,IF(H1802&gt;0,AN1802/H1802,1))),IF(R1802&gt;0,AO1802/R1802,0))/MAX(0.1,N(Parameter!$M$21)))</f>
        <v>0</v>
      </c>
      <c r="AQ1802" s="57" t="n">
        <f aca="false">AN1802*G1802</f>
        <v>0</v>
      </c>
      <c r="AR1802" s="57" t="n">
        <f aca="false">ROUNDUP(MAX(J1802/IF(BZ1802&gt;0,BZ1802,MAX(0.1,N(Cockpit!$I$6))),CC1802)/BS1802,0)*BS1802</f>
        <v>0</v>
      </c>
      <c r="AS1802" s="58" t="n">
        <f aca="false">IF(AP1802&gt;0,J1802/AP1802,-1)</f>
        <v>-1</v>
      </c>
      <c r="AT1802" s="58" t="str">
        <f aca="false">IF(AND(OR(BY1802="L1",BY1802="L23"),AP1802&gt;0),SUMIFS($AP$7:$AP$1843,$BY$7:$BY$1843,BY1802,$AS$7:$AS$1843,"&gt;"&amp;AS1802)+SUMIFS($AP$7:$AP$1843,$BY$7:$BY$1843,BY1802,$AS$7:$AS$1843,AS1802,$BQ$7:$BQ$1843,"&lt;="&amp;BQ1802),"")</f>
        <v/>
      </c>
      <c r="AU1802" s="65" t="n">
        <f aca="false">IF(AT1802="",0,MAX(0,MIN(1,(IF(BY1802="L1",Parameter!$E$5,Parameter!$E$6+Parameter!$E$7)-(AT1802-AP1802))/AP1802)))</f>
        <v>0</v>
      </c>
      <c r="AV1802" s="57" t="n">
        <f aca="false">IF(LEFT(Cockpit!$O$5,1)="A",H1802,IF(CA1802=1,CB1802,IF(LEFT(Cockpit!$O$5,1)="B",AZ1802,MAX(AZ1802,H1802))))</f>
        <v>0</v>
      </c>
      <c r="AW1802" s="57" t="n">
        <f aca="false">IF(BT1802=1,0,ROUNDUP(AV1802/BS1802,0))</f>
        <v>0</v>
      </c>
      <c r="AX1802" s="59" t="n">
        <f aca="false">IF(CH1802&gt;0,CH1802*MAX(1,AV1802/X1802),IF(BT1802=1,IF(AV1802&lt;=0,0,BW1802*MAX(1,IF(H1802&gt;0,AV1802/H1802,1))),IF(R1802&gt;0,AW1802/R1802,0))/MAX(0.1,N(Parameter!$M$21)))</f>
        <v>0</v>
      </c>
      <c r="AY1802" s="57" t="n">
        <f aca="false">AV1802*G1802</f>
        <v>0</v>
      </c>
      <c r="AZ1802" s="57" t="n">
        <f aca="false">ROUNDUP(MAX(J1802/IF(BZ1802&gt;0,BZ1802,MAX(0.1,N(Cockpit!$O$6))),CC1802)/BS1802,0)*BS1802</f>
        <v>0</v>
      </c>
      <c r="BA1802" s="58" t="n">
        <f aca="false">IF(AX1802&gt;0,J1802/AX1802,-1)</f>
        <v>-1</v>
      </c>
      <c r="BB1802" s="58" t="str">
        <f aca="false">IF(AND(OR(BY1802="L1",BY1802="L23"),AX1802&gt;0),SUMIFS($AX$7:$AX$1843,$BY$7:$BY$1843,BY1802,$BA$7:$BA$1843,"&gt;"&amp;BA1802)+SUMIFS($AX$7:$AX$1843,$BY$7:$BY$1843,BY1802,$BA$7:$BA$1843,BA1802,$BQ$7:$BQ$1843,"&lt;="&amp;BQ1802),"")</f>
        <v/>
      </c>
      <c r="BC1802" s="65" t="n">
        <f aca="false">IF(BB1802="",0,MAX(0,MIN(1,(IF(BY1802="L1",Parameter!$E$5,Parameter!$E$6+Parameter!$E$7)-(BB1802-AX1802))/AX1802)))</f>
        <v>0</v>
      </c>
      <c r="BD1802" s="55" t="str">
        <f aca="false">IF(AH1802&lt;=0,"",IF(BY1802="Aussen","Aussenlager",IF(BY1802="-","Nicht im Lift",IF(AM1802&gt;=1,"Lift",IF(AM1802&lt;=0,"Aussenlager","teilweise")))))</f>
        <v/>
      </c>
      <c r="BE1802" s="55" t="str">
        <f aca="false">IF(AP1802&lt;=0,"",IF(BY1802="Aussen","Aussenlager",IF(BY1802="-","Nicht im Lift",IF(AU1802&gt;=1,"Lift",IF(AU1802&lt;=0,"Aussenlager","teilweise")))))</f>
        <v/>
      </c>
      <c r="BF1802" s="55" t="str">
        <f aca="false">IF(AX1802&lt;=0,"",IF(BY1802="Aussen","Aussenlager",IF(BY1802="-","Nicht im Lift",IF(BC1802&gt;=1,"Lift",IF(BC1802&lt;=0,"Aussenlager","teilweise")))))</f>
        <v/>
      </c>
      <c r="BG1802" s="55" t="str">
        <f aca="false">IF(A1802="","",IF(BP1802=1,"Neu; ","")&amp;IF(AND(BP1802=0,BK1802&lt;0),"negativer Bestand (Export "&amp;BK1802&amp;"); ","")&amp;IF(J1802&lt;=0,"Kein Verbrauch; ","")&amp;IF(CH1802&gt;0,"Lift "&amp;W1802&amp;" lt. Liftbericht (Fach "&amp;X1802&amp;" Stk); ",IF(BU1802=1,"Gebinde geschätzt ("&amp;T1802&amp;"); ",IF(BT1802=1,"Lose – Tablare geschätzt; ","")))&amp;IF(H1802&gt;AR1802,"Überbestand "&amp;ROUND(H1802-AR1802,0)&amp;" Stk / CHF "&amp;ROUND((H1802-AR1802)*G1802,0)&amp;"; ","")&amp;IF(AND(CA1802=1,CB1802&lt;CC1802),"MAX &lt; MB+LG; ","")&amp;IF(AND(CG1802&gt;0,CF1802*10&gt;CG1802),"zu hoch für Tablar; ","")&amp;IF(AND(BP1802=0,OR(CA1802=1,AA1802&lt;&gt;"",U1802&lt;&gt;"",V1802&lt;&gt;"",AB1802&lt;&gt;"")),"manuell übersteuert; ","")&amp;IF(AND(BT1802=0,R1802=0),"Gebinde unbekannt / Stellmass fehlt; ","")&amp;IF(AND(BT1802=0,N(V1802)&lt;=0,N(Q1802)&lt;=0),"Menge pro Gebinde fehlt (Ist = 1 Gebinde); ","")&amp;BO1802)</f>
        <v/>
      </c>
      <c r="BH1802" s="55"/>
      <c r="BI1802" s="55"/>
      <c r="BJ1802" s="62"/>
      <c r="BK1802" s="57" t="n">
        <f aca="false">N('Neue Artikel'!$D$63)</f>
        <v>0</v>
      </c>
      <c r="BL1802" s="57" t="n">
        <v>0</v>
      </c>
      <c r="BM1802" s="56" t="n">
        <v>0</v>
      </c>
      <c r="BN1802" s="57" t="n">
        <f aca="false">N('Neue Artikel'!$C$63)/Parameter!$B$18</f>
        <v>0</v>
      </c>
      <c r="BO1802" s="55"/>
      <c r="BP1802" s="60" t="n">
        <v>1</v>
      </c>
      <c r="BQ1802" s="60" t="n">
        <v>1802</v>
      </c>
      <c r="BR1802" s="55" t="str">
        <f aca="false">IF(U1802&lt;&gt;"",UPPER(TRIM(U1802)),IF(BU1802=1,UPPER(VLOOKUP(T1802,Parameter!$I$27:$K$29,2,0)),IF(P1802="","LOSE",P1802)))</f>
        <v>LOSE</v>
      </c>
      <c r="BS1802" s="57" t="n">
        <f aca="false">IF(BR1802="LOSE",1,IF(N(V1802)&gt;0,V1802,IF(BU1802=1,MAX(1,N(VLOOKUP(T1802,Parameter!$I$27:$K$29,3,0)),H1802,N(N1802)),IF(N(Q1802)&gt;0,Q1802,MAX(1,H1802)))))</f>
        <v>1</v>
      </c>
      <c r="BT1802" s="60" t="n">
        <f aca="false">IF(BR1802="LOSE",1,0)</f>
        <v>1</v>
      </c>
      <c r="BU1802" s="60" t="n">
        <f aca="false">IF(AND(U1802="",OR(P1802="",P1802="LOSE"),T1802&lt;&gt;"",N(S1802)&lt;=0,ISNUMBER(MATCH(T1802,Parameter!$I$27:$I$29,0))),1,0)</f>
        <v>0</v>
      </c>
      <c r="BV1802" s="55" t="str">
        <f aca="false">IF(AND(Parameter!$B$19="Ja",E1802&lt;&gt;"",ISNUMBER(MATCH(E1802,Parameter!$I$35:$I$52,0))),VLOOKUP(E1802,Parameter!$I$35:$J$52,2,0),IFERROR(VLOOKUP(D1802,Parameter!$A$35:$C$64,2,0),"Nein"))</f>
        <v>2+3</v>
      </c>
      <c r="BW1802" s="59" t="n">
        <f aca="false">IF(BT1802=0,0,IF(N(S1802)&gt;0,S1802,IFERROR(VLOOKUP(D1802,Parameter!$A$35:$C$64,3,0)+0,0)))</f>
        <v>0.15</v>
      </c>
      <c r="BX1802" s="55" t="str">
        <f aca="false">IF(AA1802&lt;&gt;"",AA1802,Z1802)</f>
        <v/>
      </c>
      <c r="BY1802" s="55" t="str">
        <f aca="false">IF(BX1802=1,"L1",IF(OR(BX1802=2,BX1802=3),"L23",IF(BX1802="Aussen","Aussen","-")))</f>
        <v>-</v>
      </c>
      <c r="BZ1802" s="66" t="n">
        <f aca="false">IF(N(AB1802)&gt;0,AB1802,0)</f>
        <v>0</v>
      </c>
      <c r="CA1802" s="60" t="n">
        <f aca="false">IF(ISNUMBER(AE1802),1,0)</f>
        <v>0</v>
      </c>
      <c r="CB1802" s="57" t="n">
        <f aca="false">N(AE1802)</f>
        <v>0</v>
      </c>
      <c r="CC1802" s="57" t="n">
        <f aca="false">N(M1802)+N(N1802)</f>
        <v>0</v>
      </c>
      <c r="CD1802" s="57" t="n">
        <f aca="false">ROUNDUP(H1802/BS1802,0)</f>
        <v>0</v>
      </c>
      <c r="CE1802" s="57" t="n">
        <f aca="false">ROUNDUP(CB1802/BS1802,0)</f>
        <v>0</v>
      </c>
      <c r="CF1802" s="60" t="n">
        <f aca="false">IF(BT1802=1,0,IFERROR(VLOOKUP(BR1802,'Gebinde-Kategorie'!$A$5:$M$45,5,0)+0,0))</f>
        <v>0</v>
      </c>
      <c r="CG1802" s="60" t="n">
        <f aca="false">IFERROR(IF(OR(BX1802=1,BX1802=2,BX1802=3),N(INDEX(Parameter!$I$5:$I$7,BX1802)),0),0)</f>
        <v>0</v>
      </c>
      <c r="CH1802" s="59" t="n">
        <f aca="false">IF(AND(Parameter!$B$21="Ja",ISNUMBER(W1802),N(X1802)&gt;0),IFERROR(N(INDEX(Parameter!$L$5:$L$7,W1802))*INDEX(Parameter!$E$5:$E$7,W1802)*X1802/SUMIFS($X$7:$X$1843,$W$7:$W$1843,W1802),0),0)</f>
        <v>0</v>
      </c>
    </row>
    <row r="1803" customFormat="false" ht="15" hidden="false" customHeight="false" outlineLevel="0" collapsed="false">
      <c r="A1803" s="55" t="str">
        <f aca="false">IF('Neue Artikel'!$A$64="","",'Neue Artikel'!$A$64&amp;"")</f>
        <v/>
      </c>
      <c r="B1803" s="55" t="str">
        <f aca="false">'Neue Artikel'!$B$64&amp;""</f>
        <v/>
      </c>
      <c r="C1803" s="55"/>
      <c r="D1803" s="55" t="s">
        <v>3015</v>
      </c>
      <c r="E1803" s="55"/>
      <c r="F1803" s="55"/>
      <c r="G1803" s="56" t="n">
        <f aca="false">N('Neue Artikel'!$G$64)</f>
        <v>0</v>
      </c>
      <c r="H1803" s="57" t="n">
        <f aca="false">MAX(0,IF(AND(Parameter!$B$21="Ja",ISNUMBER(Y1803)),Y1803,IF(Parameter!$B$20="Jahresanfang 2025 + Export",BL1803+BK1803,BK1803)))</f>
        <v>0</v>
      </c>
      <c r="I1803" s="57" t="n">
        <f aca="false">H1803*G1803</f>
        <v>0</v>
      </c>
      <c r="J1803" s="57" t="n">
        <f aca="false">BN1803*Parameter!$B$18</f>
        <v>0</v>
      </c>
      <c r="K1803" s="58"/>
      <c r="L1803" s="59"/>
      <c r="M1803" s="57" t="n">
        <f aca="false">N('Neue Artikel'!$E$64)</f>
        <v>0</v>
      </c>
      <c r="N1803" s="57" t="n">
        <f aca="false">N('Neue Artikel'!$F$64)</f>
        <v>0</v>
      </c>
      <c r="O1803" s="60"/>
      <c r="P1803" s="55" t="str">
        <f aca="false">IF('Neue Artikel'!$H$64="","LOSE",UPPER(TRIM('Neue Artikel'!$H$64)))</f>
        <v>LOSE</v>
      </c>
      <c r="Q1803" s="57" t="n">
        <f aca="false">N('Neue Artikel'!$I$64)</f>
        <v>0</v>
      </c>
      <c r="R1803" s="60" t="n">
        <f aca="false">IF(BT1803=1,0,IFERROR(VLOOKUP(BR1803,'Gebinde-Kategorie'!$A$5:$M$45,13,0)+0,0))</f>
        <v>0</v>
      </c>
      <c r="S1803" s="61"/>
      <c r="T1803" s="62"/>
      <c r="U1803" s="62"/>
      <c r="V1803" s="62"/>
      <c r="W1803" s="55"/>
      <c r="X1803" s="57"/>
      <c r="Y1803" s="57"/>
      <c r="Z1803" s="55" t="str">
        <f aca="false">IF(A1803="","",IF(AND(Parameter!$B$21="Ja",ISNUMBER(W1803)),W1803,IF(BV1803="2+3",IF(ISNUMBER(SEARCH("grosser Artikel",BO1803)),2,IFERROR(VLOOKUP(BR1803,Parameter!$F$35:$G$64,2,0),2)),IF(OR(BV1803="Nein",BV1803=""),"-",BV1803))))</f>
        <v/>
      </c>
      <c r="AA1803" s="55" t="str">
        <f aca="false">IF('Neue Artikel'!$J$64="","",'Neue Artikel'!$J$64)</f>
        <v/>
      </c>
      <c r="AB1803" s="63"/>
      <c r="AC1803" s="57" t="n">
        <f aca="false">AR1803</f>
        <v>0</v>
      </c>
      <c r="AD1803" s="57" t="n">
        <f aca="false">MAX(AR1803,H1803)</f>
        <v>0</v>
      </c>
      <c r="AE1803" s="64"/>
      <c r="AF1803" s="57" t="n">
        <f aca="false">IF(LEFT(Cockpit!$C$5,1)="A",H1803,IF(CA1803=1,CB1803,IF(LEFT(Cockpit!$C$5,1)="B",AJ1803,MAX(AJ1803,H1803))))</f>
        <v>0</v>
      </c>
      <c r="AG1803" s="57" t="n">
        <f aca="false">IF(BT1803=1,0,ROUNDUP(AF1803/BS1803,0))</f>
        <v>0</v>
      </c>
      <c r="AH1803" s="59" t="n">
        <f aca="false">IF(CH1803&gt;0,CH1803*MAX(1,AF1803/X1803),IF(BT1803=1,IF(AF1803&lt;=0,0,BW1803*MAX(1,IF(H1803&gt;0,AF1803/H1803,1))),IF(R1803&gt;0,AG1803/R1803,0))/MAX(0.1,N(Parameter!$M$21)))</f>
        <v>0</v>
      </c>
      <c r="AI1803" s="57" t="n">
        <f aca="false">AF1803*G1803</f>
        <v>0</v>
      </c>
      <c r="AJ1803" s="57" t="n">
        <f aca="false">ROUNDUP(MAX(J1803/IF(BZ1803&gt;0,BZ1803,MAX(0.1,N(Cockpit!$C$6))),CC1803)/BS1803,0)*BS1803</f>
        <v>0</v>
      </c>
      <c r="AK1803" s="58" t="n">
        <f aca="false">IF(AH1803&gt;0,J1803/AH1803,-1)</f>
        <v>-1</v>
      </c>
      <c r="AL1803" s="58" t="str">
        <f aca="false">IF(AND(OR(BY1803="L1",BY1803="L23"),AH1803&gt;0),SUMIFS($AH$7:$AH$1843,$BY$7:$BY$1843,BY1803,$AK$7:$AK$1843,"&gt;"&amp;AK1803)+SUMIFS($AH$7:$AH$1843,$BY$7:$BY$1843,BY1803,$AK$7:$AK$1843,AK1803,$BQ$7:$BQ$1843,"&lt;="&amp;BQ1803),"")</f>
        <v/>
      </c>
      <c r="AM1803" s="65" t="n">
        <f aca="false">IF(AL1803="",0,MAX(0,MIN(1,(IF(BY1803="L1",Parameter!$E$5,Parameter!$E$6+Parameter!$E$7)-(AL1803-AH1803))/AH1803)))</f>
        <v>0</v>
      </c>
      <c r="AN1803" s="57" t="n">
        <f aca="false">IF(LEFT(Cockpit!$I$5,1)="A",H1803,IF(CA1803=1,CB1803,IF(LEFT(Cockpit!$I$5,1)="B",AR1803,MAX(AR1803,H1803))))</f>
        <v>0</v>
      </c>
      <c r="AO1803" s="57" t="n">
        <f aca="false">IF(BT1803=1,0,ROUNDUP(AN1803/BS1803,0))</f>
        <v>0</v>
      </c>
      <c r="AP1803" s="59" t="n">
        <f aca="false">IF(CH1803&gt;0,CH1803*MAX(1,AN1803/X1803),IF(BT1803=1,IF(AN1803&lt;=0,0,BW1803*MAX(1,IF(H1803&gt;0,AN1803/H1803,1))),IF(R1803&gt;0,AO1803/R1803,0))/MAX(0.1,N(Parameter!$M$21)))</f>
        <v>0</v>
      </c>
      <c r="AQ1803" s="57" t="n">
        <f aca="false">AN1803*G1803</f>
        <v>0</v>
      </c>
      <c r="AR1803" s="57" t="n">
        <f aca="false">ROUNDUP(MAX(J1803/IF(BZ1803&gt;0,BZ1803,MAX(0.1,N(Cockpit!$I$6))),CC1803)/BS1803,0)*BS1803</f>
        <v>0</v>
      </c>
      <c r="AS1803" s="58" t="n">
        <f aca="false">IF(AP1803&gt;0,J1803/AP1803,-1)</f>
        <v>-1</v>
      </c>
      <c r="AT1803" s="58" t="str">
        <f aca="false">IF(AND(OR(BY1803="L1",BY1803="L23"),AP1803&gt;0),SUMIFS($AP$7:$AP$1843,$BY$7:$BY$1843,BY1803,$AS$7:$AS$1843,"&gt;"&amp;AS1803)+SUMIFS($AP$7:$AP$1843,$BY$7:$BY$1843,BY1803,$AS$7:$AS$1843,AS1803,$BQ$7:$BQ$1843,"&lt;="&amp;BQ1803),"")</f>
        <v/>
      </c>
      <c r="AU1803" s="65" t="n">
        <f aca="false">IF(AT1803="",0,MAX(0,MIN(1,(IF(BY1803="L1",Parameter!$E$5,Parameter!$E$6+Parameter!$E$7)-(AT1803-AP1803))/AP1803)))</f>
        <v>0</v>
      </c>
      <c r="AV1803" s="57" t="n">
        <f aca="false">IF(LEFT(Cockpit!$O$5,1)="A",H1803,IF(CA1803=1,CB1803,IF(LEFT(Cockpit!$O$5,1)="B",AZ1803,MAX(AZ1803,H1803))))</f>
        <v>0</v>
      </c>
      <c r="AW1803" s="57" t="n">
        <f aca="false">IF(BT1803=1,0,ROUNDUP(AV1803/BS1803,0))</f>
        <v>0</v>
      </c>
      <c r="AX1803" s="59" t="n">
        <f aca="false">IF(CH1803&gt;0,CH1803*MAX(1,AV1803/X1803),IF(BT1803=1,IF(AV1803&lt;=0,0,BW1803*MAX(1,IF(H1803&gt;0,AV1803/H1803,1))),IF(R1803&gt;0,AW1803/R1803,0))/MAX(0.1,N(Parameter!$M$21)))</f>
        <v>0</v>
      </c>
      <c r="AY1803" s="57" t="n">
        <f aca="false">AV1803*G1803</f>
        <v>0</v>
      </c>
      <c r="AZ1803" s="57" t="n">
        <f aca="false">ROUNDUP(MAX(J1803/IF(BZ1803&gt;0,BZ1803,MAX(0.1,N(Cockpit!$O$6))),CC1803)/BS1803,0)*BS1803</f>
        <v>0</v>
      </c>
      <c r="BA1803" s="58" t="n">
        <f aca="false">IF(AX1803&gt;0,J1803/AX1803,-1)</f>
        <v>-1</v>
      </c>
      <c r="BB1803" s="58" t="str">
        <f aca="false">IF(AND(OR(BY1803="L1",BY1803="L23"),AX1803&gt;0),SUMIFS($AX$7:$AX$1843,$BY$7:$BY$1843,BY1803,$BA$7:$BA$1843,"&gt;"&amp;BA1803)+SUMIFS($AX$7:$AX$1843,$BY$7:$BY$1843,BY1803,$BA$7:$BA$1843,BA1803,$BQ$7:$BQ$1843,"&lt;="&amp;BQ1803),"")</f>
        <v/>
      </c>
      <c r="BC1803" s="65" t="n">
        <f aca="false">IF(BB1803="",0,MAX(0,MIN(1,(IF(BY1803="L1",Parameter!$E$5,Parameter!$E$6+Parameter!$E$7)-(BB1803-AX1803))/AX1803)))</f>
        <v>0</v>
      </c>
      <c r="BD1803" s="55" t="str">
        <f aca="false">IF(AH1803&lt;=0,"",IF(BY1803="Aussen","Aussenlager",IF(BY1803="-","Nicht im Lift",IF(AM1803&gt;=1,"Lift",IF(AM1803&lt;=0,"Aussenlager","teilweise")))))</f>
        <v/>
      </c>
      <c r="BE1803" s="55" t="str">
        <f aca="false">IF(AP1803&lt;=0,"",IF(BY1803="Aussen","Aussenlager",IF(BY1803="-","Nicht im Lift",IF(AU1803&gt;=1,"Lift",IF(AU1803&lt;=0,"Aussenlager","teilweise")))))</f>
        <v/>
      </c>
      <c r="BF1803" s="55" t="str">
        <f aca="false">IF(AX1803&lt;=0,"",IF(BY1803="Aussen","Aussenlager",IF(BY1803="-","Nicht im Lift",IF(BC1803&gt;=1,"Lift",IF(BC1803&lt;=0,"Aussenlager","teilweise")))))</f>
        <v/>
      </c>
      <c r="BG1803" s="55" t="str">
        <f aca="false">IF(A1803="","",IF(BP1803=1,"Neu; ","")&amp;IF(AND(BP1803=0,BK1803&lt;0),"negativer Bestand (Export "&amp;BK1803&amp;"); ","")&amp;IF(J1803&lt;=0,"Kein Verbrauch; ","")&amp;IF(CH1803&gt;0,"Lift "&amp;W1803&amp;" lt. Liftbericht (Fach "&amp;X1803&amp;" Stk); ",IF(BU1803=1,"Gebinde geschätzt ("&amp;T1803&amp;"); ",IF(BT1803=1,"Lose – Tablare geschätzt; ","")))&amp;IF(H1803&gt;AR1803,"Überbestand "&amp;ROUND(H1803-AR1803,0)&amp;" Stk / CHF "&amp;ROUND((H1803-AR1803)*G1803,0)&amp;"; ","")&amp;IF(AND(CA1803=1,CB1803&lt;CC1803),"MAX &lt; MB+LG; ","")&amp;IF(AND(CG1803&gt;0,CF1803*10&gt;CG1803),"zu hoch für Tablar; ","")&amp;IF(AND(BP1803=0,OR(CA1803=1,AA1803&lt;&gt;"",U1803&lt;&gt;"",V1803&lt;&gt;"",AB1803&lt;&gt;"")),"manuell übersteuert; ","")&amp;IF(AND(BT1803=0,R1803=0),"Gebinde unbekannt / Stellmass fehlt; ","")&amp;IF(AND(BT1803=0,N(V1803)&lt;=0,N(Q1803)&lt;=0),"Menge pro Gebinde fehlt (Ist = 1 Gebinde); ","")&amp;BO1803)</f>
        <v/>
      </c>
      <c r="BH1803" s="55"/>
      <c r="BI1803" s="55"/>
      <c r="BJ1803" s="62"/>
      <c r="BK1803" s="57" t="n">
        <f aca="false">N('Neue Artikel'!$D$64)</f>
        <v>0</v>
      </c>
      <c r="BL1803" s="57" t="n">
        <v>0</v>
      </c>
      <c r="BM1803" s="56" t="n">
        <v>0</v>
      </c>
      <c r="BN1803" s="57" t="n">
        <f aca="false">N('Neue Artikel'!$C$64)/Parameter!$B$18</f>
        <v>0</v>
      </c>
      <c r="BO1803" s="55"/>
      <c r="BP1803" s="60" t="n">
        <v>1</v>
      </c>
      <c r="BQ1803" s="60" t="n">
        <v>1803</v>
      </c>
      <c r="BR1803" s="55" t="str">
        <f aca="false">IF(U1803&lt;&gt;"",UPPER(TRIM(U1803)),IF(BU1803=1,UPPER(VLOOKUP(T1803,Parameter!$I$27:$K$29,2,0)),IF(P1803="","LOSE",P1803)))</f>
        <v>LOSE</v>
      </c>
      <c r="BS1803" s="57" t="n">
        <f aca="false">IF(BR1803="LOSE",1,IF(N(V1803)&gt;0,V1803,IF(BU1803=1,MAX(1,N(VLOOKUP(T1803,Parameter!$I$27:$K$29,3,0)),H1803,N(N1803)),IF(N(Q1803)&gt;0,Q1803,MAX(1,H1803)))))</f>
        <v>1</v>
      </c>
      <c r="BT1803" s="60" t="n">
        <f aca="false">IF(BR1803="LOSE",1,0)</f>
        <v>1</v>
      </c>
      <c r="BU1803" s="60" t="n">
        <f aca="false">IF(AND(U1803="",OR(P1803="",P1803="LOSE"),T1803&lt;&gt;"",N(S1803)&lt;=0,ISNUMBER(MATCH(T1803,Parameter!$I$27:$I$29,0))),1,0)</f>
        <v>0</v>
      </c>
      <c r="BV1803" s="55" t="str">
        <f aca="false">IF(AND(Parameter!$B$19="Ja",E1803&lt;&gt;"",ISNUMBER(MATCH(E1803,Parameter!$I$35:$I$52,0))),VLOOKUP(E1803,Parameter!$I$35:$J$52,2,0),IFERROR(VLOOKUP(D1803,Parameter!$A$35:$C$64,2,0),"Nein"))</f>
        <v>2+3</v>
      </c>
      <c r="BW1803" s="59" t="n">
        <f aca="false">IF(BT1803=0,0,IF(N(S1803)&gt;0,S1803,IFERROR(VLOOKUP(D1803,Parameter!$A$35:$C$64,3,0)+0,0)))</f>
        <v>0.15</v>
      </c>
      <c r="BX1803" s="55" t="str">
        <f aca="false">IF(AA1803&lt;&gt;"",AA1803,Z1803)</f>
        <v/>
      </c>
      <c r="BY1803" s="55" t="str">
        <f aca="false">IF(BX1803=1,"L1",IF(OR(BX1803=2,BX1803=3),"L23",IF(BX1803="Aussen","Aussen","-")))</f>
        <v>-</v>
      </c>
      <c r="BZ1803" s="66" t="n">
        <f aca="false">IF(N(AB1803)&gt;0,AB1803,0)</f>
        <v>0</v>
      </c>
      <c r="CA1803" s="60" t="n">
        <f aca="false">IF(ISNUMBER(AE1803),1,0)</f>
        <v>0</v>
      </c>
      <c r="CB1803" s="57" t="n">
        <f aca="false">N(AE1803)</f>
        <v>0</v>
      </c>
      <c r="CC1803" s="57" t="n">
        <f aca="false">N(M1803)+N(N1803)</f>
        <v>0</v>
      </c>
      <c r="CD1803" s="57" t="n">
        <f aca="false">ROUNDUP(H1803/BS1803,0)</f>
        <v>0</v>
      </c>
      <c r="CE1803" s="57" t="n">
        <f aca="false">ROUNDUP(CB1803/BS1803,0)</f>
        <v>0</v>
      </c>
      <c r="CF1803" s="60" t="n">
        <f aca="false">IF(BT1803=1,0,IFERROR(VLOOKUP(BR1803,'Gebinde-Kategorie'!$A$5:$M$45,5,0)+0,0))</f>
        <v>0</v>
      </c>
      <c r="CG1803" s="60" t="n">
        <f aca="false">IFERROR(IF(OR(BX1803=1,BX1803=2,BX1803=3),N(INDEX(Parameter!$I$5:$I$7,BX1803)),0),0)</f>
        <v>0</v>
      </c>
      <c r="CH1803" s="59" t="n">
        <f aca="false">IF(AND(Parameter!$B$21="Ja",ISNUMBER(W1803),N(X1803)&gt;0),IFERROR(N(INDEX(Parameter!$L$5:$L$7,W1803))*INDEX(Parameter!$E$5:$E$7,W1803)*X1803/SUMIFS($X$7:$X$1843,$W$7:$W$1843,W1803),0),0)</f>
        <v>0</v>
      </c>
    </row>
    <row r="1804" customFormat="false" ht="15" hidden="false" customHeight="false" outlineLevel="0" collapsed="false">
      <c r="A1804" s="55" t="str">
        <f aca="false">IF('Neue Artikel'!$A$65="","",'Neue Artikel'!$A$65&amp;"")</f>
        <v/>
      </c>
      <c r="B1804" s="55" t="str">
        <f aca="false">'Neue Artikel'!$B$65&amp;""</f>
        <v/>
      </c>
      <c r="C1804" s="55"/>
      <c r="D1804" s="55" t="s">
        <v>3015</v>
      </c>
      <c r="E1804" s="55"/>
      <c r="F1804" s="55"/>
      <c r="G1804" s="56" t="n">
        <f aca="false">N('Neue Artikel'!$G$65)</f>
        <v>0</v>
      </c>
      <c r="H1804" s="57" t="n">
        <f aca="false">MAX(0,IF(AND(Parameter!$B$21="Ja",ISNUMBER(Y1804)),Y1804,IF(Parameter!$B$20="Jahresanfang 2025 + Export",BL1804+BK1804,BK1804)))</f>
        <v>0</v>
      </c>
      <c r="I1804" s="57" t="n">
        <f aca="false">H1804*G1804</f>
        <v>0</v>
      </c>
      <c r="J1804" s="57" t="n">
        <f aca="false">BN1804*Parameter!$B$18</f>
        <v>0</v>
      </c>
      <c r="K1804" s="58"/>
      <c r="L1804" s="59"/>
      <c r="M1804" s="57" t="n">
        <f aca="false">N('Neue Artikel'!$E$65)</f>
        <v>0</v>
      </c>
      <c r="N1804" s="57" t="n">
        <f aca="false">N('Neue Artikel'!$F$65)</f>
        <v>0</v>
      </c>
      <c r="O1804" s="60"/>
      <c r="P1804" s="55" t="str">
        <f aca="false">IF('Neue Artikel'!$H$65="","LOSE",UPPER(TRIM('Neue Artikel'!$H$65)))</f>
        <v>LOSE</v>
      </c>
      <c r="Q1804" s="57" t="n">
        <f aca="false">N('Neue Artikel'!$I$65)</f>
        <v>0</v>
      </c>
      <c r="R1804" s="60" t="n">
        <f aca="false">IF(BT1804=1,0,IFERROR(VLOOKUP(BR1804,'Gebinde-Kategorie'!$A$5:$M$45,13,0)+0,0))</f>
        <v>0</v>
      </c>
      <c r="S1804" s="61"/>
      <c r="T1804" s="62"/>
      <c r="U1804" s="62"/>
      <c r="V1804" s="62"/>
      <c r="W1804" s="55"/>
      <c r="X1804" s="57"/>
      <c r="Y1804" s="57"/>
      <c r="Z1804" s="55" t="str">
        <f aca="false">IF(A1804="","",IF(AND(Parameter!$B$21="Ja",ISNUMBER(W1804)),W1804,IF(BV1804="2+3",IF(ISNUMBER(SEARCH("grosser Artikel",BO1804)),2,IFERROR(VLOOKUP(BR1804,Parameter!$F$35:$G$64,2,0),2)),IF(OR(BV1804="Nein",BV1804=""),"-",BV1804))))</f>
        <v/>
      </c>
      <c r="AA1804" s="55" t="str">
        <f aca="false">IF('Neue Artikel'!$J$65="","",'Neue Artikel'!$J$65)</f>
        <v/>
      </c>
      <c r="AB1804" s="63"/>
      <c r="AC1804" s="57" t="n">
        <f aca="false">AR1804</f>
        <v>0</v>
      </c>
      <c r="AD1804" s="57" t="n">
        <f aca="false">MAX(AR1804,H1804)</f>
        <v>0</v>
      </c>
      <c r="AE1804" s="64"/>
      <c r="AF1804" s="57" t="n">
        <f aca="false">IF(LEFT(Cockpit!$C$5,1)="A",H1804,IF(CA1804=1,CB1804,IF(LEFT(Cockpit!$C$5,1)="B",AJ1804,MAX(AJ1804,H1804))))</f>
        <v>0</v>
      </c>
      <c r="AG1804" s="57" t="n">
        <f aca="false">IF(BT1804=1,0,ROUNDUP(AF1804/BS1804,0))</f>
        <v>0</v>
      </c>
      <c r="AH1804" s="59" t="n">
        <f aca="false">IF(CH1804&gt;0,CH1804*MAX(1,AF1804/X1804),IF(BT1804=1,IF(AF1804&lt;=0,0,BW1804*MAX(1,IF(H1804&gt;0,AF1804/H1804,1))),IF(R1804&gt;0,AG1804/R1804,0))/MAX(0.1,N(Parameter!$M$21)))</f>
        <v>0</v>
      </c>
      <c r="AI1804" s="57" t="n">
        <f aca="false">AF1804*G1804</f>
        <v>0</v>
      </c>
      <c r="AJ1804" s="57" t="n">
        <f aca="false">ROUNDUP(MAX(J1804/IF(BZ1804&gt;0,BZ1804,MAX(0.1,N(Cockpit!$C$6))),CC1804)/BS1804,0)*BS1804</f>
        <v>0</v>
      </c>
      <c r="AK1804" s="58" t="n">
        <f aca="false">IF(AH1804&gt;0,J1804/AH1804,-1)</f>
        <v>-1</v>
      </c>
      <c r="AL1804" s="58" t="str">
        <f aca="false">IF(AND(OR(BY1804="L1",BY1804="L23"),AH1804&gt;0),SUMIFS($AH$7:$AH$1843,$BY$7:$BY$1843,BY1804,$AK$7:$AK$1843,"&gt;"&amp;AK1804)+SUMIFS($AH$7:$AH$1843,$BY$7:$BY$1843,BY1804,$AK$7:$AK$1843,AK1804,$BQ$7:$BQ$1843,"&lt;="&amp;BQ1804),"")</f>
        <v/>
      </c>
      <c r="AM1804" s="65" t="n">
        <f aca="false">IF(AL1804="",0,MAX(0,MIN(1,(IF(BY1804="L1",Parameter!$E$5,Parameter!$E$6+Parameter!$E$7)-(AL1804-AH1804))/AH1804)))</f>
        <v>0</v>
      </c>
      <c r="AN1804" s="57" t="n">
        <f aca="false">IF(LEFT(Cockpit!$I$5,1)="A",H1804,IF(CA1804=1,CB1804,IF(LEFT(Cockpit!$I$5,1)="B",AR1804,MAX(AR1804,H1804))))</f>
        <v>0</v>
      </c>
      <c r="AO1804" s="57" t="n">
        <f aca="false">IF(BT1804=1,0,ROUNDUP(AN1804/BS1804,0))</f>
        <v>0</v>
      </c>
      <c r="AP1804" s="59" t="n">
        <f aca="false">IF(CH1804&gt;0,CH1804*MAX(1,AN1804/X1804),IF(BT1804=1,IF(AN1804&lt;=0,0,BW1804*MAX(1,IF(H1804&gt;0,AN1804/H1804,1))),IF(R1804&gt;0,AO1804/R1804,0))/MAX(0.1,N(Parameter!$M$21)))</f>
        <v>0</v>
      </c>
      <c r="AQ1804" s="57" t="n">
        <f aca="false">AN1804*G1804</f>
        <v>0</v>
      </c>
      <c r="AR1804" s="57" t="n">
        <f aca="false">ROUNDUP(MAX(J1804/IF(BZ1804&gt;0,BZ1804,MAX(0.1,N(Cockpit!$I$6))),CC1804)/BS1804,0)*BS1804</f>
        <v>0</v>
      </c>
      <c r="AS1804" s="58" t="n">
        <f aca="false">IF(AP1804&gt;0,J1804/AP1804,-1)</f>
        <v>-1</v>
      </c>
      <c r="AT1804" s="58" t="str">
        <f aca="false">IF(AND(OR(BY1804="L1",BY1804="L23"),AP1804&gt;0),SUMIFS($AP$7:$AP$1843,$BY$7:$BY$1843,BY1804,$AS$7:$AS$1843,"&gt;"&amp;AS1804)+SUMIFS($AP$7:$AP$1843,$BY$7:$BY$1843,BY1804,$AS$7:$AS$1843,AS1804,$BQ$7:$BQ$1843,"&lt;="&amp;BQ1804),"")</f>
        <v/>
      </c>
      <c r="AU1804" s="65" t="n">
        <f aca="false">IF(AT1804="",0,MAX(0,MIN(1,(IF(BY1804="L1",Parameter!$E$5,Parameter!$E$6+Parameter!$E$7)-(AT1804-AP1804))/AP1804)))</f>
        <v>0</v>
      </c>
      <c r="AV1804" s="57" t="n">
        <f aca="false">IF(LEFT(Cockpit!$O$5,1)="A",H1804,IF(CA1804=1,CB1804,IF(LEFT(Cockpit!$O$5,1)="B",AZ1804,MAX(AZ1804,H1804))))</f>
        <v>0</v>
      </c>
      <c r="AW1804" s="57" t="n">
        <f aca="false">IF(BT1804=1,0,ROUNDUP(AV1804/BS1804,0))</f>
        <v>0</v>
      </c>
      <c r="AX1804" s="59" t="n">
        <f aca="false">IF(CH1804&gt;0,CH1804*MAX(1,AV1804/X1804),IF(BT1804=1,IF(AV1804&lt;=0,0,BW1804*MAX(1,IF(H1804&gt;0,AV1804/H1804,1))),IF(R1804&gt;0,AW1804/R1804,0))/MAX(0.1,N(Parameter!$M$21)))</f>
        <v>0</v>
      </c>
      <c r="AY1804" s="57" t="n">
        <f aca="false">AV1804*G1804</f>
        <v>0</v>
      </c>
      <c r="AZ1804" s="57" t="n">
        <f aca="false">ROUNDUP(MAX(J1804/IF(BZ1804&gt;0,BZ1804,MAX(0.1,N(Cockpit!$O$6))),CC1804)/BS1804,0)*BS1804</f>
        <v>0</v>
      </c>
      <c r="BA1804" s="58" t="n">
        <f aca="false">IF(AX1804&gt;0,J1804/AX1804,-1)</f>
        <v>-1</v>
      </c>
      <c r="BB1804" s="58" t="str">
        <f aca="false">IF(AND(OR(BY1804="L1",BY1804="L23"),AX1804&gt;0),SUMIFS($AX$7:$AX$1843,$BY$7:$BY$1843,BY1804,$BA$7:$BA$1843,"&gt;"&amp;BA1804)+SUMIFS($AX$7:$AX$1843,$BY$7:$BY$1843,BY1804,$BA$7:$BA$1843,BA1804,$BQ$7:$BQ$1843,"&lt;="&amp;BQ1804),"")</f>
        <v/>
      </c>
      <c r="BC1804" s="65" t="n">
        <f aca="false">IF(BB1804="",0,MAX(0,MIN(1,(IF(BY1804="L1",Parameter!$E$5,Parameter!$E$6+Parameter!$E$7)-(BB1804-AX1804))/AX1804)))</f>
        <v>0</v>
      </c>
      <c r="BD1804" s="55" t="str">
        <f aca="false">IF(AH1804&lt;=0,"",IF(BY1804="Aussen","Aussenlager",IF(BY1804="-","Nicht im Lift",IF(AM1804&gt;=1,"Lift",IF(AM1804&lt;=0,"Aussenlager","teilweise")))))</f>
        <v/>
      </c>
      <c r="BE1804" s="55" t="str">
        <f aca="false">IF(AP1804&lt;=0,"",IF(BY1804="Aussen","Aussenlager",IF(BY1804="-","Nicht im Lift",IF(AU1804&gt;=1,"Lift",IF(AU1804&lt;=0,"Aussenlager","teilweise")))))</f>
        <v/>
      </c>
      <c r="BF1804" s="55" t="str">
        <f aca="false">IF(AX1804&lt;=0,"",IF(BY1804="Aussen","Aussenlager",IF(BY1804="-","Nicht im Lift",IF(BC1804&gt;=1,"Lift",IF(BC1804&lt;=0,"Aussenlager","teilweise")))))</f>
        <v/>
      </c>
      <c r="BG1804" s="55" t="str">
        <f aca="false">IF(A1804="","",IF(BP1804=1,"Neu; ","")&amp;IF(AND(BP1804=0,BK1804&lt;0),"negativer Bestand (Export "&amp;BK1804&amp;"); ","")&amp;IF(J1804&lt;=0,"Kein Verbrauch; ","")&amp;IF(CH1804&gt;0,"Lift "&amp;W1804&amp;" lt. Liftbericht (Fach "&amp;X1804&amp;" Stk); ",IF(BU1804=1,"Gebinde geschätzt ("&amp;T1804&amp;"); ",IF(BT1804=1,"Lose – Tablare geschätzt; ","")))&amp;IF(H1804&gt;AR1804,"Überbestand "&amp;ROUND(H1804-AR1804,0)&amp;" Stk / CHF "&amp;ROUND((H1804-AR1804)*G1804,0)&amp;"; ","")&amp;IF(AND(CA1804=1,CB1804&lt;CC1804),"MAX &lt; MB+LG; ","")&amp;IF(AND(CG1804&gt;0,CF1804*10&gt;CG1804),"zu hoch für Tablar; ","")&amp;IF(AND(BP1804=0,OR(CA1804=1,AA1804&lt;&gt;"",U1804&lt;&gt;"",V1804&lt;&gt;"",AB1804&lt;&gt;"")),"manuell übersteuert; ","")&amp;IF(AND(BT1804=0,R1804=0),"Gebinde unbekannt / Stellmass fehlt; ","")&amp;IF(AND(BT1804=0,N(V1804)&lt;=0,N(Q1804)&lt;=0),"Menge pro Gebinde fehlt (Ist = 1 Gebinde); ","")&amp;BO1804)</f>
        <v/>
      </c>
      <c r="BH1804" s="55"/>
      <c r="BI1804" s="55"/>
      <c r="BJ1804" s="62"/>
      <c r="BK1804" s="57" t="n">
        <f aca="false">N('Neue Artikel'!$D$65)</f>
        <v>0</v>
      </c>
      <c r="BL1804" s="57" t="n">
        <v>0</v>
      </c>
      <c r="BM1804" s="56" t="n">
        <v>0</v>
      </c>
      <c r="BN1804" s="57" t="n">
        <f aca="false">N('Neue Artikel'!$C$65)/Parameter!$B$18</f>
        <v>0</v>
      </c>
      <c r="BO1804" s="55"/>
      <c r="BP1804" s="60" t="n">
        <v>1</v>
      </c>
      <c r="BQ1804" s="60" t="n">
        <v>1804</v>
      </c>
      <c r="BR1804" s="55" t="str">
        <f aca="false">IF(U1804&lt;&gt;"",UPPER(TRIM(U1804)),IF(BU1804=1,UPPER(VLOOKUP(T1804,Parameter!$I$27:$K$29,2,0)),IF(P1804="","LOSE",P1804)))</f>
        <v>LOSE</v>
      </c>
      <c r="BS1804" s="57" t="n">
        <f aca="false">IF(BR1804="LOSE",1,IF(N(V1804)&gt;0,V1804,IF(BU1804=1,MAX(1,N(VLOOKUP(T1804,Parameter!$I$27:$K$29,3,0)),H1804,N(N1804)),IF(N(Q1804)&gt;0,Q1804,MAX(1,H1804)))))</f>
        <v>1</v>
      </c>
      <c r="BT1804" s="60" t="n">
        <f aca="false">IF(BR1804="LOSE",1,0)</f>
        <v>1</v>
      </c>
      <c r="BU1804" s="60" t="n">
        <f aca="false">IF(AND(U1804="",OR(P1804="",P1804="LOSE"),T1804&lt;&gt;"",N(S1804)&lt;=0,ISNUMBER(MATCH(T1804,Parameter!$I$27:$I$29,0))),1,0)</f>
        <v>0</v>
      </c>
      <c r="BV1804" s="55" t="str">
        <f aca="false">IF(AND(Parameter!$B$19="Ja",E1804&lt;&gt;"",ISNUMBER(MATCH(E1804,Parameter!$I$35:$I$52,0))),VLOOKUP(E1804,Parameter!$I$35:$J$52,2,0),IFERROR(VLOOKUP(D1804,Parameter!$A$35:$C$64,2,0),"Nein"))</f>
        <v>2+3</v>
      </c>
      <c r="BW1804" s="59" t="n">
        <f aca="false">IF(BT1804=0,0,IF(N(S1804)&gt;0,S1804,IFERROR(VLOOKUP(D1804,Parameter!$A$35:$C$64,3,0)+0,0)))</f>
        <v>0.15</v>
      </c>
      <c r="BX1804" s="55" t="str">
        <f aca="false">IF(AA1804&lt;&gt;"",AA1804,Z1804)</f>
        <v/>
      </c>
      <c r="BY1804" s="55" t="str">
        <f aca="false">IF(BX1804=1,"L1",IF(OR(BX1804=2,BX1804=3),"L23",IF(BX1804="Aussen","Aussen","-")))</f>
        <v>-</v>
      </c>
      <c r="BZ1804" s="66" t="n">
        <f aca="false">IF(N(AB1804)&gt;0,AB1804,0)</f>
        <v>0</v>
      </c>
      <c r="CA1804" s="60" t="n">
        <f aca="false">IF(ISNUMBER(AE1804),1,0)</f>
        <v>0</v>
      </c>
      <c r="CB1804" s="57" t="n">
        <f aca="false">N(AE1804)</f>
        <v>0</v>
      </c>
      <c r="CC1804" s="57" t="n">
        <f aca="false">N(M1804)+N(N1804)</f>
        <v>0</v>
      </c>
      <c r="CD1804" s="57" t="n">
        <f aca="false">ROUNDUP(H1804/BS1804,0)</f>
        <v>0</v>
      </c>
      <c r="CE1804" s="57" t="n">
        <f aca="false">ROUNDUP(CB1804/BS1804,0)</f>
        <v>0</v>
      </c>
      <c r="CF1804" s="60" t="n">
        <f aca="false">IF(BT1804=1,0,IFERROR(VLOOKUP(BR1804,'Gebinde-Kategorie'!$A$5:$M$45,5,0)+0,0))</f>
        <v>0</v>
      </c>
      <c r="CG1804" s="60" t="n">
        <f aca="false">IFERROR(IF(OR(BX1804=1,BX1804=2,BX1804=3),N(INDEX(Parameter!$I$5:$I$7,BX1804)),0),0)</f>
        <v>0</v>
      </c>
      <c r="CH1804" s="59" t="n">
        <f aca="false">IF(AND(Parameter!$B$21="Ja",ISNUMBER(W1804),N(X1804)&gt;0),IFERROR(N(INDEX(Parameter!$L$5:$L$7,W1804))*INDEX(Parameter!$E$5:$E$7,W1804)*X1804/SUMIFS($X$7:$X$1843,$W$7:$W$1843,W1804),0),0)</f>
        <v>0</v>
      </c>
    </row>
    <row r="1805" customFormat="false" ht="15" hidden="false" customHeight="false" outlineLevel="0" collapsed="false">
      <c r="A1805" s="55" t="str">
        <f aca="false">IF('Neue Artikel'!$A$66="","",'Neue Artikel'!$A$66&amp;"")</f>
        <v/>
      </c>
      <c r="B1805" s="55" t="str">
        <f aca="false">'Neue Artikel'!$B$66&amp;""</f>
        <v/>
      </c>
      <c r="C1805" s="55"/>
      <c r="D1805" s="55" t="s">
        <v>3015</v>
      </c>
      <c r="E1805" s="55"/>
      <c r="F1805" s="55"/>
      <c r="G1805" s="56" t="n">
        <f aca="false">N('Neue Artikel'!$G$66)</f>
        <v>0</v>
      </c>
      <c r="H1805" s="57" t="n">
        <f aca="false">MAX(0,IF(AND(Parameter!$B$21="Ja",ISNUMBER(Y1805)),Y1805,IF(Parameter!$B$20="Jahresanfang 2025 + Export",BL1805+BK1805,BK1805)))</f>
        <v>0</v>
      </c>
      <c r="I1805" s="57" t="n">
        <f aca="false">H1805*G1805</f>
        <v>0</v>
      </c>
      <c r="J1805" s="57" t="n">
        <f aca="false">BN1805*Parameter!$B$18</f>
        <v>0</v>
      </c>
      <c r="K1805" s="58"/>
      <c r="L1805" s="59"/>
      <c r="M1805" s="57" t="n">
        <f aca="false">N('Neue Artikel'!$E$66)</f>
        <v>0</v>
      </c>
      <c r="N1805" s="57" t="n">
        <f aca="false">N('Neue Artikel'!$F$66)</f>
        <v>0</v>
      </c>
      <c r="O1805" s="60"/>
      <c r="P1805" s="55" t="str">
        <f aca="false">IF('Neue Artikel'!$H$66="","LOSE",UPPER(TRIM('Neue Artikel'!$H$66)))</f>
        <v>LOSE</v>
      </c>
      <c r="Q1805" s="57" t="n">
        <f aca="false">N('Neue Artikel'!$I$66)</f>
        <v>0</v>
      </c>
      <c r="R1805" s="60" t="n">
        <f aca="false">IF(BT1805=1,0,IFERROR(VLOOKUP(BR1805,'Gebinde-Kategorie'!$A$5:$M$45,13,0)+0,0))</f>
        <v>0</v>
      </c>
      <c r="S1805" s="61"/>
      <c r="T1805" s="62"/>
      <c r="U1805" s="62"/>
      <c r="V1805" s="62"/>
      <c r="W1805" s="55"/>
      <c r="X1805" s="57"/>
      <c r="Y1805" s="57"/>
      <c r="Z1805" s="55" t="str">
        <f aca="false">IF(A1805="","",IF(AND(Parameter!$B$21="Ja",ISNUMBER(W1805)),W1805,IF(BV1805="2+3",IF(ISNUMBER(SEARCH("grosser Artikel",BO1805)),2,IFERROR(VLOOKUP(BR1805,Parameter!$F$35:$G$64,2,0),2)),IF(OR(BV1805="Nein",BV1805=""),"-",BV1805))))</f>
        <v/>
      </c>
      <c r="AA1805" s="55" t="str">
        <f aca="false">IF('Neue Artikel'!$J$66="","",'Neue Artikel'!$J$66)</f>
        <v/>
      </c>
      <c r="AB1805" s="63"/>
      <c r="AC1805" s="57" t="n">
        <f aca="false">AR1805</f>
        <v>0</v>
      </c>
      <c r="AD1805" s="57" t="n">
        <f aca="false">MAX(AR1805,H1805)</f>
        <v>0</v>
      </c>
      <c r="AE1805" s="64"/>
      <c r="AF1805" s="57" t="n">
        <f aca="false">IF(LEFT(Cockpit!$C$5,1)="A",H1805,IF(CA1805=1,CB1805,IF(LEFT(Cockpit!$C$5,1)="B",AJ1805,MAX(AJ1805,H1805))))</f>
        <v>0</v>
      </c>
      <c r="AG1805" s="57" t="n">
        <f aca="false">IF(BT1805=1,0,ROUNDUP(AF1805/BS1805,0))</f>
        <v>0</v>
      </c>
      <c r="AH1805" s="59" t="n">
        <f aca="false">IF(CH1805&gt;0,CH1805*MAX(1,AF1805/X1805),IF(BT1805=1,IF(AF1805&lt;=0,0,BW1805*MAX(1,IF(H1805&gt;0,AF1805/H1805,1))),IF(R1805&gt;0,AG1805/R1805,0))/MAX(0.1,N(Parameter!$M$21)))</f>
        <v>0</v>
      </c>
      <c r="AI1805" s="57" t="n">
        <f aca="false">AF1805*G1805</f>
        <v>0</v>
      </c>
      <c r="AJ1805" s="57" t="n">
        <f aca="false">ROUNDUP(MAX(J1805/IF(BZ1805&gt;0,BZ1805,MAX(0.1,N(Cockpit!$C$6))),CC1805)/BS1805,0)*BS1805</f>
        <v>0</v>
      </c>
      <c r="AK1805" s="58" t="n">
        <f aca="false">IF(AH1805&gt;0,J1805/AH1805,-1)</f>
        <v>-1</v>
      </c>
      <c r="AL1805" s="58" t="str">
        <f aca="false">IF(AND(OR(BY1805="L1",BY1805="L23"),AH1805&gt;0),SUMIFS($AH$7:$AH$1843,$BY$7:$BY$1843,BY1805,$AK$7:$AK$1843,"&gt;"&amp;AK1805)+SUMIFS($AH$7:$AH$1843,$BY$7:$BY$1843,BY1805,$AK$7:$AK$1843,AK1805,$BQ$7:$BQ$1843,"&lt;="&amp;BQ1805),"")</f>
        <v/>
      </c>
      <c r="AM1805" s="65" t="n">
        <f aca="false">IF(AL1805="",0,MAX(0,MIN(1,(IF(BY1805="L1",Parameter!$E$5,Parameter!$E$6+Parameter!$E$7)-(AL1805-AH1805))/AH1805)))</f>
        <v>0</v>
      </c>
      <c r="AN1805" s="57" t="n">
        <f aca="false">IF(LEFT(Cockpit!$I$5,1)="A",H1805,IF(CA1805=1,CB1805,IF(LEFT(Cockpit!$I$5,1)="B",AR1805,MAX(AR1805,H1805))))</f>
        <v>0</v>
      </c>
      <c r="AO1805" s="57" t="n">
        <f aca="false">IF(BT1805=1,0,ROUNDUP(AN1805/BS1805,0))</f>
        <v>0</v>
      </c>
      <c r="AP1805" s="59" t="n">
        <f aca="false">IF(CH1805&gt;0,CH1805*MAX(1,AN1805/X1805),IF(BT1805=1,IF(AN1805&lt;=0,0,BW1805*MAX(1,IF(H1805&gt;0,AN1805/H1805,1))),IF(R1805&gt;0,AO1805/R1805,0))/MAX(0.1,N(Parameter!$M$21)))</f>
        <v>0</v>
      </c>
      <c r="AQ1805" s="57" t="n">
        <f aca="false">AN1805*G1805</f>
        <v>0</v>
      </c>
      <c r="AR1805" s="57" t="n">
        <f aca="false">ROUNDUP(MAX(J1805/IF(BZ1805&gt;0,BZ1805,MAX(0.1,N(Cockpit!$I$6))),CC1805)/BS1805,0)*BS1805</f>
        <v>0</v>
      </c>
      <c r="AS1805" s="58" t="n">
        <f aca="false">IF(AP1805&gt;0,J1805/AP1805,-1)</f>
        <v>-1</v>
      </c>
      <c r="AT1805" s="58" t="str">
        <f aca="false">IF(AND(OR(BY1805="L1",BY1805="L23"),AP1805&gt;0),SUMIFS($AP$7:$AP$1843,$BY$7:$BY$1843,BY1805,$AS$7:$AS$1843,"&gt;"&amp;AS1805)+SUMIFS($AP$7:$AP$1843,$BY$7:$BY$1843,BY1805,$AS$7:$AS$1843,AS1805,$BQ$7:$BQ$1843,"&lt;="&amp;BQ1805),"")</f>
        <v/>
      </c>
      <c r="AU1805" s="65" t="n">
        <f aca="false">IF(AT1805="",0,MAX(0,MIN(1,(IF(BY1805="L1",Parameter!$E$5,Parameter!$E$6+Parameter!$E$7)-(AT1805-AP1805))/AP1805)))</f>
        <v>0</v>
      </c>
      <c r="AV1805" s="57" t="n">
        <f aca="false">IF(LEFT(Cockpit!$O$5,1)="A",H1805,IF(CA1805=1,CB1805,IF(LEFT(Cockpit!$O$5,1)="B",AZ1805,MAX(AZ1805,H1805))))</f>
        <v>0</v>
      </c>
      <c r="AW1805" s="57" t="n">
        <f aca="false">IF(BT1805=1,0,ROUNDUP(AV1805/BS1805,0))</f>
        <v>0</v>
      </c>
      <c r="AX1805" s="59" t="n">
        <f aca="false">IF(CH1805&gt;0,CH1805*MAX(1,AV1805/X1805),IF(BT1805=1,IF(AV1805&lt;=0,0,BW1805*MAX(1,IF(H1805&gt;0,AV1805/H1805,1))),IF(R1805&gt;0,AW1805/R1805,0))/MAX(0.1,N(Parameter!$M$21)))</f>
        <v>0</v>
      </c>
      <c r="AY1805" s="57" t="n">
        <f aca="false">AV1805*G1805</f>
        <v>0</v>
      </c>
      <c r="AZ1805" s="57" t="n">
        <f aca="false">ROUNDUP(MAX(J1805/IF(BZ1805&gt;0,BZ1805,MAX(0.1,N(Cockpit!$O$6))),CC1805)/BS1805,0)*BS1805</f>
        <v>0</v>
      </c>
      <c r="BA1805" s="58" t="n">
        <f aca="false">IF(AX1805&gt;0,J1805/AX1805,-1)</f>
        <v>-1</v>
      </c>
      <c r="BB1805" s="58" t="str">
        <f aca="false">IF(AND(OR(BY1805="L1",BY1805="L23"),AX1805&gt;0),SUMIFS($AX$7:$AX$1843,$BY$7:$BY$1843,BY1805,$BA$7:$BA$1843,"&gt;"&amp;BA1805)+SUMIFS($AX$7:$AX$1843,$BY$7:$BY$1843,BY1805,$BA$7:$BA$1843,BA1805,$BQ$7:$BQ$1843,"&lt;="&amp;BQ1805),"")</f>
        <v/>
      </c>
      <c r="BC1805" s="65" t="n">
        <f aca="false">IF(BB1805="",0,MAX(0,MIN(1,(IF(BY1805="L1",Parameter!$E$5,Parameter!$E$6+Parameter!$E$7)-(BB1805-AX1805))/AX1805)))</f>
        <v>0</v>
      </c>
      <c r="BD1805" s="55" t="str">
        <f aca="false">IF(AH1805&lt;=0,"",IF(BY1805="Aussen","Aussenlager",IF(BY1805="-","Nicht im Lift",IF(AM1805&gt;=1,"Lift",IF(AM1805&lt;=0,"Aussenlager","teilweise")))))</f>
        <v/>
      </c>
      <c r="BE1805" s="55" t="str">
        <f aca="false">IF(AP1805&lt;=0,"",IF(BY1805="Aussen","Aussenlager",IF(BY1805="-","Nicht im Lift",IF(AU1805&gt;=1,"Lift",IF(AU1805&lt;=0,"Aussenlager","teilweise")))))</f>
        <v/>
      </c>
      <c r="BF1805" s="55" t="str">
        <f aca="false">IF(AX1805&lt;=0,"",IF(BY1805="Aussen","Aussenlager",IF(BY1805="-","Nicht im Lift",IF(BC1805&gt;=1,"Lift",IF(BC1805&lt;=0,"Aussenlager","teilweise")))))</f>
        <v/>
      </c>
      <c r="BG1805" s="55" t="str">
        <f aca="false">IF(A1805="","",IF(BP1805=1,"Neu; ","")&amp;IF(AND(BP1805=0,BK1805&lt;0),"negativer Bestand (Export "&amp;BK1805&amp;"); ","")&amp;IF(J1805&lt;=0,"Kein Verbrauch; ","")&amp;IF(CH1805&gt;0,"Lift "&amp;W1805&amp;" lt. Liftbericht (Fach "&amp;X1805&amp;" Stk); ",IF(BU1805=1,"Gebinde geschätzt ("&amp;T1805&amp;"); ",IF(BT1805=1,"Lose – Tablare geschätzt; ","")))&amp;IF(H1805&gt;AR1805,"Überbestand "&amp;ROUND(H1805-AR1805,0)&amp;" Stk / CHF "&amp;ROUND((H1805-AR1805)*G1805,0)&amp;"; ","")&amp;IF(AND(CA1805=1,CB1805&lt;CC1805),"MAX &lt; MB+LG; ","")&amp;IF(AND(CG1805&gt;0,CF1805*10&gt;CG1805),"zu hoch für Tablar; ","")&amp;IF(AND(BP1805=0,OR(CA1805=1,AA1805&lt;&gt;"",U1805&lt;&gt;"",V1805&lt;&gt;"",AB1805&lt;&gt;"")),"manuell übersteuert; ","")&amp;IF(AND(BT1805=0,R1805=0),"Gebinde unbekannt / Stellmass fehlt; ","")&amp;IF(AND(BT1805=0,N(V1805)&lt;=0,N(Q1805)&lt;=0),"Menge pro Gebinde fehlt (Ist = 1 Gebinde); ","")&amp;BO1805)</f>
        <v/>
      </c>
      <c r="BH1805" s="55"/>
      <c r="BI1805" s="55"/>
      <c r="BJ1805" s="62"/>
      <c r="BK1805" s="57" t="n">
        <f aca="false">N('Neue Artikel'!$D$66)</f>
        <v>0</v>
      </c>
      <c r="BL1805" s="57" t="n">
        <v>0</v>
      </c>
      <c r="BM1805" s="56" t="n">
        <v>0</v>
      </c>
      <c r="BN1805" s="57" t="n">
        <f aca="false">N('Neue Artikel'!$C$66)/Parameter!$B$18</f>
        <v>0</v>
      </c>
      <c r="BO1805" s="55"/>
      <c r="BP1805" s="60" t="n">
        <v>1</v>
      </c>
      <c r="BQ1805" s="60" t="n">
        <v>1805</v>
      </c>
      <c r="BR1805" s="55" t="str">
        <f aca="false">IF(U1805&lt;&gt;"",UPPER(TRIM(U1805)),IF(BU1805=1,UPPER(VLOOKUP(T1805,Parameter!$I$27:$K$29,2,0)),IF(P1805="","LOSE",P1805)))</f>
        <v>LOSE</v>
      </c>
      <c r="BS1805" s="57" t="n">
        <f aca="false">IF(BR1805="LOSE",1,IF(N(V1805)&gt;0,V1805,IF(BU1805=1,MAX(1,N(VLOOKUP(T1805,Parameter!$I$27:$K$29,3,0)),H1805,N(N1805)),IF(N(Q1805)&gt;0,Q1805,MAX(1,H1805)))))</f>
        <v>1</v>
      </c>
      <c r="BT1805" s="60" t="n">
        <f aca="false">IF(BR1805="LOSE",1,0)</f>
        <v>1</v>
      </c>
      <c r="BU1805" s="60" t="n">
        <f aca="false">IF(AND(U1805="",OR(P1805="",P1805="LOSE"),T1805&lt;&gt;"",N(S1805)&lt;=0,ISNUMBER(MATCH(T1805,Parameter!$I$27:$I$29,0))),1,0)</f>
        <v>0</v>
      </c>
      <c r="BV1805" s="55" t="str">
        <f aca="false">IF(AND(Parameter!$B$19="Ja",E1805&lt;&gt;"",ISNUMBER(MATCH(E1805,Parameter!$I$35:$I$52,0))),VLOOKUP(E1805,Parameter!$I$35:$J$52,2,0),IFERROR(VLOOKUP(D1805,Parameter!$A$35:$C$64,2,0),"Nein"))</f>
        <v>2+3</v>
      </c>
      <c r="BW1805" s="59" t="n">
        <f aca="false">IF(BT1805=0,0,IF(N(S1805)&gt;0,S1805,IFERROR(VLOOKUP(D1805,Parameter!$A$35:$C$64,3,0)+0,0)))</f>
        <v>0.15</v>
      </c>
      <c r="BX1805" s="55" t="str">
        <f aca="false">IF(AA1805&lt;&gt;"",AA1805,Z1805)</f>
        <v/>
      </c>
      <c r="BY1805" s="55" t="str">
        <f aca="false">IF(BX1805=1,"L1",IF(OR(BX1805=2,BX1805=3),"L23",IF(BX1805="Aussen","Aussen","-")))</f>
        <v>-</v>
      </c>
      <c r="BZ1805" s="66" t="n">
        <f aca="false">IF(N(AB1805)&gt;0,AB1805,0)</f>
        <v>0</v>
      </c>
      <c r="CA1805" s="60" t="n">
        <f aca="false">IF(ISNUMBER(AE1805),1,0)</f>
        <v>0</v>
      </c>
      <c r="CB1805" s="57" t="n">
        <f aca="false">N(AE1805)</f>
        <v>0</v>
      </c>
      <c r="CC1805" s="57" t="n">
        <f aca="false">N(M1805)+N(N1805)</f>
        <v>0</v>
      </c>
      <c r="CD1805" s="57" t="n">
        <f aca="false">ROUNDUP(H1805/BS1805,0)</f>
        <v>0</v>
      </c>
      <c r="CE1805" s="57" t="n">
        <f aca="false">ROUNDUP(CB1805/BS1805,0)</f>
        <v>0</v>
      </c>
      <c r="CF1805" s="60" t="n">
        <f aca="false">IF(BT1805=1,0,IFERROR(VLOOKUP(BR1805,'Gebinde-Kategorie'!$A$5:$M$45,5,0)+0,0))</f>
        <v>0</v>
      </c>
      <c r="CG1805" s="60" t="n">
        <f aca="false">IFERROR(IF(OR(BX1805=1,BX1805=2,BX1805=3),N(INDEX(Parameter!$I$5:$I$7,BX1805)),0),0)</f>
        <v>0</v>
      </c>
      <c r="CH1805" s="59" t="n">
        <f aca="false">IF(AND(Parameter!$B$21="Ja",ISNUMBER(W1805),N(X1805)&gt;0),IFERROR(N(INDEX(Parameter!$L$5:$L$7,W1805))*INDEX(Parameter!$E$5:$E$7,W1805)*X1805/SUMIFS($X$7:$X$1843,$W$7:$W$1843,W1805),0),0)</f>
        <v>0</v>
      </c>
    </row>
    <row r="1806" customFormat="false" ht="15" hidden="false" customHeight="false" outlineLevel="0" collapsed="false">
      <c r="A1806" s="55" t="str">
        <f aca="false">IF('Neue Artikel'!$A$67="","",'Neue Artikel'!$A$67&amp;"")</f>
        <v/>
      </c>
      <c r="B1806" s="55" t="str">
        <f aca="false">'Neue Artikel'!$B$67&amp;""</f>
        <v/>
      </c>
      <c r="C1806" s="55"/>
      <c r="D1806" s="55" t="s">
        <v>3015</v>
      </c>
      <c r="E1806" s="55"/>
      <c r="F1806" s="55"/>
      <c r="G1806" s="56" t="n">
        <f aca="false">N('Neue Artikel'!$G$67)</f>
        <v>0</v>
      </c>
      <c r="H1806" s="57" t="n">
        <f aca="false">MAX(0,IF(AND(Parameter!$B$21="Ja",ISNUMBER(Y1806)),Y1806,IF(Parameter!$B$20="Jahresanfang 2025 + Export",BL1806+BK1806,BK1806)))</f>
        <v>0</v>
      </c>
      <c r="I1806" s="57" t="n">
        <f aca="false">H1806*G1806</f>
        <v>0</v>
      </c>
      <c r="J1806" s="57" t="n">
        <f aca="false">BN1806*Parameter!$B$18</f>
        <v>0</v>
      </c>
      <c r="K1806" s="58"/>
      <c r="L1806" s="59"/>
      <c r="M1806" s="57" t="n">
        <f aca="false">N('Neue Artikel'!$E$67)</f>
        <v>0</v>
      </c>
      <c r="N1806" s="57" t="n">
        <f aca="false">N('Neue Artikel'!$F$67)</f>
        <v>0</v>
      </c>
      <c r="O1806" s="60"/>
      <c r="P1806" s="55" t="str">
        <f aca="false">IF('Neue Artikel'!$H$67="","LOSE",UPPER(TRIM('Neue Artikel'!$H$67)))</f>
        <v>LOSE</v>
      </c>
      <c r="Q1806" s="57" t="n">
        <f aca="false">N('Neue Artikel'!$I$67)</f>
        <v>0</v>
      </c>
      <c r="R1806" s="60" t="n">
        <f aca="false">IF(BT1806=1,0,IFERROR(VLOOKUP(BR1806,'Gebinde-Kategorie'!$A$5:$M$45,13,0)+0,0))</f>
        <v>0</v>
      </c>
      <c r="S1806" s="61"/>
      <c r="T1806" s="62"/>
      <c r="U1806" s="62"/>
      <c r="V1806" s="62"/>
      <c r="W1806" s="55"/>
      <c r="X1806" s="57"/>
      <c r="Y1806" s="57"/>
      <c r="Z1806" s="55" t="str">
        <f aca="false">IF(A1806="","",IF(AND(Parameter!$B$21="Ja",ISNUMBER(W1806)),W1806,IF(BV1806="2+3",IF(ISNUMBER(SEARCH("grosser Artikel",BO1806)),2,IFERROR(VLOOKUP(BR1806,Parameter!$F$35:$G$64,2,0),2)),IF(OR(BV1806="Nein",BV1806=""),"-",BV1806))))</f>
        <v/>
      </c>
      <c r="AA1806" s="55" t="str">
        <f aca="false">IF('Neue Artikel'!$J$67="","",'Neue Artikel'!$J$67)</f>
        <v/>
      </c>
      <c r="AB1806" s="63"/>
      <c r="AC1806" s="57" t="n">
        <f aca="false">AR1806</f>
        <v>0</v>
      </c>
      <c r="AD1806" s="57" t="n">
        <f aca="false">MAX(AR1806,H1806)</f>
        <v>0</v>
      </c>
      <c r="AE1806" s="64"/>
      <c r="AF1806" s="57" t="n">
        <f aca="false">IF(LEFT(Cockpit!$C$5,1)="A",H1806,IF(CA1806=1,CB1806,IF(LEFT(Cockpit!$C$5,1)="B",AJ1806,MAX(AJ1806,H1806))))</f>
        <v>0</v>
      </c>
      <c r="AG1806" s="57" t="n">
        <f aca="false">IF(BT1806=1,0,ROUNDUP(AF1806/BS1806,0))</f>
        <v>0</v>
      </c>
      <c r="AH1806" s="59" t="n">
        <f aca="false">IF(CH1806&gt;0,CH1806*MAX(1,AF1806/X1806),IF(BT1806=1,IF(AF1806&lt;=0,0,BW1806*MAX(1,IF(H1806&gt;0,AF1806/H1806,1))),IF(R1806&gt;0,AG1806/R1806,0))/MAX(0.1,N(Parameter!$M$21)))</f>
        <v>0</v>
      </c>
      <c r="AI1806" s="57" t="n">
        <f aca="false">AF1806*G1806</f>
        <v>0</v>
      </c>
      <c r="AJ1806" s="57" t="n">
        <f aca="false">ROUNDUP(MAX(J1806/IF(BZ1806&gt;0,BZ1806,MAX(0.1,N(Cockpit!$C$6))),CC1806)/BS1806,0)*BS1806</f>
        <v>0</v>
      </c>
      <c r="AK1806" s="58" t="n">
        <f aca="false">IF(AH1806&gt;0,J1806/AH1806,-1)</f>
        <v>-1</v>
      </c>
      <c r="AL1806" s="58" t="str">
        <f aca="false">IF(AND(OR(BY1806="L1",BY1806="L23"),AH1806&gt;0),SUMIFS($AH$7:$AH$1843,$BY$7:$BY$1843,BY1806,$AK$7:$AK$1843,"&gt;"&amp;AK1806)+SUMIFS($AH$7:$AH$1843,$BY$7:$BY$1843,BY1806,$AK$7:$AK$1843,AK1806,$BQ$7:$BQ$1843,"&lt;="&amp;BQ1806),"")</f>
        <v/>
      </c>
      <c r="AM1806" s="65" t="n">
        <f aca="false">IF(AL1806="",0,MAX(0,MIN(1,(IF(BY1806="L1",Parameter!$E$5,Parameter!$E$6+Parameter!$E$7)-(AL1806-AH1806))/AH1806)))</f>
        <v>0</v>
      </c>
      <c r="AN1806" s="57" t="n">
        <f aca="false">IF(LEFT(Cockpit!$I$5,1)="A",H1806,IF(CA1806=1,CB1806,IF(LEFT(Cockpit!$I$5,1)="B",AR1806,MAX(AR1806,H1806))))</f>
        <v>0</v>
      </c>
      <c r="AO1806" s="57" t="n">
        <f aca="false">IF(BT1806=1,0,ROUNDUP(AN1806/BS1806,0))</f>
        <v>0</v>
      </c>
      <c r="AP1806" s="59" t="n">
        <f aca="false">IF(CH1806&gt;0,CH1806*MAX(1,AN1806/X1806),IF(BT1806=1,IF(AN1806&lt;=0,0,BW1806*MAX(1,IF(H1806&gt;0,AN1806/H1806,1))),IF(R1806&gt;0,AO1806/R1806,0))/MAX(0.1,N(Parameter!$M$21)))</f>
        <v>0</v>
      </c>
      <c r="AQ1806" s="57" t="n">
        <f aca="false">AN1806*G1806</f>
        <v>0</v>
      </c>
      <c r="AR1806" s="57" t="n">
        <f aca="false">ROUNDUP(MAX(J1806/IF(BZ1806&gt;0,BZ1806,MAX(0.1,N(Cockpit!$I$6))),CC1806)/BS1806,0)*BS1806</f>
        <v>0</v>
      </c>
      <c r="AS1806" s="58" t="n">
        <f aca="false">IF(AP1806&gt;0,J1806/AP1806,-1)</f>
        <v>-1</v>
      </c>
      <c r="AT1806" s="58" t="str">
        <f aca="false">IF(AND(OR(BY1806="L1",BY1806="L23"),AP1806&gt;0),SUMIFS($AP$7:$AP$1843,$BY$7:$BY$1843,BY1806,$AS$7:$AS$1843,"&gt;"&amp;AS1806)+SUMIFS($AP$7:$AP$1843,$BY$7:$BY$1843,BY1806,$AS$7:$AS$1843,AS1806,$BQ$7:$BQ$1843,"&lt;="&amp;BQ1806),"")</f>
        <v/>
      </c>
      <c r="AU1806" s="65" t="n">
        <f aca="false">IF(AT1806="",0,MAX(0,MIN(1,(IF(BY1806="L1",Parameter!$E$5,Parameter!$E$6+Parameter!$E$7)-(AT1806-AP1806))/AP1806)))</f>
        <v>0</v>
      </c>
      <c r="AV1806" s="57" t="n">
        <f aca="false">IF(LEFT(Cockpit!$O$5,1)="A",H1806,IF(CA1806=1,CB1806,IF(LEFT(Cockpit!$O$5,1)="B",AZ1806,MAX(AZ1806,H1806))))</f>
        <v>0</v>
      </c>
      <c r="AW1806" s="57" t="n">
        <f aca="false">IF(BT1806=1,0,ROUNDUP(AV1806/BS1806,0))</f>
        <v>0</v>
      </c>
      <c r="AX1806" s="59" t="n">
        <f aca="false">IF(CH1806&gt;0,CH1806*MAX(1,AV1806/X1806),IF(BT1806=1,IF(AV1806&lt;=0,0,BW1806*MAX(1,IF(H1806&gt;0,AV1806/H1806,1))),IF(R1806&gt;0,AW1806/R1806,0))/MAX(0.1,N(Parameter!$M$21)))</f>
        <v>0</v>
      </c>
      <c r="AY1806" s="57" t="n">
        <f aca="false">AV1806*G1806</f>
        <v>0</v>
      </c>
      <c r="AZ1806" s="57" t="n">
        <f aca="false">ROUNDUP(MAX(J1806/IF(BZ1806&gt;0,BZ1806,MAX(0.1,N(Cockpit!$O$6))),CC1806)/BS1806,0)*BS1806</f>
        <v>0</v>
      </c>
      <c r="BA1806" s="58" t="n">
        <f aca="false">IF(AX1806&gt;0,J1806/AX1806,-1)</f>
        <v>-1</v>
      </c>
      <c r="BB1806" s="58" t="str">
        <f aca="false">IF(AND(OR(BY1806="L1",BY1806="L23"),AX1806&gt;0),SUMIFS($AX$7:$AX$1843,$BY$7:$BY$1843,BY1806,$BA$7:$BA$1843,"&gt;"&amp;BA1806)+SUMIFS($AX$7:$AX$1843,$BY$7:$BY$1843,BY1806,$BA$7:$BA$1843,BA1806,$BQ$7:$BQ$1843,"&lt;="&amp;BQ1806),"")</f>
        <v/>
      </c>
      <c r="BC1806" s="65" t="n">
        <f aca="false">IF(BB1806="",0,MAX(0,MIN(1,(IF(BY1806="L1",Parameter!$E$5,Parameter!$E$6+Parameter!$E$7)-(BB1806-AX1806))/AX1806)))</f>
        <v>0</v>
      </c>
      <c r="BD1806" s="55" t="str">
        <f aca="false">IF(AH1806&lt;=0,"",IF(BY1806="Aussen","Aussenlager",IF(BY1806="-","Nicht im Lift",IF(AM1806&gt;=1,"Lift",IF(AM1806&lt;=0,"Aussenlager","teilweise")))))</f>
        <v/>
      </c>
      <c r="BE1806" s="55" t="str">
        <f aca="false">IF(AP1806&lt;=0,"",IF(BY1806="Aussen","Aussenlager",IF(BY1806="-","Nicht im Lift",IF(AU1806&gt;=1,"Lift",IF(AU1806&lt;=0,"Aussenlager","teilweise")))))</f>
        <v/>
      </c>
      <c r="BF1806" s="55" t="str">
        <f aca="false">IF(AX1806&lt;=0,"",IF(BY1806="Aussen","Aussenlager",IF(BY1806="-","Nicht im Lift",IF(BC1806&gt;=1,"Lift",IF(BC1806&lt;=0,"Aussenlager","teilweise")))))</f>
        <v/>
      </c>
      <c r="BG1806" s="55" t="str">
        <f aca="false">IF(A1806="","",IF(BP1806=1,"Neu; ","")&amp;IF(AND(BP1806=0,BK1806&lt;0),"negativer Bestand (Export "&amp;BK1806&amp;"); ","")&amp;IF(J1806&lt;=0,"Kein Verbrauch; ","")&amp;IF(CH1806&gt;0,"Lift "&amp;W1806&amp;" lt. Liftbericht (Fach "&amp;X1806&amp;" Stk); ",IF(BU1806=1,"Gebinde geschätzt ("&amp;T1806&amp;"); ",IF(BT1806=1,"Lose – Tablare geschätzt; ","")))&amp;IF(H1806&gt;AR1806,"Überbestand "&amp;ROUND(H1806-AR1806,0)&amp;" Stk / CHF "&amp;ROUND((H1806-AR1806)*G1806,0)&amp;"; ","")&amp;IF(AND(CA1806=1,CB1806&lt;CC1806),"MAX &lt; MB+LG; ","")&amp;IF(AND(CG1806&gt;0,CF1806*10&gt;CG1806),"zu hoch für Tablar; ","")&amp;IF(AND(BP1806=0,OR(CA1806=1,AA1806&lt;&gt;"",U1806&lt;&gt;"",V1806&lt;&gt;"",AB1806&lt;&gt;"")),"manuell übersteuert; ","")&amp;IF(AND(BT1806=0,R1806=0),"Gebinde unbekannt / Stellmass fehlt; ","")&amp;IF(AND(BT1806=0,N(V1806)&lt;=0,N(Q1806)&lt;=0),"Menge pro Gebinde fehlt (Ist = 1 Gebinde); ","")&amp;BO1806)</f>
        <v/>
      </c>
      <c r="BH1806" s="55"/>
      <c r="BI1806" s="55"/>
      <c r="BJ1806" s="62"/>
      <c r="BK1806" s="57" t="n">
        <f aca="false">N('Neue Artikel'!$D$67)</f>
        <v>0</v>
      </c>
      <c r="BL1806" s="57" t="n">
        <v>0</v>
      </c>
      <c r="BM1806" s="56" t="n">
        <v>0</v>
      </c>
      <c r="BN1806" s="57" t="n">
        <f aca="false">N('Neue Artikel'!$C$67)/Parameter!$B$18</f>
        <v>0</v>
      </c>
      <c r="BO1806" s="55"/>
      <c r="BP1806" s="60" t="n">
        <v>1</v>
      </c>
      <c r="BQ1806" s="60" t="n">
        <v>1806</v>
      </c>
      <c r="BR1806" s="55" t="str">
        <f aca="false">IF(U1806&lt;&gt;"",UPPER(TRIM(U1806)),IF(BU1806=1,UPPER(VLOOKUP(T1806,Parameter!$I$27:$K$29,2,0)),IF(P1806="","LOSE",P1806)))</f>
        <v>LOSE</v>
      </c>
      <c r="BS1806" s="57" t="n">
        <f aca="false">IF(BR1806="LOSE",1,IF(N(V1806)&gt;0,V1806,IF(BU1806=1,MAX(1,N(VLOOKUP(T1806,Parameter!$I$27:$K$29,3,0)),H1806,N(N1806)),IF(N(Q1806)&gt;0,Q1806,MAX(1,H1806)))))</f>
        <v>1</v>
      </c>
      <c r="BT1806" s="60" t="n">
        <f aca="false">IF(BR1806="LOSE",1,0)</f>
        <v>1</v>
      </c>
      <c r="BU1806" s="60" t="n">
        <f aca="false">IF(AND(U1806="",OR(P1806="",P1806="LOSE"),T1806&lt;&gt;"",N(S1806)&lt;=0,ISNUMBER(MATCH(T1806,Parameter!$I$27:$I$29,0))),1,0)</f>
        <v>0</v>
      </c>
      <c r="BV1806" s="55" t="str">
        <f aca="false">IF(AND(Parameter!$B$19="Ja",E1806&lt;&gt;"",ISNUMBER(MATCH(E1806,Parameter!$I$35:$I$52,0))),VLOOKUP(E1806,Parameter!$I$35:$J$52,2,0),IFERROR(VLOOKUP(D1806,Parameter!$A$35:$C$64,2,0),"Nein"))</f>
        <v>2+3</v>
      </c>
      <c r="BW1806" s="59" t="n">
        <f aca="false">IF(BT1806=0,0,IF(N(S1806)&gt;0,S1806,IFERROR(VLOOKUP(D1806,Parameter!$A$35:$C$64,3,0)+0,0)))</f>
        <v>0.15</v>
      </c>
      <c r="BX1806" s="55" t="str">
        <f aca="false">IF(AA1806&lt;&gt;"",AA1806,Z1806)</f>
        <v/>
      </c>
      <c r="BY1806" s="55" t="str">
        <f aca="false">IF(BX1806=1,"L1",IF(OR(BX1806=2,BX1806=3),"L23",IF(BX1806="Aussen","Aussen","-")))</f>
        <v>-</v>
      </c>
      <c r="BZ1806" s="66" t="n">
        <f aca="false">IF(N(AB1806)&gt;0,AB1806,0)</f>
        <v>0</v>
      </c>
      <c r="CA1806" s="60" t="n">
        <f aca="false">IF(ISNUMBER(AE1806),1,0)</f>
        <v>0</v>
      </c>
      <c r="CB1806" s="57" t="n">
        <f aca="false">N(AE1806)</f>
        <v>0</v>
      </c>
      <c r="CC1806" s="57" t="n">
        <f aca="false">N(M1806)+N(N1806)</f>
        <v>0</v>
      </c>
      <c r="CD1806" s="57" t="n">
        <f aca="false">ROUNDUP(H1806/BS1806,0)</f>
        <v>0</v>
      </c>
      <c r="CE1806" s="57" t="n">
        <f aca="false">ROUNDUP(CB1806/BS1806,0)</f>
        <v>0</v>
      </c>
      <c r="CF1806" s="60" t="n">
        <f aca="false">IF(BT1806=1,0,IFERROR(VLOOKUP(BR1806,'Gebinde-Kategorie'!$A$5:$M$45,5,0)+0,0))</f>
        <v>0</v>
      </c>
      <c r="CG1806" s="60" t="n">
        <f aca="false">IFERROR(IF(OR(BX1806=1,BX1806=2,BX1806=3),N(INDEX(Parameter!$I$5:$I$7,BX1806)),0),0)</f>
        <v>0</v>
      </c>
      <c r="CH1806" s="59" t="n">
        <f aca="false">IF(AND(Parameter!$B$21="Ja",ISNUMBER(W1806),N(X1806)&gt;0),IFERROR(N(INDEX(Parameter!$L$5:$L$7,W1806))*INDEX(Parameter!$E$5:$E$7,W1806)*X1806/SUMIFS($X$7:$X$1843,$W$7:$W$1843,W1806),0),0)</f>
        <v>0</v>
      </c>
    </row>
    <row r="1807" customFormat="false" ht="15" hidden="false" customHeight="false" outlineLevel="0" collapsed="false">
      <c r="A1807" s="55" t="str">
        <f aca="false">IF('Neue Artikel'!$A$68="","",'Neue Artikel'!$A$68&amp;"")</f>
        <v/>
      </c>
      <c r="B1807" s="55" t="str">
        <f aca="false">'Neue Artikel'!$B$68&amp;""</f>
        <v/>
      </c>
      <c r="C1807" s="55"/>
      <c r="D1807" s="55" t="s">
        <v>3015</v>
      </c>
      <c r="E1807" s="55"/>
      <c r="F1807" s="55"/>
      <c r="G1807" s="56" t="n">
        <f aca="false">N('Neue Artikel'!$G$68)</f>
        <v>0</v>
      </c>
      <c r="H1807" s="57" t="n">
        <f aca="false">MAX(0,IF(AND(Parameter!$B$21="Ja",ISNUMBER(Y1807)),Y1807,IF(Parameter!$B$20="Jahresanfang 2025 + Export",BL1807+BK1807,BK1807)))</f>
        <v>0</v>
      </c>
      <c r="I1807" s="57" t="n">
        <f aca="false">H1807*G1807</f>
        <v>0</v>
      </c>
      <c r="J1807" s="57" t="n">
        <f aca="false">BN1807*Parameter!$B$18</f>
        <v>0</v>
      </c>
      <c r="K1807" s="58"/>
      <c r="L1807" s="59"/>
      <c r="M1807" s="57" t="n">
        <f aca="false">N('Neue Artikel'!$E$68)</f>
        <v>0</v>
      </c>
      <c r="N1807" s="57" t="n">
        <f aca="false">N('Neue Artikel'!$F$68)</f>
        <v>0</v>
      </c>
      <c r="O1807" s="60"/>
      <c r="P1807" s="55" t="str">
        <f aca="false">IF('Neue Artikel'!$H$68="","LOSE",UPPER(TRIM('Neue Artikel'!$H$68)))</f>
        <v>LOSE</v>
      </c>
      <c r="Q1807" s="57" t="n">
        <f aca="false">N('Neue Artikel'!$I$68)</f>
        <v>0</v>
      </c>
      <c r="R1807" s="60" t="n">
        <f aca="false">IF(BT1807=1,0,IFERROR(VLOOKUP(BR1807,'Gebinde-Kategorie'!$A$5:$M$45,13,0)+0,0))</f>
        <v>0</v>
      </c>
      <c r="S1807" s="61"/>
      <c r="T1807" s="62"/>
      <c r="U1807" s="62"/>
      <c r="V1807" s="62"/>
      <c r="W1807" s="55"/>
      <c r="X1807" s="57"/>
      <c r="Y1807" s="57"/>
      <c r="Z1807" s="55" t="str">
        <f aca="false">IF(A1807="","",IF(AND(Parameter!$B$21="Ja",ISNUMBER(W1807)),W1807,IF(BV1807="2+3",IF(ISNUMBER(SEARCH("grosser Artikel",BO1807)),2,IFERROR(VLOOKUP(BR1807,Parameter!$F$35:$G$64,2,0),2)),IF(OR(BV1807="Nein",BV1807=""),"-",BV1807))))</f>
        <v/>
      </c>
      <c r="AA1807" s="55" t="str">
        <f aca="false">IF('Neue Artikel'!$J$68="","",'Neue Artikel'!$J$68)</f>
        <v/>
      </c>
      <c r="AB1807" s="63"/>
      <c r="AC1807" s="57" t="n">
        <f aca="false">AR1807</f>
        <v>0</v>
      </c>
      <c r="AD1807" s="57" t="n">
        <f aca="false">MAX(AR1807,H1807)</f>
        <v>0</v>
      </c>
      <c r="AE1807" s="64"/>
      <c r="AF1807" s="57" t="n">
        <f aca="false">IF(LEFT(Cockpit!$C$5,1)="A",H1807,IF(CA1807=1,CB1807,IF(LEFT(Cockpit!$C$5,1)="B",AJ1807,MAX(AJ1807,H1807))))</f>
        <v>0</v>
      </c>
      <c r="AG1807" s="57" t="n">
        <f aca="false">IF(BT1807=1,0,ROUNDUP(AF1807/BS1807,0))</f>
        <v>0</v>
      </c>
      <c r="AH1807" s="59" t="n">
        <f aca="false">IF(CH1807&gt;0,CH1807*MAX(1,AF1807/X1807),IF(BT1807=1,IF(AF1807&lt;=0,0,BW1807*MAX(1,IF(H1807&gt;0,AF1807/H1807,1))),IF(R1807&gt;0,AG1807/R1807,0))/MAX(0.1,N(Parameter!$M$21)))</f>
        <v>0</v>
      </c>
      <c r="AI1807" s="57" t="n">
        <f aca="false">AF1807*G1807</f>
        <v>0</v>
      </c>
      <c r="AJ1807" s="57" t="n">
        <f aca="false">ROUNDUP(MAX(J1807/IF(BZ1807&gt;0,BZ1807,MAX(0.1,N(Cockpit!$C$6))),CC1807)/BS1807,0)*BS1807</f>
        <v>0</v>
      </c>
      <c r="AK1807" s="58" t="n">
        <f aca="false">IF(AH1807&gt;0,J1807/AH1807,-1)</f>
        <v>-1</v>
      </c>
      <c r="AL1807" s="58" t="str">
        <f aca="false">IF(AND(OR(BY1807="L1",BY1807="L23"),AH1807&gt;0),SUMIFS($AH$7:$AH$1843,$BY$7:$BY$1843,BY1807,$AK$7:$AK$1843,"&gt;"&amp;AK1807)+SUMIFS($AH$7:$AH$1843,$BY$7:$BY$1843,BY1807,$AK$7:$AK$1843,AK1807,$BQ$7:$BQ$1843,"&lt;="&amp;BQ1807),"")</f>
        <v/>
      </c>
      <c r="AM1807" s="65" t="n">
        <f aca="false">IF(AL1807="",0,MAX(0,MIN(1,(IF(BY1807="L1",Parameter!$E$5,Parameter!$E$6+Parameter!$E$7)-(AL1807-AH1807))/AH1807)))</f>
        <v>0</v>
      </c>
      <c r="AN1807" s="57" t="n">
        <f aca="false">IF(LEFT(Cockpit!$I$5,1)="A",H1807,IF(CA1807=1,CB1807,IF(LEFT(Cockpit!$I$5,1)="B",AR1807,MAX(AR1807,H1807))))</f>
        <v>0</v>
      </c>
      <c r="AO1807" s="57" t="n">
        <f aca="false">IF(BT1807=1,0,ROUNDUP(AN1807/BS1807,0))</f>
        <v>0</v>
      </c>
      <c r="AP1807" s="59" t="n">
        <f aca="false">IF(CH1807&gt;0,CH1807*MAX(1,AN1807/X1807),IF(BT1807=1,IF(AN1807&lt;=0,0,BW1807*MAX(1,IF(H1807&gt;0,AN1807/H1807,1))),IF(R1807&gt;0,AO1807/R1807,0))/MAX(0.1,N(Parameter!$M$21)))</f>
        <v>0</v>
      </c>
      <c r="AQ1807" s="57" t="n">
        <f aca="false">AN1807*G1807</f>
        <v>0</v>
      </c>
      <c r="AR1807" s="57" t="n">
        <f aca="false">ROUNDUP(MAX(J1807/IF(BZ1807&gt;0,BZ1807,MAX(0.1,N(Cockpit!$I$6))),CC1807)/BS1807,0)*BS1807</f>
        <v>0</v>
      </c>
      <c r="AS1807" s="58" t="n">
        <f aca="false">IF(AP1807&gt;0,J1807/AP1807,-1)</f>
        <v>-1</v>
      </c>
      <c r="AT1807" s="58" t="str">
        <f aca="false">IF(AND(OR(BY1807="L1",BY1807="L23"),AP1807&gt;0),SUMIFS($AP$7:$AP$1843,$BY$7:$BY$1843,BY1807,$AS$7:$AS$1843,"&gt;"&amp;AS1807)+SUMIFS($AP$7:$AP$1843,$BY$7:$BY$1843,BY1807,$AS$7:$AS$1843,AS1807,$BQ$7:$BQ$1843,"&lt;="&amp;BQ1807),"")</f>
        <v/>
      </c>
      <c r="AU1807" s="65" t="n">
        <f aca="false">IF(AT1807="",0,MAX(0,MIN(1,(IF(BY1807="L1",Parameter!$E$5,Parameter!$E$6+Parameter!$E$7)-(AT1807-AP1807))/AP1807)))</f>
        <v>0</v>
      </c>
      <c r="AV1807" s="57" t="n">
        <f aca="false">IF(LEFT(Cockpit!$O$5,1)="A",H1807,IF(CA1807=1,CB1807,IF(LEFT(Cockpit!$O$5,1)="B",AZ1807,MAX(AZ1807,H1807))))</f>
        <v>0</v>
      </c>
      <c r="AW1807" s="57" t="n">
        <f aca="false">IF(BT1807=1,0,ROUNDUP(AV1807/BS1807,0))</f>
        <v>0</v>
      </c>
      <c r="AX1807" s="59" t="n">
        <f aca="false">IF(CH1807&gt;0,CH1807*MAX(1,AV1807/X1807),IF(BT1807=1,IF(AV1807&lt;=0,0,BW1807*MAX(1,IF(H1807&gt;0,AV1807/H1807,1))),IF(R1807&gt;0,AW1807/R1807,0))/MAX(0.1,N(Parameter!$M$21)))</f>
        <v>0</v>
      </c>
      <c r="AY1807" s="57" t="n">
        <f aca="false">AV1807*G1807</f>
        <v>0</v>
      </c>
      <c r="AZ1807" s="57" t="n">
        <f aca="false">ROUNDUP(MAX(J1807/IF(BZ1807&gt;0,BZ1807,MAX(0.1,N(Cockpit!$O$6))),CC1807)/BS1807,0)*BS1807</f>
        <v>0</v>
      </c>
      <c r="BA1807" s="58" t="n">
        <f aca="false">IF(AX1807&gt;0,J1807/AX1807,-1)</f>
        <v>-1</v>
      </c>
      <c r="BB1807" s="58" t="str">
        <f aca="false">IF(AND(OR(BY1807="L1",BY1807="L23"),AX1807&gt;0),SUMIFS($AX$7:$AX$1843,$BY$7:$BY$1843,BY1807,$BA$7:$BA$1843,"&gt;"&amp;BA1807)+SUMIFS($AX$7:$AX$1843,$BY$7:$BY$1843,BY1807,$BA$7:$BA$1843,BA1807,$BQ$7:$BQ$1843,"&lt;="&amp;BQ1807),"")</f>
        <v/>
      </c>
      <c r="BC1807" s="65" t="n">
        <f aca="false">IF(BB1807="",0,MAX(0,MIN(1,(IF(BY1807="L1",Parameter!$E$5,Parameter!$E$6+Parameter!$E$7)-(BB1807-AX1807))/AX1807)))</f>
        <v>0</v>
      </c>
      <c r="BD1807" s="55" t="str">
        <f aca="false">IF(AH1807&lt;=0,"",IF(BY1807="Aussen","Aussenlager",IF(BY1807="-","Nicht im Lift",IF(AM1807&gt;=1,"Lift",IF(AM1807&lt;=0,"Aussenlager","teilweise")))))</f>
        <v/>
      </c>
      <c r="BE1807" s="55" t="str">
        <f aca="false">IF(AP1807&lt;=0,"",IF(BY1807="Aussen","Aussenlager",IF(BY1807="-","Nicht im Lift",IF(AU1807&gt;=1,"Lift",IF(AU1807&lt;=0,"Aussenlager","teilweise")))))</f>
        <v/>
      </c>
      <c r="BF1807" s="55" t="str">
        <f aca="false">IF(AX1807&lt;=0,"",IF(BY1807="Aussen","Aussenlager",IF(BY1807="-","Nicht im Lift",IF(BC1807&gt;=1,"Lift",IF(BC1807&lt;=0,"Aussenlager","teilweise")))))</f>
        <v/>
      </c>
      <c r="BG1807" s="55" t="str">
        <f aca="false">IF(A1807="","",IF(BP1807=1,"Neu; ","")&amp;IF(AND(BP1807=0,BK1807&lt;0),"negativer Bestand (Export "&amp;BK1807&amp;"); ","")&amp;IF(J1807&lt;=0,"Kein Verbrauch; ","")&amp;IF(CH1807&gt;0,"Lift "&amp;W1807&amp;" lt. Liftbericht (Fach "&amp;X1807&amp;" Stk); ",IF(BU1807=1,"Gebinde geschätzt ("&amp;T1807&amp;"); ",IF(BT1807=1,"Lose – Tablare geschätzt; ","")))&amp;IF(H1807&gt;AR1807,"Überbestand "&amp;ROUND(H1807-AR1807,0)&amp;" Stk / CHF "&amp;ROUND((H1807-AR1807)*G1807,0)&amp;"; ","")&amp;IF(AND(CA1807=1,CB1807&lt;CC1807),"MAX &lt; MB+LG; ","")&amp;IF(AND(CG1807&gt;0,CF1807*10&gt;CG1807),"zu hoch für Tablar; ","")&amp;IF(AND(BP1807=0,OR(CA1807=1,AA1807&lt;&gt;"",U1807&lt;&gt;"",V1807&lt;&gt;"",AB1807&lt;&gt;"")),"manuell übersteuert; ","")&amp;IF(AND(BT1807=0,R1807=0),"Gebinde unbekannt / Stellmass fehlt; ","")&amp;IF(AND(BT1807=0,N(V1807)&lt;=0,N(Q1807)&lt;=0),"Menge pro Gebinde fehlt (Ist = 1 Gebinde); ","")&amp;BO1807)</f>
        <v/>
      </c>
      <c r="BH1807" s="55"/>
      <c r="BI1807" s="55"/>
      <c r="BJ1807" s="62"/>
      <c r="BK1807" s="57" t="n">
        <f aca="false">N('Neue Artikel'!$D$68)</f>
        <v>0</v>
      </c>
      <c r="BL1807" s="57" t="n">
        <v>0</v>
      </c>
      <c r="BM1807" s="56" t="n">
        <v>0</v>
      </c>
      <c r="BN1807" s="57" t="n">
        <f aca="false">N('Neue Artikel'!$C$68)/Parameter!$B$18</f>
        <v>0</v>
      </c>
      <c r="BO1807" s="55"/>
      <c r="BP1807" s="60" t="n">
        <v>1</v>
      </c>
      <c r="BQ1807" s="60" t="n">
        <v>1807</v>
      </c>
      <c r="BR1807" s="55" t="str">
        <f aca="false">IF(U1807&lt;&gt;"",UPPER(TRIM(U1807)),IF(BU1807=1,UPPER(VLOOKUP(T1807,Parameter!$I$27:$K$29,2,0)),IF(P1807="","LOSE",P1807)))</f>
        <v>LOSE</v>
      </c>
      <c r="BS1807" s="57" t="n">
        <f aca="false">IF(BR1807="LOSE",1,IF(N(V1807)&gt;0,V1807,IF(BU1807=1,MAX(1,N(VLOOKUP(T1807,Parameter!$I$27:$K$29,3,0)),H1807,N(N1807)),IF(N(Q1807)&gt;0,Q1807,MAX(1,H1807)))))</f>
        <v>1</v>
      </c>
      <c r="BT1807" s="60" t="n">
        <f aca="false">IF(BR1807="LOSE",1,0)</f>
        <v>1</v>
      </c>
      <c r="BU1807" s="60" t="n">
        <f aca="false">IF(AND(U1807="",OR(P1807="",P1807="LOSE"),T1807&lt;&gt;"",N(S1807)&lt;=0,ISNUMBER(MATCH(T1807,Parameter!$I$27:$I$29,0))),1,0)</f>
        <v>0</v>
      </c>
      <c r="BV1807" s="55" t="str">
        <f aca="false">IF(AND(Parameter!$B$19="Ja",E1807&lt;&gt;"",ISNUMBER(MATCH(E1807,Parameter!$I$35:$I$52,0))),VLOOKUP(E1807,Parameter!$I$35:$J$52,2,0),IFERROR(VLOOKUP(D1807,Parameter!$A$35:$C$64,2,0),"Nein"))</f>
        <v>2+3</v>
      </c>
      <c r="BW1807" s="59" t="n">
        <f aca="false">IF(BT1807=0,0,IF(N(S1807)&gt;0,S1807,IFERROR(VLOOKUP(D1807,Parameter!$A$35:$C$64,3,0)+0,0)))</f>
        <v>0.15</v>
      </c>
      <c r="BX1807" s="55" t="str">
        <f aca="false">IF(AA1807&lt;&gt;"",AA1807,Z1807)</f>
        <v/>
      </c>
      <c r="BY1807" s="55" t="str">
        <f aca="false">IF(BX1807=1,"L1",IF(OR(BX1807=2,BX1807=3),"L23",IF(BX1807="Aussen","Aussen","-")))</f>
        <v>-</v>
      </c>
      <c r="BZ1807" s="66" t="n">
        <f aca="false">IF(N(AB1807)&gt;0,AB1807,0)</f>
        <v>0</v>
      </c>
      <c r="CA1807" s="60" t="n">
        <f aca="false">IF(ISNUMBER(AE1807),1,0)</f>
        <v>0</v>
      </c>
      <c r="CB1807" s="57" t="n">
        <f aca="false">N(AE1807)</f>
        <v>0</v>
      </c>
      <c r="CC1807" s="57" t="n">
        <f aca="false">N(M1807)+N(N1807)</f>
        <v>0</v>
      </c>
      <c r="CD1807" s="57" t="n">
        <f aca="false">ROUNDUP(H1807/BS1807,0)</f>
        <v>0</v>
      </c>
      <c r="CE1807" s="57" t="n">
        <f aca="false">ROUNDUP(CB1807/BS1807,0)</f>
        <v>0</v>
      </c>
      <c r="CF1807" s="60" t="n">
        <f aca="false">IF(BT1807=1,0,IFERROR(VLOOKUP(BR1807,'Gebinde-Kategorie'!$A$5:$M$45,5,0)+0,0))</f>
        <v>0</v>
      </c>
      <c r="CG1807" s="60" t="n">
        <f aca="false">IFERROR(IF(OR(BX1807=1,BX1807=2,BX1807=3),N(INDEX(Parameter!$I$5:$I$7,BX1807)),0),0)</f>
        <v>0</v>
      </c>
      <c r="CH1807" s="59" t="n">
        <f aca="false">IF(AND(Parameter!$B$21="Ja",ISNUMBER(W1807),N(X1807)&gt;0),IFERROR(N(INDEX(Parameter!$L$5:$L$7,W1807))*INDEX(Parameter!$E$5:$E$7,W1807)*X1807/SUMIFS($X$7:$X$1843,$W$7:$W$1843,W1807),0),0)</f>
        <v>0</v>
      </c>
    </row>
    <row r="1808" customFormat="false" ht="15" hidden="false" customHeight="false" outlineLevel="0" collapsed="false">
      <c r="A1808" s="55" t="str">
        <f aca="false">IF('Neue Artikel'!$A$69="","",'Neue Artikel'!$A$69&amp;"")</f>
        <v/>
      </c>
      <c r="B1808" s="55" t="str">
        <f aca="false">'Neue Artikel'!$B$69&amp;""</f>
        <v/>
      </c>
      <c r="C1808" s="55"/>
      <c r="D1808" s="55" t="s">
        <v>3015</v>
      </c>
      <c r="E1808" s="55"/>
      <c r="F1808" s="55"/>
      <c r="G1808" s="56" t="n">
        <f aca="false">N('Neue Artikel'!$G$69)</f>
        <v>0</v>
      </c>
      <c r="H1808" s="57" t="n">
        <f aca="false">MAX(0,IF(AND(Parameter!$B$21="Ja",ISNUMBER(Y1808)),Y1808,IF(Parameter!$B$20="Jahresanfang 2025 + Export",BL1808+BK1808,BK1808)))</f>
        <v>0</v>
      </c>
      <c r="I1808" s="57" t="n">
        <f aca="false">H1808*G1808</f>
        <v>0</v>
      </c>
      <c r="J1808" s="57" t="n">
        <f aca="false">BN1808*Parameter!$B$18</f>
        <v>0</v>
      </c>
      <c r="K1808" s="58"/>
      <c r="L1808" s="59"/>
      <c r="M1808" s="57" t="n">
        <f aca="false">N('Neue Artikel'!$E$69)</f>
        <v>0</v>
      </c>
      <c r="N1808" s="57" t="n">
        <f aca="false">N('Neue Artikel'!$F$69)</f>
        <v>0</v>
      </c>
      <c r="O1808" s="60"/>
      <c r="P1808" s="55" t="str">
        <f aca="false">IF('Neue Artikel'!$H$69="","LOSE",UPPER(TRIM('Neue Artikel'!$H$69)))</f>
        <v>LOSE</v>
      </c>
      <c r="Q1808" s="57" t="n">
        <f aca="false">N('Neue Artikel'!$I$69)</f>
        <v>0</v>
      </c>
      <c r="R1808" s="60" t="n">
        <f aca="false">IF(BT1808=1,0,IFERROR(VLOOKUP(BR1808,'Gebinde-Kategorie'!$A$5:$M$45,13,0)+0,0))</f>
        <v>0</v>
      </c>
      <c r="S1808" s="61"/>
      <c r="T1808" s="62"/>
      <c r="U1808" s="62"/>
      <c r="V1808" s="62"/>
      <c r="W1808" s="55"/>
      <c r="X1808" s="57"/>
      <c r="Y1808" s="57"/>
      <c r="Z1808" s="55" t="str">
        <f aca="false">IF(A1808="","",IF(AND(Parameter!$B$21="Ja",ISNUMBER(W1808)),W1808,IF(BV1808="2+3",IF(ISNUMBER(SEARCH("grosser Artikel",BO1808)),2,IFERROR(VLOOKUP(BR1808,Parameter!$F$35:$G$64,2,0),2)),IF(OR(BV1808="Nein",BV1808=""),"-",BV1808))))</f>
        <v/>
      </c>
      <c r="AA1808" s="55" t="str">
        <f aca="false">IF('Neue Artikel'!$J$69="","",'Neue Artikel'!$J$69)</f>
        <v/>
      </c>
      <c r="AB1808" s="63"/>
      <c r="AC1808" s="57" t="n">
        <f aca="false">AR1808</f>
        <v>0</v>
      </c>
      <c r="AD1808" s="57" t="n">
        <f aca="false">MAX(AR1808,H1808)</f>
        <v>0</v>
      </c>
      <c r="AE1808" s="64"/>
      <c r="AF1808" s="57" t="n">
        <f aca="false">IF(LEFT(Cockpit!$C$5,1)="A",H1808,IF(CA1808=1,CB1808,IF(LEFT(Cockpit!$C$5,1)="B",AJ1808,MAX(AJ1808,H1808))))</f>
        <v>0</v>
      </c>
      <c r="AG1808" s="57" t="n">
        <f aca="false">IF(BT1808=1,0,ROUNDUP(AF1808/BS1808,0))</f>
        <v>0</v>
      </c>
      <c r="AH1808" s="59" t="n">
        <f aca="false">IF(CH1808&gt;0,CH1808*MAX(1,AF1808/X1808),IF(BT1808=1,IF(AF1808&lt;=0,0,BW1808*MAX(1,IF(H1808&gt;0,AF1808/H1808,1))),IF(R1808&gt;0,AG1808/R1808,0))/MAX(0.1,N(Parameter!$M$21)))</f>
        <v>0</v>
      </c>
      <c r="AI1808" s="57" t="n">
        <f aca="false">AF1808*G1808</f>
        <v>0</v>
      </c>
      <c r="AJ1808" s="57" t="n">
        <f aca="false">ROUNDUP(MAX(J1808/IF(BZ1808&gt;0,BZ1808,MAX(0.1,N(Cockpit!$C$6))),CC1808)/BS1808,0)*BS1808</f>
        <v>0</v>
      </c>
      <c r="AK1808" s="58" t="n">
        <f aca="false">IF(AH1808&gt;0,J1808/AH1808,-1)</f>
        <v>-1</v>
      </c>
      <c r="AL1808" s="58" t="str">
        <f aca="false">IF(AND(OR(BY1808="L1",BY1808="L23"),AH1808&gt;0),SUMIFS($AH$7:$AH$1843,$BY$7:$BY$1843,BY1808,$AK$7:$AK$1843,"&gt;"&amp;AK1808)+SUMIFS($AH$7:$AH$1843,$BY$7:$BY$1843,BY1808,$AK$7:$AK$1843,AK1808,$BQ$7:$BQ$1843,"&lt;="&amp;BQ1808),"")</f>
        <v/>
      </c>
      <c r="AM1808" s="65" t="n">
        <f aca="false">IF(AL1808="",0,MAX(0,MIN(1,(IF(BY1808="L1",Parameter!$E$5,Parameter!$E$6+Parameter!$E$7)-(AL1808-AH1808))/AH1808)))</f>
        <v>0</v>
      </c>
      <c r="AN1808" s="57" t="n">
        <f aca="false">IF(LEFT(Cockpit!$I$5,1)="A",H1808,IF(CA1808=1,CB1808,IF(LEFT(Cockpit!$I$5,1)="B",AR1808,MAX(AR1808,H1808))))</f>
        <v>0</v>
      </c>
      <c r="AO1808" s="57" t="n">
        <f aca="false">IF(BT1808=1,0,ROUNDUP(AN1808/BS1808,0))</f>
        <v>0</v>
      </c>
      <c r="AP1808" s="59" t="n">
        <f aca="false">IF(CH1808&gt;0,CH1808*MAX(1,AN1808/X1808),IF(BT1808=1,IF(AN1808&lt;=0,0,BW1808*MAX(1,IF(H1808&gt;0,AN1808/H1808,1))),IF(R1808&gt;0,AO1808/R1808,0))/MAX(0.1,N(Parameter!$M$21)))</f>
        <v>0</v>
      </c>
      <c r="AQ1808" s="57" t="n">
        <f aca="false">AN1808*G1808</f>
        <v>0</v>
      </c>
      <c r="AR1808" s="57" t="n">
        <f aca="false">ROUNDUP(MAX(J1808/IF(BZ1808&gt;0,BZ1808,MAX(0.1,N(Cockpit!$I$6))),CC1808)/BS1808,0)*BS1808</f>
        <v>0</v>
      </c>
      <c r="AS1808" s="58" t="n">
        <f aca="false">IF(AP1808&gt;0,J1808/AP1808,-1)</f>
        <v>-1</v>
      </c>
      <c r="AT1808" s="58" t="str">
        <f aca="false">IF(AND(OR(BY1808="L1",BY1808="L23"),AP1808&gt;0),SUMIFS($AP$7:$AP$1843,$BY$7:$BY$1843,BY1808,$AS$7:$AS$1843,"&gt;"&amp;AS1808)+SUMIFS($AP$7:$AP$1843,$BY$7:$BY$1843,BY1808,$AS$7:$AS$1843,AS1808,$BQ$7:$BQ$1843,"&lt;="&amp;BQ1808),"")</f>
        <v/>
      </c>
      <c r="AU1808" s="65" t="n">
        <f aca="false">IF(AT1808="",0,MAX(0,MIN(1,(IF(BY1808="L1",Parameter!$E$5,Parameter!$E$6+Parameter!$E$7)-(AT1808-AP1808))/AP1808)))</f>
        <v>0</v>
      </c>
      <c r="AV1808" s="57" t="n">
        <f aca="false">IF(LEFT(Cockpit!$O$5,1)="A",H1808,IF(CA1808=1,CB1808,IF(LEFT(Cockpit!$O$5,1)="B",AZ1808,MAX(AZ1808,H1808))))</f>
        <v>0</v>
      </c>
      <c r="AW1808" s="57" t="n">
        <f aca="false">IF(BT1808=1,0,ROUNDUP(AV1808/BS1808,0))</f>
        <v>0</v>
      </c>
      <c r="AX1808" s="59" t="n">
        <f aca="false">IF(CH1808&gt;0,CH1808*MAX(1,AV1808/X1808),IF(BT1808=1,IF(AV1808&lt;=0,0,BW1808*MAX(1,IF(H1808&gt;0,AV1808/H1808,1))),IF(R1808&gt;0,AW1808/R1808,0))/MAX(0.1,N(Parameter!$M$21)))</f>
        <v>0</v>
      </c>
      <c r="AY1808" s="57" t="n">
        <f aca="false">AV1808*G1808</f>
        <v>0</v>
      </c>
      <c r="AZ1808" s="57" t="n">
        <f aca="false">ROUNDUP(MAX(J1808/IF(BZ1808&gt;0,BZ1808,MAX(0.1,N(Cockpit!$O$6))),CC1808)/BS1808,0)*BS1808</f>
        <v>0</v>
      </c>
      <c r="BA1808" s="58" t="n">
        <f aca="false">IF(AX1808&gt;0,J1808/AX1808,-1)</f>
        <v>-1</v>
      </c>
      <c r="BB1808" s="58" t="str">
        <f aca="false">IF(AND(OR(BY1808="L1",BY1808="L23"),AX1808&gt;0),SUMIFS($AX$7:$AX$1843,$BY$7:$BY$1843,BY1808,$BA$7:$BA$1843,"&gt;"&amp;BA1808)+SUMIFS($AX$7:$AX$1843,$BY$7:$BY$1843,BY1808,$BA$7:$BA$1843,BA1808,$BQ$7:$BQ$1843,"&lt;="&amp;BQ1808),"")</f>
        <v/>
      </c>
      <c r="BC1808" s="65" t="n">
        <f aca="false">IF(BB1808="",0,MAX(0,MIN(1,(IF(BY1808="L1",Parameter!$E$5,Parameter!$E$6+Parameter!$E$7)-(BB1808-AX1808))/AX1808)))</f>
        <v>0</v>
      </c>
      <c r="BD1808" s="55" t="str">
        <f aca="false">IF(AH1808&lt;=0,"",IF(BY1808="Aussen","Aussenlager",IF(BY1808="-","Nicht im Lift",IF(AM1808&gt;=1,"Lift",IF(AM1808&lt;=0,"Aussenlager","teilweise")))))</f>
        <v/>
      </c>
      <c r="BE1808" s="55" t="str">
        <f aca="false">IF(AP1808&lt;=0,"",IF(BY1808="Aussen","Aussenlager",IF(BY1808="-","Nicht im Lift",IF(AU1808&gt;=1,"Lift",IF(AU1808&lt;=0,"Aussenlager","teilweise")))))</f>
        <v/>
      </c>
      <c r="BF1808" s="55" t="str">
        <f aca="false">IF(AX1808&lt;=0,"",IF(BY1808="Aussen","Aussenlager",IF(BY1808="-","Nicht im Lift",IF(BC1808&gt;=1,"Lift",IF(BC1808&lt;=0,"Aussenlager","teilweise")))))</f>
        <v/>
      </c>
      <c r="BG1808" s="55" t="str">
        <f aca="false">IF(A1808="","",IF(BP1808=1,"Neu; ","")&amp;IF(AND(BP1808=0,BK1808&lt;0),"negativer Bestand (Export "&amp;BK1808&amp;"); ","")&amp;IF(J1808&lt;=0,"Kein Verbrauch; ","")&amp;IF(CH1808&gt;0,"Lift "&amp;W1808&amp;" lt. Liftbericht (Fach "&amp;X1808&amp;" Stk); ",IF(BU1808=1,"Gebinde geschätzt ("&amp;T1808&amp;"); ",IF(BT1808=1,"Lose – Tablare geschätzt; ","")))&amp;IF(H1808&gt;AR1808,"Überbestand "&amp;ROUND(H1808-AR1808,0)&amp;" Stk / CHF "&amp;ROUND((H1808-AR1808)*G1808,0)&amp;"; ","")&amp;IF(AND(CA1808=1,CB1808&lt;CC1808),"MAX &lt; MB+LG; ","")&amp;IF(AND(CG1808&gt;0,CF1808*10&gt;CG1808),"zu hoch für Tablar; ","")&amp;IF(AND(BP1808=0,OR(CA1808=1,AA1808&lt;&gt;"",U1808&lt;&gt;"",V1808&lt;&gt;"",AB1808&lt;&gt;"")),"manuell übersteuert; ","")&amp;IF(AND(BT1808=0,R1808=0),"Gebinde unbekannt / Stellmass fehlt; ","")&amp;IF(AND(BT1808=0,N(V1808)&lt;=0,N(Q1808)&lt;=0),"Menge pro Gebinde fehlt (Ist = 1 Gebinde); ","")&amp;BO1808)</f>
        <v/>
      </c>
      <c r="BH1808" s="55"/>
      <c r="BI1808" s="55"/>
      <c r="BJ1808" s="62"/>
      <c r="BK1808" s="57" t="n">
        <f aca="false">N('Neue Artikel'!$D$69)</f>
        <v>0</v>
      </c>
      <c r="BL1808" s="57" t="n">
        <v>0</v>
      </c>
      <c r="BM1808" s="56" t="n">
        <v>0</v>
      </c>
      <c r="BN1808" s="57" t="n">
        <f aca="false">N('Neue Artikel'!$C$69)/Parameter!$B$18</f>
        <v>0</v>
      </c>
      <c r="BO1808" s="55"/>
      <c r="BP1808" s="60" t="n">
        <v>1</v>
      </c>
      <c r="BQ1808" s="60" t="n">
        <v>1808</v>
      </c>
      <c r="BR1808" s="55" t="str">
        <f aca="false">IF(U1808&lt;&gt;"",UPPER(TRIM(U1808)),IF(BU1808=1,UPPER(VLOOKUP(T1808,Parameter!$I$27:$K$29,2,0)),IF(P1808="","LOSE",P1808)))</f>
        <v>LOSE</v>
      </c>
      <c r="BS1808" s="57" t="n">
        <f aca="false">IF(BR1808="LOSE",1,IF(N(V1808)&gt;0,V1808,IF(BU1808=1,MAX(1,N(VLOOKUP(T1808,Parameter!$I$27:$K$29,3,0)),H1808,N(N1808)),IF(N(Q1808)&gt;0,Q1808,MAX(1,H1808)))))</f>
        <v>1</v>
      </c>
      <c r="BT1808" s="60" t="n">
        <f aca="false">IF(BR1808="LOSE",1,0)</f>
        <v>1</v>
      </c>
      <c r="BU1808" s="60" t="n">
        <f aca="false">IF(AND(U1808="",OR(P1808="",P1808="LOSE"),T1808&lt;&gt;"",N(S1808)&lt;=0,ISNUMBER(MATCH(T1808,Parameter!$I$27:$I$29,0))),1,0)</f>
        <v>0</v>
      </c>
      <c r="BV1808" s="55" t="str">
        <f aca="false">IF(AND(Parameter!$B$19="Ja",E1808&lt;&gt;"",ISNUMBER(MATCH(E1808,Parameter!$I$35:$I$52,0))),VLOOKUP(E1808,Parameter!$I$35:$J$52,2,0),IFERROR(VLOOKUP(D1808,Parameter!$A$35:$C$64,2,0),"Nein"))</f>
        <v>2+3</v>
      </c>
      <c r="BW1808" s="59" t="n">
        <f aca="false">IF(BT1808=0,0,IF(N(S1808)&gt;0,S1808,IFERROR(VLOOKUP(D1808,Parameter!$A$35:$C$64,3,0)+0,0)))</f>
        <v>0.15</v>
      </c>
      <c r="BX1808" s="55" t="str">
        <f aca="false">IF(AA1808&lt;&gt;"",AA1808,Z1808)</f>
        <v/>
      </c>
      <c r="BY1808" s="55" t="str">
        <f aca="false">IF(BX1808=1,"L1",IF(OR(BX1808=2,BX1808=3),"L23",IF(BX1808="Aussen","Aussen","-")))</f>
        <v>-</v>
      </c>
      <c r="BZ1808" s="66" t="n">
        <f aca="false">IF(N(AB1808)&gt;0,AB1808,0)</f>
        <v>0</v>
      </c>
      <c r="CA1808" s="60" t="n">
        <f aca="false">IF(ISNUMBER(AE1808),1,0)</f>
        <v>0</v>
      </c>
      <c r="CB1808" s="57" t="n">
        <f aca="false">N(AE1808)</f>
        <v>0</v>
      </c>
      <c r="CC1808" s="57" t="n">
        <f aca="false">N(M1808)+N(N1808)</f>
        <v>0</v>
      </c>
      <c r="CD1808" s="57" t="n">
        <f aca="false">ROUNDUP(H1808/BS1808,0)</f>
        <v>0</v>
      </c>
      <c r="CE1808" s="57" t="n">
        <f aca="false">ROUNDUP(CB1808/BS1808,0)</f>
        <v>0</v>
      </c>
      <c r="CF1808" s="60" t="n">
        <f aca="false">IF(BT1808=1,0,IFERROR(VLOOKUP(BR1808,'Gebinde-Kategorie'!$A$5:$M$45,5,0)+0,0))</f>
        <v>0</v>
      </c>
      <c r="CG1808" s="60" t="n">
        <f aca="false">IFERROR(IF(OR(BX1808=1,BX1808=2,BX1808=3),N(INDEX(Parameter!$I$5:$I$7,BX1808)),0),0)</f>
        <v>0</v>
      </c>
      <c r="CH1808" s="59" t="n">
        <f aca="false">IF(AND(Parameter!$B$21="Ja",ISNUMBER(W1808),N(X1808)&gt;0),IFERROR(N(INDEX(Parameter!$L$5:$L$7,W1808))*INDEX(Parameter!$E$5:$E$7,W1808)*X1808/SUMIFS($X$7:$X$1843,$W$7:$W$1843,W1808),0),0)</f>
        <v>0</v>
      </c>
    </row>
    <row r="1809" customFormat="false" ht="15" hidden="false" customHeight="false" outlineLevel="0" collapsed="false">
      <c r="A1809" s="55" t="str">
        <f aca="false">IF('Neue Artikel'!$A$70="","",'Neue Artikel'!$A$70&amp;"")</f>
        <v/>
      </c>
      <c r="B1809" s="55" t="str">
        <f aca="false">'Neue Artikel'!$B$70&amp;""</f>
        <v/>
      </c>
      <c r="C1809" s="55"/>
      <c r="D1809" s="55" t="s">
        <v>3015</v>
      </c>
      <c r="E1809" s="55"/>
      <c r="F1809" s="55"/>
      <c r="G1809" s="56" t="n">
        <f aca="false">N('Neue Artikel'!$G$70)</f>
        <v>0</v>
      </c>
      <c r="H1809" s="57" t="n">
        <f aca="false">MAX(0,IF(AND(Parameter!$B$21="Ja",ISNUMBER(Y1809)),Y1809,IF(Parameter!$B$20="Jahresanfang 2025 + Export",BL1809+BK1809,BK1809)))</f>
        <v>0</v>
      </c>
      <c r="I1809" s="57" t="n">
        <f aca="false">H1809*G1809</f>
        <v>0</v>
      </c>
      <c r="J1809" s="57" t="n">
        <f aca="false">BN1809*Parameter!$B$18</f>
        <v>0</v>
      </c>
      <c r="K1809" s="58"/>
      <c r="L1809" s="59"/>
      <c r="M1809" s="57" t="n">
        <f aca="false">N('Neue Artikel'!$E$70)</f>
        <v>0</v>
      </c>
      <c r="N1809" s="57" t="n">
        <f aca="false">N('Neue Artikel'!$F$70)</f>
        <v>0</v>
      </c>
      <c r="O1809" s="60"/>
      <c r="P1809" s="55" t="str">
        <f aca="false">IF('Neue Artikel'!$H$70="","LOSE",UPPER(TRIM('Neue Artikel'!$H$70)))</f>
        <v>LOSE</v>
      </c>
      <c r="Q1809" s="57" t="n">
        <f aca="false">N('Neue Artikel'!$I$70)</f>
        <v>0</v>
      </c>
      <c r="R1809" s="60" t="n">
        <f aca="false">IF(BT1809=1,0,IFERROR(VLOOKUP(BR1809,'Gebinde-Kategorie'!$A$5:$M$45,13,0)+0,0))</f>
        <v>0</v>
      </c>
      <c r="S1809" s="61"/>
      <c r="T1809" s="62"/>
      <c r="U1809" s="62"/>
      <c r="V1809" s="62"/>
      <c r="W1809" s="55"/>
      <c r="X1809" s="57"/>
      <c r="Y1809" s="57"/>
      <c r="Z1809" s="55" t="str">
        <f aca="false">IF(A1809="","",IF(AND(Parameter!$B$21="Ja",ISNUMBER(W1809)),W1809,IF(BV1809="2+3",IF(ISNUMBER(SEARCH("grosser Artikel",BO1809)),2,IFERROR(VLOOKUP(BR1809,Parameter!$F$35:$G$64,2,0),2)),IF(OR(BV1809="Nein",BV1809=""),"-",BV1809))))</f>
        <v/>
      </c>
      <c r="AA1809" s="55" t="str">
        <f aca="false">IF('Neue Artikel'!$J$70="","",'Neue Artikel'!$J$70)</f>
        <v/>
      </c>
      <c r="AB1809" s="63"/>
      <c r="AC1809" s="57" t="n">
        <f aca="false">AR1809</f>
        <v>0</v>
      </c>
      <c r="AD1809" s="57" t="n">
        <f aca="false">MAX(AR1809,H1809)</f>
        <v>0</v>
      </c>
      <c r="AE1809" s="64"/>
      <c r="AF1809" s="57" t="n">
        <f aca="false">IF(LEFT(Cockpit!$C$5,1)="A",H1809,IF(CA1809=1,CB1809,IF(LEFT(Cockpit!$C$5,1)="B",AJ1809,MAX(AJ1809,H1809))))</f>
        <v>0</v>
      </c>
      <c r="AG1809" s="57" t="n">
        <f aca="false">IF(BT1809=1,0,ROUNDUP(AF1809/BS1809,0))</f>
        <v>0</v>
      </c>
      <c r="AH1809" s="59" t="n">
        <f aca="false">IF(CH1809&gt;0,CH1809*MAX(1,AF1809/X1809),IF(BT1809=1,IF(AF1809&lt;=0,0,BW1809*MAX(1,IF(H1809&gt;0,AF1809/H1809,1))),IF(R1809&gt;0,AG1809/R1809,0))/MAX(0.1,N(Parameter!$M$21)))</f>
        <v>0</v>
      </c>
      <c r="AI1809" s="57" t="n">
        <f aca="false">AF1809*G1809</f>
        <v>0</v>
      </c>
      <c r="AJ1809" s="57" t="n">
        <f aca="false">ROUNDUP(MAX(J1809/IF(BZ1809&gt;0,BZ1809,MAX(0.1,N(Cockpit!$C$6))),CC1809)/BS1809,0)*BS1809</f>
        <v>0</v>
      </c>
      <c r="AK1809" s="58" t="n">
        <f aca="false">IF(AH1809&gt;0,J1809/AH1809,-1)</f>
        <v>-1</v>
      </c>
      <c r="AL1809" s="58" t="str">
        <f aca="false">IF(AND(OR(BY1809="L1",BY1809="L23"),AH1809&gt;0),SUMIFS($AH$7:$AH$1843,$BY$7:$BY$1843,BY1809,$AK$7:$AK$1843,"&gt;"&amp;AK1809)+SUMIFS($AH$7:$AH$1843,$BY$7:$BY$1843,BY1809,$AK$7:$AK$1843,AK1809,$BQ$7:$BQ$1843,"&lt;="&amp;BQ1809),"")</f>
        <v/>
      </c>
      <c r="AM1809" s="65" t="n">
        <f aca="false">IF(AL1809="",0,MAX(0,MIN(1,(IF(BY1809="L1",Parameter!$E$5,Parameter!$E$6+Parameter!$E$7)-(AL1809-AH1809))/AH1809)))</f>
        <v>0</v>
      </c>
      <c r="AN1809" s="57" t="n">
        <f aca="false">IF(LEFT(Cockpit!$I$5,1)="A",H1809,IF(CA1809=1,CB1809,IF(LEFT(Cockpit!$I$5,1)="B",AR1809,MAX(AR1809,H1809))))</f>
        <v>0</v>
      </c>
      <c r="AO1809" s="57" t="n">
        <f aca="false">IF(BT1809=1,0,ROUNDUP(AN1809/BS1809,0))</f>
        <v>0</v>
      </c>
      <c r="AP1809" s="59" t="n">
        <f aca="false">IF(CH1809&gt;0,CH1809*MAX(1,AN1809/X1809),IF(BT1809=1,IF(AN1809&lt;=0,0,BW1809*MAX(1,IF(H1809&gt;0,AN1809/H1809,1))),IF(R1809&gt;0,AO1809/R1809,0))/MAX(0.1,N(Parameter!$M$21)))</f>
        <v>0</v>
      </c>
      <c r="AQ1809" s="57" t="n">
        <f aca="false">AN1809*G1809</f>
        <v>0</v>
      </c>
      <c r="AR1809" s="57" t="n">
        <f aca="false">ROUNDUP(MAX(J1809/IF(BZ1809&gt;0,BZ1809,MAX(0.1,N(Cockpit!$I$6))),CC1809)/BS1809,0)*BS1809</f>
        <v>0</v>
      </c>
      <c r="AS1809" s="58" t="n">
        <f aca="false">IF(AP1809&gt;0,J1809/AP1809,-1)</f>
        <v>-1</v>
      </c>
      <c r="AT1809" s="58" t="str">
        <f aca="false">IF(AND(OR(BY1809="L1",BY1809="L23"),AP1809&gt;0),SUMIFS($AP$7:$AP$1843,$BY$7:$BY$1843,BY1809,$AS$7:$AS$1843,"&gt;"&amp;AS1809)+SUMIFS($AP$7:$AP$1843,$BY$7:$BY$1843,BY1809,$AS$7:$AS$1843,AS1809,$BQ$7:$BQ$1843,"&lt;="&amp;BQ1809),"")</f>
        <v/>
      </c>
      <c r="AU1809" s="65" t="n">
        <f aca="false">IF(AT1809="",0,MAX(0,MIN(1,(IF(BY1809="L1",Parameter!$E$5,Parameter!$E$6+Parameter!$E$7)-(AT1809-AP1809))/AP1809)))</f>
        <v>0</v>
      </c>
      <c r="AV1809" s="57" t="n">
        <f aca="false">IF(LEFT(Cockpit!$O$5,1)="A",H1809,IF(CA1809=1,CB1809,IF(LEFT(Cockpit!$O$5,1)="B",AZ1809,MAX(AZ1809,H1809))))</f>
        <v>0</v>
      </c>
      <c r="AW1809" s="57" t="n">
        <f aca="false">IF(BT1809=1,0,ROUNDUP(AV1809/BS1809,0))</f>
        <v>0</v>
      </c>
      <c r="AX1809" s="59" t="n">
        <f aca="false">IF(CH1809&gt;0,CH1809*MAX(1,AV1809/X1809),IF(BT1809=1,IF(AV1809&lt;=0,0,BW1809*MAX(1,IF(H1809&gt;0,AV1809/H1809,1))),IF(R1809&gt;0,AW1809/R1809,0))/MAX(0.1,N(Parameter!$M$21)))</f>
        <v>0</v>
      </c>
      <c r="AY1809" s="57" t="n">
        <f aca="false">AV1809*G1809</f>
        <v>0</v>
      </c>
      <c r="AZ1809" s="57" t="n">
        <f aca="false">ROUNDUP(MAX(J1809/IF(BZ1809&gt;0,BZ1809,MAX(0.1,N(Cockpit!$O$6))),CC1809)/BS1809,0)*BS1809</f>
        <v>0</v>
      </c>
      <c r="BA1809" s="58" t="n">
        <f aca="false">IF(AX1809&gt;0,J1809/AX1809,-1)</f>
        <v>-1</v>
      </c>
      <c r="BB1809" s="58" t="str">
        <f aca="false">IF(AND(OR(BY1809="L1",BY1809="L23"),AX1809&gt;0),SUMIFS($AX$7:$AX$1843,$BY$7:$BY$1843,BY1809,$BA$7:$BA$1843,"&gt;"&amp;BA1809)+SUMIFS($AX$7:$AX$1843,$BY$7:$BY$1843,BY1809,$BA$7:$BA$1843,BA1809,$BQ$7:$BQ$1843,"&lt;="&amp;BQ1809),"")</f>
        <v/>
      </c>
      <c r="BC1809" s="65" t="n">
        <f aca="false">IF(BB1809="",0,MAX(0,MIN(1,(IF(BY1809="L1",Parameter!$E$5,Parameter!$E$6+Parameter!$E$7)-(BB1809-AX1809))/AX1809)))</f>
        <v>0</v>
      </c>
      <c r="BD1809" s="55" t="str">
        <f aca="false">IF(AH1809&lt;=0,"",IF(BY1809="Aussen","Aussenlager",IF(BY1809="-","Nicht im Lift",IF(AM1809&gt;=1,"Lift",IF(AM1809&lt;=0,"Aussenlager","teilweise")))))</f>
        <v/>
      </c>
      <c r="BE1809" s="55" t="str">
        <f aca="false">IF(AP1809&lt;=0,"",IF(BY1809="Aussen","Aussenlager",IF(BY1809="-","Nicht im Lift",IF(AU1809&gt;=1,"Lift",IF(AU1809&lt;=0,"Aussenlager","teilweise")))))</f>
        <v/>
      </c>
      <c r="BF1809" s="55" t="str">
        <f aca="false">IF(AX1809&lt;=0,"",IF(BY1809="Aussen","Aussenlager",IF(BY1809="-","Nicht im Lift",IF(BC1809&gt;=1,"Lift",IF(BC1809&lt;=0,"Aussenlager","teilweise")))))</f>
        <v/>
      </c>
      <c r="BG1809" s="55" t="str">
        <f aca="false">IF(A1809="","",IF(BP1809=1,"Neu; ","")&amp;IF(AND(BP1809=0,BK1809&lt;0),"negativer Bestand (Export "&amp;BK1809&amp;"); ","")&amp;IF(J1809&lt;=0,"Kein Verbrauch; ","")&amp;IF(CH1809&gt;0,"Lift "&amp;W1809&amp;" lt. Liftbericht (Fach "&amp;X1809&amp;" Stk); ",IF(BU1809=1,"Gebinde geschätzt ("&amp;T1809&amp;"); ",IF(BT1809=1,"Lose – Tablare geschätzt; ","")))&amp;IF(H1809&gt;AR1809,"Überbestand "&amp;ROUND(H1809-AR1809,0)&amp;" Stk / CHF "&amp;ROUND((H1809-AR1809)*G1809,0)&amp;"; ","")&amp;IF(AND(CA1809=1,CB1809&lt;CC1809),"MAX &lt; MB+LG; ","")&amp;IF(AND(CG1809&gt;0,CF1809*10&gt;CG1809),"zu hoch für Tablar; ","")&amp;IF(AND(BP1809=0,OR(CA1809=1,AA1809&lt;&gt;"",U1809&lt;&gt;"",V1809&lt;&gt;"",AB1809&lt;&gt;"")),"manuell übersteuert; ","")&amp;IF(AND(BT1809=0,R1809=0),"Gebinde unbekannt / Stellmass fehlt; ","")&amp;IF(AND(BT1809=0,N(V1809)&lt;=0,N(Q1809)&lt;=0),"Menge pro Gebinde fehlt (Ist = 1 Gebinde); ","")&amp;BO1809)</f>
        <v/>
      </c>
      <c r="BH1809" s="55"/>
      <c r="BI1809" s="55"/>
      <c r="BJ1809" s="62"/>
      <c r="BK1809" s="57" t="n">
        <f aca="false">N('Neue Artikel'!$D$70)</f>
        <v>0</v>
      </c>
      <c r="BL1809" s="57" t="n">
        <v>0</v>
      </c>
      <c r="BM1809" s="56" t="n">
        <v>0</v>
      </c>
      <c r="BN1809" s="57" t="n">
        <f aca="false">N('Neue Artikel'!$C$70)/Parameter!$B$18</f>
        <v>0</v>
      </c>
      <c r="BO1809" s="55"/>
      <c r="BP1809" s="60" t="n">
        <v>1</v>
      </c>
      <c r="BQ1809" s="60" t="n">
        <v>1809</v>
      </c>
      <c r="BR1809" s="55" t="str">
        <f aca="false">IF(U1809&lt;&gt;"",UPPER(TRIM(U1809)),IF(BU1809=1,UPPER(VLOOKUP(T1809,Parameter!$I$27:$K$29,2,0)),IF(P1809="","LOSE",P1809)))</f>
        <v>LOSE</v>
      </c>
      <c r="BS1809" s="57" t="n">
        <f aca="false">IF(BR1809="LOSE",1,IF(N(V1809)&gt;0,V1809,IF(BU1809=1,MAX(1,N(VLOOKUP(T1809,Parameter!$I$27:$K$29,3,0)),H1809,N(N1809)),IF(N(Q1809)&gt;0,Q1809,MAX(1,H1809)))))</f>
        <v>1</v>
      </c>
      <c r="BT1809" s="60" t="n">
        <f aca="false">IF(BR1809="LOSE",1,0)</f>
        <v>1</v>
      </c>
      <c r="BU1809" s="60" t="n">
        <f aca="false">IF(AND(U1809="",OR(P1809="",P1809="LOSE"),T1809&lt;&gt;"",N(S1809)&lt;=0,ISNUMBER(MATCH(T1809,Parameter!$I$27:$I$29,0))),1,0)</f>
        <v>0</v>
      </c>
      <c r="BV1809" s="55" t="str">
        <f aca="false">IF(AND(Parameter!$B$19="Ja",E1809&lt;&gt;"",ISNUMBER(MATCH(E1809,Parameter!$I$35:$I$52,0))),VLOOKUP(E1809,Parameter!$I$35:$J$52,2,0),IFERROR(VLOOKUP(D1809,Parameter!$A$35:$C$64,2,0),"Nein"))</f>
        <v>2+3</v>
      </c>
      <c r="BW1809" s="59" t="n">
        <f aca="false">IF(BT1809=0,0,IF(N(S1809)&gt;0,S1809,IFERROR(VLOOKUP(D1809,Parameter!$A$35:$C$64,3,0)+0,0)))</f>
        <v>0.15</v>
      </c>
      <c r="BX1809" s="55" t="str">
        <f aca="false">IF(AA1809&lt;&gt;"",AA1809,Z1809)</f>
        <v/>
      </c>
      <c r="BY1809" s="55" t="str">
        <f aca="false">IF(BX1809=1,"L1",IF(OR(BX1809=2,BX1809=3),"L23",IF(BX1809="Aussen","Aussen","-")))</f>
        <v>-</v>
      </c>
      <c r="BZ1809" s="66" t="n">
        <f aca="false">IF(N(AB1809)&gt;0,AB1809,0)</f>
        <v>0</v>
      </c>
      <c r="CA1809" s="60" t="n">
        <f aca="false">IF(ISNUMBER(AE1809),1,0)</f>
        <v>0</v>
      </c>
      <c r="CB1809" s="57" t="n">
        <f aca="false">N(AE1809)</f>
        <v>0</v>
      </c>
      <c r="CC1809" s="57" t="n">
        <f aca="false">N(M1809)+N(N1809)</f>
        <v>0</v>
      </c>
      <c r="CD1809" s="57" t="n">
        <f aca="false">ROUNDUP(H1809/BS1809,0)</f>
        <v>0</v>
      </c>
      <c r="CE1809" s="57" t="n">
        <f aca="false">ROUNDUP(CB1809/BS1809,0)</f>
        <v>0</v>
      </c>
      <c r="CF1809" s="60" t="n">
        <f aca="false">IF(BT1809=1,0,IFERROR(VLOOKUP(BR1809,'Gebinde-Kategorie'!$A$5:$M$45,5,0)+0,0))</f>
        <v>0</v>
      </c>
      <c r="CG1809" s="60" t="n">
        <f aca="false">IFERROR(IF(OR(BX1809=1,BX1809=2,BX1809=3),N(INDEX(Parameter!$I$5:$I$7,BX1809)),0),0)</f>
        <v>0</v>
      </c>
      <c r="CH1809" s="59" t="n">
        <f aca="false">IF(AND(Parameter!$B$21="Ja",ISNUMBER(W1809),N(X1809)&gt;0),IFERROR(N(INDEX(Parameter!$L$5:$L$7,W1809))*INDEX(Parameter!$E$5:$E$7,W1809)*X1809/SUMIFS($X$7:$X$1843,$W$7:$W$1843,W1809),0),0)</f>
        <v>0</v>
      </c>
    </row>
    <row r="1810" customFormat="false" ht="15" hidden="false" customHeight="false" outlineLevel="0" collapsed="false">
      <c r="A1810" s="55" t="str">
        <f aca="false">IF('Neue Artikel'!$A$71="","",'Neue Artikel'!$A$71&amp;"")</f>
        <v/>
      </c>
      <c r="B1810" s="55" t="str">
        <f aca="false">'Neue Artikel'!$B$71&amp;""</f>
        <v/>
      </c>
      <c r="C1810" s="55"/>
      <c r="D1810" s="55" t="s">
        <v>3015</v>
      </c>
      <c r="E1810" s="55"/>
      <c r="F1810" s="55"/>
      <c r="G1810" s="56" t="n">
        <f aca="false">N('Neue Artikel'!$G$71)</f>
        <v>0</v>
      </c>
      <c r="H1810" s="57" t="n">
        <f aca="false">MAX(0,IF(AND(Parameter!$B$21="Ja",ISNUMBER(Y1810)),Y1810,IF(Parameter!$B$20="Jahresanfang 2025 + Export",BL1810+BK1810,BK1810)))</f>
        <v>0</v>
      </c>
      <c r="I1810" s="57" t="n">
        <f aca="false">H1810*G1810</f>
        <v>0</v>
      </c>
      <c r="J1810" s="57" t="n">
        <f aca="false">BN1810*Parameter!$B$18</f>
        <v>0</v>
      </c>
      <c r="K1810" s="58"/>
      <c r="L1810" s="59"/>
      <c r="M1810" s="57" t="n">
        <f aca="false">N('Neue Artikel'!$E$71)</f>
        <v>0</v>
      </c>
      <c r="N1810" s="57" t="n">
        <f aca="false">N('Neue Artikel'!$F$71)</f>
        <v>0</v>
      </c>
      <c r="O1810" s="60"/>
      <c r="P1810" s="55" t="str">
        <f aca="false">IF('Neue Artikel'!$H$71="","LOSE",UPPER(TRIM('Neue Artikel'!$H$71)))</f>
        <v>LOSE</v>
      </c>
      <c r="Q1810" s="57" t="n">
        <f aca="false">N('Neue Artikel'!$I$71)</f>
        <v>0</v>
      </c>
      <c r="R1810" s="60" t="n">
        <f aca="false">IF(BT1810=1,0,IFERROR(VLOOKUP(BR1810,'Gebinde-Kategorie'!$A$5:$M$45,13,0)+0,0))</f>
        <v>0</v>
      </c>
      <c r="S1810" s="61"/>
      <c r="T1810" s="62"/>
      <c r="U1810" s="62"/>
      <c r="V1810" s="62"/>
      <c r="W1810" s="55"/>
      <c r="X1810" s="57"/>
      <c r="Y1810" s="57"/>
      <c r="Z1810" s="55" t="str">
        <f aca="false">IF(A1810="","",IF(AND(Parameter!$B$21="Ja",ISNUMBER(W1810)),W1810,IF(BV1810="2+3",IF(ISNUMBER(SEARCH("grosser Artikel",BO1810)),2,IFERROR(VLOOKUP(BR1810,Parameter!$F$35:$G$64,2,0),2)),IF(OR(BV1810="Nein",BV1810=""),"-",BV1810))))</f>
        <v/>
      </c>
      <c r="AA1810" s="55" t="str">
        <f aca="false">IF('Neue Artikel'!$J$71="","",'Neue Artikel'!$J$71)</f>
        <v/>
      </c>
      <c r="AB1810" s="63"/>
      <c r="AC1810" s="57" t="n">
        <f aca="false">AR1810</f>
        <v>0</v>
      </c>
      <c r="AD1810" s="57" t="n">
        <f aca="false">MAX(AR1810,H1810)</f>
        <v>0</v>
      </c>
      <c r="AE1810" s="64"/>
      <c r="AF1810" s="57" t="n">
        <f aca="false">IF(LEFT(Cockpit!$C$5,1)="A",H1810,IF(CA1810=1,CB1810,IF(LEFT(Cockpit!$C$5,1)="B",AJ1810,MAX(AJ1810,H1810))))</f>
        <v>0</v>
      </c>
      <c r="AG1810" s="57" t="n">
        <f aca="false">IF(BT1810=1,0,ROUNDUP(AF1810/BS1810,0))</f>
        <v>0</v>
      </c>
      <c r="AH1810" s="59" t="n">
        <f aca="false">IF(CH1810&gt;0,CH1810*MAX(1,AF1810/X1810),IF(BT1810=1,IF(AF1810&lt;=0,0,BW1810*MAX(1,IF(H1810&gt;0,AF1810/H1810,1))),IF(R1810&gt;0,AG1810/R1810,0))/MAX(0.1,N(Parameter!$M$21)))</f>
        <v>0</v>
      </c>
      <c r="AI1810" s="57" t="n">
        <f aca="false">AF1810*G1810</f>
        <v>0</v>
      </c>
      <c r="AJ1810" s="57" t="n">
        <f aca="false">ROUNDUP(MAX(J1810/IF(BZ1810&gt;0,BZ1810,MAX(0.1,N(Cockpit!$C$6))),CC1810)/BS1810,0)*BS1810</f>
        <v>0</v>
      </c>
      <c r="AK1810" s="58" t="n">
        <f aca="false">IF(AH1810&gt;0,J1810/AH1810,-1)</f>
        <v>-1</v>
      </c>
      <c r="AL1810" s="58" t="str">
        <f aca="false">IF(AND(OR(BY1810="L1",BY1810="L23"),AH1810&gt;0),SUMIFS($AH$7:$AH$1843,$BY$7:$BY$1843,BY1810,$AK$7:$AK$1843,"&gt;"&amp;AK1810)+SUMIFS($AH$7:$AH$1843,$BY$7:$BY$1843,BY1810,$AK$7:$AK$1843,AK1810,$BQ$7:$BQ$1843,"&lt;="&amp;BQ1810),"")</f>
        <v/>
      </c>
      <c r="AM1810" s="65" t="n">
        <f aca="false">IF(AL1810="",0,MAX(0,MIN(1,(IF(BY1810="L1",Parameter!$E$5,Parameter!$E$6+Parameter!$E$7)-(AL1810-AH1810))/AH1810)))</f>
        <v>0</v>
      </c>
      <c r="AN1810" s="57" t="n">
        <f aca="false">IF(LEFT(Cockpit!$I$5,1)="A",H1810,IF(CA1810=1,CB1810,IF(LEFT(Cockpit!$I$5,1)="B",AR1810,MAX(AR1810,H1810))))</f>
        <v>0</v>
      </c>
      <c r="AO1810" s="57" t="n">
        <f aca="false">IF(BT1810=1,0,ROUNDUP(AN1810/BS1810,0))</f>
        <v>0</v>
      </c>
      <c r="AP1810" s="59" t="n">
        <f aca="false">IF(CH1810&gt;0,CH1810*MAX(1,AN1810/X1810),IF(BT1810=1,IF(AN1810&lt;=0,0,BW1810*MAX(1,IF(H1810&gt;0,AN1810/H1810,1))),IF(R1810&gt;0,AO1810/R1810,0))/MAX(0.1,N(Parameter!$M$21)))</f>
        <v>0</v>
      </c>
      <c r="AQ1810" s="57" t="n">
        <f aca="false">AN1810*G1810</f>
        <v>0</v>
      </c>
      <c r="AR1810" s="57" t="n">
        <f aca="false">ROUNDUP(MAX(J1810/IF(BZ1810&gt;0,BZ1810,MAX(0.1,N(Cockpit!$I$6))),CC1810)/BS1810,0)*BS1810</f>
        <v>0</v>
      </c>
      <c r="AS1810" s="58" t="n">
        <f aca="false">IF(AP1810&gt;0,J1810/AP1810,-1)</f>
        <v>-1</v>
      </c>
      <c r="AT1810" s="58" t="str">
        <f aca="false">IF(AND(OR(BY1810="L1",BY1810="L23"),AP1810&gt;0),SUMIFS($AP$7:$AP$1843,$BY$7:$BY$1843,BY1810,$AS$7:$AS$1843,"&gt;"&amp;AS1810)+SUMIFS($AP$7:$AP$1843,$BY$7:$BY$1843,BY1810,$AS$7:$AS$1843,AS1810,$BQ$7:$BQ$1843,"&lt;="&amp;BQ1810),"")</f>
        <v/>
      </c>
      <c r="AU1810" s="65" t="n">
        <f aca="false">IF(AT1810="",0,MAX(0,MIN(1,(IF(BY1810="L1",Parameter!$E$5,Parameter!$E$6+Parameter!$E$7)-(AT1810-AP1810))/AP1810)))</f>
        <v>0</v>
      </c>
      <c r="AV1810" s="57" t="n">
        <f aca="false">IF(LEFT(Cockpit!$O$5,1)="A",H1810,IF(CA1810=1,CB1810,IF(LEFT(Cockpit!$O$5,1)="B",AZ1810,MAX(AZ1810,H1810))))</f>
        <v>0</v>
      </c>
      <c r="AW1810" s="57" t="n">
        <f aca="false">IF(BT1810=1,0,ROUNDUP(AV1810/BS1810,0))</f>
        <v>0</v>
      </c>
      <c r="AX1810" s="59" t="n">
        <f aca="false">IF(CH1810&gt;0,CH1810*MAX(1,AV1810/X1810),IF(BT1810=1,IF(AV1810&lt;=0,0,BW1810*MAX(1,IF(H1810&gt;0,AV1810/H1810,1))),IF(R1810&gt;0,AW1810/R1810,0))/MAX(0.1,N(Parameter!$M$21)))</f>
        <v>0</v>
      </c>
      <c r="AY1810" s="57" t="n">
        <f aca="false">AV1810*G1810</f>
        <v>0</v>
      </c>
      <c r="AZ1810" s="57" t="n">
        <f aca="false">ROUNDUP(MAX(J1810/IF(BZ1810&gt;0,BZ1810,MAX(0.1,N(Cockpit!$O$6))),CC1810)/BS1810,0)*BS1810</f>
        <v>0</v>
      </c>
      <c r="BA1810" s="58" t="n">
        <f aca="false">IF(AX1810&gt;0,J1810/AX1810,-1)</f>
        <v>-1</v>
      </c>
      <c r="BB1810" s="58" t="str">
        <f aca="false">IF(AND(OR(BY1810="L1",BY1810="L23"),AX1810&gt;0),SUMIFS($AX$7:$AX$1843,$BY$7:$BY$1843,BY1810,$BA$7:$BA$1843,"&gt;"&amp;BA1810)+SUMIFS($AX$7:$AX$1843,$BY$7:$BY$1843,BY1810,$BA$7:$BA$1843,BA1810,$BQ$7:$BQ$1843,"&lt;="&amp;BQ1810),"")</f>
        <v/>
      </c>
      <c r="BC1810" s="65" t="n">
        <f aca="false">IF(BB1810="",0,MAX(0,MIN(1,(IF(BY1810="L1",Parameter!$E$5,Parameter!$E$6+Parameter!$E$7)-(BB1810-AX1810))/AX1810)))</f>
        <v>0</v>
      </c>
      <c r="BD1810" s="55" t="str">
        <f aca="false">IF(AH1810&lt;=0,"",IF(BY1810="Aussen","Aussenlager",IF(BY1810="-","Nicht im Lift",IF(AM1810&gt;=1,"Lift",IF(AM1810&lt;=0,"Aussenlager","teilweise")))))</f>
        <v/>
      </c>
      <c r="BE1810" s="55" t="str">
        <f aca="false">IF(AP1810&lt;=0,"",IF(BY1810="Aussen","Aussenlager",IF(BY1810="-","Nicht im Lift",IF(AU1810&gt;=1,"Lift",IF(AU1810&lt;=0,"Aussenlager","teilweise")))))</f>
        <v/>
      </c>
      <c r="BF1810" s="55" t="str">
        <f aca="false">IF(AX1810&lt;=0,"",IF(BY1810="Aussen","Aussenlager",IF(BY1810="-","Nicht im Lift",IF(BC1810&gt;=1,"Lift",IF(BC1810&lt;=0,"Aussenlager","teilweise")))))</f>
        <v/>
      </c>
      <c r="BG1810" s="55" t="str">
        <f aca="false">IF(A1810="","",IF(BP1810=1,"Neu; ","")&amp;IF(AND(BP1810=0,BK1810&lt;0),"negativer Bestand (Export "&amp;BK1810&amp;"); ","")&amp;IF(J1810&lt;=0,"Kein Verbrauch; ","")&amp;IF(CH1810&gt;0,"Lift "&amp;W1810&amp;" lt. Liftbericht (Fach "&amp;X1810&amp;" Stk); ",IF(BU1810=1,"Gebinde geschätzt ("&amp;T1810&amp;"); ",IF(BT1810=1,"Lose – Tablare geschätzt; ","")))&amp;IF(H1810&gt;AR1810,"Überbestand "&amp;ROUND(H1810-AR1810,0)&amp;" Stk / CHF "&amp;ROUND((H1810-AR1810)*G1810,0)&amp;"; ","")&amp;IF(AND(CA1810=1,CB1810&lt;CC1810),"MAX &lt; MB+LG; ","")&amp;IF(AND(CG1810&gt;0,CF1810*10&gt;CG1810),"zu hoch für Tablar; ","")&amp;IF(AND(BP1810=0,OR(CA1810=1,AA1810&lt;&gt;"",U1810&lt;&gt;"",V1810&lt;&gt;"",AB1810&lt;&gt;"")),"manuell übersteuert; ","")&amp;IF(AND(BT1810=0,R1810=0),"Gebinde unbekannt / Stellmass fehlt; ","")&amp;IF(AND(BT1810=0,N(V1810)&lt;=0,N(Q1810)&lt;=0),"Menge pro Gebinde fehlt (Ist = 1 Gebinde); ","")&amp;BO1810)</f>
        <v/>
      </c>
      <c r="BH1810" s="55"/>
      <c r="BI1810" s="55"/>
      <c r="BJ1810" s="62"/>
      <c r="BK1810" s="57" t="n">
        <f aca="false">N('Neue Artikel'!$D$71)</f>
        <v>0</v>
      </c>
      <c r="BL1810" s="57" t="n">
        <v>0</v>
      </c>
      <c r="BM1810" s="56" t="n">
        <v>0</v>
      </c>
      <c r="BN1810" s="57" t="n">
        <f aca="false">N('Neue Artikel'!$C$71)/Parameter!$B$18</f>
        <v>0</v>
      </c>
      <c r="BO1810" s="55"/>
      <c r="BP1810" s="60" t="n">
        <v>1</v>
      </c>
      <c r="BQ1810" s="60" t="n">
        <v>1810</v>
      </c>
      <c r="BR1810" s="55" t="str">
        <f aca="false">IF(U1810&lt;&gt;"",UPPER(TRIM(U1810)),IF(BU1810=1,UPPER(VLOOKUP(T1810,Parameter!$I$27:$K$29,2,0)),IF(P1810="","LOSE",P1810)))</f>
        <v>LOSE</v>
      </c>
      <c r="BS1810" s="57" t="n">
        <f aca="false">IF(BR1810="LOSE",1,IF(N(V1810)&gt;0,V1810,IF(BU1810=1,MAX(1,N(VLOOKUP(T1810,Parameter!$I$27:$K$29,3,0)),H1810,N(N1810)),IF(N(Q1810)&gt;0,Q1810,MAX(1,H1810)))))</f>
        <v>1</v>
      </c>
      <c r="BT1810" s="60" t="n">
        <f aca="false">IF(BR1810="LOSE",1,0)</f>
        <v>1</v>
      </c>
      <c r="BU1810" s="60" t="n">
        <f aca="false">IF(AND(U1810="",OR(P1810="",P1810="LOSE"),T1810&lt;&gt;"",N(S1810)&lt;=0,ISNUMBER(MATCH(T1810,Parameter!$I$27:$I$29,0))),1,0)</f>
        <v>0</v>
      </c>
      <c r="BV1810" s="55" t="str">
        <f aca="false">IF(AND(Parameter!$B$19="Ja",E1810&lt;&gt;"",ISNUMBER(MATCH(E1810,Parameter!$I$35:$I$52,0))),VLOOKUP(E1810,Parameter!$I$35:$J$52,2,0),IFERROR(VLOOKUP(D1810,Parameter!$A$35:$C$64,2,0),"Nein"))</f>
        <v>2+3</v>
      </c>
      <c r="BW1810" s="59" t="n">
        <f aca="false">IF(BT1810=0,0,IF(N(S1810)&gt;0,S1810,IFERROR(VLOOKUP(D1810,Parameter!$A$35:$C$64,3,0)+0,0)))</f>
        <v>0.15</v>
      </c>
      <c r="BX1810" s="55" t="str">
        <f aca="false">IF(AA1810&lt;&gt;"",AA1810,Z1810)</f>
        <v/>
      </c>
      <c r="BY1810" s="55" t="str">
        <f aca="false">IF(BX1810=1,"L1",IF(OR(BX1810=2,BX1810=3),"L23",IF(BX1810="Aussen","Aussen","-")))</f>
        <v>-</v>
      </c>
      <c r="BZ1810" s="66" t="n">
        <f aca="false">IF(N(AB1810)&gt;0,AB1810,0)</f>
        <v>0</v>
      </c>
      <c r="CA1810" s="60" t="n">
        <f aca="false">IF(ISNUMBER(AE1810),1,0)</f>
        <v>0</v>
      </c>
      <c r="CB1810" s="57" t="n">
        <f aca="false">N(AE1810)</f>
        <v>0</v>
      </c>
      <c r="CC1810" s="57" t="n">
        <f aca="false">N(M1810)+N(N1810)</f>
        <v>0</v>
      </c>
      <c r="CD1810" s="57" t="n">
        <f aca="false">ROUNDUP(H1810/BS1810,0)</f>
        <v>0</v>
      </c>
      <c r="CE1810" s="57" t="n">
        <f aca="false">ROUNDUP(CB1810/BS1810,0)</f>
        <v>0</v>
      </c>
      <c r="CF1810" s="60" t="n">
        <f aca="false">IF(BT1810=1,0,IFERROR(VLOOKUP(BR1810,'Gebinde-Kategorie'!$A$5:$M$45,5,0)+0,0))</f>
        <v>0</v>
      </c>
      <c r="CG1810" s="60" t="n">
        <f aca="false">IFERROR(IF(OR(BX1810=1,BX1810=2,BX1810=3),N(INDEX(Parameter!$I$5:$I$7,BX1810)),0),0)</f>
        <v>0</v>
      </c>
      <c r="CH1810" s="59" t="n">
        <f aca="false">IF(AND(Parameter!$B$21="Ja",ISNUMBER(W1810),N(X1810)&gt;0),IFERROR(N(INDEX(Parameter!$L$5:$L$7,W1810))*INDEX(Parameter!$E$5:$E$7,W1810)*X1810/SUMIFS($X$7:$X$1843,$W$7:$W$1843,W1810),0),0)</f>
        <v>0</v>
      </c>
    </row>
    <row r="1811" customFormat="false" ht="15" hidden="false" customHeight="false" outlineLevel="0" collapsed="false">
      <c r="A1811" s="55" t="str">
        <f aca="false">IF('Neue Artikel'!$A$72="","",'Neue Artikel'!$A$72&amp;"")</f>
        <v/>
      </c>
      <c r="B1811" s="55" t="str">
        <f aca="false">'Neue Artikel'!$B$72&amp;""</f>
        <v/>
      </c>
      <c r="C1811" s="55"/>
      <c r="D1811" s="55" t="s">
        <v>3015</v>
      </c>
      <c r="E1811" s="55"/>
      <c r="F1811" s="55"/>
      <c r="G1811" s="56" t="n">
        <f aca="false">N('Neue Artikel'!$G$72)</f>
        <v>0</v>
      </c>
      <c r="H1811" s="57" t="n">
        <f aca="false">MAX(0,IF(AND(Parameter!$B$21="Ja",ISNUMBER(Y1811)),Y1811,IF(Parameter!$B$20="Jahresanfang 2025 + Export",BL1811+BK1811,BK1811)))</f>
        <v>0</v>
      </c>
      <c r="I1811" s="57" t="n">
        <f aca="false">H1811*G1811</f>
        <v>0</v>
      </c>
      <c r="J1811" s="57" t="n">
        <f aca="false">BN1811*Parameter!$B$18</f>
        <v>0</v>
      </c>
      <c r="K1811" s="58"/>
      <c r="L1811" s="59"/>
      <c r="M1811" s="57" t="n">
        <f aca="false">N('Neue Artikel'!$E$72)</f>
        <v>0</v>
      </c>
      <c r="N1811" s="57" t="n">
        <f aca="false">N('Neue Artikel'!$F$72)</f>
        <v>0</v>
      </c>
      <c r="O1811" s="60"/>
      <c r="P1811" s="55" t="str">
        <f aca="false">IF('Neue Artikel'!$H$72="","LOSE",UPPER(TRIM('Neue Artikel'!$H$72)))</f>
        <v>LOSE</v>
      </c>
      <c r="Q1811" s="57" t="n">
        <f aca="false">N('Neue Artikel'!$I$72)</f>
        <v>0</v>
      </c>
      <c r="R1811" s="60" t="n">
        <f aca="false">IF(BT1811=1,0,IFERROR(VLOOKUP(BR1811,'Gebinde-Kategorie'!$A$5:$M$45,13,0)+0,0))</f>
        <v>0</v>
      </c>
      <c r="S1811" s="61"/>
      <c r="T1811" s="62"/>
      <c r="U1811" s="62"/>
      <c r="V1811" s="62"/>
      <c r="W1811" s="55"/>
      <c r="X1811" s="57"/>
      <c r="Y1811" s="57"/>
      <c r="Z1811" s="55" t="str">
        <f aca="false">IF(A1811="","",IF(AND(Parameter!$B$21="Ja",ISNUMBER(W1811)),W1811,IF(BV1811="2+3",IF(ISNUMBER(SEARCH("grosser Artikel",BO1811)),2,IFERROR(VLOOKUP(BR1811,Parameter!$F$35:$G$64,2,0),2)),IF(OR(BV1811="Nein",BV1811=""),"-",BV1811))))</f>
        <v/>
      </c>
      <c r="AA1811" s="55" t="str">
        <f aca="false">IF('Neue Artikel'!$J$72="","",'Neue Artikel'!$J$72)</f>
        <v/>
      </c>
      <c r="AB1811" s="63"/>
      <c r="AC1811" s="57" t="n">
        <f aca="false">AR1811</f>
        <v>0</v>
      </c>
      <c r="AD1811" s="57" t="n">
        <f aca="false">MAX(AR1811,H1811)</f>
        <v>0</v>
      </c>
      <c r="AE1811" s="64"/>
      <c r="AF1811" s="57" t="n">
        <f aca="false">IF(LEFT(Cockpit!$C$5,1)="A",H1811,IF(CA1811=1,CB1811,IF(LEFT(Cockpit!$C$5,1)="B",AJ1811,MAX(AJ1811,H1811))))</f>
        <v>0</v>
      </c>
      <c r="AG1811" s="57" t="n">
        <f aca="false">IF(BT1811=1,0,ROUNDUP(AF1811/BS1811,0))</f>
        <v>0</v>
      </c>
      <c r="AH1811" s="59" t="n">
        <f aca="false">IF(CH1811&gt;0,CH1811*MAX(1,AF1811/X1811),IF(BT1811=1,IF(AF1811&lt;=0,0,BW1811*MAX(1,IF(H1811&gt;0,AF1811/H1811,1))),IF(R1811&gt;0,AG1811/R1811,0))/MAX(0.1,N(Parameter!$M$21)))</f>
        <v>0</v>
      </c>
      <c r="AI1811" s="57" t="n">
        <f aca="false">AF1811*G1811</f>
        <v>0</v>
      </c>
      <c r="AJ1811" s="57" t="n">
        <f aca="false">ROUNDUP(MAX(J1811/IF(BZ1811&gt;0,BZ1811,MAX(0.1,N(Cockpit!$C$6))),CC1811)/BS1811,0)*BS1811</f>
        <v>0</v>
      </c>
      <c r="AK1811" s="58" t="n">
        <f aca="false">IF(AH1811&gt;0,J1811/AH1811,-1)</f>
        <v>-1</v>
      </c>
      <c r="AL1811" s="58" t="str">
        <f aca="false">IF(AND(OR(BY1811="L1",BY1811="L23"),AH1811&gt;0),SUMIFS($AH$7:$AH$1843,$BY$7:$BY$1843,BY1811,$AK$7:$AK$1843,"&gt;"&amp;AK1811)+SUMIFS($AH$7:$AH$1843,$BY$7:$BY$1843,BY1811,$AK$7:$AK$1843,AK1811,$BQ$7:$BQ$1843,"&lt;="&amp;BQ1811),"")</f>
        <v/>
      </c>
      <c r="AM1811" s="65" t="n">
        <f aca="false">IF(AL1811="",0,MAX(0,MIN(1,(IF(BY1811="L1",Parameter!$E$5,Parameter!$E$6+Parameter!$E$7)-(AL1811-AH1811))/AH1811)))</f>
        <v>0</v>
      </c>
      <c r="AN1811" s="57" t="n">
        <f aca="false">IF(LEFT(Cockpit!$I$5,1)="A",H1811,IF(CA1811=1,CB1811,IF(LEFT(Cockpit!$I$5,1)="B",AR1811,MAX(AR1811,H1811))))</f>
        <v>0</v>
      </c>
      <c r="AO1811" s="57" t="n">
        <f aca="false">IF(BT1811=1,0,ROUNDUP(AN1811/BS1811,0))</f>
        <v>0</v>
      </c>
      <c r="AP1811" s="59" t="n">
        <f aca="false">IF(CH1811&gt;0,CH1811*MAX(1,AN1811/X1811),IF(BT1811=1,IF(AN1811&lt;=0,0,BW1811*MAX(1,IF(H1811&gt;0,AN1811/H1811,1))),IF(R1811&gt;0,AO1811/R1811,0))/MAX(0.1,N(Parameter!$M$21)))</f>
        <v>0</v>
      </c>
      <c r="AQ1811" s="57" t="n">
        <f aca="false">AN1811*G1811</f>
        <v>0</v>
      </c>
      <c r="AR1811" s="57" t="n">
        <f aca="false">ROUNDUP(MAX(J1811/IF(BZ1811&gt;0,BZ1811,MAX(0.1,N(Cockpit!$I$6))),CC1811)/BS1811,0)*BS1811</f>
        <v>0</v>
      </c>
      <c r="AS1811" s="58" t="n">
        <f aca="false">IF(AP1811&gt;0,J1811/AP1811,-1)</f>
        <v>-1</v>
      </c>
      <c r="AT1811" s="58" t="str">
        <f aca="false">IF(AND(OR(BY1811="L1",BY1811="L23"),AP1811&gt;0),SUMIFS($AP$7:$AP$1843,$BY$7:$BY$1843,BY1811,$AS$7:$AS$1843,"&gt;"&amp;AS1811)+SUMIFS($AP$7:$AP$1843,$BY$7:$BY$1843,BY1811,$AS$7:$AS$1843,AS1811,$BQ$7:$BQ$1843,"&lt;="&amp;BQ1811),"")</f>
        <v/>
      </c>
      <c r="AU1811" s="65" t="n">
        <f aca="false">IF(AT1811="",0,MAX(0,MIN(1,(IF(BY1811="L1",Parameter!$E$5,Parameter!$E$6+Parameter!$E$7)-(AT1811-AP1811))/AP1811)))</f>
        <v>0</v>
      </c>
      <c r="AV1811" s="57" t="n">
        <f aca="false">IF(LEFT(Cockpit!$O$5,1)="A",H1811,IF(CA1811=1,CB1811,IF(LEFT(Cockpit!$O$5,1)="B",AZ1811,MAX(AZ1811,H1811))))</f>
        <v>0</v>
      </c>
      <c r="AW1811" s="57" t="n">
        <f aca="false">IF(BT1811=1,0,ROUNDUP(AV1811/BS1811,0))</f>
        <v>0</v>
      </c>
      <c r="AX1811" s="59" t="n">
        <f aca="false">IF(CH1811&gt;0,CH1811*MAX(1,AV1811/X1811),IF(BT1811=1,IF(AV1811&lt;=0,0,BW1811*MAX(1,IF(H1811&gt;0,AV1811/H1811,1))),IF(R1811&gt;0,AW1811/R1811,0))/MAX(0.1,N(Parameter!$M$21)))</f>
        <v>0</v>
      </c>
      <c r="AY1811" s="57" t="n">
        <f aca="false">AV1811*G1811</f>
        <v>0</v>
      </c>
      <c r="AZ1811" s="57" t="n">
        <f aca="false">ROUNDUP(MAX(J1811/IF(BZ1811&gt;0,BZ1811,MAX(0.1,N(Cockpit!$O$6))),CC1811)/BS1811,0)*BS1811</f>
        <v>0</v>
      </c>
      <c r="BA1811" s="58" t="n">
        <f aca="false">IF(AX1811&gt;0,J1811/AX1811,-1)</f>
        <v>-1</v>
      </c>
      <c r="BB1811" s="58" t="str">
        <f aca="false">IF(AND(OR(BY1811="L1",BY1811="L23"),AX1811&gt;0),SUMIFS($AX$7:$AX$1843,$BY$7:$BY$1843,BY1811,$BA$7:$BA$1843,"&gt;"&amp;BA1811)+SUMIFS($AX$7:$AX$1843,$BY$7:$BY$1843,BY1811,$BA$7:$BA$1843,BA1811,$BQ$7:$BQ$1843,"&lt;="&amp;BQ1811),"")</f>
        <v/>
      </c>
      <c r="BC1811" s="65" t="n">
        <f aca="false">IF(BB1811="",0,MAX(0,MIN(1,(IF(BY1811="L1",Parameter!$E$5,Parameter!$E$6+Parameter!$E$7)-(BB1811-AX1811))/AX1811)))</f>
        <v>0</v>
      </c>
      <c r="BD1811" s="55" t="str">
        <f aca="false">IF(AH1811&lt;=0,"",IF(BY1811="Aussen","Aussenlager",IF(BY1811="-","Nicht im Lift",IF(AM1811&gt;=1,"Lift",IF(AM1811&lt;=0,"Aussenlager","teilweise")))))</f>
        <v/>
      </c>
      <c r="BE1811" s="55" t="str">
        <f aca="false">IF(AP1811&lt;=0,"",IF(BY1811="Aussen","Aussenlager",IF(BY1811="-","Nicht im Lift",IF(AU1811&gt;=1,"Lift",IF(AU1811&lt;=0,"Aussenlager","teilweise")))))</f>
        <v/>
      </c>
      <c r="BF1811" s="55" t="str">
        <f aca="false">IF(AX1811&lt;=0,"",IF(BY1811="Aussen","Aussenlager",IF(BY1811="-","Nicht im Lift",IF(BC1811&gt;=1,"Lift",IF(BC1811&lt;=0,"Aussenlager","teilweise")))))</f>
        <v/>
      </c>
      <c r="BG1811" s="55" t="str">
        <f aca="false">IF(A1811="","",IF(BP1811=1,"Neu; ","")&amp;IF(AND(BP1811=0,BK1811&lt;0),"negativer Bestand (Export "&amp;BK1811&amp;"); ","")&amp;IF(J1811&lt;=0,"Kein Verbrauch; ","")&amp;IF(CH1811&gt;0,"Lift "&amp;W1811&amp;" lt. Liftbericht (Fach "&amp;X1811&amp;" Stk); ",IF(BU1811=1,"Gebinde geschätzt ("&amp;T1811&amp;"); ",IF(BT1811=1,"Lose – Tablare geschätzt; ","")))&amp;IF(H1811&gt;AR1811,"Überbestand "&amp;ROUND(H1811-AR1811,0)&amp;" Stk / CHF "&amp;ROUND((H1811-AR1811)*G1811,0)&amp;"; ","")&amp;IF(AND(CA1811=1,CB1811&lt;CC1811),"MAX &lt; MB+LG; ","")&amp;IF(AND(CG1811&gt;0,CF1811*10&gt;CG1811),"zu hoch für Tablar; ","")&amp;IF(AND(BP1811=0,OR(CA1811=1,AA1811&lt;&gt;"",U1811&lt;&gt;"",V1811&lt;&gt;"",AB1811&lt;&gt;"")),"manuell übersteuert; ","")&amp;IF(AND(BT1811=0,R1811=0),"Gebinde unbekannt / Stellmass fehlt; ","")&amp;IF(AND(BT1811=0,N(V1811)&lt;=0,N(Q1811)&lt;=0),"Menge pro Gebinde fehlt (Ist = 1 Gebinde); ","")&amp;BO1811)</f>
        <v/>
      </c>
      <c r="BH1811" s="55"/>
      <c r="BI1811" s="55"/>
      <c r="BJ1811" s="62"/>
      <c r="BK1811" s="57" t="n">
        <f aca="false">N('Neue Artikel'!$D$72)</f>
        <v>0</v>
      </c>
      <c r="BL1811" s="57" t="n">
        <v>0</v>
      </c>
      <c r="BM1811" s="56" t="n">
        <v>0</v>
      </c>
      <c r="BN1811" s="57" t="n">
        <f aca="false">N('Neue Artikel'!$C$72)/Parameter!$B$18</f>
        <v>0</v>
      </c>
      <c r="BO1811" s="55"/>
      <c r="BP1811" s="60" t="n">
        <v>1</v>
      </c>
      <c r="BQ1811" s="60" t="n">
        <v>1811</v>
      </c>
      <c r="BR1811" s="55" t="str">
        <f aca="false">IF(U1811&lt;&gt;"",UPPER(TRIM(U1811)),IF(BU1811=1,UPPER(VLOOKUP(T1811,Parameter!$I$27:$K$29,2,0)),IF(P1811="","LOSE",P1811)))</f>
        <v>LOSE</v>
      </c>
      <c r="BS1811" s="57" t="n">
        <f aca="false">IF(BR1811="LOSE",1,IF(N(V1811)&gt;0,V1811,IF(BU1811=1,MAX(1,N(VLOOKUP(T1811,Parameter!$I$27:$K$29,3,0)),H1811,N(N1811)),IF(N(Q1811)&gt;0,Q1811,MAX(1,H1811)))))</f>
        <v>1</v>
      </c>
      <c r="BT1811" s="60" t="n">
        <f aca="false">IF(BR1811="LOSE",1,0)</f>
        <v>1</v>
      </c>
      <c r="BU1811" s="60" t="n">
        <f aca="false">IF(AND(U1811="",OR(P1811="",P1811="LOSE"),T1811&lt;&gt;"",N(S1811)&lt;=0,ISNUMBER(MATCH(T1811,Parameter!$I$27:$I$29,0))),1,0)</f>
        <v>0</v>
      </c>
      <c r="BV1811" s="55" t="str">
        <f aca="false">IF(AND(Parameter!$B$19="Ja",E1811&lt;&gt;"",ISNUMBER(MATCH(E1811,Parameter!$I$35:$I$52,0))),VLOOKUP(E1811,Parameter!$I$35:$J$52,2,0),IFERROR(VLOOKUP(D1811,Parameter!$A$35:$C$64,2,0),"Nein"))</f>
        <v>2+3</v>
      </c>
      <c r="BW1811" s="59" t="n">
        <f aca="false">IF(BT1811=0,0,IF(N(S1811)&gt;0,S1811,IFERROR(VLOOKUP(D1811,Parameter!$A$35:$C$64,3,0)+0,0)))</f>
        <v>0.15</v>
      </c>
      <c r="BX1811" s="55" t="str">
        <f aca="false">IF(AA1811&lt;&gt;"",AA1811,Z1811)</f>
        <v/>
      </c>
      <c r="BY1811" s="55" t="str">
        <f aca="false">IF(BX1811=1,"L1",IF(OR(BX1811=2,BX1811=3),"L23",IF(BX1811="Aussen","Aussen","-")))</f>
        <v>-</v>
      </c>
      <c r="BZ1811" s="66" t="n">
        <f aca="false">IF(N(AB1811)&gt;0,AB1811,0)</f>
        <v>0</v>
      </c>
      <c r="CA1811" s="60" t="n">
        <f aca="false">IF(ISNUMBER(AE1811),1,0)</f>
        <v>0</v>
      </c>
      <c r="CB1811" s="57" t="n">
        <f aca="false">N(AE1811)</f>
        <v>0</v>
      </c>
      <c r="CC1811" s="57" t="n">
        <f aca="false">N(M1811)+N(N1811)</f>
        <v>0</v>
      </c>
      <c r="CD1811" s="57" t="n">
        <f aca="false">ROUNDUP(H1811/BS1811,0)</f>
        <v>0</v>
      </c>
      <c r="CE1811" s="57" t="n">
        <f aca="false">ROUNDUP(CB1811/BS1811,0)</f>
        <v>0</v>
      </c>
      <c r="CF1811" s="60" t="n">
        <f aca="false">IF(BT1811=1,0,IFERROR(VLOOKUP(BR1811,'Gebinde-Kategorie'!$A$5:$M$45,5,0)+0,0))</f>
        <v>0</v>
      </c>
      <c r="CG1811" s="60" t="n">
        <f aca="false">IFERROR(IF(OR(BX1811=1,BX1811=2,BX1811=3),N(INDEX(Parameter!$I$5:$I$7,BX1811)),0),0)</f>
        <v>0</v>
      </c>
      <c r="CH1811" s="59" t="n">
        <f aca="false">IF(AND(Parameter!$B$21="Ja",ISNUMBER(W1811),N(X1811)&gt;0),IFERROR(N(INDEX(Parameter!$L$5:$L$7,W1811))*INDEX(Parameter!$E$5:$E$7,W1811)*X1811/SUMIFS($X$7:$X$1843,$W$7:$W$1843,W1811),0),0)</f>
        <v>0</v>
      </c>
    </row>
    <row r="1812" customFormat="false" ht="15" hidden="false" customHeight="false" outlineLevel="0" collapsed="false">
      <c r="A1812" s="55" t="str">
        <f aca="false">IF('Neue Artikel'!$A$73="","",'Neue Artikel'!$A$73&amp;"")</f>
        <v/>
      </c>
      <c r="B1812" s="55" t="str">
        <f aca="false">'Neue Artikel'!$B$73&amp;""</f>
        <v/>
      </c>
      <c r="C1812" s="55"/>
      <c r="D1812" s="55" t="s">
        <v>3015</v>
      </c>
      <c r="E1812" s="55"/>
      <c r="F1812" s="55"/>
      <c r="G1812" s="56" t="n">
        <f aca="false">N('Neue Artikel'!$G$73)</f>
        <v>0</v>
      </c>
      <c r="H1812" s="57" t="n">
        <f aca="false">MAX(0,IF(AND(Parameter!$B$21="Ja",ISNUMBER(Y1812)),Y1812,IF(Parameter!$B$20="Jahresanfang 2025 + Export",BL1812+BK1812,BK1812)))</f>
        <v>0</v>
      </c>
      <c r="I1812" s="57" t="n">
        <f aca="false">H1812*G1812</f>
        <v>0</v>
      </c>
      <c r="J1812" s="57" t="n">
        <f aca="false">BN1812*Parameter!$B$18</f>
        <v>0</v>
      </c>
      <c r="K1812" s="58"/>
      <c r="L1812" s="59"/>
      <c r="M1812" s="57" t="n">
        <f aca="false">N('Neue Artikel'!$E$73)</f>
        <v>0</v>
      </c>
      <c r="N1812" s="57" t="n">
        <f aca="false">N('Neue Artikel'!$F$73)</f>
        <v>0</v>
      </c>
      <c r="O1812" s="60"/>
      <c r="P1812" s="55" t="str">
        <f aca="false">IF('Neue Artikel'!$H$73="","LOSE",UPPER(TRIM('Neue Artikel'!$H$73)))</f>
        <v>LOSE</v>
      </c>
      <c r="Q1812" s="57" t="n">
        <f aca="false">N('Neue Artikel'!$I$73)</f>
        <v>0</v>
      </c>
      <c r="R1812" s="60" t="n">
        <f aca="false">IF(BT1812=1,0,IFERROR(VLOOKUP(BR1812,'Gebinde-Kategorie'!$A$5:$M$45,13,0)+0,0))</f>
        <v>0</v>
      </c>
      <c r="S1812" s="61"/>
      <c r="T1812" s="62"/>
      <c r="U1812" s="62"/>
      <c r="V1812" s="62"/>
      <c r="W1812" s="55"/>
      <c r="X1812" s="57"/>
      <c r="Y1812" s="57"/>
      <c r="Z1812" s="55" t="str">
        <f aca="false">IF(A1812="","",IF(AND(Parameter!$B$21="Ja",ISNUMBER(W1812)),W1812,IF(BV1812="2+3",IF(ISNUMBER(SEARCH("grosser Artikel",BO1812)),2,IFERROR(VLOOKUP(BR1812,Parameter!$F$35:$G$64,2,0),2)),IF(OR(BV1812="Nein",BV1812=""),"-",BV1812))))</f>
        <v/>
      </c>
      <c r="AA1812" s="55" t="str">
        <f aca="false">IF('Neue Artikel'!$J$73="","",'Neue Artikel'!$J$73)</f>
        <v/>
      </c>
      <c r="AB1812" s="63"/>
      <c r="AC1812" s="57" t="n">
        <f aca="false">AR1812</f>
        <v>0</v>
      </c>
      <c r="AD1812" s="57" t="n">
        <f aca="false">MAX(AR1812,H1812)</f>
        <v>0</v>
      </c>
      <c r="AE1812" s="64"/>
      <c r="AF1812" s="57" t="n">
        <f aca="false">IF(LEFT(Cockpit!$C$5,1)="A",H1812,IF(CA1812=1,CB1812,IF(LEFT(Cockpit!$C$5,1)="B",AJ1812,MAX(AJ1812,H1812))))</f>
        <v>0</v>
      </c>
      <c r="AG1812" s="57" t="n">
        <f aca="false">IF(BT1812=1,0,ROUNDUP(AF1812/BS1812,0))</f>
        <v>0</v>
      </c>
      <c r="AH1812" s="59" t="n">
        <f aca="false">IF(CH1812&gt;0,CH1812*MAX(1,AF1812/X1812),IF(BT1812=1,IF(AF1812&lt;=0,0,BW1812*MAX(1,IF(H1812&gt;0,AF1812/H1812,1))),IF(R1812&gt;0,AG1812/R1812,0))/MAX(0.1,N(Parameter!$M$21)))</f>
        <v>0</v>
      </c>
      <c r="AI1812" s="57" t="n">
        <f aca="false">AF1812*G1812</f>
        <v>0</v>
      </c>
      <c r="AJ1812" s="57" t="n">
        <f aca="false">ROUNDUP(MAX(J1812/IF(BZ1812&gt;0,BZ1812,MAX(0.1,N(Cockpit!$C$6))),CC1812)/BS1812,0)*BS1812</f>
        <v>0</v>
      </c>
      <c r="AK1812" s="58" t="n">
        <f aca="false">IF(AH1812&gt;0,J1812/AH1812,-1)</f>
        <v>-1</v>
      </c>
      <c r="AL1812" s="58" t="str">
        <f aca="false">IF(AND(OR(BY1812="L1",BY1812="L23"),AH1812&gt;0),SUMIFS($AH$7:$AH$1843,$BY$7:$BY$1843,BY1812,$AK$7:$AK$1843,"&gt;"&amp;AK1812)+SUMIFS($AH$7:$AH$1843,$BY$7:$BY$1843,BY1812,$AK$7:$AK$1843,AK1812,$BQ$7:$BQ$1843,"&lt;="&amp;BQ1812),"")</f>
        <v/>
      </c>
      <c r="AM1812" s="65" t="n">
        <f aca="false">IF(AL1812="",0,MAX(0,MIN(1,(IF(BY1812="L1",Parameter!$E$5,Parameter!$E$6+Parameter!$E$7)-(AL1812-AH1812))/AH1812)))</f>
        <v>0</v>
      </c>
      <c r="AN1812" s="57" t="n">
        <f aca="false">IF(LEFT(Cockpit!$I$5,1)="A",H1812,IF(CA1812=1,CB1812,IF(LEFT(Cockpit!$I$5,1)="B",AR1812,MAX(AR1812,H1812))))</f>
        <v>0</v>
      </c>
      <c r="AO1812" s="57" t="n">
        <f aca="false">IF(BT1812=1,0,ROUNDUP(AN1812/BS1812,0))</f>
        <v>0</v>
      </c>
      <c r="AP1812" s="59" t="n">
        <f aca="false">IF(CH1812&gt;0,CH1812*MAX(1,AN1812/X1812),IF(BT1812=1,IF(AN1812&lt;=0,0,BW1812*MAX(1,IF(H1812&gt;0,AN1812/H1812,1))),IF(R1812&gt;0,AO1812/R1812,0))/MAX(0.1,N(Parameter!$M$21)))</f>
        <v>0</v>
      </c>
      <c r="AQ1812" s="57" t="n">
        <f aca="false">AN1812*G1812</f>
        <v>0</v>
      </c>
      <c r="AR1812" s="57" t="n">
        <f aca="false">ROUNDUP(MAX(J1812/IF(BZ1812&gt;0,BZ1812,MAX(0.1,N(Cockpit!$I$6))),CC1812)/BS1812,0)*BS1812</f>
        <v>0</v>
      </c>
      <c r="AS1812" s="58" t="n">
        <f aca="false">IF(AP1812&gt;0,J1812/AP1812,-1)</f>
        <v>-1</v>
      </c>
      <c r="AT1812" s="58" t="str">
        <f aca="false">IF(AND(OR(BY1812="L1",BY1812="L23"),AP1812&gt;0),SUMIFS($AP$7:$AP$1843,$BY$7:$BY$1843,BY1812,$AS$7:$AS$1843,"&gt;"&amp;AS1812)+SUMIFS($AP$7:$AP$1843,$BY$7:$BY$1843,BY1812,$AS$7:$AS$1843,AS1812,$BQ$7:$BQ$1843,"&lt;="&amp;BQ1812),"")</f>
        <v/>
      </c>
      <c r="AU1812" s="65" t="n">
        <f aca="false">IF(AT1812="",0,MAX(0,MIN(1,(IF(BY1812="L1",Parameter!$E$5,Parameter!$E$6+Parameter!$E$7)-(AT1812-AP1812))/AP1812)))</f>
        <v>0</v>
      </c>
      <c r="AV1812" s="57" t="n">
        <f aca="false">IF(LEFT(Cockpit!$O$5,1)="A",H1812,IF(CA1812=1,CB1812,IF(LEFT(Cockpit!$O$5,1)="B",AZ1812,MAX(AZ1812,H1812))))</f>
        <v>0</v>
      </c>
      <c r="AW1812" s="57" t="n">
        <f aca="false">IF(BT1812=1,0,ROUNDUP(AV1812/BS1812,0))</f>
        <v>0</v>
      </c>
      <c r="AX1812" s="59" t="n">
        <f aca="false">IF(CH1812&gt;0,CH1812*MAX(1,AV1812/X1812),IF(BT1812=1,IF(AV1812&lt;=0,0,BW1812*MAX(1,IF(H1812&gt;0,AV1812/H1812,1))),IF(R1812&gt;0,AW1812/R1812,0))/MAX(0.1,N(Parameter!$M$21)))</f>
        <v>0</v>
      </c>
      <c r="AY1812" s="57" t="n">
        <f aca="false">AV1812*G1812</f>
        <v>0</v>
      </c>
      <c r="AZ1812" s="57" t="n">
        <f aca="false">ROUNDUP(MAX(J1812/IF(BZ1812&gt;0,BZ1812,MAX(0.1,N(Cockpit!$O$6))),CC1812)/BS1812,0)*BS1812</f>
        <v>0</v>
      </c>
      <c r="BA1812" s="58" t="n">
        <f aca="false">IF(AX1812&gt;0,J1812/AX1812,-1)</f>
        <v>-1</v>
      </c>
      <c r="BB1812" s="58" t="str">
        <f aca="false">IF(AND(OR(BY1812="L1",BY1812="L23"),AX1812&gt;0),SUMIFS($AX$7:$AX$1843,$BY$7:$BY$1843,BY1812,$BA$7:$BA$1843,"&gt;"&amp;BA1812)+SUMIFS($AX$7:$AX$1843,$BY$7:$BY$1843,BY1812,$BA$7:$BA$1843,BA1812,$BQ$7:$BQ$1843,"&lt;="&amp;BQ1812),"")</f>
        <v/>
      </c>
      <c r="BC1812" s="65" t="n">
        <f aca="false">IF(BB1812="",0,MAX(0,MIN(1,(IF(BY1812="L1",Parameter!$E$5,Parameter!$E$6+Parameter!$E$7)-(BB1812-AX1812))/AX1812)))</f>
        <v>0</v>
      </c>
      <c r="BD1812" s="55" t="str">
        <f aca="false">IF(AH1812&lt;=0,"",IF(BY1812="Aussen","Aussenlager",IF(BY1812="-","Nicht im Lift",IF(AM1812&gt;=1,"Lift",IF(AM1812&lt;=0,"Aussenlager","teilweise")))))</f>
        <v/>
      </c>
      <c r="BE1812" s="55" t="str">
        <f aca="false">IF(AP1812&lt;=0,"",IF(BY1812="Aussen","Aussenlager",IF(BY1812="-","Nicht im Lift",IF(AU1812&gt;=1,"Lift",IF(AU1812&lt;=0,"Aussenlager","teilweise")))))</f>
        <v/>
      </c>
      <c r="BF1812" s="55" t="str">
        <f aca="false">IF(AX1812&lt;=0,"",IF(BY1812="Aussen","Aussenlager",IF(BY1812="-","Nicht im Lift",IF(BC1812&gt;=1,"Lift",IF(BC1812&lt;=0,"Aussenlager","teilweise")))))</f>
        <v/>
      </c>
      <c r="BG1812" s="55" t="str">
        <f aca="false">IF(A1812="","",IF(BP1812=1,"Neu; ","")&amp;IF(AND(BP1812=0,BK1812&lt;0),"negativer Bestand (Export "&amp;BK1812&amp;"); ","")&amp;IF(J1812&lt;=0,"Kein Verbrauch; ","")&amp;IF(CH1812&gt;0,"Lift "&amp;W1812&amp;" lt. Liftbericht (Fach "&amp;X1812&amp;" Stk); ",IF(BU1812=1,"Gebinde geschätzt ("&amp;T1812&amp;"); ",IF(BT1812=1,"Lose – Tablare geschätzt; ","")))&amp;IF(H1812&gt;AR1812,"Überbestand "&amp;ROUND(H1812-AR1812,0)&amp;" Stk / CHF "&amp;ROUND((H1812-AR1812)*G1812,0)&amp;"; ","")&amp;IF(AND(CA1812=1,CB1812&lt;CC1812),"MAX &lt; MB+LG; ","")&amp;IF(AND(CG1812&gt;0,CF1812*10&gt;CG1812),"zu hoch für Tablar; ","")&amp;IF(AND(BP1812=0,OR(CA1812=1,AA1812&lt;&gt;"",U1812&lt;&gt;"",V1812&lt;&gt;"",AB1812&lt;&gt;"")),"manuell übersteuert; ","")&amp;IF(AND(BT1812=0,R1812=0),"Gebinde unbekannt / Stellmass fehlt; ","")&amp;IF(AND(BT1812=0,N(V1812)&lt;=0,N(Q1812)&lt;=0),"Menge pro Gebinde fehlt (Ist = 1 Gebinde); ","")&amp;BO1812)</f>
        <v/>
      </c>
      <c r="BH1812" s="55"/>
      <c r="BI1812" s="55"/>
      <c r="BJ1812" s="62"/>
      <c r="BK1812" s="57" t="n">
        <f aca="false">N('Neue Artikel'!$D$73)</f>
        <v>0</v>
      </c>
      <c r="BL1812" s="57" t="n">
        <v>0</v>
      </c>
      <c r="BM1812" s="56" t="n">
        <v>0</v>
      </c>
      <c r="BN1812" s="57" t="n">
        <f aca="false">N('Neue Artikel'!$C$73)/Parameter!$B$18</f>
        <v>0</v>
      </c>
      <c r="BO1812" s="55"/>
      <c r="BP1812" s="60" t="n">
        <v>1</v>
      </c>
      <c r="BQ1812" s="60" t="n">
        <v>1812</v>
      </c>
      <c r="BR1812" s="55" t="str">
        <f aca="false">IF(U1812&lt;&gt;"",UPPER(TRIM(U1812)),IF(BU1812=1,UPPER(VLOOKUP(T1812,Parameter!$I$27:$K$29,2,0)),IF(P1812="","LOSE",P1812)))</f>
        <v>LOSE</v>
      </c>
      <c r="BS1812" s="57" t="n">
        <f aca="false">IF(BR1812="LOSE",1,IF(N(V1812)&gt;0,V1812,IF(BU1812=1,MAX(1,N(VLOOKUP(T1812,Parameter!$I$27:$K$29,3,0)),H1812,N(N1812)),IF(N(Q1812)&gt;0,Q1812,MAX(1,H1812)))))</f>
        <v>1</v>
      </c>
      <c r="BT1812" s="60" t="n">
        <f aca="false">IF(BR1812="LOSE",1,0)</f>
        <v>1</v>
      </c>
      <c r="BU1812" s="60" t="n">
        <f aca="false">IF(AND(U1812="",OR(P1812="",P1812="LOSE"),T1812&lt;&gt;"",N(S1812)&lt;=0,ISNUMBER(MATCH(T1812,Parameter!$I$27:$I$29,0))),1,0)</f>
        <v>0</v>
      </c>
      <c r="BV1812" s="55" t="str">
        <f aca="false">IF(AND(Parameter!$B$19="Ja",E1812&lt;&gt;"",ISNUMBER(MATCH(E1812,Parameter!$I$35:$I$52,0))),VLOOKUP(E1812,Parameter!$I$35:$J$52,2,0),IFERROR(VLOOKUP(D1812,Parameter!$A$35:$C$64,2,0),"Nein"))</f>
        <v>2+3</v>
      </c>
      <c r="BW1812" s="59" t="n">
        <f aca="false">IF(BT1812=0,0,IF(N(S1812)&gt;0,S1812,IFERROR(VLOOKUP(D1812,Parameter!$A$35:$C$64,3,0)+0,0)))</f>
        <v>0.15</v>
      </c>
      <c r="BX1812" s="55" t="str">
        <f aca="false">IF(AA1812&lt;&gt;"",AA1812,Z1812)</f>
        <v/>
      </c>
      <c r="BY1812" s="55" t="str">
        <f aca="false">IF(BX1812=1,"L1",IF(OR(BX1812=2,BX1812=3),"L23",IF(BX1812="Aussen","Aussen","-")))</f>
        <v>-</v>
      </c>
      <c r="BZ1812" s="66" t="n">
        <f aca="false">IF(N(AB1812)&gt;0,AB1812,0)</f>
        <v>0</v>
      </c>
      <c r="CA1812" s="60" t="n">
        <f aca="false">IF(ISNUMBER(AE1812),1,0)</f>
        <v>0</v>
      </c>
      <c r="CB1812" s="57" t="n">
        <f aca="false">N(AE1812)</f>
        <v>0</v>
      </c>
      <c r="CC1812" s="57" t="n">
        <f aca="false">N(M1812)+N(N1812)</f>
        <v>0</v>
      </c>
      <c r="CD1812" s="57" t="n">
        <f aca="false">ROUNDUP(H1812/BS1812,0)</f>
        <v>0</v>
      </c>
      <c r="CE1812" s="57" t="n">
        <f aca="false">ROUNDUP(CB1812/BS1812,0)</f>
        <v>0</v>
      </c>
      <c r="CF1812" s="60" t="n">
        <f aca="false">IF(BT1812=1,0,IFERROR(VLOOKUP(BR1812,'Gebinde-Kategorie'!$A$5:$M$45,5,0)+0,0))</f>
        <v>0</v>
      </c>
      <c r="CG1812" s="60" t="n">
        <f aca="false">IFERROR(IF(OR(BX1812=1,BX1812=2,BX1812=3),N(INDEX(Parameter!$I$5:$I$7,BX1812)),0),0)</f>
        <v>0</v>
      </c>
      <c r="CH1812" s="59" t="n">
        <f aca="false">IF(AND(Parameter!$B$21="Ja",ISNUMBER(W1812),N(X1812)&gt;0),IFERROR(N(INDEX(Parameter!$L$5:$L$7,W1812))*INDEX(Parameter!$E$5:$E$7,W1812)*X1812/SUMIFS($X$7:$X$1843,$W$7:$W$1843,W1812),0),0)</f>
        <v>0</v>
      </c>
    </row>
    <row r="1813" customFormat="false" ht="15" hidden="false" customHeight="false" outlineLevel="0" collapsed="false">
      <c r="A1813" s="55" t="str">
        <f aca="false">IF('Neue Artikel'!$A$74="","",'Neue Artikel'!$A$74&amp;"")</f>
        <v/>
      </c>
      <c r="B1813" s="55" t="str">
        <f aca="false">'Neue Artikel'!$B$74&amp;""</f>
        <v/>
      </c>
      <c r="C1813" s="55"/>
      <c r="D1813" s="55" t="s">
        <v>3015</v>
      </c>
      <c r="E1813" s="55"/>
      <c r="F1813" s="55"/>
      <c r="G1813" s="56" t="n">
        <f aca="false">N('Neue Artikel'!$G$74)</f>
        <v>0</v>
      </c>
      <c r="H1813" s="57" t="n">
        <f aca="false">MAX(0,IF(AND(Parameter!$B$21="Ja",ISNUMBER(Y1813)),Y1813,IF(Parameter!$B$20="Jahresanfang 2025 + Export",BL1813+BK1813,BK1813)))</f>
        <v>0</v>
      </c>
      <c r="I1813" s="57" t="n">
        <f aca="false">H1813*G1813</f>
        <v>0</v>
      </c>
      <c r="J1813" s="57" t="n">
        <f aca="false">BN1813*Parameter!$B$18</f>
        <v>0</v>
      </c>
      <c r="K1813" s="58"/>
      <c r="L1813" s="59"/>
      <c r="M1813" s="57" t="n">
        <f aca="false">N('Neue Artikel'!$E$74)</f>
        <v>0</v>
      </c>
      <c r="N1813" s="57" t="n">
        <f aca="false">N('Neue Artikel'!$F$74)</f>
        <v>0</v>
      </c>
      <c r="O1813" s="60"/>
      <c r="P1813" s="55" t="str">
        <f aca="false">IF('Neue Artikel'!$H$74="","LOSE",UPPER(TRIM('Neue Artikel'!$H$74)))</f>
        <v>LOSE</v>
      </c>
      <c r="Q1813" s="57" t="n">
        <f aca="false">N('Neue Artikel'!$I$74)</f>
        <v>0</v>
      </c>
      <c r="R1813" s="60" t="n">
        <f aca="false">IF(BT1813=1,0,IFERROR(VLOOKUP(BR1813,'Gebinde-Kategorie'!$A$5:$M$45,13,0)+0,0))</f>
        <v>0</v>
      </c>
      <c r="S1813" s="61"/>
      <c r="T1813" s="62"/>
      <c r="U1813" s="62"/>
      <c r="V1813" s="62"/>
      <c r="W1813" s="55"/>
      <c r="X1813" s="57"/>
      <c r="Y1813" s="57"/>
      <c r="Z1813" s="55" t="str">
        <f aca="false">IF(A1813="","",IF(AND(Parameter!$B$21="Ja",ISNUMBER(W1813)),W1813,IF(BV1813="2+3",IF(ISNUMBER(SEARCH("grosser Artikel",BO1813)),2,IFERROR(VLOOKUP(BR1813,Parameter!$F$35:$G$64,2,0),2)),IF(OR(BV1813="Nein",BV1813=""),"-",BV1813))))</f>
        <v/>
      </c>
      <c r="AA1813" s="55" t="str">
        <f aca="false">IF('Neue Artikel'!$J$74="","",'Neue Artikel'!$J$74)</f>
        <v/>
      </c>
      <c r="AB1813" s="63"/>
      <c r="AC1813" s="57" t="n">
        <f aca="false">AR1813</f>
        <v>0</v>
      </c>
      <c r="AD1813" s="57" t="n">
        <f aca="false">MAX(AR1813,H1813)</f>
        <v>0</v>
      </c>
      <c r="AE1813" s="64"/>
      <c r="AF1813" s="57" t="n">
        <f aca="false">IF(LEFT(Cockpit!$C$5,1)="A",H1813,IF(CA1813=1,CB1813,IF(LEFT(Cockpit!$C$5,1)="B",AJ1813,MAX(AJ1813,H1813))))</f>
        <v>0</v>
      </c>
      <c r="AG1813" s="57" t="n">
        <f aca="false">IF(BT1813=1,0,ROUNDUP(AF1813/BS1813,0))</f>
        <v>0</v>
      </c>
      <c r="AH1813" s="59" t="n">
        <f aca="false">IF(CH1813&gt;0,CH1813*MAX(1,AF1813/X1813),IF(BT1813=1,IF(AF1813&lt;=0,0,BW1813*MAX(1,IF(H1813&gt;0,AF1813/H1813,1))),IF(R1813&gt;0,AG1813/R1813,0))/MAX(0.1,N(Parameter!$M$21)))</f>
        <v>0</v>
      </c>
      <c r="AI1813" s="57" t="n">
        <f aca="false">AF1813*G1813</f>
        <v>0</v>
      </c>
      <c r="AJ1813" s="57" t="n">
        <f aca="false">ROUNDUP(MAX(J1813/IF(BZ1813&gt;0,BZ1813,MAX(0.1,N(Cockpit!$C$6))),CC1813)/BS1813,0)*BS1813</f>
        <v>0</v>
      </c>
      <c r="AK1813" s="58" t="n">
        <f aca="false">IF(AH1813&gt;0,J1813/AH1813,-1)</f>
        <v>-1</v>
      </c>
      <c r="AL1813" s="58" t="str">
        <f aca="false">IF(AND(OR(BY1813="L1",BY1813="L23"),AH1813&gt;0),SUMIFS($AH$7:$AH$1843,$BY$7:$BY$1843,BY1813,$AK$7:$AK$1843,"&gt;"&amp;AK1813)+SUMIFS($AH$7:$AH$1843,$BY$7:$BY$1843,BY1813,$AK$7:$AK$1843,AK1813,$BQ$7:$BQ$1843,"&lt;="&amp;BQ1813),"")</f>
        <v/>
      </c>
      <c r="AM1813" s="65" t="n">
        <f aca="false">IF(AL1813="",0,MAX(0,MIN(1,(IF(BY1813="L1",Parameter!$E$5,Parameter!$E$6+Parameter!$E$7)-(AL1813-AH1813))/AH1813)))</f>
        <v>0</v>
      </c>
      <c r="AN1813" s="57" t="n">
        <f aca="false">IF(LEFT(Cockpit!$I$5,1)="A",H1813,IF(CA1813=1,CB1813,IF(LEFT(Cockpit!$I$5,1)="B",AR1813,MAX(AR1813,H1813))))</f>
        <v>0</v>
      </c>
      <c r="AO1813" s="57" t="n">
        <f aca="false">IF(BT1813=1,0,ROUNDUP(AN1813/BS1813,0))</f>
        <v>0</v>
      </c>
      <c r="AP1813" s="59" t="n">
        <f aca="false">IF(CH1813&gt;0,CH1813*MAX(1,AN1813/X1813),IF(BT1813=1,IF(AN1813&lt;=0,0,BW1813*MAX(1,IF(H1813&gt;0,AN1813/H1813,1))),IF(R1813&gt;0,AO1813/R1813,0))/MAX(0.1,N(Parameter!$M$21)))</f>
        <v>0</v>
      </c>
      <c r="AQ1813" s="57" t="n">
        <f aca="false">AN1813*G1813</f>
        <v>0</v>
      </c>
      <c r="AR1813" s="57" t="n">
        <f aca="false">ROUNDUP(MAX(J1813/IF(BZ1813&gt;0,BZ1813,MAX(0.1,N(Cockpit!$I$6))),CC1813)/BS1813,0)*BS1813</f>
        <v>0</v>
      </c>
      <c r="AS1813" s="58" t="n">
        <f aca="false">IF(AP1813&gt;0,J1813/AP1813,-1)</f>
        <v>-1</v>
      </c>
      <c r="AT1813" s="58" t="str">
        <f aca="false">IF(AND(OR(BY1813="L1",BY1813="L23"),AP1813&gt;0),SUMIFS($AP$7:$AP$1843,$BY$7:$BY$1843,BY1813,$AS$7:$AS$1843,"&gt;"&amp;AS1813)+SUMIFS($AP$7:$AP$1843,$BY$7:$BY$1843,BY1813,$AS$7:$AS$1843,AS1813,$BQ$7:$BQ$1843,"&lt;="&amp;BQ1813),"")</f>
        <v/>
      </c>
      <c r="AU1813" s="65" t="n">
        <f aca="false">IF(AT1813="",0,MAX(0,MIN(1,(IF(BY1813="L1",Parameter!$E$5,Parameter!$E$6+Parameter!$E$7)-(AT1813-AP1813))/AP1813)))</f>
        <v>0</v>
      </c>
      <c r="AV1813" s="57" t="n">
        <f aca="false">IF(LEFT(Cockpit!$O$5,1)="A",H1813,IF(CA1813=1,CB1813,IF(LEFT(Cockpit!$O$5,1)="B",AZ1813,MAX(AZ1813,H1813))))</f>
        <v>0</v>
      </c>
      <c r="AW1813" s="57" t="n">
        <f aca="false">IF(BT1813=1,0,ROUNDUP(AV1813/BS1813,0))</f>
        <v>0</v>
      </c>
      <c r="AX1813" s="59" t="n">
        <f aca="false">IF(CH1813&gt;0,CH1813*MAX(1,AV1813/X1813),IF(BT1813=1,IF(AV1813&lt;=0,0,BW1813*MAX(1,IF(H1813&gt;0,AV1813/H1813,1))),IF(R1813&gt;0,AW1813/R1813,0))/MAX(0.1,N(Parameter!$M$21)))</f>
        <v>0</v>
      </c>
      <c r="AY1813" s="57" t="n">
        <f aca="false">AV1813*G1813</f>
        <v>0</v>
      </c>
      <c r="AZ1813" s="57" t="n">
        <f aca="false">ROUNDUP(MAX(J1813/IF(BZ1813&gt;0,BZ1813,MAX(0.1,N(Cockpit!$O$6))),CC1813)/BS1813,0)*BS1813</f>
        <v>0</v>
      </c>
      <c r="BA1813" s="58" t="n">
        <f aca="false">IF(AX1813&gt;0,J1813/AX1813,-1)</f>
        <v>-1</v>
      </c>
      <c r="BB1813" s="58" t="str">
        <f aca="false">IF(AND(OR(BY1813="L1",BY1813="L23"),AX1813&gt;0),SUMIFS($AX$7:$AX$1843,$BY$7:$BY$1843,BY1813,$BA$7:$BA$1843,"&gt;"&amp;BA1813)+SUMIFS($AX$7:$AX$1843,$BY$7:$BY$1843,BY1813,$BA$7:$BA$1843,BA1813,$BQ$7:$BQ$1843,"&lt;="&amp;BQ1813),"")</f>
        <v/>
      </c>
      <c r="BC1813" s="65" t="n">
        <f aca="false">IF(BB1813="",0,MAX(0,MIN(1,(IF(BY1813="L1",Parameter!$E$5,Parameter!$E$6+Parameter!$E$7)-(BB1813-AX1813))/AX1813)))</f>
        <v>0</v>
      </c>
      <c r="BD1813" s="55" t="str">
        <f aca="false">IF(AH1813&lt;=0,"",IF(BY1813="Aussen","Aussenlager",IF(BY1813="-","Nicht im Lift",IF(AM1813&gt;=1,"Lift",IF(AM1813&lt;=0,"Aussenlager","teilweise")))))</f>
        <v/>
      </c>
      <c r="BE1813" s="55" t="str">
        <f aca="false">IF(AP1813&lt;=0,"",IF(BY1813="Aussen","Aussenlager",IF(BY1813="-","Nicht im Lift",IF(AU1813&gt;=1,"Lift",IF(AU1813&lt;=0,"Aussenlager","teilweise")))))</f>
        <v/>
      </c>
      <c r="BF1813" s="55" t="str">
        <f aca="false">IF(AX1813&lt;=0,"",IF(BY1813="Aussen","Aussenlager",IF(BY1813="-","Nicht im Lift",IF(BC1813&gt;=1,"Lift",IF(BC1813&lt;=0,"Aussenlager","teilweise")))))</f>
        <v/>
      </c>
      <c r="BG1813" s="55" t="str">
        <f aca="false">IF(A1813="","",IF(BP1813=1,"Neu; ","")&amp;IF(AND(BP1813=0,BK1813&lt;0),"negativer Bestand (Export "&amp;BK1813&amp;"); ","")&amp;IF(J1813&lt;=0,"Kein Verbrauch; ","")&amp;IF(CH1813&gt;0,"Lift "&amp;W1813&amp;" lt. Liftbericht (Fach "&amp;X1813&amp;" Stk); ",IF(BU1813=1,"Gebinde geschätzt ("&amp;T1813&amp;"); ",IF(BT1813=1,"Lose – Tablare geschätzt; ","")))&amp;IF(H1813&gt;AR1813,"Überbestand "&amp;ROUND(H1813-AR1813,0)&amp;" Stk / CHF "&amp;ROUND((H1813-AR1813)*G1813,0)&amp;"; ","")&amp;IF(AND(CA1813=1,CB1813&lt;CC1813),"MAX &lt; MB+LG; ","")&amp;IF(AND(CG1813&gt;0,CF1813*10&gt;CG1813),"zu hoch für Tablar; ","")&amp;IF(AND(BP1813=0,OR(CA1813=1,AA1813&lt;&gt;"",U1813&lt;&gt;"",V1813&lt;&gt;"",AB1813&lt;&gt;"")),"manuell übersteuert; ","")&amp;IF(AND(BT1813=0,R1813=0),"Gebinde unbekannt / Stellmass fehlt; ","")&amp;IF(AND(BT1813=0,N(V1813)&lt;=0,N(Q1813)&lt;=0),"Menge pro Gebinde fehlt (Ist = 1 Gebinde); ","")&amp;BO1813)</f>
        <v/>
      </c>
      <c r="BH1813" s="55"/>
      <c r="BI1813" s="55"/>
      <c r="BJ1813" s="62"/>
      <c r="BK1813" s="57" t="n">
        <f aca="false">N('Neue Artikel'!$D$74)</f>
        <v>0</v>
      </c>
      <c r="BL1813" s="57" t="n">
        <v>0</v>
      </c>
      <c r="BM1813" s="56" t="n">
        <v>0</v>
      </c>
      <c r="BN1813" s="57" t="n">
        <f aca="false">N('Neue Artikel'!$C$74)/Parameter!$B$18</f>
        <v>0</v>
      </c>
      <c r="BO1813" s="55"/>
      <c r="BP1813" s="60" t="n">
        <v>1</v>
      </c>
      <c r="BQ1813" s="60" t="n">
        <v>1813</v>
      </c>
      <c r="BR1813" s="55" t="str">
        <f aca="false">IF(U1813&lt;&gt;"",UPPER(TRIM(U1813)),IF(BU1813=1,UPPER(VLOOKUP(T1813,Parameter!$I$27:$K$29,2,0)),IF(P1813="","LOSE",P1813)))</f>
        <v>LOSE</v>
      </c>
      <c r="BS1813" s="57" t="n">
        <f aca="false">IF(BR1813="LOSE",1,IF(N(V1813)&gt;0,V1813,IF(BU1813=1,MAX(1,N(VLOOKUP(T1813,Parameter!$I$27:$K$29,3,0)),H1813,N(N1813)),IF(N(Q1813)&gt;0,Q1813,MAX(1,H1813)))))</f>
        <v>1</v>
      </c>
      <c r="BT1813" s="60" t="n">
        <f aca="false">IF(BR1813="LOSE",1,0)</f>
        <v>1</v>
      </c>
      <c r="BU1813" s="60" t="n">
        <f aca="false">IF(AND(U1813="",OR(P1813="",P1813="LOSE"),T1813&lt;&gt;"",N(S1813)&lt;=0,ISNUMBER(MATCH(T1813,Parameter!$I$27:$I$29,0))),1,0)</f>
        <v>0</v>
      </c>
      <c r="BV1813" s="55" t="str">
        <f aca="false">IF(AND(Parameter!$B$19="Ja",E1813&lt;&gt;"",ISNUMBER(MATCH(E1813,Parameter!$I$35:$I$52,0))),VLOOKUP(E1813,Parameter!$I$35:$J$52,2,0),IFERROR(VLOOKUP(D1813,Parameter!$A$35:$C$64,2,0),"Nein"))</f>
        <v>2+3</v>
      </c>
      <c r="BW1813" s="59" t="n">
        <f aca="false">IF(BT1813=0,0,IF(N(S1813)&gt;0,S1813,IFERROR(VLOOKUP(D1813,Parameter!$A$35:$C$64,3,0)+0,0)))</f>
        <v>0.15</v>
      </c>
      <c r="BX1813" s="55" t="str">
        <f aca="false">IF(AA1813&lt;&gt;"",AA1813,Z1813)</f>
        <v/>
      </c>
      <c r="BY1813" s="55" t="str">
        <f aca="false">IF(BX1813=1,"L1",IF(OR(BX1813=2,BX1813=3),"L23",IF(BX1813="Aussen","Aussen","-")))</f>
        <v>-</v>
      </c>
      <c r="BZ1813" s="66" t="n">
        <f aca="false">IF(N(AB1813)&gt;0,AB1813,0)</f>
        <v>0</v>
      </c>
      <c r="CA1813" s="60" t="n">
        <f aca="false">IF(ISNUMBER(AE1813),1,0)</f>
        <v>0</v>
      </c>
      <c r="CB1813" s="57" t="n">
        <f aca="false">N(AE1813)</f>
        <v>0</v>
      </c>
      <c r="CC1813" s="57" t="n">
        <f aca="false">N(M1813)+N(N1813)</f>
        <v>0</v>
      </c>
      <c r="CD1813" s="57" t="n">
        <f aca="false">ROUNDUP(H1813/BS1813,0)</f>
        <v>0</v>
      </c>
      <c r="CE1813" s="57" t="n">
        <f aca="false">ROUNDUP(CB1813/BS1813,0)</f>
        <v>0</v>
      </c>
      <c r="CF1813" s="60" t="n">
        <f aca="false">IF(BT1813=1,0,IFERROR(VLOOKUP(BR1813,'Gebinde-Kategorie'!$A$5:$M$45,5,0)+0,0))</f>
        <v>0</v>
      </c>
      <c r="CG1813" s="60" t="n">
        <f aca="false">IFERROR(IF(OR(BX1813=1,BX1813=2,BX1813=3),N(INDEX(Parameter!$I$5:$I$7,BX1813)),0),0)</f>
        <v>0</v>
      </c>
      <c r="CH1813" s="59" t="n">
        <f aca="false">IF(AND(Parameter!$B$21="Ja",ISNUMBER(W1813),N(X1813)&gt;0),IFERROR(N(INDEX(Parameter!$L$5:$L$7,W1813))*INDEX(Parameter!$E$5:$E$7,W1813)*X1813/SUMIFS($X$7:$X$1843,$W$7:$W$1843,W1813),0),0)</f>
        <v>0</v>
      </c>
    </row>
    <row r="1814" customFormat="false" ht="15" hidden="false" customHeight="false" outlineLevel="0" collapsed="false">
      <c r="A1814" s="55" t="str">
        <f aca="false">IF('Neue Artikel'!$A$75="","",'Neue Artikel'!$A$75&amp;"")</f>
        <v/>
      </c>
      <c r="B1814" s="55" t="str">
        <f aca="false">'Neue Artikel'!$B$75&amp;""</f>
        <v/>
      </c>
      <c r="C1814" s="55"/>
      <c r="D1814" s="55" t="s">
        <v>3015</v>
      </c>
      <c r="E1814" s="55"/>
      <c r="F1814" s="55"/>
      <c r="G1814" s="56" t="n">
        <f aca="false">N('Neue Artikel'!$G$75)</f>
        <v>0</v>
      </c>
      <c r="H1814" s="57" t="n">
        <f aca="false">MAX(0,IF(AND(Parameter!$B$21="Ja",ISNUMBER(Y1814)),Y1814,IF(Parameter!$B$20="Jahresanfang 2025 + Export",BL1814+BK1814,BK1814)))</f>
        <v>0</v>
      </c>
      <c r="I1814" s="57" t="n">
        <f aca="false">H1814*G1814</f>
        <v>0</v>
      </c>
      <c r="J1814" s="57" t="n">
        <f aca="false">BN1814*Parameter!$B$18</f>
        <v>0</v>
      </c>
      <c r="K1814" s="58"/>
      <c r="L1814" s="59"/>
      <c r="M1814" s="57" t="n">
        <f aca="false">N('Neue Artikel'!$E$75)</f>
        <v>0</v>
      </c>
      <c r="N1814" s="57" t="n">
        <f aca="false">N('Neue Artikel'!$F$75)</f>
        <v>0</v>
      </c>
      <c r="O1814" s="60"/>
      <c r="P1814" s="55" t="str">
        <f aca="false">IF('Neue Artikel'!$H$75="","LOSE",UPPER(TRIM('Neue Artikel'!$H$75)))</f>
        <v>LOSE</v>
      </c>
      <c r="Q1814" s="57" t="n">
        <f aca="false">N('Neue Artikel'!$I$75)</f>
        <v>0</v>
      </c>
      <c r="R1814" s="60" t="n">
        <f aca="false">IF(BT1814=1,0,IFERROR(VLOOKUP(BR1814,'Gebinde-Kategorie'!$A$5:$M$45,13,0)+0,0))</f>
        <v>0</v>
      </c>
      <c r="S1814" s="61"/>
      <c r="T1814" s="62"/>
      <c r="U1814" s="62"/>
      <c r="V1814" s="62"/>
      <c r="W1814" s="55"/>
      <c r="X1814" s="57"/>
      <c r="Y1814" s="57"/>
      <c r="Z1814" s="55" t="str">
        <f aca="false">IF(A1814="","",IF(AND(Parameter!$B$21="Ja",ISNUMBER(W1814)),W1814,IF(BV1814="2+3",IF(ISNUMBER(SEARCH("grosser Artikel",BO1814)),2,IFERROR(VLOOKUP(BR1814,Parameter!$F$35:$G$64,2,0),2)),IF(OR(BV1814="Nein",BV1814=""),"-",BV1814))))</f>
        <v/>
      </c>
      <c r="AA1814" s="55" t="str">
        <f aca="false">IF('Neue Artikel'!$J$75="","",'Neue Artikel'!$J$75)</f>
        <v/>
      </c>
      <c r="AB1814" s="63"/>
      <c r="AC1814" s="57" t="n">
        <f aca="false">AR1814</f>
        <v>0</v>
      </c>
      <c r="AD1814" s="57" t="n">
        <f aca="false">MAX(AR1814,H1814)</f>
        <v>0</v>
      </c>
      <c r="AE1814" s="64"/>
      <c r="AF1814" s="57" t="n">
        <f aca="false">IF(LEFT(Cockpit!$C$5,1)="A",H1814,IF(CA1814=1,CB1814,IF(LEFT(Cockpit!$C$5,1)="B",AJ1814,MAX(AJ1814,H1814))))</f>
        <v>0</v>
      </c>
      <c r="AG1814" s="57" t="n">
        <f aca="false">IF(BT1814=1,0,ROUNDUP(AF1814/BS1814,0))</f>
        <v>0</v>
      </c>
      <c r="AH1814" s="59" t="n">
        <f aca="false">IF(CH1814&gt;0,CH1814*MAX(1,AF1814/X1814),IF(BT1814=1,IF(AF1814&lt;=0,0,BW1814*MAX(1,IF(H1814&gt;0,AF1814/H1814,1))),IF(R1814&gt;0,AG1814/R1814,0))/MAX(0.1,N(Parameter!$M$21)))</f>
        <v>0</v>
      </c>
      <c r="AI1814" s="57" t="n">
        <f aca="false">AF1814*G1814</f>
        <v>0</v>
      </c>
      <c r="AJ1814" s="57" t="n">
        <f aca="false">ROUNDUP(MAX(J1814/IF(BZ1814&gt;0,BZ1814,MAX(0.1,N(Cockpit!$C$6))),CC1814)/BS1814,0)*BS1814</f>
        <v>0</v>
      </c>
      <c r="AK1814" s="58" t="n">
        <f aca="false">IF(AH1814&gt;0,J1814/AH1814,-1)</f>
        <v>-1</v>
      </c>
      <c r="AL1814" s="58" t="str">
        <f aca="false">IF(AND(OR(BY1814="L1",BY1814="L23"),AH1814&gt;0),SUMIFS($AH$7:$AH$1843,$BY$7:$BY$1843,BY1814,$AK$7:$AK$1843,"&gt;"&amp;AK1814)+SUMIFS($AH$7:$AH$1843,$BY$7:$BY$1843,BY1814,$AK$7:$AK$1843,AK1814,$BQ$7:$BQ$1843,"&lt;="&amp;BQ1814),"")</f>
        <v/>
      </c>
      <c r="AM1814" s="65" t="n">
        <f aca="false">IF(AL1814="",0,MAX(0,MIN(1,(IF(BY1814="L1",Parameter!$E$5,Parameter!$E$6+Parameter!$E$7)-(AL1814-AH1814))/AH1814)))</f>
        <v>0</v>
      </c>
      <c r="AN1814" s="57" t="n">
        <f aca="false">IF(LEFT(Cockpit!$I$5,1)="A",H1814,IF(CA1814=1,CB1814,IF(LEFT(Cockpit!$I$5,1)="B",AR1814,MAX(AR1814,H1814))))</f>
        <v>0</v>
      </c>
      <c r="AO1814" s="57" t="n">
        <f aca="false">IF(BT1814=1,0,ROUNDUP(AN1814/BS1814,0))</f>
        <v>0</v>
      </c>
      <c r="AP1814" s="59" t="n">
        <f aca="false">IF(CH1814&gt;0,CH1814*MAX(1,AN1814/X1814),IF(BT1814=1,IF(AN1814&lt;=0,0,BW1814*MAX(1,IF(H1814&gt;0,AN1814/H1814,1))),IF(R1814&gt;0,AO1814/R1814,0))/MAX(0.1,N(Parameter!$M$21)))</f>
        <v>0</v>
      </c>
      <c r="AQ1814" s="57" t="n">
        <f aca="false">AN1814*G1814</f>
        <v>0</v>
      </c>
      <c r="AR1814" s="57" t="n">
        <f aca="false">ROUNDUP(MAX(J1814/IF(BZ1814&gt;0,BZ1814,MAX(0.1,N(Cockpit!$I$6))),CC1814)/BS1814,0)*BS1814</f>
        <v>0</v>
      </c>
      <c r="AS1814" s="58" t="n">
        <f aca="false">IF(AP1814&gt;0,J1814/AP1814,-1)</f>
        <v>-1</v>
      </c>
      <c r="AT1814" s="58" t="str">
        <f aca="false">IF(AND(OR(BY1814="L1",BY1814="L23"),AP1814&gt;0),SUMIFS($AP$7:$AP$1843,$BY$7:$BY$1843,BY1814,$AS$7:$AS$1843,"&gt;"&amp;AS1814)+SUMIFS($AP$7:$AP$1843,$BY$7:$BY$1843,BY1814,$AS$7:$AS$1843,AS1814,$BQ$7:$BQ$1843,"&lt;="&amp;BQ1814),"")</f>
        <v/>
      </c>
      <c r="AU1814" s="65" t="n">
        <f aca="false">IF(AT1814="",0,MAX(0,MIN(1,(IF(BY1814="L1",Parameter!$E$5,Parameter!$E$6+Parameter!$E$7)-(AT1814-AP1814))/AP1814)))</f>
        <v>0</v>
      </c>
      <c r="AV1814" s="57" t="n">
        <f aca="false">IF(LEFT(Cockpit!$O$5,1)="A",H1814,IF(CA1814=1,CB1814,IF(LEFT(Cockpit!$O$5,1)="B",AZ1814,MAX(AZ1814,H1814))))</f>
        <v>0</v>
      </c>
      <c r="AW1814" s="57" t="n">
        <f aca="false">IF(BT1814=1,0,ROUNDUP(AV1814/BS1814,0))</f>
        <v>0</v>
      </c>
      <c r="AX1814" s="59" t="n">
        <f aca="false">IF(CH1814&gt;0,CH1814*MAX(1,AV1814/X1814),IF(BT1814=1,IF(AV1814&lt;=0,0,BW1814*MAX(1,IF(H1814&gt;0,AV1814/H1814,1))),IF(R1814&gt;0,AW1814/R1814,0))/MAX(0.1,N(Parameter!$M$21)))</f>
        <v>0</v>
      </c>
      <c r="AY1814" s="57" t="n">
        <f aca="false">AV1814*G1814</f>
        <v>0</v>
      </c>
      <c r="AZ1814" s="57" t="n">
        <f aca="false">ROUNDUP(MAX(J1814/IF(BZ1814&gt;0,BZ1814,MAX(0.1,N(Cockpit!$O$6))),CC1814)/BS1814,0)*BS1814</f>
        <v>0</v>
      </c>
      <c r="BA1814" s="58" t="n">
        <f aca="false">IF(AX1814&gt;0,J1814/AX1814,-1)</f>
        <v>-1</v>
      </c>
      <c r="BB1814" s="58" t="str">
        <f aca="false">IF(AND(OR(BY1814="L1",BY1814="L23"),AX1814&gt;0),SUMIFS($AX$7:$AX$1843,$BY$7:$BY$1843,BY1814,$BA$7:$BA$1843,"&gt;"&amp;BA1814)+SUMIFS($AX$7:$AX$1843,$BY$7:$BY$1843,BY1814,$BA$7:$BA$1843,BA1814,$BQ$7:$BQ$1843,"&lt;="&amp;BQ1814),"")</f>
        <v/>
      </c>
      <c r="BC1814" s="65" t="n">
        <f aca="false">IF(BB1814="",0,MAX(0,MIN(1,(IF(BY1814="L1",Parameter!$E$5,Parameter!$E$6+Parameter!$E$7)-(BB1814-AX1814))/AX1814)))</f>
        <v>0</v>
      </c>
      <c r="BD1814" s="55" t="str">
        <f aca="false">IF(AH1814&lt;=0,"",IF(BY1814="Aussen","Aussenlager",IF(BY1814="-","Nicht im Lift",IF(AM1814&gt;=1,"Lift",IF(AM1814&lt;=0,"Aussenlager","teilweise")))))</f>
        <v/>
      </c>
      <c r="BE1814" s="55" t="str">
        <f aca="false">IF(AP1814&lt;=0,"",IF(BY1814="Aussen","Aussenlager",IF(BY1814="-","Nicht im Lift",IF(AU1814&gt;=1,"Lift",IF(AU1814&lt;=0,"Aussenlager","teilweise")))))</f>
        <v/>
      </c>
      <c r="BF1814" s="55" t="str">
        <f aca="false">IF(AX1814&lt;=0,"",IF(BY1814="Aussen","Aussenlager",IF(BY1814="-","Nicht im Lift",IF(BC1814&gt;=1,"Lift",IF(BC1814&lt;=0,"Aussenlager","teilweise")))))</f>
        <v/>
      </c>
      <c r="BG1814" s="55" t="str">
        <f aca="false">IF(A1814="","",IF(BP1814=1,"Neu; ","")&amp;IF(AND(BP1814=0,BK1814&lt;0),"negativer Bestand (Export "&amp;BK1814&amp;"); ","")&amp;IF(J1814&lt;=0,"Kein Verbrauch; ","")&amp;IF(CH1814&gt;0,"Lift "&amp;W1814&amp;" lt. Liftbericht (Fach "&amp;X1814&amp;" Stk); ",IF(BU1814=1,"Gebinde geschätzt ("&amp;T1814&amp;"); ",IF(BT1814=1,"Lose – Tablare geschätzt; ","")))&amp;IF(H1814&gt;AR1814,"Überbestand "&amp;ROUND(H1814-AR1814,0)&amp;" Stk / CHF "&amp;ROUND((H1814-AR1814)*G1814,0)&amp;"; ","")&amp;IF(AND(CA1814=1,CB1814&lt;CC1814),"MAX &lt; MB+LG; ","")&amp;IF(AND(CG1814&gt;0,CF1814*10&gt;CG1814),"zu hoch für Tablar; ","")&amp;IF(AND(BP1814=0,OR(CA1814=1,AA1814&lt;&gt;"",U1814&lt;&gt;"",V1814&lt;&gt;"",AB1814&lt;&gt;"")),"manuell übersteuert; ","")&amp;IF(AND(BT1814=0,R1814=0),"Gebinde unbekannt / Stellmass fehlt; ","")&amp;IF(AND(BT1814=0,N(V1814)&lt;=0,N(Q1814)&lt;=0),"Menge pro Gebinde fehlt (Ist = 1 Gebinde); ","")&amp;BO1814)</f>
        <v/>
      </c>
      <c r="BH1814" s="55"/>
      <c r="BI1814" s="55"/>
      <c r="BJ1814" s="62"/>
      <c r="BK1814" s="57" t="n">
        <f aca="false">N('Neue Artikel'!$D$75)</f>
        <v>0</v>
      </c>
      <c r="BL1814" s="57" t="n">
        <v>0</v>
      </c>
      <c r="BM1814" s="56" t="n">
        <v>0</v>
      </c>
      <c r="BN1814" s="57" t="n">
        <f aca="false">N('Neue Artikel'!$C$75)/Parameter!$B$18</f>
        <v>0</v>
      </c>
      <c r="BO1814" s="55"/>
      <c r="BP1814" s="60" t="n">
        <v>1</v>
      </c>
      <c r="BQ1814" s="60" t="n">
        <v>1814</v>
      </c>
      <c r="BR1814" s="55" t="str">
        <f aca="false">IF(U1814&lt;&gt;"",UPPER(TRIM(U1814)),IF(BU1814=1,UPPER(VLOOKUP(T1814,Parameter!$I$27:$K$29,2,0)),IF(P1814="","LOSE",P1814)))</f>
        <v>LOSE</v>
      </c>
      <c r="BS1814" s="57" t="n">
        <f aca="false">IF(BR1814="LOSE",1,IF(N(V1814)&gt;0,V1814,IF(BU1814=1,MAX(1,N(VLOOKUP(T1814,Parameter!$I$27:$K$29,3,0)),H1814,N(N1814)),IF(N(Q1814)&gt;0,Q1814,MAX(1,H1814)))))</f>
        <v>1</v>
      </c>
      <c r="BT1814" s="60" t="n">
        <f aca="false">IF(BR1814="LOSE",1,0)</f>
        <v>1</v>
      </c>
      <c r="BU1814" s="60" t="n">
        <f aca="false">IF(AND(U1814="",OR(P1814="",P1814="LOSE"),T1814&lt;&gt;"",N(S1814)&lt;=0,ISNUMBER(MATCH(T1814,Parameter!$I$27:$I$29,0))),1,0)</f>
        <v>0</v>
      </c>
      <c r="BV1814" s="55" t="str">
        <f aca="false">IF(AND(Parameter!$B$19="Ja",E1814&lt;&gt;"",ISNUMBER(MATCH(E1814,Parameter!$I$35:$I$52,0))),VLOOKUP(E1814,Parameter!$I$35:$J$52,2,0),IFERROR(VLOOKUP(D1814,Parameter!$A$35:$C$64,2,0),"Nein"))</f>
        <v>2+3</v>
      </c>
      <c r="BW1814" s="59" t="n">
        <f aca="false">IF(BT1814=0,0,IF(N(S1814)&gt;0,S1814,IFERROR(VLOOKUP(D1814,Parameter!$A$35:$C$64,3,0)+0,0)))</f>
        <v>0.15</v>
      </c>
      <c r="BX1814" s="55" t="str">
        <f aca="false">IF(AA1814&lt;&gt;"",AA1814,Z1814)</f>
        <v/>
      </c>
      <c r="BY1814" s="55" t="str">
        <f aca="false">IF(BX1814=1,"L1",IF(OR(BX1814=2,BX1814=3),"L23",IF(BX1814="Aussen","Aussen","-")))</f>
        <v>-</v>
      </c>
      <c r="BZ1814" s="66" t="n">
        <f aca="false">IF(N(AB1814)&gt;0,AB1814,0)</f>
        <v>0</v>
      </c>
      <c r="CA1814" s="60" t="n">
        <f aca="false">IF(ISNUMBER(AE1814),1,0)</f>
        <v>0</v>
      </c>
      <c r="CB1814" s="57" t="n">
        <f aca="false">N(AE1814)</f>
        <v>0</v>
      </c>
      <c r="CC1814" s="57" t="n">
        <f aca="false">N(M1814)+N(N1814)</f>
        <v>0</v>
      </c>
      <c r="CD1814" s="57" t="n">
        <f aca="false">ROUNDUP(H1814/BS1814,0)</f>
        <v>0</v>
      </c>
      <c r="CE1814" s="57" t="n">
        <f aca="false">ROUNDUP(CB1814/BS1814,0)</f>
        <v>0</v>
      </c>
      <c r="CF1814" s="60" t="n">
        <f aca="false">IF(BT1814=1,0,IFERROR(VLOOKUP(BR1814,'Gebinde-Kategorie'!$A$5:$M$45,5,0)+0,0))</f>
        <v>0</v>
      </c>
      <c r="CG1814" s="60" t="n">
        <f aca="false">IFERROR(IF(OR(BX1814=1,BX1814=2,BX1814=3),N(INDEX(Parameter!$I$5:$I$7,BX1814)),0),0)</f>
        <v>0</v>
      </c>
      <c r="CH1814" s="59" t="n">
        <f aca="false">IF(AND(Parameter!$B$21="Ja",ISNUMBER(W1814),N(X1814)&gt;0),IFERROR(N(INDEX(Parameter!$L$5:$L$7,W1814))*INDEX(Parameter!$E$5:$E$7,W1814)*X1814/SUMIFS($X$7:$X$1843,$W$7:$W$1843,W1814),0),0)</f>
        <v>0</v>
      </c>
    </row>
    <row r="1815" customFormat="false" ht="15" hidden="false" customHeight="false" outlineLevel="0" collapsed="false">
      <c r="A1815" s="55" t="str">
        <f aca="false">IF('Neue Artikel'!$A$76="","",'Neue Artikel'!$A$76&amp;"")</f>
        <v/>
      </c>
      <c r="B1815" s="55" t="str">
        <f aca="false">'Neue Artikel'!$B$76&amp;""</f>
        <v/>
      </c>
      <c r="C1815" s="55"/>
      <c r="D1815" s="55" t="s">
        <v>3015</v>
      </c>
      <c r="E1815" s="55"/>
      <c r="F1815" s="55"/>
      <c r="G1815" s="56" t="n">
        <f aca="false">N('Neue Artikel'!$G$76)</f>
        <v>0</v>
      </c>
      <c r="H1815" s="57" t="n">
        <f aca="false">MAX(0,IF(AND(Parameter!$B$21="Ja",ISNUMBER(Y1815)),Y1815,IF(Parameter!$B$20="Jahresanfang 2025 + Export",BL1815+BK1815,BK1815)))</f>
        <v>0</v>
      </c>
      <c r="I1815" s="57" t="n">
        <f aca="false">H1815*G1815</f>
        <v>0</v>
      </c>
      <c r="J1815" s="57" t="n">
        <f aca="false">BN1815*Parameter!$B$18</f>
        <v>0</v>
      </c>
      <c r="K1815" s="58"/>
      <c r="L1815" s="59"/>
      <c r="M1815" s="57" t="n">
        <f aca="false">N('Neue Artikel'!$E$76)</f>
        <v>0</v>
      </c>
      <c r="N1815" s="57" t="n">
        <f aca="false">N('Neue Artikel'!$F$76)</f>
        <v>0</v>
      </c>
      <c r="O1815" s="60"/>
      <c r="P1815" s="55" t="str">
        <f aca="false">IF('Neue Artikel'!$H$76="","LOSE",UPPER(TRIM('Neue Artikel'!$H$76)))</f>
        <v>LOSE</v>
      </c>
      <c r="Q1815" s="57" t="n">
        <f aca="false">N('Neue Artikel'!$I$76)</f>
        <v>0</v>
      </c>
      <c r="R1815" s="60" t="n">
        <f aca="false">IF(BT1815=1,0,IFERROR(VLOOKUP(BR1815,'Gebinde-Kategorie'!$A$5:$M$45,13,0)+0,0))</f>
        <v>0</v>
      </c>
      <c r="S1815" s="61"/>
      <c r="T1815" s="62"/>
      <c r="U1815" s="62"/>
      <c r="V1815" s="62"/>
      <c r="W1815" s="55"/>
      <c r="X1815" s="57"/>
      <c r="Y1815" s="57"/>
      <c r="Z1815" s="55" t="str">
        <f aca="false">IF(A1815="","",IF(AND(Parameter!$B$21="Ja",ISNUMBER(W1815)),W1815,IF(BV1815="2+3",IF(ISNUMBER(SEARCH("grosser Artikel",BO1815)),2,IFERROR(VLOOKUP(BR1815,Parameter!$F$35:$G$64,2,0),2)),IF(OR(BV1815="Nein",BV1815=""),"-",BV1815))))</f>
        <v/>
      </c>
      <c r="AA1815" s="55" t="str">
        <f aca="false">IF('Neue Artikel'!$J$76="","",'Neue Artikel'!$J$76)</f>
        <v/>
      </c>
      <c r="AB1815" s="63"/>
      <c r="AC1815" s="57" t="n">
        <f aca="false">AR1815</f>
        <v>0</v>
      </c>
      <c r="AD1815" s="57" t="n">
        <f aca="false">MAX(AR1815,H1815)</f>
        <v>0</v>
      </c>
      <c r="AE1815" s="64"/>
      <c r="AF1815" s="57" t="n">
        <f aca="false">IF(LEFT(Cockpit!$C$5,1)="A",H1815,IF(CA1815=1,CB1815,IF(LEFT(Cockpit!$C$5,1)="B",AJ1815,MAX(AJ1815,H1815))))</f>
        <v>0</v>
      </c>
      <c r="AG1815" s="57" t="n">
        <f aca="false">IF(BT1815=1,0,ROUNDUP(AF1815/BS1815,0))</f>
        <v>0</v>
      </c>
      <c r="AH1815" s="59" t="n">
        <f aca="false">IF(CH1815&gt;0,CH1815*MAX(1,AF1815/X1815),IF(BT1815=1,IF(AF1815&lt;=0,0,BW1815*MAX(1,IF(H1815&gt;0,AF1815/H1815,1))),IF(R1815&gt;0,AG1815/R1815,0))/MAX(0.1,N(Parameter!$M$21)))</f>
        <v>0</v>
      </c>
      <c r="AI1815" s="57" t="n">
        <f aca="false">AF1815*G1815</f>
        <v>0</v>
      </c>
      <c r="AJ1815" s="57" t="n">
        <f aca="false">ROUNDUP(MAX(J1815/IF(BZ1815&gt;0,BZ1815,MAX(0.1,N(Cockpit!$C$6))),CC1815)/BS1815,0)*BS1815</f>
        <v>0</v>
      </c>
      <c r="AK1815" s="58" t="n">
        <f aca="false">IF(AH1815&gt;0,J1815/AH1815,-1)</f>
        <v>-1</v>
      </c>
      <c r="AL1815" s="58" t="str">
        <f aca="false">IF(AND(OR(BY1815="L1",BY1815="L23"),AH1815&gt;0),SUMIFS($AH$7:$AH$1843,$BY$7:$BY$1843,BY1815,$AK$7:$AK$1843,"&gt;"&amp;AK1815)+SUMIFS($AH$7:$AH$1843,$BY$7:$BY$1843,BY1815,$AK$7:$AK$1843,AK1815,$BQ$7:$BQ$1843,"&lt;="&amp;BQ1815),"")</f>
        <v/>
      </c>
      <c r="AM1815" s="65" t="n">
        <f aca="false">IF(AL1815="",0,MAX(0,MIN(1,(IF(BY1815="L1",Parameter!$E$5,Parameter!$E$6+Parameter!$E$7)-(AL1815-AH1815))/AH1815)))</f>
        <v>0</v>
      </c>
      <c r="AN1815" s="57" t="n">
        <f aca="false">IF(LEFT(Cockpit!$I$5,1)="A",H1815,IF(CA1815=1,CB1815,IF(LEFT(Cockpit!$I$5,1)="B",AR1815,MAX(AR1815,H1815))))</f>
        <v>0</v>
      </c>
      <c r="AO1815" s="57" t="n">
        <f aca="false">IF(BT1815=1,0,ROUNDUP(AN1815/BS1815,0))</f>
        <v>0</v>
      </c>
      <c r="AP1815" s="59" t="n">
        <f aca="false">IF(CH1815&gt;0,CH1815*MAX(1,AN1815/X1815),IF(BT1815=1,IF(AN1815&lt;=0,0,BW1815*MAX(1,IF(H1815&gt;0,AN1815/H1815,1))),IF(R1815&gt;0,AO1815/R1815,0))/MAX(0.1,N(Parameter!$M$21)))</f>
        <v>0</v>
      </c>
      <c r="AQ1815" s="57" t="n">
        <f aca="false">AN1815*G1815</f>
        <v>0</v>
      </c>
      <c r="AR1815" s="57" t="n">
        <f aca="false">ROUNDUP(MAX(J1815/IF(BZ1815&gt;0,BZ1815,MAX(0.1,N(Cockpit!$I$6))),CC1815)/BS1815,0)*BS1815</f>
        <v>0</v>
      </c>
      <c r="AS1815" s="58" t="n">
        <f aca="false">IF(AP1815&gt;0,J1815/AP1815,-1)</f>
        <v>-1</v>
      </c>
      <c r="AT1815" s="58" t="str">
        <f aca="false">IF(AND(OR(BY1815="L1",BY1815="L23"),AP1815&gt;0),SUMIFS($AP$7:$AP$1843,$BY$7:$BY$1843,BY1815,$AS$7:$AS$1843,"&gt;"&amp;AS1815)+SUMIFS($AP$7:$AP$1843,$BY$7:$BY$1843,BY1815,$AS$7:$AS$1843,AS1815,$BQ$7:$BQ$1843,"&lt;="&amp;BQ1815),"")</f>
        <v/>
      </c>
      <c r="AU1815" s="65" t="n">
        <f aca="false">IF(AT1815="",0,MAX(0,MIN(1,(IF(BY1815="L1",Parameter!$E$5,Parameter!$E$6+Parameter!$E$7)-(AT1815-AP1815))/AP1815)))</f>
        <v>0</v>
      </c>
      <c r="AV1815" s="57" t="n">
        <f aca="false">IF(LEFT(Cockpit!$O$5,1)="A",H1815,IF(CA1815=1,CB1815,IF(LEFT(Cockpit!$O$5,1)="B",AZ1815,MAX(AZ1815,H1815))))</f>
        <v>0</v>
      </c>
      <c r="AW1815" s="57" t="n">
        <f aca="false">IF(BT1815=1,0,ROUNDUP(AV1815/BS1815,0))</f>
        <v>0</v>
      </c>
      <c r="AX1815" s="59" t="n">
        <f aca="false">IF(CH1815&gt;0,CH1815*MAX(1,AV1815/X1815),IF(BT1815=1,IF(AV1815&lt;=0,0,BW1815*MAX(1,IF(H1815&gt;0,AV1815/H1815,1))),IF(R1815&gt;0,AW1815/R1815,0))/MAX(0.1,N(Parameter!$M$21)))</f>
        <v>0</v>
      </c>
      <c r="AY1815" s="57" t="n">
        <f aca="false">AV1815*G1815</f>
        <v>0</v>
      </c>
      <c r="AZ1815" s="57" t="n">
        <f aca="false">ROUNDUP(MAX(J1815/IF(BZ1815&gt;0,BZ1815,MAX(0.1,N(Cockpit!$O$6))),CC1815)/BS1815,0)*BS1815</f>
        <v>0</v>
      </c>
      <c r="BA1815" s="58" t="n">
        <f aca="false">IF(AX1815&gt;0,J1815/AX1815,-1)</f>
        <v>-1</v>
      </c>
      <c r="BB1815" s="58" t="str">
        <f aca="false">IF(AND(OR(BY1815="L1",BY1815="L23"),AX1815&gt;0),SUMIFS($AX$7:$AX$1843,$BY$7:$BY$1843,BY1815,$BA$7:$BA$1843,"&gt;"&amp;BA1815)+SUMIFS($AX$7:$AX$1843,$BY$7:$BY$1843,BY1815,$BA$7:$BA$1843,BA1815,$BQ$7:$BQ$1843,"&lt;="&amp;BQ1815),"")</f>
        <v/>
      </c>
      <c r="BC1815" s="65" t="n">
        <f aca="false">IF(BB1815="",0,MAX(0,MIN(1,(IF(BY1815="L1",Parameter!$E$5,Parameter!$E$6+Parameter!$E$7)-(BB1815-AX1815))/AX1815)))</f>
        <v>0</v>
      </c>
      <c r="BD1815" s="55" t="str">
        <f aca="false">IF(AH1815&lt;=0,"",IF(BY1815="Aussen","Aussenlager",IF(BY1815="-","Nicht im Lift",IF(AM1815&gt;=1,"Lift",IF(AM1815&lt;=0,"Aussenlager","teilweise")))))</f>
        <v/>
      </c>
      <c r="BE1815" s="55" t="str">
        <f aca="false">IF(AP1815&lt;=0,"",IF(BY1815="Aussen","Aussenlager",IF(BY1815="-","Nicht im Lift",IF(AU1815&gt;=1,"Lift",IF(AU1815&lt;=0,"Aussenlager","teilweise")))))</f>
        <v/>
      </c>
      <c r="BF1815" s="55" t="str">
        <f aca="false">IF(AX1815&lt;=0,"",IF(BY1815="Aussen","Aussenlager",IF(BY1815="-","Nicht im Lift",IF(BC1815&gt;=1,"Lift",IF(BC1815&lt;=0,"Aussenlager","teilweise")))))</f>
        <v/>
      </c>
      <c r="BG1815" s="55" t="str">
        <f aca="false">IF(A1815="","",IF(BP1815=1,"Neu; ","")&amp;IF(AND(BP1815=0,BK1815&lt;0),"negativer Bestand (Export "&amp;BK1815&amp;"); ","")&amp;IF(J1815&lt;=0,"Kein Verbrauch; ","")&amp;IF(CH1815&gt;0,"Lift "&amp;W1815&amp;" lt. Liftbericht (Fach "&amp;X1815&amp;" Stk); ",IF(BU1815=1,"Gebinde geschätzt ("&amp;T1815&amp;"); ",IF(BT1815=1,"Lose – Tablare geschätzt; ","")))&amp;IF(H1815&gt;AR1815,"Überbestand "&amp;ROUND(H1815-AR1815,0)&amp;" Stk / CHF "&amp;ROUND((H1815-AR1815)*G1815,0)&amp;"; ","")&amp;IF(AND(CA1815=1,CB1815&lt;CC1815),"MAX &lt; MB+LG; ","")&amp;IF(AND(CG1815&gt;0,CF1815*10&gt;CG1815),"zu hoch für Tablar; ","")&amp;IF(AND(BP1815=0,OR(CA1815=1,AA1815&lt;&gt;"",U1815&lt;&gt;"",V1815&lt;&gt;"",AB1815&lt;&gt;"")),"manuell übersteuert; ","")&amp;IF(AND(BT1815=0,R1815=0),"Gebinde unbekannt / Stellmass fehlt; ","")&amp;IF(AND(BT1815=0,N(V1815)&lt;=0,N(Q1815)&lt;=0),"Menge pro Gebinde fehlt (Ist = 1 Gebinde); ","")&amp;BO1815)</f>
        <v/>
      </c>
      <c r="BH1815" s="55"/>
      <c r="BI1815" s="55"/>
      <c r="BJ1815" s="62"/>
      <c r="BK1815" s="57" t="n">
        <f aca="false">N('Neue Artikel'!$D$76)</f>
        <v>0</v>
      </c>
      <c r="BL1815" s="57" t="n">
        <v>0</v>
      </c>
      <c r="BM1815" s="56" t="n">
        <v>0</v>
      </c>
      <c r="BN1815" s="57" t="n">
        <f aca="false">N('Neue Artikel'!$C$76)/Parameter!$B$18</f>
        <v>0</v>
      </c>
      <c r="BO1815" s="55"/>
      <c r="BP1815" s="60" t="n">
        <v>1</v>
      </c>
      <c r="BQ1815" s="60" t="n">
        <v>1815</v>
      </c>
      <c r="BR1815" s="55" t="str">
        <f aca="false">IF(U1815&lt;&gt;"",UPPER(TRIM(U1815)),IF(BU1815=1,UPPER(VLOOKUP(T1815,Parameter!$I$27:$K$29,2,0)),IF(P1815="","LOSE",P1815)))</f>
        <v>LOSE</v>
      </c>
      <c r="BS1815" s="57" t="n">
        <f aca="false">IF(BR1815="LOSE",1,IF(N(V1815)&gt;0,V1815,IF(BU1815=1,MAX(1,N(VLOOKUP(T1815,Parameter!$I$27:$K$29,3,0)),H1815,N(N1815)),IF(N(Q1815)&gt;0,Q1815,MAX(1,H1815)))))</f>
        <v>1</v>
      </c>
      <c r="BT1815" s="60" t="n">
        <f aca="false">IF(BR1815="LOSE",1,0)</f>
        <v>1</v>
      </c>
      <c r="BU1815" s="60" t="n">
        <f aca="false">IF(AND(U1815="",OR(P1815="",P1815="LOSE"),T1815&lt;&gt;"",N(S1815)&lt;=0,ISNUMBER(MATCH(T1815,Parameter!$I$27:$I$29,0))),1,0)</f>
        <v>0</v>
      </c>
      <c r="BV1815" s="55" t="str">
        <f aca="false">IF(AND(Parameter!$B$19="Ja",E1815&lt;&gt;"",ISNUMBER(MATCH(E1815,Parameter!$I$35:$I$52,0))),VLOOKUP(E1815,Parameter!$I$35:$J$52,2,0),IFERROR(VLOOKUP(D1815,Parameter!$A$35:$C$64,2,0),"Nein"))</f>
        <v>2+3</v>
      </c>
      <c r="BW1815" s="59" t="n">
        <f aca="false">IF(BT1815=0,0,IF(N(S1815)&gt;0,S1815,IFERROR(VLOOKUP(D1815,Parameter!$A$35:$C$64,3,0)+0,0)))</f>
        <v>0.15</v>
      </c>
      <c r="BX1815" s="55" t="str">
        <f aca="false">IF(AA1815&lt;&gt;"",AA1815,Z1815)</f>
        <v/>
      </c>
      <c r="BY1815" s="55" t="str">
        <f aca="false">IF(BX1815=1,"L1",IF(OR(BX1815=2,BX1815=3),"L23",IF(BX1815="Aussen","Aussen","-")))</f>
        <v>-</v>
      </c>
      <c r="BZ1815" s="66" t="n">
        <f aca="false">IF(N(AB1815)&gt;0,AB1815,0)</f>
        <v>0</v>
      </c>
      <c r="CA1815" s="60" t="n">
        <f aca="false">IF(ISNUMBER(AE1815),1,0)</f>
        <v>0</v>
      </c>
      <c r="CB1815" s="57" t="n">
        <f aca="false">N(AE1815)</f>
        <v>0</v>
      </c>
      <c r="CC1815" s="57" t="n">
        <f aca="false">N(M1815)+N(N1815)</f>
        <v>0</v>
      </c>
      <c r="CD1815" s="57" t="n">
        <f aca="false">ROUNDUP(H1815/BS1815,0)</f>
        <v>0</v>
      </c>
      <c r="CE1815" s="57" t="n">
        <f aca="false">ROUNDUP(CB1815/BS1815,0)</f>
        <v>0</v>
      </c>
      <c r="CF1815" s="60" t="n">
        <f aca="false">IF(BT1815=1,0,IFERROR(VLOOKUP(BR1815,'Gebinde-Kategorie'!$A$5:$M$45,5,0)+0,0))</f>
        <v>0</v>
      </c>
      <c r="CG1815" s="60" t="n">
        <f aca="false">IFERROR(IF(OR(BX1815=1,BX1815=2,BX1815=3),N(INDEX(Parameter!$I$5:$I$7,BX1815)),0),0)</f>
        <v>0</v>
      </c>
      <c r="CH1815" s="59" t="n">
        <f aca="false">IF(AND(Parameter!$B$21="Ja",ISNUMBER(W1815),N(X1815)&gt;0),IFERROR(N(INDEX(Parameter!$L$5:$L$7,W1815))*INDEX(Parameter!$E$5:$E$7,W1815)*X1815/SUMIFS($X$7:$X$1843,$W$7:$W$1843,W1815),0),0)</f>
        <v>0</v>
      </c>
    </row>
    <row r="1816" customFormat="false" ht="15" hidden="false" customHeight="false" outlineLevel="0" collapsed="false">
      <c r="A1816" s="55" t="str">
        <f aca="false">IF('Neue Artikel'!$A$77="","",'Neue Artikel'!$A$77&amp;"")</f>
        <v/>
      </c>
      <c r="B1816" s="55" t="str">
        <f aca="false">'Neue Artikel'!$B$77&amp;""</f>
        <v/>
      </c>
      <c r="C1816" s="55"/>
      <c r="D1816" s="55" t="s">
        <v>3015</v>
      </c>
      <c r="E1816" s="55"/>
      <c r="F1816" s="55"/>
      <c r="G1816" s="56" t="n">
        <f aca="false">N('Neue Artikel'!$G$77)</f>
        <v>0</v>
      </c>
      <c r="H1816" s="57" t="n">
        <f aca="false">MAX(0,IF(AND(Parameter!$B$21="Ja",ISNUMBER(Y1816)),Y1816,IF(Parameter!$B$20="Jahresanfang 2025 + Export",BL1816+BK1816,BK1816)))</f>
        <v>0</v>
      </c>
      <c r="I1816" s="57" t="n">
        <f aca="false">H1816*G1816</f>
        <v>0</v>
      </c>
      <c r="J1816" s="57" t="n">
        <f aca="false">BN1816*Parameter!$B$18</f>
        <v>0</v>
      </c>
      <c r="K1816" s="58"/>
      <c r="L1816" s="59"/>
      <c r="M1816" s="57" t="n">
        <f aca="false">N('Neue Artikel'!$E$77)</f>
        <v>0</v>
      </c>
      <c r="N1816" s="57" t="n">
        <f aca="false">N('Neue Artikel'!$F$77)</f>
        <v>0</v>
      </c>
      <c r="O1816" s="60"/>
      <c r="P1816" s="55" t="str">
        <f aca="false">IF('Neue Artikel'!$H$77="","LOSE",UPPER(TRIM('Neue Artikel'!$H$77)))</f>
        <v>LOSE</v>
      </c>
      <c r="Q1816" s="57" t="n">
        <f aca="false">N('Neue Artikel'!$I$77)</f>
        <v>0</v>
      </c>
      <c r="R1816" s="60" t="n">
        <f aca="false">IF(BT1816=1,0,IFERROR(VLOOKUP(BR1816,'Gebinde-Kategorie'!$A$5:$M$45,13,0)+0,0))</f>
        <v>0</v>
      </c>
      <c r="S1816" s="61"/>
      <c r="T1816" s="62"/>
      <c r="U1816" s="62"/>
      <c r="V1816" s="62"/>
      <c r="W1816" s="55"/>
      <c r="X1816" s="57"/>
      <c r="Y1816" s="57"/>
      <c r="Z1816" s="55" t="str">
        <f aca="false">IF(A1816="","",IF(AND(Parameter!$B$21="Ja",ISNUMBER(W1816)),W1816,IF(BV1816="2+3",IF(ISNUMBER(SEARCH("grosser Artikel",BO1816)),2,IFERROR(VLOOKUP(BR1816,Parameter!$F$35:$G$64,2,0),2)),IF(OR(BV1816="Nein",BV1816=""),"-",BV1816))))</f>
        <v/>
      </c>
      <c r="AA1816" s="55" t="str">
        <f aca="false">IF('Neue Artikel'!$J$77="","",'Neue Artikel'!$J$77)</f>
        <v/>
      </c>
      <c r="AB1816" s="63"/>
      <c r="AC1816" s="57" t="n">
        <f aca="false">AR1816</f>
        <v>0</v>
      </c>
      <c r="AD1816" s="57" t="n">
        <f aca="false">MAX(AR1816,H1816)</f>
        <v>0</v>
      </c>
      <c r="AE1816" s="64"/>
      <c r="AF1816" s="57" t="n">
        <f aca="false">IF(LEFT(Cockpit!$C$5,1)="A",H1816,IF(CA1816=1,CB1816,IF(LEFT(Cockpit!$C$5,1)="B",AJ1816,MAX(AJ1816,H1816))))</f>
        <v>0</v>
      </c>
      <c r="AG1816" s="57" t="n">
        <f aca="false">IF(BT1816=1,0,ROUNDUP(AF1816/BS1816,0))</f>
        <v>0</v>
      </c>
      <c r="AH1816" s="59" t="n">
        <f aca="false">IF(CH1816&gt;0,CH1816*MAX(1,AF1816/X1816),IF(BT1816=1,IF(AF1816&lt;=0,0,BW1816*MAX(1,IF(H1816&gt;0,AF1816/H1816,1))),IF(R1816&gt;0,AG1816/R1816,0))/MAX(0.1,N(Parameter!$M$21)))</f>
        <v>0</v>
      </c>
      <c r="AI1816" s="57" t="n">
        <f aca="false">AF1816*G1816</f>
        <v>0</v>
      </c>
      <c r="AJ1816" s="57" t="n">
        <f aca="false">ROUNDUP(MAX(J1816/IF(BZ1816&gt;0,BZ1816,MAX(0.1,N(Cockpit!$C$6))),CC1816)/BS1816,0)*BS1816</f>
        <v>0</v>
      </c>
      <c r="AK1816" s="58" t="n">
        <f aca="false">IF(AH1816&gt;0,J1816/AH1816,-1)</f>
        <v>-1</v>
      </c>
      <c r="AL1816" s="58" t="str">
        <f aca="false">IF(AND(OR(BY1816="L1",BY1816="L23"),AH1816&gt;0),SUMIFS($AH$7:$AH$1843,$BY$7:$BY$1843,BY1816,$AK$7:$AK$1843,"&gt;"&amp;AK1816)+SUMIFS($AH$7:$AH$1843,$BY$7:$BY$1843,BY1816,$AK$7:$AK$1843,AK1816,$BQ$7:$BQ$1843,"&lt;="&amp;BQ1816),"")</f>
        <v/>
      </c>
      <c r="AM1816" s="65" t="n">
        <f aca="false">IF(AL1816="",0,MAX(0,MIN(1,(IF(BY1816="L1",Parameter!$E$5,Parameter!$E$6+Parameter!$E$7)-(AL1816-AH1816))/AH1816)))</f>
        <v>0</v>
      </c>
      <c r="AN1816" s="57" t="n">
        <f aca="false">IF(LEFT(Cockpit!$I$5,1)="A",H1816,IF(CA1816=1,CB1816,IF(LEFT(Cockpit!$I$5,1)="B",AR1816,MAX(AR1816,H1816))))</f>
        <v>0</v>
      </c>
      <c r="AO1816" s="57" t="n">
        <f aca="false">IF(BT1816=1,0,ROUNDUP(AN1816/BS1816,0))</f>
        <v>0</v>
      </c>
      <c r="AP1816" s="59" t="n">
        <f aca="false">IF(CH1816&gt;0,CH1816*MAX(1,AN1816/X1816),IF(BT1816=1,IF(AN1816&lt;=0,0,BW1816*MAX(1,IF(H1816&gt;0,AN1816/H1816,1))),IF(R1816&gt;0,AO1816/R1816,0))/MAX(0.1,N(Parameter!$M$21)))</f>
        <v>0</v>
      </c>
      <c r="AQ1816" s="57" t="n">
        <f aca="false">AN1816*G1816</f>
        <v>0</v>
      </c>
      <c r="AR1816" s="57" t="n">
        <f aca="false">ROUNDUP(MAX(J1816/IF(BZ1816&gt;0,BZ1816,MAX(0.1,N(Cockpit!$I$6))),CC1816)/BS1816,0)*BS1816</f>
        <v>0</v>
      </c>
      <c r="AS1816" s="58" t="n">
        <f aca="false">IF(AP1816&gt;0,J1816/AP1816,-1)</f>
        <v>-1</v>
      </c>
      <c r="AT1816" s="58" t="str">
        <f aca="false">IF(AND(OR(BY1816="L1",BY1816="L23"),AP1816&gt;0),SUMIFS($AP$7:$AP$1843,$BY$7:$BY$1843,BY1816,$AS$7:$AS$1843,"&gt;"&amp;AS1816)+SUMIFS($AP$7:$AP$1843,$BY$7:$BY$1843,BY1816,$AS$7:$AS$1843,AS1816,$BQ$7:$BQ$1843,"&lt;="&amp;BQ1816),"")</f>
        <v/>
      </c>
      <c r="AU1816" s="65" t="n">
        <f aca="false">IF(AT1816="",0,MAX(0,MIN(1,(IF(BY1816="L1",Parameter!$E$5,Parameter!$E$6+Parameter!$E$7)-(AT1816-AP1816))/AP1816)))</f>
        <v>0</v>
      </c>
      <c r="AV1816" s="57" t="n">
        <f aca="false">IF(LEFT(Cockpit!$O$5,1)="A",H1816,IF(CA1816=1,CB1816,IF(LEFT(Cockpit!$O$5,1)="B",AZ1816,MAX(AZ1816,H1816))))</f>
        <v>0</v>
      </c>
      <c r="AW1816" s="57" t="n">
        <f aca="false">IF(BT1816=1,0,ROUNDUP(AV1816/BS1816,0))</f>
        <v>0</v>
      </c>
      <c r="AX1816" s="59" t="n">
        <f aca="false">IF(CH1816&gt;0,CH1816*MAX(1,AV1816/X1816),IF(BT1816=1,IF(AV1816&lt;=0,0,BW1816*MAX(1,IF(H1816&gt;0,AV1816/H1816,1))),IF(R1816&gt;0,AW1816/R1816,0))/MAX(0.1,N(Parameter!$M$21)))</f>
        <v>0</v>
      </c>
      <c r="AY1816" s="57" t="n">
        <f aca="false">AV1816*G1816</f>
        <v>0</v>
      </c>
      <c r="AZ1816" s="57" t="n">
        <f aca="false">ROUNDUP(MAX(J1816/IF(BZ1816&gt;0,BZ1816,MAX(0.1,N(Cockpit!$O$6))),CC1816)/BS1816,0)*BS1816</f>
        <v>0</v>
      </c>
      <c r="BA1816" s="58" t="n">
        <f aca="false">IF(AX1816&gt;0,J1816/AX1816,-1)</f>
        <v>-1</v>
      </c>
      <c r="BB1816" s="58" t="str">
        <f aca="false">IF(AND(OR(BY1816="L1",BY1816="L23"),AX1816&gt;0),SUMIFS($AX$7:$AX$1843,$BY$7:$BY$1843,BY1816,$BA$7:$BA$1843,"&gt;"&amp;BA1816)+SUMIFS($AX$7:$AX$1843,$BY$7:$BY$1843,BY1816,$BA$7:$BA$1843,BA1816,$BQ$7:$BQ$1843,"&lt;="&amp;BQ1816),"")</f>
        <v/>
      </c>
      <c r="BC1816" s="65" t="n">
        <f aca="false">IF(BB1816="",0,MAX(0,MIN(1,(IF(BY1816="L1",Parameter!$E$5,Parameter!$E$6+Parameter!$E$7)-(BB1816-AX1816))/AX1816)))</f>
        <v>0</v>
      </c>
      <c r="BD1816" s="55" t="str">
        <f aca="false">IF(AH1816&lt;=0,"",IF(BY1816="Aussen","Aussenlager",IF(BY1816="-","Nicht im Lift",IF(AM1816&gt;=1,"Lift",IF(AM1816&lt;=0,"Aussenlager","teilweise")))))</f>
        <v/>
      </c>
      <c r="BE1816" s="55" t="str">
        <f aca="false">IF(AP1816&lt;=0,"",IF(BY1816="Aussen","Aussenlager",IF(BY1816="-","Nicht im Lift",IF(AU1816&gt;=1,"Lift",IF(AU1816&lt;=0,"Aussenlager","teilweise")))))</f>
        <v/>
      </c>
      <c r="BF1816" s="55" t="str">
        <f aca="false">IF(AX1816&lt;=0,"",IF(BY1816="Aussen","Aussenlager",IF(BY1816="-","Nicht im Lift",IF(BC1816&gt;=1,"Lift",IF(BC1816&lt;=0,"Aussenlager","teilweise")))))</f>
        <v/>
      </c>
      <c r="BG1816" s="55" t="str">
        <f aca="false">IF(A1816="","",IF(BP1816=1,"Neu; ","")&amp;IF(AND(BP1816=0,BK1816&lt;0),"negativer Bestand (Export "&amp;BK1816&amp;"); ","")&amp;IF(J1816&lt;=0,"Kein Verbrauch; ","")&amp;IF(CH1816&gt;0,"Lift "&amp;W1816&amp;" lt. Liftbericht (Fach "&amp;X1816&amp;" Stk); ",IF(BU1816=1,"Gebinde geschätzt ("&amp;T1816&amp;"); ",IF(BT1816=1,"Lose – Tablare geschätzt; ","")))&amp;IF(H1816&gt;AR1816,"Überbestand "&amp;ROUND(H1816-AR1816,0)&amp;" Stk / CHF "&amp;ROUND((H1816-AR1816)*G1816,0)&amp;"; ","")&amp;IF(AND(CA1816=1,CB1816&lt;CC1816),"MAX &lt; MB+LG; ","")&amp;IF(AND(CG1816&gt;0,CF1816*10&gt;CG1816),"zu hoch für Tablar; ","")&amp;IF(AND(BP1816=0,OR(CA1816=1,AA1816&lt;&gt;"",U1816&lt;&gt;"",V1816&lt;&gt;"",AB1816&lt;&gt;"")),"manuell übersteuert; ","")&amp;IF(AND(BT1816=0,R1816=0),"Gebinde unbekannt / Stellmass fehlt; ","")&amp;IF(AND(BT1816=0,N(V1816)&lt;=0,N(Q1816)&lt;=0),"Menge pro Gebinde fehlt (Ist = 1 Gebinde); ","")&amp;BO1816)</f>
        <v/>
      </c>
      <c r="BH1816" s="55"/>
      <c r="BI1816" s="55"/>
      <c r="BJ1816" s="62"/>
      <c r="BK1816" s="57" t="n">
        <f aca="false">N('Neue Artikel'!$D$77)</f>
        <v>0</v>
      </c>
      <c r="BL1816" s="57" t="n">
        <v>0</v>
      </c>
      <c r="BM1816" s="56" t="n">
        <v>0</v>
      </c>
      <c r="BN1816" s="57" t="n">
        <f aca="false">N('Neue Artikel'!$C$77)/Parameter!$B$18</f>
        <v>0</v>
      </c>
      <c r="BO1816" s="55"/>
      <c r="BP1816" s="60" t="n">
        <v>1</v>
      </c>
      <c r="BQ1816" s="60" t="n">
        <v>1816</v>
      </c>
      <c r="BR1816" s="55" t="str">
        <f aca="false">IF(U1816&lt;&gt;"",UPPER(TRIM(U1816)),IF(BU1816=1,UPPER(VLOOKUP(T1816,Parameter!$I$27:$K$29,2,0)),IF(P1816="","LOSE",P1816)))</f>
        <v>LOSE</v>
      </c>
      <c r="BS1816" s="57" t="n">
        <f aca="false">IF(BR1816="LOSE",1,IF(N(V1816)&gt;0,V1816,IF(BU1816=1,MAX(1,N(VLOOKUP(T1816,Parameter!$I$27:$K$29,3,0)),H1816,N(N1816)),IF(N(Q1816)&gt;0,Q1816,MAX(1,H1816)))))</f>
        <v>1</v>
      </c>
      <c r="BT1816" s="60" t="n">
        <f aca="false">IF(BR1816="LOSE",1,0)</f>
        <v>1</v>
      </c>
      <c r="BU1816" s="60" t="n">
        <f aca="false">IF(AND(U1816="",OR(P1816="",P1816="LOSE"),T1816&lt;&gt;"",N(S1816)&lt;=0,ISNUMBER(MATCH(T1816,Parameter!$I$27:$I$29,0))),1,0)</f>
        <v>0</v>
      </c>
      <c r="BV1816" s="55" t="str">
        <f aca="false">IF(AND(Parameter!$B$19="Ja",E1816&lt;&gt;"",ISNUMBER(MATCH(E1816,Parameter!$I$35:$I$52,0))),VLOOKUP(E1816,Parameter!$I$35:$J$52,2,0),IFERROR(VLOOKUP(D1816,Parameter!$A$35:$C$64,2,0),"Nein"))</f>
        <v>2+3</v>
      </c>
      <c r="BW1816" s="59" t="n">
        <f aca="false">IF(BT1816=0,0,IF(N(S1816)&gt;0,S1816,IFERROR(VLOOKUP(D1816,Parameter!$A$35:$C$64,3,0)+0,0)))</f>
        <v>0.15</v>
      </c>
      <c r="BX1816" s="55" t="str">
        <f aca="false">IF(AA1816&lt;&gt;"",AA1816,Z1816)</f>
        <v/>
      </c>
      <c r="BY1816" s="55" t="str">
        <f aca="false">IF(BX1816=1,"L1",IF(OR(BX1816=2,BX1816=3),"L23",IF(BX1816="Aussen","Aussen","-")))</f>
        <v>-</v>
      </c>
      <c r="BZ1816" s="66" t="n">
        <f aca="false">IF(N(AB1816)&gt;0,AB1816,0)</f>
        <v>0</v>
      </c>
      <c r="CA1816" s="60" t="n">
        <f aca="false">IF(ISNUMBER(AE1816),1,0)</f>
        <v>0</v>
      </c>
      <c r="CB1816" s="57" t="n">
        <f aca="false">N(AE1816)</f>
        <v>0</v>
      </c>
      <c r="CC1816" s="57" t="n">
        <f aca="false">N(M1816)+N(N1816)</f>
        <v>0</v>
      </c>
      <c r="CD1816" s="57" t="n">
        <f aca="false">ROUNDUP(H1816/BS1816,0)</f>
        <v>0</v>
      </c>
      <c r="CE1816" s="57" t="n">
        <f aca="false">ROUNDUP(CB1816/BS1816,0)</f>
        <v>0</v>
      </c>
      <c r="CF1816" s="60" t="n">
        <f aca="false">IF(BT1816=1,0,IFERROR(VLOOKUP(BR1816,'Gebinde-Kategorie'!$A$5:$M$45,5,0)+0,0))</f>
        <v>0</v>
      </c>
      <c r="CG1816" s="60" t="n">
        <f aca="false">IFERROR(IF(OR(BX1816=1,BX1816=2,BX1816=3),N(INDEX(Parameter!$I$5:$I$7,BX1816)),0),0)</f>
        <v>0</v>
      </c>
      <c r="CH1816" s="59" t="n">
        <f aca="false">IF(AND(Parameter!$B$21="Ja",ISNUMBER(W1816),N(X1816)&gt;0),IFERROR(N(INDEX(Parameter!$L$5:$L$7,W1816))*INDEX(Parameter!$E$5:$E$7,W1816)*X1816/SUMIFS($X$7:$X$1843,$W$7:$W$1843,W1816),0),0)</f>
        <v>0</v>
      </c>
    </row>
    <row r="1817" customFormat="false" ht="15" hidden="false" customHeight="false" outlineLevel="0" collapsed="false">
      <c r="A1817" s="55" t="str">
        <f aca="false">IF('Neue Artikel'!$A$78="","",'Neue Artikel'!$A$78&amp;"")</f>
        <v/>
      </c>
      <c r="B1817" s="55" t="str">
        <f aca="false">'Neue Artikel'!$B$78&amp;""</f>
        <v/>
      </c>
      <c r="C1817" s="55"/>
      <c r="D1817" s="55" t="s">
        <v>3015</v>
      </c>
      <c r="E1817" s="55"/>
      <c r="F1817" s="55"/>
      <c r="G1817" s="56" t="n">
        <f aca="false">N('Neue Artikel'!$G$78)</f>
        <v>0</v>
      </c>
      <c r="H1817" s="57" t="n">
        <f aca="false">MAX(0,IF(AND(Parameter!$B$21="Ja",ISNUMBER(Y1817)),Y1817,IF(Parameter!$B$20="Jahresanfang 2025 + Export",BL1817+BK1817,BK1817)))</f>
        <v>0</v>
      </c>
      <c r="I1817" s="57" t="n">
        <f aca="false">H1817*G1817</f>
        <v>0</v>
      </c>
      <c r="J1817" s="57" t="n">
        <f aca="false">BN1817*Parameter!$B$18</f>
        <v>0</v>
      </c>
      <c r="K1817" s="58"/>
      <c r="L1817" s="59"/>
      <c r="M1817" s="57" t="n">
        <f aca="false">N('Neue Artikel'!$E$78)</f>
        <v>0</v>
      </c>
      <c r="N1817" s="57" t="n">
        <f aca="false">N('Neue Artikel'!$F$78)</f>
        <v>0</v>
      </c>
      <c r="O1817" s="60"/>
      <c r="P1817" s="55" t="str">
        <f aca="false">IF('Neue Artikel'!$H$78="","LOSE",UPPER(TRIM('Neue Artikel'!$H$78)))</f>
        <v>LOSE</v>
      </c>
      <c r="Q1817" s="57" t="n">
        <f aca="false">N('Neue Artikel'!$I$78)</f>
        <v>0</v>
      </c>
      <c r="R1817" s="60" t="n">
        <f aca="false">IF(BT1817=1,0,IFERROR(VLOOKUP(BR1817,'Gebinde-Kategorie'!$A$5:$M$45,13,0)+0,0))</f>
        <v>0</v>
      </c>
      <c r="S1817" s="61"/>
      <c r="T1817" s="62"/>
      <c r="U1817" s="62"/>
      <c r="V1817" s="62"/>
      <c r="W1817" s="55"/>
      <c r="X1817" s="57"/>
      <c r="Y1817" s="57"/>
      <c r="Z1817" s="55" t="str">
        <f aca="false">IF(A1817="","",IF(AND(Parameter!$B$21="Ja",ISNUMBER(W1817)),W1817,IF(BV1817="2+3",IF(ISNUMBER(SEARCH("grosser Artikel",BO1817)),2,IFERROR(VLOOKUP(BR1817,Parameter!$F$35:$G$64,2,0),2)),IF(OR(BV1817="Nein",BV1817=""),"-",BV1817))))</f>
        <v/>
      </c>
      <c r="AA1817" s="55" t="str">
        <f aca="false">IF('Neue Artikel'!$J$78="","",'Neue Artikel'!$J$78)</f>
        <v/>
      </c>
      <c r="AB1817" s="63"/>
      <c r="AC1817" s="57" t="n">
        <f aca="false">AR1817</f>
        <v>0</v>
      </c>
      <c r="AD1817" s="57" t="n">
        <f aca="false">MAX(AR1817,H1817)</f>
        <v>0</v>
      </c>
      <c r="AE1817" s="64"/>
      <c r="AF1817" s="57" t="n">
        <f aca="false">IF(LEFT(Cockpit!$C$5,1)="A",H1817,IF(CA1817=1,CB1817,IF(LEFT(Cockpit!$C$5,1)="B",AJ1817,MAX(AJ1817,H1817))))</f>
        <v>0</v>
      </c>
      <c r="AG1817" s="57" t="n">
        <f aca="false">IF(BT1817=1,0,ROUNDUP(AF1817/BS1817,0))</f>
        <v>0</v>
      </c>
      <c r="AH1817" s="59" t="n">
        <f aca="false">IF(CH1817&gt;0,CH1817*MAX(1,AF1817/X1817),IF(BT1817=1,IF(AF1817&lt;=0,0,BW1817*MAX(1,IF(H1817&gt;0,AF1817/H1817,1))),IF(R1817&gt;0,AG1817/R1817,0))/MAX(0.1,N(Parameter!$M$21)))</f>
        <v>0</v>
      </c>
      <c r="AI1817" s="57" t="n">
        <f aca="false">AF1817*G1817</f>
        <v>0</v>
      </c>
      <c r="AJ1817" s="57" t="n">
        <f aca="false">ROUNDUP(MAX(J1817/IF(BZ1817&gt;0,BZ1817,MAX(0.1,N(Cockpit!$C$6))),CC1817)/BS1817,0)*BS1817</f>
        <v>0</v>
      </c>
      <c r="AK1817" s="58" t="n">
        <f aca="false">IF(AH1817&gt;0,J1817/AH1817,-1)</f>
        <v>-1</v>
      </c>
      <c r="AL1817" s="58" t="str">
        <f aca="false">IF(AND(OR(BY1817="L1",BY1817="L23"),AH1817&gt;0),SUMIFS($AH$7:$AH$1843,$BY$7:$BY$1843,BY1817,$AK$7:$AK$1843,"&gt;"&amp;AK1817)+SUMIFS($AH$7:$AH$1843,$BY$7:$BY$1843,BY1817,$AK$7:$AK$1843,AK1817,$BQ$7:$BQ$1843,"&lt;="&amp;BQ1817),"")</f>
        <v/>
      </c>
      <c r="AM1817" s="65" t="n">
        <f aca="false">IF(AL1817="",0,MAX(0,MIN(1,(IF(BY1817="L1",Parameter!$E$5,Parameter!$E$6+Parameter!$E$7)-(AL1817-AH1817))/AH1817)))</f>
        <v>0</v>
      </c>
      <c r="AN1817" s="57" t="n">
        <f aca="false">IF(LEFT(Cockpit!$I$5,1)="A",H1817,IF(CA1817=1,CB1817,IF(LEFT(Cockpit!$I$5,1)="B",AR1817,MAX(AR1817,H1817))))</f>
        <v>0</v>
      </c>
      <c r="AO1817" s="57" t="n">
        <f aca="false">IF(BT1817=1,0,ROUNDUP(AN1817/BS1817,0))</f>
        <v>0</v>
      </c>
      <c r="AP1817" s="59" t="n">
        <f aca="false">IF(CH1817&gt;0,CH1817*MAX(1,AN1817/X1817),IF(BT1817=1,IF(AN1817&lt;=0,0,BW1817*MAX(1,IF(H1817&gt;0,AN1817/H1817,1))),IF(R1817&gt;0,AO1817/R1817,0))/MAX(0.1,N(Parameter!$M$21)))</f>
        <v>0</v>
      </c>
      <c r="AQ1817" s="57" t="n">
        <f aca="false">AN1817*G1817</f>
        <v>0</v>
      </c>
      <c r="AR1817" s="57" t="n">
        <f aca="false">ROUNDUP(MAX(J1817/IF(BZ1817&gt;0,BZ1817,MAX(0.1,N(Cockpit!$I$6))),CC1817)/BS1817,0)*BS1817</f>
        <v>0</v>
      </c>
      <c r="AS1817" s="58" t="n">
        <f aca="false">IF(AP1817&gt;0,J1817/AP1817,-1)</f>
        <v>-1</v>
      </c>
      <c r="AT1817" s="58" t="str">
        <f aca="false">IF(AND(OR(BY1817="L1",BY1817="L23"),AP1817&gt;0),SUMIFS($AP$7:$AP$1843,$BY$7:$BY$1843,BY1817,$AS$7:$AS$1843,"&gt;"&amp;AS1817)+SUMIFS($AP$7:$AP$1843,$BY$7:$BY$1843,BY1817,$AS$7:$AS$1843,AS1817,$BQ$7:$BQ$1843,"&lt;="&amp;BQ1817),"")</f>
        <v/>
      </c>
      <c r="AU1817" s="65" t="n">
        <f aca="false">IF(AT1817="",0,MAX(0,MIN(1,(IF(BY1817="L1",Parameter!$E$5,Parameter!$E$6+Parameter!$E$7)-(AT1817-AP1817))/AP1817)))</f>
        <v>0</v>
      </c>
      <c r="AV1817" s="57" t="n">
        <f aca="false">IF(LEFT(Cockpit!$O$5,1)="A",H1817,IF(CA1817=1,CB1817,IF(LEFT(Cockpit!$O$5,1)="B",AZ1817,MAX(AZ1817,H1817))))</f>
        <v>0</v>
      </c>
      <c r="AW1817" s="57" t="n">
        <f aca="false">IF(BT1817=1,0,ROUNDUP(AV1817/BS1817,0))</f>
        <v>0</v>
      </c>
      <c r="AX1817" s="59" t="n">
        <f aca="false">IF(CH1817&gt;0,CH1817*MAX(1,AV1817/X1817),IF(BT1817=1,IF(AV1817&lt;=0,0,BW1817*MAX(1,IF(H1817&gt;0,AV1817/H1817,1))),IF(R1817&gt;0,AW1817/R1817,0))/MAX(0.1,N(Parameter!$M$21)))</f>
        <v>0</v>
      </c>
      <c r="AY1817" s="57" t="n">
        <f aca="false">AV1817*G1817</f>
        <v>0</v>
      </c>
      <c r="AZ1817" s="57" t="n">
        <f aca="false">ROUNDUP(MAX(J1817/IF(BZ1817&gt;0,BZ1817,MAX(0.1,N(Cockpit!$O$6))),CC1817)/BS1817,0)*BS1817</f>
        <v>0</v>
      </c>
      <c r="BA1817" s="58" t="n">
        <f aca="false">IF(AX1817&gt;0,J1817/AX1817,-1)</f>
        <v>-1</v>
      </c>
      <c r="BB1817" s="58" t="str">
        <f aca="false">IF(AND(OR(BY1817="L1",BY1817="L23"),AX1817&gt;0),SUMIFS($AX$7:$AX$1843,$BY$7:$BY$1843,BY1817,$BA$7:$BA$1843,"&gt;"&amp;BA1817)+SUMIFS($AX$7:$AX$1843,$BY$7:$BY$1843,BY1817,$BA$7:$BA$1843,BA1817,$BQ$7:$BQ$1843,"&lt;="&amp;BQ1817),"")</f>
        <v/>
      </c>
      <c r="BC1817" s="65" t="n">
        <f aca="false">IF(BB1817="",0,MAX(0,MIN(1,(IF(BY1817="L1",Parameter!$E$5,Parameter!$E$6+Parameter!$E$7)-(BB1817-AX1817))/AX1817)))</f>
        <v>0</v>
      </c>
      <c r="BD1817" s="55" t="str">
        <f aca="false">IF(AH1817&lt;=0,"",IF(BY1817="Aussen","Aussenlager",IF(BY1817="-","Nicht im Lift",IF(AM1817&gt;=1,"Lift",IF(AM1817&lt;=0,"Aussenlager","teilweise")))))</f>
        <v/>
      </c>
      <c r="BE1817" s="55" t="str">
        <f aca="false">IF(AP1817&lt;=0,"",IF(BY1817="Aussen","Aussenlager",IF(BY1817="-","Nicht im Lift",IF(AU1817&gt;=1,"Lift",IF(AU1817&lt;=0,"Aussenlager","teilweise")))))</f>
        <v/>
      </c>
      <c r="BF1817" s="55" t="str">
        <f aca="false">IF(AX1817&lt;=0,"",IF(BY1817="Aussen","Aussenlager",IF(BY1817="-","Nicht im Lift",IF(BC1817&gt;=1,"Lift",IF(BC1817&lt;=0,"Aussenlager","teilweise")))))</f>
        <v/>
      </c>
      <c r="BG1817" s="55" t="str">
        <f aca="false">IF(A1817="","",IF(BP1817=1,"Neu; ","")&amp;IF(AND(BP1817=0,BK1817&lt;0),"negativer Bestand (Export "&amp;BK1817&amp;"); ","")&amp;IF(J1817&lt;=0,"Kein Verbrauch; ","")&amp;IF(CH1817&gt;0,"Lift "&amp;W1817&amp;" lt. Liftbericht (Fach "&amp;X1817&amp;" Stk); ",IF(BU1817=1,"Gebinde geschätzt ("&amp;T1817&amp;"); ",IF(BT1817=1,"Lose – Tablare geschätzt; ","")))&amp;IF(H1817&gt;AR1817,"Überbestand "&amp;ROUND(H1817-AR1817,0)&amp;" Stk / CHF "&amp;ROUND((H1817-AR1817)*G1817,0)&amp;"; ","")&amp;IF(AND(CA1817=1,CB1817&lt;CC1817),"MAX &lt; MB+LG; ","")&amp;IF(AND(CG1817&gt;0,CF1817*10&gt;CG1817),"zu hoch für Tablar; ","")&amp;IF(AND(BP1817=0,OR(CA1817=1,AA1817&lt;&gt;"",U1817&lt;&gt;"",V1817&lt;&gt;"",AB1817&lt;&gt;"")),"manuell übersteuert; ","")&amp;IF(AND(BT1817=0,R1817=0),"Gebinde unbekannt / Stellmass fehlt; ","")&amp;IF(AND(BT1817=0,N(V1817)&lt;=0,N(Q1817)&lt;=0),"Menge pro Gebinde fehlt (Ist = 1 Gebinde); ","")&amp;BO1817)</f>
        <v/>
      </c>
      <c r="BH1817" s="55"/>
      <c r="BI1817" s="55"/>
      <c r="BJ1817" s="62"/>
      <c r="BK1817" s="57" t="n">
        <f aca="false">N('Neue Artikel'!$D$78)</f>
        <v>0</v>
      </c>
      <c r="BL1817" s="57" t="n">
        <v>0</v>
      </c>
      <c r="BM1817" s="56" t="n">
        <v>0</v>
      </c>
      <c r="BN1817" s="57" t="n">
        <f aca="false">N('Neue Artikel'!$C$78)/Parameter!$B$18</f>
        <v>0</v>
      </c>
      <c r="BO1817" s="55"/>
      <c r="BP1817" s="60" t="n">
        <v>1</v>
      </c>
      <c r="BQ1817" s="60" t="n">
        <v>1817</v>
      </c>
      <c r="BR1817" s="55" t="str">
        <f aca="false">IF(U1817&lt;&gt;"",UPPER(TRIM(U1817)),IF(BU1817=1,UPPER(VLOOKUP(T1817,Parameter!$I$27:$K$29,2,0)),IF(P1817="","LOSE",P1817)))</f>
        <v>LOSE</v>
      </c>
      <c r="BS1817" s="57" t="n">
        <f aca="false">IF(BR1817="LOSE",1,IF(N(V1817)&gt;0,V1817,IF(BU1817=1,MAX(1,N(VLOOKUP(T1817,Parameter!$I$27:$K$29,3,0)),H1817,N(N1817)),IF(N(Q1817)&gt;0,Q1817,MAX(1,H1817)))))</f>
        <v>1</v>
      </c>
      <c r="BT1817" s="60" t="n">
        <f aca="false">IF(BR1817="LOSE",1,0)</f>
        <v>1</v>
      </c>
      <c r="BU1817" s="60" t="n">
        <f aca="false">IF(AND(U1817="",OR(P1817="",P1817="LOSE"),T1817&lt;&gt;"",N(S1817)&lt;=0,ISNUMBER(MATCH(T1817,Parameter!$I$27:$I$29,0))),1,0)</f>
        <v>0</v>
      </c>
      <c r="BV1817" s="55" t="str">
        <f aca="false">IF(AND(Parameter!$B$19="Ja",E1817&lt;&gt;"",ISNUMBER(MATCH(E1817,Parameter!$I$35:$I$52,0))),VLOOKUP(E1817,Parameter!$I$35:$J$52,2,0),IFERROR(VLOOKUP(D1817,Parameter!$A$35:$C$64,2,0),"Nein"))</f>
        <v>2+3</v>
      </c>
      <c r="BW1817" s="59" t="n">
        <f aca="false">IF(BT1817=0,0,IF(N(S1817)&gt;0,S1817,IFERROR(VLOOKUP(D1817,Parameter!$A$35:$C$64,3,0)+0,0)))</f>
        <v>0.15</v>
      </c>
      <c r="BX1817" s="55" t="str">
        <f aca="false">IF(AA1817&lt;&gt;"",AA1817,Z1817)</f>
        <v/>
      </c>
      <c r="BY1817" s="55" t="str">
        <f aca="false">IF(BX1817=1,"L1",IF(OR(BX1817=2,BX1817=3),"L23",IF(BX1817="Aussen","Aussen","-")))</f>
        <v>-</v>
      </c>
      <c r="BZ1817" s="66" t="n">
        <f aca="false">IF(N(AB1817)&gt;0,AB1817,0)</f>
        <v>0</v>
      </c>
      <c r="CA1817" s="60" t="n">
        <f aca="false">IF(ISNUMBER(AE1817),1,0)</f>
        <v>0</v>
      </c>
      <c r="CB1817" s="57" t="n">
        <f aca="false">N(AE1817)</f>
        <v>0</v>
      </c>
      <c r="CC1817" s="57" t="n">
        <f aca="false">N(M1817)+N(N1817)</f>
        <v>0</v>
      </c>
      <c r="CD1817" s="57" t="n">
        <f aca="false">ROUNDUP(H1817/BS1817,0)</f>
        <v>0</v>
      </c>
      <c r="CE1817" s="57" t="n">
        <f aca="false">ROUNDUP(CB1817/BS1817,0)</f>
        <v>0</v>
      </c>
      <c r="CF1817" s="60" t="n">
        <f aca="false">IF(BT1817=1,0,IFERROR(VLOOKUP(BR1817,'Gebinde-Kategorie'!$A$5:$M$45,5,0)+0,0))</f>
        <v>0</v>
      </c>
      <c r="CG1817" s="60" t="n">
        <f aca="false">IFERROR(IF(OR(BX1817=1,BX1817=2,BX1817=3),N(INDEX(Parameter!$I$5:$I$7,BX1817)),0),0)</f>
        <v>0</v>
      </c>
      <c r="CH1817" s="59" t="n">
        <f aca="false">IF(AND(Parameter!$B$21="Ja",ISNUMBER(W1817),N(X1817)&gt;0),IFERROR(N(INDEX(Parameter!$L$5:$L$7,W1817))*INDEX(Parameter!$E$5:$E$7,W1817)*X1817/SUMIFS($X$7:$X$1843,$W$7:$W$1843,W1817),0),0)</f>
        <v>0</v>
      </c>
    </row>
    <row r="1818" customFormat="false" ht="15" hidden="false" customHeight="false" outlineLevel="0" collapsed="false">
      <c r="A1818" s="55" t="str">
        <f aca="false">IF('Neue Artikel'!$A$79="","",'Neue Artikel'!$A$79&amp;"")</f>
        <v/>
      </c>
      <c r="B1818" s="55" t="str">
        <f aca="false">'Neue Artikel'!$B$79&amp;""</f>
        <v/>
      </c>
      <c r="C1818" s="55"/>
      <c r="D1818" s="55" t="s">
        <v>3015</v>
      </c>
      <c r="E1818" s="55"/>
      <c r="F1818" s="55"/>
      <c r="G1818" s="56" t="n">
        <f aca="false">N('Neue Artikel'!$G$79)</f>
        <v>0</v>
      </c>
      <c r="H1818" s="57" t="n">
        <f aca="false">MAX(0,IF(AND(Parameter!$B$21="Ja",ISNUMBER(Y1818)),Y1818,IF(Parameter!$B$20="Jahresanfang 2025 + Export",BL1818+BK1818,BK1818)))</f>
        <v>0</v>
      </c>
      <c r="I1818" s="57" t="n">
        <f aca="false">H1818*G1818</f>
        <v>0</v>
      </c>
      <c r="J1818" s="57" t="n">
        <f aca="false">BN1818*Parameter!$B$18</f>
        <v>0</v>
      </c>
      <c r="K1818" s="58"/>
      <c r="L1818" s="59"/>
      <c r="M1818" s="57" t="n">
        <f aca="false">N('Neue Artikel'!$E$79)</f>
        <v>0</v>
      </c>
      <c r="N1818" s="57" t="n">
        <f aca="false">N('Neue Artikel'!$F$79)</f>
        <v>0</v>
      </c>
      <c r="O1818" s="60"/>
      <c r="P1818" s="55" t="str">
        <f aca="false">IF('Neue Artikel'!$H$79="","LOSE",UPPER(TRIM('Neue Artikel'!$H$79)))</f>
        <v>LOSE</v>
      </c>
      <c r="Q1818" s="57" t="n">
        <f aca="false">N('Neue Artikel'!$I$79)</f>
        <v>0</v>
      </c>
      <c r="R1818" s="60" t="n">
        <f aca="false">IF(BT1818=1,0,IFERROR(VLOOKUP(BR1818,'Gebinde-Kategorie'!$A$5:$M$45,13,0)+0,0))</f>
        <v>0</v>
      </c>
      <c r="S1818" s="61"/>
      <c r="T1818" s="62"/>
      <c r="U1818" s="62"/>
      <c r="V1818" s="62"/>
      <c r="W1818" s="55"/>
      <c r="X1818" s="57"/>
      <c r="Y1818" s="57"/>
      <c r="Z1818" s="55" t="str">
        <f aca="false">IF(A1818="","",IF(AND(Parameter!$B$21="Ja",ISNUMBER(W1818)),W1818,IF(BV1818="2+3",IF(ISNUMBER(SEARCH("grosser Artikel",BO1818)),2,IFERROR(VLOOKUP(BR1818,Parameter!$F$35:$G$64,2,0),2)),IF(OR(BV1818="Nein",BV1818=""),"-",BV1818))))</f>
        <v/>
      </c>
      <c r="AA1818" s="55" t="str">
        <f aca="false">IF('Neue Artikel'!$J$79="","",'Neue Artikel'!$J$79)</f>
        <v/>
      </c>
      <c r="AB1818" s="63"/>
      <c r="AC1818" s="57" t="n">
        <f aca="false">AR1818</f>
        <v>0</v>
      </c>
      <c r="AD1818" s="57" t="n">
        <f aca="false">MAX(AR1818,H1818)</f>
        <v>0</v>
      </c>
      <c r="AE1818" s="64"/>
      <c r="AF1818" s="57" t="n">
        <f aca="false">IF(LEFT(Cockpit!$C$5,1)="A",H1818,IF(CA1818=1,CB1818,IF(LEFT(Cockpit!$C$5,1)="B",AJ1818,MAX(AJ1818,H1818))))</f>
        <v>0</v>
      </c>
      <c r="AG1818" s="57" t="n">
        <f aca="false">IF(BT1818=1,0,ROUNDUP(AF1818/BS1818,0))</f>
        <v>0</v>
      </c>
      <c r="AH1818" s="59" t="n">
        <f aca="false">IF(CH1818&gt;0,CH1818*MAX(1,AF1818/X1818),IF(BT1818=1,IF(AF1818&lt;=0,0,BW1818*MAX(1,IF(H1818&gt;0,AF1818/H1818,1))),IF(R1818&gt;0,AG1818/R1818,0))/MAX(0.1,N(Parameter!$M$21)))</f>
        <v>0</v>
      </c>
      <c r="AI1818" s="57" t="n">
        <f aca="false">AF1818*G1818</f>
        <v>0</v>
      </c>
      <c r="AJ1818" s="57" t="n">
        <f aca="false">ROUNDUP(MAX(J1818/IF(BZ1818&gt;0,BZ1818,MAX(0.1,N(Cockpit!$C$6))),CC1818)/BS1818,0)*BS1818</f>
        <v>0</v>
      </c>
      <c r="AK1818" s="58" t="n">
        <f aca="false">IF(AH1818&gt;0,J1818/AH1818,-1)</f>
        <v>-1</v>
      </c>
      <c r="AL1818" s="58" t="str">
        <f aca="false">IF(AND(OR(BY1818="L1",BY1818="L23"),AH1818&gt;0),SUMIFS($AH$7:$AH$1843,$BY$7:$BY$1843,BY1818,$AK$7:$AK$1843,"&gt;"&amp;AK1818)+SUMIFS($AH$7:$AH$1843,$BY$7:$BY$1843,BY1818,$AK$7:$AK$1843,AK1818,$BQ$7:$BQ$1843,"&lt;="&amp;BQ1818),"")</f>
        <v/>
      </c>
      <c r="AM1818" s="65" t="n">
        <f aca="false">IF(AL1818="",0,MAX(0,MIN(1,(IF(BY1818="L1",Parameter!$E$5,Parameter!$E$6+Parameter!$E$7)-(AL1818-AH1818))/AH1818)))</f>
        <v>0</v>
      </c>
      <c r="AN1818" s="57" t="n">
        <f aca="false">IF(LEFT(Cockpit!$I$5,1)="A",H1818,IF(CA1818=1,CB1818,IF(LEFT(Cockpit!$I$5,1)="B",AR1818,MAX(AR1818,H1818))))</f>
        <v>0</v>
      </c>
      <c r="AO1818" s="57" t="n">
        <f aca="false">IF(BT1818=1,0,ROUNDUP(AN1818/BS1818,0))</f>
        <v>0</v>
      </c>
      <c r="AP1818" s="59" t="n">
        <f aca="false">IF(CH1818&gt;0,CH1818*MAX(1,AN1818/X1818),IF(BT1818=1,IF(AN1818&lt;=0,0,BW1818*MAX(1,IF(H1818&gt;0,AN1818/H1818,1))),IF(R1818&gt;0,AO1818/R1818,0))/MAX(0.1,N(Parameter!$M$21)))</f>
        <v>0</v>
      </c>
      <c r="AQ1818" s="57" t="n">
        <f aca="false">AN1818*G1818</f>
        <v>0</v>
      </c>
      <c r="AR1818" s="57" t="n">
        <f aca="false">ROUNDUP(MAX(J1818/IF(BZ1818&gt;0,BZ1818,MAX(0.1,N(Cockpit!$I$6))),CC1818)/BS1818,0)*BS1818</f>
        <v>0</v>
      </c>
      <c r="AS1818" s="58" t="n">
        <f aca="false">IF(AP1818&gt;0,J1818/AP1818,-1)</f>
        <v>-1</v>
      </c>
      <c r="AT1818" s="58" t="str">
        <f aca="false">IF(AND(OR(BY1818="L1",BY1818="L23"),AP1818&gt;0),SUMIFS($AP$7:$AP$1843,$BY$7:$BY$1843,BY1818,$AS$7:$AS$1843,"&gt;"&amp;AS1818)+SUMIFS($AP$7:$AP$1843,$BY$7:$BY$1843,BY1818,$AS$7:$AS$1843,AS1818,$BQ$7:$BQ$1843,"&lt;="&amp;BQ1818),"")</f>
        <v/>
      </c>
      <c r="AU1818" s="65" t="n">
        <f aca="false">IF(AT1818="",0,MAX(0,MIN(1,(IF(BY1818="L1",Parameter!$E$5,Parameter!$E$6+Parameter!$E$7)-(AT1818-AP1818))/AP1818)))</f>
        <v>0</v>
      </c>
      <c r="AV1818" s="57" t="n">
        <f aca="false">IF(LEFT(Cockpit!$O$5,1)="A",H1818,IF(CA1818=1,CB1818,IF(LEFT(Cockpit!$O$5,1)="B",AZ1818,MAX(AZ1818,H1818))))</f>
        <v>0</v>
      </c>
      <c r="AW1818" s="57" t="n">
        <f aca="false">IF(BT1818=1,0,ROUNDUP(AV1818/BS1818,0))</f>
        <v>0</v>
      </c>
      <c r="AX1818" s="59" t="n">
        <f aca="false">IF(CH1818&gt;0,CH1818*MAX(1,AV1818/X1818),IF(BT1818=1,IF(AV1818&lt;=0,0,BW1818*MAX(1,IF(H1818&gt;0,AV1818/H1818,1))),IF(R1818&gt;0,AW1818/R1818,0))/MAX(0.1,N(Parameter!$M$21)))</f>
        <v>0</v>
      </c>
      <c r="AY1818" s="57" t="n">
        <f aca="false">AV1818*G1818</f>
        <v>0</v>
      </c>
      <c r="AZ1818" s="57" t="n">
        <f aca="false">ROUNDUP(MAX(J1818/IF(BZ1818&gt;0,BZ1818,MAX(0.1,N(Cockpit!$O$6))),CC1818)/BS1818,0)*BS1818</f>
        <v>0</v>
      </c>
      <c r="BA1818" s="58" t="n">
        <f aca="false">IF(AX1818&gt;0,J1818/AX1818,-1)</f>
        <v>-1</v>
      </c>
      <c r="BB1818" s="58" t="str">
        <f aca="false">IF(AND(OR(BY1818="L1",BY1818="L23"),AX1818&gt;0),SUMIFS($AX$7:$AX$1843,$BY$7:$BY$1843,BY1818,$BA$7:$BA$1843,"&gt;"&amp;BA1818)+SUMIFS($AX$7:$AX$1843,$BY$7:$BY$1843,BY1818,$BA$7:$BA$1843,BA1818,$BQ$7:$BQ$1843,"&lt;="&amp;BQ1818),"")</f>
        <v/>
      </c>
      <c r="BC1818" s="65" t="n">
        <f aca="false">IF(BB1818="",0,MAX(0,MIN(1,(IF(BY1818="L1",Parameter!$E$5,Parameter!$E$6+Parameter!$E$7)-(BB1818-AX1818))/AX1818)))</f>
        <v>0</v>
      </c>
      <c r="BD1818" s="55" t="str">
        <f aca="false">IF(AH1818&lt;=0,"",IF(BY1818="Aussen","Aussenlager",IF(BY1818="-","Nicht im Lift",IF(AM1818&gt;=1,"Lift",IF(AM1818&lt;=0,"Aussenlager","teilweise")))))</f>
        <v/>
      </c>
      <c r="BE1818" s="55" t="str">
        <f aca="false">IF(AP1818&lt;=0,"",IF(BY1818="Aussen","Aussenlager",IF(BY1818="-","Nicht im Lift",IF(AU1818&gt;=1,"Lift",IF(AU1818&lt;=0,"Aussenlager","teilweise")))))</f>
        <v/>
      </c>
      <c r="BF1818" s="55" t="str">
        <f aca="false">IF(AX1818&lt;=0,"",IF(BY1818="Aussen","Aussenlager",IF(BY1818="-","Nicht im Lift",IF(BC1818&gt;=1,"Lift",IF(BC1818&lt;=0,"Aussenlager","teilweise")))))</f>
        <v/>
      </c>
      <c r="BG1818" s="55" t="str">
        <f aca="false">IF(A1818="","",IF(BP1818=1,"Neu; ","")&amp;IF(AND(BP1818=0,BK1818&lt;0),"negativer Bestand (Export "&amp;BK1818&amp;"); ","")&amp;IF(J1818&lt;=0,"Kein Verbrauch; ","")&amp;IF(CH1818&gt;0,"Lift "&amp;W1818&amp;" lt. Liftbericht (Fach "&amp;X1818&amp;" Stk); ",IF(BU1818=1,"Gebinde geschätzt ("&amp;T1818&amp;"); ",IF(BT1818=1,"Lose – Tablare geschätzt; ","")))&amp;IF(H1818&gt;AR1818,"Überbestand "&amp;ROUND(H1818-AR1818,0)&amp;" Stk / CHF "&amp;ROUND((H1818-AR1818)*G1818,0)&amp;"; ","")&amp;IF(AND(CA1818=1,CB1818&lt;CC1818),"MAX &lt; MB+LG; ","")&amp;IF(AND(CG1818&gt;0,CF1818*10&gt;CG1818),"zu hoch für Tablar; ","")&amp;IF(AND(BP1818=0,OR(CA1818=1,AA1818&lt;&gt;"",U1818&lt;&gt;"",V1818&lt;&gt;"",AB1818&lt;&gt;"")),"manuell übersteuert; ","")&amp;IF(AND(BT1818=0,R1818=0),"Gebinde unbekannt / Stellmass fehlt; ","")&amp;IF(AND(BT1818=0,N(V1818)&lt;=0,N(Q1818)&lt;=0),"Menge pro Gebinde fehlt (Ist = 1 Gebinde); ","")&amp;BO1818)</f>
        <v/>
      </c>
      <c r="BH1818" s="55"/>
      <c r="BI1818" s="55"/>
      <c r="BJ1818" s="62"/>
      <c r="BK1818" s="57" t="n">
        <f aca="false">N('Neue Artikel'!$D$79)</f>
        <v>0</v>
      </c>
      <c r="BL1818" s="57" t="n">
        <v>0</v>
      </c>
      <c r="BM1818" s="56" t="n">
        <v>0</v>
      </c>
      <c r="BN1818" s="57" t="n">
        <f aca="false">N('Neue Artikel'!$C$79)/Parameter!$B$18</f>
        <v>0</v>
      </c>
      <c r="BO1818" s="55"/>
      <c r="BP1818" s="60" t="n">
        <v>1</v>
      </c>
      <c r="BQ1818" s="60" t="n">
        <v>1818</v>
      </c>
      <c r="BR1818" s="55" t="str">
        <f aca="false">IF(U1818&lt;&gt;"",UPPER(TRIM(U1818)),IF(BU1818=1,UPPER(VLOOKUP(T1818,Parameter!$I$27:$K$29,2,0)),IF(P1818="","LOSE",P1818)))</f>
        <v>LOSE</v>
      </c>
      <c r="BS1818" s="57" t="n">
        <f aca="false">IF(BR1818="LOSE",1,IF(N(V1818)&gt;0,V1818,IF(BU1818=1,MAX(1,N(VLOOKUP(T1818,Parameter!$I$27:$K$29,3,0)),H1818,N(N1818)),IF(N(Q1818)&gt;0,Q1818,MAX(1,H1818)))))</f>
        <v>1</v>
      </c>
      <c r="BT1818" s="60" t="n">
        <f aca="false">IF(BR1818="LOSE",1,0)</f>
        <v>1</v>
      </c>
      <c r="BU1818" s="60" t="n">
        <f aca="false">IF(AND(U1818="",OR(P1818="",P1818="LOSE"),T1818&lt;&gt;"",N(S1818)&lt;=0,ISNUMBER(MATCH(T1818,Parameter!$I$27:$I$29,0))),1,0)</f>
        <v>0</v>
      </c>
      <c r="BV1818" s="55" t="str">
        <f aca="false">IF(AND(Parameter!$B$19="Ja",E1818&lt;&gt;"",ISNUMBER(MATCH(E1818,Parameter!$I$35:$I$52,0))),VLOOKUP(E1818,Parameter!$I$35:$J$52,2,0),IFERROR(VLOOKUP(D1818,Parameter!$A$35:$C$64,2,0),"Nein"))</f>
        <v>2+3</v>
      </c>
      <c r="BW1818" s="59" t="n">
        <f aca="false">IF(BT1818=0,0,IF(N(S1818)&gt;0,S1818,IFERROR(VLOOKUP(D1818,Parameter!$A$35:$C$64,3,0)+0,0)))</f>
        <v>0.15</v>
      </c>
      <c r="BX1818" s="55" t="str">
        <f aca="false">IF(AA1818&lt;&gt;"",AA1818,Z1818)</f>
        <v/>
      </c>
      <c r="BY1818" s="55" t="str">
        <f aca="false">IF(BX1818=1,"L1",IF(OR(BX1818=2,BX1818=3),"L23",IF(BX1818="Aussen","Aussen","-")))</f>
        <v>-</v>
      </c>
      <c r="BZ1818" s="66" t="n">
        <f aca="false">IF(N(AB1818)&gt;0,AB1818,0)</f>
        <v>0</v>
      </c>
      <c r="CA1818" s="60" t="n">
        <f aca="false">IF(ISNUMBER(AE1818),1,0)</f>
        <v>0</v>
      </c>
      <c r="CB1818" s="57" t="n">
        <f aca="false">N(AE1818)</f>
        <v>0</v>
      </c>
      <c r="CC1818" s="57" t="n">
        <f aca="false">N(M1818)+N(N1818)</f>
        <v>0</v>
      </c>
      <c r="CD1818" s="57" t="n">
        <f aca="false">ROUNDUP(H1818/BS1818,0)</f>
        <v>0</v>
      </c>
      <c r="CE1818" s="57" t="n">
        <f aca="false">ROUNDUP(CB1818/BS1818,0)</f>
        <v>0</v>
      </c>
      <c r="CF1818" s="60" t="n">
        <f aca="false">IF(BT1818=1,0,IFERROR(VLOOKUP(BR1818,'Gebinde-Kategorie'!$A$5:$M$45,5,0)+0,0))</f>
        <v>0</v>
      </c>
      <c r="CG1818" s="60" t="n">
        <f aca="false">IFERROR(IF(OR(BX1818=1,BX1818=2,BX1818=3),N(INDEX(Parameter!$I$5:$I$7,BX1818)),0),0)</f>
        <v>0</v>
      </c>
      <c r="CH1818" s="59" t="n">
        <f aca="false">IF(AND(Parameter!$B$21="Ja",ISNUMBER(W1818),N(X1818)&gt;0),IFERROR(N(INDEX(Parameter!$L$5:$L$7,W1818))*INDEX(Parameter!$E$5:$E$7,W1818)*X1818/SUMIFS($X$7:$X$1843,$W$7:$W$1843,W1818),0),0)</f>
        <v>0</v>
      </c>
    </row>
    <row r="1819" customFormat="false" ht="15" hidden="false" customHeight="false" outlineLevel="0" collapsed="false">
      <c r="A1819" s="55" t="str">
        <f aca="false">IF('Neue Artikel'!$A$80="","",'Neue Artikel'!$A$80&amp;"")</f>
        <v/>
      </c>
      <c r="B1819" s="55" t="str">
        <f aca="false">'Neue Artikel'!$B$80&amp;""</f>
        <v/>
      </c>
      <c r="C1819" s="55"/>
      <c r="D1819" s="55" t="s">
        <v>3015</v>
      </c>
      <c r="E1819" s="55"/>
      <c r="F1819" s="55"/>
      <c r="G1819" s="56" t="n">
        <f aca="false">N('Neue Artikel'!$G$80)</f>
        <v>0</v>
      </c>
      <c r="H1819" s="57" t="n">
        <f aca="false">MAX(0,IF(AND(Parameter!$B$21="Ja",ISNUMBER(Y1819)),Y1819,IF(Parameter!$B$20="Jahresanfang 2025 + Export",BL1819+BK1819,BK1819)))</f>
        <v>0</v>
      </c>
      <c r="I1819" s="57" t="n">
        <f aca="false">H1819*G1819</f>
        <v>0</v>
      </c>
      <c r="J1819" s="57" t="n">
        <f aca="false">BN1819*Parameter!$B$18</f>
        <v>0</v>
      </c>
      <c r="K1819" s="58"/>
      <c r="L1819" s="59"/>
      <c r="M1819" s="57" t="n">
        <f aca="false">N('Neue Artikel'!$E$80)</f>
        <v>0</v>
      </c>
      <c r="N1819" s="57" t="n">
        <f aca="false">N('Neue Artikel'!$F$80)</f>
        <v>0</v>
      </c>
      <c r="O1819" s="60"/>
      <c r="P1819" s="55" t="str">
        <f aca="false">IF('Neue Artikel'!$H$80="","LOSE",UPPER(TRIM('Neue Artikel'!$H$80)))</f>
        <v>LOSE</v>
      </c>
      <c r="Q1819" s="57" t="n">
        <f aca="false">N('Neue Artikel'!$I$80)</f>
        <v>0</v>
      </c>
      <c r="R1819" s="60" t="n">
        <f aca="false">IF(BT1819=1,0,IFERROR(VLOOKUP(BR1819,'Gebinde-Kategorie'!$A$5:$M$45,13,0)+0,0))</f>
        <v>0</v>
      </c>
      <c r="S1819" s="61"/>
      <c r="T1819" s="62"/>
      <c r="U1819" s="62"/>
      <c r="V1819" s="62"/>
      <c r="W1819" s="55"/>
      <c r="X1819" s="57"/>
      <c r="Y1819" s="57"/>
      <c r="Z1819" s="55" t="str">
        <f aca="false">IF(A1819="","",IF(AND(Parameter!$B$21="Ja",ISNUMBER(W1819)),W1819,IF(BV1819="2+3",IF(ISNUMBER(SEARCH("grosser Artikel",BO1819)),2,IFERROR(VLOOKUP(BR1819,Parameter!$F$35:$G$64,2,0),2)),IF(OR(BV1819="Nein",BV1819=""),"-",BV1819))))</f>
        <v/>
      </c>
      <c r="AA1819" s="55" t="str">
        <f aca="false">IF('Neue Artikel'!$J$80="","",'Neue Artikel'!$J$80)</f>
        <v/>
      </c>
      <c r="AB1819" s="63"/>
      <c r="AC1819" s="57" t="n">
        <f aca="false">AR1819</f>
        <v>0</v>
      </c>
      <c r="AD1819" s="57" t="n">
        <f aca="false">MAX(AR1819,H1819)</f>
        <v>0</v>
      </c>
      <c r="AE1819" s="64"/>
      <c r="AF1819" s="57" t="n">
        <f aca="false">IF(LEFT(Cockpit!$C$5,1)="A",H1819,IF(CA1819=1,CB1819,IF(LEFT(Cockpit!$C$5,1)="B",AJ1819,MAX(AJ1819,H1819))))</f>
        <v>0</v>
      </c>
      <c r="AG1819" s="57" t="n">
        <f aca="false">IF(BT1819=1,0,ROUNDUP(AF1819/BS1819,0))</f>
        <v>0</v>
      </c>
      <c r="AH1819" s="59" t="n">
        <f aca="false">IF(CH1819&gt;0,CH1819*MAX(1,AF1819/X1819),IF(BT1819=1,IF(AF1819&lt;=0,0,BW1819*MAX(1,IF(H1819&gt;0,AF1819/H1819,1))),IF(R1819&gt;0,AG1819/R1819,0))/MAX(0.1,N(Parameter!$M$21)))</f>
        <v>0</v>
      </c>
      <c r="AI1819" s="57" t="n">
        <f aca="false">AF1819*G1819</f>
        <v>0</v>
      </c>
      <c r="AJ1819" s="57" t="n">
        <f aca="false">ROUNDUP(MAX(J1819/IF(BZ1819&gt;0,BZ1819,MAX(0.1,N(Cockpit!$C$6))),CC1819)/BS1819,0)*BS1819</f>
        <v>0</v>
      </c>
      <c r="AK1819" s="58" t="n">
        <f aca="false">IF(AH1819&gt;0,J1819/AH1819,-1)</f>
        <v>-1</v>
      </c>
      <c r="AL1819" s="58" t="str">
        <f aca="false">IF(AND(OR(BY1819="L1",BY1819="L23"),AH1819&gt;0),SUMIFS($AH$7:$AH$1843,$BY$7:$BY$1843,BY1819,$AK$7:$AK$1843,"&gt;"&amp;AK1819)+SUMIFS($AH$7:$AH$1843,$BY$7:$BY$1843,BY1819,$AK$7:$AK$1843,AK1819,$BQ$7:$BQ$1843,"&lt;="&amp;BQ1819),"")</f>
        <v/>
      </c>
      <c r="AM1819" s="65" t="n">
        <f aca="false">IF(AL1819="",0,MAX(0,MIN(1,(IF(BY1819="L1",Parameter!$E$5,Parameter!$E$6+Parameter!$E$7)-(AL1819-AH1819))/AH1819)))</f>
        <v>0</v>
      </c>
      <c r="AN1819" s="57" t="n">
        <f aca="false">IF(LEFT(Cockpit!$I$5,1)="A",H1819,IF(CA1819=1,CB1819,IF(LEFT(Cockpit!$I$5,1)="B",AR1819,MAX(AR1819,H1819))))</f>
        <v>0</v>
      </c>
      <c r="AO1819" s="57" t="n">
        <f aca="false">IF(BT1819=1,0,ROUNDUP(AN1819/BS1819,0))</f>
        <v>0</v>
      </c>
      <c r="AP1819" s="59" t="n">
        <f aca="false">IF(CH1819&gt;0,CH1819*MAX(1,AN1819/X1819),IF(BT1819=1,IF(AN1819&lt;=0,0,BW1819*MAX(1,IF(H1819&gt;0,AN1819/H1819,1))),IF(R1819&gt;0,AO1819/R1819,0))/MAX(0.1,N(Parameter!$M$21)))</f>
        <v>0</v>
      </c>
      <c r="AQ1819" s="57" t="n">
        <f aca="false">AN1819*G1819</f>
        <v>0</v>
      </c>
      <c r="AR1819" s="57" t="n">
        <f aca="false">ROUNDUP(MAX(J1819/IF(BZ1819&gt;0,BZ1819,MAX(0.1,N(Cockpit!$I$6))),CC1819)/BS1819,0)*BS1819</f>
        <v>0</v>
      </c>
      <c r="AS1819" s="58" t="n">
        <f aca="false">IF(AP1819&gt;0,J1819/AP1819,-1)</f>
        <v>-1</v>
      </c>
      <c r="AT1819" s="58" t="str">
        <f aca="false">IF(AND(OR(BY1819="L1",BY1819="L23"),AP1819&gt;0),SUMIFS($AP$7:$AP$1843,$BY$7:$BY$1843,BY1819,$AS$7:$AS$1843,"&gt;"&amp;AS1819)+SUMIFS($AP$7:$AP$1843,$BY$7:$BY$1843,BY1819,$AS$7:$AS$1843,AS1819,$BQ$7:$BQ$1843,"&lt;="&amp;BQ1819),"")</f>
        <v/>
      </c>
      <c r="AU1819" s="65" t="n">
        <f aca="false">IF(AT1819="",0,MAX(0,MIN(1,(IF(BY1819="L1",Parameter!$E$5,Parameter!$E$6+Parameter!$E$7)-(AT1819-AP1819))/AP1819)))</f>
        <v>0</v>
      </c>
      <c r="AV1819" s="57" t="n">
        <f aca="false">IF(LEFT(Cockpit!$O$5,1)="A",H1819,IF(CA1819=1,CB1819,IF(LEFT(Cockpit!$O$5,1)="B",AZ1819,MAX(AZ1819,H1819))))</f>
        <v>0</v>
      </c>
      <c r="AW1819" s="57" t="n">
        <f aca="false">IF(BT1819=1,0,ROUNDUP(AV1819/BS1819,0))</f>
        <v>0</v>
      </c>
      <c r="AX1819" s="59" t="n">
        <f aca="false">IF(CH1819&gt;0,CH1819*MAX(1,AV1819/X1819),IF(BT1819=1,IF(AV1819&lt;=0,0,BW1819*MAX(1,IF(H1819&gt;0,AV1819/H1819,1))),IF(R1819&gt;0,AW1819/R1819,0))/MAX(0.1,N(Parameter!$M$21)))</f>
        <v>0</v>
      </c>
      <c r="AY1819" s="57" t="n">
        <f aca="false">AV1819*G1819</f>
        <v>0</v>
      </c>
      <c r="AZ1819" s="57" t="n">
        <f aca="false">ROUNDUP(MAX(J1819/IF(BZ1819&gt;0,BZ1819,MAX(0.1,N(Cockpit!$O$6))),CC1819)/BS1819,0)*BS1819</f>
        <v>0</v>
      </c>
      <c r="BA1819" s="58" t="n">
        <f aca="false">IF(AX1819&gt;0,J1819/AX1819,-1)</f>
        <v>-1</v>
      </c>
      <c r="BB1819" s="58" t="str">
        <f aca="false">IF(AND(OR(BY1819="L1",BY1819="L23"),AX1819&gt;0),SUMIFS($AX$7:$AX$1843,$BY$7:$BY$1843,BY1819,$BA$7:$BA$1843,"&gt;"&amp;BA1819)+SUMIFS($AX$7:$AX$1843,$BY$7:$BY$1843,BY1819,$BA$7:$BA$1843,BA1819,$BQ$7:$BQ$1843,"&lt;="&amp;BQ1819),"")</f>
        <v/>
      </c>
      <c r="BC1819" s="65" t="n">
        <f aca="false">IF(BB1819="",0,MAX(0,MIN(1,(IF(BY1819="L1",Parameter!$E$5,Parameter!$E$6+Parameter!$E$7)-(BB1819-AX1819))/AX1819)))</f>
        <v>0</v>
      </c>
      <c r="BD1819" s="55" t="str">
        <f aca="false">IF(AH1819&lt;=0,"",IF(BY1819="Aussen","Aussenlager",IF(BY1819="-","Nicht im Lift",IF(AM1819&gt;=1,"Lift",IF(AM1819&lt;=0,"Aussenlager","teilweise")))))</f>
        <v/>
      </c>
      <c r="BE1819" s="55" t="str">
        <f aca="false">IF(AP1819&lt;=0,"",IF(BY1819="Aussen","Aussenlager",IF(BY1819="-","Nicht im Lift",IF(AU1819&gt;=1,"Lift",IF(AU1819&lt;=0,"Aussenlager","teilweise")))))</f>
        <v/>
      </c>
      <c r="BF1819" s="55" t="str">
        <f aca="false">IF(AX1819&lt;=0,"",IF(BY1819="Aussen","Aussenlager",IF(BY1819="-","Nicht im Lift",IF(BC1819&gt;=1,"Lift",IF(BC1819&lt;=0,"Aussenlager","teilweise")))))</f>
        <v/>
      </c>
      <c r="BG1819" s="55" t="str">
        <f aca="false">IF(A1819="","",IF(BP1819=1,"Neu; ","")&amp;IF(AND(BP1819=0,BK1819&lt;0),"negativer Bestand (Export "&amp;BK1819&amp;"); ","")&amp;IF(J1819&lt;=0,"Kein Verbrauch; ","")&amp;IF(CH1819&gt;0,"Lift "&amp;W1819&amp;" lt. Liftbericht (Fach "&amp;X1819&amp;" Stk); ",IF(BU1819=1,"Gebinde geschätzt ("&amp;T1819&amp;"); ",IF(BT1819=1,"Lose – Tablare geschätzt; ","")))&amp;IF(H1819&gt;AR1819,"Überbestand "&amp;ROUND(H1819-AR1819,0)&amp;" Stk / CHF "&amp;ROUND((H1819-AR1819)*G1819,0)&amp;"; ","")&amp;IF(AND(CA1819=1,CB1819&lt;CC1819),"MAX &lt; MB+LG; ","")&amp;IF(AND(CG1819&gt;0,CF1819*10&gt;CG1819),"zu hoch für Tablar; ","")&amp;IF(AND(BP1819=0,OR(CA1819=1,AA1819&lt;&gt;"",U1819&lt;&gt;"",V1819&lt;&gt;"",AB1819&lt;&gt;"")),"manuell übersteuert; ","")&amp;IF(AND(BT1819=0,R1819=0),"Gebinde unbekannt / Stellmass fehlt; ","")&amp;IF(AND(BT1819=0,N(V1819)&lt;=0,N(Q1819)&lt;=0),"Menge pro Gebinde fehlt (Ist = 1 Gebinde); ","")&amp;BO1819)</f>
        <v/>
      </c>
      <c r="BH1819" s="55"/>
      <c r="BI1819" s="55"/>
      <c r="BJ1819" s="62"/>
      <c r="BK1819" s="57" t="n">
        <f aca="false">N('Neue Artikel'!$D$80)</f>
        <v>0</v>
      </c>
      <c r="BL1819" s="57" t="n">
        <v>0</v>
      </c>
      <c r="BM1819" s="56" t="n">
        <v>0</v>
      </c>
      <c r="BN1819" s="57" t="n">
        <f aca="false">N('Neue Artikel'!$C$80)/Parameter!$B$18</f>
        <v>0</v>
      </c>
      <c r="BO1819" s="55"/>
      <c r="BP1819" s="60" t="n">
        <v>1</v>
      </c>
      <c r="BQ1819" s="60" t="n">
        <v>1819</v>
      </c>
      <c r="BR1819" s="55" t="str">
        <f aca="false">IF(U1819&lt;&gt;"",UPPER(TRIM(U1819)),IF(BU1819=1,UPPER(VLOOKUP(T1819,Parameter!$I$27:$K$29,2,0)),IF(P1819="","LOSE",P1819)))</f>
        <v>LOSE</v>
      </c>
      <c r="BS1819" s="57" t="n">
        <f aca="false">IF(BR1819="LOSE",1,IF(N(V1819)&gt;0,V1819,IF(BU1819=1,MAX(1,N(VLOOKUP(T1819,Parameter!$I$27:$K$29,3,0)),H1819,N(N1819)),IF(N(Q1819)&gt;0,Q1819,MAX(1,H1819)))))</f>
        <v>1</v>
      </c>
      <c r="BT1819" s="60" t="n">
        <f aca="false">IF(BR1819="LOSE",1,0)</f>
        <v>1</v>
      </c>
      <c r="BU1819" s="60" t="n">
        <f aca="false">IF(AND(U1819="",OR(P1819="",P1819="LOSE"),T1819&lt;&gt;"",N(S1819)&lt;=0,ISNUMBER(MATCH(T1819,Parameter!$I$27:$I$29,0))),1,0)</f>
        <v>0</v>
      </c>
      <c r="BV1819" s="55" t="str">
        <f aca="false">IF(AND(Parameter!$B$19="Ja",E1819&lt;&gt;"",ISNUMBER(MATCH(E1819,Parameter!$I$35:$I$52,0))),VLOOKUP(E1819,Parameter!$I$35:$J$52,2,0),IFERROR(VLOOKUP(D1819,Parameter!$A$35:$C$64,2,0),"Nein"))</f>
        <v>2+3</v>
      </c>
      <c r="BW1819" s="59" t="n">
        <f aca="false">IF(BT1819=0,0,IF(N(S1819)&gt;0,S1819,IFERROR(VLOOKUP(D1819,Parameter!$A$35:$C$64,3,0)+0,0)))</f>
        <v>0.15</v>
      </c>
      <c r="BX1819" s="55" t="str">
        <f aca="false">IF(AA1819&lt;&gt;"",AA1819,Z1819)</f>
        <v/>
      </c>
      <c r="BY1819" s="55" t="str">
        <f aca="false">IF(BX1819=1,"L1",IF(OR(BX1819=2,BX1819=3),"L23",IF(BX1819="Aussen","Aussen","-")))</f>
        <v>-</v>
      </c>
      <c r="BZ1819" s="66" t="n">
        <f aca="false">IF(N(AB1819)&gt;0,AB1819,0)</f>
        <v>0</v>
      </c>
      <c r="CA1819" s="60" t="n">
        <f aca="false">IF(ISNUMBER(AE1819),1,0)</f>
        <v>0</v>
      </c>
      <c r="CB1819" s="57" t="n">
        <f aca="false">N(AE1819)</f>
        <v>0</v>
      </c>
      <c r="CC1819" s="57" t="n">
        <f aca="false">N(M1819)+N(N1819)</f>
        <v>0</v>
      </c>
      <c r="CD1819" s="57" t="n">
        <f aca="false">ROUNDUP(H1819/BS1819,0)</f>
        <v>0</v>
      </c>
      <c r="CE1819" s="57" t="n">
        <f aca="false">ROUNDUP(CB1819/BS1819,0)</f>
        <v>0</v>
      </c>
      <c r="CF1819" s="60" t="n">
        <f aca="false">IF(BT1819=1,0,IFERROR(VLOOKUP(BR1819,'Gebinde-Kategorie'!$A$5:$M$45,5,0)+0,0))</f>
        <v>0</v>
      </c>
      <c r="CG1819" s="60" t="n">
        <f aca="false">IFERROR(IF(OR(BX1819=1,BX1819=2,BX1819=3),N(INDEX(Parameter!$I$5:$I$7,BX1819)),0),0)</f>
        <v>0</v>
      </c>
      <c r="CH1819" s="59" t="n">
        <f aca="false">IF(AND(Parameter!$B$21="Ja",ISNUMBER(W1819),N(X1819)&gt;0),IFERROR(N(INDEX(Parameter!$L$5:$L$7,W1819))*INDEX(Parameter!$E$5:$E$7,W1819)*X1819/SUMIFS($X$7:$X$1843,$W$7:$W$1843,W1819),0),0)</f>
        <v>0</v>
      </c>
    </row>
    <row r="1820" customFormat="false" ht="15" hidden="false" customHeight="false" outlineLevel="0" collapsed="false">
      <c r="A1820" s="55" t="str">
        <f aca="false">IF('Neue Artikel'!$A$81="","",'Neue Artikel'!$A$81&amp;"")</f>
        <v/>
      </c>
      <c r="B1820" s="55" t="str">
        <f aca="false">'Neue Artikel'!$B$81&amp;""</f>
        <v/>
      </c>
      <c r="C1820" s="55"/>
      <c r="D1820" s="55" t="s">
        <v>3015</v>
      </c>
      <c r="E1820" s="55"/>
      <c r="F1820" s="55"/>
      <c r="G1820" s="56" t="n">
        <f aca="false">N('Neue Artikel'!$G$81)</f>
        <v>0</v>
      </c>
      <c r="H1820" s="57" t="n">
        <f aca="false">MAX(0,IF(AND(Parameter!$B$21="Ja",ISNUMBER(Y1820)),Y1820,IF(Parameter!$B$20="Jahresanfang 2025 + Export",BL1820+BK1820,BK1820)))</f>
        <v>0</v>
      </c>
      <c r="I1820" s="57" t="n">
        <f aca="false">H1820*G1820</f>
        <v>0</v>
      </c>
      <c r="J1820" s="57" t="n">
        <f aca="false">BN1820*Parameter!$B$18</f>
        <v>0</v>
      </c>
      <c r="K1820" s="58"/>
      <c r="L1820" s="59"/>
      <c r="M1820" s="57" t="n">
        <f aca="false">N('Neue Artikel'!$E$81)</f>
        <v>0</v>
      </c>
      <c r="N1820" s="57" t="n">
        <f aca="false">N('Neue Artikel'!$F$81)</f>
        <v>0</v>
      </c>
      <c r="O1820" s="60"/>
      <c r="P1820" s="55" t="str">
        <f aca="false">IF('Neue Artikel'!$H$81="","LOSE",UPPER(TRIM('Neue Artikel'!$H$81)))</f>
        <v>LOSE</v>
      </c>
      <c r="Q1820" s="57" t="n">
        <f aca="false">N('Neue Artikel'!$I$81)</f>
        <v>0</v>
      </c>
      <c r="R1820" s="60" t="n">
        <f aca="false">IF(BT1820=1,0,IFERROR(VLOOKUP(BR1820,'Gebinde-Kategorie'!$A$5:$M$45,13,0)+0,0))</f>
        <v>0</v>
      </c>
      <c r="S1820" s="61"/>
      <c r="T1820" s="62"/>
      <c r="U1820" s="62"/>
      <c r="V1820" s="62"/>
      <c r="W1820" s="55"/>
      <c r="X1820" s="57"/>
      <c r="Y1820" s="57"/>
      <c r="Z1820" s="55" t="str">
        <f aca="false">IF(A1820="","",IF(AND(Parameter!$B$21="Ja",ISNUMBER(W1820)),W1820,IF(BV1820="2+3",IF(ISNUMBER(SEARCH("grosser Artikel",BO1820)),2,IFERROR(VLOOKUP(BR1820,Parameter!$F$35:$G$64,2,0),2)),IF(OR(BV1820="Nein",BV1820=""),"-",BV1820))))</f>
        <v/>
      </c>
      <c r="AA1820" s="55" t="str">
        <f aca="false">IF('Neue Artikel'!$J$81="","",'Neue Artikel'!$J$81)</f>
        <v/>
      </c>
      <c r="AB1820" s="63"/>
      <c r="AC1820" s="57" t="n">
        <f aca="false">AR1820</f>
        <v>0</v>
      </c>
      <c r="AD1820" s="57" t="n">
        <f aca="false">MAX(AR1820,H1820)</f>
        <v>0</v>
      </c>
      <c r="AE1820" s="64"/>
      <c r="AF1820" s="57" t="n">
        <f aca="false">IF(LEFT(Cockpit!$C$5,1)="A",H1820,IF(CA1820=1,CB1820,IF(LEFT(Cockpit!$C$5,1)="B",AJ1820,MAX(AJ1820,H1820))))</f>
        <v>0</v>
      </c>
      <c r="AG1820" s="57" t="n">
        <f aca="false">IF(BT1820=1,0,ROUNDUP(AF1820/BS1820,0))</f>
        <v>0</v>
      </c>
      <c r="AH1820" s="59" t="n">
        <f aca="false">IF(CH1820&gt;0,CH1820*MAX(1,AF1820/X1820),IF(BT1820=1,IF(AF1820&lt;=0,0,BW1820*MAX(1,IF(H1820&gt;0,AF1820/H1820,1))),IF(R1820&gt;0,AG1820/R1820,0))/MAX(0.1,N(Parameter!$M$21)))</f>
        <v>0</v>
      </c>
      <c r="AI1820" s="57" t="n">
        <f aca="false">AF1820*G1820</f>
        <v>0</v>
      </c>
      <c r="AJ1820" s="57" t="n">
        <f aca="false">ROUNDUP(MAX(J1820/IF(BZ1820&gt;0,BZ1820,MAX(0.1,N(Cockpit!$C$6))),CC1820)/BS1820,0)*BS1820</f>
        <v>0</v>
      </c>
      <c r="AK1820" s="58" t="n">
        <f aca="false">IF(AH1820&gt;0,J1820/AH1820,-1)</f>
        <v>-1</v>
      </c>
      <c r="AL1820" s="58" t="str">
        <f aca="false">IF(AND(OR(BY1820="L1",BY1820="L23"),AH1820&gt;0),SUMIFS($AH$7:$AH$1843,$BY$7:$BY$1843,BY1820,$AK$7:$AK$1843,"&gt;"&amp;AK1820)+SUMIFS($AH$7:$AH$1843,$BY$7:$BY$1843,BY1820,$AK$7:$AK$1843,AK1820,$BQ$7:$BQ$1843,"&lt;="&amp;BQ1820),"")</f>
        <v/>
      </c>
      <c r="AM1820" s="65" t="n">
        <f aca="false">IF(AL1820="",0,MAX(0,MIN(1,(IF(BY1820="L1",Parameter!$E$5,Parameter!$E$6+Parameter!$E$7)-(AL1820-AH1820))/AH1820)))</f>
        <v>0</v>
      </c>
      <c r="AN1820" s="57" t="n">
        <f aca="false">IF(LEFT(Cockpit!$I$5,1)="A",H1820,IF(CA1820=1,CB1820,IF(LEFT(Cockpit!$I$5,1)="B",AR1820,MAX(AR1820,H1820))))</f>
        <v>0</v>
      </c>
      <c r="AO1820" s="57" t="n">
        <f aca="false">IF(BT1820=1,0,ROUNDUP(AN1820/BS1820,0))</f>
        <v>0</v>
      </c>
      <c r="AP1820" s="59" t="n">
        <f aca="false">IF(CH1820&gt;0,CH1820*MAX(1,AN1820/X1820),IF(BT1820=1,IF(AN1820&lt;=0,0,BW1820*MAX(1,IF(H1820&gt;0,AN1820/H1820,1))),IF(R1820&gt;0,AO1820/R1820,0))/MAX(0.1,N(Parameter!$M$21)))</f>
        <v>0</v>
      </c>
      <c r="AQ1820" s="57" t="n">
        <f aca="false">AN1820*G1820</f>
        <v>0</v>
      </c>
      <c r="AR1820" s="57" t="n">
        <f aca="false">ROUNDUP(MAX(J1820/IF(BZ1820&gt;0,BZ1820,MAX(0.1,N(Cockpit!$I$6))),CC1820)/BS1820,0)*BS1820</f>
        <v>0</v>
      </c>
      <c r="AS1820" s="58" t="n">
        <f aca="false">IF(AP1820&gt;0,J1820/AP1820,-1)</f>
        <v>-1</v>
      </c>
      <c r="AT1820" s="58" t="str">
        <f aca="false">IF(AND(OR(BY1820="L1",BY1820="L23"),AP1820&gt;0),SUMIFS($AP$7:$AP$1843,$BY$7:$BY$1843,BY1820,$AS$7:$AS$1843,"&gt;"&amp;AS1820)+SUMIFS($AP$7:$AP$1843,$BY$7:$BY$1843,BY1820,$AS$7:$AS$1843,AS1820,$BQ$7:$BQ$1843,"&lt;="&amp;BQ1820),"")</f>
        <v/>
      </c>
      <c r="AU1820" s="65" t="n">
        <f aca="false">IF(AT1820="",0,MAX(0,MIN(1,(IF(BY1820="L1",Parameter!$E$5,Parameter!$E$6+Parameter!$E$7)-(AT1820-AP1820))/AP1820)))</f>
        <v>0</v>
      </c>
      <c r="AV1820" s="57" t="n">
        <f aca="false">IF(LEFT(Cockpit!$O$5,1)="A",H1820,IF(CA1820=1,CB1820,IF(LEFT(Cockpit!$O$5,1)="B",AZ1820,MAX(AZ1820,H1820))))</f>
        <v>0</v>
      </c>
      <c r="AW1820" s="57" t="n">
        <f aca="false">IF(BT1820=1,0,ROUNDUP(AV1820/BS1820,0))</f>
        <v>0</v>
      </c>
      <c r="AX1820" s="59" t="n">
        <f aca="false">IF(CH1820&gt;0,CH1820*MAX(1,AV1820/X1820),IF(BT1820=1,IF(AV1820&lt;=0,0,BW1820*MAX(1,IF(H1820&gt;0,AV1820/H1820,1))),IF(R1820&gt;0,AW1820/R1820,0))/MAX(0.1,N(Parameter!$M$21)))</f>
        <v>0</v>
      </c>
      <c r="AY1820" s="57" t="n">
        <f aca="false">AV1820*G1820</f>
        <v>0</v>
      </c>
      <c r="AZ1820" s="57" t="n">
        <f aca="false">ROUNDUP(MAX(J1820/IF(BZ1820&gt;0,BZ1820,MAX(0.1,N(Cockpit!$O$6))),CC1820)/BS1820,0)*BS1820</f>
        <v>0</v>
      </c>
      <c r="BA1820" s="58" t="n">
        <f aca="false">IF(AX1820&gt;0,J1820/AX1820,-1)</f>
        <v>-1</v>
      </c>
      <c r="BB1820" s="58" t="str">
        <f aca="false">IF(AND(OR(BY1820="L1",BY1820="L23"),AX1820&gt;0),SUMIFS($AX$7:$AX$1843,$BY$7:$BY$1843,BY1820,$BA$7:$BA$1843,"&gt;"&amp;BA1820)+SUMIFS($AX$7:$AX$1843,$BY$7:$BY$1843,BY1820,$BA$7:$BA$1843,BA1820,$BQ$7:$BQ$1843,"&lt;="&amp;BQ1820),"")</f>
        <v/>
      </c>
      <c r="BC1820" s="65" t="n">
        <f aca="false">IF(BB1820="",0,MAX(0,MIN(1,(IF(BY1820="L1",Parameter!$E$5,Parameter!$E$6+Parameter!$E$7)-(BB1820-AX1820))/AX1820)))</f>
        <v>0</v>
      </c>
      <c r="BD1820" s="55" t="str">
        <f aca="false">IF(AH1820&lt;=0,"",IF(BY1820="Aussen","Aussenlager",IF(BY1820="-","Nicht im Lift",IF(AM1820&gt;=1,"Lift",IF(AM1820&lt;=0,"Aussenlager","teilweise")))))</f>
        <v/>
      </c>
      <c r="BE1820" s="55" t="str">
        <f aca="false">IF(AP1820&lt;=0,"",IF(BY1820="Aussen","Aussenlager",IF(BY1820="-","Nicht im Lift",IF(AU1820&gt;=1,"Lift",IF(AU1820&lt;=0,"Aussenlager","teilweise")))))</f>
        <v/>
      </c>
      <c r="BF1820" s="55" t="str">
        <f aca="false">IF(AX1820&lt;=0,"",IF(BY1820="Aussen","Aussenlager",IF(BY1820="-","Nicht im Lift",IF(BC1820&gt;=1,"Lift",IF(BC1820&lt;=0,"Aussenlager","teilweise")))))</f>
        <v/>
      </c>
      <c r="BG1820" s="55" t="str">
        <f aca="false">IF(A1820="","",IF(BP1820=1,"Neu; ","")&amp;IF(AND(BP1820=0,BK1820&lt;0),"negativer Bestand (Export "&amp;BK1820&amp;"); ","")&amp;IF(J1820&lt;=0,"Kein Verbrauch; ","")&amp;IF(CH1820&gt;0,"Lift "&amp;W1820&amp;" lt. Liftbericht (Fach "&amp;X1820&amp;" Stk); ",IF(BU1820=1,"Gebinde geschätzt ("&amp;T1820&amp;"); ",IF(BT1820=1,"Lose – Tablare geschätzt; ","")))&amp;IF(H1820&gt;AR1820,"Überbestand "&amp;ROUND(H1820-AR1820,0)&amp;" Stk / CHF "&amp;ROUND((H1820-AR1820)*G1820,0)&amp;"; ","")&amp;IF(AND(CA1820=1,CB1820&lt;CC1820),"MAX &lt; MB+LG; ","")&amp;IF(AND(CG1820&gt;0,CF1820*10&gt;CG1820),"zu hoch für Tablar; ","")&amp;IF(AND(BP1820=0,OR(CA1820=1,AA1820&lt;&gt;"",U1820&lt;&gt;"",V1820&lt;&gt;"",AB1820&lt;&gt;"")),"manuell übersteuert; ","")&amp;IF(AND(BT1820=0,R1820=0),"Gebinde unbekannt / Stellmass fehlt; ","")&amp;IF(AND(BT1820=0,N(V1820)&lt;=0,N(Q1820)&lt;=0),"Menge pro Gebinde fehlt (Ist = 1 Gebinde); ","")&amp;BO1820)</f>
        <v/>
      </c>
      <c r="BH1820" s="55"/>
      <c r="BI1820" s="55"/>
      <c r="BJ1820" s="62"/>
      <c r="BK1820" s="57" t="n">
        <f aca="false">N('Neue Artikel'!$D$81)</f>
        <v>0</v>
      </c>
      <c r="BL1820" s="57" t="n">
        <v>0</v>
      </c>
      <c r="BM1820" s="56" t="n">
        <v>0</v>
      </c>
      <c r="BN1820" s="57" t="n">
        <f aca="false">N('Neue Artikel'!$C$81)/Parameter!$B$18</f>
        <v>0</v>
      </c>
      <c r="BO1820" s="55"/>
      <c r="BP1820" s="60" t="n">
        <v>1</v>
      </c>
      <c r="BQ1820" s="60" t="n">
        <v>1820</v>
      </c>
      <c r="BR1820" s="55" t="str">
        <f aca="false">IF(U1820&lt;&gt;"",UPPER(TRIM(U1820)),IF(BU1820=1,UPPER(VLOOKUP(T1820,Parameter!$I$27:$K$29,2,0)),IF(P1820="","LOSE",P1820)))</f>
        <v>LOSE</v>
      </c>
      <c r="BS1820" s="57" t="n">
        <f aca="false">IF(BR1820="LOSE",1,IF(N(V1820)&gt;0,V1820,IF(BU1820=1,MAX(1,N(VLOOKUP(T1820,Parameter!$I$27:$K$29,3,0)),H1820,N(N1820)),IF(N(Q1820)&gt;0,Q1820,MAX(1,H1820)))))</f>
        <v>1</v>
      </c>
      <c r="BT1820" s="60" t="n">
        <f aca="false">IF(BR1820="LOSE",1,0)</f>
        <v>1</v>
      </c>
      <c r="BU1820" s="60" t="n">
        <f aca="false">IF(AND(U1820="",OR(P1820="",P1820="LOSE"),T1820&lt;&gt;"",N(S1820)&lt;=0,ISNUMBER(MATCH(T1820,Parameter!$I$27:$I$29,0))),1,0)</f>
        <v>0</v>
      </c>
      <c r="BV1820" s="55" t="str">
        <f aca="false">IF(AND(Parameter!$B$19="Ja",E1820&lt;&gt;"",ISNUMBER(MATCH(E1820,Parameter!$I$35:$I$52,0))),VLOOKUP(E1820,Parameter!$I$35:$J$52,2,0),IFERROR(VLOOKUP(D1820,Parameter!$A$35:$C$64,2,0),"Nein"))</f>
        <v>2+3</v>
      </c>
      <c r="BW1820" s="59" t="n">
        <f aca="false">IF(BT1820=0,0,IF(N(S1820)&gt;0,S1820,IFERROR(VLOOKUP(D1820,Parameter!$A$35:$C$64,3,0)+0,0)))</f>
        <v>0.15</v>
      </c>
      <c r="BX1820" s="55" t="str">
        <f aca="false">IF(AA1820&lt;&gt;"",AA1820,Z1820)</f>
        <v/>
      </c>
      <c r="BY1820" s="55" t="str">
        <f aca="false">IF(BX1820=1,"L1",IF(OR(BX1820=2,BX1820=3),"L23",IF(BX1820="Aussen","Aussen","-")))</f>
        <v>-</v>
      </c>
      <c r="BZ1820" s="66" t="n">
        <f aca="false">IF(N(AB1820)&gt;0,AB1820,0)</f>
        <v>0</v>
      </c>
      <c r="CA1820" s="60" t="n">
        <f aca="false">IF(ISNUMBER(AE1820),1,0)</f>
        <v>0</v>
      </c>
      <c r="CB1820" s="57" t="n">
        <f aca="false">N(AE1820)</f>
        <v>0</v>
      </c>
      <c r="CC1820" s="57" t="n">
        <f aca="false">N(M1820)+N(N1820)</f>
        <v>0</v>
      </c>
      <c r="CD1820" s="57" t="n">
        <f aca="false">ROUNDUP(H1820/BS1820,0)</f>
        <v>0</v>
      </c>
      <c r="CE1820" s="57" t="n">
        <f aca="false">ROUNDUP(CB1820/BS1820,0)</f>
        <v>0</v>
      </c>
      <c r="CF1820" s="60" t="n">
        <f aca="false">IF(BT1820=1,0,IFERROR(VLOOKUP(BR1820,'Gebinde-Kategorie'!$A$5:$M$45,5,0)+0,0))</f>
        <v>0</v>
      </c>
      <c r="CG1820" s="60" t="n">
        <f aca="false">IFERROR(IF(OR(BX1820=1,BX1820=2,BX1820=3),N(INDEX(Parameter!$I$5:$I$7,BX1820)),0),0)</f>
        <v>0</v>
      </c>
      <c r="CH1820" s="59" t="n">
        <f aca="false">IF(AND(Parameter!$B$21="Ja",ISNUMBER(W1820),N(X1820)&gt;0),IFERROR(N(INDEX(Parameter!$L$5:$L$7,W1820))*INDEX(Parameter!$E$5:$E$7,W1820)*X1820/SUMIFS($X$7:$X$1843,$W$7:$W$1843,W1820),0),0)</f>
        <v>0</v>
      </c>
    </row>
    <row r="1821" customFormat="false" ht="15" hidden="false" customHeight="false" outlineLevel="0" collapsed="false">
      <c r="A1821" s="55" t="str">
        <f aca="false">IF('Neue Artikel'!$A$82="","",'Neue Artikel'!$A$82&amp;"")</f>
        <v/>
      </c>
      <c r="B1821" s="55" t="str">
        <f aca="false">'Neue Artikel'!$B$82&amp;""</f>
        <v/>
      </c>
      <c r="C1821" s="55"/>
      <c r="D1821" s="55" t="s">
        <v>3015</v>
      </c>
      <c r="E1821" s="55"/>
      <c r="F1821" s="55"/>
      <c r="G1821" s="56" t="n">
        <f aca="false">N('Neue Artikel'!$G$82)</f>
        <v>0</v>
      </c>
      <c r="H1821" s="57" t="n">
        <f aca="false">MAX(0,IF(AND(Parameter!$B$21="Ja",ISNUMBER(Y1821)),Y1821,IF(Parameter!$B$20="Jahresanfang 2025 + Export",BL1821+BK1821,BK1821)))</f>
        <v>0</v>
      </c>
      <c r="I1821" s="57" t="n">
        <f aca="false">H1821*G1821</f>
        <v>0</v>
      </c>
      <c r="J1821" s="57" t="n">
        <f aca="false">BN1821*Parameter!$B$18</f>
        <v>0</v>
      </c>
      <c r="K1821" s="58"/>
      <c r="L1821" s="59"/>
      <c r="M1821" s="57" t="n">
        <f aca="false">N('Neue Artikel'!$E$82)</f>
        <v>0</v>
      </c>
      <c r="N1821" s="57" t="n">
        <f aca="false">N('Neue Artikel'!$F$82)</f>
        <v>0</v>
      </c>
      <c r="O1821" s="60"/>
      <c r="P1821" s="55" t="str">
        <f aca="false">IF('Neue Artikel'!$H$82="","LOSE",UPPER(TRIM('Neue Artikel'!$H$82)))</f>
        <v>LOSE</v>
      </c>
      <c r="Q1821" s="57" t="n">
        <f aca="false">N('Neue Artikel'!$I$82)</f>
        <v>0</v>
      </c>
      <c r="R1821" s="60" t="n">
        <f aca="false">IF(BT1821=1,0,IFERROR(VLOOKUP(BR1821,'Gebinde-Kategorie'!$A$5:$M$45,13,0)+0,0))</f>
        <v>0</v>
      </c>
      <c r="S1821" s="61"/>
      <c r="T1821" s="62"/>
      <c r="U1821" s="62"/>
      <c r="V1821" s="62"/>
      <c r="W1821" s="55"/>
      <c r="X1821" s="57"/>
      <c r="Y1821" s="57"/>
      <c r="Z1821" s="55" t="str">
        <f aca="false">IF(A1821="","",IF(AND(Parameter!$B$21="Ja",ISNUMBER(W1821)),W1821,IF(BV1821="2+3",IF(ISNUMBER(SEARCH("grosser Artikel",BO1821)),2,IFERROR(VLOOKUP(BR1821,Parameter!$F$35:$G$64,2,0),2)),IF(OR(BV1821="Nein",BV1821=""),"-",BV1821))))</f>
        <v/>
      </c>
      <c r="AA1821" s="55" t="str">
        <f aca="false">IF('Neue Artikel'!$J$82="","",'Neue Artikel'!$J$82)</f>
        <v/>
      </c>
      <c r="AB1821" s="63"/>
      <c r="AC1821" s="57" t="n">
        <f aca="false">AR1821</f>
        <v>0</v>
      </c>
      <c r="AD1821" s="57" t="n">
        <f aca="false">MAX(AR1821,H1821)</f>
        <v>0</v>
      </c>
      <c r="AE1821" s="64"/>
      <c r="AF1821" s="57" t="n">
        <f aca="false">IF(LEFT(Cockpit!$C$5,1)="A",H1821,IF(CA1821=1,CB1821,IF(LEFT(Cockpit!$C$5,1)="B",AJ1821,MAX(AJ1821,H1821))))</f>
        <v>0</v>
      </c>
      <c r="AG1821" s="57" t="n">
        <f aca="false">IF(BT1821=1,0,ROUNDUP(AF1821/BS1821,0))</f>
        <v>0</v>
      </c>
      <c r="AH1821" s="59" t="n">
        <f aca="false">IF(CH1821&gt;0,CH1821*MAX(1,AF1821/X1821),IF(BT1821=1,IF(AF1821&lt;=0,0,BW1821*MAX(1,IF(H1821&gt;0,AF1821/H1821,1))),IF(R1821&gt;0,AG1821/R1821,0))/MAX(0.1,N(Parameter!$M$21)))</f>
        <v>0</v>
      </c>
      <c r="AI1821" s="57" t="n">
        <f aca="false">AF1821*G1821</f>
        <v>0</v>
      </c>
      <c r="AJ1821" s="57" t="n">
        <f aca="false">ROUNDUP(MAX(J1821/IF(BZ1821&gt;0,BZ1821,MAX(0.1,N(Cockpit!$C$6))),CC1821)/BS1821,0)*BS1821</f>
        <v>0</v>
      </c>
      <c r="AK1821" s="58" t="n">
        <f aca="false">IF(AH1821&gt;0,J1821/AH1821,-1)</f>
        <v>-1</v>
      </c>
      <c r="AL1821" s="58" t="str">
        <f aca="false">IF(AND(OR(BY1821="L1",BY1821="L23"),AH1821&gt;0),SUMIFS($AH$7:$AH$1843,$BY$7:$BY$1843,BY1821,$AK$7:$AK$1843,"&gt;"&amp;AK1821)+SUMIFS($AH$7:$AH$1843,$BY$7:$BY$1843,BY1821,$AK$7:$AK$1843,AK1821,$BQ$7:$BQ$1843,"&lt;="&amp;BQ1821),"")</f>
        <v/>
      </c>
      <c r="AM1821" s="65" t="n">
        <f aca="false">IF(AL1821="",0,MAX(0,MIN(1,(IF(BY1821="L1",Parameter!$E$5,Parameter!$E$6+Parameter!$E$7)-(AL1821-AH1821))/AH1821)))</f>
        <v>0</v>
      </c>
      <c r="AN1821" s="57" t="n">
        <f aca="false">IF(LEFT(Cockpit!$I$5,1)="A",H1821,IF(CA1821=1,CB1821,IF(LEFT(Cockpit!$I$5,1)="B",AR1821,MAX(AR1821,H1821))))</f>
        <v>0</v>
      </c>
      <c r="AO1821" s="57" t="n">
        <f aca="false">IF(BT1821=1,0,ROUNDUP(AN1821/BS1821,0))</f>
        <v>0</v>
      </c>
      <c r="AP1821" s="59" t="n">
        <f aca="false">IF(CH1821&gt;0,CH1821*MAX(1,AN1821/X1821),IF(BT1821=1,IF(AN1821&lt;=0,0,BW1821*MAX(1,IF(H1821&gt;0,AN1821/H1821,1))),IF(R1821&gt;0,AO1821/R1821,0))/MAX(0.1,N(Parameter!$M$21)))</f>
        <v>0</v>
      </c>
      <c r="AQ1821" s="57" t="n">
        <f aca="false">AN1821*G1821</f>
        <v>0</v>
      </c>
      <c r="AR1821" s="57" t="n">
        <f aca="false">ROUNDUP(MAX(J1821/IF(BZ1821&gt;0,BZ1821,MAX(0.1,N(Cockpit!$I$6))),CC1821)/BS1821,0)*BS1821</f>
        <v>0</v>
      </c>
      <c r="AS1821" s="58" t="n">
        <f aca="false">IF(AP1821&gt;0,J1821/AP1821,-1)</f>
        <v>-1</v>
      </c>
      <c r="AT1821" s="58" t="str">
        <f aca="false">IF(AND(OR(BY1821="L1",BY1821="L23"),AP1821&gt;0),SUMIFS($AP$7:$AP$1843,$BY$7:$BY$1843,BY1821,$AS$7:$AS$1843,"&gt;"&amp;AS1821)+SUMIFS($AP$7:$AP$1843,$BY$7:$BY$1843,BY1821,$AS$7:$AS$1843,AS1821,$BQ$7:$BQ$1843,"&lt;="&amp;BQ1821),"")</f>
        <v/>
      </c>
      <c r="AU1821" s="65" t="n">
        <f aca="false">IF(AT1821="",0,MAX(0,MIN(1,(IF(BY1821="L1",Parameter!$E$5,Parameter!$E$6+Parameter!$E$7)-(AT1821-AP1821))/AP1821)))</f>
        <v>0</v>
      </c>
      <c r="AV1821" s="57" t="n">
        <f aca="false">IF(LEFT(Cockpit!$O$5,1)="A",H1821,IF(CA1821=1,CB1821,IF(LEFT(Cockpit!$O$5,1)="B",AZ1821,MAX(AZ1821,H1821))))</f>
        <v>0</v>
      </c>
      <c r="AW1821" s="57" t="n">
        <f aca="false">IF(BT1821=1,0,ROUNDUP(AV1821/BS1821,0))</f>
        <v>0</v>
      </c>
      <c r="AX1821" s="59" t="n">
        <f aca="false">IF(CH1821&gt;0,CH1821*MAX(1,AV1821/X1821),IF(BT1821=1,IF(AV1821&lt;=0,0,BW1821*MAX(1,IF(H1821&gt;0,AV1821/H1821,1))),IF(R1821&gt;0,AW1821/R1821,0))/MAX(0.1,N(Parameter!$M$21)))</f>
        <v>0</v>
      </c>
      <c r="AY1821" s="57" t="n">
        <f aca="false">AV1821*G1821</f>
        <v>0</v>
      </c>
      <c r="AZ1821" s="57" t="n">
        <f aca="false">ROUNDUP(MAX(J1821/IF(BZ1821&gt;0,BZ1821,MAX(0.1,N(Cockpit!$O$6))),CC1821)/BS1821,0)*BS1821</f>
        <v>0</v>
      </c>
      <c r="BA1821" s="58" t="n">
        <f aca="false">IF(AX1821&gt;0,J1821/AX1821,-1)</f>
        <v>-1</v>
      </c>
      <c r="BB1821" s="58" t="str">
        <f aca="false">IF(AND(OR(BY1821="L1",BY1821="L23"),AX1821&gt;0),SUMIFS($AX$7:$AX$1843,$BY$7:$BY$1843,BY1821,$BA$7:$BA$1843,"&gt;"&amp;BA1821)+SUMIFS($AX$7:$AX$1843,$BY$7:$BY$1843,BY1821,$BA$7:$BA$1843,BA1821,$BQ$7:$BQ$1843,"&lt;="&amp;BQ1821),"")</f>
        <v/>
      </c>
      <c r="BC1821" s="65" t="n">
        <f aca="false">IF(BB1821="",0,MAX(0,MIN(1,(IF(BY1821="L1",Parameter!$E$5,Parameter!$E$6+Parameter!$E$7)-(BB1821-AX1821))/AX1821)))</f>
        <v>0</v>
      </c>
      <c r="BD1821" s="55" t="str">
        <f aca="false">IF(AH1821&lt;=0,"",IF(BY1821="Aussen","Aussenlager",IF(BY1821="-","Nicht im Lift",IF(AM1821&gt;=1,"Lift",IF(AM1821&lt;=0,"Aussenlager","teilweise")))))</f>
        <v/>
      </c>
      <c r="BE1821" s="55" t="str">
        <f aca="false">IF(AP1821&lt;=0,"",IF(BY1821="Aussen","Aussenlager",IF(BY1821="-","Nicht im Lift",IF(AU1821&gt;=1,"Lift",IF(AU1821&lt;=0,"Aussenlager","teilweise")))))</f>
        <v/>
      </c>
      <c r="BF1821" s="55" t="str">
        <f aca="false">IF(AX1821&lt;=0,"",IF(BY1821="Aussen","Aussenlager",IF(BY1821="-","Nicht im Lift",IF(BC1821&gt;=1,"Lift",IF(BC1821&lt;=0,"Aussenlager","teilweise")))))</f>
        <v/>
      </c>
      <c r="BG1821" s="55" t="str">
        <f aca="false">IF(A1821="","",IF(BP1821=1,"Neu; ","")&amp;IF(AND(BP1821=0,BK1821&lt;0),"negativer Bestand (Export "&amp;BK1821&amp;"); ","")&amp;IF(J1821&lt;=0,"Kein Verbrauch; ","")&amp;IF(CH1821&gt;0,"Lift "&amp;W1821&amp;" lt. Liftbericht (Fach "&amp;X1821&amp;" Stk); ",IF(BU1821=1,"Gebinde geschätzt ("&amp;T1821&amp;"); ",IF(BT1821=1,"Lose – Tablare geschätzt; ","")))&amp;IF(H1821&gt;AR1821,"Überbestand "&amp;ROUND(H1821-AR1821,0)&amp;" Stk / CHF "&amp;ROUND((H1821-AR1821)*G1821,0)&amp;"; ","")&amp;IF(AND(CA1821=1,CB1821&lt;CC1821),"MAX &lt; MB+LG; ","")&amp;IF(AND(CG1821&gt;0,CF1821*10&gt;CG1821),"zu hoch für Tablar; ","")&amp;IF(AND(BP1821=0,OR(CA1821=1,AA1821&lt;&gt;"",U1821&lt;&gt;"",V1821&lt;&gt;"",AB1821&lt;&gt;"")),"manuell übersteuert; ","")&amp;IF(AND(BT1821=0,R1821=0),"Gebinde unbekannt / Stellmass fehlt; ","")&amp;IF(AND(BT1821=0,N(V1821)&lt;=0,N(Q1821)&lt;=0),"Menge pro Gebinde fehlt (Ist = 1 Gebinde); ","")&amp;BO1821)</f>
        <v/>
      </c>
      <c r="BH1821" s="55"/>
      <c r="BI1821" s="55"/>
      <c r="BJ1821" s="62"/>
      <c r="BK1821" s="57" t="n">
        <f aca="false">N('Neue Artikel'!$D$82)</f>
        <v>0</v>
      </c>
      <c r="BL1821" s="57" t="n">
        <v>0</v>
      </c>
      <c r="BM1821" s="56" t="n">
        <v>0</v>
      </c>
      <c r="BN1821" s="57" t="n">
        <f aca="false">N('Neue Artikel'!$C$82)/Parameter!$B$18</f>
        <v>0</v>
      </c>
      <c r="BO1821" s="55"/>
      <c r="BP1821" s="60" t="n">
        <v>1</v>
      </c>
      <c r="BQ1821" s="60" t="n">
        <v>1821</v>
      </c>
      <c r="BR1821" s="55" t="str">
        <f aca="false">IF(U1821&lt;&gt;"",UPPER(TRIM(U1821)),IF(BU1821=1,UPPER(VLOOKUP(T1821,Parameter!$I$27:$K$29,2,0)),IF(P1821="","LOSE",P1821)))</f>
        <v>LOSE</v>
      </c>
      <c r="BS1821" s="57" t="n">
        <f aca="false">IF(BR1821="LOSE",1,IF(N(V1821)&gt;0,V1821,IF(BU1821=1,MAX(1,N(VLOOKUP(T1821,Parameter!$I$27:$K$29,3,0)),H1821,N(N1821)),IF(N(Q1821)&gt;0,Q1821,MAX(1,H1821)))))</f>
        <v>1</v>
      </c>
      <c r="BT1821" s="60" t="n">
        <f aca="false">IF(BR1821="LOSE",1,0)</f>
        <v>1</v>
      </c>
      <c r="BU1821" s="60" t="n">
        <f aca="false">IF(AND(U1821="",OR(P1821="",P1821="LOSE"),T1821&lt;&gt;"",N(S1821)&lt;=0,ISNUMBER(MATCH(T1821,Parameter!$I$27:$I$29,0))),1,0)</f>
        <v>0</v>
      </c>
      <c r="BV1821" s="55" t="str">
        <f aca="false">IF(AND(Parameter!$B$19="Ja",E1821&lt;&gt;"",ISNUMBER(MATCH(E1821,Parameter!$I$35:$I$52,0))),VLOOKUP(E1821,Parameter!$I$35:$J$52,2,0),IFERROR(VLOOKUP(D1821,Parameter!$A$35:$C$64,2,0),"Nein"))</f>
        <v>2+3</v>
      </c>
      <c r="BW1821" s="59" t="n">
        <f aca="false">IF(BT1821=0,0,IF(N(S1821)&gt;0,S1821,IFERROR(VLOOKUP(D1821,Parameter!$A$35:$C$64,3,0)+0,0)))</f>
        <v>0.15</v>
      </c>
      <c r="BX1821" s="55" t="str">
        <f aca="false">IF(AA1821&lt;&gt;"",AA1821,Z1821)</f>
        <v/>
      </c>
      <c r="BY1821" s="55" t="str">
        <f aca="false">IF(BX1821=1,"L1",IF(OR(BX1821=2,BX1821=3),"L23",IF(BX1821="Aussen","Aussen","-")))</f>
        <v>-</v>
      </c>
      <c r="BZ1821" s="66" t="n">
        <f aca="false">IF(N(AB1821)&gt;0,AB1821,0)</f>
        <v>0</v>
      </c>
      <c r="CA1821" s="60" t="n">
        <f aca="false">IF(ISNUMBER(AE1821),1,0)</f>
        <v>0</v>
      </c>
      <c r="CB1821" s="57" t="n">
        <f aca="false">N(AE1821)</f>
        <v>0</v>
      </c>
      <c r="CC1821" s="57" t="n">
        <f aca="false">N(M1821)+N(N1821)</f>
        <v>0</v>
      </c>
      <c r="CD1821" s="57" t="n">
        <f aca="false">ROUNDUP(H1821/BS1821,0)</f>
        <v>0</v>
      </c>
      <c r="CE1821" s="57" t="n">
        <f aca="false">ROUNDUP(CB1821/BS1821,0)</f>
        <v>0</v>
      </c>
      <c r="CF1821" s="60" t="n">
        <f aca="false">IF(BT1821=1,0,IFERROR(VLOOKUP(BR1821,'Gebinde-Kategorie'!$A$5:$M$45,5,0)+0,0))</f>
        <v>0</v>
      </c>
      <c r="CG1821" s="60" t="n">
        <f aca="false">IFERROR(IF(OR(BX1821=1,BX1821=2,BX1821=3),N(INDEX(Parameter!$I$5:$I$7,BX1821)),0),0)</f>
        <v>0</v>
      </c>
      <c r="CH1821" s="59" t="n">
        <f aca="false">IF(AND(Parameter!$B$21="Ja",ISNUMBER(W1821),N(X1821)&gt;0),IFERROR(N(INDEX(Parameter!$L$5:$L$7,W1821))*INDEX(Parameter!$E$5:$E$7,W1821)*X1821/SUMIFS($X$7:$X$1843,$W$7:$W$1843,W1821),0),0)</f>
        <v>0</v>
      </c>
    </row>
    <row r="1822" customFormat="false" ht="15" hidden="false" customHeight="false" outlineLevel="0" collapsed="false">
      <c r="A1822" s="55" t="str">
        <f aca="false">IF('Neue Artikel'!$A$83="","",'Neue Artikel'!$A$83&amp;"")</f>
        <v/>
      </c>
      <c r="B1822" s="55" t="str">
        <f aca="false">'Neue Artikel'!$B$83&amp;""</f>
        <v/>
      </c>
      <c r="C1822" s="55"/>
      <c r="D1822" s="55" t="s">
        <v>3015</v>
      </c>
      <c r="E1822" s="55"/>
      <c r="F1822" s="55"/>
      <c r="G1822" s="56" t="n">
        <f aca="false">N('Neue Artikel'!$G$83)</f>
        <v>0</v>
      </c>
      <c r="H1822" s="57" t="n">
        <f aca="false">MAX(0,IF(AND(Parameter!$B$21="Ja",ISNUMBER(Y1822)),Y1822,IF(Parameter!$B$20="Jahresanfang 2025 + Export",BL1822+BK1822,BK1822)))</f>
        <v>0</v>
      </c>
      <c r="I1822" s="57" t="n">
        <f aca="false">H1822*G1822</f>
        <v>0</v>
      </c>
      <c r="J1822" s="57" t="n">
        <f aca="false">BN1822*Parameter!$B$18</f>
        <v>0</v>
      </c>
      <c r="K1822" s="58"/>
      <c r="L1822" s="59"/>
      <c r="M1822" s="57" t="n">
        <f aca="false">N('Neue Artikel'!$E$83)</f>
        <v>0</v>
      </c>
      <c r="N1822" s="57" t="n">
        <f aca="false">N('Neue Artikel'!$F$83)</f>
        <v>0</v>
      </c>
      <c r="O1822" s="60"/>
      <c r="P1822" s="55" t="str">
        <f aca="false">IF('Neue Artikel'!$H$83="","LOSE",UPPER(TRIM('Neue Artikel'!$H$83)))</f>
        <v>LOSE</v>
      </c>
      <c r="Q1822" s="57" t="n">
        <f aca="false">N('Neue Artikel'!$I$83)</f>
        <v>0</v>
      </c>
      <c r="R1822" s="60" t="n">
        <f aca="false">IF(BT1822=1,0,IFERROR(VLOOKUP(BR1822,'Gebinde-Kategorie'!$A$5:$M$45,13,0)+0,0))</f>
        <v>0</v>
      </c>
      <c r="S1822" s="61"/>
      <c r="T1822" s="62"/>
      <c r="U1822" s="62"/>
      <c r="V1822" s="62"/>
      <c r="W1822" s="55"/>
      <c r="X1822" s="57"/>
      <c r="Y1822" s="57"/>
      <c r="Z1822" s="55" t="str">
        <f aca="false">IF(A1822="","",IF(AND(Parameter!$B$21="Ja",ISNUMBER(W1822)),W1822,IF(BV1822="2+3",IF(ISNUMBER(SEARCH("grosser Artikel",BO1822)),2,IFERROR(VLOOKUP(BR1822,Parameter!$F$35:$G$64,2,0),2)),IF(OR(BV1822="Nein",BV1822=""),"-",BV1822))))</f>
        <v/>
      </c>
      <c r="AA1822" s="55" t="str">
        <f aca="false">IF('Neue Artikel'!$J$83="","",'Neue Artikel'!$J$83)</f>
        <v/>
      </c>
      <c r="AB1822" s="63"/>
      <c r="AC1822" s="57" t="n">
        <f aca="false">AR1822</f>
        <v>0</v>
      </c>
      <c r="AD1822" s="57" t="n">
        <f aca="false">MAX(AR1822,H1822)</f>
        <v>0</v>
      </c>
      <c r="AE1822" s="64"/>
      <c r="AF1822" s="57" t="n">
        <f aca="false">IF(LEFT(Cockpit!$C$5,1)="A",H1822,IF(CA1822=1,CB1822,IF(LEFT(Cockpit!$C$5,1)="B",AJ1822,MAX(AJ1822,H1822))))</f>
        <v>0</v>
      </c>
      <c r="AG1822" s="57" t="n">
        <f aca="false">IF(BT1822=1,0,ROUNDUP(AF1822/BS1822,0))</f>
        <v>0</v>
      </c>
      <c r="AH1822" s="59" t="n">
        <f aca="false">IF(CH1822&gt;0,CH1822*MAX(1,AF1822/X1822),IF(BT1822=1,IF(AF1822&lt;=0,0,BW1822*MAX(1,IF(H1822&gt;0,AF1822/H1822,1))),IF(R1822&gt;0,AG1822/R1822,0))/MAX(0.1,N(Parameter!$M$21)))</f>
        <v>0</v>
      </c>
      <c r="AI1822" s="57" t="n">
        <f aca="false">AF1822*G1822</f>
        <v>0</v>
      </c>
      <c r="AJ1822" s="57" t="n">
        <f aca="false">ROUNDUP(MAX(J1822/IF(BZ1822&gt;0,BZ1822,MAX(0.1,N(Cockpit!$C$6))),CC1822)/BS1822,0)*BS1822</f>
        <v>0</v>
      </c>
      <c r="AK1822" s="58" t="n">
        <f aca="false">IF(AH1822&gt;0,J1822/AH1822,-1)</f>
        <v>-1</v>
      </c>
      <c r="AL1822" s="58" t="str">
        <f aca="false">IF(AND(OR(BY1822="L1",BY1822="L23"),AH1822&gt;0),SUMIFS($AH$7:$AH$1843,$BY$7:$BY$1843,BY1822,$AK$7:$AK$1843,"&gt;"&amp;AK1822)+SUMIFS($AH$7:$AH$1843,$BY$7:$BY$1843,BY1822,$AK$7:$AK$1843,AK1822,$BQ$7:$BQ$1843,"&lt;="&amp;BQ1822),"")</f>
        <v/>
      </c>
      <c r="AM1822" s="65" t="n">
        <f aca="false">IF(AL1822="",0,MAX(0,MIN(1,(IF(BY1822="L1",Parameter!$E$5,Parameter!$E$6+Parameter!$E$7)-(AL1822-AH1822))/AH1822)))</f>
        <v>0</v>
      </c>
      <c r="AN1822" s="57" t="n">
        <f aca="false">IF(LEFT(Cockpit!$I$5,1)="A",H1822,IF(CA1822=1,CB1822,IF(LEFT(Cockpit!$I$5,1)="B",AR1822,MAX(AR1822,H1822))))</f>
        <v>0</v>
      </c>
      <c r="AO1822" s="57" t="n">
        <f aca="false">IF(BT1822=1,0,ROUNDUP(AN1822/BS1822,0))</f>
        <v>0</v>
      </c>
      <c r="AP1822" s="59" t="n">
        <f aca="false">IF(CH1822&gt;0,CH1822*MAX(1,AN1822/X1822),IF(BT1822=1,IF(AN1822&lt;=0,0,BW1822*MAX(1,IF(H1822&gt;0,AN1822/H1822,1))),IF(R1822&gt;0,AO1822/R1822,0))/MAX(0.1,N(Parameter!$M$21)))</f>
        <v>0</v>
      </c>
      <c r="AQ1822" s="57" t="n">
        <f aca="false">AN1822*G1822</f>
        <v>0</v>
      </c>
      <c r="AR1822" s="57" t="n">
        <f aca="false">ROUNDUP(MAX(J1822/IF(BZ1822&gt;0,BZ1822,MAX(0.1,N(Cockpit!$I$6))),CC1822)/BS1822,0)*BS1822</f>
        <v>0</v>
      </c>
      <c r="AS1822" s="58" t="n">
        <f aca="false">IF(AP1822&gt;0,J1822/AP1822,-1)</f>
        <v>-1</v>
      </c>
      <c r="AT1822" s="58" t="str">
        <f aca="false">IF(AND(OR(BY1822="L1",BY1822="L23"),AP1822&gt;0),SUMIFS($AP$7:$AP$1843,$BY$7:$BY$1843,BY1822,$AS$7:$AS$1843,"&gt;"&amp;AS1822)+SUMIFS($AP$7:$AP$1843,$BY$7:$BY$1843,BY1822,$AS$7:$AS$1843,AS1822,$BQ$7:$BQ$1843,"&lt;="&amp;BQ1822),"")</f>
        <v/>
      </c>
      <c r="AU1822" s="65" t="n">
        <f aca="false">IF(AT1822="",0,MAX(0,MIN(1,(IF(BY1822="L1",Parameter!$E$5,Parameter!$E$6+Parameter!$E$7)-(AT1822-AP1822))/AP1822)))</f>
        <v>0</v>
      </c>
      <c r="AV1822" s="57" t="n">
        <f aca="false">IF(LEFT(Cockpit!$O$5,1)="A",H1822,IF(CA1822=1,CB1822,IF(LEFT(Cockpit!$O$5,1)="B",AZ1822,MAX(AZ1822,H1822))))</f>
        <v>0</v>
      </c>
      <c r="AW1822" s="57" t="n">
        <f aca="false">IF(BT1822=1,0,ROUNDUP(AV1822/BS1822,0))</f>
        <v>0</v>
      </c>
      <c r="AX1822" s="59" t="n">
        <f aca="false">IF(CH1822&gt;0,CH1822*MAX(1,AV1822/X1822),IF(BT1822=1,IF(AV1822&lt;=0,0,BW1822*MAX(1,IF(H1822&gt;0,AV1822/H1822,1))),IF(R1822&gt;0,AW1822/R1822,0))/MAX(0.1,N(Parameter!$M$21)))</f>
        <v>0</v>
      </c>
      <c r="AY1822" s="57" t="n">
        <f aca="false">AV1822*G1822</f>
        <v>0</v>
      </c>
      <c r="AZ1822" s="57" t="n">
        <f aca="false">ROUNDUP(MAX(J1822/IF(BZ1822&gt;0,BZ1822,MAX(0.1,N(Cockpit!$O$6))),CC1822)/BS1822,0)*BS1822</f>
        <v>0</v>
      </c>
      <c r="BA1822" s="58" t="n">
        <f aca="false">IF(AX1822&gt;0,J1822/AX1822,-1)</f>
        <v>-1</v>
      </c>
      <c r="BB1822" s="58" t="str">
        <f aca="false">IF(AND(OR(BY1822="L1",BY1822="L23"),AX1822&gt;0),SUMIFS($AX$7:$AX$1843,$BY$7:$BY$1843,BY1822,$BA$7:$BA$1843,"&gt;"&amp;BA1822)+SUMIFS($AX$7:$AX$1843,$BY$7:$BY$1843,BY1822,$BA$7:$BA$1843,BA1822,$BQ$7:$BQ$1843,"&lt;="&amp;BQ1822),"")</f>
        <v/>
      </c>
      <c r="BC1822" s="65" t="n">
        <f aca="false">IF(BB1822="",0,MAX(0,MIN(1,(IF(BY1822="L1",Parameter!$E$5,Parameter!$E$6+Parameter!$E$7)-(BB1822-AX1822))/AX1822)))</f>
        <v>0</v>
      </c>
      <c r="BD1822" s="55" t="str">
        <f aca="false">IF(AH1822&lt;=0,"",IF(BY1822="Aussen","Aussenlager",IF(BY1822="-","Nicht im Lift",IF(AM1822&gt;=1,"Lift",IF(AM1822&lt;=0,"Aussenlager","teilweise")))))</f>
        <v/>
      </c>
      <c r="BE1822" s="55" t="str">
        <f aca="false">IF(AP1822&lt;=0,"",IF(BY1822="Aussen","Aussenlager",IF(BY1822="-","Nicht im Lift",IF(AU1822&gt;=1,"Lift",IF(AU1822&lt;=0,"Aussenlager","teilweise")))))</f>
        <v/>
      </c>
      <c r="BF1822" s="55" t="str">
        <f aca="false">IF(AX1822&lt;=0,"",IF(BY1822="Aussen","Aussenlager",IF(BY1822="-","Nicht im Lift",IF(BC1822&gt;=1,"Lift",IF(BC1822&lt;=0,"Aussenlager","teilweise")))))</f>
        <v/>
      </c>
      <c r="BG1822" s="55" t="str">
        <f aca="false">IF(A1822="","",IF(BP1822=1,"Neu; ","")&amp;IF(AND(BP1822=0,BK1822&lt;0),"negativer Bestand (Export "&amp;BK1822&amp;"); ","")&amp;IF(J1822&lt;=0,"Kein Verbrauch; ","")&amp;IF(CH1822&gt;0,"Lift "&amp;W1822&amp;" lt. Liftbericht (Fach "&amp;X1822&amp;" Stk); ",IF(BU1822=1,"Gebinde geschätzt ("&amp;T1822&amp;"); ",IF(BT1822=1,"Lose – Tablare geschätzt; ","")))&amp;IF(H1822&gt;AR1822,"Überbestand "&amp;ROUND(H1822-AR1822,0)&amp;" Stk / CHF "&amp;ROUND((H1822-AR1822)*G1822,0)&amp;"; ","")&amp;IF(AND(CA1822=1,CB1822&lt;CC1822),"MAX &lt; MB+LG; ","")&amp;IF(AND(CG1822&gt;0,CF1822*10&gt;CG1822),"zu hoch für Tablar; ","")&amp;IF(AND(BP1822=0,OR(CA1822=1,AA1822&lt;&gt;"",U1822&lt;&gt;"",V1822&lt;&gt;"",AB1822&lt;&gt;"")),"manuell übersteuert; ","")&amp;IF(AND(BT1822=0,R1822=0),"Gebinde unbekannt / Stellmass fehlt; ","")&amp;IF(AND(BT1822=0,N(V1822)&lt;=0,N(Q1822)&lt;=0),"Menge pro Gebinde fehlt (Ist = 1 Gebinde); ","")&amp;BO1822)</f>
        <v/>
      </c>
      <c r="BH1822" s="55"/>
      <c r="BI1822" s="55"/>
      <c r="BJ1822" s="62"/>
      <c r="BK1822" s="57" t="n">
        <f aca="false">N('Neue Artikel'!$D$83)</f>
        <v>0</v>
      </c>
      <c r="BL1822" s="57" t="n">
        <v>0</v>
      </c>
      <c r="BM1822" s="56" t="n">
        <v>0</v>
      </c>
      <c r="BN1822" s="57" t="n">
        <f aca="false">N('Neue Artikel'!$C$83)/Parameter!$B$18</f>
        <v>0</v>
      </c>
      <c r="BO1822" s="55"/>
      <c r="BP1822" s="60" t="n">
        <v>1</v>
      </c>
      <c r="BQ1822" s="60" t="n">
        <v>1822</v>
      </c>
      <c r="BR1822" s="55" t="str">
        <f aca="false">IF(U1822&lt;&gt;"",UPPER(TRIM(U1822)),IF(BU1822=1,UPPER(VLOOKUP(T1822,Parameter!$I$27:$K$29,2,0)),IF(P1822="","LOSE",P1822)))</f>
        <v>LOSE</v>
      </c>
      <c r="BS1822" s="57" t="n">
        <f aca="false">IF(BR1822="LOSE",1,IF(N(V1822)&gt;0,V1822,IF(BU1822=1,MAX(1,N(VLOOKUP(T1822,Parameter!$I$27:$K$29,3,0)),H1822,N(N1822)),IF(N(Q1822)&gt;0,Q1822,MAX(1,H1822)))))</f>
        <v>1</v>
      </c>
      <c r="BT1822" s="60" t="n">
        <f aca="false">IF(BR1822="LOSE",1,0)</f>
        <v>1</v>
      </c>
      <c r="BU1822" s="60" t="n">
        <f aca="false">IF(AND(U1822="",OR(P1822="",P1822="LOSE"),T1822&lt;&gt;"",N(S1822)&lt;=0,ISNUMBER(MATCH(T1822,Parameter!$I$27:$I$29,0))),1,0)</f>
        <v>0</v>
      </c>
      <c r="BV1822" s="55" t="str">
        <f aca="false">IF(AND(Parameter!$B$19="Ja",E1822&lt;&gt;"",ISNUMBER(MATCH(E1822,Parameter!$I$35:$I$52,0))),VLOOKUP(E1822,Parameter!$I$35:$J$52,2,0),IFERROR(VLOOKUP(D1822,Parameter!$A$35:$C$64,2,0),"Nein"))</f>
        <v>2+3</v>
      </c>
      <c r="BW1822" s="59" t="n">
        <f aca="false">IF(BT1822=0,0,IF(N(S1822)&gt;0,S1822,IFERROR(VLOOKUP(D1822,Parameter!$A$35:$C$64,3,0)+0,0)))</f>
        <v>0.15</v>
      </c>
      <c r="BX1822" s="55" t="str">
        <f aca="false">IF(AA1822&lt;&gt;"",AA1822,Z1822)</f>
        <v/>
      </c>
      <c r="BY1822" s="55" t="str">
        <f aca="false">IF(BX1822=1,"L1",IF(OR(BX1822=2,BX1822=3),"L23",IF(BX1822="Aussen","Aussen","-")))</f>
        <v>-</v>
      </c>
      <c r="BZ1822" s="66" t="n">
        <f aca="false">IF(N(AB1822)&gt;0,AB1822,0)</f>
        <v>0</v>
      </c>
      <c r="CA1822" s="60" t="n">
        <f aca="false">IF(ISNUMBER(AE1822),1,0)</f>
        <v>0</v>
      </c>
      <c r="CB1822" s="57" t="n">
        <f aca="false">N(AE1822)</f>
        <v>0</v>
      </c>
      <c r="CC1822" s="57" t="n">
        <f aca="false">N(M1822)+N(N1822)</f>
        <v>0</v>
      </c>
      <c r="CD1822" s="57" t="n">
        <f aca="false">ROUNDUP(H1822/BS1822,0)</f>
        <v>0</v>
      </c>
      <c r="CE1822" s="57" t="n">
        <f aca="false">ROUNDUP(CB1822/BS1822,0)</f>
        <v>0</v>
      </c>
      <c r="CF1822" s="60" t="n">
        <f aca="false">IF(BT1822=1,0,IFERROR(VLOOKUP(BR1822,'Gebinde-Kategorie'!$A$5:$M$45,5,0)+0,0))</f>
        <v>0</v>
      </c>
      <c r="CG1822" s="60" t="n">
        <f aca="false">IFERROR(IF(OR(BX1822=1,BX1822=2,BX1822=3),N(INDEX(Parameter!$I$5:$I$7,BX1822)),0),0)</f>
        <v>0</v>
      </c>
      <c r="CH1822" s="59" t="n">
        <f aca="false">IF(AND(Parameter!$B$21="Ja",ISNUMBER(W1822),N(X1822)&gt;0),IFERROR(N(INDEX(Parameter!$L$5:$L$7,W1822))*INDEX(Parameter!$E$5:$E$7,W1822)*X1822/SUMIFS($X$7:$X$1843,$W$7:$W$1843,W1822),0),0)</f>
        <v>0</v>
      </c>
    </row>
    <row r="1823" customFormat="false" ht="15" hidden="false" customHeight="false" outlineLevel="0" collapsed="false">
      <c r="A1823" s="55" t="str">
        <f aca="false">IF('Neue Artikel'!$A$84="","",'Neue Artikel'!$A$84&amp;"")</f>
        <v/>
      </c>
      <c r="B1823" s="55" t="str">
        <f aca="false">'Neue Artikel'!$B$84&amp;""</f>
        <v/>
      </c>
      <c r="C1823" s="55"/>
      <c r="D1823" s="55" t="s">
        <v>3015</v>
      </c>
      <c r="E1823" s="55"/>
      <c r="F1823" s="55"/>
      <c r="G1823" s="56" t="n">
        <f aca="false">N('Neue Artikel'!$G$84)</f>
        <v>0</v>
      </c>
      <c r="H1823" s="57" t="n">
        <f aca="false">MAX(0,IF(AND(Parameter!$B$21="Ja",ISNUMBER(Y1823)),Y1823,IF(Parameter!$B$20="Jahresanfang 2025 + Export",BL1823+BK1823,BK1823)))</f>
        <v>0</v>
      </c>
      <c r="I1823" s="57" t="n">
        <f aca="false">H1823*G1823</f>
        <v>0</v>
      </c>
      <c r="J1823" s="57" t="n">
        <f aca="false">BN1823*Parameter!$B$18</f>
        <v>0</v>
      </c>
      <c r="K1823" s="58"/>
      <c r="L1823" s="59"/>
      <c r="M1823" s="57" t="n">
        <f aca="false">N('Neue Artikel'!$E$84)</f>
        <v>0</v>
      </c>
      <c r="N1823" s="57" t="n">
        <f aca="false">N('Neue Artikel'!$F$84)</f>
        <v>0</v>
      </c>
      <c r="O1823" s="60"/>
      <c r="P1823" s="55" t="str">
        <f aca="false">IF('Neue Artikel'!$H$84="","LOSE",UPPER(TRIM('Neue Artikel'!$H$84)))</f>
        <v>LOSE</v>
      </c>
      <c r="Q1823" s="57" t="n">
        <f aca="false">N('Neue Artikel'!$I$84)</f>
        <v>0</v>
      </c>
      <c r="R1823" s="60" t="n">
        <f aca="false">IF(BT1823=1,0,IFERROR(VLOOKUP(BR1823,'Gebinde-Kategorie'!$A$5:$M$45,13,0)+0,0))</f>
        <v>0</v>
      </c>
      <c r="S1823" s="61"/>
      <c r="T1823" s="62"/>
      <c r="U1823" s="62"/>
      <c r="V1823" s="62"/>
      <c r="W1823" s="55"/>
      <c r="X1823" s="57"/>
      <c r="Y1823" s="57"/>
      <c r="Z1823" s="55" t="str">
        <f aca="false">IF(A1823="","",IF(AND(Parameter!$B$21="Ja",ISNUMBER(W1823)),W1823,IF(BV1823="2+3",IF(ISNUMBER(SEARCH("grosser Artikel",BO1823)),2,IFERROR(VLOOKUP(BR1823,Parameter!$F$35:$G$64,2,0),2)),IF(OR(BV1823="Nein",BV1823=""),"-",BV1823))))</f>
        <v/>
      </c>
      <c r="AA1823" s="55" t="str">
        <f aca="false">IF('Neue Artikel'!$J$84="","",'Neue Artikel'!$J$84)</f>
        <v/>
      </c>
      <c r="AB1823" s="63"/>
      <c r="AC1823" s="57" t="n">
        <f aca="false">AR1823</f>
        <v>0</v>
      </c>
      <c r="AD1823" s="57" t="n">
        <f aca="false">MAX(AR1823,H1823)</f>
        <v>0</v>
      </c>
      <c r="AE1823" s="64"/>
      <c r="AF1823" s="57" t="n">
        <f aca="false">IF(LEFT(Cockpit!$C$5,1)="A",H1823,IF(CA1823=1,CB1823,IF(LEFT(Cockpit!$C$5,1)="B",AJ1823,MAX(AJ1823,H1823))))</f>
        <v>0</v>
      </c>
      <c r="AG1823" s="57" t="n">
        <f aca="false">IF(BT1823=1,0,ROUNDUP(AF1823/BS1823,0))</f>
        <v>0</v>
      </c>
      <c r="AH1823" s="59" t="n">
        <f aca="false">IF(CH1823&gt;0,CH1823*MAX(1,AF1823/X1823),IF(BT1823=1,IF(AF1823&lt;=0,0,BW1823*MAX(1,IF(H1823&gt;0,AF1823/H1823,1))),IF(R1823&gt;0,AG1823/R1823,0))/MAX(0.1,N(Parameter!$M$21)))</f>
        <v>0</v>
      </c>
      <c r="AI1823" s="57" t="n">
        <f aca="false">AF1823*G1823</f>
        <v>0</v>
      </c>
      <c r="AJ1823" s="57" t="n">
        <f aca="false">ROUNDUP(MAX(J1823/IF(BZ1823&gt;0,BZ1823,MAX(0.1,N(Cockpit!$C$6))),CC1823)/BS1823,0)*BS1823</f>
        <v>0</v>
      </c>
      <c r="AK1823" s="58" t="n">
        <f aca="false">IF(AH1823&gt;0,J1823/AH1823,-1)</f>
        <v>-1</v>
      </c>
      <c r="AL1823" s="58" t="str">
        <f aca="false">IF(AND(OR(BY1823="L1",BY1823="L23"),AH1823&gt;0),SUMIFS($AH$7:$AH$1843,$BY$7:$BY$1843,BY1823,$AK$7:$AK$1843,"&gt;"&amp;AK1823)+SUMIFS($AH$7:$AH$1843,$BY$7:$BY$1843,BY1823,$AK$7:$AK$1843,AK1823,$BQ$7:$BQ$1843,"&lt;="&amp;BQ1823),"")</f>
        <v/>
      </c>
      <c r="AM1823" s="65" t="n">
        <f aca="false">IF(AL1823="",0,MAX(0,MIN(1,(IF(BY1823="L1",Parameter!$E$5,Parameter!$E$6+Parameter!$E$7)-(AL1823-AH1823))/AH1823)))</f>
        <v>0</v>
      </c>
      <c r="AN1823" s="57" t="n">
        <f aca="false">IF(LEFT(Cockpit!$I$5,1)="A",H1823,IF(CA1823=1,CB1823,IF(LEFT(Cockpit!$I$5,1)="B",AR1823,MAX(AR1823,H1823))))</f>
        <v>0</v>
      </c>
      <c r="AO1823" s="57" t="n">
        <f aca="false">IF(BT1823=1,0,ROUNDUP(AN1823/BS1823,0))</f>
        <v>0</v>
      </c>
      <c r="AP1823" s="59" t="n">
        <f aca="false">IF(CH1823&gt;0,CH1823*MAX(1,AN1823/X1823),IF(BT1823=1,IF(AN1823&lt;=0,0,BW1823*MAX(1,IF(H1823&gt;0,AN1823/H1823,1))),IF(R1823&gt;0,AO1823/R1823,0))/MAX(0.1,N(Parameter!$M$21)))</f>
        <v>0</v>
      </c>
      <c r="AQ1823" s="57" t="n">
        <f aca="false">AN1823*G1823</f>
        <v>0</v>
      </c>
      <c r="AR1823" s="57" t="n">
        <f aca="false">ROUNDUP(MAX(J1823/IF(BZ1823&gt;0,BZ1823,MAX(0.1,N(Cockpit!$I$6))),CC1823)/BS1823,0)*BS1823</f>
        <v>0</v>
      </c>
      <c r="AS1823" s="58" t="n">
        <f aca="false">IF(AP1823&gt;0,J1823/AP1823,-1)</f>
        <v>-1</v>
      </c>
      <c r="AT1823" s="58" t="str">
        <f aca="false">IF(AND(OR(BY1823="L1",BY1823="L23"),AP1823&gt;0),SUMIFS($AP$7:$AP$1843,$BY$7:$BY$1843,BY1823,$AS$7:$AS$1843,"&gt;"&amp;AS1823)+SUMIFS($AP$7:$AP$1843,$BY$7:$BY$1843,BY1823,$AS$7:$AS$1843,AS1823,$BQ$7:$BQ$1843,"&lt;="&amp;BQ1823),"")</f>
        <v/>
      </c>
      <c r="AU1823" s="65" t="n">
        <f aca="false">IF(AT1823="",0,MAX(0,MIN(1,(IF(BY1823="L1",Parameter!$E$5,Parameter!$E$6+Parameter!$E$7)-(AT1823-AP1823))/AP1823)))</f>
        <v>0</v>
      </c>
      <c r="AV1823" s="57" t="n">
        <f aca="false">IF(LEFT(Cockpit!$O$5,1)="A",H1823,IF(CA1823=1,CB1823,IF(LEFT(Cockpit!$O$5,1)="B",AZ1823,MAX(AZ1823,H1823))))</f>
        <v>0</v>
      </c>
      <c r="AW1823" s="57" t="n">
        <f aca="false">IF(BT1823=1,0,ROUNDUP(AV1823/BS1823,0))</f>
        <v>0</v>
      </c>
      <c r="AX1823" s="59" t="n">
        <f aca="false">IF(CH1823&gt;0,CH1823*MAX(1,AV1823/X1823),IF(BT1823=1,IF(AV1823&lt;=0,0,BW1823*MAX(1,IF(H1823&gt;0,AV1823/H1823,1))),IF(R1823&gt;0,AW1823/R1823,0))/MAX(0.1,N(Parameter!$M$21)))</f>
        <v>0</v>
      </c>
      <c r="AY1823" s="57" t="n">
        <f aca="false">AV1823*G1823</f>
        <v>0</v>
      </c>
      <c r="AZ1823" s="57" t="n">
        <f aca="false">ROUNDUP(MAX(J1823/IF(BZ1823&gt;0,BZ1823,MAX(0.1,N(Cockpit!$O$6))),CC1823)/BS1823,0)*BS1823</f>
        <v>0</v>
      </c>
      <c r="BA1823" s="58" t="n">
        <f aca="false">IF(AX1823&gt;0,J1823/AX1823,-1)</f>
        <v>-1</v>
      </c>
      <c r="BB1823" s="58" t="str">
        <f aca="false">IF(AND(OR(BY1823="L1",BY1823="L23"),AX1823&gt;0),SUMIFS($AX$7:$AX$1843,$BY$7:$BY$1843,BY1823,$BA$7:$BA$1843,"&gt;"&amp;BA1823)+SUMIFS($AX$7:$AX$1843,$BY$7:$BY$1843,BY1823,$BA$7:$BA$1843,BA1823,$BQ$7:$BQ$1843,"&lt;="&amp;BQ1823),"")</f>
        <v/>
      </c>
      <c r="BC1823" s="65" t="n">
        <f aca="false">IF(BB1823="",0,MAX(0,MIN(1,(IF(BY1823="L1",Parameter!$E$5,Parameter!$E$6+Parameter!$E$7)-(BB1823-AX1823))/AX1823)))</f>
        <v>0</v>
      </c>
      <c r="BD1823" s="55" t="str">
        <f aca="false">IF(AH1823&lt;=0,"",IF(BY1823="Aussen","Aussenlager",IF(BY1823="-","Nicht im Lift",IF(AM1823&gt;=1,"Lift",IF(AM1823&lt;=0,"Aussenlager","teilweise")))))</f>
        <v/>
      </c>
      <c r="BE1823" s="55" t="str">
        <f aca="false">IF(AP1823&lt;=0,"",IF(BY1823="Aussen","Aussenlager",IF(BY1823="-","Nicht im Lift",IF(AU1823&gt;=1,"Lift",IF(AU1823&lt;=0,"Aussenlager","teilweise")))))</f>
        <v/>
      </c>
      <c r="BF1823" s="55" t="str">
        <f aca="false">IF(AX1823&lt;=0,"",IF(BY1823="Aussen","Aussenlager",IF(BY1823="-","Nicht im Lift",IF(BC1823&gt;=1,"Lift",IF(BC1823&lt;=0,"Aussenlager","teilweise")))))</f>
        <v/>
      </c>
      <c r="BG1823" s="55" t="str">
        <f aca="false">IF(A1823="","",IF(BP1823=1,"Neu; ","")&amp;IF(AND(BP1823=0,BK1823&lt;0),"negativer Bestand (Export "&amp;BK1823&amp;"); ","")&amp;IF(J1823&lt;=0,"Kein Verbrauch; ","")&amp;IF(CH1823&gt;0,"Lift "&amp;W1823&amp;" lt. Liftbericht (Fach "&amp;X1823&amp;" Stk); ",IF(BU1823=1,"Gebinde geschätzt ("&amp;T1823&amp;"); ",IF(BT1823=1,"Lose – Tablare geschätzt; ","")))&amp;IF(H1823&gt;AR1823,"Überbestand "&amp;ROUND(H1823-AR1823,0)&amp;" Stk / CHF "&amp;ROUND((H1823-AR1823)*G1823,0)&amp;"; ","")&amp;IF(AND(CA1823=1,CB1823&lt;CC1823),"MAX &lt; MB+LG; ","")&amp;IF(AND(CG1823&gt;0,CF1823*10&gt;CG1823),"zu hoch für Tablar; ","")&amp;IF(AND(BP1823=0,OR(CA1823=1,AA1823&lt;&gt;"",U1823&lt;&gt;"",V1823&lt;&gt;"",AB1823&lt;&gt;"")),"manuell übersteuert; ","")&amp;IF(AND(BT1823=0,R1823=0),"Gebinde unbekannt / Stellmass fehlt; ","")&amp;IF(AND(BT1823=0,N(V1823)&lt;=0,N(Q1823)&lt;=0),"Menge pro Gebinde fehlt (Ist = 1 Gebinde); ","")&amp;BO1823)</f>
        <v/>
      </c>
      <c r="BH1823" s="55"/>
      <c r="BI1823" s="55"/>
      <c r="BJ1823" s="62"/>
      <c r="BK1823" s="57" t="n">
        <f aca="false">N('Neue Artikel'!$D$84)</f>
        <v>0</v>
      </c>
      <c r="BL1823" s="57" t="n">
        <v>0</v>
      </c>
      <c r="BM1823" s="56" t="n">
        <v>0</v>
      </c>
      <c r="BN1823" s="57" t="n">
        <f aca="false">N('Neue Artikel'!$C$84)/Parameter!$B$18</f>
        <v>0</v>
      </c>
      <c r="BO1823" s="55"/>
      <c r="BP1823" s="60" t="n">
        <v>1</v>
      </c>
      <c r="BQ1823" s="60" t="n">
        <v>1823</v>
      </c>
      <c r="BR1823" s="55" t="str">
        <f aca="false">IF(U1823&lt;&gt;"",UPPER(TRIM(U1823)),IF(BU1823=1,UPPER(VLOOKUP(T1823,Parameter!$I$27:$K$29,2,0)),IF(P1823="","LOSE",P1823)))</f>
        <v>LOSE</v>
      </c>
      <c r="BS1823" s="57" t="n">
        <f aca="false">IF(BR1823="LOSE",1,IF(N(V1823)&gt;0,V1823,IF(BU1823=1,MAX(1,N(VLOOKUP(T1823,Parameter!$I$27:$K$29,3,0)),H1823,N(N1823)),IF(N(Q1823)&gt;0,Q1823,MAX(1,H1823)))))</f>
        <v>1</v>
      </c>
      <c r="BT1823" s="60" t="n">
        <f aca="false">IF(BR1823="LOSE",1,0)</f>
        <v>1</v>
      </c>
      <c r="BU1823" s="60" t="n">
        <f aca="false">IF(AND(U1823="",OR(P1823="",P1823="LOSE"),T1823&lt;&gt;"",N(S1823)&lt;=0,ISNUMBER(MATCH(T1823,Parameter!$I$27:$I$29,0))),1,0)</f>
        <v>0</v>
      </c>
      <c r="BV1823" s="55" t="str">
        <f aca="false">IF(AND(Parameter!$B$19="Ja",E1823&lt;&gt;"",ISNUMBER(MATCH(E1823,Parameter!$I$35:$I$52,0))),VLOOKUP(E1823,Parameter!$I$35:$J$52,2,0),IFERROR(VLOOKUP(D1823,Parameter!$A$35:$C$64,2,0),"Nein"))</f>
        <v>2+3</v>
      </c>
      <c r="BW1823" s="59" t="n">
        <f aca="false">IF(BT1823=0,0,IF(N(S1823)&gt;0,S1823,IFERROR(VLOOKUP(D1823,Parameter!$A$35:$C$64,3,0)+0,0)))</f>
        <v>0.15</v>
      </c>
      <c r="BX1823" s="55" t="str">
        <f aca="false">IF(AA1823&lt;&gt;"",AA1823,Z1823)</f>
        <v/>
      </c>
      <c r="BY1823" s="55" t="str">
        <f aca="false">IF(BX1823=1,"L1",IF(OR(BX1823=2,BX1823=3),"L23",IF(BX1823="Aussen","Aussen","-")))</f>
        <v>-</v>
      </c>
      <c r="BZ1823" s="66" t="n">
        <f aca="false">IF(N(AB1823)&gt;0,AB1823,0)</f>
        <v>0</v>
      </c>
      <c r="CA1823" s="60" t="n">
        <f aca="false">IF(ISNUMBER(AE1823),1,0)</f>
        <v>0</v>
      </c>
      <c r="CB1823" s="57" t="n">
        <f aca="false">N(AE1823)</f>
        <v>0</v>
      </c>
      <c r="CC1823" s="57" t="n">
        <f aca="false">N(M1823)+N(N1823)</f>
        <v>0</v>
      </c>
      <c r="CD1823" s="57" t="n">
        <f aca="false">ROUNDUP(H1823/BS1823,0)</f>
        <v>0</v>
      </c>
      <c r="CE1823" s="57" t="n">
        <f aca="false">ROUNDUP(CB1823/BS1823,0)</f>
        <v>0</v>
      </c>
      <c r="CF1823" s="60" t="n">
        <f aca="false">IF(BT1823=1,0,IFERROR(VLOOKUP(BR1823,'Gebinde-Kategorie'!$A$5:$M$45,5,0)+0,0))</f>
        <v>0</v>
      </c>
      <c r="CG1823" s="60" t="n">
        <f aca="false">IFERROR(IF(OR(BX1823=1,BX1823=2,BX1823=3),N(INDEX(Parameter!$I$5:$I$7,BX1823)),0),0)</f>
        <v>0</v>
      </c>
      <c r="CH1823" s="59" t="n">
        <f aca="false">IF(AND(Parameter!$B$21="Ja",ISNUMBER(W1823),N(X1823)&gt;0),IFERROR(N(INDEX(Parameter!$L$5:$L$7,W1823))*INDEX(Parameter!$E$5:$E$7,W1823)*X1823/SUMIFS($X$7:$X$1843,$W$7:$W$1843,W1823),0),0)</f>
        <v>0</v>
      </c>
    </row>
    <row r="1824" customFormat="false" ht="15" hidden="false" customHeight="false" outlineLevel="0" collapsed="false">
      <c r="A1824" s="55" t="str">
        <f aca="false">IF('Neue Artikel'!$A$85="","",'Neue Artikel'!$A$85&amp;"")</f>
        <v/>
      </c>
      <c r="B1824" s="55" t="str">
        <f aca="false">'Neue Artikel'!$B$85&amp;""</f>
        <v/>
      </c>
      <c r="C1824" s="55"/>
      <c r="D1824" s="55" t="s">
        <v>3015</v>
      </c>
      <c r="E1824" s="55"/>
      <c r="F1824" s="55"/>
      <c r="G1824" s="56" t="n">
        <f aca="false">N('Neue Artikel'!$G$85)</f>
        <v>0</v>
      </c>
      <c r="H1824" s="57" t="n">
        <f aca="false">MAX(0,IF(AND(Parameter!$B$21="Ja",ISNUMBER(Y1824)),Y1824,IF(Parameter!$B$20="Jahresanfang 2025 + Export",BL1824+BK1824,BK1824)))</f>
        <v>0</v>
      </c>
      <c r="I1824" s="57" t="n">
        <f aca="false">H1824*G1824</f>
        <v>0</v>
      </c>
      <c r="J1824" s="57" t="n">
        <f aca="false">BN1824*Parameter!$B$18</f>
        <v>0</v>
      </c>
      <c r="K1824" s="58"/>
      <c r="L1824" s="59"/>
      <c r="M1824" s="57" t="n">
        <f aca="false">N('Neue Artikel'!$E$85)</f>
        <v>0</v>
      </c>
      <c r="N1824" s="57" t="n">
        <f aca="false">N('Neue Artikel'!$F$85)</f>
        <v>0</v>
      </c>
      <c r="O1824" s="60"/>
      <c r="P1824" s="55" t="str">
        <f aca="false">IF('Neue Artikel'!$H$85="","LOSE",UPPER(TRIM('Neue Artikel'!$H$85)))</f>
        <v>LOSE</v>
      </c>
      <c r="Q1824" s="57" t="n">
        <f aca="false">N('Neue Artikel'!$I$85)</f>
        <v>0</v>
      </c>
      <c r="R1824" s="60" t="n">
        <f aca="false">IF(BT1824=1,0,IFERROR(VLOOKUP(BR1824,'Gebinde-Kategorie'!$A$5:$M$45,13,0)+0,0))</f>
        <v>0</v>
      </c>
      <c r="S1824" s="61"/>
      <c r="T1824" s="62"/>
      <c r="U1824" s="62"/>
      <c r="V1824" s="62"/>
      <c r="W1824" s="55"/>
      <c r="X1824" s="57"/>
      <c r="Y1824" s="57"/>
      <c r="Z1824" s="55" t="str">
        <f aca="false">IF(A1824="","",IF(AND(Parameter!$B$21="Ja",ISNUMBER(W1824)),W1824,IF(BV1824="2+3",IF(ISNUMBER(SEARCH("grosser Artikel",BO1824)),2,IFERROR(VLOOKUP(BR1824,Parameter!$F$35:$G$64,2,0),2)),IF(OR(BV1824="Nein",BV1824=""),"-",BV1824))))</f>
        <v/>
      </c>
      <c r="AA1824" s="55" t="str">
        <f aca="false">IF('Neue Artikel'!$J$85="","",'Neue Artikel'!$J$85)</f>
        <v/>
      </c>
      <c r="AB1824" s="63"/>
      <c r="AC1824" s="57" t="n">
        <f aca="false">AR1824</f>
        <v>0</v>
      </c>
      <c r="AD1824" s="57" t="n">
        <f aca="false">MAX(AR1824,H1824)</f>
        <v>0</v>
      </c>
      <c r="AE1824" s="64"/>
      <c r="AF1824" s="57" t="n">
        <f aca="false">IF(LEFT(Cockpit!$C$5,1)="A",H1824,IF(CA1824=1,CB1824,IF(LEFT(Cockpit!$C$5,1)="B",AJ1824,MAX(AJ1824,H1824))))</f>
        <v>0</v>
      </c>
      <c r="AG1824" s="57" t="n">
        <f aca="false">IF(BT1824=1,0,ROUNDUP(AF1824/BS1824,0))</f>
        <v>0</v>
      </c>
      <c r="AH1824" s="59" t="n">
        <f aca="false">IF(CH1824&gt;0,CH1824*MAX(1,AF1824/X1824),IF(BT1824=1,IF(AF1824&lt;=0,0,BW1824*MAX(1,IF(H1824&gt;0,AF1824/H1824,1))),IF(R1824&gt;0,AG1824/R1824,0))/MAX(0.1,N(Parameter!$M$21)))</f>
        <v>0</v>
      </c>
      <c r="AI1824" s="57" t="n">
        <f aca="false">AF1824*G1824</f>
        <v>0</v>
      </c>
      <c r="AJ1824" s="57" t="n">
        <f aca="false">ROUNDUP(MAX(J1824/IF(BZ1824&gt;0,BZ1824,MAX(0.1,N(Cockpit!$C$6))),CC1824)/BS1824,0)*BS1824</f>
        <v>0</v>
      </c>
      <c r="AK1824" s="58" t="n">
        <f aca="false">IF(AH1824&gt;0,J1824/AH1824,-1)</f>
        <v>-1</v>
      </c>
      <c r="AL1824" s="58" t="str">
        <f aca="false">IF(AND(OR(BY1824="L1",BY1824="L23"),AH1824&gt;0),SUMIFS($AH$7:$AH$1843,$BY$7:$BY$1843,BY1824,$AK$7:$AK$1843,"&gt;"&amp;AK1824)+SUMIFS($AH$7:$AH$1843,$BY$7:$BY$1843,BY1824,$AK$7:$AK$1843,AK1824,$BQ$7:$BQ$1843,"&lt;="&amp;BQ1824),"")</f>
        <v/>
      </c>
      <c r="AM1824" s="65" t="n">
        <f aca="false">IF(AL1824="",0,MAX(0,MIN(1,(IF(BY1824="L1",Parameter!$E$5,Parameter!$E$6+Parameter!$E$7)-(AL1824-AH1824))/AH1824)))</f>
        <v>0</v>
      </c>
      <c r="AN1824" s="57" t="n">
        <f aca="false">IF(LEFT(Cockpit!$I$5,1)="A",H1824,IF(CA1824=1,CB1824,IF(LEFT(Cockpit!$I$5,1)="B",AR1824,MAX(AR1824,H1824))))</f>
        <v>0</v>
      </c>
      <c r="AO1824" s="57" t="n">
        <f aca="false">IF(BT1824=1,0,ROUNDUP(AN1824/BS1824,0))</f>
        <v>0</v>
      </c>
      <c r="AP1824" s="59" t="n">
        <f aca="false">IF(CH1824&gt;0,CH1824*MAX(1,AN1824/X1824),IF(BT1824=1,IF(AN1824&lt;=0,0,BW1824*MAX(1,IF(H1824&gt;0,AN1824/H1824,1))),IF(R1824&gt;0,AO1824/R1824,0))/MAX(0.1,N(Parameter!$M$21)))</f>
        <v>0</v>
      </c>
      <c r="AQ1824" s="57" t="n">
        <f aca="false">AN1824*G1824</f>
        <v>0</v>
      </c>
      <c r="AR1824" s="57" t="n">
        <f aca="false">ROUNDUP(MAX(J1824/IF(BZ1824&gt;0,BZ1824,MAX(0.1,N(Cockpit!$I$6))),CC1824)/BS1824,0)*BS1824</f>
        <v>0</v>
      </c>
      <c r="AS1824" s="58" t="n">
        <f aca="false">IF(AP1824&gt;0,J1824/AP1824,-1)</f>
        <v>-1</v>
      </c>
      <c r="AT1824" s="58" t="str">
        <f aca="false">IF(AND(OR(BY1824="L1",BY1824="L23"),AP1824&gt;0),SUMIFS($AP$7:$AP$1843,$BY$7:$BY$1843,BY1824,$AS$7:$AS$1843,"&gt;"&amp;AS1824)+SUMIFS($AP$7:$AP$1843,$BY$7:$BY$1843,BY1824,$AS$7:$AS$1843,AS1824,$BQ$7:$BQ$1843,"&lt;="&amp;BQ1824),"")</f>
        <v/>
      </c>
      <c r="AU1824" s="65" t="n">
        <f aca="false">IF(AT1824="",0,MAX(0,MIN(1,(IF(BY1824="L1",Parameter!$E$5,Parameter!$E$6+Parameter!$E$7)-(AT1824-AP1824))/AP1824)))</f>
        <v>0</v>
      </c>
      <c r="AV1824" s="57" t="n">
        <f aca="false">IF(LEFT(Cockpit!$O$5,1)="A",H1824,IF(CA1824=1,CB1824,IF(LEFT(Cockpit!$O$5,1)="B",AZ1824,MAX(AZ1824,H1824))))</f>
        <v>0</v>
      </c>
      <c r="AW1824" s="57" t="n">
        <f aca="false">IF(BT1824=1,0,ROUNDUP(AV1824/BS1824,0))</f>
        <v>0</v>
      </c>
      <c r="AX1824" s="59" t="n">
        <f aca="false">IF(CH1824&gt;0,CH1824*MAX(1,AV1824/X1824),IF(BT1824=1,IF(AV1824&lt;=0,0,BW1824*MAX(1,IF(H1824&gt;0,AV1824/H1824,1))),IF(R1824&gt;0,AW1824/R1824,0))/MAX(0.1,N(Parameter!$M$21)))</f>
        <v>0</v>
      </c>
      <c r="AY1824" s="57" t="n">
        <f aca="false">AV1824*G1824</f>
        <v>0</v>
      </c>
      <c r="AZ1824" s="57" t="n">
        <f aca="false">ROUNDUP(MAX(J1824/IF(BZ1824&gt;0,BZ1824,MAX(0.1,N(Cockpit!$O$6))),CC1824)/BS1824,0)*BS1824</f>
        <v>0</v>
      </c>
      <c r="BA1824" s="58" t="n">
        <f aca="false">IF(AX1824&gt;0,J1824/AX1824,-1)</f>
        <v>-1</v>
      </c>
      <c r="BB1824" s="58" t="str">
        <f aca="false">IF(AND(OR(BY1824="L1",BY1824="L23"),AX1824&gt;0),SUMIFS($AX$7:$AX$1843,$BY$7:$BY$1843,BY1824,$BA$7:$BA$1843,"&gt;"&amp;BA1824)+SUMIFS($AX$7:$AX$1843,$BY$7:$BY$1843,BY1824,$BA$7:$BA$1843,BA1824,$BQ$7:$BQ$1843,"&lt;="&amp;BQ1824),"")</f>
        <v/>
      </c>
      <c r="BC1824" s="65" t="n">
        <f aca="false">IF(BB1824="",0,MAX(0,MIN(1,(IF(BY1824="L1",Parameter!$E$5,Parameter!$E$6+Parameter!$E$7)-(BB1824-AX1824))/AX1824)))</f>
        <v>0</v>
      </c>
      <c r="BD1824" s="55" t="str">
        <f aca="false">IF(AH1824&lt;=0,"",IF(BY1824="Aussen","Aussenlager",IF(BY1824="-","Nicht im Lift",IF(AM1824&gt;=1,"Lift",IF(AM1824&lt;=0,"Aussenlager","teilweise")))))</f>
        <v/>
      </c>
      <c r="BE1824" s="55" t="str">
        <f aca="false">IF(AP1824&lt;=0,"",IF(BY1824="Aussen","Aussenlager",IF(BY1824="-","Nicht im Lift",IF(AU1824&gt;=1,"Lift",IF(AU1824&lt;=0,"Aussenlager","teilweise")))))</f>
        <v/>
      </c>
      <c r="BF1824" s="55" t="str">
        <f aca="false">IF(AX1824&lt;=0,"",IF(BY1824="Aussen","Aussenlager",IF(BY1824="-","Nicht im Lift",IF(BC1824&gt;=1,"Lift",IF(BC1824&lt;=0,"Aussenlager","teilweise")))))</f>
        <v/>
      </c>
      <c r="BG1824" s="55" t="str">
        <f aca="false">IF(A1824="","",IF(BP1824=1,"Neu; ","")&amp;IF(AND(BP1824=0,BK1824&lt;0),"negativer Bestand (Export "&amp;BK1824&amp;"); ","")&amp;IF(J1824&lt;=0,"Kein Verbrauch; ","")&amp;IF(CH1824&gt;0,"Lift "&amp;W1824&amp;" lt. Liftbericht (Fach "&amp;X1824&amp;" Stk); ",IF(BU1824=1,"Gebinde geschätzt ("&amp;T1824&amp;"); ",IF(BT1824=1,"Lose – Tablare geschätzt; ","")))&amp;IF(H1824&gt;AR1824,"Überbestand "&amp;ROUND(H1824-AR1824,0)&amp;" Stk / CHF "&amp;ROUND((H1824-AR1824)*G1824,0)&amp;"; ","")&amp;IF(AND(CA1824=1,CB1824&lt;CC1824),"MAX &lt; MB+LG; ","")&amp;IF(AND(CG1824&gt;0,CF1824*10&gt;CG1824),"zu hoch für Tablar; ","")&amp;IF(AND(BP1824=0,OR(CA1824=1,AA1824&lt;&gt;"",U1824&lt;&gt;"",V1824&lt;&gt;"",AB1824&lt;&gt;"")),"manuell übersteuert; ","")&amp;IF(AND(BT1824=0,R1824=0),"Gebinde unbekannt / Stellmass fehlt; ","")&amp;IF(AND(BT1824=0,N(V1824)&lt;=0,N(Q1824)&lt;=0),"Menge pro Gebinde fehlt (Ist = 1 Gebinde); ","")&amp;BO1824)</f>
        <v/>
      </c>
      <c r="BH1824" s="55"/>
      <c r="BI1824" s="55"/>
      <c r="BJ1824" s="62"/>
      <c r="BK1824" s="57" t="n">
        <f aca="false">N('Neue Artikel'!$D$85)</f>
        <v>0</v>
      </c>
      <c r="BL1824" s="57" t="n">
        <v>0</v>
      </c>
      <c r="BM1824" s="56" t="n">
        <v>0</v>
      </c>
      <c r="BN1824" s="57" t="n">
        <f aca="false">N('Neue Artikel'!$C$85)/Parameter!$B$18</f>
        <v>0</v>
      </c>
      <c r="BO1824" s="55"/>
      <c r="BP1824" s="60" t="n">
        <v>1</v>
      </c>
      <c r="BQ1824" s="60" t="n">
        <v>1824</v>
      </c>
      <c r="BR1824" s="55" t="str">
        <f aca="false">IF(U1824&lt;&gt;"",UPPER(TRIM(U1824)),IF(BU1824=1,UPPER(VLOOKUP(T1824,Parameter!$I$27:$K$29,2,0)),IF(P1824="","LOSE",P1824)))</f>
        <v>LOSE</v>
      </c>
      <c r="BS1824" s="57" t="n">
        <f aca="false">IF(BR1824="LOSE",1,IF(N(V1824)&gt;0,V1824,IF(BU1824=1,MAX(1,N(VLOOKUP(T1824,Parameter!$I$27:$K$29,3,0)),H1824,N(N1824)),IF(N(Q1824)&gt;0,Q1824,MAX(1,H1824)))))</f>
        <v>1</v>
      </c>
      <c r="BT1824" s="60" t="n">
        <f aca="false">IF(BR1824="LOSE",1,0)</f>
        <v>1</v>
      </c>
      <c r="BU1824" s="60" t="n">
        <f aca="false">IF(AND(U1824="",OR(P1824="",P1824="LOSE"),T1824&lt;&gt;"",N(S1824)&lt;=0,ISNUMBER(MATCH(T1824,Parameter!$I$27:$I$29,0))),1,0)</f>
        <v>0</v>
      </c>
      <c r="BV1824" s="55" t="str">
        <f aca="false">IF(AND(Parameter!$B$19="Ja",E1824&lt;&gt;"",ISNUMBER(MATCH(E1824,Parameter!$I$35:$I$52,0))),VLOOKUP(E1824,Parameter!$I$35:$J$52,2,0),IFERROR(VLOOKUP(D1824,Parameter!$A$35:$C$64,2,0),"Nein"))</f>
        <v>2+3</v>
      </c>
      <c r="BW1824" s="59" t="n">
        <f aca="false">IF(BT1824=0,0,IF(N(S1824)&gt;0,S1824,IFERROR(VLOOKUP(D1824,Parameter!$A$35:$C$64,3,0)+0,0)))</f>
        <v>0.15</v>
      </c>
      <c r="BX1824" s="55" t="str">
        <f aca="false">IF(AA1824&lt;&gt;"",AA1824,Z1824)</f>
        <v/>
      </c>
      <c r="BY1824" s="55" t="str">
        <f aca="false">IF(BX1824=1,"L1",IF(OR(BX1824=2,BX1824=3),"L23",IF(BX1824="Aussen","Aussen","-")))</f>
        <v>-</v>
      </c>
      <c r="BZ1824" s="66" t="n">
        <f aca="false">IF(N(AB1824)&gt;0,AB1824,0)</f>
        <v>0</v>
      </c>
      <c r="CA1824" s="60" t="n">
        <f aca="false">IF(ISNUMBER(AE1824),1,0)</f>
        <v>0</v>
      </c>
      <c r="CB1824" s="57" t="n">
        <f aca="false">N(AE1824)</f>
        <v>0</v>
      </c>
      <c r="CC1824" s="57" t="n">
        <f aca="false">N(M1824)+N(N1824)</f>
        <v>0</v>
      </c>
      <c r="CD1824" s="57" t="n">
        <f aca="false">ROUNDUP(H1824/BS1824,0)</f>
        <v>0</v>
      </c>
      <c r="CE1824" s="57" t="n">
        <f aca="false">ROUNDUP(CB1824/BS1824,0)</f>
        <v>0</v>
      </c>
      <c r="CF1824" s="60" t="n">
        <f aca="false">IF(BT1824=1,0,IFERROR(VLOOKUP(BR1824,'Gebinde-Kategorie'!$A$5:$M$45,5,0)+0,0))</f>
        <v>0</v>
      </c>
      <c r="CG1824" s="60" t="n">
        <f aca="false">IFERROR(IF(OR(BX1824=1,BX1824=2,BX1824=3),N(INDEX(Parameter!$I$5:$I$7,BX1824)),0),0)</f>
        <v>0</v>
      </c>
      <c r="CH1824" s="59" t="n">
        <f aca="false">IF(AND(Parameter!$B$21="Ja",ISNUMBER(W1824),N(X1824)&gt;0),IFERROR(N(INDEX(Parameter!$L$5:$L$7,W1824))*INDEX(Parameter!$E$5:$E$7,W1824)*X1824/SUMIFS($X$7:$X$1843,$W$7:$W$1843,W1824),0),0)</f>
        <v>0</v>
      </c>
    </row>
    <row r="1825" customFormat="false" ht="15" hidden="false" customHeight="false" outlineLevel="0" collapsed="false">
      <c r="A1825" s="55" t="str">
        <f aca="false">IF('Neue Artikel'!$A$86="","",'Neue Artikel'!$A$86&amp;"")</f>
        <v/>
      </c>
      <c r="B1825" s="55" t="str">
        <f aca="false">'Neue Artikel'!$B$86&amp;""</f>
        <v/>
      </c>
      <c r="C1825" s="55"/>
      <c r="D1825" s="55" t="s">
        <v>3015</v>
      </c>
      <c r="E1825" s="55"/>
      <c r="F1825" s="55"/>
      <c r="G1825" s="56" t="n">
        <f aca="false">N('Neue Artikel'!$G$86)</f>
        <v>0</v>
      </c>
      <c r="H1825" s="57" t="n">
        <f aca="false">MAX(0,IF(AND(Parameter!$B$21="Ja",ISNUMBER(Y1825)),Y1825,IF(Parameter!$B$20="Jahresanfang 2025 + Export",BL1825+BK1825,BK1825)))</f>
        <v>0</v>
      </c>
      <c r="I1825" s="57" t="n">
        <f aca="false">H1825*G1825</f>
        <v>0</v>
      </c>
      <c r="J1825" s="57" t="n">
        <f aca="false">BN1825*Parameter!$B$18</f>
        <v>0</v>
      </c>
      <c r="K1825" s="58"/>
      <c r="L1825" s="59"/>
      <c r="M1825" s="57" t="n">
        <f aca="false">N('Neue Artikel'!$E$86)</f>
        <v>0</v>
      </c>
      <c r="N1825" s="57" t="n">
        <f aca="false">N('Neue Artikel'!$F$86)</f>
        <v>0</v>
      </c>
      <c r="O1825" s="60"/>
      <c r="P1825" s="55" t="str">
        <f aca="false">IF('Neue Artikel'!$H$86="","LOSE",UPPER(TRIM('Neue Artikel'!$H$86)))</f>
        <v>LOSE</v>
      </c>
      <c r="Q1825" s="57" t="n">
        <f aca="false">N('Neue Artikel'!$I$86)</f>
        <v>0</v>
      </c>
      <c r="R1825" s="60" t="n">
        <f aca="false">IF(BT1825=1,0,IFERROR(VLOOKUP(BR1825,'Gebinde-Kategorie'!$A$5:$M$45,13,0)+0,0))</f>
        <v>0</v>
      </c>
      <c r="S1825" s="61"/>
      <c r="T1825" s="62"/>
      <c r="U1825" s="62"/>
      <c r="V1825" s="62"/>
      <c r="W1825" s="55"/>
      <c r="X1825" s="57"/>
      <c r="Y1825" s="57"/>
      <c r="Z1825" s="55" t="str">
        <f aca="false">IF(A1825="","",IF(AND(Parameter!$B$21="Ja",ISNUMBER(W1825)),W1825,IF(BV1825="2+3",IF(ISNUMBER(SEARCH("grosser Artikel",BO1825)),2,IFERROR(VLOOKUP(BR1825,Parameter!$F$35:$G$64,2,0),2)),IF(OR(BV1825="Nein",BV1825=""),"-",BV1825))))</f>
        <v/>
      </c>
      <c r="AA1825" s="55" t="str">
        <f aca="false">IF('Neue Artikel'!$J$86="","",'Neue Artikel'!$J$86)</f>
        <v/>
      </c>
      <c r="AB1825" s="63"/>
      <c r="AC1825" s="57" t="n">
        <f aca="false">AR1825</f>
        <v>0</v>
      </c>
      <c r="AD1825" s="57" t="n">
        <f aca="false">MAX(AR1825,H1825)</f>
        <v>0</v>
      </c>
      <c r="AE1825" s="64"/>
      <c r="AF1825" s="57" t="n">
        <f aca="false">IF(LEFT(Cockpit!$C$5,1)="A",H1825,IF(CA1825=1,CB1825,IF(LEFT(Cockpit!$C$5,1)="B",AJ1825,MAX(AJ1825,H1825))))</f>
        <v>0</v>
      </c>
      <c r="AG1825" s="57" t="n">
        <f aca="false">IF(BT1825=1,0,ROUNDUP(AF1825/BS1825,0))</f>
        <v>0</v>
      </c>
      <c r="AH1825" s="59" t="n">
        <f aca="false">IF(CH1825&gt;0,CH1825*MAX(1,AF1825/X1825),IF(BT1825=1,IF(AF1825&lt;=0,0,BW1825*MAX(1,IF(H1825&gt;0,AF1825/H1825,1))),IF(R1825&gt;0,AG1825/R1825,0))/MAX(0.1,N(Parameter!$M$21)))</f>
        <v>0</v>
      </c>
      <c r="AI1825" s="57" t="n">
        <f aca="false">AF1825*G1825</f>
        <v>0</v>
      </c>
      <c r="AJ1825" s="57" t="n">
        <f aca="false">ROUNDUP(MAX(J1825/IF(BZ1825&gt;0,BZ1825,MAX(0.1,N(Cockpit!$C$6))),CC1825)/BS1825,0)*BS1825</f>
        <v>0</v>
      </c>
      <c r="AK1825" s="58" t="n">
        <f aca="false">IF(AH1825&gt;0,J1825/AH1825,-1)</f>
        <v>-1</v>
      </c>
      <c r="AL1825" s="58" t="str">
        <f aca="false">IF(AND(OR(BY1825="L1",BY1825="L23"),AH1825&gt;0),SUMIFS($AH$7:$AH$1843,$BY$7:$BY$1843,BY1825,$AK$7:$AK$1843,"&gt;"&amp;AK1825)+SUMIFS($AH$7:$AH$1843,$BY$7:$BY$1843,BY1825,$AK$7:$AK$1843,AK1825,$BQ$7:$BQ$1843,"&lt;="&amp;BQ1825),"")</f>
        <v/>
      </c>
      <c r="AM1825" s="65" t="n">
        <f aca="false">IF(AL1825="",0,MAX(0,MIN(1,(IF(BY1825="L1",Parameter!$E$5,Parameter!$E$6+Parameter!$E$7)-(AL1825-AH1825))/AH1825)))</f>
        <v>0</v>
      </c>
      <c r="AN1825" s="57" t="n">
        <f aca="false">IF(LEFT(Cockpit!$I$5,1)="A",H1825,IF(CA1825=1,CB1825,IF(LEFT(Cockpit!$I$5,1)="B",AR1825,MAX(AR1825,H1825))))</f>
        <v>0</v>
      </c>
      <c r="AO1825" s="57" t="n">
        <f aca="false">IF(BT1825=1,0,ROUNDUP(AN1825/BS1825,0))</f>
        <v>0</v>
      </c>
      <c r="AP1825" s="59" t="n">
        <f aca="false">IF(CH1825&gt;0,CH1825*MAX(1,AN1825/X1825),IF(BT1825=1,IF(AN1825&lt;=0,0,BW1825*MAX(1,IF(H1825&gt;0,AN1825/H1825,1))),IF(R1825&gt;0,AO1825/R1825,0))/MAX(0.1,N(Parameter!$M$21)))</f>
        <v>0</v>
      </c>
      <c r="AQ1825" s="57" t="n">
        <f aca="false">AN1825*G1825</f>
        <v>0</v>
      </c>
      <c r="AR1825" s="57" t="n">
        <f aca="false">ROUNDUP(MAX(J1825/IF(BZ1825&gt;0,BZ1825,MAX(0.1,N(Cockpit!$I$6))),CC1825)/BS1825,0)*BS1825</f>
        <v>0</v>
      </c>
      <c r="AS1825" s="58" t="n">
        <f aca="false">IF(AP1825&gt;0,J1825/AP1825,-1)</f>
        <v>-1</v>
      </c>
      <c r="AT1825" s="58" t="str">
        <f aca="false">IF(AND(OR(BY1825="L1",BY1825="L23"),AP1825&gt;0),SUMIFS($AP$7:$AP$1843,$BY$7:$BY$1843,BY1825,$AS$7:$AS$1843,"&gt;"&amp;AS1825)+SUMIFS($AP$7:$AP$1843,$BY$7:$BY$1843,BY1825,$AS$7:$AS$1843,AS1825,$BQ$7:$BQ$1843,"&lt;="&amp;BQ1825),"")</f>
        <v/>
      </c>
      <c r="AU1825" s="65" t="n">
        <f aca="false">IF(AT1825="",0,MAX(0,MIN(1,(IF(BY1825="L1",Parameter!$E$5,Parameter!$E$6+Parameter!$E$7)-(AT1825-AP1825))/AP1825)))</f>
        <v>0</v>
      </c>
      <c r="AV1825" s="57" t="n">
        <f aca="false">IF(LEFT(Cockpit!$O$5,1)="A",H1825,IF(CA1825=1,CB1825,IF(LEFT(Cockpit!$O$5,1)="B",AZ1825,MAX(AZ1825,H1825))))</f>
        <v>0</v>
      </c>
      <c r="AW1825" s="57" t="n">
        <f aca="false">IF(BT1825=1,0,ROUNDUP(AV1825/BS1825,0))</f>
        <v>0</v>
      </c>
      <c r="AX1825" s="59" t="n">
        <f aca="false">IF(CH1825&gt;0,CH1825*MAX(1,AV1825/X1825),IF(BT1825=1,IF(AV1825&lt;=0,0,BW1825*MAX(1,IF(H1825&gt;0,AV1825/H1825,1))),IF(R1825&gt;0,AW1825/R1825,0))/MAX(0.1,N(Parameter!$M$21)))</f>
        <v>0</v>
      </c>
      <c r="AY1825" s="57" t="n">
        <f aca="false">AV1825*G1825</f>
        <v>0</v>
      </c>
      <c r="AZ1825" s="57" t="n">
        <f aca="false">ROUNDUP(MAX(J1825/IF(BZ1825&gt;0,BZ1825,MAX(0.1,N(Cockpit!$O$6))),CC1825)/BS1825,0)*BS1825</f>
        <v>0</v>
      </c>
      <c r="BA1825" s="58" t="n">
        <f aca="false">IF(AX1825&gt;0,J1825/AX1825,-1)</f>
        <v>-1</v>
      </c>
      <c r="BB1825" s="58" t="str">
        <f aca="false">IF(AND(OR(BY1825="L1",BY1825="L23"),AX1825&gt;0),SUMIFS($AX$7:$AX$1843,$BY$7:$BY$1843,BY1825,$BA$7:$BA$1843,"&gt;"&amp;BA1825)+SUMIFS($AX$7:$AX$1843,$BY$7:$BY$1843,BY1825,$BA$7:$BA$1843,BA1825,$BQ$7:$BQ$1843,"&lt;="&amp;BQ1825),"")</f>
        <v/>
      </c>
      <c r="BC1825" s="65" t="n">
        <f aca="false">IF(BB1825="",0,MAX(0,MIN(1,(IF(BY1825="L1",Parameter!$E$5,Parameter!$E$6+Parameter!$E$7)-(BB1825-AX1825))/AX1825)))</f>
        <v>0</v>
      </c>
      <c r="BD1825" s="55" t="str">
        <f aca="false">IF(AH1825&lt;=0,"",IF(BY1825="Aussen","Aussenlager",IF(BY1825="-","Nicht im Lift",IF(AM1825&gt;=1,"Lift",IF(AM1825&lt;=0,"Aussenlager","teilweise")))))</f>
        <v/>
      </c>
      <c r="BE1825" s="55" t="str">
        <f aca="false">IF(AP1825&lt;=0,"",IF(BY1825="Aussen","Aussenlager",IF(BY1825="-","Nicht im Lift",IF(AU1825&gt;=1,"Lift",IF(AU1825&lt;=0,"Aussenlager","teilweise")))))</f>
        <v/>
      </c>
      <c r="BF1825" s="55" t="str">
        <f aca="false">IF(AX1825&lt;=0,"",IF(BY1825="Aussen","Aussenlager",IF(BY1825="-","Nicht im Lift",IF(BC1825&gt;=1,"Lift",IF(BC1825&lt;=0,"Aussenlager","teilweise")))))</f>
        <v/>
      </c>
      <c r="BG1825" s="55" t="str">
        <f aca="false">IF(A1825="","",IF(BP1825=1,"Neu; ","")&amp;IF(AND(BP1825=0,BK1825&lt;0),"negativer Bestand (Export "&amp;BK1825&amp;"); ","")&amp;IF(J1825&lt;=0,"Kein Verbrauch; ","")&amp;IF(CH1825&gt;0,"Lift "&amp;W1825&amp;" lt. Liftbericht (Fach "&amp;X1825&amp;" Stk); ",IF(BU1825=1,"Gebinde geschätzt ("&amp;T1825&amp;"); ",IF(BT1825=1,"Lose – Tablare geschätzt; ","")))&amp;IF(H1825&gt;AR1825,"Überbestand "&amp;ROUND(H1825-AR1825,0)&amp;" Stk / CHF "&amp;ROUND((H1825-AR1825)*G1825,0)&amp;"; ","")&amp;IF(AND(CA1825=1,CB1825&lt;CC1825),"MAX &lt; MB+LG; ","")&amp;IF(AND(CG1825&gt;0,CF1825*10&gt;CG1825),"zu hoch für Tablar; ","")&amp;IF(AND(BP1825=0,OR(CA1825=1,AA1825&lt;&gt;"",U1825&lt;&gt;"",V1825&lt;&gt;"",AB1825&lt;&gt;"")),"manuell übersteuert; ","")&amp;IF(AND(BT1825=0,R1825=0),"Gebinde unbekannt / Stellmass fehlt; ","")&amp;IF(AND(BT1825=0,N(V1825)&lt;=0,N(Q1825)&lt;=0),"Menge pro Gebinde fehlt (Ist = 1 Gebinde); ","")&amp;BO1825)</f>
        <v/>
      </c>
      <c r="BH1825" s="55"/>
      <c r="BI1825" s="55"/>
      <c r="BJ1825" s="62"/>
      <c r="BK1825" s="57" t="n">
        <f aca="false">N('Neue Artikel'!$D$86)</f>
        <v>0</v>
      </c>
      <c r="BL1825" s="57" t="n">
        <v>0</v>
      </c>
      <c r="BM1825" s="56" t="n">
        <v>0</v>
      </c>
      <c r="BN1825" s="57" t="n">
        <f aca="false">N('Neue Artikel'!$C$86)/Parameter!$B$18</f>
        <v>0</v>
      </c>
      <c r="BO1825" s="55"/>
      <c r="BP1825" s="60" t="n">
        <v>1</v>
      </c>
      <c r="BQ1825" s="60" t="n">
        <v>1825</v>
      </c>
      <c r="BR1825" s="55" t="str">
        <f aca="false">IF(U1825&lt;&gt;"",UPPER(TRIM(U1825)),IF(BU1825=1,UPPER(VLOOKUP(T1825,Parameter!$I$27:$K$29,2,0)),IF(P1825="","LOSE",P1825)))</f>
        <v>LOSE</v>
      </c>
      <c r="BS1825" s="57" t="n">
        <f aca="false">IF(BR1825="LOSE",1,IF(N(V1825)&gt;0,V1825,IF(BU1825=1,MAX(1,N(VLOOKUP(T1825,Parameter!$I$27:$K$29,3,0)),H1825,N(N1825)),IF(N(Q1825)&gt;0,Q1825,MAX(1,H1825)))))</f>
        <v>1</v>
      </c>
      <c r="BT1825" s="60" t="n">
        <f aca="false">IF(BR1825="LOSE",1,0)</f>
        <v>1</v>
      </c>
      <c r="BU1825" s="60" t="n">
        <f aca="false">IF(AND(U1825="",OR(P1825="",P1825="LOSE"),T1825&lt;&gt;"",N(S1825)&lt;=0,ISNUMBER(MATCH(T1825,Parameter!$I$27:$I$29,0))),1,0)</f>
        <v>0</v>
      </c>
      <c r="BV1825" s="55" t="str">
        <f aca="false">IF(AND(Parameter!$B$19="Ja",E1825&lt;&gt;"",ISNUMBER(MATCH(E1825,Parameter!$I$35:$I$52,0))),VLOOKUP(E1825,Parameter!$I$35:$J$52,2,0),IFERROR(VLOOKUP(D1825,Parameter!$A$35:$C$64,2,0),"Nein"))</f>
        <v>2+3</v>
      </c>
      <c r="BW1825" s="59" t="n">
        <f aca="false">IF(BT1825=0,0,IF(N(S1825)&gt;0,S1825,IFERROR(VLOOKUP(D1825,Parameter!$A$35:$C$64,3,0)+0,0)))</f>
        <v>0.15</v>
      </c>
      <c r="BX1825" s="55" t="str">
        <f aca="false">IF(AA1825&lt;&gt;"",AA1825,Z1825)</f>
        <v/>
      </c>
      <c r="BY1825" s="55" t="str">
        <f aca="false">IF(BX1825=1,"L1",IF(OR(BX1825=2,BX1825=3),"L23",IF(BX1825="Aussen","Aussen","-")))</f>
        <v>-</v>
      </c>
      <c r="BZ1825" s="66" t="n">
        <f aca="false">IF(N(AB1825)&gt;0,AB1825,0)</f>
        <v>0</v>
      </c>
      <c r="CA1825" s="60" t="n">
        <f aca="false">IF(ISNUMBER(AE1825),1,0)</f>
        <v>0</v>
      </c>
      <c r="CB1825" s="57" t="n">
        <f aca="false">N(AE1825)</f>
        <v>0</v>
      </c>
      <c r="CC1825" s="57" t="n">
        <f aca="false">N(M1825)+N(N1825)</f>
        <v>0</v>
      </c>
      <c r="CD1825" s="57" t="n">
        <f aca="false">ROUNDUP(H1825/BS1825,0)</f>
        <v>0</v>
      </c>
      <c r="CE1825" s="57" t="n">
        <f aca="false">ROUNDUP(CB1825/BS1825,0)</f>
        <v>0</v>
      </c>
      <c r="CF1825" s="60" t="n">
        <f aca="false">IF(BT1825=1,0,IFERROR(VLOOKUP(BR1825,'Gebinde-Kategorie'!$A$5:$M$45,5,0)+0,0))</f>
        <v>0</v>
      </c>
      <c r="CG1825" s="60" t="n">
        <f aca="false">IFERROR(IF(OR(BX1825=1,BX1825=2,BX1825=3),N(INDEX(Parameter!$I$5:$I$7,BX1825)),0),0)</f>
        <v>0</v>
      </c>
      <c r="CH1825" s="59" t="n">
        <f aca="false">IF(AND(Parameter!$B$21="Ja",ISNUMBER(W1825),N(X1825)&gt;0),IFERROR(N(INDEX(Parameter!$L$5:$L$7,W1825))*INDEX(Parameter!$E$5:$E$7,W1825)*X1825/SUMIFS($X$7:$X$1843,$W$7:$W$1843,W1825),0),0)</f>
        <v>0</v>
      </c>
    </row>
    <row r="1826" customFormat="false" ht="15" hidden="false" customHeight="false" outlineLevel="0" collapsed="false">
      <c r="A1826" s="55" t="str">
        <f aca="false">IF('Neue Artikel'!$A$87="","",'Neue Artikel'!$A$87&amp;"")</f>
        <v/>
      </c>
      <c r="B1826" s="55" t="str">
        <f aca="false">'Neue Artikel'!$B$87&amp;""</f>
        <v/>
      </c>
      <c r="C1826" s="55"/>
      <c r="D1826" s="55" t="s">
        <v>3015</v>
      </c>
      <c r="E1826" s="55"/>
      <c r="F1826" s="55"/>
      <c r="G1826" s="56" t="n">
        <f aca="false">N('Neue Artikel'!$G$87)</f>
        <v>0</v>
      </c>
      <c r="H1826" s="57" t="n">
        <f aca="false">MAX(0,IF(AND(Parameter!$B$21="Ja",ISNUMBER(Y1826)),Y1826,IF(Parameter!$B$20="Jahresanfang 2025 + Export",BL1826+BK1826,BK1826)))</f>
        <v>0</v>
      </c>
      <c r="I1826" s="57" t="n">
        <f aca="false">H1826*G1826</f>
        <v>0</v>
      </c>
      <c r="J1826" s="57" t="n">
        <f aca="false">BN1826*Parameter!$B$18</f>
        <v>0</v>
      </c>
      <c r="K1826" s="58"/>
      <c r="L1826" s="59"/>
      <c r="M1826" s="57" t="n">
        <f aca="false">N('Neue Artikel'!$E$87)</f>
        <v>0</v>
      </c>
      <c r="N1826" s="57" t="n">
        <f aca="false">N('Neue Artikel'!$F$87)</f>
        <v>0</v>
      </c>
      <c r="O1826" s="60"/>
      <c r="P1826" s="55" t="str">
        <f aca="false">IF('Neue Artikel'!$H$87="","LOSE",UPPER(TRIM('Neue Artikel'!$H$87)))</f>
        <v>LOSE</v>
      </c>
      <c r="Q1826" s="57" t="n">
        <f aca="false">N('Neue Artikel'!$I$87)</f>
        <v>0</v>
      </c>
      <c r="R1826" s="60" t="n">
        <f aca="false">IF(BT1826=1,0,IFERROR(VLOOKUP(BR1826,'Gebinde-Kategorie'!$A$5:$M$45,13,0)+0,0))</f>
        <v>0</v>
      </c>
      <c r="S1826" s="61"/>
      <c r="T1826" s="62"/>
      <c r="U1826" s="62"/>
      <c r="V1826" s="62"/>
      <c r="W1826" s="55"/>
      <c r="X1826" s="57"/>
      <c r="Y1826" s="57"/>
      <c r="Z1826" s="55" t="str">
        <f aca="false">IF(A1826="","",IF(AND(Parameter!$B$21="Ja",ISNUMBER(W1826)),W1826,IF(BV1826="2+3",IF(ISNUMBER(SEARCH("grosser Artikel",BO1826)),2,IFERROR(VLOOKUP(BR1826,Parameter!$F$35:$G$64,2,0),2)),IF(OR(BV1826="Nein",BV1826=""),"-",BV1826))))</f>
        <v/>
      </c>
      <c r="AA1826" s="55" t="str">
        <f aca="false">IF('Neue Artikel'!$J$87="","",'Neue Artikel'!$J$87)</f>
        <v/>
      </c>
      <c r="AB1826" s="63"/>
      <c r="AC1826" s="57" t="n">
        <f aca="false">AR1826</f>
        <v>0</v>
      </c>
      <c r="AD1826" s="57" t="n">
        <f aca="false">MAX(AR1826,H1826)</f>
        <v>0</v>
      </c>
      <c r="AE1826" s="64"/>
      <c r="AF1826" s="57" t="n">
        <f aca="false">IF(LEFT(Cockpit!$C$5,1)="A",H1826,IF(CA1826=1,CB1826,IF(LEFT(Cockpit!$C$5,1)="B",AJ1826,MAX(AJ1826,H1826))))</f>
        <v>0</v>
      </c>
      <c r="AG1826" s="57" t="n">
        <f aca="false">IF(BT1826=1,0,ROUNDUP(AF1826/BS1826,0))</f>
        <v>0</v>
      </c>
      <c r="AH1826" s="59" t="n">
        <f aca="false">IF(CH1826&gt;0,CH1826*MAX(1,AF1826/X1826),IF(BT1826=1,IF(AF1826&lt;=0,0,BW1826*MAX(1,IF(H1826&gt;0,AF1826/H1826,1))),IF(R1826&gt;0,AG1826/R1826,0))/MAX(0.1,N(Parameter!$M$21)))</f>
        <v>0</v>
      </c>
      <c r="AI1826" s="57" t="n">
        <f aca="false">AF1826*G1826</f>
        <v>0</v>
      </c>
      <c r="AJ1826" s="57" t="n">
        <f aca="false">ROUNDUP(MAX(J1826/IF(BZ1826&gt;0,BZ1826,MAX(0.1,N(Cockpit!$C$6))),CC1826)/BS1826,0)*BS1826</f>
        <v>0</v>
      </c>
      <c r="AK1826" s="58" t="n">
        <f aca="false">IF(AH1826&gt;0,J1826/AH1826,-1)</f>
        <v>-1</v>
      </c>
      <c r="AL1826" s="58" t="str">
        <f aca="false">IF(AND(OR(BY1826="L1",BY1826="L23"),AH1826&gt;0),SUMIFS($AH$7:$AH$1843,$BY$7:$BY$1843,BY1826,$AK$7:$AK$1843,"&gt;"&amp;AK1826)+SUMIFS($AH$7:$AH$1843,$BY$7:$BY$1843,BY1826,$AK$7:$AK$1843,AK1826,$BQ$7:$BQ$1843,"&lt;="&amp;BQ1826),"")</f>
        <v/>
      </c>
      <c r="AM1826" s="65" t="n">
        <f aca="false">IF(AL1826="",0,MAX(0,MIN(1,(IF(BY1826="L1",Parameter!$E$5,Parameter!$E$6+Parameter!$E$7)-(AL1826-AH1826))/AH1826)))</f>
        <v>0</v>
      </c>
      <c r="AN1826" s="57" t="n">
        <f aca="false">IF(LEFT(Cockpit!$I$5,1)="A",H1826,IF(CA1826=1,CB1826,IF(LEFT(Cockpit!$I$5,1)="B",AR1826,MAX(AR1826,H1826))))</f>
        <v>0</v>
      </c>
      <c r="AO1826" s="57" t="n">
        <f aca="false">IF(BT1826=1,0,ROUNDUP(AN1826/BS1826,0))</f>
        <v>0</v>
      </c>
      <c r="AP1826" s="59" t="n">
        <f aca="false">IF(CH1826&gt;0,CH1826*MAX(1,AN1826/X1826),IF(BT1826=1,IF(AN1826&lt;=0,0,BW1826*MAX(1,IF(H1826&gt;0,AN1826/H1826,1))),IF(R1826&gt;0,AO1826/R1826,0))/MAX(0.1,N(Parameter!$M$21)))</f>
        <v>0</v>
      </c>
      <c r="AQ1826" s="57" t="n">
        <f aca="false">AN1826*G1826</f>
        <v>0</v>
      </c>
      <c r="AR1826" s="57" t="n">
        <f aca="false">ROUNDUP(MAX(J1826/IF(BZ1826&gt;0,BZ1826,MAX(0.1,N(Cockpit!$I$6))),CC1826)/BS1826,0)*BS1826</f>
        <v>0</v>
      </c>
      <c r="AS1826" s="58" t="n">
        <f aca="false">IF(AP1826&gt;0,J1826/AP1826,-1)</f>
        <v>-1</v>
      </c>
      <c r="AT1826" s="58" t="str">
        <f aca="false">IF(AND(OR(BY1826="L1",BY1826="L23"),AP1826&gt;0),SUMIFS($AP$7:$AP$1843,$BY$7:$BY$1843,BY1826,$AS$7:$AS$1843,"&gt;"&amp;AS1826)+SUMIFS($AP$7:$AP$1843,$BY$7:$BY$1843,BY1826,$AS$7:$AS$1843,AS1826,$BQ$7:$BQ$1843,"&lt;="&amp;BQ1826),"")</f>
        <v/>
      </c>
      <c r="AU1826" s="65" t="n">
        <f aca="false">IF(AT1826="",0,MAX(0,MIN(1,(IF(BY1826="L1",Parameter!$E$5,Parameter!$E$6+Parameter!$E$7)-(AT1826-AP1826))/AP1826)))</f>
        <v>0</v>
      </c>
      <c r="AV1826" s="57" t="n">
        <f aca="false">IF(LEFT(Cockpit!$O$5,1)="A",H1826,IF(CA1826=1,CB1826,IF(LEFT(Cockpit!$O$5,1)="B",AZ1826,MAX(AZ1826,H1826))))</f>
        <v>0</v>
      </c>
      <c r="AW1826" s="57" t="n">
        <f aca="false">IF(BT1826=1,0,ROUNDUP(AV1826/BS1826,0))</f>
        <v>0</v>
      </c>
      <c r="AX1826" s="59" t="n">
        <f aca="false">IF(CH1826&gt;0,CH1826*MAX(1,AV1826/X1826),IF(BT1826=1,IF(AV1826&lt;=0,0,BW1826*MAX(1,IF(H1826&gt;0,AV1826/H1826,1))),IF(R1826&gt;0,AW1826/R1826,0))/MAX(0.1,N(Parameter!$M$21)))</f>
        <v>0</v>
      </c>
      <c r="AY1826" s="57" t="n">
        <f aca="false">AV1826*G1826</f>
        <v>0</v>
      </c>
      <c r="AZ1826" s="57" t="n">
        <f aca="false">ROUNDUP(MAX(J1826/IF(BZ1826&gt;0,BZ1826,MAX(0.1,N(Cockpit!$O$6))),CC1826)/BS1826,0)*BS1826</f>
        <v>0</v>
      </c>
      <c r="BA1826" s="58" t="n">
        <f aca="false">IF(AX1826&gt;0,J1826/AX1826,-1)</f>
        <v>-1</v>
      </c>
      <c r="BB1826" s="58" t="str">
        <f aca="false">IF(AND(OR(BY1826="L1",BY1826="L23"),AX1826&gt;0),SUMIFS($AX$7:$AX$1843,$BY$7:$BY$1843,BY1826,$BA$7:$BA$1843,"&gt;"&amp;BA1826)+SUMIFS($AX$7:$AX$1843,$BY$7:$BY$1843,BY1826,$BA$7:$BA$1843,BA1826,$BQ$7:$BQ$1843,"&lt;="&amp;BQ1826),"")</f>
        <v/>
      </c>
      <c r="BC1826" s="65" t="n">
        <f aca="false">IF(BB1826="",0,MAX(0,MIN(1,(IF(BY1826="L1",Parameter!$E$5,Parameter!$E$6+Parameter!$E$7)-(BB1826-AX1826))/AX1826)))</f>
        <v>0</v>
      </c>
      <c r="BD1826" s="55" t="str">
        <f aca="false">IF(AH1826&lt;=0,"",IF(BY1826="Aussen","Aussenlager",IF(BY1826="-","Nicht im Lift",IF(AM1826&gt;=1,"Lift",IF(AM1826&lt;=0,"Aussenlager","teilweise")))))</f>
        <v/>
      </c>
      <c r="BE1826" s="55" t="str">
        <f aca="false">IF(AP1826&lt;=0,"",IF(BY1826="Aussen","Aussenlager",IF(BY1826="-","Nicht im Lift",IF(AU1826&gt;=1,"Lift",IF(AU1826&lt;=0,"Aussenlager","teilweise")))))</f>
        <v/>
      </c>
      <c r="BF1826" s="55" t="str">
        <f aca="false">IF(AX1826&lt;=0,"",IF(BY1826="Aussen","Aussenlager",IF(BY1826="-","Nicht im Lift",IF(BC1826&gt;=1,"Lift",IF(BC1826&lt;=0,"Aussenlager","teilweise")))))</f>
        <v/>
      </c>
      <c r="BG1826" s="55" t="str">
        <f aca="false">IF(A1826="","",IF(BP1826=1,"Neu; ","")&amp;IF(AND(BP1826=0,BK1826&lt;0),"negativer Bestand (Export "&amp;BK1826&amp;"); ","")&amp;IF(J1826&lt;=0,"Kein Verbrauch; ","")&amp;IF(CH1826&gt;0,"Lift "&amp;W1826&amp;" lt. Liftbericht (Fach "&amp;X1826&amp;" Stk); ",IF(BU1826=1,"Gebinde geschätzt ("&amp;T1826&amp;"); ",IF(BT1826=1,"Lose – Tablare geschätzt; ","")))&amp;IF(H1826&gt;AR1826,"Überbestand "&amp;ROUND(H1826-AR1826,0)&amp;" Stk / CHF "&amp;ROUND((H1826-AR1826)*G1826,0)&amp;"; ","")&amp;IF(AND(CA1826=1,CB1826&lt;CC1826),"MAX &lt; MB+LG; ","")&amp;IF(AND(CG1826&gt;0,CF1826*10&gt;CG1826),"zu hoch für Tablar; ","")&amp;IF(AND(BP1826=0,OR(CA1826=1,AA1826&lt;&gt;"",U1826&lt;&gt;"",V1826&lt;&gt;"",AB1826&lt;&gt;"")),"manuell übersteuert; ","")&amp;IF(AND(BT1826=0,R1826=0),"Gebinde unbekannt / Stellmass fehlt; ","")&amp;IF(AND(BT1826=0,N(V1826)&lt;=0,N(Q1826)&lt;=0),"Menge pro Gebinde fehlt (Ist = 1 Gebinde); ","")&amp;BO1826)</f>
        <v/>
      </c>
      <c r="BH1826" s="55"/>
      <c r="BI1826" s="55"/>
      <c r="BJ1826" s="62"/>
      <c r="BK1826" s="57" t="n">
        <f aca="false">N('Neue Artikel'!$D$87)</f>
        <v>0</v>
      </c>
      <c r="BL1826" s="57" t="n">
        <v>0</v>
      </c>
      <c r="BM1826" s="56" t="n">
        <v>0</v>
      </c>
      <c r="BN1826" s="57" t="n">
        <f aca="false">N('Neue Artikel'!$C$87)/Parameter!$B$18</f>
        <v>0</v>
      </c>
      <c r="BO1826" s="55"/>
      <c r="BP1826" s="60" t="n">
        <v>1</v>
      </c>
      <c r="BQ1826" s="60" t="n">
        <v>1826</v>
      </c>
      <c r="BR1826" s="55" t="str">
        <f aca="false">IF(U1826&lt;&gt;"",UPPER(TRIM(U1826)),IF(BU1826=1,UPPER(VLOOKUP(T1826,Parameter!$I$27:$K$29,2,0)),IF(P1826="","LOSE",P1826)))</f>
        <v>LOSE</v>
      </c>
      <c r="BS1826" s="57" t="n">
        <f aca="false">IF(BR1826="LOSE",1,IF(N(V1826)&gt;0,V1826,IF(BU1826=1,MAX(1,N(VLOOKUP(T1826,Parameter!$I$27:$K$29,3,0)),H1826,N(N1826)),IF(N(Q1826)&gt;0,Q1826,MAX(1,H1826)))))</f>
        <v>1</v>
      </c>
      <c r="BT1826" s="60" t="n">
        <f aca="false">IF(BR1826="LOSE",1,0)</f>
        <v>1</v>
      </c>
      <c r="BU1826" s="60" t="n">
        <f aca="false">IF(AND(U1826="",OR(P1826="",P1826="LOSE"),T1826&lt;&gt;"",N(S1826)&lt;=0,ISNUMBER(MATCH(T1826,Parameter!$I$27:$I$29,0))),1,0)</f>
        <v>0</v>
      </c>
      <c r="BV1826" s="55" t="str">
        <f aca="false">IF(AND(Parameter!$B$19="Ja",E1826&lt;&gt;"",ISNUMBER(MATCH(E1826,Parameter!$I$35:$I$52,0))),VLOOKUP(E1826,Parameter!$I$35:$J$52,2,0),IFERROR(VLOOKUP(D1826,Parameter!$A$35:$C$64,2,0),"Nein"))</f>
        <v>2+3</v>
      </c>
      <c r="BW1826" s="59" t="n">
        <f aca="false">IF(BT1826=0,0,IF(N(S1826)&gt;0,S1826,IFERROR(VLOOKUP(D1826,Parameter!$A$35:$C$64,3,0)+0,0)))</f>
        <v>0.15</v>
      </c>
      <c r="BX1826" s="55" t="str">
        <f aca="false">IF(AA1826&lt;&gt;"",AA1826,Z1826)</f>
        <v/>
      </c>
      <c r="BY1826" s="55" t="str">
        <f aca="false">IF(BX1826=1,"L1",IF(OR(BX1826=2,BX1826=3),"L23",IF(BX1826="Aussen","Aussen","-")))</f>
        <v>-</v>
      </c>
      <c r="BZ1826" s="66" t="n">
        <f aca="false">IF(N(AB1826)&gt;0,AB1826,0)</f>
        <v>0</v>
      </c>
      <c r="CA1826" s="60" t="n">
        <f aca="false">IF(ISNUMBER(AE1826),1,0)</f>
        <v>0</v>
      </c>
      <c r="CB1826" s="57" t="n">
        <f aca="false">N(AE1826)</f>
        <v>0</v>
      </c>
      <c r="CC1826" s="57" t="n">
        <f aca="false">N(M1826)+N(N1826)</f>
        <v>0</v>
      </c>
      <c r="CD1826" s="57" t="n">
        <f aca="false">ROUNDUP(H1826/BS1826,0)</f>
        <v>0</v>
      </c>
      <c r="CE1826" s="57" t="n">
        <f aca="false">ROUNDUP(CB1826/BS1826,0)</f>
        <v>0</v>
      </c>
      <c r="CF1826" s="60" t="n">
        <f aca="false">IF(BT1826=1,0,IFERROR(VLOOKUP(BR1826,'Gebinde-Kategorie'!$A$5:$M$45,5,0)+0,0))</f>
        <v>0</v>
      </c>
      <c r="CG1826" s="60" t="n">
        <f aca="false">IFERROR(IF(OR(BX1826=1,BX1826=2,BX1826=3),N(INDEX(Parameter!$I$5:$I$7,BX1826)),0),0)</f>
        <v>0</v>
      </c>
      <c r="CH1826" s="59" t="n">
        <f aca="false">IF(AND(Parameter!$B$21="Ja",ISNUMBER(W1826),N(X1826)&gt;0),IFERROR(N(INDEX(Parameter!$L$5:$L$7,W1826))*INDEX(Parameter!$E$5:$E$7,W1826)*X1826/SUMIFS($X$7:$X$1843,$W$7:$W$1843,W1826),0),0)</f>
        <v>0</v>
      </c>
    </row>
    <row r="1827" customFormat="false" ht="15" hidden="false" customHeight="false" outlineLevel="0" collapsed="false">
      <c r="A1827" s="55" t="str">
        <f aca="false">IF('Neue Artikel'!$A$88="","",'Neue Artikel'!$A$88&amp;"")</f>
        <v/>
      </c>
      <c r="B1827" s="55" t="str">
        <f aca="false">'Neue Artikel'!$B$88&amp;""</f>
        <v/>
      </c>
      <c r="C1827" s="55"/>
      <c r="D1827" s="55" t="s">
        <v>3015</v>
      </c>
      <c r="E1827" s="55"/>
      <c r="F1827" s="55"/>
      <c r="G1827" s="56" t="n">
        <f aca="false">N('Neue Artikel'!$G$88)</f>
        <v>0</v>
      </c>
      <c r="H1827" s="57" t="n">
        <f aca="false">MAX(0,IF(AND(Parameter!$B$21="Ja",ISNUMBER(Y1827)),Y1827,IF(Parameter!$B$20="Jahresanfang 2025 + Export",BL1827+BK1827,BK1827)))</f>
        <v>0</v>
      </c>
      <c r="I1827" s="57" t="n">
        <f aca="false">H1827*G1827</f>
        <v>0</v>
      </c>
      <c r="J1827" s="57" t="n">
        <f aca="false">BN1827*Parameter!$B$18</f>
        <v>0</v>
      </c>
      <c r="K1827" s="58"/>
      <c r="L1827" s="59"/>
      <c r="M1827" s="57" t="n">
        <f aca="false">N('Neue Artikel'!$E$88)</f>
        <v>0</v>
      </c>
      <c r="N1827" s="57" t="n">
        <f aca="false">N('Neue Artikel'!$F$88)</f>
        <v>0</v>
      </c>
      <c r="O1827" s="60"/>
      <c r="P1827" s="55" t="str">
        <f aca="false">IF('Neue Artikel'!$H$88="","LOSE",UPPER(TRIM('Neue Artikel'!$H$88)))</f>
        <v>LOSE</v>
      </c>
      <c r="Q1827" s="57" t="n">
        <f aca="false">N('Neue Artikel'!$I$88)</f>
        <v>0</v>
      </c>
      <c r="R1827" s="60" t="n">
        <f aca="false">IF(BT1827=1,0,IFERROR(VLOOKUP(BR1827,'Gebinde-Kategorie'!$A$5:$M$45,13,0)+0,0))</f>
        <v>0</v>
      </c>
      <c r="S1827" s="61"/>
      <c r="T1827" s="62"/>
      <c r="U1827" s="62"/>
      <c r="V1827" s="62"/>
      <c r="W1827" s="55"/>
      <c r="X1827" s="57"/>
      <c r="Y1827" s="57"/>
      <c r="Z1827" s="55" t="str">
        <f aca="false">IF(A1827="","",IF(AND(Parameter!$B$21="Ja",ISNUMBER(W1827)),W1827,IF(BV1827="2+3",IF(ISNUMBER(SEARCH("grosser Artikel",BO1827)),2,IFERROR(VLOOKUP(BR1827,Parameter!$F$35:$G$64,2,0),2)),IF(OR(BV1827="Nein",BV1827=""),"-",BV1827))))</f>
        <v/>
      </c>
      <c r="AA1827" s="55" t="str">
        <f aca="false">IF('Neue Artikel'!$J$88="","",'Neue Artikel'!$J$88)</f>
        <v/>
      </c>
      <c r="AB1827" s="63"/>
      <c r="AC1827" s="57" t="n">
        <f aca="false">AR1827</f>
        <v>0</v>
      </c>
      <c r="AD1827" s="57" t="n">
        <f aca="false">MAX(AR1827,H1827)</f>
        <v>0</v>
      </c>
      <c r="AE1827" s="64"/>
      <c r="AF1827" s="57" t="n">
        <f aca="false">IF(LEFT(Cockpit!$C$5,1)="A",H1827,IF(CA1827=1,CB1827,IF(LEFT(Cockpit!$C$5,1)="B",AJ1827,MAX(AJ1827,H1827))))</f>
        <v>0</v>
      </c>
      <c r="AG1827" s="57" t="n">
        <f aca="false">IF(BT1827=1,0,ROUNDUP(AF1827/BS1827,0))</f>
        <v>0</v>
      </c>
      <c r="AH1827" s="59" t="n">
        <f aca="false">IF(CH1827&gt;0,CH1827*MAX(1,AF1827/X1827),IF(BT1827=1,IF(AF1827&lt;=0,0,BW1827*MAX(1,IF(H1827&gt;0,AF1827/H1827,1))),IF(R1827&gt;0,AG1827/R1827,0))/MAX(0.1,N(Parameter!$M$21)))</f>
        <v>0</v>
      </c>
      <c r="AI1827" s="57" t="n">
        <f aca="false">AF1827*G1827</f>
        <v>0</v>
      </c>
      <c r="AJ1827" s="57" t="n">
        <f aca="false">ROUNDUP(MAX(J1827/IF(BZ1827&gt;0,BZ1827,MAX(0.1,N(Cockpit!$C$6))),CC1827)/BS1827,0)*BS1827</f>
        <v>0</v>
      </c>
      <c r="AK1827" s="58" t="n">
        <f aca="false">IF(AH1827&gt;0,J1827/AH1827,-1)</f>
        <v>-1</v>
      </c>
      <c r="AL1827" s="58" t="str">
        <f aca="false">IF(AND(OR(BY1827="L1",BY1827="L23"),AH1827&gt;0),SUMIFS($AH$7:$AH$1843,$BY$7:$BY$1843,BY1827,$AK$7:$AK$1843,"&gt;"&amp;AK1827)+SUMIFS($AH$7:$AH$1843,$BY$7:$BY$1843,BY1827,$AK$7:$AK$1843,AK1827,$BQ$7:$BQ$1843,"&lt;="&amp;BQ1827),"")</f>
        <v/>
      </c>
      <c r="AM1827" s="65" t="n">
        <f aca="false">IF(AL1827="",0,MAX(0,MIN(1,(IF(BY1827="L1",Parameter!$E$5,Parameter!$E$6+Parameter!$E$7)-(AL1827-AH1827))/AH1827)))</f>
        <v>0</v>
      </c>
      <c r="AN1827" s="57" t="n">
        <f aca="false">IF(LEFT(Cockpit!$I$5,1)="A",H1827,IF(CA1827=1,CB1827,IF(LEFT(Cockpit!$I$5,1)="B",AR1827,MAX(AR1827,H1827))))</f>
        <v>0</v>
      </c>
      <c r="AO1827" s="57" t="n">
        <f aca="false">IF(BT1827=1,0,ROUNDUP(AN1827/BS1827,0))</f>
        <v>0</v>
      </c>
      <c r="AP1827" s="59" t="n">
        <f aca="false">IF(CH1827&gt;0,CH1827*MAX(1,AN1827/X1827),IF(BT1827=1,IF(AN1827&lt;=0,0,BW1827*MAX(1,IF(H1827&gt;0,AN1827/H1827,1))),IF(R1827&gt;0,AO1827/R1827,0))/MAX(0.1,N(Parameter!$M$21)))</f>
        <v>0</v>
      </c>
      <c r="AQ1827" s="57" t="n">
        <f aca="false">AN1827*G1827</f>
        <v>0</v>
      </c>
      <c r="AR1827" s="57" t="n">
        <f aca="false">ROUNDUP(MAX(J1827/IF(BZ1827&gt;0,BZ1827,MAX(0.1,N(Cockpit!$I$6))),CC1827)/BS1827,0)*BS1827</f>
        <v>0</v>
      </c>
      <c r="AS1827" s="58" t="n">
        <f aca="false">IF(AP1827&gt;0,J1827/AP1827,-1)</f>
        <v>-1</v>
      </c>
      <c r="AT1827" s="58" t="str">
        <f aca="false">IF(AND(OR(BY1827="L1",BY1827="L23"),AP1827&gt;0),SUMIFS($AP$7:$AP$1843,$BY$7:$BY$1843,BY1827,$AS$7:$AS$1843,"&gt;"&amp;AS1827)+SUMIFS($AP$7:$AP$1843,$BY$7:$BY$1843,BY1827,$AS$7:$AS$1843,AS1827,$BQ$7:$BQ$1843,"&lt;="&amp;BQ1827),"")</f>
        <v/>
      </c>
      <c r="AU1827" s="65" t="n">
        <f aca="false">IF(AT1827="",0,MAX(0,MIN(1,(IF(BY1827="L1",Parameter!$E$5,Parameter!$E$6+Parameter!$E$7)-(AT1827-AP1827))/AP1827)))</f>
        <v>0</v>
      </c>
      <c r="AV1827" s="57" t="n">
        <f aca="false">IF(LEFT(Cockpit!$O$5,1)="A",H1827,IF(CA1827=1,CB1827,IF(LEFT(Cockpit!$O$5,1)="B",AZ1827,MAX(AZ1827,H1827))))</f>
        <v>0</v>
      </c>
      <c r="AW1827" s="57" t="n">
        <f aca="false">IF(BT1827=1,0,ROUNDUP(AV1827/BS1827,0))</f>
        <v>0</v>
      </c>
      <c r="AX1827" s="59" t="n">
        <f aca="false">IF(CH1827&gt;0,CH1827*MAX(1,AV1827/X1827),IF(BT1827=1,IF(AV1827&lt;=0,0,BW1827*MAX(1,IF(H1827&gt;0,AV1827/H1827,1))),IF(R1827&gt;0,AW1827/R1827,0))/MAX(0.1,N(Parameter!$M$21)))</f>
        <v>0</v>
      </c>
      <c r="AY1827" s="57" t="n">
        <f aca="false">AV1827*G1827</f>
        <v>0</v>
      </c>
      <c r="AZ1827" s="57" t="n">
        <f aca="false">ROUNDUP(MAX(J1827/IF(BZ1827&gt;0,BZ1827,MAX(0.1,N(Cockpit!$O$6))),CC1827)/BS1827,0)*BS1827</f>
        <v>0</v>
      </c>
      <c r="BA1827" s="58" t="n">
        <f aca="false">IF(AX1827&gt;0,J1827/AX1827,-1)</f>
        <v>-1</v>
      </c>
      <c r="BB1827" s="58" t="str">
        <f aca="false">IF(AND(OR(BY1827="L1",BY1827="L23"),AX1827&gt;0),SUMIFS($AX$7:$AX$1843,$BY$7:$BY$1843,BY1827,$BA$7:$BA$1843,"&gt;"&amp;BA1827)+SUMIFS($AX$7:$AX$1843,$BY$7:$BY$1843,BY1827,$BA$7:$BA$1843,BA1827,$BQ$7:$BQ$1843,"&lt;="&amp;BQ1827),"")</f>
        <v/>
      </c>
      <c r="BC1827" s="65" t="n">
        <f aca="false">IF(BB1827="",0,MAX(0,MIN(1,(IF(BY1827="L1",Parameter!$E$5,Parameter!$E$6+Parameter!$E$7)-(BB1827-AX1827))/AX1827)))</f>
        <v>0</v>
      </c>
      <c r="BD1827" s="55" t="str">
        <f aca="false">IF(AH1827&lt;=0,"",IF(BY1827="Aussen","Aussenlager",IF(BY1827="-","Nicht im Lift",IF(AM1827&gt;=1,"Lift",IF(AM1827&lt;=0,"Aussenlager","teilweise")))))</f>
        <v/>
      </c>
      <c r="BE1827" s="55" t="str">
        <f aca="false">IF(AP1827&lt;=0,"",IF(BY1827="Aussen","Aussenlager",IF(BY1827="-","Nicht im Lift",IF(AU1827&gt;=1,"Lift",IF(AU1827&lt;=0,"Aussenlager","teilweise")))))</f>
        <v/>
      </c>
      <c r="BF1827" s="55" t="str">
        <f aca="false">IF(AX1827&lt;=0,"",IF(BY1827="Aussen","Aussenlager",IF(BY1827="-","Nicht im Lift",IF(BC1827&gt;=1,"Lift",IF(BC1827&lt;=0,"Aussenlager","teilweise")))))</f>
        <v/>
      </c>
      <c r="BG1827" s="55" t="str">
        <f aca="false">IF(A1827="","",IF(BP1827=1,"Neu; ","")&amp;IF(AND(BP1827=0,BK1827&lt;0),"negativer Bestand (Export "&amp;BK1827&amp;"); ","")&amp;IF(J1827&lt;=0,"Kein Verbrauch; ","")&amp;IF(CH1827&gt;0,"Lift "&amp;W1827&amp;" lt. Liftbericht (Fach "&amp;X1827&amp;" Stk); ",IF(BU1827=1,"Gebinde geschätzt ("&amp;T1827&amp;"); ",IF(BT1827=1,"Lose – Tablare geschätzt; ","")))&amp;IF(H1827&gt;AR1827,"Überbestand "&amp;ROUND(H1827-AR1827,0)&amp;" Stk / CHF "&amp;ROUND((H1827-AR1827)*G1827,0)&amp;"; ","")&amp;IF(AND(CA1827=1,CB1827&lt;CC1827),"MAX &lt; MB+LG; ","")&amp;IF(AND(CG1827&gt;0,CF1827*10&gt;CG1827),"zu hoch für Tablar; ","")&amp;IF(AND(BP1827=0,OR(CA1827=1,AA1827&lt;&gt;"",U1827&lt;&gt;"",V1827&lt;&gt;"",AB1827&lt;&gt;"")),"manuell übersteuert; ","")&amp;IF(AND(BT1827=0,R1827=0),"Gebinde unbekannt / Stellmass fehlt; ","")&amp;IF(AND(BT1827=0,N(V1827)&lt;=0,N(Q1827)&lt;=0),"Menge pro Gebinde fehlt (Ist = 1 Gebinde); ","")&amp;BO1827)</f>
        <v/>
      </c>
      <c r="BH1827" s="55"/>
      <c r="BI1827" s="55"/>
      <c r="BJ1827" s="62"/>
      <c r="BK1827" s="57" t="n">
        <f aca="false">N('Neue Artikel'!$D$88)</f>
        <v>0</v>
      </c>
      <c r="BL1827" s="57" t="n">
        <v>0</v>
      </c>
      <c r="BM1827" s="56" t="n">
        <v>0</v>
      </c>
      <c r="BN1827" s="57" t="n">
        <f aca="false">N('Neue Artikel'!$C$88)/Parameter!$B$18</f>
        <v>0</v>
      </c>
      <c r="BO1827" s="55"/>
      <c r="BP1827" s="60" t="n">
        <v>1</v>
      </c>
      <c r="BQ1827" s="60" t="n">
        <v>1827</v>
      </c>
      <c r="BR1827" s="55" t="str">
        <f aca="false">IF(U1827&lt;&gt;"",UPPER(TRIM(U1827)),IF(BU1827=1,UPPER(VLOOKUP(T1827,Parameter!$I$27:$K$29,2,0)),IF(P1827="","LOSE",P1827)))</f>
        <v>LOSE</v>
      </c>
      <c r="BS1827" s="57" t="n">
        <f aca="false">IF(BR1827="LOSE",1,IF(N(V1827)&gt;0,V1827,IF(BU1827=1,MAX(1,N(VLOOKUP(T1827,Parameter!$I$27:$K$29,3,0)),H1827,N(N1827)),IF(N(Q1827)&gt;0,Q1827,MAX(1,H1827)))))</f>
        <v>1</v>
      </c>
      <c r="BT1827" s="60" t="n">
        <f aca="false">IF(BR1827="LOSE",1,0)</f>
        <v>1</v>
      </c>
      <c r="BU1827" s="60" t="n">
        <f aca="false">IF(AND(U1827="",OR(P1827="",P1827="LOSE"),T1827&lt;&gt;"",N(S1827)&lt;=0,ISNUMBER(MATCH(T1827,Parameter!$I$27:$I$29,0))),1,0)</f>
        <v>0</v>
      </c>
      <c r="BV1827" s="55" t="str">
        <f aca="false">IF(AND(Parameter!$B$19="Ja",E1827&lt;&gt;"",ISNUMBER(MATCH(E1827,Parameter!$I$35:$I$52,0))),VLOOKUP(E1827,Parameter!$I$35:$J$52,2,0),IFERROR(VLOOKUP(D1827,Parameter!$A$35:$C$64,2,0),"Nein"))</f>
        <v>2+3</v>
      </c>
      <c r="BW1827" s="59" t="n">
        <f aca="false">IF(BT1827=0,0,IF(N(S1827)&gt;0,S1827,IFERROR(VLOOKUP(D1827,Parameter!$A$35:$C$64,3,0)+0,0)))</f>
        <v>0.15</v>
      </c>
      <c r="BX1827" s="55" t="str">
        <f aca="false">IF(AA1827&lt;&gt;"",AA1827,Z1827)</f>
        <v/>
      </c>
      <c r="BY1827" s="55" t="str">
        <f aca="false">IF(BX1827=1,"L1",IF(OR(BX1827=2,BX1827=3),"L23",IF(BX1827="Aussen","Aussen","-")))</f>
        <v>-</v>
      </c>
      <c r="BZ1827" s="66" t="n">
        <f aca="false">IF(N(AB1827)&gt;0,AB1827,0)</f>
        <v>0</v>
      </c>
      <c r="CA1827" s="60" t="n">
        <f aca="false">IF(ISNUMBER(AE1827),1,0)</f>
        <v>0</v>
      </c>
      <c r="CB1827" s="57" t="n">
        <f aca="false">N(AE1827)</f>
        <v>0</v>
      </c>
      <c r="CC1827" s="57" t="n">
        <f aca="false">N(M1827)+N(N1827)</f>
        <v>0</v>
      </c>
      <c r="CD1827" s="57" t="n">
        <f aca="false">ROUNDUP(H1827/BS1827,0)</f>
        <v>0</v>
      </c>
      <c r="CE1827" s="57" t="n">
        <f aca="false">ROUNDUP(CB1827/BS1827,0)</f>
        <v>0</v>
      </c>
      <c r="CF1827" s="60" t="n">
        <f aca="false">IF(BT1827=1,0,IFERROR(VLOOKUP(BR1827,'Gebinde-Kategorie'!$A$5:$M$45,5,0)+0,0))</f>
        <v>0</v>
      </c>
      <c r="CG1827" s="60" t="n">
        <f aca="false">IFERROR(IF(OR(BX1827=1,BX1827=2,BX1827=3),N(INDEX(Parameter!$I$5:$I$7,BX1827)),0),0)</f>
        <v>0</v>
      </c>
      <c r="CH1827" s="59" t="n">
        <f aca="false">IF(AND(Parameter!$B$21="Ja",ISNUMBER(W1827),N(X1827)&gt;0),IFERROR(N(INDEX(Parameter!$L$5:$L$7,W1827))*INDEX(Parameter!$E$5:$E$7,W1827)*X1827/SUMIFS($X$7:$X$1843,$W$7:$W$1843,W1827),0),0)</f>
        <v>0</v>
      </c>
    </row>
    <row r="1828" customFormat="false" ht="15" hidden="false" customHeight="false" outlineLevel="0" collapsed="false">
      <c r="A1828" s="55" t="str">
        <f aca="false">IF('Neue Artikel'!$A$89="","",'Neue Artikel'!$A$89&amp;"")</f>
        <v/>
      </c>
      <c r="B1828" s="55" t="str">
        <f aca="false">'Neue Artikel'!$B$89&amp;""</f>
        <v/>
      </c>
      <c r="C1828" s="55"/>
      <c r="D1828" s="55" t="s">
        <v>3015</v>
      </c>
      <c r="E1828" s="55"/>
      <c r="F1828" s="55"/>
      <c r="G1828" s="56" t="n">
        <f aca="false">N('Neue Artikel'!$G$89)</f>
        <v>0</v>
      </c>
      <c r="H1828" s="57" t="n">
        <f aca="false">MAX(0,IF(AND(Parameter!$B$21="Ja",ISNUMBER(Y1828)),Y1828,IF(Parameter!$B$20="Jahresanfang 2025 + Export",BL1828+BK1828,BK1828)))</f>
        <v>0</v>
      </c>
      <c r="I1828" s="57" t="n">
        <f aca="false">H1828*G1828</f>
        <v>0</v>
      </c>
      <c r="J1828" s="57" t="n">
        <f aca="false">BN1828*Parameter!$B$18</f>
        <v>0</v>
      </c>
      <c r="K1828" s="58"/>
      <c r="L1828" s="59"/>
      <c r="M1828" s="57" t="n">
        <f aca="false">N('Neue Artikel'!$E$89)</f>
        <v>0</v>
      </c>
      <c r="N1828" s="57" t="n">
        <f aca="false">N('Neue Artikel'!$F$89)</f>
        <v>0</v>
      </c>
      <c r="O1828" s="60"/>
      <c r="P1828" s="55" t="str">
        <f aca="false">IF('Neue Artikel'!$H$89="","LOSE",UPPER(TRIM('Neue Artikel'!$H$89)))</f>
        <v>LOSE</v>
      </c>
      <c r="Q1828" s="57" t="n">
        <f aca="false">N('Neue Artikel'!$I$89)</f>
        <v>0</v>
      </c>
      <c r="R1828" s="60" t="n">
        <f aca="false">IF(BT1828=1,0,IFERROR(VLOOKUP(BR1828,'Gebinde-Kategorie'!$A$5:$M$45,13,0)+0,0))</f>
        <v>0</v>
      </c>
      <c r="S1828" s="61"/>
      <c r="T1828" s="62"/>
      <c r="U1828" s="62"/>
      <c r="V1828" s="62"/>
      <c r="W1828" s="55"/>
      <c r="X1828" s="57"/>
      <c r="Y1828" s="57"/>
      <c r="Z1828" s="55" t="str">
        <f aca="false">IF(A1828="","",IF(AND(Parameter!$B$21="Ja",ISNUMBER(W1828)),W1828,IF(BV1828="2+3",IF(ISNUMBER(SEARCH("grosser Artikel",BO1828)),2,IFERROR(VLOOKUP(BR1828,Parameter!$F$35:$G$64,2,0),2)),IF(OR(BV1828="Nein",BV1828=""),"-",BV1828))))</f>
        <v/>
      </c>
      <c r="AA1828" s="55" t="str">
        <f aca="false">IF('Neue Artikel'!$J$89="","",'Neue Artikel'!$J$89)</f>
        <v/>
      </c>
      <c r="AB1828" s="63"/>
      <c r="AC1828" s="57" t="n">
        <f aca="false">AR1828</f>
        <v>0</v>
      </c>
      <c r="AD1828" s="57" t="n">
        <f aca="false">MAX(AR1828,H1828)</f>
        <v>0</v>
      </c>
      <c r="AE1828" s="64"/>
      <c r="AF1828" s="57" t="n">
        <f aca="false">IF(LEFT(Cockpit!$C$5,1)="A",H1828,IF(CA1828=1,CB1828,IF(LEFT(Cockpit!$C$5,1)="B",AJ1828,MAX(AJ1828,H1828))))</f>
        <v>0</v>
      </c>
      <c r="AG1828" s="57" t="n">
        <f aca="false">IF(BT1828=1,0,ROUNDUP(AF1828/BS1828,0))</f>
        <v>0</v>
      </c>
      <c r="AH1828" s="59" t="n">
        <f aca="false">IF(CH1828&gt;0,CH1828*MAX(1,AF1828/X1828),IF(BT1828=1,IF(AF1828&lt;=0,0,BW1828*MAX(1,IF(H1828&gt;0,AF1828/H1828,1))),IF(R1828&gt;0,AG1828/R1828,0))/MAX(0.1,N(Parameter!$M$21)))</f>
        <v>0</v>
      </c>
      <c r="AI1828" s="57" t="n">
        <f aca="false">AF1828*G1828</f>
        <v>0</v>
      </c>
      <c r="AJ1828" s="57" t="n">
        <f aca="false">ROUNDUP(MAX(J1828/IF(BZ1828&gt;0,BZ1828,MAX(0.1,N(Cockpit!$C$6))),CC1828)/BS1828,0)*BS1828</f>
        <v>0</v>
      </c>
      <c r="AK1828" s="58" t="n">
        <f aca="false">IF(AH1828&gt;0,J1828/AH1828,-1)</f>
        <v>-1</v>
      </c>
      <c r="AL1828" s="58" t="str">
        <f aca="false">IF(AND(OR(BY1828="L1",BY1828="L23"),AH1828&gt;0),SUMIFS($AH$7:$AH$1843,$BY$7:$BY$1843,BY1828,$AK$7:$AK$1843,"&gt;"&amp;AK1828)+SUMIFS($AH$7:$AH$1843,$BY$7:$BY$1843,BY1828,$AK$7:$AK$1843,AK1828,$BQ$7:$BQ$1843,"&lt;="&amp;BQ1828),"")</f>
        <v/>
      </c>
      <c r="AM1828" s="65" t="n">
        <f aca="false">IF(AL1828="",0,MAX(0,MIN(1,(IF(BY1828="L1",Parameter!$E$5,Parameter!$E$6+Parameter!$E$7)-(AL1828-AH1828))/AH1828)))</f>
        <v>0</v>
      </c>
      <c r="AN1828" s="57" t="n">
        <f aca="false">IF(LEFT(Cockpit!$I$5,1)="A",H1828,IF(CA1828=1,CB1828,IF(LEFT(Cockpit!$I$5,1)="B",AR1828,MAX(AR1828,H1828))))</f>
        <v>0</v>
      </c>
      <c r="AO1828" s="57" t="n">
        <f aca="false">IF(BT1828=1,0,ROUNDUP(AN1828/BS1828,0))</f>
        <v>0</v>
      </c>
      <c r="AP1828" s="59" t="n">
        <f aca="false">IF(CH1828&gt;0,CH1828*MAX(1,AN1828/X1828),IF(BT1828=1,IF(AN1828&lt;=0,0,BW1828*MAX(1,IF(H1828&gt;0,AN1828/H1828,1))),IF(R1828&gt;0,AO1828/R1828,0))/MAX(0.1,N(Parameter!$M$21)))</f>
        <v>0</v>
      </c>
      <c r="AQ1828" s="57" t="n">
        <f aca="false">AN1828*G1828</f>
        <v>0</v>
      </c>
      <c r="AR1828" s="57" t="n">
        <f aca="false">ROUNDUP(MAX(J1828/IF(BZ1828&gt;0,BZ1828,MAX(0.1,N(Cockpit!$I$6))),CC1828)/BS1828,0)*BS1828</f>
        <v>0</v>
      </c>
      <c r="AS1828" s="58" t="n">
        <f aca="false">IF(AP1828&gt;0,J1828/AP1828,-1)</f>
        <v>-1</v>
      </c>
      <c r="AT1828" s="58" t="str">
        <f aca="false">IF(AND(OR(BY1828="L1",BY1828="L23"),AP1828&gt;0),SUMIFS($AP$7:$AP$1843,$BY$7:$BY$1843,BY1828,$AS$7:$AS$1843,"&gt;"&amp;AS1828)+SUMIFS($AP$7:$AP$1843,$BY$7:$BY$1843,BY1828,$AS$7:$AS$1843,AS1828,$BQ$7:$BQ$1843,"&lt;="&amp;BQ1828),"")</f>
        <v/>
      </c>
      <c r="AU1828" s="65" t="n">
        <f aca="false">IF(AT1828="",0,MAX(0,MIN(1,(IF(BY1828="L1",Parameter!$E$5,Parameter!$E$6+Parameter!$E$7)-(AT1828-AP1828))/AP1828)))</f>
        <v>0</v>
      </c>
      <c r="AV1828" s="57" t="n">
        <f aca="false">IF(LEFT(Cockpit!$O$5,1)="A",H1828,IF(CA1828=1,CB1828,IF(LEFT(Cockpit!$O$5,1)="B",AZ1828,MAX(AZ1828,H1828))))</f>
        <v>0</v>
      </c>
      <c r="AW1828" s="57" t="n">
        <f aca="false">IF(BT1828=1,0,ROUNDUP(AV1828/BS1828,0))</f>
        <v>0</v>
      </c>
      <c r="AX1828" s="59" t="n">
        <f aca="false">IF(CH1828&gt;0,CH1828*MAX(1,AV1828/X1828),IF(BT1828=1,IF(AV1828&lt;=0,0,BW1828*MAX(1,IF(H1828&gt;0,AV1828/H1828,1))),IF(R1828&gt;0,AW1828/R1828,0))/MAX(0.1,N(Parameter!$M$21)))</f>
        <v>0</v>
      </c>
      <c r="AY1828" s="57" t="n">
        <f aca="false">AV1828*G1828</f>
        <v>0</v>
      </c>
      <c r="AZ1828" s="57" t="n">
        <f aca="false">ROUNDUP(MAX(J1828/IF(BZ1828&gt;0,BZ1828,MAX(0.1,N(Cockpit!$O$6))),CC1828)/BS1828,0)*BS1828</f>
        <v>0</v>
      </c>
      <c r="BA1828" s="58" t="n">
        <f aca="false">IF(AX1828&gt;0,J1828/AX1828,-1)</f>
        <v>-1</v>
      </c>
      <c r="BB1828" s="58" t="str">
        <f aca="false">IF(AND(OR(BY1828="L1",BY1828="L23"),AX1828&gt;0),SUMIFS($AX$7:$AX$1843,$BY$7:$BY$1843,BY1828,$BA$7:$BA$1843,"&gt;"&amp;BA1828)+SUMIFS($AX$7:$AX$1843,$BY$7:$BY$1843,BY1828,$BA$7:$BA$1843,BA1828,$BQ$7:$BQ$1843,"&lt;="&amp;BQ1828),"")</f>
        <v/>
      </c>
      <c r="BC1828" s="65" t="n">
        <f aca="false">IF(BB1828="",0,MAX(0,MIN(1,(IF(BY1828="L1",Parameter!$E$5,Parameter!$E$6+Parameter!$E$7)-(BB1828-AX1828))/AX1828)))</f>
        <v>0</v>
      </c>
      <c r="BD1828" s="55" t="str">
        <f aca="false">IF(AH1828&lt;=0,"",IF(BY1828="Aussen","Aussenlager",IF(BY1828="-","Nicht im Lift",IF(AM1828&gt;=1,"Lift",IF(AM1828&lt;=0,"Aussenlager","teilweise")))))</f>
        <v/>
      </c>
      <c r="BE1828" s="55" t="str">
        <f aca="false">IF(AP1828&lt;=0,"",IF(BY1828="Aussen","Aussenlager",IF(BY1828="-","Nicht im Lift",IF(AU1828&gt;=1,"Lift",IF(AU1828&lt;=0,"Aussenlager","teilweise")))))</f>
        <v/>
      </c>
      <c r="BF1828" s="55" t="str">
        <f aca="false">IF(AX1828&lt;=0,"",IF(BY1828="Aussen","Aussenlager",IF(BY1828="-","Nicht im Lift",IF(BC1828&gt;=1,"Lift",IF(BC1828&lt;=0,"Aussenlager","teilweise")))))</f>
        <v/>
      </c>
      <c r="BG1828" s="55" t="str">
        <f aca="false">IF(A1828="","",IF(BP1828=1,"Neu; ","")&amp;IF(AND(BP1828=0,BK1828&lt;0),"negativer Bestand (Export "&amp;BK1828&amp;"); ","")&amp;IF(J1828&lt;=0,"Kein Verbrauch; ","")&amp;IF(CH1828&gt;0,"Lift "&amp;W1828&amp;" lt. Liftbericht (Fach "&amp;X1828&amp;" Stk); ",IF(BU1828=1,"Gebinde geschätzt ("&amp;T1828&amp;"); ",IF(BT1828=1,"Lose – Tablare geschätzt; ","")))&amp;IF(H1828&gt;AR1828,"Überbestand "&amp;ROUND(H1828-AR1828,0)&amp;" Stk / CHF "&amp;ROUND((H1828-AR1828)*G1828,0)&amp;"; ","")&amp;IF(AND(CA1828=1,CB1828&lt;CC1828),"MAX &lt; MB+LG; ","")&amp;IF(AND(CG1828&gt;0,CF1828*10&gt;CG1828),"zu hoch für Tablar; ","")&amp;IF(AND(BP1828=0,OR(CA1828=1,AA1828&lt;&gt;"",U1828&lt;&gt;"",V1828&lt;&gt;"",AB1828&lt;&gt;"")),"manuell übersteuert; ","")&amp;IF(AND(BT1828=0,R1828=0),"Gebinde unbekannt / Stellmass fehlt; ","")&amp;IF(AND(BT1828=0,N(V1828)&lt;=0,N(Q1828)&lt;=0),"Menge pro Gebinde fehlt (Ist = 1 Gebinde); ","")&amp;BO1828)</f>
        <v/>
      </c>
      <c r="BH1828" s="55"/>
      <c r="BI1828" s="55"/>
      <c r="BJ1828" s="62"/>
      <c r="BK1828" s="57" t="n">
        <f aca="false">N('Neue Artikel'!$D$89)</f>
        <v>0</v>
      </c>
      <c r="BL1828" s="57" t="n">
        <v>0</v>
      </c>
      <c r="BM1828" s="56" t="n">
        <v>0</v>
      </c>
      <c r="BN1828" s="57" t="n">
        <f aca="false">N('Neue Artikel'!$C$89)/Parameter!$B$18</f>
        <v>0</v>
      </c>
      <c r="BO1828" s="55"/>
      <c r="BP1828" s="60" t="n">
        <v>1</v>
      </c>
      <c r="BQ1828" s="60" t="n">
        <v>1828</v>
      </c>
      <c r="BR1828" s="55" t="str">
        <f aca="false">IF(U1828&lt;&gt;"",UPPER(TRIM(U1828)),IF(BU1828=1,UPPER(VLOOKUP(T1828,Parameter!$I$27:$K$29,2,0)),IF(P1828="","LOSE",P1828)))</f>
        <v>LOSE</v>
      </c>
      <c r="BS1828" s="57" t="n">
        <f aca="false">IF(BR1828="LOSE",1,IF(N(V1828)&gt;0,V1828,IF(BU1828=1,MAX(1,N(VLOOKUP(T1828,Parameter!$I$27:$K$29,3,0)),H1828,N(N1828)),IF(N(Q1828)&gt;0,Q1828,MAX(1,H1828)))))</f>
        <v>1</v>
      </c>
      <c r="BT1828" s="60" t="n">
        <f aca="false">IF(BR1828="LOSE",1,0)</f>
        <v>1</v>
      </c>
      <c r="BU1828" s="60" t="n">
        <f aca="false">IF(AND(U1828="",OR(P1828="",P1828="LOSE"),T1828&lt;&gt;"",N(S1828)&lt;=0,ISNUMBER(MATCH(T1828,Parameter!$I$27:$I$29,0))),1,0)</f>
        <v>0</v>
      </c>
      <c r="BV1828" s="55" t="str">
        <f aca="false">IF(AND(Parameter!$B$19="Ja",E1828&lt;&gt;"",ISNUMBER(MATCH(E1828,Parameter!$I$35:$I$52,0))),VLOOKUP(E1828,Parameter!$I$35:$J$52,2,0),IFERROR(VLOOKUP(D1828,Parameter!$A$35:$C$64,2,0),"Nein"))</f>
        <v>2+3</v>
      </c>
      <c r="BW1828" s="59" t="n">
        <f aca="false">IF(BT1828=0,0,IF(N(S1828)&gt;0,S1828,IFERROR(VLOOKUP(D1828,Parameter!$A$35:$C$64,3,0)+0,0)))</f>
        <v>0.15</v>
      </c>
      <c r="BX1828" s="55" t="str">
        <f aca="false">IF(AA1828&lt;&gt;"",AA1828,Z1828)</f>
        <v/>
      </c>
      <c r="BY1828" s="55" t="str">
        <f aca="false">IF(BX1828=1,"L1",IF(OR(BX1828=2,BX1828=3),"L23",IF(BX1828="Aussen","Aussen","-")))</f>
        <v>-</v>
      </c>
      <c r="BZ1828" s="66" t="n">
        <f aca="false">IF(N(AB1828)&gt;0,AB1828,0)</f>
        <v>0</v>
      </c>
      <c r="CA1828" s="60" t="n">
        <f aca="false">IF(ISNUMBER(AE1828),1,0)</f>
        <v>0</v>
      </c>
      <c r="CB1828" s="57" t="n">
        <f aca="false">N(AE1828)</f>
        <v>0</v>
      </c>
      <c r="CC1828" s="57" t="n">
        <f aca="false">N(M1828)+N(N1828)</f>
        <v>0</v>
      </c>
      <c r="CD1828" s="57" t="n">
        <f aca="false">ROUNDUP(H1828/BS1828,0)</f>
        <v>0</v>
      </c>
      <c r="CE1828" s="57" t="n">
        <f aca="false">ROUNDUP(CB1828/BS1828,0)</f>
        <v>0</v>
      </c>
      <c r="CF1828" s="60" t="n">
        <f aca="false">IF(BT1828=1,0,IFERROR(VLOOKUP(BR1828,'Gebinde-Kategorie'!$A$5:$M$45,5,0)+0,0))</f>
        <v>0</v>
      </c>
      <c r="CG1828" s="60" t="n">
        <f aca="false">IFERROR(IF(OR(BX1828=1,BX1828=2,BX1828=3),N(INDEX(Parameter!$I$5:$I$7,BX1828)),0),0)</f>
        <v>0</v>
      </c>
      <c r="CH1828" s="59" t="n">
        <f aca="false">IF(AND(Parameter!$B$21="Ja",ISNUMBER(W1828),N(X1828)&gt;0),IFERROR(N(INDEX(Parameter!$L$5:$L$7,W1828))*INDEX(Parameter!$E$5:$E$7,W1828)*X1828/SUMIFS($X$7:$X$1843,$W$7:$W$1843,W1828),0),0)</f>
        <v>0</v>
      </c>
    </row>
    <row r="1829" customFormat="false" ht="15" hidden="false" customHeight="false" outlineLevel="0" collapsed="false">
      <c r="A1829" s="55" t="str">
        <f aca="false">IF('Neue Artikel'!$A$90="","",'Neue Artikel'!$A$90&amp;"")</f>
        <v/>
      </c>
      <c r="B1829" s="55" t="str">
        <f aca="false">'Neue Artikel'!$B$90&amp;""</f>
        <v/>
      </c>
      <c r="C1829" s="55"/>
      <c r="D1829" s="55" t="s">
        <v>3015</v>
      </c>
      <c r="E1829" s="55"/>
      <c r="F1829" s="55"/>
      <c r="G1829" s="56" t="n">
        <f aca="false">N('Neue Artikel'!$G$90)</f>
        <v>0</v>
      </c>
      <c r="H1829" s="57" t="n">
        <f aca="false">MAX(0,IF(AND(Parameter!$B$21="Ja",ISNUMBER(Y1829)),Y1829,IF(Parameter!$B$20="Jahresanfang 2025 + Export",BL1829+BK1829,BK1829)))</f>
        <v>0</v>
      </c>
      <c r="I1829" s="57" t="n">
        <f aca="false">H1829*G1829</f>
        <v>0</v>
      </c>
      <c r="J1829" s="57" t="n">
        <f aca="false">BN1829*Parameter!$B$18</f>
        <v>0</v>
      </c>
      <c r="K1829" s="58"/>
      <c r="L1829" s="59"/>
      <c r="M1829" s="57" t="n">
        <f aca="false">N('Neue Artikel'!$E$90)</f>
        <v>0</v>
      </c>
      <c r="N1829" s="57" t="n">
        <f aca="false">N('Neue Artikel'!$F$90)</f>
        <v>0</v>
      </c>
      <c r="O1829" s="60"/>
      <c r="P1829" s="55" t="str">
        <f aca="false">IF('Neue Artikel'!$H$90="","LOSE",UPPER(TRIM('Neue Artikel'!$H$90)))</f>
        <v>LOSE</v>
      </c>
      <c r="Q1829" s="57" t="n">
        <f aca="false">N('Neue Artikel'!$I$90)</f>
        <v>0</v>
      </c>
      <c r="R1829" s="60" t="n">
        <f aca="false">IF(BT1829=1,0,IFERROR(VLOOKUP(BR1829,'Gebinde-Kategorie'!$A$5:$M$45,13,0)+0,0))</f>
        <v>0</v>
      </c>
      <c r="S1829" s="61"/>
      <c r="T1829" s="62"/>
      <c r="U1829" s="62"/>
      <c r="V1829" s="62"/>
      <c r="W1829" s="55"/>
      <c r="X1829" s="57"/>
      <c r="Y1829" s="57"/>
      <c r="Z1829" s="55" t="str">
        <f aca="false">IF(A1829="","",IF(AND(Parameter!$B$21="Ja",ISNUMBER(W1829)),W1829,IF(BV1829="2+3",IF(ISNUMBER(SEARCH("grosser Artikel",BO1829)),2,IFERROR(VLOOKUP(BR1829,Parameter!$F$35:$G$64,2,0),2)),IF(OR(BV1829="Nein",BV1829=""),"-",BV1829))))</f>
        <v/>
      </c>
      <c r="AA1829" s="55" t="str">
        <f aca="false">IF('Neue Artikel'!$J$90="","",'Neue Artikel'!$J$90)</f>
        <v/>
      </c>
      <c r="AB1829" s="63"/>
      <c r="AC1829" s="57" t="n">
        <f aca="false">AR1829</f>
        <v>0</v>
      </c>
      <c r="AD1829" s="57" t="n">
        <f aca="false">MAX(AR1829,H1829)</f>
        <v>0</v>
      </c>
      <c r="AE1829" s="64"/>
      <c r="AF1829" s="57" t="n">
        <f aca="false">IF(LEFT(Cockpit!$C$5,1)="A",H1829,IF(CA1829=1,CB1829,IF(LEFT(Cockpit!$C$5,1)="B",AJ1829,MAX(AJ1829,H1829))))</f>
        <v>0</v>
      </c>
      <c r="AG1829" s="57" t="n">
        <f aca="false">IF(BT1829=1,0,ROUNDUP(AF1829/BS1829,0))</f>
        <v>0</v>
      </c>
      <c r="AH1829" s="59" t="n">
        <f aca="false">IF(CH1829&gt;0,CH1829*MAX(1,AF1829/X1829),IF(BT1829=1,IF(AF1829&lt;=0,0,BW1829*MAX(1,IF(H1829&gt;0,AF1829/H1829,1))),IF(R1829&gt;0,AG1829/R1829,0))/MAX(0.1,N(Parameter!$M$21)))</f>
        <v>0</v>
      </c>
      <c r="AI1829" s="57" t="n">
        <f aca="false">AF1829*G1829</f>
        <v>0</v>
      </c>
      <c r="AJ1829" s="57" t="n">
        <f aca="false">ROUNDUP(MAX(J1829/IF(BZ1829&gt;0,BZ1829,MAX(0.1,N(Cockpit!$C$6))),CC1829)/BS1829,0)*BS1829</f>
        <v>0</v>
      </c>
      <c r="AK1829" s="58" t="n">
        <f aca="false">IF(AH1829&gt;0,J1829/AH1829,-1)</f>
        <v>-1</v>
      </c>
      <c r="AL1829" s="58" t="str">
        <f aca="false">IF(AND(OR(BY1829="L1",BY1829="L23"),AH1829&gt;0),SUMIFS($AH$7:$AH$1843,$BY$7:$BY$1843,BY1829,$AK$7:$AK$1843,"&gt;"&amp;AK1829)+SUMIFS($AH$7:$AH$1843,$BY$7:$BY$1843,BY1829,$AK$7:$AK$1843,AK1829,$BQ$7:$BQ$1843,"&lt;="&amp;BQ1829),"")</f>
        <v/>
      </c>
      <c r="AM1829" s="65" t="n">
        <f aca="false">IF(AL1829="",0,MAX(0,MIN(1,(IF(BY1829="L1",Parameter!$E$5,Parameter!$E$6+Parameter!$E$7)-(AL1829-AH1829))/AH1829)))</f>
        <v>0</v>
      </c>
      <c r="AN1829" s="57" t="n">
        <f aca="false">IF(LEFT(Cockpit!$I$5,1)="A",H1829,IF(CA1829=1,CB1829,IF(LEFT(Cockpit!$I$5,1)="B",AR1829,MAX(AR1829,H1829))))</f>
        <v>0</v>
      </c>
      <c r="AO1829" s="57" t="n">
        <f aca="false">IF(BT1829=1,0,ROUNDUP(AN1829/BS1829,0))</f>
        <v>0</v>
      </c>
      <c r="AP1829" s="59" t="n">
        <f aca="false">IF(CH1829&gt;0,CH1829*MAX(1,AN1829/X1829),IF(BT1829=1,IF(AN1829&lt;=0,0,BW1829*MAX(1,IF(H1829&gt;0,AN1829/H1829,1))),IF(R1829&gt;0,AO1829/R1829,0))/MAX(0.1,N(Parameter!$M$21)))</f>
        <v>0</v>
      </c>
      <c r="AQ1829" s="57" t="n">
        <f aca="false">AN1829*G1829</f>
        <v>0</v>
      </c>
      <c r="AR1829" s="57" t="n">
        <f aca="false">ROUNDUP(MAX(J1829/IF(BZ1829&gt;0,BZ1829,MAX(0.1,N(Cockpit!$I$6))),CC1829)/BS1829,0)*BS1829</f>
        <v>0</v>
      </c>
      <c r="AS1829" s="58" t="n">
        <f aca="false">IF(AP1829&gt;0,J1829/AP1829,-1)</f>
        <v>-1</v>
      </c>
      <c r="AT1829" s="58" t="str">
        <f aca="false">IF(AND(OR(BY1829="L1",BY1829="L23"),AP1829&gt;0),SUMIFS($AP$7:$AP$1843,$BY$7:$BY$1843,BY1829,$AS$7:$AS$1843,"&gt;"&amp;AS1829)+SUMIFS($AP$7:$AP$1843,$BY$7:$BY$1843,BY1829,$AS$7:$AS$1843,AS1829,$BQ$7:$BQ$1843,"&lt;="&amp;BQ1829),"")</f>
        <v/>
      </c>
      <c r="AU1829" s="65" t="n">
        <f aca="false">IF(AT1829="",0,MAX(0,MIN(1,(IF(BY1829="L1",Parameter!$E$5,Parameter!$E$6+Parameter!$E$7)-(AT1829-AP1829))/AP1829)))</f>
        <v>0</v>
      </c>
      <c r="AV1829" s="57" t="n">
        <f aca="false">IF(LEFT(Cockpit!$O$5,1)="A",H1829,IF(CA1829=1,CB1829,IF(LEFT(Cockpit!$O$5,1)="B",AZ1829,MAX(AZ1829,H1829))))</f>
        <v>0</v>
      </c>
      <c r="AW1829" s="57" t="n">
        <f aca="false">IF(BT1829=1,0,ROUNDUP(AV1829/BS1829,0))</f>
        <v>0</v>
      </c>
      <c r="AX1829" s="59" t="n">
        <f aca="false">IF(CH1829&gt;0,CH1829*MAX(1,AV1829/X1829),IF(BT1829=1,IF(AV1829&lt;=0,0,BW1829*MAX(1,IF(H1829&gt;0,AV1829/H1829,1))),IF(R1829&gt;0,AW1829/R1829,0))/MAX(0.1,N(Parameter!$M$21)))</f>
        <v>0</v>
      </c>
      <c r="AY1829" s="57" t="n">
        <f aca="false">AV1829*G1829</f>
        <v>0</v>
      </c>
      <c r="AZ1829" s="57" t="n">
        <f aca="false">ROUNDUP(MAX(J1829/IF(BZ1829&gt;0,BZ1829,MAX(0.1,N(Cockpit!$O$6))),CC1829)/BS1829,0)*BS1829</f>
        <v>0</v>
      </c>
      <c r="BA1829" s="58" t="n">
        <f aca="false">IF(AX1829&gt;0,J1829/AX1829,-1)</f>
        <v>-1</v>
      </c>
      <c r="BB1829" s="58" t="str">
        <f aca="false">IF(AND(OR(BY1829="L1",BY1829="L23"),AX1829&gt;0),SUMIFS($AX$7:$AX$1843,$BY$7:$BY$1843,BY1829,$BA$7:$BA$1843,"&gt;"&amp;BA1829)+SUMIFS($AX$7:$AX$1843,$BY$7:$BY$1843,BY1829,$BA$7:$BA$1843,BA1829,$BQ$7:$BQ$1843,"&lt;="&amp;BQ1829),"")</f>
        <v/>
      </c>
      <c r="BC1829" s="65" t="n">
        <f aca="false">IF(BB1829="",0,MAX(0,MIN(1,(IF(BY1829="L1",Parameter!$E$5,Parameter!$E$6+Parameter!$E$7)-(BB1829-AX1829))/AX1829)))</f>
        <v>0</v>
      </c>
      <c r="BD1829" s="55" t="str">
        <f aca="false">IF(AH1829&lt;=0,"",IF(BY1829="Aussen","Aussenlager",IF(BY1829="-","Nicht im Lift",IF(AM1829&gt;=1,"Lift",IF(AM1829&lt;=0,"Aussenlager","teilweise")))))</f>
        <v/>
      </c>
      <c r="BE1829" s="55" t="str">
        <f aca="false">IF(AP1829&lt;=0,"",IF(BY1829="Aussen","Aussenlager",IF(BY1829="-","Nicht im Lift",IF(AU1829&gt;=1,"Lift",IF(AU1829&lt;=0,"Aussenlager","teilweise")))))</f>
        <v/>
      </c>
      <c r="BF1829" s="55" t="str">
        <f aca="false">IF(AX1829&lt;=0,"",IF(BY1829="Aussen","Aussenlager",IF(BY1829="-","Nicht im Lift",IF(BC1829&gt;=1,"Lift",IF(BC1829&lt;=0,"Aussenlager","teilweise")))))</f>
        <v/>
      </c>
      <c r="BG1829" s="55" t="str">
        <f aca="false">IF(A1829="","",IF(BP1829=1,"Neu; ","")&amp;IF(AND(BP1829=0,BK1829&lt;0),"negativer Bestand (Export "&amp;BK1829&amp;"); ","")&amp;IF(J1829&lt;=0,"Kein Verbrauch; ","")&amp;IF(CH1829&gt;0,"Lift "&amp;W1829&amp;" lt. Liftbericht (Fach "&amp;X1829&amp;" Stk); ",IF(BU1829=1,"Gebinde geschätzt ("&amp;T1829&amp;"); ",IF(BT1829=1,"Lose – Tablare geschätzt; ","")))&amp;IF(H1829&gt;AR1829,"Überbestand "&amp;ROUND(H1829-AR1829,0)&amp;" Stk / CHF "&amp;ROUND((H1829-AR1829)*G1829,0)&amp;"; ","")&amp;IF(AND(CA1829=1,CB1829&lt;CC1829),"MAX &lt; MB+LG; ","")&amp;IF(AND(CG1829&gt;0,CF1829*10&gt;CG1829),"zu hoch für Tablar; ","")&amp;IF(AND(BP1829=0,OR(CA1829=1,AA1829&lt;&gt;"",U1829&lt;&gt;"",V1829&lt;&gt;"",AB1829&lt;&gt;"")),"manuell übersteuert; ","")&amp;IF(AND(BT1829=0,R1829=0),"Gebinde unbekannt / Stellmass fehlt; ","")&amp;IF(AND(BT1829=0,N(V1829)&lt;=0,N(Q1829)&lt;=0),"Menge pro Gebinde fehlt (Ist = 1 Gebinde); ","")&amp;BO1829)</f>
        <v/>
      </c>
      <c r="BH1829" s="55"/>
      <c r="BI1829" s="55"/>
      <c r="BJ1829" s="62"/>
      <c r="BK1829" s="57" t="n">
        <f aca="false">N('Neue Artikel'!$D$90)</f>
        <v>0</v>
      </c>
      <c r="BL1829" s="57" t="n">
        <v>0</v>
      </c>
      <c r="BM1829" s="56" t="n">
        <v>0</v>
      </c>
      <c r="BN1829" s="57" t="n">
        <f aca="false">N('Neue Artikel'!$C$90)/Parameter!$B$18</f>
        <v>0</v>
      </c>
      <c r="BO1829" s="55"/>
      <c r="BP1829" s="60" t="n">
        <v>1</v>
      </c>
      <c r="BQ1829" s="60" t="n">
        <v>1829</v>
      </c>
      <c r="BR1829" s="55" t="str">
        <f aca="false">IF(U1829&lt;&gt;"",UPPER(TRIM(U1829)),IF(BU1829=1,UPPER(VLOOKUP(T1829,Parameter!$I$27:$K$29,2,0)),IF(P1829="","LOSE",P1829)))</f>
        <v>LOSE</v>
      </c>
      <c r="BS1829" s="57" t="n">
        <f aca="false">IF(BR1829="LOSE",1,IF(N(V1829)&gt;0,V1829,IF(BU1829=1,MAX(1,N(VLOOKUP(T1829,Parameter!$I$27:$K$29,3,0)),H1829,N(N1829)),IF(N(Q1829)&gt;0,Q1829,MAX(1,H1829)))))</f>
        <v>1</v>
      </c>
      <c r="BT1829" s="60" t="n">
        <f aca="false">IF(BR1829="LOSE",1,0)</f>
        <v>1</v>
      </c>
      <c r="BU1829" s="60" t="n">
        <f aca="false">IF(AND(U1829="",OR(P1829="",P1829="LOSE"),T1829&lt;&gt;"",N(S1829)&lt;=0,ISNUMBER(MATCH(T1829,Parameter!$I$27:$I$29,0))),1,0)</f>
        <v>0</v>
      </c>
      <c r="BV1829" s="55" t="str">
        <f aca="false">IF(AND(Parameter!$B$19="Ja",E1829&lt;&gt;"",ISNUMBER(MATCH(E1829,Parameter!$I$35:$I$52,0))),VLOOKUP(E1829,Parameter!$I$35:$J$52,2,0),IFERROR(VLOOKUP(D1829,Parameter!$A$35:$C$64,2,0),"Nein"))</f>
        <v>2+3</v>
      </c>
      <c r="BW1829" s="59" t="n">
        <f aca="false">IF(BT1829=0,0,IF(N(S1829)&gt;0,S1829,IFERROR(VLOOKUP(D1829,Parameter!$A$35:$C$64,3,0)+0,0)))</f>
        <v>0.15</v>
      </c>
      <c r="BX1829" s="55" t="str">
        <f aca="false">IF(AA1829&lt;&gt;"",AA1829,Z1829)</f>
        <v/>
      </c>
      <c r="BY1829" s="55" t="str">
        <f aca="false">IF(BX1829=1,"L1",IF(OR(BX1829=2,BX1829=3),"L23",IF(BX1829="Aussen","Aussen","-")))</f>
        <v>-</v>
      </c>
      <c r="BZ1829" s="66" t="n">
        <f aca="false">IF(N(AB1829)&gt;0,AB1829,0)</f>
        <v>0</v>
      </c>
      <c r="CA1829" s="60" t="n">
        <f aca="false">IF(ISNUMBER(AE1829),1,0)</f>
        <v>0</v>
      </c>
      <c r="CB1829" s="57" t="n">
        <f aca="false">N(AE1829)</f>
        <v>0</v>
      </c>
      <c r="CC1829" s="57" t="n">
        <f aca="false">N(M1829)+N(N1829)</f>
        <v>0</v>
      </c>
      <c r="CD1829" s="57" t="n">
        <f aca="false">ROUNDUP(H1829/BS1829,0)</f>
        <v>0</v>
      </c>
      <c r="CE1829" s="57" t="n">
        <f aca="false">ROUNDUP(CB1829/BS1829,0)</f>
        <v>0</v>
      </c>
      <c r="CF1829" s="60" t="n">
        <f aca="false">IF(BT1829=1,0,IFERROR(VLOOKUP(BR1829,'Gebinde-Kategorie'!$A$5:$M$45,5,0)+0,0))</f>
        <v>0</v>
      </c>
      <c r="CG1829" s="60" t="n">
        <f aca="false">IFERROR(IF(OR(BX1829=1,BX1829=2,BX1829=3),N(INDEX(Parameter!$I$5:$I$7,BX1829)),0),0)</f>
        <v>0</v>
      </c>
      <c r="CH1829" s="59" t="n">
        <f aca="false">IF(AND(Parameter!$B$21="Ja",ISNUMBER(W1829),N(X1829)&gt;0),IFERROR(N(INDEX(Parameter!$L$5:$L$7,W1829))*INDEX(Parameter!$E$5:$E$7,W1829)*X1829/SUMIFS($X$7:$X$1843,$W$7:$W$1843,W1829),0),0)</f>
        <v>0</v>
      </c>
    </row>
    <row r="1830" customFormat="false" ht="15" hidden="false" customHeight="false" outlineLevel="0" collapsed="false">
      <c r="A1830" s="55" t="str">
        <f aca="false">IF('Neue Artikel'!$A$91="","",'Neue Artikel'!$A$91&amp;"")</f>
        <v/>
      </c>
      <c r="B1830" s="55" t="str">
        <f aca="false">'Neue Artikel'!$B$91&amp;""</f>
        <v/>
      </c>
      <c r="C1830" s="55"/>
      <c r="D1830" s="55" t="s">
        <v>3015</v>
      </c>
      <c r="E1830" s="55"/>
      <c r="F1830" s="55"/>
      <c r="G1830" s="56" t="n">
        <f aca="false">N('Neue Artikel'!$G$91)</f>
        <v>0</v>
      </c>
      <c r="H1830" s="57" t="n">
        <f aca="false">MAX(0,IF(AND(Parameter!$B$21="Ja",ISNUMBER(Y1830)),Y1830,IF(Parameter!$B$20="Jahresanfang 2025 + Export",BL1830+BK1830,BK1830)))</f>
        <v>0</v>
      </c>
      <c r="I1830" s="57" t="n">
        <f aca="false">H1830*G1830</f>
        <v>0</v>
      </c>
      <c r="J1830" s="57" t="n">
        <f aca="false">BN1830*Parameter!$B$18</f>
        <v>0</v>
      </c>
      <c r="K1830" s="58"/>
      <c r="L1830" s="59"/>
      <c r="M1830" s="57" t="n">
        <f aca="false">N('Neue Artikel'!$E$91)</f>
        <v>0</v>
      </c>
      <c r="N1830" s="57" t="n">
        <f aca="false">N('Neue Artikel'!$F$91)</f>
        <v>0</v>
      </c>
      <c r="O1830" s="60"/>
      <c r="P1830" s="55" t="str">
        <f aca="false">IF('Neue Artikel'!$H$91="","LOSE",UPPER(TRIM('Neue Artikel'!$H$91)))</f>
        <v>LOSE</v>
      </c>
      <c r="Q1830" s="57" t="n">
        <f aca="false">N('Neue Artikel'!$I$91)</f>
        <v>0</v>
      </c>
      <c r="R1830" s="60" t="n">
        <f aca="false">IF(BT1830=1,0,IFERROR(VLOOKUP(BR1830,'Gebinde-Kategorie'!$A$5:$M$45,13,0)+0,0))</f>
        <v>0</v>
      </c>
      <c r="S1830" s="61"/>
      <c r="T1830" s="62"/>
      <c r="U1830" s="62"/>
      <c r="V1830" s="62"/>
      <c r="W1830" s="55"/>
      <c r="X1830" s="57"/>
      <c r="Y1830" s="57"/>
      <c r="Z1830" s="55" t="str">
        <f aca="false">IF(A1830="","",IF(AND(Parameter!$B$21="Ja",ISNUMBER(W1830)),W1830,IF(BV1830="2+3",IF(ISNUMBER(SEARCH("grosser Artikel",BO1830)),2,IFERROR(VLOOKUP(BR1830,Parameter!$F$35:$G$64,2,0),2)),IF(OR(BV1830="Nein",BV1830=""),"-",BV1830))))</f>
        <v/>
      </c>
      <c r="AA1830" s="55" t="str">
        <f aca="false">IF('Neue Artikel'!$J$91="","",'Neue Artikel'!$J$91)</f>
        <v/>
      </c>
      <c r="AB1830" s="63"/>
      <c r="AC1830" s="57" t="n">
        <f aca="false">AR1830</f>
        <v>0</v>
      </c>
      <c r="AD1830" s="57" t="n">
        <f aca="false">MAX(AR1830,H1830)</f>
        <v>0</v>
      </c>
      <c r="AE1830" s="64"/>
      <c r="AF1830" s="57" t="n">
        <f aca="false">IF(LEFT(Cockpit!$C$5,1)="A",H1830,IF(CA1830=1,CB1830,IF(LEFT(Cockpit!$C$5,1)="B",AJ1830,MAX(AJ1830,H1830))))</f>
        <v>0</v>
      </c>
      <c r="AG1830" s="57" t="n">
        <f aca="false">IF(BT1830=1,0,ROUNDUP(AF1830/BS1830,0))</f>
        <v>0</v>
      </c>
      <c r="AH1830" s="59" t="n">
        <f aca="false">IF(CH1830&gt;0,CH1830*MAX(1,AF1830/X1830),IF(BT1830=1,IF(AF1830&lt;=0,0,BW1830*MAX(1,IF(H1830&gt;0,AF1830/H1830,1))),IF(R1830&gt;0,AG1830/R1830,0))/MAX(0.1,N(Parameter!$M$21)))</f>
        <v>0</v>
      </c>
      <c r="AI1830" s="57" t="n">
        <f aca="false">AF1830*G1830</f>
        <v>0</v>
      </c>
      <c r="AJ1830" s="57" t="n">
        <f aca="false">ROUNDUP(MAX(J1830/IF(BZ1830&gt;0,BZ1830,MAX(0.1,N(Cockpit!$C$6))),CC1830)/BS1830,0)*BS1830</f>
        <v>0</v>
      </c>
      <c r="AK1830" s="58" t="n">
        <f aca="false">IF(AH1830&gt;0,J1830/AH1830,-1)</f>
        <v>-1</v>
      </c>
      <c r="AL1830" s="58" t="str">
        <f aca="false">IF(AND(OR(BY1830="L1",BY1830="L23"),AH1830&gt;0),SUMIFS($AH$7:$AH$1843,$BY$7:$BY$1843,BY1830,$AK$7:$AK$1843,"&gt;"&amp;AK1830)+SUMIFS($AH$7:$AH$1843,$BY$7:$BY$1843,BY1830,$AK$7:$AK$1843,AK1830,$BQ$7:$BQ$1843,"&lt;="&amp;BQ1830),"")</f>
        <v/>
      </c>
      <c r="AM1830" s="65" t="n">
        <f aca="false">IF(AL1830="",0,MAX(0,MIN(1,(IF(BY1830="L1",Parameter!$E$5,Parameter!$E$6+Parameter!$E$7)-(AL1830-AH1830))/AH1830)))</f>
        <v>0</v>
      </c>
      <c r="AN1830" s="57" t="n">
        <f aca="false">IF(LEFT(Cockpit!$I$5,1)="A",H1830,IF(CA1830=1,CB1830,IF(LEFT(Cockpit!$I$5,1)="B",AR1830,MAX(AR1830,H1830))))</f>
        <v>0</v>
      </c>
      <c r="AO1830" s="57" t="n">
        <f aca="false">IF(BT1830=1,0,ROUNDUP(AN1830/BS1830,0))</f>
        <v>0</v>
      </c>
      <c r="AP1830" s="59" t="n">
        <f aca="false">IF(CH1830&gt;0,CH1830*MAX(1,AN1830/X1830),IF(BT1830=1,IF(AN1830&lt;=0,0,BW1830*MAX(1,IF(H1830&gt;0,AN1830/H1830,1))),IF(R1830&gt;0,AO1830/R1830,0))/MAX(0.1,N(Parameter!$M$21)))</f>
        <v>0</v>
      </c>
      <c r="AQ1830" s="57" t="n">
        <f aca="false">AN1830*G1830</f>
        <v>0</v>
      </c>
      <c r="AR1830" s="57" t="n">
        <f aca="false">ROUNDUP(MAX(J1830/IF(BZ1830&gt;0,BZ1830,MAX(0.1,N(Cockpit!$I$6))),CC1830)/BS1830,0)*BS1830</f>
        <v>0</v>
      </c>
      <c r="AS1830" s="58" t="n">
        <f aca="false">IF(AP1830&gt;0,J1830/AP1830,-1)</f>
        <v>-1</v>
      </c>
      <c r="AT1830" s="58" t="str">
        <f aca="false">IF(AND(OR(BY1830="L1",BY1830="L23"),AP1830&gt;0),SUMIFS($AP$7:$AP$1843,$BY$7:$BY$1843,BY1830,$AS$7:$AS$1843,"&gt;"&amp;AS1830)+SUMIFS($AP$7:$AP$1843,$BY$7:$BY$1843,BY1830,$AS$7:$AS$1843,AS1830,$BQ$7:$BQ$1843,"&lt;="&amp;BQ1830),"")</f>
        <v/>
      </c>
      <c r="AU1830" s="65" t="n">
        <f aca="false">IF(AT1830="",0,MAX(0,MIN(1,(IF(BY1830="L1",Parameter!$E$5,Parameter!$E$6+Parameter!$E$7)-(AT1830-AP1830))/AP1830)))</f>
        <v>0</v>
      </c>
      <c r="AV1830" s="57" t="n">
        <f aca="false">IF(LEFT(Cockpit!$O$5,1)="A",H1830,IF(CA1830=1,CB1830,IF(LEFT(Cockpit!$O$5,1)="B",AZ1830,MAX(AZ1830,H1830))))</f>
        <v>0</v>
      </c>
      <c r="AW1830" s="57" t="n">
        <f aca="false">IF(BT1830=1,0,ROUNDUP(AV1830/BS1830,0))</f>
        <v>0</v>
      </c>
      <c r="AX1830" s="59" t="n">
        <f aca="false">IF(CH1830&gt;0,CH1830*MAX(1,AV1830/X1830),IF(BT1830=1,IF(AV1830&lt;=0,0,BW1830*MAX(1,IF(H1830&gt;0,AV1830/H1830,1))),IF(R1830&gt;0,AW1830/R1830,0))/MAX(0.1,N(Parameter!$M$21)))</f>
        <v>0</v>
      </c>
      <c r="AY1830" s="57" t="n">
        <f aca="false">AV1830*G1830</f>
        <v>0</v>
      </c>
      <c r="AZ1830" s="57" t="n">
        <f aca="false">ROUNDUP(MAX(J1830/IF(BZ1830&gt;0,BZ1830,MAX(0.1,N(Cockpit!$O$6))),CC1830)/BS1830,0)*BS1830</f>
        <v>0</v>
      </c>
      <c r="BA1830" s="58" t="n">
        <f aca="false">IF(AX1830&gt;0,J1830/AX1830,-1)</f>
        <v>-1</v>
      </c>
      <c r="BB1830" s="58" t="str">
        <f aca="false">IF(AND(OR(BY1830="L1",BY1830="L23"),AX1830&gt;0),SUMIFS($AX$7:$AX$1843,$BY$7:$BY$1843,BY1830,$BA$7:$BA$1843,"&gt;"&amp;BA1830)+SUMIFS($AX$7:$AX$1843,$BY$7:$BY$1843,BY1830,$BA$7:$BA$1843,BA1830,$BQ$7:$BQ$1843,"&lt;="&amp;BQ1830),"")</f>
        <v/>
      </c>
      <c r="BC1830" s="65" t="n">
        <f aca="false">IF(BB1830="",0,MAX(0,MIN(1,(IF(BY1830="L1",Parameter!$E$5,Parameter!$E$6+Parameter!$E$7)-(BB1830-AX1830))/AX1830)))</f>
        <v>0</v>
      </c>
      <c r="BD1830" s="55" t="str">
        <f aca="false">IF(AH1830&lt;=0,"",IF(BY1830="Aussen","Aussenlager",IF(BY1830="-","Nicht im Lift",IF(AM1830&gt;=1,"Lift",IF(AM1830&lt;=0,"Aussenlager","teilweise")))))</f>
        <v/>
      </c>
      <c r="BE1830" s="55" t="str">
        <f aca="false">IF(AP1830&lt;=0,"",IF(BY1830="Aussen","Aussenlager",IF(BY1830="-","Nicht im Lift",IF(AU1830&gt;=1,"Lift",IF(AU1830&lt;=0,"Aussenlager","teilweise")))))</f>
        <v/>
      </c>
      <c r="BF1830" s="55" t="str">
        <f aca="false">IF(AX1830&lt;=0,"",IF(BY1830="Aussen","Aussenlager",IF(BY1830="-","Nicht im Lift",IF(BC1830&gt;=1,"Lift",IF(BC1830&lt;=0,"Aussenlager","teilweise")))))</f>
        <v/>
      </c>
      <c r="BG1830" s="55" t="str">
        <f aca="false">IF(A1830="","",IF(BP1830=1,"Neu; ","")&amp;IF(AND(BP1830=0,BK1830&lt;0),"negativer Bestand (Export "&amp;BK1830&amp;"); ","")&amp;IF(J1830&lt;=0,"Kein Verbrauch; ","")&amp;IF(CH1830&gt;0,"Lift "&amp;W1830&amp;" lt. Liftbericht (Fach "&amp;X1830&amp;" Stk); ",IF(BU1830=1,"Gebinde geschätzt ("&amp;T1830&amp;"); ",IF(BT1830=1,"Lose – Tablare geschätzt; ","")))&amp;IF(H1830&gt;AR1830,"Überbestand "&amp;ROUND(H1830-AR1830,0)&amp;" Stk / CHF "&amp;ROUND((H1830-AR1830)*G1830,0)&amp;"; ","")&amp;IF(AND(CA1830=1,CB1830&lt;CC1830),"MAX &lt; MB+LG; ","")&amp;IF(AND(CG1830&gt;0,CF1830*10&gt;CG1830),"zu hoch für Tablar; ","")&amp;IF(AND(BP1830=0,OR(CA1830=1,AA1830&lt;&gt;"",U1830&lt;&gt;"",V1830&lt;&gt;"",AB1830&lt;&gt;"")),"manuell übersteuert; ","")&amp;IF(AND(BT1830=0,R1830=0),"Gebinde unbekannt / Stellmass fehlt; ","")&amp;IF(AND(BT1830=0,N(V1830)&lt;=0,N(Q1830)&lt;=0),"Menge pro Gebinde fehlt (Ist = 1 Gebinde); ","")&amp;BO1830)</f>
        <v/>
      </c>
      <c r="BH1830" s="55"/>
      <c r="BI1830" s="55"/>
      <c r="BJ1830" s="62"/>
      <c r="BK1830" s="57" t="n">
        <f aca="false">N('Neue Artikel'!$D$91)</f>
        <v>0</v>
      </c>
      <c r="BL1830" s="57" t="n">
        <v>0</v>
      </c>
      <c r="BM1830" s="56" t="n">
        <v>0</v>
      </c>
      <c r="BN1830" s="57" t="n">
        <f aca="false">N('Neue Artikel'!$C$91)/Parameter!$B$18</f>
        <v>0</v>
      </c>
      <c r="BO1830" s="55"/>
      <c r="BP1830" s="60" t="n">
        <v>1</v>
      </c>
      <c r="BQ1830" s="60" t="n">
        <v>1830</v>
      </c>
      <c r="BR1830" s="55" t="str">
        <f aca="false">IF(U1830&lt;&gt;"",UPPER(TRIM(U1830)),IF(BU1830=1,UPPER(VLOOKUP(T1830,Parameter!$I$27:$K$29,2,0)),IF(P1830="","LOSE",P1830)))</f>
        <v>LOSE</v>
      </c>
      <c r="BS1830" s="57" t="n">
        <f aca="false">IF(BR1830="LOSE",1,IF(N(V1830)&gt;0,V1830,IF(BU1830=1,MAX(1,N(VLOOKUP(T1830,Parameter!$I$27:$K$29,3,0)),H1830,N(N1830)),IF(N(Q1830)&gt;0,Q1830,MAX(1,H1830)))))</f>
        <v>1</v>
      </c>
      <c r="BT1830" s="60" t="n">
        <f aca="false">IF(BR1830="LOSE",1,0)</f>
        <v>1</v>
      </c>
      <c r="BU1830" s="60" t="n">
        <f aca="false">IF(AND(U1830="",OR(P1830="",P1830="LOSE"),T1830&lt;&gt;"",N(S1830)&lt;=0,ISNUMBER(MATCH(T1830,Parameter!$I$27:$I$29,0))),1,0)</f>
        <v>0</v>
      </c>
      <c r="BV1830" s="55" t="str">
        <f aca="false">IF(AND(Parameter!$B$19="Ja",E1830&lt;&gt;"",ISNUMBER(MATCH(E1830,Parameter!$I$35:$I$52,0))),VLOOKUP(E1830,Parameter!$I$35:$J$52,2,0),IFERROR(VLOOKUP(D1830,Parameter!$A$35:$C$64,2,0),"Nein"))</f>
        <v>2+3</v>
      </c>
      <c r="BW1830" s="59" t="n">
        <f aca="false">IF(BT1830=0,0,IF(N(S1830)&gt;0,S1830,IFERROR(VLOOKUP(D1830,Parameter!$A$35:$C$64,3,0)+0,0)))</f>
        <v>0.15</v>
      </c>
      <c r="BX1830" s="55" t="str">
        <f aca="false">IF(AA1830&lt;&gt;"",AA1830,Z1830)</f>
        <v/>
      </c>
      <c r="BY1830" s="55" t="str">
        <f aca="false">IF(BX1830=1,"L1",IF(OR(BX1830=2,BX1830=3),"L23",IF(BX1830="Aussen","Aussen","-")))</f>
        <v>-</v>
      </c>
      <c r="BZ1830" s="66" t="n">
        <f aca="false">IF(N(AB1830)&gt;0,AB1830,0)</f>
        <v>0</v>
      </c>
      <c r="CA1830" s="60" t="n">
        <f aca="false">IF(ISNUMBER(AE1830),1,0)</f>
        <v>0</v>
      </c>
      <c r="CB1830" s="57" t="n">
        <f aca="false">N(AE1830)</f>
        <v>0</v>
      </c>
      <c r="CC1830" s="57" t="n">
        <f aca="false">N(M1830)+N(N1830)</f>
        <v>0</v>
      </c>
      <c r="CD1830" s="57" t="n">
        <f aca="false">ROUNDUP(H1830/BS1830,0)</f>
        <v>0</v>
      </c>
      <c r="CE1830" s="57" t="n">
        <f aca="false">ROUNDUP(CB1830/BS1830,0)</f>
        <v>0</v>
      </c>
      <c r="CF1830" s="60" t="n">
        <f aca="false">IF(BT1830=1,0,IFERROR(VLOOKUP(BR1830,'Gebinde-Kategorie'!$A$5:$M$45,5,0)+0,0))</f>
        <v>0</v>
      </c>
      <c r="CG1830" s="60" t="n">
        <f aca="false">IFERROR(IF(OR(BX1830=1,BX1830=2,BX1830=3),N(INDEX(Parameter!$I$5:$I$7,BX1830)),0),0)</f>
        <v>0</v>
      </c>
      <c r="CH1830" s="59" t="n">
        <f aca="false">IF(AND(Parameter!$B$21="Ja",ISNUMBER(W1830),N(X1830)&gt;0),IFERROR(N(INDEX(Parameter!$L$5:$L$7,W1830))*INDEX(Parameter!$E$5:$E$7,W1830)*X1830/SUMIFS($X$7:$X$1843,$W$7:$W$1843,W1830),0),0)</f>
        <v>0</v>
      </c>
    </row>
    <row r="1831" customFormat="false" ht="15" hidden="false" customHeight="false" outlineLevel="0" collapsed="false">
      <c r="A1831" s="55" t="str">
        <f aca="false">IF('Neue Artikel'!$A$92="","",'Neue Artikel'!$A$92&amp;"")</f>
        <v/>
      </c>
      <c r="B1831" s="55" t="str">
        <f aca="false">'Neue Artikel'!$B$92&amp;""</f>
        <v/>
      </c>
      <c r="C1831" s="55"/>
      <c r="D1831" s="55" t="s">
        <v>3015</v>
      </c>
      <c r="E1831" s="55"/>
      <c r="F1831" s="55"/>
      <c r="G1831" s="56" t="n">
        <f aca="false">N('Neue Artikel'!$G$92)</f>
        <v>0</v>
      </c>
      <c r="H1831" s="57" t="n">
        <f aca="false">MAX(0,IF(AND(Parameter!$B$21="Ja",ISNUMBER(Y1831)),Y1831,IF(Parameter!$B$20="Jahresanfang 2025 + Export",BL1831+BK1831,BK1831)))</f>
        <v>0</v>
      </c>
      <c r="I1831" s="57" t="n">
        <f aca="false">H1831*G1831</f>
        <v>0</v>
      </c>
      <c r="J1831" s="57" t="n">
        <f aca="false">BN1831*Parameter!$B$18</f>
        <v>0</v>
      </c>
      <c r="K1831" s="58"/>
      <c r="L1831" s="59"/>
      <c r="M1831" s="57" t="n">
        <f aca="false">N('Neue Artikel'!$E$92)</f>
        <v>0</v>
      </c>
      <c r="N1831" s="57" t="n">
        <f aca="false">N('Neue Artikel'!$F$92)</f>
        <v>0</v>
      </c>
      <c r="O1831" s="60"/>
      <c r="P1831" s="55" t="str">
        <f aca="false">IF('Neue Artikel'!$H$92="","LOSE",UPPER(TRIM('Neue Artikel'!$H$92)))</f>
        <v>LOSE</v>
      </c>
      <c r="Q1831" s="57" t="n">
        <f aca="false">N('Neue Artikel'!$I$92)</f>
        <v>0</v>
      </c>
      <c r="R1831" s="60" t="n">
        <f aca="false">IF(BT1831=1,0,IFERROR(VLOOKUP(BR1831,'Gebinde-Kategorie'!$A$5:$M$45,13,0)+0,0))</f>
        <v>0</v>
      </c>
      <c r="S1831" s="61"/>
      <c r="T1831" s="62"/>
      <c r="U1831" s="62"/>
      <c r="V1831" s="62"/>
      <c r="W1831" s="55"/>
      <c r="X1831" s="57"/>
      <c r="Y1831" s="57"/>
      <c r="Z1831" s="55" t="str">
        <f aca="false">IF(A1831="","",IF(AND(Parameter!$B$21="Ja",ISNUMBER(W1831)),W1831,IF(BV1831="2+3",IF(ISNUMBER(SEARCH("grosser Artikel",BO1831)),2,IFERROR(VLOOKUP(BR1831,Parameter!$F$35:$G$64,2,0),2)),IF(OR(BV1831="Nein",BV1831=""),"-",BV1831))))</f>
        <v/>
      </c>
      <c r="AA1831" s="55" t="str">
        <f aca="false">IF('Neue Artikel'!$J$92="","",'Neue Artikel'!$J$92)</f>
        <v/>
      </c>
      <c r="AB1831" s="63"/>
      <c r="AC1831" s="57" t="n">
        <f aca="false">AR1831</f>
        <v>0</v>
      </c>
      <c r="AD1831" s="57" t="n">
        <f aca="false">MAX(AR1831,H1831)</f>
        <v>0</v>
      </c>
      <c r="AE1831" s="64"/>
      <c r="AF1831" s="57" t="n">
        <f aca="false">IF(LEFT(Cockpit!$C$5,1)="A",H1831,IF(CA1831=1,CB1831,IF(LEFT(Cockpit!$C$5,1)="B",AJ1831,MAX(AJ1831,H1831))))</f>
        <v>0</v>
      </c>
      <c r="AG1831" s="57" t="n">
        <f aca="false">IF(BT1831=1,0,ROUNDUP(AF1831/BS1831,0))</f>
        <v>0</v>
      </c>
      <c r="AH1831" s="59" t="n">
        <f aca="false">IF(CH1831&gt;0,CH1831*MAX(1,AF1831/X1831),IF(BT1831=1,IF(AF1831&lt;=0,0,BW1831*MAX(1,IF(H1831&gt;0,AF1831/H1831,1))),IF(R1831&gt;0,AG1831/R1831,0))/MAX(0.1,N(Parameter!$M$21)))</f>
        <v>0</v>
      </c>
      <c r="AI1831" s="57" t="n">
        <f aca="false">AF1831*G1831</f>
        <v>0</v>
      </c>
      <c r="AJ1831" s="57" t="n">
        <f aca="false">ROUNDUP(MAX(J1831/IF(BZ1831&gt;0,BZ1831,MAX(0.1,N(Cockpit!$C$6))),CC1831)/BS1831,0)*BS1831</f>
        <v>0</v>
      </c>
      <c r="AK1831" s="58" t="n">
        <f aca="false">IF(AH1831&gt;0,J1831/AH1831,-1)</f>
        <v>-1</v>
      </c>
      <c r="AL1831" s="58" t="str">
        <f aca="false">IF(AND(OR(BY1831="L1",BY1831="L23"),AH1831&gt;0),SUMIFS($AH$7:$AH$1843,$BY$7:$BY$1843,BY1831,$AK$7:$AK$1843,"&gt;"&amp;AK1831)+SUMIFS($AH$7:$AH$1843,$BY$7:$BY$1843,BY1831,$AK$7:$AK$1843,AK1831,$BQ$7:$BQ$1843,"&lt;="&amp;BQ1831),"")</f>
        <v/>
      </c>
      <c r="AM1831" s="65" t="n">
        <f aca="false">IF(AL1831="",0,MAX(0,MIN(1,(IF(BY1831="L1",Parameter!$E$5,Parameter!$E$6+Parameter!$E$7)-(AL1831-AH1831))/AH1831)))</f>
        <v>0</v>
      </c>
      <c r="AN1831" s="57" t="n">
        <f aca="false">IF(LEFT(Cockpit!$I$5,1)="A",H1831,IF(CA1831=1,CB1831,IF(LEFT(Cockpit!$I$5,1)="B",AR1831,MAX(AR1831,H1831))))</f>
        <v>0</v>
      </c>
      <c r="AO1831" s="57" t="n">
        <f aca="false">IF(BT1831=1,0,ROUNDUP(AN1831/BS1831,0))</f>
        <v>0</v>
      </c>
      <c r="AP1831" s="59" t="n">
        <f aca="false">IF(CH1831&gt;0,CH1831*MAX(1,AN1831/X1831),IF(BT1831=1,IF(AN1831&lt;=0,0,BW1831*MAX(1,IF(H1831&gt;0,AN1831/H1831,1))),IF(R1831&gt;0,AO1831/R1831,0))/MAX(0.1,N(Parameter!$M$21)))</f>
        <v>0</v>
      </c>
      <c r="AQ1831" s="57" t="n">
        <f aca="false">AN1831*G1831</f>
        <v>0</v>
      </c>
      <c r="AR1831" s="57" t="n">
        <f aca="false">ROUNDUP(MAX(J1831/IF(BZ1831&gt;0,BZ1831,MAX(0.1,N(Cockpit!$I$6))),CC1831)/BS1831,0)*BS1831</f>
        <v>0</v>
      </c>
      <c r="AS1831" s="58" t="n">
        <f aca="false">IF(AP1831&gt;0,J1831/AP1831,-1)</f>
        <v>-1</v>
      </c>
      <c r="AT1831" s="58" t="str">
        <f aca="false">IF(AND(OR(BY1831="L1",BY1831="L23"),AP1831&gt;0),SUMIFS($AP$7:$AP$1843,$BY$7:$BY$1843,BY1831,$AS$7:$AS$1843,"&gt;"&amp;AS1831)+SUMIFS($AP$7:$AP$1843,$BY$7:$BY$1843,BY1831,$AS$7:$AS$1843,AS1831,$BQ$7:$BQ$1843,"&lt;="&amp;BQ1831),"")</f>
        <v/>
      </c>
      <c r="AU1831" s="65" t="n">
        <f aca="false">IF(AT1831="",0,MAX(0,MIN(1,(IF(BY1831="L1",Parameter!$E$5,Parameter!$E$6+Parameter!$E$7)-(AT1831-AP1831))/AP1831)))</f>
        <v>0</v>
      </c>
      <c r="AV1831" s="57" t="n">
        <f aca="false">IF(LEFT(Cockpit!$O$5,1)="A",H1831,IF(CA1831=1,CB1831,IF(LEFT(Cockpit!$O$5,1)="B",AZ1831,MAX(AZ1831,H1831))))</f>
        <v>0</v>
      </c>
      <c r="AW1831" s="57" t="n">
        <f aca="false">IF(BT1831=1,0,ROUNDUP(AV1831/BS1831,0))</f>
        <v>0</v>
      </c>
      <c r="AX1831" s="59" t="n">
        <f aca="false">IF(CH1831&gt;0,CH1831*MAX(1,AV1831/X1831),IF(BT1831=1,IF(AV1831&lt;=0,0,BW1831*MAX(1,IF(H1831&gt;0,AV1831/H1831,1))),IF(R1831&gt;0,AW1831/R1831,0))/MAX(0.1,N(Parameter!$M$21)))</f>
        <v>0</v>
      </c>
      <c r="AY1831" s="57" t="n">
        <f aca="false">AV1831*G1831</f>
        <v>0</v>
      </c>
      <c r="AZ1831" s="57" t="n">
        <f aca="false">ROUNDUP(MAX(J1831/IF(BZ1831&gt;0,BZ1831,MAX(0.1,N(Cockpit!$O$6))),CC1831)/BS1831,0)*BS1831</f>
        <v>0</v>
      </c>
      <c r="BA1831" s="58" t="n">
        <f aca="false">IF(AX1831&gt;0,J1831/AX1831,-1)</f>
        <v>-1</v>
      </c>
      <c r="BB1831" s="58" t="str">
        <f aca="false">IF(AND(OR(BY1831="L1",BY1831="L23"),AX1831&gt;0),SUMIFS($AX$7:$AX$1843,$BY$7:$BY$1843,BY1831,$BA$7:$BA$1843,"&gt;"&amp;BA1831)+SUMIFS($AX$7:$AX$1843,$BY$7:$BY$1843,BY1831,$BA$7:$BA$1843,BA1831,$BQ$7:$BQ$1843,"&lt;="&amp;BQ1831),"")</f>
        <v/>
      </c>
      <c r="BC1831" s="65" t="n">
        <f aca="false">IF(BB1831="",0,MAX(0,MIN(1,(IF(BY1831="L1",Parameter!$E$5,Parameter!$E$6+Parameter!$E$7)-(BB1831-AX1831))/AX1831)))</f>
        <v>0</v>
      </c>
      <c r="BD1831" s="55" t="str">
        <f aca="false">IF(AH1831&lt;=0,"",IF(BY1831="Aussen","Aussenlager",IF(BY1831="-","Nicht im Lift",IF(AM1831&gt;=1,"Lift",IF(AM1831&lt;=0,"Aussenlager","teilweise")))))</f>
        <v/>
      </c>
      <c r="BE1831" s="55" t="str">
        <f aca="false">IF(AP1831&lt;=0,"",IF(BY1831="Aussen","Aussenlager",IF(BY1831="-","Nicht im Lift",IF(AU1831&gt;=1,"Lift",IF(AU1831&lt;=0,"Aussenlager","teilweise")))))</f>
        <v/>
      </c>
      <c r="BF1831" s="55" t="str">
        <f aca="false">IF(AX1831&lt;=0,"",IF(BY1831="Aussen","Aussenlager",IF(BY1831="-","Nicht im Lift",IF(BC1831&gt;=1,"Lift",IF(BC1831&lt;=0,"Aussenlager","teilweise")))))</f>
        <v/>
      </c>
      <c r="BG1831" s="55" t="str">
        <f aca="false">IF(A1831="","",IF(BP1831=1,"Neu; ","")&amp;IF(AND(BP1831=0,BK1831&lt;0),"negativer Bestand (Export "&amp;BK1831&amp;"); ","")&amp;IF(J1831&lt;=0,"Kein Verbrauch; ","")&amp;IF(CH1831&gt;0,"Lift "&amp;W1831&amp;" lt. Liftbericht (Fach "&amp;X1831&amp;" Stk); ",IF(BU1831=1,"Gebinde geschätzt ("&amp;T1831&amp;"); ",IF(BT1831=1,"Lose – Tablare geschätzt; ","")))&amp;IF(H1831&gt;AR1831,"Überbestand "&amp;ROUND(H1831-AR1831,0)&amp;" Stk / CHF "&amp;ROUND((H1831-AR1831)*G1831,0)&amp;"; ","")&amp;IF(AND(CA1831=1,CB1831&lt;CC1831),"MAX &lt; MB+LG; ","")&amp;IF(AND(CG1831&gt;0,CF1831*10&gt;CG1831),"zu hoch für Tablar; ","")&amp;IF(AND(BP1831=0,OR(CA1831=1,AA1831&lt;&gt;"",U1831&lt;&gt;"",V1831&lt;&gt;"",AB1831&lt;&gt;"")),"manuell übersteuert; ","")&amp;IF(AND(BT1831=0,R1831=0),"Gebinde unbekannt / Stellmass fehlt; ","")&amp;IF(AND(BT1831=0,N(V1831)&lt;=0,N(Q1831)&lt;=0),"Menge pro Gebinde fehlt (Ist = 1 Gebinde); ","")&amp;BO1831)</f>
        <v/>
      </c>
      <c r="BH1831" s="55"/>
      <c r="BI1831" s="55"/>
      <c r="BJ1831" s="62"/>
      <c r="BK1831" s="57" t="n">
        <f aca="false">N('Neue Artikel'!$D$92)</f>
        <v>0</v>
      </c>
      <c r="BL1831" s="57" t="n">
        <v>0</v>
      </c>
      <c r="BM1831" s="56" t="n">
        <v>0</v>
      </c>
      <c r="BN1831" s="57" t="n">
        <f aca="false">N('Neue Artikel'!$C$92)/Parameter!$B$18</f>
        <v>0</v>
      </c>
      <c r="BO1831" s="55"/>
      <c r="BP1831" s="60" t="n">
        <v>1</v>
      </c>
      <c r="BQ1831" s="60" t="n">
        <v>1831</v>
      </c>
      <c r="BR1831" s="55" t="str">
        <f aca="false">IF(U1831&lt;&gt;"",UPPER(TRIM(U1831)),IF(BU1831=1,UPPER(VLOOKUP(T1831,Parameter!$I$27:$K$29,2,0)),IF(P1831="","LOSE",P1831)))</f>
        <v>LOSE</v>
      </c>
      <c r="BS1831" s="57" t="n">
        <f aca="false">IF(BR1831="LOSE",1,IF(N(V1831)&gt;0,V1831,IF(BU1831=1,MAX(1,N(VLOOKUP(T1831,Parameter!$I$27:$K$29,3,0)),H1831,N(N1831)),IF(N(Q1831)&gt;0,Q1831,MAX(1,H1831)))))</f>
        <v>1</v>
      </c>
      <c r="BT1831" s="60" t="n">
        <f aca="false">IF(BR1831="LOSE",1,0)</f>
        <v>1</v>
      </c>
      <c r="BU1831" s="60" t="n">
        <f aca="false">IF(AND(U1831="",OR(P1831="",P1831="LOSE"),T1831&lt;&gt;"",N(S1831)&lt;=0,ISNUMBER(MATCH(T1831,Parameter!$I$27:$I$29,0))),1,0)</f>
        <v>0</v>
      </c>
      <c r="BV1831" s="55" t="str">
        <f aca="false">IF(AND(Parameter!$B$19="Ja",E1831&lt;&gt;"",ISNUMBER(MATCH(E1831,Parameter!$I$35:$I$52,0))),VLOOKUP(E1831,Parameter!$I$35:$J$52,2,0),IFERROR(VLOOKUP(D1831,Parameter!$A$35:$C$64,2,0),"Nein"))</f>
        <v>2+3</v>
      </c>
      <c r="BW1831" s="59" t="n">
        <f aca="false">IF(BT1831=0,0,IF(N(S1831)&gt;0,S1831,IFERROR(VLOOKUP(D1831,Parameter!$A$35:$C$64,3,0)+0,0)))</f>
        <v>0.15</v>
      </c>
      <c r="BX1831" s="55" t="str">
        <f aca="false">IF(AA1831&lt;&gt;"",AA1831,Z1831)</f>
        <v/>
      </c>
      <c r="BY1831" s="55" t="str">
        <f aca="false">IF(BX1831=1,"L1",IF(OR(BX1831=2,BX1831=3),"L23",IF(BX1831="Aussen","Aussen","-")))</f>
        <v>-</v>
      </c>
      <c r="BZ1831" s="66" t="n">
        <f aca="false">IF(N(AB1831)&gt;0,AB1831,0)</f>
        <v>0</v>
      </c>
      <c r="CA1831" s="60" t="n">
        <f aca="false">IF(ISNUMBER(AE1831),1,0)</f>
        <v>0</v>
      </c>
      <c r="CB1831" s="57" t="n">
        <f aca="false">N(AE1831)</f>
        <v>0</v>
      </c>
      <c r="CC1831" s="57" t="n">
        <f aca="false">N(M1831)+N(N1831)</f>
        <v>0</v>
      </c>
      <c r="CD1831" s="57" t="n">
        <f aca="false">ROUNDUP(H1831/BS1831,0)</f>
        <v>0</v>
      </c>
      <c r="CE1831" s="57" t="n">
        <f aca="false">ROUNDUP(CB1831/BS1831,0)</f>
        <v>0</v>
      </c>
      <c r="CF1831" s="60" t="n">
        <f aca="false">IF(BT1831=1,0,IFERROR(VLOOKUP(BR1831,'Gebinde-Kategorie'!$A$5:$M$45,5,0)+0,0))</f>
        <v>0</v>
      </c>
      <c r="CG1831" s="60" t="n">
        <f aca="false">IFERROR(IF(OR(BX1831=1,BX1831=2,BX1831=3),N(INDEX(Parameter!$I$5:$I$7,BX1831)),0),0)</f>
        <v>0</v>
      </c>
      <c r="CH1831" s="59" t="n">
        <f aca="false">IF(AND(Parameter!$B$21="Ja",ISNUMBER(W1831),N(X1831)&gt;0),IFERROR(N(INDEX(Parameter!$L$5:$L$7,W1831))*INDEX(Parameter!$E$5:$E$7,W1831)*X1831/SUMIFS($X$7:$X$1843,$W$7:$W$1843,W1831),0),0)</f>
        <v>0</v>
      </c>
    </row>
    <row r="1832" customFormat="false" ht="15" hidden="false" customHeight="false" outlineLevel="0" collapsed="false">
      <c r="A1832" s="55" t="str">
        <f aca="false">IF('Neue Artikel'!$A$93="","",'Neue Artikel'!$A$93&amp;"")</f>
        <v/>
      </c>
      <c r="B1832" s="55" t="str">
        <f aca="false">'Neue Artikel'!$B$93&amp;""</f>
        <v/>
      </c>
      <c r="C1832" s="55"/>
      <c r="D1832" s="55" t="s">
        <v>3015</v>
      </c>
      <c r="E1832" s="55"/>
      <c r="F1832" s="55"/>
      <c r="G1832" s="56" t="n">
        <f aca="false">N('Neue Artikel'!$G$93)</f>
        <v>0</v>
      </c>
      <c r="H1832" s="57" t="n">
        <f aca="false">MAX(0,IF(AND(Parameter!$B$21="Ja",ISNUMBER(Y1832)),Y1832,IF(Parameter!$B$20="Jahresanfang 2025 + Export",BL1832+BK1832,BK1832)))</f>
        <v>0</v>
      </c>
      <c r="I1832" s="57" t="n">
        <f aca="false">H1832*G1832</f>
        <v>0</v>
      </c>
      <c r="J1832" s="57" t="n">
        <f aca="false">BN1832*Parameter!$B$18</f>
        <v>0</v>
      </c>
      <c r="K1832" s="58"/>
      <c r="L1832" s="59"/>
      <c r="M1832" s="57" t="n">
        <f aca="false">N('Neue Artikel'!$E$93)</f>
        <v>0</v>
      </c>
      <c r="N1832" s="57" t="n">
        <f aca="false">N('Neue Artikel'!$F$93)</f>
        <v>0</v>
      </c>
      <c r="O1832" s="60"/>
      <c r="P1832" s="55" t="str">
        <f aca="false">IF('Neue Artikel'!$H$93="","LOSE",UPPER(TRIM('Neue Artikel'!$H$93)))</f>
        <v>LOSE</v>
      </c>
      <c r="Q1832" s="57" t="n">
        <f aca="false">N('Neue Artikel'!$I$93)</f>
        <v>0</v>
      </c>
      <c r="R1832" s="60" t="n">
        <f aca="false">IF(BT1832=1,0,IFERROR(VLOOKUP(BR1832,'Gebinde-Kategorie'!$A$5:$M$45,13,0)+0,0))</f>
        <v>0</v>
      </c>
      <c r="S1832" s="61"/>
      <c r="T1832" s="62"/>
      <c r="U1832" s="62"/>
      <c r="V1832" s="62"/>
      <c r="W1832" s="55"/>
      <c r="X1832" s="57"/>
      <c r="Y1832" s="57"/>
      <c r="Z1832" s="55" t="str">
        <f aca="false">IF(A1832="","",IF(AND(Parameter!$B$21="Ja",ISNUMBER(W1832)),W1832,IF(BV1832="2+3",IF(ISNUMBER(SEARCH("grosser Artikel",BO1832)),2,IFERROR(VLOOKUP(BR1832,Parameter!$F$35:$G$64,2,0),2)),IF(OR(BV1832="Nein",BV1832=""),"-",BV1832))))</f>
        <v/>
      </c>
      <c r="AA1832" s="55" t="str">
        <f aca="false">IF('Neue Artikel'!$J$93="","",'Neue Artikel'!$J$93)</f>
        <v/>
      </c>
      <c r="AB1832" s="63"/>
      <c r="AC1832" s="57" t="n">
        <f aca="false">AR1832</f>
        <v>0</v>
      </c>
      <c r="AD1832" s="57" t="n">
        <f aca="false">MAX(AR1832,H1832)</f>
        <v>0</v>
      </c>
      <c r="AE1832" s="64"/>
      <c r="AF1832" s="57" t="n">
        <f aca="false">IF(LEFT(Cockpit!$C$5,1)="A",H1832,IF(CA1832=1,CB1832,IF(LEFT(Cockpit!$C$5,1)="B",AJ1832,MAX(AJ1832,H1832))))</f>
        <v>0</v>
      </c>
      <c r="AG1832" s="57" t="n">
        <f aca="false">IF(BT1832=1,0,ROUNDUP(AF1832/BS1832,0))</f>
        <v>0</v>
      </c>
      <c r="AH1832" s="59" t="n">
        <f aca="false">IF(CH1832&gt;0,CH1832*MAX(1,AF1832/X1832),IF(BT1832=1,IF(AF1832&lt;=0,0,BW1832*MAX(1,IF(H1832&gt;0,AF1832/H1832,1))),IF(R1832&gt;0,AG1832/R1832,0))/MAX(0.1,N(Parameter!$M$21)))</f>
        <v>0</v>
      </c>
      <c r="AI1832" s="57" t="n">
        <f aca="false">AF1832*G1832</f>
        <v>0</v>
      </c>
      <c r="AJ1832" s="57" t="n">
        <f aca="false">ROUNDUP(MAX(J1832/IF(BZ1832&gt;0,BZ1832,MAX(0.1,N(Cockpit!$C$6))),CC1832)/BS1832,0)*BS1832</f>
        <v>0</v>
      </c>
      <c r="AK1832" s="58" t="n">
        <f aca="false">IF(AH1832&gt;0,J1832/AH1832,-1)</f>
        <v>-1</v>
      </c>
      <c r="AL1832" s="58" t="str">
        <f aca="false">IF(AND(OR(BY1832="L1",BY1832="L23"),AH1832&gt;0),SUMIFS($AH$7:$AH$1843,$BY$7:$BY$1843,BY1832,$AK$7:$AK$1843,"&gt;"&amp;AK1832)+SUMIFS($AH$7:$AH$1843,$BY$7:$BY$1843,BY1832,$AK$7:$AK$1843,AK1832,$BQ$7:$BQ$1843,"&lt;="&amp;BQ1832),"")</f>
        <v/>
      </c>
      <c r="AM1832" s="65" t="n">
        <f aca="false">IF(AL1832="",0,MAX(0,MIN(1,(IF(BY1832="L1",Parameter!$E$5,Parameter!$E$6+Parameter!$E$7)-(AL1832-AH1832))/AH1832)))</f>
        <v>0</v>
      </c>
      <c r="AN1832" s="57" t="n">
        <f aca="false">IF(LEFT(Cockpit!$I$5,1)="A",H1832,IF(CA1832=1,CB1832,IF(LEFT(Cockpit!$I$5,1)="B",AR1832,MAX(AR1832,H1832))))</f>
        <v>0</v>
      </c>
      <c r="AO1832" s="57" t="n">
        <f aca="false">IF(BT1832=1,0,ROUNDUP(AN1832/BS1832,0))</f>
        <v>0</v>
      </c>
      <c r="AP1832" s="59" t="n">
        <f aca="false">IF(CH1832&gt;0,CH1832*MAX(1,AN1832/X1832),IF(BT1832=1,IF(AN1832&lt;=0,0,BW1832*MAX(1,IF(H1832&gt;0,AN1832/H1832,1))),IF(R1832&gt;0,AO1832/R1832,0))/MAX(0.1,N(Parameter!$M$21)))</f>
        <v>0</v>
      </c>
      <c r="AQ1832" s="57" t="n">
        <f aca="false">AN1832*G1832</f>
        <v>0</v>
      </c>
      <c r="AR1832" s="57" t="n">
        <f aca="false">ROUNDUP(MAX(J1832/IF(BZ1832&gt;0,BZ1832,MAX(0.1,N(Cockpit!$I$6))),CC1832)/BS1832,0)*BS1832</f>
        <v>0</v>
      </c>
      <c r="AS1832" s="58" t="n">
        <f aca="false">IF(AP1832&gt;0,J1832/AP1832,-1)</f>
        <v>-1</v>
      </c>
      <c r="AT1832" s="58" t="str">
        <f aca="false">IF(AND(OR(BY1832="L1",BY1832="L23"),AP1832&gt;0),SUMIFS($AP$7:$AP$1843,$BY$7:$BY$1843,BY1832,$AS$7:$AS$1843,"&gt;"&amp;AS1832)+SUMIFS($AP$7:$AP$1843,$BY$7:$BY$1843,BY1832,$AS$7:$AS$1843,AS1832,$BQ$7:$BQ$1843,"&lt;="&amp;BQ1832),"")</f>
        <v/>
      </c>
      <c r="AU1832" s="65" t="n">
        <f aca="false">IF(AT1832="",0,MAX(0,MIN(1,(IF(BY1832="L1",Parameter!$E$5,Parameter!$E$6+Parameter!$E$7)-(AT1832-AP1832))/AP1832)))</f>
        <v>0</v>
      </c>
      <c r="AV1832" s="57" t="n">
        <f aca="false">IF(LEFT(Cockpit!$O$5,1)="A",H1832,IF(CA1832=1,CB1832,IF(LEFT(Cockpit!$O$5,1)="B",AZ1832,MAX(AZ1832,H1832))))</f>
        <v>0</v>
      </c>
      <c r="AW1832" s="57" t="n">
        <f aca="false">IF(BT1832=1,0,ROUNDUP(AV1832/BS1832,0))</f>
        <v>0</v>
      </c>
      <c r="AX1832" s="59" t="n">
        <f aca="false">IF(CH1832&gt;0,CH1832*MAX(1,AV1832/X1832),IF(BT1832=1,IF(AV1832&lt;=0,0,BW1832*MAX(1,IF(H1832&gt;0,AV1832/H1832,1))),IF(R1832&gt;0,AW1832/R1832,0))/MAX(0.1,N(Parameter!$M$21)))</f>
        <v>0</v>
      </c>
      <c r="AY1832" s="57" t="n">
        <f aca="false">AV1832*G1832</f>
        <v>0</v>
      </c>
      <c r="AZ1832" s="57" t="n">
        <f aca="false">ROUNDUP(MAX(J1832/IF(BZ1832&gt;0,BZ1832,MAX(0.1,N(Cockpit!$O$6))),CC1832)/BS1832,0)*BS1832</f>
        <v>0</v>
      </c>
      <c r="BA1832" s="58" t="n">
        <f aca="false">IF(AX1832&gt;0,J1832/AX1832,-1)</f>
        <v>-1</v>
      </c>
      <c r="BB1832" s="58" t="str">
        <f aca="false">IF(AND(OR(BY1832="L1",BY1832="L23"),AX1832&gt;0),SUMIFS($AX$7:$AX$1843,$BY$7:$BY$1843,BY1832,$BA$7:$BA$1843,"&gt;"&amp;BA1832)+SUMIFS($AX$7:$AX$1843,$BY$7:$BY$1843,BY1832,$BA$7:$BA$1843,BA1832,$BQ$7:$BQ$1843,"&lt;="&amp;BQ1832),"")</f>
        <v/>
      </c>
      <c r="BC1832" s="65" t="n">
        <f aca="false">IF(BB1832="",0,MAX(0,MIN(1,(IF(BY1832="L1",Parameter!$E$5,Parameter!$E$6+Parameter!$E$7)-(BB1832-AX1832))/AX1832)))</f>
        <v>0</v>
      </c>
      <c r="BD1832" s="55" t="str">
        <f aca="false">IF(AH1832&lt;=0,"",IF(BY1832="Aussen","Aussenlager",IF(BY1832="-","Nicht im Lift",IF(AM1832&gt;=1,"Lift",IF(AM1832&lt;=0,"Aussenlager","teilweise")))))</f>
        <v/>
      </c>
      <c r="BE1832" s="55" t="str">
        <f aca="false">IF(AP1832&lt;=0,"",IF(BY1832="Aussen","Aussenlager",IF(BY1832="-","Nicht im Lift",IF(AU1832&gt;=1,"Lift",IF(AU1832&lt;=0,"Aussenlager","teilweise")))))</f>
        <v/>
      </c>
      <c r="BF1832" s="55" t="str">
        <f aca="false">IF(AX1832&lt;=0,"",IF(BY1832="Aussen","Aussenlager",IF(BY1832="-","Nicht im Lift",IF(BC1832&gt;=1,"Lift",IF(BC1832&lt;=0,"Aussenlager","teilweise")))))</f>
        <v/>
      </c>
      <c r="BG1832" s="55" t="str">
        <f aca="false">IF(A1832="","",IF(BP1832=1,"Neu; ","")&amp;IF(AND(BP1832=0,BK1832&lt;0),"negativer Bestand (Export "&amp;BK1832&amp;"); ","")&amp;IF(J1832&lt;=0,"Kein Verbrauch; ","")&amp;IF(CH1832&gt;0,"Lift "&amp;W1832&amp;" lt. Liftbericht (Fach "&amp;X1832&amp;" Stk); ",IF(BU1832=1,"Gebinde geschätzt ("&amp;T1832&amp;"); ",IF(BT1832=1,"Lose – Tablare geschätzt; ","")))&amp;IF(H1832&gt;AR1832,"Überbestand "&amp;ROUND(H1832-AR1832,0)&amp;" Stk / CHF "&amp;ROUND((H1832-AR1832)*G1832,0)&amp;"; ","")&amp;IF(AND(CA1832=1,CB1832&lt;CC1832),"MAX &lt; MB+LG; ","")&amp;IF(AND(CG1832&gt;0,CF1832*10&gt;CG1832),"zu hoch für Tablar; ","")&amp;IF(AND(BP1832=0,OR(CA1832=1,AA1832&lt;&gt;"",U1832&lt;&gt;"",V1832&lt;&gt;"",AB1832&lt;&gt;"")),"manuell übersteuert; ","")&amp;IF(AND(BT1832=0,R1832=0),"Gebinde unbekannt / Stellmass fehlt; ","")&amp;IF(AND(BT1832=0,N(V1832)&lt;=0,N(Q1832)&lt;=0),"Menge pro Gebinde fehlt (Ist = 1 Gebinde); ","")&amp;BO1832)</f>
        <v/>
      </c>
      <c r="BH1832" s="55"/>
      <c r="BI1832" s="55"/>
      <c r="BJ1832" s="62"/>
      <c r="BK1832" s="57" t="n">
        <f aca="false">N('Neue Artikel'!$D$93)</f>
        <v>0</v>
      </c>
      <c r="BL1832" s="57" t="n">
        <v>0</v>
      </c>
      <c r="BM1832" s="56" t="n">
        <v>0</v>
      </c>
      <c r="BN1832" s="57" t="n">
        <f aca="false">N('Neue Artikel'!$C$93)/Parameter!$B$18</f>
        <v>0</v>
      </c>
      <c r="BO1832" s="55"/>
      <c r="BP1832" s="60" t="n">
        <v>1</v>
      </c>
      <c r="BQ1832" s="60" t="n">
        <v>1832</v>
      </c>
      <c r="BR1832" s="55" t="str">
        <f aca="false">IF(U1832&lt;&gt;"",UPPER(TRIM(U1832)),IF(BU1832=1,UPPER(VLOOKUP(T1832,Parameter!$I$27:$K$29,2,0)),IF(P1832="","LOSE",P1832)))</f>
        <v>LOSE</v>
      </c>
      <c r="BS1832" s="57" t="n">
        <f aca="false">IF(BR1832="LOSE",1,IF(N(V1832)&gt;0,V1832,IF(BU1832=1,MAX(1,N(VLOOKUP(T1832,Parameter!$I$27:$K$29,3,0)),H1832,N(N1832)),IF(N(Q1832)&gt;0,Q1832,MAX(1,H1832)))))</f>
        <v>1</v>
      </c>
      <c r="BT1832" s="60" t="n">
        <f aca="false">IF(BR1832="LOSE",1,0)</f>
        <v>1</v>
      </c>
      <c r="BU1832" s="60" t="n">
        <f aca="false">IF(AND(U1832="",OR(P1832="",P1832="LOSE"),T1832&lt;&gt;"",N(S1832)&lt;=0,ISNUMBER(MATCH(T1832,Parameter!$I$27:$I$29,0))),1,0)</f>
        <v>0</v>
      </c>
      <c r="BV1832" s="55" t="str">
        <f aca="false">IF(AND(Parameter!$B$19="Ja",E1832&lt;&gt;"",ISNUMBER(MATCH(E1832,Parameter!$I$35:$I$52,0))),VLOOKUP(E1832,Parameter!$I$35:$J$52,2,0),IFERROR(VLOOKUP(D1832,Parameter!$A$35:$C$64,2,0),"Nein"))</f>
        <v>2+3</v>
      </c>
      <c r="BW1832" s="59" t="n">
        <f aca="false">IF(BT1832=0,0,IF(N(S1832)&gt;0,S1832,IFERROR(VLOOKUP(D1832,Parameter!$A$35:$C$64,3,0)+0,0)))</f>
        <v>0.15</v>
      </c>
      <c r="BX1832" s="55" t="str">
        <f aca="false">IF(AA1832&lt;&gt;"",AA1832,Z1832)</f>
        <v/>
      </c>
      <c r="BY1832" s="55" t="str">
        <f aca="false">IF(BX1832=1,"L1",IF(OR(BX1832=2,BX1832=3),"L23",IF(BX1832="Aussen","Aussen","-")))</f>
        <v>-</v>
      </c>
      <c r="BZ1832" s="66" t="n">
        <f aca="false">IF(N(AB1832)&gt;0,AB1832,0)</f>
        <v>0</v>
      </c>
      <c r="CA1832" s="60" t="n">
        <f aca="false">IF(ISNUMBER(AE1832),1,0)</f>
        <v>0</v>
      </c>
      <c r="CB1832" s="57" t="n">
        <f aca="false">N(AE1832)</f>
        <v>0</v>
      </c>
      <c r="CC1832" s="57" t="n">
        <f aca="false">N(M1832)+N(N1832)</f>
        <v>0</v>
      </c>
      <c r="CD1832" s="57" t="n">
        <f aca="false">ROUNDUP(H1832/BS1832,0)</f>
        <v>0</v>
      </c>
      <c r="CE1832" s="57" t="n">
        <f aca="false">ROUNDUP(CB1832/BS1832,0)</f>
        <v>0</v>
      </c>
      <c r="CF1832" s="60" t="n">
        <f aca="false">IF(BT1832=1,0,IFERROR(VLOOKUP(BR1832,'Gebinde-Kategorie'!$A$5:$M$45,5,0)+0,0))</f>
        <v>0</v>
      </c>
      <c r="CG1832" s="60" t="n">
        <f aca="false">IFERROR(IF(OR(BX1832=1,BX1832=2,BX1832=3),N(INDEX(Parameter!$I$5:$I$7,BX1832)),0),0)</f>
        <v>0</v>
      </c>
      <c r="CH1832" s="59" t="n">
        <f aca="false">IF(AND(Parameter!$B$21="Ja",ISNUMBER(W1832),N(X1832)&gt;0),IFERROR(N(INDEX(Parameter!$L$5:$L$7,W1832))*INDEX(Parameter!$E$5:$E$7,W1832)*X1832/SUMIFS($X$7:$X$1843,$W$7:$W$1843,W1832),0),0)</f>
        <v>0</v>
      </c>
    </row>
    <row r="1833" customFormat="false" ht="15" hidden="false" customHeight="false" outlineLevel="0" collapsed="false">
      <c r="A1833" s="55" t="str">
        <f aca="false">IF('Neue Artikel'!$A$94="","",'Neue Artikel'!$A$94&amp;"")</f>
        <v/>
      </c>
      <c r="B1833" s="55" t="str">
        <f aca="false">'Neue Artikel'!$B$94&amp;""</f>
        <v/>
      </c>
      <c r="C1833" s="55"/>
      <c r="D1833" s="55" t="s">
        <v>3015</v>
      </c>
      <c r="E1833" s="55"/>
      <c r="F1833" s="55"/>
      <c r="G1833" s="56" t="n">
        <f aca="false">N('Neue Artikel'!$G$94)</f>
        <v>0</v>
      </c>
      <c r="H1833" s="57" t="n">
        <f aca="false">MAX(0,IF(AND(Parameter!$B$21="Ja",ISNUMBER(Y1833)),Y1833,IF(Parameter!$B$20="Jahresanfang 2025 + Export",BL1833+BK1833,BK1833)))</f>
        <v>0</v>
      </c>
      <c r="I1833" s="57" t="n">
        <f aca="false">H1833*G1833</f>
        <v>0</v>
      </c>
      <c r="J1833" s="57" t="n">
        <f aca="false">BN1833*Parameter!$B$18</f>
        <v>0</v>
      </c>
      <c r="K1833" s="58"/>
      <c r="L1833" s="59"/>
      <c r="M1833" s="57" t="n">
        <f aca="false">N('Neue Artikel'!$E$94)</f>
        <v>0</v>
      </c>
      <c r="N1833" s="57" t="n">
        <f aca="false">N('Neue Artikel'!$F$94)</f>
        <v>0</v>
      </c>
      <c r="O1833" s="60"/>
      <c r="P1833" s="55" t="str">
        <f aca="false">IF('Neue Artikel'!$H$94="","LOSE",UPPER(TRIM('Neue Artikel'!$H$94)))</f>
        <v>LOSE</v>
      </c>
      <c r="Q1833" s="57" t="n">
        <f aca="false">N('Neue Artikel'!$I$94)</f>
        <v>0</v>
      </c>
      <c r="R1833" s="60" t="n">
        <f aca="false">IF(BT1833=1,0,IFERROR(VLOOKUP(BR1833,'Gebinde-Kategorie'!$A$5:$M$45,13,0)+0,0))</f>
        <v>0</v>
      </c>
      <c r="S1833" s="61"/>
      <c r="T1833" s="62"/>
      <c r="U1833" s="62"/>
      <c r="V1833" s="62"/>
      <c r="W1833" s="55"/>
      <c r="X1833" s="57"/>
      <c r="Y1833" s="57"/>
      <c r="Z1833" s="55" t="str">
        <f aca="false">IF(A1833="","",IF(AND(Parameter!$B$21="Ja",ISNUMBER(W1833)),W1833,IF(BV1833="2+3",IF(ISNUMBER(SEARCH("grosser Artikel",BO1833)),2,IFERROR(VLOOKUP(BR1833,Parameter!$F$35:$G$64,2,0),2)),IF(OR(BV1833="Nein",BV1833=""),"-",BV1833))))</f>
        <v/>
      </c>
      <c r="AA1833" s="55" t="str">
        <f aca="false">IF('Neue Artikel'!$J$94="","",'Neue Artikel'!$J$94)</f>
        <v/>
      </c>
      <c r="AB1833" s="63"/>
      <c r="AC1833" s="57" t="n">
        <f aca="false">AR1833</f>
        <v>0</v>
      </c>
      <c r="AD1833" s="57" t="n">
        <f aca="false">MAX(AR1833,H1833)</f>
        <v>0</v>
      </c>
      <c r="AE1833" s="64"/>
      <c r="AF1833" s="57" t="n">
        <f aca="false">IF(LEFT(Cockpit!$C$5,1)="A",H1833,IF(CA1833=1,CB1833,IF(LEFT(Cockpit!$C$5,1)="B",AJ1833,MAX(AJ1833,H1833))))</f>
        <v>0</v>
      </c>
      <c r="AG1833" s="57" t="n">
        <f aca="false">IF(BT1833=1,0,ROUNDUP(AF1833/BS1833,0))</f>
        <v>0</v>
      </c>
      <c r="AH1833" s="59" t="n">
        <f aca="false">IF(CH1833&gt;0,CH1833*MAX(1,AF1833/X1833),IF(BT1833=1,IF(AF1833&lt;=0,0,BW1833*MAX(1,IF(H1833&gt;0,AF1833/H1833,1))),IF(R1833&gt;0,AG1833/R1833,0))/MAX(0.1,N(Parameter!$M$21)))</f>
        <v>0</v>
      </c>
      <c r="AI1833" s="57" t="n">
        <f aca="false">AF1833*G1833</f>
        <v>0</v>
      </c>
      <c r="AJ1833" s="57" t="n">
        <f aca="false">ROUNDUP(MAX(J1833/IF(BZ1833&gt;0,BZ1833,MAX(0.1,N(Cockpit!$C$6))),CC1833)/BS1833,0)*BS1833</f>
        <v>0</v>
      </c>
      <c r="AK1833" s="58" t="n">
        <f aca="false">IF(AH1833&gt;0,J1833/AH1833,-1)</f>
        <v>-1</v>
      </c>
      <c r="AL1833" s="58" t="str">
        <f aca="false">IF(AND(OR(BY1833="L1",BY1833="L23"),AH1833&gt;0),SUMIFS($AH$7:$AH$1843,$BY$7:$BY$1843,BY1833,$AK$7:$AK$1843,"&gt;"&amp;AK1833)+SUMIFS($AH$7:$AH$1843,$BY$7:$BY$1843,BY1833,$AK$7:$AK$1843,AK1833,$BQ$7:$BQ$1843,"&lt;="&amp;BQ1833),"")</f>
        <v/>
      </c>
      <c r="AM1833" s="65" t="n">
        <f aca="false">IF(AL1833="",0,MAX(0,MIN(1,(IF(BY1833="L1",Parameter!$E$5,Parameter!$E$6+Parameter!$E$7)-(AL1833-AH1833))/AH1833)))</f>
        <v>0</v>
      </c>
      <c r="AN1833" s="57" t="n">
        <f aca="false">IF(LEFT(Cockpit!$I$5,1)="A",H1833,IF(CA1833=1,CB1833,IF(LEFT(Cockpit!$I$5,1)="B",AR1833,MAX(AR1833,H1833))))</f>
        <v>0</v>
      </c>
      <c r="AO1833" s="57" t="n">
        <f aca="false">IF(BT1833=1,0,ROUNDUP(AN1833/BS1833,0))</f>
        <v>0</v>
      </c>
      <c r="AP1833" s="59" t="n">
        <f aca="false">IF(CH1833&gt;0,CH1833*MAX(1,AN1833/X1833),IF(BT1833=1,IF(AN1833&lt;=0,0,BW1833*MAX(1,IF(H1833&gt;0,AN1833/H1833,1))),IF(R1833&gt;0,AO1833/R1833,0))/MAX(0.1,N(Parameter!$M$21)))</f>
        <v>0</v>
      </c>
      <c r="AQ1833" s="57" t="n">
        <f aca="false">AN1833*G1833</f>
        <v>0</v>
      </c>
      <c r="AR1833" s="57" t="n">
        <f aca="false">ROUNDUP(MAX(J1833/IF(BZ1833&gt;0,BZ1833,MAX(0.1,N(Cockpit!$I$6))),CC1833)/BS1833,0)*BS1833</f>
        <v>0</v>
      </c>
      <c r="AS1833" s="58" t="n">
        <f aca="false">IF(AP1833&gt;0,J1833/AP1833,-1)</f>
        <v>-1</v>
      </c>
      <c r="AT1833" s="58" t="str">
        <f aca="false">IF(AND(OR(BY1833="L1",BY1833="L23"),AP1833&gt;0),SUMIFS($AP$7:$AP$1843,$BY$7:$BY$1843,BY1833,$AS$7:$AS$1843,"&gt;"&amp;AS1833)+SUMIFS($AP$7:$AP$1843,$BY$7:$BY$1843,BY1833,$AS$7:$AS$1843,AS1833,$BQ$7:$BQ$1843,"&lt;="&amp;BQ1833),"")</f>
        <v/>
      </c>
      <c r="AU1833" s="65" t="n">
        <f aca="false">IF(AT1833="",0,MAX(0,MIN(1,(IF(BY1833="L1",Parameter!$E$5,Parameter!$E$6+Parameter!$E$7)-(AT1833-AP1833))/AP1833)))</f>
        <v>0</v>
      </c>
      <c r="AV1833" s="57" t="n">
        <f aca="false">IF(LEFT(Cockpit!$O$5,1)="A",H1833,IF(CA1833=1,CB1833,IF(LEFT(Cockpit!$O$5,1)="B",AZ1833,MAX(AZ1833,H1833))))</f>
        <v>0</v>
      </c>
      <c r="AW1833" s="57" t="n">
        <f aca="false">IF(BT1833=1,0,ROUNDUP(AV1833/BS1833,0))</f>
        <v>0</v>
      </c>
      <c r="AX1833" s="59" t="n">
        <f aca="false">IF(CH1833&gt;0,CH1833*MAX(1,AV1833/X1833),IF(BT1833=1,IF(AV1833&lt;=0,0,BW1833*MAX(1,IF(H1833&gt;0,AV1833/H1833,1))),IF(R1833&gt;0,AW1833/R1833,0))/MAX(0.1,N(Parameter!$M$21)))</f>
        <v>0</v>
      </c>
      <c r="AY1833" s="57" t="n">
        <f aca="false">AV1833*G1833</f>
        <v>0</v>
      </c>
      <c r="AZ1833" s="57" t="n">
        <f aca="false">ROUNDUP(MAX(J1833/IF(BZ1833&gt;0,BZ1833,MAX(0.1,N(Cockpit!$O$6))),CC1833)/BS1833,0)*BS1833</f>
        <v>0</v>
      </c>
      <c r="BA1833" s="58" t="n">
        <f aca="false">IF(AX1833&gt;0,J1833/AX1833,-1)</f>
        <v>-1</v>
      </c>
      <c r="BB1833" s="58" t="str">
        <f aca="false">IF(AND(OR(BY1833="L1",BY1833="L23"),AX1833&gt;0),SUMIFS($AX$7:$AX$1843,$BY$7:$BY$1843,BY1833,$BA$7:$BA$1843,"&gt;"&amp;BA1833)+SUMIFS($AX$7:$AX$1843,$BY$7:$BY$1843,BY1833,$BA$7:$BA$1843,BA1833,$BQ$7:$BQ$1843,"&lt;="&amp;BQ1833),"")</f>
        <v/>
      </c>
      <c r="BC1833" s="65" t="n">
        <f aca="false">IF(BB1833="",0,MAX(0,MIN(1,(IF(BY1833="L1",Parameter!$E$5,Parameter!$E$6+Parameter!$E$7)-(BB1833-AX1833))/AX1833)))</f>
        <v>0</v>
      </c>
      <c r="BD1833" s="55" t="str">
        <f aca="false">IF(AH1833&lt;=0,"",IF(BY1833="Aussen","Aussenlager",IF(BY1833="-","Nicht im Lift",IF(AM1833&gt;=1,"Lift",IF(AM1833&lt;=0,"Aussenlager","teilweise")))))</f>
        <v/>
      </c>
      <c r="BE1833" s="55" t="str">
        <f aca="false">IF(AP1833&lt;=0,"",IF(BY1833="Aussen","Aussenlager",IF(BY1833="-","Nicht im Lift",IF(AU1833&gt;=1,"Lift",IF(AU1833&lt;=0,"Aussenlager","teilweise")))))</f>
        <v/>
      </c>
      <c r="BF1833" s="55" t="str">
        <f aca="false">IF(AX1833&lt;=0,"",IF(BY1833="Aussen","Aussenlager",IF(BY1833="-","Nicht im Lift",IF(BC1833&gt;=1,"Lift",IF(BC1833&lt;=0,"Aussenlager","teilweise")))))</f>
        <v/>
      </c>
      <c r="BG1833" s="55" t="str">
        <f aca="false">IF(A1833="","",IF(BP1833=1,"Neu; ","")&amp;IF(AND(BP1833=0,BK1833&lt;0),"negativer Bestand (Export "&amp;BK1833&amp;"); ","")&amp;IF(J1833&lt;=0,"Kein Verbrauch; ","")&amp;IF(CH1833&gt;0,"Lift "&amp;W1833&amp;" lt. Liftbericht (Fach "&amp;X1833&amp;" Stk); ",IF(BU1833=1,"Gebinde geschätzt ("&amp;T1833&amp;"); ",IF(BT1833=1,"Lose – Tablare geschätzt; ","")))&amp;IF(H1833&gt;AR1833,"Überbestand "&amp;ROUND(H1833-AR1833,0)&amp;" Stk / CHF "&amp;ROUND((H1833-AR1833)*G1833,0)&amp;"; ","")&amp;IF(AND(CA1833=1,CB1833&lt;CC1833),"MAX &lt; MB+LG; ","")&amp;IF(AND(CG1833&gt;0,CF1833*10&gt;CG1833),"zu hoch für Tablar; ","")&amp;IF(AND(BP1833=0,OR(CA1833=1,AA1833&lt;&gt;"",U1833&lt;&gt;"",V1833&lt;&gt;"",AB1833&lt;&gt;"")),"manuell übersteuert; ","")&amp;IF(AND(BT1833=0,R1833=0),"Gebinde unbekannt / Stellmass fehlt; ","")&amp;IF(AND(BT1833=0,N(V1833)&lt;=0,N(Q1833)&lt;=0),"Menge pro Gebinde fehlt (Ist = 1 Gebinde); ","")&amp;BO1833)</f>
        <v/>
      </c>
      <c r="BH1833" s="55"/>
      <c r="BI1833" s="55"/>
      <c r="BJ1833" s="62"/>
      <c r="BK1833" s="57" t="n">
        <f aca="false">N('Neue Artikel'!$D$94)</f>
        <v>0</v>
      </c>
      <c r="BL1833" s="57" t="n">
        <v>0</v>
      </c>
      <c r="BM1833" s="56" t="n">
        <v>0</v>
      </c>
      <c r="BN1833" s="57" t="n">
        <f aca="false">N('Neue Artikel'!$C$94)/Parameter!$B$18</f>
        <v>0</v>
      </c>
      <c r="BO1833" s="55"/>
      <c r="BP1833" s="60" t="n">
        <v>1</v>
      </c>
      <c r="BQ1833" s="60" t="n">
        <v>1833</v>
      </c>
      <c r="BR1833" s="55" t="str">
        <f aca="false">IF(U1833&lt;&gt;"",UPPER(TRIM(U1833)),IF(BU1833=1,UPPER(VLOOKUP(T1833,Parameter!$I$27:$K$29,2,0)),IF(P1833="","LOSE",P1833)))</f>
        <v>LOSE</v>
      </c>
      <c r="BS1833" s="57" t="n">
        <f aca="false">IF(BR1833="LOSE",1,IF(N(V1833)&gt;0,V1833,IF(BU1833=1,MAX(1,N(VLOOKUP(T1833,Parameter!$I$27:$K$29,3,0)),H1833,N(N1833)),IF(N(Q1833)&gt;0,Q1833,MAX(1,H1833)))))</f>
        <v>1</v>
      </c>
      <c r="BT1833" s="60" t="n">
        <f aca="false">IF(BR1833="LOSE",1,0)</f>
        <v>1</v>
      </c>
      <c r="BU1833" s="60" t="n">
        <f aca="false">IF(AND(U1833="",OR(P1833="",P1833="LOSE"),T1833&lt;&gt;"",N(S1833)&lt;=0,ISNUMBER(MATCH(T1833,Parameter!$I$27:$I$29,0))),1,0)</f>
        <v>0</v>
      </c>
      <c r="BV1833" s="55" t="str">
        <f aca="false">IF(AND(Parameter!$B$19="Ja",E1833&lt;&gt;"",ISNUMBER(MATCH(E1833,Parameter!$I$35:$I$52,0))),VLOOKUP(E1833,Parameter!$I$35:$J$52,2,0),IFERROR(VLOOKUP(D1833,Parameter!$A$35:$C$64,2,0),"Nein"))</f>
        <v>2+3</v>
      </c>
      <c r="BW1833" s="59" t="n">
        <f aca="false">IF(BT1833=0,0,IF(N(S1833)&gt;0,S1833,IFERROR(VLOOKUP(D1833,Parameter!$A$35:$C$64,3,0)+0,0)))</f>
        <v>0.15</v>
      </c>
      <c r="BX1833" s="55" t="str">
        <f aca="false">IF(AA1833&lt;&gt;"",AA1833,Z1833)</f>
        <v/>
      </c>
      <c r="BY1833" s="55" t="str">
        <f aca="false">IF(BX1833=1,"L1",IF(OR(BX1833=2,BX1833=3),"L23",IF(BX1833="Aussen","Aussen","-")))</f>
        <v>-</v>
      </c>
      <c r="BZ1833" s="66" t="n">
        <f aca="false">IF(N(AB1833)&gt;0,AB1833,0)</f>
        <v>0</v>
      </c>
      <c r="CA1833" s="60" t="n">
        <f aca="false">IF(ISNUMBER(AE1833),1,0)</f>
        <v>0</v>
      </c>
      <c r="CB1833" s="57" t="n">
        <f aca="false">N(AE1833)</f>
        <v>0</v>
      </c>
      <c r="CC1833" s="57" t="n">
        <f aca="false">N(M1833)+N(N1833)</f>
        <v>0</v>
      </c>
      <c r="CD1833" s="57" t="n">
        <f aca="false">ROUNDUP(H1833/BS1833,0)</f>
        <v>0</v>
      </c>
      <c r="CE1833" s="57" t="n">
        <f aca="false">ROUNDUP(CB1833/BS1833,0)</f>
        <v>0</v>
      </c>
      <c r="CF1833" s="60" t="n">
        <f aca="false">IF(BT1833=1,0,IFERROR(VLOOKUP(BR1833,'Gebinde-Kategorie'!$A$5:$M$45,5,0)+0,0))</f>
        <v>0</v>
      </c>
      <c r="CG1833" s="60" t="n">
        <f aca="false">IFERROR(IF(OR(BX1833=1,BX1833=2,BX1833=3),N(INDEX(Parameter!$I$5:$I$7,BX1833)),0),0)</f>
        <v>0</v>
      </c>
      <c r="CH1833" s="59" t="n">
        <f aca="false">IF(AND(Parameter!$B$21="Ja",ISNUMBER(W1833),N(X1833)&gt;0),IFERROR(N(INDEX(Parameter!$L$5:$L$7,W1833))*INDEX(Parameter!$E$5:$E$7,W1833)*X1833/SUMIFS($X$7:$X$1843,$W$7:$W$1843,W1833),0),0)</f>
        <v>0</v>
      </c>
    </row>
    <row r="1834" customFormat="false" ht="15" hidden="false" customHeight="false" outlineLevel="0" collapsed="false">
      <c r="A1834" s="55" t="str">
        <f aca="false">IF('Neue Artikel'!$A$95="","",'Neue Artikel'!$A$95&amp;"")</f>
        <v/>
      </c>
      <c r="B1834" s="55" t="str">
        <f aca="false">'Neue Artikel'!$B$95&amp;""</f>
        <v/>
      </c>
      <c r="C1834" s="55"/>
      <c r="D1834" s="55" t="s">
        <v>3015</v>
      </c>
      <c r="E1834" s="55"/>
      <c r="F1834" s="55"/>
      <c r="G1834" s="56" t="n">
        <f aca="false">N('Neue Artikel'!$G$95)</f>
        <v>0</v>
      </c>
      <c r="H1834" s="57" t="n">
        <f aca="false">MAX(0,IF(AND(Parameter!$B$21="Ja",ISNUMBER(Y1834)),Y1834,IF(Parameter!$B$20="Jahresanfang 2025 + Export",BL1834+BK1834,BK1834)))</f>
        <v>0</v>
      </c>
      <c r="I1834" s="57" t="n">
        <f aca="false">H1834*G1834</f>
        <v>0</v>
      </c>
      <c r="J1834" s="57" t="n">
        <f aca="false">BN1834*Parameter!$B$18</f>
        <v>0</v>
      </c>
      <c r="K1834" s="58"/>
      <c r="L1834" s="59"/>
      <c r="M1834" s="57" t="n">
        <f aca="false">N('Neue Artikel'!$E$95)</f>
        <v>0</v>
      </c>
      <c r="N1834" s="57" t="n">
        <f aca="false">N('Neue Artikel'!$F$95)</f>
        <v>0</v>
      </c>
      <c r="O1834" s="60"/>
      <c r="P1834" s="55" t="str">
        <f aca="false">IF('Neue Artikel'!$H$95="","LOSE",UPPER(TRIM('Neue Artikel'!$H$95)))</f>
        <v>LOSE</v>
      </c>
      <c r="Q1834" s="57" t="n">
        <f aca="false">N('Neue Artikel'!$I$95)</f>
        <v>0</v>
      </c>
      <c r="R1834" s="60" t="n">
        <f aca="false">IF(BT1834=1,0,IFERROR(VLOOKUP(BR1834,'Gebinde-Kategorie'!$A$5:$M$45,13,0)+0,0))</f>
        <v>0</v>
      </c>
      <c r="S1834" s="61"/>
      <c r="T1834" s="62"/>
      <c r="U1834" s="62"/>
      <c r="V1834" s="62"/>
      <c r="W1834" s="55"/>
      <c r="X1834" s="57"/>
      <c r="Y1834" s="57"/>
      <c r="Z1834" s="55" t="str">
        <f aca="false">IF(A1834="","",IF(AND(Parameter!$B$21="Ja",ISNUMBER(W1834)),W1834,IF(BV1834="2+3",IF(ISNUMBER(SEARCH("grosser Artikel",BO1834)),2,IFERROR(VLOOKUP(BR1834,Parameter!$F$35:$G$64,2,0),2)),IF(OR(BV1834="Nein",BV1834=""),"-",BV1834))))</f>
        <v/>
      </c>
      <c r="AA1834" s="55" t="str">
        <f aca="false">IF('Neue Artikel'!$J$95="","",'Neue Artikel'!$J$95)</f>
        <v/>
      </c>
      <c r="AB1834" s="63"/>
      <c r="AC1834" s="57" t="n">
        <f aca="false">AR1834</f>
        <v>0</v>
      </c>
      <c r="AD1834" s="57" t="n">
        <f aca="false">MAX(AR1834,H1834)</f>
        <v>0</v>
      </c>
      <c r="AE1834" s="64"/>
      <c r="AF1834" s="57" t="n">
        <f aca="false">IF(LEFT(Cockpit!$C$5,1)="A",H1834,IF(CA1834=1,CB1834,IF(LEFT(Cockpit!$C$5,1)="B",AJ1834,MAX(AJ1834,H1834))))</f>
        <v>0</v>
      </c>
      <c r="AG1834" s="57" t="n">
        <f aca="false">IF(BT1834=1,0,ROUNDUP(AF1834/BS1834,0))</f>
        <v>0</v>
      </c>
      <c r="AH1834" s="59" t="n">
        <f aca="false">IF(CH1834&gt;0,CH1834*MAX(1,AF1834/X1834),IF(BT1834=1,IF(AF1834&lt;=0,0,BW1834*MAX(1,IF(H1834&gt;0,AF1834/H1834,1))),IF(R1834&gt;0,AG1834/R1834,0))/MAX(0.1,N(Parameter!$M$21)))</f>
        <v>0</v>
      </c>
      <c r="AI1834" s="57" t="n">
        <f aca="false">AF1834*G1834</f>
        <v>0</v>
      </c>
      <c r="AJ1834" s="57" t="n">
        <f aca="false">ROUNDUP(MAX(J1834/IF(BZ1834&gt;0,BZ1834,MAX(0.1,N(Cockpit!$C$6))),CC1834)/BS1834,0)*BS1834</f>
        <v>0</v>
      </c>
      <c r="AK1834" s="58" t="n">
        <f aca="false">IF(AH1834&gt;0,J1834/AH1834,-1)</f>
        <v>-1</v>
      </c>
      <c r="AL1834" s="58" t="str">
        <f aca="false">IF(AND(OR(BY1834="L1",BY1834="L23"),AH1834&gt;0),SUMIFS($AH$7:$AH$1843,$BY$7:$BY$1843,BY1834,$AK$7:$AK$1843,"&gt;"&amp;AK1834)+SUMIFS($AH$7:$AH$1843,$BY$7:$BY$1843,BY1834,$AK$7:$AK$1843,AK1834,$BQ$7:$BQ$1843,"&lt;="&amp;BQ1834),"")</f>
        <v/>
      </c>
      <c r="AM1834" s="65" t="n">
        <f aca="false">IF(AL1834="",0,MAX(0,MIN(1,(IF(BY1834="L1",Parameter!$E$5,Parameter!$E$6+Parameter!$E$7)-(AL1834-AH1834))/AH1834)))</f>
        <v>0</v>
      </c>
      <c r="AN1834" s="57" t="n">
        <f aca="false">IF(LEFT(Cockpit!$I$5,1)="A",H1834,IF(CA1834=1,CB1834,IF(LEFT(Cockpit!$I$5,1)="B",AR1834,MAX(AR1834,H1834))))</f>
        <v>0</v>
      </c>
      <c r="AO1834" s="57" t="n">
        <f aca="false">IF(BT1834=1,0,ROUNDUP(AN1834/BS1834,0))</f>
        <v>0</v>
      </c>
      <c r="AP1834" s="59" t="n">
        <f aca="false">IF(CH1834&gt;0,CH1834*MAX(1,AN1834/X1834),IF(BT1834=1,IF(AN1834&lt;=0,0,BW1834*MAX(1,IF(H1834&gt;0,AN1834/H1834,1))),IF(R1834&gt;0,AO1834/R1834,0))/MAX(0.1,N(Parameter!$M$21)))</f>
        <v>0</v>
      </c>
      <c r="AQ1834" s="57" t="n">
        <f aca="false">AN1834*G1834</f>
        <v>0</v>
      </c>
      <c r="AR1834" s="57" t="n">
        <f aca="false">ROUNDUP(MAX(J1834/IF(BZ1834&gt;0,BZ1834,MAX(0.1,N(Cockpit!$I$6))),CC1834)/BS1834,0)*BS1834</f>
        <v>0</v>
      </c>
      <c r="AS1834" s="58" t="n">
        <f aca="false">IF(AP1834&gt;0,J1834/AP1834,-1)</f>
        <v>-1</v>
      </c>
      <c r="AT1834" s="58" t="str">
        <f aca="false">IF(AND(OR(BY1834="L1",BY1834="L23"),AP1834&gt;0),SUMIFS($AP$7:$AP$1843,$BY$7:$BY$1843,BY1834,$AS$7:$AS$1843,"&gt;"&amp;AS1834)+SUMIFS($AP$7:$AP$1843,$BY$7:$BY$1843,BY1834,$AS$7:$AS$1843,AS1834,$BQ$7:$BQ$1843,"&lt;="&amp;BQ1834),"")</f>
        <v/>
      </c>
      <c r="AU1834" s="65" t="n">
        <f aca="false">IF(AT1834="",0,MAX(0,MIN(1,(IF(BY1834="L1",Parameter!$E$5,Parameter!$E$6+Parameter!$E$7)-(AT1834-AP1834))/AP1834)))</f>
        <v>0</v>
      </c>
      <c r="AV1834" s="57" t="n">
        <f aca="false">IF(LEFT(Cockpit!$O$5,1)="A",H1834,IF(CA1834=1,CB1834,IF(LEFT(Cockpit!$O$5,1)="B",AZ1834,MAX(AZ1834,H1834))))</f>
        <v>0</v>
      </c>
      <c r="AW1834" s="57" t="n">
        <f aca="false">IF(BT1834=1,0,ROUNDUP(AV1834/BS1834,0))</f>
        <v>0</v>
      </c>
      <c r="AX1834" s="59" t="n">
        <f aca="false">IF(CH1834&gt;0,CH1834*MAX(1,AV1834/X1834),IF(BT1834=1,IF(AV1834&lt;=0,0,BW1834*MAX(1,IF(H1834&gt;0,AV1834/H1834,1))),IF(R1834&gt;0,AW1834/R1834,0))/MAX(0.1,N(Parameter!$M$21)))</f>
        <v>0</v>
      </c>
      <c r="AY1834" s="57" t="n">
        <f aca="false">AV1834*G1834</f>
        <v>0</v>
      </c>
      <c r="AZ1834" s="57" t="n">
        <f aca="false">ROUNDUP(MAX(J1834/IF(BZ1834&gt;0,BZ1834,MAX(0.1,N(Cockpit!$O$6))),CC1834)/BS1834,0)*BS1834</f>
        <v>0</v>
      </c>
      <c r="BA1834" s="58" t="n">
        <f aca="false">IF(AX1834&gt;0,J1834/AX1834,-1)</f>
        <v>-1</v>
      </c>
      <c r="BB1834" s="58" t="str">
        <f aca="false">IF(AND(OR(BY1834="L1",BY1834="L23"),AX1834&gt;0),SUMIFS($AX$7:$AX$1843,$BY$7:$BY$1843,BY1834,$BA$7:$BA$1843,"&gt;"&amp;BA1834)+SUMIFS($AX$7:$AX$1843,$BY$7:$BY$1843,BY1834,$BA$7:$BA$1843,BA1834,$BQ$7:$BQ$1843,"&lt;="&amp;BQ1834),"")</f>
        <v/>
      </c>
      <c r="BC1834" s="65" t="n">
        <f aca="false">IF(BB1834="",0,MAX(0,MIN(1,(IF(BY1834="L1",Parameter!$E$5,Parameter!$E$6+Parameter!$E$7)-(BB1834-AX1834))/AX1834)))</f>
        <v>0</v>
      </c>
      <c r="BD1834" s="55" t="str">
        <f aca="false">IF(AH1834&lt;=0,"",IF(BY1834="Aussen","Aussenlager",IF(BY1834="-","Nicht im Lift",IF(AM1834&gt;=1,"Lift",IF(AM1834&lt;=0,"Aussenlager","teilweise")))))</f>
        <v/>
      </c>
      <c r="BE1834" s="55" t="str">
        <f aca="false">IF(AP1834&lt;=0,"",IF(BY1834="Aussen","Aussenlager",IF(BY1834="-","Nicht im Lift",IF(AU1834&gt;=1,"Lift",IF(AU1834&lt;=0,"Aussenlager","teilweise")))))</f>
        <v/>
      </c>
      <c r="BF1834" s="55" t="str">
        <f aca="false">IF(AX1834&lt;=0,"",IF(BY1834="Aussen","Aussenlager",IF(BY1834="-","Nicht im Lift",IF(BC1834&gt;=1,"Lift",IF(BC1834&lt;=0,"Aussenlager","teilweise")))))</f>
        <v/>
      </c>
      <c r="BG1834" s="55" t="str">
        <f aca="false">IF(A1834="","",IF(BP1834=1,"Neu; ","")&amp;IF(AND(BP1834=0,BK1834&lt;0),"negativer Bestand (Export "&amp;BK1834&amp;"); ","")&amp;IF(J1834&lt;=0,"Kein Verbrauch; ","")&amp;IF(CH1834&gt;0,"Lift "&amp;W1834&amp;" lt. Liftbericht (Fach "&amp;X1834&amp;" Stk); ",IF(BU1834=1,"Gebinde geschätzt ("&amp;T1834&amp;"); ",IF(BT1834=1,"Lose – Tablare geschätzt; ","")))&amp;IF(H1834&gt;AR1834,"Überbestand "&amp;ROUND(H1834-AR1834,0)&amp;" Stk / CHF "&amp;ROUND((H1834-AR1834)*G1834,0)&amp;"; ","")&amp;IF(AND(CA1834=1,CB1834&lt;CC1834),"MAX &lt; MB+LG; ","")&amp;IF(AND(CG1834&gt;0,CF1834*10&gt;CG1834),"zu hoch für Tablar; ","")&amp;IF(AND(BP1834=0,OR(CA1834=1,AA1834&lt;&gt;"",U1834&lt;&gt;"",V1834&lt;&gt;"",AB1834&lt;&gt;"")),"manuell übersteuert; ","")&amp;IF(AND(BT1834=0,R1834=0),"Gebinde unbekannt / Stellmass fehlt; ","")&amp;IF(AND(BT1834=0,N(V1834)&lt;=0,N(Q1834)&lt;=0),"Menge pro Gebinde fehlt (Ist = 1 Gebinde); ","")&amp;BO1834)</f>
        <v/>
      </c>
      <c r="BH1834" s="55"/>
      <c r="BI1834" s="55"/>
      <c r="BJ1834" s="62"/>
      <c r="BK1834" s="57" t="n">
        <f aca="false">N('Neue Artikel'!$D$95)</f>
        <v>0</v>
      </c>
      <c r="BL1834" s="57" t="n">
        <v>0</v>
      </c>
      <c r="BM1834" s="56" t="n">
        <v>0</v>
      </c>
      <c r="BN1834" s="57" t="n">
        <f aca="false">N('Neue Artikel'!$C$95)/Parameter!$B$18</f>
        <v>0</v>
      </c>
      <c r="BO1834" s="55"/>
      <c r="BP1834" s="60" t="n">
        <v>1</v>
      </c>
      <c r="BQ1834" s="60" t="n">
        <v>1834</v>
      </c>
      <c r="BR1834" s="55" t="str">
        <f aca="false">IF(U1834&lt;&gt;"",UPPER(TRIM(U1834)),IF(BU1834=1,UPPER(VLOOKUP(T1834,Parameter!$I$27:$K$29,2,0)),IF(P1834="","LOSE",P1834)))</f>
        <v>LOSE</v>
      </c>
      <c r="BS1834" s="57" t="n">
        <f aca="false">IF(BR1834="LOSE",1,IF(N(V1834)&gt;0,V1834,IF(BU1834=1,MAX(1,N(VLOOKUP(T1834,Parameter!$I$27:$K$29,3,0)),H1834,N(N1834)),IF(N(Q1834)&gt;0,Q1834,MAX(1,H1834)))))</f>
        <v>1</v>
      </c>
      <c r="BT1834" s="60" t="n">
        <f aca="false">IF(BR1834="LOSE",1,0)</f>
        <v>1</v>
      </c>
      <c r="BU1834" s="60" t="n">
        <f aca="false">IF(AND(U1834="",OR(P1834="",P1834="LOSE"),T1834&lt;&gt;"",N(S1834)&lt;=0,ISNUMBER(MATCH(T1834,Parameter!$I$27:$I$29,0))),1,0)</f>
        <v>0</v>
      </c>
      <c r="BV1834" s="55" t="str">
        <f aca="false">IF(AND(Parameter!$B$19="Ja",E1834&lt;&gt;"",ISNUMBER(MATCH(E1834,Parameter!$I$35:$I$52,0))),VLOOKUP(E1834,Parameter!$I$35:$J$52,2,0),IFERROR(VLOOKUP(D1834,Parameter!$A$35:$C$64,2,0),"Nein"))</f>
        <v>2+3</v>
      </c>
      <c r="BW1834" s="59" t="n">
        <f aca="false">IF(BT1834=0,0,IF(N(S1834)&gt;0,S1834,IFERROR(VLOOKUP(D1834,Parameter!$A$35:$C$64,3,0)+0,0)))</f>
        <v>0.15</v>
      </c>
      <c r="BX1834" s="55" t="str">
        <f aca="false">IF(AA1834&lt;&gt;"",AA1834,Z1834)</f>
        <v/>
      </c>
      <c r="BY1834" s="55" t="str">
        <f aca="false">IF(BX1834=1,"L1",IF(OR(BX1834=2,BX1834=3),"L23",IF(BX1834="Aussen","Aussen","-")))</f>
        <v>-</v>
      </c>
      <c r="BZ1834" s="66" t="n">
        <f aca="false">IF(N(AB1834)&gt;0,AB1834,0)</f>
        <v>0</v>
      </c>
      <c r="CA1834" s="60" t="n">
        <f aca="false">IF(ISNUMBER(AE1834),1,0)</f>
        <v>0</v>
      </c>
      <c r="CB1834" s="57" t="n">
        <f aca="false">N(AE1834)</f>
        <v>0</v>
      </c>
      <c r="CC1834" s="57" t="n">
        <f aca="false">N(M1834)+N(N1834)</f>
        <v>0</v>
      </c>
      <c r="CD1834" s="57" t="n">
        <f aca="false">ROUNDUP(H1834/BS1834,0)</f>
        <v>0</v>
      </c>
      <c r="CE1834" s="57" t="n">
        <f aca="false">ROUNDUP(CB1834/BS1834,0)</f>
        <v>0</v>
      </c>
      <c r="CF1834" s="60" t="n">
        <f aca="false">IF(BT1834=1,0,IFERROR(VLOOKUP(BR1834,'Gebinde-Kategorie'!$A$5:$M$45,5,0)+0,0))</f>
        <v>0</v>
      </c>
      <c r="CG1834" s="60" t="n">
        <f aca="false">IFERROR(IF(OR(BX1834=1,BX1834=2,BX1834=3),N(INDEX(Parameter!$I$5:$I$7,BX1834)),0),0)</f>
        <v>0</v>
      </c>
      <c r="CH1834" s="59" t="n">
        <f aca="false">IF(AND(Parameter!$B$21="Ja",ISNUMBER(W1834),N(X1834)&gt;0),IFERROR(N(INDEX(Parameter!$L$5:$L$7,W1834))*INDEX(Parameter!$E$5:$E$7,W1834)*X1834/SUMIFS($X$7:$X$1843,$W$7:$W$1843,W1834),0),0)</f>
        <v>0</v>
      </c>
    </row>
    <row r="1835" customFormat="false" ht="15" hidden="false" customHeight="false" outlineLevel="0" collapsed="false">
      <c r="A1835" s="55" t="str">
        <f aca="false">IF('Neue Artikel'!$A$96="","",'Neue Artikel'!$A$96&amp;"")</f>
        <v/>
      </c>
      <c r="B1835" s="55" t="str">
        <f aca="false">'Neue Artikel'!$B$96&amp;""</f>
        <v/>
      </c>
      <c r="C1835" s="55"/>
      <c r="D1835" s="55" t="s">
        <v>3015</v>
      </c>
      <c r="E1835" s="55"/>
      <c r="F1835" s="55"/>
      <c r="G1835" s="56" t="n">
        <f aca="false">N('Neue Artikel'!$G$96)</f>
        <v>0</v>
      </c>
      <c r="H1835" s="57" t="n">
        <f aca="false">MAX(0,IF(AND(Parameter!$B$21="Ja",ISNUMBER(Y1835)),Y1835,IF(Parameter!$B$20="Jahresanfang 2025 + Export",BL1835+BK1835,BK1835)))</f>
        <v>0</v>
      </c>
      <c r="I1835" s="57" t="n">
        <f aca="false">H1835*G1835</f>
        <v>0</v>
      </c>
      <c r="J1835" s="57" t="n">
        <f aca="false">BN1835*Parameter!$B$18</f>
        <v>0</v>
      </c>
      <c r="K1835" s="58"/>
      <c r="L1835" s="59"/>
      <c r="M1835" s="57" t="n">
        <f aca="false">N('Neue Artikel'!$E$96)</f>
        <v>0</v>
      </c>
      <c r="N1835" s="57" t="n">
        <f aca="false">N('Neue Artikel'!$F$96)</f>
        <v>0</v>
      </c>
      <c r="O1835" s="60"/>
      <c r="P1835" s="55" t="str">
        <f aca="false">IF('Neue Artikel'!$H$96="","LOSE",UPPER(TRIM('Neue Artikel'!$H$96)))</f>
        <v>LOSE</v>
      </c>
      <c r="Q1835" s="57" t="n">
        <f aca="false">N('Neue Artikel'!$I$96)</f>
        <v>0</v>
      </c>
      <c r="R1835" s="60" t="n">
        <f aca="false">IF(BT1835=1,0,IFERROR(VLOOKUP(BR1835,'Gebinde-Kategorie'!$A$5:$M$45,13,0)+0,0))</f>
        <v>0</v>
      </c>
      <c r="S1835" s="61"/>
      <c r="T1835" s="62"/>
      <c r="U1835" s="62"/>
      <c r="V1835" s="62"/>
      <c r="W1835" s="55"/>
      <c r="X1835" s="57"/>
      <c r="Y1835" s="57"/>
      <c r="Z1835" s="55" t="str">
        <f aca="false">IF(A1835="","",IF(AND(Parameter!$B$21="Ja",ISNUMBER(W1835)),W1835,IF(BV1835="2+3",IF(ISNUMBER(SEARCH("grosser Artikel",BO1835)),2,IFERROR(VLOOKUP(BR1835,Parameter!$F$35:$G$64,2,0),2)),IF(OR(BV1835="Nein",BV1835=""),"-",BV1835))))</f>
        <v/>
      </c>
      <c r="AA1835" s="55" t="str">
        <f aca="false">IF('Neue Artikel'!$J$96="","",'Neue Artikel'!$J$96)</f>
        <v/>
      </c>
      <c r="AB1835" s="63"/>
      <c r="AC1835" s="57" t="n">
        <f aca="false">AR1835</f>
        <v>0</v>
      </c>
      <c r="AD1835" s="57" t="n">
        <f aca="false">MAX(AR1835,H1835)</f>
        <v>0</v>
      </c>
      <c r="AE1835" s="64"/>
      <c r="AF1835" s="57" t="n">
        <f aca="false">IF(LEFT(Cockpit!$C$5,1)="A",H1835,IF(CA1835=1,CB1835,IF(LEFT(Cockpit!$C$5,1)="B",AJ1835,MAX(AJ1835,H1835))))</f>
        <v>0</v>
      </c>
      <c r="AG1835" s="57" t="n">
        <f aca="false">IF(BT1835=1,0,ROUNDUP(AF1835/BS1835,0))</f>
        <v>0</v>
      </c>
      <c r="AH1835" s="59" t="n">
        <f aca="false">IF(CH1835&gt;0,CH1835*MAX(1,AF1835/X1835),IF(BT1835=1,IF(AF1835&lt;=0,0,BW1835*MAX(1,IF(H1835&gt;0,AF1835/H1835,1))),IF(R1835&gt;0,AG1835/R1835,0))/MAX(0.1,N(Parameter!$M$21)))</f>
        <v>0</v>
      </c>
      <c r="AI1835" s="57" t="n">
        <f aca="false">AF1835*G1835</f>
        <v>0</v>
      </c>
      <c r="AJ1835" s="57" t="n">
        <f aca="false">ROUNDUP(MAX(J1835/IF(BZ1835&gt;0,BZ1835,MAX(0.1,N(Cockpit!$C$6))),CC1835)/BS1835,0)*BS1835</f>
        <v>0</v>
      </c>
      <c r="AK1835" s="58" t="n">
        <f aca="false">IF(AH1835&gt;0,J1835/AH1835,-1)</f>
        <v>-1</v>
      </c>
      <c r="AL1835" s="58" t="str">
        <f aca="false">IF(AND(OR(BY1835="L1",BY1835="L23"),AH1835&gt;0),SUMIFS($AH$7:$AH$1843,$BY$7:$BY$1843,BY1835,$AK$7:$AK$1843,"&gt;"&amp;AK1835)+SUMIFS($AH$7:$AH$1843,$BY$7:$BY$1843,BY1835,$AK$7:$AK$1843,AK1835,$BQ$7:$BQ$1843,"&lt;="&amp;BQ1835),"")</f>
        <v/>
      </c>
      <c r="AM1835" s="65" t="n">
        <f aca="false">IF(AL1835="",0,MAX(0,MIN(1,(IF(BY1835="L1",Parameter!$E$5,Parameter!$E$6+Parameter!$E$7)-(AL1835-AH1835))/AH1835)))</f>
        <v>0</v>
      </c>
      <c r="AN1835" s="57" t="n">
        <f aca="false">IF(LEFT(Cockpit!$I$5,1)="A",H1835,IF(CA1835=1,CB1835,IF(LEFT(Cockpit!$I$5,1)="B",AR1835,MAX(AR1835,H1835))))</f>
        <v>0</v>
      </c>
      <c r="AO1835" s="57" t="n">
        <f aca="false">IF(BT1835=1,0,ROUNDUP(AN1835/BS1835,0))</f>
        <v>0</v>
      </c>
      <c r="AP1835" s="59" t="n">
        <f aca="false">IF(CH1835&gt;0,CH1835*MAX(1,AN1835/X1835),IF(BT1835=1,IF(AN1835&lt;=0,0,BW1835*MAX(1,IF(H1835&gt;0,AN1835/H1835,1))),IF(R1835&gt;0,AO1835/R1835,0))/MAX(0.1,N(Parameter!$M$21)))</f>
        <v>0</v>
      </c>
      <c r="AQ1835" s="57" t="n">
        <f aca="false">AN1835*G1835</f>
        <v>0</v>
      </c>
      <c r="AR1835" s="57" t="n">
        <f aca="false">ROUNDUP(MAX(J1835/IF(BZ1835&gt;0,BZ1835,MAX(0.1,N(Cockpit!$I$6))),CC1835)/BS1835,0)*BS1835</f>
        <v>0</v>
      </c>
      <c r="AS1835" s="58" t="n">
        <f aca="false">IF(AP1835&gt;0,J1835/AP1835,-1)</f>
        <v>-1</v>
      </c>
      <c r="AT1835" s="58" t="str">
        <f aca="false">IF(AND(OR(BY1835="L1",BY1835="L23"),AP1835&gt;0),SUMIFS($AP$7:$AP$1843,$BY$7:$BY$1843,BY1835,$AS$7:$AS$1843,"&gt;"&amp;AS1835)+SUMIFS($AP$7:$AP$1843,$BY$7:$BY$1843,BY1835,$AS$7:$AS$1843,AS1835,$BQ$7:$BQ$1843,"&lt;="&amp;BQ1835),"")</f>
        <v/>
      </c>
      <c r="AU1835" s="65" t="n">
        <f aca="false">IF(AT1835="",0,MAX(0,MIN(1,(IF(BY1835="L1",Parameter!$E$5,Parameter!$E$6+Parameter!$E$7)-(AT1835-AP1835))/AP1835)))</f>
        <v>0</v>
      </c>
      <c r="AV1835" s="57" t="n">
        <f aca="false">IF(LEFT(Cockpit!$O$5,1)="A",H1835,IF(CA1835=1,CB1835,IF(LEFT(Cockpit!$O$5,1)="B",AZ1835,MAX(AZ1835,H1835))))</f>
        <v>0</v>
      </c>
      <c r="AW1835" s="57" t="n">
        <f aca="false">IF(BT1835=1,0,ROUNDUP(AV1835/BS1835,0))</f>
        <v>0</v>
      </c>
      <c r="AX1835" s="59" t="n">
        <f aca="false">IF(CH1835&gt;0,CH1835*MAX(1,AV1835/X1835),IF(BT1835=1,IF(AV1835&lt;=0,0,BW1835*MAX(1,IF(H1835&gt;0,AV1835/H1835,1))),IF(R1835&gt;0,AW1835/R1835,0))/MAX(0.1,N(Parameter!$M$21)))</f>
        <v>0</v>
      </c>
      <c r="AY1835" s="57" t="n">
        <f aca="false">AV1835*G1835</f>
        <v>0</v>
      </c>
      <c r="AZ1835" s="57" t="n">
        <f aca="false">ROUNDUP(MAX(J1835/IF(BZ1835&gt;0,BZ1835,MAX(0.1,N(Cockpit!$O$6))),CC1835)/BS1835,0)*BS1835</f>
        <v>0</v>
      </c>
      <c r="BA1835" s="58" t="n">
        <f aca="false">IF(AX1835&gt;0,J1835/AX1835,-1)</f>
        <v>-1</v>
      </c>
      <c r="BB1835" s="58" t="str">
        <f aca="false">IF(AND(OR(BY1835="L1",BY1835="L23"),AX1835&gt;0),SUMIFS($AX$7:$AX$1843,$BY$7:$BY$1843,BY1835,$BA$7:$BA$1843,"&gt;"&amp;BA1835)+SUMIFS($AX$7:$AX$1843,$BY$7:$BY$1843,BY1835,$BA$7:$BA$1843,BA1835,$BQ$7:$BQ$1843,"&lt;="&amp;BQ1835),"")</f>
        <v/>
      </c>
      <c r="BC1835" s="65" t="n">
        <f aca="false">IF(BB1835="",0,MAX(0,MIN(1,(IF(BY1835="L1",Parameter!$E$5,Parameter!$E$6+Parameter!$E$7)-(BB1835-AX1835))/AX1835)))</f>
        <v>0</v>
      </c>
      <c r="BD1835" s="55" t="str">
        <f aca="false">IF(AH1835&lt;=0,"",IF(BY1835="Aussen","Aussenlager",IF(BY1835="-","Nicht im Lift",IF(AM1835&gt;=1,"Lift",IF(AM1835&lt;=0,"Aussenlager","teilweise")))))</f>
        <v/>
      </c>
      <c r="BE1835" s="55" t="str">
        <f aca="false">IF(AP1835&lt;=0,"",IF(BY1835="Aussen","Aussenlager",IF(BY1835="-","Nicht im Lift",IF(AU1835&gt;=1,"Lift",IF(AU1835&lt;=0,"Aussenlager","teilweise")))))</f>
        <v/>
      </c>
      <c r="BF1835" s="55" t="str">
        <f aca="false">IF(AX1835&lt;=0,"",IF(BY1835="Aussen","Aussenlager",IF(BY1835="-","Nicht im Lift",IF(BC1835&gt;=1,"Lift",IF(BC1835&lt;=0,"Aussenlager","teilweise")))))</f>
        <v/>
      </c>
      <c r="BG1835" s="55" t="str">
        <f aca="false">IF(A1835="","",IF(BP1835=1,"Neu; ","")&amp;IF(AND(BP1835=0,BK1835&lt;0),"negativer Bestand (Export "&amp;BK1835&amp;"); ","")&amp;IF(J1835&lt;=0,"Kein Verbrauch; ","")&amp;IF(CH1835&gt;0,"Lift "&amp;W1835&amp;" lt. Liftbericht (Fach "&amp;X1835&amp;" Stk); ",IF(BU1835=1,"Gebinde geschätzt ("&amp;T1835&amp;"); ",IF(BT1835=1,"Lose – Tablare geschätzt; ","")))&amp;IF(H1835&gt;AR1835,"Überbestand "&amp;ROUND(H1835-AR1835,0)&amp;" Stk / CHF "&amp;ROUND((H1835-AR1835)*G1835,0)&amp;"; ","")&amp;IF(AND(CA1835=1,CB1835&lt;CC1835),"MAX &lt; MB+LG; ","")&amp;IF(AND(CG1835&gt;0,CF1835*10&gt;CG1835),"zu hoch für Tablar; ","")&amp;IF(AND(BP1835=0,OR(CA1835=1,AA1835&lt;&gt;"",U1835&lt;&gt;"",V1835&lt;&gt;"",AB1835&lt;&gt;"")),"manuell übersteuert; ","")&amp;IF(AND(BT1835=0,R1835=0),"Gebinde unbekannt / Stellmass fehlt; ","")&amp;IF(AND(BT1835=0,N(V1835)&lt;=0,N(Q1835)&lt;=0),"Menge pro Gebinde fehlt (Ist = 1 Gebinde); ","")&amp;BO1835)</f>
        <v/>
      </c>
      <c r="BH1835" s="55"/>
      <c r="BI1835" s="55"/>
      <c r="BJ1835" s="62"/>
      <c r="BK1835" s="57" t="n">
        <f aca="false">N('Neue Artikel'!$D$96)</f>
        <v>0</v>
      </c>
      <c r="BL1835" s="57" t="n">
        <v>0</v>
      </c>
      <c r="BM1835" s="56" t="n">
        <v>0</v>
      </c>
      <c r="BN1835" s="57" t="n">
        <f aca="false">N('Neue Artikel'!$C$96)/Parameter!$B$18</f>
        <v>0</v>
      </c>
      <c r="BO1835" s="55"/>
      <c r="BP1835" s="60" t="n">
        <v>1</v>
      </c>
      <c r="BQ1835" s="60" t="n">
        <v>1835</v>
      </c>
      <c r="BR1835" s="55" t="str">
        <f aca="false">IF(U1835&lt;&gt;"",UPPER(TRIM(U1835)),IF(BU1835=1,UPPER(VLOOKUP(T1835,Parameter!$I$27:$K$29,2,0)),IF(P1835="","LOSE",P1835)))</f>
        <v>LOSE</v>
      </c>
      <c r="BS1835" s="57" t="n">
        <f aca="false">IF(BR1835="LOSE",1,IF(N(V1835)&gt;0,V1835,IF(BU1835=1,MAX(1,N(VLOOKUP(T1835,Parameter!$I$27:$K$29,3,0)),H1835,N(N1835)),IF(N(Q1835)&gt;0,Q1835,MAX(1,H1835)))))</f>
        <v>1</v>
      </c>
      <c r="BT1835" s="60" t="n">
        <f aca="false">IF(BR1835="LOSE",1,0)</f>
        <v>1</v>
      </c>
      <c r="BU1835" s="60" t="n">
        <f aca="false">IF(AND(U1835="",OR(P1835="",P1835="LOSE"),T1835&lt;&gt;"",N(S1835)&lt;=0,ISNUMBER(MATCH(T1835,Parameter!$I$27:$I$29,0))),1,0)</f>
        <v>0</v>
      </c>
      <c r="BV1835" s="55" t="str">
        <f aca="false">IF(AND(Parameter!$B$19="Ja",E1835&lt;&gt;"",ISNUMBER(MATCH(E1835,Parameter!$I$35:$I$52,0))),VLOOKUP(E1835,Parameter!$I$35:$J$52,2,0),IFERROR(VLOOKUP(D1835,Parameter!$A$35:$C$64,2,0),"Nein"))</f>
        <v>2+3</v>
      </c>
      <c r="BW1835" s="59" t="n">
        <f aca="false">IF(BT1835=0,0,IF(N(S1835)&gt;0,S1835,IFERROR(VLOOKUP(D1835,Parameter!$A$35:$C$64,3,0)+0,0)))</f>
        <v>0.15</v>
      </c>
      <c r="BX1835" s="55" t="str">
        <f aca="false">IF(AA1835&lt;&gt;"",AA1835,Z1835)</f>
        <v/>
      </c>
      <c r="BY1835" s="55" t="str">
        <f aca="false">IF(BX1835=1,"L1",IF(OR(BX1835=2,BX1835=3),"L23",IF(BX1835="Aussen","Aussen","-")))</f>
        <v>-</v>
      </c>
      <c r="BZ1835" s="66" t="n">
        <f aca="false">IF(N(AB1835)&gt;0,AB1835,0)</f>
        <v>0</v>
      </c>
      <c r="CA1835" s="60" t="n">
        <f aca="false">IF(ISNUMBER(AE1835),1,0)</f>
        <v>0</v>
      </c>
      <c r="CB1835" s="57" t="n">
        <f aca="false">N(AE1835)</f>
        <v>0</v>
      </c>
      <c r="CC1835" s="57" t="n">
        <f aca="false">N(M1835)+N(N1835)</f>
        <v>0</v>
      </c>
      <c r="CD1835" s="57" t="n">
        <f aca="false">ROUNDUP(H1835/BS1835,0)</f>
        <v>0</v>
      </c>
      <c r="CE1835" s="57" t="n">
        <f aca="false">ROUNDUP(CB1835/BS1835,0)</f>
        <v>0</v>
      </c>
      <c r="CF1835" s="60" t="n">
        <f aca="false">IF(BT1835=1,0,IFERROR(VLOOKUP(BR1835,'Gebinde-Kategorie'!$A$5:$M$45,5,0)+0,0))</f>
        <v>0</v>
      </c>
      <c r="CG1835" s="60" t="n">
        <f aca="false">IFERROR(IF(OR(BX1835=1,BX1835=2,BX1835=3),N(INDEX(Parameter!$I$5:$I$7,BX1835)),0),0)</f>
        <v>0</v>
      </c>
      <c r="CH1835" s="59" t="n">
        <f aca="false">IF(AND(Parameter!$B$21="Ja",ISNUMBER(W1835),N(X1835)&gt;0),IFERROR(N(INDEX(Parameter!$L$5:$L$7,W1835))*INDEX(Parameter!$E$5:$E$7,W1835)*X1835/SUMIFS($X$7:$X$1843,$W$7:$W$1843,W1835),0),0)</f>
        <v>0</v>
      </c>
    </row>
    <row r="1836" customFormat="false" ht="15" hidden="false" customHeight="false" outlineLevel="0" collapsed="false">
      <c r="A1836" s="55" t="str">
        <f aca="false">IF('Neue Artikel'!$A$97="","",'Neue Artikel'!$A$97&amp;"")</f>
        <v/>
      </c>
      <c r="B1836" s="55" t="str">
        <f aca="false">'Neue Artikel'!$B$97&amp;""</f>
        <v/>
      </c>
      <c r="C1836" s="55"/>
      <c r="D1836" s="55" t="s">
        <v>3015</v>
      </c>
      <c r="E1836" s="55"/>
      <c r="F1836" s="55"/>
      <c r="G1836" s="56" t="n">
        <f aca="false">N('Neue Artikel'!$G$97)</f>
        <v>0</v>
      </c>
      <c r="H1836" s="57" t="n">
        <f aca="false">MAX(0,IF(AND(Parameter!$B$21="Ja",ISNUMBER(Y1836)),Y1836,IF(Parameter!$B$20="Jahresanfang 2025 + Export",BL1836+BK1836,BK1836)))</f>
        <v>0</v>
      </c>
      <c r="I1836" s="57" t="n">
        <f aca="false">H1836*G1836</f>
        <v>0</v>
      </c>
      <c r="J1836" s="57" t="n">
        <f aca="false">BN1836*Parameter!$B$18</f>
        <v>0</v>
      </c>
      <c r="K1836" s="58"/>
      <c r="L1836" s="59"/>
      <c r="M1836" s="57" t="n">
        <f aca="false">N('Neue Artikel'!$E$97)</f>
        <v>0</v>
      </c>
      <c r="N1836" s="57" t="n">
        <f aca="false">N('Neue Artikel'!$F$97)</f>
        <v>0</v>
      </c>
      <c r="O1836" s="60"/>
      <c r="P1836" s="55" t="str">
        <f aca="false">IF('Neue Artikel'!$H$97="","LOSE",UPPER(TRIM('Neue Artikel'!$H$97)))</f>
        <v>LOSE</v>
      </c>
      <c r="Q1836" s="57" t="n">
        <f aca="false">N('Neue Artikel'!$I$97)</f>
        <v>0</v>
      </c>
      <c r="R1836" s="60" t="n">
        <f aca="false">IF(BT1836=1,0,IFERROR(VLOOKUP(BR1836,'Gebinde-Kategorie'!$A$5:$M$45,13,0)+0,0))</f>
        <v>0</v>
      </c>
      <c r="S1836" s="61"/>
      <c r="T1836" s="62"/>
      <c r="U1836" s="62"/>
      <c r="V1836" s="62"/>
      <c r="W1836" s="55"/>
      <c r="X1836" s="57"/>
      <c r="Y1836" s="57"/>
      <c r="Z1836" s="55" t="str">
        <f aca="false">IF(A1836="","",IF(AND(Parameter!$B$21="Ja",ISNUMBER(W1836)),W1836,IF(BV1836="2+3",IF(ISNUMBER(SEARCH("grosser Artikel",BO1836)),2,IFERROR(VLOOKUP(BR1836,Parameter!$F$35:$G$64,2,0),2)),IF(OR(BV1836="Nein",BV1836=""),"-",BV1836))))</f>
        <v/>
      </c>
      <c r="AA1836" s="55" t="str">
        <f aca="false">IF('Neue Artikel'!$J$97="","",'Neue Artikel'!$J$97)</f>
        <v/>
      </c>
      <c r="AB1836" s="63"/>
      <c r="AC1836" s="57" t="n">
        <f aca="false">AR1836</f>
        <v>0</v>
      </c>
      <c r="AD1836" s="57" t="n">
        <f aca="false">MAX(AR1836,H1836)</f>
        <v>0</v>
      </c>
      <c r="AE1836" s="64"/>
      <c r="AF1836" s="57" t="n">
        <f aca="false">IF(LEFT(Cockpit!$C$5,1)="A",H1836,IF(CA1836=1,CB1836,IF(LEFT(Cockpit!$C$5,1)="B",AJ1836,MAX(AJ1836,H1836))))</f>
        <v>0</v>
      </c>
      <c r="AG1836" s="57" t="n">
        <f aca="false">IF(BT1836=1,0,ROUNDUP(AF1836/BS1836,0))</f>
        <v>0</v>
      </c>
      <c r="AH1836" s="59" t="n">
        <f aca="false">IF(CH1836&gt;0,CH1836*MAX(1,AF1836/X1836),IF(BT1836=1,IF(AF1836&lt;=0,0,BW1836*MAX(1,IF(H1836&gt;0,AF1836/H1836,1))),IF(R1836&gt;0,AG1836/R1836,0))/MAX(0.1,N(Parameter!$M$21)))</f>
        <v>0</v>
      </c>
      <c r="AI1836" s="57" t="n">
        <f aca="false">AF1836*G1836</f>
        <v>0</v>
      </c>
      <c r="AJ1836" s="57" t="n">
        <f aca="false">ROUNDUP(MAX(J1836/IF(BZ1836&gt;0,BZ1836,MAX(0.1,N(Cockpit!$C$6))),CC1836)/BS1836,0)*BS1836</f>
        <v>0</v>
      </c>
      <c r="AK1836" s="58" t="n">
        <f aca="false">IF(AH1836&gt;0,J1836/AH1836,-1)</f>
        <v>-1</v>
      </c>
      <c r="AL1836" s="58" t="str">
        <f aca="false">IF(AND(OR(BY1836="L1",BY1836="L23"),AH1836&gt;0),SUMIFS($AH$7:$AH$1843,$BY$7:$BY$1843,BY1836,$AK$7:$AK$1843,"&gt;"&amp;AK1836)+SUMIFS($AH$7:$AH$1843,$BY$7:$BY$1843,BY1836,$AK$7:$AK$1843,AK1836,$BQ$7:$BQ$1843,"&lt;="&amp;BQ1836),"")</f>
        <v/>
      </c>
      <c r="AM1836" s="65" t="n">
        <f aca="false">IF(AL1836="",0,MAX(0,MIN(1,(IF(BY1836="L1",Parameter!$E$5,Parameter!$E$6+Parameter!$E$7)-(AL1836-AH1836))/AH1836)))</f>
        <v>0</v>
      </c>
      <c r="AN1836" s="57" t="n">
        <f aca="false">IF(LEFT(Cockpit!$I$5,1)="A",H1836,IF(CA1836=1,CB1836,IF(LEFT(Cockpit!$I$5,1)="B",AR1836,MAX(AR1836,H1836))))</f>
        <v>0</v>
      </c>
      <c r="AO1836" s="57" t="n">
        <f aca="false">IF(BT1836=1,0,ROUNDUP(AN1836/BS1836,0))</f>
        <v>0</v>
      </c>
      <c r="AP1836" s="59" t="n">
        <f aca="false">IF(CH1836&gt;0,CH1836*MAX(1,AN1836/X1836),IF(BT1836=1,IF(AN1836&lt;=0,0,BW1836*MAX(1,IF(H1836&gt;0,AN1836/H1836,1))),IF(R1836&gt;0,AO1836/R1836,0))/MAX(0.1,N(Parameter!$M$21)))</f>
        <v>0</v>
      </c>
      <c r="AQ1836" s="57" t="n">
        <f aca="false">AN1836*G1836</f>
        <v>0</v>
      </c>
      <c r="AR1836" s="57" t="n">
        <f aca="false">ROUNDUP(MAX(J1836/IF(BZ1836&gt;0,BZ1836,MAX(0.1,N(Cockpit!$I$6))),CC1836)/BS1836,0)*BS1836</f>
        <v>0</v>
      </c>
      <c r="AS1836" s="58" t="n">
        <f aca="false">IF(AP1836&gt;0,J1836/AP1836,-1)</f>
        <v>-1</v>
      </c>
      <c r="AT1836" s="58" t="str">
        <f aca="false">IF(AND(OR(BY1836="L1",BY1836="L23"),AP1836&gt;0),SUMIFS($AP$7:$AP$1843,$BY$7:$BY$1843,BY1836,$AS$7:$AS$1843,"&gt;"&amp;AS1836)+SUMIFS($AP$7:$AP$1843,$BY$7:$BY$1843,BY1836,$AS$7:$AS$1843,AS1836,$BQ$7:$BQ$1843,"&lt;="&amp;BQ1836),"")</f>
        <v/>
      </c>
      <c r="AU1836" s="65" t="n">
        <f aca="false">IF(AT1836="",0,MAX(0,MIN(1,(IF(BY1836="L1",Parameter!$E$5,Parameter!$E$6+Parameter!$E$7)-(AT1836-AP1836))/AP1836)))</f>
        <v>0</v>
      </c>
      <c r="AV1836" s="57" t="n">
        <f aca="false">IF(LEFT(Cockpit!$O$5,1)="A",H1836,IF(CA1836=1,CB1836,IF(LEFT(Cockpit!$O$5,1)="B",AZ1836,MAX(AZ1836,H1836))))</f>
        <v>0</v>
      </c>
      <c r="AW1836" s="57" t="n">
        <f aca="false">IF(BT1836=1,0,ROUNDUP(AV1836/BS1836,0))</f>
        <v>0</v>
      </c>
      <c r="AX1836" s="59" t="n">
        <f aca="false">IF(CH1836&gt;0,CH1836*MAX(1,AV1836/X1836),IF(BT1836=1,IF(AV1836&lt;=0,0,BW1836*MAX(1,IF(H1836&gt;0,AV1836/H1836,1))),IF(R1836&gt;0,AW1836/R1836,0))/MAX(0.1,N(Parameter!$M$21)))</f>
        <v>0</v>
      </c>
      <c r="AY1836" s="57" t="n">
        <f aca="false">AV1836*G1836</f>
        <v>0</v>
      </c>
      <c r="AZ1836" s="57" t="n">
        <f aca="false">ROUNDUP(MAX(J1836/IF(BZ1836&gt;0,BZ1836,MAX(0.1,N(Cockpit!$O$6))),CC1836)/BS1836,0)*BS1836</f>
        <v>0</v>
      </c>
      <c r="BA1836" s="58" t="n">
        <f aca="false">IF(AX1836&gt;0,J1836/AX1836,-1)</f>
        <v>-1</v>
      </c>
      <c r="BB1836" s="58" t="str">
        <f aca="false">IF(AND(OR(BY1836="L1",BY1836="L23"),AX1836&gt;0),SUMIFS($AX$7:$AX$1843,$BY$7:$BY$1843,BY1836,$BA$7:$BA$1843,"&gt;"&amp;BA1836)+SUMIFS($AX$7:$AX$1843,$BY$7:$BY$1843,BY1836,$BA$7:$BA$1843,BA1836,$BQ$7:$BQ$1843,"&lt;="&amp;BQ1836),"")</f>
        <v/>
      </c>
      <c r="BC1836" s="65" t="n">
        <f aca="false">IF(BB1836="",0,MAX(0,MIN(1,(IF(BY1836="L1",Parameter!$E$5,Parameter!$E$6+Parameter!$E$7)-(BB1836-AX1836))/AX1836)))</f>
        <v>0</v>
      </c>
      <c r="BD1836" s="55" t="str">
        <f aca="false">IF(AH1836&lt;=0,"",IF(BY1836="Aussen","Aussenlager",IF(BY1836="-","Nicht im Lift",IF(AM1836&gt;=1,"Lift",IF(AM1836&lt;=0,"Aussenlager","teilweise")))))</f>
        <v/>
      </c>
      <c r="BE1836" s="55" t="str">
        <f aca="false">IF(AP1836&lt;=0,"",IF(BY1836="Aussen","Aussenlager",IF(BY1836="-","Nicht im Lift",IF(AU1836&gt;=1,"Lift",IF(AU1836&lt;=0,"Aussenlager","teilweise")))))</f>
        <v/>
      </c>
      <c r="BF1836" s="55" t="str">
        <f aca="false">IF(AX1836&lt;=0,"",IF(BY1836="Aussen","Aussenlager",IF(BY1836="-","Nicht im Lift",IF(BC1836&gt;=1,"Lift",IF(BC1836&lt;=0,"Aussenlager","teilweise")))))</f>
        <v/>
      </c>
      <c r="BG1836" s="55" t="str">
        <f aca="false">IF(A1836="","",IF(BP1836=1,"Neu; ","")&amp;IF(AND(BP1836=0,BK1836&lt;0),"negativer Bestand (Export "&amp;BK1836&amp;"); ","")&amp;IF(J1836&lt;=0,"Kein Verbrauch; ","")&amp;IF(CH1836&gt;0,"Lift "&amp;W1836&amp;" lt. Liftbericht (Fach "&amp;X1836&amp;" Stk); ",IF(BU1836=1,"Gebinde geschätzt ("&amp;T1836&amp;"); ",IF(BT1836=1,"Lose – Tablare geschätzt; ","")))&amp;IF(H1836&gt;AR1836,"Überbestand "&amp;ROUND(H1836-AR1836,0)&amp;" Stk / CHF "&amp;ROUND((H1836-AR1836)*G1836,0)&amp;"; ","")&amp;IF(AND(CA1836=1,CB1836&lt;CC1836),"MAX &lt; MB+LG; ","")&amp;IF(AND(CG1836&gt;0,CF1836*10&gt;CG1836),"zu hoch für Tablar; ","")&amp;IF(AND(BP1836=0,OR(CA1836=1,AA1836&lt;&gt;"",U1836&lt;&gt;"",V1836&lt;&gt;"",AB1836&lt;&gt;"")),"manuell übersteuert; ","")&amp;IF(AND(BT1836=0,R1836=0),"Gebinde unbekannt / Stellmass fehlt; ","")&amp;IF(AND(BT1836=0,N(V1836)&lt;=0,N(Q1836)&lt;=0),"Menge pro Gebinde fehlt (Ist = 1 Gebinde); ","")&amp;BO1836)</f>
        <v/>
      </c>
      <c r="BH1836" s="55"/>
      <c r="BI1836" s="55"/>
      <c r="BJ1836" s="62"/>
      <c r="BK1836" s="57" t="n">
        <f aca="false">N('Neue Artikel'!$D$97)</f>
        <v>0</v>
      </c>
      <c r="BL1836" s="57" t="n">
        <v>0</v>
      </c>
      <c r="BM1836" s="56" t="n">
        <v>0</v>
      </c>
      <c r="BN1836" s="57" t="n">
        <f aca="false">N('Neue Artikel'!$C$97)/Parameter!$B$18</f>
        <v>0</v>
      </c>
      <c r="BO1836" s="55"/>
      <c r="BP1836" s="60" t="n">
        <v>1</v>
      </c>
      <c r="BQ1836" s="60" t="n">
        <v>1836</v>
      </c>
      <c r="BR1836" s="55" t="str">
        <f aca="false">IF(U1836&lt;&gt;"",UPPER(TRIM(U1836)),IF(BU1836=1,UPPER(VLOOKUP(T1836,Parameter!$I$27:$K$29,2,0)),IF(P1836="","LOSE",P1836)))</f>
        <v>LOSE</v>
      </c>
      <c r="BS1836" s="57" t="n">
        <f aca="false">IF(BR1836="LOSE",1,IF(N(V1836)&gt;0,V1836,IF(BU1836=1,MAX(1,N(VLOOKUP(T1836,Parameter!$I$27:$K$29,3,0)),H1836,N(N1836)),IF(N(Q1836)&gt;0,Q1836,MAX(1,H1836)))))</f>
        <v>1</v>
      </c>
      <c r="BT1836" s="60" t="n">
        <f aca="false">IF(BR1836="LOSE",1,0)</f>
        <v>1</v>
      </c>
      <c r="BU1836" s="60" t="n">
        <f aca="false">IF(AND(U1836="",OR(P1836="",P1836="LOSE"),T1836&lt;&gt;"",N(S1836)&lt;=0,ISNUMBER(MATCH(T1836,Parameter!$I$27:$I$29,0))),1,0)</f>
        <v>0</v>
      </c>
      <c r="BV1836" s="55" t="str">
        <f aca="false">IF(AND(Parameter!$B$19="Ja",E1836&lt;&gt;"",ISNUMBER(MATCH(E1836,Parameter!$I$35:$I$52,0))),VLOOKUP(E1836,Parameter!$I$35:$J$52,2,0),IFERROR(VLOOKUP(D1836,Parameter!$A$35:$C$64,2,0),"Nein"))</f>
        <v>2+3</v>
      </c>
      <c r="BW1836" s="59" t="n">
        <f aca="false">IF(BT1836=0,0,IF(N(S1836)&gt;0,S1836,IFERROR(VLOOKUP(D1836,Parameter!$A$35:$C$64,3,0)+0,0)))</f>
        <v>0.15</v>
      </c>
      <c r="BX1836" s="55" t="str">
        <f aca="false">IF(AA1836&lt;&gt;"",AA1836,Z1836)</f>
        <v/>
      </c>
      <c r="BY1836" s="55" t="str">
        <f aca="false">IF(BX1836=1,"L1",IF(OR(BX1836=2,BX1836=3),"L23",IF(BX1836="Aussen","Aussen","-")))</f>
        <v>-</v>
      </c>
      <c r="BZ1836" s="66" t="n">
        <f aca="false">IF(N(AB1836)&gt;0,AB1836,0)</f>
        <v>0</v>
      </c>
      <c r="CA1836" s="60" t="n">
        <f aca="false">IF(ISNUMBER(AE1836),1,0)</f>
        <v>0</v>
      </c>
      <c r="CB1836" s="57" t="n">
        <f aca="false">N(AE1836)</f>
        <v>0</v>
      </c>
      <c r="CC1836" s="57" t="n">
        <f aca="false">N(M1836)+N(N1836)</f>
        <v>0</v>
      </c>
      <c r="CD1836" s="57" t="n">
        <f aca="false">ROUNDUP(H1836/BS1836,0)</f>
        <v>0</v>
      </c>
      <c r="CE1836" s="57" t="n">
        <f aca="false">ROUNDUP(CB1836/BS1836,0)</f>
        <v>0</v>
      </c>
      <c r="CF1836" s="60" t="n">
        <f aca="false">IF(BT1836=1,0,IFERROR(VLOOKUP(BR1836,'Gebinde-Kategorie'!$A$5:$M$45,5,0)+0,0))</f>
        <v>0</v>
      </c>
      <c r="CG1836" s="60" t="n">
        <f aca="false">IFERROR(IF(OR(BX1836=1,BX1836=2,BX1836=3),N(INDEX(Parameter!$I$5:$I$7,BX1836)),0),0)</f>
        <v>0</v>
      </c>
      <c r="CH1836" s="59" t="n">
        <f aca="false">IF(AND(Parameter!$B$21="Ja",ISNUMBER(W1836),N(X1836)&gt;0),IFERROR(N(INDEX(Parameter!$L$5:$L$7,W1836))*INDEX(Parameter!$E$5:$E$7,W1836)*X1836/SUMIFS($X$7:$X$1843,$W$7:$W$1843,W1836),0),0)</f>
        <v>0</v>
      </c>
    </row>
    <row r="1837" customFormat="false" ht="15" hidden="false" customHeight="false" outlineLevel="0" collapsed="false">
      <c r="A1837" s="55" t="str">
        <f aca="false">IF('Neue Artikel'!$A$98="","",'Neue Artikel'!$A$98&amp;"")</f>
        <v/>
      </c>
      <c r="B1837" s="55" t="str">
        <f aca="false">'Neue Artikel'!$B$98&amp;""</f>
        <v/>
      </c>
      <c r="C1837" s="55"/>
      <c r="D1837" s="55" t="s">
        <v>3015</v>
      </c>
      <c r="E1837" s="55"/>
      <c r="F1837" s="55"/>
      <c r="G1837" s="56" t="n">
        <f aca="false">N('Neue Artikel'!$G$98)</f>
        <v>0</v>
      </c>
      <c r="H1837" s="57" t="n">
        <f aca="false">MAX(0,IF(AND(Parameter!$B$21="Ja",ISNUMBER(Y1837)),Y1837,IF(Parameter!$B$20="Jahresanfang 2025 + Export",BL1837+BK1837,BK1837)))</f>
        <v>0</v>
      </c>
      <c r="I1837" s="57" t="n">
        <f aca="false">H1837*G1837</f>
        <v>0</v>
      </c>
      <c r="J1837" s="57" t="n">
        <f aca="false">BN1837*Parameter!$B$18</f>
        <v>0</v>
      </c>
      <c r="K1837" s="58"/>
      <c r="L1837" s="59"/>
      <c r="M1837" s="57" t="n">
        <f aca="false">N('Neue Artikel'!$E$98)</f>
        <v>0</v>
      </c>
      <c r="N1837" s="57" t="n">
        <f aca="false">N('Neue Artikel'!$F$98)</f>
        <v>0</v>
      </c>
      <c r="O1837" s="60"/>
      <c r="P1837" s="55" t="str">
        <f aca="false">IF('Neue Artikel'!$H$98="","LOSE",UPPER(TRIM('Neue Artikel'!$H$98)))</f>
        <v>LOSE</v>
      </c>
      <c r="Q1837" s="57" t="n">
        <f aca="false">N('Neue Artikel'!$I$98)</f>
        <v>0</v>
      </c>
      <c r="R1837" s="60" t="n">
        <f aca="false">IF(BT1837=1,0,IFERROR(VLOOKUP(BR1837,'Gebinde-Kategorie'!$A$5:$M$45,13,0)+0,0))</f>
        <v>0</v>
      </c>
      <c r="S1837" s="61"/>
      <c r="T1837" s="62"/>
      <c r="U1837" s="62"/>
      <c r="V1837" s="62"/>
      <c r="W1837" s="55"/>
      <c r="X1837" s="57"/>
      <c r="Y1837" s="57"/>
      <c r="Z1837" s="55" t="str">
        <f aca="false">IF(A1837="","",IF(AND(Parameter!$B$21="Ja",ISNUMBER(W1837)),W1837,IF(BV1837="2+3",IF(ISNUMBER(SEARCH("grosser Artikel",BO1837)),2,IFERROR(VLOOKUP(BR1837,Parameter!$F$35:$G$64,2,0),2)),IF(OR(BV1837="Nein",BV1837=""),"-",BV1837))))</f>
        <v/>
      </c>
      <c r="AA1837" s="55" t="str">
        <f aca="false">IF('Neue Artikel'!$J$98="","",'Neue Artikel'!$J$98)</f>
        <v/>
      </c>
      <c r="AB1837" s="63"/>
      <c r="AC1837" s="57" t="n">
        <f aca="false">AR1837</f>
        <v>0</v>
      </c>
      <c r="AD1837" s="57" t="n">
        <f aca="false">MAX(AR1837,H1837)</f>
        <v>0</v>
      </c>
      <c r="AE1837" s="64"/>
      <c r="AF1837" s="57" t="n">
        <f aca="false">IF(LEFT(Cockpit!$C$5,1)="A",H1837,IF(CA1837=1,CB1837,IF(LEFT(Cockpit!$C$5,1)="B",AJ1837,MAX(AJ1837,H1837))))</f>
        <v>0</v>
      </c>
      <c r="AG1837" s="57" t="n">
        <f aca="false">IF(BT1837=1,0,ROUNDUP(AF1837/BS1837,0))</f>
        <v>0</v>
      </c>
      <c r="AH1837" s="59" t="n">
        <f aca="false">IF(CH1837&gt;0,CH1837*MAX(1,AF1837/X1837),IF(BT1837=1,IF(AF1837&lt;=0,0,BW1837*MAX(1,IF(H1837&gt;0,AF1837/H1837,1))),IF(R1837&gt;0,AG1837/R1837,0))/MAX(0.1,N(Parameter!$M$21)))</f>
        <v>0</v>
      </c>
      <c r="AI1837" s="57" t="n">
        <f aca="false">AF1837*G1837</f>
        <v>0</v>
      </c>
      <c r="AJ1837" s="57" t="n">
        <f aca="false">ROUNDUP(MAX(J1837/IF(BZ1837&gt;0,BZ1837,MAX(0.1,N(Cockpit!$C$6))),CC1837)/BS1837,0)*BS1837</f>
        <v>0</v>
      </c>
      <c r="AK1837" s="58" t="n">
        <f aca="false">IF(AH1837&gt;0,J1837/AH1837,-1)</f>
        <v>-1</v>
      </c>
      <c r="AL1837" s="58" t="str">
        <f aca="false">IF(AND(OR(BY1837="L1",BY1837="L23"),AH1837&gt;0),SUMIFS($AH$7:$AH$1843,$BY$7:$BY$1843,BY1837,$AK$7:$AK$1843,"&gt;"&amp;AK1837)+SUMIFS($AH$7:$AH$1843,$BY$7:$BY$1843,BY1837,$AK$7:$AK$1843,AK1837,$BQ$7:$BQ$1843,"&lt;="&amp;BQ1837),"")</f>
        <v/>
      </c>
      <c r="AM1837" s="65" t="n">
        <f aca="false">IF(AL1837="",0,MAX(0,MIN(1,(IF(BY1837="L1",Parameter!$E$5,Parameter!$E$6+Parameter!$E$7)-(AL1837-AH1837))/AH1837)))</f>
        <v>0</v>
      </c>
      <c r="AN1837" s="57" t="n">
        <f aca="false">IF(LEFT(Cockpit!$I$5,1)="A",H1837,IF(CA1837=1,CB1837,IF(LEFT(Cockpit!$I$5,1)="B",AR1837,MAX(AR1837,H1837))))</f>
        <v>0</v>
      </c>
      <c r="AO1837" s="57" t="n">
        <f aca="false">IF(BT1837=1,0,ROUNDUP(AN1837/BS1837,0))</f>
        <v>0</v>
      </c>
      <c r="AP1837" s="59" t="n">
        <f aca="false">IF(CH1837&gt;0,CH1837*MAX(1,AN1837/X1837),IF(BT1837=1,IF(AN1837&lt;=0,0,BW1837*MAX(1,IF(H1837&gt;0,AN1837/H1837,1))),IF(R1837&gt;0,AO1837/R1837,0))/MAX(0.1,N(Parameter!$M$21)))</f>
        <v>0</v>
      </c>
      <c r="AQ1837" s="57" t="n">
        <f aca="false">AN1837*G1837</f>
        <v>0</v>
      </c>
      <c r="AR1837" s="57" t="n">
        <f aca="false">ROUNDUP(MAX(J1837/IF(BZ1837&gt;0,BZ1837,MAX(0.1,N(Cockpit!$I$6))),CC1837)/BS1837,0)*BS1837</f>
        <v>0</v>
      </c>
      <c r="AS1837" s="58" t="n">
        <f aca="false">IF(AP1837&gt;0,J1837/AP1837,-1)</f>
        <v>-1</v>
      </c>
      <c r="AT1837" s="58" t="str">
        <f aca="false">IF(AND(OR(BY1837="L1",BY1837="L23"),AP1837&gt;0),SUMIFS($AP$7:$AP$1843,$BY$7:$BY$1843,BY1837,$AS$7:$AS$1843,"&gt;"&amp;AS1837)+SUMIFS($AP$7:$AP$1843,$BY$7:$BY$1843,BY1837,$AS$7:$AS$1843,AS1837,$BQ$7:$BQ$1843,"&lt;="&amp;BQ1837),"")</f>
        <v/>
      </c>
      <c r="AU1837" s="65" t="n">
        <f aca="false">IF(AT1837="",0,MAX(0,MIN(1,(IF(BY1837="L1",Parameter!$E$5,Parameter!$E$6+Parameter!$E$7)-(AT1837-AP1837))/AP1837)))</f>
        <v>0</v>
      </c>
      <c r="AV1837" s="57" t="n">
        <f aca="false">IF(LEFT(Cockpit!$O$5,1)="A",H1837,IF(CA1837=1,CB1837,IF(LEFT(Cockpit!$O$5,1)="B",AZ1837,MAX(AZ1837,H1837))))</f>
        <v>0</v>
      </c>
      <c r="AW1837" s="57" t="n">
        <f aca="false">IF(BT1837=1,0,ROUNDUP(AV1837/BS1837,0))</f>
        <v>0</v>
      </c>
      <c r="AX1837" s="59" t="n">
        <f aca="false">IF(CH1837&gt;0,CH1837*MAX(1,AV1837/X1837),IF(BT1837=1,IF(AV1837&lt;=0,0,BW1837*MAX(1,IF(H1837&gt;0,AV1837/H1837,1))),IF(R1837&gt;0,AW1837/R1837,0))/MAX(0.1,N(Parameter!$M$21)))</f>
        <v>0</v>
      </c>
      <c r="AY1837" s="57" t="n">
        <f aca="false">AV1837*G1837</f>
        <v>0</v>
      </c>
      <c r="AZ1837" s="57" t="n">
        <f aca="false">ROUNDUP(MAX(J1837/IF(BZ1837&gt;0,BZ1837,MAX(0.1,N(Cockpit!$O$6))),CC1837)/BS1837,0)*BS1837</f>
        <v>0</v>
      </c>
      <c r="BA1837" s="58" t="n">
        <f aca="false">IF(AX1837&gt;0,J1837/AX1837,-1)</f>
        <v>-1</v>
      </c>
      <c r="BB1837" s="58" t="str">
        <f aca="false">IF(AND(OR(BY1837="L1",BY1837="L23"),AX1837&gt;0),SUMIFS($AX$7:$AX$1843,$BY$7:$BY$1843,BY1837,$BA$7:$BA$1843,"&gt;"&amp;BA1837)+SUMIFS($AX$7:$AX$1843,$BY$7:$BY$1843,BY1837,$BA$7:$BA$1843,BA1837,$BQ$7:$BQ$1843,"&lt;="&amp;BQ1837),"")</f>
        <v/>
      </c>
      <c r="BC1837" s="65" t="n">
        <f aca="false">IF(BB1837="",0,MAX(0,MIN(1,(IF(BY1837="L1",Parameter!$E$5,Parameter!$E$6+Parameter!$E$7)-(BB1837-AX1837))/AX1837)))</f>
        <v>0</v>
      </c>
      <c r="BD1837" s="55" t="str">
        <f aca="false">IF(AH1837&lt;=0,"",IF(BY1837="Aussen","Aussenlager",IF(BY1837="-","Nicht im Lift",IF(AM1837&gt;=1,"Lift",IF(AM1837&lt;=0,"Aussenlager","teilweise")))))</f>
        <v/>
      </c>
      <c r="BE1837" s="55" t="str">
        <f aca="false">IF(AP1837&lt;=0,"",IF(BY1837="Aussen","Aussenlager",IF(BY1837="-","Nicht im Lift",IF(AU1837&gt;=1,"Lift",IF(AU1837&lt;=0,"Aussenlager","teilweise")))))</f>
        <v/>
      </c>
      <c r="BF1837" s="55" t="str">
        <f aca="false">IF(AX1837&lt;=0,"",IF(BY1837="Aussen","Aussenlager",IF(BY1837="-","Nicht im Lift",IF(BC1837&gt;=1,"Lift",IF(BC1837&lt;=0,"Aussenlager","teilweise")))))</f>
        <v/>
      </c>
      <c r="BG1837" s="55" t="str">
        <f aca="false">IF(A1837="","",IF(BP1837=1,"Neu; ","")&amp;IF(AND(BP1837=0,BK1837&lt;0),"negativer Bestand (Export "&amp;BK1837&amp;"); ","")&amp;IF(J1837&lt;=0,"Kein Verbrauch; ","")&amp;IF(CH1837&gt;0,"Lift "&amp;W1837&amp;" lt. Liftbericht (Fach "&amp;X1837&amp;" Stk); ",IF(BU1837=1,"Gebinde geschätzt ("&amp;T1837&amp;"); ",IF(BT1837=1,"Lose – Tablare geschätzt; ","")))&amp;IF(H1837&gt;AR1837,"Überbestand "&amp;ROUND(H1837-AR1837,0)&amp;" Stk / CHF "&amp;ROUND((H1837-AR1837)*G1837,0)&amp;"; ","")&amp;IF(AND(CA1837=1,CB1837&lt;CC1837),"MAX &lt; MB+LG; ","")&amp;IF(AND(CG1837&gt;0,CF1837*10&gt;CG1837),"zu hoch für Tablar; ","")&amp;IF(AND(BP1837=0,OR(CA1837=1,AA1837&lt;&gt;"",U1837&lt;&gt;"",V1837&lt;&gt;"",AB1837&lt;&gt;"")),"manuell übersteuert; ","")&amp;IF(AND(BT1837=0,R1837=0),"Gebinde unbekannt / Stellmass fehlt; ","")&amp;IF(AND(BT1837=0,N(V1837)&lt;=0,N(Q1837)&lt;=0),"Menge pro Gebinde fehlt (Ist = 1 Gebinde); ","")&amp;BO1837)</f>
        <v/>
      </c>
      <c r="BH1837" s="55"/>
      <c r="BI1837" s="55"/>
      <c r="BJ1837" s="62"/>
      <c r="BK1837" s="57" t="n">
        <f aca="false">N('Neue Artikel'!$D$98)</f>
        <v>0</v>
      </c>
      <c r="BL1837" s="57" t="n">
        <v>0</v>
      </c>
      <c r="BM1837" s="56" t="n">
        <v>0</v>
      </c>
      <c r="BN1837" s="57" t="n">
        <f aca="false">N('Neue Artikel'!$C$98)/Parameter!$B$18</f>
        <v>0</v>
      </c>
      <c r="BO1837" s="55"/>
      <c r="BP1837" s="60" t="n">
        <v>1</v>
      </c>
      <c r="BQ1837" s="60" t="n">
        <v>1837</v>
      </c>
      <c r="BR1837" s="55" t="str">
        <f aca="false">IF(U1837&lt;&gt;"",UPPER(TRIM(U1837)),IF(BU1837=1,UPPER(VLOOKUP(T1837,Parameter!$I$27:$K$29,2,0)),IF(P1837="","LOSE",P1837)))</f>
        <v>LOSE</v>
      </c>
      <c r="BS1837" s="57" t="n">
        <f aca="false">IF(BR1837="LOSE",1,IF(N(V1837)&gt;0,V1837,IF(BU1837=1,MAX(1,N(VLOOKUP(T1837,Parameter!$I$27:$K$29,3,0)),H1837,N(N1837)),IF(N(Q1837)&gt;0,Q1837,MAX(1,H1837)))))</f>
        <v>1</v>
      </c>
      <c r="BT1837" s="60" t="n">
        <f aca="false">IF(BR1837="LOSE",1,0)</f>
        <v>1</v>
      </c>
      <c r="BU1837" s="60" t="n">
        <f aca="false">IF(AND(U1837="",OR(P1837="",P1837="LOSE"),T1837&lt;&gt;"",N(S1837)&lt;=0,ISNUMBER(MATCH(T1837,Parameter!$I$27:$I$29,0))),1,0)</f>
        <v>0</v>
      </c>
      <c r="BV1837" s="55" t="str">
        <f aca="false">IF(AND(Parameter!$B$19="Ja",E1837&lt;&gt;"",ISNUMBER(MATCH(E1837,Parameter!$I$35:$I$52,0))),VLOOKUP(E1837,Parameter!$I$35:$J$52,2,0),IFERROR(VLOOKUP(D1837,Parameter!$A$35:$C$64,2,0),"Nein"))</f>
        <v>2+3</v>
      </c>
      <c r="BW1837" s="59" t="n">
        <f aca="false">IF(BT1837=0,0,IF(N(S1837)&gt;0,S1837,IFERROR(VLOOKUP(D1837,Parameter!$A$35:$C$64,3,0)+0,0)))</f>
        <v>0.15</v>
      </c>
      <c r="BX1837" s="55" t="str">
        <f aca="false">IF(AA1837&lt;&gt;"",AA1837,Z1837)</f>
        <v/>
      </c>
      <c r="BY1837" s="55" t="str">
        <f aca="false">IF(BX1837=1,"L1",IF(OR(BX1837=2,BX1837=3),"L23",IF(BX1837="Aussen","Aussen","-")))</f>
        <v>-</v>
      </c>
      <c r="BZ1837" s="66" t="n">
        <f aca="false">IF(N(AB1837)&gt;0,AB1837,0)</f>
        <v>0</v>
      </c>
      <c r="CA1837" s="60" t="n">
        <f aca="false">IF(ISNUMBER(AE1837),1,0)</f>
        <v>0</v>
      </c>
      <c r="CB1837" s="57" t="n">
        <f aca="false">N(AE1837)</f>
        <v>0</v>
      </c>
      <c r="CC1837" s="57" t="n">
        <f aca="false">N(M1837)+N(N1837)</f>
        <v>0</v>
      </c>
      <c r="CD1837" s="57" t="n">
        <f aca="false">ROUNDUP(H1837/BS1837,0)</f>
        <v>0</v>
      </c>
      <c r="CE1837" s="57" t="n">
        <f aca="false">ROUNDUP(CB1837/BS1837,0)</f>
        <v>0</v>
      </c>
      <c r="CF1837" s="60" t="n">
        <f aca="false">IF(BT1837=1,0,IFERROR(VLOOKUP(BR1837,'Gebinde-Kategorie'!$A$5:$M$45,5,0)+0,0))</f>
        <v>0</v>
      </c>
      <c r="CG1837" s="60" t="n">
        <f aca="false">IFERROR(IF(OR(BX1837=1,BX1837=2,BX1837=3),N(INDEX(Parameter!$I$5:$I$7,BX1837)),0),0)</f>
        <v>0</v>
      </c>
      <c r="CH1837" s="59" t="n">
        <f aca="false">IF(AND(Parameter!$B$21="Ja",ISNUMBER(W1837),N(X1837)&gt;0),IFERROR(N(INDEX(Parameter!$L$5:$L$7,W1837))*INDEX(Parameter!$E$5:$E$7,W1837)*X1837/SUMIFS($X$7:$X$1843,$W$7:$W$1843,W1837),0),0)</f>
        <v>0</v>
      </c>
    </row>
    <row r="1838" customFormat="false" ht="15" hidden="false" customHeight="false" outlineLevel="0" collapsed="false">
      <c r="A1838" s="55" t="str">
        <f aca="false">IF('Neue Artikel'!$A$99="","",'Neue Artikel'!$A$99&amp;"")</f>
        <v/>
      </c>
      <c r="B1838" s="55" t="str">
        <f aca="false">'Neue Artikel'!$B$99&amp;""</f>
        <v/>
      </c>
      <c r="C1838" s="55"/>
      <c r="D1838" s="55" t="s">
        <v>3015</v>
      </c>
      <c r="E1838" s="55"/>
      <c r="F1838" s="55"/>
      <c r="G1838" s="56" t="n">
        <f aca="false">N('Neue Artikel'!$G$99)</f>
        <v>0</v>
      </c>
      <c r="H1838" s="57" t="n">
        <f aca="false">MAX(0,IF(AND(Parameter!$B$21="Ja",ISNUMBER(Y1838)),Y1838,IF(Parameter!$B$20="Jahresanfang 2025 + Export",BL1838+BK1838,BK1838)))</f>
        <v>0</v>
      </c>
      <c r="I1838" s="57" t="n">
        <f aca="false">H1838*G1838</f>
        <v>0</v>
      </c>
      <c r="J1838" s="57" t="n">
        <f aca="false">BN1838*Parameter!$B$18</f>
        <v>0</v>
      </c>
      <c r="K1838" s="58"/>
      <c r="L1838" s="59"/>
      <c r="M1838" s="57" t="n">
        <f aca="false">N('Neue Artikel'!$E$99)</f>
        <v>0</v>
      </c>
      <c r="N1838" s="57" t="n">
        <f aca="false">N('Neue Artikel'!$F$99)</f>
        <v>0</v>
      </c>
      <c r="O1838" s="60"/>
      <c r="P1838" s="55" t="str">
        <f aca="false">IF('Neue Artikel'!$H$99="","LOSE",UPPER(TRIM('Neue Artikel'!$H$99)))</f>
        <v>LOSE</v>
      </c>
      <c r="Q1838" s="57" t="n">
        <f aca="false">N('Neue Artikel'!$I$99)</f>
        <v>0</v>
      </c>
      <c r="R1838" s="60" t="n">
        <f aca="false">IF(BT1838=1,0,IFERROR(VLOOKUP(BR1838,'Gebinde-Kategorie'!$A$5:$M$45,13,0)+0,0))</f>
        <v>0</v>
      </c>
      <c r="S1838" s="61"/>
      <c r="T1838" s="62"/>
      <c r="U1838" s="62"/>
      <c r="V1838" s="62"/>
      <c r="W1838" s="55"/>
      <c r="X1838" s="57"/>
      <c r="Y1838" s="57"/>
      <c r="Z1838" s="55" t="str">
        <f aca="false">IF(A1838="","",IF(AND(Parameter!$B$21="Ja",ISNUMBER(W1838)),W1838,IF(BV1838="2+3",IF(ISNUMBER(SEARCH("grosser Artikel",BO1838)),2,IFERROR(VLOOKUP(BR1838,Parameter!$F$35:$G$64,2,0),2)),IF(OR(BV1838="Nein",BV1838=""),"-",BV1838))))</f>
        <v/>
      </c>
      <c r="AA1838" s="55" t="str">
        <f aca="false">IF('Neue Artikel'!$J$99="","",'Neue Artikel'!$J$99)</f>
        <v/>
      </c>
      <c r="AB1838" s="63"/>
      <c r="AC1838" s="57" t="n">
        <f aca="false">AR1838</f>
        <v>0</v>
      </c>
      <c r="AD1838" s="57" t="n">
        <f aca="false">MAX(AR1838,H1838)</f>
        <v>0</v>
      </c>
      <c r="AE1838" s="64"/>
      <c r="AF1838" s="57" t="n">
        <f aca="false">IF(LEFT(Cockpit!$C$5,1)="A",H1838,IF(CA1838=1,CB1838,IF(LEFT(Cockpit!$C$5,1)="B",AJ1838,MAX(AJ1838,H1838))))</f>
        <v>0</v>
      </c>
      <c r="AG1838" s="57" t="n">
        <f aca="false">IF(BT1838=1,0,ROUNDUP(AF1838/BS1838,0))</f>
        <v>0</v>
      </c>
      <c r="AH1838" s="59" t="n">
        <f aca="false">IF(CH1838&gt;0,CH1838*MAX(1,AF1838/X1838),IF(BT1838=1,IF(AF1838&lt;=0,0,BW1838*MAX(1,IF(H1838&gt;0,AF1838/H1838,1))),IF(R1838&gt;0,AG1838/R1838,0))/MAX(0.1,N(Parameter!$M$21)))</f>
        <v>0</v>
      </c>
      <c r="AI1838" s="57" t="n">
        <f aca="false">AF1838*G1838</f>
        <v>0</v>
      </c>
      <c r="AJ1838" s="57" t="n">
        <f aca="false">ROUNDUP(MAX(J1838/IF(BZ1838&gt;0,BZ1838,MAX(0.1,N(Cockpit!$C$6))),CC1838)/BS1838,0)*BS1838</f>
        <v>0</v>
      </c>
      <c r="AK1838" s="58" t="n">
        <f aca="false">IF(AH1838&gt;0,J1838/AH1838,-1)</f>
        <v>-1</v>
      </c>
      <c r="AL1838" s="58" t="str">
        <f aca="false">IF(AND(OR(BY1838="L1",BY1838="L23"),AH1838&gt;0),SUMIFS($AH$7:$AH$1843,$BY$7:$BY$1843,BY1838,$AK$7:$AK$1843,"&gt;"&amp;AK1838)+SUMIFS($AH$7:$AH$1843,$BY$7:$BY$1843,BY1838,$AK$7:$AK$1843,AK1838,$BQ$7:$BQ$1843,"&lt;="&amp;BQ1838),"")</f>
        <v/>
      </c>
      <c r="AM1838" s="65" t="n">
        <f aca="false">IF(AL1838="",0,MAX(0,MIN(1,(IF(BY1838="L1",Parameter!$E$5,Parameter!$E$6+Parameter!$E$7)-(AL1838-AH1838))/AH1838)))</f>
        <v>0</v>
      </c>
      <c r="AN1838" s="57" t="n">
        <f aca="false">IF(LEFT(Cockpit!$I$5,1)="A",H1838,IF(CA1838=1,CB1838,IF(LEFT(Cockpit!$I$5,1)="B",AR1838,MAX(AR1838,H1838))))</f>
        <v>0</v>
      </c>
      <c r="AO1838" s="57" t="n">
        <f aca="false">IF(BT1838=1,0,ROUNDUP(AN1838/BS1838,0))</f>
        <v>0</v>
      </c>
      <c r="AP1838" s="59" t="n">
        <f aca="false">IF(CH1838&gt;0,CH1838*MAX(1,AN1838/X1838),IF(BT1838=1,IF(AN1838&lt;=0,0,BW1838*MAX(1,IF(H1838&gt;0,AN1838/H1838,1))),IF(R1838&gt;0,AO1838/R1838,0))/MAX(0.1,N(Parameter!$M$21)))</f>
        <v>0</v>
      </c>
      <c r="AQ1838" s="57" t="n">
        <f aca="false">AN1838*G1838</f>
        <v>0</v>
      </c>
      <c r="AR1838" s="57" t="n">
        <f aca="false">ROUNDUP(MAX(J1838/IF(BZ1838&gt;0,BZ1838,MAX(0.1,N(Cockpit!$I$6))),CC1838)/BS1838,0)*BS1838</f>
        <v>0</v>
      </c>
      <c r="AS1838" s="58" t="n">
        <f aca="false">IF(AP1838&gt;0,J1838/AP1838,-1)</f>
        <v>-1</v>
      </c>
      <c r="AT1838" s="58" t="str">
        <f aca="false">IF(AND(OR(BY1838="L1",BY1838="L23"),AP1838&gt;0),SUMIFS($AP$7:$AP$1843,$BY$7:$BY$1843,BY1838,$AS$7:$AS$1843,"&gt;"&amp;AS1838)+SUMIFS($AP$7:$AP$1843,$BY$7:$BY$1843,BY1838,$AS$7:$AS$1843,AS1838,$BQ$7:$BQ$1843,"&lt;="&amp;BQ1838),"")</f>
        <v/>
      </c>
      <c r="AU1838" s="65" t="n">
        <f aca="false">IF(AT1838="",0,MAX(0,MIN(1,(IF(BY1838="L1",Parameter!$E$5,Parameter!$E$6+Parameter!$E$7)-(AT1838-AP1838))/AP1838)))</f>
        <v>0</v>
      </c>
      <c r="AV1838" s="57" t="n">
        <f aca="false">IF(LEFT(Cockpit!$O$5,1)="A",H1838,IF(CA1838=1,CB1838,IF(LEFT(Cockpit!$O$5,1)="B",AZ1838,MAX(AZ1838,H1838))))</f>
        <v>0</v>
      </c>
      <c r="AW1838" s="57" t="n">
        <f aca="false">IF(BT1838=1,0,ROUNDUP(AV1838/BS1838,0))</f>
        <v>0</v>
      </c>
      <c r="AX1838" s="59" t="n">
        <f aca="false">IF(CH1838&gt;0,CH1838*MAX(1,AV1838/X1838),IF(BT1838=1,IF(AV1838&lt;=0,0,BW1838*MAX(1,IF(H1838&gt;0,AV1838/H1838,1))),IF(R1838&gt;0,AW1838/R1838,0))/MAX(0.1,N(Parameter!$M$21)))</f>
        <v>0</v>
      </c>
      <c r="AY1838" s="57" t="n">
        <f aca="false">AV1838*G1838</f>
        <v>0</v>
      </c>
      <c r="AZ1838" s="57" t="n">
        <f aca="false">ROUNDUP(MAX(J1838/IF(BZ1838&gt;0,BZ1838,MAX(0.1,N(Cockpit!$O$6))),CC1838)/BS1838,0)*BS1838</f>
        <v>0</v>
      </c>
      <c r="BA1838" s="58" t="n">
        <f aca="false">IF(AX1838&gt;0,J1838/AX1838,-1)</f>
        <v>-1</v>
      </c>
      <c r="BB1838" s="58" t="str">
        <f aca="false">IF(AND(OR(BY1838="L1",BY1838="L23"),AX1838&gt;0),SUMIFS($AX$7:$AX$1843,$BY$7:$BY$1843,BY1838,$BA$7:$BA$1843,"&gt;"&amp;BA1838)+SUMIFS($AX$7:$AX$1843,$BY$7:$BY$1843,BY1838,$BA$7:$BA$1843,BA1838,$BQ$7:$BQ$1843,"&lt;="&amp;BQ1838),"")</f>
        <v/>
      </c>
      <c r="BC1838" s="65" t="n">
        <f aca="false">IF(BB1838="",0,MAX(0,MIN(1,(IF(BY1838="L1",Parameter!$E$5,Parameter!$E$6+Parameter!$E$7)-(BB1838-AX1838))/AX1838)))</f>
        <v>0</v>
      </c>
      <c r="BD1838" s="55" t="str">
        <f aca="false">IF(AH1838&lt;=0,"",IF(BY1838="Aussen","Aussenlager",IF(BY1838="-","Nicht im Lift",IF(AM1838&gt;=1,"Lift",IF(AM1838&lt;=0,"Aussenlager","teilweise")))))</f>
        <v/>
      </c>
      <c r="BE1838" s="55" t="str">
        <f aca="false">IF(AP1838&lt;=0,"",IF(BY1838="Aussen","Aussenlager",IF(BY1838="-","Nicht im Lift",IF(AU1838&gt;=1,"Lift",IF(AU1838&lt;=0,"Aussenlager","teilweise")))))</f>
        <v/>
      </c>
      <c r="BF1838" s="55" t="str">
        <f aca="false">IF(AX1838&lt;=0,"",IF(BY1838="Aussen","Aussenlager",IF(BY1838="-","Nicht im Lift",IF(BC1838&gt;=1,"Lift",IF(BC1838&lt;=0,"Aussenlager","teilweise")))))</f>
        <v/>
      </c>
      <c r="BG1838" s="55" t="str">
        <f aca="false">IF(A1838="","",IF(BP1838=1,"Neu; ","")&amp;IF(AND(BP1838=0,BK1838&lt;0),"negativer Bestand (Export "&amp;BK1838&amp;"); ","")&amp;IF(J1838&lt;=0,"Kein Verbrauch; ","")&amp;IF(CH1838&gt;0,"Lift "&amp;W1838&amp;" lt. Liftbericht (Fach "&amp;X1838&amp;" Stk); ",IF(BU1838=1,"Gebinde geschätzt ("&amp;T1838&amp;"); ",IF(BT1838=1,"Lose – Tablare geschätzt; ","")))&amp;IF(H1838&gt;AR1838,"Überbestand "&amp;ROUND(H1838-AR1838,0)&amp;" Stk / CHF "&amp;ROUND((H1838-AR1838)*G1838,0)&amp;"; ","")&amp;IF(AND(CA1838=1,CB1838&lt;CC1838),"MAX &lt; MB+LG; ","")&amp;IF(AND(CG1838&gt;0,CF1838*10&gt;CG1838),"zu hoch für Tablar; ","")&amp;IF(AND(BP1838=0,OR(CA1838=1,AA1838&lt;&gt;"",U1838&lt;&gt;"",V1838&lt;&gt;"",AB1838&lt;&gt;"")),"manuell übersteuert; ","")&amp;IF(AND(BT1838=0,R1838=0),"Gebinde unbekannt / Stellmass fehlt; ","")&amp;IF(AND(BT1838=0,N(V1838)&lt;=0,N(Q1838)&lt;=0),"Menge pro Gebinde fehlt (Ist = 1 Gebinde); ","")&amp;BO1838)</f>
        <v/>
      </c>
      <c r="BH1838" s="55"/>
      <c r="BI1838" s="55"/>
      <c r="BJ1838" s="62"/>
      <c r="BK1838" s="57" t="n">
        <f aca="false">N('Neue Artikel'!$D$99)</f>
        <v>0</v>
      </c>
      <c r="BL1838" s="57" t="n">
        <v>0</v>
      </c>
      <c r="BM1838" s="56" t="n">
        <v>0</v>
      </c>
      <c r="BN1838" s="57" t="n">
        <f aca="false">N('Neue Artikel'!$C$99)/Parameter!$B$18</f>
        <v>0</v>
      </c>
      <c r="BO1838" s="55"/>
      <c r="BP1838" s="60" t="n">
        <v>1</v>
      </c>
      <c r="BQ1838" s="60" t="n">
        <v>1838</v>
      </c>
      <c r="BR1838" s="55" t="str">
        <f aca="false">IF(U1838&lt;&gt;"",UPPER(TRIM(U1838)),IF(BU1838=1,UPPER(VLOOKUP(T1838,Parameter!$I$27:$K$29,2,0)),IF(P1838="","LOSE",P1838)))</f>
        <v>LOSE</v>
      </c>
      <c r="BS1838" s="57" t="n">
        <f aca="false">IF(BR1838="LOSE",1,IF(N(V1838)&gt;0,V1838,IF(BU1838=1,MAX(1,N(VLOOKUP(T1838,Parameter!$I$27:$K$29,3,0)),H1838,N(N1838)),IF(N(Q1838)&gt;0,Q1838,MAX(1,H1838)))))</f>
        <v>1</v>
      </c>
      <c r="BT1838" s="60" t="n">
        <f aca="false">IF(BR1838="LOSE",1,0)</f>
        <v>1</v>
      </c>
      <c r="BU1838" s="60" t="n">
        <f aca="false">IF(AND(U1838="",OR(P1838="",P1838="LOSE"),T1838&lt;&gt;"",N(S1838)&lt;=0,ISNUMBER(MATCH(T1838,Parameter!$I$27:$I$29,0))),1,0)</f>
        <v>0</v>
      </c>
      <c r="BV1838" s="55" t="str">
        <f aca="false">IF(AND(Parameter!$B$19="Ja",E1838&lt;&gt;"",ISNUMBER(MATCH(E1838,Parameter!$I$35:$I$52,0))),VLOOKUP(E1838,Parameter!$I$35:$J$52,2,0),IFERROR(VLOOKUP(D1838,Parameter!$A$35:$C$64,2,0),"Nein"))</f>
        <v>2+3</v>
      </c>
      <c r="BW1838" s="59" t="n">
        <f aca="false">IF(BT1838=0,0,IF(N(S1838)&gt;0,S1838,IFERROR(VLOOKUP(D1838,Parameter!$A$35:$C$64,3,0)+0,0)))</f>
        <v>0.15</v>
      </c>
      <c r="BX1838" s="55" t="str">
        <f aca="false">IF(AA1838&lt;&gt;"",AA1838,Z1838)</f>
        <v/>
      </c>
      <c r="BY1838" s="55" t="str">
        <f aca="false">IF(BX1838=1,"L1",IF(OR(BX1838=2,BX1838=3),"L23",IF(BX1838="Aussen","Aussen","-")))</f>
        <v>-</v>
      </c>
      <c r="BZ1838" s="66" t="n">
        <f aca="false">IF(N(AB1838)&gt;0,AB1838,0)</f>
        <v>0</v>
      </c>
      <c r="CA1838" s="60" t="n">
        <f aca="false">IF(ISNUMBER(AE1838),1,0)</f>
        <v>0</v>
      </c>
      <c r="CB1838" s="57" t="n">
        <f aca="false">N(AE1838)</f>
        <v>0</v>
      </c>
      <c r="CC1838" s="57" t="n">
        <f aca="false">N(M1838)+N(N1838)</f>
        <v>0</v>
      </c>
      <c r="CD1838" s="57" t="n">
        <f aca="false">ROUNDUP(H1838/BS1838,0)</f>
        <v>0</v>
      </c>
      <c r="CE1838" s="57" t="n">
        <f aca="false">ROUNDUP(CB1838/BS1838,0)</f>
        <v>0</v>
      </c>
      <c r="CF1838" s="60" t="n">
        <f aca="false">IF(BT1838=1,0,IFERROR(VLOOKUP(BR1838,'Gebinde-Kategorie'!$A$5:$M$45,5,0)+0,0))</f>
        <v>0</v>
      </c>
      <c r="CG1838" s="60" t="n">
        <f aca="false">IFERROR(IF(OR(BX1838=1,BX1838=2,BX1838=3),N(INDEX(Parameter!$I$5:$I$7,BX1838)),0),0)</f>
        <v>0</v>
      </c>
      <c r="CH1838" s="59" t="n">
        <f aca="false">IF(AND(Parameter!$B$21="Ja",ISNUMBER(W1838),N(X1838)&gt;0),IFERROR(N(INDEX(Parameter!$L$5:$L$7,W1838))*INDEX(Parameter!$E$5:$E$7,W1838)*X1838/SUMIFS($X$7:$X$1843,$W$7:$W$1843,W1838),0),0)</f>
        <v>0</v>
      </c>
    </row>
    <row r="1839" customFormat="false" ht="15" hidden="false" customHeight="false" outlineLevel="0" collapsed="false">
      <c r="A1839" s="55" t="str">
        <f aca="false">IF('Neue Artikel'!$A$100="","",'Neue Artikel'!$A$100&amp;"")</f>
        <v/>
      </c>
      <c r="B1839" s="55" t="str">
        <f aca="false">'Neue Artikel'!$B$100&amp;""</f>
        <v/>
      </c>
      <c r="C1839" s="55"/>
      <c r="D1839" s="55" t="s">
        <v>3015</v>
      </c>
      <c r="E1839" s="55"/>
      <c r="F1839" s="55"/>
      <c r="G1839" s="56" t="n">
        <f aca="false">N('Neue Artikel'!$G$100)</f>
        <v>0</v>
      </c>
      <c r="H1839" s="57" t="n">
        <f aca="false">MAX(0,IF(AND(Parameter!$B$21="Ja",ISNUMBER(Y1839)),Y1839,IF(Parameter!$B$20="Jahresanfang 2025 + Export",BL1839+BK1839,BK1839)))</f>
        <v>0</v>
      </c>
      <c r="I1839" s="57" t="n">
        <f aca="false">H1839*G1839</f>
        <v>0</v>
      </c>
      <c r="J1839" s="57" t="n">
        <f aca="false">BN1839*Parameter!$B$18</f>
        <v>0</v>
      </c>
      <c r="K1839" s="58"/>
      <c r="L1839" s="59"/>
      <c r="M1839" s="57" t="n">
        <f aca="false">N('Neue Artikel'!$E$100)</f>
        <v>0</v>
      </c>
      <c r="N1839" s="57" t="n">
        <f aca="false">N('Neue Artikel'!$F$100)</f>
        <v>0</v>
      </c>
      <c r="O1839" s="60"/>
      <c r="P1839" s="55" t="str">
        <f aca="false">IF('Neue Artikel'!$H$100="","LOSE",UPPER(TRIM('Neue Artikel'!$H$100)))</f>
        <v>LOSE</v>
      </c>
      <c r="Q1839" s="57" t="n">
        <f aca="false">N('Neue Artikel'!$I$100)</f>
        <v>0</v>
      </c>
      <c r="R1839" s="60" t="n">
        <f aca="false">IF(BT1839=1,0,IFERROR(VLOOKUP(BR1839,'Gebinde-Kategorie'!$A$5:$M$45,13,0)+0,0))</f>
        <v>0</v>
      </c>
      <c r="S1839" s="61"/>
      <c r="T1839" s="62"/>
      <c r="U1839" s="62"/>
      <c r="V1839" s="62"/>
      <c r="W1839" s="55"/>
      <c r="X1839" s="57"/>
      <c r="Y1839" s="57"/>
      <c r="Z1839" s="55" t="str">
        <f aca="false">IF(A1839="","",IF(AND(Parameter!$B$21="Ja",ISNUMBER(W1839)),W1839,IF(BV1839="2+3",IF(ISNUMBER(SEARCH("grosser Artikel",BO1839)),2,IFERROR(VLOOKUP(BR1839,Parameter!$F$35:$G$64,2,0),2)),IF(OR(BV1839="Nein",BV1839=""),"-",BV1839))))</f>
        <v/>
      </c>
      <c r="AA1839" s="55" t="str">
        <f aca="false">IF('Neue Artikel'!$J$100="","",'Neue Artikel'!$J$100)</f>
        <v/>
      </c>
      <c r="AB1839" s="63"/>
      <c r="AC1839" s="57" t="n">
        <f aca="false">AR1839</f>
        <v>0</v>
      </c>
      <c r="AD1839" s="57" t="n">
        <f aca="false">MAX(AR1839,H1839)</f>
        <v>0</v>
      </c>
      <c r="AE1839" s="64"/>
      <c r="AF1839" s="57" t="n">
        <f aca="false">IF(LEFT(Cockpit!$C$5,1)="A",H1839,IF(CA1839=1,CB1839,IF(LEFT(Cockpit!$C$5,1)="B",AJ1839,MAX(AJ1839,H1839))))</f>
        <v>0</v>
      </c>
      <c r="AG1839" s="57" t="n">
        <f aca="false">IF(BT1839=1,0,ROUNDUP(AF1839/BS1839,0))</f>
        <v>0</v>
      </c>
      <c r="AH1839" s="59" t="n">
        <f aca="false">IF(CH1839&gt;0,CH1839*MAX(1,AF1839/X1839),IF(BT1839=1,IF(AF1839&lt;=0,0,BW1839*MAX(1,IF(H1839&gt;0,AF1839/H1839,1))),IF(R1839&gt;0,AG1839/R1839,0))/MAX(0.1,N(Parameter!$M$21)))</f>
        <v>0</v>
      </c>
      <c r="AI1839" s="57" t="n">
        <f aca="false">AF1839*G1839</f>
        <v>0</v>
      </c>
      <c r="AJ1839" s="57" t="n">
        <f aca="false">ROUNDUP(MAX(J1839/IF(BZ1839&gt;0,BZ1839,MAX(0.1,N(Cockpit!$C$6))),CC1839)/BS1839,0)*BS1839</f>
        <v>0</v>
      </c>
      <c r="AK1839" s="58" t="n">
        <f aca="false">IF(AH1839&gt;0,J1839/AH1839,-1)</f>
        <v>-1</v>
      </c>
      <c r="AL1839" s="58" t="str">
        <f aca="false">IF(AND(OR(BY1839="L1",BY1839="L23"),AH1839&gt;0),SUMIFS($AH$7:$AH$1843,$BY$7:$BY$1843,BY1839,$AK$7:$AK$1843,"&gt;"&amp;AK1839)+SUMIFS($AH$7:$AH$1843,$BY$7:$BY$1843,BY1839,$AK$7:$AK$1843,AK1839,$BQ$7:$BQ$1843,"&lt;="&amp;BQ1839),"")</f>
        <v/>
      </c>
      <c r="AM1839" s="65" t="n">
        <f aca="false">IF(AL1839="",0,MAX(0,MIN(1,(IF(BY1839="L1",Parameter!$E$5,Parameter!$E$6+Parameter!$E$7)-(AL1839-AH1839))/AH1839)))</f>
        <v>0</v>
      </c>
      <c r="AN1839" s="57" t="n">
        <f aca="false">IF(LEFT(Cockpit!$I$5,1)="A",H1839,IF(CA1839=1,CB1839,IF(LEFT(Cockpit!$I$5,1)="B",AR1839,MAX(AR1839,H1839))))</f>
        <v>0</v>
      </c>
      <c r="AO1839" s="57" t="n">
        <f aca="false">IF(BT1839=1,0,ROUNDUP(AN1839/BS1839,0))</f>
        <v>0</v>
      </c>
      <c r="AP1839" s="59" t="n">
        <f aca="false">IF(CH1839&gt;0,CH1839*MAX(1,AN1839/X1839),IF(BT1839=1,IF(AN1839&lt;=0,0,BW1839*MAX(1,IF(H1839&gt;0,AN1839/H1839,1))),IF(R1839&gt;0,AO1839/R1839,0))/MAX(0.1,N(Parameter!$M$21)))</f>
        <v>0</v>
      </c>
      <c r="AQ1839" s="57" t="n">
        <f aca="false">AN1839*G1839</f>
        <v>0</v>
      </c>
      <c r="AR1839" s="57" t="n">
        <f aca="false">ROUNDUP(MAX(J1839/IF(BZ1839&gt;0,BZ1839,MAX(0.1,N(Cockpit!$I$6))),CC1839)/BS1839,0)*BS1839</f>
        <v>0</v>
      </c>
      <c r="AS1839" s="58" t="n">
        <f aca="false">IF(AP1839&gt;0,J1839/AP1839,-1)</f>
        <v>-1</v>
      </c>
      <c r="AT1839" s="58" t="str">
        <f aca="false">IF(AND(OR(BY1839="L1",BY1839="L23"),AP1839&gt;0),SUMIFS($AP$7:$AP$1843,$BY$7:$BY$1843,BY1839,$AS$7:$AS$1843,"&gt;"&amp;AS1839)+SUMIFS($AP$7:$AP$1843,$BY$7:$BY$1843,BY1839,$AS$7:$AS$1843,AS1839,$BQ$7:$BQ$1843,"&lt;="&amp;BQ1839),"")</f>
        <v/>
      </c>
      <c r="AU1839" s="65" t="n">
        <f aca="false">IF(AT1839="",0,MAX(0,MIN(1,(IF(BY1839="L1",Parameter!$E$5,Parameter!$E$6+Parameter!$E$7)-(AT1839-AP1839))/AP1839)))</f>
        <v>0</v>
      </c>
      <c r="AV1839" s="57" t="n">
        <f aca="false">IF(LEFT(Cockpit!$O$5,1)="A",H1839,IF(CA1839=1,CB1839,IF(LEFT(Cockpit!$O$5,1)="B",AZ1839,MAX(AZ1839,H1839))))</f>
        <v>0</v>
      </c>
      <c r="AW1839" s="57" t="n">
        <f aca="false">IF(BT1839=1,0,ROUNDUP(AV1839/BS1839,0))</f>
        <v>0</v>
      </c>
      <c r="AX1839" s="59" t="n">
        <f aca="false">IF(CH1839&gt;0,CH1839*MAX(1,AV1839/X1839),IF(BT1839=1,IF(AV1839&lt;=0,0,BW1839*MAX(1,IF(H1839&gt;0,AV1839/H1839,1))),IF(R1839&gt;0,AW1839/R1839,0))/MAX(0.1,N(Parameter!$M$21)))</f>
        <v>0</v>
      </c>
      <c r="AY1839" s="57" t="n">
        <f aca="false">AV1839*G1839</f>
        <v>0</v>
      </c>
      <c r="AZ1839" s="57" t="n">
        <f aca="false">ROUNDUP(MAX(J1839/IF(BZ1839&gt;0,BZ1839,MAX(0.1,N(Cockpit!$O$6))),CC1839)/BS1839,0)*BS1839</f>
        <v>0</v>
      </c>
      <c r="BA1839" s="58" t="n">
        <f aca="false">IF(AX1839&gt;0,J1839/AX1839,-1)</f>
        <v>-1</v>
      </c>
      <c r="BB1839" s="58" t="str">
        <f aca="false">IF(AND(OR(BY1839="L1",BY1839="L23"),AX1839&gt;0),SUMIFS($AX$7:$AX$1843,$BY$7:$BY$1843,BY1839,$BA$7:$BA$1843,"&gt;"&amp;BA1839)+SUMIFS($AX$7:$AX$1843,$BY$7:$BY$1843,BY1839,$BA$7:$BA$1843,BA1839,$BQ$7:$BQ$1843,"&lt;="&amp;BQ1839),"")</f>
        <v/>
      </c>
      <c r="BC1839" s="65" t="n">
        <f aca="false">IF(BB1839="",0,MAX(0,MIN(1,(IF(BY1839="L1",Parameter!$E$5,Parameter!$E$6+Parameter!$E$7)-(BB1839-AX1839))/AX1839)))</f>
        <v>0</v>
      </c>
      <c r="BD1839" s="55" t="str">
        <f aca="false">IF(AH1839&lt;=0,"",IF(BY1839="Aussen","Aussenlager",IF(BY1839="-","Nicht im Lift",IF(AM1839&gt;=1,"Lift",IF(AM1839&lt;=0,"Aussenlager","teilweise")))))</f>
        <v/>
      </c>
      <c r="BE1839" s="55" t="str">
        <f aca="false">IF(AP1839&lt;=0,"",IF(BY1839="Aussen","Aussenlager",IF(BY1839="-","Nicht im Lift",IF(AU1839&gt;=1,"Lift",IF(AU1839&lt;=0,"Aussenlager","teilweise")))))</f>
        <v/>
      </c>
      <c r="BF1839" s="55" t="str">
        <f aca="false">IF(AX1839&lt;=0,"",IF(BY1839="Aussen","Aussenlager",IF(BY1839="-","Nicht im Lift",IF(BC1839&gt;=1,"Lift",IF(BC1839&lt;=0,"Aussenlager","teilweise")))))</f>
        <v/>
      </c>
      <c r="BG1839" s="55" t="str">
        <f aca="false">IF(A1839="","",IF(BP1839=1,"Neu; ","")&amp;IF(AND(BP1839=0,BK1839&lt;0),"negativer Bestand (Export "&amp;BK1839&amp;"); ","")&amp;IF(J1839&lt;=0,"Kein Verbrauch; ","")&amp;IF(CH1839&gt;0,"Lift "&amp;W1839&amp;" lt. Liftbericht (Fach "&amp;X1839&amp;" Stk); ",IF(BU1839=1,"Gebinde geschätzt ("&amp;T1839&amp;"); ",IF(BT1839=1,"Lose – Tablare geschätzt; ","")))&amp;IF(H1839&gt;AR1839,"Überbestand "&amp;ROUND(H1839-AR1839,0)&amp;" Stk / CHF "&amp;ROUND((H1839-AR1839)*G1839,0)&amp;"; ","")&amp;IF(AND(CA1839=1,CB1839&lt;CC1839),"MAX &lt; MB+LG; ","")&amp;IF(AND(CG1839&gt;0,CF1839*10&gt;CG1839),"zu hoch für Tablar; ","")&amp;IF(AND(BP1839=0,OR(CA1839=1,AA1839&lt;&gt;"",U1839&lt;&gt;"",V1839&lt;&gt;"",AB1839&lt;&gt;"")),"manuell übersteuert; ","")&amp;IF(AND(BT1839=0,R1839=0),"Gebinde unbekannt / Stellmass fehlt; ","")&amp;IF(AND(BT1839=0,N(V1839)&lt;=0,N(Q1839)&lt;=0),"Menge pro Gebinde fehlt (Ist = 1 Gebinde); ","")&amp;BO1839)</f>
        <v/>
      </c>
      <c r="BH1839" s="55"/>
      <c r="BI1839" s="55"/>
      <c r="BJ1839" s="62"/>
      <c r="BK1839" s="57" t="n">
        <f aca="false">N('Neue Artikel'!$D$100)</f>
        <v>0</v>
      </c>
      <c r="BL1839" s="57" t="n">
        <v>0</v>
      </c>
      <c r="BM1839" s="56" t="n">
        <v>0</v>
      </c>
      <c r="BN1839" s="57" t="n">
        <f aca="false">N('Neue Artikel'!$C$100)/Parameter!$B$18</f>
        <v>0</v>
      </c>
      <c r="BO1839" s="55"/>
      <c r="BP1839" s="60" t="n">
        <v>1</v>
      </c>
      <c r="BQ1839" s="60" t="n">
        <v>1839</v>
      </c>
      <c r="BR1839" s="55" t="str">
        <f aca="false">IF(U1839&lt;&gt;"",UPPER(TRIM(U1839)),IF(BU1839=1,UPPER(VLOOKUP(T1839,Parameter!$I$27:$K$29,2,0)),IF(P1839="","LOSE",P1839)))</f>
        <v>LOSE</v>
      </c>
      <c r="BS1839" s="57" t="n">
        <f aca="false">IF(BR1839="LOSE",1,IF(N(V1839)&gt;0,V1839,IF(BU1839=1,MAX(1,N(VLOOKUP(T1839,Parameter!$I$27:$K$29,3,0)),H1839,N(N1839)),IF(N(Q1839)&gt;0,Q1839,MAX(1,H1839)))))</f>
        <v>1</v>
      </c>
      <c r="BT1839" s="60" t="n">
        <f aca="false">IF(BR1839="LOSE",1,0)</f>
        <v>1</v>
      </c>
      <c r="BU1839" s="60" t="n">
        <f aca="false">IF(AND(U1839="",OR(P1839="",P1839="LOSE"),T1839&lt;&gt;"",N(S1839)&lt;=0,ISNUMBER(MATCH(T1839,Parameter!$I$27:$I$29,0))),1,0)</f>
        <v>0</v>
      </c>
      <c r="BV1839" s="55" t="str">
        <f aca="false">IF(AND(Parameter!$B$19="Ja",E1839&lt;&gt;"",ISNUMBER(MATCH(E1839,Parameter!$I$35:$I$52,0))),VLOOKUP(E1839,Parameter!$I$35:$J$52,2,0),IFERROR(VLOOKUP(D1839,Parameter!$A$35:$C$64,2,0),"Nein"))</f>
        <v>2+3</v>
      </c>
      <c r="BW1839" s="59" t="n">
        <f aca="false">IF(BT1839=0,0,IF(N(S1839)&gt;0,S1839,IFERROR(VLOOKUP(D1839,Parameter!$A$35:$C$64,3,0)+0,0)))</f>
        <v>0.15</v>
      </c>
      <c r="BX1839" s="55" t="str">
        <f aca="false">IF(AA1839&lt;&gt;"",AA1839,Z1839)</f>
        <v/>
      </c>
      <c r="BY1839" s="55" t="str">
        <f aca="false">IF(BX1839=1,"L1",IF(OR(BX1839=2,BX1839=3),"L23",IF(BX1839="Aussen","Aussen","-")))</f>
        <v>-</v>
      </c>
      <c r="BZ1839" s="66" t="n">
        <f aca="false">IF(N(AB1839)&gt;0,AB1839,0)</f>
        <v>0</v>
      </c>
      <c r="CA1839" s="60" t="n">
        <f aca="false">IF(ISNUMBER(AE1839),1,0)</f>
        <v>0</v>
      </c>
      <c r="CB1839" s="57" t="n">
        <f aca="false">N(AE1839)</f>
        <v>0</v>
      </c>
      <c r="CC1839" s="57" t="n">
        <f aca="false">N(M1839)+N(N1839)</f>
        <v>0</v>
      </c>
      <c r="CD1839" s="57" t="n">
        <f aca="false">ROUNDUP(H1839/BS1839,0)</f>
        <v>0</v>
      </c>
      <c r="CE1839" s="57" t="n">
        <f aca="false">ROUNDUP(CB1839/BS1839,0)</f>
        <v>0</v>
      </c>
      <c r="CF1839" s="60" t="n">
        <f aca="false">IF(BT1839=1,0,IFERROR(VLOOKUP(BR1839,'Gebinde-Kategorie'!$A$5:$M$45,5,0)+0,0))</f>
        <v>0</v>
      </c>
      <c r="CG1839" s="60" t="n">
        <f aca="false">IFERROR(IF(OR(BX1839=1,BX1839=2,BX1839=3),N(INDEX(Parameter!$I$5:$I$7,BX1839)),0),0)</f>
        <v>0</v>
      </c>
      <c r="CH1839" s="59" t="n">
        <f aca="false">IF(AND(Parameter!$B$21="Ja",ISNUMBER(W1839),N(X1839)&gt;0),IFERROR(N(INDEX(Parameter!$L$5:$L$7,W1839))*INDEX(Parameter!$E$5:$E$7,W1839)*X1839/SUMIFS($X$7:$X$1843,$W$7:$W$1843,W1839),0),0)</f>
        <v>0</v>
      </c>
    </row>
    <row r="1840" customFormat="false" ht="15" hidden="false" customHeight="false" outlineLevel="0" collapsed="false">
      <c r="A1840" s="55" t="str">
        <f aca="false">IF('Neue Artikel'!$A$101="","",'Neue Artikel'!$A$101&amp;"")</f>
        <v/>
      </c>
      <c r="B1840" s="55" t="str">
        <f aca="false">'Neue Artikel'!$B$101&amp;""</f>
        <v/>
      </c>
      <c r="C1840" s="55"/>
      <c r="D1840" s="55" t="s">
        <v>3015</v>
      </c>
      <c r="E1840" s="55"/>
      <c r="F1840" s="55"/>
      <c r="G1840" s="56" t="n">
        <f aca="false">N('Neue Artikel'!$G$101)</f>
        <v>0</v>
      </c>
      <c r="H1840" s="57" t="n">
        <f aca="false">MAX(0,IF(AND(Parameter!$B$21="Ja",ISNUMBER(Y1840)),Y1840,IF(Parameter!$B$20="Jahresanfang 2025 + Export",BL1840+BK1840,BK1840)))</f>
        <v>0</v>
      </c>
      <c r="I1840" s="57" t="n">
        <f aca="false">H1840*G1840</f>
        <v>0</v>
      </c>
      <c r="J1840" s="57" t="n">
        <f aca="false">BN1840*Parameter!$B$18</f>
        <v>0</v>
      </c>
      <c r="K1840" s="58"/>
      <c r="L1840" s="59"/>
      <c r="M1840" s="57" t="n">
        <f aca="false">N('Neue Artikel'!$E$101)</f>
        <v>0</v>
      </c>
      <c r="N1840" s="57" t="n">
        <f aca="false">N('Neue Artikel'!$F$101)</f>
        <v>0</v>
      </c>
      <c r="O1840" s="60"/>
      <c r="P1840" s="55" t="str">
        <f aca="false">IF('Neue Artikel'!$H$101="","LOSE",UPPER(TRIM('Neue Artikel'!$H$101)))</f>
        <v>LOSE</v>
      </c>
      <c r="Q1840" s="57" t="n">
        <f aca="false">N('Neue Artikel'!$I$101)</f>
        <v>0</v>
      </c>
      <c r="R1840" s="60" t="n">
        <f aca="false">IF(BT1840=1,0,IFERROR(VLOOKUP(BR1840,'Gebinde-Kategorie'!$A$5:$M$45,13,0)+0,0))</f>
        <v>0</v>
      </c>
      <c r="S1840" s="61"/>
      <c r="T1840" s="62"/>
      <c r="U1840" s="62"/>
      <c r="V1840" s="62"/>
      <c r="W1840" s="55"/>
      <c r="X1840" s="57"/>
      <c r="Y1840" s="57"/>
      <c r="Z1840" s="55" t="str">
        <f aca="false">IF(A1840="","",IF(AND(Parameter!$B$21="Ja",ISNUMBER(W1840)),W1840,IF(BV1840="2+3",IF(ISNUMBER(SEARCH("grosser Artikel",BO1840)),2,IFERROR(VLOOKUP(BR1840,Parameter!$F$35:$G$64,2,0),2)),IF(OR(BV1840="Nein",BV1840=""),"-",BV1840))))</f>
        <v/>
      </c>
      <c r="AA1840" s="55" t="str">
        <f aca="false">IF('Neue Artikel'!$J$101="","",'Neue Artikel'!$J$101)</f>
        <v/>
      </c>
      <c r="AB1840" s="63"/>
      <c r="AC1840" s="57" t="n">
        <f aca="false">AR1840</f>
        <v>0</v>
      </c>
      <c r="AD1840" s="57" t="n">
        <f aca="false">MAX(AR1840,H1840)</f>
        <v>0</v>
      </c>
      <c r="AE1840" s="64"/>
      <c r="AF1840" s="57" t="n">
        <f aca="false">IF(LEFT(Cockpit!$C$5,1)="A",H1840,IF(CA1840=1,CB1840,IF(LEFT(Cockpit!$C$5,1)="B",AJ1840,MAX(AJ1840,H1840))))</f>
        <v>0</v>
      </c>
      <c r="AG1840" s="57" t="n">
        <f aca="false">IF(BT1840=1,0,ROUNDUP(AF1840/BS1840,0))</f>
        <v>0</v>
      </c>
      <c r="AH1840" s="59" t="n">
        <f aca="false">IF(CH1840&gt;0,CH1840*MAX(1,AF1840/X1840),IF(BT1840=1,IF(AF1840&lt;=0,0,BW1840*MAX(1,IF(H1840&gt;0,AF1840/H1840,1))),IF(R1840&gt;0,AG1840/R1840,0))/MAX(0.1,N(Parameter!$M$21)))</f>
        <v>0</v>
      </c>
      <c r="AI1840" s="57" t="n">
        <f aca="false">AF1840*G1840</f>
        <v>0</v>
      </c>
      <c r="AJ1840" s="57" t="n">
        <f aca="false">ROUNDUP(MAX(J1840/IF(BZ1840&gt;0,BZ1840,MAX(0.1,N(Cockpit!$C$6))),CC1840)/BS1840,0)*BS1840</f>
        <v>0</v>
      </c>
      <c r="AK1840" s="58" t="n">
        <f aca="false">IF(AH1840&gt;0,J1840/AH1840,-1)</f>
        <v>-1</v>
      </c>
      <c r="AL1840" s="58" t="str">
        <f aca="false">IF(AND(OR(BY1840="L1",BY1840="L23"),AH1840&gt;0),SUMIFS($AH$7:$AH$1843,$BY$7:$BY$1843,BY1840,$AK$7:$AK$1843,"&gt;"&amp;AK1840)+SUMIFS($AH$7:$AH$1843,$BY$7:$BY$1843,BY1840,$AK$7:$AK$1843,AK1840,$BQ$7:$BQ$1843,"&lt;="&amp;BQ1840),"")</f>
        <v/>
      </c>
      <c r="AM1840" s="65" t="n">
        <f aca="false">IF(AL1840="",0,MAX(0,MIN(1,(IF(BY1840="L1",Parameter!$E$5,Parameter!$E$6+Parameter!$E$7)-(AL1840-AH1840))/AH1840)))</f>
        <v>0</v>
      </c>
      <c r="AN1840" s="57" t="n">
        <f aca="false">IF(LEFT(Cockpit!$I$5,1)="A",H1840,IF(CA1840=1,CB1840,IF(LEFT(Cockpit!$I$5,1)="B",AR1840,MAX(AR1840,H1840))))</f>
        <v>0</v>
      </c>
      <c r="AO1840" s="57" t="n">
        <f aca="false">IF(BT1840=1,0,ROUNDUP(AN1840/BS1840,0))</f>
        <v>0</v>
      </c>
      <c r="AP1840" s="59" t="n">
        <f aca="false">IF(CH1840&gt;0,CH1840*MAX(1,AN1840/X1840),IF(BT1840=1,IF(AN1840&lt;=0,0,BW1840*MAX(1,IF(H1840&gt;0,AN1840/H1840,1))),IF(R1840&gt;0,AO1840/R1840,0))/MAX(0.1,N(Parameter!$M$21)))</f>
        <v>0</v>
      </c>
      <c r="AQ1840" s="57" t="n">
        <f aca="false">AN1840*G1840</f>
        <v>0</v>
      </c>
      <c r="AR1840" s="57" t="n">
        <f aca="false">ROUNDUP(MAX(J1840/IF(BZ1840&gt;0,BZ1840,MAX(0.1,N(Cockpit!$I$6))),CC1840)/BS1840,0)*BS1840</f>
        <v>0</v>
      </c>
      <c r="AS1840" s="58" t="n">
        <f aca="false">IF(AP1840&gt;0,J1840/AP1840,-1)</f>
        <v>-1</v>
      </c>
      <c r="AT1840" s="58" t="str">
        <f aca="false">IF(AND(OR(BY1840="L1",BY1840="L23"),AP1840&gt;0),SUMIFS($AP$7:$AP$1843,$BY$7:$BY$1843,BY1840,$AS$7:$AS$1843,"&gt;"&amp;AS1840)+SUMIFS($AP$7:$AP$1843,$BY$7:$BY$1843,BY1840,$AS$7:$AS$1843,AS1840,$BQ$7:$BQ$1843,"&lt;="&amp;BQ1840),"")</f>
        <v/>
      </c>
      <c r="AU1840" s="65" t="n">
        <f aca="false">IF(AT1840="",0,MAX(0,MIN(1,(IF(BY1840="L1",Parameter!$E$5,Parameter!$E$6+Parameter!$E$7)-(AT1840-AP1840))/AP1840)))</f>
        <v>0</v>
      </c>
      <c r="AV1840" s="57" t="n">
        <f aca="false">IF(LEFT(Cockpit!$O$5,1)="A",H1840,IF(CA1840=1,CB1840,IF(LEFT(Cockpit!$O$5,1)="B",AZ1840,MAX(AZ1840,H1840))))</f>
        <v>0</v>
      </c>
      <c r="AW1840" s="57" t="n">
        <f aca="false">IF(BT1840=1,0,ROUNDUP(AV1840/BS1840,0))</f>
        <v>0</v>
      </c>
      <c r="AX1840" s="59" t="n">
        <f aca="false">IF(CH1840&gt;0,CH1840*MAX(1,AV1840/X1840),IF(BT1840=1,IF(AV1840&lt;=0,0,BW1840*MAX(1,IF(H1840&gt;0,AV1840/H1840,1))),IF(R1840&gt;0,AW1840/R1840,0))/MAX(0.1,N(Parameter!$M$21)))</f>
        <v>0</v>
      </c>
      <c r="AY1840" s="57" t="n">
        <f aca="false">AV1840*G1840</f>
        <v>0</v>
      </c>
      <c r="AZ1840" s="57" t="n">
        <f aca="false">ROUNDUP(MAX(J1840/IF(BZ1840&gt;0,BZ1840,MAX(0.1,N(Cockpit!$O$6))),CC1840)/BS1840,0)*BS1840</f>
        <v>0</v>
      </c>
      <c r="BA1840" s="58" t="n">
        <f aca="false">IF(AX1840&gt;0,J1840/AX1840,-1)</f>
        <v>-1</v>
      </c>
      <c r="BB1840" s="58" t="str">
        <f aca="false">IF(AND(OR(BY1840="L1",BY1840="L23"),AX1840&gt;0),SUMIFS($AX$7:$AX$1843,$BY$7:$BY$1843,BY1840,$BA$7:$BA$1843,"&gt;"&amp;BA1840)+SUMIFS($AX$7:$AX$1843,$BY$7:$BY$1843,BY1840,$BA$7:$BA$1843,BA1840,$BQ$7:$BQ$1843,"&lt;="&amp;BQ1840),"")</f>
        <v/>
      </c>
      <c r="BC1840" s="65" t="n">
        <f aca="false">IF(BB1840="",0,MAX(0,MIN(1,(IF(BY1840="L1",Parameter!$E$5,Parameter!$E$6+Parameter!$E$7)-(BB1840-AX1840))/AX1840)))</f>
        <v>0</v>
      </c>
      <c r="BD1840" s="55" t="str">
        <f aca="false">IF(AH1840&lt;=0,"",IF(BY1840="Aussen","Aussenlager",IF(BY1840="-","Nicht im Lift",IF(AM1840&gt;=1,"Lift",IF(AM1840&lt;=0,"Aussenlager","teilweise")))))</f>
        <v/>
      </c>
      <c r="BE1840" s="55" t="str">
        <f aca="false">IF(AP1840&lt;=0,"",IF(BY1840="Aussen","Aussenlager",IF(BY1840="-","Nicht im Lift",IF(AU1840&gt;=1,"Lift",IF(AU1840&lt;=0,"Aussenlager","teilweise")))))</f>
        <v/>
      </c>
      <c r="BF1840" s="55" t="str">
        <f aca="false">IF(AX1840&lt;=0,"",IF(BY1840="Aussen","Aussenlager",IF(BY1840="-","Nicht im Lift",IF(BC1840&gt;=1,"Lift",IF(BC1840&lt;=0,"Aussenlager","teilweise")))))</f>
        <v/>
      </c>
      <c r="BG1840" s="55" t="str">
        <f aca="false">IF(A1840="","",IF(BP1840=1,"Neu; ","")&amp;IF(AND(BP1840=0,BK1840&lt;0),"negativer Bestand (Export "&amp;BK1840&amp;"); ","")&amp;IF(J1840&lt;=0,"Kein Verbrauch; ","")&amp;IF(CH1840&gt;0,"Lift "&amp;W1840&amp;" lt. Liftbericht (Fach "&amp;X1840&amp;" Stk); ",IF(BU1840=1,"Gebinde geschätzt ("&amp;T1840&amp;"); ",IF(BT1840=1,"Lose – Tablare geschätzt; ","")))&amp;IF(H1840&gt;AR1840,"Überbestand "&amp;ROUND(H1840-AR1840,0)&amp;" Stk / CHF "&amp;ROUND((H1840-AR1840)*G1840,0)&amp;"; ","")&amp;IF(AND(CA1840=1,CB1840&lt;CC1840),"MAX &lt; MB+LG; ","")&amp;IF(AND(CG1840&gt;0,CF1840*10&gt;CG1840),"zu hoch für Tablar; ","")&amp;IF(AND(BP1840=0,OR(CA1840=1,AA1840&lt;&gt;"",U1840&lt;&gt;"",V1840&lt;&gt;"",AB1840&lt;&gt;"")),"manuell übersteuert; ","")&amp;IF(AND(BT1840=0,R1840=0),"Gebinde unbekannt / Stellmass fehlt; ","")&amp;IF(AND(BT1840=0,N(V1840)&lt;=0,N(Q1840)&lt;=0),"Menge pro Gebinde fehlt (Ist = 1 Gebinde); ","")&amp;BO1840)</f>
        <v/>
      </c>
      <c r="BH1840" s="55"/>
      <c r="BI1840" s="55"/>
      <c r="BJ1840" s="62"/>
      <c r="BK1840" s="57" t="n">
        <f aca="false">N('Neue Artikel'!$D$101)</f>
        <v>0</v>
      </c>
      <c r="BL1840" s="57" t="n">
        <v>0</v>
      </c>
      <c r="BM1840" s="56" t="n">
        <v>0</v>
      </c>
      <c r="BN1840" s="57" t="n">
        <f aca="false">N('Neue Artikel'!$C$101)/Parameter!$B$18</f>
        <v>0</v>
      </c>
      <c r="BO1840" s="55"/>
      <c r="BP1840" s="60" t="n">
        <v>1</v>
      </c>
      <c r="BQ1840" s="60" t="n">
        <v>1840</v>
      </c>
      <c r="BR1840" s="55" t="str">
        <f aca="false">IF(U1840&lt;&gt;"",UPPER(TRIM(U1840)),IF(BU1840=1,UPPER(VLOOKUP(T1840,Parameter!$I$27:$K$29,2,0)),IF(P1840="","LOSE",P1840)))</f>
        <v>LOSE</v>
      </c>
      <c r="BS1840" s="57" t="n">
        <f aca="false">IF(BR1840="LOSE",1,IF(N(V1840)&gt;0,V1840,IF(BU1840=1,MAX(1,N(VLOOKUP(T1840,Parameter!$I$27:$K$29,3,0)),H1840,N(N1840)),IF(N(Q1840)&gt;0,Q1840,MAX(1,H1840)))))</f>
        <v>1</v>
      </c>
      <c r="BT1840" s="60" t="n">
        <f aca="false">IF(BR1840="LOSE",1,0)</f>
        <v>1</v>
      </c>
      <c r="BU1840" s="60" t="n">
        <f aca="false">IF(AND(U1840="",OR(P1840="",P1840="LOSE"),T1840&lt;&gt;"",N(S1840)&lt;=0,ISNUMBER(MATCH(T1840,Parameter!$I$27:$I$29,0))),1,0)</f>
        <v>0</v>
      </c>
      <c r="BV1840" s="55" t="str">
        <f aca="false">IF(AND(Parameter!$B$19="Ja",E1840&lt;&gt;"",ISNUMBER(MATCH(E1840,Parameter!$I$35:$I$52,0))),VLOOKUP(E1840,Parameter!$I$35:$J$52,2,0),IFERROR(VLOOKUP(D1840,Parameter!$A$35:$C$64,2,0),"Nein"))</f>
        <v>2+3</v>
      </c>
      <c r="BW1840" s="59" t="n">
        <f aca="false">IF(BT1840=0,0,IF(N(S1840)&gt;0,S1840,IFERROR(VLOOKUP(D1840,Parameter!$A$35:$C$64,3,0)+0,0)))</f>
        <v>0.15</v>
      </c>
      <c r="BX1840" s="55" t="str">
        <f aca="false">IF(AA1840&lt;&gt;"",AA1840,Z1840)</f>
        <v/>
      </c>
      <c r="BY1840" s="55" t="str">
        <f aca="false">IF(BX1840=1,"L1",IF(OR(BX1840=2,BX1840=3),"L23",IF(BX1840="Aussen","Aussen","-")))</f>
        <v>-</v>
      </c>
      <c r="BZ1840" s="66" t="n">
        <f aca="false">IF(N(AB1840)&gt;0,AB1840,0)</f>
        <v>0</v>
      </c>
      <c r="CA1840" s="60" t="n">
        <f aca="false">IF(ISNUMBER(AE1840),1,0)</f>
        <v>0</v>
      </c>
      <c r="CB1840" s="57" t="n">
        <f aca="false">N(AE1840)</f>
        <v>0</v>
      </c>
      <c r="CC1840" s="57" t="n">
        <f aca="false">N(M1840)+N(N1840)</f>
        <v>0</v>
      </c>
      <c r="CD1840" s="57" t="n">
        <f aca="false">ROUNDUP(H1840/BS1840,0)</f>
        <v>0</v>
      </c>
      <c r="CE1840" s="57" t="n">
        <f aca="false">ROUNDUP(CB1840/BS1840,0)</f>
        <v>0</v>
      </c>
      <c r="CF1840" s="60" t="n">
        <f aca="false">IF(BT1840=1,0,IFERROR(VLOOKUP(BR1840,'Gebinde-Kategorie'!$A$5:$M$45,5,0)+0,0))</f>
        <v>0</v>
      </c>
      <c r="CG1840" s="60" t="n">
        <f aca="false">IFERROR(IF(OR(BX1840=1,BX1840=2,BX1840=3),N(INDEX(Parameter!$I$5:$I$7,BX1840)),0),0)</f>
        <v>0</v>
      </c>
      <c r="CH1840" s="59" t="n">
        <f aca="false">IF(AND(Parameter!$B$21="Ja",ISNUMBER(W1840),N(X1840)&gt;0),IFERROR(N(INDEX(Parameter!$L$5:$L$7,W1840))*INDEX(Parameter!$E$5:$E$7,W1840)*X1840/SUMIFS($X$7:$X$1843,$W$7:$W$1843,W1840),0),0)</f>
        <v>0</v>
      </c>
    </row>
    <row r="1841" customFormat="false" ht="15" hidden="false" customHeight="false" outlineLevel="0" collapsed="false">
      <c r="A1841" s="55" t="str">
        <f aca="false">IF('Neue Artikel'!$A$102="","",'Neue Artikel'!$A$102&amp;"")</f>
        <v/>
      </c>
      <c r="B1841" s="55" t="str">
        <f aca="false">'Neue Artikel'!$B$102&amp;""</f>
        <v/>
      </c>
      <c r="C1841" s="55"/>
      <c r="D1841" s="55" t="s">
        <v>3015</v>
      </c>
      <c r="E1841" s="55"/>
      <c r="F1841" s="55"/>
      <c r="G1841" s="56" t="n">
        <f aca="false">N('Neue Artikel'!$G$102)</f>
        <v>0</v>
      </c>
      <c r="H1841" s="57" t="n">
        <f aca="false">MAX(0,IF(AND(Parameter!$B$21="Ja",ISNUMBER(Y1841)),Y1841,IF(Parameter!$B$20="Jahresanfang 2025 + Export",BL1841+BK1841,BK1841)))</f>
        <v>0</v>
      </c>
      <c r="I1841" s="57" t="n">
        <f aca="false">H1841*G1841</f>
        <v>0</v>
      </c>
      <c r="J1841" s="57" t="n">
        <f aca="false">BN1841*Parameter!$B$18</f>
        <v>0</v>
      </c>
      <c r="K1841" s="58"/>
      <c r="L1841" s="59"/>
      <c r="M1841" s="57" t="n">
        <f aca="false">N('Neue Artikel'!$E$102)</f>
        <v>0</v>
      </c>
      <c r="N1841" s="57" t="n">
        <f aca="false">N('Neue Artikel'!$F$102)</f>
        <v>0</v>
      </c>
      <c r="O1841" s="60"/>
      <c r="P1841" s="55" t="str">
        <f aca="false">IF('Neue Artikel'!$H$102="","LOSE",UPPER(TRIM('Neue Artikel'!$H$102)))</f>
        <v>LOSE</v>
      </c>
      <c r="Q1841" s="57" t="n">
        <f aca="false">N('Neue Artikel'!$I$102)</f>
        <v>0</v>
      </c>
      <c r="R1841" s="60" t="n">
        <f aca="false">IF(BT1841=1,0,IFERROR(VLOOKUP(BR1841,'Gebinde-Kategorie'!$A$5:$M$45,13,0)+0,0))</f>
        <v>0</v>
      </c>
      <c r="S1841" s="61"/>
      <c r="T1841" s="62"/>
      <c r="U1841" s="62"/>
      <c r="V1841" s="62"/>
      <c r="W1841" s="55"/>
      <c r="X1841" s="57"/>
      <c r="Y1841" s="57"/>
      <c r="Z1841" s="55" t="str">
        <f aca="false">IF(A1841="","",IF(AND(Parameter!$B$21="Ja",ISNUMBER(W1841)),W1841,IF(BV1841="2+3",IF(ISNUMBER(SEARCH("grosser Artikel",BO1841)),2,IFERROR(VLOOKUP(BR1841,Parameter!$F$35:$G$64,2,0),2)),IF(OR(BV1841="Nein",BV1841=""),"-",BV1841))))</f>
        <v/>
      </c>
      <c r="AA1841" s="55" t="str">
        <f aca="false">IF('Neue Artikel'!$J$102="","",'Neue Artikel'!$J$102)</f>
        <v/>
      </c>
      <c r="AB1841" s="63"/>
      <c r="AC1841" s="57" t="n">
        <f aca="false">AR1841</f>
        <v>0</v>
      </c>
      <c r="AD1841" s="57" t="n">
        <f aca="false">MAX(AR1841,H1841)</f>
        <v>0</v>
      </c>
      <c r="AE1841" s="64"/>
      <c r="AF1841" s="57" t="n">
        <f aca="false">IF(LEFT(Cockpit!$C$5,1)="A",H1841,IF(CA1841=1,CB1841,IF(LEFT(Cockpit!$C$5,1)="B",AJ1841,MAX(AJ1841,H1841))))</f>
        <v>0</v>
      </c>
      <c r="AG1841" s="57" t="n">
        <f aca="false">IF(BT1841=1,0,ROUNDUP(AF1841/BS1841,0))</f>
        <v>0</v>
      </c>
      <c r="AH1841" s="59" t="n">
        <f aca="false">IF(CH1841&gt;0,CH1841*MAX(1,AF1841/X1841),IF(BT1841=1,IF(AF1841&lt;=0,0,BW1841*MAX(1,IF(H1841&gt;0,AF1841/H1841,1))),IF(R1841&gt;0,AG1841/R1841,0))/MAX(0.1,N(Parameter!$M$21)))</f>
        <v>0</v>
      </c>
      <c r="AI1841" s="57" t="n">
        <f aca="false">AF1841*G1841</f>
        <v>0</v>
      </c>
      <c r="AJ1841" s="57" t="n">
        <f aca="false">ROUNDUP(MAX(J1841/IF(BZ1841&gt;0,BZ1841,MAX(0.1,N(Cockpit!$C$6))),CC1841)/BS1841,0)*BS1841</f>
        <v>0</v>
      </c>
      <c r="AK1841" s="58" t="n">
        <f aca="false">IF(AH1841&gt;0,J1841/AH1841,-1)</f>
        <v>-1</v>
      </c>
      <c r="AL1841" s="58" t="str">
        <f aca="false">IF(AND(OR(BY1841="L1",BY1841="L23"),AH1841&gt;0),SUMIFS($AH$7:$AH$1843,$BY$7:$BY$1843,BY1841,$AK$7:$AK$1843,"&gt;"&amp;AK1841)+SUMIFS($AH$7:$AH$1843,$BY$7:$BY$1843,BY1841,$AK$7:$AK$1843,AK1841,$BQ$7:$BQ$1843,"&lt;="&amp;BQ1841),"")</f>
        <v/>
      </c>
      <c r="AM1841" s="65" t="n">
        <f aca="false">IF(AL1841="",0,MAX(0,MIN(1,(IF(BY1841="L1",Parameter!$E$5,Parameter!$E$6+Parameter!$E$7)-(AL1841-AH1841))/AH1841)))</f>
        <v>0</v>
      </c>
      <c r="AN1841" s="57" t="n">
        <f aca="false">IF(LEFT(Cockpit!$I$5,1)="A",H1841,IF(CA1841=1,CB1841,IF(LEFT(Cockpit!$I$5,1)="B",AR1841,MAX(AR1841,H1841))))</f>
        <v>0</v>
      </c>
      <c r="AO1841" s="57" t="n">
        <f aca="false">IF(BT1841=1,0,ROUNDUP(AN1841/BS1841,0))</f>
        <v>0</v>
      </c>
      <c r="AP1841" s="59" t="n">
        <f aca="false">IF(CH1841&gt;0,CH1841*MAX(1,AN1841/X1841),IF(BT1841=1,IF(AN1841&lt;=0,0,BW1841*MAX(1,IF(H1841&gt;0,AN1841/H1841,1))),IF(R1841&gt;0,AO1841/R1841,0))/MAX(0.1,N(Parameter!$M$21)))</f>
        <v>0</v>
      </c>
      <c r="AQ1841" s="57" t="n">
        <f aca="false">AN1841*G1841</f>
        <v>0</v>
      </c>
      <c r="AR1841" s="57" t="n">
        <f aca="false">ROUNDUP(MAX(J1841/IF(BZ1841&gt;0,BZ1841,MAX(0.1,N(Cockpit!$I$6))),CC1841)/BS1841,0)*BS1841</f>
        <v>0</v>
      </c>
      <c r="AS1841" s="58" t="n">
        <f aca="false">IF(AP1841&gt;0,J1841/AP1841,-1)</f>
        <v>-1</v>
      </c>
      <c r="AT1841" s="58" t="str">
        <f aca="false">IF(AND(OR(BY1841="L1",BY1841="L23"),AP1841&gt;0),SUMIFS($AP$7:$AP$1843,$BY$7:$BY$1843,BY1841,$AS$7:$AS$1843,"&gt;"&amp;AS1841)+SUMIFS($AP$7:$AP$1843,$BY$7:$BY$1843,BY1841,$AS$7:$AS$1843,AS1841,$BQ$7:$BQ$1843,"&lt;="&amp;BQ1841),"")</f>
        <v/>
      </c>
      <c r="AU1841" s="65" t="n">
        <f aca="false">IF(AT1841="",0,MAX(0,MIN(1,(IF(BY1841="L1",Parameter!$E$5,Parameter!$E$6+Parameter!$E$7)-(AT1841-AP1841))/AP1841)))</f>
        <v>0</v>
      </c>
      <c r="AV1841" s="57" t="n">
        <f aca="false">IF(LEFT(Cockpit!$O$5,1)="A",H1841,IF(CA1841=1,CB1841,IF(LEFT(Cockpit!$O$5,1)="B",AZ1841,MAX(AZ1841,H1841))))</f>
        <v>0</v>
      </c>
      <c r="AW1841" s="57" t="n">
        <f aca="false">IF(BT1841=1,0,ROUNDUP(AV1841/BS1841,0))</f>
        <v>0</v>
      </c>
      <c r="AX1841" s="59" t="n">
        <f aca="false">IF(CH1841&gt;0,CH1841*MAX(1,AV1841/X1841),IF(BT1841=1,IF(AV1841&lt;=0,0,BW1841*MAX(1,IF(H1841&gt;0,AV1841/H1841,1))),IF(R1841&gt;0,AW1841/R1841,0))/MAX(0.1,N(Parameter!$M$21)))</f>
        <v>0</v>
      </c>
      <c r="AY1841" s="57" t="n">
        <f aca="false">AV1841*G1841</f>
        <v>0</v>
      </c>
      <c r="AZ1841" s="57" t="n">
        <f aca="false">ROUNDUP(MAX(J1841/IF(BZ1841&gt;0,BZ1841,MAX(0.1,N(Cockpit!$O$6))),CC1841)/BS1841,0)*BS1841</f>
        <v>0</v>
      </c>
      <c r="BA1841" s="58" t="n">
        <f aca="false">IF(AX1841&gt;0,J1841/AX1841,-1)</f>
        <v>-1</v>
      </c>
      <c r="BB1841" s="58" t="str">
        <f aca="false">IF(AND(OR(BY1841="L1",BY1841="L23"),AX1841&gt;0),SUMIFS($AX$7:$AX$1843,$BY$7:$BY$1843,BY1841,$BA$7:$BA$1843,"&gt;"&amp;BA1841)+SUMIFS($AX$7:$AX$1843,$BY$7:$BY$1843,BY1841,$BA$7:$BA$1843,BA1841,$BQ$7:$BQ$1843,"&lt;="&amp;BQ1841),"")</f>
        <v/>
      </c>
      <c r="BC1841" s="65" t="n">
        <f aca="false">IF(BB1841="",0,MAX(0,MIN(1,(IF(BY1841="L1",Parameter!$E$5,Parameter!$E$6+Parameter!$E$7)-(BB1841-AX1841))/AX1841)))</f>
        <v>0</v>
      </c>
      <c r="BD1841" s="55" t="str">
        <f aca="false">IF(AH1841&lt;=0,"",IF(BY1841="Aussen","Aussenlager",IF(BY1841="-","Nicht im Lift",IF(AM1841&gt;=1,"Lift",IF(AM1841&lt;=0,"Aussenlager","teilweise")))))</f>
        <v/>
      </c>
      <c r="BE1841" s="55" t="str">
        <f aca="false">IF(AP1841&lt;=0,"",IF(BY1841="Aussen","Aussenlager",IF(BY1841="-","Nicht im Lift",IF(AU1841&gt;=1,"Lift",IF(AU1841&lt;=0,"Aussenlager","teilweise")))))</f>
        <v/>
      </c>
      <c r="BF1841" s="55" t="str">
        <f aca="false">IF(AX1841&lt;=0,"",IF(BY1841="Aussen","Aussenlager",IF(BY1841="-","Nicht im Lift",IF(BC1841&gt;=1,"Lift",IF(BC1841&lt;=0,"Aussenlager","teilweise")))))</f>
        <v/>
      </c>
      <c r="BG1841" s="55" t="str">
        <f aca="false">IF(A1841="","",IF(BP1841=1,"Neu; ","")&amp;IF(AND(BP1841=0,BK1841&lt;0),"negativer Bestand (Export "&amp;BK1841&amp;"); ","")&amp;IF(J1841&lt;=0,"Kein Verbrauch; ","")&amp;IF(CH1841&gt;0,"Lift "&amp;W1841&amp;" lt. Liftbericht (Fach "&amp;X1841&amp;" Stk); ",IF(BU1841=1,"Gebinde geschätzt ("&amp;T1841&amp;"); ",IF(BT1841=1,"Lose – Tablare geschätzt; ","")))&amp;IF(H1841&gt;AR1841,"Überbestand "&amp;ROUND(H1841-AR1841,0)&amp;" Stk / CHF "&amp;ROUND((H1841-AR1841)*G1841,0)&amp;"; ","")&amp;IF(AND(CA1841=1,CB1841&lt;CC1841),"MAX &lt; MB+LG; ","")&amp;IF(AND(CG1841&gt;0,CF1841*10&gt;CG1841),"zu hoch für Tablar; ","")&amp;IF(AND(BP1841=0,OR(CA1841=1,AA1841&lt;&gt;"",U1841&lt;&gt;"",V1841&lt;&gt;"",AB1841&lt;&gt;"")),"manuell übersteuert; ","")&amp;IF(AND(BT1841=0,R1841=0),"Gebinde unbekannt / Stellmass fehlt; ","")&amp;IF(AND(BT1841=0,N(V1841)&lt;=0,N(Q1841)&lt;=0),"Menge pro Gebinde fehlt (Ist = 1 Gebinde); ","")&amp;BO1841)</f>
        <v/>
      </c>
      <c r="BH1841" s="55"/>
      <c r="BI1841" s="55"/>
      <c r="BJ1841" s="62"/>
      <c r="BK1841" s="57" t="n">
        <f aca="false">N('Neue Artikel'!$D$102)</f>
        <v>0</v>
      </c>
      <c r="BL1841" s="57" t="n">
        <v>0</v>
      </c>
      <c r="BM1841" s="56" t="n">
        <v>0</v>
      </c>
      <c r="BN1841" s="57" t="n">
        <f aca="false">N('Neue Artikel'!$C$102)/Parameter!$B$18</f>
        <v>0</v>
      </c>
      <c r="BO1841" s="55"/>
      <c r="BP1841" s="60" t="n">
        <v>1</v>
      </c>
      <c r="BQ1841" s="60" t="n">
        <v>1841</v>
      </c>
      <c r="BR1841" s="55" t="str">
        <f aca="false">IF(U1841&lt;&gt;"",UPPER(TRIM(U1841)),IF(BU1841=1,UPPER(VLOOKUP(T1841,Parameter!$I$27:$K$29,2,0)),IF(P1841="","LOSE",P1841)))</f>
        <v>LOSE</v>
      </c>
      <c r="BS1841" s="57" t="n">
        <f aca="false">IF(BR1841="LOSE",1,IF(N(V1841)&gt;0,V1841,IF(BU1841=1,MAX(1,N(VLOOKUP(T1841,Parameter!$I$27:$K$29,3,0)),H1841,N(N1841)),IF(N(Q1841)&gt;0,Q1841,MAX(1,H1841)))))</f>
        <v>1</v>
      </c>
      <c r="BT1841" s="60" t="n">
        <f aca="false">IF(BR1841="LOSE",1,0)</f>
        <v>1</v>
      </c>
      <c r="BU1841" s="60" t="n">
        <f aca="false">IF(AND(U1841="",OR(P1841="",P1841="LOSE"),T1841&lt;&gt;"",N(S1841)&lt;=0,ISNUMBER(MATCH(T1841,Parameter!$I$27:$I$29,0))),1,0)</f>
        <v>0</v>
      </c>
      <c r="BV1841" s="55" t="str">
        <f aca="false">IF(AND(Parameter!$B$19="Ja",E1841&lt;&gt;"",ISNUMBER(MATCH(E1841,Parameter!$I$35:$I$52,0))),VLOOKUP(E1841,Parameter!$I$35:$J$52,2,0),IFERROR(VLOOKUP(D1841,Parameter!$A$35:$C$64,2,0),"Nein"))</f>
        <v>2+3</v>
      </c>
      <c r="BW1841" s="59" t="n">
        <f aca="false">IF(BT1841=0,0,IF(N(S1841)&gt;0,S1841,IFERROR(VLOOKUP(D1841,Parameter!$A$35:$C$64,3,0)+0,0)))</f>
        <v>0.15</v>
      </c>
      <c r="BX1841" s="55" t="str">
        <f aca="false">IF(AA1841&lt;&gt;"",AA1841,Z1841)</f>
        <v/>
      </c>
      <c r="BY1841" s="55" t="str">
        <f aca="false">IF(BX1841=1,"L1",IF(OR(BX1841=2,BX1841=3),"L23",IF(BX1841="Aussen","Aussen","-")))</f>
        <v>-</v>
      </c>
      <c r="BZ1841" s="66" t="n">
        <f aca="false">IF(N(AB1841)&gt;0,AB1841,0)</f>
        <v>0</v>
      </c>
      <c r="CA1841" s="60" t="n">
        <f aca="false">IF(ISNUMBER(AE1841),1,0)</f>
        <v>0</v>
      </c>
      <c r="CB1841" s="57" t="n">
        <f aca="false">N(AE1841)</f>
        <v>0</v>
      </c>
      <c r="CC1841" s="57" t="n">
        <f aca="false">N(M1841)+N(N1841)</f>
        <v>0</v>
      </c>
      <c r="CD1841" s="57" t="n">
        <f aca="false">ROUNDUP(H1841/BS1841,0)</f>
        <v>0</v>
      </c>
      <c r="CE1841" s="57" t="n">
        <f aca="false">ROUNDUP(CB1841/BS1841,0)</f>
        <v>0</v>
      </c>
      <c r="CF1841" s="60" t="n">
        <f aca="false">IF(BT1841=1,0,IFERROR(VLOOKUP(BR1841,'Gebinde-Kategorie'!$A$5:$M$45,5,0)+0,0))</f>
        <v>0</v>
      </c>
      <c r="CG1841" s="60" t="n">
        <f aca="false">IFERROR(IF(OR(BX1841=1,BX1841=2,BX1841=3),N(INDEX(Parameter!$I$5:$I$7,BX1841)),0),0)</f>
        <v>0</v>
      </c>
      <c r="CH1841" s="59" t="n">
        <f aca="false">IF(AND(Parameter!$B$21="Ja",ISNUMBER(W1841),N(X1841)&gt;0),IFERROR(N(INDEX(Parameter!$L$5:$L$7,W1841))*INDEX(Parameter!$E$5:$E$7,W1841)*X1841/SUMIFS($X$7:$X$1843,$W$7:$W$1843,W1841),0),0)</f>
        <v>0</v>
      </c>
    </row>
    <row r="1842" customFormat="false" ht="15" hidden="false" customHeight="false" outlineLevel="0" collapsed="false">
      <c r="A1842" s="55" t="str">
        <f aca="false">IF('Neue Artikel'!$A$103="","",'Neue Artikel'!$A$103&amp;"")</f>
        <v/>
      </c>
      <c r="B1842" s="55" t="str">
        <f aca="false">'Neue Artikel'!$B$103&amp;""</f>
        <v/>
      </c>
      <c r="C1842" s="55"/>
      <c r="D1842" s="55" t="s">
        <v>3015</v>
      </c>
      <c r="E1842" s="55"/>
      <c r="F1842" s="55"/>
      <c r="G1842" s="56" t="n">
        <f aca="false">N('Neue Artikel'!$G$103)</f>
        <v>0</v>
      </c>
      <c r="H1842" s="57" t="n">
        <f aca="false">MAX(0,IF(AND(Parameter!$B$21="Ja",ISNUMBER(Y1842)),Y1842,IF(Parameter!$B$20="Jahresanfang 2025 + Export",BL1842+BK1842,BK1842)))</f>
        <v>0</v>
      </c>
      <c r="I1842" s="57" t="n">
        <f aca="false">H1842*G1842</f>
        <v>0</v>
      </c>
      <c r="J1842" s="57" t="n">
        <f aca="false">BN1842*Parameter!$B$18</f>
        <v>0</v>
      </c>
      <c r="K1842" s="58"/>
      <c r="L1842" s="59"/>
      <c r="M1842" s="57" t="n">
        <f aca="false">N('Neue Artikel'!$E$103)</f>
        <v>0</v>
      </c>
      <c r="N1842" s="57" t="n">
        <f aca="false">N('Neue Artikel'!$F$103)</f>
        <v>0</v>
      </c>
      <c r="O1842" s="60"/>
      <c r="P1842" s="55" t="str">
        <f aca="false">IF('Neue Artikel'!$H$103="","LOSE",UPPER(TRIM('Neue Artikel'!$H$103)))</f>
        <v>LOSE</v>
      </c>
      <c r="Q1842" s="57" t="n">
        <f aca="false">N('Neue Artikel'!$I$103)</f>
        <v>0</v>
      </c>
      <c r="R1842" s="60" t="n">
        <f aca="false">IF(BT1842=1,0,IFERROR(VLOOKUP(BR1842,'Gebinde-Kategorie'!$A$5:$M$45,13,0)+0,0))</f>
        <v>0</v>
      </c>
      <c r="S1842" s="61"/>
      <c r="T1842" s="62"/>
      <c r="U1842" s="62"/>
      <c r="V1842" s="62"/>
      <c r="W1842" s="55"/>
      <c r="X1842" s="57"/>
      <c r="Y1842" s="57"/>
      <c r="Z1842" s="55" t="str">
        <f aca="false">IF(A1842="","",IF(AND(Parameter!$B$21="Ja",ISNUMBER(W1842)),W1842,IF(BV1842="2+3",IF(ISNUMBER(SEARCH("grosser Artikel",BO1842)),2,IFERROR(VLOOKUP(BR1842,Parameter!$F$35:$G$64,2,0),2)),IF(OR(BV1842="Nein",BV1842=""),"-",BV1842))))</f>
        <v/>
      </c>
      <c r="AA1842" s="55" t="str">
        <f aca="false">IF('Neue Artikel'!$J$103="","",'Neue Artikel'!$J$103)</f>
        <v/>
      </c>
      <c r="AB1842" s="63"/>
      <c r="AC1842" s="57" t="n">
        <f aca="false">AR1842</f>
        <v>0</v>
      </c>
      <c r="AD1842" s="57" t="n">
        <f aca="false">MAX(AR1842,H1842)</f>
        <v>0</v>
      </c>
      <c r="AE1842" s="64"/>
      <c r="AF1842" s="57" t="n">
        <f aca="false">IF(LEFT(Cockpit!$C$5,1)="A",H1842,IF(CA1842=1,CB1842,IF(LEFT(Cockpit!$C$5,1)="B",AJ1842,MAX(AJ1842,H1842))))</f>
        <v>0</v>
      </c>
      <c r="AG1842" s="57" t="n">
        <f aca="false">IF(BT1842=1,0,ROUNDUP(AF1842/BS1842,0))</f>
        <v>0</v>
      </c>
      <c r="AH1842" s="59" t="n">
        <f aca="false">IF(CH1842&gt;0,CH1842*MAX(1,AF1842/X1842),IF(BT1842=1,IF(AF1842&lt;=0,0,BW1842*MAX(1,IF(H1842&gt;0,AF1842/H1842,1))),IF(R1842&gt;0,AG1842/R1842,0))/MAX(0.1,N(Parameter!$M$21)))</f>
        <v>0</v>
      </c>
      <c r="AI1842" s="57" t="n">
        <f aca="false">AF1842*G1842</f>
        <v>0</v>
      </c>
      <c r="AJ1842" s="57" t="n">
        <f aca="false">ROUNDUP(MAX(J1842/IF(BZ1842&gt;0,BZ1842,MAX(0.1,N(Cockpit!$C$6))),CC1842)/BS1842,0)*BS1842</f>
        <v>0</v>
      </c>
      <c r="AK1842" s="58" t="n">
        <f aca="false">IF(AH1842&gt;0,J1842/AH1842,-1)</f>
        <v>-1</v>
      </c>
      <c r="AL1842" s="58" t="str">
        <f aca="false">IF(AND(OR(BY1842="L1",BY1842="L23"),AH1842&gt;0),SUMIFS($AH$7:$AH$1843,$BY$7:$BY$1843,BY1842,$AK$7:$AK$1843,"&gt;"&amp;AK1842)+SUMIFS($AH$7:$AH$1843,$BY$7:$BY$1843,BY1842,$AK$7:$AK$1843,AK1842,$BQ$7:$BQ$1843,"&lt;="&amp;BQ1842),"")</f>
        <v/>
      </c>
      <c r="AM1842" s="65" t="n">
        <f aca="false">IF(AL1842="",0,MAX(0,MIN(1,(IF(BY1842="L1",Parameter!$E$5,Parameter!$E$6+Parameter!$E$7)-(AL1842-AH1842))/AH1842)))</f>
        <v>0</v>
      </c>
      <c r="AN1842" s="57" t="n">
        <f aca="false">IF(LEFT(Cockpit!$I$5,1)="A",H1842,IF(CA1842=1,CB1842,IF(LEFT(Cockpit!$I$5,1)="B",AR1842,MAX(AR1842,H1842))))</f>
        <v>0</v>
      </c>
      <c r="AO1842" s="57" t="n">
        <f aca="false">IF(BT1842=1,0,ROUNDUP(AN1842/BS1842,0))</f>
        <v>0</v>
      </c>
      <c r="AP1842" s="59" t="n">
        <f aca="false">IF(CH1842&gt;0,CH1842*MAX(1,AN1842/X1842),IF(BT1842=1,IF(AN1842&lt;=0,0,BW1842*MAX(1,IF(H1842&gt;0,AN1842/H1842,1))),IF(R1842&gt;0,AO1842/R1842,0))/MAX(0.1,N(Parameter!$M$21)))</f>
        <v>0</v>
      </c>
      <c r="AQ1842" s="57" t="n">
        <f aca="false">AN1842*G1842</f>
        <v>0</v>
      </c>
      <c r="AR1842" s="57" t="n">
        <f aca="false">ROUNDUP(MAX(J1842/IF(BZ1842&gt;0,BZ1842,MAX(0.1,N(Cockpit!$I$6))),CC1842)/BS1842,0)*BS1842</f>
        <v>0</v>
      </c>
      <c r="AS1842" s="58" t="n">
        <f aca="false">IF(AP1842&gt;0,J1842/AP1842,-1)</f>
        <v>-1</v>
      </c>
      <c r="AT1842" s="58" t="str">
        <f aca="false">IF(AND(OR(BY1842="L1",BY1842="L23"),AP1842&gt;0),SUMIFS($AP$7:$AP$1843,$BY$7:$BY$1843,BY1842,$AS$7:$AS$1843,"&gt;"&amp;AS1842)+SUMIFS($AP$7:$AP$1843,$BY$7:$BY$1843,BY1842,$AS$7:$AS$1843,AS1842,$BQ$7:$BQ$1843,"&lt;="&amp;BQ1842),"")</f>
        <v/>
      </c>
      <c r="AU1842" s="65" t="n">
        <f aca="false">IF(AT1842="",0,MAX(0,MIN(1,(IF(BY1842="L1",Parameter!$E$5,Parameter!$E$6+Parameter!$E$7)-(AT1842-AP1842))/AP1842)))</f>
        <v>0</v>
      </c>
      <c r="AV1842" s="57" t="n">
        <f aca="false">IF(LEFT(Cockpit!$O$5,1)="A",H1842,IF(CA1842=1,CB1842,IF(LEFT(Cockpit!$O$5,1)="B",AZ1842,MAX(AZ1842,H1842))))</f>
        <v>0</v>
      </c>
      <c r="AW1842" s="57" t="n">
        <f aca="false">IF(BT1842=1,0,ROUNDUP(AV1842/BS1842,0))</f>
        <v>0</v>
      </c>
      <c r="AX1842" s="59" t="n">
        <f aca="false">IF(CH1842&gt;0,CH1842*MAX(1,AV1842/X1842),IF(BT1842=1,IF(AV1842&lt;=0,0,BW1842*MAX(1,IF(H1842&gt;0,AV1842/H1842,1))),IF(R1842&gt;0,AW1842/R1842,0))/MAX(0.1,N(Parameter!$M$21)))</f>
        <v>0</v>
      </c>
      <c r="AY1842" s="57" t="n">
        <f aca="false">AV1842*G1842</f>
        <v>0</v>
      </c>
      <c r="AZ1842" s="57" t="n">
        <f aca="false">ROUNDUP(MAX(J1842/IF(BZ1842&gt;0,BZ1842,MAX(0.1,N(Cockpit!$O$6))),CC1842)/BS1842,0)*BS1842</f>
        <v>0</v>
      </c>
      <c r="BA1842" s="58" t="n">
        <f aca="false">IF(AX1842&gt;0,J1842/AX1842,-1)</f>
        <v>-1</v>
      </c>
      <c r="BB1842" s="58" t="str">
        <f aca="false">IF(AND(OR(BY1842="L1",BY1842="L23"),AX1842&gt;0),SUMIFS($AX$7:$AX$1843,$BY$7:$BY$1843,BY1842,$BA$7:$BA$1843,"&gt;"&amp;BA1842)+SUMIFS($AX$7:$AX$1843,$BY$7:$BY$1843,BY1842,$BA$7:$BA$1843,BA1842,$BQ$7:$BQ$1843,"&lt;="&amp;BQ1842),"")</f>
        <v/>
      </c>
      <c r="BC1842" s="65" t="n">
        <f aca="false">IF(BB1842="",0,MAX(0,MIN(1,(IF(BY1842="L1",Parameter!$E$5,Parameter!$E$6+Parameter!$E$7)-(BB1842-AX1842))/AX1842)))</f>
        <v>0</v>
      </c>
      <c r="BD1842" s="55" t="str">
        <f aca="false">IF(AH1842&lt;=0,"",IF(BY1842="Aussen","Aussenlager",IF(BY1842="-","Nicht im Lift",IF(AM1842&gt;=1,"Lift",IF(AM1842&lt;=0,"Aussenlager","teilweise")))))</f>
        <v/>
      </c>
      <c r="BE1842" s="55" t="str">
        <f aca="false">IF(AP1842&lt;=0,"",IF(BY1842="Aussen","Aussenlager",IF(BY1842="-","Nicht im Lift",IF(AU1842&gt;=1,"Lift",IF(AU1842&lt;=0,"Aussenlager","teilweise")))))</f>
        <v/>
      </c>
      <c r="BF1842" s="55" t="str">
        <f aca="false">IF(AX1842&lt;=0,"",IF(BY1842="Aussen","Aussenlager",IF(BY1842="-","Nicht im Lift",IF(BC1842&gt;=1,"Lift",IF(BC1842&lt;=0,"Aussenlager","teilweise")))))</f>
        <v/>
      </c>
      <c r="BG1842" s="55" t="str">
        <f aca="false">IF(A1842="","",IF(BP1842=1,"Neu; ","")&amp;IF(AND(BP1842=0,BK1842&lt;0),"negativer Bestand (Export "&amp;BK1842&amp;"); ","")&amp;IF(J1842&lt;=0,"Kein Verbrauch; ","")&amp;IF(CH1842&gt;0,"Lift "&amp;W1842&amp;" lt. Liftbericht (Fach "&amp;X1842&amp;" Stk); ",IF(BU1842=1,"Gebinde geschätzt ("&amp;T1842&amp;"); ",IF(BT1842=1,"Lose – Tablare geschätzt; ","")))&amp;IF(H1842&gt;AR1842,"Überbestand "&amp;ROUND(H1842-AR1842,0)&amp;" Stk / CHF "&amp;ROUND((H1842-AR1842)*G1842,0)&amp;"; ","")&amp;IF(AND(CA1842=1,CB1842&lt;CC1842),"MAX &lt; MB+LG; ","")&amp;IF(AND(CG1842&gt;0,CF1842*10&gt;CG1842),"zu hoch für Tablar; ","")&amp;IF(AND(BP1842=0,OR(CA1842=1,AA1842&lt;&gt;"",U1842&lt;&gt;"",V1842&lt;&gt;"",AB1842&lt;&gt;"")),"manuell übersteuert; ","")&amp;IF(AND(BT1842=0,R1842=0),"Gebinde unbekannt / Stellmass fehlt; ","")&amp;IF(AND(BT1842=0,N(V1842)&lt;=0,N(Q1842)&lt;=0),"Menge pro Gebinde fehlt (Ist = 1 Gebinde); ","")&amp;BO1842)</f>
        <v/>
      </c>
      <c r="BH1842" s="55"/>
      <c r="BI1842" s="55"/>
      <c r="BJ1842" s="62"/>
      <c r="BK1842" s="57" t="n">
        <f aca="false">N('Neue Artikel'!$D$103)</f>
        <v>0</v>
      </c>
      <c r="BL1842" s="57" t="n">
        <v>0</v>
      </c>
      <c r="BM1842" s="56" t="n">
        <v>0</v>
      </c>
      <c r="BN1842" s="57" t="n">
        <f aca="false">N('Neue Artikel'!$C$103)/Parameter!$B$18</f>
        <v>0</v>
      </c>
      <c r="BO1842" s="55"/>
      <c r="BP1842" s="60" t="n">
        <v>1</v>
      </c>
      <c r="BQ1842" s="60" t="n">
        <v>1842</v>
      </c>
      <c r="BR1842" s="55" t="str">
        <f aca="false">IF(U1842&lt;&gt;"",UPPER(TRIM(U1842)),IF(BU1842=1,UPPER(VLOOKUP(T1842,Parameter!$I$27:$K$29,2,0)),IF(P1842="","LOSE",P1842)))</f>
        <v>LOSE</v>
      </c>
      <c r="BS1842" s="57" t="n">
        <f aca="false">IF(BR1842="LOSE",1,IF(N(V1842)&gt;0,V1842,IF(BU1842=1,MAX(1,N(VLOOKUP(T1842,Parameter!$I$27:$K$29,3,0)),H1842,N(N1842)),IF(N(Q1842)&gt;0,Q1842,MAX(1,H1842)))))</f>
        <v>1</v>
      </c>
      <c r="BT1842" s="60" t="n">
        <f aca="false">IF(BR1842="LOSE",1,0)</f>
        <v>1</v>
      </c>
      <c r="BU1842" s="60" t="n">
        <f aca="false">IF(AND(U1842="",OR(P1842="",P1842="LOSE"),T1842&lt;&gt;"",N(S1842)&lt;=0,ISNUMBER(MATCH(T1842,Parameter!$I$27:$I$29,0))),1,0)</f>
        <v>0</v>
      </c>
      <c r="BV1842" s="55" t="str">
        <f aca="false">IF(AND(Parameter!$B$19="Ja",E1842&lt;&gt;"",ISNUMBER(MATCH(E1842,Parameter!$I$35:$I$52,0))),VLOOKUP(E1842,Parameter!$I$35:$J$52,2,0),IFERROR(VLOOKUP(D1842,Parameter!$A$35:$C$64,2,0),"Nein"))</f>
        <v>2+3</v>
      </c>
      <c r="BW1842" s="59" t="n">
        <f aca="false">IF(BT1842=0,0,IF(N(S1842)&gt;0,S1842,IFERROR(VLOOKUP(D1842,Parameter!$A$35:$C$64,3,0)+0,0)))</f>
        <v>0.15</v>
      </c>
      <c r="BX1842" s="55" t="str">
        <f aca="false">IF(AA1842&lt;&gt;"",AA1842,Z1842)</f>
        <v/>
      </c>
      <c r="BY1842" s="55" t="str">
        <f aca="false">IF(BX1842=1,"L1",IF(OR(BX1842=2,BX1842=3),"L23",IF(BX1842="Aussen","Aussen","-")))</f>
        <v>-</v>
      </c>
      <c r="BZ1842" s="66" t="n">
        <f aca="false">IF(N(AB1842)&gt;0,AB1842,0)</f>
        <v>0</v>
      </c>
      <c r="CA1842" s="60" t="n">
        <f aca="false">IF(ISNUMBER(AE1842),1,0)</f>
        <v>0</v>
      </c>
      <c r="CB1842" s="57" t="n">
        <f aca="false">N(AE1842)</f>
        <v>0</v>
      </c>
      <c r="CC1842" s="57" t="n">
        <f aca="false">N(M1842)+N(N1842)</f>
        <v>0</v>
      </c>
      <c r="CD1842" s="57" t="n">
        <f aca="false">ROUNDUP(H1842/BS1842,0)</f>
        <v>0</v>
      </c>
      <c r="CE1842" s="57" t="n">
        <f aca="false">ROUNDUP(CB1842/BS1842,0)</f>
        <v>0</v>
      </c>
      <c r="CF1842" s="60" t="n">
        <f aca="false">IF(BT1842=1,0,IFERROR(VLOOKUP(BR1842,'Gebinde-Kategorie'!$A$5:$M$45,5,0)+0,0))</f>
        <v>0</v>
      </c>
      <c r="CG1842" s="60" t="n">
        <f aca="false">IFERROR(IF(OR(BX1842=1,BX1842=2,BX1842=3),N(INDEX(Parameter!$I$5:$I$7,BX1842)),0),0)</f>
        <v>0</v>
      </c>
      <c r="CH1842" s="59" t="n">
        <f aca="false">IF(AND(Parameter!$B$21="Ja",ISNUMBER(W1842),N(X1842)&gt;0),IFERROR(N(INDEX(Parameter!$L$5:$L$7,W1842))*INDEX(Parameter!$E$5:$E$7,W1842)*X1842/SUMIFS($X$7:$X$1843,$W$7:$W$1843,W1842),0),0)</f>
        <v>0</v>
      </c>
    </row>
    <row r="1843" customFormat="false" ht="15" hidden="false" customHeight="false" outlineLevel="0" collapsed="false">
      <c r="A1843" s="55" t="str">
        <f aca="false">IF('Neue Artikel'!$A$104="","",'Neue Artikel'!$A$104&amp;"")</f>
        <v/>
      </c>
      <c r="B1843" s="55" t="str">
        <f aca="false">'Neue Artikel'!$B$104&amp;""</f>
        <v/>
      </c>
      <c r="C1843" s="55"/>
      <c r="D1843" s="55" t="s">
        <v>3015</v>
      </c>
      <c r="E1843" s="55"/>
      <c r="F1843" s="55"/>
      <c r="G1843" s="56" t="n">
        <f aca="false">N('Neue Artikel'!$G$104)</f>
        <v>0</v>
      </c>
      <c r="H1843" s="57" t="n">
        <f aca="false">MAX(0,IF(AND(Parameter!$B$21="Ja",ISNUMBER(Y1843)),Y1843,IF(Parameter!$B$20="Jahresanfang 2025 + Export",BL1843+BK1843,BK1843)))</f>
        <v>0</v>
      </c>
      <c r="I1843" s="57" t="n">
        <f aca="false">H1843*G1843</f>
        <v>0</v>
      </c>
      <c r="J1843" s="57" t="n">
        <f aca="false">BN1843*Parameter!$B$18</f>
        <v>0</v>
      </c>
      <c r="K1843" s="58"/>
      <c r="L1843" s="59"/>
      <c r="M1843" s="57" t="n">
        <f aca="false">N('Neue Artikel'!$E$104)</f>
        <v>0</v>
      </c>
      <c r="N1843" s="57" t="n">
        <f aca="false">N('Neue Artikel'!$F$104)</f>
        <v>0</v>
      </c>
      <c r="O1843" s="60"/>
      <c r="P1843" s="55" t="str">
        <f aca="false">IF('Neue Artikel'!$H$104="","LOSE",UPPER(TRIM('Neue Artikel'!$H$104)))</f>
        <v>LOSE</v>
      </c>
      <c r="Q1843" s="57" t="n">
        <f aca="false">N('Neue Artikel'!$I$104)</f>
        <v>0</v>
      </c>
      <c r="R1843" s="60" t="n">
        <f aca="false">IF(BT1843=1,0,IFERROR(VLOOKUP(BR1843,'Gebinde-Kategorie'!$A$5:$M$45,13,0)+0,0))</f>
        <v>0</v>
      </c>
      <c r="S1843" s="61"/>
      <c r="T1843" s="62"/>
      <c r="U1843" s="62"/>
      <c r="V1843" s="62"/>
      <c r="W1843" s="55"/>
      <c r="X1843" s="57"/>
      <c r="Y1843" s="57"/>
      <c r="Z1843" s="55" t="str">
        <f aca="false">IF(A1843="","",IF(AND(Parameter!$B$21="Ja",ISNUMBER(W1843)),W1843,IF(BV1843="2+3",IF(ISNUMBER(SEARCH("grosser Artikel",BO1843)),2,IFERROR(VLOOKUP(BR1843,Parameter!$F$35:$G$64,2,0),2)),IF(OR(BV1843="Nein",BV1843=""),"-",BV1843))))</f>
        <v/>
      </c>
      <c r="AA1843" s="55" t="str">
        <f aca="false">IF('Neue Artikel'!$J$104="","",'Neue Artikel'!$J$104)</f>
        <v/>
      </c>
      <c r="AB1843" s="63"/>
      <c r="AC1843" s="57" t="n">
        <f aca="false">AR1843</f>
        <v>0</v>
      </c>
      <c r="AD1843" s="57" t="n">
        <f aca="false">MAX(AR1843,H1843)</f>
        <v>0</v>
      </c>
      <c r="AE1843" s="64"/>
      <c r="AF1843" s="57" t="n">
        <f aca="false">IF(LEFT(Cockpit!$C$5,1)="A",H1843,IF(CA1843=1,CB1843,IF(LEFT(Cockpit!$C$5,1)="B",AJ1843,MAX(AJ1843,H1843))))</f>
        <v>0</v>
      </c>
      <c r="AG1843" s="57" t="n">
        <f aca="false">IF(BT1843=1,0,ROUNDUP(AF1843/BS1843,0))</f>
        <v>0</v>
      </c>
      <c r="AH1843" s="59" t="n">
        <f aca="false">IF(CH1843&gt;0,CH1843*MAX(1,AF1843/X1843),IF(BT1843=1,IF(AF1843&lt;=0,0,BW1843*MAX(1,IF(H1843&gt;0,AF1843/H1843,1))),IF(R1843&gt;0,AG1843/R1843,0))/MAX(0.1,N(Parameter!$M$21)))</f>
        <v>0</v>
      </c>
      <c r="AI1843" s="57" t="n">
        <f aca="false">AF1843*G1843</f>
        <v>0</v>
      </c>
      <c r="AJ1843" s="57" t="n">
        <f aca="false">ROUNDUP(MAX(J1843/IF(BZ1843&gt;0,BZ1843,MAX(0.1,N(Cockpit!$C$6))),CC1843)/BS1843,0)*BS1843</f>
        <v>0</v>
      </c>
      <c r="AK1843" s="58" t="n">
        <f aca="false">IF(AH1843&gt;0,J1843/AH1843,-1)</f>
        <v>-1</v>
      </c>
      <c r="AL1843" s="58" t="str">
        <f aca="false">IF(AND(OR(BY1843="L1",BY1843="L23"),AH1843&gt;0),SUMIFS($AH$7:$AH$1843,$BY$7:$BY$1843,BY1843,$AK$7:$AK$1843,"&gt;"&amp;AK1843)+SUMIFS($AH$7:$AH$1843,$BY$7:$BY$1843,BY1843,$AK$7:$AK$1843,AK1843,$BQ$7:$BQ$1843,"&lt;="&amp;BQ1843),"")</f>
        <v/>
      </c>
      <c r="AM1843" s="65" t="n">
        <f aca="false">IF(AL1843="",0,MAX(0,MIN(1,(IF(BY1843="L1",Parameter!$E$5,Parameter!$E$6+Parameter!$E$7)-(AL1843-AH1843))/AH1843)))</f>
        <v>0</v>
      </c>
      <c r="AN1843" s="57" t="n">
        <f aca="false">IF(LEFT(Cockpit!$I$5,1)="A",H1843,IF(CA1843=1,CB1843,IF(LEFT(Cockpit!$I$5,1)="B",AR1843,MAX(AR1843,H1843))))</f>
        <v>0</v>
      </c>
      <c r="AO1843" s="57" t="n">
        <f aca="false">IF(BT1843=1,0,ROUNDUP(AN1843/BS1843,0))</f>
        <v>0</v>
      </c>
      <c r="AP1843" s="59" t="n">
        <f aca="false">IF(CH1843&gt;0,CH1843*MAX(1,AN1843/X1843),IF(BT1843=1,IF(AN1843&lt;=0,0,BW1843*MAX(1,IF(H1843&gt;0,AN1843/H1843,1))),IF(R1843&gt;0,AO1843/R1843,0))/MAX(0.1,N(Parameter!$M$21)))</f>
        <v>0</v>
      </c>
      <c r="AQ1843" s="57" t="n">
        <f aca="false">AN1843*G1843</f>
        <v>0</v>
      </c>
      <c r="AR1843" s="57" t="n">
        <f aca="false">ROUNDUP(MAX(J1843/IF(BZ1843&gt;0,BZ1843,MAX(0.1,N(Cockpit!$I$6))),CC1843)/BS1843,0)*BS1843</f>
        <v>0</v>
      </c>
      <c r="AS1843" s="58" t="n">
        <f aca="false">IF(AP1843&gt;0,J1843/AP1843,-1)</f>
        <v>-1</v>
      </c>
      <c r="AT1843" s="58" t="str">
        <f aca="false">IF(AND(OR(BY1843="L1",BY1843="L23"),AP1843&gt;0),SUMIFS($AP$7:$AP$1843,$BY$7:$BY$1843,BY1843,$AS$7:$AS$1843,"&gt;"&amp;AS1843)+SUMIFS($AP$7:$AP$1843,$BY$7:$BY$1843,BY1843,$AS$7:$AS$1843,AS1843,$BQ$7:$BQ$1843,"&lt;="&amp;BQ1843),"")</f>
        <v/>
      </c>
      <c r="AU1843" s="65" t="n">
        <f aca="false">IF(AT1843="",0,MAX(0,MIN(1,(IF(BY1843="L1",Parameter!$E$5,Parameter!$E$6+Parameter!$E$7)-(AT1843-AP1843))/AP1843)))</f>
        <v>0</v>
      </c>
      <c r="AV1843" s="57" t="n">
        <f aca="false">IF(LEFT(Cockpit!$O$5,1)="A",H1843,IF(CA1843=1,CB1843,IF(LEFT(Cockpit!$O$5,1)="B",AZ1843,MAX(AZ1843,H1843))))</f>
        <v>0</v>
      </c>
      <c r="AW1843" s="57" t="n">
        <f aca="false">IF(BT1843=1,0,ROUNDUP(AV1843/BS1843,0))</f>
        <v>0</v>
      </c>
      <c r="AX1843" s="59" t="n">
        <f aca="false">IF(CH1843&gt;0,CH1843*MAX(1,AV1843/X1843),IF(BT1843=1,IF(AV1843&lt;=0,0,BW1843*MAX(1,IF(H1843&gt;0,AV1843/H1843,1))),IF(R1843&gt;0,AW1843/R1843,0))/MAX(0.1,N(Parameter!$M$21)))</f>
        <v>0</v>
      </c>
      <c r="AY1843" s="57" t="n">
        <f aca="false">AV1843*G1843</f>
        <v>0</v>
      </c>
      <c r="AZ1843" s="57" t="n">
        <f aca="false">ROUNDUP(MAX(J1843/IF(BZ1843&gt;0,BZ1843,MAX(0.1,N(Cockpit!$O$6))),CC1843)/BS1843,0)*BS1843</f>
        <v>0</v>
      </c>
      <c r="BA1843" s="58" t="n">
        <f aca="false">IF(AX1843&gt;0,J1843/AX1843,-1)</f>
        <v>-1</v>
      </c>
      <c r="BB1843" s="58" t="str">
        <f aca="false">IF(AND(OR(BY1843="L1",BY1843="L23"),AX1843&gt;0),SUMIFS($AX$7:$AX$1843,$BY$7:$BY$1843,BY1843,$BA$7:$BA$1843,"&gt;"&amp;BA1843)+SUMIFS($AX$7:$AX$1843,$BY$7:$BY$1843,BY1843,$BA$7:$BA$1843,BA1843,$BQ$7:$BQ$1843,"&lt;="&amp;BQ1843),"")</f>
        <v/>
      </c>
      <c r="BC1843" s="65" t="n">
        <f aca="false">IF(BB1843="",0,MAX(0,MIN(1,(IF(BY1843="L1",Parameter!$E$5,Parameter!$E$6+Parameter!$E$7)-(BB1843-AX1843))/AX1843)))</f>
        <v>0</v>
      </c>
      <c r="BD1843" s="55" t="str">
        <f aca="false">IF(AH1843&lt;=0,"",IF(BY1843="Aussen","Aussenlager",IF(BY1843="-","Nicht im Lift",IF(AM1843&gt;=1,"Lift",IF(AM1843&lt;=0,"Aussenlager","teilweise")))))</f>
        <v/>
      </c>
      <c r="BE1843" s="55" t="str">
        <f aca="false">IF(AP1843&lt;=0,"",IF(BY1843="Aussen","Aussenlager",IF(BY1843="-","Nicht im Lift",IF(AU1843&gt;=1,"Lift",IF(AU1843&lt;=0,"Aussenlager","teilweise")))))</f>
        <v/>
      </c>
      <c r="BF1843" s="55" t="str">
        <f aca="false">IF(AX1843&lt;=0,"",IF(BY1843="Aussen","Aussenlager",IF(BY1843="-","Nicht im Lift",IF(BC1843&gt;=1,"Lift",IF(BC1843&lt;=0,"Aussenlager","teilweise")))))</f>
        <v/>
      </c>
      <c r="BG1843" s="55" t="str">
        <f aca="false">IF(A1843="","",IF(BP1843=1,"Neu; ","")&amp;IF(AND(BP1843=0,BK1843&lt;0),"negativer Bestand (Export "&amp;BK1843&amp;"); ","")&amp;IF(J1843&lt;=0,"Kein Verbrauch; ","")&amp;IF(CH1843&gt;0,"Lift "&amp;W1843&amp;" lt. Liftbericht (Fach "&amp;X1843&amp;" Stk); ",IF(BU1843=1,"Gebinde geschätzt ("&amp;T1843&amp;"); ",IF(BT1843=1,"Lose – Tablare geschätzt; ","")))&amp;IF(H1843&gt;AR1843,"Überbestand "&amp;ROUND(H1843-AR1843,0)&amp;" Stk / CHF "&amp;ROUND((H1843-AR1843)*G1843,0)&amp;"; ","")&amp;IF(AND(CA1843=1,CB1843&lt;CC1843),"MAX &lt; MB+LG; ","")&amp;IF(AND(CG1843&gt;0,CF1843*10&gt;CG1843),"zu hoch für Tablar; ","")&amp;IF(AND(BP1843=0,OR(CA1843=1,AA1843&lt;&gt;"",U1843&lt;&gt;"",V1843&lt;&gt;"",AB1843&lt;&gt;"")),"manuell übersteuert; ","")&amp;IF(AND(BT1843=0,R1843=0),"Gebinde unbekannt / Stellmass fehlt; ","")&amp;IF(AND(BT1843=0,N(V1843)&lt;=0,N(Q1843)&lt;=0),"Menge pro Gebinde fehlt (Ist = 1 Gebinde); ","")&amp;BO1843)</f>
        <v/>
      </c>
      <c r="BH1843" s="55"/>
      <c r="BI1843" s="55"/>
      <c r="BJ1843" s="62"/>
      <c r="BK1843" s="57" t="n">
        <f aca="false">N('Neue Artikel'!$D$104)</f>
        <v>0</v>
      </c>
      <c r="BL1843" s="57" t="n">
        <v>0</v>
      </c>
      <c r="BM1843" s="56" t="n">
        <v>0</v>
      </c>
      <c r="BN1843" s="57" t="n">
        <f aca="false">N('Neue Artikel'!$C$104)/Parameter!$B$18</f>
        <v>0</v>
      </c>
      <c r="BO1843" s="55"/>
      <c r="BP1843" s="60" t="n">
        <v>1</v>
      </c>
      <c r="BQ1843" s="60" t="n">
        <v>1843</v>
      </c>
      <c r="BR1843" s="55" t="str">
        <f aca="false">IF(U1843&lt;&gt;"",UPPER(TRIM(U1843)),IF(BU1843=1,UPPER(VLOOKUP(T1843,Parameter!$I$27:$K$29,2,0)),IF(P1843="","LOSE",P1843)))</f>
        <v>LOSE</v>
      </c>
      <c r="BS1843" s="57" t="n">
        <f aca="false">IF(BR1843="LOSE",1,IF(N(V1843)&gt;0,V1843,IF(BU1843=1,MAX(1,N(VLOOKUP(T1843,Parameter!$I$27:$K$29,3,0)),H1843,N(N1843)),IF(N(Q1843)&gt;0,Q1843,MAX(1,H1843)))))</f>
        <v>1</v>
      </c>
      <c r="BT1843" s="60" t="n">
        <f aca="false">IF(BR1843="LOSE",1,0)</f>
        <v>1</v>
      </c>
      <c r="BU1843" s="60" t="n">
        <f aca="false">IF(AND(U1843="",OR(P1843="",P1843="LOSE"),T1843&lt;&gt;"",N(S1843)&lt;=0,ISNUMBER(MATCH(T1843,Parameter!$I$27:$I$29,0))),1,0)</f>
        <v>0</v>
      </c>
      <c r="BV1843" s="55" t="str">
        <f aca="false">IF(AND(Parameter!$B$19="Ja",E1843&lt;&gt;"",ISNUMBER(MATCH(E1843,Parameter!$I$35:$I$52,0))),VLOOKUP(E1843,Parameter!$I$35:$J$52,2,0),IFERROR(VLOOKUP(D1843,Parameter!$A$35:$C$64,2,0),"Nein"))</f>
        <v>2+3</v>
      </c>
      <c r="BW1843" s="59" t="n">
        <f aca="false">IF(BT1843=0,0,IF(N(S1843)&gt;0,S1843,IFERROR(VLOOKUP(D1843,Parameter!$A$35:$C$64,3,0)+0,0)))</f>
        <v>0.15</v>
      </c>
      <c r="BX1843" s="55" t="str">
        <f aca="false">IF(AA1843&lt;&gt;"",AA1843,Z1843)</f>
        <v/>
      </c>
      <c r="BY1843" s="55" t="str">
        <f aca="false">IF(BX1843=1,"L1",IF(OR(BX1843=2,BX1843=3),"L23",IF(BX1843="Aussen","Aussen","-")))</f>
        <v>-</v>
      </c>
      <c r="BZ1843" s="66" t="n">
        <f aca="false">IF(N(AB1843)&gt;0,AB1843,0)</f>
        <v>0</v>
      </c>
      <c r="CA1843" s="60" t="n">
        <f aca="false">IF(ISNUMBER(AE1843),1,0)</f>
        <v>0</v>
      </c>
      <c r="CB1843" s="57" t="n">
        <f aca="false">N(AE1843)</f>
        <v>0</v>
      </c>
      <c r="CC1843" s="57" t="n">
        <f aca="false">N(M1843)+N(N1843)</f>
        <v>0</v>
      </c>
      <c r="CD1843" s="57" t="n">
        <f aca="false">ROUNDUP(H1843/BS1843,0)</f>
        <v>0</v>
      </c>
      <c r="CE1843" s="57" t="n">
        <f aca="false">ROUNDUP(CB1843/BS1843,0)</f>
        <v>0</v>
      </c>
      <c r="CF1843" s="60" t="n">
        <f aca="false">IF(BT1843=1,0,IFERROR(VLOOKUP(BR1843,'Gebinde-Kategorie'!$A$5:$M$45,5,0)+0,0))</f>
        <v>0</v>
      </c>
      <c r="CG1843" s="60" t="n">
        <f aca="false">IFERROR(IF(OR(BX1843=1,BX1843=2,BX1843=3),N(INDEX(Parameter!$I$5:$I$7,BX1843)),0),0)</f>
        <v>0</v>
      </c>
      <c r="CH1843" s="59" t="n">
        <f aca="false">IF(AND(Parameter!$B$21="Ja",ISNUMBER(W1843),N(X1843)&gt;0),IFERROR(N(INDEX(Parameter!$L$5:$L$7,W1843))*INDEX(Parameter!$E$5:$E$7,W1843)*X1843/SUMIFS($X$7:$X$1843,$W$7:$W$1843,W1843),0),0)</f>
        <v>0</v>
      </c>
    </row>
  </sheetData>
  <autoFilter ref="A6:BJ1843"/>
  <conditionalFormatting sqref="BD7:BD1843">
    <cfRule type="cellIs" priority="2" operator="equal" aboveAverage="0" equalAverage="0" bottom="0" percent="0" rank="0" text="" dxfId="3">
      <formula>"Lift"</formula>
    </cfRule>
    <cfRule type="cellIs" priority="3" operator="equal" aboveAverage="0" equalAverage="0" bottom="0" percent="0" rank="0" text="" dxfId="2">
      <formula>"teilweise"</formula>
    </cfRule>
    <cfRule type="cellIs" priority="4" operator="equal" aboveAverage="0" equalAverage="0" bottom="0" percent="0" rank="0" text="" dxfId="1">
      <formula>"Aussenlager"</formula>
    </cfRule>
  </conditionalFormatting>
  <conditionalFormatting sqref="BE7:BE1843">
    <cfRule type="cellIs" priority="5" operator="equal" aboveAverage="0" equalAverage="0" bottom="0" percent="0" rank="0" text="" dxfId="3">
      <formula>"Lift"</formula>
    </cfRule>
    <cfRule type="cellIs" priority="6" operator="equal" aboveAverage="0" equalAverage="0" bottom="0" percent="0" rank="0" text="" dxfId="2">
      <formula>"teilweise"</formula>
    </cfRule>
    <cfRule type="cellIs" priority="7" operator="equal" aboveAverage="0" equalAverage="0" bottom="0" percent="0" rank="0" text="" dxfId="1">
      <formula>"Aussenlager"</formula>
    </cfRule>
  </conditionalFormatting>
  <conditionalFormatting sqref="BF7:BF1843">
    <cfRule type="cellIs" priority="8" operator="equal" aboveAverage="0" equalAverage="0" bottom="0" percent="0" rank="0" text="" dxfId="3">
      <formula>"Lift"</formula>
    </cfRule>
    <cfRule type="cellIs" priority="9" operator="equal" aboveAverage="0" equalAverage="0" bottom="0" percent="0" rank="0" text="" dxfId="2">
      <formula>"teilweise"</formula>
    </cfRule>
    <cfRule type="cellIs" priority="10" operator="equal" aboveAverage="0" equalAverage="0" bottom="0" percent="0" rank="0" text="" dxfId="1">
      <formula>"Aussenlager"</formula>
    </cfRule>
  </conditionalFormatting>
  <conditionalFormatting sqref="BG7:BG1843">
    <cfRule type="expression" priority="11" aboveAverage="0" equalAverage="0" bottom="0" percent="0" rank="0" text="" dxfId="1">
      <formula>ISNUMBER(SEARCH("zu hoch",BG7))</formula>
    </cfRule>
    <cfRule type="expression" priority="12" aboveAverage="0" equalAverage="0" bottom="0" percent="0" rank="0" text="" dxfId="2">
      <formula>ISNUMBER(SEARCH("Überbestand",BG7))</formula>
    </cfRule>
  </conditionalFormatting>
  <dataValidations count="2">
    <dataValidation allowBlank="true" errorStyle="stop" operator="between" showDropDown="false" showErrorMessage="false" showInputMessage="false" sqref="AA7:AA1743" type="list">
      <formula1>"1,2,3,Aussen"</formula1>
      <formula2>0</formula2>
    </dataValidation>
    <dataValidation allowBlank="true" errorStyle="stop" operator="between" showDropDown="false" showErrorMessage="false" showInputMessage="false" sqref="T7:T1843" type="list">
      <formula1>Parameter!$I$27:$I$29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Z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8" min="6" style="0" width="11"/>
    <col collapsed="false" customWidth="true" hidden="false" outlineLevel="0" max="9" min="9" style="0" width="14"/>
    <col collapsed="false" customWidth="true" hidden="false" outlineLevel="0" max="11" min="10" style="0" width="11"/>
    <col collapsed="false" customWidth="true" hidden="false" outlineLevel="0" max="13" min="12" style="0" width="14"/>
  </cols>
  <sheetData>
    <row r="1" customFormat="false" ht="17.35" hidden="false" customHeight="false" outlineLevel="0" collapsed="false">
      <c r="A1" s="32" t="s">
        <v>3016</v>
      </c>
      <c r="Z1" s="67" t="s">
        <v>3017</v>
      </c>
    </row>
    <row r="2" customFormat="false" ht="15" hidden="false" customHeight="false" outlineLevel="0" collapsed="false">
      <c r="A2" s="33" t="s">
        <v>3018</v>
      </c>
    </row>
    <row r="3" customFormat="false" ht="15" hidden="false" customHeight="false" outlineLevel="0" collapsed="false">
      <c r="A3" s="48" t="s">
        <v>3019</v>
      </c>
    </row>
    <row r="4" customFormat="false" ht="35.05" hidden="false" customHeight="false" outlineLevel="0" collapsed="false">
      <c r="A4" s="53" t="s">
        <v>3020</v>
      </c>
      <c r="B4" s="53" t="s">
        <v>3021</v>
      </c>
      <c r="C4" s="53" t="s">
        <v>3022</v>
      </c>
      <c r="D4" s="53" t="s">
        <v>80</v>
      </c>
      <c r="E4" s="53" t="s">
        <v>3023</v>
      </c>
      <c r="F4" s="53" t="s">
        <v>3024</v>
      </c>
      <c r="G4" s="53" t="s">
        <v>3025</v>
      </c>
      <c r="H4" s="53" t="s">
        <v>3026</v>
      </c>
      <c r="I4" s="53" t="s">
        <v>3027</v>
      </c>
      <c r="J4" s="53" t="s">
        <v>3028</v>
      </c>
      <c r="K4" s="53" t="s">
        <v>3029</v>
      </c>
      <c r="L4" s="53" t="s">
        <v>3030</v>
      </c>
    </row>
    <row r="5" customFormat="false" ht="15" hidden="false" customHeight="false" outlineLevel="0" collapsed="false">
      <c r="A5" s="15" t="n">
        <v>1</v>
      </c>
      <c r="B5" s="68" t="s">
        <v>15</v>
      </c>
      <c r="C5" s="68" t="s">
        <v>3031</v>
      </c>
      <c r="D5" s="68" t="s">
        <v>165</v>
      </c>
      <c r="E5" s="69" t="n">
        <v>50</v>
      </c>
      <c r="F5" s="70" t="n">
        <v>4060</v>
      </c>
      <c r="G5" s="70" t="n">
        <v>857</v>
      </c>
      <c r="H5" s="70" t="n">
        <v>11900</v>
      </c>
      <c r="I5" s="70"/>
      <c r="J5" s="71" t="n">
        <f aca="false">F5*G5/1000000</f>
        <v>3.47942</v>
      </c>
      <c r="K5" s="11" t="n">
        <f aca="false">E5*J5</f>
        <v>173.971</v>
      </c>
      <c r="L5" s="72" t="n">
        <v>0.85</v>
      </c>
    </row>
    <row r="6" customFormat="false" ht="15" hidden="false" customHeight="false" outlineLevel="0" collapsed="false">
      <c r="A6" s="15" t="n">
        <v>2</v>
      </c>
      <c r="B6" s="68" t="s">
        <v>16</v>
      </c>
      <c r="C6" s="68" t="s">
        <v>3032</v>
      </c>
      <c r="D6" s="68" t="s">
        <v>3033</v>
      </c>
      <c r="E6" s="69" t="n">
        <v>50</v>
      </c>
      <c r="F6" s="70" t="n">
        <v>4060</v>
      </c>
      <c r="G6" s="70" t="n">
        <v>857</v>
      </c>
      <c r="H6" s="70" t="n">
        <v>11900</v>
      </c>
      <c r="I6" s="70"/>
      <c r="J6" s="71" t="n">
        <f aca="false">F6*G6/1000000</f>
        <v>3.47942</v>
      </c>
      <c r="K6" s="11" t="n">
        <f aca="false">E6*J6</f>
        <v>173.971</v>
      </c>
      <c r="L6" s="72"/>
    </row>
    <row r="7" customFormat="false" ht="15" hidden="false" customHeight="false" outlineLevel="0" collapsed="false">
      <c r="A7" s="15" t="n">
        <v>3</v>
      </c>
      <c r="B7" s="68" t="s">
        <v>17</v>
      </c>
      <c r="C7" s="68" t="s">
        <v>3034</v>
      </c>
      <c r="D7" s="68" t="s">
        <v>3035</v>
      </c>
      <c r="E7" s="69" t="n">
        <v>50</v>
      </c>
      <c r="F7" s="70" t="n">
        <v>4060</v>
      </c>
      <c r="G7" s="70" t="n">
        <v>857</v>
      </c>
      <c r="H7" s="70" t="n">
        <v>11900</v>
      </c>
      <c r="I7" s="70"/>
      <c r="J7" s="71" t="n">
        <f aca="false">F7*G7/1000000</f>
        <v>3.47942</v>
      </c>
      <c r="K7" s="11" t="n">
        <f aca="false">E7*J7</f>
        <v>173.971</v>
      </c>
      <c r="L7" s="72"/>
    </row>
    <row r="8" customFormat="false" ht="15" hidden="false" customHeight="false" outlineLevel="0" collapsed="false">
      <c r="A8" s="15" t="s">
        <v>39</v>
      </c>
      <c r="E8" s="17" t="n">
        <f aca="false">SUM(E5:E7)</f>
        <v>150</v>
      </c>
      <c r="K8" s="16" t="n">
        <f aca="false">SUM(K5:K7)</f>
        <v>521.913</v>
      </c>
    </row>
    <row r="10" customFormat="false" ht="15" hidden="false" customHeight="false" outlineLevel="0" collapsed="false">
      <c r="A10" s="48" t="s">
        <v>3036</v>
      </c>
      <c r="I10" s="48" t="s">
        <v>3037</v>
      </c>
    </row>
    <row r="11" customFormat="false" ht="15" hidden="false" customHeight="false" outlineLevel="0" collapsed="false">
      <c r="A11" s="23" t="s">
        <v>3038</v>
      </c>
      <c r="B11" s="72" t="n">
        <v>0.85</v>
      </c>
      <c r="C11" s="33" t="s">
        <v>3039</v>
      </c>
      <c r="I11" s="23" t="s">
        <v>3040</v>
      </c>
      <c r="M11" s="73" t="n">
        <v>747814.699999999</v>
      </c>
    </row>
    <row r="12" customFormat="false" ht="15" hidden="false" customHeight="false" outlineLevel="0" collapsed="false">
      <c r="A12" s="23" t="s">
        <v>3041</v>
      </c>
      <c r="B12" s="72" t="n">
        <v>1</v>
      </c>
      <c r="I12" s="23" t="s">
        <v>3042</v>
      </c>
      <c r="M12" s="73" t="n">
        <f aca="false">SUM(Artikel!$BM$7:$BM$1843)</f>
        <v>68525.75</v>
      </c>
    </row>
    <row r="13" customFormat="false" ht="15" hidden="false" customHeight="false" outlineLevel="0" collapsed="false">
      <c r="I13" s="23" t="s">
        <v>3043</v>
      </c>
      <c r="M13" s="73" t="n">
        <f aca="false">SUMIFS(Artikel!$BM$7:$BM$1843,Artikel!$BK$7:$BK$1843,"&gt;0")</f>
        <v>1331182.63</v>
      </c>
    </row>
    <row r="14" customFormat="false" ht="15" hidden="false" customHeight="false" outlineLevel="0" collapsed="false">
      <c r="A14" s="48" t="s">
        <v>3044</v>
      </c>
      <c r="I14" s="23" t="s">
        <v>3045</v>
      </c>
      <c r="M14" s="73" t="n">
        <f aca="false">SUM(Artikel!$I$7:$I$1843)</f>
        <v>3451046.21423</v>
      </c>
    </row>
    <row r="15" customFormat="false" ht="15" hidden="false" customHeight="false" outlineLevel="0" collapsed="false">
      <c r="A15" s="23" t="s">
        <v>3046</v>
      </c>
      <c r="B15" s="74" t="n">
        <v>45658</v>
      </c>
      <c r="C15" s="33" t="s">
        <v>3047</v>
      </c>
      <c r="I15" s="23" t="s">
        <v>3048</v>
      </c>
      <c r="M15" s="27" t="n">
        <f aca="false">COUNTIFS(Artikel!$BK$7:$BK$1843,"&lt;0",Artikel!$BP$7:$BP$1843,0)</f>
        <v>711</v>
      </c>
    </row>
    <row r="16" customFormat="false" ht="15" hidden="false" customHeight="false" outlineLevel="0" collapsed="false">
      <c r="A16" s="23" t="s">
        <v>3049</v>
      </c>
      <c r="B16" s="74" t="n">
        <v>46022</v>
      </c>
      <c r="I16" s="23" t="s">
        <v>3050</v>
      </c>
      <c r="M16" s="27" t="n">
        <f aca="false">COUNTIFS(Artikel!$BP$7:$BP$1843,0)</f>
        <v>1737</v>
      </c>
    </row>
    <row r="17" customFormat="false" ht="15" hidden="false" customHeight="false" outlineLevel="0" collapsed="false">
      <c r="A17" s="23" t="s">
        <v>3051</v>
      </c>
      <c r="B17" s="12" t="n">
        <f aca="false">MAX(1,(YEAR(B16)-YEAR(B15))*12+MONTH(B16)-MONTH(B15)+1)</f>
        <v>12</v>
      </c>
      <c r="I17" s="23" t="s">
        <v>3052</v>
      </c>
      <c r="M17" s="23" t="str">
        <f aca="false">COUNT(Artikel!$W$7:$W$1843)&amp;" / "&amp;COUNTIFS(Artikel!$W$7:$W$1843,"&gt;0",Artikel!$BO$7:$BO$1843,"nur im Liftbericht*")</f>
        <v>48 / 1</v>
      </c>
    </row>
    <row r="18" customFormat="false" ht="15" hidden="false" customHeight="false" outlineLevel="0" collapsed="false">
      <c r="A18" s="23" t="s">
        <v>3053</v>
      </c>
      <c r="B18" s="71" t="n">
        <f aca="false">12/B17</f>
        <v>1</v>
      </c>
      <c r="I18" s="23" t="s">
        <v>3054</v>
      </c>
      <c r="M18" s="31" t="n">
        <f aca="false">Szenarien!C5</f>
        <v>1.08065774804905</v>
      </c>
    </row>
    <row r="19" customFormat="false" ht="15" hidden="false" customHeight="false" outlineLevel="0" collapsed="false">
      <c r="A19" s="48" t="s">
        <v>3055</v>
      </c>
      <c r="B19" s="68" t="s">
        <v>3056</v>
      </c>
      <c r="C19" s="33" t="s">
        <v>3057</v>
      </c>
      <c r="I19" s="23" t="s">
        <v>3058</v>
      </c>
      <c r="M19" s="27" t="n">
        <f aca="false">COUNTIFS(Artikel!$BO$7:$BO$1843,"nur im Artikelstamm*")</f>
        <v>272</v>
      </c>
    </row>
    <row r="20" customFormat="false" ht="15" hidden="false" customHeight="false" outlineLevel="0" collapsed="false">
      <c r="A20" s="48" t="s">
        <v>3059</v>
      </c>
      <c r="B20" s="68" t="s">
        <v>3060</v>
      </c>
      <c r="C20" s="33" t="s">
        <v>3061</v>
      </c>
      <c r="I20" s="48" t="s">
        <v>3062</v>
      </c>
    </row>
    <row r="21" customFormat="false" ht="15" hidden="false" customHeight="false" outlineLevel="0" collapsed="false">
      <c r="A21" s="48" t="s">
        <v>3063</v>
      </c>
      <c r="B21" s="68" t="s">
        <v>3056</v>
      </c>
      <c r="C21" s="33" t="s">
        <v>3064</v>
      </c>
      <c r="I21" s="23" t="s">
        <v>3065</v>
      </c>
      <c r="M21" s="72" t="n">
        <v>1</v>
      </c>
    </row>
    <row r="22" customFormat="false" ht="15" hidden="false" customHeight="false" outlineLevel="0" collapsed="false">
      <c r="A22" s="48" t="s">
        <v>3066</v>
      </c>
      <c r="D22" s="48" t="s">
        <v>3067</v>
      </c>
      <c r="I22" s="23" t="s">
        <v>3068</v>
      </c>
      <c r="M22" s="69" t="n">
        <v>2</v>
      </c>
    </row>
    <row r="23" customFormat="false" ht="15" hidden="false" customHeight="false" outlineLevel="0" collapsed="false">
      <c r="A23" s="75" t="n">
        <v>1</v>
      </c>
      <c r="D23" s="23" t="s">
        <v>6</v>
      </c>
      <c r="I23" s="33" t="s">
        <v>3069</v>
      </c>
    </row>
    <row r="24" customFormat="false" ht="15" hidden="false" customHeight="false" outlineLevel="0" collapsed="false">
      <c r="A24" s="75" t="n">
        <v>1.5</v>
      </c>
      <c r="D24" s="23" t="s">
        <v>64</v>
      </c>
    </row>
    <row r="25" customFormat="false" ht="15" hidden="false" customHeight="false" outlineLevel="0" collapsed="false">
      <c r="A25" s="75" t="n">
        <v>2</v>
      </c>
      <c r="D25" s="23" t="s">
        <v>7</v>
      </c>
      <c r="I25" s="48" t="s">
        <v>3070</v>
      </c>
    </row>
    <row r="26" customFormat="false" ht="23.85" hidden="false" customHeight="false" outlineLevel="0" collapsed="false">
      <c r="A26" s="75" t="n">
        <v>2.5</v>
      </c>
      <c r="I26" s="53" t="s">
        <v>3071</v>
      </c>
      <c r="J26" s="53" t="s">
        <v>3072</v>
      </c>
      <c r="K26" s="53" t="s">
        <v>92</v>
      </c>
      <c r="L26" s="53" t="s">
        <v>3073</v>
      </c>
    </row>
    <row r="27" customFormat="false" ht="15" hidden="false" customHeight="false" outlineLevel="0" collapsed="false">
      <c r="A27" s="75" t="n">
        <v>3</v>
      </c>
      <c r="I27" s="15" t="s">
        <v>275</v>
      </c>
      <c r="J27" s="68" t="s">
        <v>302</v>
      </c>
      <c r="K27" s="69" t="n">
        <v>20</v>
      </c>
      <c r="L27" s="33" t="s">
        <v>3074</v>
      </c>
    </row>
    <row r="28" customFormat="false" ht="15" hidden="false" customHeight="false" outlineLevel="0" collapsed="false">
      <c r="A28" s="75" t="n">
        <v>4</v>
      </c>
      <c r="I28" s="15" t="s">
        <v>179</v>
      </c>
      <c r="J28" s="68" t="s">
        <v>186</v>
      </c>
      <c r="K28" s="69" t="n">
        <v>4</v>
      </c>
      <c r="L28" s="33" t="s">
        <v>3075</v>
      </c>
    </row>
    <row r="29" customFormat="false" ht="15" hidden="false" customHeight="false" outlineLevel="0" collapsed="false">
      <c r="A29" s="75" t="n">
        <v>5</v>
      </c>
      <c r="I29" s="15" t="s">
        <v>189</v>
      </c>
      <c r="J29" s="68" t="s">
        <v>223</v>
      </c>
      <c r="K29" s="69" t="n">
        <v>2</v>
      </c>
      <c r="L29" s="33" t="s">
        <v>3076</v>
      </c>
    </row>
    <row r="30" customFormat="false" ht="15" hidden="false" customHeight="false" outlineLevel="0" collapsed="false">
      <c r="A30" s="75" t="n">
        <v>6</v>
      </c>
      <c r="I30" s="33" t="s">
        <v>3077</v>
      </c>
    </row>
    <row r="32" customFormat="false" ht="15" hidden="false" customHeight="false" outlineLevel="0" collapsed="false">
      <c r="A32" s="48" t="s">
        <v>3078</v>
      </c>
      <c r="F32" s="48" t="s">
        <v>3079</v>
      </c>
      <c r="I32" s="48" t="s">
        <v>3080</v>
      </c>
    </row>
    <row r="33" customFormat="false" ht="15" hidden="false" customHeight="false" outlineLevel="0" collapsed="false">
      <c r="A33" s="33" t="s">
        <v>3081</v>
      </c>
      <c r="F33" s="33" t="s">
        <v>3082</v>
      </c>
    </row>
    <row r="34" customFormat="false" ht="15" hidden="false" customHeight="false" outlineLevel="0" collapsed="false">
      <c r="A34" s="53" t="s">
        <v>80</v>
      </c>
      <c r="B34" s="53" t="s">
        <v>3020</v>
      </c>
      <c r="C34" s="53" t="s">
        <v>3083</v>
      </c>
      <c r="F34" s="34" t="s">
        <v>3084</v>
      </c>
      <c r="G34" s="34" t="s">
        <v>3020</v>
      </c>
      <c r="I34" s="34" t="s">
        <v>81</v>
      </c>
      <c r="J34" s="34" t="s">
        <v>3020</v>
      </c>
    </row>
    <row r="35" customFormat="false" ht="15" hidden="false" customHeight="false" outlineLevel="0" collapsed="false">
      <c r="A35" s="68" t="s">
        <v>165</v>
      </c>
      <c r="B35" s="76" t="n">
        <v>1</v>
      </c>
      <c r="C35" s="77" t="n">
        <v>1</v>
      </c>
      <c r="F35" s="68" t="s">
        <v>401</v>
      </c>
      <c r="G35" s="76" t="n">
        <v>3</v>
      </c>
      <c r="I35" s="68" t="s">
        <v>166</v>
      </c>
      <c r="J35" s="76" t="n">
        <v>1</v>
      </c>
    </row>
    <row r="36" customFormat="false" ht="15" hidden="false" customHeight="false" outlineLevel="0" collapsed="false">
      <c r="A36" s="68" t="s">
        <v>184</v>
      </c>
      <c r="B36" s="76" t="s">
        <v>3085</v>
      </c>
      <c r="C36" s="77" t="n">
        <v>0.03</v>
      </c>
      <c r="F36" s="68" t="s">
        <v>426</v>
      </c>
      <c r="G36" s="76" t="n">
        <v>3</v>
      </c>
      <c r="I36" s="68" t="s">
        <v>185</v>
      </c>
      <c r="J36" s="76" t="s">
        <v>3085</v>
      </c>
    </row>
    <row r="37" customFormat="false" ht="15" hidden="false" customHeight="false" outlineLevel="0" collapsed="false">
      <c r="A37" s="68" t="s">
        <v>173</v>
      </c>
      <c r="B37" s="76" t="s">
        <v>3085</v>
      </c>
      <c r="C37" s="77" t="n">
        <v>0.15</v>
      </c>
      <c r="F37" s="68" t="s">
        <v>421</v>
      </c>
      <c r="G37" s="76" t="n">
        <v>3</v>
      </c>
      <c r="I37" s="68" t="s">
        <v>173</v>
      </c>
      <c r="J37" s="76" t="s">
        <v>3086</v>
      </c>
    </row>
    <row r="38" customFormat="false" ht="15" hidden="false" customHeight="false" outlineLevel="0" collapsed="false">
      <c r="A38" s="68" t="s">
        <v>3015</v>
      </c>
      <c r="B38" s="76" t="s">
        <v>3085</v>
      </c>
      <c r="C38" s="77" t="n">
        <v>0.15</v>
      </c>
      <c r="F38" s="68" t="s">
        <v>476</v>
      </c>
      <c r="G38" s="76" t="n">
        <v>3</v>
      </c>
      <c r="I38" s="68" t="s">
        <v>3087</v>
      </c>
      <c r="J38" s="76" t="s">
        <v>3086</v>
      </c>
    </row>
    <row r="39" customFormat="false" ht="15" hidden="false" customHeight="false" outlineLevel="0" collapsed="false">
      <c r="A39" s="68" t="s">
        <v>995</v>
      </c>
      <c r="B39" s="76" t="s">
        <v>3086</v>
      </c>
      <c r="C39" s="77" t="n">
        <v>0.15</v>
      </c>
      <c r="F39" s="68" t="s">
        <v>328</v>
      </c>
      <c r="G39" s="76" t="n">
        <v>3</v>
      </c>
      <c r="I39" s="68" t="s">
        <v>1479</v>
      </c>
      <c r="J39" s="76" t="s">
        <v>3086</v>
      </c>
    </row>
    <row r="40" customFormat="false" ht="15" hidden="false" customHeight="false" outlineLevel="0" collapsed="false">
      <c r="A40" s="68" t="s">
        <v>353</v>
      </c>
      <c r="B40" s="76" t="s">
        <v>3086</v>
      </c>
      <c r="C40" s="77" t="n">
        <v>0.15</v>
      </c>
      <c r="F40" s="68" t="s">
        <v>302</v>
      </c>
      <c r="G40" s="76" t="n">
        <v>3</v>
      </c>
      <c r="I40" s="68" t="s">
        <v>465</v>
      </c>
      <c r="J40" s="76" t="s">
        <v>3086</v>
      </c>
    </row>
    <row r="41" customFormat="false" ht="15" hidden="false" customHeight="false" outlineLevel="0" collapsed="false">
      <c r="A41" s="68" t="s">
        <v>850</v>
      </c>
      <c r="B41" s="76" t="s">
        <v>3086</v>
      </c>
      <c r="C41" s="77" t="n">
        <v>0.15</v>
      </c>
      <c r="F41" s="68" t="s">
        <v>233</v>
      </c>
      <c r="G41" s="76" t="n">
        <v>3</v>
      </c>
      <c r="I41" s="68" t="s">
        <v>370</v>
      </c>
      <c r="J41" s="76" t="s">
        <v>3086</v>
      </c>
    </row>
    <row r="42" customFormat="false" ht="15" hidden="false" customHeight="false" outlineLevel="0" collapsed="false">
      <c r="A42" s="68" t="s">
        <v>1339</v>
      </c>
      <c r="B42" s="76" t="s">
        <v>3086</v>
      </c>
      <c r="C42" s="77" t="n">
        <v>0.15</v>
      </c>
      <c r="F42" s="68" t="s">
        <v>186</v>
      </c>
      <c r="G42" s="76" t="n">
        <v>2</v>
      </c>
      <c r="I42" s="68" t="s">
        <v>1408</v>
      </c>
      <c r="J42" s="76" t="s">
        <v>3086</v>
      </c>
    </row>
    <row r="43" customFormat="false" ht="15" hidden="false" customHeight="false" outlineLevel="0" collapsed="false">
      <c r="A43" s="68" t="s">
        <v>1472</v>
      </c>
      <c r="B43" s="76" t="s">
        <v>3086</v>
      </c>
      <c r="C43" s="77" t="n">
        <v>0.15</v>
      </c>
      <c r="F43" s="68" t="s">
        <v>293</v>
      </c>
      <c r="G43" s="76" t="n">
        <v>2</v>
      </c>
      <c r="I43" s="68" t="s">
        <v>2418</v>
      </c>
      <c r="J43" s="76" t="s">
        <v>3086</v>
      </c>
    </row>
    <row r="44" customFormat="false" ht="15" hidden="false" customHeight="false" outlineLevel="0" collapsed="false">
      <c r="A44" s="68" t="s">
        <v>3088</v>
      </c>
      <c r="B44" s="76" t="s">
        <v>3086</v>
      </c>
      <c r="C44" s="77" t="n">
        <v>0.15</v>
      </c>
      <c r="F44" s="68" t="s">
        <v>226</v>
      </c>
      <c r="G44" s="76" t="n">
        <v>2</v>
      </c>
      <c r="I44" s="68" t="s">
        <v>2248</v>
      </c>
      <c r="J44" s="76" t="s">
        <v>3086</v>
      </c>
    </row>
    <row r="45" customFormat="false" ht="15" hidden="false" customHeight="false" outlineLevel="0" collapsed="false">
      <c r="A45" s="68" t="s">
        <v>3089</v>
      </c>
      <c r="B45" s="76" t="s">
        <v>3086</v>
      </c>
      <c r="C45" s="77" t="n">
        <v>0.15</v>
      </c>
      <c r="F45" s="68" t="s">
        <v>174</v>
      </c>
      <c r="G45" s="76" t="n">
        <v>2</v>
      </c>
      <c r="I45" s="68"/>
      <c r="J45" s="76"/>
    </row>
    <row r="46" customFormat="false" ht="15" hidden="false" customHeight="false" outlineLevel="0" collapsed="false">
      <c r="A46" s="68" t="s">
        <v>3090</v>
      </c>
      <c r="B46" s="76" t="s">
        <v>3086</v>
      </c>
      <c r="C46" s="77" t="n">
        <v>0.15</v>
      </c>
      <c r="F46" s="68" t="s">
        <v>259</v>
      </c>
      <c r="G46" s="76" t="n">
        <v>2</v>
      </c>
      <c r="I46" s="68"/>
      <c r="J46" s="76"/>
    </row>
    <row r="47" customFormat="false" ht="15" hidden="false" customHeight="false" outlineLevel="0" collapsed="false">
      <c r="A47" s="68" t="s">
        <v>3091</v>
      </c>
      <c r="B47" s="76" t="s">
        <v>3086</v>
      </c>
      <c r="C47" s="77" t="n">
        <v>0.15</v>
      </c>
      <c r="F47" s="68" t="s">
        <v>3092</v>
      </c>
      <c r="G47" s="76" t="n">
        <v>2</v>
      </c>
      <c r="I47" s="68"/>
      <c r="J47" s="76"/>
    </row>
    <row r="48" customFormat="false" ht="15" hidden="false" customHeight="false" outlineLevel="0" collapsed="false">
      <c r="A48" s="68" t="s">
        <v>3093</v>
      </c>
      <c r="B48" s="76" t="s">
        <v>3086</v>
      </c>
      <c r="C48" s="77" t="n">
        <v>0.15</v>
      </c>
      <c r="F48" s="68" t="s">
        <v>223</v>
      </c>
      <c r="G48" s="76" t="n">
        <v>2</v>
      </c>
      <c r="I48" s="68"/>
      <c r="J48" s="76"/>
    </row>
    <row r="49" customFormat="false" ht="15" hidden="false" customHeight="false" outlineLevel="0" collapsed="false">
      <c r="A49" s="68" t="s">
        <v>1388</v>
      </c>
      <c r="B49" s="76" t="s">
        <v>3086</v>
      </c>
      <c r="C49" s="77" t="n">
        <v>0.15</v>
      </c>
      <c r="F49" s="68" t="s">
        <v>348</v>
      </c>
      <c r="G49" s="76" t="n">
        <v>2</v>
      </c>
      <c r="I49" s="68"/>
      <c r="J49" s="76"/>
    </row>
    <row r="50" customFormat="false" ht="15" hidden="false" customHeight="false" outlineLevel="0" collapsed="false">
      <c r="A50" s="68"/>
      <c r="B50" s="76"/>
      <c r="C50" s="77"/>
      <c r="F50" s="68" t="s">
        <v>3094</v>
      </c>
      <c r="G50" s="76" t="n">
        <v>2</v>
      </c>
      <c r="I50" s="68"/>
      <c r="J50" s="76"/>
    </row>
    <row r="51" customFormat="false" ht="15" hidden="false" customHeight="false" outlineLevel="0" collapsed="false">
      <c r="A51" s="68"/>
      <c r="B51" s="76"/>
      <c r="C51" s="77"/>
      <c r="F51" s="68" t="s">
        <v>3095</v>
      </c>
      <c r="G51" s="76" t="n">
        <v>2</v>
      </c>
      <c r="I51" s="68"/>
      <c r="J51" s="76"/>
    </row>
    <row r="52" customFormat="false" ht="15" hidden="false" customHeight="false" outlineLevel="0" collapsed="false">
      <c r="A52" s="68"/>
      <c r="B52" s="76"/>
      <c r="C52" s="77"/>
      <c r="F52" s="68" t="s">
        <v>3096</v>
      </c>
      <c r="G52" s="76" t="n">
        <v>2</v>
      </c>
      <c r="I52" s="68"/>
      <c r="J52" s="76"/>
    </row>
    <row r="53" customFormat="false" ht="15" hidden="false" customHeight="false" outlineLevel="0" collapsed="false">
      <c r="A53" s="68"/>
      <c r="B53" s="76"/>
      <c r="C53" s="77"/>
      <c r="F53" s="68" t="s">
        <v>3097</v>
      </c>
      <c r="G53" s="76" t="n">
        <v>2</v>
      </c>
    </row>
    <row r="54" customFormat="false" ht="15" hidden="false" customHeight="false" outlineLevel="0" collapsed="false">
      <c r="A54" s="68"/>
      <c r="B54" s="76"/>
      <c r="C54" s="77"/>
      <c r="F54" s="68" t="s">
        <v>3098</v>
      </c>
      <c r="G54" s="76" t="n">
        <v>2</v>
      </c>
    </row>
    <row r="55" customFormat="false" ht="15" hidden="false" customHeight="false" outlineLevel="0" collapsed="false">
      <c r="A55" s="68"/>
      <c r="B55" s="76"/>
      <c r="C55" s="77"/>
      <c r="F55" s="68" t="s">
        <v>3099</v>
      </c>
      <c r="G55" s="76" t="n">
        <v>2</v>
      </c>
    </row>
    <row r="56" customFormat="false" ht="15" hidden="false" customHeight="false" outlineLevel="0" collapsed="false">
      <c r="A56" s="68"/>
      <c r="B56" s="76"/>
      <c r="C56" s="77"/>
      <c r="F56" s="68" t="s">
        <v>3100</v>
      </c>
      <c r="G56" s="76" t="n">
        <v>2</v>
      </c>
    </row>
    <row r="57" customFormat="false" ht="15" hidden="false" customHeight="false" outlineLevel="0" collapsed="false">
      <c r="A57" s="68"/>
      <c r="B57" s="76"/>
      <c r="C57" s="77"/>
      <c r="F57" s="68" t="s">
        <v>168</v>
      </c>
      <c r="G57" s="76" t="n">
        <v>2</v>
      </c>
    </row>
    <row r="58" customFormat="false" ht="15" hidden="false" customHeight="false" outlineLevel="0" collapsed="false">
      <c r="A58" s="68"/>
      <c r="B58" s="76"/>
      <c r="C58" s="77"/>
      <c r="F58" s="68"/>
      <c r="G58" s="76"/>
    </row>
    <row r="59" customFormat="false" ht="15" hidden="false" customHeight="false" outlineLevel="0" collapsed="false">
      <c r="A59" s="68"/>
      <c r="B59" s="76"/>
      <c r="C59" s="77"/>
      <c r="F59" s="68"/>
      <c r="G59" s="76"/>
    </row>
    <row r="60" customFormat="false" ht="15" hidden="false" customHeight="false" outlineLevel="0" collapsed="false">
      <c r="A60" s="68"/>
      <c r="B60" s="76"/>
      <c r="C60" s="77"/>
      <c r="F60" s="68"/>
      <c r="G60" s="76"/>
    </row>
    <row r="61" customFormat="false" ht="15" hidden="false" customHeight="false" outlineLevel="0" collapsed="false">
      <c r="A61" s="68"/>
      <c r="B61" s="76"/>
      <c r="C61" s="77"/>
      <c r="F61" s="68"/>
      <c r="G61" s="76"/>
    </row>
    <row r="62" customFormat="false" ht="15" hidden="false" customHeight="false" outlineLevel="0" collapsed="false">
      <c r="A62" s="68"/>
      <c r="B62" s="76"/>
      <c r="C62" s="77"/>
      <c r="F62" s="68"/>
      <c r="G62" s="76"/>
    </row>
    <row r="63" customFormat="false" ht="15" hidden="false" customHeight="false" outlineLevel="0" collapsed="false">
      <c r="A63" s="68"/>
      <c r="B63" s="76"/>
      <c r="C63" s="77"/>
      <c r="F63" s="68"/>
      <c r="G63" s="76"/>
    </row>
    <row r="64" customFormat="false" ht="15" hidden="false" customHeight="false" outlineLevel="0" collapsed="false">
      <c r="A64" s="68"/>
      <c r="B64" s="76"/>
      <c r="C64" s="77"/>
      <c r="F64" s="68"/>
      <c r="G64" s="76"/>
    </row>
  </sheetData>
  <dataValidations count="8">
    <dataValidation allowBlank="false" error="Anzahl Tablare 40–60" errorStyle="stop" operator="between" showDropDown="false" showErrorMessage="false" showInputMessage="false" sqref="E5:E7" type="whole">
      <formula1>40</formula1>
      <formula2>60</formula2>
    </dataValidation>
    <dataValidation allowBlank="false" errorStyle="stop" operator="between" showDropDown="false" showErrorMessage="false" showInputMessage="false" sqref="B19" type="list">
      <formula1>"Ja,Nein"</formula1>
      <formula2>0</formula2>
    </dataValidation>
    <dataValidation allowBlank="true" errorStyle="stop" operator="between" showDropDown="false" showErrorMessage="false" showInputMessage="false" sqref="J35:J52" type="list">
      <formula1>"1,2,3,2+3,Nein"</formula1>
      <formula2>0</formula2>
    </dataValidation>
    <dataValidation allowBlank="false" errorStyle="stop" operator="between" showDropDown="false" showErrorMessage="false" showInputMessage="false" sqref="B20" type="list">
      <formula1>"Export (Bestandsmenge),Jahresanfang 2025 + Export"</formula1>
      <formula2>0</formula2>
    </dataValidation>
    <dataValidation allowBlank="false" errorStyle="stop" operator="between" showDropDown="false" showErrorMessage="false" showInputMessage="false" sqref="B21" type="list">
      <formula1>"Ja,Nein"</formula1>
      <formula2>0</formula2>
    </dataValidation>
    <dataValidation allowBlank="true" errorStyle="stop" operator="between" showDropDown="false" showErrorMessage="false" showInputMessage="false" sqref="B35:B64" type="list">
      <formula1>"1,2,3,2+3,Nein"</formula1>
      <formula2>0</formula2>
    </dataValidation>
    <dataValidation allowBlank="true" errorStyle="stop" operator="between" showDropDown="false" showErrorMessage="false" showInputMessage="false" sqref="G35:G64" type="list">
      <formula1>"2,3"</formula1>
      <formula2>0</formula2>
    </dataValidation>
    <dataValidation allowBlank="false" errorStyle="stop" operator="between" showDropDown="false" showErrorMessage="false" showInputMessage="false" sqref="M22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J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32" t="s">
        <v>3101</v>
      </c>
    </row>
    <row r="2" customFormat="false" ht="15" hidden="false" customHeight="false" outlineLevel="0" collapsed="false">
      <c r="A2" s="33" t="s">
        <v>3102</v>
      </c>
    </row>
    <row r="3" customFormat="false" ht="15" hidden="false" customHeight="false" outlineLevel="0" collapsed="false">
      <c r="A3" s="3" t="s">
        <v>3103</v>
      </c>
    </row>
    <row r="4" customFormat="false" ht="42" hidden="false" customHeight="true" outlineLevel="0" collapsed="false">
      <c r="A4" s="53" t="s">
        <v>77</v>
      </c>
      <c r="B4" s="53" t="s">
        <v>78</v>
      </c>
      <c r="C4" s="53" t="s">
        <v>3104</v>
      </c>
      <c r="D4" s="53" t="s">
        <v>62</v>
      </c>
      <c r="E4" s="53" t="s">
        <v>88</v>
      </c>
      <c r="F4" s="53" t="s">
        <v>89</v>
      </c>
      <c r="G4" s="53" t="s">
        <v>83</v>
      </c>
      <c r="H4" s="53" t="s">
        <v>3105</v>
      </c>
      <c r="I4" s="53" t="s">
        <v>92</v>
      </c>
      <c r="J4" s="53" t="s">
        <v>3106</v>
      </c>
    </row>
    <row r="5" customFormat="false" ht="15" hidden="false" customHeight="false" outlineLevel="0" collapsed="false">
      <c r="A5" s="68"/>
      <c r="B5" s="68"/>
      <c r="C5" s="68"/>
      <c r="D5" s="68"/>
      <c r="E5" s="68"/>
      <c r="F5" s="68"/>
      <c r="G5" s="68"/>
      <c r="H5" s="68"/>
      <c r="I5" s="68"/>
      <c r="J5" s="68"/>
    </row>
    <row r="6" customFormat="false" ht="15" hidden="false" customHeight="false" outlineLevel="0" collapsed="false">
      <c r="A6" s="68"/>
      <c r="B6" s="68"/>
      <c r="C6" s="68"/>
      <c r="D6" s="68"/>
      <c r="E6" s="68"/>
      <c r="F6" s="68"/>
      <c r="G6" s="68"/>
      <c r="H6" s="68"/>
      <c r="I6" s="68"/>
      <c r="J6" s="68"/>
    </row>
    <row r="7" customFormat="false" ht="15" hidden="false" customHeight="false" outlineLevel="0" collapsed="false">
      <c r="A7" s="68"/>
      <c r="B7" s="68"/>
      <c r="C7" s="68"/>
      <c r="D7" s="68"/>
      <c r="E7" s="68"/>
      <c r="F7" s="68"/>
      <c r="G7" s="68"/>
      <c r="H7" s="68"/>
      <c r="I7" s="68"/>
      <c r="J7" s="68"/>
    </row>
    <row r="8" customFormat="false" ht="15" hidden="false" customHeight="false" outlineLevel="0" collapsed="false">
      <c r="A8" s="68"/>
      <c r="B8" s="68"/>
      <c r="C8" s="68"/>
      <c r="D8" s="68"/>
      <c r="E8" s="68"/>
      <c r="F8" s="68"/>
      <c r="G8" s="68"/>
      <c r="H8" s="68"/>
      <c r="I8" s="68"/>
      <c r="J8" s="68"/>
    </row>
    <row r="9" customFormat="false" ht="15" hidden="false" customHeight="false" outlineLevel="0" collapsed="false">
      <c r="A9" s="68"/>
      <c r="B9" s="68"/>
      <c r="C9" s="68"/>
      <c r="D9" s="68"/>
      <c r="E9" s="68"/>
      <c r="F9" s="68"/>
      <c r="G9" s="68"/>
      <c r="H9" s="68"/>
      <c r="I9" s="68"/>
      <c r="J9" s="68"/>
    </row>
    <row r="10" customFormat="false" ht="15" hidden="false" customHeight="false" outlineLevel="0" collapsed="false">
      <c r="A10" s="68"/>
      <c r="B10" s="68"/>
      <c r="C10" s="68"/>
      <c r="D10" s="68"/>
      <c r="E10" s="68"/>
      <c r="F10" s="68"/>
      <c r="G10" s="68"/>
      <c r="H10" s="68"/>
      <c r="I10" s="68"/>
      <c r="J10" s="68"/>
    </row>
    <row r="11" customFormat="false" ht="15" hidden="false" customHeight="false" outlineLevel="0" collapsed="false">
      <c r="A11" s="68"/>
      <c r="B11" s="68"/>
      <c r="C11" s="68"/>
      <c r="D11" s="68"/>
      <c r="E11" s="68"/>
      <c r="F11" s="68"/>
      <c r="G11" s="68"/>
      <c r="H11" s="68"/>
      <c r="I11" s="68"/>
      <c r="J11" s="68"/>
    </row>
    <row r="12" customFormat="false" ht="15" hidden="false" customHeight="false" outlineLevel="0" collapsed="false">
      <c r="A12" s="68"/>
      <c r="B12" s="68"/>
      <c r="C12" s="68"/>
      <c r="D12" s="68"/>
      <c r="E12" s="68"/>
      <c r="F12" s="68"/>
      <c r="G12" s="68"/>
      <c r="H12" s="68"/>
      <c r="I12" s="68"/>
      <c r="J12" s="68"/>
    </row>
    <row r="13" customFormat="false" ht="15" hidden="false" customHeight="false" outlineLevel="0" collapsed="false">
      <c r="A13" s="68"/>
      <c r="B13" s="68"/>
      <c r="C13" s="68"/>
      <c r="D13" s="68"/>
      <c r="E13" s="68"/>
      <c r="F13" s="68"/>
      <c r="G13" s="68"/>
      <c r="H13" s="68"/>
      <c r="I13" s="68"/>
      <c r="J13" s="68"/>
    </row>
    <row r="14" customFormat="false" ht="15" hidden="false" customHeight="false" outlineLevel="0" collapsed="false">
      <c r="A14" s="68"/>
      <c r="B14" s="68"/>
      <c r="C14" s="68"/>
      <c r="D14" s="68"/>
      <c r="E14" s="68"/>
      <c r="F14" s="68"/>
      <c r="G14" s="68"/>
      <c r="H14" s="68"/>
      <c r="I14" s="68"/>
      <c r="J14" s="68"/>
    </row>
    <row r="15" customFormat="false" ht="15" hidden="false" customHeight="false" outlineLevel="0" collapsed="false">
      <c r="A15" s="68"/>
      <c r="B15" s="68"/>
      <c r="C15" s="68"/>
      <c r="D15" s="68"/>
      <c r="E15" s="68"/>
      <c r="F15" s="68"/>
      <c r="G15" s="68"/>
      <c r="H15" s="68"/>
      <c r="I15" s="68"/>
      <c r="J15" s="68"/>
    </row>
    <row r="16" customFormat="false" ht="15" hidden="false" customHeight="false" outlineLevel="0" collapsed="false">
      <c r="A16" s="68"/>
      <c r="B16" s="68"/>
      <c r="C16" s="68"/>
      <c r="D16" s="68"/>
      <c r="E16" s="68"/>
      <c r="F16" s="68"/>
      <c r="G16" s="68"/>
      <c r="H16" s="68"/>
      <c r="I16" s="68"/>
      <c r="J16" s="68"/>
    </row>
    <row r="17" customFormat="false" ht="15" hidden="false" customHeight="false" outlineLevel="0" collapsed="false">
      <c r="A17" s="68"/>
      <c r="B17" s="68"/>
      <c r="C17" s="68"/>
      <c r="D17" s="68"/>
      <c r="E17" s="68"/>
      <c r="F17" s="68"/>
      <c r="G17" s="68"/>
      <c r="H17" s="68"/>
      <c r="I17" s="68"/>
      <c r="J17" s="68"/>
    </row>
    <row r="18" customFormat="false" ht="15" hidden="false" customHeight="false" outlineLevel="0" collapsed="false">
      <c r="A18" s="68"/>
      <c r="B18" s="68"/>
      <c r="C18" s="68"/>
      <c r="D18" s="68"/>
      <c r="E18" s="68"/>
      <c r="F18" s="68"/>
      <c r="G18" s="68"/>
      <c r="H18" s="68"/>
      <c r="I18" s="68"/>
      <c r="J18" s="68"/>
    </row>
    <row r="19" customFormat="false" ht="15" hidden="false" customHeight="false" outlineLevel="0" collapsed="false">
      <c r="A19" s="68"/>
      <c r="B19" s="68"/>
      <c r="C19" s="68"/>
      <c r="D19" s="68"/>
      <c r="E19" s="68"/>
      <c r="F19" s="68"/>
      <c r="G19" s="68"/>
      <c r="H19" s="68"/>
      <c r="I19" s="68"/>
      <c r="J19" s="68"/>
    </row>
    <row r="20" customFormat="false" ht="15" hidden="false" customHeight="false" outlineLevel="0" collapsed="false">
      <c r="A20" s="68"/>
      <c r="B20" s="68"/>
      <c r="C20" s="68"/>
      <c r="D20" s="68"/>
      <c r="E20" s="68"/>
      <c r="F20" s="68"/>
      <c r="G20" s="68"/>
      <c r="H20" s="68"/>
      <c r="I20" s="68"/>
      <c r="J20" s="68"/>
    </row>
    <row r="21" customFormat="false" ht="15" hidden="false" customHeight="false" outlineLevel="0" collapsed="false">
      <c r="A21" s="68"/>
      <c r="B21" s="68"/>
      <c r="C21" s="68"/>
      <c r="D21" s="68"/>
      <c r="E21" s="68"/>
      <c r="F21" s="68"/>
      <c r="G21" s="68"/>
      <c r="H21" s="68"/>
      <c r="I21" s="68"/>
      <c r="J21" s="68"/>
    </row>
    <row r="22" customFormat="false" ht="15" hidden="false" customHeight="false" outlineLevel="0" collapsed="false">
      <c r="A22" s="68"/>
      <c r="B22" s="68"/>
      <c r="C22" s="68"/>
      <c r="D22" s="68"/>
      <c r="E22" s="68"/>
      <c r="F22" s="68"/>
      <c r="G22" s="68"/>
      <c r="H22" s="68"/>
      <c r="I22" s="68"/>
      <c r="J22" s="68"/>
    </row>
    <row r="23" customFormat="false" ht="15" hidden="false" customHeight="false" outlineLevel="0" collapsed="false">
      <c r="A23" s="68"/>
      <c r="B23" s="68"/>
      <c r="C23" s="68"/>
      <c r="D23" s="68"/>
      <c r="E23" s="68"/>
      <c r="F23" s="68"/>
      <c r="G23" s="68"/>
      <c r="H23" s="68"/>
      <c r="I23" s="68"/>
      <c r="J23" s="68"/>
    </row>
    <row r="24" customFormat="false" ht="15" hidden="false" customHeight="false" outlineLevel="0" collapsed="false">
      <c r="A24" s="68"/>
      <c r="B24" s="68"/>
      <c r="C24" s="68"/>
      <c r="D24" s="68"/>
      <c r="E24" s="68"/>
      <c r="F24" s="68"/>
      <c r="G24" s="68"/>
      <c r="H24" s="68"/>
      <c r="I24" s="68"/>
      <c r="J24" s="68"/>
    </row>
    <row r="25" customFormat="false" ht="15" hidden="false" customHeight="false" outlineLevel="0" collapsed="false">
      <c r="A25" s="68"/>
      <c r="B25" s="68"/>
      <c r="C25" s="68"/>
      <c r="D25" s="68"/>
      <c r="E25" s="68"/>
      <c r="F25" s="68"/>
      <c r="G25" s="68"/>
      <c r="H25" s="68"/>
      <c r="I25" s="68"/>
      <c r="J25" s="68"/>
    </row>
    <row r="26" customFormat="false" ht="15" hidden="false" customHeight="false" outlineLevel="0" collapsed="false">
      <c r="A26" s="68"/>
      <c r="B26" s="68"/>
      <c r="C26" s="68"/>
      <c r="D26" s="68"/>
      <c r="E26" s="68"/>
      <c r="F26" s="68"/>
      <c r="G26" s="68"/>
      <c r="H26" s="68"/>
      <c r="I26" s="68"/>
      <c r="J26" s="68"/>
    </row>
    <row r="27" customFormat="false" ht="15" hidden="false" customHeight="false" outlineLevel="0" collapsed="false">
      <c r="A27" s="68"/>
      <c r="B27" s="68"/>
      <c r="C27" s="68"/>
      <c r="D27" s="68"/>
      <c r="E27" s="68"/>
      <c r="F27" s="68"/>
      <c r="G27" s="68"/>
      <c r="H27" s="68"/>
      <c r="I27" s="68"/>
      <c r="J27" s="68"/>
    </row>
    <row r="28" customFormat="false" ht="15" hidden="false" customHeight="false" outlineLevel="0" collapsed="false">
      <c r="A28" s="68"/>
      <c r="B28" s="68"/>
      <c r="C28" s="68"/>
      <c r="D28" s="68"/>
      <c r="E28" s="68"/>
      <c r="F28" s="68"/>
      <c r="G28" s="68"/>
      <c r="H28" s="68"/>
      <c r="I28" s="68"/>
      <c r="J28" s="68"/>
    </row>
    <row r="29" customFormat="false" ht="15" hidden="false" customHeight="false" outlineLevel="0" collapsed="false">
      <c r="A29" s="68"/>
      <c r="B29" s="68"/>
      <c r="C29" s="68"/>
      <c r="D29" s="68"/>
      <c r="E29" s="68"/>
      <c r="F29" s="68"/>
      <c r="G29" s="68"/>
      <c r="H29" s="68"/>
      <c r="I29" s="68"/>
      <c r="J29" s="68"/>
    </row>
    <row r="30" customFormat="false" ht="15" hidden="false" customHeight="false" outlineLevel="0" collapsed="false">
      <c r="A30" s="68"/>
      <c r="B30" s="68"/>
      <c r="C30" s="68"/>
      <c r="D30" s="68"/>
      <c r="E30" s="68"/>
      <c r="F30" s="68"/>
      <c r="G30" s="68"/>
      <c r="H30" s="68"/>
      <c r="I30" s="68"/>
      <c r="J30" s="68"/>
    </row>
    <row r="31" customFormat="false" ht="15" hidden="false" customHeight="false" outlineLevel="0" collapsed="false">
      <c r="A31" s="68"/>
      <c r="B31" s="68"/>
      <c r="C31" s="68"/>
      <c r="D31" s="68"/>
      <c r="E31" s="68"/>
      <c r="F31" s="68"/>
      <c r="G31" s="68"/>
      <c r="H31" s="68"/>
      <c r="I31" s="68"/>
      <c r="J31" s="68"/>
    </row>
    <row r="32" customFormat="false" ht="15" hidden="false" customHeight="false" outlineLevel="0" collapsed="false">
      <c r="A32" s="68"/>
      <c r="B32" s="68"/>
      <c r="C32" s="68"/>
      <c r="D32" s="68"/>
      <c r="E32" s="68"/>
      <c r="F32" s="68"/>
      <c r="G32" s="68"/>
      <c r="H32" s="68"/>
      <c r="I32" s="68"/>
      <c r="J32" s="68"/>
    </row>
    <row r="33" customFormat="false" ht="15" hidden="false" customHeight="false" outlineLevel="0" collapsed="false">
      <c r="A33" s="68"/>
      <c r="B33" s="68"/>
      <c r="C33" s="68"/>
      <c r="D33" s="68"/>
      <c r="E33" s="68"/>
      <c r="F33" s="68"/>
      <c r="G33" s="68"/>
      <c r="H33" s="68"/>
      <c r="I33" s="68"/>
      <c r="J33" s="68"/>
    </row>
    <row r="34" customFormat="false" ht="15" hidden="false" customHeight="false" outlineLevel="0" collapsed="false">
      <c r="A34" s="68"/>
      <c r="B34" s="68"/>
      <c r="C34" s="68"/>
      <c r="D34" s="68"/>
      <c r="E34" s="68"/>
      <c r="F34" s="68"/>
      <c r="G34" s="68"/>
      <c r="H34" s="68"/>
      <c r="I34" s="68"/>
      <c r="J34" s="68"/>
    </row>
    <row r="35" customFormat="false" ht="15" hidden="false" customHeight="false" outlineLevel="0" collapsed="false">
      <c r="A35" s="68"/>
      <c r="B35" s="68"/>
      <c r="C35" s="68"/>
      <c r="D35" s="68"/>
      <c r="E35" s="68"/>
      <c r="F35" s="68"/>
      <c r="G35" s="68"/>
      <c r="H35" s="68"/>
      <c r="I35" s="68"/>
      <c r="J35" s="68"/>
    </row>
    <row r="36" customFormat="false" ht="15" hidden="false" customHeight="false" outlineLevel="0" collapsed="false">
      <c r="A36" s="68"/>
      <c r="B36" s="68"/>
      <c r="C36" s="68"/>
      <c r="D36" s="68"/>
      <c r="E36" s="68"/>
      <c r="F36" s="68"/>
      <c r="G36" s="68"/>
      <c r="H36" s="68"/>
      <c r="I36" s="68"/>
      <c r="J36" s="68"/>
    </row>
    <row r="37" customFormat="false" ht="15" hidden="false" customHeight="false" outlineLevel="0" collapsed="false">
      <c r="A37" s="68"/>
      <c r="B37" s="68"/>
      <c r="C37" s="68"/>
      <c r="D37" s="68"/>
      <c r="E37" s="68"/>
      <c r="F37" s="68"/>
      <c r="G37" s="68"/>
      <c r="H37" s="68"/>
      <c r="I37" s="68"/>
      <c r="J37" s="68"/>
    </row>
    <row r="38" customFormat="false" ht="15" hidden="false" customHeight="false" outlineLevel="0" collapsed="false">
      <c r="A38" s="68"/>
      <c r="B38" s="68"/>
      <c r="C38" s="68"/>
      <c r="D38" s="68"/>
      <c r="E38" s="68"/>
      <c r="F38" s="68"/>
      <c r="G38" s="68"/>
      <c r="H38" s="68"/>
      <c r="I38" s="68"/>
      <c r="J38" s="68"/>
    </row>
    <row r="39" customFormat="false" ht="15" hidden="false" customHeight="false" outlineLevel="0" collapsed="false">
      <c r="A39" s="68"/>
      <c r="B39" s="68"/>
      <c r="C39" s="68"/>
      <c r="D39" s="68"/>
      <c r="E39" s="68"/>
      <c r="F39" s="68"/>
      <c r="G39" s="68"/>
      <c r="H39" s="68"/>
      <c r="I39" s="68"/>
      <c r="J39" s="68"/>
    </row>
    <row r="40" customFormat="false" ht="15" hidden="false" customHeight="false" outlineLevel="0" collapsed="false">
      <c r="A40" s="68"/>
      <c r="B40" s="68"/>
      <c r="C40" s="68"/>
      <c r="D40" s="68"/>
      <c r="E40" s="68"/>
      <c r="F40" s="68"/>
      <c r="G40" s="68"/>
      <c r="H40" s="68"/>
      <c r="I40" s="68"/>
      <c r="J40" s="68"/>
    </row>
    <row r="41" customFormat="false" ht="15" hidden="false" customHeight="false" outlineLevel="0" collapsed="false">
      <c r="A41" s="68"/>
      <c r="B41" s="68"/>
      <c r="C41" s="68"/>
      <c r="D41" s="68"/>
      <c r="E41" s="68"/>
      <c r="F41" s="68"/>
      <c r="G41" s="68"/>
      <c r="H41" s="68"/>
      <c r="I41" s="68"/>
      <c r="J41" s="68"/>
    </row>
    <row r="42" customFormat="false" ht="15" hidden="false" customHeight="false" outlineLevel="0" collapsed="false">
      <c r="A42" s="68"/>
      <c r="B42" s="68"/>
      <c r="C42" s="68"/>
      <c r="D42" s="68"/>
      <c r="E42" s="68"/>
      <c r="F42" s="68"/>
      <c r="G42" s="68"/>
      <c r="H42" s="68"/>
      <c r="I42" s="68"/>
      <c r="J42" s="68"/>
    </row>
    <row r="43" customFormat="false" ht="15" hidden="false" customHeight="false" outlineLevel="0" collapsed="false">
      <c r="A43" s="68"/>
      <c r="B43" s="68"/>
      <c r="C43" s="68"/>
      <c r="D43" s="68"/>
      <c r="E43" s="68"/>
      <c r="F43" s="68"/>
      <c r="G43" s="68"/>
      <c r="H43" s="68"/>
      <c r="I43" s="68"/>
      <c r="J43" s="68"/>
    </row>
    <row r="44" customFormat="false" ht="15" hidden="false" customHeight="false" outlineLevel="0" collapsed="false">
      <c r="A44" s="68"/>
      <c r="B44" s="68"/>
      <c r="C44" s="68"/>
      <c r="D44" s="68"/>
      <c r="E44" s="68"/>
      <c r="F44" s="68"/>
      <c r="G44" s="68"/>
      <c r="H44" s="68"/>
      <c r="I44" s="68"/>
      <c r="J44" s="68"/>
    </row>
    <row r="45" customFormat="false" ht="15" hidden="false" customHeight="false" outlineLevel="0" collapsed="false">
      <c r="A45" s="68"/>
      <c r="B45" s="68"/>
      <c r="C45" s="68"/>
      <c r="D45" s="68"/>
      <c r="E45" s="68"/>
      <c r="F45" s="68"/>
      <c r="G45" s="68"/>
      <c r="H45" s="68"/>
      <c r="I45" s="68"/>
      <c r="J45" s="68"/>
    </row>
    <row r="46" customFormat="false" ht="15" hidden="false" customHeight="false" outlineLevel="0" collapsed="false">
      <c r="A46" s="68"/>
      <c r="B46" s="68"/>
      <c r="C46" s="68"/>
      <c r="D46" s="68"/>
      <c r="E46" s="68"/>
      <c r="F46" s="68"/>
      <c r="G46" s="68"/>
      <c r="H46" s="68"/>
      <c r="I46" s="68"/>
      <c r="J46" s="68"/>
    </row>
    <row r="47" customFormat="false" ht="15" hidden="false" customHeight="false" outlineLevel="0" collapsed="false">
      <c r="A47" s="68"/>
      <c r="B47" s="68"/>
      <c r="C47" s="68"/>
      <c r="D47" s="68"/>
      <c r="E47" s="68"/>
      <c r="F47" s="68"/>
      <c r="G47" s="68"/>
      <c r="H47" s="68"/>
      <c r="I47" s="68"/>
      <c r="J47" s="68"/>
    </row>
    <row r="48" customFormat="false" ht="15" hidden="false" customHeight="false" outlineLevel="0" collapsed="false">
      <c r="A48" s="68"/>
      <c r="B48" s="68"/>
      <c r="C48" s="68"/>
      <c r="D48" s="68"/>
      <c r="E48" s="68"/>
      <c r="F48" s="68"/>
      <c r="G48" s="68"/>
      <c r="H48" s="68"/>
      <c r="I48" s="68"/>
      <c r="J48" s="68"/>
    </row>
    <row r="49" customFormat="false" ht="15" hidden="false" customHeight="false" outlineLevel="0" collapsed="false">
      <c r="A49" s="68"/>
      <c r="B49" s="68"/>
      <c r="C49" s="68"/>
      <c r="D49" s="68"/>
      <c r="E49" s="68"/>
      <c r="F49" s="68"/>
      <c r="G49" s="68"/>
      <c r="H49" s="68"/>
      <c r="I49" s="68"/>
      <c r="J49" s="68"/>
    </row>
    <row r="50" customFormat="false" ht="15" hidden="false" customHeight="false" outlineLevel="0" collapsed="false">
      <c r="A50" s="68"/>
      <c r="B50" s="68"/>
      <c r="C50" s="68"/>
      <c r="D50" s="68"/>
      <c r="E50" s="68"/>
      <c r="F50" s="68"/>
      <c r="G50" s="68"/>
      <c r="H50" s="68"/>
      <c r="I50" s="68"/>
      <c r="J50" s="68"/>
    </row>
    <row r="51" customFormat="false" ht="15" hidden="false" customHeight="false" outlineLevel="0" collapsed="false">
      <c r="A51" s="68"/>
      <c r="B51" s="68"/>
      <c r="C51" s="68"/>
      <c r="D51" s="68"/>
      <c r="E51" s="68"/>
      <c r="F51" s="68"/>
      <c r="G51" s="68"/>
      <c r="H51" s="68"/>
      <c r="I51" s="68"/>
      <c r="J51" s="68"/>
    </row>
    <row r="52" customFormat="false" ht="15" hidden="false" customHeight="false" outlineLevel="0" collapsed="false">
      <c r="A52" s="68"/>
      <c r="B52" s="68"/>
      <c r="C52" s="68"/>
      <c r="D52" s="68"/>
      <c r="E52" s="68"/>
      <c r="F52" s="68"/>
      <c r="G52" s="68"/>
      <c r="H52" s="68"/>
      <c r="I52" s="68"/>
      <c r="J52" s="68"/>
    </row>
    <row r="53" customFormat="false" ht="15" hidden="false" customHeight="false" outlineLevel="0" collapsed="false">
      <c r="A53" s="68"/>
      <c r="B53" s="68"/>
      <c r="C53" s="68"/>
      <c r="D53" s="68"/>
      <c r="E53" s="68"/>
      <c r="F53" s="68"/>
      <c r="G53" s="68"/>
      <c r="H53" s="68"/>
      <c r="I53" s="68"/>
      <c r="J53" s="68"/>
    </row>
    <row r="54" customFormat="false" ht="15" hidden="false" customHeight="false" outlineLevel="0" collapsed="false">
      <c r="A54" s="68"/>
      <c r="B54" s="68"/>
      <c r="C54" s="68"/>
      <c r="D54" s="68"/>
      <c r="E54" s="68"/>
      <c r="F54" s="68"/>
      <c r="G54" s="68"/>
      <c r="H54" s="68"/>
      <c r="I54" s="68"/>
      <c r="J54" s="68"/>
    </row>
    <row r="55" customFormat="false" ht="15" hidden="false" customHeight="false" outlineLevel="0" collapsed="false">
      <c r="A55" s="68"/>
      <c r="B55" s="68"/>
      <c r="C55" s="68"/>
      <c r="D55" s="68"/>
      <c r="E55" s="68"/>
      <c r="F55" s="68"/>
      <c r="G55" s="68"/>
      <c r="H55" s="68"/>
      <c r="I55" s="68"/>
      <c r="J55" s="68"/>
    </row>
    <row r="56" customFormat="false" ht="15" hidden="false" customHeight="false" outlineLevel="0" collapsed="false">
      <c r="A56" s="68"/>
      <c r="B56" s="68"/>
      <c r="C56" s="68"/>
      <c r="D56" s="68"/>
      <c r="E56" s="68"/>
      <c r="F56" s="68"/>
      <c r="G56" s="68"/>
      <c r="H56" s="68"/>
      <c r="I56" s="68"/>
      <c r="J56" s="68"/>
    </row>
    <row r="57" customFormat="false" ht="15" hidden="false" customHeight="false" outlineLevel="0" collapsed="false">
      <c r="A57" s="68"/>
      <c r="B57" s="68"/>
      <c r="C57" s="68"/>
      <c r="D57" s="68"/>
      <c r="E57" s="68"/>
      <c r="F57" s="68"/>
      <c r="G57" s="68"/>
      <c r="H57" s="68"/>
      <c r="I57" s="68"/>
      <c r="J57" s="68"/>
    </row>
    <row r="58" customFormat="false" ht="15" hidden="false" customHeight="false" outlineLevel="0" collapsed="false">
      <c r="A58" s="68"/>
      <c r="B58" s="68"/>
      <c r="C58" s="68"/>
      <c r="D58" s="68"/>
      <c r="E58" s="68"/>
      <c r="F58" s="68"/>
      <c r="G58" s="68"/>
      <c r="H58" s="68"/>
      <c r="I58" s="68"/>
      <c r="J58" s="68"/>
    </row>
    <row r="59" customFormat="false" ht="15" hidden="false" customHeight="false" outlineLevel="0" collapsed="false">
      <c r="A59" s="68"/>
      <c r="B59" s="68"/>
      <c r="C59" s="68"/>
      <c r="D59" s="68"/>
      <c r="E59" s="68"/>
      <c r="F59" s="68"/>
      <c r="G59" s="68"/>
      <c r="H59" s="68"/>
      <c r="I59" s="68"/>
      <c r="J59" s="68"/>
    </row>
    <row r="60" customFormat="false" ht="15" hidden="false" customHeight="false" outlineLevel="0" collapsed="false">
      <c r="A60" s="68"/>
      <c r="B60" s="68"/>
      <c r="C60" s="68"/>
      <c r="D60" s="68"/>
      <c r="E60" s="68"/>
      <c r="F60" s="68"/>
      <c r="G60" s="68"/>
      <c r="H60" s="68"/>
      <c r="I60" s="68"/>
      <c r="J60" s="68"/>
    </row>
    <row r="61" customFormat="false" ht="15" hidden="false" customHeight="false" outlineLevel="0" collapsed="false">
      <c r="A61" s="68"/>
      <c r="B61" s="68"/>
      <c r="C61" s="68"/>
      <c r="D61" s="68"/>
      <c r="E61" s="68"/>
      <c r="F61" s="68"/>
      <c r="G61" s="68"/>
      <c r="H61" s="68"/>
      <c r="I61" s="68"/>
      <c r="J61" s="68"/>
    </row>
    <row r="62" customFormat="false" ht="15" hidden="false" customHeight="false" outlineLevel="0" collapsed="false">
      <c r="A62" s="68"/>
      <c r="B62" s="68"/>
      <c r="C62" s="68"/>
      <c r="D62" s="68"/>
      <c r="E62" s="68"/>
      <c r="F62" s="68"/>
      <c r="G62" s="68"/>
      <c r="H62" s="68"/>
      <c r="I62" s="68"/>
      <c r="J62" s="68"/>
    </row>
    <row r="63" customFormat="false" ht="15" hidden="false" customHeight="false" outlineLevel="0" collapsed="false">
      <c r="A63" s="68"/>
      <c r="B63" s="68"/>
      <c r="C63" s="68"/>
      <c r="D63" s="68"/>
      <c r="E63" s="68"/>
      <c r="F63" s="68"/>
      <c r="G63" s="68"/>
      <c r="H63" s="68"/>
      <c r="I63" s="68"/>
      <c r="J63" s="68"/>
    </row>
    <row r="64" customFormat="false" ht="15" hidden="false" customHeight="false" outlineLevel="0" collapsed="false">
      <c r="A64" s="68"/>
      <c r="B64" s="68"/>
      <c r="C64" s="68"/>
      <c r="D64" s="68"/>
      <c r="E64" s="68"/>
      <c r="F64" s="68"/>
      <c r="G64" s="68"/>
      <c r="H64" s="68"/>
      <c r="I64" s="68"/>
      <c r="J64" s="68"/>
    </row>
    <row r="65" customFormat="false" ht="15" hidden="false" customHeight="false" outlineLevel="0" collapsed="false">
      <c r="A65" s="68"/>
      <c r="B65" s="68"/>
      <c r="C65" s="68"/>
      <c r="D65" s="68"/>
      <c r="E65" s="68"/>
      <c r="F65" s="68"/>
      <c r="G65" s="68"/>
      <c r="H65" s="68"/>
      <c r="I65" s="68"/>
      <c r="J65" s="68"/>
    </row>
    <row r="66" customFormat="false" ht="15" hidden="false" customHeight="false" outlineLevel="0" collapsed="false">
      <c r="A66" s="68"/>
      <c r="B66" s="68"/>
      <c r="C66" s="68"/>
      <c r="D66" s="68"/>
      <c r="E66" s="68"/>
      <c r="F66" s="68"/>
      <c r="G66" s="68"/>
      <c r="H66" s="68"/>
      <c r="I66" s="68"/>
      <c r="J66" s="68"/>
    </row>
    <row r="67" customFormat="false" ht="15" hidden="false" customHeight="false" outlineLevel="0" collapsed="false">
      <c r="A67" s="68"/>
      <c r="B67" s="68"/>
      <c r="C67" s="68"/>
      <c r="D67" s="68"/>
      <c r="E67" s="68"/>
      <c r="F67" s="68"/>
      <c r="G67" s="68"/>
      <c r="H67" s="68"/>
      <c r="I67" s="68"/>
      <c r="J67" s="68"/>
    </row>
    <row r="68" customFormat="false" ht="15" hidden="false" customHeight="false" outlineLevel="0" collapsed="false">
      <c r="A68" s="68"/>
      <c r="B68" s="68"/>
      <c r="C68" s="68"/>
      <c r="D68" s="68"/>
      <c r="E68" s="68"/>
      <c r="F68" s="68"/>
      <c r="G68" s="68"/>
      <c r="H68" s="68"/>
      <c r="I68" s="68"/>
      <c r="J68" s="68"/>
    </row>
    <row r="69" customFormat="false" ht="15" hidden="false" customHeight="false" outlineLevel="0" collapsed="false">
      <c r="A69" s="68"/>
      <c r="B69" s="68"/>
      <c r="C69" s="68"/>
      <c r="D69" s="68"/>
      <c r="E69" s="68"/>
      <c r="F69" s="68"/>
      <c r="G69" s="68"/>
      <c r="H69" s="68"/>
      <c r="I69" s="68"/>
      <c r="J69" s="68"/>
    </row>
    <row r="70" customFormat="false" ht="15" hidden="false" customHeight="false" outlineLevel="0" collapsed="false">
      <c r="A70" s="68"/>
      <c r="B70" s="68"/>
      <c r="C70" s="68"/>
      <c r="D70" s="68"/>
      <c r="E70" s="68"/>
      <c r="F70" s="68"/>
      <c r="G70" s="68"/>
      <c r="H70" s="68"/>
      <c r="I70" s="68"/>
      <c r="J70" s="68"/>
    </row>
    <row r="71" customFormat="false" ht="15" hidden="false" customHeight="false" outlineLevel="0" collapsed="false">
      <c r="A71" s="68"/>
      <c r="B71" s="68"/>
      <c r="C71" s="68"/>
      <c r="D71" s="68"/>
      <c r="E71" s="68"/>
      <c r="F71" s="68"/>
      <c r="G71" s="68"/>
      <c r="H71" s="68"/>
      <c r="I71" s="68"/>
      <c r="J71" s="68"/>
    </row>
    <row r="72" customFormat="false" ht="15" hidden="false" customHeight="false" outlineLevel="0" collapsed="false">
      <c r="A72" s="68"/>
      <c r="B72" s="68"/>
      <c r="C72" s="68"/>
      <c r="D72" s="68"/>
      <c r="E72" s="68"/>
      <c r="F72" s="68"/>
      <c r="G72" s="68"/>
      <c r="H72" s="68"/>
      <c r="I72" s="68"/>
      <c r="J72" s="68"/>
    </row>
    <row r="73" customFormat="false" ht="15" hidden="false" customHeight="false" outlineLevel="0" collapsed="false">
      <c r="A73" s="68"/>
      <c r="B73" s="68"/>
      <c r="C73" s="68"/>
      <c r="D73" s="68"/>
      <c r="E73" s="68"/>
      <c r="F73" s="68"/>
      <c r="G73" s="68"/>
      <c r="H73" s="68"/>
      <c r="I73" s="68"/>
      <c r="J73" s="68"/>
    </row>
    <row r="74" customFormat="false" ht="15" hidden="false" customHeight="false" outlineLevel="0" collapsed="false">
      <c r="A74" s="68"/>
      <c r="B74" s="68"/>
      <c r="C74" s="68"/>
      <c r="D74" s="68"/>
      <c r="E74" s="68"/>
      <c r="F74" s="68"/>
      <c r="G74" s="68"/>
      <c r="H74" s="68"/>
      <c r="I74" s="68"/>
      <c r="J74" s="68"/>
    </row>
    <row r="75" customFormat="false" ht="15" hidden="false" customHeight="false" outlineLevel="0" collapsed="false">
      <c r="A75" s="68"/>
      <c r="B75" s="68"/>
      <c r="C75" s="68"/>
      <c r="D75" s="68"/>
      <c r="E75" s="68"/>
      <c r="F75" s="68"/>
      <c r="G75" s="68"/>
      <c r="H75" s="68"/>
      <c r="I75" s="68"/>
      <c r="J75" s="68"/>
    </row>
    <row r="76" customFormat="false" ht="15" hidden="false" customHeight="false" outlineLevel="0" collapsed="false">
      <c r="A76" s="68"/>
      <c r="B76" s="68"/>
      <c r="C76" s="68"/>
      <c r="D76" s="68"/>
      <c r="E76" s="68"/>
      <c r="F76" s="68"/>
      <c r="G76" s="68"/>
      <c r="H76" s="68"/>
      <c r="I76" s="68"/>
      <c r="J76" s="68"/>
    </row>
    <row r="77" customFormat="false" ht="15" hidden="false" customHeight="false" outlineLevel="0" collapsed="false">
      <c r="A77" s="68"/>
      <c r="B77" s="68"/>
      <c r="C77" s="68"/>
      <c r="D77" s="68"/>
      <c r="E77" s="68"/>
      <c r="F77" s="68"/>
      <c r="G77" s="68"/>
      <c r="H77" s="68"/>
      <c r="I77" s="68"/>
      <c r="J77" s="68"/>
    </row>
    <row r="78" customFormat="false" ht="15" hidden="false" customHeight="false" outlineLevel="0" collapsed="false">
      <c r="A78" s="68"/>
      <c r="B78" s="68"/>
      <c r="C78" s="68"/>
      <c r="D78" s="68"/>
      <c r="E78" s="68"/>
      <c r="F78" s="68"/>
      <c r="G78" s="68"/>
      <c r="H78" s="68"/>
      <c r="I78" s="68"/>
      <c r="J78" s="68"/>
    </row>
    <row r="79" customFormat="false" ht="15" hidden="false" customHeight="false" outlineLevel="0" collapsed="false">
      <c r="A79" s="68"/>
      <c r="B79" s="68"/>
      <c r="C79" s="68"/>
      <c r="D79" s="68"/>
      <c r="E79" s="68"/>
      <c r="F79" s="68"/>
      <c r="G79" s="68"/>
      <c r="H79" s="68"/>
      <c r="I79" s="68"/>
      <c r="J79" s="68"/>
    </row>
    <row r="80" customFormat="false" ht="15" hidden="false" customHeight="false" outlineLevel="0" collapsed="false">
      <c r="A80" s="68"/>
      <c r="B80" s="68"/>
      <c r="C80" s="68"/>
      <c r="D80" s="68"/>
      <c r="E80" s="68"/>
      <c r="F80" s="68"/>
      <c r="G80" s="68"/>
      <c r="H80" s="68"/>
      <c r="I80" s="68"/>
      <c r="J80" s="68"/>
    </row>
    <row r="81" customFormat="false" ht="15" hidden="false" customHeight="false" outlineLevel="0" collapsed="false">
      <c r="A81" s="68"/>
      <c r="B81" s="68"/>
      <c r="C81" s="68"/>
      <c r="D81" s="68"/>
      <c r="E81" s="68"/>
      <c r="F81" s="68"/>
      <c r="G81" s="68"/>
      <c r="H81" s="68"/>
      <c r="I81" s="68"/>
      <c r="J81" s="68"/>
    </row>
    <row r="82" customFormat="false" ht="15" hidden="false" customHeight="false" outlineLevel="0" collapsed="false">
      <c r="A82" s="68"/>
      <c r="B82" s="68"/>
      <c r="C82" s="68"/>
      <c r="D82" s="68"/>
      <c r="E82" s="68"/>
      <c r="F82" s="68"/>
      <c r="G82" s="68"/>
      <c r="H82" s="68"/>
      <c r="I82" s="68"/>
      <c r="J82" s="68"/>
    </row>
    <row r="83" customFormat="false" ht="15" hidden="false" customHeight="false" outlineLevel="0" collapsed="false">
      <c r="A83" s="68"/>
      <c r="B83" s="68"/>
      <c r="C83" s="68"/>
      <c r="D83" s="68"/>
      <c r="E83" s="68"/>
      <c r="F83" s="68"/>
      <c r="G83" s="68"/>
      <c r="H83" s="68"/>
      <c r="I83" s="68"/>
      <c r="J83" s="68"/>
    </row>
    <row r="84" customFormat="false" ht="15" hidden="false" customHeight="false" outlineLevel="0" collapsed="false">
      <c r="A84" s="68"/>
      <c r="B84" s="68"/>
      <c r="C84" s="68"/>
      <c r="D84" s="68"/>
      <c r="E84" s="68"/>
      <c r="F84" s="68"/>
      <c r="G84" s="68"/>
      <c r="H84" s="68"/>
      <c r="I84" s="68"/>
      <c r="J84" s="68"/>
    </row>
    <row r="85" customFormat="false" ht="15" hidden="false" customHeight="false" outlineLevel="0" collapsed="false">
      <c r="A85" s="68"/>
      <c r="B85" s="68"/>
      <c r="C85" s="68"/>
      <c r="D85" s="68"/>
      <c r="E85" s="68"/>
      <c r="F85" s="68"/>
      <c r="G85" s="68"/>
      <c r="H85" s="68"/>
      <c r="I85" s="68"/>
      <c r="J85" s="68"/>
    </row>
    <row r="86" customFormat="false" ht="15" hidden="false" customHeight="false" outlineLevel="0" collapsed="false">
      <c r="A86" s="68"/>
      <c r="B86" s="68"/>
      <c r="C86" s="68"/>
      <c r="D86" s="68"/>
      <c r="E86" s="68"/>
      <c r="F86" s="68"/>
      <c r="G86" s="68"/>
      <c r="H86" s="68"/>
      <c r="I86" s="68"/>
      <c r="J86" s="68"/>
    </row>
    <row r="87" customFormat="false" ht="15" hidden="false" customHeight="false" outlineLevel="0" collapsed="false">
      <c r="A87" s="68"/>
      <c r="B87" s="68"/>
      <c r="C87" s="68"/>
      <c r="D87" s="68"/>
      <c r="E87" s="68"/>
      <c r="F87" s="68"/>
      <c r="G87" s="68"/>
      <c r="H87" s="68"/>
      <c r="I87" s="68"/>
      <c r="J87" s="68"/>
    </row>
    <row r="88" customFormat="false" ht="15" hidden="false" customHeight="false" outlineLevel="0" collapsed="false">
      <c r="A88" s="68"/>
      <c r="B88" s="68"/>
      <c r="C88" s="68"/>
      <c r="D88" s="68"/>
      <c r="E88" s="68"/>
      <c r="F88" s="68"/>
      <c r="G88" s="68"/>
      <c r="H88" s="68"/>
      <c r="I88" s="68"/>
      <c r="J88" s="68"/>
    </row>
    <row r="89" customFormat="false" ht="15" hidden="false" customHeight="false" outlineLevel="0" collapsed="false">
      <c r="A89" s="68"/>
      <c r="B89" s="68"/>
      <c r="C89" s="68"/>
      <c r="D89" s="68"/>
      <c r="E89" s="68"/>
      <c r="F89" s="68"/>
      <c r="G89" s="68"/>
      <c r="H89" s="68"/>
      <c r="I89" s="68"/>
      <c r="J89" s="68"/>
    </row>
    <row r="90" customFormat="false" ht="15" hidden="false" customHeight="false" outlineLevel="0" collapsed="false">
      <c r="A90" s="68"/>
      <c r="B90" s="68"/>
      <c r="C90" s="68"/>
      <c r="D90" s="68"/>
      <c r="E90" s="68"/>
      <c r="F90" s="68"/>
      <c r="G90" s="68"/>
      <c r="H90" s="68"/>
      <c r="I90" s="68"/>
      <c r="J90" s="68"/>
    </row>
    <row r="91" customFormat="false" ht="15" hidden="false" customHeight="false" outlineLevel="0" collapsed="false">
      <c r="A91" s="68"/>
      <c r="B91" s="68"/>
      <c r="C91" s="68"/>
      <c r="D91" s="68"/>
      <c r="E91" s="68"/>
      <c r="F91" s="68"/>
      <c r="G91" s="68"/>
      <c r="H91" s="68"/>
      <c r="I91" s="68"/>
      <c r="J91" s="68"/>
    </row>
    <row r="92" customFormat="false" ht="15" hidden="false" customHeight="false" outlineLevel="0" collapsed="false">
      <c r="A92" s="68"/>
      <c r="B92" s="68"/>
      <c r="C92" s="68"/>
      <c r="D92" s="68"/>
      <c r="E92" s="68"/>
      <c r="F92" s="68"/>
      <c r="G92" s="68"/>
      <c r="H92" s="68"/>
      <c r="I92" s="68"/>
      <c r="J92" s="68"/>
    </row>
    <row r="93" customFormat="false" ht="15" hidden="false" customHeight="false" outlineLevel="0" collapsed="false">
      <c r="A93" s="68"/>
      <c r="B93" s="68"/>
      <c r="C93" s="68"/>
      <c r="D93" s="68"/>
      <c r="E93" s="68"/>
      <c r="F93" s="68"/>
      <c r="G93" s="68"/>
      <c r="H93" s="68"/>
      <c r="I93" s="68"/>
      <c r="J93" s="68"/>
    </row>
    <row r="94" customFormat="false" ht="15" hidden="false" customHeight="false" outlineLevel="0" collapsed="false">
      <c r="A94" s="68"/>
      <c r="B94" s="68"/>
      <c r="C94" s="68"/>
      <c r="D94" s="68"/>
      <c r="E94" s="68"/>
      <c r="F94" s="68"/>
      <c r="G94" s="68"/>
      <c r="H94" s="68"/>
      <c r="I94" s="68"/>
      <c r="J94" s="68"/>
    </row>
    <row r="95" customFormat="false" ht="15" hidden="false" customHeight="false" outlineLevel="0" collapsed="false">
      <c r="A95" s="68"/>
      <c r="B95" s="68"/>
      <c r="C95" s="68"/>
      <c r="D95" s="68"/>
      <c r="E95" s="68"/>
      <c r="F95" s="68"/>
      <c r="G95" s="68"/>
      <c r="H95" s="68"/>
      <c r="I95" s="68"/>
      <c r="J95" s="68"/>
    </row>
    <row r="96" customFormat="false" ht="15" hidden="false" customHeight="false" outlineLevel="0" collapsed="false">
      <c r="A96" s="68"/>
      <c r="B96" s="68"/>
      <c r="C96" s="68"/>
      <c r="D96" s="68"/>
      <c r="E96" s="68"/>
      <c r="F96" s="68"/>
      <c r="G96" s="68"/>
      <c r="H96" s="68"/>
      <c r="I96" s="68"/>
      <c r="J96" s="68"/>
    </row>
    <row r="97" customFormat="false" ht="15" hidden="false" customHeight="false" outlineLevel="0" collapsed="false">
      <c r="A97" s="68"/>
      <c r="B97" s="68"/>
      <c r="C97" s="68"/>
      <c r="D97" s="68"/>
      <c r="E97" s="68"/>
      <c r="F97" s="68"/>
      <c r="G97" s="68"/>
      <c r="H97" s="68"/>
      <c r="I97" s="68"/>
      <c r="J97" s="68"/>
    </row>
    <row r="98" customFormat="false" ht="15" hidden="false" customHeight="false" outlineLevel="0" collapsed="false">
      <c r="A98" s="68"/>
      <c r="B98" s="68"/>
      <c r="C98" s="68"/>
      <c r="D98" s="68"/>
      <c r="E98" s="68"/>
      <c r="F98" s="68"/>
      <c r="G98" s="68"/>
      <c r="H98" s="68"/>
      <c r="I98" s="68"/>
      <c r="J98" s="68"/>
    </row>
    <row r="99" customFormat="false" ht="15" hidden="false" customHeight="false" outlineLevel="0" collapsed="false">
      <c r="A99" s="68"/>
      <c r="B99" s="68"/>
      <c r="C99" s="68"/>
      <c r="D99" s="68"/>
      <c r="E99" s="68"/>
      <c r="F99" s="68"/>
      <c r="G99" s="68"/>
      <c r="H99" s="68"/>
      <c r="I99" s="68"/>
      <c r="J99" s="68"/>
    </row>
    <row r="100" customFormat="false" ht="15" hidden="false" customHeight="false" outlineLevel="0" collapsed="false">
      <c r="A100" s="68"/>
      <c r="B100" s="68"/>
      <c r="C100" s="68"/>
      <c r="D100" s="68"/>
      <c r="E100" s="68"/>
      <c r="F100" s="68"/>
      <c r="G100" s="68"/>
      <c r="H100" s="68"/>
      <c r="I100" s="68"/>
      <c r="J100" s="68"/>
    </row>
    <row r="101" customFormat="false" ht="15" hidden="false" customHeight="false" outlineLevel="0" collapsed="false">
      <c r="A101" s="68"/>
      <c r="B101" s="68"/>
      <c r="C101" s="68"/>
      <c r="D101" s="68"/>
      <c r="E101" s="68"/>
      <c r="F101" s="68"/>
      <c r="G101" s="68"/>
      <c r="H101" s="68"/>
      <c r="I101" s="68"/>
      <c r="J101" s="68"/>
    </row>
    <row r="102" customFormat="false" ht="15" hidden="false" customHeight="false" outlineLevel="0" collapsed="false">
      <c r="A102" s="68"/>
      <c r="B102" s="68"/>
      <c r="C102" s="68"/>
      <c r="D102" s="68"/>
      <c r="E102" s="68"/>
      <c r="F102" s="68"/>
      <c r="G102" s="68"/>
      <c r="H102" s="68"/>
      <c r="I102" s="68"/>
      <c r="J102" s="68"/>
    </row>
    <row r="103" customFormat="false" ht="15" hidden="false" customHeight="false" outlineLevel="0" collapsed="false">
      <c r="A103" s="68"/>
      <c r="B103" s="68"/>
      <c r="C103" s="68"/>
      <c r="D103" s="68"/>
      <c r="E103" s="68"/>
      <c r="F103" s="68"/>
      <c r="G103" s="68"/>
      <c r="H103" s="68"/>
      <c r="I103" s="68"/>
      <c r="J103" s="68"/>
    </row>
    <row r="104" customFormat="false" ht="15" hidden="false" customHeight="false" outlineLevel="0" collapsed="false">
      <c r="A104" s="68"/>
      <c r="B104" s="68"/>
      <c r="C104" s="68"/>
      <c r="D104" s="68"/>
      <c r="E104" s="68"/>
      <c r="F104" s="68"/>
      <c r="G104" s="68"/>
      <c r="H104" s="68"/>
      <c r="I104" s="68"/>
      <c r="J104" s="68"/>
    </row>
  </sheetData>
  <dataValidations count="1">
    <dataValidation allowBlank="true" errorStyle="stop" operator="between" showDropDown="false" showErrorMessage="false" showInputMessage="false" sqref="J5:J104" type="list">
      <formula1>"1,2,3,Aussen"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5" min="3" style="0" width="9"/>
    <col collapsed="false" customWidth="true" hidden="false" outlineLevel="0" max="6" min="6" style="0" width="11"/>
    <col collapsed="false" customWidth="true" hidden="false" outlineLevel="0" max="9" min="7" style="0" width="10"/>
    <col collapsed="false" customWidth="true" hidden="false" outlineLevel="0" max="10" min="10" style="0" width="9"/>
    <col collapsed="false" customWidth="true" hidden="false" outlineLevel="0" max="13" min="11" style="0" width="11"/>
  </cols>
  <sheetData>
    <row r="1" customFormat="false" ht="17.35" hidden="false" customHeight="false" outlineLevel="0" collapsed="false">
      <c r="A1" s="32" t="s">
        <v>3107</v>
      </c>
    </row>
    <row r="2" customFormat="false" ht="15" hidden="false" customHeight="false" outlineLevel="0" collapsed="false">
      <c r="A2" s="33" t="s">
        <v>3108</v>
      </c>
    </row>
    <row r="3" customFormat="false" ht="15" hidden="false" customHeight="false" outlineLevel="0" collapsed="false">
      <c r="A3" s="51" t="str">
        <f aca="false">"Tablar: "&amp;INDEX(Parameter!$F$5:$F$7,Parameter!$M$22)&amp;" × "&amp;INDEX(Parameter!$G$5:$G$7,Parameter!$M$22)&amp;" mm (Lift "&amp;Parameter!$M$22&amp;")"</f>
        <v>Tablar: 4060 × 857 mm (Lift 2)</v>
      </c>
    </row>
    <row r="4" customFormat="false" ht="42" hidden="false" customHeight="true" outlineLevel="0" collapsed="false">
      <c r="A4" s="53" t="s">
        <v>3084</v>
      </c>
      <c r="B4" s="53" t="s">
        <v>78</v>
      </c>
      <c r="C4" s="53" t="s">
        <v>3109</v>
      </c>
      <c r="D4" s="53" t="s">
        <v>3110</v>
      </c>
      <c r="E4" s="53" t="s">
        <v>3111</v>
      </c>
      <c r="F4" s="53" t="s">
        <v>3112</v>
      </c>
      <c r="G4" s="53" t="s">
        <v>3113</v>
      </c>
      <c r="H4" s="53" t="s">
        <v>3114</v>
      </c>
      <c r="I4" s="53" t="s">
        <v>3115</v>
      </c>
      <c r="J4" s="53" t="s">
        <v>3116</v>
      </c>
      <c r="K4" s="53" t="s">
        <v>3117</v>
      </c>
      <c r="L4" s="53" t="s">
        <v>3118</v>
      </c>
      <c r="M4" s="53" t="s">
        <v>3119</v>
      </c>
    </row>
    <row r="5" customFormat="false" ht="15" hidden="false" customHeight="false" outlineLevel="0" collapsed="false">
      <c r="A5" s="68" t="s">
        <v>401</v>
      </c>
      <c r="B5" s="68" t="s">
        <v>3120</v>
      </c>
      <c r="C5" s="75" t="n">
        <v>8.7</v>
      </c>
      <c r="D5" s="75" t="n">
        <v>9.4</v>
      </c>
      <c r="E5" s="75" t="n">
        <v>8</v>
      </c>
      <c r="F5" s="78" t="n">
        <f aca="false">IF(A5="","",C5*D5/10000)</f>
        <v>0.008178</v>
      </c>
      <c r="G5" s="78" t="n">
        <f aca="false">IF(A5="","",C5*D5*E5/1000000)</f>
        <v>0.00065424</v>
      </c>
      <c r="H5" s="69" t="n">
        <v>87</v>
      </c>
      <c r="I5" s="69" t="n">
        <v>94</v>
      </c>
      <c r="J5" s="69" t="n">
        <v>1</v>
      </c>
      <c r="K5" s="12" t="n">
        <f aca="false">IF(OR(A5="",N(H5)&lt;=0,N(I5)&lt;=0),"",MAX(INT(INDEX(Parameter!$F$5:$F$7,Parameter!$M$22)/H5)*INT(INDEX(Parameter!$G$5:$G$7,Parameter!$M$22)/I5),INT(INDEX(Parameter!$F$5:$F$7,Parameter!$M$22)/I5)*INT(INDEX(Parameter!$G$5:$G$7,Parameter!$M$22)/H5))*MAX(1,N(J5)))</f>
        <v>414</v>
      </c>
      <c r="L5" s="69"/>
      <c r="M5" s="17" t="n">
        <f aca="false">IF(A5="","",IF(N(L5)&gt;0,L5,N(K5)))</f>
        <v>414</v>
      </c>
    </row>
    <row r="6" customFormat="false" ht="15" hidden="false" customHeight="false" outlineLevel="0" collapsed="false">
      <c r="A6" s="68" t="s">
        <v>426</v>
      </c>
      <c r="B6" s="68" t="s">
        <v>3121</v>
      </c>
      <c r="C6" s="75" t="n">
        <v>17.8</v>
      </c>
      <c r="D6" s="75" t="n">
        <v>9.4</v>
      </c>
      <c r="E6" s="75" t="n">
        <v>8</v>
      </c>
      <c r="F6" s="78" t="n">
        <f aca="false">IF(A6="","",C6*D6/10000)</f>
        <v>0.016732</v>
      </c>
      <c r="G6" s="78" t="n">
        <f aca="false">IF(A6="","",C6*D6*E6/1000000)</f>
        <v>0.00133856</v>
      </c>
      <c r="H6" s="69" t="n">
        <v>178</v>
      </c>
      <c r="I6" s="69" t="n">
        <v>94</v>
      </c>
      <c r="J6" s="69" t="n">
        <v>1</v>
      </c>
      <c r="K6" s="12" t="n">
        <f aca="false">IF(OR(A6="",N(H6)&lt;=0,N(I6)&lt;=0),"",MAX(INT(INDEX(Parameter!$F$5:$F$7,Parameter!$M$22)/H6)*INT(INDEX(Parameter!$G$5:$G$7,Parameter!$M$22)/I6),INT(INDEX(Parameter!$F$5:$F$7,Parameter!$M$22)/I6)*INT(INDEX(Parameter!$G$5:$G$7,Parameter!$M$22)/H6))*MAX(1,N(J6)))</f>
        <v>198</v>
      </c>
      <c r="L6" s="69"/>
      <c r="M6" s="17" t="n">
        <f aca="false">IF(A6="","",IF(N(L6)&gt;0,L6,N(K6)))</f>
        <v>198</v>
      </c>
    </row>
    <row r="7" customFormat="false" ht="15" hidden="false" customHeight="false" outlineLevel="0" collapsed="false">
      <c r="A7" s="68" t="s">
        <v>421</v>
      </c>
      <c r="B7" s="68" t="s">
        <v>3122</v>
      </c>
      <c r="C7" s="75" t="n">
        <v>17.7</v>
      </c>
      <c r="D7" s="75" t="n">
        <v>13.6</v>
      </c>
      <c r="E7" s="75" t="n">
        <v>8</v>
      </c>
      <c r="F7" s="78" t="n">
        <f aca="false">IF(A7="","",C7*D7/10000)</f>
        <v>0.024072</v>
      </c>
      <c r="G7" s="78" t="n">
        <f aca="false">IF(A7="","",C7*D7*E7/1000000)</f>
        <v>0.00192576</v>
      </c>
      <c r="H7" s="69" t="n">
        <v>177</v>
      </c>
      <c r="I7" s="69" t="n">
        <v>136</v>
      </c>
      <c r="J7" s="69" t="n">
        <v>1</v>
      </c>
      <c r="K7" s="12" t="n">
        <f aca="false">IF(OR(A7="",N(H7)&lt;=0,N(I7)&lt;=0),"",MAX(INT(INDEX(Parameter!$F$5:$F$7,Parameter!$M$22)/H7)*INT(INDEX(Parameter!$G$5:$G$7,Parameter!$M$22)/I7),INT(INDEX(Parameter!$F$5:$F$7,Parameter!$M$22)/I7)*INT(INDEX(Parameter!$G$5:$G$7,Parameter!$M$22)/H7))*MAX(1,N(J7)))</f>
        <v>132</v>
      </c>
      <c r="L7" s="69"/>
      <c r="M7" s="17" t="n">
        <f aca="false">IF(A7="","",IF(N(L7)&gt;0,L7,N(K7)))</f>
        <v>132</v>
      </c>
    </row>
    <row r="8" customFormat="false" ht="15" hidden="false" customHeight="false" outlineLevel="0" collapsed="false">
      <c r="A8" s="68" t="s">
        <v>476</v>
      </c>
      <c r="B8" s="68" t="s">
        <v>3123</v>
      </c>
      <c r="C8" s="75" t="n">
        <v>35.8</v>
      </c>
      <c r="D8" s="75" t="n">
        <v>13.6</v>
      </c>
      <c r="E8" s="75" t="n">
        <v>8</v>
      </c>
      <c r="F8" s="78" t="n">
        <f aca="false">IF(A8="","",C8*D8/10000)</f>
        <v>0.048688</v>
      </c>
      <c r="G8" s="78" t="n">
        <f aca="false">IF(A8="","",C8*D8*E8/1000000)</f>
        <v>0.00389504</v>
      </c>
      <c r="H8" s="69" t="n">
        <v>358</v>
      </c>
      <c r="I8" s="69" t="n">
        <v>136</v>
      </c>
      <c r="J8" s="69" t="n">
        <v>1</v>
      </c>
      <c r="K8" s="12" t="n">
        <f aca="false">IF(OR(A8="",N(H8)&lt;=0,N(I8)&lt;=0),"",MAX(INT(INDEX(Parameter!$F$5:$F$7,Parameter!$M$22)/H8)*INT(INDEX(Parameter!$G$5:$G$7,Parameter!$M$22)/I8),INT(INDEX(Parameter!$F$5:$F$7,Parameter!$M$22)/I8)*INT(INDEX(Parameter!$G$5:$G$7,Parameter!$M$22)/H8))*MAX(1,N(J8)))</f>
        <v>66</v>
      </c>
      <c r="L8" s="69"/>
      <c r="M8" s="17" t="n">
        <f aca="false">IF(A8="","",IF(N(L8)&gt;0,L8,N(K8)))</f>
        <v>66</v>
      </c>
    </row>
    <row r="9" customFormat="false" ht="15" hidden="false" customHeight="false" outlineLevel="0" collapsed="false">
      <c r="A9" s="68" t="s">
        <v>328</v>
      </c>
      <c r="B9" s="68" t="s">
        <v>3124</v>
      </c>
      <c r="C9" s="75" t="n">
        <v>27</v>
      </c>
      <c r="D9" s="75" t="n">
        <v>17</v>
      </c>
      <c r="E9" s="75" t="n">
        <v>11</v>
      </c>
      <c r="F9" s="78" t="n">
        <f aca="false">IF(A9="","",C9*D9/10000)</f>
        <v>0.0459</v>
      </c>
      <c r="G9" s="78" t="n">
        <f aca="false">IF(A9="","",C9*D9*E9/1000000)</f>
        <v>0.005049</v>
      </c>
      <c r="H9" s="69" t="n">
        <v>300</v>
      </c>
      <c r="I9" s="69" t="n">
        <v>200</v>
      </c>
      <c r="J9" s="69" t="n">
        <v>1</v>
      </c>
      <c r="K9" s="12" t="n">
        <f aca="false">IF(OR(A9="",N(H9)&lt;=0,N(I9)&lt;=0),"",MAX(INT(INDEX(Parameter!$F$5:$F$7,Parameter!$M$22)/H9)*INT(INDEX(Parameter!$G$5:$G$7,Parameter!$M$22)/I9),INT(INDEX(Parameter!$F$5:$F$7,Parameter!$M$22)/I9)*INT(INDEX(Parameter!$G$5:$G$7,Parameter!$M$22)/H9))*MAX(1,N(J9)))</f>
        <v>52</v>
      </c>
      <c r="L9" s="69"/>
      <c r="M9" s="17" t="n">
        <f aca="false">IF(A9="","",IF(N(L9)&gt;0,L9,N(K9)))</f>
        <v>52</v>
      </c>
    </row>
    <row r="10" customFormat="false" ht="15" hidden="false" customHeight="false" outlineLevel="0" collapsed="false">
      <c r="A10" s="68" t="s">
        <v>302</v>
      </c>
      <c r="B10" s="68" t="s">
        <v>3125</v>
      </c>
      <c r="C10" s="75" t="n">
        <v>37</v>
      </c>
      <c r="D10" s="75" t="n">
        <v>27</v>
      </c>
      <c r="E10" s="75" t="n">
        <v>11</v>
      </c>
      <c r="F10" s="78" t="n">
        <f aca="false">IF(A10="","",C10*D10/10000)</f>
        <v>0.0999</v>
      </c>
      <c r="G10" s="78" t="n">
        <f aca="false">IF(A10="","",C10*D10*E10/1000000)</f>
        <v>0.010989</v>
      </c>
      <c r="H10" s="69" t="n">
        <v>400</v>
      </c>
      <c r="I10" s="69" t="n">
        <v>300</v>
      </c>
      <c r="J10" s="69" t="n">
        <v>1</v>
      </c>
      <c r="K10" s="12" t="n">
        <f aca="false">IF(OR(A10="",N(H10)&lt;=0,N(I10)&lt;=0),"",MAX(INT(INDEX(Parameter!$F$5:$F$7,Parameter!$M$22)/H10)*INT(INDEX(Parameter!$G$5:$G$7,Parameter!$M$22)/I10),INT(INDEX(Parameter!$F$5:$F$7,Parameter!$M$22)/I10)*INT(INDEX(Parameter!$G$5:$G$7,Parameter!$M$22)/H10))*MAX(1,N(J10)))</f>
        <v>26</v>
      </c>
      <c r="L10" s="69"/>
      <c r="M10" s="17" t="n">
        <f aca="false">IF(A10="","",IF(N(L10)&gt;0,L10,N(K10)))</f>
        <v>26</v>
      </c>
    </row>
    <row r="11" customFormat="false" ht="15" hidden="false" customHeight="false" outlineLevel="0" collapsed="false">
      <c r="A11" s="68" t="s">
        <v>233</v>
      </c>
      <c r="B11" s="68" t="s">
        <v>3126</v>
      </c>
      <c r="C11" s="75" t="n">
        <v>37</v>
      </c>
      <c r="D11" s="75" t="n">
        <v>27</v>
      </c>
      <c r="E11" s="75" t="n">
        <v>21</v>
      </c>
      <c r="F11" s="78" t="n">
        <f aca="false">IF(A11="","",C11*D11/10000)</f>
        <v>0.0999</v>
      </c>
      <c r="G11" s="78" t="n">
        <f aca="false">IF(A11="","",C11*D11*E11/1000000)</f>
        <v>0.020979</v>
      </c>
      <c r="H11" s="69" t="n">
        <v>400</v>
      </c>
      <c r="I11" s="69" t="n">
        <v>300</v>
      </c>
      <c r="J11" s="69" t="n">
        <v>1</v>
      </c>
      <c r="K11" s="12" t="n">
        <f aca="false">IF(OR(A11="",N(H11)&lt;=0,N(I11)&lt;=0),"",MAX(INT(INDEX(Parameter!$F$5:$F$7,Parameter!$M$22)/H11)*INT(INDEX(Parameter!$G$5:$G$7,Parameter!$M$22)/I11),INT(INDEX(Parameter!$F$5:$F$7,Parameter!$M$22)/I11)*INT(INDEX(Parameter!$G$5:$G$7,Parameter!$M$22)/H11))*MAX(1,N(J11)))</f>
        <v>26</v>
      </c>
      <c r="L11" s="69"/>
      <c r="M11" s="17" t="n">
        <f aca="false">IF(A11="","",IF(N(L11)&gt;0,L11,N(K11)))</f>
        <v>26</v>
      </c>
    </row>
    <row r="12" customFormat="false" ht="15" hidden="false" customHeight="false" outlineLevel="0" collapsed="false">
      <c r="A12" s="68" t="s">
        <v>186</v>
      </c>
      <c r="B12" s="68" t="s">
        <v>3127</v>
      </c>
      <c r="C12" s="75" t="n">
        <v>57</v>
      </c>
      <c r="D12" s="75" t="n">
        <v>37</v>
      </c>
      <c r="E12" s="75" t="n">
        <v>11</v>
      </c>
      <c r="F12" s="78" t="n">
        <f aca="false">IF(A12="","",C12*D12/10000)</f>
        <v>0.2109</v>
      </c>
      <c r="G12" s="78" t="n">
        <f aca="false">IF(A12="","",C12*D12*E12/1000000)</f>
        <v>0.023199</v>
      </c>
      <c r="H12" s="69" t="n">
        <v>600</v>
      </c>
      <c r="I12" s="69" t="n">
        <v>400</v>
      </c>
      <c r="J12" s="69" t="n">
        <v>1</v>
      </c>
      <c r="K12" s="12" t="n">
        <f aca="false">IF(OR(A12="",N(H12)&lt;=0,N(I12)&lt;=0),"",MAX(INT(INDEX(Parameter!$F$5:$F$7,Parameter!$M$22)/H12)*INT(INDEX(Parameter!$G$5:$G$7,Parameter!$M$22)/I12),INT(INDEX(Parameter!$F$5:$F$7,Parameter!$M$22)/I12)*INT(INDEX(Parameter!$G$5:$G$7,Parameter!$M$22)/H12))*MAX(1,N(J12)))</f>
        <v>12</v>
      </c>
      <c r="L12" s="69"/>
      <c r="M12" s="17" t="n">
        <f aca="false">IF(A12="","",IF(N(L12)&gt;0,L12,N(K12)))</f>
        <v>12</v>
      </c>
    </row>
    <row r="13" customFormat="false" ht="15" hidden="false" customHeight="false" outlineLevel="0" collapsed="false">
      <c r="A13" s="68" t="s">
        <v>293</v>
      </c>
      <c r="B13" s="68" t="s">
        <v>3128</v>
      </c>
      <c r="C13" s="75" t="n">
        <v>57</v>
      </c>
      <c r="D13" s="75" t="n">
        <v>37</v>
      </c>
      <c r="E13" s="75" t="n">
        <v>21</v>
      </c>
      <c r="F13" s="78" t="n">
        <f aca="false">IF(A13="","",C13*D13/10000)</f>
        <v>0.2109</v>
      </c>
      <c r="G13" s="78" t="n">
        <f aca="false">IF(A13="","",C13*D13*E13/1000000)</f>
        <v>0.044289</v>
      </c>
      <c r="H13" s="69" t="n">
        <v>600</v>
      </c>
      <c r="I13" s="69" t="n">
        <v>400</v>
      </c>
      <c r="J13" s="69" t="n">
        <v>1</v>
      </c>
      <c r="K13" s="12" t="n">
        <f aca="false">IF(OR(A13="",N(H13)&lt;=0,N(I13)&lt;=0),"",MAX(INT(INDEX(Parameter!$F$5:$F$7,Parameter!$M$22)/H13)*INT(INDEX(Parameter!$G$5:$G$7,Parameter!$M$22)/I13),INT(INDEX(Parameter!$F$5:$F$7,Parameter!$M$22)/I13)*INT(INDEX(Parameter!$G$5:$G$7,Parameter!$M$22)/H13))*MAX(1,N(J13)))</f>
        <v>12</v>
      </c>
      <c r="L13" s="69"/>
      <c r="M13" s="17" t="n">
        <f aca="false">IF(A13="","",IF(N(L13)&gt;0,L13,N(K13)))</f>
        <v>12</v>
      </c>
    </row>
    <row r="14" customFormat="false" ht="15" hidden="false" customHeight="false" outlineLevel="0" collapsed="false">
      <c r="A14" s="68" t="s">
        <v>226</v>
      </c>
      <c r="B14" s="68" t="s">
        <v>3129</v>
      </c>
      <c r="C14" s="75" t="n">
        <v>57</v>
      </c>
      <c r="D14" s="75" t="n">
        <v>37</v>
      </c>
      <c r="E14" s="75" t="n">
        <v>31</v>
      </c>
      <c r="F14" s="78" t="n">
        <f aca="false">IF(A14="","",C14*D14/10000)</f>
        <v>0.2109</v>
      </c>
      <c r="G14" s="78" t="n">
        <f aca="false">IF(A14="","",C14*D14*E14/1000000)</f>
        <v>0.065379</v>
      </c>
      <c r="H14" s="69" t="n">
        <v>600</v>
      </c>
      <c r="I14" s="69" t="n">
        <v>400</v>
      </c>
      <c r="J14" s="69" t="n">
        <v>1</v>
      </c>
      <c r="K14" s="12" t="n">
        <f aca="false">IF(OR(A14="",N(H14)&lt;=0,N(I14)&lt;=0),"",MAX(INT(INDEX(Parameter!$F$5:$F$7,Parameter!$M$22)/H14)*INT(INDEX(Parameter!$G$5:$G$7,Parameter!$M$22)/I14),INT(INDEX(Parameter!$F$5:$F$7,Parameter!$M$22)/I14)*INT(INDEX(Parameter!$G$5:$G$7,Parameter!$M$22)/H14))*MAX(1,N(J14)))</f>
        <v>12</v>
      </c>
      <c r="L14" s="69"/>
      <c r="M14" s="17" t="n">
        <f aca="false">IF(A14="","",IF(N(L14)&gt;0,L14,N(K14)))</f>
        <v>12</v>
      </c>
    </row>
    <row r="15" customFormat="false" ht="15" hidden="false" customHeight="false" outlineLevel="0" collapsed="false">
      <c r="A15" s="68" t="s">
        <v>174</v>
      </c>
      <c r="B15" s="68" t="s">
        <v>3130</v>
      </c>
      <c r="C15" s="75" t="n">
        <v>80</v>
      </c>
      <c r="D15" s="75" t="n">
        <v>60</v>
      </c>
      <c r="E15" s="75" t="n">
        <v>20</v>
      </c>
      <c r="F15" s="78" t="n">
        <f aca="false">IF(A15="","",C15*D15/10000)</f>
        <v>0.48</v>
      </c>
      <c r="G15" s="78" t="n">
        <f aca="false">IF(A15="","",C15*D15*E15/1000000)</f>
        <v>0.096</v>
      </c>
      <c r="H15" s="69" t="n">
        <v>800</v>
      </c>
      <c r="I15" s="69" t="n">
        <v>600</v>
      </c>
      <c r="J15" s="69" t="n">
        <v>1</v>
      </c>
      <c r="K15" s="12" t="n">
        <f aca="false">IF(OR(A15="",N(H15)&lt;=0,N(I15)&lt;=0),"",MAX(INT(INDEX(Parameter!$F$5:$F$7,Parameter!$M$22)/H15)*INT(INDEX(Parameter!$G$5:$G$7,Parameter!$M$22)/I15),INT(INDEX(Parameter!$F$5:$F$7,Parameter!$M$22)/I15)*INT(INDEX(Parameter!$G$5:$G$7,Parameter!$M$22)/H15))*MAX(1,N(J15)))</f>
        <v>6</v>
      </c>
      <c r="L15" s="69"/>
      <c r="M15" s="17" t="n">
        <f aca="false">IF(A15="","",IF(N(L15)&gt;0,L15,N(K15)))</f>
        <v>6</v>
      </c>
    </row>
    <row r="16" customFormat="false" ht="15" hidden="false" customHeight="false" outlineLevel="0" collapsed="false">
      <c r="A16" s="68" t="s">
        <v>259</v>
      </c>
      <c r="B16" s="68" t="s">
        <v>3131</v>
      </c>
      <c r="C16" s="75" t="n">
        <v>80</v>
      </c>
      <c r="D16" s="75" t="n">
        <v>60</v>
      </c>
      <c r="E16" s="75" t="n">
        <v>40</v>
      </c>
      <c r="F16" s="78" t="n">
        <f aca="false">IF(A16="","",C16*D16/10000)</f>
        <v>0.48</v>
      </c>
      <c r="G16" s="78" t="n">
        <f aca="false">IF(A16="","",C16*D16*E16/1000000)</f>
        <v>0.192</v>
      </c>
      <c r="H16" s="69" t="n">
        <v>800</v>
      </c>
      <c r="I16" s="69" t="n">
        <v>600</v>
      </c>
      <c r="J16" s="69" t="n">
        <v>1</v>
      </c>
      <c r="K16" s="12" t="n">
        <f aca="false">IF(OR(A16="",N(H16)&lt;=0,N(I16)&lt;=0),"",MAX(INT(INDEX(Parameter!$F$5:$F$7,Parameter!$M$22)/H16)*INT(INDEX(Parameter!$G$5:$G$7,Parameter!$M$22)/I16),INT(INDEX(Parameter!$F$5:$F$7,Parameter!$M$22)/I16)*INT(INDEX(Parameter!$G$5:$G$7,Parameter!$M$22)/H16))*MAX(1,N(J16)))</f>
        <v>6</v>
      </c>
      <c r="L16" s="69"/>
      <c r="M16" s="17" t="n">
        <f aca="false">IF(A16="","",IF(N(L16)&gt;0,L16,N(K16)))</f>
        <v>6</v>
      </c>
    </row>
    <row r="17" customFormat="false" ht="15" hidden="false" customHeight="false" outlineLevel="0" collapsed="false">
      <c r="A17" s="68" t="s">
        <v>3092</v>
      </c>
      <c r="B17" s="68" t="s">
        <v>3132</v>
      </c>
      <c r="C17" s="75" t="n">
        <v>80</v>
      </c>
      <c r="D17" s="75" t="n">
        <v>60</v>
      </c>
      <c r="E17" s="75" t="n">
        <v>60</v>
      </c>
      <c r="F17" s="78" t="n">
        <f aca="false">IF(A17="","",C17*D17/10000)</f>
        <v>0.48</v>
      </c>
      <c r="G17" s="78" t="n">
        <f aca="false">IF(A17="","",C17*D17*E17/1000000)</f>
        <v>0.288</v>
      </c>
      <c r="H17" s="69" t="n">
        <v>800</v>
      </c>
      <c r="I17" s="69" t="n">
        <v>600</v>
      </c>
      <c r="J17" s="69" t="n">
        <v>1</v>
      </c>
      <c r="K17" s="12" t="n">
        <f aca="false">IF(OR(A17="",N(H17)&lt;=0,N(I17)&lt;=0),"",MAX(INT(INDEX(Parameter!$F$5:$F$7,Parameter!$M$22)/H17)*INT(INDEX(Parameter!$G$5:$G$7,Parameter!$M$22)/I17),INT(INDEX(Parameter!$F$5:$F$7,Parameter!$M$22)/I17)*INT(INDEX(Parameter!$G$5:$G$7,Parameter!$M$22)/H17))*MAX(1,N(J17)))</f>
        <v>6</v>
      </c>
      <c r="L17" s="69"/>
      <c r="M17" s="17" t="n">
        <f aca="false">IF(A17="","",IF(N(L17)&gt;0,L17,N(K17)))</f>
        <v>6</v>
      </c>
    </row>
    <row r="18" customFormat="false" ht="15" hidden="false" customHeight="false" outlineLevel="0" collapsed="false">
      <c r="A18" s="68" t="s">
        <v>223</v>
      </c>
      <c r="B18" s="68" t="s">
        <v>3133</v>
      </c>
      <c r="C18" s="75" t="n">
        <v>120</v>
      </c>
      <c r="D18" s="75" t="n">
        <v>80</v>
      </c>
      <c r="E18" s="75" t="n">
        <v>20</v>
      </c>
      <c r="F18" s="78" t="n">
        <f aca="false">IF(A18="","",C18*D18/10000)</f>
        <v>0.96</v>
      </c>
      <c r="G18" s="78" t="n">
        <f aca="false">IF(A18="","",C18*D18*E18/1000000)</f>
        <v>0.192</v>
      </c>
      <c r="H18" s="69" t="n">
        <v>1200</v>
      </c>
      <c r="I18" s="69" t="n">
        <v>800</v>
      </c>
      <c r="J18" s="69" t="n">
        <v>1</v>
      </c>
      <c r="K18" s="12" t="n">
        <f aca="false">IF(OR(A18="",N(H18)&lt;=0,N(I18)&lt;=0),"",MAX(INT(INDEX(Parameter!$F$5:$F$7,Parameter!$M$22)/H18)*INT(INDEX(Parameter!$G$5:$G$7,Parameter!$M$22)/I18),INT(INDEX(Parameter!$F$5:$F$7,Parameter!$M$22)/I18)*INT(INDEX(Parameter!$G$5:$G$7,Parameter!$M$22)/H18))*MAX(1,N(J18)))</f>
        <v>3</v>
      </c>
      <c r="L18" s="69"/>
      <c r="M18" s="17" t="n">
        <f aca="false">IF(A18="","",IF(N(L18)&gt;0,L18,N(K18)))</f>
        <v>3</v>
      </c>
    </row>
    <row r="19" customFormat="false" ht="15" hidden="false" customHeight="false" outlineLevel="0" collapsed="false">
      <c r="A19" s="68" t="s">
        <v>348</v>
      </c>
      <c r="B19" s="68" t="s">
        <v>3134</v>
      </c>
      <c r="C19" s="75" t="n">
        <v>120</v>
      </c>
      <c r="D19" s="75" t="n">
        <v>80</v>
      </c>
      <c r="E19" s="75" t="n">
        <v>40</v>
      </c>
      <c r="F19" s="78" t="n">
        <f aca="false">IF(A19="","",C19*D19/10000)</f>
        <v>0.96</v>
      </c>
      <c r="G19" s="78" t="n">
        <f aca="false">IF(A19="","",C19*D19*E19/1000000)</f>
        <v>0.384</v>
      </c>
      <c r="H19" s="69" t="n">
        <v>1200</v>
      </c>
      <c r="I19" s="69" t="n">
        <v>800</v>
      </c>
      <c r="J19" s="69" t="n">
        <v>1</v>
      </c>
      <c r="K19" s="12" t="n">
        <f aca="false">IF(OR(A19="",N(H19)&lt;=0,N(I19)&lt;=0),"",MAX(INT(INDEX(Parameter!$F$5:$F$7,Parameter!$M$22)/H19)*INT(INDEX(Parameter!$G$5:$G$7,Parameter!$M$22)/I19),INT(INDEX(Parameter!$F$5:$F$7,Parameter!$M$22)/I19)*INT(INDEX(Parameter!$G$5:$G$7,Parameter!$M$22)/H19))*MAX(1,N(J19)))</f>
        <v>3</v>
      </c>
      <c r="L19" s="69"/>
      <c r="M19" s="17" t="n">
        <f aca="false">IF(A19="","",IF(N(L19)&gt;0,L19,N(K19)))</f>
        <v>3</v>
      </c>
    </row>
    <row r="20" customFormat="false" ht="15" hidden="false" customHeight="false" outlineLevel="0" collapsed="false">
      <c r="A20" s="68" t="s">
        <v>3094</v>
      </c>
      <c r="B20" s="68" t="s">
        <v>3135</v>
      </c>
      <c r="C20" s="75" t="n">
        <v>120</v>
      </c>
      <c r="D20" s="75" t="n">
        <v>80</v>
      </c>
      <c r="E20" s="75" t="n">
        <v>60</v>
      </c>
      <c r="F20" s="78" t="n">
        <f aca="false">IF(A20="","",C20*D20/10000)</f>
        <v>0.96</v>
      </c>
      <c r="G20" s="78" t="n">
        <f aca="false">IF(A20="","",C20*D20*E20/1000000)</f>
        <v>0.576</v>
      </c>
      <c r="H20" s="69" t="n">
        <v>1200</v>
      </c>
      <c r="I20" s="69" t="n">
        <v>800</v>
      </c>
      <c r="J20" s="69" t="n">
        <v>1</v>
      </c>
      <c r="K20" s="12" t="n">
        <f aca="false">IF(OR(A20="",N(H20)&lt;=0,N(I20)&lt;=0),"",MAX(INT(INDEX(Parameter!$F$5:$F$7,Parameter!$M$22)/H20)*INT(INDEX(Parameter!$G$5:$G$7,Parameter!$M$22)/I20),INT(INDEX(Parameter!$F$5:$F$7,Parameter!$M$22)/I20)*INT(INDEX(Parameter!$G$5:$G$7,Parameter!$M$22)/H20))*MAX(1,N(J20)))</f>
        <v>3</v>
      </c>
      <c r="L20" s="69"/>
      <c r="M20" s="17" t="n">
        <f aca="false">IF(A20="","",IF(N(L20)&gt;0,L20,N(K20)))</f>
        <v>3</v>
      </c>
    </row>
    <row r="21" customFormat="false" ht="15" hidden="false" customHeight="false" outlineLevel="0" collapsed="false">
      <c r="A21" s="68" t="s">
        <v>3095</v>
      </c>
      <c r="B21" s="68" t="s">
        <v>3136</v>
      </c>
      <c r="C21" s="75" t="n">
        <v>120</v>
      </c>
      <c r="D21" s="75" t="n">
        <v>80</v>
      </c>
      <c r="E21" s="75" t="n">
        <v>20</v>
      </c>
      <c r="F21" s="78" t="n">
        <f aca="false">IF(A21="","",C21*D21/10000)</f>
        <v>0.96</v>
      </c>
      <c r="G21" s="78" t="n">
        <f aca="false">IF(A21="","",C21*D21*E21/1000000)</f>
        <v>0.192</v>
      </c>
      <c r="H21" s="69" t="n">
        <v>1200</v>
      </c>
      <c r="I21" s="69" t="n">
        <v>800</v>
      </c>
      <c r="J21" s="69" t="n">
        <v>1</v>
      </c>
      <c r="K21" s="12" t="n">
        <f aca="false">IF(OR(A21="",N(H21)&lt;=0,N(I21)&lt;=0),"",MAX(INT(INDEX(Parameter!$F$5:$F$7,Parameter!$M$22)/H21)*INT(INDEX(Parameter!$G$5:$G$7,Parameter!$M$22)/I21),INT(INDEX(Parameter!$F$5:$F$7,Parameter!$M$22)/I21)*INT(INDEX(Parameter!$G$5:$G$7,Parameter!$M$22)/H21))*MAX(1,N(J21)))</f>
        <v>3</v>
      </c>
      <c r="L21" s="69"/>
      <c r="M21" s="17" t="n">
        <f aca="false">IF(A21="","",IF(N(L21)&gt;0,L21,N(K21)))</f>
        <v>3</v>
      </c>
    </row>
    <row r="22" customFormat="false" ht="15" hidden="false" customHeight="false" outlineLevel="0" collapsed="false">
      <c r="A22" s="68" t="s">
        <v>3096</v>
      </c>
      <c r="B22" s="68" t="s">
        <v>3137</v>
      </c>
      <c r="C22" s="75" t="n">
        <v>120</v>
      </c>
      <c r="D22" s="75" t="n">
        <v>80</v>
      </c>
      <c r="E22" s="75" t="n">
        <v>40</v>
      </c>
      <c r="F22" s="78" t="n">
        <f aca="false">IF(A22="","",C22*D22/10000)</f>
        <v>0.96</v>
      </c>
      <c r="G22" s="78" t="n">
        <f aca="false">IF(A22="","",C22*D22*E22/1000000)</f>
        <v>0.384</v>
      </c>
      <c r="H22" s="69" t="n">
        <v>1200</v>
      </c>
      <c r="I22" s="69" t="n">
        <v>800</v>
      </c>
      <c r="J22" s="69" t="n">
        <v>1</v>
      </c>
      <c r="K22" s="12" t="n">
        <f aca="false">IF(OR(A22="",N(H22)&lt;=0,N(I22)&lt;=0),"",MAX(INT(INDEX(Parameter!$F$5:$F$7,Parameter!$M$22)/H22)*INT(INDEX(Parameter!$G$5:$G$7,Parameter!$M$22)/I22),INT(INDEX(Parameter!$F$5:$F$7,Parameter!$M$22)/I22)*INT(INDEX(Parameter!$G$5:$G$7,Parameter!$M$22)/H22))*MAX(1,N(J22)))</f>
        <v>3</v>
      </c>
      <c r="L22" s="69"/>
      <c r="M22" s="17" t="n">
        <f aca="false">IF(A22="","",IF(N(L22)&gt;0,L22,N(K22)))</f>
        <v>3</v>
      </c>
    </row>
    <row r="23" customFormat="false" ht="15" hidden="false" customHeight="false" outlineLevel="0" collapsed="false">
      <c r="A23" s="68" t="s">
        <v>3097</v>
      </c>
      <c r="B23" s="68" t="s">
        <v>3138</v>
      </c>
      <c r="C23" s="75" t="n">
        <v>120</v>
      </c>
      <c r="D23" s="75" t="n">
        <v>80</v>
      </c>
      <c r="E23" s="75" t="n">
        <v>80</v>
      </c>
      <c r="F23" s="78" t="n">
        <f aca="false">IF(A23="","",C23*D23/10000)</f>
        <v>0.96</v>
      </c>
      <c r="G23" s="78" t="n">
        <f aca="false">IF(A23="","",C23*D23*E23/1000000)</f>
        <v>0.768</v>
      </c>
      <c r="H23" s="69" t="n">
        <v>1200</v>
      </c>
      <c r="I23" s="69" t="n">
        <v>800</v>
      </c>
      <c r="J23" s="69" t="n">
        <v>1</v>
      </c>
      <c r="K23" s="12" t="n">
        <f aca="false">IF(OR(A23="",N(H23)&lt;=0,N(I23)&lt;=0),"",MAX(INT(INDEX(Parameter!$F$5:$F$7,Parameter!$M$22)/H23)*INT(INDEX(Parameter!$G$5:$G$7,Parameter!$M$22)/I23),INT(INDEX(Parameter!$F$5:$F$7,Parameter!$M$22)/I23)*INT(INDEX(Parameter!$G$5:$G$7,Parameter!$M$22)/H23))*MAX(1,N(J23)))</f>
        <v>3</v>
      </c>
      <c r="L23" s="69"/>
      <c r="M23" s="17" t="n">
        <f aca="false">IF(A23="","",IF(N(L23)&gt;0,L23,N(K23)))</f>
        <v>3</v>
      </c>
    </row>
    <row r="24" customFormat="false" ht="15" hidden="false" customHeight="false" outlineLevel="0" collapsed="false">
      <c r="A24" s="68" t="s">
        <v>3098</v>
      </c>
      <c r="B24" s="68" t="s">
        <v>3139</v>
      </c>
      <c r="C24" s="75" t="n">
        <v>120</v>
      </c>
      <c r="D24" s="75" t="n">
        <v>80</v>
      </c>
      <c r="E24" s="75" t="n">
        <v>120</v>
      </c>
      <c r="F24" s="78" t="n">
        <f aca="false">IF(A24="","",C24*D24/10000)</f>
        <v>0.96</v>
      </c>
      <c r="G24" s="78" t="n">
        <f aca="false">IF(A24="","",C24*D24*E24/1000000)</f>
        <v>1.152</v>
      </c>
      <c r="H24" s="69" t="n">
        <v>1200</v>
      </c>
      <c r="I24" s="69" t="n">
        <v>800</v>
      </c>
      <c r="J24" s="69" t="n">
        <v>1</v>
      </c>
      <c r="K24" s="12" t="n">
        <f aca="false">IF(OR(A24="",N(H24)&lt;=0,N(I24)&lt;=0),"",MAX(INT(INDEX(Parameter!$F$5:$F$7,Parameter!$M$22)/H24)*INT(INDEX(Parameter!$G$5:$G$7,Parameter!$M$22)/I24),INT(INDEX(Parameter!$F$5:$F$7,Parameter!$M$22)/I24)*INT(INDEX(Parameter!$G$5:$G$7,Parameter!$M$22)/H24))*MAX(1,N(J24)))</f>
        <v>3</v>
      </c>
      <c r="L24" s="69"/>
      <c r="M24" s="17" t="n">
        <f aca="false">IF(A24="","",IF(N(L24)&gt;0,L24,N(K24)))</f>
        <v>3</v>
      </c>
    </row>
    <row r="25" customFormat="false" ht="15" hidden="false" customHeight="false" outlineLevel="0" collapsed="false">
      <c r="A25" s="68" t="s">
        <v>3099</v>
      </c>
      <c r="B25" s="68" t="s">
        <v>3140</v>
      </c>
      <c r="C25" s="75" t="n">
        <v>120</v>
      </c>
      <c r="D25" s="75" t="n">
        <v>80</v>
      </c>
      <c r="E25" s="75" t="n">
        <v>160</v>
      </c>
      <c r="F25" s="78" t="n">
        <f aca="false">IF(A25="","",C25*D25/10000)</f>
        <v>0.96</v>
      </c>
      <c r="G25" s="78" t="n">
        <f aca="false">IF(A25="","",C25*D25*E25/1000000)</f>
        <v>1.536</v>
      </c>
      <c r="H25" s="69" t="n">
        <v>1200</v>
      </c>
      <c r="I25" s="69" t="n">
        <v>800</v>
      </c>
      <c r="J25" s="69" t="n">
        <v>1</v>
      </c>
      <c r="K25" s="12" t="n">
        <f aca="false">IF(OR(A25="",N(H25)&lt;=0,N(I25)&lt;=0),"",MAX(INT(INDEX(Parameter!$F$5:$F$7,Parameter!$M$22)/H25)*INT(INDEX(Parameter!$G$5:$G$7,Parameter!$M$22)/I25),INT(INDEX(Parameter!$F$5:$F$7,Parameter!$M$22)/I25)*INT(INDEX(Parameter!$G$5:$G$7,Parameter!$M$22)/H25))*MAX(1,N(J25)))</f>
        <v>3</v>
      </c>
      <c r="L25" s="69"/>
      <c r="M25" s="17" t="n">
        <f aca="false">IF(A25="","",IF(N(L25)&gt;0,L25,N(K25)))</f>
        <v>3</v>
      </c>
    </row>
    <row r="26" customFormat="false" ht="15" hidden="false" customHeight="false" outlineLevel="0" collapsed="false">
      <c r="A26" s="68" t="s">
        <v>3100</v>
      </c>
      <c r="B26" s="68" t="s">
        <v>3141</v>
      </c>
      <c r="C26" s="75" t="n">
        <v>120</v>
      </c>
      <c r="D26" s="75" t="n">
        <v>80</v>
      </c>
      <c r="E26" s="75" t="n">
        <v>200</v>
      </c>
      <c r="F26" s="78" t="n">
        <f aca="false">IF(A26="","",C26*D26/10000)</f>
        <v>0.96</v>
      </c>
      <c r="G26" s="78" t="n">
        <f aca="false">IF(A26="","",C26*D26*E26/1000000)</f>
        <v>1.92</v>
      </c>
      <c r="H26" s="69" t="n">
        <v>1200</v>
      </c>
      <c r="I26" s="69" t="n">
        <v>800</v>
      </c>
      <c r="J26" s="69" t="n">
        <v>1</v>
      </c>
      <c r="K26" s="12" t="n">
        <f aca="false">IF(OR(A26="",N(H26)&lt;=0,N(I26)&lt;=0),"",MAX(INT(INDEX(Parameter!$F$5:$F$7,Parameter!$M$22)/H26)*INT(INDEX(Parameter!$G$5:$G$7,Parameter!$M$22)/I26),INT(INDEX(Parameter!$F$5:$F$7,Parameter!$M$22)/I26)*INT(INDEX(Parameter!$G$5:$G$7,Parameter!$M$22)/H26))*MAX(1,N(J26)))</f>
        <v>3</v>
      </c>
      <c r="L26" s="69"/>
      <c r="M26" s="17" t="n">
        <f aca="false">IF(A26="","",IF(N(L26)&gt;0,L26,N(K26)))</f>
        <v>3</v>
      </c>
    </row>
    <row r="27" customFormat="false" ht="15" hidden="false" customHeight="false" outlineLevel="0" collapsed="false">
      <c r="A27" s="68"/>
      <c r="B27" s="68"/>
      <c r="C27" s="75"/>
      <c r="D27" s="75"/>
      <c r="E27" s="75"/>
      <c r="F27" s="78" t="str">
        <f aca="false">IF(A27="","",C27*D27/10000)</f>
        <v/>
      </c>
      <c r="G27" s="78" t="str">
        <f aca="false">IF(A27="","",C27*D27*E27/1000000)</f>
        <v/>
      </c>
      <c r="H27" s="69"/>
      <c r="I27" s="69"/>
      <c r="J27" s="69"/>
      <c r="K27" s="12" t="str">
        <f aca="false">IF(OR(A27="",N(H27)&lt;=0,N(I27)&lt;=0),"",MAX(INT(INDEX(Parameter!$F$5:$F$7,Parameter!$M$22)/H27)*INT(INDEX(Parameter!$G$5:$G$7,Parameter!$M$22)/I27),INT(INDEX(Parameter!$F$5:$F$7,Parameter!$M$22)/I27)*INT(INDEX(Parameter!$G$5:$G$7,Parameter!$M$22)/H27))*MAX(1,N(J27)))</f>
        <v/>
      </c>
      <c r="L27" s="69"/>
      <c r="M27" s="17" t="str">
        <f aca="false">IF(A27="","",IF(N(L27)&gt;0,L27,N(K27)))</f>
        <v/>
      </c>
    </row>
    <row r="28" customFormat="false" ht="15" hidden="false" customHeight="false" outlineLevel="0" collapsed="false">
      <c r="A28" s="68"/>
      <c r="B28" s="68"/>
      <c r="C28" s="75"/>
      <c r="D28" s="75"/>
      <c r="E28" s="75"/>
      <c r="F28" s="78" t="str">
        <f aca="false">IF(A28="","",C28*D28/10000)</f>
        <v/>
      </c>
      <c r="G28" s="78" t="str">
        <f aca="false">IF(A28="","",C28*D28*E28/1000000)</f>
        <v/>
      </c>
      <c r="H28" s="69"/>
      <c r="I28" s="69"/>
      <c r="J28" s="69"/>
      <c r="K28" s="12" t="str">
        <f aca="false">IF(OR(A28="",N(H28)&lt;=0,N(I28)&lt;=0),"",MAX(INT(INDEX(Parameter!$F$5:$F$7,Parameter!$M$22)/H28)*INT(INDEX(Parameter!$G$5:$G$7,Parameter!$M$22)/I28),INT(INDEX(Parameter!$F$5:$F$7,Parameter!$M$22)/I28)*INT(INDEX(Parameter!$G$5:$G$7,Parameter!$M$22)/H28))*MAX(1,N(J28)))</f>
        <v/>
      </c>
      <c r="L28" s="69"/>
      <c r="M28" s="17" t="str">
        <f aca="false">IF(A28="","",IF(N(L28)&gt;0,L28,N(K28)))</f>
        <v/>
      </c>
    </row>
    <row r="29" customFormat="false" ht="15" hidden="false" customHeight="false" outlineLevel="0" collapsed="false">
      <c r="A29" s="68"/>
      <c r="B29" s="68"/>
      <c r="C29" s="75"/>
      <c r="D29" s="75"/>
      <c r="E29" s="75"/>
      <c r="F29" s="78" t="str">
        <f aca="false">IF(A29="","",C29*D29/10000)</f>
        <v/>
      </c>
      <c r="G29" s="78" t="str">
        <f aca="false">IF(A29="","",C29*D29*E29/1000000)</f>
        <v/>
      </c>
      <c r="H29" s="69"/>
      <c r="I29" s="69"/>
      <c r="J29" s="69"/>
      <c r="K29" s="12" t="str">
        <f aca="false">IF(OR(A29="",N(H29)&lt;=0,N(I29)&lt;=0),"",MAX(INT(INDEX(Parameter!$F$5:$F$7,Parameter!$M$22)/H29)*INT(INDEX(Parameter!$G$5:$G$7,Parameter!$M$22)/I29),INT(INDEX(Parameter!$F$5:$F$7,Parameter!$M$22)/I29)*INT(INDEX(Parameter!$G$5:$G$7,Parameter!$M$22)/H29))*MAX(1,N(J29)))</f>
        <v/>
      </c>
      <c r="L29" s="69"/>
      <c r="M29" s="17" t="str">
        <f aca="false">IF(A29="","",IF(N(L29)&gt;0,L29,N(K29)))</f>
        <v/>
      </c>
    </row>
    <row r="30" customFormat="false" ht="15" hidden="false" customHeight="false" outlineLevel="0" collapsed="false">
      <c r="A30" s="68"/>
      <c r="B30" s="68"/>
      <c r="C30" s="75"/>
      <c r="D30" s="75"/>
      <c r="E30" s="75"/>
      <c r="F30" s="78" t="str">
        <f aca="false">IF(A30="","",C30*D30/10000)</f>
        <v/>
      </c>
      <c r="G30" s="78" t="str">
        <f aca="false">IF(A30="","",C30*D30*E30/1000000)</f>
        <v/>
      </c>
      <c r="H30" s="69"/>
      <c r="I30" s="69"/>
      <c r="J30" s="69"/>
      <c r="K30" s="12" t="str">
        <f aca="false">IF(OR(A30="",N(H30)&lt;=0,N(I30)&lt;=0),"",MAX(INT(INDEX(Parameter!$F$5:$F$7,Parameter!$M$22)/H30)*INT(INDEX(Parameter!$G$5:$G$7,Parameter!$M$22)/I30),INT(INDEX(Parameter!$F$5:$F$7,Parameter!$M$22)/I30)*INT(INDEX(Parameter!$G$5:$G$7,Parameter!$M$22)/H30))*MAX(1,N(J30)))</f>
        <v/>
      </c>
      <c r="L30" s="69"/>
      <c r="M30" s="17" t="str">
        <f aca="false">IF(A30="","",IF(N(L30)&gt;0,L30,N(K30)))</f>
        <v/>
      </c>
    </row>
    <row r="31" customFormat="false" ht="15" hidden="false" customHeight="false" outlineLevel="0" collapsed="false">
      <c r="A31" s="68"/>
      <c r="B31" s="68"/>
      <c r="C31" s="75"/>
      <c r="D31" s="75"/>
      <c r="E31" s="75"/>
      <c r="F31" s="78" t="str">
        <f aca="false">IF(A31="","",C31*D31/10000)</f>
        <v/>
      </c>
      <c r="G31" s="78" t="str">
        <f aca="false">IF(A31="","",C31*D31*E31/1000000)</f>
        <v/>
      </c>
      <c r="H31" s="69"/>
      <c r="I31" s="69"/>
      <c r="J31" s="69"/>
      <c r="K31" s="12" t="str">
        <f aca="false">IF(OR(A31="",N(H31)&lt;=0,N(I31)&lt;=0),"",MAX(INT(INDEX(Parameter!$F$5:$F$7,Parameter!$M$22)/H31)*INT(INDEX(Parameter!$G$5:$G$7,Parameter!$M$22)/I31),INT(INDEX(Parameter!$F$5:$F$7,Parameter!$M$22)/I31)*INT(INDEX(Parameter!$G$5:$G$7,Parameter!$M$22)/H31))*MAX(1,N(J31)))</f>
        <v/>
      </c>
      <c r="L31" s="69"/>
      <c r="M31" s="17" t="str">
        <f aca="false">IF(A31="","",IF(N(L31)&gt;0,L31,N(K31)))</f>
        <v/>
      </c>
    </row>
    <row r="32" customFormat="false" ht="15" hidden="false" customHeight="false" outlineLevel="0" collapsed="false">
      <c r="A32" s="68"/>
      <c r="B32" s="68"/>
      <c r="C32" s="75"/>
      <c r="D32" s="75"/>
      <c r="E32" s="75"/>
      <c r="F32" s="78" t="str">
        <f aca="false">IF(A32="","",C32*D32/10000)</f>
        <v/>
      </c>
      <c r="G32" s="78" t="str">
        <f aca="false">IF(A32="","",C32*D32*E32/1000000)</f>
        <v/>
      </c>
      <c r="H32" s="69"/>
      <c r="I32" s="69"/>
      <c r="J32" s="69"/>
      <c r="K32" s="12" t="str">
        <f aca="false">IF(OR(A32="",N(H32)&lt;=0,N(I32)&lt;=0),"",MAX(INT(INDEX(Parameter!$F$5:$F$7,Parameter!$M$22)/H32)*INT(INDEX(Parameter!$G$5:$G$7,Parameter!$M$22)/I32),INT(INDEX(Parameter!$F$5:$F$7,Parameter!$M$22)/I32)*INT(INDEX(Parameter!$G$5:$G$7,Parameter!$M$22)/H32))*MAX(1,N(J32)))</f>
        <v/>
      </c>
      <c r="L32" s="69"/>
      <c r="M32" s="17" t="str">
        <f aca="false">IF(A32="","",IF(N(L32)&gt;0,L32,N(K32)))</f>
        <v/>
      </c>
    </row>
    <row r="33" customFormat="false" ht="15" hidden="false" customHeight="false" outlineLevel="0" collapsed="false">
      <c r="A33" s="68"/>
      <c r="B33" s="68"/>
      <c r="C33" s="75"/>
      <c r="D33" s="75"/>
      <c r="E33" s="75"/>
      <c r="F33" s="78" t="str">
        <f aca="false">IF(A33="","",C33*D33/10000)</f>
        <v/>
      </c>
      <c r="G33" s="78" t="str">
        <f aca="false">IF(A33="","",C33*D33*E33/1000000)</f>
        <v/>
      </c>
      <c r="H33" s="69"/>
      <c r="I33" s="69"/>
      <c r="J33" s="69"/>
      <c r="K33" s="12" t="str">
        <f aca="false">IF(OR(A33="",N(H33)&lt;=0,N(I33)&lt;=0),"",MAX(INT(INDEX(Parameter!$F$5:$F$7,Parameter!$M$22)/H33)*INT(INDEX(Parameter!$G$5:$G$7,Parameter!$M$22)/I33),INT(INDEX(Parameter!$F$5:$F$7,Parameter!$M$22)/I33)*INT(INDEX(Parameter!$G$5:$G$7,Parameter!$M$22)/H33))*MAX(1,N(J33)))</f>
        <v/>
      </c>
      <c r="L33" s="69"/>
      <c r="M33" s="17" t="str">
        <f aca="false">IF(A33="","",IF(N(L33)&gt;0,L33,N(K33)))</f>
        <v/>
      </c>
    </row>
    <row r="34" customFormat="false" ht="15" hidden="false" customHeight="false" outlineLevel="0" collapsed="false">
      <c r="A34" s="68"/>
      <c r="B34" s="68"/>
      <c r="C34" s="75"/>
      <c r="D34" s="75"/>
      <c r="E34" s="75"/>
      <c r="F34" s="78" t="str">
        <f aca="false">IF(A34="","",C34*D34/10000)</f>
        <v/>
      </c>
      <c r="G34" s="78" t="str">
        <f aca="false">IF(A34="","",C34*D34*E34/1000000)</f>
        <v/>
      </c>
      <c r="H34" s="69"/>
      <c r="I34" s="69"/>
      <c r="J34" s="69"/>
      <c r="K34" s="12" t="str">
        <f aca="false">IF(OR(A34="",N(H34)&lt;=0,N(I34)&lt;=0),"",MAX(INT(INDEX(Parameter!$F$5:$F$7,Parameter!$M$22)/H34)*INT(INDEX(Parameter!$G$5:$G$7,Parameter!$M$22)/I34),INT(INDEX(Parameter!$F$5:$F$7,Parameter!$M$22)/I34)*INT(INDEX(Parameter!$G$5:$G$7,Parameter!$M$22)/H34))*MAX(1,N(J34)))</f>
        <v/>
      </c>
      <c r="L34" s="69"/>
      <c r="M34" s="17" t="str">
        <f aca="false">IF(A34="","",IF(N(L34)&gt;0,L34,N(K34)))</f>
        <v/>
      </c>
    </row>
    <row r="35" customFormat="false" ht="15" hidden="false" customHeight="false" outlineLevel="0" collapsed="false">
      <c r="A35" s="68"/>
      <c r="B35" s="68"/>
      <c r="C35" s="75"/>
      <c r="D35" s="75"/>
      <c r="E35" s="75"/>
      <c r="F35" s="78" t="str">
        <f aca="false">IF(A35="","",C35*D35/10000)</f>
        <v/>
      </c>
      <c r="G35" s="78" t="str">
        <f aca="false">IF(A35="","",C35*D35*E35/1000000)</f>
        <v/>
      </c>
      <c r="H35" s="69"/>
      <c r="I35" s="69"/>
      <c r="J35" s="69"/>
      <c r="K35" s="12" t="str">
        <f aca="false">IF(OR(A35="",N(H35)&lt;=0,N(I35)&lt;=0),"",MAX(INT(INDEX(Parameter!$F$5:$F$7,Parameter!$M$22)/H35)*INT(INDEX(Parameter!$G$5:$G$7,Parameter!$M$22)/I35),INT(INDEX(Parameter!$F$5:$F$7,Parameter!$M$22)/I35)*INT(INDEX(Parameter!$G$5:$G$7,Parameter!$M$22)/H35))*MAX(1,N(J35)))</f>
        <v/>
      </c>
      <c r="L35" s="69"/>
      <c r="M35" s="17" t="str">
        <f aca="false">IF(A35="","",IF(N(L35)&gt;0,L35,N(K35)))</f>
        <v/>
      </c>
    </row>
    <row r="36" customFormat="false" ht="15" hidden="false" customHeight="false" outlineLevel="0" collapsed="false">
      <c r="A36" s="68"/>
      <c r="B36" s="68"/>
      <c r="C36" s="75"/>
      <c r="D36" s="75"/>
      <c r="E36" s="75"/>
      <c r="F36" s="78" t="str">
        <f aca="false">IF(A36="","",C36*D36/10000)</f>
        <v/>
      </c>
      <c r="G36" s="78" t="str">
        <f aca="false">IF(A36="","",C36*D36*E36/1000000)</f>
        <v/>
      </c>
      <c r="H36" s="69"/>
      <c r="I36" s="69"/>
      <c r="J36" s="69"/>
      <c r="K36" s="12" t="str">
        <f aca="false">IF(OR(A36="",N(H36)&lt;=0,N(I36)&lt;=0),"",MAX(INT(INDEX(Parameter!$F$5:$F$7,Parameter!$M$22)/H36)*INT(INDEX(Parameter!$G$5:$G$7,Parameter!$M$22)/I36),INT(INDEX(Parameter!$F$5:$F$7,Parameter!$M$22)/I36)*INT(INDEX(Parameter!$G$5:$G$7,Parameter!$M$22)/H36))*MAX(1,N(J36)))</f>
        <v/>
      </c>
      <c r="L36" s="69"/>
      <c r="M36" s="17" t="str">
        <f aca="false">IF(A36="","",IF(N(L36)&gt;0,L36,N(K36)))</f>
        <v/>
      </c>
    </row>
    <row r="37" customFormat="false" ht="15" hidden="false" customHeight="false" outlineLevel="0" collapsed="false">
      <c r="A37" s="68"/>
      <c r="B37" s="68"/>
      <c r="C37" s="75"/>
      <c r="D37" s="75"/>
      <c r="E37" s="75"/>
      <c r="F37" s="78" t="str">
        <f aca="false">IF(A37="","",C37*D37/10000)</f>
        <v/>
      </c>
      <c r="G37" s="78" t="str">
        <f aca="false">IF(A37="","",C37*D37*E37/1000000)</f>
        <v/>
      </c>
      <c r="H37" s="69"/>
      <c r="I37" s="69"/>
      <c r="J37" s="69"/>
      <c r="K37" s="12" t="str">
        <f aca="false">IF(OR(A37="",N(H37)&lt;=0,N(I37)&lt;=0),"",MAX(INT(INDEX(Parameter!$F$5:$F$7,Parameter!$M$22)/H37)*INT(INDEX(Parameter!$G$5:$G$7,Parameter!$M$22)/I37),INT(INDEX(Parameter!$F$5:$F$7,Parameter!$M$22)/I37)*INT(INDEX(Parameter!$G$5:$G$7,Parameter!$M$22)/H37))*MAX(1,N(J37)))</f>
        <v/>
      </c>
      <c r="L37" s="69"/>
      <c r="M37" s="17" t="str">
        <f aca="false">IF(A37="","",IF(N(L37)&gt;0,L37,N(K37)))</f>
        <v/>
      </c>
    </row>
    <row r="38" customFormat="false" ht="15" hidden="false" customHeight="false" outlineLevel="0" collapsed="false">
      <c r="A38" s="68"/>
      <c r="B38" s="68"/>
      <c r="C38" s="75"/>
      <c r="D38" s="75"/>
      <c r="E38" s="75"/>
      <c r="F38" s="78" t="str">
        <f aca="false">IF(A38="","",C38*D38/10000)</f>
        <v/>
      </c>
      <c r="G38" s="78" t="str">
        <f aca="false">IF(A38="","",C38*D38*E38/1000000)</f>
        <v/>
      </c>
      <c r="H38" s="69"/>
      <c r="I38" s="69"/>
      <c r="J38" s="69"/>
      <c r="K38" s="12" t="str">
        <f aca="false">IF(OR(A38="",N(H38)&lt;=0,N(I38)&lt;=0),"",MAX(INT(INDEX(Parameter!$F$5:$F$7,Parameter!$M$22)/H38)*INT(INDEX(Parameter!$G$5:$G$7,Parameter!$M$22)/I38),INT(INDEX(Parameter!$F$5:$F$7,Parameter!$M$22)/I38)*INT(INDEX(Parameter!$G$5:$G$7,Parameter!$M$22)/H38))*MAX(1,N(J38)))</f>
        <v/>
      </c>
      <c r="L38" s="69"/>
      <c r="M38" s="17" t="str">
        <f aca="false">IF(A38="","",IF(N(L38)&gt;0,L38,N(K38)))</f>
        <v/>
      </c>
    </row>
    <row r="39" customFormat="false" ht="15" hidden="false" customHeight="false" outlineLevel="0" collapsed="false">
      <c r="A39" s="68"/>
      <c r="B39" s="68"/>
      <c r="C39" s="75"/>
      <c r="D39" s="75"/>
      <c r="E39" s="75"/>
      <c r="F39" s="78" t="str">
        <f aca="false">IF(A39="","",C39*D39/10000)</f>
        <v/>
      </c>
      <c r="G39" s="78" t="str">
        <f aca="false">IF(A39="","",C39*D39*E39/1000000)</f>
        <v/>
      </c>
      <c r="H39" s="69"/>
      <c r="I39" s="69"/>
      <c r="J39" s="69"/>
      <c r="K39" s="12" t="str">
        <f aca="false">IF(OR(A39="",N(H39)&lt;=0,N(I39)&lt;=0),"",MAX(INT(INDEX(Parameter!$F$5:$F$7,Parameter!$M$22)/H39)*INT(INDEX(Parameter!$G$5:$G$7,Parameter!$M$22)/I39),INT(INDEX(Parameter!$F$5:$F$7,Parameter!$M$22)/I39)*INT(INDEX(Parameter!$G$5:$G$7,Parameter!$M$22)/H39))*MAX(1,N(J39)))</f>
        <v/>
      </c>
      <c r="L39" s="69"/>
      <c r="M39" s="17" t="str">
        <f aca="false">IF(A39="","",IF(N(L39)&gt;0,L39,N(K39)))</f>
        <v/>
      </c>
    </row>
    <row r="40" customFormat="false" ht="15" hidden="false" customHeight="false" outlineLevel="0" collapsed="false">
      <c r="A40" s="68"/>
      <c r="B40" s="68"/>
      <c r="C40" s="75"/>
      <c r="D40" s="75"/>
      <c r="E40" s="75"/>
      <c r="F40" s="78" t="str">
        <f aca="false">IF(A40="","",C40*D40/10000)</f>
        <v/>
      </c>
      <c r="G40" s="78" t="str">
        <f aca="false">IF(A40="","",C40*D40*E40/1000000)</f>
        <v/>
      </c>
      <c r="H40" s="69"/>
      <c r="I40" s="69"/>
      <c r="J40" s="69"/>
      <c r="K40" s="12" t="str">
        <f aca="false">IF(OR(A40="",N(H40)&lt;=0,N(I40)&lt;=0),"",MAX(INT(INDEX(Parameter!$F$5:$F$7,Parameter!$M$22)/H40)*INT(INDEX(Parameter!$G$5:$G$7,Parameter!$M$22)/I40),INT(INDEX(Parameter!$F$5:$F$7,Parameter!$M$22)/I40)*INT(INDEX(Parameter!$G$5:$G$7,Parameter!$M$22)/H40))*MAX(1,N(J40)))</f>
        <v/>
      </c>
      <c r="L40" s="69"/>
      <c r="M40" s="17" t="str">
        <f aca="false">IF(A40="","",IF(N(L40)&gt;0,L40,N(K40)))</f>
        <v/>
      </c>
    </row>
    <row r="41" customFormat="false" ht="15" hidden="false" customHeight="false" outlineLevel="0" collapsed="false">
      <c r="A41" s="68"/>
      <c r="B41" s="68"/>
      <c r="C41" s="75"/>
      <c r="D41" s="75"/>
      <c r="E41" s="75"/>
      <c r="F41" s="78" t="str">
        <f aca="false">IF(A41="","",C41*D41/10000)</f>
        <v/>
      </c>
      <c r="G41" s="78" t="str">
        <f aca="false">IF(A41="","",C41*D41*E41/1000000)</f>
        <v/>
      </c>
      <c r="H41" s="69"/>
      <c r="I41" s="69"/>
      <c r="J41" s="69"/>
      <c r="K41" s="12" t="str">
        <f aca="false">IF(OR(A41="",N(H41)&lt;=0,N(I41)&lt;=0),"",MAX(INT(INDEX(Parameter!$F$5:$F$7,Parameter!$M$22)/H41)*INT(INDEX(Parameter!$G$5:$G$7,Parameter!$M$22)/I41),INT(INDEX(Parameter!$F$5:$F$7,Parameter!$M$22)/I41)*INT(INDEX(Parameter!$G$5:$G$7,Parameter!$M$22)/H41))*MAX(1,N(J41)))</f>
        <v/>
      </c>
      <c r="L41" s="69"/>
      <c r="M41" s="17" t="str">
        <f aca="false">IF(A41="","",IF(N(L41)&gt;0,L41,N(K41)))</f>
        <v/>
      </c>
    </row>
    <row r="42" customFormat="false" ht="15" hidden="false" customHeight="false" outlineLevel="0" collapsed="false">
      <c r="A42" s="68"/>
      <c r="B42" s="68"/>
      <c r="C42" s="75"/>
      <c r="D42" s="75"/>
      <c r="E42" s="75"/>
      <c r="F42" s="78" t="str">
        <f aca="false">IF(A42="","",C42*D42/10000)</f>
        <v/>
      </c>
      <c r="G42" s="78" t="str">
        <f aca="false">IF(A42="","",C42*D42*E42/1000000)</f>
        <v/>
      </c>
      <c r="H42" s="69"/>
      <c r="I42" s="69"/>
      <c r="J42" s="69"/>
      <c r="K42" s="12" t="str">
        <f aca="false">IF(OR(A42="",N(H42)&lt;=0,N(I42)&lt;=0),"",MAX(INT(INDEX(Parameter!$F$5:$F$7,Parameter!$M$22)/H42)*INT(INDEX(Parameter!$G$5:$G$7,Parameter!$M$22)/I42),INT(INDEX(Parameter!$F$5:$F$7,Parameter!$M$22)/I42)*INT(INDEX(Parameter!$G$5:$G$7,Parameter!$M$22)/H42))*MAX(1,N(J42)))</f>
        <v/>
      </c>
      <c r="L42" s="69"/>
      <c r="M42" s="17" t="str">
        <f aca="false">IF(A42="","",IF(N(L42)&gt;0,L42,N(K42)))</f>
        <v/>
      </c>
    </row>
    <row r="43" customFormat="false" ht="15" hidden="false" customHeight="false" outlineLevel="0" collapsed="false">
      <c r="A43" s="68"/>
      <c r="B43" s="68"/>
      <c r="C43" s="75"/>
      <c r="D43" s="75"/>
      <c r="E43" s="75"/>
      <c r="F43" s="78" t="str">
        <f aca="false">IF(A43="","",C43*D43/10000)</f>
        <v/>
      </c>
      <c r="G43" s="78" t="str">
        <f aca="false">IF(A43="","",C43*D43*E43/1000000)</f>
        <v/>
      </c>
      <c r="H43" s="69"/>
      <c r="I43" s="69"/>
      <c r="J43" s="69"/>
      <c r="K43" s="12" t="str">
        <f aca="false">IF(OR(A43="",N(H43)&lt;=0,N(I43)&lt;=0),"",MAX(INT(INDEX(Parameter!$F$5:$F$7,Parameter!$M$22)/H43)*INT(INDEX(Parameter!$G$5:$G$7,Parameter!$M$22)/I43),INT(INDEX(Parameter!$F$5:$F$7,Parameter!$M$22)/I43)*INT(INDEX(Parameter!$G$5:$G$7,Parameter!$M$22)/H43))*MAX(1,N(J43)))</f>
        <v/>
      </c>
      <c r="L43" s="69"/>
      <c r="M43" s="17" t="str">
        <f aca="false">IF(A43="","",IF(N(L43)&gt;0,L43,N(K43)))</f>
        <v/>
      </c>
    </row>
    <row r="44" customFormat="false" ht="15" hidden="false" customHeight="false" outlineLevel="0" collapsed="false">
      <c r="A44" s="68"/>
      <c r="B44" s="68"/>
      <c r="C44" s="75"/>
      <c r="D44" s="75"/>
      <c r="E44" s="75"/>
      <c r="F44" s="78" t="str">
        <f aca="false">IF(A44="","",C44*D44/10000)</f>
        <v/>
      </c>
      <c r="G44" s="78" t="str">
        <f aca="false">IF(A44="","",C44*D44*E44/1000000)</f>
        <v/>
      </c>
      <c r="H44" s="69"/>
      <c r="I44" s="69"/>
      <c r="J44" s="69"/>
      <c r="K44" s="12" t="str">
        <f aca="false">IF(OR(A44="",N(H44)&lt;=0,N(I44)&lt;=0),"",MAX(INT(INDEX(Parameter!$F$5:$F$7,Parameter!$M$22)/H44)*INT(INDEX(Parameter!$G$5:$G$7,Parameter!$M$22)/I44),INT(INDEX(Parameter!$F$5:$F$7,Parameter!$M$22)/I44)*INT(INDEX(Parameter!$G$5:$G$7,Parameter!$M$22)/H44))*MAX(1,N(J44)))</f>
        <v/>
      </c>
      <c r="L44" s="69"/>
      <c r="M44" s="17" t="str">
        <f aca="false">IF(A44="","",IF(N(L44)&gt;0,L44,N(K44)))</f>
        <v/>
      </c>
    </row>
    <row r="45" customFormat="false" ht="15" hidden="false" customHeight="false" outlineLevel="0" collapsed="false">
      <c r="A45" s="68"/>
      <c r="B45" s="68"/>
      <c r="C45" s="75"/>
      <c r="D45" s="75"/>
      <c r="E45" s="75"/>
      <c r="F45" s="78" t="str">
        <f aca="false">IF(A45="","",C45*D45/10000)</f>
        <v/>
      </c>
      <c r="G45" s="78" t="str">
        <f aca="false">IF(A45="","",C45*D45*E45/1000000)</f>
        <v/>
      </c>
      <c r="H45" s="69"/>
      <c r="I45" s="69"/>
      <c r="J45" s="69"/>
      <c r="K45" s="12" t="str">
        <f aca="false">IF(OR(A45="",N(H45)&lt;=0,N(I45)&lt;=0),"",MAX(INT(INDEX(Parameter!$F$5:$F$7,Parameter!$M$22)/H45)*INT(INDEX(Parameter!$G$5:$G$7,Parameter!$M$22)/I45),INT(INDEX(Parameter!$F$5:$F$7,Parameter!$M$22)/I45)*INT(INDEX(Parameter!$G$5:$G$7,Parameter!$M$22)/H45))*MAX(1,N(J45)))</f>
        <v/>
      </c>
      <c r="L45" s="69"/>
      <c r="M45" s="17" t="str">
        <f aca="false">IF(A45="","",IF(N(L45)&gt;0,L45,N(K45)))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9" min="6" style="0" width="12"/>
  </cols>
  <sheetData>
    <row r="1" customFormat="false" ht="17.35" hidden="false" customHeight="false" outlineLevel="0" collapsed="false">
      <c r="A1" s="32" t="s">
        <v>3142</v>
      </c>
    </row>
    <row r="2" customFormat="false" ht="15" hidden="false" customHeight="false" outlineLevel="0" collapsed="false">
      <c r="A2" s="33" t="s">
        <v>3143</v>
      </c>
    </row>
    <row r="4" customFormat="false" ht="30" hidden="false" customHeight="true" outlineLevel="0" collapsed="false">
      <c r="A4" s="53" t="s">
        <v>3020</v>
      </c>
      <c r="B4" s="53" t="s">
        <v>3144</v>
      </c>
      <c r="C4" s="53" t="s">
        <v>78</v>
      </c>
      <c r="D4" s="53" t="s">
        <v>3145</v>
      </c>
      <c r="E4" s="53" t="s">
        <v>3146</v>
      </c>
      <c r="F4" s="53" t="s">
        <v>3147</v>
      </c>
      <c r="G4" s="53" t="s">
        <v>3148</v>
      </c>
      <c r="H4" s="53" t="s">
        <v>3149</v>
      </c>
      <c r="I4" s="53" t="s">
        <v>3150</v>
      </c>
    </row>
    <row r="5" customFormat="false" ht="15" hidden="false" customHeight="false" outlineLevel="0" collapsed="false">
      <c r="A5" s="10" t="n">
        <v>1</v>
      </c>
      <c r="B5" s="10" t="s">
        <v>513</v>
      </c>
      <c r="C5" s="10" t="s">
        <v>514</v>
      </c>
      <c r="D5" s="10" t="n">
        <v>4</v>
      </c>
      <c r="E5" s="10" t="n">
        <v>2</v>
      </c>
      <c r="F5" s="10" t="s">
        <v>173</v>
      </c>
      <c r="G5" s="10" t="n">
        <v>0</v>
      </c>
      <c r="H5" s="10" t="n">
        <v>3</v>
      </c>
      <c r="I5" s="71" t="n">
        <f aca="false">SUMIFS(Artikel!$CH$7:$CH$1843,Artikel!$A$7:$A$1843,B5)</f>
        <v>0.32015065913371</v>
      </c>
    </row>
    <row r="6" customFormat="false" ht="15" hidden="false" customHeight="false" outlineLevel="0" collapsed="false">
      <c r="A6" s="10" t="n">
        <v>1</v>
      </c>
      <c r="B6" s="10" t="s">
        <v>1012</v>
      </c>
      <c r="C6" s="10" t="s">
        <v>1013</v>
      </c>
      <c r="D6" s="10" t="n">
        <v>2</v>
      </c>
      <c r="E6" s="10" t="n">
        <v>0</v>
      </c>
      <c r="F6" s="10" t="s">
        <v>173</v>
      </c>
      <c r="G6" s="10" t="n">
        <v>0</v>
      </c>
      <c r="H6" s="10" t="n">
        <v>2</v>
      </c>
      <c r="I6" s="71" t="n">
        <f aca="false">SUMIFS(Artikel!$CH$7:$CH$1843,Artikel!$A$7:$A$1843,B6)</f>
        <v>0.160075329566855</v>
      </c>
    </row>
    <row r="7" customFormat="false" ht="15" hidden="false" customHeight="false" outlineLevel="0" collapsed="false">
      <c r="A7" s="10" t="n">
        <v>1</v>
      </c>
      <c r="B7" s="10" t="s">
        <v>2391</v>
      </c>
      <c r="C7" s="10" t="s">
        <v>2392</v>
      </c>
      <c r="D7" s="10" t="n">
        <v>3</v>
      </c>
      <c r="E7" s="10" t="n">
        <v>1</v>
      </c>
      <c r="F7" s="10" t="s">
        <v>173</v>
      </c>
      <c r="G7" s="10" t="n">
        <v>-1</v>
      </c>
      <c r="H7" s="10" t="n">
        <v>1</v>
      </c>
      <c r="I7" s="71" t="n">
        <f aca="false">SUMIFS(Artikel!$CH$7:$CH$1843,Artikel!$A$7:$A$1843,B7)</f>
        <v>0.240112994350283</v>
      </c>
    </row>
    <row r="8" customFormat="false" ht="15" hidden="false" customHeight="false" outlineLevel="0" collapsed="false">
      <c r="A8" s="10" t="n">
        <v>1</v>
      </c>
      <c r="B8" s="10" t="s">
        <v>2757</v>
      </c>
      <c r="C8" s="10" t="s">
        <v>367</v>
      </c>
      <c r="D8" s="10" t="n">
        <v>2</v>
      </c>
      <c r="E8" s="10" t="n">
        <v>2</v>
      </c>
      <c r="F8" s="10" t="s">
        <v>3151</v>
      </c>
      <c r="G8" s="10"/>
      <c r="H8" s="10"/>
      <c r="I8" s="71" t="n">
        <f aca="false">SUMIFS(Artikel!$CH$7:$CH$1843,Artikel!$A$7:$A$1843,B8)</f>
        <v>0.160075329566855</v>
      </c>
    </row>
    <row r="9" customFormat="false" ht="15" hidden="false" customHeight="false" outlineLevel="0" collapsed="false">
      <c r="A9" s="10" t="n">
        <v>1</v>
      </c>
      <c r="B9" s="10" t="s">
        <v>469</v>
      </c>
      <c r="C9" s="10" t="s">
        <v>3152</v>
      </c>
      <c r="D9" s="10" t="n">
        <v>2</v>
      </c>
      <c r="E9" s="10" t="n">
        <v>1</v>
      </c>
      <c r="F9" s="10" t="s">
        <v>165</v>
      </c>
      <c r="G9" s="10" t="n">
        <v>0</v>
      </c>
      <c r="H9" s="10" t="n">
        <v>1</v>
      </c>
      <c r="I9" s="71" t="n">
        <f aca="false">SUMIFS(Artikel!$CH$7:$CH$1843,Artikel!$A$7:$A$1843,B9)</f>
        <v>0.160075329566855</v>
      </c>
    </row>
    <row r="10" customFormat="false" ht="15" hidden="false" customHeight="false" outlineLevel="0" collapsed="false">
      <c r="A10" s="10" t="n">
        <v>1</v>
      </c>
      <c r="B10" s="10" t="s">
        <v>366</v>
      </c>
      <c r="C10" s="10" t="s">
        <v>367</v>
      </c>
      <c r="D10" s="10" t="n">
        <v>20</v>
      </c>
      <c r="E10" s="10" t="n">
        <v>10</v>
      </c>
      <c r="F10" s="10" t="s">
        <v>173</v>
      </c>
      <c r="G10" s="10" t="n">
        <v>10</v>
      </c>
      <c r="H10" s="10" t="n">
        <v>20</v>
      </c>
      <c r="I10" s="71" t="n">
        <f aca="false">SUMIFS(Artikel!$CH$7:$CH$1843,Artikel!$A$7:$A$1843,B10)</f>
        <v>1.60075329566855</v>
      </c>
    </row>
    <row r="11" customFormat="false" ht="15" hidden="false" customHeight="false" outlineLevel="0" collapsed="false">
      <c r="A11" s="10" t="n">
        <v>1</v>
      </c>
      <c r="B11" s="10" t="s">
        <v>2560</v>
      </c>
      <c r="C11" s="10" t="s">
        <v>3153</v>
      </c>
      <c r="D11" s="10" t="n">
        <v>11</v>
      </c>
      <c r="E11" s="10" t="n">
        <v>8</v>
      </c>
      <c r="F11" s="10" t="s">
        <v>165</v>
      </c>
      <c r="G11" s="10" t="n">
        <v>-4</v>
      </c>
      <c r="H11" s="10" t="n">
        <v>-4</v>
      </c>
      <c r="I11" s="71" t="n">
        <f aca="false">SUMIFS(Artikel!$CH$7:$CH$1843,Artikel!$A$7:$A$1843,B11)</f>
        <v>0.880414312617702</v>
      </c>
    </row>
    <row r="12" customFormat="false" ht="15" hidden="false" customHeight="false" outlineLevel="0" collapsed="false">
      <c r="A12" s="10" t="n">
        <v>1</v>
      </c>
      <c r="B12" s="10" t="s">
        <v>190</v>
      </c>
      <c r="C12" s="10" t="s">
        <v>3153</v>
      </c>
      <c r="D12" s="10" t="n">
        <v>20</v>
      </c>
      <c r="E12" s="10" t="n">
        <v>5</v>
      </c>
      <c r="F12" s="10" t="s">
        <v>165</v>
      </c>
      <c r="G12" s="10" t="n">
        <v>12</v>
      </c>
      <c r="H12" s="10" t="n">
        <v>15</v>
      </c>
      <c r="I12" s="71" t="n">
        <f aca="false">SUMIFS(Artikel!$CH$7:$CH$1843,Artikel!$A$7:$A$1843,B12)</f>
        <v>1.60075329566855</v>
      </c>
    </row>
    <row r="13" customFormat="false" ht="15" hidden="false" customHeight="false" outlineLevel="0" collapsed="false">
      <c r="A13" s="10" t="n">
        <v>1</v>
      </c>
      <c r="B13" s="10" t="s">
        <v>2423</v>
      </c>
      <c r="C13" s="10" t="s">
        <v>367</v>
      </c>
      <c r="D13" s="10" t="n">
        <v>2</v>
      </c>
      <c r="E13" s="10" t="n">
        <v>1</v>
      </c>
      <c r="F13" s="10" t="s">
        <v>165</v>
      </c>
      <c r="G13" s="10" t="n">
        <v>-2</v>
      </c>
      <c r="H13" s="10" t="n">
        <v>1</v>
      </c>
      <c r="I13" s="71" t="n">
        <f aca="false">SUMIFS(Artikel!$CH$7:$CH$1843,Artikel!$A$7:$A$1843,B13)</f>
        <v>0.160075329566855</v>
      </c>
    </row>
    <row r="14" customFormat="false" ht="15" hidden="false" customHeight="false" outlineLevel="0" collapsed="false">
      <c r="A14" s="10" t="n">
        <v>1</v>
      </c>
      <c r="B14" s="10" t="s">
        <v>2101</v>
      </c>
      <c r="C14" s="10" t="s">
        <v>3154</v>
      </c>
      <c r="D14" s="10" t="n">
        <v>14</v>
      </c>
      <c r="E14" s="10" t="n">
        <v>5</v>
      </c>
      <c r="F14" s="10" t="s">
        <v>173</v>
      </c>
      <c r="G14" s="10" t="n">
        <v>-2</v>
      </c>
      <c r="H14" s="10" t="n">
        <v>7</v>
      </c>
      <c r="I14" s="71" t="n">
        <f aca="false">SUMIFS(Artikel!$CH$7:$CH$1843,Artikel!$A$7:$A$1843,B14)</f>
        <v>1.12052730696798</v>
      </c>
    </row>
    <row r="15" customFormat="false" ht="15" hidden="false" customHeight="false" outlineLevel="0" collapsed="false">
      <c r="A15" s="10" t="n">
        <v>1</v>
      </c>
      <c r="B15" s="10" t="s">
        <v>162</v>
      </c>
      <c r="C15" s="10" t="s">
        <v>3153</v>
      </c>
      <c r="D15" s="10" t="n">
        <v>22</v>
      </c>
      <c r="E15" s="10" t="n">
        <v>18</v>
      </c>
      <c r="F15" s="10" t="s">
        <v>165</v>
      </c>
      <c r="G15" s="10" t="n">
        <v>20</v>
      </c>
      <c r="H15" s="10" t="n">
        <v>27</v>
      </c>
      <c r="I15" s="71" t="n">
        <f aca="false">SUMIFS(Artikel!$CH$7:$CH$1843,Artikel!$A$7:$A$1843,B15)</f>
        <v>1.7608286252354</v>
      </c>
    </row>
    <row r="16" customFormat="false" ht="15" hidden="false" customHeight="false" outlineLevel="0" collapsed="false">
      <c r="A16" s="10" t="n">
        <v>1</v>
      </c>
      <c r="B16" s="10" t="s">
        <v>2170</v>
      </c>
      <c r="C16" s="10" t="s">
        <v>297</v>
      </c>
      <c r="D16" s="10" t="n">
        <v>35</v>
      </c>
      <c r="E16" s="10" t="n">
        <v>16</v>
      </c>
      <c r="F16" s="10" t="s">
        <v>165</v>
      </c>
      <c r="G16" s="10" t="n">
        <v>-3</v>
      </c>
      <c r="H16" s="10" t="n">
        <v>18</v>
      </c>
      <c r="I16" s="71" t="n">
        <f aca="false">SUMIFS(Artikel!$CH$7:$CH$1843,Artikel!$A$7:$A$1843,B16)</f>
        <v>2.80131826741996</v>
      </c>
    </row>
    <row r="17" customFormat="false" ht="15" hidden="false" customHeight="false" outlineLevel="0" collapsed="false">
      <c r="A17" s="10" t="n">
        <v>1</v>
      </c>
      <c r="B17" s="10" t="s">
        <v>2509</v>
      </c>
      <c r="C17" s="10" t="s">
        <v>3153</v>
      </c>
      <c r="D17" s="10" t="n">
        <v>3</v>
      </c>
      <c r="E17" s="10" t="n">
        <v>1</v>
      </c>
      <c r="F17" s="10" t="s">
        <v>165</v>
      </c>
      <c r="G17" s="10" t="n">
        <v>-3</v>
      </c>
      <c r="H17" s="10" t="n">
        <v>1</v>
      </c>
      <c r="I17" s="71" t="n">
        <f aca="false">SUMIFS(Artikel!$CH$7:$CH$1843,Artikel!$A$7:$A$1843,B17)</f>
        <v>0.240112994350283</v>
      </c>
    </row>
    <row r="18" customFormat="false" ht="15" hidden="false" customHeight="false" outlineLevel="0" collapsed="false">
      <c r="A18" s="10" t="n">
        <v>1</v>
      </c>
      <c r="B18" s="10" t="s">
        <v>677</v>
      </c>
      <c r="C18" s="10" t="s">
        <v>367</v>
      </c>
      <c r="D18" s="10" t="n">
        <v>1</v>
      </c>
      <c r="E18" s="10" t="n">
        <v>1</v>
      </c>
      <c r="F18" s="10" t="s">
        <v>173</v>
      </c>
      <c r="G18" s="10" t="n">
        <v>1</v>
      </c>
      <c r="H18" s="10" t="n">
        <v>1</v>
      </c>
      <c r="I18" s="71" t="n">
        <f aca="false">SUMIFS(Artikel!$CH$7:$CH$1843,Artikel!$A$7:$A$1843,B18)</f>
        <v>0.0800376647834275</v>
      </c>
    </row>
    <row r="19" customFormat="false" ht="15" hidden="false" customHeight="false" outlineLevel="0" collapsed="false">
      <c r="A19" s="10" t="n">
        <v>1</v>
      </c>
      <c r="B19" s="10" t="s">
        <v>2379</v>
      </c>
      <c r="C19" s="10" t="s">
        <v>3155</v>
      </c>
      <c r="D19" s="10" t="n">
        <v>18</v>
      </c>
      <c r="E19" s="10" t="n">
        <v>11</v>
      </c>
      <c r="F19" s="10" t="s">
        <v>173</v>
      </c>
      <c r="G19" s="10" t="n">
        <v>-8</v>
      </c>
      <c r="H19" s="10" t="n">
        <v>11</v>
      </c>
      <c r="I19" s="71" t="n">
        <f aca="false">SUMIFS(Artikel!$CH$7:$CH$1843,Artikel!$A$7:$A$1843,B19)</f>
        <v>1.44067796610169</v>
      </c>
    </row>
    <row r="20" customFormat="false" ht="15" hidden="false" customHeight="false" outlineLevel="0" collapsed="false">
      <c r="A20" s="10" t="n">
        <v>1</v>
      </c>
      <c r="B20" s="10" t="s">
        <v>2838</v>
      </c>
      <c r="C20" s="10" t="s">
        <v>3156</v>
      </c>
      <c r="D20" s="10" t="n">
        <v>1</v>
      </c>
      <c r="E20" s="10" t="n">
        <v>1</v>
      </c>
      <c r="F20" s="10" t="s">
        <v>3151</v>
      </c>
      <c r="G20" s="10"/>
      <c r="H20" s="10"/>
      <c r="I20" s="71" t="n">
        <f aca="false">SUMIFS(Artikel!$CH$7:$CH$1843,Artikel!$A$7:$A$1843,B20)</f>
        <v>0.0800376647834275</v>
      </c>
    </row>
    <row r="21" customFormat="false" ht="15" hidden="false" customHeight="false" outlineLevel="0" collapsed="false">
      <c r="A21" s="10" t="n">
        <v>1</v>
      </c>
      <c r="B21" s="10" t="s">
        <v>252</v>
      </c>
      <c r="C21" s="10" t="s">
        <v>253</v>
      </c>
      <c r="D21" s="10" t="n">
        <v>34</v>
      </c>
      <c r="E21" s="10" t="n">
        <v>19</v>
      </c>
      <c r="F21" s="10" t="s">
        <v>165</v>
      </c>
      <c r="G21" s="10" t="n">
        <v>7</v>
      </c>
      <c r="H21" s="10" t="n">
        <v>25</v>
      </c>
      <c r="I21" s="71" t="n">
        <f aca="false">SUMIFS(Artikel!$CH$7:$CH$1843,Artikel!$A$7:$A$1843,B21)</f>
        <v>2.72128060263654</v>
      </c>
    </row>
    <row r="22" customFormat="false" ht="15" hidden="false" customHeight="false" outlineLevel="0" collapsed="false">
      <c r="A22" s="10" t="n">
        <v>1</v>
      </c>
      <c r="B22" s="10" t="s">
        <v>2497</v>
      </c>
      <c r="C22" s="10" t="s">
        <v>253</v>
      </c>
      <c r="D22" s="10" t="n">
        <v>10</v>
      </c>
      <c r="E22" s="10" t="n">
        <v>7</v>
      </c>
      <c r="F22" s="10" t="s">
        <v>173</v>
      </c>
      <c r="G22" s="10" t="n">
        <v>-5</v>
      </c>
      <c r="H22" s="10" t="n">
        <v>7</v>
      </c>
      <c r="I22" s="71" t="n">
        <f aca="false">SUMIFS(Artikel!$CH$7:$CH$1843,Artikel!$A$7:$A$1843,B22)</f>
        <v>0.800376647834275</v>
      </c>
    </row>
    <row r="23" customFormat="false" ht="15" hidden="false" customHeight="false" outlineLevel="0" collapsed="false">
      <c r="A23" s="10" t="n">
        <v>1</v>
      </c>
      <c r="B23" s="10" t="s">
        <v>2371</v>
      </c>
      <c r="C23" s="10" t="s">
        <v>2372</v>
      </c>
      <c r="D23" s="10" t="n">
        <v>15</v>
      </c>
      <c r="E23" s="10" t="n">
        <v>7</v>
      </c>
      <c r="F23" s="10" t="s">
        <v>165</v>
      </c>
      <c r="G23" s="10" t="n">
        <v>0</v>
      </c>
      <c r="H23" s="10" t="n">
        <v>31</v>
      </c>
      <c r="I23" s="71" t="n">
        <f aca="false">SUMIFS(Artikel!$CH$7:$CH$1843,Artikel!$A$7:$A$1843,B23)</f>
        <v>1.20056497175141</v>
      </c>
    </row>
    <row r="24" customFormat="false" ht="15" hidden="false" customHeight="false" outlineLevel="0" collapsed="false">
      <c r="A24" s="10" t="n">
        <v>1</v>
      </c>
      <c r="B24" s="10" t="s">
        <v>209</v>
      </c>
      <c r="C24" s="10" t="s">
        <v>210</v>
      </c>
      <c r="D24" s="10" t="n">
        <v>22</v>
      </c>
      <c r="E24" s="10" t="n">
        <v>16</v>
      </c>
      <c r="F24" s="10" t="s">
        <v>165</v>
      </c>
      <c r="G24" s="10" t="n">
        <v>7</v>
      </c>
      <c r="H24" s="10" t="n">
        <v>10</v>
      </c>
      <c r="I24" s="71" t="n">
        <f aca="false">SUMIFS(Artikel!$CH$7:$CH$1843,Artikel!$A$7:$A$1843,B24)</f>
        <v>1.7608286252354</v>
      </c>
    </row>
    <row r="25" customFormat="false" ht="15" hidden="false" customHeight="false" outlineLevel="0" collapsed="false">
      <c r="A25" s="10" t="n">
        <v>1</v>
      </c>
      <c r="B25" s="10" t="s">
        <v>219</v>
      </c>
      <c r="C25" s="10" t="s">
        <v>220</v>
      </c>
      <c r="D25" s="10" t="n">
        <v>12</v>
      </c>
      <c r="E25" s="10" t="n">
        <v>9</v>
      </c>
      <c r="F25" s="10" t="s">
        <v>165</v>
      </c>
      <c r="G25" s="10" t="n">
        <v>5</v>
      </c>
      <c r="H25" s="10" t="n">
        <v>5</v>
      </c>
      <c r="I25" s="71" t="n">
        <f aca="false">SUMIFS(Artikel!$CH$7:$CH$1843,Artikel!$A$7:$A$1843,B25)</f>
        <v>0.96045197740113</v>
      </c>
    </row>
    <row r="26" customFormat="false" ht="15" hidden="false" customHeight="false" outlineLevel="0" collapsed="false">
      <c r="A26" s="10" t="n">
        <v>1</v>
      </c>
      <c r="B26" s="10" t="s">
        <v>240</v>
      </c>
      <c r="C26" s="10" t="s">
        <v>241</v>
      </c>
      <c r="D26" s="10" t="n">
        <v>10</v>
      </c>
      <c r="E26" s="10" t="n">
        <v>8</v>
      </c>
      <c r="F26" s="10" t="s">
        <v>165</v>
      </c>
      <c r="G26" s="10" t="n">
        <v>3</v>
      </c>
      <c r="H26" s="10" t="n">
        <v>10</v>
      </c>
      <c r="I26" s="71" t="n">
        <f aca="false">SUMIFS(Artikel!$CH$7:$CH$1843,Artikel!$A$7:$A$1843,B26)</f>
        <v>0.800376647834275</v>
      </c>
    </row>
    <row r="27" customFormat="false" ht="15" hidden="false" customHeight="false" outlineLevel="0" collapsed="false">
      <c r="A27" s="10" t="n">
        <v>1</v>
      </c>
      <c r="B27" s="10" t="s">
        <v>2858</v>
      </c>
      <c r="C27" s="10" t="s">
        <v>2384</v>
      </c>
      <c r="D27" s="10" t="n">
        <v>4</v>
      </c>
      <c r="E27" s="10" t="n">
        <v>3</v>
      </c>
      <c r="F27" s="10" t="s">
        <v>3151</v>
      </c>
      <c r="G27" s="10"/>
      <c r="H27" s="10"/>
      <c r="I27" s="71" t="n">
        <f aca="false">SUMIFS(Artikel!$CH$7:$CH$1843,Artikel!$A$7:$A$1843,B27)</f>
        <v>0.32015065913371</v>
      </c>
    </row>
    <row r="28" customFormat="false" ht="15" hidden="false" customHeight="false" outlineLevel="0" collapsed="false">
      <c r="A28" s="10" t="n">
        <v>1</v>
      </c>
      <c r="B28" s="10" t="s">
        <v>648</v>
      </c>
      <c r="C28" s="10" t="s">
        <v>297</v>
      </c>
      <c r="D28" s="10" t="n">
        <v>16</v>
      </c>
      <c r="E28" s="10" t="n">
        <v>9</v>
      </c>
      <c r="F28" s="10" t="s">
        <v>165</v>
      </c>
      <c r="G28" s="10" t="n">
        <v>3</v>
      </c>
      <c r="H28" s="10" t="n">
        <v>9</v>
      </c>
      <c r="I28" s="71" t="n">
        <f aca="false">SUMIFS(Artikel!$CH$7:$CH$1843,Artikel!$A$7:$A$1843,B28)</f>
        <v>1.28060263653484</v>
      </c>
    </row>
    <row r="29" customFormat="false" ht="15" hidden="false" customHeight="false" outlineLevel="0" collapsed="false">
      <c r="A29" s="10" t="n">
        <v>1</v>
      </c>
      <c r="B29" s="10" t="s">
        <v>296</v>
      </c>
      <c r="C29" s="10" t="s">
        <v>297</v>
      </c>
      <c r="D29" s="10" t="n">
        <v>36</v>
      </c>
      <c r="E29" s="10" t="n">
        <v>34</v>
      </c>
      <c r="F29" s="10" t="s">
        <v>165</v>
      </c>
      <c r="G29" s="10" t="n">
        <v>29</v>
      </c>
      <c r="H29" s="10" t="n">
        <v>34</v>
      </c>
      <c r="I29" s="71" t="n">
        <f aca="false">SUMIFS(Artikel!$CH$7:$CH$1843,Artikel!$A$7:$A$1843,B29)</f>
        <v>2.88135593220339</v>
      </c>
    </row>
    <row r="30" customFormat="false" ht="15" hidden="false" customHeight="false" outlineLevel="0" collapsed="false">
      <c r="A30" s="10" t="n">
        <v>1</v>
      </c>
      <c r="B30" s="10" t="s">
        <v>2338</v>
      </c>
      <c r="C30" s="10" t="s">
        <v>253</v>
      </c>
      <c r="D30" s="10" t="n">
        <v>1</v>
      </c>
      <c r="E30" s="10" t="n">
        <v>1</v>
      </c>
      <c r="F30" s="10" t="s">
        <v>173</v>
      </c>
      <c r="G30" s="10" t="n">
        <v>-1</v>
      </c>
      <c r="H30" s="10" t="n">
        <v>1</v>
      </c>
      <c r="I30" s="71" t="n">
        <f aca="false">SUMIFS(Artikel!$CH$7:$CH$1843,Artikel!$A$7:$A$1843,B30)</f>
        <v>0.0800376647834275</v>
      </c>
    </row>
    <row r="31" customFormat="false" ht="15" hidden="false" customHeight="false" outlineLevel="0" collapsed="false">
      <c r="A31" s="10" t="n">
        <v>1</v>
      </c>
      <c r="B31" s="10" t="s">
        <v>2869</v>
      </c>
      <c r="C31" s="10" t="s">
        <v>367</v>
      </c>
      <c r="D31" s="10" t="n">
        <v>1</v>
      </c>
      <c r="E31" s="10" t="n">
        <v>1</v>
      </c>
      <c r="F31" s="10" t="s">
        <v>3151</v>
      </c>
      <c r="G31" s="10"/>
      <c r="H31" s="10"/>
      <c r="I31" s="71" t="n">
        <f aca="false">SUMIFS(Artikel!$CH$7:$CH$1843,Artikel!$A$7:$A$1843,B31)</f>
        <v>0.0800376647834275</v>
      </c>
    </row>
    <row r="32" customFormat="false" ht="15" hidden="false" customHeight="false" outlineLevel="0" collapsed="false">
      <c r="A32" s="10" t="n">
        <v>1</v>
      </c>
      <c r="B32" s="10" t="s">
        <v>651</v>
      </c>
      <c r="C32" s="10" t="s">
        <v>367</v>
      </c>
      <c r="D32" s="10" t="n">
        <v>1</v>
      </c>
      <c r="E32" s="10" t="n">
        <v>1</v>
      </c>
      <c r="F32" s="10" t="s">
        <v>173</v>
      </c>
      <c r="G32" s="10" t="n">
        <v>1</v>
      </c>
      <c r="H32" s="10" t="n">
        <v>1</v>
      </c>
      <c r="I32" s="71" t="n">
        <f aca="false">SUMIFS(Artikel!$CH$7:$CH$1843,Artikel!$A$7:$A$1843,B32)</f>
        <v>0.0800376647834275</v>
      </c>
    </row>
    <row r="33" customFormat="false" ht="15" hidden="false" customHeight="false" outlineLevel="0" collapsed="false">
      <c r="A33" s="10" t="n">
        <v>1</v>
      </c>
      <c r="B33" s="10" t="s">
        <v>2870</v>
      </c>
      <c r="C33" s="10" t="s">
        <v>367</v>
      </c>
      <c r="D33" s="10" t="n">
        <v>1</v>
      </c>
      <c r="E33" s="10" t="n">
        <v>1</v>
      </c>
      <c r="F33" s="10" t="s">
        <v>3151</v>
      </c>
      <c r="G33" s="10"/>
      <c r="H33" s="10"/>
      <c r="I33" s="71" t="n">
        <f aca="false">SUMIFS(Artikel!$CH$7:$CH$1843,Artikel!$A$7:$A$1843,B33)</f>
        <v>0.0800376647834275</v>
      </c>
    </row>
    <row r="34" customFormat="false" ht="15" hidden="false" customHeight="false" outlineLevel="0" collapsed="false">
      <c r="A34" s="10" t="n">
        <v>1</v>
      </c>
      <c r="B34" s="10" t="s">
        <v>2383</v>
      </c>
      <c r="C34" s="10" t="s">
        <v>2384</v>
      </c>
      <c r="D34" s="10" t="n">
        <v>1</v>
      </c>
      <c r="E34" s="10" t="n">
        <v>0</v>
      </c>
      <c r="F34" s="10" t="s">
        <v>165</v>
      </c>
      <c r="G34" s="10" t="n">
        <v>-2</v>
      </c>
      <c r="H34" s="10" t="n">
        <v>0</v>
      </c>
      <c r="I34" s="71" t="n">
        <f aca="false">SUMIFS(Artikel!$CH$7:$CH$1843,Artikel!$A$7:$A$1843,B34)</f>
        <v>0.0800376647834275</v>
      </c>
    </row>
    <row r="35" customFormat="false" ht="15" hidden="false" customHeight="false" outlineLevel="0" collapsed="false">
      <c r="A35" s="10" t="n">
        <v>1</v>
      </c>
      <c r="B35" s="10" t="s">
        <v>2456</v>
      </c>
      <c r="C35" s="10" t="s">
        <v>253</v>
      </c>
      <c r="D35" s="10" t="n">
        <v>6</v>
      </c>
      <c r="E35" s="10" t="n">
        <v>0</v>
      </c>
      <c r="F35" s="10" t="s">
        <v>165</v>
      </c>
      <c r="G35" s="10" t="n">
        <v>-3</v>
      </c>
      <c r="H35" s="10" t="n">
        <v>0</v>
      </c>
      <c r="I35" s="71" t="n">
        <f aca="false">SUMIFS(Artikel!$CH$7:$CH$1843,Artikel!$A$7:$A$1843,B35)</f>
        <v>0.480225988700565</v>
      </c>
    </row>
    <row r="36" customFormat="false" ht="15" hidden="false" customHeight="false" outlineLevel="0" collapsed="false">
      <c r="A36" s="10" t="n">
        <v>1</v>
      </c>
      <c r="B36" s="10" t="s">
        <v>2556</v>
      </c>
      <c r="C36" s="10" t="s">
        <v>2384</v>
      </c>
      <c r="D36" s="10" t="n">
        <v>13</v>
      </c>
      <c r="E36" s="10" t="n">
        <v>10</v>
      </c>
      <c r="F36" s="10" t="s">
        <v>165</v>
      </c>
      <c r="G36" s="10" t="n">
        <v>-24</v>
      </c>
      <c r="H36" s="10" t="n">
        <v>-24</v>
      </c>
      <c r="I36" s="71" t="n">
        <f aca="false">SUMIFS(Artikel!$CH$7:$CH$1843,Artikel!$A$7:$A$1843,B36)</f>
        <v>1.04048964218456</v>
      </c>
    </row>
    <row r="37" customFormat="false" ht="15" hidden="false" customHeight="false" outlineLevel="0" collapsed="false">
      <c r="A37" s="10" t="n">
        <v>1</v>
      </c>
      <c r="B37" s="10" t="s">
        <v>2537</v>
      </c>
      <c r="C37" s="10" t="s">
        <v>2384</v>
      </c>
      <c r="D37" s="10" t="n">
        <v>13</v>
      </c>
      <c r="E37" s="10" t="n">
        <v>6</v>
      </c>
      <c r="F37" s="10" t="s">
        <v>165</v>
      </c>
      <c r="G37" s="10" t="n">
        <v>-3</v>
      </c>
      <c r="H37" s="10" t="n">
        <v>-3</v>
      </c>
      <c r="I37" s="71" t="n">
        <f aca="false">SUMIFS(Artikel!$CH$7:$CH$1843,Artikel!$A$7:$A$1843,B37)</f>
        <v>1.04048964218456</v>
      </c>
    </row>
    <row r="38" customFormat="false" ht="15" hidden="false" customHeight="false" outlineLevel="0" collapsed="false">
      <c r="A38" s="10" t="n">
        <v>1</v>
      </c>
      <c r="B38" s="10" t="s">
        <v>2397</v>
      </c>
      <c r="C38" s="10" t="s">
        <v>206</v>
      </c>
      <c r="D38" s="10" t="n">
        <v>1</v>
      </c>
      <c r="E38" s="10" t="n">
        <v>1</v>
      </c>
      <c r="F38" s="10" t="s">
        <v>173</v>
      </c>
      <c r="G38" s="10" t="n">
        <v>-1</v>
      </c>
      <c r="H38" s="10" t="n">
        <v>9</v>
      </c>
      <c r="I38" s="71" t="n">
        <f aca="false">SUMIFS(Artikel!$CH$7:$CH$1843,Artikel!$A$7:$A$1843,B38)</f>
        <v>0.0800376647834275</v>
      </c>
    </row>
    <row r="39" customFormat="false" ht="15" hidden="false" customHeight="false" outlineLevel="0" collapsed="false">
      <c r="A39" s="10" t="n">
        <v>1</v>
      </c>
      <c r="B39" s="10" t="s">
        <v>205</v>
      </c>
      <c r="C39" s="10" t="s">
        <v>206</v>
      </c>
      <c r="D39" s="10" t="n">
        <v>10</v>
      </c>
      <c r="E39" s="10" t="n">
        <v>0</v>
      </c>
      <c r="F39" s="10" t="s">
        <v>165</v>
      </c>
      <c r="G39" s="10" t="n">
        <v>5</v>
      </c>
      <c r="H39" s="10" t="n">
        <v>11</v>
      </c>
      <c r="I39" s="71" t="n">
        <f aca="false">SUMIFS(Artikel!$CH$7:$CH$1843,Artikel!$A$7:$A$1843,B39)</f>
        <v>0.800376647834275</v>
      </c>
    </row>
    <row r="40" customFormat="false" ht="15" hidden="false" customHeight="false" outlineLevel="0" collapsed="false">
      <c r="A40" s="10" t="n">
        <v>1</v>
      </c>
      <c r="B40" s="10" t="s">
        <v>2385</v>
      </c>
      <c r="C40" s="10" t="s">
        <v>2384</v>
      </c>
      <c r="D40" s="10" t="n">
        <v>10</v>
      </c>
      <c r="E40" s="10" t="n">
        <v>9</v>
      </c>
      <c r="F40" s="10" t="s">
        <v>165</v>
      </c>
      <c r="G40" s="10" t="n">
        <v>-1</v>
      </c>
      <c r="H40" s="10" t="n">
        <v>9</v>
      </c>
      <c r="I40" s="71" t="n">
        <f aca="false">SUMIFS(Artikel!$CH$7:$CH$1843,Artikel!$A$7:$A$1843,B40)</f>
        <v>0.800376647834275</v>
      </c>
    </row>
    <row r="41" customFormat="false" ht="15" hidden="false" customHeight="false" outlineLevel="0" collapsed="false">
      <c r="A41" s="10" t="n">
        <v>1</v>
      </c>
      <c r="B41" s="10" t="s">
        <v>2484</v>
      </c>
      <c r="C41" s="10" t="s">
        <v>2384</v>
      </c>
      <c r="D41" s="10" t="n">
        <v>6</v>
      </c>
      <c r="E41" s="10" t="n">
        <v>6</v>
      </c>
      <c r="F41" s="10" t="s">
        <v>165</v>
      </c>
      <c r="G41" s="10" t="n">
        <v>-2</v>
      </c>
      <c r="H41" s="10" t="n">
        <v>6</v>
      </c>
      <c r="I41" s="71" t="n">
        <f aca="false">SUMIFS(Artikel!$CH$7:$CH$1843,Artikel!$A$7:$A$1843,B41)</f>
        <v>0.480225988700565</v>
      </c>
    </row>
    <row r="42" customFormat="false" ht="15" hidden="false" customHeight="false" outlineLevel="0" collapsed="false">
      <c r="A42" s="10" t="n">
        <v>1</v>
      </c>
      <c r="B42" s="10" t="s">
        <v>3013</v>
      </c>
      <c r="C42" s="10" t="s">
        <v>367</v>
      </c>
      <c r="D42" s="10" t="n">
        <v>2</v>
      </c>
      <c r="E42" s="10" t="n">
        <v>2</v>
      </c>
      <c r="F42" s="10" t="s">
        <v>3151</v>
      </c>
      <c r="G42" s="10"/>
      <c r="H42" s="10"/>
      <c r="I42" s="71" t="n">
        <f aca="false">SUMIFS(Artikel!$CH$7:$CH$1843,Artikel!$A$7:$A$1843,B42)</f>
        <v>0.160075329566855</v>
      </c>
    </row>
    <row r="43" customFormat="false" ht="15" hidden="false" customHeight="false" outlineLevel="0" collapsed="false">
      <c r="A43" s="10" t="n">
        <v>1</v>
      </c>
      <c r="B43" s="10" t="s">
        <v>461</v>
      </c>
      <c r="C43" s="10" t="s">
        <v>3154</v>
      </c>
      <c r="D43" s="10" t="n">
        <v>8</v>
      </c>
      <c r="E43" s="10" t="n">
        <v>8</v>
      </c>
      <c r="F43" s="10" t="s">
        <v>165</v>
      </c>
      <c r="G43" s="10" t="n">
        <v>8</v>
      </c>
      <c r="H43" s="10" t="n">
        <v>8</v>
      </c>
      <c r="I43" s="71" t="n">
        <f aca="false">SUMIFS(Artikel!$CH$7:$CH$1843,Artikel!$A$7:$A$1843,B43)</f>
        <v>0.64030131826742</v>
      </c>
    </row>
    <row r="44" customFormat="false" ht="15" hidden="false" customHeight="false" outlineLevel="0" collapsed="false">
      <c r="A44" s="10" t="n">
        <v>1</v>
      </c>
      <c r="B44" s="10" t="s">
        <v>2546</v>
      </c>
      <c r="C44" s="10" t="s">
        <v>2547</v>
      </c>
      <c r="D44" s="10" t="n">
        <v>29</v>
      </c>
      <c r="E44" s="10" t="n">
        <v>9</v>
      </c>
      <c r="F44" s="10" t="s">
        <v>165</v>
      </c>
      <c r="G44" s="10" t="n">
        <v>-8</v>
      </c>
      <c r="H44" s="10" t="n">
        <v>-8</v>
      </c>
      <c r="I44" s="71" t="n">
        <f aca="false">SUMIFS(Artikel!$CH$7:$CH$1843,Artikel!$A$7:$A$1843,B44)</f>
        <v>2.3210922787194</v>
      </c>
    </row>
    <row r="45" customFormat="false" ht="15" hidden="false" customHeight="false" outlineLevel="0" collapsed="false">
      <c r="A45" s="10" t="n">
        <v>1</v>
      </c>
      <c r="B45" s="10" t="s">
        <v>2526</v>
      </c>
      <c r="C45" s="10" t="s">
        <v>2527</v>
      </c>
      <c r="D45" s="10" t="n">
        <v>20</v>
      </c>
      <c r="E45" s="10" t="n">
        <v>8</v>
      </c>
      <c r="F45" s="10" t="s">
        <v>165</v>
      </c>
      <c r="G45" s="10" t="n">
        <v>-6</v>
      </c>
      <c r="H45" s="10" t="n">
        <v>-6</v>
      </c>
      <c r="I45" s="71" t="n">
        <f aca="false">SUMIFS(Artikel!$CH$7:$CH$1843,Artikel!$A$7:$A$1843,B45)</f>
        <v>1.60075329566855</v>
      </c>
    </row>
    <row r="46" customFormat="false" ht="15" hidden="false" customHeight="false" outlineLevel="0" collapsed="false">
      <c r="A46" s="10" t="n">
        <v>1</v>
      </c>
      <c r="B46" s="10" t="s">
        <v>2214</v>
      </c>
      <c r="C46" s="10" t="s">
        <v>3154</v>
      </c>
      <c r="D46" s="10" t="n">
        <v>22</v>
      </c>
      <c r="E46" s="10" t="n">
        <v>8</v>
      </c>
      <c r="F46" s="10" t="s">
        <v>173</v>
      </c>
      <c r="G46" s="10" t="n">
        <v>-3</v>
      </c>
      <c r="H46" s="10" t="n">
        <v>12</v>
      </c>
      <c r="I46" s="71" t="n">
        <f aca="false">SUMIFS(Artikel!$CH$7:$CH$1843,Artikel!$A$7:$A$1843,B46)</f>
        <v>1.7608286252354</v>
      </c>
    </row>
    <row r="47" customFormat="false" ht="15" hidden="false" customHeight="false" outlineLevel="0" collapsed="false">
      <c r="A47" s="10" t="n">
        <v>1</v>
      </c>
      <c r="B47" s="10" t="s">
        <v>667</v>
      </c>
      <c r="C47" s="10" t="s">
        <v>3155</v>
      </c>
      <c r="D47" s="10" t="n">
        <v>22</v>
      </c>
      <c r="E47" s="10" t="n">
        <v>13</v>
      </c>
      <c r="F47" s="10" t="s">
        <v>165</v>
      </c>
      <c r="G47" s="10" t="n">
        <v>2</v>
      </c>
      <c r="H47" s="10" t="n">
        <v>13</v>
      </c>
      <c r="I47" s="71" t="n">
        <f aca="false">SUMIFS(Artikel!$CH$7:$CH$1843,Artikel!$A$7:$A$1843,B47)</f>
        <v>1.7608286252354</v>
      </c>
    </row>
    <row r="48" customFormat="false" ht="15" hidden="false" customHeight="false" outlineLevel="0" collapsed="false">
      <c r="A48" s="10" t="n">
        <v>1</v>
      </c>
      <c r="B48" s="10" t="s">
        <v>251</v>
      </c>
      <c r="C48" s="10" t="s">
        <v>206</v>
      </c>
      <c r="D48" s="10" t="n">
        <v>6</v>
      </c>
      <c r="E48" s="10" t="n">
        <v>5</v>
      </c>
      <c r="F48" s="10" t="s">
        <v>173</v>
      </c>
      <c r="G48" s="10" t="n">
        <v>3</v>
      </c>
      <c r="H48" s="10" t="n">
        <v>6</v>
      </c>
      <c r="I48" s="71" t="n">
        <f aca="false">SUMIFS(Artikel!$CH$7:$CH$1843,Artikel!$A$7:$A$1843,B48)</f>
        <v>0.480225988700565</v>
      </c>
    </row>
    <row r="49" customFormat="false" ht="15" hidden="false" customHeight="false" outlineLevel="0" collapsed="false">
      <c r="A49" s="10" t="n">
        <v>1</v>
      </c>
      <c r="B49" s="10" t="s">
        <v>2498</v>
      </c>
      <c r="C49" s="10" t="s">
        <v>2532</v>
      </c>
      <c r="D49" s="10" t="n">
        <v>11</v>
      </c>
      <c r="E49" s="10" t="n">
        <v>0</v>
      </c>
      <c r="F49" s="10" t="s">
        <v>165</v>
      </c>
      <c r="G49" s="10" t="n">
        <v>-4</v>
      </c>
      <c r="H49" s="10" t="n">
        <v>3</v>
      </c>
      <c r="I49" s="71" t="n">
        <f aca="false">SUMIFS(Artikel!$CH$7:$CH$1843,Artikel!$A$7:$A$1843,B49)</f>
        <v>0.880414312617702</v>
      </c>
    </row>
    <row r="50" customFormat="false" ht="15" hidden="false" customHeight="false" outlineLevel="0" collapsed="false">
      <c r="A50" s="10" t="n">
        <v>1</v>
      </c>
      <c r="B50" s="10" t="s">
        <v>288</v>
      </c>
      <c r="C50" s="10" t="s">
        <v>3157</v>
      </c>
      <c r="D50" s="10" t="n">
        <v>16</v>
      </c>
      <c r="E50" s="10" t="n">
        <v>3</v>
      </c>
      <c r="F50" s="10" t="s">
        <v>165</v>
      </c>
      <c r="G50" s="10" t="n">
        <v>5</v>
      </c>
      <c r="H50" s="10" t="n">
        <v>5</v>
      </c>
      <c r="I50" s="71" t="n">
        <f aca="false">SUMIFS(Artikel!$CH$7:$CH$1843,Artikel!$A$7:$A$1843,B50)</f>
        <v>1.28060263653484</v>
      </c>
    </row>
    <row r="51" customFormat="false" ht="15" hidden="false" customHeight="false" outlineLevel="0" collapsed="false">
      <c r="A51" s="10" t="n">
        <v>1</v>
      </c>
      <c r="B51" s="10" t="s">
        <v>284</v>
      </c>
      <c r="C51" s="10" t="s">
        <v>253</v>
      </c>
      <c r="D51" s="10" t="n">
        <v>8</v>
      </c>
      <c r="E51" s="10" t="n">
        <v>4</v>
      </c>
      <c r="F51" s="10" t="s">
        <v>173</v>
      </c>
      <c r="G51" s="10" t="n">
        <v>5</v>
      </c>
      <c r="H51" s="10" t="n">
        <v>5</v>
      </c>
      <c r="I51" s="71" t="n">
        <f aca="false">SUMIFS(Artikel!$CH$7:$CH$1843,Artikel!$A$7:$A$1843,B51)</f>
        <v>0.64030131826742</v>
      </c>
    </row>
    <row r="52" customFormat="false" ht="15" hidden="false" customHeight="false" outlineLevel="0" collapsed="false">
      <c r="A52" s="10" t="n">
        <v>1</v>
      </c>
      <c r="B52" s="10" t="s">
        <v>354</v>
      </c>
      <c r="C52" s="10" t="s">
        <v>355</v>
      </c>
      <c r="D52" s="10" t="n">
        <v>4</v>
      </c>
      <c r="E52" s="10" t="n">
        <v>2</v>
      </c>
      <c r="F52" s="10" t="s">
        <v>173</v>
      </c>
      <c r="G52" s="10" t="n">
        <v>5</v>
      </c>
      <c r="H52" s="10" t="n">
        <v>5</v>
      </c>
      <c r="I52" s="71" t="n">
        <f aca="false">SUMIFS(Artikel!$CH$7:$CH$1843,Artikel!$A$7:$A$1843,B52)</f>
        <v>0.32015065913371</v>
      </c>
    </row>
    <row r="53" customFormat="false" ht="15" hidden="false" customHeight="false" outlineLevel="0" collapsed="false">
      <c r="C53" s="5" t="s">
        <v>39</v>
      </c>
      <c r="D53" s="5" t="n">
        <f aca="false">SUM(D5:D52)</f>
        <v>531</v>
      </c>
      <c r="E53" s="5" t="n">
        <f aca="false">SUM(E5:E52)</f>
        <v>293</v>
      </c>
      <c r="I53" s="79" t="n">
        <f aca="false">SUM(I5:I52)</f>
        <v>42.5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80" t="s">
        <v>3158</v>
      </c>
    </row>
    <row r="2" customFormat="false" ht="15" hidden="false" customHeight="false" outlineLevel="0" collapsed="false">
      <c r="A2" s="81" t="s">
        <v>3159</v>
      </c>
    </row>
    <row r="3" customFormat="false" ht="15" hidden="false" customHeight="false" outlineLevel="0" collapsed="false">
      <c r="A3" s="82" t="s">
        <v>3160</v>
      </c>
    </row>
    <row r="4" customFormat="false" ht="15" hidden="false" customHeight="false" outlineLevel="0" collapsed="false">
      <c r="A4" s="82" t="s">
        <v>3161</v>
      </c>
    </row>
    <row r="5" customFormat="false" ht="15" hidden="false" customHeight="false" outlineLevel="0" collapsed="false">
      <c r="A5" s="82" t="s">
        <v>3162</v>
      </c>
    </row>
    <row r="6" customFormat="false" ht="15" hidden="false" customHeight="false" outlineLevel="0" collapsed="false">
      <c r="A6" s="82" t="s">
        <v>3163</v>
      </c>
    </row>
    <row r="7" customFormat="false" ht="15" hidden="false" customHeight="false" outlineLevel="0" collapsed="false">
      <c r="A7" s="81" t="s">
        <v>3164</v>
      </c>
    </row>
    <row r="8" customFormat="false" ht="23.85" hidden="false" customHeight="false" outlineLevel="0" collapsed="false">
      <c r="A8" s="82" t="s">
        <v>3165</v>
      </c>
    </row>
    <row r="9" customFormat="false" ht="15" hidden="false" customHeight="false" outlineLevel="0" collapsed="false">
      <c r="A9" s="81" t="s">
        <v>3166</v>
      </c>
    </row>
    <row r="10" customFormat="false" ht="35.05" hidden="false" customHeight="false" outlineLevel="0" collapsed="false">
      <c r="A10" s="82" t="s">
        <v>3167</v>
      </c>
    </row>
    <row r="11" customFormat="false" ht="15" hidden="false" customHeight="false" outlineLevel="0" collapsed="false">
      <c r="A11" s="81" t="s">
        <v>3168</v>
      </c>
    </row>
    <row r="12" customFormat="false" ht="15" hidden="false" customHeight="false" outlineLevel="0" collapsed="false">
      <c r="A12" s="82" t="s">
        <v>3169</v>
      </c>
    </row>
    <row r="13" customFormat="false" ht="15" hidden="false" customHeight="false" outlineLevel="0" collapsed="false">
      <c r="A13" s="82" t="s">
        <v>3170</v>
      </c>
    </row>
    <row r="14" customFormat="false" ht="15" hidden="false" customHeight="false" outlineLevel="0" collapsed="false">
      <c r="A14" s="82" t="s">
        <v>3171</v>
      </c>
    </row>
    <row r="15" customFormat="false" ht="15" hidden="false" customHeight="false" outlineLevel="0" collapsed="false">
      <c r="A15" s="82" t="s">
        <v>3172</v>
      </c>
    </row>
    <row r="16" customFormat="false" ht="15" hidden="false" customHeight="false" outlineLevel="0" collapsed="false">
      <c r="A16" s="81" t="s">
        <v>3173</v>
      </c>
    </row>
    <row r="17" customFormat="false" ht="15" hidden="false" customHeight="false" outlineLevel="0" collapsed="false">
      <c r="A17" s="82" t="s">
        <v>3174</v>
      </c>
    </row>
    <row r="18" customFormat="false" ht="15" hidden="false" customHeight="false" outlineLevel="0" collapsed="false">
      <c r="A18" s="82" t="s">
        <v>3175</v>
      </c>
    </row>
    <row r="19" customFormat="false" ht="23.85" hidden="false" customHeight="false" outlineLevel="0" collapsed="false">
      <c r="A19" s="82" t="s">
        <v>3176</v>
      </c>
    </row>
    <row r="20" customFormat="false" ht="23.85" hidden="false" customHeight="false" outlineLevel="0" collapsed="false">
      <c r="A20" s="82" t="s">
        <v>3177</v>
      </c>
    </row>
    <row r="21" customFormat="false" ht="15" hidden="false" customHeight="false" outlineLevel="0" collapsed="false">
      <c r="A21" s="82" t="s">
        <v>3178</v>
      </c>
    </row>
    <row r="22" customFormat="false" ht="23.85" hidden="false" customHeight="false" outlineLevel="0" collapsed="false">
      <c r="A22" s="82" t="s">
        <v>3179</v>
      </c>
    </row>
    <row r="23" customFormat="false" ht="15" hidden="false" customHeight="false" outlineLevel="0" collapsed="false">
      <c r="A23" s="81" t="s">
        <v>134</v>
      </c>
    </row>
    <row r="24" customFormat="false" ht="23.85" hidden="false" customHeight="false" outlineLevel="0" collapsed="false">
      <c r="A24" s="82" t="s">
        <v>3180</v>
      </c>
    </row>
    <row r="25" customFormat="false" ht="15" hidden="false" customHeight="false" outlineLevel="0" collapsed="false">
      <c r="A25" s="81" t="s">
        <v>3181</v>
      </c>
    </row>
    <row r="26" customFormat="false" ht="23.85" hidden="false" customHeight="false" outlineLevel="0" collapsed="false">
      <c r="A26" s="82" t="s">
        <v>3182</v>
      </c>
    </row>
    <row r="27" customFormat="false" ht="15" hidden="false" customHeight="false" outlineLevel="0" collapsed="false">
      <c r="A27" s="82" t="s">
        <v>3183</v>
      </c>
    </row>
    <row r="28" customFormat="false" ht="15" hidden="false" customHeight="false" outlineLevel="0" collapsed="false">
      <c r="A28" s="82" t="s">
        <v>3184</v>
      </c>
    </row>
    <row r="29" customFormat="false" ht="15" hidden="false" customHeight="false" outlineLevel="0" collapsed="false">
      <c r="A29" s="82" t="s">
        <v>3185</v>
      </c>
    </row>
    <row r="30" customFormat="false" ht="15" hidden="false" customHeight="false" outlineLevel="0" collapsed="false">
      <c r="A30" s="82" t="s">
        <v>3186</v>
      </c>
    </row>
    <row r="31" customFormat="false" ht="15" hidden="false" customHeight="false" outlineLevel="0" collapsed="false">
      <c r="A31" s="82" t="s">
        <v>3187</v>
      </c>
    </row>
    <row r="32" customFormat="false" ht="15" hidden="false" customHeight="false" outlineLevel="0" collapsed="false">
      <c r="A32" s="82" t="s">
        <v>3188</v>
      </c>
    </row>
    <row r="33" customFormat="false" ht="15" hidden="false" customHeight="false" outlineLevel="0" collapsed="false">
      <c r="A33" s="81" t="s">
        <v>3189</v>
      </c>
    </row>
    <row r="34" customFormat="false" ht="23.85" hidden="false" customHeight="false" outlineLevel="0" collapsed="false">
      <c r="A34" s="82" t="s">
        <v>3190</v>
      </c>
    </row>
    <row r="35" customFormat="false" ht="15" hidden="false" customHeight="false" outlineLevel="0" collapsed="false">
      <c r="A35" s="81" t="s">
        <v>3191</v>
      </c>
    </row>
    <row r="36" customFormat="false" ht="15" hidden="false" customHeight="false" outlineLevel="0" collapsed="false">
      <c r="A36" s="82" t="s">
        <v>3192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2026-10-05T13:22:56Z</dcterms:created>
  <dc:creator>openpyxl</dc:creator>
  <dc:description/>
  <dc:language>en-US</dc:language>
  <cp:lastModifiedBy/>
  <dcterms:modified xsi:type="dcterms:W3CDTF">2026-10-05T13:23:13Z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